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5"/>
    <sheet state="visible" name="XLK" sheetId="2" r:id="rId6"/>
    <sheet state="visible" name="XLF" sheetId="3" r:id="rId7"/>
    <sheet state="visible" name="XLC" sheetId="4" r:id="rId8"/>
    <sheet state="visible" name="XLY" sheetId="5" r:id="rId9"/>
    <sheet state="visible" name="XLI" sheetId="6" r:id="rId10"/>
    <sheet state="visible" name="XLV" sheetId="7" r:id="rId11"/>
    <sheet state="visible" name="XLP" sheetId="8" r:id="rId12"/>
    <sheet state="visible" name="XLE" sheetId="9" r:id="rId13"/>
    <sheet state="visible" name="XLU" sheetId="10" r:id="rId14"/>
    <sheet state="visible" name="XLRE" sheetId="11" r:id="rId15"/>
    <sheet state="visible" name="XLB" sheetId="12" r:id="rId16"/>
  </sheets>
  <definedNames>
    <definedName hidden="1" localSheetId="8" name="_xlnm._FilterDatabase">XLE!$A$1:$BM$196</definedName>
  </definedNames>
  <calcPr/>
</workbook>
</file>

<file path=xl/sharedStrings.xml><?xml version="1.0" encoding="utf-8"?>
<sst xmlns="http://schemas.openxmlformats.org/spreadsheetml/2006/main" count="10110" uniqueCount="3385">
  <si>
    <t>1 Month RS</t>
  </si>
  <si>
    <t>RS_STS</t>
  </si>
  <si>
    <t>Ticker</t>
  </si>
  <si>
    <t>Name</t>
  </si>
  <si>
    <t>Extension</t>
  </si>
  <si>
    <t>Industry</t>
  </si>
  <si>
    <t>ADR%</t>
  </si>
  <si>
    <t>1D%</t>
  </si>
  <si>
    <t>1W%</t>
  </si>
  <si>
    <t>1M%</t>
  </si>
  <si>
    <t>3M%</t>
  </si>
  <si>
    <t>6M%</t>
  </si>
  <si>
    <t>12M%</t>
  </si>
  <si>
    <t>50 SMA</t>
  </si>
  <si>
    <t>14 ATR</t>
  </si>
  <si>
    <t>-</t>
  </si>
  <si>
    <t xml:space="preserve">PClose </t>
  </si>
  <si>
    <t>Liquid?</t>
  </si>
  <si>
    <t>PClose -2</t>
  </si>
  <si>
    <t>RVol ?</t>
  </si>
  <si>
    <t>PClose -3</t>
  </si>
  <si>
    <t>PClose -4</t>
  </si>
  <si>
    <t>PClose -5</t>
  </si>
  <si>
    <t>AVG $ Vol</t>
  </si>
  <si>
    <t>PClose -6</t>
  </si>
  <si>
    <t>PClose -7</t>
  </si>
  <si>
    <t>PClose -8</t>
  </si>
  <si>
    <t>PClose -9</t>
  </si>
  <si>
    <t>PClose -10</t>
  </si>
  <si>
    <t>PClose -11</t>
  </si>
  <si>
    <t>PClose -12</t>
  </si>
  <si>
    <t>PClose -13</t>
  </si>
  <si>
    <t>PClose -14</t>
  </si>
  <si>
    <t>PClose -15</t>
  </si>
  <si>
    <t>PClose -16</t>
  </si>
  <si>
    <t>PClose -17</t>
  </si>
  <si>
    <t>PClose -18</t>
  </si>
  <si>
    <t>PClose -19</t>
  </si>
  <si>
    <t>PClose -20</t>
  </si>
  <si>
    <t>PClose -21</t>
  </si>
  <si>
    <t>PClose -22</t>
  </si>
  <si>
    <t>X</t>
  </si>
  <si>
    <t>SPY</t>
  </si>
  <si>
    <t>XLK</t>
  </si>
  <si>
    <t>TECHNOLOGY</t>
  </si>
  <si>
    <t>XLC</t>
  </si>
  <si>
    <t>XLF</t>
  </si>
  <si>
    <t>SEMR</t>
  </si>
  <si>
    <t>Software - Application</t>
  </si>
  <si>
    <t>XLE</t>
  </si>
  <si>
    <t>ENERGY</t>
  </si>
  <si>
    <t>KYIV</t>
  </si>
  <si>
    <t>Telecom Services</t>
  </si>
  <si>
    <t>CBOE</t>
  </si>
  <si>
    <t>Financial Data &amp; Stock Exchanges</t>
  </si>
  <si>
    <t>XLB</t>
  </si>
  <si>
    <t>MATERIALS</t>
  </si>
  <si>
    <t>OWLS</t>
  </si>
  <si>
    <t>Software - Infrastructure</t>
  </si>
  <si>
    <t>XLRE</t>
  </si>
  <si>
    <t>REAL ESTATE</t>
  </si>
  <si>
    <t>WMG</t>
  </si>
  <si>
    <t>Entertainment</t>
  </si>
  <si>
    <t>IVZ</t>
  </si>
  <si>
    <t>Asset Management</t>
  </si>
  <si>
    <t>ALIT</t>
  </si>
  <si>
    <t>XLU</t>
  </si>
  <si>
    <t>UTILITIES</t>
  </si>
  <si>
    <t>NXDR</t>
  </si>
  <si>
    <t>Internet Content &amp; Information</t>
  </si>
  <si>
    <t>VCTR</t>
  </si>
  <si>
    <t>EXOD</t>
  </si>
  <si>
    <t>XLP</t>
  </si>
  <si>
    <t>CONSUMER STAPLE / DEFENSIVE</t>
  </si>
  <si>
    <t>XLV</t>
  </si>
  <si>
    <t>HEALTHCARE</t>
  </si>
  <si>
    <t>MIAX</t>
  </si>
  <si>
    <t>Capital Markets</t>
  </si>
  <si>
    <t>TBLA</t>
  </si>
  <si>
    <t>PAR</t>
  </si>
  <si>
    <t>FINANCIAL</t>
  </si>
  <si>
    <t>BOW</t>
  </si>
  <si>
    <t>Insurance - Property &amp; Casualty</t>
  </si>
  <si>
    <t>ATEX</t>
  </si>
  <si>
    <t>DUOL</t>
  </si>
  <si>
    <t>COMMUNICATION SERVICES</t>
  </si>
  <si>
    <t>GRPN</t>
  </si>
  <si>
    <t>BEN</t>
  </si>
  <si>
    <t>XLI</t>
  </si>
  <si>
    <t>INDUSTRIALS</t>
  </si>
  <si>
    <t>MNDY</t>
  </si>
  <si>
    <t>XLY</t>
  </si>
  <si>
    <t>CONSUMER DISCRETIONARY / CYCLICAL</t>
  </si>
  <si>
    <t>DDI</t>
  </si>
  <si>
    <t>Electronic Gaming &amp; Multimedia</t>
  </si>
  <si>
    <t>SPT</t>
  </si>
  <si>
    <t>IX</t>
  </si>
  <si>
    <t>Financial Conglomerates</t>
  </si>
  <si>
    <t>RPD</t>
  </si>
  <si>
    <t>RUM</t>
  </si>
  <si>
    <t>PSLV</t>
  </si>
  <si>
    <t>KD</t>
  </si>
  <si>
    <t>Information Technology Services</t>
  </si>
  <si>
    <t>TTWO</t>
  </si>
  <si>
    <t>MNTN</t>
  </si>
  <si>
    <t>ROOT</t>
  </si>
  <si>
    <t>BIDU</t>
  </si>
  <si>
    <t>VIA</t>
  </si>
  <si>
    <t>GTX</t>
  </si>
  <si>
    <t>Auto Parts</t>
  </si>
  <si>
    <t>LYV</t>
  </si>
  <si>
    <t>CNS</t>
  </si>
  <si>
    <t>WIX</t>
  </si>
  <si>
    <t>CRCL</t>
  </si>
  <si>
    <t>BWA</t>
  </si>
  <si>
    <t>APP</t>
  </si>
  <si>
    <t>Advertising Agencies</t>
  </si>
  <si>
    <t>HUBS</t>
  </si>
  <si>
    <t>WD</t>
  </si>
  <si>
    <t>Mortgage Finance</t>
  </si>
  <si>
    <t>EVER</t>
  </si>
  <si>
    <t>QS</t>
  </si>
  <si>
    <t>FISV</t>
  </si>
  <si>
    <t>HUT</t>
  </si>
  <si>
    <t>TXRH</t>
  </si>
  <si>
    <t>ROKU</t>
  </si>
  <si>
    <t>Restaurants</t>
  </si>
  <si>
    <t>KLAR</t>
  </si>
  <si>
    <t>CYD</t>
  </si>
  <si>
    <t>Auto Manufacturers</t>
  </si>
  <si>
    <t>JEF</t>
  </si>
  <si>
    <t>EEX</t>
  </si>
  <si>
    <t>WEN</t>
  </si>
  <si>
    <t>VERX</t>
  </si>
  <si>
    <t>UFCS</t>
  </si>
  <si>
    <t>ANGX</t>
  </si>
  <si>
    <t>SE</t>
  </si>
  <si>
    <t>Internet Retail</t>
  </si>
  <si>
    <t>SKM</t>
  </si>
  <si>
    <t>RIOT</t>
  </si>
  <si>
    <t>SPSC</t>
  </si>
  <si>
    <t>TSLA</t>
  </si>
  <si>
    <t>SATS</t>
  </si>
  <si>
    <t>ASAN</t>
  </si>
  <si>
    <t>FCFS</t>
  </si>
  <si>
    <t>Credit Services</t>
  </si>
  <si>
    <t>HYLN</t>
  </si>
  <si>
    <t>IRDM</t>
  </si>
  <si>
    <t>HCKT</t>
  </si>
  <si>
    <t>BLMN</t>
  </si>
  <si>
    <t>GLXY</t>
  </si>
  <si>
    <t>SIFY</t>
  </si>
  <si>
    <t>INTA</t>
  </si>
  <si>
    <t>HRB</t>
  </si>
  <si>
    <t>Personal Services</t>
  </si>
  <si>
    <t>BTBT</t>
  </si>
  <si>
    <t>AD</t>
  </si>
  <si>
    <t>LTH</t>
  </si>
  <si>
    <t>Leisure</t>
  </si>
  <si>
    <t>GLOB</t>
  </si>
  <si>
    <t>CAEP</t>
  </si>
  <si>
    <t>Shell Companies</t>
  </si>
  <si>
    <t>PLTK</t>
  </si>
  <si>
    <t>AI</t>
  </si>
  <si>
    <t>MBUU</t>
  </si>
  <si>
    <t>Recreational Vehicles</t>
  </si>
  <si>
    <t>AAMI</t>
  </si>
  <si>
    <t>GOOGL</t>
  </si>
  <si>
    <t>GTM</t>
  </si>
  <si>
    <t>ELA</t>
  </si>
  <si>
    <t>Luxury Goods</t>
  </si>
  <si>
    <t>GOOG</t>
  </si>
  <si>
    <t>CNCK</t>
  </si>
  <si>
    <t>BLND</t>
  </si>
  <si>
    <t>BJRI</t>
  </si>
  <si>
    <t>NMAX</t>
  </si>
  <si>
    <t>Broadcasting</t>
  </si>
  <si>
    <t>ASST</t>
  </si>
  <si>
    <t>TEAM</t>
  </si>
  <si>
    <t>LOT</t>
  </si>
  <si>
    <t>LLYVK</t>
  </si>
  <si>
    <t>KVYO</t>
  </si>
  <si>
    <t>MCY</t>
  </si>
  <si>
    <t>HZO</t>
  </si>
  <si>
    <t>Specialty Retail</t>
  </si>
  <si>
    <t>BZ</t>
  </si>
  <si>
    <t>PD</t>
  </si>
  <si>
    <t>MCFT</t>
  </si>
  <si>
    <t>CEPT</t>
  </si>
  <si>
    <t>ACVA</t>
  </si>
  <si>
    <t>Auto &amp; Truck Dealerships</t>
  </si>
  <si>
    <t>NABL</t>
  </si>
  <si>
    <t>MGNI</t>
  </si>
  <si>
    <t>SEZL</t>
  </si>
  <si>
    <t>PACK</t>
  </si>
  <si>
    <t>Packaging &amp; Containers</t>
  </si>
  <si>
    <t>SMWB</t>
  </si>
  <si>
    <t>FOXA</t>
  </si>
  <si>
    <t>AIZ</t>
  </si>
  <si>
    <t>CASY</t>
  </si>
  <si>
    <t>CNXC</t>
  </si>
  <si>
    <t>FOX</t>
  </si>
  <si>
    <t>DXYZ</t>
  </si>
  <si>
    <t>MBLY</t>
  </si>
  <si>
    <t>MSTR</t>
  </si>
  <si>
    <t>CD</t>
  </si>
  <si>
    <t>MOD</t>
  </si>
  <si>
    <t>LLYVA</t>
  </si>
  <si>
    <t>PRGS</t>
  </si>
  <si>
    <t>IREN</t>
  </si>
  <si>
    <t>EBAY</t>
  </si>
  <si>
    <t>OPRA</t>
  </si>
  <si>
    <t>TTAN</t>
  </si>
  <si>
    <t>LEA</t>
  </si>
  <si>
    <t>SNEX</t>
  </si>
  <si>
    <t>MANU</t>
  </si>
  <si>
    <t>AIN</t>
  </si>
  <si>
    <t>Textile Manufacturing</t>
  </si>
  <si>
    <t>MRX</t>
  </si>
  <si>
    <t>OPLN</t>
  </si>
  <si>
    <t>FTW</t>
  </si>
  <si>
    <t>HOG</t>
  </si>
  <si>
    <t>WDAY</t>
  </si>
  <si>
    <t>MARA</t>
  </si>
  <si>
    <t>VC</t>
  </si>
  <si>
    <t>EZPW</t>
  </si>
  <si>
    <t>DIN</t>
  </si>
  <si>
    <t>IHRT</t>
  </si>
  <si>
    <t>GDDY</t>
  </si>
  <si>
    <t>JMIA</t>
  </si>
  <si>
    <t>CNO</t>
  </si>
  <si>
    <t>Insurance - Life</t>
  </si>
  <si>
    <t>NOW</t>
  </si>
  <si>
    <t>DKNG</t>
  </si>
  <si>
    <t>Gambling</t>
  </si>
  <si>
    <t>SMFG</t>
  </si>
  <si>
    <t>Banks - Diversified</t>
  </si>
  <si>
    <t>FOUR</t>
  </si>
  <si>
    <t>PHIN</t>
  </si>
  <si>
    <t>CEF</t>
  </si>
  <si>
    <t>CHYM</t>
  </si>
  <si>
    <t>JACK</t>
  </si>
  <si>
    <t>THG</t>
  </si>
  <si>
    <t>GDYN</t>
  </si>
  <si>
    <t>DORM</t>
  </si>
  <si>
    <t>IBKR</t>
  </si>
  <si>
    <t>GBTG</t>
  </si>
  <si>
    <t>BTGO</t>
  </si>
  <si>
    <t>Travel Services</t>
  </si>
  <si>
    <t>SAH</t>
  </si>
  <si>
    <t>WT</t>
  </si>
  <si>
    <t>BLKB</t>
  </si>
  <si>
    <t>PSNY</t>
  </si>
  <si>
    <t>CLSK</t>
  </si>
  <si>
    <t>SBUX</t>
  </si>
  <si>
    <t>GEMI</t>
  </si>
  <si>
    <t>GTLB</t>
  </si>
  <si>
    <t>IHG</t>
  </si>
  <si>
    <t>Lodging</t>
  </si>
  <si>
    <t>HIVE</t>
  </si>
  <si>
    <t>BZH</t>
  </si>
  <si>
    <t>Residential Construction</t>
  </si>
  <si>
    <t>PRU</t>
  </si>
  <si>
    <t>TRS</t>
  </si>
  <si>
    <t>TROO</t>
  </si>
  <si>
    <t>PONY</t>
  </si>
  <si>
    <t>ANDG</t>
  </si>
  <si>
    <t>MSBI</t>
  </si>
  <si>
    <t>Banks - Regional</t>
  </si>
  <si>
    <t>DVLT</t>
  </si>
  <si>
    <t>JD</t>
  </si>
  <si>
    <t>WULF</t>
  </si>
  <si>
    <t>MYE</t>
  </si>
  <si>
    <t>SOHU</t>
  </si>
  <si>
    <t>BL</t>
  </si>
  <si>
    <t>RDN</t>
  </si>
  <si>
    <t>Insurance - Specialty</t>
  </si>
  <si>
    <t>MUSA</t>
  </si>
  <si>
    <t>DIS</t>
  </si>
  <si>
    <t>FICO</t>
  </si>
  <si>
    <t>COIN</t>
  </si>
  <si>
    <t>PTON</t>
  </si>
  <si>
    <t>FWONK</t>
  </si>
  <si>
    <t>MUFG</t>
  </si>
  <si>
    <t>CALY</t>
  </si>
  <si>
    <t>BCE</t>
  </si>
  <si>
    <t>TRIN</t>
  </si>
  <si>
    <t>RSI</t>
  </si>
  <si>
    <t>NTSK</t>
  </si>
  <si>
    <t>STEP</t>
  </si>
  <si>
    <t>PII</t>
  </si>
  <si>
    <t>AMX</t>
  </si>
  <si>
    <t>QTWO</t>
  </si>
  <si>
    <t>SII</t>
  </si>
  <si>
    <t>ARKO</t>
  </si>
  <si>
    <t>RCI</t>
  </si>
  <si>
    <t>YEXT</t>
  </si>
  <si>
    <t>RILY</t>
  </si>
  <si>
    <t>PAG</t>
  </si>
  <si>
    <t>GDEV</t>
  </si>
  <si>
    <t>EPAM</t>
  </si>
  <si>
    <t>VIRT</t>
  </si>
  <si>
    <t>LUCK</t>
  </si>
  <si>
    <t>SPHR</t>
  </si>
  <si>
    <t>AMPL</t>
  </si>
  <si>
    <t>MPX</t>
  </si>
  <si>
    <t>MFG</t>
  </si>
  <si>
    <t>TOST</t>
  </si>
  <si>
    <t>VZ</t>
  </si>
  <si>
    <t>GPK</t>
  </si>
  <si>
    <t>NP</t>
  </si>
  <si>
    <t>Insurance Brokers</t>
  </si>
  <si>
    <t>FIS</t>
  </si>
  <si>
    <t>SGHC</t>
  </si>
  <si>
    <t>BLK</t>
  </si>
  <si>
    <t>DOCU</t>
  </si>
  <si>
    <t>ZGN</t>
  </si>
  <si>
    <t>Apparel Manufacturing</t>
  </si>
  <si>
    <t>NTES</t>
  </si>
  <si>
    <t>GAIN</t>
  </si>
  <si>
    <t>SRAD</t>
  </si>
  <si>
    <t>AHMA</t>
  </si>
  <si>
    <t>SIGI</t>
  </si>
  <si>
    <t>AVPT</t>
  </si>
  <si>
    <t>PAYC</t>
  </si>
  <si>
    <t>LI</t>
  </si>
  <si>
    <t>UBS</t>
  </si>
  <si>
    <t>BLSH</t>
  </si>
  <si>
    <t>ADNT</t>
  </si>
  <si>
    <t>BCML</t>
  </si>
  <si>
    <t>ACN</t>
  </si>
  <si>
    <t>TGNA</t>
  </si>
  <si>
    <t>NICE</t>
  </si>
  <si>
    <t>LEGH</t>
  </si>
  <si>
    <t>SEIC</t>
  </si>
  <si>
    <t>FWONA</t>
  </si>
  <si>
    <t>PCTY</t>
  </si>
  <si>
    <t>ALV</t>
  </si>
  <si>
    <t>APO</t>
  </si>
  <si>
    <t>GENI</t>
  </si>
  <si>
    <t>ALKT</t>
  </si>
  <si>
    <t>AMZN</t>
  </si>
  <si>
    <t>ALRS</t>
  </si>
  <si>
    <t>CDW</t>
  </si>
  <si>
    <t>SEE</t>
  </si>
  <si>
    <t>XXI</t>
  </si>
  <si>
    <t>TYL</t>
  </si>
  <si>
    <t>CUK</t>
  </si>
  <si>
    <t>CIFR</t>
  </si>
  <si>
    <t>AIOT</t>
  </si>
  <si>
    <t>SPOT</t>
  </si>
  <si>
    <t>ESTC</t>
  </si>
  <si>
    <t>ALOVU</t>
  </si>
  <si>
    <t>MCRI</t>
  </si>
  <si>
    <t>Resorts &amp; Casinos</t>
  </si>
  <si>
    <t>ARQQ</t>
  </si>
  <si>
    <t>FTDR</t>
  </si>
  <si>
    <t>OPFI</t>
  </si>
  <si>
    <t>VRRM</t>
  </si>
  <si>
    <t>GSAT</t>
  </si>
  <si>
    <t>PLBL</t>
  </si>
  <si>
    <t>Department Stores</t>
  </si>
  <si>
    <t>ROP</t>
  </si>
  <si>
    <t>LUMN</t>
  </si>
  <si>
    <t>CBC</t>
  </si>
  <si>
    <t>LIND</t>
  </si>
  <si>
    <t>NTNX</t>
  </si>
  <si>
    <t>BATRK</t>
  </si>
  <si>
    <t>RERE</t>
  </si>
  <si>
    <t>VTEX</t>
  </si>
  <si>
    <t>CARE</t>
  </si>
  <si>
    <t>STUB</t>
  </si>
  <si>
    <t>SABR</t>
  </si>
  <si>
    <t>MGA</t>
  </si>
  <si>
    <t>ARES</t>
  </si>
  <si>
    <t>VEON</t>
  </si>
  <si>
    <t>CLVT</t>
  </si>
  <si>
    <t>KFS</t>
  </si>
  <si>
    <t>IBTA</t>
  </si>
  <si>
    <t>TRST</t>
  </si>
  <si>
    <t>BATRA</t>
  </si>
  <si>
    <t>REYN</t>
  </si>
  <si>
    <t>GRND</t>
  </si>
  <si>
    <t>NIO</t>
  </si>
  <si>
    <t>SIRI</t>
  </si>
  <si>
    <t>VOYA</t>
  </si>
  <si>
    <t>CHKP</t>
  </si>
  <si>
    <t>DRI</t>
  </si>
  <si>
    <t>IDT</t>
  </si>
  <si>
    <t>SAP</t>
  </si>
  <si>
    <t>PGC</t>
  </si>
  <si>
    <t>AMBP</t>
  </si>
  <si>
    <t>CINT</t>
  </si>
  <si>
    <t>PINS</t>
  </si>
  <si>
    <t>V</t>
  </si>
  <si>
    <t>MSGE</t>
  </si>
  <si>
    <t>CTSH</t>
  </si>
  <si>
    <t>TEO</t>
  </si>
  <si>
    <t>CRAQ</t>
  </si>
  <si>
    <t>PKG</t>
  </si>
  <si>
    <t>PAYX</t>
  </si>
  <si>
    <t>TDAY</t>
  </si>
  <si>
    <t>Publishing</t>
  </si>
  <si>
    <t>LGIH</t>
  </si>
  <si>
    <t>CVLT</t>
  </si>
  <si>
    <t>GOGO</t>
  </si>
  <si>
    <t>UVE</t>
  </si>
  <si>
    <t>MAT</t>
  </si>
  <si>
    <t>INTU</t>
  </si>
  <si>
    <t>NWSA</t>
  </si>
  <si>
    <t>FWDI</t>
  </si>
  <si>
    <t>Footwear &amp; Accessories</t>
  </si>
  <si>
    <t>WBTN</t>
  </si>
  <si>
    <t>DOO</t>
  </si>
  <si>
    <t>ING</t>
  </si>
  <si>
    <t>BBWI</t>
  </si>
  <si>
    <t>MSGS</t>
  </si>
  <si>
    <t>BRZE</t>
  </si>
  <si>
    <t>KBDC</t>
  </si>
  <si>
    <t>AMCR</t>
  </si>
  <si>
    <t>NFLX</t>
  </si>
  <si>
    <t>PFG</t>
  </si>
  <si>
    <t>ADBE</t>
  </si>
  <si>
    <t>ATMU</t>
  </si>
  <si>
    <t>T</t>
  </si>
  <si>
    <t>CACC</t>
  </si>
  <si>
    <t>BULL</t>
  </si>
  <si>
    <t>IP</t>
  </si>
  <si>
    <t>GLIBK</t>
  </si>
  <si>
    <t>FINV</t>
  </si>
  <si>
    <t>EXLS</t>
  </si>
  <si>
    <t>CHH</t>
  </si>
  <si>
    <t>GLIBA</t>
  </si>
  <si>
    <t>AEG</t>
  </si>
  <si>
    <t>Insurance - Diversified</t>
  </si>
  <si>
    <t>EEFT</t>
  </si>
  <si>
    <t>CDRO</t>
  </si>
  <si>
    <t>TU</t>
  </si>
  <si>
    <t>UMBF</t>
  </si>
  <si>
    <t>DSGX</t>
  </si>
  <si>
    <t>XPEV</t>
  </si>
  <si>
    <t>TMUS</t>
  </si>
  <si>
    <t>PBFS</t>
  </si>
  <si>
    <t>CRTO</t>
  </si>
  <si>
    <t>FRSH</t>
  </si>
  <si>
    <t>FUN</t>
  </si>
  <si>
    <t>WBD</t>
  </si>
  <si>
    <t>GWRE</t>
  </si>
  <si>
    <t>PRKS</t>
  </si>
  <si>
    <t>MBI</t>
  </si>
  <si>
    <t>ANGI</t>
  </si>
  <si>
    <t>NCNO</t>
  </si>
  <si>
    <t>SHOO</t>
  </si>
  <si>
    <t>BRK.B</t>
  </si>
  <si>
    <t>WSHP</t>
  </si>
  <si>
    <t>TILE</t>
  </si>
  <si>
    <t>Furnishings, Fixtures &amp; Appliances</t>
  </si>
  <si>
    <t>APPN</t>
  </si>
  <si>
    <t>MKL</t>
  </si>
  <si>
    <t>GRVY</t>
  </si>
  <si>
    <t>LOCO</t>
  </si>
  <si>
    <t>PSFE</t>
  </si>
  <si>
    <t>THRM</t>
  </si>
  <si>
    <t>TACH</t>
  </si>
  <si>
    <t>VRNS</t>
  </si>
  <si>
    <t>NWS</t>
  </si>
  <si>
    <t>SW</t>
  </si>
  <si>
    <t>SDHI</t>
  </si>
  <si>
    <t>OLED</t>
  </si>
  <si>
    <t>Electronic Components</t>
  </si>
  <si>
    <t>AXL</t>
  </si>
  <si>
    <t>FVRR</t>
  </si>
  <si>
    <t>EVR</t>
  </si>
  <si>
    <t>PAY</t>
  </si>
  <si>
    <t>H</t>
  </si>
  <si>
    <t>BMBL</t>
  </si>
  <si>
    <t>CAN</t>
  </si>
  <si>
    <t>Computer Hardware</t>
  </si>
  <si>
    <t>UNM</t>
  </si>
  <si>
    <t>SES</t>
  </si>
  <si>
    <t>VIV</t>
  </si>
  <si>
    <t>ATGL</t>
  </si>
  <si>
    <t>LION</t>
  </si>
  <si>
    <t>MLCO</t>
  </si>
  <si>
    <t>CXM</t>
  </si>
  <si>
    <t>AENT</t>
  </si>
  <si>
    <t>BBAR</t>
  </si>
  <si>
    <t>PZZA</t>
  </si>
  <si>
    <t>EVTC</t>
  </si>
  <si>
    <t>TIGO</t>
  </si>
  <si>
    <t>ACNB</t>
  </si>
  <si>
    <t>VAC</t>
  </si>
  <si>
    <t>IOT</t>
  </si>
  <si>
    <t>WEYS</t>
  </si>
  <si>
    <t>ARX</t>
  </si>
  <si>
    <t>TV</t>
  </si>
  <si>
    <t>BKKT</t>
  </si>
  <si>
    <t>BNED</t>
  </si>
  <si>
    <t>BRK.A</t>
  </si>
  <si>
    <t>OMC</t>
  </si>
  <si>
    <t>STLA</t>
  </si>
  <si>
    <t>VYX</t>
  </si>
  <si>
    <t>GS</t>
  </si>
  <si>
    <t>CCO</t>
  </si>
  <si>
    <t>PATK</t>
  </si>
  <si>
    <t>AZ</t>
  </si>
  <si>
    <t>MFC</t>
  </si>
  <si>
    <t>EA</t>
  </si>
  <si>
    <t>RH</t>
  </si>
  <si>
    <t>TTGT</t>
  </si>
  <si>
    <t>ALUB</t>
  </si>
  <si>
    <t>RBLX</t>
  </si>
  <si>
    <t>LZB</t>
  </si>
  <si>
    <t>CRCT</t>
  </si>
  <si>
    <t>IMAX</t>
  </si>
  <si>
    <t>TWFG</t>
  </si>
  <si>
    <t>PLNT</t>
  </si>
  <si>
    <t>LIF</t>
  </si>
  <si>
    <t>AMG</t>
  </si>
  <si>
    <t>LBRDK</t>
  </si>
  <si>
    <t>BFAM</t>
  </si>
  <si>
    <t>WIT</t>
  </si>
  <si>
    <t>LBRDA</t>
  </si>
  <si>
    <t>HTHT</t>
  </si>
  <si>
    <t>LWAC</t>
  </si>
  <si>
    <t>DCBO</t>
  </si>
  <si>
    <t>CHTR</t>
  </si>
  <si>
    <t>WRLD</t>
  </si>
  <si>
    <t>TDUP</t>
  </si>
  <si>
    <t>PAYO</t>
  </si>
  <si>
    <t>KMX</t>
  </si>
  <si>
    <t>PSO</t>
  </si>
  <si>
    <t>AGM</t>
  </si>
  <si>
    <t>YETI</t>
  </si>
  <si>
    <t>OKTA</t>
  </si>
  <si>
    <t>NYT</t>
  </si>
  <si>
    <t>CLBK</t>
  </si>
  <si>
    <t>TRON</t>
  </si>
  <si>
    <t>ATNI</t>
  </si>
  <si>
    <t>NSIT</t>
  </si>
  <si>
    <t>Electronics &amp; Computer Distribution</t>
  </si>
  <si>
    <t>TROW</t>
  </si>
  <si>
    <t>MHO</t>
  </si>
  <si>
    <t>META</t>
  </si>
  <si>
    <t>QLYS</t>
  </si>
  <si>
    <t>OWL</t>
  </si>
  <si>
    <t>F</t>
  </si>
  <si>
    <t>RSVR</t>
  </si>
  <si>
    <t>TENB</t>
  </si>
  <si>
    <t>MHK</t>
  </si>
  <si>
    <t>ATLC</t>
  </si>
  <si>
    <t>INFY</t>
  </si>
  <si>
    <t>NEXN</t>
  </si>
  <si>
    <t>ATAT</t>
  </si>
  <si>
    <t>ISBA</t>
  </si>
  <si>
    <t>G</t>
  </si>
  <si>
    <t>IQ</t>
  </si>
  <si>
    <t>SON</t>
  </si>
  <si>
    <t>FHI</t>
  </si>
  <si>
    <t>PCOR</t>
  </si>
  <si>
    <t>MAX</t>
  </si>
  <si>
    <t>MTN</t>
  </si>
  <si>
    <t>ABX</t>
  </si>
  <si>
    <t>ADP</t>
  </si>
  <si>
    <t>NXST</t>
  </si>
  <si>
    <t>GNTX</t>
  </si>
  <si>
    <t>DOX</t>
  </si>
  <si>
    <t>VSNT</t>
  </si>
  <si>
    <t>ACEL</t>
  </si>
  <si>
    <t>PACH</t>
  </si>
  <si>
    <t>BSY</t>
  </si>
  <si>
    <t>VIPS</t>
  </si>
  <si>
    <t>CHT</t>
  </si>
  <si>
    <t>PRSU</t>
  </si>
  <si>
    <t>WK</t>
  </si>
  <si>
    <t>RDDT</t>
  </si>
  <si>
    <t>RY</t>
  </si>
  <si>
    <t>HLLY</t>
  </si>
  <si>
    <t>PSKY</t>
  </si>
  <si>
    <t>MANH</t>
  </si>
  <si>
    <t>CG</t>
  </si>
  <si>
    <t>QSR</t>
  </si>
  <si>
    <t>UPBD</t>
  </si>
  <si>
    <t>SNAP</t>
  </si>
  <si>
    <t>ARTCU</t>
  </si>
  <si>
    <t>ATHM</t>
  </si>
  <si>
    <t>GLBE</t>
  </si>
  <si>
    <t>PEGA</t>
  </si>
  <si>
    <t>WPP</t>
  </si>
  <si>
    <t>CMG</t>
  </si>
  <si>
    <t>SMCI</t>
  </si>
  <si>
    <t>GNW</t>
  </si>
  <si>
    <t>QNST</t>
  </si>
  <si>
    <t>MCW</t>
  </si>
  <si>
    <t>ITRI</t>
  </si>
  <si>
    <t>Scientific &amp; Technical Instruments</t>
  </si>
  <si>
    <t>HOOD</t>
  </si>
  <si>
    <t>TDS</t>
  </si>
  <si>
    <t>YUMC</t>
  </si>
  <si>
    <t>DFIN</t>
  </si>
  <si>
    <t>NMAI</t>
  </si>
  <si>
    <t>SSTK</t>
  </si>
  <si>
    <t>YUM</t>
  </si>
  <si>
    <t>FG</t>
  </si>
  <si>
    <t>GRAB</t>
  </si>
  <si>
    <t>SMP</t>
  </si>
  <si>
    <t>WB</t>
  </si>
  <si>
    <t>RBBN</t>
  </si>
  <si>
    <t>CATY</t>
  </si>
  <si>
    <t>SG</t>
  </si>
  <si>
    <t>STGW</t>
  </si>
  <si>
    <t>APPF</t>
  </si>
  <si>
    <t>CBRL</t>
  </si>
  <si>
    <t>FUFU</t>
  </si>
  <si>
    <t>CABO</t>
  </si>
  <si>
    <t>YMM</t>
  </si>
  <si>
    <t>HGV</t>
  </si>
  <si>
    <t>CCOI</t>
  </si>
  <si>
    <t>HPQ</t>
  </si>
  <si>
    <t>PURR</t>
  </si>
  <si>
    <t>MOMO</t>
  </si>
  <si>
    <t>HAS</t>
  </si>
  <si>
    <t>STNE</t>
  </si>
  <si>
    <t>GCMG</t>
  </si>
  <si>
    <t>NRDS</t>
  </si>
  <si>
    <t>BC</t>
  </si>
  <si>
    <t>DT</t>
  </si>
  <si>
    <t>IFS</t>
  </si>
  <si>
    <t>YELP</t>
  </si>
  <si>
    <t>BH</t>
  </si>
  <si>
    <t>ALRM</t>
  </si>
  <si>
    <t>MSC</t>
  </si>
  <si>
    <t>CRD.B</t>
  </si>
  <si>
    <t>CLMB</t>
  </si>
  <si>
    <t>LCII</t>
  </si>
  <si>
    <t>MQ</t>
  </si>
  <si>
    <t>NOAH</t>
  </si>
  <si>
    <t>TKO</t>
  </si>
  <si>
    <t>GM</t>
  </si>
  <si>
    <t>RBRK</t>
  </si>
  <si>
    <t>ZG</t>
  </si>
  <si>
    <t>BALY</t>
  </si>
  <si>
    <t>SAIL</t>
  </si>
  <si>
    <t>ALH</t>
  </si>
  <si>
    <t>Z</t>
  </si>
  <si>
    <t>PSN</t>
  </si>
  <si>
    <t>CRI</t>
  </si>
  <si>
    <t>Apparel Retail</t>
  </si>
  <si>
    <t>GLOO</t>
  </si>
  <si>
    <t>PLAY</t>
  </si>
  <si>
    <t>EAT</t>
  </si>
  <si>
    <t>CINF</t>
  </si>
  <si>
    <t>JKHY</t>
  </si>
  <si>
    <t>CNK</t>
  </si>
  <si>
    <t>RUSHA</t>
  </si>
  <si>
    <t>IIIV</t>
  </si>
  <si>
    <t>RYAN</t>
  </si>
  <si>
    <t>LILA</t>
  </si>
  <si>
    <t>HVT</t>
  </si>
  <si>
    <t>Home Improvement Retail</t>
  </si>
  <si>
    <t>AFL</t>
  </si>
  <si>
    <t>TEF</t>
  </si>
  <si>
    <t>HOV</t>
  </si>
  <si>
    <t>BGIN</t>
  </si>
  <si>
    <t>RACE</t>
  </si>
  <si>
    <t>ZD</t>
  </si>
  <si>
    <t>OSPN</t>
  </si>
  <si>
    <t>MORN</t>
  </si>
  <si>
    <t>NKE</t>
  </si>
  <si>
    <t>SAIC</t>
  </si>
  <si>
    <t>FUBO</t>
  </si>
  <si>
    <t>BSRR</t>
  </si>
  <si>
    <t>EVGO</t>
  </si>
  <si>
    <t>VNT</t>
  </si>
  <si>
    <t>DJT</t>
  </si>
  <si>
    <t>ETOR</t>
  </si>
  <si>
    <t>SLDP</t>
  </si>
  <si>
    <t>CLBT</t>
  </si>
  <si>
    <t>EB</t>
  </si>
  <si>
    <t>AFRM</t>
  </si>
  <si>
    <t>PENN</t>
  </si>
  <si>
    <t>PRTH</t>
  </si>
  <si>
    <t>UPWK</t>
  </si>
  <si>
    <t>LCID</t>
  </si>
  <si>
    <t>MAAS</t>
  </si>
  <si>
    <t>TRMB</t>
  </si>
  <si>
    <t>OPTU</t>
  </si>
  <si>
    <t>TPR</t>
  </si>
  <si>
    <t>HRZN</t>
  </si>
  <si>
    <t>CMCSA</t>
  </si>
  <si>
    <t>VSCO</t>
  </si>
  <si>
    <t>CRSR</t>
  </si>
  <si>
    <t>GDOT</t>
  </si>
  <si>
    <t>FLUT</t>
  </si>
  <si>
    <t>TIMB</t>
  </si>
  <si>
    <t>LYFT</t>
  </si>
  <si>
    <t>CART</t>
  </si>
  <si>
    <t>NCMI</t>
  </si>
  <si>
    <t>RWAY</t>
  </si>
  <si>
    <t>SSYS</t>
  </si>
  <si>
    <t>AEO</t>
  </si>
  <si>
    <t>OBA</t>
  </si>
  <si>
    <t>ROST</t>
  </si>
  <si>
    <t>LDOS</t>
  </si>
  <si>
    <t>SHEN</t>
  </si>
  <si>
    <t>PGR</t>
  </si>
  <si>
    <t>ARCO</t>
  </si>
  <si>
    <t>TLK</t>
  </si>
  <si>
    <t>AFG</t>
  </si>
  <si>
    <t>THO</t>
  </si>
  <si>
    <t>BILI</t>
  </si>
  <si>
    <t>GRRR</t>
  </si>
  <si>
    <t>RVLV</t>
  </si>
  <si>
    <t>DB</t>
  </si>
  <si>
    <t>MCS</t>
  </si>
  <si>
    <t>NTGR</t>
  </si>
  <si>
    <t>Communication Equipment</t>
  </si>
  <si>
    <t>HMC</t>
  </si>
  <si>
    <t>LMND</t>
  </si>
  <si>
    <t>KT</t>
  </si>
  <si>
    <t>FIVN</t>
  </si>
  <si>
    <t>FIVE</t>
  </si>
  <si>
    <t>HDL</t>
  </si>
  <si>
    <t>TME</t>
  </si>
  <si>
    <t>WLTH</t>
  </si>
  <si>
    <t>STT</t>
  </si>
  <si>
    <t>SHAK</t>
  </si>
  <si>
    <t>JOYY</t>
  </si>
  <si>
    <t>TSSI</t>
  </si>
  <si>
    <t>VENU</t>
  </si>
  <si>
    <t>GCBC</t>
  </si>
  <si>
    <t>CHA</t>
  </si>
  <si>
    <t>ADSK</t>
  </si>
  <si>
    <t>GTN</t>
  </si>
  <si>
    <t>GGAL</t>
  </si>
  <si>
    <t>OTEX</t>
  </si>
  <si>
    <t>LILAK</t>
  </si>
  <si>
    <t>KRT</t>
  </si>
  <si>
    <t>FRHC</t>
  </si>
  <si>
    <t>SSNC</t>
  </si>
  <si>
    <t>SBGI</t>
  </si>
  <si>
    <t>ORLY</t>
  </si>
  <si>
    <t>ERIE</t>
  </si>
  <si>
    <t>FTV</t>
  </si>
  <si>
    <t>SSP</t>
  </si>
  <si>
    <t>STRT</t>
  </si>
  <si>
    <t>VBNK</t>
  </si>
  <si>
    <t>AGYS</t>
  </si>
  <si>
    <t>ZH</t>
  </si>
  <si>
    <t>AAP</t>
  </si>
  <si>
    <t>FAF</t>
  </si>
  <si>
    <t>LSPD</t>
  </si>
  <si>
    <t>LBTYA</t>
  </si>
  <si>
    <t>DAN</t>
  </si>
  <si>
    <t>DGICA</t>
  </si>
  <si>
    <t>TTD</t>
  </si>
  <si>
    <t>UBER</t>
  </si>
  <si>
    <t>OYSE</t>
  </si>
  <si>
    <t>MELI</t>
  </si>
  <si>
    <t>AMC</t>
  </si>
  <si>
    <t>MLAB</t>
  </si>
  <si>
    <t>LBTYK</t>
  </si>
  <si>
    <t>PHYS</t>
  </si>
  <si>
    <t>PATH</t>
  </si>
  <si>
    <t>WHR</t>
  </si>
  <si>
    <t>SCHL</t>
  </si>
  <si>
    <t>HAFC</t>
  </si>
  <si>
    <t>SOUN</t>
  </si>
  <si>
    <t>CHDN</t>
  </si>
  <si>
    <t>CARS</t>
  </si>
  <si>
    <t>PTC</t>
  </si>
  <si>
    <t>RKT</t>
  </si>
  <si>
    <t>WRD</t>
  </si>
  <si>
    <t>EXPE</t>
  </si>
  <si>
    <t>GETY</t>
  </si>
  <si>
    <t>ENVA</t>
  </si>
  <si>
    <t>TUYA</t>
  </si>
  <si>
    <t>TJX</t>
  </si>
  <si>
    <t>PHI</t>
  </si>
  <si>
    <t>AHL</t>
  </si>
  <si>
    <t>YALA</t>
  </si>
  <si>
    <t>ANF</t>
  </si>
  <si>
    <t>IAC</t>
  </si>
  <si>
    <t>MA</t>
  </si>
  <si>
    <t>KARO</t>
  </si>
  <si>
    <t>UXIN</t>
  </si>
  <si>
    <t>RPAY</t>
  </si>
  <si>
    <t>WLY</t>
  </si>
  <si>
    <t>SN</t>
  </si>
  <si>
    <t>MCO</t>
  </si>
  <si>
    <t>S</t>
  </si>
  <si>
    <t>CHWY</t>
  </si>
  <si>
    <t>DV</t>
  </si>
  <si>
    <t>ACIW</t>
  </si>
  <si>
    <t>SCI</t>
  </si>
  <si>
    <t>ACIC</t>
  </si>
  <si>
    <t>MTCH</t>
  </si>
  <si>
    <t>PUBM</t>
  </si>
  <si>
    <t>ROL</t>
  </si>
  <si>
    <t>VOD</t>
  </si>
  <si>
    <t>BK</t>
  </si>
  <si>
    <t>CALX</t>
  </si>
  <si>
    <t>TPH</t>
  </si>
  <si>
    <t>AMCX</t>
  </si>
  <si>
    <t>GL</t>
  </si>
  <si>
    <t>RRR</t>
  </si>
  <si>
    <t>BILL</t>
  </si>
  <si>
    <t>TKC</t>
  </si>
  <si>
    <t>MBAV</t>
  </si>
  <si>
    <t>MCD</t>
  </si>
  <si>
    <t>SNOW</t>
  </si>
  <si>
    <t>PERI</t>
  </si>
  <si>
    <t>OLPX</t>
  </si>
  <si>
    <t>ZBRA</t>
  </si>
  <si>
    <t>FDUS</t>
  </si>
  <si>
    <t>TSCO</t>
  </si>
  <si>
    <t>BTDR</t>
  </si>
  <si>
    <t>NBTB</t>
  </si>
  <si>
    <t>BKNG</t>
  </si>
  <si>
    <t>ALLT</t>
  </si>
  <si>
    <t>CRVL</t>
  </si>
  <si>
    <t>CNNE</t>
  </si>
  <si>
    <t>QUBT</t>
  </si>
  <si>
    <t>RBB</t>
  </si>
  <si>
    <t>MVST</t>
  </si>
  <si>
    <t>OSIS</t>
  </si>
  <si>
    <t>AMP</t>
  </si>
  <si>
    <t>SBET</t>
  </si>
  <si>
    <t>XMTR</t>
  </si>
  <si>
    <t>Industrial Distribution</t>
  </si>
  <si>
    <t>APPS</t>
  </si>
  <si>
    <t>LAD</t>
  </si>
  <si>
    <t>AON</t>
  </si>
  <si>
    <t>GNK</t>
  </si>
  <si>
    <t>Marine Shipping</t>
  </si>
  <si>
    <t>LQDT</t>
  </si>
  <si>
    <t>SONY</t>
  </si>
  <si>
    <t>Consumer Electronics</t>
  </si>
  <si>
    <t>RKLB</t>
  </si>
  <si>
    <t>Aerospace &amp; Defense</t>
  </si>
  <si>
    <t>CM</t>
  </si>
  <si>
    <t>VVV</t>
  </si>
  <si>
    <t>TTI</t>
  </si>
  <si>
    <t>Conglomerates</t>
  </si>
  <si>
    <t>SHOP</t>
  </si>
  <si>
    <t>COLM</t>
  </si>
  <si>
    <t>PRLB</t>
  </si>
  <si>
    <t>Metal Fabrication</t>
  </si>
  <si>
    <t>NTRS</t>
  </si>
  <si>
    <t>MSFT</t>
  </si>
  <si>
    <t>MNRO</t>
  </si>
  <si>
    <t>MRCY</t>
  </si>
  <si>
    <t>RSKD</t>
  </si>
  <si>
    <t>WRB</t>
  </si>
  <si>
    <t>GIII</t>
  </si>
  <si>
    <t>WLDN</t>
  </si>
  <si>
    <t>Engineering &amp; Construction</t>
  </si>
  <si>
    <t>NAVN</t>
  </si>
  <si>
    <t>WASH</t>
  </si>
  <si>
    <t>MMYT</t>
  </si>
  <si>
    <t>SB</t>
  </si>
  <si>
    <t>MSI</t>
  </si>
  <si>
    <t>FND</t>
  </si>
  <si>
    <t>PLUG</t>
  </si>
  <si>
    <t>Electrical Equipment &amp; Parts</t>
  </si>
  <si>
    <t>TPG</t>
  </si>
  <si>
    <t>PRCH</t>
  </si>
  <si>
    <t>BBW</t>
  </si>
  <si>
    <t>FCEL</t>
  </si>
  <si>
    <t>TCPC</t>
  </si>
  <si>
    <t>LAES</t>
  </si>
  <si>
    <t>Semiconductors</t>
  </si>
  <si>
    <t>OXM</t>
  </si>
  <si>
    <t>EVEX</t>
  </si>
  <si>
    <t>CMA</t>
  </si>
  <si>
    <t>GCO</t>
  </si>
  <si>
    <t>CNXN</t>
  </si>
  <si>
    <t>SFL</t>
  </si>
  <si>
    <t>DRVN</t>
  </si>
  <si>
    <t>KMPR</t>
  </si>
  <si>
    <t>DBX</t>
  </si>
  <si>
    <t>SBLK</t>
  </si>
  <si>
    <t>CVNA</t>
  </si>
  <si>
    <t>CGNT</t>
  </si>
  <si>
    <t>IESC</t>
  </si>
  <si>
    <t>SLF</t>
  </si>
  <si>
    <t>GOOS</t>
  </si>
  <si>
    <t>HRI</t>
  </si>
  <si>
    <t>Rental &amp; Leasing Services</t>
  </si>
  <si>
    <t>SUPX</t>
  </si>
  <si>
    <t>AEXA</t>
  </si>
  <si>
    <t>URBN</t>
  </si>
  <si>
    <t>NPWR</t>
  </si>
  <si>
    <t>Specialty Industrial Machinery</t>
  </si>
  <si>
    <t>PGY</t>
  </si>
  <si>
    <t>CRD.A</t>
  </si>
  <si>
    <t>BW</t>
  </si>
  <si>
    <t>FOXF</t>
  </si>
  <si>
    <t>EVCM</t>
  </si>
  <si>
    <t>VACH</t>
  </si>
  <si>
    <t>HI</t>
  </si>
  <si>
    <t>CAL</t>
  </si>
  <si>
    <t>SWKS</t>
  </si>
  <si>
    <t>PANL</t>
  </si>
  <si>
    <t>CZFS</t>
  </si>
  <si>
    <t>OI</t>
  </si>
  <si>
    <t>CPAY</t>
  </si>
  <si>
    <t>HLIO</t>
  </si>
  <si>
    <t>AS</t>
  </si>
  <si>
    <t>WAFD</t>
  </si>
  <si>
    <t>BDC</t>
  </si>
  <si>
    <t>VSTS</t>
  </si>
  <si>
    <t>TNL</t>
  </si>
  <si>
    <t>LAZ</t>
  </si>
  <si>
    <t>RDVT</t>
  </si>
  <si>
    <t>ARMK</t>
  </si>
  <si>
    <t>Specialty Business Services</t>
  </si>
  <si>
    <t>CAKE</t>
  </si>
  <si>
    <t>LAW</t>
  </si>
  <si>
    <t>BMA</t>
  </si>
  <si>
    <t>ENS</t>
  </si>
  <si>
    <t>BBY</t>
  </si>
  <si>
    <t>SNPS</t>
  </si>
  <si>
    <t>NPO</t>
  </si>
  <si>
    <t>SKWD</t>
  </si>
  <si>
    <t>EYE</t>
  </si>
  <si>
    <t>PAGS</t>
  </si>
  <si>
    <t>WSC</t>
  </si>
  <si>
    <t>ETSY</t>
  </si>
  <si>
    <t>PUK</t>
  </si>
  <si>
    <t>RELY</t>
  </si>
  <si>
    <t>HSHP</t>
  </si>
  <si>
    <t>BIRK</t>
  </si>
  <si>
    <t>NNDM</t>
  </si>
  <si>
    <t>OSBC</t>
  </si>
  <si>
    <t>PCT</t>
  </si>
  <si>
    <t>Pollution &amp; Treatment Controls</t>
  </si>
  <si>
    <t>ZUMZ</t>
  </si>
  <si>
    <t>EOSE</t>
  </si>
  <si>
    <t>AII</t>
  </si>
  <si>
    <t>VFC</t>
  </si>
  <si>
    <t>LUNR</t>
  </si>
  <si>
    <t>MLKN</t>
  </si>
  <si>
    <t>BAM</t>
  </si>
  <si>
    <t>TH</t>
  </si>
  <si>
    <t>DFH</t>
  </si>
  <si>
    <t>USCB</t>
  </si>
  <si>
    <t>W</t>
  </si>
  <si>
    <t>VRT</t>
  </si>
  <si>
    <t>NWBI</t>
  </si>
  <si>
    <t>ABG</t>
  </si>
  <si>
    <t>CMI</t>
  </si>
  <si>
    <t>ITIC</t>
  </si>
  <si>
    <t>MTH</t>
  </si>
  <si>
    <t>CYRX</t>
  </si>
  <si>
    <t>Integrated Freight &amp; Logistics</t>
  </si>
  <si>
    <t>BBUC</t>
  </si>
  <si>
    <t>SCVL</t>
  </si>
  <si>
    <t>MEC</t>
  </si>
  <si>
    <t>LEVI</t>
  </si>
  <si>
    <t>TD</t>
  </si>
  <si>
    <t>FSTR</t>
  </si>
  <si>
    <t>Railroads</t>
  </si>
  <si>
    <t>PLOW</t>
  </si>
  <si>
    <t>GNRC</t>
  </si>
  <si>
    <t>HRTG</t>
  </si>
  <si>
    <t>GPI</t>
  </si>
  <si>
    <t>AAON</t>
  </si>
  <si>
    <t>Building Products &amp; Equipment</t>
  </si>
  <si>
    <t>MET</t>
  </si>
  <si>
    <t>KRUS</t>
  </si>
  <si>
    <t>FIX</t>
  </si>
  <si>
    <t>JPM</t>
  </si>
  <si>
    <t>LE</t>
  </si>
  <si>
    <t>TE</t>
  </si>
  <si>
    <t>SCHW</t>
  </si>
  <si>
    <t>CPS</t>
  </si>
  <si>
    <t>STRL</t>
  </si>
  <si>
    <t>BRSL</t>
  </si>
  <si>
    <t>NDAQ</t>
  </si>
  <si>
    <t>ROK</t>
  </si>
  <si>
    <t>WH</t>
  </si>
  <si>
    <t>HCI</t>
  </si>
  <si>
    <t>ASPN</t>
  </si>
  <si>
    <t>WGO</t>
  </si>
  <si>
    <t>RMNI</t>
  </si>
  <si>
    <t>MSM</t>
  </si>
  <si>
    <t>CCXIU</t>
  </si>
  <si>
    <t>GIL</t>
  </si>
  <si>
    <t>BWLP</t>
  </si>
  <si>
    <t>RAMP</t>
  </si>
  <si>
    <t>C</t>
  </si>
  <si>
    <t>GWW</t>
  </si>
  <si>
    <t>ONON</t>
  </si>
  <si>
    <t>CACI</t>
  </si>
  <si>
    <t>PYPL</t>
  </si>
  <si>
    <t>FA</t>
  </si>
  <si>
    <t>WSM</t>
  </si>
  <si>
    <t>KSPI</t>
  </si>
  <si>
    <t>CME</t>
  </si>
  <si>
    <t>JOBY</t>
  </si>
  <si>
    <t>Airports &amp; Air Services</t>
  </si>
  <si>
    <t>WEX</t>
  </si>
  <si>
    <t>DECK</t>
  </si>
  <si>
    <t>SPGI</t>
  </si>
  <si>
    <t>PL</t>
  </si>
  <si>
    <t>AN</t>
  </si>
  <si>
    <t>CWAN</t>
  </si>
  <si>
    <t>ACGL</t>
  </si>
  <si>
    <t>DAC</t>
  </si>
  <si>
    <t>DAY</t>
  </si>
  <si>
    <t>LOW</t>
  </si>
  <si>
    <t>NVT</t>
  </si>
  <si>
    <t>HIG</t>
  </si>
  <si>
    <t>SCSC</t>
  </si>
  <si>
    <t>GRBK</t>
  </si>
  <si>
    <t>RDW</t>
  </si>
  <si>
    <t>CB</t>
  </si>
  <si>
    <t>VRSN</t>
  </si>
  <si>
    <t>GEO</t>
  </si>
  <si>
    <t>Security &amp; Protection Services</t>
  </si>
  <si>
    <t>MOV</t>
  </si>
  <si>
    <t>JRVR</t>
  </si>
  <si>
    <t>PTRN</t>
  </si>
  <si>
    <t>WCC</t>
  </si>
  <si>
    <t>DKS</t>
  </si>
  <si>
    <t>PLTR</t>
  </si>
  <si>
    <t>AIT</t>
  </si>
  <si>
    <t>MRSH</t>
  </si>
  <si>
    <t>LEN</t>
  </si>
  <si>
    <t>IBEX</t>
  </si>
  <si>
    <t>POWL</t>
  </si>
  <si>
    <t>XRPN</t>
  </si>
  <si>
    <t>GOLF</t>
  </si>
  <si>
    <t>CAT</t>
  </si>
  <si>
    <t>MTLS</t>
  </si>
  <si>
    <t>Farm &amp; Heavy Construction Machinery</t>
  </si>
  <si>
    <t>ANSC</t>
  </si>
  <si>
    <t>BOOT</t>
  </si>
  <si>
    <t>BLBD</t>
  </si>
  <si>
    <t>CDNS</t>
  </si>
  <si>
    <t>MBVI</t>
  </si>
  <si>
    <t>IBP</t>
  </si>
  <si>
    <t>NNE</t>
  </si>
  <si>
    <t>ENPH</t>
  </si>
  <si>
    <t>Solar</t>
  </si>
  <si>
    <t>GME</t>
  </si>
  <si>
    <t>MYRG</t>
  </si>
  <si>
    <t>GPAT</t>
  </si>
  <si>
    <t>API</t>
  </si>
  <si>
    <t>PWR</t>
  </si>
  <si>
    <t>CROX</t>
  </si>
  <si>
    <t>RZLV</t>
  </si>
  <si>
    <t>PCAP</t>
  </si>
  <si>
    <t>TKR</t>
  </si>
  <si>
    <t>Tools &amp; Accessories</t>
  </si>
  <si>
    <t>HSAI</t>
  </si>
  <si>
    <t>KC</t>
  </si>
  <si>
    <t>POLE</t>
  </si>
  <si>
    <t>BLDP</t>
  </si>
  <si>
    <t>BBAI</t>
  </si>
  <si>
    <t>RDAG</t>
  </si>
  <si>
    <t>CTOS</t>
  </si>
  <si>
    <t>HLT</t>
  </si>
  <si>
    <t>CMDB</t>
  </si>
  <si>
    <t>GRMN</t>
  </si>
  <si>
    <t>BDCI</t>
  </si>
  <si>
    <t>CVCO</t>
  </si>
  <si>
    <t>ENVX</t>
  </si>
  <si>
    <t>CLFD</t>
  </si>
  <si>
    <t>MLAC</t>
  </si>
  <si>
    <t>PHM</t>
  </si>
  <si>
    <t>ACHR</t>
  </si>
  <si>
    <t>CRNC</t>
  </si>
  <si>
    <t>GSL</t>
  </si>
  <si>
    <t>MAR</t>
  </si>
  <si>
    <t>DMII</t>
  </si>
  <si>
    <t>STRC</t>
  </si>
  <si>
    <t>ASC</t>
  </si>
  <si>
    <t>DJCO</t>
  </si>
  <si>
    <t>RIVN</t>
  </si>
  <si>
    <t>KCHV</t>
  </si>
  <si>
    <t>XNET</t>
  </si>
  <si>
    <t>AMSC</t>
  </si>
  <si>
    <t>ZKH</t>
  </si>
  <si>
    <t>KFII</t>
  </si>
  <si>
    <t>VERI</t>
  </si>
  <si>
    <t>ECG</t>
  </si>
  <si>
    <t>MNSO</t>
  </si>
  <si>
    <t>LGN</t>
  </si>
  <si>
    <t>PIPR</t>
  </si>
  <si>
    <t>QRVO</t>
  </si>
  <si>
    <t>RCL</t>
  </si>
  <si>
    <t>ULS</t>
  </si>
  <si>
    <t>AMSF</t>
  </si>
  <si>
    <t>FTNT</t>
  </si>
  <si>
    <t>BBBY</t>
  </si>
  <si>
    <t>CECO</t>
  </si>
  <si>
    <t>RDWR</t>
  </si>
  <si>
    <t>ALDF</t>
  </si>
  <si>
    <t>OSW</t>
  </si>
  <si>
    <t>CMPR</t>
  </si>
  <si>
    <t>NTAP</t>
  </si>
  <si>
    <t>CWH</t>
  </si>
  <si>
    <t>LNKB</t>
  </si>
  <si>
    <t>UA</t>
  </si>
  <si>
    <t>NOVT</t>
  </si>
  <si>
    <t>SLDE</t>
  </si>
  <si>
    <t>KSS</t>
  </si>
  <si>
    <t>LOGI</t>
  </si>
  <si>
    <t>MTZ</t>
  </si>
  <si>
    <t>ALL</t>
  </si>
  <si>
    <t>IDCC</t>
  </si>
  <si>
    <t>VFS</t>
  </si>
  <si>
    <t>HWM</t>
  </si>
  <si>
    <t>ALF</t>
  </si>
  <si>
    <t>BTQ</t>
  </si>
  <si>
    <t>MESHU</t>
  </si>
  <si>
    <t>BKSY</t>
  </si>
  <si>
    <t>LSAK</t>
  </si>
  <si>
    <t>ECX</t>
  </si>
  <si>
    <t>RBCAA</t>
  </si>
  <si>
    <t>ZM</t>
  </si>
  <si>
    <t>ECO</t>
  </si>
  <si>
    <t>HSBC</t>
  </si>
  <si>
    <t>AZZ</t>
  </si>
  <si>
    <t>XYZ</t>
  </si>
  <si>
    <t>UAA</t>
  </si>
  <si>
    <t>ORCL</t>
  </si>
  <si>
    <t>HLI</t>
  </si>
  <si>
    <t>GHM</t>
  </si>
  <si>
    <t>SFIX</t>
  </si>
  <si>
    <t>ULCC</t>
  </si>
  <si>
    <t>INGM</t>
  </si>
  <si>
    <t>Airlines</t>
  </si>
  <si>
    <t>PFSI</t>
  </si>
  <si>
    <t>ABNB</t>
  </si>
  <si>
    <t>MIDD</t>
  </si>
  <si>
    <t>AUR</t>
  </si>
  <si>
    <t>PJT</t>
  </si>
  <si>
    <t>VIK</t>
  </si>
  <si>
    <t>ELVA</t>
  </si>
  <si>
    <t>CCSI</t>
  </si>
  <si>
    <t>SIMA</t>
  </si>
  <si>
    <t>KTB</t>
  </si>
  <si>
    <t>ARRY</t>
  </si>
  <si>
    <t>THR</t>
  </si>
  <si>
    <t>BN</t>
  </si>
  <si>
    <t>DAKT</t>
  </si>
  <si>
    <t>GEF</t>
  </si>
  <si>
    <t>EME</t>
  </si>
  <si>
    <t>RUN</t>
  </si>
  <si>
    <t>SBH</t>
  </si>
  <si>
    <t>YRD</t>
  </si>
  <si>
    <t>CRWV</t>
  </si>
  <si>
    <t>ASO</t>
  </si>
  <si>
    <t>STEX</t>
  </si>
  <si>
    <t>TDY</t>
  </si>
  <si>
    <t>APTV</t>
  </si>
  <si>
    <t>ABTC</t>
  </si>
  <si>
    <t>ACCO</t>
  </si>
  <si>
    <t>Business Equipment &amp; Supplies</t>
  </si>
  <si>
    <t>ZETA</t>
  </si>
  <si>
    <t>MGM</t>
  </si>
  <si>
    <t>SATL</t>
  </si>
  <si>
    <t>DCOM</t>
  </si>
  <si>
    <t>CSGS</t>
  </si>
  <si>
    <t>WOOF</t>
  </si>
  <si>
    <t>SARO</t>
  </si>
  <si>
    <t>RAL</t>
  </si>
  <si>
    <t>LU</t>
  </si>
  <si>
    <t>CCL</t>
  </si>
  <si>
    <t>PANW</t>
  </si>
  <si>
    <t>SLGN</t>
  </si>
  <si>
    <t>SIG</t>
  </si>
  <si>
    <t>CNOB</t>
  </si>
  <si>
    <t>PLUS</t>
  </si>
  <si>
    <t>ONB</t>
  </si>
  <si>
    <t>TEL</t>
  </si>
  <si>
    <t>FWRG</t>
  </si>
  <si>
    <t>CDLR</t>
  </si>
  <si>
    <t>FOA</t>
  </si>
  <si>
    <t>ACA</t>
  </si>
  <si>
    <t>LKQ</t>
  </si>
  <si>
    <t>COFS</t>
  </si>
  <si>
    <t>DQ</t>
  </si>
  <si>
    <t>CCK</t>
  </si>
  <si>
    <t>FFIV</t>
  </si>
  <si>
    <t>BCAL</t>
  </si>
  <si>
    <t>DHI</t>
  </si>
  <si>
    <t>NVEC</t>
  </si>
  <si>
    <t>BAP</t>
  </si>
  <si>
    <t>KBH</t>
  </si>
  <si>
    <t>ORN</t>
  </si>
  <si>
    <t>AMBA</t>
  </si>
  <si>
    <t>Semiconductor Equipment &amp; Materials</t>
  </si>
  <si>
    <t>EFSC</t>
  </si>
  <si>
    <t>BYD</t>
  </si>
  <si>
    <t>TIC</t>
  </si>
  <si>
    <t>SMRT</t>
  </si>
  <si>
    <t>HEPS</t>
  </si>
  <si>
    <t>BCSF</t>
  </si>
  <si>
    <t>ADUR</t>
  </si>
  <si>
    <t>CZR</t>
  </si>
  <si>
    <t>DAVE</t>
  </si>
  <si>
    <t>BE</t>
  </si>
  <si>
    <t>JKS</t>
  </si>
  <si>
    <t>ALLY</t>
  </si>
  <si>
    <t>DY</t>
  </si>
  <si>
    <t>PDD</t>
  </si>
  <si>
    <t>QCOM</t>
  </si>
  <si>
    <t>TCBX</t>
  </si>
  <si>
    <t>RL</t>
  </si>
  <si>
    <t>HAFN</t>
  </si>
  <si>
    <t>WAL</t>
  </si>
  <si>
    <t>PVH</t>
  </si>
  <si>
    <t>DNOW</t>
  </si>
  <si>
    <t>AEVA</t>
  </si>
  <si>
    <t>SMBC</t>
  </si>
  <si>
    <t>TMHC</t>
  </si>
  <si>
    <t>RLGT</t>
  </si>
  <si>
    <t>HLIT</t>
  </si>
  <si>
    <t>BY</t>
  </si>
  <si>
    <t>M</t>
  </si>
  <si>
    <t>LTBR</t>
  </si>
  <si>
    <t>CRWD</t>
  </si>
  <si>
    <t>DDS</t>
  </si>
  <si>
    <t>EXPD</t>
  </si>
  <si>
    <t>RRBI</t>
  </si>
  <si>
    <t>IMXI</t>
  </si>
  <si>
    <t>BALL</t>
  </si>
  <si>
    <t>GVA</t>
  </si>
  <si>
    <t>FORTY</t>
  </si>
  <si>
    <t>MCHB</t>
  </si>
  <si>
    <t>ALSN</t>
  </si>
  <si>
    <t>BV</t>
  </si>
  <si>
    <t>CTS</t>
  </si>
  <si>
    <t>AMRC</t>
  </si>
  <si>
    <t>HNI</t>
  </si>
  <si>
    <t>PLBC</t>
  </si>
  <si>
    <t>OOMA</t>
  </si>
  <si>
    <t>CSV</t>
  </si>
  <si>
    <t>LXFR</t>
  </si>
  <si>
    <t>NXPI</t>
  </si>
  <si>
    <t>PFLT</t>
  </si>
  <si>
    <t>TRN</t>
  </si>
  <si>
    <t>FLYW</t>
  </si>
  <si>
    <t>FSK</t>
  </si>
  <si>
    <t>URI</t>
  </si>
  <si>
    <t>WINA</t>
  </si>
  <si>
    <t>FIGR</t>
  </si>
  <si>
    <t>Robotics</t>
  </si>
  <si>
    <t>ASB</t>
  </si>
  <si>
    <t>VVX</t>
  </si>
  <si>
    <t>REAL</t>
  </si>
  <si>
    <t>POWI</t>
  </si>
  <si>
    <t>EAF</t>
  </si>
  <si>
    <t>BABA</t>
  </si>
  <si>
    <t>SONO</t>
  </si>
  <si>
    <t>BX</t>
  </si>
  <si>
    <t>BROS</t>
  </si>
  <si>
    <t>PKOH</t>
  </si>
  <si>
    <t>LYTS</t>
  </si>
  <si>
    <t>MCB</t>
  </si>
  <si>
    <t>ARHS</t>
  </si>
  <si>
    <t>BETA</t>
  </si>
  <si>
    <t>FSLR</t>
  </si>
  <si>
    <t>GT</t>
  </si>
  <si>
    <t>OBK</t>
  </si>
  <si>
    <t>WLFC</t>
  </si>
  <si>
    <t>DBD</t>
  </si>
  <si>
    <t>LEG</t>
  </si>
  <si>
    <t>AAPL</t>
  </si>
  <si>
    <t>AAL</t>
  </si>
  <si>
    <t>BMRC</t>
  </si>
  <si>
    <t>MLR</t>
  </si>
  <si>
    <t>P</t>
  </si>
  <si>
    <t>PLPC</t>
  </si>
  <si>
    <t>SGI</t>
  </si>
  <si>
    <t>APH</t>
  </si>
  <si>
    <t>AGX</t>
  </si>
  <si>
    <t>BXSL</t>
  </si>
  <si>
    <t>LUXE</t>
  </si>
  <si>
    <t>BA</t>
  </si>
  <si>
    <t>MITK</t>
  </si>
  <si>
    <t>CARG</t>
  </si>
  <si>
    <t>CAC</t>
  </si>
  <si>
    <t>ERIC</t>
  </si>
  <si>
    <t>PRG</t>
  </si>
  <si>
    <t>ANET</t>
  </si>
  <si>
    <t>CARR</t>
  </si>
  <si>
    <t>WTW</t>
  </si>
  <si>
    <t>SVV</t>
  </si>
  <si>
    <t>IONQ</t>
  </si>
  <si>
    <t>VACI</t>
  </si>
  <si>
    <t>TEX</t>
  </si>
  <si>
    <t>TCOM</t>
  </si>
  <si>
    <t>RGTI</t>
  </si>
  <si>
    <t>FLY</t>
  </si>
  <si>
    <t>HASI</t>
  </si>
  <si>
    <t>TM</t>
  </si>
  <si>
    <t>WYFI</t>
  </si>
  <si>
    <t>GSBD</t>
  </si>
  <si>
    <t>NMM</t>
  </si>
  <si>
    <t>TDC</t>
  </si>
  <si>
    <t>DBI</t>
  </si>
  <si>
    <t>RNG</t>
  </si>
  <si>
    <t>MAIN</t>
  </si>
  <si>
    <t>ATRO</t>
  </si>
  <si>
    <t>AVY</t>
  </si>
  <si>
    <t>ITRN</t>
  </si>
  <si>
    <t>DRS</t>
  </si>
  <si>
    <t>GAP</t>
  </si>
  <si>
    <t>ATI</t>
  </si>
  <si>
    <t>CRUS</t>
  </si>
  <si>
    <t>BKE</t>
  </si>
  <si>
    <t>RXO</t>
  </si>
  <si>
    <t>Trucking</t>
  </si>
  <si>
    <t>EXTR</t>
  </si>
  <si>
    <t>LULU</t>
  </si>
  <si>
    <t>PNNT</t>
  </si>
  <si>
    <t>BWMN</t>
  </si>
  <si>
    <t>NYAX</t>
  </si>
  <si>
    <t>QBTS</t>
  </si>
  <si>
    <t>XZO</t>
  </si>
  <si>
    <t>RR</t>
  </si>
  <si>
    <t>WWW</t>
  </si>
  <si>
    <t>MCHP</t>
  </si>
  <si>
    <t>CODI</t>
  </si>
  <si>
    <t>HD</t>
  </si>
  <si>
    <t>BBDC</t>
  </si>
  <si>
    <t>FROG</t>
  </si>
  <si>
    <t>DASH</t>
  </si>
  <si>
    <t>IPGP</t>
  </si>
  <si>
    <t>BNS</t>
  </si>
  <si>
    <t>TLS</t>
  </si>
  <si>
    <t>VMI</t>
  </si>
  <si>
    <t>JOUT</t>
  </si>
  <si>
    <t>OBDC</t>
  </si>
  <si>
    <t>ESE</t>
  </si>
  <si>
    <t>FTAI</t>
  </si>
  <si>
    <t>XPOF</t>
  </si>
  <si>
    <t>ARM</t>
  </si>
  <si>
    <t>RJF</t>
  </si>
  <si>
    <t>CPRI</t>
  </si>
  <si>
    <t>INDI</t>
  </si>
  <si>
    <t>EVLV</t>
  </si>
  <si>
    <t>ALGM</t>
  </si>
  <si>
    <t>NCDL</t>
  </si>
  <si>
    <t>SKY</t>
  </si>
  <si>
    <t>KFRC</t>
  </si>
  <si>
    <t>Staffing &amp; Employment Services</t>
  </si>
  <si>
    <t>ATEN</t>
  </si>
  <si>
    <t>TOL</t>
  </si>
  <si>
    <t>ROAD</t>
  </si>
  <si>
    <t>MFIC</t>
  </si>
  <si>
    <t>VNET</t>
  </si>
  <si>
    <t>NVR</t>
  </si>
  <si>
    <t>HEI</t>
  </si>
  <si>
    <t>PNFP</t>
  </si>
  <si>
    <t>TXN</t>
  </si>
  <si>
    <t>WYNN</t>
  </si>
  <si>
    <t>NATL</t>
  </si>
  <si>
    <t>NMR</t>
  </si>
  <si>
    <t>LVS</t>
  </si>
  <si>
    <t>NTCT</t>
  </si>
  <si>
    <t>ESQ</t>
  </si>
  <si>
    <t>LOAR</t>
  </si>
  <si>
    <t>NCLH</t>
  </si>
  <si>
    <t>AVT</t>
  </si>
  <si>
    <t>CWST</t>
  </si>
  <si>
    <t>Waste Management</t>
  </si>
  <si>
    <t>FNB</t>
  </si>
  <si>
    <t>FIGS</t>
  </si>
  <si>
    <t>GEV</t>
  </si>
  <si>
    <t>BURL</t>
  </si>
  <si>
    <t>NVDA</t>
  </si>
  <si>
    <t>NMFC</t>
  </si>
  <si>
    <t>RBC</t>
  </si>
  <si>
    <t>LVWR</t>
  </si>
  <si>
    <t>CSIQ</t>
  </si>
  <si>
    <t>SHBI</t>
  </si>
  <si>
    <t>DCO</t>
  </si>
  <si>
    <t>ETD</t>
  </si>
  <si>
    <t>SLAB</t>
  </si>
  <si>
    <t>INTR</t>
  </si>
  <si>
    <t>SKYX</t>
  </si>
  <si>
    <t>NEGG</t>
  </si>
  <si>
    <t>TWLO</t>
  </si>
  <si>
    <t>MLI</t>
  </si>
  <si>
    <t>BRCB</t>
  </si>
  <si>
    <t>AIG</t>
  </si>
  <si>
    <t>AOSL</t>
  </si>
  <si>
    <t>ULTA</t>
  </si>
  <si>
    <t>LNC</t>
  </si>
  <si>
    <t>CEVA</t>
  </si>
  <si>
    <t>BWMX</t>
  </si>
  <si>
    <t>MFI</t>
  </si>
  <si>
    <t>AB</t>
  </si>
  <si>
    <t>CTRN</t>
  </si>
  <si>
    <t>CMRE</t>
  </si>
  <si>
    <t>ENTG</t>
  </si>
  <si>
    <t>CBSH</t>
  </si>
  <si>
    <t>VOYG</t>
  </si>
  <si>
    <t>DDD</t>
  </si>
  <si>
    <t>ZION</t>
  </si>
  <si>
    <t>GE</t>
  </si>
  <si>
    <t>DDOG</t>
  </si>
  <si>
    <t>RGA</t>
  </si>
  <si>
    <t>Insurance - Reinsurance</t>
  </si>
  <si>
    <t>BGSI</t>
  </si>
  <si>
    <t>BKTI</t>
  </si>
  <si>
    <t>NSP</t>
  </si>
  <si>
    <t>BAC</t>
  </si>
  <si>
    <t>XPEL</t>
  </si>
  <si>
    <t>ST</t>
  </si>
  <si>
    <t>SWK</t>
  </si>
  <si>
    <t>MBWM</t>
  </si>
  <si>
    <t>AMBQ</t>
  </si>
  <si>
    <t>UAL</t>
  </si>
  <si>
    <t>GPC</t>
  </si>
  <si>
    <t>BHB</t>
  </si>
  <si>
    <t>AZO</t>
  </si>
  <si>
    <t>ADTN</t>
  </si>
  <si>
    <t>HEI.A</t>
  </si>
  <si>
    <t>EVTL</t>
  </si>
  <si>
    <t>AMWD</t>
  </si>
  <si>
    <t>UCB</t>
  </si>
  <si>
    <t>AVGO</t>
  </si>
  <si>
    <t>MBC</t>
  </si>
  <si>
    <t>HXL</t>
  </si>
  <si>
    <t>CSCO</t>
  </si>
  <si>
    <t>FSBW</t>
  </si>
  <si>
    <t>CPNG</t>
  </si>
  <si>
    <t>ATKR</t>
  </si>
  <si>
    <t>SNX</t>
  </si>
  <si>
    <t>KEY</t>
  </si>
  <si>
    <t>GDEN</t>
  </si>
  <si>
    <t>CP</t>
  </si>
  <si>
    <t>DGII</t>
  </si>
  <si>
    <t>CIB</t>
  </si>
  <si>
    <t>PTLO</t>
  </si>
  <si>
    <t>KAI</t>
  </si>
  <si>
    <t>ALNT</t>
  </si>
  <si>
    <t>NATH</t>
  </si>
  <si>
    <t>GD</t>
  </si>
  <si>
    <t>BSAC</t>
  </si>
  <si>
    <t>ALMU</t>
  </si>
  <si>
    <t>DPZ</t>
  </si>
  <si>
    <t>UNP</t>
  </si>
  <si>
    <t>AKAM</t>
  </si>
  <si>
    <t>BCH</t>
  </si>
  <si>
    <t>WING</t>
  </si>
  <si>
    <t>DE</t>
  </si>
  <si>
    <t>PLXS</t>
  </si>
  <si>
    <t>CAVA</t>
  </si>
  <si>
    <t>PBI</t>
  </si>
  <si>
    <t>SOFI</t>
  </si>
  <si>
    <t>VISN</t>
  </si>
  <si>
    <t>TRIP</t>
  </si>
  <si>
    <t>GRC</t>
  </si>
  <si>
    <t>GCT</t>
  </si>
  <si>
    <t>NAVI</t>
  </si>
  <si>
    <t>CNH</t>
  </si>
  <si>
    <t>ASML</t>
  </si>
  <si>
    <t>ESEA</t>
  </si>
  <si>
    <t>OCSL</t>
  </si>
  <si>
    <t>SYNA</t>
  </si>
  <si>
    <t>TNET</t>
  </si>
  <si>
    <t>ARCC</t>
  </si>
  <si>
    <t>JBL</t>
  </si>
  <si>
    <t>HTLD</t>
  </si>
  <si>
    <t>ROG</t>
  </si>
  <si>
    <t>CSWC</t>
  </si>
  <si>
    <t>NBIX</t>
  </si>
  <si>
    <t>Drug Manufacturers - Specialty &amp; Generic</t>
  </si>
  <si>
    <t>LFUS</t>
  </si>
  <si>
    <t>WSBC</t>
  </si>
  <si>
    <t>OSCR</t>
  </si>
  <si>
    <t>Healthcare Plans</t>
  </si>
  <si>
    <t>CGNX</t>
  </si>
  <si>
    <t>AER</t>
  </si>
  <si>
    <t>CNC</t>
  </si>
  <si>
    <t>STBA</t>
  </si>
  <si>
    <t>TSM</t>
  </si>
  <si>
    <t>AIRO</t>
  </si>
  <si>
    <t>CVS</t>
  </si>
  <si>
    <t>HTB</t>
  </si>
  <si>
    <t>ISSC</t>
  </si>
  <si>
    <t>DIOD</t>
  </si>
  <si>
    <t>NVCR</t>
  </si>
  <si>
    <t>Medical Devices</t>
  </si>
  <si>
    <t>FULT</t>
  </si>
  <si>
    <t>RTX</t>
  </si>
  <si>
    <t>DELL</t>
  </si>
  <si>
    <t>CLOV</t>
  </si>
  <si>
    <t>HON</t>
  </si>
  <si>
    <t>FCNCA</t>
  </si>
  <si>
    <t>GH</t>
  </si>
  <si>
    <t>Diagnostics &amp; Research</t>
  </si>
  <si>
    <t>KEYS</t>
  </si>
  <si>
    <t>SOLV</t>
  </si>
  <si>
    <t>Medical Instruments &amp; Supplies</t>
  </si>
  <si>
    <t>FRME</t>
  </si>
  <si>
    <t>UMC</t>
  </si>
  <si>
    <t>LNTH</t>
  </si>
  <si>
    <t>SBCF</t>
  </si>
  <si>
    <t>SHLS</t>
  </si>
  <si>
    <t>NVO</t>
  </si>
  <si>
    <t>Drug Manufacturers - General</t>
  </si>
  <si>
    <t>DAL</t>
  </si>
  <si>
    <t>FITB</t>
  </si>
  <si>
    <t>NHC</t>
  </si>
  <si>
    <t>Medical Care Facilities</t>
  </si>
  <si>
    <t>FSLY</t>
  </si>
  <si>
    <t>ATS</t>
  </si>
  <si>
    <t>CON</t>
  </si>
  <si>
    <t>BBD</t>
  </si>
  <si>
    <t>IEX</t>
  </si>
  <si>
    <t>MPWR</t>
  </si>
  <si>
    <t>DVA</t>
  </si>
  <si>
    <t>LPLA</t>
  </si>
  <si>
    <t>SPIR</t>
  </si>
  <si>
    <t>ADEA</t>
  </si>
  <si>
    <t>MAS</t>
  </si>
  <si>
    <t>COF</t>
  </si>
  <si>
    <t>CORZ</t>
  </si>
  <si>
    <t>HUM</t>
  </si>
  <si>
    <t>MATX</t>
  </si>
  <si>
    <t>SYF</t>
  </si>
  <si>
    <t>RMBS</t>
  </si>
  <si>
    <t>BTSG</t>
  </si>
  <si>
    <t>Health Information Services</t>
  </si>
  <si>
    <t>LUV</t>
  </si>
  <si>
    <t>AXP</t>
  </si>
  <si>
    <t>HIMX</t>
  </si>
  <si>
    <t>AGL</t>
  </si>
  <si>
    <t>WTS</t>
  </si>
  <si>
    <t>KLAC</t>
  </si>
  <si>
    <t>SLM</t>
  </si>
  <si>
    <t>BRKR</t>
  </si>
  <si>
    <t>KELYA</t>
  </si>
  <si>
    <t>PDFS</t>
  </si>
  <si>
    <t>ILMN</t>
  </si>
  <si>
    <t>TREE</t>
  </si>
  <si>
    <t>CCEC</t>
  </si>
  <si>
    <t>STM</t>
  </si>
  <si>
    <t>DOCS</t>
  </si>
  <si>
    <t>CW</t>
  </si>
  <si>
    <t>PRI</t>
  </si>
  <si>
    <t>LSCC</t>
  </si>
  <si>
    <t>KNSA</t>
  </si>
  <si>
    <t>IIIN</t>
  </si>
  <si>
    <t>VEL</t>
  </si>
  <si>
    <t>YOU</t>
  </si>
  <si>
    <t>VSEC</t>
  </si>
  <si>
    <t>SAIA</t>
  </si>
  <si>
    <t>ABAT</t>
  </si>
  <si>
    <t>EOLS</t>
  </si>
  <si>
    <t>RYAAY</t>
  </si>
  <si>
    <t>UNH</t>
  </si>
  <si>
    <t>SAR</t>
  </si>
  <si>
    <t>GBDC</t>
  </si>
  <si>
    <t>ELV</t>
  </si>
  <si>
    <t>PLAB</t>
  </si>
  <si>
    <t>SHMD</t>
  </si>
  <si>
    <t>JHG</t>
  </si>
  <si>
    <t>NRC</t>
  </si>
  <si>
    <t>NXT</t>
  </si>
  <si>
    <t>LTM</t>
  </si>
  <si>
    <t>DBRG</t>
  </si>
  <si>
    <t>PRCT</t>
  </si>
  <si>
    <t>VSH</t>
  </si>
  <si>
    <t>WAB</t>
  </si>
  <si>
    <t>ALKS</t>
  </si>
  <si>
    <t>INOD</t>
  </si>
  <si>
    <t>WFC</t>
  </si>
  <si>
    <t>PACS</t>
  </si>
  <si>
    <t>HII</t>
  </si>
  <si>
    <t>PENG</t>
  </si>
  <si>
    <t>NFBK</t>
  </si>
  <si>
    <t>CTEV</t>
  </si>
  <si>
    <t>LHX</t>
  </si>
  <si>
    <t>AMN</t>
  </si>
  <si>
    <t>CBU</t>
  </si>
  <si>
    <t>LMT</t>
  </si>
  <si>
    <t>PGNY</t>
  </si>
  <si>
    <t>COSO</t>
  </si>
  <si>
    <t>ACLS</t>
  </si>
  <si>
    <t>LIVN</t>
  </si>
  <si>
    <t>SBC</t>
  </si>
  <si>
    <t>Consulting Services</t>
  </si>
  <si>
    <t>BLLN</t>
  </si>
  <si>
    <t>UBSI</t>
  </si>
  <si>
    <t>GILT</t>
  </si>
  <si>
    <t>AERO</t>
  </si>
  <si>
    <t>ASTH</t>
  </si>
  <si>
    <t>ALAB</t>
  </si>
  <si>
    <t>ALGT</t>
  </si>
  <si>
    <t>CLPT</t>
  </si>
  <si>
    <t>HOMB</t>
  </si>
  <si>
    <t>CAMT</t>
  </si>
  <si>
    <t>CVLG</t>
  </si>
  <si>
    <t>LMRI</t>
  </si>
  <si>
    <t>USB</t>
  </si>
  <si>
    <t>LII</t>
  </si>
  <si>
    <t>AMAT</t>
  </si>
  <si>
    <t>BIIB</t>
  </si>
  <si>
    <t>INDB</t>
  </si>
  <si>
    <t>TFII</t>
  </si>
  <si>
    <t>COHU</t>
  </si>
  <si>
    <t>STAA</t>
  </si>
  <si>
    <t>MTB</t>
  </si>
  <si>
    <t>NOK</t>
  </si>
  <si>
    <t>SKYW</t>
  </si>
  <si>
    <t>CI</t>
  </si>
  <si>
    <t>PNC</t>
  </si>
  <si>
    <t>NVMI</t>
  </si>
  <si>
    <t>TDG</t>
  </si>
  <si>
    <t>HNGE</t>
  </si>
  <si>
    <t>RF</t>
  </si>
  <si>
    <t>IMOS</t>
  </si>
  <si>
    <t>JBTM</t>
  </si>
  <si>
    <t>SRTA</t>
  </si>
  <si>
    <t>CFR</t>
  </si>
  <si>
    <t>ONTO</t>
  </si>
  <si>
    <t>CLH</t>
  </si>
  <si>
    <t>WAT</t>
  </si>
  <si>
    <t>BHF</t>
  </si>
  <si>
    <t>ACMR</t>
  </si>
  <si>
    <t>OTTR</t>
  </si>
  <si>
    <t>PNTG</t>
  </si>
  <si>
    <t>HMN</t>
  </si>
  <si>
    <t>RCAT</t>
  </si>
  <si>
    <t>CRDO</t>
  </si>
  <si>
    <t>EVH</t>
  </si>
  <si>
    <t>TRV</t>
  </si>
  <si>
    <t>UNF</t>
  </si>
  <si>
    <t>VTRS</t>
  </si>
  <si>
    <t>VELO</t>
  </si>
  <si>
    <t>PRA</t>
  </si>
  <si>
    <t>NVRI</t>
  </si>
  <si>
    <t>GRAL</t>
  </si>
  <si>
    <t>MRVL</t>
  </si>
  <si>
    <t>WERN</t>
  </si>
  <si>
    <t>LFST</t>
  </si>
  <si>
    <t>CNA</t>
  </si>
  <si>
    <t>SANM</t>
  </si>
  <si>
    <t>SMR</t>
  </si>
  <si>
    <t>VECO</t>
  </si>
  <si>
    <t>IART</t>
  </si>
  <si>
    <t>RLI</t>
  </si>
  <si>
    <t>MGRC</t>
  </si>
  <si>
    <t>SEDG</t>
  </si>
  <si>
    <t>L</t>
  </si>
  <si>
    <t>UFPT</t>
  </si>
  <si>
    <t>AXON</t>
  </si>
  <si>
    <t>UMAC</t>
  </si>
  <si>
    <t>ORI</t>
  </si>
  <si>
    <t>GTES</t>
  </si>
  <si>
    <t>GDRX</t>
  </si>
  <si>
    <t>MTSI</t>
  </si>
  <si>
    <t>KNSL</t>
  </si>
  <si>
    <t>ANPA</t>
  </si>
  <si>
    <t>SGHT</t>
  </si>
  <si>
    <t>KLIC</t>
  </si>
  <si>
    <t>EG</t>
  </si>
  <si>
    <t>HSTM</t>
  </si>
  <si>
    <t>RRX</t>
  </si>
  <si>
    <t>TSAT</t>
  </si>
  <si>
    <t>RNR</t>
  </si>
  <si>
    <t>LAB</t>
  </si>
  <si>
    <t>ZWS</t>
  </si>
  <si>
    <t>FEIM</t>
  </si>
  <si>
    <t>GKOS</t>
  </si>
  <si>
    <t>TRNS</t>
  </si>
  <si>
    <t>OUST</t>
  </si>
  <si>
    <t>AXS</t>
  </si>
  <si>
    <t>CR</t>
  </si>
  <si>
    <t>CLS</t>
  </si>
  <si>
    <t>WRBY</t>
  </si>
  <si>
    <t>AGO</t>
  </si>
  <si>
    <t>PRIM</t>
  </si>
  <si>
    <t>NUTX</t>
  </si>
  <si>
    <t>FLEX</t>
  </si>
  <si>
    <t>BRO</t>
  </si>
  <si>
    <t>AMPX</t>
  </si>
  <si>
    <t>VCYT</t>
  </si>
  <si>
    <t>DMAA</t>
  </si>
  <si>
    <t>LRCX</t>
  </si>
  <si>
    <t>NSC</t>
  </si>
  <si>
    <t>IEAGU</t>
  </si>
  <si>
    <t>TOI</t>
  </si>
  <si>
    <t>POET</t>
  </si>
  <si>
    <t>ESLT</t>
  </si>
  <si>
    <t>LLY</t>
  </si>
  <si>
    <t>CEPF</t>
  </si>
  <si>
    <t>BELFB</t>
  </si>
  <si>
    <t>KRMN</t>
  </si>
  <si>
    <t>OWLT</t>
  </si>
  <si>
    <t>BCSS</t>
  </si>
  <si>
    <t>SEB</t>
  </si>
  <si>
    <t>ASTS</t>
  </si>
  <si>
    <t>STVN</t>
  </si>
  <si>
    <t>CUB</t>
  </si>
  <si>
    <t>TATT</t>
  </si>
  <si>
    <t>BELFA</t>
  </si>
  <si>
    <t>ETON</t>
  </si>
  <si>
    <t>FCRS</t>
  </si>
  <si>
    <t>LZ</t>
  </si>
  <si>
    <t>MKSI</t>
  </si>
  <si>
    <t>RVTY</t>
  </si>
  <si>
    <t>DRDB</t>
  </si>
  <si>
    <t>CNI</t>
  </si>
  <si>
    <t>SMTC</t>
  </si>
  <si>
    <t>KIDS</t>
  </si>
  <si>
    <t>FERA</t>
  </si>
  <si>
    <t>NOC</t>
  </si>
  <si>
    <t>AMKR</t>
  </si>
  <si>
    <t>TDOC</t>
  </si>
  <si>
    <t>RSG</t>
  </si>
  <si>
    <t>PMTR</t>
  </si>
  <si>
    <t>KOPN</t>
  </si>
  <si>
    <t>CERS</t>
  </si>
  <si>
    <t>TNC</t>
  </si>
  <si>
    <t>KOYN</t>
  </si>
  <si>
    <t>ESPR</t>
  </si>
  <si>
    <t>VPG</t>
  </si>
  <si>
    <t>AAM</t>
  </si>
  <si>
    <t>TITN</t>
  </si>
  <si>
    <t>BIOA</t>
  </si>
  <si>
    <t>BEAG</t>
  </si>
  <si>
    <t>AMD</t>
  </si>
  <si>
    <t>FLYX</t>
  </si>
  <si>
    <t>TEVA</t>
  </si>
  <si>
    <t>BIXI</t>
  </si>
  <si>
    <t>SITM</t>
  </si>
  <si>
    <t>GBX</t>
  </si>
  <si>
    <t>WST</t>
  </si>
  <si>
    <t>BLZR</t>
  </si>
  <si>
    <t>LPX</t>
  </si>
  <si>
    <t>BAND</t>
  </si>
  <si>
    <t>INDV</t>
  </si>
  <si>
    <t>CAAP</t>
  </si>
  <si>
    <t>CEPV</t>
  </si>
  <si>
    <t>FORM</t>
  </si>
  <si>
    <t>DCTH</t>
  </si>
  <si>
    <t>CRAN</t>
  </si>
  <si>
    <t>CPA</t>
  </si>
  <si>
    <t>CMCO</t>
  </si>
  <si>
    <t>ICLR</t>
  </si>
  <si>
    <t>SKYT</t>
  </si>
  <si>
    <t>GIW</t>
  </si>
  <si>
    <t>GXO</t>
  </si>
  <si>
    <t>GRAF</t>
  </si>
  <si>
    <t>PLSE</t>
  </si>
  <si>
    <t>UCTT</t>
  </si>
  <si>
    <t>BLD</t>
  </si>
  <si>
    <t>GTEN</t>
  </si>
  <si>
    <t>OMCL</t>
  </si>
  <si>
    <t>SIMO</t>
  </si>
  <si>
    <t>TREX</t>
  </si>
  <si>
    <t>HCMA</t>
  </si>
  <si>
    <t>BWAY</t>
  </si>
  <si>
    <t>ICHR</t>
  </si>
  <si>
    <t>KRNT</t>
  </si>
  <si>
    <t>MOH</t>
  </si>
  <si>
    <t>IPCX</t>
  </si>
  <si>
    <t>TER</t>
  </si>
  <si>
    <t>CRON</t>
  </si>
  <si>
    <t>FDX</t>
  </si>
  <si>
    <t>ENOV</t>
  </si>
  <si>
    <t>TACO</t>
  </si>
  <si>
    <t>AIP</t>
  </si>
  <si>
    <t>AXGN</t>
  </si>
  <si>
    <t>AGCO</t>
  </si>
  <si>
    <t>WENN</t>
  </si>
  <si>
    <t>LPTH</t>
  </si>
  <si>
    <t>MD</t>
  </si>
  <si>
    <t>ASR</t>
  </si>
  <si>
    <t>COHR</t>
  </si>
  <si>
    <t>CCII</t>
  </si>
  <si>
    <t>EHC</t>
  </si>
  <si>
    <t>CRAI</t>
  </si>
  <si>
    <t>THC</t>
  </si>
  <si>
    <t>INTC</t>
  </si>
  <si>
    <t>EVAC</t>
  </si>
  <si>
    <t>DOCN</t>
  </si>
  <si>
    <t>AVAH</t>
  </si>
  <si>
    <t>QUAD</t>
  </si>
  <si>
    <t>APXT</t>
  </si>
  <si>
    <t>VIAV</t>
  </si>
  <si>
    <t>AVAV</t>
  </si>
  <si>
    <t>CMPS</t>
  </si>
  <si>
    <t>RNGT</t>
  </si>
  <si>
    <t>TTMI</t>
  </si>
  <si>
    <t>FLR</t>
  </si>
  <si>
    <t>COLL</t>
  </si>
  <si>
    <t>KBONU</t>
  </si>
  <si>
    <t>NBIS</t>
  </si>
  <si>
    <t>ACTG</t>
  </si>
  <si>
    <t>OGN</t>
  </si>
  <si>
    <t>KKR</t>
  </si>
  <si>
    <t>LASR</t>
  </si>
  <si>
    <t>TBRG</t>
  </si>
  <si>
    <t>PH</t>
  </si>
  <si>
    <t>OMDA</t>
  </si>
  <si>
    <t>MRAM</t>
  </si>
  <si>
    <t>JCI</t>
  </si>
  <si>
    <t>BGC</t>
  </si>
  <si>
    <t>SIBN</t>
  </si>
  <si>
    <t>APLD</t>
  </si>
  <si>
    <t>WM</t>
  </si>
  <si>
    <t>SAN</t>
  </si>
  <si>
    <t>HCSG</t>
  </si>
  <si>
    <t>VICR</t>
  </si>
  <si>
    <t>PKE</t>
  </si>
  <si>
    <t>QFIN</t>
  </si>
  <si>
    <t>ADUS</t>
  </si>
  <si>
    <t>AEBI</t>
  </si>
  <si>
    <t>VSAT</t>
  </si>
  <si>
    <t>MSDL</t>
  </si>
  <si>
    <t>SNDA</t>
  </si>
  <si>
    <t>SNCY</t>
  </si>
  <si>
    <t>NBBK</t>
  </si>
  <si>
    <t>TSEM</t>
  </si>
  <si>
    <t>KMTS</t>
  </si>
  <si>
    <t>AIR</t>
  </si>
  <si>
    <t>LPAA</t>
  </si>
  <si>
    <t>CIEN</t>
  </si>
  <si>
    <t>ARDT</t>
  </si>
  <si>
    <t>LECO</t>
  </si>
  <si>
    <t>PDLB</t>
  </si>
  <si>
    <t>CHE</t>
  </si>
  <si>
    <t>NUAI</t>
  </si>
  <si>
    <t>R</t>
  </si>
  <si>
    <t>EVOX</t>
  </si>
  <si>
    <t>IQV</t>
  </si>
  <si>
    <t>STX</t>
  </si>
  <si>
    <t>JBHT</t>
  </si>
  <si>
    <t>AUB</t>
  </si>
  <si>
    <t>NEO</t>
  </si>
  <si>
    <t>AHG</t>
  </si>
  <si>
    <t>Medical Distribution</t>
  </si>
  <si>
    <t>MU</t>
  </si>
  <si>
    <t>NX</t>
  </si>
  <si>
    <t>FFIN</t>
  </si>
  <si>
    <t>PHR</t>
  </si>
  <si>
    <t>TRC</t>
  </si>
  <si>
    <t>MXL</t>
  </si>
  <si>
    <t>ESTA</t>
  </si>
  <si>
    <t>SF</t>
  </si>
  <si>
    <t>MRTN</t>
  </si>
  <si>
    <t>WDC</t>
  </si>
  <si>
    <t>SDGR</t>
  </si>
  <si>
    <t>SBSI</t>
  </si>
  <si>
    <t>WEAV</t>
  </si>
  <si>
    <t>MOG.A</t>
  </si>
  <si>
    <t>AAOI</t>
  </si>
  <si>
    <t>SFBS</t>
  </si>
  <si>
    <t>AMRN</t>
  </si>
  <si>
    <t>OMAB</t>
  </si>
  <si>
    <t>NVTS</t>
  </si>
  <si>
    <t>TSLX</t>
  </si>
  <si>
    <t>FLGT</t>
  </si>
  <si>
    <t>BOC</t>
  </si>
  <si>
    <t>ONDS</t>
  </si>
  <si>
    <t>CHCO</t>
  </si>
  <si>
    <t>EH</t>
  </si>
  <si>
    <t>CARL</t>
  </si>
  <si>
    <t>AEHR</t>
  </si>
  <si>
    <t>CHRW</t>
  </si>
  <si>
    <t>TW</t>
  </si>
  <si>
    <t>SI</t>
  </si>
  <si>
    <t>LITE</t>
  </si>
  <si>
    <t>BXC</t>
  </si>
  <si>
    <t>ALVO</t>
  </si>
  <si>
    <t>OPY</t>
  </si>
  <si>
    <t>WOLF</t>
  </si>
  <si>
    <t>MSA</t>
  </si>
  <si>
    <t>GILD</t>
  </si>
  <si>
    <t>LPBB</t>
  </si>
  <si>
    <t>SXI</t>
  </si>
  <si>
    <t>SNDK</t>
  </si>
  <si>
    <t>CDNA</t>
  </si>
  <si>
    <t>ENR</t>
  </si>
  <si>
    <t>BNT</t>
  </si>
  <si>
    <t>AXTI</t>
  </si>
  <si>
    <t>PSNL</t>
  </si>
  <si>
    <t>BCO</t>
  </si>
  <si>
    <t>HTGC</t>
  </si>
  <si>
    <t>BAX</t>
  </si>
  <si>
    <t>DXC</t>
  </si>
  <si>
    <t>BAH</t>
  </si>
  <si>
    <t>BBVA</t>
  </si>
  <si>
    <t>SUPN</t>
  </si>
  <si>
    <t>SNDR</t>
  </si>
  <si>
    <t>KDK</t>
  </si>
  <si>
    <t>MSIF</t>
  </si>
  <si>
    <t>ABBV</t>
  </si>
  <si>
    <t>LSTR</t>
  </si>
  <si>
    <t>YB</t>
  </si>
  <si>
    <t>EBS</t>
  </si>
  <si>
    <t>BWB</t>
  </si>
  <si>
    <t>ALK</t>
  </si>
  <si>
    <t>KMDA</t>
  </si>
  <si>
    <t>GIB</t>
  </si>
  <si>
    <t>HG</t>
  </si>
  <si>
    <t>CSX</t>
  </si>
  <si>
    <t>ICUI</t>
  </si>
  <si>
    <t>IT</t>
  </si>
  <si>
    <t>FDS</t>
  </si>
  <si>
    <t>HY</t>
  </si>
  <si>
    <t>SENS</t>
  </si>
  <si>
    <t>LPL</t>
  </si>
  <si>
    <t>CRS</t>
  </si>
  <si>
    <t>SSII</t>
  </si>
  <si>
    <t>BETR</t>
  </si>
  <si>
    <t>GDS</t>
  </si>
  <si>
    <t>WWD</t>
  </si>
  <si>
    <t>AMGN</t>
  </si>
  <si>
    <t>FBNC</t>
  </si>
  <si>
    <t>OC</t>
  </si>
  <si>
    <t>CRM</t>
  </si>
  <si>
    <t>TFSL</t>
  </si>
  <si>
    <t>AVTR</t>
  </si>
  <si>
    <t>FBYD</t>
  </si>
  <si>
    <t>NET</t>
  </si>
  <si>
    <t>BRBS</t>
  </si>
  <si>
    <t>NL</t>
  </si>
  <si>
    <t>BVS</t>
  </si>
  <si>
    <t>BMI</t>
  </si>
  <si>
    <t>MSCI</t>
  </si>
  <si>
    <t>AMTM</t>
  </si>
  <si>
    <t>BOX</t>
  </si>
  <si>
    <t>GEHC</t>
  </si>
  <si>
    <t>CCAP</t>
  </si>
  <si>
    <t>RBA</t>
  </si>
  <si>
    <t>U</t>
  </si>
  <si>
    <t>TFX</t>
  </si>
  <si>
    <t>MATW</t>
  </si>
  <si>
    <t>TMP</t>
  </si>
  <si>
    <t>ADI</t>
  </si>
  <si>
    <t>FMS</t>
  </si>
  <si>
    <t>YDDL</t>
  </si>
  <si>
    <t>KRNY</t>
  </si>
  <si>
    <t>KN</t>
  </si>
  <si>
    <t>CYH</t>
  </si>
  <si>
    <t>CPRT</t>
  </si>
  <si>
    <t>GBLI</t>
  </si>
  <si>
    <t>MDB</t>
  </si>
  <si>
    <t>PHG</t>
  </si>
  <si>
    <t>TPC</t>
  </si>
  <si>
    <t>WTM</t>
  </si>
  <si>
    <t>FIG</t>
  </si>
  <si>
    <t>ACHC</t>
  </si>
  <si>
    <t>OFLX</t>
  </si>
  <si>
    <t>TIPT</t>
  </si>
  <si>
    <t>BB</t>
  </si>
  <si>
    <t>DXCM</t>
  </si>
  <si>
    <t>KTOS</t>
  </si>
  <si>
    <t>KRSP</t>
  </si>
  <si>
    <t>OFIX</t>
  </si>
  <si>
    <t>GFS</t>
  </si>
  <si>
    <t>ADSE</t>
  </si>
  <si>
    <t>QDEL</t>
  </si>
  <si>
    <t>ICE</t>
  </si>
  <si>
    <t>BHE</t>
  </si>
  <si>
    <t>ERII</t>
  </si>
  <si>
    <t>UHS</t>
  </si>
  <si>
    <t>OS</t>
  </si>
  <si>
    <t>MC</t>
  </si>
  <si>
    <t>MIR</t>
  </si>
  <si>
    <t>ZBH</t>
  </si>
  <si>
    <t>CTLP</t>
  </si>
  <si>
    <t>TCMD</t>
  </si>
  <si>
    <t>TT</t>
  </si>
  <si>
    <t>GLW</t>
  </si>
  <si>
    <t>IRWD</t>
  </si>
  <si>
    <t>ASIC</t>
  </si>
  <si>
    <t>IBM</t>
  </si>
  <si>
    <t>MMM</t>
  </si>
  <si>
    <t>COR</t>
  </si>
  <si>
    <t>ON</t>
  </si>
  <si>
    <t>VRTS</t>
  </si>
  <si>
    <t>BWXT</t>
  </si>
  <si>
    <t>QTRX</t>
  </si>
  <si>
    <t>FN</t>
  </si>
  <si>
    <t>PCAR</t>
  </si>
  <si>
    <t>PODD</t>
  </si>
  <si>
    <t>NWG</t>
  </si>
  <si>
    <t>HPE</t>
  </si>
  <si>
    <t>CAR</t>
  </si>
  <si>
    <t>NTRA</t>
  </si>
  <si>
    <t>NWFL</t>
  </si>
  <si>
    <t>ZS</t>
  </si>
  <si>
    <t>OTIS</t>
  </si>
  <si>
    <t>UTHR</t>
  </si>
  <si>
    <t>FSUN</t>
  </si>
  <si>
    <t>Q</t>
  </si>
  <si>
    <t>SWBI</t>
  </si>
  <si>
    <t>AZN</t>
  </si>
  <si>
    <t>ASX</t>
  </si>
  <si>
    <t>MS</t>
  </si>
  <si>
    <t>RGR</t>
  </si>
  <si>
    <t>SGRY</t>
  </si>
  <si>
    <t>GPN</t>
  </si>
  <si>
    <t>ACT</t>
  </si>
  <si>
    <t>LMB</t>
  </si>
  <si>
    <t>BDX</t>
  </si>
  <si>
    <t>BR</t>
  </si>
  <si>
    <t>OFG</t>
  </si>
  <si>
    <t>FAST</t>
  </si>
  <si>
    <t>BNR</t>
  </si>
  <si>
    <t>GEN</t>
  </si>
  <si>
    <t>PFIS</t>
  </si>
  <si>
    <t>GIC</t>
  </si>
  <si>
    <t>ATEC</t>
  </si>
  <si>
    <t>ARW</t>
  </si>
  <si>
    <t>BMNR</t>
  </si>
  <si>
    <t>KEX</t>
  </si>
  <si>
    <t>UI</t>
  </si>
  <si>
    <t>ORGO</t>
  </si>
  <si>
    <t>PI</t>
  </si>
  <si>
    <t>NEWT</t>
  </si>
  <si>
    <t>VLTO</t>
  </si>
  <si>
    <t>NVS</t>
  </si>
  <si>
    <t>NN</t>
  </si>
  <si>
    <t>USPH</t>
  </si>
  <si>
    <t>ADT</t>
  </si>
  <si>
    <t>ORRF</t>
  </si>
  <si>
    <t>CCC</t>
  </si>
  <si>
    <t>MRK</t>
  </si>
  <si>
    <t>BFC</t>
  </si>
  <si>
    <t>CTAS</t>
  </si>
  <si>
    <t>GSK</t>
  </si>
  <si>
    <t>WCN</t>
  </si>
  <si>
    <t>FMNB</t>
  </si>
  <si>
    <t>ALHC</t>
  </si>
  <si>
    <t>CDRE</t>
  </si>
  <si>
    <t>KB</t>
  </si>
  <si>
    <t>ENSG</t>
  </si>
  <si>
    <t>DLO</t>
  </si>
  <si>
    <t>CAE</t>
  </si>
  <si>
    <t>FMAO</t>
  </si>
  <si>
    <t>SYK</t>
  </si>
  <si>
    <t>DSP</t>
  </si>
  <si>
    <t>JXN</t>
  </si>
  <si>
    <t>ROCK</t>
  </si>
  <si>
    <t>HIMS</t>
  </si>
  <si>
    <t>THFF</t>
  </si>
  <si>
    <t>EVI</t>
  </si>
  <si>
    <t>WGS</t>
  </si>
  <si>
    <t>FSBC</t>
  </si>
  <si>
    <t>KFY</t>
  </si>
  <si>
    <t>HTFL</t>
  </si>
  <si>
    <t>UHAL</t>
  </si>
  <si>
    <t>GOLD</t>
  </si>
  <si>
    <t>HAE</t>
  </si>
  <si>
    <t>GFF</t>
  </si>
  <si>
    <t>BCS</t>
  </si>
  <si>
    <t>BLCO</t>
  </si>
  <si>
    <t>SFM</t>
  </si>
  <si>
    <t>Grocery Stores</t>
  </si>
  <si>
    <t>HTZ</t>
  </si>
  <si>
    <t>MEDP</t>
  </si>
  <si>
    <t>GSBC</t>
  </si>
  <si>
    <t>PXED</t>
  </si>
  <si>
    <t>VLRS</t>
  </si>
  <si>
    <t>Education &amp; Training Services</t>
  </si>
  <si>
    <t>INMD</t>
  </si>
  <si>
    <t>TFIN</t>
  </si>
  <si>
    <t>LH</t>
  </si>
  <si>
    <t>PM</t>
  </si>
  <si>
    <t>Tobacco</t>
  </si>
  <si>
    <t>ARCB</t>
  </si>
  <si>
    <t>AKBA</t>
  </si>
  <si>
    <t>LINC</t>
  </si>
  <si>
    <t>HWC</t>
  </si>
  <si>
    <t>TXT</t>
  </si>
  <si>
    <t>VREX</t>
  </si>
  <si>
    <t>JBLU</t>
  </si>
  <si>
    <t>COCO</t>
  </si>
  <si>
    <t>Beverages - Non-Alcoholic</t>
  </si>
  <si>
    <t>NMIH</t>
  </si>
  <si>
    <t>NVST</t>
  </si>
  <si>
    <t>RHI</t>
  </si>
  <si>
    <t>HBNC</t>
  </si>
  <si>
    <t>DGX</t>
  </si>
  <si>
    <t>BTI</t>
  </si>
  <si>
    <t>BBCP</t>
  </si>
  <si>
    <t>JNJ</t>
  </si>
  <si>
    <t>BWFG</t>
  </si>
  <si>
    <t>WEST</t>
  </si>
  <si>
    <t>Packaged Foods</t>
  </si>
  <si>
    <t>FSS</t>
  </si>
  <si>
    <t>PFE</t>
  </si>
  <si>
    <t>APAM</t>
  </si>
  <si>
    <t>TPB</t>
  </si>
  <si>
    <t>EMR</t>
  </si>
  <si>
    <t>BMY</t>
  </si>
  <si>
    <t>PRMB</t>
  </si>
  <si>
    <t>MCBS</t>
  </si>
  <si>
    <t>TWI</t>
  </si>
  <si>
    <t>BCRX</t>
  </si>
  <si>
    <t>FMX</t>
  </si>
  <si>
    <t>Beverages - Brewers</t>
  </si>
  <si>
    <t>CCNE</t>
  </si>
  <si>
    <t>NPK</t>
  </si>
  <si>
    <t>SEM</t>
  </si>
  <si>
    <t>DAO</t>
  </si>
  <si>
    <t>RM</t>
  </si>
  <si>
    <t>CASS</t>
  </si>
  <si>
    <t>SNN</t>
  </si>
  <si>
    <t>ADM</t>
  </si>
  <si>
    <t>Farm Products</t>
  </si>
  <si>
    <t>AVBH</t>
  </si>
  <si>
    <t>MASI</t>
  </si>
  <si>
    <t>FER</t>
  </si>
  <si>
    <t>WILC</t>
  </si>
  <si>
    <t>Food Distribution</t>
  </si>
  <si>
    <t>BANC</t>
  </si>
  <si>
    <t>PEN</t>
  </si>
  <si>
    <t>APOG</t>
  </si>
  <si>
    <t>MNST</t>
  </si>
  <si>
    <t>BKU</t>
  </si>
  <si>
    <t>STE</t>
  </si>
  <si>
    <t>KLC</t>
  </si>
  <si>
    <t>BOH</t>
  </si>
  <si>
    <t>CBZ</t>
  </si>
  <si>
    <t>MDT</t>
  </si>
  <si>
    <t>EL</t>
  </si>
  <si>
    <t>Household &amp; Personal Products</t>
  </si>
  <si>
    <t>FFBC</t>
  </si>
  <si>
    <t>FCN</t>
  </si>
  <si>
    <t>BSX</t>
  </si>
  <si>
    <t>SJM</t>
  </si>
  <si>
    <t>FMBH</t>
  </si>
  <si>
    <t>HLMN</t>
  </si>
  <si>
    <t>ATRC</t>
  </si>
  <si>
    <t>PFGC</t>
  </si>
  <si>
    <t>SPNT</t>
  </si>
  <si>
    <t>ALC</t>
  </si>
  <si>
    <t>KE</t>
  </si>
  <si>
    <t>KHC</t>
  </si>
  <si>
    <t>SLP</t>
  </si>
  <si>
    <t>FCBC</t>
  </si>
  <si>
    <t>BUD</t>
  </si>
  <si>
    <t>ANGO</t>
  </si>
  <si>
    <t>AYI</t>
  </si>
  <si>
    <t>ONIT</t>
  </si>
  <si>
    <t>UNFI</t>
  </si>
  <si>
    <t>BLFS</t>
  </si>
  <si>
    <t>EPAC</t>
  </si>
  <si>
    <t>FRST</t>
  </si>
  <si>
    <t>MICC</t>
  </si>
  <si>
    <t>ITGR</t>
  </si>
  <si>
    <t>TTC</t>
  </si>
  <si>
    <t>FBP</t>
  </si>
  <si>
    <t>CHEF</t>
  </si>
  <si>
    <t>ANIP</t>
  </si>
  <si>
    <t>HUBG</t>
  </si>
  <si>
    <t>FNF</t>
  </si>
  <si>
    <t>MDLZ</t>
  </si>
  <si>
    <t>Confectioners</t>
  </si>
  <si>
    <t>CRL</t>
  </si>
  <si>
    <t>CXT</t>
  </si>
  <si>
    <t>CUBI</t>
  </si>
  <si>
    <t>KO</t>
  </si>
  <si>
    <t>DH</t>
  </si>
  <si>
    <t>UPS</t>
  </si>
  <si>
    <t>AMTB</t>
  </si>
  <si>
    <t>KDP</t>
  </si>
  <si>
    <t>VEEV</t>
  </si>
  <si>
    <t>LOB</t>
  </si>
  <si>
    <t>AGCC</t>
  </si>
  <si>
    <t>Beverages - Wineries &amp; Distilleries</t>
  </si>
  <si>
    <t>CSL</t>
  </si>
  <si>
    <t>PRGO</t>
  </si>
  <si>
    <t>FHB</t>
  </si>
  <si>
    <t>ABEV</t>
  </si>
  <si>
    <t>JBI</t>
  </si>
  <si>
    <t>AVNS</t>
  </si>
  <si>
    <t>NRIM</t>
  </si>
  <si>
    <t>TSN</t>
  </si>
  <si>
    <t>SHC</t>
  </si>
  <si>
    <t>AEIS</t>
  </si>
  <si>
    <t>MO</t>
  </si>
  <si>
    <t>TOWN</t>
  </si>
  <si>
    <t>EVO</t>
  </si>
  <si>
    <t>ITUB</t>
  </si>
  <si>
    <t>MAGN</t>
  </si>
  <si>
    <t>GPGI</t>
  </si>
  <si>
    <t>TWST</t>
  </si>
  <si>
    <t>LAUR</t>
  </si>
  <si>
    <t>UPST</t>
  </si>
  <si>
    <t>IRTC</t>
  </si>
  <si>
    <t>CXW</t>
  </si>
  <si>
    <t>UTI</t>
  </si>
  <si>
    <t>WU</t>
  </si>
  <si>
    <t>IRMD</t>
  </si>
  <si>
    <t>ZIM</t>
  </si>
  <si>
    <t>DAR</t>
  </si>
  <si>
    <t>PLMR</t>
  </si>
  <si>
    <t>NPCE</t>
  </si>
  <si>
    <t>GATX</t>
  </si>
  <si>
    <t>CALM</t>
  </si>
  <si>
    <t>EIG</t>
  </si>
  <si>
    <t>BBNX</t>
  </si>
  <si>
    <t>THS</t>
  </si>
  <si>
    <t>RHLD</t>
  </si>
  <si>
    <t>AJG</t>
  </si>
  <si>
    <t>TXG</t>
  </si>
  <si>
    <t>PRDO</t>
  </si>
  <si>
    <t>ULH</t>
  </si>
  <si>
    <t>MMSI</t>
  </si>
  <si>
    <t>FUTU</t>
  </si>
  <si>
    <t>HELE</t>
  </si>
  <si>
    <t>DLX</t>
  </si>
  <si>
    <t>CION</t>
  </si>
  <si>
    <t>HSIC</t>
  </si>
  <si>
    <t>VLGEA</t>
  </si>
  <si>
    <t>BBSI</t>
  </si>
  <si>
    <t>WTFC</t>
  </si>
  <si>
    <t>NNNN</t>
  </si>
  <si>
    <t>KOF</t>
  </si>
  <si>
    <t>ABCB</t>
  </si>
  <si>
    <t>EMBJ</t>
  </si>
  <si>
    <t>RDNT</t>
  </si>
  <si>
    <t>HSY</t>
  </si>
  <si>
    <t>ETN</t>
  </si>
  <si>
    <t>OTF</t>
  </si>
  <si>
    <t>BHC</t>
  </si>
  <si>
    <t>CENT</t>
  </si>
  <si>
    <t>WSO</t>
  </si>
  <si>
    <t>TIGR</t>
  </si>
  <si>
    <t>CCU</t>
  </si>
  <si>
    <t>A</t>
  </si>
  <si>
    <t>ITT</t>
  </si>
  <si>
    <t>CGBD</t>
  </si>
  <si>
    <t>SENEA</t>
  </si>
  <si>
    <t>HCA</t>
  </si>
  <si>
    <t>FLS</t>
  </si>
  <si>
    <t>BMO</t>
  </si>
  <si>
    <t>GO</t>
  </si>
  <si>
    <t>EMBC</t>
  </si>
  <si>
    <t>WMS</t>
  </si>
  <si>
    <t>PRAA</t>
  </si>
  <si>
    <t>CL</t>
  </si>
  <si>
    <t>DERM</t>
  </si>
  <si>
    <t>FWRD</t>
  </si>
  <si>
    <t>TBBK</t>
  </si>
  <si>
    <t>CENTA</t>
  </si>
  <si>
    <t>PAHC</t>
  </si>
  <si>
    <t>CSW</t>
  </si>
  <si>
    <t>TCBI</t>
  </si>
  <si>
    <t>AKO.B</t>
  </si>
  <si>
    <t>ASTE</t>
  </si>
  <si>
    <t>IDXX</t>
  </si>
  <si>
    <t>QCRH</t>
  </si>
  <si>
    <t>GOTU</t>
  </si>
  <si>
    <t>BLX</t>
  </si>
  <si>
    <t>FERG</t>
  </si>
  <si>
    <t>EW</t>
  </si>
  <si>
    <t>STRA</t>
  </si>
  <si>
    <t>GBCI</t>
  </si>
  <si>
    <t>INNV</t>
  </si>
  <si>
    <t>ARLO</t>
  </si>
  <si>
    <t>COST</t>
  </si>
  <si>
    <t>RNST</t>
  </si>
  <si>
    <t>Discount Stores</t>
  </si>
  <si>
    <t>BKD</t>
  </si>
  <si>
    <t>PSIX</t>
  </si>
  <si>
    <t>CFG</t>
  </si>
  <si>
    <t>BG</t>
  </si>
  <si>
    <t>CNMD</t>
  </si>
  <si>
    <t>ESAB</t>
  </si>
  <si>
    <t>BF.B</t>
  </si>
  <si>
    <t>BSBR</t>
  </si>
  <si>
    <t>LFCR</t>
  </si>
  <si>
    <t>UP</t>
  </si>
  <si>
    <t>BF.A</t>
  </si>
  <si>
    <t>BANR</t>
  </si>
  <si>
    <t>BGM</t>
  </si>
  <si>
    <t>RLX</t>
  </si>
  <si>
    <t>IGIC</t>
  </si>
  <si>
    <t>KNX</t>
  </si>
  <si>
    <t>TMO</t>
  </si>
  <si>
    <t>FIZZ</t>
  </si>
  <si>
    <t>PSEC</t>
  </si>
  <si>
    <t>ALGN</t>
  </si>
  <si>
    <t>MTW</t>
  </si>
  <si>
    <t>CLX</t>
  </si>
  <si>
    <t>SFNC</t>
  </si>
  <si>
    <t>RMD</t>
  </si>
  <si>
    <t>ALCO</t>
  </si>
  <si>
    <t>NU</t>
  </si>
  <si>
    <t>SNY</t>
  </si>
  <si>
    <t>BLDR</t>
  </si>
  <si>
    <t>AFYA</t>
  </si>
  <si>
    <t>FNLC</t>
  </si>
  <si>
    <t>HLN</t>
  </si>
  <si>
    <t>EFX</t>
  </si>
  <si>
    <t>VFF</t>
  </si>
  <si>
    <t>EGBN</t>
  </si>
  <si>
    <t>TAK</t>
  </si>
  <si>
    <t>TRI</t>
  </si>
  <si>
    <t>SPFI</t>
  </si>
  <si>
    <t>SYY</t>
  </si>
  <si>
    <t>ZTS</t>
  </si>
  <si>
    <t>MAN</t>
  </si>
  <si>
    <t>SPB</t>
  </si>
  <si>
    <t>PCRX</t>
  </si>
  <si>
    <t>BANF</t>
  </si>
  <si>
    <t>PRVA</t>
  </si>
  <si>
    <t>SNDL</t>
  </si>
  <si>
    <t>EBF</t>
  </si>
  <si>
    <t>HIFS</t>
  </si>
  <si>
    <t>EHAB</t>
  </si>
  <si>
    <t>POST</t>
  </si>
  <si>
    <t>DXPE</t>
  </si>
  <si>
    <t>CVBF</t>
  </si>
  <si>
    <t>INSP</t>
  </si>
  <si>
    <t>NGVC</t>
  </si>
  <si>
    <t>ICFI</t>
  </si>
  <si>
    <t>SSB</t>
  </si>
  <si>
    <t>AHCO</t>
  </si>
  <si>
    <t>MZTI</t>
  </si>
  <si>
    <t>SERV</t>
  </si>
  <si>
    <t>WBS</t>
  </si>
  <si>
    <t>MAMA</t>
  </si>
  <si>
    <t>ABT</t>
  </si>
  <si>
    <t>CRESY</t>
  </si>
  <si>
    <t>HBAN</t>
  </si>
  <si>
    <t>DEO</t>
  </si>
  <si>
    <t>CAH</t>
  </si>
  <si>
    <t>TFC</t>
  </si>
  <si>
    <t>SNA</t>
  </si>
  <si>
    <t>COUR</t>
  </si>
  <si>
    <t>MCK</t>
  </si>
  <si>
    <t>HTH</t>
  </si>
  <si>
    <t>ODFL</t>
  </si>
  <si>
    <t>BYND</t>
  </si>
  <si>
    <t>XRAY</t>
  </si>
  <si>
    <t>TRUP</t>
  </si>
  <si>
    <t>WMT</t>
  </si>
  <si>
    <t>NSSC</t>
  </si>
  <si>
    <t>ISRG</t>
  </si>
  <si>
    <t>BUSE</t>
  </si>
  <si>
    <t>UVV</t>
  </si>
  <si>
    <t>VRSK</t>
  </si>
  <si>
    <t>COO</t>
  </si>
  <si>
    <t>BSVN</t>
  </si>
  <si>
    <t>UTZ</t>
  </si>
  <si>
    <t>DLB</t>
  </si>
  <si>
    <t>AQST</t>
  </si>
  <si>
    <t>SMBK</t>
  </si>
  <si>
    <t>USFD</t>
  </si>
  <si>
    <t>RGEN</t>
  </si>
  <si>
    <t>GFL</t>
  </si>
  <si>
    <t>NBHC</t>
  </si>
  <si>
    <t>UL</t>
  </si>
  <si>
    <t>RGC</t>
  </si>
  <si>
    <t>KMT</t>
  </si>
  <si>
    <t>TGT</t>
  </si>
  <si>
    <t>PKBK</t>
  </si>
  <si>
    <t>AMRX</t>
  </si>
  <si>
    <t>KODK</t>
  </si>
  <si>
    <t>TAL</t>
  </si>
  <si>
    <t>TEM</t>
  </si>
  <si>
    <t>GABC</t>
  </si>
  <si>
    <t>WAY</t>
  </si>
  <si>
    <t>STZ</t>
  </si>
  <si>
    <t>ASLE</t>
  </si>
  <si>
    <t>TCBK</t>
  </si>
  <si>
    <t>CGC</t>
  </si>
  <si>
    <t>SFD</t>
  </si>
  <si>
    <t>PRK</t>
  </si>
  <si>
    <t>MTRX</t>
  </si>
  <si>
    <t>CTKB</t>
  </si>
  <si>
    <t>PPC</t>
  </si>
  <si>
    <t>WSFS</t>
  </si>
  <si>
    <t>SYM</t>
  </si>
  <si>
    <t>CBLL</t>
  </si>
  <si>
    <t>PG</t>
  </si>
  <si>
    <t>NIC</t>
  </si>
  <si>
    <t>MYGN</t>
  </si>
  <si>
    <t>LNN</t>
  </si>
  <si>
    <t>PEP</t>
  </si>
  <si>
    <t>OCFC</t>
  </si>
  <si>
    <t>HQY</t>
  </si>
  <si>
    <t>OSK</t>
  </si>
  <si>
    <t>NATR</t>
  </si>
  <si>
    <t>CASH</t>
  </si>
  <si>
    <t>CSTL</t>
  </si>
  <si>
    <t>AME</t>
  </si>
  <si>
    <t>LWAY</t>
  </si>
  <si>
    <t>PB</t>
  </si>
  <si>
    <t>GRFS</t>
  </si>
  <si>
    <t>REZI</t>
  </si>
  <si>
    <t>LW</t>
  </si>
  <si>
    <t>SIGA</t>
  </si>
  <si>
    <t>OMF</t>
  </si>
  <si>
    <t>LRN</t>
  </si>
  <si>
    <t>MG</t>
  </si>
  <si>
    <t>ELAN</t>
  </si>
  <si>
    <t>UWMC</t>
  </si>
  <si>
    <t>LND</t>
  </si>
  <si>
    <t>WOR</t>
  </si>
  <si>
    <t>CERT</t>
  </si>
  <si>
    <t>HLNE</t>
  </si>
  <si>
    <t>KVUE</t>
  </si>
  <si>
    <t>DOV</t>
  </si>
  <si>
    <t>SOPH</t>
  </si>
  <si>
    <t>SLRC</t>
  </si>
  <si>
    <t>KMB</t>
  </si>
  <si>
    <t>CNM</t>
  </si>
  <si>
    <t>NDMO</t>
  </si>
  <si>
    <t>OPK</t>
  </si>
  <si>
    <t>JBSS</t>
  </si>
  <si>
    <t>SPXC</t>
  </si>
  <si>
    <t>DHIL</t>
  </si>
  <si>
    <t>AZTA</t>
  </si>
  <si>
    <t>IPAR</t>
  </si>
  <si>
    <t>ACM</t>
  </si>
  <si>
    <t>CZNC</t>
  </si>
  <si>
    <t>OPCH</t>
  </si>
  <si>
    <t>INGR</t>
  </si>
  <si>
    <t>DSGR</t>
  </si>
  <si>
    <t>EQBK</t>
  </si>
  <si>
    <t>RXST</t>
  </si>
  <si>
    <t>HRL</t>
  </si>
  <si>
    <t>ZTO</t>
  </si>
  <si>
    <t>TRMK</t>
  </si>
  <si>
    <t>AMPH</t>
  </si>
  <si>
    <t>HLF</t>
  </si>
  <si>
    <t>ITW</t>
  </si>
  <si>
    <t>PACB</t>
  </si>
  <si>
    <t>HOPE</t>
  </si>
  <si>
    <t>GIS</t>
  </si>
  <si>
    <t>XYL</t>
  </si>
  <si>
    <t>CCB</t>
  </si>
  <si>
    <t>MTD</t>
  </si>
  <si>
    <t>GHC</t>
  </si>
  <si>
    <t>BYRN</t>
  </si>
  <si>
    <t>HROW</t>
  </si>
  <si>
    <t>SFST</t>
  </si>
  <si>
    <t>FRPT</t>
  </si>
  <si>
    <t>FBIN</t>
  </si>
  <si>
    <t>BFLY</t>
  </si>
  <si>
    <t>CCBG</t>
  </si>
  <si>
    <t>FDP</t>
  </si>
  <si>
    <t>FIP</t>
  </si>
  <si>
    <t>RDY</t>
  </si>
  <si>
    <t>ELF</t>
  </si>
  <si>
    <t>WABC</t>
  </si>
  <si>
    <t>HAYW</t>
  </si>
  <si>
    <t>AUNA</t>
  </si>
  <si>
    <t>EDU</t>
  </si>
  <si>
    <t>PFBC</t>
  </si>
  <si>
    <t>APG</t>
  </si>
  <si>
    <t>ATR</t>
  </si>
  <si>
    <t>DDL</t>
  </si>
  <si>
    <t>PEBO</t>
  </si>
  <si>
    <t>WNC</t>
  </si>
  <si>
    <t>NEOG</t>
  </si>
  <si>
    <t>COKE</t>
  </si>
  <si>
    <t>BBT</t>
  </si>
  <si>
    <t>QXO</t>
  </si>
  <si>
    <t>DHR</t>
  </si>
  <si>
    <t>CHD</t>
  </si>
  <si>
    <t>FBIZ</t>
  </si>
  <si>
    <t>GGG</t>
  </si>
  <si>
    <t>AMLX</t>
  </si>
  <si>
    <t>CAG</t>
  </si>
  <si>
    <t>SRCE</t>
  </si>
  <si>
    <t>NDSN</t>
  </si>
  <si>
    <t>HCM</t>
  </si>
  <si>
    <t>BRBR</t>
  </si>
  <si>
    <t>FCF</t>
  </si>
  <si>
    <t>PNR</t>
  </si>
  <si>
    <t>TLRY</t>
  </si>
  <si>
    <t>BJ</t>
  </si>
  <si>
    <t>FBK</t>
  </si>
  <si>
    <t>DCI</t>
  </si>
  <si>
    <t>PBH</t>
  </si>
  <si>
    <t>ANDE</t>
  </si>
  <si>
    <t>EBC</t>
  </si>
  <si>
    <t>IR</t>
  </si>
  <si>
    <t>TALK</t>
  </si>
  <si>
    <t>AGRO</t>
  </si>
  <si>
    <t>STEL</t>
  </si>
  <si>
    <t>AOS</t>
  </si>
  <si>
    <t>GRDN</t>
  </si>
  <si>
    <t>ACI</t>
  </si>
  <si>
    <t>BOKF</t>
  </si>
  <si>
    <t>XPO</t>
  </si>
  <si>
    <t>WMK</t>
  </si>
  <si>
    <t>GMED</t>
  </si>
  <si>
    <t>VLY</t>
  </si>
  <si>
    <t>PAC</t>
  </si>
  <si>
    <t>VITL</t>
  </si>
  <si>
    <t>TNDM</t>
  </si>
  <si>
    <t>BPOP</t>
  </si>
  <si>
    <t>SWIM</t>
  </si>
  <si>
    <t>USNA</t>
  </si>
  <si>
    <t>TMDX</t>
  </si>
  <si>
    <t>SYBT</t>
  </si>
  <si>
    <t>UDMY</t>
  </si>
  <si>
    <t>STN</t>
  </si>
  <si>
    <t>BIO</t>
  </si>
  <si>
    <t>PFS</t>
  </si>
  <si>
    <t>TR</t>
  </si>
  <si>
    <t>ALG</t>
  </si>
  <si>
    <t>LMAT</t>
  </si>
  <si>
    <t>AX</t>
  </si>
  <si>
    <t>TBBB</t>
  </si>
  <si>
    <t>ALLE</t>
  </si>
  <si>
    <t>MDLN</t>
  </si>
  <si>
    <t>MKTX</t>
  </si>
  <si>
    <t>TAP</t>
  </si>
  <si>
    <t>RTO</t>
  </si>
  <si>
    <t>SMPL</t>
  </si>
  <si>
    <t>PWP</t>
  </si>
  <si>
    <t>AWI</t>
  </si>
  <si>
    <t>HTT</t>
  </si>
  <si>
    <t>SAM</t>
  </si>
  <si>
    <t>HURN</t>
  </si>
  <si>
    <t>PSMT</t>
  </si>
  <si>
    <t>JCAP</t>
  </si>
  <si>
    <t>OTLY</t>
  </si>
  <si>
    <t>HUBB</t>
  </si>
  <si>
    <t>NNI</t>
  </si>
  <si>
    <t>OLLI</t>
  </si>
  <si>
    <t>FIHL</t>
  </si>
  <si>
    <t>KBR</t>
  </si>
  <si>
    <t>WTTR</t>
  </si>
  <si>
    <t>Oil &amp; Gas Equipment &amp; Services</t>
  </si>
  <si>
    <t>ODD</t>
  </si>
  <si>
    <t>HGTY</t>
  </si>
  <si>
    <t>J</t>
  </si>
  <si>
    <t>URG</t>
  </si>
  <si>
    <t>Uranium</t>
  </si>
  <si>
    <t>NWL</t>
  </si>
  <si>
    <t>SAFT</t>
  </si>
  <si>
    <t>TTEK</t>
  </si>
  <si>
    <t>SUNC</t>
  </si>
  <si>
    <t>Oil &amp; Gas Midstream</t>
  </si>
  <si>
    <t>NUS</t>
  </si>
  <si>
    <t>GLRE</t>
  </si>
  <si>
    <t>EXPO</t>
  </si>
  <si>
    <t>SOBO</t>
  </si>
  <si>
    <t>NOMD</t>
  </si>
  <si>
    <t>GSHD</t>
  </si>
  <si>
    <t>SITE</t>
  </si>
  <si>
    <t>MKC</t>
  </si>
  <si>
    <t>PBT</t>
  </si>
  <si>
    <t>BWIN</t>
  </si>
  <si>
    <t>POOL</t>
  </si>
  <si>
    <t>MH</t>
  </si>
  <si>
    <t>LDI</t>
  </si>
  <si>
    <t>BRC</t>
  </si>
  <si>
    <t>NVGS</t>
  </si>
  <si>
    <t>MGPI</t>
  </si>
  <si>
    <t>CGCT</t>
  </si>
  <si>
    <t>ABM</t>
  </si>
  <si>
    <t>NGS</t>
  </si>
  <si>
    <t>LOPE</t>
  </si>
  <si>
    <t>MMS</t>
  </si>
  <si>
    <t>NESR</t>
  </si>
  <si>
    <t>TVA</t>
  </si>
  <si>
    <t>KR</t>
  </si>
  <si>
    <t>HNRG</t>
  </si>
  <si>
    <t>Thermal Coal</t>
  </si>
  <si>
    <t>RELX</t>
  </si>
  <si>
    <t>CCIX</t>
  </si>
  <si>
    <t>JJSF</t>
  </si>
  <si>
    <t>FLOC</t>
  </si>
  <si>
    <t>GTLS</t>
  </si>
  <si>
    <t>JBS</t>
  </si>
  <si>
    <t>GIG</t>
  </si>
  <si>
    <t>EE</t>
  </si>
  <si>
    <t>FELE</t>
  </si>
  <si>
    <t>IMKTA</t>
  </si>
  <si>
    <t>ALTI</t>
  </si>
  <si>
    <t>WES</t>
  </si>
  <si>
    <t>MWA</t>
  </si>
  <si>
    <t>FLO</t>
  </si>
  <si>
    <t>ECPG</t>
  </si>
  <si>
    <t>EPC</t>
  </si>
  <si>
    <t>USAC</t>
  </si>
  <si>
    <t>UVSP</t>
  </si>
  <si>
    <t>DOLE</t>
  </si>
  <si>
    <t>UROY</t>
  </si>
  <si>
    <t>AXG</t>
  </si>
  <si>
    <t>DNUT</t>
  </si>
  <si>
    <t>TRMD</t>
  </si>
  <si>
    <t>CPF</t>
  </si>
  <si>
    <t>DLTR</t>
  </si>
  <si>
    <t>NEXT</t>
  </si>
  <si>
    <t>TRU</t>
  </si>
  <si>
    <t>DG</t>
  </si>
  <si>
    <t>KGS</t>
  </si>
  <si>
    <t>NRGV</t>
  </si>
  <si>
    <t>LC</t>
  </si>
  <si>
    <t>Utilities - Renewable</t>
  </si>
  <si>
    <t>CVGW</t>
  </si>
  <si>
    <t>CMBT</t>
  </si>
  <si>
    <t>NBN</t>
  </si>
  <si>
    <t>CPB</t>
  </si>
  <si>
    <t>ORA</t>
  </si>
  <si>
    <t>TXO</t>
  </si>
  <si>
    <t>LX</t>
  </si>
  <si>
    <t>Oil &amp; Gas E&amp;P</t>
  </si>
  <si>
    <t>COTY</t>
  </si>
  <si>
    <t>XIFR</t>
  </si>
  <si>
    <t>MNR</t>
  </si>
  <si>
    <t>CELH</t>
  </si>
  <si>
    <t>CBNK</t>
  </si>
  <si>
    <t>NGL</t>
  </si>
  <si>
    <t>FLNC</t>
  </si>
  <si>
    <t>CCEP</t>
  </si>
  <si>
    <t>PAX</t>
  </si>
  <si>
    <t>GLNG</t>
  </si>
  <si>
    <t>BGS</t>
  </si>
  <si>
    <t>CTBI</t>
  </si>
  <si>
    <t>FRO</t>
  </si>
  <si>
    <t>BIP</t>
  </si>
  <si>
    <t>Utilities - Diversified</t>
  </si>
  <si>
    <t>AVO</t>
  </si>
  <si>
    <t>CVE</t>
  </si>
  <si>
    <t>Oil &amp; Gas Integrated</t>
  </si>
  <si>
    <t>MVBF</t>
  </si>
  <si>
    <t>OKLO</t>
  </si>
  <si>
    <t>Utilities - Independent Power Producers</t>
  </si>
  <si>
    <t>APEI</t>
  </si>
  <si>
    <t>SM</t>
  </si>
  <si>
    <t>HIPO</t>
  </si>
  <si>
    <t>KEN</t>
  </si>
  <si>
    <t>AKO.A</t>
  </si>
  <si>
    <t>SEI</t>
  </si>
  <si>
    <t>MPB</t>
  </si>
  <si>
    <t>RNW</t>
  </si>
  <si>
    <t>INSW</t>
  </si>
  <si>
    <t>WTBA</t>
  </si>
  <si>
    <t>GPRK</t>
  </si>
  <si>
    <t>ENLT</t>
  </si>
  <si>
    <t>CBK</t>
  </si>
  <si>
    <t>CAPL</t>
  </si>
  <si>
    <t>Oil &amp; Gas Refining &amp; Marketing</t>
  </si>
  <si>
    <t>MDU</t>
  </si>
  <si>
    <t>Utilities - Regulated Gas</t>
  </si>
  <si>
    <t>LKFN</t>
  </si>
  <si>
    <t>PSX</t>
  </si>
  <si>
    <t>ARTNA</t>
  </si>
  <si>
    <t>Utilities - Regulated Water</t>
  </si>
  <si>
    <t>OZK</t>
  </si>
  <si>
    <t>NBR</t>
  </si>
  <si>
    <t>Oil &amp; Gas Drilling</t>
  </si>
  <si>
    <t>EIX</t>
  </si>
  <si>
    <t>Utilities - Regulated Electric</t>
  </si>
  <si>
    <t>HPP</t>
  </si>
  <si>
    <t>REIT - Office</t>
  </si>
  <si>
    <t>PCB</t>
  </si>
  <si>
    <t>MPC</t>
  </si>
  <si>
    <t>BIPC</t>
  </si>
  <si>
    <t>CTRE</t>
  </si>
  <si>
    <t>LPG</t>
  </si>
  <si>
    <t>REIT - Healthcare Facilities</t>
  </si>
  <si>
    <t>DEFT</t>
  </si>
  <si>
    <t>TLN</t>
  </si>
  <si>
    <t>KOS</t>
  </si>
  <si>
    <t>SPH</t>
  </si>
  <si>
    <t>SVC</t>
  </si>
  <si>
    <t>REIT - Hotel &amp; Motel</t>
  </si>
  <si>
    <t>VINP</t>
  </si>
  <si>
    <t>ISOU</t>
  </si>
  <si>
    <t>DOC</t>
  </si>
  <si>
    <t>BEP</t>
  </si>
  <si>
    <t>IBN</t>
  </si>
  <si>
    <t>HPK</t>
  </si>
  <si>
    <t>TWO</t>
  </si>
  <si>
    <t>REIT - Mortgage</t>
  </si>
  <si>
    <t>AWR</t>
  </si>
  <si>
    <t>HDB</t>
  </si>
  <si>
    <t>FLNG</t>
  </si>
  <si>
    <t>DHC</t>
  </si>
  <si>
    <t>MBIN</t>
  </si>
  <si>
    <t>PCG</t>
  </si>
  <si>
    <t>DINO</t>
  </si>
  <si>
    <t>FFIC</t>
  </si>
  <si>
    <t>MMI</t>
  </si>
  <si>
    <t>Real Estate Services</t>
  </si>
  <si>
    <t>CDZI</t>
  </si>
  <si>
    <t>CVI</t>
  </si>
  <si>
    <t>FHN</t>
  </si>
  <si>
    <t>PSTL</t>
  </si>
  <si>
    <t>CWEN.A</t>
  </si>
  <si>
    <t>AESI</t>
  </si>
  <si>
    <t>CLDT</t>
  </si>
  <si>
    <t>SCM</t>
  </si>
  <si>
    <t>IMSR</t>
  </si>
  <si>
    <t>WKC</t>
  </si>
  <si>
    <t>COLD</t>
  </si>
  <si>
    <t>REIT - Industrial</t>
  </si>
  <si>
    <t>AVBC</t>
  </si>
  <si>
    <t>BEPC</t>
  </si>
  <si>
    <t>WHD</t>
  </si>
  <si>
    <t>LAMR</t>
  </si>
  <si>
    <t>REIT - Specialty</t>
  </si>
  <si>
    <t>WDH</t>
  </si>
  <si>
    <t>EVRG</t>
  </si>
  <si>
    <t>RLJ</t>
  </si>
  <si>
    <t>TRP</t>
  </si>
  <si>
    <t>NPAC</t>
  </si>
  <si>
    <t>PAM</t>
  </si>
  <si>
    <t>BEKE</t>
  </si>
  <si>
    <t>TLNC</t>
  </si>
  <si>
    <t>D</t>
  </si>
  <si>
    <t>PTEN</t>
  </si>
  <si>
    <t>DEI</t>
  </si>
  <si>
    <t>SVAC</t>
  </si>
  <si>
    <t>MSEX</t>
  </si>
  <si>
    <t>PBA</t>
  </si>
  <si>
    <t>VNO</t>
  </si>
  <si>
    <t>FISI</t>
  </si>
  <si>
    <t>NJR</t>
  </si>
  <si>
    <t>IMO</t>
  </si>
  <si>
    <t>HIW</t>
  </si>
  <si>
    <t>EWBC</t>
  </si>
  <si>
    <t>AWK</t>
  </si>
  <si>
    <t>DTM</t>
  </si>
  <si>
    <t>KRC</t>
  </si>
  <si>
    <t>HBT</t>
  </si>
  <si>
    <t>CWT</t>
  </si>
  <si>
    <t>DK</t>
  </si>
  <si>
    <t>ADAM</t>
  </si>
  <si>
    <t>CIVB</t>
  </si>
  <si>
    <t>BORR</t>
  </si>
  <si>
    <t>GNE</t>
  </si>
  <si>
    <t>HR</t>
  </si>
  <si>
    <t>GBFH</t>
  </si>
  <si>
    <t>NKLR</t>
  </si>
  <si>
    <t>LINE</t>
  </si>
  <si>
    <t>YPF</t>
  </si>
  <si>
    <t>UNTY</t>
  </si>
  <si>
    <t>NEE</t>
  </si>
  <si>
    <t>RMR</t>
  </si>
  <si>
    <t>TRGP</t>
  </si>
  <si>
    <t>AFJK</t>
  </si>
  <si>
    <t>CBL</t>
  </si>
  <si>
    <t>REIT - Retail</t>
  </si>
  <si>
    <t>YORW</t>
  </si>
  <si>
    <t>TEN</t>
  </si>
  <si>
    <t>CUZ</t>
  </si>
  <si>
    <t>FRBA</t>
  </si>
  <si>
    <t>NGG</t>
  </si>
  <si>
    <t>SUN</t>
  </si>
  <si>
    <t>OBT</t>
  </si>
  <si>
    <t>UDR</t>
  </si>
  <si>
    <t>REIT - Residential</t>
  </si>
  <si>
    <t>SDRL</t>
  </si>
  <si>
    <t>EXC</t>
  </si>
  <si>
    <t>CCI</t>
  </si>
  <si>
    <t>NECB</t>
  </si>
  <si>
    <t>NOV</t>
  </si>
  <si>
    <t>ES</t>
  </si>
  <si>
    <t>INN</t>
  </si>
  <si>
    <t>HFWA</t>
  </si>
  <si>
    <t>NFE</t>
  </si>
  <si>
    <t>SO</t>
  </si>
  <si>
    <t>COMP</t>
  </si>
  <si>
    <t>BHRB</t>
  </si>
  <si>
    <t>NE</t>
  </si>
  <si>
    <t>OUT</t>
  </si>
  <si>
    <t>UGI</t>
  </si>
  <si>
    <t>SUPV</t>
  </si>
  <si>
    <t>KRP</t>
  </si>
  <si>
    <t>SHO</t>
  </si>
  <si>
    <t>AES</t>
  </si>
  <si>
    <t>CWBC</t>
  </si>
  <si>
    <t>HAL</t>
  </si>
  <si>
    <t>SRE</t>
  </si>
  <si>
    <t>FVR</t>
  </si>
  <si>
    <t>REIT - Diversified</t>
  </si>
  <si>
    <t>ATII</t>
  </si>
  <si>
    <t>LNT</t>
  </si>
  <si>
    <t>BTE</t>
  </si>
  <si>
    <t>CSR</t>
  </si>
  <si>
    <t>PEG</t>
  </si>
  <si>
    <t>AROW</t>
  </si>
  <si>
    <t>WMB</t>
  </si>
  <si>
    <t>APLE</t>
  </si>
  <si>
    <t>SR</t>
  </si>
  <si>
    <t>VALU</t>
  </si>
  <si>
    <t>IRM</t>
  </si>
  <si>
    <t>VG</t>
  </si>
  <si>
    <t>WTRG</t>
  </si>
  <si>
    <t>RTAC</t>
  </si>
  <si>
    <t>ET</t>
  </si>
  <si>
    <t>ESBA</t>
  </si>
  <si>
    <t>UTL</t>
  </si>
  <si>
    <t>AVB</t>
  </si>
  <si>
    <t>EFXT</t>
  </si>
  <si>
    <t>BCAR</t>
  </si>
  <si>
    <t>PNW</t>
  </si>
  <si>
    <t>FRPH</t>
  </si>
  <si>
    <t>VAL</t>
  </si>
  <si>
    <t>FLG</t>
  </si>
  <si>
    <t>ETR</t>
  </si>
  <si>
    <t>ILPT</t>
  </si>
  <si>
    <t>IBOC</t>
  </si>
  <si>
    <t>STNG</t>
  </si>
  <si>
    <t>DUK</t>
  </si>
  <si>
    <t>NXRT</t>
  </si>
  <si>
    <t>NPB</t>
  </si>
  <si>
    <t>OBE</t>
  </si>
  <si>
    <t>CMS</t>
  </si>
  <si>
    <t>ESS</t>
  </si>
  <si>
    <t>CBAN</t>
  </si>
  <si>
    <t>HP</t>
  </si>
  <si>
    <t>FE</t>
  </si>
  <si>
    <t>VTR</t>
  </si>
  <si>
    <t>BFST</t>
  </si>
  <si>
    <t>CHRD</t>
  </si>
  <si>
    <t>DTE</t>
  </si>
  <si>
    <t>WFRD</t>
  </si>
  <si>
    <t>IIPR</t>
  </si>
  <si>
    <t>WF</t>
  </si>
  <si>
    <t>NI</t>
  </si>
  <si>
    <t>WBI</t>
  </si>
  <si>
    <t>EQR</t>
  </si>
  <si>
    <t>AVAL</t>
  </si>
  <si>
    <t>MGEE</t>
  </si>
  <si>
    <t>UEC</t>
  </si>
  <si>
    <t>HST</t>
  </si>
  <si>
    <t>XP</t>
  </si>
  <si>
    <t>OGE</t>
  </si>
  <si>
    <t>SU</t>
  </si>
  <si>
    <t>INVH</t>
  </si>
  <si>
    <t>LYG</t>
  </si>
  <si>
    <t>PPL</t>
  </si>
  <si>
    <t>ARE</t>
  </si>
  <si>
    <t>PSBD</t>
  </si>
  <si>
    <t>TXNM</t>
  </si>
  <si>
    <t>RIG</t>
  </si>
  <si>
    <t>SBRA</t>
  </si>
  <si>
    <t>FTS</t>
  </si>
  <si>
    <t>COLB</t>
  </si>
  <si>
    <t>PUMP</t>
  </si>
  <si>
    <t>AEP</t>
  </si>
  <si>
    <t>ALEX</t>
  </si>
  <si>
    <t>HBCP</t>
  </si>
  <si>
    <t>ED</t>
  </si>
  <si>
    <t>PSA</t>
  </si>
  <si>
    <t>MTG</t>
  </si>
  <si>
    <t>LBRT</t>
  </si>
  <si>
    <t>ATO</t>
  </si>
  <si>
    <t>CUBE</t>
  </si>
  <si>
    <t>NTB</t>
  </si>
  <si>
    <t>GLP</t>
  </si>
  <si>
    <t>TAC</t>
  </si>
  <si>
    <t>FRMI</t>
  </si>
  <si>
    <t>CRBG</t>
  </si>
  <si>
    <t>VLO</t>
  </si>
  <si>
    <t>PCH</t>
  </si>
  <si>
    <t>CEG</t>
  </si>
  <si>
    <t>SHG</t>
  </si>
  <si>
    <t>TNK</t>
  </si>
  <si>
    <t>NWN</t>
  </si>
  <si>
    <t>RHP</t>
  </si>
  <si>
    <t>CFFN</t>
  </si>
  <si>
    <t>SOC</t>
  </si>
  <si>
    <t>ESNT</t>
  </si>
  <si>
    <t>EPR</t>
  </si>
  <si>
    <t>EDN</t>
  </si>
  <si>
    <t>SLB</t>
  </si>
  <si>
    <t>BDN</t>
  </si>
  <si>
    <t>EQH</t>
  </si>
  <si>
    <t>AEE</t>
  </si>
  <si>
    <t>ENB</t>
  </si>
  <si>
    <t>WELL</t>
  </si>
  <si>
    <t>AMAL</t>
  </si>
  <si>
    <t>DKL</t>
  </si>
  <si>
    <t>ENIC</t>
  </si>
  <si>
    <t>IBCP</t>
  </si>
  <si>
    <t>MAC</t>
  </si>
  <si>
    <t>CNQ</t>
  </si>
  <si>
    <t>CNP</t>
  </si>
  <si>
    <t>WPC</t>
  </si>
  <si>
    <t>BFH</t>
  </si>
  <si>
    <t>TALO</t>
  </si>
  <si>
    <t>NWE</t>
  </si>
  <si>
    <t>PBF</t>
  </si>
  <si>
    <t>STC</t>
  </si>
  <si>
    <t>EXR</t>
  </si>
  <si>
    <t>BKH</t>
  </si>
  <si>
    <t>OHI</t>
  </si>
  <si>
    <t>PX</t>
  </si>
  <si>
    <t>KNOP</t>
  </si>
  <si>
    <t>AXIA</t>
  </si>
  <si>
    <t>NTST</t>
  </si>
  <si>
    <t>WSBF</t>
  </si>
  <si>
    <t>FTK</t>
  </si>
  <si>
    <t>AVA</t>
  </si>
  <si>
    <t>SLG</t>
  </si>
  <si>
    <t>BUR</t>
  </si>
  <si>
    <t>BKR</t>
  </si>
  <si>
    <t>EMA</t>
  </si>
  <si>
    <t>FIBK</t>
  </si>
  <si>
    <t>AHR</t>
  </si>
  <si>
    <t>ACDC</t>
  </si>
  <si>
    <t>CEPU</t>
  </si>
  <si>
    <t>SILA</t>
  </si>
  <si>
    <t>VIST</t>
  </si>
  <si>
    <t>ELLO</t>
  </si>
  <si>
    <t>FRT</t>
  </si>
  <si>
    <t>UGP</t>
  </si>
  <si>
    <t>NRG</t>
  </si>
  <si>
    <t>SAFE</t>
  </si>
  <si>
    <t>WEC</t>
  </si>
  <si>
    <t>TK</t>
  </si>
  <si>
    <t>HHH</t>
  </si>
  <si>
    <t>Real Estate - Diversified</t>
  </si>
  <si>
    <t>SBR</t>
  </si>
  <si>
    <t>PDM</t>
  </si>
  <si>
    <t>XEL</t>
  </si>
  <si>
    <t>IDR</t>
  </si>
  <si>
    <t>Gold</t>
  </si>
  <si>
    <t>KREF</t>
  </si>
  <si>
    <t>PDS</t>
  </si>
  <si>
    <t>POR</t>
  </si>
  <si>
    <t>NSA</t>
  </si>
  <si>
    <t>NAT</t>
  </si>
  <si>
    <t>TECK</t>
  </si>
  <si>
    <t>Other Industrial Metals &amp; Mining</t>
  </si>
  <si>
    <t>CPK</t>
  </si>
  <si>
    <t>IRT</t>
  </si>
  <si>
    <t>FANG</t>
  </si>
  <si>
    <t>SWX</t>
  </si>
  <si>
    <t>SXC</t>
  </si>
  <si>
    <t>Coking Coal</t>
  </si>
  <si>
    <t>EFC</t>
  </si>
  <si>
    <t>E</t>
  </si>
  <si>
    <t>OPAL</t>
  </si>
  <si>
    <t>MTRN</t>
  </si>
  <si>
    <t>TTE</t>
  </si>
  <si>
    <t>CPT</t>
  </si>
  <si>
    <t>IDA</t>
  </si>
  <si>
    <t>SVM</t>
  </si>
  <si>
    <t>Silver</t>
  </si>
  <si>
    <t>TS</t>
  </si>
  <si>
    <t>DRH</t>
  </si>
  <si>
    <t>CWEN</t>
  </si>
  <si>
    <t>OVV</t>
  </si>
  <si>
    <t>CMP</t>
  </si>
  <si>
    <t>BXP</t>
  </si>
  <si>
    <t>OII</t>
  </si>
  <si>
    <t>CTRI</t>
  </si>
  <si>
    <t>USAS</t>
  </si>
  <si>
    <t>OLP</t>
  </si>
  <si>
    <t>LB</t>
  </si>
  <si>
    <t>HTO</t>
  </si>
  <si>
    <t>RIO</t>
  </si>
  <si>
    <t>INVX</t>
  </si>
  <si>
    <t>PLD</t>
  </si>
  <si>
    <t>KEP</t>
  </si>
  <si>
    <t>EGY</t>
  </si>
  <si>
    <t>RC</t>
  </si>
  <si>
    <t>VZLA</t>
  </si>
  <si>
    <t>DHT</t>
  </si>
  <si>
    <t>CWCO</t>
  </si>
  <si>
    <t>BNL</t>
  </si>
  <si>
    <t>VGZ</t>
  </si>
  <si>
    <t>VNOM</t>
  </si>
  <si>
    <t>CIG</t>
  </si>
  <si>
    <t>AMH</t>
  </si>
  <si>
    <t>EXK</t>
  </si>
  <si>
    <t>VET</t>
  </si>
  <si>
    <t>VST</t>
  </si>
  <si>
    <t>CDP</t>
  </si>
  <si>
    <t>BHP</t>
  </si>
  <si>
    <t>REPX</t>
  </si>
  <si>
    <t>AQN</t>
  </si>
  <si>
    <t>KRG</t>
  </si>
  <si>
    <t>OKE</t>
  </si>
  <si>
    <t>PAAS</t>
  </si>
  <si>
    <t>HE</t>
  </si>
  <si>
    <t>IHS</t>
  </si>
  <si>
    <t>HESM</t>
  </si>
  <si>
    <t>WRN</t>
  </si>
  <si>
    <t>OGS</t>
  </si>
  <si>
    <t>GFR</t>
  </si>
  <si>
    <t>SPG</t>
  </si>
  <si>
    <t>MTX</t>
  </si>
  <si>
    <t>Specialty Chemicals</t>
  </si>
  <si>
    <t>EQNR</t>
  </si>
  <si>
    <t>SBS</t>
  </si>
  <si>
    <t>O</t>
  </si>
  <si>
    <t>OXY</t>
  </si>
  <si>
    <t>SSRM</t>
  </si>
  <si>
    <t>BFS</t>
  </si>
  <si>
    <t>MUR</t>
  </si>
  <si>
    <t>NWPX</t>
  </si>
  <si>
    <t>Steel</t>
  </si>
  <si>
    <t>EGP</t>
  </si>
  <si>
    <t>KNTK</t>
  </si>
  <si>
    <t>VOXR</t>
  </si>
  <si>
    <t>Other Precious Metals &amp; Mining</t>
  </si>
  <si>
    <t>AAT</t>
  </si>
  <si>
    <t>KMI</t>
  </si>
  <si>
    <t>NEWP</t>
  </si>
  <si>
    <t>SMA</t>
  </si>
  <si>
    <t>IEP</t>
  </si>
  <si>
    <t>SCZM</t>
  </si>
  <si>
    <t>NHI</t>
  </si>
  <si>
    <t>HLX</t>
  </si>
  <si>
    <t>AG</t>
  </si>
  <si>
    <t>HBNB</t>
  </si>
  <si>
    <t>EPD</t>
  </si>
  <si>
    <t>SLI</t>
  </si>
  <si>
    <t>GNL</t>
  </si>
  <si>
    <t>DEC</t>
  </si>
  <si>
    <t>IVR</t>
  </si>
  <si>
    <t>HBM</t>
  </si>
  <si>
    <t>Copper</t>
  </si>
  <si>
    <t>CRGY</t>
  </si>
  <si>
    <t>CTO</t>
  </si>
  <si>
    <t>METC</t>
  </si>
  <si>
    <t>XOM</t>
  </si>
  <si>
    <t>AIV</t>
  </si>
  <si>
    <t>THM</t>
  </si>
  <si>
    <t>TBN</t>
  </si>
  <si>
    <t>EQIX</t>
  </si>
  <si>
    <t>BAK</t>
  </si>
  <si>
    <t>Chemicals</t>
  </si>
  <si>
    <t>PARR</t>
  </si>
  <si>
    <t>AMT</t>
  </si>
  <si>
    <t>IPI</t>
  </si>
  <si>
    <t>Agricultural Inputs</t>
  </si>
  <si>
    <t>NPKI</t>
  </si>
  <si>
    <t>CSGP</t>
  </si>
  <si>
    <t>LZM</t>
  </si>
  <si>
    <t>FTI</t>
  </si>
  <si>
    <t>ELS</t>
  </si>
  <si>
    <t>ICL</t>
  </si>
  <si>
    <t>EOG</t>
  </si>
  <si>
    <t>NNN</t>
  </si>
  <si>
    <t>CBT</t>
  </si>
  <si>
    <t>DVN</t>
  </si>
  <si>
    <t>ADC</t>
  </si>
  <si>
    <t>KOP</t>
  </si>
  <si>
    <t>DMLP</t>
  </si>
  <si>
    <t>BRX</t>
  </si>
  <si>
    <t>BTG</t>
  </si>
  <si>
    <t>BKV</t>
  </si>
  <si>
    <t>KIM</t>
  </si>
  <si>
    <t>DD</t>
  </si>
  <si>
    <t>AROC</t>
  </si>
  <si>
    <t>XHR</t>
  </si>
  <si>
    <t>ASM</t>
  </si>
  <si>
    <t>WDS</t>
  </si>
  <si>
    <t>ESRT</t>
  </si>
  <si>
    <t>ASPI</t>
  </si>
  <si>
    <t>UUUU</t>
  </si>
  <si>
    <t>NMRK</t>
  </si>
  <si>
    <t>SOLS</t>
  </si>
  <si>
    <t>TDW</t>
  </si>
  <si>
    <t>PEB</t>
  </si>
  <si>
    <t>CTGO</t>
  </si>
  <si>
    <t>MPW</t>
  </si>
  <si>
    <t>SHEL</t>
  </si>
  <si>
    <t>NAK</t>
  </si>
  <si>
    <t>OPEN</t>
  </si>
  <si>
    <t>SD</t>
  </si>
  <si>
    <t>CBRE</t>
  </si>
  <si>
    <t>BVN</t>
  </si>
  <si>
    <t>RNGR</t>
  </si>
  <si>
    <t>JOE</t>
  </si>
  <si>
    <t>IONR</t>
  </si>
  <si>
    <t>RES</t>
  </si>
  <si>
    <t>ARR</t>
  </si>
  <si>
    <t>TMQ</t>
  </si>
  <si>
    <t>PAA</t>
  </si>
  <si>
    <t>AKR</t>
  </si>
  <si>
    <t>ERO</t>
  </si>
  <si>
    <t>MTDR</t>
  </si>
  <si>
    <t>GOOD</t>
  </si>
  <si>
    <t>HYMC</t>
  </si>
  <si>
    <t>MGY</t>
  </si>
  <si>
    <t>LXP</t>
  </si>
  <si>
    <t>SLSR</t>
  </si>
  <si>
    <t>INR</t>
  </si>
  <si>
    <t>FSV</t>
  </si>
  <si>
    <t>IPX</t>
  </si>
  <si>
    <t>GRNT</t>
  </si>
  <si>
    <t>LAND</t>
  </si>
  <si>
    <t>CX</t>
  </si>
  <si>
    <t>Building Materials</t>
  </si>
  <si>
    <t>CVX</t>
  </si>
  <si>
    <t>CHCT</t>
  </si>
  <si>
    <t>IOSP</t>
  </si>
  <si>
    <t>COP</t>
  </si>
  <si>
    <t>FBRT</t>
  </si>
  <si>
    <t>HL</t>
  </si>
  <si>
    <t>BTU</t>
  </si>
  <si>
    <t>CIM</t>
  </si>
  <si>
    <t>MTA</t>
  </si>
  <si>
    <t>BSM</t>
  </si>
  <si>
    <t>LTC</t>
  </si>
  <si>
    <t>BP</t>
  </si>
  <si>
    <t>STAG</t>
  </si>
  <si>
    <t>B</t>
  </si>
  <si>
    <t>FR</t>
  </si>
  <si>
    <t>DC</t>
  </si>
  <si>
    <t>APA</t>
  </si>
  <si>
    <t>MUX</t>
  </si>
  <si>
    <t>AM</t>
  </si>
  <si>
    <t>PECO</t>
  </si>
  <si>
    <t>XPRO</t>
  </si>
  <si>
    <t>LXU</t>
  </si>
  <si>
    <t>TCI</t>
  </si>
  <si>
    <t>SGU</t>
  </si>
  <si>
    <t>TRNO</t>
  </si>
  <si>
    <t>SQM</t>
  </si>
  <si>
    <t>PR</t>
  </si>
  <si>
    <t>WSR</t>
  </si>
  <si>
    <t>LAR</t>
  </si>
  <si>
    <t>OIS</t>
  </si>
  <si>
    <t>PRM</t>
  </si>
  <si>
    <t>RYN</t>
  </si>
  <si>
    <t>NXE</t>
  </si>
  <si>
    <t>UE</t>
  </si>
  <si>
    <t>SIM</t>
  </si>
  <si>
    <t>NOG</t>
  </si>
  <si>
    <t>SKT</t>
  </si>
  <si>
    <t>ODC</t>
  </si>
  <si>
    <t>NOA</t>
  </si>
  <si>
    <t>WY</t>
  </si>
  <si>
    <t>CSTM</t>
  </si>
  <si>
    <t>Aluminum</t>
  </si>
  <si>
    <t>NFG</t>
  </si>
  <si>
    <t>BXMT</t>
  </si>
  <si>
    <t>CLF</t>
  </si>
  <si>
    <t>MPLX</t>
  </si>
  <si>
    <t>STWD</t>
  </si>
  <si>
    <t>IFF</t>
  </si>
  <si>
    <t>LNG</t>
  </si>
  <si>
    <t>DEA</t>
  </si>
  <si>
    <t>GGB</t>
  </si>
  <si>
    <t>LEU</t>
  </si>
  <si>
    <t>PKST</t>
  </si>
  <si>
    <t>LWLG</t>
  </si>
  <si>
    <t>GPOR</t>
  </si>
  <si>
    <t>VRE</t>
  </si>
  <si>
    <t>AREC</t>
  </si>
  <si>
    <t>FET</t>
  </si>
  <si>
    <t>REG</t>
  </si>
  <si>
    <t>ALB</t>
  </si>
  <si>
    <t>EC</t>
  </si>
  <si>
    <t>GTY</t>
  </si>
  <si>
    <t>EGO</t>
  </si>
  <si>
    <t>CTRA</t>
  </si>
  <si>
    <t>CCS</t>
  </si>
  <si>
    <t>Real Estate - Development</t>
  </si>
  <si>
    <t>TGB</t>
  </si>
  <si>
    <t>CURB</t>
  </si>
  <si>
    <t>CRC</t>
  </si>
  <si>
    <t>CF</t>
  </si>
  <si>
    <t>JBGS</t>
  </si>
  <si>
    <t>CQP</t>
  </si>
  <si>
    <t>PKX</t>
  </si>
  <si>
    <t>VICI</t>
  </si>
  <si>
    <t>ESI</t>
  </si>
  <si>
    <t>CCJ</t>
  </si>
  <si>
    <t>CWK</t>
  </si>
  <si>
    <t>TX</t>
  </si>
  <si>
    <t>SDHC</t>
  </si>
  <si>
    <t>ARLP</t>
  </si>
  <si>
    <t>TMC</t>
  </si>
  <si>
    <t>MLP</t>
  </si>
  <si>
    <t>VTS</t>
  </si>
  <si>
    <t>UMH</t>
  </si>
  <si>
    <t>NEM</t>
  </si>
  <si>
    <t>TPL</t>
  </si>
  <si>
    <t>ELVR</t>
  </si>
  <si>
    <t>RITM</t>
  </si>
  <si>
    <t>TGS</t>
  </si>
  <si>
    <t>REX</t>
  </si>
  <si>
    <t>MRP</t>
  </si>
  <si>
    <t>RRC</t>
  </si>
  <si>
    <t>IAG</t>
  </si>
  <si>
    <t>PBR</t>
  </si>
  <si>
    <t>FOR</t>
  </si>
  <si>
    <t>ELE</t>
  </si>
  <si>
    <t>PAGP</t>
  </si>
  <si>
    <t>ORC</t>
  </si>
  <si>
    <t>HMY</t>
  </si>
  <si>
    <t>NC</t>
  </si>
  <si>
    <t>MAA</t>
  </si>
  <si>
    <t>GROY</t>
  </si>
  <si>
    <t>GEL</t>
  </si>
  <si>
    <t>GLPI</t>
  </si>
  <si>
    <t>EXE</t>
  </si>
  <si>
    <t>KW</t>
  </si>
  <si>
    <t>DNN</t>
  </si>
  <si>
    <t>UNIT</t>
  </si>
  <si>
    <t>SA</t>
  </si>
  <si>
    <t>CRK</t>
  </si>
  <si>
    <t>DLR</t>
  </si>
  <si>
    <t>CNX</t>
  </si>
  <si>
    <t>CDE</t>
  </si>
  <si>
    <t>ARI</t>
  </si>
  <si>
    <t>CNR</t>
  </si>
  <si>
    <t>CLB</t>
  </si>
  <si>
    <t>DX</t>
  </si>
  <si>
    <t>MEOH</t>
  </si>
  <si>
    <t>AR</t>
  </si>
  <si>
    <t>EXPI</t>
  </si>
  <si>
    <t>WS</t>
  </si>
  <si>
    <t>VTOL</t>
  </si>
  <si>
    <t>JLL</t>
  </si>
  <si>
    <t>FSM</t>
  </si>
  <si>
    <t>SMC</t>
  </si>
  <si>
    <t>PBR.A</t>
  </si>
  <si>
    <t>MFA</t>
  </si>
  <si>
    <t>NUE</t>
  </si>
  <si>
    <t>NRP</t>
  </si>
  <si>
    <t>ASTL</t>
  </si>
  <si>
    <t>REXR</t>
  </si>
  <si>
    <t>EU</t>
  </si>
  <si>
    <t>LAC</t>
  </si>
  <si>
    <t>PK</t>
  </si>
  <si>
    <t>EQT</t>
  </si>
  <si>
    <t>SBSW</t>
  </si>
  <si>
    <t>AGNC</t>
  </si>
  <si>
    <t>CSAN</t>
  </si>
  <si>
    <t>GAU</t>
  </si>
  <si>
    <t>CLNE</t>
  </si>
  <si>
    <t>IRS</t>
  </si>
  <si>
    <t>MSB</t>
  </si>
  <si>
    <t>BRSP</t>
  </si>
  <si>
    <t>FPH</t>
  </si>
  <si>
    <t>SCCO</t>
  </si>
  <si>
    <t>UHT</t>
  </si>
  <si>
    <t>IE</t>
  </si>
  <si>
    <t>NLY</t>
  </si>
  <si>
    <t>FCX</t>
  </si>
  <si>
    <t>ABR</t>
  </si>
  <si>
    <t>SKE</t>
  </si>
  <si>
    <t>WLKP</t>
  </si>
  <si>
    <t>VTMX</t>
  </si>
  <si>
    <t>ECVT</t>
  </si>
  <si>
    <t>SITC</t>
  </si>
  <si>
    <t>CMTG</t>
  </si>
  <si>
    <t>AU</t>
  </si>
  <si>
    <t>ALX</t>
  </si>
  <si>
    <t>USAR</t>
  </si>
  <si>
    <t>TRTX</t>
  </si>
  <si>
    <t>SID</t>
  </si>
  <si>
    <t>REAX</t>
  </si>
  <si>
    <t>ODV</t>
  </si>
  <si>
    <t>CIGI</t>
  </si>
  <si>
    <t>PPTA</t>
  </si>
  <si>
    <t>SKYH</t>
  </si>
  <si>
    <t>GLDG</t>
  </si>
  <si>
    <t>RWT</t>
  </si>
  <si>
    <t>KALU</t>
  </si>
  <si>
    <t>PMT</t>
  </si>
  <si>
    <t>DRD</t>
  </si>
  <si>
    <t>LADR</t>
  </si>
  <si>
    <t>SUI</t>
  </si>
  <si>
    <t>NB</t>
  </si>
  <si>
    <t>IVT</t>
  </si>
  <si>
    <t>NG</t>
  </si>
  <si>
    <t>EPRT</t>
  </si>
  <si>
    <t>TFPM</t>
  </si>
  <si>
    <t>FCPT</t>
  </si>
  <si>
    <t>UAN</t>
  </si>
  <si>
    <t>CENX</t>
  </si>
  <si>
    <t>FPI</t>
  </si>
  <si>
    <t>NFGC</t>
  </si>
  <si>
    <t>SBAC</t>
  </si>
  <si>
    <t>SXT</t>
  </si>
  <si>
    <t>EQX</t>
  </si>
  <si>
    <t>WPM</t>
  </si>
  <si>
    <t>AGI</t>
  </si>
  <si>
    <t>CMCL</t>
  </si>
  <si>
    <t>NEU</t>
  </si>
  <si>
    <t>CGAU</t>
  </si>
  <si>
    <t>AEM</t>
  </si>
  <si>
    <t>LYB</t>
  </si>
  <si>
    <t>ZEUS</t>
  </si>
  <si>
    <t>AA</t>
  </si>
  <si>
    <t>STLD</t>
  </si>
  <si>
    <t>ARMN</t>
  </si>
  <si>
    <t>HWKN</t>
  </si>
  <si>
    <t>MT</t>
  </si>
  <si>
    <t>NVA</t>
  </si>
  <si>
    <t>IAUX</t>
  </si>
  <si>
    <t>KGC</t>
  </si>
  <si>
    <t>RGLD</t>
  </si>
  <si>
    <t>OR</t>
  </si>
  <si>
    <t>ALM</t>
  </si>
  <si>
    <t>SSL</t>
  </si>
  <si>
    <t>PLG</t>
  </si>
  <si>
    <t>ASH</t>
  </si>
  <si>
    <t>HUN</t>
  </si>
  <si>
    <t>MP</t>
  </si>
  <si>
    <t>RS</t>
  </si>
  <si>
    <t>VALE</t>
  </si>
  <si>
    <t>CTVA</t>
  </si>
  <si>
    <t>ITRG</t>
  </si>
  <si>
    <t>DOW</t>
  </si>
  <si>
    <t>CC</t>
  </si>
  <si>
    <t>OEC</t>
  </si>
  <si>
    <t>CRML</t>
  </si>
  <si>
    <t>GFI</t>
  </si>
  <si>
    <t>ORLA</t>
  </si>
  <si>
    <t>FNV</t>
  </si>
  <si>
    <t>GPRE</t>
  </si>
  <si>
    <t>KRO</t>
  </si>
  <si>
    <t>KWR</t>
  </si>
  <si>
    <t>SGML</t>
  </si>
  <si>
    <t>TII</t>
  </si>
  <si>
    <t>CMC</t>
  </si>
  <si>
    <t>OLN</t>
  </si>
  <si>
    <t>UAMY</t>
  </si>
  <si>
    <t>AAUC</t>
  </si>
  <si>
    <t>APD</t>
  </si>
  <si>
    <t>CLMT</t>
  </si>
  <si>
    <t>CNL</t>
  </si>
  <si>
    <t>RYAM</t>
  </si>
  <si>
    <t>HCC</t>
  </si>
  <si>
    <t>AUGO</t>
  </si>
  <si>
    <t>NEXA</t>
  </si>
  <si>
    <t>SSD</t>
  </si>
  <si>
    <t>Lumber &amp; Wood Production</t>
  </si>
  <si>
    <t>NTR</t>
  </si>
  <si>
    <t>CE</t>
  </si>
  <si>
    <t>LIN</t>
  </si>
  <si>
    <t>AMR</t>
  </si>
  <si>
    <t>EMN</t>
  </si>
  <si>
    <t>USLM</t>
  </si>
  <si>
    <t>AXTA</t>
  </si>
  <si>
    <t>FUL</t>
  </si>
  <si>
    <t>GSM</t>
  </si>
  <si>
    <t>ASIX</t>
  </si>
  <si>
    <t>MOS</t>
  </si>
  <si>
    <t>SUZ</t>
  </si>
  <si>
    <t>Paper &amp; Paper Products</t>
  </si>
  <si>
    <t>SCL</t>
  </si>
  <si>
    <t>NMG</t>
  </si>
  <si>
    <t>CPAC</t>
  </si>
  <si>
    <t>TROX</t>
  </si>
  <si>
    <t>AMRZ</t>
  </si>
  <si>
    <t>BCPC</t>
  </si>
  <si>
    <t>WLK</t>
  </si>
  <si>
    <t>WFG</t>
  </si>
  <si>
    <t>ECL</t>
  </si>
  <si>
    <t>FMC</t>
  </si>
  <si>
    <t>KNF</t>
  </si>
  <si>
    <t>UFPI</t>
  </si>
  <si>
    <t>NGVT</t>
  </si>
  <si>
    <t>CRH</t>
  </si>
  <si>
    <t>LOMA</t>
  </si>
  <si>
    <t>TTAM</t>
  </si>
  <si>
    <t>SMG</t>
  </si>
  <si>
    <t>VHI</t>
  </si>
  <si>
    <t>PPG</t>
  </si>
  <si>
    <t>EXP</t>
  </si>
  <si>
    <t>JHX</t>
  </si>
  <si>
    <t>GEVO</t>
  </si>
  <si>
    <t>MATV</t>
  </si>
  <si>
    <t>AVNT</t>
  </si>
  <si>
    <t>HDSN</t>
  </si>
  <si>
    <t>SLVM</t>
  </si>
  <si>
    <t>MTUS</t>
  </si>
  <si>
    <t>TGLS</t>
  </si>
  <si>
    <t>VMC</t>
  </si>
  <si>
    <t>RPM</t>
  </si>
  <si>
    <t>SHW</t>
  </si>
  <si>
    <t>MLM</t>
  </si>
  <si>
    <t>BCC</t>
  </si>
  <si>
    <t>WDFC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</si>
</sst>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0"/>
    <numFmt numFmtId="165" formatCode="&quot;$&quot;#,##0.00"/>
    <numFmt numFmtId="166" formatCode="0.000"/>
    <numFmt numFmtId="167" formatCode="&quot;$&quot;#,##0"/>
  </numFmts>
  <fonts count="7">
    <font>
      <sz val="10.0"/>
      <color rgb="FF000000"/>
      <name val="Arial"/>
      <scheme val="minor"/>
    </font>
    <font>
      <b/>
      <sz val="9.0"/>
      <color rgb="FFFFFFFF"/>
      <name val="Montserrat"/>
    </font>
    <font>
      <b/>
      <sz val="9.0"/>
      <color rgb="FF000000"/>
      <name val="Montserrat"/>
    </font>
    <font>
      <b/>
      <sz val="9.0"/>
      <color theme="1"/>
      <name val="Montserrat"/>
    </font>
    <font>
      <b/>
      <sz val="9.0"/>
      <color rgb="FF00FF00"/>
      <name val="Montserrat"/>
    </font>
    <font/>
    <font>
      <b/>
      <sz val="9.0"/>
      <color rgb="FFFF0000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7">
    <border/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434343"/>
      </left>
      <right style="thin">
        <color rgb="FF434343"/>
      </right>
      <top style="thin">
        <color rgb="FF434343"/>
      </top>
    </border>
    <border>
      <left style="thin">
        <color rgb="FF434343"/>
      </left>
      <top style="thin">
        <color rgb="FF434343"/>
      </top>
      <bottom style="thin">
        <color rgb="FF434343"/>
      </bottom>
    </border>
    <border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434343"/>
      </left>
      <right style="thin">
        <color rgb="FF434343"/>
      </right>
    </border>
    <border>
      <left style="thin">
        <color rgb="FF434343"/>
      </left>
      <right style="thin">
        <color rgb="FF434343"/>
      </right>
      <bottom style="thin">
        <color rgb="FF434343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1" fillId="2" fontId="1" numFmtId="9" xfId="0" applyAlignment="1" applyBorder="1" applyFill="1" applyFont="1" applyNumberFormat="1">
      <alignment horizontal="center" readingOrder="0" shrinkToFit="0" vertical="center" wrapText="0"/>
    </xf>
    <xf borderId="1" fillId="2" fontId="1" numFmtId="164" xfId="0" applyAlignment="1" applyBorder="1" applyFill="1" applyFont="1" applyNumberFormat="1">
      <alignment horizontal="center" readingOrder="0" shrinkToFit="0" vertical="center" wrapText="0"/>
    </xf>
    <xf borderId="1" fillId="2" fontId="1" numFmtId="2" xfId="0" applyAlignment="1" applyBorder="1" applyFill="1" applyFont="1" applyNumberFormat="1">
      <alignment horizontal="center" readingOrder="0" shrinkToFit="0" vertical="center" wrapText="0"/>
    </xf>
    <xf borderId="2" fillId="2" fontId="1" numFmtId="0" xfId="0" applyAlignment="1" applyBorder="1" applyFill="1" applyFont="1">
      <alignment horizontal="center" readingOrder="0" shrinkToFit="0" vertical="center" wrapText="0"/>
    </xf>
    <xf borderId="1" fillId="2" fontId="1" numFmtId="2" xfId="0" applyAlignment="1" applyBorder="1" applyFill="1" applyFont="1" applyNumberFormat="1">
      <alignment horizontal="center" readingOrder="0" shrinkToFit="0" vertical="center" wrapText="0"/>
    </xf>
    <xf borderId="3" fillId="2" fontId="1" numFmtId="2" xfId="0" applyAlignment="1" applyBorder="1" applyFill="1" applyFont="1" applyNumberFormat="1">
      <alignment horizontal="center" readingOrder="0" shrinkToFit="0" vertical="center" wrapText="0"/>
    </xf>
    <xf borderId="0" fillId="2" fontId="2" numFmtId="2" xfId="0" applyAlignment="1" applyFill="1" applyFont="1" applyNumberFormat="1">
      <alignment horizontal="center" readingOrder="0" shrinkToFit="0" vertical="center" wrapText="0"/>
    </xf>
    <xf borderId="2" fillId="2" fontId="1" numFmtId="2" xfId="0" applyAlignment="1" applyBorder="1" applyFill="1" applyFont="1" applyNumberFormat="1">
      <alignment horizontal="center" readingOrder="0" shrinkToFit="0" vertical="center" wrapText="0"/>
    </xf>
    <xf borderId="4" fillId="2" fontId="1" numFmtId="165" xfId="0" applyAlignment="1" applyBorder="1" applyFill="1" applyFont="1" applyNumberFormat="1">
      <alignment horizontal="center" readingOrder="0" shrinkToFit="0" vertical="center" wrapText="0"/>
    </xf>
    <xf borderId="3" fillId="2" fontId="1" numFmtId="165" xfId="0" applyAlignment="1" applyBorder="1" applyFill="1" applyFont="1" applyNumberFormat="1">
      <alignment horizontal="center" readingOrder="0" shrinkToFit="0" vertical="center" wrapText="0"/>
    </xf>
    <xf borderId="1" fillId="2" fontId="1" numFmtId="165" xfId="0" applyAlignment="1" applyBorder="1" applyFill="1" applyFont="1" applyNumberFormat="1">
      <alignment horizontal="center" readingOrder="0" shrinkToFit="0" vertical="center" wrapText="0"/>
    </xf>
    <xf borderId="0" fillId="2" fontId="1" numFmtId="0" xfId="0" applyAlignment="1" applyFill="1" applyFont="1">
      <alignment horizontal="center" shrinkToFit="0" vertical="center" wrapText="0"/>
    </xf>
    <xf borderId="0" fillId="2" fontId="1" numFmtId="0" xfId="0" applyAlignment="1" applyFill="1" applyFont="1">
      <alignment horizontal="center" readingOrder="0" shrinkToFit="0" vertical="center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2" fontId="1" numFmtId="9" xfId="0" applyAlignment="1" applyBorder="1" applyFill="1" applyFont="1" applyNumberFormat="1">
      <alignment horizontal="center" shrinkToFit="0" vertical="center" wrapText="0"/>
    </xf>
    <xf borderId="1" fillId="2" fontId="1" numFmtId="0" xfId="0" applyAlignment="1" applyBorder="1" applyFill="1" applyFont="1">
      <alignment horizontal="left" shrinkToFit="0" vertical="center" wrapText="0"/>
    </xf>
    <xf borderId="1" fillId="2" fontId="3" numFmtId="3" xfId="0" applyAlignment="1" applyBorder="1" applyFill="1" applyFont="1" applyNumberFormat="1">
      <alignment horizontal="center" shrinkToFit="0" vertical="center" wrapText="0"/>
    </xf>
    <xf borderId="1" fillId="2" fontId="1" numFmtId="2" xfId="0" applyAlignment="1" applyBorder="1" applyFill="1" applyFont="1" applyNumberFormat="1">
      <alignment horizontal="center" shrinkToFit="0" vertical="center" wrapText="0"/>
    </xf>
    <xf borderId="1" fillId="2" fontId="4" numFmtId="10" xfId="0" applyAlignment="1" applyBorder="1" applyFill="1" applyFont="1" applyNumberFormat="1">
      <alignment horizontal="center" shrinkToFit="0" vertical="center" wrapText="0"/>
    </xf>
    <xf borderId="5" fillId="0" fontId="5" numFmtId="0" xfId="0" applyBorder="1" applyFont="1"/>
    <xf borderId="1" fillId="2" fontId="1" numFmtId="2" xfId="0" applyAlignment="1" applyBorder="1" applyFill="1" applyFont="1" applyNumberFormat="1">
      <alignment horizontal="center" shrinkToFit="0" vertical="center" wrapText="0"/>
    </xf>
    <xf borderId="3" fillId="2" fontId="1" numFmtId="2" xfId="0" applyAlignment="1" applyBorder="1" applyFill="1" applyFont="1" applyNumberFormat="1">
      <alignment horizontal="center" shrinkToFit="0" vertical="center" wrapText="0"/>
    </xf>
    <xf borderId="1" fillId="2" fontId="1" numFmtId="0" xfId="0" applyAlignment="1" applyBorder="1" applyFill="1" applyFont="1">
      <alignment horizontal="left" shrinkToFit="0" vertical="center" wrapText="0"/>
    </xf>
    <xf borderId="4" fillId="2" fontId="1" numFmtId="165" xfId="0" applyAlignment="1" applyBorder="1" applyFill="1" applyFont="1" applyNumberFormat="1">
      <alignment horizontal="center" shrinkToFit="0" vertical="center" wrapText="0"/>
    </xf>
    <xf borderId="1" fillId="2" fontId="1" numFmtId="165" xfId="0" applyAlignment="1" applyBorder="1" applyFill="1" applyFont="1" applyNumberFormat="1">
      <alignment horizontal="center" shrinkToFit="0" vertical="center" wrapText="0"/>
    </xf>
    <xf borderId="0" fillId="2" fontId="1" numFmtId="165" xfId="0" applyAlignment="1" applyFill="1" applyFont="1" applyNumberFormat="1">
      <alignment horizontal="center" shrinkToFit="0" vertical="center" wrapText="0"/>
    </xf>
    <xf borderId="0" fillId="2" fontId="1" numFmtId="166" xfId="0" applyAlignment="1" applyFill="1" applyFont="1" applyNumberFormat="1">
      <alignment horizontal="center" shrinkToFit="0" vertical="center" wrapText="0"/>
    </xf>
    <xf borderId="1" fillId="2" fontId="1" numFmtId="0" xfId="0" applyAlignment="1" applyBorder="1" applyFill="1" applyFont="1">
      <alignment horizontal="left" readingOrder="0" shrinkToFit="0" vertical="center" wrapText="0"/>
    </xf>
    <xf borderId="6" fillId="0" fontId="5" numFmtId="0" xfId="0" applyBorder="1" applyFont="1"/>
    <xf borderId="1" fillId="2" fontId="1" numFmtId="0" xfId="0" applyAlignment="1" applyBorder="1" applyFill="1" applyFont="1">
      <alignment horizontal="center" readingOrder="0"/>
    </xf>
    <xf borderId="1" fillId="2" fontId="2" numFmtId="3" xfId="0" applyAlignment="1" applyBorder="1" applyFill="1" applyFont="1" applyNumberFormat="1">
      <alignment horizontal="center" shrinkToFit="0" vertical="center" wrapText="0"/>
    </xf>
    <xf borderId="1" fillId="2" fontId="1" numFmtId="0" xfId="0" applyAlignment="1" applyBorder="1" applyFill="1" applyFont="1">
      <alignment horizontal="left" readingOrder="0" shrinkToFit="0" vertical="center" wrapText="0"/>
    </xf>
    <xf borderId="1" fillId="2" fontId="6" numFmtId="0" xfId="0" applyAlignment="1" applyBorder="1" applyFill="1" applyFont="1">
      <alignment horizontal="left" readingOrder="0" shrinkToFit="0" vertical="center" wrapText="0"/>
    </xf>
    <xf borderId="1" fillId="2" fontId="6" numFmtId="0" xfId="0" applyAlignment="1" applyBorder="1" applyFill="1" applyFont="1">
      <alignment horizontal="right" readingOrder="0" shrinkToFit="0" vertical="center" wrapText="0"/>
    </xf>
    <xf borderId="1" fillId="2" fontId="1" numFmtId="167" xfId="0" applyAlignment="1" applyBorder="1" applyFill="1" applyFont="1" applyNumberFormat="1">
      <alignment horizontal="right" shrinkToFit="0" vertical="center" wrapText="0"/>
    </xf>
    <xf borderId="1" fillId="2" fontId="2" numFmtId="164" xfId="0" applyAlignment="1" applyBorder="1" applyFill="1" applyFont="1" applyNumberFormat="1">
      <alignment horizontal="center" shrinkToFit="0" vertical="center" wrapText="0"/>
    </xf>
    <xf borderId="5" fillId="2" fontId="1" numFmtId="0" xfId="0" applyAlignment="1" applyBorder="1" applyFill="1" applyFont="1">
      <alignment horizontal="center" readingOrder="0" shrinkToFit="0" vertical="center" wrapText="0"/>
    </xf>
    <xf borderId="5" fillId="2" fontId="1" numFmtId="2" xfId="0" applyAlignment="1" applyBorder="1" applyFill="1" applyFont="1" applyNumberFormat="1">
      <alignment horizontal="center" readingOrder="0" shrinkToFit="0" vertical="center" wrapText="0"/>
    </xf>
    <xf borderId="6" fillId="2" fontId="1" numFmtId="0" xfId="0" applyAlignment="1" applyBorder="1" applyFill="1" applyFont="1">
      <alignment horizontal="center" readingOrder="0" shrinkToFit="0" vertical="center" wrapText="0"/>
    </xf>
    <xf borderId="6" fillId="2" fontId="1" numFmtId="2" xfId="0" applyAlignment="1" applyBorder="1" applyFill="1" applyFont="1" applyNumberFormat="1">
      <alignment horizontal="center" readingOrder="0" shrinkToFit="0" vertical="center" wrapText="0"/>
    </xf>
    <xf borderId="2" fillId="2" fontId="1" numFmtId="2" xfId="0" applyAlignment="1" applyBorder="1" applyFill="1" applyFont="1" applyNumberFormat="1">
      <alignment horizontal="center" vertical="center"/>
    </xf>
    <xf borderId="2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horizontal="center" shrinkToFit="0" vertical="center" wrapText="0"/>
    </xf>
  </cellXfs>
  <cellStyles count="1">
    <cellStyle xfId="0" name="Normal" builtinId="0"/>
  </cellStyles>
  <dxfs count="10">
    <dxf>
      <font>
        <color rgb="FFFF0000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666666"/>
          <bgColor rgb="FF666666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00FF"/>
          <bgColor rgb="FFFF00FF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34A853"/>
          <bgColor rgb="FF34A853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>
        <color rgb="FF000000"/>
      </font>
      <fill>
        <patternFill patternType="solid">
          <fgColor rgb="FF34A853"/>
          <bgColor rgb="FF34A853"/>
        </patternFill>
      </fill>
      <border/>
    </dxf>
    <dxf>
      <font>
        <color rgb="FF00FF00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2.13"/>
    <col customWidth="1" min="2" max="2" width="9.13"/>
    <col customWidth="1" min="3" max="3" width="8.25"/>
    <col customWidth="1" min="4" max="4" width="32.75"/>
    <col customWidth="1" min="5" max="5" width="11.25"/>
    <col customWidth="1" min="6" max="6" width="8.25"/>
    <col customWidth="1" min="7" max="7" width="6.63"/>
    <col customWidth="1" min="8" max="8" width="7.13"/>
    <col customWidth="1" min="9" max="12" width="7.38"/>
    <col customWidth="1" min="13" max="13" width="9.38"/>
    <col customWidth="1" min="14" max="14" width="8.63"/>
    <col customWidth="1" min="15" max="15" width="1.63"/>
    <col customWidth="1" min="16" max="16" width="9.25"/>
    <col customWidth="1" min="17" max="18" width="10.75"/>
    <col customWidth="1" min="19" max="19" width="10.88"/>
    <col customWidth="1" min="20" max="20" width="10.75"/>
    <col customWidth="1" min="21" max="21" width="10.88"/>
    <col customWidth="1" min="22" max="22" width="10.75"/>
    <col customWidth="1" min="23" max="24" width="10.88"/>
    <col customWidth="1" min="25" max="25" width="11.5"/>
    <col customWidth="1" min="26" max="26" width="11.0"/>
    <col customWidth="1" min="27" max="28" width="11.25"/>
    <col customWidth="1" min="29" max="29" width="11.5"/>
    <col customWidth="1" min="30" max="34" width="11.38"/>
    <col customWidth="1" min="35" max="35" width="11.75"/>
    <col customWidth="1" min="36" max="36" width="11.38"/>
    <col customWidth="1" min="37" max="37" width="11.63"/>
    <col customWidth="1" min="38" max="38" width="14.5"/>
    <col customWidth="1" min="39" max="60" width="5.5"/>
    <col customWidth="1" min="61" max="61" width="5.3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6" t="s">
        <v>13</v>
      </c>
      <c r="N1" s="7" t="s">
        <v>14</v>
      </c>
      <c r="O1" s="8" t="s">
        <v>15</v>
      </c>
      <c r="P1" s="10" t="s">
        <v>16</v>
      </c>
      <c r="Q1" s="11" t="s">
        <v>18</v>
      </c>
      <c r="R1" s="12" t="s">
        <v>20</v>
      </c>
      <c r="S1" s="11" t="s">
        <v>21</v>
      </c>
      <c r="T1" s="12" t="s">
        <v>22</v>
      </c>
      <c r="U1" s="11" t="s">
        <v>24</v>
      </c>
      <c r="V1" s="11" t="s">
        <v>25</v>
      </c>
      <c r="W1" s="12" t="s">
        <v>26</v>
      </c>
      <c r="X1" s="11" t="s">
        <v>27</v>
      </c>
      <c r="Y1" s="12" t="s">
        <v>28</v>
      </c>
      <c r="Z1" s="11" t="s">
        <v>29</v>
      </c>
      <c r="AA1" s="11" t="s">
        <v>30</v>
      </c>
      <c r="AB1" s="12" t="s">
        <v>31</v>
      </c>
      <c r="AC1" s="11" t="s">
        <v>32</v>
      </c>
      <c r="AD1" s="12" t="s">
        <v>33</v>
      </c>
      <c r="AE1" s="11" t="s">
        <v>34</v>
      </c>
      <c r="AF1" s="11" t="s">
        <v>35</v>
      </c>
      <c r="AG1" s="12" t="s">
        <v>36</v>
      </c>
      <c r="AH1" s="11" t="s">
        <v>37</v>
      </c>
      <c r="AI1" s="12" t="s">
        <v>38</v>
      </c>
      <c r="AJ1" s="11" t="s">
        <v>39</v>
      </c>
      <c r="AK1" s="11" t="s">
        <v>40</v>
      </c>
      <c r="AL1" s="13"/>
      <c r="AM1" s="14">
        <v>1.0</v>
      </c>
      <c r="AN1" s="14">
        <v>2.0</v>
      </c>
      <c r="AO1" s="14">
        <v>3.0</v>
      </c>
      <c r="AP1" s="14">
        <v>4.0</v>
      </c>
      <c r="AQ1" s="14">
        <v>5.0</v>
      </c>
      <c r="AR1" s="14">
        <v>6.0</v>
      </c>
      <c r="AS1" s="14">
        <v>7.0</v>
      </c>
      <c r="AT1" s="14">
        <v>8.0</v>
      </c>
      <c r="AU1" s="14">
        <v>9.0</v>
      </c>
      <c r="AV1" s="14">
        <v>10.0</v>
      </c>
      <c r="AW1" s="14">
        <v>11.0</v>
      </c>
      <c r="AX1" s="14">
        <v>12.0</v>
      </c>
      <c r="AY1" s="14">
        <v>13.0</v>
      </c>
      <c r="AZ1" s="14">
        <v>14.0</v>
      </c>
      <c r="BA1" s="14">
        <v>15.0</v>
      </c>
      <c r="BB1" s="14">
        <v>16.0</v>
      </c>
      <c r="BC1" s="14">
        <v>17.0</v>
      </c>
      <c r="BD1" s="14">
        <v>18.0</v>
      </c>
      <c r="BE1" s="14">
        <v>19.0</v>
      </c>
      <c r="BF1" s="14">
        <v>20.0</v>
      </c>
      <c r="BG1" s="14">
        <v>21.0</v>
      </c>
      <c r="BH1" s="14">
        <v>22.0</v>
      </c>
      <c r="BI1" s="14" t="s">
        <v>41</v>
      </c>
    </row>
    <row r="2">
      <c r="A2" s="16" t="str">
        <f>IFERROR(__xludf.DUMMYFUNCTION("SPARKLINE(SORT(MAP(TRANSPOSE(AM2:BH2), LAMBDA(val, PERCENTRANK(AM2:BH2, val)+0.01)), SEQUENCE(COLUMNS(AM2:BH2)), FALSE), {""charttype"",""column""; ""color"",""chartreuse""; ""ymin"", 0; ""ymax"", 1.01; ""highcolor"", ""darkgreen""; ""lowcolor"", ""red""}"&amp;")"),"#N/A")</f>
        <v>#N/A</v>
      </c>
      <c r="B2" s="17">
        <f>IF(C2="SPY", 1, PERCENTRANK(AM2:BH2, AM2))</f>
        <v>1</v>
      </c>
      <c r="C2" s="1" t="s">
        <v>42</v>
      </c>
      <c r="D2" s="18" t="str">
        <f>IFERROR(__xludf.DUMMYFUNCTION("IFERROR(GOOGLEFINANCE(C2, ""NAME""))"),"State Street SPDR S&amp;P 500 ETF Trust")</f>
        <v>State Street SPDR S&amp;P 500 ETF Trust</v>
      </c>
      <c r="E2" s="19" t="str">
        <f>IFERROR(__xludf.DUMMYFUNCTION("( (GOOGLEFINANCE(C2, ""price"") - M2) / M2 ) / (N2 / 100)"),"Loading...")</f>
        <v>Loading...</v>
      </c>
      <c r="F2" s="20" t="str">
        <f>IFERROR(__xludf.DUMMYFUNCTION("AVERAGE(ARRAYFORMULA(100 * (QUERY(GOOGLEFINANCE(C2, ""high"", TODAY()-40, TODAY()), ""SELECT Col2 WHERE Col2 IS NOT NULL ORDER BY Col1 DESC LIMIT 20"", 0) / QUERY(GOOGLEFINANCE(C2, ""low"", TODAY()-40, TODAY()), ""SELECT Col2 WHERE Col2 IS NOT NULL ORDER "&amp;"BY Col1 DESC LIMIT 20"", 0) - 1)))"),"#N/A")</f>
        <v>#N/A</v>
      </c>
      <c r="G2" s="21">
        <f>IFERROR(__xludf.DUMMYFUNCTION("IFERROR(GOOGLEFINANCE(C2, ""changepct"") / 100, """")"),-0.0111)</f>
        <v>-0.0111</v>
      </c>
      <c r="H2" s="21" t="str">
        <f>IFERROR(__xludf.DUMMYFUNCTION("IFERROR((GOOGLEFINANCE(C2, ""price"") / INDEX(GOOGLEFINANCE(C2, ""price"", TODAY()-7, TODAY()), 2, 2)) - 1, """")"),"")</f>
        <v/>
      </c>
      <c r="I2" s="21" t="str">
        <f>IFERROR(__xludf.DUMMYFUNCTION("IFERROR((GOOGLEFINANCE(C2, ""price"") / INDEX(GOOGLEFINANCE(C2, ""price"", EDATE(TODAY(), -1), TODAY()), 2, 2)) - 1, """")"),"")</f>
        <v/>
      </c>
      <c r="J2" s="21" t="str">
        <f>IFERROR(__xludf.DUMMYFUNCTION("IFERROR((GOOGLEFINANCE(C2, ""price"") / INDEX(GOOGLEFINANCE(C2, ""price"", EDATE(TODAY(), -3), TODAY()), 2, 2)) - 1, """")"),"")</f>
        <v/>
      </c>
      <c r="K2" s="21" t="str">
        <f>IFERROR(__xludf.DUMMYFUNCTION("IFERROR((GOOGLEFINANCE(C2, ""price"") / INDEX(GOOGLEFINANCE(C2, ""price"", EDATE(TODAY(), -6), TODAY()), 2, 2)) - 1, """")"),"")</f>
        <v/>
      </c>
      <c r="L2" s="21" t="str">
        <f>IFERROR(__xludf.DUMMYFUNCTION("IFERROR((GOOGLEFINANCE(C2, ""price"") / INDEX(GOOGLEFINANCE(C2, ""price"", EDATE(TODAY(), -12), TODAY()), 2, 2)) - 1, """")"),"")</f>
        <v/>
      </c>
      <c r="M2" s="23" t="str">
        <f>IFERROR(__xludf.DUMMYFUNCTION("AVERAGE(QUERY(GOOGLEFINANCE(C2, ""price"", TODAY()-80, TODAY()), ""SELECT Col2 WHERE Col2 IS NOT NULL ORDER BY Col1 DESC LIMIT 50"", 0))"),"#N/A")</f>
        <v>#N/A</v>
      </c>
      <c r="N2" s="24" t="str">
        <f>IFERROR(__xludf.DUMMYFUNCTION("IFERROR(
  LET(
    data, QUERY(GOOGLEFINANCE(C2,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GOOGLEFINANCE(C2, ""price"")) * 100,
    IF(calc=0, F2, calc)
  ), 
F2)"),"#N/A")</f>
        <v>#N/A</v>
      </c>
      <c r="O2" s="8" t="s">
        <v>15</v>
      </c>
      <c r="P2" s="26" t="str">
        <f>IFERROR(__xludf.DUMMYFUNCTION("TRANSPOSE(QUERY(SORT(GOOGLEFINANCE(C2, ""price"", WORKDAY(TODAY(), -40), TODAY()), 1, FALSE), ""select Col2 where Col2 is not null limit 22 label Col2 ''"", 0))"),"#N/A")</f>
        <v>#N/A</v>
      </c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8"/>
      <c r="AK2" s="28"/>
      <c r="AL2" s="29"/>
      <c r="AM2" s="29" t="str">
        <f t="shared" ref="AM2:BH2" si="1">P2/P$2</f>
        <v>#N/A</v>
      </c>
      <c r="AN2" s="29" t="str">
        <f t="shared" si="1"/>
        <v>#DIV/0!</v>
      </c>
      <c r="AO2" s="29" t="str">
        <f t="shared" si="1"/>
        <v>#DIV/0!</v>
      </c>
      <c r="AP2" s="29" t="str">
        <f t="shared" si="1"/>
        <v>#DIV/0!</v>
      </c>
      <c r="AQ2" s="29" t="str">
        <f t="shared" si="1"/>
        <v>#DIV/0!</v>
      </c>
      <c r="AR2" s="29" t="str">
        <f t="shared" si="1"/>
        <v>#DIV/0!</v>
      </c>
      <c r="AS2" s="29" t="str">
        <f t="shared" si="1"/>
        <v>#DIV/0!</v>
      </c>
      <c r="AT2" s="29" t="str">
        <f t="shared" si="1"/>
        <v>#DIV/0!</v>
      </c>
      <c r="AU2" s="29" t="str">
        <f t="shared" si="1"/>
        <v>#DIV/0!</v>
      </c>
      <c r="AV2" s="29" t="str">
        <f t="shared" si="1"/>
        <v>#DIV/0!</v>
      </c>
      <c r="AW2" s="29" t="str">
        <f t="shared" si="1"/>
        <v>#DIV/0!</v>
      </c>
      <c r="AX2" s="29" t="str">
        <f t="shared" si="1"/>
        <v>#DIV/0!</v>
      </c>
      <c r="AY2" s="29" t="str">
        <f t="shared" si="1"/>
        <v>#DIV/0!</v>
      </c>
      <c r="AZ2" s="29" t="str">
        <f t="shared" si="1"/>
        <v>#DIV/0!</v>
      </c>
      <c r="BA2" s="29" t="str">
        <f t="shared" si="1"/>
        <v>#DIV/0!</v>
      </c>
      <c r="BB2" s="29" t="str">
        <f t="shared" si="1"/>
        <v>#DIV/0!</v>
      </c>
      <c r="BC2" s="29" t="str">
        <f t="shared" si="1"/>
        <v>#DIV/0!</v>
      </c>
      <c r="BD2" s="29" t="str">
        <f t="shared" si="1"/>
        <v>#DIV/0!</v>
      </c>
      <c r="BE2" s="29" t="str">
        <f t="shared" si="1"/>
        <v>#DIV/0!</v>
      </c>
      <c r="BF2" s="29" t="str">
        <f t="shared" si="1"/>
        <v>#DIV/0!</v>
      </c>
      <c r="BG2" s="29" t="str">
        <f t="shared" si="1"/>
        <v>#DIV/0!</v>
      </c>
      <c r="BH2" s="29" t="str">
        <f t="shared" si="1"/>
        <v>#DIV/0!</v>
      </c>
      <c r="BI2" s="29" t="str">
        <f t="shared" ref="BI2:BI13" si="3">(P2/AK2)/(P$2/AK$2)</f>
        <v>#N/A</v>
      </c>
    </row>
    <row r="3">
      <c r="A3" s="16" t="str">
        <f>IFERROR(__xludf.DUMMYFUNCTION("IFERROR(SPARKLINE(SORT(MAP(TRANSPOSE(AM3:BH3), LAMBDA(val, IF(ISNUMBER(val), PERCENTRANK(AM3:BH3, val)+0.01, 0))), SEQUENCE(COLUMNS(AM3:BH3)), FALSE), {""charttype"",""column""; ""color"",""chartreuse""; ""ymin"", 0; ""ymax"", 1.01; ""highcolor"", ""darkg"&amp;"reen""; ""lowcolor"", ""red""}), """")"),"")</f>
        <v/>
      </c>
      <c r="B3" s="17" t="str">
        <f t="shared" ref="B3:B13" si="4">IFERROR(IF(C3="SPY", 1, IF(ISNUMBER(AM3), PERCENTRANK(AM3:BH3, AM3), "")), "")</f>
        <v/>
      </c>
      <c r="C3" s="32" t="s">
        <v>43</v>
      </c>
      <c r="D3" s="30" t="s">
        <v>44</v>
      </c>
      <c r="E3" s="33" t="str">
        <f>IFERROR(__xludf.DUMMYFUNCTION("( (GOOGLEFINANCE(C3, ""price"") - M3) / M3 ) / (N3 / 100)"),"Loading...")</f>
        <v>Loading...</v>
      </c>
      <c r="F3" s="20" t="str">
        <f>IFERROR(__xludf.DUMMYFUNCTION("AVERAGE(ARRAYFORMULA(100 * (QUERY(GOOGLEFINANCE(C3, ""high"", TODAY()-40, TODAY()), ""SELECT Col2 WHERE Col2 IS NOT NULL ORDER BY Col1 DESC LIMIT 20"", 0) / QUERY(GOOGLEFINANCE(C3, ""low"", TODAY()-40, TODAY()), ""SELECT Col2 WHERE Col2 IS NOT NULL ORDER "&amp;"BY Col1 DESC LIMIT 20"", 0) - 1)))"),"#N/A")</f>
        <v>#N/A</v>
      </c>
      <c r="G3" s="21">
        <f>IFERROR(__xludf.DUMMYFUNCTION("IFERROR(GOOGLEFINANCE(C3, ""changepct"") / 100, """")"),-0.0302)</f>
        <v>-0.0302</v>
      </c>
      <c r="H3" s="21" t="str">
        <f>IFERROR(__xludf.DUMMYFUNCTION("IFERROR((GOOGLEFINANCE(C3, ""price"") / INDEX(GOOGLEFINANCE(C3, ""price"", TODAY()-7, TODAY()), 2, 2)) - 1, """")"),"")</f>
        <v/>
      </c>
      <c r="I3" s="21" t="str">
        <f>IFERROR(__xludf.DUMMYFUNCTION("IFERROR((GOOGLEFINANCE(C3, ""price"") / INDEX(GOOGLEFINANCE(C3, ""price"", EDATE(TODAY(), -1), TODAY()), 2, 2)) - 1, """")"),"")</f>
        <v/>
      </c>
      <c r="J3" s="21" t="str">
        <f>IFERROR(__xludf.DUMMYFUNCTION("IFERROR((GOOGLEFINANCE(C3, ""price"") / INDEX(GOOGLEFINANCE(C3, ""price"", EDATE(TODAY(), -3), TODAY()), 2, 2)) - 1, """")"),"")</f>
        <v/>
      </c>
      <c r="K3" s="21" t="str">
        <f>IFERROR(__xludf.DUMMYFUNCTION("IFERROR((GOOGLEFINANCE(C3, ""price"") / INDEX(GOOGLEFINANCE(C3, ""price"", EDATE(TODAY(), -6), TODAY()), 2, 2)) - 1, """")"),"")</f>
        <v/>
      </c>
      <c r="L3" s="21" t="str">
        <f>IFERROR(__xludf.DUMMYFUNCTION("IFERROR((GOOGLEFINANCE(C3, ""price"") / INDEX(GOOGLEFINANCE(C3, ""price"", EDATE(TODAY(), -12), TODAY()), 2, 2)) - 1, """")"),"")</f>
        <v/>
      </c>
      <c r="M3" s="6" t="str">
        <f>IFERROR(__xludf.DUMMYFUNCTION("AVERAGE(QUERY(GOOGLEFINANCE(C3, ""price"", TODAY()-80, TODAY()), ""SELECT Col2 WHERE Col2 IS NOT NULL ORDER BY Col1 DESC LIMIT 50"", 0))"),"#N/A")</f>
        <v>#N/A</v>
      </c>
      <c r="N3" s="24" t="str">
        <f>IFERROR(__xludf.DUMMYFUNCTION("IFERROR(
  LET(
    data, QUERY(GOOGLEFINANCE(C3,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GOOGLEFINANCE(C3, ""price"")) * 100,
    IF(calc=0, F3, calc)
  ), 
F3)"),"#N/A")</f>
        <v>#N/A</v>
      </c>
      <c r="O3" s="8" t="s">
        <v>15</v>
      </c>
      <c r="P3" s="26" t="str">
        <f>IFERROR(__xludf.DUMMYFUNCTION("IFERROR(TRANSPOSE(QUERY(IFERROR(SORT(GOOGLEFINANCE(C3, ""price"", WORKDAY(TODAY(), -40), TODAY()), 1, FALSE)), ""select Col2 where Col2 is not null limit 22 label Col2 ''"", 0)), """")"),"")</f>
        <v/>
      </c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8"/>
      <c r="AK3" s="28"/>
      <c r="AL3" s="29"/>
      <c r="AM3" s="29" t="str">
        <f t="shared" ref="AM3:BH3" si="2">P3/P$2</f>
        <v>#N/A</v>
      </c>
      <c r="AN3" s="29" t="str">
        <f t="shared" si="2"/>
        <v>#DIV/0!</v>
      </c>
      <c r="AO3" s="29" t="str">
        <f t="shared" si="2"/>
        <v>#DIV/0!</v>
      </c>
      <c r="AP3" s="29" t="str">
        <f t="shared" si="2"/>
        <v>#DIV/0!</v>
      </c>
      <c r="AQ3" s="29" t="str">
        <f t="shared" si="2"/>
        <v>#DIV/0!</v>
      </c>
      <c r="AR3" s="29" t="str">
        <f t="shared" si="2"/>
        <v>#DIV/0!</v>
      </c>
      <c r="AS3" s="29" t="str">
        <f t="shared" si="2"/>
        <v>#DIV/0!</v>
      </c>
      <c r="AT3" s="29" t="str">
        <f t="shared" si="2"/>
        <v>#DIV/0!</v>
      </c>
      <c r="AU3" s="29" t="str">
        <f t="shared" si="2"/>
        <v>#DIV/0!</v>
      </c>
      <c r="AV3" s="29" t="str">
        <f t="shared" si="2"/>
        <v>#DIV/0!</v>
      </c>
      <c r="AW3" s="29" t="str">
        <f t="shared" si="2"/>
        <v>#DIV/0!</v>
      </c>
      <c r="AX3" s="29" t="str">
        <f t="shared" si="2"/>
        <v>#DIV/0!</v>
      </c>
      <c r="AY3" s="29" t="str">
        <f t="shared" si="2"/>
        <v>#DIV/0!</v>
      </c>
      <c r="AZ3" s="29" t="str">
        <f t="shared" si="2"/>
        <v>#DIV/0!</v>
      </c>
      <c r="BA3" s="29" t="str">
        <f t="shared" si="2"/>
        <v>#DIV/0!</v>
      </c>
      <c r="BB3" s="29" t="str">
        <f t="shared" si="2"/>
        <v>#DIV/0!</v>
      </c>
      <c r="BC3" s="29" t="str">
        <f t="shared" si="2"/>
        <v>#DIV/0!</v>
      </c>
      <c r="BD3" s="29" t="str">
        <f t="shared" si="2"/>
        <v>#DIV/0!</v>
      </c>
      <c r="BE3" s="29" t="str">
        <f t="shared" si="2"/>
        <v>#DIV/0!</v>
      </c>
      <c r="BF3" s="29" t="str">
        <f t="shared" si="2"/>
        <v>#DIV/0!</v>
      </c>
      <c r="BG3" s="29" t="str">
        <f t="shared" si="2"/>
        <v>#DIV/0!</v>
      </c>
      <c r="BH3" s="29" t="str">
        <f t="shared" si="2"/>
        <v>#DIV/0!</v>
      </c>
      <c r="BI3" s="29" t="str">
        <f t="shared" si="3"/>
        <v>#DIV/0!</v>
      </c>
    </row>
    <row r="4">
      <c r="A4" s="16" t="str">
        <f>IFERROR(__xludf.DUMMYFUNCTION("IFERROR(SPARKLINE(SORT(MAP(TRANSPOSE(AM4:BH4), LAMBDA(val, IF(ISNUMBER(val), PERCENTRANK(AM4:BH4, val)+0.01, 0))), SEQUENCE(COLUMNS(AM4:BH4)), FALSE), {""charttype"",""column""; ""color"",""chartreuse""; ""ymin"", 0; ""ymax"", 1.01; ""highcolor"", ""darkg"&amp;"reen""; ""lowcolor"", ""red""}), """")"),"")</f>
        <v/>
      </c>
      <c r="B4" s="17" t="str">
        <f t="shared" si="4"/>
        <v/>
      </c>
      <c r="C4" s="32" t="s">
        <v>49</v>
      </c>
      <c r="D4" s="30" t="s">
        <v>50</v>
      </c>
      <c r="E4" s="33" t="str">
        <f>IFERROR(__xludf.DUMMYFUNCTION("( (GOOGLEFINANCE(C4, ""price"") - M4) / M4 ) / (N4 / 100)"),"Loading...")</f>
        <v>Loading...</v>
      </c>
      <c r="F4" s="20" t="str">
        <f>IFERROR(__xludf.DUMMYFUNCTION("AVERAGE(ARRAYFORMULA(100 * (QUERY(GOOGLEFINANCE(C4, ""high"", TODAY()-40, TODAY()), ""SELECT Col2 WHERE Col2 IS NOT NULL ORDER BY Col1 DESC LIMIT 20"", 0) / QUERY(GOOGLEFINANCE(C4, ""low"", TODAY()-40, TODAY()), ""SELECT Col2 WHERE Col2 IS NOT NULL ORDER "&amp;"BY Col1 DESC LIMIT 20"", 0) - 1)))"),"#N/A")</f>
        <v>#N/A</v>
      </c>
      <c r="G4" s="21">
        <f>IFERROR(__xludf.DUMMYFUNCTION("IFERROR(GOOGLEFINANCE(C4, ""changepct"") / 100, """")"),0.0252)</f>
        <v>0.0252</v>
      </c>
      <c r="H4" s="21" t="str">
        <f>IFERROR(__xludf.DUMMYFUNCTION("IFERROR((GOOGLEFINANCE(C4, ""price"") / INDEX(GOOGLEFINANCE(C4, ""price"", TODAY()-7, TODAY()), 2, 2)) - 1, """")"),"")</f>
        <v/>
      </c>
      <c r="I4" s="21" t="str">
        <f>IFERROR(__xludf.DUMMYFUNCTION("IFERROR((GOOGLEFINANCE(C4, ""price"") / INDEX(GOOGLEFINANCE(C4, ""price"", EDATE(TODAY(), -1), TODAY()), 2, 2)) - 1, """")"),"")</f>
        <v/>
      </c>
      <c r="J4" s="21" t="str">
        <f>IFERROR(__xludf.DUMMYFUNCTION("IFERROR((GOOGLEFINANCE(C4, ""price"") / INDEX(GOOGLEFINANCE(C4, ""price"", EDATE(TODAY(), -3), TODAY()), 2, 2)) - 1, """")"),"")</f>
        <v/>
      </c>
      <c r="K4" s="21" t="str">
        <f>IFERROR(__xludf.DUMMYFUNCTION("IFERROR((GOOGLEFINANCE(C4, ""price"") / INDEX(GOOGLEFINANCE(C4, ""price"", EDATE(TODAY(), -6), TODAY()), 2, 2)) - 1, """")"),"")</f>
        <v/>
      </c>
      <c r="L4" s="21" t="str">
        <f>IFERROR(__xludf.DUMMYFUNCTION("IFERROR((GOOGLEFINANCE(C4, ""price"") / INDEX(GOOGLEFINANCE(C4, ""price"", EDATE(TODAY(), -12), TODAY()), 2, 2)) - 1, """")"),"")</f>
        <v/>
      </c>
      <c r="M4" s="6" t="str">
        <f>IFERROR(__xludf.DUMMYFUNCTION("AVERAGE(QUERY(GOOGLEFINANCE(C4, ""price"", TODAY()-80, TODAY()), ""SELECT Col2 WHERE Col2 IS NOT NULL ORDER BY Col1 DESC LIMIT 50"", 0))"),"#N/A")</f>
        <v>#N/A</v>
      </c>
      <c r="N4" s="24" t="str">
        <f>IFERROR(__xludf.DUMMYFUNCTION("IFERROR(
  LET(
    data, QUERY(GOOGLEFINANCE(C4,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GOOGLEFINANCE(C4, ""price"")) * 100,
    IF(calc=0, F4, calc)
  ), 
F4)"),"#N/A")</f>
        <v>#N/A</v>
      </c>
      <c r="O4" s="8" t="s">
        <v>15</v>
      </c>
      <c r="P4" s="26" t="str">
        <f>IFERROR(__xludf.DUMMYFUNCTION("IFERROR(TRANSPOSE(QUERY(IFERROR(SORT(GOOGLEFINANCE(C4, ""price"", WORKDAY(TODAY(), -40), TODAY()), 1, FALSE)), ""select Col2 where Col2 is not null limit 22 label Col2 ''"", 0)), """")"),"")</f>
        <v/>
      </c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8"/>
      <c r="AK4" s="28"/>
      <c r="AL4" s="29"/>
      <c r="AM4" s="29" t="str">
        <f t="shared" ref="AM4:BH4" si="5">P4/P$2</f>
        <v>#N/A</v>
      </c>
      <c r="AN4" s="29" t="str">
        <f t="shared" si="5"/>
        <v>#DIV/0!</v>
      </c>
      <c r="AO4" s="29" t="str">
        <f t="shared" si="5"/>
        <v>#DIV/0!</v>
      </c>
      <c r="AP4" s="29" t="str">
        <f t="shared" si="5"/>
        <v>#DIV/0!</v>
      </c>
      <c r="AQ4" s="29" t="str">
        <f t="shared" si="5"/>
        <v>#DIV/0!</v>
      </c>
      <c r="AR4" s="29" t="str">
        <f t="shared" si="5"/>
        <v>#DIV/0!</v>
      </c>
      <c r="AS4" s="29" t="str">
        <f t="shared" si="5"/>
        <v>#DIV/0!</v>
      </c>
      <c r="AT4" s="29" t="str">
        <f t="shared" si="5"/>
        <v>#DIV/0!</v>
      </c>
      <c r="AU4" s="29" t="str">
        <f t="shared" si="5"/>
        <v>#DIV/0!</v>
      </c>
      <c r="AV4" s="29" t="str">
        <f t="shared" si="5"/>
        <v>#DIV/0!</v>
      </c>
      <c r="AW4" s="29" t="str">
        <f t="shared" si="5"/>
        <v>#DIV/0!</v>
      </c>
      <c r="AX4" s="29" t="str">
        <f t="shared" si="5"/>
        <v>#DIV/0!</v>
      </c>
      <c r="AY4" s="29" t="str">
        <f t="shared" si="5"/>
        <v>#DIV/0!</v>
      </c>
      <c r="AZ4" s="29" t="str">
        <f t="shared" si="5"/>
        <v>#DIV/0!</v>
      </c>
      <c r="BA4" s="29" t="str">
        <f t="shared" si="5"/>
        <v>#DIV/0!</v>
      </c>
      <c r="BB4" s="29" t="str">
        <f t="shared" si="5"/>
        <v>#DIV/0!</v>
      </c>
      <c r="BC4" s="29" t="str">
        <f t="shared" si="5"/>
        <v>#DIV/0!</v>
      </c>
      <c r="BD4" s="29" t="str">
        <f t="shared" si="5"/>
        <v>#DIV/0!</v>
      </c>
      <c r="BE4" s="29" t="str">
        <f t="shared" si="5"/>
        <v>#DIV/0!</v>
      </c>
      <c r="BF4" s="29" t="str">
        <f t="shared" si="5"/>
        <v>#DIV/0!</v>
      </c>
      <c r="BG4" s="29" t="str">
        <f t="shared" si="5"/>
        <v>#DIV/0!</v>
      </c>
      <c r="BH4" s="29" t="str">
        <f t="shared" si="5"/>
        <v>#DIV/0!</v>
      </c>
      <c r="BI4" s="29" t="str">
        <f t="shared" si="3"/>
        <v>#DIV/0!</v>
      </c>
    </row>
    <row r="5">
      <c r="A5" s="16" t="str">
        <f>IFERROR(__xludf.DUMMYFUNCTION("IFERROR(SPARKLINE(SORT(MAP(TRANSPOSE(AM5:BH5), LAMBDA(val, IF(ISNUMBER(val), PERCENTRANK(AM5:BH5, val)+0.01, 0))), SEQUENCE(COLUMNS(AM5:BH5)), FALSE), {""charttype"",""column""; ""color"",""chartreuse""; ""ymin"", 0; ""ymax"", 1.01; ""highcolor"", ""darkg"&amp;"reen""; ""lowcolor"", ""red""}), """")"),"")</f>
        <v/>
      </c>
      <c r="B5" s="17" t="str">
        <f t="shared" si="4"/>
        <v/>
      </c>
      <c r="C5" s="32" t="s">
        <v>55</v>
      </c>
      <c r="D5" s="30" t="s">
        <v>56</v>
      </c>
      <c r="E5" s="33" t="str">
        <f>IFERROR(__xludf.DUMMYFUNCTION("( (GOOGLEFINANCE(C5, ""price"") - M5) / M5 ) / (N5 / 100)"),"Loading...")</f>
        <v>Loading...</v>
      </c>
      <c r="F5" s="20" t="str">
        <f>IFERROR(__xludf.DUMMYFUNCTION("AVERAGE(ARRAYFORMULA(100 * (QUERY(GOOGLEFINANCE(C5, ""high"", TODAY()-40, TODAY()), ""SELECT Col2 WHERE Col2 IS NOT NULL ORDER BY Col1 DESC LIMIT 20"", 0) / QUERY(GOOGLEFINANCE(C5, ""low"", TODAY()-40, TODAY()), ""SELECT Col2 WHERE Col2 IS NOT NULL ORDER "&amp;"BY Col1 DESC LIMIT 20"", 0) - 1)))"),"#N/A")</f>
        <v>#N/A</v>
      </c>
      <c r="G5" s="21">
        <f>IFERROR(__xludf.DUMMYFUNCTION("IFERROR(GOOGLEFINANCE(C5, ""changepct"") / 100, """")"),0.0070999999999999995)</f>
        <v>0.0071</v>
      </c>
      <c r="H5" s="21" t="str">
        <f>IFERROR(__xludf.DUMMYFUNCTION("IFERROR((GOOGLEFINANCE(C5, ""price"") / INDEX(GOOGLEFINANCE(C5, ""price"", TODAY()-7, TODAY()), 2, 2)) - 1, """")"),"")</f>
        <v/>
      </c>
      <c r="I5" s="21" t="str">
        <f>IFERROR(__xludf.DUMMYFUNCTION("IFERROR((GOOGLEFINANCE(C5, ""price"") / INDEX(GOOGLEFINANCE(C5, ""price"", EDATE(TODAY(), -1), TODAY()), 2, 2)) - 1, """")"),"")</f>
        <v/>
      </c>
      <c r="J5" s="21" t="str">
        <f>IFERROR(__xludf.DUMMYFUNCTION("IFERROR((GOOGLEFINANCE(C5, ""price"") / INDEX(GOOGLEFINANCE(C5, ""price"", EDATE(TODAY(), -3), TODAY()), 2, 2)) - 1, """")"),"")</f>
        <v/>
      </c>
      <c r="K5" s="21" t="str">
        <f>IFERROR(__xludf.DUMMYFUNCTION("IFERROR((GOOGLEFINANCE(C5, ""price"") / INDEX(GOOGLEFINANCE(C5, ""price"", EDATE(TODAY(), -6), TODAY()), 2, 2)) - 1, """")"),"")</f>
        <v/>
      </c>
      <c r="L5" s="21" t="str">
        <f>IFERROR(__xludf.DUMMYFUNCTION("IFERROR((GOOGLEFINANCE(C5, ""price"") / INDEX(GOOGLEFINANCE(C5, ""price"", EDATE(TODAY(), -12), TODAY()), 2, 2)) - 1, """")"),"")</f>
        <v/>
      </c>
      <c r="M5" s="6" t="str">
        <f>IFERROR(__xludf.DUMMYFUNCTION("AVERAGE(QUERY(GOOGLEFINANCE(C5, ""price"", TODAY()-80, TODAY()), ""SELECT Col2 WHERE Col2 IS NOT NULL ORDER BY Col1 DESC LIMIT 50"", 0))"),"#N/A")</f>
        <v>#N/A</v>
      </c>
      <c r="N5" s="24" t="str">
        <f>IFERROR(__xludf.DUMMYFUNCTION("IFERROR(
  LET(
    data, QUERY(GOOGLEFINANCE(C5,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GOOGLEFINANCE(C5, ""price"")) * 100,
    IF(calc=0, F5, calc)
  ), 
F5)"),"#N/A")</f>
        <v>#N/A</v>
      </c>
      <c r="O5" s="8" t="s">
        <v>15</v>
      </c>
      <c r="P5" s="26" t="str">
        <f>IFERROR(__xludf.DUMMYFUNCTION("IFERROR(TRANSPOSE(QUERY(IFERROR(SORT(GOOGLEFINANCE(C5, ""price"", WORKDAY(TODAY(), -40), TODAY()), 1, FALSE)), ""select Col2 where Col2 is not null limit 22 label Col2 ''"", 0)), """")"),"")</f>
        <v/>
      </c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8"/>
      <c r="AK5" s="28"/>
      <c r="AL5" s="29"/>
      <c r="AM5" s="29" t="str">
        <f t="shared" ref="AM5:BH5" si="6">P5/P$2</f>
        <v>#N/A</v>
      </c>
      <c r="AN5" s="29" t="str">
        <f t="shared" si="6"/>
        <v>#DIV/0!</v>
      </c>
      <c r="AO5" s="29" t="str">
        <f t="shared" si="6"/>
        <v>#DIV/0!</v>
      </c>
      <c r="AP5" s="29" t="str">
        <f t="shared" si="6"/>
        <v>#DIV/0!</v>
      </c>
      <c r="AQ5" s="29" t="str">
        <f t="shared" si="6"/>
        <v>#DIV/0!</v>
      </c>
      <c r="AR5" s="29" t="str">
        <f t="shared" si="6"/>
        <v>#DIV/0!</v>
      </c>
      <c r="AS5" s="29" t="str">
        <f t="shared" si="6"/>
        <v>#DIV/0!</v>
      </c>
      <c r="AT5" s="29" t="str">
        <f t="shared" si="6"/>
        <v>#DIV/0!</v>
      </c>
      <c r="AU5" s="29" t="str">
        <f t="shared" si="6"/>
        <v>#DIV/0!</v>
      </c>
      <c r="AV5" s="29" t="str">
        <f t="shared" si="6"/>
        <v>#DIV/0!</v>
      </c>
      <c r="AW5" s="29" t="str">
        <f t="shared" si="6"/>
        <v>#DIV/0!</v>
      </c>
      <c r="AX5" s="29" t="str">
        <f t="shared" si="6"/>
        <v>#DIV/0!</v>
      </c>
      <c r="AY5" s="29" t="str">
        <f t="shared" si="6"/>
        <v>#DIV/0!</v>
      </c>
      <c r="AZ5" s="29" t="str">
        <f t="shared" si="6"/>
        <v>#DIV/0!</v>
      </c>
      <c r="BA5" s="29" t="str">
        <f t="shared" si="6"/>
        <v>#DIV/0!</v>
      </c>
      <c r="BB5" s="29" t="str">
        <f t="shared" si="6"/>
        <v>#DIV/0!</v>
      </c>
      <c r="BC5" s="29" t="str">
        <f t="shared" si="6"/>
        <v>#DIV/0!</v>
      </c>
      <c r="BD5" s="29" t="str">
        <f t="shared" si="6"/>
        <v>#DIV/0!</v>
      </c>
      <c r="BE5" s="29" t="str">
        <f t="shared" si="6"/>
        <v>#DIV/0!</v>
      </c>
      <c r="BF5" s="29" t="str">
        <f t="shared" si="6"/>
        <v>#DIV/0!</v>
      </c>
      <c r="BG5" s="29" t="str">
        <f t="shared" si="6"/>
        <v>#DIV/0!</v>
      </c>
      <c r="BH5" s="29" t="str">
        <f t="shared" si="6"/>
        <v>#DIV/0!</v>
      </c>
      <c r="BI5" s="29" t="str">
        <f t="shared" si="3"/>
        <v>#DIV/0!</v>
      </c>
    </row>
    <row r="6">
      <c r="A6" s="16" t="str">
        <f>IFERROR(__xludf.DUMMYFUNCTION("IFERROR(SPARKLINE(SORT(MAP(TRANSPOSE(AM6:BH6), LAMBDA(val, IF(ISNUMBER(val), PERCENTRANK(AM6:BH6, val)+0.01, 0))), SEQUENCE(COLUMNS(AM6:BH6)), FALSE), {""charttype"",""column""; ""color"",""chartreuse""; ""ymin"", 0; ""ymax"", 1.01; ""highcolor"", ""darkg"&amp;"reen""; ""lowcolor"", ""red""}), """")"),"")</f>
        <v/>
      </c>
      <c r="B6" s="17" t="str">
        <f t="shared" si="4"/>
        <v/>
      </c>
      <c r="C6" s="32" t="s">
        <v>59</v>
      </c>
      <c r="D6" s="30" t="s">
        <v>60</v>
      </c>
      <c r="E6" s="33" t="str">
        <f>IFERROR(__xludf.DUMMYFUNCTION("( (GOOGLEFINANCE(C6, ""price"") - M6) / M6 ) / (N6 / 100)"),"Loading...")</f>
        <v>Loading...</v>
      </c>
      <c r="F6" s="20" t="str">
        <f>IFERROR(__xludf.DUMMYFUNCTION("AVERAGE(ARRAYFORMULA(100 * (QUERY(GOOGLEFINANCE(C6, ""high"", TODAY()-40, TODAY()), ""SELECT Col2 WHERE Col2 IS NOT NULL ORDER BY Col1 DESC LIMIT 20"", 0) / QUERY(GOOGLEFINANCE(C6, ""low"", TODAY()-40, TODAY()), ""SELECT Col2 WHERE Col2 IS NOT NULL ORDER "&amp;"BY Col1 DESC LIMIT 20"", 0) - 1)))"),"#N/A")</f>
        <v>#N/A</v>
      </c>
      <c r="G6" s="21">
        <f>IFERROR(__xludf.DUMMYFUNCTION("IFERROR(GOOGLEFINANCE(C6, ""changepct"") / 100, """")"),0.004)</f>
        <v>0.004</v>
      </c>
      <c r="H6" s="21" t="str">
        <f>IFERROR(__xludf.DUMMYFUNCTION("IFERROR((GOOGLEFINANCE(C6, ""price"") / INDEX(GOOGLEFINANCE(C6, ""price"", TODAY()-7, TODAY()), 2, 2)) - 1, """")"),"")</f>
        <v/>
      </c>
      <c r="I6" s="21" t="str">
        <f>IFERROR(__xludf.DUMMYFUNCTION("IFERROR((GOOGLEFINANCE(C6, ""price"") / INDEX(GOOGLEFINANCE(C6, ""price"", EDATE(TODAY(), -1), TODAY()), 2, 2)) - 1, """")"),"")</f>
        <v/>
      </c>
      <c r="J6" s="21" t="str">
        <f>IFERROR(__xludf.DUMMYFUNCTION("IFERROR((GOOGLEFINANCE(C6, ""price"") / INDEX(GOOGLEFINANCE(C6, ""price"", EDATE(TODAY(), -3), TODAY()), 2, 2)) - 1, """")"),"")</f>
        <v/>
      </c>
      <c r="K6" s="21" t="str">
        <f>IFERROR(__xludf.DUMMYFUNCTION("IFERROR((GOOGLEFINANCE(C6, ""price"") / INDEX(GOOGLEFINANCE(C6, ""price"", EDATE(TODAY(), -6), TODAY()), 2, 2)) - 1, """")"),"")</f>
        <v/>
      </c>
      <c r="L6" s="21" t="str">
        <f>IFERROR(__xludf.DUMMYFUNCTION("IFERROR((GOOGLEFINANCE(C6, ""price"") / INDEX(GOOGLEFINANCE(C6, ""price"", EDATE(TODAY(), -12), TODAY()), 2, 2)) - 1, """")"),"")</f>
        <v/>
      </c>
      <c r="M6" s="6" t="str">
        <f>IFERROR(__xludf.DUMMYFUNCTION("AVERAGE(QUERY(GOOGLEFINANCE(C6, ""price"", TODAY()-80, TODAY()), ""SELECT Col2 WHERE Col2 IS NOT NULL ORDER BY Col1 DESC LIMIT 50"", 0))"),"#N/A")</f>
        <v>#N/A</v>
      </c>
      <c r="N6" s="24" t="str">
        <f>IFERROR(__xludf.DUMMYFUNCTION("IFERROR(
  LET(
    data, QUERY(GOOGLEFINANCE(C6,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GOOGLEFINANCE(C6, ""price"")) * 100,
    IF(calc=0, F6, calc)
  ), 
F6)"),"#N/A")</f>
        <v>#N/A</v>
      </c>
      <c r="O6" s="8" t="s">
        <v>15</v>
      </c>
      <c r="P6" s="26" t="str">
        <f>IFERROR(__xludf.DUMMYFUNCTION("IFERROR(TRANSPOSE(QUERY(IFERROR(SORT(GOOGLEFINANCE(C6, ""price"", WORKDAY(TODAY(), -40), TODAY()), 1, FALSE)), ""select Col2 where Col2 is not null limit 22 label Col2 ''"", 0)), """")"),"")</f>
        <v/>
      </c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8"/>
      <c r="AK6" s="28"/>
      <c r="AL6" s="29"/>
      <c r="AM6" s="29" t="str">
        <f t="shared" ref="AM6:BH6" si="7">P6/P$2</f>
        <v>#N/A</v>
      </c>
      <c r="AN6" s="29" t="str">
        <f t="shared" si="7"/>
        <v>#DIV/0!</v>
      </c>
      <c r="AO6" s="29" t="str">
        <f t="shared" si="7"/>
        <v>#DIV/0!</v>
      </c>
      <c r="AP6" s="29" t="str">
        <f t="shared" si="7"/>
        <v>#DIV/0!</v>
      </c>
      <c r="AQ6" s="29" t="str">
        <f t="shared" si="7"/>
        <v>#DIV/0!</v>
      </c>
      <c r="AR6" s="29" t="str">
        <f t="shared" si="7"/>
        <v>#DIV/0!</v>
      </c>
      <c r="AS6" s="29" t="str">
        <f t="shared" si="7"/>
        <v>#DIV/0!</v>
      </c>
      <c r="AT6" s="29" t="str">
        <f t="shared" si="7"/>
        <v>#DIV/0!</v>
      </c>
      <c r="AU6" s="29" t="str">
        <f t="shared" si="7"/>
        <v>#DIV/0!</v>
      </c>
      <c r="AV6" s="29" t="str">
        <f t="shared" si="7"/>
        <v>#DIV/0!</v>
      </c>
      <c r="AW6" s="29" t="str">
        <f t="shared" si="7"/>
        <v>#DIV/0!</v>
      </c>
      <c r="AX6" s="29" t="str">
        <f t="shared" si="7"/>
        <v>#DIV/0!</v>
      </c>
      <c r="AY6" s="29" t="str">
        <f t="shared" si="7"/>
        <v>#DIV/0!</v>
      </c>
      <c r="AZ6" s="29" t="str">
        <f t="shared" si="7"/>
        <v>#DIV/0!</v>
      </c>
      <c r="BA6" s="29" t="str">
        <f t="shared" si="7"/>
        <v>#DIV/0!</v>
      </c>
      <c r="BB6" s="29" t="str">
        <f t="shared" si="7"/>
        <v>#DIV/0!</v>
      </c>
      <c r="BC6" s="29" t="str">
        <f t="shared" si="7"/>
        <v>#DIV/0!</v>
      </c>
      <c r="BD6" s="29" t="str">
        <f t="shared" si="7"/>
        <v>#DIV/0!</v>
      </c>
      <c r="BE6" s="29" t="str">
        <f t="shared" si="7"/>
        <v>#DIV/0!</v>
      </c>
      <c r="BF6" s="29" t="str">
        <f t="shared" si="7"/>
        <v>#DIV/0!</v>
      </c>
      <c r="BG6" s="29" t="str">
        <f t="shared" si="7"/>
        <v>#DIV/0!</v>
      </c>
      <c r="BH6" s="29" t="str">
        <f t="shared" si="7"/>
        <v>#DIV/0!</v>
      </c>
      <c r="BI6" s="29" t="str">
        <f t="shared" si="3"/>
        <v>#DIV/0!</v>
      </c>
    </row>
    <row r="7">
      <c r="A7" s="16" t="str">
        <f>IFERROR(__xludf.DUMMYFUNCTION("IFERROR(SPARKLINE(SORT(MAP(TRANSPOSE(AM7:BH7), LAMBDA(val, IF(ISNUMBER(val), PERCENTRANK(AM7:BH7, val)+0.01, 0))), SEQUENCE(COLUMNS(AM7:BH7)), FALSE), {""charttype"",""column""; ""color"",""chartreuse""; ""ymin"", 0; ""ymax"", 1.01; ""highcolor"", ""darkg"&amp;"reen""; ""lowcolor"", ""red""}), """")"),"")</f>
        <v/>
      </c>
      <c r="B7" s="17" t="str">
        <f t="shared" si="4"/>
        <v/>
      </c>
      <c r="C7" s="32" t="s">
        <v>66</v>
      </c>
      <c r="D7" s="30" t="s">
        <v>67</v>
      </c>
      <c r="E7" s="33" t="str">
        <f>IFERROR(__xludf.DUMMYFUNCTION("( (GOOGLEFINANCE(C7, ""price"") - M7) / M7 ) / (N7 / 100)"),"Loading...")</f>
        <v>Loading...</v>
      </c>
      <c r="F7" s="20" t="str">
        <f>IFERROR(__xludf.DUMMYFUNCTION("AVERAGE(ARRAYFORMULA(100 * (QUERY(GOOGLEFINANCE(C7, ""high"", TODAY()-40, TODAY()), ""SELECT Col2 WHERE Col2 IS NOT NULL ORDER BY Col1 DESC LIMIT 20"", 0) / QUERY(GOOGLEFINANCE(C7, ""low"", TODAY()-40, TODAY()), ""SELECT Col2 WHERE Col2 IS NOT NULL ORDER "&amp;"BY Col1 DESC LIMIT 20"", 0) - 1)))"),"#N/A")</f>
        <v>#N/A</v>
      </c>
      <c r="G7" s="21">
        <f>IFERROR(__xludf.DUMMYFUNCTION("IFERROR(GOOGLEFINANCE(C7, ""changepct"") / 100, """")"),0.0134)</f>
        <v>0.0134</v>
      </c>
      <c r="H7" s="21" t="str">
        <f>IFERROR(__xludf.DUMMYFUNCTION("IFERROR((GOOGLEFINANCE(C7, ""price"") / INDEX(GOOGLEFINANCE(C7, ""price"", TODAY()-7, TODAY()), 2, 2)) - 1, """")"),"")</f>
        <v/>
      </c>
      <c r="I7" s="21" t="str">
        <f>IFERROR(__xludf.DUMMYFUNCTION("IFERROR((GOOGLEFINANCE(C7, ""price"") / INDEX(GOOGLEFINANCE(C7, ""price"", EDATE(TODAY(), -1), TODAY()), 2, 2)) - 1, """")"),"")</f>
        <v/>
      </c>
      <c r="J7" s="21" t="str">
        <f>IFERROR(__xludf.DUMMYFUNCTION("IFERROR((GOOGLEFINANCE(C7, ""price"") / INDEX(GOOGLEFINANCE(C7, ""price"", EDATE(TODAY(), -3), TODAY()), 2, 2)) - 1, """")"),"")</f>
        <v/>
      </c>
      <c r="K7" s="21" t="str">
        <f>IFERROR(__xludf.DUMMYFUNCTION("IFERROR((GOOGLEFINANCE(C7, ""price"") / INDEX(GOOGLEFINANCE(C7, ""price"", EDATE(TODAY(), -6), TODAY()), 2, 2)) - 1, """")"),"")</f>
        <v/>
      </c>
      <c r="L7" s="21" t="str">
        <f>IFERROR(__xludf.DUMMYFUNCTION("IFERROR((GOOGLEFINANCE(C7, ""price"") / INDEX(GOOGLEFINANCE(C7, ""price"", EDATE(TODAY(), -12), TODAY()), 2, 2)) - 1, """")"),"")</f>
        <v/>
      </c>
      <c r="M7" s="6" t="str">
        <f>IFERROR(__xludf.DUMMYFUNCTION("AVERAGE(QUERY(GOOGLEFINANCE(C7, ""price"", TODAY()-80, TODAY()), ""SELECT Col2 WHERE Col2 IS NOT NULL ORDER BY Col1 DESC LIMIT 50"", 0))"),"#N/A")</f>
        <v>#N/A</v>
      </c>
      <c r="N7" s="24" t="str">
        <f>IFERROR(__xludf.DUMMYFUNCTION("IFERROR(
  LET(
    data, QUERY(GOOGLEFINANCE(C7,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GOOGLEFINANCE(C7, ""price"")) * 100,
    IF(calc=0, F7, calc)
  ), 
F7)"),"#N/A")</f>
        <v>#N/A</v>
      </c>
      <c r="O7" s="8" t="s">
        <v>15</v>
      </c>
      <c r="P7" s="26" t="str">
        <f>IFERROR(__xludf.DUMMYFUNCTION("IFERROR(TRANSPOSE(QUERY(IFERROR(SORT(GOOGLEFINANCE(C7, ""price"", WORKDAY(TODAY(), -40), TODAY()), 1, FALSE)), ""select Col2 where Col2 is not null limit 22 label Col2 ''"", 0)), """")"),"")</f>
        <v/>
      </c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8"/>
      <c r="AK7" s="28"/>
      <c r="AL7" s="29"/>
      <c r="AM7" s="29" t="str">
        <f t="shared" ref="AM7:BH7" si="8">P7/P$2</f>
        <v>#N/A</v>
      </c>
      <c r="AN7" s="29" t="str">
        <f t="shared" si="8"/>
        <v>#DIV/0!</v>
      </c>
      <c r="AO7" s="29" t="str">
        <f t="shared" si="8"/>
        <v>#DIV/0!</v>
      </c>
      <c r="AP7" s="29" t="str">
        <f t="shared" si="8"/>
        <v>#DIV/0!</v>
      </c>
      <c r="AQ7" s="29" t="str">
        <f t="shared" si="8"/>
        <v>#DIV/0!</v>
      </c>
      <c r="AR7" s="29" t="str">
        <f t="shared" si="8"/>
        <v>#DIV/0!</v>
      </c>
      <c r="AS7" s="29" t="str">
        <f t="shared" si="8"/>
        <v>#DIV/0!</v>
      </c>
      <c r="AT7" s="29" t="str">
        <f t="shared" si="8"/>
        <v>#DIV/0!</v>
      </c>
      <c r="AU7" s="29" t="str">
        <f t="shared" si="8"/>
        <v>#DIV/0!</v>
      </c>
      <c r="AV7" s="29" t="str">
        <f t="shared" si="8"/>
        <v>#DIV/0!</v>
      </c>
      <c r="AW7" s="29" t="str">
        <f t="shared" si="8"/>
        <v>#DIV/0!</v>
      </c>
      <c r="AX7" s="29" t="str">
        <f t="shared" si="8"/>
        <v>#DIV/0!</v>
      </c>
      <c r="AY7" s="29" t="str">
        <f t="shared" si="8"/>
        <v>#DIV/0!</v>
      </c>
      <c r="AZ7" s="29" t="str">
        <f t="shared" si="8"/>
        <v>#DIV/0!</v>
      </c>
      <c r="BA7" s="29" t="str">
        <f t="shared" si="8"/>
        <v>#DIV/0!</v>
      </c>
      <c r="BB7" s="29" t="str">
        <f t="shared" si="8"/>
        <v>#DIV/0!</v>
      </c>
      <c r="BC7" s="29" t="str">
        <f t="shared" si="8"/>
        <v>#DIV/0!</v>
      </c>
      <c r="BD7" s="29" t="str">
        <f t="shared" si="8"/>
        <v>#DIV/0!</v>
      </c>
      <c r="BE7" s="29" t="str">
        <f t="shared" si="8"/>
        <v>#DIV/0!</v>
      </c>
      <c r="BF7" s="29" t="str">
        <f t="shared" si="8"/>
        <v>#DIV/0!</v>
      </c>
      <c r="BG7" s="29" t="str">
        <f t="shared" si="8"/>
        <v>#DIV/0!</v>
      </c>
      <c r="BH7" s="29" t="str">
        <f t="shared" si="8"/>
        <v>#DIV/0!</v>
      </c>
      <c r="BI7" s="29" t="str">
        <f t="shared" si="3"/>
        <v>#DIV/0!</v>
      </c>
    </row>
    <row r="8">
      <c r="A8" s="16" t="str">
        <f>IFERROR(__xludf.DUMMYFUNCTION("IFERROR(SPARKLINE(SORT(MAP(TRANSPOSE(AM8:BH8), LAMBDA(val, IF(ISNUMBER(val), PERCENTRANK(AM8:BH8, val)+0.01, 0))), SEQUENCE(COLUMNS(AM8:BH8)), FALSE), {""charttype"",""column""; ""color"",""chartreuse""; ""ymin"", 0; ""ymax"", 1.01; ""highcolor"", ""darkg"&amp;"reen""; ""lowcolor"", ""red""}), """")"),"")</f>
        <v/>
      </c>
      <c r="B8" s="17" t="str">
        <f t="shared" si="4"/>
        <v/>
      </c>
      <c r="C8" s="32" t="s">
        <v>72</v>
      </c>
      <c r="D8" s="30" t="s">
        <v>73</v>
      </c>
      <c r="E8" s="33" t="str">
        <f>IFERROR(__xludf.DUMMYFUNCTION("( (GOOGLEFINANCE(C8, ""price"") - M8) / M8 ) / (N8 / 100)"),"Loading...")</f>
        <v>Loading...</v>
      </c>
      <c r="F8" s="20" t="str">
        <f>IFERROR(__xludf.DUMMYFUNCTION("AVERAGE(ARRAYFORMULA(100 * (QUERY(GOOGLEFINANCE(C8, ""high"", TODAY()-40, TODAY()), ""SELECT Col2 WHERE Col2 IS NOT NULL ORDER BY Col1 DESC LIMIT 20"", 0) / QUERY(GOOGLEFINANCE(C8, ""low"", TODAY()-40, TODAY()), ""SELECT Col2 WHERE Col2 IS NOT NULL ORDER "&amp;"BY Col1 DESC LIMIT 20"", 0) - 1)))"),"#N/A")</f>
        <v>#N/A</v>
      </c>
      <c r="G8" s="21">
        <f>IFERROR(__xludf.DUMMYFUNCTION("IFERROR(GOOGLEFINANCE(C8, ""changepct"") / 100, """")"),0.0108)</f>
        <v>0.0108</v>
      </c>
      <c r="H8" s="21" t="str">
        <f>IFERROR(__xludf.DUMMYFUNCTION("IFERROR((GOOGLEFINANCE(C8, ""price"") / INDEX(GOOGLEFINANCE(C8, ""price"", TODAY()-7, TODAY()), 2, 2)) - 1, """")"),"")</f>
        <v/>
      </c>
      <c r="I8" s="21" t="str">
        <f>IFERROR(__xludf.DUMMYFUNCTION("IFERROR((GOOGLEFINANCE(C8, ""price"") / INDEX(GOOGLEFINANCE(C8, ""price"", EDATE(TODAY(), -1), TODAY()), 2, 2)) - 1, """")"),"")</f>
        <v/>
      </c>
      <c r="J8" s="21" t="str">
        <f>IFERROR(__xludf.DUMMYFUNCTION("IFERROR((GOOGLEFINANCE(C8, ""price"") / INDEX(GOOGLEFINANCE(C8, ""price"", EDATE(TODAY(), -3), TODAY()), 2, 2)) - 1, """")"),"")</f>
        <v/>
      </c>
      <c r="K8" s="21" t="str">
        <f>IFERROR(__xludf.DUMMYFUNCTION("IFERROR((GOOGLEFINANCE(C8, ""price"") / INDEX(GOOGLEFINANCE(C8, ""price"", EDATE(TODAY(), -6), TODAY()), 2, 2)) - 1, """")"),"")</f>
        <v/>
      </c>
      <c r="L8" s="21" t="str">
        <f>IFERROR(__xludf.DUMMYFUNCTION("IFERROR((GOOGLEFINANCE(C8, ""price"") / INDEX(GOOGLEFINANCE(C8, ""price"", EDATE(TODAY(), -12), TODAY()), 2, 2)) - 1, """")"),"")</f>
        <v/>
      </c>
      <c r="M8" s="6" t="str">
        <f>IFERROR(__xludf.DUMMYFUNCTION("AVERAGE(QUERY(GOOGLEFINANCE(C8, ""price"", TODAY()-80, TODAY()), ""SELECT Col2 WHERE Col2 IS NOT NULL ORDER BY Col1 DESC LIMIT 50"", 0))"),"#N/A")</f>
        <v>#N/A</v>
      </c>
      <c r="N8" s="24" t="str">
        <f>IFERROR(__xludf.DUMMYFUNCTION("IFERROR(
  LET(
    data, QUERY(GOOGLEFINANCE(C8,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GOOGLEFINANCE(C8, ""price"")) * 100,
    IF(calc=0, F8, calc)
  ), 
F8)"),"#N/A")</f>
        <v>#N/A</v>
      </c>
      <c r="O8" s="8" t="s">
        <v>15</v>
      </c>
      <c r="P8" s="26" t="str">
        <f>IFERROR(__xludf.DUMMYFUNCTION("IFERROR(TRANSPOSE(QUERY(IFERROR(SORT(GOOGLEFINANCE(C8, ""price"", WORKDAY(TODAY(), -40), TODAY()), 1, FALSE)), ""select Col2 where Col2 is not null limit 22 label Col2 ''"", 0)), """")"),"")</f>
        <v/>
      </c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8"/>
      <c r="AK8" s="28"/>
      <c r="AL8" s="29"/>
      <c r="AM8" s="29" t="str">
        <f t="shared" ref="AM8:BH8" si="9">P8/P$2</f>
        <v>#N/A</v>
      </c>
      <c r="AN8" s="29" t="str">
        <f t="shared" si="9"/>
        <v>#DIV/0!</v>
      </c>
      <c r="AO8" s="29" t="str">
        <f t="shared" si="9"/>
        <v>#DIV/0!</v>
      </c>
      <c r="AP8" s="29" t="str">
        <f t="shared" si="9"/>
        <v>#DIV/0!</v>
      </c>
      <c r="AQ8" s="29" t="str">
        <f t="shared" si="9"/>
        <v>#DIV/0!</v>
      </c>
      <c r="AR8" s="29" t="str">
        <f t="shared" si="9"/>
        <v>#DIV/0!</v>
      </c>
      <c r="AS8" s="29" t="str">
        <f t="shared" si="9"/>
        <v>#DIV/0!</v>
      </c>
      <c r="AT8" s="29" t="str">
        <f t="shared" si="9"/>
        <v>#DIV/0!</v>
      </c>
      <c r="AU8" s="29" t="str">
        <f t="shared" si="9"/>
        <v>#DIV/0!</v>
      </c>
      <c r="AV8" s="29" t="str">
        <f t="shared" si="9"/>
        <v>#DIV/0!</v>
      </c>
      <c r="AW8" s="29" t="str">
        <f t="shared" si="9"/>
        <v>#DIV/0!</v>
      </c>
      <c r="AX8" s="29" t="str">
        <f t="shared" si="9"/>
        <v>#DIV/0!</v>
      </c>
      <c r="AY8" s="29" t="str">
        <f t="shared" si="9"/>
        <v>#DIV/0!</v>
      </c>
      <c r="AZ8" s="29" t="str">
        <f t="shared" si="9"/>
        <v>#DIV/0!</v>
      </c>
      <c r="BA8" s="29" t="str">
        <f t="shared" si="9"/>
        <v>#DIV/0!</v>
      </c>
      <c r="BB8" s="29" t="str">
        <f t="shared" si="9"/>
        <v>#DIV/0!</v>
      </c>
      <c r="BC8" s="29" t="str">
        <f t="shared" si="9"/>
        <v>#DIV/0!</v>
      </c>
      <c r="BD8" s="29" t="str">
        <f t="shared" si="9"/>
        <v>#DIV/0!</v>
      </c>
      <c r="BE8" s="29" t="str">
        <f t="shared" si="9"/>
        <v>#DIV/0!</v>
      </c>
      <c r="BF8" s="29" t="str">
        <f t="shared" si="9"/>
        <v>#DIV/0!</v>
      </c>
      <c r="BG8" s="29" t="str">
        <f t="shared" si="9"/>
        <v>#DIV/0!</v>
      </c>
      <c r="BH8" s="29" t="str">
        <f t="shared" si="9"/>
        <v>#DIV/0!</v>
      </c>
      <c r="BI8" s="29" t="str">
        <f t="shared" si="3"/>
        <v>#DIV/0!</v>
      </c>
    </row>
    <row r="9">
      <c r="A9" s="16" t="str">
        <f>IFERROR(__xludf.DUMMYFUNCTION("IFERROR(SPARKLINE(SORT(MAP(TRANSPOSE(AM9:BH9), LAMBDA(val, IF(ISNUMBER(val), PERCENTRANK(AM9:BH9, val)+0.01, 0))), SEQUENCE(COLUMNS(AM9:BH9)), FALSE), {""charttype"",""column""; ""color"",""chartreuse""; ""ymin"", 0; ""ymax"", 1.01; ""highcolor"", ""darkg"&amp;"reen""; ""lowcolor"", ""red""}), """")"),"")</f>
        <v/>
      </c>
      <c r="B9" s="17" t="str">
        <f t="shared" si="4"/>
        <v/>
      </c>
      <c r="C9" s="32" t="s">
        <v>74</v>
      </c>
      <c r="D9" s="30" t="s">
        <v>75</v>
      </c>
      <c r="E9" s="33" t="str">
        <f>IFERROR(__xludf.DUMMYFUNCTION("( (GOOGLEFINANCE(C9, ""price"") - M9) / M9 ) / (N9 / 100)"),"Loading...")</f>
        <v>Loading...</v>
      </c>
      <c r="F9" s="20" t="str">
        <f>IFERROR(__xludf.DUMMYFUNCTION("AVERAGE(ARRAYFORMULA(100 * (QUERY(GOOGLEFINANCE(C9, ""high"", TODAY()-40, TODAY()), ""SELECT Col2 WHERE Col2 IS NOT NULL ORDER BY Col1 DESC LIMIT 20"", 0) / QUERY(GOOGLEFINANCE(C9, ""low"", TODAY()-40, TODAY()), ""SELECT Col2 WHERE Col2 IS NOT NULL ORDER "&amp;"BY Col1 DESC LIMIT 20"", 0) - 1)))"),"#N/A")</f>
        <v>#N/A</v>
      </c>
      <c r="G9" s="21">
        <f>IFERROR(__xludf.DUMMYFUNCTION("IFERROR(GOOGLEFINANCE(C9, ""changepct"") / 100, """")"),-0.0027)</f>
        <v>-0.0027</v>
      </c>
      <c r="H9" s="21" t="str">
        <f>IFERROR(__xludf.DUMMYFUNCTION("IFERROR((GOOGLEFINANCE(C9, ""price"") / INDEX(GOOGLEFINANCE(C9, ""price"", TODAY()-7, TODAY()), 2, 2)) - 1, """")"),"")</f>
        <v/>
      </c>
      <c r="I9" s="21" t="str">
        <f>IFERROR(__xludf.DUMMYFUNCTION("IFERROR((GOOGLEFINANCE(C9, ""price"") / INDEX(GOOGLEFINANCE(C9, ""price"", EDATE(TODAY(), -1), TODAY()), 2, 2)) - 1, """")"),"")</f>
        <v/>
      </c>
      <c r="J9" s="21" t="str">
        <f>IFERROR(__xludf.DUMMYFUNCTION("IFERROR((GOOGLEFINANCE(C9, ""price"") / INDEX(GOOGLEFINANCE(C9, ""price"", EDATE(TODAY(), -3), TODAY()), 2, 2)) - 1, """")"),"")</f>
        <v/>
      </c>
      <c r="K9" s="21" t="str">
        <f>IFERROR(__xludf.DUMMYFUNCTION("IFERROR((GOOGLEFINANCE(C9, ""price"") / INDEX(GOOGLEFINANCE(C9, ""price"", EDATE(TODAY(), -6), TODAY()), 2, 2)) - 1, """")"),"")</f>
        <v/>
      </c>
      <c r="L9" s="21" t="str">
        <f>IFERROR(__xludf.DUMMYFUNCTION("IFERROR((GOOGLEFINANCE(C9, ""price"") / INDEX(GOOGLEFINANCE(C9, ""price"", EDATE(TODAY(), -12), TODAY()), 2, 2)) - 1, """")"),"")</f>
        <v/>
      </c>
      <c r="M9" s="6" t="str">
        <f>IFERROR(__xludf.DUMMYFUNCTION("AVERAGE(QUERY(GOOGLEFINANCE(C9, ""price"", TODAY()-80, TODAY()), ""SELECT Col2 WHERE Col2 IS NOT NULL ORDER BY Col1 DESC LIMIT 50"", 0))"),"#N/A")</f>
        <v>#N/A</v>
      </c>
      <c r="N9" s="24" t="str">
        <f>IFERROR(__xludf.DUMMYFUNCTION("IFERROR(
  LET(
    data, QUERY(GOOGLEFINANCE(C9,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GOOGLEFINANCE(C9, ""price"")) * 100,
    IF(calc=0, F9, calc)
  ), 
F9)"),"#N/A")</f>
        <v>#N/A</v>
      </c>
      <c r="O9" s="8" t="s">
        <v>15</v>
      </c>
      <c r="P9" s="26" t="str">
        <f>IFERROR(__xludf.DUMMYFUNCTION("IFERROR(TRANSPOSE(QUERY(IFERROR(SORT(GOOGLEFINANCE(C9, ""price"", WORKDAY(TODAY(), -40), TODAY()), 1, FALSE)), ""select Col2 where Col2 is not null limit 22 label Col2 ''"", 0)), """")"),"")</f>
        <v/>
      </c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8"/>
      <c r="AK9" s="28"/>
      <c r="AL9" s="29"/>
      <c r="AM9" s="29" t="str">
        <f t="shared" ref="AM9:BH9" si="10">P9/P$2</f>
        <v>#N/A</v>
      </c>
      <c r="AN9" s="29" t="str">
        <f t="shared" si="10"/>
        <v>#DIV/0!</v>
      </c>
      <c r="AO9" s="29" t="str">
        <f t="shared" si="10"/>
        <v>#DIV/0!</v>
      </c>
      <c r="AP9" s="29" t="str">
        <f t="shared" si="10"/>
        <v>#DIV/0!</v>
      </c>
      <c r="AQ9" s="29" t="str">
        <f t="shared" si="10"/>
        <v>#DIV/0!</v>
      </c>
      <c r="AR9" s="29" t="str">
        <f t="shared" si="10"/>
        <v>#DIV/0!</v>
      </c>
      <c r="AS9" s="29" t="str">
        <f t="shared" si="10"/>
        <v>#DIV/0!</v>
      </c>
      <c r="AT9" s="29" t="str">
        <f t="shared" si="10"/>
        <v>#DIV/0!</v>
      </c>
      <c r="AU9" s="29" t="str">
        <f t="shared" si="10"/>
        <v>#DIV/0!</v>
      </c>
      <c r="AV9" s="29" t="str">
        <f t="shared" si="10"/>
        <v>#DIV/0!</v>
      </c>
      <c r="AW9" s="29" t="str">
        <f t="shared" si="10"/>
        <v>#DIV/0!</v>
      </c>
      <c r="AX9" s="29" t="str">
        <f t="shared" si="10"/>
        <v>#DIV/0!</v>
      </c>
      <c r="AY9" s="29" t="str">
        <f t="shared" si="10"/>
        <v>#DIV/0!</v>
      </c>
      <c r="AZ9" s="29" t="str">
        <f t="shared" si="10"/>
        <v>#DIV/0!</v>
      </c>
      <c r="BA9" s="29" t="str">
        <f t="shared" si="10"/>
        <v>#DIV/0!</v>
      </c>
      <c r="BB9" s="29" t="str">
        <f t="shared" si="10"/>
        <v>#DIV/0!</v>
      </c>
      <c r="BC9" s="29" t="str">
        <f t="shared" si="10"/>
        <v>#DIV/0!</v>
      </c>
      <c r="BD9" s="29" t="str">
        <f t="shared" si="10"/>
        <v>#DIV/0!</v>
      </c>
      <c r="BE9" s="29" t="str">
        <f t="shared" si="10"/>
        <v>#DIV/0!</v>
      </c>
      <c r="BF9" s="29" t="str">
        <f t="shared" si="10"/>
        <v>#DIV/0!</v>
      </c>
      <c r="BG9" s="29" t="str">
        <f t="shared" si="10"/>
        <v>#DIV/0!</v>
      </c>
      <c r="BH9" s="29" t="str">
        <f t="shared" si="10"/>
        <v>#DIV/0!</v>
      </c>
      <c r="BI9" s="29" t="str">
        <f t="shared" si="3"/>
        <v>#DIV/0!</v>
      </c>
    </row>
    <row r="10">
      <c r="A10" s="16" t="str">
        <f>IFERROR(__xludf.DUMMYFUNCTION("IFERROR(SPARKLINE(SORT(MAP(TRANSPOSE(AM10:BH10), LAMBDA(val, IF(ISNUMBER(val), PERCENTRANK(AM10:BH10, val)+0.01, 0))), SEQUENCE(COLUMNS(AM10:BH10)), FALSE), {""charttype"",""column""; ""color"",""chartreuse""; ""ymin"", 0; ""ymax"", 1.01; ""highcolor"", "&amp;"""darkgreen""; ""lowcolor"", ""red""}), """")"),"")</f>
        <v/>
      </c>
      <c r="B10" s="17" t="str">
        <f t="shared" si="4"/>
        <v/>
      </c>
      <c r="C10" s="32" t="s">
        <v>46</v>
      </c>
      <c r="D10" s="30" t="s">
        <v>80</v>
      </c>
      <c r="E10" s="33" t="str">
        <f>IFERROR(__xludf.DUMMYFUNCTION("( (GOOGLEFINANCE(C10, ""price"") - M10) / M10 ) / (N10 / 100)"),"Loading...")</f>
        <v>Loading...</v>
      </c>
      <c r="F10" s="20" t="str">
        <f>IFERROR(__xludf.DUMMYFUNCTION("AVERAGE(ARRAYFORMULA(100 * (QUERY(GOOGLEFINANCE(C10, ""high"", TODAY()-40, TODAY()), ""SELECT Col2 WHERE Col2 IS NOT NULL ORDER BY Col1 DESC LIMIT 20"", 0) / QUERY(GOOGLEFINANCE(C10, ""low"", TODAY()-40, TODAY()), ""SELECT Col2 WHERE Col2 IS NOT NULL ORDE"&amp;"R BY Col1 DESC LIMIT 20"", 0) - 1)))"),"#N/A")</f>
        <v>#N/A</v>
      </c>
      <c r="G10" s="21">
        <f>IFERROR(__xludf.DUMMYFUNCTION("IFERROR(GOOGLEFINANCE(C10, ""changepct"") / 100, """")"),0.0045000000000000005)</f>
        <v>0.0045</v>
      </c>
      <c r="H10" s="21" t="str">
        <f>IFERROR(__xludf.DUMMYFUNCTION("IFERROR((GOOGLEFINANCE(C10, ""price"") / INDEX(GOOGLEFINANCE(C10, ""price"", TODAY()-7, TODAY()), 2, 2)) - 1, """")"),"")</f>
        <v/>
      </c>
      <c r="I10" s="21" t="str">
        <f>IFERROR(__xludf.DUMMYFUNCTION("IFERROR((GOOGLEFINANCE(C10, ""price"") / INDEX(GOOGLEFINANCE(C10, ""price"", EDATE(TODAY(), -1), TODAY()), 2, 2)) - 1, """")"),"")</f>
        <v/>
      </c>
      <c r="J10" s="21" t="str">
        <f>IFERROR(__xludf.DUMMYFUNCTION("IFERROR((GOOGLEFINANCE(C10, ""price"") / INDEX(GOOGLEFINANCE(C10, ""price"", EDATE(TODAY(), -3), TODAY()), 2, 2)) - 1, """")"),"")</f>
        <v/>
      </c>
      <c r="K10" s="21" t="str">
        <f>IFERROR(__xludf.DUMMYFUNCTION("IFERROR((GOOGLEFINANCE(C10, ""price"") / INDEX(GOOGLEFINANCE(C10, ""price"", EDATE(TODAY(), -6), TODAY()), 2, 2)) - 1, """")"),"")</f>
        <v/>
      </c>
      <c r="L10" s="21" t="str">
        <f>IFERROR(__xludf.DUMMYFUNCTION("IFERROR((GOOGLEFINANCE(C10, ""price"") / INDEX(GOOGLEFINANCE(C10, ""price"", EDATE(TODAY(), -12), TODAY()), 2, 2)) - 1, """")"),"")</f>
        <v/>
      </c>
      <c r="M10" s="6" t="str">
        <f>IFERROR(__xludf.DUMMYFUNCTION("AVERAGE(QUERY(GOOGLEFINANCE(C10, ""price"", TODAY()-80, TODAY()), ""SELECT Col2 WHERE Col2 IS NOT NULL ORDER BY Col1 DESC LIMIT 50"", 0))"),"#N/A")</f>
        <v>#N/A</v>
      </c>
      <c r="N10" s="24" t="str">
        <f>IFERROR(__xludf.DUMMYFUNCTION("IFERROR(
  LET(
    data, QUERY(GOOGLEFINANCE(C10,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GOOGLEFINANCE(C10, ""price"")) * 100,
    IF(calc=0, F10, calc)
  ), 
F10)"),"#N/A")</f>
        <v>#N/A</v>
      </c>
      <c r="O10" s="8" t="s">
        <v>15</v>
      </c>
      <c r="P10" s="26" t="str">
        <f>IFERROR(__xludf.DUMMYFUNCTION("IFERROR(TRANSPOSE(QUERY(IFERROR(SORT(GOOGLEFINANCE(C10, ""price"", WORKDAY(TODAY(), -40), TODAY()), 1, FALSE)), ""select Col2 where Col2 is not null limit 22 label Col2 ''"", 0)), """")"),"")</f>
        <v/>
      </c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8"/>
      <c r="AK10" s="28"/>
      <c r="AL10" s="29"/>
      <c r="AM10" s="29" t="str">
        <f t="shared" ref="AM10:BH10" si="11">P10/P$2</f>
        <v>#N/A</v>
      </c>
      <c r="AN10" s="29" t="str">
        <f t="shared" si="11"/>
        <v>#DIV/0!</v>
      </c>
      <c r="AO10" s="29" t="str">
        <f t="shared" si="11"/>
        <v>#DIV/0!</v>
      </c>
      <c r="AP10" s="29" t="str">
        <f t="shared" si="11"/>
        <v>#DIV/0!</v>
      </c>
      <c r="AQ10" s="29" t="str">
        <f t="shared" si="11"/>
        <v>#DIV/0!</v>
      </c>
      <c r="AR10" s="29" t="str">
        <f t="shared" si="11"/>
        <v>#DIV/0!</v>
      </c>
      <c r="AS10" s="29" t="str">
        <f t="shared" si="11"/>
        <v>#DIV/0!</v>
      </c>
      <c r="AT10" s="29" t="str">
        <f t="shared" si="11"/>
        <v>#DIV/0!</v>
      </c>
      <c r="AU10" s="29" t="str">
        <f t="shared" si="11"/>
        <v>#DIV/0!</v>
      </c>
      <c r="AV10" s="29" t="str">
        <f t="shared" si="11"/>
        <v>#DIV/0!</v>
      </c>
      <c r="AW10" s="29" t="str">
        <f t="shared" si="11"/>
        <v>#DIV/0!</v>
      </c>
      <c r="AX10" s="29" t="str">
        <f t="shared" si="11"/>
        <v>#DIV/0!</v>
      </c>
      <c r="AY10" s="29" t="str">
        <f t="shared" si="11"/>
        <v>#DIV/0!</v>
      </c>
      <c r="AZ10" s="29" t="str">
        <f t="shared" si="11"/>
        <v>#DIV/0!</v>
      </c>
      <c r="BA10" s="29" t="str">
        <f t="shared" si="11"/>
        <v>#DIV/0!</v>
      </c>
      <c r="BB10" s="29" t="str">
        <f t="shared" si="11"/>
        <v>#DIV/0!</v>
      </c>
      <c r="BC10" s="29" t="str">
        <f t="shared" si="11"/>
        <v>#DIV/0!</v>
      </c>
      <c r="BD10" s="29" t="str">
        <f t="shared" si="11"/>
        <v>#DIV/0!</v>
      </c>
      <c r="BE10" s="29" t="str">
        <f t="shared" si="11"/>
        <v>#DIV/0!</v>
      </c>
      <c r="BF10" s="29" t="str">
        <f t="shared" si="11"/>
        <v>#DIV/0!</v>
      </c>
      <c r="BG10" s="29" t="str">
        <f t="shared" si="11"/>
        <v>#DIV/0!</v>
      </c>
      <c r="BH10" s="29" t="str">
        <f t="shared" si="11"/>
        <v>#DIV/0!</v>
      </c>
      <c r="BI10" s="29" t="str">
        <f t="shared" si="3"/>
        <v>#DIV/0!</v>
      </c>
    </row>
    <row r="11">
      <c r="A11" s="16" t="str">
        <f>IFERROR(__xludf.DUMMYFUNCTION("IFERROR(SPARKLINE(SORT(MAP(TRANSPOSE(AM11:BH11), LAMBDA(val, IF(ISNUMBER(val), PERCENTRANK(AM11:BH11, val)+0.01, 0))), SEQUENCE(COLUMNS(AM11:BH11)), FALSE), {""charttype"",""column""; ""color"",""chartreuse""; ""ymin"", 0; ""ymax"", 1.01; ""highcolor"", "&amp;"""darkgreen""; ""lowcolor"", ""red""}), """")"),"")</f>
        <v/>
      </c>
      <c r="B11" s="17" t="str">
        <f t="shared" si="4"/>
        <v/>
      </c>
      <c r="C11" s="32" t="s">
        <v>45</v>
      </c>
      <c r="D11" s="30" t="s">
        <v>85</v>
      </c>
      <c r="E11" s="38" t="str">
        <f>IFERROR(__xludf.DUMMYFUNCTION("( (GOOGLEFINANCE(C11, ""price"") - M11) / M11 ) / (N11 / 100)"),"Loading...")</f>
        <v>Loading...</v>
      </c>
      <c r="F11" s="20" t="str">
        <f>IFERROR(__xludf.DUMMYFUNCTION("AVERAGE(ARRAYFORMULA(100 * (QUERY(GOOGLEFINANCE(C11, ""high"", TODAY()-40, TODAY()), ""SELECT Col2 WHERE Col2 IS NOT NULL ORDER BY Col1 DESC LIMIT 20"", 0) / QUERY(GOOGLEFINANCE(C11, ""low"", TODAY()-40, TODAY()), ""SELECT Col2 WHERE Col2 IS NOT NULL ORDE"&amp;"R BY Col1 DESC LIMIT 20"", 0) - 1)))"),"#N/A")</f>
        <v>#N/A</v>
      </c>
      <c r="G11" s="21">
        <f>IFERROR(__xludf.DUMMYFUNCTION("IFERROR(GOOGLEFINANCE(C11, ""changepct"") / 100, """")"),-0.0189)</f>
        <v>-0.0189</v>
      </c>
      <c r="H11" s="21" t="str">
        <f>IFERROR(__xludf.DUMMYFUNCTION("IFERROR((GOOGLEFINANCE(C11, ""price"") / INDEX(GOOGLEFINANCE(C11, ""price"", TODAY()-7, TODAY()), 2, 2)) - 1, """")"),"")</f>
        <v/>
      </c>
      <c r="I11" s="21" t="str">
        <f>IFERROR(__xludf.DUMMYFUNCTION("IFERROR((GOOGLEFINANCE(C11, ""price"") / INDEX(GOOGLEFINANCE(C11, ""price"", EDATE(TODAY(), -1), TODAY()), 2, 2)) - 1, """")"),"")</f>
        <v/>
      </c>
      <c r="J11" s="21" t="str">
        <f>IFERROR(__xludf.DUMMYFUNCTION("IFERROR((GOOGLEFINANCE(C11, ""price"") / INDEX(GOOGLEFINANCE(C11, ""price"", EDATE(TODAY(), -3), TODAY()), 2, 2)) - 1, """")"),"")</f>
        <v/>
      </c>
      <c r="K11" s="21" t="str">
        <f>IFERROR(__xludf.DUMMYFUNCTION("IFERROR((GOOGLEFINANCE(C11, ""price"") / INDEX(GOOGLEFINANCE(C11, ""price"", EDATE(TODAY(), -6), TODAY()), 2, 2)) - 1, """")"),"")</f>
        <v/>
      </c>
      <c r="L11" s="21" t="str">
        <f>IFERROR(__xludf.DUMMYFUNCTION("IFERROR((GOOGLEFINANCE(C11, ""price"") / INDEX(GOOGLEFINANCE(C11, ""price"", EDATE(TODAY(), -12), TODAY()), 2, 2)) - 1, """")"),"")</f>
        <v/>
      </c>
      <c r="M11" s="6" t="str">
        <f>IFERROR(__xludf.DUMMYFUNCTION("AVERAGE(QUERY(GOOGLEFINANCE(C11, ""price"", TODAY()-80, TODAY()), ""SELECT Col2 WHERE Col2 IS NOT NULL ORDER BY Col1 DESC LIMIT 50"", 0))"),"#N/A")</f>
        <v>#N/A</v>
      </c>
      <c r="N11" s="24" t="str">
        <f>IFERROR(__xludf.DUMMYFUNCTION("IFERROR(
  LET(
    data, QUERY(GOOGLEFINANCE(C11,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GOOGLEFINANCE(C11, ""price"")) * 100,
    IF(calc=0, F11, calc)
  ), 
F11)"),"#N/A")</f>
        <v>#N/A</v>
      </c>
      <c r="O11" s="8" t="s">
        <v>15</v>
      </c>
      <c r="P11" s="26" t="str">
        <f>IFERROR(__xludf.DUMMYFUNCTION("IFERROR(TRANSPOSE(QUERY(IFERROR(SORT(GOOGLEFINANCE(C11, ""price"", WORKDAY(TODAY(), -40), TODAY()), 1, FALSE)), ""select Col2 where Col2 is not null limit 22 label Col2 ''"", 0)), """")"),"")</f>
        <v/>
      </c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8"/>
      <c r="AK11" s="28"/>
      <c r="AL11" s="29"/>
      <c r="AM11" s="29" t="str">
        <f t="shared" ref="AM11:BH11" si="12">P11/P$2</f>
        <v>#N/A</v>
      </c>
      <c r="AN11" s="29" t="str">
        <f t="shared" si="12"/>
        <v>#DIV/0!</v>
      </c>
      <c r="AO11" s="29" t="str">
        <f t="shared" si="12"/>
        <v>#DIV/0!</v>
      </c>
      <c r="AP11" s="29" t="str">
        <f t="shared" si="12"/>
        <v>#DIV/0!</v>
      </c>
      <c r="AQ11" s="29" t="str">
        <f t="shared" si="12"/>
        <v>#DIV/0!</v>
      </c>
      <c r="AR11" s="29" t="str">
        <f t="shared" si="12"/>
        <v>#DIV/0!</v>
      </c>
      <c r="AS11" s="29" t="str">
        <f t="shared" si="12"/>
        <v>#DIV/0!</v>
      </c>
      <c r="AT11" s="29" t="str">
        <f t="shared" si="12"/>
        <v>#DIV/0!</v>
      </c>
      <c r="AU11" s="29" t="str">
        <f t="shared" si="12"/>
        <v>#DIV/0!</v>
      </c>
      <c r="AV11" s="29" t="str">
        <f t="shared" si="12"/>
        <v>#DIV/0!</v>
      </c>
      <c r="AW11" s="29" t="str">
        <f t="shared" si="12"/>
        <v>#DIV/0!</v>
      </c>
      <c r="AX11" s="29" t="str">
        <f t="shared" si="12"/>
        <v>#DIV/0!</v>
      </c>
      <c r="AY11" s="29" t="str">
        <f t="shared" si="12"/>
        <v>#DIV/0!</v>
      </c>
      <c r="AZ11" s="29" t="str">
        <f t="shared" si="12"/>
        <v>#DIV/0!</v>
      </c>
      <c r="BA11" s="29" t="str">
        <f t="shared" si="12"/>
        <v>#DIV/0!</v>
      </c>
      <c r="BB11" s="29" t="str">
        <f t="shared" si="12"/>
        <v>#DIV/0!</v>
      </c>
      <c r="BC11" s="29" t="str">
        <f t="shared" si="12"/>
        <v>#DIV/0!</v>
      </c>
      <c r="BD11" s="29" t="str">
        <f t="shared" si="12"/>
        <v>#DIV/0!</v>
      </c>
      <c r="BE11" s="29" t="str">
        <f t="shared" si="12"/>
        <v>#DIV/0!</v>
      </c>
      <c r="BF11" s="29" t="str">
        <f t="shared" si="12"/>
        <v>#DIV/0!</v>
      </c>
      <c r="BG11" s="29" t="str">
        <f t="shared" si="12"/>
        <v>#DIV/0!</v>
      </c>
      <c r="BH11" s="29" t="str">
        <f t="shared" si="12"/>
        <v>#DIV/0!</v>
      </c>
      <c r="BI11" s="29" t="str">
        <f t="shared" si="3"/>
        <v>#DIV/0!</v>
      </c>
    </row>
    <row r="12">
      <c r="A12" s="16" t="str">
        <f>IFERROR(__xludf.DUMMYFUNCTION("IFERROR(SPARKLINE(SORT(MAP(TRANSPOSE(AM12:BH12), LAMBDA(val, IF(ISNUMBER(val), PERCENTRANK(AM12:BH12, val)+0.01, 0))), SEQUENCE(COLUMNS(AM12:BH12)), FALSE), {""charttype"",""column""; ""color"",""chartreuse""; ""ymin"", 0; ""ymax"", 1.01; ""highcolor"", "&amp;"""darkgreen""; ""lowcolor"", ""red""}), """")"),"")</f>
        <v/>
      </c>
      <c r="B12" s="17" t="str">
        <f t="shared" si="4"/>
        <v/>
      </c>
      <c r="C12" s="32" t="s">
        <v>88</v>
      </c>
      <c r="D12" s="30" t="s">
        <v>89</v>
      </c>
      <c r="E12" s="38" t="str">
        <f>IFERROR(__xludf.DUMMYFUNCTION("( (GOOGLEFINANCE(C12, ""price"") - M12) / M12 ) / (N12 / 100)"),"Loading...")</f>
        <v>Loading...</v>
      </c>
      <c r="F12" s="20" t="str">
        <f>IFERROR(__xludf.DUMMYFUNCTION("AVERAGE(ARRAYFORMULA(100 * (QUERY(GOOGLEFINANCE(C12, ""high"", TODAY()-40, TODAY()), ""SELECT Col2 WHERE Col2 IS NOT NULL ORDER BY Col1 DESC LIMIT 20"", 0) / QUERY(GOOGLEFINANCE(C12, ""low"", TODAY()-40, TODAY()), ""SELECT Col2 WHERE Col2 IS NOT NULL ORDE"&amp;"R BY Col1 DESC LIMIT 20"", 0) - 1)))"),"#N/A")</f>
        <v>#N/A</v>
      </c>
      <c r="G12" s="21">
        <f>IFERROR(__xludf.DUMMYFUNCTION("IFERROR(GOOGLEFINANCE(C12, ""changepct"") / 100, """")"),-8.0E-4)</f>
        <v>-0.0008</v>
      </c>
      <c r="H12" s="21" t="str">
        <f>IFERROR(__xludf.DUMMYFUNCTION("IFERROR((GOOGLEFINANCE(C12, ""price"") / INDEX(GOOGLEFINANCE(C12, ""price"", TODAY()-7, TODAY()), 2, 2)) - 1, """")"),"")</f>
        <v/>
      </c>
      <c r="I12" s="21" t="str">
        <f>IFERROR(__xludf.DUMMYFUNCTION("IFERROR((GOOGLEFINANCE(C12, ""price"") / INDEX(GOOGLEFINANCE(C12, ""price"", EDATE(TODAY(), -1), TODAY()), 2, 2)) - 1, """")"),"")</f>
        <v/>
      </c>
      <c r="J12" s="21" t="str">
        <f>IFERROR(__xludf.DUMMYFUNCTION("IFERROR((GOOGLEFINANCE(C12, ""price"") / INDEX(GOOGLEFINANCE(C12, ""price"", EDATE(TODAY(), -3), TODAY()), 2, 2)) - 1, """")"),"")</f>
        <v/>
      </c>
      <c r="K12" s="21" t="str">
        <f>IFERROR(__xludf.DUMMYFUNCTION("IFERROR((GOOGLEFINANCE(C12, ""price"") / INDEX(GOOGLEFINANCE(C12, ""price"", EDATE(TODAY(), -6), TODAY()), 2, 2)) - 1, """")"),"")</f>
        <v/>
      </c>
      <c r="L12" s="21" t="str">
        <f>IFERROR(__xludf.DUMMYFUNCTION("IFERROR((GOOGLEFINANCE(C12, ""price"") / INDEX(GOOGLEFINANCE(C12, ""price"", EDATE(TODAY(), -12), TODAY()), 2, 2)) - 1, """")"),"")</f>
        <v/>
      </c>
      <c r="M12" s="6" t="str">
        <f>IFERROR(__xludf.DUMMYFUNCTION("AVERAGE(QUERY(GOOGLEFINANCE(C12, ""price"", TODAY()-80, TODAY()), ""SELECT Col2 WHERE Col2 IS NOT NULL ORDER BY Col1 DESC LIMIT 50"", 0))"),"#N/A")</f>
        <v>#N/A</v>
      </c>
      <c r="N12" s="24" t="str">
        <f>IFERROR(__xludf.DUMMYFUNCTION("IFERROR(
  LET(
    data, QUERY(GOOGLEFINANCE(C12,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GOOGLEFINANCE(C12, ""price"")) * 100,
    IF(calc=0, F12, calc)
  ), 
F12)"),"#N/A")</f>
        <v>#N/A</v>
      </c>
      <c r="O12" s="8" t="s">
        <v>15</v>
      </c>
      <c r="P12" s="26" t="str">
        <f>IFERROR(__xludf.DUMMYFUNCTION("IFERROR(TRANSPOSE(QUERY(IFERROR(SORT(GOOGLEFINANCE(C12, ""price"", WORKDAY(TODAY(), -40), TODAY()), 1, FALSE)), ""select Col2 where Col2 is not null limit 22 label Col2 ''"", 0)), """")"),"")</f>
        <v/>
      </c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8"/>
      <c r="AK12" s="28"/>
      <c r="AL12" s="29"/>
      <c r="AM12" s="29" t="str">
        <f t="shared" ref="AM12:BH12" si="13">P12/P$2</f>
        <v>#N/A</v>
      </c>
      <c r="AN12" s="29" t="str">
        <f t="shared" si="13"/>
        <v>#DIV/0!</v>
      </c>
      <c r="AO12" s="29" t="str">
        <f t="shared" si="13"/>
        <v>#DIV/0!</v>
      </c>
      <c r="AP12" s="29" t="str">
        <f t="shared" si="13"/>
        <v>#DIV/0!</v>
      </c>
      <c r="AQ12" s="29" t="str">
        <f t="shared" si="13"/>
        <v>#DIV/0!</v>
      </c>
      <c r="AR12" s="29" t="str">
        <f t="shared" si="13"/>
        <v>#DIV/0!</v>
      </c>
      <c r="AS12" s="29" t="str">
        <f t="shared" si="13"/>
        <v>#DIV/0!</v>
      </c>
      <c r="AT12" s="29" t="str">
        <f t="shared" si="13"/>
        <v>#DIV/0!</v>
      </c>
      <c r="AU12" s="29" t="str">
        <f t="shared" si="13"/>
        <v>#DIV/0!</v>
      </c>
      <c r="AV12" s="29" t="str">
        <f t="shared" si="13"/>
        <v>#DIV/0!</v>
      </c>
      <c r="AW12" s="29" t="str">
        <f t="shared" si="13"/>
        <v>#DIV/0!</v>
      </c>
      <c r="AX12" s="29" t="str">
        <f t="shared" si="13"/>
        <v>#DIV/0!</v>
      </c>
      <c r="AY12" s="29" t="str">
        <f t="shared" si="13"/>
        <v>#DIV/0!</v>
      </c>
      <c r="AZ12" s="29" t="str">
        <f t="shared" si="13"/>
        <v>#DIV/0!</v>
      </c>
      <c r="BA12" s="29" t="str">
        <f t="shared" si="13"/>
        <v>#DIV/0!</v>
      </c>
      <c r="BB12" s="29" t="str">
        <f t="shared" si="13"/>
        <v>#DIV/0!</v>
      </c>
      <c r="BC12" s="29" t="str">
        <f t="shared" si="13"/>
        <v>#DIV/0!</v>
      </c>
      <c r="BD12" s="29" t="str">
        <f t="shared" si="13"/>
        <v>#DIV/0!</v>
      </c>
      <c r="BE12" s="29" t="str">
        <f t="shared" si="13"/>
        <v>#DIV/0!</v>
      </c>
      <c r="BF12" s="29" t="str">
        <f t="shared" si="13"/>
        <v>#DIV/0!</v>
      </c>
      <c r="BG12" s="29" t="str">
        <f t="shared" si="13"/>
        <v>#DIV/0!</v>
      </c>
      <c r="BH12" s="29" t="str">
        <f t="shared" si="13"/>
        <v>#DIV/0!</v>
      </c>
      <c r="BI12" s="29" t="str">
        <f t="shared" si="3"/>
        <v>#DIV/0!</v>
      </c>
    </row>
    <row r="13">
      <c r="A13" s="16" t="str">
        <f>IFERROR(__xludf.DUMMYFUNCTION("IFERROR(SPARKLINE(SORT(MAP(TRANSPOSE(AM13:BH13), LAMBDA(val, IF(ISNUMBER(val), PERCENTRANK(AM13:BH13, val)+0.01, 0))), SEQUENCE(COLUMNS(AM13:BH13)), FALSE), {""charttype"",""column""; ""color"",""chartreuse""; ""ymin"", 0; ""ymax"", 1.01; ""highcolor"", "&amp;"""darkgreen""; ""lowcolor"", ""red""}), """")"),"")</f>
        <v/>
      </c>
      <c r="B13" s="17" t="str">
        <f t="shared" si="4"/>
        <v/>
      </c>
      <c r="C13" s="32" t="s">
        <v>91</v>
      </c>
      <c r="D13" s="30" t="s">
        <v>92</v>
      </c>
      <c r="E13" s="33" t="str">
        <f>IFERROR(__xludf.DUMMYFUNCTION("( (GOOGLEFINANCE(C13, ""price"") - M13) / M13 ) / (N13 / 100)"),"Loading...")</f>
        <v>Loading...</v>
      </c>
      <c r="F13" s="20" t="str">
        <f>IFERROR(__xludf.DUMMYFUNCTION("AVERAGE(ARRAYFORMULA(100 * (QUERY(GOOGLEFINANCE(C13, ""high"", TODAY()-40, TODAY()), ""SELECT Col2 WHERE Col2 IS NOT NULL ORDER BY Col1 DESC LIMIT 20"", 0) / QUERY(GOOGLEFINANCE(C13, ""low"", TODAY()-40, TODAY()), ""SELECT Col2 WHERE Col2 IS NOT NULL ORDE"&amp;"R BY Col1 DESC LIMIT 20"", 0) - 1)))"),"#N/A")</f>
        <v>#N/A</v>
      </c>
      <c r="G13" s="21">
        <f>IFERROR(__xludf.DUMMYFUNCTION("IFERROR(GOOGLEFINANCE(C13, ""changepct"") / 100, """")"),-0.0084)</f>
        <v>-0.0084</v>
      </c>
      <c r="H13" s="21" t="str">
        <f>IFERROR(__xludf.DUMMYFUNCTION("IFERROR((GOOGLEFINANCE(C13, ""price"") / INDEX(GOOGLEFINANCE(C13, ""price"", TODAY()-7, TODAY()), 2, 2)) - 1, """")"),"")</f>
        <v/>
      </c>
      <c r="I13" s="21" t="str">
        <f>IFERROR(__xludf.DUMMYFUNCTION("IFERROR((GOOGLEFINANCE(C13, ""price"") / INDEX(GOOGLEFINANCE(C13, ""price"", EDATE(TODAY(), -1), TODAY()), 2, 2)) - 1, """")"),"")</f>
        <v/>
      </c>
      <c r="J13" s="21" t="str">
        <f>IFERROR(__xludf.DUMMYFUNCTION("IFERROR((GOOGLEFINANCE(C13, ""price"") / INDEX(GOOGLEFINANCE(C13, ""price"", EDATE(TODAY(), -3), TODAY()), 2, 2)) - 1, """")"),"")</f>
        <v/>
      </c>
      <c r="K13" s="21" t="str">
        <f>IFERROR(__xludf.DUMMYFUNCTION("IFERROR((GOOGLEFINANCE(C13, ""price"") / INDEX(GOOGLEFINANCE(C13, ""price"", EDATE(TODAY(), -6), TODAY()), 2, 2)) - 1, """")"),"")</f>
        <v/>
      </c>
      <c r="L13" s="21" t="str">
        <f>IFERROR(__xludf.DUMMYFUNCTION("IFERROR((GOOGLEFINANCE(C13, ""price"") / INDEX(GOOGLEFINANCE(C13, ""price"", EDATE(TODAY(), -12), TODAY()), 2, 2)) - 1, """")"),"")</f>
        <v/>
      </c>
      <c r="M13" s="6" t="str">
        <f>IFERROR(__xludf.DUMMYFUNCTION("AVERAGE(QUERY(GOOGLEFINANCE(C13, ""price"", TODAY()-80, TODAY()), ""SELECT Col2 WHERE Col2 IS NOT NULL ORDER BY Col1 DESC LIMIT 50"", 0))"),"#N/A")</f>
        <v>#N/A</v>
      </c>
      <c r="N13" s="24" t="str">
        <f>IFERROR(__xludf.DUMMYFUNCTION("IFERROR(
  LET(
    data, QUERY(GOOGLEFINANCE(C13,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GOOGLEFINANCE(C13, ""price"")) * 100,
    IF(calc=0, F13, calc)
  ), 
F13)"),"#N/A")</f>
        <v>#N/A</v>
      </c>
      <c r="O13" s="8" t="s">
        <v>15</v>
      </c>
      <c r="P13" s="26" t="str">
        <f>IFERROR(__xludf.DUMMYFUNCTION("IFERROR(TRANSPOSE(QUERY(IFERROR(SORT(GOOGLEFINANCE(C13, ""price"", WORKDAY(TODAY(), -40), TODAY()), 1, FALSE)), ""select Col2 where Col2 is not null limit 22 label Col2 ''"", 0)), """")"),"")</f>
        <v/>
      </c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8"/>
      <c r="AK13" s="28"/>
      <c r="AL13" s="29"/>
      <c r="AM13" s="29" t="str">
        <f t="shared" ref="AM13:BH13" si="14">P13/P$2</f>
        <v>#N/A</v>
      </c>
      <c r="AN13" s="29" t="str">
        <f t="shared" si="14"/>
        <v>#DIV/0!</v>
      </c>
      <c r="AO13" s="29" t="str">
        <f t="shared" si="14"/>
        <v>#DIV/0!</v>
      </c>
      <c r="AP13" s="29" t="str">
        <f t="shared" si="14"/>
        <v>#DIV/0!</v>
      </c>
      <c r="AQ13" s="29" t="str">
        <f t="shared" si="14"/>
        <v>#DIV/0!</v>
      </c>
      <c r="AR13" s="29" t="str">
        <f t="shared" si="14"/>
        <v>#DIV/0!</v>
      </c>
      <c r="AS13" s="29" t="str">
        <f t="shared" si="14"/>
        <v>#DIV/0!</v>
      </c>
      <c r="AT13" s="29" t="str">
        <f t="shared" si="14"/>
        <v>#DIV/0!</v>
      </c>
      <c r="AU13" s="29" t="str">
        <f t="shared" si="14"/>
        <v>#DIV/0!</v>
      </c>
      <c r="AV13" s="29" t="str">
        <f t="shared" si="14"/>
        <v>#DIV/0!</v>
      </c>
      <c r="AW13" s="29" t="str">
        <f t="shared" si="14"/>
        <v>#DIV/0!</v>
      </c>
      <c r="AX13" s="29" t="str">
        <f t="shared" si="14"/>
        <v>#DIV/0!</v>
      </c>
      <c r="AY13" s="29" t="str">
        <f t="shared" si="14"/>
        <v>#DIV/0!</v>
      </c>
      <c r="AZ13" s="29" t="str">
        <f t="shared" si="14"/>
        <v>#DIV/0!</v>
      </c>
      <c r="BA13" s="29" t="str">
        <f t="shared" si="14"/>
        <v>#DIV/0!</v>
      </c>
      <c r="BB13" s="29" t="str">
        <f t="shared" si="14"/>
        <v>#DIV/0!</v>
      </c>
      <c r="BC13" s="29" t="str">
        <f t="shared" si="14"/>
        <v>#DIV/0!</v>
      </c>
      <c r="BD13" s="29" t="str">
        <f t="shared" si="14"/>
        <v>#DIV/0!</v>
      </c>
      <c r="BE13" s="29" t="str">
        <f t="shared" si="14"/>
        <v>#DIV/0!</v>
      </c>
      <c r="BF13" s="29" t="str">
        <f t="shared" si="14"/>
        <v>#DIV/0!</v>
      </c>
      <c r="BG13" s="29" t="str">
        <f t="shared" si="14"/>
        <v>#DIV/0!</v>
      </c>
      <c r="BH13" s="29" t="str">
        <f t="shared" si="14"/>
        <v>#DIV/0!</v>
      </c>
      <c r="BI13" s="29" t="str">
        <f t="shared" si="3"/>
        <v>#DIV/0!</v>
      </c>
    </row>
  </sheetData>
  <conditionalFormatting sqref="G1:L13">
    <cfRule type="cellIs" dxfId="0" priority="1" operator="lessThan">
      <formula>0</formula>
    </cfRule>
  </conditionalFormatting>
  <conditionalFormatting sqref="A1:BI13">
    <cfRule type="containsBlanks" dxfId="1" priority="2">
      <formula>LEN(TRIM(A1))=0</formula>
    </cfRule>
  </conditionalFormatting>
  <conditionalFormatting sqref="C1:C13">
    <cfRule type="expression" dxfId="2" priority="3">
      <formula>COUNTIF($C:$C, C1) &gt; 1</formula>
    </cfRule>
  </conditionalFormatting>
  <conditionalFormatting sqref="E1:E13">
    <cfRule type="cellIs" dxfId="3" priority="4" operator="greaterThanOrEqual">
      <formula>8</formula>
    </cfRule>
  </conditionalFormatting>
  <conditionalFormatting sqref="E1:E13">
    <cfRule type="cellIs" dxfId="4" priority="5" operator="greaterThanOrEqual">
      <formula>5</formula>
    </cfRule>
  </conditionalFormatting>
  <conditionalFormatting sqref="E1:E13">
    <cfRule type="cellIs" dxfId="5" priority="6" operator="lessThanOrEqual">
      <formula>5</formula>
    </cfRule>
  </conditionalFormatting>
  <conditionalFormatting sqref="E1:E13">
    <cfRule type="cellIs" dxfId="6" priority="7" operator="lessThan">
      <formula>-5</formula>
    </cfRule>
  </conditionalFormatting>
  <conditionalFormatting sqref="F1:F13">
    <cfRule type="cellIs" dxfId="7" priority="8" operator="greaterThanOrEqual">
      <formula>4</formula>
    </cfRule>
  </conditionalFormatting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8.38"/>
    <col customWidth="1" min="2" max="2" width="9.13"/>
    <col customWidth="1" min="3" max="3" width="8.25"/>
    <col customWidth="1" min="4" max="4" width="38.88"/>
    <col customWidth="1" min="5" max="5" width="25.63"/>
    <col customWidth="1" min="6" max="6" width="11.25"/>
    <col customWidth="1" min="7" max="7" width="8.25"/>
    <col customWidth="1" min="8" max="8" width="6.75"/>
    <col customWidth="1" min="9" max="9" width="14.75"/>
    <col customWidth="1" min="10" max="10" width="13.63"/>
    <col customWidth="1" min="11" max="11" width="6.63"/>
    <col customWidth="1" min="12" max="12" width="7.13"/>
    <col customWidth="1" min="13" max="13" width="7.38"/>
    <col customWidth="1" min="14" max="14" width="7.63"/>
    <col customWidth="1" min="15" max="15" width="8.0"/>
    <col customWidth="1" min="16" max="16" width="8.75"/>
    <col customWidth="1" min="17" max="17" width="9.38"/>
    <col customWidth="1" min="18" max="18" width="8.63"/>
    <col customWidth="1" min="19" max="19" width="1.63"/>
    <col customWidth="1" min="20" max="20" width="9.25"/>
    <col customWidth="1" min="21" max="22" width="10.75"/>
    <col customWidth="1" min="23" max="23" width="10.88"/>
    <col customWidth="1" min="24" max="24" width="10.75"/>
    <col customWidth="1" min="25" max="25" width="10.88"/>
    <col customWidth="1" min="26" max="26" width="10.75"/>
    <col customWidth="1" min="27" max="28" width="10.88"/>
    <col customWidth="1" min="29" max="29" width="11.5"/>
    <col customWidth="1" min="30" max="30" width="11.0"/>
    <col customWidth="1" min="31" max="32" width="11.25"/>
    <col customWidth="1" min="33" max="33" width="11.5"/>
    <col customWidth="1" min="34" max="38" width="11.38"/>
    <col customWidth="1" min="39" max="39" width="11.75"/>
    <col customWidth="1" min="40" max="40" width="11.38"/>
    <col customWidth="1" min="41" max="41" width="11.63"/>
    <col customWidth="1" min="42" max="42" width="14.5"/>
    <col customWidth="1" min="43" max="64" width="5.5"/>
    <col customWidth="1" min="65" max="65" width="5.3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5" t="s">
        <v>5</v>
      </c>
      <c r="F1" s="3" t="s">
        <v>4</v>
      </c>
      <c r="G1" s="9" t="s">
        <v>6</v>
      </c>
      <c r="H1" s="5" t="s">
        <v>17</v>
      </c>
      <c r="I1" s="5" t="s">
        <v>19</v>
      </c>
      <c r="J1" s="5" t="s">
        <v>23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6" t="s">
        <v>13</v>
      </c>
      <c r="R1" s="7" t="s">
        <v>14</v>
      </c>
      <c r="S1" s="8" t="s">
        <v>15</v>
      </c>
      <c r="T1" s="10" t="s">
        <v>16</v>
      </c>
      <c r="U1" s="11" t="s">
        <v>18</v>
      </c>
      <c r="V1" s="12" t="s">
        <v>20</v>
      </c>
      <c r="W1" s="11" t="s">
        <v>21</v>
      </c>
      <c r="X1" s="12" t="s">
        <v>22</v>
      </c>
      <c r="Y1" s="11" t="s">
        <v>24</v>
      </c>
      <c r="Z1" s="11" t="s">
        <v>25</v>
      </c>
      <c r="AA1" s="12" t="s">
        <v>26</v>
      </c>
      <c r="AB1" s="11" t="s">
        <v>27</v>
      </c>
      <c r="AC1" s="12" t="s">
        <v>28</v>
      </c>
      <c r="AD1" s="11" t="s">
        <v>29</v>
      </c>
      <c r="AE1" s="11" t="s">
        <v>30</v>
      </c>
      <c r="AF1" s="12" t="s">
        <v>31</v>
      </c>
      <c r="AG1" s="11" t="s">
        <v>32</v>
      </c>
      <c r="AH1" s="12" t="s">
        <v>33</v>
      </c>
      <c r="AI1" s="11" t="s">
        <v>34</v>
      </c>
      <c r="AJ1" s="11" t="s">
        <v>35</v>
      </c>
      <c r="AK1" s="12" t="s">
        <v>36</v>
      </c>
      <c r="AL1" s="11" t="s">
        <v>37</v>
      </c>
      <c r="AM1" s="12" t="s">
        <v>38</v>
      </c>
      <c r="AN1" s="11" t="s">
        <v>39</v>
      </c>
      <c r="AO1" s="11" t="s">
        <v>40</v>
      </c>
      <c r="AP1" s="13"/>
      <c r="AQ1" s="14">
        <v>1.0</v>
      </c>
      <c r="AR1" s="14">
        <v>2.0</v>
      </c>
      <c r="AS1" s="14">
        <v>3.0</v>
      </c>
      <c r="AT1" s="14">
        <v>4.0</v>
      </c>
      <c r="AU1" s="14">
        <v>5.0</v>
      </c>
      <c r="AV1" s="14">
        <v>6.0</v>
      </c>
      <c r="AW1" s="14">
        <v>7.0</v>
      </c>
      <c r="AX1" s="14">
        <v>8.0</v>
      </c>
      <c r="AY1" s="14">
        <v>9.0</v>
      </c>
      <c r="AZ1" s="14">
        <v>10.0</v>
      </c>
      <c r="BA1" s="14">
        <v>11.0</v>
      </c>
      <c r="BB1" s="14">
        <v>12.0</v>
      </c>
      <c r="BC1" s="14">
        <v>13.0</v>
      </c>
      <c r="BD1" s="14">
        <v>14.0</v>
      </c>
      <c r="BE1" s="14">
        <v>15.0</v>
      </c>
      <c r="BF1" s="14">
        <v>16.0</v>
      </c>
      <c r="BG1" s="14">
        <v>17.0</v>
      </c>
      <c r="BH1" s="14">
        <v>18.0</v>
      </c>
      <c r="BI1" s="14">
        <v>19.0</v>
      </c>
      <c r="BJ1" s="14">
        <v>20.0</v>
      </c>
      <c r="BK1" s="14">
        <v>21.0</v>
      </c>
      <c r="BL1" s="14">
        <v>22.0</v>
      </c>
      <c r="BM1" s="14" t="s">
        <v>41</v>
      </c>
    </row>
    <row r="2">
      <c r="A2" s="16" t="str">
        <f>IFERROR(__xludf.DUMMYFUNCTION("SPARKLINE(SORT(MAP(TRANSPOSE(AQ2:BL2), LAMBDA(val, PERCENTRANK(AQ2:BL2, val)+0.01)), SEQUENCE(COLUMNS(AQ2:BL2)), FALSE), {""charttype"",""column""; ""color"",""chartreuse""; ""ymin"", 0; ""ymax"", 1.01; ""highcolor"", ""darkgreen""; ""lowcolor"", ""red""}"&amp;")"),"#N/A")</f>
        <v>#N/A</v>
      </c>
      <c r="B2" s="17">
        <f>IF(C2="SPY", 1, PERCENTRANK(AQ2:BL2, AQ2))</f>
        <v>1</v>
      </c>
      <c r="C2" s="1" t="s">
        <v>42</v>
      </c>
      <c r="D2" s="18" t="str">
        <f>IFERROR(__xludf.DUMMYFUNCTION("IFERROR(GOOGLEFINANCE(C2, ""NAME""))"),"State Street SPDR S&amp;P 500 ETF Trust")</f>
        <v>State Street SPDR S&amp;P 500 ETF Trust</v>
      </c>
      <c r="E2" s="22"/>
      <c r="F2" s="19" t="str">
        <f>IFERROR(__xludf.DUMMYFUNCTION("( (GOOGLEFINANCE(C2, ""price"") - Q2) / Q2 ) / (R2 / 100)"),"Loading...")</f>
        <v>Loading...</v>
      </c>
      <c r="G2" s="22"/>
      <c r="H2" s="22"/>
      <c r="I2" s="22"/>
      <c r="J2" s="22"/>
      <c r="K2" s="21" t="str">
        <f>IFERROR(__xludf.DUMMYFUNCTION("IFERROR(GOOGLEFINANCE(C2, ""changepct"") / 100, """")"),"")</f>
        <v/>
      </c>
      <c r="L2" s="21" t="str">
        <f>IFERROR(__xludf.DUMMYFUNCTION("IFERROR((GOOGLEFINANCE(C2, ""price"") / INDEX(GOOGLEFINANCE(C2, ""price"", TODAY()-7, TODAY()), 2, 2)) - 1, """")"),"")</f>
        <v/>
      </c>
      <c r="M2" s="21" t="str">
        <f>IFERROR(__xludf.DUMMYFUNCTION("IFERROR((GOOGLEFINANCE(C2, ""price"") / INDEX(GOOGLEFINANCE(C2, ""price"", EDATE(TODAY(), -1), TODAY()), 2, 2)) - 1, """")"),"")</f>
        <v/>
      </c>
      <c r="N2" s="21" t="str">
        <f>IFERROR(__xludf.DUMMYFUNCTION("IFERROR((GOOGLEFINANCE(C2, ""price"") / INDEX(GOOGLEFINANCE(C2, ""price"", EDATE(TODAY(), -3), TODAY()), 2, 2)) - 1, """")"),"")</f>
        <v/>
      </c>
      <c r="O2" s="21" t="str">
        <f>IFERROR(__xludf.DUMMYFUNCTION("IFERROR((GOOGLEFINANCE(C2, ""price"") / INDEX(GOOGLEFINANCE(C2, ""price"", EDATE(TODAY(), -6), TODAY()), 2, 2)) - 1, """")"),"")</f>
        <v/>
      </c>
      <c r="P2" s="21" t="str">
        <f>IFERROR(__xludf.DUMMYFUNCTION("IFERROR((GOOGLEFINANCE(C2, ""price"") / INDEX(GOOGLEFINANCE(C2, ""price"", EDATE(TODAY(), -12), TODAY()), 2, 2)) - 1, """")"),"")</f>
        <v/>
      </c>
      <c r="Q2" s="23" t="str">
        <f>IFERROR(__xludf.DUMMYFUNCTION("AVERAGE(QUERY(GOOGLEFINANCE(C2, ""price"", TODAY()-80, TODAY()), ""SELECT Col2 WHERE Col2 IS NOT NULL ORDER BY Col1 DESC LIMIT 50"", 0))"),"#N/A")</f>
        <v>#N/A</v>
      </c>
      <c r="R2" s="24" t="str">
        <f>IFERROR(__xludf.DUMMYFUNCTION("IFERROR(
  LET(
    data, QUERY(GOOGLEFINANCE(C2,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GOOGLEFINANCE(C2, ""price"")) * 100,
    IF(calc=0, G2, calc)
  ), 
G2)"),"")</f>
        <v/>
      </c>
      <c r="S2" s="8" t="s">
        <v>15</v>
      </c>
      <c r="T2" s="26" t="str">
        <f>IFERROR(__xludf.DUMMYFUNCTION("TRANSPOSE(QUERY(SORT(GOOGLEFINANCE(C2, ""price"", WORKDAY(TODAY(), -40), TODAY()), 1, FALSE), ""select Col2 where Col2 is not null limit 22 label Col2 ''"", 0))"),"#N/A")</f>
        <v>#N/A</v>
      </c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8"/>
      <c r="AO2" s="28"/>
      <c r="AP2" s="29"/>
      <c r="AQ2" s="29" t="str">
        <f t="shared" ref="AQ2:BL2" si="1">T2/T$2</f>
        <v>#N/A</v>
      </c>
      <c r="AR2" s="29" t="str">
        <f t="shared" si="1"/>
        <v>#DIV/0!</v>
      </c>
      <c r="AS2" s="29" t="str">
        <f t="shared" si="1"/>
        <v>#DIV/0!</v>
      </c>
      <c r="AT2" s="29" t="str">
        <f t="shared" si="1"/>
        <v>#DIV/0!</v>
      </c>
      <c r="AU2" s="29" t="str">
        <f t="shared" si="1"/>
        <v>#DIV/0!</v>
      </c>
      <c r="AV2" s="29" t="str">
        <f t="shared" si="1"/>
        <v>#DIV/0!</v>
      </c>
      <c r="AW2" s="29" t="str">
        <f t="shared" si="1"/>
        <v>#DIV/0!</v>
      </c>
      <c r="AX2" s="29" t="str">
        <f t="shared" si="1"/>
        <v>#DIV/0!</v>
      </c>
      <c r="AY2" s="29" t="str">
        <f t="shared" si="1"/>
        <v>#DIV/0!</v>
      </c>
      <c r="AZ2" s="29" t="str">
        <f t="shared" si="1"/>
        <v>#DIV/0!</v>
      </c>
      <c r="BA2" s="29" t="str">
        <f t="shared" si="1"/>
        <v>#DIV/0!</v>
      </c>
      <c r="BB2" s="29" t="str">
        <f t="shared" si="1"/>
        <v>#DIV/0!</v>
      </c>
      <c r="BC2" s="29" t="str">
        <f t="shared" si="1"/>
        <v>#DIV/0!</v>
      </c>
      <c r="BD2" s="29" t="str">
        <f t="shared" si="1"/>
        <v>#DIV/0!</v>
      </c>
      <c r="BE2" s="29" t="str">
        <f t="shared" si="1"/>
        <v>#DIV/0!</v>
      </c>
      <c r="BF2" s="29" t="str">
        <f t="shared" si="1"/>
        <v>#DIV/0!</v>
      </c>
      <c r="BG2" s="29" t="str">
        <f t="shared" si="1"/>
        <v>#DIV/0!</v>
      </c>
      <c r="BH2" s="29" t="str">
        <f t="shared" si="1"/>
        <v>#DIV/0!</v>
      </c>
      <c r="BI2" s="29" t="str">
        <f t="shared" si="1"/>
        <v>#DIV/0!</v>
      </c>
      <c r="BJ2" s="29" t="str">
        <f t="shared" si="1"/>
        <v>#DIV/0!</v>
      </c>
      <c r="BK2" s="29" t="str">
        <f t="shared" si="1"/>
        <v>#DIV/0!</v>
      </c>
      <c r="BL2" s="29" t="str">
        <f t="shared" si="1"/>
        <v>#DIV/0!</v>
      </c>
      <c r="BM2" s="29" t="str">
        <f t="shared" ref="BM2:BM482" si="3">(T2/AO2)/(T$2/AO$2)</f>
        <v>#N/A</v>
      </c>
    </row>
    <row r="3">
      <c r="A3" s="16" t="str">
        <f>IFERROR(__xludf.DUMMYFUNCTION("IFERROR(SPARKLINE(SORT(MAP(TRANSPOSE(AQ3:BL3), LAMBDA(val, IF(ISNUMBER(val), PERCENTRANK(AQ3:BL3, val)+0.01, 0))), SEQUENCE(COLUMNS(AQ3:BL3)), FALSE), {""charttype"",""column""; ""color"",""chartreuse""; ""ymin"", 0; ""ymax"", 1.01; ""highcolor"", ""darkg"&amp;"reen""; ""lowcolor"", ""red""}), """")"),"")</f>
        <v/>
      </c>
      <c r="B3" s="17" t="str">
        <f t="shared" ref="B3:B482" si="4">IFERROR(IF(C3="SPY", 1, IF(ISNUMBER(AQ3), PERCENTRANK(AQ3:BL3, AQ3), "")), "")</f>
        <v/>
      </c>
      <c r="C3" s="1" t="s">
        <v>43</v>
      </c>
      <c r="D3" s="30" t="str">
        <f>IFERROR(__xludf.DUMMYFUNCTION("IFERROR(GOOGLEFINANCE(C3, ""NAME""))"),"State Street Technology Select Sector SPDR ETF")</f>
        <v>State Street Technology Select Sector SPDR ETF</v>
      </c>
      <c r="E3" s="31"/>
      <c r="F3" s="33" t="str">
        <f>IFERROR(__xludf.DUMMYFUNCTION("( (GOOGLEFINANCE(C3, ""price"") - Q3) / Q3 ) / (R3 / 100)"),"Loading...")</f>
        <v>Loading...</v>
      </c>
      <c r="G3" s="31"/>
      <c r="H3" s="31"/>
      <c r="I3" s="31"/>
      <c r="J3" s="31"/>
      <c r="K3" s="21" t="str">
        <f>IFERROR(__xludf.DUMMYFUNCTION("IFERROR(GOOGLEFINANCE(C3, ""changepct"") / 100, """")"),"")</f>
        <v/>
      </c>
      <c r="L3" s="21" t="str">
        <f>IFERROR(__xludf.DUMMYFUNCTION("IFERROR((GOOGLEFINANCE(C3, ""price"") / INDEX(GOOGLEFINANCE(C3, ""price"", TODAY()-7, TODAY()), 2, 2)) - 1, """")"),"")</f>
        <v/>
      </c>
      <c r="M3" s="21" t="str">
        <f>IFERROR(__xludf.DUMMYFUNCTION("IFERROR((GOOGLEFINANCE(C3, ""price"") / INDEX(GOOGLEFINANCE(C3, ""price"", EDATE(TODAY(), -1), TODAY()), 2, 2)) - 1, """")"),"")</f>
        <v/>
      </c>
      <c r="N3" s="21" t="str">
        <f>IFERROR(__xludf.DUMMYFUNCTION("IFERROR((GOOGLEFINANCE(C3, ""price"") / INDEX(GOOGLEFINANCE(C3, ""price"", EDATE(TODAY(), -3), TODAY()), 2, 2)) - 1, """")"),"")</f>
        <v/>
      </c>
      <c r="O3" s="21" t="str">
        <f>IFERROR(__xludf.DUMMYFUNCTION("IFERROR((GOOGLEFINANCE(C3, ""price"") / INDEX(GOOGLEFINANCE(C3, ""price"", EDATE(TODAY(), -6), TODAY()), 2, 2)) - 1, """")"),"")</f>
        <v/>
      </c>
      <c r="P3" s="21" t="str">
        <f>IFERROR(__xludf.DUMMYFUNCTION("IFERROR((GOOGLEFINANCE(C3, ""price"") / INDEX(GOOGLEFINANCE(C3, ""price"", EDATE(TODAY(), -12), TODAY()), 2, 2)) - 1, """")"),"")</f>
        <v/>
      </c>
      <c r="Q3" s="6" t="str">
        <f>IFERROR(__xludf.DUMMYFUNCTION("AVERAGE(QUERY(GOOGLEFINANCE(C3, ""price"", TODAY()-80, TODAY()), ""SELECT Col2 WHERE Col2 IS NOT NULL ORDER BY Col1 DESC LIMIT 50"", 0))"),"#N/A")</f>
        <v>#N/A</v>
      </c>
      <c r="R3" s="24" t="str">
        <f>IFERROR(__xludf.DUMMYFUNCTION("IFERROR(
  LET(
    data, QUERY(GOOGLEFINANCE(C3,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GOOGLEFINANCE(C3, ""price"")) * 100,
    IF(calc=0, G3, calc)
  ), 
G3)"),"")</f>
        <v/>
      </c>
      <c r="S3" s="8" t="s">
        <v>15</v>
      </c>
      <c r="T3" s="26" t="str">
        <f>IFERROR(__xludf.DUMMYFUNCTION("IFERROR(TRANSPOSE(QUERY(IFERROR(SORT(GOOGLEFINANCE(C3, ""price"", WORKDAY(TODAY(), -40), TODAY()), 1, FALSE)), ""select Col2 where Col2 is not null limit 22 label Col2 ''"", 0)), """")"),"")</f>
        <v/>
      </c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8"/>
      <c r="AO3" s="28"/>
      <c r="AP3" s="29"/>
      <c r="AQ3" s="29" t="str">
        <f t="shared" ref="AQ3:BL3" si="2">T3/T$2</f>
        <v>#N/A</v>
      </c>
      <c r="AR3" s="29" t="str">
        <f t="shared" si="2"/>
        <v>#DIV/0!</v>
      </c>
      <c r="AS3" s="29" t="str">
        <f t="shared" si="2"/>
        <v>#DIV/0!</v>
      </c>
      <c r="AT3" s="29" t="str">
        <f t="shared" si="2"/>
        <v>#DIV/0!</v>
      </c>
      <c r="AU3" s="29" t="str">
        <f t="shared" si="2"/>
        <v>#DIV/0!</v>
      </c>
      <c r="AV3" s="29" t="str">
        <f t="shared" si="2"/>
        <v>#DIV/0!</v>
      </c>
      <c r="AW3" s="29" t="str">
        <f t="shared" si="2"/>
        <v>#DIV/0!</v>
      </c>
      <c r="AX3" s="29" t="str">
        <f t="shared" si="2"/>
        <v>#DIV/0!</v>
      </c>
      <c r="AY3" s="29" t="str">
        <f t="shared" si="2"/>
        <v>#DIV/0!</v>
      </c>
      <c r="AZ3" s="29" t="str">
        <f t="shared" si="2"/>
        <v>#DIV/0!</v>
      </c>
      <c r="BA3" s="29" t="str">
        <f t="shared" si="2"/>
        <v>#DIV/0!</v>
      </c>
      <c r="BB3" s="29" t="str">
        <f t="shared" si="2"/>
        <v>#DIV/0!</v>
      </c>
      <c r="BC3" s="29" t="str">
        <f t="shared" si="2"/>
        <v>#DIV/0!</v>
      </c>
      <c r="BD3" s="29" t="str">
        <f t="shared" si="2"/>
        <v>#DIV/0!</v>
      </c>
      <c r="BE3" s="29" t="str">
        <f t="shared" si="2"/>
        <v>#DIV/0!</v>
      </c>
      <c r="BF3" s="29" t="str">
        <f t="shared" si="2"/>
        <v>#DIV/0!</v>
      </c>
      <c r="BG3" s="29" t="str">
        <f t="shared" si="2"/>
        <v>#DIV/0!</v>
      </c>
      <c r="BH3" s="29" t="str">
        <f t="shared" si="2"/>
        <v>#DIV/0!</v>
      </c>
      <c r="BI3" s="29" t="str">
        <f t="shared" si="2"/>
        <v>#DIV/0!</v>
      </c>
      <c r="BJ3" s="29" t="str">
        <f t="shared" si="2"/>
        <v>#DIV/0!</v>
      </c>
      <c r="BK3" s="29" t="str">
        <f t="shared" si="2"/>
        <v>#DIV/0!</v>
      </c>
      <c r="BL3" s="29" t="str">
        <f t="shared" si="2"/>
        <v>#DIV/0!</v>
      </c>
      <c r="BM3" s="29" t="str">
        <f t="shared" si="3"/>
        <v>#DIV/0!</v>
      </c>
    </row>
    <row r="4">
      <c r="A4" s="16" t="str">
        <f>IFERROR(__xludf.DUMMYFUNCTION("IFERROR(SPARKLINE(SORT(MAP(TRANSPOSE(AQ4:BL4), LAMBDA(val, IF(ISNUMBER(val), PERCENTRANK(AQ4:BL4, val)+0.01, 0))), SEQUENCE(COLUMNS(AQ4:BL4)), FALSE), {""charttype"",""column""; ""color"",""chartreuse""; ""ymin"", 0; ""ymax"", 1.01; ""highcolor"", ""darkg"&amp;"reen""; ""lowcolor"", ""red""}), """")"),"")</f>
        <v/>
      </c>
      <c r="B4" s="17" t="str">
        <f t="shared" si="4"/>
        <v/>
      </c>
      <c r="C4" s="1" t="s">
        <v>47</v>
      </c>
      <c r="D4" s="30" t="str">
        <f>IFERROR(__xludf.DUMMYFUNCTION("IFERROR(GOOGLEFINANCE(C4, ""NAME""))"),"")</f>
        <v/>
      </c>
      <c r="E4" s="30" t="s">
        <v>48</v>
      </c>
      <c r="F4" s="33" t="str">
        <f>IFERROR(__xludf.DUMMYFUNCTION("( (GOOGLEFINANCE(C4, ""price"") - Q4) / Q4 ) / (R4 / 100)"),"Loading...")</f>
        <v>Loading...</v>
      </c>
      <c r="G4" s="20" t="str">
        <f>IFERROR(__xludf.DUMMYFUNCTION("AVERAGE(ARRAYFORMULA(100 * (QUERY(GOOGLEFINANCE(C4, ""high"", TODAY()-40, TODAY()), ""SELECT Col2 WHERE Col2 IS NOT NULL ORDER BY Col1 DESC LIMIT 20"", 0) / QUERY(GOOGLEFINANCE(C4, ""low"", TODAY()-40, TODAY()), ""SELECT Col2 WHERE Col2 IS NOT NULL ORDER "&amp;"BY Col1 DESC LIMIT 20"", 0) - 1)))"),"#N/A")</f>
        <v>#N/A</v>
      </c>
      <c r="H4" s="35" t="str">
        <f t="shared" ref="H4:H482" si="6">IFERROR(IF(ISNUMBER(J4), IF(J4 &lt; 50000000, "Illiquid", "Liquid"), ""), "")</f>
        <v/>
      </c>
      <c r="I4" s="36" t="str">
        <f t="shared" ref="I4:I482" si="7">IFERROR(IF(ISNUMBER(J4), IF(J4 &lt; 500000000, "RVol Required", "No RVol Required"), ""), "")</f>
        <v/>
      </c>
      <c r="J4" s="37" t="str">
        <f>IFERROR(__xludf.DUMMYFUNCTION("IFERROR(
  IF(C4="""",, 
    IFERROR(
      GOOGLEFINANCE(C4, ""price"") * GOOGLEFINANCE(C4, ""volumeavg""), 
      GOOGLEFINANCE(C4, ""price"") * AVERAGE(QUERY(GOOGLEFINANCE(C4, ""volume"", TODAY()-40, TODAY()), ""SELECT Col2 WHERE Col2 IS NOT NULL ORDER"&amp;" BY Col1 DESC LIMIT 20"", 0))
    )
  ), 
"""")"),"")</f>
        <v/>
      </c>
      <c r="K4" s="21" t="str">
        <f>IFERROR(__xludf.DUMMYFUNCTION("IFERROR(GOOGLEFINANCE(C4, ""changepct"") / 100, """")"),"")</f>
        <v/>
      </c>
      <c r="L4" s="21" t="str">
        <f>IFERROR(__xludf.DUMMYFUNCTION("IFERROR((GOOGLEFINANCE(C4, ""price"") / INDEX(GOOGLEFINANCE(C4, ""price"", TODAY()-7, TODAY()), 2, 2)) - 1, """")"),"")</f>
        <v/>
      </c>
      <c r="M4" s="21" t="str">
        <f>IFERROR(__xludf.DUMMYFUNCTION("IFERROR((GOOGLEFINANCE(C4, ""price"") / INDEX(GOOGLEFINANCE(C4, ""price"", EDATE(TODAY(), -1), TODAY()), 2, 2)) - 1, """")"),"")</f>
        <v/>
      </c>
      <c r="N4" s="21" t="str">
        <f>IFERROR(__xludf.DUMMYFUNCTION("IFERROR((GOOGLEFINANCE(C4, ""price"") / INDEX(GOOGLEFINANCE(C4, ""price"", EDATE(TODAY(), -3), TODAY()), 2, 2)) - 1, """")"),"")</f>
        <v/>
      </c>
      <c r="O4" s="21" t="str">
        <f>IFERROR(__xludf.DUMMYFUNCTION("IFERROR((GOOGLEFINANCE(C4, ""price"") / INDEX(GOOGLEFINANCE(C4, ""price"", EDATE(TODAY(), -6), TODAY()), 2, 2)) - 1, """")"),"")</f>
        <v/>
      </c>
      <c r="P4" s="21" t="str">
        <f>IFERROR(__xludf.DUMMYFUNCTION("IFERROR((GOOGLEFINANCE(C4, ""price"") / INDEX(GOOGLEFINANCE(C4, ""price"", EDATE(TODAY(), -12), TODAY()), 2, 2)) - 1, """")"),"")</f>
        <v/>
      </c>
      <c r="Q4" s="6" t="str">
        <f>IFERROR(__xludf.DUMMYFUNCTION("AVERAGE(QUERY(GOOGLEFINANCE(C4, ""price"", TODAY()-80, TODAY()), ""SELECT Col2 WHERE Col2 IS NOT NULL ORDER BY Col1 DESC LIMIT 50"", 0))"),"#N/A")</f>
        <v>#N/A</v>
      </c>
      <c r="R4" s="24" t="str">
        <f>IFERROR(__xludf.DUMMYFUNCTION("IFERROR(
  LET(
    data, QUERY(GOOGLEFINANCE(C4,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GOOGLEFINANCE(C4, ""price"")) * 100,
    IF(calc=0, G4, calc)
  ), 
G4)"),"#N/A")</f>
        <v>#N/A</v>
      </c>
      <c r="S4" s="8" t="s">
        <v>15</v>
      </c>
      <c r="T4" s="26" t="str">
        <f>IFERROR(__xludf.DUMMYFUNCTION("IFERROR(TRANSPOSE(QUERY(IFERROR(SORT(GOOGLEFINANCE(C4, ""price"", WORKDAY(TODAY(), -40), TODAY()), 1, FALSE)), ""select Col2 where Col2 is not null limit 22 label Col2 ''"", 0)), """")"),"")</f>
        <v/>
      </c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8"/>
      <c r="AO4" s="28"/>
      <c r="AP4" s="29"/>
      <c r="AQ4" s="29" t="str">
        <f t="shared" ref="AQ4:BL4" si="5">T4/T$2</f>
        <v>#N/A</v>
      </c>
      <c r="AR4" s="29" t="str">
        <f t="shared" si="5"/>
        <v>#DIV/0!</v>
      </c>
      <c r="AS4" s="29" t="str">
        <f t="shared" si="5"/>
        <v>#DIV/0!</v>
      </c>
      <c r="AT4" s="29" t="str">
        <f t="shared" si="5"/>
        <v>#DIV/0!</v>
      </c>
      <c r="AU4" s="29" t="str">
        <f t="shared" si="5"/>
        <v>#DIV/0!</v>
      </c>
      <c r="AV4" s="29" t="str">
        <f t="shared" si="5"/>
        <v>#DIV/0!</v>
      </c>
      <c r="AW4" s="29" t="str">
        <f t="shared" si="5"/>
        <v>#DIV/0!</v>
      </c>
      <c r="AX4" s="29" t="str">
        <f t="shared" si="5"/>
        <v>#DIV/0!</v>
      </c>
      <c r="AY4" s="29" t="str">
        <f t="shared" si="5"/>
        <v>#DIV/0!</v>
      </c>
      <c r="AZ4" s="29" t="str">
        <f t="shared" si="5"/>
        <v>#DIV/0!</v>
      </c>
      <c r="BA4" s="29" t="str">
        <f t="shared" si="5"/>
        <v>#DIV/0!</v>
      </c>
      <c r="BB4" s="29" t="str">
        <f t="shared" si="5"/>
        <v>#DIV/0!</v>
      </c>
      <c r="BC4" s="29" t="str">
        <f t="shared" si="5"/>
        <v>#DIV/0!</v>
      </c>
      <c r="BD4" s="29" t="str">
        <f t="shared" si="5"/>
        <v>#DIV/0!</v>
      </c>
      <c r="BE4" s="29" t="str">
        <f t="shared" si="5"/>
        <v>#DIV/0!</v>
      </c>
      <c r="BF4" s="29" t="str">
        <f t="shared" si="5"/>
        <v>#DIV/0!</v>
      </c>
      <c r="BG4" s="29" t="str">
        <f t="shared" si="5"/>
        <v>#DIV/0!</v>
      </c>
      <c r="BH4" s="29" t="str">
        <f t="shared" si="5"/>
        <v>#DIV/0!</v>
      </c>
      <c r="BI4" s="29" t="str">
        <f t="shared" si="5"/>
        <v>#DIV/0!</v>
      </c>
      <c r="BJ4" s="29" t="str">
        <f t="shared" si="5"/>
        <v>#DIV/0!</v>
      </c>
      <c r="BK4" s="29" t="str">
        <f t="shared" si="5"/>
        <v>#DIV/0!</v>
      </c>
      <c r="BL4" s="29" t="str">
        <f t="shared" si="5"/>
        <v>#DIV/0!</v>
      </c>
      <c r="BM4" s="29" t="str">
        <f t="shared" si="3"/>
        <v>#DIV/0!</v>
      </c>
    </row>
    <row r="5">
      <c r="A5" s="16" t="str">
        <f>IFERROR(__xludf.DUMMYFUNCTION("IFERROR(SPARKLINE(SORT(MAP(TRANSPOSE(AQ5:BL5), LAMBDA(val, IF(ISNUMBER(val), PERCENTRANK(AQ5:BL5, val)+0.01, 0))), SEQUENCE(COLUMNS(AQ5:BL5)), FALSE), {""charttype"",""column""; ""color"",""chartreuse""; ""ymin"", 0; ""ymax"", 1.01; ""highcolor"", ""darkg"&amp;"reen""; ""lowcolor"", ""red""}), """")"),"")</f>
        <v/>
      </c>
      <c r="B5" s="17" t="str">
        <f t="shared" si="4"/>
        <v/>
      </c>
      <c r="C5" s="1" t="s">
        <v>57</v>
      </c>
      <c r="D5" s="30" t="str">
        <f>IFERROR(__xludf.DUMMYFUNCTION("IFERROR(GOOGLEFINANCE(C5, ""NAME""))"),"OBOOK Holdings Inc")</f>
        <v>OBOOK Holdings Inc</v>
      </c>
      <c r="E5" s="30" t="s">
        <v>58</v>
      </c>
      <c r="F5" s="33" t="str">
        <f>IFERROR(__xludf.DUMMYFUNCTION("( (GOOGLEFINANCE(C5, ""price"") - Q5) / Q5 ) / (R5 / 100)"),"Loading...")</f>
        <v>Loading...</v>
      </c>
      <c r="G5" s="20" t="str">
        <f>IFERROR(__xludf.DUMMYFUNCTION("AVERAGE(ARRAYFORMULA(100 * (QUERY(GOOGLEFINANCE(C5, ""high"", TODAY()-40, TODAY()), ""SELECT Col2 WHERE Col2 IS NOT NULL ORDER BY Col1 DESC LIMIT 20"", 0) / QUERY(GOOGLEFINANCE(C5, ""low"", TODAY()-40, TODAY()), ""SELECT Col2 WHERE Col2 IS NOT NULL ORDER "&amp;"BY Col1 DESC LIMIT 20"", 0) - 1)))"),"#N/A")</f>
        <v>#N/A</v>
      </c>
      <c r="H5" s="35" t="str">
        <f t="shared" si="6"/>
        <v/>
      </c>
      <c r="I5" s="36" t="str">
        <f t="shared" si="7"/>
        <v/>
      </c>
      <c r="J5" s="37" t="str">
        <f>IFERROR(__xludf.DUMMYFUNCTION("IFERROR(
  IF(C5="""",, 
    IFERROR(
      GOOGLEFINANCE(C5, ""price"") * GOOGLEFINANCE(C5, ""volumeavg""), 
      GOOGLEFINANCE(C5, ""price"") * AVERAGE(QUERY(GOOGLEFINANCE(C5, ""volume"", TODAY()-40, TODAY()), ""SELECT Col2 WHERE Col2 IS NOT NULL ORDER"&amp;" BY Col1 DESC LIMIT 20"", 0))
    )
  ), 
"""")"),"")</f>
        <v/>
      </c>
      <c r="K5" s="21" t="str">
        <f>IFERROR(__xludf.DUMMYFUNCTION("IFERROR(GOOGLEFINANCE(C5, ""changepct"") / 100, """")"),"")</f>
        <v/>
      </c>
      <c r="L5" s="21" t="str">
        <f>IFERROR(__xludf.DUMMYFUNCTION("IFERROR((GOOGLEFINANCE(C5, ""price"") / INDEX(GOOGLEFINANCE(C5, ""price"", TODAY()-7, TODAY()), 2, 2)) - 1, """")"),"")</f>
        <v/>
      </c>
      <c r="M5" s="21" t="str">
        <f>IFERROR(__xludf.DUMMYFUNCTION("IFERROR((GOOGLEFINANCE(C5, ""price"") / INDEX(GOOGLEFINANCE(C5, ""price"", EDATE(TODAY(), -1), TODAY()), 2, 2)) - 1, """")"),"")</f>
        <v/>
      </c>
      <c r="N5" s="21" t="str">
        <f>IFERROR(__xludf.DUMMYFUNCTION("IFERROR((GOOGLEFINANCE(C5, ""price"") / INDEX(GOOGLEFINANCE(C5, ""price"", EDATE(TODAY(), -3), TODAY()), 2, 2)) - 1, """")"),"")</f>
        <v/>
      </c>
      <c r="O5" s="21" t="str">
        <f>IFERROR(__xludf.DUMMYFUNCTION("IFERROR((GOOGLEFINANCE(C5, ""price"") / INDEX(GOOGLEFINANCE(C5, ""price"", EDATE(TODAY(), -6), TODAY()), 2, 2)) - 1, """")"),"")</f>
        <v/>
      </c>
      <c r="P5" s="21" t="str">
        <f>IFERROR(__xludf.DUMMYFUNCTION("IFERROR((GOOGLEFINANCE(C5, ""price"") / INDEX(GOOGLEFINANCE(C5, ""price"", EDATE(TODAY(), -12), TODAY()), 2, 2)) - 1, """")"),"")</f>
        <v/>
      </c>
      <c r="Q5" s="6" t="str">
        <f>IFERROR(__xludf.DUMMYFUNCTION("AVERAGE(QUERY(GOOGLEFINANCE(C5, ""price"", TODAY()-80, TODAY()), ""SELECT Col2 WHERE Col2 IS NOT NULL ORDER BY Col1 DESC LIMIT 50"", 0))"),"#N/A")</f>
        <v>#N/A</v>
      </c>
      <c r="R5" s="24" t="str">
        <f>IFERROR(__xludf.DUMMYFUNCTION("IFERROR(
  LET(
    data, QUERY(GOOGLEFINANCE(C5,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GOOGLEFINANCE(C5, ""price"")) * 100,
    IF(calc=0, G5, calc)
  ), 
G5)"),"#N/A")</f>
        <v>#N/A</v>
      </c>
      <c r="S5" s="8" t="s">
        <v>15</v>
      </c>
      <c r="T5" s="26" t="str">
        <f>IFERROR(__xludf.DUMMYFUNCTION("IFERROR(TRANSPOSE(QUERY(IFERROR(SORT(GOOGLEFINANCE(C5, ""price"", WORKDAY(TODAY(), -40), TODAY()), 1, FALSE)), ""select Col2 where Col2 is not null limit 22 label Col2 ''"", 0)), """")"),"")</f>
        <v/>
      </c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8"/>
      <c r="AO5" s="28"/>
      <c r="AP5" s="29"/>
      <c r="AQ5" s="29" t="str">
        <f t="shared" ref="AQ5:BL5" si="8">T5/T$2</f>
        <v>#N/A</v>
      </c>
      <c r="AR5" s="29" t="str">
        <f t="shared" si="8"/>
        <v>#DIV/0!</v>
      </c>
      <c r="AS5" s="29" t="str">
        <f t="shared" si="8"/>
        <v>#DIV/0!</v>
      </c>
      <c r="AT5" s="29" t="str">
        <f t="shared" si="8"/>
        <v>#DIV/0!</v>
      </c>
      <c r="AU5" s="29" t="str">
        <f t="shared" si="8"/>
        <v>#DIV/0!</v>
      </c>
      <c r="AV5" s="29" t="str">
        <f t="shared" si="8"/>
        <v>#DIV/0!</v>
      </c>
      <c r="AW5" s="29" t="str">
        <f t="shared" si="8"/>
        <v>#DIV/0!</v>
      </c>
      <c r="AX5" s="29" t="str">
        <f t="shared" si="8"/>
        <v>#DIV/0!</v>
      </c>
      <c r="AY5" s="29" t="str">
        <f t="shared" si="8"/>
        <v>#DIV/0!</v>
      </c>
      <c r="AZ5" s="29" t="str">
        <f t="shared" si="8"/>
        <v>#DIV/0!</v>
      </c>
      <c r="BA5" s="29" t="str">
        <f t="shared" si="8"/>
        <v>#DIV/0!</v>
      </c>
      <c r="BB5" s="29" t="str">
        <f t="shared" si="8"/>
        <v>#DIV/0!</v>
      </c>
      <c r="BC5" s="29" t="str">
        <f t="shared" si="8"/>
        <v>#DIV/0!</v>
      </c>
      <c r="BD5" s="29" t="str">
        <f t="shared" si="8"/>
        <v>#DIV/0!</v>
      </c>
      <c r="BE5" s="29" t="str">
        <f t="shared" si="8"/>
        <v>#DIV/0!</v>
      </c>
      <c r="BF5" s="29" t="str">
        <f t="shared" si="8"/>
        <v>#DIV/0!</v>
      </c>
      <c r="BG5" s="29" t="str">
        <f t="shared" si="8"/>
        <v>#DIV/0!</v>
      </c>
      <c r="BH5" s="29" t="str">
        <f t="shared" si="8"/>
        <v>#DIV/0!</v>
      </c>
      <c r="BI5" s="29" t="str">
        <f t="shared" si="8"/>
        <v>#DIV/0!</v>
      </c>
      <c r="BJ5" s="29" t="str">
        <f t="shared" si="8"/>
        <v>#DIV/0!</v>
      </c>
      <c r="BK5" s="29" t="str">
        <f t="shared" si="8"/>
        <v>#DIV/0!</v>
      </c>
      <c r="BL5" s="29" t="str">
        <f t="shared" si="8"/>
        <v>#DIV/0!</v>
      </c>
      <c r="BM5" s="29" t="str">
        <f t="shared" si="3"/>
        <v>#DIV/0!</v>
      </c>
    </row>
    <row r="6">
      <c r="A6" s="16" t="str">
        <f>IFERROR(__xludf.DUMMYFUNCTION("IFERROR(SPARKLINE(SORT(MAP(TRANSPOSE(AQ6:BL6), LAMBDA(val, IF(ISNUMBER(val), PERCENTRANK(AQ6:BL6, val)+0.01, 0))), SEQUENCE(COLUMNS(AQ6:BL6)), FALSE), {""charttype"",""column""; ""color"",""chartreuse""; ""ymin"", 0; ""ymax"", 1.01; ""highcolor"", ""darkg"&amp;"reen""; ""lowcolor"", ""red""}), """")"),"")</f>
        <v/>
      </c>
      <c r="B6" s="17" t="str">
        <f t="shared" si="4"/>
        <v/>
      </c>
      <c r="C6" s="1" t="s">
        <v>65</v>
      </c>
      <c r="D6" s="30" t="str">
        <f>IFERROR(__xludf.DUMMYFUNCTION("IFERROR(GOOGLEFINANCE(C6, ""NAME""))"),"Alight Inc")</f>
        <v>Alight Inc</v>
      </c>
      <c r="E6" s="30" t="s">
        <v>48</v>
      </c>
      <c r="F6" s="33" t="str">
        <f>IFERROR(__xludf.DUMMYFUNCTION("( (GOOGLEFINANCE(C6, ""price"") - Q6) / Q6 ) / (R6 / 100)"),"Loading...")</f>
        <v>Loading...</v>
      </c>
      <c r="G6" s="20" t="str">
        <f>IFERROR(__xludf.DUMMYFUNCTION("AVERAGE(ARRAYFORMULA(100 * (QUERY(GOOGLEFINANCE(C6, ""high"", TODAY()-40, TODAY()), ""SELECT Col2 WHERE Col2 IS NOT NULL ORDER BY Col1 DESC LIMIT 20"", 0) / QUERY(GOOGLEFINANCE(C6, ""low"", TODAY()-40, TODAY()), ""SELECT Col2 WHERE Col2 IS NOT NULL ORDER "&amp;"BY Col1 DESC LIMIT 20"", 0) - 1)))"),"#N/A")</f>
        <v>#N/A</v>
      </c>
      <c r="H6" s="35" t="str">
        <f t="shared" si="6"/>
        <v/>
      </c>
      <c r="I6" s="36" t="str">
        <f t="shared" si="7"/>
        <v/>
      </c>
      <c r="J6" s="37" t="str">
        <f>IFERROR(__xludf.DUMMYFUNCTION("IFERROR(
  IF(C6="""",, 
    IFERROR(
      GOOGLEFINANCE(C6, ""price"") * GOOGLEFINANCE(C6, ""volumeavg""), 
      GOOGLEFINANCE(C6, ""price"") * AVERAGE(QUERY(GOOGLEFINANCE(C6, ""volume"", TODAY()-40, TODAY()), ""SELECT Col2 WHERE Col2 IS NOT NULL ORDER"&amp;" BY Col1 DESC LIMIT 20"", 0))
    )
  ), 
"""")"),"")</f>
        <v/>
      </c>
      <c r="K6" s="21" t="str">
        <f>IFERROR(__xludf.DUMMYFUNCTION("IFERROR(GOOGLEFINANCE(C6, ""changepct"") / 100, """")"),"")</f>
        <v/>
      </c>
      <c r="L6" s="21" t="str">
        <f>IFERROR(__xludf.DUMMYFUNCTION("IFERROR((GOOGLEFINANCE(C6, ""price"") / INDEX(GOOGLEFINANCE(C6, ""price"", TODAY()-7, TODAY()), 2, 2)) - 1, """")"),"")</f>
        <v/>
      </c>
      <c r="M6" s="21" t="str">
        <f>IFERROR(__xludf.DUMMYFUNCTION("IFERROR((GOOGLEFINANCE(C6, ""price"") / INDEX(GOOGLEFINANCE(C6, ""price"", EDATE(TODAY(), -1), TODAY()), 2, 2)) - 1, """")"),"")</f>
        <v/>
      </c>
      <c r="N6" s="21" t="str">
        <f>IFERROR(__xludf.DUMMYFUNCTION("IFERROR((GOOGLEFINANCE(C6, ""price"") / INDEX(GOOGLEFINANCE(C6, ""price"", EDATE(TODAY(), -3), TODAY()), 2, 2)) - 1, """")"),"")</f>
        <v/>
      </c>
      <c r="O6" s="21" t="str">
        <f>IFERROR(__xludf.DUMMYFUNCTION("IFERROR((GOOGLEFINANCE(C6, ""price"") / INDEX(GOOGLEFINANCE(C6, ""price"", EDATE(TODAY(), -6), TODAY()), 2, 2)) - 1, """")"),"")</f>
        <v/>
      </c>
      <c r="P6" s="21" t="str">
        <f>IFERROR(__xludf.DUMMYFUNCTION("IFERROR((GOOGLEFINANCE(C6, ""price"") / INDEX(GOOGLEFINANCE(C6, ""price"", EDATE(TODAY(), -12), TODAY()), 2, 2)) - 1, """")"),"")</f>
        <v/>
      </c>
      <c r="Q6" s="6" t="str">
        <f>IFERROR(__xludf.DUMMYFUNCTION("AVERAGE(QUERY(GOOGLEFINANCE(C6, ""price"", TODAY()-80, TODAY()), ""SELECT Col2 WHERE Col2 IS NOT NULL ORDER BY Col1 DESC LIMIT 50"", 0))"),"#N/A")</f>
        <v>#N/A</v>
      </c>
      <c r="R6" s="24" t="str">
        <f>IFERROR(__xludf.DUMMYFUNCTION("IFERROR(
  LET(
    data, QUERY(GOOGLEFINANCE(C6,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GOOGLEFINANCE(C6, ""price"")) * 100,
    IF(calc=0, G6, calc)
  ), 
G6)"),"#N/A")</f>
        <v>#N/A</v>
      </c>
      <c r="S6" s="8" t="s">
        <v>15</v>
      </c>
      <c r="T6" s="26" t="str">
        <f>IFERROR(__xludf.DUMMYFUNCTION("IFERROR(TRANSPOSE(QUERY(IFERROR(SORT(GOOGLEFINANCE(C6, ""price"", WORKDAY(TODAY(), -40), TODAY()), 1, FALSE)), ""select Col2 where Col2 is not null limit 22 label Col2 ''"", 0)), """")"),"")</f>
        <v/>
      </c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8"/>
      <c r="AO6" s="28"/>
      <c r="AP6" s="29"/>
      <c r="AQ6" s="29" t="str">
        <f t="shared" ref="AQ6:BL6" si="9">T6/T$2</f>
        <v>#N/A</v>
      </c>
      <c r="AR6" s="29" t="str">
        <f t="shared" si="9"/>
        <v>#DIV/0!</v>
      </c>
      <c r="AS6" s="29" t="str">
        <f t="shared" si="9"/>
        <v>#DIV/0!</v>
      </c>
      <c r="AT6" s="29" t="str">
        <f t="shared" si="9"/>
        <v>#DIV/0!</v>
      </c>
      <c r="AU6" s="29" t="str">
        <f t="shared" si="9"/>
        <v>#DIV/0!</v>
      </c>
      <c r="AV6" s="29" t="str">
        <f t="shared" si="9"/>
        <v>#DIV/0!</v>
      </c>
      <c r="AW6" s="29" t="str">
        <f t="shared" si="9"/>
        <v>#DIV/0!</v>
      </c>
      <c r="AX6" s="29" t="str">
        <f t="shared" si="9"/>
        <v>#DIV/0!</v>
      </c>
      <c r="AY6" s="29" t="str">
        <f t="shared" si="9"/>
        <v>#DIV/0!</v>
      </c>
      <c r="AZ6" s="29" t="str">
        <f t="shared" si="9"/>
        <v>#DIV/0!</v>
      </c>
      <c r="BA6" s="29" t="str">
        <f t="shared" si="9"/>
        <v>#DIV/0!</v>
      </c>
      <c r="BB6" s="29" t="str">
        <f t="shared" si="9"/>
        <v>#DIV/0!</v>
      </c>
      <c r="BC6" s="29" t="str">
        <f t="shared" si="9"/>
        <v>#DIV/0!</v>
      </c>
      <c r="BD6" s="29" t="str">
        <f t="shared" si="9"/>
        <v>#DIV/0!</v>
      </c>
      <c r="BE6" s="29" t="str">
        <f t="shared" si="9"/>
        <v>#DIV/0!</v>
      </c>
      <c r="BF6" s="29" t="str">
        <f t="shared" si="9"/>
        <v>#DIV/0!</v>
      </c>
      <c r="BG6" s="29" t="str">
        <f t="shared" si="9"/>
        <v>#DIV/0!</v>
      </c>
      <c r="BH6" s="29" t="str">
        <f t="shared" si="9"/>
        <v>#DIV/0!</v>
      </c>
      <c r="BI6" s="29" t="str">
        <f t="shared" si="9"/>
        <v>#DIV/0!</v>
      </c>
      <c r="BJ6" s="29" t="str">
        <f t="shared" si="9"/>
        <v>#DIV/0!</v>
      </c>
      <c r="BK6" s="29" t="str">
        <f t="shared" si="9"/>
        <v>#DIV/0!</v>
      </c>
      <c r="BL6" s="29" t="str">
        <f t="shared" si="9"/>
        <v>#DIV/0!</v>
      </c>
      <c r="BM6" s="29" t="str">
        <f t="shared" si="3"/>
        <v>#DIV/0!</v>
      </c>
    </row>
    <row r="7">
      <c r="A7" s="16" t="str">
        <f>IFERROR(__xludf.DUMMYFUNCTION("IFERROR(SPARKLINE(SORT(MAP(TRANSPOSE(AQ7:BL7), LAMBDA(val, IF(ISNUMBER(val), PERCENTRANK(AQ7:BL7, val)+0.01, 0))), SEQUENCE(COLUMNS(AQ7:BL7)), FALSE), {""charttype"",""column""; ""color"",""chartreuse""; ""ymin"", 0; ""ymax"", 1.01; ""highcolor"", ""darkg"&amp;"reen""; ""lowcolor"", ""red""}), """")"),"")</f>
        <v/>
      </c>
      <c r="B7" s="17" t="str">
        <f t="shared" si="4"/>
        <v/>
      </c>
      <c r="C7" s="1" t="s">
        <v>71</v>
      </c>
      <c r="D7" s="30" t="str">
        <f>IFERROR(__xludf.DUMMYFUNCTION("IFERROR(GOOGLEFINANCE(C7, ""NAME""))"),"Exodus Movement Inc")</f>
        <v>Exodus Movement Inc</v>
      </c>
      <c r="E7" s="30" t="s">
        <v>58</v>
      </c>
      <c r="F7" s="33" t="str">
        <f>IFERROR(__xludf.DUMMYFUNCTION("( (GOOGLEFINANCE(C7, ""price"") - Q7) / Q7 ) / (R7 / 100)"),"Loading...")</f>
        <v>Loading...</v>
      </c>
      <c r="G7" s="20" t="str">
        <f>IFERROR(__xludf.DUMMYFUNCTION("AVERAGE(ARRAYFORMULA(100 * (QUERY(GOOGLEFINANCE(C7, ""high"", TODAY()-40, TODAY()), ""SELECT Col2 WHERE Col2 IS NOT NULL ORDER BY Col1 DESC LIMIT 20"", 0) / QUERY(GOOGLEFINANCE(C7, ""low"", TODAY()-40, TODAY()), ""SELECT Col2 WHERE Col2 IS NOT NULL ORDER "&amp;"BY Col1 DESC LIMIT 20"", 0) - 1)))"),"#N/A")</f>
        <v>#N/A</v>
      </c>
      <c r="H7" s="35" t="str">
        <f t="shared" si="6"/>
        <v/>
      </c>
      <c r="I7" s="36" t="str">
        <f t="shared" si="7"/>
        <v/>
      </c>
      <c r="J7" s="37" t="str">
        <f>IFERROR(__xludf.DUMMYFUNCTION("IFERROR(
  IF(C7="""",, 
    IFERROR(
      GOOGLEFINANCE(C7, ""price"") * GOOGLEFINANCE(C7, ""volumeavg""), 
      GOOGLEFINANCE(C7, ""price"") * AVERAGE(QUERY(GOOGLEFINANCE(C7, ""volume"", TODAY()-40, TODAY()), ""SELECT Col2 WHERE Col2 IS NOT NULL ORDER"&amp;" BY Col1 DESC LIMIT 20"", 0))
    )
  ), 
"""")"),"")</f>
        <v/>
      </c>
      <c r="K7" s="21" t="str">
        <f>IFERROR(__xludf.DUMMYFUNCTION("IFERROR(GOOGLEFINANCE(C7, ""changepct"") / 100, """")"),"")</f>
        <v/>
      </c>
      <c r="L7" s="21" t="str">
        <f>IFERROR(__xludf.DUMMYFUNCTION("IFERROR((GOOGLEFINANCE(C7, ""price"") / INDEX(GOOGLEFINANCE(C7, ""price"", TODAY()-7, TODAY()), 2, 2)) - 1, """")"),"")</f>
        <v/>
      </c>
      <c r="M7" s="21" t="str">
        <f>IFERROR(__xludf.DUMMYFUNCTION("IFERROR((GOOGLEFINANCE(C7, ""price"") / INDEX(GOOGLEFINANCE(C7, ""price"", EDATE(TODAY(), -1), TODAY()), 2, 2)) - 1, """")"),"")</f>
        <v/>
      </c>
      <c r="N7" s="21" t="str">
        <f>IFERROR(__xludf.DUMMYFUNCTION("IFERROR((GOOGLEFINANCE(C7, ""price"") / INDEX(GOOGLEFINANCE(C7, ""price"", EDATE(TODAY(), -3), TODAY()), 2, 2)) - 1, """")"),"")</f>
        <v/>
      </c>
      <c r="O7" s="21" t="str">
        <f>IFERROR(__xludf.DUMMYFUNCTION("IFERROR((GOOGLEFINANCE(C7, ""price"") / INDEX(GOOGLEFINANCE(C7, ""price"", EDATE(TODAY(), -6), TODAY()), 2, 2)) - 1, """")"),"")</f>
        <v/>
      </c>
      <c r="P7" s="21" t="str">
        <f>IFERROR(__xludf.DUMMYFUNCTION("IFERROR((GOOGLEFINANCE(C7, ""price"") / INDEX(GOOGLEFINANCE(C7, ""price"", EDATE(TODAY(), -12), TODAY()), 2, 2)) - 1, """")"),"")</f>
        <v/>
      </c>
      <c r="Q7" s="6" t="str">
        <f>IFERROR(__xludf.DUMMYFUNCTION("AVERAGE(QUERY(GOOGLEFINANCE(C7, ""price"", TODAY()-80, TODAY()), ""SELECT Col2 WHERE Col2 IS NOT NULL ORDER BY Col1 DESC LIMIT 50"", 0))"),"#N/A")</f>
        <v>#N/A</v>
      </c>
      <c r="R7" s="24" t="str">
        <f>IFERROR(__xludf.DUMMYFUNCTION("IFERROR(
  LET(
    data, QUERY(GOOGLEFINANCE(C7,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GOOGLEFINANCE(C7, ""price"")) * 100,
    IF(calc=0, G7, calc)
  ), 
G7)"),"#N/A")</f>
        <v>#N/A</v>
      </c>
      <c r="S7" s="8" t="s">
        <v>15</v>
      </c>
      <c r="T7" s="26" t="str">
        <f>IFERROR(__xludf.DUMMYFUNCTION("IFERROR(TRANSPOSE(QUERY(IFERROR(SORT(GOOGLEFINANCE(C7, ""price"", WORKDAY(TODAY(), -40), TODAY()), 1, FALSE)), ""select Col2 where Col2 is not null limit 22 label Col2 ''"", 0)), """")"),"")</f>
        <v/>
      </c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8"/>
      <c r="AO7" s="28"/>
      <c r="AP7" s="29"/>
      <c r="AQ7" s="29" t="str">
        <f t="shared" ref="AQ7:BL7" si="10">T7/T$2</f>
        <v>#N/A</v>
      </c>
      <c r="AR7" s="29" t="str">
        <f t="shared" si="10"/>
        <v>#DIV/0!</v>
      </c>
      <c r="AS7" s="29" t="str">
        <f t="shared" si="10"/>
        <v>#DIV/0!</v>
      </c>
      <c r="AT7" s="29" t="str">
        <f t="shared" si="10"/>
        <v>#DIV/0!</v>
      </c>
      <c r="AU7" s="29" t="str">
        <f t="shared" si="10"/>
        <v>#DIV/0!</v>
      </c>
      <c r="AV7" s="29" t="str">
        <f t="shared" si="10"/>
        <v>#DIV/0!</v>
      </c>
      <c r="AW7" s="29" t="str">
        <f t="shared" si="10"/>
        <v>#DIV/0!</v>
      </c>
      <c r="AX7" s="29" t="str">
        <f t="shared" si="10"/>
        <v>#DIV/0!</v>
      </c>
      <c r="AY7" s="29" t="str">
        <f t="shared" si="10"/>
        <v>#DIV/0!</v>
      </c>
      <c r="AZ7" s="29" t="str">
        <f t="shared" si="10"/>
        <v>#DIV/0!</v>
      </c>
      <c r="BA7" s="29" t="str">
        <f t="shared" si="10"/>
        <v>#DIV/0!</v>
      </c>
      <c r="BB7" s="29" t="str">
        <f t="shared" si="10"/>
        <v>#DIV/0!</v>
      </c>
      <c r="BC7" s="29" t="str">
        <f t="shared" si="10"/>
        <v>#DIV/0!</v>
      </c>
      <c r="BD7" s="29" t="str">
        <f t="shared" si="10"/>
        <v>#DIV/0!</v>
      </c>
      <c r="BE7" s="29" t="str">
        <f t="shared" si="10"/>
        <v>#DIV/0!</v>
      </c>
      <c r="BF7" s="29" t="str">
        <f t="shared" si="10"/>
        <v>#DIV/0!</v>
      </c>
      <c r="BG7" s="29" t="str">
        <f t="shared" si="10"/>
        <v>#DIV/0!</v>
      </c>
      <c r="BH7" s="29" t="str">
        <f t="shared" si="10"/>
        <v>#DIV/0!</v>
      </c>
      <c r="BI7" s="29" t="str">
        <f t="shared" si="10"/>
        <v>#DIV/0!</v>
      </c>
      <c r="BJ7" s="29" t="str">
        <f t="shared" si="10"/>
        <v>#DIV/0!</v>
      </c>
      <c r="BK7" s="29" t="str">
        <f t="shared" si="10"/>
        <v>#DIV/0!</v>
      </c>
      <c r="BL7" s="29" t="str">
        <f t="shared" si="10"/>
        <v>#DIV/0!</v>
      </c>
      <c r="BM7" s="29" t="str">
        <f t="shared" si="3"/>
        <v>#DIV/0!</v>
      </c>
    </row>
    <row r="8">
      <c r="A8" s="16" t="str">
        <f>IFERROR(__xludf.DUMMYFUNCTION("IFERROR(SPARKLINE(SORT(MAP(TRANSPOSE(AQ8:BL8), LAMBDA(val, IF(ISNUMBER(val), PERCENTRANK(AQ8:BL8, val)+0.01, 0))), SEQUENCE(COLUMNS(AQ8:BL8)), FALSE), {""charttype"",""column""; ""color"",""chartreuse""; ""ymin"", 0; ""ymax"", 1.01; ""highcolor"", ""darkg"&amp;"reen""; ""lowcolor"", ""red""}), """")"),"")</f>
        <v/>
      </c>
      <c r="B8" s="17" t="str">
        <f t="shared" si="4"/>
        <v/>
      </c>
      <c r="C8" s="1" t="s">
        <v>79</v>
      </c>
      <c r="D8" s="30" t="str">
        <f>IFERROR(__xludf.DUMMYFUNCTION("IFERROR(GOOGLEFINANCE(C8, ""NAME""))"),"PAR Technology Corp")</f>
        <v>PAR Technology Corp</v>
      </c>
      <c r="E8" s="30" t="s">
        <v>48</v>
      </c>
      <c r="F8" s="38" t="str">
        <f>IFERROR(__xludf.DUMMYFUNCTION("( (GOOGLEFINANCE(C8, ""price"") - Q8) / Q8 ) / (R8 / 100)"),"Loading...")</f>
        <v>Loading...</v>
      </c>
      <c r="G8" s="20" t="str">
        <f>IFERROR(__xludf.DUMMYFUNCTION("AVERAGE(ARRAYFORMULA(100 * (QUERY(GOOGLEFINANCE(C8, ""high"", TODAY()-40, TODAY()), ""SELECT Col2 WHERE Col2 IS NOT NULL ORDER BY Col1 DESC LIMIT 20"", 0) / QUERY(GOOGLEFINANCE(C8, ""low"", TODAY()-40, TODAY()), ""SELECT Col2 WHERE Col2 IS NOT NULL ORDER "&amp;"BY Col1 DESC LIMIT 20"", 0) - 1)))"),"#N/A")</f>
        <v>#N/A</v>
      </c>
      <c r="H8" s="35" t="str">
        <f t="shared" si="6"/>
        <v/>
      </c>
      <c r="I8" s="36" t="str">
        <f t="shared" si="7"/>
        <v/>
      </c>
      <c r="J8" s="37" t="str">
        <f>IFERROR(__xludf.DUMMYFUNCTION("IFERROR(
  IF(C8="""",, 
    IFERROR(
      GOOGLEFINANCE(C8, ""price"") * GOOGLEFINANCE(C8, ""volumeavg""), 
      GOOGLEFINANCE(C8, ""price"") * AVERAGE(QUERY(GOOGLEFINANCE(C8, ""volume"", TODAY()-40, TODAY()), ""SELECT Col2 WHERE Col2 IS NOT NULL ORDER"&amp;" BY Col1 DESC LIMIT 20"", 0))
    )
  ), 
"""")"),"")</f>
        <v/>
      </c>
      <c r="K8" s="21" t="str">
        <f>IFERROR(__xludf.DUMMYFUNCTION("IFERROR(GOOGLEFINANCE(C8, ""changepct"") / 100, """")"),"")</f>
        <v/>
      </c>
      <c r="L8" s="21" t="str">
        <f>IFERROR(__xludf.DUMMYFUNCTION("IFERROR((GOOGLEFINANCE(C8, ""price"") / INDEX(GOOGLEFINANCE(C8, ""price"", TODAY()-7, TODAY()), 2, 2)) - 1, """")"),"")</f>
        <v/>
      </c>
      <c r="M8" s="21" t="str">
        <f>IFERROR(__xludf.DUMMYFUNCTION("IFERROR((GOOGLEFINANCE(C8, ""price"") / INDEX(GOOGLEFINANCE(C8, ""price"", EDATE(TODAY(), -1), TODAY()), 2, 2)) - 1, """")"),"")</f>
        <v/>
      </c>
      <c r="N8" s="21" t="str">
        <f>IFERROR(__xludf.DUMMYFUNCTION("IFERROR((GOOGLEFINANCE(C8, ""price"") / INDEX(GOOGLEFINANCE(C8, ""price"", EDATE(TODAY(), -3), TODAY()), 2, 2)) - 1, """")"),"")</f>
        <v/>
      </c>
      <c r="O8" s="21" t="str">
        <f>IFERROR(__xludf.DUMMYFUNCTION("IFERROR((GOOGLEFINANCE(C8, ""price"") / INDEX(GOOGLEFINANCE(C8, ""price"", EDATE(TODAY(), -6), TODAY()), 2, 2)) - 1, """")"),"")</f>
        <v/>
      </c>
      <c r="P8" s="21" t="str">
        <f>IFERROR(__xludf.DUMMYFUNCTION("IFERROR((GOOGLEFINANCE(C8, ""price"") / INDEX(GOOGLEFINANCE(C8, ""price"", EDATE(TODAY(), -12), TODAY()), 2, 2)) - 1, """")"),"")</f>
        <v/>
      </c>
      <c r="Q8" s="6" t="str">
        <f>IFERROR(__xludf.DUMMYFUNCTION("AVERAGE(QUERY(GOOGLEFINANCE(C8, ""price"", TODAY()-80, TODAY()), ""SELECT Col2 WHERE Col2 IS NOT NULL ORDER BY Col1 DESC LIMIT 50"", 0))"),"#N/A")</f>
        <v>#N/A</v>
      </c>
      <c r="R8" s="24" t="str">
        <f>IFERROR(__xludf.DUMMYFUNCTION("IFERROR(
  LET(
    data, QUERY(GOOGLEFINANCE(C8,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GOOGLEFINANCE(C8, ""price"")) * 100,
    IF(calc=0, G8, calc)
  ), 
G8)"),"#N/A")</f>
        <v>#N/A</v>
      </c>
      <c r="S8" s="8" t="s">
        <v>15</v>
      </c>
      <c r="T8" s="26" t="str">
        <f>IFERROR(__xludf.DUMMYFUNCTION("IFERROR(TRANSPOSE(QUERY(IFERROR(SORT(GOOGLEFINANCE(C8, ""price"", WORKDAY(TODAY(), -40), TODAY()), 1, FALSE)), ""select Col2 where Col2 is not null limit 22 label Col2 ''"", 0)), """")"),"")</f>
        <v/>
      </c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8"/>
      <c r="AO8" s="28"/>
      <c r="AP8" s="29"/>
      <c r="AQ8" s="29" t="str">
        <f t="shared" ref="AQ8:BL8" si="11">T8/T$2</f>
        <v>#N/A</v>
      </c>
      <c r="AR8" s="29" t="str">
        <f t="shared" si="11"/>
        <v>#DIV/0!</v>
      </c>
      <c r="AS8" s="29" t="str">
        <f t="shared" si="11"/>
        <v>#DIV/0!</v>
      </c>
      <c r="AT8" s="29" t="str">
        <f t="shared" si="11"/>
        <v>#DIV/0!</v>
      </c>
      <c r="AU8" s="29" t="str">
        <f t="shared" si="11"/>
        <v>#DIV/0!</v>
      </c>
      <c r="AV8" s="29" t="str">
        <f t="shared" si="11"/>
        <v>#DIV/0!</v>
      </c>
      <c r="AW8" s="29" t="str">
        <f t="shared" si="11"/>
        <v>#DIV/0!</v>
      </c>
      <c r="AX8" s="29" t="str">
        <f t="shared" si="11"/>
        <v>#DIV/0!</v>
      </c>
      <c r="AY8" s="29" t="str">
        <f t="shared" si="11"/>
        <v>#DIV/0!</v>
      </c>
      <c r="AZ8" s="29" t="str">
        <f t="shared" si="11"/>
        <v>#DIV/0!</v>
      </c>
      <c r="BA8" s="29" t="str">
        <f t="shared" si="11"/>
        <v>#DIV/0!</v>
      </c>
      <c r="BB8" s="29" t="str">
        <f t="shared" si="11"/>
        <v>#DIV/0!</v>
      </c>
      <c r="BC8" s="29" t="str">
        <f t="shared" si="11"/>
        <v>#DIV/0!</v>
      </c>
      <c r="BD8" s="29" t="str">
        <f t="shared" si="11"/>
        <v>#DIV/0!</v>
      </c>
      <c r="BE8" s="29" t="str">
        <f t="shared" si="11"/>
        <v>#DIV/0!</v>
      </c>
      <c r="BF8" s="29" t="str">
        <f t="shared" si="11"/>
        <v>#DIV/0!</v>
      </c>
      <c r="BG8" s="29" t="str">
        <f t="shared" si="11"/>
        <v>#DIV/0!</v>
      </c>
      <c r="BH8" s="29" t="str">
        <f t="shared" si="11"/>
        <v>#DIV/0!</v>
      </c>
      <c r="BI8" s="29" t="str">
        <f t="shared" si="11"/>
        <v>#DIV/0!</v>
      </c>
      <c r="BJ8" s="29" t="str">
        <f t="shared" si="11"/>
        <v>#DIV/0!</v>
      </c>
      <c r="BK8" s="29" t="str">
        <f t="shared" si="11"/>
        <v>#DIV/0!</v>
      </c>
      <c r="BL8" s="29" t="str">
        <f t="shared" si="11"/>
        <v>#DIV/0!</v>
      </c>
      <c r="BM8" s="29" t="str">
        <f t="shared" si="3"/>
        <v>#DIV/0!</v>
      </c>
    </row>
    <row r="9">
      <c r="A9" s="16" t="str">
        <f>IFERROR(__xludf.DUMMYFUNCTION("IFERROR(SPARKLINE(SORT(MAP(TRANSPOSE(AQ9:BL9), LAMBDA(val, IF(ISNUMBER(val), PERCENTRANK(AQ9:BL9, val)+0.01, 0))), SEQUENCE(COLUMNS(AQ9:BL9)), FALSE), {""charttype"",""column""; ""color"",""chartreuse""; ""ymin"", 0; ""ymax"", 1.01; ""highcolor"", ""darkg"&amp;"reen""; ""lowcolor"", ""red""}), """")"),"")</f>
        <v/>
      </c>
      <c r="B9" s="17" t="str">
        <f t="shared" si="4"/>
        <v/>
      </c>
      <c r="C9" s="1" t="s">
        <v>84</v>
      </c>
      <c r="D9" s="30" t="str">
        <f>IFERROR(__xludf.DUMMYFUNCTION("IFERROR(GOOGLEFINANCE(C9, ""NAME""))"),"Duolingo Inc")</f>
        <v>Duolingo Inc</v>
      </c>
      <c r="E9" s="30" t="s">
        <v>48</v>
      </c>
      <c r="F9" s="33" t="str">
        <f>IFERROR(__xludf.DUMMYFUNCTION("( (GOOGLEFINANCE(C9, ""price"") - Q9) / Q9 ) / (R9 / 100)"),"Loading...")</f>
        <v>Loading...</v>
      </c>
      <c r="G9" s="20" t="str">
        <f>IFERROR(__xludf.DUMMYFUNCTION("AVERAGE(ARRAYFORMULA(100 * (QUERY(GOOGLEFINANCE(C9, ""high"", TODAY()-40, TODAY()), ""SELECT Col2 WHERE Col2 IS NOT NULL ORDER BY Col1 DESC LIMIT 20"", 0) / QUERY(GOOGLEFINANCE(C9, ""low"", TODAY()-40, TODAY()), ""SELECT Col2 WHERE Col2 IS NOT NULL ORDER "&amp;"BY Col1 DESC LIMIT 20"", 0) - 1)))"),"#N/A")</f>
        <v>#N/A</v>
      </c>
      <c r="H9" s="35" t="str">
        <f t="shared" si="6"/>
        <v/>
      </c>
      <c r="I9" s="36" t="str">
        <f t="shared" si="7"/>
        <v/>
      </c>
      <c r="J9" s="37" t="str">
        <f>IFERROR(__xludf.DUMMYFUNCTION("IFERROR(
  IF(C9="""",, 
    IFERROR(
      GOOGLEFINANCE(C9, ""price"") * GOOGLEFINANCE(C9, ""volumeavg""), 
      GOOGLEFINANCE(C9, ""price"") * AVERAGE(QUERY(GOOGLEFINANCE(C9, ""volume"", TODAY()-40, TODAY()), ""SELECT Col2 WHERE Col2 IS NOT NULL ORDER"&amp;" BY Col1 DESC LIMIT 20"", 0))
    )
  ), 
"""")"),"")</f>
        <v/>
      </c>
      <c r="K9" s="21" t="str">
        <f>IFERROR(__xludf.DUMMYFUNCTION("IFERROR(GOOGLEFINANCE(C9, ""changepct"") / 100, """")"),"")</f>
        <v/>
      </c>
      <c r="L9" s="21" t="str">
        <f>IFERROR(__xludf.DUMMYFUNCTION("IFERROR((GOOGLEFINANCE(C9, ""price"") / INDEX(GOOGLEFINANCE(C9, ""price"", TODAY()-7, TODAY()), 2, 2)) - 1, """")"),"")</f>
        <v/>
      </c>
      <c r="M9" s="21" t="str">
        <f>IFERROR(__xludf.DUMMYFUNCTION("IFERROR((GOOGLEFINANCE(C9, ""price"") / INDEX(GOOGLEFINANCE(C9, ""price"", EDATE(TODAY(), -1), TODAY()), 2, 2)) - 1, """")"),"")</f>
        <v/>
      </c>
      <c r="N9" s="21" t="str">
        <f>IFERROR(__xludf.DUMMYFUNCTION("IFERROR((GOOGLEFINANCE(C9, ""price"") / INDEX(GOOGLEFINANCE(C9, ""price"", EDATE(TODAY(), -3), TODAY()), 2, 2)) - 1, """")"),"")</f>
        <v/>
      </c>
      <c r="O9" s="21" t="str">
        <f>IFERROR(__xludf.DUMMYFUNCTION("IFERROR((GOOGLEFINANCE(C9, ""price"") / INDEX(GOOGLEFINANCE(C9, ""price"", EDATE(TODAY(), -6), TODAY()), 2, 2)) - 1, """")"),"")</f>
        <v/>
      </c>
      <c r="P9" s="21" t="str">
        <f>IFERROR(__xludf.DUMMYFUNCTION("IFERROR((GOOGLEFINANCE(C9, ""price"") / INDEX(GOOGLEFINANCE(C9, ""price"", EDATE(TODAY(), -12), TODAY()), 2, 2)) - 1, """")"),"")</f>
        <v/>
      </c>
      <c r="Q9" s="6" t="str">
        <f>IFERROR(__xludf.DUMMYFUNCTION("AVERAGE(QUERY(GOOGLEFINANCE(C9, ""price"", TODAY()-80, TODAY()), ""SELECT Col2 WHERE Col2 IS NOT NULL ORDER BY Col1 DESC LIMIT 50"", 0))"),"#N/A")</f>
        <v>#N/A</v>
      </c>
      <c r="R9" s="24" t="str">
        <f>IFERROR(__xludf.DUMMYFUNCTION("IFERROR(
  LET(
    data, QUERY(GOOGLEFINANCE(C9,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GOOGLEFINANCE(C9, ""price"")) * 100,
    IF(calc=0, G9, calc)
  ), 
G9)"),"#N/A")</f>
        <v>#N/A</v>
      </c>
      <c r="S9" s="8" t="s">
        <v>15</v>
      </c>
      <c r="T9" s="26" t="str">
        <f>IFERROR(__xludf.DUMMYFUNCTION("IFERROR(TRANSPOSE(QUERY(IFERROR(SORT(GOOGLEFINANCE(C9, ""price"", WORKDAY(TODAY(), -40), TODAY()), 1, FALSE)), ""select Col2 where Col2 is not null limit 22 label Col2 ''"", 0)), """")"),"")</f>
        <v/>
      </c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8"/>
      <c r="AO9" s="28"/>
      <c r="AP9" s="29"/>
      <c r="AQ9" s="29" t="str">
        <f t="shared" ref="AQ9:BL9" si="12">T9/T$2</f>
        <v>#N/A</v>
      </c>
      <c r="AR9" s="29" t="str">
        <f t="shared" si="12"/>
        <v>#DIV/0!</v>
      </c>
      <c r="AS9" s="29" t="str">
        <f t="shared" si="12"/>
        <v>#DIV/0!</v>
      </c>
      <c r="AT9" s="29" t="str">
        <f t="shared" si="12"/>
        <v>#DIV/0!</v>
      </c>
      <c r="AU9" s="29" t="str">
        <f t="shared" si="12"/>
        <v>#DIV/0!</v>
      </c>
      <c r="AV9" s="29" t="str">
        <f t="shared" si="12"/>
        <v>#DIV/0!</v>
      </c>
      <c r="AW9" s="29" t="str">
        <f t="shared" si="12"/>
        <v>#DIV/0!</v>
      </c>
      <c r="AX9" s="29" t="str">
        <f t="shared" si="12"/>
        <v>#DIV/0!</v>
      </c>
      <c r="AY9" s="29" t="str">
        <f t="shared" si="12"/>
        <v>#DIV/0!</v>
      </c>
      <c r="AZ9" s="29" t="str">
        <f t="shared" si="12"/>
        <v>#DIV/0!</v>
      </c>
      <c r="BA9" s="29" t="str">
        <f t="shared" si="12"/>
        <v>#DIV/0!</v>
      </c>
      <c r="BB9" s="29" t="str">
        <f t="shared" si="12"/>
        <v>#DIV/0!</v>
      </c>
      <c r="BC9" s="29" t="str">
        <f t="shared" si="12"/>
        <v>#DIV/0!</v>
      </c>
      <c r="BD9" s="29" t="str">
        <f t="shared" si="12"/>
        <v>#DIV/0!</v>
      </c>
      <c r="BE9" s="29" t="str">
        <f t="shared" si="12"/>
        <v>#DIV/0!</v>
      </c>
      <c r="BF9" s="29" t="str">
        <f t="shared" si="12"/>
        <v>#DIV/0!</v>
      </c>
      <c r="BG9" s="29" t="str">
        <f t="shared" si="12"/>
        <v>#DIV/0!</v>
      </c>
      <c r="BH9" s="29" t="str">
        <f t="shared" si="12"/>
        <v>#DIV/0!</v>
      </c>
      <c r="BI9" s="29" t="str">
        <f t="shared" si="12"/>
        <v>#DIV/0!</v>
      </c>
      <c r="BJ9" s="29" t="str">
        <f t="shared" si="12"/>
        <v>#DIV/0!</v>
      </c>
      <c r="BK9" s="29" t="str">
        <f t="shared" si="12"/>
        <v>#DIV/0!</v>
      </c>
      <c r="BL9" s="29" t="str">
        <f t="shared" si="12"/>
        <v>#DIV/0!</v>
      </c>
      <c r="BM9" s="29" t="str">
        <f t="shared" si="3"/>
        <v>#DIV/0!</v>
      </c>
    </row>
    <row r="10">
      <c r="A10" s="16" t="str">
        <f>IFERROR(__xludf.DUMMYFUNCTION("IFERROR(SPARKLINE(SORT(MAP(TRANSPOSE(AQ10:BL10), LAMBDA(val, IF(ISNUMBER(val), PERCENTRANK(AQ10:BL10, val)+0.01, 0))), SEQUENCE(COLUMNS(AQ10:BL10)), FALSE), {""charttype"",""column""; ""color"",""chartreuse""; ""ymin"", 0; ""ymax"", 1.01; ""highcolor"", "&amp;"""darkgreen""; ""lowcolor"", ""red""}), """")"),"")</f>
        <v/>
      </c>
      <c r="B10" s="17" t="str">
        <f t="shared" si="4"/>
        <v/>
      </c>
      <c r="C10" s="1" t="s">
        <v>90</v>
      </c>
      <c r="D10" s="30" t="str">
        <f>IFERROR(__xludf.DUMMYFUNCTION("IFERROR(GOOGLEFINANCE(C10, ""NAME""))"),"Monday.Com Ltd")</f>
        <v>Monday.Com Ltd</v>
      </c>
      <c r="E10" s="30" t="s">
        <v>48</v>
      </c>
      <c r="F10" s="33" t="str">
        <f>IFERROR(__xludf.DUMMYFUNCTION("( (GOOGLEFINANCE(C10, ""price"") - Q10) / Q10 ) / (R10 / 100)"),"Loading...")</f>
        <v>Loading...</v>
      </c>
      <c r="G10" s="20" t="str">
        <f>IFERROR(__xludf.DUMMYFUNCTION("AVERAGE(ARRAYFORMULA(100 * (QUERY(GOOGLEFINANCE(C10, ""high"", TODAY()-40, TODAY()), ""SELECT Col2 WHERE Col2 IS NOT NULL ORDER BY Col1 DESC LIMIT 20"", 0) / QUERY(GOOGLEFINANCE(C10, ""low"", TODAY()-40, TODAY()), ""SELECT Col2 WHERE Col2 IS NOT NULL ORDE"&amp;"R BY Col1 DESC LIMIT 20"", 0) - 1)))"),"#N/A")</f>
        <v>#N/A</v>
      </c>
      <c r="H10" s="35" t="str">
        <f t="shared" si="6"/>
        <v/>
      </c>
      <c r="I10" s="36" t="str">
        <f t="shared" si="7"/>
        <v/>
      </c>
      <c r="J10" s="37" t="str">
        <f>IFERROR(__xludf.DUMMYFUNCTION("IFERROR(
  IF(C10="""",, 
    IFERROR(
      GOOGLEFINANCE(C10, ""price"") * GOOGLEFINANCE(C10, ""volumeavg""), 
      GOOGLEFINANCE(C10, ""price"") * AVERAGE(QUERY(GOOGLEFINANCE(C10, ""volume"", TODAY()-40, TODAY()), ""SELECT Col2 WHERE Col2 IS NOT NULL "&amp;"ORDER BY Col1 DESC LIMIT 20"", 0))
    )
  ), 
"""")"),"")</f>
        <v/>
      </c>
      <c r="K10" s="21" t="str">
        <f>IFERROR(__xludf.DUMMYFUNCTION("IFERROR(GOOGLEFINANCE(C10, ""changepct"") / 100, """")"),"")</f>
        <v/>
      </c>
      <c r="L10" s="21" t="str">
        <f>IFERROR(__xludf.DUMMYFUNCTION("IFERROR((GOOGLEFINANCE(C10, ""price"") / INDEX(GOOGLEFINANCE(C10, ""price"", TODAY()-7, TODAY()), 2, 2)) - 1, """")"),"")</f>
        <v/>
      </c>
      <c r="M10" s="21" t="str">
        <f>IFERROR(__xludf.DUMMYFUNCTION("IFERROR((GOOGLEFINANCE(C10, ""price"") / INDEX(GOOGLEFINANCE(C10, ""price"", EDATE(TODAY(), -1), TODAY()), 2, 2)) - 1, """")"),"")</f>
        <v/>
      </c>
      <c r="N10" s="21" t="str">
        <f>IFERROR(__xludf.DUMMYFUNCTION("IFERROR((GOOGLEFINANCE(C10, ""price"") / INDEX(GOOGLEFINANCE(C10, ""price"", EDATE(TODAY(), -3), TODAY()), 2, 2)) - 1, """")"),"")</f>
        <v/>
      </c>
      <c r="O10" s="21" t="str">
        <f>IFERROR(__xludf.DUMMYFUNCTION("IFERROR((GOOGLEFINANCE(C10, ""price"") / INDEX(GOOGLEFINANCE(C10, ""price"", EDATE(TODAY(), -6), TODAY()), 2, 2)) - 1, """")"),"")</f>
        <v/>
      </c>
      <c r="P10" s="21" t="str">
        <f>IFERROR(__xludf.DUMMYFUNCTION("IFERROR((GOOGLEFINANCE(C10, ""price"") / INDEX(GOOGLEFINANCE(C10, ""price"", EDATE(TODAY(), -12), TODAY()), 2, 2)) - 1, """")"),"")</f>
        <v/>
      </c>
      <c r="Q10" s="6" t="str">
        <f>IFERROR(__xludf.DUMMYFUNCTION("AVERAGE(QUERY(GOOGLEFINANCE(C10, ""price"", TODAY()-80, TODAY()), ""SELECT Col2 WHERE Col2 IS NOT NULL ORDER BY Col1 DESC LIMIT 50"", 0))"),"#N/A")</f>
        <v>#N/A</v>
      </c>
      <c r="R10" s="24" t="str">
        <f>IFERROR(__xludf.DUMMYFUNCTION("IFERROR(
  LET(
    data, QUERY(GOOGLEFINANCE(C10,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GOOGLEFINANCE(C10, ""price"")) * 100,
    IF(calc=0, G10, calc)
  ), 
G10)"),"#N/A")</f>
        <v>#N/A</v>
      </c>
      <c r="S10" s="8" t="s">
        <v>15</v>
      </c>
      <c r="T10" s="26" t="str">
        <f>IFERROR(__xludf.DUMMYFUNCTION("IFERROR(TRANSPOSE(QUERY(IFERROR(SORT(GOOGLEFINANCE(C10, ""price"", WORKDAY(TODAY(), -40), TODAY()), 1, FALSE)), ""select Col2 where Col2 is not null limit 22 label Col2 ''"", 0)), """")"),"")</f>
        <v/>
      </c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8"/>
      <c r="AO10" s="28"/>
      <c r="AP10" s="29"/>
      <c r="AQ10" s="29" t="str">
        <f t="shared" ref="AQ10:BL10" si="13">T10/T$2</f>
        <v>#N/A</v>
      </c>
      <c r="AR10" s="29" t="str">
        <f t="shared" si="13"/>
        <v>#DIV/0!</v>
      </c>
      <c r="AS10" s="29" t="str">
        <f t="shared" si="13"/>
        <v>#DIV/0!</v>
      </c>
      <c r="AT10" s="29" t="str">
        <f t="shared" si="13"/>
        <v>#DIV/0!</v>
      </c>
      <c r="AU10" s="29" t="str">
        <f t="shared" si="13"/>
        <v>#DIV/0!</v>
      </c>
      <c r="AV10" s="29" t="str">
        <f t="shared" si="13"/>
        <v>#DIV/0!</v>
      </c>
      <c r="AW10" s="29" t="str">
        <f t="shared" si="13"/>
        <v>#DIV/0!</v>
      </c>
      <c r="AX10" s="29" t="str">
        <f t="shared" si="13"/>
        <v>#DIV/0!</v>
      </c>
      <c r="AY10" s="29" t="str">
        <f t="shared" si="13"/>
        <v>#DIV/0!</v>
      </c>
      <c r="AZ10" s="29" t="str">
        <f t="shared" si="13"/>
        <v>#DIV/0!</v>
      </c>
      <c r="BA10" s="29" t="str">
        <f t="shared" si="13"/>
        <v>#DIV/0!</v>
      </c>
      <c r="BB10" s="29" t="str">
        <f t="shared" si="13"/>
        <v>#DIV/0!</v>
      </c>
      <c r="BC10" s="29" t="str">
        <f t="shared" si="13"/>
        <v>#DIV/0!</v>
      </c>
      <c r="BD10" s="29" t="str">
        <f t="shared" si="13"/>
        <v>#DIV/0!</v>
      </c>
      <c r="BE10" s="29" t="str">
        <f t="shared" si="13"/>
        <v>#DIV/0!</v>
      </c>
      <c r="BF10" s="29" t="str">
        <f t="shared" si="13"/>
        <v>#DIV/0!</v>
      </c>
      <c r="BG10" s="29" t="str">
        <f t="shared" si="13"/>
        <v>#DIV/0!</v>
      </c>
      <c r="BH10" s="29" t="str">
        <f t="shared" si="13"/>
        <v>#DIV/0!</v>
      </c>
      <c r="BI10" s="29" t="str">
        <f t="shared" si="13"/>
        <v>#DIV/0!</v>
      </c>
      <c r="BJ10" s="29" t="str">
        <f t="shared" si="13"/>
        <v>#DIV/0!</v>
      </c>
      <c r="BK10" s="29" t="str">
        <f t="shared" si="13"/>
        <v>#DIV/0!</v>
      </c>
      <c r="BL10" s="29" t="str">
        <f t="shared" si="13"/>
        <v>#DIV/0!</v>
      </c>
      <c r="BM10" s="29" t="str">
        <f t="shared" si="3"/>
        <v>#DIV/0!</v>
      </c>
    </row>
    <row r="11">
      <c r="A11" s="16" t="str">
        <f>IFERROR(__xludf.DUMMYFUNCTION("IFERROR(SPARKLINE(SORT(MAP(TRANSPOSE(AQ11:BL11), LAMBDA(val, IF(ISNUMBER(val), PERCENTRANK(AQ11:BL11, val)+0.01, 0))), SEQUENCE(COLUMNS(AQ11:BL11)), FALSE), {""charttype"",""column""; ""color"",""chartreuse""; ""ymin"", 0; ""ymax"", 1.01; ""highcolor"", "&amp;"""darkgreen""; ""lowcolor"", ""red""}), """")"),"")</f>
        <v/>
      </c>
      <c r="B11" s="17" t="str">
        <f t="shared" si="4"/>
        <v/>
      </c>
      <c r="C11" s="1" t="s">
        <v>95</v>
      </c>
      <c r="D11" s="30" t="str">
        <f>IFERROR(__xludf.DUMMYFUNCTION("IFERROR(GOOGLEFINANCE(C11, ""NAME""))"),"Sprout Social Inc")</f>
        <v>Sprout Social Inc</v>
      </c>
      <c r="E11" s="30" t="s">
        <v>48</v>
      </c>
      <c r="F11" s="33" t="str">
        <f>IFERROR(__xludf.DUMMYFUNCTION("( (GOOGLEFINANCE(C11, ""price"") - Q11) / Q11 ) / (R11 / 100)"),"Loading...")</f>
        <v>Loading...</v>
      </c>
      <c r="G11" s="20" t="str">
        <f>IFERROR(__xludf.DUMMYFUNCTION("AVERAGE(ARRAYFORMULA(100 * (QUERY(GOOGLEFINANCE(C11, ""high"", TODAY()-40, TODAY()), ""SELECT Col2 WHERE Col2 IS NOT NULL ORDER BY Col1 DESC LIMIT 20"", 0) / QUERY(GOOGLEFINANCE(C11, ""low"", TODAY()-40, TODAY()), ""SELECT Col2 WHERE Col2 IS NOT NULL ORDE"&amp;"R BY Col1 DESC LIMIT 20"", 0) - 1)))"),"#N/A")</f>
        <v>#N/A</v>
      </c>
      <c r="H11" s="35" t="str">
        <f t="shared" si="6"/>
        <v/>
      </c>
      <c r="I11" s="36" t="str">
        <f t="shared" si="7"/>
        <v/>
      </c>
      <c r="J11" s="37" t="str">
        <f>IFERROR(__xludf.DUMMYFUNCTION("IFERROR(
  IF(C11="""",, 
    IFERROR(
      GOOGLEFINANCE(C11, ""price"") * GOOGLEFINANCE(C11, ""volumeavg""), 
      GOOGLEFINANCE(C11, ""price"") * AVERAGE(QUERY(GOOGLEFINANCE(C11, ""volume"", TODAY()-40, TODAY()), ""SELECT Col2 WHERE Col2 IS NOT NULL "&amp;"ORDER BY Col1 DESC LIMIT 20"", 0))
    )
  ), 
"""")"),"")</f>
        <v/>
      </c>
      <c r="K11" s="21" t="str">
        <f>IFERROR(__xludf.DUMMYFUNCTION("IFERROR(GOOGLEFINANCE(C11, ""changepct"") / 100, """")"),"")</f>
        <v/>
      </c>
      <c r="L11" s="21" t="str">
        <f>IFERROR(__xludf.DUMMYFUNCTION("IFERROR((GOOGLEFINANCE(C11, ""price"") / INDEX(GOOGLEFINANCE(C11, ""price"", TODAY()-7, TODAY()), 2, 2)) - 1, """")"),"")</f>
        <v/>
      </c>
      <c r="M11" s="21" t="str">
        <f>IFERROR(__xludf.DUMMYFUNCTION("IFERROR((GOOGLEFINANCE(C11, ""price"") / INDEX(GOOGLEFINANCE(C11, ""price"", EDATE(TODAY(), -1), TODAY()), 2, 2)) - 1, """")"),"")</f>
        <v/>
      </c>
      <c r="N11" s="21" t="str">
        <f>IFERROR(__xludf.DUMMYFUNCTION("IFERROR((GOOGLEFINANCE(C11, ""price"") / INDEX(GOOGLEFINANCE(C11, ""price"", EDATE(TODAY(), -3), TODAY()), 2, 2)) - 1, """")"),"")</f>
        <v/>
      </c>
      <c r="O11" s="21" t="str">
        <f>IFERROR(__xludf.DUMMYFUNCTION("IFERROR((GOOGLEFINANCE(C11, ""price"") / INDEX(GOOGLEFINANCE(C11, ""price"", EDATE(TODAY(), -6), TODAY()), 2, 2)) - 1, """")"),"")</f>
        <v/>
      </c>
      <c r="P11" s="21" t="str">
        <f>IFERROR(__xludf.DUMMYFUNCTION("IFERROR((GOOGLEFINANCE(C11, ""price"") / INDEX(GOOGLEFINANCE(C11, ""price"", EDATE(TODAY(), -12), TODAY()), 2, 2)) - 1, """")"),"")</f>
        <v/>
      </c>
      <c r="Q11" s="6" t="str">
        <f>IFERROR(__xludf.DUMMYFUNCTION("AVERAGE(QUERY(GOOGLEFINANCE(C11, ""price"", TODAY()-80, TODAY()), ""SELECT Col2 WHERE Col2 IS NOT NULL ORDER BY Col1 DESC LIMIT 50"", 0))"),"#N/A")</f>
        <v>#N/A</v>
      </c>
      <c r="R11" s="24" t="str">
        <f>IFERROR(__xludf.DUMMYFUNCTION("IFERROR(
  LET(
    data, QUERY(GOOGLEFINANCE(C11,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GOOGLEFINANCE(C11, ""price"")) * 100,
    IF(calc=0, G11, calc)
  ), 
G11)"),"#N/A")</f>
        <v>#N/A</v>
      </c>
      <c r="S11" s="8" t="s">
        <v>15</v>
      </c>
      <c r="T11" s="26" t="str">
        <f>IFERROR(__xludf.DUMMYFUNCTION("IFERROR(TRANSPOSE(QUERY(IFERROR(SORT(GOOGLEFINANCE(C11, ""price"", WORKDAY(TODAY(), -40), TODAY()), 1, FALSE)), ""select Col2 where Col2 is not null limit 22 label Col2 ''"", 0)), """")"),"")</f>
        <v/>
      </c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8"/>
      <c r="AO11" s="28"/>
      <c r="AP11" s="29"/>
      <c r="AQ11" s="29" t="str">
        <f t="shared" ref="AQ11:BL11" si="14">T11/T$2</f>
        <v>#N/A</v>
      </c>
      <c r="AR11" s="29" t="str">
        <f t="shared" si="14"/>
        <v>#DIV/0!</v>
      </c>
      <c r="AS11" s="29" t="str">
        <f t="shared" si="14"/>
        <v>#DIV/0!</v>
      </c>
      <c r="AT11" s="29" t="str">
        <f t="shared" si="14"/>
        <v>#DIV/0!</v>
      </c>
      <c r="AU11" s="29" t="str">
        <f t="shared" si="14"/>
        <v>#DIV/0!</v>
      </c>
      <c r="AV11" s="29" t="str">
        <f t="shared" si="14"/>
        <v>#DIV/0!</v>
      </c>
      <c r="AW11" s="29" t="str">
        <f t="shared" si="14"/>
        <v>#DIV/0!</v>
      </c>
      <c r="AX11" s="29" t="str">
        <f t="shared" si="14"/>
        <v>#DIV/0!</v>
      </c>
      <c r="AY11" s="29" t="str">
        <f t="shared" si="14"/>
        <v>#DIV/0!</v>
      </c>
      <c r="AZ11" s="29" t="str">
        <f t="shared" si="14"/>
        <v>#DIV/0!</v>
      </c>
      <c r="BA11" s="29" t="str">
        <f t="shared" si="14"/>
        <v>#DIV/0!</v>
      </c>
      <c r="BB11" s="29" t="str">
        <f t="shared" si="14"/>
        <v>#DIV/0!</v>
      </c>
      <c r="BC11" s="29" t="str">
        <f t="shared" si="14"/>
        <v>#DIV/0!</v>
      </c>
      <c r="BD11" s="29" t="str">
        <f t="shared" si="14"/>
        <v>#DIV/0!</v>
      </c>
      <c r="BE11" s="29" t="str">
        <f t="shared" si="14"/>
        <v>#DIV/0!</v>
      </c>
      <c r="BF11" s="29" t="str">
        <f t="shared" si="14"/>
        <v>#DIV/0!</v>
      </c>
      <c r="BG11" s="29" t="str">
        <f t="shared" si="14"/>
        <v>#DIV/0!</v>
      </c>
      <c r="BH11" s="29" t="str">
        <f t="shared" si="14"/>
        <v>#DIV/0!</v>
      </c>
      <c r="BI11" s="29" t="str">
        <f t="shared" si="14"/>
        <v>#DIV/0!</v>
      </c>
      <c r="BJ11" s="29" t="str">
        <f t="shared" si="14"/>
        <v>#DIV/0!</v>
      </c>
      <c r="BK11" s="29" t="str">
        <f t="shared" si="14"/>
        <v>#DIV/0!</v>
      </c>
      <c r="BL11" s="29" t="str">
        <f t="shared" si="14"/>
        <v>#DIV/0!</v>
      </c>
      <c r="BM11" s="29" t="str">
        <f t="shared" si="3"/>
        <v>#DIV/0!</v>
      </c>
    </row>
    <row r="12">
      <c r="A12" s="16" t="str">
        <f>IFERROR(__xludf.DUMMYFUNCTION("IFERROR(SPARKLINE(SORT(MAP(TRANSPOSE(AQ12:BL12), LAMBDA(val, IF(ISNUMBER(val), PERCENTRANK(AQ12:BL12, val)+0.01, 0))), SEQUENCE(COLUMNS(AQ12:BL12)), FALSE), {""charttype"",""column""; ""color"",""chartreuse""; ""ymin"", 0; ""ymax"", 1.01; ""highcolor"", "&amp;"""darkgreen""; ""lowcolor"", ""red""}), """")"),"")</f>
        <v/>
      </c>
      <c r="B12" s="17" t="str">
        <f t="shared" si="4"/>
        <v/>
      </c>
      <c r="C12" s="1" t="s">
        <v>98</v>
      </c>
      <c r="D12" s="30" t="str">
        <f>IFERROR(__xludf.DUMMYFUNCTION("IFERROR(GOOGLEFINANCE(C12, ""NAME""))"),"Rapid7 Inc")</f>
        <v>Rapid7 Inc</v>
      </c>
      <c r="E12" s="30" t="s">
        <v>58</v>
      </c>
      <c r="F12" s="33" t="str">
        <f>IFERROR(__xludf.DUMMYFUNCTION("( (GOOGLEFINANCE(C12, ""price"") - Q12) / Q12 ) / (R12 / 100)"),"Loading...")</f>
        <v>Loading...</v>
      </c>
      <c r="G12" s="20" t="str">
        <f>IFERROR(__xludf.DUMMYFUNCTION("AVERAGE(ARRAYFORMULA(100 * (QUERY(GOOGLEFINANCE(C12, ""high"", TODAY()-40, TODAY()), ""SELECT Col2 WHERE Col2 IS NOT NULL ORDER BY Col1 DESC LIMIT 20"", 0) / QUERY(GOOGLEFINANCE(C12, ""low"", TODAY()-40, TODAY()), ""SELECT Col2 WHERE Col2 IS NOT NULL ORDE"&amp;"R BY Col1 DESC LIMIT 20"", 0) - 1)))"),"#N/A")</f>
        <v>#N/A</v>
      </c>
      <c r="H12" s="35" t="str">
        <f t="shared" si="6"/>
        <v/>
      </c>
      <c r="I12" s="36" t="str">
        <f t="shared" si="7"/>
        <v/>
      </c>
      <c r="J12" s="37" t="str">
        <f>IFERROR(__xludf.DUMMYFUNCTION("IFERROR(
  IF(C12="""",, 
    IFERROR(
      GOOGLEFINANCE(C12, ""price"") * GOOGLEFINANCE(C12, ""volumeavg""), 
      GOOGLEFINANCE(C12, ""price"") * AVERAGE(QUERY(GOOGLEFINANCE(C12, ""volume"", TODAY()-40, TODAY()), ""SELECT Col2 WHERE Col2 IS NOT NULL "&amp;"ORDER BY Col1 DESC LIMIT 20"", 0))
    )
  ), 
"""")"),"")</f>
        <v/>
      </c>
      <c r="K12" s="21" t="str">
        <f>IFERROR(__xludf.DUMMYFUNCTION("IFERROR(GOOGLEFINANCE(C12, ""changepct"") / 100, """")"),"")</f>
        <v/>
      </c>
      <c r="L12" s="21" t="str">
        <f>IFERROR(__xludf.DUMMYFUNCTION("IFERROR((GOOGLEFINANCE(C12, ""price"") / INDEX(GOOGLEFINANCE(C12, ""price"", TODAY()-7, TODAY()), 2, 2)) - 1, """")"),"")</f>
        <v/>
      </c>
      <c r="M12" s="21" t="str">
        <f>IFERROR(__xludf.DUMMYFUNCTION("IFERROR((GOOGLEFINANCE(C12, ""price"") / INDEX(GOOGLEFINANCE(C12, ""price"", EDATE(TODAY(), -1), TODAY()), 2, 2)) - 1, """")"),"")</f>
        <v/>
      </c>
      <c r="N12" s="21" t="str">
        <f>IFERROR(__xludf.DUMMYFUNCTION("IFERROR((GOOGLEFINANCE(C12, ""price"") / INDEX(GOOGLEFINANCE(C12, ""price"", EDATE(TODAY(), -3), TODAY()), 2, 2)) - 1, """")"),"")</f>
        <v/>
      </c>
      <c r="O12" s="21" t="str">
        <f>IFERROR(__xludf.DUMMYFUNCTION("IFERROR((GOOGLEFINANCE(C12, ""price"") / INDEX(GOOGLEFINANCE(C12, ""price"", EDATE(TODAY(), -6), TODAY()), 2, 2)) - 1, """")"),"")</f>
        <v/>
      </c>
      <c r="P12" s="21" t="str">
        <f>IFERROR(__xludf.DUMMYFUNCTION("IFERROR((GOOGLEFINANCE(C12, ""price"") / INDEX(GOOGLEFINANCE(C12, ""price"", EDATE(TODAY(), -12), TODAY()), 2, 2)) - 1, """")"),"")</f>
        <v/>
      </c>
      <c r="Q12" s="6" t="str">
        <f>IFERROR(__xludf.DUMMYFUNCTION("AVERAGE(QUERY(GOOGLEFINANCE(C12, ""price"", TODAY()-80, TODAY()), ""SELECT Col2 WHERE Col2 IS NOT NULL ORDER BY Col1 DESC LIMIT 50"", 0))"),"#N/A")</f>
        <v>#N/A</v>
      </c>
      <c r="R12" s="24" t="str">
        <f>IFERROR(__xludf.DUMMYFUNCTION("IFERROR(
  LET(
    data, QUERY(GOOGLEFINANCE(C12,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GOOGLEFINANCE(C12, ""price"")) * 100,
    IF(calc=0, G12, calc)
  ), 
G12)"),"#N/A")</f>
        <v>#N/A</v>
      </c>
      <c r="S12" s="8" t="s">
        <v>15</v>
      </c>
      <c r="T12" s="26" t="str">
        <f>IFERROR(__xludf.DUMMYFUNCTION("IFERROR(TRANSPOSE(QUERY(IFERROR(SORT(GOOGLEFINANCE(C12, ""price"", WORKDAY(TODAY(), -40), TODAY()), 1, FALSE)), ""select Col2 where Col2 is not null limit 22 label Col2 ''"", 0)), """")"),"")</f>
        <v/>
      </c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8"/>
      <c r="AO12" s="28"/>
      <c r="AP12" s="29"/>
      <c r="AQ12" s="29" t="str">
        <f t="shared" ref="AQ12:BL12" si="15">T12/T$2</f>
        <v>#N/A</v>
      </c>
      <c r="AR12" s="29" t="str">
        <f t="shared" si="15"/>
        <v>#DIV/0!</v>
      </c>
      <c r="AS12" s="29" t="str">
        <f t="shared" si="15"/>
        <v>#DIV/0!</v>
      </c>
      <c r="AT12" s="29" t="str">
        <f t="shared" si="15"/>
        <v>#DIV/0!</v>
      </c>
      <c r="AU12" s="29" t="str">
        <f t="shared" si="15"/>
        <v>#DIV/0!</v>
      </c>
      <c r="AV12" s="29" t="str">
        <f t="shared" si="15"/>
        <v>#DIV/0!</v>
      </c>
      <c r="AW12" s="29" t="str">
        <f t="shared" si="15"/>
        <v>#DIV/0!</v>
      </c>
      <c r="AX12" s="29" t="str">
        <f t="shared" si="15"/>
        <v>#DIV/0!</v>
      </c>
      <c r="AY12" s="29" t="str">
        <f t="shared" si="15"/>
        <v>#DIV/0!</v>
      </c>
      <c r="AZ12" s="29" t="str">
        <f t="shared" si="15"/>
        <v>#DIV/0!</v>
      </c>
      <c r="BA12" s="29" t="str">
        <f t="shared" si="15"/>
        <v>#DIV/0!</v>
      </c>
      <c r="BB12" s="29" t="str">
        <f t="shared" si="15"/>
        <v>#DIV/0!</v>
      </c>
      <c r="BC12" s="29" t="str">
        <f t="shared" si="15"/>
        <v>#DIV/0!</v>
      </c>
      <c r="BD12" s="29" t="str">
        <f t="shared" si="15"/>
        <v>#DIV/0!</v>
      </c>
      <c r="BE12" s="29" t="str">
        <f t="shared" si="15"/>
        <v>#DIV/0!</v>
      </c>
      <c r="BF12" s="29" t="str">
        <f t="shared" si="15"/>
        <v>#DIV/0!</v>
      </c>
      <c r="BG12" s="29" t="str">
        <f t="shared" si="15"/>
        <v>#DIV/0!</v>
      </c>
      <c r="BH12" s="29" t="str">
        <f t="shared" si="15"/>
        <v>#DIV/0!</v>
      </c>
      <c r="BI12" s="29" t="str">
        <f t="shared" si="15"/>
        <v>#DIV/0!</v>
      </c>
      <c r="BJ12" s="29" t="str">
        <f t="shared" si="15"/>
        <v>#DIV/0!</v>
      </c>
      <c r="BK12" s="29" t="str">
        <f t="shared" si="15"/>
        <v>#DIV/0!</v>
      </c>
      <c r="BL12" s="29" t="str">
        <f t="shared" si="15"/>
        <v>#DIV/0!</v>
      </c>
      <c r="BM12" s="29" t="str">
        <f t="shared" si="3"/>
        <v>#DIV/0!</v>
      </c>
    </row>
    <row r="13">
      <c r="A13" s="16" t="str">
        <f>IFERROR(__xludf.DUMMYFUNCTION("IFERROR(SPARKLINE(SORT(MAP(TRANSPOSE(AQ13:BL13), LAMBDA(val, IF(ISNUMBER(val), PERCENTRANK(AQ13:BL13, val)+0.01, 0))), SEQUENCE(COLUMNS(AQ13:BL13)), FALSE), {""charttype"",""column""; ""color"",""chartreuse""; ""ymin"", 0; ""ymax"", 1.01; ""highcolor"", "&amp;"""darkgreen""; ""lowcolor"", ""red""}), """")"),"")</f>
        <v/>
      </c>
      <c r="B13" s="17" t="str">
        <f t="shared" si="4"/>
        <v/>
      </c>
      <c r="C13" s="1" t="s">
        <v>101</v>
      </c>
      <c r="D13" s="30" t="str">
        <f>IFERROR(__xludf.DUMMYFUNCTION("IFERROR(GOOGLEFINANCE(C13, ""NAME""))"),"Kyndryl Holdings Inc")</f>
        <v>Kyndryl Holdings Inc</v>
      </c>
      <c r="E13" s="30" t="s">
        <v>102</v>
      </c>
      <c r="F13" s="33" t="str">
        <f>IFERROR(__xludf.DUMMYFUNCTION("( (GOOGLEFINANCE(C13, ""price"") - Q13) / Q13 ) / (R13 / 100)"),"Loading...")</f>
        <v>Loading...</v>
      </c>
      <c r="G13" s="20" t="str">
        <f>IFERROR(__xludf.DUMMYFUNCTION("AVERAGE(ARRAYFORMULA(100 * (QUERY(GOOGLEFINANCE(C13, ""high"", TODAY()-40, TODAY()), ""SELECT Col2 WHERE Col2 IS NOT NULL ORDER BY Col1 DESC LIMIT 20"", 0) / QUERY(GOOGLEFINANCE(C13, ""low"", TODAY()-40, TODAY()), ""SELECT Col2 WHERE Col2 IS NOT NULL ORDE"&amp;"R BY Col1 DESC LIMIT 20"", 0) - 1)))"),"#N/A")</f>
        <v>#N/A</v>
      </c>
      <c r="H13" s="35" t="str">
        <f t="shared" si="6"/>
        <v/>
      </c>
      <c r="I13" s="36" t="str">
        <f t="shared" si="7"/>
        <v/>
      </c>
      <c r="J13" s="37" t="str">
        <f>IFERROR(__xludf.DUMMYFUNCTION("IFERROR(
  IF(C13="""",, 
    IFERROR(
      GOOGLEFINANCE(C13, ""price"") * GOOGLEFINANCE(C13, ""volumeavg""), 
      GOOGLEFINANCE(C13, ""price"") * AVERAGE(QUERY(GOOGLEFINANCE(C13, ""volume"", TODAY()-40, TODAY()), ""SELECT Col2 WHERE Col2 IS NOT NULL "&amp;"ORDER BY Col1 DESC LIMIT 20"", 0))
    )
  ), 
"""")"),"")</f>
        <v/>
      </c>
      <c r="K13" s="21" t="str">
        <f>IFERROR(__xludf.DUMMYFUNCTION("IFERROR(GOOGLEFINANCE(C13, ""changepct"") / 100, """")"),"")</f>
        <v/>
      </c>
      <c r="L13" s="21" t="str">
        <f>IFERROR(__xludf.DUMMYFUNCTION("IFERROR((GOOGLEFINANCE(C13, ""price"") / INDEX(GOOGLEFINANCE(C13, ""price"", TODAY()-7, TODAY()), 2, 2)) - 1, """")"),"")</f>
        <v/>
      </c>
      <c r="M13" s="21" t="str">
        <f>IFERROR(__xludf.DUMMYFUNCTION("IFERROR((GOOGLEFINANCE(C13, ""price"") / INDEX(GOOGLEFINANCE(C13, ""price"", EDATE(TODAY(), -1), TODAY()), 2, 2)) - 1, """")"),"")</f>
        <v/>
      </c>
      <c r="N13" s="21" t="str">
        <f>IFERROR(__xludf.DUMMYFUNCTION("IFERROR((GOOGLEFINANCE(C13, ""price"") / INDEX(GOOGLEFINANCE(C13, ""price"", EDATE(TODAY(), -3), TODAY()), 2, 2)) - 1, """")"),"")</f>
        <v/>
      </c>
      <c r="O13" s="21" t="str">
        <f>IFERROR(__xludf.DUMMYFUNCTION("IFERROR((GOOGLEFINANCE(C13, ""price"") / INDEX(GOOGLEFINANCE(C13, ""price"", EDATE(TODAY(), -6), TODAY()), 2, 2)) - 1, """")"),"")</f>
        <v/>
      </c>
      <c r="P13" s="21" t="str">
        <f>IFERROR(__xludf.DUMMYFUNCTION("IFERROR((GOOGLEFINANCE(C13, ""price"") / INDEX(GOOGLEFINANCE(C13, ""price"", EDATE(TODAY(), -12), TODAY()), 2, 2)) - 1, """")"),"")</f>
        <v/>
      </c>
      <c r="Q13" s="6" t="str">
        <f>IFERROR(__xludf.DUMMYFUNCTION("AVERAGE(QUERY(GOOGLEFINANCE(C13, ""price"", TODAY()-80, TODAY()), ""SELECT Col2 WHERE Col2 IS NOT NULL ORDER BY Col1 DESC LIMIT 50"", 0))"),"#N/A")</f>
        <v>#N/A</v>
      </c>
      <c r="R13" s="24" t="str">
        <f>IFERROR(__xludf.DUMMYFUNCTION("IFERROR(
  LET(
    data, QUERY(GOOGLEFINANCE(C13,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GOOGLEFINANCE(C13, ""price"")) * 100,
    IF(calc=0, G13, calc)
  ), 
G13)"),"#N/A")</f>
        <v>#N/A</v>
      </c>
      <c r="S13" s="8" t="s">
        <v>15</v>
      </c>
      <c r="T13" s="26" t="str">
        <f>IFERROR(__xludf.DUMMYFUNCTION("IFERROR(TRANSPOSE(QUERY(IFERROR(SORT(GOOGLEFINANCE(C13, ""price"", WORKDAY(TODAY(), -40), TODAY()), 1, FALSE)), ""select Col2 where Col2 is not null limit 22 label Col2 ''"", 0)), """")"),"")</f>
        <v/>
      </c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8"/>
      <c r="AO13" s="28"/>
      <c r="AP13" s="29"/>
      <c r="AQ13" s="29" t="str">
        <f t="shared" ref="AQ13:BL13" si="16">T13/T$2</f>
        <v>#N/A</v>
      </c>
      <c r="AR13" s="29" t="str">
        <f t="shared" si="16"/>
        <v>#DIV/0!</v>
      </c>
      <c r="AS13" s="29" t="str">
        <f t="shared" si="16"/>
        <v>#DIV/0!</v>
      </c>
      <c r="AT13" s="29" t="str">
        <f t="shared" si="16"/>
        <v>#DIV/0!</v>
      </c>
      <c r="AU13" s="29" t="str">
        <f t="shared" si="16"/>
        <v>#DIV/0!</v>
      </c>
      <c r="AV13" s="29" t="str">
        <f t="shared" si="16"/>
        <v>#DIV/0!</v>
      </c>
      <c r="AW13" s="29" t="str">
        <f t="shared" si="16"/>
        <v>#DIV/0!</v>
      </c>
      <c r="AX13" s="29" t="str">
        <f t="shared" si="16"/>
        <v>#DIV/0!</v>
      </c>
      <c r="AY13" s="29" t="str">
        <f t="shared" si="16"/>
        <v>#DIV/0!</v>
      </c>
      <c r="AZ13" s="29" t="str">
        <f t="shared" si="16"/>
        <v>#DIV/0!</v>
      </c>
      <c r="BA13" s="29" t="str">
        <f t="shared" si="16"/>
        <v>#DIV/0!</v>
      </c>
      <c r="BB13" s="29" t="str">
        <f t="shared" si="16"/>
        <v>#DIV/0!</v>
      </c>
      <c r="BC13" s="29" t="str">
        <f t="shared" si="16"/>
        <v>#DIV/0!</v>
      </c>
      <c r="BD13" s="29" t="str">
        <f t="shared" si="16"/>
        <v>#DIV/0!</v>
      </c>
      <c r="BE13" s="29" t="str">
        <f t="shared" si="16"/>
        <v>#DIV/0!</v>
      </c>
      <c r="BF13" s="29" t="str">
        <f t="shared" si="16"/>
        <v>#DIV/0!</v>
      </c>
      <c r="BG13" s="29" t="str">
        <f t="shared" si="16"/>
        <v>#DIV/0!</v>
      </c>
      <c r="BH13" s="29" t="str">
        <f t="shared" si="16"/>
        <v>#DIV/0!</v>
      </c>
      <c r="BI13" s="29" t="str">
        <f t="shared" si="16"/>
        <v>#DIV/0!</v>
      </c>
      <c r="BJ13" s="29" t="str">
        <f t="shared" si="16"/>
        <v>#DIV/0!</v>
      </c>
      <c r="BK13" s="29" t="str">
        <f t="shared" si="16"/>
        <v>#DIV/0!</v>
      </c>
      <c r="BL13" s="29" t="str">
        <f t="shared" si="16"/>
        <v>#DIV/0!</v>
      </c>
      <c r="BM13" s="29" t="str">
        <f t="shared" si="3"/>
        <v>#DIV/0!</v>
      </c>
    </row>
    <row r="14">
      <c r="A14" s="16" t="str">
        <f>IFERROR(__xludf.DUMMYFUNCTION("IFERROR(SPARKLINE(SORT(MAP(TRANSPOSE(AQ14:BL14), LAMBDA(val, IF(ISNUMBER(val), PERCENTRANK(AQ14:BL14, val)+0.01, 0))), SEQUENCE(COLUMNS(AQ14:BL14)), FALSE), {""charttype"",""column""; ""color"",""chartreuse""; ""ymin"", 0; ""ymax"", 1.01; ""highcolor"", "&amp;"""darkgreen""; ""lowcolor"", ""red""}), """")"),"")</f>
        <v/>
      </c>
      <c r="B14" s="17" t="str">
        <f t="shared" si="4"/>
        <v/>
      </c>
      <c r="C14" s="1" t="s">
        <v>104</v>
      </c>
      <c r="D14" s="30" t="str">
        <f>IFERROR(__xludf.DUMMYFUNCTION("IFERROR(GOOGLEFINANCE(C14, ""NAME""))"),"MNTN Inc")</f>
        <v>MNTN Inc</v>
      </c>
      <c r="E14" s="30" t="s">
        <v>48</v>
      </c>
      <c r="F14" s="33" t="str">
        <f>IFERROR(__xludf.DUMMYFUNCTION("( (GOOGLEFINANCE(C14, ""price"") - Q14) / Q14 ) / (R14 / 100)"),"Loading...")</f>
        <v>Loading...</v>
      </c>
      <c r="G14" s="20" t="str">
        <f>IFERROR(__xludf.DUMMYFUNCTION("AVERAGE(ARRAYFORMULA(100 * (QUERY(GOOGLEFINANCE(C14, ""high"", TODAY()-40, TODAY()), ""SELECT Col2 WHERE Col2 IS NOT NULL ORDER BY Col1 DESC LIMIT 20"", 0) / QUERY(GOOGLEFINANCE(C14, ""low"", TODAY()-40, TODAY()), ""SELECT Col2 WHERE Col2 IS NOT NULL ORDE"&amp;"R BY Col1 DESC LIMIT 20"", 0) - 1)))"),"#N/A")</f>
        <v>#N/A</v>
      </c>
      <c r="H14" s="35" t="str">
        <f t="shared" si="6"/>
        <v/>
      </c>
      <c r="I14" s="36" t="str">
        <f t="shared" si="7"/>
        <v/>
      </c>
      <c r="J14" s="37" t="str">
        <f>IFERROR(__xludf.DUMMYFUNCTION("IFERROR(
  IF(C14="""",, 
    IFERROR(
      GOOGLEFINANCE(C14, ""price"") * GOOGLEFINANCE(C14, ""volumeavg""), 
      GOOGLEFINANCE(C14, ""price"") * AVERAGE(QUERY(GOOGLEFINANCE(C14, ""volume"", TODAY()-40, TODAY()), ""SELECT Col2 WHERE Col2 IS NOT NULL "&amp;"ORDER BY Col1 DESC LIMIT 20"", 0))
    )
  ), 
"""")"),"")</f>
        <v/>
      </c>
      <c r="K14" s="21" t="str">
        <f>IFERROR(__xludf.DUMMYFUNCTION("IFERROR(GOOGLEFINANCE(C14, ""changepct"") / 100, """")"),"")</f>
        <v/>
      </c>
      <c r="L14" s="21" t="str">
        <f>IFERROR(__xludf.DUMMYFUNCTION("IFERROR((GOOGLEFINANCE(C14, ""price"") / INDEX(GOOGLEFINANCE(C14, ""price"", TODAY()-7, TODAY()), 2, 2)) - 1, """")"),"")</f>
        <v/>
      </c>
      <c r="M14" s="21" t="str">
        <f>IFERROR(__xludf.DUMMYFUNCTION("IFERROR((GOOGLEFINANCE(C14, ""price"") / INDEX(GOOGLEFINANCE(C14, ""price"", EDATE(TODAY(), -1), TODAY()), 2, 2)) - 1, """")"),"")</f>
        <v/>
      </c>
      <c r="N14" s="21" t="str">
        <f>IFERROR(__xludf.DUMMYFUNCTION("IFERROR((GOOGLEFINANCE(C14, ""price"") / INDEX(GOOGLEFINANCE(C14, ""price"", EDATE(TODAY(), -3), TODAY()), 2, 2)) - 1, """")"),"")</f>
        <v/>
      </c>
      <c r="O14" s="21" t="str">
        <f>IFERROR(__xludf.DUMMYFUNCTION("IFERROR((GOOGLEFINANCE(C14, ""price"") / INDEX(GOOGLEFINANCE(C14, ""price"", EDATE(TODAY(), -6), TODAY()), 2, 2)) - 1, """")"),"")</f>
        <v/>
      </c>
      <c r="P14" s="21" t="str">
        <f>IFERROR(__xludf.DUMMYFUNCTION("IFERROR((GOOGLEFINANCE(C14, ""price"") / INDEX(GOOGLEFINANCE(C14, ""price"", EDATE(TODAY(), -12), TODAY()), 2, 2)) - 1, """")"),"")</f>
        <v/>
      </c>
      <c r="Q14" s="6" t="str">
        <f>IFERROR(__xludf.DUMMYFUNCTION("AVERAGE(QUERY(GOOGLEFINANCE(C14, ""price"", TODAY()-80, TODAY()), ""SELECT Col2 WHERE Col2 IS NOT NULL ORDER BY Col1 DESC LIMIT 50"", 0))"),"#N/A")</f>
        <v>#N/A</v>
      </c>
      <c r="R14" s="24" t="str">
        <f>IFERROR(__xludf.DUMMYFUNCTION("IFERROR(
  LET(
    data, QUERY(GOOGLEFINANCE(C14,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GOOGLEFINANCE(C14, ""price"")) * 100,
    IF(calc=0, G14, calc)
  ), 
G14)"),"#N/A")</f>
        <v>#N/A</v>
      </c>
      <c r="S14" s="8" t="s">
        <v>15</v>
      </c>
      <c r="T14" s="26" t="str">
        <f>IFERROR(__xludf.DUMMYFUNCTION("IFERROR(TRANSPOSE(QUERY(IFERROR(SORT(GOOGLEFINANCE(C14, ""price"", WORKDAY(TODAY(), -40), TODAY()), 1, FALSE)), ""select Col2 where Col2 is not null limit 22 label Col2 ''"", 0)), """")"),"")</f>
        <v/>
      </c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8"/>
      <c r="AO14" s="28"/>
      <c r="AP14" s="29"/>
      <c r="AQ14" s="29" t="str">
        <f t="shared" ref="AQ14:BL14" si="17">T14/T$2</f>
        <v>#N/A</v>
      </c>
      <c r="AR14" s="29" t="str">
        <f t="shared" si="17"/>
        <v>#DIV/0!</v>
      </c>
      <c r="AS14" s="29" t="str">
        <f t="shared" si="17"/>
        <v>#DIV/0!</v>
      </c>
      <c r="AT14" s="29" t="str">
        <f t="shared" si="17"/>
        <v>#DIV/0!</v>
      </c>
      <c r="AU14" s="29" t="str">
        <f t="shared" si="17"/>
        <v>#DIV/0!</v>
      </c>
      <c r="AV14" s="29" t="str">
        <f t="shared" si="17"/>
        <v>#DIV/0!</v>
      </c>
      <c r="AW14" s="29" t="str">
        <f t="shared" si="17"/>
        <v>#DIV/0!</v>
      </c>
      <c r="AX14" s="29" t="str">
        <f t="shared" si="17"/>
        <v>#DIV/0!</v>
      </c>
      <c r="AY14" s="29" t="str">
        <f t="shared" si="17"/>
        <v>#DIV/0!</v>
      </c>
      <c r="AZ14" s="29" t="str">
        <f t="shared" si="17"/>
        <v>#DIV/0!</v>
      </c>
      <c r="BA14" s="29" t="str">
        <f t="shared" si="17"/>
        <v>#DIV/0!</v>
      </c>
      <c r="BB14" s="29" t="str">
        <f t="shared" si="17"/>
        <v>#DIV/0!</v>
      </c>
      <c r="BC14" s="29" t="str">
        <f t="shared" si="17"/>
        <v>#DIV/0!</v>
      </c>
      <c r="BD14" s="29" t="str">
        <f t="shared" si="17"/>
        <v>#DIV/0!</v>
      </c>
      <c r="BE14" s="29" t="str">
        <f t="shared" si="17"/>
        <v>#DIV/0!</v>
      </c>
      <c r="BF14" s="29" t="str">
        <f t="shared" si="17"/>
        <v>#DIV/0!</v>
      </c>
      <c r="BG14" s="29" t="str">
        <f t="shared" si="17"/>
        <v>#DIV/0!</v>
      </c>
      <c r="BH14" s="29" t="str">
        <f t="shared" si="17"/>
        <v>#DIV/0!</v>
      </c>
      <c r="BI14" s="29" t="str">
        <f t="shared" si="17"/>
        <v>#DIV/0!</v>
      </c>
      <c r="BJ14" s="29" t="str">
        <f t="shared" si="17"/>
        <v>#DIV/0!</v>
      </c>
      <c r="BK14" s="29" t="str">
        <f t="shared" si="17"/>
        <v>#DIV/0!</v>
      </c>
      <c r="BL14" s="29" t="str">
        <f t="shared" si="17"/>
        <v>#DIV/0!</v>
      </c>
      <c r="BM14" s="29" t="str">
        <f t="shared" si="3"/>
        <v>#DIV/0!</v>
      </c>
    </row>
    <row r="15">
      <c r="A15" s="16" t="str">
        <f>IFERROR(__xludf.DUMMYFUNCTION("IFERROR(SPARKLINE(SORT(MAP(TRANSPOSE(AQ15:BL15), LAMBDA(val, IF(ISNUMBER(val), PERCENTRANK(AQ15:BL15, val)+0.01, 0))), SEQUENCE(COLUMNS(AQ15:BL15)), FALSE), {""charttype"",""column""; ""color"",""chartreuse""; ""ymin"", 0; ""ymax"", 1.01; ""highcolor"", "&amp;"""darkgreen""; ""lowcolor"", ""red""}), """")"),"")</f>
        <v/>
      </c>
      <c r="B15" s="17" t="str">
        <f t="shared" si="4"/>
        <v/>
      </c>
      <c r="C15" s="1" t="s">
        <v>107</v>
      </c>
      <c r="D15" s="30" t="str">
        <f>IFERROR(__xludf.DUMMYFUNCTION("IFERROR(GOOGLEFINANCE(C15, ""NAME""))"),"Via Transportation Inc")</f>
        <v>Via Transportation Inc</v>
      </c>
      <c r="E15" s="30" t="s">
        <v>48</v>
      </c>
      <c r="F15" s="33" t="str">
        <f>IFERROR(__xludf.DUMMYFUNCTION("( (GOOGLEFINANCE(C15, ""price"") - Q15) / Q15 ) / (R15 / 100)"),"Loading...")</f>
        <v>Loading...</v>
      </c>
      <c r="G15" s="20" t="str">
        <f>IFERROR(__xludf.DUMMYFUNCTION("AVERAGE(ARRAYFORMULA(100 * (QUERY(GOOGLEFINANCE(C15, ""high"", TODAY()-40, TODAY()), ""SELECT Col2 WHERE Col2 IS NOT NULL ORDER BY Col1 DESC LIMIT 20"", 0) / QUERY(GOOGLEFINANCE(C15, ""low"", TODAY()-40, TODAY()), ""SELECT Col2 WHERE Col2 IS NOT NULL ORDE"&amp;"R BY Col1 DESC LIMIT 20"", 0) - 1)))"),"#N/A")</f>
        <v>#N/A</v>
      </c>
      <c r="H15" s="35" t="str">
        <f t="shared" si="6"/>
        <v/>
      </c>
      <c r="I15" s="36" t="str">
        <f t="shared" si="7"/>
        <v/>
      </c>
      <c r="J15" s="37" t="str">
        <f>IFERROR(__xludf.DUMMYFUNCTION("IFERROR(
  IF(C15="""",, 
    IFERROR(
      GOOGLEFINANCE(C15, ""price"") * GOOGLEFINANCE(C15, ""volumeavg""), 
      GOOGLEFINANCE(C15, ""price"") * AVERAGE(QUERY(GOOGLEFINANCE(C15, ""volume"", TODAY()-40, TODAY()), ""SELECT Col2 WHERE Col2 IS NOT NULL "&amp;"ORDER BY Col1 DESC LIMIT 20"", 0))
    )
  ), 
"""")"),"")</f>
        <v/>
      </c>
      <c r="K15" s="21" t="str">
        <f>IFERROR(__xludf.DUMMYFUNCTION("IFERROR(GOOGLEFINANCE(C15, ""changepct"") / 100, """")"),"")</f>
        <v/>
      </c>
      <c r="L15" s="21" t="str">
        <f>IFERROR(__xludf.DUMMYFUNCTION("IFERROR((GOOGLEFINANCE(C15, ""price"") / INDEX(GOOGLEFINANCE(C15, ""price"", TODAY()-7, TODAY()), 2, 2)) - 1, """")"),"")</f>
        <v/>
      </c>
      <c r="M15" s="21" t="str">
        <f>IFERROR(__xludf.DUMMYFUNCTION("IFERROR((GOOGLEFINANCE(C15, ""price"") / INDEX(GOOGLEFINANCE(C15, ""price"", EDATE(TODAY(), -1), TODAY()), 2, 2)) - 1, """")"),"")</f>
        <v/>
      </c>
      <c r="N15" s="21" t="str">
        <f>IFERROR(__xludf.DUMMYFUNCTION("IFERROR((GOOGLEFINANCE(C15, ""price"") / INDEX(GOOGLEFINANCE(C15, ""price"", EDATE(TODAY(), -3), TODAY()), 2, 2)) - 1, """")"),"")</f>
        <v/>
      </c>
      <c r="O15" s="21" t="str">
        <f>IFERROR(__xludf.DUMMYFUNCTION("IFERROR((GOOGLEFINANCE(C15, ""price"") / INDEX(GOOGLEFINANCE(C15, ""price"", EDATE(TODAY(), -6), TODAY()), 2, 2)) - 1, """")"),"")</f>
        <v/>
      </c>
      <c r="P15" s="21" t="str">
        <f>IFERROR(__xludf.DUMMYFUNCTION("IFERROR((GOOGLEFINANCE(C15, ""price"") / INDEX(GOOGLEFINANCE(C15, ""price"", EDATE(TODAY(), -12), TODAY()), 2, 2)) - 1, """")"),"")</f>
        <v/>
      </c>
      <c r="Q15" s="6" t="str">
        <f>IFERROR(__xludf.DUMMYFUNCTION("AVERAGE(QUERY(GOOGLEFINANCE(C15, ""price"", TODAY()-80, TODAY()), ""SELECT Col2 WHERE Col2 IS NOT NULL ORDER BY Col1 DESC LIMIT 50"", 0))"),"#N/A")</f>
        <v>#N/A</v>
      </c>
      <c r="R15" s="24" t="str">
        <f>IFERROR(__xludf.DUMMYFUNCTION("IFERROR(
  LET(
    data, QUERY(GOOGLEFINANCE(C15,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GOOGLEFINANCE(C15, ""price"")) * 100,
    IF(calc=0, G15, calc)
  ), 
G15)"),"#N/A")</f>
        <v>#N/A</v>
      </c>
      <c r="S15" s="8" t="s">
        <v>15</v>
      </c>
      <c r="T15" s="26" t="str">
        <f>IFERROR(__xludf.DUMMYFUNCTION("IFERROR(TRANSPOSE(QUERY(IFERROR(SORT(GOOGLEFINANCE(C15, ""price"", WORKDAY(TODAY(), -40), TODAY()), 1, FALSE)), ""select Col2 where Col2 is not null limit 22 label Col2 ''"", 0)), """")"),"")</f>
        <v/>
      </c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8"/>
      <c r="AO15" s="28"/>
      <c r="AP15" s="29"/>
      <c r="AQ15" s="29" t="str">
        <f t="shared" ref="AQ15:BL15" si="18">T15/T$2</f>
        <v>#N/A</v>
      </c>
      <c r="AR15" s="29" t="str">
        <f t="shared" si="18"/>
        <v>#DIV/0!</v>
      </c>
      <c r="AS15" s="29" t="str">
        <f t="shared" si="18"/>
        <v>#DIV/0!</v>
      </c>
      <c r="AT15" s="29" t="str">
        <f t="shared" si="18"/>
        <v>#DIV/0!</v>
      </c>
      <c r="AU15" s="29" t="str">
        <f t="shared" si="18"/>
        <v>#DIV/0!</v>
      </c>
      <c r="AV15" s="29" t="str">
        <f t="shared" si="18"/>
        <v>#DIV/0!</v>
      </c>
      <c r="AW15" s="29" t="str">
        <f t="shared" si="18"/>
        <v>#DIV/0!</v>
      </c>
      <c r="AX15" s="29" t="str">
        <f t="shared" si="18"/>
        <v>#DIV/0!</v>
      </c>
      <c r="AY15" s="29" t="str">
        <f t="shared" si="18"/>
        <v>#DIV/0!</v>
      </c>
      <c r="AZ15" s="29" t="str">
        <f t="shared" si="18"/>
        <v>#DIV/0!</v>
      </c>
      <c r="BA15" s="29" t="str">
        <f t="shared" si="18"/>
        <v>#DIV/0!</v>
      </c>
      <c r="BB15" s="29" t="str">
        <f t="shared" si="18"/>
        <v>#DIV/0!</v>
      </c>
      <c r="BC15" s="29" t="str">
        <f t="shared" si="18"/>
        <v>#DIV/0!</v>
      </c>
      <c r="BD15" s="29" t="str">
        <f t="shared" si="18"/>
        <v>#DIV/0!</v>
      </c>
      <c r="BE15" s="29" t="str">
        <f t="shared" si="18"/>
        <v>#DIV/0!</v>
      </c>
      <c r="BF15" s="29" t="str">
        <f t="shared" si="18"/>
        <v>#DIV/0!</v>
      </c>
      <c r="BG15" s="29" t="str">
        <f t="shared" si="18"/>
        <v>#DIV/0!</v>
      </c>
      <c r="BH15" s="29" t="str">
        <f t="shared" si="18"/>
        <v>#DIV/0!</v>
      </c>
      <c r="BI15" s="29" t="str">
        <f t="shared" si="18"/>
        <v>#DIV/0!</v>
      </c>
      <c r="BJ15" s="29" t="str">
        <f t="shared" si="18"/>
        <v>#DIV/0!</v>
      </c>
      <c r="BK15" s="29" t="str">
        <f t="shared" si="18"/>
        <v>#DIV/0!</v>
      </c>
      <c r="BL15" s="29" t="str">
        <f t="shared" si="18"/>
        <v>#DIV/0!</v>
      </c>
      <c r="BM15" s="29" t="str">
        <f t="shared" si="3"/>
        <v>#DIV/0!</v>
      </c>
    </row>
    <row r="16">
      <c r="A16" s="16" t="str">
        <f>IFERROR(__xludf.DUMMYFUNCTION("IFERROR(SPARKLINE(SORT(MAP(TRANSPOSE(AQ16:BL16), LAMBDA(val, IF(ISNUMBER(val), PERCENTRANK(AQ16:BL16, val)+0.01, 0))), SEQUENCE(COLUMNS(AQ16:BL16)), FALSE), {""charttype"",""column""; ""color"",""chartreuse""; ""ymin"", 0; ""ymax"", 1.01; ""highcolor"", "&amp;"""darkgreen""; ""lowcolor"", ""red""}), """")"),"")</f>
        <v/>
      </c>
      <c r="B16" s="17" t="str">
        <f t="shared" si="4"/>
        <v/>
      </c>
      <c r="C16" s="1" t="s">
        <v>112</v>
      </c>
      <c r="D16" s="30" t="str">
        <f>IFERROR(__xludf.DUMMYFUNCTION("IFERROR(GOOGLEFINANCE(C16, ""NAME""))"),"Wix.Com Ltd")</f>
        <v>Wix.Com Ltd</v>
      </c>
      <c r="E16" s="30" t="s">
        <v>58</v>
      </c>
      <c r="F16" s="33" t="str">
        <f>IFERROR(__xludf.DUMMYFUNCTION("( (GOOGLEFINANCE(C16, ""price"") - Q16) / Q16 ) / (R16 / 100)"),"Loading...")</f>
        <v>Loading...</v>
      </c>
      <c r="G16" s="20" t="str">
        <f>IFERROR(__xludf.DUMMYFUNCTION("AVERAGE(ARRAYFORMULA(100 * (QUERY(GOOGLEFINANCE(C16, ""high"", TODAY()-40, TODAY()), ""SELECT Col2 WHERE Col2 IS NOT NULL ORDER BY Col1 DESC LIMIT 20"", 0) / QUERY(GOOGLEFINANCE(C16, ""low"", TODAY()-40, TODAY()), ""SELECT Col2 WHERE Col2 IS NOT NULL ORDE"&amp;"R BY Col1 DESC LIMIT 20"", 0) - 1)))"),"#N/A")</f>
        <v>#N/A</v>
      </c>
      <c r="H16" s="35" t="str">
        <f t="shared" si="6"/>
        <v/>
      </c>
      <c r="I16" s="36" t="str">
        <f t="shared" si="7"/>
        <v/>
      </c>
      <c r="J16" s="37" t="str">
        <f>IFERROR(__xludf.DUMMYFUNCTION("IFERROR(
  IF(C16="""",, 
    IFERROR(
      GOOGLEFINANCE(C16, ""price"") * GOOGLEFINANCE(C16, ""volumeavg""), 
      GOOGLEFINANCE(C16, ""price"") * AVERAGE(QUERY(GOOGLEFINANCE(C16, ""volume"", TODAY()-40, TODAY()), ""SELECT Col2 WHERE Col2 IS NOT NULL "&amp;"ORDER BY Col1 DESC LIMIT 20"", 0))
    )
  ), 
"""")"),"")</f>
        <v/>
      </c>
      <c r="K16" s="21" t="str">
        <f>IFERROR(__xludf.DUMMYFUNCTION("IFERROR(GOOGLEFINANCE(C16, ""changepct"") / 100, """")"),"")</f>
        <v/>
      </c>
      <c r="L16" s="21" t="str">
        <f>IFERROR(__xludf.DUMMYFUNCTION("IFERROR((GOOGLEFINANCE(C16, ""price"") / INDEX(GOOGLEFINANCE(C16, ""price"", TODAY()-7, TODAY()), 2, 2)) - 1, """")"),"")</f>
        <v/>
      </c>
      <c r="M16" s="21" t="str">
        <f>IFERROR(__xludf.DUMMYFUNCTION("IFERROR((GOOGLEFINANCE(C16, ""price"") / INDEX(GOOGLEFINANCE(C16, ""price"", EDATE(TODAY(), -1), TODAY()), 2, 2)) - 1, """")"),"")</f>
        <v/>
      </c>
      <c r="N16" s="21" t="str">
        <f>IFERROR(__xludf.DUMMYFUNCTION("IFERROR((GOOGLEFINANCE(C16, ""price"") / INDEX(GOOGLEFINANCE(C16, ""price"", EDATE(TODAY(), -3), TODAY()), 2, 2)) - 1, """")"),"")</f>
        <v/>
      </c>
      <c r="O16" s="21" t="str">
        <f>IFERROR(__xludf.DUMMYFUNCTION("IFERROR((GOOGLEFINANCE(C16, ""price"") / INDEX(GOOGLEFINANCE(C16, ""price"", EDATE(TODAY(), -6), TODAY()), 2, 2)) - 1, """")"),"")</f>
        <v/>
      </c>
      <c r="P16" s="21" t="str">
        <f>IFERROR(__xludf.DUMMYFUNCTION("IFERROR((GOOGLEFINANCE(C16, ""price"") / INDEX(GOOGLEFINANCE(C16, ""price"", EDATE(TODAY(), -12), TODAY()), 2, 2)) - 1, """")"),"")</f>
        <v/>
      </c>
      <c r="Q16" s="6" t="str">
        <f>IFERROR(__xludf.DUMMYFUNCTION("AVERAGE(QUERY(GOOGLEFINANCE(C16, ""price"", TODAY()-80, TODAY()), ""SELECT Col2 WHERE Col2 IS NOT NULL ORDER BY Col1 DESC LIMIT 50"", 0))"),"#N/A")</f>
        <v>#N/A</v>
      </c>
      <c r="R16" s="24" t="str">
        <f>IFERROR(__xludf.DUMMYFUNCTION("IFERROR(
  LET(
    data, QUERY(GOOGLEFINANCE(C16,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GOOGLEFINANCE(C16, ""price"")) * 100,
    IF(calc=0, G16, calc)
  ), 
G16)"),"#N/A")</f>
        <v>#N/A</v>
      </c>
      <c r="S16" s="8" t="s">
        <v>15</v>
      </c>
      <c r="T16" s="26" t="str">
        <f>IFERROR(__xludf.DUMMYFUNCTION("IFERROR(TRANSPOSE(QUERY(IFERROR(SORT(GOOGLEFINANCE(C16, ""price"", WORKDAY(TODAY(), -40), TODAY()), 1, FALSE)), ""select Col2 where Col2 is not null limit 22 label Col2 ''"", 0)), """")"),"")</f>
        <v/>
      </c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8"/>
      <c r="AO16" s="28"/>
      <c r="AP16" s="29"/>
      <c r="AQ16" s="29" t="str">
        <f t="shared" ref="AQ16:BL16" si="19">T16/T$2</f>
        <v>#N/A</v>
      </c>
      <c r="AR16" s="29" t="str">
        <f t="shared" si="19"/>
        <v>#DIV/0!</v>
      </c>
      <c r="AS16" s="29" t="str">
        <f t="shared" si="19"/>
        <v>#DIV/0!</v>
      </c>
      <c r="AT16" s="29" t="str">
        <f t="shared" si="19"/>
        <v>#DIV/0!</v>
      </c>
      <c r="AU16" s="29" t="str">
        <f t="shared" si="19"/>
        <v>#DIV/0!</v>
      </c>
      <c r="AV16" s="29" t="str">
        <f t="shared" si="19"/>
        <v>#DIV/0!</v>
      </c>
      <c r="AW16" s="29" t="str">
        <f t="shared" si="19"/>
        <v>#DIV/0!</v>
      </c>
      <c r="AX16" s="29" t="str">
        <f t="shared" si="19"/>
        <v>#DIV/0!</v>
      </c>
      <c r="AY16" s="29" t="str">
        <f t="shared" si="19"/>
        <v>#DIV/0!</v>
      </c>
      <c r="AZ16" s="29" t="str">
        <f t="shared" si="19"/>
        <v>#DIV/0!</v>
      </c>
      <c r="BA16" s="29" t="str">
        <f t="shared" si="19"/>
        <v>#DIV/0!</v>
      </c>
      <c r="BB16" s="29" t="str">
        <f t="shared" si="19"/>
        <v>#DIV/0!</v>
      </c>
      <c r="BC16" s="29" t="str">
        <f t="shared" si="19"/>
        <v>#DIV/0!</v>
      </c>
      <c r="BD16" s="29" t="str">
        <f t="shared" si="19"/>
        <v>#DIV/0!</v>
      </c>
      <c r="BE16" s="29" t="str">
        <f t="shared" si="19"/>
        <v>#DIV/0!</v>
      </c>
      <c r="BF16" s="29" t="str">
        <f t="shared" si="19"/>
        <v>#DIV/0!</v>
      </c>
      <c r="BG16" s="29" t="str">
        <f t="shared" si="19"/>
        <v>#DIV/0!</v>
      </c>
      <c r="BH16" s="29" t="str">
        <f t="shared" si="19"/>
        <v>#DIV/0!</v>
      </c>
      <c r="BI16" s="29" t="str">
        <f t="shared" si="19"/>
        <v>#DIV/0!</v>
      </c>
      <c r="BJ16" s="29" t="str">
        <f t="shared" si="19"/>
        <v>#DIV/0!</v>
      </c>
      <c r="BK16" s="29" t="str">
        <f t="shared" si="19"/>
        <v>#DIV/0!</v>
      </c>
      <c r="BL16" s="29" t="str">
        <f t="shared" si="19"/>
        <v>#DIV/0!</v>
      </c>
      <c r="BM16" s="29" t="str">
        <f t="shared" si="3"/>
        <v>#DIV/0!</v>
      </c>
    </row>
    <row r="17">
      <c r="A17" s="16" t="str">
        <f>IFERROR(__xludf.DUMMYFUNCTION("IFERROR(SPARKLINE(SORT(MAP(TRANSPOSE(AQ17:BL17), LAMBDA(val, IF(ISNUMBER(val), PERCENTRANK(AQ17:BL17, val)+0.01, 0))), SEQUENCE(COLUMNS(AQ17:BL17)), FALSE), {""charttype"",""column""; ""color"",""chartreuse""; ""ymin"", 0; ""ymax"", 1.01; ""highcolor"", "&amp;"""darkgreen""; ""lowcolor"", ""red""}), """")"),"")</f>
        <v/>
      </c>
      <c r="B17" s="17" t="str">
        <f t="shared" si="4"/>
        <v/>
      </c>
      <c r="C17" s="1" t="s">
        <v>117</v>
      </c>
      <c r="D17" s="30" t="str">
        <f>IFERROR(__xludf.DUMMYFUNCTION("IFERROR(GOOGLEFINANCE(C17, ""NAME""))"),"HubSpot Inc")</f>
        <v>HubSpot Inc</v>
      </c>
      <c r="E17" s="30" t="s">
        <v>48</v>
      </c>
      <c r="F17" s="33" t="str">
        <f>IFERROR(__xludf.DUMMYFUNCTION("( (GOOGLEFINANCE(C17, ""price"") - Q17) / Q17 ) / (R17 / 100)"),"Loading...")</f>
        <v>Loading...</v>
      </c>
      <c r="G17" s="20" t="str">
        <f>IFERROR(__xludf.DUMMYFUNCTION("AVERAGE(ARRAYFORMULA(100 * (QUERY(GOOGLEFINANCE(C17, ""high"", TODAY()-40, TODAY()), ""SELECT Col2 WHERE Col2 IS NOT NULL ORDER BY Col1 DESC LIMIT 20"", 0) / QUERY(GOOGLEFINANCE(C17, ""low"", TODAY()-40, TODAY()), ""SELECT Col2 WHERE Col2 IS NOT NULL ORDE"&amp;"R BY Col1 DESC LIMIT 20"", 0) - 1)))"),"#N/A")</f>
        <v>#N/A</v>
      </c>
      <c r="H17" s="35" t="str">
        <f t="shared" si="6"/>
        <v/>
      </c>
      <c r="I17" s="36" t="str">
        <f t="shared" si="7"/>
        <v/>
      </c>
      <c r="J17" s="37" t="str">
        <f>IFERROR(__xludf.DUMMYFUNCTION("IFERROR(
  IF(C17="""",, 
    IFERROR(
      GOOGLEFINANCE(C17, ""price"") * GOOGLEFINANCE(C17, ""volumeavg""), 
      GOOGLEFINANCE(C17, ""price"") * AVERAGE(QUERY(GOOGLEFINANCE(C17, ""volume"", TODAY()-40, TODAY()), ""SELECT Col2 WHERE Col2 IS NOT NULL "&amp;"ORDER BY Col1 DESC LIMIT 20"", 0))
    )
  ), 
"""")"),"")</f>
        <v/>
      </c>
      <c r="K17" s="21" t="str">
        <f>IFERROR(__xludf.DUMMYFUNCTION("IFERROR(GOOGLEFINANCE(C17, ""changepct"") / 100, """")"),"")</f>
        <v/>
      </c>
      <c r="L17" s="21" t="str">
        <f>IFERROR(__xludf.DUMMYFUNCTION("IFERROR((GOOGLEFINANCE(C17, ""price"") / INDEX(GOOGLEFINANCE(C17, ""price"", TODAY()-7, TODAY()), 2, 2)) - 1, """")"),"")</f>
        <v/>
      </c>
      <c r="M17" s="21" t="str">
        <f>IFERROR(__xludf.DUMMYFUNCTION("IFERROR((GOOGLEFINANCE(C17, ""price"") / INDEX(GOOGLEFINANCE(C17, ""price"", EDATE(TODAY(), -1), TODAY()), 2, 2)) - 1, """")"),"")</f>
        <v/>
      </c>
      <c r="N17" s="21" t="str">
        <f>IFERROR(__xludf.DUMMYFUNCTION("IFERROR((GOOGLEFINANCE(C17, ""price"") / INDEX(GOOGLEFINANCE(C17, ""price"", EDATE(TODAY(), -3), TODAY()), 2, 2)) - 1, """")"),"")</f>
        <v/>
      </c>
      <c r="O17" s="21" t="str">
        <f>IFERROR(__xludf.DUMMYFUNCTION("IFERROR((GOOGLEFINANCE(C17, ""price"") / INDEX(GOOGLEFINANCE(C17, ""price"", EDATE(TODAY(), -6), TODAY()), 2, 2)) - 1, """")"),"")</f>
        <v/>
      </c>
      <c r="P17" s="21" t="str">
        <f>IFERROR(__xludf.DUMMYFUNCTION("IFERROR((GOOGLEFINANCE(C17, ""price"") / INDEX(GOOGLEFINANCE(C17, ""price"", EDATE(TODAY(), -12), TODAY()), 2, 2)) - 1, """")"),"")</f>
        <v/>
      </c>
      <c r="Q17" s="6" t="str">
        <f>IFERROR(__xludf.DUMMYFUNCTION("AVERAGE(QUERY(GOOGLEFINANCE(C17, ""price"", TODAY()-80, TODAY()), ""SELECT Col2 WHERE Col2 IS NOT NULL ORDER BY Col1 DESC LIMIT 50"", 0))"),"#N/A")</f>
        <v>#N/A</v>
      </c>
      <c r="R17" s="24" t="str">
        <f>IFERROR(__xludf.DUMMYFUNCTION("IFERROR(
  LET(
    data, QUERY(GOOGLEFINANCE(C17,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GOOGLEFINANCE(C17, ""price"")) * 100,
    IF(calc=0, G17, calc)
  ), 
G17)"),"#N/A")</f>
        <v>#N/A</v>
      </c>
      <c r="S17" s="8" t="s">
        <v>15</v>
      </c>
      <c r="T17" s="26" t="str">
        <f>IFERROR(__xludf.DUMMYFUNCTION("IFERROR(TRANSPOSE(QUERY(IFERROR(SORT(GOOGLEFINANCE(C17, ""price"", WORKDAY(TODAY(), -40), TODAY()), 1, FALSE)), ""select Col2 where Col2 is not null limit 22 label Col2 ''"", 0)), """")"),"")</f>
        <v/>
      </c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8"/>
      <c r="AO17" s="28"/>
      <c r="AP17" s="29"/>
      <c r="AQ17" s="29" t="str">
        <f t="shared" ref="AQ17:BL17" si="20">T17/T$2</f>
        <v>#N/A</v>
      </c>
      <c r="AR17" s="29" t="str">
        <f t="shared" si="20"/>
        <v>#DIV/0!</v>
      </c>
      <c r="AS17" s="29" t="str">
        <f t="shared" si="20"/>
        <v>#DIV/0!</v>
      </c>
      <c r="AT17" s="29" t="str">
        <f t="shared" si="20"/>
        <v>#DIV/0!</v>
      </c>
      <c r="AU17" s="29" t="str">
        <f t="shared" si="20"/>
        <v>#DIV/0!</v>
      </c>
      <c r="AV17" s="29" t="str">
        <f t="shared" si="20"/>
        <v>#DIV/0!</v>
      </c>
      <c r="AW17" s="29" t="str">
        <f t="shared" si="20"/>
        <v>#DIV/0!</v>
      </c>
      <c r="AX17" s="29" t="str">
        <f t="shared" si="20"/>
        <v>#DIV/0!</v>
      </c>
      <c r="AY17" s="29" t="str">
        <f t="shared" si="20"/>
        <v>#DIV/0!</v>
      </c>
      <c r="AZ17" s="29" t="str">
        <f t="shared" si="20"/>
        <v>#DIV/0!</v>
      </c>
      <c r="BA17" s="29" t="str">
        <f t="shared" si="20"/>
        <v>#DIV/0!</v>
      </c>
      <c r="BB17" s="29" t="str">
        <f t="shared" si="20"/>
        <v>#DIV/0!</v>
      </c>
      <c r="BC17" s="29" t="str">
        <f t="shared" si="20"/>
        <v>#DIV/0!</v>
      </c>
      <c r="BD17" s="29" t="str">
        <f t="shared" si="20"/>
        <v>#DIV/0!</v>
      </c>
      <c r="BE17" s="29" t="str">
        <f t="shared" si="20"/>
        <v>#DIV/0!</v>
      </c>
      <c r="BF17" s="29" t="str">
        <f t="shared" si="20"/>
        <v>#DIV/0!</v>
      </c>
      <c r="BG17" s="29" t="str">
        <f t="shared" si="20"/>
        <v>#DIV/0!</v>
      </c>
      <c r="BH17" s="29" t="str">
        <f t="shared" si="20"/>
        <v>#DIV/0!</v>
      </c>
      <c r="BI17" s="29" t="str">
        <f t="shared" si="20"/>
        <v>#DIV/0!</v>
      </c>
      <c r="BJ17" s="29" t="str">
        <f t="shared" si="20"/>
        <v>#DIV/0!</v>
      </c>
      <c r="BK17" s="29" t="str">
        <f t="shared" si="20"/>
        <v>#DIV/0!</v>
      </c>
      <c r="BL17" s="29" t="str">
        <f t="shared" si="20"/>
        <v>#DIV/0!</v>
      </c>
      <c r="BM17" s="29" t="str">
        <f t="shared" si="3"/>
        <v>#DIV/0!</v>
      </c>
    </row>
    <row r="18">
      <c r="A18" s="16" t="str">
        <f>IFERROR(__xludf.DUMMYFUNCTION("IFERROR(SPARKLINE(SORT(MAP(TRANSPOSE(AQ18:BL18), LAMBDA(val, IF(ISNUMBER(val), PERCENTRANK(AQ18:BL18, val)+0.01, 0))), SEQUENCE(COLUMNS(AQ18:BL18)), FALSE), {""charttype"",""column""; ""color"",""chartreuse""; ""ymin"", 0; ""ymax"", 1.01; ""highcolor"", "&amp;"""darkgreen""; ""lowcolor"", ""red""}), """")"),"")</f>
        <v/>
      </c>
      <c r="B18" s="17" t="str">
        <f t="shared" si="4"/>
        <v/>
      </c>
      <c r="C18" s="1" t="s">
        <v>122</v>
      </c>
      <c r="D18" s="30" t="str">
        <f>IFERROR(__xludf.DUMMYFUNCTION("IFERROR(GOOGLEFINANCE(C18, ""NAME""))"),"Fiserv Inc")</f>
        <v>Fiserv Inc</v>
      </c>
      <c r="E18" s="30" t="s">
        <v>102</v>
      </c>
      <c r="F18" s="33" t="str">
        <f>IFERROR(__xludf.DUMMYFUNCTION("( (GOOGLEFINANCE(C18, ""price"") - Q18) / Q18 ) / (R18 / 100)"),"Loading...")</f>
        <v>Loading...</v>
      </c>
      <c r="G18" s="20" t="str">
        <f>IFERROR(__xludf.DUMMYFUNCTION("AVERAGE(ARRAYFORMULA(100 * (QUERY(GOOGLEFINANCE(C18, ""high"", TODAY()-40, TODAY()), ""SELECT Col2 WHERE Col2 IS NOT NULL ORDER BY Col1 DESC LIMIT 20"", 0) / QUERY(GOOGLEFINANCE(C18, ""low"", TODAY()-40, TODAY()), ""SELECT Col2 WHERE Col2 IS NOT NULL ORDE"&amp;"R BY Col1 DESC LIMIT 20"", 0) - 1)))"),"#N/A")</f>
        <v>#N/A</v>
      </c>
      <c r="H18" s="35" t="str">
        <f t="shared" si="6"/>
        <v/>
      </c>
      <c r="I18" s="36" t="str">
        <f t="shared" si="7"/>
        <v/>
      </c>
      <c r="J18" s="37" t="str">
        <f>IFERROR(__xludf.DUMMYFUNCTION("IFERROR(
  IF(C18="""",, 
    IFERROR(
      GOOGLEFINANCE(C18, ""price"") * GOOGLEFINANCE(C18, ""volumeavg""), 
      GOOGLEFINANCE(C18, ""price"") * AVERAGE(QUERY(GOOGLEFINANCE(C18, ""volume"", TODAY()-40, TODAY()), ""SELECT Col2 WHERE Col2 IS NOT NULL "&amp;"ORDER BY Col1 DESC LIMIT 20"", 0))
    )
  ), 
"""")"),"")</f>
        <v/>
      </c>
      <c r="K18" s="21" t="str">
        <f>IFERROR(__xludf.DUMMYFUNCTION("IFERROR(GOOGLEFINANCE(C18, ""changepct"") / 100, """")"),"")</f>
        <v/>
      </c>
      <c r="L18" s="21" t="str">
        <f>IFERROR(__xludf.DUMMYFUNCTION("IFERROR((GOOGLEFINANCE(C18, ""price"") / INDEX(GOOGLEFINANCE(C18, ""price"", TODAY()-7, TODAY()), 2, 2)) - 1, """")"),"")</f>
        <v/>
      </c>
      <c r="M18" s="21" t="str">
        <f>IFERROR(__xludf.DUMMYFUNCTION("IFERROR((GOOGLEFINANCE(C18, ""price"") / INDEX(GOOGLEFINANCE(C18, ""price"", EDATE(TODAY(), -1), TODAY()), 2, 2)) - 1, """")"),"")</f>
        <v/>
      </c>
      <c r="N18" s="21" t="str">
        <f>IFERROR(__xludf.DUMMYFUNCTION("IFERROR((GOOGLEFINANCE(C18, ""price"") / INDEX(GOOGLEFINANCE(C18, ""price"", EDATE(TODAY(), -3), TODAY()), 2, 2)) - 1, """")"),"")</f>
        <v/>
      </c>
      <c r="O18" s="21" t="str">
        <f>IFERROR(__xludf.DUMMYFUNCTION("IFERROR((GOOGLEFINANCE(C18, ""price"") / INDEX(GOOGLEFINANCE(C18, ""price"", EDATE(TODAY(), -6), TODAY()), 2, 2)) - 1, """")"),"")</f>
        <v/>
      </c>
      <c r="P18" s="21" t="str">
        <f>IFERROR(__xludf.DUMMYFUNCTION("IFERROR((GOOGLEFINANCE(C18, ""price"") / INDEX(GOOGLEFINANCE(C18, ""price"", EDATE(TODAY(), -12), TODAY()), 2, 2)) - 1, """")"),"")</f>
        <v/>
      </c>
      <c r="Q18" s="6" t="str">
        <f>IFERROR(__xludf.DUMMYFUNCTION("AVERAGE(QUERY(GOOGLEFINANCE(C18, ""price"", TODAY()-80, TODAY()), ""SELECT Col2 WHERE Col2 IS NOT NULL ORDER BY Col1 DESC LIMIT 50"", 0))"),"#N/A")</f>
        <v>#N/A</v>
      </c>
      <c r="R18" s="24" t="str">
        <f>IFERROR(__xludf.DUMMYFUNCTION("IFERROR(
  LET(
    data, QUERY(GOOGLEFINANCE(C18,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GOOGLEFINANCE(C18, ""price"")) * 100,
    IF(calc=0, G18, calc)
  ), 
G18)"),"#N/A")</f>
        <v>#N/A</v>
      </c>
      <c r="S18" s="8" t="s">
        <v>15</v>
      </c>
      <c r="T18" s="26" t="str">
        <f>IFERROR(__xludf.DUMMYFUNCTION("IFERROR(TRANSPOSE(QUERY(IFERROR(SORT(GOOGLEFINANCE(C18, ""price"", WORKDAY(TODAY(), -40), TODAY()), 1, FALSE)), ""select Col2 where Col2 is not null limit 22 label Col2 ''"", 0)), """")"),"")</f>
        <v/>
      </c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8"/>
      <c r="AO18" s="28"/>
      <c r="AP18" s="29"/>
      <c r="AQ18" s="29" t="str">
        <f t="shared" ref="AQ18:BL18" si="21">T18/T$2</f>
        <v>#N/A</v>
      </c>
      <c r="AR18" s="29" t="str">
        <f t="shared" si="21"/>
        <v>#DIV/0!</v>
      </c>
      <c r="AS18" s="29" t="str">
        <f t="shared" si="21"/>
        <v>#DIV/0!</v>
      </c>
      <c r="AT18" s="29" t="str">
        <f t="shared" si="21"/>
        <v>#DIV/0!</v>
      </c>
      <c r="AU18" s="29" t="str">
        <f t="shared" si="21"/>
        <v>#DIV/0!</v>
      </c>
      <c r="AV18" s="29" t="str">
        <f t="shared" si="21"/>
        <v>#DIV/0!</v>
      </c>
      <c r="AW18" s="29" t="str">
        <f t="shared" si="21"/>
        <v>#DIV/0!</v>
      </c>
      <c r="AX18" s="29" t="str">
        <f t="shared" si="21"/>
        <v>#DIV/0!</v>
      </c>
      <c r="AY18" s="29" t="str">
        <f t="shared" si="21"/>
        <v>#DIV/0!</v>
      </c>
      <c r="AZ18" s="29" t="str">
        <f t="shared" si="21"/>
        <v>#DIV/0!</v>
      </c>
      <c r="BA18" s="29" t="str">
        <f t="shared" si="21"/>
        <v>#DIV/0!</v>
      </c>
      <c r="BB18" s="29" t="str">
        <f t="shared" si="21"/>
        <v>#DIV/0!</v>
      </c>
      <c r="BC18" s="29" t="str">
        <f t="shared" si="21"/>
        <v>#DIV/0!</v>
      </c>
      <c r="BD18" s="29" t="str">
        <f t="shared" si="21"/>
        <v>#DIV/0!</v>
      </c>
      <c r="BE18" s="29" t="str">
        <f t="shared" si="21"/>
        <v>#DIV/0!</v>
      </c>
      <c r="BF18" s="29" t="str">
        <f t="shared" si="21"/>
        <v>#DIV/0!</v>
      </c>
      <c r="BG18" s="29" t="str">
        <f t="shared" si="21"/>
        <v>#DIV/0!</v>
      </c>
      <c r="BH18" s="29" t="str">
        <f t="shared" si="21"/>
        <v>#DIV/0!</v>
      </c>
      <c r="BI18" s="29" t="str">
        <f t="shared" si="21"/>
        <v>#DIV/0!</v>
      </c>
      <c r="BJ18" s="29" t="str">
        <f t="shared" si="21"/>
        <v>#DIV/0!</v>
      </c>
      <c r="BK18" s="29" t="str">
        <f t="shared" si="21"/>
        <v>#DIV/0!</v>
      </c>
      <c r="BL18" s="29" t="str">
        <f t="shared" si="21"/>
        <v>#DIV/0!</v>
      </c>
      <c r="BM18" s="29" t="str">
        <f t="shared" si="3"/>
        <v>#DIV/0!</v>
      </c>
    </row>
    <row r="19">
      <c r="A19" s="16" t="str">
        <f>IFERROR(__xludf.DUMMYFUNCTION("IFERROR(SPARKLINE(SORT(MAP(TRANSPOSE(AQ19:BL19), LAMBDA(val, IF(ISNUMBER(val), PERCENTRANK(AQ19:BL19, val)+0.01, 0))), SEQUENCE(COLUMNS(AQ19:BL19)), FALSE), {""charttype"",""column""; ""color"",""chartreuse""; ""ymin"", 0; ""ymax"", 1.01; ""highcolor"", "&amp;"""darkgreen""; ""lowcolor"", ""red""}), """")"),"")</f>
        <v/>
      </c>
      <c r="B19" s="17" t="str">
        <f t="shared" si="4"/>
        <v/>
      </c>
      <c r="C19" s="1" t="s">
        <v>127</v>
      </c>
      <c r="D19" s="30" t="str">
        <f>IFERROR(__xludf.DUMMYFUNCTION("IFERROR(GOOGLEFINANCE(C19, ""NAME""))"),"Klarna Group PLC")</f>
        <v>Klarna Group PLC</v>
      </c>
      <c r="E19" s="30" t="s">
        <v>58</v>
      </c>
      <c r="F19" s="33" t="str">
        <f>IFERROR(__xludf.DUMMYFUNCTION("( (GOOGLEFINANCE(C19, ""price"") - Q19) / Q19 ) / (R19 / 100)"),"Loading...")</f>
        <v>Loading...</v>
      </c>
      <c r="G19" s="20" t="str">
        <f>IFERROR(__xludf.DUMMYFUNCTION("AVERAGE(ARRAYFORMULA(100 * (QUERY(GOOGLEFINANCE(C19, ""high"", TODAY()-40, TODAY()), ""SELECT Col2 WHERE Col2 IS NOT NULL ORDER BY Col1 DESC LIMIT 20"", 0) / QUERY(GOOGLEFINANCE(C19, ""low"", TODAY()-40, TODAY()), ""SELECT Col2 WHERE Col2 IS NOT NULL ORDE"&amp;"R BY Col1 DESC LIMIT 20"", 0) - 1)))"),"#N/A")</f>
        <v>#N/A</v>
      </c>
      <c r="H19" s="35" t="str">
        <f t="shared" si="6"/>
        <v/>
      </c>
      <c r="I19" s="36" t="str">
        <f t="shared" si="7"/>
        <v/>
      </c>
      <c r="J19" s="37" t="str">
        <f>IFERROR(__xludf.DUMMYFUNCTION("IFERROR(
  IF(C19="""",, 
    IFERROR(
      GOOGLEFINANCE(C19, ""price"") * GOOGLEFINANCE(C19, ""volumeavg""), 
      GOOGLEFINANCE(C19, ""price"") * AVERAGE(QUERY(GOOGLEFINANCE(C19, ""volume"", TODAY()-40, TODAY()), ""SELECT Col2 WHERE Col2 IS NOT NULL "&amp;"ORDER BY Col1 DESC LIMIT 20"", 0))
    )
  ), 
"""")"),"")</f>
        <v/>
      </c>
      <c r="K19" s="21" t="str">
        <f>IFERROR(__xludf.DUMMYFUNCTION("IFERROR(GOOGLEFINANCE(C19, ""changepct"") / 100, """")"),"")</f>
        <v/>
      </c>
      <c r="L19" s="21" t="str">
        <f>IFERROR(__xludf.DUMMYFUNCTION("IFERROR((GOOGLEFINANCE(C19, ""price"") / INDEX(GOOGLEFINANCE(C19, ""price"", TODAY()-7, TODAY()), 2, 2)) - 1, """")"),"")</f>
        <v/>
      </c>
      <c r="M19" s="21" t="str">
        <f>IFERROR(__xludf.DUMMYFUNCTION("IFERROR((GOOGLEFINANCE(C19, ""price"") / INDEX(GOOGLEFINANCE(C19, ""price"", EDATE(TODAY(), -1), TODAY()), 2, 2)) - 1, """")"),"")</f>
        <v/>
      </c>
      <c r="N19" s="21" t="str">
        <f>IFERROR(__xludf.DUMMYFUNCTION("IFERROR((GOOGLEFINANCE(C19, ""price"") / INDEX(GOOGLEFINANCE(C19, ""price"", EDATE(TODAY(), -3), TODAY()), 2, 2)) - 1, """")"),"")</f>
        <v/>
      </c>
      <c r="O19" s="21" t="str">
        <f>IFERROR(__xludf.DUMMYFUNCTION("IFERROR((GOOGLEFINANCE(C19, ""price"") / INDEX(GOOGLEFINANCE(C19, ""price"", EDATE(TODAY(), -6), TODAY()), 2, 2)) - 1, """")"),"")</f>
        <v/>
      </c>
      <c r="P19" s="21" t="str">
        <f>IFERROR(__xludf.DUMMYFUNCTION("IFERROR((GOOGLEFINANCE(C19, ""price"") / INDEX(GOOGLEFINANCE(C19, ""price"", EDATE(TODAY(), -12), TODAY()), 2, 2)) - 1, """")"),"")</f>
        <v/>
      </c>
      <c r="Q19" s="6" t="str">
        <f>IFERROR(__xludf.DUMMYFUNCTION("AVERAGE(QUERY(GOOGLEFINANCE(C19, ""price"", TODAY()-80, TODAY()), ""SELECT Col2 WHERE Col2 IS NOT NULL ORDER BY Col1 DESC LIMIT 50"", 0))"),"#N/A")</f>
        <v>#N/A</v>
      </c>
      <c r="R19" s="24" t="str">
        <f>IFERROR(__xludf.DUMMYFUNCTION("IFERROR(
  LET(
    data, QUERY(GOOGLEFINANCE(C19,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GOOGLEFINANCE(C19, ""price"")) * 100,
    IF(calc=0, G19, calc)
  ), 
G19)"),"#N/A")</f>
        <v>#N/A</v>
      </c>
      <c r="S19" s="8" t="s">
        <v>15</v>
      </c>
      <c r="T19" s="26" t="str">
        <f>IFERROR(__xludf.DUMMYFUNCTION("IFERROR(TRANSPOSE(QUERY(IFERROR(SORT(GOOGLEFINANCE(C19, ""price"", WORKDAY(TODAY(), -40), TODAY()), 1, FALSE)), ""select Col2 where Col2 is not null limit 22 label Col2 ''"", 0)), """")"),"")</f>
        <v/>
      </c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8"/>
      <c r="AO19" s="28"/>
      <c r="AP19" s="29"/>
      <c r="AQ19" s="29" t="str">
        <f t="shared" ref="AQ19:BL19" si="22">T19/T$2</f>
        <v>#N/A</v>
      </c>
      <c r="AR19" s="29" t="str">
        <f t="shared" si="22"/>
        <v>#DIV/0!</v>
      </c>
      <c r="AS19" s="29" t="str">
        <f t="shared" si="22"/>
        <v>#DIV/0!</v>
      </c>
      <c r="AT19" s="29" t="str">
        <f t="shared" si="22"/>
        <v>#DIV/0!</v>
      </c>
      <c r="AU19" s="29" t="str">
        <f t="shared" si="22"/>
        <v>#DIV/0!</v>
      </c>
      <c r="AV19" s="29" t="str">
        <f t="shared" si="22"/>
        <v>#DIV/0!</v>
      </c>
      <c r="AW19" s="29" t="str">
        <f t="shared" si="22"/>
        <v>#DIV/0!</v>
      </c>
      <c r="AX19" s="29" t="str">
        <f t="shared" si="22"/>
        <v>#DIV/0!</v>
      </c>
      <c r="AY19" s="29" t="str">
        <f t="shared" si="22"/>
        <v>#DIV/0!</v>
      </c>
      <c r="AZ19" s="29" t="str">
        <f t="shared" si="22"/>
        <v>#DIV/0!</v>
      </c>
      <c r="BA19" s="29" t="str">
        <f t="shared" si="22"/>
        <v>#DIV/0!</v>
      </c>
      <c r="BB19" s="29" t="str">
        <f t="shared" si="22"/>
        <v>#DIV/0!</v>
      </c>
      <c r="BC19" s="29" t="str">
        <f t="shared" si="22"/>
        <v>#DIV/0!</v>
      </c>
      <c r="BD19" s="29" t="str">
        <f t="shared" si="22"/>
        <v>#DIV/0!</v>
      </c>
      <c r="BE19" s="29" t="str">
        <f t="shared" si="22"/>
        <v>#DIV/0!</v>
      </c>
      <c r="BF19" s="29" t="str">
        <f t="shared" si="22"/>
        <v>#DIV/0!</v>
      </c>
      <c r="BG19" s="29" t="str">
        <f t="shared" si="22"/>
        <v>#DIV/0!</v>
      </c>
      <c r="BH19" s="29" t="str">
        <f t="shared" si="22"/>
        <v>#DIV/0!</v>
      </c>
      <c r="BI19" s="29" t="str">
        <f t="shared" si="22"/>
        <v>#DIV/0!</v>
      </c>
      <c r="BJ19" s="29" t="str">
        <f t="shared" si="22"/>
        <v>#DIV/0!</v>
      </c>
      <c r="BK19" s="29" t="str">
        <f t="shared" si="22"/>
        <v>#DIV/0!</v>
      </c>
      <c r="BL19" s="29" t="str">
        <f t="shared" si="22"/>
        <v>#DIV/0!</v>
      </c>
      <c r="BM19" s="29" t="str">
        <f t="shared" si="3"/>
        <v>#DIV/0!</v>
      </c>
    </row>
    <row r="20">
      <c r="A20" s="16" t="str">
        <f>IFERROR(__xludf.DUMMYFUNCTION("IFERROR(SPARKLINE(SORT(MAP(TRANSPOSE(AQ20:BL20), LAMBDA(val, IF(ISNUMBER(val), PERCENTRANK(AQ20:BL20, val)+0.01, 0))), SEQUENCE(COLUMNS(AQ20:BL20)), FALSE), {""charttype"",""column""; ""color"",""chartreuse""; ""ymin"", 0; ""ymax"", 1.01; ""highcolor"", "&amp;"""darkgreen""; ""lowcolor"", ""red""}), """")"),"")</f>
        <v/>
      </c>
      <c r="B20" s="17" t="str">
        <f t="shared" si="4"/>
        <v/>
      </c>
      <c r="C20" s="1" t="s">
        <v>133</v>
      </c>
      <c r="D20" s="30" t="str">
        <f>IFERROR(__xludf.DUMMYFUNCTION("IFERROR(GOOGLEFINANCE(C20, ""NAME""))"),"Vertex Inc")</f>
        <v>Vertex Inc</v>
      </c>
      <c r="E20" s="30" t="s">
        <v>48</v>
      </c>
      <c r="F20" s="33" t="str">
        <f>IFERROR(__xludf.DUMMYFUNCTION("( (GOOGLEFINANCE(C20, ""price"") - Q20) / Q20 ) / (R20 / 100)"),"Loading...")</f>
        <v>Loading...</v>
      </c>
      <c r="G20" s="20" t="str">
        <f>IFERROR(__xludf.DUMMYFUNCTION("AVERAGE(ARRAYFORMULA(100 * (QUERY(GOOGLEFINANCE(C20, ""high"", TODAY()-40, TODAY()), ""SELECT Col2 WHERE Col2 IS NOT NULL ORDER BY Col1 DESC LIMIT 20"", 0) / QUERY(GOOGLEFINANCE(C20, ""low"", TODAY()-40, TODAY()), ""SELECT Col2 WHERE Col2 IS NOT NULL ORDE"&amp;"R BY Col1 DESC LIMIT 20"", 0) - 1)))"),"#N/A")</f>
        <v>#N/A</v>
      </c>
      <c r="H20" s="35" t="str">
        <f t="shared" si="6"/>
        <v/>
      </c>
      <c r="I20" s="36" t="str">
        <f t="shared" si="7"/>
        <v/>
      </c>
      <c r="J20" s="37" t="str">
        <f>IFERROR(__xludf.DUMMYFUNCTION("IFERROR(
  IF(C20="""",, 
    IFERROR(
      GOOGLEFINANCE(C20, ""price"") * GOOGLEFINANCE(C20, ""volumeavg""), 
      GOOGLEFINANCE(C20, ""price"") * AVERAGE(QUERY(GOOGLEFINANCE(C20, ""volume"", TODAY()-40, TODAY()), ""SELECT Col2 WHERE Col2 IS NOT NULL "&amp;"ORDER BY Col1 DESC LIMIT 20"", 0))
    )
  ), 
"""")"),"")</f>
        <v/>
      </c>
      <c r="K20" s="21" t="str">
        <f>IFERROR(__xludf.DUMMYFUNCTION("IFERROR(GOOGLEFINANCE(C20, ""changepct"") / 100, """")"),"")</f>
        <v/>
      </c>
      <c r="L20" s="21" t="str">
        <f>IFERROR(__xludf.DUMMYFUNCTION("IFERROR((GOOGLEFINANCE(C20, ""price"") / INDEX(GOOGLEFINANCE(C20, ""price"", TODAY()-7, TODAY()), 2, 2)) - 1, """")"),"")</f>
        <v/>
      </c>
      <c r="M20" s="21" t="str">
        <f>IFERROR(__xludf.DUMMYFUNCTION("IFERROR((GOOGLEFINANCE(C20, ""price"") / INDEX(GOOGLEFINANCE(C20, ""price"", EDATE(TODAY(), -1), TODAY()), 2, 2)) - 1, """")"),"")</f>
        <v/>
      </c>
      <c r="N20" s="21" t="str">
        <f>IFERROR(__xludf.DUMMYFUNCTION("IFERROR((GOOGLEFINANCE(C20, ""price"") / INDEX(GOOGLEFINANCE(C20, ""price"", EDATE(TODAY(), -3), TODAY()), 2, 2)) - 1, """")"),"")</f>
        <v/>
      </c>
      <c r="O20" s="21" t="str">
        <f>IFERROR(__xludf.DUMMYFUNCTION("IFERROR((GOOGLEFINANCE(C20, ""price"") / INDEX(GOOGLEFINANCE(C20, ""price"", EDATE(TODAY(), -6), TODAY()), 2, 2)) - 1, """")"),"")</f>
        <v/>
      </c>
      <c r="P20" s="21" t="str">
        <f>IFERROR(__xludf.DUMMYFUNCTION("IFERROR((GOOGLEFINANCE(C20, ""price"") / INDEX(GOOGLEFINANCE(C20, ""price"", EDATE(TODAY(), -12), TODAY()), 2, 2)) - 1, """")"),"")</f>
        <v/>
      </c>
      <c r="Q20" s="6" t="str">
        <f>IFERROR(__xludf.DUMMYFUNCTION("AVERAGE(QUERY(GOOGLEFINANCE(C20, ""price"", TODAY()-80, TODAY()), ""SELECT Col2 WHERE Col2 IS NOT NULL ORDER BY Col1 DESC LIMIT 50"", 0))"),"#N/A")</f>
        <v>#N/A</v>
      </c>
      <c r="R20" s="24" t="str">
        <f>IFERROR(__xludf.DUMMYFUNCTION("IFERROR(
  LET(
    data, QUERY(GOOGLEFINANCE(C20,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GOOGLEFINANCE(C20, ""price"")) * 100,
    IF(calc=0, G20, calc)
  ), 
G20)"),"#N/A")</f>
        <v>#N/A</v>
      </c>
      <c r="S20" s="8" t="s">
        <v>15</v>
      </c>
      <c r="T20" s="26" t="str">
        <f>IFERROR(__xludf.DUMMYFUNCTION("IFERROR(TRANSPOSE(QUERY(IFERROR(SORT(GOOGLEFINANCE(C20, ""price"", WORKDAY(TODAY(), -40), TODAY()), 1, FALSE)), ""select Col2 where Col2 is not null limit 22 label Col2 ''"", 0)), """")"),"")</f>
        <v/>
      </c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8"/>
      <c r="AO20" s="28"/>
      <c r="AP20" s="29"/>
      <c r="AQ20" s="29" t="str">
        <f t="shared" ref="AQ20:BL20" si="23">T20/T$2</f>
        <v>#N/A</v>
      </c>
      <c r="AR20" s="29" t="str">
        <f t="shared" si="23"/>
        <v>#DIV/0!</v>
      </c>
      <c r="AS20" s="29" t="str">
        <f t="shared" si="23"/>
        <v>#DIV/0!</v>
      </c>
      <c r="AT20" s="29" t="str">
        <f t="shared" si="23"/>
        <v>#DIV/0!</v>
      </c>
      <c r="AU20" s="29" t="str">
        <f t="shared" si="23"/>
        <v>#DIV/0!</v>
      </c>
      <c r="AV20" s="29" t="str">
        <f t="shared" si="23"/>
        <v>#DIV/0!</v>
      </c>
      <c r="AW20" s="29" t="str">
        <f t="shared" si="23"/>
        <v>#DIV/0!</v>
      </c>
      <c r="AX20" s="29" t="str">
        <f t="shared" si="23"/>
        <v>#DIV/0!</v>
      </c>
      <c r="AY20" s="29" t="str">
        <f t="shared" si="23"/>
        <v>#DIV/0!</v>
      </c>
      <c r="AZ20" s="29" t="str">
        <f t="shared" si="23"/>
        <v>#DIV/0!</v>
      </c>
      <c r="BA20" s="29" t="str">
        <f t="shared" si="23"/>
        <v>#DIV/0!</v>
      </c>
      <c r="BB20" s="29" t="str">
        <f t="shared" si="23"/>
        <v>#DIV/0!</v>
      </c>
      <c r="BC20" s="29" t="str">
        <f t="shared" si="23"/>
        <v>#DIV/0!</v>
      </c>
      <c r="BD20" s="29" t="str">
        <f t="shared" si="23"/>
        <v>#DIV/0!</v>
      </c>
      <c r="BE20" s="29" t="str">
        <f t="shared" si="23"/>
        <v>#DIV/0!</v>
      </c>
      <c r="BF20" s="29" t="str">
        <f t="shared" si="23"/>
        <v>#DIV/0!</v>
      </c>
      <c r="BG20" s="29" t="str">
        <f t="shared" si="23"/>
        <v>#DIV/0!</v>
      </c>
      <c r="BH20" s="29" t="str">
        <f t="shared" si="23"/>
        <v>#DIV/0!</v>
      </c>
      <c r="BI20" s="29" t="str">
        <f t="shared" si="23"/>
        <v>#DIV/0!</v>
      </c>
      <c r="BJ20" s="29" t="str">
        <f t="shared" si="23"/>
        <v>#DIV/0!</v>
      </c>
      <c r="BK20" s="29" t="str">
        <f t="shared" si="23"/>
        <v>#DIV/0!</v>
      </c>
      <c r="BL20" s="29" t="str">
        <f t="shared" si="23"/>
        <v>#DIV/0!</v>
      </c>
      <c r="BM20" s="29" t="str">
        <f t="shared" si="3"/>
        <v>#DIV/0!</v>
      </c>
    </row>
    <row r="21">
      <c r="A21" s="16" t="str">
        <f>IFERROR(__xludf.DUMMYFUNCTION("IFERROR(SPARKLINE(SORT(MAP(TRANSPOSE(AQ21:BL21), LAMBDA(val, IF(ISNUMBER(val), PERCENTRANK(AQ21:BL21, val)+0.01, 0))), SEQUENCE(COLUMNS(AQ21:BL21)), FALSE), {""charttype"",""column""; ""color"",""chartreuse""; ""ymin"", 0; ""ymax"", 1.01; ""highcolor"", "&amp;"""darkgreen""; ""lowcolor"", ""red""}), """")"),"")</f>
        <v/>
      </c>
      <c r="B21" s="17" t="str">
        <f t="shared" si="4"/>
        <v/>
      </c>
      <c r="C21" s="1" t="s">
        <v>140</v>
      </c>
      <c r="D21" s="30" t="str">
        <f>IFERROR(__xludf.DUMMYFUNCTION("IFERROR(GOOGLEFINANCE(C21, ""NAME""))"),"SPS Commerce Inc")</f>
        <v>SPS Commerce Inc</v>
      </c>
      <c r="E21" s="30" t="s">
        <v>48</v>
      </c>
      <c r="F21" s="33" t="str">
        <f>IFERROR(__xludf.DUMMYFUNCTION("( (GOOGLEFINANCE(C21, ""price"") - Q21) / Q21 ) / (R21 / 100)"),"Loading...")</f>
        <v>Loading...</v>
      </c>
      <c r="G21" s="20" t="str">
        <f>IFERROR(__xludf.DUMMYFUNCTION("AVERAGE(ARRAYFORMULA(100 * (QUERY(GOOGLEFINANCE(C21, ""high"", TODAY()-40, TODAY()), ""SELECT Col2 WHERE Col2 IS NOT NULL ORDER BY Col1 DESC LIMIT 20"", 0) / QUERY(GOOGLEFINANCE(C21, ""low"", TODAY()-40, TODAY()), ""SELECT Col2 WHERE Col2 IS NOT NULL ORDE"&amp;"R BY Col1 DESC LIMIT 20"", 0) - 1)))"),"#N/A")</f>
        <v>#N/A</v>
      </c>
      <c r="H21" s="35" t="str">
        <f t="shared" si="6"/>
        <v/>
      </c>
      <c r="I21" s="36" t="str">
        <f t="shared" si="7"/>
        <v/>
      </c>
      <c r="J21" s="37" t="str">
        <f>IFERROR(__xludf.DUMMYFUNCTION("IFERROR(
  IF(C21="""",, 
    IFERROR(
      GOOGLEFINANCE(C21, ""price"") * GOOGLEFINANCE(C21, ""volumeavg""), 
      GOOGLEFINANCE(C21, ""price"") * AVERAGE(QUERY(GOOGLEFINANCE(C21, ""volume"", TODAY()-40, TODAY()), ""SELECT Col2 WHERE Col2 IS NOT NULL "&amp;"ORDER BY Col1 DESC LIMIT 20"", 0))
    )
  ), 
"""")"),"")</f>
        <v/>
      </c>
      <c r="K21" s="21" t="str">
        <f>IFERROR(__xludf.DUMMYFUNCTION("IFERROR(GOOGLEFINANCE(C21, ""changepct"") / 100, """")"),"")</f>
        <v/>
      </c>
      <c r="L21" s="21" t="str">
        <f>IFERROR(__xludf.DUMMYFUNCTION("IFERROR((GOOGLEFINANCE(C21, ""price"") / INDEX(GOOGLEFINANCE(C21, ""price"", TODAY()-7, TODAY()), 2, 2)) - 1, """")"),"")</f>
        <v/>
      </c>
      <c r="M21" s="21" t="str">
        <f>IFERROR(__xludf.DUMMYFUNCTION("IFERROR((GOOGLEFINANCE(C21, ""price"") / INDEX(GOOGLEFINANCE(C21, ""price"", EDATE(TODAY(), -1), TODAY()), 2, 2)) - 1, """")"),"")</f>
        <v/>
      </c>
      <c r="N21" s="21" t="str">
        <f>IFERROR(__xludf.DUMMYFUNCTION("IFERROR((GOOGLEFINANCE(C21, ""price"") / INDEX(GOOGLEFINANCE(C21, ""price"", EDATE(TODAY(), -3), TODAY()), 2, 2)) - 1, """")"),"")</f>
        <v/>
      </c>
      <c r="O21" s="21" t="str">
        <f>IFERROR(__xludf.DUMMYFUNCTION("IFERROR((GOOGLEFINANCE(C21, ""price"") / INDEX(GOOGLEFINANCE(C21, ""price"", EDATE(TODAY(), -6), TODAY()), 2, 2)) - 1, """")"),"")</f>
        <v/>
      </c>
      <c r="P21" s="21" t="str">
        <f>IFERROR(__xludf.DUMMYFUNCTION("IFERROR((GOOGLEFINANCE(C21, ""price"") / INDEX(GOOGLEFINANCE(C21, ""price"", EDATE(TODAY(), -12), TODAY()), 2, 2)) - 1, """")"),"")</f>
        <v/>
      </c>
      <c r="Q21" s="6" t="str">
        <f>IFERROR(__xludf.DUMMYFUNCTION("AVERAGE(QUERY(GOOGLEFINANCE(C21, ""price"", TODAY()-80, TODAY()), ""SELECT Col2 WHERE Col2 IS NOT NULL ORDER BY Col1 DESC LIMIT 50"", 0))"),"#N/A")</f>
        <v>#N/A</v>
      </c>
      <c r="R21" s="24" t="str">
        <f>IFERROR(__xludf.DUMMYFUNCTION("IFERROR(
  LET(
    data, QUERY(GOOGLEFINANCE(C21,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GOOGLEFINANCE(C21, ""price"")) * 100,
    IF(calc=0, G21, calc)
  ), 
G21)"),"#N/A")</f>
        <v>#N/A</v>
      </c>
      <c r="S21" s="8" t="s">
        <v>15</v>
      </c>
      <c r="T21" s="26" t="str">
        <f>IFERROR(__xludf.DUMMYFUNCTION("IFERROR(TRANSPOSE(QUERY(IFERROR(SORT(GOOGLEFINANCE(C21, ""price"", WORKDAY(TODAY(), -40), TODAY()), 1, FALSE)), ""select Col2 where Col2 is not null limit 22 label Col2 ''"", 0)), """")"),"")</f>
        <v/>
      </c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8"/>
      <c r="AO21" s="28"/>
      <c r="AP21" s="29"/>
      <c r="AQ21" s="29" t="str">
        <f t="shared" ref="AQ21:BL21" si="24">T21/T$2</f>
        <v>#N/A</v>
      </c>
      <c r="AR21" s="29" t="str">
        <f t="shared" si="24"/>
        <v>#DIV/0!</v>
      </c>
      <c r="AS21" s="29" t="str">
        <f t="shared" si="24"/>
        <v>#DIV/0!</v>
      </c>
      <c r="AT21" s="29" t="str">
        <f t="shared" si="24"/>
        <v>#DIV/0!</v>
      </c>
      <c r="AU21" s="29" t="str">
        <f t="shared" si="24"/>
        <v>#DIV/0!</v>
      </c>
      <c r="AV21" s="29" t="str">
        <f t="shared" si="24"/>
        <v>#DIV/0!</v>
      </c>
      <c r="AW21" s="29" t="str">
        <f t="shared" si="24"/>
        <v>#DIV/0!</v>
      </c>
      <c r="AX21" s="29" t="str">
        <f t="shared" si="24"/>
        <v>#DIV/0!</v>
      </c>
      <c r="AY21" s="29" t="str">
        <f t="shared" si="24"/>
        <v>#DIV/0!</v>
      </c>
      <c r="AZ21" s="29" t="str">
        <f t="shared" si="24"/>
        <v>#DIV/0!</v>
      </c>
      <c r="BA21" s="29" t="str">
        <f t="shared" si="24"/>
        <v>#DIV/0!</v>
      </c>
      <c r="BB21" s="29" t="str">
        <f t="shared" si="24"/>
        <v>#DIV/0!</v>
      </c>
      <c r="BC21" s="29" t="str">
        <f t="shared" si="24"/>
        <v>#DIV/0!</v>
      </c>
      <c r="BD21" s="29" t="str">
        <f t="shared" si="24"/>
        <v>#DIV/0!</v>
      </c>
      <c r="BE21" s="29" t="str">
        <f t="shared" si="24"/>
        <v>#DIV/0!</v>
      </c>
      <c r="BF21" s="29" t="str">
        <f t="shared" si="24"/>
        <v>#DIV/0!</v>
      </c>
      <c r="BG21" s="29" t="str">
        <f t="shared" si="24"/>
        <v>#DIV/0!</v>
      </c>
      <c r="BH21" s="29" t="str">
        <f t="shared" si="24"/>
        <v>#DIV/0!</v>
      </c>
      <c r="BI21" s="29" t="str">
        <f t="shared" si="24"/>
        <v>#DIV/0!</v>
      </c>
      <c r="BJ21" s="29" t="str">
        <f t="shared" si="24"/>
        <v>#DIV/0!</v>
      </c>
      <c r="BK21" s="29" t="str">
        <f t="shared" si="24"/>
        <v>#DIV/0!</v>
      </c>
      <c r="BL21" s="29" t="str">
        <f t="shared" si="24"/>
        <v>#DIV/0!</v>
      </c>
      <c r="BM21" s="29" t="str">
        <f t="shared" si="3"/>
        <v>#DIV/0!</v>
      </c>
    </row>
    <row r="22">
      <c r="A22" s="16" t="str">
        <f>IFERROR(__xludf.DUMMYFUNCTION("IFERROR(SPARKLINE(SORT(MAP(TRANSPOSE(AQ22:BL22), LAMBDA(val, IF(ISNUMBER(val), PERCENTRANK(AQ22:BL22, val)+0.01, 0))), SEQUENCE(COLUMNS(AQ22:BL22)), FALSE), {""charttype"",""column""; ""color"",""chartreuse""; ""ymin"", 0; ""ymax"", 1.01; ""highcolor"", "&amp;"""darkgreen""; ""lowcolor"", ""red""}), """")"),"")</f>
        <v/>
      </c>
      <c r="B22" s="17" t="str">
        <f t="shared" si="4"/>
        <v/>
      </c>
      <c r="C22" s="1" t="s">
        <v>143</v>
      </c>
      <c r="D22" s="30" t="str">
        <f>IFERROR(__xludf.DUMMYFUNCTION("IFERROR(GOOGLEFINANCE(C22, ""NAME""))"),"Asana Inc")</f>
        <v>Asana Inc</v>
      </c>
      <c r="E22" s="30" t="s">
        <v>48</v>
      </c>
      <c r="F22" s="33" t="str">
        <f>IFERROR(__xludf.DUMMYFUNCTION("( (GOOGLEFINANCE(C22, ""price"") - Q22) / Q22 ) / (R22 / 100)"),"Loading...")</f>
        <v>Loading...</v>
      </c>
      <c r="G22" s="20" t="str">
        <f>IFERROR(__xludf.DUMMYFUNCTION("AVERAGE(ARRAYFORMULA(100 * (QUERY(GOOGLEFINANCE(C22, ""high"", TODAY()-40, TODAY()), ""SELECT Col2 WHERE Col2 IS NOT NULL ORDER BY Col1 DESC LIMIT 20"", 0) / QUERY(GOOGLEFINANCE(C22, ""low"", TODAY()-40, TODAY()), ""SELECT Col2 WHERE Col2 IS NOT NULL ORDE"&amp;"R BY Col1 DESC LIMIT 20"", 0) - 1)))"),"#N/A")</f>
        <v>#N/A</v>
      </c>
      <c r="H22" s="35" t="str">
        <f t="shared" si="6"/>
        <v/>
      </c>
      <c r="I22" s="36" t="str">
        <f t="shared" si="7"/>
        <v/>
      </c>
      <c r="J22" s="37" t="str">
        <f>IFERROR(__xludf.DUMMYFUNCTION("IFERROR(
  IF(C22="""",, 
    IFERROR(
      GOOGLEFINANCE(C22, ""price"") * GOOGLEFINANCE(C22, ""volumeavg""), 
      GOOGLEFINANCE(C22, ""price"") * AVERAGE(QUERY(GOOGLEFINANCE(C22, ""volume"", TODAY()-40, TODAY()), ""SELECT Col2 WHERE Col2 IS NOT NULL "&amp;"ORDER BY Col1 DESC LIMIT 20"", 0))
    )
  ), 
"""")"),"")</f>
        <v/>
      </c>
      <c r="K22" s="21" t="str">
        <f>IFERROR(__xludf.DUMMYFUNCTION("IFERROR(GOOGLEFINANCE(C22, ""changepct"") / 100, """")"),"")</f>
        <v/>
      </c>
      <c r="L22" s="21" t="str">
        <f>IFERROR(__xludf.DUMMYFUNCTION("IFERROR((GOOGLEFINANCE(C22, ""price"") / INDEX(GOOGLEFINANCE(C22, ""price"", TODAY()-7, TODAY()), 2, 2)) - 1, """")"),"")</f>
        <v/>
      </c>
      <c r="M22" s="21" t="str">
        <f>IFERROR(__xludf.DUMMYFUNCTION("IFERROR((GOOGLEFINANCE(C22, ""price"") / INDEX(GOOGLEFINANCE(C22, ""price"", EDATE(TODAY(), -1), TODAY()), 2, 2)) - 1, """")"),"")</f>
        <v/>
      </c>
      <c r="N22" s="21" t="str">
        <f>IFERROR(__xludf.DUMMYFUNCTION("IFERROR((GOOGLEFINANCE(C22, ""price"") / INDEX(GOOGLEFINANCE(C22, ""price"", EDATE(TODAY(), -3), TODAY()), 2, 2)) - 1, """")"),"")</f>
        <v/>
      </c>
      <c r="O22" s="21" t="str">
        <f>IFERROR(__xludf.DUMMYFUNCTION("IFERROR((GOOGLEFINANCE(C22, ""price"") / INDEX(GOOGLEFINANCE(C22, ""price"", EDATE(TODAY(), -6), TODAY()), 2, 2)) - 1, """")"),"")</f>
        <v/>
      </c>
      <c r="P22" s="21" t="str">
        <f>IFERROR(__xludf.DUMMYFUNCTION("IFERROR((GOOGLEFINANCE(C22, ""price"") / INDEX(GOOGLEFINANCE(C22, ""price"", EDATE(TODAY(), -12), TODAY()), 2, 2)) - 1, """")"),"")</f>
        <v/>
      </c>
      <c r="Q22" s="6" t="str">
        <f>IFERROR(__xludf.DUMMYFUNCTION("AVERAGE(QUERY(GOOGLEFINANCE(C22, ""price"", TODAY()-80, TODAY()), ""SELECT Col2 WHERE Col2 IS NOT NULL ORDER BY Col1 DESC LIMIT 50"", 0))"),"#N/A")</f>
        <v>#N/A</v>
      </c>
      <c r="R22" s="24" t="str">
        <f>IFERROR(__xludf.DUMMYFUNCTION("IFERROR(
  LET(
    data, QUERY(GOOGLEFINANCE(C22,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GOOGLEFINANCE(C22, ""price"")) * 100,
    IF(calc=0, G22, calc)
  ), 
G22)"),"#N/A")</f>
        <v>#N/A</v>
      </c>
      <c r="S22" s="8" t="s">
        <v>15</v>
      </c>
      <c r="T22" s="26" t="str">
        <f>IFERROR(__xludf.DUMMYFUNCTION("IFERROR(TRANSPOSE(QUERY(IFERROR(SORT(GOOGLEFINANCE(C22, ""price"", WORKDAY(TODAY(), -40), TODAY()), 1, FALSE)), ""select Col2 where Col2 is not null limit 22 label Col2 ''"", 0)), """")"),"")</f>
        <v/>
      </c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8"/>
      <c r="AO22" s="28"/>
      <c r="AP22" s="29"/>
      <c r="AQ22" s="29" t="str">
        <f t="shared" ref="AQ22:BL22" si="25">T22/T$2</f>
        <v>#N/A</v>
      </c>
      <c r="AR22" s="29" t="str">
        <f t="shared" si="25"/>
        <v>#DIV/0!</v>
      </c>
      <c r="AS22" s="29" t="str">
        <f t="shared" si="25"/>
        <v>#DIV/0!</v>
      </c>
      <c r="AT22" s="29" t="str">
        <f t="shared" si="25"/>
        <v>#DIV/0!</v>
      </c>
      <c r="AU22" s="29" t="str">
        <f t="shared" si="25"/>
        <v>#DIV/0!</v>
      </c>
      <c r="AV22" s="29" t="str">
        <f t="shared" si="25"/>
        <v>#DIV/0!</v>
      </c>
      <c r="AW22" s="29" t="str">
        <f t="shared" si="25"/>
        <v>#DIV/0!</v>
      </c>
      <c r="AX22" s="29" t="str">
        <f t="shared" si="25"/>
        <v>#DIV/0!</v>
      </c>
      <c r="AY22" s="29" t="str">
        <f t="shared" si="25"/>
        <v>#DIV/0!</v>
      </c>
      <c r="AZ22" s="29" t="str">
        <f t="shared" si="25"/>
        <v>#DIV/0!</v>
      </c>
      <c r="BA22" s="29" t="str">
        <f t="shared" si="25"/>
        <v>#DIV/0!</v>
      </c>
      <c r="BB22" s="29" t="str">
        <f t="shared" si="25"/>
        <v>#DIV/0!</v>
      </c>
      <c r="BC22" s="29" t="str">
        <f t="shared" si="25"/>
        <v>#DIV/0!</v>
      </c>
      <c r="BD22" s="29" t="str">
        <f t="shared" si="25"/>
        <v>#DIV/0!</v>
      </c>
      <c r="BE22" s="29" t="str">
        <f t="shared" si="25"/>
        <v>#DIV/0!</v>
      </c>
      <c r="BF22" s="29" t="str">
        <f t="shared" si="25"/>
        <v>#DIV/0!</v>
      </c>
      <c r="BG22" s="29" t="str">
        <f t="shared" si="25"/>
        <v>#DIV/0!</v>
      </c>
      <c r="BH22" s="29" t="str">
        <f t="shared" si="25"/>
        <v>#DIV/0!</v>
      </c>
      <c r="BI22" s="29" t="str">
        <f t="shared" si="25"/>
        <v>#DIV/0!</v>
      </c>
      <c r="BJ22" s="29" t="str">
        <f t="shared" si="25"/>
        <v>#DIV/0!</v>
      </c>
      <c r="BK22" s="29" t="str">
        <f t="shared" si="25"/>
        <v>#DIV/0!</v>
      </c>
      <c r="BL22" s="29" t="str">
        <f t="shared" si="25"/>
        <v>#DIV/0!</v>
      </c>
      <c r="BM22" s="29" t="str">
        <f t="shared" si="3"/>
        <v>#DIV/0!</v>
      </c>
    </row>
    <row r="23">
      <c r="A23" s="16" t="str">
        <f>IFERROR(__xludf.DUMMYFUNCTION("IFERROR(SPARKLINE(SORT(MAP(TRANSPOSE(AQ23:BL23), LAMBDA(val, IF(ISNUMBER(val), PERCENTRANK(AQ23:BL23, val)+0.01, 0))), SEQUENCE(COLUMNS(AQ23:BL23)), FALSE), {""charttype"",""column""; ""color"",""chartreuse""; ""ymin"", 0; ""ymax"", 1.01; ""highcolor"", "&amp;"""darkgreen""; ""lowcolor"", ""red""}), """")"),"")</f>
        <v/>
      </c>
      <c r="B23" s="17" t="str">
        <f t="shared" si="4"/>
        <v/>
      </c>
      <c r="C23" s="1" t="s">
        <v>148</v>
      </c>
      <c r="D23" s="30" t="str">
        <f>IFERROR(__xludf.DUMMYFUNCTION("IFERROR(GOOGLEFINANCE(C23, ""NAME""))"),"Hackett Group Inc")</f>
        <v>Hackett Group Inc</v>
      </c>
      <c r="E23" s="30" t="s">
        <v>102</v>
      </c>
      <c r="F23" s="33" t="str">
        <f>IFERROR(__xludf.DUMMYFUNCTION("( (GOOGLEFINANCE(C23, ""price"") - Q23) / Q23 ) / (R23 / 100)"),"Loading...")</f>
        <v>Loading...</v>
      </c>
      <c r="G23" s="20" t="str">
        <f>IFERROR(__xludf.DUMMYFUNCTION("AVERAGE(ARRAYFORMULA(100 * (QUERY(GOOGLEFINANCE(C23, ""high"", TODAY()-40, TODAY()), ""SELECT Col2 WHERE Col2 IS NOT NULL ORDER BY Col1 DESC LIMIT 20"", 0) / QUERY(GOOGLEFINANCE(C23, ""low"", TODAY()-40, TODAY()), ""SELECT Col2 WHERE Col2 IS NOT NULL ORDE"&amp;"R BY Col1 DESC LIMIT 20"", 0) - 1)))"),"#N/A")</f>
        <v>#N/A</v>
      </c>
      <c r="H23" s="35" t="str">
        <f t="shared" si="6"/>
        <v/>
      </c>
      <c r="I23" s="36" t="str">
        <f t="shared" si="7"/>
        <v/>
      </c>
      <c r="J23" s="37" t="str">
        <f>IFERROR(__xludf.DUMMYFUNCTION("IFERROR(
  IF(C23="""",, 
    IFERROR(
      GOOGLEFINANCE(C23, ""price"") * GOOGLEFINANCE(C23, ""volumeavg""), 
      GOOGLEFINANCE(C23, ""price"") * AVERAGE(QUERY(GOOGLEFINANCE(C23, ""volume"", TODAY()-40, TODAY()), ""SELECT Col2 WHERE Col2 IS NOT NULL "&amp;"ORDER BY Col1 DESC LIMIT 20"", 0))
    )
  ), 
"""")"),"")</f>
        <v/>
      </c>
      <c r="K23" s="21" t="str">
        <f>IFERROR(__xludf.DUMMYFUNCTION("IFERROR(GOOGLEFINANCE(C23, ""changepct"") / 100, """")"),"")</f>
        <v/>
      </c>
      <c r="L23" s="21" t="str">
        <f>IFERROR(__xludf.DUMMYFUNCTION("IFERROR((GOOGLEFINANCE(C23, ""price"") / INDEX(GOOGLEFINANCE(C23, ""price"", TODAY()-7, TODAY()), 2, 2)) - 1, """")"),"")</f>
        <v/>
      </c>
      <c r="M23" s="21" t="str">
        <f>IFERROR(__xludf.DUMMYFUNCTION("IFERROR((GOOGLEFINANCE(C23, ""price"") / INDEX(GOOGLEFINANCE(C23, ""price"", EDATE(TODAY(), -1), TODAY()), 2, 2)) - 1, """")"),"")</f>
        <v/>
      </c>
      <c r="N23" s="21" t="str">
        <f>IFERROR(__xludf.DUMMYFUNCTION("IFERROR((GOOGLEFINANCE(C23, ""price"") / INDEX(GOOGLEFINANCE(C23, ""price"", EDATE(TODAY(), -3), TODAY()), 2, 2)) - 1, """")"),"")</f>
        <v/>
      </c>
      <c r="O23" s="21" t="str">
        <f>IFERROR(__xludf.DUMMYFUNCTION("IFERROR((GOOGLEFINANCE(C23, ""price"") / INDEX(GOOGLEFINANCE(C23, ""price"", EDATE(TODAY(), -6), TODAY()), 2, 2)) - 1, """")"),"")</f>
        <v/>
      </c>
      <c r="P23" s="21" t="str">
        <f>IFERROR(__xludf.DUMMYFUNCTION("IFERROR((GOOGLEFINANCE(C23, ""price"") / INDEX(GOOGLEFINANCE(C23, ""price"", EDATE(TODAY(), -12), TODAY()), 2, 2)) - 1, """")"),"")</f>
        <v/>
      </c>
      <c r="Q23" s="6" t="str">
        <f>IFERROR(__xludf.DUMMYFUNCTION("AVERAGE(QUERY(GOOGLEFINANCE(C23, ""price"", TODAY()-80, TODAY()), ""SELECT Col2 WHERE Col2 IS NOT NULL ORDER BY Col1 DESC LIMIT 50"", 0))"),"#N/A")</f>
        <v>#N/A</v>
      </c>
      <c r="R23" s="24" t="str">
        <f>IFERROR(__xludf.DUMMYFUNCTION("IFERROR(
  LET(
    data, QUERY(GOOGLEFINANCE(C23,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GOOGLEFINANCE(C23, ""price"")) * 100,
    IF(calc=0, G23, calc)
  ), 
G23)"),"#N/A")</f>
        <v>#N/A</v>
      </c>
      <c r="S23" s="8" t="s">
        <v>15</v>
      </c>
      <c r="T23" s="26" t="str">
        <f>IFERROR(__xludf.DUMMYFUNCTION("IFERROR(TRANSPOSE(QUERY(IFERROR(SORT(GOOGLEFINANCE(C23, ""price"", WORKDAY(TODAY(), -40), TODAY()), 1, FALSE)), ""select Col2 where Col2 is not null limit 22 label Col2 ''"", 0)), """")"),"")</f>
        <v/>
      </c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8"/>
      <c r="AO23" s="28"/>
      <c r="AP23" s="29"/>
      <c r="AQ23" s="29" t="str">
        <f t="shared" ref="AQ23:BL23" si="26">T23/T$2</f>
        <v>#N/A</v>
      </c>
      <c r="AR23" s="29" t="str">
        <f t="shared" si="26"/>
        <v>#DIV/0!</v>
      </c>
      <c r="AS23" s="29" t="str">
        <f t="shared" si="26"/>
        <v>#DIV/0!</v>
      </c>
      <c r="AT23" s="29" t="str">
        <f t="shared" si="26"/>
        <v>#DIV/0!</v>
      </c>
      <c r="AU23" s="29" t="str">
        <f t="shared" si="26"/>
        <v>#DIV/0!</v>
      </c>
      <c r="AV23" s="29" t="str">
        <f t="shared" si="26"/>
        <v>#DIV/0!</v>
      </c>
      <c r="AW23" s="29" t="str">
        <f t="shared" si="26"/>
        <v>#DIV/0!</v>
      </c>
      <c r="AX23" s="29" t="str">
        <f t="shared" si="26"/>
        <v>#DIV/0!</v>
      </c>
      <c r="AY23" s="29" t="str">
        <f t="shared" si="26"/>
        <v>#DIV/0!</v>
      </c>
      <c r="AZ23" s="29" t="str">
        <f t="shared" si="26"/>
        <v>#DIV/0!</v>
      </c>
      <c r="BA23" s="29" t="str">
        <f t="shared" si="26"/>
        <v>#DIV/0!</v>
      </c>
      <c r="BB23" s="29" t="str">
        <f t="shared" si="26"/>
        <v>#DIV/0!</v>
      </c>
      <c r="BC23" s="29" t="str">
        <f t="shared" si="26"/>
        <v>#DIV/0!</v>
      </c>
      <c r="BD23" s="29" t="str">
        <f t="shared" si="26"/>
        <v>#DIV/0!</v>
      </c>
      <c r="BE23" s="29" t="str">
        <f t="shared" si="26"/>
        <v>#DIV/0!</v>
      </c>
      <c r="BF23" s="29" t="str">
        <f t="shared" si="26"/>
        <v>#DIV/0!</v>
      </c>
      <c r="BG23" s="29" t="str">
        <f t="shared" si="26"/>
        <v>#DIV/0!</v>
      </c>
      <c r="BH23" s="29" t="str">
        <f t="shared" si="26"/>
        <v>#DIV/0!</v>
      </c>
      <c r="BI23" s="29" t="str">
        <f t="shared" si="26"/>
        <v>#DIV/0!</v>
      </c>
      <c r="BJ23" s="29" t="str">
        <f t="shared" si="26"/>
        <v>#DIV/0!</v>
      </c>
      <c r="BK23" s="29" t="str">
        <f t="shared" si="26"/>
        <v>#DIV/0!</v>
      </c>
      <c r="BL23" s="29" t="str">
        <f t="shared" si="26"/>
        <v>#DIV/0!</v>
      </c>
      <c r="BM23" s="29" t="str">
        <f t="shared" si="3"/>
        <v>#DIV/0!</v>
      </c>
    </row>
    <row r="24">
      <c r="A24" s="16" t="str">
        <f>IFERROR(__xludf.DUMMYFUNCTION("IFERROR(SPARKLINE(SORT(MAP(TRANSPOSE(AQ24:BL24), LAMBDA(val, IF(ISNUMBER(val), PERCENTRANK(AQ24:BL24, val)+0.01, 0))), SEQUENCE(COLUMNS(AQ24:BL24)), FALSE), {""charttype"",""column""; ""color"",""chartreuse""; ""ymin"", 0; ""ymax"", 1.01; ""highcolor"", "&amp;"""darkgreen""; ""lowcolor"", ""red""}), """")"),"")</f>
        <v/>
      </c>
      <c r="B24" s="17" t="str">
        <f t="shared" si="4"/>
        <v/>
      </c>
      <c r="C24" s="1" t="s">
        <v>152</v>
      </c>
      <c r="D24" s="30" t="str">
        <f>IFERROR(__xludf.DUMMYFUNCTION("IFERROR(GOOGLEFINANCE(C24, ""NAME""))"),"Intapp Inc")</f>
        <v>Intapp Inc</v>
      </c>
      <c r="E24" s="30" t="s">
        <v>48</v>
      </c>
      <c r="F24" s="33" t="str">
        <f>IFERROR(__xludf.DUMMYFUNCTION("( (GOOGLEFINANCE(C24, ""price"") - Q24) / Q24 ) / (R24 / 100)"),"Loading...")</f>
        <v>Loading...</v>
      </c>
      <c r="G24" s="20" t="str">
        <f>IFERROR(__xludf.DUMMYFUNCTION("AVERAGE(ARRAYFORMULA(100 * (QUERY(GOOGLEFINANCE(C24, ""high"", TODAY()-40, TODAY()), ""SELECT Col2 WHERE Col2 IS NOT NULL ORDER BY Col1 DESC LIMIT 20"", 0) / QUERY(GOOGLEFINANCE(C24, ""low"", TODAY()-40, TODAY()), ""SELECT Col2 WHERE Col2 IS NOT NULL ORDE"&amp;"R BY Col1 DESC LIMIT 20"", 0) - 1)))"),"#N/A")</f>
        <v>#N/A</v>
      </c>
      <c r="H24" s="35" t="str">
        <f t="shared" si="6"/>
        <v/>
      </c>
      <c r="I24" s="36" t="str">
        <f t="shared" si="7"/>
        <v/>
      </c>
      <c r="J24" s="37" t="str">
        <f>IFERROR(__xludf.DUMMYFUNCTION("IFERROR(
  IF(C24="""",, 
    IFERROR(
      GOOGLEFINANCE(C24, ""price"") * GOOGLEFINANCE(C24, ""volumeavg""), 
      GOOGLEFINANCE(C24, ""price"") * AVERAGE(QUERY(GOOGLEFINANCE(C24, ""volume"", TODAY()-40, TODAY()), ""SELECT Col2 WHERE Col2 IS NOT NULL "&amp;"ORDER BY Col1 DESC LIMIT 20"", 0))
    )
  ), 
"""")"),"")</f>
        <v/>
      </c>
      <c r="K24" s="21" t="str">
        <f>IFERROR(__xludf.DUMMYFUNCTION("IFERROR(GOOGLEFINANCE(C24, ""changepct"") / 100, """")"),"")</f>
        <v/>
      </c>
      <c r="L24" s="21" t="str">
        <f>IFERROR(__xludf.DUMMYFUNCTION("IFERROR((GOOGLEFINANCE(C24, ""price"") / INDEX(GOOGLEFINANCE(C24, ""price"", TODAY()-7, TODAY()), 2, 2)) - 1, """")"),"")</f>
        <v/>
      </c>
      <c r="M24" s="21" t="str">
        <f>IFERROR(__xludf.DUMMYFUNCTION("IFERROR((GOOGLEFINANCE(C24, ""price"") / INDEX(GOOGLEFINANCE(C24, ""price"", EDATE(TODAY(), -1), TODAY()), 2, 2)) - 1, """")"),"")</f>
        <v/>
      </c>
      <c r="N24" s="21" t="str">
        <f>IFERROR(__xludf.DUMMYFUNCTION("IFERROR((GOOGLEFINANCE(C24, ""price"") / INDEX(GOOGLEFINANCE(C24, ""price"", EDATE(TODAY(), -3), TODAY()), 2, 2)) - 1, """")"),"")</f>
        <v/>
      </c>
      <c r="O24" s="21" t="str">
        <f>IFERROR(__xludf.DUMMYFUNCTION("IFERROR((GOOGLEFINANCE(C24, ""price"") / INDEX(GOOGLEFINANCE(C24, ""price"", EDATE(TODAY(), -6), TODAY()), 2, 2)) - 1, """")"),"")</f>
        <v/>
      </c>
      <c r="P24" s="21" t="str">
        <f>IFERROR(__xludf.DUMMYFUNCTION("IFERROR((GOOGLEFINANCE(C24, ""price"") / INDEX(GOOGLEFINANCE(C24, ""price"", EDATE(TODAY(), -12), TODAY()), 2, 2)) - 1, """")"),"")</f>
        <v/>
      </c>
      <c r="Q24" s="6" t="str">
        <f>IFERROR(__xludf.DUMMYFUNCTION("AVERAGE(QUERY(GOOGLEFINANCE(C24, ""price"", TODAY()-80, TODAY()), ""SELECT Col2 WHERE Col2 IS NOT NULL ORDER BY Col1 DESC LIMIT 50"", 0))"),"#N/A")</f>
        <v>#N/A</v>
      </c>
      <c r="R24" s="24" t="str">
        <f>IFERROR(__xludf.DUMMYFUNCTION("IFERROR(
  LET(
    data, QUERY(GOOGLEFINANCE(C24,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GOOGLEFINANCE(C24, ""price"")) * 100,
    IF(calc=0, G24, calc)
  ), 
G24)"),"#N/A")</f>
        <v>#N/A</v>
      </c>
      <c r="S24" s="8" t="s">
        <v>15</v>
      </c>
      <c r="T24" s="26" t="str">
        <f>IFERROR(__xludf.DUMMYFUNCTION("IFERROR(TRANSPOSE(QUERY(IFERROR(SORT(GOOGLEFINANCE(C24, ""price"", WORKDAY(TODAY(), -40), TODAY()), 1, FALSE)), ""select Col2 where Col2 is not null limit 22 label Col2 ''"", 0)), """")"),"")</f>
        <v/>
      </c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8"/>
      <c r="AO24" s="28"/>
      <c r="AP24" s="29"/>
      <c r="AQ24" s="29" t="str">
        <f t="shared" ref="AQ24:BL24" si="27">T24/T$2</f>
        <v>#N/A</v>
      </c>
      <c r="AR24" s="29" t="str">
        <f t="shared" si="27"/>
        <v>#DIV/0!</v>
      </c>
      <c r="AS24" s="29" t="str">
        <f t="shared" si="27"/>
        <v>#DIV/0!</v>
      </c>
      <c r="AT24" s="29" t="str">
        <f t="shared" si="27"/>
        <v>#DIV/0!</v>
      </c>
      <c r="AU24" s="29" t="str">
        <f t="shared" si="27"/>
        <v>#DIV/0!</v>
      </c>
      <c r="AV24" s="29" t="str">
        <f t="shared" si="27"/>
        <v>#DIV/0!</v>
      </c>
      <c r="AW24" s="29" t="str">
        <f t="shared" si="27"/>
        <v>#DIV/0!</v>
      </c>
      <c r="AX24" s="29" t="str">
        <f t="shared" si="27"/>
        <v>#DIV/0!</v>
      </c>
      <c r="AY24" s="29" t="str">
        <f t="shared" si="27"/>
        <v>#DIV/0!</v>
      </c>
      <c r="AZ24" s="29" t="str">
        <f t="shared" si="27"/>
        <v>#DIV/0!</v>
      </c>
      <c r="BA24" s="29" t="str">
        <f t="shared" si="27"/>
        <v>#DIV/0!</v>
      </c>
      <c r="BB24" s="29" t="str">
        <f t="shared" si="27"/>
        <v>#DIV/0!</v>
      </c>
      <c r="BC24" s="29" t="str">
        <f t="shared" si="27"/>
        <v>#DIV/0!</v>
      </c>
      <c r="BD24" s="29" t="str">
        <f t="shared" si="27"/>
        <v>#DIV/0!</v>
      </c>
      <c r="BE24" s="29" t="str">
        <f t="shared" si="27"/>
        <v>#DIV/0!</v>
      </c>
      <c r="BF24" s="29" t="str">
        <f t="shared" si="27"/>
        <v>#DIV/0!</v>
      </c>
      <c r="BG24" s="29" t="str">
        <f t="shared" si="27"/>
        <v>#DIV/0!</v>
      </c>
      <c r="BH24" s="29" t="str">
        <f t="shared" si="27"/>
        <v>#DIV/0!</v>
      </c>
      <c r="BI24" s="29" t="str">
        <f t="shared" si="27"/>
        <v>#DIV/0!</v>
      </c>
      <c r="BJ24" s="29" t="str">
        <f t="shared" si="27"/>
        <v>#DIV/0!</v>
      </c>
      <c r="BK24" s="29" t="str">
        <f t="shared" si="27"/>
        <v>#DIV/0!</v>
      </c>
      <c r="BL24" s="29" t="str">
        <f t="shared" si="27"/>
        <v>#DIV/0!</v>
      </c>
      <c r="BM24" s="29" t="str">
        <f t="shared" si="3"/>
        <v>#DIV/0!</v>
      </c>
    </row>
    <row r="25">
      <c r="A25" s="16" t="str">
        <f>IFERROR(__xludf.DUMMYFUNCTION("IFERROR(SPARKLINE(SORT(MAP(TRANSPOSE(AQ25:BL25), LAMBDA(val, IF(ISNUMBER(val), PERCENTRANK(AQ25:BL25, val)+0.01, 0))), SEQUENCE(COLUMNS(AQ25:BL25)), FALSE), {""charttype"",""column""; ""color"",""chartreuse""; ""ymin"", 0; ""ymax"", 1.01; ""highcolor"", "&amp;"""darkgreen""; ""lowcolor"", ""red""}), """")"),"")</f>
        <v/>
      </c>
      <c r="B25" s="17" t="str">
        <f t="shared" si="4"/>
        <v/>
      </c>
      <c r="C25" s="1" t="s">
        <v>159</v>
      </c>
      <c r="D25" s="30" t="str">
        <f>IFERROR(__xludf.DUMMYFUNCTION("IFERROR(GOOGLEFINANCE(C25, ""NAME""))"),"Globant SA")</f>
        <v>Globant SA</v>
      </c>
      <c r="E25" s="30" t="s">
        <v>102</v>
      </c>
      <c r="F25" s="33" t="str">
        <f>IFERROR(__xludf.DUMMYFUNCTION("( (GOOGLEFINANCE(C25, ""price"") - Q25) / Q25 ) / (R25 / 100)"),"Loading...")</f>
        <v>Loading...</v>
      </c>
      <c r="G25" s="20" t="str">
        <f>IFERROR(__xludf.DUMMYFUNCTION("AVERAGE(ARRAYFORMULA(100 * (QUERY(GOOGLEFINANCE(C25, ""high"", TODAY()-40, TODAY()), ""SELECT Col2 WHERE Col2 IS NOT NULL ORDER BY Col1 DESC LIMIT 20"", 0) / QUERY(GOOGLEFINANCE(C25, ""low"", TODAY()-40, TODAY()), ""SELECT Col2 WHERE Col2 IS NOT NULL ORDE"&amp;"R BY Col1 DESC LIMIT 20"", 0) - 1)))"),"#N/A")</f>
        <v>#N/A</v>
      </c>
      <c r="H25" s="35" t="str">
        <f t="shared" si="6"/>
        <v/>
      </c>
      <c r="I25" s="36" t="str">
        <f t="shared" si="7"/>
        <v/>
      </c>
      <c r="J25" s="37" t="str">
        <f>IFERROR(__xludf.DUMMYFUNCTION("IFERROR(
  IF(C25="""",, 
    IFERROR(
      GOOGLEFINANCE(C25, ""price"") * GOOGLEFINANCE(C25, ""volumeavg""), 
      GOOGLEFINANCE(C25, ""price"") * AVERAGE(QUERY(GOOGLEFINANCE(C25, ""volume"", TODAY()-40, TODAY()), ""SELECT Col2 WHERE Col2 IS NOT NULL "&amp;"ORDER BY Col1 DESC LIMIT 20"", 0))
    )
  ), 
"""")"),"")</f>
        <v/>
      </c>
      <c r="K25" s="21" t="str">
        <f>IFERROR(__xludf.DUMMYFUNCTION("IFERROR(GOOGLEFINANCE(C25, ""changepct"") / 100, """")"),"")</f>
        <v/>
      </c>
      <c r="L25" s="21" t="str">
        <f>IFERROR(__xludf.DUMMYFUNCTION("IFERROR((GOOGLEFINANCE(C25, ""price"") / INDEX(GOOGLEFINANCE(C25, ""price"", TODAY()-7, TODAY()), 2, 2)) - 1, """")"),"")</f>
        <v/>
      </c>
      <c r="M25" s="21" t="str">
        <f>IFERROR(__xludf.DUMMYFUNCTION("IFERROR((GOOGLEFINANCE(C25, ""price"") / INDEX(GOOGLEFINANCE(C25, ""price"", EDATE(TODAY(), -1), TODAY()), 2, 2)) - 1, """")"),"")</f>
        <v/>
      </c>
      <c r="N25" s="21" t="str">
        <f>IFERROR(__xludf.DUMMYFUNCTION("IFERROR((GOOGLEFINANCE(C25, ""price"") / INDEX(GOOGLEFINANCE(C25, ""price"", EDATE(TODAY(), -3), TODAY()), 2, 2)) - 1, """")"),"")</f>
        <v/>
      </c>
      <c r="O25" s="21" t="str">
        <f>IFERROR(__xludf.DUMMYFUNCTION("IFERROR((GOOGLEFINANCE(C25, ""price"") / INDEX(GOOGLEFINANCE(C25, ""price"", EDATE(TODAY(), -6), TODAY()), 2, 2)) - 1, """")"),"")</f>
        <v/>
      </c>
      <c r="P25" s="21" t="str">
        <f>IFERROR(__xludf.DUMMYFUNCTION("IFERROR((GOOGLEFINANCE(C25, ""price"") / INDEX(GOOGLEFINANCE(C25, ""price"", EDATE(TODAY(), -12), TODAY()), 2, 2)) - 1, """")"),"")</f>
        <v/>
      </c>
      <c r="Q25" s="6" t="str">
        <f>IFERROR(__xludf.DUMMYFUNCTION("AVERAGE(QUERY(GOOGLEFINANCE(C25, ""price"", TODAY()-80, TODAY()), ""SELECT Col2 WHERE Col2 IS NOT NULL ORDER BY Col1 DESC LIMIT 50"", 0))"),"#N/A")</f>
        <v>#N/A</v>
      </c>
      <c r="R25" s="24" t="str">
        <f>IFERROR(__xludf.DUMMYFUNCTION("IFERROR(
  LET(
    data, QUERY(GOOGLEFINANCE(C25,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GOOGLEFINANCE(C25, ""price"")) * 100,
    IF(calc=0, G25, calc)
  ), 
G25)"),"#N/A")</f>
        <v>#N/A</v>
      </c>
      <c r="S25" s="8" t="s">
        <v>15</v>
      </c>
      <c r="T25" s="26" t="str">
        <f>IFERROR(__xludf.DUMMYFUNCTION("IFERROR(TRANSPOSE(QUERY(IFERROR(SORT(GOOGLEFINANCE(C25, ""price"", WORKDAY(TODAY(), -40), TODAY()), 1, FALSE)), ""select Col2 where Col2 is not null limit 22 label Col2 ''"", 0)), """")"),"")</f>
        <v/>
      </c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8"/>
      <c r="AO25" s="28"/>
      <c r="AP25" s="29"/>
      <c r="AQ25" s="29" t="str">
        <f t="shared" ref="AQ25:BL25" si="28">T25/T$2</f>
        <v>#N/A</v>
      </c>
      <c r="AR25" s="29" t="str">
        <f t="shared" si="28"/>
        <v>#DIV/0!</v>
      </c>
      <c r="AS25" s="29" t="str">
        <f t="shared" si="28"/>
        <v>#DIV/0!</v>
      </c>
      <c r="AT25" s="29" t="str">
        <f t="shared" si="28"/>
        <v>#DIV/0!</v>
      </c>
      <c r="AU25" s="29" t="str">
        <f t="shared" si="28"/>
        <v>#DIV/0!</v>
      </c>
      <c r="AV25" s="29" t="str">
        <f t="shared" si="28"/>
        <v>#DIV/0!</v>
      </c>
      <c r="AW25" s="29" t="str">
        <f t="shared" si="28"/>
        <v>#DIV/0!</v>
      </c>
      <c r="AX25" s="29" t="str">
        <f t="shared" si="28"/>
        <v>#DIV/0!</v>
      </c>
      <c r="AY25" s="29" t="str">
        <f t="shared" si="28"/>
        <v>#DIV/0!</v>
      </c>
      <c r="AZ25" s="29" t="str">
        <f t="shared" si="28"/>
        <v>#DIV/0!</v>
      </c>
      <c r="BA25" s="29" t="str">
        <f t="shared" si="28"/>
        <v>#DIV/0!</v>
      </c>
      <c r="BB25" s="29" t="str">
        <f t="shared" si="28"/>
        <v>#DIV/0!</v>
      </c>
      <c r="BC25" s="29" t="str">
        <f t="shared" si="28"/>
        <v>#DIV/0!</v>
      </c>
      <c r="BD25" s="29" t="str">
        <f t="shared" si="28"/>
        <v>#DIV/0!</v>
      </c>
      <c r="BE25" s="29" t="str">
        <f t="shared" si="28"/>
        <v>#DIV/0!</v>
      </c>
      <c r="BF25" s="29" t="str">
        <f t="shared" si="28"/>
        <v>#DIV/0!</v>
      </c>
      <c r="BG25" s="29" t="str">
        <f t="shared" si="28"/>
        <v>#DIV/0!</v>
      </c>
      <c r="BH25" s="29" t="str">
        <f t="shared" si="28"/>
        <v>#DIV/0!</v>
      </c>
      <c r="BI25" s="29" t="str">
        <f t="shared" si="28"/>
        <v>#DIV/0!</v>
      </c>
      <c r="BJ25" s="29" t="str">
        <f t="shared" si="28"/>
        <v>#DIV/0!</v>
      </c>
      <c r="BK25" s="29" t="str">
        <f t="shared" si="28"/>
        <v>#DIV/0!</v>
      </c>
      <c r="BL25" s="29" t="str">
        <f t="shared" si="28"/>
        <v>#DIV/0!</v>
      </c>
      <c r="BM25" s="29" t="str">
        <f t="shared" si="3"/>
        <v>#DIV/0!</v>
      </c>
    </row>
    <row r="26">
      <c r="A26" s="16" t="str">
        <f>IFERROR(__xludf.DUMMYFUNCTION("IFERROR(SPARKLINE(SORT(MAP(TRANSPOSE(AQ26:BL26), LAMBDA(val, IF(ISNUMBER(val), PERCENTRANK(AQ26:BL26, val)+0.01, 0))), SEQUENCE(COLUMNS(AQ26:BL26)), FALSE), {""charttype"",""column""; ""color"",""chartreuse""; ""ymin"", 0; ""ymax"", 1.01; ""highcolor"", "&amp;"""darkgreen""; ""lowcolor"", ""red""}), """")"),"")</f>
        <v/>
      </c>
      <c r="B26" s="17" t="str">
        <f t="shared" si="4"/>
        <v/>
      </c>
      <c r="C26" s="1" t="s">
        <v>163</v>
      </c>
      <c r="D26" s="30" t="str">
        <f>IFERROR(__xludf.DUMMYFUNCTION("IFERROR(GOOGLEFINANCE(C26, ""NAME""))"),"C3.ai Inc")</f>
        <v>C3.ai Inc</v>
      </c>
      <c r="E26" s="30" t="s">
        <v>58</v>
      </c>
      <c r="F26" s="33" t="str">
        <f>IFERROR(__xludf.DUMMYFUNCTION("( (GOOGLEFINANCE(C26, ""price"") - Q26) / Q26 ) / (R26 / 100)"),"Loading...")</f>
        <v>Loading...</v>
      </c>
      <c r="G26" s="20" t="str">
        <f>IFERROR(__xludf.DUMMYFUNCTION("AVERAGE(ARRAYFORMULA(100 * (QUERY(GOOGLEFINANCE(C26, ""high"", TODAY()-40, TODAY()), ""SELECT Col2 WHERE Col2 IS NOT NULL ORDER BY Col1 DESC LIMIT 20"", 0) / QUERY(GOOGLEFINANCE(C26, ""low"", TODAY()-40, TODAY()), ""SELECT Col2 WHERE Col2 IS NOT NULL ORDE"&amp;"R BY Col1 DESC LIMIT 20"", 0) - 1)))"),"#N/A")</f>
        <v>#N/A</v>
      </c>
      <c r="H26" s="35" t="str">
        <f t="shared" si="6"/>
        <v/>
      </c>
      <c r="I26" s="36" t="str">
        <f t="shared" si="7"/>
        <v/>
      </c>
      <c r="J26" s="37" t="str">
        <f>IFERROR(__xludf.DUMMYFUNCTION("IFERROR(
  IF(C26="""",, 
    IFERROR(
      GOOGLEFINANCE(C26, ""price"") * GOOGLEFINANCE(C26, ""volumeavg""), 
      GOOGLEFINANCE(C26, ""price"") * AVERAGE(QUERY(GOOGLEFINANCE(C26, ""volume"", TODAY()-40, TODAY()), ""SELECT Col2 WHERE Col2 IS NOT NULL "&amp;"ORDER BY Col1 DESC LIMIT 20"", 0))
    )
  ), 
"""")"),"")</f>
        <v/>
      </c>
      <c r="K26" s="21" t="str">
        <f>IFERROR(__xludf.DUMMYFUNCTION("IFERROR(GOOGLEFINANCE(C26, ""changepct"") / 100, """")"),"")</f>
        <v/>
      </c>
      <c r="L26" s="21" t="str">
        <f>IFERROR(__xludf.DUMMYFUNCTION("IFERROR((GOOGLEFINANCE(C26, ""price"") / INDEX(GOOGLEFINANCE(C26, ""price"", TODAY()-7, TODAY()), 2, 2)) - 1, """")"),"")</f>
        <v/>
      </c>
      <c r="M26" s="21" t="str">
        <f>IFERROR(__xludf.DUMMYFUNCTION("IFERROR((GOOGLEFINANCE(C26, ""price"") / INDEX(GOOGLEFINANCE(C26, ""price"", EDATE(TODAY(), -1), TODAY()), 2, 2)) - 1, """")"),"")</f>
        <v/>
      </c>
      <c r="N26" s="21" t="str">
        <f>IFERROR(__xludf.DUMMYFUNCTION("IFERROR((GOOGLEFINANCE(C26, ""price"") / INDEX(GOOGLEFINANCE(C26, ""price"", EDATE(TODAY(), -3), TODAY()), 2, 2)) - 1, """")"),"")</f>
        <v/>
      </c>
      <c r="O26" s="21" t="str">
        <f>IFERROR(__xludf.DUMMYFUNCTION("IFERROR((GOOGLEFINANCE(C26, ""price"") / INDEX(GOOGLEFINANCE(C26, ""price"", EDATE(TODAY(), -6), TODAY()), 2, 2)) - 1, """")"),"")</f>
        <v/>
      </c>
      <c r="P26" s="21" t="str">
        <f>IFERROR(__xludf.DUMMYFUNCTION("IFERROR((GOOGLEFINANCE(C26, ""price"") / INDEX(GOOGLEFINANCE(C26, ""price"", EDATE(TODAY(), -12), TODAY()), 2, 2)) - 1, """")"),"")</f>
        <v/>
      </c>
      <c r="Q26" s="6" t="str">
        <f>IFERROR(__xludf.DUMMYFUNCTION("AVERAGE(QUERY(GOOGLEFINANCE(C26, ""price"", TODAY()-80, TODAY()), ""SELECT Col2 WHERE Col2 IS NOT NULL ORDER BY Col1 DESC LIMIT 50"", 0))"),"#N/A")</f>
        <v>#N/A</v>
      </c>
      <c r="R26" s="24" t="str">
        <f>IFERROR(__xludf.DUMMYFUNCTION("IFERROR(
  LET(
    data, QUERY(GOOGLEFINANCE(C26,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GOOGLEFINANCE(C26, ""price"")) * 100,
    IF(calc=0, G26, calc)
  ), 
G26)"),"#N/A")</f>
        <v>#N/A</v>
      </c>
      <c r="S26" s="8" t="s">
        <v>15</v>
      </c>
      <c r="T26" s="26" t="str">
        <f>IFERROR(__xludf.DUMMYFUNCTION("IFERROR(TRANSPOSE(QUERY(IFERROR(SORT(GOOGLEFINANCE(C26, ""price"", WORKDAY(TODAY(), -40), TODAY()), 1, FALSE)), ""select Col2 where Col2 is not null limit 22 label Col2 ''"", 0)), """")"),"")</f>
        <v/>
      </c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8"/>
      <c r="AO26" s="28"/>
      <c r="AP26" s="29"/>
      <c r="AQ26" s="29" t="str">
        <f t="shared" ref="AQ26:BL26" si="29">T26/T$2</f>
        <v>#N/A</v>
      </c>
      <c r="AR26" s="29" t="str">
        <f t="shared" si="29"/>
        <v>#DIV/0!</v>
      </c>
      <c r="AS26" s="29" t="str">
        <f t="shared" si="29"/>
        <v>#DIV/0!</v>
      </c>
      <c r="AT26" s="29" t="str">
        <f t="shared" si="29"/>
        <v>#DIV/0!</v>
      </c>
      <c r="AU26" s="29" t="str">
        <f t="shared" si="29"/>
        <v>#DIV/0!</v>
      </c>
      <c r="AV26" s="29" t="str">
        <f t="shared" si="29"/>
        <v>#DIV/0!</v>
      </c>
      <c r="AW26" s="29" t="str">
        <f t="shared" si="29"/>
        <v>#DIV/0!</v>
      </c>
      <c r="AX26" s="29" t="str">
        <f t="shared" si="29"/>
        <v>#DIV/0!</v>
      </c>
      <c r="AY26" s="29" t="str">
        <f t="shared" si="29"/>
        <v>#DIV/0!</v>
      </c>
      <c r="AZ26" s="29" t="str">
        <f t="shared" si="29"/>
        <v>#DIV/0!</v>
      </c>
      <c r="BA26" s="29" t="str">
        <f t="shared" si="29"/>
        <v>#DIV/0!</v>
      </c>
      <c r="BB26" s="29" t="str">
        <f t="shared" si="29"/>
        <v>#DIV/0!</v>
      </c>
      <c r="BC26" s="29" t="str">
        <f t="shared" si="29"/>
        <v>#DIV/0!</v>
      </c>
      <c r="BD26" s="29" t="str">
        <f t="shared" si="29"/>
        <v>#DIV/0!</v>
      </c>
      <c r="BE26" s="29" t="str">
        <f t="shared" si="29"/>
        <v>#DIV/0!</v>
      </c>
      <c r="BF26" s="29" t="str">
        <f t="shared" si="29"/>
        <v>#DIV/0!</v>
      </c>
      <c r="BG26" s="29" t="str">
        <f t="shared" si="29"/>
        <v>#DIV/0!</v>
      </c>
      <c r="BH26" s="29" t="str">
        <f t="shared" si="29"/>
        <v>#DIV/0!</v>
      </c>
      <c r="BI26" s="29" t="str">
        <f t="shared" si="29"/>
        <v>#DIV/0!</v>
      </c>
      <c r="BJ26" s="29" t="str">
        <f t="shared" si="29"/>
        <v>#DIV/0!</v>
      </c>
      <c r="BK26" s="29" t="str">
        <f t="shared" si="29"/>
        <v>#DIV/0!</v>
      </c>
      <c r="BL26" s="29" t="str">
        <f t="shared" si="29"/>
        <v>#DIV/0!</v>
      </c>
      <c r="BM26" s="29" t="str">
        <f t="shared" si="3"/>
        <v>#DIV/0!</v>
      </c>
    </row>
    <row r="27">
      <c r="A27" s="16" t="str">
        <f>IFERROR(__xludf.DUMMYFUNCTION("IFERROR(SPARKLINE(SORT(MAP(TRANSPOSE(AQ27:BL27), LAMBDA(val, IF(ISNUMBER(val), PERCENTRANK(AQ27:BL27, val)+0.01, 0))), SEQUENCE(COLUMNS(AQ27:BL27)), FALSE), {""charttype"",""column""; ""color"",""chartreuse""; ""ymin"", 0; ""ymax"", 1.01; ""highcolor"", "&amp;"""darkgreen""; ""lowcolor"", ""red""}), """")"),"")</f>
        <v/>
      </c>
      <c r="B27" s="17" t="str">
        <f t="shared" si="4"/>
        <v/>
      </c>
      <c r="C27" s="1" t="s">
        <v>168</v>
      </c>
      <c r="D27" s="30" t="str">
        <f>IFERROR(__xludf.DUMMYFUNCTION("IFERROR(GOOGLEFINANCE(C27, ""NAME""))"),"Zoominfo Technologies Inc")</f>
        <v>Zoominfo Technologies Inc</v>
      </c>
      <c r="E27" s="30" t="s">
        <v>48</v>
      </c>
      <c r="F27" s="33" t="str">
        <f>IFERROR(__xludf.DUMMYFUNCTION("( (GOOGLEFINANCE(C27, ""price"") - Q27) / Q27 ) / (R27 / 100)"),"Loading...")</f>
        <v>Loading...</v>
      </c>
      <c r="G27" s="20" t="str">
        <f>IFERROR(__xludf.DUMMYFUNCTION("AVERAGE(ARRAYFORMULA(100 * (QUERY(GOOGLEFINANCE(C27, ""high"", TODAY()-40, TODAY()), ""SELECT Col2 WHERE Col2 IS NOT NULL ORDER BY Col1 DESC LIMIT 20"", 0) / QUERY(GOOGLEFINANCE(C27, ""low"", TODAY()-40, TODAY()), ""SELECT Col2 WHERE Col2 IS NOT NULL ORDE"&amp;"R BY Col1 DESC LIMIT 20"", 0) - 1)))"),"#N/A")</f>
        <v>#N/A</v>
      </c>
      <c r="H27" s="35" t="str">
        <f t="shared" si="6"/>
        <v/>
      </c>
      <c r="I27" s="36" t="str">
        <f t="shared" si="7"/>
        <v/>
      </c>
      <c r="J27" s="37" t="str">
        <f>IFERROR(__xludf.DUMMYFUNCTION("IFERROR(
  IF(C27="""",, 
    IFERROR(
      GOOGLEFINANCE(C27, ""price"") * GOOGLEFINANCE(C27, ""volumeavg""), 
      GOOGLEFINANCE(C27, ""price"") * AVERAGE(QUERY(GOOGLEFINANCE(C27, ""volume"", TODAY()-40, TODAY()), ""SELECT Col2 WHERE Col2 IS NOT NULL "&amp;"ORDER BY Col1 DESC LIMIT 20"", 0))
    )
  ), 
"""")"),"")</f>
        <v/>
      </c>
      <c r="K27" s="21" t="str">
        <f>IFERROR(__xludf.DUMMYFUNCTION("IFERROR(GOOGLEFINANCE(C27, ""changepct"") / 100, """")"),"")</f>
        <v/>
      </c>
      <c r="L27" s="21" t="str">
        <f>IFERROR(__xludf.DUMMYFUNCTION("IFERROR((GOOGLEFINANCE(C27, ""price"") / INDEX(GOOGLEFINANCE(C27, ""price"", TODAY()-7, TODAY()), 2, 2)) - 1, """")"),"")</f>
        <v/>
      </c>
      <c r="M27" s="21" t="str">
        <f>IFERROR(__xludf.DUMMYFUNCTION("IFERROR((GOOGLEFINANCE(C27, ""price"") / INDEX(GOOGLEFINANCE(C27, ""price"", EDATE(TODAY(), -1), TODAY()), 2, 2)) - 1, """")"),"")</f>
        <v/>
      </c>
      <c r="N27" s="21" t="str">
        <f>IFERROR(__xludf.DUMMYFUNCTION("IFERROR((GOOGLEFINANCE(C27, ""price"") / INDEX(GOOGLEFINANCE(C27, ""price"", EDATE(TODAY(), -3), TODAY()), 2, 2)) - 1, """")"),"")</f>
        <v/>
      </c>
      <c r="O27" s="21" t="str">
        <f>IFERROR(__xludf.DUMMYFUNCTION("IFERROR((GOOGLEFINANCE(C27, ""price"") / INDEX(GOOGLEFINANCE(C27, ""price"", EDATE(TODAY(), -6), TODAY()), 2, 2)) - 1, """")"),"")</f>
        <v/>
      </c>
      <c r="P27" s="21" t="str">
        <f>IFERROR(__xludf.DUMMYFUNCTION("IFERROR((GOOGLEFINANCE(C27, ""price"") / INDEX(GOOGLEFINANCE(C27, ""price"", EDATE(TODAY(), -12), TODAY()), 2, 2)) - 1, """")"),"")</f>
        <v/>
      </c>
      <c r="Q27" s="6" t="str">
        <f>IFERROR(__xludf.DUMMYFUNCTION("AVERAGE(QUERY(GOOGLEFINANCE(C27, ""price"", TODAY()-80, TODAY()), ""SELECT Col2 WHERE Col2 IS NOT NULL ORDER BY Col1 DESC LIMIT 50"", 0))"),"#N/A")</f>
        <v>#N/A</v>
      </c>
      <c r="R27" s="24" t="str">
        <f>IFERROR(__xludf.DUMMYFUNCTION("IFERROR(
  LET(
    data, QUERY(GOOGLEFINANCE(C27,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GOOGLEFINANCE(C27, ""price"")) * 100,
    IF(calc=0, G27, calc)
  ), 
G27)"),"#N/A")</f>
        <v>#N/A</v>
      </c>
      <c r="S27" s="8" t="s">
        <v>15</v>
      </c>
      <c r="T27" s="26" t="str">
        <f>IFERROR(__xludf.DUMMYFUNCTION("IFERROR(TRANSPOSE(QUERY(IFERROR(SORT(GOOGLEFINANCE(C27, ""price"", WORKDAY(TODAY(), -40), TODAY()), 1, FALSE)), ""select Col2 where Col2 is not null limit 22 label Col2 ''"", 0)), """")"),"")</f>
        <v/>
      </c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8"/>
      <c r="AO27" s="28"/>
      <c r="AP27" s="29"/>
      <c r="AQ27" s="29" t="str">
        <f t="shared" ref="AQ27:BL27" si="30">T27/T$2</f>
        <v>#N/A</v>
      </c>
      <c r="AR27" s="29" t="str">
        <f t="shared" si="30"/>
        <v>#DIV/0!</v>
      </c>
      <c r="AS27" s="29" t="str">
        <f t="shared" si="30"/>
        <v>#DIV/0!</v>
      </c>
      <c r="AT27" s="29" t="str">
        <f t="shared" si="30"/>
        <v>#DIV/0!</v>
      </c>
      <c r="AU27" s="29" t="str">
        <f t="shared" si="30"/>
        <v>#DIV/0!</v>
      </c>
      <c r="AV27" s="29" t="str">
        <f t="shared" si="30"/>
        <v>#DIV/0!</v>
      </c>
      <c r="AW27" s="29" t="str">
        <f t="shared" si="30"/>
        <v>#DIV/0!</v>
      </c>
      <c r="AX27" s="29" t="str">
        <f t="shared" si="30"/>
        <v>#DIV/0!</v>
      </c>
      <c r="AY27" s="29" t="str">
        <f t="shared" si="30"/>
        <v>#DIV/0!</v>
      </c>
      <c r="AZ27" s="29" t="str">
        <f t="shared" si="30"/>
        <v>#DIV/0!</v>
      </c>
      <c r="BA27" s="29" t="str">
        <f t="shared" si="30"/>
        <v>#DIV/0!</v>
      </c>
      <c r="BB27" s="29" t="str">
        <f t="shared" si="30"/>
        <v>#DIV/0!</v>
      </c>
      <c r="BC27" s="29" t="str">
        <f t="shared" si="30"/>
        <v>#DIV/0!</v>
      </c>
      <c r="BD27" s="29" t="str">
        <f t="shared" si="30"/>
        <v>#DIV/0!</v>
      </c>
      <c r="BE27" s="29" t="str">
        <f t="shared" si="30"/>
        <v>#DIV/0!</v>
      </c>
      <c r="BF27" s="29" t="str">
        <f t="shared" si="30"/>
        <v>#DIV/0!</v>
      </c>
      <c r="BG27" s="29" t="str">
        <f t="shared" si="30"/>
        <v>#DIV/0!</v>
      </c>
      <c r="BH27" s="29" t="str">
        <f t="shared" si="30"/>
        <v>#DIV/0!</v>
      </c>
      <c r="BI27" s="29" t="str">
        <f t="shared" si="30"/>
        <v>#DIV/0!</v>
      </c>
      <c r="BJ27" s="29" t="str">
        <f t="shared" si="30"/>
        <v>#DIV/0!</v>
      </c>
      <c r="BK27" s="29" t="str">
        <f t="shared" si="30"/>
        <v>#DIV/0!</v>
      </c>
      <c r="BL27" s="29" t="str">
        <f t="shared" si="30"/>
        <v>#DIV/0!</v>
      </c>
      <c r="BM27" s="29" t="str">
        <f t="shared" si="3"/>
        <v>#DIV/0!</v>
      </c>
    </row>
    <row r="28">
      <c r="A28" s="16" t="str">
        <f>IFERROR(__xludf.DUMMYFUNCTION("IFERROR(SPARKLINE(SORT(MAP(TRANSPOSE(AQ28:BL28), LAMBDA(val, IF(ISNUMBER(val), PERCENTRANK(AQ28:BL28, val)+0.01, 0))), SEQUENCE(COLUMNS(AQ28:BL28)), FALSE), {""charttype"",""column""; ""color"",""chartreuse""; ""ymin"", 0; ""ymax"", 1.01; ""highcolor"", "&amp;"""darkgreen""; ""lowcolor"", ""red""}), """")"),"")</f>
        <v/>
      </c>
      <c r="B28" s="17" t="str">
        <f t="shared" si="4"/>
        <v/>
      </c>
      <c r="C28" s="1" t="s">
        <v>173</v>
      </c>
      <c r="D28" s="30" t="str">
        <f>IFERROR(__xludf.DUMMYFUNCTION("IFERROR(GOOGLEFINANCE(C28, ""NAME""))"),"Blend Labs Inc")</f>
        <v>Blend Labs Inc</v>
      </c>
      <c r="E28" s="30" t="s">
        <v>48</v>
      </c>
      <c r="F28" s="33" t="str">
        <f>IFERROR(__xludf.DUMMYFUNCTION("( (GOOGLEFINANCE(C28, ""price"") - Q28) / Q28 ) / (R28 / 100)"),"Loading...")</f>
        <v>Loading...</v>
      </c>
      <c r="G28" s="20" t="str">
        <f>IFERROR(__xludf.DUMMYFUNCTION("AVERAGE(ARRAYFORMULA(100 * (QUERY(GOOGLEFINANCE(C28, ""high"", TODAY()-40, TODAY()), ""SELECT Col2 WHERE Col2 IS NOT NULL ORDER BY Col1 DESC LIMIT 20"", 0) / QUERY(GOOGLEFINANCE(C28, ""low"", TODAY()-40, TODAY()), ""SELECT Col2 WHERE Col2 IS NOT NULL ORDE"&amp;"R BY Col1 DESC LIMIT 20"", 0) - 1)))"),"#N/A")</f>
        <v>#N/A</v>
      </c>
      <c r="H28" s="35" t="str">
        <f t="shared" si="6"/>
        <v/>
      </c>
      <c r="I28" s="36" t="str">
        <f t="shared" si="7"/>
        <v/>
      </c>
      <c r="J28" s="37" t="str">
        <f>IFERROR(__xludf.DUMMYFUNCTION("IFERROR(
  IF(C28="""",, 
    IFERROR(
      GOOGLEFINANCE(C28, ""price"") * GOOGLEFINANCE(C28, ""volumeavg""), 
      GOOGLEFINANCE(C28, ""price"") * AVERAGE(QUERY(GOOGLEFINANCE(C28, ""volume"", TODAY()-40, TODAY()), ""SELECT Col2 WHERE Col2 IS NOT NULL "&amp;"ORDER BY Col1 DESC LIMIT 20"", 0))
    )
  ), 
"""")"),"")</f>
        <v/>
      </c>
      <c r="K28" s="21" t="str">
        <f>IFERROR(__xludf.DUMMYFUNCTION("IFERROR(GOOGLEFINANCE(C28, ""changepct"") / 100, """")"),"")</f>
        <v/>
      </c>
      <c r="L28" s="21" t="str">
        <f>IFERROR(__xludf.DUMMYFUNCTION("IFERROR((GOOGLEFINANCE(C28, ""price"") / INDEX(GOOGLEFINANCE(C28, ""price"", TODAY()-7, TODAY()), 2, 2)) - 1, """")"),"")</f>
        <v/>
      </c>
      <c r="M28" s="21" t="str">
        <f>IFERROR(__xludf.DUMMYFUNCTION("IFERROR((GOOGLEFINANCE(C28, ""price"") / INDEX(GOOGLEFINANCE(C28, ""price"", EDATE(TODAY(), -1), TODAY()), 2, 2)) - 1, """")"),"")</f>
        <v/>
      </c>
      <c r="N28" s="21" t="str">
        <f>IFERROR(__xludf.DUMMYFUNCTION("IFERROR((GOOGLEFINANCE(C28, ""price"") / INDEX(GOOGLEFINANCE(C28, ""price"", EDATE(TODAY(), -3), TODAY()), 2, 2)) - 1, """")"),"")</f>
        <v/>
      </c>
      <c r="O28" s="21" t="str">
        <f>IFERROR(__xludf.DUMMYFUNCTION("IFERROR((GOOGLEFINANCE(C28, ""price"") / INDEX(GOOGLEFINANCE(C28, ""price"", EDATE(TODAY(), -6), TODAY()), 2, 2)) - 1, """")"),"")</f>
        <v/>
      </c>
      <c r="P28" s="21" t="str">
        <f>IFERROR(__xludf.DUMMYFUNCTION("IFERROR((GOOGLEFINANCE(C28, ""price"") / INDEX(GOOGLEFINANCE(C28, ""price"", EDATE(TODAY(), -12), TODAY()), 2, 2)) - 1, """")"),"")</f>
        <v/>
      </c>
      <c r="Q28" s="6" t="str">
        <f>IFERROR(__xludf.DUMMYFUNCTION("AVERAGE(QUERY(GOOGLEFINANCE(C28, ""price"", TODAY()-80, TODAY()), ""SELECT Col2 WHERE Col2 IS NOT NULL ORDER BY Col1 DESC LIMIT 50"", 0))"),"#N/A")</f>
        <v>#N/A</v>
      </c>
      <c r="R28" s="24" t="str">
        <f>IFERROR(__xludf.DUMMYFUNCTION("IFERROR(
  LET(
    data, QUERY(GOOGLEFINANCE(C28,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GOOGLEFINANCE(C28, ""price"")) * 100,
    IF(calc=0, G28, calc)
  ), 
G28)"),"#N/A")</f>
        <v>#N/A</v>
      </c>
      <c r="S28" s="8" t="s">
        <v>15</v>
      </c>
      <c r="T28" s="26" t="str">
        <f>IFERROR(__xludf.DUMMYFUNCTION("IFERROR(TRANSPOSE(QUERY(IFERROR(SORT(GOOGLEFINANCE(C28, ""price"", WORKDAY(TODAY(), -40), TODAY()), 1, FALSE)), ""select Col2 where Col2 is not null limit 22 label Col2 ''"", 0)), """")"),"")</f>
        <v/>
      </c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8"/>
      <c r="AO28" s="28"/>
      <c r="AP28" s="29"/>
      <c r="AQ28" s="29" t="str">
        <f t="shared" ref="AQ28:BL28" si="31">T28/T$2</f>
        <v>#N/A</v>
      </c>
      <c r="AR28" s="29" t="str">
        <f t="shared" si="31"/>
        <v>#DIV/0!</v>
      </c>
      <c r="AS28" s="29" t="str">
        <f t="shared" si="31"/>
        <v>#DIV/0!</v>
      </c>
      <c r="AT28" s="29" t="str">
        <f t="shared" si="31"/>
        <v>#DIV/0!</v>
      </c>
      <c r="AU28" s="29" t="str">
        <f t="shared" si="31"/>
        <v>#DIV/0!</v>
      </c>
      <c r="AV28" s="29" t="str">
        <f t="shared" si="31"/>
        <v>#DIV/0!</v>
      </c>
      <c r="AW28" s="29" t="str">
        <f t="shared" si="31"/>
        <v>#DIV/0!</v>
      </c>
      <c r="AX28" s="29" t="str">
        <f t="shared" si="31"/>
        <v>#DIV/0!</v>
      </c>
      <c r="AY28" s="29" t="str">
        <f t="shared" si="31"/>
        <v>#DIV/0!</v>
      </c>
      <c r="AZ28" s="29" t="str">
        <f t="shared" si="31"/>
        <v>#DIV/0!</v>
      </c>
      <c r="BA28" s="29" t="str">
        <f t="shared" si="31"/>
        <v>#DIV/0!</v>
      </c>
      <c r="BB28" s="29" t="str">
        <f t="shared" si="31"/>
        <v>#DIV/0!</v>
      </c>
      <c r="BC28" s="29" t="str">
        <f t="shared" si="31"/>
        <v>#DIV/0!</v>
      </c>
      <c r="BD28" s="29" t="str">
        <f t="shared" si="31"/>
        <v>#DIV/0!</v>
      </c>
      <c r="BE28" s="29" t="str">
        <f t="shared" si="31"/>
        <v>#DIV/0!</v>
      </c>
      <c r="BF28" s="29" t="str">
        <f t="shared" si="31"/>
        <v>#DIV/0!</v>
      </c>
      <c r="BG28" s="29" t="str">
        <f t="shared" si="31"/>
        <v>#DIV/0!</v>
      </c>
      <c r="BH28" s="29" t="str">
        <f t="shared" si="31"/>
        <v>#DIV/0!</v>
      </c>
      <c r="BI28" s="29" t="str">
        <f t="shared" si="31"/>
        <v>#DIV/0!</v>
      </c>
      <c r="BJ28" s="29" t="str">
        <f t="shared" si="31"/>
        <v>#DIV/0!</v>
      </c>
      <c r="BK28" s="29" t="str">
        <f t="shared" si="31"/>
        <v>#DIV/0!</v>
      </c>
      <c r="BL28" s="29" t="str">
        <f t="shared" si="31"/>
        <v>#DIV/0!</v>
      </c>
      <c r="BM28" s="29" t="str">
        <f t="shared" si="3"/>
        <v>#DIV/0!</v>
      </c>
    </row>
    <row r="29">
      <c r="A29" s="16" t="str">
        <f>IFERROR(__xludf.DUMMYFUNCTION("IFERROR(SPARKLINE(SORT(MAP(TRANSPOSE(AQ29:BL29), LAMBDA(val, IF(ISNUMBER(val), PERCENTRANK(AQ29:BL29, val)+0.01, 0))), SEQUENCE(COLUMNS(AQ29:BL29)), FALSE), {""charttype"",""column""; ""color"",""chartreuse""; ""ymin"", 0; ""ymax"", 1.01; ""highcolor"", "&amp;"""darkgreen""; ""lowcolor"", ""red""}), """")"),"")</f>
        <v/>
      </c>
      <c r="B29" s="17" t="str">
        <f t="shared" si="4"/>
        <v/>
      </c>
      <c r="C29" s="1" t="s">
        <v>178</v>
      </c>
      <c r="D29" s="30" t="str">
        <f>IFERROR(__xludf.DUMMYFUNCTION("IFERROR(GOOGLEFINANCE(C29, ""NAME""))"),"Atlassian Corp")</f>
        <v>Atlassian Corp</v>
      </c>
      <c r="E29" s="30" t="s">
        <v>48</v>
      </c>
      <c r="F29" s="33" t="str">
        <f>IFERROR(__xludf.DUMMYFUNCTION("( (GOOGLEFINANCE(C29, ""price"") - Q29) / Q29 ) / (R29 / 100)"),"Loading...")</f>
        <v>Loading...</v>
      </c>
      <c r="G29" s="20" t="str">
        <f>IFERROR(__xludf.DUMMYFUNCTION("AVERAGE(ARRAYFORMULA(100 * (QUERY(GOOGLEFINANCE(C29, ""high"", TODAY()-40, TODAY()), ""SELECT Col2 WHERE Col2 IS NOT NULL ORDER BY Col1 DESC LIMIT 20"", 0) / QUERY(GOOGLEFINANCE(C29, ""low"", TODAY()-40, TODAY()), ""SELECT Col2 WHERE Col2 IS NOT NULL ORDE"&amp;"R BY Col1 DESC LIMIT 20"", 0) - 1)))"),"#N/A")</f>
        <v>#N/A</v>
      </c>
      <c r="H29" s="35" t="str">
        <f t="shared" si="6"/>
        <v/>
      </c>
      <c r="I29" s="36" t="str">
        <f t="shared" si="7"/>
        <v/>
      </c>
      <c r="J29" s="37" t="str">
        <f>IFERROR(__xludf.DUMMYFUNCTION("IFERROR(
  IF(C29="""",, 
    IFERROR(
      GOOGLEFINANCE(C29, ""price"") * GOOGLEFINANCE(C29, ""volumeavg""), 
      GOOGLEFINANCE(C29, ""price"") * AVERAGE(QUERY(GOOGLEFINANCE(C29, ""volume"", TODAY()-40, TODAY()), ""SELECT Col2 WHERE Col2 IS NOT NULL "&amp;"ORDER BY Col1 DESC LIMIT 20"", 0))
    )
  ), 
"""")"),"")</f>
        <v/>
      </c>
      <c r="K29" s="21" t="str">
        <f>IFERROR(__xludf.DUMMYFUNCTION("IFERROR(GOOGLEFINANCE(C29, ""changepct"") / 100, """")"),"")</f>
        <v/>
      </c>
      <c r="L29" s="21" t="str">
        <f>IFERROR(__xludf.DUMMYFUNCTION("IFERROR((GOOGLEFINANCE(C29, ""price"") / INDEX(GOOGLEFINANCE(C29, ""price"", TODAY()-7, TODAY()), 2, 2)) - 1, """")"),"")</f>
        <v/>
      </c>
      <c r="M29" s="21" t="str">
        <f>IFERROR(__xludf.DUMMYFUNCTION("IFERROR((GOOGLEFINANCE(C29, ""price"") / INDEX(GOOGLEFINANCE(C29, ""price"", EDATE(TODAY(), -1), TODAY()), 2, 2)) - 1, """")"),"")</f>
        <v/>
      </c>
      <c r="N29" s="21" t="str">
        <f>IFERROR(__xludf.DUMMYFUNCTION("IFERROR((GOOGLEFINANCE(C29, ""price"") / INDEX(GOOGLEFINANCE(C29, ""price"", EDATE(TODAY(), -3), TODAY()), 2, 2)) - 1, """")"),"")</f>
        <v/>
      </c>
      <c r="O29" s="21" t="str">
        <f>IFERROR(__xludf.DUMMYFUNCTION("IFERROR((GOOGLEFINANCE(C29, ""price"") / INDEX(GOOGLEFINANCE(C29, ""price"", EDATE(TODAY(), -6), TODAY()), 2, 2)) - 1, """")"),"")</f>
        <v/>
      </c>
      <c r="P29" s="21" t="str">
        <f>IFERROR(__xludf.DUMMYFUNCTION("IFERROR((GOOGLEFINANCE(C29, ""price"") / INDEX(GOOGLEFINANCE(C29, ""price"", EDATE(TODAY(), -12), TODAY()), 2, 2)) - 1, """")"),"")</f>
        <v/>
      </c>
      <c r="Q29" s="6" t="str">
        <f>IFERROR(__xludf.DUMMYFUNCTION("AVERAGE(QUERY(GOOGLEFINANCE(C29, ""price"", TODAY()-80, TODAY()), ""SELECT Col2 WHERE Col2 IS NOT NULL ORDER BY Col1 DESC LIMIT 50"", 0))"),"#N/A")</f>
        <v>#N/A</v>
      </c>
      <c r="R29" s="24" t="str">
        <f>IFERROR(__xludf.DUMMYFUNCTION("IFERROR(
  LET(
    data, QUERY(GOOGLEFINANCE(C29,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GOOGLEFINANCE(C29, ""price"")) * 100,
    IF(calc=0, G29, calc)
  ), 
G29)"),"#N/A")</f>
        <v>#N/A</v>
      </c>
      <c r="S29" s="8" t="s">
        <v>15</v>
      </c>
      <c r="T29" s="26" t="str">
        <f>IFERROR(__xludf.DUMMYFUNCTION("IFERROR(TRANSPOSE(QUERY(IFERROR(SORT(GOOGLEFINANCE(C29, ""price"", WORKDAY(TODAY(), -40), TODAY()), 1, FALSE)), ""select Col2 where Col2 is not null limit 22 label Col2 ''"", 0)), """")"),"")</f>
        <v/>
      </c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8"/>
      <c r="AO29" s="28"/>
      <c r="AP29" s="29"/>
      <c r="AQ29" s="29" t="str">
        <f t="shared" ref="AQ29:BL29" si="32">T29/T$2</f>
        <v>#N/A</v>
      </c>
      <c r="AR29" s="29" t="str">
        <f t="shared" si="32"/>
        <v>#DIV/0!</v>
      </c>
      <c r="AS29" s="29" t="str">
        <f t="shared" si="32"/>
        <v>#DIV/0!</v>
      </c>
      <c r="AT29" s="29" t="str">
        <f t="shared" si="32"/>
        <v>#DIV/0!</v>
      </c>
      <c r="AU29" s="29" t="str">
        <f t="shared" si="32"/>
        <v>#DIV/0!</v>
      </c>
      <c r="AV29" s="29" t="str">
        <f t="shared" si="32"/>
        <v>#DIV/0!</v>
      </c>
      <c r="AW29" s="29" t="str">
        <f t="shared" si="32"/>
        <v>#DIV/0!</v>
      </c>
      <c r="AX29" s="29" t="str">
        <f t="shared" si="32"/>
        <v>#DIV/0!</v>
      </c>
      <c r="AY29" s="29" t="str">
        <f t="shared" si="32"/>
        <v>#DIV/0!</v>
      </c>
      <c r="AZ29" s="29" t="str">
        <f t="shared" si="32"/>
        <v>#DIV/0!</v>
      </c>
      <c r="BA29" s="29" t="str">
        <f t="shared" si="32"/>
        <v>#DIV/0!</v>
      </c>
      <c r="BB29" s="29" t="str">
        <f t="shared" si="32"/>
        <v>#DIV/0!</v>
      </c>
      <c r="BC29" s="29" t="str">
        <f t="shared" si="32"/>
        <v>#DIV/0!</v>
      </c>
      <c r="BD29" s="29" t="str">
        <f t="shared" si="32"/>
        <v>#DIV/0!</v>
      </c>
      <c r="BE29" s="29" t="str">
        <f t="shared" si="32"/>
        <v>#DIV/0!</v>
      </c>
      <c r="BF29" s="29" t="str">
        <f t="shared" si="32"/>
        <v>#DIV/0!</v>
      </c>
      <c r="BG29" s="29" t="str">
        <f t="shared" si="32"/>
        <v>#DIV/0!</v>
      </c>
      <c r="BH29" s="29" t="str">
        <f t="shared" si="32"/>
        <v>#DIV/0!</v>
      </c>
      <c r="BI29" s="29" t="str">
        <f t="shared" si="32"/>
        <v>#DIV/0!</v>
      </c>
      <c r="BJ29" s="29" t="str">
        <f t="shared" si="32"/>
        <v>#DIV/0!</v>
      </c>
      <c r="BK29" s="29" t="str">
        <f t="shared" si="32"/>
        <v>#DIV/0!</v>
      </c>
      <c r="BL29" s="29" t="str">
        <f t="shared" si="32"/>
        <v>#DIV/0!</v>
      </c>
      <c r="BM29" s="29" t="str">
        <f t="shared" si="3"/>
        <v>#DIV/0!</v>
      </c>
    </row>
    <row r="30">
      <c r="A30" s="16" t="str">
        <f>IFERROR(__xludf.DUMMYFUNCTION("IFERROR(SPARKLINE(SORT(MAP(TRANSPOSE(AQ30:BL30), LAMBDA(val, IF(ISNUMBER(val), PERCENTRANK(AQ30:BL30, val)+0.01, 0))), SEQUENCE(COLUMNS(AQ30:BL30)), FALSE), {""charttype"",""column""; ""color"",""chartreuse""; ""ymin"", 0; ""ymax"", 1.01; ""highcolor"", "&amp;"""darkgreen""; ""lowcolor"", ""red""}), """")"),"")</f>
        <v/>
      </c>
      <c r="B30" s="17" t="str">
        <f t="shared" si="4"/>
        <v/>
      </c>
      <c r="C30" s="1" t="s">
        <v>181</v>
      </c>
      <c r="D30" s="30" t="str">
        <f>IFERROR(__xludf.DUMMYFUNCTION("IFERROR(GOOGLEFINANCE(C30, ""NAME""))"),"Klaviyo Inc")</f>
        <v>Klaviyo Inc</v>
      </c>
      <c r="E30" s="30" t="s">
        <v>48</v>
      </c>
      <c r="F30" s="33" t="str">
        <f>IFERROR(__xludf.DUMMYFUNCTION("( (GOOGLEFINANCE(C30, ""price"") - Q30) / Q30 ) / (R30 / 100)"),"Loading...")</f>
        <v>Loading...</v>
      </c>
      <c r="G30" s="20" t="str">
        <f>IFERROR(__xludf.DUMMYFUNCTION("AVERAGE(ARRAYFORMULA(100 * (QUERY(GOOGLEFINANCE(C30, ""high"", TODAY()-40, TODAY()), ""SELECT Col2 WHERE Col2 IS NOT NULL ORDER BY Col1 DESC LIMIT 20"", 0) / QUERY(GOOGLEFINANCE(C30, ""low"", TODAY()-40, TODAY()), ""SELECT Col2 WHERE Col2 IS NOT NULL ORDE"&amp;"R BY Col1 DESC LIMIT 20"", 0) - 1)))"),"#N/A")</f>
        <v>#N/A</v>
      </c>
      <c r="H30" s="35" t="str">
        <f t="shared" si="6"/>
        <v/>
      </c>
      <c r="I30" s="36" t="str">
        <f t="shared" si="7"/>
        <v/>
      </c>
      <c r="J30" s="37" t="str">
        <f>IFERROR(__xludf.DUMMYFUNCTION("IFERROR(
  IF(C30="""",, 
    IFERROR(
      GOOGLEFINANCE(C30, ""price"") * GOOGLEFINANCE(C30, ""volumeavg""), 
      GOOGLEFINANCE(C30, ""price"") * AVERAGE(QUERY(GOOGLEFINANCE(C30, ""volume"", TODAY()-40, TODAY()), ""SELECT Col2 WHERE Col2 IS NOT NULL "&amp;"ORDER BY Col1 DESC LIMIT 20"", 0))
    )
  ), 
"""")"),"")</f>
        <v/>
      </c>
      <c r="K30" s="21" t="str">
        <f>IFERROR(__xludf.DUMMYFUNCTION("IFERROR(GOOGLEFINANCE(C30, ""changepct"") / 100, """")"),"")</f>
        <v/>
      </c>
      <c r="L30" s="21" t="str">
        <f>IFERROR(__xludf.DUMMYFUNCTION("IFERROR((GOOGLEFINANCE(C30, ""price"") / INDEX(GOOGLEFINANCE(C30, ""price"", TODAY()-7, TODAY()), 2, 2)) - 1, """")"),"")</f>
        <v/>
      </c>
      <c r="M30" s="21" t="str">
        <f>IFERROR(__xludf.DUMMYFUNCTION("IFERROR((GOOGLEFINANCE(C30, ""price"") / INDEX(GOOGLEFINANCE(C30, ""price"", EDATE(TODAY(), -1), TODAY()), 2, 2)) - 1, """")"),"")</f>
        <v/>
      </c>
      <c r="N30" s="21" t="str">
        <f>IFERROR(__xludf.DUMMYFUNCTION("IFERROR((GOOGLEFINANCE(C30, ""price"") / INDEX(GOOGLEFINANCE(C30, ""price"", EDATE(TODAY(), -3), TODAY()), 2, 2)) - 1, """")"),"")</f>
        <v/>
      </c>
      <c r="O30" s="21" t="str">
        <f>IFERROR(__xludf.DUMMYFUNCTION("IFERROR((GOOGLEFINANCE(C30, ""price"") / INDEX(GOOGLEFINANCE(C30, ""price"", EDATE(TODAY(), -6), TODAY()), 2, 2)) - 1, """")"),"")</f>
        <v/>
      </c>
      <c r="P30" s="21" t="str">
        <f>IFERROR(__xludf.DUMMYFUNCTION("IFERROR((GOOGLEFINANCE(C30, ""price"") / INDEX(GOOGLEFINANCE(C30, ""price"", EDATE(TODAY(), -12), TODAY()), 2, 2)) - 1, """")"),"")</f>
        <v/>
      </c>
      <c r="Q30" s="6" t="str">
        <f>IFERROR(__xludf.DUMMYFUNCTION("AVERAGE(QUERY(GOOGLEFINANCE(C30, ""price"", TODAY()-80, TODAY()), ""SELECT Col2 WHERE Col2 IS NOT NULL ORDER BY Col1 DESC LIMIT 50"", 0))"),"#N/A")</f>
        <v>#N/A</v>
      </c>
      <c r="R30" s="24" t="str">
        <f>IFERROR(__xludf.DUMMYFUNCTION("IFERROR(
  LET(
    data, QUERY(GOOGLEFINANCE(C30,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GOOGLEFINANCE(C30, ""price"")) * 100,
    IF(calc=0, G30, calc)
  ), 
G30)"),"#N/A")</f>
        <v>#N/A</v>
      </c>
      <c r="S30" s="8" t="s">
        <v>15</v>
      </c>
      <c r="T30" s="26" t="str">
        <f>IFERROR(__xludf.DUMMYFUNCTION("IFERROR(TRANSPOSE(QUERY(IFERROR(SORT(GOOGLEFINANCE(C30, ""price"", WORKDAY(TODAY(), -40), TODAY()), 1, FALSE)), ""select Col2 where Col2 is not null limit 22 label Col2 ''"", 0)), """")"),"")</f>
        <v/>
      </c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8"/>
      <c r="AO30" s="28"/>
      <c r="AP30" s="29"/>
      <c r="AQ30" s="29" t="str">
        <f t="shared" ref="AQ30:BL30" si="33">T30/T$2</f>
        <v>#N/A</v>
      </c>
      <c r="AR30" s="29" t="str">
        <f t="shared" si="33"/>
        <v>#DIV/0!</v>
      </c>
      <c r="AS30" s="29" t="str">
        <f t="shared" si="33"/>
        <v>#DIV/0!</v>
      </c>
      <c r="AT30" s="29" t="str">
        <f t="shared" si="33"/>
        <v>#DIV/0!</v>
      </c>
      <c r="AU30" s="29" t="str">
        <f t="shared" si="33"/>
        <v>#DIV/0!</v>
      </c>
      <c r="AV30" s="29" t="str">
        <f t="shared" si="33"/>
        <v>#DIV/0!</v>
      </c>
      <c r="AW30" s="29" t="str">
        <f t="shared" si="33"/>
        <v>#DIV/0!</v>
      </c>
      <c r="AX30" s="29" t="str">
        <f t="shared" si="33"/>
        <v>#DIV/0!</v>
      </c>
      <c r="AY30" s="29" t="str">
        <f t="shared" si="33"/>
        <v>#DIV/0!</v>
      </c>
      <c r="AZ30" s="29" t="str">
        <f t="shared" si="33"/>
        <v>#DIV/0!</v>
      </c>
      <c r="BA30" s="29" t="str">
        <f t="shared" si="33"/>
        <v>#DIV/0!</v>
      </c>
      <c r="BB30" s="29" t="str">
        <f t="shared" si="33"/>
        <v>#DIV/0!</v>
      </c>
      <c r="BC30" s="29" t="str">
        <f t="shared" si="33"/>
        <v>#DIV/0!</v>
      </c>
      <c r="BD30" s="29" t="str">
        <f t="shared" si="33"/>
        <v>#DIV/0!</v>
      </c>
      <c r="BE30" s="29" t="str">
        <f t="shared" si="33"/>
        <v>#DIV/0!</v>
      </c>
      <c r="BF30" s="29" t="str">
        <f t="shared" si="33"/>
        <v>#DIV/0!</v>
      </c>
      <c r="BG30" s="29" t="str">
        <f t="shared" si="33"/>
        <v>#DIV/0!</v>
      </c>
      <c r="BH30" s="29" t="str">
        <f t="shared" si="33"/>
        <v>#DIV/0!</v>
      </c>
      <c r="BI30" s="29" t="str">
        <f t="shared" si="33"/>
        <v>#DIV/0!</v>
      </c>
      <c r="BJ30" s="29" t="str">
        <f t="shared" si="33"/>
        <v>#DIV/0!</v>
      </c>
      <c r="BK30" s="29" t="str">
        <f t="shared" si="33"/>
        <v>#DIV/0!</v>
      </c>
      <c r="BL30" s="29" t="str">
        <f t="shared" si="33"/>
        <v>#DIV/0!</v>
      </c>
      <c r="BM30" s="29" t="str">
        <f t="shared" si="3"/>
        <v>#DIV/0!</v>
      </c>
    </row>
    <row r="31">
      <c r="A31" s="16" t="str">
        <f>IFERROR(__xludf.DUMMYFUNCTION("IFERROR(SPARKLINE(SORT(MAP(TRANSPOSE(AQ31:BL31), LAMBDA(val, IF(ISNUMBER(val), PERCENTRANK(AQ31:BL31, val)+0.01, 0))), SEQUENCE(COLUMNS(AQ31:BL31)), FALSE), {""charttype"",""column""; ""color"",""chartreuse""; ""ymin"", 0; ""ymax"", 1.01; ""highcolor"", "&amp;"""darkgreen""; ""lowcolor"", ""red""}), """")"),"")</f>
        <v/>
      </c>
      <c r="B31" s="17" t="str">
        <f t="shared" si="4"/>
        <v/>
      </c>
      <c r="C31" s="1" t="s">
        <v>186</v>
      </c>
      <c r="D31" s="30" t="str">
        <f>IFERROR(__xludf.DUMMYFUNCTION("IFERROR(GOOGLEFINANCE(C31, ""NAME""))"),"Pagerduty Inc")</f>
        <v>Pagerduty Inc</v>
      </c>
      <c r="E31" s="30" t="s">
        <v>48</v>
      </c>
      <c r="F31" s="33" t="str">
        <f>IFERROR(__xludf.DUMMYFUNCTION("( (GOOGLEFINANCE(C31, ""price"") - Q31) / Q31 ) / (R31 / 100)"),"Loading...")</f>
        <v>Loading...</v>
      </c>
      <c r="G31" s="20" t="str">
        <f>IFERROR(__xludf.DUMMYFUNCTION("AVERAGE(ARRAYFORMULA(100 * (QUERY(GOOGLEFINANCE(C31, ""high"", TODAY()-40, TODAY()), ""SELECT Col2 WHERE Col2 IS NOT NULL ORDER BY Col1 DESC LIMIT 20"", 0) / QUERY(GOOGLEFINANCE(C31, ""low"", TODAY()-40, TODAY()), ""SELECT Col2 WHERE Col2 IS NOT NULL ORDE"&amp;"R BY Col1 DESC LIMIT 20"", 0) - 1)))"),"#N/A")</f>
        <v>#N/A</v>
      </c>
      <c r="H31" s="35" t="str">
        <f t="shared" si="6"/>
        <v/>
      </c>
      <c r="I31" s="36" t="str">
        <f t="shared" si="7"/>
        <v/>
      </c>
      <c r="J31" s="37" t="str">
        <f>IFERROR(__xludf.DUMMYFUNCTION("IFERROR(
  IF(C31="""",, 
    IFERROR(
      GOOGLEFINANCE(C31, ""price"") * GOOGLEFINANCE(C31, ""volumeavg""), 
      GOOGLEFINANCE(C31, ""price"") * AVERAGE(QUERY(GOOGLEFINANCE(C31, ""volume"", TODAY()-40, TODAY()), ""SELECT Col2 WHERE Col2 IS NOT NULL "&amp;"ORDER BY Col1 DESC LIMIT 20"", 0))
    )
  ), 
"""")"),"")</f>
        <v/>
      </c>
      <c r="K31" s="21" t="str">
        <f>IFERROR(__xludf.DUMMYFUNCTION("IFERROR(GOOGLEFINANCE(C31, ""changepct"") / 100, """")"),"")</f>
        <v/>
      </c>
      <c r="L31" s="21" t="str">
        <f>IFERROR(__xludf.DUMMYFUNCTION("IFERROR((GOOGLEFINANCE(C31, ""price"") / INDEX(GOOGLEFINANCE(C31, ""price"", TODAY()-7, TODAY()), 2, 2)) - 1, """")"),"")</f>
        <v/>
      </c>
      <c r="M31" s="21" t="str">
        <f>IFERROR(__xludf.DUMMYFUNCTION("IFERROR((GOOGLEFINANCE(C31, ""price"") / INDEX(GOOGLEFINANCE(C31, ""price"", EDATE(TODAY(), -1), TODAY()), 2, 2)) - 1, """")"),"")</f>
        <v/>
      </c>
      <c r="N31" s="21" t="str">
        <f>IFERROR(__xludf.DUMMYFUNCTION("IFERROR((GOOGLEFINANCE(C31, ""price"") / INDEX(GOOGLEFINANCE(C31, ""price"", EDATE(TODAY(), -3), TODAY()), 2, 2)) - 1, """")"),"")</f>
        <v/>
      </c>
      <c r="O31" s="21" t="str">
        <f>IFERROR(__xludf.DUMMYFUNCTION("IFERROR((GOOGLEFINANCE(C31, ""price"") / INDEX(GOOGLEFINANCE(C31, ""price"", EDATE(TODAY(), -6), TODAY()), 2, 2)) - 1, """")"),"")</f>
        <v/>
      </c>
      <c r="P31" s="21" t="str">
        <f>IFERROR(__xludf.DUMMYFUNCTION("IFERROR((GOOGLEFINANCE(C31, ""price"") / INDEX(GOOGLEFINANCE(C31, ""price"", EDATE(TODAY(), -12), TODAY()), 2, 2)) - 1, """")"),"")</f>
        <v/>
      </c>
      <c r="Q31" s="6" t="str">
        <f>IFERROR(__xludf.DUMMYFUNCTION("AVERAGE(QUERY(GOOGLEFINANCE(C31, ""price"", TODAY()-80, TODAY()), ""SELECT Col2 WHERE Col2 IS NOT NULL ORDER BY Col1 DESC LIMIT 50"", 0))"),"#N/A")</f>
        <v>#N/A</v>
      </c>
      <c r="R31" s="24" t="str">
        <f>IFERROR(__xludf.DUMMYFUNCTION("IFERROR(
  LET(
    data, QUERY(GOOGLEFINANCE(C31,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GOOGLEFINANCE(C31, ""price"")) * 100,
    IF(calc=0, G31, calc)
  ), 
G31)"),"#N/A")</f>
        <v>#N/A</v>
      </c>
      <c r="S31" s="8" t="s">
        <v>15</v>
      </c>
      <c r="T31" s="26" t="str">
        <f>IFERROR(__xludf.DUMMYFUNCTION("IFERROR(TRANSPOSE(QUERY(IFERROR(SORT(GOOGLEFINANCE(C31, ""price"", WORKDAY(TODAY(), -40), TODAY()), 1, FALSE)), ""select Col2 where Col2 is not null limit 22 label Col2 ''"", 0)), """")"),"")</f>
        <v/>
      </c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8"/>
      <c r="AO31" s="28"/>
      <c r="AP31" s="29"/>
      <c r="AQ31" s="29" t="str">
        <f t="shared" ref="AQ31:BL31" si="34">T31/T$2</f>
        <v>#N/A</v>
      </c>
      <c r="AR31" s="29" t="str">
        <f t="shared" si="34"/>
        <v>#DIV/0!</v>
      </c>
      <c r="AS31" s="29" t="str">
        <f t="shared" si="34"/>
        <v>#DIV/0!</v>
      </c>
      <c r="AT31" s="29" t="str">
        <f t="shared" si="34"/>
        <v>#DIV/0!</v>
      </c>
      <c r="AU31" s="29" t="str">
        <f t="shared" si="34"/>
        <v>#DIV/0!</v>
      </c>
      <c r="AV31" s="29" t="str">
        <f t="shared" si="34"/>
        <v>#DIV/0!</v>
      </c>
      <c r="AW31" s="29" t="str">
        <f t="shared" si="34"/>
        <v>#DIV/0!</v>
      </c>
      <c r="AX31" s="29" t="str">
        <f t="shared" si="34"/>
        <v>#DIV/0!</v>
      </c>
      <c r="AY31" s="29" t="str">
        <f t="shared" si="34"/>
        <v>#DIV/0!</v>
      </c>
      <c r="AZ31" s="29" t="str">
        <f t="shared" si="34"/>
        <v>#DIV/0!</v>
      </c>
      <c r="BA31" s="29" t="str">
        <f t="shared" si="34"/>
        <v>#DIV/0!</v>
      </c>
      <c r="BB31" s="29" t="str">
        <f t="shared" si="34"/>
        <v>#DIV/0!</v>
      </c>
      <c r="BC31" s="29" t="str">
        <f t="shared" si="34"/>
        <v>#DIV/0!</v>
      </c>
      <c r="BD31" s="29" t="str">
        <f t="shared" si="34"/>
        <v>#DIV/0!</v>
      </c>
      <c r="BE31" s="29" t="str">
        <f t="shared" si="34"/>
        <v>#DIV/0!</v>
      </c>
      <c r="BF31" s="29" t="str">
        <f t="shared" si="34"/>
        <v>#DIV/0!</v>
      </c>
      <c r="BG31" s="29" t="str">
        <f t="shared" si="34"/>
        <v>#DIV/0!</v>
      </c>
      <c r="BH31" s="29" t="str">
        <f t="shared" si="34"/>
        <v>#DIV/0!</v>
      </c>
      <c r="BI31" s="29" t="str">
        <f t="shared" si="34"/>
        <v>#DIV/0!</v>
      </c>
      <c r="BJ31" s="29" t="str">
        <f t="shared" si="34"/>
        <v>#DIV/0!</v>
      </c>
      <c r="BK31" s="29" t="str">
        <f t="shared" si="34"/>
        <v>#DIV/0!</v>
      </c>
      <c r="BL31" s="29" t="str">
        <f t="shared" si="34"/>
        <v>#DIV/0!</v>
      </c>
      <c r="BM31" s="29" t="str">
        <f t="shared" si="3"/>
        <v>#DIV/0!</v>
      </c>
    </row>
    <row r="32">
      <c r="A32" s="16" t="str">
        <f>IFERROR(__xludf.DUMMYFUNCTION("IFERROR(SPARKLINE(SORT(MAP(TRANSPOSE(AQ32:BL32), LAMBDA(val, IF(ISNUMBER(val), PERCENTRANK(AQ32:BL32, val)+0.01, 0))), SEQUENCE(COLUMNS(AQ32:BL32)), FALSE), {""charttype"",""column""; ""color"",""chartreuse""; ""ymin"", 0; ""ymax"", 1.01; ""highcolor"", "&amp;"""darkgreen""; ""lowcolor"", ""red""}), """")"),"")</f>
        <v/>
      </c>
      <c r="B32" s="17" t="str">
        <f t="shared" si="4"/>
        <v/>
      </c>
      <c r="C32" s="1" t="s">
        <v>191</v>
      </c>
      <c r="D32" s="30" t="str">
        <f>IFERROR(__xludf.DUMMYFUNCTION("IFERROR(GOOGLEFINANCE(C32, ""NAME""))"),"N-Able Inc")</f>
        <v>N-Able Inc</v>
      </c>
      <c r="E32" s="30" t="s">
        <v>102</v>
      </c>
      <c r="F32" s="33" t="str">
        <f>IFERROR(__xludf.DUMMYFUNCTION("( (GOOGLEFINANCE(C32, ""price"") - Q32) / Q32 ) / (R32 / 100)"),"Loading...")</f>
        <v>Loading...</v>
      </c>
      <c r="G32" s="20" t="str">
        <f>IFERROR(__xludf.DUMMYFUNCTION("AVERAGE(ARRAYFORMULA(100 * (QUERY(GOOGLEFINANCE(C32, ""high"", TODAY()-40, TODAY()), ""SELECT Col2 WHERE Col2 IS NOT NULL ORDER BY Col1 DESC LIMIT 20"", 0) / QUERY(GOOGLEFINANCE(C32, ""low"", TODAY()-40, TODAY()), ""SELECT Col2 WHERE Col2 IS NOT NULL ORDE"&amp;"R BY Col1 DESC LIMIT 20"", 0) - 1)))"),"#N/A")</f>
        <v>#N/A</v>
      </c>
      <c r="H32" s="35" t="str">
        <f t="shared" si="6"/>
        <v/>
      </c>
      <c r="I32" s="36" t="str">
        <f t="shared" si="7"/>
        <v/>
      </c>
      <c r="J32" s="37" t="str">
        <f>IFERROR(__xludf.DUMMYFUNCTION("IFERROR(
  IF(C32="""",, 
    IFERROR(
      GOOGLEFINANCE(C32, ""price"") * GOOGLEFINANCE(C32, ""volumeavg""), 
      GOOGLEFINANCE(C32, ""price"") * AVERAGE(QUERY(GOOGLEFINANCE(C32, ""volume"", TODAY()-40, TODAY()), ""SELECT Col2 WHERE Col2 IS NOT NULL "&amp;"ORDER BY Col1 DESC LIMIT 20"", 0))
    )
  ), 
"""")"),"")</f>
        <v/>
      </c>
      <c r="K32" s="21" t="str">
        <f>IFERROR(__xludf.DUMMYFUNCTION("IFERROR(GOOGLEFINANCE(C32, ""changepct"") / 100, """")"),"")</f>
        <v/>
      </c>
      <c r="L32" s="21" t="str">
        <f>IFERROR(__xludf.DUMMYFUNCTION("IFERROR((GOOGLEFINANCE(C32, ""price"") / INDEX(GOOGLEFINANCE(C32, ""price"", TODAY()-7, TODAY()), 2, 2)) - 1, """")"),"")</f>
        <v/>
      </c>
      <c r="M32" s="21" t="str">
        <f>IFERROR(__xludf.DUMMYFUNCTION("IFERROR((GOOGLEFINANCE(C32, ""price"") / INDEX(GOOGLEFINANCE(C32, ""price"", EDATE(TODAY(), -1), TODAY()), 2, 2)) - 1, """")"),"")</f>
        <v/>
      </c>
      <c r="N32" s="21" t="str">
        <f>IFERROR(__xludf.DUMMYFUNCTION("IFERROR((GOOGLEFINANCE(C32, ""price"") / INDEX(GOOGLEFINANCE(C32, ""price"", EDATE(TODAY(), -3), TODAY()), 2, 2)) - 1, """")"),"")</f>
        <v/>
      </c>
      <c r="O32" s="21" t="str">
        <f>IFERROR(__xludf.DUMMYFUNCTION("IFERROR((GOOGLEFINANCE(C32, ""price"") / INDEX(GOOGLEFINANCE(C32, ""price"", EDATE(TODAY(), -6), TODAY()), 2, 2)) - 1, """")"),"")</f>
        <v/>
      </c>
      <c r="P32" s="21" t="str">
        <f>IFERROR(__xludf.DUMMYFUNCTION("IFERROR((GOOGLEFINANCE(C32, ""price"") / INDEX(GOOGLEFINANCE(C32, ""price"", EDATE(TODAY(), -12), TODAY()), 2, 2)) - 1, """")"),"")</f>
        <v/>
      </c>
      <c r="Q32" s="6" t="str">
        <f>IFERROR(__xludf.DUMMYFUNCTION("AVERAGE(QUERY(GOOGLEFINANCE(C32, ""price"", TODAY()-80, TODAY()), ""SELECT Col2 WHERE Col2 IS NOT NULL ORDER BY Col1 DESC LIMIT 50"", 0))"),"#N/A")</f>
        <v>#N/A</v>
      </c>
      <c r="R32" s="24" t="str">
        <f>IFERROR(__xludf.DUMMYFUNCTION("IFERROR(
  LET(
    data, QUERY(GOOGLEFINANCE(C32,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GOOGLEFINANCE(C32, ""price"")) * 100,
    IF(calc=0, G32, calc)
  ), 
G32)"),"#N/A")</f>
        <v>#N/A</v>
      </c>
      <c r="S32" s="8" t="s">
        <v>15</v>
      </c>
      <c r="T32" s="26" t="str">
        <f>IFERROR(__xludf.DUMMYFUNCTION("IFERROR(TRANSPOSE(QUERY(IFERROR(SORT(GOOGLEFINANCE(C32, ""price"", WORKDAY(TODAY(), -40), TODAY()), 1, FALSE)), ""select Col2 where Col2 is not null limit 22 label Col2 ''"", 0)), """")"),"")</f>
        <v/>
      </c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8"/>
      <c r="AO32" s="28"/>
      <c r="AP32" s="29"/>
      <c r="AQ32" s="29" t="str">
        <f t="shared" ref="AQ32:BL32" si="35">T32/T$2</f>
        <v>#N/A</v>
      </c>
      <c r="AR32" s="29" t="str">
        <f t="shared" si="35"/>
        <v>#DIV/0!</v>
      </c>
      <c r="AS32" s="29" t="str">
        <f t="shared" si="35"/>
        <v>#DIV/0!</v>
      </c>
      <c r="AT32" s="29" t="str">
        <f t="shared" si="35"/>
        <v>#DIV/0!</v>
      </c>
      <c r="AU32" s="29" t="str">
        <f t="shared" si="35"/>
        <v>#DIV/0!</v>
      </c>
      <c r="AV32" s="29" t="str">
        <f t="shared" si="35"/>
        <v>#DIV/0!</v>
      </c>
      <c r="AW32" s="29" t="str">
        <f t="shared" si="35"/>
        <v>#DIV/0!</v>
      </c>
      <c r="AX32" s="29" t="str">
        <f t="shared" si="35"/>
        <v>#DIV/0!</v>
      </c>
      <c r="AY32" s="29" t="str">
        <f t="shared" si="35"/>
        <v>#DIV/0!</v>
      </c>
      <c r="AZ32" s="29" t="str">
        <f t="shared" si="35"/>
        <v>#DIV/0!</v>
      </c>
      <c r="BA32" s="29" t="str">
        <f t="shared" si="35"/>
        <v>#DIV/0!</v>
      </c>
      <c r="BB32" s="29" t="str">
        <f t="shared" si="35"/>
        <v>#DIV/0!</v>
      </c>
      <c r="BC32" s="29" t="str">
        <f t="shared" si="35"/>
        <v>#DIV/0!</v>
      </c>
      <c r="BD32" s="29" t="str">
        <f t="shared" si="35"/>
        <v>#DIV/0!</v>
      </c>
      <c r="BE32" s="29" t="str">
        <f t="shared" si="35"/>
        <v>#DIV/0!</v>
      </c>
      <c r="BF32" s="29" t="str">
        <f t="shared" si="35"/>
        <v>#DIV/0!</v>
      </c>
      <c r="BG32" s="29" t="str">
        <f t="shared" si="35"/>
        <v>#DIV/0!</v>
      </c>
      <c r="BH32" s="29" t="str">
        <f t="shared" si="35"/>
        <v>#DIV/0!</v>
      </c>
      <c r="BI32" s="29" t="str">
        <f t="shared" si="35"/>
        <v>#DIV/0!</v>
      </c>
      <c r="BJ32" s="29" t="str">
        <f t="shared" si="35"/>
        <v>#DIV/0!</v>
      </c>
      <c r="BK32" s="29" t="str">
        <f t="shared" si="35"/>
        <v>#DIV/0!</v>
      </c>
      <c r="BL32" s="29" t="str">
        <f t="shared" si="35"/>
        <v>#DIV/0!</v>
      </c>
      <c r="BM32" s="29" t="str">
        <f t="shared" si="3"/>
        <v>#DIV/0!</v>
      </c>
    </row>
    <row r="33">
      <c r="A33" s="16" t="str">
        <f>IFERROR(__xludf.DUMMYFUNCTION("IFERROR(SPARKLINE(SORT(MAP(TRANSPOSE(AQ33:BL33), LAMBDA(val, IF(ISNUMBER(val), PERCENTRANK(AQ33:BL33, val)+0.01, 0))), SEQUENCE(COLUMNS(AQ33:BL33)), FALSE), {""charttype"",""column""; ""color"",""chartreuse""; ""ymin"", 0; ""ymax"", 1.01; ""highcolor"", "&amp;"""darkgreen""; ""lowcolor"", ""red""}), """")"),"")</f>
        <v/>
      </c>
      <c r="B33" s="17" t="str">
        <f t="shared" si="4"/>
        <v/>
      </c>
      <c r="C33" s="1" t="s">
        <v>196</v>
      </c>
      <c r="D33" s="30" t="str">
        <f>IFERROR(__xludf.DUMMYFUNCTION("IFERROR(GOOGLEFINANCE(C33, ""NAME""))"),"Similarweb Ltd")</f>
        <v>Similarweb Ltd</v>
      </c>
      <c r="E33" s="30" t="s">
        <v>48</v>
      </c>
      <c r="F33" s="38" t="str">
        <f>IFERROR(__xludf.DUMMYFUNCTION("( (GOOGLEFINANCE(C33, ""price"") - Q33) / Q33 ) / (R33 / 100)"),"Loading...")</f>
        <v>Loading...</v>
      </c>
      <c r="G33" s="20" t="str">
        <f>IFERROR(__xludf.DUMMYFUNCTION("AVERAGE(ARRAYFORMULA(100 * (QUERY(GOOGLEFINANCE(C33, ""high"", TODAY()-40, TODAY()), ""SELECT Col2 WHERE Col2 IS NOT NULL ORDER BY Col1 DESC LIMIT 20"", 0) / QUERY(GOOGLEFINANCE(C33, ""low"", TODAY()-40, TODAY()), ""SELECT Col2 WHERE Col2 IS NOT NULL ORDE"&amp;"R BY Col1 DESC LIMIT 20"", 0) - 1)))"),"#N/A")</f>
        <v>#N/A</v>
      </c>
      <c r="H33" s="35" t="str">
        <f t="shared" si="6"/>
        <v/>
      </c>
      <c r="I33" s="36" t="str">
        <f t="shared" si="7"/>
        <v/>
      </c>
      <c r="J33" s="37" t="str">
        <f>IFERROR(__xludf.DUMMYFUNCTION("IFERROR(
  IF(C33="""",, 
    IFERROR(
      GOOGLEFINANCE(C33, ""price"") * GOOGLEFINANCE(C33, ""volumeavg""), 
      GOOGLEFINANCE(C33, ""price"") * AVERAGE(QUERY(GOOGLEFINANCE(C33, ""volume"", TODAY()-40, TODAY()), ""SELECT Col2 WHERE Col2 IS NOT NULL "&amp;"ORDER BY Col1 DESC LIMIT 20"", 0))
    )
  ), 
"""")"),"")</f>
        <v/>
      </c>
      <c r="K33" s="21" t="str">
        <f>IFERROR(__xludf.DUMMYFUNCTION("IFERROR(GOOGLEFINANCE(C33, ""changepct"") / 100, """")"),"")</f>
        <v/>
      </c>
      <c r="L33" s="21" t="str">
        <f>IFERROR(__xludf.DUMMYFUNCTION("IFERROR((GOOGLEFINANCE(C33, ""price"") / INDEX(GOOGLEFINANCE(C33, ""price"", TODAY()-7, TODAY()), 2, 2)) - 1, """")"),"")</f>
        <v/>
      </c>
      <c r="M33" s="21" t="str">
        <f>IFERROR(__xludf.DUMMYFUNCTION("IFERROR((GOOGLEFINANCE(C33, ""price"") / INDEX(GOOGLEFINANCE(C33, ""price"", EDATE(TODAY(), -1), TODAY()), 2, 2)) - 1, """")"),"")</f>
        <v/>
      </c>
      <c r="N33" s="21" t="str">
        <f>IFERROR(__xludf.DUMMYFUNCTION("IFERROR((GOOGLEFINANCE(C33, ""price"") / INDEX(GOOGLEFINANCE(C33, ""price"", EDATE(TODAY(), -3), TODAY()), 2, 2)) - 1, """")"),"")</f>
        <v/>
      </c>
      <c r="O33" s="21" t="str">
        <f>IFERROR(__xludf.DUMMYFUNCTION("IFERROR((GOOGLEFINANCE(C33, ""price"") / INDEX(GOOGLEFINANCE(C33, ""price"", EDATE(TODAY(), -6), TODAY()), 2, 2)) - 1, """")"),"")</f>
        <v/>
      </c>
      <c r="P33" s="21" t="str">
        <f>IFERROR(__xludf.DUMMYFUNCTION("IFERROR((GOOGLEFINANCE(C33, ""price"") / INDEX(GOOGLEFINANCE(C33, ""price"", EDATE(TODAY(), -12), TODAY()), 2, 2)) - 1, """")"),"")</f>
        <v/>
      </c>
      <c r="Q33" s="6" t="str">
        <f>IFERROR(__xludf.DUMMYFUNCTION("AVERAGE(QUERY(GOOGLEFINANCE(C33, ""price"", TODAY()-80, TODAY()), ""SELECT Col2 WHERE Col2 IS NOT NULL ORDER BY Col1 DESC LIMIT 50"", 0))"),"#N/A")</f>
        <v>#N/A</v>
      </c>
      <c r="R33" s="24" t="str">
        <f>IFERROR(__xludf.DUMMYFUNCTION("IFERROR(
  LET(
    data, QUERY(GOOGLEFINANCE(C33,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GOOGLEFINANCE(C33, ""price"")) * 100,
    IF(calc=0, G33, calc)
  ), 
G33)"),"#N/A")</f>
        <v>#N/A</v>
      </c>
      <c r="S33" s="8" t="s">
        <v>15</v>
      </c>
      <c r="T33" s="26" t="str">
        <f>IFERROR(__xludf.DUMMYFUNCTION("IFERROR(TRANSPOSE(QUERY(IFERROR(SORT(GOOGLEFINANCE(C33, ""price"", WORKDAY(TODAY(), -40), TODAY()), 1, FALSE)), ""select Col2 where Col2 is not null limit 22 label Col2 ''"", 0)), """")"),"")</f>
        <v/>
      </c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8"/>
      <c r="AO33" s="28"/>
      <c r="AP33" s="29"/>
      <c r="AQ33" s="29" t="str">
        <f t="shared" ref="AQ33:BL33" si="36">T33/T$2</f>
        <v>#N/A</v>
      </c>
      <c r="AR33" s="29" t="str">
        <f t="shared" si="36"/>
        <v>#DIV/0!</v>
      </c>
      <c r="AS33" s="29" t="str">
        <f t="shared" si="36"/>
        <v>#DIV/0!</v>
      </c>
      <c r="AT33" s="29" t="str">
        <f t="shared" si="36"/>
        <v>#DIV/0!</v>
      </c>
      <c r="AU33" s="29" t="str">
        <f t="shared" si="36"/>
        <v>#DIV/0!</v>
      </c>
      <c r="AV33" s="29" t="str">
        <f t="shared" si="36"/>
        <v>#DIV/0!</v>
      </c>
      <c r="AW33" s="29" t="str">
        <f t="shared" si="36"/>
        <v>#DIV/0!</v>
      </c>
      <c r="AX33" s="29" t="str">
        <f t="shared" si="36"/>
        <v>#DIV/0!</v>
      </c>
      <c r="AY33" s="29" t="str">
        <f t="shared" si="36"/>
        <v>#DIV/0!</v>
      </c>
      <c r="AZ33" s="29" t="str">
        <f t="shared" si="36"/>
        <v>#DIV/0!</v>
      </c>
      <c r="BA33" s="29" t="str">
        <f t="shared" si="36"/>
        <v>#DIV/0!</v>
      </c>
      <c r="BB33" s="29" t="str">
        <f t="shared" si="36"/>
        <v>#DIV/0!</v>
      </c>
      <c r="BC33" s="29" t="str">
        <f t="shared" si="36"/>
        <v>#DIV/0!</v>
      </c>
      <c r="BD33" s="29" t="str">
        <f t="shared" si="36"/>
        <v>#DIV/0!</v>
      </c>
      <c r="BE33" s="29" t="str">
        <f t="shared" si="36"/>
        <v>#DIV/0!</v>
      </c>
      <c r="BF33" s="29" t="str">
        <f t="shared" si="36"/>
        <v>#DIV/0!</v>
      </c>
      <c r="BG33" s="29" t="str">
        <f t="shared" si="36"/>
        <v>#DIV/0!</v>
      </c>
      <c r="BH33" s="29" t="str">
        <f t="shared" si="36"/>
        <v>#DIV/0!</v>
      </c>
      <c r="BI33" s="29" t="str">
        <f t="shared" si="36"/>
        <v>#DIV/0!</v>
      </c>
      <c r="BJ33" s="29" t="str">
        <f t="shared" si="36"/>
        <v>#DIV/0!</v>
      </c>
      <c r="BK33" s="29" t="str">
        <f t="shared" si="36"/>
        <v>#DIV/0!</v>
      </c>
      <c r="BL33" s="29" t="str">
        <f t="shared" si="36"/>
        <v>#DIV/0!</v>
      </c>
      <c r="BM33" s="29" t="str">
        <f t="shared" si="3"/>
        <v>#DIV/0!</v>
      </c>
    </row>
    <row r="34">
      <c r="A34" s="16" t="str">
        <f>IFERROR(__xludf.DUMMYFUNCTION("IFERROR(SPARKLINE(SORT(MAP(TRANSPOSE(AQ34:BL34), LAMBDA(val, IF(ISNUMBER(val), PERCENTRANK(AQ34:BL34, val)+0.01, 0))), SEQUENCE(COLUMNS(AQ34:BL34)), FALSE), {""charttype"",""column""; ""color"",""chartreuse""; ""ymin"", 0; ""ymax"", 1.01; ""highcolor"", "&amp;"""darkgreen""; ""lowcolor"", ""red""}), """")"),"")</f>
        <v/>
      </c>
      <c r="B34" s="17" t="str">
        <f t="shared" si="4"/>
        <v/>
      </c>
      <c r="C34" s="1" t="s">
        <v>200</v>
      </c>
      <c r="D34" s="30" t="str">
        <f>IFERROR(__xludf.DUMMYFUNCTION("IFERROR(GOOGLEFINANCE(C34, ""NAME""))"),"Concentrix Corp")</f>
        <v>Concentrix Corp</v>
      </c>
      <c r="E34" s="30" t="s">
        <v>102</v>
      </c>
      <c r="F34" s="33" t="str">
        <f>IFERROR(__xludf.DUMMYFUNCTION("( (GOOGLEFINANCE(C34, ""price"") - Q34) / Q34 ) / (R34 / 100)"),"Loading...")</f>
        <v>Loading...</v>
      </c>
      <c r="G34" s="20" t="str">
        <f>IFERROR(__xludf.DUMMYFUNCTION("AVERAGE(ARRAYFORMULA(100 * (QUERY(GOOGLEFINANCE(C34, ""high"", TODAY()-40, TODAY()), ""SELECT Col2 WHERE Col2 IS NOT NULL ORDER BY Col1 DESC LIMIT 20"", 0) / QUERY(GOOGLEFINANCE(C34, ""low"", TODAY()-40, TODAY()), ""SELECT Col2 WHERE Col2 IS NOT NULL ORDE"&amp;"R BY Col1 DESC LIMIT 20"", 0) - 1)))"),"#N/A")</f>
        <v>#N/A</v>
      </c>
      <c r="H34" s="35" t="str">
        <f t="shared" si="6"/>
        <v/>
      </c>
      <c r="I34" s="36" t="str">
        <f t="shared" si="7"/>
        <v/>
      </c>
      <c r="J34" s="37" t="str">
        <f>IFERROR(__xludf.DUMMYFUNCTION("IFERROR(
  IF(C34="""",, 
    IFERROR(
      GOOGLEFINANCE(C34, ""price"") * GOOGLEFINANCE(C34, ""volumeavg""), 
      GOOGLEFINANCE(C34, ""price"") * AVERAGE(QUERY(GOOGLEFINANCE(C34, ""volume"", TODAY()-40, TODAY()), ""SELECT Col2 WHERE Col2 IS NOT NULL "&amp;"ORDER BY Col1 DESC LIMIT 20"", 0))
    )
  ), 
"""")"),"")</f>
        <v/>
      </c>
      <c r="K34" s="21" t="str">
        <f>IFERROR(__xludf.DUMMYFUNCTION("IFERROR(GOOGLEFINANCE(C34, ""changepct"") / 100, """")"),"")</f>
        <v/>
      </c>
      <c r="L34" s="21" t="str">
        <f>IFERROR(__xludf.DUMMYFUNCTION("IFERROR((GOOGLEFINANCE(C34, ""price"") / INDEX(GOOGLEFINANCE(C34, ""price"", TODAY()-7, TODAY()), 2, 2)) - 1, """")"),"")</f>
        <v/>
      </c>
      <c r="M34" s="21" t="str">
        <f>IFERROR(__xludf.DUMMYFUNCTION("IFERROR((GOOGLEFINANCE(C34, ""price"") / INDEX(GOOGLEFINANCE(C34, ""price"", EDATE(TODAY(), -1), TODAY()), 2, 2)) - 1, """")"),"")</f>
        <v/>
      </c>
      <c r="N34" s="21" t="str">
        <f>IFERROR(__xludf.DUMMYFUNCTION("IFERROR((GOOGLEFINANCE(C34, ""price"") / INDEX(GOOGLEFINANCE(C34, ""price"", EDATE(TODAY(), -3), TODAY()), 2, 2)) - 1, """")"),"")</f>
        <v/>
      </c>
      <c r="O34" s="21" t="str">
        <f>IFERROR(__xludf.DUMMYFUNCTION("IFERROR((GOOGLEFINANCE(C34, ""price"") / INDEX(GOOGLEFINANCE(C34, ""price"", EDATE(TODAY(), -6), TODAY()), 2, 2)) - 1, """")"),"")</f>
        <v/>
      </c>
      <c r="P34" s="21" t="str">
        <f>IFERROR(__xludf.DUMMYFUNCTION("IFERROR((GOOGLEFINANCE(C34, ""price"") / INDEX(GOOGLEFINANCE(C34, ""price"", EDATE(TODAY(), -12), TODAY()), 2, 2)) - 1, """")"),"")</f>
        <v/>
      </c>
      <c r="Q34" s="6" t="str">
        <f>IFERROR(__xludf.DUMMYFUNCTION("AVERAGE(QUERY(GOOGLEFINANCE(C34, ""price"", TODAY()-80, TODAY()), ""SELECT Col2 WHERE Col2 IS NOT NULL ORDER BY Col1 DESC LIMIT 50"", 0))"),"#N/A")</f>
        <v>#N/A</v>
      </c>
      <c r="R34" s="24" t="str">
        <f>IFERROR(__xludf.DUMMYFUNCTION("IFERROR(
  LET(
    data, QUERY(GOOGLEFINANCE(C34,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GOOGLEFINANCE(C34, ""price"")) * 100,
    IF(calc=0, G34, calc)
  ), 
G34)"),"#N/A")</f>
        <v>#N/A</v>
      </c>
      <c r="S34" s="8" t="s">
        <v>15</v>
      </c>
      <c r="T34" s="26" t="str">
        <f>IFERROR(__xludf.DUMMYFUNCTION("IFERROR(TRANSPOSE(QUERY(IFERROR(SORT(GOOGLEFINANCE(C34, ""price"", WORKDAY(TODAY(), -40), TODAY()), 1, FALSE)), ""select Col2 where Col2 is not null limit 22 label Col2 ''"", 0)), """")"),"")</f>
        <v/>
      </c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8"/>
      <c r="AO34" s="28"/>
      <c r="AP34" s="29"/>
      <c r="AQ34" s="29" t="str">
        <f t="shared" ref="AQ34:BL34" si="37">T34/T$2</f>
        <v>#N/A</v>
      </c>
      <c r="AR34" s="29" t="str">
        <f t="shared" si="37"/>
        <v>#DIV/0!</v>
      </c>
      <c r="AS34" s="29" t="str">
        <f t="shared" si="37"/>
        <v>#DIV/0!</v>
      </c>
      <c r="AT34" s="29" t="str">
        <f t="shared" si="37"/>
        <v>#DIV/0!</v>
      </c>
      <c r="AU34" s="29" t="str">
        <f t="shared" si="37"/>
        <v>#DIV/0!</v>
      </c>
      <c r="AV34" s="29" t="str">
        <f t="shared" si="37"/>
        <v>#DIV/0!</v>
      </c>
      <c r="AW34" s="29" t="str">
        <f t="shared" si="37"/>
        <v>#DIV/0!</v>
      </c>
      <c r="AX34" s="29" t="str">
        <f t="shared" si="37"/>
        <v>#DIV/0!</v>
      </c>
      <c r="AY34" s="29" t="str">
        <f t="shared" si="37"/>
        <v>#DIV/0!</v>
      </c>
      <c r="AZ34" s="29" t="str">
        <f t="shared" si="37"/>
        <v>#DIV/0!</v>
      </c>
      <c r="BA34" s="29" t="str">
        <f t="shared" si="37"/>
        <v>#DIV/0!</v>
      </c>
      <c r="BB34" s="29" t="str">
        <f t="shared" si="37"/>
        <v>#DIV/0!</v>
      </c>
      <c r="BC34" s="29" t="str">
        <f t="shared" si="37"/>
        <v>#DIV/0!</v>
      </c>
      <c r="BD34" s="29" t="str">
        <f t="shared" si="37"/>
        <v>#DIV/0!</v>
      </c>
      <c r="BE34" s="29" t="str">
        <f t="shared" si="37"/>
        <v>#DIV/0!</v>
      </c>
      <c r="BF34" s="29" t="str">
        <f t="shared" si="37"/>
        <v>#DIV/0!</v>
      </c>
      <c r="BG34" s="29" t="str">
        <f t="shared" si="37"/>
        <v>#DIV/0!</v>
      </c>
      <c r="BH34" s="29" t="str">
        <f t="shared" si="37"/>
        <v>#DIV/0!</v>
      </c>
      <c r="BI34" s="29" t="str">
        <f t="shared" si="37"/>
        <v>#DIV/0!</v>
      </c>
      <c r="BJ34" s="29" t="str">
        <f t="shared" si="37"/>
        <v>#DIV/0!</v>
      </c>
      <c r="BK34" s="29" t="str">
        <f t="shared" si="37"/>
        <v>#DIV/0!</v>
      </c>
      <c r="BL34" s="29" t="str">
        <f t="shared" si="37"/>
        <v>#DIV/0!</v>
      </c>
      <c r="BM34" s="29" t="str">
        <f t="shared" si="3"/>
        <v>#DIV/0!</v>
      </c>
    </row>
    <row r="35">
      <c r="A35" s="16" t="str">
        <f>IFERROR(__xludf.DUMMYFUNCTION("IFERROR(SPARKLINE(SORT(MAP(TRANSPOSE(AQ35:BL35), LAMBDA(val, IF(ISNUMBER(val), PERCENTRANK(AQ35:BL35, val)+0.01, 0))), SEQUENCE(COLUMNS(AQ35:BL35)), FALSE), {""charttype"",""column""; ""color"",""chartreuse""; ""ymin"", 0; ""ymax"", 1.01; ""highcolor"", "&amp;"""darkgreen""; ""lowcolor"", ""red""}), """")"),"")</f>
        <v/>
      </c>
      <c r="B35" s="17" t="str">
        <f t="shared" si="4"/>
        <v/>
      </c>
      <c r="C35" s="1" t="s">
        <v>204</v>
      </c>
      <c r="D35" s="30" t="str">
        <f>IFERROR(__xludf.DUMMYFUNCTION("IFERROR(GOOGLEFINANCE(C35, ""NAME""))"),"Strategy Inc Class A")</f>
        <v>Strategy Inc Class A</v>
      </c>
      <c r="E35" s="30" t="s">
        <v>48</v>
      </c>
      <c r="F35" s="33" t="str">
        <f>IFERROR(__xludf.DUMMYFUNCTION("( (GOOGLEFINANCE(C35, ""price"") - Q35) / Q35 ) / (R35 / 100)"),"Loading...")</f>
        <v>Loading...</v>
      </c>
      <c r="G35" s="20" t="str">
        <f>IFERROR(__xludf.DUMMYFUNCTION("AVERAGE(ARRAYFORMULA(100 * (QUERY(GOOGLEFINANCE(C35, ""high"", TODAY()-40, TODAY()), ""SELECT Col2 WHERE Col2 IS NOT NULL ORDER BY Col1 DESC LIMIT 20"", 0) / QUERY(GOOGLEFINANCE(C35, ""low"", TODAY()-40, TODAY()), ""SELECT Col2 WHERE Col2 IS NOT NULL ORDE"&amp;"R BY Col1 DESC LIMIT 20"", 0) - 1)))"),"#N/A")</f>
        <v>#N/A</v>
      </c>
      <c r="H35" s="35" t="str">
        <f t="shared" si="6"/>
        <v/>
      </c>
      <c r="I35" s="36" t="str">
        <f t="shared" si="7"/>
        <v/>
      </c>
      <c r="J35" s="37" t="str">
        <f>IFERROR(__xludf.DUMMYFUNCTION("IFERROR(
  IF(C35="""",, 
    IFERROR(
      GOOGLEFINANCE(C35, ""price"") * GOOGLEFINANCE(C35, ""volumeavg""), 
      GOOGLEFINANCE(C35, ""price"") * AVERAGE(QUERY(GOOGLEFINANCE(C35, ""volume"", TODAY()-40, TODAY()), ""SELECT Col2 WHERE Col2 IS NOT NULL "&amp;"ORDER BY Col1 DESC LIMIT 20"", 0))
    )
  ), 
"""")"),"")</f>
        <v/>
      </c>
      <c r="K35" s="21" t="str">
        <f>IFERROR(__xludf.DUMMYFUNCTION("IFERROR(GOOGLEFINANCE(C35, ""changepct"") / 100, """")"),"")</f>
        <v/>
      </c>
      <c r="L35" s="21" t="str">
        <f>IFERROR(__xludf.DUMMYFUNCTION("IFERROR((GOOGLEFINANCE(C35, ""price"") / INDEX(GOOGLEFINANCE(C35, ""price"", TODAY()-7, TODAY()), 2, 2)) - 1, """")"),"")</f>
        <v/>
      </c>
      <c r="M35" s="21" t="str">
        <f>IFERROR(__xludf.DUMMYFUNCTION("IFERROR((GOOGLEFINANCE(C35, ""price"") / INDEX(GOOGLEFINANCE(C35, ""price"", EDATE(TODAY(), -1), TODAY()), 2, 2)) - 1, """")"),"")</f>
        <v/>
      </c>
      <c r="N35" s="21" t="str">
        <f>IFERROR(__xludf.DUMMYFUNCTION("IFERROR((GOOGLEFINANCE(C35, ""price"") / INDEX(GOOGLEFINANCE(C35, ""price"", EDATE(TODAY(), -3), TODAY()), 2, 2)) - 1, """")"),"")</f>
        <v/>
      </c>
      <c r="O35" s="21" t="str">
        <f>IFERROR(__xludf.DUMMYFUNCTION("IFERROR((GOOGLEFINANCE(C35, ""price"") / INDEX(GOOGLEFINANCE(C35, ""price"", EDATE(TODAY(), -6), TODAY()), 2, 2)) - 1, """")"),"")</f>
        <v/>
      </c>
      <c r="P35" s="21" t="str">
        <f>IFERROR(__xludf.DUMMYFUNCTION("IFERROR((GOOGLEFINANCE(C35, ""price"") / INDEX(GOOGLEFINANCE(C35, ""price"", EDATE(TODAY(), -12), TODAY()), 2, 2)) - 1, """")"),"")</f>
        <v/>
      </c>
      <c r="Q35" s="6" t="str">
        <f>IFERROR(__xludf.DUMMYFUNCTION("AVERAGE(QUERY(GOOGLEFINANCE(C35, ""price"", TODAY()-80, TODAY()), ""SELECT Col2 WHERE Col2 IS NOT NULL ORDER BY Col1 DESC LIMIT 50"", 0))"),"#N/A")</f>
        <v>#N/A</v>
      </c>
      <c r="R35" s="24" t="str">
        <f>IFERROR(__xludf.DUMMYFUNCTION("IFERROR(
  LET(
    data, QUERY(GOOGLEFINANCE(C35,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GOOGLEFINANCE(C35, ""price"")) * 100,
    IF(calc=0, G35, calc)
  ), 
G35)"),"#N/A")</f>
        <v>#N/A</v>
      </c>
      <c r="S35" s="8" t="s">
        <v>15</v>
      </c>
      <c r="T35" s="26" t="str">
        <f>IFERROR(__xludf.DUMMYFUNCTION("IFERROR(TRANSPOSE(QUERY(IFERROR(SORT(GOOGLEFINANCE(C35, ""price"", WORKDAY(TODAY(), -40), TODAY()), 1, FALSE)), ""select Col2 where Col2 is not null limit 22 label Col2 ''"", 0)), """")"),"")</f>
        <v/>
      </c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8"/>
      <c r="AO35" s="28"/>
      <c r="AP35" s="29"/>
      <c r="AQ35" s="29" t="str">
        <f t="shared" ref="AQ35:BL35" si="38">T35/T$2</f>
        <v>#N/A</v>
      </c>
      <c r="AR35" s="29" t="str">
        <f t="shared" si="38"/>
        <v>#DIV/0!</v>
      </c>
      <c r="AS35" s="29" t="str">
        <f t="shared" si="38"/>
        <v>#DIV/0!</v>
      </c>
      <c r="AT35" s="29" t="str">
        <f t="shared" si="38"/>
        <v>#DIV/0!</v>
      </c>
      <c r="AU35" s="29" t="str">
        <f t="shared" si="38"/>
        <v>#DIV/0!</v>
      </c>
      <c r="AV35" s="29" t="str">
        <f t="shared" si="38"/>
        <v>#DIV/0!</v>
      </c>
      <c r="AW35" s="29" t="str">
        <f t="shared" si="38"/>
        <v>#DIV/0!</v>
      </c>
      <c r="AX35" s="29" t="str">
        <f t="shared" si="38"/>
        <v>#DIV/0!</v>
      </c>
      <c r="AY35" s="29" t="str">
        <f t="shared" si="38"/>
        <v>#DIV/0!</v>
      </c>
      <c r="AZ35" s="29" t="str">
        <f t="shared" si="38"/>
        <v>#DIV/0!</v>
      </c>
      <c r="BA35" s="29" t="str">
        <f t="shared" si="38"/>
        <v>#DIV/0!</v>
      </c>
      <c r="BB35" s="29" t="str">
        <f t="shared" si="38"/>
        <v>#DIV/0!</v>
      </c>
      <c r="BC35" s="29" t="str">
        <f t="shared" si="38"/>
        <v>#DIV/0!</v>
      </c>
      <c r="BD35" s="29" t="str">
        <f t="shared" si="38"/>
        <v>#DIV/0!</v>
      </c>
      <c r="BE35" s="29" t="str">
        <f t="shared" si="38"/>
        <v>#DIV/0!</v>
      </c>
      <c r="BF35" s="29" t="str">
        <f t="shared" si="38"/>
        <v>#DIV/0!</v>
      </c>
      <c r="BG35" s="29" t="str">
        <f t="shared" si="38"/>
        <v>#DIV/0!</v>
      </c>
      <c r="BH35" s="29" t="str">
        <f t="shared" si="38"/>
        <v>#DIV/0!</v>
      </c>
      <c r="BI35" s="29" t="str">
        <f t="shared" si="38"/>
        <v>#DIV/0!</v>
      </c>
      <c r="BJ35" s="29" t="str">
        <f t="shared" si="38"/>
        <v>#DIV/0!</v>
      </c>
      <c r="BK35" s="29" t="str">
        <f t="shared" si="38"/>
        <v>#DIV/0!</v>
      </c>
      <c r="BL35" s="29" t="str">
        <f t="shared" si="38"/>
        <v>#DIV/0!</v>
      </c>
      <c r="BM35" s="29" t="str">
        <f t="shared" si="3"/>
        <v>#DIV/0!</v>
      </c>
    </row>
    <row r="36">
      <c r="A36" s="16" t="str">
        <f>IFERROR(__xludf.DUMMYFUNCTION("IFERROR(SPARKLINE(SORT(MAP(TRANSPOSE(AQ36:BL36), LAMBDA(val, IF(ISNUMBER(val), PERCENTRANK(AQ36:BL36, val)+0.01, 0))), SEQUENCE(COLUMNS(AQ36:BL36)), FALSE), {""charttype"",""column""; ""color"",""chartreuse""; ""ymin"", 0; ""ymax"", 1.01; ""highcolor"", "&amp;"""darkgreen""; ""lowcolor"", ""red""}), """")"),"")</f>
        <v/>
      </c>
      <c r="B36" s="17" t="str">
        <f t="shared" si="4"/>
        <v/>
      </c>
      <c r="C36" s="1" t="s">
        <v>208</v>
      </c>
      <c r="D36" s="30" t="str">
        <f>IFERROR(__xludf.DUMMYFUNCTION("IFERROR(GOOGLEFINANCE(C36, ""NAME""))"),"Progress Software Corp")</f>
        <v>Progress Software Corp</v>
      </c>
      <c r="E36" s="30" t="s">
        <v>58</v>
      </c>
      <c r="F36" s="38" t="str">
        <f>IFERROR(__xludf.DUMMYFUNCTION("( (GOOGLEFINANCE(C36, ""price"") - Q36) / Q36 ) / (R36 / 100)"),"Loading...")</f>
        <v>Loading...</v>
      </c>
      <c r="G36" s="20" t="str">
        <f>IFERROR(__xludf.DUMMYFUNCTION("AVERAGE(ARRAYFORMULA(100 * (QUERY(GOOGLEFINANCE(C36, ""high"", TODAY()-40, TODAY()), ""SELECT Col2 WHERE Col2 IS NOT NULL ORDER BY Col1 DESC LIMIT 20"", 0) / QUERY(GOOGLEFINANCE(C36, ""low"", TODAY()-40, TODAY()), ""SELECT Col2 WHERE Col2 IS NOT NULL ORDE"&amp;"R BY Col1 DESC LIMIT 20"", 0) - 1)))"),"#N/A")</f>
        <v>#N/A</v>
      </c>
      <c r="H36" s="35" t="str">
        <f t="shared" si="6"/>
        <v/>
      </c>
      <c r="I36" s="36" t="str">
        <f t="shared" si="7"/>
        <v/>
      </c>
      <c r="J36" s="37" t="str">
        <f>IFERROR(__xludf.DUMMYFUNCTION("IFERROR(
  IF(C36="""",, 
    IFERROR(
      GOOGLEFINANCE(C36, ""price"") * GOOGLEFINANCE(C36, ""volumeavg""), 
      GOOGLEFINANCE(C36, ""price"") * AVERAGE(QUERY(GOOGLEFINANCE(C36, ""volume"", TODAY()-40, TODAY()), ""SELECT Col2 WHERE Col2 IS NOT NULL "&amp;"ORDER BY Col1 DESC LIMIT 20"", 0))
    )
  ), 
"""")"),"")</f>
        <v/>
      </c>
      <c r="K36" s="21" t="str">
        <f>IFERROR(__xludf.DUMMYFUNCTION("IFERROR(GOOGLEFINANCE(C36, ""changepct"") / 100, """")"),"")</f>
        <v/>
      </c>
      <c r="L36" s="21" t="str">
        <f>IFERROR(__xludf.DUMMYFUNCTION("IFERROR((GOOGLEFINANCE(C36, ""price"") / INDEX(GOOGLEFINANCE(C36, ""price"", TODAY()-7, TODAY()), 2, 2)) - 1, """")"),"")</f>
        <v/>
      </c>
      <c r="M36" s="21" t="str">
        <f>IFERROR(__xludf.DUMMYFUNCTION("IFERROR((GOOGLEFINANCE(C36, ""price"") / INDEX(GOOGLEFINANCE(C36, ""price"", EDATE(TODAY(), -1), TODAY()), 2, 2)) - 1, """")"),"")</f>
        <v/>
      </c>
      <c r="N36" s="21" t="str">
        <f>IFERROR(__xludf.DUMMYFUNCTION("IFERROR((GOOGLEFINANCE(C36, ""price"") / INDEX(GOOGLEFINANCE(C36, ""price"", EDATE(TODAY(), -3), TODAY()), 2, 2)) - 1, """")"),"")</f>
        <v/>
      </c>
      <c r="O36" s="21" t="str">
        <f>IFERROR(__xludf.DUMMYFUNCTION("IFERROR((GOOGLEFINANCE(C36, ""price"") / INDEX(GOOGLEFINANCE(C36, ""price"", EDATE(TODAY(), -6), TODAY()), 2, 2)) - 1, """")"),"")</f>
        <v/>
      </c>
      <c r="P36" s="21" t="str">
        <f>IFERROR(__xludf.DUMMYFUNCTION("IFERROR((GOOGLEFINANCE(C36, ""price"") / INDEX(GOOGLEFINANCE(C36, ""price"", EDATE(TODAY(), -12), TODAY()), 2, 2)) - 1, """")"),"")</f>
        <v/>
      </c>
      <c r="Q36" s="6" t="str">
        <f>IFERROR(__xludf.DUMMYFUNCTION("AVERAGE(QUERY(GOOGLEFINANCE(C36, ""price"", TODAY()-80, TODAY()), ""SELECT Col2 WHERE Col2 IS NOT NULL ORDER BY Col1 DESC LIMIT 50"", 0))"),"#N/A")</f>
        <v>#N/A</v>
      </c>
      <c r="R36" s="24" t="str">
        <f>IFERROR(__xludf.DUMMYFUNCTION("IFERROR(
  LET(
    data, QUERY(GOOGLEFINANCE(C36,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GOOGLEFINANCE(C36, ""price"")) * 100,
    IF(calc=0, G36, calc)
  ), 
G36)"),"#N/A")</f>
        <v>#N/A</v>
      </c>
      <c r="S36" s="8" t="s">
        <v>15</v>
      </c>
      <c r="T36" s="26" t="str">
        <f>IFERROR(__xludf.DUMMYFUNCTION("IFERROR(TRANSPOSE(QUERY(IFERROR(SORT(GOOGLEFINANCE(C36, ""price"", WORKDAY(TODAY(), -40), TODAY()), 1, FALSE)), ""select Col2 where Col2 is not null limit 22 label Col2 ''"", 0)), """")"),"")</f>
        <v/>
      </c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8"/>
      <c r="AO36" s="28"/>
      <c r="AP36" s="29"/>
      <c r="AQ36" s="29" t="str">
        <f t="shared" ref="AQ36:BL36" si="39">T36/T$2</f>
        <v>#N/A</v>
      </c>
      <c r="AR36" s="29" t="str">
        <f t="shared" si="39"/>
        <v>#DIV/0!</v>
      </c>
      <c r="AS36" s="29" t="str">
        <f t="shared" si="39"/>
        <v>#DIV/0!</v>
      </c>
      <c r="AT36" s="29" t="str">
        <f t="shared" si="39"/>
        <v>#DIV/0!</v>
      </c>
      <c r="AU36" s="29" t="str">
        <f t="shared" si="39"/>
        <v>#DIV/0!</v>
      </c>
      <c r="AV36" s="29" t="str">
        <f t="shared" si="39"/>
        <v>#DIV/0!</v>
      </c>
      <c r="AW36" s="29" t="str">
        <f t="shared" si="39"/>
        <v>#DIV/0!</v>
      </c>
      <c r="AX36" s="29" t="str">
        <f t="shared" si="39"/>
        <v>#DIV/0!</v>
      </c>
      <c r="AY36" s="29" t="str">
        <f t="shared" si="39"/>
        <v>#DIV/0!</v>
      </c>
      <c r="AZ36" s="29" t="str">
        <f t="shared" si="39"/>
        <v>#DIV/0!</v>
      </c>
      <c r="BA36" s="29" t="str">
        <f t="shared" si="39"/>
        <v>#DIV/0!</v>
      </c>
      <c r="BB36" s="29" t="str">
        <f t="shared" si="39"/>
        <v>#DIV/0!</v>
      </c>
      <c r="BC36" s="29" t="str">
        <f t="shared" si="39"/>
        <v>#DIV/0!</v>
      </c>
      <c r="BD36" s="29" t="str">
        <f t="shared" si="39"/>
        <v>#DIV/0!</v>
      </c>
      <c r="BE36" s="29" t="str">
        <f t="shared" si="39"/>
        <v>#DIV/0!</v>
      </c>
      <c r="BF36" s="29" t="str">
        <f t="shared" si="39"/>
        <v>#DIV/0!</v>
      </c>
      <c r="BG36" s="29" t="str">
        <f t="shared" si="39"/>
        <v>#DIV/0!</v>
      </c>
      <c r="BH36" s="29" t="str">
        <f t="shared" si="39"/>
        <v>#DIV/0!</v>
      </c>
      <c r="BI36" s="29" t="str">
        <f t="shared" si="39"/>
        <v>#DIV/0!</v>
      </c>
      <c r="BJ36" s="29" t="str">
        <f t="shared" si="39"/>
        <v>#DIV/0!</v>
      </c>
      <c r="BK36" s="29" t="str">
        <f t="shared" si="39"/>
        <v>#DIV/0!</v>
      </c>
      <c r="BL36" s="29" t="str">
        <f t="shared" si="39"/>
        <v>#DIV/0!</v>
      </c>
      <c r="BM36" s="29" t="str">
        <f t="shared" si="3"/>
        <v>#DIV/0!</v>
      </c>
    </row>
    <row r="37">
      <c r="A37" s="16" t="str">
        <f>IFERROR(__xludf.DUMMYFUNCTION("IFERROR(SPARKLINE(SORT(MAP(TRANSPOSE(AQ37:BL37), LAMBDA(val, IF(ISNUMBER(val), PERCENTRANK(AQ37:BL37, val)+0.01, 0))), SEQUENCE(COLUMNS(AQ37:BL37)), FALSE), {""charttype"",""column""; ""color"",""chartreuse""; ""ymin"", 0; ""ymax"", 1.01; ""highcolor"", "&amp;"""darkgreen""; ""lowcolor"", ""red""}), """")"),"")</f>
        <v/>
      </c>
      <c r="B37" s="17" t="str">
        <f t="shared" si="4"/>
        <v/>
      </c>
      <c r="C37" s="1" t="s">
        <v>212</v>
      </c>
      <c r="D37" s="30" t="str">
        <f>IFERROR(__xludf.DUMMYFUNCTION("IFERROR(GOOGLEFINANCE(C37, ""NAME""))"),"ServiceTitan Inc")</f>
        <v>ServiceTitan Inc</v>
      </c>
      <c r="E37" s="30" t="s">
        <v>48</v>
      </c>
      <c r="F37" s="33" t="str">
        <f>IFERROR(__xludf.DUMMYFUNCTION("( (GOOGLEFINANCE(C37, ""price"") - Q37) / Q37 ) / (R37 / 100)"),"Loading...")</f>
        <v>Loading...</v>
      </c>
      <c r="G37" s="20" t="str">
        <f>IFERROR(__xludf.DUMMYFUNCTION("AVERAGE(ARRAYFORMULA(100 * (QUERY(GOOGLEFINANCE(C37, ""high"", TODAY()-40, TODAY()), ""SELECT Col2 WHERE Col2 IS NOT NULL ORDER BY Col1 DESC LIMIT 20"", 0) / QUERY(GOOGLEFINANCE(C37, ""low"", TODAY()-40, TODAY()), ""SELECT Col2 WHERE Col2 IS NOT NULL ORDE"&amp;"R BY Col1 DESC LIMIT 20"", 0) - 1)))"),"#N/A")</f>
        <v>#N/A</v>
      </c>
      <c r="H37" s="35" t="str">
        <f t="shared" si="6"/>
        <v/>
      </c>
      <c r="I37" s="36" t="str">
        <f t="shared" si="7"/>
        <v/>
      </c>
      <c r="J37" s="37" t="str">
        <f>IFERROR(__xludf.DUMMYFUNCTION("IFERROR(
  IF(C37="""",, 
    IFERROR(
      GOOGLEFINANCE(C37, ""price"") * GOOGLEFINANCE(C37, ""volumeavg""), 
      GOOGLEFINANCE(C37, ""price"") * AVERAGE(QUERY(GOOGLEFINANCE(C37, ""volume"", TODAY()-40, TODAY()), ""SELECT Col2 WHERE Col2 IS NOT NULL "&amp;"ORDER BY Col1 DESC LIMIT 20"", 0))
    )
  ), 
"""")"),"")</f>
        <v/>
      </c>
      <c r="K37" s="21" t="str">
        <f>IFERROR(__xludf.DUMMYFUNCTION("IFERROR(GOOGLEFINANCE(C37, ""changepct"") / 100, """")"),"")</f>
        <v/>
      </c>
      <c r="L37" s="21" t="str">
        <f>IFERROR(__xludf.DUMMYFUNCTION("IFERROR((GOOGLEFINANCE(C37, ""price"") / INDEX(GOOGLEFINANCE(C37, ""price"", TODAY()-7, TODAY()), 2, 2)) - 1, """")"),"")</f>
        <v/>
      </c>
      <c r="M37" s="21" t="str">
        <f>IFERROR(__xludf.DUMMYFUNCTION("IFERROR((GOOGLEFINANCE(C37, ""price"") / INDEX(GOOGLEFINANCE(C37, ""price"", EDATE(TODAY(), -1), TODAY()), 2, 2)) - 1, """")"),"")</f>
        <v/>
      </c>
      <c r="N37" s="21" t="str">
        <f>IFERROR(__xludf.DUMMYFUNCTION("IFERROR((GOOGLEFINANCE(C37, ""price"") / INDEX(GOOGLEFINANCE(C37, ""price"", EDATE(TODAY(), -3), TODAY()), 2, 2)) - 1, """")"),"")</f>
        <v/>
      </c>
      <c r="O37" s="21" t="str">
        <f>IFERROR(__xludf.DUMMYFUNCTION("IFERROR((GOOGLEFINANCE(C37, ""price"") / INDEX(GOOGLEFINANCE(C37, ""price"", EDATE(TODAY(), -6), TODAY()), 2, 2)) - 1, """")"),"")</f>
        <v/>
      </c>
      <c r="P37" s="21" t="str">
        <f>IFERROR(__xludf.DUMMYFUNCTION("IFERROR((GOOGLEFINANCE(C37, ""price"") / INDEX(GOOGLEFINANCE(C37, ""price"", EDATE(TODAY(), -12), TODAY()), 2, 2)) - 1, """")"),"")</f>
        <v/>
      </c>
      <c r="Q37" s="6" t="str">
        <f>IFERROR(__xludf.DUMMYFUNCTION("AVERAGE(QUERY(GOOGLEFINANCE(C37, ""price"", TODAY()-80, TODAY()), ""SELECT Col2 WHERE Col2 IS NOT NULL ORDER BY Col1 DESC LIMIT 50"", 0))"),"#N/A")</f>
        <v>#N/A</v>
      </c>
      <c r="R37" s="24" t="str">
        <f>IFERROR(__xludf.DUMMYFUNCTION("IFERROR(
  LET(
    data, QUERY(GOOGLEFINANCE(C37,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GOOGLEFINANCE(C37, ""price"")) * 100,
    IF(calc=0, G37, calc)
  ), 
G37)"),"#N/A")</f>
        <v>#N/A</v>
      </c>
      <c r="S37" s="8" t="s">
        <v>15</v>
      </c>
      <c r="T37" s="26" t="str">
        <f>IFERROR(__xludf.DUMMYFUNCTION("IFERROR(TRANSPOSE(QUERY(IFERROR(SORT(GOOGLEFINANCE(C37, ""price"", WORKDAY(TODAY(), -40), TODAY()), 1, FALSE)), ""select Col2 where Col2 is not null limit 22 label Col2 ''"", 0)), """")"),"")</f>
        <v/>
      </c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8"/>
      <c r="AO37" s="28"/>
      <c r="AP37" s="29"/>
      <c r="AQ37" s="29" t="str">
        <f t="shared" ref="AQ37:BL37" si="40">T37/T$2</f>
        <v>#N/A</v>
      </c>
      <c r="AR37" s="29" t="str">
        <f t="shared" si="40"/>
        <v>#DIV/0!</v>
      </c>
      <c r="AS37" s="29" t="str">
        <f t="shared" si="40"/>
        <v>#DIV/0!</v>
      </c>
      <c r="AT37" s="29" t="str">
        <f t="shared" si="40"/>
        <v>#DIV/0!</v>
      </c>
      <c r="AU37" s="29" t="str">
        <f t="shared" si="40"/>
        <v>#DIV/0!</v>
      </c>
      <c r="AV37" s="29" t="str">
        <f t="shared" si="40"/>
        <v>#DIV/0!</v>
      </c>
      <c r="AW37" s="29" t="str">
        <f t="shared" si="40"/>
        <v>#DIV/0!</v>
      </c>
      <c r="AX37" s="29" t="str">
        <f t="shared" si="40"/>
        <v>#DIV/0!</v>
      </c>
      <c r="AY37" s="29" t="str">
        <f t="shared" si="40"/>
        <v>#DIV/0!</v>
      </c>
      <c r="AZ37" s="29" t="str">
        <f t="shared" si="40"/>
        <v>#DIV/0!</v>
      </c>
      <c r="BA37" s="29" t="str">
        <f t="shared" si="40"/>
        <v>#DIV/0!</v>
      </c>
      <c r="BB37" s="29" t="str">
        <f t="shared" si="40"/>
        <v>#DIV/0!</v>
      </c>
      <c r="BC37" s="29" t="str">
        <f t="shared" si="40"/>
        <v>#DIV/0!</v>
      </c>
      <c r="BD37" s="29" t="str">
        <f t="shared" si="40"/>
        <v>#DIV/0!</v>
      </c>
      <c r="BE37" s="29" t="str">
        <f t="shared" si="40"/>
        <v>#DIV/0!</v>
      </c>
      <c r="BF37" s="29" t="str">
        <f t="shared" si="40"/>
        <v>#DIV/0!</v>
      </c>
      <c r="BG37" s="29" t="str">
        <f t="shared" si="40"/>
        <v>#DIV/0!</v>
      </c>
      <c r="BH37" s="29" t="str">
        <f t="shared" si="40"/>
        <v>#DIV/0!</v>
      </c>
      <c r="BI37" s="29" t="str">
        <f t="shared" si="40"/>
        <v>#DIV/0!</v>
      </c>
      <c r="BJ37" s="29" t="str">
        <f t="shared" si="40"/>
        <v>#DIV/0!</v>
      </c>
      <c r="BK37" s="29" t="str">
        <f t="shared" si="40"/>
        <v>#DIV/0!</v>
      </c>
      <c r="BL37" s="29" t="str">
        <f t="shared" si="40"/>
        <v>#DIV/0!</v>
      </c>
      <c r="BM37" s="29" t="str">
        <f t="shared" si="3"/>
        <v>#DIV/0!</v>
      </c>
    </row>
    <row r="38">
      <c r="A38" s="16" t="str">
        <f>IFERROR(__xludf.DUMMYFUNCTION("IFERROR(SPARKLINE(SORT(MAP(TRANSPOSE(AQ38:BL38), LAMBDA(val, IF(ISNUMBER(val), PERCENTRANK(AQ38:BL38, val)+0.01, 0))), SEQUENCE(COLUMNS(AQ38:BL38)), FALSE), {""charttype"",""column""; ""color"",""chartreuse""; ""ymin"", 0; ""ymax"", 1.01; ""highcolor"", "&amp;"""darkgreen""; ""lowcolor"", ""red""}), """")"),"")</f>
        <v/>
      </c>
      <c r="B38" s="17" t="str">
        <f t="shared" si="4"/>
        <v/>
      </c>
      <c r="C38" s="1" t="s">
        <v>222</v>
      </c>
      <c r="D38" s="30" t="str">
        <f>IFERROR(__xludf.DUMMYFUNCTION("IFERROR(GOOGLEFINANCE(C38, ""NAME""))"),"Workday Inc")</f>
        <v>Workday Inc</v>
      </c>
      <c r="E38" s="30" t="s">
        <v>48</v>
      </c>
      <c r="F38" s="33" t="str">
        <f>IFERROR(__xludf.DUMMYFUNCTION("( (GOOGLEFINANCE(C38, ""price"") - Q38) / Q38 ) / (R38 / 100)"),"Loading...")</f>
        <v>Loading...</v>
      </c>
      <c r="G38" s="20" t="str">
        <f>IFERROR(__xludf.DUMMYFUNCTION("AVERAGE(ARRAYFORMULA(100 * (QUERY(GOOGLEFINANCE(C38, ""high"", TODAY()-40, TODAY()), ""SELECT Col2 WHERE Col2 IS NOT NULL ORDER BY Col1 DESC LIMIT 20"", 0) / QUERY(GOOGLEFINANCE(C38, ""low"", TODAY()-40, TODAY()), ""SELECT Col2 WHERE Col2 IS NOT NULL ORDE"&amp;"R BY Col1 DESC LIMIT 20"", 0) - 1)))"),"#N/A")</f>
        <v>#N/A</v>
      </c>
      <c r="H38" s="35" t="str">
        <f t="shared" si="6"/>
        <v/>
      </c>
      <c r="I38" s="36" t="str">
        <f t="shared" si="7"/>
        <v/>
      </c>
      <c r="J38" s="37" t="str">
        <f>IFERROR(__xludf.DUMMYFUNCTION("IFERROR(
  IF(C38="""",, 
    IFERROR(
      GOOGLEFINANCE(C38, ""price"") * GOOGLEFINANCE(C38, ""volumeavg""), 
      GOOGLEFINANCE(C38, ""price"") * AVERAGE(QUERY(GOOGLEFINANCE(C38, ""volume"", TODAY()-40, TODAY()), ""SELECT Col2 WHERE Col2 IS NOT NULL "&amp;"ORDER BY Col1 DESC LIMIT 20"", 0))
    )
  ), 
"""")"),"")</f>
        <v/>
      </c>
      <c r="K38" s="21" t="str">
        <f>IFERROR(__xludf.DUMMYFUNCTION("IFERROR(GOOGLEFINANCE(C38, ""changepct"") / 100, """")"),"")</f>
        <v/>
      </c>
      <c r="L38" s="21" t="str">
        <f>IFERROR(__xludf.DUMMYFUNCTION("IFERROR((GOOGLEFINANCE(C38, ""price"") / INDEX(GOOGLEFINANCE(C38, ""price"", TODAY()-7, TODAY()), 2, 2)) - 1, """")"),"")</f>
        <v/>
      </c>
      <c r="M38" s="21" t="str">
        <f>IFERROR(__xludf.DUMMYFUNCTION("IFERROR((GOOGLEFINANCE(C38, ""price"") / INDEX(GOOGLEFINANCE(C38, ""price"", EDATE(TODAY(), -1), TODAY()), 2, 2)) - 1, """")"),"")</f>
        <v/>
      </c>
      <c r="N38" s="21" t="str">
        <f>IFERROR(__xludf.DUMMYFUNCTION("IFERROR((GOOGLEFINANCE(C38, ""price"") / INDEX(GOOGLEFINANCE(C38, ""price"", EDATE(TODAY(), -3), TODAY()), 2, 2)) - 1, """")"),"")</f>
        <v/>
      </c>
      <c r="O38" s="21" t="str">
        <f>IFERROR(__xludf.DUMMYFUNCTION("IFERROR((GOOGLEFINANCE(C38, ""price"") / INDEX(GOOGLEFINANCE(C38, ""price"", EDATE(TODAY(), -6), TODAY()), 2, 2)) - 1, """")"),"")</f>
        <v/>
      </c>
      <c r="P38" s="21" t="str">
        <f>IFERROR(__xludf.DUMMYFUNCTION("IFERROR((GOOGLEFINANCE(C38, ""price"") / INDEX(GOOGLEFINANCE(C38, ""price"", EDATE(TODAY(), -12), TODAY()), 2, 2)) - 1, """")"),"")</f>
        <v/>
      </c>
      <c r="Q38" s="6" t="str">
        <f>IFERROR(__xludf.DUMMYFUNCTION("AVERAGE(QUERY(GOOGLEFINANCE(C38, ""price"", TODAY()-80, TODAY()), ""SELECT Col2 WHERE Col2 IS NOT NULL ORDER BY Col1 DESC LIMIT 50"", 0))"),"#N/A")</f>
        <v>#N/A</v>
      </c>
      <c r="R38" s="24" t="str">
        <f>IFERROR(__xludf.DUMMYFUNCTION("IFERROR(
  LET(
    data, QUERY(GOOGLEFINANCE(C38,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GOOGLEFINANCE(C38, ""price"")) * 100,
    IF(calc=0, G38, calc)
  ), 
G38)"),"#N/A")</f>
        <v>#N/A</v>
      </c>
      <c r="S38" s="8" t="s">
        <v>15</v>
      </c>
      <c r="T38" s="26" t="str">
        <f>IFERROR(__xludf.DUMMYFUNCTION("IFERROR(TRANSPOSE(QUERY(IFERROR(SORT(GOOGLEFINANCE(C38, ""price"", WORKDAY(TODAY(), -40), TODAY()), 1, FALSE)), ""select Col2 where Col2 is not null limit 22 label Col2 ''"", 0)), """")"),"")</f>
        <v/>
      </c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8"/>
      <c r="AO38" s="28"/>
      <c r="AP38" s="29"/>
      <c r="AQ38" s="29" t="str">
        <f t="shared" ref="AQ38:BL38" si="41">T38/T$2</f>
        <v>#N/A</v>
      </c>
      <c r="AR38" s="29" t="str">
        <f t="shared" si="41"/>
        <v>#DIV/0!</v>
      </c>
      <c r="AS38" s="29" t="str">
        <f t="shared" si="41"/>
        <v>#DIV/0!</v>
      </c>
      <c r="AT38" s="29" t="str">
        <f t="shared" si="41"/>
        <v>#DIV/0!</v>
      </c>
      <c r="AU38" s="29" t="str">
        <f t="shared" si="41"/>
        <v>#DIV/0!</v>
      </c>
      <c r="AV38" s="29" t="str">
        <f t="shared" si="41"/>
        <v>#DIV/0!</v>
      </c>
      <c r="AW38" s="29" t="str">
        <f t="shared" si="41"/>
        <v>#DIV/0!</v>
      </c>
      <c r="AX38" s="29" t="str">
        <f t="shared" si="41"/>
        <v>#DIV/0!</v>
      </c>
      <c r="AY38" s="29" t="str">
        <f t="shared" si="41"/>
        <v>#DIV/0!</v>
      </c>
      <c r="AZ38" s="29" t="str">
        <f t="shared" si="41"/>
        <v>#DIV/0!</v>
      </c>
      <c r="BA38" s="29" t="str">
        <f t="shared" si="41"/>
        <v>#DIV/0!</v>
      </c>
      <c r="BB38" s="29" t="str">
        <f t="shared" si="41"/>
        <v>#DIV/0!</v>
      </c>
      <c r="BC38" s="29" t="str">
        <f t="shared" si="41"/>
        <v>#DIV/0!</v>
      </c>
      <c r="BD38" s="29" t="str">
        <f t="shared" si="41"/>
        <v>#DIV/0!</v>
      </c>
      <c r="BE38" s="29" t="str">
        <f t="shared" si="41"/>
        <v>#DIV/0!</v>
      </c>
      <c r="BF38" s="29" t="str">
        <f t="shared" si="41"/>
        <v>#DIV/0!</v>
      </c>
      <c r="BG38" s="29" t="str">
        <f t="shared" si="41"/>
        <v>#DIV/0!</v>
      </c>
      <c r="BH38" s="29" t="str">
        <f t="shared" si="41"/>
        <v>#DIV/0!</v>
      </c>
      <c r="BI38" s="29" t="str">
        <f t="shared" si="41"/>
        <v>#DIV/0!</v>
      </c>
      <c r="BJ38" s="29" t="str">
        <f t="shared" si="41"/>
        <v>#DIV/0!</v>
      </c>
      <c r="BK38" s="29" t="str">
        <f t="shared" si="41"/>
        <v>#DIV/0!</v>
      </c>
      <c r="BL38" s="29" t="str">
        <f t="shared" si="41"/>
        <v>#DIV/0!</v>
      </c>
      <c r="BM38" s="29" t="str">
        <f t="shared" si="3"/>
        <v>#DIV/0!</v>
      </c>
    </row>
    <row r="39">
      <c r="A39" s="16" t="str">
        <f>IFERROR(__xludf.DUMMYFUNCTION("IFERROR(SPARKLINE(SORT(MAP(TRANSPOSE(AQ39:BL39), LAMBDA(val, IF(ISNUMBER(val), PERCENTRANK(AQ39:BL39, val)+0.01, 0))), SEQUENCE(COLUMNS(AQ39:BL39)), FALSE), {""charttype"",""column""; ""color"",""chartreuse""; ""ymin"", 0; ""ymax"", 1.01; ""highcolor"", "&amp;"""darkgreen""; ""lowcolor"", ""red""}), """")"),"")</f>
        <v/>
      </c>
      <c r="B39" s="17" t="str">
        <f t="shared" si="4"/>
        <v/>
      </c>
      <c r="C39" s="1" t="s">
        <v>228</v>
      </c>
      <c r="D39" s="30" t="str">
        <f>IFERROR(__xludf.DUMMYFUNCTION("IFERROR(GOOGLEFINANCE(C39, ""NAME""))"),"Godaddy Inc")</f>
        <v>Godaddy Inc</v>
      </c>
      <c r="E39" s="30" t="s">
        <v>58</v>
      </c>
      <c r="F39" s="33" t="str">
        <f>IFERROR(__xludf.DUMMYFUNCTION("( (GOOGLEFINANCE(C39, ""price"") - Q39) / Q39 ) / (R39 / 100)"),"Loading...")</f>
        <v>Loading...</v>
      </c>
      <c r="G39" s="20" t="str">
        <f>IFERROR(__xludf.DUMMYFUNCTION("AVERAGE(ARRAYFORMULA(100 * (QUERY(GOOGLEFINANCE(C39, ""high"", TODAY()-40, TODAY()), ""SELECT Col2 WHERE Col2 IS NOT NULL ORDER BY Col1 DESC LIMIT 20"", 0) / QUERY(GOOGLEFINANCE(C39, ""low"", TODAY()-40, TODAY()), ""SELECT Col2 WHERE Col2 IS NOT NULL ORDE"&amp;"R BY Col1 DESC LIMIT 20"", 0) - 1)))"),"#N/A")</f>
        <v>#N/A</v>
      </c>
      <c r="H39" s="35" t="str">
        <f t="shared" si="6"/>
        <v/>
      </c>
      <c r="I39" s="36" t="str">
        <f t="shared" si="7"/>
        <v/>
      </c>
      <c r="J39" s="37" t="str">
        <f>IFERROR(__xludf.DUMMYFUNCTION("IFERROR(
  IF(C39="""",, 
    IFERROR(
      GOOGLEFINANCE(C39, ""price"") * GOOGLEFINANCE(C39, ""volumeavg""), 
      GOOGLEFINANCE(C39, ""price"") * AVERAGE(QUERY(GOOGLEFINANCE(C39, ""volume"", TODAY()-40, TODAY()), ""SELECT Col2 WHERE Col2 IS NOT NULL "&amp;"ORDER BY Col1 DESC LIMIT 20"", 0))
    )
  ), 
"""")"),"")</f>
        <v/>
      </c>
      <c r="K39" s="21" t="str">
        <f>IFERROR(__xludf.DUMMYFUNCTION("IFERROR(GOOGLEFINANCE(C39, ""changepct"") / 100, """")"),"")</f>
        <v/>
      </c>
      <c r="L39" s="21" t="str">
        <f>IFERROR(__xludf.DUMMYFUNCTION("IFERROR((GOOGLEFINANCE(C39, ""price"") / INDEX(GOOGLEFINANCE(C39, ""price"", TODAY()-7, TODAY()), 2, 2)) - 1, """")"),"")</f>
        <v/>
      </c>
      <c r="M39" s="21" t="str">
        <f>IFERROR(__xludf.DUMMYFUNCTION("IFERROR((GOOGLEFINANCE(C39, ""price"") / INDEX(GOOGLEFINANCE(C39, ""price"", EDATE(TODAY(), -1), TODAY()), 2, 2)) - 1, """")"),"")</f>
        <v/>
      </c>
      <c r="N39" s="21" t="str">
        <f>IFERROR(__xludf.DUMMYFUNCTION("IFERROR((GOOGLEFINANCE(C39, ""price"") / INDEX(GOOGLEFINANCE(C39, ""price"", EDATE(TODAY(), -3), TODAY()), 2, 2)) - 1, """")"),"")</f>
        <v/>
      </c>
      <c r="O39" s="21" t="str">
        <f>IFERROR(__xludf.DUMMYFUNCTION("IFERROR((GOOGLEFINANCE(C39, ""price"") / INDEX(GOOGLEFINANCE(C39, ""price"", EDATE(TODAY(), -6), TODAY()), 2, 2)) - 1, """")"),"")</f>
        <v/>
      </c>
      <c r="P39" s="21" t="str">
        <f>IFERROR(__xludf.DUMMYFUNCTION("IFERROR((GOOGLEFINANCE(C39, ""price"") / INDEX(GOOGLEFINANCE(C39, ""price"", EDATE(TODAY(), -12), TODAY()), 2, 2)) - 1, """")"),"")</f>
        <v/>
      </c>
      <c r="Q39" s="6" t="str">
        <f>IFERROR(__xludf.DUMMYFUNCTION("AVERAGE(QUERY(GOOGLEFINANCE(C39, ""price"", TODAY()-80, TODAY()), ""SELECT Col2 WHERE Col2 IS NOT NULL ORDER BY Col1 DESC LIMIT 50"", 0))"),"#N/A")</f>
        <v>#N/A</v>
      </c>
      <c r="R39" s="24" t="str">
        <f>IFERROR(__xludf.DUMMYFUNCTION("IFERROR(
  LET(
    data, QUERY(GOOGLEFINANCE(C39,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GOOGLEFINANCE(C39, ""price"")) * 100,
    IF(calc=0, G39, calc)
  ), 
G39)"),"#N/A")</f>
        <v>#N/A</v>
      </c>
      <c r="S39" s="8" t="s">
        <v>15</v>
      </c>
      <c r="T39" s="26" t="str">
        <f>IFERROR(__xludf.DUMMYFUNCTION("IFERROR(TRANSPOSE(QUERY(IFERROR(SORT(GOOGLEFINANCE(C39, ""price"", WORKDAY(TODAY(), -40), TODAY()), 1, FALSE)), ""select Col2 where Col2 is not null limit 22 label Col2 ''"", 0)), """")"),"")</f>
        <v/>
      </c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8"/>
      <c r="AO39" s="28"/>
      <c r="AP39" s="29"/>
      <c r="AQ39" s="29" t="str">
        <f t="shared" ref="AQ39:BL39" si="42">T39/T$2</f>
        <v>#N/A</v>
      </c>
      <c r="AR39" s="29" t="str">
        <f t="shared" si="42"/>
        <v>#DIV/0!</v>
      </c>
      <c r="AS39" s="29" t="str">
        <f t="shared" si="42"/>
        <v>#DIV/0!</v>
      </c>
      <c r="AT39" s="29" t="str">
        <f t="shared" si="42"/>
        <v>#DIV/0!</v>
      </c>
      <c r="AU39" s="29" t="str">
        <f t="shared" si="42"/>
        <v>#DIV/0!</v>
      </c>
      <c r="AV39" s="29" t="str">
        <f t="shared" si="42"/>
        <v>#DIV/0!</v>
      </c>
      <c r="AW39" s="29" t="str">
        <f t="shared" si="42"/>
        <v>#DIV/0!</v>
      </c>
      <c r="AX39" s="29" t="str">
        <f t="shared" si="42"/>
        <v>#DIV/0!</v>
      </c>
      <c r="AY39" s="29" t="str">
        <f t="shared" si="42"/>
        <v>#DIV/0!</v>
      </c>
      <c r="AZ39" s="29" t="str">
        <f t="shared" si="42"/>
        <v>#DIV/0!</v>
      </c>
      <c r="BA39" s="29" t="str">
        <f t="shared" si="42"/>
        <v>#DIV/0!</v>
      </c>
      <c r="BB39" s="29" t="str">
        <f t="shared" si="42"/>
        <v>#DIV/0!</v>
      </c>
      <c r="BC39" s="29" t="str">
        <f t="shared" si="42"/>
        <v>#DIV/0!</v>
      </c>
      <c r="BD39" s="29" t="str">
        <f t="shared" si="42"/>
        <v>#DIV/0!</v>
      </c>
      <c r="BE39" s="29" t="str">
        <f t="shared" si="42"/>
        <v>#DIV/0!</v>
      </c>
      <c r="BF39" s="29" t="str">
        <f t="shared" si="42"/>
        <v>#DIV/0!</v>
      </c>
      <c r="BG39" s="29" t="str">
        <f t="shared" si="42"/>
        <v>#DIV/0!</v>
      </c>
      <c r="BH39" s="29" t="str">
        <f t="shared" si="42"/>
        <v>#DIV/0!</v>
      </c>
      <c r="BI39" s="29" t="str">
        <f t="shared" si="42"/>
        <v>#DIV/0!</v>
      </c>
      <c r="BJ39" s="29" t="str">
        <f t="shared" si="42"/>
        <v>#DIV/0!</v>
      </c>
      <c r="BK39" s="29" t="str">
        <f t="shared" si="42"/>
        <v>#DIV/0!</v>
      </c>
      <c r="BL39" s="29" t="str">
        <f t="shared" si="42"/>
        <v>#DIV/0!</v>
      </c>
      <c r="BM39" s="29" t="str">
        <f t="shared" si="3"/>
        <v>#DIV/0!</v>
      </c>
    </row>
    <row r="40">
      <c r="A40" s="16" t="str">
        <f>IFERROR(__xludf.DUMMYFUNCTION("IFERROR(SPARKLINE(SORT(MAP(TRANSPOSE(AQ40:BL40), LAMBDA(val, IF(ISNUMBER(val), PERCENTRANK(AQ40:BL40, val)+0.01, 0))), SEQUENCE(COLUMNS(AQ40:BL40)), FALSE), {""charttype"",""column""; ""color"",""chartreuse""; ""ymin"", 0; ""ymax"", 1.01; ""highcolor"", "&amp;"""darkgreen""; ""lowcolor"", ""red""}), """")"),"")</f>
        <v/>
      </c>
      <c r="B40" s="17" t="str">
        <f t="shared" si="4"/>
        <v/>
      </c>
      <c r="C40" s="1" t="s">
        <v>232</v>
      </c>
      <c r="D40" s="30" t="str">
        <f>IFERROR(__xludf.DUMMYFUNCTION("IFERROR(GOOGLEFINANCE(C40, ""NAME""))"),"ServiceNow Inc")</f>
        <v>ServiceNow Inc</v>
      </c>
      <c r="E40" s="30" t="s">
        <v>48</v>
      </c>
      <c r="F40" s="38" t="str">
        <f>IFERROR(__xludf.DUMMYFUNCTION("( (GOOGLEFINANCE(C40, ""price"") - Q40) / Q40 ) / (R40 / 100)"),"Loading...")</f>
        <v>Loading...</v>
      </c>
      <c r="G40" s="20" t="str">
        <f>IFERROR(__xludf.DUMMYFUNCTION("AVERAGE(ARRAYFORMULA(100 * (QUERY(GOOGLEFINANCE(C40, ""high"", TODAY()-40, TODAY()), ""SELECT Col2 WHERE Col2 IS NOT NULL ORDER BY Col1 DESC LIMIT 20"", 0) / QUERY(GOOGLEFINANCE(C40, ""low"", TODAY()-40, TODAY()), ""SELECT Col2 WHERE Col2 IS NOT NULL ORDE"&amp;"R BY Col1 DESC LIMIT 20"", 0) - 1)))"),"#N/A")</f>
        <v>#N/A</v>
      </c>
      <c r="H40" s="35" t="str">
        <f t="shared" si="6"/>
        <v/>
      </c>
      <c r="I40" s="36" t="str">
        <f t="shared" si="7"/>
        <v/>
      </c>
      <c r="J40" s="37" t="str">
        <f>IFERROR(__xludf.DUMMYFUNCTION("IFERROR(
  IF(C40="""",, 
    IFERROR(
      GOOGLEFINANCE(C40, ""price"") * GOOGLEFINANCE(C40, ""volumeavg""), 
      GOOGLEFINANCE(C40, ""price"") * AVERAGE(QUERY(GOOGLEFINANCE(C40, ""volume"", TODAY()-40, TODAY()), ""SELECT Col2 WHERE Col2 IS NOT NULL "&amp;"ORDER BY Col1 DESC LIMIT 20"", 0))
    )
  ), 
"""")"),"")</f>
        <v/>
      </c>
      <c r="K40" s="21" t="str">
        <f>IFERROR(__xludf.DUMMYFUNCTION("IFERROR(GOOGLEFINANCE(C40, ""changepct"") / 100, """")"),"")</f>
        <v/>
      </c>
      <c r="L40" s="21" t="str">
        <f>IFERROR(__xludf.DUMMYFUNCTION("IFERROR((GOOGLEFINANCE(C40, ""price"") / INDEX(GOOGLEFINANCE(C40, ""price"", TODAY()-7, TODAY()), 2, 2)) - 1, """")"),"")</f>
        <v/>
      </c>
      <c r="M40" s="21" t="str">
        <f>IFERROR(__xludf.DUMMYFUNCTION("IFERROR((GOOGLEFINANCE(C40, ""price"") / INDEX(GOOGLEFINANCE(C40, ""price"", EDATE(TODAY(), -1), TODAY()), 2, 2)) - 1, """")"),"")</f>
        <v/>
      </c>
      <c r="N40" s="21" t="str">
        <f>IFERROR(__xludf.DUMMYFUNCTION("IFERROR((GOOGLEFINANCE(C40, ""price"") / INDEX(GOOGLEFINANCE(C40, ""price"", EDATE(TODAY(), -3), TODAY()), 2, 2)) - 1, """")"),"")</f>
        <v/>
      </c>
      <c r="O40" s="21" t="str">
        <f>IFERROR(__xludf.DUMMYFUNCTION("IFERROR((GOOGLEFINANCE(C40, ""price"") / INDEX(GOOGLEFINANCE(C40, ""price"", EDATE(TODAY(), -6), TODAY()), 2, 2)) - 1, """")"),"")</f>
        <v/>
      </c>
      <c r="P40" s="21" t="str">
        <f>IFERROR(__xludf.DUMMYFUNCTION("IFERROR((GOOGLEFINANCE(C40, ""price"") / INDEX(GOOGLEFINANCE(C40, ""price"", EDATE(TODAY(), -12), TODAY()), 2, 2)) - 1, """")"),"")</f>
        <v/>
      </c>
      <c r="Q40" s="6" t="str">
        <f>IFERROR(__xludf.DUMMYFUNCTION("AVERAGE(QUERY(GOOGLEFINANCE(C40, ""price"", TODAY()-80, TODAY()), ""SELECT Col2 WHERE Col2 IS NOT NULL ORDER BY Col1 DESC LIMIT 50"", 0))"),"#N/A")</f>
        <v>#N/A</v>
      </c>
      <c r="R40" s="24" t="str">
        <f>IFERROR(__xludf.DUMMYFUNCTION("IFERROR(
  LET(
    data, QUERY(GOOGLEFINANCE(C40,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GOOGLEFINANCE(C40, ""price"")) * 100,
    IF(calc=0, G40, calc)
  ), 
G40)"),"#N/A")</f>
        <v>#N/A</v>
      </c>
      <c r="S40" s="8" t="s">
        <v>15</v>
      </c>
      <c r="T40" s="26" t="str">
        <f>IFERROR(__xludf.DUMMYFUNCTION("IFERROR(TRANSPOSE(QUERY(IFERROR(SORT(GOOGLEFINANCE(C40, ""price"", WORKDAY(TODAY(), -40), TODAY()), 1, FALSE)), ""select Col2 where Col2 is not null limit 22 label Col2 ''"", 0)), """")"),"")</f>
        <v/>
      </c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8"/>
      <c r="AO40" s="28"/>
      <c r="AP40" s="29"/>
      <c r="AQ40" s="29" t="str">
        <f t="shared" ref="AQ40:BL40" si="43">T40/T$2</f>
        <v>#N/A</v>
      </c>
      <c r="AR40" s="29" t="str">
        <f t="shared" si="43"/>
        <v>#DIV/0!</v>
      </c>
      <c r="AS40" s="29" t="str">
        <f t="shared" si="43"/>
        <v>#DIV/0!</v>
      </c>
      <c r="AT40" s="29" t="str">
        <f t="shared" si="43"/>
        <v>#DIV/0!</v>
      </c>
      <c r="AU40" s="29" t="str">
        <f t="shared" si="43"/>
        <v>#DIV/0!</v>
      </c>
      <c r="AV40" s="29" t="str">
        <f t="shared" si="43"/>
        <v>#DIV/0!</v>
      </c>
      <c r="AW40" s="29" t="str">
        <f t="shared" si="43"/>
        <v>#DIV/0!</v>
      </c>
      <c r="AX40" s="29" t="str">
        <f t="shared" si="43"/>
        <v>#DIV/0!</v>
      </c>
      <c r="AY40" s="29" t="str">
        <f t="shared" si="43"/>
        <v>#DIV/0!</v>
      </c>
      <c r="AZ40" s="29" t="str">
        <f t="shared" si="43"/>
        <v>#DIV/0!</v>
      </c>
      <c r="BA40" s="29" t="str">
        <f t="shared" si="43"/>
        <v>#DIV/0!</v>
      </c>
      <c r="BB40" s="29" t="str">
        <f t="shared" si="43"/>
        <v>#DIV/0!</v>
      </c>
      <c r="BC40" s="29" t="str">
        <f t="shared" si="43"/>
        <v>#DIV/0!</v>
      </c>
      <c r="BD40" s="29" t="str">
        <f t="shared" si="43"/>
        <v>#DIV/0!</v>
      </c>
      <c r="BE40" s="29" t="str">
        <f t="shared" si="43"/>
        <v>#DIV/0!</v>
      </c>
      <c r="BF40" s="29" t="str">
        <f t="shared" si="43"/>
        <v>#DIV/0!</v>
      </c>
      <c r="BG40" s="29" t="str">
        <f t="shared" si="43"/>
        <v>#DIV/0!</v>
      </c>
      <c r="BH40" s="29" t="str">
        <f t="shared" si="43"/>
        <v>#DIV/0!</v>
      </c>
      <c r="BI40" s="29" t="str">
        <f t="shared" si="43"/>
        <v>#DIV/0!</v>
      </c>
      <c r="BJ40" s="29" t="str">
        <f t="shared" si="43"/>
        <v>#DIV/0!</v>
      </c>
      <c r="BK40" s="29" t="str">
        <f t="shared" si="43"/>
        <v>#DIV/0!</v>
      </c>
      <c r="BL40" s="29" t="str">
        <f t="shared" si="43"/>
        <v>#DIV/0!</v>
      </c>
      <c r="BM40" s="29" t="str">
        <f t="shared" si="3"/>
        <v>#DIV/0!</v>
      </c>
    </row>
    <row r="41">
      <c r="A41" s="16" t="str">
        <f>IFERROR(__xludf.DUMMYFUNCTION("IFERROR(SPARKLINE(SORT(MAP(TRANSPOSE(AQ41:BL41), LAMBDA(val, IF(ISNUMBER(val), PERCENTRANK(AQ41:BL41, val)+0.01, 0))), SEQUENCE(COLUMNS(AQ41:BL41)), FALSE), {""charttype"",""column""; ""color"",""chartreuse""; ""ymin"", 0; ""ymax"", 1.01; ""highcolor"", "&amp;"""darkgreen""; ""lowcolor"", ""red""}), """")"),"")</f>
        <v/>
      </c>
      <c r="B41" s="17" t="str">
        <f t="shared" si="4"/>
        <v/>
      </c>
      <c r="C41" s="1" t="s">
        <v>237</v>
      </c>
      <c r="D41" s="30" t="str">
        <f>IFERROR(__xludf.DUMMYFUNCTION("IFERROR(GOOGLEFINANCE(C41, ""NAME""))"),"Shift4 Payments Inc Class A")</f>
        <v>Shift4 Payments Inc Class A</v>
      </c>
      <c r="E41" s="30" t="s">
        <v>58</v>
      </c>
      <c r="F41" s="33" t="str">
        <f>IFERROR(__xludf.DUMMYFUNCTION("( (GOOGLEFINANCE(C41, ""price"") - Q41) / Q41 ) / (R41 / 100)"),"Loading...")</f>
        <v>Loading...</v>
      </c>
      <c r="G41" s="20" t="str">
        <f>IFERROR(__xludf.DUMMYFUNCTION("AVERAGE(ARRAYFORMULA(100 * (QUERY(GOOGLEFINANCE(C41, ""high"", TODAY()-40, TODAY()), ""SELECT Col2 WHERE Col2 IS NOT NULL ORDER BY Col1 DESC LIMIT 20"", 0) / QUERY(GOOGLEFINANCE(C41, ""low"", TODAY()-40, TODAY()), ""SELECT Col2 WHERE Col2 IS NOT NULL ORDE"&amp;"R BY Col1 DESC LIMIT 20"", 0) - 1)))"),"#N/A")</f>
        <v>#N/A</v>
      </c>
      <c r="H41" s="35" t="str">
        <f t="shared" si="6"/>
        <v/>
      </c>
      <c r="I41" s="36" t="str">
        <f t="shared" si="7"/>
        <v/>
      </c>
      <c r="J41" s="37" t="str">
        <f>IFERROR(__xludf.DUMMYFUNCTION("IFERROR(
  IF(C41="""",, 
    IFERROR(
      GOOGLEFINANCE(C41, ""price"") * GOOGLEFINANCE(C41, ""volumeavg""), 
      GOOGLEFINANCE(C41, ""price"") * AVERAGE(QUERY(GOOGLEFINANCE(C41, ""volume"", TODAY()-40, TODAY()), ""SELECT Col2 WHERE Col2 IS NOT NULL "&amp;"ORDER BY Col1 DESC LIMIT 20"", 0))
    )
  ), 
"""")"),"")</f>
        <v/>
      </c>
      <c r="K41" s="21" t="str">
        <f>IFERROR(__xludf.DUMMYFUNCTION("IFERROR(GOOGLEFINANCE(C41, ""changepct"") / 100, """")"),"")</f>
        <v/>
      </c>
      <c r="L41" s="21" t="str">
        <f>IFERROR(__xludf.DUMMYFUNCTION("IFERROR((GOOGLEFINANCE(C41, ""price"") / INDEX(GOOGLEFINANCE(C41, ""price"", TODAY()-7, TODAY()), 2, 2)) - 1, """")"),"")</f>
        <v/>
      </c>
      <c r="M41" s="21" t="str">
        <f>IFERROR(__xludf.DUMMYFUNCTION("IFERROR((GOOGLEFINANCE(C41, ""price"") / INDEX(GOOGLEFINANCE(C41, ""price"", EDATE(TODAY(), -1), TODAY()), 2, 2)) - 1, """")"),"")</f>
        <v/>
      </c>
      <c r="N41" s="21" t="str">
        <f>IFERROR(__xludf.DUMMYFUNCTION("IFERROR((GOOGLEFINANCE(C41, ""price"") / INDEX(GOOGLEFINANCE(C41, ""price"", EDATE(TODAY(), -3), TODAY()), 2, 2)) - 1, """")"),"")</f>
        <v/>
      </c>
      <c r="O41" s="21" t="str">
        <f>IFERROR(__xludf.DUMMYFUNCTION("IFERROR((GOOGLEFINANCE(C41, ""price"") / INDEX(GOOGLEFINANCE(C41, ""price"", EDATE(TODAY(), -6), TODAY()), 2, 2)) - 1, """")"),"")</f>
        <v/>
      </c>
      <c r="P41" s="21" t="str">
        <f>IFERROR(__xludf.DUMMYFUNCTION("IFERROR((GOOGLEFINANCE(C41, ""price"") / INDEX(GOOGLEFINANCE(C41, ""price"", EDATE(TODAY(), -12), TODAY()), 2, 2)) - 1, """")"),"")</f>
        <v/>
      </c>
      <c r="Q41" s="6" t="str">
        <f>IFERROR(__xludf.DUMMYFUNCTION("AVERAGE(QUERY(GOOGLEFINANCE(C41, ""price"", TODAY()-80, TODAY()), ""SELECT Col2 WHERE Col2 IS NOT NULL ORDER BY Col1 DESC LIMIT 50"", 0))"),"#N/A")</f>
        <v>#N/A</v>
      </c>
      <c r="R41" s="24" t="str">
        <f>IFERROR(__xludf.DUMMYFUNCTION("IFERROR(
  LET(
    data, QUERY(GOOGLEFINANCE(C41,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GOOGLEFINANCE(C41, ""price"")) * 100,
    IF(calc=0, G41, calc)
  ), 
G41)"),"#N/A")</f>
        <v>#N/A</v>
      </c>
      <c r="S41" s="8" t="s">
        <v>15</v>
      </c>
      <c r="T41" s="26" t="str">
        <f>IFERROR(__xludf.DUMMYFUNCTION("IFERROR(TRANSPOSE(QUERY(IFERROR(SORT(GOOGLEFINANCE(C41, ""price"", WORKDAY(TODAY(), -40), TODAY()), 1, FALSE)), ""select Col2 where Col2 is not null limit 22 label Col2 ''"", 0)), """")"),"")</f>
        <v/>
      </c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8"/>
      <c r="AO41" s="28"/>
      <c r="AP41" s="29"/>
      <c r="AQ41" s="29" t="str">
        <f t="shared" ref="AQ41:BL41" si="44">T41/T$2</f>
        <v>#N/A</v>
      </c>
      <c r="AR41" s="29" t="str">
        <f t="shared" si="44"/>
        <v>#DIV/0!</v>
      </c>
      <c r="AS41" s="29" t="str">
        <f t="shared" si="44"/>
        <v>#DIV/0!</v>
      </c>
      <c r="AT41" s="29" t="str">
        <f t="shared" si="44"/>
        <v>#DIV/0!</v>
      </c>
      <c r="AU41" s="29" t="str">
        <f t="shared" si="44"/>
        <v>#DIV/0!</v>
      </c>
      <c r="AV41" s="29" t="str">
        <f t="shared" si="44"/>
        <v>#DIV/0!</v>
      </c>
      <c r="AW41" s="29" t="str">
        <f t="shared" si="44"/>
        <v>#DIV/0!</v>
      </c>
      <c r="AX41" s="29" t="str">
        <f t="shared" si="44"/>
        <v>#DIV/0!</v>
      </c>
      <c r="AY41" s="29" t="str">
        <f t="shared" si="44"/>
        <v>#DIV/0!</v>
      </c>
      <c r="AZ41" s="29" t="str">
        <f t="shared" si="44"/>
        <v>#DIV/0!</v>
      </c>
      <c r="BA41" s="29" t="str">
        <f t="shared" si="44"/>
        <v>#DIV/0!</v>
      </c>
      <c r="BB41" s="29" t="str">
        <f t="shared" si="44"/>
        <v>#DIV/0!</v>
      </c>
      <c r="BC41" s="29" t="str">
        <f t="shared" si="44"/>
        <v>#DIV/0!</v>
      </c>
      <c r="BD41" s="29" t="str">
        <f t="shared" si="44"/>
        <v>#DIV/0!</v>
      </c>
      <c r="BE41" s="29" t="str">
        <f t="shared" si="44"/>
        <v>#DIV/0!</v>
      </c>
      <c r="BF41" s="29" t="str">
        <f t="shared" si="44"/>
        <v>#DIV/0!</v>
      </c>
      <c r="BG41" s="29" t="str">
        <f t="shared" si="44"/>
        <v>#DIV/0!</v>
      </c>
      <c r="BH41" s="29" t="str">
        <f t="shared" si="44"/>
        <v>#DIV/0!</v>
      </c>
      <c r="BI41" s="29" t="str">
        <f t="shared" si="44"/>
        <v>#DIV/0!</v>
      </c>
      <c r="BJ41" s="29" t="str">
        <f t="shared" si="44"/>
        <v>#DIV/0!</v>
      </c>
      <c r="BK41" s="29" t="str">
        <f t="shared" si="44"/>
        <v>#DIV/0!</v>
      </c>
      <c r="BL41" s="29" t="str">
        <f t="shared" si="44"/>
        <v>#DIV/0!</v>
      </c>
      <c r="BM41" s="29" t="str">
        <f t="shared" si="3"/>
        <v>#DIV/0!</v>
      </c>
    </row>
    <row r="42">
      <c r="A42" s="16" t="str">
        <f>IFERROR(__xludf.DUMMYFUNCTION("IFERROR(SPARKLINE(SORT(MAP(TRANSPOSE(AQ42:BL42), LAMBDA(val, IF(ISNUMBER(val), PERCENTRANK(AQ42:BL42, val)+0.01, 0))), SEQUENCE(COLUMNS(AQ42:BL42)), FALSE), {""charttype"",""column""; ""color"",""chartreuse""; ""ymin"", 0; ""ymax"", 1.01; ""highcolor"", "&amp;"""darkgreen""; ""lowcolor"", ""red""}), """")"),"")</f>
        <v/>
      </c>
      <c r="B42" s="17" t="str">
        <f t="shared" si="4"/>
        <v/>
      </c>
      <c r="C42" s="1" t="s">
        <v>240</v>
      </c>
      <c r="D42" s="30" t="str">
        <f>IFERROR(__xludf.DUMMYFUNCTION("IFERROR(GOOGLEFINANCE(C42, ""NAME""))"),"Chime Financial Inc")</f>
        <v>Chime Financial Inc</v>
      </c>
      <c r="E42" s="30" t="s">
        <v>48</v>
      </c>
      <c r="F42" s="33" t="str">
        <f>IFERROR(__xludf.DUMMYFUNCTION("( (GOOGLEFINANCE(C42, ""price"") - Q42) / Q42 ) / (R42 / 100)"),"Loading...")</f>
        <v>Loading...</v>
      </c>
      <c r="G42" s="20" t="str">
        <f>IFERROR(__xludf.DUMMYFUNCTION("AVERAGE(ARRAYFORMULA(100 * (QUERY(GOOGLEFINANCE(C42, ""high"", TODAY()-40, TODAY()), ""SELECT Col2 WHERE Col2 IS NOT NULL ORDER BY Col1 DESC LIMIT 20"", 0) / QUERY(GOOGLEFINANCE(C42, ""low"", TODAY()-40, TODAY()), ""SELECT Col2 WHERE Col2 IS NOT NULL ORDE"&amp;"R BY Col1 DESC LIMIT 20"", 0) - 1)))"),"#N/A")</f>
        <v>#N/A</v>
      </c>
      <c r="H42" s="35" t="str">
        <f t="shared" si="6"/>
        <v/>
      </c>
      <c r="I42" s="36" t="str">
        <f t="shared" si="7"/>
        <v/>
      </c>
      <c r="J42" s="37" t="str">
        <f>IFERROR(__xludf.DUMMYFUNCTION("IFERROR(
  IF(C42="""",, 
    IFERROR(
      GOOGLEFINANCE(C42, ""price"") * GOOGLEFINANCE(C42, ""volumeavg""), 
      GOOGLEFINANCE(C42, ""price"") * AVERAGE(QUERY(GOOGLEFINANCE(C42, ""volume"", TODAY()-40, TODAY()), ""SELECT Col2 WHERE Col2 IS NOT NULL "&amp;"ORDER BY Col1 DESC LIMIT 20"", 0))
    )
  ), 
"""")"),"")</f>
        <v/>
      </c>
      <c r="K42" s="21" t="str">
        <f>IFERROR(__xludf.DUMMYFUNCTION("IFERROR(GOOGLEFINANCE(C42, ""changepct"") / 100, """")"),"")</f>
        <v/>
      </c>
      <c r="L42" s="21" t="str">
        <f>IFERROR(__xludf.DUMMYFUNCTION("IFERROR((GOOGLEFINANCE(C42, ""price"") / INDEX(GOOGLEFINANCE(C42, ""price"", TODAY()-7, TODAY()), 2, 2)) - 1, """")"),"")</f>
        <v/>
      </c>
      <c r="M42" s="21" t="str">
        <f>IFERROR(__xludf.DUMMYFUNCTION("IFERROR((GOOGLEFINANCE(C42, ""price"") / INDEX(GOOGLEFINANCE(C42, ""price"", EDATE(TODAY(), -1), TODAY()), 2, 2)) - 1, """")"),"")</f>
        <v/>
      </c>
      <c r="N42" s="21" t="str">
        <f>IFERROR(__xludf.DUMMYFUNCTION("IFERROR((GOOGLEFINANCE(C42, ""price"") / INDEX(GOOGLEFINANCE(C42, ""price"", EDATE(TODAY(), -3), TODAY()), 2, 2)) - 1, """")"),"")</f>
        <v/>
      </c>
      <c r="O42" s="21" t="str">
        <f>IFERROR(__xludf.DUMMYFUNCTION("IFERROR((GOOGLEFINANCE(C42, ""price"") / INDEX(GOOGLEFINANCE(C42, ""price"", EDATE(TODAY(), -6), TODAY()), 2, 2)) - 1, """")"),"")</f>
        <v/>
      </c>
      <c r="P42" s="21" t="str">
        <f>IFERROR(__xludf.DUMMYFUNCTION("IFERROR((GOOGLEFINANCE(C42, ""price"") / INDEX(GOOGLEFINANCE(C42, ""price"", EDATE(TODAY(), -12), TODAY()), 2, 2)) - 1, """")"),"")</f>
        <v/>
      </c>
      <c r="Q42" s="6" t="str">
        <f>IFERROR(__xludf.DUMMYFUNCTION("AVERAGE(QUERY(GOOGLEFINANCE(C42, ""price"", TODAY()-80, TODAY()), ""SELECT Col2 WHERE Col2 IS NOT NULL ORDER BY Col1 DESC LIMIT 50"", 0))"),"#N/A")</f>
        <v>#N/A</v>
      </c>
      <c r="R42" s="24" t="str">
        <f>IFERROR(__xludf.DUMMYFUNCTION("IFERROR(
  LET(
    data, QUERY(GOOGLEFINANCE(C42,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GOOGLEFINANCE(C42, ""price"")) * 100,
    IF(calc=0, G42, calc)
  ), 
G42)"),"#N/A")</f>
        <v>#N/A</v>
      </c>
      <c r="S42" s="8" t="s">
        <v>15</v>
      </c>
      <c r="T42" s="26" t="str">
        <f>IFERROR(__xludf.DUMMYFUNCTION("IFERROR(TRANSPOSE(QUERY(IFERROR(SORT(GOOGLEFINANCE(C42, ""price"", WORKDAY(TODAY(), -40), TODAY()), 1, FALSE)), ""select Col2 where Col2 is not null limit 22 label Col2 ''"", 0)), """")"),"")</f>
        <v/>
      </c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8"/>
      <c r="AO42" s="28"/>
      <c r="AP42" s="29"/>
      <c r="AQ42" s="29" t="str">
        <f t="shared" ref="AQ42:BL42" si="45">T42/T$2</f>
        <v>#N/A</v>
      </c>
      <c r="AR42" s="29" t="str">
        <f t="shared" si="45"/>
        <v>#DIV/0!</v>
      </c>
      <c r="AS42" s="29" t="str">
        <f t="shared" si="45"/>
        <v>#DIV/0!</v>
      </c>
      <c r="AT42" s="29" t="str">
        <f t="shared" si="45"/>
        <v>#DIV/0!</v>
      </c>
      <c r="AU42" s="29" t="str">
        <f t="shared" si="45"/>
        <v>#DIV/0!</v>
      </c>
      <c r="AV42" s="29" t="str">
        <f t="shared" si="45"/>
        <v>#DIV/0!</v>
      </c>
      <c r="AW42" s="29" t="str">
        <f t="shared" si="45"/>
        <v>#DIV/0!</v>
      </c>
      <c r="AX42" s="29" t="str">
        <f t="shared" si="45"/>
        <v>#DIV/0!</v>
      </c>
      <c r="AY42" s="29" t="str">
        <f t="shared" si="45"/>
        <v>#DIV/0!</v>
      </c>
      <c r="AZ42" s="29" t="str">
        <f t="shared" si="45"/>
        <v>#DIV/0!</v>
      </c>
      <c r="BA42" s="29" t="str">
        <f t="shared" si="45"/>
        <v>#DIV/0!</v>
      </c>
      <c r="BB42" s="29" t="str">
        <f t="shared" si="45"/>
        <v>#DIV/0!</v>
      </c>
      <c r="BC42" s="29" t="str">
        <f t="shared" si="45"/>
        <v>#DIV/0!</v>
      </c>
      <c r="BD42" s="29" t="str">
        <f t="shared" si="45"/>
        <v>#DIV/0!</v>
      </c>
      <c r="BE42" s="29" t="str">
        <f t="shared" si="45"/>
        <v>#DIV/0!</v>
      </c>
      <c r="BF42" s="29" t="str">
        <f t="shared" si="45"/>
        <v>#DIV/0!</v>
      </c>
      <c r="BG42" s="29" t="str">
        <f t="shared" si="45"/>
        <v>#DIV/0!</v>
      </c>
      <c r="BH42" s="29" t="str">
        <f t="shared" si="45"/>
        <v>#DIV/0!</v>
      </c>
      <c r="BI42" s="29" t="str">
        <f t="shared" si="45"/>
        <v>#DIV/0!</v>
      </c>
      <c r="BJ42" s="29" t="str">
        <f t="shared" si="45"/>
        <v>#DIV/0!</v>
      </c>
      <c r="BK42" s="29" t="str">
        <f t="shared" si="45"/>
        <v>#DIV/0!</v>
      </c>
      <c r="BL42" s="29" t="str">
        <f t="shared" si="45"/>
        <v>#DIV/0!</v>
      </c>
      <c r="BM42" s="29" t="str">
        <f t="shared" si="3"/>
        <v>#DIV/0!</v>
      </c>
    </row>
    <row r="43">
      <c r="A43" s="16" t="str">
        <f>IFERROR(__xludf.DUMMYFUNCTION("IFERROR(SPARKLINE(SORT(MAP(TRANSPOSE(AQ43:BL43), LAMBDA(val, IF(ISNUMBER(val), PERCENTRANK(AQ43:BL43, val)+0.01, 0))), SEQUENCE(COLUMNS(AQ43:BL43)), FALSE), {""charttype"",""column""; ""color"",""chartreuse""; ""ymin"", 0; ""ymax"", 1.01; ""highcolor"", "&amp;"""darkgreen""; ""lowcolor"", ""red""}), """")"),"")</f>
        <v/>
      </c>
      <c r="B43" s="17" t="str">
        <f t="shared" si="4"/>
        <v/>
      </c>
      <c r="C43" s="1" t="s">
        <v>243</v>
      </c>
      <c r="D43" s="30" t="str">
        <f>IFERROR(__xludf.DUMMYFUNCTION("IFERROR(GOOGLEFINANCE(C43, ""NAME""))"),"Grid Dynamics Holdings Inc")</f>
        <v>Grid Dynamics Holdings Inc</v>
      </c>
      <c r="E43" s="30" t="s">
        <v>102</v>
      </c>
      <c r="F43" s="38" t="str">
        <f>IFERROR(__xludf.DUMMYFUNCTION("( (GOOGLEFINANCE(C43, ""price"") - Q43) / Q43 ) / (R43 / 100)"),"Loading...")</f>
        <v>Loading...</v>
      </c>
      <c r="G43" s="20" t="str">
        <f>IFERROR(__xludf.DUMMYFUNCTION("AVERAGE(ARRAYFORMULA(100 * (QUERY(GOOGLEFINANCE(C43, ""high"", TODAY()-40, TODAY()), ""SELECT Col2 WHERE Col2 IS NOT NULL ORDER BY Col1 DESC LIMIT 20"", 0) / QUERY(GOOGLEFINANCE(C43, ""low"", TODAY()-40, TODAY()), ""SELECT Col2 WHERE Col2 IS NOT NULL ORDE"&amp;"R BY Col1 DESC LIMIT 20"", 0) - 1)))"),"#N/A")</f>
        <v>#N/A</v>
      </c>
      <c r="H43" s="35" t="str">
        <f t="shared" si="6"/>
        <v/>
      </c>
      <c r="I43" s="36" t="str">
        <f t="shared" si="7"/>
        <v/>
      </c>
      <c r="J43" s="37" t="str">
        <f>IFERROR(__xludf.DUMMYFUNCTION("IFERROR(
  IF(C43="""",, 
    IFERROR(
      GOOGLEFINANCE(C43, ""price"") * GOOGLEFINANCE(C43, ""volumeavg""), 
      GOOGLEFINANCE(C43, ""price"") * AVERAGE(QUERY(GOOGLEFINANCE(C43, ""volume"", TODAY()-40, TODAY()), ""SELECT Col2 WHERE Col2 IS NOT NULL "&amp;"ORDER BY Col1 DESC LIMIT 20"", 0))
    )
  ), 
"""")"),"")</f>
        <v/>
      </c>
      <c r="K43" s="21" t="str">
        <f>IFERROR(__xludf.DUMMYFUNCTION("IFERROR(GOOGLEFINANCE(C43, ""changepct"") / 100, """")"),"")</f>
        <v/>
      </c>
      <c r="L43" s="21" t="str">
        <f>IFERROR(__xludf.DUMMYFUNCTION("IFERROR((GOOGLEFINANCE(C43, ""price"") / INDEX(GOOGLEFINANCE(C43, ""price"", TODAY()-7, TODAY()), 2, 2)) - 1, """")"),"")</f>
        <v/>
      </c>
      <c r="M43" s="21" t="str">
        <f>IFERROR(__xludf.DUMMYFUNCTION("IFERROR((GOOGLEFINANCE(C43, ""price"") / INDEX(GOOGLEFINANCE(C43, ""price"", EDATE(TODAY(), -1), TODAY()), 2, 2)) - 1, """")"),"")</f>
        <v/>
      </c>
      <c r="N43" s="21" t="str">
        <f>IFERROR(__xludf.DUMMYFUNCTION("IFERROR((GOOGLEFINANCE(C43, ""price"") / INDEX(GOOGLEFINANCE(C43, ""price"", EDATE(TODAY(), -3), TODAY()), 2, 2)) - 1, """")"),"")</f>
        <v/>
      </c>
      <c r="O43" s="21" t="str">
        <f>IFERROR(__xludf.DUMMYFUNCTION("IFERROR((GOOGLEFINANCE(C43, ""price"") / INDEX(GOOGLEFINANCE(C43, ""price"", EDATE(TODAY(), -6), TODAY()), 2, 2)) - 1, """")"),"")</f>
        <v/>
      </c>
      <c r="P43" s="21" t="str">
        <f>IFERROR(__xludf.DUMMYFUNCTION("IFERROR((GOOGLEFINANCE(C43, ""price"") / INDEX(GOOGLEFINANCE(C43, ""price"", EDATE(TODAY(), -12), TODAY()), 2, 2)) - 1, """")"),"")</f>
        <v/>
      </c>
      <c r="Q43" s="6" t="str">
        <f>IFERROR(__xludf.DUMMYFUNCTION("AVERAGE(QUERY(GOOGLEFINANCE(C43, ""price"", TODAY()-80, TODAY()), ""SELECT Col2 WHERE Col2 IS NOT NULL ORDER BY Col1 DESC LIMIT 50"", 0))"),"#N/A")</f>
        <v>#N/A</v>
      </c>
      <c r="R43" s="24" t="str">
        <f>IFERROR(__xludf.DUMMYFUNCTION("IFERROR(
  LET(
    data, QUERY(GOOGLEFINANCE(C43,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GOOGLEFINANCE(C43, ""price"")) * 100,
    IF(calc=0, G43, calc)
  ), 
G43)"),"#N/A")</f>
        <v>#N/A</v>
      </c>
      <c r="S43" s="8" t="s">
        <v>15</v>
      </c>
      <c r="T43" s="26" t="str">
        <f>IFERROR(__xludf.DUMMYFUNCTION("IFERROR(TRANSPOSE(QUERY(IFERROR(SORT(GOOGLEFINANCE(C43, ""price"", WORKDAY(TODAY(), -40), TODAY()), 1, FALSE)), ""select Col2 where Col2 is not null limit 22 label Col2 ''"", 0)), """")"),"")</f>
        <v/>
      </c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8"/>
      <c r="AO43" s="28"/>
      <c r="AP43" s="29"/>
      <c r="AQ43" s="29" t="str">
        <f t="shared" ref="AQ43:BL43" si="46">T43/T$2</f>
        <v>#N/A</v>
      </c>
      <c r="AR43" s="29" t="str">
        <f t="shared" si="46"/>
        <v>#DIV/0!</v>
      </c>
      <c r="AS43" s="29" t="str">
        <f t="shared" si="46"/>
        <v>#DIV/0!</v>
      </c>
      <c r="AT43" s="29" t="str">
        <f t="shared" si="46"/>
        <v>#DIV/0!</v>
      </c>
      <c r="AU43" s="29" t="str">
        <f t="shared" si="46"/>
        <v>#DIV/0!</v>
      </c>
      <c r="AV43" s="29" t="str">
        <f t="shared" si="46"/>
        <v>#DIV/0!</v>
      </c>
      <c r="AW43" s="29" t="str">
        <f t="shared" si="46"/>
        <v>#DIV/0!</v>
      </c>
      <c r="AX43" s="29" t="str">
        <f t="shared" si="46"/>
        <v>#DIV/0!</v>
      </c>
      <c r="AY43" s="29" t="str">
        <f t="shared" si="46"/>
        <v>#DIV/0!</v>
      </c>
      <c r="AZ43" s="29" t="str">
        <f t="shared" si="46"/>
        <v>#DIV/0!</v>
      </c>
      <c r="BA43" s="29" t="str">
        <f t="shared" si="46"/>
        <v>#DIV/0!</v>
      </c>
      <c r="BB43" s="29" t="str">
        <f t="shared" si="46"/>
        <v>#DIV/0!</v>
      </c>
      <c r="BC43" s="29" t="str">
        <f t="shared" si="46"/>
        <v>#DIV/0!</v>
      </c>
      <c r="BD43" s="29" t="str">
        <f t="shared" si="46"/>
        <v>#DIV/0!</v>
      </c>
      <c r="BE43" s="29" t="str">
        <f t="shared" si="46"/>
        <v>#DIV/0!</v>
      </c>
      <c r="BF43" s="29" t="str">
        <f t="shared" si="46"/>
        <v>#DIV/0!</v>
      </c>
      <c r="BG43" s="29" t="str">
        <f t="shared" si="46"/>
        <v>#DIV/0!</v>
      </c>
      <c r="BH43" s="29" t="str">
        <f t="shared" si="46"/>
        <v>#DIV/0!</v>
      </c>
      <c r="BI43" s="29" t="str">
        <f t="shared" si="46"/>
        <v>#DIV/0!</v>
      </c>
      <c r="BJ43" s="29" t="str">
        <f t="shared" si="46"/>
        <v>#DIV/0!</v>
      </c>
      <c r="BK43" s="29" t="str">
        <f t="shared" si="46"/>
        <v>#DIV/0!</v>
      </c>
      <c r="BL43" s="29" t="str">
        <f t="shared" si="46"/>
        <v>#DIV/0!</v>
      </c>
      <c r="BM43" s="29" t="str">
        <f t="shared" si="3"/>
        <v>#DIV/0!</v>
      </c>
    </row>
    <row r="44">
      <c r="A44" s="16" t="str">
        <f>IFERROR(__xludf.DUMMYFUNCTION("IFERROR(SPARKLINE(SORT(MAP(TRANSPOSE(AQ44:BL44), LAMBDA(val, IF(ISNUMBER(val), PERCENTRANK(AQ44:BL44, val)+0.01, 0))), SEQUENCE(COLUMNS(AQ44:BL44)), FALSE), {""charttype"",""column""; ""color"",""chartreuse""; ""ymin"", 0; ""ymax"", 1.01; ""highcolor"", "&amp;"""darkgreen""; ""lowcolor"", ""red""}), """")"),"")</f>
        <v/>
      </c>
      <c r="B44" s="17" t="str">
        <f t="shared" si="4"/>
        <v/>
      </c>
      <c r="C44" s="1" t="s">
        <v>247</v>
      </c>
      <c r="D44" s="30" t="str">
        <f>IFERROR(__xludf.DUMMYFUNCTION("IFERROR(GOOGLEFINANCE(C44, ""NAME""))"),"BitGo Holdings Inc")</f>
        <v>BitGo Holdings Inc</v>
      </c>
      <c r="E44" s="30" t="s">
        <v>48</v>
      </c>
      <c r="F44" s="33" t="str">
        <f>IFERROR(__xludf.DUMMYFUNCTION("( (GOOGLEFINANCE(C44, ""price"") - Q44) / Q44 ) / (R44 / 100)"),"Loading...")</f>
        <v>Loading...</v>
      </c>
      <c r="G44" s="20" t="str">
        <f>IFERROR(__xludf.DUMMYFUNCTION("AVERAGE(ARRAYFORMULA(100 * (QUERY(GOOGLEFINANCE(C44, ""high"", TODAY()-40, TODAY()), ""SELECT Col2 WHERE Col2 IS NOT NULL ORDER BY Col1 DESC LIMIT 20"", 0) / QUERY(GOOGLEFINANCE(C44, ""low"", TODAY()-40, TODAY()), ""SELECT Col2 WHERE Col2 IS NOT NULL ORDE"&amp;"R BY Col1 DESC LIMIT 20"", 0) - 1)))"),"#N/A")</f>
        <v>#N/A</v>
      </c>
      <c r="H44" s="35" t="str">
        <f t="shared" si="6"/>
        <v/>
      </c>
      <c r="I44" s="36" t="str">
        <f t="shared" si="7"/>
        <v/>
      </c>
      <c r="J44" s="37" t="str">
        <f>IFERROR(__xludf.DUMMYFUNCTION("IFERROR(
  IF(C44="""",, 
    IFERROR(
      GOOGLEFINANCE(C44, ""price"") * GOOGLEFINANCE(C44, ""volumeavg""), 
      GOOGLEFINANCE(C44, ""price"") * AVERAGE(QUERY(GOOGLEFINANCE(C44, ""volume"", TODAY()-40, TODAY()), ""SELECT Col2 WHERE Col2 IS NOT NULL "&amp;"ORDER BY Col1 DESC LIMIT 20"", 0))
    )
  ), 
"""")"),"")</f>
        <v/>
      </c>
      <c r="K44" s="21" t="str">
        <f>IFERROR(__xludf.DUMMYFUNCTION("IFERROR(GOOGLEFINANCE(C44, ""changepct"") / 100, """")"),"")</f>
        <v/>
      </c>
      <c r="L44" s="21" t="str">
        <f>IFERROR(__xludf.DUMMYFUNCTION("IFERROR((GOOGLEFINANCE(C44, ""price"") / INDEX(GOOGLEFINANCE(C44, ""price"", TODAY()-7, TODAY()), 2, 2)) - 1, """")"),"")</f>
        <v/>
      </c>
      <c r="M44" s="21" t="str">
        <f>IFERROR(__xludf.DUMMYFUNCTION("IFERROR((GOOGLEFINANCE(C44, ""price"") / INDEX(GOOGLEFINANCE(C44, ""price"", EDATE(TODAY(), -1), TODAY()), 2, 2)) - 1, """")"),"")</f>
        <v/>
      </c>
      <c r="N44" s="21" t="str">
        <f>IFERROR(__xludf.DUMMYFUNCTION("IFERROR((GOOGLEFINANCE(C44, ""price"") / INDEX(GOOGLEFINANCE(C44, ""price"", EDATE(TODAY(), -3), TODAY()), 2, 2)) - 1, """")"),"")</f>
        <v/>
      </c>
      <c r="O44" s="21" t="str">
        <f>IFERROR(__xludf.DUMMYFUNCTION("IFERROR((GOOGLEFINANCE(C44, ""price"") / INDEX(GOOGLEFINANCE(C44, ""price"", EDATE(TODAY(), -6), TODAY()), 2, 2)) - 1, """")"),"")</f>
        <v/>
      </c>
      <c r="P44" s="21" t="str">
        <f>IFERROR(__xludf.DUMMYFUNCTION("IFERROR((GOOGLEFINANCE(C44, ""price"") / INDEX(GOOGLEFINANCE(C44, ""price"", EDATE(TODAY(), -12), TODAY()), 2, 2)) - 1, """")"),"")</f>
        <v/>
      </c>
      <c r="Q44" s="6" t="str">
        <f>IFERROR(__xludf.DUMMYFUNCTION("AVERAGE(QUERY(GOOGLEFINANCE(C44, ""price"", TODAY()-80, TODAY()), ""SELECT Col2 WHERE Col2 IS NOT NULL ORDER BY Col1 DESC LIMIT 50"", 0))"),"#N/A")</f>
        <v>#N/A</v>
      </c>
      <c r="R44" s="24" t="str">
        <f>IFERROR(__xludf.DUMMYFUNCTION("IFERROR(
  LET(
    data, QUERY(GOOGLEFINANCE(C44,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GOOGLEFINANCE(C44, ""price"")) * 100,
    IF(calc=0, G44, calc)
  ), 
G44)"),"#N/A")</f>
        <v>#N/A</v>
      </c>
      <c r="S44" s="8" t="s">
        <v>15</v>
      </c>
      <c r="T44" s="26" t="str">
        <f>IFERROR(__xludf.DUMMYFUNCTION("IFERROR(TRANSPOSE(QUERY(IFERROR(SORT(GOOGLEFINANCE(C44, ""price"", WORKDAY(TODAY(), -40), TODAY()), 1, FALSE)), ""select Col2 where Col2 is not null limit 22 label Col2 ''"", 0)), """")"),"")</f>
        <v/>
      </c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8"/>
      <c r="AO44" s="28"/>
      <c r="AP44" s="29"/>
      <c r="AQ44" s="29" t="str">
        <f t="shared" ref="AQ44:BL44" si="47">T44/T$2</f>
        <v>#N/A</v>
      </c>
      <c r="AR44" s="29" t="str">
        <f t="shared" si="47"/>
        <v>#DIV/0!</v>
      </c>
      <c r="AS44" s="29" t="str">
        <f t="shared" si="47"/>
        <v>#DIV/0!</v>
      </c>
      <c r="AT44" s="29" t="str">
        <f t="shared" si="47"/>
        <v>#DIV/0!</v>
      </c>
      <c r="AU44" s="29" t="str">
        <f t="shared" si="47"/>
        <v>#DIV/0!</v>
      </c>
      <c r="AV44" s="29" t="str">
        <f t="shared" si="47"/>
        <v>#DIV/0!</v>
      </c>
      <c r="AW44" s="29" t="str">
        <f t="shared" si="47"/>
        <v>#DIV/0!</v>
      </c>
      <c r="AX44" s="29" t="str">
        <f t="shared" si="47"/>
        <v>#DIV/0!</v>
      </c>
      <c r="AY44" s="29" t="str">
        <f t="shared" si="47"/>
        <v>#DIV/0!</v>
      </c>
      <c r="AZ44" s="29" t="str">
        <f t="shared" si="47"/>
        <v>#DIV/0!</v>
      </c>
      <c r="BA44" s="29" t="str">
        <f t="shared" si="47"/>
        <v>#DIV/0!</v>
      </c>
      <c r="BB44" s="29" t="str">
        <f t="shared" si="47"/>
        <v>#DIV/0!</v>
      </c>
      <c r="BC44" s="29" t="str">
        <f t="shared" si="47"/>
        <v>#DIV/0!</v>
      </c>
      <c r="BD44" s="29" t="str">
        <f t="shared" si="47"/>
        <v>#DIV/0!</v>
      </c>
      <c r="BE44" s="29" t="str">
        <f t="shared" si="47"/>
        <v>#DIV/0!</v>
      </c>
      <c r="BF44" s="29" t="str">
        <f t="shared" si="47"/>
        <v>#DIV/0!</v>
      </c>
      <c r="BG44" s="29" t="str">
        <f t="shared" si="47"/>
        <v>#DIV/0!</v>
      </c>
      <c r="BH44" s="29" t="str">
        <f t="shared" si="47"/>
        <v>#DIV/0!</v>
      </c>
      <c r="BI44" s="29" t="str">
        <f t="shared" si="47"/>
        <v>#DIV/0!</v>
      </c>
      <c r="BJ44" s="29" t="str">
        <f t="shared" si="47"/>
        <v>#DIV/0!</v>
      </c>
      <c r="BK44" s="29" t="str">
        <f t="shared" si="47"/>
        <v>#DIV/0!</v>
      </c>
      <c r="BL44" s="29" t="str">
        <f t="shared" si="47"/>
        <v>#DIV/0!</v>
      </c>
      <c r="BM44" s="29" t="str">
        <f t="shared" si="3"/>
        <v>#DIV/0!</v>
      </c>
    </row>
    <row r="45">
      <c r="A45" s="16" t="str">
        <f>IFERROR(__xludf.DUMMYFUNCTION("IFERROR(SPARKLINE(SORT(MAP(TRANSPOSE(AQ45:BL45), LAMBDA(val, IF(ISNUMBER(val), PERCENTRANK(AQ45:BL45, val)+0.01, 0))), SEQUENCE(COLUMNS(AQ45:BL45)), FALSE), {""charttype"",""column""; ""color"",""chartreuse""; ""ymin"", 0; ""ymax"", 1.01; ""highcolor"", "&amp;"""darkgreen""; ""lowcolor"", ""red""}), """")"),"")</f>
        <v/>
      </c>
      <c r="B45" s="17" t="str">
        <f t="shared" si="4"/>
        <v/>
      </c>
      <c r="C45" s="1" t="s">
        <v>251</v>
      </c>
      <c r="D45" s="30" t="str">
        <f>IFERROR(__xludf.DUMMYFUNCTION("IFERROR(GOOGLEFINANCE(C45, ""NAME""))"),"Blackbaud Inc")</f>
        <v>Blackbaud Inc</v>
      </c>
      <c r="E45" s="30" t="s">
        <v>48</v>
      </c>
      <c r="F45" s="33" t="str">
        <f>IFERROR(__xludf.DUMMYFUNCTION("( (GOOGLEFINANCE(C45, ""price"") - Q45) / Q45 ) / (R45 / 100)"),"Loading...")</f>
        <v>Loading...</v>
      </c>
      <c r="G45" s="20" t="str">
        <f>IFERROR(__xludf.DUMMYFUNCTION("AVERAGE(ARRAYFORMULA(100 * (QUERY(GOOGLEFINANCE(C45, ""high"", TODAY()-40, TODAY()), ""SELECT Col2 WHERE Col2 IS NOT NULL ORDER BY Col1 DESC LIMIT 20"", 0) / QUERY(GOOGLEFINANCE(C45, ""low"", TODAY()-40, TODAY()), ""SELECT Col2 WHERE Col2 IS NOT NULL ORDE"&amp;"R BY Col1 DESC LIMIT 20"", 0) - 1)))"),"#N/A")</f>
        <v>#N/A</v>
      </c>
      <c r="H45" s="35" t="str">
        <f t="shared" si="6"/>
        <v/>
      </c>
      <c r="I45" s="36" t="str">
        <f t="shared" si="7"/>
        <v/>
      </c>
      <c r="J45" s="37" t="str">
        <f>IFERROR(__xludf.DUMMYFUNCTION("IFERROR(
  IF(C45="""",, 
    IFERROR(
      GOOGLEFINANCE(C45, ""price"") * GOOGLEFINANCE(C45, ""volumeavg""), 
      GOOGLEFINANCE(C45, ""price"") * AVERAGE(QUERY(GOOGLEFINANCE(C45, ""volume"", TODAY()-40, TODAY()), ""SELECT Col2 WHERE Col2 IS NOT NULL "&amp;"ORDER BY Col1 DESC LIMIT 20"", 0))
    )
  ), 
"""")"),"")</f>
        <v/>
      </c>
      <c r="K45" s="21" t="str">
        <f>IFERROR(__xludf.DUMMYFUNCTION("IFERROR(GOOGLEFINANCE(C45, ""changepct"") / 100, """")"),"")</f>
        <v/>
      </c>
      <c r="L45" s="21" t="str">
        <f>IFERROR(__xludf.DUMMYFUNCTION("IFERROR((GOOGLEFINANCE(C45, ""price"") / INDEX(GOOGLEFINANCE(C45, ""price"", TODAY()-7, TODAY()), 2, 2)) - 1, """")"),"")</f>
        <v/>
      </c>
      <c r="M45" s="21" t="str">
        <f>IFERROR(__xludf.DUMMYFUNCTION("IFERROR((GOOGLEFINANCE(C45, ""price"") / INDEX(GOOGLEFINANCE(C45, ""price"", EDATE(TODAY(), -1), TODAY()), 2, 2)) - 1, """")"),"")</f>
        <v/>
      </c>
      <c r="N45" s="21" t="str">
        <f>IFERROR(__xludf.DUMMYFUNCTION("IFERROR((GOOGLEFINANCE(C45, ""price"") / INDEX(GOOGLEFINANCE(C45, ""price"", EDATE(TODAY(), -3), TODAY()), 2, 2)) - 1, """")"),"")</f>
        <v/>
      </c>
      <c r="O45" s="21" t="str">
        <f>IFERROR(__xludf.DUMMYFUNCTION("IFERROR((GOOGLEFINANCE(C45, ""price"") / INDEX(GOOGLEFINANCE(C45, ""price"", EDATE(TODAY(), -6), TODAY()), 2, 2)) - 1, """")"),"")</f>
        <v/>
      </c>
      <c r="P45" s="21" t="str">
        <f>IFERROR(__xludf.DUMMYFUNCTION("IFERROR((GOOGLEFINANCE(C45, ""price"") / INDEX(GOOGLEFINANCE(C45, ""price"", EDATE(TODAY(), -12), TODAY()), 2, 2)) - 1, """")"),"")</f>
        <v/>
      </c>
      <c r="Q45" s="6" t="str">
        <f>IFERROR(__xludf.DUMMYFUNCTION("AVERAGE(QUERY(GOOGLEFINANCE(C45, ""price"", TODAY()-80, TODAY()), ""SELECT Col2 WHERE Col2 IS NOT NULL ORDER BY Col1 DESC LIMIT 50"", 0))"),"#N/A")</f>
        <v>#N/A</v>
      </c>
      <c r="R45" s="24" t="str">
        <f>IFERROR(__xludf.DUMMYFUNCTION("IFERROR(
  LET(
    data, QUERY(GOOGLEFINANCE(C45,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GOOGLEFINANCE(C45, ""price"")) * 100,
    IF(calc=0, G45, calc)
  ), 
G45)"),"#N/A")</f>
        <v>#N/A</v>
      </c>
      <c r="S45" s="8" t="s">
        <v>15</v>
      </c>
      <c r="T45" s="26" t="str">
        <f>IFERROR(__xludf.DUMMYFUNCTION("IFERROR(TRANSPOSE(QUERY(IFERROR(SORT(GOOGLEFINANCE(C45, ""price"", WORKDAY(TODAY(), -40), TODAY()), 1, FALSE)), ""select Col2 where Col2 is not null limit 22 label Col2 ''"", 0)), """")"),"")</f>
        <v/>
      </c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8"/>
      <c r="AO45" s="28"/>
      <c r="AP45" s="29"/>
      <c r="AQ45" s="29" t="str">
        <f t="shared" ref="AQ45:BL45" si="48">T45/T$2</f>
        <v>#N/A</v>
      </c>
      <c r="AR45" s="29" t="str">
        <f t="shared" si="48"/>
        <v>#DIV/0!</v>
      </c>
      <c r="AS45" s="29" t="str">
        <f t="shared" si="48"/>
        <v>#DIV/0!</v>
      </c>
      <c r="AT45" s="29" t="str">
        <f t="shared" si="48"/>
        <v>#DIV/0!</v>
      </c>
      <c r="AU45" s="29" t="str">
        <f t="shared" si="48"/>
        <v>#DIV/0!</v>
      </c>
      <c r="AV45" s="29" t="str">
        <f t="shared" si="48"/>
        <v>#DIV/0!</v>
      </c>
      <c r="AW45" s="29" t="str">
        <f t="shared" si="48"/>
        <v>#DIV/0!</v>
      </c>
      <c r="AX45" s="29" t="str">
        <f t="shared" si="48"/>
        <v>#DIV/0!</v>
      </c>
      <c r="AY45" s="29" t="str">
        <f t="shared" si="48"/>
        <v>#DIV/0!</v>
      </c>
      <c r="AZ45" s="29" t="str">
        <f t="shared" si="48"/>
        <v>#DIV/0!</v>
      </c>
      <c r="BA45" s="29" t="str">
        <f t="shared" si="48"/>
        <v>#DIV/0!</v>
      </c>
      <c r="BB45" s="29" t="str">
        <f t="shared" si="48"/>
        <v>#DIV/0!</v>
      </c>
      <c r="BC45" s="29" t="str">
        <f t="shared" si="48"/>
        <v>#DIV/0!</v>
      </c>
      <c r="BD45" s="29" t="str">
        <f t="shared" si="48"/>
        <v>#DIV/0!</v>
      </c>
      <c r="BE45" s="29" t="str">
        <f t="shared" si="48"/>
        <v>#DIV/0!</v>
      </c>
      <c r="BF45" s="29" t="str">
        <f t="shared" si="48"/>
        <v>#DIV/0!</v>
      </c>
      <c r="BG45" s="29" t="str">
        <f t="shared" si="48"/>
        <v>#DIV/0!</v>
      </c>
      <c r="BH45" s="29" t="str">
        <f t="shared" si="48"/>
        <v>#DIV/0!</v>
      </c>
      <c r="BI45" s="29" t="str">
        <f t="shared" si="48"/>
        <v>#DIV/0!</v>
      </c>
      <c r="BJ45" s="29" t="str">
        <f t="shared" si="48"/>
        <v>#DIV/0!</v>
      </c>
      <c r="BK45" s="29" t="str">
        <f t="shared" si="48"/>
        <v>#DIV/0!</v>
      </c>
      <c r="BL45" s="29" t="str">
        <f t="shared" si="48"/>
        <v>#DIV/0!</v>
      </c>
      <c r="BM45" s="29" t="str">
        <f t="shared" si="3"/>
        <v>#DIV/0!</v>
      </c>
    </row>
    <row r="46">
      <c r="A46" s="16" t="str">
        <f>IFERROR(__xludf.DUMMYFUNCTION("IFERROR(SPARKLINE(SORT(MAP(TRANSPOSE(AQ46:BL46), LAMBDA(val, IF(ISNUMBER(val), PERCENTRANK(AQ46:BL46, val)+0.01, 0))), SEQUENCE(COLUMNS(AQ46:BL46)), FALSE), {""charttype"",""column""; ""color"",""chartreuse""; ""ymin"", 0; ""ymax"", 1.01; ""highcolor"", "&amp;"""darkgreen""; ""lowcolor"", ""red""}), """")"),"")</f>
        <v/>
      </c>
      <c r="B46" s="17" t="str">
        <f t="shared" si="4"/>
        <v/>
      </c>
      <c r="C46" s="1" t="s">
        <v>256</v>
      </c>
      <c r="D46" s="30" t="str">
        <f>IFERROR(__xludf.DUMMYFUNCTION("IFERROR(GOOGLEFINANCE(C46, ""NAME""))"),"Gitlab Inc")</f>
        <v>Gitlab Inc</v>
      </c>
      <c r="E46" s="30" t="s">
        <v>58</v>
      </c>
      <c r="F46" s="33" t="str">
        <f>IFERROR(__xludf.DUMMYFUNCTION("( (GOOGLEFINANCE(C46, ""price"") - Q46) / Q46 ) / (R46 / 100)"),"Loading...")</f>
        <v>Loading...</v>
      </c>
      <c r="G46" s="20" t="str">
        <f>IFERROR(__xludf.DUMMYFUNCTION("AVERAGE(ARRAYFORMULA(100 * (QUERY(GOOGLEFINANCE(C46, ""high"", TODAY()-40, TODAY()), ""SELECT Col2 WHERE Col2 IS NOT NULL ORDER BY Col1 DESC LIMIT 20"", 0) / QUERY(GOOGLEFINANCE(C46, ""low"", TODAY()-40, TODAY()), ""SELECT Col2 WHERE Col2 IS NOT NULL ORDE"&amp;"R BY Col1 DESC LIMIT 20"", 0) - 1)))"),"#N/A")</f>
        <v>#N/A</v>
      </c>
      <c r="H46" s="35" t="str">
        <f t="shared" si="6"/>
        <v/>
      </c>
      <c r="I46" s="36" t="str">
        <f t="shared" si="7"/>
        <v/>
      </c>
      <c r="J46" s="37" t="str">
        <f>IFERROR(__xludf.DUMMYFUNCTION("IFERROR(
  IF(C46="""",, 
    IFERROR(
      GOOGLEFINANCE(C46, ""price"") * GOOGLEFINANCE(C46, ""volumeavg""), 
      GOOGLEFINANCE(C46, ""price"") * AVERAGE(QUERY(GOOGLEFINANCE(C46, ""volume"", TODAY()-40, TODAY()), ""SELECT Col2 WHERE Col2 IS NOT NULL "&amp;"ORDER BY Col1 DESC LIMIT 20"", 0))
    )
  ), 
"""")"),"")</f>
        <v/>
      </c>
      <c r="K46" s="21" t="str">
        <f>IFERROR(__xludf.DUMMYFUNCTION("IFERROR(GOOGLEFINANCE(C46, ""changepct"") / 100, """")"),"")</f>
        <v/>
      </c>
      <c r="L46" s="21" t="str">
        <f>IFERROR(__xludf.DUMMYFUNCTION("IFERROR((GOOGLEFINANCE(C46, ""price"") / INDEX(GOOGLEFINANCE(C46, ""price"", TODAY()-7, TODAY()), 2, 2)) - 1, """")"),"")</f>
        <v/>
      </c>
      <c r="M46" s="21" t="str">
        <f>IFERROR(__xludf.DUMMYFUNCTION("IFERROR((GOOGLEFINANCE(C46, ""price"") / INDEX(GOOGLEFINANCE(C46, ""price"", EDATE(TODAY(), -1), TODAY()), 2, 2)) - 1, """")"),"")</f>
        <v/>
      </c>
      <c r="N46" s="21" t="str">
        <f>IFERROR(__xludf.DUMMYFUNCTION("IFERROR((GOOGLEFINANCE(C46, ""price"") / INDEX(GOOGLEFINANCE(C46, ""price"", EDATE(TODAY(), -3), TODAY()), 2, 2)) - 1, """")"),"")</f>
        <v/>
      </c>
      <c r="O46" s="21" t="str">
        <f>IFERROR(__xludf.DUMMYFUNCTION("IFERROR((GOOGLEFINANCE(C46, ""price"") / INDEX(GOOGLEFINANCE(C46, ""price"", EDATE(TODAY(), -6), TODAY()), 2, 2)) - 1, """")"),"")</f>
        <v/>
      </c>
      <c r="P46" s="21" t="str">
        <f>IFERROR(__xludf.DUMMYFUNCTION("IFERROR((GOOGLEFINANCE(C46, ""price"") / INDEX(GOOGLEFINANCE(C46, ""price"", EDATE(TODAY(), -12), TODAY()), 2, 2)) - 1, """")"),"")</f>
        <v/>
      </c>
      <c r="Q46" s="6" t="str">
        <f>IFERROR(__xludf.DUMMYFUNCTION("AVERAGE(QUERY(GOOGLEFINANCE(C46, ""price"", TODAY()-80, TODAY()), ""SELECT Col2 WHERE Col2 IS NOT NULL ORDER BY Col1 DESC LIMIT 50"", 0))"),"#N/A")</f>
        <v>#N/A</v>
      </c>
      <c r="R46" s="24" t="str">
        <f>IFERROR(__xludf.DUMMYFUNCTION("IFERROR(
  LET(
    data, QUERY(GOOGLEFINANCE(C46,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GOOGLEFINANCE(C46, ""price"")) * 100,
    IF(calc=0, G46, calc)
  ), 
G46)"),"#N/A")</f>
        <v>#N/A</v>
      </c>
      <c r="S46" s="8" t="s">
        <v>15</v>
      </c>
      <c r="T46" s="26" t="str">
        <f>IFERROR(__xludf.DUMMYFUNCTION("IFERROR(TRANSPOSE(QUERY(IFERROR(SORT(GOOGLEFINANCE(C46, ""price"", WORKDAY(TODAY(), -40), TODAY()), 1, FALSE)), ""select Col2 where Col2 is not null limit 22 label Col2 ''"", 0)), """")"),"")</f>
        <v/>
      </c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8"/>
      <c r="AO46" s="28"/>
      <c r="AP46" s="29"/>
      <c r="AQ46" s="29" t="str">
        <f t="shared" ref="AQ46:BL46" si="49">T46/T$2</f>
        <v>#N/A</v>
      </c>
      <c r="AR46" s="29" t="str">
        <f t="shared" si="49"/>
        <v>#DIV/0!</v>
      </c>
      <c r="AS46" s="29" t="str">
        <f t="shared" si="49"/>
        <v>#DIV/0!</v>
      </c>
      <c r="AT46" s="29" t="str">
        <f t="shared" si="49"/>
        <v>#DIV/0!</v>
      </c>
      <c r="AU46" s="29" t="str">
        <f t="shared" si="49"/>
        <v>#DIV/0!</v>
      </c>
      <c r="AV46" s="29" t="str">
        <f t="shared" si="49"/>
        <v>#DIV/0!</v>
      </c>
      <c r="AW46" s="29" t="str">
        <f t="shared" si="49"/>
        <v>#DIV/0!</v>
      </c>
      <c r="AX46" s="29" t="str">
        <f t="shared" si="49"/>
        <v>#DIV/0!</v>
      </c>
      <c r="AY46" s="29" t="str">
        <f t="shared" si="49"/>
        <v>#DIV/0!</v>
      </c>
      <c r="AZ46" s="29" t="str">
        <f t="shared" si="49"/>
        <v>#DIV/0!</v>
      </c>
      <c r="BA46" s="29" t="str">
        <f t="shared" si="49"/>
        <v>#DIV/0!</v>
      </c>
      <c r="BB46" s="29" t="str">
        <f t="shared" si="49"/>
        <v>#DIV/0!</v>
      </c>
      <c r="BC46" s="29" t="str">
        <f t="shared" si="49"/>
        <v>#DIV/0!</v>
      </c>
      <c r="BD46" s="29" t="str">
        <f t="shared" si="49"/>
        <v>#DIV/0!</v>
      </c>
      <c r="BE46" s="29" t="str">
        <f t="shared" si="49"/>
        <v>#DIV/0!</v>
      </c>
      <c r="BF46" s="29" t="str">
        <f t="shared" si="49"/>
        <v>#DIV/0!</v>
      </c>
      <c r="BG46" s="29" t="str">
        <f t="shared" si="49"/>
        <v>#DIV/0!</v>
      </c>
      <c r="BH46" s="29" t="str">
        <f t="shared" si="49"/>
        <v>#DIV/0!</v>
      </c>
      <c r="BI46" s="29" t="str">
        <f t="shared" si="49"/>
        <v>#DIV/0!</v>
      </c>
      <c r="BJ46" s="29" t="str">
        <f t="shared" si="49"/>
        <v>#DIV/0!</v>
      </c>
      <c r="BK46" s="29" t="str">
        <f t="shared" si="49"/>
        <v>#DIV/0!</v>
      </c>
      <c r="BL46" s="29" t="str">
        <f t="shared" si="49"/>
        <v>#DIV/0!</v>
      </c>
      <c r="BM46" s="29" t="str">
        <f t="shared" si="3"/>
        <v>#DIV/0!</v>
      </c>
    </row>
    <row r="47">
      <c r="A47" s="16" t="str">
        <f>IFERROR(__xludf.DUMMYFUNCTION("IFERROR(SPARKLINE(SORT(MAP(TRANSPOSE(AQ47:BL47), LAMBDA(val, IF(ISNUMBER(val), PERCENTRANK(AQ47:BL47, val)+0.01, 0))), SEQUENCE(COLUMNS(AQ47:BL47)), FALSE), {""charttype"",""column""; ""color"",""chartreuse""; ""ymin"", 0; ""ymax"", 1.01; ""highcolor"", "&amp;"""darkgreen""; ""lowcolor"", ""red""}), """")"),"")</f>
        <v/>
      </c>
      <c r="B47" s="17" t="str">
        <f t="shared" si="4"/>
        <v/>
      </c>
      <c r="C47" s="1" t="s">
        <v>265</v>
      </c>
      <c r="D47" s="30" t="str">
        <f>IFERROR(__xludf.DUMMYFUNCTION("IFERROR(GOOGLEFINANCE(C47, ""NAME""))"),"Pony AI Inc - ADR ADR")</f>
        <v>Pony AI Inc - ADR ADR</v>
      </c>
      <c r="E47" s="30" t="s">
        <v>102</v>
      </c>
      <c r="F47" s="33" t="str">
        <f>IFERROR(__xludf.DUMMYFUNCTION("( (GOOGLEFINANCE(C47, ""price"") - Q47) / Q47 ) / (R47 / 100)"),"Loading...")</f>
        <v>Loading...</v>
      </c>
      <c r="G47" s="20" t="str">
        <f>IFERROR(__xludf.DUMMYFUNCTION("AVERAGE(ARRAYFORMULA(100 * (QUERY(GOOGLEFINANCE(C47, ""high"", TODAY()-40, TODAY()), ""SELECT Col2 WHERE Col2 IS NOT NULL ORDER BY Col1 DESC LIMIT 20"", 0) / QUERY(GOOGLEFINANCE(C47, ""low"", TODAY()-40, TODAY()), ""SELECT Col2 WHERE Col2 IS NOT NULL ORDE"&amp;"R BY Col1 DESC LIMIT 20"", 0) - 1)))"),"#N/A")</f>
        <v>#N/A</v>
      </c>
      <c r="H47" s="35" t="str">
        <f t="shared" si="6"/>
        <v/>
      </c>
      <c r="I47" s="36" t="str">
        <f t="shared" si="7"/>
        <v/>
      </c>
      <c r="J47" s="37" t="str">
        <f>IFERROR(__xludf.DUMMYFUNCTION("IFERROR(
  IF(C47="""",, 
    IFERROR(
      GOOGLEFINANCE(C47, ""price"") * GOOGLEFINANCE(C47, ""volumeavg""), 
      GOOGLEFINANCE(C47, ""price"") * AVERAGE(QUERY(GOOGLEFINANCE(C47, ""volume"", TODAY()-40, TODAY()), ""SELECT Col2 WHERE Col2 IS NOT NULL "&amp;"ORDER BY Col1 DESC LIMIT 20"", 0))
    )
  ), 
"""")"),"")</f>
        <v/>
      </c>
      <c r="K47" s="21" t="str">
        <f>IFERROR(__xludf.DUMMYFUNCTION("IFERROR(GOOGLEFINANCE(C47, ""changepct"") / 100, """")"),"")</f>
        <v/>
      </c>
      <c r="L47" s="21" t="str">
        <f>IFERROR(__xludf.DUMMYFUNCTION("IFERROR((GOOGLEFINANCE(C47, ""price"") / INDEX(GOOGLEFINANCE(C47, ""price"", TODAY()-7, TODAY()), 2, 2)) - 1, """")"),"")</f>
        <v/>
      </c>
      <c r="M47" s="21" t="str">
        <f>IFERROR(__xludf.DUMMYFUNCTION("IFERROR((GOOGLEFINANCE(C47, ""price"") / INDEX(GOOGLEFINANCE(C47, ""price"", EDATE(TODAY(), -1), TODAY()), 2, 2)) - 1, """")"),"")</f>
        <v/>
      </c>
      <c r="N47" s="21" t="str">
        <f>IFERROR(__xludf.DUMMYFUNCTION("IFERROR((GOOGLEFINANCE(C47, ""price"") / INDEX(GOOGLEFINANCE(C47, ""price"", EDATE(TODAY(), -3), TODAY()), 2, 2)) - 1, """")"),"")</f>
        <v/>
      </c>
      <c r="O47" s="21" t="str">
        <f>IFERROR(__xludf.DUMMYFUNCTION("IFERROR((GOOGLEFINANCE(C47, ""price"") / INDEX(GOOGLEFINANCE(C47, ""price"", EDATE(TODAY(), -6), TODAY()), 2, 2)) - 1, """")"),"")</f>
        <v/>
      </c>
      <c r="P47" s="21" t="str">
        <f>IFERROR(__xludf.DUMMYFUNCTION("IFERROR((GOOGLEFINANCE(C47, ""price"") / INDEX(GOOGLEFINANCE(C47, ""price"", EDATE(TODAY(), -12), TODAY()), 2, 2)) - 1, """")"),"")</f>
        <v/>
      </c>
      <c r="Q47" s="6" t="str">
        <f>IFERROR(__xludf.DUMMYFUNCTION("AVERAGE(QUERY(GOOGLEFINANCE(C47, ""price"", TODAY()-80, TODAY()), ""SELECT Col2 WHERE Col2 IS NOT NULL ORDER BY Col1 DESC LIMIT 50"", 0))"),"#N/A")</f>
        <v>#N/A</v>
      </c>
      <c r="R47" s="24" t="str">
        <f>IFERROR(__xludf.DUMMYFUNCTION("IFERROR(
  LET(
    data, QUERY(GOOGLEFINANCE(C47,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GOOGLEFINANCE(C47, ""price"")) * 100,
    IF(calc=0, G47, calc)
  ), 
G47)"),"#N/A")</f>
        <v>#N/A</v>
      </c>
      <c r="S47" s="8" t="s">
        <v>15</v>
      </c>
      <c r="T47" s="26" t="str">
        <f>IFERROR(__xludf.DUMMYFUNCTION("IFERROR(TRANSPOSE(QUERY(IFERROR(SORT(GOOGLEFINANCE(C47, ""price"", WORKDAY(TODAY(), -40), TODAY()), 1, FALSE)), ""select Col2 where Col2 is not null limit 22 label Col2 ''"", 0)), """")"),"")</f>
        <v/>
      </c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8"/>
      <c r="AO47" s="28"/>
      <c r="AP47" s="29"/>
      <c r="AQ47" s="29" t="str">
        <f t="shared" ref="AQ47:BL47" si="50">T47/T$2</f>
        <v>#N/A</v>
      </c>
      <c r="AR47" s="29" t="str">
        <f t="shared" si="50"/>
        <v>#DIV/0!</v>
      </c>
      <c r="AS47" s="29" t="str">
        <f t="shared" si="50"/>
        <v>#DIV/0!</v>
      </c>
      <c r="AT47" s="29" t="str">
        <f t="shared" si="50"/>
        <v>#DIV/0!</v>
      </c>
      <c r="AU47" s="29" t="str">
        <f t="shared" si="50"/>
        <v>#DIV/0!</v>
      </c>
      <c r="AV47" s="29" t="str">
        <f t="shared" si="50"/>
        <v>#DIV/0!</v>
      </c>
      <c r="AW47" s="29" t="str">
        <f t="shared" si="50"/>
        <v>#DIV/0!</v>
      </c>
      <c r="AX47" s="29" t="str">
        <f t="shared" si="50"/>
        <v>#DIV/0!</v>
      </c>
      <c r="AY47" s="29" t="str">
        <f t="shared" si="50"/>
        <v>#DIV/0!</v>
      </c>
      <c r="AZ47" s="29" t="str">
        <f t="shared" si="50"/>
        <v>#DIV/0!</v>
      </c>
      <c r="BA47" s="29" t="str">
        <f t="shared" si="50"/>
        <v>#DIV/0!</v>
      </c>
      <c r="BB47" s="29" t="str">
        <f t="shared" si="50"/>
        <v>#DIV/0!</v>
      </c>
      <c r="BC47" s="29" t="str">
        <f t="shared" si="50"/>
        <v>#DIV/0!</v>
      </c>
      <c r="BD47" s="29" t="str">
        <f t="shared" si="50"/>
        <v>#DIV/0!</v>
      </c>
      <c r="BE47" s="29" t="str">
        <f t="shared" si="50"/>
        <v>#DIV/0!</v>
      </c>
      <c r="BF47" s="29" t="str">
        <f t="shared" si="50"/>
        <v>#DIV/0!</v>
      </c>
      <c r="BG47" s="29" t="str">
        <f t="shared" si="50"/>
        <v>#DIV/0!</v>
      </c>
      <c r="BH47" s="29" t="str">
        <f t="shared" si="50"/>
        <v>#DIV/0!</v>
      </c>
      <c r="BI47" s="29" t="str">
        <f t="shared" si="50"/>
        <v>#DIV/0!</v>
      </c>
      <c r="BJ47" s="29" t="str">
        <f t="shared" si="50"/>
        <v>#DIV/0!</v>
      </c>
      <c r="BK47" s="29" t="str">
        <f t="shared" si="50"/>
        <v>#DIV/0!</v>
      </c>
      <c r="BL47" s="29" t="str">
        <f t="shared" si="50"/>
        <v>#DIV/0!</v>
      </c>
      <c r="BM47" s="29" t="str">
        <f t="shared" si="3"/>
        <v>#DIV/0!</v>
      </c>
    </row>
    <row r="48">
      <c r="A48" s="16" t="str">
        <f>IFERROR(__xludf.DUMMYFUNCTION("IFERROR(SPARKLINE(SORT(MAP(TRANSPOSE(AQ48:BL48), LAMBDA(val, IF(ISNUMBER(val), PERCENTRANK(AQ48:BL48, val)+0.01, 0))), SEQUENCE(COLUMNS(AQ48:BL48)), FALSE), {""charttype"",""column""; ""color"",""chartreuse""; ""ymin"", 0; ""ymax"", 1.01; ""highcolor"", "&amp;"""darkgreen""; ""lowcolor"", ""red""}), """")"),"")</f>
        <v/>
      </c>
      <c r="B48" s="17" t="str">
        <f t="shared" si="4"/>
        <v/>
      </c>
      <c r="C48" s="1" t="s">
        <v>269</v>
      </c>
      <c r="D48" s="30" t="str">
        <f>IFERROR(__xludf.DUMMYFUNCTION("IFERROR(GOOGLEFINANCE(C48, ""NAME""))"),"Datavault AI Inc")</f>
        <v>Datavault AI Inc</v>
      </c>
      <c r="E48" s="30" t="s">
        <v>58</v>
      </c>
      <c r="F48" s="33" t="str">
        <f>IFERROR(__xludf.DUMMYFUNCTION("( (GOOGLEFINANCE(C48, ""price"") - Q48) / Q48 ) / (R48 / 100)"),"Loading...")</f>
        <v>Loading...</v>
      </c>
      <c r="G48" s="20" t="str">
        <f>IFERROR(__xludf.DUMMYFUNCTION("AVERAGE(ARRAYFORMULA(100 * (QUERY(GOOGLEFINANCE(C48, ""high"", TODAY()-40, TODAY()), ""SELECT Col2 WHERE Col2 IS NOT NULL ORDER BY Col1 DESC LIMIT 20"", 0) / QUERY(GOOGLEFINANCE(C48, ""low"", TODAY()-40, TODAY()), ""SELECT Col2 WHERE Col2 IS NOT NULL ORDE"&amp;"R BY Col1 DESC LIMIT 20"", 0) - 1)))"),"#N/A")</f>
        <v>#N/A</v>
      </c>
      <c r="H48" s="35" t="str">
        <f t="shared" si="6"/>
        <v/>
      </c>
      <c r="I48" s="36" t="str">
        <f t="shared" si="7"/>
        <v/>
      </c>
      <c r="J48" s="37" t="str">
        <f>IFERROR(__xludf.DUMMYFUNCTION("IFERROR(
  IF(C48="""",, 
    IFERROR(
      GOOGLEFINANCE(C48, ""price"") * GOOGLEFINANCE(C48, ""volumeavg""), 
      GOOGLEFINANCE(C48, ""price"") * AVERAGE(QUERY(GOOGLEFINANCE(C48, ""volume"", TODAY()-40, TODAY()), ""SELECT Col2 WHERE Col2 IS NOT NULL "&amp;"ORDER BY Col1 DESC LIMIT 20"", 0))
    )
  ), 
"""")"),"")</f>
        <v/>
      </c>
      <c r="K48" s="21" t="str">
        <f>IFERROR(__xludf.DUMMYFUNCTION("IFERROR(GOOGLEFINANCE(C48, ""changepct"") / 100, """")"),"")</f>
        <v/>
      </c>
      <c r="L48" s="21" t="str">
        <f>IFERROR(__xludf.DUMMYFUNCTION("IFERROR((GOOGLEFINANCE(C48, ""price"") / INDEX(GOOGLEFINANCE(C48, ""price"", TODAY()-7, TODAY()), 2, 2)) - 1, """")"),"")</f>
        <v/>
      </c>
      <c r="M48" s="21" t="str">
        <f>IFERROR(__xludf.DUMMYFUNCTION("IFERROR((GOOGLEFINANCE(C48, ""price"") / INDEX(GOOGLEFINANCE(C48, ""price"", EDATE(TODAY(), -1), TODAY()), 2, 2)) - 1, """")"),"")</f>
        <v/>
      </c>
      <c r="N48" s="21" t="str">
        <f>IFERROR(__xludf.DUMMYFUNCTION("IFERROR((GOOGLEFINANCE(C48, ""price"") / INDEX(GOOGLEFINANCE(C48, ""price"", EDATE(TODAY(), -3), TODAY()), 2, 2)) - 1, """")"),"")</f>
        <v/>
      </c>
      <c r="O48" s="21" t="str">
        <f>IFERROR(__xludf.DUMMYFUNCTION("IFERROR((GOOGLEFINANCE(C48, ""price"") / INDEX(GOOGLEFINANCE(C48, ""price"", EDATE(TODAY(), -6), TODAY()), 2, 2)) - 1, """")"),"")</f>
        <v/>
      </c>
      <c r="P48" s="21" t="str">
        <f>IFERROR(__xludf.DUMMYFUNCTION("IFERROR((GOOGLEFINANCE(C48, ""price"") / INDEX(GOOGLEFINANCE(C48, ""price"", EDATE(TODAY(), -12), TODAY()), 2, 2)) - 1, """")"),"")</f>
        <v/>
      </c>
      <c r="Q48" s="6" t="str">
        <f>IFERROR(__xludf.DUMMYFUNCTION("AVERAGE(QUERY(GOOGLEFINANCE(C48, ""price"", TODAY()-80, TODAY()), ""SELECT Col2 WHERE Col2 IS NOT NULL ORDER BY Col1 DESC LIMIT 50"", 0))"),"#N/A")</f>
        <v>#N/A</v>
      </c>
      <c r="R48" s="24" t="str">
        <f>IFERROR(__xludf.DUMMYFUNCTION("IFERROR(
  LET(
    data, QUERY(GOOGLEFINANCE(C48,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GOOGLEFINANCE(C48, ""price"")) * 100,
    IF(calc=0, G48, calc)
  ), 
G48)"),"#N/A")</f>
        <v>#N/A</v>
      </c>
      <c r="S48" s="8" t="s">
        <v>15</v>
      </c>
      <c r="T48" s="26" t="str">
        <f>IFERROR(__xludf.DUMMYFUNCTION("IFERROR(TRANSPOSE(QUERY(IFERROR(SORT(GOOGLEFINANCE(C48, ""price"", WORKDAY(TODAY(), -40), TODAY()), 1, FALSE)), ""select Col2 where Col2 is not null limit 22 label Col2 ''"", 0)), """")"),"")</f>
        <v/>
      </c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8"/>
      <c r="AO48" s="28"/>
      <c r="AP48" s="29"/>
      <c r="AQ48" s="29" t="str">
        <f t="shared" ref="AQ48:BL48" si="51">T48/T$2</f>
        <v>#N/A</v>
      </c>
      <c r="AR48" s="29" t="str">
        <f t="shared" si="51"/>
        <v>#DIV/0!</v>
      </c>
      <c r="AS48" s="29" t="str">
        <f t="shared" si="51"/>
        <v>#DIV/0!</v>
      </c>
      <c r="AT48" s="29" t="str">
        <f t="shared" si="51"/>
        <v>#DIV/0!</v>
      </c>
      <c r="AU48" s="29" t="str">
        <f t="shared" si="51"/>
        <v>#DIV/0!</v>
      </c>
      <c r="AV48" s="29" t="str">
        <f t="shared" si="51"/>
        <v>#DIV/0!</v>
      </c>
      <c r="AW48" s="29" t="str">
        <f t="shared" si="51"/>
        <v>#DIV/0!</v>
      </c>
      <c r="AX48" s="29" t="str">
        <f t="shared" si="51"/>
        <v>#DIV/0!</v>
      </c>
      <c r="AY48" s="29" t="str">
        <f t="shared" si="51"/>
        <v>#DIV/0!</v>
      </c>
      <c r="AZ48" s="29" t="str">
        <f t="shared" si="51"/>
        <v>#DIV/0!</v>
      </c>
      <c r="BA48" s="29" t="str">
        <f t="shared" si="51"/>
        <v>#DIV/0!</v>
      </c>
      <c r="BB48" s="29" t="str">
        <f t="shared" si="51"/>
        <v>#DIV/0!</v>
      </c>
      <c r="BC48" s="29" t="str">
        <f t="shared" si="51"/>
        <v>#DIV/0!</v>
      </c>
      <c r="BD48" s="29" t="str">
        <f t="shared" si="51"/>
        <v>#DIV/0!</v>
      </c>
      <c r="BE48" s="29" t="str">
        <f t="shared" si="51"/>
        <v>#DIV/0!</v>
      </c>
      <c r="BF48" s="29" t="str">
        <f t="shared" si="51"/>
        <v>#DIV/0!</v>
      </c>
      <c r="BG48" s="29" t="str">
        <f t="shared" si="51"/>
        <v>#DIV/0!</v>
      </c>
      <c r="BH48" s="29" t="str">
        <f t="shared" si="51"/>
        <v>#DIV/0!</v>
      </c>
      <c r="BI48" s="29" t="str">
        <f t="shared" si="51"/>
        <v>#DIV/0!</v>
      </c>
      <c r="BJ48" s="29" t="str">
        <f t="shared" si="51"/>
        <v>#DIV/0!</v>
      </c>
      <c r="BK48" s="29" t="str">
        <f t="shared" si="51"/>
        <v>#DIV/0!</v>
      </c>
      <c r="BL48" s="29" t="str">
        <f t="shared" si="51"/>
        <v>#DIV/0!</v>
      </c>
      <c r="BM48" s="29" t="str">
        <f t="shared" si="3"/>
        <v>#DIV/0!</v>
      </c>
    </row>
    <row r="49">
      <c r="A49" s="16" t="str">
        <f>IFERROR(__xludf.DUMMYFUNCTION("IFERROR(SPARKLINE(SORT(MAP(TRANSPOSE(AQ49:BL49), LAMBDA(val, IF(ISNUMBER(val), PERCENTRANK(AQ49:BL49, val)+0.01, 0))), SEQUENCE(COLUMNS(AQ49:BL49)), FALSE), {""charttype"",""column""; ""color"",""chartreuse""; ""ymin"", 0; ""ymax"", 1.01; ""highcolor"", "&amp;"""darkgreen""; ""lowcolor"", ""red""}), """")"),"")</f>
        <v/>
      </c>
      <c r="B49" s="17" t="str">
        <f t="shared" si="4"/>
        <v/>
      </c>
      <c r="C49" s="1" t="s">
        <v>274</v>
      </c>
      <c r="D49" s="30" t="str">
        <f>IFERROR(__xludf.DUMMYFUNCTION("IFERROR(GOOGLEFINANCE(C49, ""NAME""))"),"Blackline Inc")</f>
        <v>Blackline Inc</v>
      </c>
      <c r="E49" s="30" t="s">
        <v>48</v>
      </c>
      <c r="F49" s="33" t="str">
        <f>IFERROR(__xludf.DUMMYFUNCTION("( (GOOGLEFINANCE(C49, ""price"") - Q49) / Q49 ) / (R49 / 100)"),"Loading...")</f>
        <v>Loading...</v>
      </c>
      <c r="G49" s="20" t="str">
        <f>IFERROR(__xludf.DUMMYFUNCTION("AVERAGE(ARRAYFORMULA(100 * (QUERY(GOOGLEFINANCE(C49, ""high"", TODAY()-40, TODAY()), ""SELECT Col2 WHERE Col2 IS NOT NULL ORDER BY Col1 DESC LIMIT 20"", 0) / QUERY(GOOGLEFINANCE(C49, ""low"", TODAY()-40, TODAY()), ""SELECT Col2 WHERE Col2 IS NOT NULL ORDE"&amp;"R BY Col1 DESC LIMIT 20"", 0) - 1)))"),"#N/A")</f>
        <v>#N/A</v>
      </c>
      <c r="H49" s="35" t="str">
        <f t="shared" si="6"/>
        <v/>
      </c>
      <c r="I49" s="36" t="str">
        <f t="shared" si="7"/>
        <v/>
      </c>
      <c r="J49" s="37" t="str">
        <f>IFERROR(__xludf.DUMMYFUNCTION("IFERROR(
  IF(C49="""",, 
    IFERROR(
      GOOGLEFINANCE(C49, ""price"") * GOOGLEFINANCE(C49, ""volumeavg""), 
      GOOGLEFINANCE(C49, ""price"") * AVERAGE(QUERY(GOOGLEFINANCE(C49, ""volume"", TODAY()-40, TODAY()), ""SELECT Col2 WHERE Col2 IS NOT NULL "&amp;"ORDER BY Col1 DESC LIMIT 20"", 0))
    )
  ), 
"""")"),"")</f>
        <v/>
      </c>
      <c r="K49" s="21" t="str">
        <f>IFERROR(__xludf.DUMMYFUNCTION("IFERROR(GOOGLEFINANCE(C49, ""changepct"") / 100, """")"),"")</f>
        <v/>
      </c>
      <c r="L49" s="21" t="str">
        <f>IFERROR(__xludf.DUMMYFUNCTION("IFERROR((GOOGLEFINANCE(C49, ""price"") / INDEX(GOOGLEFINANCE(C49, ""price"", TODAY()-7, TODAY()), 2, 2)) - 1, """")"),"")</f>
        <v/>
      </c>
      <c r="M49" s="21" t="str">
        <f>IFERROR(__xludf.DUMMYFUNCTION("IFERROR((GOOGLEFINANCE(C49, ""price"") / INDEX(GOOGLEFINANCE(C49, ""price"", EDATE(TODAY(), -1), TODAY()), 2, 2)) - 1, """")"),"")</f>
        <v/>
      </c>
      <c r="N49" s="21" t="str">
        <f>IFERROR(__xludf.DUMMYFUNCTION("IFERROR((GOOGLEFINANCE(C49, ""price"") / INDEX(GOOGLEFINANCE(C49, ""price"", EDATE(TODAY(), -3), TODAY()), 2, 2)) - 1, """")"),"")</f>
        <v/>
      </c>
      <c r="O49" s="21" t="str">
        <f>IFERROR(__xludf.DUMMYFUNCTION("IFERROR((GOOGLEFINANCE(C49, ""price"") / INDEX(GOOGLEFINANCE(C49, ""price"", EDATE(TODAY(), -6), TODAY()), 2, 2)) - 1, """")"),"")</f>
        <v/>
      </c>
      <c r="P49" s="21" t="str">
        <f>IFERROR(__xludf.DUMMYFUNCTION("IFERROR((GOOGLEFINANCE(C49, ""price"") / INDEX(GOOGLEFINANCE(C49, ""price"", EDATE(TODAY(), -12), TODAY()), 2, 2)) - 1, """")"),"")</f>
        <v/>
      </c>
      <c r="Q49" s="6" t="str">
        <f>IFERROR(__xludf.DUMMYFUNCTION("AVERAGE(QUERY(GOOGLEFINANCE(C49, ""price"", TODAY()-80, TODAY()), ""SELECT Col2 WHERE Col2 IS NOT NULL ORDER BY Col1 DESC LIMIT 50"", 0))"),"#N/A")</f>
        <v>#N/A</v>
      </c>
      <c r="R49" s="24" t="str">
        <f>IFERROR(__xludf.DUMMYFUNCTION("IFERROR(
  LET(
    data, QUERY(GOOGLEFINANCE(C49,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GOOGLEFINANCE(C49, ""price"")) * 100,
    IF(calc=0, G49, calc)
  ), 
G49)"),"#N/A")</f>
        <v>#N/A</v>
      </c>
      <c r="S49" s="8" t="s">
        <v>15</v>
      </c>
      <c r="T49" s="26" t="str">
        <f>IFERROR(__xludf.DUMMYFUNCTION("IFERROR(TRANSPOSE(QUERY(IFERROR(SORT(GOOGLEFINANCE(C49, ""price"", WORKDAY(TODAY(), -40), TODAY()), 1, FALSE)), ""select Col2 where Col2 is not null limit 22 label Col2 ''"", 0)), """")"),"")</f>
        <v/>
      </c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8"/>
      <c r="AO49" s="28"/>
      <c r="AP49" s="29"/>
      <c r="AQ49" s="29" t="str">
        <f t="shared" ref="AQ49:BL49" si="52">T49/T$2</f>
        <v>#N/A</v>
      </c>
      <c r="AR49" s="29" t="str">
        <f t="shared" si="52"/>
        <v>#DIV/0!</v>
      </c>
      <c r="AS49" s="29" t="str">
        <f t="shared" si="52"/>
        <v>#DIV/0!</v>
      </c>
      <c r="AT49" s="29" t="str">
        <f t="shared" si="52"/>
        <v>#DIV/0!</v>
      </c>
      <c r="AU49" s="29" t="str">
        <f t="shared" si="52"/>
        <v>#DIV/0!</v>
      </c>
      <c r="AV49" s="29" t="str">
        <f t="shared" si="52"/>
        <v>#DIV/0!</v>
      </c>
      <c r="AW49" s="29" t="str">
        <f t="shared" si="52"/>
        <v>#DIV/0!</v>
      </c>
      <c r="AX49" s="29" t="str">
        <f t="shared" si="52"/>
        <v>#DIV/0!</v>
      </c>
      <c r="AY49" s="29" t="str">
        <f t="shared" si="52"/>
        <v>#DIV/0!</v>
      </c>
      <c r="AZ49" s="29" t="str">
        <f t="shared" si="52"/>
        <v>#DIV/0!</v>
      </c>
      <c r="BA49" s="29" t="str">
        <f t="shared" si="52"/>
        <v>#DIV/0!</v>
      </c>
      <c r="BB49" s="29" t="str">
        <f t="shared" si="52"/>
        <v>#DIV/0!</v>
      </c>
      <c r="BC49" s="29" t="str">
        <f t="shared" si="52"/>
        <v>#DIV/0!</v>
      </c>
      <c r="BD49" s="29" t="str">
        <f t="shared" si="52"/>
        <v>#DIV/0!</v>
      </c>
      <c r="BE49" s="29" t="str">
        <f t="shared" si="52"/>
        <v>#DIV/0!</v>
      </c>
      <c r="BF49" s="29" t="str">
        <f t="shared" si="52"/>
        <v>#DIV/0!</v>
      </c>
      <c r="BG49" s="29" t="str">
        <f t="shared" si="52"/>
        <v>#DIV/0!</v>
      </c>
      <c r="BH49" s="29" t="str">
        <f t="shared" si="52"/>
        <v>#DIV/0!</v>
      </c>
      <c r="BI49" s="29" t="str">
        <f t="shared" si="52"/>
        <v>#DIV/0!</v>
      </c>
      <c r="BJ49" s="29" t="str">
        <f t="shared" si="52"/>
        <v>#DIV/0!</v>
      </c>
      <c r="BK49" s="29" t="str">
        <f t="shared" si="52"/>
        <v>#DIV/0!</v>
      </c>
      <c r="BL49" s="29" t="str">
        <f t="shared" si="52"/>
        <v>#DIV/0!</v>
      </c>
      <c r="BM49" s="29" t="str">
        <f t="shared" si="3"/>
        <v>#DIV/0!</v>
      </c>
    </row>
    <row r="50">
      <c r="A50" s="16" t="str">
        <f>IFERROR(__xludf.DUMMYFUNCTION("IFERROR(SPARKLINE(SORT(MAP(TRANSPOSE(AQ50:BL50), LAMBDA(val, IF(ISNUMBER(val), PERCENTRANK(AQ50:BL50, val)+0.01, 0))), SEQUENCE(COLUMNS(AQ50:BL50)), FALSE), {""charttype"",""column""; ""color"",""chartreuse""; ""ymin"", 0; ""ymax"", 1.01; ""highcolor"", "&amp;"""darkgreen""; ""lowcolor"", ""red""}), """")"),"")</f>
        <v/>
      </c>
      <c r="B50" s="17" t="str">
        <f t="shared" si="4"/>
        <v/>
      </c>
      <c r="C50" s="1" t="s">
        <v>279</v>
      </c>
      <c r="D50" s="30" t="str">
        <f>IFERROR(__xludf.DUMMYFUNCTION("IFERROR(GOOGLEFINANCE(C50, ""NAME""))"),"Fair Isaac Corp")</f>
        <v>Fair Isaac Corp</v>
      </c>
      <c r="E50" s="30" t="s">
        <v>48</v>
      </c>
      <c r="F50" s="33" t="str">
        <f>IFERROR(__xludf.DUMMYFUNCTION("( (GOOGLEFINANCE(C50, ""price"") - Q50) / Q50 ) / (R50 / 100)"),"Loading...")</f>
        <v>Loading...</v>
      </c>
      <c r="G50" s="20" t="str">
        <f>IFERROR(__xludf.DUMMYFUNCTION("AVERAGE(ARRAYFORMULA(100 * (QUERY(GOOGLEFINANCE(C50, ""high"", TODAY()-40, TODAY()), ""SELECT Col2 WHERE Col2 IS NOT NULL ORDER BY Col1 DESC LIMIT 20"", 0) / QUERY(GOOGLEFINANCE(C50, ""low"", TODAY()-40, TODAY()), ""SELECT Col2 WHERE Col2 IS NOT NULL ORDE"&amp;"R BY Col1 DESC LIMIT 20"", 0) - 1)))"),"#N/A")</f>
        <v>#N/A</v>
      </c>
      <c r="H50" s="35" t="str">
        <f t="shared" si="6"/>
        <v/>
      </c>
      <c r="I50" s="36" t="str">
        <f t="shared" si="7"/>
        <v/>
      </c>
      <c r="J50" s="37" t="str">
        <f>IFERROR(__xludf.DUMMYFUNCTION("IFERROR(
  IF(C50="""",, 
    IFERROR(
      GOOGLEFINANCE(C50, ""price"") * GOOGLEFINANCE(C50, ""volumeavg""), 
      GOOGLEFINANCE(C50, ""price"") * AVERAGE(QUERY(GOOGLEFINANCE(C50, ""volume"", TODAY()-40, TODAY()), ""SELECT Col2 WHERE Col2 IS NOT NULL "&amp;"ORDER BY Col1 DESC LIMIT 20"", 0))
    )
  ), 
"""")"),"")</f>
        <v/>
      </c>
      <c r="K50" s="21" t="str">
        <f>IFERROR(__xludf.DUMMYFUNCTION("IFERROR(GOOGLEFINANCE(C50, ""changepct"") / 100, """")"),"")</f>
        <v/>
      </c>
      <c r="L50" s="21" t="str">
        <f>IFERROR(__xludf.DUMMYFUNCTION("IFERROR((GOOGLEFINANCE(C50, ""price"") / INDEX(GOOGLEFINANCE(C50, ""price"", TODAY()-7, TODAY()), 2, 2)) - 1, """")"),"")</f>
        <v/>
      </c>
      <c r="M50" s="21" t="str">
        <f>IFERROR(__xludf.DUMMYFUNCTION("IFERROR((GOOGLEFINANCE(C50, ""price"") / INDEX(GOOGLEFINANCE(C50, ""price"", EDATE(TODAY(), -1), TODAY()), 2, 2)) - 1, """")"),"")</f>
        <v/>
      </c>
      <c r="N50" s="21" t="str">
        <f>IFERROR(__xludf.DUMMYFUNCTION("IFERROR((GOOGLEFINANCE(C50, ""price"") / INDEX(GOOGLEFINANCE(C50, ""price"", EDATE(TODAY(), -3), TODAY()), 2, 2)) - 1, """")"),"")</f>
        <v/>
      </c>
      <c r="O50" s="21" t="str">
        <f>IFERROR(__xludf.DUMMYFUNCTION("IFERROR((GOOGLEFINANCE(C50, ""price"") / INDEX(GOOGLEFINANCE(C50, ""price"", EDATE(TODAY(), -6), TODAY()), 2, 2)) - 1, """")"),"")</f>
        <v/>
      </c>
      <c r="P50" s="21" t="str">
        <f>IFERROR(__xludf.DUMMYFUNCTION("IFERROR((GOOGLEFINANCE(C50, ""price"") / INDEX(GOOGLEFINANCE(C50, ""price"", EDATE(TODAY(), -12), TODAY()), 2, 2)) - 1, """")"),"")</f>
        <v/>
      </c>
      <c r="Q50" s="6" t="str">
        <f>IFERROR(__xludf.DUMMYFUNCTION("AVERAGE(QUERY(GOOGLEFINANCE(C50, ""price"", TODAY()-80, TODAY()), ""SELECT Col2 WHERE Col2 IS NOT NULL ORDER BY Col1 DESC LIMIT 50"", 0))"),"#N/A")</f>
        <v>#N/A</v>
      </c>
      <c r="R50" s="24" t="str">
        <f>IFERROR(__xludf.DUMMYFUNCTION("IFERROR(
  LET(
    data, QUERY(GOOGLEFINANCE(C50,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GOOGLEFINANCE(C50, ""price"")) * 100,
    IF(calc=0, G50, calc)
  ), 
G50)"),"#N/A")</f>
        <v>#N/A</v>
      </c>
      <c r="S50" s="8" t="s">
        <v>15</v>
      </c>
      <c r="T50" s="26" t="str">
        <f>IFERROR(__xludf.DUMMYFUNCTION("IFERROR(TRANSPOSE(QUERY(IFERROR(SORT(GOOGLEFINANCE(C50, ""price"", WORKDAY(TODAY(), -40), TODAY()), 1, FALSE)), ""select Col2 where Col2 is not null limit 22 label Col2 ''"", 0)), """")"),"")</f>
        <v/>
      </c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8"/>
      <c r="AO50" s="28"/>
      <c r="AP50" s="29"/>
      <c r="AQ50" s="29" t="str">
        <f t="shared" ref="AQ50:BL50" si="53">T50/T$2</f>
        <v>#N/A</v>
      </c>
      <c r="AR50" s="29" t="str">
        <f t="shared" si="53"/>
        <v>#DIV/0!</v>
      </c>
      <c r="AS50" s="29" t="str">
        <f t="shared" si="53"/>
        <v>#DIV/0!</v>
      </c>
      <c r="AT50" s="29" t="str">
        <f t="shared" si="53"/>
        <v>#DIV/0!</v>
      </c>
      <c r="AU50" s="29" t="str">
        <f t="shared" si="53"/>
        <v>#DIV/0!</v>
      </c>
      <c r="AV50" s="29" t="str">
        <f t="shared" si="53"/>
        <v>#DIV/0!</v>
      </c>
      <c r="AW50" s="29" t="str">
        <f t="shared" si="53"/>
        <v>#DIV/0!</v>
      </c>
      <c r="AX50" s="29" t="str">
        <f t="shared" si="53"/>
        <v>#DIV/0!</v>
      </c>
      <c r="AY50" s="29" t="str">
        <f t="shared" si="53"/>
        <v>#DIV/0!</v>
      </c>
      <c r="AZ50" s="29" t="str">
        <f t="shared" si="53"/>
        <v>#DIV/0!</v>
      </c>
      <c r="BA50" s="29" t="str">
        <f t="shared" si="53"/>
        <v>#DIV/0!</v>
      </c>
      <c r="BB50" s="29" t="str">
        <f t="shared" si="53"/>
        <v>#DIV/0!</v>
      </c>
      <c r="BC50" s="29" t="str">
        <f t="shared" si="53"/>
        <v>#DIV/0!</v>
      </c>
      <c r="BD50" s="29" t="str">
        <f t="shared" si="53"/>
        <v>#DIV/0!</v>
      </c>
      <c r="BE50" s="29" t="str">
        <f t="shared" si="53"/>
        <v>#DIV/0!</v>
      </c>
      <c r="BF50" s="29" t="str">
        <f t="shared" si="53"/>
        <v>#DIV/0!</v>
      </c>
      <c r="BG50" s="29" t="str">
        <f t="shared" si="53"/>
        <v>#DIV/0!</v>
      </c>
      <c r="BH50" s="29" t="str">
        <f t="shared" si="53"/>
        <v>#DIV/0!</v>
      </c>
      <c r="BI50" s="29" t="str">
        <f t="shared" si="53"/>
        <v>#DIV/0!</v>
      </c>
      <c r="BJ50" s="29" t="str">
        <f t="shared" si="53"/>
        <v>#DIV/0!</v>
      </c>
      <c r="BK50" s="29" t="str">
        <f t="shared" si="53"/>
        <v>#DIV/0!</v>
      </c>
      <c r="BL50" s="29" t="str">
        <f t="shared" si="53"/>
        <v>#DIV/0!</v>
      </c>
      <c r="BM50" s="29" t="str">
        <f t="shared" si="3"/>
        <v>#DIV/0!</v>
      </c>
    </row>
    <row r="51">
      <c r="A51" s="16" t="str">
        <f>IFERROR(__xludf.DUMMYFUNCTION("IFERROR(SPARKLINE(SORT(MAP(TRANSPOSE(AQ51:BL51), LAMBDA(val, IF(ISNUMBER(val), PERCENTRANK(AQ51:BL51, val)+0.01, 0))), SEQUENCE(COLUMNS(AQ51:BL51)), FALSE), {""charttype"",""column""; ""color"",""chartreuse""; ""ymin"", 0; ""ymax"", 1.01; ""highcolor"", "&amp;"""darkgreen""; ""lowcolor"", ""red""}), """")"),"")</f>
        <v/>
      </c>
      <c r="B51" s="17" t="str">
        <f t="shared" si="4"/>
        <v/>
      </c>
      <c r="C51" s="1" t="s">
        <v>288</v>
      </c>
      <c r="D51" s="30" t="str">
        <f>IFERROR(__xludf.DUMMYFUNCTION("IFERROR(GOOGLEFINANCE(C51, ""NAME""))"),"Netskope Inc")</f>
        <v>Netskope Inc</v>
      </c>
      <c r="E51" s="30" t="s">
        <v>58</v>
      </c>
      <c r="F51" s="33" t="str">
        <f>IFERROR(__xludf.DUMMYFUNCTION("( (GOOGLEFINANCE(C51, ""price"") - Q51) / Q51 ) / (R51 / 100)"),"Loading...")</f>
        <v>Loading...</v>
      </c>
      <c r="G51" s="20" t="str">
        <f>IFERROR(__xludf.DUMMYFUNCTION("AVERAGE(ARRAYFORMULA(100 * (QUERY(GOOGLEFINANCE(C51, ""high"", TODAY()-40, TODAY()), ""SELECT Col2 WHERE Col2 IS NOT NULL ORDER BY Col1 DESC LIMIT 20"", 0) / QUERY(GOOGLEFINANCE(C51, ""low"", TODAY()-40, TODAY()), ""SELECT Col2 WHERE Col2 IS NOT NULL ORDE"&amp;"R BY Col1 DESC LIMIT 20"", 0) - 1)))"),"#N/A")</f>
        <v>#N/A</v>
      </c>
      <c r="H51" s="35" t="str">
        <f t="shared" si="6"/>
        <v/>
      </c>
      <c r="I51" s="36" t="str">
        <f t="shared" si="7"/>
        <v/>
      </c>
      <c r="J51" s="37" t="str">
        <f>IFERROR(__xludf.DUMMYFUNCTION("IFERROR(
  IF(C51="""",, 
    IFERROR(
      GOOGLEFINANCE(C51, ""price"") * GOOGLEFINANCE(C51, ""volumeavg""), 
      GOOGLEFINANCE(C51, ""price"") * AVERAGE(QUERY(GOOGLEFINANCE(C51, ""volume"", TODAY()-40, TODAY()), ""SELECT Col2 WHERE Col2 IS NOT NULL "&amp;"ORDER BY Col1 DESC LIMIT 20"", 0))
    )
  ), 
"""")"),"")</f>
        <v/>
      </c>
      <c r="K51" s="21" t="str">
        <f>IFERROR(__xludf.DUMMYFUNCTION("IFERROR(GOOGLEFINANCE(C51, ""changepct"") / 100, """")"),"")</f>
        <v/>
      </c>
      <c r="L51" s="21" t="str">
        <f>IFERROR(__xludf.DUMMYFUNCTION("IFERROR((GOOGLEFINANCE(C51, ""price"") / INDEX(GOOGLEFINANCE(C51, ""price"", TODAY()-7, TODAY()), 2, 2)) - 1, """")"),"")</f>
        <v/>
      </c>
      <c r="M51" s="21" t="str">
        <f>IFERROR(__xludf.DUMMYFUNCTION("IFERROR((GOOGLEFINANCE(C51, ""price"") / INDEX(GOOGLEFINANCE(C51, ""price"", EDATE(TODAY(), -1), TODAY()), 2, 2)) - 1, """")"),"")</f>
        <v/>
      </c>
      <c r="N51" s="21" t="str">
        <f>IFERROR(__xludf.DUMMYFUNCTION("IFERROR((GOOGLEFINANCE(C51, ""price"") / INDEX(GOOGLEFINANCE(C51, ""price"", EDATE(TODAY(), -3), TODAY()), 2, 2)) - 1, """")"),"")</f>
        <v/>
      </c>
      <c r="O51" s="21" t="str">
        <f>IFERROR(__xludf.DUMMYFUNCTION("IFERROR((GOOGLEFINANCE(C51, ""price"") / INDEX(GOOGLEFINANCE(C51, ""price"", EDATE(TODAY(), -6), TODAY()), 2, 2)) - 1, """")"),"")</f>
        <v/>
      </c>
      <c r="P51" s="21" t="str">
        <f>IFERROR(__xludf.DUMMYFUNCTION("IFERROR((GOOGLEFINANCE(C51, ""price"") / INDEX(GOOGLEFINANCE(C51, ""price"", EDATE(TODAY(), -12), TODAY()), 2, 2)) - 1, """")"),"")</f>
        <v/>
      </c>
      <c r="Q51" s="6" t="str">
        <f>IFERROR(__xludf.DUMMYFUNCTION("AVERAGE(QUERY(GOOGLEFINANCE(C51, ""price"", TODAY()-80, TODAY()), ""SELECT Col2 WHERE Col2 IS NOT NULL ORDER BY Col1 DESC LIMIT 50"", 0))"),"#N/A")</f>
        <v>#N/A</v>
      </c>
      <c r="R51" s="24" t="str">
        <f>IFERROR(__xludf.DUMMYFUNCTION("IFERROR(
  LET(
    data, QUERY(GOOGLEFINANCE(C51,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GOOGLEFINANCE(C51, ""price"")) * 100,
    IF(calc=0, G51, calc)
  ), 
G51)"),"#N/A")</f>
        <v>#N/A</v>
      </c>
      <c r="S51" s="8" t="s">
        <v>15</v>
      </c>
      <c r="T51" s="26" t="str">
        <f>IFERROR(__xludf.DUMMYFUNCTION("IFERROR(TRANSPOSE(QUERY(IFERROR(SORT(GOOGLEFINANCE(C51, ""price"", WORKDAY(TODAY(), -40), TODAY()), 1, FALSE)), ""select Col2 where Col2 is not null limit 22 label Col2 ''"", 0)), """")"),"")</f>
        <v/>
      </c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8"/>
      <c r="AO51" s="28"/>
      <c r="AP51" s="29"/>
      <c r="AQ51" s="29" t="str">
        <f t="shared" ref="AQ51:BL51" si="54">T51/T$2</f>
        <v>#N/A</v>
      </c>
      <c r="AR51" s="29" t="str">
        <f t="shared" si="54"/>
        <v>#DIV/0!</v>
      </c>
      <c r="AS51" s="29" t="str">
        <f t="shared" si="54"/>
        <v>#DIV/0!</v>
      </c>
      <c r="AT51" s="29" t="str">
        <f t="shared" si="54"/>
        <v>#DIV/0!</v>
      </c>
      <c r="AU51" s="29" t="str">
        <f t="shared" si="54"/>
        <v>#DIV/0!</v>
      </c>
      <c r="AV51" s="29" t="str">
        <f t="shared" si="54"/>
        <v>#DIV/0!</v>
      </c>
      <c r="AW51" s="29" t="str">
        <f t="shared" si="54"/>
        <v>#DIV/0!</v>
      </c>
      <c r="AX51" s="29" t="str">
        <f t="shared" si="54"/>
        <v>#DIV/0!</v>
      </c>
      <c r="AY51" s="29" t="str">
        <f t="shared" si="54"/>
        <v>#DIV/0!</v>
      </c>
      <c r="AZ51" s="29" t="str">
        <f t="shared" si="54"/>
        <v>#DIV/0!</v>
      </c>
      <c r="BA51" s="29" t="str">
        <f t="shared" si="54"/>
        <v>#DIV/0!</v>
      </c>
      <c r="BB51" s="29" t="str">
        <f t="shared" si="54"/>
        <v>#DIV/0!</v>
      </c>
      <c r="BC51" s="29" t="str">
        <f t="shared" si="54"/>
        <v>#DIV/0!</v>
      </c>
      <c r="BD51" s="29" t="str">
        <f t="shared" si="54"/>
        <v>#DIV/0!</v>
      </c>
      <c r="BE51" s="29" t="str">
        <f t="shared" si="54"/>
        <v>#DIV/0!</v>
      </c>
      <c r="BF51" s="29" t="str">
        <f t="shared" si="54"/>
        <v>#DIV/0!</v>
      </c>
      <c r="BG51" s="29" t="str">
        <f t="shared" si="54"/>
        <v>#DIV/0!</v>
      </c>
      <c r="BH51" s="29" t="str">
        <f t="shared" si="54"/>
        <v>#DIV/0!</v>
      </c>
      <c r="BI51" s="29" t="str">
        <f t="shared" si="54"/>
        <v>#DIV/0!</v>
      </c>
      <c r="BJ51" s="29" t="str">
        <f t="shared" si="54"/>
        <v>#DIV/0!</v>
      </c>
      <c r="BK51" s="29" t="str">
        <f t="shared" si="54"/>
        <v>#DIV/0!</v>
      </c>
      <c r="BL51" s="29" t="str">
        <f t="shared" si="54"/>
        <v>#DIV/0!</v>
      </c>
      <c r="BM51" s="29" t="str">
        <f t="shared" si="3"/>
        <v>#DIV/0!</v>
      </c>
    </row>
    <row r="52">
      <c r="A52" s="16" t="str">
        <f>IFERROR(__xludf.DUMMYFUNCTION("IFERROR(SPARKLINE(SORT(MAP(TRANSPOSE(AQ52:BL52), LAMBDA(val, IF(ISNUMBER(val), PERCENTRANK(AQ52:BL52, val)+0.01, 0))), SEQUENCE(COLUMNS(AQ52:BL52)), FALSE), {""charttype"",""column""; ""color"",""chartreuse""; ""ymin"", 0; ""ymax"", 1.01; ""highcolor"", "&amp;"""darkgreen""; ""lowcolor"", ""red""}), """")"),"")</f>
        <v/>
      </c>
      <c r="B52" s="17" t="str">
        <f t="shared" si="4"/>
        <v/>
      </c>
      <c r="C52" s="1" t="s">
        <v>292</v>
      </c>
      <c r="D52" s="30" t="str">
        <f>IFERROR(__xludf.DUMMYFUNCTION("IFERROR(GOOGLEFINANCE(C52, ""NAME""))"),"Q2 Holdings Inc")</f>
        <v>Q2 Holdings Inc</v>
      </c>
      <c r="E52" s="30" t="s">
        <v>48</v>
      </c>
      <c r="F52" s="33" t="str">
        <f>IFERROR(__xludf.DUMMYFUNCTION("( (GOOGLEFINANCE(C52, ""price"") - Q52) / Q52 ) / (R52 / 100)"),"Loading...")</f>
        <v>Loading...</v>
      </c>
      <c r="G52" s="20" t="str">
        <f>IFERROR(__xludf.DUMMYFUNCTION("AVERAGE(ARRAYFORMULA(100 * (QUERY(GOOGLEFINANCE(C52, ""high"", TODAY()-40, TODAY()), ""SELECT Col2 WHERE Col2 IS NOT NULL ORDER BY Col1 DESC LIMIT 20"", 0) / QUERY(GOOGLEFINANCE(C52, ""low"", TODAY()-40, TODAY()), ""SELECT Col2 WHERE Col2 IS NOT NULL ORDE"&amp;"R BY Col1 DESC LIMIT 20"", 0) - 1)))"),"#N/A")</f>
        <v>#N/A</v>
      </c>
      <c r="H52" s="35" t="str">
        <f t="shared" si="6"/>
        <v/>
      </c>
      <c r="I52" s="36" t="str">
        <f t="shared" si="7"/>
        <v/>
      </c>
      <c r="J52" s="37" t="str">
        <f>IFERROR(__xludf.DUMMYFUNCTION("IFERROR(
  IF(C52="""",, 
    IFERROR(
      GOOGLEFINANCE(C52, ""price"") * GOOGLEFINANCE(C52, ""volumeavg""), 
      GOOGLEFINANCE(C52, ""price"") * AVERAGE(QUERY(GOOGLEFINANCE(C52, ""volume"", TODAY()-40, TODAY()), ""SELECT Col2 WHERE Col2 IS NOT NULL "&amp;"ORDER BY Col1 DESC LIMIT 20"", 0))
    )
  ), 
"""")"),"")</f>
        <v/>
      </c>
      <c r="K52" s="21" t="str">
        <f>IFERROR(__xludf.DUMMYFUNCTION("IFERROR(GOOGLEFINANCE(C52, ""changepct"") / 100, """")"),"")</f>
        <v/>
      </c>
      <c r="L52" s="21" t="str">
        <f>IFERROR(__xludf.DUMMYFUNCTION("IFERROR((GOOGLEFINANCE(C52, ""price"") / INDEX(GOOGLEFINANCE(C52, ""price"", TODAY()-7, TODAY()), 2, 2)) - 1, """")"),"")</f>
        <v/>
      </c>
      <c r="M52" s="21" t="str">
        <f>IFERROR(__xludf.DUMMYFUNCTION("IFERROR((GOOGLEFINANCE(C52, ""price"") / INDEX(GOOGLEFINANCE(C52, ""price"", EDATE(TODAY(), -1), TODAY()), 2, 2)) - 1, """")"),"")</f>
        <v/>
      </c>
      <c r="N52" s="21" t="str">
        <f>IFERROR(__xludf.DUMMYFUNCTION("IFERROR((GOOGLEFINANCE(C52, ""price"") / INDEX(GOOGLEFINANCE(C52, ""price"", EDATE(TODAY(), -3), TODAY()), 2, 2)) - 1, """")"),"")</f>
        <v/>
      </c>
      <c r="O52" s="21" t="str">
        <f>IFERROR(__xludf.DUMMYFUNCTION("IFERROR((GOOGLEFINANCE(C52, ""price"") / INDEX(GOOGLEFINANCE(C52, ""price"", EDATE(TODAY(), -6), TODAY()), 2, 2)) - 1, """")"),"")</f>
        <v/>
      </c>
      <c r="P52" s="21" t="str">
        <f>IFERROR(__xludf.DUMMYFUNCTION("IFERROR((GOOGLEFINANCE(C52, ""price"") / INDEX(GOOGLEFINANCE(C52, ""price"", EDATE(TODAY(), -12), TODAY()), 2, 2)) - 1, """")"),"")</f>
        <v/>
      </c>
      <c r="Q52" s="6" t="str">
        <f>IFERROR(__xludf.DUMMYFUNCTION("AVERAGE(QUERY(GOOGLEFINANCE(C52, ""price"", TODAY()-80, TODAY()), ""SELECT Col2 WHERE Col2 IS NOT NULL ORDER BY Col1 DESC LIMIT 50"", 0))"),"#N/A")</f>
        <v>#N/A</v>
      </c>
      <c r="R52" s="24" t="str">
        <f>IFERROR(__xludf.DUMMYFUNCTION("IFERROR(
  LET(
    data, QUERY(GOOGLEFINANCE(C52,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GOOGLEFINANCE(C52, ""price"")) * 100,
    IF(calc=0, G52, calc)
  ), 
G52)"),"#N/A")</f>
        <v>#N/A</v>
      </c>
      <c r="S52" s="8" t="s">
        <v>15</v>
      </c>
      <c r="T52" s="26" t="str">
        <f>IFERROR(__xludf.DUMMYFUNCTION("IFERROR(TRANSPOSE(QUERY(IFERROR(SORT(GOOGLEFINANCE(C52, ""price"", WORKDAY(TODAY(), -40), TODAY()), 1, FALSE)), ""select Col2 where Col2 is not null limit 22 label Col2 ''"", 0)), """")"),"")</f>
        <v/>
      </c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8"/>
      <c r="AO52" s="28"/>
      <c r="AP52" s="29"/>
      <c r="AQ52" s="29" t="str">
        <f t="shared" ref="AQ52:BL52" si="55">T52/T$2</f>
        <v>#N/A</v>
      </c>
      <c r="AR52" s="29" t="str">
        <f t="shared" si="55"/>
        <v>#DIV/0!</v>
      </c>
      <c r="AS52" s="29" t="str">
        <f t="shared" si="55"/>
        <v>#DIV/0!</v>
      </c>
      <c r="AT52" s="29" t="str">
        <f t="shared" si="55"/>
        <v>#DIV/0!</v>
      </c>
      <c r="AU52" s="29" t="str">
        <f t="shared" si="55"/>
        <v>#DIV/0!</v>
      </c>
      <c r="AV52" s="29" t="str">
        <f t="shared" si="55"/>
        <v>#DIV/0!</v>
      </c>
      <c r="AW52" s="29" t="str">
        <f t="shared" si="55"/>
        <v>#DIV/0!</v>
      </c>
      <c r="AX52" s="29" t="str">
        <f t="shared" si="55"/>
        <v>#DIV/0!</v>
      </c>
      <c r="AY52" s="29" t="str">
        <f t="shared" si="55"/>
        <v>#DIV/0!</v>
      </c>
      <c r="AZ52" s="29" t="str">
        <f t="shared" si="55"/>
        <v>#DIV/0!</v>
      </c>
      <c r="BA52" s="29" t="str">
        <f t="shared" si="55"/>
        <v>#DIV/0!</v>
      </c>
      <c r="BB52" s="29" t="str">
        <f t="shared" si="55"/>
        <v>#DIV/0!</v>
      </c>
      <c r="BC52" s="29" t="str">
        <f t="shared" si="55"/>
        <v>#DIV/0!</v>
      </c>
      <c r="BD52" s="29" t="str">
        <f t="shared" si="55"/>
        <v>#DIV/0!</v>
      </c>
      <c r="BE52" s="29" t="str">
        <f t="shared" si="55"/>
        <v>#DIV/0!</v>
      </c>
      <c r="BF52" s="29" t="str">
        <f t="shared" si="55"/>
        <v>#DIV/0!</v>
      </c>
      <c r="BG52" s="29" t="str">
        <f t="shared" si="55"/>
        <v>#DIV/0!</v>
      </c>
      <c r="BH52" s="29" t="str">
        <f t="shared" si="55"/>
        <v>#DIV/0!</v>
      </c>
      <c r="BI52" s="29" t="str">
        <f t="shared" si="55"/>
        <v>#DIV/0!</v>
      </c>
      <c r="BJ52" s="29" t="str">
        <f t="shared" si="55"/>
        <v>#DIV/0!</v>
      </c>
      <c r="BK52" s="29" t="str">
        <f t="shared" si="55"/>
        <v>#DIV/0!</v>
      </c>
      <c r="BL52" s="29" t="str">
        <f t="shared" si="55"/>
        <v>#DIV/0!</v>
      </c>
      <c r="BM52" s="29" t="str">
        <f t="shared" si="3"/>
        <v>#DIV/0!</v>
      </c>
    </row>
    <row r="53">
      <c r="A53" s="16" t="str">
        <f>IFERROR(__xludf.DUMMYFUNCTION("IFERROR(SPARKLINE(SORT(MAP(TRANSPOSE(AQ53:BL53), LAMBDA(val, IF(ISNUMBER(val), PERCENTRANK(AQ53:BL53, val)+0.01, 0))), SEQUENCE(COLUMNS(AQ53:BL53)), FALSE), {""charttype"",""column""; ""color"",""chartreuse""; ""ymin"", 0; ""ymax"", 1.01; ""highcolor"", "&amp;"""darkgreen""; ""lowcolor"", ""red""}), """")"),"")</f>
        <v/>
      </c>
      <c r="B53" s="17" t="str">
        <f t="shared" si="4"/>
        <v/>
      </c>
      <c r="C53" s="1" t="s">
        <v>296</v>
      </c>
      <c r="D53" s="30" t="str">
        <f>IFERROR(__xludf.DUMMYFUNCTION("IFERROR(GOOGLEFINANCE(C53, ""NAME""))"),"Yext Inc")</f>
        <v>Yext Inc</v>
      </c>
      <c r="E53" s="30" t="s">
        <v>58</v>
      </c>
      <c r="F53" s="33" t="str">
        <f>IFERROR(__xludf.DUMMYFUNCTION("( (GOOGLEFINANCE(C53, ""price"") - Q53) / Q53 ) / (R53 / 100)"),"Loading...")</f>
        <v>Loading...</v>
      </c>
      <c r="G53" s="20" t="str">
        <f>IFERROR(__xludf.DUMMYFUNCTION("AVERAGE(ARRAYFORMULA(100 * (QUERY(GOOGLEFINANCE(C53, ""high"", TODAY()-40, TODAY()), ""SELECT Col2 WHERE Col2 IS NOT NULL ORDER BY Col1 DESC LIMIT 20"", 0) / QUERY(GOOGLEFINANCE(C53, ""low"", TODAY()-40, TODAY()), ""SELECT Col2 WHERE Col2 IS NOT NULL ORDE"&amp;"R BY Col1 DESC LIMIT 20"", 0) - 1)))"),"#N/A")</f>
        <v>#N/A</v>
      </c>
      <c r="H53" s="35" t="str">
        <f t="shared" si="6"/>
        <v/>
      </c>
      <c r="I53" s="36" t="str">
        <f t="shared" si="7"/>
        <v/>
      </c>
      <c r="J53" s="37" t="str">
        <f>IFERROR(__xludf.DUMMYFUNCTION("IFERROR(
  IF(C53="""",, 
    IFERROR(
      GOOGLEFINANCE(C53, ""price"") * GOOGLEFINANCE(C53, ""volumeavg""), 
      GOOGLEFINANCE(C53, ""price"") * AVERAGE(QUERY(GOOGLEFINANCE(C53, ""volume"", TODAY()-40, TODAY()), ""SELECT Col2 WHERE Col2 IS NOT NULL "&amp;"ORDER BY Col1 DESC LIMIT 20"", 0))
    )
  ), 
"""")"),"")</f>
        <v/>
      </c>
      <c r="K53" s="21" t="str">
        <f>IFERROR(__xludf.DUMMYFUNCTION("IFERROR(GOOGLEFINANCE(C53, ""changepct"") / 100, """")"),"")</f>
        <v/>
      </c>
      <c r="L53" s="21" t="str">
        <f>IFERROR(__xludf.DUMMYFUNCTION("IFERROR((GOOGLEFINANCE(C53, ""price"") / INDEX(GOOGLEFINANCE(C53, ""price"", TODAY()-7, TODAY()), 2, 2)) - 1, """")"),"")</f>
        <v/>
      </c>
      <c r="M53" s="21" t="str">
        <f>IFERROR(__xludf.DUMMYFUNCTION("IFERROR((GOOGLEFINANCE(C53, ""price"") / INDEX(GOOGLEFINANCE(C53, ""price"", EDATE(TODAY(), -1), TODAY()), 2, 2)) - 1, """")"),"")</f>
        <v/>
      </c>
      <c r="N53" s="21" t="str">
        <f>IFERROR(__xludf.DUMMYFUNCTION("IFERROR((GOOGLEFINANCE(C53, ""price"") / INDEX(GOOGLEFINANCE(C53, ""price"", EDATE(TODAY(), -3), TODAY()), 2, 2)) - 1, """")"),"")</f>
        <v/>
      </c>
      <c r="O53" s="21" t="str">
        <f>IFERROR(__xludf.DUMMYFUNCTION("IFERROR((GOOGLEFINANCE(C53, ""price"") / INDEX(GOOGLEFINANCE(C53, ""price"", EDATE(TODAY(), -6), TODAY()), 2, 2)) - 1, """")"),"")</f>
        <v/>
      </c>
      <c r="P53" s="21" t="str">
        <f>IFERROR(__xludf.DUMMYFUNCTION("IFERROR((GOOGLEFINANCE(C53, ""price"") / INDEX(GOOGLEFINANCE(C53, ""price"", EDATE(TODAY(), -12), TODAY()), 2, 2)) - 1, """")"),"")</f>
        <v/>
      </c>
      <c r="Q53" s="6" t="str">
        <f>IFERROR(__xludf.DUMMYFUNCTION("AVERAGE(QUERY(GOOGLEFINANCE(C53, ""price"", TODAY()-80, TODAY()), ""SELECT Col2 WHERE Col2 IS NOT NULL ORDER BY Col1 DESC LIMIT 50"", 0))"),"#N/A")</f>
        <v>#N/A</v>
      </c>
      <c r="R53" s="24" t="str">
        <f>IFERROR(__xludf.DUMMYFUNCTION("IFERROR(
  LET(
    data, QUERY(GOOGLEFINANCE(C53,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GOOGLEFINANCE(C53, ""price"")) * 100,
    IF(calc=0, G53, calc)
  ), 
G53)"),"#N/A")</f>
        <v>#N/A</v>
      </c>
      <c r="S53" s="8" t="s">
        <v>15</v>
      </c>
      <c r="T53" s="26" t="str">
        <f>IFERROR(__xludf.DUMMYFUNCTION("IFERROR(TRANSPOSE(QUERY(IFERROR(SORT(GOOGLEFINANCE(C53, ""price"", WORKDAY(TODAY(), -40), TODAY()), 1, FALSE)), ""select Col2 where Col2 is not null limit 22 label Col2 ''"", 0)), """")"),"")</f>
        <v/>
      </c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8"/>
      <c r="AO53" s="28"/>
      <c r="AP53" s="29"/>
      <c r="AQ53" s="29" t="str">
        <f t="shared" ref="AQ53:BL53" si="56">T53/T$2</f>
        <v>#N/A</v>
      </c>
      <c r="AR53" s="29" t="str">
        <f t="shared" si="56"/>
        <v>#DIV/0!</v>
      </c>
      <c r="AS53" s="29" t="str">
        <f t="shared" si="56"/>
        <v>#DIV/0!</v>
      </c>
      <c r="AT53" s="29" t="str">
        <f t="shared" si="56"/>
        <v>#DIV/0!</v>
      </c>
      <c r="AU53" s="29" t="str">
        <f t="shared" si="56"/>
        <v>#DIV/0!</v>
      </c>
      <c r="AV53" s="29" t="str">
        <f t="shared" si="56"/>
        <v>#DIV/0!</v>
      </c>
      <c r="AW53" s="29" t="str">
        <f t="shared" si="56"/>
        <v>#DIV/0!</v>
      </c>
      <c r="AX53" s="29" t="str">
        <f t="shared" si="56"/>
        <v>#DIV/0!</v>
      </c>
      <c r="AY53" s="29" t="str">
        <f t="shared" si="56"/>
        <v>#DIV/0!</v>
      </c>
      <c r="AZ53" s="29" t="str">
        <f t="shared" si="56"/>
        <v>#DIV/0!</v>
      </c>
      <c r="BA53" s="29" t="str">
        <f t="shared" si="56"/>
        <v>#DIV/0!</v>
      </c>
      <c r="BB53" s="29" t="str">
        <f t="shared" si="56"/>
        <v>#DIV/0!</v>
      </c>
      <c r="BC53" s="29" t="str">
        <f t="shared" si="56"/>
        <v>#DIV/0!</v>
      </c>
      <c r="BD53" s="29" t="str">
        <f t="shared" si="56"/>
        <v>#DIV/0!</v>
      </c>
      <c r="BE53" s="29" t="str">
        <f t="shared" si="56"/>
        <v>#DIV/0!</v>
      </c>
      <c r="BF53" s="29" t="str">
        <f t="shared" si="56"/>
        <v>#DIV/0!</v>
      </c>
      <c r="BG53" s="29" t="str">
        <f t="shared" si="56"/>
        <v>#DIV/0!</v>
      </c>
      <c r="BH53" s="29" t="str">
        <f t="shared" si="56"/>
        <v>#DIV/0!</v>
      </c>
      <c r="BI53" s="29" t="str">
        <f t="shared" si="56"/>
        <v>#DIV/0!</v>
      </c>
      <c r="BJ53" s="29" t="str">
        <f t="shared" si="56"/>
        <v>#DIV/0!</v>
      </c>
      <c r="BK53" s="29" t="str">
        <f t="shared" si="56"/>
        <v>#DIV/0!</v>
      </c>
      <c r="BL53" s="29" t="str">
        <f t="shared" si="56"/>
        <v>#DIV/0!</v>
      </c>
      <c r="BM53" s="29" t="str">
        <f t="shared" si="3"/>
        <v>#DIV/0!</v>
      </c>
    </row>
    <row r="54">
      <c r="A54" s="16" t="str">
        <f>IFERROR(__xludf.DUMMYFUNCTION("IFERROR(SPARKLINE(SORT(MAP(TRANSPOSE(AQ54:BL54), LAMBDA(val, IF(ISNUMBER(val), PERCENTRANK(AQ54:BL54, val)+0.01, 0))), SEQUENCE(COLUMNS(AQ54:BL54)), FALSE), {""charttype"",""column""; ""color"",""chartreuse""; ""ymin"", 0; ""ymax"", 1.01; ""highcolor"", "&amp;"""darkgreen""; ""lowcolor"", ""red""}), """")"),"")</f>
        <v/>
      </c>
      <c r="B54" s="17" t="str">
        <f t="shared" si="4"/>
        <v/>
      </c>
      <c r="C54" s="1" t="s">
        <v>300</v>
      </c>
      <c r="D54" s="30" t="str">
        <f>IFERROR(__xludf.DUMMYFUNCTION("IFERROR(GOOGLEFINANCE(C54, ""NAME""))"),"EPAM Systems Inc")</f>
        <v>EPAM Systems Inc</v>
      </c>
      <c r="E54" s="30" t="s">
        <v>102</v>
      </c>
      <c r="F54" s="33" t="str">
        <f>IFERROR(__xludf.DUMMYFUNCTION("( (GOOGLEFINANCE(C54, ""price"") - Q54) / Q54 ) / (R54 / 100)"),"Loading...")</f>
        <v>Loading...</v>
      </c>
      <c r="G54" s="20" t="str">
        <f>IFERROR(__xludf.DUMMYFUNCTION("AVERAGE(ARRAYFORMULA(100 * (QUERY(GOOGLEFINANCE(C54, ""high"", TODAY()-40, TODAY()), ""SELECT Col2 WHERE Col2 IS NOT NULL ORDER BY Col1 DESC LIMIT 20"", 0) / QUERY(GOOGLEFINANCE(C54, ""low"", TODAY()-40, TODAY()), ""SELECT Col2 WHERE Col2 IS NOT NULL ORDE"&amp;"R BY Col1 DESC LIMIT 20"", 0) - 1)))"),"#N/A")</f>
        <v>#N/A</v>
      </c>
      <c r="H54" s="35" t="str">
        <f t="shared" si="6"/>
        <v/>
      </c>
      <c r="I54" s="36" t="str">
        <f t="shared" si="7"/>
        <v/>
      </c>
      <c r="J54" s="37" t="str">
        <f>IFERROR(__xludf.DUMMYFUNCTION("IFERROR(
  IF(C54="""",, 
    IFERROR(
      GOOGLEFINANCE(C54, ""price"") * GOOGLEFINANCE(C54, ""volumeavg""), 
      GOOGLEFINANCE(C54, ""price"") * AVERAGE(QUERY(GOOGLEFINANCE(C54, ""volume"", TODAY()-40, TODAY()), ""SELECT Col2 WHERE Col2 IS NOT NULL "&amp;"ORDER BY Col1 DESC LIMIT 20"", 0))
    )
  ), 
"""")"),"")</f>
        <v/>
      </c>
      <c r="K54" s="21" t="str">
        <f>IFERROR(__xludf.DUMMYFUNCTION("IFERROR(GOOGLEFINANCE(C54, ""changepct"") / 100, """")"),"")</f>
        <v/>
      </c>
      <c r="L54" s="21" t="str">
        <f>IFERROR(__xludf.DUMMYFUNCTION("IFERROR((GOOGLEFINANCE(C54, ""price"") / INDEX(GOOGLEFINANCE(C54, ""price"", TODAY()-7, TODAY()), 2, 2)) - 1, """")"),"")</f>
        <v/>
      </c>
      <c r="M54" s="21" t="str">
        <f>IFERROR(__xludf.DUMMYFUNCTION("IFERROR((GOOGLEFINANCE(C54, ""price"") / INDEX(GOOGLEFINANCE(C54, ""price"", EDATE(TODAY(), -1), TODAY()), 2, 2)) - 1, """")"),"")</f>
        <v/>
      </c>
      <c r="N54" s="21" t="str">
        <f>IFERROR(__xludf.DUMMYFUNCTION("IFERROR((GOOGLEFINANCE(C54, ""price"") / INDEX(GOOGLEFINANCE(C54, ""price"", EDATE(TODAY(), -3), TODAY()), 2, 2)) - 1, """")"),"")</f>
        <v/>
      </c>
      <c r="O54" s="21" t="str">
        <f>IFERROR(__xludf.DUMMYFUNCTION("IFERROR((GOOGLEFINANCE(C54, ""price"") / INDEX(GOOGLEFINANCE(C54, ""price"", EDATE(TODAY(), -6), TODAY()), 2, 2)) - 1, """")"),"")</f>
        <v/>
      </c>
      <c r="P54" s="21" t="str">
        <f>IFERROR(__xludf.DUMMYFUNCTION("IFERROR((GOOGLEFINANCE(C54, ""price"") / INDEX(GOOGLEFINANCE(C54, ""price"", EDATE(TODAY(), -12), TODAY()), 2, 2)) - 1, """")"),"")</f>
        <v/>
      </c>
      <c r="Q54" s="6" t="str">
        <f>IFERROR(__xludf.DUMMYFUNCTION("AVERAGE(QUERY(GOOGLEFINANCE(C54, ""price"", TODAY()-80, TODAY()), ""SELECT Col2 WHERE Col2 IS NOT NULL ORDER BY Col1 DESC LIMIT 50"", 0))"),"#N/A")</f>
        <v>#N/A</v>
      </c>
      <c r="R54" s="24" t="str">
        <f>IFERROR(__xludf.DUMMYFUNCTION("IFERROR(
  LET(
    data, QUERY(GOOGLEFINANCE(C54,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GOOGLEFINANCE(C54, ""price"")) * 100,
    IF(calc=0, G54, calc)
  ), 
G54)"),"#N/A")</f>
        <v>#N/A</v>
      </c>
      <c r="S54" s="8" t="s">
        <v>15</v>
      </c>
      <c r="T54" s="26" t="str">
        <f>IFERROR(__xludf.DUMMYFUNCTION("IFERROR(TRANSPOSE(QUERY(IFERROR(SORT(GOOGLEFINANCE(C54, ""price"", WORKDAY(TODAY(), -40), TODAY()), 1, FALSE)), ""select Col2 where Col2 is not null limit 22 label Col2 ''"", 0)), """")"),"")</f>
        <v/>
      </c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8"/>
      <c r="AO54" s="28"/>
      <c r="AP54" s="29"/>
      <c r="AQ54" s="29" t="str">
        <f t="shared" ref="AQ54:BL54" si="57">T54/T$2</f>
        <v>#N/A</v>
      </c>
      <c r="AR54" s="29" t="str">
        <f t="shared" si="57"/>
        <v>#DIV/0!</v>
      </c>
      <c r="AS54" s="29" t="str">
        <f t="shared" si="57"/>
        <v>#DIV/0!</v>
      </c>
      <c r="AT54" s="29" t="str">
        <f t="shared" si="57"/>
        <v>#DIV/0!</v>
      </c>
      <c r="AU54" s="29" t="str">
        <f t="shared" si="57"/>
        <v>#DIV/0!</v>
      </c>
      <c r="AV54" s="29" t="str">
        <f t="shared" si="57"/>
        <v>#DIV/0!</v>
      </c>
      <c r="AW54" s="29" t="str">
        <f t="shared" si="57"/>
        <v>#DIV/0!</v>
      </c>
      <c r="AX54" s="29" t="str">
        <f t="shared" si="57"/>
        <v>#DIV/0!</v>
      </c>
      <c r="AY54" s="29" t="str">
        <f t="shared" si="57"/>
        <v>#DIV/0!</v>
      </c>
      <c r="AZ54" s="29" t="str">
        <f t="shared" si="57"/>
        <v>#DIV/0!</v>
      </c>
      <c r="BA54" s="29" t="str">
        <f t="shared" si="57"/>
        <v>#DIV/0!</v>
      </c>
      <c r="BB54" s="29" t="str">
        <f t="shared" si="57"/>
        <v>#DIV/0!</v>
      </c>
      <c r="BC54" s="29" t="str">
        <f t="shared" si="57"/>
        <v>#DIV/0!</v>
      </c>
      <c r="BD54" s="29" t="str">
        <f t="shared" si="57"/>
        <v>#DIV/0!</v>
      </c>
      <c r="BE54" s="29" t="str">
        <f t="shared" si="57"/>
        <v>#DIV/0!</v>
      </c>
      <c r="BF54" s="29" t="str">
        <f t="shared" si="57"/>
        <v>#DIV/0!</v>
      </c>
      <c r="BG54" s="29" t="str">
        <f t="shared" si="57"/>
        <v>#DIV/0!</v>
      </c>
      <c r="BH54" s="29" t="str">
        <f t="shared" si="57"/>
        <v>#DIV/0!</v>
      </c>
      <c r="BI54" s="29" t="str">
        <f t="shared" si="57"/>
        <v>#DIV/0!</v>
      </c>
      <c r="BJ54" s="29" t="str">
        <f t="shared" si="57"/>
        <v>#DIV/0!</v>
      </c>
      <c r="BK54" s="29" t="str">
        <f t="shared" si="57"/>
        <v>#DIV/0!</v>
      </c>
      <c r="BL54" s="29" t="str">
        <f t="shared" si="57"/>
        <v>#DIV/0!</v>
      </c>
      <c r="BM54" s="29" t="str">
        <f t="shared" si="3"/>
        <v>#DIV/0!</v>
      </c>
    </row>
    <row r="55">
      <c r="A55" s="16" t="str">
        <f>IFERROR(__xludf.DUMMYFUNCTION("IFERROR(SPARKLINE(SORT(MAP(TRANSPOSE(AQ55:BL55), LAMBDA(val, IF(ISNUMBER(val), PERCENTRANK(AQ55:BL55, val)+0.01, 0))), SEQUENCE(COLUMNS(AQ55:BL55)), FALSE), {""charttype"",""column""; ""color"",""chartreuse""; ""ymin"", 0; ""ymax"", 1.01; ""highcolor"", "&amp;"""darkgreen""; ""lowcolor"", ""red""}), """")"),"")</f>
        <v/>
      </c>
      <c r="B55" s="17" t="str">
        <f t="shared" si="4"/>
        <v/>
      </c>
      <c r="C55" s="1" t="s">
        <v>304</v>
      </c>
      <c r="D55" s="30" t="str">
        <f>IFERROR(__xludf.DUMMYFUNCTION("IFERROR(GOOGLEFINANCE(C55, ""NAME""))"),"Amplitude Inc")</f>
        <v>Amplitude Inc</v>
      </c>
      <c r="E55" s="30" t="s">
        <v>48</v>
      </c>
      <c r="F55" s="33" t="str">
        <f>IFERROR(__xludf.DUMMYFUNCTION("( (GOOGLEFINANCE(C55, ""price"") - Q55) / Q55 ) / (R55 / 100)"),"Loading...")</f>
        <v>Loading...</v>
      </c>
      <c r="G55" s="20" t="str">
        <f>IFERROR(__xludf.DUMMYFUNCTION("AVERAGE(ARRAYFORMULA(100 * (QUERY(GOOGLEFINANCE(C55, ""high"", TODAY()-40, TODAY()), ""SELECT Col2 WHERE Col2 IS NOT NULL ORDER BY Col1 DESC LIMIT 20"", 0) / QUERY(GOOGLEFINANCE(C55, ""low"", TODAY()-40, TODAY()), ""SELECT Col2 WHERE Col2 IS NOT NULL ORDE"&amp;"R BY Col1 DESC LIMIT 20"", 0) - 1)))"),"#N/A")</f>
        <v>#N/A</v>
      </c>
      <c r="H55" s="35" t="str">
        <f t="shared" si="6"/>
        <v/>
      </c>
      <c r="I55" s="36" t="str">
        <f t="shared" si="7"/>
        <v/>
      </c>
      <c r="J55" s="37" t="str">
        <f>IFERROR(__xludf.DUMMYFUNCTION("IFERROR(
  IF(C55="""",, 
    IFERROR(
      GOOGLEFINANCE(C55, ""price"") * GOOGLEFINANCE(C55, ""volumeavg""), 
      GOOGLEFINANCE(C55, ""price"") * AVERAGE(QUERY(GOOGLEFINANCE(C55, ""volume"", TODAY()-40, TODAY()), ""SELECT Col2 WHERE Col2 IS NOT NULL "&amp;"ORDER BY Col1 DESC LIMIT 20"", 0))
    )
  ), 
"""")"),"")</f>
        <v/>
      </c>
      <c r="K55" s="21" t="str">
        <f>IFERROR(__xludf.DUMMYFUNCTION("IFERROR(GOOGLEFINANCE(C55, ""changepct"") / 100, """")"),"")</f>
        <v/>
      </c>
      <c r="L55" s="21" t="str">
        <f>IFERROR(__xludf.DUMMYFUNCTION("IFERROR((GOOGLEFINANCE(C55, ""price"") / INDEX(GOOGLEFINANCE(C55, ""price"", TODAY()-7, TODAY()), 2, 2)) - 1, """")"),"")</f>
        <v/>
      </c>
      <c r="M55" s="21" t="str">
        <f>IFERROR(__xludf.DUMMYFUNCTION("IFERROR((GOOGLEFINANCE(C55, ""price"") / INDEX(GOOGLEFINANCE(C55, ""price"", EDATE(TODAY(), -1), TODAY()), 2, 2)) - 1, """")"),"")</f>
        <v/>
      </c>
      <c r="N55" s="21" t="str">
        <f>IFERROR(__xludf.DUMMYFUNCTION("IFERROR((GOOGLEFINANCE(C55, ""price"") / INDEX(GOOGLEFINANCE(C55, ""price"", EDATE(TODAY(), -3), TODAY()), 2, 2)) - 1, """")"),"")</f>
        <v/>
      </c>
      <c r="O55" s="21" t="str">
        <f>IFERROR(__xludf.DUMMYFUNCTION("IFERROR((GOOGLEFINANCE(C55, ""price"") / INDEX(GOOGLEFINANCE(C55, ""price"", EDATE(TODAY(), -6), TODAY()), 2, 2)) - 1, """")"),"")</f>
        <v/>
      </c>
      <c r="P55" s="21" t="str">
        <f>IFERROR(__xludf.DUMMYFUNCTION("IFERROR((GOOGLEFINANCE(C55, ""price"") / INDEX(GOOGLEFINANCE(C55, ""price"", EDATE(TODAY(), -12), TODAY()), 2, 2)) - 1, """")"),"")</f>
        <v/>
      </c>
      <c r="Q55" s="6" t="str">
        <f>IFERROR(__xludf.DUMMYFUNCTION("AVERAGE(QUERY(GOOGLEFINANCE(C55, ""price"", TODAY()-80, TODAY()), ""SELECT Col2 WHERE Col2 IS NOT NULL ORDER BY Col1 DESC LIMIT 50"", 0))"),"#N/A")</f>
        <v>#N/A</v>
      </c>
      <c r="R55" s="24" t="str">
        <f>IFERROR(__xludf.DUMMYFUNCTION("IFERROR(
  LET(
    data, QUERY(GOOGLEFINANCE(C55,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GOOGLEFINANCE(C55, ""price"")) * 100,
    IF(calc=0, G55, calc)
  ), 
G55)"),"#N/A")</f>
        <v>#N/A</v>
      </c>
      <c r="S55" s="8" t="s">
        <v>15</v>
      </c>
      <c r="T55" s="26" t="str">
        <f>IFERROR(__xludf.DUMMYFUNCTION("IFERROR(TRANSPOSE(QUERY(IFERROR(SORT(GOOGLEFINANCE(C55, ""price"", WORKDAY(TODAY(), -40), TODAY()), 1, FALSE)), ""select Col2 where Col2 is not null limit 22 label Col2 ''"", 0)), """")"),"")</f>
        <v/>
      </c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8"/>
      <c r="AO55" s="28"/>
      <c r="AP55" s="29"/>
      <c r="AQ55" s="29" t="str">
        <f t="shared" ref="AQ55:BL55" si="58">T55/T$2</f>
        <v>#N/A</v>
      </c>
      <c r="AR55" s="29" t="str">
        <f t="shared" si="58"/>
        <v>#DIV/0!</v>
      </c>
      <c r="AS55" s="29" t="str">
        <f t="shared" si="58"/>
        <v>#DIV/0!</v>
      </c>
      <c r="AT55" s="29" t="str">
        <f t="shared" si="58"/>
        <v>#DIV/0!</v>
      </c>
      <c r="AU55" s="29" t="str">
        <f t="shared" si="58"/>
        <v>#DIV/0!</v>
      </c>
      <c r="AV55" s="29" t="str">
        <f t="shared" si="58"/>
        <v>#DIV/0!</v>
      </c>
      <c r="AW55" s="29" t="str">
        <f t="shared" si="58"/>
        <v>#DIV/0!</v>
      </c>
      <c r="AX55" s="29" t="str">
        <f t="shared" si="58"/>
        <v>#DIV/0!</v>
      </c>
      <c r="AY55" s="29" t="str">
        <f t="shared" si="58"/>
        <v>#DIV/0!</v>
      </c>
      <c r="AZ55" s="29" t="str">
        <f t="shared" si="58"/>
        <v>#DIV/0!</v>
      </c>
      <c r="BA55" s="29" t="str">
        <f t="shared" si="58"/>
        <v>#DIV/0!</v>
      </c>
      <c r="BB55" s="29" t="str">
        <f t="shared" si="58"/>
        <v>#DIV/0!</v>
      </c>
      <c r="BC55" s="29" t="str">
        <f t="shared" si="58"/>
        <v>#DIV/0!</v>
      </c>
      <c r="BD55" s="29" t="str">
        <f t="shared" si="58"/>
        <v>#DIV/0!</v>
      </c>
      <c r="BE55" s="29" t="str">
        <f t="shared" si="58"/>
        <v>#DIV/0!</v>
      </c>
      <c r="BF55" s="29" t="str">
        <f t="shared" si="58"/>
        <v>#DIV/0!</v>
      </c>
      <c r="BG55" s="29" t="str">
        <f t="shared" si="58"/>
        <v>#DIV/0!</v>
      </c>
      <c r="BH55" s="29" t="str">
        <f t="shared" si="58"/>
        <v>#DIV/0!</v>
      </c>
      <c r="BI55" s="29" t="str">
        <f t="shared" si="58"/>
        <v>#DIV/0!</v>
      </c>
      <c r="BJ55" s="29" t="str">
        <f t="shared" si="58"/>
        <v>#DIV/0!</v>
      </c>
      <c r="BK55" s="29" t="str">
        <f t="shared" si="58"/>
        <v>#DIV/0!</v>
      </c>
      <c r="BL55" s="29" t="str">
        <f t="shared" si="58"/>
        <v>#DIV/0!</v>
      </c>
      <c r="BM55" s="29" t="str">
        <f t="shared" si="3"/>
        <v>#DIV/0!</v>
      </c>
    </row>
    <row r="56">
      <c r="A56" s="16" t="str">
        <f>IFERROR(__xludf.DUMMYFUNCTION("IFERROR(SPARKLINE(SORT(MAP(TRANSPOSE(AQ56:BL56), LAMBDA(val, IF(ISNUMBER(val), PERCENTRANK(AQ56:BL56, val)+0.01, 0))), SEQUENCE(COLUMNS(AQ56:BL56)), FALSE), {""charttype"",""column""; ""color"",""chartreuse""; ""ymin"", 0; ""ymax"", 1.01; ""highcolor"", "&amp;"""darkgreen""; ""lowcolor"", ""red""}), """")"),"")</f>
        <v/>
      </c>
      <c r="B56" s="17" t="str">
        <f t="shared" si="4"/>
        <v/>
      </c>
      <c r="C56" s="1" t="s">
        <v>307</v>
      </c>
      <c r="D56" s="30" t="str">
        <f>IFERROR(__xludf.DUMMYFUNCTION("IFERROR(GOOGLEFINANCE(C56, ""NAME""))"),"Toast Inc")</f>
        <v>Toast Inc</v>
      </c>
      <c r="E56" s="30" t="s">
        <v>58</v>
      </c>
      <c r="F56" s="33" t="str">
        <f>IFERROR(__xludf.DUMMYFUNCTION("( (GOOGLEFINANCE(C56, ""price"") - Q56) / Q56 ) / (R56 / 100)"),"Loading...")</f>
        <v>Loading...</v>
      </c>
      <c r="G56" s="20" t="str">
        <f>IFERROR(__xludf.DUMMYFUNCTION("AVERAGE(ARRAYFORMULA(100 * (QUERY(GOOGLEFINANCE(C56, ""high"", TODAY()-40, TODAY()), ""SELECT Col2 WHERE Col2 IS NOT NULL ORDER BY Col1 DESC LIMIT 20"", 0) / QUERY(GOOGLEFINANCE(C56, ""low"", TODAY()-40, TODAY()), ""SELECT Col2 WHERE Col2 IS NOT NULL ORDE"&amp;"R BY Col1 DESC LIMIT 20"", 0) - 1)))"),"#N/A")</f>
        <v>#N/A</v>
      </c>
      <c r="H56" s="35" t="str">
        <f t="shared" si="6"/>
        <v/>
      </c>
      <c r="I56" s="36" t="str">
        <f t="shared" si="7"/>
        <v/>
      </c>
      <c r="J56" s="37" t="str">
        <f>IFERROR(__xludf.DUMMYFUNCTION("IFERROR(
  IF(C56="""",, 
    IFERROR(
      GOOGLEFINANCE(C56, ""price"") * GOOGLEFINANCE(C56, ""volumeavg""), 
      GOOGLEFINANCE(C56, ""price"") * AVERAGE(QUERY(GOOGLEFINANCE(C56, ""volume"", TODAY()-40, TODAY()), ""SELECT Col2 WHERE Col2 IS NOT NULL "&amp;"ORDER BY Col1 DESC LIMIT 20"", 0))
    )
  ), 
"""")"),"")</f>
        <v/>
      </c>
      <c r="K56" s="21" t="str">
        <f>IFERROR(__xludf.DUMMYFUNCTION("IFERROR(GOOGLEFINANCE(C56, ""changepct"") / 100, """")"),"")</f>
        <v/>
      </c>
      <c r="L56" s="21" t="str">
        <f>IFERROR(__xludf.DUMMYFUNCTION("IFERROR((GOOGLEFINANCE(C56, ""price"") / INDEX(GOOGLEFINANCE(C56, ""price"", TODAY()-7, TODAY()), 2, 2)) - 1, """")"),"")</f>
        <v/>
      </c>
      <c r="M56" s="21" t="str">
        <f>IFERROR(__xludf.DUMMYFUNCTION("IFERROR((GOOGLEFINANCE(C56, ""price"") / INDEX(GOOGLEFINANCE(C56, ""price"", EDATE(TODAY(), -1), TODAY()), 2, 2)) - 1, """")"),"")</f>
        <v/>
      </c>
      <c r="N56" s="21" t="str">
        <f>IFERROR(__xludf.DUMMYFUNCTION("IFERROR((GOOGLEFINANCE(C56, ""price"") / INDEX(GOOGLEFINANCE(C56, ""price"", EDATE(TODAY(), -3), TODAY()), 2, 2)) - 1, """")"),"")</f>
        <v/>
      </c>
      <c r="O56" s="21" t="str">
        <f>IFERROR(__xludf.DUMMYFUNCTION("IFERROR((GOOGLEFINANCE(C56, ""price"") / INDEX(GOOGLEFINANCE(C56, ""price"", EDATE(TODAY(), -6), TODAY()), 2, 2)) - 1, """")"),"")</f>
        <v/>
      </c>
      <c r="P56" s="21" t="str">
        <f>IFERROR(__xludf.DUMMYFUNCTION("IFERROR((GOOGLEFINANCE(C56, ""price"") / INDEX(GOOGLEFINANCE(C56, ""price"", EDATE(TODAY(), -12), TODAY()), 2, 2)) - 1, """")"),"")</f>
        <v/>
      </c>
      <c r="Q56" s="6" t="str">
        <f>IFERROR(__xludf.DUMMYFUNCTION("AVERAGE(QUERY(GOOGLEFINANCE(C56, ""price"", TODAY()-80, TODAY()), ""SELECT Col2 WHERE Col2 IS NOT NULL ORDER BY Col1 DESC LIMIT 50"", 0))"),"#N/A")</f>
        <v>#N/A</v>
      </c>
      <c r="R56" s="24" t="str">
        <f>IFERROR(__xludf.DUMMYFUNCTION("IFERROR(
  LET(
    data, QUERY(GOOGLEFINANCE(C56,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GOOGLEFINANCE(C56, ""price"")) * 100,
    IF(calc=0, G56, calc)
  ), 
G56)"),"#N/A")</f>
        <v>#N/A</v>
      </c>
      <c r="S56" s="8" t="s">
        <v>15</v>
      </c>
      <c r="T56" s="26" t="str">
        <f>IFERROR(__xludf.DUMMYFUNCTION("IFERROR(TRANSPOSE(QUERY(IFERROR(SORT(GOOGLEFINANCE(C56, ""price"", WORKDAY(TODAY(), -40), TODAY()), 1, FALSE)), ""select Col2 where Col2 is not null limit 22 label Col2 ''"", 0)), """")"),"")</f>
        <v/>
      </c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8"/>
      <c r="AO56" s="28"/>
      <c r="AP56" s="29"/>
      <c r="AQ56" s="29" t="str">
        <f t="shared" ref="AQ56:BL56" si="59">T56/T$2</f>
        <v>#N/A</v>
      </c>
      <c r="AR56" s="29" t="str">
        <f t="shared" si="59"/>
        <v>#DIV/0!</v>
      </c>
      <c r="AS56" s="29" t="str">
        <f t="shared" si="59"/>
        <v>#DIV/0!</v>
      </c>
      <c r="AT56" s="29" t="str">
        <f t="shared" si="59"/>
        <v>#DIV/0!</v>
      </c>
      <c r="AU56" s="29" t="str">
        <f t="shared" si="59"/>
        <v>#DIV/0!</v>
      </c>
      <c r="AV56" s="29" t="str">
        <f t="shared" si="59"/>
        <v>#DIV/0!</v>
      </c>
      <c r="AW56" s="29" t="str">
        <f t="shared" si="59"/>
        <v>#DIV/0!</v>
      </c>
      <c r="AX56" s="29" t="str">
        <f t="shared" si="59"/>
        <v>#DIV/0!</v>
      </c>
      <c r="AY56" s="29" t="str">
        <f t="shared" si="59"/>
        <v>#DIV/0!</v>
      </c>
      <c r="AZ56" s="29" t="str">
        <f t="shared" si="59"/>
        <v>#DIV/0!</v>
      </c>
      <c r="BA56" s="29" t="str">
        <f t="shared" si="59"/>
        <v>#DIV/0!</v>
      </c>
      <c r="BB56" s="29" t="str">
        <f t="shared" si="59"/>
        <v>#DIV/0!</v>
      </c>
      <c r="BC56" s="29" t="str">
        <f t="shared" si="59"/>
        <v>#DIV/0!</v>
      </c>
      <c r="BD56" s="29" t="str">
        <f t="shared" si="59"/>
        <v>#DIV/0!</v>
      </c>
      <c r="BE56" s="29" t="str">
        <f t="shared" si="59"/>
        <v>#DIV/0!</v>
      </c>
      <c r="BF56" s="29" t="str">
        <f t="shared" si="59"/>
        <v>#DIV/0!</v>
      </c>
      <c r="BG56" s="29" t="str">
        <f t="shared" si="59"/>
        <v>#DIV/0!</v>
      </c>
      <c r="BH56" s="29" t="str">
        <f t="shared" si="59"/>
        <v>#DIV/0!</v>
      </c>
      <c r="BI56" s="29" t="str">
        <f t="shared" si="59"/>
        <v>#DIV/0!</v>
      </c>
      <c r="BJ56" s="29" t="str">
        <f t="shared" si="59"/>
        <v>#DIV/0!</v>
      </c>
      <c r="BK56" s="29" t="str">
        <f t="shared" si="59"/>
        <v>#DIV/0!</v>
      </c>
      <c r="BL56" s="29" t="str">
        <f t="shared" si="59"/>
        <v>#DIV/0!</v>
      </c>
      <c r="BM56" s="29" t="str">
        <f t="shared" si="3"/>
        <v>#DIV/0!</v>
      </c>
    </row>
    <row r="57">
      <c r="A57" s="16" t="str">
        <f>IFERROR(__xludf.DUMMYFUNCTION("IFERROR(SPARKLINE(SORT(MAP(TRANSPOSE(AQ57:BL57), LAMBDA(val, IF(ISNUMBER(val), PERCENTRANK(AQ57:BL57, val)+0.01, 0))), SEQUENCE(COLUMNS(AQ57:BL57)), FALSE), {""charttype"",""column""; ""color"",""chartreuse""; ""ymin"", 0; ""ymax"", 1.01; ""highcolor"", "&amp;"""darkgreen""; ""lowcolor"", ""red""}), """")"),"")</f>
        <v/>
      </c>
      <c r="B57" s="17" t="str">
        <f t="shared" si="4"/>
        <v/>
      </c>
      <c r="C57" s="1" t="s">
        <v>312</v>
      </c>
      <c r="D57" s="30" t="str">
        <f>IFERROR(__xludf.DUMMYFUNCTION("IFERROR(GOOGLEFINANCE(C57, ""NAME""))"),"Fidelity National Information Servcs Inc")</f>
        <v>Fidelity National Information Servcs Inc</v>
      </c>
      <c r="E57" s="30" t="s">
        <v>102</v>
      </c>
      <c r="F57" s="33" t="str">
        <f>IFERROR(__xludf.DUMMYFUNCTION("( (GOOGLEFINANCE(C57, ""price"") - Q57) / Q57 ) / (R57 / 100)"),"Loading...")</f>
        <v>Loading...</v>
      </c>
      <c r="G57" s="20" t="str">
        <f>IFERROR(__xludf.DUMMYFUNCTION("AVERAGE(ARRAYFORMULA(100 * (QUERY(GOOGLEFINANCE(C57, ""high"", TODAY()-40, TODAY()), ""SELECT Col2 WHERE Col2 IS NOT NULL ORDER BY Col1 DESC LIMIT 20"", 0) / QUERY(GOOGLEFINANCE(C57, ""low"", TODAY()-40, TODAY()), ""SELECT Col2 WHERE Col2 IS NOT NULL ORDE"&amp;"R BY Col1 DESC LIMIT 20"", 0) - 1)))"),"#N/A")</f>
        <v>#N/A</v>
      </c>
      <c r="H57" s="35" t="str">
        <f t="shared" si="6"/>
        <v/>
      </c>
      <c r="I57" s="36" t="str">
        <f t="shared" si="7"/>
        <v/>
      </c>
      <c r="J57" s="37" t="str">
        <f>IFERROR(__xludf.DUMMYFUNCTION("IFERROR(
  IF(C57="""",, 
    IFERROR(
      GOOGLEFINANCE(C57, ""price"") * GOOGLEFINANCE(C57, ""volumeavg""), 
      GOOGLEFINANCE(C57, ""price"") * AVERAGE(QUERY(GOOGLEFINANCE(C57, ""volume"", TODAY()-40, TODAY()), ""SELECT Col2 WHERE Col2 IS NOT NULL "&amp;"ORDER BY Col1 DESC LIMIT 20"", 0))
    )
  ), 
"""")"),"")</f>
        <v/>
      </c>
      <c r="K57" s="21" t="str">
        <f>IFERROR(__xludf.DUMMYFUNCTION("IFERROR(GOOGLEFINANCE(C57, ""changepct"") / 100, """")"),"")</f>
        <v/>
      </c>
      <c r="L57" s="21" t="str">
        <f>IFERROR(__xludf.DUMMYFUNCTION("IFERROR((GOOGLEFINANCE(C57, ""price"") / INDEX(GOOGLEFINANCE(C57, ""price"", TODAY()-7, TODAY()), 2, 2)) - 1, """")"),"")</f>
        <v/>
      </c>
      <c r="M57" s="21" t="str">
        <f>IFERROR(__xludf.DUMMYFUNCTION("IFERROR((GOOGLEFINANCE(C57, ""price"") / INDEX(GOOGLEFINANCE(C57, ""price"", EDATE(TODAY(), -1), TODAY()), 2, 2)) - 1, """")"),"")</f>
        <v/>
      </c>
      <c r="N57" s="21" t="str">
        <f>IFERROR(__xludf.DUMMYFUNCTION("IFERROR((GOOGLEFINANCE(C57, ""price"") / INDEX(GOOGLEFINANCE(C57, ""price"", EDATE(TODAY(), -3), TODAY()), 2, 2)) - 1, """")"),"")</f>
        <v/>
      </c>
      <c r="O57" s="21" t="str">
        <f>IFERROR(__xludf.DUMMYFUNCTION("IFERROR((GOOGLEFINANCE(C57, ""price"") / INDEX(GOOGLEFINANCE(C57, ""price"", EDATE(TODAY(), -6), TODAY()), 2, 2)) - 1, """")"),"")</f>
        <v/>
      </c>
      <c r="P57" s="21" t="str">
        <f>IFERROR(__xludf.DUMMYFUNCTION("IFERROR((GOOGLEFINANCE(C57, ""price"") / INDEX(GOOGLEFINANCE(C57, ""price"", EDATE(TODAY(), -12), TODAY()), 2, 2)) - 1, """")"),"")</f>
        <v/>
      </c>
      <c r="Q57" s="6" t="str">
        <f>IFERROR(__xludf.DUMMYFUNCTION("AVERAGE(QUERY(GOOGLEFINANCE(C57, ""price"", TODAY()-80, TODAY()), ""SELECT Col2 WHERE Col2 IS NOT NULL ORDER BY Col1 DESC LIMIT 50"", 0))"),"#N/A")</f>
        <v>#N/A</v>
      </c>
      <c r="R57" s="24" t="str">
        <f>IFERROR(__xludf.DUMMYFUNCTION("IFERROR(
  LET(
    data, QUERY(GOOGLEFINANCE(C57,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GOOGLEFINANCE(C57, ""price"")) * 100,
    IF(calc=0, G57, calc)
  ), 
G57)"),"#N/A")</f>
        <v>#N/A</v>
      </c>
      <c r="S57" s="8" t="s">
        <v>15</v>
      </c>
      <c r="T57" s="26" t="str">
        <f>IFERROR(__xludf.DUMMYFUNCTION("IFERROR(TRANSPOSE(QUERY(IFERROR(SORT(GOOGLEFINANCE(C57, ""price"", WORKDAY(TODAY(), -40), TODAY()), 1, FALSE)), ""select Col2 where Col2 is not null limit 22 label Col2 ''"", 0)), """")"),"")</f>
        <v/>
      </c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8"/>
      <c r="AO57" s="28"/>
      <c r="AP57" s="29"/>
      <c r="AQ57" s="29" t="str">
        <f t="shared" ref="AQ57:BL57" si="60">T57/T$2</f>
        <v>#N/A</v>
      </c>
      <c r="AR57" s="29" t="str">
        <f t="shared" si="60"/>
        <v>#DIV/0!</v>
      </c>
      <c r="AS57" s="29" t="str">
        <f t="shared" si="60"/>
        <v>#DIV/0!</v>
      </c>
      <c r="AT57" s="29" t="str">
        <f t="shared" si="60"/>
        <v>#DIV/0!</v>
      </c>
      <c r="AU57" s="29" t="str">
        <f t="shared" si="60"/>
        <v>#DIV/0!</v>
      </c>
      <c r="AV57" s="29" t="str">
        <f t="shared" si="60"/>
        <v>#DIV/0!</v>
      </c>
      <c r="AW57" s="29" t="str">
        <f t="shared" si="60"/>
        <v>#DIV/0!</v>
      </c>
      <c r="AX57" s="29" t="str">
        <f t="shared" si="60"/>
        <v>#DIV/0!</v>
      </c>
      <c r="AY57" s="29" t="str">
        <f t="shared" si="60"/>
        <v>#DIV/0!</v>
      </c>
      <c r="AZ57" s="29" t="str">
        <f t="shared" si="60"/>
        <v>#DIV/0!</v>
      </c>
      <c r="BA57" s="29" t="str">
        <f t="shared" si="60"/>
        <v>#DIV/0!</v>
      </c>
      <c r="BB57" s="29" t="str">
        <f t="shared" si="60"/>
        <v>#DIV/0!</v>
      </c>
      <c r="BC57" s="29" t="str">
        <f t="shared" si="60"/>
        <v>#DIV/0!</v>
      </c>
      <c r="BD57" s="29" t="str">
        <f t="shared" si="60"/>
        <v>#DIV/0!</v>
      </c>
      <c r="BE57" s="29" t="str">
        <f t="shared" si="60"/>
        <v>#DIV/0!</v>
      </c>
      <c r="BF57" s="29" t="str">
        <f t="shared" si="60"/>
        <v>#DIV/0!</v>
      </c>
      <c r="BG57" s="29" t="str">
        <f t="shared" si="60"/>
        <v>#DIV/0!</v>
      </c>
      <c r="BH57" s="29" t="str">
        <f t="shared" si="60"/>
        <v>#DIV/0!</v>
      </c>
      <c r="BI57" s="29" t="str">
        <f t="shared" si="60"/>
        <v>#DIV/0!</v>
      </c>
      <c r="BJ57" s="29" t="str">
        <f t="shared" si="60"/>
        <v>#DIV/0!</v>
      </c>
      <c r="BK57" s="29" t="str">
        <f t="shared" si="60"/>
        <v>#DIV/0!</v>
      </c>
      <c r="BL57" s="29" t="str">
        <f t="shared" si="60"/>
        <v>#DIV/0!</v>
      </c>
      <c r="BM57" s="29" t="str">
        <f t="shared" si="3"/>
        <v>#DIV/0!</v>
      </c>
    </row>
    <row r="58">
      <c r="A58" s="16" t="str">
        <f>IFERROR(__xludf.DUMMYFUNCTION("IFERROR(SPARKLINE(SORT(MAP(TRANSPOSE(AQ58:BL58), LAMBDA(val, IF(ISNUMBER(val), PERCENTRANK(AQ58:BL58, val)+0.01, 0))), SEQUENCE(COLUMNS(AQ58:BL58)), FALSE), {""charttype"",""column""; ""color"",""chartreuse""; ""ymin"", 0; ""ymax"", 1.01; ""highcolor"", "&amp;"""darkgreen""; ""lowcolor"", ""red""}), """")"),"")</f>
        <v/>
      </c>
      <c r="B58" s="17" t="str">
        <f t="shared" si="4"/>
        <v/>
      </c>
      <c r="C58" s="1" t="s">
        <v>315</v>
      </c>
      <c r="D58" s="30" t="str">
        <f>IFERROR(__xludf.DUMMYFUNCTION("IFERROR(GOOGLEFINANCE(C58, ""NAME""))"),"Docusign Inc")</f>
        <v>Docusign Inc</v>
      </c>
      <c r="E58" s="30" t="s">
        <v>48</v>
      </c>
      <c r="F58" s="33" t="str">
        <f>IFERROR(__xludf.DUMMYFUNCTION("( (GOOGLEFINANCE(C58, ""price"") - Q58) / Q58 ) / (R58 / 100)"),"Loading...")</f>
        <v>Loading...</v>
      </c>
      <c r="G58" s="20" t="str">
        <f>IFERROR(__xludf.DUMMYFUNCTION("AVERAGE(ARRAYFORMULA(100 * (QUERY(GOOGLEFINANCE(C58, ""high"", TODAY()-40, TODAY()), ""SELECT Col2 WHERE Col2 IS NOT NULL ORDER BY Col1 DESC LIMIT 20"", 0) / QUERY(GOOGLEFINANCE(C58, ""low"", TODAY()-40, TODAY()), ""SELECT Col2 WHERE Col2 IS NOT NULL ORDE"&amp;"R BY Col1 DESC LIMIT 20"", 0) - 1)))"),"#N/A")</f>
        <v>#N/A</v>
      </c>
      <c r="H58" s="35" t="str">
        <f t="shared" si="6"/>
        <v/>
      </c>
      <c r="I58" s="36" t="str">
        <f t="shared" si="7"/>
        <v/>
      </c>
      <c r="J58" s="37" t="str">
        <f>IFERROR(__xludf.DUMMYFUNCTION("IFERROR(
  IF(C58="""",, 
    IFERROR(
      GOOGLEFINANCE(C58, ""price"") * GOOGLEFINANCE(C58, ""volumeavg""), 
      GOOGLEFINANCE(C58, ""price"") * AVERAGE(QUERY(GOOGLEFINANCE(C58, ""volume"", TODAY()-40, TODAY()), ""SELECT Col2 WHERE Col2 IS NOT NULL "&amp;"ORDER BY Col1 DESC LIMIT 20"", 0))
    )
  ), 
"""")"),"")</f>
        <v/>
      </c>
      <c r="K58" s="21" t="str">
        <f>IFERROR(__xludf.DUMMYFUNCTION("IFERROR(GOOGLEFINANCE(C58, ""changepct"") / 100, """")"),"")</f>
        <v/>
      </c>
      <c r="L58" s="21" t="str">
        <f>IFERROR(__xludf.DUMMYFUNCTION("IFERROR((GOOGLEFINANCE(C58, ""price"") / INDEX(GOOGLEFINANCE(C58, ""price"", TODAY()-7, TODAY()), 2, 2)) - 1, """")"),"")</f>
        <v/>
      </c>
      <c r="M58" s="21" t="str">
        <f>IFERROR(__xludf.DUMMYFUNCTION("IFERROR((GOOGLEFINANCE(C58, ""price"") / INDEX(GOOGLEFINANCE(C58, ""price"", EDATE(TODAY(), -1), TODAY()), 2, 2)) - 1, """")"),"")</f>
        <v/>
      </c>
      <c r="N58" s="21" t="str">
        <f>IFERROR(__xludf.DUMMYFUNCTION("IFERROR((GOOGLEFINANCE(C58, ""price"") / INDEX(GOOGLEFINANCE(C58, ""price"", EDATE(TODAY(), -3), TODAY()), 2, 2)) - 1, """")"),"")</f>
        <v/>
      </c>
      <c r="O58" s="21" t="str">
        <f>IFERROR(__xludf.DUMMYFUNCTION("IFERROR((GOOGLEFINANCE(C58, ""price"") / INDEX(GOOGLEFINANCE(C58, ""price"", EDATE(TODAY(), -6), TODAY()), 2, 2)) - 1, """")"),"")</f>
        <v/>
      </c>
      <c r="P58" s="21" t="str">
        <f>IFERROR(__xludf.DUMMYFUNCTION("IFERROR((GOOGLEFINANCE(C58, ""price"") / INDEX(GOOGLEFINANCE(C58, ""price"", EDATE(TODAY(), -12), TODAY()), 2, 2)) - 1, """")"),"")</f>
        <v/>
      </c>
      <c r="Q58" s="6" t="str">
        <f>IFERROR(__xludf.DUMMYFUNCTION("AVERAGE(QUERY(GOOGLEFINANCE(C58, ""price"", TODAY()-80, TODAY()), ""SELECT Col2 WHERE Col2 IS NOT NULL ORDER BY Col1 DESC LIMIT 50"", 0))"),"#N/A")</f>
        <v>#N/A</v>
      </c>
      <c r="R58" s="24" t="str">
        <f>IFERROR(__xludf.DUMMYFUNCTION("IFERROR(
  LET(
    data, QUERY(GOOGLEFINANCE(C58,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GOOGLEFINANCE(C58, ""price"")) * 100,
    IF(calc=0, G58, calc)
  ), 
G58)"),"#N/A")</f>
        <v>#N/A</v>
      </c>
      <c r="S58" s="8" t="s">
        <v>15</v>
      </c>
      <c r="T58" s="26" t="str">
        <f>IFERROR(__xludf.DUMMYFUNCTION("IFERROR(TRANSPOSE(QUERY(IFERROR(SORT(GOOGLEFINANCE(C58, ""price"", WORKDAY(TODAY(), -40), TODAY()), 1, FALSE)), ""select Col2 where Col2 is not null limit 22 label Col2 ''"", 0)), """")"),"")</f>
        <v/>
      </c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8"/>
      <c r="AO58" s="28"/>
      <c r="AP58" s="29"/>
      <c r="AQ58" s="29" t="str">
        <f t="shared" ref="AQ58:BL58" si="61">T58/T$2</f>
        <v>#N/A</v>
      </c>
      <c r="AR58" s="29" t="str">
        <f t="shared" si="61"/>
        <v>#DIV/0!</v>
      </c>
      <c r="AS58" s="29" t="str">
        <f t="shared" si="61"/>
        <v>#DIV/0!</v>
      </c>
      <c r="AT58" s="29" t="str">
        <f t="shared" si="61"/>
        <v>#DIV/0!</v>
      </c>
      <c r="AU58" s="29" t="str">
        <f t="shared" si="61"/>
        <v>#DIV/0!</v>
      </c>
      <c r="AV58" s="29" t="str">
        <f t="shared" si="61"/>
        <v>#DIV/0!</v>
      </c>
      <c r="AW58" s="29" t="str">
        <f t="shared" si="61"/>
        <v>#DIV/0!</v>
      </c>
      <c r="AX58" s="29" t="str">
        <f t="shared" si="61"/>
        <v>#DIV/0!</v>
      </c>
      <c r="AY58" s="29" t="str">
        <f t="shared" si="61"/>
        <v>#DIV/0!</v>
      </c>
      <c r="AZ58" s="29" t="str">
        <f t="shared" si="61"/>
        <v>#DIV/0!</v>
      </c>
      <c r="BA58" s="29" t="str">
        <f t="shared" si="61"/>
        <v>#DIV/0!</v>
      </c>
      <c r="BB58" s="29" t="str">
        <f t="shared" si="61"/>
        <v>#DIV/0!</v>
      </c>
      <c r="BC58" s="29" t="str">
        <f t="shared" si="61"/>
        <v>#DIV/0!</v>
      </c>
      <c r="BD58" s="29" t="str">
        <f t="shared" si="61"/>
        <v>#DIV/0!</v>
      </c>
      <c r="BE58" s="29" t="str">
        <f t="shared" si="61"/>
        <v>#DIV/0!</v>
      </c>
      <c r="BF58" s="29" t="str">
        <f t="shared" si="61"/>
        <v>#DIV/0!</v>
      </c>
      <c r="BG58" s="29" t="str">
        <f t="shared" si="61"/>
        <v>#DIV/0!</v>
      </c>
      <c r="BH58" s="29" t="str">
        <f t="shared" si="61"/>
        <v>#DIV/0!</v>
      </c>
      <c r="BI58" s="29" t="str">
        <f t="shared" si="61"/>
        <v>#DIV/0!</v>
      </c>
      <c r="BJ58" s="29" t="str">
        <f t="shared" si="61"/>
        <v>#DIV/0!</v>
      </c>
      <c r="BK58" s="29" t="str">
        <f t="shared" si="61"/>
        <v>#DIV/0!</v>
      </c>
      <c r="BL58" s="29" t="str">
        <f t="shared" si="61"/>
        <v>#DIV/0!</v>
      </c>
      <c r="BM58" s="29" t="str">
        <f t="shared" si="3"/>
        <v>#DIV/0!</v>
      </c>
    </row>
    <row r="59">
      <c r="A59" s="16" t="str">
        <f>IFERROR(__xludf.DUMMYFUNCTION("IFERROR(SPARKLINE(SORT(MAP(TRANSPOSE(AQ59:BL59), LAMBDA(val, IF(ISNUMBER(val), PERCENTRANK(AQ59:BL59, val)+0.01, 0))), SEQUENCE(COLUMNS(AQ59:BL59)), FALSE), {""charttype"",""column""; ""color"",""chartreuse""; ""ymin"", 0; ""ymax"", 1.01; ""highcolor"", "&amp;"""darkgreen""; ""lowcolor"", ""red""}), """")"),"")</f>
        <v/>
      </c>
      <c r="B59" s="17" t="str">
        <f t="shared" si="4"/>
        <v/>
      </c>
      <c r="C59" s="1" t="s">
        <v>320</v>
      </c>
      <c r="D59" s="30" t="str">
        <f>IFERROR(__xludf.DUMMYFUNCTION("IFERROR(GOOGLEFINANCE(C59, ""NAME""))"),"Sportradar Group AG")</f>
        <v>Sportradar Group AG</v>
      </c>
      <c r="E59" s="30" t="s">
        <v>48</v>
      </c>
      <c r="F59" s="33" t="str">
        <f>IFERROR(__xludf.DUMMYFUNCTION("( (GOOGLEFINANCE(C59, ""price"") - Q59) / Q59 ) / (R59 / 100)"),"Loading...")</f>
        <v>Loading...</v>
      </c>
      <c r="G59" s="20" t="str">
        <f>IFERROR(__xludf.DUMMYFUNCTION("AVERAGE(ARRAYFORMULA(100 * (QUERY(GOOGLEFINANCE(C59, ""high"", TODAY()-40, TODAY()), ""SELECT Col2 WHERE Col2 IS NOT NULL ORDER BY Col1 DESC LIMIT 20"", 0) / QUERY(GOOGLEFINANCE(C59, ""low"", TODAY()-40, TODAY()), ""SELECT Col2 WHERE Col2 IS NOT NULL ORDE"&amp;"R BY Col1 DESC LIMIT 20"", 0) - 1)))"),"#N/A")</f>
        <v>#N/A</v>
      </c>
      <c r="H59" s="35" t="str">
        <f t="shared" si="6"/>
        <v/>
      </c>
      <c r="I59" s="36" t="str">
        <f t="shared" si="7"/>
        <v/>
      </c>
      <c r="J59" s="37" t="str">
        <f>IFERROR(__xludf.DUMMYFUNCTION("IFERROR(
  IF(C59="""",, 
    IFERROR(
      GOOGLEFINANCE(C59, ""price"") * GOOGLEFINANCE(C59, ""volumeavg""), 
      GOOGLEFINANCE(C59, ""price"") * AVERAGE(QUERY(GOOGLEFINANCE(C59, ""volume"", TODAY()-40, TODAY()), ""SELECT Col2 WHERE Col2 IS NOT NULL "&amp;"ORDER BY Col1 DESC LIMIT 20"", 0))
    )
  ), 
"""")"),"")</f>
        <v/>
      </c>
      <c r="K59" s="21" t="str">
        <f>IFERROR(__xludf.DUMMYFUNCTION("IFERROR(GOOGLEFINANCE(C59, ""changepct"") / 100, """")"),"")</f>
        <v/>
      </c>
      <c r="L59" s="21" t="str">
        <f>IFERROR(__xludf.DUMMYFUNCTION("IFERROR((GOOGLEFINANCE(C59, ""price"") / INDEX(GOOGLEFINANCE(C59, ""price"", TODAY()-7, TODAY()), 2, 2)) - 1, """")"),"")</f>
        <v/>
      </c>
      <c r="M59" s="21" t="str">
        <f>IFERROR(__xludf.DUMMYFUNCTION("IFERROR((GOOGLEFINANCE(C59, ""price"") / INDEX(GOOGLEFINANCE(C59, ""price"", EDATE(TODAY(), -1), TODAY()), 2, 2)) - 1, """")"),"")</f>
        <v/>
      </c>
      <c r="N59" s="21" t="str">
        <f>IFERROR(__xludf.DUMMYFUNCTION("IFERROR((GOOGLEFINANCE(C59, ""price"") / INDEX(GOOGLEFINANCE(C59, ""price"", EDATE(TODAY(), -3), TODAY()), 2, 2)) - 1, """")"),"")</f>
        <v/>
      </c>
      <c r="O59" s="21" t="str">
        <f>IFERROR(__xludf.DUMMYFUNCTION("IFERROR((GOOGLEFINANCE(C59, ""price"") / INDEX(GOOGLEFINANCE(C59, ""price"", EDATE(TODAY(), -6), TODAY()), 2, 2)) - 1, """")"),"")</f>
        <v/>
      </c>
      <c r="P59" s="21" t="str">
        <f>IFERROR(__xludf.DUMMYFUNCTION("IFERROR((GOOGLEFINANCE(C59, ""price"") / INDEX(GOOGLEFINANCE(C59, ""price"", EDATE(TODAY(), -12), TODAY()), 2, 2)) - 1, """")"),"")</f>
        <v/>
      </c>
      <c r="Q59" s="6" t="str">
        <f>IFERROR(__xludf.DUMMYFUNCTION("AVERAGE(QUERY(GOOGLEFINANCE(C59, ""price"", TODAY()-80, TODAY()), ""SELECT Col2 WHERE Col2 IS NOT NULL ORDER BY Col1 DESC LIMIT 50"", 0))"),"#N/A")</f>
        <v>#N/A</v>
      </c>
      <c r="R59" s="24" t="str">
        <f>IFERROR(__xludf.DUMMYFUNCTION("IFERROR(
  LET(
    data, QUERY(GOOGLEFINANCE(C59,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GOOGLEFINANCE(C59, ""price"")) * 100,
    IF(calc=0, G59, calc)
  ), 
G59)"),"#N/A")</f>
        <v>#N/A</v>
      </c>
      <c r="S59" s="8" t="s">
        <v>15</v>
      </c>
      <c r="T59" s="26" t="str">
        <f>IFERROR(__xludf.DUMMYFUNCTION("IFERROR(TRANSPOSE(QUERY(IFERROR(SORT(GOOGLEFINANCE(C59, ""price"", WORKDAY(TODAY(), -40), TODAY()), 1, FALSE)), ""select Col2 where Col2 is not null limit 22 label Col2 ''"", 0)), """")"),"")</f>
        <v/>
      </c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8"/>
      <c r="AO59" s="28"/>
      <c r="AP59" s="29"/>
      <c r="AQ59" s="29" t="str">
        <f t="shared" ref="AQ59:BL59" si="62">T59/T$2</f>
        <v>#N/A</v>
      </c>
      <c r="AR59" s="29" t="str">
        <f t="shared" si="62"/>
        <v>#DIV/0!</v>
      </c>
      <c r="AS59" s="29" t="str">
        <f t="shared" si="62"/>
        <v>#DIV/0!</v>
      </c>
      <c r="AT59" s="29" t="str">
        <f t="shared" si="62"/>
        <v>#DIV/0!</v>
      </c>
      <c r="AU59" s="29" t="str">
        <f t="shared" si="62"/>
        <v>#DIV/0!</v>
      </c>
      <c r="AV59" s="29" t="str">
        <f t="shared" si="62"/>
        <v>#DIV/0!</v>
      </c>
      <c r="AW59" s="29" t="str">
        <f t="shared" si="62"/>
        <v>#DIV/0!</v>
      </c>
      <c r="AX59" s="29" t="str">
        <f t="shared" si="62"/>
        <v>#DIV/0!</v>
      </c>
      <c r="AY59" s="29" t="str">
        <f t="shared" si="62"/>
        <v>#DIV/0!</v>
      </c>
      <c r="AZ59" s="29" t="str">
        <f t="shared" si="62"/>
        <v>#DIV/0!</v>
      </c>
      <c r="BA59" s="29" t="str">
        <f t="shared" si="62"/>
        <v>#DIV/0!</v>
      </c>
      <c r="BB59" s="29" t="str">
        <f t="shared" si="62"/>
        <v>#DIV/0!</v>
      </c>
      <c r="BC59" s="29" t="str">
        <f t="shared" si="62"/>
        <v>#DIV/0!</v>
      </c>
      <c r="BD59" s="29" t="str">
        <f t="shared" si="62"/>
        <v>#DIV/0!</v>
      </c>
      <c r="BE59" s="29" t="str">
        <f t="shared" si="62"/>
        <v>#DIV/0!</v>
      </c>
      <c r="BF59" s="29" t="str">
        <f t="shared" si="62"/>
        <v>#DIV/0!</v>
      </c>
      <c r="BG59" s="29" t="str">
        <f t="shared" si="62"/>
        <v>#DIV/0!</v>
      </c>
      <c r="BH59" s="29" t="str">
        <f t="shared" si="62"/>
        <v>#DIV/0!</v>
      </c>
      <c r="BI59" s="29" t="str">
        <f t="shared" si="62"/>
        <v>#DIV/0!</v>
      </c>
      <c r="BJ59" s="29" t="str">
        <f t="shared" si="62"/>
        <v>#DIV/0!</v>
      </c>
      <c r="BK59" s="29" t="str">
        <f t="shared" si="62"/>
        <v>#DIV/0!</v>
      </c>
      <c r="BL59" s="29" t="str">
        <f t="shared" si="62"/>
        <v>#DIV/0!</v>
      </c>
      <c r="BM59" s="29" t="str">
        <f t="shared" si="3"/>
        <v>#DIV/0!</v>
      </c>
    </row>
    <row r="60">
      <c r="A60" s="16" t="str">
        <f>IFERROR(__xludf.DUMMYFUNCTION("IFERROR(SPARKLINE(SORT(MAP(TRANSPOSE(AQ60:BL60), LAMBDA(val, IF(ISNUMBER(val), PERCENTRANK(AQ60:BL60, val)+0.01, 0))), SEQUENCE(COLUMNS(AQ60:BL60)), FALSE), {""charttype"",""column""; ""color"",""chartreuse""; ""ymin"", 0; ""ymax"", 1.01; ""highcolor"", "&amp;"""darkgreen""; ""lowcolor"", ""red""}), """")"),"")</f>
        <v/>
      </c>
      <c r="B60" s="17" t="str">
        <f t="shared" si="4"/>
        <v/>
      </c>
      <c r="C60" s="1" t="s">
        <v>323</v>
      </c>
      <c r="D60" s="30" t="str">
        <f>IFERROR(__xludf.DUMMYFUNCTION("IFERROR(GOOGLEFINANCE(C60, ""NAME""))"),"AvePoint, Inc.")</f>
        <v>AvePoint, Inc.</v>
      </c>
      <c r="E60" s="30" t="s">
        <v>58</v>
      </c>
      <c r="F60" s="33" t="str">
        <f>IFERROR(__xludf.DUMMYFUNCTION("( (GOOGLEFINANCE(C60, ""price"") - Q60) / Q60 ) / (R60 / 100)"),"Loading...")</f>
        <v>Loading...</v>
      </c>
      <c r="G60" s="20" t="str">
        <f>IFERROR(__xludf.DUMMYFUNCTION("AVERAGE(ARRAYFORMULA(100 * (QUERY(GOOGLEFINANCE(C60, ""high"", TODAY()-40, TODAY()), ""SELECT Col2 WHERE Col2 IS NOT NULL ORDER BY Col1 DESC LIMIT 20"", 0) / QUERY(GOOGLEFINANCE(C60, ""low"", TODAY()-40, TODAY()), ""SELECT Col2 WHERE Col2 IS NOT NULL ORDE"&amp;"R BY Col1 DESC LIMIT 20"", 0) - 1)))"),"#N/A")</f>
        <v>#N/A</v>
      </c>
      <c r="H60" s="35" t="str">
        <f t="shared" si="6"/>
        <v/>
      </c>
      <c r="I60" s="36" t="str">
        <f t="shared" si="7"/>
        <v/>
      </c>
      <c r="J60" s="37" t="str">
        <f>IFERROR(__xludf.DUMMYFUNCTION("IFERROR(
  IF(C60="""",, 
    IFERROR(
      GOOGLEFINANCE(C60, ""price"") * GOOGLEFINANCE(C60, ""volumeavg""), 
      GOOGLEFINANCE(C60, ""price"") * AVERAGE(QUERY(GOOGLEFINANCE(C60, ""volume"", TODAY()-40, TODAY()), ""SELECT Col2 WHERE Col2 IS NOT NULL "&amp;"ORDER BY Col1 DESC LIMIT 20"", 0))
    )
  ), 
"""")"),"")</f>
        <v/>
      </c>
      <c r="K60" s="21" t="str">
        <f>IFERROR(__xludf.DUMMYFUNCTION("IFERROR(GOOGLEFINANCE(C60, ""changepct"") / 100, """")"),"")</f>
        <v/>
      </c>
      <c r="L60" s="21" t="str">
        <f>IFERROR(__xludf.DUMMYFUNCTION("IFERROR((GOOGLEFINANCE(C60, ""price"") / INDEX(GOOGLEFINANCE(C60, ""price"", TODAY()-7, TODAY()), 2, 2)) - 1, """")"),"")</f>
        <v/>
      </c>
      <c r="M60" s="21" t="str">
        <f>IFERROR(__xludf.DUMMYFUNCTION("IFERROR((GOOGLEFINANCE(C60, ""price"") / INDEX(GOOGLEFINANCE(C60, ""price"", EDATE(TODAY(), -1), TODAY()), 2, 2)) - 1, """")"),"")</f>
        <v/>
      </c>
      <c r="N60" s="21" t="str">
        <f>IFERROR(__xludf.DUMMYFUNCTION("IFERROR((GOOGLEFINANCE(C60, ""price"") / INDEX(GOOGLEFINANCE(C60, ""price"", EDATE(TODAY(), -3), TODAY()), 2, 2)) - 1, """")"),"")</f>
        <v/>
      </c>
      <c r="O60" s="21" t="str">
        <f>IFERROR(__xludf.DUMMYFUNCTION("IFERROR((GOOGLEFINANCE(C60, ""price"") / INDEX(GOOGLEFINANCE(C60, ""price"", EDATE(TODAY(), -6), TODAY()), 2, 2)) - 1, """")"),"")</f>
        <v/>
      </c>
      <c r="P60" s="21" t="str">
        <f>IFERROR(__xludf.DUMMYFUNCTION("IFERROR((GOOGLEFINANCE(C60, ""price"") / INDEX(GOOGLEFINANCE(C60, ""price"", EDATE(TODAY(), -12), TODAY()), 2, 2)) - 1, """")"),"")</f>
        <v/>
      </c>
      <c r="Q60" s="6" t="str">
        <f>IFERROR(__xludf.DUMMYFUNCTION("AVERAGE(QUERY(GOOGLEFINANCE(C60, ""price"", TODAY()-80, TODAY()), ""SELECT Col2 WHERE Col2 IS NOT NULL ORDER BY Col1 DESC LIMIT 50"", 0))"),"#N/A")</f>
        <v>#N/A</v>
      </c>
      <c r="R60" s="24" t="str">
        <f>IFERROR(__xludf.DUMMYFUNCTION("IFERROR(
  LET(
    data, QUERY(GOOGLEFINANCE(C60,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GOOGLEFINANCE(C60, ""price"")) * 100,
    IF(calc=0, G60, calc)
  ), 
G60)"),"#N/A")</f>
        <v>#N/A</v>
      </c>
      <c r="S60" s="8" t="s">
        <v>15</v>
      </c>
      <c r="T60" s="26" t="str">
        <f>IFERROR(__xludf.DUMMYFUNCTION("IFERROR(TRANSPOSE(QUERY(IFERROR(SORT(GOOGLEFINANCE(C60, ""price"", WORKDAY(TODAY(), -40), TODAY()), 1, FALSE)), ""select Col2 where Col2 is not null limit 22 label Col2 ''"", 0)), """")"),"")</f>
        <v/>
      </c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8"/>
      <c r="AO60" s="28"/>
      <c r="AP60" s="29"/>
      <c r="AQ60" s="29" t="str">
        <f t="shared" ref="AQ60:BL60" si="63">T60/T$2</f>
        <v>#N/A</v>
      </c>
      <c r="AR60" s="29" t="str">
        <f t="shared" si="63"/>
        <v>#DIV/0!</v>
      </c>
      <c r="AS60" s="29" t="str">
        <f t="shared" si="63"/>
        <v>#DIV/0!</v>
      </c>
      <c r="AT60" s="29" t="str">
        <f t="shared" si="63"/>
        <v>#DIV/0!</v>
      </c>
      <c r="AU60" s="29" t="str">
        <f t="shared" si="63"/>
        <v>#DIV/0!</v>
      </c>
      <c r="AV60" s="29" t="str">
        <f t="shared" si="63"/>
        <v>#DIV/0!</v>
      </c>
      <c r="AW60" s="29" t="str">
        <f t="shared" si="63"/>
        <v>#DIV/0!</v>
      </c>
      <c r="AX60" s="29" t="str">
        <f t="shared" si="63"/>
        <v>#DIV/0!</v>
      </c>
      <c r="AY60" s="29" t="str">
        <f t="shared" si="63"/>
        <v>#DIV/0!</v>
      </c>
      <c r="AZ60" s="29" t="str">
        <f t="shared" si="63"/>
        <v>#DIV/0!</v>
      </c>
      <c r="BA60" s="29" t="str">
        <f t="shared" si="63"/>
        <v>#DIV/0!</v>
      </c>
      <c r="BB60" s="29" t="str">
        <f t="shared" si="63"/>
        <v>#DIV/0!</v>
      </c>
      <c r="BC60" s="29" t="str">
        <f t="shared" si="63"/>
        <v>#DIV/0!</v>
      </c>
      <c r="BD60" s="29" t="str">
        <f t="shared" si="63"/>
        <v>#DIV/0!</v>
      </c>
      <c r="BE60" s="29" t="str">
        <f t="shared" si="63"/>
        <v>#DIV/0!</v>
      </c>
      <c r="BF60" s="29" t="str">
        <f t="shared" si="63"/>
        <v>#DIV/0!</v>
      </c>
      <c r="BG60" s="29" t="str">
        <f t="shared" si="63"/>
        <v>#DIV/0!</v>
      </c>
      <c r="BH60" s="29" t="str">
        <f t="shared" si="63"/>
        <v>#DIV/0!</v>
      </c>
      <c r="BI60" s="29" t="str">
        <f t="shared" si="63"/>
        <v>#DIV/0!</v>
      </c>
      <c r="BJ60" s="29" t="str">
        <f t="shared" si="63"/>
        <v>#DIV/0!</v>
      </c>
      <c r="BK60" s="29" t="str">
        <f t="shared" si="63"/>
        <v>#DIV/0!</v>
      </c>
      <c r="BL60" s="29" t="str">
        <f t="shared" si="63"/>
        <v>#DIV/0!</v>
      </c>
      <c r="BM60" s="29" t="str">
        <f t="shared" si="3"/>
        <v>#DIV/0!</v>
      </c>
    </row>
    <row r="61">
      <c r="A61" s="16" t="str">
        <f>IFERROR(__xludf.DUMMYFUNCTION("IFERROR(SPARKLINE(SORT(MAP(TRANSPOSE(AQ61:BL61), LAMBDA(val, IF(ISNUMBER(val), PERCENTRANK(AQ61:BL61, val)+0.01, 0))), SEQUENCE(COLUMNS(AQ61:BL61)), FALSE), {""charttype"",""column""; ""color"",""chartreuse""; ""ymin"", 0; ""ymax"", 1.01; ""highcolor"", "&amp;"""darkgreen""; ""lowcolor"", ""red""}), """")"),"")</f>
        <v/>
      </c>
      <c r="B61" s="17" t="str">
        <f t="shared" si="4"/>
        <v/>
      </c>
      <c r="C61" s="1" t="s">
        <v>324</v>
      </c>
      <c r="D61" s="30" t="str">
        <f>IFERROR(__xludf.DUMMYFUNCTION("IFERROR(GOOGLEFINANCE(C61, ""NAME""))"),"Paycom Software Inc")</f>
        <v>Paycom Software Inc</v>
      </c>
      <c r="E61" s="30" t="s">
        <v>48</v>
      </c>
      <c r="F61" s="33" t="str">
        <f>IFERROR(__xludf.DUMMYFUNCTION("( (GOOGLEFINANCE(C61, ""price"") - Q61) / Q61 ) / (R61 / 100)"),"Loading...")</f>
        <v>Loading...</v>
      </c>
      <c r="G61" s="20" t="str">
        <f>IFERROR(__xludf.DUMMYFUNCTION("AVERAGE(ARRAYFORMULA(100 * (QUERY(GOOGLEFINANCE(C61, ""high"", TODAY()-40, TODAY()), ""SELECT Col2 WHERE Col2 IS NOT NULL ORDER BY Col1 DESC LIMIT 20"", 0) / QUERY(GOOGLEFINANCE(C61, ""low"", TODAY()-40, TODAY()), ""SELECT Col2 WHERE Col2 IS NOT NULL ORDE"&amp;"R BY Col1 DESC LIMIT 20"", 0) - 1)))"),"#N/A")</f>
        <v>#N/A</v>
      </c>
      <c r="H61" s="35" t="str">
        <f t="shared" si="6"/>
        <v/>
      </c>
      <c r="I61" s="36" t="str">
        <f t="shared" si="7"/>
        <v/>
      </c>
      <c r="J61" s="37" t="str">
        <f>IFERROR(__xludf.DUMMYFUNCTION("IFERROR(
  IF(C61="""",, 
    IFERROR(
      GOOGLEFINANCE(C61, ""price"") * GOOGLEFINANCE(C61, ""volumeavg""), 
      GOOGLEFINANCE(C61, ""price"") * AVERAGE(QUERY(GOOGLEFINANCE(C61, ""volume"", TODAY()-40, TODAY()), ""SELECT Col2 WHERE Col2 IS NOT NULL "&amp;"ORDER BY Col1 DESC LIMIT 20"", 0))
    )
  ), 
"""")"),"")</f>
        <v/>
      </c>
      <c r="K61" s="21" t="str">
        <f>IFERROR(__xludf.DUMMYFUNCTION("IFERROR(GOOGLEFINANCE(C61, ""changepct"") / 100, """")"),"")</f>
        <v/>
      </c>
      <c r="L61" s="21" t="str">
        <f>IFERROR(__xludf.DUMMYFUNCTION("IFERROR((GOOGLEFINANCE(C61, ""price"") / INDEX(GOOGLEFINANCE(C61, ""price"", TODAY()-7, TODAY()), 2, 2)) - 1, """")"),"")</f>
        <v/>
      </c>
      <c r="M61" s="21" t="str">
        <f>IFERROR(__xludf.DUMMYFUNCTION("IFERROR((GOOGLEFINANCE(C61, ""price"") / INDEX(GOOGLEFINANCE(C61, ""price"", EDATE(TODAY(), -1), TODAY()), 2, 2)) - 1, """")"),"")</f>
        <v/>
      </c>
      <c r="N61" s="21" t="str">
        <f>IFERROR(__xludf.DUMMYFUNCTION("IFERROR((GOOGLEFINANCE(C61, ""price"") / INDEX(GOOGLEFINANCE(C61, ""price"", EDATE(TODAY(), -3), TODAY()), 2, 2)) - 1, """")"),"")</f>
        <v/>
      </c>
      <c r="O61" s="21" t="str">
        <f>IFERROR(__xludf.DUMMYFUNCTION("IFERROR((GOOGLEFINANCE(C61, ""price"") / INDEX(GOOGLEFINANCE(C61, ""price"", EDATE(TODAY(), -6), TODAY()), 2, 2)) - 1, """")"),"")</f>
        <v/>
      </c>
      <c r="P61" s="21" t="str">
        <f>IFERROR(__xludf.DUMMYFUNCTION("IFERROR((GOOGLEFINANCE(C61, ""price"") / INDEX(GOOGLEFINANCE(C61, ""price"", EDATE(TODAY(), -12), TODAY()), 2, 2)) - 1, """")"),"")</f>
        <v/>
      </c>
      <c r="Q61" s="6" t="str">
        <f>IFERROR(__xludf.DUMMYFUNCTION("AVERAGE(QUERY(GOOGLEFINANCE(C61, ""price"", TODAY()-80, TODAY()), ""SELECT Col2 WHERE Col2 IS NOT NULL ORDER BY Col1 DESC LIMIT 50"", 0))"),"#N/A")</f>
        <v>#N/A</v>
      </c>
      <c r="R61" s="24" t="str">
        <f>IFERROR(__xludf.DUMMYFUNCTION("IFERROR(
  LET(
    data, QUERY(GOOGLEFINANCE(C61,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GOOGLEFINANCE(C61, ""price"")) * 100,
    IF(calc=0, G61, calc)
  ), 
G61)"),"#N/A")</f>
        <v>#N/A</v>
      </c>
      <c r="S61" s="8" t="s">
        <v>15</v>
      </c>
      <c r="T61" s="26" t="str">
        <f>IFERROR(__xludf.DUMMYFUNCTION("IFERROR(TRANSPOSE(QUERY(IFERROR(SORT(GOOGLEFINANCE(C61, ""price"", WORKDAY(TODAY(), -40), TODAY()), 1, FALSE)), ""select Col2 where Col2 is not null limit 22 label Col2 ''"", 0)), """")"),"")</f>
        <v/>
      </c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8"/>
      <c r="AO61" s="28"/>
      <c r="AP61" s="29"/>
      <c r="AQ61" s="29" t="str">
        <f t="shared" ref="AQ61:BL61" si="64">T61/T$2</f>
        <v>#N/A</v>
      </c>
      <c r="AR61" s="29" t="str">
        <f t="shared" si="64"/>
        <v>#DIV/0!</v>
      </c>
      <c r="AS61" s="29" t="str">
        <f t="shared" si="64"/>
        <v>#DIV/0!</v>
      </c>
      <c r="AT61" s="29" t="str">
        <f t="shared" si="64"/>
        <v>#DIV/0!</v>
      </c>
      <c r="AU61" s="29" t="str">
        <f t="shared" si="64"/>
        <v>#DIV/0!</v>
      </c>
      <c r="AV61" s="29" t="str">
        <f t="shared" si="64"/>
        <v>#DIV/0!</v>
      </c>
      <c r="AW61" s="29" t="str">
        <f t="shared" si="64"/>
        <v>#DIV/0!</v>
      </c>
      <c r="AX61" s="29" t="str">
        <f t="shared" si="64"/>
        <v>#DIV/0!</v>
      </c>
      <c r="AY61" s="29" t="str">
        <f t="shared" si="64"/>
        <v>#DIV/0!</v>
      </c>
      <c r="AZ61" s="29" t="str">
        <f t="shared" si="64"/>
        <v>#DIV/0!</v>
      </c>
      <c r="BA61" s="29" t="str">
        <f t="shared" si="64"/>
        <v>#DIV/0!</v>
      </c>
      <c r="BB61" s="29" t="str">
        <f t="shared" si="64"/>
        <v>#DIV/0!</v>
      </c>
      <c r="BC61" s="29" t="str">
        <f t="shared" si="64"/>
        <v>#DIV/0!</v>
      </c>
      <c r="BD61" s="29" t="str">
        <f t="shared" si="64"/>
        <v>#DIV/0!</v>
      </c>
      <c r="BE61" s="29" t="str">
        <f t="shared" si="64"/>
        <v>#DIV/0!</v>
      </c>
      <c r="BF61" s="29" t="str">
        <f t="shared" si="64"/>
        <v>#DIV/0!</v>
      </c>
      <c r="BG61" s="29" t="str">
        <f t="shared" si="64"/>
        <v>#DIV/0!</v>
      </c>
      <c r="BH61" s="29" t="str">
        <f t="shared" si="64"/>
        <v>#DIV/0!</v>
      </c>
      <c r="BI61" s="29" t="str">
        <f t="shared" si="64"/>
        <v>#DIV/0!</v>
      </c>
      <c r="BJ61" s="29" t="str">
        <f t="shared" si="64"/>
        <v>#DIV/0!</v>
      </c>
      <c r="BK61" s="29" t="str">
        <f t="shared" si="64"/>
        <v>#DIV/0!</v>
      </c>
      <c r="BL61" s="29" t="str">
        <f t="shared" si="64"/>
        <v>#DIV/0!</v>
      </c>
      <c r="BM61" s="29" t="str">
        <f t="shared" si="3"/>
        <v>#DIV/0!</v>
      </c>
    </row>
    <row r="62">
      <c r="A62" s="16" t="str">
        <f>IFERROR(__xludf.DUMMYFUNCTION("IFERROR(SPARKLINE(SORT(MAP(TRANSPOSE(AQ62:BL62), LAMBDA(val, IF(ISNUMBER(val), PERCENTRANK(AQ62:BL62, val)+0.01, 0))), SEQUENCE(COLUMNS(AQ62:BL62)), FALSE), {""charttype"",""column""; ""color"",""chartreuse""; ""ymin"", 0; ""ymax"", 1.01; ""highcolor"", "&amp;"""darkgreen""; ""lowcolor"", ""red""}), """")"),"")</f>
        <v/>
      </c>
      <c r="B62" s="17" t="str">
        <f t="shared" si="4"/>
        <v/>
      </c>
      <c r="C62" s="1" t="s">
        <v>327</v>
      </c>
      <c r="D62" s="30" t="str">
        <f>IFERROR(__xludf.DUMMYFUNCTION("IFERROR(GOOGLEFINANCE(C62, ""NAME""))"),"Bullish")</f>
        <v>Bullish</v>
      </c>
      <c r="E62" s="30" t="s">
        <v>58</v>
      </c>
      <c r="F62" s="33" t="str">
        <f>IFERROR(__xludf.DUMMYFUNCTION("( (GOOGLEFINANCE(C62, ""price"") - Q62) / Q62 ) / (R62 / 100)"),"Loading...")</f>
        <v>Loading...</v>
      </c>
      <c r="G62" s="20" t="str">
        <f>IFERROR(__xludf.DUMMYFUNCTION("AVERAGE(ARRAYFORMULA(100 * (QUERY(GOOGLEFINANCE(C62, ""high"", TODAY()-40, TODAY()), ""SELECT Col2 WHERE Col2 IS NOT NULL ORDER BY Col1 DESC LIMIT 20"", 0) / QUERY(GOOGLEFINANCE(C62, ""low"", TODAY()-40, TODAY()), ""SELECT Col2 WHERE Col2 IS NOT NULL ORDE"&amp;"R BY Col1 DESC LIMIT 20"", 0) - 1)))"),"#N/A")</f>
        <v>#N/A</v>
      </c>
      <c r="H62" s="35" t="str">
        <f t="shared" si="6"/>
        <v/>
      </c>
      <c r="I62" s="36" t="str">
        <f t="shared" si="7"/>
        <v/>
      </c>
      <c r="J62" s="37" t="str">
        <f>IFERROR(__xludf.DUMMYFUNCTION("IFERROR(
  IF(C62="""",, 
    IFERROR(
      GOOGLEFINANCE(C62, ""price"") * GOOGLEFINANCE(C62, ""volumeavg""), 
      GOOGLEFINANCE(C62, ""price"") * AVERAGE(QUERY(GOOGLEFINANCE(C62, ""volume"", TODAY()-40, TODAY()), ""SELECT Col2 WHERE Col2 IS NOT NULL "&amp;"ORDER BY Col1 DESC LIMIT 20"", 0))
    )
  ), 
"""")"),"")</f>
        <v/>
      </c>
      <c r="K62" s="21" t="str">
        <f>IFERROR(__xludf.DUMMYFUNCTION("IFERROR(GOOGLEFINANCE(C62, ""changepct"") / 100, """")"),"")</f>
        <v/>
      </c>
      <c r="L62" s="21" t="str">
        <f>IFERROR(__xludf.DUMMYFUNCTION("IFERROR((GOOGLEFINANCE(C62, ""price"") / INDEX(GOOGLEFINANCE(C62, ""price"", TODAY()-7, TODAY()), 2, 2)) - 1, """")"),"")</f>
        <v/>
      </c>
      <c r="M62" s="21" t="str">
        <f>IFERROR(__xludf.DUMMYFUNCTION("IFERROR((GOOGLEFINANCE(C62, ""price"") / INDEX(GOOGLEFINANCE(C62, ""price"", EDATE(TODAY(), -1), TODAY()), 2, 2)) - 1, """")"),"")</f>
        <v/>
      </c>
      <c r="N62" s="21" t="str">
        <f>IFERROR(__xludf.DUMMYFUNCTION("IFERROR((GOOGLEFINANCE(C62, ""price"") / INDEX(GOOGLEFINANCE(C62, ""price"", EDATE(TODAY(), -3), TODAY()), 2, 2)) - 1, """")"),"")</f>
        <v/>
      </c>
      <c r="O62" s="21" t="str">
        <f>IFERROR(__xludf.DUMMYFUNCTION("IFERROR((GOOGLEFINANCE(C62, ""price"") / INDEX(GOOGLEFINANCE(C62, ""price"", EDATE(TODAY(), -6), TODAY()), 2, 2)) - 1, """")"),"")</f>
        <v/>
      </c>
      <c r="P62" s="21" t="str">
        <f>IFERROR(__xludf.DUMMYFUNCTION("IFERROR((GOOGLEFINANCE(C62, ""price"") / INDEX(GOOGLEFINANCE(C62, ""price"", EDATE(TODAY(), -12), TODAY()), 2, 2)) - 1, """")"),"")</f>
        <v/>
      </c>
      <c r="Q62" s="6" t="str">
        <f>IFERROR(__xludf.DUMMYFUNCTION("AVERAGE(QUERY(GOOGLEFINANCE(C62, ""price"", TODAY()-80, TODAY()), ""SELECT Col2 WHERE Col2 IS NOT NULL ORDER BY Col1 DESC LIMIT 50"", 0))"),"#N/A")</f>
        <v>#N/A</v>
      </c>
      <c r="R62" s="24" t="str">
        <f>IFERROR(__xludf.DUMMYFUNCTION("IFERROR(
  LET(
    data, QUERY(GOOGLEFINANCE(C62,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GOOGLEFINANCE(C62, ""price"")) * 100,
    IF(calc=0, G62, calc)
  ), 
G62)"),"#N/A")</f>
        <v>#N/A</v>
      </c>
      <c r="S62" s="8" t="s">
        <v>15</v>
      </c>
      <c r="T62" s="26" t="str">
        <f>IFERROR(__xludf.DUMMYFUNCTION("IFERROR(TRANSPOSE(QUERY(IFERROR(SORT(GOOGLEFINANCE(C62, ""price"", WORKDAY(TODAY(), -40), TODAY()), 1, FALSE)), ""select Col2 where Col2 is not null limit 22 label Col2 ''"", 0)), """")"),"")</f>
        <v/>
      </c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8"/>
      <c r="AO62" s="28"/>
      <c r="AP62" s="29"/>
      <c r="AQ62" s="29" t="str">
        <f t="shared" ref="AQ62:BL62" si="65">T62/T$2</f>
        <v>#N/A</v>
      </c>
      <c r="AR62" s="29" t="str">
        <f t="shared" si="65"/>
        <v>#DIV/0!</v>
      </c>
      <c r="AS62" s="29" t="str">
        <f t="shared" si="65"/>
        <v>#DIV/0!</v>
      </c>
      <c r="AT62" s="29" t="str">
        <f t="shared" si="65"/>
        <v>#DIV/0!</v>
      </c>
      <c r="AU62" s="29" t="str">
        <f t="shared" si="65"/>
        <v>#DIV/0!</v>
      </c>
      <c r="AV62" s="29" t="str">
        <f t="shared" si="65"/>
        <v>#DIV/0!</v>
      </c>
      <c r="AW62" s="29" t="str">
        <f t="shared" si="65"/>
        <v>#DIV/0!</v>
      </c>
      <c r="AX62" s="29" t="str">
        <f t="shared" si="65"/>
        <v>#DIV/0!</v>
      </c>
      <c r="AY62" s="29" t="str">
        <f t="shared" si="65"/>
        <v>#DIV/0!</v>
      </c>
      <c r="AZ62" s="29" t="str">
        <f t="shared" si="65"/>
        <v>#DIV/0!</v>
      </c>
      <c r="BA62" s="29" t="str">
        <f t="shared" si="65"/>
        <v>#DIV/0!</v>
      </c>
      <c r="BB62" s="29" t="str">
        <f t="shared" si="65"/>
        <v>#DIV/0!</v>
      </c>
      <c r="BC62" s="29" t="str">
        <f t="shared" si="65"/>
        <v>#DIV/0!</v>
      </c>
      <c r="BD62" s="29" t="str">
        <f t="shared" si="65"/>
        <v>#DIV/0!</v>
      </c>
      <c r="BE62" s="29" t="str">
        <f t="shared" si="65"/>
        <v>#DIV/0!</v>
      </c>
      <c r="BF62" s="29" t="str">
        <f t="shared" si="65"/>
        <v>#DIV/0!</v>
      </c>
      <c r="BG62" s="29" t="str">
        <f t="shared" si="65"/>
        <v>#DIV/0!</v>
      </c>
      <c r="BH62" s="29" t="str">
        <f t="shared" si="65"/>
        <v>#DIV/0!</v>
      </c>
      <c r="BI62" s="29" t="str">
        <f t="shared" si="65"/>
        <v>#DIV/0!</v>
      </c>
      <c r="BJ62" s="29" t="str">
        <f t="shared" si="65"/>
        <v>#DIV/0!</v>
      </c>
      <c r="BK62" s="29" t="str">
        <f t="shared" si="65"/>
        <v>#DIV/0!</v>
      </c>
      <c r="BL62" s="29" t="str">
        <f t="shared" si="65"/>
        <v>#DIV/0!</v>
      </c>
      <c r="BM62" s="29" t="str">
        <f t="shared" si="3"/>
        <v>#DIV/0!</v>
      </c>
    </row>
    <row r="63">
      <c r="A63" s="16" t="str">
        <f>IFERROR(__xludf.DUMMYFUNCTION("IFERROR(SPARKLINE(SORT(MAP(TRANSPOSE(AQ63:BL63), LAMBDA(val, IF(ISNUMBER(val), PERCENTRANK(AQ63:BL63, val)+0.01, 0))), SEQUENCE(COLUMNS(AQ63:BL63)), FALSE), {""charttype"",""column""; ""color"",""chartreuse""; ""ymin"", 0; ""ymax"", 1.01; ""highcolor"", "&amp;"""darkgreen""; ""lowcolor"", ""red""}), """")"),"")</f>
        <v/>
      </c>
      <c r="B63" s="17" t="str">
        <f t="shared" si="4"/>
        <v/>
      </c>
      <c r="C63" s="1" t="s">
        <v>330</v>
      </c>
      <c r="D63" s="30" t="str">
        <f>IFERROR(__xludf.DUMMYFUNCTION("IFERROR(GOOGLEFINANCE(C63, ""NAME""))"),"Accenture Plc")</f>
        <v>Accenture Plc</v>
      </c>
      <c r="E63" s="30" t="s">
        <v>102</v>
      </c>
      <c r="F63" s="33" t="str">
        <f>IFERROR(__xludf.DUMMYFUNCTION("( (GOOGLEFINANCE(C63, ""price"") - Q63) / Q63 ) / (R63 / 100)"),"Loading...")</f>
        <v>Loading...</v>
      </c>
      <c r="G63" s="20" t="str">
        <f>IFERROR(__xludf.DUMMYFUNCTION("AVERAGE(ARRAYFORMULA(100 * (QUERY(GOOGLEFINANCE(C63, ""high"", TODAY()-40, TODAY()), ""SELECT Col2 WHERE Col2 IS NOT NULL ORDER BY Col1 DESC LIMIT 20"", 0) / QUERY(GOOGLEFINANCE(C63, ""low"", TODAY()-40, TODAY()), ""SELECT Col2 WHERE Col2 IS NOT NULL ORDE"&amp;"R BY Col1 DESC LIMIT 20"", 0) - 1)))"),"#N/A")</f>
        <v>#N/A</v>
      </c>
      <c r="H63" s="35" t="str">
        <f t="shared" si="6"/>
        <v/>
      </c>
      <c r="I63" s="36" t="str">
        <f t="shared" si="7"/>
        <v/>
      </c>
      <c r="J63" s="37" t="str">
        <f>IFERROR(__xludf.DUMMYFUNCTION("IFERROR(
  IF(C63="""",, 
    IFERROR(
      GOOGLEFINANCE(C63, ""price"") * GOOGLEFINANCE(C63, ""volumeavg""), 
      GOOGLEFINANCE(C63, ""price"") * AVERAGE(QUERY(GOOGLEFINANCE(C63, ""volume"", TODAY()-40, TODAY()), ""SELECT Col2 WHERE Col2 IS NOT NULL "&amp;"ORDER BY Col1 DESC LIMIT 20"", 0))
    )
  ), 
"""")"),"")</f>
        <v/>
      </c>
      <c r="K63" s="21" t="str">
        <f>IFERROR(__xludf.DUMMYFUNCTION("IFERROR(GOOGLEFINANCE(C63, ""changepct"") / 100, """")"),"")</f>
        <v/>
      </c>
      <c r="L63" s="21" t="str">
        <f>IFERROR(__xludf.DUMMYFUNCTION("IFERROR((GOOGLEFINANCE(C63, ""price"") / INDEX(GOOGLEFINANCE(C63, ""price"", TODAY()-7, TODAY()), 2, 2)) - 1, """")"),"")</f>
        <v/>
      </c>
      <c r="M63" s="21" t="str">
        <f>IFERROR(__xludf.DUMMYFUNCTION("IFERROR((GOOGLEFINANCE(C63, ""price"") / INDEX(GOOGLEFINANCE(C63, ""price"", EDATE(TODAY(), -1), TODAY()), 2, 2)) - 1, """")"),"")</f>
        <v/>
      </c>
      <c r="N63" s="21" t="str">
        <f>IFERROR(__xludf.DUMMYFUNCTION("IFERROR((GOOGLEFINANCE(C63, ""price"") / INDEX(GOOGLEFINANCE(C63, ""price"", EDATE(TODAY(), -3), TODAY()), 2, 2)) - 1, """")"),"")</f>
        <v/>
      </c>
      <c r="O63" s="21" t="str">
        <f>IFERROR(__xludf.DUMMYFUNCTION("IFERROR((GOOGLEFINANCE(C63, ""price"") / INDEX(GOOGLEFINANCE(C63, ""price"", EDATE(TODAY(), -6), TODAY()), 2, 2)) - 1, """")"),"")</f>
        <v/>
      </c>
      <c r="P63" s="21" t="str">
        <f>IFERROR(__xludf.DUMMYFUNCTION("IFERROR((GOOGLEFINANCE(C63, ""price"") / INDEX(GOOGLEFINANCE(C63, ""price"", EDATE(TODAY(), -12), TODAY()), 2, 2)) - 1, """")"),"")</f>
        <v/>
      </c>
      <c r="Q63" s="6" t="str">
        <f>IFERROR(__xludf.DUMMYFUNCTION("AVERAGE(QUERY(GOOGLEFINANCE(C63, ""price"", TODAY()-80, TODAY()), ""SELECT Col2 WHERE Col2 IS NOT NULL ORDER BY Col1 DESC LIMIT 50"", 0))"),"#N/A")</f>
        <v>#N/A</v>
      </c>
      <c r="R63" s="24" t="str">
        <f>IFERROR(__xludf.DUMMYFUNCTION("IFERROR(
  LET(
    data, QUERY(GOOGLEFINANCE(C63,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GOOGLEFINANCE(C63, ""price"")) * 100,
    IF(calc=0, G63, calc)
  ), 
G63)"),"#N/A")</f>
        <v>#N/A</v>
      </c>
      <c r="S63" s="8" t="s">
        <v>15</v>
      </c>
      <c r="T63" s="26" t="str">
        <f>IFERROR(__xludf.DUMMYFUNCTION("IFERROR(TRANSPOSE(QUERY(IFERROR(SORT(GOOGLEFINANCE(C63, ""price"", WORKDAY(TODAY(), -40), TODAY()), 1, FALSE)), ""select Col2 where Col2 is not null limit 22 label Col2 ''"", 0)), """")"),"")</f>
        <v/>
      </c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8"/>
      <c r="AO63" s="28"/>
      <c r="AP63" s="29"/>
      <c r="AQ63" s="29" t="str">
        <f t="shared" ref="AQ63:BL63" si="66">T63/T$2</f>
        <v>#N/A</v>
      </c>
      <c r="AR63" s="29" t="str">
        <f t="shared" si="66"/>
        <v>#DIV/0!</v>
      </c>
      <c r="AS63" s="29" t="str">
        <f t="shared" si="66"/>
        <v>#DIV/0!</v>
      </c>
      <c r="AT63" s="29" t="str">
        <f t="shared" si="66"/>
        <v>#DIV/0!</v>
      </c>
      <c r="AU63" s="29" t="str">
        <f t="shared" si="66"/>
        <v>#DIV/0!</v>
      </c>
      <c r="AV63" s="29" t="str">
        <f t="shared" si="66"/>
        <v>#DIV/0!</v>
      </c>
      <c r="AW63" s="29" t="str">
        <f t="shared" si="66"/>
        <v>#DIV/0!</v>
      </c>
      <c r="AX63" s="29" t="str">
        <f t="shared" si="66"/>
        <v>#DIV/0!</v>
      </c>
      <c r="AY63" s="29" t="str">
        <f t="shared" si="66"/>
        <v>#DIV/0!</v>
      </c>
      <c r="AZ63" s="29" t="str">
        <f t="shared" si="66"/>
        <v>#DIV/0!</v>
      </c>
      <c r="BA63" s="29" t="str">
        <f t="shared" si="66"/>
        <v>#DIV/0!</v>
      </c>
      <c r="BB63" s="29" t="str">
        <f t="shared" si="66"/>
        <v>#DIV/0!</v>
      </c>
      <c r="BC63" s="29" t="str">
        <f t="shared" si="66"/>
        <v>#DIV/0!</v>
      </c>
      <c r="BD63" s="29" t="str">
        <f t="shared" si="66"/>
        <v>#DIV/0!</v>
      </c>
      <c r="BE63" s="29" t="str">
        <f t="shared" si="66"/>
        <v>#DIV/0!</v>
      </c>
      <c r="BF63" s="29" t="str">
        <f t="shared" si="66"/>
        <v>#DIV/0!</v>
      </c>
      <c r="BG63" s="29" t="str">
        <f t="shared" si="66"/>
        <v>#DIV/0!</v>
      </c>
      <c r="BH63" s="29" t="str">
        <f t="shared" si="66"/>
        <v>#DIV/0!</v>
      </c>
      <c r="BI63" s="29" t="str">
        <f t="shared" si="66"/>
        <v>#DIV/0!</v>
      </c>
      <c r="BJ63" s="29" t="str">
        <f t="shared" si="66"/>
        <v>#DIV/0!</v>
      </c>
      <c r="BK63" s="29" t="str">
        <f t="shared" si="66"/>
        <v>#DIV/0!</v>
      </c>
      <c r="BL63" s="29" t="str">
        <f t="shared" si="66"/>
        <v>#DIV/0!</v>
      </c>
      <c r="BM63" s="29" t="str">
        <f t="shared" si="3"/>
        <v>#DIV/0!</v>
      </c>
    </row>
    <row r="64">
      <c r="A64" s="16" t="str">
        <f>IFERROR(__xludf.DUMMYFUNCTION("IFERROR(SPARKLINE(SORT(MAP(TRANSPOSE(AQ64:BL64), LAMBDA(val, IF(ISNUMBER(val), PERCENTRANK(AQ64:BL64, val)+0.01, 0))), SEQUENCE(COLUMNS(AQ64:BL64)), FALSE), {""charttype"",""column""; ""color"",""chartreuse""; ""ymin"", 0; ""ymax"", 1.01; ""highcolor"", "&amp;"""darkgreen""; ""lowcolor"", ""red""}), """")"),"")</f>
        <v/>
      </c>
      <c r="B64" s="17" t="str">
        <f t="shared" si="4"/>
        <v/>
      </c>
      <c r="C64" s="1" t="s">
        <v>332</v>
      </c>
      <c r="D64" s="30" t="str">
        <f>IFERROR(__xludf.DUMMYFUNCTION("IFERROR(GOOGLEFINANCE(C64, ""NAME""))"),"Nice Ltd")</f>
        <v>Nice Ltd</v>
      </c>
      <c r="E64" s="30" t="s">
        <v>48</v>
      </c>
      <c r="F64" s="33" t="str">
        <f>IFERROR(__xludf.DUMMYFUNCTION("( (GOOGLEFINANCE(C64, ""price"") - Q64) / Q64 ) / (R64 / 100)"),"Loading...")</f>
        <v>Loading...</v>
      </c>
      <c r="G64" s="20" t="str">
        <f>IFERROR(__xludf.DUMMYFUNCTION("AVERAGE(ARRAYFORMULA(100 * (QUERY(GOOGLEFINANCE(C64, ""high"", TODAY()-40, TODAY()), ""SELECT Col2 WHERE Col2 IS NOT NULL ORDER BY Col1 DESC LIMIT 20"", 0) / QUERY(GOOGLEFINANCE(C64, ""low"", TODAY()-40, TODAY()), ""SELECT Col2 WHERE Col2 IS NOT NULL ORDE"&amp;"R BY Col1 DESC LIMIT 20"", 0) - 1)))"),"#N/A")</f>
        <v>#N/A</v>
      </c>
      <c r="H64" s="35" t="str">
        <f t="shared" si="6"/>
        <v/>
      </c>
      <c r="I64" s="36" t="str">
        <f t="shared" si="7"/>
        <v/>
      </c>
      <c r="J64" s="37" t="str">
        <f>IFERROR(__xludf.DUMMYFUNCTION("IFERROR(
  IF(C64="""",, 
    IFERROR(
      GOOGLEFINANCE(C64, ""price"") * GOOGLEFINANCE(C64, ""volumeavg""), 
      GOOGLEFINANCE(C64, ""price"") * AVERAGE(QUERY(GOOGLEFINANCE(C64, ""volume"", TODAY()-40, TODAY()), ""SELECT Col2 WHERE Col2 IS NOT NULL "&amp;"ORDER BY Col1 DESC LIMIT 20"", 0))
    )
  ), 
"""")"),"")</f>
        <v/>
      </c>
      <c r="K64" s="21" t="str">
        <f>IFERROR(__xludf.DUMMYFUNCTION("IFERROR(GOOGLEFINANCE(C64, ""changepct"") / 100, """")"),"")</f>
        <v/>
      </c>
      <c r="L64" s="21" t="str">
        <f>IFERROR(__xludf.DUMMYFUNCTION("IFERROR((GOOGLEFINANCE(C64, ""price"") / INDEX(GOOGLEFINANCE(C64, ""price"", TODAY()-7, TODAY()), 2, 2)) - 1, """")"),"")</f>
        <v/>
      </c>
      <c r="M64" s="21" t="str">
        <f>IFERROR(__xludf.DUMMYFUNCTION("IFERROR((GOOGLEFINANCE(C64, ""price"") / INDEX(GOOGLEFINANCE(C64, ""price"", EDATE(TODAY(), -1), TODAY()), 2, 2)) - 1, """")"),"")</f>
        <v/>
      </c>
      <c r="N64" s="21" t="str">
        <f>IFERROR(__xludf.DUMMYFUNCTION("IFERROR((GOOGLEFINANCE(C64, ""price"") / INDEX(GOOGLEFINANCE(C64, ""price"", EDATE(TODAY(), -3), TODAY()), 2, 2)) - 1, """")"),"")</f>
        <v/>
      </c>
      <c r="O64" s="21" t="str">
        <f>IFERROR(__xludf.DUMMYFUNCTION("IFERROR((GOOGLEFINANCE(C64, ""price"") / INDEX(GOOGLEFINANCE(C64, ""price"", EDATE(TODAY(), -6), TODAY()), 2, 2)) - 1, """")"),"")</f>
        <v/>
      </c>
      <c r="P64" s="21" t="str">
        <f>IFERROR(__xludf.DUMMYFUNCTION("IFERROR((GOOGLEFINANCE(C64, ""price"") / INDEX(GOOGLEFINANCE(C64, ""price"", EDATE(TODAY(), -12), TODAY()), 2, 2)) - 1, """")"),"")</f>
        <v/>
      </c>
      <c r="Q64" s="6" t="str">
        <f>IFERROR(__xludf.DUMMYFUNCTION("AVERAGE(QUERY(GOOGLEFINANCE(C64, ""price"", TODAY()-80, TODAY()), ""SELECT Col2 WHERE Col2 IS NOT NULL ORDER BY Col1 DESC LIMIT 50"", 0))"),"#N/A")</f>
        <v>#N/A</v>
      </c>
      <c r="R64" s="24" t="str">
        <f>IFERROR(__xludf.DUMMYFUNCTION("IFERROR(
  LET(
    data, QUERY(GOOGLEFINANCE(C64,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GOOGLEFINANCE(C64, ""price"")) * 100,
    IF(calc=0, G64, calc)
  ), 
G64)"),"#N/A")</f>
        <v>#N/A</v>
      </c>
      <c r="S64" s="8" t="s">
        <v>15</v>
      </c>
      <c r="T64" s="26" t="str">
        <f>IFERROR(__xludf.DUMMYFUNCTION("IFERROR(TRANSPOSE(QUERY(IFERROR(SORT(GOOGLEFINANCE(C64, ""price"", WORKDAY(TODAY(), -40), TODAY()), 1, FALSE)), ""select Col2 where Col2 is not null limit 22 label Col2 ''"", 0)), """")"),"")</f>
        <v/>
      </c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8"/>
      <c r="AO64" s="28"/>
      <c r="AP64" s="29"/>
      <c r="AQ64" s="29" t="str">
        <f t="shared" ref="AQ64:BL64" si="67">T64/T$2</f>
        <v>#N/A</v>
      </c>
      <c r="AR64" s="29" t="str">
        <f t="shared" si="67"/>
        <v>#DIV/0!</v>
      </c>
      <c r="AS64" s="29" t="str">
        <f t="shared" si="67"/>
        <v>#DIV/0!</v>
      </c>
      <c r="AT64" s="29" t="str">
        <f t="shared" si="67"/>
        <v>#DIV/0!</v>
      </c>
      <c r="AU64" s="29" t="str">
        <f t="shared" si="67"/>
        <v>#DIV/0!</v>
      </c>
      <c r="AV64" s="29" t="str">
        <f t="shared" si="67"/>
        <v>#DIV/0!</v>
      </c>
      <c r="AW64" s="29" t="str">
        <f t="shared" si="67"/>
        <v>#DIV/0!</v>
      </c>
      <c r="AX64" s="29" t="str">
        <f t="shared" si="67"/>
        <v>#DIV/0!</v>
      </c>
      <c r="AY64" s="29" t="str">
        <f t="shared" si="67"/>
        <v>#DIV/0!</v>
      </c>
      <c r="AZ64" s="29" t="str">
        <f t="shared" si="67"/>
        <v>#DIV/0!</v>
      </c>
      <c r="BA64" s="29" t="str">
        <f t="shared" si="67"/>
        <v>#DIV/0!</v>
      </c>
      <c r="BB64" s="29" t="str">
        <f t="shared" si="67"/>
        <v>#DIV/0!</v>
      </c>
      <c r="BC64" s="29" t="str">
        <f t="shared" si="67"/>
        <v>#DIV/0!</v>
      </c>
      <c r="BD64" s="29" t="str">
        <f t="shared" si="67"/>
        <v>#DIV/0!</v>
      </c>
      <c r="BE64" s="29" t="str">
        <f t="shared" si="67"/>
        <v>#DIV/0!</v>
      </c>
      <c r="BF64" s="29" t="str">
        <f t="shared" si="67"/>
        <v>#DIV/0!</v>
      </c>
      <c r="BG64" s="29" t="str">
        <f t="shared" si="67"/>
        <v>#DIV/0!</v>
      </c>
      <c r="BH64" s="29" t="str">
        <f t="shared" si="67"/>
        <v>#DIV/0!</v>
      </c>
      <c r="BI64" s="29" t="str">
        <f t="shared" si="67"/>
        <v>#DIV/0!</v>
      </c>
      <c r="BJ64" s="29" t="str">
        <f t="shared" si="67"/>
        <v>#DIV/0!</v>
      </c>
      <c r="BK64" s="29" t="str">
        <f t="shared" si="67"/>
        <v>#DIV/0!</v>
      </c>
      <c r="BL64" s="29" t="str">
        <f t="shared" si="67"/>
        <v>#DIV/0!</v>
      </c>
      <c r="BM64" s="29" t="str">
        <f t="shared" si="3"/>
        <v>#DIV/0!</v>
      </c>
    </row>
    <row r="65">
      <c r="A65" s="16" t="str">
        <f>IFERROR(__xludf.DUMMYFUNCTION("IFERROR(SPARKLINE(SORT(MAP(TRANSPOSE(AQ65:BL65), LAMBDA(val, IF(ISNUMBER(val), PERCENTRANK(AQ65:BL65, val)+0.01, 0))), SEQUENCE(COLUMNS(AQ65:BL65)), FALSE), {""charttype"",""column""; ""color"",""chartreuse""; ""ymin"", 0; ""ymax"", 1.01; ""highcolor"", "&amp;"""darkgreen""; ""lowcolor"", ""red""}), """")"),"")</f>
        <v/>
      </c>
      <c r="B65" s="17" t="str">
        <f t="shared" si="4"/>
        <v/>
      </c>
      <c r="C65" s="1" t="s">
        <v>336</v>
      </c>
      <c r="D65" s="30" t="str">
        <f>IFERROR(__xludf.DUMMYFUNCTION("IFERROR(GOOGLEFINANCE(C65, ""NAME""))"),"Paylocity Holding Corp")</f>
        <v>Paylocity Holding Corp</v>
      </c>
      <c r="E65" s="30" t="s">
        <v>48</v>
      </c>
      <c r="F65" s="38" t="str">
        <f>IFERROR(__xludf.DUMMYFUNCTION("( (GOOGLEFINANCE(C65, ""price"") - Q65) / Q65 ) / (R65 / 100)"),"Loading...")</f>
        <v>Loading...</v>
      </c>
      <c r="G65" s="20" t="str">
        <f>IFERROR(__xludf.DUMMYFUNCTION("AVERAGE(ARRAYFORMULA(100 * (QUERY(GOOGLEFINANCE(C65, ""high"", TODAY()-40, TODAY()), ""SELECT Col2 WHERE Col2 IS NOT NULL ORDER BY Col1 DESC LIMIT 20"", 0) / QUERY(GOOGLEFINANCE(C65, ""low"", TODAY()-40, TODAY()), ""SELECT Col2 WHERE Col2 IS NOT NULL ORDE"&amp;"R BY Col1 DESC LIMIT 20"", 0) - 1)))"),"#N/A")</f>
        <v>#N/A</v>
      </c>
      <c r="H65" s="35" t="str">
        <f t="shared" si="6"/>
        <v/>
      </c>
      <c r="I65" s="36" t="str">
        <f t="shared" si="7"/>
        <v/>
      </c>
      <c r="J65" s="37" t="str">
        <f>IFERROR(__xludf.DUMMYFUNCTION("IFERROR(
  IF(C65="""",, 
    IFERROR(
      GOOGLEFINANCE(C65, ""price"") * GOOGLEFINANCE(C65, ""volumeavg""), 
      GOOGLEFINANCE(C65, ""price"") * AVERAGE(QUERY(GOOGLEFINANCE(C65, ""volume"", TODAY()-40, TODAY()), ""SELECT Col2 WHERE Col2 IS NOT NULL "&amp;"ORDER BY Col1 DESC LIMIT 20"", 0))
    )
  ), 
"""")"),"")</f>
        <v/>
      </c>
      <c r="K65" s="21" t="str">
        <f>IFERROR(__xludf.DUMMYFUNCTION("IFERROR(GOOGLEFINANCE(C65, ""changepct"") / 100, """")"),"")</f>
        <v/>
      </c>
      <c r="L65" s="21" t="str">
        <f>IFERROR(__xludf.DUMMYFUNCTION("IFERROR((GOOGLEFINANCE(C65, ""price"") / INDEX(GOOGLEFINANCE(C65, ""price"", TODAY()-7, TODAY()), 2, 2)) - 1, """")"),"")</f>
        <v/>
      </c>
      <c r="M65" s="21" t="str">
        <f>IFERROR(__xludf.DUMMYFUNCTION("IFERROR((GOOGLEFINANCE(C65, ""price"") / INDEX(GOOGLEFINANCE(C65, ""price"", EDATE(TODAY(), -1), TODAY()), 2, 2)) - 1, """")"),"")</f>
        <v/>
      </c>
      <c r="N65" s="21" t="str">
        <f>IFERROR(__xludf.DUMMYFUNCTION("IFERROR((GOOGLEFINANCE(C65, ""price"") / INDEX(GOOGLEFINANCE(C65, ""price"", EDATE(TODAY(), -3), TODAY()), 2, 2)) - 1, """")"),"")</f>
        <v/>
      </c>
      <c r="O65" s="21" t="str">
        <f>IFERROR(__xludf.DUMMYFUNCTION("IFERROR((GOOGLEFINANCE(C65, ""price"") / INDEX(GOOGLEFINANCE(C65, ""price"", EDATE(TODAY(), -6), TODAY()), 2, 2)) - 1, """")"),"")</f>
        <v/>
      </c>
      <c r="P65" s="21" t="str">
        <f>IFERROR(__xludf.DUMMYFUNCTION("IFERROR((GOOGLEFINANCE(C65, ""price"") / INDEX(GOOGLEFINANCE(C65, ""price"", EDATE(TODAY(), -12), TODAY()), 2, 2)) - 1, """")"),"")</f>
        <v/>
      </c>
      <c r="Q65" s="6" t="str">
        <f>IFERROR(__xludf.DUMMYFUNCTION("AVERAGE(QUERY(GOOGLEFINANCE(C65, ""price"", TODAY()-80, TODAY()), ""SELECT Col2 WHERE Col2 IS NOT NULL ORDER BY Col1 DESC LIMIT 50"", 0))"),"#N/A")</f>
        <v>#N/A</v>
      </c>
      <c r="R65" s="24" t="str">
        <f>IFERROR(__xludf.DUMMYFUNCTION("IFERROR(
  LET(
    data, QUERY(GOOGLEFINANCE(C65,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GOOGLEFINANCE(C65, ""price"")) * 100,
    IF(calc=0, G65, calc)
  ), 
G65)"),"#N/A")</f>
        <v>#N/A</v>
      </c>
      <c r="S65" s="8" t="s">
        <v>15</v>
      </c>
      <c r="T65" s="26" t="str">
        <f>IFERROR(__xludf.DUMMYFUNCTION("IFERROR(TRANSPOSE(QUERY(IFERROR(SORT(GOOGLEFINANCE(C65, ""price"", WORKDAY(TODAY(), -40), TODAY()), 1, FALSE)), ""select Col2 where Col2 is not null limit 22 label Col2 ''"", 0)), """")"),"")</f>
        <v/>
      </c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8"/>
      <c r="AO65" s="28"/>
      <c r="AP65" s="29"/>
      <c r="AQ65" s="29" t="str">
        <f t="shared" ref="AQ65:BL65" si="68">T65/T$2</f>
        <v>#N/A</v>
      </c>
      <c r="AR65" s="29" t="str">
        <f t="shared" si="68"/>
        <v>#DIV/0!</v>
      </c>
      <c r="AS65" s="29" t="str">
        <f t="shared" si="68"/>
        <v>#DIV/0!</v>
      </c>
      <c r="AT65" s="29" t="str">
        <f t="shared" si="68"/>
        <v>#DIV/0!</v>
      </c>
      <c r="AU65" s="29" t="str">
        <f t="shared" si="68"/>
        <v>#DIV/0!</v>
      </c>
      <c r="AV65" s="29" t="str">
        <f t="shared" si="68"/>
        <v>#DIV/0!</v>
      </c>
      <c r="AW65" s="29" t="str">
        <f t="shared" si="68"/>
        <v>#DIV/0!</v>
      </c>
      <c r="AX65" s="29" t="str">
        <f t="shared" si="68"/>
        <v>#DIV/0!</v>
      </c>
      <c r="AY65" s="29" t="str">
        <f t="shared" si="68"/>
        <v>#DIV/0!</v>
      </c>
      <c r="AZ65" s="29" t="str">
        <f t="shared" si="68"/>
        <v>#DIV/0!</v>
      </c>
      <c r="BA65" s="29" t="str">
        <f t="shared" si="68"/>
        <v>#DIV/0!</v>
      </c>
      <c r="BB65" s="29" t="str">
        <f t="shared" si="68"/>
        <v>#DIV/0!</v>
      </c>
      <c r="BC65" s="29" t="str">
        <f t="shared" si="68"/>
        <v>#DIV/0!</v>
      </c>
      <c r="BD65" s="29" t="str">
        <f t="shared" si="68"/>
        <v>#DIV/0!</v>
      </c>
      <c r="BE65" s="29" t="str">
        <f t="shared" si="68"/>
        <v>#DIV/0!</v>
      </c>
      <c r="BF65" s="29" t="str">
        <f t="shared" si="68"/>
        <v>#DIV/0!</v>
      </c>
      <c r="BG65" s="29" t="str">
        <f t="shared" si="68"/>
        <v>#DIV/0!</v>
      </c>
      <c r="BH65" s="29" t="str">
        <f t="shared" si="68"/>
        <v>#DIV/0!</v>
      </c>
      <c r="BI65" s="29" t="str">
        <f t="shared" si="68"/>
        <v>#DIV/0!</v>
      </c>
      <c r="BJ65" s="29" t="str">
        <f t="shared" si="68"/>
        <v>#DIV/0!</v>
      </c>
      <c r="BK65" s="29" t="str">
        <f t="shared" si="68"/>
        <v>#DIV/0!</v>
      </c>
      <c r="BL65" s="29" t="str">
        <f t="shared" si="68"/>
        <v>#DIV/0!</v>
      </c>
      <c r="BM65" s="29" t="str">
        <f t="shared" si="3"/>
        <v>#DIV/0!</v>
      </c>
    </row>
    <row r="66">
      <c r="A66" s="16" t="str">
        <f>IFERROR(__xludf.DUMMYFUNCTION("IFERROR(SPARKLINE(SORT(MAP(TRANSPOSE(AQ66:BL66), LAMBDA(val, IF(ISNUMBER(val), PERCENTRANK(AQ66:BL66, val)+0.01, 0))), SEQUENCE(COLUMNS(AQ66:BL66)), FALSE), {""charttype"",""column""; ""color"",""chartreuse""; ""ymin"", 0; ""ymax"", 1.01; ""highcolor"", "&amp;"""darkgreen""; ""lowcolor"", ""red""}), """")"),"")</f>
        <v/>
      </c>
      <c r="B66" s="17" t="str">
        <f t="shared" si="4"/>
        <v/>
      </c>
      <c r="C66" s="1" t="s">
        <v>340</v>
      </c>
      <c r="D66" s="30" t="str">
        <f>IFERROR(__xludf.DUMMYFUNCTION("IFERROR(GOOGLEFINANCE(C66, ""NAME""))"),"Alkami Technology Inc")</f>
        <v>Alkami Technology Inc</v>
      </c>
      <c r="E66" s="30" t="s">
        <v>48</v>
      </c>
      <c r="F66" s="33" t="str">
        <f>IFERROR(__xludf.DUMMYFUNCTION("( (GOOGLEFINANCE(C66, ""price"") - Q66) / Q66 ) / (R66 / 100)"),"Loading...")</f>
        <v>Loading...</v>
      </c>
      <c r="G66" s="20" t="str">
        <f>IFERROR(__xludf.DUMMYFUNCTION("AVERAGE(ARRAYFORMULA(100 * (QUERY(GOOGLEFINANCE(C66, ""high"", TODAY()-40, TODAY()), ""SELECT Col2 WHERE Col2 IS NOT NULL ORDER BY Col1 DESC LIMIT 20"", 0) / QUERY(GOOGLEFINANCE(C66, ""low"", TODAY()-40, TODAY()), ""SELECT Col2 WHERE Col2 IS NOT NULL ORDE"&amp;"R BY Col1 DESC LIMIT 20"", 0) - 1)))"),"#N/A")</f>
        <v>#N/A</v>
      </c>
      <c r="H66" s="35" t="str">
        <f t="shared" si="6"/>
        <v/>
      </c>
      <c r="I66" s="36" t="str">
        <f t="shared" si="7"/>
        <v/>
      </c>
      <c r="J66" s="37" t="str">
        <f>IFERROR(__xludf.DUMMYFUNCTION("IFERROR(
  IF(C66="""",, 
    IFERROR(
      GOOGLEFINANCE(C66, ""price"") * GOOGLEFINANCE(C66, ""volumeavg""), 
      GOOGLEFINANCE(C66, ""price"") * AVERAGE(QUERY(GOOGLEFINANCE(C66, ""volume"", TODAY()-40, TODAY()), ""SELECT Col2 WHERE Col2 IS NOT NULL "&amp;"ORDER BY Col1 DESC LIMIT 20"", 0))
    )
  ), 
"""")"),"")</f>
        <v/>
      </c>
      <c r="K66" s="21" t="str">
        <f>IFERROR(__xludf.DUMMYFUNCTION("IFERROR(GOOGLEFINANCE(C66, ""changepct"") / 100, """")"),"")</f>
        <v/>
      </c>
      <c r="L66" s="21" t="str">
        <f>IFERROR(__xludf.DUMMYFUNCTION("IFERROR((GOOGLEFINANCE(C66, ""price"") / INDEX(GOOGLEFINANCE(C66, ""price"", TODAY()-7, TODAY()), 2, 2)) - 1, """")"),"")</f>
        <v/>
      </c>
      <c r="M66" s="21" t="str">
        <f>IFERROR(__xludf.DUMMYFUNCTION("IFERROR((GOOGLEFINANCE(C66, ""price"") / INDEX(GOOGLEFINANCE(C66, ""price"", EDATE(TODAY(), -1), TODAY()), 2, 2)) - 1, """")"),"")</f>
        <v/>
      </c>
      <c r="N66" s="21" t="str">
        <f>IFERROR(__xludf.DUMMYFUNCTION("IFERROR((GOOGLEFINANCE(C66, ""price"") / INDEX(GOOGLEFINANCE(C66, ""price"", EDATE(TODAY(), -3), TODAY()), 2, 2)) - 1, """")"),"")</f>
        <v/>
      </c>
      <c r="O66" s="21" t="str">
        <f>IFERROR(__xludf.DUMMYFUNCTION("IFERROR((GOOGLEFINANCE(C66, ""price"") / INDEX(GOOGLEFINANCE(C66, ""price"", EDATE(TODAY(), -6), TODAY()), 2, 2)) - 1, """")"),"")</f>
        <v/>
      </c>
      <c r="P66" s="21" t="str">
        <f>IFERROR(__xludf.DUMMYFUNCTION("IFERROR((GOOGLEFINANCE(C66, ""price"") / INDEX(GOOGLEFINANCE(C66, ""price"", EDATE(TODAY(), -12), TODAY()), 2, 2)) - 1, """")"),"")</f>
        <v/>
      </c>
      <c r="Q66" s="6" t="str">
        <f>IFERROR(__xludf.DUMMYFUNCTION("AVERAGE(QUERY(GOOGLEFINANCE(C66, ""price"", TODAY()-80, TODAY()), ""SELECT Col2 WHERE Col2 IS NOT NULL ORDER BY Col1 DESC LIMIT 50"", 0))"),"#N/A")</f>
        <v>#N/A</v>
      </c>
      <c r="R66" s="24" t="str">
        <f>IFERROR(__xludf.DUMMYFUNCTION("IFERROR(
  LET(
    data, QUERY(GOOGLEFINANCE(C66,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GOOGLEFINANCE(C66, ""price"")) * 100,
    IF(calc=0, G66, calc)
  ), 
G66)"),"#N/A")</f>
        <v>#N/A</v>
      </c>
      <c r="S66" s="8" t="s">
        <v>15</v>
      </c>
      <c r="T66" s="26" t="str">
        <f>IFERROR(__xludf.DUMMYFUNCTION("IFERROR(TRANSPOSE(QUERY(IFERROR(SORT(GOOGLEFINANCE(C66, ""price"", WORKDAY(TODAY(), -40), TODAY()), 1, FALSE)), ""select Col2 where Col2 is not null limit 22 label Col2 ''"", 0)), """")"),"")</f>
        <v/>
      </c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8"/>
      <c r="AO66" s="28"/>
      <c r="AP66" s="29"/>
      <c r="AQ66" s="29" t="str">
        <f t="shared" ref="AQ66:BL66" si="69">T66/T$2</f>
        <v>#N/A</v>
      </c>
      <c r="AR66" s="29" t="str">
        <f t="shared" si="69"/>
        <v>#DIV/0!</v>
      </c>
      <c r="AS66" s="29" t="str">
        <f t="shared" si="69"/>
        <v>#DIV/0!</v>
      </c>
      <c r="AT66" s="29" t="str">
        <f t="shared" si="69"/>
        <v>#DIV/0!</v>
      </c>
      <c r="AU66" s="29" t="str">
        <f t="shared" si="69"/>
        <v>#DIV/0!</v>
      </c>
      <c r="AV66" s="29" t="str">
        <f t="shared" si="69"/>
        <v>#DIV/0!</v>
      </c>
      <c r="AW66" s="29" t="str">
        <f t="shared" si="69"/>
        <v>#DIV/0!</v>
      </c>
      <c r="AX66" s="29" t="str">
        <f t="shared" si="69"/>
        <v>#DIV/0!</v>
      </c>
      <c r="AY66" s="29" t="str">
        <f t="shared" si="69"/>
        <v>#DIV/0!</v>
      </c>
      <c r="AZ66" s="29" t="str">
        <f t="shared" si="69"/>
        <v>#DIV/0!</v>
      </c>
      <c r="BA66" s="29" t="str">
        <f t="shared" si="69"/>
        <v>#DIV/0!</v>
      </c>
      <c r="BB66" s="29" t="str">
        <f t="shared" si="69"/>
        <v>#DIV/0!</v>
      </c>
      <c r="BC66" s="29" t="str">
        <f t="shared" si="69"/>
        <v>#DIV/0!</v>
      </c>
      <c r="BD66" s="29" t="str">
        <f t="shared" si="69"/>
        <v>#DIV/0!</v>
      </c>
      <c r="BE66" s="29" t="str">
        <f t="shared" si="69"/>
        <v>#DIV/0!</v>
      </c>
      <c r="BF66" s="29" t="str">
        <f t="shared" si="69"/>
        <v>#DIV/0!</v>
      </c>
      <c r="BG66" s="29" t="str">
        <f t="shared" si="69"/>
        <v>#DIV/0!</v>
      </c>
      <c r="BH66" s="29" t="str">
        <f t="shared" si="69"/>
        <v>#DIV/0!</v>
      </c>
      <c r="BI66" s="29" t="str">
        <f t="shared" si="69"/>
        <v>#DIV/0!</v>
      </c>
      <c r="BJ66" s="29" t="str">
        <f t="shared" si="69"/>
        <v>#DIV/0!</v>
      </c>
      <c r="BK66" s="29" t="str">
        <f t="shared" si="69"/>
        <v>#DIV/0!</v>
      </c>
      <c r="BL66" s="29" t="str">
        <f t="shared" si="69"/>
        <v>#DIV/0!</v>
      </c>
      <c r="BM66" s="29" t="str">
        <f t="shared" si="3"/>
        <v>#DIV/0!</v>
      </c>
    </row>
    <row r="67">
      <c r="A67" s="16" t="str">
        <f>IFERROR(__xludf.DUMMYFUNCTION("IFERROR(SPARKLINE(SORT(MAP(TRANSPOSE(AQ67:BL67), LAMBDA(val, IF(ISNUMBER(val), PERCENTRANK(AQ67:BL67, val)+0.01, 0))), SEQUENCE(COLUMNS(AQ67:BL67)), FALSE), {""charttype"",""column""; ""color"",""chartreuse""; ""ymin"", 0; ""ymax"", 1.01; ""highcolor"", "&amp;"""darkgreen""; ""lowcolor"", ""red""}), """")"),"")</f>
        <v/>
      </c>
      <c r="B67" s="17" t="str">
        <f t="shared" si="4"/>
        <v/>
      </c>
      <c r="C67" s="1" t="s">
        <v>343</v>
      </c>
      <c r="D67" s="30" t="str">
        <f>IFERROR(__xludf.DUMMYFUNCTION("IFERROR(GOOGLEFINANCE(C67, ""NAME""))"),"CDW common stock")</f>
        <v>CDW common stock</v>
      </c>
      <c r="E67" s="30" t="s">
        <v>102</v>
      </c>
      <c r="F67" s="33" t="str">
        <f>IFERROR(__xludf.DUMMYFUNCTION("( (GOOGLEFINANCE(C67, ""price"") - Q67) / Q67 ) / (R67 / 100)"),"Loading...")</f>
        <v>Loading...</v>
      </c>
      <c r="G67" s="20" t="str">
        <f>IFERROR(__xludf.DUMMYFUNCTION("AVERAGE(ARRAYFORMULA(100 * (QUERY(GOOGLEFINANCE(C67, ""high"", TODAY()-40, TODAY()), ""SELECT Col2 WHERE Col2 IS NOT NULL ORDER BY Col1 DESC LIMIT 20"", 0) / QUERY(GOOGLEFINANCE(C67, ""low"", TODAY()-40, TODAY()), ""SELECT Col2 WHERE Col2 IS NOT NULL ORDE"&amp;"R BY Col1 DESC LIMIT 20"", 0) - 1)))"),"#N/A")</f>
        <v>#N/A</v>
      </c>
      <c r="H67" s="35" t="str">
        <f t="shared" si="6"/>
        <v/>
      </c>
      <c r="I67" s="36" t="str">
        <f t="shared" si="7"/>
        <v/>
      </c>
      <c r="J67" s="37" t="str">
        <f>IFERROR(__xludf.DUMMYFUNCTION("IFERROR(
  IF(C67="""",, 
    IFERROR(
      GOOGLEFINANCE(C67, ""price"") * GOOGLEFINANCE(C67, ""volumeavg""), 
      GOOGLEFINANCE(C67, ""price"") * AVERAGE(QUERY(GOOGLEFINANCE(C67, ""volume"", TODAY()-40, TODAY()), ""SELECT Col2 WHERE Col2 IS NOT NULL "&amp;"ORDER BY Col1 DESC LIMIT 20"", 0))
    )
  ), 
"""")"),"")</f>
        <v/>
      </c>
      <c r="K67" s="21" t="str">
        <f>IFERROR(__xludf.DUMMYFUNCTION("IFERROR(GOOGLEFINANCE(C67, ""changepct"") / 100, """")"),"")</f>
        <v/>
      </c>
      <c r="L67" s="21" t="str">
        <f>IFERROR(__xludf.DUMMYFUNCTION("IFERROR((GOOGLEFINANCE(C67, ""price"") / INDEX(GOOGLEFINANCE(C67, ""price"", TODAY()-7, TODAY()), 2, 2)) - 1, """")"),"")</f>
        <v/>
      </c>
      <c r="M67" s="21" t="str">
        <f>IFERROR(__xludf.DUMMYFUNCTION("IFERROR((GOOGLEFINANCE(C67, ""price"") / INDEX(GOOGLEFINANCE(C67, ""price"", EDATE(TODAY(), -1), TODAY()), 2, 2)) - 1, """")"),"")</f>
        <v/>
      </c>
      <c r="N67" s="21" t="str">
        <f>IFERROR(__xludf.DUMMYFUNCTION("IFERROR((GOOGLEFINANCE(C67, ""price"") / INDEX(GOOGLEFINANCE(C67, ""price"", EDATE(TODAY(), -3), TODAY()), 2, 2)) - 1, """")"),"")</f>
        <v/>
      </c>
      <c r="O67" s="21" t="str">
        <f>IFERROR(__xludf.DUMMYFUNCTION("IFERROR((GOOGLEFINANCE(C67, ""price"") / INDEX(GOOGLEFINANCE(C67, ""price"", EDATE(TODAY(), -6), TODAY()), 2, 2)) - 1, """")"),"")</f>
        <v/>
      </c>
      <c r="P67" s="21" t="str">
        <f>IFERROR(__xludf.DUMMYFUNCTION("IFERROR((GOOGLEFINANCE(C67, ""price"") / INDEX(GOOGLEFINANCE(C67, ""price"", EDATE(TODAY(), -12), TODAY()), 2, 2)) - 1, """")"),"")</f>
        <v/>
      </c>
      <c r="Q67" s="6" t="str">
        <f>IFERROR(__xludf.DUMMYFUNCTION("AVERAGE(QUERY(GOOGLEFINANCE(C67, ""price"", TODAY()-80, TODAY()), ""SELECT Col2 WHERE Col2 IS NOT NULL ORDER BY Col1 DESC LIMIT 50"", 0))"),"#N/A")</f>
        <v>#N/A</v>
      </c>
      <c r="R67" s="24" t="str">
        <f>IFERROR(__xludf.DUMMYFUNCTION("IFERROR(
  LET(
    data, QUERY(GOOGLEFINANCE(C67,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GOOGLEFINANCE(C67, ""price"")) * 100,
    IF(calc=0, G67, calc)
  ), 
G67)"),"#N/A")</f>
        <v>#N/A</v>
      </c>
      <c r="S67" s="8" t="s">
        <v>15</v>
      </c>
      <c r="T67" s="26" t="str">
        <f>IFERROR(__xludf.DUMMYFUNCTION("IFERROR(TRANSPOSE(QUERY(IFERROR(SORT(GOOGLEFINANCE(C67, ""price"", WORKDAY(TODAY(), -40), TODAY()), 1, FALSE)), ""select Col2 where Col2 is not null limit 22 label Col2 ''"", 0)), """")"),"")</f>
        <v/>
      </c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8"/>
      <c r="AO67" s="28"/>
      <c r="AP67" s="29"/>
      <c r="AQ67" s="29" t="str">
        <f t="shared" ref="AQ67:BL67" si="70">T67/T$2</f>
        <v>#N/A</v>
      </c>
      <c r="AR67" s="29" t="str">
        <f t="shared" si="70"/>
        <v>#DIV/0!</v>
      </c>
      <c r="AS67" s="29" t="str">
        <f t="shared" si="70"/>
        <v>#DIV/0!</v>
      </c>
      <c r="AT67" s="29" t="str">
        <f t="shared" si="70"/>
        <v>#DIV/0!</v>
      </c>
      <c r="AU67" s="29" t="str">
        <f t="shared" si="70"/>
        <v>#DIV/0!</v>
      </c>
      <c r="AV67" s="29" t="str">
        <f t="shared" si="70"/>
        <v>#DIV/0!</v>
      </c>
      <c r="AW67" s="29" t="str">
        <f t="shared" si="70"/>
        <v>#DIV/0!</v>
      </c>
      <c r="AX67" s="29" t="str">
        <f t="shared" si="70"/>
        <v>#DIV/0!</v>
      </c>
      <c r="AY67" s="29" t="str">
        <f t="shared" si="70"/>
        <v>#DIV/0!</v>
      </c>
      <c r="AZ67" s="29" t="str">
        <f t="shared" si="70"/>
        <v>#DIV/0!</v>
      </c>
      <c r="BA67" s="29" t="str">
        <f t="shared" si="70"/>
        <v>#DIV/0!</v>
      </c>
      <c r="BB67" s="29" t="str">
        <f t="shared" si="70"/>
        <v>#DIV/0!</v>
      </c>
      <c r="BC67" s="29" t="str">
        <f t="shared" si="70"/>
        <v>#DIV/0!</v>
      </c>
      <c r="BD67" s="29" t="str">
        <f t="shared" si="70"/>
        <v>#DIV/0!</v>
      </c>
      <c r="BE67" s="29" t="str">
        <f t="shared" si="70"/>
        <v>#DIV/0!</v>
      </c>
      <c r="BF67" s="29" t="str">
        <f t="shared" si="70"/>
        <v>#DIV/0!</v>
      </c>
      <c r="BG67" s="29" t="str">
        <f t="shared" si="70"/>
        <v>#DIV/0!</v>
      </c>
      <c r="BH67" s="29" t="str">
        <f t="shared" si="70"/>
        <v>#DIV/0!</v>
      </c>
      <c r="BI67" s="29" t="str">
        <f t="shared" si="70"/>
        <v>#DIV/0!</v>
      </c>
      <c r="BJ67" s="29" t="str">
        <f t="shared" si="70"/>
        <v>#DIV/0!</v>
      </c>
      <c r="BK67" s="29" t="str">
        <f t="shared" si="70"/>
        <v>#DIV/0!</v>
      </c>
      <c r="BL67" s="29" t="str">
        <f t="shared" si="70"/>
        <v>#DIV/0!</v>
      </c>
      <c r="BM67" s="29" t="str">
        <f t="shared" si="3"/>
        <v>#DIV/0!</v>
      </c>
    </row>
    <row r="68">
      <c r="A68" s="16" t="str">
        <f>IFERROR(__xludf.DUMMYFUNCTION("IFERROR(SPARKLINE(SORT(MAP(TRANSPOSE(AQ68:BL68), LAMBDA(val, IF(ISNUMBER(val), PERCENTRANK(AQ68:BL68, val)+0.01, 0))), SEQUENCE(COLUMNS(AQ68:BL68)), FALSE), {""charttype"",""column""; ""color"",""chartreuse""; ""ymin"", 0; ""ymax"", 1.01; ""highcolor"", "&amp;"""darkgreen""; ""lowcolor"", ""red""}), """")"),"")</f>
        <v/>
      </c>
      <c r="B68" s="17" t="str">
        <f t="shared" si="4"/>
        <v/>
      </c>
      <c r="C68" s="1" t="s">
        <v>346</v>
      </c>
      <c r="D68" s="30" t="str">
        <f>IFERROR(__xludf.DUMMYFUNCTION("IFERROR(GOOGLEFINANCE(C68, ""NAME""))"),"Tyler Technologies Inc")</f>
        <v>Tyler Technologies Inc</v>
      </c>
      <c r="E68" s="30" t="s">
        <v>48</v>
      </c>
      <c r="F68" s="33" t="str">
        <f>IFERROR(__xludf.DUMMYFUNCTION("( (GOOGLEFINANCE(C68, ""price"") - Q68) / Q68 ) / (R68 / 100)"),"Loading...")</f>
        <v>Loading...</v>
      </c>
      <c r="G68" s="20" t="str">
        <f>IFERROR(__xludf.DUMMYFUNCTION("AVERAGE(ARRAYFORMULA(100 * (QUERY(GOOGLEFINANCE(C68, ""high"", TODAY()-40, TODAY()), ""SELECT Col2 WHERE Col2 IS NOT NULL ORDER BY Col1 DESC LIMIT 20"", 0) / QUERY(GOOGLEFINANCE(C68, ""low"", TODAY()-40, TODAY()), ""SELECT Col2 WHERE Col2 IS NOT NULL ORDE"&amp;"R BY Col1 DESC LIMIT 20"", 0) - 1)))"),"#N/A")</f>
        <v>#N/A</v>
      </c>
      <c r="H68" s="35" t="str">
        <f t="shared" si="6"/>
        <v/>
      </c>
      <c r="I68" s="36" t="str">
        <f t="shared" si="7"/>
        <v/>
      </c>
      <c r="J68" s="37" t="str">
        <f>IFERROR(__xludf.DUMMYFUNCTION("IFERROR(
  IF(C68="""",, 
    IFERROR(
      GOOGLEFINANCE(C68, ""price"") * GOOGLEFINANCE(C68, ""volumeavg""), 
      GOOGLEFINANCE(C68, ""price"") * AVERAGE(QUERY(GOOGLEFINANCE(C68, ""volume"", TODAY()-40, TODAY()), ""SELECT Col2 WHERE Col2 IS NOT NULL "&amp;"ORDER BY Col1 DESC LIMIT 20"", 0))
    )
  ), 
"""")"),"")</f>
        <v/>
      </c>
      <c r="K68" s="21" t="str">
        <f>IFERROR(__xludf.DUMMYFUNCTION("IFERROR(GOOGLEFINANCE(C68, ""changepct"") / 100, """")"),"")</f>
        <v/>
      </c>
      <c r="L68" s="21" t="str">
        <f>IFERROR(__xludf.DUMMYFUNCTION("IFERROR((GOOGLEFINANCE(C68, ""price"") / INDEX(GOOGLEFINANCE(C68, ""price"", TODAY()-7, TODAY()), 2, 2)) - 1, """")"),"")</f>
        <v/>
      </c>
      <c r="M68" s="21" t="str">
        <f>IFERROR(__xludf.DUMMYFUNCTION("IFERROR((GOOGLEFINANCE(C68, ""price"") / INDEX(GOOGLEFINANCE(C68, ""price"", EDATE(TODAY(), -1), TODAY()), 2, 2)) - 1, """")"),"")</f>
        <v/>
      </c>
      <c r="N68" s="21" t="str">
        <f>IFERROR(__xludf.DUMMYFUNCTION("IFERROR((GOOGLEFINANCE(C68, ""price"") / INDEX(GOOGLEFINANCE(C68, ""price"", EDATE(TODAY(), -3), TODAY()), 2, 2)) - 1, """")"),"")</f>
        <v/>
      </c>
      <c r="O68" s="21" t="str">
        <f>IFERROR(__xludf.DUMMYFUNCTION("IFERROR((GOOGLEFINANCE(C68, ""price"") / INDEX(GOOGLEFINANCE(C68, ""price"", EDATE(TODAY(), -6), TODAY()), 2, 2)) - 1, """")"),"")</f>
        <v/>
      </c>
      <c r="P68" s="21" t="str">
        <f>IFERROR(__xludf.DUMMYFUNCTION("IFERROR((GOOGLEFINANCE(C68, ""price"") / INDEX(GOOGLEFINANCE(C68, ""price"", EDATE(TODAY(), -12), TODAY()), 2, 2)) - 1, """")"),"")</f>
        <v/>
      </c>
      <c r="Q68" s="6" t="str">
        <f>IFERROR(__xludf.DUMMYFUNCTION("AVERAGE(QUERY(GOOGLEFINANCE(C68, ""price"", TODAY()-80, TODAY()), ""SELECT Col2 WHERE Col2 IS NOT NULL ORDER BY Col1 DESC LIMIT 50"", 0))"),"#N/A")</f>
        <v>#N/A</v>
      </c>
      <c r="R68" s="24" t="str">
        <f>IFERROR(__xludf.DUMMYFUNCTION("IFERROR(
  LET(
    data, QUERY(GOOGLEFINANCE(C68,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GOOGLEFINANCE(C68, ""price"")) * 100,
    IF(calc=0, G68, calc)
  ), 
G68)"),"#N/A")</f>
        <v>#N/A</v>
      </c>
      <c r="S68" s="8" t="s">
        <v>15</v>
      </c>
      <c r="T68" s="26" t="str">
        <f>IFERROR(__xludf.DUMMYFUNCTION("IFERROR(TRANSPOSE(QUERY(IFERROR(SORT(GOOGLEFINANCE(C68, ""price"", WORKDAY(TODAY(), -40), TODAY()), 1, FALSE)), ""select Col2 where Col2 is not null limit 22 label Col2 ''"", 0)), """")"),"")</f>
        <v/>
      </c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8"/>
      <c r="AO68" s="28"/>
      <c r="AP68" s="29"/>
      <c r="AQ68" s="29" t="str">
        <f t="shared" ref="AQ68:BL68" si="71">T68/T$2</f>
        <v>#N/A</v>
      </c>
      <c r="AR68" s="29" t="str">
        <f t="shared" si="71"/>
        <v>#DIV/0!</v>
      </c>
      <c r="AS68" s="29" t="str">
        <f t="shared" si="71"/>
        <v>#DIV/0!</v>
      </c>
      <c r="AT68" s="29" t="str">
        <f t="shared" si="71"/>
        <v>#DIV/0!</v>
      </c>
      <c r="AU68" s="29" t="str">
        <f t="shared" si="71"/>
        <v>#DIV/0!</v>
      </c>
      <c r="AV68" s="29" t="str">
        <f t="shared" si="71"/>
        <v>#DIV/0!</v>
      </c>
      <c r="AW68" s="29" t="str">
        <f t="shared" si="71"/>
        <v>#DIV/0!</v>
      </c>
      <c r="AX68" s="29" t="str">
        <f t="shared" si="71"/>
        <v>#DIV/0!</v>
      </c>
      <c r="AY68" s="29" t="str">
        <f t="shared" si="71"/>
        <v>#DIV/0!</v>
      </c>
      <c r="AZ68" s="29" t="str">
        <f t="shared" si="71"/>
        <v>#DIV/0!</v>
      </c>
      <c r="BA68" s="29" t="str">
        <f t="shared" si="71"/>
        <v>#DIV/0!</v>
      </c>
      <c r="BB68" s="29" t="str">
        <f t="shared" si="71"/>
        <v>#DIV/0!</v>
      </c>
      <c r="BC68" s="29" t="str">
        <f t="shared" si="71"/>
        <v>#DIV/0!</v>
      </c>
      <c r="BD68" s="29" t="str">
        <f t="shared" si="71"/>
        <v>#DIV/0!</v>
      </c>
      <c r="BE68" s="29" t="str">
        <f t="shared" si="71"/>
        <v>#DIV/0!</v>
      </c>
      <c r="BF68" s="29" t="str">
        <f t="shared" si="71"/>
        <v>#DIV/0!</v>
      </c>
      <c r="BG68" s="29" t="str">
        <f t="shared" si="71"/>
        <v>#DIV/0!</v>
      </c>
      <c r="BH68" s="29" t="str">
        <f t="shared" si="71"/>
        <v>#DIV/0!</v>
      </c>
      <c r="BI68" s="29" t="str">
        <f t="shared" si="71"/>
        <v>#DIV/0!</v>
      </c>
      <c r="BJ68" s="29" t="str">
        <f t="shared" si="71"/>
        <v>#DIV/0!</v>
      </c>
      <c r="BK68" s="29" t="str">
        <f t="shared" si="71"/>
        <v>#DIV/0!</v>
      </c>
      <c r="BL68" s="29" t="str">
        <f t="shared" si="71"/>
        <v>#DIV/0!</v>
      </c>
      <c r="BM68" s="29" t="str">
        <f t="shared" si="3"/>
        <v>#DIV/0!</v>
      </c>
    </row>
    <row r="69">
      <c r="A69" s="16" t="str">
        <f>IFERROR(__xludf.DUMMYFUNCTION("IFERROR(SPARKLINE(SORT(MAP(TRANSPOSE(AQ69:BL69), LAMBDA(val, IF(ISNUMBER(val), PERCENTRANK(AQ69:BL69, val)+0.01, 0))), SEQUENCE(COLUMNS(AQ69:BL69)), FALSE), {""charttype"",""column""; ""color"",""chartreuse""; ""ymin"", 0; ""ymax"", 1.01; ""highcolor"", "&amp;"""darkgreen""; ""lowcolor"", ""red""}), """")"),"")</f>
        <v/>
      </c>
      <c r="B69" s="17" t="str">
        <f t="shared" si="4"/>
        <v/>
      </c>
      <c r="C69" s="1" t="s">
        <v>349</v>
      </c>
      <c r="D69" s="30" t="str">
        <f>IFERROR(__xludf.DUMMYFUNCTION("IFERROR(GOOGLEFINANCE(C69, ""NAME""))"),"PowerFleet Inc")</f>
        <v>PowerFleet Inc</v>
      </c>
      <c r="E69" s="30" t="s">
        <v>58</v>
      </c>
      <c r="F69" s="38" t="str">
        <f>IFERROR(__xludf.DUMMYFUNCTION("( (GOOGLEFINANCE(C69, ""price"") - Q69) / Q69 ) / (R69 / 100)"),"Loading...")</f>
        <v>Loading...</v>
      </c>
      <c r="G69" s="20" t="str">
        <f>IFERROR(__xludf.DUMMYFUNCTION("AVERAGE(ARRAYFORMULA(100 * (QUERY(GOOGLEFINANCE(C69, ""high"", TODAY()-40, TODAY()), ""SELECT Col2 WHERE Col2 IS NOT NULL ORDER BY Col1 DESC LIMIT 20"", 0) / QUERY(GOOGLEFINANCE(C69, ""low"", TODAY()-40, TODAY()), ""SELECT Col2 WHERE Col2 IS NOT NULL ORDE"&amp;"R BY Col1 DESC LIMIT 20"", 0) - 1)))"),"#N/A")</f>
        <v>#N/A</v>
      </c>
      <c r="H69" s="35" t="str">
        <f t="shared" si="6"/>
        <v/>
      </c>
      <c r="I69" s="36" t="str">
        <f t="shared" si="7"/>
        <v/>
      </c>
      <c r="J69" s="37" t="str">
        <f>IFERROR(__xludf.DUMMYFUNCTION("IFERROR(
  IF(C69="""",, 
    IFERROR(
      GOOGLEFINANCE(C69, ""price"") * GOOGLEFINANCE(C69, ""volumeavg""), 
      GOOGLEFINANCE(C69, ""price"") * AVERAGE(QUERY(GOOGLEFINANCE(C69, ""volume"", TODAY()-40, TODAY()), ""SELECT Col2 WHERE Col2 IS NOT NULL "&amp;"ORDER BY Col1 DESC LIMIT 20"", 0))
    )
  ), 
"""")"),"")</f>
        <v/>
      </c>
      <c r="K69" s="21" t="str">
        <f>IFERROR(__xludf.DUMMYFUNCTION("IFERROR(GOOGLEFINANCE(C69, ""changepct"") / 100, """")"),"")</f>
        <v/>
      </c>
      <c r="L69" s="21" t="str">
        <f>IFERROR(__xludf.DUMMYFUNCTION("IFERROR((GOOGLEFINANCE(C69, ""price"") / INDEX(GOOGLEFINANCE(C69, ""price"", TODAY()-7, TODAY()), 2, 2)) - 1, """")"),"")</f>
        <v/>
      </c>
      <c r="M69" s="21" t="str">
        <f>IFERROR(__xludf.DUMMYFUNCTION("IFERROR((GOOGLEFINANCE(C69, ""price"") / INDEX(GOOGLEFINANCE(C69, ""price"", EDATE(TODAY(), -1), TODAY()), 2, 2)) - 1, """")"),"")</f>
        <v/>
      </c>
      <c r="N69" s="21" t="str">
        <f>IFERROR(__xludf.DUMMYFUNCTION("IFERROR((GOOGLEFINANCE(C69, ""price"") / INDEX(GOOGLEFINANCE(C69, ""price"", EDATE(TODAY(), -3), TODAY()), 2, 2)) - 1, """")"),"")</f>
        <v/>
      </c>
      <c r="O69" s="21" t="str">
        <f>IFERROR(__xludf.DUMMYFUNCTION("IFERROR((GOOGLEFINANCE(C69, ""price"") / INDEX(GOOGLEFINANCE(C69, ""price"", EDATE(TODAY(), -6), TODAY()), 2, 2)) - 1, """")"),"")</f>
        <v/>
      </c>
      <c r="P69" s="21" t="str">
        <f>IFERROR(__xludf.DUMMYFUNCTION("IFERROR((GOOGLEFINANCE(C69, ""price"") / INDEX(GOOGLEFINANCE(C69, ""price"", EDATE(TODAY(), -12), TODAY()), 2, 2)) - 1, """")"),"")</f>
        <v/>
      </c>
      <c r="Q69" s="6" t="str">
        <f>IFERROR(__xludf.DUMMYFUNCTION("AVERAGE(QUERY(GOOGLEFINANCE(C69, ""price"", TODAY()-80, TODAY()), ""SELECT Col2 WHERE Col2 IS NOT NULL ORDER BY Col1 DESC LIMIT 50"", 0))"),"#N/A")</f>
        <v>#N/A</v>
      </c>
      <c r="R69" s="24" t="str">
        <f>IFERROR(__xludf.DUMMYFUNCTION("IFERROR(
  LET(
    data, QUERY(GOOGLEFINANCE(C69,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GOOGLEFINANCE(C69, ""price"")) * 100,
    IF(calc=0, G69, calc)
  ), 
G69)"),"#N/A")</f>
        <v>#N/A</v>
      </c>
      <c r="S69" s="8" t="s">
        <v>15</v>
      </c>
      <c r="T69" s="26" t="str">
        <f>IFERROR(__xludf.DUMMYFUNCTION("IFERROR(TRANSPOSE(QUERY(IFERROR(SORT(GOOGLEFINANCE(C69, ""price"", WORKDAY(TODAY(), -40), TODAY()), 1, FALSE)), ""select Col2 where Col2 is not null limit 22 label Col2 ''"", 0)), """")"),"")</f>
        <v/>
      </c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8"/>
      <c r="AO69" s="28"/>
      <c r="AP69" s="29"/>
      <c r="AQ69" s="29" t="str">
        <f t="shared" ref="AQ69:BL69" si="72">T69/T$2</f>
        <v>#N/A</v>
      </c>
      <c r="AR69" s="29" t="str">
        <f t="shared" si="72"/>
        <v>#DIV/0!</v>
      </c>
      <c r="AS69" s="29" t="str">
        <f t="shared" si="72"/>
        <v>#DIV/0!</v>
      </c>
      <c r="AT69" s="29" t="str">
        <f t="shared" si="72"/>
        <v>#DIV/0!</v>
      </c>
      <c r="AU69" s="29" t="str">
        <f t="shared" si="72"/>
        <v>#DIV/0!</v>
      </c>
      <c r="AV69" s="29" t="str">
        <f t="shared" si="72"/>
        <v>#DIV/0!</v>
      </c>
      <c r="AW69" s="29" t="str">
        <f t="shared" si="72"/>
        <v>#DIV/0!</v>
      </c>
      <c r="AX69" s="29" t="str">
        <f t="shared" si="72"/>
        <v>#DIV/0!</v>
      </c>
      <c r="AY69" s="29" t="str">
        <f t="shared" si="72"/>
        <v>#DIV/0!</v>
      </c>
      <c r="AZ69" s="29" t="str">
        <f t="shared" si="72"/>
        <v>#DIV/0!</v>
      </c>
      <c r="BA69" s="29" t="str">
        <f t="shared" si="72"/>
        <v>#DIV/0!</v>
      </c>
      <c r="BB69" s="29" t="str">
        <f t="shared" si="72"/>
        <v>#DIV/0!</v>
      </c>
      <c r="BC69" s="29" t="str">
        <f t="shared" si="72"/>
        <v>#DIV/0!</v>
      </c>
      <c r="BD69" s="29" t="str">
        <f t="shared" si="72"/>
        <v>#DIV/0!</v>
      </c>
      <c r="BE69" s="29" t="str">
        <f t="shared" si="72"/>
        <v>#DIV/0!</v>
      </c>
      <c r="BF69" s="29" t="str">
        <f t="shared" si="72"/>
        <v>#DIV/0!</v>
      </c>
      <c r="BG69" s="29" t="str">
        <f t="shared" si="72"/>
        <v>#DIV/0!</v>
      </c>
      <c r="BH69" s="29" t="str">
        <f t="shared" si="72"/>
        <v>#DIV/0!</v>
      </c>
      <c r="BI69" s="29" t="str">
        <f t="shared" si="72"/>
        <v>#DIV/0!</v>
      </c>
      <c r="BJ69" s="29" t="str">
        <f t="shared" si="72"/>
        <v>#DIV/0!</v>
      </c>
      <c r="BK69" s="29" t="str">
        <f t="shared" si="72"/>
        <v>#DIV/0!</v>
      </c>
      <c r="BL69" s="29" t="str">
        <f t="shared" si="72"/>
        <v>#DIV/0!</v>
      </c>
      <c r="BM69" s="29" t="str">
        <f t="shared" si="3"/>
        <v>#DIV/0!</v>
      </c>
    </row>
    <row r="70">
      <c r="A70" s="16" t="str">
        <f>IFERROR(__xludf.DUMMYFUNCTION("IFERROR(SPARKLINE(SORT(MAP(TRANSPOSE(AQ70:BL70), LAMBDA(val, IF(ISNUMBER(val), PERCENTRANK(AQ70:BL70, val)+0.01, 0))), SEQUENCE(COLUMNS(AQ70:BL70)), FALSE), {""charttype"",""column""; ""color"",""chartreuse""; ""ymin"", 0; ""ymax"", 1.01; ""highcolor"", "&amp;"""darkgreen""; ""lowcolor"", ""red""}), """")"),"")</f>
        <v/>
      </c>
      <c r="B70" s="17" t="str">
        <f t="shared" si="4"/>
        <v/>
      </c>
      <c r="C70" s="1" t="s">
        <v>351</v>
      </c>
      <c r="D70" s="30" t="str">
        <f>IFERROR(__xludf.DUMMYFUNCTION("IFERROR(GOOGLEFINANCE(C70, ""NAME""))"),"Elastic NV")</f>
        <v>Elastic NV</v>
      </c>
      <c r="E70" s="30" t="s">
        <v>48</v>
      </c>
      <c r="F70" s="33" t="str">
        <f>IFERROR(__xludf.DUMMYFUNCTION("( (GOOGLEFINANCE(C70, ""price"") - Q70) / Q70 ) / (R70 / 100)"),"Loading...")</f>
        <v>Loading...</v>
      </c>
      <c r="G70" s="20" t="str">
        <f>IFERROR(__xludf.DUMMYFUNCTION("AVERAGE(ARRAYFORMULA(100 * (QUERY(GOOGLEFINANCE(C70, ""high"", TODAY()-40, TODAY()), ""SELECT Col2 WHERE Col2 IS NOT NULL ORDER BY Col1 DESC LIMIT 20"", 0) / QUERY(GOOGLEFINANCE(C70, ""low"", TODAY()-40, TODAY()), ""SELECT Col2 WHERE Col2 IS NOT NULL ORDE"&amp;"R BY Col1 DESC LIMIT 20"", 0) - 1)))"),"#N/A")</f>
        <v>#N/A</v>
      </c>
      <c r="H70" s="35" t="str">
        <f t="shared" si="6"/>
        <v/>
      </c>
      <c r="I70" s="36" t="str">
        <f t="shared" si="7"/>
        <v/>
      </c>
      <c r="J70" s="37" t="str">
        <f>IFERROR(__xludf.DUMMYFUNCTION("IFERROR(
  IF(C70="""",, 
    IFERROR(
      GOOGLEFINANCE(C70, ""price"") * GOOGLEFINANCE(C70, ""volumeavg""), 
      GOOGLEFINANCE(C70, ""price"") * AVERAGE(QUERY(GOOGLEFINANCE(C70, ""volume"", TODAY()-40, TODAY()), ""SELECT Col2 WHERE Col2 IS NOT NULL "&amp;"ORDER BY Col1 DESC LIMIT 20"", 0))
    )
  ), 
"""")"),"")</f>
        <v/>
      </c>
      <c r="K70" s="21" t="str">
        <f>IFERROR(__xludf.DUMMYFUNCTION("IFERROR(GOOGLEFINANCE(C70, ""changepct"") / 100, """")"),"")</f>
        <v/>
      </c>
      <c r="L70" s="21" t="str">
        <f>IFERROR(__xludf.DUMMYFUNCTION("IFERROR((GOOGLEFINANCE(C70, ""price"") / INDEX(GOOGLEFINANCE(C70, ""price"", TODAY()-7, TODAY()), 2, 2)) - 1, """")"),"")</f>
        <v/>
      </c>
      <c r="M70" s="21" t="str">
        <f>IFERROR(__xludf.DUMMYFUNCTION("IFERROR((GOOGLEFINANCE(C70, ""price"") / INDEX(GOOGLEFINANCE(C70, ""price"", EDATE(TODAY(), -1), TODAY()), 2, 2)) - 1, """")"),"")</f>
        <v/>
      </c>
      <c r="N70" s="21" t="str">
        <f>IFERROR(__xludf.DUMMYFUNCTION("IFERROR((GOOGLEFINANCE(C70, ""price"") / INDEX(GOOGLEFINANCE(C70, ""price"", EDATE(TODAY(), -3), TODAY()), 2, 2)) - 1, """")"),"")</f>
        <v/>
      </c>
      <c r="O70" s="21" t="str">
        <f>IFERROR(__xludf.DUMMYFUNCTION("IFERROR((GOOGLEFINANCE(C70, ""price"") / INDEX(GOOGLEFINANCE(C70, ""price"", EDATE(TODAY(), -6), TODAY()), 2, 2)) - 1, """")"),"")</f>
        <v/>
      </c>
      <c r="P70" s="21" t="str">
        <f>IFERROR(__xludf.DUMMYFUNCTION("IFERROR((GOOGLEFINANCE(C70, ""price"") / INDEX(GOOGLEFINANCE(C70, ""price"", EDATE(TODAY(), -12), TODAY()), 2, 2)) - 1, """")"),"")</f>
        <v/>
      </c>
      <c r="Q70" s="6" t="str">
        <f>IFERROR(__xludf.DUMMYFUNCTION("AVERAGE(QUERY(GOOGLEFINANCE(C70, ""price"", TODAY()-80, TODAY()), ""SELECT Col2 WHERE Col2 IS NOT NULL ORDER BY Col1 DESC LIMIT 50"", 0))"),"#N/A")</f>
        <v>#N/A</v>
      </c>
      <c r="R70" s="24" t="str">
        <f>IFERROR(__xludf.DUMMYFUNCTION("IFERROR(
  LET(
    data, QUERY(GOOGLEFINANCE(C70,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GOOGLEFINANCE(C70, ""price"")) * 100,
    IF(calc=0, G70, calc)
  ), 
G70)"),"#N/A")</f>
        <v>#N/A</v>
      </c>
      <c r="S70" s="8" t="s">
        <v>15</v>
      </c>
      <c r="T70" s="26" t="str">
        <f>IFERROR(__xludf.DUMMYFUNCTION("IFERROR(TRANSPOSE(QUERY(IFERROR(SORT(GOOGLEFINANCE(C70, ""price"", WORKDAY(TODAY(), -40), TODAY()), 1, FALSE)), ""select Col2 where Col2 is not null limit 22 label Col2 ''"", 0)), """")"),"")</f>
        <v/>
      </c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8"/>
      <c r="AO70" s="28"/>
      <c r="AP70" s="29"/>
      <c r="AQ70" s="29" t="str">
        <f t="shared" ref="AQ70:BL70" si="73">T70/T$2</f>
        <v>#N/A</v>
      </c>
      <c r="AR70" s="29" t="str">
        <f t="shared" si="73"/>
        <v>#DIV/0!</v>
      </c>
      <c r="AS70" s="29" t="str">
        <f t="shared" si="73"/>
        <v>#DIV/0!</v>
      </c>
      <c r="AT70" s="29" t="str">
        <f t="shared" si="73"/>
        <v>#DIV/0!</v>
      </c>
      <c r="AU70" s="29" t="str">
        <f t="shared" si="73"/>
        <v>#DIV/0!</v>
      </c>
      <c r="AV70" s="29" t="str">
        <f t="shared" si="73"/>
        <v>#DIV/0!</v>
      </c>
      <c r="AW70" s="29" t="str">
        <f t="shared" si="73"/>
        <v>#DIV/0!</v>
      </c>
      <c r="AX70" s="29" t="str">
        <f t="shared" si="73"/>
        <v>#DIV/0!</v>
      </c>
      <c r="AY70" s="29" t="str">
        <f t="shared" si="73"/>
        <v>#DIV/0!</v>
      </c>
      <c r="AZ70" s="29" t="str">
        <f t="shared" si="73"/>
        <v>#DIV/0!</v>
      </c>
      <c r="BA70" s="29" t="str">
        <f t="shared" si="73"/>
        <v>#DIV/0!</v>
      </c>
      <c r="BB70" s="29" t="str">
        <f t="shared" si="73"/>
        <v>#DIV/0!</v>
      </c>
      <c r="BC70" s="29" t="str">
        <f t="shared" si="73"/>
        <v>#DIV/0!</v>
      </c>
      <c r="BD70" s="29" t="str">
        <f t="shared" si="73"/>
        <v>#DIV/0!</v>
      </c>
      <c r="BE70" s="29" t="str">
        <f t="shared" si="73"/>
        <v>#DIV/0!</v>
      </c>
      <c r="BF70" s="29" t="str">
        <f t="shared" si="73"/>
        <v>#DIV/0!</v>
      </c>
      <c r="BG70" s="29" t="str">
        <f t="shared" si="73"/>
        <v>#DIV/0!</v>
      </c>
      <c r="BH70" s="29" t="str">
        <f t="shared" si="73"/>
        <v>#DIV/0!</v>
      </c>
      <c r="BI70" s="29" t="str">
        <f t="shared" si="73"/>
        <v>#DIV/0!</v>
      </c>
      <c r="BJ70" s="29" t="str">
        <f t="shared" si="73"/>
        <v>#DIV/0!</v>
      </c>
      <c r="BK70" s="29" t="str">
        <f t="shared" si="73"/>
        <v>#DIV/0!</v>
      </c>
      <c r="BL70" s="29" t="str">
        <f t="shared" si="73"/>
        <v>#DIV/0!</v>
      </c>
      <c r="BM70" s="29" t="str">
        <f t="shared" si="3"/>
        <v>#DIV/0!</v>
      </c>
    </row>
    <row r="71">
      <c r="A71" s="16" t="str">
        <f>IFERROR(__xludf.DUMMYFUNCTION("IFERROR(SPARKLINE(SORT(MAP(TRANSPOSE(AQ71:BL71), LAMBDA(val, IF(ISNUMBER(val), PERCENTRANK(AQ71:BL71, val)+0.01, 0))), SEQUENCE(COLUMNS(AQ71:BL71)), FALSE), {""charttype"",""column""; ""color"",""chartreuse""; ""ymin"", 0; ""ymax"", 1.01; ""highcolor"", "&amp;"""darkgreen""; ""lowcolor"", ""red""}), """")"),"")</f>
        <v/>
      </c>
      <c r="B71" s="17" t="str">
        <f t="shared" si="4"/>
        <v/>
      </c>
      <c r="C71" s="1" t="s">
        <v>355</v>
      </c>
      <c r="D71" s="30" t="str">
        <f>IFERROR(__xludf.DUMMYFUNCTION("IFERROR(GOOGLEFINANCE(C71, ""NAME""))"),"Arqit Quantum Inc")</f>
        <v>Arqit Quantum Inc</v>
      </c>
      <c r="E71" s="30" t="s">
        <v>58</v>
      </c>
      <c r="F71" s="33" t="str">
        <f>IFERROR(__xludf.DUMMYFUNCTION("( (GOOGLEFINANCE(C71, ""price"") - Q71) / Q71 ) / (R71 / 100)"),"Loading...")</f>
        <v>Loading...</v>
      </c>
      <c r="G71" s="20" t="str">
        <f>IFERROR(__xludf.DUMMYFUNCTION("AVERAGE(ARRAYFORMULA(100 * (QUERY(GOOGLEFINANCE(C71, ""high"", TODAY()-40, TODAY()), ""SELECT Col2 WHERE Col2 IS NOT NULL ORDER BY Col1 DESC LIMIT 20"", 0) / QUERY(GOOGLEFINANCE(C71, ""low"", TODAY()-40, TODAY()), ""SELECT Col2 WHERE Col2 IS NOT NULL ORDE"&amp;"R BY Col1 DESC LIMIT 20"", 0) - 1)))"),"#N/A")</f>
        <v>#N/A</v>
      </c>
      <c r="H71" s="35" t="str">
        <f t="shared" si="6"/>
        <v/>
      </c>
      <c r="I71" s="36" t="str">
        <f t="shared" si="7"/>
        <v/>
      </c>
      <c r="J71" s="37" t="str">
        <f>IFERROR(__xludf.DUMMYFUNCTION("IFERROR(
  IF(C71="""",, 
    IFERROR(
      GOOGLEFINANCE(C71, ""price"") * GOOGLEFINANCE(C71, ""volumeavg""), 
      GOOGLEFINANCE(C71, ""price"") * AVERAGE(QUERY(GOOGLEFINANCE(C71, ""volume"", TODAY()-40, TODAY()), ""SELECT Col2 WHERE Col2 IS NOT NULL "&amp;"ORDER BY Col1 DESC LIMIT 20"", 0))
    )
  ), 
"""")"),"")</f>
        <v/>
      </c>
      <c r="K71" s="21" t="str">
        <f>IFERROR(__xludf.DUMMYFUNCTION("IFERROR(GOOGLEFINANCE(C71, ""changepct"") / 100, """")"),"")</f>
        <v/>
      </c>
      <c r="L71" s="21" t="str">
        <f>IFERROR(__xludf.DUMMYFUNCTION("IFERROR((GOOGLEFINANCE(C71, ""price"") / INDEX(GOOGLEFINANCE(C71, ""price"", TODAY()-7, TODAY()), 2, 2)) - 1, """")"),"")</f>
        <v/>
      </c>
      <c r="M71" s="21" t="str">
        <f>IFERROR(__xludf.DUMMYFUNCTION("IFERROR((GOOGLEFINANCE(C71, ""price"") / INDEX(GOOGLEFINANCE(C71, ""price"", EDATE(TODAY(), -1), TODAY()), 2, 2)) - 1, """")"),"")</f>
        <v/>
      </c>
      <c r="N71" s="21" t="str">
        <f>IFERROR(__xludf.DUMMYFUNCTION("IFERROR((GOOGLEFINANCE(C71, ""price"") / INDEX(GOOGLEFINANCE(C71, ""price"", EDATE(TODAY(), -3), TODAY()), 2, 2)) - 1, """")"),"")</f>
        <v/>
      </c>
      <c r="O71" s="21" t="str">
        <f>IFERROR(__xludf.DUMMYFUNCTION("IFERROR((GOOGLEFINANCE(C71, ""price"") / INDEX(GOOGLEFINANCE(C71, ""price"", EDATE(TODAY(), -6), TODAY()), 2, 2)) - 1, """")"),"")</f>
        <v/>
      </c>
      <c r="P71" s="21" t="str">
        <f>IFERROR(__xludf.DUMMYFUNCTION("IFERROR((GOOGLEFINANCE(C71, ""price"") / INDEX(GOOGLEFINANCE(C71, ""price"", EDATE(TODAY(), -12), TODAY()), 2, 2)) - 1, """")"),"")</f>
        <v/>
      </c>
      <c r="Q71" s="6" t="str">
        <f>IFERROR(__xludf.DUMMYFUNCTION("AVERAGE(QUERY(GOOGLEFINANCE(C71, ""price"", TODAY()-80, TODAY()), ""SELECT Col2 WHERE Col2 IS NOT NULL ORDER BY Col1 DESC LIMIT 50"", 0))"),"#N/A")</f>
        <v>#N/A</v>
      </c>
      <c r="R71" s="24" t="str">
        <f>IFERROR(__xludf.DUMMYFUNCTION("IFERROR(
  LET(
    data, QUERY(GOOGLEFINANCE(C71,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GOOGLEFINANCE(C71, ""price"")) * 100,
    IF(calc=0, G71, calc)
  ), 
G71)"),"#N/A")</f>
        <v>#N/A</v>
      </c>
      <c r="S71" s="8" t="s">
        <v>15</v>
      </c>
      <c r="T71" s="26" t="str">
        <f>IFERROR(__xludf.DUMMYFUNCTION("IFERROR(TRANSPOSE(QUERY(IFERROR(SORT(GOOGLEFINANCE(C71, ""price"", WORKDAY(TODAY(), -40), TODAY()), 1, FALSE)), ""select Col2 where Col2 is not null limit 22 label Col2 ''"", 0)), """")"),"")</f>
        <v/>
      </c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8"/>
      <c r="AO71" s="28"/>
      <c r="AP71" s="29"/>
      <c r="AQ71" s="29" t="str">
        <f t="shared" ref="AQ71:BL71" si="74">T71/T$2</f>
        <v>#N/A</v>
      </c>
      <c r="AR71" s="29" t="str">
        <f t="shared" si="74"/>
        <v>#DIV/0!</v>
      </c>
      <c r="AS71" s="29" t="str">
        <f t="shared" si="74"/>
        <v>#DIV/0!</v>
      </c>
      <c r="AT71" s="29" t="str">
        <f t="shared" si="74"/>
        <v>#DIV/0!</v>
      </c>
      <c r="AU71" s="29" t="str">
        <f t="shared" si="74"/>
        <v>#DIV/0!</v>
      </c>
      <c r="AV71" s="29" t="str">
        <f t="shared" si="74"/>
        <v>#DIV/0!</v>
      </c>
      <c r="AW71" s="29" t="str">
        <f t="shared" si="74"/>
        <v>#DIV/0!</v>
      </c>
      <c r="AX71" s="29" t="str">
        <f t="shared" si="74"/>
        <v>#DIV/0!</v>
      </c>
      <c r="AY71" s="29" t="str">
        <f t="shared" si="74"/>
        <v>#DIV/0!</v>
      </c>
      <c r="AZ71" s="29" t="str">
        <f t="shared" si="74"/>
        <v>#DIV/0!</v>
      </c>
      <c r="BA71" s="29" t="str">
        <f t="shared" si="74"/>
        <v>#DIV/0!</v>
      </c>
      <c r="BB71" s="29" t="str">
        <f t="shared" si="74"/>
        <v>#DIV/0!</v>
      </c>
      <c r="BC71" s="29" t="str">
        <f t="shared" si="74"/>
        <v>#DIV/0!</v>
      </c>
      <c r="BD71" s="29" t="str">
        <f t="shared" si="74"/>
        <v>#DIV/0!</v>
      </c>
      <c r="BE71" s="29" t="str">
        <f t="shared" si="74"/>
        <v>#DIV/0!</v>
      </c>
      <c r="BF71" s="29" t="str">
        <f t="shared" si="74"/>
        <v>#DIV/0!</v>
      </c>
      <c r="BG71" s="29" t="str">
        <f t="shared" si="74"/>
        <v>#DIV/0!</v>
      </c>
      <c r="BH71" s="29" t="str">
        <f t="shared" si="74"/>
        <v>#DIV/0!</v>
      </c>
      <c r="BI71" s="29" t="str">
        <f t="shared" si="74"/>
        <v>#DIV/0!</v>
      </c>
      <c r="BJ71" s="29" t="str">
        <f t="shared" si="74"/>
        <v>#DIV/0!</v>
      </c>
      <c r="BK71" s="29" t="str">
        <f t="shared" si="74"/>
        <v>#DIV/0!</v>
      </c>
      <c r="BL71" s="29" t="str">
        <f t="shared" si="74"/>
        <v>#DIV/0!</v>
      </c>
      <c r="BM71" s="29" t="str">
        <f t="shared" si="3"/>
        <v>#DIV/0!</v>
      </c>
    </row>
    <row r="72">
      <c r="A72" s="16" t="str">
        <f>IFERROR(__xludf.DUMMYFUNCTION("IFERROR(SPARKLINE(SORT(MAP(TRANSPOSE(AQ72:BL72), LAMBDA(val, IF(ISNUMBER(val), PERCENTRANK(AQ72:BL72, val)+0.01, 0))), SEQUENCE(COLUMNS(AQ72:BL72)), FALSE), {""charttype"",""column""; ""color"",""chartreuse""; ""ymin"", 0; ""ymax"", 1.01; ""highcolor"", "&amp;"""darkgreen""; ""lowcolor"", ""red""}), """")"),"")</f>
        <v/>
      </c>
      <c r="B72" s="17" t="str">
        <f t="shared" si="4"/>
        <v/>
      </c>
      <c r="C72" s="1" t="s">
        <v>358</v>
      </c>
      <c r="D72" s="30" t="str">
        <f>IFERROR(__xludf.DUMMYFUNCTION("IFERROR(GOOGLEFINANCE(C72, ""NAME""))"),"Verra Mobility Corp")</f>
        <v>Verra Mobility Corp</v>
      </c>
      <c r="E72" s="30" t="s">
        <v>102</v>
      </c>
      <c r="F72" s="33" t="str">
        <f>IFERROR(__xludf.DUMMYFUNCTION("( (GOOGLEFINANCE(C72, ""price"") - Q72) / Q72 ) / (R72 / 100)"),"Loading...")</f>
        <v>Loading...</v>
      </c>
      <c r="G72" s="20" t="str">
        <f>IFERROR(__xludf.DUMMYFUNCTION("AVERAGE(ARRAYFORMULA(100 * (QUERY(GOOGLEFINANCE(C72, ""high"", TODAY()-40, TODAY()), ""SELECT Col2 WHERE Col2 IS NOT NULL ORDER BY Col1 DESC LIMIT 20"", 0) / QUERY(GOOGLEFINANCE(C72, ""low"", TODAY()-40, TODAY()), ""SELECT Col2 WHERE Col2 IS NOT NULL ORDE"&amp;"R BY Col1 DESC LIMIT 20"", 0) - 1)))"),"#N/A")</f>
        <v>#N/A</v>
      </c>
      <c r="H72" s="35" t="str">
        <f t="shared" si="6"/>
        <v/>
      </c>
      <c r="I72" s="36" t="str">
        <f t="shared" si="7"/>
        <v/>
      </c>
      <c r="J72" s="37" t="str">
        <f>IFERROR(__xludf.DUMMYFUNCTION("IFERROR(
  IF(C72="""",, 
    IFERROR(
      GOOGLEFINANCE(C72, ""price"") * GOOGLEFINANCE(C72, ""volumeavg""), 
      GOOGLEFINANCE(C72, ""price"") * AVERAGE(QUERY(GOOGLEFINANCE(C72, ""volume"", TODAY()-40, TODAY()), ""SELECT Col2 WHERE Col2 IS NOT NULL "&amp;"ORDER BY Col1 DESC LIMIT 20"", 0))
    )
  ), 
"""")"),"")</f>
        <v/>
      </c>
      <c r="K72" s="21" t="str">
        <f>IFERROR(__xludf.DUMMYFUNCTION("IFERROR(GOOGLEFINANCE(C72, ""changepct"") / 100, """")"),"")</f>
        <v/>
      </c>
      <c r="L72" s="21" t="str">
        <f>IFERROR(__xludf.DUMMYFUNCTION("IFERROR((GOOGLEFINANCE(C72, ""price"") / INDEX(GOOGLEFINANCE(C72, ""price"", TODAY()-7, TODAY()), 2, 2)) - 1, """")"),"")</f>
        <v/>
      </c>
      <c r="M72" s="21" t="str">
        <f>IFERROR(__xludf.DUMMYFUNCTION("IFERROR((GOOGLEFINANCE(C72, ""price"") / INDEX(GOOGLEFINANCE(C72, ""price"", EDATE(TODAY(), -1), TODAY()), 2, 2)) - 1, """")"),"")</f>
        <v/>
      </c>
      <c r="N72" s="21" t="str">
        <f>IFERROR(__xludf.DUMMYFUNCTION("IFERROR((GOOGLEFINANCE(C72, ""price"") / INDEX(GOOGLEFINANCE(C72, ""price"", EDATE(TODAY(), -3), TODAY()), 2, 2)) - 1, """")"),"")</f>
        <v/>
      </c>
      <c r="O72" s="21" t="str">
        <f>IFERROR(__xludf.DUMMYFUNCTION("IFERROR((GOOGLEFINANCE(C72, ""price"") / INDEX(GOOGLEFINANCE(C72, ""price"", EDATE(TODAY(), -6), TODAY()), 2, 2)) - 1, """")"),"")</f>
        <v/>
      </c>
      <c r="P72" s="21" t="str">
        <f>IFERROR(__xludf.DUMMYFUNCTION("IFERROR((GOOGLEFINANCE(C72, ""price"") / INDEX(GOOGLEFINANCE(C72, ""price"", EDATE(TODAY(), -12), TODAY()), 2, 2)) - 1, """")"),"")</f>
        <v/>
      </c>
      <c r="Q72" s="6" t="str">
        <f>IFERROR(__xludf.DUMMYFUNCTION("AVERAGE(QUERY(GOOGLEFINANCE(C72, ""price"", TODAY()-80, TODAY()), ""SELECT Col2 WHERE Col2 IS NOT NULL ORDER BY Col1 DESC LIMIT 50"", 0))"),"#N/A")</f>
        <v>#N/A</v>
      </c>
      <c r="R72" s="24" t="str">
        <f>IFERROR(__xludf.DUMMYFUNCTION("IFERROR(
  LET(
    data, QUERY(GOOGLEFINANCE(C72,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GOOGLEFINANCE(C72, ""price"")) * 100,
    IF(calc=0, G72, calc)
  ), 
G72)"),"#N/A")</f>
        <v>#N/A</v>
      </c>
      <c r="S72" s="8" t="s">
        <v>15</v>
      </c>
      <c r="T72" s="26" t="str">
        <f>IFERROR(__xludf.DUMMYFUNCTION("IFERROR(TRANSPOSE(QUERY(IFERROR(SORT(GOOGLEFINANCE(C72, ""price"", WORKDAY(TODAY(), -40), TODAY()), 1, FALSE)), ""select Col2 where Col2 is not null limit 22 label Col2 ''"", 0)), """")"),"")</f>
        <v/>
      </c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8"/>
      <c r="AO72" s="28"/>
      <c r="AP72" s="29"/>
      <c r="AQ72" s="29" t="str">
        <f t="shared" ref="AQ72:BL72" si="75">T72/T$2</f>
        <v>#N/A</v>
      </c>
      <c r="AR72" s="29" t="str">
        <f t="shared" si="75"/>
        <v>#DIV/0!</v>
      </c>
      <c r="AS72" s="29" t="str">
        <f t="shared" si="75"/>
        <v>#DIV/0!</v>
      </c>
      <c r="AT72" s="29" t="str">
        <f t="shared" si="75"/>
        <v>#DIV/0!</v>
      </c>
      <c r="AU72" s="29" t="str">
        <f t="shared" si="75"/>
        <v>#DIV/0!</v>
      </c>
      <c r="AV72" s="29" t="str">
        <f t="shared" si="75"/>
        <v>#DIV/0!</v>
      </c>
      <c r="AW72" s="29" t="str">
        <f t="shared" si="75"/>
        <v>#DIV/0!</v>
      </c>
      <c r="AX72" s="29" t="str">
        <f t="shared" si="75"/>
        <v>#DIV/0!</v>
      </c>
      <c r="AY72" s="29" t="str">
        <f t="shared" si="75"/>
        <v>#DIV/0!</v>
      </c>
      <c r="AZ72" s="29" t="str">
        <f t="shared" si="75"/>
        <v>#DIV/0!</v>
      </c>
      <c r="BA72" s="29" t="str">
        <f t="shared" si="75"/>
        <v>#DIV/0!</v>
      </c>
      <c r="BB72" s="29" t="str">
        <f t="shared" si="75"/>
        <v>#DIV/0!</v>
      </c>
      <c r="BC72" s="29" t="str">
        <f t="shared" si="75"/>
        <v>#DIV/0!</v>
      </c>
      <c r="BD72" s="29" t="str">
        <f t="shared" si="75"/>
        <v>#DIV/0!</v>
      </c>
      <c r="BE72" s="29" t="str">
        <f t="shared" si="75"/>
        <v>#DIV/0!</v>
      </c>
      <c r="BF72" s="29" t="str">
        <f t="shared" si="75"/>
        <v>#DIV/0!</v>
      </c>
      <c r="BG72" s="29" t="str">
        <f t="shared" si="75"/>
        <v>#DIV/0!</v>
      </c>
      <c r="BH72" s="29" t="str">
        <f t="shared" si="75"/>
        <v>#DIV/0!</v>
      </c>
      <c r="BI72" s="29" t="str">
        <f t="shared" si="75"/>
        <v>#DIV/0!</v>
      </c>
      <c r="BJ72" s="29" t="str">
        <f t="shared" si="75"/>
        <v>#DIV/0!</v>
      </c>
      <c r="BK72" s="29" t="str">
        <f t="shared" si="75"/>
        <v>#DIV/0!</v>
      </c>
      <c r="BL72" s="29" t="str">
        <f t="shared" si="75"/>
        <v>#DIV/0!</v>
      </c>
      <c r="BM72" s="29" t="str">
        <f t="shared" si="3"/>
        <v>#DIV/0!</v>
      </c>
    </row>
    <row r="73">
      <c r="A73" s="16" t="str">
        <f>IFERROR(__xludf.DUMMYFUNCTION("IFERROR(SPARKLINE(SORT(MAP(TRANSPOSE(AQ73:BL73), LAMBDA(val, IF(ISNUMBER(val), PERCENTRANK(AQ73:BL73, val)+0.01, 0))), SEQUENCE(COLUMNS(AQ73:BL73)), FALSE), {""charttype"",""column""; ""color"",""chartreuse""; ""ymin"", 0; ""ymax"", 1.01; ""highcolor"", "&amp;"""darkgreen""; ""lowcolor"", ""red""}), """")"),"")</f>
        <v/>
      </c>
      <c r="B73" s="17" t="str">
        <f t="shared" si="4"/>
        <v/>
      </c>
      <c r="C73" s="1" t="s">
        <v>362</v>
      </c>
      <c r="D73" s="30" t="str">
        <f>IFERROR(__xludf.DUMMYFUNCTION("IFERROR(GOOGLEFINANCE(C73, ""NAME""))"),"Roper Technologies Inc")</f>
        <v>Roper Technologies Inc</v>
      </c>
      <c r="E73" s="30" t="s">
        <v>48</v>
      </c>
      <c r="F73" s="33" t="str">
        <f>IFERROR(__xludf.DUMMYFUNCTION("( (GOOGLEFINANCE(C73, ""price"") - Q73) / Q73 ) / (R73 / 100)"),"Loading...")</f>
        <v>Loading...</v>
      </c>
      <c r="G73" s="20" t="str">
        <f>IFERROR(__xludf.DUMMYFUNCTION("AVERAGE(ARRAYFORMULA(100 * (QUERY(GOOGLEFINANCE(C73, ""high"", TODAY()-40, TODAY()), ""SELECT Col2 WHERE Col2 IS NOT NULL ORDER BY Col1 DESC LIMIT 20"", 0) / QUERY(GOOGLEFINANCE(C73, ""low"", TODAY()-40, TODAY()), ""SELECT Col2 WHERE Col2 IS NOT NULL ORDE"&amp;"R BY Col1 DESC LIMIT 20"", 0) - 1)))"),"#N/A")</f>
        <v>#N/A</v>
      </c>
      <c r="H73" s="35" t="str">
        <f t="shared" si="6"/>
        <v/>
      </c>
      <c r="I73" s="36" t="str">
        <f t="shared" si="7"/>
        <v/>
      </c>
      <c r="J73" s="37" t="str">
        <f>IFERROR(__xludf.DUMMYFUNCTION("IFERROR(
  IF(C73="""",, 
    IFERROR(
      GOOGLEFINANCE(C73, ""price"") * GOOGLEFINANCE(C73, ""volumeavg""), 
      GOOGLEFINANCE(C73, ""price"") * AVERAGE(QUERY(GOOGLEFINANCE(C73, ""volume"", TODAY()-40, TODAY()), ""SELECT Col2 WHERE Col2 IS NOT NULL "&amp;"ORDER BY Col1 DESC LIMIT 20"", 0))
    )
  ), 
"""")"),"")</f>
        <v/>
      </c>
      <c r="K73" s="21" t="str">
        <f>IFERROR(__xludf.DUMMYFUNCTION("IFERROR(GOOGLEFINANCE(C73, ""changepct"") / 100, """")"),"")</f>
        <v/>
      </c>
      <c r="L73" s="21" t="str">
        <f>IFERROR(__xludf.DUMMYFUNCTION("IFERROR((GOOGLEFINANCE(C73, ""price"") / INDEX(GOOGLEFINANCE(C73, ""price"", TODAY()-7, TODAY()), 2, 2)) - 1, """")"),"")</f>
        <v/>
      </c>
      <c r="M73" s="21" t="str">
        <f>IFERROR(__xludf.DUMMYFUNCTION("IFERROR((GOOGLEFINANCE(C73, ""price"") / INDEX(GOOGLEFINANCE(C73, ""price"", EDATE(TODAY(), -1), TODAY()), 2, 2)) - 1, """")"),"")</f>
        <v/>
      </c>
      <c r="N73" s="21" t="str">
        <f>IFERROR(__xludf.DUMMYFUNCTION("IFERROR((GOOGLEFINANCE(C73, ""price"") / INDEX(GOOGLEFINANCE(C73, ""price"", EDATE(TODAY(), -3), TODAY()), 2, 2)) - 1, """")"),"")</f>
        <v/>
      </c>
      <c r="O73" s="21" t="str">
        <f>IFERROR(__xludf.DUMMYFUNCTION("IFERROR((GOOGLEFINANCE(C73, ""price"") / INDEX(GOOGLEFINANCE(C73, ""price"", EDATE(TODAY(), -6), TODAY()), 2, 2)) - 1, """")"),"")</f>
        <v/>
      </c>
      <c r="P73" s="21" t="str">
        <f>IFERROR(__xludf.DUMMYFUNCTION("IFERROR((GOOGLEFINANCE(C73, ""price"") / INDEX(GOOGLEFINANCE(C73, ""price"", EDATE(TODAY(), -12), TODAY()), 2, 2)) - 1, """")"),"")</f>
        <v/>
      </c>
      <c r="Q73" s="6" t="str">
        <f>IFERROR(__xludf.DUMMYFUNCTION("AVERAGE(QUERY(GOOGLEFINANCE(C73, ""price"", TODAY()-80, TODAY()), ""SELECT Col2 WHERE Col2 IS NOT NULL ORDER BY Col1 DESC LIMIT 50"", 0))"),"#N/A")</f>
        <v>#N/A</v>
      </c>
      <c r="R73" s="24" t="str">
        <f>IFERROR(__xludf.DUMMYFUNCTION("IFERROR(
  LET(
    data, QUERY(GOOGLEFINANCE(C73,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GOOGLEFINANCE(C73, ""price"")) * 100,
    IF(calc=0, G73, calc)
  ), 
G73)"),"#N/A")</f>
        <v>#N/A</v>
      </c>
      <c r="S73" s="8" t="s">
        <v>15</v>
      </c>
      <c r="T73" s="26" t="str">
        <f>IFERROR(__xludf.DUMMYFUNCTION("IFERROR(TRANSPOSE(QUERY(IFERROR(SORT(GOOGLEFINANCE(C73, ""price"", WORKDAY(TODAY(), -40), TODAY()), 1, FALSE)), ""select Col2 where Col2 is not null limit 22 label Col2 ''"", 0)), """")"),"")</f>
        <v/>
      </c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8"/>
      <c r="AO73" s="28"/>
      <c r="AP73" s="29"/>
      <c r="AQ73" s="29" t="str">
        <f t="shared" ref="AQ73:BL73" si="76">T73/T$2</f>
        <v>#N/A</v>
      </c>
      <c r="AR73" s="29" t="str">
        <f t="shared" si="76"/>
        <v>#DIV/0!</v>
      </c>
      <c r="AS73" s="29" t="str">
        <f t="shared" si="76"/>
        <v>#DIV/0!</v>
      </c>
      <c r="AT73" s="29" t="str">
        <f t="shared" si="76"/>
        <v>#DIV/0!</v>
      </c>
      <c r="AU73" s="29" t="str">
        <f t="shared" si="76"/>
        <v>#DIV/0!</v>
      </c>
      <c r="AV73" s="29" t="str">
        <f t="shared" si="76"/>
        <v>#DIV/0!</v>
      </c>
      <c r="AW73" s="29" t="str">
        <f t="shared" si="76"/>
        <v>#DIV/0!</v>
      </c>
      <c r="AX73" s="29" t="str">
        <f t="shared" si="76"/>
        <v>#DIV/0!</v>
      </c>
      <c r="AY73" s="29" t="str">
        <f t="shared" si="76"/>
        <v>#DIV/0!</v>
      </c>
      <c r="AZ73" s="29" t="str">
        <f t="shared" si="76"/>
        <v>#DIV/0!</v>
      </c>
      <c r="BA73" s="29" t="str">
        <f t="shared" si="76"/>
        <v>#DIV/0!</v>
      </c>
      <c r="BB73" s="29" t="str">
        <f t="shared" si="76"/>
        <v>#DIV/0!</v>
      </c>
      <c r="BC73" s="29" t="str">
        <f t="shared" si="76"/>
        <v>#DIV/0!</v>
      </c>
      <c r="BD73" s="29" t="str">
        <f t="shared" si="76"/>
        <v>#DIV/0!</v>
      </c>
      <c r="BE73" s="29" t="str">
        <f t="shared" si="76"/>
        <v>#DIV/0!</v>
      </c>
      <c r="BF73" s="29" t="str">
        <f t="shared" si="76"/>
        <v>#DIV/0!</v>
      </c>
      <c r="BG73" s="29" t="str">
        <f t="shared" si="76"/>
        <v>#DIV/0!</v>
      </c>
      <c r="BH73" s="29" t="str">
        <f t="shared" si="76"/>
        <v>#DIV/0!</v>
      </c>
      <c r="BI73" s="29" t="str">
        <f t="shared" si="76"/>
        <v>#DIV/0!</v>
      </c>
      <c r="BJ73" s="29" t="str">
        <f t="shared" si="76"/>
        <v>#DIV/0!</v>
      </c>
      <c r="BK73" s="29" t="str">
        <f t="shared" si="76"/>
        <v>#DIV/0!</v>
      </c>
      <c r="BL73" s="29" t="str">
        <f t="shared" si="76"/>
        <v>#DIV/0!</v>
      </c>
      <c r="BM73" s="29" t="str">
        <f t="shared" si="3"/>
        <v>#DIV/0!</v>
      </c>
    </row>
    <row r="74">
      <c r="A74" s="16" t="str">
        <f>IFERROR(__xludf.DUMMYFUNCTION("IFERROR(SPARKLINE(SORT(MAP(TRANSPOSE(AQ74:BL74), LAMBDA(val, IF(ISNUMBER(val), PERCENTRANK(AQ74:BL74, val)+0.01, 0))), SEQUENCE(COLUMNS(AQ74:BL74)), FALSE), {""charttype"",""column""; ""color"",""chartreuse""; ""ymin"", 0; ""ymax"", 1.01; ""highcolor"", "&amp;"""darkgreen""; ""lowcolor"", ""red""}), """")"),"")</f>
        <v/>
      </c>
      <c r="B74" s="17" t="str">
        <f t="shared" si="4"/>
        <v/>
      </c>
      <c r="C74" s="1" t="s">
        <v>366</v>
      </c>
      <c r="D74" s="30" t="str">
        <f>IFERROR(__xludf.DUMMYFUNCTION("IFERROR(GOOGLEFINANCE(C74, ""NAME""))"),"Nutanix Inc")</f>
        <v>Nutanix Inc</v>
      </c>
      <c r="E74" s="30" t="s">
        <v>58</v>
      </c>
      <c r="F74" s="33" t="str">
        <f>IFERROR(__xludf.DUMMYFUNCTION("( (GOOGLEFINANCE(C74, ""price"") - Q74) / Q74 ) / (R74 / 100)"),"Loading...")</f>
        <v>Loading...</v>
      </c>
      <c r="G74" s="20" t="str">
        <f>IFERROR(__xludf.DUMMYFUNCTION("AVERAGE(ARRAYFORMULA(100 * (QUERY(GOOGLEFINANCE(C74, ""high"", TODAY()-40, TODAY()), ""SELECT Col2 WHERE Col2 IS NOT NULL ORDER BY Col1 DESC LIMIT 20"", 0) / QUERY(GOOGLEFINANCE(C74, ""low"", TODAY()-40, TODAY()), ""SELECT Col2 WHERE Col2 IS NOT NULL ORDE"&amp;"R BY Col1 DESC LIMIT 20"", 0) - 1)))"),"#N/A")</f>
        <v>#N/A</v>
      </c>
      <c r="H74" s="35" t="str">
        <f t="shared" si="6"/>
        <v/>
      </c>
      <c r="I74" s="36" t="str">
        <f t="shared" si="7"/>
        <v/>
      </c>
      <c r="J74" s="37" t="str">
        <f>IFERROR(__xludf.DUMMYFUNCTION("IFERROR(
  IF(C74="""",, 
    IFERROR(
      GOOGLEFINANCE(C74, ""price"") * GOOGLEFINANCE(C74, ""volumeavg""), 
      GOOGLEFINANCE(C74, ""price"") * AVERAGE(QUERY(GOOGLEFINANCE(C74, ""volume"", TODAY()-40, TODAY()), ""SELECT Col2 WHERE Col2 IS NOT NULL "&amp;"ORDER BY Col1 DESC LIMIT 20"", 0))
    )
  ), 
"""")"),"")</f>
        <v/>
      </c>
      <c r="K74" s="21" t="str">
        <f>IFERROR(__xludf.DUMMYFUNCTION("IFERROR(GOOGLEFINANCE(C74, ""changepct"") / 100, """")"),"")</f>
        <v/>
      </c>
      <c r="L74" s="21" t="str">
        <f>IFERROR(__xludf.DUMMYFUNCTION("IFERROR((GOOGLEFINANCE(C74, ""price"") / INDEX(GOOGLEFINANCE(C74, ""price"", TODAY()-7, TODAY()), 2, 2)) - 1, """")"),"")</f>
        <v/>
      </c>
      <c r="M74" s="21" t="str">
        <f>IFERROR(__xludf.DUMMYFUNCTION("IFERROR((GOOGLEFINANCE(C74, ""price"") / INDEX(GOOGLEFINANCE(C74, ""price"", EDATE(TODAY(), -1), TODAY()), 2, 2)) - 1, """")"),"")</f>
        <v/>
      </c>
      <c r="N74" s="21" t="str">
        <f>IFERROR(__xludf.DUMMYFUNCTION("IFERROR((GOOGLEFINANCE(C74, ""price"") / INDEX(GOOGLEFINANCE(C74, ""price"", EDATE(TODAY(), -3), TODAY()), 2, 2)) - 1, """")"),"")</f>
        <v/>
      </c>
      <c r="O74" s="21" t="str">
        <f>IFERROR(__xludf.DUMMYFUNCTION("IFERROR((GOOGLEFINANCE(C74, ""price"") / INDEX(GOOGLEFINANCE(C74, ""price"", EDATE(TODAY(), -6), TODAY()), 2, 2)) - 1, """")"),"")</f>
        <v/>
      </c>
      <c r="P74" s="21" t="str">
        <f>IFERROR(__xludf.DUMMYFUNCTION("IFERROR((GOOGLEFINANCE(C74, ""price"") / INDEX(GOOGLEFINANCE(C74, ""price"", EDATE(TODAY(), -12), TODAY()), 2, 2)) - 1, """")"),"")</f>
        <v/>
      </c>
      <c r="Q74" s="6" t="str">
        <f>IFERROR(__xludf.DUMMYFUNCTION("AVERAGE(QUERY(GOOGLEFINANCE(C74, ""price"", TODAY()-80, TODAY()), ""SELECT Col2 WHERE Col2 IS NOT NULL ORDER BY Col1 DESC LIMIT 50"", 0))"),"#N/A")</f>
        <v>#N/A</v>
      </c>
      <c r="R74" s="24" t="str">
        <f>IFERROR(__xludf.DUMMYFUNCTION("IFERROR(
  LET(
    data, QUERY(GOOGLEFINANCE(C74,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GOOGLEFINANCE(C74, ""price"")) * 100,
    IF(calc=0, G74, calc)
  ), 
G74)"),"#N/A")</f>
        <v>#N/A</v>
      </c>
      <c r="S74" s="8" t="s">
        <v>15</v>
      </c>
      <c r="T74" s="26" t="str">
        <f>IFERROR(__xludf.DUMMYFUNCTION("IFERROR(TRANSPOSE(QUERY(IFERROR(SORT(GOOGLEFINANCE(C74, ""price"", WORKDAY(TODAY(), -40), TODAY()), 1, FALSE)), ""select Col2 where Col2 is not null limit 22 label Col2 ''"", 0)), """")"),"")</f>
        <v/>
      </c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8"/>
      <c r="AO74" s="28"/>
      <c r="AP74" s="29"/>
      <c r="AQ74" s="29" t="str">
        <f t="shared" ref="AQ74:BL74" si="77">T74/T$2</f>
        <v>#N/A</v>
      </c>
      <c r="AR74" s="29" t="str">
        <f t="shared" si="77"/>
        <v>#DIV/0!</v>
      </c>
      <c r="AS74" s="29" t="str">
        <f t="shared" si="77"/>
        <v>#DIV/0!</v>
      </c>
      <c r="AT74" s="29" t="str">
        <f t="shared" si="77"/>
        <v>#DIV/0!</v>
      </c>
      <c r="AU74" s="29" t="str">
        <f t="shared" si="77"/>
        <v>#DIV/0!</v>
      </c>
      <c r="AV74" s="29" t="str">
        <f t="shared" si="77"/>
        <v>#DIV/0!</v>
      </c>
      <c r="AW74" s="29" t="str">
        <f t="shared" si="77"/>
        <v>#DIV/0!</v>
      </c>
      <c r="AX74" s="29" t="str">
        <f t="shared" si="77"/>
        <v>#DIV/0!</v>
      </c>
      <c r="AY74" s="29" t="str">
        <f t="shared" si="77"/>
        <v>#DIV/0!</v>
      </c>
      <c r="AZ74" s="29" t="str">
        <f t="shared" si="77"/>
        <v>#DIV/0!</v>
      </c>
      <c r="BA74" s="29" t="str">
        <f t="shared" si="77"/>
        <v>#DIV/0!</v>
      </c>
      <c r="BB74" s="29" t="str">
        <f t="shared" si="77"/>
        <v>#DIV/0!</v>
      </c>
      <c r="BC74" s="29" t="str">
        <f t="shared" si="77"/>
        <v>#DIV/0!</v>
      </c>
      <c r="BD74" s="29" t="str">
        <f t="shared" si="77"/>
        <v>#DIV/0!</v>
      </c>
      <c r="BE74" s="29" t="str">
        <f t="shared" si="77"/>
        <v>#DIV/0!</v>
      </c>
      <c r="BF74" s="29" t="str">
        <f t="shared" si="77"/>
        <v>#DIV/0!</v>
      </c>
      <c r="BG74" s="29" t="str">
        <f t="shared" si="77"/>
        <v>#DIV/0!</v>
      </c>
      <c r="BH74" s="29" t="str">
        <f t="shared" si="77"/>
        <v>#DIV/0!</v>
      </c>
      <c r="BI74" s="29" t="str">
        <f t="shared" si="77"/>
        <v>#DIV/0!</v>
      </c>
      <c r="BJ74" s="29" t="str">
        <f t="shared" si="77"/>
        <v>#DIV/0!</v>
      </c>
      <c r="BK74" s="29" t="str">
        <f t="shared" si="77"/>
        <v>#DIV/0!</v>
      </c>
      <c r="BL74" s="29" t="str">
        <f t="shared" si="77"/>
        <v>#DIV/0!</v>
      </c>
      <c r="BM74" s="29" t="str">
        <f t="shared" si="3"/>
        <v>#DIV/0!</v>
      </c>
    </row>
    <row r="75">
      <c r="A75" s="16" t="str">
        <f>IFERROR(__xludf.DUMMYFUNCTION("IFERROR(SPARKLINE(SORT(MAP(TRANSPOSE(AQ75:BL75), LAMBDA(val, IF(ISNUMBER(val), PERCENTRANK(AQ75:BL75, val)+0.01, 0))), SEQUENCE(COLUMNS(AQ75:BL75)), FALSE), {""charttype"",""column""; ""color"",""chartreuse""; ""ymin"", 0; ""ymax"", 1.01; ""highcolor"", "&amp;"""darkgreen""; ""lowcolor"", ""red""}), """")"),"")</f>
        <v/>
      </c>
      <c r="B75" s="17" t="str">
        <f t="shared" si="4"/>
        <v/>
      </c>
      <c r="C75" s="1" t="s">
        <v>369</v>
      </c>
      <c r="D75" s="30" t="str">
        <f>IFERROR(__xludf.DUMMYFUNCTION("IFERROR(GOOGLEFINANCE(C75, ""NAME""))"),"VTEX")</f>
        <v>VTEX</v>
      </c>
      <c r="E75" s="30" t="s">
        <v>48</v>
      </c>
      <c r="F75" s="38" t="str">
        <f>IFERROR(__xludf.DUMMYFUNCTION("( (GOOGLEFINANCE(C75, ""price"") - Q75) / Q75 ) / (R75 / 100)"),"Loading...")</f>
        <v>Loading...</v>
      </c>
      <c r="G75" s="20" t="str">
        <f>IFERROR(__xludf.DUMMYFUNCTION("AVERAGE(ARRAYFORMULA(100 * (QUERY(GOOGLEFINANCE(C75, ""high"", TODAY()-40, TODAY()), ""SELECT Col2 WHERE Col2 IS NOT NULL ORDER BY Col1 DESC LIMIT 20"", 0) / QUERY(GOOGLEFINANCE(C75, ""low"", TODAY()-40, TODAY()), ""SELECT Col2 WHERE Col2 IS NOT NULL ORDE"&amp;"R BY Col1 DESC LIMIT 20"", 0) - 1)))"),"#N/A")</f>
        <v>#N/A</v>
      </c>
      <c r="H75" s="35" t="str">
        <f t="shared" si="6"/>
        <v/>
      </c>
      <c r="I75" s="36" t="str">
        <f t="shared" si="7"/>
        <v/>
      </c>
      <c r="J75" s="37" t="str">
        <f>IFERROR(__xludf.DUMMYFUNCTION("IFERROR(
  IF(C75="""",, 
    IFERROR(
      GOOGLEFINANCE(C75, ""price"") * GOOGLEFINANCE(C75, ""volumeavg""), 
      GOOGLEFINANCE(C75, ""price"") * AVERAGE(QUERY(GOOGLEFINANCE(C75, ""volume"", TODAY()-40, TODAY()), ""SELECT Col2 WHERE Col2 IS NOT NULL "&amp;"ORDER BY Col1 DESC LIMIT 20"", 0))
    )
  ), 
"""")"),"")</f>
        <v/>
      </c>
      <c r="K75" s="21" t="str">
        <f>IFERROR(__xludf.DUMMYFUNCTION("IFERROR(GOOGLEFINANCE(C75, ""changepct"") / 100, """")"),"")</f>
        <v/>
      </c>
      <c r="L75" s="21" t="str">
        <f>IFERROR(__xludf.DUMMYFUNCTION("IFERROR((GOOGLEFINANCE(C75, ""price"") / INDEX(GOOGLEFINANCE(C75, ""price"", TODAY()-7, TODAY()), 2, 2)) - 1, """")"),"")</f>
        <v/>
      </c>
      <c r="M75" s="21" t="str">
        <f>IFERROR(__xludf.DUMMYFUNCTION("IFERROR((GOOGLEFINANCE(C75, ""price"") / INDEX(GOOGLEFINANCE(C75, ""price"", EDATE(TODAY(), -1), TODAY()), 2, 2)) - 1, """")"),"")</f>
        <v/>
      </c>
      <c r="N75" s="21" t="str">
        <f>IFERROR(__xludf.DUMMYFUNCTION("IFERROR((GOOGLEFINANCE(C75, ""price"") / INDEX(GOOGLEFINANCE(C75, ""price"", EDATE(TODAY(), -3), TODAY()), 2, 2)) - 1, """")"),"")</f>
        <v/>
      </c>
      <c r="O75" s="21" t="str">
        <f>IFERROR(__xludf.DUMMYFUNCTION("IFERROR((GOOGLEFINANCE(C75, ""price"") / INDEX(GOOGLEFINANCE(C75, ""price"", EDATE(TODAY(), -6), TODAY()), 2, 2)) - 1, """")"),"")</f>
        <v/>
      </c>
      <c r="P75" s="21" t="str">
        <f>IFERROR(__xludf.DUMMYFUNCTION("IFERROR((GOOGLEFINANCE(C75, ""price"") / INDEX(GOOGLEFINANCE(C75, ""price"", EDATE(TODAY(), -12), TODAY()), 2, 2)) - 1, """")"),"")</f>
        <v/>
      </c>
      <c r="Q75" s="6" t="str">
        <f>IFERROR(__xludf.DUMMYFUNCTION("AVERAGE(QUERY(GOOGLEFINANCE(C75, ""price"", TODAY()-80, TODAY()), ""SELECT Col2 WHERE Col2 IS NOT NULL ORDER BY Col1 DESC LIMIT 50"", 0))"),"#N/A")</f>
        <v>#N/A</v>
      </c>
      <c r="R75" s="24" t="str">
        <f>IFERROR(__xludf.DUMMYFUNCTION("IFERROR(
  LET(
    data, QUERY(GOOGLEFINANCE(C75,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GOOGLEFINANCE(C75, ""price"")) * 100,
    IF(calc=0, G75, calc)
  ), 
G75)"),"#N/A")</f>
        <v>#N/A</v>
      </c>
      <c r="S75" s="8" t="s">
        <v>15</v>
      </c>
      <c r="T75" s="26" t="str">
        <f>IFERROR(__xludf.DUMMYFUNCTION("IFERROR(TRANSPOSE(QUERY(IFERROR(SORT(GOOGLEFINANCE(C75, ""price"", WORKDAY(TODAY(), -40), TODAY()), 1, FALSE)), ""select Col2 where Col2 is not null limit 22 label Col2 ''"", 0)), """")"),"")</f>
        <v/>
      </c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8"/>
      <c r="AO75" s="28"/>
      <c r="AP75" s="29"/>
      <c r="AQ75" s="29" t="str">
        <f t="shared" ref="AQ75:BL75" si="78">T75/T$2</f>
        <v>#N/A</v>
      </c>
      <c r="AR75" s="29" t="str">
        <f t="shared" si="78"/>
        <v>#DIV/0!</v>
      </c>
      <c r="AS75" s="29" t="str">
        <f t="shared" si="78"/>
        <v>#DIV/0!</v>
      </c>
      <c r="AT75" s="29" t="str">
        <f t="shared" si="78"/>
        <v>#DIV/0!</v>
      </c>
      <c r="AU75" s="29" t="str">
        <f t="shared" si="78"/>
        <v>#DIV/0!</v>
      </c>
      <c r="AV75" s="29" t="str">
        <f t="shared" si="78"/>
        <v>#DIV/0!</v>
      </c>
      <c r="AW75" s="29" t="str">
        <f t="shared" si="78"/>
        <v>#DIV/0!</v>
      </c>
      <c r="AX75" s="29" t="str">
        <f t="shared" si="78"/>
        <v>#DIV/0!</v>
      </c>
      <c r="AY75" s="29" t="str">
        <f t="shared" si="78"/>
        <v>#DIV/0!</v>
      </c>
      <c r="AZ75" s="29" t="str">
        <f t="shared" si="78"/>
        <v>#DIV/0!</v>
      </c>
      <c r="BA75" s="29" t="str">
        <f t="shared" si="78"/>
        <v>#DIV/0!</v>
      </c>
      <c r="BB75" s="29" t="str">
        <f t="shared" si="78"/>
        <v>#DIV/0!</v>
      </c>
      <c r="BC75" s="29" t="str">
        <f t="shared" si="78"/>
        <v>#DIV/0!</v>
      </c>
      <c r="BD75" s="29" t="str">
        <f t="shared" si="78"/>
        <v>#DIV/0!</v>
      </c>
      <c r="BE75" s="29" t="str">
        <f t="shared" si="78"/>
        <v>#DIV/0!</v>
      </c>
      <c r="BF75" s="29" t="str">
        <f t="shared" si="78"/>
        <v>#DIV/0!</v>
      </c>
      <c r="BG75" s="29" t="str">
        <f t="shared" si="78"/>
        <v>#DIV/0!</v>
      </c>
      <c r="BH75" s="29" t="str">
        <f t="shared" si="78"/>
        <v>#DIV/0!</v>
      </c>
      <c r="BI75" s="29" t="str">
        <f t="shared" si="78"/>
        <v>#DIV/0!</v>
      </c>
      <c r="BJ75" s="29" t="str">
        <f t="shared" si="78"/>
        <v>#DIV/0!</v>
      </c>
      <c r="BK75" s="29" t="str">
        <f t="shared" si="78"/>
        <v>#DIV/0!</v>
      </c>
      <c r="BL75" s="29" t="str">
        <f t="shared" si="78"/>
        <v>#DIV/0!</v>
      </c>
      <c r="BM75" s="29" t="str">
        <f t="shared" si="3"/>
        <v>#DIV/0!</v>
      </c>
    </row>
    <row r="76">
      <c r="A76" s="16" t="str">
        <f>IFERROR(__xludf.DUMMYFUNCTION("IFERROR(SPARKLINE(SORT(MAP(TRANSPOSE(AQ76:BL76), LAMBDA(val, IF(ISNUMBER(val), PERCENTRANK(AQ76:BL76, val)+0.01, 0))), SEQUENCE(COLUMNS(AQ76:BL76)), FALSE), {""charttype"",""column""; ""color"",""chartreuse""; ""ymin"", 0; ""ymax"", 1.01; ""highcolor"", "&amp;"""darkgreen""; ""lowcolor"", ""red""}), """")"),"")</f>
        <v/>
      </c>
      <c r="B76" s="17" t="str">
        <f t="shared" si="4"/>
        <v/>
      </c>
      <c r="C76" s="1" t="s">
        <v>372</v>
      </c>
      <c r="D76" s="30" t="str">
        <f>IFERROR(__xludf.DUMMYFUNCTION("IFERROR(GOOGLEFINANCE(C76, ""NAME""))"),"Sabre Corp")</f>
        <v>Sabre Corp</v>
      </c>
      <c r="E76" s="30" t="s">
        <v>58</v>
      </c>
      <c r="F76" s="33" t="str">
        <f>IFERROR(__xludf.DUMMYFUNCTION("( (GOOGLEFINANCE(C76, ""price"") - Q76) / Q76 ) / (R76 / 100)"),"Loading...")</f>
        <v>Loading...</v>
      </c>
      <c r="G76" s="20" t="str">
        <f>IFERROR(__xludf.DUMMYFUNCTION("AVERAGE(ARRAYFORMULA(100 * (QUERY(GOOGLEFINANCE(C76, ""high"", TODAY()-40, TODAY()), ""SELECT Col2 WHERE Col2 IS NOT NULL ORDER BY Col1 DESC LIMIT 20"", 0) / QUERY(GOOGLEFINANCE(C76, ""low"", TODAY()-40, TODAY()), ""SELECT Col2 WHERE Col2 IS NOT NULL ORDE"&amp;"R BY Col1 DESC LIMIT 20"", 0) - 1)))"),"#N/A")</f>
        <v>#N/A</v>
      </c>
      <c r="H76" s="35" t="str">
        <f t="shared" si="6"/>
        <v/>
      </c>
      <c r="I76" s="36" t="str">
        <f t="shared" si="7"/>
        <v/>
      </c>
      <c r="J76" s="37" t="str">
        <f>IFERROR(__xludf.DUMMYFUNCTION("IFERROR(
  IF(C76="""",, 
    IFERROR(
      GOOGLEFINANCE(C76, ""price"") * GOOGLEFINANCE(C76, ""volumeavg""), 
      GOOGLEFINANCE(C76, ""price"") * AVERAGE(QUERY(GOOGLEFINANCE(C76, ""volume"", TODAY()-40, TODAY()), ""SELECT Col2 WHERE Col2 IS NOT NULL "&amp;"ORDER BY Col1 DESC LIMIT 20"", 0))
    )
  ), 
"""")"),"")</f>
        <v/>
      </c>
      <c r="K76" s="21" t="str">
        <f>IFERROR(__xludf.DUMMYFUNCTION("IFERROR(GOOGLEFINANCE(C76, ""changepct"") / 100, """")"),"")</f>
        <v/>
      </c>
      <c r="L76" s="21" t="str">
        <f>IFERROR(__xludf.DUMMYFUNCTION("IFERROR((GOOGLEFINANCE(C76, ""price"") / INDEX(GOOGLEFINANCE(C76, ""price"", TODAY()-7, TODAY()), 2, 2)) - 1, """")"),"")</f>
        <v/>
      </c>
      <c r="M76" s="21" t="str">
        <f>IFERROR(__xludf.DUMMYFUNCTION("IFERROR((GOOGLEFINANCE(C76, ""price"") / INDEX(GOOGLEFINANCE(C76, ""price"", EDATE(TODAY(), -1), TODAY()), 2, 2)) - 1, """")"),"")</f>
        <v/>
      </c>
      <c r="N76" s="21" t="str">
        <f>IFERROR(__xludf.DUMMYFUNCTION("IFERROR((GOOGLEFINANCE(C76, ""price"") / INDEX(GOOGLEFINANCE(C76, ""price"", EDATE(TODAY(), -3), TODAY()), 2, 2)) - 1, """")"),"")</f>
        <v/>
      </c>
      <c r="O76" s="21" t="str">
        <f>IFERROR(__xludf.DUMMYFUNCTION("IFERROR((GOOGLEFINANCE(C76, ""price"") / INDEX(GOOGLEFINANCE(C76, ""price"", EDATE(TODAY(), -6), TODAY()), 2, 2)) - 1, """")"),"")</f>
        <v/>
      </c>
      <c r="P76" s="21" t="str">
        <f>IFERROR(__xludf.DUMMYFUNCTION("IFERROR((GOOGLEFINANCE(C76, ""price"") / INDEX(GOOGLEFINANCE(C76, ""price"", EDATE(TODAY(), -12), TODAY()), 2, 2)) - 1, """")"),"")</f>
        <v/>
      </c>
      <c r="Q76" s="6" t="str">
        <f>IFERROR(__xludf.DUMMYFUNCTION("AVERAGE(QUERY(GOOGLEFINANCE(C76, ""price"", TODAY()-80, TODAY()), ""SELECT Col2 WHERE Col2 IS NOT NULL ORDER BY Col1 DESC LIMIT 50"", 0))"),"#N/A")</f>
        <v>#N/A</v>
      </c>
      <c r="R76" s="24" t="str">
        <f>IFERROR(__xludf.DUMMYFUNCTION("IFERROR(
  LET(
    data, QUERY(GOOGLEFINANCE(C76,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GOOGLEFINANCE(C76, ""price"")) * 100,
    IF(calc=0, G76, calc)
  ), 
G76)"),"#N/A")</f>
        <v>#N/A</v>
      </c>
      <c r="S76" s="8" t="s">
        <v>15</v>
      </c>
      <c r="T76" s="26" t="str">
        <f>IFERROR(__xludf.DUMMYFUNCTION("IFERROR(TRANSPOSE(QUERY(IFERROR(SORT(GOOGLEFINANCE(C76, ""price"", WORKDAY(TODAY(), -40), TODAY()), 1, FALSE)), ""select Col2 where Col2 is not null limit 22 label Col2 ''"", 0)), """")"),"")</f>
        <v/>
      </c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8"/>
      <c r="AO76" s="28"/>
      <c r="AP76" s="29"/>
      <c r="AQ76" s="29" t="str">
        <f t="shared" ref="AQ76:BL76" si="79">T76/T$2</f>
        <v>#N/A</v>
      </c>
      <c r="AR76" s="29" t="str">
        <f t="shared" si="79"/>
        <v>#DIV/0!</v>
      </c>
      <c r="AS76" s="29" t="str">
        <f t="shared" si="79"/>
        <v>#DIV/0!</v>
      </c>
      <c r="AT76" s="29" t="str">
        <f t="shared" si="79"/>
        <v>#DIV/0!</v>
      </c>
      <c r="AU76" s="29" t="str">
        <f t="shared" si="79"/>
        <v>#DIV/0!</v>
      </c>
      <c r="AV76" s="29" t="str">
        <f t="shared" si="79"/>
        <v>#DIV/0!</v>
      </c>
      <c r="AW76" s="29" t="str">
        <f t="shared" si="79"/>
        <v>#DIV/0!</v>
      </c>
      <c r="AX76" s="29" t="str">
        <f t="shared" si="79"/>
        <v>#DIV/0!</v>
      </c>
      <c r="AY76" s="29" t="str">
        <f t="shared" si="79"/>
        <v>#DIV/0!</v>
      </c>
      <c r="AZ76" s="29" t="str">
        <f t="shared" si="79"/>
        <v>#DIV/0!</v>
      </c>
      <c r="BA76" s="29" t="str">
        <f t="shared" si="79"/>
        <v>#DIV/0!</v>
      </c>
      <c r="BB76" s="29" t="str">
        <f t="shared" si="79"/>
        <v>#DIV/0!</v>
      </c>
      <c r="BC76" s="29" t="str">
        <f t="shared" si="79"/>
        <v>#DIV/0!</v>
      </c>
      <c r="BD76" s="29" t="str">
        <f t="shared" si="79"/>
        <v>#DIV/0!</v>
      </c>
      <c r="BE76" s="29" t="str">
        <f t="shared" si="79"/>
        <v>#DIV/0!</v>
      </c>
      <c r="BF76" s="29" t="str">
        <f t="shared" si="79"/>
        <v>#DIV/0!</v>
      </c>
      <c r="BG76" s="29" t="str">
        <f t="shared" si="79"/>
        <v>#DIV/0!</v>
      </c>
      <c r="BH76" s="29" t="str">
        <f t="shared" si="79"/>
        <v>#DIV/0!</v>
      </c>
      <c r="BI76" s="29" t="str">
        <f t="shared" si="79"/>
        <v>#DIV/0!</v>
      </c>
      <c r="BJ76" s="29" t="str">
        <f t="shared" si="79"/>
        <v>#DIV/0!</v>
      </c>
      <c r="BK76" s="29" t="str">
        <f t="shared" si="79"/>
        <v>#DIV/0!</v>
      </c>
      <c r="BL76" s="29" t="str">
        <f t="shared" si="79"/>
        <v>#DIV/0!</v>
      </c>
      <c r="BM76" s="29" t="str">
        <f t="shared" si="3"/>
        <v>#DIV/0!</v>
      </c>
    </row>
    <row r="77">
      <c r="A77" s="16" t="str">
        <f>IFERROR(__xludf.DUMMYFUNCTION("IFERROR(SPARKLINE(SORT(MAP(TRANSPOSE(AQ77:BL77), LAMBDA(val, IF(ISNUMBER(val), PERCENTRANK(AQ77:BL77, val)+0.01, 0))), SEQUENCE(COLUMNS(AQ77:BL77)), FALSE), {""charttype"",""column""; ""color"",""chartreuse""; ""ymin"", 0; ""ymax"", 1.01; ""highcolor"", "&amp;"""darkgreen""; ""lowcolor"", ""red""}), """")"),"")</f>
        <v/>
      </c>
      <c r="B77" s="17" t="str">
        <f t="shared" si="4"/>
        <v/>
      </c>
      <c r="C77" s="1" t="s">
        <v>376</v>
      </c>
      <c r="D77" s="30" t="str">
        <f>IFERROR(__xludf.DUMMYFUNCTION("IFERROR(GOOGLEFINANCE(C77, ""NAME""))"),"CLARIVATE PLC")</f>
        <v>CLARIVATE PLC</v>
      </c>
      <c r="E77" s="30" t="s">
        <v>102</v>
      </c>
      <c r="F77" s="33" t="str">
        <f>IFERROR(__xludf.DUMMYFUNCTION("( (GOOGLEFINANCE(C77, ""price"") - Q77) / Q77 ) / (R77 / 100)"),"Loading...")</f>
        <v>Loading...</v>
      </c>
      <c r="G77" s="20" t="str">
        <f>IFERROR(__xludf.DUMMYFUNCTION("AVERAGE(ARRAYFORMULA(100 * (QUERY(GOOGLEFINANCE(C77, ""high"", TODAY()-40, TODAY()), ""SELECT Col2 WHERE Col2 IS NOT NULL ORDER BY Col1 DESC LIMIT 20"", 0) / QUERY(GOOGLEFINANCE(C77, ""low"", TODAY()-40, TODAY()), ""SELECT Col2 WHERE Col2 IS NOT NULL ORDE"&amp;"R BY Col1 DESC LIMIT 20"", 0) - 1)))"),"#N/A")</f>
        <v>#N/A</v>
      </c>
      <c r="H77" s="35" t="str">
        <f t="shared" si="6"/>
        <v/>
      </c>
      <c r="I77" s="36" t="str">
        <f t="shared" si="7"/>
        <v/>
      </c>
      <c r="J77" s="37" t="str">
        <f>IFERROR(__xludf.DUMMYFUNCTION("IFERROR(
  IF(C77="""",, 
    IFERROR(
      GOOGLEFINANCE(C77, ""price"") * GOOGLEFINANCE(C77, ""volumeavg""), 
      GOOGLEFINANCE(C77, ""price"") * AVERAGE(QUERY(GOOGLEFINANCE(C77, ""volume"", TODAY()-40, TODAY()), ""SELECT Col2 WHERE Col2 IS NOT NULL "&amp;"ORDER BY Col1 DESC LIMIT 20"", 0))
    )
  ), 
"""")"),"")</f>
        <v/>
      </c>
      <c r="K77" s="21" t="str">
        <f>IFERROR(__xludf.DUMMYFUNCTION("IFERROR(GOOGLEFINANCE(C77, ""changepct"") / 100, """")"),"")</f>
        <v/>
      </c>
      <c r="L77" s="21" t="str">
        <f>IFERROR(__xludf.DUMMYFUNCTION("IFERROR((GOOGLEFINANCE(C77, ""price"") / INDEX(GOOGLEFINANCE(C77, ""price"", TODAY()-7, TODAY()), 2, 2)) - 1, """")"),"")</f>
        <v/>
      </c>
      <c r="M77" s="21" t="str">
        <f>IFERROR(__xludf.DUMMYFUNCTION("IFERROR((GOOGLEFINANCE(C77, ""price"") / INDEX(GOOGLEFINANCE(C77, ""price"", EDATE(TODAY(), -1), TODAY()), 2, 2)) - 1, """")"),"")</f>
        <v/>
      </c>
      <c r="N77" s="21" t="str">
        <f>IFERROR(__xludf.DUMMYFUNCTION("IFERROR((GOOGLEFINANCE(C77, ""price"") / INDEX(GOOGLEFINANCE(C77, ""price"", EDATE(TODAY(), -3), TODAY()), 2, 2)) - 1, """")"),"")</f>
        <v/>
      </c>
      <c r="O77" s="21" t="str">
        <f>IFERROR(__xludf.DUMMYFUNCTION("IFERROR((GOOGLEFINANCE(C77, ""price"") / INDEX(GOOGLEFINANCE(C77, ""price"", EDATE(TODAY(), -6), TODAY()), 2, 2)) - 1, """")"),"")</f>
        <v/>
      </c>
      <c r="P77" s="21" t="str">
        <f>IFERROR(__xludf.DUMMYFUNCTION("IFERROR((GOOGLEFINANCE(C77, ""price"") / INDEX(GOOGLEFINANCE(C77, ""price"", EDATE(TODAY(), -12), TODAY()), 2, 2)) - 1, """")"),"")</f>
        <v/>
      </c>
      <c r="Q77" s="6" t="str">
        <f>IFERROR(__xludf.DUMMYFUNCTION("AVERAGE(QUERY(GOOGLEFINANCE(C77, ""price"", TODAY()-80, TODAY()), ""SELECT Col2 WHERE Col2 IS NOT NULL ORDER BY Col1 DESC LIMIT 50"", 0))"),"#N/A")</f>
        <v>#N/A</v>
      </c>
      <c r="R77" s="24" t="str">
        <f>IFERROR(__xludf.DUMMYFUNCTION("IFERROR(
  LET(
    data, QUERY(GOOGLEFINANCE(C77,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GOOGLEFINANCE(C77, ""price"")) * 100,
    IF(calc=0, G77, calc)
  ), 
G77)"),"#N/A")</f>
        <v>#N/A</v>
      </c>
      <c r="S77" s="8" t="s">
        <v>15</v>
      </c>
      <c r="T77" s="26" t="str">
        <f>IFERROR(__xludf.DUMMYFUNCTION("IFERROR(TRANSPOSE(QUERY(IFERROR(SORT(GOOGLEFINANCE(C77, ""price"", WORKDAY(TODAY(), -40), TODAY()), 1, FALSE)), ""select Col2 where Col2 is not null limit 22 label Col2 ''"", 0)), """")"),"")</f>
        <v/>
      </c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8"/>
      <c r="AO77" s="28"/>
      <c r="AP77" s="29"/>
      <c r="AQ77" s="29" t="str">
        <f t="shared" ref="AQ77:BL77" si="80">T77/T$2</f>
        <v>#N/A</v>
      </c>
      <c r="AR77" s="29" t="str">
        <f t="shared" si="80"/>
        <v>#DIV/0!</v>
      </c>
      <c r="AS77" s="29" t="str">
        <f t="shared" si="80"/>
        <v>#DIV/0!</v>
      </c>
      <c r="AT77" s="29" t="str">
        <f t="shared" si="80"/>
        <v>#DIV/0!</v>
      </c>
      <c r="AU77" s="29" t="str">
        <f t="shared" si="80"/>
        <v>#DIV/0!</v>
      </c>
      <c r="AV77" s="29" t="str">
        <f t="shared" si="80"/>
        <v>#DIV/0!</v>
      </c>
      <c r="AW77" s="29" t="str">
        <f t="shared" si="80"/>
        <v>#DIV/0!</v>
      </c>
      <c r="AX77" s="29" t="str">
        <f t="shared" si="80"/>
        <v>#DIV/0!</v>
      </c>
      <c r="AY77" s="29" t="str">
        <f t="shared" si="80"/>
        <v>#DIV/0!</v>
      </c>
      <c r="AZ77" s="29" t="str">
        <f t="shared" si="80"/>
        <v>#DIV/0!</v>
      </c>
      <c r="BA77" s="29" t="str">
        <f t="shared" si="80"/>
        <v>#DIV/0!</v>
      </c>
      <c r="BB77" s="29" t="str">
        <f t="shared" si="80"/>
        <v>#DIV/0!</v>
      </c>
      <c r="BC77" s="29" t="str">
        <f t="shared" si="80"/>
        <v>#DIV/0!</v>
      </c>
      <c r="BD77" s="29" t="str">
        <f t="shared" si="80"/>
        <v>#DIV/0!</v>
      </c>
      <c r="BE77" s="29" t="str">
        <f t="shared" si="80"/>
        <v>#DIV/0!</v>
      </c>
      <c r="BF77" s="29" t="str">
        <f t="shared" si="80"/>
        <v>#DIV/0!</v>
      </c>
      <c r="BG77" s="29" t="str">
        <f t="shared" si="80"/>
        <v>#DIV/0!</v>
      </c>
      <c r="BH77" s="29" t="str">
        <f t="shared" si="80"/>
        <v>#DIV/0!</v>
      </c>
      <c r="BI77" s="29" t="str">
        <f t="shared" si="80"/>
        <v>#DIV/0!</v>
      </c>
      <c r="BJ77" s="29" t="str">
        <f t="shared" si="80"/>
        <v>#DIV/0!</v>
      </c>
      <c r="BK77" s="29" t="str">
        <f t="shared" si="80"/>
        <v>#DIV/0!</v>
      </c>
      <c r="BL77" s="29" t="str">
        <f t="shared" si="80"/>
        <v>#DIV/0!</v>
      </c>
      <c r="BM77" s="29" t="str">
        <f t="shared" si="3"/>
        <v>#DIV/0!</v>
      </c>
    </row>
    <row r="78">
      <c r="A78" s="16" t="str">
        <f>IFERROR(__xludf.DUMMYFUNCTION("IFERROR(SPARKLINE(SORT(MAP(TRANSPOSE(AQ78:BL78), LAMBDA(val, IF(ISNUMBER(val), PERCENTRANK(AQ78:BL78, val)+0.01, 0))), SEQUENCE(COLUMNS(AQ78:BL78)), FALSE), {""charttype"",""column""; ""color"",""chartreuse""; ""ymin"", 0; ""ymax"", 1.01; ""highcolor"", "&amp;"""darkgreen""; ""lowcolor"", ""red""}), """")"),"")</f>
        <v/>
      </c>
      <c r="B78" s="17" t="str">
        <f t="shared" si="4"/>
        <v/>
      </c>
      <c r="C78" s="1" t="s">
        <v>378</v>
      </c>
      <c r="D78" s="30" t="str">
        <f>IFERROR(__xludf.DUMMYFUNCTION("IFERROR(GOOGLEFINANCE(C78, ""NAME""))"),"Ibotta Inc")</f>
        <v>Ibotta Inc</v>
      </c>
      <c r="E78" s="30" t="s">
        <v>48</v>
      </c>
      <c r="F78" s="33" t="str">
        <f>IFERROR(__xludf.DUMMYFUNCTION("( (GOOGLEFINANCE(C78, ""price"") - Q78) / Q78 ) / (R78 / 100)"),"Loading...")</f>
        <v>Loading...</v>
      </c>
      <c r="G78" s="20" t="str">
        <f>IFERROR(__xludf.DUMMYFUNCTION("AVERAGE(ARRAYFORMULA(100 * (QUERY(GOOGLEFINANCE(C78, ""high"", TODAY()-40, TODAY()), ""SELECT Col2 WHERE Col2 IS NOT NULL ORDER BY Col1 DESC LIMIT 20"", 0) / QUERY(GOOGLEFINANCE(C78, ""low"", TODAY()-40, TODAY()), ""SELECT Col2 WHERE Col2 IS NOT NULL ORDE"&amp;"R BY Col1 DESC LIMIT 20"", 0) - 1)))"),"#N/A")</f>
        <v>#N/A</v>
      </c>
      <c r="H78" s="35" t="str">
        <f t="shared" si="6"/>
        <v/>
      </c>
      <c r="I78" s="36" t="str">
        <f t="shared" si="7"/>
        <v/>
      </c>
      <c r="J78" s="37" t="str">
        <f>IFERROR(__xludf.DUMMYFUNCTION("IFERROR(
  IF(C78="""",, 
    IFERROR(
      GOOGLEFINANCE(C78, ""price"") * GOOGLEFINANCE(C78, ""volumeavg""), 
      GOOGLEFINANCE(C78, ""price"") * AVERAGE(QUERY(GOOGLEFINANCE(C78, ""volume"", TODAY()-40, TODAY()), ""SELECT Col2 WHERE Col2 IS NOT NULL "&amp;"ORDER BY Col1 DESC LIMIT 20"", 0))
    )
  ), 
"""")"),"")</f>
        <v/>
      </c>
      <c r="K78" s="21" t="str">
        <f>IFERROR(__xludf.DUMMYFUNCTION("IFERROR(GOOGLEFINANCE(C78, ""changepct"") / 100, """")"),"")</f>
        <v/>
      </c>
      <c r="L78" s="21" t="str">
        <f>IFERROR(__xludf.DUMMYFUNCTION("IFERROR((GOOGLEFINANCE(C78, ""price"") / INDEX(GOOGLEFINANCE(C78, ""price"", TODAY()-7, TODAY()), 2, 2)) - 1, """")"),"")</f>
        <v/>
      </c>
      <c r="M78" s="21" t="str">
        <f>IFERROR(__xludf.DUMMYFUNCTION("IFERROR((GOOGLEFINANCE(C78, ""price"") / INDEX(GOOGLEFINANCE(C78, ""price"", EDATE(TODAY(), -1), TODAY()), 2, 2)) - 1, """")"),"")</f>
        <v/>
      </c>
      <c r="N78" s="21" t="str">
        <f>IFERROR(__xludf.DUMMYFUNCTION("IFERROR((GOOGLEFINANCE(C78, ""price"") / INDEX(GOOGLEFINANCE(C78, ""price"", EDATE(TODAY(), -3), TODAY()), 2, 2)) - 1, """")"),"")</f>
        <v/>
      </c>
      <c r="O78" s="21" t="str">
        <f>IFERROR(__xludf.DUMMYFUNCTION("IFERROR((GOOGLEFINANCE(C78, ""price"") / INDEX(GOOGLEFINANCE(C78, ""price"", EDATE(TODAY(), -6), TODAY()), 2, 2)) - 1, """")"),"")</f>
        <v/>
      </c>
      <c r="P78" s="21" t="str">
        <f>IFERROR(__xludf.DUMMYFUNCTION("IFERROR((GOOGLEFINANCE(C78, ""price"") / INDEX(GOOGLEFINANCE(C78, ""price"", EDATE(TODAY(), -12), TODAY()), 2, 2)) - 1, """")"),"")</f>
        <v/>
      </c>
      <c r="Q78" s="6" t="str">
        <f>IFERROR(__xludf.DUMMYFUNCTION("AVERAGE(QUERY(GOOGLEFINANCE(C78, ""price"", TODAY()-80, TODAY()), ""SELECT Col2 WHERE Col2 IS NOT NULL ORDER BY Col1 DESC LIMIT 50"", 0))"),"#N/A")</f>
        <v>#N/A</v>
      </c>
      <c r="R78" s="24" t="str">
        <f>IFERROR(__xludf.DUMMYFUNCTION("IFERROR(
  LET(
    data, QUERY(GOOGLEFINANCE(C78,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GOOGLEFINANCE(C78, ""price"")) * 100,
    IF(calc=0, G78, calc)
  ), 
G78)"),"#N/A")</f>
        <v>#N/A</v>
      </c>
      <c r="S78" s="8" t="s">
        <v>15</v>
      </c>
      <c r="T78" s="26" t="str">
        <f>IFERROR(__xludf.DUMMYFUNCTION("IFERROR(TRANSPOSE(QUERY(IFERROR(SORT(GOOGLEFINANCE(C78, ""price"", WORKDAY(TODAY(), -40), TODAY()), 1, FALSE)), ""select Col2 where Col2 is not null limit 22 label Col2 ''"", 0)), """")"),"")</f>
        <v/>
      </c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8"/>
      <c r="AO78" s="28"/>
      <c r="AP78" s="29"/>
      <c r="AQ78" s="29" t="str">
        <f t="shared" ref="AQ78:BL78" si="81">T78/T$2</f>
        <v>#N/A</v>
      </c>
      <c r="AR78" s="29" t="str">
        <f t="shared" si="81"/>
        <v>#DIV/0!</v>
      </c>
      <c r="AS78" s="29" t="str">
        <f t="shared" si="81"/>
        <v>#DIV/0!</v>
      </c>
      <c r="AT78" s="29" t="str">
        <f t="shared" si="81"/>
        <v>#DIV/0!</v>
      </c>
      <c r="AU78" s="29" t="str">
        <f t="shared" si="81"/>
        <v>#DIV/0!</v>
      </c>
      <c r="AV78" s="29" t="str">
        <f t="shared" si="81"/>
        <v>#DIV/0!</v>
      </c>
      <c r="AW78" s="29" t="str">
        <f t="shared" si="81"/>
        <v>#DIV/0!</v>
      </c>
      <c r="AX78" s="29" t="str">
        <f t="shared" si="81"/>
        <v>#DIV/0!</v>
      </c>
      <c r="AY78" s="29" t="str">
        <f t="shared" si="81"/>
        <v>#DIV/0!</v>
      </c>
      <c r="AZ78" s="29" t="str">
        <f t="shared" si="81"/>
        <v>#DIV/0!</v>
      </c>
      <c r="BA78" s="29" t="str">
        <f t="shared" si="81"/>
        <v>#DIV/0!</v>
      </c>
      <c r="BB78" s="29" t="str">
        <f t="shared" si="81"/>
        <v>#DIV/0!</v>
      </c>
      <c r="BC78" s="29" t="str">
        <f t="shared" si="81"/>
        <v>#DIV/0!</v>
      </c>
      <c r="BD78" s="29" t="str">
        <f t="shared" si="81"/>
        <v>#DIV/0!</v>
      </c>
      <c r="BE78" s="29" t="str">
        <f t="shared" si="81"/>
        <v>#DIV/0!</v>
      </c>
      <c r="BF78" s="29" t="str">
        <f t="shared" si="81"/>
        <v>#DIV/0!</v>
      </c>
      <c r="BG78" s="29" t="str">
        <f t="shared" si="81"/>
        <v>#DIV/0!</v>
      </c>
      <c r="BH78" s="29" t="str">
        <f t="shared" si="81"/>
        <v>#DIV/0!</v>
      </c>
      <c r="BI78" s="29" t="str">
        <f t="shared" si="81"/>
        <v>#DIV/0!</v>
      </c>
      <c r="BJ78" s="29" t="str">
        <f t="shared" si="81"/>
        <v>#DIV/0!</v>
      </c>
      <c r="BK78" s="29" t="str">
        <f t="shared" si="81"/>
        <v>#DIV/0!</v>
      </c>
      <c r="BL78" s="29" t="str">
        <f t="shared" si="81"/>
        <v>#DIV/0!</v>
      </c>
      <c r="BM78" s="29" t="str">
        <f t="shared" si="3"/>
        <v>#DIV/0!</v>
      </c>
    </row>
    <row r="79">
      <c r="A79" s="16" t="str">
        <f>IFERROR(__xludf.DUMMYFUNCTION("IFERROR(SPARKLINE(SORT(MAP(TRANSPOSE(AQ79:BL79), LAMBDA(val, IF(ISNUMBER(val), PERCENTRANK(AQ79:BL79, val)+0.01, 0))), SEQUENCE(COLUMNS(AQ79:BL79)), FALSE), {""charttype"",""column""; ""color"",""chartreuse""; ""ymin"", 0; ""ymax"", 1.01; ""highcolor"", "&amp;"""darkgreen""; ""lowcolor"", ""red""}), """")"),"")</f>
        <v/>
      </c>
      <c r="B79" s="17" t="str">
        <f t="shared" si="4"/>
        <v/>
      </c>
      <c r="C79" s="1" t="s">
        <v>382</v>
      </c>
      <c r="D79" s="30" t="str">
        <f>IFERROR(__xludf.DUMMYFUNCTION("IFERROR(GOOGLEFINANCE(C79, ""NAME""))"),"Grindr Inc")</f>
        <v>Grindr Inc</v>
      </c>
      <c r="E79" s="30" t="s">
        <v>48</v>
      </c>
      <c r="F79" s="33" t="str">
        <f>IFERROR(__xludf.DUMMYFUNCTION("( (GOOGLEFINANCE(C79, ""price"") - Q79) / Q79 ) / (R79 / 100)"),"Loading...")</f>
        <v>Loading...</v>
      </c>
      <c r="G79" s="20" t="str">
        <f>IFERROR(__xludf.DUMMYFUNCTION("AVERAGE(ARRAYFORMULA(100 * (QUERY(GOOGLEFINANCE(C79, ""high"", TODAY()-40, TODAY()), ""SELECT Col2 WHERE Col2 IS NOT NULL ORDER BY Col1 DESC LIMIT 20"", 0) / QUERY(GOOGLEFINANCE(C79, ""low"", TODAY()-40, TODAY()), ""SELECT Col2 WHERE Col2 IS NOT NULL ORDE"&amp;"R BY Col1 DESC LIMIT 20"", 0) - 1)))"),"#N/A")</f>
        <v>#N/A</v>
      </c>
      <c r="H79" s="35" t="str">
        <f t="shared" si="6"/>
        <v/>
      </c>
      <c r="I79" s="36" t="str">
        <f t="shared" si="7"/>
        <v/>
      </c>
      <c r="J79" s="37" t="str">
        <f>IFERROR(__xludf.DUMMYFUNCTION("IFERROR(
  IF(C79="""",, 
    IFERROR(
      GOOGLEFINANCE(C79, ""price"") * GOOGLEFINANCE(C79, ""volumeavg""), 
      GOOGLEFINANCE(C79, ""price"") * AVERAGE(QUERY(GOOGLEFINANCE(C79, ""volume"", TODAY()-40, TODAY()), ""SELECT Col2 WHERE Col2 IS NOT NULL "&amp;"ORDER BY Col1 DESC LIMIT 20"", 0))
    )
  ), 
"""")"),"")</f>
        <v/>
      </c>
      <c r="K79" s="21" t="str">
        <f>IFERROR(__xludf.DUMMYFUNCTION("IFERROR(GOOGLEFINANCE(C79, ""changepct"") / 100, """")"),"")</f>
        <v/>
      </c>
      <c r="L79" s="21" t="str">
        <f>IFERROR(__xludf.DUMMYFUNCTION("IFERROR((GOOGLEFINANCE(C79, ""price"") / INDEX(GOOGLEFINANCE(C79, ""price"", TODAY()-7, TODAY()), 2, 2)) - 1, """")"),"")</f>
        <v/>
      </c>
      <c r="M79" s="21" t="str">
        <f>IFERROR(__xludf.DUMMYFUNCTION("IFERROR((GOOGLEFINANCE(C79, ""price"") / INDEX(GOOGLEFINANCE(C79, ""price"", EDATE(TODAY(), -1), TODAY()), 2, 2)) - 1, """")"),"")</f>
        <v/>
      </c>
      <c r="N79" s="21" t="str">
        <f>IFERROR(__xludf.DUMMYFUNCTION("IFERROR((GOOGLEFINANCE(C79, ""price"") / INDEX(GOOGLEFINANCE(C79, ""price"", EDATE(TODAY(), -3), TODAY()), 2, 2)) - 1, """")"),"")</f>
        <v/>
      </c>
      <c r="O79" s="21" t="str">
        <f>IFERROR(__xludf.DUMMYFUNCTION("IFERROR((GOOGLEFINANCE(C79, ""price"") / INDEX(GOOGLEFINANCE(C79, ""price"", EDATE(TODAY(), -6), TODAY()), 2, 2)) - 1, """")"),"")</f>
        <v/>
      </c>
      <c r="P79" s="21" t="str">
        <f>IFERROR(__xludf.DUMMYFUNCTION("IFERROR((GOOGLEFINANCE(C79, ""price"") / INDEX(GOOGLEFINANCE(C79, ""price"", EDATE(TODAY(), -12), TODAY()), 2, 2)) - 1, """")"),"")</f>
        <v/>
      </c>
      <c r="Q79" s="6" t="str">
        <f>IFERROR(__xludf.DUMMYFUNCTION("AVERAGE(QUERY(GOOGLEFINANCE(C79, ""price"", TODAY()-80, TODAY()), ""SELECT Col2 WHERE Col2 IS NOT NULL ORDER BY Col1 DESC LIMIT 50"", 0))"),"#N/A")</f>
        <v>#N/A</v>
      </c>
      <c r="R79" s="24" t="str">
        <f>IFERROR(__xludf.DUMMYFUNCTION("IFERROR(
  LET(
    data, QUERY(GOOGLEFINANCE(C79,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GOOGLEFINANCE(C79, ""price"")) * 100,
    IF(calc=0, G79, calc)
  ), 
G79)"),"#N/A")</f>
        <v>#N/A</v>
      </c>
      <c r="S79" s="8" t="s">
        <v>15</v>
      </c>
      <c r="T79" s="26" t="str">
        <f>IFERROR(__xludf.DUMMYFUNCTION("IFERROR(TRANSPOSE(QUERY(IFERROR(SORT(GOOGLEFINANCE(C79, ""price"", WORKDAY(TODAY(), -40), TODAY()), 1, FALSE)), ""select Col2 where Col2 is not null limit 22 label Col2 ''"", 0)), """")"),"")</f>
        <v/>
      </c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8"/>
      <c r="AO79" s="28"/>
      <c r="AP79" s="29"/>
      <c r="AQ79" s="29" t="str">
        <f t="shared" ref="AQ79:BL79" si="82">T79/T$2</f>
        <v>#N/A</v>
      </c>
      <c r="AR79" s="29" t="str">
        <f t="shared" si="82"/>
        <v>#DIV/0!</v>
      </c>
      <c r="AS79" s="29" t="str">
        <f t="shared" si="82"/>
        <v>#DIV/0!</v>
      </c>
      <c r="AT79" s="29" t="str">
        <f t="shared" si="82"/>
        <v>#DIV/0!</v>
      </c>
      <c r="AU79" s="29" t="str">
        <f t="shared" si="82"/>
        <v>#DIV/0!</v>
      </c>
      <c r="AV79" s="29" t="str">
        <f t="shared" si="82"/>
        <v>#DIV/0!</v>
      </c>
      <c r="AW79" s="29" t="str">
        <f t="shared" si="82"/>
        <v>#DIV/0!</v>
      </c>
      <c r="AX79" s="29" t="str">
        <f t="shared" si="82"/>
        <v>#DIV/0!</v>
      </c>
      <c r="AY79" s="29" t="str">
        <f t="shared" si="82"/>
        <v>#DIV/0!</v>
      </c>
      <c r="AZ79" s="29" t="str">
        <f t="shared" si="82"/>
        <v>#DIV/0!</v>
      </c>
      <c r="BA79" s="29" t="str">
        <f t="shared" si="82"/>
        <v>#DIV/0!</v>
      </c>
      <c r="BB79" s="29" t="str">
        <f t="shared" si="82"/>
        <v>#DIV/0!</v>
      </c>
      <c r="BC79" s="29" t="str">
        <f t="shared" si="82"/>
        <v>#DIV/0!</v>
      </c>
      <c r="BD79" s="29" t="str">
        <f t="shared" si="82"/>
        <v>#DIV/0!</v>
      </c>
      <c r="BE79" s="29" t="str">
        <f t="shared" si="82"/>
        <v>#DIV/0!</v>
      </c>
      <c r="BF79" s="29" t="str">
        <f t="shared" si="82"/>
        <v>#DIV/0!</v>
      </c>
      <c r="BG79" s="29" t="str">
        <f t="shared" si="82"/>
        <v>#DIV/0!</v>
      </c>
      <c r="BH79" s="29" t="str">
        <f t="shared" si="82"/>
        <v>#DIV/0!</v>
      </c>
      <c r="BI79" s="29" t="str">
        <f t="shared" si="82"/>
        <v>#DIV/0!</v>
      </c>
      <c r="BJ79" s="29" t="str">
        <f t="shared" si="82"/>
        <v>#DIV/0!</v>
      </c>
      <c r="BK79" s="29" t="str">
        <f t="shared" si="82"/>
        <v>#DIV/0!</v>
      </c>
      <c r="BL79" s="29" t="str">
        <f t="shared" si="82"/>
        <v>#DIV/0!</v>
      </c>
      <c r="BM79" s="29" t="str">
        <f t="shared" si="3"/>
        <v>#DIV/0!</v>
      </c>
    </row>
    <row r="80">
      <c r="A80" s="16" t="str">
        <f>IFERROR(__xludf.DUMMYFUNCTION("IFERROR(SPARKLINE(SORT(MAP(TRANSPOSE(AQ80:BL80), LAMBDA(val, IF(ISNUMBER(val), PERCENTRANK(AQ80:BL80, val)+0.01, 0))), SEQUENCE(COLUMNS(AQ80:BL80)), FALSE), {""charttype"",""column""; ""color"",""chartreuse""; ""ymin"", 0; ""ymax"", 1.01; ""highcolor"", "&amp;"""darkgreen""; ""lowcolor"", ""red""}), """")"),"")</f>
        <v/>
      </c>
      <c r="B80" s="17" t="str">
        <f t="shared" si="4"/>
        <v/>
      </c>
      <c r="C80" s="1" t="s">
        <v>386</v>
      </c>
      <c r="D80" s="30" t="str">
        <f>IFERROR(__xludf.DUMMYFUNCTION("IFERROR(GOOGLEFINANCE(C80, ""NAME""))"),"Check Point Software Technologies Ltd")</f>
        <v>Check Point Software Technologies Ltd</v>
      </c>
      <c r="E80" s="30" t="s">
        <v>58</v>
      </c>
      <c r="F80" s="33" t="str">
        <f>IFERROR(__xludf.DUMMYFUNCTION("( (GOOGLEFINANCE(C80, ""price"") - Q80) / Q80 ) / (R80 / 100)"),"Loading...")</f>
        <v>Loading...</v>
      </c>
      <c r="G80" s="20" t="str">
        <f>IFERROR(__xludf.DUMMYFUNCTION("AVERAGE(ARRAYFORMULA(100 * (QUERY(GOOGLEFINANCE(C80, ""high"", TODAY()-40, TODAY()), ""SELECT Col2 WHERE Col2 IS NOT NULL ORDER BY Col1 DESC LIMIT 20"", 0) / QUERY(GOOGLEFINANCE(C80, ""low"", TODAY()-40, TODAY()), ""SELECT Col2 WHERE Col2 IS NOT NULL ORDE"&amp;"R BY Col1 DESC LIMIT 20"", 0) - 1)))"),"#N/A")</f>
        <v>#N/A</v>
      </c>
      <c r="H80" s="35" t="str">
        <f t="shared" si="6"/>
        <v/>
      </c>
      <c r="I80" s="36" t="str">
        <f t="shared" si="7"/>
        <v/>
      </c>
      <c r="J80" s="37" t="str">
        <f>IFERROR(__xludf.DUMMYFUNCTION("IFERROR(
  IF(C80="""",, 
    IFERROR(
      GOOGLEFINANCE(C80, ""price"") * GOOGLEFINANCE(C80, ""volumeavg""), 
      GOOGLEFINANCE(C80, ""price"") * AVERAGE(QUERY(GOOGLEFINANCE(C80, ""volume"", TODAY()-40, TODAY()), ""SELECT Col2 WHERE Col2 IS NOT NULL "&amp;"ORDER BY Col1 DESC LIMIT 20"", 0))
    )
  ), 
"""")"),"")</f>
        <v/>
      </c>
      <c r="K80" s="21" t="str">
        <f>IFERROR(__xludf.DUMMYFUNCTION("IFERROR(GOOGLEFINANCE(C80, ""changepct"") / 100, """")"),"")</f>
        <v/>
      </c>
      <c r="L80" s="21" t="str">
        <f>IFERROR(__xludf.DUMMYFUNCTION("IFERROR((GOOGLEFINANCE(C80, ""price"") / INDEX(GOOGLEFINANCE(C80, ""price"", TODAY()-7, TODAY()), 2, 2)) - 1, """")"),"")</f>
        <v/>
      </c>
      <c r="M80" s="21" t="str">
        <f>IFERROR(__xludf.DUMMYFUNCTION("IFERROR((GOOGLEFINANCE(C80, ""price"") / INDEX(GOOGLEFINANCE(C80, ""price"", EDATE(TODAY(), -1), TODAY()), 2, 2)) - 1, """")"),"")</f>
        <v/>
      </c>
      <c r="N80" s="21" t="str">
        <f>IFERROR(__xludf.DUMMYFUNCTION("IFERROR((GOOGLEFINANCE(C80, ""price"") / INDEX(GOOGLEFINANCE(C80, ""price"", EDATE(TODAY(), -3), TODAY()), 2, 2)) - 1, """")"),"")</f>
        <v/>
      </c>
      <c r="O80" s="21" t="str">
        <f>IFERROR(__xludf.DUMMYFUNCTION("IFERROR((GOOGLEFINANCE(C80, ""price"") / INDEX(GOOGLEFINANCE(C80, ""price"", EDATE(TODAY(), -6), TODAY()), 2, 2)) - 1, """")"),"")</f>
        <v/>
      </c>
      <c r="P80" s="21" t="str">
        <f>IFERROR(__xludf.DUMMYFUNCTION("IFERROR((GOOGLEFINANCE(C80, ""price"") / INDEX(GOOGLEFINANCE(C80, ""price"", EDATE(TODAY(), -12), TODAY()), 2, 2)) - 1, """")"),"")</f>
        <v/>
      </c>
      <c r="Q80" s="6" t="str">
        <f>IFERROR(__xludf.DUMMYFUNCTION("AVERAGE(QUERY(GOOGLEFINANCE(C80, ""price"", TODAY()-80, TODAY()), ""SELECT Col2 WHERE Col2 IS NOT NULL ORDER BY Col1 DESC LIMIT 50"", 0))"),"#N/A")</f>
        <v>#N/A</v>
      </c>
      <c r="R80" s="24" t="str">
        <f>IFERROR(__xludf.DUMMYFUNCTION("IFERROR(
  LET(
    data, QUERY(GOOGLEFINANCE(C80,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GOOGLEFINANCE(C80, ""price"")) * 100,
    IF(calc=0, G80, calc)
  ), 
G80)"),"#N/A")</f>
        <v>#N/A</v>
      </c>
      <c r="S80" s="8" t="s">
        <v>15</v>
      </c>
      <c r="T80" s="26" t="str">
        <f>IFERROR(__xludf.DUMMYFUNCTION("IFERROR(TRANSPOSE(QUERY(IFERROR(SORT(GOOGLEFINANCE(C80, ""price"", WORKDAY(TODAY(), -40), TODAY()), 1, FALSE)), ""select Col2 where Col2 is not null limit 22 label Col2 ''"", 0)), """")"),"")</f>
        <v/>
      </c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8"/>
      <c r="AO80" s="28"/>
      <c r="AP80" s="29"/>
      <c r="AQ80" s="29" t="str">
        <f t="shared" ref="AQ80:BL80" si="83">T80/T$2</f>
        <v>#N/A</v>
      </c>
      <c r="AR80" s="29" t="str">
        <f t="shared" si="83"/>
        <v>#DIV/0!</v>
      </c>
      <c r="AS80" s="29" t="str">
        <f t="shared" si="83"/>
        <v>#DIV/0!</v>
      </c>
      <c r="AT80" s="29" t="str">
        <f t="shared" si="83"/>
        <v>#DIV/0!</v>
      </c>
      <c r="AU80" s="29" t="str">
        <f t="shared" si="83"/>
        <v>#DIV/0!</v>
      </c>
      <c r="AV80" s="29" t="str">
        <f t="shared" si="83"/>
        <v>#DIV/0!</v>
      </c>
      <c r="AW80" s="29" t="str">
        <f t="shared" si="83"/>
        <v>#DIV/0!</v>
      </c>
      <c r="AX80" s="29" t="str">
        <f t="shared" si="83"/>
        <v>#DIV/0!</v>
      </c>
      <c r="AY80" s="29" t="str">
        <f t="shared" si="83"/>
        <v>#DIV/0!</v>
      </c>
      <c r="AZ80" s="29" t="str">
        <f t="shared" si="83"/>
        <v>#DIV/0!</v>
      </c>
      <c r="BA80" s="29" t="str">
        <f t="shared" si="83"/>
        <v>#DIV/0!</v>
      </c>
      <c r="BB80" s="29" t="str">
        <f t="shared" si="83"/>
        <v>#DIV/0!</v>
      </c>
      <c r="BC80" s="29" t="str">
        <f t="shared" si="83"/>
        <v>#DIV/0!</v>
      </c>
      <c r="BD80" s="29" t="str">
        <f t="shared" si="83"/>
        <v>#DIV/0!</v>
      </c>
      <c r="BE80" s="29" t="str">
        <f t="shared" si="83"/>
        <v>#DIV/0!</v>
      </c>
      <c r="BF80" s="29" t="str">
        <f t="shared" si="83"/>
        <v>#DIV/0!</v>
      </c>
      <c r="BG80" s="29" t="str">
        <f t="shared" si="83"/>
        <v>#DIV/0!</v>
      </c>
      <c r="BH80" s="29" t="str">
        <f t="shared" si="83"/>
        <v>#DIV/0!</v>
      </c>
      <c r="BI80" s="29" t="str">
        <f t="shared" si="83"/>
        <v>#DIV/0!</v>
      </c>
      <c r="BJ80" s="29" t="str">
        <f t="shared" si="83"/>
        <v>#DIV/0!</v>
      </c>
      <c r="BK80" s="29" t="str">
        <f t="shared" si="83"/>
        <v>#DIV/0!</v>
      </c>
      <c r="BL80" s="29" t="str">
        <f t="shared" si="83"/>
        <v>#DIV/0!</v>
      </c>
      <c r="BM80" s="29" t="str">
        <f t="shared" si="3"/>
        <v>#DIV/0!</v>
      </c>
    </row>
    <row r="81">
      <c r="A81" s="16" t="str">
        <f>IFERROR(__xludf.DUMMYFUNCTION("IFERROR(SPARKLINE(SORT(MAP(TRANSPOSE(AQ81:BL81), LAMBDA(val, IF(ISNUMBER(val), PERCENTRANK(AQ81:BL81, val)+0.01, 0))), SEQUENCE(COLUMNS(AQ81:BL81)), FALSE), {""charttype"",""column""; ""color"",""chartreuse""; ""ymin"", 0; ""ymax"", 1.01; ""highcolor"", "&amp;"""darkgreen""; ""lowcolor"", ""red""}), """")"),"")</f>
        <v/>
      </c>
      <c r="B81" s="17" t="str">
        <f t="shared" si="4"/>
        <v/>
      </c>
      <c r="C81" s="1" t="s">
        <v>389</v>
      </c>
      <c r="D81" s="30" t="str">
        <f>IFERROR(__xludf.DUMMYFUNCTION("IFERROR(GOOGLEFINANCE(C81, ""NAME""))"),"SAP SE")</f>
        <v>SAP SE</v>
      </c>
      <c r="E81" s="30" t="s">
        <v>48</v>
      </c>
      <c r="F81" s="33" t="str">
        <f>IFERROR(__xludf.DUMMYFUNCTION("( (GOOGLEFINANCE(C81, ""price"") - Q81) / Q81 ) / (R81 / 100)"),"Loading...")</f>
        <v>Loading...</v>
      </c>
      <c r="G81" s="20" t="str">
        <f>IFERROR(__xludf.DUMMYFUNCTION("AVERAGE(ARRAYFORMULA(100 * (QUERY(GOOGLEFINANCE(C81, ""high"", TODAY()-40, TODAY()), ""SELECT Col2 WHERE Col2 IS NOT NULL ORDER BY Col1 DESC LIMIT 20"", 0) / QUERY(GOOGLEFINANCE(C81, ""low"", TODAY()-40, TODAY()), ""SELECT Col2 WHERE Col2 IS NOT NULL ORDE"&amp;"R BY Col1 DESC LIMIT 20"", 0) - 1)))"),"#N/A")</f>
        <v>#N/A</v>
      </c>
      <c r="H81" s="35" t="str">
        <f t="shared" si="6"/>
        <v/>
      </c>
      <c r="I81" s="36" t="str">
        <f t="shared" si="7"/>
        <v/>
      </c>
      <c r="J81" s="37" t="str">
        <f>IFERROR(__xludf.DUMMYFUNCTION("IFERROR(
  IF(C81="""",, 
    IFERROR(
      GOOGLEFINANCE(C81, ""price"") * GOOGLEFINANCE(C81, ""volumeavg""), 
      GOOGLEFINANCE(C81, ""price"") * AVERAGE(QUERY(GOOGLEFINANCE(C81, ""volume"", TODAY()-40, TODAY()), ""SELECT Col2 WHERE Col2 IS NOT NULL "&amp;"ORDER BY Col1 DESC LIMIT 20"", 0))
    )
  ), 
"""")"),"")</f>
        <v/>
      </c>
      <c r="K81" s="21" t="str">
        <f>IFERROR(__xludf.DUMMYFUNCTION("IFERROR(GOOGLEFINANCE(C81, ""changepct"") / 100, """")"),"")</f>
        <v/>
      </c>
      <c r="L81" s="21" t="str">
        <f>IFERROR(__xludf.DUMMYFUNCTION("IFERROR((GOOGLEFINANCE(C81, ""price"") / INDEX(GOOGLEFINANCE(C81, ""price"", TODAY()-7, TODAY()), 2, 2)) - 1, """")"),"")</f>
        <v/>
      </c>
      <c r="M81" s="21" t="str">
        <f>IFERROR(__xludf.DUMMYFUNCTION("IFERROR((GOOGLEFINANCE(C81, ""price"") / INDEX(GOOGLEFINANCE(C81, ""price"", EDATE(TODAY(), -1), TODAY()), 2, 2)) - 1, """")"),"")</f>
        <v/>
      </c>
      <c r="N81" s="21" t="str">
        <f>IFERROR(__xludf.DUMMYFUNCTION("IFERROR((GOOGLEFINANCE(C81, ""price"") / INDEX(GOOGLEFINANCE(C81, ""price"", EDATE(TODAY(), -3), TODAY()), 2, 2)) - 1, """")"),"")</f>
        <v/>
      </c>
      <c r="O81" s="21" t="str">
        <f>IFERROR(__xludf.DUMMYFUNCTION("IFERROR((GOOGLEFINANCE(C81, ""price"") / INDEX(GOOGLEFINANCE(C81, ""price"", EDATE(TODAY(), -6), TODAY()), 2, 2)) - 1, """")"),"")</f>
        <v/>
      </c>
      <c r="P81" s="21" t="str">
        <f>IFERROR(__xludf.DUMMYFUNCTION("IFERROR((GOOGLEFINANCE(C81, ""price"") / INDEX(GOOGLEFINANCE(C81, ""price"", EDATE(TODAY(), -12), TODAY()), 2, 2)) - 1, """")"),"")</f>
        <v/>
      </c>
      <c r="Q81" s="6" t="str">
        <f>IFERROR(__xludf.DUMMYFUNCTION("AVERAGE(QUERY(GOOGLEFINANCE(C81, ""price"", TODAY()-80, TODAY()), ""SELECT Col2 WHERE Col2 IS NOT NULL ORDER BY Col1 DESC LIMIT 50"", 0))"),"#N/A")</f>
        <v>#N/A</v>
      </c>
      <c r="R81" s="24" t="str">
        <f>IFERROR(__xludf.DUMMYFUNCTION("IFERROR(
  LET(
    data, QUERY(GOOGLEFINANCE(C81,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GOOGLEFINANCE(C81, ""price"")) * 100,
    IF(calc=0, G81, calc)
  ), 
G81)"),"#N/A")</f>
        <v>#N/A</v>
      </c>
      <c r="S81" s="8" t="s">
        <v>15</v>
      </c>
      <c r="T81" s="26" t="str">
        <f>IFERROR(__xludf.DUMMYFUNCTION("IFERROR(TRANSPOSE(QUERY(IFERROR(SORT(GOOGLEFINANCE(C81, ""price"", WORKDAY(TODAY(), -40), TODAY()), 1, FALSE)), ""select Col2 where Col2 is not null limit 22 label Col2 ''"", 0)), """")"),"")</f>
        <v/>
      </c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8"/>
      <c r="AO81" s="28"/>
      <c r="AP81" s="29"/>
      <c r="AQ81" s="29" t="str">
        <f t="shared" ref="AQ81:BL81" si="84">T81/T$2</f>
        <v>#N/A</v>
      </c>
      <c r="AR81" s="29" t="str">
        <f t="shared" si="84"/>
        <v>#DIV/0!</v>
      </c>
      <c r="AS81" s="29" t="str">
        <f t="shared" si="84"/>
        <v>#DIV/0!</v>
      </c>
      <c r="AT81" s="29" t="str">
        <f t="shared" si="84"/>
        <v>#DIV/0!</v>
      </c>
      <c r="AU81" s="29" t="str">
        <f t="shared" si="84"/>
        <v>#DIV/0!</v>
      </c>
      <c r="AV81" s="29" t="str">
        <f t="shared" si="84"/>
        <v>#DIV/0!</v>
      </c>
      <c r="AW81" s="29" t="str">
        <f t="shared" si="84"/>
        <v>#DIV/0!</v>
      </c>
      <c r="AX81" s="29" t="str">
        <f t="shared" si="84"/>
        <v>#DIV/0!</v>
      </c>
      <c r="AY81" s="29" t="str">
        <f t="shared" si="84"/>
        <v>#DIV/0!</v>
      </c>
      <c r="AZ81" s="29" t="str">
        <f t="shared" si="84"/>
        <v>#DIV/0!</v>
      </c>
      <c r="BA81" s="29" t="str">
        <f t="shared" si="84"/>
        <v>#DIV/0!</v>
      </c>
      <c r="BB81" s="29" t="str">
        <f t="shared" si="84"/>
        <v>#DIV/0!</v>
      </c>
      <c r="BC81" s="29" t="str">
        <f t="shared" si="84"/>
        <v>#DIV/0!</v>
      </c>
      <c r="BD81" s="29" t="str">
        <f t="shared" si="84"/>
        <v>#DIV/0!</v>
      </c>
      <c r="BE81" s="29" t="str">
        <f t="shared" si="84"/>
        <v>#DIV/0!</v>
      </c>
      <c r="BF81" s="29" t="str">
        <f t="shared" si="84"/>
        <v>#DIV/0!</v>
      </c>
      <c r="BG81" s="29" t="str">
        <f t="shared" si="84"/>
        <v>#DIV/0!</v>
      </c>
      <c r="BH81" s="29" t="str">
        <f t="shared" si="84"/>
        <v>#DIV/0!</v>
      </c>
      <c r="BI81" s="29" t="str">
        <f t="shared" si="84"/>
        <v>#DIV/0!</v>
      </c>
      <c r="BJ81" s="29" t="str">
        <f t="shared" si="84"/>
        <v>#DIV/0!</v>
      </c>
      <c r="BK81" s="29" t="str">
        <f t="shared" si="84"/>
        <v>#DIV/0!</v>
      </c>
      <c r="BL81" s="29" t="str">
        <f t="shared" si="84"/>
        <v>#DIV/0!</v>
      </c>
      <c r="BM81" s="29" t="str">
        <f t="shared" si="3"/>
        <v>#DIV/0!</v>
      </c>
    </row>
    <row r="82">
      <c r="A82" s="16" t="str">
        <f>IFERROR(__xludf.DUMMYFUNCTION("IFERROR(SPARKLINE(SORT(MAP(TRANSPOSE(AQ82:BL82), LAMBDA(val, IF(ISNUMBER(val), PERCENTRANK(AQ82:BL82, val)+0.01, 0))), SEQUENCE(COLUMNS(AQ82:BL82)), FALSE), {""charttype"",""column""; ""color"",""chartreuse""; ""ymin"", 0; ""ymax"", 1.01; ""highcolor"", "&amp;"""darkgreen""; ""lowcolor"", ""red""}), """")"),"")</f>
        <v/>
      </c>
      <c r="B82" s="17" t="str">
        <f t="shared" si="4"/>
        <v/>
      </c>
      <c r="C82" s="1" t="s">
        <v>392</v>
      </c>
      <c r="D82" s="30" t="str">
        <f>IFERROR(__xludf.DUMMYFUNCTION("IFERROR(GOOGLEFINANCE(C82, ""NAME""))"),"CI&amp;T Inc")</f>
        <v>CI&amp;T Inc</v>
      </c>
      <c r="E82" s="30" t="s">
        <v>58</v>
      </c>
      <c r="F82" s="33" t="str">
        <f>IFERROR(__xludf.DUMMYFUNCTION("( (GOOGLEFINANCE(C82, ""price"") - Q82) / Q82 ) / (R82 / 100)"),"Loading...")</f>
        <v>Loading...</v>
      </c>
      <c r="G82" s="20" t="str">
        <f>IFERROR(__xludf.DUMMYFUNCTION("AVERAGE(ARRAYFORMULA(100 * (QUERY(GOOGLEFINANCE(C82, ""high"", TODAY()-40, TODAY()), ""SELECT Col2 WHERE Col2 IS NOT NULL ORDER BY Col1 DESC LIMIT 20"", 0) / QUERY(GOOGLEFINANCE(C82, ""low"", TODAY()-40, TODAY()), ""SELECT Col2 WHERE Col2 IS NOT NULL ORDE"&amp;"R BY Col1 DESC LIMIT 20"", 0) - 1)))"),"#N/A")</f>
        <v>#N/A</v>
      </c>
      <c r="H82" s="35" t="str">
        <f t="shared" si="6"/>
        <v/>
      </c>
      <c r="I82" s="36" t="str">
        <f t="shared" si="7"/>
        <v/>
      </c>
      <c r="J82" s="37" t="str">
        <f>IFERROR(__xludf.DUMMYFUNCTION("IFERROR(
  IF(C82="""",, 
    IFERROR(
      GOOGLEFINANCE(C82, ""price"") * GOOGLEFINANCE(C82, ""volumeavg""), 
      GOOGLEFINANCE(C82, ""price"") * AVERAGE(QUERY(GOOGLEFINANCE(C82, ""volume"", TODAY()-40, TODAY()), ""SELECT Col2 WHERE Col2 IS NOT NULL "&amp;"ORDER BY Col1 DESC LIMIT 20"", 0))
    )
  ), 
"""")"),"")</f>
        <v/>
      </c>
      <c r="K82" s="21" t="str">
        <f>IFERROR(__xludf.DUMMYFUNCTION("IFERROR(GOOGLEFINANCE(C82, ""changepct"") / 100, """")"),"")</f>
        <v/>
      </c>
      <c r="L82" s="21" t="str">
        <f>IFERROR(__xludf.DUMMYFUNCTION("IFERROR((GOOGLEFINANCE(C82, ""price"") / INDEX(GOOGLEFINANCE(C82, ""price"", TODAY()-7, TODAY()), 2, 2)) - 1, """")"),"")</f>
        <v/>
      </c>
      <c r="M82" s="21" t="str">
        <f>IFERROR(__xludf.DUMMYFUNCTION("IFERROR((GOOGLEFINANCE(C82, ""price"") / INDEX(GOOGLEFINANCE(C82, ""price"", EDATE(TODAY(), -1), TODAY()), 2, 2)) - 1, """")"),"")</f>
        <v/>
      </c>
      <c r="N82" s="21" t="str">
        <f>IFERROR(__xludf.DUMMYFUNCTION("IFERROR((GOOGLEFINANCE(C82, ""price"") / INDEX(GOOGLEFINANCE(C82, ""price"", EDATE(TODAY(), -3), TODAY()), 2, 2)) - 1, """")"),"")</f>
        <v/>
      </c>
      <c r="O82" s="21" t="str">
        <f>IFERROR(__xludf.DUMMYFUNCTION("IFERROR((GOOGLEFINANCE(C82, ""price"") / INDEX(GOOGLEFINANCE(C82, ""price"", EDATE(TODAY(), -6), TODAY()), 2, 2)) - 1, """")"),"")</f>
        <v/>
      </c>
      <c r="P82" s="21" t="str">
        <f>IFERROR(__xludf.DUMMYFUNCTION("IFERROR((GOOGLEFINANCE(C82, ""price"") / INDEX(GOOGLEFINANCE(C82, ""price"", EDATE(TODAY(), -12), TODAY()), 2, 2)) - 1, """")"),"")</f>
        <v/>
      </c>
      <c r="Q82" s="6" t="str">
        <f>IFERROR(__xludf.DUMMYFUNCTION("AVERAGE(QUERY(GOOGLEFINANCE(C82, ""price"", TODAY()-80, TODAY()), ""SELECT Col2 WHERE Col2 IS NOT NULL ORDER BY Col1 DESC LIMIT 50"", 0))"),"#N/A")</f>
        <v>#N/A</v>
      </c>
      <c r="R82" s="24" t="str">
        <f>IFERROR(__xludf.DUMMYFUNCTION("IFERROR(
  LET(
    data, QUERY(GOOGLEFINANCE(C82,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GOOGLEFINANCE(C82, ""price"")) * 100,
    IF(calc=0, G82, calc)
  ), 
G82)"),"#N/A")</f>
        <v>#N/A</v>
      </c>
      <c r="S82" s="8" t="s">
        <v>15</v>
      </c>
      <c r="T82" s="26" t="str">
        <f>IFERROR(__xludf.DUMMYFUNCTION("IFERROR(TRANSPOSE(QUERY(IFERROR(SORT(GOOGLEFINANCE(C82, ""price"", WORKDAY(TODAY(), -40), TODAY()), 1, FALSE)), ""select Col2 where Col2 is not null limit 22 label Col2 ''"", 0)), """")"),"")</f>
        <v/>
      </c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8"/>
      <c r="AO82" s="28"/>
      <c r="AP82" s="29"/>
      <c r="AQ82" s="29" t="str">
        <f t="shared" ref="AQ82:BL82" si="85">T82/T$2</f>
        <v>#N/A</v>
      </c>
      <c r="AR82" s="29" t="str">
        <f t="shared" si="85"/>
        <v>#DIV/0!</v>
      </c>
      <c r="AS82" s="29" t="str">
        <f t="shared" si="85"/>
        <v>#DIV/0!</v>
      </c>
      <c r="AT82" s="29" t="str">
        <f t="shared" si="85"/>
        <v>#DIV/0!</v>
      </c>
      <c r="AU82" s="29" t="str">
        <f t="shared" si="85"/>
        <v>#DIV/0!</v>
      </c>
      <c r="AV82" s="29" t="str">
        <f t="shared" si="85"/>
        <v>#DIV/0!</v>
      </c>
      <c r="AW82" s="29" t="str">
        <f t="shared" si="85"/>
        <v>#DIV/0!</v>
      </c>
      <c r="AX82" s="29" t="str">
        <f t="shared" si="85"/>
        <v>#DIV/0!</v>
      </c>
      <c r="AY82" s="29" t="str">
        <f t="shared" si="85"/>
        <v>#DIV/0!</v>
      </c>
      <c r="AZ82" s="29" t="str">
        <f t="shared" si="85"/>
        <v>#DIV/0!</v>
      </c>
      <c r="BA82" s="29" t="str">
        <f t="shared" si="85"/>
        <v>#DIV/0!</v>
      </c>
      <c r="BB82" s="29" t="str">
        <f t="shared" si="85"/>
        <v>#DIV/0!</v>
      </c>
      <c r="BC82" s="29" t="str">
        <f t="shared" si="85"/>
        <v>#DIV/0!</v>
      </c>
      <c r="BD82" s="29" t="str">
        <f t="shared" si="85"/>
        <v>#DIV/0!</v>
      </c>
      <c r="BE82" s="29" t="str">
        <f t="shared" si="85"/>
        <v>#DIV/0!</v>
      </c>
      <c r="BF82" s="29" t="str">
        <f t="shared" si="85"/>
        <v>#DIV/0!</v>
      </c>
      <c r="BG82" s="29" t="str">
        <f t="shared" si="85"/>
        <v>#DIV/0!</v>
      </c>
      <c r="BH82" s="29" t="str">
        <f t="shared" si="85"/>
        <v>#DIV/0!</v>
      </c>
      <c r="BI82" s="29" t="str">
        <f t="shared" si="85"/>
        <v>#DIV/0!</v>
      </c>
      <c r="BJ82" s="29" t="str">
        <f t="shared" si="85"/>
        <v>#DIV/0!</v>
      </c>
      <c r="BK82" s="29" t="str">
        <f t="shared" si="85"/>
        <v>#DIV/0!</v>
      </c>
      <c r="BL82" s="29" t="str">
        <f t="shared" si="85"/>
        <v>#DIV/0!</v>
      </c>
      <c r="BM82" s="29" t="str">
        <f t="shared" si="3"/>
        <v>#DIV/0!</v>
      </c>
    </row>
    <row r="83">
      <c r="A83" s="16" t="str">
        <f>IFERROR(__xludf.DUMMYFUNCTION("IFERROR(SPARKLINE(SORT(MAP(TRANSPOSE(AQ83:BL83), LAMBDA(val, IF(ISNUMBER(val), PERCENTRANK(AQ83:BL83, val)+0.01, 0))), SEQUENCE(COLUMNS(AQ83:BL83)), FALSE), {""charttype"",""column""; ""color"",""chartreuse""; ""ymin"", 0; ""ymax"", 1.01; ""highcolor"", "&amp;"""darkgreen""; ""lowcolor"", ""red""}), """")"),"")</f>
        <v/>
      </c>
      <c r="B83" s="17" t="str">
        <f t="shared" si="4"/>
        <v/>
      </c>
      <c r="C83" s="1" t="s">
        <v>396</v>
      </c>
      <c r="D83" s="30" t="str">
        <f>IFERROR(__xludf.DUMMYFUNCTION("IFERROR(GOOGLEFINANCE(C83, ""NAME""))"),"Cognizant Technology Solutions Corp")</f>
        <v>Cognizant Technology Solutions Corp</v>
      </c>
      <c r="E83" s="30" t="s">
        <v>102</v>
      </c>
      <c r="F83" s="38" t="str">
        <f>IFERROR(__xludf.DUMMYFUNCTION("( (GOOGLEFINANCE(C83, ""price"") - Q83) / Q83 ) / (R83 / 100)"),"Loading...")</f>
        <v>Loading...</v>
      </c>
      <c r="G83" s="20" t="str">
        <f>IFERROR(__xludf.DUMMYFUNCTION("AVERAGE(ARRAYFORMULA(100 * (QUERY(GOOGLEFINANCE(C83, ""high"", TODAY()-40, TODAY()), ""SELECT Col2 WHERE Col2 IS NOT NULL ORDER BY Col1 DESC LIMIT 20"", 0) / QUERY(GOOGLEFINANCE(C83, ""low"", TODAY()-40, TODAY()), ""SELECT Col2 WHERE Col2 IS NOT NULL ORDE"&amp;"R BY Col1 DESC LIMIT 20"", 0) - 1)))"),"#N/A")</f>
        <v>#N/A</v>
      </c>
      <c r="H83" s="35" t="str">
        <f t="shared" si="6"/>
        <v/>
      </c>
      <c r="I83" s="36" t="str">
        <f t="shared" si="7"/>
        <v/>
      </c>
      <c r="J83" s="37" t="str">
        <f>IFERROR(__xludf.DUMMYFUNCTION("IFERROR(
  IF(C83="""",, 
    IFERROR(
      GOOGLEFINANCE(C83, ""price"") * GOOGLEFINANCE(C83, ""volumeavg""), 
      GOOGLEFINANCE(C83, ""price"") * AVERAGE(QUERY(GOOGLEFINANCE(C83, ""volume"", TODAY()-40, TODAY()), ""SELECT Col2 WHERE Col2 IS NOT NULL "&amp;"ORDER BY Col1 DESC LIMIT 20"", 0))
    )
  ), 
"""")"),"")</f>
        <v/>
      </c>
      <c r="K83" s="21" t="str">
        <f>IFERROR(__xludf.DUMMYFUNCTION("IFERROR(GOOGLEFINANCE(C83, ""changepct"") / 100, """")"),"")</f>
        <v/>
      </c>
      <c r="L83" s="21" t="str">
        <f>IFERROR(__xludf.DUMMYFUNCTION("IFERROR((GOOGLEFINANCE(C83, ""price"") / INDEX(GOOGLEFINANCE(C83, ""price"", TODAY()-7, TODAY()), 2, 2)) - 1, """")"),"")</f>
        <v/>
      </c>
      <c r="M83" s="21" t="str">
        <f>IFERROR(__xludf.DUMMYFUNCTION("IFERROR((GOOGLEFINANCE(C83, ""price"") / INDEX(GOOGLEFINANCE(C83, ""price"", EDATE(TODAY(), -1), TODAY()), 2, 2)) - 1, """")"),"")</f>
        <v/>
      </c>
      <c r="N83" s="21" t="str">
        <f>IFERROR(__xludf.DUMMYFUNCTION("IFERROR((GOOGLEFINANCE(C83, ""price"") / INDEX(GOOGLEFINANCE(C83, ""price"", EDATE(TODAY(), -3), TODAY()), 2, 2)) - 1, """")"),"")</f>
        <v/>
      </c>
      <c r="O83" s="21" t="str">
        <f>IFERROR(__xludf.DUMMYFUNCTION("IFERROR((GOOGLEFINANCE(C83, ""price"") / INDEX(GOOGLEFINANCE(C83, ""price"", EDATE(TODAY(), -6), TODAY()), 2, 2)) - 1, """")"),"")</f>
        <v/>
      </c>
      <c r="P83" s="21" t="str">
        <f>IFERROR(__xludf.DUMMYFUNCTION("IFERROR((GOOGLEFINANCE(C83, ""price"") / INDEX(GOOGLEFINANCE(C83, ""price"", EDATE(TODAY(), -12), TODAY()), 2, 2)) - 1, """")"),"")</f>
        <v/>
      </c>
      <c r="Q83" s="6" t="str">
        <f>IFERROR(__xludf.DUMMYFUNCTION("AVERAGE(QUERY(GOOGLEFINANCE(C83, ""price"", TODAY()-80, TODAY()), ""SELECT Col2 WHERE Col2 IS NOT NULL ORDER BY Col1 DESC LIMIT 50"", 0))"),"#N/A")</f>
        <v>#N/A</v>
      </c>
      <c r="R83" s="24" t="str">
        <f>IFERROR(__xludf.DUMMYFUNCTION("IFERROR(
  LET(
    data, QUERY(GOOGLEFINANCE(C83,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GOOGLEFINANCE(C83, ""price"")) * 100,
    IF(calc=0, G83, calc)
  ), 
G83)"),"#N/A")</f>
        <v>#N/A</v>
      </c>
      <c r="S83" s="8" t="s">
        <v>15</v>
      </c>
      <c r="T83" s="26" t="str">
        <f>IFERROR(__xludf.DUMMYFUNCTION("IFERROR(TRANSPOSE(QUERY(IFERROR(SORT(GOOGLEFINANCE(C83, ""price"", WORKDAY(TODAY(), -40), TODAY()), 1, FALSE)), ""select Col2 where Col2 is not null limit 22 label Col2 ''"", 0)), """")"),"")</f>
        <v/>
      </c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8"/>
      <c r="AO83" s="28"/>
      <c r="AP83" s="29"/>
      <c r="AQ83" s="29" t="str">
        <f t="shared" ref="AQ83:BL83" si="86">T83/T$2</f>
        <v>#N/A</v>
      </c>
      <c r="AR83" s="29" t="str">
        <f t="shared" si="86"/>
        <v>#DIV/0!</v>
      </c>
      <c r="AS83" s="29" t="str">
        <f t="shared" si="86"/>
        <v>#DIV/0!</v>
      </c>
      <c r="AT83" s="29" t="str">
        <f t="shared" si="86"/>
        <v>#DIV/0!</v>
      </c>
      <c r="AU83" s="29" t="str">
        <f t="shared" si="86"/>
        <v>#DIV/0!</v>
      </c>
      <c r="AV83" s="29" t="str">
        <f t="shared" si="86"/>
        <v>#DIV/0!</v>
      </c>
      <c r="AW83" s="29" t="str">
        <f t="shared" si="86"/>
        <v>#DIV/0!</v>
      </c>
      <c r="AX83" s="29" t="str">
        <f t="shared" si="86"/>
        <v>#DIV/0!</v>
      </c>
      <c r="AY83" s="29" t="str">
        <f t="shared" si="86"/>
        <v>#DIV/0!</v>
      </c>
      <c r="AZ83" s="29" t="str">
        <f t="shared" si="86"/>
        <v>#DIV/0!</v>
      </c>
      <c r="BA83" s="29" t="str">
        <f t="shared" si="86"/>
        <v>#DIV/0!</v>
      </c>
      <c r="BB83" s="29" t="str">
        <f t="shared" si="86"/>
        <v>#DIV/0!</v>
      </c>
      <c r="BC83" s="29" t="str">
        <f t="shared" si="86"/>
        <v>#DIV/0!</v>
      </c>
      <c r="BD83" s="29" t="str">
        <f t="shared" si="86"/>
        <v>#DIV/0!</v>
      </c>
      <c r="BE83" s="29" t="str">
        <f t="shared" si="86"/>
        <v>#DIV/0!</v>
      </c>
      <c r="BF83" s="29" t="str">
        <f t="shared" si="86"/>
        <v>#DIV/0!</v>
      </c>
      <c r="BG83" s="29" t="str">
        <f t="shared" si="86"/>
        <v>#DIV/0!</v>
      </c>
      <c r="BH83" s="29" t="str">
        <f t="shared" si="86"/>
        <v>#DIV/0!</v>
      </c>
      <c r="BI83" s="29" t="str">
        <f t="shared" si="86"/>
        <v>#DIV/0!</v>
      </c>
      <c r="BJ83" s="29" t="str">
        <f t="shared" si="86"/>
        <v>#DIV/0!</v>
      </c>
      <c r="BK83" s="29" t="str">
        <f t="shared" si="86"/>
        <v>#DIV/0!</v>
      </c>
      <c r="BL83" s="29" t="str">
        <f t="shared" si="86"/>
        <v>#DIV/0!</v>
      </c>
      <c r="BM83" s="29" t="str">
        <f t="shared" si="3"/>
        <v>#DIV/0!</v>
      </c>
    </row>
    <row r="84">
      <c r="A84" s="16" t="str">
        <f>IFERROR(__xludf.DUMMYFUNCTION("IFERROR(SPARKLINE(SORT(MAP(TRANSPOSE(AQ84:BL84), LAMBDA(val, IF(ISNUMBER(val), PERCENTRANK(AQ84:BL84, val)+0.01, 0))), SEQUENCE(COLUMNS(AQ84:BL84)), FALSE), {""charttype"",""column""; ""color"",""chartreuse""; ""ymin"", 0; ""ymax"", 1.01; ""highcolor"", "&amp;"""darkgreen""; ""lowcolor"", ""red""}), """")"),"")</f>
        <v/>
      </c>
      <c r="B84" s="17" t="str">
        <f t="shared" si="4"/>
        <v/>
      </c>
      <c r="C84" s="1" t="s">
        <v>400</v>
      </c>
      <c r="D84" s="30" t="str">
        <f>IFERROR(__xludf.DUMMYFUNCTION("IFERROR(GOOGLEFINANCE(C84, ""NAME""))"),"Paychex Inc")</f>
        <v>Paychex Inc</v>
      </c>
      <c r="E84" s="30" t="s">
        <v>48</v>
      </c>
      <c r="F84" s="33" t="str">
        <f>IFERROR(__xludf.DUMMYFUNCTION("( (GOOGLEFINANCE(C84, ""price"") - Q84) / Q84 ) / (R84 / 100)"),"Loading...")</f>
        <v>Loading...</v>
      </c>
      <c r="G84" s="20" t="str">
        <f>IFERROR(__xludf.DUMMYFUNCTION("AVERAGE(ARRAYFORMULA(100 * (QUERY(GOOGLEFINANCE(C84, ""high"", TODAY()-40, TODAY()), ""SELECT Col2 WHERE Col2 IS NOT NULL ORDER BY Col1 DESC LIMIT 20"", 0) / QUERY(GOOGLEFINANCE(C84, ""low"", TODAY()-40, TODAY()), ""SELECT Col2 WHERE Col2 IS NOT NULL ORDE"&amp;"R BY Col1 DESC LIMIT 20"", 0) - 1)))"),"#N/A")</f>
        <v>#N/A</v>
      </c>
      <c r="H84" s="35" t="str">
        <f t="shared" si="6"/>
        <v/>
      </c>
      <c r="I84" s="36" t="str">
        <f t="shared" si="7"/>
        <v/>
      </c>
      <c r="J84" s="37" t="str">
        <f>IFERROR(__xludf.DUMMYFUNCTION("IFERROR(
  IF(C84="""",, 
    IFERROR(
      GOOGLEFINANCE(C84, ""price"") * GOOGLEFINANCE(C84, ""volumeavg""), 
      GOOGLEFINANCE(C84, ""price"") * AVERAGE(QUERY(GOOGLEFINANCE(C84, ""volume"", TODAY()-40, TODAY()), ""SELECT Col2 WHERE Col2 IS NOT NULL "&amp;"ORDER BY Col1 DESC LIMIT 20"", 0))
    )
  ), 
"""")"),"")</f>
        <v/>
      </c>
      <c r="K84" s="21" t="str">
        <f>IFERROR(__xludf.DUMMYFUNCTION("IFERROR(GOOGLEFINANCE(C84, ""changepct"") / 100, """")"),"")</f>
        <v/>
      </c>
      <c r="L84" s="21" t="str">
        <f>IFERROR(__xludf.DUMMYFUNCTION("IFERROR((GOOGLEFINANCE(C84, ""price"") / INDEX(GOOGLEFINANCE(C84, ""price"", TODAY()-7, TODAY()), 2, 2)) - 1, """")"),"")</f>
        <v/>
      </c>
      <c r="M84" s="21" t="str">
        <f>IFERROR(__xludf.DUMMYFUNCTION("IFERROR((GOOGLEFINANCE(C84, ""price"") / INDEX(GOOGLEFINANCE(C84, ""price"", EDATE(TODAY(), -1), TODAY()), 2, 2)) - 1, """")"),"")</f>
        <v/>
      </c>
      <c r="N84" s="21" t="str">
        <f>IFERROR(__xludf.DUMMYFUNCTION("IFERROR((GOOGLEFINANCE(C84, ""price"") / INDEX(GOOGLEFINANCE(C84, ""price"", EDATE(TODAY(), -3), TODAY()), 2, 2)) - 1, """")"),"")</f>
        <v/>
      </c>
      <c r="O84" s="21" t="str">
        <f>IFERROR(__xludf.DUMMYFUNCTION("IFERROR((GOOGLEFINANCE(C84, ""price"") / INDEX(GOOGLEFINANCE(C84, ""price"", EDATE(TODAY(), -6), TODAY()), 2, 2)) - 1, """")"),"")</f>
        <v/>
      </c>
      <c r="P84" s="21" t="str">
        <f>IFERROR(__xludf.DUMMYFUNCTION("IFERROR((GOOGLEFINANCE(C84, ""price"") / INDEX(GOOGLEFINANCE(C84, ""price"", EDATE(TODAY(), -12), TODAY()), 2, 2)) - 1, """")"),"")</f>
        <v/>
      </c>
      <c r="Q84" s="6" t="str">
        <f>IFERROR(__xludf.DUMMYFUNCTION("AVERAGE(QUERY(GOOGLEFINANCE(C84, ""price"", TODAY()-80, TODAY()), ""SELECT Col2 WHERE Col2 IS NOT NULL ORDER BY Col1 DESC LIMIT 50"", 0))"),"#N/A")</f>
        <v>#N/A</v>
      </c>
      <c r="R84" s="24" t="str">
        <f>IFERROR(__xludf.DUMMYFUNCTION("IFERROR(
  LET(
    data, QUERY(GOOGLEFINANCE(C84,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GOOGLEFINANCE(C84, ""price"")) * 100,
    IF(calc=0, G84, calc)
  ), 
G84)"),"#N/A")</f>
        <v>#N/A</v>
      </c>
      <c r="S84" s="8" t="s">
        <v>15</v>
      </c>
      <c r="T84" s="26" t="str">
        <f>IFERROR(__xludf.DUMMYFUNCTION("IFERROR(TRANSPOSE(QUERY(IFERROR(SORT(GOOGLEFINANCE(C84, ""price"", WORKDAY(TODAY(), -40), TODAY()), 1, FALSE)), ""select Col2 where Col2 is not null limit 22 label Col2 ''"", 0)), """")"),"")</f>
        <v/>
      </c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8"/>
      <c r="AO84" s="28"/>
      <c r="AP84" s="29"/>
      <c r="AQ84" s="29" t="str">
        <f t="shared" ref="AQ84:BL84" si="87">T84/T$2</f>
        <v>#N/A</v>
      </c>
      <c r="AR84" s="29" t="str">
        <f t="shared" si="87"/>
        <v>#DIV/0!</v>
      </c>
      <c r="AS84" s="29" t="str">
        <f t="shared" si="87"/>
        <v>#DIV/0!</v>
      </c>
      <c r="AT84" s="29" t="str">
        <f t="shared" si="87"/>
        <v>#DIV/0!</v>
      </c>
      <c r="AU84" s="29" t="str">
        <f t="shared" si="87"/>
        <v>#DIV/0!</v>
      </c>
      <c r="AV84" s="29" t="str">
        <f t="shared" si="87"/>
        <v>#DIV/0!</v>
      </c>
      <c r="AW84" s="29" t="str">
        <f t="shared" si="87"/>
        <v>#DIV/0!</v>
      </c>
      <c r="AX84" s="29" t="str">
        <f t="shared" si="87"/>
        <v>#DIV/0!</v>
      </c>
      <c r="AY84" s="29" t="str">
        <f t="shared" si="87"/>
        <v>#DIV/0!</v>
      </c>
      <c r="AZ84" s="29" t="str">
        <f t="shared" si="87"/>
        <v>#DIV/0!</v>
      </c>
      <c r="BA84" s="29" t="str">
        <f t="shared" si="87"/>
        <v>#DIV/0!</v>
      </c>
      <c r="BB84" s="29" t="str">
        <f t="shared" si="87"/>
        <v>#DIV/0!</v>
      </c>
      <c r="BC84" s="29" t="str">
        <f t="shared" si="87"/>
        <v>#DIV/0!</v>
      </c>
      <c r="BD84" s="29" t="str">
        <f t="shared" si="87"/>
        <v>#DIV/0!</v>
      </c>
      <c r="BE84" s="29" t="str">
        <f t="shared" si="87"/>
        <v>#DIV/0!</v>
      </c>
      <c r="BF84" s="29" t="str">
        <f t="shared" si="87"/>
        <v>#DIV/0!</v>
      </c>
      <c r="BG84" s="29" t="str">
        <f t="shared" si="87"/>
        <v>#DIV/0!</v>
      </c>
      <c r="BH84" s="29" t="str">
        <f t="shared" si="87"/>
        <v>#DIV/0!</v>
      </c>
      <c r="BI84" s="29" t="str">
        <f t="shared" si="87"/>
        <v>#DIV/0!</v>
      </c>
      <c r="BJ84" s="29" t="str">
        <f t="shared" si="87"/>
        <v>#DIV/0!</v>
      </c>
      <c r="BK84" s="29" t="str">
        <f t="shared" si="87"/>
        <v>#DIV/0!</v>
      </c>
      <c r="BL84" s="29" t="str">
        <f t="shared" si="87"/>
        <v>#DIV/0!</v>
      </c>
      <c r="BM84" s="29" t="str">
        <f t="shared" si="3"/>
        <v>#DIV/0!</v>
      </c>
    </row>
    <row r="85">
      <c r="A85" s="16" t="str">
        <f>IFERROR(__xludf.DUMMYFUNCTION("IFERROR(SPARKLINE(SORT(MAP(TRANSPOSE(AQ85:BL85), LAMBDA(val, IF(ISNUMBER(val), PERCENTRANK(AQ85:BL85, val)+0.01, 0))), SEQUENCE(COLUMNS(AQ85:BL85)), FALSE), {""charttype"",""column""; ""color"",""chartreuse""; ""ymin"", 0; ""ymax"", 1.01; ""highcolor"", "&amp;"""darkgreen""; ""lowcolor"", ""red""}), """")"),"")</f>
        <v/>
      </c>
      <c r="B85" s="17" t="str">
        <f t="shared" si="4"/>
        <v/>
      </c>
      <c r="C85" s="1" t="s">
        <v>404</v>
      </c>
      <c r="D85" s="30" t="str">
        <f>IFERROR(__xludf.DUMMYFUNCTION("IFERROR(GOOGLEFINANCE(C85, ""NAME""))"),"CommVault Systems, Inc.")</f>
        <v>CommVault Systems, Inc.</v>
      </c>
      <c r="E85" s="30" t="s">
        <v>48</v>
      </c>
      <c r="F85" s="33" t="str">
        <f>IFERROR(__xludf.DUMMYFUNCTION("( (GOOGLEFINANCE(C85, ""price"") - Q85) / Q85 ) / (R85 / 100)"),"Loading...")</f>
        <v>Loading...</v>
      </c>
      <c r="G85" s="20" t="str">
        <f>IFERROR(__xludf.DUMMYFUNCTION("AVERAGE(ARRAYFORMULA(100 * (QUERY(GOOGLEFINANCE(C85, ""high"", TODAY()-40, TODAY()), ""SELECT Col2 WHERE Col2 IS NOT NULL ORDER BY Col1 DESC LIMIT 20"", 0) / QUERY(GOOGLEFINANCE(C85, ""low"", TODAY()-40, TODAY()), ""SELECT Col2 WHERE Col2 IS NOT NULL ORDE"&amp;"R BY Col1 DESC LIMIT 20"", 0) - 1)))"),"#N/A")</f>
        <v>#N/A</v>
      </c>
      <c r="H85" s="35" t="str">
        <f t="shared" si="6"/>
        <v/>
      </c>
      <c r="I85" s="36" t="str">
        <f t="shared" si="7"/>
        <v/>
      </c>
      <c r="J85" s="37" t="str">
        <f>IFERROR(__xludf.DUMMYFUNCTION("IFERROR(
  IF(C85="""",, 
    IFERROR(
      GOOGLEFINANCE(C85, ""price"") * GOOGLEFINANCE(C85, ""volumeavg""), 
      GOOGLEFINANCE(C85, ""price"") * AVERAGE(QUERY(GOOGLEFINANCE(C85, ""volume"", TODAY()-40, TODAY()), ""SELECT Col2 WHERE Col2 IS NOT NULL "&amp;"ORDER BY Col1 DESC LIMIT 20"", 0))
    )
  ), 
"""")"),"")</f>
        <v/>
      </c>
      <c r="K85" s="21" t="str">
        <f>IFERROR(__xludf.DUMMYFUNCTION("IFERROR(GOOGLEFINANCE(C85, ""changepct"") / 100, """")"),"")</f>
        <v/>
      </c>
      <c r="L85" s="21" t="str">
        <f>IFERROR(__xludf.DUMMYFUNCTION("IFERROR((GOOGLEFINANCE(C85, ""price"") / INDEX(GOOGLEFINANCE(C85, ""price"", TODAY()-7, TODAY()), 2, 2)) - 1, """")"),"")</f>
        <v/>
      </c>
      <c r="M85" s="21" t="str">
        <f>IFERROR(__xludf.DUMMYFUNCTION("IFERROR((GOOGLEFINANCE(C85, ""price"") / INDEX(GOOGLEFINANCE(C85, ""price"", EDATE(TODAY(), -1), TODAY()), 2, 2)) - 1, """")"),"")</f>
        <v/>
      </c>
      <c r="N85" s="21" t="str">
        <f>IFERROR(__xludf.DUMMYFUNCTION("IFERROR((GOOGLEFINANCE(C85, ""price"") / INDEX(GOOGLEFINANCE(C85, ""price"", EDATE(TODAY(), -3), TODAY()), 2, 2)) - 1, """")"),"")</f>
        <v/>
      </c>
      <c r="O85" s="21" t="str">
        <f>IFERROR(__xludf.DUMMYFUNCTION("IFERROR((GOOGLEFINANCE(C85, ""price"") / INDEX(GOOGLEFINANCE(C85, ""price"", EDATE(TODAY(), -6), TODAY()), 2, 2)) - 1, """")"),"")</f>
        <v/>
      </c>
      <c r="P85" s="21" t="str">
        <f>IFERROR(__xludf.DUMMYFUNCTION("IFERROR((GOOGLEFINANCE(C85, ""price"") / INDEX(GOOGLEFINANCE(C85, ""price"", EDATE(TODAY(), -12), TODAY()), 2, 2)) - 1, """")"),"")</f>
        <v/>
      </c>
      <c r="Q85" s="6" t="str">
        <f>IFERROR(__xludf.DUMMYFUNCTION("AVERAGE(QUERY(GOOGLEFINANCE(C85, ""price"", TODAY()-80, TODAY()), ""SELECT Col2 WHERE Col2 IS NOT NULL ORDER BY Col1 DESC LIMIT 50"", 0))"),"#N/A")</f>
        <v>#N/A</v>
      </c>
      <c r="R85" s="24" t="str">
        <f>IFERROR(__xludf.DUMMYFUNCTION("IFERROR(
  LET(
    data, QUERY(GOOGLEFINANCE(C85,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GOOGLEFINANCE(C85, ""price"")) * 100,
    IF(calc=0, G85, calc)
  ), 
G85)"),"#N/A")</f>
        <v>#N/A</v>
      </c>
      <c r="S85" s="8" t="s">
        <v>15</v>
      </c>
      <c r="T85" s="26" t="str">
        <f>IFERROR(__xludf.DUMMYFUNCTION("IFERROR(TRANSPOSE(QUERY(IFERROR(SORT(GOOGLEFINANCE(C85, ""price"", WORKDAY(TODAY(), -40), TODAY()), 1, FALSE)), ""select Col2 where Col2 is not null limit 22 label Col2 ''"", 0)), """")"),"")</f>
        <v/>
      </c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8"/>
      <c r="AO85" s="28"/>
      <c r="AP85" s="29"/>
      <c r="AQ85" s="29" t="str">
        <f t="shared" ref="AQ85:BL85" si="88">T85/T$2</f>
        <v>#N/A</v>
      </c>
      <c r="AR85" s="29" t="str">
        <f t="shared" si="88"/>
        <v>#DIV/0!</v>
      </c>
      <c r="AS85" s="29" t="str">
        <f t="shared" si="88"/>
        <v>#DIV/0!</v>
      </c>
      <c r="AT85" s="29" t="str">
        <f t="shared" si="88"/>
        <v>#DIV/0!</v>
      </c>
      <c r="AU85" s="29" t="str">
        <f t="shared" si="88"/>
        <v>#DIV/0!</v>
      </c>
      <c r="AV85" s="29" t="str">
        <f t="shared" si="88"/>
        <v>#DIV/0!</v>
      </c>
      <c r="AW85" s="29" t="str">
        <f t="shared" si="88"/>
        <v>#DIV/0!</v>
      </c>
      <c r="AX85" s="29" t="str">
        <f t="shared" si="88"/>
        <v>#DIV/0!</v>
      </c>
      <c r="AY85" s="29" t="str">
        <f t="shared" si="88"/>
        <v>#DIV/0!</v>
      </c>
      <c r="AZ85" s="29" t="str">
        <f t="shared" si="88"/>
        <v>#DIV/0!</v>
      </c>
      <c r="BA85" s="29" t="str">
        <f t="shared" si="88"/>
        <v>#DIV/0!</v>
      </c>
      <c r="BB85" s="29" t="str">
        <f t="shared" si="88"/>
        <v>#DIV/0!</v>
      </c>
      <c r="BC85" s="29" t="str">
        <f t="shared" si="88"/>
        <v>#DIV/0!</v>
      </c>
      <c r="BD85" s="29" t="str">
        <f t="shared" si="88"/>
        <v>#DIV/0!</v>
      </c>
      <c r="BE85" s="29" t="str">
        <f t="shared" si="88"/>
        <v>#DIV/0!</v>
      </c>
      <c r="BF85" s="29" t="str">
        <f t="shared" si="88"/>
        <v>#DIV/0!</v>
      </c>
      <c r="BG85" s="29" t="str">
        <f t="shared" si="88"/>
        <v>#DIV/0!</v>
      </c>
      <c r="BH85" s="29" t="str">
        <f t="shared" si="88"/>
        <v>#DIV/0!</v>
      </c>
      <c r="BI85" s="29" t="str">
        <f t="shared" si="88"/>
        <v>#DIV/0!</v>
      </c>
      <c r="BJ85" s="29" t="str">
        <f t="shared" si="88"/>
        <v>#DIV/0!</v>
      </c>
      <c r="BK85" s="29" t="str">
        <f t="shared" si="88"/>
        <v>#DIV/0!</v>
      </c>
      <c r="BL85" s="29" t="str">
        <f t="shared" si="88"/>
        <v>#DIV/0!</v>
      </c>
      <c r="BM85" s="29" t="str">
        <f t="shared" si="3"/>
        <v>#DIV/0!</v>
      </c>
    </row>
    <row r="86">
      <c r="A86" s="16" t="str">
        <f>IFERROR(__xludf.DUMMYFUNCTION("IFERROR(SPARKLINE(SORT(MAP(TRANSPOSE(AQ86:BL86), LAMBDA(val, IF(ISNUMBER(val), PERCENTRANK(AQ86:BL86, val)+0.01, 0))), SEQUENCE(COLUMNS(AQ86:BL86)), FALSE), {""charttype"",""column""; ""color"",""chartreuse""; ""ymin"", 0; ""ymax"", 1.01; ""highcolor"", "&amp;"""darkgreen""; ""lowcolor"", ""red""}), """")"),"")</f>
        <v/>
      </c>
      <c r="B86" s="17" t="str">
        <f t="shared" si="4"/>
        <v/>
      </c>
      <c r="C86" s="1" t="s">
        <v>408</v>
      </c>
      <c r="D86" s="30" t="str">
        <f>IFERROR(__xludf.DUMMYFUNCTION("IFERROR(GOOGLEFINANCE(C86, ""NAME""))"),"Intuit Inc")</f>
        <v>Intuit Inc</v>
      </c>
      <c r="E86" s="30" t="s">
        <v>48</v>
      </c>
      <c r="F86" s="33" t="str">
        <f>IFERROR(__xludf.DUMMYFUNCTION("( (GOOGLEFINANCE(C86, ""price"") - Q86) / Q86 ) / (R86 / 100)"),"Loading...")</f>
        <v>Loading...</v>
      </c>
      <c r="G86" s="20" t="str">
        <f>IFERROR(__xludf.DUMMYFUNCTION("AVERAGE(ARRAYFORMULA(100 * (QUERY(GOOGLEFINANCE(C86, ""high"", TODAY()-40, TODAY()), ""SELECT Col2 WHERE Col2 IS NOT NULL ORDER BY Col1 DESC LIMIT 20"", 0) / QUERY(GOOGLEFINANCE(C86, ""low"", TODAY()-40, TODAY()), ""SELECT Col2 WHERE Col2 IS NOT NULL ORDE"&amp;"R BY Col1 DESC LIMIT 20"", 0) - 1)))"),"#N/A")</f>
        <v>#N/A</v>
      </c>
      <c r="H86" s="35" t="str">
        <f t="shared" si="6"/>
        <v/>
      </c>
      <c r="I86" s="36" t="str">
        <f t="shared" si="7"/>
        <v/>
      </c>
      <c r="J86" s="37" t="str">
        <f>IFERROR(__xludf.DUMMYFUNCTION("IFERROR(
  IF(C86="""",, 
    IFERROR(
      GOOGLEFINANCE(C86, ""price"") * GOOGLEFINANCE(C86, ""volumeavg""), 
      GOOGLEFINANCE(C86, ""price"") * AVERAGE(QUERY(GOOGLEFINANCE(C86, ""volume"", TODAY()-40, TODAY()), ""SELECT Col2 WHERE Col2 IS NOT NULL "&amp;"ORDER BY Col1 DESC LIMIT 20"", 0))
    )
  ), 
"""")"),"")</f>
        <v/>
      </c>
      <c r="K86" s="21" t="str">
        <f>IFERROR(__xludf.DUMMYFUNCTION("IFERROR(GOOGLEFINANCE(C86, ""changepct"") / 100, """")"),"")</f>
        <v/>
      </c>
      <c r="L86" s="21" t="str">
        <f>IFERROR(__xludf.DUMMYFUNCTION("IFERROR((GOOGLEFINANCE(C86, ""price"") / INDEX(GOOGLEFINANCE(C86, ""price"", TODAY()-7, TODAY()), 2, 2)) - 1, """")"),"")</f>
        <v/>
      </c>
      <c r="M86" s="21" t="str">
        <f>IFERROR(__xludf.DUMMYFUNCTION("IFERROR((GOOGLEFINANCE(C86, ""price"") / INDEX(GOOGLEFINANCE(C86, ""price"", EDATE(TODAY(), -1), TODAY()), 2, 2)) - 1, """")"),"")</f>
        <v/>
      </c>
      <c r="N86" s="21" t="str">
        <f>IFERROR(__xludf.DUMMYFUNCTION("IFERROR((GOOGLEFINANCE(C86, ""price"") / INDEX(GOOGLEFINANCE(C86, ""price"", EDATE(TODAY(), -3), TODAY()), 2, 2)) - 1, """")"),"")</f>
        <v/>
      </c>
      <c r="O86" s="21" t="str">
        <f>IFERROR(__xludf.DUMMYFUNCTION("IFERROR((GOOGLEFINANCE(C86, ""price"") / INDEX(GOOGLEFINANCE(C86, ""price"", EDATE(TODAY(), -6), TODAY()), 2, 2)) - 1, """")"),"")</f>
        <v/>
      </c>
      <c r="P86" s="21" t="str">
        <f>IFERROR(__xludf.DUMMYFUNCTION("IFERROR((GOOGLEFINANCE(C86, ""price"") / INDEX(GOOGLEFINANCE(C86, ""price"", EDATE(TODAY(), -12), TODAY()), 2, 2)) - 1, """")"),"")</f>
        <v/>
      </c>
      <c r="Q86" s="6" t="str">
        <f>IFERROR(__xludf.DUMMYFUNCTION("AVERAGE(QUERY(GOOGLEFINANCE(C86, ""price"", TODAY()-80, TODAY()), ""SELECT Col2 WHERE Col2 IS NOT NULL ORDER BY Col1 DESC LIMIT 50"", 0))"),"#N/A")</f>
        <v>#N/A</v>
      </c>
      <c r="R86" s="24" t="str">
        <f>IFERROR(__xludf.DUMMYFUNCTION("IFERROR(
  LET(
    data, QUERY(GOOGLEFINANCE(C86,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GOOGLEFINANCE(C86, ""price"")) * 100,
    IF(calc=0, G86, calc)
  ), 
G86)"),"#N/A")</f>
        <v>#N/A</v>
      </c>
      <c r="S86" s="8" t="s">
        <v>15</v>
      </c>
      <c r="T86" s="26" t="str">
        <f>IFERROR(__xludf.DUMMYFUNCTION("IFERROR(TRANSPOSE(QUERY(IFERROR(SORT(GOOGLEFINANCE(C86, ""price"", WORKDAY(TODAY(), -40), TODAY()), 1, FALSE)), ""select Col2 where Col2 is not null limit 22 label Col2 ''"", 0)), """")"),"")</f>
        <v/>
      </c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8"/>
      <c r="AO86" s="28"/>
      <c r="AP86" s="29"/>
      <c r="AQ86" s="29" t="str">
        <f t="shared" ref="AQ86:BL86" si="89">T86/T$2</f>
        <v>#N/A</v>
      </c>
      <c r="AR86" s="29" t="str">
        <f t="shared" si="89"/>
        <v>#DIV/0!</v>
      </c>
      <c r="AS86" s="29" t="str">
        <f t="shared" si="89"/>
        <v>#DIV/0!</v>
      </c>
      <c r="AT86" s="29" t="str">
        <f t="shared" si="89"/>
        <v>#DIV/0!</v>
      </c>
      <c r="AU86" s="29" t="str">
        <f t="shared" si="89"/>
        <v>#DIV/0!</v>
      </c>
      <c r="AV86" s="29" t="str">
        <f t="shared" si="89"/>
        <v>#DIV/0!</v>
      </c>
      <c r="AW86" s="29" t="str">
        <f t="shared" si="89"/>
        <v>#DIV/0!</v>
      </c>
      <c r="AX86" s="29" t="str">
        <f t="shared" si="89"/>
        <v>#DIV/0!</v>
      </c>
      <c r="AY86" s="29" t="str">
        <f t="shared" si="89"/>
        <v>#DIV/0!</v>
      </c>
      <c r="AZ86" s="29" t="str">
        <f t="shared" si="89"/>
        <v>#DIV/0!</v>
      </c>
      <c r="BA86" s="29" t="str">
        <f t="shared" si="89"/>
        <v>#DIV/0!</v>
      </c>
      <c r="BB86" s="29" t="str">
        <f t="shared" si="89"/>
        <v>#DIV/0!</v>
      </c>
      <c r="BC86" s="29" t="str">
        <f t="shared" si="89"/>
        <v>#DIV/0!</v>
      </c>
      <c r="BD86" s="29" t="str">
        <f t="shared" si="89"/>
        <v>#DIV/0!</v>
      </c>
      <c r="BE86" s="29" t="str">
        <f t="shared" si="89"/>
        <v>#DIV/0!</v>
      </c>
      <c r="BF86" s="29" t="str">
        <f t="shared" si="89"/>
        <v>#DIV/0!</v>
      </c>
      <c r="BG86" s="29" t="str">
        <f t="shared" si="89"/>
        <v>#DIV/0!</v>
      </c>
      <c r="BH86" s="29" t="str">
        <f t="shared" si="89"/>
        <v>#DIV/0!</v>
      </c>
      <c r="BI86" s="29" t="str">
        <f t="shared" si="89"/>
        <v>#DIV/0!</v>
      </c>
      <c r="BJ86" s="29" t="str">
        <f t="shared" si="89"/>
        <v>#DIV/0!</v>
      </c>
      <c r="BK86" s="29" t="str">
        <f t="shared" si="89"/>
        <v>#DIV/0!</v>
      </c>
      <c r="BL86" s="29" t="str">
        <f t="shared" si="89"/>
        <v>#DIV/0!</v>
      </c>
      <c r="BM86" s="29" t="str">
        <f t="shared" si="3"/>
        <v>#DIV/0!</v>
      </c>
    </row>
    <row r="87">
      <c r="A87" s="16" t="str">
        <f>IFERROR(__xludf.DUMMYFUNCTION("IFERROR(SPARKLINE(SORT(MAP(TRANSPOSE(AQ87:BL87), LAMBDA(val, IF(ISNUMBER(val), PERCENTRANK(AQ87:BL87, val)+0.01, 0))), SEQUENCE(COLUMNS(AQ87:BL87)), FALSE), {""charttype"",""column""; ""color"",""chartreuse""; ""ymin"", 0; ""ymax"", 1.01; ""highcolor"", "&amp;"""darkgreen""; ""lowcolor"", ""red""}), """")"),"")</f>
        <v/>
      </c>
      <c r="B87" s="17" t="str">
        <f t="shared" si="4"/>
        <v/>
      </c>
      <c r="C87" s="1" t="s">
        <v>417</v>
      </c>
      <c r="D87" s="30" t="str">
        <f>IFERROR(__xludf.DUMMYFUNCTION("IFERROR(GOOGLEFINANCE(C87, ""NAME""))"),"Braze Inc")</f>
        <v>Braze Inc</v>
      </c>
      <c r="E87" s="30" t="s">
        <v>48</v>
      </c>
      <c r="F87" s="33" t="str">
        <f>IFERROR(__xludf.DUMMYFUNCTION("( (GOOGLEFINANCE(C87, ""price"") - Q87) / Q87 ) / (R87 / 100)"),"Loading...")</f>
        <v>Loading...</v>
      </c>
      <c r="G87" s="20" t="str">
        <f>IFERROR(__xludf.DUMMYFUNCTION("AVERAGE(ARRAYFORMULA(100 * (QUERY(GOOGLEFINANCE(C87, ""high"", TODAY()-40, TODAY()), ""SELECT Col2 WHERE Col2 IS NOT NULL ORDER BY Col1 DESC LIMIT 20"", 0) / QUERY(GOOGLEFINANCE(C87, ""low"", TODAY()-40, TODAY()), ""SELECT Col2 WHERE Col2 IS NOT NULL ORDE"&amp;"R BY Col1 DESC LIMIT 20"", 0) - 1)))"),"#N/A")</f>
        <v>#N/A</v>
      </c>
      <c r="H87" s="35" t="str">
        <f t="shared" si="6"/>
        <v/>
      </c>
      <c r="I87" s="36" t="str">
        <f t="shared" si="7"/>
        <v/>
      </c>
      <c r="J87" s="37" t="str">
        <f>IFERROR(__xludf.DUMMYFUNCTION("IFERROR(
  IF(C87="""",, 
    IFERROR(
      GOOGLEFINANCE(C87, ""price"") * GOOGLEFINANCE(C87, ""volumeavg""), 
      GOOGLEFINANCE(C87, ""price"") * AVERAGE(QUERY(GOOGLEFINANCE(C87, ""volume"", TODAY()-40, TODAY()), ""SELECT Col2 WHERE Col2 IS NOT NULL "&amp;"ORDER BY Col1 DESC LIMIT 20"", 0))
    )
  ), 
"""")"),"")</f>
        <v/>
      </c>
      <c r="K87" s="21" t="str">
        <f>IFERROR(__xludf.DUMMYFUNCTION("IFERROR(GOOGLEFINANCE(C87, ""changepct"") / 100, """")"),"")</f>
        <v/>
      </c>
      <c r="L87" s="21" t="str">
        <f>IFERROR(__xludf.DUMMYFUNCTION("IFERROR((GOOGLEFINANCE(C87, ""price"") / INDEX(GOOGLEFINANCE(C87, ""price"", TODAY()-7, TODAY()), 2, 2)) - 1, """")"),"")</f>
        <v/>
      </c>
      <c r="M87" s="21" t="str">
        <f>IFERROR(__xludf.DUMMYFUNCTION("IFERROR((GOOGLEFINANCE(C87, ""price"") / INDEX(GOOGLEFINANCE(C87, ""price"", EDATE(TODAY(), -1), TODAY()), 2, 2)) - 1, """")"),"")</f>
        <v/>
      </c>
      <c r="N87" s="21" t="str">
        <f>IFERROR(__xludf.DUMMYFUNCTION("IFERROR((GOOGLEFINANCE(C87, ""price"") / INDEX(GOOGLEFINANCE(C87, ""price"", EDATE(TODAY(), -3), TODAY()), 2, 2)) - 1, """")"),"")</f>
        <v/>
      </c>
      <c r="O87" s="21" t="str">
        <f>IFERROR(__xludf.DUMMYFUNCTION("IFERROR((GOOGLEFINANCE(C87, ""price"") / INDEX(GOOGLEFINANCE(C87, ""price"", EDATE(TODAY(), -6), TODAY()), 2, 2)) - 1, """")"),"")</f>
        <v/>
      </c>
      <c r="P87" s="21" t="str">
        <f>IFERROR(__xludf.DUMMYFUNCTION("IFERROR((GOOGLEFINANCE(C87, ""price"") / INDEX(GOOGLEFINANCE(C87, ""price"", EDATE(TODAY(), -12), TODAY()), 2, 2)) - 1, """")"),"")</f>
        <v/>
      </c>
      <c r="Q87" s="6" t="str">
        <f>IFERROR(__xludf.DUMMYFUNCTION("AVERAGE(QUERY(GOOGLEFINANCE(C87, ""price"", TODAY()-80, TODAY()), ""SELECT Col2 WHERE Col2 IS NOT NULL ORDER BY Col1 DESC LIMIT 50"", 0))"),"#N/A")</f>
        <v>#N/A</v>
      </c>
      <c r="R87" s="24" t="str">
        <f>IFERROR(__xludf.DUMMYFUNCTION("IFERROR(
  LET(
    data, QUERY(GOOGLEFINANCE(C87,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GOOGLEFINANCE(C87, ""price"")) * 100,
    IF(calc=0, G87, calc)
  ), 
G87)"),"#N/A")</f>
        <v>#N/A</v>
      </c>
      <c r="S87" s="8" t="s">
        <v>15</v>
      </c>
      <c r="T87" s="26" t="str">
        <f>IFERROR(__xludf.DUMMYFUNCTION("IFERROR(TRANSPOSE(QUERY(IFERROR(SORT(GOOGLEFINANCE(C87, ""price"", WORKDAY(TODAY(), -40), TODAY()), 1, FALSE)), ""select Col2 where Col2 is not null limit 22 label Col2 ''"", 0)), """")"),"")</f>
        <v/>
      </c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8"/>
      <c r="AO87" s="28"/>
      <c r="AP87" s="29"/>
      <c r="AQ87" s="29" t="str">
        <f t="shared" ref="AQ87:BL87" si="90">T87/T$2</f>
        <v>#N/A</v>
      </c>
      <c r="AR87" s="29" t="str">
        <f t="shared" si="90"/>
        <v>#DIV/0!</v>
      </c>
      <c r="AS87" s="29" t="str">
        <f t="shared" si="90"/>
        <v>#DIV/0!</v>
      </c>
      <c r="AT87" s="29" t="str">
        <f t="shared" si="90"/>
        <v>#DIV/0!</v>
      </c>
      <c r="AU87" s="29" t="str">
        <f t="shared" si="90"/>
        <v>#DIV/0!</v>
      </c>
      <c r="AV87" s="29" t="str">
        <f t="shared" si="90"/>
        <v>#DIV/0!</v>
      </c>
      <c r="AW87" s="29" t="str">
        <f t="shared" si="90"/>
        <v>#DIV/0!</v>
      </c>
      <c r="AX87" s="29" t="str">
        <f t="shared" si="90"/>
        <v>#DIV/0!</v>
      </c>
      <c r="AY87" s="29" t="str">
        <f t="shared" si="90"/>
        <v>#DIV/0!</v>
      </c>
      <c r="AZ87" s="29" t="str">
        <f t="shared" si="90"/>
        <v>#DIV/0!</v>
      </c>
      <c r="BA87" s="29" t="str">
        <f t="shared" si="90"/>
        <v>#DIV/0!</v>
      </c>
      <c r="BB87" s="29" t="str">
        <f t="shared" si="90"/>
        <v>#DIV/0!</v>
      </c>
      <c r="BC87" s="29" t="str">
        <f t="shared" si="90"/>
        <v>#DIV/0!</v>
      </c>
      <c r="BD87" s="29" t="str">
        <f t="shared" si="90"/>
        <v>#DIV/0!</v>
      </c>
      <c r="BE87" s="29" t="str">
        <f t="shared" si="90"/>
        <v>#DIV/0!</v>
      </c>
      <c r="BF87" s="29" t="str">
        <f t="shared" si="90"/>
        <v>#DIV/0!</v>
      </c>
      <c r="BG87" s="29" t="str">
        <f t="shared" si="90"/>
        <v>#DIV/0!</v>
      </c>
      <c r="BH87" s="29" t="str">
        <f t="shared" si="90"/>
        <v>#DIV/0!</v>
      </c>
      <c r="BI87" s="29" t="str">
        <f t="shared" si="90"/>
        <v>#DIV/0!</v>
      </c>
      <c r="BJ87" s="29" t="str">
        <f t="shared" si="90"/>
        <v>#DIV/0!</v>
      </c>
      <c r="BK87" s="29" t="str">
        <f t="shared" si="90"/>
        <v>#DIV/0!</v>
      </c>
      <c r="BL87" s="29" t="str">
        <f t="shared" si="90"/>
        <v>#DIV/0!</v>
      </c>
      <c r="BM87" s="29" t="str">
        <f t="shared" si="3"/>
        <v>#DIV/0!</v>
      </c>
    </row>
    <row r="88">
      <c r="A88" s="16" t="str">
        <f>IFERROR(__xludf.DUMMYFUNCTION("IFERROR(SPARKLINE(SORT(MAP(TRANSPOSE(AQ88:BL88), LAMBDA(val, IF(ISNUMBER(val), PERCENTRANK(AQ88:BL88, val)+0.01, 0))), SEQUENCE(COLUMNS(AQ88:BL88)), FALSE), {""charttype"",""column""; ""color"",""chartreuse""; ""ymin"", 0; ""ymax"", 1.01; ""highcolor"", "&amp;"""darkgreen""; ""lowcolor"", ""red""}), """")"),"")</f>
        <v/>
      </c>
      <c r="B88" s="17" t="str">
        <f t="shared" si="4"/>
        <v/>
      </c>
      <c r="C88" s="1" t="s">
        <v>422</v>
      </c>
      <c r="D88" s="30" t="str">
        <f>IFERROR(__xludf.DUMMYFUNCTION("IFERROR(GOOGLEFINANCE(C88, ""NAME""))"),"Adobe Inc")</f>
        <v>Adobe Inc</v>
      </c>
      <c r="E88" s="30" t="s">
        <v>48</v>
      </c>
      <c r="F88" s="33" t="str">
        <f>IFERROR(__xludf.DUMMYFUNCTION("( (GOOGLEFINANCE(C88, ""price"") - Q88) / Q88 ) / (R88 / 100)"),"Loading...")</f>
        <v>Loading...</v>
      </c>
      <c r="G88" s="20" t="str">
        <f>IFERROR(__xludf.DUMMYFUNCTION("AVERAGE(ARRAYFORMULA(100 * (QUERY(GOOGLEFINANCE(C88, ""high"", TODAY()-40, TODAY()), ""SELECT Col2 WHERE Col2 IS NOT NULL ORDER BY Col1 DESC LIMIT 20"", 0) / QUERY(GOOGLEFINANCE(C88, ""low"", TODAY()-40, TODAY()), ""SELECT Col2 WHERE Col2 IS NOT NULL ORDE"&amp;"R BY Col1 DESC LIMIT 20"", 0) - 1)))"),"#N/A")</f>
        <v>#N/A</v>
      </c>
      <c r="H88" s="35" t="str">
        <f t="shared" si="6"/>
        <v/>
      </c>
      <c r="I88" s="36" t="str">
        <f t="shared" si="7"/>
        <v/>
      </c>
      <c r="J88" s="37" t="str">
        <f>IFERROR(__xludf.DUMMYFUNCTION("IFERROR(
  IF(C88="""",, 
    IFERROR(
      GOOGLEFINANCE(C88, ""price"") * GOOGLEFINANCE(C88, ""volumeavg""), 
      GOOGLEFINANCE(C88, ""price"") * AVERAGE(QUERY(GOOGLEFINANCE(C88, ""volume"", TODAY()-40, TODAY()), ""SELECT Col2 WHERE Col2 IS NOT NULL "&amp;"ORDER BY Col1 DESC LIMIT 20"", 0))
    )
  ), 
"""")"),"")</f>
        <v/>
      </c>
      <c r="K88" s="21" t="str">
        <f>IFERROR(__xludf.DUMMYFUNCTION("IFERROR(GOOGLEFINANCE(C88, ""changepct"") / 100, """")"),"")</f>
        <v/>
      </c>
      <c r="L88" s="21" t="str">
        <f>IFERROR(__xludf.DUMMYFUNCTION("IFERROR((GOOGLEFINANCE(C88, ""price"") / INDEX(GOOGLEFINANCE(C88, ""price"", TODAY()-7, TODAY()), 2, 2)) - 1, """")"),"")</f>
        <v/>
      </c>
      <c r="M88" s="21" t="str">
        <f>IFERROR(__xludf.DUMMYFUNCTION("IFERROR((GOOGLEFINANCE(C88, ""price"") / INDEX(GOOGLEFINANCE(C88, ""price"", EDATE(TODAY(), -1), TODAY()), 2, 2)) - 1, """")"),"")</f>
        <v/>
      </c>
      <c r="N88" s="21" t="str">
        <f>IFERROR(__xludf.DUMMYFUNCTION("IFERROR((GOOGLEFINANCE(C88, ""price"") / INDEX(GOOGLEFINANCE(C88, ""price"", EDATE(TODAY(), -3), TODAY()), 2, 2)) - 1, """")"),"")</f>
        <v/>
      </c>
      <c r="O88" s="21" t="str">
        <f>IFERROR(__xludf.DUMMYFUNCTION("IFERROR((GOOGLEFINANCE(C88, ""price"") / INDEX(GOOGLEFINANCE(C88, ""price"", EDATE(TODAY(), -6), TODAY()), 2, 2)) - 1, """")"),"")</f>
        <v/>
      </c>
      <c r="P88" s="21" t="str">
        <f>IFERROR(__xludf.DUMMYFUNCTION("IFERROR((GOOGLEFINANCE(C88, ""price"") / INDEX(GOOGLEFINANCE(C88, ""price"", EDATE(TODAY(), -12), TODAY()), 2, 2)) - 1, """")"),"")</f>
        <v/>
      </c>
      <c r="Q88" s="6" t="str">
        <f>IFERROR(__xludf.DUMMYFUNCTION("AVERAGE(QUERY(GOOGLEFINANCE(C88, ""price"", TODAY()-80, TODAY()), ""SELECT Col2 WHERE Col2 IS NOT NULL ORDER BY Col1 DESC LIMIT 50"", 0))"),"#N/A")</f>
        <v>#N/A</v>
      </c>
      <c r="R88" s="24" t="str">
        <f>IFERROR(__xludf.DUMMYFUNCTION("IFERROR(
  LET(
    data, QUERY(GOOGLEFINANCE(C88,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GOOGLEFINANCE(C88, ""price"")) * 100,
    IF(calc=0, G88, calc)
  ), 
G88)"),"#N/A")</f>
        <v>#N/A</v>
      </c>
      <c r="S88" s="8" t="s">
        <v>15</v>
      </c>
      <c r="T88" s="26" t="str">
        <f>IFERROR(__xludf.DUMMYFUNCTION("IFERROR(TRANSPOSE(QUERY(IFERROR(SORT(GOOGLEFINANCE(C88, ""price"", WORKDAY(TODAY(), -40), TODAY()), 1, FALSE)), ""select Col2 where Col2 is not null limit 22 label Col2 ''"", 0)), """")"),"")</f>
        <v/>
      </c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8"/>
      <c r="AO88" s="28"/>
      <c r="AP88" s="29"/>
      <c r="AQ88" s="29" t="str">
        <f t="shared" ref="AQ88:BL88" si="91">T88/T$2</f>
        <v>#N/A</v>
      </c>
      <c r="AR88" s="29" t="str">
        <f t="shared" si="91"/>
        <v>#DIV/0!</v>
      </c>
      <c r="AS88" s="29" t="str">
        <f t="shared" si="91"/>
        <v>#DIV/0!</v>
      </c>
      <c r="AT88" s="29" t="str">
        <f t="shared" si="91"/>
        <v>#DIV/0!</v>
      </c>
      <c r="AU88" s="29" t="str">
        <f t="shared" si="91"/>
        <v>#DIV/0!</v>
      </c>
      <c r="AV88" s="29" t="str">
        <f t="shared" si="91"/>
        <v>#DIV/0!</v>
      </c>
      <c r="AW88" s="29" t="str">
        <f t="shared" si="91"/>
        <v>#DIV/0!</v>
      </c>
      <c r="AX88" s="29" t="str">
        <f t="shared" si="91"/>
        <v>#DIV/0!</v>
      </c>
      <c r="AY88" s="29" t="str">
        <f t="shared" si="91"/>
        <v>#DIV/0!</v>
      </c>
      <c r="AZ88" s="29" t="str">
        <f t="shared" si="91"/>
        <v>#DIV/0!</v>
      </c>
      <c r="BA88" s="29" t="str">
        <f t="shared" si="91"/>
        <v>#DIV/0!</v>
      </c>
      <c r="BB88" s="29" t="str">
        <f t="shared" si="91"/>
        <v>#DIV/0!</v>
      </c>
      <c r="BC88" s="29" t="str">
        <f t="shared" si="91"/>
        <v>#DIV/0!</v>
      </c>
      <c r="BD88" s="29" t="str">
        <f t="shared" si="91"/>
        <v>#DIV/0!</v>
      </c>
      <c r="BE88" s="29" t="str">
        <f t="shared" si="91"/>
        <v>#DIV/0!</v>
      </c>
      <c r="BF88" s="29" t="str">
        <f t="shared" si="91"/>
        <v>#DIV/0!</v>
      </c>
      <c r="BG88" s="29" t="str">
        <f t="shared" si="91"/>
        <v>#DIV/0!</v>
      </c>
      <c r="BH88" s="29" t="str">
        <f t="shared" si="91"/>
        <v>#DIV/0!</v>
      </c>
      <c r="BI88" s="29" t="str">
        <f t="shared" si="91"/>
        <v>#DIV/0!</v>
      </c>
      <c r="BJ88" s="29" t="str">
        <f t="shared" si="91"/>
        <v>#DIV/0!</v>
      </c>
      <c r="BK88" s="29" t="str">
        <f t="shared" si="91"/>
        <v>#DIV/0!</v>
      </c>
      <c r="BL88" s="29" t="str">
        <f t="shared" si="91"/>
        <v>#DIV/0!</v>
      </c>
      <c r="BM88" s="29" t="str">
        <f t="shared" si="3"/>
        <v>#DIV/0!</v>
      </c>
    </row>
    <row r="89">
      <c r="A89" s="16" t="str">
        <f>IFERROR(__xludf.DUMMYFUNCTION("IFERROR(SPARKLINE(SORT(MAP(TRANSPOSE(AQ89:BL89), LAMBDA(val, IF(ISNUMBER(val), PERCENTRANK(AQ89:BL89, val)+0.01, 0))), SEQUENCE(COLUMNS(AQ89:BL89)), FALSE), {""charttype"",""column""; ""color"",""chartreuse""; ""ymin"", 0; ""ymax"", 1.01; ""highcolor"", "&amp;"""darkgreen""; ""lowcolor"", ""red""}), """")"),"")</f>
        <v/>
      </c>
      <c r="B89" s="17" t="str">
        <f t="shared" si="4"/>
        <v/>
      </c>
      <c r="C89" s="1" t="s">
        <v>426</v>
      </c>
      <c r="D89" s="30" t="str">
        <f>IFERROR(__xludf.DUMMYFUNCTION("IFERROR(GOOGLEFINANCE(C89, ""NAME""))"),"Webull Corp")</f>
        <v>Webull Corp</v>
      </c>
      <c r="E89" s="30" t="s">
        <v>48</v>
      </c>
      <c r="F89" s="38" t="str">
        <f>IFERROR(__xludf.DUMMYFUNCTION("( (GOOGLEFINANCE(C89, ""price"") - Q89) / Q89 ) / (R89 / 100)"),"Loading...")</f>
        <v>Loading...</v>
      </c>
      <c r="G89" s="20" t="str">
        <f>IFERROR(__xludf.DUMMYFUNCTION("AVERAGE(ARRAYFORMULA(100 * (QUERY(GOOGLEFINANCE(C89, ""high"", TODAY()-40, TODAY()), ""SELECT Col2 WHERE Col2 IS NOT NULL ORDER BY Col1 DESC LIMIT 20"", 0) / QUERY(GOOGLEFINANCE(C89, ""low"", TODAY()-40, TODAY()), ""SELECT Col2 WHERE Col2 IS NOT NULL ORDE"&amp;"R BY Col1 DESC LIMIT 20"", 0) - 1)))"),"#N/A")</f>
        <v>#N/A</v>
      </c>
      <c r="H89" s="35" t="str">
        <f t="shared" si="6"/>
        <v/>
      </c>
      <c r="I89" s="36" t="str">
        <f t="shared" si="7"/>
        <v/>
      </c>
      <c r="J89" s="37" t="str">
        <f>IFERROR(__xludf.DUMMYFUNCTION("IFERROR(
  IF(C89="""",, 
    IFERROR(
      GOOGLEFINANCE(C89, ""price"") * GOOGLEFINANCE(C89, ""volumeavg""), 
      GOOGLEFINANCE(C89, ""price"") * AVERAGE(QUERY(GOOGLEFINANCE(C89, ""volume"", TODAY()-40, TODAY()), ""SELECT Col2 WHERE Col2 IS NOT NULL "&amp;"ORDER BY Col1 DESC LIMIT 20"", 0))
    )
  ), 
"""")"),"")</f>
        <v/>
      </c>
      <c r="K89" s="21" t="str">
        <f>IFERROR(__xludf.DUMMYFUNCTION("IFERROR(GOOGLEFINANCE(C89, ""changepct"") / 100, """")"),"")</f>
        <v/>
      </c>
      <c r="L89" s="21" t="str">
        <f>IFERROR(__xludf.DUMMYFUNCTION("IFERROR((GOOGLEFINANCE(C89, ""price"") / INDEX(GOOGLEFINANCE(C89, ""price"", TODAY()-7, TODAY()), 2, 2)) - 1, """")"),"")</f>
        <v/>
      </c>
      <c r="M89" s="21" t="str">
        <f>IFERROR(__xludf.DUMMYFUNCTION("IFERROR((GOOGLEFINANCE(C89, ""price"") / INDEX(GOOGLEFINANCE(C89, ""price"", EDATE(TODAY(), -1), TODAY()), 2, 2)) - 1, """")"),"")</f>
        <v/>
      </c>
      <c r="N89" s="21" t="str">
        <f>IFERROR(__xludf.DUMMYFUNCTION("IFERROR((GOOGLEFINANCE(C89, ""price"") / INDEX(GOOGLEFINANCE(C89, ""price"", EDATE(TODAY(), -3), TODAY()), 2, 2)) - 1, """")"),"")</f>
        <v/>
      </c>
      <c r="O89" s="21" t="str">
        <f>IFERROR(__xludf.DUMMYFUNCTION("IFERROR((GOOGLEFINANCE(C89, ""price"") / INDEX(GOOGLEFINANCE(C89, ""price"", EDATE(TODAY(), -6), TODAY()), 2, 2)) - 1, """")"),"")</f>
        <v/>
      </c>
      <c r="P89" s="21" t="str">
        <f>IFERROR(__xludf.DUMMYFUNCTION("IFERROR((GOOGLEFINANCE(C89, ""price"") / INDEX(GOOGLEFINANCE(C89, ""price"", EDATE(TODAY(), -12), TODAY()), 2, 2)) - 1, """")"),"")</f>
        <v/>
      </c>
      <c r="Q89" s="6" t="str">
        <f>IFERROR(__xludf.DUMMYFUNCTION("AVERAGE(QUERY(GOOGLEFINANCE(C89, ""price"", TODAY()-80, TODAY()), ""SELECT Col2 WHERE Col2 IS NOT NULL ORDER BY Col1 DESC LIMIT 50"", 0))"),"#N/A")</f>
        <v>#N/A</v>
      </c>
      <c r="R89" s="24" t="str">
        <f>IFERROR(__xludf.DUMMYFUNCTION("IFERROR(
  LET(
    data, QUERY(GOOGLEFINANCE(C89,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GOOGLEFINANCE(C89, ""price"")) * 100,
    IF(calc=0, G89, calc)
  ), 
G89)"),"#N/A")</f>
        <v>#N/A</v>
      </c>
      <c r="S89" s="8" t="s">
        <v>15</v>
      </c>
      <c r="T89" s="26" t="str">
        <f>IFERROR(__xludf.DUMMYFUNCTION("IFERROR(TRANSPOSE(QUERY(IFERROR(SORT(GOOGLEFINANCE(C89, ""price"", WORKDAY(TODAY(), -40), TODAY()), 1, FALSE)), ""select Col2 where Col2 is not null limit 22 label Col2 ''"", 0)), """")"),"")</f>
        <v/>
      </c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8"/>
      <c r="AO89" s="28"/>
      <c r="AP89" s="29"/>
      <c r="AQ89" s="29" t="str">
        <f t="shared" ref="AQ89:BL89" si="92">T89/T$2</f>
        <v>#N/A</v>
      </c>
      <c r="AR89" s="29" t="str">
        <f t="shared" si="92"/>
        <v>#DIV/0!</v>
      </c>
      <c r="AS89" s="29" t="str">
        <f t="shared" si="92"/>
        <v>#DIV/0!</v>
      </c>
      <c r="AT89" s="29" t="str">
        <f t="shared" si="92"/>
        <v>#DIV/0!</v>
      </c>
      <c r="AU89" s="29" t="str">
        <f t="shared" si="92"/>
        <v>#DIV/0!</v>
      </c>
      <c r="AV89" s="29" t="str">
        <f t="shared" si="92"/>
        <v>#DIV/0!</v>
      </c>
      <c r="AW89" s="29" t="str">
        <f t="shared" si="92"/>
        <v>#DIV/0!</v>
      </c>
      <c r="AX89" s="29" t="str">
        <f t="shared" si="92"/>
        <v>#DIV/0!</v>
      </c>
      <c r="AY89" s="29" t="str">
        <f t="shared" si="92"/>
        <v>#DIV/0!</v>
      </c>
      <c r="AZ89" s="29" t="str">
        <f t="shared" si="92"/>
        <v>#DIV/0!</v>
      </c>
      <c r="BA89" s="29" t="str">
        <f t="shared" si="92"/>
        <v>#DIV/0!</v>
      </c>
      <c r="BB89" s="29" t="str">
        <f t="shared" si="92"/>
        <v>#DIV/0!</v>
      </c>
      <c r="BC89" s="29" t="str">
        <f t="shared" si="92"/>
        <v>#DIV/0!</v>
      </c>
      <c r="BD89" s="29" t="str">
        <f t="shared" si="92"/>
        <v>#DIV/0!</v>
      </c>
      <c r="BE89" s="29" t="str">
        <f t="shared" si="92"/>
        <v>#DIV/0!</v>
      </c>
      <c r="BF89" s="29" t="str">
        <f t="shared" si="92"/>
        <v>#DIV/0!</v>
      </c>
      <c r="BG89" s="29" t="str">
        <f t="shared" si="92"/>
        <v>#DIV/0!</v>
      </c>
      <c r="BH89" s="29" t="str">
        <f t="shared" si="92"/>
        <v>#DIV/0!</v>
      </c>
      <c r="BI89" s="29" t="str">
        <f t="shared" si="92"/>
        <v>#DIV/0!</v>
      </c>
      <c r="BJ89" s="29" t="str">
        <f t="shared" si="92"/>
        <v>#DIV/0!</v>
      </c>
      <c r="BK89" s="29" t="str">
        <f t="shared" si="92"/>
        <v>#DIV/0!</v>
      </c>
      <c r="BL89" s="29" t="str">
        <f t="shared" si="92"/>
        <v>#DIV/0!</v>
      </c>
      <c r="BM89" s="29" t="str">
        <f t="shared" si="3"/>
        <v>#DIV/0!</v>
      </c>
    </row>
    <row r="90">
      <c r="A90" s="16" t="str">
        <f>IFERROR(__xludf.DUMMYFUNCTION("IFERROR(SPARKLINE(SORT(MAP(TRANSPOSE(AQ90:BL90), LAMBDA(val, IF(ISNUMBER(val), PERCENTRANK(AQ90:BL90, val)+0.01, 0))), SEQUENCE(COLUMNS(AQ90:BL90)), FALSE), {""charttype"",""column""; ""color"",""chartreuse""; ""ymin"", 0; ""ymax"", 1.01; ""highcolor"", "&amp;"""darkgreen""; ""lowcolor"", ""red""}), """")"),"")</f>
        <v/>
      </c>
      <c r="B90" s="17" t="str">
        <f t="shared" si="4"/>
        <v/>
      </c>
      <c r="C90" s="1" t="s">
        <v>430</v>
      </c>
      <c r="D90" s="30" t="str">
        <f>IFERROR(__xludf.DUMMYFUNCTION("IFERROR(GOOGLEFINANCE(C90, ""NAME""))"),"Exlservice Holdings Inc")</f>
        <v>Exlservice Holdings Inc</v>
      </c>
      <c r="E90" s="30" t="s">
        <v>102</v>
      </c>
      <c r="F90" s="33" t="str">
        <f>IFERROR(__xludf.DUMMYFUNCTION("( (GOOGLEFINANCE(C90, ""price"") - Q90) / Q90 ) / (R90 / 100)"),"Loading...")</f>
        <v>Loading...</v>
      </c>
      <c r="G90" s="20" t="str">
        <f>IFERROR(__xludf.DUMMYFUNCTION("AVERAGE(ARRAYFORMULA(100 * (QUERY(GOOGLEFINANCE(C90, ""high"", TODAY()-40, TODAY()), ""SELECT Col2 WHERE Col2 IS NOT NULL ORDER BY Col1 DESC LIMIT 20"", 0) / QUERY(GOOGLEFINANCE(C90, ""low"", TODAY()-40, TODAY()), ""SELECT Col2 WHERE Col2 IS NOT NULL ORDE"&amp;"R BY Col1 DESC LIMIT 20"", 0) - 1)))"),"#N/A")</f>
        <v>#N/A</v>
      </c>
      <c r="H90" s="35" t="str">
        <f t="shared" si="6"/>
        <v/>
      </c>
      <c r="I90" s="36" t="str">
        <f t="shared" si="7"/>
        <v/>
      </c>
      <c r="J90" s="37" t="str">
        <f>IFERROR(__xludf.DUMMYFUNCTION("IFERROR(
  IF(C90="""",, 
    IFERROR(
      GOOGLEFINANCE(C90, ""price"") * GOOGLEFINANCE(C90, ""volumeavg""), 
      GOOGLEFINANCE(C90, ""price"") * AVERAGE(QUERY(GOOGLEFINANCE(C90, ""volume"", TODAY()-40, TODAY()), ""SELECT Col2 WHERE Col2 IS NOT NULL "&amp;"ORDER BY Col1 DESC LIMIT 20"", 0))
    )
  ), 
"""")"),"")</f>
        <v/>
      </c>
      <c r="K90" s="21" t="str">
        <f>IFERROR(__xludf.DUMMYFUNCTION("IFERROR(GOOGLEFINANCE(C90, ""changepct"") / 100, """")"),"")</f>
        <v/>
      </c>
      <c r="L90" s="21" t="str">
        <f>IFERROR(__xludf.DUMMYFUNCTION("IFERROR((GOOGLEFINANCE(C90, ""price"") / INDEX(GOOGLEFINANCE(C90, ""price"", TODAY()-7, TODAY()), 2, 2)) - 1, """")"),"")</f>
        <v/>
      </c>
      <c r="M90" s="21" t="str">
        <f>IFERROR(__xludf.DUMMYFUNCTION("IFERROR((GOOGLEFINANCE(C90, ""price"") / INDEX(GOOGLEFINANCE(C90, ""price"", EDATE(TODAY(), -1), TODAY()), 2, 2)) - 1, """")"),"")</f>
        <v/>
      </c>
      <c r="N90" s="21" t="str">
        <f>IFERROR(__xludf.DUMMYFUNCTION("IFERROR((GOOGLEFINANCE(C90, ""price"") / INDEX(GOOGLEFINANCE(C90, ""price"", EDATE(TODAY(), -3), TODAY()), 2, 2)) - 1, """")"),"")</f>
        <v/>
      </c>
      <c r="O90" s="21" t="str">
        <f>IFERROR(__xludf.DUMMYFUNCTION("IFERROR((GOOGLEFINANCE(C90, ""price"") / INDEX(GOOGLEFINANCE(C90, ""price"", EDATE(TODAY(), -6), TODAY()), 2, 2)) - 1, """")"),"")</f>
        <v/>
      </c>
      <c r="P90" s="21" t="str">
        <f>IFERROR(__xludf.DUMMYFUNCTION("IFERROR((GOOGLEFINANCE(C90, ""price"") / INDEX(GOOGLEFINANCE(C90, ""price"", EDATE(TODAY(), -12), TODAY()), 2, 2)) - 1, """")"),"")</f>
        <v/>
      </c>
      <c r="Q90" s="6" t="str">
        <f>IFERROR(__xludf.DUMMYFUNCTION("AVERAGE(QUERY(GOOGLEFINANCE(C90, ""price"", TODAY()-80, TODAY()), ""SELECT Col2 WHERE Col2 IS NOT NULL ORDER BY Col1 DESC LIMIT 50"", 0))"),"#N/A")</f>
        <v>#N/A</v>
      </c>
      <c r="R90" s="24" t="str">
        <f>IFERROR(__xludf.DUMMYFUNCTION("IFERROR(
  LET(
    data, QUERY(GOOGLEFINANCE(C90,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GOOGLEFINANCE(C90, ""price"")) * 100,
    IF(calc=0, G90, calc)
  ), 
G90)"),"#N/A")</f>
        <v>#N/A</v>
      </c>
      <c r="S90" s="8" t="s">
        <v>15</v>
      </c>
      <c r="T90" s="26" t="str">
        <f>IFERROR(__xludf.DUMMYFUNCTION("IFERROR(TRANSPOSE(QUERY(IFERROR(SORT(GOOGLEFINANCE(C90, ""price"", WORKDAY(TODAY(), -40), TODAY()), 1, FALSE)), ""select Col2 where Col2 is not null limit 22 label Col2 ''"", 0)), """")"),"")</f>
        <v/>
      </c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8"/>
      <c r="AO90" s="28"/>
      <c r="AP90" s="29"/>
      <c r="AQ90" s="29" t="str">
        <f t="shared" ref="AQ90:BL90" si="93">T90/T$2</f>
        <v>#N/A</v>
      </c>
      <c r="AR90" s="29" t="str">
        <f t="shared" si="93"/>
        <v>#DIV/0!</v>
      </c>
      <c r="AS90" s="29" t="str">
        <f t="shared" si="93"/>
        <v>#DIV/0!</v>
      </c>
      <c r="AT90" s="29" t="str">
        <f t="shared" si="93"/>
        <v>#DIV/0!</v>
      </c>
      <c r="AU90" s="29" t="str">
        <f t="shared" si="93"/>
        <v>#DIV/0!</v>
      </c>
      <c r="AV90" s="29" t="str">
        <f t="shared" si="93"/>
        <v>#DIV/0!</v>
      </c>
      <c r="AW90" s="29" t="str">
        <f t="shared" si="93"/>
        <v>#DIV/0!</v>
      </c>
      <c r="AX90" s="29" t="str">
        <f t="shared" si="93"/>
        <v>#DIV/0!</v>
      </c>
      <c r="AY90" s="29" t="str">
        <f t="shared" si="93"/>
        <v>#DIV/0!</v>
      </c>
      <c r="AZ90" s="29" t="str">
        <f t="shared" si="93"/>
        <v>#DIV/0!</v>
      </c>
      <c r="BA90" s="29" t="str">
        <f t="shared" si="93"/>
        <v>#DIV/0!</v>
      </c>
      <c r="BB90" s="29" t="str">
        <f t="shared" si="93"/>
        <v>#DIV/0!</v>
      </c>
      <c r="BC90" s="29" t="str">
        <f t="shared" si="93"/>
        <v>#DIV/0!</v>
      </c>
      <c r="BD90" s="29" t="str">
        <f t="shared" si="93"/>
        <v>#DIV/0!</v>
      </c>
      <c r="BE90" s="29" t="str">
        <f t="shared" si="93"/>
        <v>#DIV/0!</v>
      </c>
      <c r="BF90" s="29" t="str">
        <f t="shared" si="93"/>
        <v>#DIV/0!</v>
      </c>
      <c r="BG90" s="29" t="str">
        <f t="shared" si="93"/>
        <v>#DIV/0!</v>
      </c>
      <c r="BH90" s="29" t="str">
        <f t="shared" si="93"/>
        <v>#DIV/0!</v>
      </c>
      <c r="BI90" s="29" t="str">
        <f t="shared" si="93"/>
        <v>#DIV/0!</v>
      </c>
      <c r="BJ90" s="29" t="str">
        <f t="shared" si="93"/>
        <v>#DIV/0!</v>
      </c>
      <c r="BK90" s="29" t="str">
        <f t="shared" si="93"/>
        <v>#DIV/0!</v>
      </c>
      <c r="BL90" s="29" t="str">
        <f t="shared" si="93"/>
        <v>#DIV/0!</v>
      </c>
      <c r="BM90" s="29" t="str">
        <f t="shared" si="3"/>
        <v>#DIV/0!</v>
      </c>
    </row>
    <row r="91">
      <c r="A91" s="16" t="str">
        <f>IFERROR(__xludf.DUMMYFUNCTION("IFERROR(SPARKLINE(SORT(MAP(TRANSPOSE(AQ91:BL91), LAMBDA(val, IF(ISNUMBER(val), PERCENTRANK(AQ91:BL91, val)+0.01, 0))), SEQUENCE(COLUMNS(AQ91:BL91)), FALSE), {""charttype"",""column""; ""color"",""chartreuse""; ""ymin"", 0; ""ymax"", 1.01; ""highcolor"", "&amp;"""darkgreen""; ""lowcolor"", ""red""}), """")"),"")</f>
        <v/>
      </c>
      <c r="B91" s="17" t="str">
        <f t="shared" si="4"/>
        <v/>
      </c>
      <c r="C91" s="1" t="s">
        <v>435</v>
      </c>
      <c r="D91" s="30" t="str">
        <f>IFERROR(__xludf.DUMMYFUNCTION("IFERROR(GOOGLEFINANCE(C91, ""NAME""))"),"Euronet Worldwide Inc")</f>
        <v>Euronet Worldwide Inc</v>
      </c>
      <c r="E91" s="30" t="s">
        <v>58</v>
      </c>
      <c r="F91" s="33" t="str">
        <f>IFERROR(__xludf.DUMMYFUNCTION("( (GOOGLEFINANCE(C91, ""price"") - Q91) / Q91 ) / (R91 / 100)"),"Loading...")</f>
        <v>Loading...</v>
      </c>
      <c r="G91" s="20" t="str">
        <f>IFERROR(__xludf.DUMMYFUNCTION("AVERAGE(ARRAYFORMULA(100 * (QUERY(GOOGLEFINANCE(C91, ""high"", TODAY()-40, TODAY()), ""SELECT Col2 WHERE Col2 IS NOT NULL ORDER BY Col1 DESC LIMIT 20"", 0) / QUERY(GOOGLEFINANCE(C91, ""low"", TODAY()-40, TODAY()), ""SELECT Col2 WHERE Col2 IS NOT NULL ORDE"&amp;"R BY Col1 DESC LIMIT 20"", 0) - 1)))"),"#N/A")</f>
        <v>#N/A</v>
      </c>
      <c r="H91" s="35" t="str">
        <f t="shared" si="6"/>
        <v/>
      </c>
      <c r="I91" s="36" t="str">
        <f t="shared" si="7"/>
        <v/>
      </c>
      <c r="J91" s="37" t="str">
        <f>IFERROR(__xludf.DUMMYFUNCTION("IFERROR(
  IF(C91="""",, 
    IFERROR(
      GOOGLEFINANCE(C91, ""price"") * GOOGLEFINANCE(C91, ""volumeavg""), 
      GOOGLEFINANCE(C91, ""price"") * AVERAGE(QUERY(GOOGLEFINANCE(C91, ""volume"", TODAY()-40, TODAY()), ""SELECT Col2 WHERE Col2 IS NOT NULL "&amp;"ORDER BY Col1 DESC LIMIT 20"", 0))
    )
  ), 
"""")"),"")</f>
        <v/>
      </c>
      <c r="K91" s="21" t="str">
        <f>IFERROR(__xludf.DUMMYFUNCTION("IFERROR(GOOGLEFINANCE(C91, ""changepct"") / 100, """")"),"")</f>
        <v/>
      </c>
      <c r="L91" s="21" t="str">
        <f>IFERROR(__xludf.DUMMYFUNCTION("IFERROR((GOOGLEFINANCE(C91, ""price"") / INDEX(GOOGLEFINANCE(C91, ""price"", TODAY()-7, TODAY()), 2, 2)) - 1, """")"),"")</f>
        <v/>
      </c>
      <c r="M91" s="21" t="str">
        <f>IFERROR(__xludf.DUMMYFUNCTION("IFERROR((GOOGLEFINANCE(C91, ""price"") / INDEX(GOOGLEFINANCE(C91, ""price"", EDATE(TODAY(), -1), TODAY()), 2, 2)) - 1, """")"),"")</f>
        <v/>
      </c>
      <c r="N91" s="21" t="str">
        <f>IFERROR(__xludf.DUMMYFUNCTION("IFERROR((GOOGLEFINANCE(C91, ""price"") / INDEX(GOOGLEFINANCE(C91, ""price"", EDATE(TODAY(), -3), TODAY()), 2, 2)) - 1, """")"),"")</f>
        <v/>
      </c>
      <c r="O91" s="21" t="str">
        <f>IFERROR(__xludf.DUMMYFUNCTION("IFERROR((GOOGLEFINANCE(C91, ""price"") / INDEX(GOOGLEFINANCE(C91, ""price"", EDATE(TODAY(), -6), TODAY()), 2, 2)) - 1, """")"),"")</f>
        <v/>
      </c>
      <c r="P91" s="21" t="str">
        <f>IFERROR(__xludf.DUMMYFUNCTION("IFERROR((GOOGLEFINANCE(C91, ""price"") / INDEX(GOOGLEFINANCE(C91, ""price"", EDATE(TODAY(), -12), TODAY()), 2, 2)) - 1, """")"),"")</f>
        <v/>
      </c>
      <c r="Q91" s="6" t="str">
        <f>IFERROR(__xludf.DUMMYFUNCTION("AVERAGE(QUERY(GOOGLEFINANCE(C91, ""price"", TODAY()-80, TODAY()), ""SELECT Col2 WHERE Col2 IS NOT NULL ORDER BY Col1 DESC LIMIT 50"", 0))"),"#N/A")</f>
        <v>#N/A</v>
      </c>
      <c r="R91" s="24" t="str">
        <f>IFERROR(__xludf.DUMMYFUNCTION("IFERROR(
  LET(
    data, QUERY(GOOGLEFINANCE(C91,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GOOGLEFINANCE(C91, ""price"")) * 100,
    IF(calc=0, G91, calc)
  ), 
G91)"),"#N/A")</f>
        <v>#N/A</v>
      </c>
      <c r="S91" s="8" t="s">
        <v>15</v>
      </c>
      <c r="T91" s="26" t="str">
        <f>IFERROR(__xludf.DUMMYFUNCTION("IFERROR(TRANSPOSE(QUERY(IFERROR(SORT(GOOGLEFINANCE(C91, ""price"", WORKDAY(TODAY(), -40), TODAY()), 1, FALSE)), ""select Col2 where Col2 is not null limit 22 label Col2 ''"", 0)), """")"),"")</f>
        <v/>
      </c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8"/>
      <c r="AO91" s="28"/>
      <c r="AP91" s="29"/>
      <c r="AQ91" s="29" t="str">
        <f t="shared" ref="AQ91:BL91" si="94">T91/T$2</f>
        <v>#N/A</v>
      </c>
      <c r="AR91" s="29" t="str">
        <f t="shared" si="94"/>
        <v>#DIV/0!</v>
      </c>
      <c r="AS91" s="29" t="str">
        <f t="shared" si="94"/>
        <v>#DIV/0!</v>
      </c>
      <c r="AT91" s="29" t="str">
        <f t="shared" si="94"/>
        <v>#DIV/0!</v>
      </c>
      <c r="AU91" s="29" t="str">
        <f t="shared" si="94"/>
        <v>#DIV/0!</v>
      </c>
      <c r="AV91" s="29" t="str">
        <f t="shared" si="94"/>
        <v>#DIV/0!</v>
      </c>
      <c r="AW91" s="29" t="str">
        <f t="shared" si="94"/>
        <v>#DIV/0!</v>
      </c>
      <c r="AX91" s="29" t="str">
        <f t="shared" si="94"/>
        <v>#DIV/0!</v>
      </c>
      <c r="AY91" s="29" t="str">
        <f t="shared" si="94"/>
        <v>#DIV/0!</v>
      </c>
      <c r="AZ91" s="29" t="str">
        <f t="shared" si="94"/>
        <v>#DIV/0!</v>
      </c>
      <c r="BA91" s="29" t="str">
        <f t="shared" si="94"/>
        <v>#DIV/0!</v>
      </c>
      <c r="BB91" s="29" t="str">
        <f t="shared" si="94"/>
        <v>#DIV/0!</v>
      </c>
      <c r="BC91" s="29" t="str">
        <f t="shared" si="94"/>
        <v>#DIV/0!</v>
      </c>
      <c r="BD91" s="29" t="str">
        <f t="shared" si="94"/>
        <v>#DIV/0!</v>
      </c>
      <c r="BE91" s="29" t="str">
        <f t="shared" si="94"/>
        <v>#DIV/0!</v>
      </c>
      <c r="BF91" s="29" t="str">
        <f t="shared" si="94"/>
        <v>#DIV/0!</v>
      </c>
      <c r="BG91" s="29" t="str">
        <f t="shared" si="94"/>
        <v>#DIV/0!</v>
      </c>
      <c r="BH91" s="29" t="str">
        <f t="shared" si="94"/>
        <v>#DIV/0!</v>
      </c>
      <c r="BI91" s="29" t="str">
        <f t="shared" si="94"/>
        <v>#DIV/0!</v>
      </c>
      <c r="BJ91" s="29" t="str">
        <f t="shared" si="94"/>
        <v>#DIV/0!</v>
      </c>
      <c r="BK91" s="29" t="str">
        <f t="shared" si="94"/>
        <v>#DIV/0!</v>
      </c>
      <c r="BL91" s="29" t="str">
        <f t="shared" si="94"/>
        <v>#DIV/0!</v>
      </c>
      <c r="BM91" s="29" t="str">
        <f t="shared" si="3"/>
        <v>#DIV/0!</v>
      </c>
    </row>
    <row r="92">
      <c r="A92" s="16" t="str">
        <f>IFERROR(__xludf.DUMMYFUNCTION("IFERROR(SPARKLINE(SORT(MAP(TRANSPOSE(AQ92:BL92), LAMBDA(val, IF(ISNUMBER(val), PERCENTRANK(AQ92:BL92, val)+0.01, 0))), SEQUENCE(COLUMNS(AQ92:BL92)), FALSE), {""charttype"",""column""; ""color"",""chartreuse""; ""ymin"", 0; ""ymax"", 1.01; ""highcolor"", "&amp;"""darkgreen""; ""lowcolor"", ""red""}), """")"),"")</f>
        <v/>
      </c>
      <c r="B92" s="17" t="str">
        <f t="shared" si="4"/>
        <v/>
      </c>
      <c r="C92" s="1" t="s">
        <v>439</v>
      </c>
      <c r="D92" s="30" t="str">
        <f>IFERROR(__xludf.DUMMYFUNCTION("IFERROR(GOOGLEFINANCE(C92, ""NAME""))"),"Descartes Systems Group Inc")</f>
        <v>Descartes Systems Group Inc</v>
      </c>
      <c r="E92" s="30" t="s">
        <v>48</v>
      </c>
      <c r="F92" s="33" t="str">
        <f>IFERROR(__xludf.DUMMYFUNCTION("( (GOOGLEFINANCE(C92, ""price"") - Q92) / Q92 ) / (R92 / 100)"),"Loading...")</f>
        <v>Loading...</v>
      </c>
      <c r="G92" s="20" t="str">
        <f>IFERROR(__xludf.DUMMYFUNCTION("AVERAGE(ARRAYFORMULA(100 * (QUERY(GOOGLEFINANCE(C92, ""high"", TODAY()-40, TODAY()), ""SELECT Col2 WHERE Col2 IS NOT NULL ORDER BY Col1 DESC LIMIT 20"", 0) / QUERY(GOOGLEFINANCE(C92, ""low"", TODAY()-40, TODAY()), ""SELECT Col2 WHERE Col2 IS NOT NULL ORDE"&amp;"R BY Col1 DESC LIMIT 20"", 0) - 1)))"),"#N/A")</f>
        <v>#N/A</v>
      </c>
      <c r="H92" s="35" t="str">
        <f t="shared" si="6"/>
        <v/>
      </c>
      <c r="I92" s="36" t="str">
        <f t="shared" si="7"/>
        <v/>
      </c>
      <c r="J92" s="37" t="str">
        <f>IFERROR(__xludf.DUMMYFUNCTION("IFERROR(
  IF(C92="""",, 
    IFERROR(
      GOOGLEFINANCE(C92, ""price"") * GOOGLEFINANCE(C92, ""volumeavg""), 
      GOOGLEFINANCE(C92, ""price"") * AVERAGE(QUERY(GOOGLEFINANCE(C92, ""volume"", TODAY()-40, TODAY()), ""SELECT Col2 WHERE Col2 IS NOT NULL "&amp;"ORDER BY Col1 DESC LIMIT 20"", 0))
    )
  ), 
"""")"),"")</f>
        <v/>
      </c>
      <c r="K92" s="21" t="str">
        <f>IFERROR(__xludf.DUMMYFUNCTION("IFERROR(GOOGLEFINANCE(C92, ""changepct"") / 100, """")"),"")</f>
        <v/>
      </c>
      <c r="L92" s="21" t="str">
        <f>IFERROR(__xludf.DUMMYFUNCTION("IFERROR((GOOGLEFINANCE(C92, ""price"") / INDEX(GOOGLEFINANCE(C92, ""price"", TODAY()-7, TODAY()), 2, 2)) - 1, """")"),"")</f>
        <v/>
      </c>
      <c r="M92" s="21" t="str">
        <f>IFERROR(__xludf.DUMMYFUNCTION("IFERROR((GOOGLEFINANCE(C92, ""price"") / INDEX(GOOGLEFINANCE(C92, ""price"", EDATE(TODAY(), -1), TODAY()), 2, 2)) - 1, """")"),"")</f>
        <v/>
      </c>
      <c r="N92" s="21" t="str">
        <f>IFERROR(__xludf.DUMMYFUNCTION("IFERROR((GOOGLEFINANCE(C92, ""price"") / INDEX(GOOGLEFINANCE(C92, ""price"", EDATE(TODAY(), -3), TODAY()), 2, 2)) - 1, """")"),"")</f>
        <v/>
      </c>
      <c r="O92" s="21" t="str">
        <f>IFERROR(__xludf.DUMMYFUNCTION("IFERROR((GOOGLEFINANCE(C92, ""price"") / INDEX(GOOGLEFINANCE(C92, ""price"", EDATE(TODAY(), -6), TODAY()), 2, 2)) - 1, """")"),"")</f>
        <v/>
      </c>
      <c r="P92" s="21" t="str">
        <f>IFERROR(__xludf.DUMMYFUNCTION("IFERROR((GOOGLEFINANCE(C92, ""price"") / INDEX(GOOGLEFINANCE(C92, ""price"", EDATE(TODAY(), -12), TODAY()), 2, 2)) - 1, """")"),"")</f>
        <v/>
      </c>
      <c r="Q92" s="6" t="str">
        <f>IFERROR(__xludf.DUMMYFUNCTION("AVERAGE(QUERY(GOOGLEFINANCE(C92, ""price"", TODAY()-80, TODAY()), ""SELECT Col2 WHERE Col2 IS NOT NULL ORDER BY Col1 DESC LIMIT 50"", 0))"),"#N/A")</f>
        <v>#N/A</v>
      </c>
      <c r="R92" s="24" t="str">
        <f>IFERROR(__xludf.DUMMYFUNCTION("IFERROR(
  LET(
    data, QUERY(GOOGLEFINANCE(C92,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GOOGLEFINANCE(C92, ""price"")) * 100,
    IF(calc=0, G92, calc)
  ), 
G92)"),"#N/A")</f>
        <v>#N/A</v>
      </c>
      <c r="S92" s="8" t="s">
        <v>15</v>
      </c>
      <c r="T92" s="26" t="str">
        <f>IFERROR(__xludf.DUMMYFUNCTION("IFERROR(TRANSPOSE(QUERY(IFERROR(SORT(GOOGLEFINANCE(C92, ""price"", WORKDAY(TODAY(), -40), TODAY()), 1, FALSE)), ""select Col2 where Col2 is not null limit 22 label Col2 ''"", 0)), """")"),"")</f>
        <v/>
      </c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8"/>
      <c r="AO92" s="28"/>
      <c r="AP92" s="29"/>
      <c r="AQ92" s="29" t="str">
        <f t="shared" ref="AQ92:BL92" si="95">T92/T$2</f>
        <v>#N/A</v>
      </c>
      <c r="AR92" s="29" t="str">
        <f t="shared" si="95"/>
        <v>#DIV/0!</v>
      </c>
      <c r="AS92" s="29" t="str">
        <f t="shared" si="95"/>
        <v>#DIV/0!</v>
      </c>
      <c r="AT92" s="29" t="str">
        <f t="shared" si="95"/>
        <v>#DIV/0!</v>
      </c>
      <c r="AU92" s="29" t="str">
        <f t="shared" si="95"/>
        <v>#DIV/0!</v>
      </c>
      <c r="AV92" s="29" t="str">
        <f t="shared" si="95"/>
        <v>#DIV/0!</v>
      </c>
      <c r="AW92" s="29" t="str">
        <f t="shared" si="95"/>
        <v>#DIV/0!</v>
      </c>
      <c r="AX92" s="29" t="str">
        <f t="shared" si="95"/>
        <v>#DIV/0!</v>
      </c>
      <c r="AY92" s="29" t="str">
        <f t="shared" si="95"/>
        <v>#DIV/0!</v>
      </c>
      <c r="AZ92" s="29" t="str">
        <f t="shared" si="95"/>
        <v>#DIV/0!</v>
      </c>
      <c r="BA92" s="29" t="str">
        <f t="shared" si="95"/>
        <v>#DIV/0!</v>
      </c>
      <c r="BB92" s="29" t="str">
        <f t="shared" si="95"/>
        <v>#DIV/0!</v>
      </c>
      <c r="BC92" s="29" t="str">
        <f t="shared" si="95"/>
        <v>#DIV/0!</v>
      </c>
      <c r="BD92" s="29" t="str">
        <f t="shared" si="95"/>
        <v>#DIV/0!</v>
      </c>
      <c r="BE92" s="29" t="str">
        <f t="shared" si="95"/>
        <v>#DIV/0!</v>
      </c>
      <c r="BF92" s="29" t="str">
        <f t="shared" si="95"/>
        <v>#DIV/0!</v>
      </c>
      <c r="BG92" s="29" t="str">
        <f t="shared" si="95"/>
        <v>#DIV/0!</v>
      </c>
      <c r="BH92" s="29" t="str">
        <f t="shared" si="95"/>
        <v>#DIV/0!</v>
      </c>
      <c r="BI92" s="29" t="str">
        <f t="shared" si="95"/>
        <v>#DIV/0!</v>
      </c>
      <c r="BJ92" s="29" t="str">
        <f t="shared" si="95"/>
        <v>#DIV/0!</v>
      </c>
      <c r="BK92" s="29" t="str">
        <f t="shared" si="95"/>
        <v>#DIV/0!</v>
      </c>
      <c r="BL92" s="29" t="str">
        <f t="shared" si="95"/>
        <v>#DIV/0!</v>
      </c>
      <c r="BM92" s="29" t="str">
        <f t="shared" si="3"/>
        <v>#DIV/0!</v>
      </c>
    </row>
    <row r="93">
      <c r="A93" s="16" t="str">
        <f>IFERROR(__xludf.DUMMYFUNCTION("IFERROR(SPARKLINE(SORT(MAP(TRANSPOSE(AQ93:BL93), LAMBDA(val, IF(ISNUMBER(val), PERCENTRANK(AQ93:BL93, val)+0.01, 0))), SEQUENCE(COLUMNS(AQ93:BL93)), FALSE), {""charttype"",""column""; ""color"",""chartreuse""; ""ymin"", 0; ""ymax"", 1.01; ""highcolor"", "&amp;"""darkgreen""; ""lowcolor"", ""red""}), """")"),"")</f>
        <v/>
      </c>
      <c r="B93" s="17" t="str">
        <f t="shared" si="4"/>
        <v/>
      </c>
      <c r="C93" s="1" t="s">
        <v>444</v>
      </c>
      <c r="D93" s="30" t="str">
        <f>IFERROR(__xludf.DUMMYFUNCTION("IFERROR(GOOGLEFINANCE(C93, ""NAME""))"),"Freshworks Inc")</f>
        <v>Freshworks Inc</v>
      </c>
      <c r="E93" s="30" t="s">
        <v>48</v>
      </c>
      <c r="F93" s="33" t="str">
        <f>IFERROR(__xludf.DUMMYFUNCTION("( (GOOGLEFINANCE(C93, ""price"") - Q93) / Q93 ) / (R93 / 100)"),"Loading...")</f>
        <v>Loading...</v>
      </c>
      <c r="G93" s="20" t="str">
        <f>IFERROR(__xludf.DUMMYFUNCTION("AVERAGE(ARRAYFORMULA(100 * (QUERY(GOOGLEFINANCE(C93, ""high"", TODAY()-40, TODAY()), ""SELECT Col2 WHERE Col2 IS NOT NULL ORDER BY Col1 DESC LIMIT 20"", 0) / QUERY(GOOGLEFINANCE(C93, ""low"", TODAY()-40, TODAY()), ""SELECT Col2 WHERE Col2 IS NOT NULL ORDE"&amp;"R BY Col1 DESC LIMIT 20"", 0) - 1)))"),"#N/A")</f>
        <v>#N/A</v>
      </c>
      <c r="H93" s="35" t="str">
        <f t="shared" si="6"/>
        <v/>
      </c>
      <c r="I93" s="36" t="str">
        <f t="shared" si="7"/>
        <v/>
      </c>
      <c r="J93" s="37" t="str">
        <f>IFERROR(__xludf.DUMMYFUNCTION("IFERROR(
  IF(C93="""",, 
    IFERROR(
      GOOGLEFINANCE(C93, ""price"") * GOOGLEFINANCE(C93, ""volumeavg""), 
      GOOGLEFINANCE(C93, ""price"") * AVERAGE(QUERY(GOOGLEFINANCE(C93, ""volume"", TODAY()-40, TODAY()), ""SELECT Col2 WHERE Col2 IS NOT NULL "&amp;"ORDER BY Col1 DESC LIMIT 20"", 0))
    )
  ), 
"""")"),"")</f>
        <v/>
      </c>
      <c r="K93" s="21" t="str">
        <f>IFERROR(__xludf.DUMMYFUNCTION("IFERROR(GOOGLEFINANCE(C93, ""changepct"") / 100, """")"),"")</f>
        <v/>
      </c>
      <c r="L93" s="21" t="str">
        <f>IFERROR(__xludf.DUMMYFUNCTION("IFERROR((GOOGLEFINANCE(C93, ""price"") / INDEX(GOOGLEFINANCE(C93, ""price"", TODAY()-7, TODAY()), 2, 2)) - 1, """")"),"")</f>
        <v/>
      </c>
      <c r="M93" s="21" t="str">
        <f>IFERROR(__xludf.DUMMYFUNCTION("IFERROR((GOOGLEFINANCE(C93, ""price"") / INDEX(GOOGLEFINANCE(C93, ""price"", EDATE(TODAY(), -1), TODAY()), 2, 2)) - 1, """")"),"")</f>
        <v/>
      </c>
      <c r="N93" s="21" t="str">
        <f>IFERROR(__xludf.DUMMYFUNCTION("IFERROR((GOOGLEFINANCE(C93, ""price"") / INDEX(GOOGLEFINANCE(C93, ""price"", EDATE(TODAY(), -3), TODAY()), 2, 2)) - 1, """")"),"")</f>
        <v/>
      </c>
      <c r="O93" s="21" t="str">
        <f>IFERROR(__xludf.DUMMYFUNCTION("IFERROR((GOOGLEFINANCE(C93, ""price"") / INDEX(GOOGLEFINANCE(C93, ""price"", EDATE(TODAY(), -6), TODAY()), 2, 2)) - 1, """")"),"")</f>
        <v/>
      </c>
      <c r="P93" s="21" t="str">
        <f>IFERROR(__xludf.DUMMYFUNCTION("IFERROR((GOOGLEFINANCE(C93, ""price"") / INDEX(GOOGLEFINANCE(C93, ""price"", EDATE(TODAY(), -12), TODAY()), 2, 2)) - 1, """")"),"")</f>
        <v/>
      </c>
      <c r="Q93" s="6" t="str">
        <f>IFERROR(__xludf.DUMMYFUNCTION("AVERAGE(QUERY(GOOGLEFINANCE(C93, ""price"", TODAY()-80, TODAY()), ""SELECT Col2 WHERE Col2 IS NOT NULL ORDER BY Col1 DESC LIMIT 50"", 0))"),"#N/A")</f>
        <v>#N/A</v>
      </c>
      <c r="R93" s="24" t="str">
        <f>IFERROR(__xludf.DUMMYFUNCTION("IFERROR(
  LET(
    data, QUERY(GOOGLEFINANCE(C93,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GOOGLEFINANCE(C93, ""price"")) * 100,
    IF(calc=0, G93, calc)
  ), 
G93)"),"#N/A")</f>
        <v>#N/A</v>
      </c>
      <c r="S93" s="8" t="s">
        <v>15</v>
      </c>
      <c r="T93" s="26" t="str">
        <f>IFERROR(__xludf.DUMMYFUNCTION("IFERROR(TRANSPOSE(QUERY(IFERROR(SORT(GOOGLEFINANCE(C93, ""price"", WORKDAY(TODAY(), -40), TODAY()), 1, FALSE)), ""select Col2 where Col2 is not null limit 22 label Col2 ''"", 0)), """")"),"")</f>
        <v/>
      </c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8"/>
      <c r="AO93" s="28"/>
      <c r="AP93" s="29"/>
      <c r="AQ93" s="29" t="str">
        <f t="shared" ref="AQ93:BL93" si="96">T93/T$2</f>
        <v>#N/A</v>
      </c>
      <c r="AR93" s="29" t="str">
        <f t="shared" si="96"/>
        <v>#DIV/0!</v>
      </c>
      <c r="AS93" s="29" t="str">
        <f t="shared" si="96"/>
        <v>#DIV/0!</v>
      </c>
      <c r="AT93" s="29" t="str">
        <f t="shared" si="96"/>
        <v>#DIV/0!</v>
      </c>
      <c r="AU93" s="29" t="str">
        <f t="shared" si="96"/>
        <v>#DIV/0!</v>
      </c>
      <c r="AV93" s="29" t="str">
        <f t="shared" si="96"/>
        <v>#DIV/0!</v>
      </c>
      <c r="AW93" s="29" t="str">
        <f t="shared" si="96"/>
        <v>#DIV/0!</v>
      </c>
      <c r="AX93" s="29" t="str">
        <f t="shared" si="96"/>
        <v>#DIV/0!</v>
      </c>
      <c r="AY93" s="29" t="str">
        <f t="shared" si="96"/>
        <v>#DIV/0!</v>
      </c>
      <c r="AZ93" s="29" t="str">
        <f t="shared" si="96"/>
        <v>#DIV/0!</v>
      </c>
      <c r="BA93" s="29" t="str">
        <f t="shared" si="96"/>
        <v>#DIV/0!</v>
      </c>
      <c r="BB93" s="29" t="str">
        <f t="shared" si="96"/>
        <v>#DIV/0!</v>
      </c>
      <c r="BC93" s="29" t="str">
        <f t="shared" si="96"/>
        <v>#DIV/0!</v>
      </c>
      <c r="BD93" s="29" t="str">
        <f t="shared" si="96"/>
        <v>#DIV/0!</v>
      </c>
      <c r="BE93" s="29" t="str">
        <f t="shared" si="96"/>
        <v>#DIV/0!</v>
      </c>
      <c r="BF93" s="29" t="str">
        <f t="shared" si="96"/>
        <v>#DIV/0!</v>
      </c>
      <c r="BG93" s="29" t="str">
        <f t="shared" si="96"/>
        <v>#DIV/0!</v>
      </c>
      <c r="BH93" s="29" t="str">
        <f t="shared" si="96"/>
        <v>#DIV/0!</v>
      </c>
      <c r="BI93" s="29" t="str">
        <f t="shared" si="96"/>
        <v>#DIV/0!</v>
      </c>
      <c r="BJ93" s="29" t="str">
        <f t="shared" si="96"/>
        <v>#DIV/0!</v>
      </c>
      <c r="BK93" s="29" t="str">
        <f t="shared" si="96"/>
        <v>#DIV/0!</v>
      </c>
      <c r="BL93" s="29" t="str">
        <f t="shared" si="96"/>
        <v>#DIV/0!</v>
      </c>
      <c r="BM93" s="29" t="str">
        <f t="shared" si="3"/>
        <v>#DIV/0!</v>
      </c>
    </row>
    <row r="94">
      <c r="A94" s="16" t="str">
        <f>IFERROR(__xludf.DUMMYFUNCTION("IFERROR(SPARKLINE(SORT(MAP(TRANSPOSE(AQ94:BL94), LAMBDA(val, IF(ISNUMBER(val), PERCENTRANK(AQ94:BL94, val)+0.01, 0))), SEQUENCE(COLUMNS(AQ94:BL94)), FALSE), {""charttype"",""column""; ""color"",""chartreuse""; ""ymin"", 0; ""ymax"", 1.01; ""highcolor"", "&amp;"""darkgreen""; ""lowcolor"", ""red""}), """")"),"")</f>
        <v/>
      </c>
      <c r="B94" s="17" t="str">
        <f t="shared" si="4"/>
        <v/>
      </c>
      <c r="C94" s="1" t="s">
        <v>447</v>
      </c>
      <c r="D94" s="30" t="str">
        <f>IFERROR(__xludf.DUMMYFUNCTION("IFERROR(GOOGLEFINANCE(C94, ""NAME""))"),"Guidewire Software Inc")</f>
        <v>Guidewire Software Inc</v>
      </c>
      <c r="E94" s="30" t="s">
        <v>48</v>
      </c>
      <c r="F94" s="33" t="str">
        <f>IFERROR(__xludf.DUMMYFUNCTION("( (GOOGLEFINANCE(C94, ""price"") - Q94) / Q94 ) / (R94 / 100)"),"Loading...")</f>
        <v>Loading...</v>
      </c>
      <c r="G94" s="20" t="str">
        <f>IFERROR(__xludf.DUMMYFUNCTION("AVERAGE(ARRAYFORMULA(100 * (QUERY(GOOGLEFINANCE(C94, ""high"", TODAY()-40, TODAY()), ""SELECT Col2 WHERE Col2 IS NOT NULL ORDER BY Col1 DESC LIMIT 20"", 0) / QUERY(GOOGLEFINANCE(C94, ""low"", TODAY()-40, TODAY()), ""SELECT Col2 WHERE Col2 IS NOT NULL ORDE"&amp;"R BY Col1 DESC LIMIT 20"", 0) - 1)))"),"#N/A")</f>
        <v>#N/A</v>
      </c>
      <c r="H94" s="35" t="str">
        <f t="shared" si="6"/>
        <v/>
      </c>
      <c r="I94" s="36" t="str">
        <f t="shared" si="7"/>
        <v/>
      </c>
      <c r="J94" s="37" t="str">
        <f>IFERROR(__xludf.DUMMYFUNCTION("IFERROR(
  IF(C94="""",, 
    IFERROR(
      GOOGLEFINANCE(C94, ""price"") * GOOGLEFINANCE(C94, ""volumeavg""), 
      GOOGLEFINANCE(C94, ""price"") * AVERAGE(QUERY(GOOGLEFINANCE(C94, ""volume"", TODAY()-40, TODAY()), ""SELECT Col2 WHERE Col2 IS NOT NULL "&amp;"ORDER BY Col1 DESC LIMIT 20"", 0))
    )
  ), 
"""")"),"")</f>
        <v/>
      </c>
      <c r="K94" s="21" t="str">
        <f>IFERROR(__xludf.DUMMYFUNCTION("IFERROR(GOOGLEFINANCE(C94, ""changepct"") / 100, """")"),"")</f>
        <v/>
      </c>
      <c r="L94" s="21" t="str">
        <f>IFERROR(__xludf.DUMMYFUNCTION("IFERROR((GOOGLEFINANCE(C94, ""price"") / INDEX(GOOGLEFINANCE(C94, ""price"", TODAY()-7, TODAY()), 2, 2)) - 1, """")"),"")</f>
        <v/>
      </c>
      <c r="M94" s="21" t="str">
        <f>IFERROR(__xludf.DUMMYFUNCTION("IFERROR((GOOGLEFINANCE(C94, ""price"") / INDEX(GOOGLEFINANCE(C94, ""price"", EDATE(TODAY(), -1), TODAY()), 2, 2)) - 1, """")"),"")</f>
        <v/>
      </c>
      <c r="N94" s="21" t="str">
        <f>IFERROR(__xludf.DUMMYFUNCTION("IFERROR((GOOGLEFINANCE(C94, ""price"") / INDEX(GOOGLEFINANCE(C94, ""price"", EDATE(TODAY(), -3), TODAY()), 2, 2)) - 1, """")"),"")</f>
        <v/>
      </c>
      <c r="O94" s="21" t="str">
        <f>IFERROR(__xludf.DUMMYFUNCTION("IFERROR((GOOGLEFINANCE(C94, ""price"") / INDEX(GOOGLEFINANCE(C94, ""price"", EDATE(TODAY(), -6), TODAY()), 2, 2)) - 1, """")"),"")</f>
        <v/>
      </c>
      <c r="P94" s="21" t="str">
        <f>IFERROR(__xludf.DUMMYFUNCTION("IFERROR((GOOGLEFINANCE(C94, ""price"") / INDEX(GOOGLEFINANCE(C94, ""price"", EDATE(TODAY(), -12), TODAY()), 2, 2)) - 1, """")"),"")</f>
        <v/>
      </c>
      <c r="Q94" s="6" t="str">
        <f>IFERROR(__xludf.DUMMYFUNCTION("AVERAGE(QUERY(GOOGLEFINANCE(C94, ""price"", TODAY()-80, TODAY()), ""SELECT Col2 WHERE Col2 IS NOT NULL ORDER BY Col1 DESC LIMIT 50"", 0))"),"#N/A")</f>
        <v>#N/A</v>
      </c>
      <c r="R94" s="24" t="str">
        <f>IFERROR(__xludf.DUMMYFUNCTION("IFERROR(
  LET(
    data, QUERY(GOOGLEFINANCE(C94,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GOOGLEFINANCE(C94, ""price"")) * 100,
    IF(calc=0, G94, calc)
  ), 
G94)"),"#N/A")</f>
        <v>#N/A</v>
      </c>
      <c r="S94" s="8" t="s">
        <v>15</v>
      </c>
      <c r="T94" s="26" t="str">
        <f>IFERROR(__xludf.DUMMYFUNCTION("IFERROR(TRANSPOSE(QUERY(IFERROR(SORT(GOOGLEFINANCE(C94, ""price"", WORKDAY(TODAY(), -40), TODAY()), 1, FALSE)), ""select Col2 where Col2 is not null limit 22 label Col2 ''"", 0)), """")"),"")</f>
        <v/>
      </c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8"/>
      <c r="AO94" s="28"/>
      <c r="AP94" s="29"/>
      <c r="AQ94" s="29" t="str">
        <f t="shared" ref="AQ94:BL94" si="97">T94/T$2</f>
        <v>#N/A</v>
      </c>
      <c r="AR94" s="29" t="str">
        <f t="shared" si="97"/>
        <v>#DIV/0!</v>
      </c>
      <c r="AS94" s="29" t="str">
        <f t="shared" si="97"/>
        <v>#DIV/0!</v>
      </c>
      <c r="AT94" s="29" t="str">
        <f t="shared" si="97"/>
        <v>#DIV/0!</v>
      </c>
      <c r="AU94" s="29" t="str">
        <f t="shared" si="97"/>
        <v>#DIV/0!</v>
      </c>
      <c r="AV94" s="29" t="str">
        <f t="shared" si="97"/>
        <v>#DIV/0!</v>
      </c>
      <c r="AW94" s="29" t="str">
        <f t="shared" si="97"/>
        <v>#DIV/0!</v>
      </c>
      <c r="AX94" s="29" t="str">
        <f t="shared" si="97"/>
        <v>#DIV/0!</v>
      </c>
      <c r="AY94" s="29" t="str">
        <f t="shared" si="97"/>
        <v>#DIV/0!</v>
      </c>
      <c r="AZ94" s="29" t="str">
        <f t="shared" si="97"/>
        <v>#DIV/0!</v>
      </c>
      <c r="BA94" s="29" t="str">
        <f t="shared" si="97"/>
        <v>#DIV/0!</v>
      </c>
      <c r="BB94" s="29" t="str">
        <f t="shared" si="97"/>
        <v>#DIV/0!</v>
      </c>
      <c r="BC94" s="29" t="str">
        <f t="shared" si="97"/>
        <v>#DIV/0!</v>
      </c>
      <c r="BD94" s="29" t="str">
        <f t="shared" si="97"/>
        <v>#DIV/0!</v>
      </c>
      <c r="BE94" s="29" t="str">
        <f t="shared" si="97"/>
        <v>#DIV/0!</v>
      </c>
      <c r="BF94" s="29" t="str">
        <f t="shared" si="97"/>
        <v>#DIV/0!</v>
      </c>
      <c r="BG94" s="29" t="str">
        <f t="shared" si="97"/>
        <v>#DIV/0!</v>
      </c>
      <c r="BH94" s="29" t="str">
        <f t="shared" si="97"/>
        <v>#DIV/0!</v>
      </c>
      <c r="BI94" s="29" t="str">
        <f t="shared" si="97"/>
        <v>#DIV/0!</v>
      </c>
      <c r="BJ94" s="29" t="str">
        <f t="shared" si="97"/>
        <v>#DIV/0!</v>
      </c>
      <c r="BK94" s="29" t="str">
        <f t="shared" si="97"/>
        <v>#DIV/0!</v>
      </c>
      <c r="BL94" s="29" t="str">
        <f t="shared" si="97"/>
        <v>#DIV/0!</v>
      </c>
      <c r="BM94" s="29" t="str">
        <f t="shared" si="3"/>
        <v>#DIV/0!</v>
      </c>
    </row>
    <row r="95">
      <c r="A95" s="16" t="str">
        <f>IFERROR(__xludf.DUMMYFUNCTION("IFERROR(SPARKLINE(SORT(MAP(TRANSPOSE(AQ95:BL95), LAMBDA(val, IF(ISNUMBER(val), PERCENTRANK(AQ95:BL95, val)+0.01, 0))), SEQUENCE(COLUMNS(AQ95:BL95)), FALSE), {""charttype"",""column""; ""color"",""chartreuse""; ""ymin"", 0; ""ymax"", 1.01; ""highcolor"", "&amp;"""darkgreen""; ""lowcolor"", ""red""}), """")"),"")</f>
        <v/>
      </c>
      <c r="B95" s="17" t="str">
        <f t="shared" si="4"/>
        <v/>
      </c>
      <c r="C95" s="1" t="s">
        <v>451</v>
      </c>
      <c r="D95" s="30" t="str">
        <f>IFERROR(__xludf.DUMMYFUNCTION("IFERROR(GOOGLEFINANCE(C95, ""NAME""))"),"nCino Inc")</f>
        <v>nCino Inc</v>
      </c>
      <c r="E95" s="30" t="s">
        <v>48</v>
      </c>
      <c r="F95" s="38" t="str">
        <f>IFERROR(__xludf.DUMMYFUNCTION("( (GOOGLEFINANCE(C95, ""price"") - Q95) / Q95 ) / (R95 / 100)"),"Loading...")</f>
        <v>Loading...</v>
      </c>
      <c r="G95" s="20" t="str">
        <f>IFERROR(__xludf.DUMMYFUNCTION("AVERAGE(ARRAYFORMULA(100 * (QUERY(GOOGLEFINANCE(C95, ""high"", TODAY()-40, TODAY()), ""SELECT Col2 WHERE Col2 IS NOT NULL ORDER BY Col1 DESC LIMIT 20"", 0) / QUERY(GOOGLEFINANCE(C95, ""low"", TODAY()-40, TODAY()), ""SELECT Col2 WHERE Col2 IS NOT NULL ORDE"&amp;"R BY Col1 DESC LIMIT 20"", 0) - 1)))"),"#N/A")</f>
        <v>#N/A</v>
      </c>
      <c r="H95" s="35" t="str">
        <f t="shared" si="6"/>
        <v/>
      </c>
      <c r="I95" s="36" t="str">
        <f t="shared" si="7"/>
        <v/>
      </c>
      <c r="J95" s="37" t="str">
        <f>IFERROR(__xludf.DUMMYFUNCTION("IFERROR(
  IF(C95="""",, 
    IFERROR(
      GOOGLEFINANCE(C95, ""price"") * GOOGLEFINANCE(C95, ""volumeavg""), 
      GOOGLEFINANCE(C95, ""price"") * AVERAGE(QUERY(GOOGLEFINANCE(C95, ""volume"", TODAY()-40, TODAY()), ""SELECT Col2 WHERE Col2 IS NOT NULL "&amp;"ORDER BY Col1 DESC LIMIT 20"", 0))
    )
  ), 
"""")"),"")</f>
        <v/>
      </c>
      <c r="K95" s="21" t="str">
        <f>IFERROR(__xludf.DUMMYFUNCTION("IFERROR(GOOGLEFINANCE(C95, ""changepct"") / 100, """")"),"")</f>
        <v/>
      </c>
      <c r="L95" s="21" t="str">
        <f>IFERROR(__xludf.DUMMYFUNCTION("IFERROR((GOOGLEFINANCE(C95, ""price"") / INDEX(GOOGLEFINANCE(C95, ""price"", TODAY()-7, TODAY()), 2, 2)) - 1, """")"),"")</f>
        <v/>
      </c>
      <c r="M95" s="21" t="str">
        <f>IFERROR(__xludf.DUMMYFUNCTION("IFERROR((GOOGLEFINANCE(C95, ""price"") / INDEX(GOOGLEFINANCE(C95, ""price"", EDATE(TODAY(), -1), TODAY()), 2, 2)) - 1, """")"),"")</f>
        <v/>
      </c>
      <c r="N95" s="21" t="str">
        <f>IFERROR(__xludf.DUMMYFUNCTION("IFERROR((GOOGLEFINANCE(C95, ""price"") / INDEX(GOOGLEFINANCE(C95, ""price"", EDATE(TODAY(), -3), TODAY()), 2, 2)) - 1, """")"),"")</f>
        <v/>
      </c>
      <c r="O95" s="21" t="str">
        <f>IFERROR(__xludf.DUMMYFUNCTION("IFERROR((GOOGLEFINANCE(C95, ""price"") / INDEX(GOOGLEFINANCE(C95, ""price"", EDATE(TODAY(), -6), TODAY()), 2, 2)) - 1, """")"),"")</f>
        <v/>
      </c>
      <c r="P95" s="21" t="str">
        <f>IFERROR(__xludf.DUMMYFUNCTION("IFERROR((GOOGLEFINANCE(C95, ""price"") / INDEX(GOOGLEFINANCE(C95, ""price"", EDATE(TODAY(), -12), TODAY()), 2, 2)) - 1, """")"),"")</f>
        <v/>
      </c>
      <c r="Q95" s="6" t="str">
        <f>IFERROR(__xludf.DUMMYFUNCTION("AVERAGE(QUERY(GOOGLEFINANCE(C95, ""price"", TODAY()-80, TODAY()), ""SELECT Col2 WHERE Col2 IS NOT NULL ORDER BY Col1 DESC LIMIT 50"", 0))"),"#N/A")</f>
        <v>#N/A</v>
      </c>
      <c r="R95" s="24" t="str">
        <f>IFERROR(__xludf.DUMMYFUNCTION("IFERROR(
  LET(
    data, QUERY(GOOGLEFINANCE(C95,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GOOGLEFINANCE(C95, ""price"")) * 100,
    IF(calc=0, G95, calc)
  ), 
G95)"),"#N/A")</f>
        <v>#N/A</v>
      </c>
      <c r="S95" s="8" t="s">
        <v>15</v>
      </c>
      <c r="T95" s="26" t="str">
        <f>IFERROR(__xludf.DUMMYFUNCTION("IFERROR(TRANSPOSE(QUERY(IFERROR(SORT(GOOGLEFINANCE(C95, ""price"", WORKDAY(TODAY(), -40), TODAY()), 1, FALSE)), ""select Col2 where Col2 is not null limit 22 label Col2 ''"", 0)), """")"),"")</f>
        <v/>
      </c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8"/>
      <c r="AO95" s="28"/>
      <c r="AP95" s="29"/>
      <c r="AQ95" s="29" t="str">
        <f t="shared" ref="AQ95:BL95" si="98">T95/T$2</f>
        <v>#N/A</v>
      </c>
      <c r="AR95" s="29" t="str">
        <f t="shared" si="98"/>
        <v>#DIV/0!</v>
      </c>
      <c r="AS95" s="29" t="str">
        <f t="shared" si="98"/>
        <v>#DIV/0!</v>
      </c>
      <c r="AT95" s="29" t="str">
        <f t="shared" si="98"/>
        <v>#DIV/0!</v>
      </c>
      <c r="AU95" s="29" t="str">
        <f t="shared" si="98"/>
        <v>#DIV/0!</v>
      </c>
      <c r="AV95" s="29" t="str">
        <f t="shared" si="98"/>
        <v>#DIV/0!</v>
      </c>
      <c r="AW95" s="29" t="str">
        <f t="shared" si="98"/>
        <v>#DIV/0!</v>
      </c>
      <c r="AX95" s="29" t="str">
        <f t="shared" si="98"/>
        <v>#DIV/0!</v>
      </c>
      <c r="AY95" s="29" t="str">
        <f t="shared" si="98"/>
        <v>#DIV/0!</v>
      </c>
      <c r="AZ95" s="29" t="str">
        <f t="shared" si="98"/>
        <v>#DIV/0!</v>
      </c>
      <c r="BA95" s="29" t="str">
        <f t="shared" si="98"/>
        <v>#DIV/0!</v>
      </c>
      <c r="BB95" s="29" t="str">
        <f t="shared" si="98"/>
        <v>#DIV/0!</v>
      </c>
      <c r="BC95" s="29" t="str">
        <f t="shared" si="98"/>
        <v>#DIV/0!</v>
      </c>
      <c r="BD95" s="29" t="str">
        <f t="shared" si="98"/>
        <v>#DIV/0!</v>
      </c>
      <c r="BE95" s="29" t="str">
        <f t="shared" si="98"/>
        <v>#DIV/0!</v>
      </c>
      <c r="BF95" s="29" t="str">
        <f t="shared" si="98"/>
        <v>#DIV/0!</v>
      </c>
      <c r="BG95" s="29" t="str">
        <f t="shared" si="98"/>
        <v>#DIV/0!</v>
      </c>
      <c r="BH95" s="29" t="str">
        <f t="shared" si="98"/>
        <v>#DIV/0!</v>
      </c>
      <c r="BI95" s="29" t="str">
        <f t="shared" si="98"/>
        <v>#DIV/0!</v>
      </c>
      <c r="BJ95" s="29" t="str">
        <f t="shared" si="98"/>
        <v>#DIV/0!</v>
      </c>
      <c r="BK95" s="29" t="str">
        <f t="shared" si="98"/>
        <v>#DIV/0!</v>
      </c>
      <c r="BL95" s="29" t="str">
        <f t="shared" si="98"/>
        <v>#DIV/0!</v>
      </c>
      <c r="BM95" s="29" t="str">
        <f t="shared" si="3"/>
        <v>#DIV/0!</v>
      </c>
    </row>
    <row r="96">
      <c r="A96" s="16" t="str">
        <f>IFERROR(__xludf.DUMMYFUNCTION("IFERROR(SPARKLINE(SORT(MAP(TRANSPOSE(AQ96:BL96), LAMBDA(val, IF(ISNUMBER(val), PERCENTRANK(AQ96:BL96, val)+0.01, 0))), SEQUENCE(COLUMNS(AQ96:BL96)), FALSE), {""charttype"",""column""; ""color"",""chartreuse""; ""ymin"", 0; ""ymax"", 1.01; ""highcolor"", "&amp;"""darkgreen""; ""lowcolor"", ""red""}), """")"),"")</f>
        <v/>
      </c>
      <c r="B96" s="17" t="str">
        <f t="shared" si="4"/>
        <v/>
      </c>
      <c r="C96" s="1" t="s">
        <v>457</v>
      </c>
      <c r="D96" s="30" t="str">
        <f>IFERROR(__xludf.DUMMYFUNCTION("IFERROR(GOOGLEFINANCE(C96, ""NAME""))"),"Appian Corp")</f>
        <v>Appian Corp</v>
      </c>
      <c r="E96" s="30" t="s">
        <v>58</v>
      </c>
      <c r="F96" s="38" t="str">
        <f>IFERROR(__xludf.DUMMYFUNCTION("( (GOOGLEFINANCE(C96, ""price"") - Q96) / Q96 ) / (R96 / 100)"),"Loading...")</f>
        <v>Loading...</v>
      </c>
      <c r="G96" s="20" t="str">
        <f>IFERROR(__xludf.DUMMYFUNCTION("AVERAGE(ARRAYFORMULA(100 * (QUERY(GOOGLEFINANCE(C96, ""high"", TODAY()-40, TODAY()), ""SELECT Col2 WHERE Col2 IS NOT NULL ORDER BY Col1 DESC LIMIT 20"", 0) / QUERY(GOOGLEFINANCE(C96, ""low"", TODAY()-40, TODAY()), ""SELECT Col2 WHERE Col2 IS NOT NULL ORDE"&amp;"R BY Col1 DESC LIMIT 20"", 0) - 1)))"),"#N/A")</f>
        <v>#N/A</v>
      </c>
      <c r="H96" s="35" t="str">
        <f t="shared" si="6"/>
        <v/>
      </c>
      <c r="I96" s="36" t="str">
        <f t="shared" si="7"/>
        <v/>
      </c>
      <c r="J96" s="37" t="str">
        <f>IFERROR(__xludf.DUMMYFUNCTION("IFERROR(
  IF(C96="""",, 
    IFERROR(
      GOOGLEFINANCE(C96, ""price"") * GOOGLEFINANCE(C96, ""volumeavg""), 
      GOOGLEFINANCE(C96, ""price"") * AVERAGE(QUERY(GOOGLEFINANCE(C96, ""volume"", TODAY()-40, TODAY()), ""SELECT Col2 WHERE Col2 IS NOT NULL "&amp;"ORDER BY Col1 DESC LIMIT 20"", 0))
    )
  ), 
"""")"),"")</f>
        <v/>
      </c>
      <c r="K96" s="21" t="str">
        <f>IFERROR(__xludf.DUMMYFUNCTION("IFERROR(GOOGLEFINANCE(C96, ""changepct"") / 100, """")"),"")</f>
        <v/>
      </c>
      <c r="L96" s="21" t="str">
        <f>IFERROR(__xludf.DUMMYFUNCTION("IFERROR((GOOGLEFINANCE(C96, ""price"") / INDEX(GOOGLEFINANCE(C96, ""price"", TODAY()-7, TODAY()), 2, 2)) - 1, """")"),"")</f>
        <v/>
      </c>
      <c r="M96" s="21" t="str">
        <f>IFERROR(__xludf.DUMMYFUNCTION("IFERROR((GOOGLEFINANCE(C96, ""price"") / INDEX(GOOGLEFINANCE(C96, ""price"", EDATE(TODAY(), -1), TODAY()), 2, 2)) - 1, """")"),"")</f>
        <v/>
      </c>
      <c r="N96" s="21" t="str">
        <f>IFERROR(__xludf.DUMMYFUNCTION("IFERROR((GOOGLEFINANCE(C96, ""price"") / INDEX(GOOGLEFINANCE(C96, ""price"", EDATE(TODAY(), -3), TODAY()), 2, 2)) - 1, """")"),"")</f>
        <v/>
      </c>
      <c r="O96" s="21" t="str">
        <f>IFERROR(__xludf.DUMMYFUNCTION("IFERROR((GOOGLEFINANCE(C96, ""price"") / INDEX(GOOGLEFINANCE(C96, ""price"", EDATE(TODAY(), -6), TODAY()), 2, 2)) - 1, """")"),"")</f>
        <v/>
      </c>
      <c r="P96" s="21" t="str">
        <f>IFERROR(__xludf.DUMMYFUNCTION("IFERROR((GOOGLEFINANCE(C96, ""price"") / INDEX(GOOGLEFINANCE(C96, ""price"", EDATE(TODAY(), -12), TODAY()), 2, 2)) - 1, """")"),"")</f>
        <v/>
      </c>
      <c r="Q96" s="6" t="str">
        <f>IFERROR(__xludf.DUMMYFUNCTION("AVERAGE(QUERY(GOOGLEFINANCE(C96, ""price"", TODAY()-80, TODAY()), ""SELECT Col2 WHERE Col2 IS NOT NULL ORDER BY Col1 DESC LIMIT 50"", 0))"),"#N/A")</f>
        <v>#N/A</v>
      </c>
      <c r="R96" s="24" t="str">
        <f>IFERROR(__xludf.DUMMYFUNCTION("IFERROR(
  LET(
    data, QUERY(GOOGLEFINANCE(C96,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GOOGLEFINANCE(C96, ""price"")) * 100,
    IF(calc=0, G96, calc)
  ), 
G96)"),"#N/A")</f>
        <v>#N/A</v>
      </c>
      <c r="S96" s="8" t="s">
        <v>15</v>
      </c>
      <c r="T96" s="26" t="str">
        <f>IFERROR(__xludf.DUMMYFUNCTION("IFERROR(TRANSPOSE(QUERY(IFERROR(SORT(GOOGLEFINANCE(C96, ""price"", WORKDAY(TODAY(), -40), TODAY()), 1, FALSE)), ""select Col2 where Col2 is not null limit 22 label Col2 ''"", 0)), """")"),"")</f>
        <v/>
      </c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8"/>
      <c r="AO96" s="28"/>
      <c r="AP96" s="29"/>
      <c r="AQ96" s="29" t="str">
        <f t="shared" ref="AQ96:BL96" si="99">T96/T$2</f>
        <v>#N/A</v>
      </c>
      <c r="AR96" s="29" t="str">
        <f t="shared" si="99"/>
        <v>#DIV/0!</v>
      </c>
      <c r="AS96" s="29" t="str">
        <f t="shared" si="99"/>
        <v>#DIV/0!</v>
      </c>
      <c r="AT96" s="29" t="str">
        <f t="shared" si="99"/>
        <v>#DIV/0!</v>
      </c>
      <c r="AU96" s="29" t="str">
        <f t="shared" si="99"/>
        <v>#DIV/0!</v>
      </c>
      <c r="AV96" s="29" t="str">
        <f t="shared" si="99"/>
        <v>#DIV/0!</v>
      </c>
      <c r="AW96" s="29" t="str">
        <f t="shared" si="99"/>
        <v>#DIV/0!</v>
      </c>
      <c r="AX96" s="29" t="str">
        <f t="shared" si="99"/>
        <v>#DIV/0!</v>
      </c>
      <c r="AY96" s="29" t="str">
        <f t="shared" si="99"/>
        <v>#DIV/0!</v>
      </c>
      <c r="AZ96" s="29" t="str">
        <f t="shared" si="99"/>
        <v>#DIV/0!</v>
      </c>
      <c r="BA96" s="29" t="str">
        <f t="shared" si="99"/>
        <v>#DIV/0!</v>
      </c>
      <c r="BB96" s="29" t="str">
        <f t="shared" si="99"/>
        <v>#DIV/0!</v>
      </c>
      <c r="BC96" s="29" t="str">
        <f t="shared" si="99"/>
        <v>#DIV/0!</v>
      </c>
      <c r="BD96" s="29" t="str">
        <f t="shared" si="99"/>
        <v>#DIV/0!</v>
      </c>
      <c r="BE96" s="29" t="str">
        <f t="shared" si="99"/>
        <v>#DIV/0!</v>
      </c>
      <c r="BF96" s="29" t="str">
        <f t="shared" si="99"/>
        <v>#DIV/0!</v>
      </c>
      <c r="BG96" s="29" t="str">
        <f t="shared" si="99"/>
        <v>#DIV/0!</v>
      </c>
      <c r="BH96" s="29" t="str">
        <f t="shared" si="99"/>
        <v>#DIV/0!</v>
      </c>
      <c r="BI96" s="29" t="str">
        <f t="shared" si="99"/>
        <v>#DIV/0!</v>
      </c>
      <c r="BJ96" s="29" t="str">
        <f t="shared" si="99"/>
        <v>#DIV/0!</v>
      </c>
      <c r="BK96" s="29" t="str">
        <f t="shared" si="99"/>
        <v>#DIV/0!</v>
      </c>
      <c r="BL96" s="29" t="str">
        <f t="shared" si="99"/>
        <v>#DIV/0!</v>
      </c>
      <c r="BM96" s="29" t="str">
        <f t="shared" si="3"/>
        <v>#DIV/0!</v>
      </c>
    </row>
    <row r="97">
      <c r="A97" s="16" t="str">
        <f>IFERROR(__xludf.DUMMYFUNCTION("IFERROR(SPARKLINE(SORT(MAP(TRANSPOSE(AQ97:BL97), LAMBDA(val, IF(ISNUMBER(val), PERCENTRANK(AQ97:BL97, val)+0.01, 0))), SEQUENCE(COLUMNS(AQ97:BL97)), FALSE), {""charttype"",""column""; ""color"",""chartreuse""; ""ymin"", 0; ""ymax"", 1.01; ""highcolor"", "&amp;"""darkgreen""; ""lowcolor"", ""red""}), """")"),"")</f>
        <v/>
      </c>
      <c r="B97" s="17" t="str">
        <f t="shared" si="4"/>
        <v/>
      </c>
      <c r="C97" s="1" t="s">
        <v>461</v>
      </c>
      <c r="D97" s="30" t="str">
        <f>IFERROR(__xludf.DUMMYFUNCTION("IFERROR(GOOGLEFINANCE(C97, ""NAME""))"),"Paysafe Ltd")</f>
        <v>Paysafe Ltd</v>
      </c>
      <c r="E97" s="30" t="s">
        <v>58</v>
      </c>
      <c r="F97" s="33" t="str">
        <f>IFERROR(__xludf.DUMMYFUNCTION("( (GOOGLEFINANCE(C97, ""price"") - Q97) / Q97 ) / (R97 / 100)"),"Loading...")</f>
        <v>Loading...</v>
      </c>
      <c r="G97" s="20" t="str">
        <f>IFERROR(__xludf.DUMMYFUNCTION("AVERAGE(ARRAYFORMULA(100 * (QUERY(GOOGLEFINANCE(C97, ""high"", TODAY()-40, TODAY()), ""SELECT Col2 WHERE Col2 IS NOT NULL ORDER BY Col1 DESC LIMIT 20"", 0) / QUERY(GOOGLEFINANCE(C97, ""low"", TODAY()-40, TODAY()), ""SELECT Col2 WHERE Col2 IS NOT NULL ORDE"&amp;"R BY Col1 DESC LIMIT 20"", 0) - 1)))"),"#N/A")</f>
        <v>#N/A</v>
      </c>
      <c r="H97" s="35" t="str">
        <f t="shared" si="6"/>
        <v/>
      </c>
      <c r="I97" s="36" t="str">
        <f t="shared" si="7"/>
        <v/>
      </c>
      <c r="J97" s="37" t="str">
        <f>IFERROR(__xludf.DUMMYFUNCTION("IFERROR(
  IF(C97="""",, 
    IFERROR(
      GOOGLEFINANCE(C97, ""price"") * GOOGLEFINANCE(C97, ""volumeavg""), 
      GOOGLEFINANCE(C97, ""price"") * AVERAGE(QUERY(GOOGLEFINANCE(C97, ""volume"", TODAY()-40, TODAY()), ""SELECT Col2 WHERE Col2 IS NOT NULL "&amp;"ORDER BY Col1 DESC LIMIT 20"", 0))
    )
  ), 
"""")"),"")</f>
        <v/>
      </c>
      <c r="K97" s="21" t="str">
        <f>IFERROR(__xludf.DUMMYFUNCTION("IFERROR(GOOGLEFINANCE(C97, ""changepct"") / 100, """")"),"")</f>
        <v/>
      </c>
      <c r="L97" s="21" t="str">
        <f>IFERROR(__xludf.DUMMYFUNCTION("IFERROR((GOOGLEFINANCE(C97, ""price"") / INDEX(GOOGLEFINANCE(C97, ""price"", TODAY()-7, TODAY()), 2, 2)) - 1, """")"),"")</f>
        <v/>
      </c>
      <c r="M97" s="21" t="str">
        <f>IFERROR(__xludf.DUMMYFUNCTION("IFERROR((GOOGLEFINANCE(C97, ""price"") / INDEX(GOOGLEFINANCE(C97, ""price"", EDATE(TODAY(), -1), TODAY()), 2, 2)) - 1, """")"),"")</f>
        <v/>
      </c>
      <c r="N97" s="21" t="str">
        <f>IFERROR(__xludf.DUMMYFUNCTION("IFERROR((GOOGLEFINANCE(C97, ""price"") / INDEX(GOOGLEFINANCE(C97, ""price"", EDATE(TODAY(), -3), TODAY()), 2, 2)) - 1, """")"),"")</f>
        <v/>
      </c>
      <c r="O97" s="21" t="str">
        <f>IFERROR(__xludf.DUMMYFUNCTION("IFERROR((GOOGLEFINANCE(C97, ""price"") / INDEX(GOOGLEFINANCE(C97, ""price"", EDATE(TODAY(), -6), TODAY()), 2, 2)) - 1, """")"),"")</f>
        <v/>
      </c>
      <c r="P97" s="21" t="str">
        <f>IFERROR(__xludf.DUMMYFUNCTION("IFERROR((GOOGLEFINANCE(C97, ""price"") / INDEX(GOOGLEFINANCE(C97, ""price"", EDATE(TODAY(), -12), TODAY()), 2, 2)) - 1, """")"),"")</f>
        <v/>
      </c>
      <c r="Q97" s="6" t="str">
        <f>IFERROR(__xludf.DUMMYFUNCTION("AVERAGE(QUERY(GOOGLEFINANCE(C97, ""price"", TODAY()-80, TODAY()), ""SELECT Col2 WHERE Col2 IS NOT NULL ORDER BY Col1 DESC LIMIT 50"", 0))"),"#N/A")</f>
        <v>#N/A</v>
      </c>
      <c r="R97" s="24" t="str">
        <f>IFERROR(__xludf.DUMMYFUNCTION("IFERROR(
  LET(
    data, QUERY(GOOGLEFINANCE(C97,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GOOGLEFINANCE(C97, ""price"")) * 100,
    IF(calc=0, G97, calc)
  ), 
G97)"),"#N/A")</f>
        <v>#N/A</v>
      </c>
      <c r="S97" s="8" t="s">
        <v>15</v>
      </c>
      <c r="T97" s="26" t="str">
        <f>IFERROR(__xludf.DUMMYFUNCTION("IFERROR(TRANSPOSE(QUERY(IFERROR(SORT(GOOGLEFINANCE(C97, ""price"", WORKDAY(TODAY(), -40), TODAY()), 1, FALSE)), ""select Col2 where Col2 is not null limit 22 label Col2 ''"", 0)), """")"),"")</f>
        <v/>
      </c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8"/>
      <c r="AO97" s="28"/>
      <c r="AP97" s="29"/>
      <c r="AQ97" s="29" t="str">
        <f t="shared" ref="AQ97:BL97" si="100">T97/T$2</f>
        <v>#N/A</v>
      </c>
      <c r="AR97" s="29" t="str">
        <f t="shared" si="100"/>
        <v>#DIV/0!</v>
      </c>
      <c r="AS97" s="29" t="str">
        <f t="shared" si="100"/>
        <v>#DIV/0!</v>
      </c>
      <c r="AT97" s="29" t="str">
        <f t="shared" si="100"/>
        <v>#DIV/0!</v>
      </c>
      <c r="AU97" s="29" t="str">
        <f t="shared" si="100"/>
        <v>#DIV/0!</v>
      </c>
      <c r="AV97" s="29" t="str">
        <f t="shared" si="100"/>
        <v>#DIV/0!</v>
      </c>
      <c r="AW97" s="29" t="str">
        <f t="shared" si="100"/>
        <v>#DIV/0!</v>
      </c>
      <c r="AX97" s="29" t="str">
        <f t="shared" si="100"/>
        <v>#DIV/0!</v>
      </c>
      <c r="AY97" s="29" t="str">
        <f t="shared" si="100"/>
        <v>#DIV/0!</v>
      </c>
      <c r="AZ97" s="29" t="str">
        <f t="shared" si="100"/>
        <v>#DIV/0!</v>
      </c>
      <c r="BA97" s="29" t="str">
        <f t="shared" si="100"/>
        <v>#DIV/0!</v>
      </c>
      <c r="BB97" s="29" t="str">
        <f t="shared" si="100"/>
        <v>#DIV/0!</v>
      </c>
      <c r="BC97" s="29" t="str">
        <f t="shared" si="100"/>
        <v>#DIV/0!</v>
      </c>
      <c r="BD97" s="29" t="str">
        <f t="shared" si="100"/>
        <v>#DIV/0!</v>
      </c>
      <c r="BE97" s="29" t="str">
        <f t="shared" si="100"/>
        <v>#DIV/0!</v>
      </c>
      <c r="BF97" s="29" t="str">
        <f t="shared" si="100"/>
        <v>#DIV/0!</v>
      </c>
      <c r="BG97" s="29" t="str">
        <f t="shared" si="100"/>
        <v>#DIV/0!</v>
      </c>
      <c r="BH97" s="29" t="str">
        <f t="shared" si="100"/>
        <v>#DIV/0!</v>
      </c>
      <c r="BI97" s="29" t="str">
        <f t="shared" si="100"/>
        <v>#DIV/0!</v>
      </c>
      <c r="BJ97" s="29" t="str">
        <f t="shared" si="100"/>
        <v>#DIV/0!</v>
      </c>
      <c r="BK97" s="29" t="str">
        <f t="shared" si="100"/>
        <v>#DIV/0!</v>
      </c>
      <c r="BL97" s="29" t="str">
        <f t="shared" si="100"/>
        <v>#DIV/0!</v>
      </c>
      <c r="BM97" s="29" t="str">
        <f t="shared" si="3"/>
        <v>#DIV/0!</v>
      </c>
    </row>
    <row r="98">
      <c r="A98" s="16" t="str">
        <f>IFERROR(__xludf.DUMMYFUNCTION("IFERROR(SPARKLINE(SORT(MAP(TRANSPOSE(AQ98:BL98), LAMBDA(val, IF(ISNUMBER(val), PERCENTRANK(AQ98:BL98, val)+0.01, 0))), SEQUENCE(COLUMNS(AQ98:BL98)), FALSE), {""charttype"",""column""; ""color"",""chartreuse""; ""ymin"", 0; ""ymax"", 1.01; ""highcolor"", "&amp;"""darkgreen""; ""lowcolor"", ""red""}), """")"),"")</f>
        <v/>
      </c>
      <c r="B98" s="17" t="str">
        <f t="shared" si="4"/>
        <v/>
      </c>
      <c r="C98" s="1" t="s">
        <v>464</v>
      </c>
      <c r="D98" s="30" t="str">
        <f>IFERROR(__xludf.DUMMYFUNCTION("IFERROR(GOOGLEFINANCE(C98, ""NAME""))"),"Varonis Systems Inc")</f>
        <v>Varonis Systems Inc</v>
      </c>
      <c r="E98" s="30" t="s">
        <v>58</v>
      </c>
      <c r="F98" s="33" t="str">
        <f>IFERROR(__xludf.DUMMYFUNCTION("( (GOOGLEFINANCE(C98, ""price"") - Q98) / Q98 ) / (R98 / 100)"),"Loading...")</f>
        <v>Loading...</v>
      </c>
      <c r="G98" s="20" t="str">
        <f>IFERROR(__xludf.DUMMYFUNCTION("AVERAGE(ARRAYFORMULA(100 * (QUERY(GOOGLEFINANCE(C98, ""high"", TODAY()-40, TODAY()), ""SELECT Col2 WHERE Col2 IS NOT NULL ORDER BY Col1 DESC LIMIT 20"", 0) / QUERY(GOOGLEFINANCE(C98, ""low"", TODAY()-40, TODAY()), ""SELECT Col2 WHERE Col2 IS NOT NULL ORDE"&amp;"R BY Col1 DESC LIMIT 20"", 0) - 1)))"),"#N/A")</f>
        <v>#N/A</v>
      </c>
      <c r="H98" s="35" t="str">
        <f t="shared" si="6"/>
        <v/>
      </c>
      <c r="I98" s="36" t="str">
        <f t="shared" si="7"/>
        <v/>
      </c>
      <c r="J98" s="37" t="str">
        <f>IFERROR(__xludf.DUMMYFUNCTION("IFERROR(
  IF(C98="""",, 
    IFERROR(
      GOOGLEFINANCE(C98, ""price"") * GOOGLEFINANCE(C98, ""volumeavg""), 
      GOOGLEFINANCE(C98, ""price"") * AVERAGE(QUERY(GOOGLEFINANCE(C98, ""volume"", TODAY()-40, TODAY()), ""SELECT Col2 WHERE Col2 IS NOT NULL "&amp;"ORDER BY Col1 DESC LIMIT 20"", 0))
    )
  ), 
"""")"),"")</f>
        <v/>
      </c>
      <c r="K98" s="21" t="str">
        <f>IFERROR(__xludf.DUMMYFUNCTION("IFERROR(GOOGLEFINANCE(C98, ""changepct"") / 100, """")"),"")</f>
        <v/>
      </c>
      <c r="L98" s="21" t="str">
        <f>IFERROR(__xludf.DUMMYFUNCTION("IFERROR((GOOGLEFINANCE(C98, ""price"") / INDEX(GOOGLEFINANCE(C98, ""price"", TODAY()-7, TODAY()), 2, 2)) - 1, """")"),"")</f>
        <v/>
      </c>
      <c r="M98" s="21" t="str">
        <f>IFERROR(__xludf.DUMMYFUNCTION("IFERROR((GOOGLEFINANCE(C98, ""price"") / INDEX(GOOGLEFINANCE(C98, ""price"", EDATE(TODAY(), -1), TODAY()), 2, 2)) - 1, """")"),"")</f>
        <v/>
      </c>
      <c r="N98" s="21" t="str">
        <f>IFERROR(__xludf.DUMMYFUNCTION("IFERROR((GOOGLEFINANCE(C98, ""price"") / INDEX(GOOGLEFINANCE(C98, ""price"", EDATE(TODAY(), -3), TODAY()), 2, 2)) - 1, """")"),"")</f>
        <v/>
      </c>
      <c r="O98" s="21" t="str">
        <f>IFERROR(__xludf.DUMMYFUNCTION("IFERROR((GOOGLEFINANCE(C98, ""price"") / INDEX(GOOGLEFINANCE(C98, ""price"", EDATE(TODAY(), -6), TODAY()), 2, 2)) - 1, """")"),"")</f>
        <v/>
      </c>
      <c r="P98" s="21" t="str">
        <f>IFERROR(__xludf.DUMMYFUNCTION("IFERROR((GOOGLEFINANCE(C98, ""price"") / INDEX(GOOGLEFINANCE(C98, ""price"", EDATE(TODAY(), -12), TODAY()), 2, 2)) - 1, """")"),"")</f>
        <v/>
      </c>
      <c r="Q98" s="6" t="str">
        <f>IFERROR(__xludf.DUMMYFUNCTION("AVERAGE(QUERY(GOOGLEFINANCE(C98, ""price"", TODAY()-80, TODAY()), ""SELECT Col2 WHERE Col2 IS NOT NULL ORDER BY Col1 DESC LIMIT 50"", 0))"),"#N/A")</f>
        <v>#N/A</v>
      </c>
      <c r="R98" s="24" t="str">
        <f>IFERROR(__xludf.DUMMYFUNCTION("IFERROR(
  LET(
    data, QUERY(GOOGLEFINANCE(C98,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GOOGLEFINANCE(C98, ""price"")) * 100,
    IF(calc=0, G98, calc)
  ), 
G98)"),"#N/A")</f>
        <v>#N/A</v>
      </c>
      <c r="S98" s="8" t="s">
        <v>15</v>
      </c>
      <c r="T98" s="26" t="str">
        <f>IFERROR(__xludf.DUMMYFUNCTION("IFERROR(TRANSPOSE(QUERY(IFERROR(SORT(GOOGLEFINANCE(C98, ""price"", WORKDAY(TODAY(), -40), TODAY()), 1, FALSE)), ""select Col2 where Col2 is not null limit 22 label Col2 ''"", 0)), """")"),"")</f>
        <v/>
      </c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8"/>
      <c r="AO98" s="28"/>
      <c r="AP98" s="29"/>
      <c r="AQ98" s="29" t="str">
        <f t="shared" ref="AQ98:BL98" si="101">T98/T$2</f>
        <v>#N/A</v>
      </c>
      <c r="AR98" s="29" t="str">
        <f t="shared" si="101"/>
        <v>#DIV/0!</v>
      </c>
      <c r="AS98" s="29" t="str">
        <f t="shared" si="101"/>
        <v>#DIV/0!</v>
      </c>
      <c r="AT98" s="29" t="str">
        <f t="shared" si="101"/>
        <v>#DIV/0!</v>
      </c>
      <c r="AU98" s="29" t="str">
        <f t="shared" si="101"/>
        <v>#DIV/0!</v>
      </c>
      <c r="AV98" s="29" t="str">
        <f t="shared" si="101"/>
        <v>#DIV/0!</v>
      </c>
      <c r="AW98" s="29" t="str">
        <f t="shared" si="101"/>
        <v>#DIV/0!</v>
      </c>
      <c r="AX98" s="29" t="str">
        <f t="shared" si="101"/>
        <v>#DIV/0!</v>
      </c>
      <c r="AY98" s="29" t="str">
        <f t="shared" si="101"/>
        <v>#DIV/0!</v>
      </c>
      <c r="AZ98" s="29" t="str">
        <f t="shared" si="101"/>
        <v>#DIV/0!</v>
      </c>
      <c r="BA98" s="29" t="str">
        <f t="shared" si="101"/>
        <v>#DIV/0!</v>
      </c>
      <c r="BB98" s="29" t="str">
        <f t="shared" si="101"/>
        <v>#DIV/0!</v>
      </c>
      <c r="BC98" s="29" t="str">
        <f t="shared" si="101"/>
        <v>#DIV/0!</v>
      </c>
      <c r="BD98" s="29" t="str">
        <f t="shared" si="101"/>
        <v>#DIV/0!</v>
      </c>
      <c r="BE98" s="29" t="str">
        <f t="shared" si="101"/>
        <v>#DIV/0!</v>
      </c>
      <c r="BF98" s="29" t="str">
        <f t="shared" si="101"/>
        <v>#DIV/0!</v>
      </c>
      <c r="BG98" s="29" t="str">
        <f t="shared" si="101"/>
        <v>#DIV/0!</v>
      </c>
      <c r="BH98" s="29" t="str">
        <f t="shared" si="101"/>
        <v>#DIV/0!</v>
      </c>
      <c r="BI98" s="29" t="str">
        <f t="shared" si="101"/>
        <v>#DIV/0!</v>
      </c>
      <c r="BJ98" s="29" t="str">
        <f t="shared" si="101"/>
        <v>#DIV/0!</v>
      </c>
      <c r="BK98" s="29" t="str">
        <f t="shared" si="101"/>
        <v>#DIV/0!</v>
      </c>
      <c r="BL98" s="29" t="str">
        <f t="shared" si="101"/>
        <v>#DIV/0!</v>
      </c>
      <c r="BM98" s="29" t="str">
        <f t="shared" si="3"/>
        <v>#DIV/0!</v>
      </c>
    </row>
    <row r="99">
      <c r="A99" s="16" t="str">
        <f>IFERROR(__xludf.DUMMYFUNCTION("IFERROR(SPARKLINE(SORT(MAP(TRANSPOSE(AQ99:BL99), LAMBDA(val, IF(ISNUMBER(val), PERCENTRANK(AQ99:BL99, val)+0.01, 0))), SEQUENCE(COLUMNS(AQ99:BL99)), FALSE), {""charttype"",""column""; ""color"",""chartreuse""; ""ymin"", 0; ""ymax"", 1.01; ""highcolor"", "&amp;"""darkgreen""; ""lowcolor"", ""red""}), """")"),"")</f>
        <v/>
      </c>
      <c r="B99" s="17" t="str">
        <f t="shared" si="4"/>
        <v/>
      </c>
      <c r="C99" s="1" t="s">
        <v>468</v>
      </c>
      <c r="D99" s="30" t="str">
        <f>IFERROR(__xludf.DUMMYFUNCTION("IFERROR(GOOGLEFINANCE(C99, ""NAME""))"),"Universal Display Corp")</f>
        <v>Universal Display Corp</v>
      </c>
      <c r="E99" s="30" t="s">
        <v>469</v>
      </c>
      <c r="F99" s="33" t="str">
        <f>IFERROR(__xludf.DUMMYFUNCTION("( (GOOGLEFINANCE(C99, ""price"") - Q99) / Q99 ) / (R99 / 100)"),"Loading...")</f>
        <v>Loading...</v>
      </c>
      <c r="G99" s="20" t="str">
        <f>IFERROR(__xludf.DUMMYFUNCTION("AVERAGE(ARRAYFORMULA(100 * (QUERY(GOOGLEFINANCE(C99, ""high"", TODAY()-40, TODAY()), ""SELECT Col2 WHERE Col2 IS NOT NULL ORDER BY Col1 DESC LIMIT 20"", 0) / QUERY(GOOGLEFINANCE(C99, ""low"", TODAY()-40, TODAY()), ""SELECT Col2 WHERE Col2 IS NOT NULL ORDE"&amp;"R BY Col1 DESC LIMIT 20"", 0) - 1)))"),"#N/A")</f>
        <v>#N/A</v>
      </c>
      <c r="H99" s="35" t="str">
        <f t="shared" si="6"/>
        <v/>
      </c>
      <c r="I99" s="36" t="str">
        <f t="shared" si="7"/>
        <v/>
      </c>
      <c r="J99" s="37" t="str">
        <f>IFERROR(__xludf.DUMMYFUNCTION("IFERROR(
  IF(C99="""",, 
    IFERROR(
      GOOGLEFINANCE(C99, ""price"") * GOOGLEFINANCE(C99, ""volumeavg""), 
      GOOGLEFINANCE(C99, ""price"") * AVERAGE(QUERY(GOOGLEFINANCE(C99, ""volume"", TODAY()-40, TODAY()), ""SELECT Col2 WHERE Col2 IS NOT NULL "&amp;"ORDER BY Col1 DESC LIMIT 20"", 0))
    )
  ), 
"""")"),"")</f>
        <v/>
      </c>
      <c r="K99" s="21" t="str">
        <f>IFERROR(__xludf.DUMMYFUNCTION("IFERROR(GOOGLEFINANCE(C99, ""changepct"") / 100, """")"),"")</f>
        <v/>
      </c>
      <c r="L99" s="21" t="str">
        <f>IFERROR(__xludf.DUMMYFUNCTION("IFERROR((GOOGLEFINANCE(C99, ""price"") / INDEX(GOOGLEFINANCE(C99, ""price"", TODAY()-7, TODAY()), 2, 2)) - 1, """")"),"")</f>
        <v/>
      </c>
      <c r="M99" s="21" t="str">
        <f>IFERROR(__xludf.DUMMYFUNCTION("IFERROR((GOOGLEFINANCE(C99, ""price"") / INDEX(GOOGLEFINANCE(C99, ""price"", EDATE(TODAY(), -1), TODAY()), 2, 2)) - 1, """")"),"")</f>
        <v/>
      </c>
      <c r="N99" s="21" t="str">
        <f>IFERROR(__xludf.DUMMYFUNCTION("IFERROR((GOOGLEFINANCE(C99, ""price"") / INDEX(GOOGLEFINANCE(C99, ""price"", EDATE(TODAY(), -3), TODAY()), 2, 2)) - 1, """")"),"")</f>
        <v/>
      </c>
      <c r="O99" s="21" t="str">
        <f>IFERROR(__xludf.DUMMYFUNCTION("IFERROR((GOOGLEFINANCE(C99, ""price"") / INDEX(GOOGLEFINANCE(C99, ""price"", EDATE(TODAY(), -6), TODAY()), 2, 2)) - 1, """")"),"")</f>
        <v/>
      </c>
      <c r="P99" s="21" t="str">
        <f>IFERROR(__xludf.DUMMYFUNCTION("IFERROR((GOOGLEFINANCE(C99, ""price"") / INDEX(GOOGLEFINANCE(C99, ""price"", EDATE(TODAY(), -12), TODAY()), 2, 2)) - 1, """")"),"")</f>
        <v/>
      </c>
      <c r="Q99" s="6" t="str">
        <f>IFERROR(__xludf.DUMMYFUNCTION("AVERAGE(QUERY(GOOGLEFINANCE(C99, ""price"", TODAY()-80, TODAY()), ""SELECT Col2 WHERE Col2 IS NOT NULL ORDER BY Col1 DESC LIMIT 50"", 0))"),"#N/A")</f>
        <v>#N/A</v>
      </c>
      <c r="R99" s="24" t="str">
        <f>IFERROR(__xludf.DUMMYFUNCTION("IFERROR(
  LET(
    data, QUERY(GOOGLEFINANCE(C99,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GOOGLEFINANCE(C99, ""price"")) * 100,
    IF(calc=0, G99, calc)
  ), 
G99)"),"#N/A")</f>
        <v>#N/A</v>
      </c>
      <c r="S99" s="8" t="s">
        <v>15</v>
      </c>
      <c r="T99" s="26" t="str">
        <f>IFERROR(__xludf.DUMMYFUNCTION("IFERROR(TRANSPOSE(QUERY(IFERROR(SORT(GOOGLEFINANCE(C99, ""price"", WORKDAY(TODAY(), -40), TODAY()), 1, FALSE)), ""select Col2 where Col2 is not null limit 22 label Col2 ''"", 0)), """")"),"")</f>
        <v/>
      </c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8"/>
      <c r="AO99" s="28"/>
      <c r="AP99" s="29"/>
      <c r="AQ99" s="29" t="str">
        <f t="shared" ref="AQ99:BL99" si="102">T99/T$2</f>
        <v>#N/A</v>
      </c>
      <c r="AR99" s="29" t="str">
        <f t="shared" si="102"/>
        <v>#DIV/0!</v>
      </c>
      <c r="AS99" s="29" t="str">
        <f t="shared" si="102"/>
        <v>#DIV/0!</v>
      </c>
      <c r="AT99" s="29" t="str">
        <f t="shared" si="102"/>
        <v>#DIV/0!</v>
      </c>
      <c r="AU99" s="29" t="str">
        <f t="shared" si="102"/>
        <v>#DIV/0!</v>
      </c>
      <c r="AV99" s="29" t="str">
        <f t="shared" si="102"/>
        <v>#DIV/0!</v>
      </c>
      <c r="AW99" s="29" t="str">
        <f t="shared" si="102"/>
        <v>#DIV/0!</v>
      </c>
      <c r="AX99" s="29" t="str">
        <f t="shared" si="102"/>
        <v>#DIV/0!</v>
      </c>
      <c r="AY99" s="29" t="str">
        <f t="shared" si="102"/>
        <v>#DIV/0!</v>
      </c>
      <c r="AZ99" s="29" t="str">
        <f t="shared" si="102"/>
        <v>#DIV/0!</v>
      </c>
      <c r="BA99" s="29" t="str">
        <f t="shared" si="102"/>
        <v>#DIV/0!</v>
      </c>
      <c r="BB99" s="29" t="str">
        <f t="shared" si="102"/>
        <v>#DIV/0!</v>
      </c>
      <c r="BC99" s="29" t="str">
        <f t="shared" si="102"/>
        <v>#DIV/0!</v>
      </c>
      <c r="BD99" s="29" t="str">
        <f t="shared" si="102"/>
        <v>#DIV/0!</v>
      </c>
      <c r="BE99" s="29" t="str">
        <f t="shared" si="102"/>
        <v>#DIV/0!</v>
      </c>
      <c r="BF99" s="29" t="str">
        <f t="shared" si="102"/>
        <v>#DIV/0!</v>
      </c>
      <c r="BG99" s="29" t="str">
        <f t="shared" si="102"/>
        <v>#DIV/0!</v>
      </c>
      <c r="BH99" s="29" t="str">
        <f t="shared" si="102"/>
        <v>#DIV/0!</v>
      </c>
      <c r="BI99" s="29" t="str">
        <f t="shared" si="102"/>
        <v>#DIV/0!</v>
      </c>
      <c r="BJ99" s="29" t="str">
        <f t="shared" si="102"/>
        <v>#DIV/0!</v>
      </c>
      <c r="BK99" s="29" t="str">
        <f t="shared" si="102"/>
        <v>#DIV/0!</v>
      </c>
      <c r="BL99" s="29" t="str">
        <f t="shared" si="102"/>
        <v>#DIV/0!</v>
      </c>
      <c r="BM99" s="29" t="str">
        <f t="shared" si="3"/>
        <v>#DIV/0!</v>
      </c>
    </row>
    <row r="100">
      <c r="A100" s="16" t="str">
        <f>IFERROR(__xludf.DUMMYFUNCTION("IFERROR(SPARKLINE(SORT(MAP(TRANSPOSE(AQ100:BL100), LAMBDA(val, IF(ISNUMBER(val), PERCENTRANK(AQ100:BL100, val)+0.01, 0))), SEQUENCE(COLUMNS(AQ100:BL100)), FALSE), {""charttype"",""column""; ""color"",""chartreuse""; ""ymin"", 0; ""ymax"", 1.01; ""highcolo"&amp;"r"", ""darkgreen""; ""lowcolor"", ""red""}), """")"),"")</f>
        <v/>
      </c>
      <c r="B100" s="17" t="str">
        <f t="shared" si="4"/>
        <v/>
      </c>
      <c r="C100" s="1" t="s">
        <v>473</v>
      </c>
      <c r="D100" s="30" t="str">
        <f>IFERROR(__xludf.DUMMYFUNCTION("IFERROR(GOOGLEFINANCE(C100, ""NAME""))"),"Paymentus Holdings Inc")</f>
        <v>Paymentus Holdings Inc</v>
      </c>
      <c r="E100" s="30" t="s">
        <v>58</v>
      </c>
      <c r="F100" s="33" t="str">
        <f>IFERROR(__xludf.DUMMYFUNCTION("( (GOOGLEFINANCE(C100, ""price"") - Q100) / Q100 ) / (R100 / 100)"),"Loading...")</f>
        <v>Loading...</v>
      </c>
      <c r="G100" s="20" t="str">
        <f>IFERROR(__xludf.DUMMYFUNCTION("AVERAGE(ARRAYFORMULA(100 * (QUERY(GOOGLEFINANCE(C100, ""high"", TODAY()-40, TODAY()), ""SELECT Col2 WHERE Col2 IS NOT NULL ORDER BY Col1 DESC LIMIT 20"", 0) / QUERY(GOOGLEFINANCE(C100, ""low"", TODAY()-40, TODAY()), ""SELECT Col2 WHERE Col2 IS NOT NULL OR"&amp;"DER BY Col1 DESC LIMIT 20"", 0) - 1)))"),"#N/A")</f>
        <v>#N/A</v>
      </c>
      <c r="H100" s="35" t="str">
        <f t="shared" si="6"/>
        <v/>
      </c>
      <c r="I100" s="36" t="str">
        <f t="shared" si="7"/>
        <v/>
      </c>
      <c r="J100" s="37" t="str">
        <f>IFERROR(__xludf.DUMMYFUNCTION("IFERROR(
  IF(C100="""",, 
    IFERROR(
      GOOGLEFINANCE(C100, ""price"") * GOOGLEFINANCE(C100, ""volumeavg""), 
      GOOGLEFINANCE(C100, ""price"") * AVERAGE(QUERY(GOOGLEFINANCE(C100, ""volume"", TODAY()-40, TODAY()), ""SELECT Col2 WHERE Col2 IS NOT "&amp;"NULL ORDER BY Col1 DESC LIMIT 20"", 0))
    )
  ), 
"""")"),"")</f>
        <v/>
      </c>
      <c r="K100" s="21" t="str">
        <f>IFERROR(__xludf.DUMMYFUNCTION("IFERROR(GOOGLEFINANCE(C100, ""changepct"") / 100, """")"),"")</f>
        <v/>
      </c>
      <c r="L100" s="21" t="str">
        <f>IFERROR(__xludf.DUMMYFUNCTION("IFERROR((GOOGLEFINANCE(C100, ""price"") / INDEX(GOOGLEFINANCE(C100, ""price"", TODAY()-7, TODAY()), 2, 2)) - 1, """")"),"")</f>
        <v/>
      </c>
      <c r="M100" s="21" t="str">
        <f>IFERROR(__xludf.DUMMYFUNCTION("IFERROR((GOOGLEFINANCE(C100, ""price"") / INDEX(GOOGLEFINANCE(C100, ""price"", EDATE(TODAY(), -1), TODAY()), 2, 2)) - 1, """")"),"")</f>
        <v/>
      </c>
      <c r="N100" s="21" t="str">
        <f>IFERROR(__xludf.DUMMYFUNCTION("IFERROR((GOOGLEFINANCE(C100, ""price"") / INDEX(GOOGLEFINANCE(C100, ""price"", EDATE(TODAY(), -3), TODAY()), 2, 2)) - 1, """")"),"")</f>
        <v/>
      </c>
      <c r="O100" s="21" t="str">
        <f>IFERROR(__xludf.DUMMYFUNCTION("IFERROR((GOOGLEFINANCE(C100, ""price"") / INDEX(GOOGLEFINANCE(C100, ""price"", EDATE(TODAY(), -6), TODAY()), 2, 2)) - 1, """")"),"")</f>
        <v/>
      </c>
      <c r="P100" s="21" t="str">
        <f>IFERROR(__xludf.DUMMYFUNCTION("IFERROR((GOOGLEFINANCE(C100, ""price"") / INDEX(GOOGLEFINANCE(C100, ""price"", EDATE(TODAY(), -12), TODAY()), 2, 2)) - 1, """")"),"")</f>
        <v/>
      </c>
      <c r="Q100" s="6" t="str">
        <f>IFERROR(__xludf.DUMMYFUNCTION("AVERAGE(QUERY(GOOGLEFINANCE(C100, ""price"", TODAY()-80, TODAY()), ""SELECT Col2 WHERE Col2 IS NOT NULL ORDER BY Col1 DESC LIMIT 50"", 0))"),"#N/A")</f>
        <v>#N/A</v>
      </c>
      <c r="R100" s="24" t="str">
        <f>IFERROR(__xludf.DUMMYFUNCTION("IFERROR(
  LET(
    data, QUERY(GOOGLEFINANCE(C100,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GOOGLEFINANCE(C100, ""price"")) * 100,
    IF(calc=0, G100, calc)
  ), 
G100)"),"#N/A")</f>
        <v>#N/A</v>
      </c>
      <c r="S100" s="8" t="s">
        <v>15</v>
      </c>
      <c r="T100" s="26" t="str">
        <f>IFERROR(__xludf.DUMMYFUNCTION("IFERROR(TRANSPOSE(QUERY(IFERROR(SORT(GOOGLEFINANCE(C100, ""price"", WORKDAY(TODAY(), -40), TODAY()), 1, FALSE)), ""select Col2 where Col2 is not null limit 22 label Col2 ''"", 0)), """")"),"")</f>
        <v/>
      </c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8"/>
      <c r="AO100" s="28"/>
      <c r="AP100" s="29"/>
      <c r="AQ100" s="29" t="str">
        <f t="shared" ref="AQ100:BL100" si="103">T100/T$2</f>
        <v>#N/A</v>
      </c>
      <c r="AR100" s="29" t="str">
        <f t="shared" si="103"/>
        <v>#DIV/0!</v>
      </c>
      <c r="AS100" s="29" t="str">
        <f t="shared" si="103"/>
        <v>#DIV/0!</v>
      </c>
      <c r="AT100" s="29" t="str">
        <f t="shared" si="103"/>
        <v>#DIV/0!</v>
      </c>
      <c r="AU100" s="29" t="str">
        <f t="shared" si="103"/>
        <v>#DIV/0!</v>
      </c>
      <c r="AV100" s="29" t="str">
        <f t="shared" si="103"/>
        <v>#DIV/0!</v>
      </c>
      <c r="AW100" s="29" t="str">
        <f t="shared" si="103"/>
        <v>#DIV/0!</v>
      </c>
      <c r="AX100" s="29" t="str">
        <f t="shared" si="103"/>
        <v>#DIV/0!</v>
      </c>
      <c r="AY100" s="29" t="str">
        <f t="shared" si="103"/>
        <v>#DIV/0!</v>
      </c>
      <c r="AZ100" s="29" t="str">
        <f t="shared" si="103"/>
        <v>#DIV/0!</v>
      </c>
      <c r="BA100" s="29" t="str">
        <f t="shared" si="103"/>
        <v>#DIV/0!</v>
      </c>
      <c r="BB100" s="29" t="str">
        <f t="shared" si="103"/>
        <v>#DIV/0!</v>
      </c>
      <c r="BC100" s="29" t="str">
        <f t="shared" si="103"/>
        <v>#DIV/0!</v>
      </c>
      <c r="BD100" s="29" t="str">
        <f t="shared" si="103"/>
        <v>#DIV/0!</v>
      </c>
      <c r="BE100" s="29" t="str">
        <f t="shared" si="103"/>
        <v>#DIV/0!</v>
      </c>
      <c r="BF100" s="29" t="str">
        <f t="shared" si="103"/>
        <v>#DIV/0!</v>
      </c>
      <c r="BG100" s="29" t="str">
        <f t="shared" si="103"/>
        <v>#DIV/0!</v>
      </c>
      <c r="BH100" s="29" t="str">
        <f t="shared" si="103"/>
        <v>#DIV/0!</v>
      </c>
      <c r="BI100" s="29" t="str">
        <f t="shared" si="103"/>
        <v>#DIV/0!</v>
      </c>
      <c r="BJ100" s="29" t="str">
        <f t="shared" si="103"/>
        <v>#DIV/0!</v>
      </c>
      <c r="BK100" s="29" t="str">
        <f t="shared" si="103"/>
        <v>#DIV/0!</v>
      </c>
      <c r="BL100" s="29" t="str">
        <f t="shared" si="103"/>
        <v>#DIV/0!</v>
      </c>
      <c r="BM100" s="29" t="str">
        <f t="shared" si="3"/>
        <v>#DIV/0!</v>
      </c>
    </row>
    <row r="101">
      <c r="A101" s="16" t="str">
        <f>IFERROR(__xludf.DUMMYFUNCTION("IFERROR(SPARKLINE(SORT(MAP(TRANSPOSE(AQ101:BL101), LAMBDA(val, IF(ISNUMBER(val), PERCENTRANK(AQ101:BL101, val)+0.01, 0))), SEQUENCE(COLUMNS(AQ101:BL101)), FALSE), {""charttype"",""column""; ""color"",""chartreuse""; ""ymin"", 0; ""ymax"", 1.01; ""highcolo"&amp;"r"", ""darkgreen""; ""lowcolor"", ""red""}), """")"),"")</f>
        <v/>
      </c>
      <c r="B101" s="17" t="str">
        <f t="shared" si="4"/>
        <v/>
      </c>
      <c r="C101" s="1" t="s">
        <v>476</v>
      </c>
      <c r="D101" s="30" t="str">
        <f>IFERROR(__xludf.DUMMYFUNCTION("IFERROR(GOOGLEFINANCE(C101, ""NAME""))"),"Canaan Inc - ADR")</f>
        <v>Canaan Inc - ADR</v>
      </c>
      <c r="E101" s="30" t="s">
        <v>477</v>
      </c>
      <c r="F101" s="33" t="str">
        <f>IFERROR(__xludf.DUMMYFUNCTION("( (GOOGLEFINANCE(C101, ""price"") - Q101) / Q101 ) / (R101 / 100)"),"Loading...")</f>
        <v>Loading...</v>
      </c>
      <c r="G101" s="20" t="str">
        <f>IFERROR(__xludf.DUMMYFUNCTION("AVERAGE(ARRAYFORMULA(100 * (QUERY(GOOGLEFINANCE(C101, ""high"", TODAY()-40, TODAY()), ""SELECT Col2 WHERE Col2 IS NOT NULL ORDER BY Col1 DESC LIMIT 20"", 0) / QUERY(GOOGLEFINANCE(C101, ""low"", TODAY()-40, TODAY()), ""SELECT Col2 WHERE Col2 IS NOT NULL OR"&amp;"DER BY Col1 DESC LIMIT 20"", 0) - 1)))"),"#N/A")</f>
        <v>#N/A</v>
      </c>
      <c r="H101" s="35" t="str">
        <f t="shared" si="6"/>
        <v/>
      </c>
      <c r="I101" s="36" t="str">
        <f t="shared" si="7"/>
        <v/>
      </c>
      <c r="J101" s="37" t="str">
        <f>IFERROR(__xludf.DUMMYFUNCTION("IFERROR(
  IF(C101="""",, 
    IFERROR(
      GOOGLEFINANCE(C101, ""price"") * GOOGLEFINANCE(C101, ""volumeavg""), 
      GOOGLEFINANCE(C101, ""price"") * AVERAGE(QUERY(GOOGLEFINANCE(C101, ""volume"", TODAY()-40, TODAY()), ""SELECT Col2 WHERE Col2 IS NOT "&amp;"NULL ORDER BY Col1 DESC LIMIT 20"", 0))
    )
  ), 
"""")"),"")</f>
        <v/>
      </c>
      <c r="K101" s="21" t="str">
        <f>IFERROR(__xludf.DUMMYFUNCTION("IFERROR(GOOGLEFINANCE(C101, ""changepct"") / 100, """")"),"")</f>
        <v/>
      </c>
      <c r="L101" s="21" t="str">
        <f>IFERROR(__xludf.DUMMYFUNCTION("IFERROR((GOOGLEFINANCE(C101, ""price"") / INDEX(GOOGLEFINANCE(C101, ""price"", TODAY()-7, TODAY()), 2, 2)) - 1, """")"),"")</f>
        <v/>
      </c>
      <c r="M101" s="21" t="str">
        <f>IFERROR(__xludf.DUMMYFUNCTION("IFERROR((GOOGLEFINANCE(C101, ""price"") / INDEX(GOOGLEFINANCE(C101, ""price"", EDATE(TODAY(), -1), TODAY()), 2, 2)) - 1, """")"),"")</f>
        <v/>
      </c>
      <c r="N101" s="21" t="str">
        <f>IFERROR(__xludf.DUMMYFUNCTION("IFERROR((GOOGLEFINANCE(C101, ""price"") / INDEX(GOOGLEFINANCE(C101, ""price"", EDATE(TODAY(), -3), TODAY()), 2, 2)) - 1, """")"),"")</f>
        <v/>
      </c>
      <c r="O101" s="21" t="str">
        <f>IFERROR(__xludf.DUMMYFUNCTION("IFERROR((GOOGLEFINANCE(C101, ""price"") / INDEX(GOOGLEFINANCE(C101, ""price"", EDATE(TODAY(), -6), TODAY()), 2, 2)) - 1, """")"),"")</f>
        <v/>
      </c>
      <c r="P101" s="21" t="str">
        <f>IFERROR(__xludf.DUMMYFUNCTION("IFERROR((GOOGLEFINANCE(C101, ""price"") / INDEX(GOOGLEFINANCE(C101, ""price"", EDATE(TODAY(), -12), TODAY()), 2, 2)) - 1, """")"),"")</f>
        <v/>
      </c>
      <c r="Q101" s="6" t="str">
        <f>IFERROR(__xludf.DUMMYFUNCTION("AVERAGE(QUERY(GOOGLEFINANCE(C101, ""price"", TODAY()-80, TODAY()), ""SELECT Col2 WHERE Col2 IS NOT NULL ORDER BY Col1 DESC LIMIT 50"", 0))"),"#N/A")</f>
        <v>#N/A</v>
      </c>
      <c r="R101" s="24" t="str">
        <f>IFERROR(__xludf.DUMMYFUNCTION("IFERROR(
  LET(
    data, QUERY(GOOGLEFINANCE(C101,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GOOGLEFINANCE(C101, ""price"")) * 100,
    IF(calc=0, G101, calc)
  ), 
G101)"),"#N/A")</f>
        <v>#N/A</v>
      </c>
      <c r="S101" s="8" t="s">
        <v>15</v>
      </c>
      <c r="T101" s="26" t="str">
        <f>IFERROR(__xludf.DUMMYFUNCTION("IFERROR(TRANSPOSE(QUERY(IFERROR(SORT(GOOGLEFINANCE(C101, ""price"", WORKDAY(TODAY(), -40), TODAY()), 1, FALSE)), ""select Col2 where Col2 is not null limit 22 label Col2 ''"", 0)), """")"),"")</f>
        <v/>
      </c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8"/>
      <c r="AO101" s="28"/>
      <c r="AP101" s="29"/>
      <c r="AQ101" s="29" t="str">
        <f t="shared" ref="AQ101:BL101" si="104">T101/T$2</f>
        <v>#N/A</v>
      </c>
      <c r="AR101" s="29" t="str">
        <f t="shared" si="104"/>
        <v>#DIV/0!</v>
      </c>
      <c r="AS101" s="29" t="str">
        <f t="shared" si="104"/>
        <v>#DIV/0!</v>
      </c>
      <c r="AT101" s="29" t="str">
        <f t="shared" si="104"/>
        <v>#DIV/0!</v>
      </c>
      <c r="AU101" s="29" t="str">
        <f t="shared" si="104"/>
        <v>#DIV/0!</v>
      </c>
      <c r="AV101" s="29" t="str">
        <f t="shared" si="104"/>
        <v>#DIV/0!</v>
      </c>
      <c r="AW101" s="29" t="str">
        <f t="shared" si="104"/>
        <v>#DIV/0!</v>
      </c>
      <c r="AX101" s="29" t="str">
        <f t="shared" si="104"/>
        <v>#DIV/0!</v>
      </c>
      <c r="AY101" s="29" t="str">
        <f t="shared" si="104"/>
        <v>#DIV/0!</v>
      </c>
      <c r="AZ101" s="29" t="str">
        <f t="shared" si="104"/>
        <v>#DIV/0!</v>
      </c>
      <c r="BA101" s="29" t="str">
        <f t="shared" si="104"/>
        <v>#DIV/0!</v>
      </c>
      <c r="BB101" s="29" t="str">
        <f t="shared" si="104"/>
        <v>#DIV/0!</v>
      </c>
      <c r="BC101" s="29" t="str">
        <f t="shared" si="104"/>
        <v>#DIV/0!</v>
      </c>
      <c r="BD101" s="29" t="str">
        <f t="shared" si="104"/>
        <v>#DIV/0!</v>
      </c>
      <c r="BE101" s="29" t="str">
        <f t="shared" si="104"/>
        <v>#DIV/0!</v>
      </c>
      <c r="BF101" s="29" t="str">
        <f t="shared" si="104"/>
        <v>#DIV/0!</v>
      </c>
      <c r="BG101" s="29" t="str">
        <f t="shared" si="104"/>
        <v>#DIV/0!</v>
      </c>
      <c r="BH101" s="29" t="str">
        <f t="shared" si="104"/>
        <v>#DIV/0!</v>
      </c>
      <c r="BI101" s="29" t="str">
        <f t="shared" si="104"/>
        <v>#DIV/0!</v>
      </c>
      <c r="BJ101" s="29" t="str">
        <f t="shared" si="104"/>
        <v>#DIV/0!</v>
      </c>
      <c r="BK101" s="29" t="str">
        <f t="shared" si="104"/>
        <v>#DIV/0!</v>
      </c>
      <c r="BL101" s="29" t="str">
        <f t="shared" si="104"/>
        <v>#DIV/0!</v>
      </c>
      <c r="BM101" s="29" t="str">
        <f t="shared" si="3"/>
        <v>#DIV/0!</v>
      </c>
    </row>
    <row r="102">
      <c r="A102" s="16" t="str">
        <f>IFERROR(__xludf.DUMMYFUNCTION("IFERROR(SPARKLINE(SORT(MAP(TRANSPOSE(AQ102:BL102), LAMBDA(val, IF(ISNUMBER(val), PERCENTRANK(AQ102:BL102, val)+0.01, 0))), SEQUENCE(COLUMNS(AQ102:BL102)), FALSE), {""charttype"",""column""; ""color"",""chartreuse""; ""ymin"", 0; ""ymax"", 1.01; ""highcolo"&amp;"r"", ""darkgreen""; ""lowcolor"", ""red""}), """")"),"")</f>
        <v/>
      </c>
      <c r="B102" s="17" t="str">
        <f t="shared" si="4"/>
        <v/>
      </c>
      <c r="C102" s="1" t="s">
        <v>481</v>
      </c>
      <c r="D102" s="30" t="str">
        <f>IFERROR(__xludf.DUMMYFUNCTION("IFERROR(GOOGLEFINANCE(C102, ""NAME""))"),"Alpha Technology Group Ltd")</f>
        <v>Alpha Technology Group Ltd</v>
      </c>
      <c r="E102" s="30" t="s">
        <v>58</v>
      </c>
      <c r="F102" s="33" t="str">
        <f>IFERROR(__xludf.DUMMYFUNCTION("( (GOOGLEFINANCE(C102, ""price"") - Q102) / Q102 ) / (R102 / 100)"),"Loading...")</f>
        <v>Loading...</v>
      </c>
      <c r="G102" s="20" t="str">
        <f>IFERROR(__xludf.DUMMYFUNCTION("AVERAGE(ARRAYFORMULA(100 * (QUERY(GOOGLEFINANCE(C102, ""high"", TODAY()-40, TODAY()), ""SELECT Col2 WHERE Col2 IS NOT NULL ORDER BY Col1 DESC LIMIT 20"", 0) / QUERY(GOOGLEFINANCE(C102, ""low"", TODAY()-40, TODAY()), ""SELECT Col2 WHERE Col2 IS NOT NULL OR"&amp;"DER BY Col1 DESC LIMIT 20"", 0) - 1)))"),"#N/A")</f>
        <v>#N/A</v>
      </c>
      <c r="H102" s="35" t="str">
        <f t="shared" si="6"/>
        <v/>
      </c>
      <c r="I102" s="36" t="str">
        <f t="shared" si="7"/>
        <v/>
      </c>
      <c r="J102" s="37" t="str">
        <f>IFERROR(__xludf.DUMMYFUNCTION("IFERROR(
  IF(C102="""",, 
    IFERROR(
      GOOGLEFINANCE(C102, ""price"") * GOOGLEFINANCE(C102, ""volumeavg""), 
      GOOGLEFINANCE(C102, ""price"") * AVERAGE(QUERY(GOOGLEFINANCE(C102, ""volume"", TODAY()-40, TODAY()), ""SELECT Col2 WHERE Col2 IS NOT "&amp;"NULL ORDER BY Col1 DESC LIMIT 20"", 0))
    )
  ), 
"""")"),"")</f>
        <v/>
      </c>
      <c r="K102" s="21" t="str">
        <f>IFERROR(__xludf.DUMMYFUNCTION("IFERROR(GOOGLEFINANCE(C102, ""changepct"") / 100, """")"),"")</f>
        <v/>
      </c>
      <c r="L102" s="21" t="str">
        <f>IFERROR(__xludf.DUMMYFUNCTION("IFERROR((GOOGLEFINANCE(C102, ""price"") / INDEX(GOOGLEFINANCE(C102, ""price"", TODAY()-7, TODAY()), 2, 2)) - 1, """")"),"")</f>
        <v/>
      </c>
      <c r="M102" s="21" t="str">
        <f>IFERROR(__xludf.DUMMYFUNCTION("IFERROR((GOOGLEFINANCE(C102, ""price"") / INDEX(GOOGLEFINANCE(C102, ""price"", EDATE(TODAY(), -1), TODAY()), 2, 2)) - 1, """")"),"")</f>
        <v/>
      </c>
      <c r="N102" s="21" t="str">
        <f>IFERROR(__xludf.DUMMYFUNCTION("IFERROR((GOOGLEFINANCE(C102, ""price"") / INDEX(GOOGLEFINANCE(C102, ""price"", EDATE(TODAY(), -3), TODAY()), 2, 2)) - 1, """")"),"")</f>
        <v/>
      </c>
      <c r="O102" s="21" t="str">
        <f>IFERROR(__xludf.DUMMYFUNCTION("IFERROR((GOOGLEFINANCE(C102, ""price"") / INDEX(GOOGLEFINANCE(C102, ""price"", EDATE(TODAY(), -6), TODAY()), 2, 2)) - 1, """")"),"")</f>
        <v/>
      </c>
      <c r="P102" s="21" t="str">
        <f>IFERROR(__xludf.DUMMYFUNCTION("IFERROR((GOOGLEFINANCE(C102, ""price"") / INDEX(GOOGLEFINANCE(C102, ""price"", EDATE(TODAY(), -12), TODAY()), 2, 2)) - 1, """")"),"")</f>
        <v/>
      </c>
      <c r="Q102" s="6" t="str">
        <f>IFERROR(__xludf.DUMMYFUNCTION("AVERAGE(QUERY(GOOGLEFINANCE(C102, ""price"", TODAY()-80, TODAY()), ""SELECT Col2 WHERE Col2 IS NOT NULL ORDER BY Col1 DESC LIMIT 50"", 0))"),"#N/A")</f>
        <v>#N/A</v>
      </c>
      <c r="R102" s="24" t="str">
        <f>IFERROR(__xludf.DUMMYFUNCTION("IFERROR(
  LET(
    data, QUERY(GOOGLEFINANCE(C102,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GOOGLEFINANCE(C102, ""price"")) * 100,
    IF(calc=0, G102, calc)
  ), 
G102)"),"#N/A")</f>
        <v>#N/A</v>
      </c>
      <c r="S102" s="8" t="s">
        <v>15</v>
      </c>
      <c r="T102" s="26" t="str">
        <f>IFERROR(__xludf.DUMMYFUNCTION("IFERROR(TRANSPOSE(QUERY(IFERROR(SORT(GOOGLEFINANCE(C102, ""price"", WORKDAY(TODAY(), -40), TODAY()), 1, FALSE)), ""select Col2 where Col2 is not null limit 22 label Col2 ''"", 0)), """")"),"")</f>
        <v/>
      </c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8"/>
      <c r="AO102" s="28"/>
      <c r="AP102" s="29"/>
      <c r="AQ102" s="29" t="str">
        <f t="shared" ref="AQ102:BL102" si="105">T102/T$2</f>
        <v>#N/A</v>
      </c>
      <c r="AR102" s="29" t="str">
        <f t="shared" si="105"/>
        <v>#DIV/0!</v>
      </c>
      <c r="AS102" s="29" t="str">
        <f t="shared" si="105"/>
        <v>#DIV/0!</v>
      </c>
      <c r="AT102" s="29" t="str">
        <f t="shared" si="105"/>
        <v>#DIV/0!</v>
      </c>
      <c r="AU102" s="29" t="str">
        <f t="shared" si="105"/>
        <v>#DIV/0!</v>
      </c>
      <c r="AV102" s="29" t="str">
        <f t="shared" si="105"/>
        <v>#DIV/0!</v>
      </c>
      <c r="AW102" s="29" t="str">
        <f t="shared" si="105"/>
        <v>#DIV/0!</v>
      </c>
      <c r="AX102" s="29" t="str">
        <f t="shared" si="105"/>
        <v>#DIV/0!</v>
      </c>
      <c r="AY102" s="29" t="str">
        <f t="shared" si="105"/>
        <v>#DIV/0!</v>
      </c>
      <c r="AZ102" s="29" t="str">
        <f t="shared" si="105"/>
        <v>#DIV/0!</v>
      </c>
      <c r="BA102" s="29" t="str">
        <f t="shared" si="105"/>
        <v>#DIV/0!</v>
      </c>
      <c r="BB102" s="29" t="str">
        <f t="shared" si="105"/>
        <v>#DIV/0!</v>
      </c>
      <c r="BC102" s="29" t="str">
        <f t="shared" si="105"/>
        <v>#DIV/0!</v>
      </c>
      <c r="BD102" s="29" t="str">
        <f t="shared" si="105"/>
        <v>#DIV/0!</v>
      </c>
      <c r="BE102" s="29" t="str">
        <f t="shared" si="105"/>
        <v>#DIV/0!</v>
      </c>
      <c r="BF102" s="29" t="str">
        <f t="shared" si="105"/>
        <v>#DIV/0!</v>
      </c>
      <c r="BG102" s="29" t="str">
        <f t="shared" si="105"/>
        <v>#DIV/0!</v>
      </c>
      <c r="BH102" s="29" t="str">
        <f t="shared" si="105"/>
        <v>#DIV/0!</v>
      </c>
      <c r="BI102" s="29" t="str">
        <f t="shared" si="105"/>
        <v>#DIV/0!</v>
      </c>
      <c r="BJ102" s="29" t="str">
        <f t="shared" si="105"/>
        <v>#DIV/0!</v>
      </c>
      <c r="BK102" s="29" t="str">
        <f t="shared" si="105"/>
        <v>#DIV/0!</v>
      </c>
      <c r="BL102" s="29" t="str">
        <f t="shared" si="105"/>
        <v>#DIV/0!</v>
      </c>
      <c r="BM102" s="29" t="str">
        <f t="shared" si="3"/>
        <v>#DIV/0!</v>
      </c>
    </row>
    <row r="103">
      <c r="A103" s="16" t="str">
        <f>IFERROR(__xludf.DUMMYFUNCTION("IFERROR(SPARKLINE(SORT(MAP(TRANSPOSE(AQ103:BL103), LAMBDA(val, IF(ISNUMBER(val), PERCENTRANK(AQ103:BL103, val)+0.01, 0))), SEQUENCE(COLUMNS(AQ103:BL103)), FALSE), {""charttype"",""column""; ""color"",""chartreuse""; ""ymin"", 0; ""ymax"", 1.01; ""highcolo"&amp;"r"", ""darkgreen""; ""lowcolor"", ""red""}), """")"),"")</f>
        <v/>
      </c>
      <c r="B103" s="17" t="str">
        <f t="shared" si="4"/>
        <v/>
      </c>
      <c r="C103" s="1" t="s">
        <v>484</v>
      </c>
      <c r="D103" s="30" t="str">
        <f>IFERROR(__xludf.DUMMYFUNCTION("IFERROR(GOOGLEFINANCE(C103, ""NAME""))"),"Sprinklr Inc")</f>
        <v>Sprinklr Inc</v>
      </c>
      <c r="E103" s="30" t="s">
        <v>48</v>
      </c>
      <c r="F103" s="33" t="str">
        <f>IFERROR(__xludf.DUMMYFUNCTION("( (GOOGLEFINANCE(C103, ""price"") - Q103) / Q103 ) / (R103 / 100)"),"Loading...")</f>
        <v>Loading...</v>
      </c>
      <c r="G103" s="20" t="str">
        <f>IFERROR(__xludf.DUMMYFUNCTION("AVERAGE(ARRAYFORMULA(100 * (QUERY(GOOGLEFINANCE(C103, ""high"", TODAY()-40, TODAY()), ""SELECT Col2 WHERE Col2 IS NOT NULL ORDER BY Col1 DESC LIMIT 20"", 0) / QUERY(GOOGLEFINANCE(C103, ""low"", TODAY()-40, TODAY()), ""SELECT Col2 WHERE Col2 IS NOT NULL OR"&amp;"DER BY Col1 DESC LIMIT 20"", 0) - 1)))"),"#N/A")</f>
        <v>#N/A</v>
      </c>
      <c r="H103" s="35" t="str">
        <f t="shared" si="6"/>
        <v/>
      </c>
      <c r="I103" s="36" t="str">
        <f t="shared" si="7"/>
        <v/>
      </c>
      <c r="J103" s="37" t="str">
        <f>IFERROR(__xludf.DUMMYFUNCTION("IFERROR(
  IF(C103="""",, 
    IFERROR(
      GOOGLEFINANCE(C103, ""price"") * GOOGLEFINANCE(C103, ""volumeavg""), 
      GOOGLEFINANCE(C103, ""price"") * AVERAGE(QUERY(GOOGLEFINANCE(C103, ""volume"", TODAY()-40, TODAY()), ""SELECT Col2 WHERE Col2 IS NOT "&amp;"NULL ORDER BY Col1 DESC LIMIT 20"", 0))
    )
  ), 
"""")"),"")</f>
        <v/>
      </c>
      <c r="K103" s="21" t="str">
        <f>IFERROR(__xludf.DUMMYFUNCTION("IFERROR(GOOGLEFINANCE(C103, ""changepct"") / 100, """")"),"")</f>
        <v/>
      </c>
      <c r="L103" s="21" t="str">
        <f>IFERROR(__xludf.DUMMYFUNCTION("IFERROR((GOOGLEFINANCE(C103, ""price"") / INDEX(GOOGLEFINANCE(C103, ""price"", TODAY()-7, TODAY()), 2, 2)) - 1, """")"),"")</f>
        <v/>
      </c>
      <c r="M103" s="21" t="str">
        <f>IFERROR(__xludf.DUMMYFUNCTION("IFERROR((GOOGLEFINANCE(C103, ""price"") / INDEX(GOOGLEFINANCE(C103, ""price"", EDATE(TODAY(), -1), TODAY()), 2, 2)) - 1, """")"),"")</f>
        <v/>
      </c>
      <c r="N103" s="21" t="str">
        <f>IFERROR(__xludf.DUMMYFUNCTION("IFERROR((GOOGLEFINANCE(C103, ""price"") / INDEX(GOOGLEFINANCE(C103, ""price"", EDATE(TODAY(), -3), TODAY()), 2, 2)) - 1, """")"),"")</f>
        <v/>
      </c>
      <c r="O103" s="21" t="str">
        <f>IFERROR(__xludf.DUMMYFUNCTION("IFERROR((GOOGLEFINANCE(C103, ""price"") / INDEX(GOOGLEFINANCE(C103, ""price"", EDATE(TODAY(), -6), TODAY()), 2, 2)) - 1, """")"),"")</f>
        <v/>
      </c>
      <c r="P103" s="21" t="str">
        <f>IFERROR(__xludf.DUMMYFUNCTION("IFERROR((GOOGLEFINANCE(C103, ""price"") / INDEX(GOOGLEFINANCE(C103, ""price"", EDATE(TODAY(), -12), TODAY()), 2, 2)) - 1, """")"),"")</f>
        <v/>
      </c>
      <c r="Q103" s="6" t="str">
        <f>IFERROR(__xludf.DUMMYFUNCTION("AVERAGE(QUERY(GOOGLEFINANCE(C103, ""price"", TODAY()-80, TODAY()), ""SELECT Col2 WHERE Col2 IS NOT NULL ORDER BY Col1 DESC LIMIT 50"", 0))"),"#N/A")</f>
        <v>#N/A</v>
      </c>
      <c r="R103" s="24" t="str">
        <f>IFERROR(__xludf.DUMMYFUNCTION("IFERROR(
  LET(
    data, QUERY(GOOGLEFINANCE(C103,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GOOGLEFINANCE(C103, ""price"")) * 100,
    IF(calc=0, G103, calc)
  ), 
G103)"),"#N/A")</f>
        <v>#N/A</v>
      </c>
      <c r="S103" s="8" t="s">
        <v>15</v>
      </c>
      <c r="T103" s="26" t="str">
        <f>IFERROR(__xludf.DUMMYFUNCTION("IFERROR(TRANSPOSE(QUERY(IFERROR(SORT(GOOGLEFINANCE(C103, ""price"", WORKDAY(TODAY(), -40), TODAY()), 1, FALSE)), ""select Col2 where Col2 is not null limit 22 label Col2 ''"", 0)), """")"),"")</f>
        <v/>
      </c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8"/>
      <c r="AO103" s="28"/>
      <c r="AP103" s="29"/>
      <c r="AQ103" s="29" t="str">
        <f t="shared" ref="AQ103:BL103" si="106">T103/T$2</f>
        <v>#N/A</v>
      </c>
      <c r="AR103" s="29" t="str">
        <f t="shared" si="106"/>
        <v>#DIV/0!</v>
      </c>
      <c r="AS103" s="29" t="str">
        <f t="shared" si="106"/>
        <v>#DIV/0!</v>
      </c>
      <c r="AT103" s="29" t="str">
        <f t="shared" si="106"/>
        <v>#DIV/0!</v>
      </c>
      <c r="AU103" s="29" t="str">
        <f t="shared" si="106"/>
        <v>#DIV/0!</v>
      </c>
      <c r="AV103" s="29" t="str">
        <f t="shared" si="106"/>
        <v>#DIV/0!</v>
      </c>
      <c r="AW103" s="29" t="str">
        <f t="shared" si="106"/>
        <v>#DIV/0!</v>
      </c>
      <c r="AX103" s="29" t="str">
        <f t="shared" si="106"/>
        <v>#DIV/0!</v>
      </c>
      <c r="AY103" s="29" t="str">
        <f t="shared" si="106"/>
        <v>#DIV/0!</v>
      </c>
      <c r="AZ103" s="29" t="str">
        <f t="shared" si="106"/>
        <v>#DIV/0!</v>
      </c>
      <c r="BA103" s="29" t="str">
        <f t="shared" si="106"/>
        <v>#DIV/0!</v>
      </c>
      <c r="BB103" s="29" t="str">
        <f t="shared" si="106"/>
        <v>#DIV/0!</v>
      </c>
      <c r="BC103" s="29" t="str">
        <f t="shared" si="106"/>
        <v>#DIV/0!</v>
      </c>
      <c r="BD103" s="29" t="str">
        <f t="shared" si="106"/>
        <v>#DIV/0!</v>
      </c>
      <c r="BE103" s="29" t="str">
        <f t="shared" si="106"/>
        <v>#DIV/0!</v>
      </c>
      <c r="BF103" s="29" t="str">
        <f t="shared" si="106"/>
        <v>#DIV/0!</v>
      </c>
      <c r="BG103" s="29" t="str">
        <f t="shared" si="106"/>
        <v>#DIV/0!</v>
      </c>
      <c r="BH103" s="29" t="str">
        <f t="shared" si="106"/>
        <v>#DIV/0!</v>
      </c>
      <c r="BI103" s="29" t="str">
        <f t="shared" si="106"/>
        <v>#DIV/0!</v>
      </c>
      <c r="BJ103" s="29" t="str">
        <f t="shared" si="106"/>
        <v>#DIV/0!</v>
      </c>
      <c r="BK103" s="29" t="str">
        <f t="shared" si="106"/>
        <v>#DIV/0!</v>
      </c>
      <c r="BL103" s="29" t="str">
        <f t="shared" si="106"/>
        <v>#DIV/0!</v>
      </c>
      <c r="BM103" s="29" t="str">
        <f t="shared" si="3"/>
        <v>#DIV/0!</v>
      </c>
    </row>
    <row r="104">
      <c r="A104" s="16" t="str">
        <f>IFERROR(__xludf.DUMMYFUNCTION("IFERROR(SPARKLINE(SORT(MAP(TRANSPOSE(AQ104:BL104), LAMBDA(val, IF(ISNUMBER(val), PERCENTRANK(AQ104:BL104, val)+0.01, 0))), SEQUENCE(COLUMNS(AQ104:BL104)), FALSE), {""charttype"",""column""; ""color"",""chartreuse""; ""ymin"", 0; ""ymax"", 1.01; ""highcolo"&amp;"r"", ""darkgreen""; ""lowcolor"", ""red""}), """")"),"")</f>
        <v/>
      </c>
      <c r="B104" s="17" t="str">
        <f t="shared" si="4"/>
        <v/>
      </c>
      <c r="C104" s="1" t="s">
        <v>488</v>
      </c>
      <c r="D104" s="30" t="str">
        <f>IFERROR(__xludf.DUMMYFUNCTION("IFERROR(GOOGLEFINANCE(C104, ""NAME""))"),"Evertec Inc")</f>
        <v>Evertec Inc</v>
      </c>
      <c r="E104" s="30" t="s">
        <v>58</v>
      </c>
      <c r="F104" s="33" t="str">
        <f>IFERROR(__xludf.DUMMYFUNCTION("( (GOOGLEFINANCE(C104, ""price"") - Q104) / Q104 ) / (R104 / 100)"),"Loading...")</f>
        <v>Loading...</v>
      </c>
      <c r="G104" s="20" t="str">
        <f>IFERROR(__xludf.DUMMYFUNCTION("AVERAGE(ARRAYFORMULA(100 * (QUERY(GOOGLEFINANCE(C104, ""high"", TODAY()-40, TODAY()), ""SELECT Col2 WHERE Col2 IS NOT NULL ORDER BY Col1 DESC LIMIT 20"", 0) / QUERY(GOOGLEFINANCE(C104, ""low"", TODAY()-40, TODAY()), ""SELECT Col2 WHERE Col2 IS NOT NULL OR"&amp;"DER BY Col1 DESC LIMIT 20"", 0) - 1)))"),"#N/A")</f>
        <v>#N/A</v>
      </c>
      <c r="H104" s="35" t="str">
        <f t="shared" si="6"/>
        <v/>
      </c>
      <c r="I104" s="36" t="str">
        <f t="shared" si="7"/>
        <v/>
      </c>
      <c r="J104" s="37" t="str">
        <f>IFERROR(__xludf.DUMMYFUNCTION("IFERROR(
  IF(C104="""",, 
    IFERROR(
      GOOGLEFINANCE(C104, ""price"") * GOOGLEFINANCE(C104, ""volumeavg""), 
      GOOGLEFINANCE(C104, ""price"") * AVERAGE(QUERY(GOOGLEFINANCE(C104, ""volume"", TODAY()-40, TODAY()), ""SELECT Col2 WHERE Col2 IS NOT "&amp;"NULL ORDER BY Col1 DESC LIMIT 20"", 0))
    )
  ), 
"""")"),"")</f>
        <v/>
      </c>
      <c r="K104" s="21" t="str">
        <f>IFERROR(__xludf.DUMMYFUNCTION("IFERROR(GOOGLEFINANCE(C104, ""changepct"") / 100, """")"),"")</f>
        <v/>
      </c>
      <c r="L104" s="21" t="str">
        <f>IFERROR(__xludf.DUMMYFUNCTION("IFERROR((GOOGLEFINANCE(C104, ""price"") / INDEX(GOOGLEFINANCE(C104, ""price"", TODAY()-7, TODAY()), 2, 2)) - 1, """")"),"")</f>
        <v/>
      </c>
      <c r="M104" s="21" t="str">
        <f>IFERROR(__xludf.DUMMYFUNCTION("IFERROR((GOOGLEFINANCE(C104, ""price"") / INDEX(GOOGLEFINANCE(C104, ""price"", EDATE(TODAY(), -1), TODAY()), 2, 2)) - 1, """")"),"")</f>
        <v/>
      </c>
      <c r="N104" s="21" t="str">
        <f>IFERROR(__xludf.DUMMYFUNCTION("IFERROR((GOOGLEFINANCE(C104, ""price"") / INDEX(GOOGLEFINANCE(C104, ""price"", EDATE(TODAY(), -3), TODAY()), 2, 2)) - 1, """")"),"")</f>
        <v/>
      </c>
      <c r="O104" s="21" t="str">
        <f>IFERROR(__xludf.DUMMYFUNCTION("IFERROR((GOOGLEFINANCE(C104, ""price"") / INDEX(GOOGLEFINANCE(C104, ""price"", EDATE(TODAY(), -6), TODAY()), 2, 2)) - 1, """")"),"")</f>
        <v/>
      </c>
      <c r="P104" s="21" t="str">
        <f>IFERROR(__xludf.DUMMYFUNCTION("IFERROR((GOOGLEFINANCE(C104, ""price"") / INDEX(GOOGLEFINANCE(C104, ""price"", EDATE(TODAY(), -12), TODAY()), 2, 2)) - 1, """")"),"")</f>
        <v/>
      </c>
      <c r="Q104" s="6" t="str">
        <f>IFERROR(__xludf.DUMMYFUNCTION("AVERAGE(QUERY(GOOGLEFINANCE(C104, ""price"", TODAY()-80, TODAY()), ""SELECT Col2 WHERE Col2 IS NOT NULL ORDER BY Col1 DESC LIMIT 50"", 0))"),"#N/A")</f>
        <v>#N/A</v>
      </c>
      <c r="R104" s="24" t="str">
        <f>IFERROR(__xludf.DUMMYFUNCTION("IFERROR(
  LET(
    data, QUERY(GOOGLEFINANCE(C104,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GOOGLEFINANCE(C104, ""price"")) * 100,
    IF(calc=0, G104, calc)
  ), 
G104)"),"#N/A")</f>
        <v>#N/A</v>
      </c>
      <c r="S104" s="8" t="s">
        <v>15</v>
      </c>
      <c r="T104" s="26" t="str">
        <f>IFERROR(__xludf.DUMMYFUNCTION("IFERROR(TRANSPOSE(QUERY(IFERROR(SORT(GOOGLEFINANCE(C104, ""price"", WORKDAY(TODAY(), -40), TODAY()), 1, FALSE)), ""select Col2 where Col2 is not null limit 22 label Col2 ''"", 0)), """")"),"")</f>
        <v/>
      </c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8"/>
      <c r="AO104" s="28"/>
      <c r="AP104" s="29"/>
      <c r="AQ104" s="29" t="str">
        <f t="shared" ref="AQ104:BL104" si="107">T104/T$2</f>
        <v>#N/A</v>
      </c>
      <c r="AR104" s="29" t="str">
        <f t="shared" si="107"/>
        <v>#DIV/0!</v>
      </c>
      <c r="AS104" s="29" t="str">
        <f t="shared" si="107"/>
        <v>#DIV/0!</v>
      </c>
      <c r="AT104" s="29" t="str">
        <f t="shared" si="107"/>
        <v>#DIV/0!</v>
      </c>
      <c r="AU104" s="29" t="str">
        <f t="shared" si="107"/>
        <v>#DIV/0!</v>
      </c>
      <c r="AV104" s="29" t="str">
        <f t="shared" si="107"/>
        <v>#DIV/0!</v>
      </c>
      <c r="AW104" s="29" t="str">
        <f t="shared" si="107"/>
        <v>#DIV/0!</v>
      </c>
      <c r="AX104" s="29" t="str">
        <f t="shared" si="107"/>
        <v>#DIV/0!</v>
      </c>
      <c r="AY104" s="29" t="str">
        <f t="shared" si="107"/>
        <v>#DIV/0!</v>
      </c>
      <c r="AZ104" s="29" t="str">
        <f t="shared" si="107"/>
        <v>#DIV/0!</v>
      </c>
      <c r="BA104" s="29" t="str">
        <f t="shared" si="107"/>
        <v>#DIV/0!</v>
      </c>
      <c r="BB104" s="29" t="str">
        <f t="shared" si="107"/>
        <v>#DIV/0!</v>
      </c>
      <c r="BC104" s="29" t="str">
        <f t="shared" si="107"/>
        <v>#DIV/0!</v>
      </c>
      <c r="BD104" s="29" t="str">
        <f t="shared" si="107"/>
        <v>#DIV/0!</v>
      </c>
      <c r="BE104" s="29" t="str">
        <f t="shared" si="107"/>
        <v>#DIV/0!</v>
      </c>
      <c r="BF104" s="29" t="str">
        <f t="shared" si="107"/>
        <v>#DIV/0!</v>
      </c>
      <c r="BG104" s="29" t="str">
        <f t="shared" si="107"/>
        <v>#DIV/0!</v>
      </c>
      <c r="BH104" s="29" t="str">
        <f t="shared" si="107"/>
        <v>#DIV/0!</v>
      </c>
      <c r="BI104" s="29" t="str">
        <f t="shared" si="107"/>
        <v>#DIV/0!</v>
      </c>
      <c r="BJ104" s="29" t="str">
        <f t="shared" si="107"/>
        <v>#DIV/0!</v>
      </c>
      <c r="BK104" s="29" t="str">
        <f t="shared" si="107"/>
        <v>#DIV/0!</v>
      </c>
      <c r="BL104" s="29" t="str">
        <f t="shared" si="107"/>
        <v>#DIV/0!</v>
      </c>
      <c r="BM104" s="29" t="str">
        <f t="shared" si="3"/>
        <v>#DIV/0!</v>
      </c>
    </row>
    <row r="105">
      <c r="A105" s="16" t="str">
        <f>IFERROR(__xludf.DUMMYFUNCTION("IFERROR(SPARKLINE(SORT(MAP(TRANSPOSE(AQ105:BL105), LAMBDA(val, IF(ISNUMBER(val), PERCENTRANK(AQ105:BL105, val)+0.01, 0))), SEQUENCE(COLUMNS(AQ105:BL105)), FALSE), {""charttype"",""column""; ""color"",""chartreuse""; ""ymin"", 0; ""ymax"", 1.01; ""highcolo"&amp;"r"", ""darkgreen""; ""lowcolor"", ""red""}), """")"),"")</f>
        <v/>
      </c>
      <c r="B105" s="17" t="str">
        <f t="shared" si="4"/>
        <v/>
      </c>
      <c r="C105" s="1" t="s">
        <v>492</v>
      </c>
      <c r="D105" s="30" t="str">
        <f>IFERROR(__xludf.DUMMYFUNCTION("IFERROR(GOOGLEFINANCE(C105, ""NAME""))"),"Samsara Inc (Nevada)")</f>
        <v>Samsara Inc (Nevada)</v>
      </c>
      <c r="E105" s="30" t="s">
        <v>58</v>
      </c>
      <c r="F105" s="33" t="str">
        <f>IFERROR(__xludf.DUMMYFUNCTION("( (GOOGLEFINANCE(C105, ""price"") - Q105) / Q105 ) / (R105 / 100)"),"Loading...")</f>
        <v>Loading...</v>
      </c>
      <c r="G105" s="20" t="str">
        <f>IFERROR(__xludf.DUMMYFUNCTION("AVERAGE(ARRAYFORMULA(100 * (QUERY(GOOGLEFINANCE(C105, ""high"", TODAY()-40, TODAY()), ""SELECT Col2 WHERE Col2 IS NOT NULL ORDER BY Col1 DESC LIMIT 20"", 0) / QUERY(GOOGLEFINANCE(C105, ""low"", TODAY()-40, TODAY()), ""SELECT Col2 WHERE Col2 IS NOT NULL OR"&amp;"DER BY Col1 DESC LIMIT 20"", 0) - 1)))"),"#N/A")</f>
        <v>#N/A</v>
      </c>
      <c r="H105" s="35" t="str">
        <f t="shared" si="6"/>
        <v/>
      </c>
      <c r="I105" s="36" t="str">
        <f t="shared" si="7"/>
        <v/>
      </c>
      <c r="J105" s="37" t="str">
        <f>IFERROR(__xludf.DUMMYFUNCTION("IFERROR(
  IF(C105="""",, 
    IFERROR(
      GOOGLEFINANCE(C105, ""price"") * GOOGLEFINANCE(C105, ""volumeavg""), 
      GOOGLEFINANCE(C105, ""price"") * AVERAGE(QUERY(GOOGLEFINANCE(C105, ""volume"", TODAY()-40, TODAY()), ""SELECT Col2 WHERE Col2 IS NOT "&amp;"NULL ORDER BY Col1 DESC LIMIT 20"", 0))
    )
  ), 
"""")"),"")</f>
        <v/>
      </c>
      <c r="K105" s="21" t="str">
        <f>IFERROR(__xludf.DUMMYFUNCTION("IFERROR(GOOGLEFINANCE(C105, ""changepct"") / 100, """")"),"")</f>
        <v/>
      </c>
      <c r="L105" s="21" t="str">
        <f>IFERROR(__xludf.DUMMYFUNCTION("IFERROR((GOOGLEFINANCE(C105, ""price"") / INDEX(GOOGLEFINANCE(C105, ""price"", TODAY()-7, TODAY()), 2, 2)) - 1, """")"),"")</f>
        <v/>
      </c>
      <c r="M105" s="21" t="str">
        <f>IFERROR(__xludf.DUMMYFUNCTION("IFERROR((GOOGLEFINANCE(C105, ""price"") / INDEX(GOOGLEFINANCE(C105, ""price"", EDATE(TODAY(), -1), TODAY()), 2, 2)) - 1, """")"),"")</f>
        <v/>
      </c>
      <c r="N105" s="21" t="str">
        <f>IFERROR(__xludf.DUMMYFUNCTION("IFERROR((GOOGLEFINANCE(C105, ""price"") / INDEX(GOOGLEFINANCE(C105, ""price"", EDATE(TODAY(), -3), TODAY()), 2, 2)) - 1, """")"),"")</f>
        <v/>
      </c>
      <c r="O105" s="21" t="str">
        <f>IFERROR(__xludf.DUMMYFUNCTION("IFERROR((GOOGLEFINANCE(C105, ""price"") / INDEX(GOOGLEFINANCE(C105, ""price"", EDATE(TODAY(), -6), TODAY()), 2, 2)) - 1, """")"),"")</f>
        <v/>
      </c>
      <c r="P105" s="21" t="str">
        <f>IFERROR(__xludf.DUMMYFUNCTION("IFERROR((GOOGLEFINANCE(C105, ""price"") / INDEX(GOOGLEFINANCE(C105, ""price"", EDATE(TODAY(), -12), TODAY()), 2, 2)) - 1, """")"),"")</f>
        <v/>
      </c>
      <c r="Q105" s="6" t="str">
        <f>IFERROR(__xludf.DUMMYFUNCTION("AVERAGE(QUERY(GOOGLEFINANCE(C105, ""price"", TODAY()-80, TODAY()), ""SELECT Col2 WHERE Col2 IS NOT NULL ORDER BY Col1 DESC LIMIT 50"", 0))"),"#N/A")</f>
        <v>#N/A</v>
      </c>
      <c r="R105" s="24" t="str">
        <f>IFERROR(__xludf.DUMMYFUNCTION("IFERROR(
  LET(
    data, QUERY(GOOGLEFINANCE(C105,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GOOGLEFINANCE(C105, ""price"")) * 100,
    IF(calc=0, G105, calc)
  ), 
G105)"),"#N/A")</f>
        <v>#N/A</v>
      </c>
      <c r="S105" s="8" t="s">
        <v>15</v>
      </c>
      <c r="T105" s="26" t="str">
        <f>IFERROR(__xludf.DUMMYFUNCTION("IFERROR(TRANSPOSE(QUERY(IFERROR(SORT(GOOGLEFINANCE(C105, ""price"", WORKDAY(TODAY(), -40), TODAY()), 1, FALSE)), ""select Col2 where Col2 is not null limit 22 label Col2 ''"", 0)), """")"),"")</f>
        <v/>
      </c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8"/>
      <c r="AO105" s="28"/>
      <c r="AP105" s="29"/>
      <c r="AQ105" s="29" t="str">
        <f t="shared" ref="AQ105:BL105" si="108">T105/T$2</f>
        <v>#N/A</v>
      </c>
      <c r="AR105" s="29" t="str">
        <f t="shared" si="108"/>
        <v>#DIV/0!</v>
      </c>
      <c r="AS105" s="29" t="str">
        <f t="shared" si="108"/>
        <v>#DIV/0!</v>
      </c>
      <c r="AT105" s="29" t="str">
        <f t="shared" si="108"/>
        <v>#DIV/0!</v>
      </c>
      <c r="AU105" s="29" t="str">
        <f t="shared" si="108"/>
        <v>#DIV/0!</v>
      </c>
      <c r="AV105" s="29" t="str">
        <f t="shared" si="108"/>
        <v>#DIV/0!</v>
      </c>
      <c r="AW105" s="29" t="str">
        <f t="shared" si="108"/>
        <v>#DIV/0!</v>
      </c>
      <c r="AX105" s="29" t="str">
        <f t="shared" si="108"/>
        <v>#DIV/0!</v>
      </c>
      <c r="AY105" s="29" t="str">
        <f t="shared" si="108"/>
        <v>#DIV/0!</v>
      </c>
      <c r="AZ105" s="29" t="str">
        <f t="shared" si="108"/>
        <v>#DIV/0!</v>
      </c>
      <c r="BA105" s="29" t="str">
        <f t="shared" si="108"/>
        <v>#DIV/0!</v>
      </c>
      <c r="BB105" s="29" t="str">
        <f t="shared" si="108"/>
        <v>#DIV/0!</v>
      </c>
      <c r="BC105" s="29" t="str">
        <f t="shared" si="108"/>
        <v>#DIV/0!</v>
      </c>
      <c r="BD105" s="29" t="str">
        <f t="shared" si="108"/>
        <v>#DIV/0!</v>
      </c>
      <c r="BE105" s="29" t="str">
        <f t="shared" si="108"/>
        <v>#DIV/0!</v>
      </c>
      <c r="BF105" s="29" t="str">
        <f t="shared" si="108"/>
        <v>#DIV/0!</v>
      </c>
      <c r="BG105" s="29" t="str">
        <f t="shared" si="108"/>
        <v>#DIV/0!</v>
      </c>
      <c r="BH105" s="29" t="str">
        <f t="shared" si="108"/>
        <v>#DIV/0!</v>
      </c>
      <c r="BI105" s="29" t="str">
        <f t="shared" si="108"/>
        <v>#DIV/0!</v>
      </c>
      <c r="BJ105" s="29" t="str">
        <f t="shared" si="108"/>
        <v>#DIV/0!</v>
      </c>
      <c r="BK105" s="29" t="str">
        <f t="shared" si="108"/>
        <v>#DIV/0!</v>
      </c>
      <c r="BL105" s="29" t="str">
        <f t="shared" si="108"/>
        <v>#DIV/0!</v>
      </c>
      <c r="BM105" s="29" t="str">
        <f t="shared" si="3"/>
        <v>#DIV/0!</v>
      </c>
    </row>
    <row r="106">
      <c r="A106" s="16" t="str">
        <f>IFERROR(__xludf.DUMMYFUNCTION("IFERROR(SPARKLINE(SORT(MAP(TRANSPOSE(AQ106:BL106), LAMBDA(val, IF(ISNUMBER(val), PERCENTRANK(AQ106:BL106, val)+0.01, 0))), SEQUENCE(COLUMNS(AQ106:BL106)), FALSE), {""charttype"",""column""; ""color"",""chartreuse""; ""ymin"", 0; ""ymax"", 1.01; ""highcolo"&amp;"r"", ""darkgreen""; ""lowcolor"", ""red""}), """")"),"")</f>
        <v/>
      </c>
      <c r="B106" s="17" t="str">
        <f t="shared" si="4"/>
        <v/>
      </c>
      <c r="C106" s="1" t="s">
        <v>496</v>
      </c>
      <c r="D106" s="30" t="str">
        <f>IFERROR(__xludf.DUMMYFUNCTION("IFERROR(GOOGLEFINANCE(C106, ""NAME""))"),"Bakkt Inc")</f>
        <v>Bakkt Inc</v>
      </c>
      <c r="E106" s="30" t="s">
        <v>58</v>
      </c>
      <c r="F106" s="33" t="str">
        <f>IFERROR(__xludf.DUMMYFUNCTION("( (GOOGLEFINANCE(C106, ""price"") - Q106) / Q106 ) / (R106 / 100)"),"Loading...")</f>
        <v>Loading...</v>
      </c>
      <c r="G106" s="20" t="str">
        <f>IFERROR(__xludf.DUMMYFUNCTION("AVERAGE(ARRAYFORMULA(100 * (QUERY(GOOGLEFINANCE(C106, ""high"", TODAY()-40, TODAY()), ""SELECT Col2 WHERE Col2 IS NOT NULL ORDER BY Col1 DESC LIMIT 20"", 0) / QUERY(GOOGLEFINANCE(C106, ""low"", TODAY()-40, TODAY()), ""SELECT Col2 WHERE Col2 IS NOT NULL OR"&amp;"DER BY Col1 DESC LIMIT 20"", 0) - 1)))"),"#N/A")</f>
        <v>#N/A</v>
      </c>
      <c r="H106" s="35" t="str">
        <f t="shared" si="6"/>
        <v/>
      </c>
      <c r="I106" s="36" t="str">
        <f t="shared" si="7"/>
        <v/>
      </c>
      <c r="J106" s="37" t="str">
        <f>IFERROR(__xludf.DUMMYFUNCTION("IFERROR(
  IF(C106="""",, 
    IFERROR(
      GOOGLEFINANCE(C106, ""price"") * GOOGLEFINANCE(C106, ""volumeavg""), 
      GOOGLEFINANCE(C106, ""price"") * AVERAGE(QUERY(GOOGLEFINANCE(C106, ""volume"", TODAY()-40, TODAY()), ""SELECT Col2 WHERE Col2 IS NOT "&amp;"NULL ORDER BY Col1 DESC LIMIT 20"", 0))
    )
  ), 
"""")"),"")</f>
        <v/>
      </c>
      <c r="K106" s="21" t="str">
        <f>IFERROR(__xludf.DUMMYFUNCTION("IFERROR(GOOGLEFINANCE(C106, ""changepct"") / 100, """")"),"")</f>
        <v/>
      </c>
      <c r="L106" s="21" t="str">
        <f>IFERROR(__xludf.DUMMYFUNCTION("IFERROR((GOOGLEFINANCE(C106, ""price"") / INDEX(GOOGLEFINANCE(C106, ""price"", TODAY()-7, TODAY()), 2, 2)) - 1, """")"),"")</f>
        <v/>
      </c>
      <c r="M106" s="21" t="str">
        <f>IFERROR(__xludf.DUMMYFUNCTION("IFERROR((GOOGLEFINANCE(C106, ""price"") / INDEX(GOOGLEFINANCE(C106, ""price"", EDATE(TODAY(), -1), TODAY()), 2, 2)) - 1, """")"),"")</f>
        <v/>
      </c>
      <c r="N106" s="21" t="str">
        <f>IFERROR(__xludf.DUMMYFUNCTION("IFERROR((GOOGLEFINANCE(C106, ""price"") / INDEX(GOOGLEFINANCE(C106, ""price"", EDATE(TODAY(), -3), TODAY()), 2, 2)) - 1, """")"),"")</f>
        <v/>
      </c>
      <c r="O106" s="21" t="str">
        <f>IFERROR(__xludf.DUMMYFUNCTION("IFERROR((GOOGLEFINANCE(C106, ""price"") / INDEX(GOOGLEFINANCE(C106, ""price"", EDATE(TODAY(), -6), TODAY()), 2, 2)) - 1, """")"),"")</f>
        <v/>
      </c>
      <c r="P106" s="21" t="str">
        <f>IFERROR(__xludf.DUMMYFUNCTION("IFERROR((GOOGLEFINANCE(C106, ""price"") / INDEX(GOOGLEFINANCE(C106, ""price"", EDATE(TODAY(), -12), TODAY()), 2, 2)) - 1, """")"),"")</f>
        <v/>
      </c>
      <c r="Q106" s="6" t="str">
        <f>IFERROR(__xludf.DUMMYFUNCTION("AVERAGE(QUERY(GOOGLEFINANCE(C106, ""price"", TODAY()-80, TODAY()), ""SELECT Col2 WHERE Col2 IS NOT NULL ORDER BY Col1 DESC LIMIT 50"", 0))"),"#N/A")</f>
        <v>#N/A</v>
      </c>
      <c r="R106" s="24" t="str">
        <f>IFERROR(__xludf.DUMMYFUNCTION("IFERROR(
  LET(
    data, QUERY(GOOGLEFINANCE(C106,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GOOGLEFINANCE(C106, ""price"")) * 100,
    IF(calc=0, G106, calc)
  ), 
G106)"),"#N/A")</f>
        <v>#N/A</v>
      </c>
      <c r="S106" s="8" t="s">
        <v>15</v>
      </c>
      <c r="T106" s="26" t="str">
        <f>IFERROR(__xludf.DUMMYFUNCTION("IFERROR(TRANSPOSE(QUERY(IFERROR(SORT(GOOGLEFINANCE(C106, ""price"", WORKDAY(TODAY(), -40), TODAY()), 1, FALSE)), ""select Col2 where Col2 is not null limit 22 label Col2 ''"", 0)), """")"),"")</f>
        <v/>
      </c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8"/>
      <c r="AO106" s="28"/>
      <c r="AP106" s="29"/>
      <c r="AQ106" s="29" t="str">
        <f t="shared" ref="AQ106:BL106" si="109">T106/T$2</f>
        <v>#N/A</v>
      </c>
      <c r="AR106" s="29" t="str">
        <f t="shared" si="109"/>
        <v>#DIV/0!</v>
      </c>
      <c r="AS106" s="29" t="str">
        <f t="shared" si="109"/>
        <v>#DIV/0!</v>
      </c>
      <c r="AT106" s="29" t="str">
        <f t="shared" si="109"/>
        <v>#DIV/0!</v>
      </c>
      <c r="AU106" s="29" t="str">
        <f t="shared" si="109"/>
        <v>#DIV/0!</v>
      </c>
      <c r="AV106" s="29" t="str">
        <f t="shared" si="109"/>
        <v>#DIV/0!</v>
      </c>
      <c r="AW106" s="29" t="str">
        <f t="shared" si="109"/>
        <v>#DIV/0!</v>
      </c>
      <c r="AX106" s="29" t="str">
        <f t="shared" si="109"/>
        <v>#DIV/0!</v>
      </c>
      <c r="AY106" s="29" t="str">
        <f t="shared" si="109"/>
        <v>#DIV/0!</v>
      </c>
      <c r="AZ106" s="29" t="str">
        <f t="shared" si="109"/>
        <v>#DIV/0!</v>
      </c>
      <c r="BA106" s="29" t="str">
        <f t="shared" si="109"/>
        <v>#DIV/0!</v>
      </c>
      <c r="BB106" s="29" t="str">
        <f t="shared" si="109"/>
        <v>#DIV/0!</v>
      </c>
      <c r="BC106" s="29" t="str">
        <f t="shared" si="109"/>
        <v>#DIV/0!</v>
      </c>
      <c r="BD106" s="29" t="str">
        <f t="shared" si="109"/>
        <v>#DIV/0!</v>
      </c>
      <c r="BE106" s="29" t="str">
        <f t="shared" si="109"/>
        <v>#DIV/0!</v>
      </c>
      <c r="BF106" s="29" t="str">
        <f t="shared" si="109"/>
        <v>#DIV/0!</v>
      </c>
      <c r="BG106" s="29" t="str">
        <f t="shared" si="109"/>
        <v>#DIV/0!</v>
      </c>
      <c r="BH106" s="29" t="str">
        <f t="shared" si="109"/>
        <v>#DIV/0!</v>
      </c>
      <c r="BI106" s="29" t="str">
        <f t="shared" si="109"/>
        <v>#DIV/0!</v>
      </c>
      <c r="BJ106" s="29" t="str">
        <f t="shared" si="109"/>
        <v>#DIV/0!</v>
      </c>
      <c r="BK106" s="29" t="str">
        <f t="shared" si="109"/>
        <v>#DIV/0!</v>
      </c>
      <c r="BL106" s="29" t="str">
        <f t="shared" si="109"/>
        <v>#DIV/0!</v>
      </c>
      <c r="BM106" s="29" t="str">
        <f t="shared" si="3"/>
        <v>#DIV/0!</v>
      </c>
    </row>
    <row r="107">
      <c r="A107" s="16" t="str">
        <f>IFERROR(__xludf.DUMMYFUNCTION("IFERROR(SPARKLINE(SORT(MAP(TRANSPOSE(AQ107:BL107), LAMBDA(val, IF(ISNUMBER(val), PERCENTRANK(AQ107:BL107, val)+0.01, 0))), SEQUENCE(COLUMNS(AQ107:BL107)), FALSE), {""charttype"",""column""; ""color"",""chartreuse""; ""ymin"", 0; ""ymax"", 1.01; ""highcolo"&amp;"r"", ""darkgreen""; ""lowcolor"", ""red""}), """")"),"")</f>
        <v/>
      </c>
      <c r="B107" s="17" t="str">
        <f t="shared" si="4"/>
        <v/>
      </c>
      <c r="C107" s="1" t="s">
        <v>501</v>
      </c>
      <c r="D107" s="30" t="str">
        <f>IFERROR(__xludf.DUMMYFUNCTION("IFERROR(GOOGLEFINANCE(C107, ""NAME""))"),"NCR Voyix Corp")</f>
        <v>NCR Voyix Corp</v>
      </c>
      <c r="E107" s="30" t="s">
        <v>102</v>
      </c>
      <c r="F107" s="33" t="str">
        <f>IFERROR(__xludf.DUMMYFUNCTION("( (GOOGLEFINANCE(C107, ""price"") - Q107) / Q107 ) / (R107 / 100)"),"Loading...")</f>
        <v>Loading...</v>
      </c>
      <c r="G107" s="20" t="str">
        <f>IFERROR(__xludf.DUMMYFUNCTION("AVERAGE(ARRAYFORMULA(100 * (QUERY(GOOGLEFINANCE(C107, ""high"", TODAY()-40, TODAY()), ""SELECT Col2 WHERE Col2 IS NOT NULL ORDER BY Col1 DESC LIMIT 20"", 0) / QUERY(GOOGLEFINANCE(C107, ""low"", TODAY()-40, TODAY()), ""SELECT Col2 WHERE Col2 IS NOT NULL OR"&amp;"DER BY Col1 DESC LIMIT 20"", 0) - 1)))"),"#N/A")</f>
        <v>#N/A</v>
      </c>
      <c r="H107" s="35" t="str">
        <f t="shared" si="6"/>
        <v/>
      </c>
      <c r="I107" s="36" t="str">
        <f t="shared" si="7"/>
        <v/>
      </c>
      <c r="J107" s="37" t="str">
        <f>IFERROR(__xludf.DUMMYFUNCTION("IFERROR(
  IF(C107="""",, 
    IFERROR(
      GOOGLEFINANCE(C107, ""price"") * GOOGLEFINANCE(C107, ""volumeavg""), 
      GOOGLEFINANCE(C107, ""price"") * AVERAGE(QUERY(GOOGLEFINANCE(C107, ""volume"", TODAY()-40, TODAY()), ""SELECT Col2 WHERE Col2 IS NOT "&amp;"NULL ORDER BY Col1 DESC LIMIT 20"", 0))
    )
  ), 
"""")"),"")</f>
        <v/>
      </c>
      <c r="K107" s="21" t="str">
        <f>IFERROR(__xludf.DUMMYFUNCTION("IFERROR(GOOGLEFINANCE(C107, ""changepct"") / 100, """")"),"")</f>
        <v/>
      </c>
      <c r="L107" s="21" t="str">
        <f>IFERROR(__xludf.DUMMYFUNCTION("IFERROR((GOOGLEFINANCE(C107, ""price"") / INDEX(GOOGLEFINANCE(C107, ""price"", TODAY()-7, TODAY()), 2, 2)) - 1, """")"),"")</f>
        <v/>
      </c>
      <c r="M107" s="21" t="str">
        <f>IFERROR(__xludf.DUMMYFUNCTION("IFERROR((GOOGLEFINANCE(C107, ""price"") / INDEX(GOOGLEFINANCE(C107, ""price"", EDATE(TODAY(), -1), TODAY()), 2, 2)) - 1, """")"),"")</f>
        <v/>
      </c>
      <c r="N107" s="21" t="str">
        <f>IFERROR(__xludf.DUMMYFUNCTION("IFERROR((GOOGLEFINANCE(C107, ""price"") / INDEX(GOOGLEFINANCE(C107, ""price"", EDATE(TODAY(), -3), TODAY()), 2, 2)) - 1, """")"),"")</f>
        <v/>
      </c>
      <c r="O107" s="21" t="str">
        <f>IFERROR(__xludf.DUMMYFUNCTION("IFERROR((GOOGLEFINANCE(C107, ""price"") / INDEX(GOOGLEFINANCE(C107, ""price"", EDATE(TODAY(), -6), TODAY()), 2, 2)) - 1, """")"),"")</f>
        <v/>
      </c>
      <c r="P107" s="21" t="str">
        <f>IFERROR(__xludf.DUMMYFUNCTION("IFERROR((GOOGLEFINANCE(C107, ""price"") / INDEX(GOOGLEFINANCE(C107, ""price"", EDATE(TODAY(), -12), TODAY()), 2, 2)) - 1, """")"),"")</f>
        <v/>
      </c>
      <c r="Q107" s="6" t="str">
        <f>IFERROR(__xludf.DUMMYFUNCTION("AVERAGE(QUERY(GOOGLEFINANCE(C107, ""price"", TODAY()-80, TODAY()), ""SELECT Col2 WHERE Col2 IS NOT NULL ORDER BY Col1 DESC LIMIT 50"", 0))"),"#N/A")</f>
        <v>#N/A</v>
      </c>
      <c r="R107" s="24" t="str">
        <f>IFERROR(__xludf.DUMMYFUNCTION("IFERROR(
  LET(
    data, QUERY(GOOGLEFINANCE(C107,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GOOGLEFINANCE(C107, ""price"")) * 100,
    IF(calc=0, G107, calc)
  ), 
G107)"),"#N/A")</f>
        <v>#N/A</v>
      </c>
      <c r="S107" s="8" t="s">
        <v>15</v>
      </c>
      <c r="T107" s="26" t="str">
        <f>IFERROR(__xludf.DUMMYFUNCTION("IFERROR(TRANSPOSE(QUERY(IFERROR(SORT(GOOGLEFINANCE(C107, ""price"", WORKDAY(TODAY(), -40), TODAY()), 1, FALSE)), ""select Col2 where Col2 is not null limit 22 label Col2 ''"", 0)), """")"),"")</f>
        <v/>
      </c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8"/>
      <c r="AO107" s="28"/>
      <c r="AP107" s="29"/>
      <c r="AQ107" s="29" t="str">
        <f t="shared" ref="AQ107:BL107" si="110">T107/T$2</f>
        <v>#N/A</v>
      </c>
      <c r="AR107" s="29" t="str">
        <f t="shared" si="110"/>
        <v>#DIV/0!</v>
      </c>
      <c r="AS107" s="29" t="str">
        <f t="shared" si="110"/>
        <v>#DIV/0!</v>
      </c>
      <c r="AT107" s="29" t="str">
        <f t="shared" si="110"/>
        <v>#DIV/0!</v>
      </c>
      <c r="AU107" s="29" t="str">
        <f t="shared" si="110"/>
        <v>#DIV/0!</v>
      </c>
      <c r="AV107" s="29" t="str">
        <f t="shared" si="110"/>
        <v>#DIV/0!</v>
      </c>
      <c r="AW107" s="29" t="str">
        <f t="shared" si="110"/>
        <v>#DIV/0!</v>
      </c>
      <c r="AX107" s="29" t="str">
        <f t="shared" si="110"/>
        <v>#DIV/0!</v>
      </c>
      <c r="AY107" s="29" t="str">
        <f t="shared" si="110"/>
        <v>#DIV/0!</v>
      </c>
      <c r="AZ107" s="29" t="str">
        <f t="shared" si="110"/>
        <v>#DIV/0!</v>
      </c>
      <c r="BA107" s="29" t="str">
        <f t="shared" si="110"/>
        <v>#DIV/0!</v>
      </c>
      <c r="BB107" s="29" t="str">
        <f t="shared" si="110"/>
        <v>#DIV/0!</v>
      </c>
      <c r="BC107" s="29" t="str">
        <f t="shared" si="110"/>
        <v>#DIV/0!</v>
      </c>
      <c r="BD107" s="29" t="str">
        <f t="shared" si="110"/>
        <v>#DIV/0!</v>
      </c>
      <c r="BE107" s="29" t="str">
        <f t="shared" si="110"/>
        <v>#DIV/0!</v>
      </c>
      <c r="BF107" s="29" t="str">
        <f t="shared" si="110"/>
        <v>#DIV/0!</v>
      </c>
      <c r="BG107" s="29" t="str">
        <f t="shared" si="110"/>
        <v>#DIV/0!</v>
      </c>
      <c r="BH107" s="29" t="str">
        <f t="shared" si="110"/>
        <v>#DIV/0!</v>
      </c>
      <c r="BI107" s="29" t="str">
        <f t="shared" si="110"/>
        <v>#DIV/0!</v>
      </c>
      <c r="BJ107" s="29" t="str">
        <f t="shared" si="110"/>
        <v>#DIV/0!</v>
      </c>
      <c r="BK107" s="29" t="str">
        <f t="shared" si="110"/>
        <v>#DIV/0!</v>
      </c>
      <c r="BL107" s="29" t="str">
        <f t="shared" si="110"/>
        <v>#DIV/0!</v>
      </c>
      <c r="BM107" s="29" t="str">
        <f t="shared" si="3"/>
        <v>#DIV/0!</v>
      </c>
    </row>
    <row r="108">
      <c r="A108" s="16" t="str">
        <f>IFERROR(__xludf.DUMMYFUNCTION("IFERROR(SPARKLINE(SORT(MAP(TRANSPOSE(AQ108:BL108), LAMBDA(val, IF(ISNUMBER(val), PERCENTRANK(AQ108:BL108, val)+0.01, 0))), SEQUENCE(COLUMNS(AQ108:BL108)), FALSE), {""charttype"",""column""; ""color"",""chartreuse""; ""ymin"", 0; ""ymax"", 1.01; ""highcolo"&amp;"r"", ""darkgreen""; ""lowcolor"", ""red""}), """")"),"")</f>
        <v/>
      </c>
      <c r="B108" s="17" t="str">
        <f t="shared" si="4"/>
        <v/>
      </c>
      <c r="C108" s="1" t="s">
        <v>505</v>
      </c>
      <c r="D108" s="30" t="str">
        <f>IFERROR(__xludf.DUMMYFUNCTION("IFERROR(GOOGLEFINANCE(C108, ""NAME""))"),"A2Z Cust2Mate Solutions Corp")</f>
        <v>A2Z Cust2Mate Solutions Corp</v>
      </c>
      <c r="E108" s="30" t="s">
        <v>48</v>
      </c>
      <c r="F108" s="33" t="str">
        <f>IFERROR(__xludf.DUMMYFUNCTION("( (GOOGLEFINANCE(C108, ""price"") - Q108) / Q108 ) / (R108 / 100)"),"Loading...")</f>
        <v>Loading...</v>
      </c>
      <c r="G108" s="20" t="str">
        <f>IFERROR(__xludf.DUMMYFUNCTION("AVERAGE(ARRAYFORMULA(100 * (QUERY(GOOGLEFINANCE(C108, ""high"", TODAY()-40, TODAY()), ""SELECT Col2 WHERE Col2 IS NOT NULL ORDER BY Col1 DESC LIMIT 20"", 0) / QUERY(GOOGLEFINANCE(C108, ""low"", TODAY()-40, TODAY()), ""SELECT Col2 WHERE Col2 IS NOT NULL OR"&amp;"DER BY Col1 DESC LIMIT 20"", 0) - 1)))"),"#N/A")</f>
        <v>#N/A</v>
      </c>
      <c r="H108" s="35" t="str">
        <f t="shared" si="6"/>
        <v/>
      </c>
      <c r="I108" s="36" t="str">
        <f t="shared" si="7"/>
        <v/>
      </c>
      <c r="J108" s="37" t="str">
        <f>IFERROR(__xludf.DUMMYFUNCTION("IFERROR(
  IF(C108="""",, 
    IFERROR(
      GOOGLEFINANCE(C108, ""price"") * GOOGLEFINANCE(C108, ""volumeavg""), 
      GOOGLEFINANCE(C108, ""price"") * AVERAGE(QUERY(GOOGLEFINANCE(C108, ""volume"", TODAY()-40, TODAY()), ""SELECT Col2 WHERE Col2 IS NOT "&amp;"NULL ORDER BY Col1 DESC LIMIT 20"", 0))
    )
  ), 
"""")"),"")</f>
        <v/>
      </c>
      <c r="K108" s="21" t="str">
        <f>IFERROR(__xludf.DUMMYFUNCTION("IFERROR(GOOGLEFINANCE(C108, ""changepct"") / 100, """")"),"")</f>
        <v/>
      </c>
      <c r="L108" s="21" t="str">
        <f>IFERROR(__xludf.DUMMYFUNCTION("IFERROR((GOOGLEFINANCE(C108, ""price"") / INDEX(GOOGLEFINANCE(C108, ""price"", TODAY()-7, TODAY()), 2, 2)) - 1, """")"),"")</f>
        <v/>
      </c>
      <c r="M108" s="21" t="str">
        <f>IFERROR(__xludf.DUMMYFUNCTION("IFERROR((GOOGLEFINANCE(C108, ""price"") / INDEX(GOOGLEFINANCE(C108, ""price"", EDATE(TODAY(), -1), TODAY()), 2, 2)) - 1, """")"),"")</f>
        <v/>
      </c>
      <c r="N108" s="21" t="str">
        <f>IFERROR(__xludf.DUMMYFUNCTION("IFERROR((GOOGLEFINANCE(C108, ""price"") / INDEX(GOOGLEFINANCE(C108, ""price"", EDATE(TODAY(), -3), TODAY()), 2, 2)) - 1, """")"),"")</f>
        <v/>
      </c>
      <c r="O108" s="21" t="str">
        <f>IFERROR(__xludf.DUMMYFUNCTION("IFERROR((GOOGLEFINANCE(C108, ""price"") / INDEX(GOOGLEFINANCE(C108, ""price"", EDATE(TODAY(), -6), TODAY()), 2, 2)) - 1, """")"),"")</f>
        <v/>
      </c>
      <c r="P108" s="21" t="str">
        <f>IFERROR(__xludf.DUMMYFUNCTION("IFERROR((GOOGLEFINANCE(C108, ""price"") / INDEX(GOOGLEFINANCE(C108, ""price"", EDATE(TODAY(), -12), TODAY()), 2, 2)) - 1, """")"),"")</f>
        <v/>
      </c>
      <c r="Q108" s="6" t="str">
        <f>IFERROR(__xludf.DUMMYFUNCTION("AVERAGE(QUERY(GOOGLEFINANCE(C108, ""price"", TODAY()-80, TODAY()), ""SELECT Col2 WHERE Col2 IS NOT NULL ORDER BY Col1 DESC LIMIT 50"", 0))"),"#N/A")</f>
        <v>#N/A</v>
      </c>
      <c r="R108" s="24" t="str">
        <f>IFERROR(__xludf.DUMMYFUNCTION("IFERROR(
  LET(
    data, QUERY(GOOGLEFINANCE(C108,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GOOGLEFINANCE(C108, ""price"")) * 100,
    IF(calc=0, G108, calc)
  ), 
G108)"),"#N/A")</f>
        <v>#N/A</v>
      </c>
      <c r="S108" s="8" t="s">
        <v>15</v>
      </c>
      <c r="T108" s="26" t="str">
        <f>IFERROR(__xludf.DUMMYFUNCTION("IFERROR(TRANSPOSE(QUERY(IFERROR(SORT(GOOGLEFINANCE(C108, ""price"", WORKDAY(TODAY(), -40), TODAY()), 1, FALSE)), ""select Col2 where Col2 is not null limit 22 label Col2 ''"", 0)), """")"),"")</f>
        <v/>
      </c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8"/>
      <c r="AO108" s="28"/>
      <c r="AP108" s="29"/>
      <c r="AQ108" s="29" t="str">
        <f t="shared" ref="AQ108:BL108" si="111">T108/T$2</f>
        <v>#N/A</v>
      </c>
      <c r="AR108" s="29" t="str">
        <f t="shared" si="111"/>
        <v>#DIV/0!</v>
      </c>
      <c r="AS108" s="29" t="str">
        <f t="shared" si="111"/>
        <v>#DIV/0!</v>
      </c>
      <c r="AT108" s="29" t="str">
        <f t="shared" si="111"/>
        <v>#DIV/0!</v>
      </c>
      <c r="AU108" s="29" t="str">
        <f t="shared" si="111"/>
        <v>#DIV/0!</v>
      </c>
      <c r="AV108" s="29" t="str">
        <f t="shared" si="111"/>
        <v>#DIV/0!</v>
      </c>
      <c r="AW108" s="29" t="str">
        <f t="shared" si="111"/>
        <v>#DIV/0!</v>
      </c>
      <c r="AX108" s="29" t="str">
        <f t="shared" si="111"/>
        <v>#DIV/0!</v>
      </c>
      <c r="AY108" s="29" t="str">
        <f t="shared" si="111"/>
        <v>#DIV/0!</v>
      </c>
      <c r="AZ108" s="29" t="str">
        <f t="shared" si="111"/>
        <v>#DIV/0!</v>
      </c>
      <c r="BA108" s="29" t="str">
        <f t="shared" si="111"/>
        <v>#DIV/0!</v>
      </c>
      <c r="BB108" s="29" t="str">
        <f t="shared" si="111"/>
        <v>#DIV/0!</v>
      </c>
      <c r="BC108" s="29" t="str">
        <f t="shared" si="111"/>
        <v>#DIV/0!</v>
      </c>
      <c r="BD108" s="29" t="str">
        <f t="shared" si="111"/>
        <v>#DIV/0!</v>
      </c>
      <c r="BE108" s="29" t="str">
        <f t="shared" si="111"/>
        <v>#DIV/0!</v>
      </c>
      <c r="BF108" s="29" t="str">
        <f t="shared" si="111"/>
        <v>#DIV/0!</v>
      </c>
      <c r="BG108" s="29" t="str">
        <f t="shared" si="111"/>
        <v>#DIV/0!</v>
      </c>
      <c r="BH108" s="29" t="str">
        <f t="shared" si="111"/>
        <v>#DIV/0!</v>
      </c>
      <c r="BI108" s="29" t="str">
        <f t="shared" si="111"/>
        <v>#DIV/0!</v>
      </c>
      <c r="BJ108" s="29" t="str">
        <f t="shared" si="111"/>
        <v>#DIV/0!</v>
      </c>
      <c r="BK108" s="29" t="str">
        <f t="shared" si="111"/>
        <v>#DIV/0!</v>
      </c>
      <c r="BL108" s="29" t="str">
        <f t="shared" si="111"/>
        <v>#DIV/0!</v>
      </c>
      <c r="BM108" s="29" t="str">
        <f t="shared" si="3"/>
        <v>#DIV/0!</v>
      </c>
    </row>
    <row r="109">
      <c r="A109" s="16" t="str">
        <f>IFERROR(__xludf.DUMMYFUNCTION("IFERROR(SPARKLINE(SORT(MAP(TRANSPOSE(AQ109:BL109), LAMBDA(val, IF(ISNUMBER(val), PERCENTRANK(AQ109:BL109, val)+0.01, 0))), SEQUENCE(COLUMNS(AQ109:BL109)), FALSE), {""charttype"",""column""; ""color"",""chartreuse""; ""ymin"", 0; ""ymax"", 1.01; ""highcolo"&amp;"r"", ""darkgreen""; ""lowcolor"", ""red""}), """")"),"")</f>
        <v/>
      </c>
      <c r="B109" s="17" t="str">
        <f t="shared" si="4"/>
        <v/>
      </c>
      <c r="C109" s="1" t="s">
        <v>509</v>
      </c>
      <c r="D109" s="30" t="str">
        <f>IFERROR(__xludf.DUMMYFUNCTION("IFERROR(GOOGLEFINANCE(C109, ""NAME""))"),"TechTarget Inc")</f>
        <v>TechTarget Inc</v>
      </c>
      <c r="E109" s="30" t="s">
        <v>102</v>
      </c>
      <c r="F109" s="33" t="str">
        <f>IFERROR(__xludf.DUMMYFUNCTION("( (GOOGLEFINANCE(C109, ""price"") - Q109) / Q109 ) / (R109 / 100)"),"Loading...")</f>
        <v>Loading...</v>
      </c>
      <c r="G109" s="20" t="str">
        <f>IFERROR(__xludf.DUMMYFUNCTION("AVERAGE(ARRAYFORMULA(100 * (QUERY(GOOGLEFINANCE(C109, ""high"", TODAY()-40, TODAY()), ""SELECT Col2 WHERE Col2 IS NOT NULL ORDER BY Col1 DESC LIMIT 20"", 0) / QUERY(GOOGLEFINANCE(C109, ""low"", TODAY()-40, TODAY()), ""SELECT Col2 WHERE Col2 IS NOT NULL OR"&amp;"DER BY Col1 DESC LIMIT 20"", 0) - 1)))"),"#N/A")</f>
        <v>#N/A</v>
      </c>
      <c r="H109" s="35" t="str">
        <f t="shared" si="6"/>
        <v/>
      </c>
      <c r="I109" s="36" t="str">
        <f t="shared" si="7"/>
        <v/>
      </c>
      <c r="J109" s="37" t="str">
        <f>IFERROR(__xludf.DUMMYFUNCTION("IFERROR(
  IF(C109="""",, 
    IFERROR(
      GOOGLEFINANCE(C109, ""price"") * GOOGLEFINANCE(C109, ""volumeavg""), 
      GOOGLEFINANCE(C109, ""price"") * AVERAGE(QUERY(GOOGLEFINANCE(C109, ""volume"", TODAY()-40, TODAY()), ""SELECT Col2 WHERE Col2 IS NOT "&amp;"NULL ORDER BY Col1 DESC LIMIT 20"", 0))
    )
  ), 
"""")"),"")</f>
        <v/>
      </c>
      <c r="K109" s="21" t="str">
        <f>IFERROR(__xludf.DUMMYFUNCTION("IFERROR(GOOGLEFINANCE(C109, ""changepct"") / 100, """")"),"")</f>
        <v/>
      </c>
      <c r="L109" s="21" t="str">
        <f>IFERROR(__xludf.DUMMYFUNCTION("IFERROR((GOOGLEFINANCE(C109, ""price"") / INDEX(GOOGLEFINANCE(C109, ""price"", TODAY()-7, TODAY()), 2, 2)) - 1, """")"),"")</f>
        <v/>
      </c>
      <c r="M109" s="21" t="str">
        <f>IFERROR(__xludf.DUMMYFUNCTION("IFERROR((GOOGLEFINANCE(C109, ""price"") / INDEX(GOOGLEFINANCE(C109, ""price"", EDATE(TODAY(), -1), TODAY()), 2, 2)) - 1, """")"),"")</f>
        <v/>
      </c>
      <c r="N109" s="21" t="str">
        <f>IFERROR(__xludf.DUMMYFUNCTION("IFERROR((GOOGLEFINANCE(C109, ""price"") / INDEX(GOOGLEFINANCE(C109, ""price"", EDATE(TODAY(), -3), TODAY()), 2, 2)) - 1, """")"),"")</f>
        <v/>
      </c>
      <c r="O109" s="21" t="str">
        <f>IFERROR(__xludf.DUMMYFUNCTION("IFERROR((GOOGLEFINANCE(C109, ""price"") / INDEX(GOOGLEFINANCE(C109, ""price"", EDATE(TODAY(), -6), TODAY()), 2, 2)) - 1, """")"),"")</f>
        <v/>
      </c>
      <c r="P109" s="21" t="str">
        <f>IFERROR(__xludf.DUMMYFUNCTION("IFERROR((GOOGLEFINANCE(C109, ""price"") / INDEX(GOOGLEFINANCE(C109, ""price"", EDATE(TODAY(), -12), TODAY()), 2, 2)) - 1, """")"),"")</f>
        <v/>
      </c>
      <c r="Q109" s="6" t="str">
        <f>IFERROR(__xludf.DUMMYFUNCTION("AVERAGE(QUERY(GOOGLEFINANCE(C109, ""price"", TODAY()-80, TODAY()), ""SELECT Col2 WHERE Col2 IS NOT NULL ORDER BY Col1 DESC LIMIT 50"", 0))"),"#N/A")</f>
        <v>#N/A</v>
      </c>
      <c r="R109" s="24" t="str">
        <f>IFERROR(__xludf.DUMMYFUNCTION("IFERROR(
  LET(
    data, QUERY(GOOGLEFINANCE(C109,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GOOGLEFINANCE(C109, ""price"")) * 100,
    IF(calc=0, G109, calc)
  ), 
G109)"),"#N/A")</f>
        <v>#N/A</v>
      </c>
      <c r="S109" s="8" t="s">
        <v>15</v>
      </c>
      <c r="T109" s="26" t="str">
        <f>IFERROR(__xludf.DUMMYFUNCTION("IFERROR(TRANSPOSE(QUERY(IFERROR(SORT(GOOGLEFINANCE(C109, ""price"", WORKDAY(TODAY(), -40), TODAY()), 1, FALSE)), ""select Col2 where Col2 is not null limit 22 label Col2 ''"", 0)), """")"),"")</f>
        <v/>
      </c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8"/>
      <c r="AO109" s="28"/>
      <c r="AP109" s="29"/>
      <c r="AQ109" s="29" t="str">
        <f t="shared" ref="AQ109:BL109" si="112">T109/T$2</f>
        <v>#N/A</v>
      </c>
      <c r="AR109" s="29" t="str">
        <f t="shared" si="112"/>
        <v>#DIV/0!</v>
      </c>
      <c r="AS109" s="29" t="str">
        <f t="shared" si="112"/>
        <v>#DIV/0!</v>
      </c>
      <c r="AT109" s="29" t="str">
        <f t="shared" si="112"/>
        <v>#DIV/0!</v>
      </c>
      <c r="AU109" s="29" t="str">
        <f t="shared" si="112"/>
        <v>#DIV/0!</v>
      </c>
      <c r="AV109" s="29" t="str">
        <f t="shared" si="112"/>
        <v>#DIV/0!</v>
      </c>
      <c r="AW109" s="29" t="str">
        <f t="shared" si="112"/>
        <v>#DIV/0!</v>
      </c>
      <c r="AX109" s="29" t="str">
        <f t="shared" si="112"/>
        <v>#DIV/0!</v>
      </c>
      <c r="AY109" s="29" t="str">
        <f t="shared" si="112"/>
        <v>#DIV/0!</v>
      </c>
      <c r="AZ109" s="29" t="str">
        <f t="shared" si="112"/>
        <v>#DIV/0!</v>
      </c>
      <c r="BA109" s="29" t="str">
        <f t="shared" si="112"/>
        <v>#DIV/0!</v>
      </c>
      <c r="BB109" s="29" t="str">
        <f t="shared" si="112"/>
        <v>#DIV/0!</v>
      </c>
      <c r="BC109" s="29" t="str">
        <f t="shared" si="112"/>
        <v>#DIV/0!</v>
      </c>
      <c r="BD109" s="29" t="str">
        <f t="shared" si="112"/>
        <v>#DIV/0!</v>
      </c>
      <c r="BE109" s="29" t="str">
        <f t="shared" si="112"/>
        <v>#DIV/0!</v>
      </c>
      <c r="BF109" s="29" t="str">
        <f t="shared" si="112"/>
        <v>#DIV/0!</v>
      </c>
      <c r="BG109" s="29" t="str">
        <f t="shared" si="112"/>
        <v>#DIV/0!</v>
      </c>
      <c r="BH109" s="29" t="str">
        <f t="shared" si="112"/>
        <v>#DIV/0!</v>
      </c>
      <c r="BI109" s="29" t="str">
        <f t="shared" si="112"/>
        <v>#DIV/0!</v>
      </c>
      <c r="BJ109" s="29" t="str">
        <f t="shared" si="112"/>
        <v>#DIV/0!</v>
      </c>
      <c r="BK109" s="29" t="str">
        <f t="shared" si="112"/>
        <v>#DIV/0!</v>
      </c>
      <c r="BL109" s="29" t="str">
        <f t="shared" si="112"/>
        <v>#DIV/0!</v>
      </c>
      <c r="BM109" s="29" t="str">
        <f t="shared" si="3"/>
        <v>#DIV/0!</v>
      </c>
    </row>
    <row r="110">
      <c r="A110" s="16" t="str">
        <f>IFERROR(__xludf.DUMMYFUNCTION("IFERROR(SPARKLINE(SORT(MAP(TRANSPOSE(AQ110:BL110), LAMBDA(val, IF(ISNUMBER(val), PERCENTRANK(AQ110:BL110, val)+0.01, 0))), SEQUENCE(COLUMNS(AQ110:BL110)), FALSE), {""charttype"",""column""; ""color"",""chartreuse""; ""ymin"", 0; ""ymax"", 1.01; ""highcolo"&amp;"r"", ""darkgreen""; ""lowcolor"", ""red""}), """")"),"")</f>
        <v/>
      </c>
      <c r="B110" s="17" t="str">
        <f t="shared" si="4"/>
        <v/>
      </c>
      <c r="C110" s="1" t="s">
        <v>513</v>
      </c>
      <c r="D110" s="30" t="str">
        <f>IFERROR(__xludf.DUMMYFUNCTION("IFERROR(GOOGLEFINANCE(C110, ""NAME""))"),"Cricut Inc")</f>
        <v>Cricut Inc</v>
      </c>
      <c r="E110" s="30" t="s">
        <v>477</v>
      </c>
      <c r="F110" s="33" t="str">
        <f>IFERROR(__xludf.DUMMYFUNCTION("( (GOOGLEFINANCE(C110, ""price"") - Q110) / Q110 ) / (R110 / 100)"),"Loading...")</f>
        <v>Loading...</v>
      </c>
      <c r="G110" s="20" t="str">
        <f>IFERROR(__xludf.DUMMYFUNCTION("AVERAGE(ARRAYFORMULA(100 * (QUERY(GOOGLEFINANCE(C110, ""high"", TODAY()-40, TODAY()), ""SELECT Col2 WHERE Col2 IS NOT NULL ORDER BY Col1 DESC LIMIT 20"", 0) / QUERY(GOOGLEFINANCE(C110, ""low"", TODAY()-40, TODAY()), ""SELECT Col2 WHERE Col2 IS NOT NULL OR"&amp;"DER BY Col1 DESC LIMIT 20"", 0) - 1)))"),"#N/A")</f>
        <v>#N/A</v>
      </c>
      <c r="H110" s="35" t="str">
        <f t="shared" si="6"/>
        <v/>
      </c>
      <c r="I110" s="36" t="str">
        <f t="shared" si="7"/>
        <v/>
      </c>
      <c r="J110" s="37" t="str">
        <f>IFERROR(__xludf.DUMMYFUNCTION("IFERROR(
  IF(C110="""",, 
    IFERROR(
      GOOGLEFINANCE(C110, ""price"") * GOOGLEFINANCE(C110, ""volumeavg""), 
      GOOGLEFINANCE(C110, ""price"") * AVERAGE(QUERY(GOOGLEFINANCE(C110, ""volume"", TODAY()-40, TODAY()), ""SELECT Col2 WHERE Col2 IS NOT "&amp;"NULL ORDER BY Col1 DESC LIMIT 20"", 0))
    )
  ), 
"""")"),"")</f>
        <v/>
      </c>
      <c r="K110" s="21" t="str">
        <f>IFERROR(__xludf.DUMMYFUNCTION("IFERROR(GOOGLEFINANCE(C110, ""changepct"") / 100, """")"),"")</f>
        <v/>
      </c>
      <c r="L110" s="21" t="str">
        <f>IFERROR(__xludf.DUMMYFUNCTION("IFERROR((GOOGLEFINANCE(C110, ""price"") / INDEX(GOOGLEFINANCE(C110, ""price"", TODAY()-7, TODAY()), 2, 2)) - 1, """")"),"")</f>
        <v/>
      </c>
      <c r="M110" s="21" t="str">
        <f>IFERROR(__xludf.DUMMYFUNCTION("IFERROR((GOOGLEFINANCE(C110, ""price"") / INDEX(GOOGLEFINANCE(C110, ""price"", EDATE(TODAY(), -1), TODAY()), 2, 2)) - 1, """")"),"")</f>
        <v/>
      </c>
      <c r="N110" s="21" t="str">
        <f>IFERROR(__xludf.DUMMYFUNCTION("IFERROR((GOOGLEFINANCE(C110, ""price"") / INDEX(GOOGLEFINANCE(C110, ""price"", EDATE(TODAY(), -3), TODAY()), 2, 2)) - 1, """")"),"")</f>
        <v/>
      </c>
      <c r="O110" s="21" t="str">
        <f>IFERROR(__xludf.DUMMYFUNCTION("IFERROR((GOOGLEFINANCE(C110, ""price"") / INDEX(GOOGLEFINANCE(C110, ""price"", EDATE(TODAY(), -6), TODAY()), 2, 2)) - 1, """")"),"")</f>
        <v/>
      </c>
      <c r="P110" s="21" t="str">
        <f>IFERROR(__xludf.DUMMYFUNCTION("IFERROR((GOOGLEFINANCE(C110, ""price"") / INDEX(GOOGLEFINANCE(C110, ""price"", EDATE(TODAY(), -12), TODAY()), 2, 2)) - 1, """")"),"")</f>
        <v/>
      </c>
      <c r="Q110" s="6" t="str">
        <f>IFERROR(__xludf.DUMMYFUNCTION("AVERAGE(QUERY(GOOGLEFINANCE(C110, ""price"", TODAY()-80, TODAY()), ""SELECT Col2 WHERE Col2 IS NOT NULL ORDER BY Col1 DESC LIMIT 50"", 0))"),"#N/A")</f>
        <v>#N/A</v>
      </c>
      <c r="R110" s="24" t="str">
        <f>IFERROR(__xludf.DUMMYFUNCTION("IFERROR(
  LET(
    data, QUERY(GOOGLEFINANCE(C110,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GOOGLEFINANCE(C110, ""price"")) * 100,
    IF(calc=0, G110, calc)
  ), 
G110)"),"#N/A")</f>
        <v>#N/A</v>
      </c>
      <c r="S110" s="8" t="s">
        <v>15</v>
      </c>
      <c r="T110" s="26" t="str">
        <f>IFERROR(__xludf.DUMMYFUNCTION("IFERROR(TRANSPOSE(QUERY(IFERROR(SORT(GOOGLEFINANCE(C110, ""price"", WORKDAY(TODAY(), -40), TODAY()), 1, FALSE)), ""select Col2 where Col2 is not null limit 22 label Col2 ''"", 0)), """")"),"")</f>
        <v/>
      </c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8"/>
      <c r="AO110" s="28"/>
      <c r="AP110" s="29"/>
      <c r="AQ110" s="29" t="str">
        <f t="shared" ref="AQ110:BL110" si="113">T110/T$2</f>
        <v>#N/A</v>
      </c>
      <c r="AR110" s="29" t="str">
        <f t="shared" si="113"/>
        <v>#DIV/0!</v>
      </c>
      <c r="AS110" s="29" t="str">
        <f t="shared" si="113"/>
        <v>#DIV/0!</v>
      </c>
      <c r="AT110" s="29" t="str">
        <f t="shared" si="113"/>
        <v>#DIV/0!</v>
      </c>
      <c r="AU110" s="29" t="str">
        <f t="shared" si="113"/>
        <v>#DIV/0!</v>
      </c>
      <c r="AV110" s="29" t="str">
        <f t="shared" si="113"/>
        <v>#DIV/0!</v>
      </c>
      <c r="AW110" s="29" t="str">
        <f t="shared" si="113"/>
        <v>#DIV/0!</v>
      </c>
      <c r="AX110" s="29" t="str">
        <f t="shared" si="113"/>
        <v>#DIV/0!</v>
      </c>
      <c r="AY110" s="29" t="str">
        <f t="shared" si="113"/>
        <v>#DIV/0!</v>
      </c>
      <c r="AZ110" s="29" t="str">
        <f t="shared" si="113"/>
        <v>#DIV/0!</v>
      </c>
      <c r="BA110" s="29" t="str">
        <f t="shared" si="113"/>
        <v>#DIV/0!</v>
      </c>
      <c r="BB110" s="29" t="str">
        <f t="shared" si="113"/>
        <v>#DIV/0!</v>
      </c>
      <c r="BC110" s="29" t="str">
        <f t="shared" si="113"/>
        <v>#DIV/0!</v>
      </c>
      <c r="BD110" s="29" t="str">
        <f t="shared" si="113"/>
        <v>#DIV/0!</v>
      </c>
      <c r="BE110" s="29" t="str">
        <f t="shared" si="113"/>
        <v>#DIV/0!</v>
      </c>
      <c r="BF110" s="29" t="str">
        <f t="shared" si="113"/>
        <v>#DIV/0!</v>
      </c>
      <c r="BG110" s="29" t="str">
        <f t="shared" si="113"/>
        <v>#DIV/0!</v>
      </c>
      <c r="BH110" s="29" t="str">
        <f t="shared" si="113"/>
        <v>#DIV/0!</v>
      </c>
      <c r="BI110" s="29" t="str">
        <f t="shared" si="113"/>
        <v>#DIV/0!</v>
      </c>
      <c r="BJ110" s="29" t="str">
        <f t="shared" si="113"/>
        <v>#DIV/0!</v>
      </c>
      <c r="BK110" s="29" t="str">
        <f t="shared" si="113"/>
        <v>#DIV/0!</v>
      </c>
      <c r="BL110" s="29" t="str">
        <f t="shared" si="113"/>
        <v>#DIV/0!</v>
      </c>
      <c r="BM110" s="29" t="str">
        <f t="shared" si="3"/>
        <v>#DIV/0!</v>
      </c>
    </row>
    <row r="111">
      <c r="A111" s="16" t="str">
        <f>IFERROR(__xludf.DUMMYFUNCTION("IFERROR(SPARKLINE(SORT(MAP(TRANSPOSE(AQ111:BL111), LAMBDA(val, IF(ISNUMBER(val), PERCENTRANK(AQ111:BL111, val)+0.01, 0))), SEQUENCE(COLUMNS(AQ111:BL111)), FALSE), {""charttype"",""column""; ""color"",""chartreuse""; ""ymin"", 0; ""ymax"", 1.01; ""highcolo"&amp;"r"", ""darkgreen""; ""lowcolor"", ""red""}), """")"),"")</f>
        <v/>
      </c>
      <c r="B111" s="17" t="str">
        <f t="shared" si="4"/>
        <v/>
      </c>
      <c r="C111" s="1" t="s">
        <v>517</v>
      </c>
      <c r="D111" s="30" t="str">
        <f>IFERROR(__xludf.DUMMYFUNCTION("IFERROR(GOOGLEFINANCE(C111, ""NAME""))"),"Life360 Inc")</f>
        <v>Life360 Inc</v>
      </c>
      <c r="E111" s="30" t="s">
        <v>48</v>
      </c>
      <c r="F111" s="33" t="str">
        <f>IFERROR(__xludf.DUMMYFUNCTION("( (GOOGLEFINANCE(C111, ""price"") - Q111) / Q111 ) / (R111 / 100)"),"Loading...")</f>
        <v>Loading...</v>
      </c>
      <c r="G111" s="20" t="str">
        <f>IFERROR(__xludf.DUMMYFUNCTION("AVERAGE(ARRAYFORMULA(100 * (QUERY(GOOGLEFINANCE(C111, ""high"", TODAY()-40, TODAY()), ""SELECT Col2 WHERE Col2 IS NOT NULL ORDER BY Col1 DESC LIMIT 20"", 0) / QUERY(GOOGLEFINANCE(C111, ""low"", TODAY()-40, TODAY()), ""SELECT Col2 WHERE Col2 IS NOT NULL OR"&amp;"DER BY Col1 DESC LIMIT 20"", 0) - 1)))"),"#N/A")</f>
        <v>#N/A</v>
      </c>
      <c r="H111" s="35" t="str">
        <f t="shared" si="6"/>
        <v/>
      </c>
      <c r="I111" s="36" t="str">
        <f t="shared" si="7"/>
        <v/>
      </c>
      <c r="J111" s="37" t="str">
        <f>IFERROR(__xludf.DUMMYFUNCTION("IFERROR(
  IF(C111="""",, 
    IFERROR(
      GOOGLEFINANCE(C111, ""price"") * GOOGLEFINANCE(C111, ""volumeavg""), 
      GOOGLEFINANCE(C111, ""price"") * AVERAGE(QUERY(GOOGLEFINANCE(C111, ""volume"", TODAY()-40, TODAY()), ""SELECT Col2 WHERE Col2 IS NOT "&amp;"NULL ORDER BY Col1 DESC LIMIT 20"", 0))
    )
  ), 
"""")"),"")</f>
        <v/>
      </c>
      <c r="K111" s="21" t="str">
        <f>IFERROR(__xludf.DUMMYFUNCTION("IFERROR(GOOGLEFINANCE(C111, ""changepct"") / 100, """")"),"")</f>
        <v/>
      </c>
      <c r="L111" s="21" t="str">
        <f>IFERROR(__xludf.DUMMYFUNCTION("IFERROR((GOOGLEFINANCE(C111, ""price"") / INDEX(GOOGLEFINANCE(C111, ""price"", TODAY()-7, TODAY()), 2, 2)) - 1, """")"),"")</f>
        <v/>
      </c>
      <c r="M111" s="21" t="str">
        <f>IFERROR(__xludf.DUMMYFUNCTION("IFERROR((GOOGLEFINANCE(C111, ""price"") / INDEX(GOOGLEFINANCE(C111, ""price"", EDATE(TODAY(), -1), TODAY()), 2, 2)) - 1, """")"),"")</f>
        <v/>
      </c>
      <c r="N111" s="21" t="str">
        <f>IFERROR(__xludf.DUMMYFUNCTION("IFERROR((GOOGLEFINANCE(C111, ""price"") / INDEX(GOOGLEFINANCE(C111, ""price"", EDATE(TODAY(), -3), TODAY()), 2, 2)) - 1, """")"),"")</f>
        <v/>
      </c>
      <c r="O111" s="21" t="str">
        <f>IFERROR(__xludf.DUMMYFUNCTION("IFERROR((GOOGLEFINANCE(C111, ""price"") / INDEX(GOOGLEFINANCE(C111, ""price"", EDATE(TODAY(), -6), TODAY()), 2, 2)) - 1, """")"),"")</f>
        <v/>
      </c>
      <c r="P111" s="21" t="str">
        <f>IFERROR(__xludf.DUMMYFUNCTION("IFERROR((GOOGLEFINANCE(C111, ""price"") / INDEX(GOOGLEFINANCE(C111, ""price"", EDATE(TODAY(), -12), TODAY()), 2, 2)) - 1, """")"),"")</f>
        <v/>
      </c>
      <c r="Q111" s="6" t="str">
        <f>IFERROR(__xludf.DUMMYFUNCTION("AVERAGE(QUERY(GOOGLEFINANCE(C111, ""price"", TODAY()-80, TODAY()), ""SELECT Col2 WHERE Col2 IS NOT NULL ORDER BY Col1 DESC LIMIT 50"", 0))"),"#N/A")</f>
        <v>#N/A</v>
      </c>
      <c r="R111" s="24" t="str">
        <f>IFERROR(__xludf.DUMMYFUNCTION("IFERROR(
  LET(
    data, QUERY(GOOGLEFINANCE(C111,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GOOGLEFINANCE(C111, ""price"")) * 100,
    IF(calc=0, G111, calc)
  ), 
G111)"),"#N/A")</f>
        <v>#N/A</v>
      </c>
      <c r="S111" s="8" t="s">
        <v>15</v>
      </c>
      <c r="T111" s="26" t="str">
        <f>IFERROR(__xludf.DUMMYFUNCTION("IFERROR(TRANSPOSE(QUERY(IFERROR(SORT(GOOGLEFINANCE(C111, ""price"", WORKDAY(TODAY(), -40), TODAY()), 1, FALSE)), ""select Col2 where Col2 is not null limit 22 label Col2 ''"", 0)), """")"),"")</f>
        <v/>
      </c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8"/>
      <c r="AO111" s="28"/>
      <c r="AP111" s="29"/>
      <c r="AQ111" s="29" t="str">
        <f t="shared" ref="AQ111:BL111" si="114">T111/T$2</f>
        <v>#N/A</v>
      </c>
      <c r="AR111" s="29" t="str">
        <f t="shared" si="114"/>
        <v>#DIV/0!</v>
      </c>
      <c r="AS111" s="29" t="str">
        <f t="shared" si="114"/>
        <v>#DIV/0!</v>
      </c>
      <c r="AT111" s="29" t="str">
        <f t="shared" si="114"/>
        <v>#DIV/0!</v>
      </c>
      <c r="AU111" s="29" t="str">
        <f t="shared" si="114"/>
        <v>#DIV/0!</v>
      </c>
      <c r="AV111" s="29" t="str">
        <f t="shared" si="114"/>
        <v>#DIV/0!</v>
      </c>
      <c r="AW111" s="29" t="str">
        <f t="shared" si="114"/>
        <v>#DIV/0!</v>
      </c>
      <c r="AX111" s="29" t="str">
        <f t="shared" si="114"/>
        <v>#DIV/0!</v>
      </c>
      <c r="AY111" s="29" t="str">
        <f t="shared" si="114"/>
        <v>#DIV/0!</v>
      </c>
      <c r="AZ111" s="29" t="str">
        <f t="shared" si="114"/>
        <v>#DIV/0!</v>
      </c>
      <c r="BA111" s="29" t="str">
        <f t="shared" si="114"/>
        <v>#DIV/0!</v>
      </c>
      <c r="BB111" s="29" t="str">
        <f t="shared" si="114"/>
        <v>#DIV/0!</v>
      </c>
      <c r="BC111" s="29" t="str">
        <f t="shared" si="114"/>
        <v>#DIV/0!</v>
      </c>
      <c r="BD111" s="29" t="str">
        <f t="shared" si="114"/>
        <v>#DIV/0!</v>
      </c>
      <c r="BE111" s="29" t="str">
        <f t="shared" si="114"/>
        <v>#DIV/0!</v>
      </c>
      <c r="BF111" s="29" t="str">
        <f t="shared" si="114"/>
        <v>#DIV/0!</v>
      </c>
      <c r="BG111" s="29" t="str">
        <f t="shared" si="114"/>
        <v>#DIV/0!</v>
      </c>
      <c r="BH111" s="29" t="str">
        <f t="shared" si="114"/>
        <v>#DIV/0!</v>
      </c>
      <c r="BI111" s="29" t="str">
        <f t="shared" si="114"/>
        <v>#DIV/0!</v>
      </c>
      <c r="BJ111" s="29" t="str">
        <f t="shared" si="114"/>
        <v>#DIV/0!</v>
      </c>
      <c r="BK111" s="29" t="str">
        <f t="shared" si="114"/>
        <v>#DIV/0!</v>
      </c>
      <c r="BL111" s="29" t="str">
        <f t="shared" si="114"/>
        <v>#DIV/0!</v>
      </c>
      <c r="BM111" s="29" t="str">
        <f t="shared" si="3"/>
        <v>#DIV/0!</v>
      </c>
    </row>
    <row r="112">
      <c r="A112" s="16" t="str">
        <f>IFERROR(__xludf.DUMMYFUNCTION("IFERROR(SPARKLINE(SORT(MAP(TRANSPOSE(AQ112:BL112), LAMBDA(val, IF(ISNUMBER(val), PERCENTRANK(AQ112:BL112, val)+0.01, 0))), SEQUENCE(COLUMNS(AQ112:BL112)), FALSE), {""charttype"",""column""; ""color"",""chartreuse""; ""ymin"", 0; ""ymax"", 1.01; ""highcolo"&amp;"r"", ""darkgreen""; ""lowcolor"", ""red""}), """")"),"")</f>
        <v/>
      </c>
      <c r="B112" s="17" t="str">
        <f t="shared" si="4"/>
        <v/>
      </c>
      <c r="C112" s="1" t="s">
        <v>521</v>
      </c>
      <c r="D112" s="30" t="str">
        <f>IFERROR(__xludf.DUMMYFUNCTION("IFERROR(GOOGLEFINANCE(C112, ""NAME""))"),"Wipro Ltd")</f>
        <v>Wipro Ltd</v>
      </c>
      <c r="E112" s="30" t="s">
        <v>102</v>
      </c>
      <c r="F112" s="33" t="str">
        <f>IFERROR(__xludf.DUMMYFUNCTION("( (GOOGLEFINANCE(C112, ""price"") - Q112) / Q112 ) / (R112 / 100)"),"Loading...")</f>
        <v>Loading...</v>
      </c>
      <c r="G112" s="20" t="str">
        <f>IFERROR(__xludf.DUMMYFUNCTION("AVERAGE(ARRAYFORMULA(100 * (QUERY(GOOGLEFINANCE(C112, ""high"", TODAY()-40, TODAY()), ""SELECT Col2 WHERE Col2 IS NOT NULL ORDER BY Col1 DESC LIMIT 20"", 0) / QUERY(GOOGLEFINANCE(C112, ""low"", TODAY()-40, TODAY()), ""SELECT Col2 WHERE Col2 IS NOT NULL OR"&amp;"DER BY Col1 DESC LIMIT 20"", 0) - 1)))"),"#N/A")</f>
        <v>#N/A</v>
      </c>
      <c r="H112" s="35" t="str">
        <f t="shared" si="6"/>
        <v/>
      </c>
      <c r="I112" s="36" t="str">
        <f t="shared" si="7"/>
        <v/>
      </c>
      <c r="J112" s="37" t="str">
        <f>IFERROR(__xludf.DUMMYFUNCTION("IFERROR(
  IF(C112="""",, 
    IFERROR(
      GOOGLEFINANCE(C112, ""price"") * GOOGLEFINANCE(C112, ""volumeavg""), 
      GOOGLEFINANCE(C112, ""price"") * AVERAGE(QUERY(GOOGLEFINANCE(C112, ""volume"", TODAY()-40, TODAY()), ""SELECT Col2 WHERE Col2 IS NOT "&amp;"NULL ORDER BY Col1 DESC LIMIT 20"", 0))
    )
  ), 
"""")"),"")</f>
        <v/>
      </c>
      <c r="K112" s="21" t="str">
        <f>IFERROR(__xludf.DUMMYFUNCTION("IFERROR(GOOGLEFINANCE(C112, ""changepct"") / 100, """")"),"")</f>
        <v/>
      </c>
      <c r="L112" s="21" t="str">
        <f>IFERROR(__xludf.DUMMYFUNCTION("IFERROR((GOOGLEFINANCE(C112, ""price"") / INDEX(GOOGLEFINANCE(C112, ""price"", TODAY()-7, TODAY()), 2, 2)) - 1, """")"),"")</f>
        <v/>
      </c>
      <c r="M112" s="21" t="str">
        <f>IFERROR(__xludf.DUMMYFUNCTION("IFERROR((GOOGLEFINANCE(C112, ""price"") / INDEX(GOOGLEFINANCE(C112, ""price"", EDATE(TODAY(), -1), TODAY()), 2, 2)) - 1, """")"),"")</f>
        <v/>
      </c>
      <c r="N112" s="21" t="str">
        <f>IFERROR(__xludf.DUMMYFUNCTION("IFERROR((GOOGLEFINANCE(C112, ""price"") / INDEX(GOOGLEFINANCE(C112, ""price"", EDATE(TODAY(), -3), TODAY()), 2, 2)) - 1, """")"),"")</f>
        <v/>
      </c>
      <c r="O112" s="21" t="str">
        <f>IFERROR(__xludf.DUMMYFUNCTION("IFERROR((GOOGLEFINANCE(C112, ""price"") / INDEX(GOOGLEFINANCE(C112, ""price"", EDATE(TODAY(), -6), TODAY()), 2, 2)) - 1, """")"),"")</f>
        <v/>
      </c>
      <c r="P112" s="21" t="str">
        <f>IFERROR(__xludf.DUMMYFUNCTION("IFERROR((GOOGLEFINANCE(C112, ""price"") / INDEX(GOOGLEFINANCE(C112, ""price"", EDATE(TODAY(), -12), TODAY()), 2, 2)) - 1, """")"),"")</f>
        <v/>
      </c>
      <c r="Q112" s="6" t="str">
        <f>IFERROR(__xludf.DUMMYFUNCTION("AVERAGE(QUERY(GOOGLEFINANCE(C112, ""price"", TODAY()-80, TODAY()), ""SELECT Col2 WHERE Col2 IS NOT NULL ORDER BY Col1 DESC LIMIT 50"", 0))"),"#N/A")</f>
        <v>#N/A</v>
      </c>
      <c r="R112" s="24" t="str">
        <f>IFERROR(__xludf.DUMMYFUNCTION("IFERROR(
  LET(
    data, QUERY(GOOGLEFINANCE(C112,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GOOGLEFINANCE(C112, ""price"")) * 100,
    IF(calc=0, G112, calc)
  ), 
G112)"),"#N/A")</f>
        <v>#N/A</v>
      </c>
      <c r="S112" s="8" t="s">
        <v>15</v>
      </c>
      <c r="T112" s="26" t="str">
        <f>IFERROR(__xludf.DUMMYFUNCTION("IFERROR(TRANSPOSE(QUERY(IFERROR(SORT(GOOGLEFINANCE(C112, ""price"", WORKDAY(TODAY(), -40), TODAY()), 1, FALSE)), ""select Col2 where Col2 is not null limit 22 label Col2 ''"", 0)), """")"),"")</f>
        <v/>
      </c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8"/>
      <c r="AO112" s="28"/>
      <c r="AP112" s="29"/>
      <c r="AQ112" s="29" t="str">
        <f t="shared" ref="AQ112:BL112" si="115">T112/T$2</f>
        <v>#N/A</v>
      </c>
      <c r="AR112" s="29" t="str">
        <f t="shared" si="115"/>
        <v>#DIV/0!</v>
      </c>
      <c r="AS112" s="29" t="str">
        <f t="shared" si="115"/>
        <v>#DIV/0!</v>
      </c>
      <c r="AT112" s="29" t="str">
        <f t="shared" si="115"/>
        <v>#DIV/0!</v>
      </c>
      <c r="AU112" s="29" t="str">
        <f t="shared" si="115"/>
        <v>#DIV/0!</v>
      </c>
      <c r="AV112" s="29" t="str">
        <f t="shared" si="115"/>
        <v>#DIV/0!</v>
      </c>
      <c r="AW112" s="29" t="str">
        <f t="shared" si="115"/>
        <v>#DIV/0!</v>
      </c>
      <c r="AX112" s="29" t="str">
        <f t="shared" si="115"/>
        <v>#DIV/0!</v>
      </c>
      <c r="AY112" s="29" t="str">
        <f t="shared" si="115"/>
        <v>#DIV/0!</v>
      </c>
      <c r="AZ112" s="29" t="str">
        <f t="shared" si="115"/>
        <v>#DIV/0!</v>
      </c>
      <c r="BA112" s="29" t="str">
        <f t="shared" si="115"/>
        <v>#DIV/0!</v>
      </c>
      <c r="BB112" s="29" t="str">
        <f t="shared" si="115"/>
        <v>#DIV/0!</v>
      </c>
      <c r="BC112" s="29" t="str">
        <f t="shared" si="115"/>
        <v>#DIV/0!</v>
      </c>
      <c r="BD112" s="29" t="str">
        <f t="shared" si="115"/>
        <v>#DIV/0!</v>
      </c>
      <c r="BE112" s="29" t="str">
        <f t="shared" si="115"/>
        <v>#DIV/0!</v>
      </c>
      <c r="BF112" s="29" t="str">
        <f t="shared" si="115"/>
        <v>#DIV/0!</v>
      </c>
      <c r="BG112" s="29" t="str">
        <f t="shared" si="115"/>
        <v>#DIV/0!</v>
      </c>
      <c r="BH112" s="29" t="str">
        <f t="shared" si="115"/>
        <v>#DIV/0!</v>
      </c>
      <c r="BI112" s="29" t="str">
        <f t="shared" si="115"/>
        <v>#DIV/0!</v>
      </c>
      <c r="BJ112" s="29" t="str">
        <f t="shared" si="115"/>
        <v>#DIV/0!</v>
      </c>
      <c r="BK112" s="29" t="str">
        <f t="shared" si="115"/>
        <v>#DIV/0!</v>
      </c>
      <c r="BL112" s="29" t="str">
        <f t="shared" si="115"/>
        <v>#DIV/0!</v>
      </c>
      <c r="BM112" s="29" t="str">
        <f t="shared" si="3"/>
        <v>#DIV/0!</v>
      </c>
    </row>
    <row r="113">
      <c r="A113" s="16" t="str">
        <f>IFERROR(__xludf.DUMMYFUNCTION("IFERROR(SPARKLINE(SORT(MAP(TRANSPOSE(AQ113:BL113), LAMBDA(val, IF(ISNUMBER(val), PERCENTRANK(AQ113:BL113, val)+0.01, 0))), SEQUENCE(COLUMNS(AQ113:BL113)), FALSE), {""charttype"",""column""; ""color"",""chartreuse""; ""ymin"", 0; ""ymax"", 1.01; ""highcolo"&amp;"r"", ""darkgreen""; ""lowcolor"", ""red""}), """")"),"")</f>
        <v/>
      </c>
      <c r="B113" s="17" t="str">
        <f t="shared" si="4"/>
        <v/>
      </c>
      <c r="C113" s="1" t="s">
        <v>525</v>
      </c>
      <c r="D113" s="30" t="str">
        <f>IFERROR(__xludf.DUMMYFUNCTION("IFERROR(GOOGLEFINANCE(C113, ""NAME""))"),"Docebo Inc")</f>
        <v>Docebo Inc</v>
      </c>
      <c r="E113" s="30" t="s">
        <v>48</v>
      </c>
      <c r="F113" s="33" t="str">
        <f>IFERROR(__xludf.DUMMYFUNCTION("( (GOOGLEFINANCE(C113, ""price"") - Q113) / Q113 ) / (R113 / 100)"),"Loading...")</f>
        <v>Loading...</v>
      </c>
      <c r="G113" s="20" t="str">
        <f>IFERROR(__xludf.DUMMYFUNCTION("AVERAGE(ARRAYFORMULA(100 * (QUERY(GOOGLEFINANCE(C113, ""high"", TODAY()-40, TODAY()), ""SELECT Col2 WHERE Col2 IS NOT NULL ORDER BY Col1 DESC LIMIT 20"", 0) / QUERY(GOOGLEFINANCE(C113, ""low"", TODAY()-40, TODAY()), ""SELECT Col2 WHERE Col2 IS NOT NULL OR"&amp;"DER BY Col1 DESC LIMIT 20"", 0) - 1)))"),"#N/A")</f>
        <v>#N/A</v>
      </c>
      <c r="H113" s="35" t="str">
        <f t="shared" si="6"/>
        <v/>
      </c>
      <c r="I113" s="36" t="str">
        <f t="shared" si="7"/>
        <v/>
      </c>
      <c r="J113" s="37" t="str">
        <f>IFERROR(__xludf.DUMMYFUNCTION("IFERROR(
  IF(C113="""",, 
    IFERROR(
      GOOGLEFINANCE(C113, ""price"") * GOOGLEFINANCE(C113, ""volumeavg""), 
      GOOGLEFINANCE(C113, ""price"") * AVERAGE(QUERY(GOOGLEFINANCE(C113, ""volume"", TODAY()-40, TODAY()), ""SELECT Col2 WHERE Col2 IS NOT "&amp;"NULL ORDER BY Col1 DESC LIMIT 20"", 0))
    )
  ), 
"""")"),"")</f>
        <v/>
      </c>
      <c r="K113" s="21" t="str">
        <f>IFERROR(__xludf.DUMMYFUNCTION("IFERROR(GOOGLEFINANCE(C113, ""changepct"") / 100, """")"),"")</f>
        <v/>
      </c>
      <c r="L113" s="21" t="str">
        <f>IFERROR(__xludf.DUMMYFUNCTION("IFERROR((GOOGLEFINANCE(C113, ""price"") / INDEX(GOOGLEFINANCE(C113, ""price"", TODAY()-7, TODAY()), 2, 2)) - 1, """")"),"")</f>
        <v/>
      </c>
      <c r="M113" s="21" t="str">
        <f>IFERROR(__xludf.DUMMYFUNCTION("IFERROR((GOOGLEFINANCE(C113, ""price"") / INDEX(GOOGLEFINANCE(C113, ""price"", EDATE(TODAY(), -1), TODAY()), 2, 2)) - 1, """")"),"")</f>
        <v/>
      </c>
      <c r="N113" s="21" t="str">
        <f>IFERROR(__xludf.DUMMYFUNCTION("IFERROR((GOOGLEFINANCE(C113, ""price"") / INDEX(GOOGLEFINANCE(C113, ""price"", EDATE(TODAY(), -3), TODAY()), 2, 2)) - 1, """")"),"")</f>
        <v/>
      </c>
      <c r="O113" s="21" t="str">
        <f>IFERROR(__xludf.DUMMYFUNCTION("IFERROR((GOOGLEFINANCE(C113, ""price"") / INDEX(GOOGLEFINANCE(C113, ""price"", EDATE(TODAY(), -6), TODAY()), 2, 2)) - 1, """")"),"")</f>
        <v/>
      </c>
      <c r="P113" s="21" t="str">
        <f>IFERROR(__xludf.DUMMYFUNCTION("IFERROR((GOOGLEFINANCE(C113, ""price"") / INDEX(GOOGLEFINANCE(C113, ""price"", EDATE(TODAY(), -12), TODAY()), 2, 2)) - 1, """")"),"")</f>
        <v/>
      </c>
      <c r="Q113" s="6" t="str">
        <f>IFERROR(__xludf.DUMMYFUNCTION("AVERAGE(QUERY(GOOGLEFINANCE(C113, ""price"", TODAY()-80, TODAY()), ""SELECT Col2 WHERE Col2 IS NOT NULL ORDER BY Col1 DESC LIMIT 50"", 0))"),"#N/A")</f>
        <v>#N/A</v>
      </c>
      <c r="R113" s="24" t="str">
        <f>IFERROR(__xludf.DUMMYFUNCTION("IFERROR(
  LET(
    data, QUERY(GOOGLEFINANCE(C113,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GOOGLEFINANCE(C113, ""price"")) * 100,
    IF(calc=0, G113, calc)
  ), 
G113)"),"#N/A")</f>
        <v>#N/A</v>
      </c>
      <c r="S113" s="8" t="s">
        <v>15</v>
      </c>
      <c r="T113" s="26" t="str">
        <f>IFERROR(__xludf.DUMMYFUNCTION("IFERROR(TRANSPOSE(QUERY(IFERROR(SORT(GOOGLEFINANCE(C113, ""price"", WORKDAY(TODAY(), -40), TODAY()), 1, FALSE)), ""select Col2 where Col2 is not null limit 22 label Col2 ''"", 0)), """")"),"")</f>
        <v/>
      </c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8"/>
      <c r="AO113" s="28"/>
      <c r="AP113" s="29"/>
      <c r="AQ113" s="29" t="str">
        <f t="shared" ref="AQ113:BL113" si="116">T113/T$2</f>
        <v>#N/A</v>
      </c>
      <c r="AR113" s="29" t="str">
        <f t="shared" si="116"/>
        <v>#DIV/0!</v>
      </c>
      <c r="AS113" s="29" t="str">
        <f t="shared" si="116"/>
        <v>#DIV/0!</v>
      </c>
      <c r="AT113" s="29" t="str">
        <f t="shared" si="116"/>
        <v>#DIV/0!</v>
      </c>
      <c r="AU113" s="29" t="str">
        <f t="shared" si="116"/>
        <v>#DIV/0!</v>
      </c>
      <c r="AV113" s="29" t="str">
        <f t="shared" si="116"/>
        <v>#DIV/0!</v>
      </c>
      <c r="AW113" s="29" t="str">
        <f t="shared" si="116"/>
        <v>#DIV/0!</v>
      </c>
      <c r="AX113" s="29" t="str">
        <f t="shared" si="116"/>
        <v>#DIV/0!</v>
      </c>
      <c r="AY113" s="29" t="str">
        <f t="shared" si="116"/>
        <v>#DIV/0!</v>
      </c>
      <c r="AZ113" s="29" t="str">
        <f t="shared" si="116"/>
        <v>#DIV/0!</v>
      </c>
      <c r="BA113" s="29" t="str">
        <f t="shared" si="116"/>
        <v>#DIV/0!</v>
      </c>
      <c r="BB113" s="29" t="str">
        <f t="shared" si="116"/>
        <v>#DIV/0!</v>
      </c>
      <c r="BC113" s="29" t="str">
        <f t="shared" si="116"/>
        <v>#DIV/0!</v>
      </c>
      <c r="BD113" s="29" t="str">
        <f t="shared" si="116"/>
        <v>#DIV/0!</v>
      </c>
      <c r="BE113" s="29" t="str">
        <f t="shared" si="116"/>
        <v>#DIV/0!</v>
      </c>
      <c r="BF113" s="29" t="str">
        <f t="shared" si="116"/>
        <v>#DIV/0!</v>
      </c>
      <c r="BG113" s="29" t="str">
        <f t="shared" si="116"/>
        <v>#DIV/0!</v>
      </c>
      <c r="BH113" s="29" t="str">
        <f t="shared" si="116"/>
        <v>#DIV/0!</v>
      </c>
      <c r="BI113" s="29" t="str">
        <f t="shared" si="116"/>
        <v>#DIV/0!</v>
      </c>
      <c r="BJ113" s="29" t="str">
        <f t="shared" si="116"/>
        <v>#DIV/0!</v>
      </c>
      <c r="BK113" s="29" t="str">
        <f t="shared" si="116"/>
        <v>#DIV/0!</v>
      </c>
      <c r="BL113" s="29" t="str">
        <f t="shared" si="116"/>
        <v>#DIV/0!</v>
      </c>
      <c r="BM113" s="29" t="str">
        <f t="shared" si="3"/>
        <v>#DIV/0!</v>
      </c>
    </row>
    <row r="114">
      <c r="A114" s="16" t="str">
        <f>IFERROR(__xludf.DUMMYFUNCTION("IFERROR(SPARKLINE(SORT(MAP(TRANSPOSE(AQ114:BL114), LAMBDA(val, IF(ISNUMBER(val), PERCENTRANK(AQ114:BL114, val)+0.01, 0))), SEQUENCE(COLUMNS(AQ114:BL114)), FALSE), {""charttype"",""column""; ""color"",""chartreuse""; ""ymin"", 0; ""ymax"", 1.01; ""highcolo"&amp;"r"", ""darkgreen""; ""lowcolor"", ""red""}), """")"),"")</f>
        <v/>
      </c>
      <c r="B114" s="17" t="str">
        <f t="shared" si="4"/>
        <v/>
      </c>
      <c r="C114" s="1" t="s">
        <v>529</v>
      </c>
      <c r="D114" s="30" t="str">
        <f>IFERROR(__xludf.DUMMYFUNCTION("IFERROR(GOOGLEFINANCE(C114, ""NAME""))"),"Payoneer Global Inc")</f>
        <v>Payoneer Global Inc</v>
      </c>
      <c r="E114" s="30" t="s">
        <v>58</v>
      </c>
      <c r="F114" s="33" t="str">
        <f>IFERROR(__xludf.DUMMYFUNCTION("( (GOOGLEFINANCE(C114, ""price"") - Q114) / Q114 ) / (R114 / 100)"),"Loading...")</f>
        <v>Loading...</v>
      </c>
      <c r="G114" s="20" t="str">
        <f>IFERROR(__xludf.DUMMYFUNCTION("AVERAGE(ARRAYFORMULA(100 * (QUERY(GOOGLEFINANCE(C114, ""high"", TODAY()-40, TODAY()), ""SELECT Col2 WHERE Col2 IS NOT NULL ORDER BY Col1 DESC LIMIT 20"", 0) / QUERY(GOOGLEFINANCE(C114, ""low"", TODAY()-40, TODAY()), ""SELECT Col2 WHERE Col2 IS NOT NULL OR"&amp;"DER BY Col1 DESC LIMIT 20"", 0) - 1)))"),"#N/A")</f>
        <v>#N/A</v>
      </c>
      <c r="H114" s="35" t="str">
        <f t="shared" si="6"/>
        <v/>
      </c>
      <c r="I114" s="36" t="str">
        <f t="shared" si="7"/>
        <v/>
      </c>
      <c r="J114" s="37" t="str">
        <f>IFERROR(__xludf.DUMMYFUNCTION("IFERROR(
  IF(C114="""",, 
    IFERROR(
      GOOGLEFINANCE(C114, ""price"") * GOOGLEFINANCE(C114, ""volumeavg""), 
      GOOGLEFINANCE(C114, ""price"") * AVERAGE(QUERY(GOOGLEFINANCE(C114, ""volume"", TODAY()-40, TODAY()), ""SELECT Col2 WHERE Col2 IS NOT "&amp;"NULL ORDER BY Col1 DESC LIMIT 20"", 0))
    )
  ), 
"""")"),"")</f>
        <v/>
      </c>
      <c r="K114" s="21" t="str">
        <f>IFERROR(__xludf.DUMMYFUNCTION("IFERROR(GOOGLEFINANCE(C114, ""changepct"") / 100, """")"),"")</f>
        <v/>
      </c>
      <c r="L114" s="21" t="str">
        <f>IFERROR(__xludf.DUMMYFUNCTION("IFERROR((GOOGLEFINANCE(C114, ""price"") / INDEX(GOOGLEFINANCE(C114, ""price"", TODAY()-7, TODAY()), 2, 2)) - 1, """")"),"")</f>
        <v/>
      </c>
      <c r="M114" s="21" t="str">
        <f>IFERROR(__xludf.DUMMYFUNCTION("IFERROR((GOOGLEFINANCE(C114, ""price"") / INDEX(GOOGLEFINANCE(C114, ""price"", EDATE(TODAY(), -1), TODAY()), 2, 2)) - 1, """")"),"")</f>
        <v/>
      </c>
      <c r="N114" s="21" t="str">
        <f>IFERROR(__xludf.DUMMYFUNCTION("IFERROR((GOOGLEFINANCE(C114, ""price"") / INDEX(GOOGLEFINANCE(C114, ""price"", EDATE(TODAY(), -3), TODAY()), 2, 2)) - 1, """")"),"")</f>
        <v/>
      </c>
      <c r="O114" s="21" t="str">
        <f>IFERROR(__xludf.DUMMYFUNCTION("IFERROR((GOOGLEFINANCE(C114, ""price"") / INDEX(GOOGLEFINANCE(C114, ""price"", EDATE(TODAY(), -6), TODAY()), 2, 2)) - 1, """")"),"")</f>
        <v/>
      </c>
      <c r="P114" s="21" t="str">
        <f>IFERROR(__xludf.DUMMYFUNCTION("IFERROR((GOOGLEFINANCE(C114, ""price"") / INDEX(GOOGLEFINANCE(C114, ""price"", EDATE(TODAY(), -12), TODAY()), 2, 2)) - 1, """")"),"")</f>
        <v/>
      </c>
      <c r="Q114" s="6" t="str">
        <f>IFERROR(__xludf.DUMMYFUNCTION("AVERAGE(QUERY(GOOGLEFINANCE(C114, ""price"", TODAY()-80, TODAY()), ""SELECT Col2 WHERE Col2 IS NOT NULL ORDER BY Col1 DESC LIMIT 50"", 0))"),"#N/A")</f>
        <v>#N/A</v>
      </c>
      <c r="R114" s="24" t="str">
        <f>IFERROR(__xludf.DUMMYFUNCTION("IFERROR(
  LET(
    data, QUERY(GOOGLEFINANCE(C114,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GOOGLEFINANCE(C114, ""price"")) * 100,
    IF(calc=0, G114, calc)
  ), 
G114)"),"#N/A")</f>
        <v>#N/A</v>
      </c>
      <c r="S114" s="8" t="s">
        <v>15</v>
      </c>
      <c r="T114" s="26" t="str">
        <f>IFERROR(__xludf.DUMMYFUNCTION("IFERROR(TRANSPOSE(QUERY(IFERROR(SORT(GOOGLEFINANCE(C114, ""price"", WORKDAY(TODAY(), -40), TODAY()), 1, FALSE)), ""select Col2 where Col2 is not null limit 22 label Col2 ''"", 0)), """")"),"")</f>
        <v/>
      </c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8"/>
      <c r="AO114" s="28"/>
      <c r="AP114" s="29"/>
      <c r="AQ114" s="29" t="str">
        <f t="shared" ref="AQ114:BL114" si="117">T114/T$2</f>
        <v>#N/A</v>
      </c>
      <c r="AR114" s="29" t="str">
        <f t="shared" si="117"/>
        <v>#DIV/0!</v>
      </c>
      <c r="AS114" s="29" t="str">
        <f t="shared" si="117"/>
        <v>#DIV/0!</v>
      </c>
      <c r="AT114" s="29" t="str">
        <f t="shared" si="117"/>
        <v>#DIV/0!</v>
      </c>
      <c r="AU114" s="29" t="str">
        <f t="shared" si="117"/>
        <v>#DIV/0!</v>
      </c>
      <c r="AV114" s="29" t="str">
        <f t="shared" si="117"/>
        <v>#DIV/0!</v>
      </c>
      <c r="AW114" s="29" t="str">
        <f t="shared" si="117"/>
        <v>#DIV/0!</v>
      </c>
      <c r="AX114" s="29" t="str">
        <f t="shared" si="117"/>
        <v>#DIV/0!</v>
      </c>
      <c r="AY114" s="29" t="str">
        <f t="shared" si="117"/>
        <v>#DIV/0!</v>
      </c>
      <c r="AZ114" s="29" t="str">
        <f t="shared" si="117"/>
        <v>#DIV/0!</v>
      </c>
      <c r="BA114" s="29" t="str">
        <f t="shared" si="117"/>
        <v>#DIV/0!</v>
      </c>
      <c r="BB114" s="29" t="str">
        <f t="shared" si="117"/>
        <v>#DIV/0!</v>
      </c>
      <c r="BC114" s="29" t="str">
        <f t="shared" si="117"/>
        <v>#DIV/0!</v>
      </c>
      <c r="BD114" s="29" t="str">
        <f t="shared" si="117"/>
        <v>#DIV/0!</v>
      </c>
      <c r="BE114" s="29" t="str">
        <f t="shared" si="117"/>
        <v>#DIV/0!</v>
      </c>
      <c r="BF114" s="29" t="str">
        <f t="shared" si="117"/>
        <v>#DIV/0!</v>
      </c>
      <c r="BG114" s="29" t="str">
        <f t="shared" si="117"/>
        <v>#DIV/0!</v>
      </c>
      <c r="BH114" s="29" t="str">
        <f t="shared" si="117"/>
        <v>#DIV/0!</v>
      </c>
      <c r="BI114" s="29" t="str">
        <f t="shared" si="117"/>
        <v>#DIV/0!</v>
      </c>
      <c r="BJ114" s="29" t="str">
        <f t="shared" si="117"/>
        <v>#DIV/0!</v>
      </c>
      <c r="BK114" s="29" t="str">
        <f t="shared" si="117"/>
        <v>#DIV/0!</v>
      </c>
      <c r="BL114" s="29" t="str">
        <f t="shared" si="117"/>
        <v>#DIV/0!</v>
      </c>
      <c r="BM114" s="29" t="str">
        <f t="shared" si="3"/>
        <v>#DIV/0!</v>
      </c>
    </row>
    <row r="115">
      <c r="A115" s="16" t="str">
        <f>IFERROR(__xludf.DUMMYFUNCTION("IFERROR(SPARKLINE(SORT(MAP(TRANSPOSE(AQ115:BL115), LAMBDA(val, IF(ISNUMBER(val), PERCENTRANK(AQ115:BL115, val)+0.01, 0))), SEQUENCE(COLUMNS(AQ115:BL115)), FALSE), {""charttype"",""column""; ""color"",""chartreuse""; ""ymin"", 0; ""ymax"", 1.01; ""highcolo"&amp;"r"", ""darkgreen""; ""lowcolor"", ""red""}), """")"),"")</f>
        <v/>
      </c>
      <c r="B115" s="17" t="str">
        <f t="shared" si="4"/>
        <v/>
      </c>
      <c r="C115" s="1" t="s">
        <v>534</v>
      </c>
      <c r="D115" s="30" t="str">
        <f>IFERROR(__xludf.DUMMYFUNCTION("IFERROR(GOOGLEFINANCE(C115, ""NAME""))"),"Okta Inc")</f>
        <v>Okta Inc</v>
      </c>
      <c r="E115" s="30" t="s">
        <v>58</v>
      </c>
      <c r="F115" s="33" t="str">
        <f>IFERROR(__xludf.DUMMYFUNCTION("( (GOOGLEFINANCE(C115, ""price"") - Q115) / Q115 ) / (R115 / 100)"),"Loading...")</f>
        <v>Loading...</v>
      </c>
      <c r="G115" s="20" t="str">
        <f>IFERROR(__xludf.DUMMYFUNCTION("AVERAGE(ARRAYFORMULA(100 * (QUERY(GOOGLEFINANCE(C115, ""high"", TODAY()-40, TODAY()), ""SELECT Col2 WHERE Col2 IS NOT NULL ORDER BY Col1 DESC LIMIT 20"", 0) / QUERY(GOOGLEFINANCE(C115, ""low"", TODAY()-40, TODAY()), ""SELECT Col2 WHERE Col2 IS NOT NULL OR"&amp;"DER BY Col1 DESC LIMIT 20"", 0) - 1)))"),"#N/A")</f>
        <v>#N/A</v>
      </c>
      <c r="H115" s="35" t="str">
        <f t="shared" si="6"/>
        <v/>
      </c>
      <c r="I115" s="36" t="str">
        <f t="shared" si="7"/>
        <v/>
      </c>
      <c r="J115" s="37" t="str">
        <f>IFERROR(__xludf.DUMMYFUNCTION("IFERROR(
  IF(C115="""",, 
    IFERROR(
      GOOGLEFINANCE(C115, ""price"") * GOOGLEFINANCE(C115, ""volumeavg""), 
      GOOGLEFINANCE(C115, ""price"") * AVERAGE(QUERY(GOOGLEFINANCE(C115, ""volume"", TODAY()-40, TODAY()), ""SELECT Col2 WHERE Col2 IS NOT "&amp;"NULL ORDER BY Col1 DESC LIMIT 20"", 0))
    )
  ), 
"""")"),"")</f>
        <v/>
      </c>
      <c r="K115" s="21" t="str">
        <f>IFERROR(__xludf.DUMMYFUNCTION("IFERROR(GOOGLEFINANCE(C115, ""changepct"") / 100, """")"),"")</f>
        <v/>
      </c>
      <c r="L115" s="21" t="str">
        <f>IFERROR(__xludf.DUMMYFUNCTION("IFERROR((GOOGLEFINANCE(C115, ""price"") / INDEX(GOOGLEFINANCE(C115, ""price"", TODAY()-7, TODAY()), 2, 2)) - 1, """")"),"")</f>
        <v/>
      </c>
      <c r="M115" s="21" t="str">
        <f>IFERROR(__xludf.DUMMYFUNCTION("IFERROR((GOOGLEFINANCE(C115, ""price"") / INDEX(GOOGLEFINANCE(C115, ""price"", EDATE(TODAY(), -1), TODAY()), 2, 2)) - 1, """")"),"")</f>
        <v/>
      </c>
      <c r="N115" s="21" t="str">
        <f>IFERROR(__xludf.DUMMYFUNCTION("IFERROR((GOOGLEFINANCE(C115, ""price"") / INDEX(GOOGLEFINANCE(C115, ""price"", EDATE(TODAY(), -3), TODAY()), 2, 2)) - 1, """")"),"")</f>
        <v/>
      </c>
      <c r="O115" s="21" t="str">
        <f>IFERROR(__xludf.DUMMYFUNCTION("IFERROR((GOOGLEFINANCE(C115, ""price"") / INDEX(GOOGLEFINANCE(C115, ""price"", EDATE(TODAY(), -6), TODAY()), 2, 2)) - 1, """")"),"")</f>
        <v/>
      </c>
      <c r="P115" s="21" t="str">
        <f>IFERROR(__xludf.DUMMYFUNCTION("IFERROR((GOOGLEFINANCE(C115, ""price"") / INDEX(GOOGLEFINANCE(C115, ""price"", EDATE(TODAY(), -12), TODAY()), 2, 2)) - 1, """")"),"")</f>
        <v/>
      </c>
      <c r="Q115" s="6" t="str">
        <f>IFERROR(__xludf.DUMMYFUNCTION("AVERAGE(QUERY(GOOGLEFINANCE(C115, ""price"", TODAY()-80, TODAY()), ""SELECT Col2 WHERE Col2 IS NOT NULL ORDER BY Col1 DESC LIMIT 50"", 0))"),"#N/A")</f>
        <v>#N/A</v>
      </c>
      <c r="R115" s="24" t="str">
        <f>IFERROR(__xludf.DUMMYFUNCTION("IFERROR(
  LET(
    data, QUERY(GOOGLEFINANCE(C115,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GOOGLEFINANCE(C115, ""price"")) * 100,
    IF(calc=0, G115, calc)
  ), 
G115)"),"#N/A")</f>
        <v>#N/A</v>
      </c>
      <c r="S115" s="8" t="s">
        <v>15</v>
      </c>
      <c r="T115" s="26" t="str">
        <f>IFERROR(__xludf.DUMMYFUNCTION("IFERROR(TRANSPOSE(QUERY(IFERROR(SORT(GOOGLEFINANCE(C115, ""price"", WORKDAY(TODAY(), -40), TODAY()), 1, FALSE)), ""select Col2 where Col2 is not null limit 22 label Col2 ''"", 0)), """")"),"")</f>
        <v/>
      </c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8"/>
      <c r="AO115" s="28"/>
      <c r="AP115" s="29"/>
      <c r="AQ115" s="29" t="str">
        <f t="shared" ref="AQ115:BL115" si="118">T115/T$2</f>
        <v>#N/A</v>
      </c>
      <c r="AR115" s="29" t="str">
        <f t="shared" si="118"/>
        <v>#DIV/0!</v>
      </c>
      <c r="AS115" s="29" t="str">
        <f t="shared" si="118"/>
        <v>#DIV/0!</v>
      </c>
      <c r="AT115" s="29" t="str">
        <f t="shared" si="118"/>
        <v>#DIV/0!</v>
      </c>
      <c r="AU115" s="29" t="str">
        <f t="shared" si="118"/>
        <v>#DIV/0!</v>
      </c>
      <c r="AV115" s="29" t="str">
        <f t="shared" si="118"/>
        <v>#DIV/0!</v>
      </c>
      <c r="AW115" s="29" t="str">
        <f t="shared" si="118"/>
        <v>#DIV/0!</v>
      </c>
      <c r="AX115" s="29" t="str">
        <f t="shared" si="118"/>
        <v>#DIV/0!</v>
      </c>
      <c r="AY115" s="29" t="str">
        <f t="shared" si="118"/>
        <v>#DIV/0!</v>
      </c>
      <c r="AZ115" s="29" t="str">
        <f t="shared" si="118"/>
        <v>#DIV/0!</v>
      </c>
      <c r="BA115" s="29" t="str">
        <f t="shared" si="118"/>
        <v>#DIV/0!</v>
      </c>
      <c r="BB115" s="29" t="str">
        <f t="shared" si="118"/>
        <v>#DIV/0!</v>
      </c>
      <c r="BC115" s="29" t="str">
        <f t="shared" si="118"/>
        <v>#DIV/0!</v>
      </c>
      <c r="BD115" s="29" t="str">
        <f t="shared" si="118"/>
        <v>#DIV/0!</v>
      </c>
      <c r="BE115" s="29" t="str">
        <f t="shared" si="118"/>
        <v>#DIV/0!</v>
      </c>
      <c r="BF115" s="29" t="str">
        <f t="shared" si="118"/>
        <v>#DIV/0!</v>
      </c>
      <c r="BG115" s="29" t="str">
        <f t="shared" si="118"/>
        <v>#DIV/0!</v>
      </c>
      <c r="BH115" s="29" t="str">
        <f t="shared" si="118"/>
        <v>#DIV/0!</v>
      </c>
      <c r="BI115" s="29" t="str">
        <f t="shared" si="118"/>
        <v>#DIV/0!</v>
      </c>
      <c r="BJ115" s="29" t="str">
        <f t="shared" si="118"/>
        <v>#DIV/0!</v>
      </c>
      <c r="BK115" s="29" t="str">
        <f t="shared" si="118"/>
        <v>#DIV/0!</v>
      </c>
      <c r="BL115" s="29" t="str">
        <f t="shared" si="118"/>
        <v>#DIV/0!</v>
      </c>
      <c r="BM115" s="29" t="str">
        <f t="shared" si="3"/>
        <v>#DIV/0!</v>
      </c>
    </row>
    <row r="116">
      <c r="A116" s="16" t="str">
        <f>IFERROR(__xludf.DUMMYFUNCTION("IFERROR(SPARKLINE(SORT(MAP(TRANSPOSE(AQ116:BL116), LAMBDA(val, IF(ISNUMBER(val), PERCENTRANK(AQ116:BL116, val)+0.01, 0))), SEQUENCE(COLUMNS(AQ116:BL116)), FALSE), {""charttype"",""column""; ""color"",""chartreuse""; ""ymin"", 0; ""ymax"", 1.01; ""highcolo"&amp;"r"", ""darkgreen""; ""lowcolor"", ""red""}), """")"),"")</f>
        <v/>
      </c>
      <c r="B116" s="17" t="str">
        <f t="shared" si="4"/>
        <v/>
      </c>
      <c r="C116" s="1" t="s">
        <v>539</v>
      </c>
      <c r="D116" s="30" t="str">
        <f>IFERROR(__xludf.DUMMYFUNCTION("IFERROR(GOOGLEFINANCE(C116, ""NAME""))"),"Insight Enterprises Inc")</f>
        <v>Insight Enterprises Inc</v>
      </c>
      <c r="E116" s="30" t="s">
        <v>540</v>
      </c>
      <c r="F116" s="33" t="str">
        <f>IFERROR(__xludf.DUMMYFUNCTION("( (GOOGLEFINANCE(C116, ""price"") - Q116) / Q116 ) / (R116 / 100)"),"Loading...")</f>
        <v>Loading...</v>
      </c>
      <c r="G116" s="20" t="str">
        <f>IFERROR(__xludf.DUMMYFUNCTION("AVERAGE(ARRAYFORMULA(100 * (QUERY(GOOGLEFINANCE(C116, ""high"", TODAY()-40, TODAY()), ""SELECT Col2 WHERE Col2 IS NOT NULL ORDER BY Col1 DESC LIMIT 20"", 0) / QUERY(GOOGLEFINANCE(C116, ""low"", TODAY()-40, TODAY()), ""SELECT Col2 WHERE Col2 IS NOT NULL OR"&amp;"DER BY Col1 DESC LIMIT 20"", 0) - 1)))"),"#N/A")</f>
        <v>#N/A</v>
      </c>
      <c r="H116" s="35" t="str">
        <f t="shared" si="6"/>
        <v/>
      </c>
      <c r="I116" s="36" t="str">
        <f t="shared" si="7"/>
        <v/>
      </c>
      <c r="J116" s="37" t="str">
        <f>IFERROR(__xludf.DUMMYFUNCTION("IFERROR(
  IF(C116="""",, 
    IFERROR(
      GOOGLEFINANCE(C116, ""price"") * GOOGLEFINANCE(C116, ""volumeavg""), 
      GOOGLEFINANCE(C116, ""price"") * AVERAGE(QUERY(GOOGLEFINANCE(C116, ""volume"", TODAY()-40, TODAY()), ""SELECT Col2 WHERE Col2 IS NOT "&amp;"NULL ORDER BY Col1 DESC LIMIT 20"", 0))
    )
  ), 
"""")"),"")</f>
        <v/>
      </c>
      <c r="K116" s="21" t="str">
        <f>IFERROR(__xludf.DUMMYFUNCTION("IFERROR(GOOGLEFINANCE(C116, ""changepct"") / 100, """")"),"")</f>
        <v/>
      </c>
      <c r="L116" s="21" t="str">
        <f>IFERROR(__xludf.DUMMYFUNCTION("IFERROR((GOOGLEFINANCE(C116, ""price"") / INDEX(GOOGLEFINANCE(C116, ""price"", TODAY()-7, TODAY()), 2, 2)) - 1, """")"),"")</f>
        <v/>
      </c>
      <c r="M116" s="21" t="str">
        <f>IFERROR(__xludf.DUMMYFUNCTION("IFERROR((GOOGLEFINANCE(C116, ""price"") / INDEX(GOOGLEFINANCE(C116, ""price"", EDATE(TODAY(), -1), TODAY()), 2, 2)) - 1, """")"),"")</f>
        <v/>
      </c>
      <c r="N116" s="21" t="str">
        <f>IFERROR(__xludf.DUMMYFUNCTION("IFERROR((GOOGLEFINANCE(C116, ""price"") / INDEX(GOOGLEFINANCE(C116, ""price"", EDATE(TODAY(), -3), TODAY()), 2, 2)) - 1, """")"),"")</f>
        <v/>
      </c>
      <c r="O116" s="21" t="str">
        <f>IFERROR(__xludf.DUMMYFUNCTION("IFERROR((GOOGLEFINANCE(C116, ""price"") / INDEX(GOOGLEFINANCE(C116, ""price"", EDATE(TODAY(), -6), TODAY()), 2, 2)) - 1, """")"),"")</f>
        <v/>
      </c>
      <c r="P116" s="21" t="str">
        <f>IFERROR(__xludf.DUMMYFUNCTION("IFERROR((GOOGLEFINANCE(C116, ""price"") / INDEX(GOOGLEFINANCE(C116, ""price"", EDATE(TODAY(), -12), TODAY()), 2, 2)) - 1, """")"),"")</f>
        <v/>
      </c>
      <c r="Q116" s="6" t="str">
        <f>IFERROR(__xludf.DUMMYFUNCTION("AVERAGE(QUERY(GOOGLEFINANCE(C116, ""price"", TODAY()-80, TODAY()), ""SELECT Col2 WHERE Col2 IS NOT NULL ORDER BY Col1 DESC LIMIT 50"", 0))"),"#N/A")</f>
        <v>#N/A</v>
      </c>
      <c r="R116" s="24" t="str">
        <f>IFERROR(__xludf.DUMMYFUNCTION("IFERROR(
  LET(
    data, QUERY(GOOGLEFINANCE(C116,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GOOGLEFINANCE(C116, ""price"")) * 100,
    IF(calc=0, G116, calc)
  ), 
G116)"),"#N/A")</f>
        <v>#N/A</v>
      </c>
      <c r="S116" s="8" t="s">
        <v>15</v>
      </c>
      <c r="T116" s="26" t="str">
        <f>IFERROR(__xludf.DUMMYFUNCTION("IFERROR(TRANSPOSE(QUERY(IFERROR(SORT(GOOGLEFINANCE(C116, ""price"", WORKDAY(TODAY(), -40), TODAY()), 1, FALSE)), ""select Col2 where Col2 is not null limit 22 label Col2 ''"", 0)), """")"),"")</f>
        <v/>
      </c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8"/>
      <c r="AO116" s="28"/>
      <c r="AP116" s="29"/>
      <c r="AQ116" s="29" t="str">
        <f t="shared" ref="AQ116:BL116" si="119">T116/T$2</f>
        <v>#N/A</v>
      </c>
      <c r="AR116" s="29" t="str">
        <f t="shared" si="119"/>
        <v>#DIV/0!</v>
      </c>
      <c r="AS116" s="29" t="str">
        <f t="shared" si="119"/>
        <v>#DIV/0!</v>
      </c>
      <c r="AT116" s="29" t="str">
        <f t="shared" si="119"/>
        <v>#DIV/0!</v>
      </c>
      <c r="AU116" s="29" t="str">
        <f t="shared" si="119"/>
        <v>#DIV/0!</v>
      </c>
      <c r="AV116" s="29" t="str">
        <f t="shared" si="119"/>
        <v>#DIV/0!</v>
      </c>
      <c r="AW116" s="29" t="str">
        <f t="shared" si="119"/>
        <v>#DIV/0!</v>
      </c>
      <c r="AX116" s="29" t="str">
        <f t="shared" si="119"/>
        <v>#DIV/0!</v>
      </c>
      <c r="AY116" s="29" t="str">
        <f t="shared" si="119"/>
        <v>#DIV/0!</v>
      </c>
      <c r="AZ116" s="29" t="str">
        <f t="shared" si="119"/>
        <v>#DIV/0!</v>
      </c>
      <c r="BA116" s="29" t="str">
        <f t="shared" si="119"/>
        <v>#DIV/0!</v>
      </c>
      <c r="BB116" s="29" t="str">
        <f t="shared" si="119"/>
        <v>#DIV/0!</v>
      </c>
      <c r="BC116" s="29" t="str">
        <f t="shared" si="119"/>
        <v>#DIV/0!</v>
      </c>
      <c r="BD116" s="29" t="str">
        <f t="shared" si="119"/>
        <v>#DIV/0!</v>
      </c>
      <c r="BE116" s="29" t="str">
        <f t="shared" si="119"/>
        <v>#DIV/0!</v>
      </c>
      <c r="BF116" s="29" t="str">
        <f t="shared" si="119"/>
        <v>#DIV/0!</v>
      </c>
      <c r="BG116" s="29" t="str">
        <f t="shared" si="119"/>
        <v>#DIV/0!</v>
      </c>
      <c r="BH116" s="29" t="str">
        <f t="shared" si="119"/>
        <v>#DIV/0!</v>
      </c>
      <c r="BI116" s="29" t="str">
        <f t="shared" si="119"/>
        <v>#DIV/0!</v>
      </c>
      <c r="BJ116" s="29" t="str">
        <f t="shared" si="119"/>
        <v>#DIV/0!</v>
      </c>
      <c r="BK116" s="29" t="str">
        <f t="shared" si="119"/>
        <v>#DIV/0!</v>
      </c>
      <c r="BL116" s="29" t="str">
        <f t="shared" si="119"/>
        <v>#DIV/0!</v>
      </c>
      <c r="BM116" s="29" t="str">
        <f t="shared" si="3"/>
        <v>#DIV/0!</v>
      </c>
    </row>
    <row r="117">
      <c r="A117" s="16" t="str">
        <f>IFERROR(__xludf.DUMMYFUNCTION("IFERROR(SPARKLINE(SORT(MAP(TRANSPOSE(AQ117:BL117), LAMBDA(val, IF(ISNUMBER(val), PERCENTRANK(AQ117:BL117, val)+0.01, 0))), SEQUENCE(COLUMNS(AQ117:BL117)), FALSE), {""charttype"",""column""; ""color"",""chartreuse""; ""ymin"", 0; ""ymax"", 1.01; ""highcolo"&amp;"r"", ""darkgreen""; ""lowcolor"", ""red""}), """")"),"")</f>
        <v/>
      </c>
      <c r="B117" s="17" t="str">
        <f t="shared" si="4"/>
        <v/>
      </c>
      <c r="C117" s="1" t="s">
        <v>544</v>
      </c>
      <c r="D117" s="30" t="str">
        <f>IFERROR(__xludf.DUMMYFUNCTION("IFERROR(GOOGLEFINANCE(C117, ""NAME""))"),"Qualys Inc")</f>
        <v>Qualys Inc</v>
      </c>
      <c r="E117" s="30" t="s">
        <v>58</v>
      </c>
      <c r="F117" s="38" t="str">
        <f>IFERROR(__xludf.DUMMYFUNCTION("( (GOOGLEFINANCE(C117, ""price"") - Q117) / Q117 ) / (R117 / 100)"),"Loading...")</f>
        <v>Loading...</v>
      </c>
      <c r="G117" s="20" t="str">
        <f>IFERROR(__xludf.DUMMYFUNCTION("AVERAGE(ARRAYFORMULA(100 * (QUERY(GOOGLEFINANCE(C117, ""high"", TODAY()-40, TODAY()), ""SELECT Col2 WHERE Col2 IS NOT NULL ORDER BY Col1 DESC LIMIT 20"", 0) / QUERY(GOOGLEFINANCE(C117, ""low"", TODAY()-40, TODAY()), ""SELECT Col2 WHERE Col2 IS NOT NULL OR"&amp;"DER BY Col1 DESC LIMIT 20"", 0) - 1)))"),"#N/A")</f>
        <v>#N/A</v>
      </c>
      <c r="H117" s="35" t="str">
        <f t="shared" si="6"/>
        <v/>
      </c>
      <c r="I117" s="36" t="str">
        <f t="shared" si="7"/>
        <v/>
      </c>
      <c r="J117" s="37" t="str">
        <f>IFERROR(__xludf.DUMMYFUNCTION("IFERROR(
  IF(C117="""",, 
    IFERROR(
      GOOGLEFINANCE(C117, ""price"") * GOOGLEFINANCE(C117, ""volumeavg""), 
      GOOGLEFINANCE(C117, ""price"") * AVERAGE(QUERY(GOOGLEFINANCE(C117, ""volume"", TODAY()-40, TODAY()), ""SELECT Col2 WHERE Col2 IS NOT "&amp;"NULL ORDER BY Col1 DESC LIMIT 20"", 0))
    )
  ), 
"""")"),"")</f>
        <v/>
      </c>
      <c r="K117" s="21" t="str">
        <f>IFERROR(__xludf.DUMMYFUNCTION("IFERROR(GOOGLEFINANCE(C117, ""changepct"") / 100, """")"),"")</f>
        <v/>
      </c>
      <c r="L117" s="21" t="str">
        <f>IFERROR(__xludf.DUMMYFUNCTION("IFERROR((GOOGLEFINANCE(C117, ""price"") / INDEX(GOOGLEFINANCE(C117, ""price"", TODAY()-7, TODAY()), 2, 2)) - 1, """")"),"")</f>
        <v/>
      </c>
      <c r="M117" s="21" t="str">
        <f>IFERROR(__xludf.DUMMYFUNCTION("IFERROR((GOOGLEFINANCE(C117, ""price"") / INDEX(GOOGLEFINANCE(C117, ""price"", EDATE(TODAY(), -1), TODAY()), 2, 2)) - 1, """")"),"")</f>
        <v/>
      </c>
      <c r="N117" s="21" t="str">
        <f>IFERROR(__xludf.DUMMYFUNCTION("IFERROR((GOOGLEFINANCE(C117, ""price"") / INDEX(GOOGLEFINANCE(C117, ""price"", EDATE(TODAY(), -3), TODAY()), 2, 2)) - 1, """")"),"")</f>
        <v/>
      </c>
      <c r="O117" s="21" t="str">
        <f>IFERROR(__xludf.DUMMYFUNCTION("IFERROR((GOOGLEFINANCE(C117, ""price"") / INDEX(GOOGLEFINANCE(C117, ""price"", EDATE(TODAY(), -6), TODAY()), 2, 2)) - 1, """")"),"")</f>
        <v/>
      </c>
      <c r="P117" s="21" t="str">
        <f>IFERROR(__xludf.DUMMYFUNCTION("IFERROR((GOOGLEFINANCE(C117, ""price"") / INDEX(GOOGLEFINANCE(C117, ""price"", EDATE(TODAY(), -12), TODAY()), 2, 2)) - 1, """")"),"")</f>
        <v/>
      </c>
      <c r="Q117" s="6" t="str">
        <f>IFERROR(__xludf.DUMMYFUNCTION("AVERAGE(QUERY(GOOGLEFINANCE(C117, ""price"", TODAY()-80, TODAY()), ""SELECT Col2 WHERE Col2 IS NOT NULL ORDER BY Col1 DESC LIMIT 50"", 0))"),"#N/A")</f>
        <v>#N/A</v>
      </c>
      <c r="R117" s="24" t="str">
        <f>IFERROR(__xludf.DUMMYFUNCTION("IFERROR(
  LET(
    data, QUERY(GOOGLEFINANCE(C117,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GOOGLEFINANCE(C117, ""price"")) * 100,
    IF(calc=0, G117, calc)
  ), 
G117)"),"#N/A")</f>
        <v>#N/A</v>
      </c>
      <c r="S117" s="8" t="s">
        <v>15</v>
      </c>
      <c r="T117" s="26" t="str">
        <f>IFERROR(__xludf.DUMMYFUNCTION("IFERROR(TRANSPOSE(QUERY(IFERROR(SORT(GOOGLEFINANCE(C117, ""price"", WORKDAY(TODAY(), -40), TODAY()), 1, FALSE)), ""select Col2 where Col2 is not null limit 22 label Col2 ''"", 0)), """")"),"")</f>
        <v/>
      </c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8"/>
      <c r="AO117" s="28"/>
      <c r="AP117" s="29"/>
      <c r="AQ117" s="29" t="str">
        <f t="shared" ref="AQ117:BL117" si="120">T117/T$2</f>
        <v>#N/A</v>
      </c>
      <c r="AR117" s="29" t="str">
        <f t="shared" si="120"/>
        <v>#DIV/0!</v>
      </c>
      <c r="AS117" s="29" t="str">
        <f t="shared" si="120"/>
        <v>#DIV/0!</v>
      </c>
      <c r="AT117" s="29" t="str">
        <f t="shared" si="120"/>
        <v>#DIV/0!</v>
      </c>
      <c r="AU117" s="29" t="str">
        <f t="shared" si="120"/>
        <v>#DIV/0!</v>
      </c>
      <c r="AV117" s="29" t="str">
        <f t="shared" si="120"/>
        <v>#DIV/0!</v>
      </c>
      <c r="AW117" s="29" t="str">
        <f t="shared" si="120"/>
        <v>#DIV/0!</v>
      </c>
      <c r="AX117" s="29" t="str">
        <f t="shared" si="120"/>
        <v>#DIV/0!</v>
      </c>
      <c r="AY117" s="29" t="str">
        <f t="shared" si="120"/>
        <v>#DIV/0!</v>
      </c>
      <c r="AZ117" s="29" t="str">
        <f t="shared" si="120"/>
        <v>#DIV/0!</v>
      </c>
      <c r="BA117" s="29" t="str">
        <f t="shared" si="120"/>
        <v>#DIV/0!</v>
      </c>
      <c r="BB117" s="29" t="str">
        <f t="shared" si="120"/>
        <v>#DIV/0!</v>
      </c>
      <c r="BC117" s="29" t="str">
        <f t="shared" si="120"/>
        <v>#DIV/0!</v>
      </c>
      <c r="BD117" s="29" t="str">
        <f t="shared" si="120"/>
        <v>#DIV/0!</v>
      </c>
      <c r="BE117" s="29" t="str">
        <f t="shared" si="120"/>
        <v>#DIV/0!</v>
      </c>
      <c r="BF117" s="29" t="str">
        <f t="shared" si="120"/>
        <v>#DIV/0!</v>
      </c>
      <c r="BG117" s="29" t="str">
        <f t="shared" si="120"/>
        <v>#DIV/0!</v>
      </c>
      <c r="BH117" s="29" t="str">
        <f t="shared" si="120"/>
        <v>#DIV/0!</v>
      </c>
      <c r="BI117" s="29" t="str">
        <f t="shared" si="120"/>
        <v>#DIV/0!</v>
      </c>
      <c r="BJ117" s="29" t="str">
        <f t="shared" si="120"/>
        <v>#DIV/0!</v>
      </c>
      <c r="BK117" s="29" t="str">
        <f t="shared" si="120"/>
        <v>#DIV/0!</v>
      </c>
      <c r="BL117" s="29" t="str">
        <f t="shared" si="120"/>
        <v>#DIV/0!</v>
      </c>
      <c r="BM117" s="29" t="str">
        <f t="shared" si="3"/>
        <v>#DIV/0!</v>
      </c>
    </row>
    <row r="118">
      <c r="A118" s="16" t="str">
        <f>IFERROR(__xludf.DUMMYFUNCTION("IFERROR(SPARKLINE(SORT(MAP(TRANSPOSE(AQ118:BL118), LAMBDA(val, IF(ISNUMBER(val), PERCENTRANK(AQ118:BL118, val)+0.01, 0))), SEQUENCE(COLUMNS(AQ118:BL118)), FALSE), {""charttype"",""column""; ""color"",""chartreuse""; ""ymin"", 0; ""ymax"", 1.01; ""highcolo"&amp;"r"", ""darkgreen""; ""lowcolor"", ""red""}), """")"),"")</f>
        <v/>
      </c>
      <c r="B118" s="17" t="str">
        <f t="shared" si="4"/>
        <v/>
      </c>
      <c r="C118" s="1" t="s">
        <v>548</v>
      </c>
      <c r="D118" s="30" t="str">
        <f>IFERROR(__xludf.DUMMYFUNCTION("IFERROR(GOOGLEFINANCE(C118, ""NAME""))"),"Tenable Holdings Inc")</f>
        <v>Tenable Holdings Inc</v>
      </c>
      <c r="E118" s="30" t="s">
        <v>58</v>
      </c>
      <c r="F118" s="33" t="str">
        <f>IFERROR(__xludf.DUMMYFUNCTION("( (GOOGLEFINANCE(C118, ""price"") - Q118) / Q118 ) / (R118 / 100)"),"Loading...")</f>
        <v>Loading...</v>
      </c>
      <c r="G118" s="20" t="str">
        <f>IFERROR(__xludf.DUMMYFUNCTION("AVERAGE(ARRAYFORMULA(100 * (QUERY(GOOGLEFINANCE(C118, ""high"", TODAY()-40, TODAY()), ""SELECT Col2 WHERE Col2 IS NOT NULL ORDER BY Col1 DESC LIMIT 20"", 0) / QUERY(GOOGLEFINANCE(C118, ""low"", TODAY()-40, TODAY()), ""SELECT Col2 WHERE Col2 IS NOT NULL OR"&amp;"DER BY Col1 DESC LIMIT 20"", 0) - 1)))"),"#N/A")</f>
        <v>#N/A</v>
      </c>
      <c r="H118" s="35" t="str">
        <f t="shared" si="6"/>
        <v/>
      </c>
      <c r="I118" s="36" t="str">
        <f t="shared" si="7"/>
        <v/>
      </c>
      <c r="J118" s="37" t="str">
        <f>IFERROR(__xludf.DUMMYFUNCTION("IFERROR(
  IF(C118="""",, 
    IFERROR(
      GOOGLEFINANCE(C118, ""price"") * GOOGLEFINANCE(C118, ""volumeavg""), 
      GOOGLEFINANCE(C118, ""price"") * AVERAGE(QUERY(GOOGLEFINANCE(C118, ""volume"", TODAY()-40, TODAY()), ""SELECT Col2 WHERE Col2 IS NOT "&amp;"NULL ORDER BY Col1 DESC LIMIT 20"", 0))
    )
  ), 
"""")"),"")</f>
        <v/>
      </c>
      <c r="K118" s="21" t="str">
        <f>IFERROR(__xludf.DUMMYFUNCTION("IFERROR(GOOGLEFINANCE(C118, ""changepct"") / 100, """")"),"")</f>
        <v/>
      </c>
      <c r="L118" s="21" t="str">
        <f>IFERROR(__xludf.DUMMYFUNCTION("IFERROR((GOOGLEFINANCE(C118, ""price"") / INDEX(GOOGLEFINANCE(C118, ""price"", TODAY()-7, TODAY()), 2, 2)) - 1, """")"),"")</f>
        <v/>
      </c>
      <c r="M118" s="21" t="str">
        <f>IFERROR(__xludf.DUMMYFUNCTION("IFERROR((GOOGLEFINANCE(C118, ""price"") / INDEX(GOOGLEFINANCE(C118, ""price"", EDATE(TODAY(), -1), TODAY()), 2, 2)) - 1, """")"),"")</f>
        <v/>
      </c>
      <c r="N118" s="21" t="str">
        <f>IFERROR(__xludf.DUMMYFUNCTION("IFERROR((GOOGLEFINANCE(C118, ""price"") / INDEX(GOOGLEFINANCE(C118, ""price"", EDATE(TODAY(), -3), TODAY()), 2, 2)) - 1, """")"),"")</f>
        <v/>
      </c>
      <c r="O118" s="21" t="str">
        <f>IFERROR(__xludf.DUMMYFUNCTION("IFERROR((GOOGLEFINANCE(C118, ""price"") / INDEX(GOOGLEFINANCE(C118, ""price"", EDATE(TODAY(), -6), TODAY()), 2, 2)) - 1, """")"),"")</f>
        <v/>
      </c>
      <c r="P118" s="21" t="str">
        <f>IFERROR(__xludf.DUMMYFUNCTION("IFERROR((GOOGLEFINANCE(C118, ""price"") / INDEX(GOOGLEFINANCE(C118, ""price"", EDATE(TODAY(), -12), TODAY()), 2, 2)) - 1, """")"),"")</f>
        <v/>
      </c>
      <c r="Q118" s="6" t="str">
        <f>IFERROR(__xludf.DUMMYFUNCTION("AVERAGE(QUERY(GOOGLEFINANCE(C118, ""price"", TODAY()-80, TODAY()), ""SELECT Col2 WHERE Col2 IS NOT NULL ORDER BY Col1 DESC LIMIT 50"", 0))"),"#N/A")</f>
        <v>#N/A</v>
      </c>
      <c r="R118" s="24" t="str">
        <f>IFERROR(__xludf.DUMMYFUNCTION("IFERROR(
  LET(
    data, QUERY(GOOGLEFINANCE(C118,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GOOGLEFINANCE(C118, ""price"")) * 100,
    IF(calc=0, G118, calc)
  ), 
G118)"),"#N/A")</f>
        <v>#N/A</v>
      </c>
      <c r="S118" s="8" t="s">
        <v>15</v>
      </c>
      <c r="T118" s="26" t="str">
        <f>IFERROR(__xludf.DUMMYFUNCTION("IFERROR(TRANSPOSE(QUERY(IFERROR(SORT(GOOGLEFINANCE(C118, ""price"", WORKDAY(TODAY(), -40), TODAY()), 1, FALSE)), ""select Col2 where Col2 is not null limit 22 label Col2 ''"", 0)), """")"),"")</f>
        <v/>
      </c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8"/>
      <c r="AO118" s="28"/>
      <c r="AP118" s="29"/>
      <c r="AQ118" s="29" t="str">
        <f t="shared" ref="AQ118:BL118" si="121">T118/T$2</f>
        <v>#N/A</v>
      </c>
      <c r="AR118" s="29" t="str">
        <f t="shared" si="121"/>
        <v>#DIV/0!</v>
      </c>
      <c r="AS118" s="29" t="str">
        <f t="shared" si="121"/>
        <v>#DIV/0!</v>
      </c>
      <c r="AT118" s="29" t="str">
        <f t="shared" si="121"/>
        <v>#DIV/0!</v>
      </c>
      <c r="AU118" s="29" t="str">
        <f t="shared" si="121"/>
        <v>#DIV/0!</v>
      </c>
      <c r="AV118" s="29" t="str">
        <f t="shared" si="121"/>
        <v>#DIV/0!</v>
      </c>
      <c r="AW118" s="29" t="str">
        <f t="shared" si="121"/>
        <v>#DIV/0!</v>
      </c>
      <c r="AX118" s="29" t="str">
        <f t="shared" si="121"/>
        <v>#DIV/0!</v>
      </c>
      <c r="AY118" s="29" t="str">
        <f t="shared" si="121"/>
        <v>#DIV/0!</v>
      </c>
      <c r="AZ118" s="29" t="str">
        <f t="shared" si="121"/>
        <v>#DIV/0!</v>
      </c>
      <c r="BA118" s="29" t="str">
        <f t="shared" si="121"/>
        <v>#DIV/0!</v>
      </c>
      <c r="BB118" s="29" t="str">
        <f t="shared" si="121"/>
        <v>#DIV/0!</v>
      </c>
      <c r="BC118" s="29" t="str">
        <f t="shared" si="121"/>
        <v>#DIV/0!</v>
      </c>
      <c r="BD118" s="29" t="str">
        <f t="shared" si="121"/>
        <v>#DIV/0!</v>
      </c>
      <c r="BE118" s="29" t="str">
        <f t="shared" si="121"/>
        <v>#DIV/0!</v>
      </c>
      <c r="BF118" s="29" t="str">
        <f t="shared" si="121"/>
        <v>#DIV/0!</v>
      </c>
      <c r="BG118" s="29" t="str">
        <f t="shared" si="121"/>
        <v>#DIV/0!</v>
      </c>
      <c r="BH118" s="29" t="str">
        <f t="shared" si="121"/>
        <v>#DIV/0!</v>
      </c>
      <c r="BI118" s="29" t="str">
        <f t="shared" si="121"/>
        <v>#DIV/0!</v>
      </c>
      <c r="BJ118" s="29" t="str">
        <f t="shared" si="121"/>
        <v>#DIV/0!</v>
      </c>
      <c r="BK118" s="29" t="str">
        <f t="shared" si="121"/>
        <v>#DIV/0!</v>
      </c>
      <c r="BL118" s="29" t="str">
        <f t="shared" si="121"/>
        <v>#DIV/0!</v>
      </c>
      <c r="BM118" s="29" t="str">
        <f t="shared" si="3"/>
        <v>#DIV/0!</v>
      </c>
    </row>
    <row r="119">
      <c r="A119" s="16" t="str">
        <f>IFERROR(__xludf.DUMMYFUNCTION("IFERROR(SPARKLINE(SORT(MAP(TRANSPOSE(AQ119:BL119), LAMBDA(val, IF(ISNUMBER(val), PERCENTRANK(AQ119:BL119, val)+0.01, 0))), SEQUENCE(COLUMNS(AQ119:BL119)), FALSE), {""charttype"",""column""; ""color"",""chartreuse""; ""ymin"", 0; ""ymax"", 1.01; ""highcolo"&amp;"r"", ""darkgreen""; ""lowcolor"", ""red""}), """")"),"")</f>
        <v/>
      </c>
      <c r="B119" s="17" t="str">
        <f t="shared" si="4"/>
        <v/>
      </c>
      <c r="C119" s="1" t="s">
        <v>551</v>
      </c>
      <c r="D119" s="30" t="str">
        <f>IFERROR(__xludf.DUMMYFUNCTION("IFERROR(GOOGLEFINANCE(C119, ""NAME""))"),"Infosys Ltd")</f>
        <v>Infosys Ltd</v>
      </c>
      <c r="E119" s="30" t="s">
        <v>102</v>
      </c>
      <c r="F119" s="33" t="str">
        <f>IFERROR(__xludf.DUMMYFUNCTION("( (GOOGLEFINANCE(C119, ""price"") - Q119) / Q119 ) / (R119 / 100)"),"Loading...")</f>
        <v>Loading...</v>
      </c>
      <c r="G119" s="20" t="str">
        <f>IFERROR(__xludf.DUMMYFUNCTION("AVERAGE(ARRAYFORMULA(100 * (QUERY(GOOGLEFINANCE(C119, ""high"", TODAY()-40, TODAY()), ""SELECT Col2 WHERE Col2 IS NOT NULL ORDER BY Col1 DESC LIMIT 20"", 0) / QUERY(GOOGLEFINANCE(C119, ""low"", TODAY()-40, TODAY()), ""SELECT Col2 WHERE Col2 IS NOT NULL OR"&amp;"DER BY Col1 DESC LIMIT 20"", 0) - 1)))"),"#N/A")</f>
        <v>#N/A</v>
      </c>
      <c r="H119" s="35" t="str">
        <f t="shared" si="6"/>
        <v/>
      </c>
      <c r="I119" s="36" t="str">
        <f t="shared" si="7"/>
        <v/>
      </c>
      <c r="J119" s="37" t="str">
        <f>IFERROR(__xludf.DUMMYFUNCTION("IFERROR(
  IF(C119="""",, 
    IFERROR(
      GOOGLEFINANCE(C119, ""price"") * GOOGLEFINANCE(C119, ""volumeavg""), 
      GOOGLEFINANCE(C119, ""price"") * AVERAGE(QUERY(GOOGLEFINANCE(C119, ""volume"", TODAY()-40, TODAY()), ""SELECT Col2 WHERE Col2 IS NOT "&amp;"NULL ORDER BY Col1 DESC LIMIT 20"", 0))
    )
  ), 
"""")"),"")</f>
        <v/>
      </c>
      <c r="K119" s="21" t="str">
        <f>IFERROR(__xludf.DUMMYFUNCTION("IFERROR(GOOGLEFINANCE(C119, ""changepct"") / 100, """")"),"")</f>
        <v/>
      </c>
      <c r="L119" s="21" t="str">
        <f>IFERROR(__xludf.DUMMYFUNCTION("IFERROR((GOOGLEFINANCE(C119, ""price"") / INDEX(GOOGLEFINANCE(C119, ""price"", TODAY()-7, TODAY()), 2, 2)) - 1, """")"),"")</f>
        <v/>
      </c>
      <c r="M119" s="21" t="str">
        <f>IFERROR(__xludf.DUMMYFUNCTION("IFERROR((GOOGLEFINANCE(C119, ""price"") / INDEX(GOOGLEFINANCE(C119, ""price"", EDATE(TODAY(), -1), TODAY()), 2, 2)) - 1, """")"),"")</f>
        <v/>
      </c>
      <c r="N119" s="21" t="str">
        <f>IFERROR(__xludf.DUMMYFUNCTION("IFERROR((GOOGLEFINANCE(C119, ""price"") / INDEX(GOOGLEFINANCE(C119, ""price"", EDATE(TODAY(), -3), TODAY()), 2, 2)) - 1, """")"),"")</f>
        <v/>
      </c>
      <c r="O119" s="21" t="str">
        <f>IFERROR(__xludf.DUMMYFUNCTION("IFERROR((GOOGLEFINANCE(C119, ""price"") / INDEX(GOOGLEFINANCE(C119, ""price"", EDATE(TODAY(), -6), TODAY()), 2, 2)) - 1, """")"),"")</f>
        <v/>
      </c>
      <c r="P119" s="21" t="str">
        <f>IFERROR(__xludf.DUMMYFUNCTION("IFERROR((GOOGLEFINANCE(C119, ""price"") / INDEX(GOOGLEFINANCE(C119, ""price"", EDATE(TODAY(), -12), TODAY()), 2, 2)) - 1, """")"),"")</f>
        <v/>
      </c>
      <c r="Q119" s="6" t="str">
        <f>IFERROR(__xludf.DUMMYFUNCTION("AVERAGE(QUERY(GOOGLEFINANCE(C119, ""price"", TODAY()-80, TODAY()), ""SELECT Col2 WHERE Col2 IS NOT NULL ORDER BY Col1 DESC LIMIT 50"", 0))"),"#N/A")</f>
        <v>#N/A</v>
      </c>
      <c r="R119" s="24" t="str">
        <f>IFERROR(__xludf.DUMMYFUNCTION("IFERROR(
  LET(
    data, QUERY(GOOGLEFINANCE(C119,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GOOGLEFINANCE(C119, ""price"")) * 100,
    IF(calc=0, G119, calc)
  ), 
G119)"),"#N/A")</f>
        <v>#N/A</v>
      </c>
      <c r="S119" s="8" t="s">
        <v>15</v>
      </c>
      <c r="T119" s="26" t="str">
        <f>IFERROR(__xludf.DUMMYFUNCTION("IFERROR(TRANSPOSE(QUERY(IFERROR(SORT(GOOGLEFINANCE(C119, ""price"", WORKDAY(TODAY(), -40), TODAY()), 1, FALSE)), ""select Col2 where Col2 is not null limit 22 label Col2 ''"", 0)), """")"),"")</f>
        <v/>
      </c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8"/>
      <c r="AO119" s="28"/>
      <c r="AP119" s="29"/>
      <c r="AQ119" s="29" t="str">
        <f t="shared" ref="AQ119:BL119" si="122">T119/T$2</f>
        <v>#N/A</v>
      </c>
      <c r="AR119" s="29" t="str">
        <f t="shared" si="122"/>
        <v>#DIV/0!</v>
      </c>
      <c r="AS119" s="29" t="str">
        <f t="shared" si="122"/>
        <v>#DIV/0!</v>
      </c>
      <c r="AT119" s="29" t="str">
        <f t="shared" si="122"/>
        <v>#DIV/0!</v>
      </c>
      <c r="AU119" s="29" t="str">
        <f t="shared" si="122"/>
        <v>#DIV/0!</v>
      </c>
      <c r="AV119" s="29" t="str">
        <f t="shared" si="122"/>
        <v>#DIV/0!</v>
      </c>
      <c r="AW119" s="29" t="str">
        <f t="shared" si="122"/>
        <v>#DIV/0!</v>
      </c>
      <c r="AX119" s="29" t="str">
        <f t="shared" si="122"/>
        <v>#DIV/0!</v>
      </c>
      <c r="AY119" s="29" t="str">
        <f t="shared" si="122"/>
        <v>#DIV/0!</v>
      </c>
      <c r="AZ119" s="29" t="str">
        <f t="shared" si="122"/>
        <v>#DIV/0!</v>
      </c>
      <c r="BA119" s="29" t="str">
        <f t="shared" si="122"/>
        <v>#DIV/0!</v>
      </c>
      <c r="BB119" s="29" t="str">
        <f t="shared" si="122"/>
        <v>#DIV/0!</v>
      </c>
      <c r="BC119" s="29" t="str">
        <f t="shared" si="122"/>
        <v>#DIV/0!</v>
      </c>
      <c r="BD119" s="29" t="str">
        <f t="shared" si="122"/>
        <v>#DIV/0!</v>
      </c>
      <c r="BE119" s="29" t="str">
        <f t="shared" si="122"/>
        <v>#DIV/0!</v>
      </c>
      <c r="BF119" s="29" t="str">
        <f t="shared" si="122"/>
        <v>#DIV/0!</v>
      </c>
      <c r="BG119" s="29" t="str">
        <f t="shared" si="122"/>
        <v>#DIV/0!</v>
      </c>
      <c r="BH119" s="29" t="str">
        <f t="shared" si="122"/>
        <v>#DIV/0!</v>
      </c>
      <c r="BI119" s="29" t="str">
        <f t="shared" si="122"/>
        <v>#DIV/0!</v>
      </c>
      <c r="BJ119" s="29" t="str">
        <f t="shared" si="122"/>
        <v>#DIV/0!</v>
      </c>
      <c r="BK119" s="29" t="str">
        <f t="shared" si="122"/>
        <v>#DIV/0!</v>
      </c>
      <c r="BL119" s="29" t="str">
        <f t="shared" si="122"/>
        <v>#DIV/0!</v>
      </c>
      <c r="BM119" s="29" t="str">
        <f t="shared" si="3"/>
        <v>#DIV/0!</v>
      </c>
    </row>
    <row r="120">
      <c r="A120" s="16" t="str">
        <f>IFERROR(__xludf.DUMMYFUNCTION("IFERROR(SPARKLINE(SORT(MAP(TRANSPOSE(AQ120:BL120), LAMBDA(val, IF(ISNUMBER(val), PERCENTRANK(AQ120:BL120, val)+0.01, 0))), SEQUENCE(COLUMNS(AQ120:BL120)), FALSE), {""charttype"",""column""; ""color"",""chartreuse""; ""ymin"", 0; ""ymax"", 1.01; ""highcolo"&amp;"r"", ""darkgreen""; ""lowcolor"", ""red""}), """")"),"")</f>
        <v/>
      </c>
      <c r="B120" s="17" t="str">
        <f t="shared" si="4"/>
        <v/>
      </c>
      <c r="C120" s="1" t="s">
        <v>555</v>
      </c>
      <c r="D120" s="30" t="str">
        <f>IFERROR(__xludf.DUMMYFUNCTION("IFERROR(GOOGLEFINANCE(C120, ""NAME""))"),"Genpact Ltd")</f>
        <v>Genpact Ltd</v>
      </c>
      <c r="E120" s="30" t="s">
        <v>102</v>
      </c>
      <c r="F120" s="33" t="str">
        <f>IFERROR(__xludf.DUMMYFUNCTION("( (GOOGLEFINANCE(C120, ""price"") - Q120) / Q120 ) / (R120 / 100)"),"Loading...")</f>
        <v>Loading...</v>
      </c>
      <c r="G120" s="20" t="str">
        <f>IFERROR(__xludf.DUMMYFUNCTION("AVERAGE(ARRAYFORMULA(100 * (QUERY(GOOGLEFINANCE(C120, ""high"", TODAY()-40, TODAY()), ""SELECT Col2 WHERE Col2 IS NOT NULL ORDER BY Col1 DESC LIMIT 20"", 0) / QUERY(GOOGLEFINANCE(C120, ""low"", TODAY()-40, TODAY()), ""SELECT Col2 WHERE Col2 IS NOT NULL OR"&amp;"DER BY Col1 DESC LIMIT 20"", 0) - 1)))"),"#N/A")</f>
        <v>#N/A</v>
      </c>
      <c r="H120" s="35" t="str">
        <f t="shared" si="6"/>
        <v/>
      </c>
      <c r="I120" s="36" t="str">
        <f t="shared" si="7"/>
        <v/>
      </c>
      <c r="J120" s="37" t="str">
        <f>IFERROR(__xludf.DUMMYFUNCTION("IFERROR(
  IF(C120="""",, 
    IFERROR(
      GOOGLEFINANCE(C120, ""price"") * GOOGLEFINANCE(C120, ""volumeavg""), 
      GOOGLEFINANCE(C120, ""price"") * AVERAGE(QUERY(GOOGLEFINANCE(C120, ""volume"", TODAY()-40, TODAY()), ""SELECT Col2 WHERE Col2 IS NOT "&amp;"NULL ORDER BY Col1 DESC LIMIT 20"", 0))
    )
  ), 
"""")"),"")</f>
        <v/>
      </c>
      <c r="K120" s="21" t="str">
        <f>IFERROR(__xludf.DUMMYFUNCTION("IFERROR(GOOGLEFINANCE(C120, ""changepct"") / 100, """")"),"")</f>
        <v/>
      </c>
      <c r="L120" s="21" t="str">
        <f>IFERROR(__xludf.DUMMYFUNCTION("IFERROR((GOOGLEFINANCE(C120, ""price"") / INDEX(GOOGLEFINANCE(C120, ""price"", TODAY()-7, TODAY()), 2, 2)) - 1, """")"),"")</f>
        <v/>
      </c>
      <c r="M120" s="21" t="str">
        <f>IFERROR(__xludf.DUMMYFUNCTION("IFERROR((GOOGLEFINANCE(C120, ""price"") / INDEX(GOOGLEFINANCE(C120, ""price"", EDATE(TODAY(), -1), TODAY()), 2, 2)) - 1, """")"),"")</f>
        <v/>
      </c>
      <c r="N120" s="21" t="str">
        <f>IFERROR(__xludf.DUMMYFUNCTION("IFERROR((GOOGLEFINANCE(C120, ""price"") / INDEX(GOOGLEFINANCE(C120, ""price"", EDATE(TODAY(), -3), TODAY()), 2, 2)) - 1, """")"),"")</f>
        <v/>
      </c>
      <c r="O120" s="21" t="str">
        <f>IFERROR(__xludf.DUMMYFUNCTION("IFERROR((GOOGLEFINANCE(C120, ""price"") / INDEX(GOOGLEFINANCE(C120, ""price"", EDATE(TODAY(), -6), TODAY()), 2, 2)) - 1, """")"),"")</f>
        <v/>
      </c>
      <c r="P120" s="21" t="str">
        <f>IFERROR(__xludf.DUMMYFUNCTION("IFERROR((GOOGLEFINANCE(C120, ""price"") / INDEX(GOOGLEFINANCE(C120, ""price"", EDATE(TODAY(), -12), TODAY()), 2, 2)) - 1, """")"),"")</f>
        <v/>
      </c>
      <c r="Q120" s="6" t="str">
        <f>IFERROR(__xludf.DUMMYFUNCTION("AVERAGE(QUERY(GOOGLEFINANCE(C120, ""price"", TODAY()-80, TODAY()), ""SELECT Col2 WHERE Col2 IS NOT NULL ORDER BY Col1 DESC LIMIT 50"", 0))"),"#N/A")</f>
        <v>#N/A</v>
      </c>
      <c r="R120" s="24" t="str">
        <f>IFERROR(__xludf.DUMMYFUNCTION("IFERROR(
  LET(
    data, QUERY(GOOGLEFINANCE(C120,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GOOGLEFINANCE(C120, ""price"")) * 100,
    IF(calc=0, G120, calc)
  ), 
G120)"),"#N/A")</f>
        <v>#N/A</v>
      </c>
      <c r="S120" s="8" t="s">
        <v>15</v>
      </c>
      <c r="T120" s="26" t="str">
        <f>IFERROR(__xludf.DUMMYFUNCTION("IFERROR(TRANSPOSE(QUERY(IFERROR(SORT(GOOGLEFINANCE(C120, ""price"", WORKDAY(TODAY(), -40), TODAY()), 1, FALSE)), ""select Col2 where Col2 is not null limit 22 label Col2 ''"", 0)), """")"),"")</f>
        <v/>
      </c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8"/>
      <c r="AO120" s="28"/>
      <c r="AP120" s="29"/>
      <c r="AQ120" s="29" t="str">
        <f t="shared" ref="AQ120:BL120" si="123">T120/T$2</f>
        <v>#N/A</v>
      </c>
      <c r="AR120" s="29" t="str">
        <f t="shared" si="123"/>
        <v>#DIV/0!</v>
      </c>
      <c r="AS120" s="29" t="str">
        <f t="shared" si="123"/>
        <v>#DIV/0!</v>
      </c>
      <c r="AT120" s="29" t="str">
        <f t="shared" si="123"/>
        <v>#DIV/0!</v>
      </c>
      <c r="AU120" s="29" t="str">
        <f t="shared" si="123"/>
        <v>#DIV/0!</v>
      </c>
      <c r="AV120" s="29" t="str">
        <f t="shared" si="123"/>
        <v>#DIV/0!</v>
      </c>
      <c r="AW120" s="29" t="str">
        <f t="shared" si="123"/>
        <v>#DIV/0!</v>
      </c>
      <c r="AX120" s="29" t="str">
        <f t="shared" si="123"/>
        <v>#DIV/0!</v>
      </c>
      <c r="AY120" s="29" t="str">
        <f t="shared" si="123"/>
        <v>#DIV/0!</v>
      </c>
      <c r="AZ120" s="29" t="str">
        <f t="shared" si="123"/>
        <v>#DIV/0!</v>
      </c>
      <c r="BA120" s="29" t="str">
        <f t="shared" si="123"/>
        <v>#DIV/0!</v>
      </c>
      <c r="BB120" s="29" t="str">
        <f t="shared" si="123"/>
        <v>#DIV/0!</v>
      </c>
      <c r="BC120" s="29" t="str">
        <f t="shared" si="123"/>
        <v>#DIV/0!</v>
      </c>
      <c r="BD120" s="29" t="str">
        <f t="shared" si="123"/>
        <v>#DIV/0!</v>
      </c>
      <c r="BE120" s="29" t="str">
        <f t="shared" si="123"/>
        <v>#DIV/0!</v>
      </c>
      <c r="BF120" s="29" t="str">
        <f t="shared" si="123"/>
        <v>#DIV/0!</v>
      </c>
      <c r="BG120" s="29" t="str">
        <f t="shared" si="123"/>
        <v>#DIV/0!</v>
      </c>
      <c r="BH120" s="29" t="str">
        <f t="shared" si="123"/>
        <v>#DIV/0!</v>
      </c>
      <c r="BI120" s="29" t="str">
        <f t="shared" si="123"/>
        <v>#DIV/0!</v>
      </c>
      <c r="BJ120" s="29" t="str">
        <f t="shared" si="123"/>
        <v>#DIV/0!</v>
      </c>
      <c r="BK120" s="29" t="str">
        <f t="shared" si="123"/>
        <v>#DIV/0!</v>
      </c>
      <c r="BL120" s="29" t="str">
        <f t="shared" si="123"/>
        <v>#DIV/0!</v>
      </c>
      <c r="BM120" s="29" t="str">
        <f t="shared" si="3"/>
        <v>#DIV/0!</v>
      </c>
    </row>
    <row r="121">
      <c r="A121" s="16" t="str">
        <f>IFERROR(__xludf.DUMMYFUNCTION("IFERROR(SPARKLINE(SORT(MAP(TRANSPOSE(AQ121:BL121), LAMBDA(val, IF(ISNUMBER(val), PERCENTRANK(AQ121:BL121, val)+0.01, 0))), SEQUENCE(COLUMNS(AQ121:BL121)), FALSE), {""charttype"",""column""; ""color"",""chartreuse""; ""ymin"", 0; ""ymax"", 1.01; ""highcolo"&amp;"r"", ""darkgreen""; ""lowcolor"", ""red""}), """")"),"")</f>
        <v/>
      </c>
      <c r="B121" s="17" t="str">
        <f t="shared" si="4"/>
        <v/>
      </c>
      <c r="C121" s="1" t="s">
        <v>559</v>
      </c>
      <c r="D121" s="30" t="str">
        <f>IFERROR(__xludf.DUMMYFUNCTION("IFERROR(GOOGLEFINANCE(C121, ""NAME""))"),"Procore Technologies Inc")</f>
        <v>Procore Technologies Inc</v>
      </c>
      <c r="E121" s="30" t="s">
        <v>48</v>
      </c>
      <c r="F121" s="33" t="str">
        <f>IFERROR(__xludf.DUMMYFUNCTION("( (GOOGLEFINANCE(C121, ""price"") - Q121) / Q121 ) / (R121 / 100)"),"Loading...")</f>
        <v>Loading...</v>
      </c>
      <c r="G121" s="20" t="str">
        <f>IFERROR(__xludf.DUMMYFUNCTION("AVERAGE(ARRAYFORMULA(100 * (QUERY(GOOGLEFINANCE(C121, ""high"", TODAY()-40, TODAY()), ""SELECT Col2 WHERE Col2 IS NOT NULL ORDER BY Col1 DESC LIMIT 20"", 0) / QUERY(GOOGLEFINANCE(C121, ""low"", TODAY()-40, TODAY()), ""SELECT Col2 WHERE Col2 IS NOT NULL OR"&amp;"DER BY Col1 DESC LIMIT 20"", 0) - 1)))"),"#N/A")</f>
        <v>#N/A</v>
      </c>
      <c r="H121" s="35" t="str">
        <f t="shared" si="6"/>
        <v/>
      </c>
      <c r="I121" s="36" t="str">
        <f t="shared" si="7"/>
        <v/>
      </c>
      <c r="J121" s="37" t="str">
        <f>IFERROR(__xludf.DUMMYFUNCTION("IFERROR(
  IF(C121="""",, 
    IFERROR(
      GOOGLEFINANCE(C121, ""price"") * GOOGLEFINANCE(C121, ""volumeavg""), 
      GOOGLEFINANCE(C121, ""price"") * AVERAGE(QUERY(GOOGLEFINANCE(C121, ""volume"", TODAY()-40, TODAY()), ""SELECT Col2 WHERE Col2 IS NOT "&amp;"NULL ORDER BY Col1 DESC LIMIT 20"", 0))
    )
  ), 
"""")"),"")</f>
        <v/>
      </c>
      <c r="K121" s="21" t="str">
        <f>IFERROR(__xludf.DUMMYFUNCTION("IFERROR(GOOGLEFINANCE(C121, ""changepct"") / 100, """")"),"")</f>
        <v/>
      </c>
      <c r="L121" s="21" t="str">
        <f>IFERROR(__xludf.DUMMYFUNCTION("IFERROR((GOOGLEFINANCE(C121, ""price"") / INDEX(GOOGLEFINANCE(C121, ""price"", TODAY()-7, TODAY()), 2, 2)) - 1, """")"),"")</f>
        <v/>
      </c>
      <c r="M121" s="21" t="str">
        <f>IFERROR(__xludf.DUMMYFUNCTION("IFERROR((GOOGLEFINANCE(C121, ""price"") / INDEX(GOOGLEFINANCE(C121, ""price"", EDATE(TODAY(), -1), TODAY()), 2, 2)) - 1, """")"),"")</f>
        <v/>
      </c>
      <c r="N121" s="21" t="str">
        <f>IFERROR(__xludf.DUMMYFUNCTION("IFERROR((GOOGLEFINANCE(C121, ""price"") / INDEX(GOOGLEFINANCE(C121, ""price"", EDATE(TODAY(), -3), TODAY()), 2, 2)) - 1, """")"),"")</f>
        <v/>
      </c>
      <c r="O121" s="21" t="str">
        <f>IFERROR(__xludf.DUMMYFUNCTION("IFERROR((GOOGLEFINANCE(C121, ""price"") / INDEX(GOOGLEFINANCE(C121, ""price"", EDATE(TODAY(), -6), TODAY()), 2, 2)) - 1, """")"),"")</f>
        <v/>
      </c>
      <c r="P121" s="21" t="str">
        <f>IFERROR(__xludf.DUMMYFUNCTION("IFERROR((GOOGLEFINANCE(C121, ""price"") / INDEX(GOOGLEFINANCE(C121, ""price"", EDATE(TODAY(), -12), TODAY()), 2, 2)) - 1, """")"),"")</f>
        <v/>
      </c>
      <c r="Q121" s="6" t="str">
        <f>IFERROR(__xludf.DUMMYFUNCTION("AVERAGE(QUERY(GOOGLEFINANCE(C121, ""price"", TODAY()-80, TODAY()), ""SELECT Col2 WHERE Col2 IS NOT NULL ORDER BY Col1 DESC LIMIT 50"", 0))"),"#N/A")</f>
        <v>#N/A</v>
      </c>
      <c r="R121" s="24" t="str">
        <f>IFERROR(__xludf.DUMMYFUNCTION("IFERROR(
  LET(
    data, QUERY(GOOGLEFINANCE(C121,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GOOGLEFINANCE(C121, ""price"")) * 100,
    IF(calc=0, G121, calc)
  ), 
G121)"),"#N/A")</f>
        <v>#N/A</v>
      </c>
      <c r="S121" s="8" t="s">
        <v>15</v>
      </c>
      <c r="T121" s="26" t="str">
        <f>IFERROR(__xludf.DUMMYFUNCTION("IFERROR(TRANSPOSE(QUERY(IFERROR(SORT(GOOGLEFINANCE(C121, ""price"", WORKDAY(TODAY(), -40), TODAY()), 1, FALSE)), ""select Col2 where Col2 is not null limit 22 label Col2 ''"", 0)), """")"),"")</f>
        <v/>
      </c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8"/>
      <c r="AO121" s="28"/>
      <c r="AP121" s="29"/>
      <c r="AQ121" s="29" t="str">
        <f t="shared" ref="AQ121:BL121" si="124">T121/T$2</f>
        <v>#N/A</v>
      </c>
      <c r="AR121" s="29" t="str">
        <f t="shared" si="124"/>
        <v>#DIV/0!</v>
      </c>
      <c r="AS121" s="29" t="str">
        <f t="shared" si="124"/>
        <v>#DIV/0!</v>
      </c>
      <c r="AT121" s="29" t="str">
        <f t="shared" si="124"/>
        <v>#DIV/0!</v>
      </c>
      <c r="AU121" s="29" t="str">
        <f t="shared" si="124"/>
        <v>#DIV/0!</v>
      </c>
      <c r="AV121" s="29" t="str">
        <f t="shared" si="124"/>
        <v>#DIV/0!</v>
      </c>
      <c r="AW121" s="29" t="str">
        <f t="shared" si="124"/>
        <v>#DIV/0!</v>
      </c>
      <c r="AX121" s="29" t="str">
        <f t="shared" si="124"/>
        <v>#DIV/0!</v>
      </c>
      <c r="AY121" s="29" t="str">
        <f t="shared" si="124"/>
        <v>#DIV/0!</v>
      </c>
      <c r="AZ121" s="29" t="str">
        <f t="shared" si="124"/>
        <v>#DIV/0!</v>
      </c>
      <c r="BA121" s="29" t="str">
        <f t="shared" si="124"/>
        <v>#DIV/0!</v>
      </c>
      <c r="BB121" s="29" t="str">
        <f t="shared" si="124"/>
        <v>#DIV/0!</v>
      </c>
      <c r="BC121" s="29" t="str">
        <f t="shared" si="124"/>
        <v>#DIV/0!</v>
      </c>
      <c r="BD121" s="29" t="str">
        <f t="shared" si="124"/>
        <v>#DIV/0!</v>
      </c>
      <c r="BE121" s="29" t="str">
        <f t="shared" si="124"/>
        <v>#DIV/0!</v>
      </c>
      <c r="BF121" s="29" t="str">
        <f t="shared" si="124"/>
        <v>#DIV/0!</v>
      </c>
      <c r="BG121" s="29" t="str">
        <f t="shared" si="124"/>
        <v>#DIV/0!</v>
      </c>
      <c r="BH121" s="29" t="str">
        <f t="shared" si="124"/>
        <v>#DIV/0!</v>
      </c>
      <c r="BI121" s="29" t="str">
        <f t="shared" si="124"/>
        <v>#DIV/0!</v>
      </c>
      <c r="BJ121" s="29" t="str">
        <f t="shared" si="124"/>
        <v>#DIV/0!</v>
      </c>
      <c r="BK121" s="29" t="str">
        <f t="shared" si="124"/>
        <v>#DIV/0!</v>
      </c>
      <c r="BL121" s="29" t="str">
        <f t="shared" si="124"/>
        <v>#DIV/0!</v>
      </c>
      <c r="BM121" s="29" t="str">
        <f t="shared" si="3"/>
        <v>#DIV/0!</v>
      </c>
    </row>
    <row r="122">
      <c r="A122" s="16" t="str">
        <f>IFERROR(__xludf.DUMMYFUNCTION("IFERROR(SPARKLINE(SORT(MAP(TRANSPOSE(AQ122:BL122), LAMBDA(val, IF(ISNUMBER(val), PERCENTRANK(AQ122:BL122, val)+0.01, 0))), SEQUENCE(COLUMNS(AQ122:BL122)), FALSE), {""charttype"",""column""; ""color"",""chartreuse""; ""ymin"", 0; ""ymax"", 1.01; ""highcolo"&amp;"r"", ""darkgreen""; ""lowcolor"", ""red""}), """")"),"")</f>
        <v/>
      </c>
      <c r="B122" s="17" t="str">
        <f t="shared" si="4"/>
        <v/>
      </c>
      <c r="C122" s="1" t="s">
        <v>563</v>
      </c>
      <c r="D122" s="30" t="str">
        <f>IFERROR(__xludf.DUMMYFUNCTION("IFERROR(GOOGLEFINANCE(C122, ""NAME""))"),"Automatic Data Processing Inc")</f>
        <v>Automatic Data Processing Inc</v>
      </c>
      <c r="E122" s="30" t="s">
        <v>48</v>
      </c>
      <c r="F122" s="33" t="str">
        <f>IFERROR(__xludf.DUMMYFUNCTION("( (GOOGLEFINANCE(C122, ""price"") - Q122) / Q122 ) / (R122 / 100)"),"Loading...")</f>
        <v>Loading...</v>
      </c>
      <c r="G122" s="20" t="str">
        <f>IFERROR(__xludf.DUMMYFUNCTION("AVERAGE(ARRAYFORMULA(100 * (QUERY(GOOGLEFINANCE(C122, ""high"", TODAY()-40, TODAY()), ""SELECT Col2 WHERE Col2 IS NOT NULL ORDER BY Col1 DESC LIMIT 20"", 0) / QUERY(GOOGLEFINANCE(C122, ""low"", TODAY()-40, TODAY()), ""SELECT Col2 WHERE Col2 IS NOT NULL OR"&amp;"DER BY Col1 DESC LIMIT 20"", 0) - 1)))"),"#N/A")</f>
        <v>#N/A</v>
      </c>
      <c r="H122" s="35" t="str">
        <f t="shared" si="6"/>
        <v/>
      </c>
      <c r="I122" s="36" t="str">
        <f t="shared" si="7"/>
        <v/>
      </c>
      <c r="J122" s="37" t="str">
        <f>IFERROR(__xludf.DUMMYFUNCTION("IFERROR(
  IF(C122="""",, 
    IFERROR(
      GOOGLEFINANCE(C122, ""price"") * GOOGLEFINANCE(C122, ""volumeavg""), 
      GOOGLEFINANCE(C122, ""price"") * AVERAGE(QUERY(GOOGLEFINANCE(C122, ""volume"", TODAY()-40, TODAY()), ""SELECT Col2 WHERE Col2 IS NOT "&amp;"NULL ORDER BY Col1 DESC LIMIT 20"", 0))
    )
  ), 
"""")"),"")</f>
        <v/>
      </c>
      <c r="K122" s="21" t="str">
        <f>IFERROR(__xludf.DUMMYFUNCTION("IFERROR(GOOGLEFINANCE(C122, ""changepct"") / 100, """")"),"")</f>
        <v/>
      </c>
      <c r="L122" s="21" t="str">
        <f>IFERROR(__xludf.DUMMYFUNCTION("IFERROR((GOOGLEFINANCE(C122, ""price"") / INDEX(GOOGLEFINANCE(C122, ""price"", TODAY()-7, TODAY()), 2, 2)) - 1, """")"),"")</f>
        <v/>
      </c>
      <c r="M122" s="21" t="str">
        <f>IFERROR(__xludf.DUMMYFUNCTION("IFERROR((GOOGLEFINANCE(C122, ""price"") / INDEX(GOOGLEFINANCE(C122, ""price"", EDATE(TODAY(), -1), TODAY()), 2, 2)) - 1, """")"),"")</f>
        <v/>
      </c>
      <c r="N122" s="21" t="str">
        <f>IFERROR(__xludf.DUMMYFUNCTION("IFERROR((GOOGLEFINANCE(C122, ""price"") / INDEX(GOOGLEFINANCE(C122, ""price"", EDATE(TODAY(), -3), TODAY()), 2, 2)) - 1, """")"),"")</f>
        <v/>
      </c>
      <c r="O122" s="21" t="str">
        <f>IFERROR(__xludf.DUMMYFUNCTION("IFERROR((GOOGLEFINANCE(C122, ""price"") / INDEX(GOOGLEFINANCE(C122, ""price"", EDATE(TODAY(), -6), TODAY()), 2, 2)) - 1, """")"),"")</f>
        <v/>
      </c>
      <c r="P122" s="21" t="str">
        <f>IFERROR(__xludf.DUMMYFUNCTION("IFERROR((GOOGLEFINANCE(C122, ""price"") / INDEX(GOOGLEFINANCE(C122, ""price"", EDATE(TODAY(), -12), TODAY()), 2, 2)) - 1, """")"),"")</f>
        <v/>
      </c>
      <c r="Q122" s="6" t="str">
        <f>IFERROR(__xludf.DUMMYFUNCTION("AVERAGE(QUERY(GOOGLEFINANCE(C122, ""price"", TODAY()-80, TODAY()), ""SELECT Col2 WHERE Col2 IS NOT NULL ORDER BY Col1 DESC LIMIT 50"", 0))"),"#N/A")</f>
        <v>#N/A</v>
      </c>
      <c r="R122" s="24" t="str">
        <f>IFERROR(__xludf.DUMMYFUNCTION("IFERROR(
  LET(
    data, QUERY(GOOGLEFINANCE(C122,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GOOGLEFINANCE(C122, ""price"")) * 100,
    IF(calc=0, G122, calc)
  ), 
G122)"),"#N/A")</f>
        <v>#N/A</v>
      </c>
      <c r="S122" s="8" t="s">
        <v>15</v>
      </c>
      <c r="T122" s="26" t="str">
        <f>IFERROR(__xludf.DUMMYFUNCTION("IFERROR(TRANSPOSE(QUERY(IFERROR(SORT(GOOGLEFINANCE(C122, ""price"", WORKDAY(TODAY(), -40), TODAY()), 1, FALSE)), ""select Col2 where Col2 is not null limit 22 label Col2 ''"", 0)), """")"),"")</f>
        <v/>
      </c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8"/>
      <c r="AO122" s="28"/>
      <c r="AP122" s="29"/>
      <c r="AQ122" s="29" t="str">
        <f t="shared" ref="AQ122:BL122" si="125">T122/T$2</f>
        <v>#N/A</v>
      </c>
      <c r="AR122" s="29" t="str">
        <f t="shared" si="125"/>
        <v>#DIV/0!</v>
      </c>
      <c r="AS122" s="29" t="str">
        <f t="shared" si="125"/>
        <v>#DIV/0!</v>
      </c>
      <c r="AT122" s="29" t="str">
        <f t="shared" si="125"/>
        <v>#DIV/0!</v>
      </c>
      <c r="AU122" s="29" t="str">
        <f t="shared" si="125"/>
        <v>#DIV/0!</v>
      </c>
      <c r="AV122" s="29" t="str">
        <f t="shared" si="125"/>
        <v>#DIV/0!</v>
      </c>
      <c r="AW122" s="29" t="str">
        <f t="shared" si="125"/>
        <v>#DIV/0!</v>
      </c>
      <c r="AX122" s="29" t="str">
        <f t="shared" si="125"/>
        <v>#DIV/0!</v>
      </c>
      <c r="AY122" s="29" t="str">
        <f t="shared" si="125"/>
        <v>#DIV/0!</v>
      </c>
      <c r="AZ122" s="29" t="str">
        <f t="shared" si="125"/>
        <v>#DIV/0!</v>
      </c>
      <c r="BA122" s="29" t="str">
        <f t="shared" si="125"/>
        <v>#DIV/0!</v>
      </c>
      <c r="BB122" s="29" t="str">
        <f t="shared" si="125"/>
        <v>#DIV/0!</v>
      </c>
      <c r="BC122" s="29" t="str">
        <f t="shared" si="125"/>
        <v>#DIV/0!</v>
      </c>
      <c r="BD122" s="29" t="str">
        <f t="shared" si="125"/>
        <v>#DIV/0!</v>
      </c>
      <c r="BE122" s="29" t="str">
        <f t="shared" si="125"/>
        <v>#DIV/0!</v>
      </c>
      <c r="BF122" s="29" t="str">
        <f t="shared" si="125"/>
        <v>#DIV/0!</v>
      </c>
      <c r="BG122" s="29" t="str">
        <f t="shared" si="125"/>
        <v>#DIV/0!</v>
      </c>
      <c r="BH122" s="29" t="str">
        <f t="shared" si="125"/>
        <v>#DIV/0!</v>
      </c>
      <c r="BI122" s="29" t="str">
        <f t="shared" si="125"/>
        <v>#DIV/0!</v>
      </c>
      <c r="BJ122" s="29" t="str">
        <f t="shared" si="125"/>
        <v>#DIV/0!</v>
      </c>
      <c r="BK122" s="29" t="str">
        <f t="shared" si="125"/>
        <v>#DIV/0!</v>
      </c>
      <c r="BL122" s="29" t="str">
        <f t="shared" si="125"/>
        <v>#DIV/0!</v>
      </c>
      <c r="BM122" s="29" t="str">
        <f t="shared" si="3"/>
        <v>#DIV/0!</v>
      </c>
    </row>
    <row r="123">
      <c r="A123" s="16" t="str">
        <f>IFERROR(__xludf.DUMMYFUNCTION("IFERROR(SPARKLINE(SORT(MAP(TRANSPOSE(AQ123:BL123), LAMBDA(val, IF(ISNUMBER(val), PERCENTRANK(AQ123:BL123, val)+0.01, 0))), SEQUENCE(COLUMNS(AQ123:BL123)), FALSE), {""charttype"",""column""; ""color"",""chartreuse""; ""ymin"", 0; ""ymax"", 1.01; ""highcolo"&amp;"r"", ""darkgreen""; ""lowcolor"", ""red""}), """")"),"")</f>
        <v/>
      </c>
      <c r="B123" s="17" t="str">
        <f t="shared" si="4"/>
        <v/>
      </c>
      <c r="C123" s="1" t="s">
        <v>566</v>
      </c>
      <c r="D123" s="30" t="str">
        <f>IFERROR(__xludf.DUMMYFUNCTION("IFERROR(GOOGLEFINANCE(C123, ""NAME""))"),"Amdocs Ltd")</f>
        <v>Amdocs Ltd</v>
      </c>
      <c r="E123" s="30" t="s">
        <v>58</v>
      </c>
      <c r="F123" s="33" t="str">
        <f>IFERROR(__xludf.DUMMYFUNCTION("( (GOOGLEFINANCE(C123, ""price"") - Q123) / Q123 ) / (R123 / 100)"),"Loading...")</f>
        <v>Loading...</v>
      </c>
      <c r="G123" s="20" t="str">
        <f>IFERROR(__xludf.DUMMYFUNCTION("AVERAGE(ARRAYFORMULA(100 * (QUERY(GOOGLEFINANCE(C123, ""high"", TODAY()-40, TODAY()), ""SELECT Col2 WHERE Col2 IS NOT NULL ORDER BY Col1 DESC LIMIT 20"", 0) / QUERY(GOOGLEFINANCE(C123, ""low"", TODAY()-40, TODAY()), ""SELECT Col2 WHERE Col2 IS NOT NULL OR"&amp;"DER BY Col1 DESC LIMIT 20"", 0) - 1)))"),"#N/A")</f>
        <v>#N/A</v>
      </c>
      <c r="H123" s="35" t="str">
        <f t="shared" si="6"/>
        <v/>
      </c>
      <c r="I123" s="36" t="str">
        <f t="shared" si="7"/>
        <v/>
      </c>
      <c r="J123" s="37" t="str">
        <f>IFERROR(__xludf.DUMMYFUNCTION("IFERROR(
  IF(C123="""",, 
    IFERROR(
      GOOGLEFINANCE(C123, ""price"") * GOOGLEFINANCE(C123, ""volumeavg""), 
      GOOGLEFINANCE(C123, ""price"") * AVERAGE(QUERY(GOOGLEFINANCE(C123, ""volume"", TODAY()-40, TODAY()), ""SELECT Col2 WHERE Col2 IS NOT "&amp;"NULL ORDER BY Col1 DESC LIMIT 20"", 0))
    )
  ), 
"""")"),"")</f>
        <v/>
      </c>
      <c r="K123" s="21" t="str">
        <f>IFERROR(__xludf.DUMMYFUNCTION("IFERROR(GOOGLEFINANCE(C123, ""changepct"") / 100, """")"),"")</f>
        <v/>
      </c>
      <c r="L123" s="21" t="str">
        <f>IFERROR(__xludf.DUMMYFUNCTION("IFERROR((GOOGLEFINANCE(C123, ""price"") / INDEX(GOOGLEFINANCE(C123, ""price"", TODAY()-7, TODAY()), 2, 2)) - 1, """")"),"")</f>
        <v/>
      </c>
      <c r="M123" s="21" t="str">
        <f>IFERROR(__xludf.DUMMYFUNCTION("IFERROR((GOOGLEFINANCE(C123, ""price"") / INDEX(GOOGLEFINANCE(C123, ""price"", EDATE(TODAY(), -1), TODAY()), 2, 2)) - 1, """")"),"")</f>
        <v/>
      </c>
      <c r="N123" s="21" t="str">
        <f>IFERROR(__xludf.DUMMYFUNCTION("IFERROR((GOOGLEFINANCE(C123, ""price"") / INDEX(GOOGLEFINANCE(C123, ""price"", EDATE(TODAY(), -3), TODAY()), 2, 2)) - 1, """")"),"")</f>
        <v/>
      </c>
      <c r="O123" s="21" t="str">
        <f>IFERROR(__xludf.DUMMYFUNCTION("IFERROR((GOOGLEFINANCE(C123, ""price"") / INDEX(GOOGLEFINANCE(C123, ""price"", EDATE(TODAY(), -6), TODAY()), 2, 2)) - 1, """")"),"")</f>
        <v/>
      </c>
      <c r="P123" s="21" t="str">
        <f>IFERROR(__xludf.DUMMYFUNCTION("IFERROR((GOOGLEFINANCE(C123, ""price"") / INDEX(GOOGLEFINANCE(C123, ""price"", EDATE(TODAY(), -12), TODAY()), 2, 2)) - 1, """")"),"")</f>
        <v/>
      </c>
      <c r="Q123" s="6" t="str">
        <f>IFERROR(__xludf.DUMMYFUNCTION("AVERAGE(QUERY(GOOGLEFINANCE(C123, ""price"", TODAY()-80, TODAY()), ""SELECT Col2 WHERE Col2 IS NOT NULL ORDER BY Col1 DESC LIMIT 50"", 0))"),"#N/A")</f>
        <v>#N/A</v>
      </c>
      <c r="R123" s="24" t="str">
        <f>IFERROR(__xludf.DUMMYFUNCTION("IFERROR(
  LET(
    data, QUERY(GOOGLEFINANCE(C123,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GOOGLEFINANCE(C123, ""price"")) * 100,
    IF(calc=0, G123, calc)
  ), 
G123)"),"#N/A")</f>
        <v>#N/A</v>
      </c>
      <c r="S123" s="8" t="s">
        <v>15</v>
      </c>
      <c r="T123" s="26" t="str">
        <f>IFERROR(__xludf.DUMMYFUNCTION("IFERROR(TRANSPOSE(QUERY(IFERROR(SORT(GOOGLEFINANCE(C123, ""price"", WORKDAY(TODAY(), -40), TODAY()), 1, FALSE)), ""select Col2 where Col2 is not null limit 22 label Col2 ''"", 0)), """")"),"")</f>
        <v/>
      </c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8"/>
      <c r="AO123" s="28"/>
      <c r="AP123" s="29"/>
      <c r="AQ123" s="29" t="str">
        <f t="shared" ref="AQ123:BL123" si="126">T123/T$2</f>
        <v>#N/A</v>
      </c>
      <c r="AR123" s="29" t="str">
        <f t="shared" si="126"/>
        <v>#DIV/0!</v>
      </c>
      <c r="AS123" s="29" t="str">
        <f t="shared" si="126"/>
        <v>#DIV/0!</v>
      </c>
      <c r="AT123" s="29" t="str">
        <f t="shared" si="126"/>
        <v>#DIV/0!</v>
      </c>
      <c r="AU123" s="29" t="str">
        <f t="shared" si="126"/>
        <v>#DIV/0!</v>
      </c>
      <c r="AV123" s="29" t="str">
        <f t="shared" si="126"/>
        <v>#DIV/0!</v>
      </c>
      <c r="AW123" s="29" t="str">
        <f t="shared" si="126"/>
        <v>#DIV/0!</v>
      </c>
      <c r="AX123" s="29" t="str">
        <f t="shared" si="126"/>
        <v>#DIV/0!</v>
      </c>
      <c r="AY123" s="29" t="str">
        <f t="shared" si="126"/>
        <v>#DIV/0!</v>
      </c>
      <c r="AZ123" s="29" t="str">
        <f t="shared" si="126"/>
        <v>#DIV/0!</v>
      </c>
      <c r="BA123" s="29" t="str">
        <f t="shared" si="126"/>
        <v>#DIV/0!</v>
      </c>
      <c r="BB123" s="29" t="str">
        <f t="shared" si="126"/>
        <v>#DIV/0!</v>
      </c>
      <c r="BC123" s="29" t="str">
        <f t="shared" si="126"/>
        <v>#DIV/0!</v>
      </c>
      <c r="BD123" s="29" t="str">
        <f t="shared" si="126"/>
        <v>#DIV/0!</v>
      </c>
      <c r="BE123" s="29" t="str">
        <f t="shared" si="126"/>
        <v>#DIV/0!</v>
      </c>
      <c r="BF123" s="29" t="str">
        <f t="shared" si="126"/>
        <v>#DIV/0!</v>
      </c>
      <c r="BG123" s="29" t="str">
        <f t="shared" si="126"/>
        <v>#DIV/0!</v>
      </c>
      <c r="BH123" s="29" t="str">
        <f t="shared" si="126"/>
        <v>#DIV/0!</v>
      </c>
      <c r="BI123" s="29" t="str">
        <f t="shared" si="126"/>
        <v>#DIV/0!</v>
      </c>
      <c r="BJ123" s="29" t="str">
        <f t="shared" si="126"/>
        <v>#DIV/0!</v>
      </c>
      <c r="BK123" s="29" t="str">
        <f t="shared" si="126"/>
        <v>#DIV/0!</v>
      </c>
      <c r="BL123" s="29" t="str">
        <f t="shared" si="126"/>
        <v>#DIV/0!</v>
      </c>
      <c r="BM123" s="29" t="str">
        <f t="shared" si="3"/>
        <v>#DIV/0!</v>
      </c>
    </row>
    <row r="124">
      <c r="A124" s="16" t="str">
        <f>IFERROR(__xludf.DUMMYFUNCTION("IFERROR(SPARKLINE(SORT(MAP(TRANSPOSE(AQ124:BL124), LAMBDA(val, IF(ISNUMBER(val), PERCENTRANK(AQ124:BL124, val)+0.01, 0))), SEQUENCE(COLUMNS(AQ124:BL124)), FALSE), {""charttype"",""column""; ""color"",""chartreuse""; ""ymin"", 0; ""ymax"", 1.01; ""highcolo"&amp;"r"", ""darkgreen""; ""lowcolor"", ""red""}), """")"),"")</f>
        <v/>
      </c>
      <c r="B124" s="17" t="str">
        <f t="shared" si="4"/>
        <v/>
      </c>
      <c r="C124" s="1" t="s">
        <v>570</v>
      </c>
      <c r="D124" s="30" t="str">
        <f>IFERROR(__xludf.DUMMYFUNCTION("IFERROR(GOOGLEFINANCE(C124, ""NAME""))"),"Bentley Systems, Inc")</f>
        <v>Bentley Systems, Inc</v>
      </c>
      <c r="E124" s="30" t="s">
        <v>48</v>
      </c>
      <c r="F124" s="33" t="str">
        <f>IFERROR(__xludf.DUMMYFUNCTION("( (GOOGLEFINANCE(C124, ""price"") - Q124) / Q124 ) / (R124 / 100)"),"Loading...")</f>
        <v>Loading...</v>
      </c>
      <c r="G124" s="20" t="str">
        <f>IFERROR(__xludf.DUMMYFUNCTION("AVERAGE(ARRAYFORMULA(100 * (QUERY(GOOGLEFINANCE(C124, ""high"", TODAY()-40, TODAY()), ""SELECT Col2 WHERE Col2 IS NOT NULL ORDER BY Col1 DESC LIMIT 20"", 0) / QUERY(GOOGLEFINANCE(C124, ""low"", TODAY()-40, TODAY()), ""SELECT Col2 WHERE Col2 IS NOT NULL OR"&amp;"DER BY Col1 DESC LIMIT 20"", 0) - 1)))"),"#N/A")</f>
        <v>#N/A</v>
      </c>
      <c r="H124" s="35" t="str">
        <f t="shared" si="6"/>
        <v/>
      </c>
      <c r="I124" s="36" t="str">
        <f t="shared" si="7"/>
        <v/>
      </c>
      <c r="J124" s="37" t="str">
        <f>IFERROR(__xludf.DUMMYFUNCTION("IFERROR(
  IF(C124="""",, 
    IFERROR(
      GOOGLEFINANCE(C124, ""price"") * GOOGLEFINANCE(C124, ""volumeavg""), 
      GOOGLEFINANCE(C124, ""price"") * AVERAGE(QUERY(GOOGLEFINANCE(C124, ""volume"", TODAY()-40, TODAY()), ""SELECT Col2 WHERE Col2 IS NOT "&amp;"NULL ORDER BY Col1 DESC LIMIT 20"", 0))
    )
  ), 
"""")"),"")</f>
        <v/>
      </c>
      <c r="K124" s="21" t="str">
        <f>IFERROR(__xludf.DUMMYFUNCTION("IFERROR(GOOGLEFINANCE(C124, ""changepct"") / 100, """")"),"")</f>
        <v/>
      </c>
      <c r="L124" s="21" t="str">
        <f>IFERROR(__xludf.DUMMYFUNCTION("IFERROR((GOOGLEFINANCE(C124, ""price"") / INDEX(GOOGLEFINANCE(C124, ""price"", TODAY()-7, TODAY()), 2, 2)) - 1, """")"),"")</f>
        <v/>
      </c>
      <c r="M124" s="21" t="str">
        <f>IFERROR(__xludf.DUMMYFUNCTION("IFERROR((GOOGLEFINANCE(C124, ""price"") / INDEX(GOOGLEFINANCE(C124, ""price"", EDATE(TODAY(), -1), TODAY()), 2, 2)) - 1, """")"),"")</f>
        <v/>
      </c>
      <c r="N124" s="21" t="str">
        <f>IFERROR(__xludf.DUMMYFUNCTION("IFERROR((GOOGLEFINANCE(C124, ""price"") / INDEX(GOOGLEFINANCE(C124, ""price"", EDATE(TODAY(), -3), TODAY()), 2, 2)) - 1, """")"),"")</f>
        <v/>
      </c>
      <c r="O124" s="21" t="str">
        <f>IFERROR(__xludf.DUMMYFUNCTION("IFERROR((GOOGLEFINANCE(C124, ""price"") / INDEX(GOOGLEFINANCE(C124, ""price"", EDATE(TODAY(), -6), TODAY()), 2, 2)) - 1, """")"),"")</f>
        <v/>
      </c>
      <c r="P124" s="21" t="str">
        <f>IFERROR(__xludf.DUMMYFUNCTION("IFERROR((GOOGLEFINANCE(C124, ""price"") / INDEX(GOOGLEFINANCE(C124, ""price"", EDATE(TODAY(), -12), TODAY()), 2, 2)) - 1, """")"),"")</f>
        <v/>
      </c>
      <c r="Q124" s="6" t="str">
        <f>IFERROR(__xludf.DUMMYFUNCTION("AVERAGE(QUERY(GOOGLEFINANCE(C124, ""price"", TODAY()-80, TODAY()), ""SELECT Col2 WHERE Col2 IS NOT NULL ORDER BY Col1 DESC LIMIT 50"", 0))"),"#N/A")</f>
        <v>#N/A</v>
      </c>
      <c r="R124" s="24" t="str">
        <f>IFERROR(__xludf.DUMMYFUNCTION("IFERROR(
  LET(
    data, QUERY(GOOGLEFINANCE(C124,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GOOGLEFINANCE(C124, ""price"")) * 100,
    IF(calc=0, G124, calc)
  ), 
G124)"),"#N/A")</f>
        <v>#N/A</v>
      </c>
      <c r="S124" s="8" t="s">
        <v>15</v>
      </c>
      <c r="T124" s="26" t="str">
        <f>IFERROR(__xludf.DUMMYFUNCTION("IFERROR(TRANSPOSE(QUERY(IFERROR(SORT(GOOGLEFINANCE(C124, ""price"", WORKDAY(TODAY(), -40), TODAY()), 1, FALSE)), ""select Col2 where Col2 is not null limit 22 label Col2 ''"", 0)), """")"),"")</f>
        <v/>
      </c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8"/>
      <c r="AO124" s="28"/>
      <c r="AP124" s="29"/>
      <c r="AQ124" s="29" t="str">
        <f t="shared" ref="AQ124:BL124" si="127">T124/T$2</f>
        <v>#N/A</v>
      </c>
      <c r="AR124" s="29" t="str">
        <f t="shared" si="127"/>
        <v>#DIV/0!</v>
      </c>
      <c r="AS124" s="29" t="str">
        <f t="shared" si="127"/>
        <v>#DIV/0!</v>
      </c>
      <c r="AT124" s="29" t="str">
        <f t="shared" si="127"/>
        <v>#DIV/0!</v>
      </c>
      <c r="AU124" s="29" t="str">
        <f t="shared" si="127"/>
        <v>#DIV/0!</v>
      </c>
      <c r="AV124" s="29" t="str">
        <f t="shared" si="127"/>
        <v>#DIV/0!</v>
      </c>
      <c r="AW124" s="29" t="str">
        <f t="shared" si="127"/>
        <v>#DIV/0!</v>
      </c>
      <c r="AX124" s="29" t="str">
        <f t="shared" si="127"/>
        <v>#DIV/0!</v>
      </c>
      <c r="AY124" s="29" t="str">
        <f t="shared" si="127"/>
        <v>#DIV/0!</v>
      </c>
      <c r="AZ124" s="29" t="str">
        <f t="shared" si="127"/>
        <v>#DIV/0!</v>
      </c>
      <c r="BA124" s="29" t="str">
        <f t="shared" si="127"/>
        <v>#DIV/0!</v>
      </c>
      <c r="BB124" s="29" t="str">
        <f t="shared" si="127"/>
        <v>#DIV/0!</v>
      </c>
      <c r="BC124" s="29" t="str">
        <f t="shared" si="127"/>
        <v>#DIV/0!</v>
      </c>
      <c r="BD124" s="29" t="str">
        <f t="shared" si="127"/>
        <v>#DIV/0!</v>
      </c>
      <c r="BE124" s="29" t="str">
        <f t="shared" si="127"/>
        <v>#DIV/0!</v>
      </c>
      <c r="BF124" s="29" t="str">
        <f t="shared" si="127"/>
        <v>#DIV/0!</v>
      </c>
      <c r="BG124" s="29" t="str">
        <f t="shared" si="127"/>
        <v>#DIV/0!</v>
      </c>
      <c r="BH124" s="29" t="str">
        <f t="shared" si="127"/>
        <v>#DIV/0!</v>
      </c>
      <c r="BI124" s="29" t="str">
        <f t="shared" si="127"/>
        <v>#DIV/0!</v>
      </c>
      <c r="BJ124" s="29" t="str">
        <f t="shared" si="127"/>
        <v>#DIV/0!</v>
      </c>
      <c r="BK124" s="29" t="str">
        <f t="shared" si="127"/>
        <v>#DIV/0!</v>
      </c>
      <c r="BL124" s="29" t="str">
        <f t="shared" si="127"/>
        <v>#DIV/0!</v>
      </c>
      <c r="BM124" s="29" t="str">
        <f t="shared" si="3"/>
        <v>#DIV/0!</v>
      </c>
    </row>
    <row r="125">
      <c r="A125" s="16" t="str">
        <f>IFERROR(__xludf.DUMMYFUNCTION("IFERROR(SPARKLINE(SORT(MAP(TRANSPOSE(AQ125:BL125), LAMBDA(val, IF(ISNUMBER(val), PERCENTRANK(AQ125:BL125, val)+0.01, 0))), SEQUENCE(COLUMNS(AQ125:BL125)), FALSE), {""charttype"",""column""; ""color"",""chartreuse""; ""ymin"", 0; ""ymax"", 1.01; ""highcolo"&amp;"r"", ""darkgreen""; ""lowcolor"", ""red""}), """")"),"")</f>
        <v/>
      </c>
      <c r="B125" s="17" t="str">
        <f t="shared" si="4"/>
        <v/>
      </c>
      <c r="C125" s="1" t="s">
        <v>574</v>
      </c>
      <c r="D125" s="30" t="str">
        <f>IFERROR(__xludf.DUMMYFUNCTION("IFERROR(GOOGLEFINANCE(C125, ""NAME""))"),"Workiva Inc")</f>
        <v>Workiva Inc</v>
      </c>
      <c r="E125" s="30" t="s">
        <v>48</v>
      </c>
      <c r="F125" s="33" t="str">
        <f>IFERROR(__xludf.DUMMYFUNCTION("( (GOOGLEFINANCE(C125, ""price"") - Q125) / Q125 ) / (R125 / 100)"),"Loading...")</f>
        <v>Loading...</v>
      </c>
      <c r="G125" s="20" t="str">
        <f>IFERROR(__xludf.DUMMYFUNCTION("AVERAGE(ARRAYFORMULA(100 * (QUERY(GOOGLEFINANCE(C125, ""high"", TODAY()-40, TODAY()), ""SELECT Col2 WHERE Col2 IS NOT NULL ORDER BY Col1 DESC LIMIT 20"", 0) / QUERY(GOOGLEFINANCE(C125, ""low"", TODAY()-40, TODAY()), ""SELECT Col2 WHERE Col2 IS NOT NULL OR"&amp;"DER BY Col1 DESC LIMIT 20"", 0) - 1)))"),"#N/A")</f>
        <v>#N/A</v>
      </c>
      <c r="H125" s="35" t="str">
        <f t="shared" si="6"/>
        <v/>
      </c>
      <c r="I125" s="36" t="str">
        <f t="shared" si="7"/>
        <v/>
      </c>
      <c r="J125" s="37" t="str">
        <f>IFERROR(__xludf.DUMMYFUNCTION("IFERROR(
  IF(C125="""",, 
    IFERROR(
      GOOGLEFINANCE(C125, ""price"") * GOOGLEFINANCE(C125, ""volumeavg""), 
      GOOGLEFINANCE(C125, ""price"") * AVERAGE(QUERY(GOOGLEFINANCE(C125, ""volume"", TODAY()-40, TODAY()), ""SELECT Col2 WHERE Col2 IS NOT "&amp;"NULL ORDER BY Col1 DESC LIMIT 20"", 0))
    )
  ), 
"""")"),"")</f>
        <v/>
      </c>
      <c r="K125" s="21" t="str">
        <f>IFERROR(__xludf.DUMMYFUNCTION("IFERROR(GOOGLEFINANCE(C125, ""changepct"") / 100, """")"),"")</f>
        <v/>
      </c>
      <c r="L125" s="21" t="str">
        <f>IFERROR(__xludf.DUMMYFUNCTION("IFERROR((GOOGLEFINANCE(C125, ""price"") / INDEX(GOOGLEFINANCE(C125, ""price"", TODAY()-7, TODAY()), 2, 2)) - 1, """")"),"")</f>
        <v/>
      </c>
      <c r="M125" s="21" t="str">
        <f>IFERROR(__xludf.DUMMYFUNCTION("IFERROR((GOOGLEFINANCE(C125, ""price"") / INDEX(GOOGLEFINANCE(C125, ""price"", EDATE(TODAY(), -1), TODAY()), 2, 2)) - 1, """")"),"")</f>
        <v/>
      </c>
      <c r="N125" s="21" t="str">
        <f>IFERROR(__xludf.DUMMYFUNCTION("IFERROR((GOOGLEFINANCE(C125, ""price"") / INDEX(GOOGLEFINANCE(C125, ""price"", EDATE(TODAY(), -3), TODAY()), 2, 2)) - 1, """")"),"")</f>
        <v/>
      </c>
      <c r="O125" s="21" t="str">
        <f>IFERROR(__xludf.DUMMYFUNCTION("IFERROR((GOOGLEFINANCE(C125, ""price"") / INDEX(GOOGLEFINANCE(C125, ""price"", EDATE(TODAY(), -6), TODAY()), 2, 2)) - 1, """")"),"")</f>
        <v/>
      </c>
      <c r="P125" s="21" t="str">
        <f>IFERROR(__xludf.DUMMYFUNCTION("IFERROR((GOOGLEFINANCE(C125, ""price"") / INDEX(GOOGLEFINANCE(C125, ""price"", EDATE(TODAY(), -12), TODAY()), 2, 2)) - 1, """")"),"")</f>
        <v/>
      </c>
      <c r="Q125" s="6" t="str">
        <f>IFERROR(__xludf.DUMMYFUNCTION("AVERAGE(QUERY(GOOGLEFINANCE(C125, ""price"", TODAY()-80, TODAY()), ""SELECT Col2 WHERE Col2 IS NOT NULL ORDER BY Col1 DESC LIMIT 50"", 0))"),"#N/A")</f>
        <v>#N/A</v>
      </c>
      <c r="R125" s="24" t="str">
        <f>IFERROR(__xludf.DUMMYFUNCTION("IFERROR(
  LET(
    data, QUERY(GOOGLEFINANCE(C125,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GOOGLEFINANCE(C125, ""price"")) * 100,
    IF(calc=0, G125, calc)
  ), 
G125)"),"#N/A")</f>
        <v>#N/A</v>
      </c>
      <c r="S125" s="8" t="s">
        <v>15</v>
      </c>
      <c r="T125" s="26" t="str">
        <f>IFERROR(__xludf.DUMMYFUNCTION("IFERROR(TRANSPOSE(QUERY(IFERROR(SORT(GOOGLEFINANCE(C125, ""price"", WORKDAY(TODAY(), -40), TODAY()), 1, FALSE)), ""select Col2 where Col2 is not null limit 22 label Col2 ''"", 0)), """")"),"")</f>
        <v/>
      </c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8"/>
      <c r="AO125" s="28"/>
      <c r="AP125" s="29"/>
      <c r="AQ125" s="29" t="str">
        <f t="shared" ref="AQ125:BL125" si="128">T125/T$2</f>
        <v>#N/A</v>
      </c>
      <c r="AR125" s="29" t="str">
        <f t="shared" si="128"/>
        <v>#DIV/0!</v>
      </c>
      <c r="AS125" s="29" t="str">
        <f t="shared" si="128"/>
        <v>#DIV/0!</v>
      </c>
      <c r="AT125" s="29" t="str">
        <f t="shared" si="128"/>
        <v>#DIV/0!</v>
      </c>
      <c r="AU125" s="29" t="str">
        <f t="shared" si="128"/>
        <v>#DIV/0!</v>
      </c>
      <c r="AV125" s="29" t="str">
        <f t="shared" si="128"/>
        <v>#DIV/0!</v>
      </c>
      <c r="AW125" s="29" t="str">
        <f t="shared" si="128"/>
        <v>#DIV/0!</v>
      </c>
      <c r="AX125" s="29" t="str">
        <f t="shared" si="128"/>
        <v>#DIV/0!</v>
      </c>
      <c r="AY125" s="29" t="str">
        <f t="shared" si="128"/>
        <v>#DIV/0!</v>
      </c>
      <c r="AZ125" s="29" t="str">
        <f t="shared" si="128"/>
        <v>#DIV/0!</v>
      </c>
      <c r="BA125" s="29" t="str">
        <f t="shared" si="128"/>
        <v>#DIV/0!</v>
      </c>
      <c r="BB125" s="29" t="str">
        <f t="shared" si="128"/>
        <v>#DIV/0!</v>
      </c>
      <c r="BC125" s="29" t="str">
        <f t="shared" si="128"/>
        <v>#DIV/0!</v>
      </c>
      <c r="BD125" s="29" t="str">
        <f t="shared" si="128"/>
        <v>#DIV/0!</v>
      </c>
      <c r="BE125" s="29" t="str">
        <f t="shared" si="128"/>
        <v>#DIV/0!</v>
      </c>
      <c r="BF125" s="29" t="str">
        <f t="shared" si="128"/>
        <v>#DIV/0!</v>
      </c>
      <c r="BG125" s="29" t="str">
        <f t="shared" si="128"/>
        <v>#DIV/0!</v>
      </c>
      <c r="BH125" s="29" t="str">
        <f t="shared" si="128"/>
        <v>#DIV/0!</v>
      </c>
      <c r="BI125" s="29" t="str">
        <f t="shared" si="128"/>
        <v>#DIV/0!</v>
      </c>
      <c r="BJ125" s="29" t="str">
        <f t="shared" si="128"/>
        <v>#DIV/0!</v>
      </c>
      <c r="BK125" s="29" t="str">
        <f t="shared" si="128"/>
        <v>#DIV/0!</v>
      </c>
      <c r="BL125" s="29" t="str">
        <f t="shared" si="128"/>
        <v>#DIV/0!</v>
      </c>
      <c r="BM125" s="29" t="str">
        <f t="shared" si="3"/>
        <v>#DIV/0!</v>
      </c>
    </row>
    <row r="126">
      <c r="A126" s="16" t="str">
        <f>IFERROR(__xludf.DUMMYFUNCTION("IFERROR(SPARKLINE(SORT(MAP(TRANSPOSE(AQ126:BL126), LAMBDA(val, IF(ISNUMBER(val), PERCENTRANK(AQ126:BL126, val)+0.01, 0))), SEQUENCE(COLUMNS(AQ126:BL126)), FALSE), {""charttype"",""column""; ""color"",""chartreuse""; ""ymin"", 0; ""ymax"", 1.01; ""highcolo"&amp;"r"", ""darkgreen""; ""lowcolor"", ""red""}), """")"),"")</f>
        <v/>
      </c>
      <c r="B126" s="17" t="str">
        <f t="shared" si="4"/>
        <v/>
      </c>
      <c r="C126" s="1" t="s">
        <v>579</v>
      </c>
      <c r="D126" s="30" t="str">
        <f>IFERROR(__xludf.DUMMYFUNCTION("IFERROR(GOOGLEFINANCE(C126, ""NAME""))"),"Manhattan Associates Inc")</f>
        <v>Manhattan Associates Inc</v>
      </c>
      <c r="E126" s="30" t="s">
        <v>48</v>
      </c>
      <c r="F126" s="33" t="str">
        <f>IFERROR(__xludf.DUMMYFUNCTION("( (GOOGLEFINANCE(C126, ""price"") - Q126) / Q126 ) / (R126 / 100)"),"Loading...")</f>
        <v>Loading...</v>
      </c>
      <c r="G126" s="20" t="str">
        <f>IFERROR(__xludf.DUMMYFUNCTION("AVERAGE(ARRAYFORMULA(100 * (QUERY(GOOGLEFINANCE(C126, ""high"", TODAY()-40, TODAY()), ""SELECT Col2 WHERE Col2 IS NOT NULL ORDER BY Col1 DESC LIMIT 20"", 0) / QUERY(GOOGLEFINANCE(C126, ""low"", TODAY()-40, TODAY()), ""SELECT Col2 WHERE Col2 IS NOT NULL OR"&amp;"DER BY Col1 DESC LIMIT 20"", 0) - 1)))"),"#N/A")</f>
        <v>#N/A</v>
      </c>
      <c r="H126" s="35" t="str">
        <f t="shared" si="6"/>
        <v/>
      </c>
      <c r="I126" s="36" t="str">
        <f t="shared" si="7"/>
        <v/>
      </c>
      <c r="J126" s="37" t="str">
        <f>IFERROR(__xludf.DUMMYFUNCTION("IFERROR(
  IF(C126="""",, 
    IFERROR(
      GOOGLEFINANCE(C126, ""price"") * GOOGLEFINANCE(C126, ""volumeavg""), 
      GOOGLEFINANCE(C126, ""price"") * AVERAGE(QUERY(GOOGLEFINANCE(C126, ""volume"", TODAY()-40, TODAY()), ""SELECT Col2 WHERE Col2 IS NOT "&amp;"NULL ORDER BY Col1 DESC LIMIT 20"", 0))
    )
  ), 
"""")"),"")</f>
        <v/>
      </c>
      <c r="K126" s="21" t="str">
        <f>IFERROR(__xludf.DUMMYFUNCTION("IFERROR(GOOGLEFINANCE(C126, ""changepct"") / 100, """")"),"")</f>
        <v/>
      </c>
      <c r="L126" s="21" t="str">
        <f>IFERROR(__xludf.DUMMYFUNCTION("IFERROR((GOOGLEFINANCE(C126, ""price"") / INDEX(GOOGLEFINANCE(C126, ""price"", TODAY()-7, TODAY()), 2, 2)) - 1, """")"),"")</f>
        <v/>
      </c>
      <c r="M126" s="21" t="str">
        <f>IFERROR(__xludf.DUMMYFUNCTION("IFERROR((GOOGLEFINANCE(C126, ""price"") / INDEX(GOOGLEFINANCE(C126, ""price"", EDATE(TODAY(), -1), TODAY()), 2, 2)) - 1, """")"),"")</f>
        <v/>
      </c>
      <c r="N126" s="21" t="str">
        <f>IFERROR(__xludf.DUMMYFUNCTION("IFERROR((GOOGLEFINANCE(C126, ""price"") / INDEX(GOOGLEFINANCE(C126, ""price"", EDATE(TODAY(), -3), TODAY()), 2, 2)) - 1, """")"),"")</f>
        <v/>
      </c>
      <c r="O126" s="21" t="str">
        <f>IFERROR(__xludf.DUMMYFUNCTION("IFERROR((GOOGLEFINANCE(C126, ""price"") / INDEX(GOOGLEFINANCE(C126, ""price"", EDATE(TODAY(), -6), TODAY()), 2, 2)) - 1, """")"),"")</f>
        <v/>
      </c>
      <c r="P126" s="21" t="str">
        <f>IFERROR(__xludf.DUMMYFUNCTION("IFERROR((GOOGLEFINANCE(C126, ""price"") / INDEX(GOOGLEFINANCE(C126, ""price"", EDATE(TODAY(), -12), TODAY()), 2, 2)) - 1, """")"),"")</f>
        <v/>
      </c>
      <c r="Q126" s="6" t="str">
        <f>IFERROR(__xludf.DUMMYFUNCTION("AVERAGE(QUERY(GOOGLEFINANCE(C126, ""price"", TODAY()-80, TODAY()), ""SELECT Col2 WHERE Col2 IS NOT NULL ORDER BY Col1 DESC LIMIT 50"", 0))"),"#N/A")</f>
        <v>#N/A</v>
      </c>
      <c r="R126" s="24" t="str">
        <f>IFERROR(__xludf.DUMMYFUNCTION("IFERROR(
  LET(
    data, QUERY(GOOGLEFINANCE(C126,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GOOGLEFINANCE(C126, ""price"")) * 100,
    IF(calc=0, G126, calc)
  ), 
G126)"),"#N/A")</f>
        <v>#N/A</v>
      </c>
      <c r="S126" s="8" t="s">
        <v>15</v>
      </c>
      <c r="T126" s="26" t="str">
        <f>IFERROR(__xludf.DUMMYFUNCTION("IFERROR(TRANSPOSE(QUERY(IFERROR(SORT(GOOGLEFINANCE(C126, ""price"", WORKDAY(TODAY(), -40), TODAY()), 1, FALSE)), ""select Col2 where Col2 is not null limit 22 label Col2 ''"", 0)), """")"),"")</f>
        <v/>
      </c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8"/>
      <c r="AO126" s="28"/>
      <c r="AP126" s="29"/>
      <c r="AQ126" s="29" t="str">
        <f t="shared" ref="AQ126:BL126" si="129">T126/T$2</f>
        <v>#N/A</v>
      </c>
      <c r="AR126" s="29" t="str">
        <f t="shared" si="129"/>
        <v>#DIV/0!</v>
      </c>
      <c r="AS126" s="29" t="str">
        <f t="shared" si="129"/>
        <v>#DIV/0!</v>
      </c>
      <c r="AT126" s="29" t="str">
        <f t="shared" si="129"/>
        <v>#DIV/0!</v>
      </c>
      <c r="AU126" s="29" t="str">
        <f t="shared" si="129"/>
        <v>#DIV/0!</v>
      </c>
      <c r="AV126" s="29" t="str">
        <f t="shared" si="129"/>
        <v>#DIV/0!</v>
      </c>
      <c r="AW126" s="29" t="str">
        <f t="shared" si="129"/>
        <v>#DIV/0!</v>
      </c>
      <c r="AX126" s="29" t="str">
        <f t="shared" si="129"/>
        <v>#DIV/0!</v>
      </c>
      <c r="AY126" s="29" t="str">
        <f t="shared" si="129"/>
        <v>#DIV/0!</v>
      </c>
      <c r="AZ126" s="29" t="str">
        <f t="shared" si="129"/>
        <v>#DIV/0!</v>
      </c>
      <c r="BA126" s="29" t="str">
        <f t="shared" si="129"/>
        <v>#DIV/0!</v>
      </c>
      <c r="BB126" s="29" t="str">
        <f t="shared" si="129"/>
        <v>#DIV/0!</v>
      </c>
      <c r="BC126" s="29" t="str">
        <f t="shared" si="129"/>
        <v>#DIV/0!</v>
      </c>
      <c r="BD126" s="29" t="str">
        <f t="shared" si="129"/>
        <v>#DIV/0!</v>
      </c>
      <c r="BE126" s="29" t="str">
        <f t="shared" si="129"/>
        <v>#DIV/0!</v>
      </c>
      <c r="BF126" s="29" t="str">
        <f t="shared" si="129"/>
        <v>#DIV/0!</v>
      </c>
      <c r="BG126" s="29" t="str">
        <f t="shared" si="129"/>
        <v>#DIV/0!</v>
      </c>
      <c r="BH126" s="29" t="str">
        <f t="shared" si="129"/>
        <v>#DIV/0!</v>
      </c>
      <c r="BI126" s="29" t="str">
        <f t="shared" si="129"/>
        <v>#DIV/0!</v>
      </c>
      <c r="BJ126" s="29" t="str">
        <f t="shared" si="129"/>
        <v>#DIV/0!</v>
      </c>
      <c r="BK126" s="29" t="str">
        <f t="shared" si="129"/>
        <v>#DIV/0!</v>
      </c>
      <c r="BL126" s="29" t="str">
        <f t="shared" si="129"/>
        <v>#DIV/0!</v>
      </c>
      <c r="BM126" s="29" t="str">
        <f t="shared" si="3"/>
        <v>#DIV/0!</v>
      </c>
    </row>
    <row r="127">
      <c r="A127" s="16" t="str">
        <f>IFERROR(__xludf.DUMMYFUNCTION("IFERROR(SPARKLINE(SORT(MAP(TRANSPOSE(AQ127:BL127), LAMBDA(val, IF(ISNUMBER(val), PERCENTRANK(AQ127:BL127, val)+0.01, 0))), SEQUENCE(COLUMNS(AQ127:BL127)), FALSE), {""charttype"",""column""; ""color"",""chartreuse""; ""ymin"", 0; ""ymax"", 1.01; ""highcolo"&amp;"r"", ""darkgreen""; ""lowcolor"", ""red""}), """")"),"")</f>
        <v/>
      </c>
      <c r="B127" s="17" t="str">
        <f t="shared" si="4"/>
        <v/>
      </c>
      <c r="C127" s="1" t="s">
        <v>582</v>
      </c>
      <c r="D127" s="30" t="str">
        <f>IFERROR(__xludf.DUMMYFUNCTION("IFERROR(GOOGLEFINANCE(C127, ""NAME""))"),"Upbound Group Inc")</f>
        <v>Upbound Group Inc</v>
      </c>
      <c r="E127" s="30" t="s">
        <v>48</v>
      </c>
      <c r="F127" s="33" t="str">
        <f>IFERROR(__xludf.DUMMYFUNCTION("( (GOOGLEFINANCE(C127, ""price"") - Q127) / Q127 ) / (R127 / 100)"),"Loading...")</f>
        <v>Loading...</v>
      </c>
      <c r="G127" s="20" t="str">
        <f>IFERROR(__xludf.DUMMYFUNCTION("AVERAGE(ARRAYFORMULA(100 * (QUERY(GOOGLEFINANCE(C127, ""high"", TODAY()-40, TODAY()), ""SELECT Col2 WHERE Col2 IS NOT NULL ORDER BY Col1 DESC LIMIT 20"", 0) / QUERY(GOOGLEFINANCE(C127, ""low"", TODAY()-40, TODAY()), ""SELECT Col2 WHERE Col2 IS NOT NULL OR"&amp;"DER BY Col1 DESC LIMIT 20"", 0) - 1)))"),"#N/A")</f>
        <v>#N/A</v>
      </c>
      <c r="H127" s="35" t="str">
        <f t="shared" si="6"/>
        <v/>
      </c>
      <c r="I127" s="36" t="str">
        <f t="shared" si="7"/>
        <v/>
      </c>
      <c r="J127" s="37" t="str">
        <f>IFERROR(__xludf.DUMMYFUNCTION("IFERROR(
  IF(C127="""",, 
    IFERROR(
      GOOGLEFINANCE(C127, ""price"") * GOOGLEFINANCE(C127, ""volumeavg""), 
      GOOGLEFINANCE(C127, ""price"") * AVERAGE(QUERY(GOOGLEFINANCE(C127, ""volume"", TODAY()-40, TODAY()), ""SELECT Col2 WHERE Col2 IS NOT "&amp;"NULL ORDER BY Col1 DESC LIMIT 20"", 0))
    )
  ), 
"""")"),"")</f>
        <v/>
      </c>
      <c r="K127" s="21" t="str">
        <f>IFERROR(__xludf.DUMMYFUNCTION("IFERROR(GOOGLEFINANCE(C127, ""changepct"") / 100, """")"),"")</f>
        <v/>
      </c>
      <c r="L127" s="21" t="str">
        <f>IFERROR(__xludf.DUMMYFUNCTION("IFERROR((GOOGLEFINANCE(C127, ""price"") / INDEX(GOOGLEFINANCE(C127, ""price"", TODAY()-7, TODAY()), 2, 2)) - 1, """")"),"")</f>
        <v/>
      </c>
      <c r="M127" s="21" t="str">
        <f>IFERROR(__xludf.DUMMYFUNCTION("IFERROR((GOOGLEFINANCE(C127, ""price"") / INDEX(GOOGLEFINANCE(C127, ""price"", EDATE(TODAY(), -1), TODAY()), 2, 2)) - 1, """")"),"")</f>
        <v/>
      </c>
      <c r="N127" s="21" t="str">
        <f>IFERROR(__xludf.DUMMYFUNCTION("IFERROR((GOOGLEFINANCE(C127, ""price"") / INDEX(GOOGLEFINANCE(C127, ""price"", EDATE(TODAY(), -3), TODAY()), 2, 2)) - 1, """")"),"")</f>
        <v/>
      </c>
      <c r="O127" s="21" t="str">
        <f>IFERROR(__xludf.DUMMYFUNCTION("IFERROR((GOOGLEFINANCE(C127, ""price"") / INDEX(GOOGLEFINANCE(C127, ""price"", EDATE(TODAY(), -6), TODAY()), 2, 2)) - 1, """")"),"")</f>
        <v/>
      </c>
      <c r="P127" s="21" t="str">
        <f>IFERROR(__xludf.DUMMYFUNCTION("IFERROR((GOOGLEFINANCE(C127, ""price"") / INDEX(GOOGLEFINANCE(C127, ""price"", EDATE(TODAY(), -12), TODAY()), 2, 2)) - 1, """")"),"")</f>
        <v/>
      </c>
      <c r="Q127" s="6" t="str">
        <f>IFERROR(__xludf.DUMMYFUNCTION("AVERAGE(QUERY(GOOGLEFINANCE(C127, ""price"", TODAY()-80, TODAY()), ""SELECT Col2 WHERE Col2 IS NOT NULL ORDER BY Col1 DESC LIMIT 50"", 0))"),"#N/A")</f>
        <v>#N/A</v>
      </c>
      <c r="R127" s="24" t="str">
        <f>IFERROR(__xludf.DUMMYFUNCTION("IFERROR(
  LET(
    data, QUERY(GOOGLEFINANCE(C127,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GOOGLEFINANCE(C127, ""price"")) * 100,
    IF(calc=0, G127, calc)
  ), 
G127)"),"#N/A")</f>
        <v>#N/A</v>
      </c>
      <c r="S127" s="8" t="s">
        <v>15</v>
      </c>
      <c r="T127" s="26" t="str">
        <f>IFERROR(__xludf.DUMMYFUNCTION("IFERROR(TRANSPOSE(QUERY(IFERROR(SORT(GOOGLEFINANCE(C127, ""price"", WORKDAY(TODAY(), -40), TODAY()), 1, FALSE)), ""select Col2 where Col2 is not null limit 22 label Col2 ''"", 0)), """")"),"")</f>
        <v/>
      </c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8"/>
      <c r="AO127" s="28"/>
      <c r="AP127" s="29"/>
      <c r="AQ127" s="29" t="str">
        <f t="shared" ref="AQ127:BL127" si="130">T127/T$2</f>
        <v>#N/A</v>
      </c>
      <c r="AR127" s="29" t="str">
        <f t="shared" si="130"/>
        <v>#DIV/0!</v>
      </c>
      <c r="AS127" s="29" t="str">
        <f t="shared" si="130"/>
        <v>#DIV/0!</v>
      </c>
      <c r="AT127" s="29" t="str">
        <f t="shared" si="130"/>
        <v>#DIV/0!</v>
      </c>
      <c r="AU127" s="29" t="str">
        <f t="shared" si="130"/>
        <v>#DIV/0!</v>
      </c>
      <c r="AV127" s="29" t="str">
        <f t="shared" si="130"/>
        <v>#DIV/0!</v>
      </c>
      <c r="AW127" s="29" t="str">
        <f t="shared" si="130"/>
        <v>#DIV/0!</v>
      </c>
      <c r="AX127" s="29" t="str">
        <f t="shared" si="130"/>
        <v>#DIV/0!</v>
      </c>
      <c r="AY127" s="29" t="str">
        <f t="shared" si="130"/>
        <v>#DIV/0!</v>
      </c>
      <c r="AZ127" s="29" t="str">
        <f t="shared" si="130"/>
        <v>#DIV/0!</v>
      </c>
      <c r="BA127" s="29" t="str">
        <f t="shared" si="130"/>
        <v>#DIV/0!</v>
      </c>
      <c r="BB127" s="29" t="str">
        <f t="shared" si="130"/>
        <v>#DIV/0!</v>
      </c>
      <c r="BC127" s="29" t="str">
        <f t="shared" si="130"/>
        <v>#DIV/0!</v>
      </c>
      <c r="BD127" s="29" t="str">
        <f t="shared" si="130"/>
        <v>#DIV/0!</v>
      </c>
      <c r="BE127" s="29" t="str">
        <f t="shared" si="130"/>
        <v>#DIV/0!</v>
      </c>
      <c r="BF127" s="29" t="str">
        <f t="shared" si="130"/>
        <v>#DIV/0!</v>
      </c>
      <c r="BG127" s="29" t="str">
        <f t="shared" si="130"/>
        <v>#DIV/0!</v>
      </c>
      <c r="BH127" s="29" t="str">
        <f t="shared" si="130"/>
        <v>#DIV/0!</v>
      </c>
      <c r="BI127" s="29" t="str">
        <f t="shared" si="130"/>
        <v>#DIV/0!</v>
      </c>
      <c r="BJ127" s="29" t="str">
        <f t="shared" si="130"/>
        <v>#DIV/0!</v>
      </c>
      <c r="BK127" s="29" t="str">
        <f t="shared" si="130"/>
        <v>#DIV/0!</v>
      </c>
      <c r="BL127" s="29" t="str">
        <f t="shared" si="130"/>
        <v>#DIV/0!</v>
      </c>
      <c r="BM127" s="29" t="str">
        <f t="shared" si="3"/>
        <v>#DIV/0!</v>
      </c>
    </row>
    <row r="128">
      <c r="A128" s="16" t="str">
        <f>IFERROR(__xludf.DUMMYFUNCTION("IFERROR(SPARKLINE(SORT(MAP(TRANSPOSE(AQ128:BL128), LAMBDA(val, IF(ISNUMBER(val), PERCENTRANK(AQ128:BL128, val)+0.01, 0))), SEQUENCE(COLUMNS(AQ128:BL128)), FALSE), {""charttype"",""column""; ""color"",""chartreuse""; ""ymin"", 0; ""ymax"", 1.01; ""highcolo"&amp;"r"", ""darkgreen""; ""lowcolor"", ""red""}), """")"),"")</f>
        <v/>
      </c>
      <c r="B128" s="17" t="str">
        <f t="shared" si="4"/>
        <v/>
      </c>
      <c r="C128" s="1" t="s">
        <v>587</v>
      </c>
      <c r="D128" s="30" t="str">
        <f>IFERROR(__xludf.DUMMYFUNCTION("IFERROR(GOOGLEFINANCE(C128, ""NAME""))"),"Pegasystems Inc")</f>
        <v>Pegasystems Inc</v>
      </c>
      <c r="E128" s="30" t="s">
        <v>48</v>
      </c>
      <c r="F128" s="33" t="str">
        <f>IFERROR(__xludf.DUMMYFUNCTION("( (GOOGLEFINANCE(C128, ""price"") - Q128) / Q128 ) / (R128 / 100)"),"Loading...")</f>
        <v>Loading...</v>
      </c>
      <c r="G128" s="20" t="str">
        <f>IFERROR(__xludf.DUMMYFUNCTION("AVERAGE(ARRAYFORMULA(100 * (QUERY(GOOGLEFINANCE(C128, ""high"", TODAY()-40, TODAY()), ""SELECT Col2 WHERE Col2 IS NOT NULL ORDER BY Col1 DESC LIMIT 20"", 0) / QUERY(GOOGLEFINANCE(C128, ""low"", TODAY()-40, TODAY()), ""SELECT Col2 WHERE Col2 IS NOT NULL OR"&amp;"DER BY Col1 DESC LIMIT 20"", 0) - 1)))"),"#N/A")</f>
        <v>#N/A</v>
      </c>
      <c r="H128" s="35" t="str">
        <f t="shared" si="6"/>
        <v/>
      </c>
      <c r="I128" s="36" t="str">
        <f t="shared" si="7"/>
        <v/>
      </c>
      <c r="J128" s="37" t="str">
        <f>IFERROR(__xludf.DUMMYFUNCTION("IFERROR(
  IF(C128="""",, 
    IFERROR(
      GOOGLEFINANCE(C128, ""price"") * GOOGLEFINANCE(C128, ""volumeavg""), 
      GOOGLEFINANCE(C128, ""price"") * AVERAGE(QUERY(GOOGLEFINANCE(C128, ""volume"", TODAY()-40, TODAY()), ""SELECT Col2 WHERE Col2 IS NOT "&amp;"NULL ORDER BY Col1 DESC LIMIT 20"", 0))
    )
  ), 
"""")"),"")</f>
        <v/>
      </c>
      <c r="K128" s="21" t="str">
        <f>IFERROR(__xludf.DUMMYFUNCTION("IFERROR(GOOGLEFINANCE(C128, ""changepct"") / 100, """")"),"")</f>
        <v/>
      </c>
      <c r="L128" s="21" t="str">
        <f>IFERROR(__xludf.DUMMYFUNCTION("IFERROR((GOOGLEFINANCE(C128, ""price"") / INDEX(GOOGLEFINANCE(C128, ""price"", TODAY()-7, TODAY()), 2, 2)) - 1, """")"),"")</f>
        <v/>
      </c>
      <c r="M128" s="21" t="str">
        <f>IFERROR(__xludf.DUMMYFUNCTION("IFERROR((GOOGLEFINANCE(C128, ""price"") / INDEX(GOOGLEFINANCE(C128, ""price"", EDATE(TODAY(), -1), TODAY()), 2, 2)) - 1, """")"),"")</f>
        <v/>
      </c>
      <c r="N128" s="21" t="str">
        <f>IFERROR(__xludf.DUMMYFUNCTION("IFERROR((GOOGLEFINANCE(C128, ""price"") / INDEX(GOOGLEFINANCE(C128, ""price"", EDATE(TODAY(), -3), TODAY()), 2, 2)) - 1, """")"),"")</f>
        <v/>
      </c>
      <c r="O128" s="21" t="str">
        <f>IFERROR(__xludf.DUMMYFUNCTION("IFERROR((GOOGLEFINANCE(C128, ""price"") / INDEX(GOOGLEFINANCE(C128, ""price"", EDATE(TODAY(), -6), TODAY()), 2, 2)) - 1, """")"),"")</f>
        <v/>
      </c>
      <c r="P128" s="21" t="str">
        <f>IFERROR(__xludf.DUMMYFUNCTION("IFERROR((GOOGLEFINANCE(C128, ""price"") / INDEX(GOOGLEFINANCE(C128, ""price"", EDATE(TODAY(), -12), TODAY()), 2, 2)) - 1, """")"),"")</f>
        <v/>
      </c>
      <c r="Q128" s="6" t="str">
        <f>IFERROR(__xludf.DUMMYFUNCTION("AVERAGE(QUERY(GOOGLEFINANCE(C128, ""price"", TODAY()-80, TODAY()), ""SELECT Col2 WHERE Col2 IS NOT NULL ORDER BY Col1 DESC LIMIT 50"", 0))"),"#N/A")</f>
        <v>#N/A</v>
      </c>
      <c r="R128" s="24" t="str">
        <f>IFERROR(__xludf.DUMMYFUNCTION("IFERROR(
  LET(
    data, QUERY(GOOGLEFINANCE(C128,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GOOGLEFINANCE(C128, ""price"")) * 100,
    IF(calc=0, G128, calc)
  ), 
G128)"),"#N/A")</f>
        <v>#N/A</v>
      </c>
      <c r="S128" s="8" t="s">
        <v>15</v>
      </c>
      <c r="T128" s="26" t="str">
        <f>IFERROR(__xludf.DUMMYFUNCTION("IFERROR(TRANSPOSE(QUERY(IFERROR(SORT(GOOGLEFINANCE(C128, ""price"", WORKDAY(TODAY(), -40), TODAY()), 1, FALSE)), ""select Col2 where Col2 is not null limit 22 label Col2 ''"", 0)), """")"),"")</f>
        <v/>
      </c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8"/>
      <c r="AO128" s="28"/>
      <c r="AP128" s="29"/>
      <c r="AQ128" s="29" t="str">
        <f t="shared" ref="AQ128:BL128" si="131">T128/T$2</f>
        <v>#N/A</v>
      </c>
      <c r="AR128" s="29" t="str">
        <f t="shared" si="131"/>
        <v>#DIV/0!</v>
      </c>
      <c r="AS128" s="29" t="str">
        <f t="shared" si="131"/>
        <v>#DIV/0!</v>
      </c>
      <c r="AT128" s="29" t="str">
        <f t="shared" si="131"/>
        <v>#DIV/0!</v>
      </c>
      <c r="AU128" s="29" t="str">
        <f t="shared" si="131"/>
        <v>#DIV/0!</v>
      </c>
      <c r="AV128" s="29" t="str">
        <f t="shared" si="131"/>
        <v>#DIV/0!</v>
      </c>
      <c r="AW128" s="29" t="str">
        <f t="shared" si="131"/>
        <v>#DIV/0!</v>
      </c>
      <c r="AX128" s="29" t="str">
        <f t="shared" si="131"/>
        <v>#DIV/0!</v>
      </c>
      <c r="AY128" s="29" t="str">
        <f t="shared" si="131"/>
        <v>#DIV/0!</v>
      </c>
      <c r="AZ128" s="29" t="str">
        <f t="shared" si="131"/>
        <v>#DIV/0!</v>
      </c>
      <c r="BA128" s="29" t="str">
        <f t="shared" si="131"/>
        <v>#DIV/0!</v>
      </c>
      <c r="BB128" s="29" t="str">
        <f t="shared" si="131"/>
        <v>#DIV/0!</v>
      </c>
      <c r="BC128" s="29" t="str">
        <f t="shared" si="131"/>
        <v>#DIV/0!</v>
      </c>
      <c r="BD128" s="29" t="str">
        <f t="shared" si="131"/>
        <v>#DIV/0!</v>
      </c>
      <c r="BE128" s="29" t="str">
        <f t="shared" si="131"/>
        <v>#DIV/0!</v>
      </c>
      <c r="BF128" s="29" t="str">
        <f t="shared" si="131"/>
        <v>#DIV/0!</v>
      </c>
      <c r="BG128" s="29" t="str">
        <f t="shared" si="131"/>
        <v>#DIV/0!</v>
      </c>
      <c r="BH128" s="29" t="str">
        <f t="shared" si="131"/>
        <v>#DIV/0!</v>
      </c>
      <c r="BI128" s="29" t="str">
        <f t="shared" si="131"/>
        <v>#DIV/0!</v>
      </c>
      <c r="BJ128" s="29" t="str">
        <f t="shared" si="131"/>
        <v>#DIV/0!</v>
      </c>
      <c r="BK128" s="29" t="str">
        <f t="shared" si="131"/>
        <v>#DIV/0!</v>
      </c>
      <c r="BL128" s="29" t="str">
        <f t="shared" si="131"/>
        <v>#DIV/0!</v>
      </c>
      <c r="BM128" s="29" t="str">
        <f t="shared" si="3"/>
        <v>#DIV/0!</v>
      </c>
    </row>
    <row r="129">
      <c r="A129" s="16" t="str">
        <f>IFERROR(__xludf.DUMMYFUNCTION("IFERROR(SPARKLINE(SORT(MAP(TRANSPOSE(AQ129:BL129), LAMBDA(val, IF(ISNUMBER(val), PERCENTRANK(AQ129:BL129, val)+0.01, 0))), SEQUENCE(COLUMNS(AQ129:BL129)), FALSE), {""charttype"",""column""; ""color"",""chartreuse""; ""ymin"", 0; ""ymax"", 1.01; ""highcolo"&amp;"r"", ""darkgreen""; ""lowcolor"", ""red""}), """")"),"")</f>
        <v/>
      </c>
      <c r="B129" s="17" t="str">
        <f t="shared" si="4"/>
        <v/>
      </c>
      <c r="C129" s="1" t="s">
        <v>590</v>
      </c>
      <c r="D129" s="30" t="str">
        <f>IFERROR(__xludf.DUMMYFUNCTION("IFERROR(GOOGLEFINANCE(C129, ""NAME""))"),"Super Micro Computer Inc")</f>
        <v>Super Micro Computer Inc</v>
      </c>
      <c r="E129" s="30" t="s">
        <v>477</v>
      </c>
      <c r="F129" s="33" t="str">
        <f>IFERROR(__xludf.DUMMYFUNCTION("( (GOOGLEFINANCE(C129, ""price"") - Q129) / Q129 ) / (R129 / 100)"),"Loading...")</f>
        <v>Loading...</v>
      </c>
      <c r="G129" s="20" t="str">
        <f>IFERROR(__xludf.DUMMYFUNCTION("AVERAGE(ARRAYFORMULA(100 * (QUERY(GOOGLEFINANCE(C129, ""high"", TODAY()-40, TODAY()), ""SELECT Col2 WHERE Col2 IS NOT NULL ORDER BY Col1 DESC LIMIT 20"", 0) / QUERY(GOOGLEFINANCE(C129, ""low"", TODAY()-40, TODAY()), ""SELECT Col2 WHERE Col2 IS NOT NULL OR"&amp;"DER BY Col1 DESC LIMIT 20"", 0) - 1)))"),"#N/A")</f>
        <v>#N/A</v>
      </c>
      <c r="H129" s="35" t="str">
        <f t="shared" si="6"/>
        <v/>
      </c>
      <c r="I129" s="36" t="str">
        <f t="shared" si="7"/>
        <v/>
      </c>
      <c r="J129" s="37" t="str">
        <f>IFERROR(__xludf.DUMMYFUNCTION("IFERROR(
  IF(C129="""",, 
    IFERROR(
      GOOGLEFINANCE(C129, ""price"") * GOOGLEFINANCE(C129, ""volumeavg""), 
      GOOGLEFINANCE(C129, ""price"") * AVERAGE(QUERY(GOOGLEFINANCE(C129, ""volume"", TODAY()-40, TODAY()), ""SELECT Col2 WHERE Col2 IS NOT "&amp;"NULL ORDER BY Col1 DESC LIMIT 20"", 0))
    )
  ), 
"""")"),"")</f>
        <v/>
      </c>
      <c r="K129" s="21" t="str">
        <f>IFERROR(__xludf.DUMMYFUNCTION("IFERROR(GOOGLEFINANCE(C129, ""changepct"") / 100, """")"),"")</f>
        <v/>
      </c>
      <c r="L129" s="21" t="str">
        <f>IFERROR(__xludf.DUMMYFUNCTION("IFERROR((GOOGLEFINANCE(C129, ""price"") / INDEX(GOOGLEFINANCE(C129, ""price"", TODAY()-7, TODAY()), 2, 2)) - 1, """")"),"")</f>
        <v/>
      </c>
      <c r="M129" s="21" t="str">
        <f>IFERROR(__xludf.DUMMYFUNCTION("IFERROR((GOOGLEFINANCE(C129, ""price"") / INDEX(GOOGLEFINANCE(C129, ""price"", EDATE(TODAY(), -1), TODAY()), 2, 2)) - 1, """")"),"")</f>
        <v/>
      </c>
      <c r="N129" s="21" t="str">
        <f>IFERROR(__xludf.DUMMYFUNCTION("IFERROR((GOOGLEFINANCE(C129, ""price"") / INDEX(GOOGLEFINANCE(C129, ""price"", EDATE(TODAY(), -3), TODAY()), 2, 2)) - 1, """")"),"")</f>
        <v/>
      </c>
      <c r="O129" s="21" t="str">
        <f>IFERROR(__xludf.DUMMYFUNCTION("IFERROR((GOOGLEFINANCE(C129, ""price"") / INDEX(GOOGLEFINANCE(C129, ""price"", EDATE(TODAY(), -6), TODAY()), 2, 2)) - 1, """")"),"")</f>
        <v/>
      </c>
      <c r="P129" s="21" t="str">
        <f>IFERROR(__xludf.DUMMYFUNCTION("IFERROR((GOOGLEFINANCE(C129, ""price"") / INDEX(GOOGLEFINANCE(C129, ""price"", EDATE(TODAY(), -12), TODAY()), 2, 2)) - 1, """")"),"")</f>
        <v/>
      </c>
      <c r="Q129" s="6" t="str">
        <f>IFERROR(__xludf.DUMMYFUNCTION("AVERAGE(QUERY(GOOGLEFINANCE(C129, ""price"", TODAY()-80, TODAY()), ""SELECT Col2 WHERE Col2 IS NOT NULL ORDER BY Col1 DESC LIMIT 50"", 0))"),"#N/A")</f>
        <v>#N/A</v>
      </c>
      <c r="R129" s="24" t="str">
        <f>IFERROR(__xludf.DUMMYFUNCTION("IFERROR(
  LET(
    data, QUERY(GOOGLEFINANCE(C129,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GOOGLEFINANCE(C129, ""price"")) * 100,
    IF(calc=0, G129, calc)
  ), 
G129)"),"#N/A")</f>
        <v>#N/A</v>
      </c>
      <c r="S129" s="8" t="s">
        <v>15</v>
      </c>
      <c r="T129" s="26" t="str">
        <f>IFERROR(__xludf.DUMMYFUNCTION("IFERROR(TRANSPOSE(QUERY(IFERROR(SORT(GOOGLEFINANCE(C129, ""price"", WORKDAY(TODAY(), -40), TODAY()), 1, FALSE)), ""select Col2 where Col2 is not null limit 22 label Col2 ''"", 0)), """")"),"")</f>
        <v/>
      </c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8"/>
      <c r="AO129" s="28"/>
      <c r="AP129" s="29"/>
      <c r="AQ129" s="29" t="str">
        <f t="shared" ref="AQ129:BL129" si="132">T129/T$2</f>
        <v>#N/A</v>
      </c>
      <c r="AR129" s="29" t="str">
        <f t="shared" si="132"/>
        <v>#DIV/0!</v>
      </c>
      <c r="AS129" s="29" t="str">
        <f t="shared" si="132"/>
        <v>#DIV/0!</v>
      </c>
      <c r="AT129" s="29" t="str">
        <f t="shared" si="132"/>
        <v>#DIV/0!</v>
      </c>
      <c r="AU129" s="29" t="str">
        <f t="shared" si="132"/>
        <v>#DIV/0!</v>
      </c>
      <c r="AV129" s="29" t="str">
        <f t="shared" si="132"/>
        <v>#DIV/0!</v>
      </c>
      <c r="AW129" s="29" t="str">
        <f t="shared" si="132"/>
        <v>#DIV/0!</v>
      </c>
      <c r="AX129" s="29" t="str">
        <f t="shared" si="132"/>
        <v>#DIV/0!</v>
      </c>
      <c r="AY129" s="29" t="str">
        <f t="shared" si="132"/>
        <v>#DIV/0!</v>
      </c>
      <c r="AZ129" s="29" t="str">
        <f t="shared" si="132"/>
        <v>#DIV/0!</v>
      </c>
      <c r="BA129" s="29" t="str">
        <f t="shared" si="132"/>
        <v>#DIV/0!</v>
      </c>
      <c r="BB129" s="29" t="str">
        <f t="shared" si="132"/>
        <v>#DIV/0!</v>
      </c>
      <c r="BC129" s="29" t="str">
        <f t="shared" si="132"/>
        <v>#DIV/0!</v>
      </c>
      <c r="BD129" s="29" t="str">
        <f t="shared" si="132"/>
        <v>#DIV/0!</v>
      </c>
      <c r="BE129" s="29" t="str">
        <f t="shared" si="132"/>
        <v>#DIV/0!</v>
      </c>
      <c r="BF129" s="29" t="str">
        <f t="shared" si="132"/>
        <v>#DIV/0!</v>
      </c>
      <c r="BG129" s="29" t="str">
        <f t="shared" si="132"/>
        <v>#DIV/0!</v>
      </c>
      <c r="BH129" s="29" t="str">
        <f t="shared" si="132"/>
        <v>#DIV/0!</v>
      </c>
      <c r="BI129" s="29" t="str">
        <f t="shared" si="132"/>
        <v>#DIV/0!</v>
      </c>
      <c r="BJ129" s="29" t="str">
        <f t="shared" si="132"/>
        <v>#DIV/0!</v>
      </c>
      <c r="BK129" s="29" t="str">
        <f t="shared" si="132"/>
        <v>#DIV/0!</v>
      </c>
      <c r="BL129" s="29" t="str">
        <f t="shared" si="132"/>
        <v>#DIV/0!</v>
      </c>
      <c r="BM129" s="29" t="str">
        <f t="shared" si="3"/>
        <v>#DIV/0!</v>
      </c>
    </row>
    <row r="130">
      <c r="A130" s="16" t="str">
        <f>IFERROR(__xludf.DUMMYFUNCTION("IFERROR(SPARKLINE(SORT(MAP(TRANSPOSE(AQ130:BL130), LAMBDA(val, IF(ISNUMBER(val), PERCENTRANK(AQ130:BL130, val)+0.01, 0))), SEQUENCE(COLUMNS(AQ130:BL130)), FALSE), {""charttype"",""column""; ""color"",""chartreuse""; ""ymin"", 0; ""ymax"", 1.01; ""highcolo"&amp;"r"", ""darkgreen""; ""lowcolor"", ""red""}), """")"),"")</f>
        <v/>
      </c>
      <c r="B130" s="17" t="str">
        <f t="shared" si="4"/>
        <v/>
      </c>
      <c r="C130" s="1" t="s">
        <v>594</v>
      </c>
      <c r="D130" s="30" t="str">
        <f>IFERROR(__xludf.DUMMYFUNCTION("IFERROR(GOOGLEFINANCE(C130, ""NAME""))"),"Itron Inc")</f>
        <v>Itron Inc</v>
      </c>
      <c r="E130" s="30" t="s">
        <v>595</v>
      </c>
      <c r="F130" s="38" t="str">
        <f>IFERROR(__xludf.DUMMYFUNCTION("( (GOOGLEFINANCE(C130, ""price"") - Q130) / Q130 ) / (R130 / 100)"),"Loading...")</f>
        <v>Loading...</v>
      </c>
      <c r="G130" s="20" t="str">
        <f>IFERROR(__xludf.DUMMYFUNCTION("AVERAGE(ARRAYFORMULA(100 * (QUERY(GOOGLEFINANCE(C130, ""high"", TODAY()-40, TODAY()), ""SELECT Col2 WHERE Col2 IS NOT NULL ORDER BY Col1 DESC LIMIT 20"", 0) / QUERY(GOOGLEFINANCE(C130, ""low"", TODAY()-40, TODAY()), ""SELECT Col2 WHERE Col2 IS NOT NULL OR"&amp;"DER BY Col1 DESC LIMIT 20"", 0) - 1)))"),"#N/A")</f>
        <v>#N/A</v>
      </c>
      <c r="H130" s="35" t="str">
        <f t="shared" si="6"/>
        <v/>
      </c>
      <c r="I130" s="36" t="str">
        <f t="shared" si="7"/>
        <v/>
      </c>
      <c r="J130" s="37" t="str">
        <f>IFERROR(__xludf.DUMMYFUNCTION("IFERROR(
  IF(C130="""",, 
    IFERROR(
      GOOGLEFINANCE(C130, ""price"") * GOOGLEFINANCE(C130, ""volumeavg""), 
      GOOGLEFINANCE(C130, ""price"") * AVERAGE(QUERY(GOOGLEFINANCE(C130, ""volume"", TODAY()-40, TODAY()), ""SELECT Col2 WHERE Col2 IS NOT "&amp;"NULL ORDER BY Col1 DESC LIMIT 20"", 0))
    )
  ), 
"""")"),"")</f>
        <v/>
      </c>
      <c r="K130" s="21" t="str">
        <f>IFERROR(__xludf.DUMMYFUNCTION("IFERROR(GOOGLEFINANCE(C130, ""changepct"") / 100, """")"),"")</f>
        <v/>
      </c>
      <c r="L130" s="21" t="str">
        <f>IFERROR(__xludf.DUMMYFUNCTION("IFERROR((GOOGLEFINANCE(C130, ""price"") / INDEX(GOOGLEFINANCE(C130, ""price"", TODAY()-7, TODAY()), 2, 2)) - 1, """")"),"")</f>
        <v/>
      </c>
      <c r="M130" s="21" t="str">
        <f>IFERROR(__xludf.DUMMYFUNCTION("IFERROR((GOOGLEFINANCE(C130, ""price"") / INDEX(GOOGLEFINANCE(C130, ""price"", EDATE(TODAY(), -1), TODAY()), 2, 2)) - 1, """")"),"")</f>
        <v/>
      </c>
      <c r="N130" s="21" t="str">
        <f>IFERROR(__xludf.DUMMYFUNCTION("IFERROR((GOOGLEFINANCE(C130, ""price"") / INDEX(GOOGLEFINANCE(C130, ""price"", EDATE(TODAY(), -3), TODAY()), 2, 2)) - 1, """")"),"")</f>
        <v/>
      </c>
      <c r="O130" s="21" t="str">
        <f>IFERROR(__xludf.DUMMYFUNCTION("IFERROR((GOOGLEFINANCE(C130, ""price"") / INDEX(GOOGLEFINANCE(C130, ""price"", EDATE(TODAY(), -6), TODAY()), 2, 2)) - 1, """")"),"")</f>
        <v/>
      </c>
      <c r="P130" s="21" t="str">
        <f>IFERROR(__xludf.DUMMYFUNCTION("IFERROR((GOOGLEFINANCE(C130, ""price"") / INDEX(GOOGLEFINANCE(C130, ""price"", EDATE(TODAY(), -12), TODAY()), 2, 2)) - 1, """")"),"")</f>
        <v/>
      </c>
      <c r="Q130" s="6" t="str">
        <f>IFERROR(__xludf.DUMMYFUNCTION("AVERAGE(QUERY(GOOGLEFINANCE(C130, ""price"", TODAY()-80, TODAY()), ""SELECT Col2 WHERE Col2 IS NOT NULL ORDER BY Col1 DESC LIMIT 50"", 0))"),"#N/A")</f>
        <v>#N/A</v>
      </c>
      <c r="R130" s="24" t="str">
        <f>IFERROR(__xludf.DUMMYFUNCTION("IFERROR(
  LET(
    data, QUERY(GOOGLEFINANCE(C130,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GOOGLEFINANCE(C130, ""price"")) * 100,
    IF(calc=0, G130, calc)
  ), 
G130)"),"#N/A")</f>
        <v>#N/A</v>
      </c>
      <c r="S130" s="8" t="s">
        <v>15</v>
      </c>
      <c r="T130" s="26" t="str">
        <f>IFERROR(__xludf.DUMMYFUNCTION("IFERROR(TRANSPOSE(QUERY(IFERROR(SORT(GOOGLEFINANCE(C130, ""price"", WORKDAY(TODAY(), -40), TODAY()), 1, FALSE)), ""select Col2 where Col2 is not null limit 22 label Col2 ''"", 0)), """")"),"")</f>
        <v/>
      </c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8"/>
      <c r="AO130" s="28"/>
      <c r="AP130" s="29"/>
      <c r="AQ130" s="29" t="str">
        <f t="shared" ref="AQ130:BL130" si="133">T130/T$2</f>
        <v>#N/A</v>
      </c>
      <c r="AR130" s="29" t="str">
        <f t="shared" si="133"/>
        <v>#DIV/0!</v>
      </c>
      <c r="AS130" s="29" t="str">
        <f t="shared" si="133"/>
        <v>#DIV/0!</v>
      </c>
      <c r="AT130" s="29" t="str">
        <f t="shared" si="133"/>
        <v>#DIV/0!</v>
      </c>
      <c r="AU130" s="29" t="str">
        <f t="shared" si="133"/>
        <v>#DIV/0!</v>
      </c>
      <c r="AV130" s="29" t="str">
        <f t="shared" si="133"/>
        <v>#DIV/0!</v>
      </c>
      <c r="AW130" s="29" t="str">
        <f t="shared" si="133"/>
        <v>#DIV/0!</v>
      </c>
      <c r="AX130" s="29" t="str">
        <f t="shared" si="133"/>
        <v>#DIV/0!</v>
      </c>
      <c r="AY130" s="29" t="str">
        <f t="shared" si="133"/>
        <v>#DIV/0!</v>
      </c>
      <c r="AZ130" s="29" t="str">
        <f t="shared" si="133"/>
        <v>#DIV/0!</v>
      </c>
      <c r="BA130" s="29" t="str">
        <f t="shared" si="133"/>
        <v>#DIV/0!</v>
      </c>
      <c r="BB130" s="29" t="str">
        <f t="shared" si="133"/>
        <v>#DIV/0!</v>
      </c>
      <c r="BC130" s="29" t="str">
        <f t="shared" si="133"/>
        <v>#DIV/0!</v>
      </c>
      <c r="BD130" s="29" t="str">
        <f t="shared" si="133"/>
        <v>#DIV/0!</v>
      </c>
      <c r="BE130" s="29" t="str">
        <f t="shared" si="133"/>
        <v>#DIV/0!</v>
      </c>
      <c r="BF130" s="29" t="str">
        <f t="shared" si="133"/>
        <v>#DIV/0!</v>
      </c>
      <c r="BG130" s="29" t="str">
        <f t="shared" si="133"/>
        <v>#DIV/0!</v>
      </c>
      <c r="BH130" s="29" t="str">
        <f t="shared" si="133"/>
        <v>#DIV/0!</v>
      </c>
      <c r="BI130" s="29" t="str">
        <f t="shared" si="133"/>
        <v>#DIV/0!</v>
      </c>
      <c r="BJ130" s="29" t="str">
        <f t="shared" si="133"/>
        <v>#DIV/0!</v>
      </c>
      <c r="BK130" s="29" t="str">
        <f t="shared" si="133"/>
        <v>#DIV/0!</v>
      </c>
      <c r="BL130" s="29" t="str">
        <f t="shared" si="133"/>
        <v>#DIV/0!</v>
      </c>
      <c r="BM130" s="29" t="str">
        <f t="shared" si="3"/>
        <v>#DIV/0!</v>
      </c>
    </row>
    <row r="131">
      <c r="A131" s="16" t="str">
        <f>IFERROR(__xludf.DUMMYFUNCTION("IFERROR(SPARKLINE(SORT(MAP(TRANSPOSE(AQ131:BL131), LAMBDA(val, IF(ISNUMBER(val), PERCENTRANK(AQ131:BL131, val)+0.01, 0))), SEQUENCE(COLUMNS(AQ131:BL131)), FALSE), {""charttype"",""column""; ""color"",""chartreuse""; ""ymin"", 0; ""ymax"", 1.01; ""highcolo"&amp;"r"", ""darkgreen""; ""lowcolor"", ""red""}), """")"),"")</f>
        <v/>
      </c>
      <c r="B131" s="17" t="str">
        <f t="shared" si="4"/>
        <v/>
      </c>
      <c r="C131" s="1" t="s">
        <v>599</v>
      </c>
      <c r="D131" s="30" t="str">
        <f>IFERROR(__xludf.DUMMYFUNCTION("IFERROR(GOOGLEFINANCE(C131, ""NAME""))"),"Donnelley Financial Solutions Inc")</f>
        <v>Donnelley Financial Solutions Inc</v>
      </c>
      <c r="E131" s="30" t="s">
        <v>48</v>
      </c>
      <c r="F131" s="38" t="str">
        <f>IFERROR(__xludf.DUMMYFUNCTION("( (GOOGLEFINANCE(C131, ""price"") - Q131) / Q131 ) / (R131 / 100)"),"Loading...")</f>
        <v>Loading...</v>
      </c>
      <c r="G131" s="20" t="str">
        <f>IFERROR(__xludf.DUMMYFUNCTION("AVERAGE(ARRAYFORMULA(100 * (QUERY(GOOGLEFINANCE(C131, ""high"", TODAY()-40, TODAY()), ""SELECT Col2 WHERE Col2 IS NOT NULL ORDER BY Col1 DESC LIMIT 20"", 0) / QUERY(GOOGLEFINANCE(C131, ""low"", TODAY()-40, TODAY()), ""SELECT Col2 WHERE Col2 IS NOT NULL OR"&amp;"DER BY Col1 DESC LIMIT 20"", 0) - 1)))"),"#N/A")</f>
        <v>#N/A</v>
      </c>
      <c r="H131" s="35" t="str">
        <f t="shared" si="6"/>
        <v/>
      </c>
      <c r="I131" s="36" t="str">
        <f t="shared" si="7"/>
        <v/>
      </c>
      <c r="J131" s="37" t="str">
        <f>IFERROR(__xludf.DUMMYFUNCTION("IFERROR(
  IF(C131="""",, 
    IFERROR(
      GOOGLEFINANCE(C131, ""price"") * GOOGLEFINANCE(C131, ""volumeavg""), 
      GOOGLEFINANCE(C131, ""price"") * AVERAGE(QUERY(GOOGLEFINANCE(C131, ""volume"", TODAY()-40, TODAY()), ""SELECT Col2 WHERE Col2 IS NOT "&amp;"NULL ORDER BY Col1 DESC LIMIT 20"", 0))
    )
  ), 
"""")"),"")</f>
        <v/>
      </c>
      <c r="K131" s="21" t="str">
        <f>IFERROR(__xludf.DUMMYFUNCTION("IFERROR(GOOGLEFINANCE(C131, ""changepct"") / 100, """")"),"")</f>
        <v/>
      </c>
      <c r="L131" s="21" t="str">
        <f>IFERROR(__xludf.DUMMYFUNCTION("IFERROR((GOOGLEFINANCE(C131, ""price"") / INDEX(GOOGLEFINANCE(C131, ""price"", TODAY()-7, TODAY()), 2, 2)) - 1, """")"),"")</f>
        <v/>
      </c>
      <c r="M131" s="21" t="str">
        <f>IFERROR(__xludf.DUMMYFUNCTION("IFERROR((GOOGLEFINANCE(C131, ""price"") / INDEX(GOOGLEFINANCE(C131, ""price"", EDATE(TODAY(), -1), TODAY()), 2, 2)) - 1, """")"),"")</f>
        <v/>
      </c>
      <c r="N131" s="21" t="str">
        <f>IFERROR(__xludf.DUMMYFUNCTION("IFERROR((GOOGLEFINANCE(C131, ""price"") / INDEX(GOOGLEFINANCE(C131, ""price"", EDATE(TODAY(), -3), TODAY()), 2, 2)) - 1, """")"),"")</f>
        <v/>
      </c>
      <c r="O131" s="21" t="str">
        <f>IFERROR(__xludf.DUMMYFUNCTION("IFERROR((GOOGLEFINANCE(C131, ""price"") / INDEX(GOOGLEFINANCE(C131, ""price"", EDATE(TODAY(), -6), TODAY()), 2, 2)) - 1, """")"),"")</f>
        <v/>
      </c>
      <c r="P131" s="21" t="str">
        <f>IFERROR(__xludf.DUMMYFUNCTION("IFERROR((GOOGLEFINANCE(C131, ""price"") / INDEX(GOOGLEFINANCE(C131, ""price"", EDATE(TODAY(), -12), TODAY()), 2, 2)) - 1, """")"),"")</f>
        <v/>
      </c>
      <c r="Q131" s="6" t="str">
        <f>IFERROR(__xludf.DUMMYFUNCTION("AVERAGE(QUERY(GOOGLEFINANCE(C131, ""price"", TODAY()-80, TODAY()), ""SELECT Col2 WHERE Col2 IS NOT NULL ORDER BY Col1 DESC LIMIT 50"", 0))"),"#N/A")</f>
        <v>#N/A</v>
      </c>
      <c r="R131" s="24" t="str">
        <f>IFERROR(__xludf.DUMMYFUNCTION("IFERROR(
  LET(
    data, QUERY(GOOGLEFINANCE(C131,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GOOGLEFINANCE(C131, ""price"")) * 100,
    IF(calc=0, G131, calc)
  ), 
G131)"),"#N/A")</f>
        <v>#N/A</v>
      </c>
      <c r="S131" s="8" t="s">
        <v>15</v>
      </c>
      <c r="T131" s="26" t="str">
        <f>IFERROR(__xludf.DUMMYFUNCTION("IFERROR(TRANSPOSE(QUERY(IFERROR(SORT(GOOGLEFINANCE(C131, ""price"", WORKDAY(TODAY(), -40), TODAY()), 1, FALSE)), ""select Col2 where Col2 is not null limit 22 label Col2 ''"", 0)), """")"),"")</f>
        <v/>
      </c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8"/>
      <c r="AO131" s="28"/>
      <c r="AP131" s="29"/>
      <c r="AQ131" s="29" t="str">
        <f t="shared" ref="AQ131:BL131" si="134">T131/T$2</f>
        <v>#N/A</v>
      </c>
      <c r="AR131" s="29" t="str">
        <f t="shared" si="134"/>
        <v>#DIV/0!</v>
      </c>
      <c r="AS131" s="29" t="str">
        <f t="shared" si="134"/>
        <v>#DIV/0!</v>
      </c>
      <c r="AT131" s="29" t="str">
        <f t="shared" si="134"/>
        <v>#DIV/0!</v>
      </c>
      <c r="AU131" s="29" t="str">
        <f t="shared" si="134"/>
        <v>#DIV/0!</v>
      </c>
      <c r="AV131" s="29" t="str">
        <f t="shared" si="134"/>
        <v>#DIV/0!</v>
      </c>
      <c r="AW131" s="29" t="str">
        <f t="shared" si="134"/>
        <v>#DIV/0!</v>
      </c>
      <c r="AX131" s="29" t="str">
        <f t="shared" si="134"/>
        <v>#DIV/0!</v>
      </c>
      <c r="AY131" s="29" t="str">
        <f t="shared" si="134"/>
        <v>#DIV/0!</v>
      </c>
      <c r="AZ131" s="29" t="str">
        <f t="shared" si="134"/>
        <v>#DIV/0!</v>
      </c>
      <c r="BA131" s="29" t="str">
        <f t="shared" si="134"/>
        <v>#DIV/0!</v>
      </c>
      <c r="BB131" s="29" t="str">
        <f t="shared" si="134"/>
        <v>#DIV/0!</v>
      </c>
      <c r="BC131" s="29" t="str">
        <f t="shared" si="134"/>
        <v>#DIV/0!</v>
      </c>
      <c r="BD131" s="29" t="str">
        <f t="shared" si="134"/>
        <v>#DIV/0!</v>
      </c>
      <c r="BE131" s="29" t="str">
        <f t="shared" si="134"/>
        <v>#DIV/0!</v>
      </c>
      <c r="BF131" s="29" t="str">
        <f t="shared" si="134"/>
        <v>#DIV/0!</v>
      </c>
      <c r="BG131" s="29" t="str">
        <f t="shared" si="134"/>
        <v>#DIV/0!</v>
      </c>
      <c r="BH131" s="29" t="str">
        <f t="shared" si="134"/>
        <v>#DIV/0!</v>
      </c>
      <c r="BI131" s="29" t="str">
        <f t="shared" si="134"/>
        <v>#DIV/0!</v>
      </c>
      <c r="BJ131" s="29" t="str">
        <f t="shared" si="134"/>
        <v>#DIV/0!</v>
      </c>
      <c r="BK131" s="29" t="str">
        <f t="shared" si="134"/>
        <v>#DIV/0!</v>
      </c>
      <c r="BL131" s="29" t="str">
        <f t="shared" si="134"/>
        <v>#DIV/0!</v>
      </c>
      <c r="BM131" s="29" t="str">
        <f t="shared" si="3"/>
        <v>#DIV/0!</v>
      </c>
    </row>
    <row r="132">
      <c r="A132" s="16" t="str">
        <f>IFERROR(__xludf.DUMMYFUNCTION("IFERROR(SPARKLINE(SORT(MAP(TRANSPOSE(AQ132:BL132), LAMBDA(val, IF(ISNUMBER(val), PERCENTRANK(AQ132:BL132, val)+0.01, 0))), SEQUENCE(COLUMNS(AQ132:BL132)), FALSE), {""charttype"",""column""; ""color"",""chartreuse""; ""ymin"", 0; ""ymax"", 1.01; ""highcolo"&amp;"r"", ""darkgreen""; ""lowcolor"", ""red""}), """")"),"")</f>
        <v/>
      </c>
      <c r="B132" s="17" t="str">
        <f t="shared" si="4"/>
        <v/>
      </c>
      <c r="C132" s="1" t="s">
        <v>604</v>
      </c>
      <c r="D132" s="30" t="str">
        <f>IFERROR(__xludf.DUMMYFUNCTION("IFERROR(GOOGLEFINANCE(C132, ""NAME""))"),"Grab Holdings Ltd")</f>
        <v>Grab Holdings Ltd</v>
      </c>
      <c r="E132" s="30" t="s">
        <v>48</v>
      </c>
      <c r="F132" s="33" t="str">
        <f>IFERROR(__xludf.DUMMYFUNCTION("( (GOOGLEFINANCE(C132, ""price"") - Q132) / Q132 ) / (R132 / 100)"),"Loading...")</f>
        <v>Loading...</v>
      </c>
      <c r="G132" s="20" t="str">
        <f>IFERROR(__xludf.DUMMYFUNCTION("AVERAGE(ARRAYFORMULA(100 * (QUERY(GOOGLEFINANCE(C132, ""high"", TODAY()-40, TODAY()), ""SELECT Col2 WHERE Col2 IS NOT NULL ORDER BY Col1 DESC LIMIT 20"", 0) / QUERY(GOOGLEFINANCE(C132, ""low"", TODAY()-40, TODAY()), ""SELECT Col2 WHERE Col2 IS NOT NULL OR"&amp;"DER BY Col1 DESC LIMIT 20"", 0) - 1)))"),"#N/A")</f>
        <v>#N/A</v>
      </c>
      <c r="H132" s="35" t="str">
        <f t="shared" si="6"/>
        <v/>
      </c>
      <c r="I132" s="36" t="str">
        <f t="shared" si="7"/>
        <v/>
      </c>
      <c r="J132" s="37" t="str">
        <f>IFERROR(__xludf.DUMMYFUNCTION("IFERROR(
  IF(C132="""",, 
    IFERROR(
      GOOGLEFINANCE(C132, ""price"") * GOOGLEFINANCE(C132, ""volumeavg""), 
      GOOGLEFINANCE(C132, ""price"") * AVERAGE(QUERY(GOOGLEFINANCE(C132, ""volume"", TODAY()-40, TODAY()), ""SELECT Col2 WHERE Col2 IS NOT "&amp;"NULL ORDER BY Col1 DESC LIMIT 20"", 0))
    )
  ), 
"""")"),"")</f>
        <v/>
      </c>
      <c r="K132" s="21" t="str">
        <f>IFERROR(__xludf.DUMMYFUNCTION("IFERROR(GOOGLEFINANCE(C132, ""changepct"") / 100, """")"),"")</f>
        <v/>
      </c>
      <c r="L132" s="21" t="str">
        <f>IFERROR(__xludf.DUMMYFUNCTION("IFERROR((GOOGLEFINANCE(C132, ""price"") / INDEX(GOOGLEFINANCE(C132, ""price"", TODAY()-7, TODAY()), 2, 2)) - 1, """")"),"")</f>
        <v/>
      </c>
      <c r="M132" s="21" t="str">
        <f>IFERROR(__xludf.DUMMYFUNCTION("IFERROR((GOOGLEFINANCE(C132, ""price"") / INDEX(GOOGLEFINANCE(C132, ""price"", EDATE(TODAY(), -1), TODAY()), 2, 2)) - 1, """")"),"")</f>
        <v/>
      </c>
      <c r="N132" s="21" t="str">
        <f>IFERROR(__xludf.DUMMYFUNCTION("IFERROR((GOOGLEFINANCE(C132, ""price"") / INDEX(GOOGLEFINANCE(C132, ""price"", EDATE(TODAY(), -3), TODAY()), 2, 2)) - 1, """")"),"")</f>
        <v/>
      </c>
      <c r="O132" s="21" t="str">
        <f>IFERROR(__xludf.DUMMYFUNCTION("IFERROR((GOOGLEFINANCE(C132, ""price"") / INDEX(GOOGLEFINANCE(C132, ""price"", EDATE(TODAY(), -6), TODAY()), 2, 2)) - 1, """")"),"")</f>
        <v/>
      </c>
      <c r="P132" s="21" t="str">
        <f>IFERROR(__xludf.DUMMYFUNCTION("IFERROR((GOOGLEFINANCE(C132, ""price"") / INDEX(GOOGLEFINANCE(C132, ""price"", EDATE(TODAY(), -12), TODAY()), 2, 2)) - 1, """")"),"")</f>
        <v/>
      </c>
      <c r="Q132" s="6" t="str">
        <f>IFERROR(__xludf.DUMMYFUNCTION("AVERAGE(QUERY(GOOGLEFINANCE(C132, ""price"", TODAY()-80, TODAY()), ""SELECT Col2 WHERE Col2 IS NOT NULL ORDER BY Col1 DESC LIMIT 50"", 0))"),"#N/A")</f>
        <v>#N/A</v>
      </c>
      <c r="R132" s="24" t="str">
        <f>IFERROR(__xludf.DUMMYFUNCTION("IFERROR(
  LET(
    data, QUERY(GOOGLEFINANCE(C132,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GOOGLEFINANCE(C132, ""price"")) * 100,
    IF(calc=0, G132, calc)
  ), 
G132)"),"#N/A")</f>
        <v>#N/A</v>
      </c>
      <c r="S132" s="8" t="s">
        <v>15</v>
      </c>
      <c r="T132" s="26" t="str">
        <f>IFERROR(__xludf.DUMMYFUNCTION("IFERROR(TRANSPOSE(QUERY(IFERROR(SORT(GOOGLEFINANCE(C132, ""price"", WORKDAY(TODAY(), -40), TODAY()), 1, FALSE)), ""select Col2 where Col2 is not null limit 22 label Col2 ''"", 0)), """")"),"")</f>
        <v/>
      </c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8"/>
      <c r="AO132" s="28"/>
      <c r="AP132" s="29"/>
      <c r="AQ132" s="29" t="str">
        <f t="shared" ref="AQ132:BL132" si="135">T132/T$2</f>
        <v>#N/A</v>
      </c>
      <c r="AR132" s="29" t="str">
        <f t="shared" si="135"/>
        <v>#DIV/0!</v>
      </c>
      <c r="AS132" s="29" t="str">
        <f t="shared" si="135"/>
        <v>#DIV/0!</v>
      </c>
      <c r="AT132" s="29" t="str">
        <f t="shared" si="135"/>
        <v>#DIV/0!</v>
      </c>
      <c r="AU132" s="29" t="str">
        <f t="shared" si="135"/>
        <v>#DIV/0!</v>
      </c>
      <c r="AV132" s="29" t="str">
        <f t="shared" si="135"/>
        <v>#DIV/0!</v>
      </c>
      <c r="AW132" s="29" t="str">
        <f t="shared" si="135"/>
        <v>#DIV/0!</v>
      </c>
      <c r="AX132" s="29" t="str">
        <f t="shared" si="135"/>
        <v>#DIV/0!</v>
      </c>
      <c r="AY132" s="29" t="str">
        <f t="shared" si="135"/>
        <v>#DIV/0!</v>
      </c>
      <c r="AZ132" s="29" t="str">
        <f t="shared" si="135"/>
        <v>#DIV/0!</v>
      </c>
      <c r="BA132" s="29" t="str">
        <f t="shared" si="135"/>
        <v>#DIV/0!</v>
      </c>
      <c r="BB132" s="29" t="str">
        <f t="shared" si="135"/>
        <v>#DIV/0!</v>
      </c>
      <c r="BC132" s="29" t="str">
        <f t="shared" si="135"/>
        <v>#DIV/0!</v>
      </c>
      <c r="BD132" s="29" t="str">
        <f t="shared" si="135"/>
        <v>#DIV/0!</v>
      </c>
      <c r="BE132" s="29" t="str">
        <f t="shared" si="135"/>
        <v>#DIV/0!</v>
      </c>
      <c r="BF132" s="29" t="str">
        <f t="shared" si="135"/>
        <v>#DIV/0!</v>
      </c>
      <c r="BG132" s="29" t="str">
        <f t="shared" si="135"/>
        <v>#DIV/0!</v>
      </c>
      <c r="BH132" s="29" t="str">
        <f t="shared" si="135"/>
        <v>#DIV/0!</v>
      </c>
      <c r="BI132" s="29" t="str">
        <f t="shared" si="135"/>
        <v>#DIV/0!</v>
      </c>
      <c r="BJ132" s="29" t="str">
        <f t="shared" si="135"/>
        <v>#DIV/0!</v>
      </c>
      <c r="BK132" s="29" t="str">
        <f t="shared" si="135"/>
        <v>#DIV/0!</v>
      </c>
      <c r="BL132" s="29" t="str">
        <f t="shared" si="135"/>
        <v>#DIV/0!</v>
      </c>
      <c r="BM132" s="29" t="str">
        <f t="shared" si="3"/>
        <v>#DIV/0!</v>
      </c>
    </row>
    <row r="133">
      <c r="A133" s="16" t="str">
        <f>IFERROR(__xludf.DUMMYFUNCTION("IFERROR(SPARKLINE(SORT(MAP(TRANSPOSE(AQ133:BL133), LAMBDA(val, IF(ISNUMBER(val), PERCENTRANK(AQ133:BL133, val)+0.01, 0))), SEQUENCE(COLUMNS(AQ133:BL133)), FALSE), {""charttype"",""column""; ""color"",""chartreuse""; ""ymin"", 0; ""ymax"", 1.01; ""highcolo"&amp;"r"", ""darkgreen""; ""lowcolor"", ""red""}), """")"),"")</f>
        <v/>
      </c>
      <c r="B133" s="17" t="str">
        <f t="shared" si="4"/>
        <v/>
      </c>
      <c r="C133" s="1" t="s">
        <v>607</v>
      </c>
      <c r="D133" s="30" t="str">
        <f>IFERROR(__xludf.DUMMYFUNCTION("IFERROR(GOOGLEFINANCE(C133, ""NAME""))"),"Ribbon Communications Inc")</f>
        <v>Ribbon Communications Inc</v>
      </c>
      <c r="E133" s="30" t="s">
        <v>48</v>
      </c>
      <c r="F133" s="33" t="str">
        <f>IFERROR(__xludf.DUMMYFUNCTION("( (GOOGLEFINANCE(C133, ""price"") - Q133) / Q133 ) / (R133 / 100)"),"Loading...")</f>
        <v>Loading...</v>
      </c>
      <c r="G133" s="20" t="str">
        <f>IFERROR(__xludf.DUMMYFUNCTION("AVERAGE(ARRAYFORMULA(100 * (QUERY(GOOGLEFINANCE(C133, ""high"", TODAY()-40, TODAY()), ""SELECT Col2 WHERE Col2 IS NOT NULL ORDER BY Col1 DESC LIMIT 20"", 0) / QUERY(GOOGLEFINANCE(C133, ""low"", TODAY()-40, TODAY()), ""SELECT Col2 WHERE Col2 IS NOT NULL OR"&amp;"DER BY Col1 DESC LIMIT 20"", 0) - 1)))"),"#N/A")</f>
        <v>#N/A</v>
      </c>
      <c r="H133" s="35" t="str">
        <f t="shared" si="6"/>
        <v/>
      </c>
      <c r="I133" s="36" t="str">
        <f t="shared" si="7"/>
        <v/>
      </c>
      <c r="J133" s="37" t="str">
        <f>IFERROR(__xludf.DUMMYFUNCTION("IFERROR(
  IF(C133="""",, 
    IFERROR(
      GOOGLEFINANCE(C133, ""price"") * GOOGLEFINANCE(C133, ""volumeavg""), 
      GOOGLEFINANCE(C133, ""price"") * AVERAGE(QUERY(GOOGLEFINANCE(C133, ""volume"", TODAY()-40, TODAY()), ""SELECT Col2 WHERE Col2 IS NOT "&amp;"NULL ORDER BY Col1 DESC LIMIT 20"", 0))
    )
  ), 
"""")"),"")</f>
        <v/>
      </c>
      <c r="K133" s="21" t="str">
        <f>IFERROR(__xludf.DUMMYFUNCTION("IFERROR(GOOGLEFINANCE(C133, ""changepct"") / 100, """")"),"")</f>
        <v/>
      </c>
      <c r="L133" s="21" t="str">
        <f>IFERROR(__xludf.DUMMYFUNCTION("IFERROR((GOOGLEFINANCE(C133, ""price"") / INDEX(GOOGLEFINANCE(C133, ""price"", TODAY()-7, TODAY()), 2, 2)) - 1, """")"),"")</f>
        <v/>
      </c>
      <c r="M133" s="21" t="str">
        <f>IFERROR(__xludf.DUMMYFUNCTION("IFERROR((GOOGLEFINANCE(C133, ""price"") / INDEX(GOOGLEFINANCE(C133, ""price"", EDATE(TODAY(), -1), TODAY()), 2, 2)) - 1, """")"),"")</f>
        <v/>
      </c>
      <c r="N133" s="21" t="str">
        <f>IFERROR(__xludf.DUMMYFUNCTION("IFERROR((GOOGLEFINANCE(C133, ""price"") / INDEX(GOOGLEFINANCE(C133, ""price"", EDATE(TODAY(), -3), TODAY()), 2, 2)) - 1, """")"),"")</f>
        <v/>
      </c>
      <c r="O133" s="21" t="str">
        <f>IFERROR(__xludf.DUMMYFUNCTION("IFERROR((GOOGLEFINANCE(C133, ""price"") / INDEX(GOOGLEFINANCE(C133, ""price"", EDATE(TODAY(), -6), TODAY()), 2, 2)) - 1, """")"),"")</f>
        <v/>
      </c>
      <c r="P133" s="21" t="str">
        <f>IFERROR(__xludf.DUMMYFUNCTION("IFERROR((GOOGLEFINANCE(C133, ""price"") / INDEX(GOOGLEFINANCE(C133, ""price"", EDATE(TODAY(), -12), TODAY()), 2, 2)) - 1, """")"),"")</f>
        <v/>
      </c>
      <c r="Q133" s="6" t="str">
        <f>IFERROR(__xludf.DUMMYFUNCTION("AVERAGE(QUERY(GOOGLEFINANCE(C133, ""price"", TODAY()-80, TODAY()), ""SELECT Col2 WHERE Col2 IS NOT NULL ORDER BY Col1 DESC LIMIT 50"", 0))"),"#N/A")</f>
        <v>#N/A</v>
      </c>
      <c r="R133" s="24" t="str">
        <f>IFERROR(__xludf.DUMMYFUNCTION("IFERROR(
  LET(
    data, QUERY(GOOGLEFINANCE(C133,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GOOGLEFINANCE(C133, ""price"")) * 100,
    IF(calc=0, G133, calc)
  ), 
G133)"),"#N/A")</f>
        <v>#N/A</v>
      </c>
      <c r="S133" s="8" t="s">
        <v>15</v>
      </c>
      <c r="T133" s="26" t="str">
        <f>IFERROR(__xludf.DUMMYFUNCTION("IFERROR(TRANSPOSE(QUERY(IFERROR(SORT(GOOGLEFINANCE(C133, ""price"", WORKDAY(TODAY(), -40), TODAY()), 1, FALSE)), ""select Col2 where Col2 is not null limit 22 label Col2 ''"", 0)), """")"),"")</f>
        <v/>
      </c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8"/>
      <c r="AO133" s="28"/>
      <c r="AP133" s="29"/>
      <c r="AQ133" s="29" t="str">
        <f t="shared" ref="AQ133:BL133" si="136">T133/T$2</f>
        <v>#N/A</v>
      </c>
      <c r="AR133" s="29" t="str">
        <f t="shared" si="136"/>
        <v>#DIV/0!</v>
      </c>
      <c r="AS133" s="29" t="str">
        <f t="shared" si="136"/>
        <v>#DIV/0!</v>
      </c>
      <c r="AT133" s="29" t="str">
        <f t="shared" si="136"/>
        <v>#DIV/0!</v>
      </c>
      <c r="AU133" s="29" t="str">
        <f t="shared" si="136"/>
        <v>#DIV/0!</v>
      </c>
      <c r="AV133" s="29" t="str">
        <f t="shared" si="136"/>
        <v>#DIV/0!</v>
      </c>
      <c r="AW133" s="29" t="str">
        <f t="shared" si="136"/>
        <v>#DIV/0!</v>
      </c>
      <c r="AX133" s="29" t="str">
        <f t="shared" si="136"/>
        <v>#DIV/0!</v>
      </c>
      <c r="AY133" s="29" t="str">
        <f t="shared" si="136"/>
        <v>#DIV/0!</v>
      </c>
      <c r="AZ133" s="29" t="str">
        <f t="shared" si="136"/>
        <v>#DIV/0!</v>
      </c>
      <c r="BA133" s="29" t="str">
        <f t="shared" si="136"/>
        <v>#DIV/0!</v>
      </c>
      <c r="BB133" s="29" t="str">
        <f t="shared" si="136"/>
        <v>#DIV/0!</v>
      </c>
      <c r="BC133" s="29" t="str">
        <f t="shared" si="136"/>
        <v>#DIV/0!</v>
      </c>
      <c r="BD133" s="29" t="str">
        <f t="shared" si="136"/>
        <v>#DIV/0!</v>
      </c>
      <c r="BE133" s="29" t="str">
        <f t="shared" si="136"/>
        <v>#DIV/0!</v>
      </c>
      <c r="BF133" s="29" t="str">
        <f t="shared" si="136"/>
        <v>#DIV/0!</v>
      </c>
      <c r="BG133" s="29" t="str">
        <f t="shared" si="136"/>
        <v>#DIV/0!</v>
      </c>
      <c r="BH133" s="29" t="str">
        <f t="shared" si="136"/>
        <v>#DIV/0!</v>
      </c>
      <c r="BI133" s="29" t="str">
        <f t="shared" si="136"/>
        <v>#DIV/0!</v>
      </c>
      <c r="BJ133" s="29" t="str">
        <f t="shared" si="136"/>
        <v>#DIV/0!</v>
      </c>
      <c r="BK133" s="29" t="str">
        <f t="shared" si="136"/>
        <v>#DIV/0!</v>
      </c>
      <c r="BL133" s="29" t="str">
        <f t="shared" si="136"/>
        <v>#DIV/0!</v>
      </c>
      <c r="BM133" s="29" t="str">
        <f t="shared" si="3"/>
        <v>#DIV/0!</v>
      </c>
    </row>
    <row r="134">
      <c r="A134" s="16" t="str">
        <f>IFERROR(__xludf.DUMMYFUNCTION("IFERROR(SPARKLINE(SORT(MAP(TRANSPOSE(AQ134:BL134), LAMBDA(val, IF(ISNUMBER(val), PERCENTRANK(AQ134:BL134, val)+0.01, 0))), SEQUENCE(COLUMNS(AQ134:BL134)), FALSE), {""charttype"",""column""; ""color"",""chartreuse""; ""ymin"", 0; ""ymax"", 1.01; ""highcolo"&amp;"r"", ""darkgreen""; ""lowcolor"", ""red""}), """")"),"")</f>
        <v/>
      </c>
      <c r="B134" s="17" t="str">
        <f t="shared" si="4"/>
        <v/>
      </c>
      <c r="C134" s="1" t="s">
        <v>611</v>
      </c>
      <c r="D134" s="30" t="str">
        <f>IFERROR(__xludf.DUMMYFUNCTION("IFERROR(GOOGLEFINANCE(C134, ""NAME""))"),"AppFolio Inc")</f>
        <v>AppFolio Inc</v>
      </c>
      <c r="E134" s="30" t="s">
        <v>48</v>
      </c>
      <c r="F134" s="33" t="str">
        <f>IFERROR(__xludf.DUMMYFUNCTION("( (GOOGLEFINANCE(C134, ""price"") - Q134) / Q134 ) / (R134 / 100)"),"Loading...")</f>
        <v>Loading...</v>
      </c>
      <c r="G134" s="20" t="str">
        <f>IFERROR(__xludf.DUMMYFUNCTION("AVERAGE(ARRAYFORMULA(100 * (QUERY(GOOGLEFINANCE(C134, ""high"", TODAY()-40, TODAY()), ""SELECT Col2 WHERE Col2 IS NOT NULL ORDER BY Col1 DESC LIMIT 20"", 0) / QUERY(GOOGLEFINANCE(C134, ""low"", TODAY()-40, TODAY()), ""SELECT Col2 WHERE Col2 IS NOT NULL OR"&amp;"DER BY Col1 DESC LIMIT 20"", 0) - 1)))"),"#N/A")</f>
        <v>#N/A</v>
      </c>
      <c r="H134" s="35" t="str">
        <f t="shared" si="6"/>
        <v/>
      </c>
      <c r="I134" s="36" t="str">
        <f t="shared" si="7"/>
        <v/>
      </c>
      <c r="J134" s="37" t="str">
        <f>IFERROR(__xludf.DUMMYFUNCTION("IFERROR(
  IF(C134="""",, 
    IFERROR(
      GOOGLEFINANCE(C134, ""price"") * GOOGLEFINANCE(C134, ""volumeavg""), 
      GOOGLEFINANCE(C134, ""price"") * AVERAGE(QUERY(GOOGLEFINANCE(C134, ""volume"", TODAY()-40, TODAY()), ""SELECT Col2 WHERE Col2 IS NOT "&amp;"NULL ORDER BY Col1 DESC LIMIT 20"", 0))
    )
  ), 
"""")"),"")</f>
        <v/>
      </c>
      <c r="K134" s="21" t="str">
        <f>IFERROR(__xludf.DUMMYFUNCTION("IFERROR(GOOGLEFINANCE(C134, ""changepct"") / 100, """")"),"")</f>
        <v/>
      </c>
      <c r="L134" s="21" t="str">
        <f>IFERROR(__xludf.DUMMYFUNCTION("IFERROR((GOOGLEFINANCE(C134, ""price"") / INDEX(GOOGLEFINANCE(C134, ""price"", TODAY()-7, TODAY()), 2, 2)) - 1, """")"),"")</f>
        <v/>
      </c>
      <c r="M134" s="21" t="str">
        <f>IFERROR(__xludf.DUMMYFUNCTION("IFERROR((GOOGLEFINANCE(C134, ""price"") / INDEX(GOOGLEFINANCE(C134, ""price"", EDATE(TODAY(), -1), TODAY()), 2, 2)) - 1, """")"),"")</f>
        <v/>
      </c>
      <c r="N134" s="21" t="str">
        <f>IFERROR(__xludf.DUMMYFUNCTION("IFERROR((GOOGLEFINANCE(C134, ""price"") / INDEX(GOOGLEFINANCE(C134, ""price"", EDATE(TODAY(), -3), TODAY()), 2, 2)) - 1, """")"),"")</f>
        <v/>
      </c>
      <c r="O134" s="21" t="str">
        <f>IFERROR(__xludf.DUMMYFUNCTION("IFERROR((GOOGLEFINANCE(C134, ""price"") / INDEX(GOOGLEFINANCE(C134, ""price"", EDATE(TODAY(), -6), TODAY()), 2, 2)) - 1, """")"),"")</f>
        <v/>
      </c>
      <c r="P134" s="21" t="str">
        <f>IFERROR(__xludf.DUMMYFUNCTION("IFERROR((GOOGLEFINANCE(C134, ""price"") / INDEX(GOOGLEFINANCE(C134, ""price"", EDATE(TODAY(), -12), TODAY()), 2, 2)) - 1, """")"),"")</f>
        <v/>
      </c>
      <c r="Q134" s="6" t="str">
        <f>IFERROR(__xludf.DUMMYFUNCTION("AVERAGE(QUERY(GOOGLEFINANCE(C134, ""price"", TODAY()-80, TODAY()), ""SELECT Col2 WHERE Col2 IS NOT NULL ORDER BY Col1 DESC LIMIT 50"", 0))"),"#N/A")</f>
        <v>#N/A</v>
      </c>
      <c r="R134" s="24" t="str">
        <f>IFERROR(__xludf.DUMMYFUNCTION("IFERROR(
  LET(
    data, QUERY(GOOGLEFINANCE(C134,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GOOGLEFINANCE(C134, ""price"")) * 100,
    IF(calc=0, G134, calc)
  ), 
G134)"),"#N/A")</f>
        <v>#N/A</v>
      </c>
      <c r="S134" s="8" t="s">
        <v>15</v>
      </c>
      <c r="T134" s="26" t="str">
        <f>IFERROR(__xludf.DUMMYFUNCTION("IFERROR(TRANSPOSE(QUERY(IFERROR(SORT(GOOGLEFINANCE(C134, ""price"", WORKDAY(TODAY(), -40), TODAY()), 1, FALSE)), ""select Col2 where Col2 is not null limit 22 label Col2 ''"", 0)), """")"),"")</f>
        <v/>
      </c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8"/>
      <c r="AO134" s="28"/>
      <c r="AP134" s="29"/>
      <c r="AQ134" s="29" t="str">
        <f t="shared" ref="AQ134:BL134" si="137">T134/T$2</f>
        <v>#N/A</v>
      </c>
      <c r="AR134" s="29" t="str">
        <f t="shared" si="137"/>
        <v>#DIV/0!</v>
      </c>
      <c r="AS134" s="29" t="str">
        <f t="shared" si="137"/>
        <v>#DIV/0!</v>
      </c>
      <c r="AT134" s="29" t="str">
        <f t="shared" si="137"/>
        <v>#DIV/0!</v>
      </c>
      <c r="AU134" s="29" t="str">
        <f t="shared" si="137"/>
        <v>#DIV/0!</v>
      </c>
      <c r="AV134" s="29" t="str">
        <f t="shared" si="137"/>
        <v>#DIV/0!</v>
      </c>
      <c r="AW134" s="29" t="str">
        <f t="shared" si="137"/>
        <v>#DIV/0!</v>
      </c>
      <c r="AX134" s="29" t="str">
        <f t="shared" si="137"/>
        <v>#DIV/0!</v>
      </c>
      <c r="AY134" s="29" t="str">
        <f t="shared" si="137"/>
        <v>#DIV/0!</v>
      </c>
      <c r="AZ134" s="29" t="str">
        <f t="shared" si="137"/>
        <v>#DIV/0!</v>
      </c>
      <c r="BA134" s="29" t="str">
        <f t="shared" si="137"/>
        <v>#DIV/0!</v>
      </c>
      <c r="BB134" s="29" t="str">
        <f t="shared" si="137"/>
        <v>#DIV/0!</v>
      </c>
      <c r="BC134" s="29" t="str">
        <f t="shared" si="137"/>
        <v>#DIV/0!</v>
      </c>
      <c r="BD134" s="29" t="str">
        <f t="shared" si="137"/>
        <v>#DIV/0!</v>
      </c>
      <c r="BE134" s="29" t="str">
        <f t="shared" si="137"/>
        <v>#DIV/0!</v>
      </c>
      <c r="BF134" s="29" t="str">
        <f t="shared" si="137"/>
        <v>#DIV/0!</v>
      </c>
      <c r="BG134" s="29" t="str">
        <f t="shared" si="137"/>
        <v>#DIV/0!</v>
      </c>
      <c r="BH134" s="29" t="str">
        <f t="shared" si="137"/>
        <v>#DIV/0!</v>
      </c>
      <c r="BI134" s="29" t="str">
        <f t="shared" si="137"/>
        <v>#DIV/0!</v>
      </c>
      <c r="BJ134" s="29" t="str">
        <f t="shared" si="137"/>
        <v>#DIV/0!</v>
      </c>
      <c r="BK134" s="29" t="str">
        <f t="shared" si="137"/>
        <v>#DIV/0!</v>
      </c>
      <c r="BL134" s="29" t="str">
        <f t="shared" si="137"/>
        <v>#DIV/0!</v>
      </c>
      <c r="BM134" s="29" t="str">
        <f t="shared" si="3"/>
        <v>#DIV/0!</v>
      </c>
    </row>
    <row r="135">
      <c r="A135" s="16" t="str">
        <f>IFERROR(__xludf.DUMMYFUNCTION("IFERROR(SPARKLINE(SORT(MAP(TRANSPOSE(AQ135:BL135), LAMBDA(val, IF(ISNUMBER(val), PERCENTRANK(AQ135:BL135, val)+0.01, 0))), SEQUENCE(COLUMNS(AQ135:BL135)), FALSE), {""charttype"",""column""; ""color"",""chartreuse""; ""ymin"", 0; ""ymax"", 1.01; ""highcolo"&amp;"r"", ""darkgreen""; ""lowcolor"", ""red""}), """")"),"")</f>
        <v/>
      </c>
      <c r="B135" s="17" t="str">
        <f t="shared" si="4"/>
        <v/>
      </c>
      <c r="C135" s="1" t="s">
        <v>615</v>
      </c>
      <c r="D135" s="30" t="str">
        <f>IFERROR(__xludf.DUMMYFUNCTION("IFERROR(GOOGLEFINANCE(C135, ""NAME""))"),"Full Truck Alliance Co Ltd - ADR")</f>
        <v>Full Truck Alliance Co Ltd - ADR</v>
      </c>
      <c r="E135" s="30" t="s">
        <v>48</v>
      </c>
      <c r="F135" s="33" t="str">
        <f>IFERROR(__xludf.DUMMYFUNCTION("( (GOOGLEFINANCE(C135, ""price"") - Q135) / Q135 ) / (R135 / 100)"),"Loading...")</f>
        <v>Loading...</v>
      </c>
      <c r="G135" s="20" t="str">
        <f>IFERROR(__xludf.DUMMYFUNCTION("AVERAGE(ARRAYFORMULA(100 * (QUERY(GOOGLEFINANCE(C135, ""high"", TODAY()-40, TODAY()), ""SELECT Col2 WHERE Col2 IS NOT NULL ORDER BY Col1 DESC LIMIT 20"", 0) / QUERY(GOOGLEFINANCE(C135, ""low"", TODAY()-40, TODAY()), ""SELECT Col2 WHERE Col2 IS NOT NULL OR"&amp;"DER BY Col1 DESC LIMIT 20"", 0) - 1)))"),"#N/A")</f>
        <v>#N/A</v>
      </c>
      <c r="H135" s="35" t="str">
        <f t="shared" si="6"/>
        <v/>
      </c>
      <c r="I135" s="36" t="str">
        <f t="shared" si="7"/>
        <v/>
      </c>
      <c r="J135" s="37" t="str">
        <f>IFERROR(__xludf.DUMMYFUNCTION("IFERROR(
  IF(C135="""",, 
    IFERROR(
      GOOGLEFINANCE(C135, ""price"") * GOOGLEFINANCE(C135, ""volumeavg""), 
      GOOGLEFINANCE(C135, ""price"") * AVERAGE(QUERY(GOOGLEFINANCE(C135, ""volume"", TODAY()-40, TODAY()), ""SELECT Col2 WHERE Col2 IS NOT "&amp;"NULL ORDER BY Col1 DESC LIMIT 20"", 0))
    )
  ), 
"""")"),"")</f>
        <v/>
      </c>
      <c r="K135" s="21" t="str">
        <f>IFERROR(__xludf.DUMMYFUNCTION("IFERROR(GOOGLEFINANCE(C135, ""changepct"") / 100, """")"),"")</f>
        <v/>
      </c>
      <c r="L135" s="21" t="str">
        <f>IFERROR(__xludf.DUMMYFUNCTION("IFERROR((GOOGLEFINANCE(C135, ""price"") / INDEX(GOOGLEFINANCE(C135, ""price"", TODAY()-7, TODAY()), 2, 2)) - 1, """")"),"")</f>
        <v/>
      </c>
      <c r="M135" s="21" t="str">
        <f>IFERROR(__xludf.DUMMYFUNCTION("IFERROR((GOOGLEFINANCE(C135, ""price"") / INDEX(GOOGLEFINANCE(C135, ""price"", EDATE(TODAY(), -1), TODAY()), 2, 2)) - 1, """")"),"")</f>
        <v/>
      </c>
      <c r="N135" s="21" t="str">
        <f>IFERROR(__xludf.DUMMYFUNCTION("IFERROR((GOOGLEFINANCE(C135, ""price"") / INDEX(GOOGLEFINANCE(C135, ""price"", EDATE(TODAY(), -3), TODAY()), 2, 2)) - 1, """")"),"")</f>
        <v/>
      </c>
      <c r="O135" s="21" t="str">
        <f>IFERROR(__xludf.DUMMYFUNCTION("IFERROR((GOOGLEFINANCE(C135, ""price"") / INDEX(GOOGLEFINANCE(C135, ""price"", EDATE(TODAY(), -6), TODAY()), 2, 2)) - 1, """")"),"")</f>
        <v/>
      </c>
      <c r="P135" s="21" t="str">
        <f>IFERROR(__xludf.DUMMYFUNCTION("IFERROR((GOOGLEFINANCE(C135, ""price"") / INDEX(GOOGLEFINANCE(C135, ""price"", EDATE(TODAY(), -12), TODAY()), 2, 2)) - 1, """")"),"")</f>
        <v/>
      </c>
      <c r="Q135" s="6" t="str">
        <f>IFERROR(__xludf.DUMMYFUNCTION("AVERAGE(QUERY(GOOGLEFINANCE(C135, ""price"", TODAY()-80, TODAY()), ""SELECT Col2 WHERE Col2 IS NOT NULL ORDER BY Col1 DESC LIMIT 50"", 0))"),"#N/A")</f>
        <v>#N/A</v>
      </c>
      <c r="R135" s="24" t="str">
        <f>IFERROR(__xludf.DUMMYFUNCTION("IFERROR(
  LET(
    data, QUERY(GOOGLEFINANCE(C135,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GOOGLEFINANCE(C135, ""price"")) * 100,
    IF(calc=0, G135, calc)
  ), 
G135)"),"#N/A")</f>
        <v>#N/A</v>
      </c>
      <c r="S135" s="8" t="s">
        <v>15</v>
      </c>
      <c r="T135" s="26" t="str">
        <f>IFERROR(__xludf.DUMMYFUNCTION("IFERROR(TRANSPOSE(QUERY(IFERROR(SORT(GOOGLEFINANCE(C135, ""price"", WORKDAY(TODAY(), -40), TODAY()), 1, FALSE)), ""select Col2 where Col2 is not null limit 22 label Col2 ''"", 0)), """")"),"")</f>
        <v/>
      </c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8"/>
      <c r="AO135" s="28"/>
      <c r="AP135" s="29"/>
      <c r="AQ135" s="29" t="str">
        <f t="shared" ref="AQ135:BL135" si="138">T135/T$2</f>
        <v>#N/A</v>
      </c>
      <c r="AR135" s="29" t="str">
        <f t="shared" si="138"/>
        <v>#DIV/0!</v>
      </c>
      <c r="AS135" s="29" t="str">
        <f t="shared" si="138"/>
        <v>#DIV/0!</v>
      </c>
      <c r="AT135" s="29" t="str">
        <f t="shared" si="138"/>
        <v>#DIV/0!</v>
      </c>
      <c r="AU135" s="29" t="str">
        <f t="shared" si="138"/>
        <v>#DIV/0!</v>
      </c>
      <c r="AV135" s="29" t="str">
        <f t="shared" si="138"/>
        <v>#DIV/0!</v>
      </c>
      <c r="AW135" s="29" t="str">
        <f t="shared" si="138"/>
        <v>#DIV/0!</v>
      </c>
      <c r="AX135" s="29" t="str">
        <f t="shared" si="138"/>
        <v>#DIV/0!</v>
      </c>
      <c r="AY135" s="29" t="str">
        <f t="shared" si="138"/>
        <v>#DIV/0!</v>
      </c>
      <c r="AZ135" s="29" t="str">
        <f t="shared" si="138"/>
        <v>#DIV/0!</v>
      </c>
      <c r="BA135" s="29" t="str">
        <f t="shared" si="138"/>
        <v>#DIV/0!</v>
      </c>
      <c r="BB135" s="29" t="str">
        <f t="shared" si="138"/>
        <v>#DIV/0!</v>
      </c>
      <c r="BC135" s="29" t="str">
        <f t="shared" si="138"/>
        <v>#DIV/0!</v>
      </c>
      <c r="BD135" s="29" t="str">
        <f t="shared" si="138"/>
        <v>#DIV/0!</v>
      </c>
      <c r="BE135" s="29" t="str">
        <f t="shared" si="138"/>
        <v>#DIV/0!</v>
      </c>
      <c r="BF135" s="29" t="str">
        <f t="shared" si="138"/>
        <v>#DIV/0!</v>
      </c>
      <c r="BG135" s="29" t="str">
        <f t="shared" si="138"/>
        <v>#DIV/0!</v>
      </c>
      <c r="BH135" s="29" t="str">
        <f t="shared" si="138"/>
        <v>#DIV/0!</v>
      </c>
      <c r="BI135" s="29" t="str">
        <f t="shared" si="138"/>
        <v>#DIV/0!</v>
      </c>
      <c r="BJ135" s="29" t="str">
        <f t="shared" si="138"/>
        <v>#DIV/0!</v>
      </c>
      <c r="BK135" s="29" t="str">
        <f t="shared" si="138"/>
        <v>#DIV/0!</v>
      </c>
      <c r="BL135" s="29" t="str">
        <f t="shared" si="138"/>
        <v>#DIV/0!</v>
      </c>
      <c r="BM135" s="29" t="str">
        <f t="shared" si="3"/>
        <v>#DIV/0!</v>
      </c>
    </row>
    <row r="136">
      <c r="A136" s="16" t="str">
        <f>IFERROR(__xludf.DUMMYFUNCTION("IFERROR(SPARKLINE(SORT(MAP(TRANSPOSE(AQ136:BL136), LAMBDA(val, IF(ISNUMBER(val), PERCENTRANK(AQ136:BL136, val)+0.01, 0))), SEQUENCE(COLUMNS(AQ136:BL136)), FALSE), {""charttype"",""column""; ""color"",""chartreuse""; ""ymin"", 0; ""ymax"", 1.01; ""highcolo"&amp;"r"", ""darkgreen""; ""lowcolor"", ""red""}), """")"),"")</f>
        <v/>
      </c>
      <c r="B136" s="17" t="str">
        <f t="shared" si="4"/>
        <v/>
      </c>
      <c r="C136" s="1" t="s">
        <v>618</v>
      </c>
      <c r="D136" s="30" t="str">
        <f>IFERROR(__xludf.DUMMYFUNCTION("IFERROR(GOOGLEFINANCE(C136, ""NAME""))"),"HP Inc")</f>
        <v>HP Inc</v>
      </c>
      <c r="E136" s="30" t="s">
        <v>477</v>
      </c>
      <c r="F136" s="33" t="str">
        <f>IFERROR(__xludf.DUMMYFUNCTION("( (GOOGLEFINANCE(C136, ""price"") - Q136) / Q136 ) / (R136 / 100)"),"Loading...")</f>
        <v>Loading...</v>
      </c>
      <c r="G136" s="20" t="str">
        <f>IFERROR(__xludf.DUMMYFUNCTION("AVERAGE(ARRAYFORMULA(100 * (QUERY(GOOGLEFINANCE(C136, ""high"", TODAY()-40, TODAY()), ""SELECT Col2 WHERE Col2 IS NOT NULL ORDER BY Col1 DESC LIMIT 20"", 0) / QUERY(GOOGLEFINANCE(C136, ""low"", TODAY()-40, TODAY()), ""SELECT Col2 WHERE Col2 IS NOT NULL OR"&amp;"DER BY Col1 DESC LIMIT 20"", 0) - 1)))"),"#N/A")</f>
        <v>#N/A</v>
      </c>
      <c r="H136" s="35" t="str">
        <f t="shared" si="6"/>
        <v/>
      </c>
      <c r="I136" s="36" t="str">
        <f t="shared" si="7"/>
        <v/>
      </c>
      <c r="J136" s="37" t="str">
        <f>IFERROR(__xludf.DUMMYFUNCTION("IFERROR(
  IF(C136="""",, 
    IFERROR(
      GOOGLEFINANCE(C136, ""price"") * GOOGLEFINANCE(C136, ""volumeavg""), 
      GOOGLEFINANCE(C136, ""price"") * AVERAGE(QUERY(GOOGLEFINANCE(C136, ""volume"", TODAY()-40, TODAY()), ""SELECT Col2 WHERE Col2 IS NOT "&amp;"NULL ORDER BY Col1 DESC LIMIT 20"", 0))
    )
  ), 
"""")"),"")</f>
        <v/>
      </c>
      <c r="K136" s="21" t="str">
        <f>IFERROR(__xludf.DUMMYFUNCTION("IFERROR(GOOGLEFINANCE(C136, ""changepct"") / 100, """")"),"")</f>
        <v/>
      </c>
      <c r="L136" s="21" t="str">
        <f>IFERROR(__xludf.DUMMYFUNCTION("IFERROR((GOOGLEFINANCE(C136, ""price"") / INDEX(GOOGLEFINANCE(C136, ""price"", TODAY()-7, TODAY()), 2, 2)) - 1, """")"),"")</f>
        <v/>
      </c>
      <c r="M136" s="21" t="str">
        <f>IFERROR(__xludf.DUMMYFUNCTION("IFERROR((GOOGLEFINANCE(C136, ""price"") / INDEX(GOOGLEFINANCE(C136, ""price"", EDATE(TODAY(), -1), TODAY()), 2, 2)) - 1, """")"),"")</f>
        <v/>
      </c>
      <c r="N136" s="21" t="str">
        <f>IFERROR(__xludf.DUMMYFUNCTION("IFERROR((GOOGLEFINANCE(C136, ""price"") / INDEX(GOOGLEFINANCE(C136, ""price"", EDATE(TODAY(), -3), TODAY()), 2, 2)) - 1, """")"),"")</f>
        <v/>
      </c>
      <c r="O136" s="21" t="str">
        <f>IFERROR(__xludf.DUMMYFUNCTION("IFERROR((GOOGLEFINANCE(C136, ""price"") / INDEX(GOOGLEFINANCE(C136, ""price"", EDATE(TODAY(), -6), TODAY()), 2, 2)) - 1, """")"),"")</f>
        <v/>
      </c>
      <c r="P136" s="21" t="str">
        <f>IFERROR(__xludf.DUMMYFUNCTION("IFERROR((GOOGLEFINANCE(C136, ""price"") / INDEX(GOOGLEFINANCE(C136, ""price"", EDATE(TODAY(), -12), TODAY()), 2, 2)) - 1, """")"),"")</f>
        <v/>
      </c>
      <c r="Q136" s="6" t="str">
        <f>IFERROR(__xludf.DUMMYFUNCTION("AVERAGE(QUERY(GOOGLEFINANCE(C136, ""price"", TODAY()-80, TODAY()), ""SELECT Col2 WHERE Col2 IS NOT NULL ORDER BY Col1 DESC LIMIT 50"", 0))"),"#N/A")</f>
        <v>#N/A</v>
      </c>
      <c r="R136" s="24" t="str">
        <f>IFERROR(__xludf.DUMMYFUNCTION("IFERROR(
  LET(
    data, QUERY(GOOGLEFINANCE(C136,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GOOGLEFINANCE(C136, ""price"")) * 100,
    IF(calc=0, G136, calc)
  ), 
G136)"),"#N/A")</f>
        <v>#N/A</v>
      </c>
      <c r="S136" s="8" t="s">
        <v>15</v>
      </c>
      <c r="T136" s="26" t="str">
        <f>IFERROR(__xludf.DUMMYFUNCTION("IFERROR(TRANSPOSE(QUERY(IFERROR(SORT(GOOGLEFINANCE(C136, ""price"", WORKDAY(TODAY(), -40), TODAY()), 1, FALSE)), ""select Col2 where Col2 is not null limit 22 label Col2 ''"", 0)), """")"),"")</f>
        <v/>
      </c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8"/>
      <c r="AO136" s="28"/>
      <c r="AP136" s="29"/>
      <c r="AQ136" s="29" t="str">
        <f t="shared" ref="AQ136:BL136" si="139">T136/T$2</f>
        <v>#N/A</v>
      </c>
      <c r="AR136" s="29" t="str">
        <f t="shared" si="139"/>
        <v>#DIV/0!</v>
      </c>
      <c r="AS136" s="29" t="str">
        <f t="shared" si="139"/>
        <v>#DIV/0!</v>
      </c>
      <c r="AT136" s="29" t="str">
        <f t="shared" si="139"/>
        <v>#DIV/0!</v>
      </c>
      <c r="AU136" s="29" t="str">
        <f t="shared" si="139"/>
        <v>#DIV/0!</v>
      </c>
      <c r="AV136" s="29" t="str">
        <f t="shared" si="139"/>
        <v>#DIV/0!</v>
      </c>
      <c r="AW136" s="29" t="str">
        <f t="shared" si="139"/>
        <v>#DIV/0!</v>
      </c>
      <c r="AX136" s="29" t="str">
        <f t="shared" si="139"/>
        <v>#DIV/0!</v>
      </c>
      <c r="AY136" s="29" t="str">
        <f t="shared" si="139"/>
        <v>#DIV/0!</v>
      </c>
      <c r="AZ136" s="29" t="str">
        <f t="shared" si="139"/>
        <v>#DIV/0!</v>
      </c>
      <c r="BA136" s="29" t="str">
        <f t="shared" si="139"/>
        <v>#DIV/0!</v>
      </c>
      <c r="BB136" s="29" t="str">
        <f t="shared" si="139"/>
        <v>#DIV/0!</v>
      </c>
      <c r="BC136" s="29" t="str">
        <f t="shared" si="139"/>
        <v>#DIV/0!</v>
      </c>
      <c r="BD136" s="29" t="str">
        <f t="shared" si="139"/>
        <v>#DIV/0!</v>
      </c>
      <c r="BE136" s="29" t="str">
        <f t="shared" si="139"/>
        <v>#DIV/0!</v>
      </c>
      <c r="BF136" s="29" t="str">
        <f t="shared" si="139"/>
        <v>#DIV/0!</v>
      </c>
      <c r="BG136" s="29" t="str">
        <f t="shared" si="139"/>
        <v>#DIV/0!</v>
      </c>
      <c r="BH136" s="29" t="str">
        <f t="shared" si="139"/>
        <v>#DIV/0!</v>
      </c>
      <c r="BI136" s="29" t="str">
        <f t="shared" si="139"/>
        <v>#DIV/0!</v>
      </c>
      <c r="BJ136" s="29" t="str">
        <f t="shared" si="139"/>
        <v>#DIV/0!</v>
      </c>
      <c r="BK136" s="29" t="str">
        <f t="shared" si="139"/>
        <v>#DIV/0!</v>
      </c>
      <c r="BL136" s="29" t="str">
        <f t="shared" si="139"/>
        <v>#DIV/0!</v>
      </c>
      <c r="BM136" s="29" t="str">
        <f t="shared" si="3"/>
        <v>#DIV/0!</v>
      </c>
    </row>
    <row r="137">
      <c r="A137" s="16" t="str">
        <f>IFERROR(__xludf.DUMMYFUNCTION("IFERROR(SPARKLINE(SORT(MAP(TRANSPOSE(AQ137:BL137), LAMBDA(val, IF(ISNUMBER(val), PERCENTRANK(AQ137:BL137, val)+0.01, 0))), SEQUENCE(COLUMNS(AQ137:BL137)), FALSE), {""charttype"",""column""; ""color"",""chartreuse""; ""ymin"", 0; ""ymax"", 1.01; ""highcolo"&amp;"r"", ""darkgreen""; ""lowcolor"", ""red""}), """")"),"")</f>
        <v/>
      </c>
      <c r="B137" s="17" t="str">
        <f t="shared" si="4"/>
        <v/>
      </c>
      <c r="C137" s="1" t="s">
        <v>622</v>
      </c>
      <c r="D137" s="30" t="str">
        <f>IFERROR(__xludf.DUMMYFUNCTION("IFERROR(GOOGLEFINANCE(C137, ""NAME""))"),"StoneCo Ltd")</f>
        <v>StoneCo Ltd</v>
      </c>
      <c r="E137" s="30" t="s">
        <v>58</v>
      </c>
      <c r="F137" s="33" t="str">
        <f>IFERROR(__xludf.DUMMYFUNCTION("( (GOOGLEFINANCE(C137, ""price"") - Q137) / Q137 ) / (R137 / 100)"),"Loading...")</f>
        <v>Loading...</v>
      </c>
      <c r="G137" s="20" t="str">
        <f>IFERROR(__xludf.DUMMYFUNCTION("AVERAGE(ARRAYFORMULA(100 * (QUERY(GOOGLEFINANCE(C137, ""high"", TODAY()-40, TODAY()), ""SELECT Col2 WHERE Col2 IS NOT NULL ORDER BY Col1 DESC LIMIT 20"", 0) / QUERY(GOOGLEFINANCE(C137, ""low"", TODAY()-40, TODAY()), ""SELECT Col2 WHERE Col2 IS NOT NULL OR"&amp;"DER BY Col1 DESC LIMIT 20"", 0) - 1)))"),"#N/A")</f>
        <v>#N/A</v>
      </c>
      <c r="H137" s="35" t="str">
        <f t="shared" si="6"/>
        <v/>
      </c>
      <c r="I137" s="36" t="str">
        <f t="shared" si="7"/>
        <v/>
      </c>
      <c r="J137" s="37" t="str">
        <f>IFERROR(__xludf.DUMMYFUNCTION("IFERROR(
  IF(C137="""",, 
    IFERROR(
      GOOGLEFINANCE(C137, ""price"") * GOOGLEFINANCE(C137, ""volumeavg""), 
      GOOGLEFINANCE(C137, ""price"") * AVERAGE(QUERY(GOOGLEFINANCE(C137, ""volume"", TODAY()-40, TODAY()), ""SELECT Col2 WHERE Col2 IS NOT "&amp;"NULL ORDER BY Col1 DESC LIMIT 20"", 0))
    )
  ), 
"""")"),"")</f>
        <v/>
      </c>
      <c r="K137" s="21" t="str">
        <f>IFERROR(__xludf.DUMMYFUNCTION("IFERROR(GOOGLEFINANCE(C137, ""changepct"") / 100, """")"),"")</f>
        <v/>
      </c>
      <c r="L137" s="21" t="str">
        <f>IFERROR(__xludf.DUMMYFUNCTION("IFERROR((GOOGLEFINANCE(C137, ""price"") / INDEX(GOOGLEFINANCE(C137, ""price"", TODAY()-7, TODAY()), 2, 2)) - 1, """")"),"")</f>
        <v/>
      </c>
      <c r="M137" s="21" t="str">
        <f>IFERROR(__xludf.DUMMYFUNCTION("IFERROR((GOOGLEFINANCE(C137, ""price"") / INDEX(GOOGLEFINANCE(C137, ""price"", EDATE(TODAY(), -1), TODAY()), 2, 2)) - 1, """")"),"")</f>
        <v/>
      </c>
      <c r="N137" s="21" t="str">
        <f>IFERROR(__xludf.DUMMYFUNCTION("IFERROR((GOOGLEFINANCE(C137, ""price"") / INDEX(GOOGLEFINANCE(C137, ""price"", EDATE(TODAY(), -3), TODAY()), 2, 2)) - 1, """")"),"")</f>
        <v/>
      </c>
      <c r="O137" s="21" t="str">
        <f>IFERROR(__xludf.DUMMYFUNCTION("IFERROR((GOOGLEFINANCE(C137, ""price"") / INDEX(GOOGLEFINANCE(C137, ""price"", EDATE(TODAY(), -6), TODAY()), 2, 2)) - 1, """")"),"")</f>
        <v/>
      </c>
      <c r="P137" s="21" t="str">
        <f>IFERROR(__xludf.DUMMYFUNCTION("IFERROR((GOOGLEFINANCE(C137, ""price"") / INDEX(GOOGLEFINANCE(C137, ""price"", EDATE(TODAY(), -12), TODAY()), 2, 2)) - 1, """")"),"")</f>
        <v/>
      </c>
      <c r="Q137" s="6" t="str">
        <f>IFERROR(__xludf.DUMMYFUNCTION("AVERAGE(QUERY(GOOGLEFINANCE(C137, ""price"", TODAY()-80, TODAY()), ""SELECT Col2 WHERE Col2 IS NOT NULL ORDER BY Col1 DESC LIMIT 50"", 0))"),"#N/A")</f>
        <v>#N/A</v>
      </c>
      <c r="R137" s="24" t="str">
        <f>IFERROR(__xludf.DUMMYFUNCTION("IFERROR(
  LET(
    data, QUERY(GOOGLEFINANCE(C137,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GOOGLEFINANCE(C137, ""price"")) * 100,
    IF(calc=0, G137, calc)
  ), 
G137)"),"#N/A")</f>
        <v>#N/A</v>
      </c>
      <c r="S137" s="8" t="s">
        <v>15</v>
      </c>
      <c r="T137" s="26" t="str">
        <f>IFERROR(__xludf.DUMMYFUNCTION("IFERROR(TRANSPOSE(QUERY(IFERROR(SORT(GOOGLEFINANCE(C137, ""price"", WORKDAY(TODAY(), -40), TODAY()), 1, FALSE)), ""select Col2 where Col2 is not null limit 22 label Col2 ''"", 0)), """")"),"")</f>
        <v/>
      </c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8"/>
      <c r="AO137" s="28"/>
      <c r="AP137" s="29"/>
      <c r="AQ137" s="29" t="str">
        <f t="shared" ref="AQ137:BL137" si="140">T137/T$2</f>
        <v>#N/A</v>
      </c>
      <c r="AR137" s="29" t="str">
        <f t="shared" si="140"/>
        <v>#DIV/0!</v>
      </c>
      <c r="AS137" s="29" t="str">
        <f t="shared" si="140"/>
        <v>#DIV/0!</v>
      </c>
      <c r="AT137" s="29" t="str">
        <f t="shared" si="140"/>
        <v>#DIV/0!</v>
      </c>
      <c r="AU137" s="29" t="str">
        <f t="shared" si="140"/>
        <v>#DIV/0!</v>
      </c>
      <c r="AV137" s="29" t="str">
        <f t="shared" si="140"/>
        <v>#DIV/0!</v>
      </c>
      <c r="AW137" s="29" t="str">
        <f t="shared" si="140"/>
        <v>#DIV/0!</v>
      </c>
      <c r="AX137" s="29" t="str">
        <f t="shared" si="140"/>
        <v>#DIV/0!</v>
      </c>
      <c r="AY137" s="29" t="str">
        <f t="shared" si="140"/>
        <v>#DIV/0!</v>
      </c>
      <c r="AZ137" s="29" t="str">
        <f t="shared" si="140"/>
        <v>#DIV/0!</v>
      </c>
      <c r="BA137" s="29" t="str">
        <f t="shared" si="140"/>
        <v>#DIV/0!</v>
      </c>
      <c r="BB137" s="29" t="str">
        <f t="shared" si="140"/>
        <v>#DIV/0!</v>
      </c>
      <c r="BC137" s="29" t="str">
        <f t="shared" si="140"/>
        <v>#DIV/0!</v>
      </c>
      <c r="BD137" s="29" t="str">
        <f t="shared" si="140"/>
        <v>#DIV/0!</v>
      </c>
      <c r="BE137" s="29" t="str">
        <f t="shared" si="140"/>
        <v>#DIV/0!</v>
      </c>
      <c r="BF137" s="29" t="str">
        <f t="shared" si="140"/>
        <v>#DIV/0!</v>
      </c>
      <c r="BG137" s="29" t="str">
        <f t="shared" si="140"/>
        <v>#DIV/0!</v>
      </c>
      <c r="BH137" s="29" t="str">
        <f t="shared" si="140"/>
        <v>#DIV/0!</v>
      </c>
      <c r="BI137" s="29" t="str">
        <f t="shared" si="140"/>
        <v>#DIV/0!</v>
      </c>
      <c r="BJ137" s="29" t="str">
        <f t="shared" si="140"/>
        <v>#DIV/0!</v>
      </c>
      <c r="BK137" s="29" t="str">
        <f t="shared" si="140"/>
        <v>#DIV/0!</v>
      </c>
      <c r="BL137" s="29" t="str">
        <f t="shared" si="140"/>
        <v>#DIV/0!</v>
      </c>
      <c r="BM137" s="29" t="str">
        <f t="shared" si="3"/>
        <v>#DIV/0!</v>
      </c>
    </row>
    <row r="138">
      <c r="A138" s="16" t="str">
        <f>IFERROR(__xludf.DUMMYFUNCTION("IFERROR(SPARKLINE(SORT(MAP(TRANSPOSE(AQ138:BL138), LAMBDA(val, IF(ISNUMBER(val), PERCENTRANK(AQ138:BL138, val)+0.01, 0))), SEQUENCE(COLUMNS(AQ138:BL138)), FALSE), {""charttype"",""column""; ""color"",""chartreuse""; ""ymin"", 0; ""ymax"", 1.01; ""highcolo"&amp;"r"", ""darkgreen""; ""lowcolor"", ""red""}), """")"),"")</f>
        <v/>
      </c>
      <c r="B138" s="17" t="str">
        <f t="shared" si="4"/>
        <v/>
      </c>
      <c r="C138" s="1" t="s">
        <v>626</v>
      </c>
      <c r="D138" s="30" t="str">
        <f>IFERROR(__xludf.DUMMYFUNCTION("IFERROR(GOOGLEFINANCE(C138, ""NAME""))"),"Dynatrace, Inc")</f>
        <v>Dynatrace, Inc</v>
      </c>
      <c r="E138" s="30" t="s">
        <v>48</v>
      </c>
      <c r="F138" s="33" t="str">
        <f>IFERROR(__xludf.DUMMYFUNCTION("( (GOOGLEFINANCE(C138, ""price"") - Q138) / Q138 ) / (R138 / 100)"),"Loading...")</f>
        <v>Loading...</v>
      </c>
      <c r="G138" s="20" t="str">
        <f>IFERROR(__xludf.DUMMYFUNCTION("AVERAGE(ARRAYFORMULA(100 * (QUERY(GOOGLEFINANCE(C138, ""high"", TODAY()-40, TODAY()), ""SELECT Col2 WHERE Col2 IS NOT NULL ORDER BY Col1 DESC LIMIT 20"", 0) / QUERY(GOOGLEFINANCE(C138, ""low"", TODAY()-40, TODAY()), ""SELECT Col2 WHERE Col2 IS NOT NULL OR"&amp;"DER BY Col1 DESC LIMIT 20"", 0) - 1)))"),"#N/A")</f>
        <v>#N/A</v>
      </c>
      <c r="H138" s="35" t="str">
        <f t="shared" si="6"/>
        <v/>
      </c>
      <c r="I138" s="36" t="str">
        <f t="shared" si="7"/>
        <v/>
      </c>
      <c r="J138" s="37" t="str">
        <f>IFERROR(__xludf.DUMMYFUNCTION("IFERROR(
  IF(C138="""",, 
    IFERROR(
      GOOGLEFINANCE(C138, ""price"") * GOOGLEFINANCE(C138, ""volumeavg""), 
      GOOGLEFINANCE(C138, ""price"") * AVERAGE(QUERY(GOOGLEFINANCE(C138, ""volume"", TODAY()-40, TODAY()), ""SELECT Col2 WHERE Col2 IS NOT "&amp;"NULL ORDER BY Col1 DESC LIMIT 20"", 0))
    )
  ), 
"""")"),"")</f>
        <v/>
      </c>
      <c r="K138" s="21" t="str">
        <f>IFERROR(__xludf.DUMMYFUNCTION("IFERROR(GOOGLEFINANCE(C138, ""changepct"") / 100, """")"),"")</f>
        <v/>
      </c>
      <c r="L138" s="21" t="str">
        <f>IFERROR(__xludf.DUMMYFUNCTION("IFERROR((GOOGLEFINANCE(C138, ""price"") / INDEX(GOOGLEFINANCE(C138, ""price"", TODAY()-7, TODAY()), 2, 2)) - 1, """")"),"")</f>
        <v/>
      </c>
      <c r="M138" s="21" t="str">
        <f>IFERROR(__xludf.DUMMYFUNCTION("IFERROR((GOOGLEFINANCE(C138, ""price"") / INDEX(GOOGLEFINANCE(C138, ""price"", EDATE(TODAY(), -1), TODAY()), 2, 2)) - 1, """")"),"")</f>
        <v/>
      </c>
      <c r="N138" s="21" t="str">
        <f>IFERROR(__xludf.DUMMYFUNCTION("IFERROR((GOOGLEFINANCE(C138, ""price"") / INDEX(GOOGLEFINANCE(C138, ""price"", EDATE(TODAY(), -3), TODAY()), 2, 2)) - 1, """")"),"")</f>
        <v/>
      </c>
      <c r="O138" s="21" t="str">
        <f>IFERROR(__xludf.DUMMYFUNCTION("IFERROR((GOOGLEFINANCE(C138, ""price"") / INDEX(GOOGLEFINANCE(C138, ""price"", EDATE(TODAY(), -6), TODAY()), 2, 2)) - 1, """")"),"")</f>
        <v/>
      </c>
      <c r="P138" s="21" t="str">
        <f>IFERROR(__xludf.DUMMYFUNCTION("IFERROR((GOOGLEFINANCE(C138, ""price"") / INDEX(GOOGLEFINANCE(C138, ""price"", EDATE(TODAY(), -12), TODAY()), 2, 2)) - 1, """")"),"")</f>
        <v/>
      </c>
      <c r="Q138" s="6" t="str">
        <f>IFERROR(__xludf.DUMMYFUNCTION("AVERAGE(QUERY(GOOGLEFINANCE(C138, ""price"", TODAY()-80, TODAY()), ""SELECT Col2 WHERE Col2 IS NOT NULL ORDER BY Col1 DESC LIMIT 50"", 0))"),"#N/A")</f>
        <v>#N/A</v>
      </c>
      <c r="R138" s="24" t="str">
        <f>IFERROR(__xludf.DUMMYFUNCTION("IFERROR(
  LET(
    data, QUERY(GOOGLEFINANCE(C138,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GOOGLEFINANCE(C138, ""price"")) * 100,
    IF(calc=0, G138, calc)
  ), 
G138)"),"#N/A")</f>
        <v>#N/A</v>
      </c>
      <c r="S138" s="8" t="s">
        <v>15</v>
      </c>
      <c r="T138" s="26" t="str">
        <f>IFERROR(__xludf.DUMMYFUNCTION("IFERROR(TRANSPOSE(QUERY(IFERROR(SORT(GOOGLEFINANCE(C138, ""price"", WORKDAY(TODAY(), -40), TODAY()), 1, FALSE)), ""select Col2 where Col2 is not null limit 22 label Col2 ''"", 0)), """")"),"")</f>
        <v/>
      </c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8"/>
      <c r="AO138" s="28"/>
      <c r="AP138" s="29"/>
      <c r="AQ138" s="29" t="str">
        <f t="shared" ref="AQ138:BL138" si="141">T138/T$2</f>
        <v>#N/A</v>
      </c>
      <c r="AR138" s="29" t="str">
        <f t="shared" si="141"/>
        <v>#DIV/0!</v>
      </c>
      <c r="AS138" s="29" t="str">
        <f t="shared" si="141"/>
        <v>#DIV/0!</v>
      </c>
      <c r="AT138" s="29" t="str">
        <f t="shared" si="141"/>
        <v>#DIV/0!</v>
      </c>
      <c r="AU138" s="29" t="str">
        <f t="shared" si="141"/>
        <v>#DIV/0!</v>
      </c>
      <c r="AV138" s="29" t="str">
        <f t="shared" si="141"/>
        <v>#DIV/0!</v>
      </c>
      <c r="AW138" s="29" t="str">
        <f t="shared" si="141"/>
        <v>#DIV/0!</v>
      </c>
      <c r="AX138" s="29" t="str">
        <f t="shared" si="141"/>
        <v>#DIV/0!</v>
      </c>
      <c r="AY138" s="29" t="str">
        <f t="shared" si="141"/>
        <v>#DIV/0!</v>
      </c>
      <c r="AZ138" s="29" t="str">
        <f t="shared" si="141"/>
        <v>#DIV/0!</v>
      </c>
      <c r="BA138" s="29" t="str">
        <f t="shared" si="141"/>
        <v>#DIV/0!</v>
      </c>
      <c r="BB138" s="29" t="str">
        <f t="shared" si="141"/>
        <v>#DIV/0!</v>
      </c>
      <c r="BC138" s="29" t="str">
        <f t="shared" si="141"/>
        <v>#DIV/0!</v>
      </c>
      <c r="BD138" s="29" t="str">
        <f t="shared" si="141"/>
        <v>#DIV/0!</v>
      </c>
      <c r="BE138" s="29" t="str">
        <f t="shared" si="141"/>
        <v>#DIV/0!</v>
      </c>
      <c r="BF138" s="29" t="str">
        <f t="shared" si="141"/>
        <v>#DIV/0!</v>
      </c>
      <c r="BG138" s="29" t="str">
        <f t="shared" si="141"/>
        <v>#DIV/0!</v>
      </c>
      <c r="BH138" s="29" t="str">
        <f t="shared" si="141"/>
        <v>#DIV/0!</v>
      </c>
      <c r="BI138" s="29" t="str">
        <f t="shared" si="141"/>
        <v>#DIV/0!</v>
      </c>
      <c r="BJ138" s="29" t="str">
        <f t="shared" si="141"/>
        <v>#DIV/0!</v>
      </c>
      <c r="BK138" s="29" t="str">
        <f t="shared" si="141"/>
        <v>#DIV/0!</v>
      </c>
      <c r="BL138" s="29" t="str">
        <f t="shared" si="141"/>
        <v>#DIV/0!</v>
      </c>
      <c r="BM138" s="29" t="str">
        <f t="shared" si="3"/>
        <v>#DIV/0!</v>
      </c>
    </row>
    <row r="139">
      <c r="A139" s="16" t="str">
        <f>IFERROR(__xludf.DUMMYFUNCTION("IFERROR(SPARKLINE(SORT(MAP(TRANSPOSE(AQ139:BL139), LAMBDA(val, IF(ISNUMBER(val), PERCENTRANK(AQ139:BL139, val)+0.01, 0))), SEQUENCE(COLUMNS(AQ139:BL139)), FALSE), {""charttype"",""column""; ""color"",""chartreuse""; ""ymin"", 0; ""ymax"", 1.01; ""highcolo"&amp;"r"", ""darkgreen""; ""lowcolor"", ""red""}), """")"),"")</f>
        <v/>
      </c>
      <c r="B139" s="17" t="str">
        <f t="shared" si="4"/>
        <v/>
      </c>
      <c r="C139" s="1" t="s">
        <v>630</v>
      </c>
      <c r="D139" s="30" t="str">
        <f>IFERROR(__xludf.DUMMYFUNCTION("IFERROR(GOOGLEFINANCE(C139, ""NAME""))"),"Alarm.com Holdings Inc")</f>
        <v>Alarm.com Holdings Inc</v>
      </c>
      <c r="E139" s="30" t="s">
        <v>48</v>
      </c>
      <c r="F139" s="33" t="str">
        <f>IFERROR(__xludf.DUMMYFUNCTION("( (GOOGLEFINANCE(C139, ""price"") - Q139) / Q139 ) / (R139 / 100)"),"Loading...")</f>
        <v>Loading...</v>
      </c>
      <c r="G139" s="20" t="str">
        <f>IFERROR(__xludf.DUMMYFUNCTION("AVERAGE(ARRAYFORMULA(100 * (QUERY(GOOGLEFINANCE(C139, ""high"", TODAY()-40, TODAY()), ""SELECT Col2 WHERE Col2 IS NOT NULL ORDER BY Col1 DESC LIMIT 20"", 0) / QUERY(GOOGLEFINANCE(C139, ""low"", TODAY()-40, TODAY()), ""SELECT Col2 WHERE Col2 IS NOT NULL OR"&amp;"DER BY Col1 DESC LIMIT 20"", 0) - 1)))"),"#N/A")</f>
        <v>#N/A</v>
      </c>
      <c r="H139" s="35" t="str">
        <f t="shared" si="6"/>
        <v/>
      </c>
      <c r="I139" s="36" t="str">
        <f t="shared" si="7"/>
        <v/>
      </c>
      <c r="J139" s="37" t="str">
        <f>IFERROR(__xludf.DUMMYFUNCTION("IFERROR(
  IF(C139="""",, 
    IFERROR(
      GOOGLEFINANCE(C139, ""price"") * GOOGLEFINANCE(C139, ""volumeavg""), 
      GOOGLEFINANCE(C139, ""price"") * AVERAGE(QUERY(GOOGLEFINANCE(C139, ""volume"", TODAY()-40, TODAY()), ""SELECT Col2 WHERE Col2 IS NOT "&amp;"NULL ORDER BY Col1 DESC LIMIT 20"", 0))
    )
  ), 
"""")"),"")</f>
        <v/>
      </c>
      <c r="K139" s="21" t="str">
        <f>IFERROR(__xludf.DUMMYFUNCTION("IFERROR(GOOGLEFINANCE(C139, ""changepct"") / 100, """")"),"")</f>
        <v/>
      </c>
      <c r="L139" s="21" t="str">
        <f>IFERROR(__xludf.DUMMYFUNCTION("IFERROR((GOOGLEFINANCE(C139, ""price"") / INDEX(GOOGLEFINANCE(C139, ""price"", TODAY()-7, TODAY()), 2, 2)) - 1, """")"),"")</f>
        <v/>
      </c>
      <c r="M139" s="21" t="str">
        <f>IFERROR(__xludf.DUMMYFUNCTION("IFERROR((GOOGLEFINANCE(C139, ""price"") / INDEX(GOOGLEFINANCE(C139, ""price"", EDATE(TODAY(), -1), TODAY()), 2, 2)) - 1, """")"),"")</f>
        <v/>
      </c>
      <c r="N139" s="21" t="str">
        <f>IFERROR(__xludf.DUMMYFUNCTION("IFERROR((GOOGLEFINANCE(C139, ""price"") / INDEX(GOOGLEFINANCE(C139, ""price"", EDATE(TODAY(), -3), TODAY()), 2, 2)) - 1, """")"),"")</f>
        <v/>
      </c>
      <c r="O139" s="21" t="str">
        <f>IFERROR(__xludf.DUMMYFUNCTION("IFERROR((GOOGLEFINANCE(C139, ""price"") / INDEX(GOOGLEFINANCE(C139, ""price"", EDATE(TODAY(), -6), TODAY()), 2, 2)) - 1, """")"),"")</f>
        <v/>
      </c>
      <c r="P139" s="21" t="str">
        <f>IFERROR(__xludf.DUMMYFUNCTION("IFERROR((GOOGLEFINANCE(C139, ""price"") / INDEX(GOOGLEFINANCE(C139, ""price"", EDATE(TODAY(), -12), TODAY()), 2, 2)) - 1, """")"),"")</f>
        <v/>
      </c>
      <c r="Q139" s="6" t="str">
        <f>IFERROR(__xludf.DUMMYFUNCTION("AVERAGE(QUERY(GOOGLEFINANCE(C139, ""price"", TODAY()-80, TODAY()), ""SELECT Col2 WHERE Col2 IS NOT NULL ORDER BY Col1 DESC LIMIT 50"", 0))"),"#N/A")</f>
        <v>#N/A</v>
      </c>
      <c r="R139" s="24" t="str">
        <f>IFERROR(__xludf.DUMMYFUNCTION("IFERROR(
  LET(
    data, QUERY(GOOGLEFINANCE(C139,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GOOGLEFINANCE(C139, ""price"")) * 100,
    IF(calc=0, G139, calc)
  ), 
G139)"),"#N/A")</f>
        <v>#N/A</v>
      </c>
      <c r="S139" s="8" t="s">
        <v>15</v>
      </c>
      <c r="T139" s="26" t="str">
        <f>IFERROR(__xludf.DUMMYFUNCTION("IFERROR(TRANSPOSE(QUERY(IFERROR(SORT(GOOGLEFINANCE(C139, ""price"", WORKDAY(TODAY(), -40), TODAY()), 1, FALSE)), ""select Col2 where Col2 is not null limit 22 label Col2 ''"", 0)), """")"),"")</f>
        <v/>
      </c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8"/>
      <c r="AO139" s="28"/>
      <c r="AP139" s="29"/>
      <c r="AQ139" s="29" t="str">
        <f t="shared" ref="AQ139:BL139" si="142">T139/T$2</f>
        <v>#N/A</v>
      </c>
      <c r="AR139" s="29" t="str">
        <f t="shared" si="142"/>
        <v>#DIV/0!</v>
      </c>
      <c r="AS139" s="29" t="str">
        <f t="shared" si="142"/>
        <v>#DIV/0!</v>
      </c>
      <c r="AT139" s="29" t="str">
        <f t="shared" si="142"/>
        <v>#DIV/0!</v>
      </c>
      <c r="AU139" s="29" t="str">
        <f t="shared" si="142"/>
        <v>#DIV/0!</v>
      </c>
      <c r="AV139" s="29" t="str">
        <f t="shared" si="142"/>
        <v>#DIV/0!</v>
      </c>
      <c r="AW139" s="29" t="str">
        <f t="shared" si="142"/>
        <v>#DIV/0!</v>
      </c>
      <c r="AX139" s="29" t="str">
        <f t="shared" si="142"/>
        <v>#DIV/0!</v>
      </c>
      <c r="AY139" s="29" t="str">
        <f t="shared" si="142"/>
        <v>#DIV/0!</v>
      </c>
      <c r="AZ139" s="29" t="str">
        <f t="shared" si="142"/>
        <v>#DIV/0!</v>
      </c>
      <c r="BA139" s="29" t="str">
        <f t="shared" si="142"/>
        <v>#DIV/0!</v>
      </c>
      <c r="BB139" s="29" t="str">
        <f t="shared" si="142"/>
        <v>#DIV/0!</v>
      </c>
      <c r="BC139" s="29" t="str">
        <f t="shared" si="142"/>
        <v>#DIV/0!</v>
      </c>
      <c r="BD139" s="29" t="str">
        <f t="shared" si="142"/>
        <v>#DIV/0!</v>
      </c>
      <c r="BE139" s="29" t="str">
        <f t="shared" si="142"/>
        <v>#DIV/0!</v>
      </c>
      <c r="BF139" s="29" t="str">
        <f t="shared" si="142"/>
        <v>#DIV/0!</v>
      </c>
      <c r="BG139" s="29" t="str">
        <f t="shared" si="142"/>
        <v>#DIV/0!</v>
      </c>
      <c r="BH139" s="29" t="str">
        <f t="shared" si="142"/>
        <v>#DIV/0!</v>
      </c>
      <c r="BI139" s="29" t="str">
        <f t="shared" si="142"/>
        <v>#DIV/0!</v>
      </c>
      <c r="BJ139" s="29" t="str">
        <f t="shared" si="142"/>
        <v>#DIV/0!</v>
      </c>
      <c r="BK139" s="29" t="str">
        <f t="shared" si="142"/>
        <v>#DIV/0!</v>
      </c>
      <c r="BL139" s="29" t="str">
        <f t="shared" si="142"/>
        <v>#DIV/0!</v>
      </c>
      <c r="BM139" s="29" t="str">
        <f t="shared" si="3"/>
        <v>#DIV/0!</v>
      </c>
    </row>
    <row r="140">
      <c r="A140" s="16" t="str">
        <f>IFERROR(__xludf.DUMMYFUNCTION("IFERROR(SPARKLINE(SORT(MAP(TRANSPOSE(AQ140:BL140), LAMBDA(val, IF(ISNUMBER(val), PERCENTRANK(AQ140:BL140, val)+0.01, 0))), SEQUENCE(COLUMNS(AQ140:BL140)), FALSE), {""charttype"",""column""; ""color"",""chartreuse""; ""ymin"", 0; ""ymax"", 1.01; ""highcolo"&amp;"r"", ""darkgreen""; ""lowcolor"", ""red""}), """")"),"")</f>
        <v/>
      </c>
      <c r="B140" s="17" t="str">
        <f t="shared" si="4"/>
        <v/>
      </c>
      <c r="C140" s="1" t="s">
        <v>633</v>
      </c>
      <c r="D140" s="30" t="str">
        <f>IFERROR(__xludf.DUMMYFUNCTION("IFERROR(GOOGLEFINANCE(C140, ""NAME""))"),"Climb Global Solutions Inc")</f>
        <v>Climb Global Solutions Inc</v>
      </c>
      <c r="E140" s="30" t="s">
        <v>540</v>
      </c>
      <c r="F140" s="33" t="str">
        <f>IFERROR(__xludf.DUMMYFUNCTION("( (GOOGLEFINANCE(C140, ""price"") - Q140) / Q140 ) / (R140 / 100)"),"Loading...")</f>
        <v>Loading...</v>
      </c>
      <c r="G140" s="20" t="str">
        <f>IFERROR(__xludf.DUMMYFUNCTION("AVERAGE(ARRAYFORMULA(100 * (QUERY(GOOGLEFINANCE(C140, ""high"", TODAY()-40, TODAY()), ""SELECT Col2 WHERE Col2 IS NOT NULL ORDER BY Col1 DESC LIMIT 20"", 0) / QUERY(GOOGLEFINANCE(C140, ""low"", TODAY()-40, TODAY()), ""SELECT Col2 WHERE Col2 IS NOT NULL OR"&amp;"DER BY Col1 DESC LIMIT 20"", 0) - 1)))"),"#N/A")</f>
        <v>#N/A</v>
      </c>
      <c r="H140" s="35" t="str">
        <f t="shared" si="6"/>
        <v/>
      </c>
      <c r="I140" s="36" t="str">
        <f t="shared" si="7"/>
        <v/>
      </c>
      <c r="J140" s="37" t="str">
        <f>IFERROR(__xludf.DUMMYFUNCTION("IFERROR(
  IF(C140="""",, 
    IFERROR(
      GOOGLEFINANCE(C140, ""price"") * GOOGLEFINANCE(C140, ""volumeavg""), 
      GOOGLEFINANCE(C140, ""price"") * AVERAGE(QUERY(GOOGLEFINANCE(C140, ""volume"", TODAY()-40, TODAY()), ""SELECT Col2 WHERE Col2 IS NOT "&amp;"NULL ORDER BY Col1 DESC LIMIT 20"", 0))
    )
  ), 
"""")"),"")</f>
        <v/>
      </c>
      <c r="K140" s="21" t="str">
        <f>IFERROR(__xludf.DUMMYFUNCTION("IFERROR(GOOGLEFINANCE(C140, ""changepct"") / 100, """")"),"")</f>
        <v/>
      </c>
      <c r="L140" s="21" t="str">
        <f>IFERROR(__xludf.DUMMYFUNCTION("IFERROR((GOOGLEFINANCE(C140, ""price"") / INDEX(GOOGLEFINANCE(C140, ""price"", TODAY()-7, TODAY()), 2, 2)) - 1, """")"),"")</f>
        <v/>
      </c>
      <c r="M140" s="21" t="str">
        <f>IFERROR(__xludf.DUMMYFUNCTION("IFERROR((GOOGLEFINANCE(C140, ""price"") / INDEX(GOOGLEFINANCE(C140, ""price"", EDATE(TODAY(), -1), TODAY()), 2, 2)) - 1, """")"),"")</f>
        <v/>
      </c>
      <c r="N140" s="21" t="str">
        <f>IFERROR(__xludf.DUMMYFUNCTION("IFERROR((GOOGLEFINANCE(C140, ""price"") / INDEX(GOOGLEFINANCE(C140, ""price"", EDATE(TODAY(), -3), TODAY()), 2, 2)) - 1, """")"),"")</f>
        <v/>
      </c>
      <c r="O140" s="21" t="str">
        <f>IFERROR(__xludf.DUMMYFUNCTION("IFERROR((GOOGLEFINANCE(C140, ""price"") / INDEX(GOOGLEFINANCE(C140, ""price"", EDATE(TODAY(), -6), TODAY()), 2, 2)) - 1, """")"),"")</f>
        <v/>
      </c>
      <c r="P140" s="21" t="str">
        <f>IFERROR(__xludf.DUMMYFUNCTION("IFERROR((GOOGLEFINANCE(C140, ""price"") / INDEX(GOOGLEFINANCE(C140, ""price"", EDATE(TODAY(), -12), TODAY()), 2, 2)) - 1, """")"),"")</f>
        <v/>
      </c>
      <c r="Q140" s="6" t="str">
        <f>IFERROR(__xludf.DUMMYFUNCTION("AVERAGE(QUERY(GOOGLEFINANCE(C140, ""price"", TODAY()-80, TODAY()), ""SELECT Col2 WHERE Col2 IS NOT NULL ORDER BY Col1 DESC LIMIT 50"", 0))"),"#N/A")</f>
        <v>#N/A</v>
      </c>
      <c r="R140" s="24" t="str">
        <f>IFERROR(__xludf.DUMMYFUNCTION("IFERROR(
  LET(
    data, QUERY(GOOGLEFINANCE(C140,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GOOGLEFINANCE(C140, ""price"")) * 100,
    IF(calc=0, G140, calc)
  ), 
G140)"),"#N/A")</f>
        <v>#N/A</v>
      </c>
      <c r="S140" s="8" t="s">
        <v>15</v>
      </c>
      <c r="T140" s="26" t="str">
        <f>IFERROR(__xludf.DUMMYFUNCTION("IFERROR(TRANSPOSE(QUERY(IFERROR(SORT(GOOGLEFINANCE(C140, ""price"", WORKDAY(TODAY(), -40), TODAY()), 1, FALSE)), ""select Col2 where Col2 is not null limit 22 label Col2 ''"", 0)), """")"),"")</f>
        <v/>
      </c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8"/>
      <c r="AO140" s="28"/>
      <c r="AP140" s="29"/>
      <c r="AQ140" s="29" t="str">
        <f t="shared" ref="AQ140:BL140" si="143">T140/T$2</f>
        <v>#N/A</v>
      </c>
      <c r="AR140" s="29" t="str">
        <f t="shared" si="143"/>
        <v>#DIV/0!</v>
      </c>
      <c r="AS140" s="29" t="str">
        <f t="shared" si="143"/>
        <v>#DIV/0!</v>
      </c>
      <c r="AT140" s="29" t="str">
        <f t="shared" si="143"/>
        <v>#DIV/0!</v>
      </c>
      <c r="AU140" s="29" t="str">
        <f t="shared" si="143"/>
        <v>#DIV/0!</v>
      </c>
      <c r="AV140" s="29" t="str">
        <f t="shared" si="143"/>
        <v>#DIV/0!</v>
      </c>
      <c r="AW140" s="29" t="str">
        <f t="shared" si="143"/>
        <v>#DIV/0!</v>
      </c>
      <c r="AX140" s="29" t="str">
        <f t="shared" si="143"/>
        <v>#DIV/0!</v>
      </c>
      <c r="AY140" s="29" t="str">
        <f t="shared" si="143"/>
        <v>#DIV/0!</v>
      </c>
      <c r="AZ140" s="29" t="str">
        <f t="shared" si="143"/>
        <v>#DIV/0!</v>
      </c>
      <c r="BA140" s="29" t="str">
        <f t="shared" si="143"/>
        <v>#DIV/0!</v>
      </c>
      <c r="BB140" s="29" t="str">
        <f t="shared" si="143"/>
        <v>#DIV/0!</v>
      </c>
      <c r="BC140" s="29" t="str">
        <f t="shared" si="143"/>
        <v>#DIV/0!</v>
      </c>
      <c r="BD140" s="29" t="str">
        <f t="shared" si="143"/>
        <v>#DIV/0!</v>
      </c>
      <c r="BE140" s="29" t="str">
        <f t="shared" si="143"/>
        <v>#DIV/0!</v>
      </c>
      <c r="BF140" s="29" t="str">
        <f t="shared" si="143"/>
        <v>#DIV/0!</v>
      </c>
      <c r="BG140" s="29" t="str">
        <f t="shared" si="143"/>
        <v>#DIV/0!</v>
      </c>
      <c r="BH140" s="29" t="str">
        <f t="shared" si="143"/>
        <v>#DIV/0!</v>
      </c>
      <c r="BI140" s="29" t="str">
        <f t="shared" si="143"/>
        <v>#DIV/0!</v>
      </c>
      <c r="BJ140" s="29" t="str">
        <f t="shared" si="143"/>
        <v>#DIV/0!</v>
      </c>
      <c r="BK140" s="29" t="str">
        <f t="shared" si="143"/>
        <v>#DIV/0!</v>
      </c>
      <c r="BL140" s="29" t="str">
        <f t="shared" si="143"/>
        <v>#DIV/0!</v>
      </c>
      <c r="BM140" s="29" t="str">
        <f t="shared" si="3"/>
        <v>#DIV/0!</v>
      </c>
    </row>
    <row r="141">
      <c r="A141" s="16" t="str">
        <f>IFERROR(__xludf.DUMMYFUNCTION("IFERROR(SPARKLINE(SORT(MAP(TRANSPOSE(AQ141:BL141), LAMBDA(val, IF(ISNUMBER(val), PERCENTRANK(AQ141:BL141, val)+0.01, 0))), SEQUENCE(COLUMNS(AQ141:BL141)), FALSE), {""charttype"",""column""; ""color"",""chartreuse""; ""ymin"", 0; ""ymax"", 1.01; ""highcolo"&amp;"r"", ""darkgreen""; ""lowcolor"", ""red""}), """")"),"")</f>
        <v/>
      </c>
      <c r="B141" s="17" t="str">
        <f t="shared" si="4"/>
        <v/>
      </c>
      <c r="C141" s="1" t="s">
        <v>635</v>
      </c>
      <c r="D141" s="30" t="str">
        <f>IFERROR(__xludf.DUMMYFUNCTION("IFERROR(GOOGLEFINANCE(C141, ""NAME""))"),"Marqeta Inc")</f>
        <v>Marqeta Inc</v>
      </c>
      <c r="E141" s="30" t="s">
        <v>58</v>
      </c>
      <c r="F141" s="33" t="str">
        <f>IFERROR(__xludf.DUMMYFUNCTION("( (GOOGLEFINANCE(C141, ""price"") - Q141) / Q141 ) / (R141 / 100)"),"Loading...")</f>
        <v>Loading...</v>
      </c>
      <c r="G141" s="20" t="str">
        <f>IFERROR(__xludf.DUMMYFUNCTION("AVERAGE(ARRAYFORMULA(100 * (QUERY(GOOGLEFINANCE(C141, ""high"", TODAY()-40, TODAY()), ""SELECT Col2 WHERE Col2 IS NOT NULL ORDER BY Col1 DESC LIMIT 20"", 0) / QUERY(GOOGLEFINANCE(C141, ""low"", TODAY()-40, TODAY()), ""SELECT Col2 WHERE Col2 IS NOT NULL OR"&amp;"DER BY Col1 DESC LIMIT 20"", 0) - 1)))"),"#N/A")</f>
        <v>#N/A</v>
      </c>
      <c r="H141" s="35" t="str">
        <f t="shared" si="6"/>
        <v/>
      </c>
      <c r="I141" s="36" t="str">
        <f t="shared" si="7"/>
        <v/>
      </c>
      <c r="J141" s="37" t="str">
        <f>IFERROR(__xludf.DUMMYFUNCTION("IFERROR(
  IF(C141="""",, 
    IFERROR(
      GOOGLEFINANCE(C141, ""price"") * GOOGLEFINANCE(C141, ""volumeavg""), 
      GOOGLEFINANCE(C141, ""price"") * AVERAGE(QUERY(GOOGLEFINANCE(C141, ""volume"", TODAY()-40, TODAY()), ""SELECT Col2 WHERE Col2 IS NOT "&amp;"NULL ORDER BY Col1 DESC LIMIT 20"", 0))
    )
  ), 
"""")"),"")</f>
        <v/>
      </c>
      <c r="K141" s="21" t="str">
        <f>IFERROR(__xludf.DUMMYFUNCTION("IFERROR(GOOGLEFINANCE(C141, ""changepct"") / 100, """")"),"")</f>
        <v/>
      </c>
      <c r="L141" s="21" t="str">
        <f>IFERROR(__xludf.DUMMYFUNCTION("IFERROR((GOOGLEFINANCE(C141, ""price"") / INDEX(GOOGLEFINANCE(C141, ""price"", TODAY()-7, TODAY()), 2, 2)) - 1, """")"),"")</f>
        <v/>
      </c>
      <c r="M141" s="21" t="str">
        <f>IFERROR(__xludf.DUMMYFUNCTION("IFERROR((GOOGLEFINANCE(C141, ""price"") / INDEX(GOOGLEFINANCE(C141, ""price"", EDATE(TODAY(), -1), TODAY()), 2, 2)) - 1, """")"),"")</f>
        <v/>
      </c>
      <c r="N141" s="21" t="str">
        <f>IFERROR(__xludf.DUMMYFUNCTION("IFERROR((GOOGLEFINANCE(C141, ""price"") / INDEX(GOOGLEFINANCE(C141, ""price"", EDATE(TODAY(), -3), TODAY()), 2, 2)) - 1, """")"),"")</f>
        <v/>
      </c>
      <c r="O141" s="21" t="str">
        <f>IFERROR(__xludf.DUMMYFUNCTION("IFERROR((GOOGLEFINANCE(C141, ""price"") / INDEX(GOOGLEFINANCE(C141, ""price"", EDATE(TODAY(), -6), TODAY()), 2, 2)) - 1, """")"),"")</f>
        <v/>
      </c>
      <c r="P141" s="21" t="str">
        <f>IFERROR(__xludf.DUMMYFUNCTION("IFERROR((GOOGLEFINANCE(C141, ""price"") / INDEX(GOOGLEFINANCE(C141, ""price"", EDATE(TODAY(), -12), TODAY()), 2, 2)) - 1, """")"),"")</f>
        <v/>
      </c>
      <c r="Q141" s="6" t="str">
        <f>IFERROR(__xludf.DUMMYFUNCTION("AVERAGE(QUERY(GOOGLEFINANCE(C141, ""price"", TODAY()-80, TODAY()), ""SELECT Col2 WHERE Col2 IS NOT NULL ORDER BY Col1 DESC LIMIT 50"", 0))"),"#N/A")</f>
        <v>#N/A</v>
      </c>
      <c r="R141" s="24" t="str">
        <f>IFERROR(__xludf.DUMMYFUNCTION("IFERROR(
  LET(
    data, QUERY(GOOGLEFINANCE(C141,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GOOGLEFINANCE(C141, ""price"")) * 100,
    IF(calc=0, G141, calc)
  ), 
G141)"),"#N/A")</f>
        <v>#N/A</v>
      </c>
      <c r="S141" s="8" t="s">
        <v>15</v>
      </c>
      <c r="T141" s="26" t="str">
        <f>IFERROR(__xludf.DUMMYFUNCTION("IFERROR(TRANSPOSE(QUERY(IFERROR(SORT(GOOGLEFINANCE(C141, ""price"", WORKDAY(TODAY(), -40), TODAY()), 1, FALSE)), ""select Col2 where Col2 is not null limit 22 label Col2 ''"", 0)), """")"),"")</f>
        <v/>
      </c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8"/>
      <c r="AO141" s="28"/>
      <c r="AP141" s="29"/>
      <c r="AQ141" s="29" t="str">
        <f t="shared" ref="AQ141:BL141" si="144">T141/T$2</f>
        <v>#N/A</v>
      </c>
      <c r="AR141" s="29" t="str">
        <f t="shared" si="144"/>
        <v>#DIV/0!</v>
      </c>
      <c r="AS141" s="29" t="str">
        <f t="shared" si="144"/>
        <v>#DIV/0!</v>
      </c>
      <c r="AT141" s="29" t="str">
        <f t="shared" si="144"/>
        <v>#DIV/0!</v>
      </c>
      <c r="AU141" s="29" t="str">
        <f t="shared" si="144"/>
        <v>#DIV/0!</v>
      </c>
      <c r="AV141" s="29" t="str">
        <f t="shared" si="144"/>
        <v>#DIV/0!</v>
      </c>
      <c r="AW141" s="29" t="str">
        <f t="shared" si="144"/>
        <v>#DIV/0!</v>
      </c>
      <c r="AX141" s="29" t="str">
        <f t="shared" si="144"/>
        <v>#DIV/0!</v>
      </c>
      <c r="AY141" s="29" t="str">
        <f t="shared" si="144"/>
        <v>#DIV/0!</v>
      </c>
      <c r="AZ141" s="29" t="str">
        <f t="shared" si="144"/>
        <v>#DIV/0!</v>
      </c>
      <c r="BA141" s="29" t="str">
        <f t="shared" si="144"/>
        <v>#DIV/0!</v>
      </c>
      <c r="BB141" s="29" t="str">
        <f t="shared" si="144"/>
        <v>#DIV/0!</v>
      </c>
      <c r="BC141" s="29" t="str">
        <f t="shared" si="144"/>
        <v>#DIV/0!</v>
      </c>
      <c r="BD141" s="29" t="str">
        <f t="shared" si="144"/>
        <v>#DIV/0!</v>
      </c>
      <c r="BE141" s="29" t="str">
        <f t="shared" si="144"/>
        <v>#DIV/0!</v>
      </c>
      <c r="BF141" s="29" t="str">
        <f t="shared" si="144"/>
        <v>#DIV/0!</v>
      </c>
      <c r="BG141" s="29" t="str">
        <f t="shared" si="144"/>
        <v>#DIV/0!</v>
      </c>
      <c r="BH141" s="29" t="str">
        <f t="shared" si="144"/>
        <v>#DIV/0!</v>
      </c>
      <c r="BI141" s="29" t="str">
        <f t="shared" si="144"/>
        <v>#DIV/0!</v>
      </c>
      <c r="BJ141" s="29" t="str">
        <f t="shared" si="144"/>
        <v>#DIV/0!</v>
      </c>
      <c r="BK141" s="29" t="str">
        <f t="shared" si="144"/>
        <v>#DIV/0!</v>
      </c>
      <c r="BL141" s="29" t="str">
        <f t="shared" si="144"/>
        <v>#DIV/0!</v>
      </c>
      <c r="BM141" s="29" t="str">
        <f t="shared" si="3"/>
        <v>#DIV/0!</v>
      </c>
    </row>
    <row r="142">
      <c r="A142" s="16" t="str">
        <f>IFERROR(__xludf.DUMMYFUNCTION("IFERROR(SPARKLINE(SORT(MAP(TRANSPOSE(AQ142:BL142), LAMBDA(val, IF(ISNUMBER(val), PERCENTRANK(AQ142:BL142, val)+0.01, 0))), SEQUENCE(COLUMNS(AQ142:BL142)), FALSE), {""charttype"",""column""; ""color"",""chartreuse""; ""ymin"", 0; ""ymax"", 1.01; ""highcolo"&amp;"r"", ""darkgreen""; ""lowcolor"", ""red""}), """")"),"")</f>
        <v/>
      </c>
      <c r="B142" s="17" t="str">
        <f t="shared" si="4"/>
        <v/>
      </c>
      <c r="C142" s="1" t="s">
        <v>639</v>
      </c>
      <c r="D142" s="30" t="str">
        <f>IFERROR(__xludf.DUMMYFUNCTION("IFERROR(GOOGLEFINANCE(C142, ""NAME""))"),"Rubrik Inc")</f>
        <v>Rubrik Inc</v>
      </c>
      <c r="E142" s="30" t="s">
        <v>58</v>
      </c>
      <c r="F142" s="33" t="str">
        <f>IFERROR(__xludf.DUMMYFUNCTION("( (GOOGLEFINANCE(C142, ""price"") - Q142) / Q142 ) / (R142 / 100)"),"Loading...")</f>
        <v>Loading...</v>
      </c>
      <c r="G142" s="20" t="str">
        <f>IFERROR(__xludf.DUMMYFUNCTION("AVERAGE(ARRAYFORMULA(100 * (QUERY(GOOGLEFINANCE(C142, ""high"", TODAY()-40, TODAY()), ""SELECT Col2 WHERE Col2 IS NOT NULL ORDER BY Col1 DESC LIMIT 20"", 0) / QUERY(GOOGLEFINANCE(C142, ""low"", TODAY()-40, TODAY()), ""SELECT Col2 WHERE Col2 IS NOT NULL OR"&amp;"DER BY Col1 DESC LIMIT 20"", 0) - 1)))"),"#N/A")</f>
        <v>#N/A</v>
      </c>
      <c r="H142" s="35" t="str">
        <f t="shared" si="6"/>
        <v/>
      </c>
      <c r="I142" s="36" t="str">
        <f t="shared" si="7"/>
        <v/>
      </c>
      <c r="J142" s="37" t="str">
        <f>IFERROR(__xludf.DUMMYFUNCTION("IFERROR(
  IF(C142="""",, 
    IFERROR(
      GOOGLEFINANCE(C142, ""price"") * GOOGLEFINANCE(C142, ""volumeavg""), 
      GOOGLEFINANCE(C142, ""price"") * AVERAGE(QUERY(GOOGLEFINANCE(C142, ""volume"", TODAY()-40, TODAY()), ""SELECT Col2 WHERE Col2 IS NOT "&amp;"NULL ORDER BY Col1 DESC LIMIT 20"", 0))
    )
  ), 
"""")"),"")</f>
        <v/>
      </c>
      <c r="K142" s="21" t="str">
        <f>IFERROR(__xludf.DUMMYFUNCTION("IFERROR(GOOGLEFINANCE(C142, ""changepct"") / 100, """")"),"")</f>
        <v/>
      </c>
      <c r="L142" s="21" t="str">
        <f>IFERROR(__xludf.DUMMYFUNCTION("IFERROR((GOOGLEFINANCE(C142, ""price"") / INDEX(GOOGLEFINANCE(C142, ""price"", TODAY()-7, TODAY()), 2, 2)) - 1, """")"),"")</f>
        <v/>
      </c>
      <c r="M142" s="21" t="str">
        <f>IFERROR(__xludf.DUMMYFUNCTION("IFERROR((GOOGLEFINANCE(C142, ""price"") / INDEX(GOOGLEFINANCE(C142, ""price"", EDATE(TODAY(), -1), TODAY()), 2, 2)) - 1, """")"),"")</f>
        <v/>
      </c>
      <c r="N142" s="21" t="str">
        <f>IFERROR(__xludf.DUMMYFUNCTION("IFERROR((GOOGLEFINANCE(C142, ""price"") / INDEX(GOOGLEFINANCE(C142, ""price"", EDATE(TODAY(), -3), TODAY()), 2, 2)) - 1, """")"),"")</f>
        <v/>
      </c>
      <c r="O142" s="21" t="str">
        <f>IFERROR(__xludf.DUMMYFUNCTION("IFERROR((GOOGLEFINANCE(C142, ""price"") / INDEX(GOOGLEFINANCE(C142, ""price"", EDATE(TODAY(), -6), TODAY()), 2, 2)) - 1, """")"),"")</f>
        <v/>
      </c>
      <c r="P142" s="21" t="str">
        <f>IFERROR(__xludf.DUMMYFUNCTION("IFERROR((GOOGLEFINANCE(C142, ""price"") / INDEX(GOOGLEFINANCE(C142, ""price"", EDATE(TODAY(), -12), TODAY()), 2, 2)) - 1, """")"),"")</f>
        <v/>
      </c>
      <c r="Q142" s="6" t="str">
        <f>IFERROR(__xludf.DUMMYFUNCTION("AVERAGE(QUERY(GOOGLEFINANCE(C142, ""price"", TODAY()-80, TODAY()), ""SELECT Col2 WHERE Col2 IS NOT NULL ORDER BY Col1 DESC LIMIT 50"", 0))"),"#N/A")</f>
        <v>#N/A</v>
      </c>
      <c r="R142" s="24" t="str">
        <f>IFERROR(__xludf.DUMMYFUNCTION("IFERROR(
  LET(
    data, QUERY(GOOGLEFINANCE(C142,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GOOGLEFINANCE(C142, ""price"")) * 100,
    IF(calc=0, G142, calc)
  ), 
G142)"),"#N/A")</f>
        <v>#N/A</v>
      </c>
      <c r="S142" s="8" t="s">
        <v>15</v>
      </c>
      <c r="T142" s="26" t="str">
        <f>IFERROR(__xludf.DUMMYFUNCTION("IFERROR(TRANSPOSE(QUERY(IFERROR(SORT(GOOGLEFINANCE(C142, ""price"", WORKDAY(TODAY(), -40), TODAY()), 1, FALSE)), ""select Col2 where Col2 is not null limit 22 label Col2 ''"", 0)), """")"),"")</f>
        <v/>
      </c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8"/>
      <c r="AO142" s="28"/>
      <c r="AP142" s="29"/>
      <c r="AQ142" s="29" t="str">
        <f t="shared" ref="AQ142:BL142" si="145">T142/T$2</f>
        <v>#N/A</v>
      </c>
      <c r="AR142" s="29" t="str">
        <f t="shared" si="145"/>
        <v>#DIV/0!</v>
      </c>
      <c r="AS142" s="29" t="str">
        <f t="shared" si="145"/>
        <v>#DIV/0!</v>
      </c>
      <c r="AT142" s="29" t="str">
        <f t="shared" si="145"/>
        <v>#DIV/0!</v>
      </c>
      <c r="AU142" s="29" t="str">
        <f t="shared" si="145"/>
        <v>#DIV/0!</v>
      </c>
      <c r="AV142" s="29" t="str">
        <f t="shared" si="145"/>
        <v>#DIV/0!</v>
      </c>
      <c r="AW142" s="29" t="str">
        <f t="shared" si="145"/>
        <v>#DIV/0!</v>
      </c>
      <c r="AX142" s="29" t="str">
        <f t="shared" si="145"/>
        <v>#DIV/0!</v>
      </c>
      <c r="AY142" s="29" t="str">
        <f t="shared" si="145"/>
        <v>#DIV/0!</v>
      </c>
      <c r="AZ142" s="29" t="str">
        <f t="shared" si="145"/>
        <v>#DIV/0!</v>
      </c>
      <c r="BA142" s="29" t="str">
        <f t="shared" si="145"/>
        <v>#DIV/0!</v>
      </c>
      <c r="BB142" s="29" t="str">
        <f t="shared" si="145"/>
        <v>#DIV/0!</v>
      </c>
      <c r="BC142" s="29" t="str">
        <f t="shared" si="145"/>
        <v>#DIV/0!</v>
      </c>
      <c r="BD142" s="29" t="str">
        <f t="shared" si="145"/>
        <v>#DIV/0!</v>
      </c>
      <c r="BE142" s="29" t="str">
        <f t="shared" si="145"/>
        <v>#DIV/0!</v>
      </c>
      <c r="BF142" s="29" t="str">
        <f t="shared" si="145"/>
        <v>#DIV/0!</v>
      </c>
      <c r="BG142" s="29" t="str">
        <f t="shared" si="145"/>
        <v>#DIV/0!</v>
      </c>
      <c r="BH142" s="29" t="str">
        <f t="shared" si="145"/>
        <v>#DIV/0!</v>
      </c>
      <c r="BI142" s="29" t="str">
        <f t="shared" si="145"/>
        <v>#DIV/0!</v>
      </c>
      <c r="BJ142" s="29" t="str">
        <f t="shared" si="145"/>
        <v>#DIV/0!</v>
      </c>
      <c r="BK142" s="29" t="str">
        <f t="shared" si="145"/>
        <v>#DIV/0!</v>
      </c>
      <c r="BL142" s="29" t="str">
        <f t="shared" si="145"/>
        <v>#DIV/0!</v>
      </c>
      <c r="BM142" s="29" t="str">
        <f t="shared" si="3"/>
        <v>#DIV/0!</v>
      </c>
    </row>
    <row r="143">
      <c r="A143" s="16" t="str">
        <f>IFERROR(__xludf.DUMMYFUNCTION("IFERROR(SPARKLINE(SORT(MAP(TRANSPOSE(AQ143:BL143), LAMBDA(val, IF(ISNUMBER(val), PERCENTRANK(AQ143:BL143, val)+0.01, 0))), SEQUENCE(COLUMNS(AQ143:BL143)), FALSE), {""charttype"",""column""; ""color"",""chartreuse""; ""ymin"", 0; ""ymax"", 1.01; ""highcolo"&amp;"r"", ""darkgreen""; ""lowcolor"", ""red""}), """")"),"")</f>
        <v/>
      </c>
      <c r="B143" s="17" t="str">
        <f t="shared" si="4"/>
        <v/>
      </c>
      <c r="C143" s="1" t="s">
        <v>642</v>
      </c>
      <c r="D143" s="30" t="str">
        <f>IFERROR(__xludf.DUMMYFUNCTION("IFERROR(GOOGLEFINANCE(C143, ""NAME""))"),"Sailpoint Inc")</f>
        <v>Sailpoint Inc</v>
      </c>
      <c r="E143" s="30" t="s">
        <v>58</v>
      </c>
      <c r="F143" s="33" t="str">
        <f>IFERROR(__xludf.DUMMYFUNCTION("( (GOOGLEFINANCE(C143, ""price"") - Q143) / Q143 ) / (R143 / 100)"),"Loading...")</f>
        <v>Loading...</v>
      </c>
      <c r="G143" s="20" t="str">
        <f>IFERROR(__xludf.DUMMYFUNCTION("AVERAGE(ARRAYFORMULA(100 * (QUERY(GOOGLEFINANCE(C143, ""high"", TODAY()-40, TODAY()), ""SELECT Col2 WHERE Col2 IS NOT NULL ORDER BY Col1 DESC LIMIT 20"", 0) / QUERY(GOOGLEFINANCE(C143, ""low"", TODAY()-40, TODAY()), ""SELECT Col2 WHERE Col2 IS NOT NULL OR"&amp;"DER BY Col1 DESC LIMIT 20"", 0) - 1)))"),"#N/A")</f>
        <v>#N/A</v>
      </c>
      <c r="H143" s="35" t="str">
        <f t="shared" si="6"/>
        <v/>
      </c>
      <c r="I143" s="36" t="str">
        <f t="shared" si="7"/>
        <v/>
      </c>
      <c r="J143" s="37" t="str">
        <f>IFERROR(__xludf.DUMMYFUNCTION("IFERROR(
  IF(C143="""",, 
    IFERROR(
      GOOGLEFINANCE(C143, ""price"") * GOOGLEFINANCE(C143, ""volumeavg""), 
      GOOGLEFINANCE(C143, ""price"") * AVERAGE(QUERY(GOOGLEFINANCE(C143, ""volume"", TODAY()-40, TODAY()), ""SELECT Col2 WHERE Col2 IS NOT "&amp;"NULL ORDER BY Col1 DESC LIMIT 20"", 0))
    )
  ), 
"""")"),"")</f>
        <v/>
      </c>
      <c r="K143" s="21" t="str">
        <f>IFERROR(__xludf.DUMMYFUNCTION("IFERROR(GOOGLEFINANCE(C143, ""changepct"") / 100, """")"),"")</f>
        <v/>
      </c>
      <c r="L143" s="21" t="str">
        <f>IFERROR(__xludf.DUMMYFUNCTION("IFERROR((GOOGLEFINANCE(C143, ""price"") / INDEX(GOOGLEFINANCE(C143, ""price"", TODAY()-7, TODAY()), 2, 2)) - 1, """")"),"")</f>
        <v/>
      </c>
      <c r="M143" s="21" t="str">
        <f>IFERROR(__xludf.DUMMYFUNCTION("IFERROR((GOOGLEFINANCE(C143, ""price"") / INDEX(GOOGLEFINANCE(C143, ""price"", EDATE(TODAY(), -1), TODAY()), 2, 2)) - 1, """")"),"")</f>
        <v/>
      </c>
      <c r="N143" s="21" t="str">
        <f>IFERROR(__xludf.DUMMYFUNCTION("IFERROR((GOOGLEFINANCE(C143, ""price"") / INDEX(GOOGLEFINANCE(C143, ""price"", EDATE(TODAY(), -3), TODAY()), 2, 2)) - 1, """")"),"")</f>
        <v/>
      </c>
      <c r="O143" s="21" t="str">
        <f>IFERROR(__xludf.DUMMYFUNCTION("IFERROR((GOOGLEFINANCE(C143, ""price"") / INDEX(GOOGLEFINANCE(C143, ""price"", EDATE(TODAY(), -6), TODAY()), 2, 2)) - 1, """")"),"")</f>
        <v/>
      </c>
      <c r="P143" s="21" t="str">
        <f>IFERROR(__xludf.DUMMYFUNCTION("IFERROR((GOOGLEFINANCE(C143, ""price"") / INDEX(GOOGLEFINANCE(C143, ""price"", EDATE(TODAY(), -12), TODAY()), 2, 2)) - 1, """")"),"")</f>
        <v/>
      </c>
      <c r="Q143" s="6" t="str">
        <f>IFERROR(__xludf.DUMMYFUNCTION("AVERAGE(QUERY(GOOGLEFINANCE(C143, ""price"", TODAY()-80, TODAY()), ""SELECT Col2 WHERE Col2 IS NOT NULL ORDER BY Col1 DESC LIMIT 50"", 0))"),"#N/A")</f>
        <v>#N/A</v>
      </c>
      <c r="R143" s="24" t="str">
        <f>IFERROR(__xludf.DUMMYFUNCTION("IFERROR(
  LET(
    data, QUERY(GOOGLEFINANCE(C143,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GOOGLEFINANCE(C143, ""price"")) * 100,
    IF(calc=0, G143, calc)
  ), 
G143)"),"#N/A")</f>
        <v>#N/A</v>
      </c>
      <c r="S143" s="8" t="s">
        <v>15</v>
      </c>
      <c r="T143" s="26" t="str">
        <f>IFERROR(__xludf.DUMMYFUNCTION("IFERROR(TRANSPOSE(QUERY(IFERROR(SORT(GOOGLEFINANCE(C143, ""price"", WORKDAY(TODAY(), -40), TODAY()), 1, FALSE)), ""select Col2 where Col2 is not null limit 22 label Col2 ''"", 0)), """")"),"")</f>
        <v/>
      </c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8"/>
      <c r="AO143" s="28"/>
      <c r="AP143" s="29"/>
      <c r="AQ143" s="29" t="str">
        <f t="shared" ref="AQ143:BL143" si="146">T143/T$2</f>
        <v>#N/A</v>
      </c>
      <c r="AR143" s="29" t="str">
        <f t="shared" si="146"/>
        <v>#DIV/0!</v>
      </c>
      <c r="AS143" s="29" t="str">
        <f t="shared" si="146"/>
        <v>#DIV/0!</v>
      </c>
      <c r="AT143" s="29" t="str">
        <f t="shared" si="146"/>
        <v>#DIV/0!</v>
      </c>
      <c r="AU143" s="29" t="str">
        <f t="shared" si="146"/>
        <v>#DIV/0!</v>
      </c>
      <c r="AV143" s="29" t="str">
        <f t="shared" si="146"/>
        <v>#DIV/0!</v>
      </c>
      <c r="AW143" s="29" t="str">
        <f t="shared" si="146"/>
        <v>#DIV/0!</v>
      </c>
      <c r="AX143" s="29" t="str">
        <f t="shared" si="146"/>
        <v>#DIV/0!</v>
      </c>
      <c r="AY143" s="29" t="str">
        <f t="shared" si="146"/>
        <v>#DIV/0!</v>
      </c>
      <c r="AZ143" s="29" t="str">
        <f t="shared" si="146"/>
        <v>#DIV/0!</v>
      </c>
      <c r="BA143" s="29" t="str">
        <f t="shared" si="146"/>
        <v>#DIV/0!</v>
      </c>
      <c r="BB143" s="29" t="str">
        <f t="shared" si="146"/>
        <v>#DIV/0!</v>
      </c>
      <c r="BC143" s="29" t="str">
        <f t="shared" si="146"/>
        <v>#DIV/0!</v>
      </c>
      <c r="BD143" s="29" t="str">
        <f t="shared" si="146"/>
        <v>#DIV/0!</v>
      </c>
      <c r="BE143" s="29" t="str">
        <f t="shared" si="146"/>
        <v>#DIV/0!</v>
      </c>
      <c r="BF143" s="29" t="str">
        <f t="shared" si="146"/>
        <v>#DIV/0!</v>
      </c>
      <c r="BG143" s="29" t="str">
        <f t="shared" si="146"/>
        <v>#DIV/0!</v>
      </c>
      <c r="BH143" s="29" t="str">
        <f t="shared" si="146"/>
        <v>#DIV/0!</v>
      </c>
      <c r="BI143" s="29" t="str">
        <f t="shared" si="146"/>
        <v>#DIV/0!</v>
      </c>
      <c r="BJ143" s="29" t="str">
        <f t="shared" si="146"/>
        <v>#DIV/0!</v>
      </c>
      <c r="BK143" s="29" t="str">
        <f t="shared" si="146"/>
        <v>#DIV/0!</v>
      </c>
      <c r="BL143" s="29" t="str">
        <f t="shared" si="146"/>
        <v>#DIV/0!</v>
      </c>
      <c r="BM143" s="29" t="str">
        <f t="shared" si="3"/>
        <v>#DIV/0!</v>
      </c>
    </row>
    <row r="144">
      <c r="A144" s="16" t="str">
        <f>IFERROR(__xludf.DUMMYFUNCTION("IFERROR(SPARKLINE(SORT(MAP(TRANSPOSE(AQ144:BL144), LAMBDA(val, IF(ISNUMBER(val), PERCENTRANK(AQ144:BL144, val)+0.01, 0))), SEQUENCE(COLUMNS(AQ144:BL144)), FALSE), {""charttype"",""column""; ""color"",""chartreuse""; ""ymin"", 0; ""ymax"", 1.01; ""highcolo"&amp;"r"", ""darkgreen""; ""lowcolor"", ""red""}), """")"),"")</f>
        <v/>
      </c>
      <c r="B144" s="17" t="str">
        <f t="shared" si="4"/>
        <v/>
      </c>
      <c r="C144" s="1" t="s">
        <v>645</v>
      </c>
      <c r="D144" s="30" t="str">
        <f>IFERROR(__xludf.DUMMYFUNCTION("IFERROR(GOOGLEFINANCE(C144, ""NAME""))"),"Parsons Corp")</f>
        <v>Parsons Corp</v>
      </c>
      <c r="E144" s="30" t="s">
        <v>102</v>
      </c>
      <c r="F144" s="33" t="str">
        <f>IFERROR(__xludf.DUMMYFUNCTION("( (GOOGLEFINANCE(C144, ""price"") - Q144) / Q144 ) / (R144 / 100)"),"Loading...")</f>
        <v>Loading...</v>
      </c>
      <c r="G144" s="20" t="str">
        <f>IFERROR(__xludf.DUMMYFUNCTION("AVERAGE(ARRAYFORMULA(100 * (QUERY(GOOGLEFINANCE(C144, ""high"", TODAY()-40, TODAY()), ""SELECT Col2 WHERE Col2 IS NOT NULL ORDER BY Col1 DESC LIMIT 20"", 0) / QUERY(GOOGLEFINANCE(C144, ""low"", TODAY()-40, TODAY()), ""SELECT Col2 WHERE Col2 IS NOT NULL OR"&amp;"DER BY Col1 DESC LIMIT 20"", 0) - 1)))"),"#N/A")</f>
        <v>#N/A</v>
      </c>
      <c r="H144" s="35" t="str">
        <f t="shared" si="6"/>
        <v/>
      </c>
      <c r="I144" s="36" t="str">
        <f t="shared" si="7"/>
        <v/>
      </c>
      <c r="J144" s="37" t="str">
        <f>IFERROR(__xludf.DUMMYFUNCTION("IFERROR(
  IF(C144="""",, 
    IFERROR(
      GOOGLEFINANCE(C144, ""price"") * GOOGLEFINANCE(C144, ""volumeavg""), 
      GOOGLEFINANCE(C144, ""price"") * AVERAGE(QUERY(GOOGLEFINANCE(C144, ""volume"", TODAY()-40, TODAY()), ""SELECT Col2 WHERE Col2 IS NOT "&amp;"NULL ORDER BY Col1 DESC LIMIT 20"", 0))
    )
  ), 
"""")"),"")</f>
        <v/>
      </c>
      <c r="K144" s="21" t="str">
        <f>IFERROR(__xludf.DUMMYFUNCTION("IFERROR(GOOGLEFINANCE(C144, ""changepct"") / 100, """")"),"")</f>
        <v/>
      </c>
      <c r="L144" s="21" t="str">
        <f>IFERROR(__xludf.DUMMYFUNCTION("IFERROR((GOOGLEFINANCE(C144, ""price"") / INDEX(GOOGLEFINANCE(C144, ""price"", TODAY()-7, TODAY()), 2, 2)) - 1, """")"),"")</f>
        <v/>
      </c>
      <c r="M144" s="21" t="str">
        <f>IFERROR(__xludf.DUMMYFUNCTION("IFERROR((GOOGLEFINANCE(C144, ""price"") / INDEX(GOOGLEFINANCE(C144, ""price"", EDATE(TODAY(), -1), TODAY()), 2, 2)) - 1, """")"),"")</f>
        <v/>
      </c>
      <c r="N144" s="21" t="str">
        <f>IFERROR(__xludf.DUMMYFUNCTION("IFERROR((GOOGLEFINANCE(C144, ""price"") / INDEX(GOOGLEFINANCE(C144, ""price"", EDATE(TODAY(), -3), TODAY()), 2, 2)) - 1, """")"),"")</f>
        <v/>
      </c>
      <c r="O144" s="21" t="str">
        <f>IFERROR(__xludf.DUMMYFUNCTION("IFERROR((GOOGLEFINANCE(C144, ""price"") / INDEX(GOOGLEFINANCE(C144, ""price"", EDATE(TODAY(), -6), TODAY()), 2, 2)) - 1, """")"),"")</f>
        <v/>
      </c>
      <c r="P144" s="21" t="str">
        <f>IFERROR(__xludf.DUMMYFUNCTION("IFERROR((GOOGLEFINANCE(C144, ""price"") / INDEX(GOOGLEFINANCE(C144, ""price"", EDATE(TODAY(), -12), TODAY()), 2, 2)) - 1, """")"),"")</f>
        <v/>
      </c>
      <c r="Q144" s="6" t="str">
        <f>IFERROR(__xludf.DUMMYFUNCTION("AVERAGE(QUERY(GOOGLEFINANCE(C144, ""price"", TODAY()-80, TODAY()), ""SELECT Col2 WHERE Col2 IS NOT NULL ORDER BY Col1 DESC LIMIT 50"", 0))"),"#N/A")</f>
        <v>#N/A</v>
      </c>
      <c r="R144" s="24" t="str">
        <f>IFERROR(__xludf.DUMMYFUNCTION("IFERROR(
  LET(
    data, QUERY(GOOGLEFINANCE(C144,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GOOGLEFINANCE(C144, ""price"")) * 100,
    IF(calc=0, G144, calc)
  ), 
G144)"),"#N/A")</f>
        <v>#N/A</v>
      </c>
      <c r="S144" s="8" t="s">
        <v>15</v>
      </c>
      <c r="T144" s="26" t="str">
        <f>IFERROR(__xludf.DUMMYFUNCTION("IFERROR(TRANSPOSE(QUERY(IFERROR(SORT(GOOGLEFINANCE(C144, ""price"", WORKDAY(TODAY(), -40), TODAY()), 1, FALSE)), ""select Col2 where Col2 is not null limit 22 label Col2 ''"", 0)), """")"),"")</f>
        <v/>
      </c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8"/>
      <c r="AO144" s="28"/>
      <c r="AP144" s="29"/>
      <c r="AQ144" s="29" t="str">
        <f t="shared" ref="AQ144:BL144" si="147">T144/T$2</f>
        <v>#N/A</v>
      </c>
      <c r="AR144" s="29" t="str">
        <f t="shared" si="147"/>
        <v>#DIV/0!</v>
      </c>
      <c r="AS144" s="29" t="str">
        <f t="shared" si="147"/>
        <v>#DIV/0!</v>
      </c>
      <c r="AT144" s="29" t="str">
        <f t="shared" si="147"/>
        <v>#DIV/0!</v>
      </c>
      <c r="AU144" s="29" t="str">
        <f t="shared" si="147"/>
        <v>#DIV/0!</v>
      </c>
      <c r="AV144" s="29" t="str">
        <f t="shared" si="147"/>
        <v>#DIV/0!</v>
      </c>
      <c r="AW144" s="29" t="str">
        <f t="shared" si="147"/>
        <v>#DIV/0!</v>
      </c>
      <c r="AX144" s="29" t="str">
        <f t="shared" si="147"/>
        <v>#DIV/0!</v>
      </c>
      <c r="AY144" s="29" t="str">
        <f t="shared" si="147"/>
        <v>#DIV/0!</v>
      </c>
      <c r="AZ144" s="29" t="str">
        <f t="shared" si="147"/>
        <v>#DIV/0!</v>
      </c>
      <c r="BA144" s="29" t="str">
        <f t="shared" si="147"/>
        <v>#DIV/0!</v>
      </c>
      <c r="BB144" s="29" t="str">
        <f t="shared" si="147"/>
        <v>#DIV/0!</v>
      </c>
      <c r="BC144" s="29" t="str">
        <f t="shared" si="147"/>
        <v>#DIV/0!</v>
      </c>
      <c r="BD144" s="29" t="str">
        <f t="shared" si="147"/>
        <v>#DIV/0!</v>
      </c>
      <c r="BE144" s="29" t="str">
        <f t="shared" si="147"/>
        <v>#DIV/0!</v>
      </c>
      <c r="BF144" s="29" t="str">
        <f t="shared" si="147"/>
        <v>#DIV/0!</v>
      </c>
      <c r="BG144" s="29" t="str">
        <f t="shared" si="147"/>
        <v>#DIV/0!</v>
      </c>
      <c r="BH144" s="29" t="str">
        <f t="shared" si="147"/>
        <v>#DIV/0!</v>
      </c>
      <c r="BI144" s="29" t="str">
        <f t="shared" si="147"/>
        <v>#DIV/0!</v>
      </c>
      <c r="BJ144" s="29" t="str">
        <f t="shared" si="147"/>
        <v>#DIV/0!</v>
      </c>
      <c r="BK144" s="29" t="str">
        <f t="shared" si="147"/>
        <v>#DIV/0!</v>
      </c>
      <c r="BL144" s="29" t="str">
        <f t="shared" si="147"/>
        <v>#DIV/0!</v>
      </c>
      <c r="BM144" s="29" t="str">
        <f t="shared" si="3"/>
        <v>#DIV/0!</v>
      </c>
    </row>
    <row r="145">
      <c r="A145" s="16" t="str">
        <f>IFERROR(__xludf.DUMMYFUNCTION("IFERROR(SPARKLINE(SORT(MAP(TRANSPOSE(AQ145:BL145), LAMBDA(val, IF(ISNUMBER(val), PERCENTRANK(AQ145:BL145, val)+0.01, 0))), SEQUENCE(COLUMNS(AQ145:BL145)), FALSE), {""charttype"",""column""; ""color"",""chartreuse""; ""ymin"", 0; ""ymax"", 1.01; ""highcolo"&amp;"r"", ""darkgreen""; ""lowcolor"", ""red""}), """")"),"")</f>
        <v/>
      </c>
      <c r="B145" s="17" t="str">
        <f t="shared" si="4"/>
        <v/>
      </c>
      <c r="C145" s="1" t="s">
        <v>648</v>
      </c>
      <c r="D145" s="30" t="str">
        <f>IFERROR(__xludf.DUMMYFUNCTION("IFERROR(GOOGLEFINANCE(C145, ""NAME""))"),"Gloo Holdings Inc")</f>
        <v>Gloo Holdings Inc</v>
      </c>
      <c r="E145" s="30" t="s">
        <v>48</v>
      </c>
      <c r="F145" s="33" t="str">
        <f>IFERROR(__xludf.DUMMYFUNCTION("( (GOOGLEFINANCE(C145, ""price"") - Q145) / Q145 ) / (R145 / 100)"),"Loading...")</f>
        <v>Loading...</v>
      </c>
      <c r="G145" s="20" t="str">
        <f>IFERROR(__xludf.DUMMYFUNCTION("AVERAGE(ARRAYFORMULA(100 * (QUERY(GOOGLEFINANCE(C145, ""high"", TODAY()-40, TODAY()), ""SELECT Col2 WHERE Col2 IS NOT NULL ORDER BY Col1 DESC LIMIT 20"", 0) / QUERY(GOOGLEFINANCE(C145, ""low"", TODAY()-40, TODAY()), ""SELECT Col2 WHERE Col2 IS NOT NULL OR"&amp;"DER BY Col1 DESC LIMIT 20"", 0) - 1)))"),"#N/A")</f>
        <v>#N/A</v>
      </c>
      <c r="H145" s="35" t="str">
        <f t="shared" si="6"/>
        <v/>
      </c>
      <c r="I145" s="36" t="str">
        <f t="shared" si="7"/>
        <v/>
      </c>
      <c r="J145" s="37" t="str">
        <f>IFERROR(__xludf.DUMMYFUNCTION("IFERROR(
  IF(C145="""",, 
    IFERROR(
      GOOGLEFINANCE(C145, ""price"") * GOOGLEFINANCE(C145, ""volumeavg""), 
      GOOGLEFINANCE(C145, ""price"") * AVERAGE(QUERY(GOOGLEFINANCE(C145, ""volume"", TODAY()-40, TODAY()), ""SELECT Col2 WHERE Col2 IS NOT "&amp;"NULL ORDER BY Col1 DESC LIMIT 20"", 0))
    )
  ), 
"""")"),"")</f>
        <v/>
      </c>
      <c r="K145" s="21" t="str">
        <f>IFERROR(__xludf.DUMMYFUNCTION("IFERROR(GOOGLEFINANCE(C145, ""changepct"") / 100, """")"),"")</f>
        <v/>
      </c>
      <c r="L145" s="21" t="str">
        <f>IFERROR(__xludf.DUMMYFUNCTION("IFERROR((GOOGLEFINANCE(C145, ""price"") / INDEX(GOOGLEFINANCE(C145, ""price"", TODAY()-7, TODAY()), 2, 2)) - 1, """")"),"")</f>
        <v/>
      </c>
      <c r="M145" s="21" t="str">
        <f>IFERROR(__xludf.DUMMYFUNCTION("IFERROR((GOOGLEFINANCE(C145, ""price"") / INDEX(GOOGLEFINANCE(C145, ""price"", EDATE(TODAY(), -1), TODAY()), 2, 2)) - 1, """")"),"")</f>
        <v/>
      </c>
      <c r="N145" s="21" t="str">
        <f>IFERROR(__xludf.DUMMYFUNCTION("IFERROR((GOOGLEFINANCE(C145, ""price"") / INDEX(GOOGLEFINANCE(C145, ""price"", EDATE(TODAY(), -3), TODAY()), 2, 2)) - 1, """")"),"")</f>
        <v/>
      </c>
      <c r="O145" s="21" t="str">
        <f>IFERROR(__xludf.DUMMYFUNCTION("IFERROR((GOOGLEFINANCE(C145, ""price"") / INDEX(GOOGLEFINANCE(C145, ""price"", EDATE(TODAY(), -6), TODAY()), 2, 2)) - 1, """")"),"")</f>
        <v/>
      </c>
      <c r="P145" s="21" t="str">
        <f>IFERROR(__xludf.DUMMYFUNCTION("IFERROR((GOOGLEFINANCE(C145, ""price"") / INDEX(GOOGLEFINANCE(C145, ""price"", EDATE(TODAY(), -12), TODAY()), 2, 2)) - 1, """")"),"")</f>
        <v/>
      </c>
      <c r="Q145" s="6" t="str">
        <f>IFERROR(__xludf.DUMMYFUNCTION("AVERAGE(QUERY(GOOGLEFINANCE(C145, ""price"", TODAY()-80, TODAY()), ""SELECT Col2 WHERE Col2 IS NOT NULL ORDER BY Col1 DESC LIMIT 50"", 0))"),"#N/A")</f>
        <v>#N/A</v>
      </c>
      <c r="R145" s="24" t="str">
        <f>IFERROR(__xludf.DUMMYFUNCTION("IFERROR(
  LET(
    data, QUERY(GOOGLEFINANCE(C145,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GOOGLEFINANCE(C145, ""price"")) * 100,
    IF(calc=0, G145, calc)
  ), 
G145)"),"#N/A")</f>
        <v>#N/A</v>
      </c>
      <c r="S145" s="8" t="s">
        <v>15</v>
      </c>
      <c r="T145" s="26" t="str">
        <f>IFERROR(__xludf.DUMMYFUNCTION("IFERROR(TRANSPOSE(QUERY(IFERROR(SORT(GOOGLEFINANCE(C145, ""price"", WORKDAY(TODAY(), -40), TODAY()), 1, FALSE)), ""select Col2 where Col2 is not null limit 22 label Col2 ''"", 0)), """")"),"")</f>
        <v/>
      </c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8"/>
      <c r="AO145" s="28"/>
      <c r="AP145" s="29"/>
      <c r="AQ145" s="29" t="str">
        <f t="shared" ref="AQ145:BL145" si="148">T145/T$2</f>
        <v>#N/A</v>
      </c>
      <c r="AR145" s="29" t="str">
        <f t="shared" si="148"/>
        <v>#DIV/0!</v>
      </c>
      <c r="AS145" s="29" t="str">
        <f t="shared" si="148"/>
        <v>#DIV/0!</v>
      </c>
      <c r="AT145" s="29" t="str">
        <f t="shared" si="148"/>
        <v>#DIV/0!</v>
      </c>
      <c r="AU145" s="29" t="str">
        <f t="shared" si="148"/>
        <v>#DIV/0!</v>
      </c>
      <c r="AV145" s="29" t="str">
        <f t="shared" si="148"/>
        <v>#DIV/0!</v>
      </c>
      <c r="AW145" s="29" t="str">
        <f t="shared" si="148"/>
        <v>#DIV/0!</v>
      </c>
      <c r="AX145" s="29" t="str">
        <f t="shared" si="148"/>
        <v>#DIV/0!</v>
      </c>
      <c r="AY145" s="29" t="str">
        <f t="shared" si="148"/>
        <v>#DIV/0!</v>
      </c>
      <c r="AZ145" s="29" t="str">
        <f t="shared" si="148"/>
        <v>#DIV/0!</v>
      </c>
      <c r="BA145" s="29" t="str">
        <f t="shared" si="148"/>
        <v>#DIV/0!</v>
      </c>
      <c r="BB145" s="29" t="str">
        <f t="shared" si="148"/>
        <v>#DIV/0!</v>
      </c>
      <c r="BC145" s="29" t="str">
        <f t="shared" si="148"/>
        <v>#DIV/0!</v>
      </c>
      <c r="BD145" s="29" t="str">
        <f t="shared" si="148"/>
        <v>#DIV/0!</v>
      </c>
      <c r="BE145" s="29" t="str">
        <f t="shared" si="148"/>
        <v>#DIV/0!</v>
      </c>
      <c r="BF145" s="29" t="str">
        <f t="shared" si="148"/>
        <v>#DIV/0!</v>
      </c>
      <c r="BG145" s="29" t="str">
        <f t="shared" si="148"/>
        <v>#DIV/0!</v>
      </c>
      <c r="BH145" s="29" t="str">
        <f t="shared" si="148"/>
        <v>#DIV/0!</v>
      </c>
      <c r="BI145" s="29" t="str">
        <f t="shared" si="148"/>
        <v>#DIV/0!</v>
      </c>
      <c r="BJ145" s="29" t="str">
        <f t="shared" si="148"/>
        <v>#DIV/0!</v>
      </c>
      <c r="BK145" s="29" t="str">
        <f t="shared" si="148"/>
        <v>#DIV/0!</v>
      </c>
      <c r="BL145" s="29" t="str">
        <f t="shared" si="148"/>
        <v>#DIV/0!</v>
      </c>
      <c r="BM145" s="29" t="str">
        <f t="shared" si="3"/>
        <v>#DIV/0!</v>
      </c>
    </row>
    <row r="146">
      <c r="A146" s="16" t="str">
        <f>IFERROR(__xludf.DUMMYFUNCTION("IFERROR(SPARKLINE(SORT(MAP(TRANSPOSE(AQ146:BL146), LAMBDA(val, IF(ISNUMBER(val), PERCENTRANK(AQ146:BL146, val)+0.01, 0))), SEQUENCE(COLUMNS(AQ146:BL146)), FALSE), {""charttype"",""column""; ""color"",""chartreuse""; ""ymin"", 0; ""ymax"", 1.01; ""highcolo"&amp;"r"", ""darkgreen""; ""lowcolor"", ""red""}), """")"),"")</f>
        <v/>
      </c>
      <c r="B146" s="17" t="str">
        <f t="shared" si="4"/>
        <v/>
      </c>
      <c r="C146" s="1" t="s">
        <v>652</v>
      </c>
      <c r="D146" s="30" t="str">
        <f>IFERROR(__xludf.DUMMYFUNCTION("IFERROR(GOOGLEFINANCE(C146, ""NAME""))"),"Jack Henry &amp; Associates Inc")</f>
        <v>Jack Henry &amp; Associates Inc</v>
      </c>
      <c r="E146" s="30" t="s">
        <v>102</v>
      </c>
      <c r="F146" s="33" t="str">
        <f>IFERROR(__xludf.DUMMYFUNCTION("( (GOOGLEFINANCE(C146, ""price"") - Q146) / Q146 ) / (R146 / 100)"),"Loading...")</f>
        <v>Loading...</v>
      </c>
      <c r="G146" s="20" t="str">
        <f>IFERROR(__xludf.DUMMYFUNCTION("AVERAGE(ARRAYFORMULA(100 * (QUERY(GOOGLEFINANCE(C146, ""high"", TODAY()-40, TODAY()), ""SELECT Col2 WHERE Col2 IS NOT NULL ORDER BY Col1 DESC LIMIT 20"", 0) / QUERY(GOOGLEFINANCE(C146, ""low"", TODAY()-40, TODAY()), ""SELECT Col2 WHERE Col2 IS NOT NULL OR"&amp;"DER BY Col1 DESC LIMIT 20"", 0) - 1)))"),"#N/A")</f>
        <v>#N/A</v>
      </c>
      <c r="H146" s="35" t="str">
        <f t="shared" si="6"/>
        <v/>
      </c>
      <c r="I146" s="36" t="str">
        <f t="shared" si="7"/>
        <v/>
      </c>
      <c r="J146" s="37" t="str">
        <f>IFERROR(__xludf.DUMMYFUNCTION("IFERROR(
  IF(C146="""",, 
    IFERROR(
      GOOGLEFINANCE(C146, ""price"") * GOOGLEFINANCE(C146, ""volumeavg""), 
      GOOGLEFINANCE(C146, ""price"") * AVERAGE(QUERY(GOOGLEFINANCE(C146, ""volume"", TODAY()-40, TODAY()), ""SELECT Col2 WHERE Col2 IS NOT "&amp;"NULL ORDER BY Col1 DESC LIMIT 20"", 0))
    )
  ), 
"""")"),"")</f>
        <v/>
      </c>
      <c r="K146" s="21" t="str">
        <f>IFERROR(__xludf.DUMMYFUNCTION("IFERROR(GOOGLEFINANCE(C146, ""changepct"") / 100, """")"),"")</f>
        <v/>
      </c>
      <c r="L146" s="21" t="str">
        <f>IFERROR(__xludf.DUMMYFUNCTION("IFERROR((GOOGLEFINANCE(C146, ""price"") / INDEX(GOOGLEFINANCE(C146, ""price"", TODAY()-7, TODAY()), 2, 2)) - 1, """")"),"")</f>
        <v/>
      </c>
      <c r="M146" s="21" t="str">
        <f>IFERROR(__xludf.DUMMYFUNCTION("IFERROR((GOOGLEFINANCE(C146, ""price"") / INDEX(GOOGLEFINANCE(C146, ""price"", EDATE(TODAY(), -1), TODAY()), 2, 2)) - 1, """")"),"")</f>
        <v/>
      </c>
      <c r="N146" s="21" t="str">
        <f>IFERROR(__xludf.DUMMYFUNCTION("IFERROR((GOOGLEFINANCE(C146, ""price"") / INDEX(GOOGLEFINANCE(C146, ""price"", EDATE(TODAY(), -3), TODAY()), 2, 2)) - 1, """")"),"")</f>
        <v/>
      </c>
      <c r="O146" s="21" t="str">
        <f>IFERROR(__xludf.DUMMYFUNCTION("IFERROR((GOOGLEFINANCE(C146, ""price"") / INDEX(GOOGLEFINANCE(C146, ""price"", EDATE(TODAY(), -6), TODAY()), 2, 2)) - 1, """")"),"")</f>
        <v/>
      </c>
      <c r="P146" s="21" t="str">
        <f>IFERROR(__xludf.DUMMYFUNCTION("IFERROR((GOOGLEFINANCE(C146, ""price"") / INDEX(GOOGLEFINANCE(C146, ""price"", EDATE(TODAY(), -12), TODAY()), 2, 2)) - 1, """")"),"")</f>
        <v/>
      </c>
      <c r="Q146" s="6" t="str">
        <f>IFERROR(__xludf.DUMMYFUNCTION("AVERAGE(QUERY(GOOGLEFINANCE(C146, ""price"", TODAY()-80, TODAY()), ""SELECT Col2 WHERE Col2 IS NOT NULL ORDER BY Col1 DESC LIMIT 50"", 0))"),"#N/A")</f>
        <v>#N/A</v>
      </c>
      <c r="R146" s="24" t="str">
        <f>IFERROR(__xludf.DUMMYFUNCTION("IFERROR(
  LET(
    data, QUERY(GOOGLEFINANCE(C146,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GOOGLEFINANCE(C146, ""price"")) * 100,
    IF(calc=0, G146, calc)
  ), 
G146)"),"#N/A")</f>
        <v>#N/A</v>
      </c>
      <c r="S146" s="8" t="s">
        <v>15</v>
      </c>
      <c r="T146" s="26" t="str">
        <f>IFERROR(__xludf.DUMMYFUNCTION("IFERROR(TRANSPOSE(QUERY(IFERROR(SORT(GOOGLEFINANCE(C146, ""price"", WORKDAY(TODAY(), -40), TODAY()), 1, FALSE)), ""select Col2 where Col2 is not null limit 22 label Col2 ''"", 0)), """")"),"")</f>
        <v/>
      </c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8"/>
      <c r="AO146" s="28"/>
      <c r="AP146" s="29"/>
      <c r="AQ146" s="29" t="str">
        <f t="shared" ref="AQ146:BL146" si="149">T146/T$2</f>
        <v>#N/A</v>
      </c>
      <c r="AR146" s="29" t="str">
        <f t="shared" si="149"/>
        <v>#DIV/0!</v>
      </c>
      <c r="AS146" s="29" t="str">
        <f t="shared" si="149"/>
        <v>#DIV/0!</v>
      </c>
      <c r="AT146" s="29" t="str">
        <f t="shared" si="149"/>
        <v>#DIV/0!</v>
      </c>
      <c r="AU146" s="29" t="str">
        <f t="shared" si="149"/>
        <v>#DIV/0!</v>
      </c>
      <c r="AV146" s="29" t="str">
        <f t="shared" si="149"/>
        <v>#DIV/0!</v>
      </c>
      <c r="AW146" s="29" t="str">
        <f t="shared" si="149"/>
        <v>#DIV/0!</v>
      </c>
      <c r="AX146" s="29" t="str">
        <f t="shared" si="149"/>
        <v>#DIV/0!</v>
      </c>
      <c r="AY146" s="29" t="str">
        <f t="shared" si="149"/>
        <v>#DIV/0!</v>
      </c>
      <c r="AZ146" s="29" t="str">
        <f t="shared" si="149"/>
        <v>#DIV/0!</v>
      </c>
      <c r="BA146" s="29" t="str">
        <f t="shared" si="149"/>
        <v>#DIV/0!</v>
      </c>
      <c r="BB146" s="29" t="str">
        <f t="shared" si="149"/>
        <v>#DIV/0!</v>
      </c>
      <c r="BC146" s="29" t="str">
        <f t="shared" si="149"/>
        <v>#DIV/0!</v>
      </c>
      <c r="BD146" s="29" t="str">
        <f t="shared" si="149"/>
        <v>#DIV/0!</v>
      </c>
      <c r="BE146" s="29" t="str">
        <f t="shared" si="149"/>
        <v>#DIV/0!</v>
      </c>
      <c r="BF146" s="29" t="str">
        <f t="shared" si="149"/>
        <v>#DIV/0!</v>
      </c>
      <c r="BG146" s="29" t="str">
        <f t="shared" si="149"/>
        <v>#DIV/0!</v>
      </c>
      <c r="BH146" s="29" t="str">
        <f t="shared" si="149"/>
        <v>#DIV/0!</v>
      </c>
      <c r="BI146" s="29" t="str">
        <f t="shared" si="149"/>
        <v>#DIV/0!</v>
      </c>
      <c r="BJ146" s="29" t="str">
        <f t="shared" si="149"/>
        <v>#DIV/0!</v>
      </c>
      <c r="BK146" s="29" t="str">
        <f t="shared" si="149"/>
        <v>#DIV/0!</v>
      </c>
      <c r="BL146" s="29" t="str">
        <f t="shared" si="149"/>
        <v>#DIV/0!</v>
      </c>
      <c r="BM146" s="29" t="str">
        <f t="shared" si="3"/>
        <v>#DIV/0!</v>
      </c>
    </row>
    <row r="147">
      <c r="A147" s="16" t="str">
        <f>IFERROR(__xludf.DUMMYFUNCTION("IFERROR(SPARKLINE(SORT(MAP(TRANSPOSE(AQ147:BL147), LAMBDA(val, IF(ISNUMBER(val), PERCENTRANK(AQ147:BL147, val)+0.01, 0))), SEQUENCE(COLUMNS(AQ147:BL147)), FALSE), {""charttype"",""column""; ""color"",""chartreuse""; ""ymin"", 0; ""ymax"", 1.01; ""highcolo"&amp;"r"", ""darkgreen""; ""lowcolor"", ""red""}), """")"),"")</f>
        <v/>
      </c>
      <c r="B147" s="17" t="str">
        <f t="shared" si="4"/>
        <v/>
      </c>
      <c r="C147" s="1" t="s">
        <v>655</v>
      </c>
      <c r="D147" s="30" t="str">
        <f>IFERROR(__xludf.DUMMYFUNCTION("IFERROR(GOOGLEFINANCE(C147, ""NAME""))"),"i3 Verticals Inc")</f>
        <v>i3 Verticals Inc</v>
      </c>
      <c r="E147" s="30" t="s">
        <v>58</v>
      </c>
      <c r="F147" s="33" t="str">
        <f>IFERROR(__xludf.DUMMYFUNCTION("( (GOOGLEFINANCE(C147, ""price"") - Q147) / Q147 ) / (R147 / 100)"),"Loading...")</f>
        <v>Loading...</v>
      </c>
      <c r="G147" s="20" t="str">
        <f>IFERROR(__xludf.DUMMYFUNCTION("AVERAGE(ARRAYFORMULA(100 * (QUERY(GOOGLEFINANCE(C147, ""high"", TODAY()-40, TODAY()), ""SELECT Col2 WHERE Col2 IS NOT NULL ORDER BY Col1 DESC LIMIT 20"", 0) / QUERY(GOOGLEFINANCE(C147, ""low"", TODAY()-40, TODAY()), ""SELECT Col2 WHERE Col2 IS NOT NULL OR"&amp;"DER BY Col1 DESC LIMIT 20"", 0) - 1)))"),"#N/A")</f>
        <v>#N/A</v>
      </c>
      <c r="H147" s="35" t="str">
        <f t="shared" si="6"/>
        <v/>
      </c>
      <c r="I147" s="36" t="str">
        <f t="shared" si="7"/>
        <v/>
      </c>
      <c r="J147" s="37" t="str">
        <f>IFERROR(__xludf.DUMMYFUNCTION("IFERROR(
  IF(C147="""",, 
    IFERROR(
      GOOGLEFINANCE(C147, ""price"") * GOOGLEFINANCE(C147, ""volumeavg""), 
      GOOGLEFINANCE(C147, ""price"") * AVERAGE(QUERY(GOOGLEFINANCE(C147, ""volume"", TODAY()-40, TODAY()), ""SELECT Col2 WHERE Col2 IS NOT "&amp;"NULL ORDER BY Col1 DESC LIMIT 20"", 0))
    )
  ), 
"""")"),"")</f>
        <v/>
      </c>
      <c r="K147" s="21" t="str">
        <f>IFERROR(__xludf.DUMMYFUNCTION("IFERROR(GOOGLEFINANCE(C147, ""changepct"") / 100, """")"),"")</f>
        <v/>
      </c>
      <c r="L147" s="21" t="str">
        <f>IFERROR(__xludf.DUMMYFUNCTION("IFERROR((GOOGLEFINANCE(C147, ""price"") / INDEX(GOOGLEFINANCE(C147, ""price"", TODAY()-7, TODAY()), 2, 2)) - 1, """")"),"")</f>
        <v/>
      </c>
      <c r="M147" s="21" t="str">
        <f>IFERROR(__xludf.DUMMYFUNCTION("IFERROR((GOOGLEFINANCE(C147, ""price"") / INDEX(GOOGLEFINANCE(C147, ""price"", EDATE(TODAY(), -1), TODAY()), 2, 2)) - 1, """")"),"")</f>
        <v/>
      </c>
      <c r="N147" s="21" t="str">
        <f>IFERROR(__xludf.DUMMYFUNCTION("IFERROR((GOOGLEFINANCE(C147, ""price"") / INDEX(GOOGLEFINANCE(C147, ""price"", EDATE(TODAY(), -3), TODAY()), 2, 2)) - 1, """")"),"")</f>
        <v/>
      </c>
      <c r="O147" s="21" t="str">
        <f>IFERROR(__xludf.DUMMYFUNCTION("IFERROR((GOOGLEFINANCE(C147, ""price"") / INDEX(GOOGLEFINANCE(C147, ""price"", EDATE(TODAY(), -6), TODAY()), 2, 2)) - 1, """")"),"")</f>
        <v/>
      </c>
      <c r="P147" s="21" t="str">
        <f>IFERROR(__xludf.DUMMYFUNCTION("IFERROR((GOOGLEFINANCE(C147, ""price"") / INDEX(GOOGLEFINANCE(C147, ""price"", EDATE(TODAY(), -12), TODAY()), 2, 2)) - 1, """")"),"")</f>
        <v/>
      </c>
      <c r="Q147" s="6" t="str">
        <f>IFERROR(__xludf.DUMMYFUNCTION("AVERAGE(QUERY(GOOGLEFINANCE(C147, ""price"", TODAY()-80, TODAY()), ""SELECT Col2 WHERE Col2 IS NOT NULL ORDER BY Col1 DESC LIMIT 50"", 0))"),"#N/A")</f>
        <v>#N/A</v>
      </c>
      <c r="R147" s="24" t="str">
        <f>IFERROR(__xludf.DUMMYFUNCTION("IFERROR(
  LET(
    data, QUERY(GOOGLEFINANCE(C147,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GOOGLEFINANCE(C147, ""price"")) * 100,
    IF(calc=0, G147, calc)
  ), 
G147)"),"#N/A")</f>
        <v>#N/A</v>
      </c>
      <c r="S147" s="8" t="s">
        <v>15</v>
      </c>
      <c r="T147" s="26" t="str">
        <f>IFERROR(__xludf.DUMMYFUNCTION("IFERROR(TRANSPOSE(QUERY(IFERROR(SORT(GOOGLEFINANCE(C147, ""price"", WORKDAY(TODAY(), -40), TODAY()), 1, FALSE)), ""select Col2 where Col2 is not null limit 22 label Col2 ''"", 0)), """")"),"")</f>
        <v/>
      </c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8"/>
      <c r="AO147" s="28"/>
      <c r="AP147" s="29"/>
      <c r="AQ147" s="29" t="str">
        <f t="shared" ref="AQ147:BL147" si="150">T147/T$2</f>
        <v>#N/A</v>
      </c>
      <c r="AR147" s="29" t="str">
        <f t="shared" si="150"/>
        <v>#DIV/0!</v>
      </c>
      <c r="AS147" s="29" t="str">
        <f t="shared" si="150"/>
        <v>#DIV/0!</v>
      </c>
      <c r="AT147" s="29" t="str">
        <f t="shared" si="150"/>
        <v>#DIV/0!</v>
      </c>
      <c r="AU147" s="29" t="str">
        <f t="shared" si="150"/>
        <v>#DIV/0!</v>
      </c>
      <c r="AV147" s="29" t="str">
        <f t="shared" si="150"/>
        <v>#DIV/0!</v>
      </c>
      <c r="AW147" s="29" t="str">
        <f t="shared" si="150"/>
        <v>#DIV/0!</v>
      </c>
      <c r="AX147" s="29" t="str">
        <f t="shared" si="150"/>
        <v>#DIV/0!</v>
      </c>
      <c r="AY147" s="29" t="str">
        <f t="shared" si="150"/>
        <v>#DIV/0!</v>
      </c>
      <c r="AZ147" s="29" t="str">
        <f t="shared" si="150"/>
        <v>#DIV/0!</v>
      </c>
      <c r="BA147" s="29" t="str">
        <f t="shared" si="150"/>
        <v>#DIV/0!</v>
      </c>
      <c r="BB147" s="29" t="str">
        <f t="shared" si="150"/>
        <v>#DIV/0!</v>
      </c>
      <c r="BC147" s="29" t="str">
        <f t="shared" si="150"/>
        <v>#DIV/0!</v>
      </c>
      <c r="BD147" s="29" t="str">
        <f t="shared" si="150"/>
        <v>#DIV/0!</v>
      </c>
      <c r="BE147" s="29" t="str">
        <f t="shared" si="150"/>
        <v>#DIV/0!</v>
      </c>
      <c r="BF147" s="29" t="str">
        <f t="shared" si="150"/>
        <v>#DIV/0!</v>
      </c>
      <c r="BG147" s="29" t="str">
        <f t="shared" si="150"/>
        <v>#DIV/0!</v>
      </c>
      <c r="BH147" s="29" t="str">
        <f t="shared" si="150"/>
        <v>#DIV/0!</v>
      </c>
      <c r="BI147" s="29" t="str">
        <f t="shared" si="150"/>
        <v>#DIV/0!</v>
      </c>
      <c r="BJ147" s="29" t="str">
        <f t="shared" si="150"/>
        <v>#DIV/0!</v>
      </c>
      <c r="BK147" s="29" t="str">
        <f t="shared" si="150"/>
        <v>#DIV/0!</v>
      </c>
      <c r="BL147" s="29" t="str">
        <f t="shared" si="150"/>
        <v>#DIV/0!</v>
      </c>
      <c r="BM147" s="29" t="str">
        <f t="shared" si="3"/>
        <v>#DIV/0!</v>
      </c>
    </row>
    <row r="148">
      <c r="A148" s="16" t="str">
        <f>IFERROR(__xludf.DUMMYFUNCTION("IFERROR(SPARKLINE(SORT(MAP(TRANSPOSE(AQ148:BL148), LAMBDA(val, IF(ISNUMBER(val), PERCENTRANK(AQ148:BL148, val)+0.01, 0))), SEQUENCE(COLUMNS(AQ148:BL148)), FALSE), {""charttype"",""column""; ""color"",""chartreuse""; ""ymin"", 0; ""ymax"", 1.01; ""highcolo"&amp;"r"", ""darkgreen""; ""lowcolor"", ""red""}), """")"),"")</f>
        <v/>
      </c>
      <c r="B148" s="17" t="str">
        <f t="shared" si="4"/>
        <v/>
      </c>
      <c r="C148" s="1" t="s">
        <v>663</v>
      </c>
      <c r="D148" s="30" t="str">
        <f>IFERROR(__xludf.DUMMYFUNCTION("IFERROR(GOOGLEFINANCE(C148, ""NAME""))"),"BGIN Blockchain Ltd")</f>
        <v>BGIN Blockchain Ltd</v>
      </c>
      <c r="E148" s="30" t="s">
        <v>477</v>
      </c>
      <c r="F148" s="33" t="str">
        <f>IFERROR(__xludf.DUMMYFUNCTION("( (GOOGLEFINANCE(C148, ""price"") - Q148) / Q148 ) / (R148 / 100)"),"Loading...")</f>
        <v>Loading...</v>
      </c>
      <c r="G148" s="20" t="str">
        <f>IFERROR(__xludf.DUMMYFUNCTION("AVERAGE(ARRAYFORMULA(100 * (QUERY(GOOGLEFINANCE(C148, ""high"", TODAY()-40, TODAY()), ""SELECT Col2 WHERE Col2 IS NOT NULL ORDER BY Col1 DESC LIMIT 20"", 0) / QUERY(GOOGLEFINANCE(C148, ""low"", TODAY()-40, TODAY()), ""SELECT Col2 WHERE Col2 IS NOT NULL OR"&amp;"DER BY Col1 DESC LIMIT 20"", 0) - 1)))"),"#N/A")</f>
        <v>#N/A</v>
      </c>
      <c r="H148" s="35" t="str">
        <f t="shared" si="6"/>
        <v/>
      </c>
      <c r="I148" s="36" t="str">
        <f t="shared" si="7"/>
        <v/>
      </c>
      <c r="J148" s="37" t="str">
        <f>IFERROR(__xludf.DUMMYFUNCTION("IFERROR(
  IF(C148="""",, 
    IFERROR(
      GOOGLEFINANCE(C148, ""price"") * GOOGLEFINANCE(C148, ""volumeavg""), 
      GOOGLEFINANCE(C148, ""price"") * AVERAGE(QUERY(GOOGLEFINANCE(C148, ""volume"", TODAY()-40, TODAY()), ""SELECT Col2 WHERE Col2 IS NOT "&amp;"NULL ORDER BY Col1 DESC LIMIT 20"", 0))
    )
  ), 
"""")"),"")</f>
        <v/>
      </c>
      <c r="K148" s="21" t="str">
        <f>IFERROR(__xludf.DUMMYFUNCTION("IFERROR(GOOGLEFINANCE(C148, ""changepct"") / 100, """")"),"")</f>
        <v/>
      </c>
      <c r="L148" s="21" t="str">
        <f>IFERROR(__xludf.DUMMYFUNCTION("IFERROR((GOOGLEFINANCE(C148, ""price"") / INDEX(GOOGLEFINANCE(C148, ""price"", TODAY()-7, TODAY()), 2, 2)) - 1, """")"),"")</f>
        <v/>
      </c>
      <c r="M148" s="21" t="str">
        <f>IFERROR(__xludf.DUMMYFUNCTION("IFERROR((GOOGLEFINANCE(C148, ""price"") / INDEX(GOOGLEFINANCE(C148, ""price"", EDATE(TODAY(), -1), TODAY()), 2, 2)) - 1, """")"),"")</f>
        <v/>
      </c>
      <c r="N148" s="21" t="str">
        <f>IFERROR(__xludf.DUMMYFUNCTION("IFERROR((GOOGLEFINANCE(C148, ""price"") / INDEX(GOOGLEFINANCE(C148, ""price"", EDATE(TODAY(), -3), TODAY()), 2, 2)) - 1, """")"),"")</f>
        <v/>
      </c>
      <c r="O148" s="21" t="str">
        <f>IFERROR(__xludf.DUMMYFUNCTION("IFERROR((GOOGLEFINANCE(C148, ""price"") / INDEX(GOOGLEFINANCE(C148, ""price"", EDATE(TODAY(), -6), TODAY()), 2, 2)) - 1, """")"),"")</f>
        <v/>
      </c>
      <c r="P148" s="21" t="str">
        <f>IFERROR(__xludf.DUMMYFUNCTION("IFERROR((GOOGLEFINANCE(C148, ""price"") / INDEX(GOOGLEFINANCE(C148, ""price"", EDATE(TODAY(), -12), TODAY()), 2, 2)) - 1, """")"),"")</f>
        <v/>
      </c>
      <c r="Q148" s="6" t="str">
        <f>IFERROR(__xludf.DUMMYFUNCTION("AVERAGE(QUERY(GOOGLEFINANCE(C148, ""price"", TODAY()-80, TODAY()), ""SELECT Col2 WHERE Col2 IS NOT NULL ORDER BY Col1 DESC LIMIT 50"", 0))"),"#N/A")</f>
        <v>#N/A</v>
      </c>
      <c r="R148" s="24" t="str">
        <f>IFERROR(__xludf.DUMMYFUNCTION("IFERROR(
  LET(
    data, QUERY(GOOGLEFINANCE(C148,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GOOGLEFINANCE(C148, ""price"")) * 100,
    IF(calc=0, G148, calc)
  ), 
G148)"),"#N/A")</f>
        <v>#N/A</v>
      </c>
      <c r="S148" s="8" t="s">
        <v>15</v>
      </c>
      <c r="T148" s="26" t="str">
        <f>IFERROR(__xludf.DUMMYFUNCTION("IFERROR(TRANSPOSE(QUERY(IFERROR(SORT(GOOGLEFINANCE(C148, ""price"", WORKDAY(TODAY(), -40), TODAY()), 1, FALSE)), ""select Col2 where Col2 is not null limit 22 label Col2 ''"", 0)), """")"),"")</f>
        <v/>
      </c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8"/>
      <c r="AO148" s="28"/>
      <c r="AP148" s="29"/>
      <c r="AQ148" s="29" t="str">
        <f t="shared" ref="AQ148:BL148" si="151">T148/T$2</f>
        <v>#N/A</v>
      </c>
      <c r="AR148" s="29" t="str">
        <f t="shared" si="151"/>
        <v>#DIV/0!</v>
      </c>
      <c r="AS148" s="29" t="str">
        <f t="shared" si="151"/>
        <v>#DIV/0!</v>
      </c>
      <c r="AT148" s="29" t="str">
        <f t="shared" si="151"/>
        <v>#DIV/0!</v>
      </c>
      <c r="AU148" s="29" t="str">
        <f t="shared" si="151"/>
        <v>#DIV/0!</v>
      </c>
      <c r="AV148" s="29" t="str">
        <f t="shared" si="151"/>
        <v>#DIV/0!</v>
      </c>
      <c r="AW148" s="29" t="str">
        <f t="shared" si="151"/>
        <v>#DIV/0!</v>
      </c>
      <c r="AX148" s="29" t="str">
        <f t="shared" si="151"/>
        <v>#DIV/0!</v>
      </c>
      <c r="AY148" s="29" t="str">
        <f t="shared" si="151"/>
        <v>#DIV/0!</v>
      </c>
      <c r="AZ148" s="29" t="str">
        <f t="shared" si="151"/>
        <v>#DIV/0!</v>
      </c>
      <c r="BA148" s="29" t="str">
        <f t="shared" si="151"/>
        <v>#DIV/0!</v>
      </c>
      <c r="BB148" s="29" t="str">
        <f t="shared" si="151"/>
        <v>#DIV/0!</v>
      </c>
      <c r="BC148" s="29" t="str">
        <f t="shared" si="151"/>
        <v>#DIV/0!</v>
      </c>
      <c r="BD148" s="29" t="str">
        <f t="shared" si="151"/>
        <v>#DIV/0!</v>
      </c>
      <c r="BE148" s="29" t="str">
        <f t="shared" si="151"/>
        <v>#DIV/0!</v>
      </c>
      <c r="BF148" s="29" t="str">
        <f t="shared" si="151"/>
        <v>#DIV/0!</v>
      </c>
      <c r="BG148" s="29" t="str">
        <f t="shared" si="151"/>
        <v>#DIV/0!</v>
      </c>
      <c r="BH148" s="29" t="str">
        <f t="shared" si="151"/>
        <v>#DIV/0!</v>
      </c>
      <c r="BI148" s="29" t="str">
        <f t="shared" si="151"/>
        <v>#DIV/0!</v>
      </c>
      <c r="BJ148" s="29" t="str">
        <f t="shared" si="151"/>
        <v>#DIV/0!</v>
      </c>
      <c r="BK148" s="29" t="str">
        <f t="shared" si="151"/>
        <v>#DIV/0!</v>
      </c>
      <c r="BL148" s="29" t="str">
        <f t="shared" si="151"/>
        <v>#DIV/0!</v>
      </c>
      <c r="BM148" s="29" t="str">
        <f t="shared" si="3"/>
        <v>#DIV/0!</v>
      </c>
    </row>
    <row r="149">
      <c r="A149" s="16" t="str">
        <f>IFERROR(__xludf.DUMMYFUNCTION("IFERROR(SPARKLINE(SORT(MAP(TRANSPOSE(AQ149:BL149), LAMBDA(val, IF(ISNUMBER(val), PERCENTRANK(AQ149:BL149, val)+0.01, 0))), SEQUENCE(COLUMNS(AQ149:BL149)), FALSE), {""charttype"",""column""; ""color"",""chartreuse""; ""ymin"", 0; ""ymax"", 1.01; ""highcolo"&amp;"r"", ""darkgreen""; ""lowcolor"", ""red""}), """")"),"")</f>
        <v/>
      </c>
      <c r="B149" s="17" t="str">
        <f t="shared" si="4"/>
        <v/>
      </c>
      <c r="C149" s="1" t="s">
        <v>666</v>
      </c>
      <c r="D149" s="30" t="str">
        <f>IFERROR(__xludf.DUMMYFUNCTION("IFERROR(GOOGLEFINANCE(C149, ""NAME""))"),"Onespan Inc")</f>
        <v>Onespan Inc</v>
      </c>
      <c r="E149" s="30" t="s">
        <v>58</v>
      </c>
      <c r="F149" s="33" t="str">
        <f>IFERROR(__xludf.DUMMYFUNCTION("( (GOOGLEFINANCE(C149, ""price"") - Q149) / Q149 ) / (R149 / 100)"),"Loading...")</f>
        <v>Loading...</v>
      </c>
      <c r="G149" s="20" t="str">
        <f>IFERROR(__xludf.DUMMYFUNCTION("AVERAGE(ARRAYFORMULA(100 * (QUERY(GOOGLEFINANCE(C149, ""high"", TODAY()-40, TODAY()), ""SELECT Col2 WHERE Col2 IS NOT NULL ORDER BY Col1 DESC LIMIT 20"", 0) / QUERY(GOOGLEFINANCE(C149, ""low"", TODAY()-40, TODAY()), ""SELECT Col2 WHERE Col2 IS NOT NULL OR"&amp;"DER BY Col1 DESC LIMIT 20"", 0) - 1)))"),"#N/A")</f>
        <v>#N/A</v>
      </c>
      <c r="H149" s="35" t="str">
        <f t="shared" si="6"/>
        <v/>
      </c>
      <c r="I149" s="36" t="str">
        <f t="shared" si="7"/>
        <v/>
      </c>
      <c r="J149" s="37" t="str">
        <f>IFERROR(__xludf.DUMMYFUNCTION("IFERROR(
  IF(C149="""",, 
    IFERROR(
      GOOGLEFINANCE(C149, ""price"") * GOOGLEFINANCE(C149, ""volumeavg""), 
      GOOGLEFINANCE(C149, ""price"") * AVERAGE(QUERY(GOOGLEFINANCE(C149, ""volume"", TODAY()-40, TODAY()), ""SELECT Col2 WHERE Col2 IS NOT "&amp;"NULL ORDER BY Col1 DESC LIMIT 20"", 0))
    )
  ), 
"""")"),"")</f>
        <v/>
      </c>
      <c r="K149" s="21" t="str">
        <f>IFERROR(__xludf.DUMMYFUNCTION("IFERROR(GOOGLEFINANCE(C149, ""changepct"") / 100, """")"),"")</f>
        <v/>
      </c>
      <c r="L149" s="21" t="str">
        <f>IFERROR(__xludf.DUMMYFUNCTION("IFERROR((GOOGLEFINANCE(C149, ""price"") / INDEX(GOOGLEFINANCE(C149, ""price"", TODAY()-7, TODAY()), 2, 2)) - 1, """")"),"")</f>
        <v/>
      </c>
      <c r="M149" s="21" t="str">
        <f>IFERROR(__xludf.DUMMYFUNCTION("IFERROR((GOOGLEFINANCE(C149, ""price"") / INDEX(GOOGLEFINANCE(C149, ""price"", EDATE(TODAY(), -1), TODAY()), 2, 2)) - 1, """")"),"")</f>
        <v/>
      </c>
      <c r="N149" s="21" t="str">
        <f>IFERROR(__xludf.DUMMYFUNCTION("IFERROR((GOOGLEFINANCE(C149, ""price"") / INDEX(GOOGLEFINANCE(C149, ""price"", EDATE(TODAY(), -3), TODAY()), 2, 2)) - 1, """")"),"")</f>
        <v/>
      </c>
      <c r="O149" s="21" t="str">
        <f>IFERROR(__xludf.DUMMYFUNCTION("IFERROR((GOOGLEFINANCE(C149, ""price"") / INDEX(GOOGLEFINANCE(C149, ""price"", EDATE(TODAY(), -6), TODAY()), 2, 2)) - 1, """")"),"")</f>
        <v/>
      </c>
      <c r="P149" s="21" t="str">
        <f>IFERROR(__xludf.DUMMYFUNCTION("IFERROR((GOOGLEFINANCE(C149, ""price"") / INDEX(GOOGLEFINANCE(C149, ""price"", EDATE(TODAY(), -12), TODAY()), 2, 2)) - 1, """")"),"")</f>
        <v/>
      </c>
      <c r="Q149" s="6" t="str">
        <f>IFERROR(__xludf.DUMMYFUNCTION("AVERAGE(QUERY(GOOGLEFINANCE(C149, ""price"", TODAY()-80, TODAY()), ""SELECT Col2 WHERE Col2 IS NOT NULL ORDER BY Col1 DESC LIMIT 50"", 0))"),"#N/A")</f>
        <v>#N/A</v>
      </c>
      <c r="R149" s="24" t="str">
        <f>IFERROR(__xludf.DUMMYFUNCTION("IFERROR(
  LET(
    data, QUERY(GOOGLEFINANCE(C149,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GOOGLEFINANCE(C149, ""price"")) * 100,
    IF(calc=0, G149, calc)
  ), 
G149)"),"#N/A")</f>
        <v>#N/A</v>
      </c>
      <c r="S149" s="8" t="s">
        <v>15</v>
      </c>
      <c r="T149" s="26" t="str">
        <f>IFERROR(__xludf.DUMMYFUNCTION("IFERROR(TRANSPOSE(QUERY(IFERROR(SORT(GOOGLEFINANCE(C149, ""price"", WORKDAY(TODAY(), -40), TODAY()), 1, FALSE)), ""select Col2 where Col2 is not null limit 22 label Col2 ''"", 0)), """")"),"")</f>
        <v/>
      </c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8"/>
      <c r="AO149" s="28"/>
      <c r="AP149" s="29"/>
      <c r="AQ149" s="29" t="str">
        <f t="shared" ref="AQ149:BL149" si="152">T149/T$2</f>
        <v>#N/A</v>
      </c>
      <c r="AR149" s="29" t="str">
        <f t="shared" si="152"/>
        <v>#DIV/0!</v>
      </c>
      <c r="AS149" s="29" t="str">
        <f t="shared" si="152"/>
        <v>#DIV/0!</v>
      </c>
      <c r="AT149" s="29" t="str">
        <f t="shared" si="152"/>
        <v>#DIV/0!</v>
      </c>
      <c r="AU149" s="29" t="str">
        <f t="shared" si="152"/>
        <v>#DIV/0!</v>
      </c>
      <c r="AV149" s="29" t="str">
        <f t="shared" si="152"/>
        <v>#DIV/0!</v>
      </c>
      <c r="AW149" s="29" t="str">
        <f t="shared" si="152"/>
        <v>#DIV/0!</v>
      </c>
      <c r="AX149" s="29" t="str">
        <f t="shared" si="152"/>
        <v>#DIV/0!</v>
      </c>
      <c r="AY149" s="29" t="str">
        <f t="shared" si="152"/>
        <v>#DIV/0!</v>
      </c>
      <c r="AZ149" s="29" t="str">
        <f t="shared" si="152"/>
        <v>#DIV/0!</v>
      </c>
      <c r="BA149" s="29" t="str">
        <f t="shared" si="152"/>
        <v>#DIV/0!</v>
      </c>
      <c r="BB149" s="29" t="str">
        <f t="shared" si="152"/>
        <v>#DIV/0!</v>
      </c>
      <c r="BC149" s="29" t="str">
        <f t="shared" si="152"/>
        <v>#DIV/0!</v>
      </c>
      <c r="BD149" s="29" t="str">
        <f t="shared" si="152"/>
        <v>#DIV/0!</v>
      </c>
      <c r="BE149" s="29" t="str">
        <f t="shared" si="152"/>
        <v>#DIV/0!</v>
      </c>
      <c r="BF149" s="29" t="str">
        <f t="shared" si="152"/>
        <v>#DIV/0!</v>
      </c>
      <c r="BG149" s="29" t="str">
        <f t="shared" si="152"/>
        <v>#DIV/0!</v>
      </c>
      <c r="BH149" s="29" t="str">
        <f t="shared" si="152"/>
        <v>#DIV/0!</v>
      </c>
      <c r="BI149" s="29" t="str">
        <f t="shared" si="152"/>
        <v>#DIV/0!</v>
      </c>
      <c r="BJ149" s="29" t="str">
        <f t="shared" si="152"/>
        <v>#DIV/0!</v>
      </c>
      <c r="BK149" s="29" t="str">
        <f t="shared" si="152"/>
        <v>#DIV/0!</v>
      </c>
      <c r="BL149" s="29" t="str">
        <f t="shared" si="152"/>
        <v>#DIV/0!</v>
      </c>
      <c r="BM149" s="29" t="str">
        <f t="shared" si="3"/>
        <v>#DIV/0!</v>
      </c>
    </row>
    <row r="150">
      <c r="A150" s="16" t="str">
        <f>IFERROR(__xludf.DUMMYFUNCTION("IFERROR(SPARKLINE(SORT(MAP(TRANSPOSE(AQ150:BL150), LAMBDA(val, IF(ISNUMBER(val), PERCENTRANK(AQ150:BL150, val)+0.01, 0))), SEQUENCE(COLUMNS(AQ150:BL150)), FALSE), {""charttype"",""column""; ""color"",""chartreuse""; ""ymin"", 0; ""ymax"", 1.01; ""highcolo"&amp;"r"", ""darkgreen""; ""lowcolor"", ""red""}), """")"),"")</f>
        <v/>
      </c>
      <c r="B150" s="17" t="str">
        <f t="shared" si="4"/>
        <v/>
      </c>
      <c r="C150" s="1" t="s">
        <v>669</v>
      </c>
      <c r="D150" s="30" t="str">
        <f>IFERROR(__xludf.DUMMYFUNCTION("IFERROR(GOOGLEFINANCE(C150, ""NAME""))"),"Science Applications International Corp")</f>
        <v>Science Applications International Corp</v>
      </c>
      <c r="E150" s="30" t="s">
        <v>102</v>
      </c>
      <c r="F150" s="33" t="str">
        <f>IFERROR(__xludf.DUMMYFUNCTION("( (GOOGLEFINANCE(C150, ""price"") - Q150) / Q150 ) / (R150 / 100)"),"Loading...")</f>
        <v>Loading...</v>
      </c>
      <c r="G150" s="20" t="str">
        <f>IFERROR(__xludf.DUMMYFUNCTION("AVERAGE(ARRAYFORMULA(100 * (QUERY(GOOGLEFINANCE(C150, ""high"", TODAY()-40, TODAY()), ""SELECT Col2 WHERE Col2 IS NOT NULL ORDER BY Col1 DESC LIMIT 20"", 0) / QUERY(GOOGLEFINANCE(C150, ""low"", TODAY()-40, TODAY()), ""SELECT Col2 WHERE Col2 IS NOT NULL OR"&amp;"DER BY Col1 DESC LIMIT 20"", 0) - 1)))"),"#N/A")</f>
        <v>#N/A</v>
      </c>
      <c r="H150" s="35" t="str">
        <f t="shared" si="6"/>
        <v/>
      </c>
      <c r="I150" s="36" t="str">
        <f t="shared" si="7"/>
        <v/>
      </c>
      <c r="J150" s="37" t="str">
        <f>IFERROR(__xludf.DUMMYFUNCTION("IFERROR(
  IF(C150="""",, 
    IFERROR(
      GOOGLEFINANCE(C150, ""price"") * GOOGLEFINANCE(C150, ""volumeavg""), 
      GOOGLEFINANCE(C150, ""price"") * AVERAGE(QUERY(GOOGLEFINANCE(C150, ""volume"", TODAY()-40, TODAY()), ""SELECT Col2 WHERE Col2 IS NOT "&amp;"NULL ORDER BY Col1 DESC LIMIT 20"", 0))
    )
  ), 
"""")"),"")</f>
        <v/>
      </c>
      <c r="K150" s="21" t="str">
        <f>IFERROR(__xludf.DUMMYFUNCTION("IFERROR(GOOGLEFINANCE(C150, ""changepct"") / 100, """")"),"")</f>
        <v/>
      </c>
      <c r="L150" s="21" t="str">
        <f>IFERROR(__xludf.DUMMYFUNCTION("IFERROR((GOOGLEFINANCE(C150, ""price"") / INDEX(GOOGLEFINANCE(C150, ""price"", TODAY()-7, TODAY()), 2, 2)) - 1, """")"),"")</f>
        <v/>
      </c>
      <c r="M150" s="21" t="str">
        <f>IFERROR(__xludf.DUMMYFUNCTION("IFERROR((GOOGLEFINANCE(C150, ""price"") / INDEX(GOOGLEFINANCE(C150, ""price"", EDATE(TODAY(), -1), TODAY()), 2, 2)) - 1, """")"),"")</f>
        <v/>
      </c>
      <c r="N150" s="21" t="str">
        <f>IFERROR(__xludf.DUMMYFUNCTION("IFERROR((GOOGLEFINANCE(C150, ""price"") / INDEX(GOOGLEFINANCE(C150, ""price"", EDATE(TODAY(), -3), TODAY()), 2, 2)) - 1, """")"),"")</f>
        <v/>
      </c>
      <c r="O150" s="21" t="str">
        <f>IFERROR(__xludf.DUMMYFUNCTION("IFERROR((GOOGLEFINANCE(C150, ""price"") / INDEX(GOOGLEFINANCE(C150, ""price"", EDATE(TODAY(), -6), TODAY()), 2, 2)) - 1, """")"),"")</f>
        <v/>
      </c>
      <c r="P150" s="21" t="str">
        <f>IFERROR(__xludf.DUMMYFUNCTION("IFERROR((GOOGLEFINANCE(C150, ""price"") / INDEX(GOOGLEFINANCE(C150, ""price"", EDATE(TODAY(), -12), TODAY()), 2, 2)) - 1, """")"),"")</f>
        <v/>
      </c>
      <c r="Q150" s="6" t="str">
        <f>IFERROR(__xludf.DUMMYFUNCTION("AVERAGE(QUERY(GOOGLEFINANCE(C150, ""price"", TODAY()-80, TODAY()), ""SELECT Col2 WHERE Col2 IS NOT NULL ORDER BY Col1 DESC LIMIT 50"", 0))"),"#N/A")</f>
        <v>#N/A</v>
      </c>
      <c r="R150" s="24" t="str">
        <f>IFERROR(__xludf.DUMMYFUNCTION("IFERROR(
  LET(
    data, QUERY(GOOGLEFINANCE(C150,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GOOGLEFINANCE(C150, ""price"")) * 100,
    IF(calc=0, G150, calc)
  ), 
G150)"),"#N/A")</f>
        <v>#N/A</v>
      </c>
      <c r="S150" s="8" t="s">
        <v>15</v>
      </c>
      <c r="T150" s="26" t="str">
        <f>IFERROR(__xludf.DUMMYFUNCTION("IFERROR(TRANSPOSE(QUERY(IFERROR(SORT(GOOGLEFINANCE(C150, ""price"", WORKDAY(TODAY(), -40), TODAY()), 1, FALSE)), ""select Col2 where Col2 is not null limit 22 label Col2 ''"", 0)), """")"),"")</f>
        <v/>
      </c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8"/>
      <c r="AO150" s="28"/>
      <c r="AP150" s="29"/>
      <c r="AQ150" s="29" t="str">
        <f t="shared" ref="AQ150:BL150" si="153">T150/T$2</f>
        <v>#N/A</v>
      </c>
      <c r="AR150" s="29" t="str">
        <f t="shared" si="153"/>
        <v>#DIV/0!</v>
      </c>
      <c r="AS150" s="29" t="str">
        <f t="shared" si="153"/>
        <v>#DIV/0!</v>
      </c>
      <c r="AT150" s="29" t="str">
        <f t="shared" si="153"/>
        <v>#DIV/0!</v>
      </c>
      <c r="AU150" s="29" t="str">
        <f t="shared" si="153"/>
        <v>#DIV/0!</v>
      </c>
      <c r="AV150" s="29" t="str">
        <f t="shared" si="153"/>
        <v>#DIV/0!</v>
      </c>
      <c r="AW150" s="29" t="str">
        <f t="shared" si="153"/>
        <v>#DIV/0!</v>
      </c>
      <c r="AX150" s="29" t="str">
        <f t="shared" si="153"/>
        <v>#DIV/0!</v>
      </c>
      <c r="AY150" s="29" t="str">
        <f t="shared" si="153"/>
        <v>#DIV/0!</v>
      </c>
      <c r="AZ150" s="29" t="str">
        <f t="shared" si="153"/>
        <v>#DIV/0!</v>
      </c>
      <c r="BA150" s="29" t="str">
        <f t="shared" si="153"/>
        <v>#DIV/0!</v>
      </c>
      <c r="BB150" s="29" t="str">
        <f t="shared" si="153"/>
        <v>#DIV/0!</v>
      </c>
      <c r="BC150" s="29" t="str">
        <f t="shared" si="153"/>
        <v>#DIV/0!</v>
      </c>
      <c r="BD150" s="29" t="str">
        <f t="shared" si="153"/>
        <v>#DIV/0!</v>
      </c>
      <c r="BE150" s="29" t="str">
        <f t="shared" si="153"/>
        <v>#DIV/0!</v>
      </c>
      <c r="BF150" s="29" t="str">
        <f t="shared" si="153"/>
        <v>#DIV/0!</v>
      </c>
      <c r="BG150" s="29" t="str">
        <f t="shared" si="153"/>
        <v>#DIV/0!</v>
      </c>
      <c r="BH150" s="29" t="str">
        <f t="shared" si="153"/>
        <v>#DIV/0!</v>
      </c>
      <c r="BI150" s="29" t="str">
        <f t="shared" si="153"/>
        <v>#DIV/0!</v>
      </c>
      <c r="BJ150" s="29" t="str">
        <f t="shared" si="153"/>
        <v>#DIV/0!</v>
      </c>
      <c r="BK150" s="29" t="str">
        <f t="shared" si="153"/>
        <v>#DIV/0!</v>
      </c>
      <c r="BL150" s="29" t="str">
        <f t="shared" si="153"/>
        <v>#DIV/0!</v>
      </c>
      <c r="BM150" s="29" t="str">
        <f t="shared" si="3"/>
        <v>#DIV/0!</v>
      </c>
    </row>
    <row r="151">
      <c r="A151" s="16" t="str">
        <f>IFERROR(__xludf.DUMMYFUNCTION("IFERROR(SPARKLINE(SORT(MAP(TRANSPOSE(AQ151:BL151), LAMBDA(val, IF(ISNUMBER(val), PERCENTRANK(AQ151:BL151, val)+0.01, 0))), SEQUENCE(COLUMNS(AQ151:BL151)), FALSE), {""charttype"",""column""; ""color"",""chartreuse""; ""ymin"", 0; ""ymax"", 1.01; ""highcolo"&amp;"r"", ""darkgreen""; ""lowcolor"", ""red""}), """")"),"")</f>
        <v/>
      </c>
      <c r="B151" s="17" t="str">
        <f t="shared" si="4"/>
        <v/>
      </c>
      <c r="C151" s="1" t="s">
        <v>673</v>
      </c>
      <c r="D151" s="30" t="str">
        <f>IFERROR(__xludf.DUMMYFUNCTION("IFERROR(GOOGLEFINANCE(C151, ""NAME""))"),"Vontier Corp")</f>
        <v>Vontier Corp</v>
      </c>
      <c r="E151" s="30" t="s">
        <v>595</v>
      </c>
      <c r="F151" s="33" t="str">
        <f>IFERROR(__xludf.DUMMYFUNCTION("( (GOOGLEFINANCE(C151, ""price"") - Q151) / Q151 ) / (R151 / 100)"),"Loading...")</f>
        <v>Loading...</v>
      </c>
      <c r="G151" s="20" t="str">
        <f>IFERROR(__xludf.DUMMYFUNCTION("AVERAGE(ARRAYFORMULA(100 * (QUERY(GOOGLEFINANCE(C151, ""high"", TODAY()-40, TODAY()), ""SELECT Col2 WHERE Col2 IS NOT NULL ORDER BY Col1 DESC LIMIT 20"", 0) / QUERY(GOOGLEFINANCE(C151, ""low"", TODAY()-40, TODAY()), ""SELECT Col2 WHERE Col2 IS NOT NULL OR"&amp;"DER BY Col1 DESC LIMIT 20"", 0) - 1)))"),"#N/A")</f>
        <v>#N/A</v>
      </c>
      <c r="H151" s="35" t="str">
        <f t="shared" si="6"/>
        <v/>
      </c>
      <c r="I151" s="36" t="str">
        <f t="shared" si="7"/>
        <v/>
      </c>
      <c r="J151" s="37" t="str">
        <f>IFERROR(__xludf.DUMMYFUNCTION("IFERROR(
  IF(C151="""",, 
    IFERROR(
      GOOGLEFINANCE(C151, ""price"") * GOOGLEFINANCE(C151, ""volumeavg""), 
      GOOGLEFINANCE(C151, ""price"") * AVERAGE(QUERY(GOOGLEFINANCE(C151, ""volume"", TODAY()-40, TODAY()), ""SELECT Col2 WHERE Col2 IS NOT "&amp;"NULL ORDER BY Col1 DESC LIMIT 20"", 0))
    )
  ), 
"""")"),"")</f>
        <v/>
      </c>
      <c r="K151" s="21" t="str">
        <f>IFERROR(__xludf.DUMMYFUNCTION("IFERROR(GOOGLEFINANCE(C151, ""changepct"") / 100, """")"),"")</f>
        <v/>
      </c>
      <c r="L151" s="21" t="str">
        <f>IFERROR(__xludf.DUMMYFUNCTION("IFERROR((GOOGLEFINANCE(C151, ""price"") / INDEX(GOOGLEFINANCE(C151, ""price"", TODAY()-7, TODAY()), 2, 2)) - 1, """")"),"")</f>
        <v/>
      </c>
      <c r="M151" s="21" t="str">
        <f>IFERROR(__xludf.DUMMYFUNCTION("IFERROR((GOOGLEFINANCE(C151, ""price"") / INDEX(GOOGLEFINANCE(C151, ""price"", EDATE(TODAY(), -1), TODAY()), 2, 2)) - 1, """")"),"")</f>
        <v/>
      </c>
      <c r="N151" s="21" t="str">
        <f>IFERROR(__xludf.DUMMYFUNCTION("IFERROR((GOOGLEFINANCE(C151, ""price"") / INDEX(GOOGLEFINANCE(C151, ""price"", EDATE(TODAY(), -3), TODAY()), 2, 2)) - 1, """")"),"")</f>
        <v/>
      </c>
      <c r="O151" s="21" t="str">
        <f>IFERROR(__xludf.DUMMYFUNCTION("IFERROR((GOOGLEFINANCE(C151, ""price"") / INDEX(GOOGLEFINANCE(C151, ""price"", EDATE(TODAY(), -6), TODAY()), 2, 2)) - 1, """")"),"")</f>
        <v/>
      </c>
      <c r="P151" s="21" t="str">
        <f>IFERROR(__xludf.DUMMYFUNCTION("IFERROR((GOOGLEFINANCE(C151, ""price"") / INDEX(GOOGLEFINANCE(C151, ""price"", EDATE(TODAY(), -12), TODAY()), 2, 2)) - 1, """")"),"")</f>
        <v/>
      </c>
      <c r="Q151" s="6" t="str">
        <f>IFERROR(__xludf.DUMMYFUNCTION("AVERAGE(QUERY(GOOGLEFINANCE(C151, ""price"", TODAY()-80, TODAY()), ""SELECT Col2 WHERE Col2 IS NOT NULL ORDER BY Col1 DESC LIMIT 50"", 0))"),"#N/A")</f>
        <v>#N/A</v>
      </c>
      <c r="R151" s="24" t="str">
        <f>IFERROR(__xludf.DUMMYFUNCTION("IFERROR(
  LET(
    data, QUERY(GOOGLEFINANCE(C151,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GOOGLEFINANCE(C151, ""price"")) * 100,
    IF(calc=0, G151, calc)
  ), 
G151)"),"#N/A")</f>
        <v>#N/A</v>
      </c>
      <c r="S151" s="8" t="s">
        <v>15</v>
      </c>
      <c r="T151" s="26" t="str">
        <f>IFERROR(__xludf.DUMMYFUNCTION("IFERROR(TRANSPOSE(QUERY(IFERROR(SORT(GOOGLEFINANCE(C151, ""price"", WORKDAY(TODAY(), -40), TODAY()), 1, FALSE)), ""select Col2 where Col2 is not null limit 22 label Col2 ''"", 0)), """")"),"")</f>
        <v/>
      </c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8"/>
      <c r="AO151" s="28"/>
      <c r="AP151" s="29"/>
      <c r="AQ151" s="29" t="str">
        <f t="shared" ref="AQ151:BL151" si="154">T151/T$2</f>
        <v>#N/A</v>
      </c>
      <c r="AR151" s="29" t="str">
        <f t="shared" si="154"/>
        <v>#DIV/0!</v>
      </c>
      <c r="AS151" s="29" t="str">
        <f t="shared" si="154"/>
        <v>#DIV/0!</v>
      </c>
      <c r="AT151" s="29" t="str">
        <f t="shared" si="154"/>
        <v>#DIV/0!</v>
      </c>
      <c r="AU151" s="29" t="str">
        <f t="shared" si="154"/>
        <v>#DIV/0!</v>
      </c>
      <c r="AV151" s="29" t="str">
        <f t="shared" si="154"/>
        <v>#DIV/0!</v>
      </c>
      <c r="AW151" s="29" t="str">
        <f t="shared" si="154"/>
        <v>#DIV/0!</v>
      </c>
      <c r="AX151" s="29" t="str">
        <f t="shared" si="154"/>
        <v>#DIV/0!</v>
      </c>
      <c r="AY151" s="29" t="str">
        <f t="shared" si="154"/>
        <v>#DIV/0!</v>
      </c>
      <c r="AZ151" s="29" t="str">
        <f t="shared" si="154"/>
        <v>#DIV/0!</v>
      </c>
      <c r="BA151" s="29" t="str">
        <f t="shared" si="154"/>
        <v>#DIV/0!</v>
      </c>
      <c r="BB151" s="29" t="str">
        <f t="shared" si="154"/>
        <v>#DIV/0!</v>
      </c>
      <c r="BC151" s="29" t="str">
        <f t="shared" si="154"/>
        <v>#DIV/0!</v>
      </c>
      <c r="BD151" s="29" t="str">
        <f t="shared" si="154"/>
        <v>#DIV/0!</v>
      </c>
      <c r="BE151" s="29" t="str">
        <f t="shared" si="154"/>
        <v>#DIV/0!</v>
      </c>
      <c r="BF151" s="29" t="str">
        <f t="shared" si="154"/>
        <v>#DIV/0!</v>
      </c>
      <c r="BG151" s="29" t="str">
        <f t="shared" si="154"/>
        <v>#DIV/0!</v>
      </c>
      <c r="BH151" s="29" t="str">
        <f t="shared" si="154"/>
        <v>#DIV/0!</v>
      </c>
      <c r="BI151" s="29" t="str">
        <f t="shared" si="154"/>
        <v>#DIV/0!</v>
      </c>
      <c r="BJ151" s="29" t="str">
        <f t="shared" si="154"/>
        <v>#DIV/0!</v>
      </c>
      <c r="BK151" s="29" t="str">
        <f t="shared" si="154"/>
        <v>#DIV/0!</v>
      </c>
      <c r="BL151" s="29" t="str">
        <f t="shared" si="154"/>
        <v>#DIV/0!</v>
      </c>
      <c r="BM151" s="29" t="str">
        <f t="shared" si="3"/>
        <v>#DIV/0!</v>
      </c>
    </row>
    <row r="152">
      <c r="A152" s="16" t="str">
        <f>IFERROR(__xludf.DUMMYFUNCTION("IFERROR(SPARKLINE(SORT(MAP(TRANSPOSE(AQ152:BL152), LAMBDA(val, IF(ISNUMBER(val), PERCENTRANK(AQ152:BL152, val)+0.01, 0))), SEQUENCE(COLUMNS(AQ152:BL152)), FALSE), {""charttype"",""column""; ""color"",""chartreuse""; ""ymin"", 0; ""ymax"", 1.01; ""highcolo"&amp;"r"", ""darkgreen""; ""lowcolor"", ""red""}), """")"),"")</f>
        <v/>
      </c>
      <c r="B152" s="17" t="str">
        <f t="shared" si="4"/>
        <v/>
      </c>
      <c r="C152" s="1" t="s">
        <v>677</v>
      </c>
      <c r="D152" s="30" t="str">
        <f>IFERROR(__xludf.DUMMYFUNCTION("IFERROR(GOOGLEFINANCE(C152, ""NAME""))"),"Cellebrite DI Ltd")</f>
        <v>Cellebrite DI Ltd</v>
      </c>
      <c r="E152" s="30" t="s">
        <v>58</v>
      </c>
      <c r="F152" s="33" t="str">
        <f>IFERROR(__xludf.DUMMYFUNCTION("( (GOOGLEFINANCE(C152, ""price"") - Q152) / Q152 ) / (R152 / 100)"),"Loading...")</f>
        <v>Loading...</v>
      </c>
      <c r="G152" s="20" t="str">
        <f>IFERROR(__xludf.DUMMYFUNCTION("AVERAGE(ARRAYFORMULA(100 * (QUERY(GOOGLEFINANCE(C152, ""high"", TODAY()-40, TODAY()), ""SELECT Col2 WHERE Col2 IS NOT NULL ORDER BY Col1 DESC LIMIT 20"", 0) / QUERY(GOOGLEFINANCE(C152, ""low"", TODAY()-40, TODAY()), ""SELECT Col2 WHERE Col2 IS NOT NULL OR"&amp;"DER BY Col1 DESC LIMIT 20"", 0) - 1)))"),"#N/A")</f>
        <v>#N/A</v>
      </c>
      <c r="H152" s="35" t="str">
        <f t="shared" si="6"/>
        <v/>
      </c>
      <c r="I152" s="36" t="str">
        <f t="shared" si="7"/>
        <v/>
      </c>
      <c r="J152" s="37" t="str">
        <f>IFERROR(__xludf.DUMMYFUNCTION("IFERROR(
  IF(C152="""",, 
    IFERROR(
      GOOGLEFINANCE(C152, ""price"") * GOOGLEFINANCE(C152, ""volumeavg""), 
      GOOGLEFINANCE(C152, ""price"") * AVERAGE(QUERY(GOOGLEFINANCE(C152, ""volume"", TODAY()-40, TODAY()), ""SELECT Col2 WHERE Col2 IS NOT "&amp;"NULL ORDER BY Col1 DESC LIMIT 20"", 0))
    )
  ), 
"""")"),"")</f>
        <v/>
      </c>
      <c r="K152" s="21" t="str">
        <f>IFERROR(__xludf.DUMMYFUNCTION("IFERROR(GOOGLEFINANCE(C152, ""changepct"") / 100, """")"),"")</f>
        <v/>
      </c>
      <c r="L152" s="21" t="str">
        <f>IFERROR(__xludf.DUMMYFUNCTION("IFERROR((GOOGLEFINANCE(C152, ""price"") / INDEX(GOOGLEFINANCE(C152, ""price"", TODAY()-7, TODAY()), 2, 2)) - 1, """")"),"")</f>
        <v/>
      </c>
      <c r="M152" s="21" t="str">
        <f>IFERROR(__xludf.DUMMYFUNCTION("IFERROR((GOOGLEFINANCE(C152, ""price"") / INDEX(GOOGLEFINANCE(C152, ""price"", EDATE(TODAY(), -1), TODAY()), 2, 2)) - 1, """")"),"")</f>
        <v/>
      </c>
      <c r="N152" s="21" t="str">
        <f>IFERROR(__xludf.DUMMYFUNCTION("IFERROR((GOOGLEFINANCE(C152, ""price"") / INDEX(GOOGLEFINANCE(C152, ""price"", EDATE(TODAY(), -3), TODAY()), 2, 2)) - 1, """")"),"")</f>
        <v/>
      </c>
      <c r="O152" s="21" t="str">
        <f>IFERROR(__xludf.DUMMYFUNCTION("IFERROR((GOOGLEFINANCE(C152, ""price"") / INDEX(GOOGLEFINANCE(C152, ""price"", EDATE(TODAY(), -6), TODAY()), 2, 2)) - 1, """")"),"")</f>
        <v/>
      </c>
      <c r="P152" s="21" t="str">
        <f>IFERROR(__xludf.DUMMYFUNCTION("IFERROR((GOOGLEFINANCE(C152, ""price"") / INDEX(GOOGLEFINANCE(C152, ""price"", EDATE(TODAY(), -12), TODAY()), 2, 2)) - 1, """")"),"")</f>
        <v/>
      </c>
      <c r="Q152" s="6" t="str">
        <f>IFERROR(__xludf.DUMMYFUNCTION("AVERAGE(QUERY(GOOGLEFINANCE(C152, ""price"", TODAY()-80, TODAY()), ""SELECT Col2 WHERE Col2 IS NOT NULL ORDER BY Col1 DESC LIMIT 50"", 0))"),"#N/A")</f>
        <v>#N/A</v>
      </c>
      <c r="R152" s="24" t="str">
        <f>IFERROR(__xludf.DUMMYFUNCTION("IFERROR(
  LET(
    data, QUERY(GOOGLEFINANCE(C152,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GOOGLEFINANCE(C152, ""price"")) * 100,
    IF(calc=0, G152, calc)
  ), 
G152)"),"#N/A")</f>
        <v>#N/A</v>
      </c>
      <c r="S152" s="8" t="s">
        <v>15</v>
      </c>
      <c r="T152" s="26" t="str">
        <f>IFERROR(__xludf.DUMMYFUNCTION("IFERROR(TRANSPOSE(QUERY(IFERROR(SORT(GOOGLEFINANCE(C152, ""price"", WORKDAY(TODAY(), -40), TODAY()), 1, FALSE)), ""select Col2 where Col2 is not null limit 22 label Col2 ''"", 0)), """")"),"")</f>
        <v/>
      </c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8"/>
      <c r="AO152" s="28"/>
      <c r="AP152" s="29"/>
      <c r="AQ152" s="29" t="str">
        <f t="shared" ref="AQ152:BL152" si="155">T152/T$2</f>
        <v>#N/A</v>
      </c>
      <c r="AR152" s="29" t="str">
        <f t="shared" si="155"/>
        <v>#DIV/0!</v>
      </c>
      <c r="AS152" s="29" t="str">
        <f t="shared" si="155"/>
        <v>#DIV/0!</v>
      </c>
      <c r="AT152" s="29" t="str">
        <f t="shared" si="155"/>
        <v>#DIV/0!</v>
      </c>
      <c r="AU152" s="29" t="str">
        <f t="shared" si="155"/>
        <v>#DIV/0!</v>
      </c>
      <c r="AV152" s="29" t="str">
        <f t="shared" si="155"/>
        <v>#DIV/0!</v>
      </c>
      <c r="AW152" s="29" t="str">
        <f t="shared" si="155"/>
        <v>#DIV/0!</v>
      </c>
      <c r="AX152" s="29" t="str">
        <f t="shared" si="155"/>
        <v>#DIV/0!</v>
      </c>
      <c r="AY152" s="29" t="str">
        <f t="shared" si="155"/>
        <v>#DIV/0!</v>
      </c>
      <c r="AZ152" s="29" t="str">
        <f t="shared" si="155"/>
        <v>#DIV/0!</v>
      </c>
      <c r="BA152" s="29" t="str">
        <f t="shared" si="155"/>
        <v>#DIV/0!</v>
      </c>
      <c r="BB152" s="29" t="str">
        <f t="shared" si="155"/>
        <v>#DIV/0!</v>
      </c>
      <c r="BC152" s="29" t="str">
        <f t="shared" si="155"/>
        <v>#DIV/0!</v>
      </c>
      <c r="BD152" s="29" t="str">
        <f t="shared" si="155"/>
        <v>#DIV/0!</v>
      </c>
      <c r="BE152" s="29" t="str">
        <f t="shared" si="155"/>
        <v>#DIV/0!</v>
      </c>
      <c r="BF152" s="29" t="str">
        <f t="shared" si="155"/>
        <v>#DIV/0!</v>
      </c>
      <c r="BG152" s="29" t="str">
        <f t="shared" si="155"/>
        <v>#DIV/0!</v>
      </c>
      <c r="BH152" s="29" t="str">
        <f t="shared" si="155"/>
        <v>#DIV/0!</v>
      </c>
      <c r="BI152" s="29" t="str">
        <f t="shared" si="155"/>
        <v>#DIV/0!</v>
      </c>
      <c r="BJ152" s="29" t="str">
        <f t="shared" si="155"/>
        <v>#DIV/0!</v>
      </c>
      <c r="BK152" s="29" t="str">
        <f t="shared" si="155"/>
        <v>#DIV/0!</v>
      </c>
      <c r="BL152" s="29" t="str">
        <f t="shared" si="155"/>
        <v>#DIV/0!</v>
      </c>
      <c r="BM152" s="29" t="str">
        <f t="shared" si="3"/>
        <v>#DIV/0!</v>
      </c>
    </row>
    <row r="153">
      <c r="A153" s="16" t="str">
        <f>IFERROR(__xludf.DUMMYFUNCTION("IFERROR(SPARKLINE(SORT(MAP(TRANSPOSE(AQ153:BL153), LAMBDA(val, IF(ISNUMBER(val), PERCENTRANK(AQ153:BL153, val)+0.01, 0))), SEQUENCE(COLUMNS(AQ153:BL153)), FALSE), {""charttype"",""column""; ""color"",""chartreuse""; ""ymin"", 0; ""ymax"", 1.01; ""highcolo"&amp;"r"", ""darkgreen""; ""lowcolor"", ""red""}), """")"),"")</f>
        <v/>
      </c>
      <c r="B153" s="17" t="str">
        <f t="shared" si="4"/>
        <v/>
      </c>
      <c r="C153" s="1" t="s">
        <v>681</v>
      </c>
      <c r="D153" s="30" t="str">
        <f>IFERROR(__xludf.DUMMYFUNCTION("IFERROR(GOOGLEFINANCE(C153, ""NAME""))"),"Priority Technology Holdings Inc")</f>
        <v>Priority Technology Holdings Inc</v>
      </c>
      <c r="E153" s="30" t="s">
        <v>58</v>
      </c>
      <c r="F153" s="33" t="str">
        <f>IFERROR(__xludf.DUMMYFUNCTION("( (GOOGLEFINANCE(C153, ""price"") - Q153) / Q153 ) / (R153 / 100)"),"Loading...")</f>
        <v>Loading...</v>
      </c>
      <c r="G153" s="20" t="str">
        <f>IFERROR(__xludf.DUMMYFUNCTION("AVERAGE(ARRAYFORMULA(100 * (QUERY(GOOGLEFINANCE(C153, ""high"", TODAY()-40, TODAY()), ""SELECT Col2 WHERE Col2 IS NOT NULL ORDER BY Col1 DESC LIMIT 20"", 0) / QUERY(GOOGLEFINANCE(C153, ""low"", TODAY()-40, TODAY()), ""SELECT Col2 WHERE Col2 IS NOT NULL OR"&amp;"DER BY Col1 DESC LIMIT 20"", 0) - 1)))"),"#N/A")</f>
        <v>#N/A</v>
      </c>
      <c r="H153" s="35" t="str">
        <f t="shared" si="6"/>
        <v/>
      </c>
      <c r="I153" s="36" t="str">
        <f t="shared" si="7"/>
        <v/>
      </c>
      <c r="J153" s="37" t="str">
        <f>IFERROR(__xludf.DUMMYFUNCTION("IFERROR(
  IF(C153="""",, 
    IFERROR(
      GOOGLEFINANCE(C153, ""price"") * GOOGLEFINANCE(C153, ""volumeavg""), 
      GOOGLEFINANCE(C153, ""price"") * AVERAGE(QUERY(GOOGLEFINANCE(C153, ""volume"", TODAY()-40, TODAY()), ""SELECT Col2 WHERE Col2 IS NOT "&amp;"NULL ORDER BY Col1 DESC LIMIT 20"", 0))
    )
  ), 
"""")"),"")</f>
        <v/>
      </c>
      <c r="K153" s="21" t="str">
        <f>IFERROR(__xludf.DUMMYFUNCTION("IFERROR(GOOGLEFINANCE(C153, ""changepct"") / 100, """")"),"")</f>
        <v/>
      </c>
      <c r="L153" s="21" t="str">
        <f>IFERROR(__xludf.DUMMYFUNCTION("IFERROR((GOOGLEFINANCE(C153, ""price"") / INDEX(GOOGLEFINANCE(C153, ""price"", TODAY()-7, TODAY()), 2, 2)) - 1, """")"),"")</f>
        <v/>
      </c>
      <c r="M153" s="21" t="str">
        <f>IFERROR(__xludf.DUMMYFUNCTION("IFERROR((GOOGLEFINANCE(C153, ""price"") / INDEX(GOOGLEFINANCE(C153, ""price"", EDATE(TODAY(), -1), TODAY()), 2, 2)) - 1, """")"),"")</f>
        <v/>
      </c>
      <c r="N153" s="21" t="str">
        <f>IFERROR(__xludf.DUMMYFUNCTION("IFERROR((GOOGLEFINANCE(C153, ""price"") / INDEX(GOOGLEFINANCE(C153, ""price"", EDATE(TODAY(), -3), TODAY()), 2, 2)) - 1, """")"),"")</f>
        <v/>
      </c>
      <c r="O153" s="21" t="str">
        <f>IFERROR(__xludf.DUMMYFUNCTION("IFERROR((GOOGLEFINANCE(C153, ""price"") / INDEX(GOOGLEFINANCE(C153, ""price"", EDATE(TODAY(), -6), TODAY()), 2, 2)) - 1, """")"),"")</f>
        <v/>
      </c>
      <c r="P153" s="21" t="str">
        <f>IFERROR(__xludf.DUMMYFUNCTION("IFERROR((GOOGLEFINANCE(C153, ""price"") / INDEX(GOOGLEFINANCE(C153, ""price"", EDATE(TODAY(), -12), TODAY()), 2, 2)) - 1, """")"),"")</f>
        <v/>
      </c>
      <c r="Q153" s="6" t="str">
        <f>IFERROR(__xludf.DUMMYFUNCTION("AVERAGE(QUERY(GOOGLEFINANCE(C153, ""price"", TODAY()-80, TODAY()), ""SELECT Col2 WHERE Col2 IS NOT NULL ORDER BY Col1 DESC LIMIT 50"", 0))"),"#N/A")</f>
        <v>#N/A</v>
      </c>
      <c r="R153" s="24" t="str">
        <f>IFERROR(__xludf.DUMMYFUNCTION("IFERROR(
  LET(
    data, QUERY(GOOGLEFINANCE(C153,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GOOGLEFINANCE(C153, ""price"")) * 100,
    IF(calc=0, G153, calc)
  ), 
G153)"),"#N/A")</f>
        <v>#N/A</v>
      </c>
      <c r="S153" s="8" t="s">
        <v>15</v>
      </c>
      <c r="T153" s="26" t="str">
        <f>IFERROR(__xludf.DUMMYFUNCTION("IFERROR(TRANSPOSE(QUERY(IFERROR(SORT(GOOGLEFINANCE(C153, ""price"", WORKDAY(TODAY(), -40), TODAY()), 1, FALSE)), ""select Col2 where Col2 is not null limit 22 label Col2 ''"", 0)), """")"),"")</f>
        <v/>
      </c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8"/>
      <c r="AO153" s="28"/>
      <c r="AP153" s="29"/>
      <c r="AQ153" s="29" t="str">
        <f t="shared" ref="AQ153:BL153" si="156">T153/T$2</f>
        <v>#N/A</v>
      </c>
      <c r="AR153" s="29" t="str">
        <f t="shared" si="156"/>
        <v>#DIV/0!</v>
      </c>
      <c r="AS153" s="29" t="str">
        <f t="shared" si="156"/>
        <v>#DIV/0!</v>
      </c>
      <c r="AT153" s="29" t="str">
        <f t="shared" si="156"/>
        <v>#DIV/0!</v>
      </c>
      <c r="AU153" s="29" t="str">
        <f t="shared" si="156"/>
        <v>#DIV/0!</v>
      </c>
      <c r="AV153" s="29" t="str">
        <f t="shared" si="156"/>
        <v>#DIV/0!</v>
      </c>
      <c r="AW153" s="29" t="str">
        <f t="shared" si="156"/>
        <v>#DIV/0!</v>
      </c>
      <c r="AX153" s="29" t="str">
        <f t="shared" si="156"/>
        <v>#DIV/0!</v>
      </c>
      <c r="AY153" s="29" t="str">
        <f t="shared" si="156"/>
        <v>#DIV/0!</v>
      </c>
      <c r="AZ153" s="29" t="str">
        <f t="shared" si="156"/>
        <v>#DIV/0!</v>
      </c>
      <c r="BA153" s="29" t="str">
        <f t="shared" si="156"/>
        <v>#DIV/0!</v>
      </c>
      <c r="BB153" s="29" t="str">
        <f t="shared" si="156"/>
        <v>#DIV/0!</v>
      </c>
      <c r="BC153" s="29" t="str">
        <f t="shared" si="156"/>
        <v>#DIV/0!</v>
      </c>
      <c r="BD153" s="29" t="str">
        <f t="shared" si="156"/>
        <v>#DIV/0!</v>
      </c>
      <c r="BE153" s="29" t="str">
        <f t="shared" si="156"/>
        <v>#DIV/0!</v>
      </c>
      <c r="BF153" s="29" t="str">
        <f t="shared" si="156"/>
        <v>#DIV/0!</v>
      </c>
      <c r="BG153" s="29" t="str">
        <f t="shared" si="156"/>
        <v>#DIV/0!</v>
      </c>
      <c r="BH153" s="29" t="str">
        <f t="shared" si="156"/>
        <v>#DIV/0!</v>
      </c>
      <c r="BI153" s="29" t="str">
        <f t="shared" si="156"/>
        <v>#DIV/0!</v>
      </c>
      <c r="BJ153" s="29" t="str">
        <f t="shared" si="156"/>
        <v>#DIV/0!</v>
      </c>
      <c r="BK153" s="29" t="str">
        <f t="shared" si="156"/>
        <v>#DIV/0!</v>
      </c>
      <c r="BL153" s="29" t="str">
        <f t="shared" si="156"/>
        <v>#DIV/0!</v>
      </c>
      <c r="BM153" s="29" t="str">
        <f t="shared" si="3"/>
        <v>#DIV/0!</v>
      </c>
    </row>
    <row r="154">
      <c r="A154" s="16" t="str">
        <f>IFERROR(__xludf.DUMMYFUNCTION("IFERROR(SPARKLINE(SORT(MAP(TRANSPOSE(AQ154:BL154), LAMBDA(val, IF(ISNUMBER(val), PERCENTRANK(AQ154:BL154, val)+0.01, 0))), SEQUENCE(COLUMNS(AQ154:BL154)), FALSE), {""charttype"",""column""; ""color"",""chartreuse""; ""ymin"", 0; ""ymax"", 1.01; ""highcolo"&amp;"r"", ""darkgreen""; ""lowcolor"", ""red""}), """")"),"")</f>
        <v/>
      </c>
      <c r="B154" s="17" t="str">
        <f t="shared" si="4"/>
        <v/>
      </c>
      <c r="C154" s="1" t="s">
        <v>685</v>
      </c>
      <c r="D154" s="30" t="str">
        <f>IFERROR(__xludf.DUMMYFUNCTION("IFERROR(GOOGLEFINANCE(C154, ""NAME""))"),"Trimble Inc")</f>
        <v>Trimble Inc</v>
      </c>
      <c r="E154" s="30" t="s">
        <v>595</v>
      </c>
      <c r="F154" s="33" t="str">
        <f>IFERROR(__xludf.DUMMYFUNCTION("( (GOOGLEFINANCE(C154, ""price"") - Q154) / Q154 ) / (R154 / 100)"),"Loading...")</f>
        <v>Loading...</v>
      </c>
      <c r="G154" s="20" t="str">
        <f>IFERROR(__xludf.DUMMYFUNCTION("AVERAGE(ARRAYFORMULA(100 * (QUERY(GOOGLEFINANCE(C154, ""high"", TODAY()-40, TODAY()), ""SELECT Col2 WHERE Col2 IS NOT NULL ORDER BY Col1 DESC LIMIT 20"", 0) / QUERY(GOOGLEFINANCE(C154, ""low"", TODAY()-40, TODAY()), ""SELECT Col2 WHERE Col2 IS NOT NULL OR"&amp;"DER BY Col1 DESC LIMIT 20"", 0) - 1)))"),"#N/A")</f>
        <v>#N/A</v>
      </c>
      <c r="H154" s="35" t="str">
        <f t="shared" si="6"/>
        <v/>
      </c>
      <c r="I154" s="36" t="str">
        <f t="shared" si="7"/>
        <v/>
      </c>
      <c r="J154" s="37" t="str">
        <f>IFERROR(__xludf.DUMMYFUNCTION("IFERROR(
  IF(C154="""",, 
    IFERROR(
      GOOGLEFINANCE(C154, ""price"") * GOOGLEFINANCE(C154, ""volumeavg""), 
      GOOGLEFINANCE(C154, ""price"") * AVERAGE(QUERY(GOOGLEFINANCE(C154, ""volume"", TODAY()-40, TODAY()), ""SELECT Col2 WHERE Col2 IS NOT "&amp;"NULL ORDER BY Col1 DESC LIMIT 20"", 0))
    )
  ), 
"""")"),"")</f>
        <v/>
      </c>
      <c r="K154" s="21" t="str">
        <f>IFERROR(__xludf.DUMMYFUNCTION("IFERROR(GOOGLEFINANCE(C154, ""changepct"") / 100, """")"),"")</f>
        <v/>
      </c>
      <c r="L154" s="21" t="str">
        <f>IFERROR(__xludf.DUMMYFUNCTION("IFERROR((GOOGLEFINANCE(C154, ""price"") / INDEX(GOOGLEFINANCE(C154, ""price"", TODAY()-7, TODAY()), 2, 2)) - 1, """")"),"")</f>
        <v/>
      </c>
      <c r="M154" s="21" t="str">
        <f>IFERROR(__xludf.DUMMYFUNCTION("IFERROR((GOOGLEFINANCE(C154, ""price"") / INDEX(GOOGLEFINANCE(C154, ""price"", EDATE(TODAY(), -1), TODAY()), 2, 2)) - 1, """")"),"")</f>
        <v/>
      </c>
      <c r="N154" s="21" t="str">
        <f>IFERROR(__xludf.DUMMYFUNCTION("IFERROR((GOOGLEFINANCE(C154, ""price"") / INDEX(GOOGLEFINANCE(C154, ""price"", EDATE(TODAY(), -3), TODAY()), 2, 2)) - 1, """")"),"")</f>
        <v/>
      </c>
      <c r="O154" s="21" t="str">
        <f>IFERROR(__xludf.DUMMYFUNCTION("IFERROR((GOOGLEFINANCE(C154, ""price"") / INDEX(GOOGLEFINANCE(C154, ""price"", EDATE(TODAY(), -6), TODAY()), 2, 2)) - 1, """")"),"")</f>
        <v/>
      </c>
      <c r="P154" s="21" t="str">
        <f>IFERROR(__xludf.DUMMYFUNCTION("IFERROR((GOOGLEFINANCE(C154, ""price"") / INDEX(GOOGLEFINANCE(C154, ""price"", EDATE(TODAY(), -12), TODAY()), 2, 2)) - 1, """")"),"")</f>
        <v/>
      </c>
      <c r="Q154" s="6" t="str">
        <f>IFERROR(__xludf.DUMMYFUNCTION("AVERAGE(QUERY(GOOGLEFINANCE(C154, ""price"", TODAY()-80, TODAY()), ""SELECT Col2 WHERE Col2 IS NOT NULL ORDER BY Col1 DESC LIMIT 50"", 0))"),"#N/A")</f>
        <v>#N/A</v>
      </c>
      <c r="R154" s="24" t="str">
        <f>IFERROR(__xludf.DUMMYFUNCTION("IFERROR(
  LET(
    data, QUERY(GOOGLEFINANCE(C154,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GOOGLEFINANCE(C154, ""price"")) * 100,
    IF(calc=0, G154, calc)
  ), 
G154)"),"#N/A")</f>
        <v>#N/A</v>
      </c>
      <c r="S154" s="8" t="s">
        <v>15</v>
      </c>
      <c r="T154" s="26" t="str">
        <f>IFERROR(__xludf.DUMMYFUNCTION("IFERROR(TRANSPOSE(QUERY(IFERROR(SORT(GOOGLEFINANCE(C154, ""price"", WORKDAY(TODAY(), -40), TODAY()), 1, FALSE)), ""select Col2 where Col2 is not null limit 22 label Col2 ''"", 0)), """")"),"")</f>
        <v/>
      </c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8"/>
      <c r="AO154" s="28"/>
      <c r="AP154" s="29"/>
      <c r="AQ154" s="29" t="str">
        <f t="shared" ref="AQ154:BL154" si="157">T154/T$2</f>
        <v>#N/A</v>
      </c>
      <c r="AR154" s="29" t="str">
        <f t="shared" si="157"/>
        <v>#DIV/0!</v>
      </c>
      <c r="AS154" s="29" t="str">
        <f t="shared" si="157"/>
        <v>#DIV/0!</v>
      </c>
      <c r="AT154" s="29" t="str">
        <f t="shared" si="157"/>
        <v>#DIV/0!</v>
      </c>
      <c r="AU154" s="29" t="str">
        <f t="shared" si="157"/>
        <v>#DIV/0!</v>
      </c>
      <c r="AV154" s="29" t="str">
        <f t="shared" si="157"/>
        <v>#DIV/0!</v>
      </c>
      <c r="AW154" s="29" t="str">
        <f t="shared" si="157"/>
        <v>#DIV/0!</v>
      </c>
      <c r="AX154" s="29" t="str">
        <f t="shared" si="157"/>
        <v>#DIV/0!</v>
      </c>
      <c r="AY154" s="29" t="str">
        <f t="shared" si="157"/>
        <v>#DIV/0!</v>
      </c>
      <c r="AZ154" s="29" t="str">
        <f t="shared" si="157"/>
        <v>#DIV/0!</v>
      </c>
      <c r="BA154" s="29" t="str">
        <f t="shared" si="157"/>
        <v>#DIV/0!</v>
      </c>
      <c r="BB154" s="29" t="str">
        <f t="shared" si="157"/>
        <v>#DIV/0!</v>
      </c>
      <c r="BC154" s="29" t="str">
        <f t="shared" si="157"/>
        <v>#DIV/0!</v>
      </c>
      <c r="BD154" s="29" t="str">
        <f t="shared" si="157"/>
        <v>#DIV/0!</v>
      </c>
      <c r="BE154" s="29" t="str">
        <f t="shared" si="157"/>
        <v>#DIV/0!</v>
      </c>
      <c r="BF154" s="29" t="str">
        <f t="shared" si="157"/>
        <v>#DIV/0!</v>
      </c>
      <c r="BG154" s="29" t="str">
        <f t="shared" si="157"/>
        <v>#DIV/0!</v>
      </c>
      <c r="BH154" s="29" t="str">
        <f t="shared" si="157"/>
        <v>#DIV/0!</v>
      </c>
      <c r="BI154" s="29" t="str">
        <f t="shared" si="157"/>
        <v>#DIV/0!</v>
      </c>
      <c r="BJ154" s="29" t="str">
        <f t="shared" si="157"/>
        <v>#DIV/0!</v>
      </c>
      <c r="BK154" s="29" t="str">
        <f t="shared" si="157"/>
        <v>#DIV/0!</v>
      </c>
      <c r="BL154" s="29" t="str">
        <f t="shared" si="157"/>
        <v>#DIV/0!</v>
      </c>
      <c r="BM154" s="29" t="str">
        <f t="shared" si="3"/>
        <v>#DIV/0!</v>
      </c>
    </row>
    <row r="155">
      <c r="A155" s="16" t="str">
        <f>IFERROR(__xludf.DUMMYFUNCTION("IFERROR(SPARKLINE(SORT(MAP(TRANSPOSE(AQ155:BL155), LAMBDA(val, IF(ISNUMBER(val), PERCENTRANK(AQ155:BL155, val)+0.01, 0))), SEQUENCE(COLUMNS(AQ155:BL155)), FALSE), {""charttype"",""column""; ""color"",""chartreuse""; ""ymin"", 0; ""ymax"", 1.01; ""highcolo"&amp;"r"", ""darkgreen""; ""lowcolor"", ""red""}), """")"),"")</f>
        <v/>
      </c>
      <c r="B155" s="17" t="str">
        <f t="shared" si="4"/>
        <v/>
      </c>
      <c r="C155" s="1" t="s">
        <v>691</v>
      </c>
      <c r="D155" s="30" t="str">
        <f>IFERROR(__xludf.DUMMYFUNCTION("IFERROR(GOOGLEFINANCE(C155, ""NAME""))"),"Corsair Gaming Inc")</f>
        <v>Corsair Gaming Inc</v>
      </c>
      <c r="E155" s="30" t="s">
        <v>477</v>
      </c>
      <c r="F155" s="38" t="str">
        <f>IFERROR(__xludf.DUMMYFUNCTION("( (GOOGLEFINANCE(C155, ""price"") - Q155) / Q155 ) / (R155 / 100)"),"Loading...")</f>
        <v>Loading...</v>
      </c>
      <c r="G155" s="20" t="str">
        <f>IFERROR(__xludf.DUMMYFUNCTION("AVERAGE(ARRAYFORMULA(100 * (QUERY(GOOGLEFINANCE(C155, ""high"", TODAY()-40, TODAY()), ""SELECT Col2 WHERE Col2 IS NOT NULL ORDER BY Col1 DESC LIMIT 20"", 0) / QUERY(GOOGLEFINANCE(C155, ""low"", TODAY()-40, TODAY()), ""SELECT Col2 WHERE Col2 IS NOT NULL OR"&amp;"DER BY Col1 DESC LIMIT 20"", 0) - 1)))"),"#N/A")</f>
        <v>#N/A</v>
      </c>
      <c r="H155" s="35" t="str">
        <f t="shared" si="6"/>
        <v/>
      </c>
      <c r="I155" s="36" t="str">
        <f t="shared" si="7"/>
        <v/>
      </c>
      <c r="J155" s="37" t="str">
        <f>IFERROR(__xludf.DUMMYFUNCTION("IFERROR(
  IF(C155="""",, 
    IFERROR(
      GOOGLEFINANCE(C155, ""price"") * GOOGLEFINANCE(C155, ""volumeavg""), 
      GOOGLEFINANCE(C155, ""price"") * AVERAGE(QUERY(GOOGLEFINANCE(C155, ""volume"", TODAY()-40, TODAY()), ""SELECT Col2 WHERE Col2 IS NOT "&amp;"NULL ORDER BY Col1 DESC LIMIT 20"", 0))
    )
  ), 
"""")"),"")</f>
        <v/>
      </c>
      <c r="K155" s="21" t="str">
        <f>IFERROR(__xludf.DUMMYFUNCTION("IFERROR(GOOGLEFINANCE(C155, ""changepct"") / 100, """")"),"")</f>
        <v/>
      </c>
      <c r="L155" s="21" t="str">
        <f>IFERROR(__xludf.DUMMYFUNCTION("IFERROR((GOOGLEFINANCE(C155, ""price"") / INDEX(GOOGLEFINANCE(C155, ""price"", TODAY()-7, TODAY()), 2, 2)) - 1, """")"),"")</f>
        <v/>
      </c>
      <c r="M155" s="21" t="str">
        <f>IFERROR(__xludf.DUMMYFUNCTION("IFERROR((GOOGLEFINANCE(C155, ""price"") / INDEX(GOOGLEFINANCE(C155, ""price"", EDATE(TODAY(), -1), TODAY()), 2, 2)) - 1, """")"),"")</f>
        <v/>
      </c>
      <c r="N155" s="21" t="str">
        <f>IFERROR(__xludf.DUMMYFUNCTION("IFERROR((GOOGLEFINANCE(C155, ""price"") / INDEX(GOOGLEFINANCE(C155, ""price"", EDATE(TODAY(), -3), TODAY()), 2, 2)) - 1, """")"),"")</f>
        <v/>
      </c>
      <c r="O155" s="21" t="str">
        <f>IFERROR(__xludf.DUMMYFUNCTION("IFERROR((GOOGLEFINANCE(C155, ""price"") / INDEX(GOOGLEFINANCE(C155, ""price"", EDATE(TODAY(), -6), TODAY()), 2, 2)) - 1, """")"),"")</f>
        <v/>
      </c>
      <c r="P155" s="21" t="str">
        <f>IFERROR(__xludf.DUMMYFUNCTION("IFERROR((GOOGLEFINANCE(C155, ""price"") / INDEX(GOOGLEFINANCE(C155, ""price"", EDATE(TODAY(), -12), TODAY()), 2, 2)) - 1, """")"),"")</f>
        <v/>
      </c>
      <c r="Q155" s="6" t="str">
        <f>IFERROR(__xludf.DUMMYFUNCTION("AVERAGE(QUERY(GOOGLEFINANCE(C155, ""price"", TODAY()-80, TODAY()), ""SELECT Col2 WHERE Col2 IS NOT NULL ORDER BY Col1 DESC LIMIT 50"", 0))"),"#N/A")</f>
        <v>#N/A</v>
      </c>
      <c r="R155" s="24" t="str">
        <f>IFERROR(__xludf.DUMMYFUNCTION("IFERROR(
  LET(
    data, QUERY(GOOGLEFINANCE(C155,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GOOGLEFINANCE(C155, ""price"")) * 100,
    IF(calc=0, G155, calc)
  ), 
G155)"),"#N/A")</f>
        <v>#N/A</v>
      </c>
      <c r="S155" s="8" t="s">
        <v>15</v>
      </c>
      <c r="T155" s="26" t="str">
        <f>IFERROR(__xludf.DUMMYFUNCTION("IFERROR(TRANSPOSE(QUERY(IFERROR(SORT(GOOGLEFINANCE(C155, ""price"", WORKDAY(TODAY(), -40), TODAY()), 1, FALSE)), ""select Col2 where Col2 is not null limit 22 label Col2 ''"", 0)), """")"),"")</f>
        <v/>
      </c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8"/>
      <c r="AO155" s="28"/>
      <c r="AP155" s="29"/>
      <c r="AQ155" s="29" t="str">
        <f t="shared" ref="AQ155:BL155" si="158">T155/T$2</f>
        <v>#N/A</v>
      </c>
      <c r="AR155" s="29" t="str">
        <f t="shared" si="158"/>
        <v>#DIV/0!</v>
      </c>
      <c r="AS155" s="29" t="str">
        <f t="shared" si="158"/>
        <v>#DIV/0!</v>
      </c>
      <c r="AT155" s="29" t="str">
        <f t="shared" si="158"/>
        <v>#DIV/0!</v>
      </c>
      <c r="AU155" s="29" t="str">
        <f t="shared" si="158"/>
        <v>#DIV/0!</v>
      </c>
      <c r="AV155" s="29" t="str">
        <f t="shared" si="158"/>
        <v>#DIV/0!</v>
      </c>
      <c r="AW155" s="29" t="str">
        <f t="shared" si="158"/>
        <v>#DIV/0!</v>
      </c>
      <c r="AX155" s="29" t="str">
        <f t="shared" si="158"/>
        <v>#DIV/0!</v>
      </c>
      <c r="AY155" s="29" t="str">
        <f t="shared" si="158"/>
        <v>#DIV/0!</v>
      </c>
      <c r="AZ155" s="29" t="str">
        <f t="shared" si="158"/>
        <v>#DIV/0!</v>
      </c>
      <c r="BA155" s="29" t="str">
        <f t="shared" si="158"/>
        <v>#DIV/0!</v>
      </c>
      <c r="BB155" s="29" t="str">
        <f t="shared" si="158"/>
        <v>#DIV/0!</v>
      </c>
      <c r="BC155" s="29" t="str">
        <f t="shared" si="158"/>
        <v>#DIV/0!</v>
      </c>
      <c r="BD155" s="29" t="str">
        <f t="shared" si="158"/>
        <v>#DIV/0!</v>
      </c>
      <c r="BE155" s="29" t="str">
        <f t="shared" si="158"/>
        <v>#DIV/0!</v>
      </c>
      <c r="BF155" s="29" t="str">
        <f t="shared" si="158"/>
        <v>#DIV/0!</v>
      </c>
      <c r="BG155" s="29" t="str">
        <f t="shared" si="158"/>
        <v>#DIV/0!</v>
      </c>
      <c r="BH155" s="29" t="str">
        <f t="shared" si="158"/>
        <v>#DIV/0!</v>
      </c>
      <c r="BI155" s="29" t="str">
        <f t="shared" si="158"/>
        <v>#DIV/0!</v>
      </c>
      <c r="BJ155" s="29" t="str">
        <f t="shared" si="158"/>
        <v>#DIV/0!</v>
      </c>
      <c r="BK155" s="29" t="str">
        <f t="shared" si="158"/>
        <v>#DIV/0!</v>
      </c>
      <c r="BL155" s="29" t="str">
        <f t="shared" si="158"/>
        <v>#DIV/0!</v>
      </c>
      <c r="BM155" s="29" t="str">
        <f t="shared" si="3"/>
        <v>#DIV/0!</v>
      </c>
    </row>
    <row r="156">
      <c r="A156" s="16" t="str">
        <f>IFERROR(__xludf.DUMMYFUNCTION("IFERROR(SPARKLINE(SORT(MAP(TRANSPOSE(AQ156:BL156), LAMBDA(val, IF(ISNUMBER(val), PERCENTRANK(AQ156:BL156, val)+0.01, 0))), SEQUENCE(COLUMNS(AQ156:BL156)), FALSE), {""charttype"",""column""; ""color"",""chartreuse""; ""ymin"", 0; ""ymax"", 1.01; ""highcolo"&amp;"r"", ""darkgreen""; ""lowcolor"", ""red""}), """")"),"")</f>
        <v/>
      </c>
      <c r="B156" s="17" t="str">
        <f t="shared" si="4"/>
        <v/>
      </c>
      <c r="C156" s="1" t="s">
        <v>695</v>
      </c>
      <c r="D156" s="30" t="str">
        <f>IFERROR(__xludf.DUMMYFUNCTION("IFERROR(GOOGLEFINANCE(C156, ""NAME""))"),"LYFT Inc")</f>
        <v>LYFT Inc</v>
      </c>
      <c r="E156" s="30" t="s">
        <v>48</v>
      </c>
      <c r="F156" s="33" t="str">
        <f>IFERROR(__xludf.DUMMYFUNCTION("( (GOOGLEFINANCE(C156, ""price"") - Q156) / Q156 ) / (R156 / 100)"),"Loading...")</f>
        <v>Loading...</v>
      </c>
      <c r="G156" s="20" t="str">
        <f>IFERROR(__xludf.DUMMYFUNCTION("AVERAGE(ARRAYFORMULA(100 * (QUERY(GOOGLEFINANCE(C156, ""high"", TODAY()-40, TODAY()), ""SELECT Col2 WHERE Col2 IS NOT NULL ORDER BY Col1 DESC LIMIT 20"", 0) / QUERY(GOOGLEFINANCE(C156, ""low"", TODAY()-40, TODAY()), ""SELECT Col2 WHERE Col2 IS NOT NULL OR"&amp;"DER BY Col1 DESC LIMIT 20"", 0) - 1)))"),"#N/A")</f>
        <v>#N/A</v>
      </c>
      <c r="H156" s="35" t="str">
        <f t="shared" si="6"/>
        <v/>
      </c>
      <c r="I156" s="36" t="str">
        <f t="shared" si="7"/>
        <v/>
      </c>
      <c r="J156" s="37" t="str">
        <f>IFERROR(__xludf.DUMMYFUNCTION("IFERROR(
  IF(C156="""",, 
    IFERROR(
      GOOGLEFINANCE(C156, ""price"") * GOOGLEFINANCE(C156, ""volumeavg""), 
      GOOGLEFINANCE(C156, ""price"") * AVERAGE(QUERY(GOOGLEFINANCE(C156, ""volume"", TODAY()-40, TODAY()), ""SELECT Col2 WHERE Col2 IS NOT "&amp;"NULL ORDER BY Col1 DESC LIMIT 20"", 0))
    )
  ), 
"""")"),"")</f>
        <v/>
      </c>
      <c r="K156" s="21" t="str">
        <f>IFERROR(__xludf.DUMMYFUNCTION("IFERROR(GOOGLEFINANCE(C156, ""changepct"") / 100, """")"),"")</f>
        <v/>
      </c>
      <c r="L156" s="21" t="str">
        <f>IFERROR(__xludf.DUMMYFUNCTION("IFERROR((GOOGLEFINANCE(C156, ""price"") / INDEX(GOOGLEFINANCE(C156, ""price"", TODAY()-7, TODAY()), 2, 2)) - 1, """")"),"")</f>
        <v/>
      </c>
      <c r="M156" s="21" t="str">
        <f>IFERROR(__xludf.DUMMYFUNCTION("IFERROR((GOOGLEFINANCE(C156, ""price"") / INDEX(GOOGLEFINANCE(C156, ""price"", EDATE(TODAY(), -1), TODAY()), 2, 2)) - 1, """")"),"")</f>
        <v/>
      </c>
      <c r="N156" s="21" t="str">
        <f>IFERROR(__xludf.DUMMYFUNCTION("IFERROR((GOOGLEFINANCE(C156, ""price"") / INDEX(GOOGLEFINANCE(C156, ""price"", EDATE(TODAY(), -3), TODAY()), 2, 2)) - 1, """")"),"")</f>
        <v/>
      </c>
      <c r="O156" s="21" t="str">
        <f>IFERROR(__xludf.DUMMYFUNCTION("IFERROR((GOOGLEFINANCE(C156, ""price"") / INDEX(GOOGLEFINANCE(C156, ""price"", EDATE(TODAY(), -6), TODAY()), 2, 2)) - 1, """")"),"")</f>
        <v/>
      </c>
      <c r="P156" s="21" t="str">
        <f>IFERROR(__xludf.DUMMYFUNCTION("IFERROR((GOOGLEFINANCE(C156, ""price"") / INDEX(GOOGLEFINANCE(C156, ""price"", EDATE(TODAY(), -12), TODAY()), 2, 2)) - 1, """")"),"")</f>
        <v/>
      </c>
      <c r="Q156" s="6" t="str">
        <f>IFERROR(__xludf.DUMMYFUNCTION("AVERAGE(QUERY(GOOGLEFINANCE(C156, ""price"", TODAY()-80, TODAY()), ""SELECT Col2 WHERE Col2 IS NOT NULL ORDER BY Col1 DESC LIMIT 50"", 0))"),"#N/A")</f>
        <v>#N/A</v>
      </c>
      <c r="R156" s="24" t="str">
        <f>IFERROR(__xludf.DUMMYFUNCTION("IFERROR(
  LET(
    data, QUERY(GOOGLEFINANCE(C156,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GOOGLEFINANCE(C156, ""price"")) * 100,
    IF(calc=0, G156, calc)
  ), 
G156)"),"#N/A")</f>
        <v>#N/A</v>
      </c>
      <c r="S156" s="8" t="s">
        <v>15</v>
      </c>
      <c r="T156" s="26" t="str">
        <f>IFERROR(__xludf.DUMMYFUNCTION("IFERROR(TRANSPOSE(QUERY(IFERROR(SORT(GOOGLEFINANCE(C156, ""price"", WORKDAY(TODAY(), -40), TODAY()), 1, FALSE)), ""select Col2 where Col2 is not null limit 22 label Col2 ''"", 0)), """")"),"")</f>
        <v/>
      </c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8"/>
      <c r="AO156" s="28"/>
      <c r="AP156" s="29"/>
      <c r="AQ156" s="29" t="str">
        <f t="shared" ref="AQ156:BL156" si="159">T156/T$2</f>
        <v>#N/A</v>
      </c>
      <c r="AR156" s="29" t="str">
        <f t="shared" si="159"/>
        <v>#DIV/0!</v>
      </c>
      <c r="AS156" s="29" t="str">
        <f t="shared" si="159"/>
        <v>#DIV/0!</v>
      </c>
      <c r="AT156" s="29" t="str">
        <f t="shared" si="159"/>
        <v>#DIV/0!</v>
      </c>
      <c r="AU156" s="29" t="str">
        <f t="shared" si="159"/>
        <v>#DIV/0!</v>
      </c>
      <c r="AV156" s="29" t="str">
        <f t="shared" si="159"/>
        <v>#DIV/0!</v>
      </c>
      <c r="AW156" s="29" t="str">
        <f t="shared" si="159"/>
        <v>#DIV/0!</v>
      </c>
      <c r="AX156" s="29" t="str">
        <f t="shared" si="159"/>
        <v>#DIV/0!</v>
      </c>
      <c r="AY156" s="29" t="str">
        <f t="shared" si="159"/>
        <v>#DIV/0!</v>
      </c>
      <c r="AZ156" s="29" t="str">
        <f t="shared" si="159"/>
        <v>#DIV/0!</v>
      </c>
      <c r="BA156" s="29" t="str">
        <f t="shared" si="159"/>
        <v>#DIV/0!</v>
      </c>
      <c r="BB156" s="29" t="str">
        <f t="shared" si="159"/>
        <v>#DIV/0!</v>
      </c>
      <c r="BC156" s="29" t="str">
        <f t="shared" si="159"/>
        <v>#DIV/0!</v>
      </c>
      <c r="BD156" s="29" t="str">
        <f t="shared" si="159"/>
        <v>#DIV/0!</v>
      </c>
      <c r="BE156" s="29" t="str">
        <f t="shared" si="159"/>
        <v>#DIV/0!</v>
      </c>
      <c r="BF156" s="29" t="str">
        <f t="shared" si="159"/>
        <v>#DIV/0!</v>
      </c>
      <c r="BG156" s="29" t="str">
        <f t="shared" si="159"/>
        <v>#DIV/0!</v>
      </c>
      <c r="BH156" s="29" t="str">
        <f t="shared" si="159"/>
        <v>#DIV/0!</v>
      </c>
      <c r="BI156" s="29" t="str">
        <f t="shared" si="159"/>
        <v>#DIV/0!</v>
      </c>
      <c r="BJ156" s="29" t="str">
        <f t="shared" si="159"/>
        <v>#DIV/0!</v>
      </c>
      <c r="BK156" s="29" t="str">
        <f t="shared" si="159"/>
        <v>#DIV/0!</v>
      </c>
      <c r="BL156" s="29" t="str">
        <f t="shared" si="159"/>
        <v>#DIV/0!</v>
      </c>
      <c r="BM156" s="29" t="str">
        <f t="shared" si="3"/>
        <v>#DIV/0!</v>
      </c>
    </row>
    <row r="157">
      <c r="A157" s="16" t="str">
        <f>IFERROR(__xludf.DUMMYFUNCTION("IFERROR(SPARKLINE(SORT(MAP(TRANSPOSE(AQ157:BL157), LAMBDA(val, IF(ISNUMBER(val), PERCENTRANK(AQ157:BL157, val)+0.01, 0))), SEQUENCE(COLUMNS(AQ157:BL157)), FALSE), {""charttype"",""column""; ""color"",""chartreuse""; ""ymin"", 0; ""ymax"", 1.01; ""highcolo"&amp;"r"", ""darkgreen""; ""lowcolor"", ""red""}), """")"),"")</f>
        <v/>
      </c>
      <c r="B157" s="17" t="str">
        <f t="shared" si="4"/>
        <v/>
      </c>
      <c r="C157" s="1" t="s">
        <v>699</v>
      </c>
      <c r="D157" s="30" t="str">
        <f>IFERROR(__xludf.DUMMYFUNCTION("IFERROR(GOOGLEFINANCE(C157, ""NAME""))"),"Stratasys Ltd")</f>
        <v>Stratasys Ltd</v>
      </c>
      <c r="E157" s="30" t="s">
        <v>477</v>
      </c>
      <c r="F157" s="33" t="str">
        <f>IFERROR(__xludf.DUMMYFUNCTION("( (GOOGLEFINANCE(C157, ""price"") - Q157) / Q157 ) / (R157 / 100)"),"Loading...")</f>
        <v>Loading...</v>
      </c>
      <c r="G157" s="20" t="str">
        <f>IFERROR(__xludf.DUMMYFUNCTION("AVERAGE(ARRAYFORMULA(100 * (QUERY(GOOGLEFINANCE(C157, ""high"", TODAY()-40, TODAY()), ""SELECT Col2 WHERE Col2 IS NOT NULL ORDER BY Col1 DESC LIMIT 20"", 0) / QUERY(GOOGLEFINANCE(C157, ""low"", TODAY()-40, TODAY()), ""SELECT Col2 WHERE Col2 IS NOT NULL OR"&amp;"DER BY Col1 DESC LIMIT 20"", 0) - 1)))"),"#N/A")</f>
        <v>#N/A</v>
      </c>
      <c r="H157" s="35" t="str">
        <f t="shared" si="6"/>
        <v/>
      </c>
      <c r="I157" s="36" t="str">
        <f t="shared" si="7"/>
        <v/>
      </c>
      <c r="J157" s="37" t="str">
        <f>IFERROR(__xludf.DUMMYFUNCTION("IFERROR(
  IF(C157="""",, 
    IFERROR(
      GOOGLEFINANCE(C157, ""price"") * GOOGLEFINANCE(C157, ""volumeavg""), 
      GOOGLEFINANCE(C157, ""price"") * AVERAGE(QUERY(GOOGLEFINANCE(C157, ""volume"", TODAY()-40, TODAY()), ""SELECT Col2 WHERE Col2 IS NOT "&amp;"NULL ORDER BY Col1 DESC LIMIT 20"", 0))
    )
  ), 
"""")"),"")</f>
        <v/>
      </c>
      <c r="K157" s="21" t="str">
        <f>IFERROR(__xludf.DUMMYFUNCTION("IFERROR(GOOGLEFINANCE(C157, ""changepct"") / 100, """")"),"")</f>
        <v/>
      </c>
      <c r="L157" s="21" t="str">
        <f>IFERROR(__xludf.DUMMYFUNCTION("IFERROR((GOOGLEFINANCE(C157, ""price"") / INDEX(GOOGLEFINANCE(C157, ""price"", TODAY()-7, TODAY()), 2, 2)) - 1, """")"),"")</f>
        <v/>
      </c>
      <c r="M157" s="21" t="str">
        <f>IFERROR(__xludf.DUMMYFUNCTION("IFERROR((GOOGLEFINANCE(C157, ""price"") / INDEX(GOOGLEFINANCE(C157, ""price"", EDATE(TODAY(), -1), TODAY()), 2, 2)) - 1, """")"),"")</f>
        <v/>
      </c>
      <c r="N157" s="21" t="str">
        <f>IFERROR(__xludf.DUMMYFUNCTION("IFERROR((GOOGLEFINANCE(C157, ""price"") / INDEX(GOOGLEFINANCE(C157, ""price"", EDATE(TODAY(), -3), TODAY()), 2, 2)) - 1, """")"),"")</f>
        <v/>
      </c>
      <c r="O157" s="21" t="str">
        <f>IFERROR(__xludf.DUMMYFUNCTION("IFERROR((GOOGLEFINANCE(C157, ""price"") / INDEX(GOOGLEFINANCE(C157, ""price"", EDATE(TODAY(), -6), TODAY()), 2, 2)) - 1, """")"),"")</f>
        <v/>
      </c>
      <c r="P157" s="21" t="str">
        <f>IFERROR(__xludf.DUMMYFUNCTION("IFERROR((GOOGLEFINANCE(C157, ""price"") / INDEX(GOOGLEFINANCE(C157, ""price"", EDATE(TODAY(), -12), TODAY()), 2, 2)) - 1, """")"),"")</f>
        <v/>
      </c>
      <c r="Q157" s="6" t="str">
        <f>IFERROR(__xludf.DUMMYFUNCTION("AVERAGE(QUERY(GOOGLEFINANCE(C157, ""price"", TODAY()-80, TODAY()), ""SELECT Col2 WHERE Col2 IS NOT NULL ORDER BY Col1 DESC LIMIT 50"", 0))"),"#N/A")</f>
        <v>#N/A</v>
      </c>
      <c r="R157" s="24" t="str">
        <f>IFERROR(__xludf.DUMMYFUNCTION("IFERROR(
  LET(
    data, QUERY(GOOGLEFINANCE(C157,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GOOGLEFINANCE(C157, ""price"")) * 100,
    IF(calc=0, G157, calc)
  ), 
G157)"),"#N/A")</f>
        <v>#N/A</v>
      </c>
      <c r="S157" s="8" t="s">
        <v>15</v>
      </c>
      <c r="T157" s="26" t="str">
        <f>IFERROR(__xludf.DUMMYFUNCTION("IFERROR(TRANSPOSE(QUERY(IFERROR(SORT(GOOGLEFINANCE(C157, ""price"", WORKDAY(TODAY(), -40), TODAY()), 1, FALSE)), ""select Col2 where Col2 is not null limit 22 label Col2 ''"", 0)), """")"),"")</f>
        <v/>
      </c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8"/>
      <c r="AO157" s="28"/>
      <c r="AP157" s="29"/>
      <c r="AQ157" s="29" t="str">
        <f t="shared" ref="AQ157:BL157" si="160">T157/T$2</f>
        <v>#N/A</v>
      </c>
      <c r="AR157" s="29" t="str">
        <f t="shared" si="160"/>
        <v>#DIV/0!</v>
      </c>
      <c r="AS157" s="29" t="str">
        <f t="shared" si="160"/>
        <v>#DIV/0!</v>
      </c>
      <c r="AT157" s="29" t="str">
        <f t="shared" si="160"/>
        <v>#DIV/0!</v>
      </c>
      <c r="AU157" s="29" t="str">
        <f t="shared" si="160"/>
        <v>#DIV/0!</v>
      </c>
      <c r="AV157" s="29" t="str">
        <f t="shared" si="160"/>
        <v>#DIV/0!</v>
      </c>
      <c r="AW157" s="29" t="str">
        <f t="shared" si="160"/>
        <v>#DIV/0!</v>
      </c>
      <c r="AX157" s="29" t="str">
        <f t="shared" si="160"/>
        <v>#DIV/0!</v>
      </c>
      <c r="AY157" s="29" t="str">
        <f t="shared" si="160"/>
        <v>#DIV/0!</v>
      </c>
      <c r="AZ157" s="29" t="str">
        <f t="shared" si="160"/>
        <v>#DIV/0!</v>
      </c>
      <c r="BA157" s="29" t="str">
        <f t="shared" si="160"/>
        <v>#DIV/0!</v>
      </c>
      <c r="BB157" s="29" t="str">
        <f t="shared" si="160"/>
        <v>#DIV/0!</v>
      </c>
      <c r="BC157" s="29" t="str">
        <f t="shared" si="160"/>
        <v>#DIV/0!</v>
      </c>
      <c r="BD157" s="29" t="str">
        <f t="shared" si="160"/>
        <v>#DIV/0!</v>
      </c>
      <c r="BE157" s="29" t="str">
        <f t="shared" si="160"/>
        <v>#DIV/0!</v>
      </c>
      <c r="BF157" s="29" t="str">
        <f t="shared" si="160"/>
        <v>#DIV/0!</v>
      </c>
      <c r="BG157" s="29" t="str">
        <f t="shared" si="160"/>
        <v>#DIV/0!</v>
      </c>
      <c r="BH157" s="29" t="str">
        <f t="shared" si="160"/>
        <v>#DIV/0!</v>
      </c>
      <c r="BI157" s="29" t="str">
        <f t="shared" si="160"/>
        <v>#DIV/0!</v>
      </c>
      <c r="BJ157" s="29" t="str">
        <f t="shared" si="160"/>
        <v>#DIV/0!</v>
      </c>
      <c r="BK157" s="29" t="str">
        <f t="shared" si="160"/>
        <v>#DIV/0!</v>
      </c>
      <c r="BL157" s="29" t="str">
        <f t="shared" si="160"/>
        <v>#DIV/0!</v>
      </c>
      <c r="BM157" s="29" t="str">
        <f t="shared" si="3"/>
        <v>#DIV/0!</v>
      </c>
    </row>
    <row r="158">
      <c r="A158" s="16" t="str">
        <f>IFERROR(__xludf.DUMMYFUNCTION("IFERROR(SPARKLINE(SORT(MAP(TRANSPOSE(AQ158:BL158), LAMBDA(val, IF(ISNUMBER(val), PERCENTRANK(AQ158:BL158, val)+0.01, 0))), SEQUENCE(COLUMNS(AQ158:BL158)), FALSE), {""charttype"",""column""; ""color"",""chartreuse""; ""ymin"", 0; ""ymax"", 1.01; ""highcolo"&amp;"r"", ""darkgreen""; ""lowcolor"", ""red""}), """")"),"")</f>
        <v/>
      </c>
      <c r="B158" s="17" t="str">
        <f t="shared" si="4"/>
        <v/>
      </c>
      <c r="C158" s="1" t="s">
        <v>703</v>
      </c>
      <c r="D158" s="30" t="str">
        <f>IFERROR(__xludf.DUMMYFUNCTION("IFERROR(GOOGLEFINANCE(C158, ""NAME""))"),"Leidos Holdings Inc")</f>
        <v>Leidos Holdings Inc</v>
      </c>
      <c r="E158" s="30" t="s">
        <v>102</v>
      </c>
      <c r="F158" s="33" t="str">
        <f>IFERROR(__xludf.DUMMYFUNCTION("( (GOOGLEFINANCE(C158, ""price"") - Q158) / Q158 ) / (R158 / 100)"),"Loading...")</f>
        <v>Loading...</v>
      </c>
      <c r="G158" s="20" t="str">
        <f>IFERROR(__xludf.DUMMYFUNCTION("AVERAGE(ARRAYFORMULA(100 * (QUERY(GOOGLEFINANCE(C158, ""high"", TODAY()-40, TODAY()), ""SELECT Col2 WHERE Col2 IS NOT NULL ORDER BY Col1 DESC LIMIT 20"", 0) / QUERY(GOOGLEFINANCE(C158, ""low"", TODAY()-40, TODAY()), ""SELECT Col2 WHERE Col2 IS NOT NULL OR"&amp;"DER BY Col1 DESC LIMIT 20"", 0) - 1)))"),"#N/A")</f>
        <v>#N/A</v>
      </c>
      <c r="H158" s="35" t="str">
        <f t="shared" si="6"/>
        <v/>
      </c>
      <c r="I158" s="36" t="str">
        <f t="shared" si="7"/>
        <v/>
      </c>
      <c r="J158" s="37" t="str">
        <f>IFERROR(__xludf.DUMMYFUNCTION("IFERROR(
  IF(C158="""",, 
    IFERROR(
      GOOGLEFINANCE(C158, ""price"") * GOOGLEFINANCE(C158, ""volumeavg""), 
      GOOGLEFINANCE(C158, ""price"") * AVERAGE(QUERY(GOOGLEFINANCE(C158, ""volume"", TODAY()-40, TODAY()), ""SELECT Col2 WHERE Col2 IS NOT "&amp;"NULL ORDER BY Col1 DESC LIMIT 20"", 0))
    )
  ), 
"""")"),"")</f>
        <v/>
      </c>
      <c r="K158" s="21" t="str">
        <f>IFERROR(__xludf.DUMMYFUNCTION("IFERROR(GOOGLEFINANCE(C158, ""changepct"") / 100, """")"),"")</f>
        <v/>
      </c>
      <c r="L158" s="21" t="str">
        <f>IFERROR(__xludf.DUMMYFUNCTION("IFERROR((GOOGLEFINANCE(C158, ""price"") / INDEX(GOOGLEFINANCE(C158, ""price"", TODAY()-7, TODAY()), 2, 2)) - 1, """")"),"")</f>
        <v/>
      </c>
      <c r="M158" s="21" t="str">
        <f>IFERROR(__xludf.DUMMYFUNCTION("IFERROR((GOOGLEFINANCE(C158, ""price"") / INDEX(GOOGLEFINANCE(C158, ""price"", EDATE(TODAY(), -1), TODAY()), 2, 2)) - 1, """")"),"")</f>
        <v/>
      </c>
      <c r="N158" s="21" t="str">
        <f>IFERROR(__xludf.DUMMYFUNCTION("IFERROR((GOOGLEFINANCE(C158, ""price"") / INDEX(GOOGLEFINANCE(C158, ""price"", EDATE(TODAY(), -3), TODAY()), 2, 2)) - 1, """")"),"")</f>
        <v/>
      </c>
      <c r="O158" s="21" t="str">
        <f>IFERROR(__xludf.DUMMYFUNCTION("IFERROR((GOOGLEFINANCE(C158, ""price"") / INDEX(GOOGLEFINANCE(C158, ""price"", EDATE(TODAY(), -6), TODAY()), 2, 2)) - 1, """")"),"")</f>
        <v/>
      </c>
      <c r="P158" s="21" t="str">
        <f>IFERROR(__xludf.DUMMYFUNCTION("IFERROR((GOOGLEFINANCE(C158, ""price"") / INDEX(GOOGLEFINANCE(C158, ""price"", EDATE(TODAY(), -12), TODAY()), 2, 2)) - 1, """")"),"")</f>
        <v/>
      </c>
      <c r="Q158" s="6" t="str">
        <f>IFERROR(__xludf.DUMMYFUNCTION("AVERAGE(QUERY(GOOGLEFINANCE(C158, ""price"", TODAY()-80, TODAY()), ""SELECT Col2 WHERE Col2 IS NOT NULL ORDER BY Col1 DESC LIMIT 50"", 0))"),"#N/A")</f>
        <v>#N/A</v>
      </c>
      <c r="R158" s="24" t="str">
        <f>IFERROR(__xludf.DUMMYFUNCTION("IFERROR(
  LET(
    data, QUERY(GOOGLEFINANCE(C158,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GOOGLEFINANCE(C158, ""price"")) * 100,
    IF(calc=0, G158, calc)
  ), 
G158)"),"#N/A")</f>
        <v>#N/A</v>
      </c>
      <c r="S158" s="8" t="s">
        <v>15</v>
      </c>
      <c r="T158" s="26" t="str">
        <f>IFERROR(__xludf.DUMMYFUNCTION("IFERROR(TRANSPOSE(QUERY(IFERROR(SORT(GOOGLEFINANCE(C158, ""price"", WORKDAY(TODAY(), -40), TODAY()), 1, FALSE)), ""select Col2 where Col2 is not null limit 22 label Col2 ''"", 0)), """")"),"")</f>
        <v/>
      </c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8"/>
      <c r="AO158" s="28"/>
      <c r="AP158" s="29"/>
      <c r="AQ158" s="29" t="str">
        <f t="shared" ref="AQ158:BL158" si="161">T158/T$2</f>
        <v>#N/A</v>
      </c>
      <c r="AR158" s="29" t="str">
        <f t="shared" si="161"/>
        <v>#DIV/0!</v>
      </c>
      <c r="AS158" s="29" t="str">
        <f t="shared" si="161"/>
        <v>#DIV/0!</v>
      </c>
      <c r="AT158" s="29" t="str">
        <f t="shared" si="161"/>
        <v>#DIV/0!</v>
      </c>
      <c r="AU158" s="29" t="str">
        <f t="shared" si="161"/>
        <v>#DIV/0!</v>
      </c>
      <c r="AV158" s="29" t="str">
        <f t="shared" si="161"/>
        <v>#DIV/0!</v>
      </c>
      <c r="AW158" s="29" t="str">
        <f t="shared" si="161"/>
        <v>#DIV/0!</v>
      </c>
      <c r="AX158" s="29" t="str">
        <f t="shared" si="161"/>
        <v>#DIV/0!</v>
      </c>
      <c r="AY158" s="29" t="str">
        <f t="shared" si="161"/>
        <v>#DIV/0!</v>
      </c>
      <c r="AZ158" s="29" t="str">
        <f t="shared" si="161"/>
        <v>#DIV/0!</v>
      </c>
      <c r="BA158" s="29" t="str">
        <f t="shared" si="161"/>
        <v>#DIV/0!</v>
      </c>
      <c r="BB158" s="29" t="str">
        <f t="shared" si="161"/>
        <v>#DIV/0!</v>
      </c>
      <c r="BC158" s="29" t="str">
        <f t="shared" si="161"/>
        <v>#DIV/0!</v>
      </c>
      <c r="BD158" s="29" t="str">
        <f t="shared" si="161"/>
        <v>#DIV/0!</v>
      </c>
      <c r="BE158" s="29" t="str">
        <f t="shared" si="161"/>
        <v>#DIV/0!</v>
      </c>
      <c r="BF158" s="29" t="str">
        <f t="shared" si="161"/>
        <v>#DIV/0!</v>
      </c>
      <c r="BG158" s="29" t="str">
        <f t="shared" si="161"/>
        <v>#DIV/0!</v>
      </c>
      <c r="BH158" s="29" t="str">
        <f t="shared" si="161"/>
        <v>#DIV/0!</v>
      </c>
      <c r="BI158" s="29" t="str">
        <f t="shared" si="161"/>
        <v>#DIV/0!</v>
      </c>
      <c r="BJ158" s="29" t="str">
        <f t="shared" si="161"/>
        <v>#DIV/0!</v>
      </c>
      <c r="BK158" s="29" t="str">
        <f t="shared" si="161"/>
        <v>#DIV/0!</v>
      </c>
      <c r="BL158" s="29" t="str">
        <f t="shared" si="161"/>
        <v>#DIV/0!</v>
      </c>
      <c r="BM158" s="29" t="str">
        <f t="shared" si="3"/>
        <v>#DIV/0!</v>
      </c>
    </row>
    <row r="159">
      <c r="A159" s="16" t="str">
        <f>IFERROR(__xludf.DUMMYFUNCTION("IFERROR(SPARKLINE(SORT(MAP(TRANSPOSE(AQ159:BL159), LAMBDA(val, IF(ISNUMBER(val), PERCENTRANK(AQ159:BL159, val)+0.01, 0))), SEQUENCE(COLUMNS(AQ159:BL159)), FALSE), {""charttype"",""column""; ""color"",""chartreuse""; ""ymin"", 0; ""ymax"", 1.01; ""highcolo"&amp;"r"", ""darkgreen""; ""lowcolor"", ""red""}), """")"),"")</f>
        <v/>
      </c>
      <c r="B159" s="17" t="str">
        <f t="shared" si="4"/>
        <v/>
      </c>
      <c r="C159" s="1" t="s">
        <v>711</v>
      </c>
      <c r="D159" s="30" t="str">
        <f>IFERROR(__xludf.DUMMYFUNCTION("IFERROR(GOOGLEFINANCE(C159, ""NAME""))"),"Gorilla Technology Group Inc")</f>
        <v>Gorilla Technology Group Inc</v>
      </c>
      <c r="E159" s="30" t="s">
        <v>58</v>
      </c>
      <c r="F159" s="33" t="str">
        <f>IFERROR(__xludf.DUMMYFUNCTION("( (GOOGLEFINANCE(C159, ""price"") - Q159) / Q159 ) / (R159 / 100)"),"Loading...")</f>
        <v>Loading...</v>
      </c>
      <c r="G159" s="20" t="str">
        <f>IFERROR(__xludf.DUMMYFUNCTION("AVERAGE(ARRAYFORMULA(100 * (QUERY(GOOGLEFINANCE(C159, ""high"", TODAY()-40, TODAY()), ""SELECT Col2 WHERE Col2 IS NOT NULL ORDER BY Col1 DESC LIMIT 20"", 0) / QUERY(GOOGLEFINANCE(C159, ""low"", TODAY()-40, TODAY()), ""SELECT Col2 WHERE Col2 IS NOT NULL OR"&amp;"DER BY Col1 DESC LIMIT 20"", 0) - 1)))"),"#N/A")</f>
        <v>#N/A</v>
      </c>
      <c r="H159" s="35" t="str">
        <f t="shared" si="6"/>
        <v/>
      </c>
      <c r="I159" s="36" t="str">
        <f t="shared" si="7"/>
        <v/>
      </c>
      <c r="J159" s="37" t="str">
        <f>IFERROR(__xludf.DUMMYFUNCTION("IFERROR(
  IF(C159="""",, 
    IFERROR(
      GOOGLEFINANCE(C159, ""price"") * GOOGLEFINANCE(C159, ""volumeavg""), 
      GOOGLEFINANCE(C159, ""price"") * AVERAGE(QUERY(GOOGLEFINANCE(C159, ""volume"", TODAY()-40, TODAY()), ""SELECT Col2 WHERE Col2 IS NOT "&amp;"NULL ORDER BY Col1 DESC LIMIT 20"", 0))
    )
  ), 
"""")"),"")</f>
        <v/>
      </c>
      <c r="K159" s="21" t="str">
        <f>IFERROR(__xludf.DUMMYFUNCTION("IFERROR(GOOGLEFINANCE(C159, ""changepct"") / 100, """")"),"")</f>
        <v/>
      </c>
      <c r="L159" s="21" t="str">
        <f>IFERROR(__xludf.DUMMYFUNCTION("IFERROR((GOOGLEFINANCE(C159, ""price"") / INDEX(GOOGLEFINANCE(C159, ""price"", TODAY()-7, TODAY()), 2, 2)) - 1, """")"),"")</f>
        <v/>
      </c>
      <c r="M159" s="21" t="str">
        <f>IFERROR(__xludf.DUMMYFUNCTION("IFERROR((GOOGLEFINANCE(C159, ""price"") / INDEX(GOOGLEFINANCE(C159, ""price"", EDATE(TODAY(), -1), TODAY()), 2, 2)) - 1, """")"),"")</f>
        <v/>
      </c>
      <c r="N159" s="21" t="str">
        <f>IFERROR(__xludf.DUMMYFUNCTION("IFERROR((GOOGLEFINANCE(C159, ""price"") / INDEX(GOOGLEFINANCE(C159, ""price"", EDATE(TODAY(), -3), TODAY()), 2, 2)) - 1, """")"),"")</f>
        <v/>
      </c>
      <c r="O159" s="21" t="str">
        <f>IFERROR(__xludf.DUMMYFUNCTION("IFERROR((GOOGLEFINANCE(C159, ""price"") / INDEX(GOOGLEFINANCE(C159, ""price"", EDATE(TODAY(), -6), TODAY()), 2, 2)) - 1, """")"),"")</f>
        <v/>
      </c>
      <c r="P159" s="21" t="str">
        <f>IFERROR(__xludf.DUMMYFUNCTION("IFERROR((GOOGLEFINANCE(C159, ""price"") / INDEX(GOOGLEFINANCE(C159, ""price"", EDATE(TODAY(), -12), TODAY()), 2, 2)) - 1, """")"),"")</f>
        <v/>
      </c>
      <c r="Q159" s="6" t="str">
        <f>IFERROR(__xludf.DUMMYFUNCTION("AVERAGE(QUERY(GOOGLEFINANCE(C159, ""price"", TODAY()-80, TODAY()), ""SELECT Col2 WHERE Col2 IS NOT NULL ORDER BY Col1 DESC LIMIT 50"", 0))"),"#N/A")</f>
        <v>#N/A</v>
      </c>
      <c r="R159" s="24" t="str">
        <f>IFERROR(__xludf.DUMMYFUNCTION("IFERROR(
  LET(
    data, QUERY(GOOGLEFINANCE(C159,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GOOGLEFINANCE(C159, ""price"")) * 100,
    IF(calc=0, G159, calc)
  ), 
G159)"),"#N/A")</f>
        <v>#N/A</v>
      </c>
      <c r="S159" s="8" t="s">
        <v>15</v>
      </c>
      <c r="T159" s="26" t="str">
        <f>IFERROR(__xludf.DUMMYFUNCTION("IFERROR(TRANSPOSE(QUERY(IFERROR(SORT(GOOGLEFINANCE(C159, ""price"", WORKDAY(TODAY(), -40), TODAY()), 1, FALSE)), ""select Col2 where Col2 is not null limit 22 label Col2 ''"", 0)), """")"),"")</f>
        <v/>
      </c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8"/>
      <c r="AO159" s="28"/>
      <c r="AP159" s="29"/>
      <c r="AQ159" s="29" t="str">
        <f t="shared" ref="AQ159:BL159" si="162">T159/T$2</f>
        <v>#N/A</v>
      </c>
      <c r="AR159" s="29" t="str">
        <f t="shared" si="162"/>
        <v>#DIV/0!</v>
      </c>
      <c r="AS159" s="29" t="str">
        <f t="shared" si="162"/>
        <v>#DIV/0!</v>
      </c>
      <c r="AT159" s="29" t="str">
        <f t="shared" si="162"/>
        <v>#DIV/0!</v>
      </c>
      <c r="AU159" s="29" t="str">
        <f t="shared" si="162"/>
        <v>#DIV/0!</v>
      </c>
      <c r="AV159" s="29" t="str">
        <f t="shared" si="162"/>
        <v>#DIV/0!</v>
      </c>
      <c r="AW159" s="29" t="str">
        <f t="shared" si="162"/>
        <v>#DIV/0!</v>
      </c>
      <c r="AX159" s="29" t="str">
        <f t="shared" si="162"/>
        <v>#DIV/0!</v>
      </c>
      <c r="AY159" s="29" t="str">
        <f t="shared" si="162"/>
        <v>#DIV/0!</v>
      </c>
      <c r="AZ159" s="29" t="str">
        <f t="shared" si="162"/>
        <v>#DIV/0!</v>
      </c>
      <c r="BA159" s="29" t="str">
        <f t="shared" si="162"/>
        <v>#DIV/0!</v>
      </c>
      <c r="BB159" s="29" t="str">
        <f t="shared" si="162"/>
        <v>#DIV/0!</v>
      </c>
      <c r="BC159" s="29" t="str">
        <f t="shared" si="162"/>
        <v>#DIV/0!</v>
      </c>
      <c r="BD159" s="29" t="str">
        <f t="shared" si="162"/>
        <v>#DIV/0!</v>
      </c>
      <c r="BE159" s="29" t="str">
        <f t="shared" si="162"/>
        <v>#DIV/0!</v>
      </c>
      <c r="BF159" s="29" t="str">
        <f t="shared" si="162"/>
        <v>#DIV/0!</v>
      </c>
      <c r="BG159" s="29" t="str">
        <f t="shared" si="162"/>
        <v>#DIV/0!</v>
      </c>
      <c r="BH159" s="29" t="str">
        <f t="shared" si="162"/>
        <v>#DIV/0!</v>
      </c>
      <c r="BI159" s="29" t="str">
        <f t="shared" si="162"/>
        <v>#DIV/0!</v>
      </c>
      <c r="BJ159" s="29" t="str">
        <f t="shared" si="162"/>
        <v>#DIV/0!</v>
      </c>
      <c r="BK159" s="29" t="str">
        <f t="shared" si="162"/>
        <v>#DIV/0!</v>
      </c>
      <c r="BL159" s="29" t="str">
        <f t="shared" si="162"/>
        <v>#DIV/0!</v>
      </c>
      <c r="BM159" s="29" t="str">
        <f t="shared" si="3"/>
        <v>#DIV/0!</v>
      </c>
    </row>
    <row r="160">
      <c r="A160" s="16" t="str">
        <f>IFERROR(__xludf.DUMMYFUNCTION("IFERROR(SPARKLINE(SORT(MAP(TRANSPOSE(AQ160:BL160), LAMBDA(val, IF(ISNUMBER(val), PERCENTRANK(AQ160:BL160, val)+0.01, 0))), SEQUENCE(COLUMNS(AQ160:BL160)), FALSE), {""charttype"",""column""; ""color"",""chartreuse""; ""ymin"", 0; ""ymax"", 1.01; ""highcolo"&amp;"r"", ""darkgreen""; ""lowcolor"", ""red""}), """")"),"")</f>
        <v/>
      </c>
      <c r="B160" s="17" t="str">
        <f t="shared" si="4"/>
        <v/>
      </c>
      <c r="C160" s="1" t="s">
        <v>715</v>
      </c>
      <c r="D160" s="30" t="str">
        <f>IFERROR(__xludf.DUMMYFUNCTION("IFERROR(GOOGLEFINANCE(C160, ""NAME""))"),"NetGear Inc")</f>
        <v>NetGear Inc</v>
      </c>
      <c r="E160" s="30" t="s">
        <v>716</v>
      </c>
      <c r="F160" s="33" t="str">
        <f>IFERROR(__xludf.DUMMYFUNCTION("( (GOOGLEFINANCE(C160, ""price"") - Q160) / Q160 ) / (R160 / 100)"),"Loading...")</f>
        <v>Loading...</v>
      </c>
      <c r="G160" s="20" t="str">
        <f>IFERROR(__xludf.DUMMYFUNCTION("AVERAGE(ARRAYFORMULA(100 * (QUERY(GOOGLEFINANCE(C160, ""high"", TODAY()-40, TODAY()), ""SELECT Col2 WHERE Col2 IS NOT NULL ORDER BY Col1 DESC LIMIT 20"", 0) / QUERY(GOOGLEFINANCE(C160, ""low"", TODAY()-40, TODAY()), ""SELECT Col2 WHERE Col2 IS NOT NULL OR"&amp;"DER BY Col1 DESC LIMIT 20"", 0) - 1)))"),"#N/A")</f>
        <v>#N/A</v>
      </c>
      <c r="H160" s="35" t="str">
        <f t="shared" si="6"/>
        <v/>
      </c>
      <c r="I160" s="36" t="str">
        <f t="shared" si="7"/>
        <v/>
      </c>
      <c r="J160" s="37" t="str">
        <f>IFERROR(__xludf.DUMMYFUNCTION("IFERROR(
  IF(C160="""",, 
    IFERROR(
      GOOGLEFINANCE(C160, ""price"") * GOOGLEFINANCE(C160, ""volumeavg""), 
      GOOGLEFINANCE(C160, ""price"") * AVERAGE(QUERY(GOOGLEFINANCE(C160, ""volume"", TODAY()-40, TODAY()), ""SELECT Col2 WHERE Col2 IS NOT "&amp;"NULL ORDER BY Col1 DESC LIMIT 20"", 0))
    )
  ), 
"""")"),"")</f>
        <v/>
      </c>
      <c r="K160" s="21" t="str">
        <f>IFERROR(__xludf.DUMMYFUNCTION("IFERROR(GOOGLEFINANCE(C160, ""changepct"") / 100, """")"),"")</f>
        <v/>
      </c>
      <c r="L160" s="21" t="str">
        <f>IFERROR(__xludf.DUMMYFUNCTION("IFERROR((GOOGLEFINANCE(C160, ""price"") / INDEX(GOOGLEFINANCE(C160, ""price"", TODAY()-7, TODAY()), 2, 2)) - 1, """")"),"")</f>
        <v/>
      </c>
      <c r="M160" s="21" t="str">
        <f>IFERROR(__xludf.DUMMYFUNCTION("IFERROR((GOOGLEFINANCE(C160, ""price"") / INDEX(GOOGLEFINANCE(C160, ""price"", EDATE(TODAY(), -1), TODAY()), 2, 2)) - 1, """")"),"")</f>
        <v/>
      </c>
      <c r="N160" s="21" t="str">
        <f>IFERROR(__xludf.DUMMYFUNCTION("IFERROR((GOOGLEFINANCE(C160, ""price"") / INDEX(GOOGLEFINANCE(C160, ""price"", EDATE(TODAY(), -3), TODAY()), 2, 2)) - 1, """")"),"")</f>
        <v/>
      </c>
      <c r="O160" s="21" t="str">
        <f>IFERROR(__xludf.DUMMYFUNCTION("IFERROR((GOOGLEFINANCE(C160, ""price"") / INDEX(GOOGLEFINANCE(C160, ""price"", EDATE(TODAY(), -6), TODAY()), 2, 2)) - 1, """")"),"")</f>
        <v/>
      </c>
      <c r="P160" s="21" t="str">
        <f>IFERROR(__xludf.DUMMYFUNCTION("IFERROR((GOOGLEFINANCE(C160, ""price"") / INDEX(GOOGLEFINANCE(C160, ""price"", EDATE(TODAY(), -12), TODAY()), 2, 2)) - 1, """")"),"")</f>
        <v/>
      </c>
      <c r="Q160" s="6" t="str">
        <f>IFERROR(__xludf.DUMMYFUNCTION("AVERAGE(QUERY(GOOGLEFINANCE(C160, ""price"", TODAY()-80, TODAY()), ""SELECT Col2 WHERE Col2 IS NOT NULL ORDER BY Col1 DESC LIMIT 50"", 0))"),"#N/A")</f>
        <v>#N/A</v>
      </c>
      <c r="R160" s="24" t="str">
        <f>IFERROR(__xludf.DUMMYFUNCTION("IFERROR(
  LET(
    data, QUERY(GOOGLEFINANCE(C160,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GOOGLEFINANCE(C160, ""price"")) * 100,
    IF(calc=0, G160, calc)
  ), 
G160)"),"#N/A")</f>
        <v>#N/A</v>
      </c>
      <c r="S160" s="8" t="s">
        <v>15</v>
      </c>
      <c r="T160" s="26" t="str">
        <f>IFERROR(__xludf.DUMMYFUNCTION("IFERROR(TRANSPOSE(QUERY(IFERROR(SORT(GOOGLEFINANCE(C160, ""price"", WORKDAY(TODAY(), -40), TODAY()), 1, FALSE)), ""select Col2 where Col2 is not null limit 22 label Col2 ''"", 0)), """")"),"")</f>
        <v/>
      </c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8"/>
      <c r="AO160" s="28"/>
      <c r="AP160" s="29"/>
      <c r="AQ160" s="29" t="str">
        <f t="shared" ref="AQ160:BL160" si="163">T160/T$2</f>
        <v>#N/A</v>
      </c>
      <c r="AR160" s="29" t="str">
        <f t="shared" si="163"/>
        <v>#DIV/0!</v>
      </c>
      <c r="AS160" s="29" t="str">
        <f t="shared" si="163"/>
        <v>#DIV/0!</v>
      </c>
      <c r="AT160" s="29" t="str">
        <f t="shared" si="163"/>
        <v>#DIV/0!</v>
      </c>
      <c r="AU160" s="29" t="str">
        <f t="shared" si="163"/>
        <v>#DIV/0!</v>
      </c>
      <c r="AV160" s="29" t="str">
        <f t="shared" si="163"/>
        <v>#DIV/0!</v>
      </c>
      <c r="AW160" s="29" t="str">
        <f t="shared" si="163"/>
        <v>#DIV/0!</v>
      </c>
      <c r="AX160" s="29" t="str">
        <f t="shared" si="163"/>
        <v>#DIV/0!</v>
      </c>
      <c r="AY160" s="29" t="str">
        <f t="shared" si="163"/>
        <v>#DIV/0!</v>
      </c>
      <c r="AZ160" s="29" t="str">
        <f t="shared" si="163"/>
        <v>#DIV/0!</v>
      </c>
      <c r="BA160" s="29" t="str">
        <f t="shared" si="163"/>
        <v>#DIV/0!</v>
      </c>
      <c r="BB160" s="29" t="str">
        <f t="shared" si="163"/>
        <v>#DIV/0!</v>
      </c>
      <c r="BC160" s="29" t="str">
        <f t="shared" si="163"/>
        <v>#DIV/0!</v>
      </c>
      <c r="BD160" s="29" t="str">
        <f t="shared" si="163"/>
        <v>#DIV/0!</v>
      </c>
      <c r="BE160" s="29" t="str">
        <f t="shared" si="163"/>
        <v>#DIV/0!</v>
      </c>
      <c r="BF160" s="29" t="str">
        <f t="shared" si="163"/>
        <v>#DIV/0!</v>
      </c>
      <c r="BG160" s="29" t="str">
        <f t="shared" si="163"/>
        <v>#DIV/0!</v>
      </c>
      <c r="BH160" s="29" t="str">
        <f t="shared" si="163"/>
        <v>#DIV/0!</v>
      </c>
      <c r="BI160" s="29" t="str">
        <f t="shared" si="163"/>
        <v>#DIV/0!</v>
      </c>
      <c r="BJ160" s="29" t="str">
        <f t="shared" si="163"/>
        <v>#DIV/0!</v>
      </c>
      <c r="BK160" s="29" t="str">
        <f t="shared" si="163"/>
        <v>#DIV/0!</v>
      </c>
      <c r="BL160" s="29" t="str">
        <f t="shared" si="163"/>
        <v>#DIV/0!</v>
      </c>
      <c r="BM160" s="29" t="str">
        <f t="shared" si="3"/>
        <v>#DIV/0!</v>
      </c>
    </row>
    <row r="161">
      <c r="A161" s="16" t="str">
        <f>IFERROR(__xludf.DUMMYFUNCTION("IFERROR(SPARKLINE(SORT(MAP(TRANSPOSE(AQ161:BL161), LAMBDA(val, IF(ISNUMBER(val), PERCENTRANK(AQ161:BL161, val)+0.01, 0))), SEQUENCE(COLUMNS(AQ161:BL161)), FALSE), {""charttype"",""column""; ""color"",""chartreuse""; ""ymin"", 0; ""ymax"", 1.01; ""highcolo"&amp;"r"", ""darkgreen""; ""lowcolor"", ""red""}), """")"),"")</f>
        <v/>
      </c>
      <c r="B161" s="17" t="str">
        <f t="shared" si="4"/>
        <v/>
      </c>
      <c r="C161" s="1" t="s">
        <v>720</v>
      </c>
      <c r="D161" s="30" t="str">
        <f>IFERROR(__xludf.DUMMYFUNCTION("IFERROR(GOOGLEFINANCE(C161, ""NAME""))"),"Five9 Inc")</f>
        <v>Five9 Inc</v>
      </c>
      <c r="E161" s="30" t="s">
        <v>58</v>
      </c>
      <c r="F161" s="33" t="str">
        <f>IFERROR(__xludf.DUMMYFUNCTION("( (GOOGLEFINANCE(C161, ""price"") - Q161) / Q161 ) / (R161 / 100)"),"Loading...")</f>
        <v>Loading...</v>
      </c>
      <c r="G161" s="20" t="str">
        <f>IFERROR(__xludf.DUMMYFUNCTION("AVERAGE(ARRAYFORMULA(100 * (QUERY(GOOGLEFINANCE(C161, ""high"", TODAY()-40, TODAY()), ""SELECT Col2 WHERE Col2 IS NOT NULL ORDER BY Col1 DESC LIMIT 20"", 0) / QUERY(GOOGLEFINANCE(C161, ""low"", TODAY()-40, TODAY()), ""SELECT Col2 WHERE Col2 IS NOT NULL OR"&amp;"DER BY Col1 DESC LIMIT 20"", 0) - 1)))"),"#N/A")</f>
        <v>#N/A</v>
      </c>
      <c r="H161" s="35" t="str">
        <f t="shared" si="6"/>
        <v/>
      </c>
      <c r="I161" s="36" t="str">
        <f t="shared" si="7"/>
        <v/>
      </c>
      <c r="J161" s="37" t="str">
        <f>IFERROR(__xludf.DUMMYFUNCTION("IFERROR(
  IF(C161="""",, 
    IFERROR(
      GOOGLEFINANCE(C161, ""price"") * GOOGLEFINANCE(C161, ""volumeavg""), 
      GOOGLEFINANCE(C161, ""price"") * AVERAGE(QUERY(GOOGLEFINANCE(C161, ""volume"", TODAY()-40, TODAY()), ""SELECT Col2 WHERE Col2 IS NOT "&amp;"NULL ORDER BY Col1 DESC LIMIT 20"", 0))
    )
  ), 
"""")"),"")</f>
        <v/>
      </c>
      <c r="K161" s="21" t="str">
        <f>IFERROR(__xludf.DUMMYFUNCTION("IFERROR(GOOGLEFINANCE(C161, ""changepct"") / 100, """")"),"")</f>
        <v/>
      </c>
      <c r="L161" s="21" t="str">
        <f>IFERROR(__xludf.DUMMYFUNCTION("IFERROR((GOOGLEFINANCE(C161, ""price"") / INDEX(GOOGLEFINANCE(C161, ""price"", TODAY()-7, TODAY()), 2, 2)) - 1, """")"),"")</f>
        <v/>
      </c>
      <c r="M161" s="21" t="str">
        <f>IFERROR(__xludf.DUMMYFUNCTION("IFERROR((GOOGLEFINANCE(C161, ""price"") / INDEX(GOOGLEFINANCE(C161, ""price"", EDATE(TODAY(), -1), TODAY()), 2, 2)) - 1, """")"),"")</f>
        <v/>
      </c>
      <c r="N161" s="21" t="str">
        <f>IFERROR(__xludf.DUMMYFUNCTION("IFERROR((GOOGLEFINANCE(C161, ""price"") / INDEX(GOOGLEFINANCE(C161, ""price"", EDATE(TODAY(), -3), TODAY()), 2, 2)) - 1, """")"),"")</f>
        <v/>
      </c>
      <c r="O161" s="21" t="str">
        <f>IFERROR(__xludf.DUMMYFUNCTION("IFERROR((GOOGLEFINANCE(C161, ""price"") / INDEX(GOOGLEFINANCE(C161, ""price"", EDATE(TODAY(), -6), TODAY()), 2, 2)) - 1, """")"),"")</f>
        <v/>
      </c>
      <c r="P161" s="21" t="str">
        <f>IFERROR(__xludf.DUMMYFUNCTION("IFERROR((GOOGLEFINANCE(C161, ""price"") / INDEX(GOOGLEFINANCE(C161, ""price"", EDATE(TODAY(), -12), TODAY()), 2, 2)) - 1, """")"),"")</f>
        <v/>
      </c>
      <c r="Q161" s="6" t="str">
        <f>IFERROR(__xludf.DUMMYFUNCTION("AVERAGE(QUERY(GOOGLEFINANCE(C161, ""price"", TODAY()-80, TODAY()), ""SELECT Col2 WHERE Col2 IS NOT NULL ORDER BY Col1 DESC LIMIT 50"", 0))"),"#N/A")</f>
        <v>#N/A</v>
      </c>
      <c r="R161" s="24" t="str">
        <f>IFERROR(__xludf.DUMMYFUNCTION("IFERROR(
  LET(
    data, QUERY(GOOGLEFINANCE(C161,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GOOGLEFINANCE(C161, ""price"")) * 100,
    IF(calc=0, G161, calc)
  ), 
G161)"),"#N/A")</f>
        <v>#N/A</v>
      </c>
      <c r="S161" s="8" t="s">
        <v>15</v>
      </c>
      <c r="T161" s="26" t="str">
        <f>IFERROR(__xludf.DUMMYFUNCTION("IFERROR(TRANSPOSE(QUERY(IFERROR(SORT(GOOGLEFINANCE(C161, ""price"", WORKDAY(TODAY(), -40), TODAY()), 1, FALSE)), ""select Col2 where Col2 is not null limit 22 label Col2 ''"", 0)), """")"),"")</f>
        <v/>
      </c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8"/>
      <c r="AO161" s="28"/>
      <c r="AP161" s="29"/>
      <c r="AQ161" s="29" t="str">
        <f t="shared" ref="AQ161:BL161" si="164">T161/T$2</f>
        <v>#N/A</v>
      </c>
      <c r="AR161" s="29" t="str">
        <f t="shared" si="164"/>
        <v>#DIV/0!</v>
      </c>
      <c r="AS161" s="29" t="str">
        <f t="shared" si="164"/>
        <v>#DIV/0!</v>
      </c>
      <c r="AT161" s="29" t="str">
        <f t="shared" si="164"/>
        <v>#DIV/0!</v>
      </c>
      <c r="AU161" s="29" t="str">
        <f t="shared" si="164"/>
        <v>#DIV/0!</v>
      </c>
      <c r="AV161" s="29" t="str">
        <f t="shared" si="164"/>
        <v>#DIV/0!</v>
      </c>
      <c r="AW161" s="29" t="str">
        <f t="shared" si="164"/>
        <v>#DIV/0!</v>
      </c>
      <c r="AX161" s="29" t="str">
        <f t="shared" si="164"/>
        <v>#DIV/0!</v>
      </c>
      <c r="AY161" s="29" t="str">
        <f t="shared" si="164"/>
        <v>#DIV/0!</v>
      </c>
      <c r="AZ161" s="29" t="str">
        <f t="shared" si="164"/>
        <v>#DIV/0!</v>
      </c>
      <c r="BA161" s="29" t="str">
        <f t="shared" si="164"/>
        <v>#DIV/0!</v>
      </c>
      <c r="BB161" s="29" t="str">
        <f t="shared" si="164"/>
        <v>#DIV/0!</v>
      </c>
      <c r="BC161" s="29" t="str">
        <f t="shared" si="164"/>
        <v>#DIV/0!</v>
      </c>
      <c r="BD161" s="29" t="str">
        <f t="shared" si="164"/>
        <v>#DIV/0!</v>
      </c>
      <c r="BE161" s="29" t="str">
        <f t="shared" si="164"/>
        <v>#DIV/0!</v>
      </c>
      <c r="BF161" s="29" t="str">
        <f t="shared" si="164"/>
        <v>#DIV/0!</v>
      </c>
      <c r="BG161" s="29" t="str">
        <f t="shared" si="164"/>
        <v>#DIV/0!</v>
      </c>
      <c r="BH161" s="29" t="str">
        <f t="shared" si="164"/>
        <v>#DIV/0!</v>
      </c>
      <c r="BI161" s="29" t="str">
        <f t="shared" si="164"/>
        <v>#DIV/0!</v>
      </c>
      <c r="BJ161" s="29" t="str">
        <f t="shared" si="164"/>
        <v>#DIV/0!</v>
      </c>
      <c r="BK161" s="29" t="str">
        <f t="shared" si="164"/>
        <v>#DIV/0!</v>
      </c>
      <c r="BL161" s="29" t="str">
        <f t="shared" si="164"/>
        <v>#DIV/0!</v>
      </c>
      <c r="BM161" s="29" t="str">
        <f t="shared" si="3"/>
        <v>#DIV/0!</v>
      </c>
    </row>
    <row r="162">
      <c r="A162" s="16" t="str">
        <f>IFERROR(__xludf.DUMMYFUNCTION("IFERROR(SPARKLINE(SORT(MAP(TRANSPOSE(AQ162:BL162), LAMBDA(val, IF(ISNUMBER(val), PERCENTRANK(AQ162:BL162, val)+0.01, 0))), SEQUENCE(COLUMNS(AQ162:BL162)), FALSE), {""charttype"",""column""; ""color"",""chartreuse""; ""ymin"", 0; ""ymax"", 1.01; ""highcolo"&amp;"r"", ""darkgreen""; ""lowcolor"", ""red""}), """")"),"")</f>
        <v/>
      </c>
      <c r="B162" s="17" t="str">
        <f t="shared" si="4"/>
        <v/>
      </c>
      <c r="C162" s="1" t="s">
        <v>724</v>
      </c>
      <c r="D162" s="30" t="str">
        <f>IFERROR(__xludf.DUMMYFUNCTION("IFERROR(GOOGLEFINANCE(C162, ""NAME""))"),"Wealthfront Corp")</f>
        <v>Wealthfront Corp</v>
      </c>
      <c r="E162" s="30" t="s">
        <v>48</v>
      </c>
      <c r="F162" s="33" t="str">
        <f>IFERROR(__xludf.DUMMYFUNCTION("( (GOOGLEFINANCE(C162, ""price"") - Q162) / Q162 ) / (R162 / 100)"),"Loading...")</f>
        <v>Loading...</v>
      </c>
      <c r="G162" s="20" t="str">
        <f>IFERROR(__xludf.DUMMYFUNCTION("AVERAGE(ARRAYFORMULA(100 * (QUERY(GOOGLEFINANCE(C162, ""high"", TODAY()-40, TODAY()), ""SELECT Col2 WHERE Col2 IS NOT NULL ORDER BY Col1 DESC LIMIT 20"", 0) / QUERY(GOOGLEFINANCE(C162, ""low"", TODAY()-40, TODAY()), ""SELECT Col2 WHERE Col2 IS NOT NULL OR"&amp;"DER BY Col1 DESC LIMIT 20"", 0) - 1)))"),"#N/A")</f>
        <v>#N/A</v>
      </c>
      <c r="H162" s="35" t="str">
        <f t="shared" si="6"/>
        <v/>
      </c>
      <c r="I162" s="36" t="str">
        <f t="shared" si="7"/>
        <v/>
      </c>
      <c r="J162" s="37" t="str">
        <f>IFERROR(__xludf.DUMMYFUNCTION("IFERROR(
  IF(C162="""",, 
    IFERROR(
      GOOGLEFINANCE(C162, ""price"") * GOOGLEFINANCE(C162, ""volumeavg""), 
      GOOGLEFINANCE(C162, ""price"") * AVERAGE(QUERY(GOOGLEFINANCE(C162, ""volume"", TODAY()-40, TODAY()), ""SELECT Col2 WHERE Col2 IS NOT "&amp;"NULL ORDER BY Col1 DESC LIMIT 20"", 0))
    )
  ), 
"""")"),"")</f>
        <v/>
      </c>
      <c r="K162" s="21" t="str">
        <f>IFERROR(__xludf.DUMMYFUNCTION("IFERROR(GOOGLEFINANCE(C162, ""changepct"") / 100, """")"),"")</f>
        <v/>
      </c>
      <c r="L162" s="21" t="str">
        <f>IFERROR(__xludf.DUMMYFUNCTION("IFERROR((GOOGLEFINANCE(C162, ""price"") / INDEX(GOOGLEFINANCE(C162, ""price"", TODAY()-7, TODAY()), 2, 2)) - 1, """")"),"")</f>
        <v/>
      </c>
      <c r="M162" s="21" t="str">
        <f>IFERROR(__xludf.DUMMYFUNCTION("IFERROR((GOOGLEFINANCE(C162, ""price"") / INDEX(GOOGLEFINANCE(C162, ""price"", EDATE(TODAY(), -1), TODAY()), 2, 2)) - 1, """")"),"")</f>
        <v/>
      </c>
      <c r="N162" s="21" t="str">
        <f>IFERROR(__xludf.DUMMYFUNCTION("IFERROR((GOOGLEFINANCE(C162, ""price"") / INDEX(GOOGLEFINANCE(C162, ""price"", EDATE(TODAY(), -3), TODAY()), 2, 2)) - 1, """")"),"")</f>
        <v/>
      </c>
      <c r="O162" s="21" t="str">
        <f>IFERROR(__xludf.DUMMYFUNCTION("IFERROR((GOOGLEFINANCE(C162, ""price"") / INDEX(GOOGLEFINANCE(C162, ""price"", EDATE(TODAY(), -6), TODAY()), 2, 2)) - 1, """")"),"")</f>
        <v/>
      </c>
      <c r="P162" s="21" t="str">
        <f>IFERROR(__xludf.DUMMYFUNCTION("IFERROR((GOOGLEFINANCE(C162, ""price"") / INDEX(GOOGLEFINANCE(C162, ""price"", EDATE(TODAY(), -12), TODAY()), 2, 2)) - 1, """")"),"")</f>
        <v/>
      </c>
      <c r="Q162" s="6" t="str">
        <f>IFERROR(__xludf.DUMMYFUNCTION("AVERAGE(QUERY(GOOGLEFINANCE(C162, ""price"", TODAY()-80, TODAY()), ""SELECT Col2 WHERE Col2 IS NOT NULL ORDER BY Col1 DESC LIMIT 50"", 0))"),"#N/A")</f>
        <v>#N/A</v>
      </c>
      <c r="R162" s="24" t="str">
        <f>IFERROR(__xludf.DUMMYFUNCTION("IFERROR(
  LET(
    data, QUERY(GOOGLEFINANCE(C162,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GOOGLEFINANCE(C162, ""price"")) * 100,
    IF(calc=0, G162, calc)
  ), 
G162)"),"#N/A")</f>
        <v>#N/A</v>
      </c>
      <c r="S162" s="8" t="s">
        <v>15</v>
      </c>
      <c r="T162" s="26" t="str">
        <f>IFERROR(__xludf.DUMMYFUNCTION("IFERROR(TRANSPOSE(QUERY(IFERROR(SORT(GOOGLEFINANCE(C162, ""price"", WORKDAY(TODAY(), -40), TODAY()), 1, FALSE)), ""select Col2 where Col2 is not null limit 22 label Col2 ''"", 0)), """")"),"")</f>
        <v/>
      </c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8"/>
      <c r="AO162" s="28"/>
      <c r="AP162" s="29"/>
      <c r="AQ162" s="29" t="str">
        <f t="shared" ref="AQ162:BL162" si="165">T162/T$2</f>
        <v>#N/A</v>
      </c>
      <c r="AR162" s="29" t="str">
        <f t="shared" si="165"/>
        <v>#DIV/0!</v>
      </c>
      <c r="AS162" s="29" t="str">
        <f t="shared" si="165"/>
        <v>#DIV/0!</v>
      </c>
      <c r="AT162" s="29" t="str">
        <f t="shared" si="165"/>
        <v>#DIV/0!</v>
      </c>
      <c r="AU162" s="29" t="str">
        <f t="shared" si="165"/>
        <v>#DIV/0!</v>
      </c>
      <c r="AV162" s="29" t="str">
        <f t="shared" si="165"/>
        <v>#DIV/0!</v>
      </c>
      <c r="AW162" s="29" t="str">
        <f t="shared" si="165"/>
        <v>#DIV/0!</v>
      </c>
      <c r="AX162" s="29" t="str">
        <f t="shared" si="165"/>
        <v>#DIV/0!</v>
      </c>
      <c r="AY162" s="29" t="str">
        <f t="shared" si="165"/>
        <v>#DIV/0!</v>
      </c>
      <c r="AZ162" s="29" t="str">
        <f t="shared" si="165"/>
        <v>#DIV/0!</v>
      </c>
      <c r="BA162" s="29" t="str">
        <f t="shared" si="165"/>
        <v>#DIV/0!</v>
      </c>
      <c r="BB162" s="29" t="str">
        <f t="shared" si="165"/>
        <v>#DIV/0!</v>
      </c>
      <c r="BC162" s="29" t="str">
        <f t="shared" si="165"/>
        <v>#DIV/0!</v>
      </c>
      <c r="BD162" s="29" t="str">
        <f t="shared" si="165"/>
        <v>#DIV/0!</v>
      </c>
      <c r="BE162" s="29" t="str">
        <f t="shared" si="165"/>
        <v>#DIV/0!</v>
      </c>
      <c r="BF162" s="29" t="str">
        <f t="shared" si="165"/>
        <v>#DIV/0!</v>
      </c>
      <c r="BG162" s="29" t="str">
        <f t="shared" si="165"/>
        <v>#DIV/0!</v>
      </c>
      <c r="BH162" s="29" t="str">
        <f t="shared" si="165"/>
        <v>#DIV/0!</v>
      </c>
      <c r="BI162" s="29" t="str">
        <f t="shared" si="165"/>
        <v>#DIV/0!</v>
      </c>
      <c r="BJ162" s="29" t="str">
        <f t="shared" si="165"/>
        <v>#DIV/0!</v>
      </c>
      <c r="BK162" s="29" t="str">
        <f t="shared" si="165"/>
        <v>#DIV/0!</v>
      </c>
      <c r="BL162" s="29" t="str">
        <f t="shared" si="165"/>
        <v>#DIV/0!</v>
      </c>
      <c r="BM162" s="29" t="str">
        <f t="shared" si="3"/>
        <v>#DIV/0!</v>
      </c>
    </row>
    <row r="163">
      <c r="A163" s="16" t="str">
        <f>IFERROR(__xludf.DUMMYFUNCTION("IFERROR(SPARKLINE(SORT(MAP(TRANSPOSE(AQ163:BL163), LAMBDA(val, IF(ISNUMBER(val), PERCENTRANK(AQ163:BL163, val)+0.01, 0))), SEQUENCE(COLUMNS(AQ163:BL163)), FALSE), {""charttype"",""column""; ""color"",""chartreuse""; ""ymin"", 0; ""ymax"", 1.01; ""highcolo"&amp;"r"", ""darkgreen""; ""lowcolor"", ""red""}), """")"),"")</f>
        <v/>
      </c>
      <c r="B163" s="17" t="str">
        <f t="shared" si="4"/>
        <v/>
      </c>
      <c r="C163" s="1" t="s">
        <v>728</v>
      </c>
      <c r="D163" s="30" t="str">
        <f>IFERROR(__xludf.DUMMYFUNCTION("IFERROR(GOOGLEFINANCE(C163, ""NAME""))"),"TSS Inc")</f>
        <v>TSS Inc</v>
      </c>
      <c r="E163" s="30" t="s">
        <v>102</v>
      </c>
      <c r="F163" s="33" t="str">
        <f>IFERROR(__xludf.DUMMYFUNCTION("( (GOOGLEFINANCE(C163, ""price"") - Q163) / Q163 ) / (R163 / 100)"),"Loading...")</f>
        <v>Loading...</v>
      </c>
      <c r="G163" s="20" t="str">
        <f>IFERROR(__xludf.DUMMYFUNCTION("AVERAGE(ARRAYFORMULA(100 * (QUERY(GOOGLEFINANCE(C163, ""high"", TODAY()-40, TODAY()), ""SELECT Col2 WHERE Col2 IS NOT NULL ORDER BY Col1 DESC LIMIT 20"", 0) / QUERY(GOOGLEFINANCE(C163, ""low"", TODAY()-40, TODAY()), ""SELECT Col2 WHERE Col2 IS NOT NULL OR"&amp;"DER BY Col1 DESC LIMIT 20"", 0) - 1)))"),"#N/A")</f>
        <v>#N/A</v>
      </c>
      <c r="H163" s="35" t="str">
        <f t="shared" si="6"/>
        <v/>
      </c>
      <c r="I163" s="36" t="str">
        <f t="shared" si="7"/>
        <v/>
      </c>
      <c r="J163" s="37" t="str">
        <f>IFERROR(__xludf.DUMMYFUNCTION("IFERROR(
  IF(C163="""",, 
    IFERROR(
      GOOGLEFINANCE(C163, ""price"") * GOOGLEFINANCE(C163, ""volumeavg""), 
      GOOGLEFINANCE(C163, ""price"") * AVERAGE(QUERY(GOOGLEFINANCE(C163, ""volume"", TODAY()-40, TODAY()), ""SELECT Col2 WHERE Col2 IS NOT "&amp;"NULL ORDER BY Col1 DESC LIMIT 20"", 0))
    )
  ), 
"""")"),"")</f>
        <v/>
      </c>
      <c r="K163" s="21" t="str">
        <f>IFERROR(__xludf.DUMMYFUNCTION("IFERROR(GOOGLEFINANCE(C163, ""changepct"") / 100, """")"),"")</f>
        <v/>
      </c>
      <c r="L163" s="21" t="str">
        <f>IFERROR(__xludf.DUMMYFUNCTION("IFERROR((GOOGLEFINANCE(C163, ""price"") / INDEX(GOOGLEFINANCE(C163, ""price"", TODAY()-7, TODAY()), 2, 2)) - 1, """")"),"")</f>
        <v/>
      </c>
      <c r="M163" s="21" t="str">
        <f>IFERROR(__xludf.DUMMYFUNCTION("IFERROR((GOOGLEFINANCE(C163, ""price"") / INDEX(GOOGLEFINANCE(C163, ""price"", EDATE(TODAY(), -1), TODAY()), 2, 2)) - 1, """")"),"")</f>
        <v/>
      </c>
      <c r="N163" s="21" t="str">
        <f>IFERROR(__xludf.DUMMYFUNCTION("IFERROR((GOOGLEFINANCE(C163, ""price"") / INDEX(GOOGLEFINANCE(C163, ""price"", EDATE(TODAY(), -3), TODAY()), 2, 2)) - 1, """")"),"")</f>
        <v/>
      </c>
      <c r="O163" s="21" t="str">
        <f>IFERROR(__xludf.DUMMYFUNCTION("IFERROR((GOOGLEFINANCE(C163, ""price"") / INDEX(GOOGLEFINANCE(C163, ""price"", EDATE(TODAY(), -6), TODAY()), 2, 2)) - 1, """")"),"")</f>
        <v/>
      </c>
      <c r="P163" s="21" t="str">
        <f>IFERROR(__xludf.DUMMYFUNCTION("IFERROR((GOOGLEFINANCE(C163, ""price"") / INDEX(GOOGLEFINANCE(C163, ""price"", EDATE(TODAY(), -12), TODAY()), 2, 2)) - 1, """")"),"")</f>
        <v/>
      </c>
      <c r="Q163" s="6" t="str">
        <f>IFERROR(__xludf.DUMMYFUNCTION("AVERAGE(QUERY(GOOGLEFINANCE(C163, ""price"", TODAY()-80, TODAY()), ""SELECT Col2 WHERE Col2 IS NOT NULL ORDER BY Col1 DESC LIMIT 50"", 0))"),"#N/A")</f>
        <v>#N/A</v>
      </c>
      <c r="R163" s="24" t="str">
        <f>IFERROR(__xludf.DUMMYFUNCTION("IFERROR(
  LET(
    data, QUERY(GOOGLEFINANCE(C163,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GOOGLEFINANCE(C163, ""price"")) * 100,
    IF(calc=0, G163, calc)
  ), 
G163)"),"#N/A")</f>
        <v>#N/A</v>
      </c>
      <c r="S163" s="8" t="s">
        <v>15</v>
      </c>
      <c r="T163" s="26" t="str">
        <f>IFERROR(__xludf.DUMMYFUNCTION("IFERROR(TRANSPOSE(QUERY(IFERROR(SORT(GOOGLEFINANCE(C163, ""price"", WORKDAY(TODAY(), -40), TODAY()), 1, FALSE)), ""select Col2 where Col2 is not null limit 22 label Col2 ''"", 0)), """")"),"")</f>
        <v/>
      </c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8"/>
      <c r="AO163" s="28"/>
      <c r="AP163" s="29"/>
      <c r="AQ163" s="29" t="str">
        <f t="shared" ref="AQ163:BL163" si="166">T163/T$2</f>
        <v>#N/A</v>
      </c>
      <c r="AR163" s="29" t="str">
        <f t="shared" si="166"/>
        <v>#DIV/0!</v>
      </c>
      <c r="AS163" s="29" t="str">
        <f t="shared" si="166"/>
        <v>#DIV/0!</v>
      </c>
      <c r="AT163" s="29" t="str">
        <f t="shared" si="166"/>
        <v>#DIV/0!</v>
      </c>
      <c r="AU163" s="29" t="str">
        <f t="shared" si="166"/>
        <v>#DIV/0!</v>
      </c>
      <c r="AV163" s="29" t="str">
        <f t="shared" si="166"/>
        <v>#DIV/0!</v>
      </c>
      <c r="AW163" s="29" t="str">
        <f t="shared" si="166"/>
        <v>#DIV/0!</v>
      </c>
      <c r="AX163" s="29" t="str">
        <f t="shared" si="166"/>
        <v>#DIV/0!</v>
      </c>
      <c r="AY163" s="29" t="str">
        <f t="shared" si="166"/>
        <v>#DIV/0!</v>
      </c>
      <c r="AZ163" s="29" t="str">
        <f t="shared" si="166"/>
        <v>#DIV/0!</v>
      </c>
      <c r="BA163" s="29" t="str">
        <f t="shared" si="166"/>
        <v>#DIV/0!</v>
      </c>
      <c r="BB163" s="29" t="str">
        <f t="shared" si="166"/>
        <v>#DIV/0!</v>
      </c>
      <c r="BC163" s="29" t="str">
        <f t="shared" si="166"/>
        <v>#DIV/0!</v>
      </c>
      <c r="BD163" s="29" t="str">
        <f t="shared" si="166"/>
        <v>#DIV/0!</v>
      </c>
      <c r="BE163" s="29" t="str">
        <f t="shared" si="166"/>
        <v>#DIV/0!</v>
      </c>
      <c r="BF163" s="29" t="str">
        <f t="shared" si="166"/>
        <v>#DIV/0!</v>
      </c>
      <c r="BG163" s="29" t="str">
        <f t="shared" si="166"/>
        <v>#DIV/0!</v>
      </c>
      <c r="BH163" s="29" t="str">
        <f t="shared" si="166"/>
        <v>#DIV/0!</v>
      </c>
      <c r="BI163" s="29" t="str">
        <f t="shared" si="166"/>
        <v>#DIV/0!</v>
      </c>
      <c r="BJ163" s="29" t="str">
        <f t="shared" si="166"/>
        <v>#DIV/0!</v>
      </c>
      <c r="BK163" s="29" t="str">
        <f t="shared" si="166"/>
        <v>#DIV/0!</v>
      </c>
      <c r="BL163" s="29" t="str">
        <f t="shared" si="166"/>
        <v>#DIV/0!</v>
      </c>
      <c r="BM163" s="29" t="str">
        <f t="shared" si="3"/>
        <v>#DIV/0!</v>
      </c>
    </row>
    <row r="164">
      <c r="A164" s="16" t="str">
        <f>IFERROR(__xludf.DUMMYFUNCTION("IFERROR(SPARKLINE(SORT(MAP(TRANSPOSE(AQ164:BL164), LAMBDA(val, IF(ISNUMBER(val), PERCENTRANK(AQ164:BL164, val)+0.01, 0))), SEQUENCE(COLUMNS(AQ164:BL164)), FALSE), {""charttype"",""column""; ""color"",""chartreuse""; ""ymin"", 0; ""ymax"", 1.01; ""highcolo"&amp;"r"", ""darkgreen""; ""lowcolor"", ""red""}), """")"),"")</f>
        <v/>
      </c>
      <c r="B164" s="17" t="str">
        <f t="shared" si="4"/>
        <v/>
      </c>
      <c r="C164" s="1" t="s">
        <v>732</v>
      </c>
      <c r="D164" s="30" t="str">
        <f>IFERROR(__xludf.DUMMYFUNCTION("IFERROR(GOOGLEFINANCE(C164, ""NAME""))"),"Autodesk Inc")</f>
        <v>Autodesk Inc</v>
      </c>
      <c r="E164" s="30" t="s">
        <v>48</v>
      </c>
      <c r="F164" s="33" t="str">
        <f>IFERROR(__xludf.DUMMYFUNCTION("( (GOOGLEFINANCE(C164, ""price"") - Q164) / Q164 ) / (R164 / 100)"),"Loading...")</f>
        <v>Loading...</v>
      </c>
      <c r="G164" s="20" t="str">
        <f>IFERROR(__xludf.DUMMYFUNCTION("AVERAGE(ARRAYFORMULA(100 * (QUERY(GOOGLEFINANCE(C164, ""high"", TODAY()-40, TODAY()), ""SELECT Col2 WHERE Col2 IS NOT NULL ORDER BY Col1 DESC LIMIT 20"", 0) / QUERY(GOOGLEFINANCE(C164, ""low"", TODAY()-40, TODAY()), ""SELECT Col2 WHERE Col2 IS NOT NULL OR"&amp;"DER BY Col1 DESC LIMIT 20"", 0) - 1)))"),"#N/A")</f>
        <v>#N/A</v>
      </c>
      <c r="H164" s="35" t="str">
        <f t="shared" si="6"/>
        <v/>
      </c>
      <c r="I164" s="36" t="str">
        <f t="shared" si="7"/>
        <v/>
      </c>
      <c r="J164" s="37" t="str">
        <f>IFERROR(__xludf.DUMMYFUNCTION("IFERROR(
  IF(C164="""",, 
    IFERROR(
      GOOGLEFINANCE(C164, ""price"") * GOOGLEFINANCE(C164, ""volumeavg""), 
      GOOGLEFINANCE(C164, ""price"") * AVERAGE(QUERY(GOOGLEFINANCE(C164, ""volume"", TODAY()-40, TODAY()), ""SELECT Col2 WHERE Col2 IS NOT "&amp;"NULL ORDER BY Col1 DESC LIMIT 20"", 0))
    )
  ), 
"""")"),"")</f>
        <v/>
      </c>
      <c r="K164" s="21" t="str">
        <f>IFERROR(__xludf.DUMMYFUNCTION("IFERROR(GOOGLEFINANCE(C164, ""changepct"") / 100, """")"),"")</f>
        <v/>
      </c>
      <c r="L164" s="21" t="str">
        <f>IFERROR(__xludf.DUMMYFUNCTION("IFERROR((GOOGLEFINANCE(C164, ""price"") / INDEX(GOOGLEFINANCE(C164, ""price"", TODAY()-7, TODAY()), 2, 2)) - 1, """")"),"")</f>
        <v/>
      </c>
      <c r="M164" s="21" t="str">
        <f>IFERROR(__xludf.DUMMYFUNCTION("IFERROR((GOOGLEFINANCE(C164, ""price"") / INDEX(GOOGLEFINANCE(C164, ""price"", EDATE(TODAY(), -1), TODAY()), 2, 2)) - 1, """")"),"")</f>
        <v/>
      </c>
      <c r="N164" s="21" t="str">
        <f>IFERROR(__xludf.DUMMYFUNCTION("IFERROR((GOOGLEFINANCE(C164, ""price"") / INDEX(GOOGLEFINANCE(C164, ""price"", EDATE(TODAY(), -3), TODAY()), 2, 2)) - 1, """")"),"")</f>
        <v/>
      </c>
      <c r="O164" s="21" t="str">
        <f>IFERROR(__xludf.DUMMYFUNCTION("IFERROR((GOOGLEFINANCE(C164, ""price"") / INDEX(GOOGLEFINANCE(C164, ""price"", EDATE(TODAY(), -6), TODAY()), 2, 2)) - 1, """")"),"")</f>
        <v/>
      </c>
      <c r="P164" s="21" t="str">
        <f>IFERROR(__xludf.DUMMYFUNCTION("IFERROR((GOOGLEFINANCE(C164, ""price"") / INDEX(GOOGLEFINANCE(C164, ""price"", EDATE(TODAY(), -12), TODAY()), 2, 2)) - 1, """")"),"")</f>
        <v/>
      </c>
      <c r="Q164" s="6" t="str">
        <f>IFERROR(__xludf.DUMMYFUNCTION("AVERAGE(QUERY(GOOGLEFINANCE(C164, ""price"", TODAY()-80, TODAY()), ""SELECT Col2 WHERE Col2 IS NOT NULL ORDER BY Col1 DESC LIMIT 50"", 0))"),"#N/A")</f>
        <v>#N/A</v>
      </c>
      <c r="R164" s="24" t="str">
        <f>IFERROR(__xludf.DUMMYFUNCTION("IFERROR(
  LET(
    data, QUERY(GOOGLEFINANCE(C164,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GOOGLEFINANCE(C164, ""price"")) * 100,
    IF(calc=0, G164, calc)
  ), 
G164)"),"#N/A")</f>
        <v>#N/A</v>
      </c>
      <c r="S164" s="8" t="s">
        <v>15</v>
      </c>
      <c r="T164" s="26" t="str">
        <f>IFERROR(__xludf.DUMMYFUNCTION("IFERROR(TRANSPOSE(QUERY(IFERROR(SORT(GOOGLEFINANCE(C164, ""price"", WORKDAY(TODAY(), -40), TODAY()), 1, FALSE)), ""select Col2 where Col2 is not null limit 22 label Col2 ''"", 0)), """")"),"")</f>
        <v/>
      </c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8"/>
      <c r="AO164" s="28"/>
      <c r="AP164" s="29"/>
      <c r="AQ164" s="29" t="str">
        <f t="shared" ref="AQ164:BL164" si="167">T164/T$2</f>
        <v>#N/A</v>
      </c>
      <c r="AR164" s="29" t="str">
        <f t="shared" si="167"/>
        <v>#DIV/0!</v>
      </c>
      <c r="AS164" s="29" t="str">
        <f t="shared" si="167"/>
        <v>#DIV/0!</v>
      </c>
      <c r="AT164" s="29" t="str">
        <f t="shared" si="167"/>
        <v>#DIV/0!</v>
      </c>
      <c r="AU164" s="29" t="str">
        <f t="shared" si="167"/>
        <v>#DIV/0!</v>
      </c>
      <c r="AV164" s="29" t="str">
        <f t="shared" si="167"/>
        <v>#DIV/0!</v>
      </c>
      <c r="AW164" s="29" t="str">
        <f t="shared" si="167"/>
        <v>#DIV/0!</v>
      </c>
      <c r="AX164" s="29" t="str">
        <f t="shared" si="167"/>
        <v>#DIV/0!</v>
      </c>
      <c r="AY164" s="29" t="str">
        <f t="shared" si="167"/>
        <v>#DIV/0!</v>
      </c>
      <c r="AZ164" s="29" t="str">
        <f t="shared" si="167"/>
        <v>#DIV/0!</v>
      </c>
      <c r="BA164" s="29" t="str">
        <f t="shared" si="167"/>
        <v>#DIV/0!</v>
      </c>
      <c r="BB164" s="29" t="str">
        <f t="shared" si="167"/>
        <v>#DIV/0!</v>
      </c>
      <c r="BC164" s="29" t="str">
        <f t="shared" si="167"/>
        <v>#DIV/0!</v>
      </c>
      <c r="BD164" s="29" t="str">
        <f t="shared" si="167"/>
        <v>#DIV/0!</v>
      </c>
      <c r="BE164" s="29" t="str">
        <f t="shared" si="167"/>
        <v>#DIV/0!</v>
      </c>
      <c r="BF164" s="29" t="str">
        <f t="shared" si="167"/>
        <v>#DIV/0!</v>
      </c>
      <c r="BG164" s="29" t="str">
        <f t="shared" si="167"/>
        <v>#DIV/0!</v>
      </c>
      <c r="BH164" s="29" t="str">
        <f t="shared" si="167"/>
        <v>#DIV/0!</v>
      </c>
      <c r="BI164" s="29" t="str">
        <f t="shared" si="167"/>
        <v>#DIV/0!</v>
      </c>
      <c r="BJ164" s="29" t="str">
        <f t="shared" si="167"/>
        <v>#DIV/0!</v>
      </c>
      <c r="BK164" s="29" t="str">
        <f t="shared" si="167"/>
        <v>#DIV/0!</v>
      </c>
      <c r="BL164" s="29" t="str">
        <f t="shared" si="167"/>
        <v>#DIV/0!</v>
      </c>
      <c r="BM164" s="29" t="str">
        <f t="shared" si="3"/>
        <v>#DIV/0!</v>
      </c>
    </row>
    <row r="165">
      <c r="A165" s="16" t="str">
        <f>IFERROR(__xludf.DUMMYFUNCTION("IFERROR(SPARKLINE(SORT(MAP(TRANSPOSE(AQ165:BL165), LAMBDA(val, IF(ISNUMBER(val), PERCENTRANK(AQ165:BL165, val)+0.01, 0))), SEQUENCE(COLUMNS(AQ165:BL165)), FALSE), {""charttype"",""column""; ""color"",""chartreuse""; ""ymin"", 0; ""ymax"", 1.01; ""highcolo"&amp;"r"", ""darkgreen""; ""lowcolor"", ""red""}), """")"),"")</f>
        <v/>
      </c>
      <c r="B165" s="17" t="str">
        <f t="shared" si="4"/>
        <v/>
      </c>
      <c r="C165" s="1" t="s">
        <v>735</v>
      </c>
      <c r="D165" s="30" t="str">
        <f>IFERROR(__xludf.DUMMYFUNCTION("IFERROR(GOOGLEFINANCE(C165, ""NAME""))"),"Open Text Corp")</f>
        <v>Open Text Corp</v>
      </c>
      <c r="E165" s="30" t="s">
        <v>48</v>
      </c>
      <c r="F165" s="33" t="str">
        <f>IFERROR(__xludf.DUMMYFUNCTION("( (GOOGLEFINANCE(C165, ""price"") - Q165) / Q165 ) / (R165 / 100)"),"Loading...")</f>
        <v>Loading...</v>
      </c>
      <c r="G165" s="20" t="str">
        <f>IFERROR(__xludf.DUMMYFUNCTION("AVERAGE(ARRAYFORMULA(100 * (QUERY(GOOGLEFINANCE(C165, ""high"", TODAY()-40, TODAY()), ""SELECT Col2 WHERE Col2 IS NOT NULL ORDER BY Col1 DESC LIMIT 20"", 0) / QUERY(GOOGLEFINANCE(C165, ""low"", TODAY()-40, TODAY()), ""SELECT Col2 WHERE Col2 IS NOT NULL OR"&amp;"DER BY Col1 DESC LIMIT 20"", 0) - 1)))"),"#N/A")</f>
        <v>#N/A</v>
      </c>
      <c r="H165" s="35" t="str">
        <f t="shared" si="6"/>
        <v/>
      </c>
      <c r="I165" s="36" t="str">
        <f t="shared" si="7"/>
        <v/>
      </c>
      <c r="J165" s="37" t="str">
        <f>IFERROR(__xludf.DUMMYFUNCTION("IFERROR(
  IF(C165="""",, 
    IFERROR(
      GOOGLEFINANCE(C165, ""price"") * GOOGLEFINANCE(C165, ""volumeavg""), 
      GOOGLEFINANCE(C165, ""price"") * AVERAGE(QUERY(GOOGLEFINANCE(C165, ""volume"", TODAY()-40, TODAY()), ""SELECT Col2 WHERE Col2 IS NOT "&amp;"NULL ORDER BY Col1 DESC LIMIT 20"", 0))
    )
  ), 
"""")"),"")</f>
        <v/>
      </c>
      <c r="K165" s="21" t="str">
        <f>IFERROR(__xludf.DUMMYFUNCTION("IFERROR(GOOGLEFINANCE(C165, ""changepct"") / 100, """")"),"")</f>
        <v/>
      </c>
      <c r="L165" s="21" t="str">
        <f>IFERROR(__xludf.DUMMYFUNCTION("IFERROR((GOOGLEFINANCE(C165, ""price"") / INDEX(GOOGLEFINANCE(C165, ""price"", TODAY()-7, TODAY()), 2, 2)) - 1, """")"),"")</f>
        <v/>
      </c>
      <c r="M165" s="21" t="str">
        <f>IFERROR(__xludf.DUMMYFUNCTION("IFERROR((GOOGLEFINANCE(C165, ""price"") / INDEX(GOOGLEFINANCE(C165, ""price"", EDATE(TODAY(), -1), TODAY()), 2, 2)) - 1, """")"),"")</f>
        <v/>
      </c>
      <c r="N165" s="21" t="str">
        <f>IFERROR(__xludf.DUMMYFUNCTION("IFERROR((GOOGLEFINANCE(C165, ""price"") / INDEX(GOOGLEFINANCE(C165, ""price"", EDATE(TODAY(), -3), TODAY()), 2, 2)) - 1, """")"),"")</f>
        <v/>
      </c>
      <c r="O165" s="21" t="str">
        <f>IFERROR(__xludf.DUMMYFUNCTION("IFERROR((GOOGLEFINANCE(C165, ""price"") / INDEX(GOOGLEFINANCE(C165, ""price"", EDATE(TODAY(), -6), TODAY()), 2, 2)) - 1, """")"),"")</f>
        <v/>
      </c>
      <c r="P165" s="21" t="str">
        <f>IFERROR(__xludf.DUMMYFUNCTION("IFERROR((GOOGLEFINANCE(C165, ""price"") / INDEX(GOOGLEFINANCE(C165, ""price"", EDATE(TODAY(), -12), TODAY()), 2, 2)) - 1, """")"),"")</f>
        <v/>
      </c>
      <c r="Q165" s="6" t="str">
        <f>IFERROR(__xludf.DUMMYFUNCTION("AVERAGE(QUERY(GOOGLEFINANCE(C165, ""price"", TODAY()-80, TODAY()), ""SELECT Col2 WHERE Col2 IS NOT NULL ORDER BY Col1 DESC LIMIT 50"", 0))"),"#N/A")</f>
        <v>#N/A</v>
      </c>
      <c r="R165" s="24" t="str">
        <f>IFERROR(__xludf.DUMMYFUNCTION("IFERROR(
  LET(
    data, QUERY(GOOGLEFINANCE(C165,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GOOGLEFINANCE(C165, ""price"")) * 100,
    IF(calc=0, G165, calc)
  ), 
G165)"),"#N/A")</f>
        <v>#N/A</v>
      </c>
      <c r="S165" s="8" t="s">
        <v>15</v>
      </c>
      <c r="T165" s="26" t="str">
        <f>IFERROR(__xludf.DUMMYFUNCTION("IFERROR(TRANSPOSE(QUERY(IFERROR(SORT(GOOGLEFINANCE(C165, ""price"", WORKDAY(TODAY(), -40), TODAY()), 1, FALSE)), ""select Col2 where Col2 is not null limit 22 label Col2 ''"", 0)), """")"),"")</f>
        <v/>
      </c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8"/>
      <c r="AO165" s="28"/>
      <c r="AP165" s="29"/>
      <c r="AQ165" s="29" t="str">
        <f t="shared" ref="AQ165:BL165" si="168">T165/T$2</f>
        <v>#N/A</v>
      </c>
      <c r="AR165" s="29" t="str">
        <f t="shared" si="168"/>
        <v>#DIV/0!</v>
      </c>
      <c r="AS165" s="29" t="str">
        <f t="shared" si="168"/>
        <v>#DIV/0!</v>
      </c>
      <c r="AT165" s="29" t="str">
        <f t="shared" si="168"/>
        <v>#DIV/0!</v>
      </c>
      <c r="AU165" s="29" t="str">
        <f t="shared" si="168"/>
        <v>#DIV/0!</v>
      </c>
      <c r="AV165" s="29" t="str">
        <f t="shared" si="168"/>
        <v>#DIV/0!</v>
      </c>
      <c r="AW165" s="29" t="str">
        <f t="shared" si="168"/>
        <v>#DIV/0!</v>
      </c>
      <c r="AX165" s="29" t="str">
        <f t="shared" si="168"/>
        <v>#DIV/0!</v>
      </c>
      <c r="AY165" s="29" t="str">
        <f t="shared" si="168"/>
        <v>#DIV/0!</v>
      </c>
      <c r="AZ165" s="29" t="str">
        <f t="shared" si="168"/>
        <v>#DIV/0!</v>
      </c>
      <c r="BA165" s="29" t="str">
        <f t="shared" si="168"/>
        <v>#DIV/0!</v>
      </c>
      <c r="BB165" s="29" t="str">
        <f t="shared" si="168"/>
        <v>#DIV/0!</v>
      </c>
      <c r="BC165" s="29" t="str">
        <f t="shared" si="168"/>
        <v>#DIV/0!</v>
      </c>
      <c r="BD165" s="29" t="str">
        <f t="shared" si="168"/>
        <v>#DIV/0!</v>
      </c>
      <c r="BE165" s="29" t="str">
        <f t="shared" si="168"/>
        <v>#DIV/0!</v>
      </c>
      <c r="BF165" s="29" t="str">
        <f t="shared" si="168"/>
        <v>#DIV/0!</v>
      </c>
      <c r="BG165" s="29" t="str">
        <f t="shared" si="168"/>
        <v>#DIV/0!</v>
      </c>
      <c r="BH165" s="29" t="str">
        <f t="shared" si="168"/>
        <v>#DIV/0!</v>
      </c>
      <c r="BI165" s="29" t="str">
        <f t="shared" si="168"/>
        <v>#DIV/0!</v>
      </c>
      <c r="BJ165" s="29" t="str">
        <f t="shared" si="168"/>
        <v>#DIV/0!</v>
      </c>
      <c r="BK165" s="29" t="str">
        <f t="shared" si="168"/>
        <v>#DIV/0!</v>
      </c>
      <c r="BL165" s="29" t="str">
        <f t="shared" si="168"/>
        <v>#DIV/0!</v>
      </c>
      <c r="BM165" s="29" t="str">
        <f t="shared" si="3"/>
        <v>#DIV/0!</v>
      </c>
    </row>
    <row r="166">
      <c r="A166" s="16" t="str">
        <f>IFERROR(__xludf.DUMMYFUNCTION("IFERROR(SPARKLINE(SORT(MAP(TRANSPOSE(AQ166:BL166), LAMBDA(val, IF(ISNUMBER(val), PERCENTRANK(AQ166:BL166, val)+0.01, 0))), SEQUENCE(COLUMNS(AQ166:BL166)), FALSE), {""charttype"",""column""; ""color"",""chartreuse""; ""ymin"", 0; ""ymax"", 1.01; ""highcolo"&amp;"r"", ""darkgreen""; ""lowcolor"", ""red""}), """")"),"")</f>
        <v/>
      </c>
      <c r="B166" s="17" t="str">
        <f t="shared" si="4"/>
        <v/>
      </c>
      <c r="C166" s="1" t="s">
        <v>739</v>
      </c>
      <c r="D166" s="30" t="str">
        <f>IFERROR(__xludf.DUMMYFUNCTION("IFERROR(GOOGLEFINANCE(C166, ""NAME""))"),"SS&amp;C Technologies Holdings Inc")</f>
        <v>SS&amp;C Technologies Holdings Inc</v>
      </c>
      <c r="E166" s="30" t="s">
        <v>48</v>
      </c>
      <c r="F166" s="33" t="str">
        <f>IFERROR(__xludf.DUMMYFUNCTION("( (GOOGLEFINANCE(C166, ""price"") - Q166) / Q166 ) / (R166 / 100)"),"Loading...")</f>
        <v>Loading...</v>
      </c>
      <c r="G166" s="20" t="str">
        <f>IFERROR(__xludf.DUMMYFUNCTION("AVERAGE(ARRAYFORMULA(100 * (QUERY(GOOGLEFINANCE(C166, ""high"", TODAY()-40, TODAY()), ""SELECT Col2 WHERE Col2 IS NOT NULL ORDER BY Col1 DESC LIMIT 20"", 0) / QUERY(GOOGLEFINANCE(C166, ""low"", TODAY()-40, TODAY()), ""SELECT Col2 WHERE Col2 IS NOT NULL OR"&amp;"DER BY Col1 DESC LIMIT 20"", 0) - 1)))"),"#N/A")</f>
        <v>#N/A</v>
      </c>
      <c r="H166" s="35" t="str">
        <f t="shared" si="6"/>
        <v/>
      </c>
      <c r="I166" s="36" t="str">
        <f t="shared" si="7"/>
        <v/>
      </c>
      <c r="J166" s="37" t="str">
        <f>IFERROR(__xludf.DUMMYFUNCTION("IFERROR(
  IF(C166="""",, 
    IFERROR(
      GOOGLEFINANCE(C166, ""price"") * GOOGLEFINANCE(C166, ""volumeavg""), 
      GOOGLEFINANCE(C166, ""price"") * AVERAGE(QUERY(GOOGLEFINANCE(C166, ""volume"", TODAY()-40, TODAY()), ""SELECT Col2 WHERE Col2 IS NOT "&amp;"NULL ORDER BY Col1 DESC LIMIT 20"", 0))
    )
  ), 
"""")"),"")</f>
        <v/>
      </c>
      <c r="K166" s="21" t="str">
        <f>IFERROR(__xludf.DUMMYFUNCTION("IFERROR(GOOGLEFINANCE(C166, ""changepct"") / 100, """")"),"")</f>
        <v/>
      </c>
      <c r="L166" s="21" t="str">
        <f>IFERROR(__xludf.DUMMYFUNCTION("IFERROR((GOOGLEFINANCE(C166, ""price"") / INDEX(GOOGLEFINANCE(C166, ""price"", TODAY()-7, TODAY()), 2, 2)) - 1, """")"),"")</f>
        <v/>
      </c>
      <c r="M166" s="21" t="str">
        <f>IFERROR(__xludf.DUMMYFUNCTION("IFERROR((GOOGLEFINANCE(C166, ""price"") / INDEX(GOOGLEFINANCE(C166, ""price"", EDATE(TODAY(), -1), TODAY()), 2, 2)) - 1, """")"),"")</f>
        <v/>
      </c>
      <c r="N166" s="21" t="str">
        <f>IFERROR(__xludf.DUMMYFUNCTION("IFERROR((GOOGLEFINANCE(C166, ""price"") / INDEX(GOOGLEFINANCE(C166, ""price"", EDATE(TODAY(), -3), TODAY()), 2, 2)) - 1, """")"),"")</f>
        <v/>
      </c>
      <c r="O166" s="21" t="str">
        <f>IFERROR(__xludf.DUMMYFUNCTION("IFERROR((GOOGLEFINANCE(C166, ""price"") / INDEX(GOOGLEFINANCE(C166, ""price"", EDATE(TODAY(), -6), TODAY()), 2, 2)) - 1, """")"),"")</f>
        <v/>
      </c>
      <c r="P166" s="21" t="str">
        <f>IFERROR(__xludf.DUMMYFUNCTION("IFERROR((GOOGLEFINANCE(C166, ""price"") / INDEX(GOOGLEFINANCE(C166, ""price"", EDATE(TODAY(), -12), TODAY()), 2, 2)) - 1, """")"),"")</f>
        <v/>
      </c>
      <c r="Q166" s="6" t="str">
        <f>IFERROR(__xludf.DUMMYFUNCTION("AVERAGE(QUERY(GOOGLEFINANCE(C166, ""price"", TODAY()-80, TODAY()), ""SELECT Col2 WHERE Col2 IS NOT NULL ORDER BY Col1 DESC LIMIT 50"", 0))"),"#N/A")</f>
        <v>#N/A</v>
      </c>
      <c r="R166" s="24" t="str">
        <f>IFERROR(__xludf.DUMMYFUNCTION("IFERROR(
  LET(
    data, QUERY(GOOGLEFINANCE(C166,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GOOGLEFINANCE(C166, ""price"")) * 100,
    IF(calc=0, G166, calc)
  ), 
G166)"),"#N/A")</f>
        <v>#N/A</v>
      </c>
      <c r="S166" s="8" t="s">
        <v>15</v>
      </c>
      <c r="T166" s="26" t="str">
        <f>IFERROR(__xludf.DUMMYFUNCTION("IFERROR(TRANSPOSE(QUERY(IFERROR(SORT(GOOGLEFINANCE(C166, ""price"", WORKDAY(TODAY(), -40), TODAY()), 1, FALSE)), ""select Col2 where Col2 is not null limit 22 label Col2 ''"", 0)), """")"),"")</f>
        <v/>
      </c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8"/>
      <c r="AO166" s="28"/>
      <c r="AP166" s="29"/>
      <c r="AQ166" s="29" t="str">
        <f t="shared" ref="AQ166:BL166" si="169">T166/T$2</f>
        <v>#N/A</v>
      </c>
      <c r="AR166" s="29" t="str">
        <f t="shared" si="169"/>
        <v>#DIV/0!</v>
      </c>
      <c r="AS166" s="29" t="str">
        <f t="shared" si="169"/>
        <v>#DIV/0!</v>
      </c>
      <c r="AT166" s="29" t="str">
        <f t="shared" si="169"/>
        <v>#DIV/0!</v>
      </c>
      <c r="AU166" s="29" t="str">
        <f t="shared" si="169"/>
        <v>#DIV/0!</v>
      </c>
      <c r="AV166" s="29" t="str">
        <f t="shared" si="169"/>
        <v>#DIV/0!</v>
      </c>
      <c r="AW166" s="29" t="str">
        <f t="shared" si="169"/>
        <v>#DIV/0!</v>
      </c>
      <c r="AX166" s="29" t="str">
        <f t="shared" si="169"/>
        <v>#DIV/0!</v>
      </c>
      <c r="AY166" s="29" t="str">
        <f t="shared" si="169"/>
        <v>#DIV/0!</v>
      </c>
      <c r="AZ166" s="29" t="str">
        <f t="shared" si="169"/>
        <v>#DIV/0!</v>
      </c>
      <c r="BA166" s="29" t="str">
        <f t="shared" si="169"/>
        <v>#DIV/0!</v>
      </c>
      <c r="BB166" s="29" t="str">
        <f t="shared" si="169"/>
        <v>#DIV/0!</v>
      </c>
      <c r="BC166" s="29" t="str">
        <f t="shared" si="169"/>
        <v>#DIV/0!</v>
      </c>
      <c r="BD166" s="29" t="str">
        <f t="shared" si="169"/>
        <v>#DIV/0!</v>
      </c>
      <c r="BE166" s="29" t="str">
        <f t="shared" si="169"/>
        <v>#DIV/0!</v>
      </c>
      <c r="BF166" s="29" t="str">
        <f t="shared" si="169"/>
        <v>#DIV/0!</v>
      </c>
      <c r="BG166" s="29" t="str">
        <f t="shared" si="169"/>
        <v>#DIV/0!</v>
      </c>
      <c r="BH166" s="29" t="str">
        <f t="shared" si="169"/>
        <v>#DIV/0!</v>
      </c>
      <c r="BI166" s="29" t="str">
        <f t="shared" si="169"/>
        <v>#DIV/0!</v>
      </c>
      <c r="BJ166" s="29" t="str">
        <f t="shared" si="169"/>
        <v>#DIV/0!</v>
      </c>
      <c r="BK166" s="29" t="str">
        <f t="shared" si="169"/>
        <v>#DIV/0!</v>
      </c>
      <c r="BL166" s="29" t="str">
        <f t="shared" si="169"/>
        <v>#DIV/0!</v>
      </c>
      <c r="BM166" s="29" t="str">
        <f t="shared" si="3"/>
        <v>#DIV/0!</v>
      </c>
    </row>
    <row r="167">
      <c r="A167" s="16" t="str">
        <f>IFERROR(__xludf.DUMMYFUNCTION("IFERROR(SPARKLINE(SORT(MAP(TRANSPOSE(AQ167:BL167), LAMBDA(val, IF(ISNUMBER(val), PERCENTRANK(AQ167:BL167, val)+0.01, 0))), SEQUENCE(COLUMNS(AQ167:BL167)), FALSE), {""charttype"",""column""; ""color"",""chartreuse""; ""ymin"", 0; ""ymax"", 1.01; ""highcolo"&amp;"r"", ""darkgreen""; ""lowcolor"", ""red""}), """")"),"")</f>
        <v/>
      </c>
      <c r="B167" s="17" t="str">
        <f t="shared" si="4"/>
        <v/>
      </c>
      <c r="C167" s="1" t="s">
        <v>743</v>
      </c>
      <c r="D167" s="30" t="str">
        <f>IFERROR(__xludf.DUMMYFUNCTION("IFERROR(GOOGLEFINANCE(C167, ""NAME""))"),"Fortive Corp")</f>
        <v>Fortive Corp</v>
      </c>
      <c r="E167" s="30" t="s">
        <v>595</v>
      </c>
      <c r="F167" s="33" t="str">
        <f>IFERROR(__xludf.DUMMYFUNCTION("( (GOOGLEFINANCE(C167, ""price"") - Q167) / Q167 ) / (R167 / 100)"),"Loading...")</f>
        <v>Loading...</v>
      </c>
      <c r="G167" s="20" t="str">
        <f>IFERROR(__xludf.DUMMYFUNCTION("AVERAGE(ARRAYFORMULA(100 * (QUERY(GOOGLEFINANCE(C167, ""high"", TODAY()-40, TODAY()), ""SELECT Col2 WHERE Col2 IS NOT NULL ORDER BY Col1 DESC LIMIT 20"", 0) / QUERY(GOOGLEFINANCE(C167, ""low"", TODAY()-40, TODAY()), ""SELECT Col2 WHERE Col2 IS NOT NULL OR"&amp;"DER BY Col1 DESC LIMIT 20"", 0) - 1)))"),"#N/A")</f>
        <v>#N/A</v>
      </c>
      <c r="H167" s="35" t="str">
        <f t="shared" si="6"/>
        <v/>
      </c>
      <c r="I167" s="36" t="str">
        <f t="shared" si="7"/>
        <v/>
      </c>
      <c r="J167" s="37" t="str">
        <f>IFERROR(__xludf.DUMMYFUNCTION("IFERROR(
  IF(C167="""",, 
    IFERROR(
      GOOGLEFINANCE(C167, ""price"") * GOOGLEFINANCE(C167, ""volumeavg""), 
      GOOGLEFINANCE(C167, ""price"") * AVERAGE(QUERY(GOOGLEFINANCE(C167, ""volume"", TODAY()-40, TODAY()), ""SELECT Col2 WHERE Col2 IS NOT "&amp;"NULL ORDER BY Col1 DESC LIMIT 20"", 0))
    )
  ), 
"""")"),"")</f>
        <v/>
      </c>
      <c r="K167" s="21" t="str">
        <f>IFERROR(__xludf.DUMMYFUNCTION("IFERROR(GOOGLEFINANCE(C167, ""changepct"") / 100, """")"),"")</f>
        <v/>
      </c>
      <c r="L167" s="21" t="str">
        <f>IFERROR(__xludf.DUMMYFUNCTION("IFERROR((GOOGLEFINANCE(C167, ""price"") / INDEX(GOOGLEFINANCE(C167, ""price"", TODAY()-7, TODAY()), 2, 2)) - 1, """")"),"")</f>
        <v/>
      </c>
      <c r="M167" s="21" t="str">
        <f>IFERROR(__xludf.DUMMYFUNCTION("IFERROR((GOOGLEFINANCE(C167, ""price"") / INDEX(GOOGLEFINANCE(C167, ""price"", EDATE(TODAY(), -1), TODAY()), 2, 2)) - 1, """")"),"")</f>
        <v/>
      </c>
      <c r="N167" s="21" t="str">
        <f>IFERROR(__xludf.DUMMYFUNCTION("IFERROR((GOOGLEFINANCE(C167, ""price"") / INDEX(GOOGLEFINANCE(C167, ""price"", EDATE(TODAY(), -3), TODAY()), 2, 2)) - 1, """")"),"")</f>
        <v/>
      </c>
      <c r="O167" s="21" t="str">
        <f>IFERROR(__xludf.DUMMYFUNCTION("IFERROR((GOOGLEFINANCE(C167, ""price"") / INDEX(GOOGLEFINANCE(C167, ""price"", EDATE(TODAY(), -6), TODAY()), 2, 2)) - 1, """")"),"")</f>
        <v/>
      </c>
      <c r="P167" s="21" t="str">
        <f>IFERROR(__xludf.DUMMYFUNCTION("IFERROR((GOOGLEFINANCE(C167, ""price"") / INDEX(GOOGLEFINANCE(C167, ""price"", EDATE(TODAY(), -12), TODAY()), 2, 2)) - 1, """")"),"")</f>
        <v/>
      </c>
      <c r="Q167" s="6" t="str">
        <f>IFERROR(__xludf.DUMMYFUNCTION("AVERAGE(QUERY(GOOGLEFINANCE(C167, ""price"", TODAY()-80, TODAY()), ""SELECT Col2 WHERE Col2 IS NOT NULL ORDER BY Col1 DESC LIMIT 50"", 0))"),"#N/A")</f>
        <v>#N/A</v>
      </c>
      <c r="R167" s="24" t="str">
        <f>IFERROR(__xludf.DUMMYFUNCTION("IFERROR(
  LET(
    data, QUERY(GOOGLEFINANCE(C167,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GOOGLEFINANCE(C167, ""price"")) * 100,
    IF(calc=0, G167, calc)
  ), 
G167)"),"#N/A")</f>
        <v>#N/A</v>
      </c>
      <c r="S167" s="8" t="s">
        <v>15</v>
      </c>
      <c r="T167" s="26" t="str">
        <f>IFERROR(__xludf.DUMMYFUNCTION("IFERROR(TRANSPOSE(QUERY(IFERROR(SORT(GOOGLEFINANCE(C167, ""price"", WORKDAY(TODAY(), -40), TODAY()), 1, FALSE)), ""select Col2 where Col2 is not null limit 22 label Col2 ''"", 0)), """")"),"")</f>
        <v/>
      </c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8"/>
      <c r="AO167" s="28"/>
      <c r="AP167" s="29"/>
      <c r="AQ167" s="29" t="str">
        <f t="shared" ref="AQ167:BL167" si="170">T167/T$2</f>
        <v>#N/A</v>
      </c>
      <c r="AR167" s="29" t="str">
        <f t="shared" si="170"/>
        <v>#DIV/0!</v>
      </c>
      <c r="AS167" s="29" t="str">
        <f t="shared" si="170"/>
        <v>#DIV/0!</v>
      </c>
      <c r="AT167" s="29" t="str">
        <f t="shared" si="170"/>
        <v>#DIV/0!</v>
      </c>
      <c r="AU167" s="29" t="str">
        <f t="shared" si="170"/>
        <v>#DIV/0!</v>
      </c>
      <c r="AV167" s="29" t="str">
        <f t="shared" si="170"/>
        <v>#DIV/0!</v>
      </c>
      <c r="AW167" s="29" t="str">
        <f t="shared" si="170"/>
        <v>#DIV/0!</v>
      </c>
      <c r="AX167" s="29" t="str">
        <f t="shared" si="170"/>
        <v>#DIV/0!</v>
      </c>
      <c r="AY167" s="29" t="str">
        <f t="shared" si="170"/>
        <v>#DIV/0!</v>
      </c>
      <c r="AZ167" s="29" t="str">
        <f t="shared" si="170"/>
        <v>#DIV/0!</v>
      </c>
      <c r="BA167" s="29" t="str">
        <f t="shared" si="170"/>
        <v>#DIV/0!</v>
      </c>
      <c r="BB167" s="29" t="str">
        <f t="shared" si="170"/>
        <v>#DIV/0!</v>
      </c>
      <c r="BC167" s="29" t="str">
        <f t="shared" si="170"/>
        <v>#DIV/0!</v>
      </c>
      <c r="BD167" s="29" t="str">
        <f t="shared" si="170"/>
        <v>#DIV/0!</v>
      </c>
      <c r="BE167" s="29" t="str">
        <f t="shared" si="170"/>
        <v>#DIV/0!</v>
      </c>
      <c r="BF167" s="29" t="str">
        <f t="shared" si="170"/>
        <v>#DIV/0!</v>
      </c>
      <c r="BG167" s="29" t="str">
        <f t="shared" si="170"/>
        <v>#DIV/0!</v>
      </c>
      <c r="BH167" s="29" t="str">
        <f t="shared" si="170"/>
        <v>#DIV/0!</v>
      </c>
      <c r="BI167" s="29" t="str">
        <f t="shared" si="170"/>
        <v>#DIV/0!</v>
      </c>
      <c r="BJ167" s="29" t="str">
        <f t="shared" si="170"/>
        <v>#DIV/0!</v>
      </c>
      <c r="BK167" s="29" t="str">
        <f t="shared" si="170"/>
        <v>#DIV/0!</v>
      </c>
      <c r="BL167" s="29" t="str">
        <f t="shared" si="170"/>
        <v>#DIV/0!</v>
      </c>
      <c r="BM167" s="29" t="str">
        <f t="shared" si="3"/>
        <v>#DIV/0!</v>
      </c>
    </row>
    <row r="168">
      <c r="A168" s="16" t="str">
        <f>IFERROR(__xludf.DUMMYFUNCTION("IFERROR(SPARKLINE(SORT(MAP(TRANSPOSE(AQ168:BL168), LAMBDA(val, IF(ISNUMBER(val), PERCENTRANK(AQ168:BL168, val)+0.01, 0))), SEQUENCE(COLUMNS(AQ168:BL168)), FALSE), {""charttype"",""column""; ""color"",""chartreuse""; ""ymin"", 0; ""ymax"", 1.01; ""highcolo"&amp;"r"", ""darkgreen""; ""lowcolor"", ""red""}), """")"),"")</f>
        <v/>
      </c>
      <c r="B168" s="17" t="str">
        <f t="shared" si="4"/>
        <v/>
      </c>
      <c r="C168" s="1" t="s">
        <v>747</v>
      </c>
      <c r="D168" s="30" t="str">
        <f>IFERROR(__xludf.DUMMYFUNCTION("IFERROR(GOOGLEFINANCE(C168, ""NAME""))"),"Agilysys Inc")</f>
        <v>Agilysys Inc</v>
      </c>
      <c r="E168" s="30" t="s">
        <v>48</v>
      </c>
      <c r="F168" s="38" t="str">
        <f>IFERROR(__xludf.DUMMYFUNCTION("( (GOOGLEFINANCE(C168, ""price"") - Q168) / Q168 ) / (R168 / 100)"),"Loading...")</f>
        <v>Loading...</v>
      </c>
      <c r="G168" s="20" t="str">
        <f>IFERROR(__xludf.DUMMYFUNCTION("AVERAGE(ARRAYFORMULA(100 * (QUERY(GOOGLEFINANCE(C168, ""high"", TODAY()-40, TODAY()), ""SELECT Col2 WHERE Col2 IS NOT NULL ORDER BY Col1 DESC LIMIT 20"", 0) / QUERY(GOOGLEFINANCE(C168, ""low"", TODAY()-40, TODAY()), ""SELECT Col2 WHERE Col2 IS NOT NULL OR"&amp;"DER BY Col1 DESC LIMIT 20"", 0) - 1)))"),"#N/A")</f>
        <v>#N/A</v>
      </c>
      <c r="H168" s="35" t="str">
        <f t="shared" si="6"/>
        <v/>
      </c>
      <c r="I168" s="36" t="str">
        <f t="shared" si="7"/>
        <v/>
      </c>
      <c r="J168" s="37" t="str">
        <f>IFERROR(__xludf.DUMMYFUNCTION("IFERROR(
  IF(C168="""",, 
    IFERROR(
      GOOGLEFINANCE(C168, ""price"") * GOOGLEFINANCE(C168, ""volumeavg""), 
      GOOGLEFINANCE(C168, ""price"") * AVERAGE(QUERY(GOOGLEFINANCE(C168, ""volume"", TODAY()-40, TODAY()), ""SELECT Col2 WHERE Col2 IS NOT "&amp;"NULL ORDER BY Col1 DESC LIMIT 20"", 0))
    )
  ), 
"""")"),"")</f>
        <v/>
      </c>
      <c r="K168" s="21" t="str">
        <f>IFERROR(__xludf.DUMMYFUNCTION("IFERROR(GOOGLEFINANCE(C168, ""changepct"") / 100, """")"),"")</f>
        <v/>
      </c>
      <c r="L168" s="21" t="str">
        <f>IFERROR(__xludf.DUMMYFUNCTION("IFERROR((GOOGLEFINANCE(C168, ""price"") / INDEX(GOOGLEFINANCE(C168, ""price"", TODAY()-7, TODAY()), 2, 2)) - 1, """")"),"")</f>
        <v/>
      </c>
      <c r="M168" s="21" t="str">
        <f>IFERROR(__xludf.DUMMYFUNCTION("IFERROR((GOOGLEFINANCE(C168, ""price"") / INDEX(GOOGLEFINANCE(C168, ""price"", EDATE(TODAY(), -1), TODAY()), 2, 2)) - 1, """")"),"")</f>
        <v/>
      </c>
      <c r="N168" s="21" t="str">
        <f>IFERROR(__xludf.DUMMYFUNCTION("IFERROR((GOOGLEFINANCE(C168, ""price"") / INDEX(GOOGLEFINANCE(C168, ""price"", EDATE(TODAY(), -3), TODAY()), 2, 2)) - 1, """")"),"")</f>
        <v/>
      </c>
      <c r="O168" s="21" t="str">
        <f>IFERROR(__xludf.DUMMYFUNCTION("IFERROR((GOOGLEFINANCE(C168, ""price"") / INDEX(GOOGLEFINANCE(C168, ""price"", EDATE(TODAY(), -6), TODAY()), 2, 2)) - 1, """")"),"")</f>
        <v/>
      </c>
      <c r="P168" s="21" t="str">
        <f>IFERROR(__xludf.DUMMYFUNCTION("IFERROR((GOOGLEFINANCE(C168, ""price"") / INDEX(GOOGLEFINANCE(C168, ""price"", EDATE(TODAY(), -12), TODAY()), 2, 2)) - 1, """")"),"")</f>
        <v/>
      </c>
      <c r="Q168" s="6" t="str">
        <f>IFERROR(__xludf.DUMMYFUNCTION("AVERAGE(QUERY(GOOGLEFINANCE(C168, ""price"", TODAY()-80, TODAY()), ""SELECT Col2 WHERE Col2 IS NOT NULL ORDER BY Col1 DESC LIMIT 50"", 0))"),"#N/A")</f>
        <v>#N/A</v>
      </c>
      <c r="R168" s="24" t="str">
        <f>IFERROR(__xludf.DUMMYFUNCTION("IFERROR(
  LET(
    data, QUERY(GOOGLEFINANCE(C168,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GOOGLEFINANCE(C168, ""price"")) * 100,
    IF(calc=0, G168, calc)
  ), 
G168)"),"#N/A")</f>
        <v>#N/A</v>
      </c>
      <c r="S168" s="8" t="s">
        <v>15</v>
      </c>
      <c r="T168" s="26" t="str">
        <f>IFERROR(__xludf.DUMMYFUNCTION("IFERROR(TRANSPOSE(QUERY(IFERROR(SORT(GOOGLEFINANCE(C168, ""price"", WORKDAY(TODAY(), -40), TODAY()), 1, FALSE)), ""select Col2 where Col2 is not null limit 22 label Col2 ''"", 0)), """")"),"")</f>
        <v/>
      </c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8"/>
      <c r="AO168" s="28"/>
      <c r="AP168" s="29"/>
      <c r="AQ168" s="29" t="str">
        <f t="shared" ref="AQ168:BL168" si="171">T168/T$2</f>
        <v>#N/A</v>
      </c>
      <c r="AR168" s="29" t="str">
        <f t="shared" si="171"/>
        <v>#DIV/0!</v>
      </c>
      <c r="AS168" s="29" t="str">
        <f t="shared" si="171"/>
        <v>#DIV/0!</v>
      </c>
      <c r="AT168" s="29" t="str">
        <f t="shared" si="171"/>
        <v>#DIV/0!</v>
      </c>
      <c r="AU168" s="29" t="str">
        <f t="shared" si="171"/>
        <v>#DIV/0!</v>
      </c>
      <c r="AV168" s="29" t="str">
        <f t="shared" si="171"/>
        <v>#DIV/0!</v>
      </c>
      <c r="AW168" s="29" t="str">
        <f t="shared" si="171"/>
        <v>#DIV/0!</v>
      </c>
      <c r="AX168" s="29" t="str">
        <f t="shared" si="171"/>
        <v>#DIV/0!</v>
      </c>
      <c r="AY168" s="29" t="str">
        <f t="shared" si="171"/>
        <v>#DIV/0!</v>
      </c>
      <c r="AZ168" s="29" t="str">
        <f t="shared" si="171"/>
        <v>#DIV/0!</v>
      </c>
      <c r="BA168" s="29" t="str">
        <f t="shared" si="171"/>
        <v>#DIV/0!</v>
      </c>
      <c r="BB168" s="29" t="str">
        <f t="shared" si="171"/>
        <v>#DIV/0!</v>
      </c>
      <c r="BC168" s="29" t="str">
        <f t="shared" si="171"/>
        <v>#DIV/0!</v>
      </c>
      <c r="BD168" s="29" t="str">
        <f t="shared" si="171"/>
        <v>#DIV/0!</v>
      </c>
      <c r="BE168" s="29" t="str">
        <f t="shared" si="171"/>
        <v>#DIV/0!</v>
      </c>
      <c r="BF168" s="29" t="str">
        <f t="shared" si="171"/>
        <v>#DIV/0!</v>
      </c>
      <c r="BG168" s="29" t="str">
        <f t="shared" si="171"/>
        <v>#DIV/0!</v>
      </c>
      <c r="BH168" s="29" t="str">
        <f t="shared" si="171"/>
        <v>#DIV/0!</v>
      </c>
      <c r="BI168" s="29" t="str">
        <f t="shared" si="171"/>
        <v>#DIV/0!</v>
      </c>
      <c r="BJ168" s="29" t="str">
        <f t="shared" si="171"/>
        <v>#DIV/0!</v>
      </c>
      <c r="BK168" s="29" t="str">
        <f t="shared" si="171"/>
        <v>#DIV/0!</v>
      </c>
      <c r="BL168" s="29" t="str">
        <f t="shared" si="171"/>
        <v>#DIV/0!</v>
      </c>
      <c r="BM168" s="29" t="str">
        <f t="shared" si="3"/>
        <v>#DIV/0!</v>
      </c>
    </row>
    <row r="169">
      <c r="A169" s="16" t="str">
        <f>IFERROR(__xludf.DUMMYFUNCTION("IFERROR(SPARKLINE(SORT(MAP(TRANSPOSE(AQ169:BL169), LAMBDA(val, IF(ISNUMBER(val), PERCENTRANK(AQ169:BL169, val)+0.01, 0))), SEQUENCE(COLUMNS(AQ169:BL169)), FALSE), {""charttype"",""column""; ""color"",""chartreuse""; ""ymin"", 0; ""ymax"", 1.01; ""highcolo"&amp;"r"", ""darkgreen""; ""lowcolor"", ""red""}), """")"),"")</f>
        <v/>
      </c>
      <c r="B169" s="17" t="str">
        <f t="shared" si="4"/>
        <v/>
      </c>
      <c r="C169" s="1" t="s">
        <v>751</v>
      </c>
      <c r="D169" s="30" t="str">
        <f>IFERROR(__xludf.DUMMYFUNCTION("IFERROR(GOOGLEFINANCE(C169, ""NAME""))"),"Lightspeed Commerce Inc")</f>
        <v>Lightspeed Commerce Inc</v>
      </c>
      <c r="E169" s="30" t="s">
        <v>48</v>
      </c>
      <c r="F169" s="33" t="str">
        <f>IFERROR(__xludf.DUMMYFUNCTION("( (GOOGLEFINANCE(C169, ""price"") - Q169) / Q169 ) / (R169 / 100)"),"Loading...")</f>
        <v>Loading...</v>
      </c>
      <c r="G169" s="20" t="str">
        <f>IFERROR(__xludf.DUMMYFUNCTION("AVERAGE(ARRAYFORMULA(100 * (QUERY(GOOGLEFINANCE(C169, ""high"", TODAY()-40, TODAY()), ""SELECT Col2 WHERE Col2 IS NOT NULL ORDER BY Col1 DESC LIMIT 20"", 0) / QUERY(GOOGLEFINANCE(C169, ""low"", TODAY()-40, TODAY()), ""SELECT Col2 WHERE Col2 IS NOT NULL OR"&amp;"DER BY Col1 DESC LIMIT 20"", 0) - 1)))"),"#N/A")</f>
        <v>#N/A</v>
      </c>
      <c r="H169" s="35" t="str">
        <f t="shared" si="6"/>
        <v/>
      </c>
      <c r="I169" s="36" t="str">
        <f t="shared" si="7"/>
        <v/>
      </c>
      <c r="J169" s="37" t="str">
        <f>IFERROR(__xludf.DUMMYFUNCTION("IFERROR(
  IF(C169="""",, 
    IFERROR(
      GOOGLEFINANCE(C169, ""price"") * GOOGLEFINANCE(C169, ""volumeavg""), 
      GOOGLEFINANCE(C169, ""price"") * AVERAGE(QUERY(GOOGLEFINANCE(C169, ""volume"", TODAY()-40, TODAY()), ""SELECT Col2 WHERE Col2 IS NOT "&amp;"NULL ORDER BY Col1 DESC LIMIT 20"", 0))
    )
  ), 
"""")"),"")</f>
        <v/>
      </c>
      <c r="K169" s="21" t="str">
        <f>IFERROR(__xludf.DUMMYFUNCTION("IFERROR(GOOGLEFINANCE(C169, ""changepct"") / 100, """")"),"")</f>
        <v/>
      </c>
      <c r="L169" s="21" t="str">
        <f>IFERROR(__xludf.DUMMYFUNCTION("IFERROR((GOOGLEFINANCE(C169, ""price"") / INDEX(GOOGLEFINANCE(C169, ""price"", TODAY()-7, TODAY()), 2, 2)) - 1, """")"),"")</f>
        <v/>
      </c>
      <c r="M169" s="21" t="str">
        <f>IFERROR(__xludf.DUMMYFUNCTION("IFERROR((GOOGLEFINANCE(C169, ""price"") / INDEX(GOOGLEFINANCE(C169, ""price"", EDATE(TODAY(), -1), TODAY()), 2, 2)) - 1, """")"),"")</f>
        <v/>
      </c>
      <c r="N169" s="21" t="str">
        <f>IFERROR(__xludf.DUMMYFUNCTION("IFERROR((GOOGLEFINANCE(C169, ""price"") / INDEX(GOOGLEFINANCE(C169, ""price"", EDATE(TODAY(), -3), TODAY()), 2, 2)) - 1, """")"),"")</f>
        <v/>
      </c>
      <c r="O169" s="21" t="str">
        <f>IFERROR(__xludf.DUMMYFUNCTION("IFERROR((GOOGLEFINANCE(C169, ""price"") / INDEX(GOOGLEFINANCE(C169, ""price"", EDATE(TODAY(), -6), TODAY()), 2, 2)) - 1, """")"),"")</f>
        <v/>
      </c>
      <c r="P169" s="21" t="str">
        <f>IFERROR(__xludf.DUMMYFUNCTION("IFERROR((GOOGLEFINANCE(C169, ""price"") / INDEX(GOOGLEFINANCE(C169, ""price"", EDATE(TODAY(), -12), TODAY()), 2, 2)) - 1, """")"),"")</f>
        <v/>
      </c>
      <c r="Q169" s="6" t="str">
        <f>IFERROR(__xludf.DUMMYFUNCTION("AVERAGE(QUERY(GOOGLEFINANCE(C169, ""price"", TODAY()-80, TODAY()), ""SELECT Col2 WHERE Col2 IS NOT NULL ORDER BY Col1 DESC LIMIT 50"", 0))"),"#N/A")</f>
        <v>#N/A</v>
      </c>
      <c r="R169" s="24" t="str">
        <f>IFERROR(__xludf.DUMMYFUNCTION("IFERROR(
  LET(
    data, QUERY(GOOGLEFINANCE(C169,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GOOGLEFINANCE(C169, ""price"")) * 100,
    IF(calc=0, G169, calc)
  ), 
G169)"),"#N/A")</f>
        <v>#N/A</v>
      </c>
      <c r="S169" s="8" t="s">
        <v>15</v>
      </c>
      <c r="T169" s="26" t="str">
        <f>IFERROR(__xludf.DUMMYFUNCTION("IFERROR(TRANSPOSE(QUERY(IFERROR(SORT(GOOGLEFINANCE(C169, ""price"", WORKDAY(TODAY(), -40), TODAY()), 1, FALSE)), ""select Col2 where Col2 is not null limit 22 label Col2 ''"", 0)), """")"),"")</f>
        <v/>
      </c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8"/>
      <c r="AO169" s="28"/>
      <c r="AP169" s="29"/>
      <c r="AQ169" s="29" t="str">
        <f t="shared" ref="AQ169:BL169" si="172">T169/T$2</f>
        <v>#N/A</v>
      </c>
      <c r="AR169" s="29" t="str">
        <f t="shared" si="172"/>
        <v>#DIV/0!</v>
      </c>
      <c r="AS169" s="29" t="str">
        <f t="shared" si="172"/>
        <v>#DIV/0!</v>
      </c>
      <c r="AT169" s="29" t="str">
        <f t="shared" si="172"/>
        <v>#DIV/0!</v>
      </c>
      <c r="AU169" s="29" t="str">
        <f t="shared" si="172"/>
        <v>#DIV/0!</v>
      </c>
      <c r="AV169" s="29" t="str">
        <f t="shared" si="172"/>
        <v>#DIV/0!</v>
      </c>
      <c r="AW169" s="29" t="str">
        <f t="shared" si="172"/>
        <v>#DIV/0!</v>
      </c>
      <c r="AX169" s="29" t="str">
        <f t="shared" si="172"/>
        <v>#DIV/0!</v>
      </c>
      <c r="AY169" s="29" t="str">
        <f t="shared" si="172"/>
        <v>#DIV/0!</v>
      </c>
      <c r="AZ169" s="29" t="str">
        <f t="shared" si="172"/>
        <v>#DIV/0!</v>
      </c>
      <c r="BA169" s="29" t="str">
        <f t="shared" si="172"/>
        <v>#DIV/0!</v>
      </c>
      <c r="BB169" s="29" t="str">
        <f t="shared" si="172"/>
        <v>#DIV/0!</v>
      </c>
      <c r="BC169" s="29" t="str">
        <f t="shared" si="172"/>
        <v>#DIV/0!</v>
      </c>
      <c r="BD169" s="29" t="str">
        <f t="shared" si="172"/>
        <v>#DIV/0!</v>
      </c>
      <c r="BE169" s="29" t="str">
        <f t="shared" si="172"/>
        <v>#DIV/0!</v>
      </c>
      <c r="BF169" s="29" t="str">
        <f t="shared" si="172"/>
        <v>#DIV/0!</v>
      </c>
      <c r="BG169" s="29" t="str">
        <f t="shared" si="172"/>
        <v>#DIV/0!</v>
      </c>
      <c r="BH169" s="29" t="str">
        <f t="shared" si="172"/>
        <v>#DIV/0!</v>
      </c>
      <c r="BI169" s="29" t="str">
        <f t="shared" si="172"/>
        <v>#DIV/0!</v>
      </c>
      <c r="BJ169" s="29" t="str">
        <f t="shared" si="172"/>
        <v>#DIV/0!</v>
      </c>
      <c r="BK169" s="29" t="str">
        <f t="shared" si="172"/>
        <v>#DIV/0!</v>
      </c>
      <c r="BL169" s="29" t="str">
        <f t="shared" si="172"/>
        <v>#DIV/0!</v>
      </c>
      <c r="BM169" s="29" t="str">
        <f t="shared" si="3"/>
        <v>#DIV/0!</v>
      </c>
    </row>
    <row r="170">
      <c r="A170" s="16" t="str">
        <f>IFERROR(__xludf.DUMMYFUNCTION("IFERROR(SPARKLINE(SORT(MAP(TRANSPOSE(AQ170:BL170), LAMBDA(val, IF(ISNUMBER(val), PERCENTRANK(AQ170:BL170, val)+0.01, 0))), SEQUENCE(COLUMNS(AQ170:BL170)), FALSE), {""charttype"",""column""; ""color"",""chartreuse""; ""ymin"", 0; ""ymax"", 1.01; ""highcolo"&amp;"r"", ""darkgreen""; ""lowcolor"", ""red""}), """")"),"")</f>
        <v/>
      </c>
      <c r="B170" s="17" t="str">
        <f t="shared" si="4"/>
        <v/>
      </c>
      <c r="C170" s="1" t="s">
        <v>756</v>
      </c>
      <c r="D170" s="30" t="str">
        <f>IFERROR(__xludf.DUMMYFUNCTION("IFERROR(GOOGLEFINANCE(C170, ""NAME""))"),"Uber Technologies Inc")</f>
        <v>Uber Technologies Inc</v>
      </c>
      <c r="E170" s="30" t="s">
        <v>48</v>
      </c>
      <c r="F170" s="33" t="str">
        <f>IFERROR(__xludf.DUMMYFUNCTION("( (GOOGLEFINANCE(C170, ""price"") - Q170) / Q170 ) / (R170 / 100)"),"Loading...")</f>
        <v>Loading...</v>
      </c>
      <c r="G170" s="20" t="str">
        <f>IFERROR(__xludf.DUMMYFUNCTION("AVERAGE(ARRAYFORMULA(100 * (QUERY(GOOGLEFINANCE(C170, ""high"", TODAY()-40, TODAY()), ""SELECT Col2 WHERE Col2 IS NOT NULL ORDER BY Col1 DESC LIMIT 20"", 0) / QUERY(GOOGLEFINANCE(C170, ""low"", TODAY()-40, TODAY()), ""SELECT Col2 WHERE Col2 IS NOT NULL OR"&amp;"DER BY Col1 DESC LIMIT 20"", 0) - 1)))"),"#N/A")</f>
        <v>#N/A</v>
      </c>
      <c r="H170" s="35" t="str">
        <f t="shared" si="6"/>
        <v/>
      </c>
      <c r="I170" s="36" t="str">
        <f t="shared" si="7"/>
        <v/>
      </c>
      <c r="J170" s="37" t="str">
        <f>IFERROR(__xludf.DUMMYFUNCTION("IFERROR(
  IF(C170="""",, 
    IFERROR(
      GOOGLEFINANCE(C170, ""price"") * GOOGLEFINANCE(C170, ""volumeavg""), 
      GOOGLEFINANCE(C170, ""price"") * AVERAGE(QUERY(GOOGLEFINANCE(C170, ""volume"", TODAY()-40, TODAY()), ""SELECT Col2 WHERE Col2 IS NOT "&amp;"NULL ORDER BY Col1 DESC LIMIT 20"", 0))
    )
  ), 
"""")"),"")</f>
        <v/>
      </c>
      <c r="K170" s="21" t="str">
        <f>IFERROR(__xludf.DUMMYFUNCTION("IFERROR(GOOGLEFINANCE(C170, ""changepct"") / 100, """")"),"")</f>
        <v/>
      </c>
      <c r="L170" s="21" t="str">
        <f>IFERROR(__xludf.DUMMYFUNCTION("IFERROR((GOOGLEFINANCE(C170, ""price"") / INDEX(GOOGLEFINANCE(C170, ""price"", TODAY()-7, TODAY()), 2, 2)) - 1, """")"),"")</f>
        <v/>
      </c>
      <c r="M170" s="21" t="str">
        <f>IFERROR(__xludf.DUMMYFUNCTION("IFERROR((GOOGLEFINANCE(C170, ""price"") / INDEX(GOOGLEFINANCE(C170, ""price"", EDATE(TODAY(), -1), TODAY()), 2, 2)) - 1, """")"),"")</f>
        <v/>
      </c>
      <c r="N170" s="21" t="str">
        <f>IFERROR(__xludf.DUMMYFUNCTION("IFERROR((GOOGLEFINANCE(C170, ""price"") / INDEX(GOOGLEFINANCE(C170, ""price"", EDATE(TODAY(), -3), TODAY()), 2, 2)) - 1, """")"),"")</f>
        <v/>
      </c>
      <c r="O170" s="21" t="str">
        <f>IFERROR(__xludf.DUMMYFUNCTION("IFERROR((GOOGLEFINANCE(C170, ""price"") / INDEX(GOOGLEFINANCE(C170, ""price"", EDATE(TODAY(), -6), TODAY()), 2, 2)) - 1, """")"),"")</f>
        <v/>
      </c>
      <c r="P170" s="21" t="str">
        <f>IFERROR(__xludf.DUMMYFUNCTION("IFERROR((GOOGLEFINANCE(C170, ""price"") / INDEX(GOOGLEFINANCE(C170, ""price"", EDATE(TODAY(), -12), TODAY()), 2, 2)) - 1, """")"),"")</f>
        <v/>
      </c>
      <c r="Q170" s="6" t="str">
        <f>IFERROR(__xludf.DUMMYFUNCTION("AVERAGE(QUERY(GOOGLEFINANCE(C170, ""price"", TODAY()-80, TODAY()), ""SELECT Col2 WHERE Col2 IS NOT NULL ORDER BY Col1 DESC LIMIT 50"", 0))"),"#N/A")</f>
        <v>#N/A</v>
      </c>
      <c r="R170" s="24" t="str">
        <f>IFERROR(__xludf.DUMMYFUNCTION("IFERROR(
  LET(
    data, QUERY(GOOGLEFINANCE(C170,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GOOGLEFINANCE(C170, ""price"")) * 100,
    IF(calc=0, G170, calc)
  ), 
G170)"),"#N/A")</f>
        <v>#N/A</v>
      </c>
      <c r="S170" s="8" t="s">
        <v>15</v>
      </c>
      <c r="T170" s="26" t="str">
        <f>IFERROR(__xludf.DUMMYFUNCTION("IFERROR(TRANSPOSE(QUERY(IFERROR(SORT(GOOGLEFINANCE(C170, ""price"", WORKDAY(TODAY(), -40), TODAY()), 1, FALSE)), ""select Col2 where Col2 is not null limit 22 label Col2 ''"", 0)), """")"),"")</f>
        <v/>
      </c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8"/>
      <c r="AO170" s="28"/>
      <c r="AP170" s="29"/>
      <c r="AQ170" s="29" t="str">
        <f t="shared" ref="AQ170:BL170" si="173">T170/T$2</f>
        <v>#N/A</v>
      </c>
      <c r="AR170" s="29" t="str">
        <f t="shared" si="173"/>
        <v>#DIV/0!</v>
      </c>
      <c r="AS170" s="29" t="str">
        <f t="shared" si="173"/>
        <v>#DIV/0!</v>
      </c>
      <c r="AT170" s="29" t="str">
        <f t="shared" si="173"/>
        <v>#DIV/0!</v>
      </c>
      <c r="AU170" s="29" t="str">
        <f t="shared" si="173"/>
        <v>#DIV/0!</v>
      </c>
      <c r="AV170" s="29" t="str">
        <f t="shared" si="173"/>
        <v>#DIV/0!</v>
      </c>
      <c r="AW170" s="29" t="str">
        <f t="shared" si="173"/>
        <v>#DIV/0!</v>
      </c>
      <c r="AX170" s="29" t="str">
        <f t="shared" si="173"/>
        <v>#DIV/0!</v>
      </c>
      <c r="AY170" s="29" t="str">
        <f t="shared" si="173"/>
        <v>#DIV/0!</v>
      </c>
      <c r="AZ170" s="29" t="str">
        <f t="shared" si="173"/>
        <v>#DIV/0!</v>
      </c>
      <c r="BA170" s="29" t="str">
        <f t="shared" si="173"/>
        <v>#DIV/0!</v>
      </c>
      <c r="BB170" s="29" t="str">
        <f t="shared" si="173"/>
        <v>#DIV/0!</v>
      </c>
      <c r="BC170" s="29" t="str">
        <f t="shared" si="173"/>
        <v>#DIV/0!</v>
      </c>
      <c r="BD170" s="29" t="str">
        <f t="shared" si="173"/>
        <v>#DIV/0!</v>
      </c>
      <c r="BE170" s="29" t="str">
        <f t="shared" si="173"/>
        <v>#DIV/0!</v>
      </c>
      <c r="BF170" s="29" t="str">
        <f t="shared" si="173"/>
        <v>#DIV/0!</v>
      </c>
      <c r="BG170" s="29" t="str">
        <f t="shared" si="173"/>
        <v>#DIV/0!</v>
      </c>
      <c r="BH170" s="29" t="str">
        <f t="shared" si="173"/>
        <v>#DIV/0!</v>
      </c>
      <c r="BI170" s="29" t="str">
        <f t="shared" si="173"/>
        <v>#DIV/0!</v>
      </c>
      <c r="BJ170" s="29" t="str">
        <f t="shared" si="173"/>
        <v>#DIV/0!</v>
      </c>
      <c r="BK170" s="29" t="str">
        <f t="shared" si="173"/>
        <v>#DIV/0!</v>
      </c>
      <c r="BL170" s="29" t="str">
        <f t="shared" si="173"/>
        <v>#DIV/0!</v>
      </c>
      <c r="BM170" s="29" t="str">
        <f t="shared" si="3"/>
        <v>#DIV/0!</v>
      </c>
    </row>
    <row r="171">
      <c r="A171" s="16" t="str">
        <f>IFERROR(__xludf.DUMMYFUNCTION("IFERROR(SPARKLINE(SORT(MAP(TRANSPOSE(AQ171:BL171), LAMBDA(val, IF(ISNUMBER(val), PERCENTRANK(AQ171:BL171, val)+0.01, 0))), SEQUENCE(COLUMNS(AQ171:BL171)), FALSE), {""charttype"",""column""; ""color"",""chartreuse""; ""ymin"", 0; ""ymax"", 1.01; ""highcolo"&amp;"r"", ""darkgreen""; ""lowcolor"", ""red""}), """")"),"")</f>
        <v/>
      </c>
      <c r="B171" s="17" t="str">
        <f t="shared" si="4"/>
        <v/>
      </c>
      <c r="C171" s="1" t="s">
        <v>760</v>
      </c>
      <c r="D171" s="30" t="str">
        <f>IFERROR(__xludf.DUMMYFUNCTION("IFERROR(GOOGLEFINANCE(C171, ""NAME""))"),"Mesa Laboratories Inc")</f>
        <v>Mesa Laboratories Inc</v>
      </c>
      <c r="E171" s="30" t="s">
        <v>595</v>
      </c>
      <c r="F171" s="33" t="str">
        <f>IFERROR(__xludf.DUMMYFUNCTION("( (GOOGLEFINANCE(C171, ""price"") - Q171) / Q171 ) / (R171 / 100)"),"Loading...")</f>
        <v>Loading...</v>
      </c>
      <c r="G171" s="20" t="str">
        <f>IFERROR(__xludf.DUMMYFUNCTION("AVERAGE(ARRAYFORMULA(100 * (QUERY(GOOGLEFINANCE(C171, ""high"", TODAY()-40, TODAY()), ""SELECT Col2 WHERE Col2 IS NOT NULL ORDER BY Col1 DESC LIMIT 20"", 0) / QUERY(GOOGLEFINANCE(C171, ""low"", TODAY()-40, TODAY()), ""SELECT Col2 WHERE Col2 IS NOT NULL OR"&amp;"DER BY Col1 DESC LIMIT 20"", 0) - 1)))"),"#N/A")</f>
        <v>#N/A</v>
      </c>
      <c r="H171" s="35" t="str">
        <f t="shared" si="6"/>
        <v/>
      </c>
      <c r="I171" s="36" t="str">
        <f t="shared" si="7"/>
        <v/>
      </c>
      <c r="J171" s="37" t="str">
        <f>IFERROR(__xludf.DUMMYFUNCTION("IFERROR(
  IF(C171="""",, 
    IFERROR(
      GOOGLEFINANCE(C171, ""price"") * GOOGLEFINANCE(C171, ""volumeavg""), 
      GOOGLEFINANCE(C171, ""price"") * AVERAGE(QUERY(GOOGLEFINANCE(C171, ""volume"", TODAY()-40, TODAY()), ""SELECT Col2 WHERE Col2 IS NOT "&amp;"NULL ORDER BY Col1 DESC LIMIT 20"", 0))
    )
  ), 
"""")"),"")</f>
        <v/>
      </c>
      <c r="K171" s="21" t="str">
        <f>IFERROR(__xludf.DUMMYFUNCTION("IFERROR(GOOGLEFINANCE(C171, ""changepct"") / 100, """")"),"")</f>
        <v/>
      </c>
      <c r="L171" s="21" t="str">
        <f>IFERROR(__xludf.DUMMYFUNCTION("IFERROR((GOOGLEFINANCE(C171, ""price"") / INDEX(GOOGLEFINANCE(C171, ""price"", TODAY()-7, TODAY()), 2, 2)) - 1, """")"),"")</f>
        <v/>
      </c>
      <c r="M171" s="21" t="str">
        <f>IFERROR(__xludf.DUMMYFUNCTION("IFERROR((GOOGLEFINANCE(C171, ""price"") / INDEX(GOOGLEFINANCE(C171, ""price"", EDATE(TODAY(), -1), TODAY()), 2, 2)) - 1, """")"),"")</f>
        <v/>
      </c>
      <c r="N171" s="21" t="str">
        <f>IFERROR(__xludf.DUMMYFUNCTION("IFERROR((GOOGLEFINANCE(C171, ""price"") / INDEX(GOOGLEFINANCE(C171, ""price"", EDATE(TODAY(), -3), TODAY()), 2, 2)) - 1, """")"),"")</f>
        <v/>
      </c>
      <c r="O171" s="21" t="str">
        <f>IFERROR(__xludf.DUMMYFUNCTION("IFERROR((GOOGLEFINANCE(C171, ""price"") / INDEX(GOOGLEFINANCE(C171, ""price"", EDATE(TODAY(), -6), TODAY()), 2, 2)) - 1, """")"),"")</f>
        <v/>
      </c>
      <c r="P171" s="21" t="str">
        <f>IFERROR(__xludf.DUMMYFUNCTION("IFERROR((GOOGLEFINANCE(C171, ""price"") / INDEX(GOOGLEFINANCE(C171, ""price"", EDATE(TODAY(), -12), TODAY()), 2, 2)) - 1, """")"),"")</f>
        <v/>
      </c>
      <c r="Q171" s="6" t="str">
        <f>IFERROR(__xludf.DUMMYFUNCTION("AVERAGE(QUERY(GOOGLEFINANCE(C171, ""price"", TODAY()-80, TODAY()), ""SELECT Col2 WHERE Col2 IS NOT NULL ORDER BY Col1 DESC LIMIT 50"", 0))"),"#N/A")</f>
        <v>#N/A</v>
      </c>
      <c r="R171" s="24" t="str">
        <f>IFERROR(__xludf.DUMMYFUNCTION("IFERROR(
  LET(
    data, QUERY(GOOGLEFINANCE(C171,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GOOGLEFINANCE(C171, ""price"")) * 100,
    IF(calc=0, G171, calc)
  ), 
G171)"),"#N/A")</f>
        <v>#N/A</v>
      </c>
      <c r="S171" s="8" t="s">
        <v>15</v>
      </c>
      <c r="T171" s="26" t="str">
        <f>IFERROR(__xludf.DUMMYFUNCTION("IFERROR(TRANSPOSE(QUERY(IFERROR(SORT(GOOGLEFINANCE(C171, ""price"", WORKDAY(TODAY(), -40), TODAY()), 1, FALSE)), ""select Col2 where Col2 is not null limit 22 label Col2 ''"", 0)), """")"),"")</f>
        <v/>
      </c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8"/>
      <c r="AO171" s="28"/>
      <c r="AP171" s="29"/>
      <c r="AQ171" s="29" t="str">
        <f t="shared" ref="AQ171:BL171" si="174">T171/T$2</f>
        <v>#N/A</v>
      </c>
      <c r="AR171" s="29" t="str">
        <f t="shared" si="174"/>
        <v>#DIV/0!</v>
      </c>
      <c r="AS171" s="29" t="str">
        <f t="shared" si="174"/>
        <v>#DIV/0!</v>
      </c>
      <c r="AT171" s="29" t="str">
        <f t="shared" si="174"/>
        <v>#DIV/0!</v>
      </c>
      <c r="AU171" s="29" t="str">
        <f t="shared" si="174"/>
        <v>#DIV/0!</v>
      </c>
      <c r="AV171" s="29" t="str">
        <f t="shared" si="174"/>
        <v>#DIV/0!</v>
      </c>
      <c r="AW171" s="29" t="str">
        <f t="shared" si="174"/>
        <v>#DIV/0!</v>
      </c>
      <c r="AX171" s="29" t="str">
        <f t="shared" si="174"/>
        <v>#DIV/0!</v>
      </c>
      <c r="AY171" s="29" t="str">
        <f t="shared" si="174"/>
        <v>#DIV/0!</v>
      </c>
      <c r="AZ171" s="29" t="str">
        <f t="shared" si="174"/>
        <v>#DIV/0!</v>
      </c>
      <c r="BA171" s="29" t="str">
        <f t="shared" si="174"/>
        <v>#DIV/0!</v>
      </c>
      <c r="BB171" s="29" t="str">
        <f t="shared" si="174"/>
        <v>#DIV/0!</v>
      </c>
      <c r="BC171" s="29" t="str">
        <f t="shared" si="174"/>
        <v>#DIV/0!</v>
      </c>
      <c r="BD171" s="29" t="str">
        <f t="shared" si="174"/>
        <v>#DIV/0!</v>
      </c>
      <c r="BE171" s="29" t="str">
        <f t="shared" si="174"/>
        <v>#DIV/0!</v>
      </c>
      <c r="BF171" s="29" t="str">
        <f t="shared" si="174"/>
        <v>#DIV/0!</v>
      </c>
      <c r="BG171" s="29" t="str">
        <f t="shared" si="174"/>
        <v>#DIV/0!</v>
      </c>
      <c r="BH171" s="29" t="str">
        <f t="shared" si="174"/>
        <v>#DIV/0!</v>
      </c>
      <c r="BI171" s="29" t="str">
        <f t="shared" si="174"/>
        <v>#DIV/0!</v>
      </c>
      <c r="BJ171" s="29" t="str">
        <f t="shared" si="174"/>
        <v>#DIV/0!</v>
      </c>
      <c r="BK171" s="29" t="str">
        <f t="shared" si="174"/>
        <v>#DIV/0!</v>
      </c>
      <c r="BL171" s="29" t="str">
        <f t="shared" si="174"/>
        <v>#DIV/0!</v>
      </c>
      <c r="BM171" s="29" t="str">
        <f t="shared" si="3"/>
        <v>#DIV/0!</v>
      </c>
    </row>
    <row r="172">
      <c r="A172" s="16" t="str">
        <f>IFERROR(__xludf.DUMMYFUNCTION("IFERROR(SPARKLINE(SORT(MAP(TRANSPOSE(AQ172:BL172), LAMBDA(val, IF(ISNUMBER(val), PERCENTRANK(AQ172:BL172, val)+0.01, 0))), SEQUENCE(COLUMNS(AQ172:BL172)), FALSE), {""charttype"",""column""; ""color"",""chartreuse""; ""ymin"", 0; ""ymax"", 1.01; ""highcolo"&amp;"r"", ""darkgreen""; ""lowcolor"", ""red""}), """")"),"")</f>
        <v/>
      </c>
      <c r="B172" s="17" t="str">
        <f t="shared" si="4"/>
        <v/>
      </c>
      <c r="C172" s="1" t="s">
        <v>763</v>
      </c>
      <c r="D172" s="30" t="str">
        <f>IFERROR(__xludf.DUMMYFUNCTION("IFERROR(GOOGLEFINANCE(C172, ""NAME""))"),"UiPath Inc")</f>
        <v>UiPath Inc</v>
      </c>
      <c r="E172" s="30" t="s">
        <v>58</v>
      </c>
      <c r="F172" s="33" t="str">
        <f>IFERROR(__xludf.DUMMYFUNCTION("( (GOOGLEFINANCE(C172, ""price"") - Q172) / Q172 ) / (R172 / 100)"),"Loading...")</f>
        <v>Loading...</v>
      </c>
      <c r="G172" s="20" t="str">
        <f>IFERROR(__xludf.DUMMYFUNCTION("AVERAGE(ARRAYFORMULA(100 * (QUERY(GOOGLEFINANCE(C172, ""high"", TODAY()-40, TODAY()), ""SELECT Col2 WHERE Col2 IS NOT NULL ORDER BY Col1 DESC LIMIT 20"", 0) / QUERY(GOOGLEFINANCE(C172, ""low"", TODAY()-40, TODAY()), ""SELECT Col2 WHERE Col2 IS NOT NULL OR"&amp;"DER BY Col1 DESC LIMIT 20"", 0) - 1)))"),"#N/A")</f>
        <v>#N/A</v>
      </c>
      <c r="H172" s="35" t="str">
        <f t="shared" si="6"/>
        <v/>
      </c>
      <c r="I172" s="36" t="str">
        <f t="shared" si="7"/>
        <v/>
      </c>
      <c r="J172" s="37" t="str">
        <f>IFERROR(__xludf.DUMMYFUNCTION("IFERROR(
  IF(C172="""",, 
    IFERROR(
      GOOGLEFINANCE(C172, ""price"") * GOOGLEFINANCE(C172, ""volumeavg""), 
      GOOGLEFINANCE(C172, ""price"") * AVERAGE(QUERY(GOOGLEFINANCE(C172, ""volume"", TODAY()-40, TODAY()), ""SELECT Col2 WHERE Col2 IS NOT "&amp;"NULL ORDER BY Col1 DESC LIMIT 20"", 0))
    )
  ), 
"""")"),"")</f>
        <v/>
      </c>
      <c r="K172" s="21" t="str">
        <f>IFERROR(__xludf.DUMMYFUNCTION("IFERROR(GOOGLEFINANCE(C172, ""changepct"") / 100, """")"),"")</f>
        <v/>
      </c>
      <c r="L172" s="21" t="str">
        <f>IFERROR(__xludf.DUMMYFUNCTION("IFERROR((GOOGLEFINANCE(C172, ""price"") / INDEX(GOOGLEFINANCE(C172, ""price"", TODAY()-7, TODAY()), 2, 2)) - 1, """")"),"")</f>
        <v/>
      </c>
      <c r="M172" s="21" t="str">
        <f>IFERROR(__xludf.DUMMYFUNCTION("IFERROR((GOOGLEFINANCE(C172, ""price"") / INDEX(GOOGLEFINANCE(C172, ""price"", EDATE(TODAY(), -1), TODAY()), 2, 2)) - 1, """")"),"")</f>
        <v/>
      </c>
      <c r="N172" s="21" t="str">
        <f>IFERROR(__xludf.DUMMYFUNCTION("IFERROR((GOOGLEFINANCE(C172, ""price"") / INDEX(GOOGLEFINANCE(C172, ""price"", EDATE(TODAY(), -3), TODAY()), 2, 2)) - 1, """")"),"")</f>
        <v/>
      </c>
      <c r="O172" s="21" t="str">
        <f>IFERROR(__xludf.DUMMYFUNCTION("IFERROR((GOOGLEFINANCE(C172, ""price"") / INDEX(GOOGLEFINANCE(C172, ""price"", EDATE(TODAY(), -6), TODAY()), 2, 2)) - 1, """")"),"")</f>
        <v/>
      </c>
      <c r="P172" s="21" t="str">
        <f>IFERROR(__xludf.DUMMYFUNCTION("IFERROR((GOOGLEFINANCE(C172, ""price"") / INDEX(GOOGLEFINANCE(C172, ""price"", EDATE(TODAY(), -12), TODAY()), 2, 2)) - 1, """")"),"")</f>
        <v/>
      </c>
      <c r="Q172" s="6" t="str">
        <f>IFERROR(__xludf.DUMMYFUNCTION("AVERAGE(QUERY(GOOGLEFINANCE(C172, ""price"", TODAY()-80, TODAY()), ""SELECT Col2 WHERE Col2 IS NOT NULL ORDER BY Col1 DESC LIMIT 50"", 0))"),"#N/A")</f>
        <v>#N/A</v>
      </c>
      <c r="R172" s="24" t="str">
        <f>IFERROR(__xludf.DUMMYFUNCTION("IFERROR(
  LET(
    data, QUERY(GOOGLEFINANCE(C172,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GOOGLEFINANCE(C172, ""price"")) * 100,
    IF(calc=0, G172, calc)
  ), 
G172)"),"#N/A")</f>
        <v>#N/A</v>
      </c>
      <c r="S172" s="8" t="s">
        <v>15</v>
      </c>
      <c r="T172" s="26" t="str">
        <f>IFERROR(__xludf.DUMMYFUNCTION("IFERROR(TRANSPOSE(QUERY(IFERROR(SORT(GOOGLEFINANCE(C172, ""price"", WORKDAY(TODAY(), -40), TODAY()), 1, FALSE)), ""select Col2 where Col2 is not null limit 22 label Col2 ''"", 0)), """")"),"")</f>
        <v/>
      </c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8"/>
      <c r="AO172" s="28"/>
      <c r="AP172" s="29"/>
      <c r="AQ172" s="29" t="str">
        <f t="shared" ref="AQ172:BL172" si="175">T172/T$2</f>
        <v>#N/A</v>
      </c>
      <c r="AR172" s="29" t="str">
        <f t="shared" si="175"/>
        <v>#DIV/0!</v>
      </c>
      <c r="AS172" s="29" t="str">
        <f t="shared" si="175"/>
        <v>#DIV/0!</v>
      </c>
      <c r="AT172" s="29" t="str">
        <f t="shared" si="175"/>
        <v>#DIV/0!</v>
      </c>
      <c r="AU172" s="29" t="str">
        <f t="shared" si="175"/>
        <v>#DIV/0!</v>
      </c>
      <c r="AV172" s="29" t="str">
        <f t="shared" si="175"/>
        <v>#DIV/0!</v>
      </c>
      <c r="AW172" s="29" t="str">
        <f t="shared" si="175"/>
        <v>#DIV/0!</v>
      </c>
      <c r="AX172" s="29" t="str">
        <f t="shared" si="175"/>
        <v>#DIV/0!</v>
      </c>
      <c r="AY172" s="29" t="str">
        <f t="shared" si="175"/>
        <v>#DIV/0!</v>
      </c>
      <c r="AZ172" s="29" t="str">
        <f t="shared" si="175"/>
        <v>#DIV/0!</v>
      </c>
      <c r="BA172" s="29" t="str">
        <f t="shared" si="175"/>
        <v>#DIV/0!</v>
      </c>
      <c r="BB172" s="29" t="str">
        <f t="shared" si="175"/>
        <v>#DIV/0!</v>
      </c>
      <c r="BC172" s="29" t="str">
        <f t="shared" si="175"/>
        <v>#DIV/0!</v>
      </c>
      <c r="BD172" s="29" t="str">
        <f t="shared" si="175"/>
        <v>#DIV/0!</v>
      </c>
      <c r="BE172" s="29" t="str">
        <f t="shared" si="175"/>
        <v>#DIV/0!</v>
      </c>
      <c r="BF172" s="29" t="str">
        <f t="shared" si="175"/>
        <v>#DIV/0!</v>
      </c>
      <c r="BG172" s="29" t="str">
        <f t="shared" si="175"/>
        <v>#DIV/0!</v>
      </c>
      <c r="BH172" s="29" t="str">
        <f t="shared" si="175"/>
        <v>#DIV/0!</v>
      </c>
      <c r="BI172" s="29" t="str">
        <f t="shared" si="175"/>
        <v>#DIV/0!</v>
      </c>
      <c r="BJ172" s="29" t="str">
        <f t="shared" si="175"/>
        <v>#DIV/0!</v>
      </c>
      <c r="BK172" s="29" t="str">
        <f t="shared" si="175"/>
        <v>#DIV/0!</v>
      </c>
      <c r="BL172" s="29" t="str">
        <f t="shared" si="175"/>
        <v>#DIV/0!</v>
      </c>
      <c r="BM172" s="29" t="str">
        <f t="shared" si="3"/>
        <v>#DIV/0!</v>
      </c>
    </row>
    <row r="173">
      <c r="A173" s="16" t="str">
        <f>IFERROR(__xludf.DUMMYFUNCTION("IFERROR(SPARKLINE(SORT(MAP(TRANSPOSE(AQ173:BL173), LAMBDA(val, IF(ISNUMBER(val), PERCENTRANK(AQ173:BL173, val)+0.01, 0))), SEQUENCE(COLUMNS(AQ173:BL173)), FALSE), {""charttype"",""column""; ""color"",""chartreuse""; ""ymin"", 0; ""ymax"", 1.01; ""highcolo"&amp;"r"", ""darkgreen""; ""lowcolor"", ""red""}), """")"),"")</f>
        <v/>
      </c>
      <c r="B173" s="17" t="str">
        <f t="shared" si="4"/>
        <v/>
      </c>
      <c r="C173" s="1" t="s">
        <v>767</v>
      </c>
      <c r="D173" s="30" t="str">
        <f>IFERROR(__xludf.DUMMYFUNCTION("IFERROR(GOOGLEFINANCE(C173, ""NAME""))"),"SoundHound AI Inc")</f>
        <v>SoundHound AI Inc</v>
      </c>
      <c r="E173" s="30" t="s">
        <v>48</v>
      </c>
      <c r="F173" s="33" t="str">
        <f>IFERROR(__xludf.DUMMYFUNCTION("( (GOOGLEFINANCE(C173, ""price"") - Q173) / Q173 ) / (R173 / 100)"),"Loading...")</f>
        <v>Loading...</v>
      </c>
      <c r="G173" s="20" t="str">
        <f>IFERROR(__xludf.DUMMYFUNCTION("AVERAGE(ARRAYFORMULA(100 * (QUERY(GOOGLEFINANCE(C173, ""high"", TODAY()-40, TODAY()), ""SELECT Col2 WHERE Col2 IS NOT NULL ORDER BY Col1 DESC LIMIT 20"", 0) / QUERY(GOOGLEFINANCE(C173, ""low"", TODAY()-40, TODAY()), ""SELECT Col2 WHERE Col2 IS NOT NULL OR"&amp;"DER BY Col1 DESC LIMIT 20"", 0) - 1)))"),"#N/A")</f>
        <v>#N/A</v>
      </c>
      <c r="H173" s="35" t="str">
        <f t="shared" si="6"/>
        <v/>
      </c>
      <c r="I173" s="36" t="str">
        <f t="shared" si="7"/>
        <v/>
      </c>
      <c r="J173" s="37" t="str">
        <f>IFERROR(__xludf.DUMMYFUNCTION("IFERROR(
  IF(C173="""",, 
    IFERROR(
      GOOGLEFINANCE(C173, ""price"") * GOOGLEFINANCE(C173, ""volumeavg""), 
      GOOGLEFINANCE(C173, ""price"") * AVERAGE(QUERY(GOOGLEFINANCE(C173, ""volume"", TODAY()-40, TODAY()), ""SELECT Col2 WHERE Col2 IS NOT "&amp;"NULL ORDER BY Col1 DESC LIMIT 20"", 0))
    )
  ), 
"""")"),"")</f>
        <v/>
      </c>
      <c r="K173" s="21" t="str">
        <f>IFERROR(__xludf.DUMMYFUNCTION("IFERROR(GOOGLEFINANCE(C173, ""changepct"") / 100, """")"),"")</f>
        <v/>
      </c>
      <c r="L173" s="21" t="str">
        <f>IFERROR(__xludf.DUMMYFUNCTION("IFERROR((GOOGLEFINANCE(C173, ""price"") / INDEX(GOOGLEFINANCE(C173, ""price"", TODAY()-7, TODAY()), 2, 2)) - 1, """")"),"")</f>
        <v/>
      </c>
      <c r="M173" s="21" t="str">
        <f>IFERROR(__xludf.DUMMYFUNCTION("IFERROR((GOOGLEFINANCE(C173, ""price"") / INDEX(GOOGLEFINANCE(C173, ""price"", EDATE(TODAY(), -1), TODAY()), 2, 2)) - 1, """")"),"")</f>
        <v/>
      </c>
      <c r="N173" s="21" t="str">
        <f>IFERROR(__xludf.DUMMYFUNCTION("IFERROR((GOOGLEFINANCE(C173, ""price"") / INDEX(GOOGLEFINANCE(C173, ""price"", EDATE(TODAY(), -3), TODAY()), 2, 2)) - 1, """")"),"")</f>
        <v/>
      </c>
      <c r="O173" s="21" t="str">
        <f>IFERROR(__xludf.DUMMYFUNCTION("IFERROR((GOOGLEFINANCE(C173, ""price"") / INDEX(GOOGLEFINANCE(C173, ""price"", EDATE(TODAY(), -6), TODAY()), 2, 2)) - 1, """")"),"")</f>
        <v/>
      </c>
      <c r="P173" s="21" t="str">
        <f>IFERROR(__xludf.DUMMYFUNCTION("IFERROR((GOOGLEFINANCE(C173, ""price"") / INDEX(GOOGLEFINANCE(C173, ""price"", EDATE(TODAY(), -12), TODAY()), 2, 2)) - 1, """")"),"")</f>
        <v/>
      </c>
      <c r="Q173" s="6" t="str">
        <f>IFERROR(__xludf.DUMMYFUNCTION("AVERAGE(QUERY(GOOGLEFINANCE(C173, ""price"", TODAY()-80, TODAY()), ""SELECT Col2 WHERE Col2 IS NOT NULL ORDER BY Col1 DESC LIMIT 50"", 0))"),"#N/A")</f>
        <v>#N/A</v>
      </c>
      <c r="R173" s="24" t="str">
        <f>IFERROR(__xludf.DUMMYFUNCTION("IFERROR(
  LET(
    data, QUERY(GOOGLEFINANCE(C173,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GOOGLEFINANCE(C173, ""price"")) * 100,
    IF(calc=0, G173, calc)
  ), 
G173)"),"#N/A")</f>
        <v>#N/A</v>
      </c>
      <c r="S173" s="8" t="s">
        <v>15</v>
      </c>
      <c r="T173" s="26" t="str">
        <f>IFERROR(__xludf.DUMMYFUNCTION("IFERROR(TRANSPOSE(QUERY(IFERROR(SORT(GOOGLEFINANCE(C173, ""price"", WORKDAY(TODAY(), -40), TODAY()), 1, FALSE)), ""select Col2 where Col2 is not null limit 22 label Col2 ''"", 0)), """")"),"")</f>
        <v/>
      </c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8"/>
      <c r="AO173" s="28"/>
      <c r="AP173" s="29"/>
      <c r="AQ173" s="29" t="str">
        <f t="shared" ref="AQ173:BL173" si="176">T173/T$2</f>
        <v>#N/A</v>
      </c>
      <c r="AR173" s="29" t="str">
        <f t="shared" si="176"/>
        <v>#DIV/0!</v>
      </c>
      <c r="AS173" s="29" t="str">
        <f t="shared" si="176"/>
        <v>#DIV/0!</v>
      </c>
      <c r="AT173" s="29" t="str">
        <f t="shared" si="176"/>
        <v>#DIV/0!</v>
      </c>
      <c r="AU173" s="29" t="str">
        <f t="shared" si="176"/>
        <v>#DIV/0!</v>
      </c>
      <c r="AV173" s="29" t="str">
        <f t="shared" si="176"/>
        <v>#DIV/0!</v>
      </c>
      <c r="AW173" s="29" t="str">
        <f t="shared" si="176"/>
        <v>#DIV/0!</v>
      </c>
      <c r="AX173" s="29" t="str">
        <f t="shared" si="176"/>
        <v>#DIV/0!</v>
      </c>
      <c r="AY173" s="29" t="str">
        <f t="shared" si="176"/>
        <v>#DIV/0!</v>
      </c>
      <c r="AZ173" s="29" t="str">
        <f t="shared" si="176"/>
        <v>#DIV/0!</v>
      </c>
      <c r="BA173" s="29" t="str">
        <f t="shared" si="176"/>
        <v>#DIV/0!</v>
      </c>
      <c r="BB173" s="29" t="str">
        <f t="shared" si="176"/>
        <v>#DIV/0!</v>
      </c>
      <c r="BC173" s="29" t="str">
        <f t="shared" si="176"/>
        <v>#DIV/0!</v>
      </c>
      <c r="BD173" s="29" t="str">
        <f t="shared" si="176"/>
        <v>#DIV/0!</v>
      </c>
      <c r="BE173" s="29" t="str">
        <f t="shared" si="176"/>
        <v>#DIV/0!</v>
      </c>
      <c r="BF173" s="29" t="str">
        <f t="shared" si="176"/>
        <v>#DIV/0!</v>
      </c>
      <c r="BG173" s="29" t="str">
        <f t="shared" si="176"/>
        <v>#DIV/0!</v>
      </c>
      <c r="BH173" s="29" t="str">
        <f t="shared" si="176"/>
        <v>#DIV/0!</v>
      </c>
      <c r="BI173" s="29" t="str">
        <f t="shared" si="176"/>
        <v>#DIV/0!</v>
      </c>
      <c r="BJ173" s="29" t="str">
        <f t="shared" si="176"/>
        <v>#DIV/0!</v>
      </c>
      <c r="BK173" s="29" t="str">
        <f t="shared" si="176"/>
        <v>#DIV/0!</v>
      </c>
      <c r="BL173" s="29" t="str">
        <f t="shared" si="176"/>
        <v>#DIV/0!</v>
      </c>
      <c r="BM173" s="29" t="str">
        <f t="shared" si="3"/>
        <v>#DIV/0!</v>
      </c>
    </row>
    <row r="174">
      <c r="A174" s="16" t="str">
        <f>IFERROR(__xludf.DUMMYFUNCTION("IFERROR(SPARKLINE(SORT(MAP(TRANSPOSE(AQ174:BL174), LAMBDA(val, IF(ISNUMBER(val), PERCENTRANK(AQ174:BL174, val)+0.01, 0))), SEQUENCE(COLUMNS(AQ174:BL174)), FALSE), {""charttype"",""column""; ""color"",""chartreuse""; ""ymin"", 0; ""ymax"", 1.01; ""highcolo"&amp;"r"", ""darkgreen""; ""lowcolor"", ""red""}), """")"),"")</f>
        <v/>
      </c>
      <c r="B174" s="17" t="str">
        <f t="shared" si="4"/>
        <v/>
      </c>
      <c r="C174" s="1" t="s">
        <v>770</v>
      </c>
      <c r="D174" s="30" t="str">
        <f>IFERROR(__xludf.DUMMYFUNCTION("IFERROR(GOOGLEFINANCE(C174, ""NAME""))"),"PTC Inc")</f>
        <v>PTC Inc</v>
      </c>
      <c r="E174" s="30" t="s">
        <v>48</v>
      </c>
      <c r="F174" s="33" t="str">
        <f>IFERROR(__xludf.DUMMYFUNCTION("( (GOOGLEFINANCE(C174, ""price"") - Q174) / Q174 ) / (R174 / 100)"),"Loading...")</f>
        <v>Loading...</v>
      </c>
      <c r="G174" s="20" t="str">
        <f>IFERROR(__xludf.DUMMYFUNCTION("AVERAGE(ARRAYFORMULA(100 * (QUERY(GOOGLEFINANCE(C174, ""high"", TODAY()-40, TODAY()), ""SELECT Col2 WHERE Col2 IS NOT NULL ORDER BY Col1 DESC LIMIT 20"", 0) / QUERY(GOOGLEFINANCE(C174, ""low"", TODAY()-40, TODAY()), ""SELECT Col2 WHERE Col2 IS NOT NULL OR"&amp;"DER BY Col1 DESC LIMIT 20"", 0) - 1)))"),"#N/A")</f>
        <v>#N/A</v>
      </c>
      <c r="H174" s="35" t="str">
        <f t="shared" si="6"/>
        <v/>
      </c>
      <c r="I174" s="36" t="str">
        <f t="shared" si="7"/>
        <v/>
      </c>
      <c r="J174" s="37" t="str">
        <f>IFERROR(__xludf.DUMMYFUNCTION("IFERROR(
  IF(C174="""",, 
    IFERROR(
      GOOGLEFINANCE(C174, ""price"") * GOOGLEFINANCE(C174, ""volumeavg""), 
      GOOGLEFINANCE(C174, ""price"") * AVERAGE(QUERY(GOOGLEFINANCE(C174, ""volume"", TODAY()-40, TODAY()), ""SELECT Col2 WHERE Col2 IS NOT "&amp;"NULL ORDER BY Col1 DESC LIMIT 20"", 0))
    )
  ), 
"""")"),"")</f>
        <v/>
      </c>
      <c r="K174" s="21" t="str">
        <f>IFERROR(__xludf.DUMMYFUNCTION("IFERROR(GOOGLEFINANCE(C174, ""changepct"") / 100, """")"),"")</f>
        <v/>
      </c>
      <c r="L174" s="21" t="str">
        <f>IFERROR(__xludf.DUMMYFUNCTION("IFERROR((GOOGLEFINANCE(C174, ""price"") / INDEX(GOOGLEFINANCE(C174, ""price"", TODAY()-7, TODAY()), 2, 2)) - 1, """")"),"")</f>
        <v/>
      </c>
      <c r="M174" s="21" t="str">
        <f>IFERROR(__xludf.DUMMYFUNCTION("IFERROR((GOOGLEFINANCE(C174, ""price"") / INDEX(GOOGLEFINANCE(C174, ""price"", EDATE(TODAY(), -1), TODAY()), 2, 2)) - 1, """")"),"")</f>
        <v/>
      </c>
      <c r="N174" s="21" t="str">
        <f>IFERROR(__xludf.DUMMYFUNCTION("IFERROR((GOOGLEFINANCE(C174, ""price"") / INDEX(GOOGLEFINANCE(C174, ""price"", EDATE(TODAY(), -3), TODAY()), 2, 2)) - 1, """")"),"")</f>
        <v/>
      </c>
      <c r="O174" s="21" t="str">
        <f>IFERROR(__xludf.DUMMYFUNCTION("IFERROR((GOOGLEFINANCE(C174, ""price"") / INDEX(GOOGLEFINANCE(C174, ""price"", EDATE(TODAY(), -6), TODAY()), 2, 2)) - 1, """")"),"")</f>
        <v/>
      </c>
      <c r="P174" s="21" t="str">
        <f>IFERROR(__xludf.DUMMYFUNCTION("IFERROR((GOOGLEFINANCE(C174, ""price"") / INDEX(GOOGLEFINANCE(C174, ""price"", EDATE(TODAY(), -12), TODAY()), 2, 2)) - 1, """")"),"")</f>
        <v/>
      </c>
      <c r="Q174" s="6" t="str">
        <f>IFERROR(__xludf.DUMMYFUNCTION("AVERAGE(QUERY(GOOGLEFINANCE(C174, ""price"", TODAY()-80, TODAY()), ""SELECT Col2 WHERE Col2 IS NOT NULL ORDER BY Col1 DESC LIMIT 50"", 0))"),"#N/A")</f>
        <v>#N/A</v>
      </c>
      <c r="R174" s="24" t="str">
        <f>IFERROR(__xludf.DUMMYFUNCTION("IFERROR(
  LET(
    data, QUERY(GOOGLEFINANCE(C174,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GOOGLEFINANCE(C174, ""price"")) * 100,
    IF(calc=0, G174, calc)
  ), 
G174)"),"#N/A")</f>
        <v>#N/A</v>
      </c>
      <c r="S174" s="8" t="s">
        <v>15</v>
      </c>
      <c r="T174" s="26" t="str">
        <f>IFERROR(__xludf.DUMMYFUNCTION("IFERROR(TRANSPOSE(QUERY(IFERROR(SORT(GOOGLEFINANCE(C174, ""price"", WORKDAY(TODAY(), -40), TODAY()), 1, FALSE)), ""select Col2 where Col2 is not null limit 22 label Col2 ''"", 0)), """")"),"")</f>
        <v/>
      </c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8"/>
      <c r="AO174" s="28"/>
      <c r="AP174" s="29"/>
      <c r="AQ174" s="29" t="str">
        <f t="shared" ref="AQ174:BL174" si="177">T174/T$2</f>
        <v>#N/A</v>
      </c>
      <c r="AR174" s="29" t="str">
        <f t="shared" si="177"/>
        <v>#DIV/0!</v>
      </c>
      <c r="AS174" s="29" t="str">
        <f t="shared" si="177"/>
        <v>#DIV/0!</v>
      </c>
      <c r="AT174" s="29" t="str">
        <f t="shared" si="177"/>
        <v>#DIV/0!</v>
      </c>
      <c r="AU174" s="29" t="str">
        <f t="shared" si="177"/>
        <v>#DIV/0!</v>
      </c>
      <c r="AV174" s="29" t="str">
        <f t="shared" si="177"/>
        <v>#DIV/0!</v>
      </c>
      <c r="AW174" s="29" t="str">
        <f t="shared" si="177"/>
        <v>#DIV/0!</v>
      </c>
      <c r="AX174" s="29" t="str">
        <f t="shared" si="177"/>
        <v>#DIV/0!</v>
      </c>
      <c r="AY174" s="29" t="str">
        <f t="shared" si="177"/>
        <v>#DIV/0!</v>
      </c>
      <c r="AZ174" s="29" t="str">
        <f t="shared" si="177"/>
        <v>#DIV/0!</v>
      </c>
      <c r="BA174" s="29" t="str">
        <f t="shared" si="177"/>
        <v>#DIV/0!</v>
      </c>
      <c r="BB174" s="29" t="str">
        <f t="shared" si="177"/>
        <v>#DIV/0!</v>
      </c>
      <c r="BC174" s="29" t="str">
        <f t="shared" si="177"/>
        <v>#DIV/0!</v>
      </c>
      <c r="BD174" s="29" t="str">
        <f t="shared" si="177"/>
        <v>#DIV/0!</v>
      </c>
      <c r="BE174" s="29" t="str">
        <f t="shared" si="177"/>
        <v>#DIV/0!</v>
      </c>
      <c r="BF174" s="29" t="str">
        <f t="shared" si="177"/>
        <v>#DIV/0!</v>
      </c>
      <c r="BG174" s="29" t="str">
        <f t="shared" si="177"/>
        <v>#DIV/0!</v>
      </c>
      <c r="BH174" s="29" t="str">
        <f t="shared" si="177"/>
        <v>#DIV/0!</v>
      </c>
      <c r="BI174" s="29" t="str">
        <f t="shared" si="177"/>
        <v>#DIV/0!</v>
      </c>
      <c r="BJ174" s="29" t="str">
        <f t="shared" si="177"/>
        <v>#DIV/0!</v>
      </c>
      <c r="BK174" s="29" t="str">
        <f t="shared" si="177"/>
        <v>#DIV/0!</v>
      </c>
      <c r="BL174" s="29" t="str">
        <f t="shared" si="177"/>
        <v>#DIV/0!</v>
      </c>
      <c r="BM174" s="29" t="str">
        <f t="shared" si="3"/>
        <v>#DIV/0!</v>
      </c>
    </row>
    <row r="175">
      <c r="A175" s="16" t="str">
        <f>IFERROR(__xludf.DUMMYFUNCTION("IFERROR(SPARKLINE(SORT(MAP(TRANSPOSE(AQ175:BL175), LAMBDA(val, IF(ISNUMBER(val), PERCENTRANK(AQ175:BL175, val)+0.01, 0))), SEQUENCE(COLUMNS(AQ175:BL175)), FALSE), {""charttype"",""column""; ""color"",""chartreuse""; ""ymin"", 0; ""ymax"", 1.01; ""highcolo"&amp;"r"", ""darkgreen""; ""lowcolor"", ""red""}), """")"),"")</f>
        <v/>
      </c>
      <c r="B175" s="17" t="str">
        <f t="shared" si="4"/>
        <v/>
      </c>
      <c r="C175" s="1" t="s">
        <v>772</v>
      </c>
      <c r="D175" s="30" t="str">
        <f>IFERROR(__xludf.DUMMYFUNCTION("IFERROR(GOOGLEFINANCE(C175, ""NAME""))"),"WeRide Inc - ADR")</f>
        <v>WeRide Inc - ADR</v>
      </c>
      <c r="E175" s="30" t="s">
        <v>48</v>
      </c>
      <c r="F175" s="33" t="str">
        <f>IFERROR(__xludf.DUMMYFUNCTION("( (GOOGLEFINANCE(C175, ""price"") - Q175) / Q175 ) / (R175 / 100)"),"Loading...")</f>
        <v>Loading...</v>
      </c>
      <c r="G175" s="20" t="str">
        <f>IFERROR(__xludf.DUMMYFUNCTION("AVERAGE(ARRAYFORMULA(100 * (QUERY(GOOGLEFINANCE(C175, ""high"", TODAY()-40, TODAY()), ""SELECT Col2 WHERE Col2 IS NOT NULL ORDER BY Col1 DESC LIMIT 20"", 0) / QUERY(GOOGLEFINANCE(C175, ""low"", TODAY()-40, TODAY()), ""SELECT Col2 WHERE Col2 IS NOT NULL OR"&amp;"DER BY Col1 DESC LIMIT 20"", 0) - 1)))"),"#N/A")</f>
        <v>#N/A</v>
      </c>
      <c r="H175" s="35" t="str">
        <f t="shared" si="6"/>
        <v/>
      </c>
      <c r="I175" s="36" t="str">
        <f t="shared" si="7"/>
        <v/>
      </c>
      <c r="J175" s="37" t="str">
        <f>IFERROR(__xludf.DUMMYFUNCTION("IFERROR(
  IF(C175="""",, 
    IFERROR(
      GOOGLEFINANCE(C175, ""price"") * GOOGLEFINANCE(C175, ""volumeavg""), 
      GOOGLEFINANCE(C175, ""price"") * AVERAGE(QUERY(GOOGLEFINANCE(C175, ""volume"", TODAY()-40, TODAY()), ""SELECT Col2 WHERE Col2 IS NOT "&amp;"NULL ORDER BY Col1 DESC LIMIT 20"", 0))
    )
  ), 
"""")"),"")</f>
        <v/>
      </c>
      <c r="K175" s="21" t="str">
        <f>IFERROR(__xludf.DUMMYFUNCTION("IFERROR(GOOGLEFINANCE(C175, ""changepct"") / 100, """")"),"")</f>
        <v/>
      </c>
      <c r="L175" s="21" t="str">
        <f>IFERROR(__xludf.DUMMYFUNCTION("IFERROR((GOOGLEFINANCE(C175, ""price"") / INDEX(GOOGLEFINANCE(C175, ""price"", TODAY()-7, TODAY()), 2, 2)) - 1, """")"),"")</f>
        <v/>
      </c>
      <c r="M175" s="21" t="str">
        <f>IFERROR(__xludf.DUMMYFUNCTION("IFERROR((GOOGLEFINANCE(C175, ""price"") / INDEX(GOOGLEFINANCE(C175, ""price"", EDATE(TODAY(), -1), TODAY()), 2, 2)) - 1, """")"),"")</f>
        <v/>
      </c>
      <c r="N175" s="21" t="str">
        <f>IFERROR(__xludf.DUMMYFUNCTION("IFERROR((GOOGLEFINANCE(C175, ""price"") / INDEX(GOOGLEFINANCE(C175, ""price"", EDATE(TODAY(), -3), TODAY()), 2, 2)) - 1, """")"),"")</f>
        <v/>
      </c>
      <c r="O175" s="21" t="str">
        <f>IFERROR(__xludf.DUMMYFUNCTION("IFERROR((GOOGLEFINANCE(C175, ""price"") / INDEX(GOOGLEFINANCE(C175, ""price"", EDATE(TODAY(), -6), TODAY()), 2, 2)) - 1, """")"),"")</f>
        <v/>
      </c>
      <c r="P175" s="21" t="str">
        <f>IFERROR(__xludf.DUMMYFUNCTION("IFERROR((GOOGLEFINANCE(C175, ""price"") / INDEX(GOOGLEFINANCE(C175, ""price"", EDATE(TODAY(), -12), TODAY()), 2, 2)) - 1, """")"),"")</f>
        <v/>
      </c>
      <c r="Q175" s="6" t="str">
        <f>IFERROR(__xludf.DUMMYFUNCTION("AVERAGE(QUERY(GOOGLEFINANCE(C175, ""price"", TODAY()-80, TODAY()), ""SELECT Col2 WHERE Col2 IS NOT NULL ORDER BY Col1 DESC LIMIT 50"", 0))"),"#N/A")</f>
        <v>#N/A</v>
      </c>
      <c r="R175" s="24" t="str">
        <f>IFERROR(__xludf.DUMMYFUNCTION("IFERROR(
  LET(
    data, QUERY(GOOGLEFINANCE(C175,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GOOGLEFINANCE(C175, ""price"")) * 100,
    IF(calc=0, G175, calc)
  ), 
G175)"),"#N/A")</f>
        <v>#N/A</v>
      </c>
      <c r="S175" s="8" t="s">
        <v>15</v>
      </c>
      <c r="T175" s="26" t="str">
        <f>IFERROR(__xludf.DUMMYFUNCTION("IFERROR(TRANSPOSE(QUERY(IFERROR(SORT(GOOGLEFINANCE(C175, ""price"", WORKDAY(TODAY(), -40), TODAY()), 1, FALSE)), ""select Col2 where Col2 is not null limit 22 label Col2 ''"", 0)), """")"),"")</f>
        <v/>
      </c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8"/>
      <c r="AO175" s="28"/>
      <c r="AP175" s="29"/>
      <c r="AQ175" s="29" t="str">
        <f t="shared" ref="AQ175:BL175" si="178">T175/T$2</f>
        <v>#N/A</v>
      </c>
      <c r="AR175" s="29" t="str">
        <f t="shared" si="178"/>
        <v>#DIV/0!</v>
      </c>
      <c r="AS175" s="29" t="str">
        <f t="shared" si="178"/>
        <v>#DIV/0!</v>
      </c>
      <c r="AT175" s="29" t="str">
        <f t="shared" si="178"/>
        <v>#DIV/0!</v>
      </c>
      <c r="AU175" s="29" t="str">
        <f t="shared" si="178"/>
        <v>#DIV/0!</v>
      </c>
      <c r="AV175" s="29" t="str">
        <f t="shared" si="178"/>
        <v>#DIV/0!</v>
      </c>
      <c r="AW175" s="29" t="str">
        <f t="shared" si="178"/>
        <v>#DIV/0!</v>
      </c>
      <c r="AX175" s="29" t="str">
        <f t="shared" si="178"/>
        <v>#DIV/0!</v>
      </c>
      <c r="AY175" s="29" t="str">
        <f t="shared" si="178"/>
        <v>#DIV/0!</v>
      </c>
      <c r="AZ175" s="29" t="str">
        <f t="shared" si="178"/>
        <v>#DIV/0!</v>
      </c>
      <c r="BA175" s="29" t="str">
        <f t="shared" si="178"/>
        <v>#DIV/0!</v>
      </c>
      <c r="BB175" s="29" t="str">
        <f t="shared" si="178"/>
        <v>#DIV/0!</v>
      </c>
      <c r="BC175" s="29" t="str">
        <f t="shared" si="178"/>
        <v>#DIV/0!</v>
      </c>
      <c r="BD175" s="29" t="str">
        <f t="shared" si="178"/>
        <v>#DIV/0!</v>
      </c>
      <c r="BE175" s="29" t="str">
        <f t="shared" si="178"/>
        <v>#DIV/0!</v>
      </c>
      <c r="BF175" s="29" t="str">
        <f t="shared" si="178"/>
        <v>#DIV/0!</v>
      </c>
      <c r="BG175" s="29" t="str">
        <f t="shared" si="178"/>
        <v>#DIV/0!</v>
      </c>
      <c r="BH175" s="29" t="str">
        <f t="shared" si="178"/>
        <v>#DIV/0!</v>
      </c>
      <c r="BI175" s="29" t="str">
        <f t="shared" si="178"/>
        <v>#DIV/0!</v>
      </c>
      <c r="BJ175" s="29" t="str">
        <f t="shared" si="178"/>
        <v>#DIV/0!</v>
      </c>
      <c r="BK175" s="29" t="str">
        <f t="shared" si="178"/>
        <v>#DIV/0!</v>
      </c>
      <c r="BL175" s="29" t="str">
        <f t="shared" si="178"/>
        <v>#DIV/0!</v>
      </c>
      <c r="BM175" s="29" t="str">
        <f t="shared" si="3"/>
        <v>#DIV/0!</v>
      </c>
    </row>
    <row r="176">
      <c r="A176" s="16" t="str">
        <f>IFERROR(__xludf.DUMMYFUNCTION("IFERROR(SPARKLINE(SORT(MAP(TRANSPOSE(AQ176:BL176), LAMBDA(val, IF(ISNUMBER(val), PERCENTRANK(AQ176:BL176, val)+0.01, 0))), SEQUENCE(COLUMNS(AQ176:BL176)), FALSE), {""charttype"",""column""; ""color"",""chartreuse""; ""ymin"", 0; ""ymax"", 1.01; ""highcolo"&amp;"r"", ""darkgreen""; ""lowcolor"", ""red""}), """")"),"")</f>
        <v/>
      </c>
      <c r="B176" s="17" t="str">
        <f t="shared" si="4"/>
        <v/>
      </c>
      <c r="C176" s="1" t="s">
        <v>776</v>
      </c>
      <c r="D176" s="30" t="str">
        <f>IFERROR(__xludf.DUMMYFUNCTION("IFERROR(GOOGLEFINANCE(C176, ""NAME""))"),"Tuya Inc")</f>
        <v>Tuya Inc</v>
      </c>
      <c r="E176" s="30" t="s">
        <v>58</v>
      </c>
      <c r="F176" s="33" t="str">
        <f>IFERROR(__xludf.DUMMYFUNCTION("( (GOOGLEFINANCE(C176, ""price"") - Q176) / Q176 ) / (R176 / 100)"),"Loading...")</f>
        <v>Loading...</v>
      </c>
      <c r="G176" s="20" t="str">
        <f>IFERROR(__xludf.DUMMYFUNCTION("AVERAGE(ARRAYFORMULA(100 * (QUERY(GOOGLEFINANCE(C176, ""high"", TODAY()-40, TODAY()), ""SELECT Col2 WHERE Col2 IS NOT NULL ORDER BY Col1 DESC LIMIT 20"", 0) / QUERY(GOOGLEFINANCE(C176, ""low"", TODAY()-40, TODAY()), ""SELECT Col2 WHERE Col2 IS NOT NULL OR"&amp;"DER BY Col1 DESC LIMIT 20"", 0) - 1)))"),"#N/A")</f>
        <v>#N/A</v>
      </c>
      <c r="H176" s="35" t="str">
        <f t="shared" si="6"/>
        <v/>
      </c>
      <c r="I176" s="36" t="str">
        <f t="shared" si="7"/>
        <v/>
      </c>
      <c r="J176" s="37" t="str">
        <f>IFERROR(__xludf.DUMMYFUNCTION("IFERROR(
  IF(C176="""",, 
    IFERROR(
      GOOGLEFINANCE(C176, ""price"") * GOOGLEFINANCE(C176, ""volumeavg""), 
      GOOGLEFINANCE(C176, ""price"") * AVERAGE(QUERY(GOOGLEFINANCE(C176, ""volume"", TODAY()-40, TODAY()), ""SELECT Col2 WHERE Col2 IS NOT "&amp;"NULL ORDER BY Col1 DESC LIMIT 20"", 0))
    )
  ), 
"""")"),"")</f>
        <v/>
      </c>
      <c r="K176" s="21" t="str">
        <f>IFERROR(__xludf.DUMMYFUNCTION("IFERROR(GOOGLEFINANCE(C176, ""changepct"") / 100, """")"),"")</f>
        <v/>
      </c>
      <c r="L176" s="21" t="str">
        <f>IFERROR(__xludf.DUMMYFUNCTION("IFERROR((GOOGLEFINANCE(C176, ""price"") / INDEX(GOOGLEFINANCE(C176, ""price"", TODAY()-7, TODAY()), 2, 2)) - 1, """")"),"")</f>
        <v/>
      </c>
      <c r="M176" s="21" t="str">
        <f>IFERROR(__xludf.DUMMYFUNCTION("IFERROR((GOOGLEFINANCE(C176, ""price"") / INDEX(GOOGLEFINANCE(C176, ""price"", EDATE(TODAY(), -1), TODAY()), 2, 2)) - 1, """")"),"")</f>
        <v/>
      </c>
      <c r="N176" s="21" t="str">
        <f>IFERROR(__xludf.DUMMYFUNCTION("IFERROR((GOOGLEFINANCE(C176, ""price"") / INDEX(GOOGLEFINANCE(C176, ""price"", EDATE(TODAY(), -3), TODAY()), 2, 2)) - 1, """")"),"")</f>
        <v/>
      </c>
      <c r="O176" s="21" t="str">
        <f>IFERROR(__xludf.DUMMYFUNCTION("IFERROR((GOOGLEFINANCE(C176, ""price"") / INDEX(GOOGLEFINANCE(C176, ""price"", EDATE(TODAY(), -6), TODAY()), 2, 2)) - 1, """")"),"")</f>
        <v/>
      </c>
      <c r="P176" s="21" t="str">
        <f>IFERROR(__xludf.DUMMYFUNCTION("IFERROR((GOOGLEFINANCE(C176, ""price"") / INDEX(GOOGLEFINANCE(C176, ""price"", EDATE(TODAY(), -12), TODAY()), 2, 2)) - 1, """")"),"")</f>
        <v/>
      </c>
      <c r="Q176" s="6" t="str">
        <f>IFERROR(__xludf.DUMMYFUNCTION("AVERAGE(QUERY(GOOGLEFINANCE(C176, ""price"", TODAY()-80, TODAY()), ""SELECT Col2 WHERE Col2 IS NOT NULL ORDER BY Col1 DESC LIMIT 50"", 0))"),"#N/A")</f>
        <v>#N/A</v>
      </c>
      <c r="R176" s="24" t="str">
        <f>IFERROR(__xludf.DUMMYFUNCTION("IFERROR(
  LET(
    data, QUERY(GOOGLEFINANCE(C176,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GOOGLEFINANCE(C176, ""price"")) * 100,
    IF(calc=0, G176, calc)
  ), 
G176)"),"#N/A")</f>
        <v>#N/A</v>
      </c>
      <c r="S176" s="8" t="s">
        <v>15</v>
      </c>
      <c r="T176" s="26" t="str">
        <f>IFERROR(__xludf.DUMMYFUNCTION("IFERROR(TRANSPOSE(QUERY(IFERROR(SORT(GOOGLEFINANCE(C176, ""price"", WORKDAY(TODAY(), -40), TODAY()), 1, FALSE)), ""select Col2 where Col2 is not null limit 22 label Col2 ''"", 0)), """")"),"")</f>
        <v/>
      </c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8"/>
      <c r="AO176" s="28"/>
      <c r="AP176" s="29"/>
      <c r="AQ176" s="29" t="str">
        <f t="shared" ref="AQ176:BL176" si="179">T176/T$2</f>
        <v>#N/A</v>
      </c>
      <c r="AR176" s="29" t="str">
        <f t="shared" si="179"/>
        <v>#DIV/0!</v>
      </c>
      <c r="AS176" s="29" t="str">
        <f t="shared" si="179"/>
        <v>#DIV/0!</v>
      </c>
      <c r="AT176" s="29" t="str">
        <f t="shared" si="179"/>
        <v>#DIV/0!</v>
      </c>
      <c r="AU176" s="29" t="str">
        <f t="shared" si="179"/>
        <v>#DIV/0!</v>
      </c>
      <c r="AV176" s="29" t="str">
        <f t="shared" si="179"/>
        <v>#DIV/0!</v>
      </c>
      <c r="AW176" s="29" t="str">
        <f t="shared" si="179"/>
        <v>#DIV/0!</v>
      </c>
      <c r="AX176" s="29" t="str">
        <f t="shared" si="179"/>
        <v>#DIV/0!</v>
      </c>
      <c r="AY176" s="29" t="str">
        <f t="shared" si="179"/>
        <v>#DIV/0!</v>
      </c>
      <c r="AZ176" s="29" t="str">
        <f t="shared" si="179"/>
        <v>#DIV/0!</v>
      </c>
      <c r="BA176" s="29" t="str">
        <f t="shared" si="179"/>
        <v>#DIV/0!</v>
      </c>
      <c r="BB176" s="29" t="str">
        <f t="shared" si="179"/>
        <v>#DIV/0!</v>
      </c>
      <c r="BC176" s="29" t="str">
        <f t="shared" si="179"/>
        <v>#DIV/0!</v>
      </c>
      <c r="BD176" s="29" t="str">
        <f t="shared" si="179"/>
        <v>#DIV/0!</v>
      </c>
      <c r="BE176" s="29" t="str">
        <f t="shared" si="179"/>
        <v>#DIV/0!</v>
      </c>
      <c r="BF176" s="29" t="str">
        <f t="shared" si="179"/>
        <v>#DIV/0!</v>
      </c>
      <c r="BG176" s="29" t="str">
        <f t="shared" si="179"/>
        <v>#DIV/0!</v>
      </c>
      <c r="BH176" s="29" t="str">
        <f t="shared" si="179"/>
        <v>#DIV/0!</v>
      </c>
      <c r="BI176" s="29" t="str">
        <f t="shared" si="179"/>
        <v>#DIV/0!</v>
      </c>
      <c r="BJ176" s="29" t="str">
        <f t="shared" si="179"/>
        <v>#DIV/0!</v>
      </c>
      <c r="BK176" s="29" t="str">
        <f t="shared" si="179"/>
        <v>#DIV/0!</v>
      </c>
      <c r="BL176" s="29" t="str">
        <f t="shared" si="179"/>
        <v>#DIV/0!</v>
      </c>
      <c r="BM176" s="29" t="str">
        <f t="shared" si="3"/>
        <v>#DIV/0!</v>
      </c>
    </row>
    <row r="177">
      <c r="A177" s="16" t="str">
        <f>IFERROR(__xludf.DUMMYFUNCTION("IFERROR(SPARKLINE(SORT(MAP(TRANSPOSE(AQ177:BL177), LAMBDA(val, IF(ISNUMBER(val), PERCENTRANK(AQ177:BL177, val)+0.01, 0))), SEQUENCE(COLUMNS(AQ177:BL177)), FALSE), {""charttype"",""column""; ""color"",""chartreuse""; ""ymin"", 0; ""ymax"", 1.01; ""highcolo"&amp;"r"", ""darkgreen""; ""lowcolor"", ""red""}), """")"),"")</f>
        <v/>
      </c>
      <c r="B177" s="17" t="str">
        <f t="shared" si="4"/>
        <v/>
      </c>
      <c r="C177" s="1" t="s">
        <v>780</v>
      </c>
      <c r="D177" s="30" t="str">
        <f>IFERROR(__xludf.DUMMYFUNCTION("IFERROR(GOOGLEFINANCE(C177, ""NAME""))"),"Yalla Group Ltd - ADR")</f>
        <v>Yalla Group Ltd - ADR</v>
      </c>
      <c r="E177" s="30" t="s">
        <v>48</v>
      </c>
      <c r="F177" s="33" t="str">
        <f>IFERROR(__xludf.DUMMYFUNCTION("( (GOOGLEFINANCE(C177, ""price"") - Q177) / Q177 ) / (R177 / 100)"),"Loading...")</f>
        <v>Loading...</v>
      </c>
      <c r="G177" s="20" t="str">
        <f>IFERROR(__xludf.DUMMYFUNCTION("AVERAGE(ARRAYFORMULA(100 * (QUERY(GOOGLEFINANCE(C177, ""high"", TODAY()-40, TODAY()), ""SELECT Col2 WHERE Col2 IS NOT NULL ORDER BY Col1 DESC LIMIT 20"", 0) / QUERY(GOOGLEFINANCE(C177, ""low"", TODAY()-40, TODAY()), ""SELECT Col2 WHERE Col2 IS NOT NULL OR"&amp;"DER BY Col1 DESC LIMIT 20"", 0) - 1)))"),"#N/A")</f>
        <v>#N/A</v>
      </c>
      <c r="H177" s="35" t="str">
        <f t="shared" si="6"/>
        <v/>
      </c>
      <c r="I177" s="36" t="str">
        <f t="shared" si="7"/>
        <v/>
      </c>
      <c r="J177" s="37" t="str">
        <f>IFERROR(__xludf.DUMMYFUNCTION("IFERROR(
  IF(C177="""",, 
    IFERROR(
      GOOGLEFINANCE(C177, ""price"") * GOOGLEFINANCE(C177, ""volumeavg""), 
      GOOGLEFINANCE(C177, ""price"") * AVERAGE(QUERY(GOOGLEFINANCE(C177, ""volume"", TODAY()-40, TODAY()), ""SELECT Col2 WHERE Col2 IS NOT "&amp;"NULL ORDER BY Col1 DESC LIMIT 20"", 0))
    )
  ), 
"""")"),"")</f>
        <v/>
      </c>
      <c r="K177" s="21" t="str">
        <f>IFERROR(__xludf.DUMMYFUNCTION("IFERROR(GOOGLEFINANCE(C177, ""changepct"") / 100, """")"),"")</f>
        <v/>
      </c>
      <c r="L177" s="21" t="str">
        <f>IFERROR(__xludf.DUMMYFUNCTION("IFERROR((GOOGLEFINANCE(C177, ""price"") / INDEX(GOOGLEFINANCE(C177, ""price"", TODAY()-7, TODAY()), 2, 2)) - 1, """")"),"")</f>
        <v/>
      </c>
      <c r="M177" s="21" t="str">
        <f>IFERROR(__xludf.DUMMYFUNCTION("IFERROR((GOOGLEFINANCE(C177, ""price"") / INDEX(GOOGLEFINANCE(C177, ""price"", EDATE(TODAY(), -1), TODAY()), 2, 2)) - 1, """")"),"")</f>
        <v/>
      </c>
      <c r="N177" s="21" t="str">
        <f>IFERROR(__xludf.DUMMYFUNCTION("IFERROR((GOOGLEFINANCE(C177, ""price"") / INDEX(GOOGLEFINANCE(C177, ""price"", EDATE(TODAY(), -3), TODAY()), 2, 2)) - 1, """")"),"")</f>
        <v/>
      </c>
      <c r="O177" s="21" t="str">
        <f>IFERROR(__xludf.DUMMYFUNCTION("IFERROR((GOOGLEFINANCE(C177, ""price"") / INDEX(GOOGLEFINANCE(C177, ""price"", EDATE(TODAY(), -6), TODAY()), 2, 2)) - 1, """")"),"")</f>
        <v/>
      </c>
      <c r="P177" s="21" t="str">
        <f>IFERROR(__xludf.DUMMYFUNCTION("IFERROR((GOOGLEFINANCE(C177, ""price"") / INDEX(GOOGLEFINANCE(C177, ""price"", EDATE(TODAY(), -12), TODAY()), 2, 2)) - 1, """")"),"")</f>
        <v/>
      </c>
      <c r="Q177" s="6" t="str">
        <f>IFERROR(__xludf.DUMMYFUNCTION("AVERAGE(QUERY(GOOGLEFINANCE(C177, ""price"", TODAY()-80, TODAY()), ""SELECT Col2 WHERE Col2 IS NOT NULL ORDER BY Col1 DESC LIMIT 50"", 0))"),"#N/A")</f>
        <v>#N/A</v>
      </c>
      <c r="R177" s="24" t="str">
        <f>IFERROR(__xludf.DUMMYFUNCTION("IFERROR(
  LET(
    data, QUERY(GOOGLEFINANCE(C177,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GOOGLEFINANCE(C177, ""price"")) * 100,
    IF(calc=0, G177, calc)
  ), 
G177)"),"#N/A")</f>
        <v>#N/A</v>
      </c>
      <c r="S177" s="8" t="s">
        <v>15</v>
      </c>
      <c r="T177" s="26" t="str">
        <f>IFERROR(__xludf.DUMMYFUNCTION("IFERROR(TRANSPOSE(QUERY(IFERROR(SORT(GOOGLEFINANCE(C177, ""price"", WORKDAY(TODAY(), -40), TODAY()), 1, FALSE)), ""select Col2 where Col2 is not null limit 22 label Col2 ''"", 0)), """")"),"")</f>
        <v/>
      </c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8"/>
      <c r="AO177" s="28"/>
      <c r="AP177" s="29"/>
      <c r="AQ177" s="29" t="str">
        <f t="shared" ref="AQ177:BL177" si="180">T177/T$2</f>
        <v>#N/A</v>
      </c>
      <c r="AR177" s="29" t="str">
        <f t="shared" si="180"/>
        <v>#DIV/0!</v>
      </c>
      <c r="AS177" s="29" t="str">
        <f t="shared" si="180"/>
        <v>#DIV/0!</v>
      </c>
      <c r="AT177" s="29" t="str">
        <f t="shared" si="180"/>
        <v>#DIV/0!</v>
      </c>
      <c r="AU177" s="29" t="str">
        <f t="shared" si="180"/>
        <v>#DIV/0!</v>
      </c>
      <c r="AV177" s="29" t="str">
        <f t="shared" si="180"/>
        <v>#DIV/0!</v>
      </c>
      <c r="AW177" s="29" t="str">
        <f t="shared" si="180"/>
        <v>#DIV/0!</v>
      </c>
      <c r="AX177" s="29" t="str">
        <f t="shared" si="180"/>
        <v>#DIV/0!</v>
      </c>
      <c r="AY177" s="29" t="str">
        <f t="shared" si="180"/>
        <v>#DIV/0!</v>
      </c>
      <c r="AZ177" s="29" t="str">
        <f t="shared" si="180"/>
        <v>#DIV/0!</v>
      </c>
      <c r="BA177" s="29" t="str">
        <f t="shared" si="180"/>
        <v>#DIV/0!</v>
      </c>
      <c r="BB177" s="29" t="str">
        <f t="shared" si="180"/>
        <v>#DIV/0!</v>
      </c>
      <c r="BC177" s="29" t="str">
        <f t="shared" si="180"/>
        <v>#DIV/0!</v>
      </c>
      <c r="BD177" s="29" t="str">
        <f t="shared" si="180"/>
        <v>#DIV/0!</v>
      </c>
      <c r="BE177" s="29" t="str">
        <f t="shared" si="180"/>
        <v>#DIV/0!</v>
      </c>
      <c r="BF177" s="29" t="str">
        <f t="shared" si="180"/>
        <v>#DIV/0!</v>
      </c>
      <c r="BG177" s="29" t="str">
        <f t="shared" si="180"/>
        <v>#DIV/0!</v>
      </c>
      <c r="BH177" s="29" t="str">
        <f t="shared" si="180"/>
        <v>#DIV/0!</v>
      </c>
      <c r="BI177" s="29" t="str">
        <f t="shared" si="180"/>
        <v>#DIV/0!</v>
      </c>
      <c r="BJ177" s="29" t="str">
        <f t="shared" si="180"/>
        <v>#DIV/0!</v>
      </c>
      <c r="BK177" s="29" t="str">
        <f t="shared" si="180"/>
        <v>#DIV/0!</v>
      </c>
      <c r="BL177" s="29" t="str">
        <f t="shared" si="180"/>
        <v>#DIV/0!</v>
      </c>
      <c r="BM177" s="29" t="str">
        <f t="shared" si="3"/>
        <v>#DIV/0!</v>
      </c>
    </row>
    <row r="178">
      <c r="A178" s="16" t="str">
        <f>IFERROR(__xludf.DUMMYFUNCTION("IFERROR(SPARKLINE(SORT(MAP(TRANSPOSE(AQ178:BL178), LAMBDA(val, IF(ISNUMBER(val), PERCENTRANK(AQ178:BL178, val)+0.01, 0))), SEQUENCE(COLUMNS(AQ178:BL178)), FALSE), {""charttype"",""column""; ""color"",""chartreuse""; ""ymin"", 0; ""ymax"", 1.01; ""highcolo"&amp;"r"", ""darkgreen""; ""lowcolor"", ""red""}), """")"),"")</f>
        <v/>
      </c>
      <c r="B178" s="17" t="str">
        <f t="shared" si="4"/>
        <v/>
      </c>
      <c r="C178" s="1" t="s">
        <v>784</v>
      </c>
      <c r="D178" s="30" t="str">
        <f>IFERROR(__xludf.DUMMYFUNCTION("IFERROR(GOOGLEFINANCE(C178, ""NAME""))"),"Karooooo Ltd")</f>
        <v>Karooooo Ltd</v>
      </c>
      <c r="E178" s="30" t="s">
        <v>48</v>
      </c>
      <c r="F178" s="33" t="str">
        <f>IFERROR(__xludf.DUMMYFUNCTION("( (GOOGLEFINANCE(C178, ""price"") - Q178) / Q178 ) / (R178 / 100)"),"Loading...")</f>
        <v>Loading...</v>
      </c>
      <c r="G178" s="20" t="str">
        <f>IFERROR(__xludf.DUMMYFUNCTION("AVERAGE(ARRAYFORMULA(100 * (QUERY(GOOGLEFINANCE(C178, ""high"", TODAY()-40, TODAY()), ""SELECT Col2 WHERE Col2 IS NOT NULL ORDER BY Col1 DESC LIMIT 20"", 0) / QUERY(GOOGLEFINANCE(C178, ""low"", TODAY()-40, TODAY()), ""SELECT Col2 WHERE Col2 IS NOT NULL OR"&amp;"DER BY Col1 DESC LIMIT 20"", 0) - 1)))"),"#N/A")</f>
        <v>#N/A</v>
      </c>
      <c r="H178" s="35" t="str">
        <f t="shared" si="6"/>
        <v/>
      </c>
      <c r="I178" s="36" t="str">
        <f t="shared" si="7"/>
        <v/>
      </c>
      <c r="J178" s="37" t="str">
        <f>IFERROR(__xludf.DUMMYFUNCTION("IFERROR(
  IF(C178="""",, 
    IFERROR(
      GOOGLEFINANCE(C178, ""price"") * GOOGLEFINANCE(C178, ""volumeavg""), 
      GOOGLEFINANCE(C178, ""price"") * AVERAGE(QUERY(GOOGLEFINANCE(C178, ""volume"", TODAY()-40, TODAY()), ""SELECT Col2 WHERE Col2 IS NOT "&amp;"NULL ORDER BY Col1 DESC LIMIT 20"", 0))
    )
  ), 
"""")"),"")</f>
        <v/>
      </c>
      <c r="K178" s="21" t="str">
        <f>IFERROR(__xludf.DUMMYFUNCTION("IFERROR(GOOGLEFINANCE(C178, ""changepct"") / 100, """")"),"")</f>
        <v/>
      </c>
      <c r="L178" s="21" t="str">
        <f>IFERROR(__xludf.DUMMYFUNCTION("IFERROR((GOOGLEFINANCE(C178, ""price"") / INDEX(GOOGLEFINANCE(C178, ""price"", TODAY()-7, TODAY()), 2, 2)) - 1, """")"),"")</f>
        <v/>
      </c>
      <c r="M178" s="21" t="str">
        <f>IFERROR(__xludf.DUMMYFUNCTION("IFERROR((GOOGLEFINANCE(C178, ""price"") / INDEX(GOOGLEFINANCE(C178, ""price"", EDATE(TODAY(), -1), TODAY()), 2, 2)) - 1, """")"),"")</f>
        <v/>
      </c>
      <c r="N178" s="21" t="str">
        <f>IFERROR(__xludf.DUMMYFUNCTION("IFERROR((GOOGLEFINANCE(C178, ""price"") / INDEX(GOOGLEFINANCE(C178, ""price"", EDATE(TODAY(), -3), TODAY()), 2, 2)) - 1, """")"),"")</f>
        <v/>
      </c>
      <c r="O178" s="21" t="str">
        <f>IFERROR(__xludf.DUMMYFUNCTION("IFERROR((GOOGLEFINANCE(C178, ""price"") / INDEX(GOOGLEFINANCE(C178, ""price"", EDATE(TODAY(), -6), TODAY()), 2, 2)) - 1, """")"),"")</f>
        <v/>
      </c>
      <c r="P178" s="21" t="str">
        <f>IFERROR(__xludf.DUMMYFUNCTION("IFERROR((GOOGLEFINANCE(C178, ""price"") / INDEX(GOOGLEFINANCE(C178, ""price"", EDATE(TODAY(), -12), TODAY()), 2, 2)) - 1, """")"),"")</f>
        <v/>
      </c>
      <c r="Q178" s="6" t="str">
        <f>IFERROR(__xludf.DUMMYFUNCTION("AVERAGE(QUERY(GOOGLEFINANCE(C178, ""price"", TODAY()-80, TODAY()), ""SELECT Col2 WHERE Col2 IS NOT NULL ORDER BY Col1 DESC LIMIT 50"", 0))"),"#N/A")</f>
        <v>#N/A</v>
      </c>
      <c r="R178" s="24" t="str">
        <f>IFERROR(__xludf.DUMMYFUNCTION("IFERROR(
  LET(
    data, QUERY(GOOGLEFINANCE(C178,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GOOGLEFINANCE(C178, ""price"")) * 100,
    IF(calc=0, G178, calc)
  ), 
G178)"),"#N/A")</f>
        <v>#N/A</v>
      </c>
      <c r="S178" s="8" t="s">
        <v>15</v>
      </c>
      <c r="T178" s="26" t="str">
        <f>IFERROR(__xludf.DUMMYFUNCTION("IFERROR(TRANSPOSE(QUERY(IFERROR(SORT(GOOGLEFINANCE(C178, ""price"", WORKDAY(TODAY(), -40), TODAY()), 1, FALSE)), ""select Col2 where Col2 is not null limit 22 label Col2 ''"", 0)), """")"),"")</f>
        <v/>
      </c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8"/>
      <c r="AO178" s="28"/>
      <c r="AP178" s="29"/>
      <c r="AQ178" s="29" t="str">
        <f t="shared" ref="AQ178:BL178" si="181">T178/T$2</f>
        <v>#N/A</v>
      </c>
      <c r="AR178" s="29" t="str">
        <f t="shared" si="181"/>
        <v>#DIV/0!</v>
      </c>
      <c r="AS178" s="29" t="str">
        <f t="shared" si="181"/>
        <v>#DIV/0!</v>
      </c>
      <c r="AT178" s="29" t="str">
        <f t="shared" si="181"/>
        <v>#DIV/0!</v>
      </c>
      <c r="AU178" s="29" t="str">
        <f t="shared" si="181"/>
        <v>#DIV/0!</v>
      </c>
      <c r="AV178" s="29" t="str">
        <f t="shared" si="181"/>
        <v>#DIV/0!</v>
      </c>
      <c r="AW178" s="29" t="str">
        <f t="shared" si="181"/>
        <v>#DIV/0!</v>
      </c>
      <c r="AX178" s="29" t="str">
        <f t="shared" si="181"/>
        <v>#DIV/0!</v>
      </c>
      <c r="AY178" s="29" t="str">
        <f t="shared" si="181"/>
        <v>#DIV/0!</v>
      </c>
      <c r="AZ178" s="29" t="str">
        <f t="shared" si="181"/>
        <v>#DIV/0!</v>
      </c>
      <c r="BA178" s="29" t="str">
        <f t="shared" si="181"/>
        <v>#DIV/0!</v>
      </c>
      <c r="BB178" s="29" t="str">
        <f t="shared" si="181"/>
        <v>#DIV/0!</v>
      </c>
      <c r="BC178" s="29" t="str">
        <f t="shared" si="181"/>
        <v>#DIV/0!</v>
      </c>
      <c r="BD178" s="29" t="str">
        <f t="shared" si="181"/>
        <v>#DIV/0!</v>
      </c>
      <c r="BE178" s="29" t="str">
        <f t="shared" si="181"/>
        <v>#DIV/0!</v>
      </c>
      <c r="BF178" s="29" t="str">
        <f t="shared" si="181"/>
        <v>#DIV/0!</v>
      </c>
      <c r="BG178" s="29" t="str">
        <f t="shared" si="181"/>
        <v>#DIV/0!</v>
      </c>
      <c r="BH178" s="29" t="str">
        <f t="shared" si="181"/>
        <v>#DIV/0!</v>
      </c>
      <c r="BI178" s="29" t="str">
        <f t="shared" si="181"/>
        <v>#DIV/0!</v>
      </c>
      <c r="BJ178" s="29" t="str">
        <f t="shared" si="181"/>
        <v>#DIV/0!</v>
      </c>
      <c r="BK178" s="29" t="str">
        <f t="shared" si="181"/>
        <v>#DIV/0!</v>
      </c>
      <c r="BL178" s="29" t="str">
        <f t="shared" si="181"/>
        <v>#DIV/0!</v>
      </c>
      <c r="BM178" s="29" t="str">
        <f t="shared" si="3"/>
        <v>#DIV/0!</v>
      </c>
    </row>
    <row r="179">
      <c r="A179" s="16" t="str">
        <f>IFERROR(__xludf.DUMMYFUNCTION("IFERROR(SPARKLINE(SORT(MAP(TRANSPOSE(AQ179:BL179), LAMBDA(val, IF(ISNUMBER(val), PERCENTRANK(AQ179:BL179, val)+0.01, 0))), SEQUENCE(COLUMNS(AQ179:BL179)), FALSE), {""charttype"",""column""; ""color"",""chartreuse""; ""ymin"", 0; ""ymax"", 1.01; ""highcolo"&amp;"r"", ""darkgreen""; ""lowcolor"", ""red""}), """")"),"")</f>
        <v/>
      </c>
      <c r="B179" s="17" t="str">
        <f t="shared" si="4"/>
        <v/>
      </c>
      <c r="C179" s="1" t="s">
        <v>786</v>
      </c>
      <c r="D179" s="30" t="str">
        <f>IFERROR(__xludf.DUMMYFUNCTION("IFERROR(GOOGLEFINANCE(C179, ""NAME""))"),"Repay Holdings Corp")</f>
        <v>Repay Holdings Corp</v>
      </c>
      <c r="E179" s="30" t="s">
        <v>58</v>
      </c>
      <c r="F179" s="33" t="str">
        <f>IFERROR(__xludf.DUMMYFUNCTION("( (GOOGLEFINANCE(C179, ""price"") - Q179) / Q179 ) / (R179 / 100)"),"Loading...")</f>
        <v>Loading...</v>
      </c>
      <c r="G179" s="20" t="str">
        <f>IFERROR(__xludf.DUMMYFUNCTION("AVERAGE(ARRAYFORMULA(100 * (QUERY(GOOGLEFINANCE(C179, ""high"", TODAY()-40, TODAY()), ""SELECT Col2 WHERE Col2 IS NOT NULL ORDER BY Col1 DESC LIMIT 20"", 0) / QUERY(GOOGLEFINANCE(C179, ""low"", TODAY()-40, TODAY()), ""SELECT Col2 WHERE Col2 IS NOT NULL OR"&amp;"DER BY Col1 DESC LIMIT 20"", 0) - 1)))"),"#N/A")</f>
        <v>#N/A</v>
      </c>
      <c r="H179" s="35" t="str">
        <f t="shared" si="6"/>
        <v/>
      </c>
      <c r="I179" s="36" t="str">
        <f t="shared" si="7"/>
        <v/>
      </c>
      <c r="J179" s="37" t="str">
        <f>IFERROR(__xludf.DUMMYFUNCTION("IFERROR(
  IF(C179="""",, 
    IFERROR(
      GOOGLEFINANCE(C179, ""price"") * GOOGLEFINANCE(C179, ""volumeavg""), 
      GOOGLEFINANCE(C179, ""price"") * AVERAGE(QUERY(GOOGLEFINANCE(C179, ""volume"", TODAY()-40, TODAY()), ""SELECT Col2 WHERE Col2 IS NOT "&amp;"NULL ORDER BY Col1 DESC LIMIT 20"", 0))
    )
  ), 
"""")"),"")</f>
        <v/>
      </c>
      <c r="K179" s="21" t="str">
        <f>IFERROR(__xludf.DUMMYFUNCTION("IFERROR(GOOGLEFINANCE(C179, ""changepct"") / 100, """")"),"")</f>
        <v/>
      </c>
      <c r="L179" s="21" t="str">
        <f>IFERROR(__xludf.DUMMYFUNCTION("IFERROR((GOOGLEFINANCE(C179, ""price"") / INDEX(GOOGLEFINANCE(C179, ""price"", TODAY()-7, TODAY()), 2, 2)) - 1, """")"),"")</f>
        <v/>
      </c>
      <c r="M179" s="21" t="str">
        <f>IFERROR(__xludf.DUMMYFUNCTION("IFERROR((GOOGLEFINANCE(C179, ""price"") / INDEX(GOOGLEFINANCE(C179, ""price"", EDATE(TODAY(), -1), TODAY()), 2, 2)) - 1, """")"),"")</f>
        <v/>
      </c>
      <c r="N179" s="21" t="str">
        <f>IFERROR(__xludf.DUMMYFUNCTION("IFERROR((GOOGLEFINANCE(C179, ""price"") / INDEX(GOOGLEFINANCE(C179, ""price"", EDATE(TODAY(), -3), TODAY()), 2, 2)) - 1, """")"),"")</f>
        <v/>
      </c>
      <c r="O179" s="21" t="str">
        <f>IFERROR(__xludf.DUMMYFUNCTION("IFERROR((GOOGLEFINANCE(C179, ""price"") / INDEX(GOOGLEFINANCE(C179, ""price"", EDATE(TODAY(), -6), TODAY()), 2, 2)) - 1, """")"),"")</f>
        <v/>
      </c>
      <c r="P179" s="21" t="str">
        <f>IFERROR(__xludf.DUMMYFUNCTION("IFERROR((GOOGLEFINANCE(C179, ""price"") / INDEX(GOOGLEFINANCE(C179, ""price"", EDATE(TODAY(), -12), TODAY()), 2, 2)) - 1, """")"),"")</f>
        <v/>
      </c>
      <c r="Q179" s="6" t="str">
        <f>IFERROR(__xludf.DUMMYFUNCTION("AVERAGE(QUERY(GOOGLEFINANCE(C179, ""price"", TODAY()-80, TODAY()), ""SELECT Col2 WHERE Col2 IS NOT NULL ORDER BY Col1 DESC LIMIT 50"", 0))"),"#N/A")</f>
        <v>#N/A</v>
      </c>
      <c r="R179" s="24" t="str">
        <f>IFERROR(__xludf.DUMMYFUNCTION("IFERROR(
  LET(
    data, QUERY(GOOGLEFINANCE(C179,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GOOGLEFINANCE(C179, ""price"")) * 100,
    IF(calc=0, G179, calc)
  ), 
G179)"),"#N/A")</f>
        <v>#N/A</v>
      </c>
      <c r="S179" s="8" t="s">
        <v>15</v>
      </c>
      <c r="T179" s="26" t="str">
        <f>IFERROR(__xludf.DUMMYFUNCTION("IFERROR(TRANSPOSE(QUERY(IFERROR(SORT(GOOGLEFINANCE(C179, ""price"", WORKDAY(TODAY(), -40), TODAY()), 1, FALSE)), ""select Col2 where Col2 is not null limit 22 label Col2 ''"", 0)), """")"),"")</f>
        <v/>
      </c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8"/>
      <c r="AO179" s="28"/>
      <c r="AP179" s="29"/>
      <c r="AQ179" s="29" t="str">
        <f t="shared" ref="AQ179:BL179" si="182">T179/T$2</f>
        <v>#N/A</v>
      </c>
      <c r="AR179" s="29" t="str">
        <f t="shared" si="182"/>
        <v>#DIV/0!</v>
      </c>
      <c r="AS179" s="29" t="str">
        <f t="shared" si="182"/>
        <v>#DIV/0!</v>
      </c>
      <c r="AT179" s="29" t="str">
        <f t="shared" si="182"/>
        <v>#DIV/0!</v>
      </c>
      <c r="AU179" s="29" t="str">
        <f t="shared" si="182"/>
        <v>#DIV/0!</v>
      </c>
      <c r="AV179" s="29" t="str">
        <f t="shared" si="182"/>
        <v>#DIV/0!</v>
      </c>
      <c r="AW179" s="29" t="str">
        <f t="shared" si="182"/>
        <v>#DIV/0!</v>
      </c>
      <c r="AX179" s="29" t="str">
        <f t="shared" si="182"/>
        <v>#DIV/0!</v>
      </c>
      <c r="AY179" s="29" t="str">
        <f t="shared" si="182"/>
        <v>#DIV/0!</v>
      </c>
      <c r="AZ179" s="29" t="str">
        <f t="shared" si="182"/>
        <v>#DIV/0!</v>
      </c>
      <c r="BA179" s="29" t="str">
        <f t="shared" si="182"/>
        <v>#DIV/0!</v>
      </c>
      <c r="BB179" s="29" t="str">
        <f t="shared" si="182"/>
        <v>#DIV/0!</v>
      </c>
      <c r="BC179" s="29" t="str">
        <f t="shared" si="182"/>
        <v>#DIV/0!</v>
      </c>
      <c r="BD179" s="29" t="str">
        <f t="shared" si="182"/>
        <v>#DIV/0!</v>
      </c>
      <c r="BE179" s="29" t="str">
        <f t="shared" si="182"/>
        <v>#DIV/0!</v>
      </c>
      <c r="BF179" s="29" t="str">
        <f t="shared" si="182"/>
        <v>#DIV/0!</v>
      </c>
      <c r="BG179" s="29" t="str">
        <f t="shared" si="182"/>
        <v>#DIV/0!</v>
      </c>
      <c r="BH179" s="29" t="str">
        <f t="shared" si="182"/>
        <v>#DIV/0!</v>
      </c>
      <c r="BI179" s="29" t="str">
        <f t="shared" si="182"/>
        <v>#DIV/0!</v>
      </c>
      <c r="BJ179" s="29" t="str">
        <f t="shared" si="182"/>
        <v>#DIV/0!</v>
      </c>
      <c r="BK179" s="29" t="str">
        <f t="shared" si="182"/>
        <v>#DIV/0!</v>
      </c>
      <c r="BL179" s="29" t="str">
        <f t="shared" si="182"/>
        <v>#DIV/0!</v>
      </c>
      <c r="BM179" s="29" t="str">
        <f t="shared" si="3"/>
        <v>#DIV/0!</v>
      </c>
    </row>
    <row r="180">
      <c r="A180" s="16" t="str">
        <f>IFERROR(__xludf.DUMMYFUNCTION("IFERROR(SPARKLINE(SORT(MAP(TRANSPOSE(AQ180:BL180), LAMBDA(val, IF(ISNUMBER(val), PERCENTRANK(AQ180:BL180, val)+0.01, 0))), SEQUENCE(COLUMNS(AQ180:BL180)), FALSE), {""charttype"",""column""; ""color"",""chartreuse""; ""ymin"", 0; ""ymax"", 1.01; ""highcolo"&amp;"r"", ""darkgreen""; ""lowcolor"", ""red""}), """")"),"")</f>
        <v/>
      </c>
      <c r="B180" s="17" t="str">
        <f t="shared" si="4"/>
        <v/>
      </c>
      <c r="C180" s="1" t="s">
        <v>790</v>
      </c>
      <c r="D180" s="30" t="str">
        <f>IFERROR(__xludf.DUMMYFUNCTION("IFERROR(GOOGLEFINANCE(C180, ""NAME""))"),"SentinelOne Inc")</f>
        <v>SentinelOne Inc</v>
      </c>
      <c r="E180" s="30" t="s">
        <v>58</v>
      </c>
      <c r="F180" s="33" t="str">
        <f>IFERROR(__xludf.DUMMYFUNCTION("( (GOOGLEFINANCE(C180, ""price"") - Q180) / Q180 ) / (R180 / 100)"),"Loading...")</f>
        <v>Loading...</v>
      </c>
      <c r="G180" s="20" t="str">
        <f>IFERROR(__xludf.DUMMYFUNCTION("AVERAGE(ARRAYFORMULA(100 * (QUERY(GOOGLEFINANCE(C180, ""high"", TODAY()-40, TODAY()), ""SELECT Col2 WHERE Col2 IS NOT NULL ORDER BY Col1 DESC LIMIT 20"", 0) / QUERY(GOOGLEFINANCE(C180, ""low"", TODAY()-40, TODAY()), ""SELECT Col2 WHERE Col2 IS NOT NULL OR"&amp;"DER BY Col1 DESC LIMIT 20"", 0) - 1)))"),"#N/A")</f>
        <v>#N/A</v>
      </c>
      <c r="H180" s="35" t="str">
        <f t="shared" si="6"/>
        <v/>
      </c>
      <c r="I180" s="36" t="str">
        <f t="shared" si="7"/>
        <v/>
      </c>
      <c r="J180" s="37" t="str">
        <f>IFERROR(__xludf.DUMMYFUNCTION("IFERROR(
  IF(C180="""",, 
    IFERROR(
      GOOGLEFINANCE(C180, ""price"") * GOOGLEFINANCE(C180, ""volumeavg""), 
      GOOGLEFINANCE(C180, ""price"") * AVERAGE(QUERY(GOOGLEFINANCE(C180, ""volume"", TODAY()-40, TODAY()), ""SELECT Col2 WHERE Col2 IS NOT "&amp;"NULL ORDER BY Col1 DESC LIMIT 20"", 0))
    )
  ), 
"""")"),"")</f>
        <v/>
      </c>
      <c r="K180" s="21" t="str">
        <f>IFERROR(__xludf.DUMMYFUNCTION("IFERROR(GOOGLEFINANCE(C180, ""changepct"") / 100, """")"),"")</f>
        <v/>
      </c>
      <c r="L180" s="21" t="str">
        <f>IFERROR(__xludf.DUMMYFUNCTION("IFERROR((GOOGLEFINANCE(C180, ""price"") / INDEX(GOOGLEFINANCE(C180, ""price"", TODAY()-7, TODAY()), 2, 2)) - 1, """")"),"")</f>
        <v/>
      </c>
      <c r="M180" s="21" t="str">
        <f>IFERROR(__xludf.DUMMYFUNCTION("IFERROR((GOOGLEFINANCE(C180, ""price"") / INDEX(GOOGLEFINANCE(C180, ""price"", EDATE(TODAY(), -1), TODAY()), 2, 2)) - 1, """")"),"")</f>
        <v/>
      </c>
      <c r="N180" s="21" t="str">
        <f>IFERROR(__xludf.DUMMYFUNCTION("IFERROR((GOOGLEFINANCE(C180, ""price"") / INDEX(GOOGLEFINANCE(C180, ""price"", EDATE(TODAY(), -3), TODAY()), 2, 2)) - 1, """")"),"")</f>
        <v/>
      </c>
      <c r="O180" s="21" t="str">
        <f>IFERROR(__xludf.DUMMYFUNCTION("IFERROR((GOOGLEFINANCE(C180, ""price"") / INDEX(GOOGLEFINANCE(C180, ""price"", EDATE(TODAY(), -6), TODAY()), 2, 2)) - 1, """")"),"")</f>
        <v/>
      </c>
      <c r="P180" s="21" t="str">
        <f>IFERROR(__xludf.DUMMYFUNCTION("IFERROR((GOOGLEFINANCE(C180, ""price"") / INDEX(GOOGLEFINANCE(C180, ""price"", EDATE(TODAY(), -12), TODAY()), 2, 2)) - 1, """")"),"")</f>
        <v/>
      </c>
      <c r="Q180" s="6" t="str">
        <f>IFERROR(__xludf.DUMMYFUNCTION("AVERAGE(QUERY(GOOGLEFINANCE(C180, ""price"", TODAY()-80, TODAY()), ""SELECT Col2 WHERE Col2 IS NOT NULL ORDER BY Col1 DESC LIMIT 50"", 0))"),"#N/A")</f>
        <v>#N/A</v>
      </c>
      <c r="R180" s="24" t="str">
        <f>IFERROR(__xludf.DUMMYFUNCTION("IFERROR(
  LET(
    data, QUERY(GOOGLEFINANCE(C180,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GOOGLEFINANCE(C180, ""price"")) * 100,
    IF(calc=0, G180, calc)
  ), 
G180)"),"#N/A")</f>
        <v>#N/A</v>
      </c>
      <c r="S180" s="8" t="s">
        <v>15</v>
      </c>
      <c r="T180" s="26" t="str">
        <f>IFERROR(__xludf.DUMMYFUNCTION("IFERROR(TRANSPOSE(QUERY(IFERROR(SORT(GOOGLEFINANCE(C180, ""price"", WORKDAY(TODAY(), -40), TODAY()), 1, FALSE)), ""select Col2 where Col2 is not null limit 22 label Col2 ''"", 0)), """")"),"")</f>
        <v/>
      </c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8"/>
      <c r="AO180" s="28"/>
      <c r="AP180" s="29"/>
      <c r="AQ180" s="29" t="str">
        <f t="shared" ref="AQ180:BL180" si="183">T180/T$2</f>
        <v>#N/A</v>
      </c>
      <c r="AR180" s="29" t="str">
        <f t="shared" si="183"/>
        <v>#DIV/0!</v>
      </c>
      <c r="AS180" s="29" t="str">
        <f t="shared" si="183"/>
        <v>#DIV/0!</v>
      </c>
      <c r="AT180" s="29" t="str">
        <f t="shared" si="183"/>
        <v>#DIV/0!</v>
      </c>
      <c r="AU180" s="29" t="str">
        <f t="shared" si="183"/>
        <v>#DIV/0!</v>
      </c>
      <c r="AV180" s="29" t="str">
        <f t="shared" si="183"/>
        <v>#DIV/0!</v>
      </c>
      <c r="AW180" s="29" t="str">
        <f t="shared" si="183"/>
        <v>#DIV/0!</v>
      </c>
      <c r="AX180" s="29" t="str">
        <f t="shared" si="183"/>
        <v>#DIV/0!</v>
      </c>
      <c r="AY180" s="29" t="str">
        <f t="shared" si="183"/>
        <v>#DIV/0!</v>
      </c>
      <c r="AZ180" s="29" t="str">
        <f t="shared" si="183"/>
        <v>#DIV/0!</v>
      </c>
      <c r="BA180" s="29" t="str">
        <f t="shared" si="183"/>
        <v>#DIV/0!</v>
      </c>
      <c r="BB180" s="29" t="str">
        <f t="shared" si="183"/>
        <v>#DIV/0!</v>
      </c>
      <c r="BC180" s="29" t="str">
        <f t="shared" si="183"/>
        <v>#DIV/0!</v>
      </c>
      <c r="BD180" s="29" t="str">
        <f t="shared" si="183"/>
        <v>#DIV/0!</v>
      </c>
      <c r="BE180" s="29" t="str">
        <f t="shared" si="183"/>
        <v>#DIV/0!</v>
      </c>
      <c r="BF180" s="29" t="str">
        <f t="shared" si="183"/>
        <v>#DIV/0!</v>
      </c>
      <c r="BG180" s="29" t="str">
        <f t="shared" si="183"/>
        <v>#DIV/0!</v>
      </c>
      <c r="BH180" s="29" t="str">
        <f t="shared" si="183"/>
        <v>#DIV/0!</v>
      </c>
      <c r="BI180" s="29" t="str">
        <f t="shared" si="183"/>
        <v>#DIV/0!</v>
      </c>
      <c r="BJ180" s="29" t="str">
        <f t="shared" si="183"/>
        <v>#DIV/0!</v>
      </c>
      <c r="BK180" s="29" t="str">
        <f t="shared" si="183"/>
        <v>#DIV/0!</v>
      </c>
      <c r="BL180" s="29" t="str">
        <f t="shared" si="183"/>
        <v>#DIV/0!</v>
      </c>
      <c r="BM180" s="29" t="str">
        <f t="shared" si="3"/>
        <v>#DIV/0!</v>
      </c>
    </row>
    <row r="181">
      <c r="A181" s="16" t="str">
        <f>IFERROR(__xludf.DUMMYFUNCTION("IFERROR(SPARKLINE(SORT(MAP(TRANSPOSE(AQ181:BL181), LAMBDA(val, IF(ISNUMBER(val), PERCENTRANK(AQ181:BL181, val)+0.01, 0))), SEQUENCE(COLUMNS(AQ181:BL181)), FALSE), {""charttype"",""column""; ""color"",""chartreuse""; ""ymin"", 0; ""ymax"", 1.01; ""highcolo"&amp;"r"", ""darkgreen""; ""lowcolor"", ""red""}), """")"),"")</f>
        <v/>
      </c>
      <c r="B181" s="17" t="str">
        <f t="shared" si="4"/>
        <v/>
      </c>
      <c r="C181" s="1" t="s">
        <v>793</v>
      </c>
      <c r="D181" s="30" t="str">
        <f>IFERROR(__xludf.DUMMYFUNCTION("IFERROR(GOOGLEFINANCE(C181, ""NAME""))"),"ACI Worldwide Inc")</f>
        <v>ACI Worldwide Inc</v>
      </c>
      <c r="E181" s="30" t="s">
        <v>58</v>
      </c>
      <c r="F181" s="33" t="str">
        <f>IFERROR(__xludf.DUMMYFUNCTION("( (GOOGLEFINANCE(C181, ""price"") - Q181) / Q181 ) / (R181 / 100)"),"Loading...")</f>
        <v>Loading...</v>
      </c>
      <c r="G181" s="20" t="str">
        <f>IFERROR(__xludf.DUMMYFUNCTION("AVERAGE(ARRAYFORMULA(100 * (QUERY(GOOGLEFINANCE(C181, ""high"", TODAY()-40, TODAY()), ""SELECT Col2 WHERE Col2 IS NOT NULL ORDER BY Col1 DESC LIMIT 20"", 0) / QUERY(GOOGLEFINANCE(C181, ""low"", TODAY()-40, TODAY()), ""SELECT Col2 WHERE Col2 IS NOT NULL OR"&amp;"DER BY Col1 DESC LIMIT 20"", 0) - 1)))"),"#N/A")</f>
        <v>#N/A</v>
      </c>
      <c r="H181" s="35" t="str">
        <f t="shared" si="6"/>
        <v/>
      </c>
      <c r="I181" s="36" t="str">
        <f t="shared" si="7"/>
        <v/>
      </c>
      <c r="J181" s="37" t="str">
        <f>IFERROR(__xludf.DUMMYFUNCTION("IFERROR(
  IF(C181="""",, 
    IFERROR(
      GOOGLEFINANCE(C181, ""price"") * GOOGLEFINANCE(C181, ""volumeavg""), 
      GOOGLEFINANCE(C181, ""price"") * AVERAGE(QUERY(GOOGLEFINANCE(C181, ""volume"", TODAY()-40, TODAY()), ""SELECT Col2 WHERE Col2 IS NOT "&amp;"NULL ORDER BY Col1 DESC LIMIT 20"", 0))
    )
  ), 
"""")"),"")</f>
        <v/>
      </c>
      <c r="K181" s="21" t="str">
        <f>IFERROR(__xludf.DUMMYFUNCTION("IFERROR(GOOGLEFINANCE(C181, ""changepct"") / 100, """")"),"")</f>
        <v/>
      </c>
      <c r="L181" s="21" t="str">
        <f>IFERROR(__xludf.DUMMYFUNCTION("IFERROR((GOOGLEFINANCE(C181, ""price"") / INDEX(GOOGLEFINANCE(C181, ""price"", TODAY()-7, TODAY()), 2, 2)) - 1, """")"),"")</f>
        <v/>
      </c>
      <c r="M181" s="21" t="str">
        <f>IFERROR(__xludf.DUMMYFUNCTION("IFERROR((GOOGLEFINANCE(C181, ""price"") / INDEX(GOOGLEFINANCE(C181, ""price"", EDATE(TODAY(), -1), TODAY()), 2, 2)) - 1, """")"),"")</f>
        <v/>
      </c>
      <c r="N181" s="21" t="str">
        <f>IFERROR(__xludf.DUMMYFUNCTION("IFERROR((GOOGLEFINANCE(C181, ""price"") / INDEX(GOOGLEFINANCE(C181, ""price"", EDATE(TODAY(), -3), TODAY()), 2, 2)) - 1, """")"),"")</f>
        <v/>
      </c>
      <c r="O181" s="21" t="str">
        <f>IFERROR(__xludf.DUMMYFUNCTION("IFERROR((GOOGLEFINANCE(C181, ""price"") / INDEX(GOOGLEFINANCE(C181, ""price"", EDATE(TODAY(), -6), TODAY()), 2, 2)) - 1, """")"),"")</f>
        <v/>
      </c>
      <c r="P181" s="21" t="str">
        <f>IFERROR(__xludf.DUMMYFUNCTION("IFERROR((GOOGLEFINANCE(C181, ""price"") / INDEX(GOOGLEFINANCE(C181, ""price"", EDATE(TODAY(), -12), TODAY()), 2, 2)) - 1, """")"),"")</f>
        <v/>
      </c>
      <c r="Q181" s="6" t="str">
        <f>IFERROR(__xludf.DUMMYFUNCTION("AVERAGE(QUERY(GOOGLEFINANCE(C181, ""price"", TODAY()-80, TODAY()), ""SELECT Col2 WHERE Col2 IS NOT NULL ORDER BY Col1 DESC LIMIT 50"", 0))"),"#N/A")</f>
        <v>#N/A</v>
      </c>
      <c r="R181" s="24" t="str">
        <f>IFERROR(__xludf.DUMMYFUNCTION("IFERROR(
  LET(
    data, QUERY(GOOGLEFINANCE(C181,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GOOGLEFINANCE(C181, ""price"")) * 100,
    IF(calc=0, G181, calc)
  ), 
G181)"),"#N/A")</f>
        <v>#N/A</v>
      </c>
      <c r="S181" s="8" t="s">
        <v>15</v>
      </c>
      <c r="T181" s="26" t="str">
        <f>IFERROR(__xludf.DUMMYFUNCTION("IFERROR(TRANSPOSE(QUERY(IFERROR(SORT(GOOGLEFINANCE(C181, ""price"", WORKDAY(TODAY(), -40), TODAY()), 1, FALSE)), ""select Col2 where Col2 is not null limit 22 label Col2 ''"", 0)), """")"),"")</f>
        <v/>
      </c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8"/>
      <c r="AO181" s="28"/>
      <c r="AP181" s="29"/>
      <c r="AQ181" s="29" t="str">
        <f t="shared" ref="AQ181:BL181" si="184">T181/T$2</f>
        <v>#N/A</v>
      </c>
      <c r="AR181" s="29" t="str">
        <f t="shared" si="184"/>
        <v>#DIV/0!</v>
      </c>
      <c r="AS181" s="29" t="str">
        <f t="shared" si="184"/>
        <v>#DIV/0!</v>
      </c>
      <c r="AT181" s="29" t="str">
        <f t="shared" si="184"/>
        <v>#DIV/0!</v>
      </c>
      <c r="AU181" s="29" t="str">
        <f t="shared" si="184"/>
        <v>#DIV/0!</v>
      </c>
      <c r="AV181" s="29" t="str">
        <f t="shared" si="184"/>
        <v>#DIV/0!</v>
      </c>
      <c r="AW181" s="29" t="str">
        <f t="shared" si="184"/>
        <v>#DIV/0!</v>
      </c>
      <c r="AX181" s="29" t="str">
        <f t="shared" si="184"/>
        <v>#DIV/0!</v>
      </c>
      <c r="AY181" s="29" t="str">
        <f t="shared" si="184"/>
        <v>#DIV/0!</v>
      </c>
      <c r="AZ181" s="29" t="str">
        <f t="shared" si="184"/>
        <v>#DIV/0!</v>
      </c>
      <c r="BA181" s="29" t="str">
        <f t="shared" si="184"/>
        <v>#DIV/0!</v>
      </c>
      <c r="BB181" s="29" t="str">
        <f t="shared" si="184"/>
        <v>#DIV/0!</v>
      </c>
      <c r="BC181" s="29" t="str">
        <f t="shared" si="184"/>
        <v>#DIV/0!</v>
      </c>
      <c r="BD181" s="29" t="str">
        <f t="shared" si="184"/>
        <v>#DIV/0!</v>
      </c>
      <c r="BE181" s="29" t="str">
        <f t="shared" si="184"/>
        <v>#DIV/0!</v>
      </c>
      <c r="BF181" s="29" t="str">
        <f t="shared" si="184"/>
        <v>#DIV/0!</v>
      </c>
      <c r="BG181" s="29" t="str">
        <f t="shared" si="184"/>
        <v>#DIV/0!</v>
      </c>
      <c r="BH181" s="29" t="str">
        <f t="shared" si="184"/>
        <v>#DIV/0!</v>
      </c>
      <c r="BI181" s="29" t="str">
        <f t="shared" si="184"/>
        <v>#DIV/0!</v>
      </c>
      <c r="BJ181" s="29" t="str">
        <f t="shared" si="184"/>
        <v>#DIV/0!</v>
      </c>
      <c r="BK181" s="29" t="str">
        <f t="shared" si="184"/>
        <v>#DIV/0!</v>
      </c>
      <c r="BL181" s="29" t="str">
        <f t="shared" si="184"/>
        <v>#DIV/0!</v>
      </c>
      <c r="BM181" s="29" t="str">
        <f t="shared" si="3"/>
        <v>#DIV/0!</v>
      </c>
    </row>
    <row r="182">
      <c r="A182" s="16" t="str">
        <f>IFERROR(__xludf.DUMMYFUNCTION("IFERROR(SPARKLINE(SORT(MAP(TRANSPOSE(AQ182:BL182), LAMBDA(val, IF(ISNUMBER(val), PERCENTRANK(AQ182:BL182, val)+0.01, 0))), SEQUENCE(COLUMNS(AQ182:BL182)), FALSE), {""charttype"",""column""; ""color"",""chartreuse""; ""ymin"", 0; ""ymax"", 1.01; ""highcolo"&amp;"r"", ""darkgreen""; ""lowcolor"", ""red""}), """")"),"")</f>
        <v/>
      </c>
      <c r="B182" s="17" t="str">
        <f t="shared" si="4"/>
        <v/>
      </c>
      <c r="C182" s="1" t="s">
        <v>797</v>
      </c>
      <c r="D182" s="30" t="str">
        <f>IFERROR(__xludf.DUMMYFUNCTION("IFERROR(GOOGLEFINANCE(C182, ""NAME""))"),"PubMatic Inc")</f>
        <v>PubMatic Inc</v>
      </c>
      <c r="E182" s="30" t="s">
        <v>48</v>
      </c>
      <c r="F182" s="33" t="str">
        <f>IFERROR(__xludf.DUMMYFUNCTION("( (GOOGLEFINANCE(C182, ""price"") - Q182) / Q182 ) / (R182 / 100)"),"Loading...")</f>
        <v>Loading...</v>
      </c>
      <c r="G182" s="20" t="str">
        <f>IFERROR(__xludf.DUMMYFUNCTION("AVERAGE(ARRAYFORMULA(100 * (QUERY(GOOGLEFINANCE(C182, ""high"", TODAY()-40, TODAY()), ""SELECT Col2 WHERE Col2 IS NOT NULL ORDER BY Col1 DESC LIMIT 20"", 0) / QUERY(GOOGLEFINANCE(C182, ""low"", TODAY()-40, TODAY()), ""SELECT Col2 WHERE Col2 IS NOT NULL OR"&amp;"DER BY Col1 DESC LIMIT 20"", 0) - 1)))"),"#N/A")</f>
        <v>#N/A</v>
      </c>
      <c r="H182" s="35" t="str">
        <f t="shared" si="6"/>
        <v/>
      </c>
      <c r="I182" s="36" t="str">
        <f t="shared" si="7"/>
        <v/>
      </c>
      <c r="J182" s="37" t="str">
        <f>IFERROR(__xludf.DUMMYFUNCTION("IFERROR(
  IF(C182="""",, 
    IFERROR(
      GOOGLEFINANCE(C182, ""price"") * GOOGLEFINANCE(C182, ""volumeavg""), 
      GOOGLEFINANCE(C182, ""price"") * AVERAGE(QUERY(GOOGLEFINANCE(C182, ""volume"", TODAY()-40, TODAY()), ""SELECT Col2 WHERE Col2 IS NOT "&amp;"NULL ORDER BY Col1 DESC LIMIT 20"", 0))
    )
  ), 
"""")"),"")</f>
        <v/>
      </c>
      <c r="K182" s="21" t="str">
        <f>IFERROR(__xludf.DUMMYFUNCTION("IFERROR(GOOGLEFINANCE(C182, ""changepct"") / 100, """")"),"")</f>
        <v/>
      </c>
      <c r="L182" s="21" t="str">
        <f>IFERROR(__xludf.DUMMYFUNCTION("IFERROR((GOOGLEFINANCE(C182, ""price"") / INDEX(GOOGLEFINANCE(C182, ""price"", TODAY()-7, TODAY()), 2, 2)) - 1, """")"),"")</f>
        <v/>
      </c>
      <c r="M182" s="21" t="str">
        <f>IFERROR(__xludf.DUMMYFUNCTION("IFERROR((GOOGLEFINANCE(C182, ""price"") / INDEX(GOOGLEFINANCE(C182, ""price"", EDATE(TODAY(), -1), TODAY()), 2, 2)) - 1, """")"),"")</f>
        <v/>
      </c>
      <c r="N182" s="21" t="str">
        <f>IFERROR(__xludf.DUMMYFUNCTION("IFERROR((GOOGLEFINANCE(C182, ""price"") / INDEX(GOOGLEFINANCE(C182, ""price"", EDATE(TODAY(), -3), TODAY()), 2, 2)) - 1, """")"),"")</f>
        <v/>
      </c>
      <c r="O182" s="21" t="str">
        <f>IFERROR(__xludf.DUMMYFUNCTION("IFERROR((GOOGLEFINANCE(C182, ""price"") / INDEX(GOOGLEFINANCE(C182, ""price"", EDATE(TODAY(), -6), TODAY()), 2, 2)) - 1, """")"),"")</f>
        <v/>
      </c>
      <c r="P182" s="21" t="str">
        <f>IFERROR(__xludf.DUMMYFUNCTION("IFERROR((GOOGLEFINANCE(C182, ""price"") / INDEX(GOOGLEFINANCE(C182, ""price"", EDATE(TODAY(), -12), TODAY()), 2, 2)) - 1, """")"),"")</f>
        <v/>
      </c>
      <c r="Q182" s="6" t="str">
        <f>IFERROR(__xludf.DUMMYFUNCTION("AVERAGE(QUERY(GOOGLEFINANCE(C182, ""price"", TODAY()-80, TODAY()), ""SELECT Col2 WHERE Col2 IS NOT NULL ORDER BY Col1 DESC LIMIT 50"", 0))"),"#N/A")</f>
        <v>#N/A</v>
      </c>
      <c r="R182" s="24" t="str">
        <f>IFERROR(__xludf.DUMMYFUNCTION("IFERROR(
  LET(
    data, QUERY(GOOGLEFINANCE(C182,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GOOGLEFINANCE(C182, ""price"")) * 100,
    IF(calc=0, G182, calc)
  ), 
G182)"),"#N/A")</f>
        <v>#N/A</v>
      </c>
      <c r="S182" s="8" t="s">
        <v>15</v>
      </c>
      <c r="T182" s="26" t="str">
        <f>IFERROR(__xludf.DUMMYFUNCTION("IFERROR(TRANSPOSE(QUERY(IFERROR(SORT(GOOGLEFINANCE(C182, ""price"", WORKDAY(TODAY(), -40), TODAY()), 1, FALSE)), ""select Col2 where Col2 is not null limit 22 label Col2 ''"", 0)), """")"),"")</f>
        <v/>
      </c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8"/>
      <c r="AO182" s="28"/>
      <c r="AP182" s="29"/>
      <c r="AQ182" s="29" t="str">
        <f t="shared" ref="AQ182:BL182" si="185">T182/T$2</f>
        <v>#N/A</v>
      </c>
      <c r="AR182" s="29" t="str">
        <f t="shared" si="185"/>
        <v>#DIV/0!</v>
      </c>
      <c r="AS182" s="29" t="str">
        <f t="shared" si="185"/>
        <v>#DIV/0!</v>
      </c>
      <c r="AT182" s="29" t="str">
        <f t="shared" si="185"/>
        <v>#DIV/0!</v>
      </c>
      <c r="AU182" s="29" t="str">
        <f t="shared" si="185"/>
        <v>#DIV/0!</v>
      </c>
      <c r="AV182" s="29" t="str">
        <f t="shared" si="185"/>
        <v>#DIV/0!</v>
      </c>
      <c r="AW182" s="29" t="str">
        <f t="shared" si="185"/>
        <v>#DIV/0!</v>
      </c>
      <c r="AX182" s="29" t="str">
        <f t="shared" si="185"/>
        <v>#DIV/0!</v>
      </c>
      <c r="AY182" s="29" t="str">
        <f t="shared" si="185"/>
        <v>#DIV/0!</v>
      </c>
      <c r="AZ182" s="29" t="str">
        <f t="shared" si="185"/>
        <v>#DIV/0!</v>
      </c>
      <c r="BA182" s="29" t="str">
        <f t="shared" si="185"/>
        <v>#DIV/0!</v>
      </c>
      <c r="BB182" s="29" t="str">
        <f t="shared" si="185"/>
        <v>#DIV/0!</v>
      </c>
      <c r="BC182" s="29" t="str">
        <f t="shared" si="185"/>
        <v>#DIV/0!</v>
      </c>
      <c r="BD182" s="29" t="str">
        <f t="shared" si="185"/>
        <v>#DIV/0!</v>
      </c>
      <c r="BE182" s="29" t="str">
        <f t="shared" si="185"/>
        <v>#DIV/0!</v>
      </c>
      <c r="BF182" s="29" t="str">
        <f t="shared" si="185"/>
        <v>#DIV/0!</v>
      </c>
      <c r="BG182" s="29" t="str">
        <f t="shared" si="185"/>
        <v>#DIV/0!</v>
      </c>
      <c r="BH182" s="29" t="str">
        <f t="shared" si="185"/>
        <v>#DIV/0!</v>
      </c>
      <c r="BI182" s="29" t="str">
        <f t="shared" si="185"/>
        <v>#DIV/0!</v>
      </c>
      <c r="BJ182" s="29" t="str">
        <f t="shared" si="185"/>
        <v>#DIV/0!</v>
      </c>
      <c r="BK182" s="29" t="str">
        <f t="shared" si="185"/>
        <v>#DIV/0!</v>
      </c>
      <c r="BL182" s="29" t="str">
        <f t="shared" si="185"/>
        <v>#DIV/0!</v>
      </c>
      <c r="BM182" s="29" t="str">
        <f t="shared" si="3"/>
        <v>#DIV/0!</v>
      </c>
    </row>
    <row r="183">
      <c r="A183" s="16" t="str">
        <f>IFERROR(__xludf.DUMMYFUNCTION("IFERROR(SPARKLINE(SORT(MAP(TRANSPOSE(AQ183:BL183), LAMBDA(val, IF(ISNUMBER(val), PERCENTRANK(AQ183:BL183, val)+0.01, 0))), SEQUENCE(COLUMNS(AQ183:BL183)), FALSE), {""charttype"",""column""; ""color"",""chartreuse""; ""ymin"", 0; ""ymax"", 1.01; ""highcolo"&amp;"r"", ""darkgreen""; ""lowcolor"", ""red""}), """")"),"")</f>
        <v/>
      </c>
      <c r="B183" s="17" t="str">
        <f t="shared" si="4"/>
        <v/>
      </c>
      <c r="C183" s="1" t="s">
        <v>801</v>
      </c>
      <c r="D183" s="30" t="str">
        <f>IFERROR(__xludf.DUMMYFUNCTION("IFERROR(GOOGLEFINANCE(C183, ""NAME""))"),"Calix Inc")</f>
        <v>Calix Inc</v>
      </c>
      <c r="E183" s="30" t="s">
        <v>58</v>
      </c>
      <c r="F183" s="33" t="str">
        <f>IFERROR(__xludf.DUMMYFUNCTION("( (GOOGLEFINANCE(C183, ""price"") - Q183) / Q183 ) / (R183 / 100)"),"Loading...")</f>
        <v>Loading...</v>
      </c>
      <c r="G183" s="20" t="str">
        <f>IFERROR(__xludf.DUMMYFUNCTION("AVERAGE(ARRAYFORMULA(100 * (QUERY(GOOGLEFINANCE(C183, ""high"", TODAY()-40, TODAY()), ""SELECT Col2 WHERE Col2 IS NOT NULL ORDER BY Col1 DESC LIMIT 20"", 0) / QUERY(GOOGLEFINANCE(C183, ""low"", TODAY()-40, TODAY()), ""SELECT Col2 WHERE Col2 IS NOT NULL OR"&amp;"DER BY Col1 DESC LIMIT 20"", 0) - 1)))"),"#N/A")</f>
        <v>#N/A</v>
      </c>
      <c r="H183" s="35" t="str">
        <f t="shared" si="6"/>
        <v/>
      </c>
      <c r="I183" s="36" t="str">
        <f t="shared" si="7"/>
        <v/>
      </c>
      <c r="J183" s="37" t="str">
        <f>IFERROR(__xludf.DUMMYFUNCTION("IFERROR(
  IF(C183="""",, 
    IFERROR(
      GOOGLEFINANCE(C183, ""price"") * GOOGLEFINANCE(C183, ""volumeavg""), 
      GOOGLEFINANCE(C183, ""price"") * AVERAGE(QUERY(GOOGLEFINANCE(C183, ""volume"", TODAY()-40, TODAY()), ""SELECT Col2 WHERE Col2 IS NOT "&amp;"NULL ORDER BY Col1 DESC LIMIT 20"", 0))
    )
  ), 
"""")"),"")</f>
        <v/>
      </c>
      <c r="K183" s="21" t="str">
        <f>IFERROR(__xludf.DUMMYFUNCTION("IFERROR(GOOGLEFINANCE(C183, ""changepct"") / 100, """")"),"")</f>
        <v/>
      </c>
      <c r="L183" s="21" t="str">
        <f>IFERROR(__xludf.DUMMYFUNCTION("IFERROR((GOOGLEFINANCE(C183, ""price"") / INDEX(GOOGLEFINANCE(C183, ""price"", TODAY()-7, TODAY()), 2, 2)) - 1, """")"),"")</f>
        <v/>
      </c>
      <c r="M183" s="21" t="str">
        <f>IFERROR(__xludf.DUMMYFUNCTION("IFERROR((GOOGLEFINANCE(C183, ""price"") / INDEX(GOOGLEFINANCE(C183, ""price"", EDATE(TODAY(), -1), TODAY()), 2, 2)) - 1, """")"),"")</f>
        <v/>
      </c>
      <c r="N183" s="21" t="str">
        <f>IFERROR(__xludf.DUMMYFUNCTION("IFERROR((GOOGLEFINANCE(C183, ""price"") / INDEX(GOOGLEFINANCE(C183, ""price"", EDATE(TODAY(), -3), TODAY()), 2, 2)) - 1, """")"),"")</f>
        <v/>
      </c>
      <c r="O183" s="21" t="str">
        <f>IFERROR(__xludf.DUMMYFUNCTION("IFERROR((GOOGLEFINANCE(C183, ""price"") / INDEX(GOOGLEFINANCE(C183, ""price"", EDATE(TODAY(), -6), TODAY()), 2, 2)) - 1, """")"),"")</f>
        <v/>
      </c>
      <c r="P183" s="21" t="str">
        <f>IFERROR(__xludf.DUMMYFUNCTION("IFERROR((GOOGLEFINANCE(C183, ""price"") / INDEX(GOOGLEFINANCE(C183, ""price"", EDATE(TODAY(), -12), TODAY()), 2, 2)) - 1, """")"),"")</f>
        <v/>
      </c>
      <c r="Q183" s="6" t="str">
        <f>IFERROR(__xludf.DUMMYFUNCTION("AVERAGE(QUERY(GOOGLEFINANCE(C183, ""price"", TODAY()-80, TODAY()), ""SELECT Col2 WHERE Col2 IS NOT NULL ORDER BY Col1 DESC LIMIT 50"", 0))"),"#N/A")</f>
        <v>#N/A</v>
      </c>
      <c r="R183" s="24" t="str">
        <f>IFERROR(__xludf.DUMMYFUNCTION("IFERROR(
  LET(
    data, QUERY(GOOGLEFINANCE(C183,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GOOGLEFINANCE(C183, ""price"")) * 100,
    IF(calc=0, G183, calc)
  ), 
G183)"),"#N/A")</f>
        <v>#N/A</v>
      </c>
      <c r="S183" s="8" t="s">
        <v>15</v>
      </c>
      <c r="T183" s="26" t="str">
        <f>IFERROR(__xludf.DUMMYFUNCTION("IFERROR(TRANSPOSE(QUERY(IFERROR(SORT(GOOGLEFINANCE(C183, ""price"", WORKDAY(TODAY(), -40), TODAY()), 1, FALSE)), ""select Col2 where Col2 is not null limit 22 label Col2 ''"", 0)), """")"),"")</f>
        <v/>
      </c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8"/>
      <c r="AO183" s="28"/>
      <c r="AP183" s="29"/>
      <c r="AQ183" s="29" t="str">
        <f t="shared" ref="AQ183:BL183" si="186">T183/T$2</f>
        <v>#N/A</v>
      </c>
      <c r="AR183" s="29" t="str">
        <f t="shared" si="186"/>
        <v>#DIV/0!</v>
      </c>
      <c r="AS183" s="29" t="str">
        <f t="shared" si="186"/>
        <v>#DIV/0!</v>
      </c>
      <c r="AT183" s="29" t="str">
        <f t="shared" si="186"/>
        <v>#DIV/0!</v>
      </c>
      <c r="AU183" s="29" t="str">
        <f t="shared" si="186"/>
        <v>#DIV/0!</v>
      </c>
      <c r="AV183" s="29" t="str">
        <f t="shared" si="186"/>
        <v>#DIV/0!</v>
      </c>
      <c r="AW183" s="29" t="str">
        <f t="shared" si="186"/>
        <v>#DIV/0!</v>
      </c>
      <c r="AX183" s="29" t="str">
        <f t="shared" si="186"/>
        <v>#DIV/0!</v>
      </c>
      <c r="AY183" s="29" t="str">
        <f t="shared" si="186"/>
        <v>#DIV/0!</v>
      </c>
      <c r="AZ183" s="29" t="str">
        <f t="shared" si="186"/>
        <v>#DIV/0!</v>
      </c>
      <c r="BA183" s="29" t="str">
        <f t="shared" si="186"/>
        <v>#DIV/0!</v>
      </c>
      <c r="BB183" s="29" t="str">
        <f t="shared" si="186"/>
        <v>#DIV/0!</v>
      </c>
      <c r="BC183" s="29" t="str">
        <f t="shared" si="186"/>
        <v>#DIV/0!</v>
      </c>
      <c r="BD183" s="29" t="str">
        <f t="shared" si="186"/>
        <v>#DIV/0!</v>
      </c>
      <c r="BE183" s="29" t="str">
        <f t="shared" si="186"/>
        <v>#DIV/0!</v>
      </c>
      <c r="BF183" s="29" t="str">
        <f t="shared" si="186"/>
        <v>#DIV/0!</v>
      </c>
      <c r="BG183" s="29" t="str">
        <f t="shared" si="186"/>
        <v>#DIV/0!</v>
      </c>
      <c r="BH183" s="29" t="str">
        <f t="shared" si="186"/>
        <v>#DIV/0!</v>
      </c>
      <c r="BI183" s="29" t="str">
        <f t="shared" si="186"/>
        <v>#DIV/0!</v>
      </c>
      <c r="BJ183" s="29" t="str">
        <f t="shared" si="186"/>
        <v>#DIV/0!</v>
      </c>
      <c r="BK183" s="29" t="str">
        <f t="shared" si="186"/>
        <v>#DIV/0!</v>
      </c>
      <c r="BL183" s="29" t="str">
        <f t="shared" si="186"/>
        <v>#DIV/0!</v>
      </c>
      <c r="BM183" s="29" t="str">
        <f t="shared" si="3"/>
        <v>#DIV/0!</v>
      </c>
    </row>
    <row r="184">
      <c r="A184" s="16" t="str">
        <f>IFERROR(__xludf.DUMMYFUNCTION("IFERROR(SPARKLINE(SORT(MAP(TRANSPOSE(AQ184:BL184), LAMBDA(val, IF(ISNUMBER(val), PERCENTRANK(AQ184:BL184, val)+0.01, 0))), SEQUENCE(COLUMNS(AQ184:BL184)), FALSE), {""charttype"",""column""; ""color"",""chartreuse""; ""ymin"", 0; ""ymax"", 1.01; ""highcolo"&amp;"r"", ""darkgreen""; ""lowcolor"", ""red""}), """")"),"")</f>
        <v/>
      </c>
      <c r="B184" s="17" t="str">
        <f t="shared" si="4"/>
        <v/>
      </c>
      <c r="C184" s="1" t="s">
        <v>806</v>
      </c>
      <c r="D184" s="30" t="str">
        <f>IFERROR(__xludf.DUMMYFUNCTION("IFERROR(GOOGLEFINANCE(C184, ""NAME""))"),"BILL Holdings Inc")</f>
        <v>BILL Holdings Inc</v>
      </c>
      <c r="E184" s="30" t="s">
        <v>48</v>
      </c>
      <c r="F184" s="33" t="str">
        <f>IFERROR(__xludf.DUMMYFUNCTION("( (GOOGLEFINANCE(C184, ""price"") - Q184) / Q184 ) / (R184 / 100)"),"Loading...")</f>
        <v>Loading...</v>
      </c>
      <c r="G184" s="20" t="str">
        <f>IFERROR(__xludf.DUMMYFUNCTION("AVERAGE(ARRAYFORMULA(100 * (QUERY(GOOGLEFINANCE(C184, ""high"", TODAY()-40, TODAY()), ""SELECT Col2 WHERE Col2 IS NOT NULL ORDER BY Col1 DESC LIMIT 20"", 0) / QUERY(GOOGLEFINANCE(C184, ""low"", TODAY()-40, TODAY()), ""SELECT Col2 WHERE Col2 IS NOT NULL OR"&amp;"DER BY Col1 DESC LIMIT 20"", 0) - 1)))"),"#N/A")</f>
        <v>#N/A</v>
      </c>
      <c r="H184" s="35" t="str">
        <f t="shared" si="6"/>
        <v/>
      </c>
      <c r="I184" s="36" t="str">
        <f t="shared" si="7"/>
        <v/>
      </c>
      <c r="J184" s="37" t="str">
        <f>IFERROR(__xludf.DUMMYFUNCTION("IFERROR(
  IF(C184="""",, 
    IFERROR(
      GOOGLEFINANCE(C184, ""price"") * GOOGLEFINANCE(C184, ""volumeavg""), 
      GOOGLEFINANCE(C184, ""price"") * AVERAGE(QUERY(GOOGLEFINANCE(C184, ""volume"", TODAY()-40, TODAY()), ""SELECT Col2 WHERE Col2 IS NOT "&amp;"NULL ORDER BY Col1 DESC LIMIT 20"", 0))
    )
  ), 
"""")"),"")</f>
        <v/>
      </c>
      <c r="K184" s="21" t="str">
        <f>IFERROR(__xludf.DUMMYFUNCTION("IFERROR(GOOGLEFINANCE(C184, ""changepct"") / 100, """")"),"")</f>
        <v/>
      </c>
      <c r="L184" s="21" t="str">
        <f>IFERROR(__xludf.DUMMYFUNCTION("IFERROR((GOOGLEFINANCE(C184, ""price"") / INDEX(GOOGLEFINANCE(C184, ""price"", TODAY()-7, TODAY()), 2, 2)) - 1, """")"),"")</f>
        <v/>
      </c>
      <c r="M184" s="21" t="str">
        <f>IFERROR(__xludf.DUMMYFUNCTION("IFERROR((GOOGLEFINANCE(C184, ""price"") / INDEX(GOOGLEFINANCE(C184, ""price"", EDATE(TODAY(), -1), TODAY()), 2, 2)) - 1, """")"),"")</f>
        <v/>
      </c>
      <c r="N184" s="21" t="str">
        <f>IFERROR(__xludf.DUMMYFUNCTION("IFERROR((GOOGLEFINANCE(C184, ""price"") / INDEX(GOOGLEFINANCE(C184, ""price"", EDATE(TODAY(), -3), TODAY()), 2, 2)) - 1, """")"),"")</f>
        <v/>
      </c>
      <c r="O184" s="21" t="str">
        <f>IFERROR(__xludf.DUMMYFUNCTION("IFERROR((GOOGLEFINANCE(C184, ""price"") / INDEX(GOOGLEFINANCE(C184, ""price"", EDATE(TODAY(), -6), TODAY()), 2, 2)) - 1, """")"),"")</f>
        <v/>
      </c>
      <c r="P184" s="21" t="str">
        <f>IFERROR(__xludf.DUMMYFUNCTION("IFERROR((GOOGLEFINANCE(C184, ""price"") / INDEX(GOOGLEFINANCE(C184, ""price"", EDATE(TODAY(), -12), TODAY()), 2, 2)) - 1, """")"),"")</f>
        <v/>
      </c>
      <c r="Q184" s="6" t="str">
        <f>IFERROR(__xludf.DUMMYFUNCTION("AVERAGE(QUERY(GOOGLEFINANCE(C184, ""price"", TODAY()-80, TODAY()), ""SELECT Col2 WHERE Col2 IS NOT NULL ORDER BY Col1 DESC LIMIT 50"", 0))"),"#N/A")</f>
        <v>#N/A</v>
      </c>
      <c r="R184" s="24" t="str">
        <f>IFERROR(__xludf.DUMMYFUNCTION("IFERROR(
  LET(
    data, QUERY(GOOGLEFINANCE(C184,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GOOGLEFINANCE(C184, ""price"")) * 100,
    IF(calc=0, G184, calc)
  ), 
G184)"),"#N/A")</f>
        <v>#N/A</v>
      </c>
      <c r="S184" s="8" t="s">
        <v>15</v>
      </c>
      <c r="T184" s="26" t="str">
        <f>IFERROR(__xludf.DUMMYFUNCTION("IFERROR(TRANSPOSE(QUERY(IFERROR(SORT(GOOGLEFINANCE(C184, ""price"", WORKDAY(TODAY(), -40), TODAY()), 1, FALSE)), ""select Col2 where Col2 is not null limit 22 label Col2 ''"", 0)), """")"),"")</f>
        <v/>
      </c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8"/>
      <c r="AO184" s="28"/>
      <c r="AP184" s="29"/>
      <c r="AQ184" s="29" t="str">
        <f t="shared" ref="AQ184:BL184" si="187">T184/T$2</f>
        <v>#N/A</v>
      </c>
      <c r="AR184" s="29" t="str">
        <f t="shared" si="187"/>
        <v>#DIV/0!</v>
      </c>
      <c r="AS184" s="29" t="str">
        <f t="shared" si="187"/>
        <v>#DIV/0!</v>
      </c>
      <c r="AT184" s="29" t="str">
        <f t="shared" si="187"/>
        <v>#DIV/0!</v>
      </c>
      <c r="AU184" s="29" t="str">
        <f t="shared" si="187"/>
        <v>#DIV/0!</v>
      </c>
      <c r="AV184" s="29" t="str">
        <f t="shared" si="187"/>
        <v>#DIV/0!</v>
      </c>
      <c r="AW184" s="29" t="str">
        <f t="shared" si="187"/>
        <v>#DIV/0!</v>
      </c>
      <c r="AX184" s="29" t="str">
        <f t="shared" si="187"/>
        <v>#DIV/0!</v>
      </c>
      <c r="AY184" s="29" t="str">
        <f t="shared" si="187"/>
        <v>#DIV/0!</v>
      </c>
      <c r="AZ184" s="29" t="str">
        <f t="shared" si="187"/>
        <v>#DIV/0!</v>
      </c>
      <c r="BA184" s="29" t="str">
        <f t="shared" si="187"/>
        <v>#DIV/0!</v>
      </c>
      <c r="BB184" s="29" t="str">
        <f t="shared" si="187"/>
        <v>#DIV/0!</v>
      </c>
      <c r="BC184" s="29" t="str">
        <f t="shared" si="187"/>
        <v>#DIV/0!</v>
      </c>
      <c r="BD184" s="29" t="str">
        <f t="shared" si="187"/>
        <v>#DIV/0!</v>
      </c>
      <c r="BE184" s="29" t="str">
        <f t="shared" si="187"/>
        <v>#DIV/0!</v>
      </c>
      <c r="BF184" s="29" t="str">
        <f t="shared" si="187"/>
        <v>#DIV/0!</v>
      </c>
      <c r="BG184" s="29" t="str">
        <f t="shared" si="187"/>
        <v>#DIV/0!</v>
      </c>
      <c r="BH184" s="29" t="str">
        <f t="shared" si="187"/>
        <v>#DIV/0!</v>
      </c>
      <c r="BI184" s="29" t="str">
        <f t="shared" si="187"/>
        <v>#DIV/0!</v>
      </c>
      <c r="BJ184" s="29" t="str">
        <f t="shared" si="187"/>
        <v>#DIV/0!</v>
      </c>
      <c r="BK184" s="29" t="str">
        <f t="shared" si="187"/>
        <v>#DIV/0!</v>
      </c>
      <c r="BL184" s="29" t="str">
        <f t="shared" si="187"/>
        <v>#DIV/0!</v>
      </c>
      <c r="BM184" s="29" t="str">
        <f t="shared" si="3"/>
        <v>#DIV/0!</v>
      </c>
    </row>
    <row r="185">
      <c r="A185" s="16" t="str">
        <f>IFERROR(__xludf.DUMMYFUNCTION("IFERROR(SPARKLINE(SORT(MAP(TRANSPOSE(AQ185:BL185), LAMBDA(val, IF(ISNUMBER(val), PERCENTRANK(AQ185:BL185, val)+0.01, 0))), SEQUENCE(COLUMNS(AQ185:BL185)), FALSE), {""charttype"",""column""; ""color"",""chartreuse""; ""ymin"", 0; ""ymax"", 1.01; ""highcolo"&amp;"r"", ""darkgreen""; ""lowcolor"", ""red""}), """")"),"")</f>
        <v/>
      </c>
      <c r="B185" s="17" t="str">
        <f t="shared" si="4"/>
        <v/>
      </c>
      <c r="C185" s="1" t="s">
        <v>810</v>
      </c>
      <c r="D185" s="30" t="str">
        <f>IFERROR(__xludf.DUMMYFUNCTION("IFERROR(GOOGLEFINANCE(C185, ""NAME""))"),"Snowflake Inc")</f>
        <v>Snowflake Inc</v>
      </c>
      <c r="E185" s="30" t="s">
        <v>48</v>
      </c>
      <c r="F185" s="33" t="str">
        <f>IFERROR(__xludf.DUMMYFUNCTION("( (GOOGLEFINANCE(C185, ""price"") - Q185) / Q185 ) / (R185 / 100)"),"Loading...")</f>
        <v>Loading...</v>
      </c>
      <c r="G185" s="20" t="str">
        <f>IFERROR(__xludf.DUMMYFUNCTION("AVERAGE(ARRAYFORMULA(100 * (QUERY(GOOGLEFINANCE(C185, ""high"", TODAY()-40, TODAY()), ""SELECT Col2 WHERE Col2 IS NOT NULL ORDER BY Col1 DESC LIMIT 20"", 0) / QUERY(GOOGLEFINANCE(C185, ""low"", TODAY()-40, TODAY()), ""SELECT Col2 WHERE Col2 IS NOT NULL OR"&amp;"DER BY Col1 DESC LIMIT 20"", 0) - 1)))"),"#N/A")</f>
        <v>#N/A</v>
      </c>
      <c r="H185" s="35" t="str">
        <f t="shared" si="6"/>
        <v/>
      </c>
      <c r="I185" s="36" t="str">
        <f t="shared" si="7"/>
        <v/>
      </c>
      <c r="J185" s="37" t="str">
        <f>IFERROR(__xludf.DUMMYFUNCTION("IFERROR(
  IF(C185="""",, 
    IFERROR(
      GOOGLEFINANCE(C185, ""price"") * GOOGLEFINANCE(C185, ""volumeavg""), 
      GOOGLEFINANCE(C185, ""price"") * AVERAGE(QUERY(GOOGLEFINANCE(C185, ""volume"", TODAY()-40, TODAY()), ""SELECT Col2 WHERE Col2 IS NOT "&amp;"NULL ORDER BY Col1 DESC LIMIT 20"", 0))
    )
  ), 
"""")"),"")</f>
        <v/>
      </c>
      <c r="K185" s="21" t="str">
        <f>IFERROR(__xludf.DUMMYFUNCTION("IFERROR(GOOGLEFINANCE(C185, ""changepct"") / 100, """")"),"")</f>
        <v/>
      </c>
      <c r="L185" s="21" t="str">
        <f>IFERROR(__xludf.DUMMYFUNCTION("IFERROR((GOOGLEFINANCE(C185, ""price"") / INDEX(GOOGLEFINANCE(C185, ""price"", TODAY()-7, TODAY()), 2, 2)) - 1, """")"),"")</f>
        <v/>
      </c>
      <c r="M185" s="21" t="str">
        <f>IFERROR(__xludf.DUMMYFUNCTION("IFERROR((GOOGLEFINANCE(C185, ""price"") / INDEX(GOOGLEFINANCE(C185, ""price"", EDATE(TODAY(), -1), TODAY()), 2, 2)) - 1, """")"),"")</f>
        <v/>
      </c>
      <c r="N185" s="21" t="str">
        <f>IFERROR(__xludf.DUMMYFUNCTION("IFERROR((GOOGLEFINANCE(C185, ""price"") / INDEX(GOOGLEFINANCE(C185, ""price"", EDATE(TODAY(), -3), TODAY()), 2, 2)) - 1, """")"),"")</f>
        <v/>
      </c>
      <c r="O185" s="21" t="str">
        <f>IFERROR(__xludf.DUMMYFUNCTION("IFERROR((GOOGLEFINANCE(C185, ""price"") / INDEX(GOOGLEFINANCE(C185, ""price"", EDATE(TODAY(), -6), TODAY()), 2, 2)) - 1, """")"),"")</f>
        <v/>
      </c>
      <c r="P185" s="21" t="str">
        <f>IFERROR(__xludf.DUMMYFUNCTION("IFERROR((GOOGLEFINANCE(C185, ""price"") / INDEX(GOOGLEFINANCE(C185, ""price"", EDATE(TODAY(), -12), TODAY()), 2, 2)) - 1, """")"),"")</f>
        <v/>
      </c>
      <c r="Q185" s="6" t="str">
        <f>IFERROR(__xludf.DUMMYFUNCTION("AVERAGE(QUERY(GOOGLEFINANCE(C185, ""price"", TODAY()-80, TODAY()), ""SELECT Col2 WHERE Col2 IS NOT NULL ORDER BY Col1 DESC LIMIT 50"", 0))"),"#N/A")</f>
        <v>#N/A</v>
      </c>
      <c r="R185" s="24" t="str">
        <f>IFERROR(__xludf.DUMMYFUNCTION("IFERROR(
  LET(
    data, QUERY(GOOGLEFINANCE(C185,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GOOGLEFINANCE(C185, ""price"")) * 100,
    IF(calc=0, G185, calc)
  ), 
G185)"),"#N/A")</f>
        <v>#N/A</v>
      </c>
      <c r="S185" s="8" t="s">
        <v>15</v>
      </c>
      <c r="T185" s="26" t="str">
        <f>IFERROR(__xludf.DUMMYFUNCTION("IFERROR(TRANSPOSE(QUERY(IFERROR(SORT(GOOGLEFINANCE(C185, ""price"", WORKDAY(TODAY(), -40), TODAY()), 1, FALSE)), ""select Col2 where Col2 is not null limit 22 label Col2 ''"", 0)), """")"),"")</f>
        <v/>
      </c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8"/>
      <c r="AO185" s="28"/>
      <c r="AP185" s="29"/>
      <c r="AQ185" s="29" t="str">
        <f t="shared" ref="AQ185:BL185" si="188">T185/T$2</f>
        <v>#N/A</v>
      </c>
      <c r="AR185" s="29" t="str">
        <f t="shared" si="188"/>
        <v>#DIV/0!</v>
      </c>
      <c r="AS185" s="29" t="str">
        <f t="shared" si="188"/>
        <v>#DIV/0!</v>
      </c>
      <c r="AT185" s="29" t="str">
        <f t="shared" si="188"/>
        <v>#DIV/0!</v>
      </c>
      <c r="AU185" s="29" t="str">
        <f t="shared" si="188"/>
        <v>#DIV/0!</v>
      </c>
      <c r="AV185" s="29" t="str">
        <f t="shared" si="188"/>
        <v>#DIV/0!</v>
      </c>
      <c r="AW185" s="29" t="str">
        <f t="shared" si="188"/>
        <v>#DIV/0!</v>
      </c>
      <c r="AX185" s="29" t="str">
        <f t="shared" si="188"/>
        <v>#DIV/0!</v>
      </c>
      <c r="AY185" s="29" t="str">
        <f t="shared" si="188"/>
        <v>#DIV/0!</v>
      </c>
      <c r="AZ185" s="29" t="str">
        <f t="shared" si="188"/>
        <v>#DIV/0!</v>
      </c>
      <c r="BA185" s="29" t="str">
        <f t="shared" si="188"/>
        <v>#DIV/0!</v>
      </c>
      <c r="BB185" s="29" t="str">
        <f t="shared" si="188"/>
        <v>#DIV/0!</v>
      </c>
      <c r="BC185" s="29" t="str">
        <f t="shared" si="188"/>
        <v>#DIV/0!</v>
      </c>
      <c r="BD185" s="29" t="str">
        <f t="shared" si="188"/>
        <v>#DIV/0!</v>
      </c>
      <c r="BE185" s="29" t="str">
        <f t="shared" si="188"/>
        <v>#DIV/0!</v>
      </c>
      <c r="BF185" s="29" t="str">
        <f t="shared" si="188"/>
        <v>#DIV/0!</v>
      </c>
      <c r="BG185" s="29" t="str">
        <f t="shared" si="188"/>
        <v>#DIV/0!</v>
      </c>
      <c r="BH185" s="29" t="str">
        <f t="shared" si="188"/>
        <v>#DIV/0!</v>
      </c>
      <c r="BI185" s="29" t="str">
        <f t="shared" si="188"/>
        <v>#DIV/0!</v>
      </c>
      <c r="BJ185" s="29" t="str">
        <f t="shared" si="188"/>
        <v>#DIV/0!</v>
      </c>
      <c r="BK185" s="29" t="str">
        <f t="shared" si="188"/>
        <v>#DIV/0!</v>
      </c>
      <c r="BL185" s="29" t="str">
        <f t="shared" si="188"/>
        <v>#DIV/0!</v>
      </c>
      <c r="BM185" s="29" t="str">
        <f t="shared" si="3"/>
        <v>#DIV/0!</v>
      </c>
    </row>
    <row r="186">
      <c r="A186" s="16" t="str">
        <f>IFERROR(__xludf.DUMMYFUNCTION("IFERROR(SPARKLINE(SORT(MAP(TRANSPOSE(AQ186:BL186), LAMBDA(val, IF(ISNUMBER(val), PERCENTRANK(AQ186:BL186, val)+0.01, 0))), SEQUENCE(COLUMNS(AQ186:BL186)), FALSE), {""charttype"",""column""; ""color"",""chartreuse""; ""ymin"", 0; ""ymax"", 1.01; ""highcolo"&amp;"r"", ""darkgreen""; ""lowcolor"", ""red""}), """")"),"")</f>
        <v/>
      </c>
      <c r="B186" s="17" t="str">
        <f t="shared" si="4"/>
        <v/>
      </c>
      <c r="C186" s="1" t="s">
        <v>813</v>
      </c>
      <c r="D186" s="30" t="str">
        <f>IFERROR(__xludf.DUMMYFUNCTION("IFERROR(GOOGLEFINANCE(C186, ""NAME""))"),"Zebra Technologies Corp")</f>
        <v>Zebra Technologies Corp</v>
      </c>
      <c r="E186" s="30" t="s">
        <v>716</v>
      </c>
      <c r="F186" s="33" t="str">
        <f>IFERROR(__xludf.DUMMYFUNCTION("( (GOOGLEFINANCE(C186, ""price"") - Q186) / Q186 ) / (R186 / 100)"),"Loading...")</f>
        <v>Loading...</v>
      </c>
      <c r="G186" s="20" t="str">
        <f>IFERROR(__xludf.DUMMYFUNCTION("AVERAGE(ARRAYFORMULA(100 * (QUERY(GOOGLEFINANCE(C186, ""high"", TODAY()-40, TODAY()), ""SELECT Col2 WHERE Col2 IS NOT NULL ORDER BY Col1 DESC LIMIT 20"", 0) / QUERY(GOOGLEFINANCE(C186, ""low"", TODAY()-40, TODAY()), ""SELECT Col2 WHERE Col2 IS NOT NULL OR"&amp;"DER BY Col1 DESC LIMIT 20"", 0) - 1)))"),"#N/A")</f>
        <v>#N/A</v>
      </c>
      <c r="H186" s="35" t="str">
        <f t="shared" si="6"/>
        <v/>
      </c>
      <c r="I186" s="36" t="str">
        <f t="shared" si="7"/>
        <v/>
      </c>
      <c r="J186" s="37" t="str">
        <f>IFERROR(__xludf.DUMMYFUNCTION("IFERROR(
  IF(C186="""",, 
    IFERROR(
      GOOGLEFINANCE(C186, ""price"") * GOOGLEFINANCE(C186, ""volumeavg""), 
      GOOGLEFINANCE(C186, ""price"") * AVERAGE(QUERY(GOOGLEFINANCE(C186, ""volume"", TODAY()-40, TODAY()), ""SELECT Col2 WHERE Col2 IS NOT "&amp;"NULL ORDER BY Col1 DESC LIMIT 20"", 0))
    )
  ), 
"""")"),"")</f>
        <v/>
      </c>
      <c r="K186" s="21" t="str">
        <f>IFERROR(__xludf.DUMMYFUNCTION("IFERROR(GOOGLEFINANCE(C186, ""changepct"") / 100, """")"),"")</f>
        <v/>
      </c>
      <c r="L186" s="21" t="str">
        <f>IFERROR(__xludf.DUMMYFUNCTION("IFERROR((GOOGLEFINANCE(C186, ""price"") / INDEX(GOOGLEFINANCE(C186, ""price"", TODAY()-7, TODAY()), 2, 2)) - 1, """")"),"")</f>
        <v/>
      </c>
      <c r="M186" s="21" t="str">
        <f>IFERROR(__xludf.DUMMYFUNCTION("IFERROR((GOOGLEFINANCE(C186, ""price"") / INDEX(GOOGLEFINANCE(C186, ""price"", EDATE(TODAY(), -1), TODAY()), 2, 2)) - 1, """")"),"")</f>
        <v/>
      </c>
      <c r="N186" s="21" t="str">
        <f>IFERROR(__xludf.DUMMYFUNCTION("IFERROR((GOOGLEFINANCE(C186, ""price"") / INDEX(GOOGLEFINANCE(C186, ""price"", EDATE(TODAY(), -3), TODAY()), 2, 2)) - 1, """")"),"")</f>
        <v/>
      </c>
      <c r="O186" s="21" t="str">
        <f>IFERROR(__xludf.DUMMYFUNCTION("IFERROR((GOOGLEFINANCE(C186, ""price"") / INDEX(GOOGLEFINANCE(C186, ""price"", EDATE(TODAY(), -6), TODAY()), 2, 2)) - 1, """")"),"")</f>
        <v/>
      </c>
      <c r="P186" s="21" t="str">
        <f>IFERROR(__xludf.DUMMYFUNCTION("IFERROR((GOOGLEFINANCE(C186, ""price"") / INDEX(GOOGLEFINANCE(C186, ""price"", EDATE(TODAY(), -12), TODAY()), 2, 2)) - 1, """")"),"")</f>
        <v/>
      </c>
      <c r="Q186" s="6" t="str">
        <f>IFERROR(__xludf.DUMMYFUNCTION("AVERAGE(QUERY(GOOGLEFINANCE(C186, ""price"", TODAY()-80, TODAY()), ""SELECT Col2 WHERE Col2 IS NOT NULL ORDER BY Col1 DESC LIMIT 50"", 0))"),"#N/A")</f>
        <v>#N/A</v>
      </c>
      <c r="R186" s="24" t="str">
        <f>IFERROR(__xludf.DUMMYFUNCTION("IFERROR(
  LET(
    data, QUERY(GOOGLEFINANCE(C186,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GOOGLEFINANCE(C186, ""price"")) * 100,
    IF(calc=0, G186, calc)
  ), 
G186)"),"#N/A")</f>
        <v>#N/A</v>
      </c>
      <c r="S186" s="8" t="s">
        <v>15</v>
      </c>
      <c r="T186" s="26" t="str">
        <f>IFERROR(__xludf.DUMMYFUNCTION("IFERROR(TRANSPOSE(QUERY(IFERROR(SORT(GOOGLEFINANCE(C186, ""price"", WORKDAY(TODAY(), -40), TODAY()), 1, FALSE)), ""select Col2 where Col2 is not null limit 22 label Col2 ''"", 0)), """")"),"")</f>
        <v/>
      </c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8"/>
      <c r="AO186" s="28"/>
      <c r="AP186" s="29"/>
      <c r="AQ186" s="29" t="str">
        <f t="shared" ref="AQ186:BL186" si="189">T186/T$2</f>
        <v>#N/A</v>
      </c>
      <c r="AR186" s="29" t="str">
        <f t="shared" si="189"/>
        <v>#DIV/0!</v>
      </c>
      <c r="AS186" s="29" t="str">
        <f t="shared" si="189"/>
        <v>#DIV/0!</v>
      </c>
      <c r="AT186" s="29" t="str">
        <f t="shared" si="189"/>
        <v>#DIV/0!</v>
      </c>
      <c r="AU186" s="29" t="str">
        <f t="shared" si="189"/>
        <v>#DIV/0!</v>
      </c>
      <c r="AV186" s="29" t="str">
        <f t="shared" si="189"/>
        <v>#DIV/0!</v>
      </c>
      <c r="AW186" s="29" t="str">
        <f t="shared" si="189"/>
        <v>#DIV/0!</v>
      </c>
      <c r="AX186" s="29" t="str">
        <f t="shared" si="189"/>
        <v>#DIV/0!</v>
      </c>
      <c r="AY186" s="29" t="str">
        <f t="shared" si="189"/>
        <v>#DIV/0!</v>
      </c>
      <c r="AZ186" s="29" t="str">
        <f t="shared" si="189"/>
        <v>#DIV/0!</v>
      </c>
      <c r="BA186" s="29" t="str">
        <f t="shared" si="189"/>
        <v>#DIV/0!</v>
      </c>
      <c r="BB186" s="29" t="str">
        <f t="shared" si="189"/>
        <v>#DIV/0!</v>
      </c>
      <c r="BC186" s="29" t="str">
        <f t="shared" si="189"/>
        <v>#DIV/0!</v>
      </c>
      <c r="BD186" s="29" t="str">
        <f t="shared" si="189"/>
        <v>#DIV/0!</v>
      </c>
      <c r="BE186" s="29" t="str">
        <f t="shared" si="189"/>
        <v>#DIV/0!</v>
      </c>
      <c r="BF186" s="29" t="str">
        <f t="shared" si="189"/>
        <v>#DIV/0!</v>
      </c>
      <c r="BG186" s="29" t="str">
        <f t="shared" si="189"/>
        <v>#DIV/0!</v>
      </c>
      <c r="BH186" s="29" t="str">
        <f t="shared" si="189"/>
        <v>#DIV/0!</v>
      </c>
      <c r="BI186" s="29" t="str">
        <f t="shared" si="189"/>
        <v>#DIV/0!</v>
      </c>
      <c r="BJ186" s="29" t="str">
        <f t="shared" si="189"/>
        <v>#DIV/0!</v>
      </c>
      <c r="BK186" s="29" t="str">
        <f t="shared" si="189"/>
        <v>#DIV/0!</v>
      </c>
      <c r="BL186" s="29" t="str">
        <f t="shared" si="189"/>
        <v>#DIV/0!</v>
      </c>
      <c r="BM186" s="29" t="str">
        <f t="shared" si="3"/>
        <v>#DIV/0!</v>
      </c>
    </row>
    <row r="187">
      <c r="A187" s="16" t="str">
        <f>IFERROR(__xludf.DUMMYFUNCTION("IFERROR(SPARKLINE(SORT(MAP(TRANSPOSE(AQ187:BL187), LAMBDA(val, IF(ISNUMBER(val), PERCENTRANK(AQ187:BL187, val)+0.01, 0))), SEQUENCE(COLUMNS(AQ187:BL187)), FALSE), {""charttype"",""column""; ""color"",""chartreuse""; ""ymin"", 0; ""ymax"", 1.01; ""highcolo"&amp;"r"", ""darkgreen""; ""lowcolor"", ""red""}), """")"),"")</f>
        <v/>
      </c>
      <c r="B187" s="17" t="str">
        <f t="shared" si="4"/>
        <v/>
      </c>
      <c r="C187" s="1" t="s">
        <v>816</v>
      </c>
      <c r="D187" s="30" t="str">
        <f>IFERROR(__xludf.DUMMYFUNCTION("IFERROR(GOOGLEFINANCE(C187, ""NAME""))"),"Bitdeer Technologies Group")</f>
        <v>Bitdeer Technologies Group</v>
      </c>
      <c r="E187" s="30" t="s">
        <v>48</v>
      </c>
      <c r="F187" s="33" t="str">
        <f>IFERROR(__xludf.DUMMYFUNCTION("( (GOOGLEFINANCE(C187, ""price"") - Q187) / Q187 ) / (R187 / 100)"),"Loading...")</f>
        <v>Loading...</v>
      </c>
      <c r="G187" s="20" t="str">
        <f>IFERROR(__xludf.DUMMYFUNCTION("AVERAGE(ARRAYFORMULA(100 * (QUERY(GOOGLEFINANCE(C187, ""high"", TODAY()-40, TODAY()), ""SELECT Col2 WHERE Col2 IS NOT NULL ORDER BY Col1 DESC LIMIT 20"", 0) / QUERY(GOOGLEFINANCE(C187, ""low"", TODAY()-40, TODAY()), ""SELECT Col2 WHERE Col2 IS NOT NULL OR"&amp;"DER BY Col1 DESC LIMIT 20"", 0) - 1)))"),"#N/A")</f>
        <v>#N/A</v>
      </c>
      <c r="H187" s="35" t="str">
        <f t="shared" si="6"/>
        <v/>
      </c>
      <c r="I187" s="36" t="str">
        <f t="shared" si="7"/>
        <v/>
      </c>
      <c r="J187" s="37" t="str">
        <f>IFERROR(__xludf.DUMMYFUNCTION("IFERROR(
  IF(C187="""",, 
    IFERROR(
      GOOGLEFINANCE(C187, ""price"") * GOOGLEFINANCE(C187, ""volumeavg""), 
      GOOGLEFINANCE(C187, ""price"") * AVERAGE(QUERY(GOOGLEFINANCE(C187, ""volume"", TODAY()-40, TODAY()), ""SELECT Col2 WHERE Col2 IS NOT "&amp;"NULL ORDER BY Col1 DESC LIMIT 20"", 0))
    )
  ), 
"""")"),"")</f>
        <v/>
      </c>
      <c r="K187" s="21" t="str">
        <f>IFERROR(__xludf.DUMMYFUNCTION("IFERROR(GOOGLEFINANCE(C187, ""changepct"") / 100, """")"),"")</f>
        <v/>
      </c>
      <c r="L187" s="21" t="str">
        <f>IFERROR(__xludf.DUMMYFUNCTION("IFERROR((GOOGLEFINANCE(C187, ""price"") / INDEX(GOOGLEFINANCE(C187, ""price"", TODAY()-7, TODAY()), 2, 2)) - 1, """")"),"")</f>
        <v/>
      </c>
      <c r="M187" s="21" t="str">
        <f>IFERROR(__xludf.DUMMYFUNCTION("IFERROR((GOOGLEFINANCE(C187, ""price"") / INDEX(GOOGLEFINANCE(C187, ""price"", EDATE(TODAY(), -1), TODAY()), 2, 2)) - 1, """")"),"")</f>
        <v/>
      </c>
      <c r="N187" s="21" t="str">
        <f>IFERROR(__xludf.DUMMYFUNCTION("IFERROR((GOOGLEFINANCE(C187, ""price"") / INDEX(GOOGLEFINANCE(C187, ""price"", EDATE(TODAY(), -3), TODAY()), 2, 2)) - 1, """")"),"")</f>
        <v/>
      </c>
      <c r="O187" s="21" t="str">
        <f>IFERROR(__xludf.DUMMYFUNCTION("IFERROR((GOOGLEFINANCE(C187, ""price"") / INDEX(GOOGLEFINANCE(C187, ""price"", EDATE(TODAY(), -6), TODAY()), 2, 2)) - 1, """")"),"")</f>
        <v/>
      </c>
      <c r="P187" s="21" t="str">
        <f>IFERROR(__xludf.DUMMYFUNCTION("IFERROR((GOOGLEFINANCE(C187, ""price"") / INDEX(GOOGLEFINANCE(C187, ""price"", EDATE(TODAY(), -12), TODAY()), 2, 2)) - 1, """")"),"")</f>
        <v/>
      </c>
      <c r="Q187" s="6" t="str">
        <f>IFERROR(__xludf.DUMMYFUNCTION("AVERAGE(QUERY(GOOGLEFINANCE(C187, ""price"", TODAY()-80, TODAY()), ""SELECT Col2 WHERE Col2 IS NOT NULL ORDER BY Col1 DESC LIMIT 50"", 0))"),"#N/A")</f>
        <v>#N/A</v>
      </c>
      <c r="R187" s="24" t="str">
        <f>IFERROR(__xludf.DUMMYFUNCTION("IFERROR(
  LET(
    data, QUERY(GOOGLEFINANCE(C187,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GOOGLEFINANCE(C187, ""price"")) * 100,
    IF(calc=0, G187, calc)
  ), 
G187)"),"#N/A")</f>
        <v>#N/A</v>
      </c>
      <c r="S187" s="8" t="s">
        <v>15</v>
      </c>
      <c r="T187" s="26" t="str">
        <f>IFERROR(__xludf.DUMMYFUNCTION("IFERROR(TRANSPOSE(QUERY(IFERROR(SORT(GOOGLEFINANCE(C187, ""price"", WORKDAY(TODAY(), -40), TODAY()), 1, FALSE)), ""select Col2 where Col2 is not null limit 22 label Col2 ''"", 0)), """")"),"")</f>
        <v/>
      </c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8"/>
      <c r="AO187" s="28"/>
      <c r="AP187" s="29"/>
      <c r="AQ187" s="29" t="str">
        <f t="shared" ref="AQ187:BL187" si="190">T187/T$2</f>
        <v>#N/A</v>
      </c>
      <c r="AR187" s="29" t="str">
        <f t="shared" si="190"/>
        <v>#DIV/0!</v>
      </c>
      <c r="AS187" s="29" t="str">
        <f t="shared" si="190"/>
        <v>#DIV/0!</v>
      </c>
      <c r="AT187" s="29" t="str">
        <f t="shared" si="190"/>
        <v>#DIV/0!</v>
      </c>
      <c r="AU187" s="29" t="str">
        <f t="shared" si="190"/>
        <v>#DIV/0!</v>
      </c>
      <c r="AV187" s="29" t="str">
        <f t="shared" si="190"/>
        <v>#DIV/0!</v>
      </c>
      <c r="AW187" s="29" t="str">
        <f t="shared" si="190"/>
        <v>#DIV/0!</v>
      </c>
      <c r="AX187" s="29" t="str">
        <f t="shared" si="190"/>
        <v>#DIV/0!</v>
      </c>
      <c r="AY187" s="29" t="str">
        <f t="shared" si="190"/>
        <v>#DIV/0!</v>
      </c>
      <c r="AZ187" s="29" t="str">
        <f t="shared" si="190"/>
        <v>#DIV/0!</v>
      </c>
      <c r="BA187" s="29" t="str">
        <f t="shared" si="190"/>
        <v>#DIV/0!</v>
      </c>
      <c r="BB187" s="29" t="str">
        <f t="shared" si="190"/>
        <v>#DIV/0!</v>
      </c>
      <c r="BC187" s="29" t="str">
        <f t="shared" si="190"/>
        <v>#DIV/0!</v>
      </c>
      <c r="BD187" s="29" t="str">
        <f t="shared" si="190"/>
        <v>#DIV/0!</v>
      </c>
      <c r="BE187" s="29" t="str">
        <f t="shared" si="190"/>
        <v>#DIV/0!</v>
      </c>
      <c r="BF187" s="29" t="str">
        <f t="shared" si="190"/>
        <v>#DIV/0!</v>
      </c>
      <c r="BG187" s="29" t="str">
        <f t="shared" si="190"/>
        <v>#DIV/0!</v>
      </c>
      <c r="BH187" s="29" t="str">
        <f t="shared" si="190"/>
        <v>#DIV/0!</v>
      </c>
      <c r="BI187" s="29" t="str">
        <f t="shared" si="190"/>
        <v>#DIV/0!</v>
      </c>
      <c r="BJ187" s="29" t="str">
        <f t="shared" si="190"/>
        <v>#DIV/0!</v>
      </c>
      <c r="BK187" s="29" t="str">
        <f t="shared" si="190"/>
        <v>#DIV/0!</v>
      </c>
      <c r="BL187" s="29" t="str">
        <f t="shared" si="190"/>
        <v>#DIV/0!</v>
      </c>
      <c r="BM187" s="29" t="str">
        <f t="shared" si="3"/>
        <v>#DIV/0!</v>
      </c>
    </row>
    <row r="188">
      <c r="A188" s="16" t="str">
        <f>IFERROR(__xludf.DUMMYFUNCTION("IFERROR(SPARKLINE(SORT(MAP(TRANSPOSE(AQ188:BL188), LAMBDA(val, IF(ISNUMBER(val), PERCENTRANK(AQ188:BL188, val)+0.01, 0))), SEQUENCE(COLUMNS(AQ188:BL188)), FALSE), {""charttype"",""column""; ""color"",""chartreuse""; ""ymin"", 0; ""ymax"", 1.01; ""highcolo"&amp;"r"", ""darkgreen""; ""lowcolor"", ""red""}), """")"),"")</f>
        <v/>
      </c>
      <c r="B188" s="17" t="str">
        <f t="shared" si="4"/>
        <v/>
      </c>
      <c r="C188" s="1" t="s">
        <v>819</v>
      </c>
      <c r="D188" s="30" t="str">
        <f>IFERROR(__xludf.DUMMYFUNCTION("IFERROR(GOOGLEFINANCE(C188, ""NAME""))"),"Allot Ltd")</f>
        <v>Allot Ltd</v>
      </c>
      <c r="E188" s="30" t="s">
        <v>58</v>
      </c>
      <c r="F188" s="33" t="str">
        <f>IFERROR(__xludf.DUMMYFUNCTION("( (GOOGLEFINANCE(C188, ""price"") - Q188) / Q188 ) / (R188 / 100)"),"Loading...")</f>
        <v>Loading...</v>
      </c>
      <c r="G188" s="20" t="str">
        <f>IFERROR(__xludf.DUMMYFUNCTION("AVERAGE(ARRAYFORMULA(100 * (QUERY(GOOGLEFINANCE(C188, ""high"", TODAY()-40, TODAY()), ""SELECT Col2 WHERE Col2 IS NOT NULL ORDER BY Col1 DESC LIMIT 20"", 0) / QUERY(GOOGLEFINANCE(C188, ""low"", TODAY()-40, TODAY()), ""SELECT Col2 WHERE Col2 IS NOT NULL OR"&amp;"DER BY Col1 DESC LIMIT 20"", 0) - 1)))"),"#N/A")</f>
        <v>#N/A</v>
      </c>
      <c r="H188" s="35" t="str">
        <f t="shared" si="6"/>
        <v/>
      </c>
      <c r="I188" s="36" t="str">
        <f t="shared" si="7"/>
        <v/>
      </c>
      <c r="J188" s="37" t="str">
        <f>IFERROR(__xludf.DUMMYFUNCTION("IFERROR(
  IF(C188="""",, 
    IFERROR(
      GOOGLEFINANCE(C188, ""price"") * GOOGLEFINANCE(C188, ""volumeavg""), 
      GOOGLEFINANCE(C188, ""price"") * AVERAGE(QUERY(GOOGLEFINANCE(C188, ""volume"", TODAY()-40, TODAY()), ""SELECT Col2 WHERE Col2 IS NOT "&amp;"NULL ORDER BY Col1 DESC LIMIT 20"", 0))
    )
  ), 
"""")"),"")</f>
        <v/>
      </c>
      <c r="K188" s="21" t="str">
        <f>IFERROR(__xludf.DUMMYFUNCTION("IFERROR(GOOGLEFINANCE(C188, ""changepct"") / 100, """")"),"")</f>
        <v/>
      </c>
      <c r="L188" s="21" t="str">
        <f>IFERROR(__xludf.DUMMYFUNCTION("IFERROR((GOOGLEFINANCE(C188, ""price"") / INDEX(GOOGLEFINANCE(C188, ""price"", TODAY()-7, TODAY()), 2, 2)) - 1, """")"),"")</f>
        <v/>
      </c>
      <c r="M188" s="21" t="str">
        <f>IFERROR(__xludf.DUMMYFUNCTION("IFERROR((GOOGLEFINANCE(C188, ""price"") / INDEX(GOOGLEFINANCE(C188, ""price"", EDATE(TODAY(), -1), TODAY()), 2, 2)) - 1, """")"),"")</f>
        <v/>
      </c>
      <c r="N188" s="21" t="str">
        <f>IFERROR(__xludf.DUMMYFUNCTION("IFERROR((GOOGLEFINANCE(C188, ""price"") / INDEX(GOOGLEFINANCE(C188, ""price"", EDATE(TODAY(), -3), TODAY()), 2, 2)) - 1, """")"),"")</f>
        <v/>
      </c>
      <c r="O188" s="21" t="str">
        <f>IFERROR(__xludf.DUMMYFUNCTION("IFERROR((GOOGLEFINANCE(C188, ""price"") / INDEX(GOOGLEFINANCE(C188, ""price"", EDATE(TODAY(), -6), TODAY()), 2, 2)) - 1, """")"),"")</f>
        <v/>
      </c>
      <c r="P188" s="21" t="str">
        <f>IFERROR(__xludf.DUMMYFUNCTION("IFERROR((GOOGLEFINANCE(C188, ""price"") / INDEX(GOOGLEFINANCE(C188, ""price"", EDATE(TODAY(), -12), TODAY()), 2, 2)) - 1, """")"),"")</f>
        <v/>
      </c>
      <c r="Q188" s="6" t="str">
        <f>IFERROR(__xludf.DUMMYFUNCTION("AVERAGE(QUERY(GOOGLEFINANCE(C188, ""price"", TODAY()-80, TODAY()), ""SELECT Col2 WHERE Col2 IS NOT NULL ORDER BY Col1 DESC LIMIT 50"", 0))"),"#N/A")</f>
        <v>#N/A</v>
      </c>
      <c r="R188" s="24" t="str">
        <f>IFERROR(__xludf.DUMMYFUNCTION("IFERROR(
  LET(
    data, QUERY(GOOGLEFINANCE(C188,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GOOGLEFINANCE(C188, ""price"")) * 100,
    IF(calc=0, G188, calc)
  ), 
G188)"),"#N/A")</f>
        <v>#N/A</v>
      </c>
      <c r="S188" s="8" t="s">
        <v>15</v>
      </c>
      <c r="T188" s="26" t="str">
        <f>IFERROR(__xludf.DUMMYFUNCTION("IFERROR(TRANSPOSE(QUERY(IFERROR(SORT(GOOGLEFINANCE(C188, ""price"", WORKDAY(TODAY(), -40), TODAY()), 1, FALSE)), ""select Col2 where Col2 is not null limit 22 label Col2 ''"", 0)), """")"),"")</f>
        <v/>
      </c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8"/>
      <c r="AO188" s="28"/>
      <c r="AP188" s="29"/>
      <c r="AQ188" s="29" t="str">
        <f t="shared" ref="AQ188:BL188" si="191">T188/T$2</f>
        <v>#N/A</v>
      </c>
      <c r="AR188" s="29" t="str">
        <f t="shared" si="191"/>
        <v>#DIV/0!</v>
      </c>
      <c r="AS188" s="29" t="str">
        <f t="shared" si="191"/>
        <v>#DIV/0!</v>
      </c>
      <c r="AT188" s="29" t="str">
        <f t="shared" si="191"/>
        <v>#DIV/0!</v>
      </c>
      <c r="AU188" s="29" t="str">
        <f t="shared" si="191"/>
        <v>#DIV/0!</v>
      </c>
      <c r="AV188" s="29" t="str">
        <f t="shared" si="191"/>
        <v>#DIV/0!</v>
      </c>
      <c r="AW188" s="29" t="str">
        <f t="shared" si="191"/>
        <v>#DIV/0!</v>
      </c>
      <c r="AX188" s="29" t="str">
        <f t="shared" si="191"/>
        <v>#DIV/0!</v>
      </c>
      <c r="AY188" s="29" t="str">
        <f t="shared" si="191"/>
        <v>#DIV/0!</v>
      </c>
      <c r="AZ188" s="29" t="str">
        <f t="shared" si="191"/>
        <v>#DIV/0!</v>
      </c>
      <c r="BA188" s="29" t="str">
        <f t="shared" si="191"/>
        <v>#DIV/0!</v>
      </c>
      <c r="BB188" s="29" t="str">
        <f t="shared" si="191"/>
        <v>#DIV/0!</v>
      </c>
      <c r="BC188" s="29" t="str">
        <f t="shared" si="191"/>
        <v>#DIV/0!</v>
      </c>
      <c r="BD188" s="29" t="str">
        <f t="shared" si="191"/>
        <v>#DIV/0!</v>
      </c>
      <c r="BE188" s="29" t="str">
        <f t="shared" si="191"/>
        <v>#DIV/0!</v>
      </c>
      <c r="BF188" s="29" t="str">
        <f t="shared" si="191"/>
        <v>#DIV/0!</v>
      </c>
      <c r="BG188" s="29" t="str">
        <f t="shared" si="191"/>
        <v>#DIV/0!</v>
      </c>
      <c r="BH188" s="29" t="str">
        <f t="shared" si="191"/>
        <v>#DIV/0!</v>
      </c>
      <c r="BI188" s="29" t="str">
        <f t="shared" si="191"/>
        <v>#DIV/0!</v>
      </c>
      <c r="BJ188" s="29" t="str">
        <f t="shared" si="191"/>
        <v>#DIV/0!</v>
      </c>
      <c r="BK188" s="29" t="str">
        <f t="shared" si="191"/>
        <v>#DIV/0!</v>
      </c>
      <c r="BL188" s="29" t="str">
        <f t="shared" si="191"/>
        <v>#DIV/0!</v>
      </c>
      <c r="BM188" s="29" t="str">
        <f t="shared" si="3"/>
        <v>#DIV/0!</v>
      </c>
    </row>
    <row r="189">
      <c r="A189" s="16" t="str">
        <f>IFERROR(__xludf.DUMMYFUNCTION("IFERROR(SPARKLINE(SORT(MAP(TRANSPOSE(AQ189:BL189), LAMBDA(val, IF(ISNUMBER(val), PERCENTRANK(AQ189:BL189, val)+0.01, 0))), SEQUENCE(COLUMNS(AQ189:BL189)), FALSE), {""charttype"",""column""; ""color"",""chartreuse""; ""ymin"", 0; ""ymax"", 1.01; ""highcolo"&amp;"r"", ""darkgreen""; ""lowcolor"", ""red""}), """")"),"")</f>
        <v/>
      </c>
      <c r="B189" s="17" t="str">
        <f t="shared" si="4"/>
        <v/>
      </c>
      <c r="C189" s="1" t="s">
        <v>822</v>
      </c>
      <c r="D189" s="30" t="str">
        <f>IFERROR(__xludf.DUMMYFUNCTION("IFERROR(GOOGLEFINANCE(C189, ""NAME""))"),"Quantum Computing Inc")</f>
        <v>Quantum Computing Inc</v>
      </c>
      <c r="E189" s="30" t="s">
        <v>477</v>
      </c>
      <c r="F189" s="33" t="str">
        <f>IFERROR(__xludf.DUMMYFUNCTION("( (GOOGLEFINANCE(C189, ""price"") - Q189) / Q189 ) / (R189 / 100)"),"Loading...")</f>
        <v>Loading...</v>
      </c>
      <c r="G189" s="20" t="str">
        <f>IFERROR(__xludf.DUMMYFUNCTION("AVERAGE(ARRAYFORMULA(100 * (QUERY(GOOGLEFINANCE(C189, ""high"", TODAY()-40, TODAY()), ""SELECT Col2 WHERE Col2 IS NOT NULL ORDER BY Col1 DESC LIMIT 20"", 0) / QUERY(GOOGLEFINANCE(C189, ""low"", TODAY()-40, TODAY()), ""SELECT Col2 WHERE Col2 IS NOT NULL OR"&amp;"DER BY Col1 DESC LIMIT 20"", 0) - 1)))"),"#N/A")</f>
        <v>#N/A</v>
      </c>
      <c r="H189" s="35" t="str">
        <f t="shared" si="6"/>
        <v/>
      </c>
      <c r="I189" s="36" t="str">
        <f t="shared" si="7"/>
        <v/>
      </c>
      <c r="J189" s="37" t="str">
        <f>IFERROR(__xludf.DUMMYFUNCTION("IFERROR(
  IF(C189="""",, 
    IFERROR(
      GOOGLEFINANCE(C189, ""price"") * GOOGLEFINANCE(C189, ""volumeavg""), 
      GOOGLEFINANCE(C189, ""price"") * AVERAGE(QUERY(GOOGLEFINANCE(C189, ""volume"", TODAY()-40, TODAY()), ""SELECT Col2 WHERE Col2 IS NOT "&amp;"NULL ORDER BY Col1 DESC LIMIT 20"", 0))
    )
  ), 
"""")"),"")</f>
        <v/>
      </c>
      <c r="K189" s="21" t="str">
        <f>IFERROR(__xludf.DUMMYFUNCTION("IFERROR(GOOGLEFINANCE(C189, ""changepct"") / 100, """")"),"")</f>
        <v/>
      </c>
      <c r="L189" s="21" t="str">
        <f>IFERROR(__xludf.DUMMYFUNCTION("IFERROR((GOOGLEFINANCE(C189, ""price"") / INDEX(GOOGLEFINANCE(C189, ""price"", TODAY()-7, TODAY()), 2, 2)) - 1, """")"),"")</f>
        <v/>
      </c>
      <c r="M189" s="21" t="str">
        <f>IFERROR(__xludf.DUMMYFUNCTION("IFERROR((GOOGLEFINANCE(C189, ""price"") / INDEX(GOOGLEFINANCE(C189, ""price"", EDATE(TODAY(), -1), TODAY()), 2, 2)) - 1, """")"),"")</f>
        <v/>
      </c>
      <c r="N189" s="21" t="str">
        <f>IFERROR(__xludf.DUMMYFUNCTION("IFERROR((GOOGLEFINANCE(C189, ""price"") / INDEX(GOOGLEFINANCE(C189, ""price"", EDATE(TODAY(), -3), TODAY()), 2, 2)) - 1, """")"),"")</f>
        <v/>
      </c>
      <c r="O189" s="21" t="str">
        <f>IFERROR(__xludf.DUMMYFUNCTION("IFERROR((GOOGLEFINANCE(C189, ""price"") / INDEX(GOOGLEFINANCE(C189, ""price"", EDATE(TODAY(), -6), TODAY()), 2, 2)) - 1, """")"),"")</f>
        <v/>
      </c>
      <c r="P189" s="21" t="str">
        <f>IFERROR(__xludf.DUMMYFUNCTION("IFERROR((GOOGLEFINANCE(C189, ""price"") / INDEX(GOOGLEFINANCE(C189, ""price"", EDATE(TODAY(), -12), TODAY()), 2, 2)) - 1, """")"),"")</f>
        <v/>
      </c>
      <c r="Q189" s="6" t="str">
        <f>IFERROR(__xludf.DUMMYFUNCTION("AVERAGE(QUERY(GOOGLEFINANCE(C189, ""price"", TODAY()-80, TODAY()), ""SELECT Col2 WHERE Col2 IS NOT NULL ORDER BY Col1 DESC LIMIT 50"", 0))"),"#N/A")</f>
        <v>#N/A</v>
      </c>
      <c r="R189" s="24" t="str">
        <f>IFERROR(__xludf.DUMMYFUNCTION("IFERROR(
  LET(
    data, QUERY(GOOGLEFINANCE(C189,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GOOGLEFINANCE(C189, ""price"")) * 100,
    IF(calc=0, G189, calc)
  ), 
G189)"),"#N/A")</f>
        <v>#N/A</v>
      </c>
      <c r="S189" s="8" t="s">
        <v>15</v>
      </c>
      <c r="T189" s="26" t="str">
        <f>IFERROR(__xludf.DUMMYFUNCTION("IFERROR(TRANSPOSE(QUERY(IFERROR(SORT(GOOGLEFINANCE(C189, ""price"", WORKDAY(TODAY(), -40), TODAY()), 1, FALSE)), ""select Col2 where Col2 is not null limit 22 label Col2 ''"", 0)), """")"),"")</f>
        <v/>
      </c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8"/>
      <c r="AO189" s="28"/>
      <c r="AP189" s="29"/>
      <c r="AQ189" s="29" t="str">
        <f t="shared" ref="AQ189:BL189" si="192">T189/T$2</f>
        <v>#N/A</v>
      </c>
      <c r="AR189" s="29" t="str">
        <f t="shared" si="192"/>
        <v>#DIV/0!</v>
      </c>
      <c r="AS189" s="29" t="str">
        <f t="shared" si="192"/>
        <v>#DIV/0!</v>
      </c>
      <c r="AT189" s="29" t="str">
        <f t="shared" si="192"/>
        <v>#DIV/0!</v>
      </c>
      <c r="AU189" s="29" t="str">
        <f t="shared" si="192"/>
        <v>#DIV/0!</v>
      </c>
      <c r="AV189" s="29" t="str">
        <f t="shared" si="192"/>
        <v>#DIV/0!</v>
      </c>
      <c r="AW189" s="29" t="str">
        <f t="shared" si="192"/>
        <v>#DIV/0!</v>
      </c>
      <c r="AX189" s="29" t="str">
        <f t="shared" si="192"/>
        <v>#DIV/0!</v>
      </c>
      <c r="AY189" s="29" t="str">
        <f t="shared" si="192"/>
        <v>#DIV/0!</v>
      </c>
      <c r="AZ189" s="29" t="str">
        <f t="shared" si="192"/>
        <v>#DIV/0!</v>
      </c>
      <c r="BA189" s="29" t="str">
        <f t="shared" si="192"/>
        <v>#DIV/0!</v>
      </c>
      <c r="BB189" s="29" t="str">
        <f t="shared" si="192"/>
        <v>#DIV/0!</v>
      </c>
      <c r="BC189" s="29" t="str">
        <f t="shared" si="192"/>
        <v>#DIV/0!</v>
      </c>
      <c r="BD189" s="29" t="str">
        <f t="shared" si="192"/>
        <v>#DIV/0!</v>
      </c>
      <c r="BE189" s="29" t="str">
        <f t="shared" si="192"/>
        <v>#DIV/0!</v>
      </c>
      <c r="BF189" s="29" t="str">
        <f t="shared" si="192"/>
        <v>#DIV/0!</v>
      </c>
      <c r="BG189" s="29" t="str">
        <f t="shared" si="192"/>
        <v>#DIV/0!</v>
      </c>
      <c r="BH189" s="29" t="str">
        <f t="shared" si="192"/>
        <v>#DIV/0!</v>
      </c>
      <c r="BI189" s="29" t="str">
        <f t="shared" si="192"/>
        <v>#DIV/0!</v>
      </c>
      <c r="BJ189" s="29" t="str">
        <f t="shared" si="192"/>
        <v>#DIV/0!</v>
      </c>
      <c r="BK189" s="29" t="str">
        <f t="shared" si="192"/>
        <v>#DIV/0!</v>
      </c>
      <c r="BL189" s="29" t="str">
        <f t="shared" si="192"/>
        <v>#DIV/0!</v>
      </c>
      <c r="BM189" s="29" t="str">
        <f t="shared" si="3"/>
        <v>#DIV/0!</v>
      </c>
    </row>
    <row r="190">
      <c r="A190" s="16" t="str">
        <f>IFERROR(__xludf.DUMMYFUNCTION("IFERROR(SPARKLINE(SORT(MAP(TRANSPOSE(AQ190:BL190), LAMBDA(val, IF(ISNUMBER(val), PERCENTRANK(AQ190:BL190, val)+0.01, 0))), SEQUENCE(COLUMNS(AQ190:BL190)), FALSE), {""charttype"",""column""; ""color"",""chartreuse""; ""ymin"", 0; ""ymax"", 1.01; ""highcolo"&amp;"r"", ""darkgreen""; ""lowcolor"", ""red""}), """")"),"")</f>
        <v/>
      </c>
      <c r="B190" s="17" t="str">
        <f t="shared" si="4"/>
        <v/>
      </c>
      <c r="C190" s="1" t="s">
        <v>825</v>
      </c>
      <c r="D190" s="30" t="str">
        <f>IFERROR(__xludf.DUMMYFUNCTION("IFERROR(GOOGLEFINANCE(C190, ""NAME""))"),"OSI Systems Inc")</f>
        <v>OSI Systems Inc</v>
      </c>
      <c r="E190" s="30" t="s">
        <v>469</v>
      </c>
      <c r="F190" s="33" t="str">
        <f>IFERROR(__xludf.DUMMYFUNCTION("( (GOOGLEFINANCE(C190, ""price"") - Q190) / Q190 ) / (R190 / 100)"),"Loading...")</f>
        <v>Loading...</v>
      </c>
      <c r="G190" s="20" t="str">
        <f>IFERROR(__xludf.DUMMYFUNCTION("AVERAGE(ARRAYFORMULA(100 * (QUERY(GOOGLEFINANCE(C190, ""high"", TODAY()-40, TODAY()), ""SELECT Col2 WHERE Col2 IS NOT NULL ORDER BY Col1 DESC LIMIT 20"", 0) / QUERY(GOOGLEFINANCE(C190, ""low"", TODAY()-40, TODAY()), ""SELECT Col2 WHERE Col2 IS NOT NULL OR"&amp;"DER BY Col1 DESC LIMIT 20"", 0) - 1)))"),"#N/A")</f>
        <v>#N/A</v>
      </c>
      <c r="H190" s="35" t="str">
        <f t="shared" si="6"/>
        <v/>
      </c>
      <c r="I190" s="36" t="str">
        <f t="shared" si="7"/>
        <v/>
      </c>
      <c r="J190" s="37" t="str">
        <f>IFERROR(__xludf.DUMMYFUNCTION("IFERROR(
  IF(C190="""",, 
    IFERROR(
      GOOGLEFINANCE(C190, ""price"") * GOOGLEFINANCE(C190, ""volumeavg""), 
      GOOGLEFINANCE(C190, ""price"") * AVERAGE(QUERY(GOOGLEFINANCE(C190, ""volume"", TODAY()-40, TODAY()), ""SELECT Col2 WHERE Col2 IS NOT "&amp;"NULL ORDER BY Col1 DESC LIMIT 20"", 0))
    )
  ), 
"""")"),"")</f>
        <v/>
      </c>
      <c r="K190" s="21" t="str">
        <f>IFERROR(__xludf.DUMMYFUNCTION("IFERROR(GOOGLEFINANCE(C190, ""changepct"") / 100, """")"),"")</f>
        <v/>
      </c>
      <c r="L190" s="21" t="str">
        <f>IFERROR(__xludf.DUMMYFUNCTION("IFERROR((GOOGLEFINANCE(C190, ""price"") / INDEX(GOOGLEFINANCE(C190, ""price"", TODAY()-7, TODAY()), 2, 2)) - 1, """")"),"")</f>
        <v/>
      </c>
      <c r="M190" s="21" t="str">
        <f>IFERROR(__xludf.DUMMYFUNCTION("IFERROR((GOOGLEFINANCE(C190, ""price"") / INDEX(GOOGLEFINANCE(C190, ""price"", EDATE(TODAY(), -1), TODAY()), 2, 2)) - 1, """")"),"")</f>
        <v/>
      </c>
      <c r="N190" s="21" t="str">
        <f>IFERROR(__xludf.DUMMYFUNCTION("IFERROR((GOOGLEFINANCE(C190, ""price"") / INDEX(GOOGLEFINANCE(C190, ""price"", EDATE(TODAY(), -3), TODAY()), 2, 2)) - 1, """")"),"")</f>
        <v/>
      </c>
      <c r="O190" s="21" t="str">
        <f>IFERROR(__xludf.DUMMYFUNCTION("IFERROR((GOOGLEFINANCE(C190, ""price"") / INDEX(GOOGLEFINANCE(C190, ""price"", EDATE(TODAY(), -6), TODAY()), 2, 2)) - 1, """")"),"")</f>
        <v/>
      </c>
      <c r="P190" s="21" t="str">
        <f>IFERROR(__xludf.DUMMYFUNCTION("IFERROR((GOOGLEFINANCE(C190, ""price"") / INDEX(GOOGLEFINANCE(C190, ""price"", EDATE(TODAY(), -12), TODAY()), 2, 2)) - 1, """")"),"")</f>
        <v/>
      </c>
      <c r="Q190" s="6" t="str">
        <f>IFERROR(__xludf.DUMMYFUNCTION("AVERAGE(QUERY(GOOGLEFINANCE(C190, ""price"", TODAY()-80, TODAY()), ""SELECT Col2 WHERE Col2 IS NOT NULL ORDER BY Col1 DESC LIMIT 50"", 0))"),"#N/A")</f>
        <v>#N/A</v>
      </c>
      <c r="R190" s="24" t="str">
        <f>IFERROR(__xludf.DUMMYFUNCTION("IFERROR(
  LET(
    data, QUERY(GOOGLEFINANCE(C190,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GOOGLEFINANCE(C190, ""price"")) * 100,
    IF(calc=0, G190, calc)
  ), 
G190)"),"#N/A")</f>
        <v>#N/A</v>
      </c>
      <c r="S190" s="8" t="s">
        <v>15</v>
      </c>
      <c r="T190" s="26" t="str">
        <f>IFERROR(__xludf.DUMMYFUNCTION("IFERROR(TRANSPOSE(QUERY(IFERROR(SORT(GOOGLEFINANCE(C190, ""price"", WORKDAY(TODAY(), -40), TODAY()), 1, FALSE)), ""select Col2 where Col2 is not null limit 22 label Col2 ''"", 0)), """")"),"")</f>
        <v/>
      </c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8"/>
      <c r="AO190" s="28"/>
      <c r="AP190" s="29"/>
      <c r="AQ190" s="29" t="str">
        <f t="shared" ref="AQ190:BL190" si="193">T190/T$2</f>
        <v>#N/A</v>
      </c>
      <c r="AR190" s="29" t="str">
        <f t="shared" si="193"/>
        <v>#DIV/0!</v>
      </c>
      <c r="AS190" s="29" t="str">
        <f t="shared" si="193"/>
        <v>#DIV/0!</v>
      </c>
      <c r="AT190" s="29" t="str">
        <f t="shared" si="193"/>
        <v>#DIV/0!</v>
      </c>
      <c r="AU190" s="29" t="str">
        <f t="shared" si="193"/>
        <v>#DIV/0!</v>
      </c>
      <c r="AV190" s="29" t="str">
        <f t="shared" si="193"/>
        <v>#DIV/0!</v>
      </c>
      <c r="AW190" s="29" t="str">
        <f t="shared" si="193"/>
        <v>#DIV/0!</v>
      </c>
      <c r="AX190" s="29" t="str">
        <f t="shared" si="193"/>
        <v>#DIV/0!</v>
      </c>
      <c r="AY190" s="29" t="str">
        <f t="shared" si="193"/>
        <v>#DIV/0!</v>
      </c>
      <c r="AZ190" s="29" t="str">
        <f t="shared" si="193"/>
        <v>#DIV/0!</v>
      </c>
      <c r="BA190" s="29" t="str">
        <f t="shared" si="193"/>
        <v>#DIV/0!</v>
      </c>
      <c r="BB190" s="29" t="str">
        <f t="shared" si="193"/>
        <v>#DIV/0!</v>
      </c>
      <c r="BC190" s="29" t="str">
        <f t="shared" si="193"/>
        <v>#DIV/0!</v>
      </c>
      <c r="BD190" s="29" t="str">
        <f t="shared" si="193"/>
        <v>#DIV/0!</v>
      </c>
      <c r="BE190" s="29" t="str">
        <f t="shared" si="193"/>
        <v>#DIV/0!</v>
      </c>
      <c r="BF190" s="29" t="str">
        <f t="shared" si="193"/>
        <v>#DIV/0!</v>
      </c>
      <c r="BG190" s="29" t="str">
        <f t="shared" si="193"/>
        <v>#DIV/0!</v>
      </c>
      <c r="BH190" s="29" t="str">
        <f t="shared" si="193"/>
        <v>#DIV/0!</v>
      </c>
      <c r="BI190" s="29" t="str">
        <f t="shared" si="193"/>
        <v>#DIV/0!</v>
      </c>
      <c r="BJ190" s="29" t="str">
        <f t="shared" si="193"/>
        <v>#DIV/0!</v>
      </c>
      <c r="BK190" s="29" t="str">
        <f t="shared" si="193"/>
        <v>#DIV/0!</v>
      </c>
      <c r="BL190" s="29" t="str">
        <f t="shared" si="193"/>
        <v>#DIV/0!</v>
      </c>
      <c r="BM190" s="29" t="str">
        <f t="shared" si="3"/>
        <v>#DIV/0!</v>
      </c>
    </row>
    <row r="191">
      <c r="A191" s="16" t="str">
        <f>IFERROR(__xludf.DUMMYFUNCTION("IFERROR(SPARKLINE(SORT(MAP(TRANSPOSE(AQ191:BL191), LAMBDA(val, IF(ISNUMBER(val), PERCENTRANK(AQ191:BL191, val)+0.01, 0))), SEQUENCE(COLUMNS(AQ191:BL191)), FALSE), {""charttype"",""column""; ""color"",""chartreuse""; ""ymin"", 0; ""ymax"", 1.01; ""highcolo"&amp;"r"", ""darkgreen""; ""lowcolor"", ""red""}), """")"),"")</f>
        <v/>
      </c>
      <c r="B191" s="17" t="str">
        <f t="shared" si="4"/>
        <v/>
      </c>
      <c r="C191" s="1" t="s">
        <v>830</v>
      </c>
      <c r="D191" s="30" t="str">
        <f>IFERROR(__xludf.DUMMYFUNCTION("IFERROR(GOOGLEFINANCE(C191, ""NAME""))"),"Digital Turbine Inc")</f>
        <v>Digital Turbine Inc</v>
      </c>
      <c r="E191" s="30" t="s">
        <v>48</v>
      </c>
      <c r="F191" s="33" t="str">
        <f>IFERROR(__xludf.DUMMYFUNCTION("( (GOOGLEFINANCE(C191, ""price"") - Q191) / Q191 ) / (R191 / 100)"),"Loading...")</f>
        <v>Loading...</v>
      </c>
      <c r="G191" s="20" t="str">
        <f>IFERROR(__xludf.DUMMYFUNCTION("AVERAGE(ARRAYFORMULA(100 * (QUERY(GOOGLEFINANCE(C191, ""high"", TODAY()-40, TODAY()), ""SELECT Col2 WHERE Col2 IS NOT NULL ORDER BY Col1 DESC LIMIT 20"", 0) / QUERY(GOOGLEFINANCE(C191, ""low"", TODAY()-40, TODAY()), ""SELECT Col2 WHERE Col2 IS NOT NULL OR"&amp;"DER BY Col1 DESC LIMIT 20"", 0) - 1)))"),"#N/A")</f>
        <v>#N/A</v>
      </c>
      <c r="H191" s="35" t="str">
        <f t="shared" si="6"/>
        <v/>
      </c>
      <c r="I191" s="36" t="str">
        <f t="shared" si="7"/>
        <v/>
      </c>
      <c r="J191" s="37" t="str">
        <f>IFERROR(__xludf.DUMMYFUNCTION("IFERROR(
  IF(C191="""",, 
    IFERROR(
      GOOGLEFINANCE(C191, ""price"") * GOOGLEFINANCE(C191, ""volumeavg""), 
      GOOGLEFINANCE(C191, ""price"") * AVERAGE(QUERY(GOOGLEFINANCE(C191, ""volume"", TODAY()-40, TODAY()), ""SELECT Col2 WHERE Col2 IS NOT "&amp;"NULL ORDER BY Col1 DESC LIMIT 20"", 0))
    )
  ), 
"""")"),"")</f>
        <v/>
      </c>
      <c r="K191" s="21" t="str">
        <f>IFERROR(__xludf.DUMMYFUNCTION("IFERROR(GOOGLEFINANCE(C191, ""changepct"") / 100, """")"),"")</f>
        <v/>
      </c>
      <c r="L191" s="21" t="str">
        <f>IFERROR(__xludf.DUMMYFUNCTION("IFERROR((GOOGLEFINANCE(C191, ""price"") / INDEX(GOOGLEFINANCE(C191, ""price"", TODAY()-7, TODAY()), 2, 2)) - 1, """")"),"")</f>
        <v/>
      </c>
      <c r="M191" s="21" t="str">
        <f>IFERROR(__xludf.DUMMYFUNCTION("IFERROR((GOOGLEFINANCE(C191, ""price"") / INDEX(GOOGLEFINANCE(C191, ""price"", EDATE(TODAY(), -1), TODAY()), 2, 2)) - 1, """")"),"")</f>
        <v/>
      </c>
      <c r="N191" s="21" t="str">
        <f>IFERROR(__xludf.DUMMYFUNCTION("IFERROR((GOOGLEFINANCE(C191, ""price"") / INDEX(GOOGLEFINANCE(C191, ""price"", EDATE(TODAY(), -3), TODAY()), 2, 2)) - 1, """")"),"")</f>
        <v/>
      </c>
      <c r="O191" s="21" t="str">
        <f>IFERROR(__xludf.DUMMYFUNCTION("IFERROR((GOOGLEFINANCE(C191, ""price"") / INDEX(GOOGLEFINANCE(C191, ""price"", EDATE(TODAY(), -6), TODAY()), 2, 2)) - 1, """")"),"")</f>
        <v/>
      </c>
      <c r="P191" s="21" t="str">
        <f>IFERROR(__xludf.DUMMYFUNCTION("IFERROR((GOOGLEFINANCE(C191, ""price"") / INDEX(GOOGLEFINANCE(C191, ""price"", EDATE(TODAY(), -12), TODAY()), 2, 2)) - 1, """")"),"")</f>
        <v/>
      </c>
      <c r="Q191" s="6" t="str">
        <f>IFERROR(__xludf.DUMMYFUNCTION("AVERAGE(QUERY(GOOGLEFINANCE(C191, ""price"", TODAY()-80, TODAY()), ""SELECT Col2 WHERE Col2 IS NOT NULL ORDER BY Col1 DESC LIMIT 50"", 0))"),"#N/A")</f>
        <v>#N/A</v>
      </c>
      <c r="R191" s="24" t="str">
        <f>IFERROR(__xludf.DUMMYFUNCTION("IFERROR(
  LET(
    data, QUERY(GOOGLEFINANCE(C191,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GOOGLEFINANCE(C191, ""price"")) * 100,
    IF(calc=0, G191, calc)
  ), 
G191)"),"#N/A")</f>
        <v>#N/A</v>
      </c>
      <c r="S191" s="8" t="s">
        <v>15</v>
      </c>
      <c r="T191" s="26" t="str">
        <f>IFERROR(__xludf.DUMMYFUNCTION("IFERROR(TRANSPOSE(QUERY(IFERROR(SORT(GOOGLEFINANCE(C191, ""price"", WORKDAY(TODAY(), -40), TODAY()), 1, FALSE)), ""select Col2 where Col2 is not null limit 22 label Col2 ''"", 0)), """")"),"")</f>
        <v/>
      </c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8"/>
      <c r="AO191" s="28"/>
      <c r="AP191" s="29"/>
      <c r="AQ191" s="29" t="str">
        <f t="shared" ref="AQ191:BL191" si="194">T191/T$2</f>
        <v>#N/A</v>
      </c>
      <c r="AR191" s="29" t="str">
        <f t="shared" si="194"/>
        <v>#DIV/0!</v>
      </c>
      <c r="AS191" s="29" t="str">
        <f t="shared" si="194"/>
        <v>#DIV/0!</v>
      </c>
      <c r="AT191" s="29" t="str">
        <f t="shared" si="194"/>
        <v>#DIV/0!</v>
      </c>
      <c r="AU191" s="29" t="str">
        <f t="shared" si="194"/>
        <v>#DIV/0!</v>
      </c>
      <c r="AV191" s="29" t="str">
        <f t="shared" si="194"/>
        <v>#DIV/0!</v>
      </c>
      <c r="AW191" s="29" t="str">
        <f t="shared" si="194"/>
        <v>#DIV/0!</v>
      </c>
      <c r="AX191" s="29" t="str">
        <f t="shared" si="194"/>
        <v>#DIV/0!</v>
      </c>
      <c r="AY191" s="29" t="str">
        <f t="shared" si="194"/>
        <v>#DIV/0!</v>
      </c>
      <c r="AZ191" s="29" t="str">
        <f t="shared" si="194"/>
        <v>#DIV/0!</v>
      </c>
      <c r="BA191" s="29" t="str">
        <f t="shared" si="194"/>
        <v>#DIV/0!</v>
      </c>
      <c r="BB191" s="29" t="str">
        <f t="shared" si="194"/>
        <v>#DIV/0!</v>
      </c>
      <c r="BC191" s="29" t="str">
        <f t="shared" si="194"/>
        <v>#DIV/0!</v>
      </c>
      <c r="BD191" s="29" t="str">
        <f t="shared" si="194"/>
        <v>#DIV/0!</v>
      </c>
      <c r="BE191" s="29" t="str">
        <f t="shared" si="194"/>
        <v>#DIV/0!</v>
      </c>
      <c r="BF191" s="29" t="str">
        <f t="shared" si="194"/>
        <v>#DIV/0!</v>
      </c>
      <c r="BG191" s="29" t="str">
        <f t="shared" si="194"/>
        <v>#DIV/0!</v>
      </c>
      <c r="BH191" s="29" t="str">
        <f t="shared" si="194"/>
        <v>#DIV/0!</v>
      </c>
      <c r="BI191" s="29" t="str">
        <f t="shared" si="194"/>
        <v>#DIV/0!</v>
      </c>
      <c r="BJ191" s="29" t="str">
        <f t="shared" si="194"/>
        <v>#DIV/0!</v>
      </c>
      <c r="BK191" s="29" t="str">
        <f t="shared" si="194"/>
        <v>#DIV/0!</v>
      </c>
      <c r="BL191" s="29" t="str">
        <f t="shared" si="194"/>
        <v>#DIV/0!</v>
      </c>
      <c r="BM191" s="29" t="str">
        <f t="shared" si="3"/>
        <v>#DIV/0!</v>
      </c>
    </row>
    <row r="192">
      <c r="A192" s="16" t="str">
        <f>IFERROR(__xludf.DUMMYFUNCTION("IFERROR(SPARKLINE(SORT(MAP(TRANSPOSE(AQ192:BL192), LAMBDA(val, IF(ISNUMBER(val), PERCENTRANK(AQ192:BL192, val)+0.01, 0))), SEQUENCE(COLUMNS(AQ192:BL192)), FALSE), {""charttype"",""column""; ""color"",""chartreuse""; ""ymin"", 0; ""ymax"", 1.01; ""highcolo"&amp;"r"", ""darkgreen""; ""lowcolor"", ""red""}), """")"),"")</f>
        <v/>
      </c>
      <c r="B192" s="17" t="str">
        <f t="shared" si="4"/>
        <v/>
      </c>
      <c r="C192" s="1" t="s">
        <v>836</v>
      </c>
      <c r="D192" s="30" t="str">
        <f>IFERROR(__xludf.DUMMYFUNCTION("IFERROR(GOOGLEFINANCE(C192, ""NAME""))"),"Sony Group Corp")</f>
        <v>Sony Group Corp</v>
      </c>
      <c r="E192" s="30" t="s">
        <v>837</v>
      </c>
      <c r="F192" s="33" t="str">
        <f>IFERROR(__xludf.DUMMYFUNCTION("( (GOOGLEFINANCE(C192, ""price"") - Q192) / Q192 ) / (R192 / 100)"),"Loading...")</f>
        <v>Loading...</v>
      </c>
      <c r="G192" s="20" t="str">
        <f>IFERROR(__xludf.DUMMYFUNCTION("AVERAGE(ARRAYFORMULA(100 * (QUERY(GOOGLEFINANCE(C192, ""high"", TODAY()-40, TODAY()), ""SELECT Col2 WHERE Col2 IS NOT NULL ORDER BY Col1 DESC LIMIT 20"", 0) / QUERY(GOOGLEFINANCE(C192, ""low"", TODAY()-40, TODAY()), ""SELECT Col2 WHERE Col2 IS NOT NULL OR"&amp;"DER BY Col1 DESC LIMIT 20"", 0) - 1)))"),"#N/A")</f>
        <v>#N/A</v>
      </c>
      <c r="H192" s="35" t="str">
        <f t="shared" si="6"/>
        <v/>
      </c>
      <c r="I192" s="36" t="str">
        <f t="shared" si="7"/>
        <v/>
      </c>
      <c r="J192" s="37" t="str">
        <f>IFERROR(__xludf.DUMMYFUNCTION("IFERROR(
  IF(C192="""",, 
    IFERROR(
      GOOGLEFINANCE(C192, ""price"") * GOOGLEFINANCE(C192, ""volumeavg""), 
      GOOGLEFINANCE(C192, ""price"") * AVERAGE(QUERY(GOOGLEFINANCE(C192, ""volume"", TODAY()-40, TODAY()), ""SELECT Col2 WHERE Col2 IS NOT "&amp;"NULL ORDER BY Col1 DESC LIMIT 20"", 0))
    )
  ), 
"""")"),"")</f>
        <v/>
      </c>
      <c r="K192" s="21" t="str">
        <f>IFERROR(__xludf.DUMMYFUNCTION("IFERROR(GOOGLEFINANCE(C192, ""changepct"") / 100, """")"),"")</f>
        <v/>
      </c>
      <c r="L192" s="21" t="str">
        <f>IFERROR(__xludf.DUMMYFUNCTION("IFERROR((GOOGLEFINANCE(C192, ""price"") / INDEX(GOOGLEFINANCE(C192, ""price"", TODAY()-7, TODAY()), 2, 2)) - 1, """")"),"")</f>
        <v/>
      </c>
      <c r="M192" s="21" t="str">
        <f>IFERROR(__xludf.DUMMYFUNCTION("IFERROR((GOOGLEFINANCE(C192, ""price"") / INDEX(GOOGLEFINANCE(C192, ""price"", EDATE(TODAY(), -1), TODAY()), 2, 2)) - 1, """")"),"")</f>
        <v/>
      </c>
      <c r="N192" s="21" t="str">
        <f>IFERROR(__xludf.DUMMYFUNCTION("IFERROR((GOOGLEFINANCE(C192, ""price"") / INDEX(GOOGLEFINANCE(C192, ""price"", EDATE(TODAY(), -3), TODAY()), 2, 2)) - 1, """")"),"")</f>
        <v/>
      </c>
      <c r="O192" s="21" t="str">
        <f>IFERROR(__xludf.DUMMYFUNCTION("IFERROR((GOOGLEFINANCE(C192, ""price"") / INDEX(GOOGLEFINANCE(C192, ""price"", EDATE(TODAY(), -6), TODAY()), 2, 2)) - 1, """")"),"")</f>
        <v/>
      </c>
      <c r="P192" s="21" t="str">
        <f>IFERROR(__xludf.DUMMYFUNCTION("IFERROR((GOOGLEFINANCE(C192, ""price"") / INDEX(GOOGLEFINANCE(C192, ""price"", EDATE(TODAY(), -12), TODAY()), 2, 2)) - 1, """")"),"")</f>
        <v/>
      </c>
      <c r="Q192" s="6" t="str">
        <f>IFERROR(__xludf.DUMMYFUNCTION("AVERAGE(QUERY(GOOGLEFINANCE(C192, ""price"", TODAY()-80, TODAY()), ""SELECT Col2 WHERE Col2 IS NOT NULL ORDER BY Col1 DESC LIMIT 50"", 0))"),"#N/A")</f>
        <v>#N/A</v>
      </c>
      <c r="R192" s="24" t="str">
        <f>IFERROR(__xludf.DUMMYFUNCTION("IFERROR(
  LET(
    data, QUERY(GOOGLEFINANCE(C192,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GOOGLEFINANCE(C192, ""price"")) * 100,
    IF(calc=0, G192, calc)
  ), 
G192)"),"#N/A")</f>
        <v>#N/A</v>
      </c>
      <c r="S192" s="8" t="s">
        <v>15</v>
      </c>
      <c r="T192" s="26" t="str">
        <f>IFERROR(__xludf.DUMMYFUNCTION("IFERROR(TRANSPOSE(QUERY(IFERROR(SORT(GOOGLEFINANCE(C192, ""price"", WORKDAY(TODAY(), -40), TODAY()), 1, FALSE)), ""select Col2 where Col2 is not null limit 22 label Col2 ''"", 0)), """")"),"")</f>
        <v/>
      </c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8"/>
      <c r="AO192" s="28"/>
      <c r="AP192" s="29"/>
      <c r="AQ192" s="29" t="str">
        <f t="shared" ref="AQ192:BL192" si="195">T192/T$2</f>
        <v>#N/A</v>
      </c>
      <c r="AR192" s="29" t="str">
        <f t="shared" si="195"/>
        <v>#DIV/0!</v>
      </c>
      <c r="AS192" s="29" t="str">
        <f t="shared" si="195"/>
        <v>#DIV/0!</v>
      </c>
      <c r="AT192" s="29" t="str">
        <f t="shared" si="195"/>
        <v>#DIV/0!</v>
      </c>
      <c r="AU192" s="29" t="str">
        <f t="shared" si="195"/>
        <v>#DIV/0!</v>
      </c>
      <c r="AV192" s="29" t="str">
        <f t="shared" si="195"/>
        <v>#DIV/0!</v>
      </c>
      <c r="AW192" s="29" t="str">
        <f t="shared" si="195"/>
        <v>#DIV/0!</v>
      </c>
      <c r="AX192" s="29" t="str">
        <f t="shared" si="195"/>
        <v>#DIV/0!</v>
      </c>
      <c r="AY192" s="29" t="str">
        <f t="shared" si="195"/>
        <v>#DIV/0!</v>
      </c>
      <c r="AZ192" s="29" t="str">
        <f t="shared" si="195"/>
        <v>#DIV/0!</v>
      </c>
      <c r="BA192" s="29" t="str">
        <f t="shared" si="195"/>
        <v>#DIV/0!</v>
      </c>
      <c r="BB192" s="29" t="str">
        <f t="shared" si="195"/>
        <v>#DIV/0!</v>
      </c>
      <c r="BC192" s="29" t="str">
        <f t="shared" si="195"/>
        <v>#DIV/0!</v>
      </c>
      <c r="BD192" s="29" t="str">
        <f t="shared" si="195"/>
        <v>#DIV/0!</v>
      </c>
      <c r="BE192" s="29" t="str">
        <f t="shared" si="195"/>
        <v>#DIV/0!</v>
      </c>
      <c r="BF192" s="29" t="str">
        <f t="shared" si="195"/>
        <v>#DIV/0!</v>
      </c>
      <c r="BG192" s="29" t="str">
        <f t="shared" si="195"/>
        <v>#DIV/0!</v>
      </c>
      <c r="BH192" s="29" t="str">
        <f t="shared" si="195"/>
        <v>#DIV/0!</v>
      </c>
      <c r="BI192" s="29" t="str">
        <f t="shared" si="195"/>
        <v>#DIV/0!</v>
      </c>
      <c r="BJ192" s="29" t="str">
        <f t="shared" si="195"/>
        <v>#DIV/0!</v>
      </c>
      <c r="BK192" s="29" t="str">
        <f t="shared" si="195"/>
        <v>#DIV/0!</v>
      </c>
      <c r="BL192" s="29" t="str">
        <f t="shared" si="195"/>
        <v>#DIV/0!</v>
      </c>
      <c r="BM192" s="29" t="str">
        <f t="shared" si="3"/>
        <v>#DIV/0!</v>
      </c>
    </row>
    <row r="193">
      <c r="A193" s="16" t="str">
        <f>IFERROR(__xludf.DUMMYFUNCTION("IFERROR(SPARKLINE(SORT(MAP(TRANSPOSE(AQ193:BL193), LAMBDA(val, IF(ISNUMBER(val), PERCENTRANK(AQ193:BL193, val)+0.01, 0))), SEQUENCE(COLUMNS(AQ193:BL193)), FALSE), {""charttype"",""column""; ""color"",""chartreuse""; ""ymin"", 0; ""ymax"", 1.01; ""highcolo"&amp;"r"", ""darkgreen""; ""lowcolor"", ""red""}), """")"),"")</f>
        <v/>
      </c>
      <c r="B193" s="17" t="str">
        <f t="shared" si="4"/>
        <v/>
      </c>
      <c r="C193" s="1" t="s">
        <v>844</v>
      </c>
      <c r="D193" s="30" t="str">
        <f>IFERROR(__xludf.DUMMYFUNCTION("IFERROR(GOOGLEFINANCE(C193, ""NAME""))"),"Shopify Inc.")</f>
        <v>Shopify Inc.</v>
      </c>
      <c r="E193" s="30" t="s">
        <v>48</v>
      </c>
      <c r="F193" s="33" t="str">
        <f>IFERROR(__xludf.DUMMYFUNCTION("( (GOOGLEFINANCE(C193, ""price"") - Q193) / Q193 ) / (R193 / 100)"),"Loading...")</f>
        <v>Loading...</v>
      </c>
      <c r="G193" s="20" t="str">
        <f>IFERROR(__xludf.DUMMYFUNCTION("AVERAGE(ARRAYFORMULA(100 * (QUERY(GOOGLEFINANCE(C193, ""high"", TODAY()-40, TODAY()), ""SELECT Col2 WHERE Col2 IS NOT NULL ORDER BY Col1 DESC LIMIT 20"", 0) / QUERY(GOOGLEFINANCE(C193, ""low"", TODAY()-40, TODAY()), ""SELECT Col2 WHERE Col2 IS NOT NULL OR"&amp;"DER BY Col1 DESC LIMIT 20"", 0) - 1)))"),"#N/A")</f>
        <v>#N/A</v>
      </c>
      <c r="H193" s="35" t="str">
        <f t="shared" si="6"/>
        <v/>
      </c>
      <c r="I193" s="36" t="str">
        <f t="shared" si="7"/>
        <v/>
      </c>
      <c r="J193" s="37" t="str">
        <f>IFERROR(__xludf.DUMMYFUNCTION("IFERROR(
  IF(C193="""",, 
    IFERROR(
      GOOGLEFINANCE(C193, ""price"") * GOOGLEFINANCE(C193, ""volumeavg""), 
      GOOGLEFINANCE(C193, ""price"") * AVERAGE(QUERY(GOOGLEFINANCE(C193, ""volume"", TODAY()-40, TODAY()), ""SELECT Col2 WHERE Col2 IS NOT "&amp;"NULL ORDER BY Col1 DESC LIMIT 20"", 0))
    )
  ), 
"""")"),"")</f>
        <v/>
      </c>
      <c r="K193" s="21" t="str">
        <f>IFERROR(__xludf.DUMMYFUNCTION("IFERROR(GOOGLEFINANCE(C193, ""changepct"") / 100, """")"),"")</f>
        <v/>
      </c>
      <c r="L193" s="21" t="str">
        <f>IFERROR(__xludf.DUMMYFUNCTION("IFERROR((GOOGLEFINANCE(C193, ""price"") / INDEX(GOOGLEFINANCE(C193, ""price"", TODAY()-7, TODAY()), 2, 2)) - 1, """")"),"")</f>
        <v/>
      </c>
      <c r="M193" s="21" t="str">
        <f>IFERROR(__xludf.DUMMYFUNCTION("IFERROR((GOOGLEFINANCE(C193, ""price"") / INDEX(GOOGLEFINANCE(C193, ""price"", EDATE(TODAY(), -1), TODAY()), 2, 2)) - 1, """")"),"")</f>
        <v/>
      </c>
      <c r="N193" s="21" t="str">
        <f>IFERROR(__xludf.DUMMYFUNCTION("IFERROR((GOOGLEFINANCE(C193, ""price"") / INDEX(GOOGLEFINANCE(C193, ""price"", EDATE(TODAY(), -3), TODAY()), 2, 2)) - 1, """")"),"")</f>
        <v/>
      </c>
      <c r="O193" s="21" t="str">
        <f>IFERROR(__xludf.DUMMYFUNCTION("IFERROR((GOOGLEFINANCE(C193, ""price"") / INDEX(GOOGLEFINANCE(C193, ""price"", EDATE(TODAY(), -6), TODAY()), 2, 2)) - 1, """")"),"")</f>
        <v/>
      </c>
      <c r="P193" s="21" t="str">
        <f>IFERROR(__xludf.DUMMYFUNCTION("IFERROR((GOOGLEFINANCE(C193, ""price"") / INDEX(GOOGLEFINANCE(C193, ""price"", EDATE(TODAY(), -12), TODAY()), 2, 2)) - 1, """")"),"")</f>
        <v/>
      </c>
      <c r="Q193" s="6" t="str">
        <f>IFERROR(__xludf.DUMMYFUNCTION("AVERAGE(QUERY(GOOGLEFINANCE(C193, ""price"", TODAY()-80, TODAY()), ""SELECT Col2 WHERE Col2 IS NOT NULL ORDER BY Col1 DESC LIMIT 50"", 0))"),"#N/A")</f>
        <v>#N/A</v>
      </c>
      <c r="R193" s="24" t="str">
        <f>IFERROR(__xludf.DUMMYFUNCTION("IFERROR(
  LET(
    data, QUERY(GOOGLEFINANCE(C193,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GOOGLEFINANCE(C193, ""price"")) * 100,
    IF(calc=0, G193, calc)
  ), 
G193)"),"#N/A")</f>
        <v>#N/A</v>
      </c>
      <c r="S193" s="8" t="s">
        <v>15</v>
      </c>
      <c r="T193" s="26" t="str">
        <f>IFERROR(__xludf.DUMMYFUNCTION("IFERROR(TRANSPOSE(QUERY(IFERROR(SORT(GOOGLEFINANCE(C193, ""price"", WORKDAY(TODAY(), -40), TODAY()), 1, FALSE)), ""select Col2 where Col2 is not null limit 22 label Col2 ''"", 0)), """")"),"")</f>
        <v/>
      </c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8"/>
      <c r="AO193" s="28"/>
      <c r="AP193" s="29"/>
      <c r="AQ193" s="29" t="str">
        <f t="shared" ref="AQ193:BL193" si="196">T193/T$2</f>
        <v>#N/A</v>
      </c>
      <c r="AR193" s="29" t="str">
        <f t="shared" si="196"/>
        <v>#DIV/0!</v>
      </c>
      <c r="AS193" s="29" t="str">
        <f t="shared" si="196"/>
        <v>#DIV/0!</v>
      </c>
      <c r="AT193" s="29" t="str">
        <f t="shared" si="196"/>
        <v>#DIV/0!</v>
      </c>
      <c r="AU193" s="29" t="str">
        <f t="shared" si="196"/>
        <v>#DIV/0!</v>
      </c>
      <c r="AV193" s="29" t="str">
        <f t="shared" si="196"/>
        <v>#DIV/0!</v>
      </c>
      <c r="AW193" s="29" t="str">
        <f t="shared" si="196"/>
        <v>#DIV/0!</v>
      </c>
      <c r="AX193" s="29" t="str">
        <f t="shared" si="196"/>
        <v>#DIV/0!</v>
      </c>
      <c r="AY193" s="29" t="str">
        <f t="shared" si="196"/>
        <v>#DIV/0!</v>
      </c>
      <c r="AZ193" s="29" t="str">
        <f t="shared" si="196"/>
        <v>#DIV/0!</v>
      </c>
      <c r="BA193" s="29" t="str">
        <f t="shared" si="196"/>
        <v>#DIV/0!</v>
      </c>
      <c r="BB193" s="29" t="str">
        <f t="shared" si="196"/>
        <v>#DIV/0!</v>
      </c>
      <c r="BC193" s="29" t="str">
        <f t="shared" si="196"/>
        <v>#DIV/0!</v>
      </c>
      <c r="BD193" s="29" t="str">
        <f t="shared" si="196"/>
        <v>#DIV/0!</v>
      </c>
      <c r="BE193" s="29" t="str">
        <f t="shared" si="196"/>
        <v>#DIV/0!</v>
      </c>
      <c r="BF193" s="29" t="str">
        <f t="shared" si="196"/>
        <v>#DIV/0!</v>
      </c>
      <c r="BG193" s="29" t="str">
        <f t="shared" si="196"/>
        <v>#DIV/0!</v>
      </c>
      <c r="BH193" s="29" t="str">
        <f t="shared" si="196"/>
        <v>#DIV/0!</v>
      </c>
      <c r="BI193" s="29" t="str">
        <f t="shared" si="196"/>
        <v>#DIV/0!</v>
      </c>
      <c r="BJ193" s="29" t="str">
        <f t="shared" si="196"/>
        <v>#DIV/0!</v>
      </c>
      <c r="BK193" s="29" t="str">
        <f t="shared" si="196"/>
        <v>#DIV/0!</v>
      </c>
      <c r="BL193" s="29" t="str">
        <f t="shared" si="196"/>
        <v>#DIV/0!</v>
      </c>
      <c r="BM193" s="29" t="str">
        <f t="shared" si="3"/>
        <v>#DIV/0!</v>
      </c>
    </row>
    <row r="194">
      <c r="A194" s="16" t="str">
        <f>IFERROR(__xludf.DUMMYFUNCTION("IFERROR(SPARKLINE(SORT(MAP(TRANSPOSE(AQ194:BL194), LAMBDA(val, IF(ISNUMBER(val), PERCENTRANK(AQ194:BL194, val)+0.01, 0))), SEQUENCE(COLUMNS(AQ194:BL194)), FALSE), {""charttype"",""column""; ""color"",""chartreuse""; ""ymin"", 0; ""ymax"", 1.01; ""highcolo"&amp;"r"", ""darkgreen""; ""lowcolor"", ""red""}), """")"),"")</f>
        <v/>
      </c>
      <c r="B194" s="17" t="str">
        <f t="shared" si="4"/>
        <v/>
      </c>
      <c r="C194" s="1" t="s">
        <v>849</v>
      </c>
      <c r="D194" s="30" t="str">
        <f>IFERROR(__xludf.DUMMYFUNCTION("IFERROR(GOOGLEFINANCE(C194, ""NAME""))"),"Microsoft Corp")</f>
        <v>Microsoft Corp</v>
      </c>
      <c r="E194" s="30" t="s">
        <v>58</v>
      </c>
      <c r="F194" s="33" t="str">
        <f>IFERROR(__xludf.DUMMYFUNCTION("( (GOOGLEFINANCE(C194, ""price"") - Q194) / Q194 ) / (R194 / 100)"),"Loading...")</f>
        <v>Loading...</v>
      </c>
      <c r="G194" s="20" t="str">
        <f>IFERROR(__xludf.DUMMYFUNCTION("AVERAGE(ARRAYFORMULA(100 * (QUERY(GOOGLEFINANCE(C194, ""high"", TODAY()-40, TODAY()), ""SELECT Col2 WHERE Col2 IS NOT NULL ORDER BY Col1 DESC LIMIT 20"", 0) / QUERY(GOOGLEFINANCE(C194, ""low"", TODAY()-40, TODAY()), ""SELECT Col2 WHERE Col2 IS NOT NULL OR"&amp;"DER BY Col1 DESC LIMIT 20"", 0) - 1)))"),"#N/A")</f>
        <v>#N/A</v>
      </c>
      <c r="H194" s="35" t="str">
        <f t="shared" si="6"/>
        <v/>
      </c>
      <c r="I194" s="36" t="str">
        <f t="shared" si="7"/>
        <v/>
      </c>
      <c r="J194" s="37" t="str">
        <f>IFERROR(__xludf.DUMMYFUNCTION("IFERROR(
  IF(C194="""",, 
    IFERROR(
      GOOGLEFINANCE(C194, ""price"") * GOOGLEFINANCE(C194, ""volumeavg""), 
      GOOGLEFINANCE(C194, ""price"") * AVERAGE(QUERY(GOOGLEFINANCE(C194, ""volume"", TODAY()-40, TODAY()), ""SELECT Col2 WHERE Col2 IS NOT "&amp;"NULL ORDER BY Col1 DESC LIMIT 20"", 0))
    )
  ), 
"""")"),"")</f>
        <v/>
      </c>
      <c r="K194" s="21" t="str">
        <f>IFERROR(__xludf.DUMMYFUNCTION("IFERROR(GOOGLEFINANCE(C194, ""changepct"") / 100, """")"),"")</f>
        <v/>
      </c>
      <c r="L194" s="21" t="str">
        <f>IFERROR(__xludf.DUMMYFUNCTION("IFERROR((GOOGLEFINANCE(C194, ""price"") / INDEX(GOOGLEFINANCE(C194, ""price"", TODAY()-7, TODAY()), 2, 2)) - 1, """")"),"")</f>
        <v/>
      </c>
      <c r="M194" s="21" t="str">
        <f>IFERROR(__xludf.DUMMYFUNCTION("IFERROR((GOOGLEFINANCE(C194, ""price"") / INDEX(GOOGLEFINANCE(C194, ""price"", EDATE(TODAY(), -1), TODAY()), 2, 2)) - 1, """")"),"")</f>
        <v/>
      </c>
      <c r="N194" s="21" t="str">
        <f>IFERROR(__xludf.DUMMYFUNCTION("IFERROR((GOOGLEFINANCE(C194, ""price"") / INDEX(GOOGLEFINANCE(C194, ""price"", EDATE(TODAY(), -3), TODAY()), 2, 2)) - 1, """")"),"")</f>
        <v/>
      </c>
      <c r="O194" s="21" t="str">
        <f>IFERROR(__xludf.DUMMYFUNCTION("IFERROR((GOOGLEFINANCE(C194, ""price"") / INDEX(GOOGLEFINANCE(C194, ""price"", EDATE(TODAY(), -6), TODAY()), 2, 2)) - 1, """")"),"")</f>
        <v/>
      </c>
      <c r="P194" s="21" t="str">
        <f>IFERROR(__xludf.DUMMYFUNCTION("IFERROR((GOOGLEFINANCE(C194, ""price"") / INDEX(GOOGLEFINANCE(C194, ""price"", EDATE(TODAY(), -12), TODAY()), 2, 2)) - 1, """")"),"")</f>
        <v/>
      </c>
      <c r="Q194" s="6" t="str">
        <f>IFERROR(__xludf.DUMMYFUNCTION("AVERAGE(QUERY(GOOGLEFINANCE(C194, ""price"", TODAY()-80, TODAY()), ""SELECT Col2 WHERE Col2 IS NOT NULL ORDER BY Col1 DESC LIMIT 50"", 0))"),"#N/A")</f>
        <v>#N/A</v>
      </c>
      <c r="R194" s="24" t="str">
        <f>IFERROR(__xludf.DUMMYFUNCTION("IFERROR(
  LET(
    data, QUERY(GOOGLEFINANCE(C194,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GOOGLEFINANCE(C194, ""price"")) * 100,
    IF(calc=0, G194, calc)
  ), 
G194)"),"#N/A")</f>
        <v>#N/A</v>
      </c>
      <c r="S194" s="8" t="s">
        <v>15</v>
      </c>
      <c r="T194" s="26" t="str">
        <f>IFERROR(__xludf.DUMMYFUNCTION("IFERROR(TRANSPOSE(QUERY(IFERROR(SORT(GOOGLEFINANCE(C194, ""price"", WORKDAY(TODAY(), -40), TODAY()), 1, FALSE)), ""select Col2 where Col2 is not null limit 22 label Col2 ''"", 0)), """")"),"")</f>
        <v/>
      </c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8"/>
      <c r="AO194" s="28"/>
      <c r="AP194" s="29"/>
      <c r="AQ194" s="29" t="str">
        <f t="shared" ref="AQ194:BL194" si="197">T194/T$2</f>
        <v>#N/A</v>
      </c>
      <c r="AR194" s="29" t="str">
        <f t="shared" si="197"/>
        <v>#DIV/0!</v>
      </c>
      <c r="AS194" s="29" t="str">
        <f t="shared" si="197"/>
        <v>#DIV/0!</v>
      </c>
      <c r="AT194" s="29" t="str">
        <f t="shared" si="197"/>
        <v>#DIV/0!</v>
      </c>
      <c r="AU194" s="29" t="str">
        <f t="shared" si="197"/>
        <v>#DIV/0!</v>
      </c>
      <c r="AV194" s="29" t="str">
        <f t="shared" si="197"/>
        <v>#DIV/0!</v>
      </c>
      <c r="AW194" s="29" t="str">
        <f t="shared" si="197"/>
        <v>#DIV/0!</v>
      </c>
      <c r="AX194" s="29" t="str">
        <f t="shared" si="197"/>
        <v>#DIV/0!</v>
      </c>
      <c r="AY194" s="29" t="str">
        <f t="shared" si="197"/>
        <v>#DIV/0!</v>
      </c>
      <c r="AZ194" s="29" t="str">
        <f t="shared" si="197"/>
        <v>#DIV/0!</v>
      </c>
      <c r="BA194" s="29" t="str">
        <f t="shared" si="197"/>
        <v>#DIV/0!</v>
      </c>
      <c r="BB194" s="29" t="str">
        <f t="shared" si="197"/>
        <v>#DIV/0!</v>
      </c>
      <c r="BC194" s="29" t="str">
        <f t="shared" si="197"/>
        <v>#DIV/0!</v>
      </c>
      <c r="BD194" s="29" t="str">
        <f t="shared" si="197"/>
        <v>#DIV/0!</v>
      </c>
      <c r="BE194" s="29" t="str">
        <f t="shared" si="197"/>
        <v>#DIV/0!</v>
      </c>
      <c r="BF194" s="29" t="str">
        <f t="shared" si="197"/>
        <v>#DIV/0!</v>
      </c>
      <c r="BG194" s="29" t="str">
        <f t="shared" si="197"/>
        <v>#DIV/0!</v>
      </c>
      <c r="BH194" s="29" t="str">
        <f t="shared" si="197"/>
        <v>#DIV/0!</v>
      </c>
      <c r="BI194" s="29" t="str">
        <f t="shared" si="197"/>
        <v>#DIV/0!</v>
      </c>
      <c r="BJ194" s="29" t="str">
        <f t="shared" si="197"/>
        <v>#DIV/0!</v>
      </c>
      <c r="BK194" s="29" t="str">
        <f t="shared" si="197"/>
        <v>#DIV/0!</v>
      </c>
      <c r="BL194" s="29" t="str">
        <f t="shared" si="197"/>
        <v>#DIV/0!</v>
      </c>
      <c r="BM194" s="29" t="str">
        <f t="shared" si="3"/>
        <v>#DIV/0!</v>
      </c>
    </row>
    <row r="195">
      <c r="A195" s="16" t="str">
        <f>IFERROR(__xludf.DUMMYFUNCTION("IFERROR(SPARKLINE(SORT(MAP(TRANSPOSE(AQ195:BL195), LAMBDA(val, IF(ISNUMBER(val), PERCENTRANK(AQ195:BL195, val)+0.01, 0))), SEQUENCE(COLUMNS(AQ195:BL195)), FALSE), {""charttype"",""column""; ""color"",""chartreuse""; ""ymin"", 0; ""ymax"", 1.01; ""highcolo"&amp;"r"", ""darkgreen""; ""lowcolor"", ""red""}), """")"),"")</f>
        <v/>
      </c>
      <c r="B195" s="17" t="str">
        <f t="shared" si="4"/>
        <v/>
      </c>
      <c r="C195" s="1" t="s">
        <v>852</v>
      </c>
      <c r="D195" s="30" t="str">
        <f>IFERROR(__xludf.DUMMYFUNCTION("IFERROR(GOOGLEFINANCE(C195, ""NAME""))"),"Riskified Ltd")</f>
        <v>Riskified Ltd</v>
      </c>
      <c r="E195" s="30" t="s">
        <v>48</v>
      </c>
      <c r="F195" s="33" t="str">
        <f>IFERROR(__xludf.DUMMYFUNCTION("( (GOOGLEFINANCE(C195, ""price"") - Q195) / Q195 ) / (R195 / 100)"),"Loading...")</f>
        <v>Loading...</v>
      </c>
      <c r="G195" s="20" t="str">
        <f>IFERROR(__xludf.DUMMYFUNCTION("AVERAGE(ARRAYFORMULA(100 * (QUERY(GOOGLEFINANCE(C195, ""high"", TODAY()-40, TODAY()), ""SELECT Col2 WHERE Col2 IS NOT NULL ORDER BY Col1 DESC LIMIT 20"", 0) / QUERY(GOOGLEFINANCE(C195, ""low"", TODAY()-40, TODAY()), ""SELECT Col2 WHERE Col2 IS NOT NULL OR"&amp;"DER BY Col1 DESC LIMIT 20"", 0) - 1)))"),"#N/A")</f>
        <v>#N/A</v>
      </c>
      <c r="H195" s="35" t="str">
        <f t="shared" si="6"/>
        <v/>
      </c>
      <c r="I195" s="36" t="str">
        <f t="shared" si="7"/>
        <v/>
      </c>
      <c r="J195" s="37" t="str">
        <f>IFERROR(__xludf.DUMMYFUNCTION("IFERROR(
  IF(C195="""",, 
    IFERROR(
      GOOGLEFINANCE(C195, ""price"") * GOOGLEFINANCE(C195, ""volumeavg""), 
      GOOGLEFINANCE(C195, ""price"") * AVERAGE(QUERY(GOOGLEFINANCE(C195, ""volume"", TODAY()-40, TODAY()), ""SELECT Col2 WHERE Col2 IS NOT "&amp;"NULL ORDER BY Col1 DESC LIMIT 20"", 0))
    )
  ), 
"""")"),"")</f>
        <v/>
      </c>
      <c r="K195" s="21" t="str">
        <f>IFERROR(__xludf.DUMMYFUNCTION("IFERROR(GOOGLEFINANCE(C195, ""changepct"") / 100, """")"),"")</f>
        <v/>
      </c>
      <c r="L195" s="21" t="str">
        <f>IFERROR(__xludf.DUMMYFUNCTION("IFERROR((GOOGLEFINANCE(C195, ""price"") / INDEX(GOOGLEFINANCE(C195, ""price"", TODAY()-7, TODAY()), 2, 2)) - 1, """")"),"")</f>
        <v/>
      </c>
      <c r="M195" s="21" t="str">
        <f>IFERROR(__xludf.DUMMYFUNCTION("IFERROR((GOOGLEFINANCE(C195, ""price"") / INDEX(GOOGLEFINANCE(C195, ""price"", EDATE(TODAY(), -1), TODAY()), 2, 2)) - 1, """")"),"")</f>
        <v/>
      </c>
      <c r="N195" s="21" t="str">
        <f>IFERROR(__xludf.DUMMYFUNCTION("IFERROR((GOOGLEFINANCE(C195, ""price"") / INDEX(GOOGLEFINANCE(C195, ""price"", EDATE(TODAY(), -3), TODAY()), 2, 2)) - 1, """")"),"")</f>
        <v/>
      </c>
      <c r="O195" s="21" t="str">
        <f>IFERROR(__xludf.DUMMYFUNCTION("IFERROR((GOOGLEFINANCE(C195, ""price"") / INDEX(GOOGLEFINANCE(C195, ""price"", EDATE(TODAY(), -6), TODAY()), 2, 2)) - 1, """")"),"")</f>
        <v/>
      </c>
      <c r="P195" s="21" t="str">
        <f>IFERROR(__xludf.DUMMYFUNCTION("IFERROR((GOOGLEFINANCE(C195, ""price"") / INDEX(GOOGLEFINANCE(C195, ""price"", EDATE(TODAY(), -12), TODAY()), 2, 2)) - 1, """")"),"")</f>
        <v/>
      </c>
      <c r="Q195" s="6" t="str">
        <f>IFERROR(__xludf.DUMMYFUNCTION("AVERAGE(QUERY(GOOGLEFINANCE(C195, ""price"", TODAY()-80, TODAY()), ""SELECT Col2 WHERE Col2 IS NOT NULL ORDER BY Col1 DESC LIMIT 50"", 0))"),"#N/A")</f>
        <v>#N/A</v>
      </c>
      <c r="R195" s="24" t="str">
        <f>IFERROR(__xludf.DUMMYFUNCTION("IFERROR(
  LET(
    data, QUERY(GOOGLEFINANCE(C195,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GOOGLEFINANCE(C195, ""price"")) * 100,
    IF(calc=0, G195, calc)
  ), 
G195)"),"#N/A")</f>
        <v>#N/A</v>
      </c>
      <c r="S195" s="8" t="s">
        <v>15</v>
      </c>
      <c r="T195" s="26" t="str">
        <f>IFERROR(__xludf.DUMMYFUNCTION("IFERROR(TRANSPOSE(QUERY(IFERROR(SORT(GOOGLEFINANCE(C195, ""price"", WORKDAY(TODAY(), -40), TODAY()), 1, FALSE)), ""select Col2 where Col2 is not null limit 22 label Col2 ''"", 0)), """")"),"")</f>
        <v/>
      </c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8"/>
      <c r="AO195" s="28"/>
      <c r="AP195" s="29"/>
      <c r="AQ195" s="29" t="str">
        <f t="shared" ref="AQ195:BL195" si="198">T195/T$2</f>
        <v>#N/A</v>
      </c>
      <c r="AR195" s="29" t="str">
        <f t="shared" si="198"/>
        <v>#DIV/0!</v>
      </c>
      <c r="AS195" s="29" t="str">
        <f t="shared" si="198"/>
        <v>#DIV/0!</v>
      </c>
      <c r="AT195" s="29" t="str">
        <f t="shared" si="198"/>
        <v>#DIV/0!</v>
      </c>
      <c r="AU195" s="29" t="str">
        <f t="shared" si="198"/>
        <v>#DIV/0!</v>
      </c>
      <c r="AV195" s="29" t="str">
        <f t="shared" si="198"/>
        <v>#DIV/0!</v>
      </c>
      <c r="AW195" s="29" t="str">
        <f t="shared" si="198"/>
        <v>#DIV/0!</v>
      </c>
      <c r="AX195" s="29" t="str">
        <f t="shared" si="198"/>
        <v>#DIV/0!</v>
      </c>
      <c r="AY195" s="29" t="str">
        <f t="shared" si="198"/>
        <v>#DIV/0!</v>
      </c>
      <c r="AZ195" s="29" t="str">
        <f t="shared" si="198"/>
        <v>#DIV/0!</v>
      </c>
      <c r="BA195" s="29" t="str">
        <f t="shared" si="198"/>
        <v>#DIV/0!</v>
      </c>
      <c r="BB195" s="29" t="str">
        <f t="shared" si="198"/>
        <v>#DIV/0!</v>
      </c>
      <c r="BC195" s="29" t="str">
        <f t="shared" si="198"/>
        <v>#DIV/0!</v>
      </c>
      <c r="BD195" s="29" t="str">
        <f t="shared" si="198"/>
        <v>#DIV/0!</v>
      </c>
      <c r="BE195" s="29" t="str">
        <f t="shared" si="198"/>
        <v>#DIV/0!</v>
      </c>
      <c r="BF195" s="29" t="str">
        <f t="shared" si="198"/>
        <v>#DIV/0!</v>
      </c>
      <c r="BG195" s="29" t="str">
        <f t="shared" si="198"/>
        <v>#DIV/0!</v>
      </c>
      <c r="BH195" s="29" t="str">
        <f t="shared" si="198"/>
        <v>#DIV/0!</v>
      </c>
      <c r="BI195" s="29" t="str">
        <f t="shared" si="198"/>
        <v>#DIV/0!</v>
      </c>
      <c r="BJ195" s="29" t="str">
        <f t="shared" si="198"/>
        <v>#DIV/0!</v>
      </c>
      <c r="BK195" s="29" t="str">
        <f t="shared" si="198"/>
        <v>#DIV/0!</v>
      </c>
      <c r="BL195" s="29" t="str">
        <f t="shared" si="198"/>
        <v>#DIV/0!</v>
      </c>
      <c r="BM195" s="29" t="str">
        <f t="shared" si="3"/>
        <v>#DIV/0!</v>
      </c>
    </row>
    <row r="196">
      <c r="A196" s="16" t="str">
        <f>IFERROR(__xludf.DUMMYFUNCTION("IFERROR(SPARKLINE(SORT(MAP(TRANSPOSE(AQ196:BL196), LAMBDA(val, IF(ISNUMBER(val), PERCENTRANK(AQ196:BL196, val)+0.01, 0))), SEQUENCE(COLUMNS(AQ196:BL196)), FALSE), {""charttype"",""column""; ""color"",""chartreuse""; ""ymin"", 0; ""ymax"", 1.01; ""highcolo"&amp;"r"", ""darkgreen""; ""lowcolor"", ""red""}), """")"),"")</f>
        <v/>
      </c>
      <c r="B196" s="17" t="str">
        <f t="shared" si="4"/>
        <v/>
      </c>
      <c r="C196" s="1" t="s">
        <v>857</v>
      </c>
      <c r="D196" s="30" t="str">
        <f>IFERROR(__xludf.DUMMYFUNCTION("IFERROR(GOOGLEFINANCE(C196, ""NAME""))"),"Navan Inc")</f>
        <v>Navan Inc</v>
      </c>
      <c r="E196" s="30" t="s">
        <v>48</v>
      </c>
      <c r="F196" s="33" t="str">
        <f>IFERROR(__xludf.DUMMYFUNCTION("( (GOOGLEFINANCE(C196, ""price"") - Q196) / Q196 ) / (R196 / 100)"),"Loading...")</f>
        <v>Loading...</v>
      </c>
      <c r="G196" s="20" t="str">
        <f>IFERROR(__xludf.DUMMYFUNCTION("AVERAGE(ARRAYFORMULA(100 * (QUERY(GOOGLEFINANCE(C196, ""high"", TODAY()-40, TODAY()), ""SELECT Col2 WHERE Col2 IS NOT NULL ORDER BY Col1 DESC LIMIT 20"", 0) / QUERY(GOOGLEFINANCE(C196, ""low"", TODAY()-40, TODAY()), ""SELECT Col2 WHERE Col2 IS NOT NULL OR"&amp;"DER BY Col1 DESC LIMIT 20"", 0) - 1)))"),"#N/A")</f>
        <v>#N/A</v>
      </c>
      <c r="H196" s="35" t="str">
        <f t="shared" si="6"/>
        <v/>
      </c>
      <c r="I196" s="36" t="str">
        <f t="shared" si="7"/>
        <v/>
      </c>
      <c r="J196" s="37" t="str">
        <f>IFERROR(__xludf.DUMMYFUNCTION("IFERROR(
  IF(C196="""",, 
    IFERROR(
      GOOGLEFINANCE(C196, ""price"") * GOOGLEFINANCE(C196, ""volumeavg""), 
      GOOGLEFINANCE(C196, ""price"") * AVERAGE(QUERY(GOOGLEFINANCE(C196, ""volume"", TODAY()-40, TODAY()), ""SELECT Col2 WHERE Col2 IS NOT "&amp;"NULL ORDER BY Col1 DESC LIMIT 20"", 0))
    )
  ), 
"""")"),"")</f>
        <v/>
      </c>
      <c r="K196" s="21" t="str">
        <f>IFERROR(__xludf.DUMMYFUNCTION("IFERROR(GOOGLEFINANCE(C196, ""changepct"") / 100, """")"),"")</f>
        <v/>
      </c>
      <c r="L196" s="21" t="str">
        <f>IFERROR(__xludf.DUMMYFUNCTION("IFERROR((GOOGLEFINANCE(C196, ""price"") / INDEX(GOOGLEFINANCE(C196, ""price"", TODAY()-7, TODAY()), 2, 2)) - 1, """")"),"")</f>
        <v/>
      </c>
      <c r="M196" s="21" t="str">
        <f>IFERROR(__xludf.DUMMYFUNCTION("IFERROR((GOOGLEFINANCE(C196, ""price"") / INDEX(GOOGLEFINANCE(C196, ""price"", EDATE(TODAY(), -1), TODAY()), 2, 2)) - 1, """")"),"")</f>
        <v/>
      </c>
      <c r="N196" s="21" t="str">
        <f>IFERROR(__xludf.DUMMYFUNCTION("IFERROR((GOOGLEFINANCE(C196, ""price"") / INDEX(GOOGLEFINANCE(C196, ""price"", EDATE(TODAY(), -3), TODAY()), 2, 2)) - 1, """")"),"")</f>
        <v/>
      </c>
      <c r="O196" s="21" t="str">
        <f>IFERROR(__xludf.DUMMYFUNCTION("IFERROR((GOOGLEFINANCE(C196, ""price"") / INDEX(GOOGLEFINANCE(C196, ""price"", EDATE(TODAY(), -6), TODAY()), 2, 2)) - 1, """")"),"")</f>
        <v/>
      </c>
      <c r="P196" s="21" t="str">
        <f>IFERROR(__xludf.DUMMYFUNCTION("IFERROR((GOOGLEFINANCE(C196, ""price"") / INDEX(GOOGLEFINANCE(C196, ""price"", EDATE(TODAY(), -12), TODAY()), 2, 2)) - 1, """")"),"")</f>
        <v/>
      </c>
      <c r="Q196" s="6" t="str">
        <f>IFERROR(__xludf.DUMMYFUNCTION("AVERAGE(QUERY(GOOGLEFINANCE(C196, ""price"", TODAY()-80, TODAY()), ""SELECT Col2 WHERE Col2 IS NOT NULL ORDER BY Col1 DESC LIMIT 50"", 0))"),"#N/A")</f>
        <v>#N/A</v>
      </c>
      <c r="R196" s="24" t="str">
        <f>IFERROR(__xludf.DUMMYFUNCTION("IFERROR(
  LET(
    data, QUERY(GOOGLEFINANCE(C196,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GOOGLEFINANCE(C196, ""price"")) * 100,
    IF(calc=0, G196, calc)
  ), 
G196)"),"#N/A")</f>
        <v>#N/A</v>
      </c>
      <c r="S196" s="8" t="s">
        <v>15</v>
      </c>
      <c r="T196" s="26" t="str">
        <f>IFERROR(__xludf.DUMMYFUNCTION("IFERROR(TRANSPOSE(QUERY(IFERROR(SORT(GOOGLEFINANCE(C196, ""price"", WORKDAY(TODAY(), -40), TODAY()), 1, FALSE)), ""select Col2 where Col2 is not null limit 22 label Col2 ''"", 0)), """")"),"")</f>
        <v/>
      </c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8"/>
      <c r="AO196" s="28"/>
      <c r="AP196" s="29"/>
      <c r="AQ196" s="29" t="str">
        <f t="shared" ref="AQ196:BL196" si="199">T196/T$2</f>
        <v>#N/A</v>
      </c>
      <c r="AR196" s="29" t="str">
        <f t="shared" si="199"/>
        <v>#DIV/0!</v>
      </c>
      <c r="AS196" s="29" t="str">
        <f t="shared" si="199"/>
        <v>#DIV/0!</v>
      </c>
      <c r="AT196" s="29" t="str">
        <f t="shared" si="199"/>
        <v>#DIV/0!</v>
      </c>
      <c r="AU196" s="29" t="str">
        <f t="shared" si="199"/>
        <v>#DIV/0!</v>
      </c>
      <c r="AV196" s="29" t="str">
        <f t="shared" si="199"/>
        <v>#DIV/0!</v>
      </c>
      <c r="AW196" s="29" t="str">
        <f t="shared" si="199"/>
        <v>#DIV/0!</v>
      </c>
      <c r="AX196" s="29" t="str">
        <f t="shared" si="199"/>
        <v>#DIV/0!</v>
      </c>
      <c r="AY196" s="29" t="str">
        <f t="shared" si="199"/>
        <v>#DIV/0!</v>
      </c>
      <c r="AZ196" s="29" t="str">
        <f t="shared" si="199"/>
        <v>#DIV/0!</v>
      </c>
      <c r="BA196" s="29" t="str">
        <f t="shared" si="199"/>
        <v>#DIV/0!</v>
      </c>
      <c r="BB196" s="29" t="str">
        <f t="shared" si="199"/>
        <v>#DIV/0!</v>
      </c>
      <c r="BC196" s="29" t="str">
        <f t="shared" si="199"/>
        <v>#DIV/0!</v>
      </c>
      <c r="BD196" s="29" t="str">
        <f t="shared" si="199"/>
        <v>#DIV/0!</v>
      </c>
      <c r="BE196" s="29" t="str">
        <f t="shared" si="199"/>
        <v>#DIV/0!</v>
      </c>
      <c r="BF196" s="29" t="str">
        <f t="shared" si="199"/>
        <v>#DIV/0!</v>
      </c>
      <c r="BG196" s="29" t="str">
        <f t="shared" si="199"/>
        <v>#DIV/0!</v>
      </c>
      <c r="BH196" s="29" t="str">
        <f t="shared" si="199"/>
        <v>#DIV/0!</v>
      </c>
      <c r="BI196" s="29" t="str">
        <f t="shared" si="199"/>
        <v>#DIV/0!</v>
      </c>
      <c r="BJ196" s="29" t="str">
        <f t="shared" si="199"/>
        <v>#DIV/0!</v>
      </c>
      <c r="BK196" s="29" t="str">
        <f t="shared" si="199"/>
        <v>#DIV/0!</v>
      </c>
      <c r="BL196" s="29" t="str">
        <f t="shared" si="199"/>
        <v>#DIV/0!</v>
      </c>
      <c r="BM196" s="29" t="str">
        <f t="shared" si="3"/>
        <v>#DIV/0!</v>
      </c>
    </row>
    <row r="197">
      <c r="A197" s="16" t="str">
        <f>IFERROR(__xludf.DUMMYFUNCTION("IFERROR(SPARKLINE(SORT(MAP(TRANSPOSE(AQ197:BL197), LAMBDA(val, IF(ISNUMBER(val), PERCENTRANK(AQ197:BL197, val)+0.01, 0))), SEQUENCE(COLUMNS(AQ197:BL197)), FALSE), {""charttype"",""column""; ""color"",""chartreuse""; ""ymin"", 0; ""ymax"", 1.01; ""highcolo"&amp;"r"", ""darkgreen""; ""lowcolor"", ""red""}), """")"),"")</f>
        <v/>
      </c>
      <c r="B197" s="17" t="str">
        <f t="shared" si="4"/>
        <v/>
      </c>
      <c r="C197" s="1" t="s">
        <v>861</v>
      </c>
      <c r="D197" s="30" t="str">
        <f>IFERROR(__xludf.DUMMYFUNCTION("IFERROR(GOOGLEFINANCE(C197, ""NAME""))"),"Motorola Solutions Inc")</f>
        <v>Motorola Solutions Inc</v>
      </c>
      <c r="E197" s="30" t="s">
        <v>716</v>
      </c>
      <c r="F197" s="33" t="str">
        <f>IFERROR(__xludf.DUMMYFUNCTION("( (GOOGLEFINANCE(C197, ""price"") - Q197) / Q197 ) / (R197 / 100)"),"Loading...")</f>
        <v>Loading...</v>
      </c>
      <c r="G197" s="20" t="str">
        <f>IFERROR(__xludf.DUMMYFUNCTION("AVERAGE(ARRAYFORMULA(100 * (QUERY(GOOGLEFINANCE(C197, ""high"", TODAY()-40, TODAY()), ""SELECT Col2 WHERE Col2 IS NOT NULL ORDER BY Col1 DESC LIMIT 20"", 0) / QUERY(GOOGLEFINANCE(C197, ""low"", TODAY()-40, TODAY()), ""SELECT Col2 WHERE Col2 IS NOT NULL OR"&amp;"DER BY Col1 DESC LIMIT 20"", 0) - 1)))"),"#N/A")</f>
        <v>#N/A</v>
      </c>
      <c r="H197" s="35" t="str">
        <f t="shared" si="6"/>
        <v/>
      </c>
      <c r="I197" s="36" t="str">
        <f t="shared" si="7"/>
        <v/>
      </c>
      <c r="J197" s="37" t="str">
        <f>IFERROR(__xludf.DUMMYFUNCTION("IFERROR(
  IF(C197="""",, 
    IFERROR(
      GOOGLEFINANCE(C197, ""price"") * GOOGLEFINANCE(C197, ""volumeavg""), 
      GOOGLEFINANCE(C197, ""price"") * AVERAGE(QUERY(GOOGLEFINANCE(C197, ""volume"", TODAY()-40, TODAY()), ""SELECT Col2 WHERE Col2 IS NOT "&amp;"NULL ORDER BY Col1 DESC LIMIT 20"", 0))
    )
  ), 
"""")"),"")</f>
        <v/>
      </c>
      <c r="K197" s="21" t="str">
        <f>IFERROR(__xludf.DUMMYFUNCTION("IFERROR(GOOGLEFINANCE(C197, ""changepct"") / 100, """")"),"")</f>
        <v/>
      </c>
      <c r="L197" s="21" t="str">
        <f>IFERROR(__xludf.DUMMYFUNCTION("IFERROR((GOOGLEFINANCE(C197, ""price"") / INDEX(GOOGLEFINANCE(C197, ""price"", TODAY()-7, TODAY()), 2, 2)) - 1, """")"),"")</f>
        <v/>
      </c>
      <c r="M197" s="21" t="str">
        <f>IFERROR(__xludf.DUMMYFUNCTION("IFERROR((GOOGLEFINANCE(C197, ""price"") / INDEX(GOOGLEFINANCE(C197, ""price"", EDATE(TODAY(), -1), TODAY()), 2, 2)) - 1, """")"),"")</f>
        <v/>
      </c>
      <c r="N197" s="21" t="str">
        <f>IFERROR(__xludf.DUMMYFUNCTION("IFERROR((GOOGLEFINANCE(C197, ""price"") / INDEX(GOOGLEFINANCE(C197, ""price"", EDATE(TODAY(), -3), TODAY()), 2, 2)) - 1, """")"),"")</f>
        <v/>
      </c>
      <c r="O197" s="21" t="str">
        <f>IFERROR(__xludf.DUMMYFUNCTION("IFERROR((GOOGLEFINANCE(C197, ""price"") / INDEX(GOOGLEFINANCE(C197, ""price"", EDATE(TODAY(), -6), TODAY()), 2, 2)) - 1, """")"),"")</f>
        <v/>
      </c>
      <c r="P197" s="21" t="str">
        <f>IFERROR(__xludf.DUMMYFUNCTION("IFERROR((GOOGLEFINANCE(C197, ""price"") / INDEX(GOOGLEFINANCE(C197, ""price"", EDATE(TODAY(), -12), TODAY()), 2, 2)) - 1, """")"),"")</f>
        <v/>
      </c>
      <c r="Q197" s="6" t="str">
        <f>IFERROR(__xludf.DUMMYFUNCTION("AVERAGE(QUERY(GOOGLEFINANCE(C197, ""price"", TODAY()-80, TODAY()), ""SELECT Col2 WHERE Col2 IS NOT NULL ORDER BY Col1 DESC LIMIT 50"", 0))"),"#N/A")</f>
        <v>#N/A</v>
      </c>
      <c r="R197" s="24" t="str">
        <f>IFERROR(__xludf.DUMMYFUNCTION("IFERROR(
  LET(
    data, QUERY(GOOGLEFINANCE(C197,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GOOGLEFINANCE(C197, ""price"")) * 100,
    IF(calc=0, G197, calc)
  ), 
G197)"),"#N/A")</f>
        <v>#N/A</v>
      </c>
      <c r="S197" s="8" t="s">
        <v>15</v>
      </c>
      <c r="T197" s="26" t="str">
        <f>IFERROR(__xludf.DUMMYFUNCTION("IFERROR(TRANSPOSE(QUERY(IFERROR(SORT(GOOGLEFINANCE(C197, ""price"", WORKDAY(TODAY(), -40), TODAY()), 1, FALSE)), ""select Col2 where Col2 is not null limit 22 label Col2 ''"", 0)), """")"),"")</f>
        <v/>
      </c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8"/>
      <c r="AO197" s="28"/>
      <c r="AP197" s="29"/>
      <c r="AQ197" s="29" t="str">
        <f t="shared" ref="AQ197:BL197" si="200">T197/T$2</f>
        <v>#N/A</v>
      </c>
      <c r="AR197" s="29" t="str">
        <f t="shared" si="200"/>
        <v>#DIV/0!</v>
      </c>
      <c r="AS197" s="29" t="str">
        <f t="shared" si="200"/>
        <v>#DIV/0!</v>
      </c>
      <c r="AT197" s="29" t="str">
        <f t="shared" si="200"/>
        <v>#DIV/0!</v>
      </c>
      <c r="AU197" s="29" t="str">
        <f t="shared" si="200"/>
        <v>#DIV/0!</v>
      </c>
      <c r="AV197" s="29" t="str">
        <f t="shared" si="200"/>
        <v>#DIV/0!</v>
      </c>
      <c r="AW197" s="29" t="str">
        <f t="shared" si="200"/>
        <v>#DIV/0!</v>
      </c>
      <c r="AX197" s="29" t="str">
        <f t="shared" si="200"/>
        <v>#DIV/0!</v>
      </c>
      <c r="AY197" s="29" t="str">
        <f t="shared" si="200"/>
        <v>#DIV/0!</v>
      </c>
      <c r="AZ197" s="29" t="str">
        <f t="shared" si="200"/>
        <v>#DIV/0!</v>
      </c>
      <c r="BA197" s="29" t="str">
        <f t="shared" si="200"/>
        <v>#DIV/0!</v>
      </c>
      <c r="BB197" s="29" t="str">
        <f t="shared" si="200"/>
        <v>#DIV/0!</v>
      </c>
      <c r="BC197" s="29" t="str">
        <f t="shared" si="200"/>
        <v>#DIV/0!</v>
      </c>
      <c r="BD197" s="29" t="str">
        <f t="shared" si="200"/>
        <v>#DIV/0!</v>
      </c>
      <c r="BE197" s="29" t="str">
        <f t="shared" si="200"/>
        <v>#DIV/0!</v>
      </c>
      <c r="BF197" s="29" t="str">
        <f t="shared" si="200"/>
        <v>#DIV/0!</v>
      </c>
      <c r="BG197" s="29" t="str">
        <f t="shared" si="200"/>
        <v>#DIV/0!</v>
      </c>
      <c r="BH197" s="29" t="str">
        <f t="shared" si="200"/>
        <v>#DIV/0!</v>
      </c>
      <c r="BI197" s="29" t="str">
        <f t="shared" si="200"/>
        <v>#DIV/0!</v>
      </c>
      <c r="BJ197" s="29" t="str">
        <f t="shared" si="200"/>
        <v>#DIV/0!</v>
      </c>
      <c r="BK197" s="29" t="str">
        <f t="shared" si="200"/>
        <v>#DIV/0!</v>
      </c>
      <c r="BL197" s="29" t="str">
        <f t="shared" si="200"/>
        <v>#DIV/0!</v>
      </c>
      <c r="BM197" s="29" t="str">
        <f t="shared" si="3"/>
        <v>#DIV/0!</v>
      </c>
    </row>
    <row r="198">
      <c r="A198" s="16" t="str">
        <f>IFERROR(__xludf.DUMMYFUNCTION("IFERROR(SPARKLINE(SORT(MAP(TRANSPOSE(AQ198:BL198), LAMBDA(val, IF(ISNUMBER(val), PERCENTRANK(AQ198:BL198, val)+0.01, 0))), SEQUENCE(COLUMNS(AQ198:BL198)), FALSE), {""charttype"",""column""; ""color"",""chartreuse""; ""ymin"", 0; ""ymax"", 1.01; ""highcolo"&amp;"r"", ""darkgreen""; ""lowcolor"", ""red""}), """")"),"")</f>
        <v/>
      </c>
      <c r="B198" s="17" t="str">
        <f t="shared" si="4"/>
        <v/>
      </c>
      <c r="C198" s="1" t="s">
        <v>866</v>
      </c>
      <c r="D198" s="30" t="str">
        <f>IFERROR(__xludf.DUMMYFUNCTION("IFERROR(GOOGLEFINANCE(C198, ""NAME""))"),"Porch Group Inc")</f>
        <v>Porch Group Inc</v>
      </c>
      <c r="E198" s="30" t="s">
        <v>48</v>
      </c>
      <c r="F198" s="33" t="str">
        <f>IFERROR(__xludf.DUMMYFUNCTION("( (GOOGLEFINANCE(C198, ""price"") - Q198) / Q198 ) / (R198 / 100)"),"Loading...")</f>
        <v>Loading...</v>
      </c>
      <c r="G198" s="20" t="str">
        <f>IFERROR(__xludf.DUMMYFUNCTION("AVERAGE(ARRAYFORMULA(100 * (QUERY(GOOGLEFINANCE(C198, ""high"", TODAY()-40, TODAY()), ""SELECT Col2 WHERE Col2 IS NOT NULL ORDER BY Col1 DESC LIMIT 20"", 0) / QUERY(GOOGLEFINANCE(C198, ""low"", TODAY()-40, TODAY()), ""SELECT Col2 WHERE Col2 IS NOT NULL OR"&amp;"DER BY Col1 DESC LIMIT 20"", 0) - 1)))"),"#N/A")</f>
        <v>#N/A</v>
      </c>
      <c r="H198" s="35" t="str">
        <f t="shared" si="6"/>
        <v/>
      </c>
      <c r="I198" s="36" t="str">
        <f t="shared" si="7"/>
        <v/>
      </c>
      <c r="J198" s="37" t="str">
        <f>IFERROR(__xludf.DUMMYFUNCTION("IFERROR(
  IF(C198="""",, 
    IFERROR(
      GOOGLEFINANCE(C198, ""price"") * GOOGLEFINANCE(C198, ""volumeavg""), 
      GOOGLEFINANCE(C198, ""price"") * AVERAGE(QUERY(GOOGLEFINANCE(C198, ""volume"", TODAY()-40, TODAY()), ""SELECT Col2 WHERE Col2 IS NOT "&amp;"NULL ORDER BY Col1 DESC LIMIT 20"", 0))
    )
  ), 
"""")"),"")</f>
        <v/>
      </c>
      <c r="K198" s="21" t="str">
        <f>IFERROR(__xludf.DUMMYFUNCTION("IFERROR(GOOGLEFINANCE(C198, ""changepct"") / 100, """")"),"")</f>
        <v/>
      </c>
      <c r="L198" s="21" t="str">
        <f>IFERROR(__xludf.DUMMYFUNCTION("IFERROR((GOOGLEFINANCE(C198, ""price"") / INDEX(GOOGLEFINANCE(C198, ""price"", TODAY()-7, TODAY()), 2, 2)) - 1, """")"),"")</f>
        <v/>
      </c>
      <c r="M198" s="21" t="str">
        <f>IFERROR(__xludf.DUMMYFUNCTION("IFERROR((GOOGLEFINANCE(C198, ""price"") / INDEX(GOOGLEFINANCE(C198, ""price"", EDATE(TODAY(), -1), TODAY()), 2, 2)) - 1, """")"),"")</f>
        <v/>
      </c>
      <c r="N198" s="21" t="str">
        <f>IFERROR(__xludf.DUMMYFUNCTION("IFERROR((GOOGLEFINANCE(C198, ""price"") / INDEX(GOOGLEFINANCE(C198, ""price"", EDATE(TODAY(), -3), TODAY()), 2, 2)) - 1, """")"),"")</f>
        <v/>
      </c>
      <c r="O198" s="21" t="str">
        <f>IFERROR(__xludf.DUMMYFUNCTION("IFERROR((GOOGLEFINANCE(C198, ""price"") / INDEX(GOOGLEFINANCE(C198, ""price"", EDATE(TODAY(), -6), TODAY()), 2, 2)) - 1, """")"),"")</f>
        <v/>
      </c>
      <c r="P198" s="21" t="str">
        <f>IFERROR(__xludf.DUMMYFUNCTION("IFERROR((GOOGLEFINANCE(C198, ""price"") / INDEX(GOOGLEFINANCE(C198, ""price"", EDATE(TODAY(), -12), TODAY()), 2, 2)) - 1, """")"),"")</f>
        <v/>
      </c>
      <c r="Q198" s="6" t="str">
        <f>IFERROR(__xludf.DUMMYFUNCTION("AVERAGE(QUERY(GOOGLEFINANCE(C198, ""price"", TODAY()-80, TODAY()), ""SELECT Col2 WHERE Col2 IS NOT NULL ORDER BY Col1 DESC LIMIT 50"", 0))"),"#N/A")</f>
        <v>#N/A</v>
      </c>
      <c r="R198" s="24" t="str">
        <f>IFERROR(__xludf.DUMMYFUNCTION("IFERROR(
  LET(
    data, QUERY(GOOGLEFINANCE(C198,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GOOGLEFINANCE(C198, ""price"")) * 100,
    IF(calc=0, G198, calc)
  ), 
G198)"),"#N/A")</f>
        <v>#N/A</v>
      </c>
      <c r="S198" s="8" t="s">
        <v>15</v>
      </c>
      <c r="T198" s="26" t="str">
        <f>IFERROR(__xludf.DUMMYFUNCTION("IFERROR(TRANSPOSE(QUERY(IFERROR(SORT(GOOGLEFINANCE(C198, ""price"", WORKDAY(TODAY(), -40), TODAY()), 1, FALSE)), ""select Col2 where Col2 is not null limit 22 label Col2 ''"", 0)), """")"),"")</f>
        <v/>
      </c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8"/>
      <c r="AO198" s="28"/>
      <c r="AP198" s="29"/>
      <c r="AQ198" s="29" t="str">
        <f t="shared" ref="AQ198:BL198" si="201">T198/T$2</f>
        <v>#N/A</v>
      </c>
      <c r="AR198" s="29" t="str">
        <f t="shared" si="201"/>
        <v>#DIV/0!</v>
      </c>
      <c r="AS198" s="29" t="str">
        <f t="shared" si="201"/>
        <v>#DIV/0!</v>
      </c>
      <c r="AT198" s="29" t="str">
        <f t="shared" si="201"/>
        <v>#DIV/0!</v>
      </c>
      <c r="AU198" s="29" t="str">
        <f t="shared" si="201"/>
        <v>#DIV/0!</v>
      </c>
      <c r="AV198" s="29" t="str">
        <f t="shared" si="201"/>
        <v>#DIV/0!</v>
      </c>
      <c r="AW198" s="29" t="str">
        <f t="shared" si="201"/>
        <v>#DIV/0!</v>
      </c>
      <c r="AX198" s="29" t="str">
        <f t="shared" si="201"/>
        <v>#DIV/0!</v>
      </c>
      <c r="AY198" s="29" t="str">
        <f t="shared" si="201"/>
        <v>#DIV/0!</v>
      </c>
      <c r="AZ198" s="29" t="str">
        <f t="shared" si="201"/>
        <v>#DIV/0!</v>
      </c>
      <c r="BA198" s="29" t="str">
        <f t="shared" si="201"/>
        <v>#DIV/0!</v>
      </c>
      <c r="BB198" s="29" t="str">
        <f t="shared" si="201"/>
        <v>#DIV/0!</v>
      </c>
      <c r="BC198" s="29" t="str">
        <f t="shared" si="201"/>
        <v>#DIV/0!</v>
      </c>
      <c r="BD198" s="29" t="str">
        <f t="shared" si="201"/>
        <v>#DIV/0!</v>
      </c>
      <c r="BE198" s="29" t="str">
        <f t="shared" si="201"/>
        <v>#DIV/0!</v>
      </c>
      <c r="BF198" s="29" t="str">
        <f t="shared" si="201"/>
        <v>#DIV/0!</v>
      </c>
      <c r="BG198" s="29" t="str">
        <f t="shared" si="201"/>
        <v>#DIV/0!</v>
      </c>
      <c r="BH198" s="29" t="str">
        <f t="shared" si="201"/>
        <v>#DIV/0!</v>
      </c>
      <c r="BI198" s="29" t="str">
        <f t="shared" si="201"/>
        <v>#DIV/0!</v>
      </c>
      <c r="BJ198" s="29" t="str">
        <f t="shared" si="201"/>
        <v>#DIV/0!</v>
      </c>
      <c r="BK198" s="29" t="str">
        <f t="shared" si="201"/>
        <v>#DIV/0!</v>
      </c>
      <c r="BL198" s="29" t="str">
        <f t="shared" si="201"/>
        <v>#DIV/0!</v>
      </c>
      <c r="BM198" s="29" t="str">
        <f t="shared" si="3"/>
        <v>#DIV/0!</v>
      </c>
    </row>
    <row r="199">
      <c r="A199" s="16" t="str">
        <f>IFERROR(__xludf.DUMMYFUNCTION("IFERROR(SPARKLINE(SORT(MAP(TRANSPOSE(AQ199:BL199), LAMBDA(val, IF(ISNUMBER(val), PERCENTRANK(AQ199:BL199, val)+0.01, 0))), SEQUENCE(COLUMNS(AQ199:BL199)), FALSE), {""charttype"",""column""; ""color"",""chartreuse""; ""ymin"", 0; ""ymax"", 1.01; ""highcolo"&amp;"r"", ""darkgreen""; ""lowcolor"", ""red""}), """")"),"")</f>
        <v/>
      </c>
      <c r="B199" s="17" t="str">
        <f t="shared" si="4"/>
        <v/>
      </c>
      <c r="C199" s="1" t="s">
        <v>870</v>
      </c>
      <c r="D199" s="30" t="str">
        <f>IFERROR(__xludf.DUMMYFUNCTION("IFERROR(GOOGLEFINANCE(C199, ""NAME""))"),"Sealsq Corp")</f>
        <v>Sealsq Corp</v>
      </c>
      <c r="E199" s="30" t="s">
        <v>871</v>
      </c>
      <c r="F199" s="33" t="str">
        <f>IFERROR(__xludf.DUMMYFUNCTION("( (GOOGLEFINANCE(C199, ""price"") - Q199) / Q199 ) / (R199 / 100)"),"Loading...")</f>
        <v>Loading...</v>
      </c>
      <c r="G199" s="20" t="str">
        <f>IFERROR(__xludf.DUMMYFUNCTION("AVERAGE(ARRAYFORMULA(100 * (QUERY(GOOGLEFINANCE(C199, ""high"", TODAY()-40, TODAY()), ""SELECT Col2 WHERE Col2 IS NOT NULL ORDER BY Col1 DESC LIMIT 20"", 0) / QUERY(GOOGLEFINANCE(C199, ""low"", TODAY()-40, TODAY()), ""SELECT Col2 WHERE Col2 IS NOT NULL OR"&amp;"DER BY Col1 DESC LIMIT 20"", 0) - 1)))"),"#N/A")</f>
        <v>#N/A</v>
      </c>
      <c r="H199" s="35" t="str">
        <f t="shared" si="6"/>
        <v/>
      </c>
      <c r="I199" s="36" t="str">
        <f t="shared" si="7"/>
        <v/>
      </c>
      <c r="J199" s="37" t="str">
        <f>IFERROR(__xludf.DUMMYFUNCTION("IFERROR(
  IF(C199="""",, 
    IFERROR(
      GOOGLEFINANCE(C199, ""price"") * GOOGLEFINANCE(C199, ""volumeavg""), 
      GOOGLEFINANCE(C199, ""price"") * AVERAGE(QUERY(GOOGLEFINANCE(C199, ""volume"", TODAY()-40, TODAY()), ""SELECT Col2 WHERE Col2 IS NOT "&amp;"NULL ORDER BY Col1 DESC LIMIT 20"", 0))
    )
  ), 
"""")"),"")</f>
        <v/>
      </c>
      <c r="K199" s="21" t="str">
        <f>IFERROR(__xludf.DUMMYFUNCTION("IFERROR(GOOGLEFINANCE(C199, ""changepct"") / 100, """")"),"")</f>
        <v/>
      </c>
      <c r="L199" s="21" t="str">
        <f>IFERROR(__xludf.DUMMYFUNCTION("IFERROR((GOOGLEFINANCE(C199, ""price"") / INDEX(GOOGLEFINANCE(C199, ""price"", TODAY()-7, TODAY()), 2, 2)) - 1, """")"),"")</f>
        <v/>
      </c>
      <c r="M199" s="21" t="str">
        <f>IFERROR(__xludf.DUMMYFUNCTION("IFERROR((GOOGLEFINANCE(C199, ""price"") / INDEX(GOOGLEFINANCE(C199, ""price"", EDATE(TODAY(), -1), TODAY()), 2, 2)) - 1, """")"),"")</f>
        <v/>
      </c>
      <c r="N199" s="21" t="str">
        <f>IFERROR(__xludf.DUMMYFUNCTION("IFERROR((GOOGLEFINANCE(C199, ""price"") / INDEX(GOOGLEFINANCE(C199, ""price"", EDATE(TODAY(), -3), TODAY()), 2, 2)) - 1, """")"),"")</f>
        <v/>
      </c>
      <c r="O199" s="21" t="str">
        <f>IFERROR(__xludf.DUMMYFUNCTION("IFERROR((GOOGLEFINANCE(C199, ""price"") / INDEX(GOOGLEFINANCE(C199, ""price"", EDATE(TODAY(), -6), TODAY()), 2, 2)) - 1, """")"),"")</f>
        <v/>
      </c>
      <c r="P199" s="21" t="str">
        <f>IFERROR(__xludf.DUMMYFUNCTION("IFERROR((GOOGLEFINANCE(C199, ""price"") / INDEX(GOOGLEFINANCE(C199, ""price"", EDATE(TODAY(), -12), TODAY()), 2, 2)) - 1, """")"),"")</f>
        <v/>
      </c>
      <c r="Q199" s="6" t="str">
        <f>IFERROR(__xludf.DUMMYFUNCTION("AVERAGE(QUERY(GOOGLEFINANCE(C199, ""price"", TODAY()-80, TODAY()), ""SELECT Col2 WHERE Col2 IS NOT NULL ORDER BY Col1 DESC LIMIT 50"", 0))"),"#N/A")</f>
        <v>#N/A</v>
      </c>
      <c r="R199" s="24" t="str">
        <f>IFERROR(__xludf.DUMMYFUNCTION("IFERROR(
  LET(
    data, QUERY(GOOGLEFINANCE(C199,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GOOGLEFINANCE(C199, ""price"")) * 100,
    IF(calc=0, G199, calc)
  ), 
G199)"),"#N/A")</f>
        <v>#N/A</v>
      </c>
      <c r="S199" s="8" t="s">
        <v>15</v>
      </c>
      <c r="T199" s="26" t="str">
        <f>IFERROR(__xludf.DUMMYFUNCTION("IFERROR(TRANSPOSE(QUERY(IFERROR(SORT(GOOGLEFINANCE(C199, ""price"", WORKDAY(TODAY(), -40), TODAY()), 1, FALSE)), ""select Col2 where Col2 is not null limit 22 label Col2 ''"", 0)), """")"),"")</f>
        <v/>
      </c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8"/>
      <c r="AO199" s="28"/>
      <c r="AP199" s="29"/>
      <c r="AQ199" s="29" t="str">
        <f t="shared" ref="AQ199:BL199" si="202">T199/T$2</f>
        <v>#N/A</v>
      </c>
      <c r="AR199" s="29" t="str">
        <f t="shared" si="202"/>
        <v>#DIV/0!</v>
      </c>
      <c r="AS199" s="29" t="str">
        <f t="shared" si="202"/>
        <v>#DIV/0!</v>
      </c>
      <c r="AT199" s="29" t="str">
        <f t="shared" si="202"/>
        <v>#DIV/0!</v>
      </c>
      <c r="AU199" s="29" t="str">
        <f t="shared" si="202"/>
        <v>#DIV/0!</v>
      </c>
      <c r="AV199" s="29" t="str">
        <f t="shared" si="202"/>
        <v>#DIV/0!</v>
      </c>
      <c r="AW199" s="29" t="str">
        <f t="shared" si="202"/>
        <v>#DIV/0!</v>
      </c>
      <c r="AX199" s="29" t="str">
        <f t="shared" si="202"/>
        <v>#DIV/0!</v>
      </c>
      <c r="AY199" s="29" t="str">
        <f t="shared" si="202"/>
        <v>#DIV/0!</v>
      </c>
      <c r="AZ199" s="29" t="str">
        <f t="shared" si="202"/>
        <v>#DIV/0!</v>
      </c>
      <c r="BA199" s="29" t="str">
        <f t="shared" si="202"/>
        <v>#DIV/0!</v>
      </c>
      <c r="BB199" s="29" t="str">
        <f t="shared" si="202"/>
        <v>#DIV/0!</v>
      </c>
      <c r="BC199" s="29" t="str">
        <f t="shared" si="202"/>
        <v>#DIV/0!</v>
      </c>
      <c r="BD199" s="29" t="str">
        <f t="shared" si="202"/>
        <v>#DIV/0!</v>
      </c>
      <c r="BE199" s="29" t="str">
        <f t="shared" si="202"/>
        <v>#DIV/0!</v>
      </c>
      <c r="BF199" s="29" t="str">
        <f t="shared" si="202"/>
        <v>#DIV/0!</v>
      </c>
      <c r="BG199" s="29" t="str">
        <f t="shared" si="202"/>
        <v>#DIV/0!</v>
      </c>
      <c r="BH199" s="29" t="str">
        <f t="shared" si="202"/>
        <v>#DIV/0!</v>
      </c>
      <c r="BI199" s="29" t="str">
        <f t="shared" si="202"/>
        <v>#DIV/0!</v>
      </c>
      <c r="BJ199" s="29" t="str">
        <f t="shared" si="202"/>
        <v>#DIV/0!</v>
      </c>
      <c r="BK199" s="29" t="str">
        <f t="shared" si="202"/>
        <v>#DIV/0!</v>
      </c>
      <c r="BL199" s="29" t="str">
        <f t="shared" si="202"/>
        <v>#DIV/0!</v>
      </c>
      <c r="BM199" s="29" t="str">
        <f t="shared" si="3"/>
        <v>#DIV/0!</v>
      </c>
    </row>
    <row r="200">
      <c r="A200" s="16" t="str">
        <f>IFERROR(__xludf.DUMMYFUNCTION("IFERROR(SPARKLINE(SORT(MAP(TRANSPOSE(AQ200:BL200), LAMBDA(val, IF(ISNUMBER(val), PERCENTRANK(AQ200:BL200, val)+0.01, 0))), SEQUENCE(COLUMNS(AQ200:BL200)), FALSE), {""charttype"",""column""; ""color"",""chartreuse""; ""ymin"", 0; ""ymax"", 1.01; ""highcolo"&amp;"r"", ""darkgreen""; ""lowcolor"", ""red""}), """")"),"")</f>
        <v/>
      </c>
      <c r="B200" s="17" t="str">
        <f t="shared" si="4"/>
        <v/>
      </c>
      <c r="C200" s="1" t="s">
        <v>876</v>
      </c>
      <c r="D200" s="30" t="str">
        <f>IFERROR(__xludf.DUMMYFUNCTION("IFERROR(GOOGLEFINANCE(C200, ""NAME""))"),"PC Connection Inc")</f>
        <v>PC Connection Inc</v>
      </c>
      <c r="E200" s="30" t="s">
        <v>540</v>
      </c>
      <c r="F200" s="33" t="str">
        <f>IFERROR(__xludf.DUMMYFUNCTION("( (GOOGLEFINANCE(C200, ""price"") - Q200) / Q200 ) / (R200 / 100)"),"Loading...")</f>
        <v>Loading...</v>
      </c>
      <c r="G200" s="20" t="str">
        <f>IFERROR(__xludf.DUMMYFUNCTION("AVERAGE(ARRAYFORMULA(100 * (QUERY(GOOGLEFINANCE(C200, ""high"", TODAY()-40, TODAY()), ""SELECT Col2 WHERE Col2 IS NOT NULL ORDER BY Col1 DESC LIMIT 20"", 0) / QUERY(GOOGLEFINANCE(C200, ""low"", TODAY()-40, TODAY()), ""SELECT Col2 WHERE Col2 IS NOT NULL OR"&amp;"DER BY Col1 DESC LIMIT 20"", 0) - 1)))"),"#N/A")</f>
        <v>#N/A</v>
      </c>
      <c r="H200" s="35" t="str">
        <f t="shared" si="6"/>
        <v/>
      </c>
      <c r="I200" s="36" t="str">
        <f t="shared" si="7"/>
        <v/>
      </c>
      <c r="J200" s="37" t="str">
        <f>IFERROR(__xludf.DUMMYFUNCTION("IFERROR(
  IF(C200="""",, 
    IFERROR(
      GOOGLEFINANCE(C200, ""price"") * GOOGLEFINANCE(C200, ""volumeavg""), 
      GOOGLEFINANCE(C200, ""price"") * AVERAGE(QUERY(GOOGLEFINANCE(C200, ""volume"", TODAY()-40, TODAY()), ""SELECT Col2 WHERE Col2 IS NOT "&amp;"NULL ORDER BY Col1 DESC LIMIT 20"", 0))
    )
  ), 
"""")"),"")</f>
        <v/>
      </c>
      <c r="K200" s="21" t="str">
        <f>IFERROR(__xludf.DUMMYFUNCTION("IFERROR(GOOGLEFINANCE(C200, ""changepct"") / 100, """")"),"")</f>
        <v/>
      </c>
      <c r="L200" s="21" t="str">
        <f>IFERROR(__xludf.DUMMYFUNCTION("IFERROR((GOOGLEFINANCE(C200, ""price"") / INDEX(GOOGLEFINANCE(C200, ""price"", TODAY()-7, TODAY()), 2, 2)) - 1, """")"),"")</f>
        <v/>
      </c>
      <c r="M200" s="21" t="str">
        <f>IFERROR(__xludf.DUMMYFUNCTION("IFERROR((GOOGLEFINANCE(C200, ""price"") / INDEX(GOOGLEFINANCE(C200, ""price"", EDATE(TODAY(), -1), TODAY()), 2, 2)) - 1, """")"),"")</f>
        <v/>
      </c>
      <c r="N200" s="21" t="str">
        <f>IFERROR(__xludf.DUMMYFUNCTION("IFERROR((GOOGLEFINANCE(C200, ""price"") / INDEX(GOOGLEFINANCE(C200, ""price"", EDATE(TODAY(), -3), TODAY()), 2, 2)) - 1, """")"),"")</f>
        <v/>
      </c>
      <c r="O200" s="21" t="str">
        <f>IFERROR(__xludf.DUMMYFUNCTION("IFERROR((GOOGLEFINANCE(C200, ""price"") / INDEX(GOOGLEFINANCE(C200, ""price"", EDATE(TODAY(), -6), TODAY()), 2, 2)) - 1, """")"),"")</f>
        <v/>
      </c>
      <c r="P200" s="21" t="str">
        <f>IFERROR(__xludf.DUMMYFUNCTION("IFERROR((GOOGLEFINANCE(C200, ""price"") / INDEX(GOOGLEFINANCE(C200, ""price"", EDATE(TODAY(), -12), TODAY()), 2, 2)) - 1, """")"),"")</f>
        <v/>
      </c>
      <c r="Q200" s="6" t="str">
        <f>IFERROR(__xludf.DUMMYFUNCTION("AVERAGE(QUERY(GOOGLEFINANCE(C200, ""price"", TODAY()-80, TODAY()), ""SELECT Col2 WHERE Col2 IS NOT NULL ORDER BY Col1 DESC LIMIT 50"", 0))"),"#N/A")</f>
        <v>#N/A</v>
      </c>
      <c r="R200" s="24" t="str">
        <f>IFERROR(__xludf.DUMMYFUNCTION("IFERROR(
  LET(
    data, QUERY(GOOGLEFINANCE(C200,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GOOGLEFINANCE(C200, ""price"")) * 100,
    IF(calc=0, G200, calc)
  ), 
G200)"),"#N/A")</f>
        <v>#N/A</v>
      </c>
      <c r="S200" s="8" t="s">
        <v>15</v>
      </c>
      <c r="T200" s="26" t="str">
        <f>IFERROR(__xludf.DUMMYFUNCTION("IFERROR(TRANSPOSE(QUERY(IFERROR(SORT(GOOGLEFINANCE(C200, ""price"", WORKDAY(TODAY(), -40), TODAY()), 1, FALSE)), ""select Col2 where Col2 is not null limit 22 label Col2 ''"", 0)), """")"),"")</f>
        <v/>
      </c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8"/>
      <c r="AO200" s="28"/>
      <c r="AP200" s="29"/>
      <c r="AQ200" s="29" t="str">
        <f t="shared" ref="AQ200:BL200" si="203">T200/T$2</f>
        <v>#N/A</v>
      </c>
      <c r="AR200" s="29" t="str">
        <f t="shared" si="203"/>
        <v>#DIV/0!</v>
      </c>
      <c r="AS200" s="29" t="str">
        <f t="shared" si="203"/>
        <v>#DIV/0!</v>
      </c>
      <c r="AT200" s="29" t="str">
        <f t="shared" si="203"/>
        <v>#DIV/0!</v>
      </c>
      <c r="AU200" s="29" t="str">
        <f t="shared" si="203"/>
        <v>#DIV/0!</v>
      </c>
      <c r="AV200" s="29" t="str">
        <f t="shared" si="203"/>
        <v>#DIV/0!</v>
      </c>
      <c r="AW200" s="29" t="str">
        <f t="shared" si="203"/>
        <v>#DIV/0!</v>
      </c>
      <c r="AX200" s="29" t="str">
        <f t="shared" si="203"/>
        <v>#DIV/0!</v>
      </c>
      <c r="AY200" s="29" t="str">
        <f t="shared" si="203"/>
        <v>#DIV/0!</v>
      </c>
      <c r="AZ200" s="29" t="str">
        <f t="shared" si="203"/>
        <v>#DIV/0!</v>
      </c>
      <c r="BA200" s="29" t="str">
        <f t="shared" si="203"/>
        <v>#DIV/0!</v>
      </c>
      <c r="BB200" s="29" t="str">
        <f t="shared" si="203"/>
        <v>#DIV/0!</v>
      </c>
      <c r="BC200" s="29" t="str">
        <f t="shared" si="203"/>
        <v>#DIV/0!</v>
      </c>
      <c r="BD200" s="29" t="str">
        <f t="shared" si="203"/>
        <v>#DIV/0!</v>
      </c>
      <c r="BE200" s="29" t="str">
        <f t="shared" si="203"/>
        <v>#DIV/0!</v>
      </c>
      <c r="BF200" s="29" t="str">
        <f t="shared" si="203"/>
        <v>#DIV/0!</v>
      </c>
      <c r="BG200" s="29" t="str">
        <f t="shared" si="203"/>
        <v>#DIV/0!</v>
      </c>
      <c r="BH200" s="29" t="str">
        <f t="shared" si="203"/>
        <v>#DIV/0!</v>
      </c>
      <c r="BI200" s="29" t="str">
        <f t="shared" si="203"/>
        <v>#DIV/0!</v>
      </c>
      <c r="BJ200" s="29" t="str">
        <f t="shared" si="203"/>
        <v>#DIV/0!</v>
      </c>
      <c r="BK200" s="29" t="str">
        <f t="shared" si="203"/>
        <v>#DIV/0!</v>
      </c>
      <c r="BL200" s="29" t="str">
        <f t="shared" si="203"/>
        <v>#DIV/0!</v>
      </c>
      <c r="BM200" s="29" t="str">
        <f t="shared" si="3"/>
        <v>#DIV/0!</v>
      </c>
    </row>
    <row r="201">
      <c r="A201" s="16" t="str">
        <f>IFERROR(__xludf.DUMMYFUNCTION("IFERROR(SPARKLINE(SORT(MAP(TRANSPOSE(AQ201:BL201), LAMBDA(val, IF(ISNUMBER(val), PERCENTRANK(AQ201:BL201, val)+0.01, 0))), SEQUENCE(COLUMNS(AQ201:BL201)), FALSE), {""charttype"",""column""; ""color"",""chartreuse""; ""ymin"", 0; ""ymax"", 1.01; ""highcolo"&amp;"r"", ""darkgreen""; ""lowcolor"", ""red""}), """")"),"")</f>
        <v/>
      </c>
      <c r="B201" s="17" t="str">
        <f t="shared" si="4"/>
        <v/>
      </c>
      <c r="C201" s="1" t="s">
        <v>880</v>
      </c>
      <c r="D201" s="30" t="str">
        <f>IFERROR(__xludf.DUMMYFUNCTION("IFERROR(GOOGLEFINANCE(C201, ""NAME""))"),"Dropbox Inc")</f>
        <v>Dropbox Inc</v>
      </c>
      <c r="E201" s="30" t="s">
        <v>58</v>
      </c>
      <c r="F201" s="33" t="str">
        <f>IFERROR(__xludf.DUMMYFUNCTION("( (GOOGLEFINANCE(C201, ""price"") - Q201) / Q201 ) / (R201 / 100)"),"Loading...")</f>
        <v>Loading...</v>
      </c>
      <c r="G201" s="20" t="str">
        <f>IFERROR(__xludf.DUMMYFUNCTION("AVERAGE(ARRAYFORMULA(100 * (QUERY(GOOGLEFINANCE(C201, ""high"", TODAY()-40, TODAY()), ""SELECT Col2 WHERE Col2 IS NOT NULL ORDER BY Col1 DESC LIMIT 20"", 0) / QUERY(GOOGLEFINANCE(C201, ""low"", TODAY()-40, TODAY()), ""SELECT Col2 WHERE Col2 IS NOT NULL OR"&amp;"DER BY Col1 DESC LIMIT 20"", 0) - 1)))"),"#N/A")</f>
        <v>#N/A</v>
      </c>
      <c r="H201" s="35" t="str">
        <f t="shared" si="6"/>
        <v/>
      </c>
      <c r="I201" s="36" t="str">
        <f t="shared" si="7"/>
        <v/>
      </c>
      <c r="J201" s="37" t="str">
        <f>IFERROR(__xludf.DUMMYFUNCTION("IFERROR(
  IF(C201="""",, 
    IFERROR(
      GOOGLEFINANCE(C201, ""price"") * GOOGLEFINANCE(C201, ""volumeavg""), 
      GOOGLEFINANCE(C201, ""price"") * AVERAGE(QUERY(GOOGLEFINANCE(C201, ""volume"", TODAY()-40, TODAY()), ""SELECT Col2 WHERE Col2 IS NOT "&amp;"NULL ORDER BY Col1 DESC LIMIT 20"", 0))
    )
  ), 
"""")"),"")</f>
        <v/>
      </c>
      <c r="K201" s="21" t="str">
        <f>IFERROR(__xludf.DUMMYFUNCTION("IFERROR(GOOGLEFINANCE(C201, ""changepct"") / 100, """")"),"")</f>
        <v/>
      </c>
      <c r="L201" s="21" t="str">
        <f>IFERROR(__xludf.DUMMYFUNCTION("IFERROR((GOOGLEFINANCE(C201, ""price"") / INDEX(GOOGLEFINANCE(C201, ""price"", TODAY()-7, TODAY()), 2, 2)) - 1, """")"),"")</f>
        <v/>
      </c>
      <c r="M201" s="21" t="str">
        <f>IFERROR(__xludf.DUMMYFUNCTION("IFERROR((GOOGLEFINANCE(C201, ""price"") / INDEX(GOOGLEFINANCE(C201, ""price"", EDATE(TODAY(), -1), TODAY()), 2, 2)) - 1, """")"),"")</f>
        <v/>
      </c>
      <c r="N201" s="21" t="str">
        <f>IFERROR(__xludf.DUMMYFUNCTION("IFERROR((GOOGLEFINANCE(C201, ""price"") / INDEX(GOOGLEFINANCE(C201, ""price"", EDATE(TODAY(), -3), TODAY()), 2, 2)) - 1, """")"),"")</f>
        <v/>
      </c>
      <c r="O201" s="21" t="str">
        <f>IFERROR(__xludf.DUMMYFUNCTION("IFERROR((GOOGLEFINANCE(C201, ""price"") / INDEX(GOOGLEFINANCE(C201, ""price"", EDATE(TODAY(), -6), TODAY()), 2, 2)) - 1, """")"),"")</f>
        <v/>
      </c>
      <c r="P201" s="21" t="str">
        <f>IFERROR(__xludf.DUMMYFUNCTION("IFERROR((GOOGLEFINANCE(C201, ""price"") / INDEX(GOOGLEFINANCE(C201, ""price"", EDATE(TODAY(), -12), TODAY()), 2, 2)) - 1, """")"),"")</f>
        <v/>
      </c>
      <c r="Q201" s="6" t="str">
        <f>IFERROR(__xludf.DUMMYFUNCTION("AVERAGE(QUERY(GOOGLEFINANCE(C201, ""price"", TODAY()-80, TODAY()), ""SELECT Col2 WHERE Col2 IS NOT NULL ORDER BY Col1 DESC LIMIT 50"", 0))"),"#N/A")</f>
        <v>#N/A</v>
      </c>
      <c r="R201" s="24" t="str">
        <f>IFERROR(__xludf.DUMMYFUNCTION("IFERROR(
  LET(
    data, QUERY(GOOGLEFINANCE(C201,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GOOGLEFINANCE(C201, ""price"")) * 100,
    IF(calc=0, G201, calc)
  ), 
G201)"),"#N/A")</f>
        <v>#N/A</v>
      </c>
      <c r="S201" s="8" t="s">
        <v>15</v>
      </c>
      <c r="T201" s="26" t="str">
        <f>IFERROR(__xludf.DUMMYFUNCTION("IFERROR(TRANSPOSE(QUERY(IFERROR(SORT(GOOGLEFINANCE(C201, ""price"", WORKDAY(TODAY(), -40), TODAY()), 1, FALSE)), ""select Col2 where Col2 is not null limit 22 label Col2 ''"", 0)), """")"),"")</f>
        <v/>
      </c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8"/>
      <c r="AO201" s="28"/>
      <c r="AP201" s="29"/>
      <c r="AQ201" s="29" t="str">
        <f t="shared" ref="AQ201:BL201" si="204">T201/T$2</f>
        <v>#N/A</v>
      </c>
      <c r="AR201" s="29" t="str">
        <f t="shared" si="204"/>
        <v>#DIV/0!</v>
      </c>
      <c r="AS201" s="29" t="str">
        <f t="shared" si="204"/>
        <v>#DIV/0!</v>
      </c>
      <c r="AT201" s="29" t="str">
        <f t="shared" si="204"/>
        <v>#DIV/0!</v>
      </c>
      <c r="AU201" s="29" t="str">
        <f t="shared" si="204"/>
        <v>#DIV/0!</v>
      </c>
      <c r="AV201" s="29" t="str">
        <f t="shared" si="204"/>
        <v>#DIV/0!</v>
      </c>
      <c r="AW201" s="29" t="str">
        <f t="shared" si="204"/>
        <v>#DIV/0!</v>
      </c>
      <c r="AX201" s="29" t="str">
        <f t="shared" si="204"/>
        <v>#DIV/0!</v>
      </c>
      <c r="AY201" s="29" t="str">
        <f t="shared" si="204"/>
        <v>#DIV/0!</v>
      </c>
      <c r="AZ201" s="29" t="str">
        <f t="shared" si="204"/>
        <v>#DIV/0!</v>
      </c>
      <c r="BA201" s="29" t="str">
        <f t="shared" si="204"/>
        <v>#DIV/0!</v>
      </c>
      <c r="BB201" s="29" t="str">
        <f t="shared" si="204"/>
        <v>#DIV/0!</v>
      </c>
      <c r="BC201" s="29" t="str">
        <f t="shared" si="204"/>
        <v>#DIV/0!</v>
      </c>
      <c r="BD201" s="29" t="str">
        <f t="shared" si="204"/>
        <v>#DIV/0!</v>
      </c>
      <c r="BE201" s="29" t="str">
        <f t="shared" si="204"/>
        <v>#DIV/0!</v>
      </c>
      <c r="BF201" s="29" t="str">
        <f t="shared" si="204"/>
        <v>#DIV/0!</v>
      </c>
      <c r="BG201" s="29" t="str">
        <f t="shared" si="204"/>
        <v>#DIV/0!</v>
      </c>
      <c r="BH201" s="29" t="str">
        <f t="shared" si="204"/>
        <v>#DIV/0!</v>
      </c>
      <c r="BI201" s="29" t="str">
        <f t="shared" si="204"/>
        <v>#DIV/0!</v>
      </c>
      <c r="BJ201" s="29" t="str">
        <f t="shared" si="204"/>
        <v>#DIV/0!</v>
      </c>
      <c r="BK201" s="29" t="str">
        <f t="shared" si="204"/>
        <v>#DIV/0!</v>
      </c>
      <c r="BL201" s="29" t="str">
        <f t="shared" si="204"/>
        <v>#DIV/0!</v>
      </c>
      <c r="BM201" s="29" t="str">
        <f t="shared" si="3"/>
        <v>#DIV/0!</v>
      </c>
    </row>
    <row r="202">
      <c r="A202" s="16" t="str">
        <f>IFERROR(__xludf.DUMMYFUNCTION("IFERROR(SPARKLINE(SORT(MAP(TRANSPOSE(AQ202:BL202), LAMBDA(val, IF(ISNUMBER(val), PERCENTRANK(AQ202:BL202, val)+0.01, 0))), SEQUENCE(COLUMNS(AQ202:BL202)), FALSE), {""charttype"",""column""; ""color"",""chartreuse""; ""ymin"", 0; ""ymax"", 1.01; ""highcolo"&amp;"r"", ""darkgreen""; ""lowcolor"", ""red""}), """")"),"")</f>
        <v/>
      </c>
      <c r="B202" s="17" t="str">
        <f t="shared" si="4"/>
        <v/>
      </c>
      <c r="C202" s="1" t="s">
        <v>883</v>
      </c>
      <c r="D202" s="30" t="str">
        <f>IFERROR(__xludf.DUMMYFUNCTION("IFERROR(GOOGLEFINANCE(C202, ""NAME""))"),"Cognyte Software Ltd")</f>
        <v>Cognyte Software Ltd</v>
      </c>
      <c r="E202" s="30" t="s">
        <v>58</v>
      </c>
      <c r="F202" s="33" t="str">
        <f>IFERROR(__xludf.DUMMYFUNCTION("( (GOOGLEFINANCE(C202, ""price"") - Q202) / Q202 ) / (R202 / 100)"),"Loading...")</f>
        <v>Loading...</v>
      </c>
      <c r="G202" s="20" t="str">
        <f>IFERROR(__xludf.DUMMYFUNCTION("AVERAGE(ARRAYFORMULA(100 * (QUERY(GOOGLEFINANCE(C202, ""high"", TODAY()-40, TODAY()), ""SELECT Col2 WHERE Col2 IS NOT NULL ORDER BY Col1 DESC LIMIT 20"", 0) / QUERY(GOOGLEFINANCE(C202, ""low"", TODAY()-40, TODAY()), ""SELECT Col2 WHERE Col2 IS NOT NULL OR"&amp;"DER BY Col1 DESC LIMIT 20"", 0) - 1)))"),"#N/A")</f>
        <v>#N/A</v>
      </c>
      <c r="H202" s="35" t="str">
        <f t="shared" si="6"/>
        <v/>
      </c>
      <c r="I202" s="36" t="str">
        <f t="shared" si="7"/>
        <v/>
      </c>
      <c r="J202" s="37" t="str">
        <f>IFERROR(__xludf.DUMMYFUNCTION("IFERROR(
  IF(C202="""",, 
    IFERROR(
      GOOGLEFINANCE(C202, ""price"") * GOOGLEFINANCE(C202, ""volumeavg""), 
      GOOGLEFINANCE(C202, ""price"") * AVERAGE(QUERY(GOOGLEFINANCE(C202, ""volume"", TODAY()-40, TODAY()), ""SELECT Col2 WHERE Col2 IS NOT "&amp;"NULL ORDER BY Col1 DESC LIMIT 20"", 0))
    )
  ), 
"""")"),"")</f>
        <v/>
      </c>
      <c r="K202" s="21" t="str">
        <f>IFERROR(__xludf.DUMMYFUNCTION("IFERROR(GOOGLEFINANCE(C202, ""changepct"") / 100, """")"),"")</f>
        <v/>
      </c>
      <c r="L202" s="21" t="str">
        <f>IFERROR(__xludf.DUMMYFUNCTION("IFERROR((GOOGLEFINANCE(C202, ""price"") / INDEX(GOOGLEFINANCE(C202, ""price"", TODAY()-7, TODAY()), 2, 2)) - 1, """")"),"")</f>
        <v/>
      </c>
      <c r="M202" s="21" t="str">
        <f>IFERROR(__xludf.DUMMYFUNCTION("IFERROR((GOOGLEFINANCE(C202, ""price"") / INDEX(GOOGLEFINANCE(C202, ""price"", EDATE(TODAY(), -1), TODAY()), 2, 2)) - 1, """")"),"")</f>
        <v/>
      </c>
      <c r="N202" s="21" t="str">
        <f>IFERROR(__xludf.DUMMYFUNCTION("IFERROR((GOOGLEFINANCE(C202, ""price"") / INDEX(GOOGLEFINANCE(C202, ""price"", EDATE(TODAY(), -3), TODAY()), 2, 2)) - 1, """")"),"")</f>
        <v/>
      </c>
      <c r="O202" s="21" t="str">
        <f>IFERROR(__xludf.DUMMYFUNCTION("IFERROR((GOOGLEFINANCE(C202, ""price"") / INDEX(GOOGLEFINANCE(C202, ""price"", EDATE(TODAY(), -6), TODAY()), 2, 2)) - 1, """")"),"")</f>
        <v/>
      </c>
      <c r="P202" s="21" t="str">
        <f>IFERROR(__xludf.DUMMYFUNCTION("IFERROR((GOOGLEFINANCE(C202, ""price"") / INDEX(GOOGLEFINANCE(C202, ""price"", EDATE(TODAY(), -12), TODAY()), 2, 2)) - 1, """")"),"")</f>
        <v/>
      </c>
      <c r="Q202" s="6" t="str">
        <f>IFERROR(__xludf.DUMMYFUNCTION("AVERAGE(QUERY(GOOGLEFINANCE(C202, ""price"", TODAY()-80, TODAY()), ""SELECT Col2 WHERE Col2 IS NOT NULL ORDER BY Col1 DESC LIMIT 50"", 0))"),"#N/A")</f>
        <v>#N/A</v>
      </c>
      <c r="R202" s="24" t="str">
        <f>IFERROR(__xludf.DUMMYFUNCTION("IFERROR(
  LET(
    data, QUERY(GOOGLEFINANCE(C202,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GOOGLEFINANCE(C202, ""price"")) * 100,
    IF(calc=0, G202, calc)
  ), 
G202)"),"#N/A")</f>
        <v>#N/A</v>
      </c>
      <c r="S202" s="8" t="s">
        <v>15</v>
      </c>
      <c r="T202" s="26" t="str">
        <f>IFERROR(__xludf.DUMMYFUNCTION("IFERROR(TRANSPOSE(QUERY(IFERROR(SORT(GOOGLEFINANCE(C202, ""price"", WORKDAY(TODAY(), -40), TODAY()), 1, FALSE)), ""select Col2 where Col2 is not null limit 22 label Col2 ''"", 0)), """")"),"")</f>
        <v/>
      </c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8"/>
      <c r="AO202" s="28"/>
      <c r="AP202" s="29"/>
      <c r="AQ202" s="29" t="str">
        <f t="shared" ref="AQ202:BL202" si="205">T202/T$2</f>
        <v>#N/A</v>
      </c>
      <c r="AR202" s="29" t="str">
        <f t="shared" si="205"/>
        <v>#DIV/0!</v>
      </c>
      <c r="AS202" s="29" t="str">
        <f t="shared" si="205"/>
        <v>#DIV/0!</v>
      </c>
      <c r="AT202" s="29" t="str">
        <f t="shared" si="205"/>
        <v>#DIV/0!</v>
      </c>
      <c r="AU202" s="29" t="str">
        <f t="shared" si="205"/>
        <v>#DIV/0!</v>
      </c>
      <c r="AV202" s="29" t="str">
        <f t="shared" si="205"/>
        <v>#DIV/0!</v>
      </c>
      <c r="AW202" s="29" t="str">
        <f t="shared" si="205"/>
        <v>#DIV/0!</v>
      </c>
      <c r="AX202" s="29" t="str">
        <f t="shared" si="205"/>
        <v>#DIV/0!</v>
      </c>
      <c r="AY202" s="29" t="str">
        <f t="shared" si="205"/>
        <v>#DIV/0!</v>
      </c>
      <c r="AZ202" s="29" t="str">
        <f t="shared" si="205"/>
        <v>#DIV/0!</v>
      </c>
      <c r="BA202" s="29" t="str">
        <f t="shared" si="205"/>
        <v>#DIV/0!</v>
      </c>
      <c r="BB202" s="29" t="str">
        <f t="shared" si="205"/>
        <v>#DIV/0!</v>
      </c>
      <c r="BC202" s="29" t="str">
        <f t="shared" si="205"/>
        <v>#DIV/0!</v>
      </c>
      <c r="BD202" s="29" t="str">
        <f t="shared" si="205"/>
        <v>#DIV/0!</v>
      </c>
      <c r="BE202" s="29" t="str">
        <f t="shared" si="205"/>
        <v>#DIV/0!</v>
      </c>
      <c r="BF202" s="29" t="str">
        <f t="shared" si="205"/>
        <v>#DIV/0!</v>
      </c>
      <c r="BG202" s="29" t="str">
        <f t="shared" si="205"/>
        <v>#DIV/0!</v>
      </c>
      <c r="BH202" s="29" t="str">
        <f t="shared" si="205"/>
        <v>#DIV/0!</v>
      </c>
      <c r="BI202" s="29" t="str">
        <f t="shared" si="205"/>
        <v>#DIV/0!</v>
      </c>
      <c r="BJ202" s="29" t="str">
        <f t="shared" si="205"/>
        <v>#DIV/0!</v>
      </c>
      <c r="BK202" s="29" t="str">
        <f t="shared" si="205"/>
        <v>#DIV/0!</v>
      </c>
      <c r="BL202" s="29" t="str">
        <f t="shared" si="205"/>
        <v>#DIV/0!</v>
      </c>
      <c r="BM202" s="29" t="str">
        <f t="shared" si="3"/>
        <v>#DIV/0!</v>
      </c>
    </row>
    <row r="203">
      <c r="A203" s="16" t="str">
        <f>IFERROR(__xludf.DUMMYFUNCTION("IFERROR(SPARKLINE(SORT(MAP(TRANSPOSE(AQ203:BL203), LAMBDA(val, IF(ISNUMBER(val), PERCENTRANK(AQ203:BL203, val)+0.01, 0))), SEQUENCE(COLUMNS(AQ203:BL203)), FALSE), {""charttype"",""column""; ""color"",""chartreuse""; ""ymin"", 0; ""ymax"", 1.01; ""highcolo"&amp;"r"", ""darkgreen""; ""lowcolor"", ""red""}), """")"),"")</f>
        <v/>
      </c>
      <c r="B203" s="17" t="str">
        <f t="shared" si="4"/>
        <v/>
      </c>
      <c r="C203" s="1" t="s">
        <v>889</v>
      </c>
      <c r="D203" s="30" t="str">
        <f>IFERROR(__xludf.DUMMYFUNCTION("IFERROR(GOOGLEFINANCE(C203, ""NAME""))"),"SuperX AI Technology Ltd")</f>
        <v>SuperX AI Technology Ltd</v>
      </c>
      <c r="E203" s="30" t="s">
        <v>58</v>
      </c>
      <c r="F203" s="33" t="str">
        <f>IFERROR(__xludf.DUMMYFUNCTION("( (GOOGLEFINANCE(C203, ""price"") - Q203) / Q203 ) / (R203 / 100)"),"Loading...")</f>
        <v>Loading...</v>
      </c>
      <c r="G203" s="20" t="str">
        <f>IFERROR(__xludf.DUMMYFUNCTION("AVERAGE(ARRAYFORMULA(100 * (QUERY(GOOGLEFINANCE(C203, ""high"", TODAY()-40, TODAY()), ""SELECT Col2 WHERE Col2 IS NOT NULL ORDER BY Col1 DESC LIMIT 20"", 0) / QUERY(GOOGLEFINANCE(C203, ""low"", TODAY()-40, TODAY()), ""SELECT Col2 WHERE Col2 IS NOT NULL OR"&amp;"DER BY Col1 DESC LIMIT 20"", 0) - 1)))"),"#N/A")</f>
        <v>#N/A</v>
      </c>
      <c r="H203" s="35" t="str">
        <f t="shared" si="6"/>
        <v/>
      </c>
      <c r="I203" s="36" t="str">
        <f t="shared" si="7"/>
        <v/>
      </c>
      <c r="J203" s="37" t="str">
        <f>IFERROR(__xludf.DUMMYFUNCTION("IFERROR(
  IF(C203="""",, 
    IFERROR(
      GOOGLEFINANCE(C203, ""price"") * GOOGLEFINANCE(C203, ""volumeavg""), 
      GOOGLEFINANCE(C203, ""price"") * AVERAGE(QUERY(GOOGLEFINANCE(C203, ""volume"", TODAY()-40, TODAY()), ""SELECT Col2 WHERE Col2 IS NOT "&amp;"NULL ORDER BY Col1 DESC LIMIT 20"", 0))
    )
  ), 
"""")"),"")</f>
        <v/>
      </c>
      <c r="K203" s="21" t="str">
        <f>IFERROR(__xludf.DUMMYFUNCTION("IFERROR(GOOGLEFINANCE(C203, ""changepct"") / 100, """")"),"")</f>
        <v/>
      </c>
      <c r="L203" s="21" t="str">
        <f>IFERROR(__xludf.DUMMYFUNCTION("IFERROR((GOOGLEFINANCE(C203, ""price"") / INDEX(GOOGLEFINANCE(C203, ""price"", TODAY()-7, TODAY()), 2, 2)) - 1, """")"),"")</f>
        <v/>
      </c>
      <c r="M203" s="21" t="str">
        <f>IFERROR(__xludf.DUMMYFUNCTION("IFERROR((GOOGLEFINANCE(C203, ""price"") / INDEX(GOOGLEFINANCE(C203, ""price"", EDATE(TODAY(), -1), TODAY()), 2, 2)) - 1, """")"),"")</f>
        <v/>
      </c>
      <c r="N203" s="21" t="str">
        <f>IFERROR(__xludf.DUMMYFUNCTION("IFERROR((GOOGLEFINANCE(C203, ""price"") / INDEX(GOOGLEFINANCE(C203, ""price"", EDATE(TODAY(), -3), TODAY()), 2, 2)) - 1, """")"),"")</f>
        <v/>
      </c>
      <c r="O203" s="21" t="str">
        <f>IFERROR(__xludf.DUMMYFUNCTION("IFERROR((GOOGLEFINANCE(C203, ""price"") / INDEX(GOOGLEFINANCE(C203, ""price"", EDATE(TODAY(), -6), TODAY()), 2, 2)) - 1, """")"),"")</f>
        <v/>
      </c>
      <c r="P203" s="21" t="str">
        <f>IFERROR(__xludf.DUMMYFUNCTION("IFERROR((GOOGLEFINANCE(C203, ""price"") / INDEX(GOOGLEFINANCE(C203, ""price"", EDATE(TODAY(), -12), TODAY()), 2, 2)) - 1, """")"),"")</f>
        <v/>
      </c>
      <c r="Q203" s="6" t="str">
        <f>IFERROR(__xludf.DUMMYFUNCTION("AVERAGE(QUERY(GOOGLEFINANCE(C203, ""price"", TODAY()-80, TODAY()), ""SELECT Col2 WHERE Col2 IS NOT NULL ORDER BY Col1 DESC LIMIT 50"", 0))"),"#N/A")</f>
        <v>#N/A</v>
      </c>
      <c r="R203" s="24" t="str">
        <f>IFERROR(__xludf.DUMMYFUNCTION("IFERROR(
  LET(
    data, QUERY(GOOGLEFINANCE(C203,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GOOGLEFINANCE(C203, ""price"")) * 100,
    IF(calc=0, G203, calc)
  ), 
G203)"),"#N/A")</f>
        <v>#N/A</v>
      </c>
      <c r="S203" s="8" t="s">
        <v>15</v>
      </c>
      <c r="T203" s="26" t="str">
        <f>IFERROR(__xludf.DUMMYFUNCTION("IFERROR(TRANSPOSE(QUERY(IFERROR(SORT(GOOGLEFINANCE(C203, ""price"", WORKDAY(TODAY(), -40), TODAY()), 1, FALSE)), ""select Col2 where Col2 is not null limit 22 label Col2 ''"", 0)), """")"),"")</f>
        <v/>
      </c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8"/>
      <c r="AO203" s="28"/>
      <c r="AP203" s="29"/>
      <c r="AQ203" s="29" t="str">
        <f t="shared" ref="AQ203:BL203" si="206">T203/T$2</f>
        <v>#N/A</v>
      </c>
      <c r="AR203" s="29" t="str">
        <f t="shared" si="206"/>
        <v>#DIV/0!</v>
      </c>
      <c r="AS203" s="29" t="str">
        <f t="shared" si="206"/>
        <v>#DIV/0!</v>
      </c>
      <c r="AT203" s="29" t="str">
        <f t="shared" si="206"/>
        <v>#DIV/0!</v>
      </c>
      <c r="AU203" s="29" t="str">
        <f t="shared" si="206"/>
        <v>#DIV/0!</v>
      </c>
      <c r="AV203" s="29" t="str">
        <f t="shared" si="206"/>
        <v>#DIV/0!</v>
      </c>
      <c r="AW203" s="29" t="str">
        <f t="shared" si="206"/>
        <v>#DIV/0!</v>
      </c>
      <c r="AX203" s="29" t="str">
        <f t="shared" si="206"/>
        <v>#DIV/0!</v>
      </c>
      <c r="AY203" s="29" t="str">
        <f t="shared" si="206"/>
        <v>#DIV/0!</v>
      </c>
      <c r="AZ203" s="29" t="str">
        <f t="shared" si="206"/>
        <v>#DIV/0!</v>
      </c>
      <c r="BA203" s="29" t="str">
        <f t="shared" si="206"/>
        <v>#DIV/0!</v>
      </c>
      <c r="BB203" s="29" t="str">
        <f t="shared" si="206"/>
        <v>#DIV/0!</v>
      </c>
      <c r="BC203" s="29" t="str">
        <f t="shared" si="206"/>
        <v>#DIV/0!</v>
      </c>
      <c r="BD203" s="29" t="str">
        <f t="shared" si="206"/>
        <v>#DIV/0!</v>
      </c>
      <c r="BE203" s="29" t="str">
        <f t="shared" si="206"/>
        <v>#DIV/0!</v>
      </c>
      <c r="BF203" s="29" t="str">
        <f t="shared" si="206"/>
        <v>#DIV/0!</v>
      </c>
      <c r="BG203" s="29" t="str">
        <f t="shared" si="206"/>
        <v>#DIV/0!</v>
      </c>
      <c r="BH203" s="29" t="str">
        <f t="shared" si="206"/>
        <v>#DIV/0!</v>
      </c>
      <c r="BI203" s="29" t="str">
        <f t="shared" si="206"/>
        <v>#DIV/0!</v>
      </c>
      <c r="BJ203" s="29" t="str">
        <f t="shared" si="206"/>
        <v>#DIV/0!</v>
      </c>
      <c r="BK203" s="29" t="str">
        <f t="shared" si="206"/>
        <v>#DIV/0!</v>
      </c>
      <c r="BL203" s="29" t="str">
        <f t="shared" si="206"/>
        <v>#DIV/0!</v>
      </c>
      <c r="BM203" s="29" t="str">
        <f t="shared" si="3"/>
        <v>#DIV/0!</v>
      </c>
    </row>
    <row r="204">
      <c r="A204" s="16" t="str">
        <f>IFERROR(__xludf.DUMMYFUNCTION("IFERROR(SPARKLINE(SORT(MAP(TRANSPOSE(AQ204:BL204), LAMBDA(val, IF(ISNUMBER(val), PERCENTRANK(AQ204:BL204, val)+0.01, 0))), SEQUENCE(COLUMNS(AQ204:BL204)), FALSE), {""charttype"",""column""; ""color"",""chartreuse""; ""ymin"", 0; ""ymax"", 1.01; ""highcolo"&amp;"r"", ""darkgreen""; ""lowcolor"", ""red""}), """")"),"")</f>
        <v/>
      </c>
      <c r="B204" s="17" t="str">
        <f t="shared" si="4"/>
        <v/>
      </c>
      <c r="C204" s="1" t="s">
        <v>894</v>
      </c>
      <c r="D204" s="30" t="str">
        <f>IFERROR(__xludf.DUMMYFUNCTION("IFERROR(GOOGLEFINANCE(C204, ""NAME""))"),"Pagaya Technologies Ltd")</f>
        <v>Pagaya Technologies Ltd</v>
      </c>
      <c r="E204" s="30" t="s">
        <v>58</v>
      </c>
      <c r="F204" s="33" t="str">
        <f>IFERROR(__xludf.DUMMYFUNCTION("( (GOOGLEFINANCE(C204, ""price"") - Q204) / Q204 ) / (R204 / 100)"),"Loading...")</f>
        <v>Loading...</v>
      </c>
      <c r="G204" s="20" t="str">
        <f>IFERROR(__xludf.DUMMYFUNCTION("AVERAGE(ARRAYFORMULA(100 * (QUERY(GOOGLEFINANCE(C204, ""high"", TODAY()-40, TODAY()), ""SELECT Col2 WHERE Col2 IS NOT NULL ORDER BY Col1 DESC LIMIT 20"", 0) / QUERY(GOOGLEFINANCE(C204, ""low"", TODAY()-40, TODAY()), ""SELECT Col2 WHERE Col2 IS NOT NULL OR"&amp;"DER BY Col1 DESC LIMIT 20"", 0) - 1)))"),"#N/A")</f>
        <v>#N/A</v>
      </c>
      <c r="H204" s="35" t="str">
        <f t="shared" si="6"/>
        <v/>
      </c>
      <c r="I204" s="36" t="str">
        <f t="shared" si="7"/>
        <v/>
      </c>
      <c r="J204" s="37" t="str">
        <f>IFERROR(__xludf.DUMMYFUNCTION("IFERROR(
  IF(C204="""",, 
    IFERROR(
      GOOGLEFINANCE(C204, ""price"") * GOOGLEFINANCE(C204, ""volumeavg""), 
      GOOGLEFINANCE(C204, ""price"") * AVERAGE(QUERY(GOOGLEFINANCE(C204, ""volume"", TODAY()-40, TODAY()), ""SELECT Col2 WHERE Col2 IS NOT "&amp;"NULL ORDER BY Col1 DESC LIMIT 20"", 0))
    )
  ), 
"""")"),"")</f>
        <v/>
      </c>
      <c r="K204" s="21" t="str">
        <f>IFERROR(__xludf.DUMMYFUNCTION("IFERROR(GOOGLEFINANCE(C204, ""changepct"") / 100, """")"),"")</f>
        <v/>
      </c>
      <c r="L204" s="21" t="str">
        <f>IFERROR(__xludf.DUMMYFUNCTION("IFERROR((GOOGLEFINANCE(C204, ""price"") / INDEX(GOOGLEFINANCE(C204, ""price"", TODAY()-7, TODAY()), 2, 2)) - 1, """")"),"")</f>
        <v/>
      </c>
      <c r="M204" s="21" t="str">
        <f>IFERROR(__xludf.DUMMYFUNCTION("IFERROR((GOOGLEFINANCE(C204, ""price"") / INDEX(GOOGLEFINANCE(C204, ""price"", EDATE(TODAY(), -1), TODAY()), 2, 2)) - 1, """")"),"")</f>
        <v/>
      </c>
      <c r="N204" s="21" t="str">
        <f>IFERROR(__xludf.DUMMYFUNCTION("IFERROR((GOOGLEFINANCE(C204, ""price"") / INDEX(GOOGLEFINANCE(C204, ""price"", EDATE(TODAY(), -3), TODAY()), 2, 2)) - 1, """")"),"")</f>
        <v/>
      </c>
      <c r="O204" s="21" t="str">
        <f>IFERROR(__xludf.DUMMYFUNCTION("IFERROR((GOOGLEFINANCE(C204, ""price"") / INDEX(GOOGLEFINANCE(C204, ""price"", EDATE(TODAY(), -6), TODAY()), 2, 2)) - 1, """")"),"")</f>
        <v/>
      </c>
      <c r="P204" s="21" t="str">
        <f>IFERROR(__xludf.DUMMYFUNCTION("IFERROR((GOOGLEFINANCE(C204, ""price"") / INDEX(GOOGLEFINANCE(C204, ""price"", EDATE(TODAY(), -12), TODAY()), 2, 2)) - 1, """")"),"")</f>
        <v/>
      </c>
      <c r="Q204" s="6" t="str">
        <f>IFERROR(__xludf.DUMMYFUNCTION("AVERAGE(QUERY(GOOGLEFINANCE(C204, ""price"", TODAY()-80, TODAY()), ""SELECT Col2 WHERE Col2 IS NOT NULL ORDER BY Col1 DESC LIMIT 50"", 0))"),"#N/A")</f>
        <v>#N/A</v>
      </c>
      <c r="R204" s="24" t="str">
        <f>IFERROR(__xludf.DUMMYFUNCTION("IFERROR(
  LET(
    data, QUERY(GOOGLEFINANCE(C204,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GOOGLEFINANCE(C204, ""price"")) * 100,
    IF(calc=0, G204, calc)
  ), 
G204)"),"#N/A")</f>
        <v>#N/A</v>
      </c>
      <c r="S204" s="8" t="s">
        <v>15</v>
      </c>
      <c r="T204" s="26" t="str">
        <f>IFERROR(__xludf.DUMMYFUNCTION("IFERROR(TRANSPOSE(QUERY(IFERROR(SORT(GOOGLEFINANCE(C204, ""price"", WORKDAY(TODAY(), -40), TODAY()), 1, FALSE)), ""select Col2 where Col2 is not null limit 22 label Col2 ''"", 0)), """")"),"")</f>
        <v/>
      </c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8"/>
      <c r="AO204" s="28"/>
      <c r="AP204" s="29"/>
      <c r="AQ204" s="29" t="str">
        <f t="shared" ref="AQ204:BL204" si="207">T204/T$2</f>
        <v>#N/A</v>
      </c>
      <c r="AR204" s="29" t="str">
        <f t="shared" si="207"/>
        <v>#DIV/0!</v>
      </c>
      <c r="AS204" s="29" t="str">
        <f t="shared" si="207"/>
        <v>#DIV/0!</v>
      </c>
      <c r="AT204" s="29" t="str">
        <f t="shared" si="207"/>
        <v>#DIV/0!</v>
      </c>
      <c r="AU204" s="29" t="str">
        <f t="shared" si="207"/>
        <v>#DIV/0!</v>
      </c>
      <c r="AV204" s="29" t="str">
        <f t="shared" si="207"/>
        <v>#DIV/0!</v>
      </c>
      <c r="AW204" s="29" t="str">
        <f t="shared" si="207"/>
        <v>#DIV/0!</v>
      </c>
      <c r="AX204" s="29" t="str">
        <f t="shared" si="207"/>
        <v>#DIV/0!</v>
      </c>
      <c r="AY204" s="29" t="str">
        <f t="shared" si="207"/>
        <v>#DIV/0!</v>
      </c>
      <c r="AZ204" s="29" t="str">
        <f t="shared" si="207"/>
        <v>#DIV/0!</v>
      </c>
      <c r="BA204" s="29" t="str">
        <f t="shared" si="207"/>
        <v>#DIV/0!</v>
      </c>
      <c r="BB204" s="29" t="str">
        <f t="shared" si="207"/>
        <v>#DIV/0!</v>
      </c>
      <c r="BC204" s="29" t="str">
        <f t="shared" si="207"/>
        <v>#DIV/0!</v>
      </c>
      <c r="BD204" s="29" t="str">
        <f t="shared" si="207"/>
        <v>#DIV/0!</v>
      </c>
      <c r="BE204" s="29" t="str">
        <f t="shared" si="207"/>
        <v>#DIV/0!</v>
      </c>
      <c r="BF204" s="29" t="str">
        <f t="shared" si="207"/>
        <v>#DIV/0!</v>
      </c>
      <c r="BG204" s="29" t="str">
        <f t="shared" si="207"/>
        <v>#DIV/0!</v>
      </c>
      <c r="BH204" s="29" t="str">
        <f t="shared" si="207"/>
        <v>#DIV/0!</v>
      </c>
      <c r="BI204" s="29" t="str">
        <f t="shared" si="207"/>
        <v>#DIV/0!</v>
      </c>
      <c r="BJ204" s="29" t="str">
        <f t="shared" si="207"/>
        <v>#DIV/0!</v>
      </c>
      <c r="BK204" s="29" t="str">
        <f t="shared" si="207"/>
        <v>#DIV/0!</v>
      </c>
      <c r="BL204" s="29" t="str">
        <f t="shared" si="207"/>
        <v>#DIV/0!</v>
      </c>
      <c r="BM204" s="29" t="str">
        <f t="shared" si="3"/>
        <v>#DIV/0!</v>
      </c>
    </row>
    <row r="205">
      <c r="A205" s="16" t="str">
        <f>IFERROR(__xludf.DUMMYFUNCTION("IFERROR(SPARKLINE(SORT(MAP(TRANSPOSE(AQ205:BL205), LAMBDA(val, IF(ISNUMBER(val), PERCENTRANK(AQ205:BL205, val)+0.01, 0))), SEQUENCE(COLUMNS(AQ205:BL205)), FALSE), {""charttype"",""column""; ""color"",""chartreuse""; ""ymin"", 0; ""ymax"", 1.01; ""highcolo"&amp;"r"", ""darkgreen""; ""lowcolor"", ""red""}), """")"),"")</f>
        <v/>
      </c>
      <c r="B205" s="17" t="str">
        <f t="shared" si="4"/>
        <v/>
      </c>
      <c r="C205" s="1" t="s">
        <v>898</v>
      </c>
      <c r="D205" s="30" t="str">
        <f>IFERROR(__xludf.DUMMYFUNCTION("IFERROR(GOOGLEFINANCE(C205, ""NAME""))"),"EverCommerce Inc")</f>
        <v>EverCommerce Inc</v>
      </c>
      <c r="E205" s="30" t="s">
        <v>58</v>
      </c>
      <c r="F205" s="33" t="str">
        <f>IFERROR(__xludf.DUMMYFUNCTION("( (GOOGLEFINANCE(C205, ""price"") - Q205) / Q205 ) / (R205 / 100)"),"Loading...")</f>
        <v>Loading...</v>
      </c>
      <c r="G205" s="20" t="str">
        <f>IFERROR(__xludf.DUMMYFUNCTION("AVERAGE(ARRAYFORMULA(100 * (QUERY(GOOGLEFINANCE(C205, ""high"", TODAY()-40, TODAY()), ""SELECT Col2 WHERE Col2 IS NOT NULL ORDER BY Col1 DESC LIMIT 20"", 0) / QUERY(GOOGLEFINANCE(C205, ""low"", TODAY()-40, TODAY()), ""SELECT Col2 WHERE Col2 IS NOT NULL OR"&amp;"DER BY Col1 DESC LIMIT 20"", 0) - 1)))"),"#N/A")</f>
        <v>#N/A</v>
      </c>
      <c r="H205" s="35" t="str">
        <f t="shared" si="6"/>
        <v/>
      </c>
      <c r="I205" s="36" t="str">
        <f t="shared" si="7"/>
        <v/>
      </c>
      <c r="J205" s="37" t="str">
        <f>IFERROR(__xludf.DUMMYFUNCTION("IFERROR(
  IF(C205="""",, 
    IFERROR(
      GOOGLEFINANCE(C205, ""price"") * GOOGLEFINANCE(C205, ""volumeavg""), 
      GOOGLEFINANCE(C205, ""price"") * AVERAGE(QUERY(GOOGLEFINANCE(C205, ""volume"", TODAY()-40, TODAY()), ""SELECT Col2 WHERE Col2 IS NOT "&amp;"NULL ORDER BY Col1 DESC LIMIT 20"", 0))
    )
  ), 
"""")"),"")</f>
        <v/>
      </c>
      <c r="K205" s="21" t="str">
        <f>IFERROR(__xludf.DUMMYFUNCTION("IFERROR(GOOGLEFINANCE(C205, ""changepct"") / 100, """")"),"")</f>
        <v/>
      </c>
      <c r="L205" s="21" t="str">
        <f>IFERROR(__xludf.DUMMYFUNCTION("IFERROR((GOOGLEFINANCE(C205, ""price"") / INDEX(GOOGLEFINANCE(C205, ""price"", TODAY()-7, TODAY()), 2, 2)) - 1, """")"),"")</f>
        <v/>
      </c>
      <c r="M205" s="21" t="str">
        <f>IFERROR(__xludf.DUMMYFUNCTION("IFERROR((GOOGLEFINANCE(C205, ""price"") / INDEX(GOOGLEFINANCE(C205, ""price"", EDATE(TODAY(), -1), TODAY()), 2, 2)) - 1, """")"),"")</f>
        <v/>
      </c>
      <c r="N205" s="21" t="str">
        <f>IFERROR(__xludf.DUMMYFUNCTION("IFERROR((GOOGLEFINANCE(C205, ""price"") / INDEX(GOOGLEFINANCE(C205, ""price"", EDATE(TODAY(), -3), TODAY()), 2, 2)) - 1, """")"),"")</f>
        <v/>
      </c>
      <c r="O205" s="21" t="str">
        <f>IFERROR(__xludf.DUMMYFUNCTION("IFERROR((GOOGLEFINANCE(C205, ""price"") / INDEX(GOOGLEFINANCE(C205, ""price"", EDATE(TODAY(), -6), TODAY()), 2, 2)) - 1, """")"),"")</f>
        <v/>
      </c>
      <c r="P205" s="21" t="str">
        <f>IFERROR(__xludf.DUMMYFUNCTION("IFERROR((GOOGLEFINANCE(C205, ""price"") / INDEX(GOOGLEFINANCE(C205, ""price"", EDATE(TODAY(), -12), TODAY()), 2, 2)) - 1, """")"),"")</f>
        <v/>
      </c>
      <c r="Q205" s="6" t="str">
        <f>IFERROR(__xludf.DUMMYFUNCTION("AVERAGE(QUERY(GOOGLEFINANCE(C205, ""price"", TODAY()-80, TODAY()), ""SELECT Col2 WHERE Col2 IS NOT NULL ORDER BY Col1 DESC LIMIT 50"", 0))"),"#N/A")</f>
        <v>#N/A</v>
      </c>
      <c r="R205" s="24" t="str">
        <f>IFERROR(__xludf.DUMMYFUNCTION("IFERROR(
  LET(
    data, QUERY(GOOGLEFINANCE(C205,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GOOGLEFINANCE(C205, ""price"")) * 100,
    IF(calc=0, G205, calc)
  ), 
G205)"),"#N/A")</f>
        <v>#N/A</v>
      </c>
      <c r="S205" s="8" t="s">
        <v>15</v>
      </c>
      <c r="T205" s="26" t="str">
        <f>IFERROR(__xludf.DUMMYFUNCTION("IFERROR(TRANSPOSE(QUERY(IFERROR(SORT(GOOGLEFINANCE(C205, ""price"", WORKDAY(TODAY(), -40), TODAY()), 1, FALSE)), ""select Col2 where Col2 is not null limit 22 label Col2 ''"", 0)), """")"),"")</f>
        <v/>
      </c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8"/>
      <c r="AO205" s="28"/>
      <c r="AP205" s="29"/>
      <c r="AQ205" s="29" t="str">
        <f t="shared" ref="AQ205:BL205" si="208">T205/T$2</f>
        <v>#N/A</v>
      </c>
      <c r="AR205" s="29" t="str">
        <f t="shared" si="208"/>
        <v>#DIV/0!</v>
      </c>
      <c r="AS205" s="29" t="str">
        <f t="shared" si="208"/>
        <v>#DIV/0!</v>
      </c>
      <c r="AT205" s="29" t="str">
        <f t="shared" si="208"/>
        <v>#DIV/0!</v>
      </c>
      <c r="AU205" s="29" t="str">
        <f t="shared" si="208"/>
        <v>#DIV/0!</v>
      </c>
      <c r="AV205" s="29" t="str">
        <f t="shared" si="208"/>
        <v>#DIV/0!</v>
      </c>
      <c r="AW205" s="29" t="str">
        <f t="shared" si="208"/>
        <v>#DIV/0!</v>
      </c>
      <c r="AX205" s="29" t="str">
        <f t="shared" si="208"/>
        <v>#DIV/0!</v>
      </c>
      <c r="AY205" s="29" t="str">
        <f t="shared" si="208"/>
        <v>#DIV/0!</v>
      </c>
      <c r="AZ205" s="29" t="str">
        <f t="shared" si="208"/>
        <v>#DIV/0!</v>
      </c>
      <c r="BA205" s="29" t="str">
        <f t="shared" si="208"/>
        <v>#DIV/0!</v>
      </c>
      <c r="BB205" s="29" t="str">
        <f t="shared" si="208"/>
        <v>#DIV/0!</v>
      </c>
      <c r="BC205" s="29" t="str">
        <f t="shared" si="208"/>
        <v>#DIV/0!</v>
      </c>
      <c r="BD205" s="29" t="str">
        <f t="shared" si="208"/>
        <v>#DIV/0!</v>
      </c>
      <c r="BE205" s="29" t="str">
        <f t="shared" si="208"/>
        <v>#DIV/0!</v>
      </c>
      <c r="BF205" s="29" t="str">
        <f t="shared" si="208"/>
        <v>#DIV/0!</v>
      </c>
      <c r="BG205" s="29" t="str">
        <f t="shared" si="208"/>
        <v>#DIV/0!</v>
      </c>
      <c r="BH205" s="29" t="str">
        <f t="shared" si="208"/>
        <v>#DIV/0!</v>
      </c>
      <c r="BI205" s="29" t="str">
        <f t="shared" si="208"/>
        <v>#DIV/0!</v>
      </c>
      <c r="BJ205" s="29" t="str">
        <f t="shared" si="208"/>
        <v>#DIV/0!</v>
      </c>
      <c r="BK205" s="29" t="str">
        <f t="shared" si="208"/>
        <v>#DIV/0!</v>
      </c>
      <c r="BL205" s="29" t="str">
        <f t="shared" si="208"/>
        <v>#DIV/0!</v>
      </c>
      <c r="BM205" s="29" t="str">
        <f t="shared" si="3"/>
        <v>#DIV/0!</v>
      </c>
    </row>
    <row r="206">
      <c r="A206" s="16" t="str">
        <f>IFERROR(__xludf.DUMMYFUNCTION("IFERROR(SPARKLINE(SORT(MAP(TRANSPOSE(AQ206:BL206), LAMBDA(val, IF(ISNUMBER(val), PERCENTRANK(AQ206:BL206, val)+0.01, 0))), SEQUENCE(COLUMNS(AQ206:BL206)), FALSE), {""charttype"",""column""; ""color"",""chartreuse""; ""ymin"", 0; ""ymax"", 1.01; ""highcolo"&amp;"r"", ""darkgreen""; ""lowcolor"", ""red""}), """")"),"")</f>
        <v/>
      </c>
      <c r="B206" s="17" t="str">
        <f t="shared" si="4"/>
        <v/>
      </c>
      <c r="C206" s="1" t="s">
        <v>902</v>
      </c>
      <c r="D206" s="30" t="str">
        <f>IFERROR(__xludf.DUMMYFUNCTION("IFERROR(GOOGLEFINANCE(C206, ""NAME""))"),"Skyworks Solutions Inc")</f>
        <v>Skyworks Solutions Inc</v>
      </c>
      <c r="E206" s="30" t="s">
        <v>871</v>
      </c>
      <c r="F206" s="33" t="str">
        <f>IFERROR(__xludf.DUMMYFUNCTION("( (GOOGLEFINANCE(C206, ""price"") - Q206) / Q206 ) / (R206 / 100)"),"Loading...")</f>
        <v>Loading...</v>
      </c>
      <c r="G206" s="20" t="str">
        <f>IFERROR(__xludf.DUMMYFUNCTION("AVERAGE(ARRAYFORMULA(100 * (QUERY(GOOGLEFINANCE(C206, ""high"", TODAY()-40, TODAY()), ""SELECT Col2 WHERE Col2 IS NOT NULL ORDER BY Col1 DESC LIMIT 20"", 0) / QUERY(GOOGLEFINANCE(C206, ""low"", TODAY()-40, TODAY()), ""SELECT Col2 WHERE Col2 IS NOT NULL OR"&amp;"DER BY Col1 DESC LIMIT 20"", 0) - 1)))"),"#N/A")</f>
        <v>#N/A</v>
      </c>
      <c r="H206" s="35" t="str">
        <f t="shared" si="6"/>
        <v/>
      </c>
      <c r="I206" s="36" t="str">
        <f t="shared" si="7"/>
        <v/>
      </c>
      <c r="J206" s="37" t="str">
        <f>IFERROR(__xludf.DUMMYFUNCTION("IFERROR(
  IF(C206="""",, 
    IFERROR(
      GOOGLEFINANCE(C206, ""price"") * GOOGLEFINANCE(C206, ""volumeavg""), 
      GOOGLEFINANCE(C206, ""price"") * AVERAGE(QUERY(GOOGLEFINANCE(C206, ""volume"", TODAY()-40, TODAY()), ""SELECT Col2 WHERE Col2 IS NOT "&amp;"NULL ORDER BY Col1 DESC LIMIT 20"", 0))
    )
  ), 
"""")"),"")</f>
        <v/>
      </c>
      <c r="K206" s="21" t="str">
        <f>IFERROR(__xludf.DUMMYFUNCTION("IFERROR(GOOGLEFINANCE(C206, ""changepct"") / 100, """")"),"")</f>
        <v/>
      </c>
      <c r="L206" s="21" t="str">
        <f>IFERROR(__xludf.DUMMYFUNCTION("IFERROR((GOOGLEFINANCE(C206, ""price"") / INDEX(GOOGLEFINANCE(C206, ""price"", TODAY()-7, TODAY()), 2, 2)) - 1, """")"),"")</f>
        <v/>
      </c>
      <c r="M206" s="21" t="str">
        <f>IFERROR(__xludf.DUMMYFUNCTION("IFERROR((GOOGLEFINANCE(C206, ""price"") / INDEX(GOOGLEFINANCE(C206, ""price"", EDATE(TODAY(), -1), TODAY()), 2, 2)) - 1, """")"),"")</f>
        <v/>
      </c>
      <c r="N206" s="21" t="str">
        <f>IFERROR(__xludf.DUMMYFUNCTION("IFERROR((GOOGLEFINANCE(C206, ""price"") / INDEX(GOOGLEFINANCE(C206, ""price"", EDATE(TODAY(), -3), TODAY()), 2, 2)) - 1, """")"),"")</f>
        <v/>
      </c>
      <c r="O206" s="21" t="str">
        <f>IFERROR(__xludf.DUMMYFUNCTION("IFERROR((GOOGLEFINANCE(C206, ""price"") / INDEX(GOOGLEFINANCE(C206, ""price"", EDATE(TODAY(), -6), TODAY()), 2, 2)) - 1, """")"),"")</f>
        <v/>
      </c>
      <c r="P206" s="21" t="str">
        <f>IFERROR(__xludf.DUMMYFUNCTION("IFERROR((GOOGLEFINANCE(C206, ""price"") / INDEX(GOOGLEFINANCE(C206, ""price"", EDATE(TODAY(), -12), TODAY()), 2, 2)) - 1, """")"),"")</f>
        <v/>
      </c>
      <c r="Q206" s="6" t="str">
        <f>IFERROR(__xludf.DUMMYFUNCTION("AVERAGE(QUERY(GOOGLEFINANCE(C206, ""price"", TODAY()-80, TODAY()), ""SELECT Col2 WHERE Col2 IS NOT NULL ORDER BY Col1 DESC LIMIT 50"", 0))"),"#N/A")</f>
        <v>#N/A</v>
      </c>
      <c r="R206" s="24" t="str">
        <f>IFERROR(__xludf.DUMMYFUNCTION("IFERROR(
  LET(
    data, QUERY(GOOGLEFINANCE(C206,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GOOGLEFINANCE(C206, ""price"")) * 100,
    IF(calc=0, G206, calc)
  ), 
G206)"),"#N/A")</f>
        <v>#N/A</v>
      </c>
      <c r="S206" s="8" t="s">
        <v>15</v>
      </c>
      <c r="T206" s="26" t="str">
        <f>IFERROR(__xludf.DUMMYFUNCTION("IFERROR(TRANSPOSE(QUERY(IFERROR(SORT(GOOGLEFINANCE(C206, ""price"", WORKDAY(TODAY(), -40), TODAY()), 1, FALSE)), ""select Col2 where Col2 is not null limit 22 label Col2 ''"", 0)), """")"),"")</f>
        <v/>
      </c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8"/>
      <c r="AO206" s="28"/>
      <c r="AP206" s="29"/>
      <c r="AQ206" s="29" t="str">
        <f t="shared" ref="AQ206:BL206" si="209">T206/T$2</f>
        <v>#N/A</v>
      </c>
      <c r="AR206" s="29" t="str">
        <f t="shared" si="209"/>
        <v>#DIV/0!</v>
      </c>
      <c r="AS206" s="29" t="str">
        <f t="shared" si="209"/>
        <v>#DIV/0!</v>
      </c>
      <c r="AT206" s="29" t="str">
        <f t="shared" si="209"/>
        <v>#DIV/0!</v>
      </c>
      <c r="AU206" s="29" t="str">
        <f t="shared" si="209"/>
        <v>#DIV/0!</v>
      </c>
      <c r="AV206" s="29" t="str">
        <f t="shared" si="209"/>
        <v>#DIV/0!</v>
      </c>
      <c r="AW206" s="29" t="str">
        <f t="shared" si="209"/>
        <v>#DIV/0!</v>
      </c>
      <c r="AX206" s="29" t="str">
        <f t="shared" si="209"/>
        <v>#DIV/0!</v>
      </c>
      <c r="AY206" s="29" t="str">
        <f t="shared" si="209"/>
        <v>#DIV/0!</v>
      </c>
      <c r="AZ206" s="29" t="str">
        <f t="shared" si="209"/>
        <v>#DIV/0!</v>
      </c>
      <c r="BA206" s="29" t="str">
        <f t="shared" si="209"/>
        <v>#DIV/0!</v>
      </c>
      <c r="BB206" s="29" t="str">
        <f t="shared" si="209"/>
        <v>#DIV/0!</v>
      </c>
      <c r="BC206" s="29" t="str">
        <f t="shared" si="209"/>
        <v>#DIV/0!</v>
      </c>
      <c r="BD206" s="29" t="str">
        <f t="shared" si="209"/>
        <v>#DIV/0!</v>
      </c>
      <c r="BE206" s="29" t="str">
        <f t="shared" si="209"/>
        <v>#DIV/0!</v>
      </c>
      <c r="BF206" s="29" t="str">
        <f t="shared" si="209"/>
        <v>#DIV/0!</v>
      </c>
      <c r="BG206" s="29" t="str">
        <f t="shared" si="209"/>
        <v>#DIV/0!</v>
      </c>
      <c r="BH206" s="29" t="str">
        <f t="shared" si="209"/>
        <v>#DIV/0!</v>
      </c>
      <c r="BI206" s="29" t="str">
        <f t="shared" si="209"/>
        <v>#DIV/0!</v>
      </c>
      <c r="BJ206" s="29" t="str">
        <f t="shared" si="209"/>
        <v>#DIV/0!</v>
      </c>
      <c r="BK206" s="29" t="str">
        <f t="shared" si="209"/>
        <v>#DIV/0!</v>
      </c>
      <c r="BL206" s="29" t="str">
        <f t="shared" si="209"/>
        <v>#DIV/0!</v>
      </c>
      <c r="BM206" s="29" t="str">
        <f t="shared" si="3"/>
        <v>#DIV/0!</v>
      </c>
    </row>
    <row r="207">
      <c r="A207" s="16" t="str">
        <f>IFERROR(__xludf.DUMMYFUNCTION("IFERROR(SPARKLINE(SORT(MAP(TRANSPOSE(AQ207:BL207), LAMBDA(val, IF(ISNUMBER(val), PERCENTRANK(AQ207:BL207, val)+0.01, 0))), SEQUENCE(COLUMNS(AQ207:BL207)), FALSE), {""charttype"",""column""; ""color"",""chartreuse""; ""ymin"", 0; ""ymax"", 1.01; ""highcolo"&amp;"r"", ""darkgreen""; ""lowcolor"", ""red""}), """")"),"")</f>
        <v/>
      </c>
      <c r="B207" s="17" t="str">
        <f t="shared" si="4"/>
        <v/>
      </c>
      <c r="C207" s="1" t="s">
        <v>906</v>
      </c>
      <c r="D207" s="30" t="str">
        <f>IFERROR(__xludf.DUMMYFUNCTION("IFERROR(GOOGLEFINANCE(C207, ""NAME""))"),"Corpay Inc")</f>
        <v>Corpay Inc</v>
      </c>
      <c r="E207" s="30" t="s">
        <v>58</v>
      </c>
      <c r="F207" s="33" t="str">
        <f>IFERROR(__xludf.DUMMYFUNCTION("( (GOOGLEFINANCE(C207, ""price"") - Q207) / Q207 ) / (R207 / 100)"),"Loading...")</f>
        <v>Loading...</v>
      </c>
      <c r="G207" s="20" t="str">
        <f>IFERROR(__xludf.DUMMYFUNCTION("AVERAGE(ARRAYFORMULA(100 * (QUERY(GOOGLEFINANCE(C207, ""high"", TODAY()-40, TODAY()), ""SELECT Col2 WHERE Col2 IS NOT NULL ORDER BY Col1 DESC LIMIT 20"", 0) / QUERY(GOOGLEFINANCE(C207, ""low"", TODAY()-40, TODAY()), ""SELECT Col2 WHERE Col2 IS NOT NULL OR"&amp;"DER BY Col1 DESC LIMIT 20"", 0) - 1)))"),"#N/A")</f>
        <v>#N/A</v>
      </c>
      <c r="H207" s="35" t="str">
        <f t="shared" si="6"/>
        <v/>
      </c>
      <c r="I207" s="36" t="str">
        <f t="shared" si="7"/>
        <v/>
      </c>
      <c r="J207" s="37" t="str">
        <f>IFERROR(__xludf.DUMMYFUNCTION("IFERROR(
  IF(C207="""",, 
    IFERROR(
      GOOGLEFINANCE(C207, ""price"") * GOOGLEFINANCE(C207, ""volumeavg""), 
      GOOGLEFINANCE(C207, ""price"") * AVERAGE(QUERY(GOOGLEFINANCE(C207, ""volume"", TODAY()-40, TODAY()), ""SELECT Col2 WHERE Col2 IS NOT "&amp;"NULL ORDER BY Col1 DESC LIMIT 20"", 0))
    )
  ), 
"""")"),"")</f>
        <v/>
      </c>
      <c r="K207" s="21" t="str">
        <f>IFERROR(__xludf.DUMMYFUNCTION("IFERROR(GOOGLEFINANCE(C207, ""changepct"") / 100, """")"),"")</f>
        <v/>
      </c>
      <c r="L207" s="21" t="str">
        <f>IFERROR(__xludf.DUMMYFUNCTION("IFERROR((GOOGLEFINANCE(C207, ""price"") / INDEX(GOOGLEFINANCE(C207, ""price"", TODAY()-7, TODAY()), 2, 2)) - 1, """")"),"")</f>
        <v/>
      </c>
      <c r="M207" s="21" t="str">
        <f>IFERROR(__xludf.DUMMYFUNCTION("IFERROR((GOOGLEFINANCE(C207, ""price"") / INDEX(GOOGLEFINANCE(C207, ""price"", EDATE(TODAY(), -1), TODAY()), 2, 2)) - 1, """")"),"")</f>
        <v/>
      </c>
      <c r="N207" s="21" t="str">
        <f>IFERROR(__xludf.DUMMYFUNCTION("IFERROR((GOOGLEFINANCE(C207, ""price"") / INDEX(GOOGLEFINANCE(C207, ""price"", EDATE(TODAY(), -3), TODAY()), 2, 2)) - 1, """")"),"")</f>
        <v/>
      </c>
      <c r="O207" s="21" t="str">
        <f>IFERROR(__xludf.DUMMYFUNCTION("IFERROR((GOOGLEFINANCE(C207, ""price"") / INDEX(GOOGLEFINANCE(C207, ""price"", EDATE(TODAY(), -6), TODAY()), 2, 2)) - 1, """")"),"")</f>
        <v/>
      </c>
      <c r="P207" s="21" t="str">
        <f>IFERROR(__xludf.DUMMYFUNCTION("IFERROR((GOOGLEFINANCE(C207, ""price"") / INDEX(GOOGLEFINANCE(C207, ""price"", EDATE(TODAY(), -12), TODAY()), 2, 2)) - 1, """")"),"")</f>
        <v/>
      </c>
      <c r="Q207" s="6" t="str">
        <f>IFERROR(__xludf.DUMMYFUNCTION("AVERAGE(QUERY(GOOGLEFINANCE(C207, ""price"", TODAY()-80, TODAY()), ""SELECT Col2 WHERE Col2 IS NOT NULL ORDER BY Col1 DESC LIMIT 50"", 0))"),"#N/A")</f>
        <v>#N/A</v>
      </c>
      <c r="R207" s="24" t="str">
        <f>IFERROR(__xludf.DUMMYFUNCTION("IFERROR(
  LET(
    data, QUERY(GOOGLEFINANCE(C207,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GOOGLEFINANCE(C207, ""price"")) * 100,
    IF(calc=0, G207, calc)
  ), 
G207)"),"#N/A")</f>
        <v>#N/A</v>
      </c>
      <c r="S207" s="8" t="s">
        <v>15</v>
      </c>
      <c r="T207" s="26" t="str">
        <f>IFERROR(__xludf.DUMMYFUNCTION("IFERROR(TRANSPOSE(QUERY(IFERROR(SORT(GOOGLEFINANCE(C207, ""price"", WORKDAY(TODAY(), -40), TODAY()), 1, FALSE)), ""select Col2 where Col2 is not null limit 22 label Col2 ''"", 0)), """")"),"")</f>
        <v/>
      </c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8"/>
      <c r="AO207" s="28"/>
      <c r="AP207" s="29"/>
      <c r="AQ207" s="29" t="str">
        <f t="shared" ref="AQ207:BL207" si="210">T207/T$2</f>
        <v>#N/A</v>
      </c>
      <c r="AR207" s="29" t="str">
        <f t="shared" si="210"/>
        <v>#DIV/0!</v>
      </c>
      <c r="AS207" s="29" t="str">
        <f t="shared" si="210"/>
        <v>#DIV/0!</v>
      </c>
      <c r="AT207" s="29" t="str">
        <f t="shared" si="210"/>
        <v>#DIV/0!</v>
      </c>
      <c r="AU207" s="29" t="str">
        <f t="shared" si="210"/>
        <v>#DIV/0!</v>
      </c>
      <c r="AV207" s="29" t="str">
        <f t="shared" si="210"/>
        <v>#DIV/0!</v>
      </c>
      <c r="AW207" s="29" t="str">
        <f t="shared" si="210"/>
        <v>#DIV/0!</v>
      </c>
      <c r="AX207" s="29" t="str">
        <f t="shared" si="210"/>
        <v>#DIV/0!</v>
      </c>
      <c r="AY207" s="29" t="str">
        <f t="shared" si="210"/>
        <v>#DIV/0!</v>
      </c>
      <c r="AZ207" s="29" t="str">
        <f t="shared" si="210"/>
        <v>#DIV/0!</v>
      </c>
      <c r="BA207" s="29" t="str">
        <f t="shared" si="210"/>
        <v>#DIV/0!</v>
      </c>
      <c r="BB207" s="29" t="str">
        <f t="shared" si="210"/>
        <v>#DIV/0!</v>
      </c>
      <c r="BC207" s="29" t="str">
        <f t="shared" si="210"/>
        <v>#DIV/0!</v>
      </c>
      <c r="BD207" s="29" t="str">
        <f t="shared" si="210"/>
        <v>#DIV/0!</v>
      </c>
      <c r="BE207" s="29" t="str">
        <f t="shared" si="210"/>
        <v>#DIV/0!</v>
      </c>
      <c r="BF207" s="29" t="str">
        <f t="shared" si="210"/>
        <v>#DIV/0!</v>
      </c>
      <c r="BG207" s="29" t="str">
        <f t="shared" si="210"/>
        <v>#DIV/0!</v>
      </c>
      <c r="BH207" s="29" t="str">
        <f t="shared" si="210"/>
        <v>#DIV/0!</v>
      </c>
      <c r="BI207" s="29" t="str">
        <f t="shared" si="210"/>
        <v>#DIV/0!</v>
      </c>
      <c r="BJ207" s="29" t="str">
        <f t="shared" si="210"/>
        <v>#DIV/0!</v>
      </c>
      <c r="BK207" s="29" t="str">
        <f t="shared" si="210"/>
        <v>#DIV/0!</v>
      </c>
      <c r="BL207" s="29" t="str">
        <f t="shared" si="210"/>
        <v>#DIV/0!</v>
      </c>
      <c r="BM207" s="29" t="str">
        <f t="shared" si="3"/>
        <v>#DIV/0!</v>
      </c>
    </row>
    <row r="208">
      <c r="A208" s="16" t="str">
        <f>IFERROR(__xludf.DUMMYFUNCTION("IFERROR(SPARKLINE(SORT(MAP(TRANSPOSE(AQ208:BL208), LAMBDA(val, IF(ISNUMBER(val), PERCENTRANK(AQ208:BL208, val)+0.01, 0))), SEQUENCE(COLUMNS(AQ208:BL208)), FALSE), {""charttype"",""column""; ""color"",""chartreuse""; ""ymin"", 0; ""ymax"", 1.01; ""highcolo"&amp;"r"", ""darkgreen""; ""lowcolor"", ""red""}), """")"),"")</f>
        <v/>
      </c>
      <c r="B208" s="17" t="str">
        <f t="shared" si="4"/>
        <v/>
      </c>
      <c r="C208" s="1" t="s">
        <v>910</v>
      </c>
      <c r="D208" s="30" t="str">
        <f>IFERROR(__xludf.DUMMYFUNCTION("IFERROR(GOOGLEFINANCE(C208, ""NAME""))"),"Belden Inc")</f>
        <v>Belden Inc</v>
      </c>
      <c r="E208" s="30" t="s">
        <v>716</v>
      </c>
      <c r="F208" s="33" t="str">
        <f>IFERROR(__xludf.DUMMYFUNCTION("( (GOOGLEFINANCE(C208, ""price"") - Q208) / Q208 ) / (R208 / 100)"),"Loading...")</f>
        <v>Loading...</v>
      </c>
      <c r="G208" s="20" t="str">
        <f>IFERROR(__xludf.DUMMYFUNCTION("AVERAGE(ARRAYFORMULA(100 * (QUERY(GOOGLEFINANCE(C208, ""high"", TODAY()-40, TODAY()), ""SELECT Col2 WHERE Col2 IS NOT NULL ORDER BY Col1 DESC LIMIT 20"", 0) / QUERY(GOOGLEFINANCE(C208, ""low"", TODAY()-40, TODAY()), ""SELECT Col2 WHERE Col2 IS NOT NULL OR"&amp;"DER BY Col1 DESC LIMIT 20"", 0) - 1)))"),"#N/A")</f>
        <v>#N/A</v>
      </c>
      <c r="H208" s="35" t="str">
        <f t="shared" si="6"/>
        <v/>
      </c>
      <c r="I208" s="36" t="str">
        <f t="shared" si="7"/>
        <v/>
      </c>
      <c r="J208" s="37" t="str">
        <f>IFERROR(__xludf.DUMMYFUNCTION("IFERROR(
  IF(C208="""",, 
    IFERROR(
      GOOGLEFINANCE(C208, ""price"") * GOOGLEFINANCE(C208, ""volumeavg""), 
      GOOGLEFINANCE(C208, ""price"") * AVERAGE(QUERY(GOOGLEFINANCE(C208, ""volume"", TODAY()-40, TODAY()), ""SELECT Col2 WHERE Col2 IS NOT "&amp;"NULL ORDER BY Col1 DESC LIMIT 20"", 0))
    )
  ), 
"""")"),"")</f>
        <v/>
      </c>
      <c r="K208" s="21" t="str">
        <f>IFERROR(__xludf.DUMMYFUNCTION("IFERROR(GOOGLEFINANCE(C208, ""changepct"") / 100, """")"),"")</f>
        <v/>
      </c>
      <c r="L208" s="21" t="str">
        <f>IFERROR(__xludf.DUMMYFUNCTION("IFERROR((GOOGLEFINANCE(C208, ""price"") / INDEX(GOOGLEFINANCE(C208, ""price"", TODAY()-7, TODAY()), 2, 2)) - 1, """")"),"")</f>
        <v/>
      </c>
      <c r="M208" s="21" t="str">
        <f>IFERROR(__xludf.DUMMYFUNCTION("IFERROR((GOOGLEFINANCE(C208, ""price"") / INDEX(GOOGLEFINANCE(C208, ""price"", EDATE(TODAY(), -1), TODAY()), 2, 2)) - 1, """")"),"")</f>
        <v/>
      </c>
      <c r="N208" s="21" t="str">
        <f>IFERROR(__xludf.DUMMYFUNCTION("IFERROR((GOOGLEFINANCE(C208, ""price"") / INDEX(GOOGLEFINANCE(C208, ""price"", EDATE(TODAY(), -3), TODAY()), 2, 2)) - 1, """")"),"")</f>
        <v/>
      </c>
      <c r="O208" s="21" t="str">
        <f>IFERROR(__xludf.DUMMYFUNCTION("IFERROR((GOOGLEFINANCE(C208, ""price"") / INDEX(GOOGLEFINANCE(C208, ""price"", EDATE(TODAY(), -6), TODAY()), 2, 2)) - 1, """")"),"")</f>
        <v/>
      </c>
      <c r="P208" s="21" t="str">
        <f>IFERROR(__xludf.DUMMYFUNCTION("IFERROR((GOOGLEFINANCE(C208, ""price"") / INDEX(GOOGLEFINANCE(C208, ""price"", EDATE(TODAY(), -12), TODAY()), 2, 2)) - 1, """")"),"")</f>
        <v/>
      </c>
      <c r="Q208" s="6" t="str">
        <f>IFERROR(__xludf.DUMMYFUNCTION("AVERAGE(QUERY(GOOGLEFINANCE(C208, ""price"", TODAY()-80, TODAY()), ""SELECT Col2 WHERE Col2 IS NOT NULL ORDER BY Col1 DESC LIMIT 50"", 0))"),"#N/A")</f>
        <v>#N/A</v>
      </c>
      <c r="R208" s="24" t="str">
        <f>IFERROR(__xludf.DUMMYFUNCTION("IFERROR(
  LET(
    data, QUERY(GOOGLEFINANCE(C208,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GOOGLEFINANCE(C208, ""price"")) * 100,
    IF(calc=0, G208, calc)
  ), 
G208)"),"#N/A")</f>
        <v>#N/A</v>
      </c>
      <c r="S208" s="8" t="s">
        <v>15</v>
      </c>
      <c r="T208" s="26" t="str">
        <f>IFERROR(__xludf.DUMMYFUNCTION("IFERROR(TRANSPOSE(QUERY(IFERROR(SORT(GOOGLEFINANCE(C208, ""price"", WORKDAY(TODAY(), -40), TODAY()), 1, FALSE)), ""select Col2 where Col2 is not null limit 22 label Col2 ''"", 0)), """")"),"")</f>
        <v/>
      </c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8"/>
      <c r="AO208" s="28"/>
      <c r="AP208" s="29"/>
      <c r="AQ208" s="29" t="str">
        <f t="shared" ref="AQ208:BL208" si="211">T208/T$2</f>
        <v>#N/A</v>
      </c>
      <c r="AR208" s="29" t="str">
        <f t="shared" si="211"/>
        <v>#DIV/0!</v>
      </c>
      <c r="AS208" s="29" t="str">
        <f t="shared" si="211"/>
        <v>#DIV/0!</v>
      </c>
      <c r="AT208" s="29" t="str">
        <f t="shared" si="211"/>
        <v>#DIV/0!</v>
      </c>
      <c r="AU208" s="29" t="str">
        <f t="shared" si="211"/>
        <v>#DIV/0!</v>
      </c>
      <c r="AV208" s="29" t="str">
        <f t="shared" si="211"/>
        <v>#DIV/0!</v>
      </c>
      <c r="AW208" s="29" t="str">
        <f t="shared" si="211"/>
        <v>#DIV/0!</v>
      </c>
      <c r="AX208" s="29" t="str">
        <f t="shared" si="211"/>
        <v>#DIV/0!</v>
      </c>
      <c r="AY208" s="29" t="str">
        <f t="shared" si="211"/>
        <v>#DIV/0!</v>
      </c>
      <c r="AZ208" s="29" t="str">
        <f t="shared" si="211"/>
        <v>#DIV/0!</v>
      </c>
      <c r="BA208" s="29" t="str">
        <f t="shared" si="211"/>
        <v>#DIV/0!</v>
      </c>
      <c r="BB208" s="29" t="str">
        <f t="shared" si="211"/>
        <v>#DIV/0!</v>
      </c>
      <c r="BC208" s="29" t="str">
        <f t="shared" si="211"/>
        <v>#DIV/0!</v>
      </c>
      <c r="BD208" s="29" t="str">
        <f t="shared" si="211"/>
        <v>#DIV/0!</v>
      </c>
      <c r="BE208" s="29" t="str">
        <f t="shared" si="211"/>
        <v>#DIV/0!</v>
      </c>
      <c r="BF208" s="29" t="str">
        <f t="shared" si="211"/>
        <v>#DIV/0!</v>
      </c>
      <c r="BG208" s="29" t="str">
        <f t="shared" si="211"/>
        <v>#DIV/0!</v>
      </c>
      <c r="BH208" s="29" t="str">
        <f t="shared" si="211"/>
        <v>#DIV/0!</v>
      </c>
      <c r="BI208" s="29" t="str">
        <f t="shared" si="211"/>
        <v>#DIV/0!</v>
      </c>
      <c r="BJ208" s="29" t="str">
        <f t="shared" si="211"/>
        <v>#DIV/0!</v>
      </c>
      <c r="BK208" s="29" t="str">
        <f t="shared" si="211"/>
        <v>#DIV/0!</v>
      </c>
      <c r="BL208" s="29" t="str">
        <f t="shared" si="211"/>
        <v>#DIV/0!</v>
      </c>
      <c r="BM208" s="29" t="str">
        <f t="shared" si="3"/>
        <v>#DIV/0!</v>
      </c>
    </row>
    <row r="209">
      <c r="A209" s="16" t="str">
        <f>IFERROR(__xludf.DUMMYFUNCTION("IFERROR(SPARKLINE(SORT(MAP(TRANSPOSE(AQ209:BL209), LAMBDA(val, IF(ISNUMBER(val), PERCENTRANK(AQ209:BL209, val)+0.01, 0))), SEQUENCE(COLUMNS(AQ209:BL209)), FALSE), {""charttype"",""column""; ""color"",""chartreuse""; ""ymin"", 0; ""ymax"", 1.01; ""highcolo"&amp;"r"", ""darkgreen""; ""lowcolor"", ""red""}), """")"),"")</f>
        <v/>
      </c>
      <c r="B209" s="17" t="str">
        <f t="shared" si="4"/>
        <v/>
      </c>
      <c r="C209" s="1" t="s">
        <v>914</v>
      </c>
      <c r="D209" s="30" t="str">
        <f>IFERROR(__xludf.DUMMYFUNCTION("IFERROR(GOOGLEFINANCE(C209, ""NAME""))"),"Red Violet Inc")</f>
        <v>Red Violet Inc</v>
      </c>
      <c r="E209" s="30" t="s">
        <v>48</v>
      </c>
      <c r="F209" s="33" t="str">
        <f>IFERROR(__xludf.DUMMYFUNCTION("( (GOOGLEFINANCE(C209, ""price"") - Q209) / Q209 ) / (R209 / 100)"),"Loading...")</f>
        <v>Loading...</v>
      </c>
      <c r="G209" s="20" t="str">
        <f>IFERROR(__xludf.DUMMYFUNCTION("AVERAGE(ARRAYFORMULA(100 * (QUERY(GOOGLEFINANCE(C209, ""high"", TODAY()-40, TODAY()), ""SELECT Col2 WHERE Col2 IS NOT NULL ORDER BY Col1 DESC LIMIT 20"", 0) / QUERY(GOOGLEFINANCE(C209, ""low"", TODAY()-40, TODAY()), ""SELECT Col2 WHERE Col2 IS NOT NULL OR"&amp;"DER BY Col1 DESC LIMIT 20"", 0) - 1)))"),"#N/A")</f>
        <v>#N/A</v>
      </c>
      <c r="H209" s="35" t="str">
        <f t="shared" si="6"/>
        <v/>
      </c>
      <c r="I209" s="36" t="str">
        <f t="shared" si="7"/>
        <v/>
      </c>
      <c r="J209" s="37" t="str">
        <f>IFERROR(__xludf.DUMMYFUNCTION("IFERROR(
  IF(C209="""",, 
    IFERROR(
      GOOGLEFINANCE(C209, ""price"") * GOOGLEFINANCE(C209, ""volumeavg""), 
      GOOGLEFINANCE(C209, ""price"") * AVERAGE(QUERY(GOOGLEFINANCE(C209, ""volume"", TODAY()-40, TODAY()), ""SELECT Col2 WHERE Col2 IS NOT "&amp;"NULL ORDER BY Col1 DESC LIMIT 20"", 0))
    )
  ), 
"""")"),"")</f>
        <v/>
      </c>
      <c r="K209" s="21" t="str">
        <f>IFERROR(__xludf.DUMMYFUNCTION("IFERROR(GOOGLEFINANCE(C209, ""changepct"") / 100, """")"),"")</f>
        <v/>
      </c>
      <c r="L209" s="21" t="str">
        <f>IFERROR(__xludf.DUMMYFUNCTION("IFERROR((GOOGLEFINANCE(C209, ""price"") / INDEX(GOOGLEFINANCE(C209, ""price"", TODAY()-7, TODAY()), 2, 2)) - 1, """")"),"")</f>
        <v/>
      </c>
      <c r="M209" s="21" t="str">
        <f>IFERROR(__xludf.DUMMYFUNCTION("IFERROR((GOOGLEFINANCE(C209, ""price"") / INDEX(GOOGLEFINANCE(C209, ""price"", EDATE(TODAY(), -1), TODAY()), 2, 2)) - 1, """")"),"")</f>
        <v/>
      </c>
      <c r="N209" s="21" t="str">
        <f>IFERROR(__xludf.DUMMYFUNCTION("IFERROR((GOOGLEFINANCE(C209, ""price"") / INDEX(GOOGLEFINANCE(C209, ""price"", EDATE(TODAY(), -3), TODAY()), 2, 2)) - 1, """")"),"")</f>
        <v/>
      </c>
      <c r="O209" s="21" t="str">
        <f>IFERROR(__xludf.DUMMYFUNCTION("IFERROR((GOOGLEFINANCE(C209, ""price"") / INDEX(GOOGLEFINANCE(C209, ""price"", EDATE(TODAY(), -6), TODAY()), 2, 2)) - 1, """")"),"")</f>
        <v/>
      </c>
      <c r="P209" s="21" t="str">
        <f>IFERROR(__xludf.DUMMYFUNCTION("IFERROR((GOOGLEFINANCE(C209, ""price"") / INDEX(GOOGLEFINANCE(C209, ""price"", EDATE(TODAY(), -12), TODAY()), 2, 2)) - 1, """")"),"")</f>
        <v/>
      </c>
      <c r="Q209" s="6" t="str">
        <f>IFERROR(__xludf.DUMMYFUNCTION("AVERAGE(QUERY(GOOGLEFINANCE(C209, ""price"", TODAY()-80, TODAY()), ""SELECT Col2 WHERE Col2 IS NOT NULL ORDER BY Col1 DESC LIMIT 50"", 0))"),"#N/A")</f>
        <v>#N/A</v>
      </c>
      <c r="R209" s="24" t="str">
        <f>IFERROR(__xludf.DUMMYFUNCTION("IFERROR(
  LET(
    data, QUERY(GOOGLEFINANCE(C209,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GOOGLEFINANCE(C209, ""price"")) * 100,
    IF(calc=0, G209, calc)
  ), 
G209)"),"#N/A")</f>
        <v>#N/A</v>
      </c>
      <c r="S209" s="8" t="s">
        <v>15</v>
      </c>
      <c r="T209" s="26" t="str">
        <f>IFERROR(__xludf.DUMMYFUNCTION("IFERROR(TRANSPOSE(QUERY(IFERROR(SORT(GOOGLEFINANCE(C209, ""price"", WORKDAY(TODAY(), -40), TODAY()), 1, FALSE)), ""select Col2 where Col2 is not null limit 22 label Col2 ''"", 0)), """")"),"")</f>
        <v/>
      </c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8"/>
      <c r="AO209" s="28"/>
      <c r="AP209" s="29"/>
      <c r="AQ209" s="29" t="str">
        <f t="shared" ref="AQ209:BL209" si="212">T209/T$2</f>
        <v>#N/A</v>
      </c>
      <c r="AR209" s="29" t="str">
        <f t="shared" si="212"/>
        <v>#DIV/0!</v>
      </c>
      <c r="AS209" s="29" t="str">
        <f t="shared" si="212"/>
        <v>#DIV/0!</v>
      </c>
      <c r="AT209" s="29" t="str">
        <f t="shared" si="212"/>
        <v>#DIV/0!</v>
      </c>
      <c r="AU209" s="29" t="str">
        <f t="shared" si="212"/>
        <v>#DIV/0!</v>
      </c>
      <c r="AV209" s="29" t="str">
        <f t="shared" si="212"/>
        <v>#DIV/0!</v>
      </c>
      <c r="AW209" s="29" t="str">
        <f t="shared" si="212"/>
        <v>#DIV/0!</v>
      </c>
      <c r="AX209" s="29" t="str">
        <f t="shared" si="212"/>
        <v>#DIV/0!</v>
      </c>
      <c r="AY209" s="29" t="str">
        <f t="shared" si="212"/>
        <v>#DIV/0!</v>
      </c>
      <c r="AZ209" s="29" t="str">
        <f t="shared" si="212"/>
        <v>#DIV/0!</v>
      </c>
      <c r="BA209" s="29" t="str">
        <f t="shared" si="212"/>
        <v>#DIV/0!</v>
      </c>
      <c r="BB209" s="29" t="str">
        <f t="shared" si="212"/>
        <v>#DIV/0!</v>
      </c>
      <c r="BC209" s="29" t="str">
        <f t="shared" si="212"/>
        <v>#DIV/0!</v>
      </c>
      <c r="BD209" s="29" t="str">
        <f t="shared" si="212"/>
        <v>#DIV/0!</v>
      </c>
      <c r="BE209" s="29" t="str">
        <f t="shared" si="212"/>
        <v>#DIV/0!</v>
      </c>
      <c r="BF209" s="29" t="str">
        <f t="shared" si="212"/>
        <v>#DIV/0!</v>
      </c>
      <c r="BG209" s="29" t="str">
        <f t="shared" si="212"/>
        <v>#DIV/0!</v>
      </c>
      <c r="BH209" s="29" t="str">
        <f t="shared" si="212"/>
        <v>#DIV/0!</v>
      </c>
      <c r="BI209" s="29" t="str">
        <f t="shared" si="212"/>
        <v>#DIV/0!</v>
      </c>
      <c r="BJ209" s="29" t="str">
        <f t="shared" si="212"/>
        <v>#DIV/0!</v>
      </c>
      <c r="BK209" s="29" t="str">
        <f t="shared" si="212"/>
        <v>#DIV/0!</v>
      </c>
      <c r="BL209" s="29" t="str">
        <f t="shared" si="212"/>
        <v>#DIV/0!</v>
      </c>
      <c r="BM209" s="29" t="str">
        <f t="shared" si="3"/>
        <v>#DIV/0!</v>
      </c>
    </row>
    <row r="210">
      <c r="A210" s="16" t="str">
        <f>IFERROR(__xludf.DUMMYFUNCTION("IFERROR(SPARKLINE(SORT(MAP(TRANSPOSE(AQ210:BL210), LAMBDA(val, IF(ISNUMBER(val), PERCENTRANK(AQ210:BL210, val)+0.01, 0))), SEQUENCE(COLUMNS(AQ210:BL210)), FALSE), {""charttype"",""column""; ""color"",""chartreuse""; ""ymin"", 0; ""ymax"", 1.01; ""highcolo"&amp;"r"", ""darkgreen""; ""lowcolor"", ""red""}), """")"),"")</f>
        <v/>
      </c>
      <c r="B210" s="17" t="str">
        <f t="shared" si="4"/>
        <v/>
      </c>
      <c r="C210" s="1" t="s">
        <v>918</v>
      </c>
      <c r="D210" s="30" t="str">
        <f>IFERROR(__xludf.DUMMYFUNCTION("IFERROR(GOOGLEFINANCE(C210, ""NAME""))"),"CS Disco Inc")</f>
        <v>CS Disco Inc</v>
      </c>
      <c r="E210" s="30" t="s">
        <v>48</v>
      </c>
      <c r="F210" s="33" t="str">
        <f>IFERROR(__xludf.DUMMYFUNCTION("( (GOOGLEFINANCE(C210, ""price"") - Q210) / Q210 ) / (R210 / 100)"),"Loading...")</f>
        <v>Loading...</v>
      </c>
      <c r="G210" s="20" t="str">
        <f>IFERROR(__xludf.DUMMYFUNCTION("AVERAGE(ARRAYFORMULA(100 * (QUERY(GOOGLEFINANCE(C210, ""high"", TODAY()-40, TODAY()), ""SELECT Col2 WHERE Col2 IS NOT NULL ORDER BY Col1 DESC LIMIT 20"", 0) / QUERY(GOOGLEFINANCE(C210, ""low"", TODAY()-40, TODAY()), ""SELECT Col2 WHERE Col2 IS NOT NULL OR"&amp;"DER BY Col1 DESC LIMIT 20"", 0) - 1)))"),"#N/A")</f>
        <v>#N/A</v>
      </c>
      <c r="H210" s="35" t="str">
        <f t="shared" si="6"/>
        <v/>
      </c>
      <c r="I210" s="36" t="str">
        <f t="shared" si="7"/>
        <v/>
      </c>
      <c r="J210" s="37" t="str">
        <f>IFERROR(__xludf.DUMMYFUNCTION("IFERROR(
  IF(C210="""",, 
    IFERROR(
      GOOGLEFINANCE(C210, ""price"") * GOOGLEFINANCE(C210, ""volumeavg""), 
      GOOGLEFINANCE(C210, ""price"") * AVERAGE(QUERY(GOOGLEFINANCE(C210, ""volume"", TODAY()-40, TODAY()), ""SELECT Col2 WHERE Col2 IS NOT "&amp;"NULL ORDER BY Col1 DESC LIMIT 20"", 0))
    )
  ), 
"""")"),"")</f>
        <v/>
      </c>
      <c r="K210" s="21" t="str">
        <f>IFERROR(__xludf.DUMMYFUNCTION("IFERROR(GOOGLEFINANCE(C210, ""changepct"") / 100, """")"),"")</f>
        <v/>
      </c>
      <c r="L210" s="21" t="str">
        <f>IFERROR(__xludf.DUMMYFUNCTION("IFERROR((GOOGLEFINANCE(C210, ""price"") / INDEX(GOOGLEFINANCE(C210, ""price"", TODAY()-7, TODAY()), 2, 2)) - 1, """")"),"")</f>
        <v/>
      </c>
      <c r="M210" s="21" t="str">
        <f>IFERROR(__xludf.DUMMYFUNCTION("IFERROR((GOOGLEFINANCE(C210, ""price"") / INDEX(GOOGLEFINANCE(C210, ""price"", EDATE(TODAY(), -1), TODAY()), 2, 2)) - 1, """")"),"")</f>
        <v/>
      </c>
      <c r="N210" s="21" t="str">
        <f>IFERROR(__xludf.DUMMYFUNCTION("IFERROR((GOOGLEFINANCE(C210, ""price"") / INDEX(GOOGLEFINANCE(C210, ""price"", EDATE(TODAY(), -3), TODAY()), 2, 2)) - 1, """")"),"")</f>
        <v/>
      </c>
      <c r="O210" s="21" t="str">
        <f>IFERROR(__xludf.DUMMYFUNCTION("IFERROR((GOOGLEFINANCE(C210, ""price"") / INDEX(GOOGLEFINANCE(C210, ""price"", EDATE(TODAY(), -6), TODAY()), 2, 2)) - 1, """")"),"")</f>
        <v/>
      </c>
      <c r="P210" s="21" t="str">
        <f>IFERROR(__xludf.DUMMYFUNCTION("IFERROR((GOOGLEFINANCE(C210, ""price"") / INDEX(GOOGLEFINANCE(C210, ""price"", EDATE(TODAY(), -12), TODAY()), 2, 2)) - 1, """")"),"")</f>
        <v/>
      </c>
      <c r="Q210" s="6" t="str">
        <f>IFERROR(__xludf.DUMMYFUNCTION("AVERAGE(QUERY(GOOGLEFINANCE(C210, ""price"", TODAY()-80, TODAY()), ""SELECT Col2 WHERE Col2 IS NOT NULL ORDER BY Col1 DESC LIMIT 50"", 0))"),"#N/A")</f>
        <v>#N/A</v>
      </c>
      <c r="R210" s="24" t="str">
        <f>IFERROR(__xludf.DUMMYFUNCTION("IFERROR(
  LET(
    data, QUERY(GOOGLEFINANCE(C210,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GOOGLEFINANCE(C210, ""price"")) * 100,
    IF(calc=0, G210, calc)
  ), 
G210)"),"#N/A")</f>
        <v>#N/A</v>
      </c>
      <c r="S210" s="8" t="s">
        <v>15</v>
      </c>
      <c r="T210" s="26" t="str">
        <f>IFERROR(__xludf.DUMMYFUNCTION("IFERROR(TRANSPOSE(QUERY(IFERROR(SORT(GOOGLEFINANCE(C210, ""price"", WORKDAY(TODAY(), -40), TODAY()), 1, FALSE)), ""select Col2 where Col2 is not null limit 22 label Col2 ''"", 0)), """")"),"")</f>
        <v/>
      </c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8"/>
      <c r="AO210" s="28"/>
      <c r="AP210" s="29"/>
      <c r="AQ210" s="29" t="str">
        <f t="shared" ref="AQ210:BL210" si="213">T210/T$2</f>
        <v>#N/A</v>
      </c>
      <c r="AR210" s="29" t="str">
        <f t="shared" si="213"/>
        <v>#DIV/0!</v>
      </c>
      <c r="AS210" s="29" t="str">
        <f t="shared" si="213"/>
        <v>#DIV/0!</v>
      </c>
      <c r="AT210" s="29" t="str">
        <f t="shared" si="213"/>
        <v>#DIV/0!</v>
      </c>
      <c r="AU210" s="29" t="str">
        <f t="shared" si="213"/>
        <v>#DIV/0!</v>
      </c>
      <c r="AV210" s="29" t="str">
        <f t="shared" si="213"/>
        <v>#DIV/0!</v>
      </c>
      <c r="AW210" s="29" t="str">
        <f t="shared" si="213"/>
        <v>#DIV/0!</v>
      </c>
      <c r="AX210" s="29" t="str">
        <f t="shared" si="213"/>
        <v>#DIV/0!</v>
      </c>
      <c r="AY210" s="29" t="str">
        <f t="shared" si="213"/>
        <v>#DIV/0!</v>
      </c>
      <c r="AZ210" s="29" t="str">
        <f t="shared" si="213"/>
        <v>#DIV/0!</v>
      </c>
      <c r="BA210" s="29" t="str">
        <f t="shared" si="213"/>
        <v>#DIV/0!</v>
      </c>
      <c r="BB210" s="29" t="str">
        <f t="shared" si="213"/>
        <v>#DIV/0!</v>
      </c>
      <c r="BC210" s="29" t="str">
        <f t="shared" si="213"/>
        <v>#DIV/0!</v>
      </c>
      <c r="BD210" s="29" t="str">
        <f t="shared" si="213"/>
        <v>#DIV/0!</v>
      </c>
      <c r="BE210" s="29" t="str">
        <f t="shared" si="213"/>
        <v>#DIV/0!</v>
      </c>
      <c r="BF210" s="29" t="str">
        <f t="shared" si="213"/>
        <v>#DIV/0!</v>
      </c>
      <c r="BG210" s="29" t="str">
        <f t="shared" si="213"/>
        <v>#DIV/0!</v>
      </c>
      <c r="BH210" s="29" t="str">
        <f t="shared" si="213"/>
        <v>#DIV/0!</v>
      </c>
      <c r="BI210" s="29" t="str">
        <f t="shared" si="213"/>
        <v>#DIV/0!</v>
      </c>
      <c r="BJ210" s="29" t="str">
        <f t="shared" si="213"/>
        <v>#DIV/0!</v>
      </c>
      <c r="BK210" s="29" t="str">
        <f t="shared" si="213"/>
        <v>#DIV/0!</v>
      </c>
      <c r="BL210" s="29" t="str">
        <f t="shared" si="213"/>
        <v>#DIV/0!</v>
      </c>
      <c r="BM210" s="29" t="str">
        <f t="shared" si="3"/>
        <v>#DIV/0!</v>
      </c>
    </row>
    <row r="211">
      <c r="A211" s="16" t="str">
        <f>IFERROR(__xludf.DUMMYFUNCTION("IFERROR(SPARKLINE(SORT(MAP(TRANSPOSE(AQ211:BL211), LAMBDA(val, IF(ISNUMBER(val), PERCENTRANK(AQ211:BL211, val)+0.01, 0))), SEQUENCE(COLUMNS(AQ211:BL211)), FALSE), {""charttype"",""column""; ""color"",""chartreuse""; ""ymin"", 0; ""ymax"", 1.01; ""highcolo"&amp;"r"", ""darkgreen""; ""lowcolor"", ""red""}), """")"),"")</f>
        <v/>
      </c>
      <c r="B211" s="17" t="str">
        <f t="shared" si="4"/>
        <v/>
      </c>
      <c r="C211" s="1" t="s">
        <v>922</v>
      </c>
      <c r="D211" s="30" t="str">
        <f>IFERROR(__xludf.DUMMYFUNCTION("IFERROR(GOOGLEFINANCE(C211, ""NAME""))"),"Synopsys Inc")</f>
        <v>Synopsys Inc</v>
      </c>
      <c r="E211" s="30" t="s">
        <v>58</v>
      </c>
      <c r="F211" s="33" t="str">
        <f>IFERROR(__xludf.DUMMYFUNCTION("( (GOOGLEFINANCE(C211, ""price"") - Q211) / Q211 ) / (R211 / 100)"),"Loading...")</f>
        <v>Loading...</v>
      </c>
      <c r="G211" s="20" t="str">
        <f>IFERROR(__xludf.DUMMYFUNCTION("AVERAGE(ARRAYFORMULA(100 * (QUERY(GOOGLEFINANCE(C211, ""high"", TODAY()-40, TODAY()), ""SELECT Col2 WHERE Col2 IS NOT NULL ORDER BY Col1 DESC LIMIT 20"", 0) / QUERY(GOOGLEFINANCE(C211, ""low"", TODAY()-40, TODAY()), ""SELECT Col2 WHERE Col2 IS NOT NULL OR"&amp;"DER BY Col1 DESC LIMIT 20"", 0) - 1)))"),"#N/A")</f>
        <v>#N/A</v>
      </c>
      <c r="H211" s="35" t="str">
        <f t="shared" si="6"/>
        <v/>
      </c>
      <c r="I211" s="36" t="str">
        <f t="shared" si="7"/>
        <v/>
      </c>
      <c r="J211" s="37" t="str">
        <f>IFERROR(__xludf.DUMMYFUNCTION("IFERROR(
  IF(C211="""",, 
    IFERROR(
      GOOGLEFINANCE(C211, ""price"") * GOOGLEFINANCE(C211, ""volumeavg""), 
      GOOGLEFINANCE(C211, ""price"") * AVERAGE(QUERY(GOOGLEFINANCE(C211, ""volume"", TODAY()-40, TODAY()), ""SELECT Col2 WHERE Col2 IS NOT "&amp;"NULL ORDER BY Col1 DESC LIMIT 20"", 0))
    )
  ), 
"""")"),"")</f>
        <v/>
      </c>
      <c r="K211" s="21" t="str">
        <f>IFERROR(__xludf.DUMMYFUNCTION("IFERROR(GOOGLEFINANCE(C211, ""changepct"") / 100, """")"),"")</f>
        <v/>
      </c>
      <c r="L211" s="21" t="str">
        <f>IFERROR(__xludf.DUMMYFUNCTION("IFERROR((GOOGLEFINANCE(C211, ""price"") / INDEX(GOOGLEFINANCE(C211, ""price"", TODAY()-7, TODAY()), 2, 2)) - 1, """")"),"")</f>
        <v/>
      </c>
      <c r="M211" s="21" t="str">
        <f>IFERROR(__xludf.DUMMYFUNCTION("IFERROR((GOOGLEFINANCE(C211, ""price"") / INDEX(GOOGLEFINANCE(C211, ""price"", EDATE(TODAY(), -1), TODAY()), 2, 2)) - 1, """")"),"")</f>
        <v/>
      </c>
      <c r="N211" s="21" t="str">
        <f>IFERROR(__xludf.DUMMYFUNCTION("IFERROR((GOOGLEFINANCE(C211, ""price"") / INDEX(GOOGLEFINANCE(C211, ""price"", EDATE(TODAY(), -3), TODAY()), 2, 2)) - 1, """")"),"")</f>
        <v/>
      </c>
      <c r="O211" s="21" t="str">
        <f>IFERROR(__xludf.DUMMYFUNCTION("IFERROR((GOOGLEFINANCE(C211, ""price"") / INDEX(GOOGLEFINANCE(C211, ""price"", EDATE(TODAY(), -6), TODAY()), 2, 2)) - 1, """")"),"")</f>
        <v/>
      </c>
      <c r="P211" s="21" t="str">
        <f>IFERROR(__xludf.DUMMYFUNCTION("IFERROR((GOOGLEFINANCE(C211, ""price"") / INDEX(GOOGLEFINANCE(C211, ""price"", EDATE(TODAY(), -12), TODAY()), 2, 2)) - 1, """")"),"")</f>
        <v/>
      </c>
      <c r="Q211" s="6" t="str">
        <f>IFERROR(__xludf.DUMMYFUNCTION("AVERAGE(QUERY(GOOGLEFINANCE(C211, ""price"", TODAY()-80, TODAY()), ""SELECT Col2 WHERE Col2 IS NOT NULL ORDER BY Col1 DESC LIMIT 50"", 0))"),"#N/A")</f>
        <v>#N/A</v>
      </c>
      <c r="R211" s="24" t="str">
        <f>IFERROR(__xludf.DUMMYFUNCTION("IFERROR(
  LET(
    data, QUERY(GOOGLEFINANCE(C211,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GOOGLEFINANCE(C211, ""price"")) * 100,
    IF(calc=0, G211, calc)
  ), 
G211)"),"#N/A")</f>
        <v>#N/A</v>
      </c>
      <c r="S211" s="8" t="s">
        <v>15</v>
      </c>
      <c r="T211" s="26" t="str">
        <f>IFERROR(__xludf.DUMMYFUNCTION("IFERROR(TRANSPOSE(QUERY(IFERROR(SORT(GOOGLEFINANCE(C211, ""price"", WORKDAY(TODAY(), -40), TODAY()), 1, FALSE)), ""select Col2 where Col2 is not null limit 22 label Col2 ''"", 0)), """")"),"")</f>
        <v/>
      </c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8"/>
      <c r="AO211" s="28"/>
      <c r="AP211" s="29"/>
      <c r="AQ211" s="29" t="str">
        <f t="shared" ref="AQ211:BL211" si="214">T211/T$2</f>
        <v>#N/A</v>
      </c>
      <c r="AR211" s="29" t="str">
        <f t="shared" si="214"/>
        <v>#DIV/0!</v>
      </c>
      <c r="AS211" s="29" t="str">
        <f t="shared" si="214"/>
        <v>#DIV/0!</v>
      </c>
      <c r="AT211" s="29" t="str">
        <f t="shared" si="214"/>
        <v>#DIV/0!</v>
      </c>
      <c r="AU211" s="29" t="str">
        <f t="shared" si="214"/>
        <v>#DIV/0!</v>
      </c>
      <c r="AV211" s="29" t="str">
        <f t="shared" si="214"/>
        <v>#DIV/0!</v>
      </c>
      <c r="AW211" s="29" t="str">
        <f t="shared" si="214"/>
        <v>#DIV/0!</v>
      </c>
      <c r="AX211" s="29" t="str">
        <f t="shared" si="214"/>
        <v>#DIV/0!</v>
      </c>
      <c r="AY211" s="29" t="str">
        <f t="shared" si="214"/>
        <v>#DIV/0!</v>
      </c>
      <c r="AZ211" s="29" t="str">
        <f t="shared" si="214"/>
        <v>#DIV/0!</v>
      </c>
      <c r="BA211" s="29" t="str">
        <f t="shared" si="214"/>
        <v>#DIV/0!</v>
      </c>
      <c r="BB211" s="29" t="str">
        <f t="shared" si="214"/>
        <v>#DIV/0!</v>
      </c>
      <c r="BC211" s="29" t="str">
        <f t="shared" si="214"/>
        <v>#DIV/0!</v>
      </c>
      <c r="BD211" s="29" t="str">
        <f t="shared" si="214"/>
        <v>#DIV/0!</v>
      </c>
      <c r="BE211" s="29" t="str">
        <f t="shared" si="214"/>
        <v>#DIV/0!</v>
      </c>
      <c r="BF211" s="29" t="str">
        <f t="shared" si="214"/>
        <v>#DIV/0!</v>
      </c>
      <c r="BG211" s="29" t="str">
        <f t="shared" si="214"/>
        <v>#DIV/0!</v>
      </c>
      <c r="BH211" s="29" t="str">
        <f t="shared" si="214"/>
        <v>#DIV/0!</v>
      </c>
      <c r="BI211" s="29" t="str">
        <f t="shared" si="214"/>
        <v>#DIV/0!</v>
      </c>
      <c r="BJ211" s="29" t="str">
        <f t="shared" si="214"/>
        <v>#DIV/0!</v>
      </c>
      <c r="BK211" s="29" t="str">
        <f t="shared" si="214"/>
        <v>#DIV/0!</v>
      </c>
      <c r="BL211" s="29" t="str">
        <f t="shared" si="214"/>
        <v>#DIV/0!</v>
      </c>
      <c r="BM211" s="29" t="str">
        <f t="shared" si="3"/>
        <v>#DIV/0!</v>
      </c>
    </row>
    <row r="212">
      <c r="A212" s="16" t="str">
        <f>IFERROR(__xludf.DUMMYFUNCTION("IFERROR(SPARKLINE(SORT(MAP(TRANSPOSE(AQ212:BL212), LAMBDA(val, IF(ISNUMBER(val), PERCENTRANK(AQ212:BL212, val)+0.01, 0))), SEQUENCE(COLUMNS(AQ212:BL212)), FALSE), {""charttype"",""column""; ""color"",""chartreuse""; ""ymin"", 0; ""ymax"", 1.01; ""highcolo"&amp;"r"", ""darkgreen""; ""lowcolor"", ""red""}), """")"),"")</f>
        <v/>
      </c>
      <c r="B212" s="17" t="str">
        <f t="shared" si="4"/>
        <v/>
      </c>
      <c r="C212" s="1" t="s">
        <v>926</v>
      </c>
      <c r="D212" s="30" t="str">
        <f>IFERROR(__xludf.DUMMYFUNCTION("IFERROR(GOOGLEFINANCE(C212, ""NAME""))"),"PagSeguro Digital Ltd")</f>
        <v>PagSeguro Digital Ltd</v>
      </c>
      <c r="E212" s="30" t="s">
        <v>58</v>
      </c>
      <c r="F212" s="33" t="str">
        <f>IFERROR(__xludf.DUMMYFUNCTION("( (GOOGLEFINANCE(C212, ""price"") - Q212) / Q212 ) / (R212 / 100)"),"Loading...")</f>
        <v>Loading...</v>
      </c>
      <c r="G212" s="20" t="str">
        <f>IFERROR(__xludf.DUMMYFUNCTION("AVERAGE(ARRAYFORMULA(100 * (QUERY(GOOGLEFINANCE(C212, ""high"", TODAY()-40, TODAY()), ""SELECT Col2 WHERE Col2 IS NOT NULL ORDER BY Col1 DESC LIMIT 20"", 0) / QUERY(GOOGLEFINANCE(C212, ""low"", TODAY()-40, TODAY()), ""SELECT Col2 WHERE Col2 IS NOT NULL OR"&amp;"DER BY Col1 DESC LIMIT 20"", 0) - 1)))"),"#N/A")</f>
        <v>#N/A</v>
      </c>
      <c r="H212" s="35" t="str">
        <f t="shared" si="6"/>
        <v/>
      </c>
      <c r="I212" s="36" t="str">
        <f t="shared" si="7"/>
        <v/>
      </c>
      <c r="J212" s="37" t="str">
        <f>IFERROR(__xludf.DUMMYFUNCTION("IFERROR(
  IF(C212="""",, 
    IFERROR(
      GOOGLEFINANCE(C212, ""price"") * GOOGLEFINANCE(C212, ""volumeavg""), 
      GOOGLEFINANCE(C212, ""price"") * AVERAGE(QUERY(GOOGLEFINANCE(C212, ""volume"", TODAY()-40, TODAY()), ""SELECT Col2 WHERE Col2 IS NOT "&amp;"NULL ORDER BY Col1 DESC LIMIT 20"", 0))
    )
  ), 
"""")"),"")</f>
        <v/>
      </c>
      <c r="K212" s="21" t="str">
        <f>IFERROR(__xludf.DUMMYFUNCTION("IFERROR(GOOGLEFINANCE(C212, ""changepct"") / 100, """")"),"")</f>
        <v/>
      </c>
      <c r="L212" s="21" t="str">
        <f>IFERROR(__xludf.DUMMYFUNCTION("IFERROR((GOOGLEFINANCE(C212, ""price"") / INDEX(GOOGLEFINANCE(C212, ""price"", TODAY()-7, TODAY()), 2, 2)) - 1, """")"),"")</f>
        <v/>
      </c>
      <c r="M212" s="21" t="str">
        <f>IFERROR(__xludf.DUMMYFUNCTION("IFERROR((GOOGLEFINANCE(C212, ""price"") / INDEX(GOOGLEFINANCE(C212, ""price"", EDATE(TODAY(), -1), TODAY()), 2, 2)) - 1, """")"),"")</f>
        <v/>
      </c>
      <c r="N212" s="21" t="str">
        <f>IFERROR(__xludf.DUMMYFUNCTION("IFERROR((GOOGLEFINANCE(C212, ""price"") / INDEX(GOOGLEFINANCE(C212, ""price"", EDATE(TODAY(), -3), TODAY()), 2, 2)) - 1, """")"),"")</f>
        <v/>
      </c>
      <c r="O212" s="21" t="str">
        <f>IFERROR(__xludf.DUMMYFUNCTION("IFERROR((GOOGLEFINANCE(C212, ""price"") / INDEX(GOOGLEFINANCE(C212, ""price"", EDATE(TODAY(), -6), TODAY()), 2, 2)) - 1, """")"),"")</f>
        <v/>
      </c>
      <c r="P212" s="21" t="str">
        <f>IFERROR(__xludf.DUMMYFUNCTION("IFERROR((GOOGLEFINANCE(C212, ""price"") / INDEX(GOOGLEFINANCE(C212, ""price"", EDATE(TODAY(), -12), TODAY()), 2, 2)) - 1, """")"),"")</f>
        <v/>
      </c>
      <c r="Q212" s="6" t="str">
        <f>IFERROR(__xludf.DUMMYFUNCTION("AVERAGE(QUERY(GOOGLEFINANCE(C212, ""price"", TODAY()-80, TODAY()), ""SELECT Col2 WHERE Col2 IS NOT NULL ORDER BY Col1 DESC LIMIT 50"", 0))"),"#N/A")</f>
        <v>#N/A</v>
      </c>
      <c r="R212" s="24" t="str">
        <f>IFERROR(__xludf.DUMMYFUNCTION("IFERROR(
  LET(
    data, QUERY(GOOGLEFINANCE(C212,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GOOGLEFINANCE(C212, ""price"")) * 100,
    IF(calc=0, G212, calc)
  ), 
G212)"),"#N/A")</f>
        <v>#N/A</v>
      </c>
      <c r="S212" s="8" t="s">
        <v>15</v>
      </c>
      <c r="T212" s="26" t="str">
        <f>IFERROR(__xludf.DUMMYFUNCTION("IFERROR(TRANSPOSE(QUERY(IFERROR(SORT(GOOGLEFINANCE(C212, ""price"", WORKDAY(TODAY(), -40), TODAY()), 1, FALSE)), ""select Col2 where Col2 is not null limit 22 label Col2 ''"", 0)), """")"),"")</f>
        <v/>
      </c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8"/>
      <c r="AO212" s="28"/>
      <c r="AP212" s="29"/>
      <c r="AQ212" s="29" t="str">
        <f t="shared" ref="AQ212:BL212" si="215">T212/T$2</f>
        <v>#N/A</v>
      </c>
      <c r="AR212" s="29" t="str">
        <f t="shared" si="215"/>
        <v>#DIV/0!</v>
      </c>
      <c r="AS212" s="29" t="str">
        <f t="shared" si="215"/>
        <v>#DIV/0!</v>
      </c>
      <c r="AT212" s="29" t="str">
        <f t="shared" si="215"/>
        <v>#DIV/0!</v>
      </c>
      <c r="AU212" s="29" t="str">
        <f t="shared" si="215"/>
        <v>#DIV/0!</v>
      </c>
      <c r="AV212" s="29" t="str">
        <f t="shared" si="215"/>
        <v>#DIV/0!</v>
      </c>
      <c r="AW212" s="29" t="str">
        <f t="shared" si="215"/>
        <v>#DIV/0!</v>
      </c>
      <c r="AX212" s="29" t="str">
        <f t="shared" si="215"/>
        <v>#DIV/0!</v>
      </c>
      <c r="AY212" s="29" t="str">
        <f t="shared" si="215"/>
        <v>#DIV/0!</v>
      </c>
      <c r="AZ212" s="29" t="str">
        <f t="shared" si="215"/>
        <v>#DIV/0!</v>
      </c>
      <c r="BA212" s="29" t="str">
        <f t="shared" si="215"/>
        <v>#DIV/0!</v>
      </c>
      <c r="BB212" s="29" t="str">
        <f t="shared" si="215"/>
        <v>#DIV/0!</v>
      </c>
      <c r="BC212" s="29" t="str">
        <f t="shared" si="215"/>
        <v>#DIV/0!</v>
      </c>
      <c r="BD212" s="29" t="str">
        <f t="shared" si="215"/>
        <v>#DIV/0!</v>
      </c>
      <c r="BE212" s="29" t="str">
        <f t="shared" si="215"/>
        <v>#DIV/0!</v>
      </c>
      <c r="BF212" s="29" t="str">
        <f t="shared" si="215"/>
        <v>#DIV/0!</v>
      </c>
      <c r="BG212" s="29" t="str">
        <f t="shared" si="215"/>
        <v>#DIV/0!</v>
      </c>
      <c r="BH212" s="29" t="str">
        <f t="shared" si="215"/>
        <v>#DIV/0!</v>
      </c>
      <c r="BI212" s="29" t="str">
        <f t="shared" si="215"/>
        <v>#DIV/0!</v>
      </c>
      <c r="BJ212" s="29" t="str">
        <f t="shared" si="215"/>
        <v>#DIV/0!</v>
      </c>
      <c r="BK212" s="29" t="str">
        <f t="shared" si="215"/>
        <v>#DIV/0!</v>
      </c>
      <c r="BL212" s="29" t="str">
        <f t="shared" si="215"/>
        <v>#DIV/0!</v>
      </c>
      <c r="BM212" s="29" t="str">
        <f t="shared" si="3"/>
        <v>#DIV/0!</v>
      </c>
    </row>
    <row r="213">
      <c r="A213" s="16" t="str">
        <f>IFERROR(__xludf.DUMMYFUNCTION("IFERROR(SPARKLINE(SORT(MAP(TRANSPOSE(AQ213:BL213), LAMBDA(val, IF(ISNUMBER(val), PERCENTRANK(AQ213:BL213, val)+0.01, 0))), SEQUENCE(COLUMNS(AQ213:BL213)), FALSE), {""charttype"",""column""; ""color"",""chartreuse""; ""ymin"", 0; ""ymax"", 1.01; ""highcolo"&amp;"r"", ""darkgreen""; ""lowcolor"", ""red""}), """")"),"")</f>
        <v/>
      </c>
      <c r="B213" s="17" t="str">
        <f t="shared" si="4"/>
        <v/>
      </c>
      <c r="C213" s="1" t="s">
        <v>930</v>
      </c>
      <c r="D213" s="30" t="str">
        <f>IFERROR(__xludf.DUMMYFUNCTION("IFERROR(GOOGLEFINANCE(C213, ""NAME""))"),"Remitly Global Inc")</f>
        <v>Remitly Global Inc</v>
      </c>
      <c r="E213" s="30" t="s">
        <v>58</v>
      </c>
      <c r="F213" s="33" t="str">
        <f>IFERROR(__xludf.DUMMYFUNCTION("( (GOOGLEFINANCE(C213, ""price"") - Q213) / Q213 ) / (R213 / 100)"),"Loading...")</f>
        <v>Loading...</v>
      </c>
      <c r="G213" s="20" t="str">
        <f>IFERROR(__xludf.DUMMYFUNCTION("AVERAGE(ARRAYFORMULA(100 * (QUERY(GOOGLEFINANCE(C213, ""high"", TODAY()-40, TODAY()), ""SELECT Col2 WHERE Col2 IS NOT NULL ORDER BY Col1 DESC LIMIT 20"", 0) / QUERY(GOOGLEFINANCE(C213, ""low"", TODAY()-40, TODAY()), ""SELECT Col2 WHERE Col2 IS NOT NULL OR"&amp;"DER BY Col1 DESC LIMIT 20"", 0) - 1)))"),"#N/A")</f>
        <v>#N/A</v>
      </c>
      <c r="H213" s="35" t="str">
        <f t="shared" si="6"/>
        <v/>
      </c>
      <c r="I213" s="36" t="str">
        <f t="shared" si="7"/>
        <v/>
      </c>
      <c r="J213" s="37" t="str">
        <f>IFERROR(__xludf.DUMMYFUNCTION("IFERROR(
  IF(C213="""",, 
    IFERROR(
      GOOGLEFINANCE(C213, ""price"") * GOOGLEFINANCE(C213, ""volumeavg""), 
      GOOGLEFINANCE(C213, ""price"") * AVERAGE(QUERY(GOOGLEFINANCE(C213, ""volume"", TODAY()-40, TODAY()), ""SELECT Col2 WHERE Col2 IS NOT "&amp;"NULL ORDER BY Col1 DESC LIMIT 20"", 0))
    )
  ), 
"""")"),"")</f>
        <v/>
      </c>
      <c r="K213" s="21" t="str">
        <f>IFERROR(__xludf.DUMMYFUNCTION("IFERROR(GOOGLEFINANCE(C213, ""changepct"") / 100, """")"),"")</f>
        <v/>
      </c>
      <c r="L213" s="21" t="str">
        <f>IFERROR(__xludf.DUMMYFUNCTION("IFERROR((GOOGLEFINANCE(C213, ""price"") / INDEX(GOOGLEFINANCE(C213, ""price"", TODAY()-7, TODAY()), 2, 2)) - 1, """")"),"")</f>
        <v/>
      </c>
      <c r="M213" s="21" t="str">
        <f>IFERROR(__xludf.DUMMYFUNCTION("IFERROR((GOOGLEFINANCE(C213, ""price"") / INDEX(GOOGLEFINANCE(C213, ""price"", EDATE(TODAY(), -1), TODAY()), 2, 2)) - 1, """")"),"")</f>
        <v/>
      </c>
      <c r="N213" s="21" t="str">
        <f>IFERROR(__xludf.DUMMYFUNCTION("IFERROR((GOOGLEFINANCE(C213, ""price"") / INDEX(GOOGLEFINANCE(C213, ""price"", EDATE(TODAY(), -3), TODAY()), 2, 2)) - 1, """")"),"")</f>
        <v/>
      </c>
      <c r="O213" s="21" t="str">
        <f>IFERROR(__xludf.DUMMYFUNCTION("IFERROR((GOOGLEFINANCE(C213, ""price"") / INDEX(GOOGLEFINANCE(C213, ""price"", EDATE(TODAY(), -6), TODAY()), 2, 2)) - 1, """")"),"")</f>
        <v/>
      </c>
      <c r="P213" s="21" t="str">
        <f>IFERROR(__xludf.DUMMYFUNCTION("IFERROR((GOOGLEFINANCE(C213, ""price"") / INDEX(GOOGLEFINANCE(C213, ""price"", EDATE(TODAY(), -12), TODAY()), 2, 2)) - 1, """")"),"")</f>
        <v/>
      </c>
      <c r="Q213" s="6" t="str">
        <f>IFERROR(__xludf.DUMMYFUNCTION("AVERAGE(QUERY(GOOGLEFINANCE(C213, ""price"", TODAY()-80, TODAY()), ""SELECT Col2 WHERE Col2 IS NOT NULL ORDER BY Col1 DESC LIMIT 50"", 0))"),"#N/A")</f>
        <v>#N/A</v>
      </c>
      <c r="R213" s="24" t="str">
        <f>IFERROR(__xludf.DUMMYFUNCTION("IFERROR(
  LET(
    data, QUERY(GOOGLEFINANCE(C213,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GOOGLEFINANCE(C213, ""price"")) * 100,
    IF(calc=0, G213, calc)
  ), 
G213)"),"#N/A")</f>
        <v>#N/A</v>
      </c>
      <c r="S213" s="8" t="s">
        <v>15</v>
      </c>
      <c r="T213" s="26" t="str">
        <f>IFERROR(__xludf.DUMMYFUNCTION("IFERROR(TRANSPOSE(QUERY(IFERROR(SORT(GOOGLEFINANCE(C213, ""price"", WORKDAY(TODAY(), -40), TODAY()), 1, FALSE)), ""select Col2 where Col2 is not null limit 22 label Col2 ''"", 0)), """")"),"")</f>
        <v/>
      </c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8"/>
      <c r="AO213" s="28"/>
      <c r="AP213" s="29"/>
      <c r="AQ213" s="29" t="str">
        <f t="shared" ref="AQ213:BL213" si="216">T213/T$2</f>
        <v>#N/A</v>
      </c>
      <c r="AR213" s="29" t="str">
        <f t="shared" si="216"/>
        <v>#DIV/0!</v>
      </c>
      <c r="AS213" s="29" t="str">
        <f t="shared" si="216"/>
        <v>#DIV/0!</v>
      </c>
      <c r="AT213" s="29" t="str">
        <f t="shared" si="216"/>
        <v>#DIV/0!</v>
      </c>
      <c r="AU213" s="29" t="str">
        <f t="shared" si="216"/>
        <v>#DIV/0!</v>
      </c>
      <c r="AV213" s="29" t="str">
        <f t="shared" si="216"/>
        <v>#DIV/0!</v>
      </c>
      <c r="AW213" s="29" t="str">
        <f t="shared" si="216"/>
        <v>#DIV/0!</v>
      </c>
      <c r="AX213" s="29" t="str">
        <f t="shared" si="216"/>
        <v>#DIV/0!</v>
      </c>
      <c r="AY213" s="29" t="str">
        <f t="shared" si="216"/>
        <v>#DIV/0!</v>
      </c>
      <c r="AZ213" s="29" t="str">
        <f t="shared" si="216"/>
        <v>#DIV/0!</v>
      </c>
      <c r="BA213" s="29" t="str">
        <f t="shared" si="216"/>
        <v>#DIV/0!</v>
      </c>
      <c r="BB213" s="29" t="str">
        <f t="shared" si="216"/>
        <v>#DIV/0!</v>
      </c>
      <c r="BC213" s="29" t="str">
        <f t="shared" si="216"/>
        <v>#DIV/0!</v>
      </c>
      <c r="BD213" s="29" t="str">
        <f t="shared" si="216"/>
        <v>#DIV/0!</v>
      </c>
      <c r="BE213" s="29" t="str">
        <f t="shared" si="216"/>
        <v>#DIV/0!</v>
      </c>
      <c r="BF213" s="29" t="str">
        <f t="shared" si="216"/>
        <v>#DIV/0!</v>
      </c>
      <c r="BG213" s="29" t="str">
        <f t="shared" si="216"/>
        <v>#DIV/0!</v>
      </c>
      <c r="BH213" s="29" t="str">
        <f t="shared" si="216"/>
        <v>#DIV/0!</v>
      </c>
      <c r="BI213" s="29" t="str">
        <f t="shared" si="216"/>
        <v>#DIV/0!</v>
      </c>
      <c r="BJ213" s="29" t="str">
        <f t="shared" si="216"/>
        <v>#DIV/0!</v>
      </c>
      <c r="BK213" s="29" t="str">
        <f t="shared" si="216"/>
        <v>#DIV/0!</v>
      </c>
      <c r="BL213" s="29" t="str">
        <f t="shared" si="216"/>
        <v>#DIV/0!</v>
      </c>
      <c r="BM213" s="29" t="str">
        <f t="shared" si="3"/>
        <v>#DIV/0!</v>
      </c>
    </row>
    <row r="214">
      <c r="A214" s="16" t="str">
        <f>IFERROR(__xludf.DUMMYFUNCTION("IFERROR(SPARKLINE(SORT(MAP(TRANSPOSE(AQ214:BL214), LAMBDA(val, IF(ISNUMBER(val), PERCENTRANK(AQ214:BL214, val)+0.01, 0))), SEQUENCE(COLUMNS(AQ214:BL214)), FALSE), {""charttype"",""column""; ""color"",""chartreuse""; ""ymin"", 0; ""ymax"", 1.01; ""highcolo"&amp;"r"", ""darkgreen""; ""lowcolor"", ""red""}), """")"),"")</f>
        <v/>
      </c>
      <c r="B214" s="17" t="str">
        <f t="shared" si="4"/>
        <v/>
      </c>
      <c r="C214" s="1" t="s">
        <v>933</v>
      </c>
      <c r="D214" s="30" t="str">
        <f>IFERROR(__xludf.DUMMYFUNCTION("IFERROR(GOOGLEFINANCE(C214, ""NAME""))"),"Nano Dimension Ltd - ADR")</f>
        <v>Nano Dimension Ltd - ADR</v>
      </c>
      <c r="E214" s="30" t="s">
        <v>477</v>
      </c>
      <c r="F214" s="33" t="str">
        <f>IFERROR(__xludf.DUMMYFUNCTION("( (GOOGLEFINANCE(C214, ""price"") - Q214) / Q214 ) / (R214 / 100)"),"Loading...")</f>
        <v>Loading...</v>
      </c>
      <c r="G214" s="20" t="str">
        <f>IFERROR(__xludf.DUMMYFUNCTION("AVERAGE(ARRAYFORMULA(100 * (QUERY(GOOGLEFINANCE(C214, ""high"", TODAY()-40, TODAY()), ""SELECT Col2 WHERE Col2 IS NOT NULL ORDER BY Col1 DESC LIMIT 20"", 0) / QUERY(GOOGLEFINANCE(C214, ""low"", TODAY()-40, TODAY()), ""SELECT Col2 WHERE Col2 IS NOT NULL OR"&amp;"DER BY Col1 DESC LIMIT 20"", 0) - 1)))"),"#N/A")</f>
        <v>#N/A</v>
      </c>
      <c r="H214" s="35" t="str">
        <f t="shared" si="6"/>
        <v/>
      </c>
      <c r="I214" s="36" t="str">
        <f t="shared" si="7"/>
        <v/>
      </c>
      <c r="J214" s="37" t="str">
        <f>IFERROR(__xludf.DUMMYFUNCTION("IFERROR(
  IF(C214="""",, 
    IFERROR(
      GOOGLEFINANCE(C214, ""price"") * GOOGLEFINANCE(C214, ""volumeavg""), 
      GOOGLEFINANCE(C214, ""price"") * AVERAGE(QUERY(GOOGLEFINANCE(C214, ""volume"", TODAY()-40, TODAY()), ""SELECT Col2 WHERE Col2 IS NOT "&amp;"NULL ORDER BY Col1 DESC LIMIT 20"", 0))
    )
  ), 
"""")"),"")</f>
        <v/>
      </c>
      <c r="K214" s="21" t="str">
        <f>IFERROR(__xludf.DUMMYFUNCTION("IFERROR(GOOGLEFINANCE(C214, ""changepct"") / 100, """")"),"")</f>
        <v/>
      </c>
      <c r="L214" s="21" t="str">
        <f>IFERROR(__xludf.DUMMYFUNCTION("IFERROR((GOOGLEFINANCE(C214, ""price"") / INDEX(GOOGLEFINANCE(C214, ""price"", TODAY()-7, TODAY()), 2, 2)) - 1, """")"),"")</f>
        <v/>
      </c>
      <c r="M214" s="21" t="str">
        <f>IFERROR(__xludf.DUMMYFUNCTION("IFERROR((GOOGLEFINANCE(C214, ""price"") / INDEX(GOOGLEFINANCE(C214, ""price"", EDATE(TODAY(), -1), TODAY()), 2, 2)) - 1, """")"),"")</f>
        <v/>
      </c>
      <c r="N214" s="21" t="str">
        <f>IFERROR(__xludf.DUMMYFUNCTION("IFERROR((GOOGLEFINANCE(C214, ""price"") / INDEX(GOOGLEFINANCE(C214, ""price"", EDATE(TODAY(), -3), TODAY()), 2, 2)) - 1, """")"),"")</f>
        <v/>
      </c>
      <c r="O214" s="21" t="str">
        <f>IFERROR(__xludf.DUMMYFUNCTION("IFERROR((GOOGLEFINANCE(C214, ""price"") / INDEX(GOOGLEFINANCE(C214, ""price"", EDATE(TODAY(), -6), TODAY()), 2, 2)) - 1, """")"),"")</f>
        <v/>
      </c>
      <c r="P214" s="21" t="str">
        <f>IFERROR(__xludf.DUMMYFUNCTION("IFERROR((GOOGLEFINANCE(C214, ""price"") / INDEX(GOOGLEFINANCE(C214, ""price"", EDATE(TODAY(), -12), TODAY()), 2, 2)) - 1, """")"),"")</f>
        <v/>
      </c>
      <c r="Q214" s="6" t="str">
        <f>IFERROR(__xludf.DUMMYFUNCTION("AVERAGE(QUERY(GOOGLEFINANCE(C214, ""price"", TODAY()-80, TODAY()), ""SELECT Col2 WHERE Col2 IS NOT NULL ORDER BY Col1 DESC LIMIT 50"", 0))"),"#N/A")</f>
        <v>#N/A</v>
      </c>
      <c r="R214" s="24" t="str">
        <f>IFERROR(__xludf.DUMMYFUNCTION("IFERROR(
  LET(
    data, QUERY(GOOGLEFINANCE(C214,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GOOGLEFINANCE(C214, ""price"")) * 100,
    IF(calc=0, G214, calc)
  ), 
G214)"),"#N/A")</f>
        <v>#N/A</v>
      </c>
      <c r="S214" s="8" t="s">
        <v>15</v>
      </c>
      <c r="T214" s="26" t="str">
        <f>IFERROR(__xludf.DUMMYFUNCTION("IFERROR(TRANSPOSE(QUERY(IFERROR(SORT(GOOGLEFINANCE(C214, ""price"", WORKDAY(TODAY(), -40), TODAY()), 1, FALSE)), ""select Col2 where Col2 is not null limit 22 label Col2 ''"", 0)), """")"),"")</f>
        <v/>
      </c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8"/>
      <c r="AO214" s="28"/>
      <c r="AP214" s="29"/>
      <c r="AQ214" s="29" t="str">
        <f t="shared" ref="AQ214:BL214" si="217">T214/T$2</f>
        <v>#N/A</v>
      </c>
      <c r="AR214" s="29" t="str">
        <f t="shared" si="217"/>
        <v>#DIV/0!</v>
      </c>
      <c r="AS214" s="29" t="str">
        <f t="shared" si="217"/>
        <v>#DIV/0!</v>
      </c>
      <c r="AT214" s="29" t="str">
        <f t="shared" si="217"/>
        <v>#DIV/0!</v>
      </c>
      <c r="AU214" s="29" t="str">
        <f t="shared" si="217"/>
        <v>#DIV/0!</v>
      </c>
      <c r="AV214" s="29" t="str">
        <f t="shared" si="217"/>
        <v>#DIV/0!</v>
      </c>
      <c r="AW214" s="29" t="str">
        <f t="shared" si="217"/>
        <v>#DIV/0!</v>
      </c>
      <c r="AX214" s="29" t="str">
        <f t="shared" si="217"/>
        <v>#DIV/0!</v>
      </c>
      <c r="AY214" s="29" t="str">
        <f t="shared" si="217"/>
        <v>#DIV/0!</v>
      </c>
      <c r="AZ214" s="29" t="str">
        <f t="shared" si="217"/>
        <v>#DIV/0!</v>
      </c>
      <c r="BA214" s="29" t="str">
        <f t="shared" si="217"/>
        <v>#DIV/0!</v>
      </c>
      <c r="BB214" s="29" t="str">
        <f t="shared" si="217"/>
        <v>#DIV/0!</v>
      </c>
      <c r="BC214" s="29" t="str">
        <f t="shared" si="217"/>
        <v>#DIV/0!</v>
      </c>
      <c r="BD214" s="29" t="str">
        <f t="shared" si="217"/>
        <v>#DIV/0!</v>
      </c>
      <c r="BE214" s="29" t="str">
        <f t="shared" si="217"/>
        <v>#DIV/0!</v>
      </c>
      <c r="BF214" s="29" t="str">
        <f t="shared" si="217"/>
        <v>#DIV/0!</v>
      </c>
      <c r="BG214" s="29" t="str">
        <f t="shared" si="217"/>
        <v>#DIV/0!</v>
      </c>
      <c r="BH214" s="29" t="str">
        <f t="shared" si="217"/>
        <v>#DIV/0!</v>
      </c>
      <c r="BI214" s="29" t="str">
        <f t="shared" si="217"/>
        <v>#DIV/0!</v>
      </c>
      <c r="BJ214" s="29" t="str">
        <f t="shared" si="217"/>
        <v>#DIV/0!</v>
      </c>
      <c r="BK214" s="29" t="str">
        <f t="shared" si="217"/>
        <v>#DIV/0!</v>
      </c>
      <c r="BL214" s="29" t="str">
        <f t="shared" si="217"/>
        <v>#DIV/0!</v>
      </c>
      <c r="BM214" s="29" t="str">
        <f t="shared" si="3"/>
        <v>#DIV/0!</v>
      </c>
    </row>
    <row r="215">
      <c r="A215" s="16" t="str">
        <f>IFERROR(__xludf.DUMMYFUNCTION("IFERROR(SPARKLINE(SORT(MAP(TRANSPOSE(AQ215:BL215), LAMBDA(val, IF(ISNUMBER(val), PERCENTRANK(AQ215:BL215, val)+0.01, 0))), SEQUENCE(COLUMNS(AQ215:BL215)), FALSE), {""charttype"",""column""; ""color"",""chartreuse""; ""ymin"", 0; ""ymax"", 1.01; ""highcolo"&amp;"r"", ""darkgreen""; ""lowcolor"", ""red""}), """")"),"")</f>
        <v/>
      </c>
      <c r="B215" s="17" t="str">
        <f t="shared" si="4"/>
        <v/>
      </c>
      <c r="C215" s="1" t="s">
        <v>985</v>
      </c>
      <c r="D215" s="30" t="str">
        <f>IFERROR(__xludf.DUMMYFUNCTION("IFERROR(GOOGLEFINANCE(C215, ""NAME""))"),"Rimini Street Inc")</f>
        <v>Rimini Street Inc</v>
      </c>
      <c r="E215" s="30" t="s">
        <v>48</v>
      </c>
      <c r="F215" s="33" t="str">
        <f>IFERROR(__xludf.DUMMYFUNCTION("( (GOOGLEFINANCE(C215, ""price"") - Q215) / Q215 ) / (R215 / 100)"),"Loading...")</f>
        <v>Loading...</v>
      </c>
      <c r="G215" s="20" t="str">
        <f>IFERROR(__xludf.DUMMYFUNCTION("AVERAGE(ARRAYFORMULA(100 * (QUERY(GOOGLEFINANCE(C215, ""high"", TODAY()-40, TODAY()), ""SELECT Col2 WHERE Col2 IS NOT NULL ORDER BY Col1 DESC LIMIT 20"", 0) / QUERY(GOOGLEFINANCE(C215, ""low"", TODAY()-40, TODAY()), ""SELECT Col2 WHERE Col2 IS NOT NULL OR"&amp;"DER BY Col1 DESC LIMIT 20"", 0) - 1)))"),"#N/A")</f>
        <v>#N/A</v>
      </c>
      <c r="H215" s="35" t="str">
        <f t="shared" si="6"/>
        <v/>
      </c>
      <c r="I215" s="36" t="str">
        <f t="shared" si="7"/>
        <v/>
      </c>
      <c r="J215" s="37" t="str">
        <f>IFERROR(__xludf.DUMMYFUNCTION("IFERROR(
  IF(C215="""",, 
    IFERROR(
      GOOGLEFINANCE(C215, ""price"") * GOOGLEFINANCE(C215, ""volumeavg""), 
      GOOGLEFINANCE(C215, ""price"") * AVERAGE(QUERY(GOOGLEFINANCE(C215, ""volume"", TODAY()-40, TODAY()), ""SELECT Col2 WHERE Col2 IS NOT "&amp;"NULL ORDER BY Col1 DESC LIMIT 20"", 0))
    )
  ), 
"""")"),"")</f>
        <v/>
      </c>
      <c r="K215" s="21" t="str">
        <f>IFERROR(__xludf.DUMMYFUNCTION("IFERROR(GOOGLEFINANCE(C215, ""changepct"") / 100, """")"),"")</f>
        <v/>
      </c>
      <c r="L215" s="21" t="str">
        <f>IFERROR(__xludf.DUMMYFUNCTION("IFERROR((GOOGLEFINANCE(C215, ""price"") / INDEX(GOOGLEFINANCE(C215, ""price"", TODAY()-7, TODAY()), 2, 2)) - 1, """")"),"")</f>
        <v/>
      </c>
      <c r="M215" s="21" t="str">
        <f>IFERROR(__xludf.DUMMYFUNCTION("IFERROR((GOOGLEFINANCE(C215, ""price"") / INDEX(GOOGLEFINANCE(C215, ""price"", EDATE(TODAY(), -1), TODAY()), 2, 2)) - 1, """")"),"")</f>
        <v/>
      </c>
      <c r="N215" s="21" t="str">
        <f>IFERROR(__xludf.DUMMYFUNCTION("IFERROR((GOOGLEFINANCE(C215, ""price"") / INDEX(GOOGLEFINANCE(C215, ""price"", EDATE(TODAY(), -3), TODAY()), 2, 2)) - 1, """")"),"")</f>
        <v/>
      </c>
      <c r="O215" s="21" t="str">
        <f>IFERROR(__xludf.DUMMYFUNCTION("IFERROR((GOOGLEFINANCE(C215, ""price"") / INDEX(GOOGLEFINANCE(C215, ""price"", EDATE(TODAY(), -6), TODAY()), 2, 2)) - 1, """")"),"")</f>
        <v/>
      </c>
      <c r="P215" s="21" t="str">
        <f>IFERROR(__xludf.DUMMYFUNCTION("IFERROR((GOOGLEFINANCE(C215, ""price"") / INDEX(GOOGLEFINANCE(C215, ""price"", EDATE(TODAY(), -12), TODAY()), 2, 2)) - 1, """")"),"")</f>
        <v/>
      </c>
      <c r="Q215" s="6" t="str">
        <f>IFERROR(__xludf.DUMMYFUNCTION("AVERAGE(QUERY(GOOGLEFINANCE(C215, ""price"", TODAY()-80, TODAY()), ""SELECT Col2 WHERE Col2 IS NOT NULL ORDER BY Col1 DESC LIMIT 50"", 0))"),"#N/A")</f>
        <v>#N/A</v>
      </c>
      <c r="R215" s="24" t="str">
        <f>IFERROR(__xludf.DUMMYFUNCTION("IFERROR(
  LET(
    data, QUERY(GOOGLEFINANCE(C215,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GOOGLEFINANCE(C215, ""price"")) * 100,
    IF(calc=0, G215, calc)
  ), 
G215)"),"#N/A")</f>
        <v>#N/A</v>
      </c>
      <c r="S215" s="8" t="s">
        <v>15</v>
      </c>
      <c r="T215" s="26" t="str">
        <f>IFERROR(__xludf.DUMMYFUNCTION("IFERROR(TRANSPOSE(QUERY(IFERROR(SORT(GOOGLEFINANCE(C215, ""price"", WORKDAY(TODAY(), -40), TODAY()), 1, FALSE)), ""select Col2 where Col2 is not null limit 22 label Col2 ''"", 0)), """")"),"")</f>
        <v/>
      </c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8"/>
      <c r="AO215" s="28"/>
      <c r="AP215" s="29"/>
      <c r="AQ215" s="29" t="str">
        <f t="shared" ref="AQ215:BL215" si="218">T215/T$2</f>
        <v>#N/A</v>
      </c>
      <c r="AR215" s="29" t="str">
        <f t="shared" si="218"/>
        <v>#DIV/0!</v>
      </c>
      <c r="AS215" s="29" t="str">
        <f t="shared" si="218"/>
        <v>#DIV/0!</v>
      </c>
      <c r="AT215" s="29" t="str">
        <f t="shared" si="218"/>
        <v>#DIV/0!</v>
      </c>
      <c r="AU215" s="29" t="str">
        <f t="shared" si="218"/>
        <v>#DIV/0!</v>
      </c>
      <c r="AV215" s="29" t="str">
        <f t="shared" si="218"/>
        <v>#DIV/0!</v>
      </c>
      <c r="AW215" s="29" t="str">
        <f t="shared" si="218"/>
        <v>#DIV/0!</v>
      </c>
      <c r="AX215" s="29" t="str">
        <f t="shared" si="218"/>
        <v>#DIV/0!</v>
      </c>
      <c r="AY215" s="29" t="str">
        <f t="shared" si="218"/>
        <v>#DIV/0!</v>
      </c>
      <c r="AZ215" s="29" t="str">
        <f t="shared" si="218"/>
        <v>#DIV/0!</v>
      </c>
      <c r="BA215" s="29" t="str">
        <f t="shared" si="218"/>
        <v>#DIV/0!</v>
      </c>
      <c r="BB215" s="29" t="str">
        <f t="shared" si="218"/>
        <v>#DIV/0!</v>
      </c>
      <c r="BC215" s="29" t="str">
        <f t="shared" si="218"/>
        <v>#DIV/0!</v>
      </c>
      <c r="BD215" s="29" t="str">
        <f t="shared" si="218"/>
        <v>#DIV/0!</v>
      </c>
      <c r="BE215" s="29" t="str">
        <f t="shared" si="218"/>
        <v>#DIV/0!</v>
      </c>
      <c r="BF215" s="29" t="str">
        <f t="shared" si="218"/>
        <v>#DIV/0!</v>
      </c>
      <c r="BG215" s="29" t="str">
        <f t="shared" si="218"/>
        <v>#DIV/0!</v>
      </c>
      <c r="BH215" s="29" t="str">
        <f t="shared" si="218"/>
        <v>#DIV/0!</v>
      </c>
      <c r="BI215" s="29" t="str">
        <f t="shared" si="218"/>
        <v>#DIV/0!</v>
      </c>
      <c r="BJ215" s="29" t="str">
        <f t="shared" si="218"/>
        <v>#DIV/0!</v>
      </c>
      <c r="BK215" s="29" t="str">
        <f t="shared" si="218"/>
        <v>#DIV/0!</v>
      </c>
      <c r="BL215" s="29" t="str">
        <f t="shared" si="218"/>
        <v>#DIV/0!</v>
      </c>
      <c r="BM215" s="29" t="str">
        <f t="shared" si="3"/>
        <v>#DIV/0!</v>
      </c>
    </row>
    <row r="216">
      <c r="A216" s="16" t="str">
        <f>IFERROR(__xludf.DUMMYFUNCTION("IFERROR(SPARKLINE(SORT(MAP(TRANSPOSE(AQ216:BL216), LAMBDA(val, IF(ISNUMBER(val), PERCENTRANK(AQ216:BL216, val)+0.01, 0))), SEQUENCE(COLUMNS(AQ216:BL216)), FALSE), {""charttype"",""column""; ""color"",""chartreuse""; ""ymin"", 0; ""ymax"", 1.01; ""highcolo"&amp;"r"", ""darkgreen""; ""lowcolor"", ""red""}), """")"),"")</f>
        <v/>
      </c>
      <c r="B216" s="17" t="str">
        <f t="shared" si="4"/>
        <v/>
      </c>
      <c r="C216" s="1" t="s">
        <v>990</v>
      </c>
      <c r="D216" s="30" t="str">
        <f>IFERROR(__xludf.DUMMYFUNCTION("IFERROR(GOOGLEFINANCE(C216, ""NAME""))"),"Liveramp Holdings Inc")</f>
        <v>Liveramp Holdings Inc</v>
      </c>
      <c r="E216" s="30" t="s">
        <v>58</v>
      </c>
      <c r="F216" s="33" t="str">
        <f>IFERROR(__xludf.DUMMYFUNCTION("( (GOOGLEFINANCE(C216, ""price"") - Q216) / Q216 ) / (R216 / 100)"),"Loading...")</f>
        <v>Loading...</v>
      </c>
      <c r="G216" s="20" t="str">
        <f>IFERROR(__xludf.DUMMYFUNCTION("AVERAGE(ARRAYFORMULA(100 * (QUERY(GOOGLEFINANCE(C216, ""high"", TODAY()-40, TODAY()), ""SELECT Col2 WHERE Col2 IS NOT NULL ORDER BY Col1 DESC LIMIT 20"", 0) / QUERY(GOOGLEFINANCE(C216, ""low"", TODAY()-40, TODAY()), ""SELECT Col2 WHERE Col2 IS NOT NULL OR"&amp;"DER BY Col1 DESC LIMIT 20"", 0) - 1)))"),"#N/A")</f>
        <v>#N/A</v>
      </c>
      <c r="H216" s="35" t="str">
        <f t="shared" si="6"/>
        <v/>
      </c>
      <c r="I216" s="36" t="str">
        <f t="shared" si="7"/>
        <v/>
      </c>
      <c r="J216" s="37" t="str">
        <f>IFERROR(__xludf.DUMMYFUNCTION("IFERROR(
  IF(C216="""",, 
    IFERROR(
      GOOGLEFINANCE(C216, ""price"") * GOOGLEFINANCE(C216, ""volumeavg""), 
      GOOGLEFINANCE(C216, ""price"") * AVERAGE(QUERY(GOOGLEFINANCE(C216, ""volume"", TODAY()-40, TODAY()), ""SELECT Col2 WHERE Col2 IS NOT "&amp;"NULL ORDER BY Col1 DESC LIMIT 20"", 0))
    )
  ), 
"""")"),"")</f>
        <v/>
      </c>
      <c r="K216" s="21" t="str">
        <f>IFERROR(__xludf.DUMMYFUNCTION("IFERROR(GOOGLEFINANCE(C216, ""changepct"") / 100, """")"),"")</f>
        <v/>
      </c>
      <c r="L216" s="21" t="str">
        <f>IFERROR(__xludf.DUMMYFUNCTION("IFERROR((GOOGLEFINANCE(C216, ""price"") / INDEX(GOOGLEFINANCE(C216, ""price"", TODAY()-7, TODAY()), 2, 2)) - 1, """")"),"")</f>
        <v/>
      </c>
      <c r="M216" s="21" t="str">
        <f>IFERROR(__xludf.DUMMYFUNCTION("IFERROR((GOOGLEFINANCE(C216, ""price"") / INDEX(GOOGLEFINANCE(C216, ""price"", EDATE(TODAY(), -1), TODAY()), 2, 2)) - 1, """")"),"")</f>
        <v/>
      </c>
      <c r="N216" s="21" t="str">
        <f>IFERROR(__xludf.DUMMYFUNCTION("IFERROR((GOOGLEFINANCE(C216, ""price"") / INDEX(GOOGLEFINANCE(C216, ""price"", EDATE(TODAY(), -3), TODAY()), 2, 2)) - 1, """")"),"")</f>
        <v/>
      </c>
      <c r="O216" s="21" t="str">
        <f>IFERROR(__xludf.DUMMYFUNCTION("IFERROR((GOOGLEFINANCE(C216, ""price"") / INDEX(GOOGLEFINANCE(C216, ""price"", EDATE(TODAY(), -6), TODAY()), 2, 2)) - 1, """")"),"")</f>
        <v/>
      </c>
      <c r="P216" s="21" t="str">
        <f>IFERROR(__xludf.DUMMYFUNCTION("IFERROR((GOOGLEFINANCE(C216, ""price"") / INDEX(GOOGLEFINANCE(C216, ""price"", EDATE(TODAY(), -12), TODAY()), 2, 2)) - 1, """")"),"")</f>
        <v/>
      </c>
      <c r="Q216" s="6" t="str">
        <f>IFERROR(__xludf.DUMMYFUNCTION("AVERAGE(QUERY(GOOGLEFINANCE(C216, ""price"", TODAY()-80, TODAY()), ""SELECT Col2 WHERE Col2 IS NOT NULL ORDER BY Col1 DESC LIMIT 50"", 0))"),"#N/A")</f>
        <v>#N/A</v>
      </c>
      <c r="R216" s="24" t="str">
        <f>IFERROR(__xludf.DUMMYFUNCTION("IFERROR(
  LET(
    data, QUERY(GOOGLEFINANCE(C216,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GOOGLEFINANCE(C216, ""price"")) * 100,
    IF(calc=0, G216, calc)
  ), 
G216)"),"#N/A")</f>
        <v>#N/A</v>
      </c>
      <c r="S216" s="8" t="s">
        <v>15</v>
      </c>
      <c r="T216" s="26" t="str">
        <f>IFERROR(__xludf.DUMMYFUNCTION("IFERROR(TRANSPOSE(QUERY(IFERROR(SORT(GOOGLEFINANCE(C216, ""price"", WORKDAY(TODAY(), -40), TODAY()), 1, FALSE)), ""select Col2 where Col2 is not null limit 22 label Col2 ''"", 0)), """")"),"")</f>
        <v/>
      </c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8"/>
      <c r="AO216" s="28"/>
      <c r="AP216" s="29"/>
      <c r="AQ216" s="29" t="str">
        <f t="shared" ref="AQ216:BL216" si="219">T216/T$2</f>
        <v>#N/A</v>
      </c>
      <c r="AR216" s="29" t="str">
        <f t="shared" si="219"/>
        <v>#DIV/0!</v>
      </c>
      <c r="AS216" s="29" t="str">
        <f t="shared" si="219"/>
        <v>#DIV/0!</v>
      </c>
      <c r="AT216" s="29" t="str">
        <f t="shared" si="219"/>
        <v>#DIV/0!</v>
      </c>
      <c r="AU216" s="29" t="str">
        <f t="shared" si="219"/>
        <v>#DIV/0!</v>
      </c>
      <c r="AV216" s="29" t="str">
        <f t="shared" si="219"/>
        <v>#DIV/0!</v>
      </c>
      <c r="AW216" s="29" t="str">
        <f t="shared" si="219"/>
        <v>#DIV/0!</v>
      </c>
      <c r="AX216" s="29" t="str">
        <f t="shared" si="219"/>
        <v>#DIV/0!</v>
      </c>
      <c r="AY216" s="29" t="str">
        <f t="shared" si="219"/>
        <v>#DIV/0!</v>
      </c>
      <c r="AZ216" s="29" t="str">
        <f t="shared" si="219"/>
        <v>#DIV/0!</v>
      </c>
      <c r="BA216" s="29" t="str">
        <f t="shared" si="219"/>
        <v>#DIV/0!</v>
      </c>
      <c r="BB216" s="29" t="str">
        <f t="shared" si="219"/>
        <v>#DIV/0!</v>
      </c>
      <c r="BC216" s="29" t="str">
        <f t="shared" si="219"/>
        <v>#DIV/0!</v>
      </c>
      <c r="BD216" s="29" t="str">
        <f t="shared" si="219"/>
        <v>#DIV/0!</v>
      </c>
      <c r="BE216" s="29" t="str">
        <f t="shared" si="219"/>
        <v>#DIV/0!</v>
      </c>
      <c r="BF216" s="29" t="str">
        <f t="shared" si="219"/>
        <v>#DIV/0!</v>
      </c>
      <c r="BG216" s="29" t="str">
        <f t="shared" si="219"/>
        <v>#DIV/0!</v>
      </c>
      <c r="BH216" s="29" t="str">
        <f t="shared" si="219"/>
        <v>#DIV/0!</v>
      </c>
      <c r="BI216" s="29" t="str">
        <f t="shared" si="219"/>
        <v>#DIV/0!</v>
      </c>
      <c r="BJ216" s="29" t="str">
        <f t="shared" si="219"/>
        <v>#DIV/0!</v>
      </c>
      <c r="BK216" s="29" t="str">
        <f t="shared" si="219"/>
        <v>#DIV/0!</v>
      </c>
      <c r="BL216" s="29" t="str">
        <f t="shared" si="219"/>
        <v>#DIV/0!</v>
      </c>
      <c r="BM216" s="29" t="str">
        <f t="shared" si="3"/>
        <v>#DIV/0!</v>
      </c>
    </row>
    <row r="217">
      <c r="A217" s="16" t="str">
        <f>IFERROR(__xludf.DUMMYFUNCTION("IFERROR(SPARKLINE(SORT(MAP(TRANSPOSE(AQ217:BL217), LAMBDA(val, IF(ISNUMBER(val), PERCENTRANK(AQ217:BL217, val)+0.01, 0))), SEQUENCE(COLUMNS(AQ217:BL217)), FALSE), {""charttype"",""column""; ""color"",""chartreuse""; ""ymin"", 0; ""ymax"", 1.01; ""highcolo"&amp;"r"", ""darkgreen""; ""lowcolor"", ""red""}), """")"),"")</f>
        <v/>
      </c>
      <c r="B217" s="17" t="str">
        <f t="shared" si="4"/>
        <v/>
      </c>
      <c r="C217" s="1" t="s">
        <v>994</v>
      </c>
      <c r="D217" s="30" t="str">
        <f>IFERROR(__xludf.DUMMYFUNCTION("IFERROR(GOOGLEFINANCE(C217, ""NAME""))"),"CACI INTERNATIONAL INC Common Stock")</f>
        <v>CACI INTERNATIONAL INC Common Stock</v>
      </c>
      <c r="E217" s="30" t="s">
        <v>102</v>
      </c>
      <c r="F217" s="33" t="str">
        <f>IFERROR(__xludf.DUMMYFUNCTION("( (GOOGLEFINANCE(C217, ""price"") - Q217) / Q217 ) / (R217 / 100)"),"Loading...")</f>
        <v>Loading...</v>
      </c>
      <c r="G217" s="20" t="str">
        <f>IFERROR(__xludf.DUMMYFUNCTION("AVERAGE(ARRAYFORMULA(100 * (QUERY(GOOGLEFINANCE(C217, ""high"", TODAY()-40, TODAY()), ""SELECT Col2 WHERE Col2 IS NOT NULL ORDER BY Col1 DESC LIMIT 20"", 0) / QUERY(GOOGLEFINANCE(C217, ""low"", TODAY()-40, TODAY()), ""SELECT Col2 WHERE Col2 IS NOT NULL OR"&amp;"DER BY Col1 DESC LIMIT 20"", 0) - 1)))"),"#N/A")</f>
        <v>#N/A</v>
      </c>
      <c r="H217" s="35" t="str">
        <f t="shared" si="6"/>
        <v/>
      </c>
      <c r="I217" s="36" t="str">
        <f t="shared" si="7"/>
        <v/>
      </c>
      <c r="J217" s="37" t="str">
        <f>IFERROR(__xludf.DUMMYFUNCTION("IFERROR(
  IF(C217="""",, 
    IFERROR(
      GOOGLEFINANCE(C217, ""price"") * GOOGLEFINANCE(C217, ""volumeavg""), 
      GOOGLEFINANCE(C217, ""price"") * AVERAGE(QUERY(GOOGLEFINANCE(C217, ""volume"", TODAY()-40, TODAY()), ""SELECT Col2 WHERE Col2 IS NOT "&amp;"NULL ORDER BY Col1 DESC LIMIT 20"", 0))
    )
  ), 
"""")"),"")</f>
        <v/>
      </c>
      <c r="K217" s="21" t="str">
        <f>IFERROR(__xludf.DUMMYFUNCTION("IFERROR(GOOGLEFINANCE(C217, ""changepct"") / 100, """")"),"")</f>
        <v/>
      </c>
      <c r="L217" s="21" t="str">
        <f>IFERROR(__xludf.DUMMYFUNCTION("IFERROR((GOOGLEFINANCE(C217, ""price"") / INDEX(GOOGLEFINANCE(C217, ""price"", TODAY()-7, TODAY()), 2, 2)) - 1, """")"),"")</f>
        <v/>
      </c>
      <c r="M217" s="21" t="str">
        <f>IFERROR(__xludf.DUMMYFUNCTION("IFERROR((GOOGLEFINANCE(C217, ""price"") / INDEX(GOOGLEFINANCE(C217, ""price"", EDATE(TODAY(), -1), TODAY()), 2, 2)) - 1, """")"),"")</f>
        <v/>
      </c>
      <c r="N217" s="21" t="str">
        <f>IFERROR(__xludf.DUMMYFUNCTION("IFERROR((GOOGLEFINANCE(C217, ""price"") / INDEX(GOOGLEFINANCE(C217, ""price"", EDATE(TODAY(), -3), TODAY()), 2, 2)) - 1, """")"),"")</f>
        <v/>
      </c>
      <c r="O217" s="21" t="str">
        <f>IFERROR(__xludf.DUMMYFUNCTION("IFERROR((GOOGLEFINANCE(C217, ""price"") / INDEX(GOOGLEFINANCE(C217, ""price"", EDATE(TODAY(), -6), TODAY()), 2, 2)) - 1, """")"),"")</f>
        <v/>
      </c>
      <c r="P217" s="21" t="str">
        <f>IFERROR(__xludf.DUMMYFUNCTION("IFERROR((GOOGLEFINANCE(C217, ""price"") / INDEX(GOOGLEFINANCE(C217, ""price"", EDATE(TODAY(), -12), TODAY()), 2, 2)) - 1, """")"),"")</f>
        <v/>
      </c>
      <c r="Q217" s="6" t="str">
        <f>IFERROR(__xludf.DUMMYFUNCTION("AVERAGE(QUERY(GOOGLEFINANCE(C217, ""price"", TODAY()-80, TODAY()), ""SELECT Col2 WHERE Col2 IS NOT NULL ORDER BY Col1 DESC LIMIT 50"", 0))"),"#N/A")</f>
        <v>#N/A</v>
      </c>
      <c r="R217" s="24" t="str">
        <f>IFERROR(__xludf.DUMMYFUNCTION("IFERROR(
  LET(
    data, QUERY(GOOGLEFINANCE(C217,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GOOGLEFINANCE(C217, ""price"")) * 100,
    IF(calc=0, G217, calc)
  ), 
G217)"),"#N/A")</f>
        <v>#N/A</v>
      </c>
      <c r="S217" s="8" t="s">
        <v>15</v>
      </c>
      <c r="T217" s="26" t="str">
        <f>IFERROR(__xludf.DUMMYFUNCTION("IFERROR(TRANSPOSE(QUERY(IFERROR(SORT(GOOGLEFINANCE(C217, ""price"", WORKDAY(TODAY(), -40), TODAY()), 1, FALSE)), ""select Col2 where Col2 is not null limit 22 label Col2 ''"", 0)), """")"),"")</f>
        <v/>
      </c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8"/>
      <c r="AO217" s="28"/>
      <c r="AP217" s="29"/>
      <c r="AQ217" s="29" t="str">
        <f t="shared" ref="AQ217:BL217" si="220">T217/T$2</f>
        <v>#N/A</v>
      </c>
      <c r="AR217" s="29" t="str">
        <f t="shared" si="220"/>
        <v>#DIV/0!</v>
      </c>
      <c r="AS217" s="29" t="str">
        <f t="shared" si="220"/>
        <v>#DIV/0!</v>
      </c>
      <c r="AT217" s="29" t="str">
        <f t="shared" si="220"/>
        <v>#DIV/0!</v>
      </c>
      <c r="AU217" s="29" t="str">
        <f t="shared" si="220"/>
        <v>#DIV/0!</v>
      </c>
      <c r="AV217" s="29" t="str">
        <f t="shared" si="220"/>
        <v>#DIV/0!</v>
      </c>
      <c r="AW217" s="29" t="str">
        <f t="shared" si="220"/>
        <v>#DIV/0!</v>
      </c>
      <c r="AX217" s="29" t="str">
        <f t="shared" si="220"/>
        <v>#DIV/0!</v>
      </c>
      <c r="AY217" s="29" t="str">
        <f t="shared" si="220"/>
        <v>#DIV/0!</v>
      </c>
      <c r="AZ217" s="29" t="str">
        <f t="shared" si="220"/>
        <v>#DIV/0!</v>
      </c>
      <c r="BA217" s="29" t="str">
        <f t="shared" si="220"/>
        <v>#DIV/0!</v>
      </c>
      <c r="BB217" s="29" t="str">
        <f t="shared" si="220"/>
        <v>#DIV/0!</v>
      </c>
      <c r="BC217" s="29" t="str">
        <f t="shared" si="220"/>
        <v>#DIV/0!</v>
      </c>
      <c r="BD217" s="29" t="str">
        <f t="shared" si="220"/>
        <v>#DIV/0!</v>
      </c>
      <c r="BE217" s="29" t="str">
        <f t="shared" si="220"/>
        <v>#DIV/0!</v>
      </c>
      <c r="BF217" s="29" t="str">
        <f t="shared" si="220"/>
        <v>#DIV/0!</v>
      </c>
      <c r="BG217" s="29" t="str">
        <f t="shared" si="220"/>
        <v>#DIV/0!</v>
      </c>
      <c r="BH217" s="29" t="str">
        <f t="shared" si="220"/>
        <v>#DIV/0!</v>
      </c>
      <c r="BI217" s="29" t="str">
        <f t="shared" si="220"/>
        <v>#DIV/0!</v>
      </c>
      <c r="BJ217" s="29" t="str">
        <f t="shared" si="220"/>
        <v>#DIV/0!</v>
      </c>
      <c r="BK217" s="29" t="str">
        <f t="shared" si="220"/>
        <v>#DIV/0!</v>
      </c>
      <c r="BL217" s="29" t="str">
        <f t="shared" si="220"/>
        <v>#DIV/0!</v>
      </c>
      <c r="BM217" s="29" t="str">
        <f t="shared" si="3"/>
        <v>#DIV/0!</v>
      </c>
    </row>
    <row r="218">
      <c r="A218" s="16" t="str">
        <f>IFERROR(__xludf.DUMMYFUNCTION("IFERROR(SPARKLINE(SORT(MAP(TRANSPOSE(AQ218:BL218), LAMBDA(val, IF(ISNUMBER(val), PERCENTRANK(AQ218:BL218, val)+0.01, 0))), SEQUENCE(COLUMNS(AQ218:BL218)), FALSE), {""charttype"",""column""; ""color"",""chartreuse""; ""ymin"", 0; ""ymax"", 1.01; ""highcolo"&amp;"r"", ""darkgreen""; ""lowcolor"", ""red""}), """")"),"")</f>
        <v/>
      </c>
      <c r="B218" s="17" t="str">
        <f t="shared" si="4"/>
        <v/>
      </c>
      <c r="C218" s="1" t="s">
        <v>998</v>
      </c>
      <c r="D218" s="30" t="str">
        <f>IFERROR(__xludf.DUMMYFUNCTION("IFERROR(GOOGLEFINANCE(C218, ""NAME""))"),"Kaspi.kz AO - ADR")</f>
        <v>Kaspi.kz AO - ADR</v>
      </c>
      <c r="E218" s="30" t="s">
        <v>58</v>
      </c>
      <c r="F218" s="33" t="str">
        <f>IFERROR(__xludf.DUMMYFUNCTION("( (GOOGLEFINANCE(C218, ""price"") - Q218) / Q218 ) / (R218 / 100)"),"Loading...")</f>
        <v>Loading...</v>
      </c>
      <c r="G218" s="20" t="str">
        <f>IFERROR(__xludf.DUMMYFUNCTION("AVERAGE(ARRAYFORMULA(100 * (QUERY(GOOGLEFINANCE(C218, ""high"", TODAY()-40, TODAY()), ""SELECT Col2 WHERE Col2 IS NOT NULL ORDER BY Col1 DESC LIMIT 20"", 0) / QUERY(GOOGLEFINANCE(C218, ""low"", TODAY()-40, TODAY()), ""SELECT Col2 WHERE Col2 IS NOT NULL OR"&amp;"DER BY Col1 DESC LIMIT 20"", 0) - 1)))"),"#N/A")</f>
        <v>#N/A</v>
      </c>
      <c r="H218" s="35" t="str">
        <f t="shared" si="6"/>
        <v/>
      </c>
      <c r="I218" s="36" t="str">
        <f t="shared" si="7"/>
        <v/>
      </c>
      <c r="J218" s="37" t="str">
        <f>IFERROR(__xludf.DUMMYFUNCTION("IFERROR(
  IF(C218="""",, 
    IFERROR(
      GOOGLEFINANCE(C218, ""price"") * GOOGLEFINANCE(C218, ""volumeavg""), 
      GOOGLEFINANCE(C218, ""price"") * AVERAGE(QUERY(GOOGLEFINANCE(C218, ""volume"", TODAY()-40, TODAY()), ""SELECT Col2 WHERE Col2 IS NOT "&amp;"NULL ORDER BY Col1 DESC LIMIT 20"", 0))
    )
  ), 
"""")"),"")</f>
        <v/>
      </c>
      <c r="K218" s="21" t="str">
        <f>IFERROR(__xludf.DUMMYFUNCTION("IFERROR(GOOGLEFINANCE(C218, ""changepct"") / 100, """")"),"")</f>
        <v/>
      </c>
      <c r="L218" s="21" t="str">
        <f>IFERROR(__xludf.DUMMYFUNCTION("IFERROR((GOOGLEFINANCE(C218, ""price"") / INDEX(GOOGLEFINANCE(C218, ""price"", TODAY()-7, TODAY()), 2, 2)) - 1, """")"),"")</f>
        <v/>
      </c>
      <c r="M218" s="21" t="str">
        <f>IFERROR(__xludf.DUMMYFUNCTION("IFERROR((GOOGLEFINANCE(C218, ""price"") / INDEX(GOOGLEFINANCE(C218, ""price"", EDATE(TODAY(), -1), TODAY()), 2, 2)) - 1, """")"),"")</f>
        <v/>
      </c>
      <c r="N218" s="21" t="str">
        <f>IFERROR(__xludf.DUMMYFUNCTION("IFERROR((GOOGLEFINANCE(C218, ""price"") / INDEX(GOOGLEFINANCE(C218, ""price"", EDATE(TODAY(), -3), TODAY()), 2, 2)) - 1, """")"),"")</f>
        <v/>
      </c>
      <c r="O218" s="21" t="str">
        <f>IFERROR(__xludf.DUMMYFUNCTION("IFERROR((GOOGLEFINANCE(C218, ""price"") / INDEX(GOOGLEFINANCE(C218, ""price"", EDATE(TODAY(), -6), TODAY()), 2, 2)) - 1, """")"),"")</f>
        <v/>
      </c>
      <c r="P218" s="21" t="str">
        <f>IFERROR(__xludf.DUMMYFUNCTION("IFERROR((GOOGLEFINANCE(C218, ""price"") / INDEX(GOOGLEFINANCE(C218, ""price"", EDATE(TODAY(), -12), TODAY()), 2, 2)) - 1, """")"),"")</f>
        <v/>
      </c>
      <c r="Q218" s="6" t="str">
        <f>IFERROR(__xludf.DUMMYFUNCTION("AVERAGE(QUERY(GOOGLEFINANCE(C218, ""price"", TODAY()-80, TODAY()), ""SELECT Col2 WHERE Col2 IS NOT NULL ORDER BY Col1 DESC LIMIT 50"", 0))"),"#N/A")</f>
        <v>#N/A</v>
      </c>
      <c r="R218" s="24" t="str">
        <f>IFERROR(__xludf.DUMMYFUNCTION("IFERROR(
  LET(
    data, QUERY(GOOGLEFINANCE(C218,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GOOGLEFINANCE(C218, ""price"")) * 100,
    IF(calc=0, G218, calc)
  ), 
G218)"),"#N/A")</f>
        <v>#N/A</v>
      </c>
      <c r="S218" s="8" t="s">
        <v>15</v>
      </c>
      <c r="T218" s="26" t="str">
        <f>IFERROR(__xludf.DUMMYFUNCTION("IFERROR(TRANSPOSE(QUERY(IFERROR(SORT(GOOGLEFINANCE(C218, ""price"", WORKDAY(TODAY(), -40), TODAY()), 1, FALSE)), ""select Col2 where Col2 is not null limit 22 label Col2 ''"", 0)), """")"),"")</f>
        <v/>
      </c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8"/>
      <c r="AO218" s="28"/>
      <c r="AP218" s="29"/>
      <c r="AQ218" s="29" t="str">
        <f t="shared" ref="AQ218:BL218" si="221">T218/T$2</f>
        <v>#N/A</v>
      </c>
      <c r="AR218" s="29" t="str">
        <f t="shared" si="221"/>
        <v>#DIV/0!</v>
      </c>
      <c r="AS218" s="29" t="str">
        <f t="shared" si="221"/>
        <v>#DIV/0!</v>
      </c>
      <c r="AT218" s="29" t="str">
        <f t="shared" si="221"/>
        <v>#DIV/0!</v>
      </c>
      <c r="AU218" s="29" t="str">
        <f t="shared" si="221"/>
        <v>#DIV/0!</v>
      </c>
      <c r="AV218" s="29" t="str">
        <f t="shared" si="221"/>
        <v>#DIV/0!</v>
      </c>
      <c r="AW218" s="29" t="str">
        <f t="shared" si="221"/>
        <v>#DIV/0!</v>
      </c>
      <c r="AX218" s="29" t="str">
        <f t="shared" si="221"/>
        <v>#DIV/0!</v>
      </c>
      <c r="AY218" s="29" t="str">
        <f t="shared" si="221"/>
        <v>#DIV/0!</v>
      </c>
      <c r="AZ218" s="29" t="str">
        <f t="shared" si="221"/>
        <v>#DIV/0!</v>
      </c>
      <c r="BA218" s="29" t="str">
        <f t="shared" si="221"/>
        <v>#DIV/0!</v>
      </c>
      <c r="BB218" s="29" t="str">
        <f t="shared" si="221"/>
        <v>#DIV/0!</v>
      </c>
      <c r="BC218" s="29" t="str">
        <f t="shared" si="221"/>
        <v>#DIV/0!</v>
      </c>
      <c r="BD218" s="29" t="str">
        <f t="shared" si="221"/>
        <v>#DIV/0!</v>
      </c>
      <c r="BE218" s="29" t="str">
        <f t="shared" si="221"/>
        <v>#DIV/0!</v>
      </c>
      <c r="BF218" s="29" t="str">
        <f t="shared" si="221"/>
        <v>#DIV/0!</v>
      </c>
      <c r="BG218" s="29" t="str">
        <f t="shared" si="221"/>
        <v>#DIV/0!</v>
      </c>
      <c r="BH218" s="29" t="str">
        <f t="shared" si="221"/>
        <v>#DIV/0!</v>
      </c>
      <c r="BI218" s="29" t="str">
        <f t="shared" si="221"/>
        <v>#DIV/0!</v>
      </c>
      <c r="BJ218" s="29" t="str">
        <f t="shared" si="221"/>
        <v>#DIV/0!</v>
      </c>
      <c r="BK218" s="29" t="str">
        <f t="shared" si="221"/>
        <v>#DIV/0!</v>
      </c>
      <c r="BL218" s="29" t="str">
        <f t="shared" si="221"/>
        <v>#DIV/0!</v>
      </c>
      <c r="BM218" s="29" t="str">
        <f t="shared" si="3"/>
        <v>#DIV/0!</v>
      </c>
    </row>
    <row r="219">
      <c r="A219" s="16" t="str">
        <f>IFERROR(__xludf.DUMMYFUNCTION("IFERROR(SPARKLINE(SORT(MAP(TRANSPOSE(AQ219:BL219), LAMBDA(val, IF(ISNUMBER(val), PERCENTRANK(AQ219:BL219, val)+0.01, 0))), SEQUENCE(COLUMNS(AQ219:BL219)), FALSE), {""charttype"",""column""; ""color"",""chartreuse""; ""ymin"", 0; ""ymax"", 1.01; ""highcolo"&amp;"r"", ""darkgreen""; ""lowcolor"", ""red""}), """")"),"")</f>
        <v/>
      </c>
      <c r="B219" s="17" t="str">
        <f t="shared" si="4"/>
        <v/>
      </c>
      <c r="C219" s="1" t="s">
        <v>1002</v>
      </c>
      <c r="D219" s="30" t="str">
        <f>IFERROR(__xludf.DUMMYFUNCTION("IFERROR(GOOGLEFINANCE(C219, ""NAME""))"),"WEX Inc")</f>
        <v>WEX Inc</v>
      </c>
      <c r="E219" s="30" t="s">
        <v>58</v>
      </c>
      <c r="F219" s="33" t="str">
        <f>IFERROR(__xludf.DUMMYFUNCTION("( (GOOGLEFINANCE(C219, ""price"") - Q219) / Q219 ) / (R219 / 100)"),"Loading...")</f>
        <v>Loading...</v>
      </c>
      <c r="G219" s="20" t="str">
        <f>IFERROR(__xludf.DUMMYFUNCTION("AVERAGE(ARRAYFORMULA(100 * (QUERY(GOOGLEFINANCE(C219, ""high"", TODAY()-40, TODAY()), ""SELECT Col2 WHERE Col2 IS NOT NULL ORDER BY Col1 DESC LIMIT 20"", 0) / QUERY(GOOGLEFINANCE(C219, ""low"", TODAY()-40, TODAY()), ""SELECT Col2 WHERE Col2 IS NOT NULL OR"&amp;"DER BY Col1 DESC LIMIT 20"", 0) - 1)))"),"#N/A")</f>
        <v>#N/A</v>
      </c>
      <c r="H219" s="35" t="str">
        <f t="shared" si="6"/>
        <v/>
      </c>
      <c r="I219" s="36" t="str">
        <f t="shared" si="7"/>
        <v/>
      </c>
      <c r="J219" s="37" t="str">
        <f>IFERROR(__xludf.DUMMYFUNCTION("IFERROR(
  IF(C219="""",, 
    IFERROR(
      GOOGLEFINANCE(C219, ""price"") * GOOGLEFINANCE(C219, ""volumeavg""), 
      GOOGLEFINANCE(C219, ""price"") * AVERAGE(QUERY(GOOGLEFINANCE(C219, ""volume"", TODAY()-40, TODAY()), ""SELECT Col2 WHERE Col2 IS NOT "&amp;"NULL ORDER BY Col1 DESC LIMIT 20"", 0))
    )
  ), 
"""")"),"")</f>
        <v/>
      </c>
      <c r="K219" s="21" t="str">
        <f>IFERROR(__xludf.DUMMYFUNCTION("IFERROR(GOOGLEFINANCE(C219, ""changepct"") / 100, """")"),"")</f>
        <v/>
      </c>
      <c r="L219" s="21" t="str">
        <f>IFERROR(__xludf.DUMMYFUNCTION("IFERROR((GOOGLEFINANCE(C219, ""price"") / INDEX(GOOGLEFINANCE(C219, ""price"", TODAY()-7, TODAY()), 2, 2)) - 1, """")"),"")</f>
        <v/>
      </c>
      <c r="M219" s="21" t="str">
        <f>IFERROR(__xludf.DUMMYFUNCTION("IFERROR((GOOGLEFINANCE(C219, ""price"") / INDEX(GOOGLEFINANCE(C219, ""price"", EDATE(TODAY(), -1), TODAY()), 2, 2)) - 1, """")"),"")</f>
        <v/>
      </c>
      <c r="N219" s="21" t="str">
        <f>IFERROR(__xludf.DUMMYFUNCTION("IFERROR((GOOGLEFINANCE(C219, ""price"") / INDEX(GOOGLEFINANCE(C219, ""price"", EDATE(TODAY(), -3), TODAY()), 2, 2)) - 1, """")"),"")</f>
        <v/>
      </c>
      <c r="O219" s="21" t="str">
        <f>IFERROR(__xludf.DUMMYFUNCTION("IFERROR((GOOGLEFINANCE(C219, ""price"") / INDEX(GOOGLEFINANCE(C219, ""price"", EDATE(TODAY(), -6), TODAY()), 2, 2)) - 1, """")"),"")</f>
        <v/>
      </c>
      <c r="P219" s="21" t="str">
        <f>IFERROR(__xludf.DUMMYFUNCTION("IFERROR((GOOGLEFINANCE(C219, ""price"") / INDEX(GOOGLEFINANCE(C219, ""price"", EDATE(TODAY(), -12), TODAY()), 2, 2)) - 1, """")"),"")</f>
        <v/>
      </c>
      <c r="Q219" s="6" t="str">
        <f>IFERROR(__xludf.DUMMYFUNCTION("AVERAGE(QUERY(GOOGLEFINANCE(C219, ""price"", TODAY()-80, TODAY()), ""SELECT Col2 WHERE Col2 IS NOT NULL ORDER BY Col1 DESC LIMIT 50"", 0))"),"#N/A")</f>
        <v>#N/A</v>
      </c>
      <c r="R219" s="24" t="str">
        <f>IFERROR(__xludf.DUMMYFUNCTION("IFERROR(
  LET(
    data, QUERY(GOOGLEFINANCE(C219,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GOOGLEFINANCE(C219, ""price"")) * 100,
    IF(calc=0, G219, calc)
  ), 
G219)"),"#N/A")</f>
        <v>#N/A</v>
      </c>
      <c r="S219" s="8" t="s">
        <v>15</v>
      </c>
      <c r="T219" s="26" t="str">
        <f>IFERROR(__xludf.DUMMYFUNCTION("IFERROR(TRANSPOSE(QUERY(IFERROR(SORT(GOOGLEFINANCE(C219, ""price"", WORKDAY(TODAY(), -40), TODAY()), 1, FALSE)), ""select Col2 where Col2 is not null limit 22 label Col2 ''"", 0)), """")"),"")</f>
        <v/>
      </c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8"/>
      <c r="AO219" s="28"/>
      <c r="AP219" s="29"/>
      <c r="AQ219" s="29" t="str">
        <f t="shared" ref="AQ219:BL219" si="222">T219/T$2</f>
        <v>#N/A</v>
      </c>
      <c r="AR219" s="29" t="str">
        <f t="shared" si="222"/>
        <v>#DIV/0!</v>
      </c>
      <c r="AS219" s="29" t="str">
        <f t="shared" si="222"/>
        <v>#DIV/0!</v>
      </c>
      <c r="AT219" s="29" t="str">
        <f t="shared" si="222"/>
        <v>#DIV/0!</v>
      </c>
      <c r="AU219" s="29" t="str">
        <f t="shared" si="222"/>
        <v>#DIV/0!</v>
      </c>
      <c r="AV219" s="29" t="str">
        <f t="shared" si="222"/>
        <v>#DIV/0!</v>
      </c>
      <c r="AW219" s="29" t="str">
        <f t="shared" si="222"/>
        <v>#DIV/0!</v>
      </c>
      <c r="AX219" s="29" t="str">
        <f t="shared" si="222"/>
        <v>#DIV/0!</v>
      </c>
      <c r="AY219" s="29" t="str">
        <f t="shared" si="222"/>
        <v>#DIV/0!</v>
      </c>
      <c r="AZ219" s="29" t="str">
        <f t="shared" si="222"/>
        <v>#DIV/0!</v>
      </c>
      <c r="BA219" s="29" t="str">
        <f t="shared" si="222"/>
        <v>#DIV/0!</v>
      </c>
      <c r="BB219" s="29" t="str">
        <f t="shared" si="222"/>
        <v>#DIV/0!</v>
      </c>
      <c r="BC219" s="29" t="str">
        <f t="shared" si="222"/>
        <v>#DIV/0!</v>
      </c>
      <c r="BD219" s="29" t="str">
        <f t="shared" si="222"/>
        <v>#DIV/0!</v>
      </c>
      <c r="BE219" s="29" t="str">
        <f t="shared" si="222"/>
        <v>#DIV/0!</v>
      </c>
      <c r="BF219" s="29" t="str">
        <f t="shared" si="222"/>
        <v>#DIV/0!</v>
      </c>
      <c r="BG219" s="29" t="str">
        <f t="shared" si="222"/>
        <v>#DIV/0!</v>
      </c>
      <c r="BH219" s="29" t="str">
        <f t="shared" si="222"/>
        <v>#DIV/0!</v>
      </c>
      <c r="BI219" s="29" t="str">
        <f t="shared" si="222"/>
        <v>#DIV/0!</v>
      </c>
      <c r="BJ219" s="29" t="str">
        <f t="shared" si="222"/>
        <v>#DIV/0!</v>
      </c>
      <c r="BK219" s="29" t="str">
        <f t="shared" si="222"/>
        <v>#DIV/0!</v>
      </c>
      <c r="BL219" s="29" t="str">
        <f t="shared" si="222"/>
        <v>#DIV/0!</v>
      </c>
      <c r="BM219" s="29" t="str">
        <f t="shared" si="3"/>
        <v>#DIV/0!</v>
      </c>
    </row>
    <row r="220">
      <c r="A220" s="16" t="str">
        <f>IFERROR(__xludf.DUMMYFUNCTION("IFERROR(SPARKLINE(SORT(MAP(TRANSPOSE(AQ220:BL220), LAMBDA(val, IF(ISNUMBER(val), PERCENTRANK(AQ220:BL220, val)+0.01, 0))), SEQUENCE(COLUMNS(AQ220:BL220)), FALSE), {""charttype"",""column""; ""color"",""chartreuse""; ""ymin"", 0; ""ymax"", 1.01; ""highcolo"&amp;"r"", ""darkgreen""; ""lowcolor"", ""red""}), """")"),"")</f>
        <v/>
      </c>
      <c r="B220" s="17" t="str">
        <f t="shared" si="4"/>
        <v/>
      </c>
      <c r="C220" s="1" t="s">
        <v>1007</v>
      </c>
      <c r="D220" s="30" t="str">
        <f>IFERROR(__xludf.DUMMYFUNCTION("IFERROR(GOOGLEFINANCE(C220, ""NAME""))"),"")</f>
        <v/>
      </c>
      <c r="E220" s="30" t="s">
        <v>48</v>
      </c>
      <c r="F220" s="33" t="str">
        <f>IFERROR(__xludf.DUMMYFUNCTION("( (GOOGLEFINANCE(C220, ""price"") - Q220) / Q220 ) / (R220 / 100)"),"Loading...")</f>
        <v>Loading...</v>
      </c>
      <c r="G220" s="20" t="str">
        <f>IFERROR(__xludf.DUMMYFUNCTION("AVERAGE(ARRAYFORMULA(100 * (QUERY(GOOGLEFINANCE(C220, ""high"", TODAY()-40, TODAY()), ""SELECT Col2 WHERE Col2 IS NOT NULL ORDER BY Col1 DESC LIMIT 20"", 0) / QUERY(GOOGLEFINANCE(C220, ""low"", TODAY()-40, TODAY()), ""SELECT Col2 WHERE Col2 IS NOT NULL OR"&amp;"DER BY Col1 DESC LIMIT 20"", 0) - 1)))"),"#N/A")</f>
        <v>#N/A</v>
      </c>
      <c r="H220" s="35" t="str">
        <f t="shared" si="6"/>
        <v/>
      </c>
      <c r="I220" s="36" t="str">
        <f t="shared" si="7"/>
        <v/>
      </c>
      <c r="J220" s="37" t="str">
        <f>IFERROR(__xludf.DUMMYFUNCTION("IFERROR(
  IF(C220="""",, 
    IFERROR(
      GOOGLEFINANCE(C220, ""price"") * GOOGLEFINANCE(C220, ""volumeavg""), 
      GOOGLEFINANCE(C220, ""price"") * AVERAGE(QUERY(GOOGLEFINANCE(C220, ""volume"", TODAY()-40, TODAY()), ""SELECT Col2 WHERE Col2 IS NOT "&amp;"NULL ORDER BY Col1 DESC LIMIT 20"", 0))
    )
  ), 
"""")"),"")</f>
        <v/>
      </c>
      <c r="K220" s="21" t="str">
        <f>IFERROR(__xludf.DUMMYFUNCTION("IFERROR(GOOGLEFINANCE(C220, ""changepct"") / 100, """")"),"")</f>
        <v/>
      </c>
      <c r="L220" s="21" t="str">
        <f>IFERROR(__xludf.DUMMYFUNCTION("IFERROR((GOOGLEFINANCE(C220, ""price"") / INDEX(GOOGLEFINANCE(C220, ""price"", TODAY()-7, TODAY()), 2, 2)) - 1, """")"),"")</f>
        <v/>
      </c>
      <c r="M220" s="21" t="str">
        <f>IFERROR(__xludf.DUMMYFUNCTION("IFERROR((GOOGLEFINANCE(C220, ""price"") / INDEX(GOOGLEFINANCE(C220, ""price"", EDATE(TODAY(), -1), TODAY()), 2, 2)) - 1, """")"),"")</f>
        <v/>
      </c>
      <c r="N220" s="21" t="str">
        <f>IFERROR(__xludf.DUMMYFUNCTION("IFERROR((GOOGLEFINANCE(C220, ""price"") / INDEX(GOOGLEFINANCE(C220, ""price"", EDATE(TODAY(), -3), TODAY()), 2, 2)) - 1, """")"),"")</f>
        <v/>
      </c>
      <c r="O220" s="21" t="str">
        <f>IFERROR(__xludf.DUMMYFUNCTION("IFERROR((GOOGLEFINANCE(C220, ""price"") / INDEX(GOOGLEFINANCE(C220, ""price"", EDATE(TODAY(), -6), TODAY()), 2, 2)) - 1, """")"),"")</f>
        <v/>
      </c>
      <c r="P220" s="21" t="str">
        <f>IFERROR(__xludf.DUMMYFUNCTION("IFERROR((GOOGLEFINANCE(C220, ""price"") / INDEX(GOOGLEFINANCE(C220, ""price"", EDATE(TODAY(), -12), TODAY()), 2, 2)) - 1, """")"),"")</f>
        <v/>
      </c>
      <c r="Q220" s="6" t="str">
        <f>IFERROR(__xludf.DUMMYFUNCTION("AVERAGE(QUERY(GOOGLEFINANCE(C220, ""price"", TODAY()-80, TODAY()), ""SELECT Col2 WHERE Col2 IS NOT NULL ORDER BY Col1 DESC LIMIT 50"", 0))"),"#N/A")</f>
        <v>#N/A</v>
      </c>
      <c r="R220" s="24" t="str">
        <f>IFERROR(__xludf.DUMMYFUNCTION("IFERROR(
  LET(
    data, QUERY(GOOGLEFINANCE(C220,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GOOGLEFINANCE(C220, ""price"")) * 100,
    IF(calc=0, G220, calc)
  ), 
G220)"),"#N/A")</f>
        <v>#N/A</v>
      </c>
      <c r="S220" s="8" t="s">
        <v>15</v>
      </c>
      <c r="T220" s="26" t="str">
        <f>IFERROR(__xludf.DUMMYFUNCTION("IFERROR(TRANSPOSE(QUERY(IFERROR(SORT(GOOGLEFINANCE(C220, ""price"", WORKDAY(TODAY(), -40), TODAY()), 1, FALSE)), ""select Col2 where Col2 is not null limit 22 label Col2 ''"", 0)), """")"),"")</f>
        <v/>
      </c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8"/>
      <c r="AO220" s="28"/>
      <c r="AP220" s="29"/>
      <c r="AQ220" s="29" t="str">
        <f t="shared" ref="AQ220:BL220" si="223">T220/T$2</f>
        <v>#N/A</v>
      </c>
      <c r="AR220" s="29" t="str">
        <f t="shared" si="223"/>
        <v>#DIV/0!</v>
      </c>
      <c r="AS220" s="29" t="str">
        <f t="shared" si="223"/>
        <v>#DIV/0!</v>
      </c>
      <c r="AT220" s="29" t="str">
        <f t="shared" si="223"/>
        <v>#DIV/0!</v>
      </c>
      <c r="AU220" s="29" t="str">
        <f t="shared" si="223"/>
        <v>#DIV/0!</v>
      </c>
      <c r="AV220" s="29" t="str">
        <f t="shared" si="223"/>
        <v>#DIV/0!</v>
      </c>
      <c r="AW220" s="29" t="str">
        <f t="shared" si="223"/>
        <v>#DIV/0!</v>
      </c>
      <c r="AX220" s="29" t="str">
        <f t="shared" si="223"/>
        <v>#DIV/0!</v>
      </c>
      <c r="AY220" s="29" t="str">
        <f t="shared" si="223"/>
        <v>#DIV/0!</v>
      </c>
      <c r="AZ220" s="29" t="str">
        <f t="shared" si="223"/>
        <v>#DIV/0!</v>
      </c>
      <c r="BA220" s="29" t="str">
        <f t="shared" si="223"/>
        <v>#DIV/0!</v>
      </c>
      <c r="BB220" s="29" t="str">
        <f t="shared" si="223"/>
        <v>#DIV/0!</v>
      </c>
      <c r="BC220" s="29" t="str">
        <f t="shared" si="223"/>
        <v>#DIV/0!</v>
      </c>
      <c r="BD220" s="29" t="str">
        <f t="shared" si="223"/>
        <v>#DIV/0!</v>
      </c>
      <c r="BE220" s="29" t="str">
        <f t="shared" si="223"/>
        <v>#DIV/0!</v>
      </c>
      <c r="BF220" s="29" t="str">
        <f t="shared" si="223"/>
        <v>#DIV/0!</v>
      </c>
      <c r="BG220" s="29" t="str">
        <f t="shared" si="223"/>
        <v>#DIV/0!</v>
      </c>
      <c r="BH220" s="29" t="str">
        <f t="shared" si="223"/>
        <v>#DIV/0!</v>
      </c>
      <c r="BI220" s="29" t="str">
        <f t="shared" si="223"/>
        <v>#DIV/0!</v>
      </c>
      <c r="BJ220" s="29" t="str">
        <f t="shared" si="223"/>
        <v>#DIV/0!</v>
      </c>
      <c r="BK220" s="29" t="str">
        <f t="shared" si="223"/>
        <v>#DIV/0!</v>
      </c>
      <c r="BL220" s="29" t="str">
        <f t="shared" si="223"/>
        <v>#DIV/0!</v>
      </c>
      <c r="BM220" s="29" t="str">
        <f t="shared" si="3"/>
        <v>#DIV/0!</v>
      </c>
    </row>
    <row r="221">
      <c r="A221" s="16" t="str">
        <f>IFERROR(__xludf.DUMMYFUNCTION("IFERROR(SPARKLINE(SORT(MAP(TRANSPOSE(AQ221:BL221), LAMBDA(val, IF(ISNUMBER(val), PERCENTRANK(AQ221:BL221, val)+0.01, 0))), SEQUENCE(COLUMNS(AQ221:BL221)), FALSE), {""charttype"",""column""; ""color"",""chartreuse""; ""ymin"", 0; ""ymax"", 1.01; ""highcolo"&amp;"r"", ""darkgreen""; ""lowcolor"", ""red""}), """")"),"")</f>
        <v/>
      </c>
      <c r="B221" s="17" t="str">
        <f t="shared" si="4"/>
        <v/>
      </c>
      <c r="C221" s="1" t="s">
        <v>1010</v>
      </c>
      <c r="D221" s="30" t="str">
        <f>IFERROR(__xludf.DUMMYFUNCTION("IFERROR(GOOGLEFINANCE(C221, ""NAME""))"),"NASDAQ US Dividend Achievers 50 Index")</f>
        <v>NASDAQ US Dividend Achievers 50 Index</v>
      </c>
      <c r="E221" s="30" t="s">
        <v>48</v>
      </c>
      <c r="F221" s="33" t="str">
        <f>IFERROR(__xludf.DUMMYFUNCTION("( (GOOGLEFINANCE(C221, ""price"") - Q221) / Q221 ) / (R221 / 100)"),"Loading...")</f>
        <v>Loading...</v>
      </c>
      <c r="G221" s="20" t="str">
        <f>IFERROR(__xludf.DUMMYFUNCTION("AVERAGE(ARRAYFORMULA(100 * (QUERY(GOOGLEFINANCE(C221, ""high"", TODAY()-40, TODAY()), ""SELECT Col2 WHERE Col2 IS NOT NULL ORDER BY Col1 DESC LIMIT 20"", 0) / QUERY(GOOGLEFINANCE(C221, ""low"", TODAY()-40, TODAY()), ""SELECT Col2 WHERE Col2 IS NOT NULL OR"&amp;"DER BY Col1 DESC LIMIT 20"", 0) - 1)))"),"#N/A")</f>
        <v>#N/A</v>
      </c>
      <c r="H221" s="35" t="str">
        <f t="shared" si="6"/>
        <v/>
      </c>
      <c r="I221" s="36" t="str">
        <f t="shared" si="7"/>
        <v/>
      </c>
      <c r="J221" s="37" t="str">
        <f>IFERROR(__xludf.DUMMYFUNCTION("IFERROR(
  IF(C221="""",, 
    IFERROR(
      GOOGLEFINANCE(C221, ""price"") * GOOGLEFINANCE(C221, ""volumeavg""), 
      GOOGLEFINANCE(C221, ""price"") * AVERAGE(QUERY(GOOGLEFINANCE(C221, ""volume"", TODAY()-40, TODAY()), ""SELECT Col2 WHERE Col2 IS NOT "&amp;"NULL ORDER BY Col1 DESC LIMIT 20"", 0))
    )
  ), 
"""")"),"")</f>
        <v/>
      </c>
      <c r="K221" s="21" t="str">
        <f>IFERROR(__xludf.DUMMYFUNCTION("IFERROR(GOOGLEFINANCE(C221, ""changepct"") / 100, """")"),"")</f>
        <v/>
      </c>
      <c r="L221" s="21" t="str">
        <f>IFERROR(__xludf.DUMMYFUNCTION("IFERROR((GOOGLEFINANCE(C221, ""price"") / INDEX(GOOGLEFINANCE(C221, ""price"", TODAY()-7, TODAY()), 2, 2)) - 1, """")"),"")</f>
        <v/>
      </c>
      <c r="M221" s="21" t="str">
        <f>IFERROR(__xludf.DUMMYFUNCTION("IFERROR((GOOGLEFINANCE(C221, ""price"") / INDEX(GOOGLEFINANCE(C221, ""price"", EDATE(TODAY(), -1), TODAY()), 2, 2)) - 1, """")"),"")</f>
        <v/>
      </c>
      <c r="N221" s="21" t="str">
        <f>IFERROR(__xludf.DUMMYFUNCTION("IFERROR((GOOGLEFINANCE(C221, ""price"") / INDEX(GOOGLEFINANCE(C221, ""price"", EDATE(TODAY(), -3), TODAY()), 2, 2)) - 1, """")"),"")</f>
        <v/>
      </c>
      <c r="O221" s="21" t="str">
        <f>IFERROR(__xludf.DUMMYFUNCTION("IFERROR((GOOGLEFINANCE(C221, ""price"") / INDEX(GOOGLEFINANCE(C221, ""price"", EDATE(TODAY(), -6), TODAY()), 2, 2)) - 1, """")"),"")</f>
        <v/>
      </c>
      <c r="P221" s="21" t="str">
        <f>IFERROR(__xludf.DUMMYFUNCTION("IFERROR((GOOGLEFINANCE(C221, ""price"") / INDEX(GOOGLEFINANCE(C221, ""price"", EDATE(TODAY(), -12), TODAY()), 2, 2)) - 1, """")"),"")</f>
        <v/>
      </c>
      <c r="Q221" s="6" t="str">
        <f>IFERROR(__xludf.DUMMYFUNCTION("AVERAGE(QUERY(GOOGLEFINANCE(C221, ""price"", TODAY()-80, TODAY()), ""SELECT Col2 WHERE Col2 IS NOT NULL ORDER BY Col1 DESC LIMIT 50"", 0))"),"#N/A")</f>
        <v>#N/A</v>
      </c>
      <c r="R221" s="24" t="str">
        <f>IFERROR(__xludf.DUMMYFUNCTION("IFERROR(
  LET(
    data, QUERY(GOOGLEFINANCE(C221,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GOOGLEFINANCE(C221, ""price"")) * 100,
    IF(calc=0, G221, calc)
  ), 
G221)"),"#N/A")</f>
        <v>#N/A</v>
      </c>
      <c r="S221" s="8" t="s">
        <v>15</v>
      </c>
      <c r="T221" s="26" t="str">
        <f>IFERROR(__xludf.DUMMYFUNCTION("IFERROR(TRANSPOSE(QUERY(IFERROR(SORT(GOOGLEFINANCE(C221, ""price"", WORKDAY(TODAY(), -40), TODAY()), 1, FALSE)), ""select Col2 where Col2 is not null limit 22 label Col2 ''"", 0)), """")"),"")</f>
        <v/>
      </c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8"/>
      <c r="AO221" s="28"/>
      <c r="AP221" s="29"/>
      <c r="AQ221" s="29" t="str">
        <f t="shared" ref="AQ221:BL221" si="224">T221/T$2</f>
        <v>#N/A</v>
      </c>
      <c r="AR221" s="29" t="str">
        <f t="shared" si="224"/>
        <v>#DIV/0!</v>
      </c>
      <c r="AS221" s="29" t="str">
        <f t="shared" si="224"/>
        <v>#DIV/0!</v>
      </c>
      <c r="AT221" s="29" t="str">
        <f t="shared" si="224"/>
        <v>#DIV/0!</v>
      </c>
      <c r="AU221" s="29" t="str">
        <f t="shared" si="224"/>
        <v>#DIV/0!</v>
      </c>
      <c r="AV221" s="29" t="str">
        <f t="shared" si="224"/>
        <v>#DIV/0!</v>
      </c>
      <c r="AW221" s="29" t="str">
        <f t="shared" si="224"/>
        <v>#DIV/0!</v>
      </c>
      <c r="AX221" s="29" t="str">
        <f t="shared" si="224"/>
        <v>#DIV/0!</v>
      </c>
      <c r="AY221" s="29" t="str">
        <f t="shared" si="224"/>
        <v>#DIV/0!</v>
      </c>
      <c r="AZ221" s="29" t="str">
        <f t="shared" si="224"/>
        <v>#DIV/0!</v>
      </c>
      <c r="BA221" s="29" t="str">
        <f t="shared" si="224"/>
        <v>#DIV/0!</v>
      </c>
      <c r="BB221" s="29" t="str">
        <f t="shared" si="224"/>
        <v>#DIV/0!</v>
      </c>
      <c r="BC221" s="29" t="str">
        <f t="shared" si="224"/>
        <v>#DIV/0!</v>
      </c>
      <c r="BD221" s="29" t="str">
        <f t="shared" si="224"/>
        <v>#DIV/0!</v>
      </c>
      <c r="BE221" s="29" t="str">
        <f t="shared" si="224"/>
        <v>#DIV/0!</v>
      </c>
      <c r="BF221" s="29" t="str">
        <f t="shared" si="224"/>
        <v>#DIV/0!</v>
      </c>
      <c r="BG221" s="29" t="str">
        <f t="shared" si="224"/>
        <v>#DIV/0!</v>
      </c>
      <c r="BH221" s="29" t="str">
        <f t="shared" si="224"/>
        <v>#DIV/0!</v>
      </c>
      <c r="BI221" s="29" t="str">
        <f t="shared" si="224"/>
        <v>#DIV/0!</v>
      </c>
      <c r="BJ221" s="29" t="str">
        <f t="shared" si="224"/>
        <v>#DIV/0!</v>
      </c>
      <c r="BK221" s="29" t="str">
        <f t="shared" si="224"/>
        <v>#DIV/0!</v>
      </c>
      <c r="BL221" s="29" t="str">
        <f t="shared" si="224"/>
        <v>#DIV/0!</v>
      </c>
      <c r="BM221" s="29" t="str">
        <f t="shared" si="3"/>
        <v>#DIV/0!</v>
      </c>
    </row>
    <row r="222">
      <c r="A222" s="16" t="str">
        <f>IFERROR(__xludf.DUMMYFUNCTION("IFERROR(SPARKLINE(SORT(MAP(TRANSPOSE(AQ222:BL222), LAMBDA(val, IF(ISNUMBER(val), PERCENTRANK(AQ222:BL222, val)+0.01, 0))), SEQUENCE(COLUMNS(AQ222:BL222)), FALSE), {""charttype"",""column""; ""color"",""chartreuse""; ""ymin"", 0; ""ymax"", 1.01; ""highcolo"&amp;"r"", ""darkgreen""; ""lowcolor"", ""red""}), """")"),"")</f>
        <v/>
      </c>
      <c r="B222" s="17" t="str">
        <f t="shared" si="4"/>
        <v/>
      </c>
      <c r="C222" s="1" t="s">
        <v>1014</v>
      </c>
      <c r="D222" s="30" t="str">
        <f>IFERROR(__xludf.DUMMYFUNCTION("IFERROR(GOOGLEFINANCE(C222, ""NAME""))"),"Scansource Inc")</f>
        <v>Scansource Inc</v>
      </c>
      <c r="E222" s="30" t="s">
        <v>540</v>
      </c>
      <c r="F222" s="38" t="str">
        <f>IFERROR(__xludf.DUMMYFUNCTION("( (GOOGLEFINANCE(C222, ""price"") - Q222) / Q222 ) / (R222 / 100)"),"Loading...")</f>
        <v>Loading...</v>
      </c>
      <c r="G222" s="20" t="str">
        <f>IFERROR(__xludf.DUMMYFUNCTION("AVERAGE(ARRAYFORMULA(100 * (QUERY(GOOGLEFINANCE(C222, ""high"", TODAY()-40, TODAY()), ""SELECT Col2 WHERE Col2 IS NOT NULL ORDER BY Col1 DESC LIMIT 20"", 0) / QUERY(GOOGLEFINANCE(C222, ""low"", TODAY()-40, TODAY()), ""SELECT Col2 WHERE Col2 IS NOT NULL OR"&amp;"DER BY Col1 DESC LIMIT 20"", 0) - 1)))"),"#N/A")</f>
        <v>#N/A</v>
      </c>
      <c r="H222" s="35" t="str">
        <f t="shared" si="6"/>
        <v/>
      </c>
      <c r="I222" s="36" t="str">
        <f t="shared" si="7"/>
        <v/>
      </c>
      <c r="J222" s="37" t="str">
        <f>IFERROR(__xludf.DUMMYFUNCTION("IFERROR(
  IF(C222="""",, 
    IFERROR(
      GOOGLEFINANCE(C222, ""price"") * GOOGLEFINANCE(C222, ""volumeavg""), 
      GOOGLEFINANCE(C222, ""price"") * AVERAGE(QUERY(GOOGLEFINANCE(C222, ""volume"", TODAY()-40, TODAY()), ""SELECT Col2 WHERE Col2 IS NOT "&amp;"NULL ORDER BY Col1 DESC LIMIT 20"", 0))
    )
  ), 
"""")"),"")</f>
        <v/>
      </c>
      <c r="K222" s="21" t="str">
        <f>IFERROR(__xludf.DUMMYFUNCTION("IFERROR(GOOGLEFINANCE(C222, ""changepct"") / 100, """")"),"")</f>
        <v/>
      </c>
      <c r="L222" s="21" t="str">
        <f>IFERROR(__xludf.DUMMYFUNCTION("IFERROR((GOOGLEFINANCE(C222, ""price"") / INDEX(GOOGLEFINANCE(C222, ""price"", TODAY()-7, TODAY()), 2, 2)) - 1, """")"),"")</f>
        <v/>
      </c>
      <c r="M222" s="21" t="str">
        <f>IFERROR(__xludf.DUMMYFUNCTION("IFERROR((GOOGLEFINANCE(C222, ""price"") / INDEX(GOOGLEFINANCE(C222, ""price"", EDATE(TODAY(), -1), TODAY()), 2, 2)) - 1, """")"),"")</f>
        <v/>
      </c>
      <c r="N222" s="21" t="str">
        <f>IFERROR(__xludf.DUMMYFUNCTION("IFERROR((GOOGLEFINANCE(C222, ""price"") / INDEX(GOOGLEFINANCE(C222, ""price"", EDATE(TODAY(), -3), TODAY()), 2, 2)) - 1, """")"),"")</f>
        <v/>
      </c>
      <c r="O222" s="21" t="str">
        <f>IFERROR(__xludf.DUMMYFUNCTION("IFERROR((GOOGLEFINANCE(C222, ""price"") / INDEX(GOOGLEFINANCE(C222, ""price"", EDATE(TODAY(), -6), TODAY()), 2, 2)) - 1, """")"),"")</f>
        <v/>
      </c>
      <c r="P222" s="21" t="str">
        <f>IFERROR(__xludf.DUMMYFUNCTION("IFERROR((GOOGLEFINANCE(C222, ""price"") / INDEX(GOOGLEFINANCE(C222, ""price"", EDATE(TODAY(), -12), TODAY()), 2, 2)) - 1, """")"),"")</f>
        <v/>
      </c>
      <c r="Q222" s="6" t="str">
        <f>IFERROR(__xludf.DUMMYFUNCTION("AVERAGE(QUERY(GOOGLEFINANCE(C222, ""price"", TODAY()-80, TODAY()), ""SELECT Col2 WHERE Col2 IS NOT NULL ORDER BY Col1 DESC LIMIT 50"", 0))"),"#N/A")</f>
        <v>#N/A</v>
      </c>
      <c r="R222" s="24" t="str">
        <f>IFERROR(__xludf.DUMMYFUNCTION("IFERROR(
  LET(
    data, QUERY(GOOGLEFINANCE(C222,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GOOGLEFINANCE(C222, ""price"")) * 100,
    IF(calc=0, G222, calc)
  ), 
G222)"),"#N/A")</f>
        <v>#N/A</v>
      </c>
      <c r="S222" s="8" t="s">
        <v>15</v>
      </c>
      <c r="T222" s="26" t="str">
        <f>IFERROR(__xludf.DUMMYFUNCTION("IFERROR(TRANSPOSE(QUERY(IFERROR(SORT(GOOGLEFINANCE(C222, ""price"", WORKDAY(TODAY(), -40), TODAY()), 1, FALSE)), ""select Col2 where Col2 is not null limit 22 label Col2 ''"", 0)), """")"),"")</f>
        <v/>
      </c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8"/>
      <c r="AO222" s="28"/>
      <c r="AP222" s="29"/>
      <c r="AQ222" s="29" t="str">
        <f t="shared" ref="AQ222:BL222" si="225">T222/T$2</f>
        <v>#N/A</v>
      </c>
      <c r="AR222" s="29" t="str">
        <f t="shared" si="225"/>
        <v>#DIV/0!</v>
      </c>
      <c r="AS222" s="29" t="str">
        <f t="shared" si="225"/>
        <v>#DIV/0!</v>
      </c>
      <c r="AT222" s="29" t="str">
        <f t="shared" si="225"/>
        <v>#DIV/0!</v>
      </c>
      <c r="AU222" s="29" t="str">
        <f t="shared" si="225"/>
        <v>#DIV/0!</v>
      </c>
      <c r="AV222" s="29" t="str">
        <f t="shared" si="225"/>
        <v>#DIV/0!</v>
      </c>
      <c r="AW222" s="29" t="str">
        <f t="shared" si="225"/>
        <v>#DIV/0!</v>
      </c>
      <c r="AX222" s="29" t="str">
        <f t="shared" si="225"/>
        <v>#DIV/0!</v>
      </c>
      <c r="AY222" s="29" t="str">
        <f t="shared" si="225"/>
        <v>#DIV/0!</v>
      </c>
      <c r="AZ222" s="29" t="str">
        <f t="shared" si="225"/>
        <v>#DIV/0!</v>
      </c>
      <c r="BA222" s="29" t="str">
        <f t="shared" si="225"/>
        <v>#DIV/0!</v>
      </c>
      <c r="BB222" s="29" t="str">
        <f t="shared" si="225"/>
        <v>#DIV/0!</v>
      </c>
      <c r="BC222" s="29" t="str">
        <f t="shared" si="225"/>
        <v>#DIV/0!</v>
      </c>
      <c r="BD222" s="29" t="str">
        <f t="shared" si="225"/>
        <v>#DIV/0!</v>
      </c>
      <c r="BE222" s="29" t="str">
        <f t="shared" si="225"/>
        <v>#DIV/0!</v>
      </c>
      <c r="BF222" s="29" t="str">
        <f t="shared" si="225"/>
        <v>#DIV/0!</v>
      </c>
      <c r="BG222" s="29" t="str">
        <f t="shared" si="225"/>
        <v>#DIV/0!</v>
      </c>
      <c r="BH222" s="29" t="str">
        <f t="shared" si="225"/>
        <v>#DIV/0!</v>
      </c>
      <c r="BI222" s="29" t="str">
        <f t="shared" si="225"/>
        <v>#DIV/0!</v>
      </c>
      <c r="BJ222" s="29" t="str">
        <f t="shared" si="225"/>
        <v>#DIV/0!</v>
      </c>
      <c r="BK222" s="29" t="str">
        <f t="shared" si="225"/>
        <v>#DIV/0!</v>
      </c>
      <c r="BL222" s="29" t="str">
        <f t="shared" si="225"/>
        <v>#DIV/0!</v>
      </c>
      <c r="BM222" s="29" t="str">
        <f t="shared" si="3"/>
        <v>#DIV/0!</v>
      </c>
    </row>
    <row r="223">
      <c r="A223" s="16" t="str">
        <f>IFERROR(__xludf.DUMMYFUNCTION("IFERROR(SPARKLINE(SORT(MAP(TRANSPOSE(AQ223:BL223), LAMBDA(val, IF(ISNUMBER(val), PERCENTRANK(AQ223:BL223, val)+0.01, 0))), SEQUENCE(COLUMNS(AQ223:BL223)), FALSE), {""charttype"",""column""; ""color"",""chartreuse""; ""ymin"", 0; ""ymax"", 1.01; ""highcolo"&amp;"r"", ""darkgreen""; ""lowcolor"", ""red""}), """")"),"")</f>
        <v/>
      </c>
      <c r="B223" s="17" t="str">
        <f t="shared" si="4"/>
        <v/>
      </c>
      <c r="C223" s="1" t="s">
        <v>1018</v>
      </c>
      <c r="D223" s="30" t="str">
        <f>IFERROR(__xludf.DUMMYFUNCTION("IFERROR(GOOGLEFINANCE(C223, ""NAME""))"),"VeriSign, Inc")</f>
        <v>VeriSign, Inc</v>
      </c>
      <c r="E223" s="30" t="s">
        <v>58</v>
      </c>
      <c r="F223" s="33" t="str">
        <f>IFERROR(__xludf.DUMMYFUNCTION("( (GOOGLEFINANCE(C223, ""price"") - Q223) / Q223 ) / (R223 / 100)"),"Loading...")</f>
        <v>Loading...</v>
      </c>
      <c r="G223" s="20" t="str">
        <f>IFERROR(__xludf.DUMMYFUNCTION("AVERAGE(ARRAYFORMULA(100 * (QUERY(GOOGLEFINANCE(C223, ""high"", TODAY()-40, TODAY()), ""SELECT Col2 WHERE Col2 IS NOT NULL ORDER BY Col1 DESC LIMIT 20"", 0) / QUERY(GOOGLEFINANCE(C223, ""low"", TODAY()-40, TODAY()), ""SELECT Col2 WHERE Col2 IS NOT NULL OR"&amp;"DER BY Col1 DESC LIMIT 20"", 0) - 1)))"),"#N/A")</f>
        <v>#N/A</v>
      </c>
      <c r="H223" s="35" t="str">
        <f t="shared" si="6"/>
        <v/>
      </c>
      <c r="I223" s="36" t="str">
        <f t="shared" si="7"/>
        <v/>
      </c>
      <c r="J223" s="37" t="str">
        <f>IFERROR(__xludf.DUMMYFUNCTION("IFERROR(
  IF(C223="""",, 
    IFERROR(
      GOOGLEFINANCE(C223, ""price"") * GOOGLEFINANCE(C223, ""volumeavg""), 
      GOOGLEFINANCE(C223, ""price"") * AVERAGE(QUERY(GOOGLEFINANCE(C223, ""volume"", TODAY()-40, TODAY()), ""SELECT Col2 WHERE Col2 IS NOT "&amp;"NULL ORDER BY Col1 DESC LIMIT 20"", 0))
    )
  ), 
"""")"),"")</f>
        <v/>
      </c>
      <c r="K223" s="21" t="str">
        <f>IFERROR(__xludf.DUMMYFUNCTION("IFERROR(GOOGLEFINANCE(C223, ""changepct"") / 100, """")"),"")</f>
        <v/>
      </c>
      <c r="L223" s="21" t="str">
        <f>IFERROR(__xludf.DUMMYFUNCTION("IFERROR((GOOGLEFINANCE(C223, ""price"") / INDEX(GOOGLEFINANCE(C223, ""price"", TODAY()-7, TODAY()), 2, 2)) - 1, """")"),"")</f>
        <v/>
      </c>
      <c r="M223" s="21" t="str">
        <f>IFERROR(__xludf.DUMMYFUNCTION("IFERROR((GOOGLEFINANCE(C223, ""price"") / INDEX(GOOGLEFINANCE(C223, ""price"", EDATE(TODAY(), -1), TODAY()), 2, 2)) - 1, """")"),"")</f>
        <v/>
      </c>
      <c r="N223" s="21" t="str">
        <f>IFERROR(__xludf.DUMMYFUNCTION("IFERROR((GOOGLEFINANCE(C223, ""price"") / INDEX(GOOGLEFINANCE(C223, ""price"", EDATE(TODAY(), -3), TODAY()), 2, 2)) - 1, """")"),"")</f>
        <v/>
      </c>
      <c r="O223" s="21" t="str">
        <f>IFERROR(__xludf.DUMMYFUNCTION("IFERROR((GOOGLEFINANCE(C223, ""price"") / INDEX(GOOGLEFINANCE(C223, ""price"", EDATE(TODAY(), -6), TODAY()), 2, 2)) - 1, """")"),"")</f>
        <v/>
      </c>
      <c r="P223" s="21" t="str">
        <f>IFERROR(__xludf.DUMMYFUNCTION("IFERROR((GOOGLEFINANCE(C223, ""price"") / INDEX(GOOGLEFINANCE(C223, ""price"", EDATE(TODAY(), -12), TODAY()), 2, 2)) - 1, """")"),"")</f>
        <v/>
      </c>
      <c r="Q223" s="6" t="str">
        <f>IFERROR(__xludf.DUMMYFUNCTION("AVERAGE(QUERY(GOOGLEFINANCE(C223, ""price"", TODAY()-80, TODAY()), ""SELECT Col2 WHERE Col2 IS NOT NULL ORDER BY Col1 DESC LIMIT 50"", 0))"),"#N/A")</f>
        <v>#N/A</v>
      </c>
      <c r="R223" s="24" t="str">
        <f>IFERROR(__xludf.DUMMYFUNCTION("IFERROR(
  LET(
    data, QUERY(GOOGLEFINANCE(C223,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GOOGLEFINANCE(C223, ""price"")) * 100,
    IF(calc=0, G223, calc)
  ), 
G223)"),"#N/A")</f>
        <v>#N/A</v>
      </c>
      <c r="S223" s="8" t="s">
        <v>15</v>
      </c>
      <c r="T223" s="26" t="str">
        <f>IFERROR(__xludf.DUMMYFUNCTION("IFERROR(TRANSPOSE(QUERY(IFERROR(SORT(GOOGLEFINANCE(C223, ""price"", WORKDAY(TODAY(), -40), TODAY()), 1, FALSE)), ""select Col2 where Col2 is not null limit 22 label Col2 ''"", 0)), """")"),"")</f>
        <v/>
      </c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8"/>
      <c r="AO223" s="28"/>
      <c r="AP223" s="29"/>
      <c r="AQ223" s="29" t="str">
        <f t="shared" ref="AQ223:BL223" si="226">T223/T$2</f>
        <v>#N/A</v>
      </c>
      <c r="AR223" s="29" t="str">
        <f t="shared" si="226"/>
        <v>#DIV/0!</v>
      </c>
      <c r="AS223" s="29" t="str">
        <f t="shared" si="226"/>
        <v>#DIV/0!</v>
      </c>
      <c r="AT223" s="29" t="str">
        <f t="shared" si="226"/>
        <v>#DIV/0!</v>
      </c>
      <c r="AU223" s="29" t="str">
        <f t="shared" si="226"/>
        <v>#DIV/0!</v>
      </c>
      <c r="AV223" s="29" t="str">
        <f t="shared" si="226"/>
        <v>#DIV/0!</v>
      </c>
      <c r="AW223" s="29" t="str">
        <f t="shared" si="226"/>
        <v>#DIV/0!</v>
      </c>
      <c r="AX223" s="29" t="str">
        <f t="shared" si="226"/>
        <v>#DIV/0!</v>
      </c>
      <c r="AY223" s="29" t="str">
        <f t="shared" si="226"/>
        <v>#DIV/0!</v>
      </c>
      <c r="AZ223" s="29" t="str">
        <f t="shared" si="226"/>
        <v>#DIV/0!</v>
      </c>
      <c r="BA223" s="29" t="str">
        <f t="shared" si="226"/>
        <v>#DIV/0!</v>
      </c>
      <c r="BB223" s="29" t="str">
        <f t="shared" si="226"/>
        <v>#DIV/0!</v>
      </c>
      <c r="BC223" s="29" t="str">
        <f t="shared" si="226"/>
        <v>#DIV/0!</v>
      </c>
      <c r="BD223" s="29" t="str">
        <f t="shared" si="226"/>
        <v>#DIV/0!</v>
      </c>
      <c r="BE223" s="29" t="str">
        <f t="shared" si="226"/>
        <v>#DIV/0!</v>
      </c>
      <c r="BF223" s="29" t="str">
        <f t="shared" si="226"/>
        <v>#DIV/0!</v>
      </c>
      <c r="BG223" s="29" t="str">
        <f t="shared" si="226"/>
        <v>#DIV/0!</v>
      </c>
      <c r="BH223" s="29" t="str">
        <f t="shared" si="226"/>
        <v>#DIV/0!</v>
      </c>
      <c r="BI223" s="29" t="str">
        <f t="shared" si="226"/>
        <v>#DIV/0!</v>
      </c>
      <c r="BJ223" s="29" t="str">
        <f t="shared" si="226"/>
        <v>#DIV/0!</v>
      </c>
      <c r="BK223" s="29" t="str">
        <f t="shared" si="226"/>
        <v>#DIV/0!</v>
      </c>
      <c r="BL223" s="29" t="str">
        <f t="shared" si="226"/>
        <v>#DIV/0!</v>
      </c>
      <c r="BM223" s="29" t="str">
        <f t="shared" si="3"/>
        <v>#DIV/0!</v>
      </c>
    </row>
    <row r="224">
      <c r="A224" s="16" t="str">
        <f>IFERROR(__xludf.DUMMYFUNCTION("IFERROR(SPARKLINE(SORT(MAP(TRANSPOSE(AQ224:BL224), LAMBDA(val, IF(ISNUMBER(val), PERCENTRANK(AQ224:BL224, val)+0.01, 0))), SEQUENCE(COLUMNS(AQ224:BL224)), FALSE), {""charttype"",""column""; ""color"",""chartreuse""; ""ymin"", 0; ""ymax"", 1.01; ""highcolo"&amp;"r"", ""darkgreen""; ""lowcolor"", ""red""}), """")"),"")</f>
        <v/>
      </c>
      <c r="B224" s="17" t="str">
        <f t="shared" si="4"/>
        <v/>
      </c>
      <c r="C224" s="1" t="s">
        <v>1023</v>
      </c>
      <c r="D224" s="30" t="str">
        <f>IFERROR(__xludf.DUMMYFUNCTION("IFERROR(GOOGLEFINANCE(C224, ""NAME""))"),"Pattern Group Inc")</f>
        <v>Pattern Group Inc</v>
      </c>
      <c r="E224" s="30" t="s">
        <v>48</v>
      </c>
      <c r="F224" s="33" t="str">
        <f>IFERROR(__xludf.DUMMYFUNCTION("( (GOOGLEFINANCE(C224, ""price"") - Q224) / Q224 ) / (R224 / 100)"),"Loading...")</f>
        <v>Loading...</v>
      </c>
      <c r="G224" s="20" t="str">
        <f>IFERROR(__xludf.DUMMYFUNCTION("AVERAGE(ARRAYFORMULA(100 * (QUERY(GOOGLEFINANCE(C224, ""high"", TODAY()-40, TODAY()), ""SELECT Col2 WHERE Col2 IS NOT NULL ORDER BY Col1 DESC LIMIT 20"", 0) / QUERY(GOOGLEFINANCE(C224, ""low"", TODAY()-40, TODAY()), ""SELECT Col2 WHERE Col2 IS NOT NULL OR"&amp;"DER BY Col1 DESC LIMIT 20"", 0) - 1)))"),"#N/A")</f>
        <v>#N/A</v>
      </c>
      <c r="H224" s="35" t="str">
        <f t="shared" si="6"/>
        <v/>
      </c>
      <c r="I224" s="36" t="str">
        <f t="shared" si="7"/>
        <v/>
      </c>
      <c r="J224" s="37" t="str">
        <f>IFERROR(__xludf.DUMMYFUNCTION("IFERROR(
  IF(C224="""",, 
    IFERROR(
      GOOGLEFINANCE(C224, ""price"") * GOOGLEFINANCE(C224, ""volumeavg""), 
      GOOGLEFINANCE(C224, ""price"") * AVERAGE(QUERY(GOOGLEFINANCE(C224, ""volume"", TODAY()-40, TODAY()), ""SELECT Col2 WHERE Col2 IS NOT "&amp;"NULL ORDER BY Col1 DESC LIMIT 20"", 0))
    )
  ), 
"""")"),"")</f>
        <v/>
      </c>
      <c r="K224" s="21" t="str">
        <f>IFERROR(__xludf.DUMMYFUNCTION("IFERROR(GOOGLEFINANCE(C224, ""changepct"") / 100, """")"),"")</f>
        <v/>
      </c>
      <c r="L224" s="21" t="str">
        <f>IFERROR(__xludf.DUMMYFUNCTION("IFERROR((GOOGLEFINANCE(C224, ""price"") / INDEX(GOOGLEFINANCE(C224, ""price"", TODAY()-7, TODAY()), 2, 2)) - 1, """")"),"")</f>
        <v/>
      </c>
      <c r="M224" s="21" t="str">
        <f>IFERROR(__xludf.DUMMYFUNCTION("IFERROR((GOOGLEFINANCE(C224, ""price"") / INDEX(GOOGLEFINANCE(C224, ""price"", EDATE(TODAY(), -1), TODAY()), 2, 2)) - 1, """")"),"")</f>
        <v/>
      </c>
      <c r="N224" s="21" t="str">
        <f>IFERROR(__xludf.DUMMYFUNCTION("IFERROR((GOOGLEFINANCE(C224, ""price"") / INDEX(GOOGLEFINANCE(C224, ""price"", EDATE(TODAY(), -3), TODAY()), 2, 2)) - 1, """")"),"")</f>
        <v/>
      </c>
      <c r="O224" s="21" t="str">
        <f>IFERROR(__xludf.DUMMYFUNCTION("IFERROR((GOOGLEFINANCE(C224, ""price"") / INDEX(GOOGLEFINANCE(C224, ""price"", EDATE(TODAY(), -6), TODAY()), 2, 2)) - 1, """")"),"")</f>
        <v/>
      </c>
      <c r="P224" s="21" t="str">
        <f>IFERROR(__xludf.DUMMYFUNCTION("IFERROR((GOOGLEFINANCE(C224, ""price"") / INDEX(GOOGLEFINANCE(C224, ""price"", EDATE(TODAY(), -12), TODAY()), 2, 2)) - 1, """")"),"")</f>
        <v/>
      </c>
      <c r="Q224" s="6" t="str">
        <f>IFERROR(__xludf.DUMMYFUNCTION("AVERAGE(QUERY(GOOGLEFINANCE(C224, ""price"", TODAY()-80, TODAY()), ""SELECT Col2 WHERE Col2 IS NOT NULL ORDER BY Col1 DESC LIMIT 50"", 0))"),"#N/A")</f>
        <v>#N/A</v>
      </c>
      <c r="R224" s="24" t="str">
        <f>IFERROR(__xludf.DUMMYFUNCTION("IFERROR(
  LET(
    data, QUERY(GOOGLEFINANCE(C224,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GOOGLEFINANCE(C224, ""price"")) * 100,
    IF(calc=0, G224, calc)
  ), 
G224)"),"#N/A")</f>
        <v>#N/A</v>
      </c>
      <c r="S224" s="8" t="s">
        <v>15</v>
      </c>
      <c r="T224" s="26" t="str">
        <f>IFERROR(__xludf.DUMMYFUNCTION("IFERROR(TRANSPOSE(QUERY(IFERROR(SORT(GOOGLEFINANCE(C224, ""price"", WORKDAY(TODAY(), -40), TODAY()), 1, FALSE)), ""select Col2 where Col2 is not null limit 22 label Col2 ''"", 0)), """")"),"")</f>
        <v/>
      </c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8"/>
      <c r="AO224" s="28"/>
      <c r="AP224" s="29"/>
      <c r="AQ224" s="29" t="str">
        <f t="shared" ref="AQ224:BL224" si="227">T224/T$2</f>
        <v>#N/A</v>
      </c>
      <c r="AR224" s="29" t="str">
        <f t="shared" si="227"/>
        <v>#DIV/0!</v>
      </c>
      <c r="AS224" s="29" t="str">
        <f t="shared" si="227"/>
        <v>#DIV/0!</v>
      </c>
      <c r="AT224" s="29" t="str">
        <f t="shared" si="227"/>
        <v>#DIV/0!</v>
      </c>
      <c r="AU224" s="29" t="str">
        <f t="shared" si="227"/>
        <v>#DIV/0!</v>
      </c>
      <c r="AV224" s="29" t="str">
        <f t="shared" si="227"/>
        <v>#DIV/0!</v>
      </c>
      <c r="AW224" s="29" t="str">
        <f t="shared" si="227"/>
        <v>#DIV/0!</v>
      </c>
      <c r="AX224" s="29" t="str">
        <f t="shared" si="227"/>
        <v>#DIV/0!</v>
      </c>
      <c r="AY224" s="29" t="str">
        <f t="shared" si="227"/>
        <v>#DIV/0!</v>
      </c>
      <c r="AZ224" s="29" t="str">
        <f t="shared" si="227"/>
        <v>#DIV/0!</v>
      </c>
      <c r="BA224" s="29" t="str">
        <f t="shared" si="227"/>
        <v>#DIV/0!</v>
      </c>
      <c r="BB224" s="29" t="str">
        <f t="shared" si="227"/>
        <v>#DIV/0!</v>
      </c>
      <c r="BC224" s="29" t="str">
        <f t="shared" si="227"/>
        <v>#DIV/0!</v>
      </c>
      <c r="BD224" s="29" t="str">
        <f t="shared" si="227"/>
        <v>#DIV/0!</v>
      </c>
      <c r="BE224" s="29" t="str">
        <f t="shared" si="227"/>
        <v>#DIV/0!</v>
      </c>
      <c r="BF224" s="29" t="str">
        <f t="shared" si="227"/>
        <v>#DIV/0!</v>
      </c>
      <c r="BG224" s="29" t="str">
        <f t="shared" si="227"/>
        <v>#DIV/0!</v>
      </c>
      <c r="BH224" s="29" t="str">
        <f t="shared" si="227"/>
        <v>#DIV/0!</v>
      </c>
      <c r="BI224" s="29" t="str">
        <f t="shared" si="227"/>
        <v>#DIV/0!</v>
      </c>
      <c r="BJ224" s="29" t="str">
        <f t="shared" si="227"/>
        <v>#DIV/0!</v>
      </c>
      <c r="BK224" s="29" t="str">
        <f t="shared" si="227"/>
        <v>#DIV/0!</v>
      </c>
      <c r="BL224" s="29" t="str">
        <f t="shared" si="227"/>
        <v>#DIV/0!</v>
      </c>
      <c r="BM224" s="29" t="str">
        <f t="shared" si="3"/>
        <v>#DIV/0!</v>
      </c>
    </row>
    <row r="225">
      <c r="A225" s="16" t="str">
        <f>IFERROR(__xludf.DUMMYFUNCTION("IFERROR(SPARKLINE(SORT(MAP(TRANSPOSE(AQ225:BL225), LAMBDA(val, IF(ISNUMBER(val), PERCENTRANK(AQ225:BL225, val)+0.01, 0))), SEQUENCE(COLUMNS(AQ225:BL225)), FALSE), {""charttype"",""column""; ""color"",""chartreuse""; ""ymin"", 0; ""ymax"", 1.01; ""highcolo"&amp;"r"", ""darkgreen""; ""lowcolor"", ""red""}), """")"),"")</f>
        <v/>
      </c>
      <c r="B225" s="17" t="str">
        <f t="shared" si="4"/>
        <v/>
      </c>
      <c r="C225" s="1" t="s">
        <v>1026</v>
      </c>
      <c r="D225" s="30" t="str">
        <f>IFERROR(__xludf.DUMMYFUNCTION("IFERROR(GOOGLEFINANCE(C225, ""NAME""))"),"Palantir Technologies Inc")</f>
        <v>Palantir Technologies Inc</v>
      </c>
      <c r="E225" s="30" t="s">
        <v>58</v>
      </c>
      <c r="F225" s="33" t="str">
        <f>IFERROR(__xludf.DUMMYFUNCTION("( (GOOGLEFINANCE(C225, ""price"") - Q225) / Q225 ) / (R225 / 100)"),"Loading...")</f>
        <v>Loading...</v>
      </c>
      <c r="G225" s="20" t="str">
        <f>IFERROR(__xludf.DUMMYFUNCTION("AVERAGE(ARRAYFORMULA(100 * (QUERY(GOOGLEFINANCE(C225, ""high"", TODAY()-40, TODAY()), ""SELECT Col2 WHERE Col2 IS NOT NULL ORDER BY Col1 DESC LIMIT 20"", 0) / QUERY(GOOGLEFINANCE(C225, ""low"", TODAY()-40, TODAY()), ""SELECT Col2 WHERE Col2 IS NOT NULL OR"&amp;"DER BY Col1 DESC LIMIT 20"", 0) - 1)))"),"#N/A")</f>
        <v>#N/A</v>
      </c>
      <c r="H225" s="35" t="str">
        <f t="shared" si="6"/>
        <v/>
      </c>
      <c r="I225" s="36" t="str">
        <f t="shared" si="7"/>
        <v/>
      </c>
      <c r="J225" s="37" t="str">
        <f>IFERROR(__xludf.DUMMYFUNCTION("IFERROR(
  IF(C225="""",, 
    IFERROR(
      GOOGLEFINANCE(C225, ""price"") * GOOGLEFINANCE(C225, ""volumeavg""), 
      GOOGLEFINANCE(C225, ""price"") * AVERAGE(QUERY(GOOGLEFINANCE(C225, ""volume"", TODAY()-40, TODAY()), ""SELECT Col2 WHERE Col2 IS NOT "&amp;"NULL ORDER BY Col1 DESC LIMIT 20"", 0))
    )
  ), 
"""")"),"")</f>
        <v/>
      </c>
      <c r="K225" s="21" t="str">
        <f>IFERROR(__xludf.DUMMYFUNCTION("IFERROR(GOOGLEFINANCE(C225, ""changepct"") / 100, """")"),"")</f>
        <v/>
      </c>
      <c r="L225" s="21" t="str">
        <f>IFERROR(__xludf.DUMMYFUNCTION("IFERROR((GOOGLEFINANCE(C225, ""price"") / INDEX(GOOGLEFINANCE(C225, ""price"", TODAY()-7, TODAY()), 2, 2)) - 1, """")"),"")</f>
        <v/>
      </c>
      <c r="M225" s="21" t="str">
        <f>IFERROR(__xludf.DUMMYFUNCTION("IFERROR((GOOGLEFINANCE(C225, ""price"") / INDEX(GOOGLEFINANCE(C225, ""price"", EDATE(TODAY(), -1), TODAY()), 2, 2)) - 1, """")"),"")</f>
        <v/>
      </c>
      <c r="N225" s="21" t="str">
        <f>IFERROR(__xludf.DUMMYFUNCTION("IFERROR((GOOGLEFINANCE(C225, ""price"") / INDEX(GOOGLEFINANCE(C225, ""price"", EDATE(TODAY(), -3), TODAY()), 2, 2)) - 1, """")"),"")</f>
        <v/>
      </c>
      <c r="O225" s="21" t="str">
        <f>IFERROR(__xludf.DUMMYFUNCTION("IFERROR((GOOGLEFINANCE(C225, ""price"") / INDEX(GOOGLEFINANCE(C225, ""price"", EDATE(TODAY(), -6), TODAY()), 2, 2)) - 1, """")"),"")</f>
        <v/>
      </c>
      <c r="P225" s="21" t="str">
        <f>IFERROR(__xludf.DUMMYFUNCTION("IFERROR((GOOGLEFINANCE(C225, ""price"") / INDEX(GOOGLEFINANCE(C225, ""price"", EDATE(TODAY(), -12), TODAY()), 2, 2)) - 1, """")"),"")</f>
        <v/>
      </c>
      <c r="Q225" s="6" t="str">
        <f>IFERROR(__xludf.DUMMYFUNCTION("AVERAGE(QUERY(GOOGLEFINANCE(C225, ""price"", TODAY()-80, TODAY()), ""SELECT Col2 WHERE Col2 IS NOT NULL ORDER BY Col1 DESC LIMIT 50"", 0))"),"#N/A")</f>
        <v>#N/A</v>
      </c>
      <c r="R225" s="24" t="str">
        <f>IFERROR(__xludf.DUMMYFUNCTION("IFERROR(
  LET(
    data, QUERY(GOOGLEFINANCE(C225,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GOOGLEFINANCE(C225, ""price"")) * 100,
    IF(calc=0, G225, calc)
  ), 
G225)"),"#N/A")</f>
        <v>#N/A</v>
      </c>
      <c r="S225" s="8" t="s">
        <v>15</v>
      </c>
      <c r="T225" s="26" t="str">
        <f>IFERROR(__xludf.DUMMYFUNCTION("IFERROR(TRANSPOSE(QUERY(IFERROR(SORT(GOOGLEFINANCE(C225, ""price"", WORKDAY(TODAY(), -40), TODAY()), 1, FALSE)), ""select Col2 where Col2 is not null limit 22 label Col2 ''"", 0)), """")"),"")</f>
        <v/>
      </c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8"/>
      <c r="AO225" s="28"/>
      <c r="AP225" s="29"/>
      <c r="AQ225" s="29" t="str">
        <f t="shared" ref="AQ225:BL225" si="228">T225/T$2</f>
        <v>#N/A</v>
      </c>
      <c r="AR225" s="29" t="str">
        <f t="shared" si="228"/>
        <v>#DIV/0!</v>
      </c>
      <c r="AS225" s="29" t="str">
        <f t="shared" si="228"/>
        <v>#DIV/0!</v>
      </c>
      <c r="AT225" s="29" t="str">
        <f t="shared" si="228"/>
        <v>#DIV/0!</v>
      </c>
      <c r="AU225" s="29" t="str">
        <f t="shared" si="228"/>
        <v>#DIV/0!</v>
      </c>
      <c r="AV225" s="29" t="str">
        <f t="shared" si="228"/>
        <v>#DIV/0!</v>
      </c>
      <c r="AW225" s="29" t="str">
        <f t="shared" si="228"/>
        <v>#DIV/0!</v>
      </c>
      <c r="AX225" s="29" t="str">
        <f t="shared" si="228"/>
        <v>#DIV/0!</v>
      </c>
      <c r="AY225" s="29" t="str">
        <f t="shared" si="228"/>
        <v>#DIV/0!</v>
      </c>
      <c r="AZ225" s="29" t="str">
        <f t="shared" si="228"/>
        <v>#DIV/0!</v>
      </c>
      <c r="BA225" s="29" t="str">
        <f t="shared" si="228"/>
        <v>#DIV/0!</v>
      </c>
      <c r="BB225" s="29" t="str">
        <f t="shared" si="228"/>
        <v>#DIV/0!</v>
      </c>
      <c r="BC225" s="29" t="str">
        <f t="shared" si="228"/>
        <v>#DIV/0!</v>
      </c>
      <c r="BD225" s="29" t="str">
        <f t="shared" si="228"/>
        <v>#DIV/0!</v>
      </c>
      <c r="BE225" s="29" t="str">
        <f t="shared" si="228"/>
        <v>#DIV/0!</v>
      </c>
      <c r="BF225" s="29" t="str">
        <f t="shared" si="228"/>
        <v>#DIV/0!</v>
      </c>
      <c r="BG225" s="29" t="str">
        <f t="shared" si="228"/>
        <v>#DIV/0!</v>
      </c>
      <c r="BH225" s="29" t="str">
        <f t="shared" si="228"/>
        <v>#DIV/0!</v>
      </c>
      <c r="BI225" s="29" t="str">
        <f t="shared" si="228"/>
        <v>#DIV/0!</v>
      </c>
      <c r="BJ225" s="29" t="str">
        <f t="shared" si="228"/>
        <v>#DIV/0!</v>
      </c>
      <c r="BK225" s="29" t="str">
        <f t="shared" si="228"/>
        <v>#DIV/0!</v>
      </c>
      <c r="BL225" s="29" t="str">
        <f t="shared" si="228"/>
        <v>#DIV/0!</v>
      </c>
      <c r="BM225" s="29" t="str">
        <f t="shared" si="3"/>
        <v>#DIV/0!</v>
      </c>
    </row>
    <row r="226">
      <c r="A226" s="16" t="str">
        <f>IFERROR(__xludf.DUMMYFUNCTION("IFERROR(SPARKLINE(SORT(MAP(TRANSPOSE(AQ226:BL226), LAMBDA(val, IF(ISNUMBER(val), PERCENTRANK(AQ226:BL226, val)+0.01, 0))), SEQUENCE(COLUMNS(AQ226:BL226)), FALSE), {""charttype"",""column""; ""color"",""chartreuse""; ""ymin"", 0; ""ymax"", 1.01; ""highcolo"&amp;"r"", ""darkgreen""; ""lowcolor"", ""red""}), """")"),"")</f>
        <v/>
      </c>
      <c r="B226" s="17" t="str">
        <f t="shared" si="4"/>
        <v/>
      </c>
      <c r="C226" s="1" t="s">
        <v>1030</v>
      </c>
      <c r="D226" s="30" t="str">
        <f>IFERROR(__xludf.DUMMYFUNCTION("IFERROR(GOOGLEFINANCE(C226, ""NAME""))"),"Ibex Ltd")</f>
        <v>Ibex Ltd</v>
      </c>
      <c r="E226" s="30" t="s">
        <v>102</v>
      </c>
      <c r="F226" s="33" t="str">
        <f>IFERROR(__xludf.DUMMYFUNCTION("( (GOOGLEFINANCE(C226, ""price"") - Q226) / Q226 ) / (R226 / 100)"),"Loading...")</f>
        <v>Loading...</v>
      </c>
      <c r="G226" s="20" t="str">
        <f>IFERROR(__xludf.DUMMYFUNCTION("AVERAGE(ARRAYFORMULA(100 * (QUERY(GOOGLEFINANCE(C226, ""high"", TODAY()-40, TODAY()), ""SELECT Col2 WHERE Col2 IS NOT NULL ORDER BY Col1 DESC LIMIT 20"", 0) / QUERY(GOOGLEFINANCE(C226, ""low"", TODAY()-40, TODAY()), ""SELECT Col2 WHERE Col2 IS NOT NULL OR"&amp;"DER BY Col1 DESC LIMIT 20"", 0) - 1)))"),"#N/A")</f>
        <v>#N/A</v>
      </c>
      <c r="H226" s="35" t="str">
        <f t="shared" si="6"/>
        <v/>
      </c>
      <c r="I226" s="36" t="str">
        <f t="shared" si="7"/>
        <v/>
      </c>
      <c r="J226" s="37" t="str">
        <f>IFERROR(__xludf.DUMMYFUNCTION("IFERROR(
  IF(C226="""",, 
    IFERROR(
      GOOGLEFINANCE(C226, ""price"") * GOOGLEFINANCE(C226, ""volumeavg""), 
      GOOGLEFINANCE(C226, ""price"") * AVERAGE(QUERY(GOOGLEFINANCE(C226, ""volume"", TODAY()-40, TODAY()), ""SELECT Col2 WHERE Col2 IS NOT "&amp;"NULL ORDER BY Col1 DESC LIMIT 20"", 0))
    )
  ), 
"""")"),"")</f>
        <v/>
      </c>
      <c r="K226" s="21" t="str">
        <f>IFERROR(__xludf.DUMMYFUNCTION("IFERROR(GOOGLEFINANCE(C226, ""changepct"") / 100, """")"),"")</f>
        <v/>
      </c>
      <c r="L226" s="21" t="str">
        <f>IFERROR(__xludf.DUMMYFUNCTION("IFERROR((GOOGLEFINANCE(C226, ""price"") / INDEX(GOOGLEFINANCE(C226, ""price"", TODAY()-7, TODAY()), 2, 2)) - 1, """")"),"")</f>
        <v/>
      </c>
      <c r="M226" s="21" t="str">
        <f>IFERROR(__xludf.DUMMYFUNCTION("IFERROR((GOOGLEFINANCE(C226, ""price"") / INDEX(GOOGLEFINANCE(C226, ""price"", EDATE(TODAY(), -1), TODAY()), 2, 2)) - 1, """")"),"")</f>
        <v/>
      </c>
      <c r="N226" s="21" t="str">
        <f>IFERROR(__xludf.DUMMYFUNCTION("IFERROR((GOOGLEFINANCE(C226, ""price"") / INDEX(GOOGLEFINANCE(C226, ""price"", EDATE(TODAY(), -3), TODAY()), 2, 2)) - 1, """")"),"")</f>
        <v/>
      </c>
      <c r="O226" s="21" t="str">
        <f>IFERROR(__xludf.DUMMYFUNCTION("IFERROR((GOOGLEFINANCE(C226, ""price"") / INDEX(GOOGLEFINANCE(C226, ""price"", EDATE(TODAY(), -6), TODAY()), 2, 2)) - 1, """")"),"")</f>
        <v/>
      </c>
      <c r="P226" s="21" t="str">
        <f>IFERROR(__xludf.DUMMYFUNCTION("IFERROR((GOOGLEFINANCE(C226, ""price"") / INDEX(GOOGLEFINANCE(C226, ""price"", EDATE(TODAY(), -12), TODAY()), 2, 2)) - 1, """")"),"")</f>
        <v/>
      </c>
      <c r="Q226" s="6" t="str">
        <f>IFERROR(__xludf.DUMMYFUNCTION("AVERAGE(QUERY(GOOGLEFINANCE(C226, ""price"", TODAY()-80, TODAY()), ""SELECT Col2 WHERE Col2 IS NOT NULL ORDER BY Col1 DESC LIMIT 50"", 0))"),"#N/A")</f>
        <v>#N/A</v>
      </c>
      <c r="R226" s="24" t="str">
        <f>IFERROR(__xludf.DUMMYFUNCTION("IFERROR(
  LET(
    data, QUERY(GOOGLEFINANCE(C226,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GOOGLEFINANCE(C226, ""price"")) * 100,
    IF(calc=0, G226, calc)
  ), 
G226)"),"#N/A")</f>
        <v>#N/A</v>
      </c>
      <c r="S226" s="8" t="s">
        <v>15</v>
      </c>
      <c r="T226" s="26" t="str">
        <f>IFERROR(__xludf.DUMMYFUNCTION("IFERROR(TRANSPOSE(QUERY(IFERROR(SORT(GOOGLEFINANCE(C226, ""price"", WORKDAY(TODAY(), -40), TODAY()), 1, FALSE)), ""select Col2 where Col2 is not null limit 22 label Col2 ''"", 0)), """")"),"")</f>
        <v/>
      </c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8"/>
      <c r="AO226" s="28"/>
      <c r="AP226" s="29"/>
      <c r="AQ226" s="29" t="str">
        <f t="shared" ref="AQ226:BL226" si="229">T226/T$2</f>
        <v>#N/A</v>
      </c>
      <c r="AR226" s="29" t="str">
        <f t="shared" si="229"/>
        <v>#DIV/0!</v>
      </c>
      <c r="AS226" s="29" t="str">
        <f t="shared" si="229"/>
        <v>#DIV/0!</v>
      </c>
      <c r="AT226" s="29" t="str">
        <f t="shared" si="229"/>
        <v>#DIV/0!</v>
      </c>
      <c r="AU226" s="29" t="str">
        <f t="shared" si="229"/>
        <v>#DIV/0!</v>
      </c>
      <c r="AV226" s="29" t="str">
        <f t="shared" si="229"/>
        <v>#DIV/0!</v>
      </c>
      <c r="AW226" s="29" t="str">
        <f t="shared" si="229"/>
        <v>#DIV/0!</v>
      </c>
      <c r="AX226" s="29" t="str">
        <f t="shared" si="229"/>
        <v>#DIV/0!</v>
      </c>
      <c r="AY226" s="29" t="str">
        <f t="shared" si="229"/>
        <v>#DIV/0!</v>
      </c>
      <c r="AZ226" s="29" t="str">
        <f t="shared" si="229"/>
        <v>#DIV/0!</v>
      </c>
      <c r="BA226" s="29" t="str">
        <f t="shared" si="229"/>
        <v>#DIV/0!</v>
      </c>
      <c r="BB226" s="29" t="str">
        <f t="shared" si="229"/>
        <v>#DIV/0!</v>
      </c>
      <c r="BC226" s="29" t="str">
        <f t="shared" si="229"/>
        <v>#DIV/0!</v>
      </c>
      <c r="BD226" s="29" t="str">
        <f t="shared" si="229"/>
        <v>#DIV/0!</v>
      </c>
      <c r="BE226" s="29" t="str">
        <f t="shared" si="229"/>
        <v>#DIV/0!</v>
      </c>
      <c r="BF226" s="29" t="str">
        <f t="shared" si="229"/>
        <v>#DIV/0!</v>
      </c>
      <c r="BG226" s="29" t="str">
        <f t="shared" si="229"/>
        <v>#DIV/0!</v>
      </c>
      <c r="BH226" s="29" t="str">
        <f t="shared" si="229"/>
        <v>#DIV/0!</v>
      </c>
      <c r="BI226" s="29" t="str">
        <f t="shared" si="229"/>
        <v>#DIV/0!</v>
      </c>
      <c r="BJ226" s="29" t="str">
        <f t="shared" si="229"/>
        <v>#DIV/0!</v>
      </c>
      <c r="BK226" s="29" t="str">
        <f t="shared" si="229"/>
        <v>#DIV/0!</v>
      </c>
      <c r="BL226" s="29" t="str">
        <f t="shared" si="229"/>
        <v>#DIV/0!</v>
      </c>
      <c r="BM226" s="29" t="str">
        <f t="shared" si="3"/>
        <v>#DIV/0!</v>
      </c>
    </row>
    <row r="227">
      <c r="A227" s="16" t="str">
        <f>IFERROR(__xludf.DUMMYFUNCTION("IFERROR(SPARKLINE(SORT(MAP(TRANSPOSE(AQ227:BL227), LAMBDA(val, IF(ISNUMBER(val), PERCENTRANK(AQ227:BL227, val)+0.01, 0))), SEQUENCE(COLUMNS(AQ227:BL227)), FALSE), {""charttype"",""column""; ""color"",""chartreuse""; ""ymin"", 0; ""ymax"", 1.01; ""highcolo"&amp;"r"", ""darkgreen""; ""lowcolor"", ""red""}), """")"),"")</f>
        <v/>
      </c>
      <c r="B227" s="17" t="str">
        <f t="shared" si="4"/>
        <v/>
      </c>
      <c r="C227" s="1" t="s">
        <v>1035</v>
      </c>
      <c r="D227" s="30" t="str">
        <f>IFERROR(__xludf.DUMMYFUNCTION("IFERROR(GOOGLEFINANCE(C227, ""NAME""))"),"Materialise NV - ADR")</f>
        <v>Materialise NV - ADR</v>
      </c>
      <c r="E227" s="30" t="s">
        <v>48</v>
      </c>
      <c r="F227" s="33" t="str">
        <f>IFERROR(__xludf.DUMMYFUNCTION("( (GOOGLEFINANCE(C227, ""price"") - Q227) / Q227 ) / (R227 / 100)"),"Loading...")</f>
        <v>Loading...</v>
      </c>
      <c r="G227" s="20" t="str">
        <f>IFERROR(__xludf.DUMMYFUNCTION("AVERAGE(ARRAYFORMULA(100 * (QUERY(GOOGLEFINANCE(C227, ""high"", TODAY()-40, TODAY()), ""SELECT Col2 WHERE Col2 IS NOT NULL ORDER BY Col1 DESC LIMIT 20"", 0) / QUERY(GOOGLEFINANCE(C227, ""low"", TODAY()-40, TODAY()), ""SELECT Col2 WHERE Col2 IS NOT NULL OR"&amp;"DER BY Col1 DESC LIMIT 20"", 0) - 1)))"),"#N/A")</f>
        <v>#N/A</v>
      </c>
      <c r="H227" s="35" t="str">
        <f t="shared" si="6"/>
        <v/>
      </c>
      <c r="I227" s="36" t="str">
        <f t="shared" si="7"/>
        <v/>
      </c>
      <c r="J227" s="37" t="str">
        <f>IFERROR(__xludf.DUMMYFUNCTION("IFERROR(
  IF(C227="""",, 
    IFERROR(
      GOOGLEFINANCE(C227, ""price"") * GOOGLEFINANCE(C227, ""volumeavg""), 
      GOOGLEFINANCE(C227, ""price"") * AVERAGE(QUERY(GOOGLEFINANCE(C227, ""volume"", TODAY()-40, TODAY()), ""SELECT Col2 WHERE Col2 IS NOT "&amp;"NULL ORDER BY Col1 DESC LIMIT 20"", 0))
    )
  ), 
"""")"),"")</f>
        <v/>
      </c>
      <c r="K227" s="21" t="str">
        <f>IFERROR(__xludf.DUMMYFUNCTION("IFERROR(GOOGLEFINANCE(C227, ""changepct"") / 100, """")"),"")</f>
        <v/>
      </c>
      <c r="L227" s="21" t="str">
        <f>IFERROR(__xludf.DUMMYFUNCTION("IFERROR((GOOGLEFINANCE(C227, ""price"") / INDEX(GOOGLEFINANCE(C227, ""price"", TODAY()-7, TODAY()), 2, 2)) - 1, """")"),"")</f>
        <v/>
      </c>
      <c r="M227" s="21" t="str">
        <f>IFERROR(__xludf.DUMMYFUNCTION("IFERROR((GOOGLEFINANCE(C227, ""price"") / INDEX(GOOGLEFINANCE(C227, ""price"", EDATE(TODAY(), -1), TODAY()), 2, 2)) - 1, """")"),"")</f>
        <v/>
      </c>
      <c r="N227" s="21" t="str">
        <f>IFERROR(__xludf.DUMMYFUNCTION("IFERROR((GOOGLEFINANCE(C227, ""price"") / INDEX(GOOGLEFINANCE(C227, ""price"", EDATE(TODAY(), -3), TODAY()), 2, 2)) - 1, """")"),"")</f>
        <v/>
      </c>
      <c r="O227" s="21" t="str">
        <f>IFERROR(__xludf.DUMMYFUNCTION("IFERROR((GOOGLEFINANCE(C227, ""price"") / INDEX(GOOGLEFINANCE(C227, ""price"", EDATE(TODAY(), -6), TODAY()), 2, 2)) - 1, """")"),"")</f>
        <v/>
      </c>
      <c r="P227" s="21" t="str">
        <f>IFERROR(__xludf.DUMMYFUNCTION("IFERROR((GOOGLEFINANCE(C227, ""price"") / INDEX(GOOGLEFINANCE(C227, ""price"", EDATE(TODAY(), -12), TODAY()), 2, 2)) - 1, """")"),"")</f>
        <v/>
      </c>
      <c r="Q227" s="6" t="str">
        <f>IFERROR(__xludf.DUMMYFUNCTION("AVERAGE(QUERY(GOOGLEFINANCE(C227, ""price"", TODAY()-80, TODAY()), ""SELECT Col2 WHERE Col2 IS NOT NULL ORDER BY Col1 DESC LIMIT 50"", 0))"),"#N/A")</f>
        <v>#N/A</v>
      </c>
      <c r="R227" s="24" t="str">
        <f>IFERROR(__xludf.DUMMYFUNCTION("IFERROR(
  LET(
    data, QUERY(GOOGLEFINANCE(C227,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GOOGLEFINANCE(C227, ""price"")) * 100,
    IF(calc=0, G227, calc)
  ), 
G227)"),"#N/A")</f>
        <v>#N/A</v>
      </c>
      <c r="S227" s="8" t="s">
        <v>15</v>
      </c>
      <c r="T227" s="26" t="str">
        <f>IFERROR(__xludf.DUMMYFUNCTION("IFERROR(TRANSPOSE(QUERY(IFERROR(SORT(GOOGLEFINANCE(C227, ""price"", WORKDAY(TODAY(), -40), TODAY()), 1, FALSE)), ""select Col2 where Col2 is not null limit 22 label Col2 ''"", 0)), """")"),"")</f>
        <v/>
      </c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8"/>
      <c r="AO227" s="28"/>
      <c r="AP227" s="29"/>
      <c r="AQ227" s="29" t="str">
        <f t="shared" ref="AQ227:BL227" si="230">T227/T$2</f>
        <v>#N/A</v>
      </c>
      <c r="AR227" s="29" t="str">
        <f t="shared" si="230"/>
        <v>#DIV/0!</v>
      </c>
      <c r="AS227" s="29" t="str">
        <f t="shared" si="230"/>
        <v>#DIV/0!</v>
      </c>
      <c r="AT227" s="29" t="str">
        <f t="shared" si="230"/>
        <v>#DIV/0!</v>
      </c>
      <c r="AU227" s="29" t="str">
        <f t="shared" si="230"/>
        <v>#DIV/0!</v>
      </c>
      <c r="AV227" s="29" t="str">
        <f t="shared" si="230"/>
        <v>#DIV/0!</v>
      </c>
      <c r="AW227" s="29" t="str">
        <f t="shared" si="230"/>
        <v>#DIV/0!</v>
      </c>
      <c r="AX227" s="29" t="str">
        <f t="shared" si="230"/>
        <v>#DIV/0!</v>
      </c>
      <c r="AY227" s="29" t="str">
        <f t="shared" si="230"/>
        <v>#DIV/0!</v>
      </c>
      <c r="AZ227" s="29" t="str">
        <f t="shared" si="230"/>
        <v>#DIV/0!</v>
      </c>
      <c r="BA227" s="29" t="str">
        <f t="shared" si="230"/>
        <v>#DIV/0!</v>
      </c>
      <c r="BB227" s="29" t="str">
        <f t="shared" si="230"/>
        <v>#DIV/0!</v>
      </c>
      <c r="BC227" s="29" t="str">
        <f t="shared" si="230"/>
        <v>#DIV/0!</v>
      </c>
      <c r="BD227" s="29" t="str">
        <f t="shared" si="230"/>
        <v>#DIV/0!</v>
      </c>
      <c r="BE227" s="29" t="str">
        <f t="shared" si="230"/>
        <v>#DIV/0!</v>
      </c>
      <c r="BF227" s="29" t="str">
        <f t="shared" si="230"/>
        <v>#DIV/0!</v>
      </c>
      <c r="BG227" s="29" t="str">
        <f t="shared" si="230"/>
        <v>#DIV/0!</v>
      </c>
      <c r="BH227" s="29" t="str">
        <f t="shared" si="230"/>
        <v>#DIV/0!</v>
      </c>
      <c r="BI227" s="29" t="str">
        <f t="shared" si="230"/>
        <v>#DIV/0!</v>
      </c>
      <c r="BJ227" s="29" t="str">
        <f t="shared" si="230"/>
        <v>#DIV/0!</v>
      </c>
      <c r="BK227" s="29" t="str">
        <f t="shared" si="230"/>
        <v>#DIV/0!</v>
      </c>
      <c r="BL227" s="29" t="str">
        <f t="shared" si="230"/>
        <v>#DIV/0!</v>
      </c>
      <c r="BM227" s="29" t="str">
        <f t="shared" si="3"/>
        <v>#DIV/0!</v>
      </c>
    </row>
    <row r="228">
      <c r="A228" s="16" t="str">
        <f>IFERROR(__xludf.DUMMYFUNCTION("IFERROR(SPARKLINE(SORT(MAP(TRANSPOSE(AQ228:BL228), LAMBDA(val, IF(ISNUMBER(val), PERCENTRANK(AQ228:BL228, val)+0.01, 0))), SEQUENCE(COLUMNS(AQ228:BL228)), FALSE), {""charttype"",""column""; ""color"",""chartreuse""; ""ymin"", 0; ""ymax"", 1.01; ""highcolo"&amp;"r"", ""darkgreen""; ""lowcolor"", ""red""}), """")"),"")</f>
        <v/>
      </c>
      <c r="B228" s="17" t="str">
        <f t="shared" si="4"/>
        <v/>
      </c>
      <c r="C228" s="1" t="s">
        <v>1040</v>
      </c>
      <c r="D228" s="30" t="str">
        <f>IFERROR(__xludf.DUMMYFUNCTION("IFERROR(GOOGLEFINANCE(C228, ""NAME""))"),"Cadence Design Systems Inc")</f>
        <v>Cadence Design Systems Inc</v>
      </c>
      <c r="E228" s="30" t="s">
        <v>48</v>
      </c>
      <c r="F228" s="33" t="str">
        <f>IFERROR(__xludf.DUMMYFUNCTION("( (GOOGLEFINANCE(C228, ""price"") - Q228) / Q228 ) / (R228 / 100)"),"Loading...")</f>
        <v>Loading...</v>
      </c>
      <c r="G228" s="20" t="str">
        <f>IFERROR(__xludf.DUMMYFUNCTION("AVERAGE(ARRAYFORMULA(100 * (QUERY(GOOGLEFINANCE(C228, ""high"", TODAY()-40, TODAY()), ""SELECT Col2 WHERE Col2 IS NOT NULL ORDER BY Col1 DESC LIMIT 20"", 0) / QUERY(GOOGLEFINANCE(C228, ""low"", TODAY()-40, TODAY()), ""SELECT Col2 WHERE Col2 IS NOT NULL OR"&amp;"DER BY Col1 DESC LIMIT 20"", 0) - 1)))"),"#N/A")</f>
        <v>#N/A</v>
      </c>
      <c r="H228" s="35" t="str">
        <f t="shared" si="6"/>
        <v/>
      </c>
      <c r="I228" s="36" t="str">
        <f t="shared" si="7"/>
        <v/>
      </c>
      <c r="J228" s="37" t="str">
        <f>IFERROR(__xludf.DUMMYFUNCTION("IFERROR(
  IF(C228="""",, 
    IFERROR(
      GOOGLEFINANCE(C228, ""price"") * GOOGLEFINANCE(C228, ""volumeavg""), 
      GOOGLEFINANCE(C228, ""price"") * AVERAGE(QUERY(GOOGLEFINANCE(C228, ""volume"", TODAY()-40, TODAY()), ""SELECT Col2 WHERE Col2 IS NOT "&amp;"NULL ORDER BY Col1 DESC LIMIT 20"", 0))
    )
  ), 
"""")"),"")</f>
        <v/>
      </c>
      <c r="K228" s="21" t="str">
        <f>IFERROR(__xludf.DUMMYFUNCTION("IFERROR(GOOGLEFINANCE(C228, ""changepct"") / 100, """")"),"")</f>
        <v/>
      </c>
      <c r="L228" s="21" t="str">
        <f>IFERROR(__xludf.DUMMYFUNCTION("IFERROR((GOOGLEFINANCE(C228, ""price"") / INDEX(GOOGLEFINANCE(C228, ""price"", TODAY()-7, TODAY()), 2, 2)) - 1, """")"),"")</f>
        <v/>
      </c>
      <c r="M228" s="21" t="str">
        <f>IFERROR(__xludf.DUMMYFUNCTION("IFERROR((GOOGLEFINANCE(C228, ""price"") / INDEX(GOOGLEFINANCE(C228, ""price"", EDATE(TODAY(), -1), TODAY()), 2, 2)) - 1, """")"),"")</f>
        <v/>
      </c>
      <c r="N228" s="21" t="str">
        <f>IFERROR(__xludf.DUMMYFUNCTION("IFERROR((GOOGLEFINANCE(C228, ""price"") / INDEX(GOOGLEFINANCE(C228, ""price"", EDATE(TODAY(), -3), TODAY()), 2, 2)) - 1, """")"),"")</f>
        <v/>
      </c>
      <c r="O228" s="21" t="str">
        <f>IFERROR(__xludf.DUMMYFUNCTION("IFERROR((GOOGLEFINANCE(C228, ""price"") / INDEX(GOOGLEFINANCE(C228, ""price"", EDATE(TODAY(), -6), TODAY()), 2, 2)) - 1, """")"),"")</f>
        <v/>
      </c>
      <c r="P228" s="21" t="str">
        <f>IFERROR(__xludf.DUMMYFUNCTION("IFERROR((GOOGLEFINANCE(C228, ""price"") / INDEX(GOOGLEFINANCE(C228, ""price"", EDATE(TODAY(), -12), TODAY()), 2, 2)) - 1, """")"),"")</f>
        <v/>
      </c>
      <c r="Q228" s="6" t="str">
        <f>IFERROR(__xludf.DUMMYFUNCTION("AVERAGE(QUERY(GOOGLEFINANCE(C228, ""price"", TODAY()-80, TODAY()), ""SELECT Col2 WHERE Col2 IS NOT NULL ORDER BY Col1 DESC LIMIT 50"", 0))"),"#N/A")</f>
        <v>#N/A</v>
      </c>
      <c r="R228" s="24" t="str">
        <f>IFERROR(__xludf.DUMMYFUNCTION("IFERROR(
  LET(
    data, QUERY(GOOGLEFINANCE(C228,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GOOGLEFINANCE(C228, ""price"")) * 100,
    IF(calc=0, G228, calc)
  ), 
G228)"),"#N/A")</f>
        <v>#N/A</v>
      </c>
      <c r="S228" s="8" t="s">
        <v>15</v>
      </c>
      <c r="T228" s="26" t="str">
        <f>IFERROR(__xludf.DUMMYFUNCTION("IFERROR(TRANSPOSE(QUERY(IFERROR(SORT(GOOGLEFINANCE(C228, ""price"", WORKDAY(TODAY(), -40), TODAY()), 1, FALSE)), ""select Col2 where Col2 is not null limit 22 label Col2 ''"", 0)), """")"),"")</f>
        <v/>
      </c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8"/>
      <c r="AO228" s="28"/>
      <c r="AP228" s="29"/>
      <c r="AQ228" s="29" t="str">
        <f t="shared" ref="AQ228:BL228" si="231">T228/T$2</f>
        <v>#N/A</v>
      </c>
      <c r="AR228" s="29" t="str">
        <f t="shared" si="231"/>
        <v>#DIV/0!</v>
      </c>
      <c r="AS228" s="29" t="str">
        <f t="shared" si="231"/>
        <v>#DIV/0!</v>
      </c>
      <c r="AT228" s="29" t="str">
        <f t="shared" si="231"/>
        <v>#DIV/0!</v>
      </c>
      <c r="AU228" s="29" t="str">
        <f t="shared" si="231"/>
        <v>#DIV/0!</v>
      </c>
      <c r="AV228" s="29" t="str">
        <f t="shared" si="231"/>
        <v>#DIV/0!</v>
      </c>
      <c r="AW228" s="29" t="str">
        <f t="shared" si="231"/>
        <v>#DIV/0!</v>
      </c>
      <c r="AX228" s="29" t="str">
        <f t="shared" si="231"/>
        <v>#DIV/0!</v>
      </c>
      <c r="AY228" s="29" t="str">
        <f t="shared" si="231"/>
        <v>#DIV/0!</v>
      </c>
      <c r="AZ228" s="29" t="str">
        <f t="shared" si="231"/>
        <v>#DIV/0!</v>
      </c>
      <c r="BA228" s="29" t="str">
        <f t="shared" si="231"/>
        <v>#DIV/0!</v>
      </c>
      <c r="BB228" s="29" t="str">
        <f t="shared" si="231"/>
        <v>#DIV/0!</v>
      </c>
      <c r="BC228" s="29" t="str">
        <f t="shared" si="231"/>
        <v>#DIV/0!</v>
      </c>
      <c r="BD228" s="29" t="str">
        <f t="shared" si="231"/>
        <v>#DIV/0!</v>
      </c>
      <c r="BE228" s="29" t="str">
        <f t="shared" si="231"/>
        <v>#DIV/0!</v>
      </c>
      <c r="BF228" s="29" t="str">
        <f t="shared" si="231"/>
        <v>#DIV/0!</v>
      </c>
      <c r="BG228" s="29" t="str">
        <f t="shared" si="231"/>
        <v>#DIV/0!</v>
      </c>
      <c r="BH228" s="29" t="str">
        <f t="shared" si="231"/>
        <v>#DIV/0!</v>
      </c>
      <c r="BI228" s="29" t="str">
        <f t="shared" si="231"/>
        <v>#DIV/0!</v>
      </c>
      <c r="BJ228" s="29" t="str">
        <f t="shared" si="231"/>
        <v>#DIV/0!</v>
      </c>
      <c r="BK228" s="29" t="str">
        <f t="shared" si="231"/>
        <v>#DIV/0!</v>
      </c>
      <c r="BL228" s="29" t="str">
        <f t="shared" si="231"/>
        <v>#DIV/0!</v>
      </c>
      <c r="BM228" s="29" t="str">
        <f t="shared" si="3"/>
        <v>#DIV/0!</v>
      </c>
    </row>
    <row r="229">
      <c r="A229" s="16" t="str">
        <f>IFERROR(__xludf.DUMMYFUNCTION("IFERROR(SPARKLINE(SORT(MAP(TRANSPOSE(AQ229:BL229), LAMBDA(val, IF(ISNUMBER(val), PERCENTRANK(AQ229:BL229, val)+0.01, 0))), SEQUENCE(COLUMNS(AQ229:BL229)), FALSE), {""charttype"",""column""; ""color"",""chartreuse""; ""ymin"", 0; ""ymax"", 1.01; ""highcolo"&amp;"r"", ""darkgreen""; ""lowcolor"", ""red""}), """")"),"")</f>
        <v/>
      </c>
      <c r="B229" s="17" t="str">
        <f t="shared" si="4"/>
        <v/>
      </c>
      <c r="C229" s="1" t="s">
        <v>1044</v>
      </c>
      <c r="D229" s="30" t="str">
        <f>IFERROR(__xludf.DUMMYFUNCTION("IFERROR(GOOGLEFINANCE(C229, ""NAME""))"),"Enphase Energy Inc")</f>
        <v>Enphase Energy Inc</v>
      </c>
      <c r="E229" s="30" t="s">
        <v>1045</v>
      </c>
      <c r="F229" s="33" t="str">
        <f>IFERROR(__xludf.DUMMYFUNCTION("( (GOOGLEFINANCE(C229, ""price"") - Q229) / Q229 ) / (R229 / 100)"),"Loading...")</f>
        <v>Loading...</v>
      </c>
      <c r="G229" s="20" t="str">
        <f>IFERROR(__xludf.DUMMYFUNCTION("AVERAGE(ARRAYFORMULA(100 * (QUERY(GOOGLEFINANCE(C229, ""high"", TODAY()-40, TODAY()), ""SELECT Col2 WHERE Col2 IS NOT NULL ORDER BY Col1 DESC LIMIT 20"", 0) / QUERY(GOOGLEFINANCE(C229, ""low"", TODAY()-40, TODAY()), ""SELECT Col2 WHERE Col2 IS NOT NULL OR"&amp;"DER BY Col1 DESC LIMIT 20"", 0) - 1)))"),"#N/A")</f>
        <v>#N/A</v>
      </c>
      <c r="H229" s="35" t="str">
        <f t="shared" si="6"/>
        <v/>
      </c>
      <c r="I229" s="36" t="str">
        <f t="shared" si="7"/>
        <v/>
      </c>
      <c r="J229" s="37" t="str">
        <f>IFERROR(__xludf.DUMMYFUNCTION("IFERROR(
  IF(C229="""",, 
    IFERROR(
      GOOGLEFINANCE(C229, ""price"") * GOOGLEFINANCE(C229, ""volumeavg""), 
      GOOGLEFINANCE(C229, ""price"") * AVERAGE(QUERY(GOOGLEFINANCE(C229, ""volume"", TODAY()-40, TODAY()), ""SELECT Col2 WHERE Col2 IS NOT "&amp;"NULL ORDER BY Col1 DESC LIMIT 20"", 0))
    )
  ), 
"""")"),"")</f>
        <v/>
      </c>
      <c r="K229" s="21" t="str">
        <f>IFERROR(__xludf.DUMMYFUNCTION("IFERROR(GOOGLEFINANCE(C229, ""changepct"") / 100, """")"),"")</f>
        <v/>
      </c>
      <c r="L229" s="21" t="str">
        <f>IFERROR(__xludf.DUMMYFUNCTION("IFERROR((GOOGLEFINANCE(C229, ""price"") / INDEX(GOOGLEFINANCE(C229, ""price"", TODAY()-7, TODAY()), 2, 2)) - 1, """")"),"")</f>
        <v/>
      </c>
      <c r="M229" s="21" t="str">
        <f>IFERROR(__xludf.DUMMYFUNCTION("IFERROR((GOOGLEFINANCE(C229, ""price"") / INDEX(GOOGLEFINANCE(C229, ""price"", EDATE(TODAY(), -1), TODAY()), 2, 2)) - 1, """")"),"")</f>
        <v/>
      </c>
      <c r="N229" s="21" t="str">
        <f>IFERROR(__xludf.DUMMYFUNCTION("IFERROR((GOOGLEFINANCE(C229, ""price"") / INDEX(GOOGLEFINANCE(C229, ""price"", EDATE(TODAY(), -3), TODAY()), 2, 2)) - 1, """")"),"")</f>
        <v/>
      </c>
      <c r="O229" s="21" t="str">
        <f>IFERROR(__xludf.DUMMYFUNCTION("IFERROR((GOOGLEFINANCE(C229, ""price"") / INDEX(GOOGLEFINANCE(C229, ""price"", EDATE(TODAY(), -6), TODAY()), 2, 2)) - 1, """")"),"")</f>
        <v/>
      </c>
      <c r="P229" s="21" t="str">
        <f>IFERROR(__xludf.DUMMYFUNCTION("IFERROR((GOOGLEFINANCE(C229, ""price"") / INDEX(GOOGLEFINANCE(C229, ""price"", EDATE(TODAY(), -12), TODAY()), 2, 2)) - 1, """")"),"")</f>
        <v/>
      </c>
      <c r="Q229" s="6" t="str">
        <f>IFERROR(__xludf.DUMMYFUNCTION("AVERAGE(QUERY(GOOGLEFINANCE(C229, ""price"", TODAY()-80, TODAY()), ""SELECT Col2 WHERE Col2 IS NOT NULL ORDER BY Col1 DESC LIMIT 50"", 0))"),"#N/A")</f>
        <v>#N/A</v>
      </c>
      <c r="R229" s="24" t="str">
        <f>IFERROR(__xludf.DUMMYFUNCTION("IFERROR(
  LET(
    data, QUERY(GOOGLEFINANCE(C229,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GOOGLEFINANCE(C229, ""price"")) * 100,
    IF(calc=0, G229, calc)
  ), 
G229)"),"#N/A")</f>
        <v>#N/A</v>
      </c>
      <c r="S229" s="8" t="s">
        <v>15</v>
      </c>
      <c r="T229" s="26" t="str">
        <f>IFERROR(__xludf.DUMMYFUNCTION("IFERROR(TRANSPOSE(QUERY(IFERROR(SORT(GOOGLEFINANCE(C229, ""price"", WORKDAY(TODAY(), -40), TODAY()), 1, FALSE)), ""select Col2 where Col2 is not null limit 22 label Col2 ''"", 0)), """")"),"")</f>
        <v/>
      </c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8"/>
      <c r="AO229" s="28"/>
      <c r="AP229" s="29"/>
      <c r="AQ229" s="29" t="str">
        <f t="shared" ref="AQ229:BL229" si="232">T229/T$2</f>
        <v>#N/A</v>
      </c>
      <c r="AR229" s="29" t="str">
        <f t="shared" si="232"/>
        <v>#DIV/0!</v>
      </c>
      <c r="AS229" s="29" t="str">
        <f t="shared" si="232"/>
        <v>#DIV/0!</v>
      </c>
      <c r="AT229" s="29" t="str">
        <f t="shared" si="232"/>
        <v>#DIV/0!</v>
      </c>
      <c r="AU229" s="29" t="str">
        <f t="shared" si="232"/>
        <v>#DIV/0!</v>
      </c>
      <c r="AV229" s="29" t="str">
        <f t="shared" si="232"/>
        <v>#DIV/0!</v>
      </c>
      <c r="AW229" s="29" t="str">
        <f t="shared" si="232"/>
        <v>#DIV/0!</v>
      </c>
      <c r="AX229" s="29" t="str">
        <f t="shared" si="232"/>
        <v>#DIV/0!</v>
      </c>
      <c r="AY229" s="29" t="str">
        <f t="shared" si="232"/>
        <v>#DIV/0!</v>
      </c>
      <c r="AZ229" s="29" t="str">
        <f t="shared" si="232"/>
        <v>#DIV/0!</v>
      </c>
      <c r="BA229" s="29" t="str">
        <f t="shared" si="232"/>
        <v>#DIV/0!</v>
      </c>
      <c r="BB229" s="29" t="str">
        <f t="shared" si="232"/>
        <v>#DIV/0!</v>
      </c>
      <c r="BC229" s="29" t="str">
        <f t="shared" si="232"/>
        <v>#DIV/0!</v>
      </c>
      <c r="BD229" s="29" t="str">
        <f t="shared" si="232"/>
        <v>#DIV/0!</v>
      </c>
      <c r="BE229" s="29" t="str">
        <f t="shared" si="232"/>
        <v>#DIV/0!</v>
      </c>
      <c r="BF229" s="29" t="str">
        <f t="shared" si="232"/>
        <v>#DIV/0!</v>
      </c>
      <c r="BG229" s="29" t="str">
        <f t="shared" si="232"/>
        <v>#DIV/0!</v>
      </c>
      <c r="BH229" s="29" t="str">
        <f t="shared" si="232"/>
        <v>#DIV/0!</v>
      </c>
      <c r="BI229" s="29" t="str">
        <f t="shared" si="232"/>
        <v>#DIV/0!</v>
      </c>
      <c r="BJ229" s="29" t="str">
        <f t="shared" si="232"/>
        <v>#DIV/0!</v>
      </c>
      <c r="BK229" s="29" t="str">
        <f t="shared" si="232"/>
        <v>#DIV/0!</v>
      </c>
      <c r="BL229" s="29" t="str">
        <f t="shared" si="232"/>
        <v>#DIV/0!</v>
      </c>
      <c r="BM229" s="29" t="str">
        <f t="shared" si="3"/>
        <v>#DIV/0!</v>
      </c>
    </row>
    <row r="230">
      <c r="A230" s="16" t="str">
        <f>IFERROR(__xludf.DUMMYFUNCTION("IFERROR(SPARKLINE(SORT(MAP(TRANSPOSE(AQ230:BL230), LAMBDA(val, IF(ISNUMBER(val), PERCENTRANK(AQ230:BL230, val)+0.01, 0))), SEQUENCE(COLUMNS(AQ230:BL230)), FALSE), {""charttype"",""column""; ""color"",""chartreuse""; ""ymin"", 0; ""ymax"", 1.01; ""highcolo"&amp;"r"", ""darkgreen""; ""lowcolor"", ""red""}), """")"),"")</f>
        <v/>
      </c>
      <c r="B230" s="17" t="str">
        <f t="shared" si="4"/>
        <v/>
      </c>
      <c r="C230" s="1" t="s">
        <v>1049</v>
      </c>
      <c r="D230" s="30" t="str">
        <f>IFERROR(__xludf.DUMMYFUNCTION("IFERROR(GOOGLEFINANCE(C230, ""NAME""))"),"Agora Inc")</f>
        <v>Agora Inc</v>
      </c>
      <c r="E230" s="30" t="s">
        <v>48</v>
      </c>
      <c r="F230" s="33" t="str">
        <f>IFERROR(__xludf.DUMMYFUNCTION("( (GOOGLEFINANCE(C230, ""price"") - Q230) / Q230 ) / (R230 / 100)"),"Loading...")</f>
        <v>Loading...</v>
      </c>
      <c r="G230" s="20" t="str">
        <f>IFERROR(__xludf.DUMMYFUNCTION("AVERAGE(ARRAYFORMULA(100 * (QUERY(GOOGLEFINANCE(C230, ""high"", TODAY()-40, TODAY()), ""SELECT Col2 WHERE Col2 IS NOT NULL ORDER BY Col1 DESC LIMIT 20"", 0) / QUERY(GOOGLEFINANCE(C230, ""low"", TODAY()-40, TODAY()), ""SELECT Col2 WHERE Col2 IS NOT NULL OR"&amp;"DER BY Col1 DESC LIMIT 20"", 0) - 1)))"),"#N/A")</f>
        <v>#N/A</v>
      </c>
      <c r="H230" s="35" t="str">
        <f t="shared" si="6"/>
        <v/>
      </c>
      <c r="I230" s="36" t="str">
        <f t="shared" si="7"/>
        <v/>
      </c>
      <c r="J230" s="37" t="str">
        <f>IFERROR(__xludf.DUMMYFUNCTION("IFERROR(
  IF(C230="""",, 
    IFERROR(
      GOOGLEFINANCE(C230, ""price"") * GOOGLEFINANCE(C230, ""volumeavg""), 
      GOOGLEFINANCE(C230, ""price"") * AVERAGE(QUERY(GOOGLEFINANCE(C230, ""volume"", TODAY()-40, TODAY()), ""SELECT Col2 WHERE Col2 IS NOT "&amp;"NULL ORDER BY Col1 DESC LIMIT 20"", 0))
    )
  ), 
"""")"),"")</f>
        <v/>
      </c>
      <c r="K230" s="21" t="str">
        <f>IFERROR(__xludf.DUMMYFUNCTION("IFERROR(GOOGLEFINANCE(C230, ""changepct"") / 100, """")"),"")</f>
        <v/>
      </c>
      <c r="L230" s="21" t="str">
        <f>IFERROR(__xludf.DUMMYFUNCTION("IFERROR((GOOGLEFINANCE(C230, ""price"") / INDEX(GOOGLEFINANCE(C230, ""price"", TODAY()-7, TODAY()), 2, 2)) - 1, """")"),"")</f>
        <v/>
      </c>
      <c r="M230" s="21" t="str">
        <f>IFERROR(__xludf.DUMMYFUNCTION("IFERROR((GOOGLEFINANCE(C230, ""price"") / INDEX(GOOGLEFINANCE(C230, ""price"", EDATE(TODAY(), -1), TODAY()), 2, 2)) - 1, """")"),"")</f>
        <v/>
      </c>
      <c r="N230" s="21" t="str">
        <f>IFERROR(__xludf.DUMMYFUNCTION("IFERROR((GOOGLEFINANCE(C230, ""price"") / INDEX(GOOGLEFINANCE(C230, ""price"", EDATE(TODAY(), -3), TODAY()), 2, 2)) - 1, """")"),"")</f>
        <v/>
      </c>
      <c r="O230" s="21" t="str">
        <f>IFERROR(__xludf.DUMMYFUNCTION("IFERROR((GOOGLEFINANCE(C230, ""price"") / INDEX(GOOGLEFINANCE(C230, ""price"", EDATE(TODAY(), -6), TODAY()), 2, 2)) - 1, """")"),"")</f>
        <v/>
      </c>
      <c r="P230" s="21" t="str">
        <f>IFERROR(__xludf.DUMMYFUNCTION("IFERROR((GOOGLEFINANCE(C230, ""price"") / INDEX(GOOGLEFINANCE(C230, ""price"", EDATE(TODAY(), -12), TODAY()), 2, 2)) - 1, """")"),"")</f>
        <v/>
      </c>
      <c r="Q230" s="6" t="str">
        <f>IFERROR(__xludf.DUMMYFUNCTION("AVERAGE(QUERY(GOOGLEFINANCE(C230, ""price"", TODAY()-80, TODAY()), ""SELECT Col2 WHERE Col2 IS NOT NULL ORDER BY Col1 DESC LIMIT 50"", 0))"),"#N/A")</f>
        <v>#N/A</v>
      </c>
      <c r="R230" s="24" t="str">
        <f>IFERROR(__xludf.DUMMYFUNCTION("IFERROR(
  LET(
    data, QUERY(GOOGLEFINANCE(C230,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GOOGLEFINANCE(C230, ""price"")) * 100,
    IF(calc=0, G230, calc)
  ), 
G230)"),"#N/A")</f>
        <v>#N/A</v>
      </c>
      <c r="S230" s="8" t="s">
        <v>15</v>
      </c>
      <c r="T230" s="26" t="str">
        <f>IFERROR(__xludf.DUMMYFUNCTION("IFERROR(TRANSPOSE(QUERY(IFERROR(SORT(GOOGLEFINANCE(C230, ""price"", WORKDAY(TODAY(), -40), TODAY()), 1, FALSE)), ""select Col2 where Col2 is not null limit 22 label Col2 ''"", 0)), """")"),"")</f>
        <v/>
      </c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8"/>
      <c r="AO230" s="28"/>
      <c r="AP230" s="29"/>
      <c r="AQ230" s="29" t="str">
        <f t="shared" ref="AQ230:BL230" si="233">T230/T$2</f>
        <v>#N/A</v>
      </c>
      <c r="AR230" s="29" t="str">
        <f t="shared" si="233"/>
        <v>#DIV/0!</v>
      </c>
      <c r="AS230" s="29" t="str">
        <f t="shared" si="233"/>
        <v>#DIV/0!</v>
      </c>
      <c r="AT230" s="29" t="str">
        <f t="shared" si="233"/>
        <v>#DIV/0!</v>
      </c>
      <c r="AU230" s="29" t="str">
        <f t="shared" si="233"/>
        <v>#DIV/0!</v>
      </c>
      <c r="AV230" s="29" t="str">
        <f t="shared" si="233"/>
        <v>#DIV/0!</v>
      </c>
      <c r="AW230" s="29" t="str">
        <f t="shared" si="233"/>
        <v>#DIV/0!</v>
      </c>
      <c r="AX230" s="29" t="str">
        <f t="shared" si="233"/>
        <v>#DIV/0!</v>
      </c>
      <c r="AY230" s="29" t="str">
        <f t="shared" si="233"/>
        <v>#DIV/0!</v>
      </c>
      <c r="AZ230" s="29" t="str">
        <f t="shared" si="233"/>
        <v>#DIV/0!</v>
      </c>
      <c r="BA230" s="29" t="str">
        <f t="shared" si="233"/>
        <v>#DIV/0!</v>
      </c>
      <c r="BB230" s="29" t="str">
        <f t="shared" si="233"/>
        <v>#DIV/0!</v>
      </c>
      <c r="BC230" s="29" t="str">
        <f t="shared" si="233"/>
        <v>#DIV/0!</v>
      </c>
      <c r="BD230" s="29" t="str">
        <f t="shared" si="233"/>
        <v>#DIV/0!</v>
      </c>
      <c r="BE230" s="29" t="str">
        <f t="shared" si="233"/>
        <v>#DIV/0!</v>
      </c>
      <c r="BF230" s="29" t="str">
        <f t="shared" si="233"/>
        <v>#DIV/0!</v>
      </c>
      <c r="BG230" s="29" t="str">
        <f t="shared" si="233"/>
        <v>#DIV/0!</v>
      </c>
      <c r="BH230" s="29" t="str">
        <f t="shared" si="233"/>
        <v>#DIV/0!</v>
      </c>
      <c r="BI230" s="29" t="str">
        <f t="shared" si="233"/>
        <v>#DIV/0!</v>
      </c>
      <c r="BJ230" s="29" t="str">
        <f t="shared" si="233"/>
        <v>#DIV/0!</v>
      </c>
      <c r="BK230" s="29" t="str">
        <f t="shared" si="233"/>
        <v>#DIV/0!</v>
      </c>
      <c r="BL230" s="29" t="str">
        <f t="shared" si="233"/>
        <v>#DIV/0!</v>
      </c>
      <c r="BM230" s="29" t="str">
        <f t="shared" si="3"/>
        <v>#DIV/0!</v>
      </c>
    </row>
    <row r="231">
      <c r="A231" s="16" t="str">
        <f>IFERROR(__xludf.DUMMYFUNCTION("IFERROR(SPARKLINE(SORT(MAP(TRANSPOSE(AQ231:BL231), LAMBDA(val, IF(ISNUMBER(val), PERCENTRANK(AQ231:BL231, val)+0.01, 0))), SEQUENCE(COLUMNS(AQ231:BL231)), FALSE), {""charttype"",""column""; ""color"",""chartreuse""; ""ymin"", 0; ""ymax"", 1.01; ""highcolo"&amp;"r"", ""darkgreen""; ""lowcolor"", ""red""}), """")"),"")</f>
        <v/>
      </c>
      <c r="B231" s="17" t="str">
        <f t="shared" si="4"/>
        <v/>
      </c>
      <c r="C231" s="1" t="s">
        <v>1052</v>
      </c>
      <c r="D231" s="30" t="str">
        <f>IFERROR(__xludf.DUMMYFUNCTION("IFERROR(GOOGLEFINANCE(C231, ""NAME""))"),"Rezolve AI PLC")</f>
        <v>Rezolve AI PLC</v>
      </c>
      <c r="E231" s="30" t="s">
        <v>58</v>
      </c>
      <c r="F231" s="33" t="str">
        <f>IFERROR(__xludf.DUMMYFUNCTION("( (GOOGLEFINANCE(C231, ""price"") - Q231) / Q231 ) / (R231 / 100)"),"Loading...")</f>
        <v>Loading...</v>
      </c>
      <c r="G231" s="20" t="str">
        <f>IFERROR(__xludf.DUMMYFUNCTION("AVERAGE(ARRAYFORMULA(100 * (QUERY(GOOGLEFINANCE(C231, ""high"", TODAY()-40, TODAY()), ""SELECT Col2 WHERE Col2 IS NOT NULL ORDER BY Col1 DESC LIMIT 20"", 0) / QUERY(GOOGLEFINANCE(C231, ""low"", TODAY()-40, TODAY()), ""SELECT Col2 WHERE Col2 IS NOT NULL OR"&amp;"DER BY Col1 DESC LIMIT 20"", 0) - 1)))"),"#N/A")</f>
        <v>#N/A</v>
      </c>
      <c r="H231" s="35" t="str">
        <f t="shared" si="6"/>
        <v/>
      </c>
      <c r="I231" s="36" t="str">
        <f t="shared" si="7"/>
        <v/>
      </c>
      <c r="J231" s="37" t="str">
        <f>IFERROR(__xludf.DUMMYFUNCTION("IFERROR(
  IF(C231="""",, 
    IFERROR(
      GOOGLEFINANCE(C231, ""price"") * GOOGLEFINANCE(C231, ""volumeavg""), 
      GOOGLEFINANCE(C231, ""price"") * AVERAGE(QUERY(GOOGLEFINANCE(C231, ""volume"", TODAY()-40, TODAY()), ""SELECT Col2 WHERE Col2 IS NOT "&amp;"NULL ORDER BY Col1 DESC LIMIT 20"", 0))
    )
  ), 
"""")"),"")</f>
        <v/>
      </c>
      <c r="K231" s="21" t="str">
        <f>IFERROR(__xludf.DUMMYFUNCTION("IFERROR(GOOGLEFINANCE(C231, ""changepct"") / 100, """")"),"")</f>
        <v/>
      </c>
      <c r="L231" s="21" t="str">
        <f>IFERROR(__xludf.DUMMYFUNCTION("IFERROR((GOOGLEFINANCE(C231, ""price"") / INDEX(GOOGLEFINANCE(C231, ""price"", TODAY()-7, TODAY()), 2, 2)) - 1, """")"),"")</f>
        <v/>
      </c>
      <c r="M231" s="21" t="str">
        <f>IFERROR(__xludf.DUMMYFUNCTION("IFERROR((GOOGLEFINANCE(C231, ""price"") / INDEX(GOOGLEFINANCE(C231, ""price"", EDATE(TODAY(), -1), TODAY()), 2, 2)) - 1, """")"),"")</f>
        <v/>
      </c>
      <c r="N231" s="21" t="str">
        <f>IFERROR(__xludf.DUMMYFUNCTION("IFERROR((GOOGLEFINANCE(C231, ""price"") / INDEX(GOOGLEFINANCE(C231, ""price"", EDATE(TODAY(), -3), TODAY()), 2, 2)) - 1, """")"),"")</f>
        <v/>
      </c>
      <c r="O231" s="21" t="str">
        <f>IFERROR(__xludf.DUMMYFUNCTION("IFERROR((GOOGLEFINANCE(C231, ""price"") / INDEX(GOOGLEFINANCE(C231, ""price"", EDATE(TODAY(), -6), TODAY()), 2, 2)) - 1, """")"),"")</f>
        <v/>
      </c>
      <c r="P231" s="21" t="str">
        <f>IFERROR(__xludf.DUMMYFUNCTION("IFERROR((GOOGLEFINANCE(C231, ""price"") / INDEX(GOOGLEFINANCE(C231, ""price"", EDATE(TODAY(), -12), TODAY()), 2, 2)) - 1, """")"),"")</f>
        <v/>
      </c>
      <c r="Q231" s="6" t="str">
        <f>IFERROR(__xludf.DUMMYFUNCTION("AVERAGE(QUERY(GOOGLEFINANCE(C231, ""price"", TODAY()-80, TODAY()), ""SELECT Col2 WHERE Col2 IS NOT NULL ORDER BY Col1 DESC LIMIT 50"", 0))"),"#N/A")</f>
        <v>#N/A</v>
      </c>
      <c r="R231" s="24" t="str">
        <f>IFERROR(__xludf.DUMMYFUNCTION("IFERROR(
  LET(
    data, QUERY(GOOGLEFINANCE(C231,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GOOGLEFINANCE(C231, ""price"")) * 100,
    IF(calc=0, G231, calc)
  ), 
G231)"),"#N/A")</f>
        <v>#N/A</v>
      </c>
      <c r="S231" s="8" t="s">
        <v>15</v>
      </c>
      <c r="T231" s="26" t="str">
        <f>IFERROR(__xludf.DUMMYFUNCTION("IFERROR(TRANSPOSE(QUERY(IFERROR(SORT(GOOGLEFINANCE(C231, ""price"", WORKDAY(TODAY(), -40), TODAY()), 1, FALSE)), ""select Col2 where Col2 is not null limit 22 label Col2 ''"", 0)), """")"),"")</f>
        <v/>
      </c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8"/>
      <c r="AO231" s="28"/>
      <c r="AP231" s="29"/>
      <c r="AQ231" s="29" t="str">
        <f t="shared" ref="AQ231:BL231" si="234">T231/T$2</f>
        <v>#N/A</v>
      </c>
      <c r="AR231" s="29" t="str">
        <f t="shared" si="234"/>
        <v>#DIV/0!</v>
      </c>
      <c r="AS231" s="29" t="str">
        <f t="shared" si="234"/>
        <v>#DIV/0!</v>
      </c>
      <c r="AT231" s="29" t="str">
        <f t="shared" si="234"/>
        <v>#DIV/0!</v>
      </c>
      <c r="AU231" s="29" t="str">
        <f t="shared" si="234"/>
        <v>#DIV/0!</v>
      </c>
      <c r="AV231" s="29" t="str">
        <f t="shared" si="234"/>
        <v>#DIV/0!</v>
      </c>
      <c r="AW231" s="29" t="str">
        <f t="shared" si="234"/>
        <v>#DIV/0!</v>
      </c>
      <c r="AX231" s="29" t="str">
        <f t="shared" si="234"/>
        <v>#DIV/0!</v>
      </c>
      <c r="AY231" s="29" t="str">
        <f t="shared" si="234"/>
        <v>#DIV/0!</v>
      </c>
      <c r="AZ231" s="29" t="str">
        <f t="shared" si="234"/>
        <v>#DIV/0!</v>
      </c>
      <c r="BA231" s="29" t="str">
        <f t="shared" si="234"/>
        <v>#DIV/0!</v>
      </c>
      <c r="BB231" s="29" t="str">
        <f t="shared" si="234"/>
        <v>#DIV/0!</v>
      </c>
      <c r="BC231" s="29" t="str">
        <f t="shared" si="234"/>
        <v>#DIV/0!</v>
      </c>
      <c r="BD231" s="29" t="str">
        <f t="shared" si="234"/>
        <v>#DIV/0!</v>
      </c>
      <c r="BE231" s="29" t="str">
        <f t="shared" si="234"/>
        <v>#DIV/0!</v>
      </c>
      <c r="BF231" s="29" t="str">
        <f t="shared" si="234"/>
        <v>#DIV/0!</v>
      </c>
      <c r="BG231" s="29" t="str">
        <f t="shared" si="234"/>
        <v>#DIV/0!</v>
      </c>
      <c r="BH231" s="29" t="str">
        <f t="shared" si="234"/>
        <v>#DIV/0!</v>
      </c>
      <c r="BI231" s="29" t="str">
        <f t="shared" si="234"/>
        <v>#DIV/0!</v>
      </c>
      <c r="BJ231" s="29" t="str">
        <f t="shared" si="234"/>
        <v>#DIV/0!</v>
      </c>
      <c r="BK231" s="29" t="str">
        <f t="shared" si="234"/>
        <v>#DIV/0!</v>
      </c>
      <c r="BL231" s="29" t="str">
        <f t="shared" si="234"/>
        <v>#DIV/0!</v>
      </c>
      <c r="BM231" s="29" t="str">
        <f t="shared" si="3"/>
        <v>#DIV/0!</v>
      </c>
    </row>
    <row r="232">
      <c r="A232" s="16" t="str">
        <f>IFERROR(__xludf.DUMMYFUNCTION("IFERROR(SPARKLINE(SORT(MAP(TRANSPOSE(AQ232:BL232), LAMBDA(val, IF(ISNUMBER(val), PERCENTRANK(AQ232:BL232, val)+0.01, 0))), SEQUENCE(COLUMNS(AQ232:BL232)), FALSE), {""charttype"",""column""; ""color"",""chartreuse""; ""ymin"", 0; ""ymax"", 1.01; ""highcolo"&amp;"r"", ""darkgreen""; ""lowcolor"", ""red""}), """")"),"")</f>
        <v/>
      </c>
      <c r="B232" s="17" t="str">
        <f t="shared" si="4"/>
        <v/>
      </c>
      <c r="C232" s="1" t="s">
        <v>1057</v>
      </c>
      <c r="D232" s="30" t="str">
        <f>IFERROR(__xludf.DUMMYFUNCTION("IFERROR(GOOGLEFINANCE(C232, ""NAME""))"),"Kingsoft Cloud Holdings Ltd")</f>
        <v>Kingsoft Cloud Holdings Ltd</v>
      </c>
      <c r="E232" s="30" t="s">
        <v>48</v>
      </c>
      <c r="F232" s="33" t="str">
        <f>IFERROR(__xludf.DUMMYFUNCTION("( (GOOGLEFINANCE(C232, ""price"") - Q232) / Q232 ) / (R232 / 100)"),"Loading...")</f>
        <v>Loading...</v>
      </c>
      <c r="G232" s="20" t="str">
        <f>IFERROR(__xludf.DUMMYFUNCTION("AVERAGE(ARRAYFORMULA(100 * (QUERY(GOOGLEFINANCE(C232, ""high"", TODAY()-40, TODAY()), ""SELECT Col2 WHERE Col2 IS NOT NULL ORDER BY Col1 DESC LIMIT 20"", 0) / QUERY(GOOGLEFINANCE(C232, ""low"", TODAY()-40, TODAY()), ""SELECT Col2 WHERE Col2 IS NOT NULL OR"&amp;"DER BY Col1 DESC LIMIT 20"", 0) - 1)))"),"#N/A")</f>
        <v>#N/A</v>
      </c>
      <c r="H232" s="35" t="str">
        <f t="shared" si="6"/>
        <v/>
      </c>
      <c r="I232" s="36" t="str">
        <f t="shared" si="7"/>
        <v/>
      </c>
      <c r="J232" s="37" t="str">
        <f>IFERROR(__xludf.DUMMYFUNCTION("IFERROR(
  IF(C232="""",, 
    IFERROR(
      GOOGLEFINANCE(C232, ""price"") * GOOGLEFINANCE(C232, ""volumeavg""), 
      GOOGLEFINANCE(C232, ""price"") * AVERAGE(QUERY(GOOGLEFINANCE(C232, ""volume"", TODAY()-40, TODAY()), ""SELECT Col2 WHERE Col2 IS NOT "&amp;"NULL ORDER BY Col1 DESC LIMIT 20"", 0))
    )
  ), 
"""")"),"")</f>
        <v/>
      </c>
      <c r="K232" s="21" t="str">
        <f>IFERROR(__xludf.DUMMYFUNCTION("IFERROR(GOOGLEFINANCE(C232, ""changepct"") / 100, """")"),"")</f>
        <v/>
      </c>
      <c r="L232" s="21" t="str">
        <f>IFERROR(__xludf.DUMMYFUNCTION("IFERROR((GOOGLEFINANCE(C232, ""price"") / INDEX(GOOGLEFINANCE(C232, ""price"", TODAY()-7, TODAY()), 2, 2)) - 1, """")"),"")</f>
        <v/>
      </c>
      <c r="M232" s="21" t="str">
        <f>IFERROR(__xludf.DUMMYFUNCTION("IFERROR((GOOGLEFINANCE(C232, ""price"") / INDEX(GOOGLEFINANCE(C232, ""price"", EDATE(TODAY(), -1), TODAY()), 2, 2)) - 1, """")"),"")</f>
        <v/>
      </c>
      <c r="N232" s="21" t="str">
        <f>IFERROR(__xludf.DUMMYFUNCTION("IFERROR((GOOGLEFINANCE(C232, ""price"") / INDEX(GOOGLEFINANCE(C232, ""price"", EDATE(TODAY(), -3), TODAY()), 2, 2)) - 1, """")"),"")</f>
        <v/>
      </c>
      <c r="O232" s="21" t="str">
        <f>IFERROR(__xludf.DUMMYFUNCTION("IFERROR((GOOGLEFINANCE(C232, ""price"") / INDEX(GOOGLEFINANCE(C232, ""price"", EDATE(TODAY(), -6), TODAY()), 2, 2)) - 1, """")"),"")</f>
        <v/>
      </c>
      <c r="P232" s="21" t="str">
        <f>IFERROR(__xludf.DUMMYFUNCTION("IFERROR((GOOGLEFINANCE(C232, ""price"") / INDEX(GOOGLEFINANCE(C232, ""price"", EDATE(TODAY(), -12), TODAY()), 2, 2)) - 1, """")"),"")</f>
        <v/>
      </c>
      <c r="Q232" s="6" t="str">
        <f>IFERROR(__xludf.DUMMYFUNCTION("AVERAGE(QUERY(GOOGLEFINANCE(C232, ""price"", TODAY()-80, TODAY()), ""SELECT Col2 WHERE Col2 IS NOT NULL ORDER BY Col1 DESC LIMIT 50"", 0))"),"#N/A")</f>
        <v>#N/A</v>
      </c>
      <c r="R232" s="24" t="str">
        <f>IFERROR(__xludf.DUMMYFUNCTION("IFERROR(
  LET(
    data, QUERY(GOOGLEFINANCE(C232,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GOOGLEFINANCE(C232, ""price"")) * 100,
    IF(calc=0, G232, calc)
  ), 
G232)"),"#N/A")</f>
        <v>#N/A</v>
      </c>
      <c r="S232" s="8" t="s">
        <v>15</v>
      </c>
      <c r="T232" s="26" t="str">
        <f>IFERROR(__xludf.DUMMYFUNCTION("IFERROR(TRANSPOSE(QUERY(IFERROR(SORT(GOOGLEFINANCE(C232, ""price"", WORKDAY(TODAY(), -40), TODAY()), 1, FALSE)), ""select Col2 where Col2 is not null limit 22 label Col2 ''"", 0)), """")"),"")</f>
        <v/>
      </c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8"/>
      <c r="AO232" s="28"/>
      <c r="AP232" s="29"/>
      <c r="AQ232" s="29" t="str">
        <f t="shared" ref="AQ232:BL232" si="235">T232/T$2</f>
        <v>#N/A</v>
      </c>
      <c r="AR232" s="29" t="str">
        <f t="shared" si="235"/>
        <v>#DIV/0!</v>
      </c>
      <c r="AS232" s="29" t="str">
        <f t="shared" si="235"/>
        <v>#DIV/0!</v>
      </c>
      <c r="AT232" s="29" t="str">
        <f t="shared" si="235"/>
        <v>#DIV/0!</v>
      </c>
      <c r="AU232" s="29" t="str">
        <f t="shared" si="235"/>
        <v>#DIV/0!</v>
      </c>
      <c r="AV232" s="29" t="str">
        <f t="shared" si="235"/>
        <v>#DIV/0!</v>
      </c>
      <c r="AW232" s="29" t="str">
        <f t="shared" si="235"/>
        <v>#DIV/0!</v>
      </c>
      <c r="AX232" s="29" t="str">
        <f t="shared" si="235"/>
        <v>#DIV/0!</v>
      </c>
      <c r="AY232" s="29" t="str">
        <f t="shared" si="235"/>
        <v>#DIV/0!</v>
      </c>
      <c r="AZ232" s="29" t="str">
        <f t="shared" si="235"/>
        <v>#DIV/0!</v>
      </c>
      <c r="BA232" s="29" t="str">
        <f t="shared" si="235"/>
        <v>#DIV/0!</v>
      </c>
      <c r="BB232" s="29" t="str">
        <f t="shared" si="235"/>
        <v>#DIV/0!</v>
      </c>
      <c r="BC232" s="29" t="str">
        <f t="shared" si="235"/>
        <v>#DIV/0!</v>
      </c>
      <c r="BD232" s="29" t="str">
        <f t="shared" si="235"/>
        <v>#DIV/0!</v>
      </c>
      <c r="BE232" s="29" t="str">
        <f t="shared" si="235"/>
        <v>#DIV/0!</v>
      </c>
      <c r="BF232" s="29" t="str">
        <f t="shared" si="235"/>
        <v>#DIV/0!</v>
      </c>
      <c r="BG232" s="29" t="str">
        <f t="shared" si="235"/>
        <v>#DIV/0!</v>
      </c>
      <c r="BH232" s="29" t="str">
        <f t="shared" si="235"/>
        <v>#DIV/0!</v>
      </c>
      <c r="BI232" s="29" t="str">
        <f t="shared" si="235"/>
        <v>#DIV/0!</v>
      </c>
      <c r="BJ232" s="29" t="str">
        <f t="shared" si="235"/>
        <v>#DIV/0!</v>
      </c>
      <c r="BK232" s="29" t="str">
        <f t="shared" si="235"/>
        <v>#DIV/0!</v>
      </c>
      <c r="BL232" s="29" t="str">
        <f t="shared" si="235"/>
        <v>#DIV/0!</v>
      </c>
      <c r="BM232" s="29" t="str">
        <f t="shared" si="3"/>
        <v>#DIV/0!</v>
      </c>
    </row>
    <row r="233">
      <c r="A233" s="16" t="str">
        <f>IFERROR(__xludf.DUMMYFUNCTION("IFERROR(SPARKLINE(SORT(MAP(TRANSPOSE(AQ233:BL233), LAMBDA(val, IF(ISNUMBER(val), PERCENTRANK(AQ233:BL233, val)+0.01, 0))), SEQUENCE(COLUMNS(AQ233:BL233)), FALSE), {""charttype"",""column""; ""color"",""chartreuse""; ""ymin"", 0; ""ymax"", 1.01; ""highcolo"&amp;"r"", ""darkgreen""; ""lowcolor"", ""red""}), """")"),"")</f>
        <v/>
      </c>
      <c r="B233" s="17" t="str">
        <f t="shared" si="4"/>
        <v/>
      </c>
      <c r="C233" s="1" t="s">
        <v>1060</v>
      </c>
      <c r="D233" s="30" t="str">
        <f>IFERROR(__xludf.DUMMYFUNCTION("IFERROR(GOOGLEFINANCE(C233, ""NAME""))"),"BigBear.ai Holdings Inc")</f>
        <v>BigBear.ai Holdings Inc</v>
      </c>
      <c r="E233" s="30" t="s">
        <v>102</v>
      </c>
      <c r="F233" s="33" t="str">
        <f>IFERROR(__xludf.DUMMYFUNCTION("( (GOOGLEFINANCE(C233, ""price"") - Q233) / Q233 ) / (R233 / 100)"),"Loading...")</f>
        <v>Loading...</v>
      </c>
      <c r="G233" s="20" t="str">
        <f>IFERROR(__xludf.DUMMYFUNCTION("AVERAGE(ARRAYFORMULA(100 * (QUERY(GOOGLEFINANCE(C233, ""high"", TODAY()-40, TODAY()), ""SELECT Col2 WHERE Col2 IS NOT NULL ORDER BY Col1 DESC LIMIT 20"", 0) / QUERY(GOOGLEFINANCE(C233, ""low"", TODAY()-40, TODAY()), ""SELECT Col2 WHERE Col2 IS NOT NULL OR"&amp;"DER BY Col1 DESC LIMIT 20"", 0) - 1)))"),"#N/A")</f>
        <v>#N/A</v>
      </c>
      <c r="H233" s="35" t="str">
        <f t="shared" si="6"/>
        <v/>
      </c>
      <c r="I233" s="36" t="str">
        <f t="shared" si="7"/>
        <v/>
      </c>
      <c r="J233" s="37" t="str">
        <f>IFERROR(__xludf.DUMMYFUNCTION("IFERROR(
  IF(C233="""",, 
    IFERROR(
      GOOGLEFINANCE(C233, ""price"") * GOOGLEFINANCE(C233, ""volumeavg""), 
      GOOGLEFINANCE(C233, ""price"") * AVERAGE(QUERY(GOOGLEFINANCE(C233, ""volume"", TODAY()-40, TODAY()), ""SELECT Col2 WHERE Col2 IS NOT "&amp;"NULL ORDER BY Col1 DESC LIMIT 20"", 0))
    )
  ), 
"""")"),"")</f>
        <v/>
      </c>
      <c r="K233" s="21" t="str">
        <f>IFERROR(__xludf.DUMMYFUNCTION("IFERROR(GOOGLEFINANCE(C233, ""changepct"") / 100, """")"),"")</f>
        <v/>
      </c>
      <c r="L233" s="21" t="str">
        <f>IFERROR(__xludf.DUMMYFUNCTION("IFERROR((GOOGLEFINANCE(C233, ""price"") / INDEX(GOOGLEFINANCE(C233, ""price"", TODAY()-7, TODAY()), 2, 2)) - 1, """")"),"")</f>
        <v/>
      </c>
      <c r="M233" s="21" t="str">
        <f>IFERROR(__xludf.DUMMYFUNCTION("IFERROR((GOOGLEFINANCE(C233, ""price"") / INDEX(GOOGLEFINANCE(C233, ""price"", EDATE(TODAY(), -1), TODAY()), 2, 2)) - 1, """")"),"")</f>
        <v/>
      </c>
      <c r="N233" s="21" t="str">
        <f>IFERROR(__xludf.DUMMYFUNCTION("IFERROR((GOOGLEFINANCE(C233, ""price"") / INDEX(GOOGLEFINANCE(C233, ""price"", EDATE(TODAY(), -3), TODAY()), 2, 2)) - 1, """")"),"")</f>
        <v/>
      </c>
      <c r="O233" s="21" t="str">
        <f>IFERROR(__xludf.DUMMYFUNCTION("IFERROR((GOOGLEFINANCE(C233, ""price"") / INDEX(GOOGLEFINANCE(C233, ""price"", EDATE(TODAY(), -6), TODAY()), 2, 2)) - 1, """")"),"")</f>
        <v/>
      </c>
      <c r="P233" s="21" t="str">
        <f>IFERROR(__xludf.DUMMYFUNCTION("IFERROR((GOOGLEFINANCE(C233, ""price"") / INDEX(GOOGLEFINANCE(C233, ""price"", EDATE(TODAY(), -12), TODAY()), 2, 2)) - 1, """")"),"")</f>
        <v/>
      </c>
      <c r="Q233" s="6" t="str">
        <f>IFERROR(__xludf.DUMMYFUNCTION("AVERAGE(QUERY(GOOGLEFINANCE(C233, ""price"", TODAY()-80, TODAY()), ""SELECT Col2 WHERE Col2 IS NOT NULL ORDER BY Col1 DESC LIMIT 50"", 0))"),"#N/A")</f>
        <v>#N/A</v>
      </c>
      <c r="R233" s="24" t="str">
        <f>IFERROR(__xludf.DUMMYFUNCTION("IFERROR(
  LET(
    data, QUERY(GOOGLEFINANCE(C233,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GOOGLEFINANCE(C233, ""price"")) * 100,
    IF(calc=0, G233, calc)
  ), 
G233)"),"#N/A")</f>
        <v>#N/A</v>
      </c>
      <c r="S233" s="8" t="s">
        <v>15</v>
      </c>
      <c r="T233" s="26" t="str">
        <f>IFERROR(__xludf.DUMMYFUNCTION("IFERROR(TRANSPOSE(QUERY(IFERROR(SORT(GOOGLEFINANCE(C233, ""price"", WORKDAY(TODAY(), -40), TODAY()), 1, FALSE)), ""select Col2 where Col2 is not null limit 22 label Col2 ''"", 0)), """")"),"")</f>
        <v/>
      </c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8"/>
      <c r="AO233" s="28"/>
      <c r="AP233" s="29"/>
      <c r="AQ233" s="29" t="str">
        <f t="shared" ref="AQ233:BL233" si="236">T233/T$2</f>
        <v>#N/A</v>
      </c>
      <c r="AR233" s="29" t="str">
        <f t="shared" si="236"/>
        <v>#DIV/0!</v>
      </c>
      <c r="AS233" s="29" t="str">
        <f t="shared" si="236"/>
        <v>#DIV/0!</v>
      </c>
      <c r="AT233" s="29" t="str">
        <f t="shared" si="236"/>
        <v>#DIV/0!</v>
      </c>
      <c r="AU233" s="29" t="str">
        <f t="shared" si="236"/>
        <v>#DIV/0!</v>
      </c>
      <c r="AV233" s="29" t="str">
        <f t="shared" si="236"/>
        <v>#DIV/0!</v>
      </c>
      <c r="AW233" s="29" t="str">
        <f t="shared" si="236"/>
        <v>#DIV/0!</v>
      </c>
      <c r="AX233" s="29" t="str">
        <f t="shared" si="236"/>
        <v>#DIV/0!</v>
      </c>
      <c r="AY233" s="29" t="str">
        <f t="shared" si="236"/>
        <v>#DIV/0!</v>
      </c>
      <c r="AZ233" s="29" t="str">
        <f t="shared" si="236"/>
        <v>#DIV/0!</v>
      </c>
      <c r="BA233" s="29" t="str">
        <f t="shared" si="236"/>
        <v>#DIV/0!</v>
      </c>
      <c r="BB233" s="29" t="str">
        <f t="shared" si="236"/>
        <v>#DIV/0!</v>
      </c>
      <c r="BC233" s="29" t="str">
        <f t="shared" si="236"/>
        <v>#DIV/0!</v>
      </c>
      <c r="BD233" s="29" t="str">
        <f t="shared" si="236"/>
        <v>#DIV/0!</v>
      </c>
      <c r="BE233" s="29" t="str">
        <f t="shared" si="236"/>
        <v>#DIV/0!</v>
      </c>
      <c r="BF233" s="29" t="str">
        <f t="shared" si="236"/>
        <v>#DIV/0!</v>
      </c>
      <c r="BG233" s="29" t="str">
        <f t="shared" si="236"/>
        <v>#DIV/0!</v>
      </c>
      <c r="BH233" s="29" t="str">
        <f t="shared" si="236"/>
        <v>#DIV/0!</v>
      </c>
      <c r="BI233" s="29" t="str">
        <f t="shared" si="236"/>
        <v>#DIV/0!</v>
      </c>
      <c r="BJ233" s="29" t="str">
        <f t="shared" si="236"/>
        <v>#DIV/0!</v>
      </c>
      <c r="BK233" s="29" t="str">
        <f t="shared" si="236"/>
        <v>#DIV/0!</v>
      </c>
      <c r="BL233" s="29" t="str">
        <f t="shared" si="236"/>
        <v>#DIV/0!</v>
      </c>
      <c r="BM233" s="29" t="str">
        <f t="shared" si="3"/>
        <v>#DIV/0!</v>
      </c>
    </row>
    <row r="234">
      <c r="A234" s="16" t="str">
        <f>IFERROR(__xludf.DUMMYFUNCTION("IFERROR(SPARKLINE(SORT(MAP(TRANSPOSE(AQ234:BL234), LAMBDA(val, IF(ISNUMBER(val), PERCENTRANK(AQ234:BL234, val)+0.01, 0))), SEQUENCE(COLUMNS(AQ234:BL234)), FALSE), {""charttype"",""column""; ""color"",""chartreuse""; ""ymin"", 0; ""ymax"", 1.01; ""highcolo"&amp;"r"", ""darkgreen""; ""lowcolor"", ""red""}), """")"),"")</f>
        <v/>
      </c>
      <c r="B234" s="17" t="str">
        <f t="shared" si="4"/>
        <v/>
      </c>
      <c r="C234" s="1" t="s">
        <v>1065</v>
      </c>
      <c r="D234" s="30" t="str">
        <f>IFERROR(__xludf.DUMMYFUNCTION("IFERROR(GOOGLEFINANCE(C234, ""NAME""))"),"Garmin Ltd")</f>
        <v>Garmin Ltd</v>
      </c>
      <c r="E234" s="30" t="s">
        <v>595</v>
      </c>
      <c r="F234" s="33" t="str">
        <f>IFERROR(__xludf.DUMMYFUNCTION("( (GOOGLEFINANCE(C234, ""price"") - Q234) / Q234 ) / (R234 / 100)"),"Loading...")</f>
        <v>Loading...</v>
      </c>
      <c r="G234" s="20" t="str">
        <f>IFERROR(__xludf.DUMMYFUNCTION("AVERAGE(ARRAYFORMULA(100 * (QUERY(GOOGLEFINANCE(C234, ""high"", TODAY()-40, TODAY()), ""SELECT Col2 WHERE Col2 IS NOT NULL ORDER BY Col1 DESC LIMIT 20"", 0) / QUERY(GOOGLEFINANCE(C234, ""low"", TODAY()-40, TODAY()), ""SELECT Col2 WHERE Col2 IS NOT NULL OR"&amp;"DER BY Col1 DESC LIMIT 20"", 0) - 1)))"),"#N/A")</f>
        <v>#N/A</v>
      </c>
      <c r="H234" s="35" t="str">
        <f t="shared" si="6"/>
        <v/>
      </c>
      <c r="I234" s="36" t="str">
        <f t="shared" si="7"/>
        <v/>
      </c>
      <c r="J234" s="37" t="str">
        <f>IFERROR(__xludf.DUMMYFUNCTION("IFERROR(
  IF(C234="""",, 
    IFERROR(
      GOOGLEFINANCE(C234, ""price"") * GOOGLEFINANCE(C234, ""volumeavg""), 
      GOOGLEFINANCE(C234, ""price"") * AVERAGE(QUERY(GOOGLEFINANCE(C234, ""volume"", TODAY()-40, TODAY()), ""SELECT Col2 WHERE Col2 IS NOT "&amp;"NULL ORDER BY Col1 DESC LIMIT 20"", 0))
    )
  ), 
"""")"),"")</f>
        <v/>
      </c>
      <c r="K234" s="21" t="str">
        <f>IFERROR(__xludf.DUMMYFUNCTION("IFERROR(GOOGLEFINANCE(C234, ""changepct"") / 100, """")"),"")</f>
        <v/>
      </c>
      <c r="L234" s="21" t="str">
        <f>IFERROR(__xludf.DUMMYFUNCTION("IFERROR((GOOGLEFINANCE(C234, ""price"") / INDEX(GOOGLEFINANCE(C234, ""price"", TODAY()-7, TODAY()), 2, 2)) - 1, """")"),"")</f>
        <v/>
      </c>
      <c r="M234" s="21" t="str">
        <f>IFERROR(__xludf.DUMMYFUNCTION("IFERROR((GOOGLEFINANCE(C234, ""price"") / INDEX(GOOGLEFINANCE(C234, ""price"", EDATE(TODAY(), -1), TODAY()), 2, 2)) - 1, """")"),"")</f>
        <v/>
      </c>
      <c r="N234" s="21" t="str">
        <f>IFERROR(__xludf.DUMMYFUNCTION("IFERROR((GOOGLEFINANCE(C234, ""price"") / INDEX(GOOGLEFINANCE(C234, ""price"", EDATE(TODAY(), -3), TODAY()), 2, 2)) - 1, """")"),"")</f>
        <v/>
      </c>
      <c r="O234" s="21" t="str">
        <f>IFERROR(__xludf.DUMMYFUNCTION("IFERROR((GOOGLEFINANCE(C234, ""price"") / INDEX(GOOGLEFINANCE(C234, ""price"", EDATE(TODAY(), -6), TODAY()), 2, 2)) - 1, """")"),"")</f>
        <v/>
      </c>
      <c r="P234" s="21" t="str">
        <f>IFERROR(__xludf.DUMMYFUNCTION("IFERROR((GOOGLEFINANCE(C234, ""price"") / INDEX(GOOGLEFINANCE(C234, ""price"", EDATE(TODAY(), -12), TODAY()), 2, 2)) - 1, """")"),"")</f>
        <v/>
      </c>
      <c r="Q234" s="6" t="str">
        <f>IFERROR(__xludf.DUMMYFUNCTION("AVERAGE(QUERY(GOOGLEFINANCE(C234, ""price"", TODAY()-80, TODAY()), ""SELECT Col2 WHERE Col2 IS NOT NULL ORDER BY Col1 DESC LIMIT 50"", 0))"),"#N/A")</f>
        <v>#N/A</v>
      </c>
      <c r="R234" s="24" t="str">
        <f>IFERROR(__xludf.DUMMYFUNCTION("IFERROR(
  LET(
    data, QUERY(GOOGLEFINANCE(C234,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GOOGLEFINANCE(C234, ""price"")) * 100,
    IF(calc=0, G234, calc)
  ), 
G234)"),"#N/A")</f>
        <v>#N/A</v>
      </c>
      <c r="S234" s="8" t="s">
        <v>15</v>
      </c>
      <c r="T234" s="26" t="str">
        <f>IFERROR(__xludf.DUMMYFUNCTION("IFERROR(TRANSPOSE(QUERY(IFERROR(SORT(GOOGLEFINANCE(C234, ""price"", WORKDAY(TODAY(), -40), TODAY()), 1, FALSE)), ""select Col2 where Col2 is not null limit 22 label Col2 ''"", 0)), """")"),"")</f>
        <v/>
      </c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8"/>
      <c r="AO234" s="28"/>
      <c r="AP234" s="29"/>
      <c r="AQ234" s="29" t="str">
        <f t="shared" ref="AQ234:BL234" si="237">T234/T$2</f>
        <v>#N/A</v>
      </c>
      <c r="AR234" s="29" t="str">
        <f t="shared" si="237"/>
        <v>#DIV/0!</v>
      </c>
      <c r="AS234" s="29" t="str">
        <f t="shared" si="237"/>
        <v>#DIV/0!</v>
      </c>
      <c r="AT234" s="29" t="str">
        <f t="shared" si="237"/>
        <v>#DIV/0!</v>
      </c>
      <c r="AU234" s="29" t="str">
        <f t="shared" si="237"/>
        <v>#DIV/0!</v>
      </c>
      <c r="AV234" s="29" t="str">
        <f t="shared" si="237"/>
        <v>#DIV/0!</v>
      </c>
      <c r="AW234" s="29" t="str">
        <f t="shared" si="237"/>
        <v>#DIV/0!</v>
      </c>
      <c r="AX234" s="29" t="str">
        <f t="shared" si="237"/>
        <v>#DIV/0!</v>
      </c>
      <c r="AY234" s="29" t="str">
        <f t="shared" si="237"/>
        <v>#DIV/0!</v>
      </c>
      <c r="AZ234" s="29" t="str">
        <f t="shared" si="237"/>
        <v>#DIV/0!</v>
      </c>
      <c r="BA234" s="29" t="str">
        <f t="shared" si="237"/>
        <v>#DIV/0!</v>
      </c>
      <c r="BB234" s="29" t="str">
        <f t="shared" si="237"/>
        <v>#DIV/0!</v>
      </c>
      <c r="BC234" s="29" t="str">
        <f t="shared" si="237"/>
        <v>#DIV/0!</v>
      </c>
      <c r="BD234" s="29" t="str">
        <f t="shared" si="237"/>
        <v>#DIV/0!</v>
      </c>
      <c r="BE234" s="29" t="str">
        <f t="shared" si="237"/>
        <v>#DIV/0!</v>
      </c>
      <c r="BF234" s="29" t="str">
        <f t="shared" si="237"/>
        <v>#DIV/0!</v>
      </c>
      <c r="BG234" s="29" t="str">
        <f t="shared" si="237"/>
        <v>#DIV/0!</v>
      </c>
      <c r="BH234" s="29" t="str">
        <f t="shared" si="237"/>
        <v>#DIV/0!</v>
      </c>
      <c r="BI234" s="29" t="str">
        <f t="shared" si="237"/>
        <v>#DIV/0!</v>
      </c>
      <c r="BJ234" s="29" t="str">
        <f t="shared" si="237"/>
        <v>#DIV/0!</v>
      </c>
      <c r="BK234" s="29" t="str">
        <f t="shared" si="237"/>
        <v>#DIV/0!</v>
      </c>
      <c r="BL234" s="29" t="str">
        <f t="shared" si="237"/>
        <v>#DIV/0!</v>
      </c>
      <c r="BM234" s="29" t="str">
        <f t="shared" si="3"/>
        <v>#DIV/0!</v>
      </c>
    </row>
    <row r="235">
      <c r="A235" s="16" t="str">
        <f>IFERROR(__xludf.DUMMYFUNCTION("IFERROR(SPARKLINE(SORT(MAP(TRANSPOSE(AQ235:BL235), LAMBDA(val, IF(ISNUMBER(val), PERCENTRANK(AQ235:BL235, val)+0.01, 0))), SEQUENCE(COLUMNS(AQ235:BL235)), FALSE), {""charttype"",""column""; ""color"",""chartreuse""; ""ymin"", 0; ""ymax"", 1.01; ""highcolo"&amp;"r"", ""darkgreen""; ""lowcolor"", ""red""}), """")"),"")</f>
        <v/>
      </c>
      <c r="B235" s="17" t="str">
        <f t="shared" si="4"/>
        <v/>
      </c>
      <c r="C235" s="1" t="s">
        <v>1069</v>
      </c>
      <c r="D235" s="30" t="str">
        <f>IFERROR(__xludf.DUMMYFUNCTION("IFERROR(GOOGLEFINANCE(C235, ""NAME""))"),"Clearfield Inc")</f>
        <v>Clearfield Inc</v>
      </c>
      <c r="E235" s="30" t="s">
        <v>716</v>
      </c>
      <c r="F235" s="33" t="str">
        <f>IFERROR(__xludf.DUMMYFUNCTION("( (GOOGLEFINANCE(C235, ""price"") - Q235) / Q235 ) / (R235 / 100)"),"Loading...")</f>
        <v>Loading...</v>
      </c>
      <c r="G235" s="20" t="str">
        <f>IFERROR(__xludf.DUMMYFUNCTION("AVERAGE(ARRAYFORMULA(100 * (QUERY(GOOGLEFINANCE(C235, ""high"", TODAY()-40, TODAY()), ""SELECT Col2 WHERE Col2 IS NOT NULL ORDER BY Col1 DESC LIMIT 20"", 0) / QUERY(GOOGLEFINANCE(C235, ""low"", TODAY()-40, TODAY()), ""SELECT Col2 WHERE Col2 IS NOT NULL OR"&amp;"DER BY Col1 DESC LIMIT 20"", 0) - 1)))"),"#N/A")</f>
        <v>#N/A</v>
      </c>
      <c r="H235" s="35" t="str">
        <f t="shared" si="6"/>
        <v/>
      </c>
      <c r="I235" s="36" t="str">
        <f t="shared" si="7"/>
        <v/>
      </c>
      <c r="J235" s="37" t="str">
        <f>IFERROR(__xludf.DUMMYFUNCTION("IFERROR(
  IF(C235="""",, 
    IFERROR(
      GOOGLEFINANCE(C235, ""price"") * GOOGLEFINANCE(C235, ""volumeavg""), 
      GOOGLEFINANCE(C235, ""price"") * AVERAGE(QUERY(GOOGLEFINANCE(C235, ""volume"", TODAY()-40, TODAY()), ""SELECT Col2 WHERE Col2 IS NOT "&amp;"NULL ORDER BY Col1 DESC LIMIT 20"", 0))
    )
  ), 
"""")"),"")</f>
        <v/>
      </c>
      <c r="K235" s="21" t="str">
        <f>IFERROR(__xludf.DUMMYFUNCTION("IFERROR(GOOGLEFINANCE(C235, ""changepct"") / 100, """")"),"")</f>
        <v/>
      </c>
      <c r="L235" s="21" t="str">
        <f>IFERROR(__xludf.DUMMYFUNCTION("IFERROR((GOOGLEFINANCE(C235, ""price"") / INDEX(GOOGLEFINANCE(C235, ""price"", TODAY()-7, TODAY()), 2, 2)) - 1, """")"),"")</f>
        <v/>
      </c>
      <c r="M235" s="21" t="str">
        <f>IFERROR(__xludf.DUMMYFUNCTION("IFERROR((GOOGLEFINANCE(C235, ""price"") / INDEX(GOOGLEFINANCE(C235, ""price"", EDATE(TODAY(), -1), TODAY()), 2, 2)) - 1, """")"),"")</f>
        <v/>
      </c>
      <c r="N235" s="21" t="str">
        <f>IFERROR(__xludf.DUMMYFUNCTION("IFERROR((GOOGLEFINANCE(C235, ""price"") / INDEX(GOOGLEFINANCE(C235, ""price"", EDATE(TODAY(), -3), TODAY()), 2, 2)) - 1, """")"),"")</f>
        <v/>
      </c>
      <c r="O235" s="21" t="str">
        <f>IFERROR(__xludf.DUMMYFUNCTION("IFERROR((GOOGLEFINANCE(C235, ""price"") / INDEX(GOOGLEFINANCE(C235, ""price"", EDATE(TODAY(), -6), TODAY()), 2, 2)) - 1, """")"),"")</f>
        <v/>
      </c>
      <c r="P235" s="21" t="str">
        <f>IFERROR(__xludf.DUMMYFUNCTION("IFERROR((GOOGLEFINANCE(C235, ""price"") / INDEX(GOOGLEFINANCE(C235, ""price"", EDATE(TODAY(), -12), TODAY()), 2, 2)) - 1, """")"),"")</f>
        <v/>
      </c>
      <c r="Q235" s="6" t="str">
        <f>IFERROR(__xludf.DUMMYFUNCTION("AVERAGE(QUERY(GOOGLEFINANCE(C235, ""price"", TODAY()-80, TODAY()), ""SELECT Col2 WHERE Col2 IS NOT NULL ORDER BY Col1 DESC LIMIT 50"", 0))"),"#N/A")</f>
        <v>#N/A</v>
      </c>
      <c r="R235" s="24" t="str">
        <f>IFERROR(__xludf.DUMMYFUNCTION("IFERROR(
  LET(
    data, QUERY(GOOGLEFINANCE(C235,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GOOGLEFINANCE(C235, ""price"")) * 100,
    IF(calc=0, G235, calc)
  ), 
G235)"),"#N/A")</f>
        <v>#N/A</v>
      </c>
      <c r="S235" s="8" t="s">
        <v>15</v>
      </c>
      <c r="T235" s="26" t="str">
        <f>IFERROR(__xludf.DUMMYFUNCTION("IFERROR(TRANSPOSE(QUERY(IFERROR(SORT(GOOGLEFINANCE(C235, ""price"", WORKDAY(TODAY(), -40), TODAY()), 1, FALSE)), ""select Col2 where Col2 is not null limit 22 label Col2 ''"", 0)), """")"),"")</f>
        <v/>
      </c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8"/>
      <c r="AO235" s="28"/>
      <c r="AP235" s="29"/>
      <c r="AQ235" s="29" t="str">
        <f t="shared" ref="AQ235:BL235" si="238">T235/T$2</f>
        <v>#N/A</v>
      </c>
      <c r="AR235" s="29" t="str">
        <f t="shared" si="238"/>
        <v>#DIV/0!</v>
      </c>
      <c r="AS235" s="29" t="str">
        <f t="shared" si="238"/>
        <v>#DIV/0!</v>
      </c>
      <c r="AT235" s="29" t="str">
        <f t="shared" si="238"/>
        <v>#DIV/0!</v>
      </c>
      <c r="AU235" s="29" t="str">
        <f t="shared" si="238"/>
        <v>#DIV/0!</v>
      </c>
      <c r="AV235" s="29" t="str">
        <f t="shared" si="238"/>
        <v>#DIV/0!</v>
      </c>
      <c r="AW235" s="29" t="str">
        <f t="shared" si="238"/>
        <v>#DIV/0!</v>
      </c>
      <c r="AX235" s="29" t="str">
        <f t="shared" si="238"/>
        <v>#DIV/0!</v>
      </c>
      <c r="AY235" s="29" t="str">
        <f t="shared" si="238"/>
        <v>#DIV/0!</v>
      </c>
      <c r="AZ235" s="29" t="str">
        <f t="shared" si="238"/>
        <v>#DIV/0!</v>
      </c>
      <c r="BA235" s="29" t="str">
        <f t="shared" si="238"/>
        <v>#DIV/0!</v>
      </c>
      <c r="BB235" s="29" t="str">
        <f t="shared" si="238"/>
        <v>#DIV/0!</v>
      </c>
      <c r="BC235" s="29" t="str">
        <f t="shared" si="238"/>
        <v>#DIV/0!</v>
      </c>
      <c r="BD235" s="29" t="str">
        <f t="shared" si="238"/>
        <v>#DIV/0!</v>
      </c>
      <c r="BE235" s="29" t="str">
        <f t="shared" si="238"/>
        <v>#DIV/0!</v>
      </c>
      <c r="BF235" s="29" t="str">
        <f t="shared" si="238"/>
        <v>#DIV/0!</v>
      </c>
      <c r="BG235" s="29" t="str">
        <f t="shared" si="238"/>
        <v>#DIV/0!</v>
      </c>
      <c r="BH235" s="29" t="str">
        <f t="shared" si="238"/>
        <v>#DIV/0!</v>
      </c>
      <c r="BI235" s="29" t="str">
        <f t="shared" si="238"/>
        <v>#DIV/0!</v>
      </c>
      <c r="BJ235" s="29" t="str">
        <f t="shared" si="238"/>
        <v>#DIV/0!</v>
      </c>
      <c r="BK235" s="29" t="str">
        <f t="shared" si="238"/>
        <v>#DIV/0!</v>
      </c>
      <c r="BL235" s="29" t="str">
        <f t="shared" si="238"/>
        <v>#DIV/0!</v>
      </c>
      <c r="BM235" s="29" t="str">
        <f t="shared" si="3"/>
        <v>#DIV/0!</v>
      </c>
    </row>
    <row r="236">
      <c r="A236" s="16" t="str">
        <f>IFERROR(__xludf.DUMMYFUNCTION("IFERROR(SPARKLINE(SORT(MAP(TRANSPOSE(AQ236:BL236), LAMBDA(val, IF(ISNUMBER(val), PERCENTRANK(AQ236:BL236, val)+0.01, 0))), SEQUENCE(COLUMNS(AQ236:BL236)), FALSE), {""charttype"",""column""; ""color"",""chartreuse""; ""ymin"", 0; ""ymax"", 1.01; ""highcolo"&amp;"r"", ""darkgreen""; ""lowcolor"", ""red""}), """")"),"")</f>
        <v/>
      </c>
      <c r="B236" s="17" t="str">
        <f t="shared" si="4"/>
        <v/>
      </c>
      <c r="C236" s="1" t="s">
        <v>1073</v>
      </c>
      <c r="D236" s="30" t="str">
        <f>IFERROR(__xludf.DUMMYFUNCTION("IFERROR(GOOGLEFINANCE(C236, ""NAME""))"),"Cerence Inc")</f>
        <v>Cerence Inc</v>
      </c>
      <c r="E236" s="30" t="s">
        <v>48</v>
      </c>
      <c r="F236" s="33" t="str">
        <f>IFERROR(__xludf.DUMMYFUNCTION("( (GOOGLEFINANCE(C236, ""price"") - Q236) / Q236 ) / (R236 / 100)"),"Loading...")</f>
        <v>Loading...</v>
      </c>
      <c r="G236" s="20" t="str">
        <f>IFERROR(__xludf.DUMMYFUNCTION("AVERAGE(ARRAYFORMULA(100 * (QUERY(GOOGLEFINANCE(C236, ""high"", TODAY()-40, TODAY()), ""SELECT Col2 WHERE Col2 IS NOT NULL ORDER BY Col1 DESC LIMIT 20"", 0) / QUERY(GOOGLEFINANCE(C236, ""low"", TODAY()-40, TODAY()), ""SELECT Col2 WHERE Col2 IS NOT NULL OR"&amp;"DER BY Col1 DESC LIMIT 20"", 0) - 1)))"),"#N/A")</f>
        <v>#N/A</v>
      </c>
      <c r="H236" s="35" t="str">
        <f t="shared" si="6"/>
        <v/>
      </c>
      <c r="I236" s="36" t="str">
        <f t="shared" si="7"/>
        <v/>
      </c>
      <c r="J236" s="37" t="str">
        <f>IFERROR(__xludf.DUMMYFUNCTION("IFERROR(
  IF(C236="""",, 
    IFERROR(
      GOOGLEFINANCE(C236, ""price"") * GOOGLEFINANCE(C236, ""volumeavg""), 
      GOOGLEFINANCE(C236, ""price"") * AVERAGE(QUERY(GOOGLEFINANCE(C236, ""volume"", TODAY()-40, TODAY()), ""SELECT Col2 WHERE Col2 IS NOT "&amp;"NULL ORDER BY Col1 DESC LIMIT 20"", 0))
    )
  ), 
"""")"),"")</f>
        <v/>
      </c>
      <c r="K236" s="21" t="str">
        <f>IFERROR(__xludf.DUMMYFUNCTION("IFERROR(GOOGLEFINANCE(C236, ""changepct"") / 100, """")"),"")</f>
        <v/>
      </c>
      <c r="L236" s="21" t="str">
        <f>IFERROR(__xludf.DUMMYFUNCTION("IFERROR((GOOGLEFINANCE(C236, ""price"") / INDEX(GOOGLEFINANCE(C236, ""price"", TODAY()-7, TODAY()), 2, 2)) - 1, """")"),"")</f>
        <v/>
      </c>
      <c r="M236" s="21" t="str">
        <f>IFERROR(__xludf.DUMMYFUNCTION("IFERROR((GOOGLEFINANCE(C236, ""price"") / INDEX(GOOGLEFINANCE(C236, ""price"", EDATE(TODAY(), -1), TODAY()), 2, 2)) - 1, """")"),"")</f>
        <v/>
      </c>
      <c r="N236" s="21" t="str">
        <f>IFERROR(__xludf.DUMMYFUNCTION("IFERROR((GOOGLEFINANCE(C236, ""price"") / INDEX(GOOGLEFINANCE(C236, ""price"", EDATE(TODAY(), -3), TODAY()), 2, 2)) - 1, """")"),"")</f>
        <v/>
      </c>
      <c r="O236" s="21" t="str">
        <f>IFERROR(__xludf.DUMMYFUNCTION("IFERROR((GOOGLEFINANCE(C236, ""price"") / INDEX(GOOGLEFINANCE(C236, ""price"", EDATE(TODAY(), -6), TODAY()), 2, 2)) - 1, """")"),"")</f>
        <v/>
      </c>
      <c r="P236" s="21" t="str">
        <f>IFERROR(__xludf.DUMMYFUNCTION("IFERROR((GOOGLEFINANCE(C236, ""price"") / INDEX(GOOGLEFINANCE(C236, ""price"", EDATE(TODAY(), -12), TODAY()), 2, 2)) - 1, """")"),"")</f>
        <v/>
      </c>
      <c r="Q236" s="6" t="str">
        <f>IFERROR(__xludf.DUMMYFUNCTION("AVERAGE(QUERY(GOOGLEFINANCE(C236, ""price"", TODAY()-80, TODAY()), ""SELECT Col2 WHERE Col2 IS NOT NULL ORDER BY Col1 DESC LIMIT 50"", 0))"),"#N/A")</f>
        <v>#N/A</v>
      </c>
      <c r="R236" s="24" t="str">
        <f>IFERROR(__xludf.DUMMYFUNCTION("IFERROR(
  LET(
    data, QUERY(GOOGLEFINANCE(C236,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GOOGLEFINANCE(C236, ""price"")) * 100,
    IF(calc=0, G236, calc)
  ), 
G236)"),"#N/A")</f>
        <v>#N/A</v>
      </c>
      <c r="S236" s="8" t="s">
        <v>15</v>
      </c>
      <c r="T236" s="26" t="str">
        <f>IFERROR(__xludf.DUMMYFUNCTION("IFERROR(TRANSPOSE(QUERY(IFERROR(SORT(GOOGLEFINANCE(C236, ""price"", WORKDAY(TODAY(), -40), TODAY()), 1, FALSE)), ""select Col2 where Col2 is not null limit 22 label Col2 ''"", 0)), """")"),"")</f>
        <v/>
      </c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8"/>
      <c r="AO236" s="28"/>
      <c r="AP236" s="29"/>
      <c r="AQ236" s="29" t="str">
        <f t="shared" ref="AQ236:BL236" si="239">T236/T$2</f>
        <v>#N/A</v>
      </c>
      <c r="AR236" s="29" t="str">
        <f t="shared" si="239"/>
        <v>#DIV/0!</v>
      </c>
      <c r="AS236" s="29" t="str">
        <f t="shared" si="239"/>
        <v>#DIV/0!</v>
      </c>
      <c r="AT236" s="29" t="str">
        <f t="shared" si="239"/>
        <v>#DIV/0!</v>
      </c>
      <c r="AU236" s="29" t="str">
        <f t="shared" si="239"/>
        <v>#DIV/0!</v>
      </c>
      <c r="AV236" s="29" t="str">
        <f t="shared" si="239"/>
        <v>#DIV/0!</v>
      </c>
      <c r="AW236" s="29" t="str">
        <f t="shared" si="239"/>
        <v>#DIV/0!</v>
      </c>
      <c r="AX236" s="29" t="str">
        <f t="shared" si="239"/>
        <v>#DIV/0!</v>
      </c>
      <c r="AY236" s="29" t="str">
        <f t="shared" si="239"/>
        <v>#DIV/0!</v>
      </c>
      <c r="AZ236" s="29" t="str">
        <f t="shared" si="239"/>
        <v>#DIV/0!</v>
      </c>
      <c r="BA236" s="29" t="str">
        <f t="shared" si="239"/>
        <v>#DIV/0!</v>
      </c>
      <c r="BB236" s="29" t="str">
        <f t="shared" si="239"/>
        <v>#DIV/0!</v>
      </c>
      <c r="BC236" s="29" t="str">
        <f t="shared" si="239"/>
        <v>#DIV/0!</v>
      </c>
      <c r="BD236" s="29" t="str">
        <f t="shared" si="239"/>
        <v>#DIV/0!</v>
      </c>
      <c r="BE236" s="29" t="str">
        <f t="shared" si="239"/>
        <v>#DIV/0!</v>
      </c>
      <c r="BF236" s="29" t="str">
        <f t="shared" si="239"/>
        <v>#DIV/0!</v>
      </c>
      <c r="BG236" s="29" t="str">
        <f t="shared" si="239"/>
        <v>#DIV/0!</v>
      </c>
      <c r="BH236" s="29" t="str">
        <f t="shared" si="239"/>
        <v>#DIV/0!</v>
      </c>
      <c r="BI236" s="29" t="str">
        <f t="shared" si="239"/>
        <v>#DIV/0!</v>
      </c>
      <c r="BJ236" s="29" t="str">
        <f t="shared" si="239"/>
        <v>#DIV/0!</v>
      </c>
      <c r="BK236" s="29" t="str">
        <f t="shared" si="239"/>
        <v>#DIV/0!</v>
      </c>
      <c r="BL236" s="29" t="str">
        <f t="shared" si="239"/>
        <v>#DIV/0!</v>
      </c>
      <c r="BM236" s="29" t="str">
        <f t="shared" si="3"/>
        <v>#DIV/0!</v>
      </c>
    </row>
    <row r="237">
      <c r="A237" s="16" t="str">
        <f>IFERROR(__xludf.DUMMYFUNCTION("IFERROR(SPARKLINE(SORT(MAP(TRANSPOSE(AQ237:BL237), LAMBDA(val, IF(ISNUMBER(val), PERCENTRANK(AQ237:BL237, val)+0.01, 0))), SEQUENCE(COLUMNS(AQ237:BL237)), FALSE), {""charttype"",""column""; ""color"",""chartreuse""; ""ymin"", 0; ""ymax"", 1.01; ""highcolo"&amp;"r"", ""darkgreen""; ""lowcolor"", ""red""}), """")"),"")</f>
        <v/>
      </c>
      <c r="B237" s="17" t="str">
        <f t="shared" si="4"/>
        <v/>
      </c>
      <c r="C237" s="1" t="s">
        <v>1077</v>
      </c>
      <c r="D237" s="30" t="str">
        <f>IFERROR(__xludf.DUMMYFUNCTION("IFERROR(GOOGLEFINANCE(C237, ""NAME""))"),"Strategy Variable Rate Perpetual Stretch Prf Shs Series A")</f>
        <v>Strategy Variable Rate Perpetual Stretch Prf Shs Series A</v>
      </c>
      <c r="E237" s="30" t="s">
        <v>48</v>
      </c>
      <c r="F237" s="33" t="str">
        <f>IFERROR(__xludf.DUMMYFUNCTION("( (GOOGLEFINANCE(C237, ""price"") - Q237) / Q237 ) / (R237 / 100)"),"Loading...")</f>
        <v>Loading...</v>
      </c>
      <c r="G237" s="20" t="str">
        <f>IFERROR(__xludf.DUMMYFUNCTION("AVERAGE(ARRAYFORMULA(100 * (QUERY(GOOGLEFINANCE(C237, ""high"", TODAY()-40, TODAY()), ""SELECT Col2 WHERE Col2 IS NOT NULL ORDER BY Col1 DESC LIMIT 20"", 0) / QUERY(GOOGLEFINANCE(C237, ""low"", TODAY()-40, TODAY()), ""SELECT Col2 WHERE Col2 IS NOT NULL OR"&amp;"DER BY Col1 DESC LIMIT 20"", 0) - 1)))"),"#N/A")</f>
        <v>#N/A</v>
      </c>
      <c r="H237" s="35" t="str">
        <f t="shared" si="6"/>
        <v/>
      </c>
      <c r="I237" s="36" t="str">
        <f t="shared" si="7"/>
        <v/>
      </c>
      <c r="J237" s="37" t="str">
        <f>IFERROR(__xludf.DUMMYFUNCTION("IFERROR(
  IF(C237="""",, 
    IFERROR(
      GOOGLEFINANCE(C237, ""price"") * GOOGLEFINANCE(C237, ""volumeavg""), 
      GOOGLEFINANCE(C237, ""price"") * AVERAGE(QUERY(GOOGLEFINANCE(C237, ""volume"", TODAY()-40, TODAY()), ""SELECT Col2 WHERE Col2 IS NOT "&amp;"NULL ORDER BY Col1 DESC LIMIT 20"", 0))
    )
  ), 
"""")"),"")</f>
        <v/>
      </c>
      <c r="K237" s="21" t="str">
        <f>IFERROR(__xludf.DUMMYFUNCTION("IFERROR(GOOGLEFINANCE(C237, ""changepct"") / 100, """")"),"")</f>
        <v/>
      </c>
      <c r="L237" s="21" t="str">
        <f>IFERROR(__xludf.DUMMYFUNCTION("IFERROR((GOOGLEFINANCE(C237, ""price"") / INDEX(GOOGLEFINANCE(C237, ""price"", TODAY()-7, TODAY()), 2, 2)) - 1, """")"),"")</f>
        <v/>
      </c>
      <c r="M237" s="21" t="str">
        <f>IFERROR(__xludf.DUMMYFUNCTION("IFERROR((GOOGLEFINANCE(C237, ""price"") / INDEX(GOOGLEFINANCE(C237, ""price"", EDATE(TODAY(), -1), TODAY()), 2, 2)) - 1, """")"),"")</f>
        <v/>
      </c>
      <c r="N237" s="21" t="str">
        <f>IFERROR(__xludf.DUMMYFUNCTION("IFERROR((GOOGLEFINANCE(C237, ""price"") / INDEX(GOOGLEFINANCE(C237, ""price"", EDATE(TODAY(), -3), TODAY()), 2, 2)) - 1, """")"),"")</f>
        <v/>
      </c>
      <c r="O237" s="21" t="str">
        <f>IFERROR(__xludf.DUMMYFUNCTION("IFERROR((GOOGLEFINANCE(C237, ""price"") / INDEX(GOOGLEFINANCE(C237, ""price"", EDATE(TODAY(), -6), TODAY()), 2, 2)) - 1, """")"),"")</f>
        <v/>
      </c>
      <c r="P237" s="21" t="str">
        <f>IFERROR(__xludf.DUMMYFUNCTION("IFERROR((GOOGLEFINANCE(C237, ""price"") / INDEX(GOOGLEFINANCE(C237, ""price"", EDATE(TODAY(), -12), TODAY()), 2, 2)) - 1, """")"),"")</f>
        <v/>
      </c>
      <c r="Q237" s="6" t="str">
        <f>IFERROR(__xludf.DUMMYFUNCTION("AVERAGE(QUERY(GOOGLEFINANCE(C237, ""price"", TODAY()-80, TODAY()), ""SELECT Col2 WHERE Col2 IS NOT NULL ORDER BY Col1 DESC LIMIT 50"", 0))"),"#N/A")</f>
        <v>#N/A</v>
      </c>
      <c r="R237" s="24" t="str">
        <f>IFERROR(__xludf.DUMMYFUNCTION("IFERROR(
  LET(
    data, QUERY(GOOGLEFINANCE(C237,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GOOGLEFINANCE(C237, ""price"")) * 100,
    IF(calc=0, G237, calc)
  ), 
G237)"),"#N/A")</f>
        <v>#N/A</v>
      </c>
      <c r="S237" s="8" t="s">
        <v>15</v>
      </c>
      <c r="T237" s="26" t="str">
        <f>IFERROR(__xludf.DUMMYFUNCTION("IFERROR(TRANSPOSE(QUERY(IFERROR(SORT(GOOGLEFINANCE(C237, ""price"", WORKDAY(TODAY(), -40), TODAY()), 1, FALSE)), ""select Col2 where Col2 is not null limit 22 label Col2 ''"", 0)), """")"),"")</f>
        <v/>
      </c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8"/>
      <c r="AO237" s="28"/>
      <c r="AP237" s="29"/>
      <c r="AQ237" s="29" t="str">
        <f t="shared" ref="AQ237:BL237" si="240">T237/T$2</f>
        <v>#N/A</v>
      </c>
      <c r="AR237" s="29" t="str">
        <f t="shared" si="240"/>
        <v>#DIV/0!</v>
      </c>
      <c r="AS237" s="29" t="str">
        <f t="shared" si="240"/>
        <v>#DIV/0!</v>
      </c>
      <c r="AT237" s="29" t="str">
        <f t="shared" si="240"/>
        <v>#DIV/0!</v>
      </c>
      <c r="AU237" s="29" t="str">
        <f t="shared" si="240"/>
        <v>#DIV/0!</v>
      </c>
      <c r="AV237" s="29" t="str">
        <f t="shared" si="240"/>
        <v>#DIV/0!</v>
      </c>
      <c r="AW237" s="29" t="str">
        <f t="shared" si="240"/>
        <v>#DIV/0!</v>
      </c>
      <c r="AX237" s="29" t="str">
        <f t="shared" si="240"/>
        <v>#DIV/0!</v>
      </c>
      <c r="AY237" s="29" t="str">
        <f t="shared" si="240"/>
        <v>#DIV/0!</v>
      </c>
      <c r="AZ237" s="29" t="str">
        <f t="shared" si="240"/>
        <v>#DIV/0!</v>
      </c>
      <c r="BA237" s="29" t="str">
        <f t="shared" si="240"/>
        <v>#DIV/0!</v>
      </c>
      <c r="BB237" s="29" t="str">
        <f t="shared" si="240"/>
        <v>#DIV/0!</v>
      </c>
      <c r="BC237" s="29" t="str">
        <f t="shared" si="240"/>
        <v>#DIV/0!</v>
      </c>
      <c r="BD237" s="29" t="str">
        <f t="shared" si="240"/>
        <v>#DIV/0!</v>
      </c>
      <c r="BE237" s="29" t="str">
        <f t="shared" si="240"/>
        <v>#DIV/0!</v>
      </c>
      <c r="BF237" s="29" t="str">
        <f t="shared" si="240"/>
        <v>#DIV/0!</v>
      </c>
      <c r="BG237" s="29" t="str">
        <f t="shared" si="240"/>
        <v>#DIV/0!</v>
      </c>
      <c r="BH237" s="29" t="str">
        <f t="shared" si="240"/>
        <v>#DIV/0!</v>
      </c>
      <c r="BI237" s="29" t="str">
        <f t="shared" si="240"/>
        <v>#DIV/0!</v>
      </c>
      <c r="BJ237" s="29" t="str">
        <f t="shared" si="240"/>
        <v>#DIV/0!</v>
      </c>
      <c r="BK237" s="29" t="str">
        <f t="shared" si="240"/>
        <v>#DIV/0!</v>
      </c>
      <c r="BL237" s="29" t="str">
        <f t="shared" si="240"/>
        <v>#DIV/0!</v>
      </c>
      <c r="BM237" s="29" t="str">
        <f t="shared" si="3"/>
        <v>#DIV/0!</v>
      </c>
    </row>
    <row r="238">
      <c r="A238" s="16" t="str">
        <f>IFERROR(__xludf.DUMMYFUNCTION("IFERROR(SPARKLINE(SORT(MAP(TRANSPOSE(AQ238:BL238), LAMBDA(val, IF(ISNUMBER(val), PERCENTRANK(AQ238:BL238, val)+0.01, 0))), SEQUENCE(COLUMNS(AQ238:BL238)), FALSE), {""charttype"",""column""; ""color"",""chartreuse""; ""ymin"", 0; ""ymax"", 1.01; ""highcolo"&amp;"r"", ""darkgreen""; ""lowcolor"", ""red""}), """")"),"")</f>
        <v/>
      </c>
      <c r="B238" s="17" t="str">
        <f t="shared" si="4"/>
        <v/>
      </c>
      <c r="C238" s="1" t="s">
        <v>1079</v>
      </c>
      <c r="D238" s="30" t="str">
        <f>IFERROR(__xludf.DUMMYFUNCTION("IFERROR(GOOGLEFINANCE(C238, ""NAME""))"),"Daily Journal Corp")</f>
        <v>Daily Journal Corp</v>
      </c>
      <c r="E238" s="30" t="s">
        <v>48</v>
      </c>
      <c r="F238" s="33" t="str">
        <f>IFERROR(__xludf.DUMMYFUNCTION("( (GOOGLEFINANCE(C238, ""price"") - Q238) / Q238 ) / (R238 / 100)"),"Loading...")</f>
        <v>Loading...</v>
      </c>
      <c r="G238" s="20" t="str">
        <f>IFERROR(__xludf.DUMMYFUNCTION("AVERAGE(ARRAYFORMULA(100 * (QUERY(GOOGLEFINANCE(C238, ""high"", TODAY()-40, TODAY()), ""SELECT Col2 WHERE Col2 IS NOT NULL ORDER BY Col1 DESC LIMIT 20"", 0) / QUERY(GOOGLEFINANCE(C238, ""low"", TODAY()-40, TODAY()), ""SELECT Col2 WHERE Col2 IS NOT NULL OR"&amp;"DER BY Col1 DESC LIMIT 20"", 0) - 1)))"),"#N/A")</f>
        <v>#N/A</v>
      </c>
      <c r="H238" s="35" t="str">
        <f t="shared" si="6"/>
        <v/>
      </c>
      <c r="I238" s="36" t="str">
        <f t="shared" si="7"/>
        <v/>
      </c>
      <c r="J238" s="37" t="str">
        <f>IFERROR(__xludf.DUMMYFUNCTION("IFERROR(
  IF(C238="""",, 
    IFERROR(
      GOOGLEFINANCE(C238, ""price"") * GOOGLEFINANCE(C238, ""volumeavg""), 
      GOOGLEFINANCE(C238, ""price"") * AVERAGE(QUERY(GOOGLEFINANCE(C238, ""volume"", TODAY()-40, TODAY()), ""SELECT Col2 WHERE Col2 IS NOT "&amp;"NULL ORDER BY Col1 DESC LIMIT 20"", 0))
    )
  ), 
"""")"),"")</f>
        <v/>
      </c>
      <c r="K238" s="21" t="str">
        <f>IFERROR(__xludf.DUMMYFUNCTION("IFERROR(GOOGLEFINANCE(C238, ""changepct"") / 100, """")"),"")</f>
        <v/>
      </c>
      <c r="L238" s="21" t="str">
        <f>IFERROR(__xludf.DUMMYFUNCTION("IFERROR((GOOGLEFINANCE(C238, ""price"") / INDEX(GOOGLEFINANCE(C238, ""price"", TODAY()-7, TODAY()), 2, 2)) - 1, """")"),"")</f>
        <v/>
      </c>
      <c r="M238" s="21" t="str">
        <f>IFERROR(__xludf.DUMMYFUNCTION("IFERROR((GOOGLEFINANCE(C238, ""price"") / INDEX(GOOGLEFINANCE(C238, ""price"", EDATE(TODAY(), -1), TODAY()), 2, 2)) - 1, """")"),"")</f>
        <v/>
      </c>
      <c r="N238" s="21" t="str">
        <f>IFERROR(__xludf.DUMMYFUNCTION("IFERROR((GOOGLEFINANCE(C238, ""price"") / INDEX(GOOGLEFINANCE(C238, ""price"", EDATE(TODAY(), -3), TODAY()), 2, 2)) - 1, """")"),"")</f>
        <v/>
      </c>
      <c r="O238" s="21" t="str">
        <f>IFERROR(__xludf.DUMMYFUNCTION("IFERROR((GOOGLEFINANCE(C238, ""price"") / INDEX(GOOGLEFINANCE(C238, ""price"", EDATE(TODAY(), -6), TODAY()), 2, 2)) - 1, """")"),"")</f>
        <v/>
      </c>
      <c r="P238" s="21" t="str">
        <f>IFERROR(__xludf.DUMMYFUNCTION("IFERROR((GOOGLEFINANCE(C238, ""price"") / INDEX(GOOGLEFINANCE(C238, ""price"", EDATE(TODAY(), -12), TODAY()), 2, 2)) - 1, """")"),"")</f>
        <v/>
      </c>
      <c r="Q238" s="6" t="str">
        <f>IFERROR(__xludf.DUMMYFUNCTION("AVERAGE(QUERY(GOOGLEFINANCE(C238, ""price"", TODAY()-80, TODAY()), ""SELECT Col2 WHERE Col2 IS NOT NULL ORDER BY Col1 DESC LIMIT 50"", 0))"),"#N/A")</f>
        <v>#N/A</v>
      </c>
      <c r="R238" s="24" t="str">
        <f>IFERROR(__xludf.DUMMYFUNCTION("IFERROR(
  LET(
    data, QUERY(GOOGLEFINANCE(C238,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GOOGLEFINANCE(C238, ""price"")) * 100,
    IF(calc=0, G238, calc)
  ), 
G238)"),"#N/A")</f>
        <v>#N/A</v>
      </c>
      <c r="S238" s="8" t="s">
        <v>15</v>
      </c>
      <c r="T238" s="26" t="str">
        <f>IFERROR(__xludf.DUMMYFUNCTION("IFERROR(TRANSPOSE(QUERY(IFERROR(SORT(GOOGLEFINANCE(C238, ""price"", WORKDAY(TODAY(), -40), TODAY()), 1, FALSE)), ""select Col2 where Col2 is not null limit 22 label Col2 ''"", 0)), """")"),"")</f>
        <v/>
      </c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8"/>
      <c r="AO238" s="28"/>
      <c r="AP238" s="29"/>
      <c r="AQ238" s="29" t="str">
        <f t="shared" ref="AQ238:BL238" si="241">T238/T$2</f>
        <v>#N/A</v>
      </c>
      <c r="AR238" s="29" t="str">
        <f t="shared" si="241"/>
        <v>#DIV/0!</v>
      </c>
      <c r="AS238" s="29" t="str">
        <f t="shared" si="241"/>
        <v>#DIV/0!</v>
      </c>
      <c r="AT238" s="29" t="str">
        <f t="shared" si="241"/>
        <v>#DIV/0!</v>
      </c>
      <c r="AU238" s="29" t="str">
        <f t="shared" si="241"/>
        <v>#DIV/0!</v>
      </c>
      <c r="AV238" s="29" t="str">
        <f t="shared" si="241"/>
        <v>#DIV/0!</v>
      </c>
      <c r="AW238" s="29" t="str">
        <f t="shared" si="241"/>
        <v>#DIV/0!</v>
      </c>
      <c r="AX238" s="29" t="str">
        <f t="shared" si="241"/>
        <v>#DIV/0!</v>
      </c>
      <c r="AY238" s="29" t="str">
        <f t="shared" si="241"/>
        <v>#DIV/0!</v>
      </c>
      <c r="AZ238" s="29" t="str">
        <f t="shared" si="241"/>
        <v>#DIV/0!</v>
      </c>
      <c r="BA238" s="29" t="str">
        <f t="shared" si="241"/>
        <v>#DIV/0!</v>
      </c>
      <c r="BB238" s="29" t="str">
        <f t="shared" si="241"/>
        <v>#DIV/0!</v>
      </c>
      <c r="BC238" s="29" t="str">
        <f t="shared" si="241"/>
        <v>#DIV/0!</v>
      </c>
      <c r="BD238" s="29" t="str">
        <f t="shared" si="241"/>
        <v>#DIV/0!</v>
      </c>
      <c r="BE238" s="29" t="str">
        <f t="shared" si="241"/>
        <v>#DIV/0!</v>
      </c>
      <c r="BF238" s="29" t="str">
        <f t="shared" si="241"/>
        <v>#DIV/0!</v>
      </c>
      <c r="BG238" s="29" t="str">
        <f t="shared" si="241"/>
        <v>#DIV/0!</v>
      </c>
      <c r="BH238" s="29" t="str">
        <f t="shared" si="241"/>
        <v>#DIV/0!</v>
      </c>
      <c r="BI238" s="29" t="str">
        <f t="shared" si="241"/>
        <v>#DIV/0!</v>
      </c>
      <c r="BJ238" s="29" t="str">
        <f t="shared" si="241"/>
        <v>#DIV/0!</v>
      </c>
      <c r="BK238" s="29" t="str">
        <f t="shared" si="241"/>
        <v>#DIV/0!</v>
      </c>
      <c r="BL238" s="29" t="str">
        <f t="shared" si="241"/>
        <v>#DIV/0!</v>
      </c>
      <c r="BM238" s="29" t="str">
        <f t="shared" si="3"/>
        <v>#DIV/0!</v>
      </c>
    </row>
    <row r="239">
      <c r="A239" s="16" t="str">
        <f>IFERROR(__xludf.DUMMYFUNCTION("IFERROR(SPARKLINE(SORT(MAP(TRANSPOSE(AQ239:BL239), LAMBDA(val, IF(ISNUMBER(val), PERCENTRANK(AQ239:BL239, val)+0.01, 0))), SEQUENCE(COLUMNS(AQ239:BL239)), FALSE), {""charttype"",""column""; ""color"",""chartreuse""; ""ymin"", 0; ""ymax"", 1.01; ""highcolo"&amp;"r"", ""darkgreen""; ""lowcolor"", ""red""}), """")"),"")</f>
        <v/>
      </c>
      <c r="B239" s="17" t="str">
        <f t="shared" si="4"/>
        <v/>
      </c>
      <c r="C239" s="1" t="s">
        <v>1082</v>
      </c>
      <c r="D239" s="30" t="str">
        <f>IFERROR(__xludf.DUMMYFUNCTION("IFERROR(GOOGLEFINANCE(C239, ""NAME""))"),"Xunlei Ltd")</f>
        <v>Xunlei Ltd</v>
      </c>
      <c r="E239" s="30" t="s">
        <v>58</v>
      </c>
      <c r="F239" s="33" t="str">
        <f>IFERROR(__xludf.DUMMYFUNCTION("( (GOOGLEFINANCE(C239, ""price"") - Q239) / Q239 ) / (R239 / 100)"),"Loading...")</f>
        <v>Loading...</v>
      </c>
      <c r="G239" s="20" t="str">
        <f>IFERROR(__xludf.DUMMYFUNCTION("AVERAGE(ARRAYFORMULA(100 * (QUERY(GOOGLEFINANCE(C239, ""high"", TODAY()-40, TODAY()), ""SELECT Col2 WHERE Col2 IS NOT NULL ORDER BY Col1 DESC LIMIT 20"", 0) / QUERY(GOOGLEFINANCE(C239, ""low"", TODAY()-40, TODAY()), ""SELECT Col2 WHERE Col2 IS NOT NULL OR"&amp;"DER BY Col1 DESC LIMIT 20"", 0) - 1)))"),"#N/A")</f>
        <v>#N/A</v>
      </c>
      <c r="H239" s="35" t="str">
        <f t="shared" si="6"/>
        <v/>
      </c>
      <c r="I239" s="36" t="str">
        <f t="shared" si="7"/>
        <v/>
      </c>
      <c r="J239" s="37" t="str">
        <f>IFERROR(__xludf.DUMMYFUNCTION("IFERROR(
  IF(C239="""",, 
    IFERROR(
      GOOGLEFINANCE(C239, ""price"") * GOOGLEFINANCE(C239, ""volumeavg""), 
      GOOGLEFINANCE(C239, ""price"") * AVERAGE(QUERY(GOOGLEFINANCE(C239, ""volume"", TODAY()-40, TODAY()), ""SELECT Col2 WHERE Col2 IS NOT "&amp;"NULL ORDER BY Col1 DESC LIMIT 20"", 0))
    )
  ), 
"""")"),"")</f>
        <v/>
      </c>
      <c r="K239" s="21" t="str">
        <f>IFERROR(__xludf.DUMMYFUNCTION("IFERROR(GOOGLEFINANCE(C239, ""changepct"") / 100, """")"),"")</f>
        <v/>
      </c>
      <c r="L239" s="21" t="str">
        <f>IFERROR(__xludf.DUMMYFUNCTION("IFERROR((GOOGLEFINANCE(C239, ""price"") / INDEX(GOOGLEFINANCE(C239, ""price"", TODAY()-7, TODAY()), 2, 2)) - 1, """")"),"")</f>
        <v/>
      </c>
      <c r="M239" s="21" t="str">
        <f>IFERROR(__xludf.DUMMYFUNCTION("IFERROR((GOOGLEFINANCE(C239, ""price"") / INDEX(GOOGLEFINANCE(C239, ""price"", EDATE(TODAY(), -1), TODAY()), 2, 2)) - 1, """")"),"")</f>
        <v/>
      </c>
      <c r="N239" s="21" t="str">
        <f>IFERROR(__xludf.DUMMYFUNCTION("IFERROR((GOOGLEFINANCE(C239, ""price"") / INDEX(GOOGLEFINANCE(C239, ""price"", EDATE(TODAY(), -3), TODAY()), 2, 2)) - 1, """")"),"")</f>
        <v/>
      </c>
      <c r="O239" s="21" t="str">
        <f>IFERROR(__xludf.DUMMYFUNCTION("IFERROR((GOOGLEFINANCE(C239, ""price"") / INDEX(GOOGLEFINANCE(C239, ""price"", EDATE(TODAY(), -6), TODAY()), 2, 2)) - 1, """")"),"")</f>
        <v/>
      </c>
      <c r="P239" s="21" t="str">
        <f>IFERROR(__xludf.DUMMYFUNCTION("IFERROR((GOOGLEFINANCE(C239, ""price"") / INDEX(GOOGLEFINANCE(C239, ""price"", EDATE(TODAY(), -12), TODAY()), 2, 2)) - 1, """")"),"")</f>
        <v/>
      </c>
      <c r="Q239" s="6" t="str">
        <f>IFERROR(__xludf.DUMMYFUNCTION("AVERAGE(QUERY(GOOGLEFINANCE(C239, ""price"", TODAY()-80, TODAY()), ""SELECT Col2 WHERE Col2 IS NOT NULL ORDER BY Col1 DESC LIMIT 50"", 0))"),"#N/A")</f>
        <v>#N/A</v>
      </c>
      <c r="R239" s="24" t="str">
        <f>IFERROR(__xludf.DUMMYFUNCTION("IFERROR(
  LET(
    data, QUERY(GOOGLEFINANCE(C239,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GOOGLEFINANCE(C239, ""price"")) * 100,
    IF(calc=0, G239, calc)
  ), 
G239)"),"#N/A")</f>
        <v>#N/A</v>
      </c>
      <c r="S239" s="8" t="s">
        <v>15</v>
      </c>
      <c r="T239" s="26" t="str">
        <f>IFERROR(__xludf.DUMMYFUNCTION("IFERROR(TRANSPOSE(QUERY(IFERROR(SORT(GOOGLEFINANCE(C239, ""price"", WORKDAY(TODAY(), -40), TODAY()), 1, FALSE)), ""select Col2 where Col2 is not null limit 22 label Col2 ''"", 0)), """")"),"")</f>
        <v/>
      </c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8"/>
      <c r="AO239" s="28"/>
      <c r="AP239" s="29"/>
      <c r="AQ239" s="29" t="str">
        <f t="shared" ref="AQ239:BL239" si="242">T239/T$2</f>
        <v>#N/A</v>
      </c>
      <c r="AR239" s="29" t="str">
        <f t="shared" si="242"/>
        <v>#DIV/0!</v>
      </c>
      <c r="AS239" s="29" t="str">
        <f t="shared" si="242"/>
        <v>#DIV/0!</v>
      </c>
      <c r="AT239" s="29" t="str">
        <f t="shared" si="242"/>
        <v>#DIV/0!</v>
      </c>
      <c r="AU239" s="29" t="str">
        <f t="shared" si="242"/>
        <v>#DIV/0!</v>
      </c>
      <c r="AV239" s="29" t="str">
        <f t="shared" si="242"/>
        <v>#DIV/0!</v>
      </c>
      <c r="AW239" s="29" t="str">
        <f t="shared" si="242"/>
        <v>#DIV/0!</v>
      </c>
      <c r="AX239" s="29" t="str">
        <f t="shared" si="242"/>
        <v>#DIV/0!</v>
      </c>
      <c r="AY239" s="29" t="str">
        <f t="shared" si="242"/>
        <v>#DIV/0!</v>
      </c>
      <c r="AZ239" s="29" t="str">
        <f t="shared" si="242"/>
        <v>#DIV/0!</v>
      </c>
      <c r="BA239" s="29" t="str">
        <f t="shared" si="242"/>
        <v>#DIV/0!</v>
      </c>
      <c r="BB239" s="29" t="str">
        <f t="shared" si="242"/>
        <v>#DIV/0!</v>
      </c>
      <c r="BC239" s="29" t="str">
        <f t="shared" si="242"/>
        <v>#DIV/0!</v>
      </c>
      <c r="BD239" s="29" t="str">
        <f t="shared" si="242"/>
        <v>#DIV/0!</v>
      </c>
      <c r="BE239" s="29" t="str">
        <f t="shared" si="242"/>
        <v>#DIV/0!</v>
      </c>
      <c r="BF239" s="29" t="str">
        <f t="shared" si="242"/>
        <v>#DIV/0!</v>
      </c>
      <c r="BG239" s="29" t="str">
        <f t="shared" si="242"/>
        <v>#DIV/0!</v>
      </c>
      <c r="BH239" s="29" t="str">
        <f t="shared" si="242"/>
        <v>#DIV/0!</v>
      </c>
      <c r="BI239" s="29" t="str">
        <f t="shared" si="242"/>
        <v>#DIV/0!</v>
      </c>
      <c r="BJ239" s="29" t="str">
        <f t="shared" si="242"/>
        <v>#DIV/0!</v>
      </c>
      <c r="BK239" s="29" t="str">
        <f t="shared" si="242"/>
        <v>#DIV/0!</v>
      </c>
      <c r="BL239" s="29" t="str">
        <f t="shared" si="242"/>
        <v>#DIV/0!</v>
      </c>
      <c r="BM239" s="29" t="str">
        <f t="shared" si="3"/>
        <v>#DIV/0!</v>
      </c>
    </row>
    <row r="240">
      <c r="A240" s="16" t="str">
        <f>IFERROR(__xludf.DUMMYFUNCTION("IFERROR(SPARKLINE(SORT(MAP(TRANSPOSE(AQ240:BL240), LAMBDA(val, IF(ISNUMBER(val), PERCENTRANK(AQ240:BL240, val)+0.01, 0))), SEQUENCE(COLUMNS(AQ240:BL240)), FALSE), {""charttype"",""column""; ""color"",""chartreuse""; ""ymin"", 0; ""ymax"", 1.01; ""highcolo"&amp;"r"", ""darkgreen""; ""lowcolor"", ""red""}), """")"),"")</f>
        <v/>
      </c>
      <c r="B240" s="17" t="str">
        <f t="shared" si="4"/>
        <v/>
      </c>
      <c r="C240" s="1" t="s">
        <v>1086</v>
      </c>
      <c r="D240" s="30" t="str">
        <f>IFERROR(__xludf.DUMMYFUNCTION("IFERROR(GOOGLEFINANCE(C240, ""NAME""))"),"Veritone Inc")</f>
        <v>Veritone Inc</v>
      </c>
      <c r="E240" s="30" t="s">
        <v>58</v>
      </c>
      <c r="F240" s="33" t="str">
        <f>IFERROR(__xludf.DUMMYFUNCTION("( (GOOGLEFINANCE(C240, ""price"") - Q240) / Q240 ) / (R240 / 100)"),"Loading...")</f>
        <v>Loading...</v>
      </c>
      <c r="G240" s="20" t="str">
        <f>IFERROR(__xludf.DUMMYFUNCTION("AVERAGE(ARRAYFORMULA(100 * (QUERY(GOOGLEFINANCE(C240, ""high"", TODAY()-40, TODAY()), ""SELECT Col2 WHERE Col2 IS NOT NULL ORDER BY Col1 DESC LIMIT 20"", 0) / QUERY(GOOGLEFINANCE(C240, ""low"", TODAY()-40, TODAY()), ""SELECT Col2 WHERE Col2 IS NOT NULL OR"&amp;"DER BY Col1 DESC LIMIT 20"", 0) - 1)))"),"#N/A")</f>
        <v>#N/A</v>
      </c>
      <c r="H240" s="35" t="str">
        <f t="shared" si="6"/>
        <v/>
      </c>
      <c r="I240" s="36" t="str">
        <f t="shared" si="7"/>
        <v/>
      </c>
      <c r="J240" s="37" t="str">
        <f>IFERROR(__xludf.DUMMYFUNCTION("IFERROR(
  IF(C240="""",, 
    IFERROR(
      GOOGLEFINANCE(C240, ""price"") * GOOGLEFINANCE(C240, ""volumeavg""), 
      GOOGLEFINANCE(C240, ""price"") * AVERAGE(QUERY(GOOGLEFINANCE(C240, ""volume"", TODAY()-40, TODAY()), ""SELECT Col2 WHERE Col2 IS NOT "&amp;"NULL ORDER BY Col1 DESC LIMIT 20"", 0))
    )
  ), 
"""")"),"")</f>
        <v/>
      </c>
      <c r="K240" s="21" t="str">
        <f>IFERROR(__xludf.DUMMYFUNCTION("IFERROR(GOOGLEFINANCE(C240, ""changepct"") / 100, """")"),"")</f>
        <v/>
      </c>
      <c r="L240" s="21" t="str">
        <f>IFERROR(__xludf.DUMMYFUNCTION("IFERROR((GOOGLEFINANCE(C240, ""price"") / INDEX(GOOGLEFINANCE(C240, ""price"", TODAY()-7, TODAY()), 2, 2)) - 1, """")"),"")</f>
        <v/>
      </c>
      <c r="M240" s="21" t="str">
        <f>IFERROR(__xludf.DUMMYFUNCTION("IFERROR((GOOGLEFINANCE(C240, ""price"") / INDEX(GOOGLEFINANCE(C240, ""price"", EDATE(TODAY(), -1), TODAY()), 2, 2)) - 1, """")"),"")</f>
        <v/>
      </c>
      <c r="N240" s="21" t="str">
        <f>IFERROR(__xludf.DUMMYFUNCTION("IFERROR((GOOGLEFINANCE(C240, ""price"") / INDEX(GOOGLEFINANCE(C240, ""price"", EDATE(TODAY(), -3), TODAY()), 2, 2)) - 1, """")"),"")</f>
        <v/>
      </c>
      <c r="O240" s="21" t="str">
        <f>IFERROR(__xludf.DUMMYFUNCTION("IFERROR((GOOGLEFINANCE(C240, ""price"") / INDEX(GOOGLEFINANCE(C240, ""price"", EDATE(TODAY(), -6), TODAY()), 2, 2)) - 1, """")"),"")</f>
        <v/>
      </c>
      <c r="P240" s="21" t="str">
        <f>IFERROR(__xludf.DUMMYFUNCTION("IFERROR((GOOGLEFINANCE(C240, ""price"") / INDEX(GOOGLEFINANCE(C240, ""price"", EDATE(TODAY(), -12), TODAY()), 2, 2)) - 1, """")"),"")</f>
        <v/>
      </c>
      <c r="Q240" s="6" t="str">
        <f>IFERROR(__xludf.DUMMYFUNCTION("AVERAGE(QUERY(GOOGLEFINANCE(C240, ""price"", TODAY()-80, TODAY()), ""SELECT Col2 WHERE Col2 IS NOT NULL ORDER BY Col1 DESC LIMIT 50"", 0))"),"#N/A")</f>
        <v>#N/A</v>
      </c>
      <c r="R240" s="24" t="str">
        <f>IFERROR(__xludf.DUMMYFUNCTION("IFERROR(
  LET(
    data, QUERY(GOOGLEFINANCE(C240,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GOOGLEFINANCE(C240, ""price"")) * 100,
    IF(calc=0, G240, calc)
  ), 
G240)"),"#N/A")</f>
        <v>#N/A</v>
      </c>
      <c r="S240" s="8" t="s">
        <v>15</v>
      </c>
      <c r="T240" s="26" t="str">
        <f>IFERROR(__xludf.DUMMYFUNCTION("IFERROR(TRANSPOSE(QUERY(IFERROR(SORT(GOOGLEFINANCE(C240, ""price"", WORKDAY(TODAY(), -40), TODAY()), 1, FALSE)), ""select Col2 where Col2 is not null limit 22 label Col2 ''"", 0)), """")"),"")</f>
        <v/>
      </c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8"/>
      <c r="AO240" s="28"/>
      <c r="AP240" s="29"/>
      <c r="AQ240" s="29" t="str">
        <f t="shared" ref="AQ240:BL240" si="243">T240/T$2</f>
        <v>#N/A</v>
      </c>
      <c r="AR240" s="29" t="str">
        <f t="shared" si="243"/>
        <v>#DIV/0!</v>
      </c>
      <c r="AS240" s="29" t="str">
        <f t="shared" si="243"/>
        <v>#DIV/0!</v>
      </c>
      <c r="AT240" s="29" t="str">
        <f t="shared" si="243"/>
        <v>#DIV/0!</v>
      </c>
      <c r="AU240" s="29" t="str">
        <f t="shared" si="243"/>
        <v>#DIV/0!</v>
      </c>
      <c r="AV240" s="29" t="str">
        <f t="shared" si="243"/>
        <v>#DIV/0!</v>
      </c>
      <c r="AW240" s="29" t="str">
        <f t="shared" si="243"/>
        <v>#DIV/0!</v>
      </c>
      <c r="AX240" s="29" t="str">
        <f t="shared" si="243"/>
        <v>#DIV/0!</v>
      </c>
      <c r="AY240" s="29" t="str">
        <f t="shared" si="243"/>
        <v>#DIV/0!</v>
      </c>
      <c r="AZ240" s="29" t="str">
        <f t="shared" si="243"/>
        <v>#DIV/0!</v>
      </c>
      <c r="BA240" s="29" t="str">
        <f t="shared" si="243"/>
        <v>#DIV/0!</v>
      </c>
      <c r="BB240" s="29" t="str">
        <f t="shared" si="243"/>
        <v>#DIV/0!</v>
      </c>
      <c r="BC240" s="29" t="str">
        <f t="shared" si="243"/>
        <v>#DIV/0!</v>
      </c>
      <c r="BD240" s="29" t="str">
        <f t="shared" si="243"/>
        <v>#DIV/0!</v>
      </c>
      <c r="BE240" s="29" t="str">
        <f t="shared" si="243"/>
        <v>#DIV/0!</v>
      </c>
      <c r="BF240" s="29" t="str">
        <f t="shared" si="243"/>
        <v>#DIV/0!</v>
      </c>
      <c r="BG240" s="29" t="str">
        <f t="shared" si="243"/>
        <v>#DIV/0!</v>
      </c>
      <c r="BH240" s="29" t="str">
        <f t="shared" si="243"/>
        <v>#DIV/0!</v>
      </c>
      <c r="BI240" s="29" t="str">
        <f t="shared" si="243"/>
        <v>#DIV/0!</v>
      </c>
      <c r="BJ240" s="29" t="str">
        <f t="shared" si="243"/>
        <v>#DIV/0!</v>
      </c>
      <c r="BK240" s="29" t="str">
        <f t="shared" si="243"/>
        <v>#DIV/0!</v>
      </c>
      <c r="BL240" s="29" t="str">
        <f t="shared" si="243"/>
        <v>#DIV/0!</v>
      </c>
      <c r="BM240" s="29" t="str">
        <f t="shared" si="3"/>
        <v>#DIV/0!</v>
      </c>
    </row>
    <row r="241">
      <c r="A241" s="16" t="str">
        <f>IFERROR(__xludf.DUMMYFUNCTION("IFERROR(SPARKLINE(SORT(MAP(TRANSPOSE(AQ241:BL241), LAMBDA(val, IF(ISNUMBER(val), PERCENTRANK(AQ241:BL241, val)+0.01, 0))), SEQUENCE(COLUMNS(AQ241:BL241)), FALSE), {""charttype"",""column""; ""color"",""chartreuse""; ""ymin"", 0; ""ymax"", 1.01; ""highcolo"&amp;"r"", ""darkgreen""; ""lowcolor"", ""red""}), """")"),"")</f>
        <v/>
      </c>
      <c r="B241" s="17" t="str">
        <f t="shared" si="4"/>
        <v/>
      </c>
      <c r="C241" s="1" t="s">
        <v>1091</v>
      </c>
      <c r="D241" s="30" t="str">
        <f>IFERROR(__xludf.DUMMYFUNCTION("IFERROR(GOOGLEFINANCE(C241, ""NAME""))"),"Qorvo Inc")</f>
        <v>Qorvo Inc</v>
      </c>
      <c r="E241" s="30" t="s">
        <v>871</v>
      </c>
      <c r="F241" s="33" t="str">
        <f>IFERROR(__xludf.DUMMYFUNCTION("( (GOOGLEFINANCE(C241, ""price"") - Q241) / Q241 ) / (R241 / 100)"),"Loading...")</f>
        <v>Loading...</v>
      </c>
      <c r="G241" s="20" t="str">
        <f>IFERROR(__xludf.DUMMYFUNCTION("AVERAGE(ARRAYFORMULA(100 * (QUERY(GOOGLEFINANCE(C241, ""high"", TODAY()-40, TODAY()), ""SELECT Col2 WHERE Col2 IS NOT NULL ORDER BY Col1 DESC LIMIT 20"", 0) / QUERY(GOOGLEFINANCE(C241, ""low"", TODAY()-40, TODAY()), ""SELECT Col2 WHERE Col2 IS NOT NULL OR"&amp;"DER BY Col1 DESC LIMIT 20"", 0) - 1)))"),"#N/A")</f>
        <v>#N/A</v>
      </c>
      <c r="H241" s="35" t="str">
        <f t="shared" si="6"/>
        <v/>
      </c>
      <c r="I241" s="36" t="str">
        <f t="shared" si="7"/>
        <v/>
      </c>
      <c r="J241" s="37" t="str">
        <f>IFERROR(__xludf.DUMMYFUNCTION("IFERROR(
  IF(C241="""",, 
    IFERROR(
      GOOGLEFINANCE(C241, ""price"") * GOOGLEFINANCE(C241, ""volumeavg""), 
      GOOGLEFINANCE(C241, ""price"") * AVERAGE(QUERY(GOOGLEFINANCE(C241, ""volume"", TODAY()-40, TODAY()), ""SELECT Col2 WHERE Col2 IS NOT "&amp;"NULL ORDER BY Col1 DESC LIMIT 20"", 0))
    )
  ), 
"""")"),"")</f>
        <v/>
      </c>
      <c r="K241" s="21" t="str">
        <f>IFERROR(__xludf.DUMMYFUNCTION("IFERROR(GOOGLEFINANCE(C241, ""changepct"") / 100, """")"),"")</f>
        <v/>
      </c>
      <c r="L241" s="21" t="str">
        <f>IFERROR(__xludf.DUMMYFUNCTION("IFERROR((GOOGLEFINANCE(C241, ""price"") / INDEX(GOOGLEFINANCE(C241, ""price"", TODAY()-7, TODAY()), 2, 2)) - 1, """")"),"")</f>
        <v/>
      </c>
      <c r="M241" s="21" t="str">
        <f>IFERROR(__xludf.DUMMYFUNCTION("IFERROR((GOOGLEFINANCE(C241, ""price"") / INDEX(GOOGLEFINANCE(C241, ""price"", EDATE(TODAY(), -1), TODAY()), 2, 2)) - 1, """")"),"")</f>
        <v/>
      </c>
      <c r="N241" s="21" t="str">
        <f>IFERROR(__xludf.DUMMYFUNCTION("IFERROR((GOOGLEFINANCE(C241, ""price"") / INDEX(GOOGLEFINANCE(C241, ""price"", EDATE(TODAY(), -3), TODAY()), 2, 2)) - 1, """")"),"")</f>
        <v/>
      </c>
      <c r="O241" s="21" t="str">
        <f>IFERROR(__xludf.DUMMYFUNCTION("IFERROR((GOOGLEFINANCE(C241, ""price"") / INDEX(GOOGLEFINANCE(C241, ""price"", EDATE(TODAY(), -6), TODAY()), 2, 2)) - 1, """")"),"")</f>
        <v/>
      </c>
      <c r="P241" s="21" t="str">
        <f>IFERROR(__xludf.DUMMYFUNCTION("IFERROR((GOOGLEFINANCE(C241, ""price"") / INDEX(GOOGLEFINANCE(C241, ""price"", EDATE(TODAY(), -12), TODAY()), 2, 2)) - 1, """")"),"")</f>
        <v/>
      </c>
      <c r="Q241" s="6" t="str">
        <f>IFERROR(__xludf.DUMMYFUNCTION("AVERAGE(QUERY(GOOGLEFINANCE(C241, ""price"", TODAY()-80, TODAY()), ""SELECT Col2 WHERE Col2 IS NOT NULL ORDER BY Col1 DESC LIMIT 50"", 0))"),"#N/A")</f>
        <v>#N/A</v>
      </c>
      <c r="R241" s="24" t="str">
        <f>IFERROR(__xludf.DUMMYFUNCTION("IFERROR(
  LET(
    data, QUERY(GOOGLEFINANCE(C241,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GOOGLEFINANCE(C241, ""price"")) * 100,
    IF(calc=0, G241, calc)
  ), 
G241)"),"#N/A")</f>
        <v>#N/A</v>
      </c>
      <c r="S241" s="8" t="s">
        <v>15</v>
      </c>
      <c r="T241" s="26" t="str">
        <f>IFERROR(__xludf.DUMMYFUNCTION("IFERROR(TRANSPOSE(QUERY(IFERROR(SORT(GOOGLEFINANCE(C241, ""price"", WORKDAY(TODAY(), -40), TODAY()), 1, FALSE)), ""select Col2 where Col2 is not null limit 22 label Col2 ''"", 0)), """")"),"")</f>
        <v/>
      </c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8"/>
      <c r="AO241" s="28"/>
      <c r="AP241" s="29"/>
      <c r="AQ241" s="29" t="str">
        <f t="shared" ref="AQ241:BL241" si="244">T241/T$2</f>
        <v>#N/A</v>
      </c>
      <c r="AR241" s="29" t="str">
        <f t="shared" si="244"/>
        <v>#DIV/0!</v>
      </c>
      <c r="AS241" s="29" t="str">
        <f t="shared" si="244"/>
        <v>#DIV/0!</v>
      </c>
      <c r="AT241" s="29" t="str">
        <f t="shared" si="244"/>
        <v>#DIV/0!</v>
      </c>
      <c r="AU241" s="29" t="str">
        <f t="shared" si="244"/>
        <v>#DIV/0!</v>
      </c>
      <c r="AV241" s="29" t="str">
        <f t="shared" si="244"/>
        <v>#DIV/0!</v>
      </c>
      <c r="AW241" s="29" t="str">
        <f t="shared" si="244"/>
        <v>#DIV/0!</v>
      </c>
      <c r="AX241" s="29" t="str">
        <f t="shared" si="244"/>
        <v>#DIV/0!</v>
      </c>
      <c r="AY241" s="29" t="str">
        <f t="shared" si="244"/>
        <v>#DIV/0!</v>
      </c>
      <c r="AZ241" s="29" t="str">
        <f t="shared" si="244"/>
        <v>#DIV/0!</v>
      </c>
      <c r="BA241" s="29" t="str">
        <f t="shared" si="244"/>
        <v>#DIV/0!</v>
      </c>
      <c r="BB241" s="29" t="str">
        <f t="shared" si="244"/>
        <v>#DIV/0!</v>
      </c>
      <c r="BC241" s="29" t="str">
        <f t="shared" si="244"/>
        <v>#DIV/0!</v>
      </c>
      <c r="BD241" s="29" t="str">
        <f t="shared" si="244"/>
        <v>#DIV/0!</v>
      </c>
      <c r="BE241" s="29" t="str">
        <f t="shared" si="244"/>
        <v>#DIV/0!</v>
      </c>
      <c r="BF241" s="29" t="str">
        <f t="shared" si="244"/>
        <v>#DIV/0!</v>
      </c>
      <c r="BG241" s="29" t="str">
        <f t="shared" si="244"/>
        <v>#DIV/0!</v>
      </c>
      <c r="BH241" s="29" t="str">
        <f t="shared" si="244"/>
        <v>#DIV/0!</v>
      </c>
      <c r="BI241" s="29" t="str">
        <f t="shared" si="244"/>
        <v>#DIV/0!</v>
      </c>
      <c r="BJ241" s="29" t="str">
        <f t="shared" si="244"/>
        <v>#DIV/0!</v>
      </c>
      <c r="BK241" s="29" t="str">
        <f t="shared" si="244"/>
        <v>#DIV/0!</v>
      </c>
      <c r="BL241" s="29" t="str">
        <f t="shared" si="244"/>
        <v>#DIV/0!</v>
      </c>
      <c r="BM241" s="29" t="str">
        <f t="shared" si="3"/>
        <v>#DIV/0!</v>
      </c>
    </row>
    <row r="242">
      <c r="A242" s="16" t="str">
        <f>IFERROR(__xludf.DUMMYFUNCTION("IFERROR(SPARKLINE(SORT(MAP(TRANSPOSE(AQ242:BL242), LAMBDA(val, IF(ISNUMBER(val), PERCENTRANK(AQ242:BL242, val)+0.01, 0))), SEQUENCE(COLUMNS(AQ242:BL242)), FALSE), {""charttype"",""column""; ""color"",""chartreuse""; ""ymin"", 0; ""ymax"", 1.01; ""highcolo"&amp;"r"", ""darkgreen""; ""lowcolor"", ""red""}), """")"),"")</f>
        <v/>
      </c>
      <c r="B242" s="17" t="str">
        <f t="shared" si="4"/>
        <v/>
      </c>
      <c r="C242" s="1" t="s">
        <v>1095</v>
      </c>
      <c r="D242" s="30" t="str">
        <f>IFERROR(__xludf.DUMMYFUNCTION("IFERROR(GOOGLEFINANCE(C242, ""NAME""))"),"Fortinet Inc")</f>
        <v>Fortinet Inc</v>
      </c>
      <c r="E242" s="30" t="s">
        <v>58</v>
      </c>
      <c r="F242" s="38" t="str">
        <f>IFERROR(__xludf.DUMMYFUNCTION("( (GOOGLEFINANCE(C242, ""price"") - Q242) / Q242 ) / (R242 / 100)"),"Loading...")</f>
        <v>Loading...</v>
      </c>
      <c r="G242" s="20" t="str">
        <f>IFERROR(__xludf.DUMMYFUNCTION("AVERAGE(ARRAYFORMULA(100 * (QUERY(GOOGLEFINANCE(C242, ""high"", TODAY()-40, TODAY()), ""SELECT Col2 WHERE Col2 IS NOT NULL ORDER BY Col1 DESC LIMIT 20"", 0) / QUERY(GOOGLEFINANCE(C242, ""low"", TODAY()-40, TODAY()), ""SELECT Col2 WHERE Col2 IS NOT NULL OR"&amp;"DER BY Col1 DESC LIMIT 20"", 0) - 1)))"),"#N/A")</f>
        <v>#N/A</v>
      </c>
      <c r="H242" s="35" t="str">
        <f t="shared" si="6"/>
        <v/>
      </c>
      <c r="I242" s="36" t="str">
        <f t="shared" si="7"/>
        <v/>
      </c>
      <c r="J242" s="37" t="str">
        <f>IFERROR(__xludf.DUMMYFUNCTION("IFERROR(
  IF(C242="""",, 
    IFERROR(
      GOOGLEFINANCE(C242, ""price"") * GOOGLEFINANCE(C242, ""volumeavg""), 
      GOOGLEFINANCE(C242, ""price"") * AVERAGE(QUERY(GOOGLEFINANCE(C242, ""volume"", TODAY()-40, TODAY()), ""SELECT Col2 WHERE Col2 IS NOT "&amp;"NULL ORDER BY Col1 DESC LIMIT 20"", 0))
    )
  ), 
"""")"),"")</f>
        <v/>
      </c>
      <c r="K242" s="21" t="str">
        <f>IFERROR(__xludf.DUMMYFUNCTION("IFERROR(GOOGLEFINANCE(C242, ""changepct"") / 100, """")"),"")</f>
        <v/>
      </c>
      <c r="L242" s="21" t="str">
        <f>IFERROR(__xludf.DUMMYFUNCTION("IFERROR((GOOGLEFINANCE(C242, ""price"") / INDEX(GOOGLEFINANCE(C242, ""price"", TODAY()-7, TODAY()), 2, 2)) - 1, """")"),"")</f>
        <v/>
      </c>
      <c r="M242" s="21" t="str">
        <f>IFERROR(__xludf.DUMMYFUNCTION("IFERROR((GOOGLEFINANCE(C242, ""price"") / INDEX(GOOGLEFINANCE(C242, ""price"", EDATE(TODAY(), -1), TODAY()), 2, 2)) - 1, """")"),"")</f>
        <v/>
      </c>
      <c r="N242" s="21" t="str">
        <f>IFERROR(__xludf.DUMMYFUNCTION("IFERROR((GOOGLEFINANCE(C242, ""price"") / INDEX(GOOGLEFINANCE(C242, ""price"", EDATE(TODAY(), -3), TODAY()), 2, 2)) - 1, """")"),"")</f>
        <v/>
      </c>
      <c r="O242" s="21" t="str">
        <f>IFERROR(__xludf.DUMMYFUNCTION("IFERROR((GOOGLEFINANCE(C242, ""price"") / INDEX(GOOGLEFINANCE(C242, ""price"", EDATE(TODAY(), -6), TODAY()), 2, 2)) - 1, """")"),"")</f>
        <v/>
      </c>
      <c r="P242" s="21" t="str">
        <f>IFERROR(__xludf.DUMMYFUNCTION("IFERROR((GOOGLEFINANCE(C242, ""price"") / INDEX(GOOGLEFINANCE(C242, ""price"", EDATE(TODAY(), -12), TODAY()), 2, 2)) - 1, """")"),"")</f>
        <v/>
      </c>
      <c r="Q242" s="6" t="str">
        <f>IFERROR(__xludf.DUMMYFUNCTION("AVERAGE(QUERY(GOOGLEFINANCE(C242, ""price"", TODAY()-80, TODAY()), ""SELECT Col2 WHERE Col2 IS NOT NULL ORDER BY Col1 DESC LIMIT 50"", 0))"),"#N/A")</f>
        <v>#N/A</v>
      </c>
      <c r="R242" s="24" t="str">
        <f>IFERROR(__xludf.DUMMYFUNCTION("IFERROR(
  LET(
    data, QUERY(GOOGLEFINANCE(C242,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GOOGLEFINANCE(C242, ""price"")) * 100,
    IF(calc=0, G242, calc)
  ), 
G242)"),"#N/A")</f>
        <v>#N/A</v>
      </c>
      <c r="S242" s="8" t="s">
        <v>15</v>
      </c>
      <c r="T242" s="26" t="str">
        <f>IFERROR(__xludf.DUMMYFUNCTION("IFERROR(TRANSPOSE(QUERY(IFERROR(SORT(GOOGLEFINANCE(C242, ""price"", WORKDAY(TODAY(), -40), TODAY()), 1, FALSE)), ""select Col2 where Col2 is not null limit 22 label Col2 ''"", 0)), """")"),"")</f>
        <v/>
      </c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8"/>
      <c r="AO242" s="28"/>
      <c r="AP242" s="29"/>
      <c r="AQ242" s="29" t="str">
        <f t="shared" ref="AQ242:BL242" si="245">T242/T$2</f>
        <v>#N/A</v>
      </c>
      <c r="AR242" s="29" t="str">
        <f t="shared" si="245"/>
        <v>#DIV/0!</v>
      </c>
      <c r="AS242" s="29" t="str">
        <f t="shared" si="245"/>
        <v>#DIV/0!</v>
      </c>
      <c r="AT242" s="29" t="str">
        <f t="shared" si="245"/>
        <v>#DIV/0!</v>
      </c>
      <c r="AU242" s="29" t="str">
        <f t="shared" si="245"/>
        <v>#DIV/0!</v>
      </c>
      <c r="AV242" s="29" t="str">
        <f t="shared" si="245"/>
        <v>#DIV/0!</v>
      </c>
      <c r="AW242" s="29" t="str">
        <f t="shared" si="245"/>
        <v>#DIV/0!</v>
      </c>
      <c r="AX242" s="29" t="str">
        <f t="shared" si="245"/>
        <v>#DIV/0!</v>
      </c>
      <c r="AY242" s="29" t="str">
        <f t="shared" si="245"/>
        <v>#DIV/0!</v>
      </c>
      <c r="AZ242" s="29" t="str">
        <f t="shared" si="245"/>
        <v>#DIV/0!</v>
      </c>
      <c r="BA242" s="29" t="str">
        <f t="shared" si="245"/>
        <v>#DIV/0!</v>
      </c>
      <c r="BB242" s="29" t="str">
        <f t="shared" si="245"/>
        <v>#DIV/0!</v>
      </c>
      <c r="BC242" s="29" t="str">
        <f t="shared" si="245"/>
        <v>#DIV/0!</v>
      </c>
      <c r="BD242" s="29" t="str">
        <f t="shared" si="245"/>
        <v>#DIV/0!</v>
      </c>
      <c r="BE242" s="29" t="str">
        <f t="shared" si="245"/>
        <v>#DIV/0!</v>
      </c>
      <c r="BF242" s="29" t="str">
        <f t="shared" si="245"/>
        <v>#DIV/0!</v>
      </c>
      <c r="BG242" s="29" t="str">
        <f t="shared" si="245"/>
        <v>#DIV/0!</v>
      </c>
      <c r="BH242" s="29" t="str">
        <f t="shared" si="245"/>
        <v>#DIV/0!</v>
      </c>
      <c r="BI242" s="29" t="str">
        <f t="shared" si="245"/>
        <v>#DIV/0!</v>
      </c>
      <c r="BJ242" s="29" t="str">
        <f t="shared" si="245"/>
        <v>#DIV/0!</v>
      </c>
      <c r="BK242" s="29" t="str">
        <f t="shared" si="245"/>
        <v>#DIV/0!</v>
      </c>
      <c r="BL242" s="29" t="str">
        <f t="shared" si="245"/>
        <v>#DIV/0!</v>
      </c>
      <c r="BM242" s="29" t="str">
        <f t="shared" si="3"/>
        <v>#DIV/0!</v>
      </c>
    </row>
    <row r="243">
      <c r="A243" s="16" t="str">
        <f>IFERROR(__xludf.DUMMYFUNCTION("IFERROR(SPARKLINE(SORT(MAP(TRANSPOSE(AQ243:BL243), LAMBDA(val, IF(ISNUMBER(val), PERCENTRANK(AQ243:BL243, val)+0.01, 0))), SEQUENCE(COLUMNS(AQ243:BL243)), FALSE), {""charttype"",""column""; ""color"",""chartreuse""; ""ymin"", 0; ""ymax"", 1.01; ""highcolo"&amp;"r"", ""darkgreen""; ""lowcolor"", ""red""}), """")"),"")</f>
        <v/>
      </c>
      <c r="B243" s="17" t="str">
        <f t="shared" si="4"/>
        <v/>
      </c>
      <c r="C243" s="1" t="s">
        <v>1098</v>
      </c>
      <c r="D243" s="30" t="str">
        <f>IFERROR(__xludf.DUMMYFUNCTION("IFERROR(GOOGLEFINANCE(C243, ""NAME""))"),"Radware Ltd")</f>
        <v>Radware Ltd</v>
      </c>
      <c r="E243" s="30" t="s">
        <v>58</v>
      </c>
      <c r="F243" s="33" t="str">
        <f>IFERROR(__xludf.DUMMYFUNCTION("( (GOOGLEFINANCE(C243, ""price"") - Q243) / Q243 ) / (R243 / 100)"),"Loading...")</f>
        <v>Loading...</v>
      </c>
      <c r="G243" s="20" t="str">
        <f>IFERROR(__xludf.DUMMYFUNCTION("AVERAGE(ARRAYFORMULA(100 * (QUERY(GOOGLEFINANCE(C243, ""high"", TODAY()-40, TODAY()), ""SELECT Col2 WHERE Col2 IS NOT NULL ORDER BY Col1 DESC LIMIT 20"", 0) / QUERY(GOOGLEFINANCE(C243, ""low"", TODAY()-40, TODAY()), ""SELECT Col2 WHERE Col2 IS NOT NULL OR"&amp;"DER BY Col1 DESC LIMIT 20"", 0) - 1)))"),"#N/A")</f>
        <v>#N/A</v>
      </c>
      <c r="H243" s="35" t="str">
        <f t="shared" si="6"/>
        <v/>
      </c>
      <c r="I243" s="36" t="str">
        <f t="shared" si="7"/>
        <v/>
      </c>
      <c r="J243" s="37" t="str">
        <f>IFERROR(__xludf.DUMMYFUNCTION("IFERROR(
  IF(C243="""",, 
    IFERROR(
      GOOGLEFINANCE(C243, ""price"") * GOOGLEFINANCE(C243, ""volumeavg""), 
      GOOGLEFINANCE(C243, ""price"") * AVERAGE(QUERY(GOOGLEFINANCE(C243, ""volume"", TODAY()-40, TODAY()), ""SELECT Col2 WHERE Col2 IS NOT "&amp;"NULL ORDER BY Col1 DESC LIMIT 20"", 0))
    )
  ), 
"""")"),"")</f>
        <v/>
      </c>
      <c r="K243" s="21" t="str">
        <f>IFERROR(__xludf.DUMMYFUNCTION("IFERROR(GOOGLEFINANCE(C243, ""changepct"") / 100, """")"),"")</f>
        <v/>
      </c>
      <c r="L243" s="21" t="str">
        <f>IFERROR(__xludf.DUMMYFUNCTION("IFERROR((GOOGLEFINANCE(C243, ""price"") / INDEX(GOOGLEFINANCE(C243, ""price"", TODAY()-7, TODAY()), 2, 2)) - 1, """")"),"")</f>
        <v/>
      </c>
      <c r="M243" s="21" t="str">
        <f>IFERROR(__xludf.DUMMYFUNCTION("IFERROR((GOOGLEFINANCE(C243, ""price"") / INDEX(GOOGLEFINANCE(C243, ""price"", EDATE(TODAY(), -1), TODAY()), 2, 2)) - 1, """")"),"")</f>
        <v/>
      </c>
      <c r="N243" s="21" t="str">
        <f>IFERROR(__xludf.DUMMYFUNCTION("IFERROR((GOOGLEFINANCE(C243, ""price"") / INDEX(GOOGLEFINANCE(C243, ""price"", EDATE(TODAY(), -3), TODAY()), 2, 2)) - 1, """")"),"")</f>
        <v/>
      </c>
      <c r="O243" s="21" t="str">
        <f>IFERROR(__xludf.DUMMYFUNCTION("IFERROR((GOOGLEFINANCE(C243, ""price"") / INDEX(GOOGLEFINANCE(C243, ""price"", EDATE(TODAY(), -6), TODAY()), 2, 2)) - 1, """")"),"")</f>
        <v/>
      </c>
      <c r="P243" s="21" t="str">
        <f>IFERROR(__xludf.DUMMYFUNCTION("IFERROR((GOOGLEFINANCE(C243, ""price"") / INDEX(GOOGLEFINANCE(C243, ""price"", EDATE(TODAY(), -12), TODAY()), 2, 2)) - 1, """")"),"")</f>
        <v/>
      </c>
      <c r="Q243" s="6" t="str">
        <f>IFERROR(__xludf.DUMMYFUNCTION("AVERAGE(QUERY(GOOGLEFINANCE(C243, ""price"", TODAY()-80, TODAY()), ""SELECT Col2 WHERE Col2 IS NOT NULL ORDER BY Col1 DESC LIMIT 50"", 0))"),"#N/A")</f>
        <v>#N/A</v>
      </c>
      <c r="R243" s="24" t="str">
        <f>IFERROR(__xludf.DUMMYFUNCTION("IFERROR(
  LET(
    data, QUERY(GOOGLEFINANCE(C243,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GOOGLEFINANCE(C243, ""price"")) * 100,
    IF(calc=0, G243, calc)
  ), 
G243)"),"#N/A")</f>
        <v>#N/A</v>
      </c>
      <c r="S243" s="8" t="s">
        <v>15</v>
      </c>
      <c r="T243" s="26" t="str">
        <f>IFERROR(__xludf.DUMMYFUNCTION("IFERROR(TRANSPOSE(QUERY(IFERROR(SORT(GOOGLEFINANCE(C243, ""price"", WORKDAY(TODAY(), -40), TODAY()), 1, FALSE)), ""select Col2 where Col2 is not null limit 22 label Col2 ''"", 0)), """")"),"")</f>
        <v/>
      </c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8"/>
      <c r="AO243" s="28"/>
      <c r="AP243" s="29"/>
      <c r="AQ243" s="29" t="str">
        <f t="shared" ref="AQ243:BL243" si="246">T243/T$2</f>
        <v>#N/A</v>
      </c>
      <c r="AR243" s="29" t="str">
        <f t="shared" si="246"/>
        <v>#DIV/0!</v>
      </c>
      <c r="AS243" s="29" t="str">
        <f t="shared" si="246"/>
        <v>#DIV/0!</v>
      </c>
      <c r="AT243" s="29" t="str">
        <f t="shared" si="246"/>
        <v>#DIV/0!</v>
      </c>
      <c r="AU243" s="29" t="str">
        <f t="shared" si="246"/>
        <v>#DIV/0!</v>
      </c>
      <c r="AV243" s="29" t="str">
        <f t="shared" si="246"/>
        <v>#DIV/0!</v>
      </c>
      <c r="AW243" s="29" t="str">
        <f t="shared" si="246"/>
        <v>#DIV/0!</v>
      </c>
      <c r="AX243" s="29" t="str">
        <f t="shared" si="246"/>
        <v>#DIV/0!</v>
      </c>
      <c r="AY243" s="29" t="str">
        <f t="shared" si="246"/>
        <v>#DIV/0!</v>
      </c>
      <c r="AZ243" s="29" t="str">
        <f t="shared" si="246"/>
        <v>#DIV/0!</v>
      </c>
      <c r="BA243" s="29" t="str">
        <f t="shared" si="246"/>
        <v>#DIV/0!</v>
      </c>
      <c r="BB243" s="29" t="str">
        <f t="shared" si="246"/>
        <v>#DIV/0!</v>
      </c>
      <c r="BC243" s="29" t="str">
        <f t="shared" si="246"/>
        <v>#DIV/0!</v>
      </c>
      <c r="BD243" s="29" t="str">
        <f t="shared" si="246"/>
        <v>#DIV/0!</v>
      </c>
      <c r="BE243" s="29" t="str">
        <f t="shared" si="246"/>
        <v>#DIV/0!</v>
      </c>
      <c r="BF243" s="29" t="str">
        <f t="shared" si="246"/>
        <v>#DIV/0!</v>
      </c>
      <c r="BG243" s="29" t="str">
        <f t="shared" si="246"/>
        <v>#DIV/0!</v>
      </c>
      <c r="BH243" s="29" t="str">
        <f t="shared" si="246"/>
        <v>#DIV/0!</v>
      </c>
      <c r="BI243" s="29" t="str">
        <f t="shared" si="246"/>
        <v>#DIV/0!</v>
      </c>
      <c r="BJ243" s="29" t="str">
        <f t="shared" si="246"/>
        <v>#DIV/0!</v>
      </c>
      <c r="BK243" s="29" t="str">
        <f t="shared" si="246"/>
        <v>#DIV/0!</v>
      </c>
      <c r="BL243" s="29" t="str">
        <f t="shared" si="246"/>
        <v>#DIV/0!</v>
      </c>
      <c r="BM243" s="29" t="str">
        <f t="shared" si="3"/>
        <v>#DIV/0!</v>
      </c>
    </row>
    <row r="244">
      <c r="A244" s="16" t="str">
        <f>IFERROR(__xludf.DUMMYFUNCTION("IFERROR(SPARKLINE(SORT(MAP(TRANSPOSE(AQ244:BL244), LAMBDA(val, IF(ISNUMBER(val), PERCENTRANK(AQ244:BL244, val)+0.01, 0))), SEQUENCE(COLUMNS(AQ244:BL244)), FALSE), {""charttype"",""column""; ""color"",""chartreuse""; ""ymin"", 0; ""ymax"", 1.01; ""highcolo"&amp;"r"", ""darkgreen""; ""lowcolor"", ""red""}), """")"),"")</f>
        <v/>
      </c>
      <c r="B244" s="17" t="str">
        <f t="shared" si="4"/>
        <v/>
      </c>
      <c r="C244" s="1" t="s">
        <v>1102</v>
      </c>
      <c r="D244" s="30" t="str">
        <f>IFERROR(__xludf.DUMMYFUNCTION("IFERROR(GOOGLEFINANCE(C244, ""NAME""))"),"NetApp Inc")</f>
        <v>NetApp Inc</v>
      </c>
      <c r="E244" s="30" t="s">
        <v>58</v>
      </c>
      <c r="F244" s="33" t="str">
        <f>IFERROR(__xludf.DUMMYFUNCTION("( (GOOGLEFINANCE(C244, ""price"") - Q244) / Q244 ) / (R244 / 100)"),"Loading...")</f>
        <v>Loading...</v>
      </c>
      <c r="G244" s="20" t="str">
        <f>IFERROR(__xludf.DUMMYFUNCTION("AVERAGE(ARRAYFORMULA(100 * (QUERY(GOOGLEFINANCE(C244, ""high"", TODAY()-40, TODAY()), ""SELECT Col2 WHERE Col2 IS NOT NULL ORDER BY Col1 DESC LIMIT 20"", 0) / QUERY(GOOGLEFINANCE(C244, ""low"", TODAY()-40, TODAY()), ""SELECT Col2 WHERE Col2 IS NOT NULL OR"&amp;"DER BY Col1 DESC LIMIT 20"", 0) - 1)))"),"#N/A")</f>
        <v>#N/A</v>
      </c>
      <c r="H244" s="35" t="str">
        <f t="shared" si="6"/>
        <v/>
      </c>
      <c r="I244" s="36" t="str">
        <f t="shared" si="7"/>
        <v/>
      </c>
      <c r="J244" s="37" t="str">
        <f>IFERROR(__xludf.DUMMYFUNCTION("IFERROR(
  IF(C244="""",, 
    IFERROR(
      GOOGLEFINANCE(C244, ""price"") * GOOGLEFINANCE(C244, ""volumeavg""), 
      GOOGLEFINANCE(C244, ""price"") * AVERAGE(QUERY(GOOGLEFINANCE(C244, ""volume"", TODAY()-40, TODAY()), ""SELECT Col2 WHERE Col2 IS NOT "&amp;"NULL ORDER BY Col1 DESC LIMIT 20"", 0))
    )
  ), 
"""")"),"")</f>
        <v/>
      </c>
      <c r="K244" s="21" t="str">
        <f>IFERROR(__xludf.DUMMYFUNCTION("IFERROR(GOOGLEFINANCE(C244, ""changepct"") / 100, """")"),"")</f>
        <v/>
      </c>
      <c r="L244" s="21" t="str">
        <f>IFERROR(__xludf.DUMMYFUNCTION("IFERROR((GOOGLEFINANCE(C244, ""price"") / INDEX(GOOGLEFINANCE(C244, ""price"", TODAY()-7, TODAY()), 2, 2)) - 1, """")"),"")</f>
        <v/>
      </c>
      <c r="M244" s="21" t="str">
        <f>IFERROR(__xludf.DUMMYFUNCTION("IFERROR((GOOGLEFINANCE(C244, ""price"") / INDEX(GOOGLEFINANCE(C244, ""price"", EDATE(TODAY(), -1), TODAY()), 2, 2)) - 1, """")"),"")</f>
        <v/>
      </c>
      <c r="N244" s="21" t="str">
        <f>IFERROR(__xludf.DUMMYFUNCTION("IFERROR((GOOGLEFINANCE(C244, ""price"") / INDEX(GOOGLEFINANCE(C244, ""price"", EDATE(TODAY(), -3), TODAY()), 2, 2)) - 1, """")"),"")</f>
        <v/>
      </c>
      <c r="O244" s="21" t="str">
        <f>IFERROR(__xludf.DUMMYFUNCTION("IFERROR((GOOGLEFINANCE(C244, ""price"") / INDEX(GOOGLEFINANCE(C244, ""price"", EDATE(TODAY(), -6), TODAY()), 2, 2)) - 1, """")"),"")</f>
        <v/>
      </c>
      <c r="P244" s="21" t="str">
        <f>IFERROR(__xludf.DUMMYFUNCTION("IFERROR((GOOGLEFINANCE(C244, ""price"") / INDEX(GOOGLEFINANCE(C244, ""price"", EDATE(TODAY(), -12), TODAY()), 2, 2)) - 1, """")"),"")</f>
        <v/>
      </c>
      <c r="Q244" s="6" t="str">
        <f>IFERROR(__xludf.DUMMYFUNCTION("AVERAGE(QUERY(GOOGLEFINANCE(C244, ""price"", TODAY()-80, TODAY()), ""SELECT Col2 WHERE Col2 IS NOT NULL ORDER BY Col1 DESC LIMIT 50"", 0))"),"#N/A")</f>
        <v>#N/A</v>
      </c>
      <c r="R244" s="24" t="str">
        <f>IFERROR(__xludf.DUMMYFUNCTION("IFERROR(
  LET(
    data, QUERY(GOOGLEFINANCE(C244,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GOOGLEFINANCE(C244, ""price"")) * 100,
    IF(calc=0, G244, calc)
  ), 
G244)"),"#N/A")</f>
        <v>#N/A</v>
      </c>
      <c r="S244" s="8" t="s">
        <v>15</v>
      </c>
      <c r="T244" s="26" t="str">
        <f>IFERROR(__xludf.DUMMYFUNCTION("IFERROR(TRANSPOSE(QUERY(IFERROR(SORT(GOOGLEFINANCE(C244, ""price"", WORKDAY(TODAY(), -40), TODAY()), 1, FALSE)), ""select Col2 where Col2 is not null limit 22 label Col2 ''"", 0)), """")"),"")</f>
        <v/>
      </c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8"/>
      <c r="AO244" s="28"/>
      <c r="AP244" s="29"/>
      <c r="AQ244" s="29" t="str">
        <f t="shared" ref="AQ244:BL244" si="247">T244/T$2</f>
        <v>#N/A</v>
      </c>
      <c r="AR244" s="29" t="str">
        <f t="shared" si="247"/>
        <v>#DIV/0!</v>
      </c>
      <c r="AS244" s="29" t="str">
        <f t="shared" si="247"/>
        <v>#DIV/0!</v>
      </c>
      <c r="AT244" s="29" t="str">
        <f t="shared" si="247"/>
        <v>#DIV/0!</v>
      </c>
      <c r="AU244" s="29" t="str">
        <f t="shared" si="247"/>
        <v>#DIV/0!</v>
      </c>
      <c r="AV244" s="29" t="str">
        <f t="shared" si="247"/>
        <v>#DIV/0!</v>
      </c>
      <c r="AW244" s="29" t="str">
        <f t="shared" si="247"/>
        <v>#DIV/0!</v>
      </c>
      <c r="AX244" s="29" t="str">
        <f t="shared" si="247"/>
        <v>#DIV/0!</v>
      </c>
      <c r="AY244" s="29" t="str">
        <f t="shared" si="247"/>
        <v>#DIV/0!</v>
      </c>
      <c r="AZ244" s="29" t="str">
        <f t="shared" si="247"/>
        <v>#DIV/0!</v>
      </c>
      <c r="BA244" s="29" t="str">
        <f t="shared" si="247"/>
        <v>#DIV/0!</v>
      </c>
      <c r="BB244" s="29" t="str">
        <f t="shared" si="247"/>
        <v>#DIV/0!</v>
      </c>
      <c r="BC244" s="29" t="str">
        <f t="shared" si="247"/>
        <v>#DIV/0!</v>
      </c>
      <c r="BD244" s="29" t="str">
        <f t="shared" si="247"/>
        <v>#DIV/0!</v>
      </c>
      <c r="BE244" s="29" t="str">
        <f t="shared" si="247"/>
        <v>#DIV/0!</v>
      </c>
      <c r="BF244" s="29" t="str">
        <f t="shared" si="247"/>
        <v>#DIV/0!</v>
      </c>
      <c r="BG244" s="29" t="str">
        <f t="shared" si="247"/>
        <v>#DIV/0!</v>
      </c>
      <c r="BH244" s="29" t="str">
        <f t="shared" si="247"/>
        <v>#DIV/0!</v>
      </c>
      <c r="BI244" s="29" t="str">
        <f t="shared" si="247"/>
        <v>#DIV/0!</v>
      </c>
      <c r="BJ244" s="29" t="str">
        <f t="shared" si="247"/>
        <v>#DIV/0!</v>
      </c>
      <c r="BK244" s="29" t="str">
        <f t="shared" si="247"/>
        <v>#DIV/0!</v>
      </c>
      <c r="BL244" s="29" t="str">
        <f t="shared" si="247"/>
        <v>#DIV/0!</v>
      </c>
      <c r="BM244" s="29" t="str">
        <f t="shared" si="3"/>
        <v>#DIV/0!</v>
      </c>
    </row>
    <row r="245">
      <c r="A245" s="16" t="str">
        <f>IFERROR(__xludf.DUMMYFUNCTION("IFERROR(SPARKLINE(SORT(MAP(TRANSPOSE(AQ245:BL245), LAMBDA(val, IF(ISNUMBER(val), PERCENTRANK(AQ245:BL245, val)+0.01, 0))), SEQUENCE(COLUMNS(AQ245:BL245)), FALSE), {""charttype"",""column""; ""color"",""chartreuse""; ""ymin"", 0; ""ymax"", 1.01; ""highcolo"&amp;"r"", ""darkgreen""; ""lowcolor"", ""red""}), """")"),"")</f>
        <v/>
      </c>
      <c r="B245" s="17" t="str">
        <f t="shared" si="4"/>
        <v/>
      </c>
      <c r="C245" s="1" t="s">
        <v>1106</v>
      </c>
      <c r="D245" s="30" t="str">
        <f>IFERROR(__xludf.DUMMYFUNCTION("IFERROR(GOOGLEFINANCE(C245, ""NAME""))"),"Novanta Inc")</f>
        <v>Novanta Inc</v>
      </c>
      <c r="E245" s="30" t="s">
        <v>595</v>
      </c>
      <c r="F245" s="38" t="str">
        <f>IFERROR(__xludf.DUMMYFUNCTION("( (GOOGLEFINANCE(C245, ""price"") - Q245) / Q245 ) / (R245 / 100)"),"Loading...")</f>
        <v>Loading...</v>
      </c>
      <c r="G245" s="20" t="str">
        <f>IFERROR(__xludf.DUMMYFUNCTION("AVERAGE(ARRAYFORMULA(100 * (QUERY(GOOGLEFINANCE(C245, ""high"", TODAY()-40, TODAY()), ""SELECT Col2 WHERE Col2 IS NOT NULL ORDER BY Col1 DESC LIMIT 20"", 0) / QUERY(GOOGLEFINANCE(C245, ""low"", TODAY()-40, TODAY()), ""SELECT Col2 WHERE Col2 IS NOT NULL OR"&amp;"DER BY Col1 DESC LIMIT 20"", 0) - 1)))"),"#N/A")</f>
        <v>#N/A</v>
      </c>
      <c r="H245" s="35" t="str">
        <f t="shared" si="6"/>
        <v/>
      </c>
      <c r="I245" s="36" t="str">
        <f t="shared" si="7"/>
        <v/>
      </c>
      <c r="J245" s="37" t="str">
        <f>IFERROR(__xludf.DUMMYFUNCTION("IFERROR(
  IF(C245="""",, 
    IFERROR(
      GOOGLEFINANCE(C245, ""price"") * GOOGLEFINANCE(C245, ""volumeavg""), 
      GOOGLEFINANCE(C245, ""price"") * AVERAGE(QUERY(GOOGLEFINANCE(C245, ""volume"", TODAY()-40, TODAY()), ""SELECT Col2 WHERE Col2 IS NOT "&amp;"NULL ORDER BY Col1 DESC LIMIT 20"", 0))
    )
  ), 
"""")"),"")</f>
        <v/>
      </c>
      <c r="K245" s="21" t="str">
        <f>IFERROR(__xludf.DUMMYFUNCTION("IFERROR(GOOGLEFINANCE(C245, ""changepct"") / 100, """")"),"")</f>
        <v/>
      </c>
      <c r="L245" s="21" t="str">
        <f>IFERROR(__xludf.DUMMYFUNCTION("IFERROR((GOOGLEFINANCE(C245, ""price"") / INDEX(GOOGLEFINANCE(C245, ""price"", TODAY()-7, TODAY()), 2, 2)) - 1, """")"),"")</f>
        <v/>
      </c>
      <c r="M245" s="21" t="str">
        <f>IFERROR(__xludf.DUMMYFUNCTION("IFERROR((GOOGLEFINANCE(C245, ""price"") / INDEX(GOOGLEFINANCE(C245, ""price"", EDATE(TODAY(), -1), TODAY()), 2, 2)) - 1, """")"),"")</f>
        <v/>
      </c>
      <c r="N245" s="21" t="str">
        <f>IFERROR(__xludf.DUMMYFUNCTION("IFERROR((GOOGLEFINANCE(C245, ""price"") / INDEX(GOOGLEFINANCE(C245, ""price"", EDATE(TODAY(), -3), TODAY()), 2, 2)) - 1, """")"),"")</f>
        <v/>
      </c>
      <c r="O245" s="21" t="str">
        <f>IFERROR(__xludf.DUMMYFUNCTION("IFERROR((GOOGLEFINANCE(C245, ""price"") / INDEX(GOOGLEFINANCE(C245, ""price"", EDATE(TODAY(), -6), TODAY()), 2, 2)) - 1, """")"),"")</f>
        <v/>
      </c>
      <c r="P245" s="21" t="str">
        <f>IFERROR(__xludf.DUMMYFUNCTION("IFERROR((GOOGLEFINANCE(C245, ""price"") / INDEX(GOOGLEFINANCE(C245, ""price"", EDATE(TODAY(), -12), TODAY()), 2, 2)) - 1, """")"),"")</f>
        <v/>
      </c>
      <c r="Q245" s="6" t="str">
        <f>IFERROR(__xludf.DUMMYFUNCTION("AVERAGE(QUERY(GOOGLEFINANCE(C245, ""price"", TODAY()-80, TODAY()), ""SELECT Col2 WHERE Col2 IS NOT NULL ORDER BY Col1 DESC LIMIT 50"", 0))"),"#N/A")</f>
        <v>#N/A</v>
      </c>
      <c r="R245" s="24" t="str">
        <f>IFERROR(__xludf.DUMMYFUNCTION("IFERROR(
  LET(
    data, QUERY(GOOGLEFINANCE(C245,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GOOGLEFINANCE(C245, ""price"")) * 100,
    IF(calc=0, G245, calc)
  ), 
G245)"),"#N/A")</f>
        <v>#N/A</v>
      </c>
      <c r="S245" s="8" t="s">
        <v>15</v>
      </c>
      <c r="T245" s="26" t="str">
        <f>IFERROR(__xludf.DUMMYFUNCTION("IFERROR(TRANSPOSE(QUERY(IFERROR(SORT(GOOGLEFINANCE(C245, ""price"", WORKDAY(TODAY(), -40), TODAY()), 1, FALSE)), ""select Col2 where Col2 is not null limit 22 label Col2 ''"", 0)), """")"),"")</f>
        <v/>
      </c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8"/>
      <c r="AO245" s="28"/>
      <c r="AP245" s="29"/>
      <c r="AQ245" s="29" t="str">
        <f t="shared" ref="AQ245:BL245" si="248">T245/T$2</f>
        <v>#N/A</v>
      </c>
      <c r="AR245" s="29" t="str">
        <f t="shared" si="248"/>
        <v>#DIV/0!</v>
      </c>
      <c r="AS245" s="29" t="str">
        <f t="shared" si="248"/>
        <v>#DIV/0!</v>
      </c>
      <c r="AT245" s="29" t="str">
        <f t="shared" si="248"/>
        <v>#DIV/0!</v>
      </c>
      <c r="AU245" s="29" t="str">
        <f t="shared" si="248"/>
        <v>#DIV/0!</v>
      </c>
      <c r="AV245" s="29" t="str">
        <f t="shared" si="248"/>
        <v>#DIV/0!</v>
      </c>
      <c r="AW245" s="29" t="str">
        <f t="shared" si="248"/>
        <v>#DIV/0!</v>
      </c>
      <c r="AX245" s="29" t="str">
        <f t="shared" si="248"/>
        <v>#DIV/0!</v>
      </c>
      <c r="AY245" s="29" t="str">
        <f t="shared" si="248"/>
        <v>#DIV/0!</v>
      </c>
      <c r="AZ245" s="29" t="str">
        <f t="shared" si="248"/>
        <v>#DIV/0!</v>
      </c>
      <c r="BA245" s="29" t="str">
        <f t="shared" si="248"/>
        <v>#DIV/0!</v>
      </c>
      <c r="BB245" s="29" t="str">
        <f t="shared" si="248"/>
        <v>#DIV/0!</v>
      </c>
      <c r="BC245" s="29" t="str">
        <f t="shared" si="248"/>
        <v>#DIV/0!</v>
      </c>
      <c r="BD245" s="29" t="str">
        <f t="shared" si="248"/>
        <v>#DIV/0!</v>
      </c>
      <c r="BE245" s="29" t="str">
        <f t="shared" si="248"/>
        <v>#DIV/0!</v>
      </c>
      <c r="BF245" s="29" t="str">
        <f t="shared" si="248"/>
        <v>#DIV/0!</v>
      </c>
      <c r="BG245" s="29" t="str">
        <f t="shared" si="248"/>
        <v>#DIV/0!</v>
      </c>
      <c r="BH245" s="29" t="str">
        <f t="shared" si="248"/>
        <v>#DIV/0!</v>
      </c>
      <c r="BI245" s="29" t="str">
        <f t="shared" si="248"/>
        <v>#DIV/0!</v>
      </c>
      <c r="BJ245" s="29" t="str">
        <f t="shared" si="248"/>
        <v>#DIV/0!</v>
      </c>
      <c r="BK245" s="29" t="str">
        <f t="shared" si="248"/>
        <v>#DIV/0!</v>
      </c>
      <c r="BL245" s="29" t="str">
        <f t="shared" si="248"/>
        <v>#DIV/0!</v>
      </c>
      <c r="BM245" s="29" t="str">
        <f t="shared" si="3"/>
        <v>#DIV/0!</v>
      </c>
    </row>
    <row r="246">
      <c r="A246" s="16" t="str">
        <f>IFERROR(__xludf.DUMMYFUNCTION("IFERROR(SPARKLINE(SORT(MAP(TRANSPOSE(AQ246:BL246), LAMBDA(val, IF(ISNUMBER(val), PERCENTRANK(AQ246:BL246, val)+0.01, 0))), SEQUENCE(COLUMNS(AQ246:BL246)), FALSE), {""charttype"",""column""; ""color"",""chartreuse""; ""ymin"", 0; ""ymax"", 1.01; ""highcolo"&amp;"r"", ""darkgreen""; ""lowcolor"", ""red""}), """")"),"")</f>
        <v/>
      </c>
      <c r="B246" s="17" t="str">
        <f t="shared" si="4"/>
        <v/>
      </c>
      <c r="C246" s="1" t="s">
        <v>1109</v>
      </c>
      <c r="D246" s="30" t="str">
        <f>IFERROR(__xludf.DUMMYFUNCTION("IFERROR(GOOGLEFINANCE(C246, ""NAME""))"),"Logitech International SA")</f>
        <v>Logitech International SA</v>
      </c>
      <c r="E246" s="30" t="s">
        <v>477</v>
      </c>
      <c r="F246" s="33" t="str">
        <f>IFERROR(__xludf.DUMMYFUNCTION("( (GOOGLEFINANCE(C246, ""price"") - Q246) / Q246 ) / (R246 / 100)"),"Loading...")</f>
        <v>Loading...</v>
      </c>
      <c r="G246" s="20" t="str">
        <f>IFERROR(__xludf.DUMMYFUNCTION("AVERAGE(ARRAYFORMULA(100 * (QUERY(GOOGLEFINANCE(C246, ""high"", TODAY()-40, TODAY()), ""SELECT Col2 WHERE Col2 IS NOT NULL ORDER BY Col1 DESC LIMIT 20"", 0) / QUERY(GOOGLEFINANCE(C246, ""low"", TODAY()-40, TODAY()), ""SELECT Col2 WHERE Col2 IS NOT NULL OR"&amp;"DER BY Col1 DESC LIMIT 20"", 0) - 1)))"),"#N/A")</f>
        <v>#N/A</v>
      </c>
      <c r="H246" s="35" t="str">
        <f t="shared" si="6"/>
        <v/>
      </c>
      <c r="I246" s="36" t="str">
        <f t="shared" si="7"/>
        <v/>
      </c>
      <c r="J246" s="37" t="str">
        <f>IFERROR(__xludf.DUMMYFUNCTION("IFERROR(
  IF(C246="""",, 
    IFERROR(
      GOOGLEFINANCE(C246, ""price"") * GOOGLEFINANCE(C246, ""volumeavg""), 
      GOOGLEFINANCE(C246, ""price"") * AVERAGE(QUERY(GOOGLEFINANCE(C246, ""volume"", TODAY()-40, TODAY()), ""SELECT Col2 WHERE Col2 IS NOT "&amp;"NULL ORDER BY Col1 DESC LIMIT 20"", 0))
    )
  ), 
"""")"),"")</f>
        <v/>
      </c>
      <c r="K246" s="21" t="str">
        <f>IFERROR(__xludf.DUMMYFUNCTION("IFERROR(GOOGLEFINANCE(C246, ""changepct"") / 100, """")"),"")</f>
        <v/>
      </c>
      <c r="L246" s="21" t="str">
        <f>IFERROR(__xludf.DUMMYFUNCTION("IFERROR((GOOGLEFINANCE(C246, ""price"") / INDEX(GOOGLEFINANCE(C246, ""price"", TODAY()-7, TODAY()), 2, 2)) - 1, """")"),"")</f>
        <v/>
      </c>
      <c r="M246" s="21" t="str">
        <f>IFERROR(__xludf.DUMMYFUNCTION("IFERROR((GOOGLEFINANCE(C246, ""price"") / INDEX(GOOGLEFINANCE(C246, ""price"", EDATE(TODAY(), -1), TODAY()), 2, 2)) - 1, """")"),"")</f>
        <v/>
      </c>
      <c r="N246" s="21" t="str">
        <f>IFERROR(__xludf.DUMMYFUNCTION("IFERROR((GOOGLEFINANCE(C246, ""price"") / INDEX(GOOGLEFINANCE(C246, ""price"", EDATE(TODAY(), -3), TODAY()), 2, 2)) - 1, """")"),"")</f>
        <v/>
      </c>
      <c r="O246" s="21" t="str">
        <f>IFERROR(__xludf.DUMMYFUNCTION("IFERROR((GOOGLEFINANCE(C246, ""price"") / INDEX(GOOGLEFINANCE(C246, ""price"", EDATE(TODAY(), -6), TODAY()), 2, 2)) - 1, """")"),"")</f>
        <v/>
      </c>
      <c r="P246" s="21" t="str">
        <f>IFERROR(__xludf.DUMMYFUNCTION("IFERROR((GOOGLEFINANCE(C246, ""price"") / INDEX(GOOGLEFINANCE(C246, ""price"", EDATE(TODAY(), -12), TODAY()), 2, 2)) - 1, """")"),"")</f>
        <v/>
      </c>
      <c r="Q246" s="6" t="str">
        <f>IFERROR(__xludf.DUMMYFUNCTION("AVERAGE(QUERY(GOOGLEFINANCE(C246, ""price"", TODAY()-80, TODAY()), ""SELECT Col2 WHERE Col2 IS NOT NULL ORDER BY Col1 DESC LIMIT 50"", 0))"),"#N/A")</f>
        <v>#N/A</v>
      </c>
      <c r="R246" s="24" t="str">
        <f>IFERROR(__xludf.DUMMYFUNCTION("IFERROR(
  LET(
    data, QUERY(GOOGLEFINANCE(C246,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GOOGLEFINANCE(C246, ""price"")) * 100,
    IF(calc=0, G246, calc)
  ), 
G246)"),"#N/A")</f>
        <v>#N/A</v>
      </c>
      <c r="S246" s="8" t="s">
        <v>15</v>
      </c>
      <c r="T246" s="26" t="str">
        <f>IFERROR(__xludf.DUMMYFUNCTION("IFERROR(TRANSPOSE(QUERY(IFERROR(SORT(GOOGLEFINANCE(C246, ""price"", WORKDAY(TODAY(), -40), TODAY()), 1, FALSE)), ""select Col2 where Col2 is not null limit 22 label Col2 ''"", 0)), """")"),"")</f>
        <v/>
      </c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8"/>
      <c r="AO246" s="28"/>
      <c r="AP246" s="29"/>
      <c r="AQ246" s="29" t="str">
        <f t="shared" ref="AQ246:BL246" si="249">T246/T$2</f>
        <v>#N/A</v>
      </c>
      <c r="AR246" s="29" t="str">
        <f t="shared" si="249"/>
        <v>#DIV/0!</v>
      </c>
      <c r="AS246" s="29" t="str">
        <f t="shared" si="249"/>
        <v>#DIV/0!</v>
      </c>
      <c r="AT246" s="29" t="str">
        <f t="shared" si="249"/>
        <v>#DIV/0!</v>
      </c>
      <c r="AU246" s="29" t="str">
        <f t="shared" si="249"/>
        <v>#DIV/0!</v>
      </c>
      <c r="AV246" s="29" t="str">
        <f t="shared" si="249"/>
        <v>#DIV/0!</v>
      </c>
      <c r="AW246" s="29" t="str">
        <f t="shared" si="249"/>
        <v>#DIV/0!</v>
      </c>
      <c r="AX246" s="29" t="str">
        <f t="shared" si="249"/>
        <v>#DIV/0!</v>
      </c>
      <c r="AY246" s="29" t="str">
        <f t="shared" si="249"/>
        <v>#DIV/0!</v>
      </c>
      <c r="AZ246" s="29" t="str">
        <f t="shared" si="249"/>
        <v>#DIV/0!</v>
      </c>
      <c r="BA246" s="29" t="str">
        <f t="shared" si="249"/>
        <v>#DIV/0!</v>
      </c>
      <c r="BB246" s="29" t="str">
        <f t="shared" si="249"/>
        <v>#DIV/0!</v>
      </c>
      <c r="BC246" s="29" t="str">
        <f t="shared" si="249"/>
        <v>#DIV/0!</v>
      </c>
      <c r="BD246" s="29" t="str">
        <f t="shared" si="249"/>
        <v>#DIV/0!</v>
      </c>
      <c r="BE246" s="29" t="str">
        <f t="shared" si="249"/>
        <v>#DIV/0!</v>
      </c>
      <c r="BF246" s="29" t="str">
        <f t="shared" si="249"/>
        <v>#DIV/0!</v>
      </c>
      <c r="BG246" s="29" t="str">
        <f t="shared" si="249"/>
        <v>#DIV/0!</v>
      </c>
      <c r="BH246" s="29" t="str">
        <f t="shared" si="249"/>
        <v>#DIV/0!</v>
      </c>
      <c r="BI246" s="29" t="str">
        <f t="shared" si="249"/>
        <v>#DIV/0!</v>
      </c>
      <c r="BJ246" s="29" t="str">
        <f t="shared" si="249"/>
        <v>#DIV/0!</v>
      </c>
      <c r="BK246" s="29" t="str">
        <f t="shared" si="249"/>
        <v>#DIV/0!</v>
      </c>
      <c r="BL246" s="29" t="str">
        <f t="shared" si="249"/>
        <v>#DIV/0!</v>
      </c>
      <c r="BM246" s="29" t="str">
        <f t="shared" si="3"/>
        <v>#DIV/0!</v>
      </c>
    </row>
    <row r="247">
      <c r="A247" s="16" t="str">
        <f>IFERROR(__xludf.DUMMYFUNCTION("IFERROR(SPARKLINE(SORT(MAP(TRANSPOSE(AQ247:BL247), LAMBDA(val, IF(ISNUMBER(val), PERCENTRANK(AQ247:BL247, val)+0.01, 0))), SEQUENCE(COLUMNS(AQ247:BL247)), FALSE), {""charttype"",""column""; ""color"",""chartreuse""; ""ymin"", 0; ""ymax"", 1.01; ""highcolo"&amp;"r"", ""darkgreen""; ""lowcolor"", ""red""}), """")"),"")</f>
        <v/>
      </c>
      <c r="B247" s="17" t="str">
        <f t="shared" si="4"/>
        <v/>
      </c>
      <c r="C247" s="1" t="s">
        <v>1112</v>
      </c>
      <c r="D247" s="30" t="str">
        <f>IFERROR(__xludf.DUMMYFUNCTION("IFERROR(GOOGLEFINANCE(C247, ""NAME""))"),"InterDigital Inc")</f>
        <v>InterDigital Inc</v>
      </c>
      <c r="E247" s="30" t="s">
        <v>48</v>
      </c>
      <c r="F247" s="33" t="str">
        <f>IFERROR(__xludf.DUMMYFUNCTION("( (GOOGLEFINANCE(C247, ""price"") - Q247) / Q247 ) / (R247 / 100)"),"Loading...")</f>
        <v>Loading...</v>
      </c>
      <c r="G247" s="20" t="str">
        <f>IFERROR(__xludf.DUMMYFUNCTION("AVERAGE(ARRAYFORMULA(100 * (QUERY(GOOGLEFINANCE(C247, ""high"", TODAY()-40, TODAY()), ""SELECT Col2 WHERE Col2 IS NOT NULL ORDER BY Col1 DESC LIMIT 20"", 0) / QUERY(GOOGLEFINANCE(C247, ""low"", TODAY()-40, TODAY()), ""SELECT Col2 WHERE Col2 IS NOT NULL OR"&amp;"DER BY Col1 DESC LIMIT 20"", 0) - 1)))"),"#N/A")</f>
        <v>#N/A</v>
      </c>
      <c r="H247" s="35" t="str">
        <f t="shared" si="6"/>
        <v/>
      </c>
      <c r="I247" s="36" t="str">
        <f t="shared" si="7"/>
        <v/>
      </c>
      <c r="J247" s="37" t="str">
        <f>IFERROR(__xludf.DUMMYFUNCTION("IFERROR(
  IF(C247="""",, 
    IFERROR(
      GOOGLEFINANCE(C247, ""price"") * GOOGLEFINANCE(C247, ""volumeavg""), 
      GOOGLEFINANCE(C247, ""price"") * AVERAGE(QUERY(GOOGLEFINANCE(C247, ""volume"", TODAY()-40, TODAY()), ""SELECT Col2 WHERE Col2 IS NOT "&amp;"NULL ORDER BY Col1 DESC LIMIT 20"", 0))
    )
  ), 
"""")"),"")</f>
        <v/>
      </c>
      <c r="K247" s="21" t="str">
        <f>IFERROR(__xludf.DUMMYFUNCTION("IFERROR(GOOGLEFINANCE(C247, ""changepct"") / 100, """")"),"")</f>
        <v/>
      </c>
      <c r="L247" s="21" t="str">
        <f>IFERROR(__xludf.DUMMYFUNCTION("IFERROR((GOOGLEFINANCE(C247, ""price"") / INDEX(GOOGLEFINANCE(C247, ""price"", TODAY()-7, TODAY()), 2, 2)) - 1, """")"),"")</f>
        <v/>
      </c>
      <c r="M247" s="21" t="str">
        <f>IFERROR(__xludf.DUMMYFUNCTION("IFERROR((GOOGLEFINANCE(C247, ""price"") / INDEX(GOOGLEFINANCE(C247, ""price"", EDATE(TODAY(), -1), TODAY()), 2, 2)) - 1, """")"),"")</f>
        <v/>
      </c>
      <c r="N247" s="21" t="str">
        <f>IFERROR(__xludf.DUMMYFUNCTION("IFERROR((GOOGLEFINANCE(C247, ""price"") / INDEX(GOOGLEFINANCE(C247, ""price"", EDATE(TODAY(), -3), TODAY()), 2, 2)) - 1, """")"),"")</f>
        <v/>
      </c>
      <c r="O247" s="21" t="str">
        <f>IFERROR(__xludf.DUMMYFUNCTION("IFERROR((GOOGLEFINANCE(C247, ""price"") / INDEX(GOOGLEFINANCE(C247, ""price"", EDATE(TODAY(), -6), TODAY()), 2, 2)) - 1, """")"),"")</f>
        <v/>
      </c>
      <c r="P247" s="21" t="str">
        <f>IFERROR(__xludf.DUMMYFUNCTION("IFERROR((GOOGLEFINANCE(C247, ""price"") / INDEX(GOOGLEFINANCE(C247, ""price"", EDATE(TODAY(), -12), TODAY()), 2, 2)) - 1, """")"),"")</f>
        <v/>
      </c>
      <c r="Q247" s="6" t="str">
        <f>IFERROR(__xludf.DUMMYFUNCTION("AVERAGE(QUERY(GOOGLEFINANCE(C247, ""price"", TODAY()-80, TODAY()), ""SELECT Col2 WHERE Col2 IS NOT NULL ORDER BY Col1 DESC LIMIT 50"", 0))"),"#N/A")</f>
        <v>#N/A</v>
      </c>
      <c r="R247" s="24" t="str">
        <f>IFERROR(__xludf.DUMMYFUNCTION("IFERROR(
  LET(
    data, QUERY(GOOGLEFINANCE(C247,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GOOGLEFINANCE(C247, ""price"")) * 100,
    IF(calc=0, G247, calc)
  ), 
G247)"),"#N/A")</f>
        <v>#N/A</v>
      </c>
      <c r="S247" s="8" t="s">
        <v>15</v>
      </c>
      <c r="T247" s="26" t="str">
        <f>IFERROR(__xludf.DUMMYFUNCTION("IFERROR(TRANSPOSE(QUERY(IFERROR(SORT(GOOGLEFINANCE(C247, ""price"", WORKDAY(TODAY(), -40), TODAY()), 1, FALSE)), ""select Col2 where Col2 is not null limit 22 label Col2 ''"", 0)), """")"),"")</f>
        <v/>
      </c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8"/>
      <c r="AO247" s="28"/>
      <c r="AP247" s="29"/>
      <c r="AQ247" s="29" t="str">
        <f t="shared" ref="AQ247:BL247" si="250">T247/T$2</f>
        <v>#N/A</v>
      </c>
      <c r="AR247" s="29" t="str">
        <f t="shared" si="250"/>
        <v>#DIV/0!</v>
      </c>
      <c r="AS247" s="29" t="str">
        <f t="shared" si="250"/>
        <v>#DIV/0!</v>
      </c>
      <c r="AT247" s="29" t="str">
        <f t="shared" si="250"/>
        <v>#DIV/0!</v>
      </c>
      <c r="AU247" s="29" t="str">
        <f t="shared" si="250"/>
        <v>#DIV/0!</v>
      </c>
      <c r="AV247" s="29" t="str">
        <f t="shared" si="250"/>
        <v>#DIV/0!</v>
      </c>
      <c r="AW247" s="29" t="str">
        <f t="shared" si="250"/>
        <v>#DIV/0!</v>
      </c>
      <c r="AX247" s="29" t="str">
        <f t="shared" si="250"/>
        <v>#DIV/0!</v>
      </c>
      <c r="AY247" s="29" t="str">
        <f t="shared" si="250"/>
        <v>#DIV/0!</v>
      </c>
      <c r="AZ247" s="29" t="str">
        <f t="shared" si="250"/>
        <v>#DIV/0!</v>
      </c>
      <c r="BA247" s="29" t="str">
        <f t="shared" si="250"/>
        <v>#DIV/0!</v>
      </c>
      <c r="BB247" s="29" t="str">
        <f t="shared" si="250"/>
        <v>#DIV/0!</v>
      </c>
      <c r="BC247" s="29" t="str">
        <f t="shared" si="250"/>
        <v>#DIV/0!</v>
      </c>
      <c r="BD247" s="29" t="str">
        <f t="shared" si="250"/>
        <v>#DIV/0!</v>
      </c>
      <c r="BE247" s="29" t="str">
        <f t="shared" si="250"/>
        <v>#DIV/0!</v>
      </c>
      <c r="BF247" s="29" t="str">
        <f t="shared" si="250"/>
        <v>#DIV/0!</v>
      </c>
      <c r="BG247" s="29" t="str">
        <f t="shared" si="250"/>
        <v>#DIV/0!</v>
      </c>
      <c r="BH247" s="29" t="str">
        <f t="shared" si="250"/>
        <v>#DIV/0!</v>
      </c>
      <c r="BI247" s="29" t="str">
        <f t="shared" si="250"/>
        <v>#DIV/0!</v>
      </c>
      <c r="BJ247" s="29" t="str">
        <f t="shared" si="250"/>
        <v>#DIV/0!</v>
      </c>
      <c r="BK247" s="29" t="str">
        <f t="shared" si="250"/>
        <v>#DIV/0!</v>
      </c>
      <c r="BL247" s="29" t="str">
        <f t="shared" si="250"/>
        <v>#DIV/0!</v>
      </c>
      <c r="BM247" s="29" t="str">
        <f t="shared" si="3"/>
        <v>#DIV/0!</v>
      </c>
    </row>
    <row r="248">
      <c r="A248" s="16" t="str">
        <f>IFERROR(__xludf.DUMMYFUNCTION("IFERROR(SPARKLINE(SORT(MAP(TRANSPOSE(AQ248:BL248), LAMBDA(val, IF(ISNUMBER(val), PERCENTRANK(AQ248:BL248, val)+0.01, 0))), SEQUENCE(COLUMNS(AQ248:BL248)), FALSE), {""charttype"",""column""; ""color"",""chartreuse""; ""ymin"", 0; ""ymax"", 1.01; ""highcolo"&amp;"r"", ""darkgreen""; ""lowcolor"", ""red""}), """")"),"")</f>
        <v/>
      </c>
      <c r="B248" s="17" t="str">
        <f t="shared" si="4"/>
        <v/>
      </c>
      <c r="C248" s="1" t="s">
        <v>1116</v>
      </c>
      <c r="D248" s="30" t="str">
        <f>IFERROR(__xludf.DUMMYFUNCTION("IFERROR(GOOGLEFINANCE(C248, ""NAME""))"),"BTQ Technologies Corp")</f>
        <v>BTQ Technologies Corp</v>
      </c>
      <c r="E248" s="30" t="s">
        <v>58</v>
      </c>
      <c r="F248" s="38" t="str">
        <f>IFERROR(__xludf.DUMMYFUNCTION("( (GOOGLEFINANCE(C248, ""price"") - Q248) / Q248 ) / (R248 / 100)"),"Loading...")</f>
        <v>Loading...</v>
      </c>
      <c r="G248" s="20" t="str">
        <f>IFERROR(__xludf.DUMMYFUNCTION("AVERAGE(ARRAYFORMULA(100 * (QUERY(GOOGLEFINANCE(C248, ""high"", TODAY()-40, TODAY()), ""SELECT Col2 WHERE Col2 IS NOT NULL ORDER BY Col1 DESC LIMIT 20"", 0) / QUERY(GOOGLEFINANCE(C248, ""low"", TODAY()-40, TODAY()), ""SELECT Col2 WHERE Col2 IS NOT NULL OR"&amp;"DER BY Col1 DESC LIMIT 20"", 0) - 1)))"),"#N/A")</f>
        <v>#N/A</v>
      </c>
      <c r="H248" s="35" t="str">
        <f t="shared" si="6"/>
        <v/>
      </c>
      <c r="I248" s="36" t="str">
        <f t="shared" si="7"/>
        <v/>
      </c>
      <c r="J248" s="37" t="str">
        <f>IFERROR(__xludf.DUMMYFUNCTION("IFERROR(
  IF(C248="""",, 
    IFERROR(
      GOOGLEFINANCE(C248, ""price"") * GOOGLEFINANCE(C248, ""volumeavg""), 
      GOOGLEFINANCE(C248, ""price"") * AVERAGE(QUERY(GOOGLEFINANCE(C248, ""volume"", TODAY()-40, TODAY()), ""SELECT Col2 WHERE Col2 IS NOT "&amp;"NULL ORDER BY Col1 DESC LIMIT 20"", 0))
    )
  ), 
"""")"),"")</f>
        <v/>
      </c>
      <c r="K248" s="21" t="str">
        <f>IFERROR(__xludf.DUMMYFUNCTION("IFERROR(GOOGLEFINANCE(C248, ""changepct"") / 100, """")"),"")</f>
        <v/>
      </c>
      <c r="L248" s="21" t="str">
        <f>IFERROR(__xludf.DUMMYFUNCTION("IFERROR((GOOGLEFINANCE(C248, ""price"") / INDEX(GOOGLEFINANCE(C248, ""price"", TODAY()-7, TODAY()), 2, 2)) - 1, """")"),"")</f>
        <v/>
      </c>
      <c r="M248" s="21" t="str">
        <f>IFERROR(__xludf.DUMMYFUNCTION("IFERROR((GOOGLEFINANCE(C248, ""price"") / INDEX(GOOGLEFINANCE(C248, ""price"", EDATE(TODAY(), -1), TODAY()), 2, 2)) - 1, """")"),"")</f>
        <v/>
      </c>
      <c r="N248" s="21" t="str">
        <f>IFERROR(__xludf.DUMMYFUNCTION("IFERROR((GOOGLEFINANCE(C248, ""price"") / INDEX(GOOGLEFINANCE(C248, ""price"", EDATE(TODAY(), -3), TODAY()), 2, 2)) - 1, """")"),"")</f>
        <v/>
      </c>
      <c r="O248" s="21" t="str">
        <f>IFERROR(__xludf.DUMMYFUNCTION("IFERROR((GOOGLEFINANCE(C248, ""price"") / INDEX(GOOGLEFINANCE(C248, ""price"", EDATE(TODAY(), -6), TODAY()), 2, 2)) - 1, """")"),"")</f>
        <v/>
      </c>
      <c r="P248" s="21" t="str">
        <f>IFERROR(__xludf.DUMMYFUNCTION("IFERROR((GOOGLEFINANCE(C248, ""price"") / INDEX(GOOGLEFINANCE(C248, ""price"", EDATE(TODAY(), -12), TODAY()), 2, 2)) - 1, """")"),"")</f>
        <v/>
      </c>
      <c r="Q248" s="6" t="str">
        <f>IFERROR(__xludf.DUMMYFUNCTION("AVERAGE(QUERY(GOOGLEFINANCE(C248, ""price"", TODAY()-80, TODAY()), ""SELECT Col2 WHERE Col2 IS NOT NULL ORDER BY Col1 DESC LIMIT 50"", 0))"),"#N/A")</f>
        <v>#N/A</v>
      </c>
      <c r="R248" s="24" t="str">
        <f>IFERROR(__xludf.DUMMYFUNCTION("IFERROR(
  LET(
    data, QUERY(GOOGLEFINANCE(C248,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GOOGLEFINANCE(C248, ""price"")) * 100,
    IF(calc=0, G248, calc)
  ), 
G248)"),"#N/A")</f>
        <v>#N/A</v>
      </c>
      <c r="S248" s="8" t="s">
        <v>15</v>
      </c>
      <c r="T248" s="26" t="str">
        <f>IFERROR(__xludf.DUMMYFUNCTION("IFERROR(TRANSPOSE(QUERY(IFERROR(SORT(GOOGLEFINANCE(C248, ""price"", WORKDAY(TODAY(), -40), TODAY()), 1, FALSE)), ""select Col2 where Col2 is not null limit 22 label Col2 ''"", 0)), """")"),"")</f>
        <v/>
      </c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8"/>
      <c r="AO248" s="28"/>
      <c r="AP248" s="29"/>
      <c r="AQ248" s="29" t="str">
        <f t="shared" ref="AQ248:BL248" si="251">T248/T$2</f>
        <v>#N/A</v>
      </c>
      <c r="AR248" s="29" t="str">
        <f t="shared" si="251"/>
        <v>#DIV/0!</v>
      </c>
      <c r="AS248" s="29" t="str">
        <f t="shared" si="251"/>
        <v>#DIV/0!</v>
      </c>
      <c r="AT248" s="29" t="str">
        <f t="shared" si="251"/>
        <v>#DIV/0!</v>
      </c>
      <c r="AU248" s="29" t="str">
        <f t="shared" si="251"/>
        <v>#DIV/0!</v>
      </c>
      <c r="AV248" s="29" t="str">
        <f t="shared" si="251"/>
        <v>#DIV/0!</v>
      </c>
      <c r="AW248" s="29" t="str">
        <f t="shared" si="251"/>
        <v>#DIV/0!</v>
      </c>
      <c r="AX248" s="29" t="str">
        <f t="shared" si="251"/>
        <v>#DIV/0!</v>
      </c>
      <c r="AY248" s="29" t="str">
        <f t="shared" si="251"/>
        <v>#DIV/0!</v>
      </c>
      <c r="AZ248" s="29" t="str">
        <f t="shared" si="251"/>
        <v>#DIV/0!</v>
      </c>
      <c r="BA248" s="29" t="str">
        <f t="shared" si="251"/>
        <v>#DIV/0!</v>
      </c>
      <c r="BB248" s="29" t="str">
        <f t="shared" si="251"/>
        <v>#DIV/0!</v>
      </c>
      <c r="BC248" s="29" t="str">
        <f t="shared" si="251"/>
        <v>#DIV/0!</v>
      </c>
      <c r="BD248" s="29" t="str">
        <f t="shared" si="251"/>
        <v>#DIV/0!</v>
      </c>
      <c r="BE248" s="29" t="str">
        <f t="shared" si="251"/>
        <v>#DIV/0!</v>
      </c>
      <c r="BF248" s="29" t="str">
        <f t="shared" si="251"/>
        <v>#DIV/0!</v>
      </c>
      <c r="BG248" s="29" t="str">
        <f t="shared" si="251"/>
        <v>#DIV/0!</v>
      </c>
      <c r="BH248" s="29" t="str">
        <f t="shared" si="251"/>
        <v>#DIV/0!</v>
      </c>
      <c r="BI248" s="29" t="str">
        <f t="shared" si="251"/>
        <v>#DIV/0!</v>
      </c>
      <c r="BJ248" s="29" t="str">
        <f t="shared" si="251"/>
        <v>#DIV/0!</v>
      </c>
      <c r="BK248" s="29" t="str">
        <f t="shared" si="251"/>
        <v>#DIV/0!</v>
      </c>
      <c r="BL248" s="29" t="str">
        <f t="shared" si="251"/>
        <v>#DIV/0!</v>
      </c>
      <c r="BM248" s="29" t="str">
        <f t="shared" si="3"/>
        <v>#DIV/0!</v>
      </c>
    </row>
    <row r="249">
      <c r="A249" s="16" t="str">
        <f>IFERROR(__xludf.DUMMYFUNCTION("IFERROR(SPARKLINE(SORT(MAP(TRANSPOSE(AQ249:BL249), LAMBDA(val, IF(ISNUMBER(val), PERCENTRANK(AQ249:BL249, val)+0.01, 0))), SEQUENCE(COLUMNS(AQ249:BL249)), FALSE), {""charttype"",""column""; ""color"",""chartreuse""; ""ymin"", 0; ""ymax"", 1.01; ""highcolo"&amp;"r"", ""darkgreen""; ""lowcolor"", ""red""}), """")"),"")</f>
        <v/>
      </c>
      <c r="B249" s="17" t="str">
        <f t="shared" si="4"/>
        <v/>
      </c>
      <c r="C249" s="1" t="s">
        <v>1119</v>
      </c>
      <c r="D249" s="30" t="str">
        <f>IFERROR(__xludf.DUMMYFUNCTION("IFERROR(GOOGLEFINANCE(C249, ""NAME""))"),"Lesaka Technologies Inc")</f>
        <v>Lesaka Technologies Inc</v>
      </c>
      <c r="E249" s="30" t="s">
        <v>58</v>
      </c>
      <c r="F249" s="33" t="str">
        <f>IFERROR(__xludf.DUMMYFUNCTION("( (GOOGLEFINANCE(C249, ""price"") - Q249) / Q249 ) / (R249 / 100)"),"Loading...")</f>
        <v>Loading...</v>
      </c>
      <c r="G249" s="20" t="str">
        <f>IFERROR(__xludf.DUMMYFUNCTION("AVERAGE(ARRAYFORMULA(100 * (QUERY(GOOGLEFINANCE(C249, ""high"", TODAY()-40, TODAY()), ""SELECT Col2 WHERE Col2 IS NOT NULL ORDER BY Col1 DESC LIMIT 20"", 0) / QUERY(GOOGLEFINANCE(C249, ""low"", TODAY()-40, TODAY()), ""SELECT Col2 WHERE Col2 IS NOT NULL OR"&amp;"DER BY Col1 DESC LIMIT 20"", 0) - 1)))"),"#N/A")</f>
        <v>#N/A</v>
      </c>
      <c r="H249" s="35" t="str">
        <f t="shared" si="6"/>
        <v/>
      </c>
      <c r="I249" s="36" t="str">
        <f t="shared" si="7"/>
        <v/>
      </c>
      <c r="J249" s="37" t="str">
        <f>IFERROR(__xludf.DUMMYFUNCTION("IFERROR(
  IF(C249="""",, 
    IFERROR(
      GOOGLEFINANCE(C249, ""price"") * GOOGLEFINANCE(C249, ""volumeavg""), 
      GOOGLEFINANCE(C249, ""price"") * AVERAGE(QUERY(GOOGLEFINANCE(C249, ""volume"", TODAY()-40, TODAY()), ""SELECT Col2 WHERE Col2 IS NOT "&amp;"NULL ORDER BY Col1 DESC LIMIT 20"", 0))
    )
  ), 
"""")"),"")</f>
        <v/>
      </c>
      <c r="K249" s="21" t="str">
        <f>IFERROR(__xludf.DUMMYFUNCTION("IFERROR(GOOGLEFINANCE(C249, ""changepct"") / 100, """")"),"")</f>
        <v/>
      </c>
      <c r="L249" s="21" t="str">
        <f>IFERROR(__xludf.DUMMYFUNCTION("IFERROR((GOOGLEFINANCE(C249, ""price"") / INDEX(GOOGLEFINANCE(C249, ""price"", TODAY()-7, TODAY()), 2, 2)) - 1, """")"),"")</f>
        <v/>
      </c>
      <c r="M249" s="21" t="str">
        <f>IFERROR(__xludf.DUMMYFUNCTION("IFERROR((GOOGLEFINANCE(C249, ""price"") / INDEX(GOOGLEFINANCE(C249, ""price"", EDATE(TODAY(), -1), TODAY()), 2, 2)) - 1, """")"),"")</f>
        <v/>
      </c>
      <c r="N249" s="21" t="str">
        <f>IFERROR(__xludf.DUMMYFUNCTION("IFERROR((GOOGLEFINANCE(C249, ""price"") / INDEX(GOOGLEFINANCE(C249, ""price"", EDATE(TODAY(), -3), TODAY()), 2, 2)) - 1, """")"),"")</f>
        <v/>
      </c>
      <c r="O249" s="21" t="str">
        <f>IFERROR(__xludf.DUMMYFUNCTION("IFERROR((GOOGLEFINANCE(C249, ""price"") / INDEX(GOOGLEFINANCE(C249, ""price"", EDATE(TODAY(), -6), TODAY()), 2, 2)) - 1, """")"),"")</f>
        <v/>
      </c>
      <c r="P249" s="21" t="str">
        <f>IFERROR(__xludf.DUMMYFUNCTION("IFERROR((GOOGLEFINANCE(C249, ""price"") / INDEX(GOOGLEFINANCE(C249, ""price"", EDATE(TODAY(), -12), TODAY()), 2, 2)) - 1, """")"),"")</f>
        <v/>
      </c>
      <c r="Q249" s="6" t="str">
        <f>IFERROR(__xludf.DUMMYFUNCTION("AVERAGE(QUERY(GOOGLEFINANCE(C249, ""price"", TODAY()-80, TODAY()), ""SELECT Col2 WHERE Col2 IS NOT NULL ORDER BY Col1 DESC LIMIT 50"", 0))"),"#N/A")</f>
        <v>#N/A</v>
      </c>
      <c r="R249" s="24" t="str">
        <f>IFERROR(__xludf.DUMMYFUNCTION("IFERROR(
  LET(
    data, QUERY(GOOGLEFINANCE(C249,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GOOGLEFINANCE(C249, ""price"")) * 100,
    IF(calc=0, G249, calc)
  ), 
G249)"),"#N/A")</f>
        <v>#N/A</v>
      </c>
      <c r="S249" s="8" t="s">
        <v>15</v>
      </c>
      <c r="T249" s="26" t="str">
        <f>IFERROR(__xludf.DUMMYFUNCTION("IFERROR(TRANSPOSE(QUERY(IFERROR(SORT(GOOGLEFINANCE(C249, ""price"", WORKDAY(TODAY(), -40), TODAY()), 1, FALSE)), ""select Col2 where Col2 is not null limit 22 label Col2 ''"", 0)), """")"),"")</f>
        <v/>
      </c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8"/>
      <c r="AO249" s="28"/>
      <c r="AP249" s="29"/>
      <c r="AQ249" s="29" t="str">
        <f t="shared" ref="AQ249:BL249" si="252">T249/T$2</f>
        <v>#N/A</v>
      </c>
      <c r="AR249" s="29" t="str">
        <f t="shared" si="252"/>
        <v>#DIV/0!</v>
      </c>
      <c r="AS249" s="29" t="str">
        <f t="shared" si="252"/>
        <v>#DIV/0!</v>
      </c>
      <c r="AT249" s="29" t="str">
        <f t="shared" si="252"/>
        <v>#DIV/0!</v>
      </c>
      <c r="AU249" s="29" t="str">
        <f t="shared" si="252"/>
        <v>#DIV/0!</v>
      </c>
      <c r="AV249" s="29" t="str">
        <f t="shared" si="252"/>
        <v>#DIV/0!</v>
      </c>
      <c r="AW249" s="29" t="str">
        <f t="shared" si="252"/>
        <v>#DIV/0!</v>
      </c>
      <c r="AX249" s="29" t="str">
        <f t="shared" si="252"/>
        <v>#DIV/0!</v>
      </c>
      <c r="AY249" s="29" t="str">
        <f t="shared" si="252"/>
        <v>#DIV/0!</v>
      </c>
      <c r="AZ249" s="29" t="str">
        <f t="shared" si="252"/>
        <v>#DIV/0!</v>
      </c>
      <c r="BA249" s="29" t="str">
        <f t="shared" si="252"/>
        <v>#DIV/0!</v>
      </c>
      <c r="BB249" s="29" t="str">
        <f t="shared" si="252"/>
        <v>#DIV/0!</v>
      </c>
      <c r="BC249" s="29" t="str">
        <f t="shared" si="252"/>
        <v>#DIV/0!</v>
      </c>
      <c r="BD249" s="29" t="str">
        <f t="shared" si="252"/>
        <v>#DIV/0!</v>
      </c>
      <c r="BE249" s="29" t="str">
        <f t="shared" si="252"/>
        <v>#DIV/0!</v>
      </c>
      <c r="BF249" s="29" t="str">
        <f t="shared" si="252"/>
        <v>#DIV/0!</v>
      </c>
      <c r="BG249" s="29" t="str">
        <f t="shared" si="252"/>
        <v>#DIV/0!</v>
      </c>
      <c r="BH249" s="29" t="str">
        <f t="shared" si="252"/>
        <v>#DIV/0!</v>
      </c>
      <c r="BI249" s="29" t="str">
        <f t="shared" si="252"/>
        <v>#DIV/0!</v>
      </c>
      <c r="BJ249" s="29" t="str">
        <f t="shared" si="252"/>
        <v>#DIV/0!</v>
      </c>
      <c r="BK249" s="29" t="str">
        <f t="shared" si="252"/>
        <v>#DIV/0!</v>
      </c>
      <c r="BL249" s="29" t="str">
        <f t="shared" si="252"/>
        <v>#DIV/0!</v>
      </c>
      <c r="BM249" s="29" t="str">
        <f t="shared" si="3"/>
        <v>#DIV/0!</v>
      </c>
    </row>
    <row r="250">
      <c r="A250" s="16" t="str">
        <f>IFERROR(__xludf.DUMMYFUNCTION("IFERROR(SPARKLINE(SORT(MAP(TRANSPOSE(AQ250:BL250), LAMBDA(val, IF(ISNUMBER(val), PERCENTRANK(AQ250:BL250, val)+0.01, 0))), SEQUENCE(COLUMNS(AQ250:BL250)), FALSE), {""charttype"",""column""; ""color"",""chartreuse""; ""ymin"", 0; ""ymax"", 1.01; ""highcolo"&amp;"r"", ""darkgreen""; ""lowcolor"", ""red""}), """")"),"")</f>
        <v/>
      </c>
      <c r="B250" s="17" t="str">
        <f t="shared" si="4"/>
        <v/>
      </c>
      <c r="C250" s="1" t="s">
        <v>1122</v>
      </c>
      <c r="D250" s="30" t="str">
        <f>IFERROR(__xludf.DUMMYFUNCTION("IFERROR(GOOGLEFINANCE(C250, ""NAME""))"),"Zoom Communications Inc")</f>
        <v>Zoom Communications Inc</v>
      </c>
      <c r="E250" s="30" t="s">
        <v>48</v>
      </c>
      <c r="F250" s="33" t="str">
        <f>IFERROR(__xludf.DUMMYFUNCTION("( (GOOGLEFINANCE(C250, ""price"") - Q250) / Q250 ) / (R250 / 100)"),"Loading...")</f>
        <v>Loading...</v>
      </c>
      <c r="G250" s="20" t="str">
        <f>IFERROR(__xludf.DUMMYFUNCTION("AVERAGE(ARRAYFORMULA(100 * (QUERY(GOOGLEFINANCE(C250, ""high"", TODAY()-40, TODAY()), ""SELECT Col2 WHERE Col2 IS NOT NULL ORDER BY Col1 DESC LIMIT 20"", 0) / QUERY(GOOGLEFINANCE(C250, ""low"", TODAY()-40, TODAY()), ""SELECT Col2 WHERE Col2 IS NOT NULL OR"&amp;"DER BY Col1 DESC LIMIT 20"", 0) - 1)))"),"#N/A")</f>
        <v>#N/A</v>
      </c>
      <c r="H250" s="35" t="str">
        <f t="shared" si="6"/>
        <v/>
      </c>
      <c r="I250" s="36" t="str">
        <f t="shared" si="7"/>
        <v/>
      </c>
      <c r="J250" s="37" t="str">
        <f>IFERROR(__xludf.DUMMYFUNCTION("IFERROR(
  IF(C250="""",, 
    IFERROR(
      GOOGLEFINANCE(C250, ""price"") * GOOGLEFINANCE(C250, ""volumeavg""), 
      GOOGLEFINANCE(C250, ""price"") * AVERAGE(QUERY(GOOGLEFINANCE(C250, ""volume"", TODAY()-40, TODAY()), ""SELECT Col2 WHERE Col2 IS NOT "&amp;"NULL ORDER BY Col1 DESC LIMIT 20"", 0))
    )
  ), 
"""")"),"")</f>
        <v/>
      </c>
      <c r="K250" s="21" t="str">
        <f>IFERROR(__xludf.DUMMYFUNCTION("IFERROR(GOOGLEFINANCE(C250, ""changepct"") / 100, """")"),"")</f>
        <v/>
      </c>
      <c r="L250" s="21" t="str">
        <f>IFERROR(__xludf.DUMMYFUNCTION("IFERROR((GOOGLEFINANCE(C250, ""price"") / INDEX(GOOGLEFINANCE(C250, ""price"", TODAY()-7, TODAY()), 2, 2)) - 1, """")"),"")</f>
        <v/>
      </c>
      <c r="M250" s="21" t="str">
        <f>IFERROR(__xludf.DUMMYFUNCTION("IFERROR((GOOGLEFINANCE(C250, ""price"") / INDEX(GOOGLEFINANCE(C250, ""price"", EDATE(TODAY(), -1), TODAY()), 2, 2)) - 1, """")"),"")</f>
        <v/>
      </c>
      <c r="N250" s="21" t="str">
        <f>IFERROR(__xludf.DUMMYFUNCTION("IFERROR((GOOGLEFINANCE(C250, ""price"") / INDEX(GOOGLEFINANCE(C250, ""price"", EDATE(TODAY(), -3), TODAY()), 2, 2)) - 1, """")"),"")</f>
        <v/>
      </c>
      <c r="O250" s="21" t="str">
        <f>IFERROR(__xludf.DUMMYFUNCTION("IFERROR((GOOGLEFINANCE(C250, ""price"") / INDEX(GOOGLEFINANCE(C250, ""price"", EDATE(TODAY(), -6), TODAY()), 2, 2)) - 1, """")"),"")</f>
        <v/>
      </c>
      <c r="P250" s="21" t="str">
        <f>IFERROR(__xludf.DUMMYFUNCTION("IFERROR((GOOGLEFINANCE(C250, ""price"") / INDEX(GOOGLEFINANCE(C250, ""price"", EDATE(TODAY(), -12), TODAY()), 2, 2)) - 1, """")"),"")</f>
        <v/>
      </c>
      <c r="Q250" s="6" t="str">
        <f>IFERROR(__xludf.DUMMYFUNCTION("AVERAGE(QUERY(GOOGLEFINANCE(C250, ""price"", TODAY()-80, TODAY()), ""SELECT Col2 WHERE Col2 IS NOT NULL ORDER BY Col1 DESC LIMIT 50"", 0))"),"#N/A")</f>
        <v>#N/A</v>
      </c>
      <c r="R250" s="24" t="str">
        <f>IFERROR(__xludf.DUMMYFUNCTION("IFERROR(
  LET(
    data, QUERY(GOOGLEFINANCE(C250,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GOOGLEFINANCE(C250, ""price"")) * 100,
    IF(calc=0, G250, calc)
  ), 
G250)"),"#N/A")</f>
        <v>#N/A</v>
      </c>
      <c r="S250" s="8" t="s">
        <v>15</v>
      </c>
      <c r="T250" s="26" t="str">
        <f>IFERROR(__xludf.DUMMYFUNCTION("IFERROR(TRANSPOSE(QUERY(IFERROR(SORT(GOOGLEFINANCE(C250, ""price"", WORKDAY(TODAY(), -40), TODAY()), 1, FALSE)), ""select Col2 where Col2 is not null limit 22 label Col2 ''"", 0)), """")"),"")</f>
        <v/>
      </c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8"/>
      <c r="AO250" s="28"/>
      <c r="AP250" s="29"/>
      <c r="AQ250" s="29" t="str">
        <f t="shared" ref="AQ250:BL250" si="253">T250/T$2</f>
        <v>#N/A</v>
      </c>
      <c r="AR250" s="29" t="str">
        <f t="shared" si="253"/>
        <v>#DIV/0!</v>
      </c>
      <c r="AS250" s="29" t="str">
        <f t="shared" si="253"/>
        <v>#DIV/0!</v>
      </c>
      <c r="AT250" s="29" t="str">
        <f t="shared" si="253"/>
        <v>#DIV/0!</v>
      </c>
      <c r="AU250" s="29" t="str">
        <f t="shared" si="253"/>
        <v>#DIV/0!</v>
      </c>
      <c r="AV250" s="29" t="str">
        <f t="shared" si="253"/>
        <v>#DIV/0!</v>
      </c>
      <c r="AW250" s="29" t="str">
        <f t="shared" si="253"/>
        <v>#DIV/0!</v>
      </c>
      <c r="AX250" s="29" t="str">
        <f t="shared" si="253"/>
        <v>#DIV/0!</v>
      </c>
      <c r="AY250" s="29" t="str">
        <f t="shared" si="253"/>
        <v>#DIV/0!</v>
      </c>
      <c r="AZ250" s="29" t="str">
        <f t="shared" si="253"/>
        <v>#DIV/0!</v>
      </c>
      <c r="BA250" s="29" t="str">
        <f t="shared" si="253"/>
        <v>#DIV/0!</v>
      </c>
      <c r="BB250" s="29" t="str">
        <f t="shared" si="253"/>
        <v>#DIV/0!</v>
      </c>
      <c r="BC250" s="29" t="str">
        <f t="shared" si="253"/>
        <v>#DIV/0!</v>
      </c>
      <c r="BD250" s="29" t="str">
        <f t="shared" si="253"/>
        <v>#DIV/0!</v>
      </c>
      <c r="BE250" s="29" t="str">
        <f t="shared" si="253"/>
        <v>#DIV/0!</v>
      </c>
      <c r="BF250" s="29" t="str">
        <f t="shared" si="253"/>
        <v>#DIV/0!</v>
      </c>
      <c r="BG250" s="29" t="str">
        <f t="shared" si="253"/>
        <v>#DIV/0!</v>
      </c>
      <c r="BH250" s="29" t="str">
        <f t="shared" si="253"/>
        <v>#DIV/0!</v>
      </c>
      <c r="BI250" s="29" t="str">
        <f t="shared" si="253"/>
        <v>#DIV/0!</v>
      </c>
      <c r="BJ250" s="29" t="str">
        <f t="shared" si="253"/>
        <v>#DIV/0!</v>
      </c>
      <c r="BK250" s="29" t="str">
        <f t="shared" si="253"/>
        <v>#DIV/0!</v>
      </c>
      <c r="BL250" s="29" t="str">
        <f t="shared" si="253"/>
        <v>#DIV/0!</v>
      </c>
      <c r="BM250" s="29" t="str">
        <f t="shared" si="3"/>
        <v>#DIV/0!</v>
      </c>
    </row>
    <row r="251">
      <c r="A251" s="16" t="str">
        <f>IFERROR(__xludf.DUMMYFUNCTION("IFERROR(SPARKLINE(SORT(MAP(TRANSPOSE(AQ251:BL251), LAMBDA(val, IF(ISNUMBER(val), PERCENTRANK(AQ251:BL251, val)+0.01, 0))), SEQUENCE(COLUMNS(AQ251:BL251)), FALSE), {""charttype"",""column""; ""color"",""chartreuse""; ""ymin"", 0; ""ymax"", 1.01; ""highcolo"&amp;"r"", ""darkgreen""; ""lowcolor"", ""red""}), """")"),"")</f>
        <v/>
      </c>
      <c r="B251" s="17" t="str">
        <f t="shared" si="4"/>
        <v/>
      </c>
      <c r="C251" s="1" t="s">
        <v>1126</v>
      </c>
      <c r="D251" s="30" t="str">
        <f>IFERROR(__xludf.DUMMYFUNCTION("IFERROR(GOOGLEFINANCE(C251, ""NAME""))"),"Block Inc")</f>
        <v>Block Inc</v>
      </c>
      <c r="E251" s="30" t="s">
        <v>58</v>
      </c>
      <c r="F251" s="33" t="str">
        <f>IFERROR(__xludf.DUMMYFUNCTION("( (GOOGLEFINANCE(C251, ""price"") - Q251) / Q251 ) / (R251 / 100)"),"Loading...")</f>
        <v>Loading...</v>
      </c>
      <c r="G251" s="20" t="str">
        <f>IFERROR(__xludf.DUMMYFUNCTION("AVERAGE(ARRAYFORMULA(100 * (QUERY(GOOGLEFINANCE(C251, ""high"", TODAY()-40, TODAY()), ""SELECT Col2 WHERE Col2 IS NOT NULL ORDER BY Col1 DESC LIMIT 20"", 0) / QUERY(GOOGLEFINANCE(C251, ""low"", TODAY()-40, TODAY()), ""SELECT Col2 WHERE Col2 IS NOT NULL OR"&amp;"DER BY Col1 DESC LIMIT 20"", 0) - 1)))"),"#N/A")</f>
        <v>#N/A</v>
      </c>
      <c r="H251" s="35" t="str">
        <f t="shared" si="6"/>
        <v/>
      </c>
      <c r="I251" s="36" t="str">
        <f t="shared" si="7"/>
        <v/>
      </c>
      <c r="J251" s="37" t="str">
        <f>IFERROR(__xludf.DUMMYFUNCTION("IFERROR(
  IF(C251="""",, 
    IFERROR(
      GOOGLEFINANCE(C251, ""price"") * GOOGLEFINANCE(C251, ""volumeavg""), 
      GOOGLEFINANCE(C251, ""price"") * AVERAGE(QUERY(GOOGLEFINANCE(C251, ""volume"", TODAY()-40, TODAY()), ""SELECT Col2 WHERE Col2 IS NOT "&amp;"NULL ORDER BY Col1 DESC LIMIT 20"", 0))
    )
  ), 
"""")"),"")</f>
        <v/>
      </c>
      <c r="K251" s="21" t="str">
        <f>IFERROR(__xludf.DUMMYFUNCTION("IFERROR(GOOGLEFINANCE(C251, ""changepct"") / 100, """")"),"")</f>
        <v/>
      </c>
      <c r="L251" s="21" t="str">
        <f>IFERROR(__xludf.DUMMYFUNCTION("IFERROR((GOOGLEFINANCE(C251, ""price"") / INDEX(GOOGLEFINANCE(C251, ""price"", TODAY()-7, TODAY()), 2, 2)) - 1, """")"),"")</f>
        <v/>
      </c>
      <c r="M251" s="21" t="str">
        <f>IFERROR(__xludf.DUMMYFUNCTION("IFERROR((GOOGLEFINANCE(C251, ""price"") / INDEX(GOOGLEFINANCE(C251, ""price"", EDATE(TODAY(), -1), TODAY()), 2, 2)) - 1, """")"),"")</f>
        <v/>
      </c>
      <c r="N251" s="21" t="str">
        <f>IFERROR(__xludf.DUMMYFUNCTION("IFERROR((GOOGLEFINANCE(C251, ""price"") / INDEX(GOOGLEFINANCE(C251, ""price"", EDATE(TODAY(), -3), TODAY()), 2, 2)) - 1, """")"),"")</f>
        <v/>
      </c>
      <c r="O251" s="21" t="str">
        <f>IFERROR(__xludf.DUMMYFUNCTION("IFERROR((GOOGLEFINANCE(C251, ""price"") / INDEX(GOOGLEFINANCE(C251, ""price"", EDATE(TODAY(), -6), TODAY()), 2, 2)) - 1, """")"),"")</f>
        <v/>
      </c>
      <c r="P251" s="21" t="str">
        <f>IFERROR(__xludf.DUMMYFUNCTION("IFERROR((GOOGLEFINANCE(C251, ""price"") / INDEX(GOOGLEFINANCE(C251, ""price"", EDATE(TODAY(), -12), TODAY()), 2, 2)) - 1, """")"),"")</f>
        <v/>
      </c>
      <c r="Q251" s="6" t="str">
        <f>IFERROR(__xludf.DUMMYFUNCTION("AVERAGE(QUERY(GOOGLEFINANCE(C251, ""price"", TODAY()-80, TODAY()), ""SELECT Col2 WHERE Col2 IS NOT NULL ORDER BY Col1 DESC LIMIT 50"", 0))"),"#N/A")</f>
        <v>#N/A</v>
      </c>
      <c r="R251" s="24" t="str">
        <f>IFERROR(__xludf.DUMMYFUNCTION("IFERROR(
  LET(
    data, QUERY(GOOGLEFINANCE(C251,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GOOGLEFINANCE(C251, ""price"")) * 100,
    IF(calc=0, G251, calc)
  ), 
G251)"),"#N/A")</f>
        <v>#N/A</v>
      </c>
      <c r="S251" s="8" t="s">
        <v>15</v>
      </c>
      <c r="T251" s="26" t="str">
        <f>IFERROR(__xludf.DUMMYFUNCTION("IFERROR(TRANSPOSE(QUERY(IFERROR(SORT(GOOGLEFINANCE(C251, ""price"", WORKDAY(TODAY(), -40), TODAY()), 1, FALSE)), ""select Col2 where Col2 is not null limit 22 label Col2 ''"", 0)), """")"),"")</f>
        <v/>
      </c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8"/>
      <c r="AO251" s="28"/>
      <c r="AP251" s="29"/>
      <c r="AQ251" s="29" t="str">
        <f t="shared" ref="AQ251:BL251" si="254">T251/T$2</f>
        <v>#N/A</v>
      </c>
      <c r="AR251" s="29" t="str">
        <f t="shared" si="254"/>
        <v>#DIV/0!</v>
      </c>
      <c r="AS251" s="29" t="str">
        <f t="shared" si="254"/>
        <v>#DIV/0!</v>
      </c>
      <c r="AT251" s="29" t="str">
        <f t="shared" si="254"/>
        <v>#DIV/0!</v>
      </c>
      <c r="AU251" s="29" t="str">
        <f t="shared" si="254"/>
        <v>#DIV/0!</v>
      </c>
      <c r="AV251" s="29" t="str">
        <f t="shared" si="254"/>
        <v>#DIV/0!</v>
      </c>
      <c r="AW251" s="29" t="str">
        <f t="shared" si="254"/>
        <v>#DIV/0!</v>
      </c>
      <c r="AX251" s="29" t="str">
        <f t="shared" si="254"/>
        <v>#DIV/0!</v>
      </c>
      <c r="AY251" s="29" t="str">
        <f t="shared" si="254"/>
        <v>#DIV/0!</v>
      </c>
      <c r="AZ251" s="29" t="str">
        <f t="shared" si="254"/>
        <v>#DIV/0!</v>
      </c>
      <c r="BA251" s="29" t="str">
        <f t="shared" si="254"/>
        <v>#DIV/0!</v>
      </c>
      <c r="BB251" s="29" t="str">
        <f t="shared" si="254"/>
        <v>#DIV/0!</v>
      </c>
      <c r="BC251" s="29" t="str">
        <f t="shared" si="254"/>
        <v>#DIV/0!</v>
      </c>
      <c r="BD251" s="29" t="str">
        <f t="shared" si="254"/>
        <v>#DIV/0!</v>
      </c>
      <c r="BE251" s="29" t="str">
        <f t="shared" si="254"/>
        <v>#DIV/0!</v>
      </c>
      <c r="BF251" s="29" t="str">
        <f t="shared" si="254"/>
        <v>#DIV/0!</v>
      </c>
      <c r="BG251" s="29" t="str">
        <f t="shared" si="254"/>
        <v>#DIV/0!</v>
      </c>
      <c r="BH251" s="29" t="str">
        <f t="shared" si="254"/>
        <v>#DIV/0!</v>
      </c>
      <c r="BI251" s="29" t="str">
        <f t="shared" si="254"/>
        <v>#DIV/0!</v>
      </c>
      <c r="BJ251" s="29" t="str">
        <f t="shared" si="254"/>
        <v>#DIV/0!</v>
      </c>
      <c r="BK251" s="29" t="str">
        <f t="shared" si="254"/>
        <v>#DIV/0!</v>
      </c>
      <c r="BL251" s="29" t="str">
        <f t="shared" si="254"/>
        <v>#DIV/0!</v>
      </c>
      <c r="BM251" s="29" t="str">
        <f t="shared" si="3"/>
        <v>#DIV/0!</v>
      </c>
    </row>
    <row r="252">
      <c r="A252" s="16" t="str">
        <f>IFERROR(__xludf.DUMMYFUNCTION("IFERROR(SPARKLINE(SORT(MAP(TRANSPOSE(AQ252:BL252), LAMBDA(val, IF(ISNUMBER(val), PERCENTRANK(AQ252:BL252, val)+0.01, 0))), SEQUENCE(COLUMNS(AQ252:BL252)), FALSE), {""charttype"",""column""; ""color"",""chartreuse""; ""ymin"", 0; ""ymax"", 1.01; ""highcolo"&amp;"r"", ""darkgreen""; ""lowcolor"", ""red""}), """")"),"")</f>
        <v/>
      </c>
      <c r="B252" s="17" t="str">
        <f t="shared" si="4"/>
        <v/>
      </c>
      <c r="C252" s="1" t="s">
        <v>1128</v>
      </c>
      <c r="D252" s="30" t="str">
        <f>IFERROR(__xludf.DUMMYFUNCTION("IFERROR(GOOGLEFINANCE(C252, ""NAME""))"),"Oracle Corp")</f>
        <v>Oracle Corp</v>
      </c>
      <c r="E252" s="30" t="s">
        <v>58</v>
      </c>
      <c r="F252" s="33" t="str">
        <f>IFERROR(__xludf.DUMMYFUNCTION("( (GOOGLEFINANCE(C252, ""price"") - Q252) / Q252 ) / (R252 / 100)"),"Loading...")</f>
        <v>Loading...</v>
      </c>
      <c r="G252" s="20" t="str">
        <f>IFERROR(__xludf.DUMMYFUNCTION("AVERAGE(ARRAYFORMULA(100 * (QUERY(GOOGLEFINANCE(C252, ""high"", TODAY()-40, TODAY()), ""SELECT Col2 WHERE Col2 IS NOT NULL ORDER BY Col1 DESC LIMIT 20"", 0) / QUERY(GOOGLEFINANCE(C252, ""low"", TODAY()-40, TODAY()), ""SELECT Col2 WHERE Col2 IS NOT NULL OR"&amp;"DER BY Col1 DESC LIMIT 20"", 0) - 1)))"),"#N/A")</f>
        <v>#N/A</v>
      </c>
      <c r="H252" s="35" t="str">
        <f t="shared" si="6"/>
        <v/>
      </c>
      <c r="I252" s="36" t="str">
        <f t="shared" si="7"/>
        <v/>
      </c>
      <c r="J252" s="37" t="str">
        <f>IFERROR(__xludf.DUMMYFUNCTION("IFERROR(
  IF(C252="""",, 
    IFERROR(
      GOOGLEFINANCE(C252, ""price"") * GOOGLEFINANCE(C252, ""volumeavg""), 
      GOOGLEFINANCE(C252, ""price"") * AVERAGE(QUERY(GOOGLEFINANCE(C252, ""volume"", TODAY()-40, TODAY()), ""SELECT Col2 WHERE Col2 IS NOT "&amp;"NULL ORDER BY Col1 DESC LIMIT 20"", 0))
    )
  ), 
"""")"),"")</f>
        <v/>
      </c>
      <c r="K252" s="21" t="str">
        <f>IFERROR(__xludf.DUMMYFUNCTION("IFERROR(GOOGLEFINANCE(C252, ""changepct"") / 100, """")"),"")</f>
        <v/>
      </c>
      <c r="L252" s="21" t="str">
        <f>IFERROR(__xludf.DUMMYFUNCTION("IFERROR((GOOGLEFINANCE(C252, ""price"") / INDEX(GOOGLEFINANCE(C252, ""price"", TODAY()-7, TODAY()), 2, 2)) - 1, """")"),"")</f>
        <v/>
      </c>
      <c r="M252" s="21" t="str">
        <f>IFERROR(__xludf.DUMMYFUNCTION("IFERROR((GOOGLEFINANCE(C252, ""price"") / INDEX(GOOGLEFINANCE(C252, ""price"", EDATE(TODAY(), -1), TODAY()), 2, 2)) - 1, """")"),"")</f>
        <v/>
      </c>
      <c r="N252" s="21" t="str">
        <f>IFERROR(__xludf.DUMMYFUNCTION("IFERROR((GOOGLEFINANCE(C252, ""price"") / INDEX(GOOGLEFINANCE(C252, ""price"", EDATE(TODAY(), -3), TODAY()), 2, 2)) - 1, """")"),"")</f>
        <v/>
      </c>
      <c r="O252" s="21" t="str">
        <f>IFERROR(__xludf.DUMMYFUNCTION("IFERROR((GOOGLEFINANCE(C252, ""price"") / INDEX(GOOGLEFINANCE(C252, ""price"", EDATE(TODAY(), -6), TODAY()), 2, 2)) - 1, """")"),"")</f>
        <v/>
      </c>
      <c r="P252" s="21" t="str">
        <f>IFERROR(__xludf.DUMMYFUNCTION("IFERROR((GOOGLEFINANCE(C252, ""price"") / INDEX(GOOGLEFINANCE(C252, ""price"", EDATE(TODAY(), -12), TODAY()), 2, 2)) - 1, """")"),"")</f>
        <v/>
      </c>
      <c r="Q252" s="6" t="str">
        <f>IFERROR(__xludf.DUMMYFUNCTION("AVERAGE(QUERY(GOOGLEFINANCE(C252, ""price"", TODAY()-80, TODAY()), ""SELECT Col2 WHERE Col2 IS NOT NULL ORDER BY Col1 DESC LIMIT 50"", 0))"),"#N/A")</f>
        <v>#N/A</v>
      </c>
      <c r="R252" s="24" t="str">
        <f>IFERROR(__xludf.DUMMYFUNCTION("IFERROR(
  LET(
    data, QUERY(GOOGLEFINANCE(C252,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GOOGLEFINANCE(C252, ""price"")) * 100,
    IF(calc=0, G252, calc)
  ), 
G252)"),"#N/A")</f>
        <v>#N/A</v>
      </c>
      <c r="S252" s="8" t="s">
        <v>15</v>
      </c>
      <c r="T252" s="26" t="str">
        <f>IFERROR(__xludf.DUMMYFUNCTION("IFERROR(TRANSPOSE(QUERY(IFERROR(SORT(GOOGLEFINANCE(C252, ""price"", WORKDAY(TODAY(), -40), TODAY()), 1, FALSE)), ""select Col2 where Col2 is not null limit 22 label Col2 ''"", 0)), """")"),"")</f>
        <v/>
      </c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8"/>
      <c r="AO252" s="28"/>
      <c r="AP252" s="29"/>
      <c r="AQ252" s="29" t="str">
        <f t="shared" ref="AQ252:BL252" si="255">T252/T$2</f>
        <v>#N/A</v>
      </c>
      <c r="AR252" s="29" t="str">
        <f t="shared" si="255"/>
        <v>#DIV/0!</v>
      </c>
      <c r="AS252" s="29" t="str">
        <f t="shared" si="255"/>
        <v>#DIV/0!</v>
      </c>
      <c r="AT252" s="29" t="str">
        <f t="shared" si="255"/>
        <v>#DIV/0!</v>
      </c>
      <c r="AU252" s="29" t="str">
        <f t="shared" si="255"/>
        <v>#DIV/0!</v>
      </c>
      <c r="AV252" s="29" t="str">
        <f t="shared" si="255"/>
        <v>#DIV/0!</v>
      </c>
      <c r="AW252" s="29" t="str">
        <f t="shared" si="255"/>
        <v>#DIV/0!</v>
      </c>
      <c r="AX252" s="29" t="str">
        <f t="shared" si="255"/>
        <v>#DIV/0!</v>
      </c>
      <c r="AY252" s="29" t="str">
        <f t="shared" si="255"/>
        <v>#DIV/0!</v>
      </c>
      <c r="AZ252" s="29" t="str">
        <f t="shared" si="255"/>
        <v>#DIV/0!</v>
      </c>
      <c r="BA252" s="29" t="str">
        <f t="shared" si="255"/>
        <v>#DIV/0!</v>
      </c>
      <c r="BB252" s="29" t="str">
        <f t="shared" si="255"/>
        <v>#DIV/0!</v>
      </c>
      <c r="BC252" s="29" t="str">
        <f t="shared" si="255"/>
        <v>#DIV/0!</v>
      </c>
      <c r="BD252" s="29" t="str">
        <f t="shared" si="255"/>
        <v>#DIV/0!</v>
      </c>
      <c r="BE252" s="29" t="str">
        <f t="shared" si="255"/>
        <v>#DIV/0!</v>
      </c>
      <c r="BF252" s="29" t="str">
        <f t="shared" si="255"/>
        <v>#DIV/0!</v>
      </c>
      <c r="BG252" s="29" t="str">
        <f t="shared" si="255"/>
        <v>#DIV/0!</v>
      </c>
      <c r="BH252" s="29" t="str">
        <f t="shared" si="255"/>
        <v>#DIV/0!</v>
      </c>
      <c r="BI252" s="29" t="str">
        <f t="shared" si="255"/>
        <v>#DIV/0!</v>
      </c>
      <c r="BJ252" s="29" t="str">
        <f t="shared" si="255"/>
        <v>#DIV/0!</v>
      </c>
      <c r="BK252" s="29" t="str">
        <f t="shared" si="255"/>
        <v>#DIV/0!</v>
      </c>
      <c r="BL252" s="29" t="str">
        <f t="shared" si="255"/>
        <v>#DIV/0!</v>
      </c>
      <c r="BM252" s="29" t="str">
        <f t="shared" si="3"/>
        <v>#DIV/0!</v>
      </c>
    </row>
    <row r="253">
      <c r="A253" s="16" t="str">
        <f>IFERROR(__xludf.DUMMYFUNCTION("IFERROR(SPARKLINE(SORT(MAP(TRANSPOSE(AQ253:BL253), LAMBDA(val, IF(ISNUMBER(val), PERCENTRANK(AQ253:BL253, val)+0.01, 0))), SEQUENCE(COLUMNS(AQ253:BL253)), FALSE), {""charttype"",""column""; ""color"",""chartreuse""; ""ymin"", 0; ""ymax"", 1.01; ""highcolo"&amp;"r"", ""darkgreen""; ""lowcolor"", ""red""}), """")"),"")</f>
        <v/>
      </c>
      <c r="B253" s="17" t="str">
        <f t="shared" si="4"/>
        <v/>
      </c>
      <c r="C253" s="1" t="s">
        <v>1133</v>
      </c>
      <c r="D253" s="30" t="str">
        <f>IFERROR(__xludf.DUMMYFUNCTION("IFERROR(GOOGLEFINANCE(C253, ""NAME""))"),"Ingram Micro Holding Corp")</f>
        <v>Ingram Micro Holding Corp</v>
      </c>
      <c r="E253" s="30" t="s">
        <v>102</v>
      </c>
      <c r="F253" s="38" t="str">
        <f>IFERROR(__xludf.DUMMYFUNCTION("( (GOOGLEFINANCE(C253, ""price"") - Q253) / Q253 ) / (R253 / 100)"),"Loading...")</f>
        <v>Loading...</v>
      </c>
      <c r="G253" s="20" t="str">
        <f>IFERROR(__xludf.DUMMYFUNCTION("AVERAGE(ARRAYFORMULA(100 * (QUERY(GOOGLEFINANCE(C253, ""high"", TODAY()-40, TODAY()), ""SELECT Col2 WHERE Col2 IS NOT NULL ORDER BY Col1 DESC LIMIT 20"", 0) / QUERY(GOOGLEFINANCE(C253, ""low"", TODAY()-40, TODAY()), ""SELECT Col2 WHERE Col2 IS NOT NULL OR"&amp;"DER BY Col1 DESC LIMIT 20"", 0) - 1)))"),"#N/A")</f>
        <v>#N/A</v>
      </c>
      <c r="H253" s="35" t="str">
        <f t="shared" si="6"/>
        <v/>
      </c>
      <c r="I253" s="36" t="str">
        <f t="shared" si="7"/>
        <v/>
      </c>
      <c r="J253" s="37" t="str">
        <f>IFERROR(__xludf.DUMMYFUNCTION("IFERROR(
  IF(C253="""",, 
    IFERROR(
      GOOGLEFINANCE(C253, ""price"") * GOOGLEFINANCE(C253, ""volumeavg""), 
      GOOGLEFINANCE(C253, ""price"") * AVERAGE(QUERY(GOOGLEFINANCE(C253, ""volume"", TODAY()-40, TODAY()), ""SELECT Col2 WHERE Col2 IS NOT "&amp;"NULL ORDER BY Col1 DESC LIMIT 20"", 0))
    )
  ), 
"""")"),"")</f>
        <v/>
      </c>
      <c r="K253" s="21" t="str">
        <f>IFERROR(__xludf.DUMMYFUNCTION("IFERROR(GOOGLEFINANCE(C253, ""changepct"") / 100, """")"),"")</f>
        <v/>
      </c>
      <c r="L253" s="21" t="str">
        <f>IFERROR(__xludf.DUMMYFUNCTION("IFERROR((GOOGLEFINANCE(C253, ""price"") / INDEX(GOOGLEFINANCE(C253, ""price"", TODAY()-7, TODAY()), 2, 2)) - 1, """")"),"")</f>
        <v/>
      </c>
      <c r="M253" s="21" t="str">
        <f>IFERROR(__xludf.DUMMYFUNCTION("IFERROR((GOOGLEFINANCE(C253, ""price"") / INDEX(GOOGLEFINANCE(C253, ""price"", EDATE(TODAY(), -1), TODAY()), 2, 2)) - 1, """")"),"")</f>
        <v/>
      </c>
      <c r="N253" s="21" t="str">
        <f>IFERROR(__xludf.DUMMYFUNCTION("IFERROR((GOOGLEFINANCE(C253, ""price"") / INDEX(GOOGLEFINANCE(C253, ""price"", EDATE(TODAY(), -3), TODAY()), 2, 2)) - 1, """")"),"")</f>
        <v/>
      </c>
      <c r="O253" s="21" t="str">
        <f>IFERROR(__xludf.DUMMYFUNCTION("IFERROR((GOOGLEFINANCE(C253, ""price"") / INDEX(GOOGLEFINANCE(C253, ""price"", EDATE(TODAY(), -6), TODAY()), 2, 2)) - 1, """")"),"")</f>
        <v/>
      </c>
      <c r="P253" s="21" t="str">
        <f>IFERROR(__xludf.DUMMYFUNCTION("IFERROR((GOOGLEFINANCE(C253, ""price"") / INDEX(GOOGLEFINANCE(C253, ""price"", EDATE(TODAY(), -12), TODAY()), 2, 2)) - 1, """")"),"")</f>
        <v/>
      </c>
      <c r="Q253" s="6" t="str">
        <f>IFERROR(__xludf.DUMMYFUNCTION("AVERAGE(QUERY(GOOGLEFINANCE(C253, ""price"", TODAY()-80, TODAY()), ""SELECT Col2 WHERE Col2 IS NOT NULL ORDER BY Col1 DESC LIMIT 50"", 0))"),"#N/A")</f>
        <v>#N/A</v>
      </c>
      <c r="R253" s="24" t="str">
        <f>IFERROR(__xludf.DUMMYFUNCTION("IFERROR(
  LET(
    data, QUERY(GOOGLEFINANCE(C253,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GOOGLEFINANCE(C253, ""price"")) * 100,
    IF(calc=0, G253, calc)
  ), 
G253)"),"#N/A")</f>
        <v>#N/A</v>
      </c>
      <c r="S253" s="8" t="s">
        <v>15</v>
      </c>
      <c r="T253" s="26" t="str">
        <f>IFERROR(__xludf.DUMMYFUNCTION("IFERROR(TRANSPOSE(QUERY(IFERROR(SORT(GOOGLEFINANCE(C253, ""price"", WORKDAY(TODAY(), -40), TODAY()), 1, FALSE)), ""select Col2 where Col2 is not null limit 22 label Col2 ''"", 0)), """")"),"")</f>
        <v/>
      </c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8"/>
      <c r="AO253" s="28"/>
      <c r="AP253" s="29"/>
      <c r="AQ253" s="29" t="str">
        <f t="shared" ref="AQ253:BL253" si="256">T253/T$2</f>
        <v>#N/A</v>
      </c>
      <c r="AR253" s="29" t="str">
        <f t="shared" si="256"/>
        <v>#DIV/0!</v>
      </c>
      <c r="AS253" s="29" t="str">
        <f t="shared" si="256"/>
        <v>#DIV/0!</v>
      </c>
      <c r="AT253" s="29" t="str">
        <f t="shared" si="256"/>
        <v>#DIV/0!</v>
      </c>
      <c r="AU253" s="29" t="str">
        <f t="shared" si="256"/>
        <v>#DIV/0!</v>
      </c>
      <c r="AV253" s="29" t="str">
        <f t="shared" si="256"/>
        <v>#DIV/0!</v>
      </c>
      <c r="AW253" s="29" t="str">
        <f t="shared" si="256"/>
        <v>#DIV/0!</v>
      </c>
      <c r="AX253" s="29" t="str">
        <f t="shared" si="256"/>
        <v>#DIV/0!</v>
      </c>
      <c r="AY253" s="29" t="str">
        <f t="shared" si="256"/>
        <v>#DIV/0!</v>
      </c>
      <c r="AZ253" s="29" t="str">
        <f t="shared" si="256"/>
        <v>#DIV/0!</v>
      </c>
      <c r="BA253" s="29" t="str">
        <f t="shared" si="256"/>
        <v>#DIV/0!</v>
      </c>
      <c r="BB253" s="29" t="str">
        <f t="shared" si="256"/>
        <v>#DIV/0!</v>
      </c>
      <c r="BC253" s="29" t="str">
        <f t="shared" si="256"/>
        <v>#DIV/0!</v>
      </c>
      <c r="BD253" s="29" t="str">
        <f t="shared" si="256"/>
        <v>#DIV/0!</v>
      </c>
      <c r="BE253" s="29" t="str">
        <f t="shared" si="256"/>
        <v>#DIV/0!</v>
      </c>
      <c r="BF253" s="29" t="str">
        <f t="shared" si="256"/>
        <v>#DIV/0!</v>
      </c>
      <c r="BG253" s="29" t="str">
        <f t="shared" si="256"/>
        <v>#DIV/0!</v>
      </c>
      <c r="BH253" s="29" t="str">
        <f t="shared" si="256"/>
        <v>#DIV/0!</v>
      </c>
      <c r="BI253" s="29" t="str">
        <f t="shared" si="256"/>
        <v>#DIV/0!</v>
      </c>
      <c r="BJ253" s="29" t="str">
        <f t="shared" si="256"/>
        <v>#DIV/0!</v>
      </c>
      <c r="BK253" s="29" t="str">
        <f t="shared" si="256"/>
        <v>#DIV/0!</v>
      </c>
      <c r="BL253" s="29" t="str">
        <f t="shared" si="256"/>
        <v>#DIV/0!</v>
      </c>
      <c r="BM253" s="29" t="str">
        <f t="shared" si="3"/>
        <v>#DIV/0!</v>
      </c>
    </row>
    <row r="254">
      <c r="A254" s="16" t="str">
        <f>IFERROR(__xludf.DUMMYFUNCTION("IFERROR(SPARKLINE(SORT(MAP(TRANSPOSE(AQ254:BL254), LAMBDA(val, IF(ISNUMBER(val), PERCENTRANK(AQ254:BL254, val)+0.01, 0))), SEQUENCE(COLUMNS(AQ254:BL254)), FALSE), {""charttype"",""column""; ""color"",""chartreuse""; ""ymin"", 0; ""ymax"", 1.01; ""highcolo"&amp;"r"", ""darkgreen""; ""lowcolor"", ""red""}), """")"),"")</f>
        <v/>
      </c>
      <c r="B254" s="17" t="str">
        <f t="shared" si="4"/>
        <v/>
      </c>
      <c r="C254" s="1" t="s">
        <v>1138</v>
      </c>
      <c r="D254" s="30" t="str">
        <f>IFERROR(__xludf.DUMMYFUNCTION("IFERROR(GOOGLEFINANCE(C254, ""NAME""))"),"Aurora Innovation Inc")</f>
        <v>Aurora Innovation Inc</v>
      </c>
      <c r="E254" s="30" t="s">
        <v>102</v>
      </c>
      <c r="F254" s="33" t="str">
        <f>IFERROR(__xludf.DUMMYFUNCTION("( (GOOGLEFINANCE(C254, ""price"") - Q254) / Q254 ) / (R254 / 100)"),"Loading...")</f>
        <v>Loading...</v>
      </c>
      <c r="G254" s="20" t="str">
        <f>IFERROR(__xludf.DUMMYFUNCTION("AVERAGE(ARRAYFORMULA(100 * (QUERY(GOOGLEFINANCE(C254, ""high"", TODAY()-40, TODAY()), ""SELECT Col2 WHERE Col2 IS NOT NULL ORDER BY Col1 DESC LIMIT 20"", 0) / QUERY(GOOGLEFINANCE(C254, ""low"", TODAY()-40, TODAY()), ""SELECT Col2 WHERE Col2 IS NOT NULL OR"&amp;"DER BY Col1 DESC LIMIT 20"", 0) - 1)))"),"#N/A")</f>
        <v>#N/A</v>
      </c>
      <c r="H254" s="35" t="str">
        <f t="shared" si="6"/>
        <v/>
      </c>
      <c r="I254" s="36" t="str">
        <f t="shared" si="7"/>
        <v/>
      </c>
      <c r="J254" s="37" t="str">
        <f>IFERROR(__xludf.DUMMYFUNCTION("IFERROR(
  IF(C254="""",, 
    IFERROR(
      GOOGLEFINANCE(C254, ""price"") * GOOGLEFINANCE(C254, ""volumeavg""), 
      GOOGLEFINANCE(C254, ""price"") * AVERAGE(QUERY(GOOGLEFINANCE(C254, ""volume"", TODAY()-40, TODAY()), ""SELECT Col2 WHERE Col2 IS NOT "&amp;"NULL ORDER BY Col1 DESC LIMIT 20"", 0))
    )
  ), 
"""")"),"")</f>
        <v/>
      </c>
      <c r="K254" s="21" t="str">
        <f>IFERROR(__xludf.DUMMYFUNCTION("IFERROR(GOOGLEFINANCE(C254, ""changepct"") / 100, """")"),"")</f>
        <v/>
      </c>
      <c r="L254" s="21" t="str">
        <f>IFERROR(__xludf.DUMMYFUNCTION("IFERROR((GOOGLEFINANCE(C254, ""price"") / INDEX(GOOGLEFINANCE(C254, ""price"", TODAY()-7, TODAY()), 2, 2)) - 1, """")"),"")</f>
        <v/>
      </c>
      <c r="M254" s="21" t="str">
        <f>IFERROR(__xludf.DUMMYFUNCTION("IFERROR((GOOGLEFINANCE(C254, ""price"") / INDEX(GOOGLEFINANCE(C254, ""price"", EDATE(TODAY(), -1), TODAY()), 2, 2)) - 1, """")"),"")</f>
        <v/>
      </c>
      <c r="N254" s="21" t="str">
        <f>IFERROR(__xludf.DUMMYFUNCTION("IFERROR((GOOGLEFINANCE(C254, ""price"") / INDEX(GOOGLEFINANCE(C254, ""price"", EDATE(TODAY(), -3), TODAY()), 2, 2)) - 1, """")"),"")</f>
        <v/>
      </c>
      <c r="O254" s="21" t="str">
        <f>IFERROR(__xludf.DUMMYFUNCTION("IFERROR((GOOGLEFINANCE(C254, ""price"") / INDEX(GOOGLEFINANCE(C254, ""price"", EDATE(TODAY(), -6), TODAY()), 2, 2)) - 1, """")"),"")</f>
        <v/>
      </c>
      <c r="P254" s="21" t="str">
        <f>IFERROR(__xludf.DUMMYFUNCTION("IFERROR((GOOGLEFINANCE(C254, ""price"") / INDEX(GOOGLEFINANCE(C254, ""price"", EDATE(TODAY(), -12), TODAY()), 2, 2)) - 1, """")"),"")</f>
        <v/>
      </c>
      <c r="Q254" s="6" t="str">
        <f>IFERROR(__xludf.DUMMYFUNCTION("AVERAGE(QUERY(GOOGLEFINANCE(C254, ""price"", TODAY()-80, TODAY()), ""SELECT Col2 WHERE Col2 IS NOT NULL ORDER BY Col1 DESC LIMIT 50"", 0))"),"#N/A")</f>
        <v>#N/A</v>
      </c>
      <c r="R254" s="24" t="str">
        <f>IFERROR(__xludf.DUMMYFUNCTION("IFERROR(
  LET(
    data, QUERY(GOOGLEFINANCE(C254,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GOOGLEFINANCE(C254, ""price"")) * 100,
    IF(calc=0, G254, calc)
  ), 
G254)"),"#N/A")</f>
        <v>#N/A</v>
      </c>
      <c r="S254" s="8" t="s">
        <v>15</v>
      </c>
      <c r="T254" s="26" t="str">
        <f>IFERROR(__xludf.DUMMYFUNCTION("IFERROR(TRANSPOSE(QUERY(IFERROR(SORT(GOOGLEFINANCE(C254, ""price"", WORKDAY(TODAY(), -40), TODAY()), 1, FALSE)), ""select Col2 where Col2 is not null limit 22 label Col2 ''"", 0)), """")"),"")</f>
        <v/>
      </c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8"/>
      <c r="AO254" s="28"/>
      <c r="AP254" s="29"/>
      <c r="AQ254" s="29" t="str">
        <f t="shared" ref="AQ254:BL254" si="257">T254/T$2</f>
        <v>#N/A</v>
      </c>
      <c r="AR254" s="29" t="str">
        <f t="shared" si="257"/>
        <v>#DIV/0!</v>
      </c>
      <c r="AS254" s="29" t="str">
        <f t="shared" si="257"/>
        <v>#DIV/0!</v>
      </c>
      <c r="AT254" s="29" t="str">
        <f t="shared" si="257"/>
        <v>#DIV/0!</v>
      </c>
      <c r="AU254" s="29" t="str">
        <f t="shared" si="257"/>
        <v>#DIV/0!</v>
      </c>
      <c r="AV254" s="29" t="str">
        <f t="shared" si="257"/>
        <v>#DIV/0!</v>
      </c>
      <c r="AW254" s="29" t="str">
        <f t="shared" si="257"/>
        <v>#DIV/0!</v>
      </c>
      <c r="AX254" s="29" t="str">
        <f t="shared" si="257"/>
        <v>#DIV/0!</v>
      </c>
      <c r="AY254" s="29" t="str">
        <f t="shared" si="257"/>
        <v>#DIV/0!</v>
      </c>
      <c r="AZ254" s="29" t="str">
        <f t="shared" si="257"/>
        <v>#DIV/0!</v>
      </c>
      <c r="BA254" s="29" t="str">
        <f t="shared" si="257"/>
        <v>#DIV/0!</v>
      </c>
      <c r="BB254" s="29" t="str">
        <f t="shared" si="257"/>
        <v>#DIV/0!</v>
      </c>
      <c r="BC254" s="29" t="str">
        <f t="shared" si="257"/>
        <v>#DIV/0!</v>
      </c>
      <c r="BD254" s="29" t="str">
        <f t="shared" si="257"/>
        <v>#DIV/0!</v>
      </c>
      <c r="BE254" s="29" t="str">
        <f t="shared" si="257"/>
        <v>#DIV/0!</v>
      </c>
      <c r="BF254" s="29" t="str">
        <f t="shared" si="257"/>
        <v>#DIV/0!</v>
      </c>
      <c r="BG254" s="29" t="str">
        <f t="shared" si="257"/>
        <v>#DIV/0!</v>
      </c>
      <c r="BH254" s="29" t="str">
        <f t="shared" si="257"/>
        <v>#DIV/0!</v>
      </c>
      <c r="BI254" s="29" t="str">
        <f t="shared" si="257"/>
        <v>#DIV/0!</v>
      </c>
      <c r="BJ254" s="29" t="str">
        <f t="shared" si="257"/>
        <v>#DIV/0!</v>
      </c>
      <c r="BK254" s="29" t="str">
        <f t="shared" si="257"/>
        <v>#DIV/0!</v>
      </c>
      <c r="BL254" s="29" t="str">
        <f t="shared" si="257"/>
        <v>#DIV/0!</v>
      </c>
      <c r="BM254" s="29" t="str">
        <f t="shared" si="3"/>
        <v>#DIV/0!</v>
      </c>
    </row>
    <row r="255">
      <c r="A255" s="16" t="str">
        <f>IFERROR(__xludf.DUMMYFUNCTION("IFERROR(SPARKLINE(SORT(MAP(TRANSPOSE(AQ255:BL255), LAMBDA(val, IF(ISNUMBER(val), PERCENTRANK(AQ255:BL255, val)+0.01, 0))), SEQUENCE(COLUMNS(AQ255:BL255)), FALSE), {""charttype"",""column""; ""color"",""chartreuse""; ""ymin"", 0; ""ymax"", 1.01; ""highcolo"&amp;"r"", ""darkgreen""; ""lowcolor"", ""red""}), """")"),"")</f>
        <v/>
      </c>
      <c r="B255" s="17" t="str">
        <f t="shared" si="4"/>
        <v/>
      </c>
      <c r="C255" s="1" t="s">
        <v>1142</v>
      </c>
      <c r="D255" s="30" t="str">
        <f>IFERROR(__xludf.DUMMYFUNCTION("IFERROR(GOOGLEFINANCE(C255, ""NAME""))"),"Consensus Cloud Solutions Inc")</f>
        <v>Consensus Cloud Solutions Inc</v>
      </c>
      <c r="E255" s="30" t="s">
        <v>58</v>
      </c>
      <c r="F255" s="33" t="str">
        <f>IFERROR(__xludf.DUMMYFUNCTION("( (GOOGLEFINANCE(C255, ""price"") - Q255) / Q255 ) / (R255 / 100)"),"Loading...")</f>
        <v>Loading...</v>
      </c>
      <c r="G255" s="20" t="str">
        <f>IFERROR(__xludf.DUMMYFUNCTION("AVERAGE(ARRAYFORMULA(100 * (QUERY(GOOGLEFINANCE(C255, ""high"", TODAY()-40, TODAY()), ""SELECT Col2 WHERE Col2 IS NOT NULL ORDER BY Col1 DESC LIMIT 20"", 0) / QUERY(GOOGLEFINANCE(C255, ""low"", TODAY()-40, TODAY()), ""SELECT Col2 WHERE Col2 IS NOT NULL OR"&amp;"DER BY Col1 DESC LIMIT 20"", 0) - 1)))"),"#N/A")</f>
        <v>#N/A</v>
      </c>
      <c r="H255" s="35" t="str">
        <f t="shared" si="6"/>
        <v/>
      </c>
      <c r="I255" s="36" t="str">
        <f t="shared" si="7"/>
        <v/>
      </c>
      <c r="J255" s="37" t="str">
        <f>IFERROR(__xludf.DUMMYFUNCTION("IFERROR(
  IF(C255="""",, 
    IFERROR(
      GOOGLEFINANCE(C255, ""price"") * GOOGLEFINANCE(C255, ""volumeavg""), 
      GOOGLEFINANCE(C255, ""price"") * AVERAGE(QUERY(GOOGLEFINANCE(C255, ""volume"", TODAY()-40, TODAY()), ""SELECT Col2 WHERE Col2 IS NOT "&amp;"NULL ORDER BY Col1 DESC LIMIT 20"", 0))
    )
  ), 
"""")"),"")</f>
        <v/>
      </c>
      <c r="K255" s="21" t="str">
        <f>IFERROR(__xludf.DUMMYFUNCTION("IFERROR(GOOGLEFINANCE(C255, ""changepct"") / 100, """")"),"")</f>
        <v/>
      </c>
      <c r="L255" s="21" t="str">
        <f>IFERROR(__xludf.DUMMYFUNCTION("IFERROR((GOOGLEFINANCE(C255, ""price"") / INDEX(GOOGLEFINANCE(C255, ""price"", TODAY()-7, TODAY()), 2, 2)) - 1, """")"),"")</f>
        <v/>
      </c>
      <c r="M255" s="21" t="str">
        <f>IFERROR(__xludf.DUMMYFUNCTION("IFERROR((GOOGLEFINANCE(C255, ""price"") / INDEX(GOOGLEFINANCE(C255, ""price"", EDATE(TODAY(), -1), TODAY()), 2, 2)) - 1, """")"),"")</f>
        <v/>
      </c>
      <c r="N255" s="21" t="str">
        <f>IFERROR(__xludf.DUMMYFUNCTION("IFERROR((GOOGLEFINANCE(C255, ""price"") / INDEX(GOOGLEFINANCE(C255, ""price"", EDATE(TODAY(), -3), TODAY()), 2, 2)) - 1, """")"),"")</f>
        <v/>
      </c>
      <c r="O255" s="21" t="str">
        <f>IFERROR(__xludf.DUMMYFUNCTION("IFERROR((GOOGLEFINANCE(C255, ""price"") / INDEX(GOOGLEFINANCE(C255, ""price"", EDATE(TODAY(), -6), TODAY()), 2, 2)) - 1, """")"),"")</f>
        <v/>
      </c>
      <c r="P255" s="21" t="str">
        <f>IFERROR(__xludf.DUMMYFUNCTION("IFERROR((GOOGLEFINANCE(C255, ""price"") / INDEX(GOOGLEFINANCE(C255, ""price"", EDATE(TODAY(), -12), TODAY()), 2, 2)) - 1, """")"),"")</f>
        <v/>
      </c>
      <c r="Q255" s="6" t="str">
        <f>IFERROR(__xludf.DUMMYFUNCTION("AVERAGE(QUERY(GOOGLEFINANCE(C255, ""price"", TODAY()-80, TODAY()), ""SELECT Col2 WHERE Col2 IS NOT NULL ORDER BY Col1 DESC LIMIT 50"", 0))"),"#N/A")</f>
        <v>#N/A</v>
      </c>
      <c r="R255" s="24" t="str">
        <f>IFERROR(__xludf.DUMMYFUNCTION("IFERROR(
  LET(
    data, QUERY(GOOGLEFINANCE(C255,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GOOGLEFINANCE(C255, ""price"")) * 100,
    IF(calc=0, G255, calc)
  ), 
G255)"),"#N/A")</f>
        <v>#N/A</v>
      </c>
      <c r="S255" s="8" t="s">
        <v>15</v>
      </c>
      <c r="T255" s="26" t="str">
        <f>IFERROR(__xludf.DUMMYFUNCTION("IFERROR(TRANSPOSE(QUERY(IFERROR(SORT(GOOGLEFINANCE(C255, ""price"", WORKDAY(TODAY(), -40), TODAY()), 1, FALSE)), ""select Col2 where Col2 is not null limit 22 label Col2 ''"", 0)), """")"),"")</f>
        <v/>
      </c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8"/>
      <c r="AO255" s="28"/>
      <c r="AP255" s="29"/>
      <c r="AQ255" s="29" t="str">
        <f t="shared" ref="AQ255:BL255" si="258">T255/T$2</f>
        <v>#N/A</v>
      </c>
      <c r="AR255" s="29" t="str">
        <f t="shared" si="258"/>
        <v>#DIV/0!</v>
      </c>
      <c r="AS255" s="29" t="str">
        <f t="shared" si="258"/>
        <v>#DIV/0!</v>
      </c>
      <c r="AT255" s="29" t="str">
        <f t="shared" si="258"/>
        <v>#DIV/0!</v>
      </c>
      <c r="AU255" s="29" t="str">
        <f t="shared" si="258"/>
        <v>#DIV/0!</v>
      </c>
      <c r="AV255" s="29" t="str">
        <f t="shared" si="258"/>
        <v>#DIV/0!</v>
      </c>
      <c r="AW255" s="29" t="str">
        <f t="shared" si="258"/>
        <v>#DIV/0!</v>
      </c>
      <c r="AX255" s="29" t="str">
        <f t="shared" si="258"/>
        <v>#DIV/0!</v>
      </c>
      <c r="AY255" s="29" t="str">
        <f t="shared" si="258"/>
        <v>#DIV/0!</v>
      </c>
      <c r="AZ255" s="29" t="str">
        <f t="shared" si="258"/>
        <v>#DIV/0!</v>
      </c>
      <c r="BA255" s="29" t="str">
        <f t="shared" si="258"/>
        <v>#DIV/0!</v>
      </c>
      <c r="BB255" s="29" t="str">
        <f t="shared" si="258"/>
        <v>#DIV/0!</v>
      </c>
      <c r="BC255" s="29" t="str">
        <f t="shared" si="258"/>
        <v>#DIV/0!</v>
      </c>
      <c r="BD255" s="29" t="str">
        <f t="shared" si="258"/>
        <v>#DIV/0!</v>
      </c>
      <c r="BE255" s="29" t="str">
        <f t="shared" si="258"/>
        <v>#DIV/0!</v>
      </c>
      <c r="BF255" s="29" t="str">
        <f t="shared" si="258"/>
        <v>#DIV/0!</v>
      </c>
      <c r="BG255" s="29" t="str">
        <f t="shared" si="258"/>
        <v>#DIV/0!</v>
      </c>
      <c r="BH255" s="29" t="str">
        <f t="shared" si="258"/>
        <v>#DIV/0!</v>
      </c>
      <c r="BI255" s="29" t="str">
        <f t="shared" si="258"/>
        <v>#DIV/0!</v>
      </c>
      <c r="BJ255" s="29" t="str">
        <f t="shared" si="258"/>
        <v>#DIV/0!</v>
      </c>
      <c r="BK255" s="29" t="str">
        <f t="shared" si="258"/>
        <v>#DIV/0!</v>
      </c>
      <c r="BL255" s="29" t="str">
        <f t="shared" si="258"/>
        <v>#DIV/0!</v>
      </c>
      <c r="BM255" s="29" t="str">
        <f t="shared" si="3"/>
        <v>#DIV/0!</v>
      </c>
    </row>
    <row r="256">
      <c r="A256" s="16" t="str">
        <f>IFERROR(__xludf.DUMMYFUNCTION("IFERROR(SPARKLINE(SORT(MAP(TRANSPOSE(AQ256:BL256), LAMBDA(val, IF(ISNUMBER(val), PERCENTRANK(AQ256:BL256, val)+0.01, 0))), SEQUENCE(COLUMNS(AQ256:BL256)), FALSE), {""charttype"",""column""; ""color"",""chartreuse""; ""ymin"", 0; ""ymax"", 1.01; ""highcolo"&amp;"r"", ""darkgreen""; ""lowcolor"", ""red""}), """")"),"")</f>
        <v/>
      </c>
      <c r="B256" s="17" t="str">
        <f t="shared" si="4"/>
        <v/>
      </c>
      <c r="C256" s="1" t="s">
        <v>1145</v>
      </c>
      <c r="D256" s="30" t="str">
        <f>IFERROR(__xludf.DUMMYFUNCTION("IFERROR(GOOGLEFINANCE(C256, ""NAME""))"),"Array Technologies Inc")</f>
        <v>Array Technologies Inc</v>
      </c>
      <c r="E256" s="30" t="s">
        <v>1045</v>
      </c>
      <c r="F256" s="33" t="str">
        <f>IFERROR(__xludf.DUMMYFUNCTION("( (GOOGLEFINANCE(C256, ""price"") - Q256) / Q256 ) / (R256 / 100)"),"Loading...")</f>
        <v>Loading...</v>
      </c>
      <c r="G256" s="20" t="str">
        <f>IFERROR(__xludf.DUMMYFUNCTION("AVERAGE(ARRAYFORMULA(100 * (QUERY(GOOGLEFINANCE(C256, ""high"", TODAY()-40, TODAY()), ""SELECT Col2 WHERE Col2 IS NOT NULL ORDER BY Col1 DESC LIMIT 20"", 0) / QUERY(GOOGLEFINANCE(C256, ""low"", TODAY()-40, TODAY()), ""SELECT Col2 WHERE Col2 IS NOT NULL OR"&amp;"DER BY Col1 DESC LIMIT 20"", 0) - 1)))"),"#N/A")</f>
        <v>#N/A</v>
      </c>
      <c r="H256" s="35" t="str">
        <f t="shared" si="6"/>
        <v/>
      </c>
      <c r="I256" s="36" t="str">
        <f t="shared" si="7"/>
        <v/>
      </c>
      <c r="J256" s="37" t="str">
        <f>IFERROR(__xludf.DUMMYFUNCTION("IFERROR(
  IF(C256="""",, 
    IFERROR(
      GOOGLEFINANCE(C256, ""price"") * GOOGLEFINANCE(C256, ""volumeavg""), 
      GOOGLEFINANCE(C256, ""price"") * AVERAGE(QUERY(GOOGLEFINANCE(C256, ""volume"", TODAY()-40, TODAY()), ""SELECT Col2 WHERE Col2 IS NOT "&amp;"NULL ORDER BY Col1 DESC LIMIT 20"", 0))
    )
  ), 
"""")"),"")</f>
        <v/>
      </c>
      <c r="K256" s="21" t="str">
        <f>IFERROR(__xludf.DUMMYFUNCTION("IFERROR(GOOGLEFINANCE(C256, ""changepct"") / 100, """")"),"")</f>
        <v/>
      </c>
      <c r="L256" s="21" t="str">
        <f>IFERROR(__xludf.DUMMYFUNCTION("IFERROR((GOOGLEFINANCE(C256, ""price"") / INDEX(GOOGLEFINANCE(C256, ""price"", TODAY()-7, TODAY()), 2, 2)) - 1, """")"),"")</f>
        <v/>
      </c>
      <c r="M256" s="21" t="str">
        <f>IFERROR(__xludf.DUMMYFUNCTION("IFERROR((GOOGLEFINANCE(C256, ""price"") / INDEX(GOOGLEFINANCE(C256, ""price"", EDATE(TODAY(), -1), TODAY()), 2, 2)) - 1, """")"),"")</f>
        <v/>
      </c>
      <c r="N256" s="21" t="str">
        <f>IFERROR(__xludf.DUMMYFUNCTION("IFERROR((GOOGLEFINANCE(C256, ""price"") / INDEX(GOOGLEFINANCE(C256, ""price"", EDATE(TODAY(), -3), TODAY()), 2, 2)) - 1, """")"),"")</f>
        <v/>
      </c>
      <c r="O256" s="21" t="str">
        <f>IFERROR(__xludf.DUMMYFUNCTION("IFERROR((GOOGLEFINANCE(C256, ""price"") / INDEX(GOOGLEFINANCE(C256, ""price"", EDATE(TODAY(), -6), TODAY()), 2, 2)) - 1, """")"),"")</f>
        <v/>
      </c>
      <c r="P256" s="21" t="str">
        <f>IFERROR(__xludf.DUMMYFUNCTION("IFERROR((GOOGLEFINANCE(C256, ""price"") / INDEX(GOOGLEFINANCE(C256, ""price"", EDATE(TODAY(), -12), TODAY()), 2, 2)) - 1, """")"),"")</f>
        <v/>
      </c>
      <c r="Q256" s="6" t="str">
        <f>IFERROR(__xludf.DUMMYFUNCTION("AVERAGE(QUERY(GOOGLEFINANCE(C256, ""price"", TODAY()-80, TODAY()), ""SELECT Col2 WHERE Col2 IS NOT NULL ORDER BY Col1 DESC LIMIT 50"", 0))"),"#N/A")</f>
        <v>#N/A</v>
      </c>
      <c r="R256" s="24" t="str">
        <f>IFERROR(__xludf.DUMMYFUNCTION("IFERROR(
  LET(
    data, QUERY(GOOGLEFINANCE(C256,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GOOGLEFINANCE(C256, ""price"")) * 100,
    IF(calc=0, G256, calc)
  ), 
G256)"),"#N/A")</f>
        <v>#N/A</v>
      </c>
      <c r="S256" s="8" t="s">
        <v>15</v>
      </c>
      <c r="T256" s="26" t="str">
        <f>IFERROR(__xludf.DUMMYFUNCTION("IFERROR(TRANSPOSE(QUERY(IFERROR(SORT(GOOGLEFINANCE(C256, ""price"", WORKDAY(TODAY(), -40), TODAY()), 1, FALSE)), ""select Col2 where Col2 is not null limit 22 label Col2 ''"", 0)), """")"),"")</f>
        <v/>
      </c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8"/>
      <c r="AO256" s="28"/>
      <c r="AP256" s="29"/>
      <c r="AQ256" s="29" t="str">
        <f t="shared" ref="AQ256:BL256" si="259">T256/T$2</f>
        <v>#N/A</v>
      </c>
      <c r="AR256" s="29" t="str">
        <f t="shared" si="259"/>
        <v>#DIV/0!</v>
      </c>
      <c r="AS256" s="29" t="str">
        <f t="shared" si="259"/>
        <v>#DIV/0!</v>
      </c>
      <c r="AT256" s="29" t="str">
        <f t="shared" si="259"/>
        <v>#DIV/0!</v>
      </c>
      <c r="AU256" s="29" t="str">
        <f t="shared" si="259"/>
        <v>#DIV/0!</v>
      </c>
      <c r="AV256" s="29" t="str">
        <f t="shared" si="259"/>
        <v>#DIV/0!</v>
      </c>
      <c r="AW256" s="29" t="str">
        <f t="shared" si="259"/>
        <v>#DIV/0!</v>
      </c>
      <c r="AX256" s="29" t="str">
        <f t="shared" si="259"/>
        <v>#DIV/0!</v>
      </c>
      <c r="AY256" s="29" t="str">
        <f t="shared" si="259"/>
        <v>#DIV/0!</v>
      </c>
      <c r="AZ256" s="29" t="str">
        <f t="shared" si="259"/>
        <v>#DIV/0!</v>
      </c>
      <c r="BA256" s="29" t="str">
        <f t="shared" si="259"/>
        <v>#DIV/0!</v>
      </c>
      <c r="BB256" s="29" t="str">
        <f t="shared" si="259"/>
        <v>#DIV/0!</v>
      </c>
      <c r="BC256" s="29" t="str">
        <f t="shared" si="259"/>
        <v>#DIV/0!</v>
      </c>
      <c r="BD256" s="29" t="str">
        <f t="shared" si="259"/>
        <v>#DIV/0!</v>
      </c>
      <c r="BE256" s="29" t="str">
        <f t="shared" si="259"/>
        <v>#DIV/0!</v>
      </c>
      <c r="BF256" s="29" t="str">
        <f t="shared" si="259"/>
        <v>#DIV/0!</v>
      </c>
      <c r="BG256" s="29" t="str">
        <f t="shared" si="259"/>
        <v>#DIV/0!</v>
      </c>
      <c r="BH256" s="29" t="str">
        <f t="shared" si="259"/>
        <v>#DIV/0!</v>
      </c>
      <c r="BI256" s="29" t="str">
        <f t="shared" si="259"/>
        <v>#DIV/0!</v>
      </c>
      <c r="BJ256" s="29" t="str">
        <f t="shared" si="259"/>
        <v>#DIV/0!</v>
      </c>
      <c r="BK256" s="29" t="str">
        <f t="shared" si="259"/>
        <v>#DIV/0!</v>
      </c>
      <c r="BL256" s="29" t="str">
        <f t="shared" si="259"/>
        <v>#DIV/0!</v>
      </c>
      <c r="BM256" s="29" t="str">
        <f t="shared" si="3"/>
        <v>#DIV/0!</v>
      </c>
    </row>
    <row r="257">
      <c r="A257" s="16" t="str">
        <f>IFERROR(__xludf.DUMMYFUNCTION("IFERROR(SPARKLINE(SORT(MAP(TRANSPOSE(AQ257:BL257), LAMBDA(val, IF(ISNUMBER(val), PERCENTRANK(AQ257:BL257, val)+0.01, 0))), SEQUENCE(COLUMNS(AQ257:BL257)), FALSE), {""charttype"",""column""; ""color"",""chartreuse""; ""ymin"", 0; ""ymax"", 1.01; ""highcolo"&amp;"r"", ""darkgreen""; ""lowcolor"", ""red""}), """")"),"")</f>
        <v/>
      </c>
      <c r="B257" s="17" t="str">
        <f t="shared" si="4"/>
        <v/>
      </c>
      <c r="C257" s="1" t="s">
        <v>1148</v>
      </c>
      <c r="D257" s="30" t="str">
        <f>IFERROR(__xludf.DUMMYFUNCTION("IFERROR(GOOGLEFINANCE(C257, ""NAME""))"),"Daktronics Inc")</f>
        <v>Daktronics Inc</v>
      </c>
      <c r="E257" s="30" t="s">
        <v>469</v>
      </c>
      <c r="F257" s="33" t="str">
        <f>IFERROR(__xludf.DUMMYFUNCTION("( (GOOGLEFINANCE(C257, ""price"") - Q257) / Q257 ) / (R257 / 100)"),"Loading...")</f>
        <v>Loading...</v>
      </c>
      <c r="G257" s="20" t="str">
        <f>IFERROR(__xludf.DUMMYFUNCTION("AVERAGE(ARRAYFORMULA(100 * (QUERY(GOOGLEFINANCE(C257, ""high"", TODAY()-40, TODAY()), ""SELECT Col2 WHERE Col2 IS NOT NULL ORDER BY Col1 DESC LIMIT 20"", 0) / QUERY(GOOGLEFINANCE(C257, ""low"", TODAY()-40, TODAY()), ""SELECT Col2 WHERE Col2 IS NOT NULL OR"&amp;"DER BY Col1 DESC LIMIT 20"", 0) - 1)))"),"#N/A")</f>
        <v>#N/A</v>
      </c>
      <c r="H257" s="35" t="str">
        <f t="shared" si="6"/>
        <v/>
      </c>
      <c r="I257" s="36" t="str">
        <f t="shared" si="7"/>
        <v/>
      </c>
      <c r="J257" s="37" t="str">
        <f>IFERROR(__xludf.DUMMYFUNCTION("IFERROR(
  IF(C257="""",, 
    IFERROR(
      GOOGLEFINANCE(C257, ""price"") * GOOGLEFINANCE(C257, ""volumeavg""), 
      GOOGLEFINANCE(C257, ""price"") * AVERAGE(QUERY(GOOGLEFINANCE(C257, ""volume"", TODAY()-40, TODAY()), ""SELECT Col2 WHERE Col2 IS NOT "&amp;"NULL ORDER BY Col1 DESC LIMIT 20"", 0))
    )
  ), 
"""")"),"")</f>
        <v/>
      </c>
      <c r="K257" s="21" t="str">
        <f>IFERROR(__xludf.DUMMYFUNCTION("IFERROR(GOOGLEFINANCE(C257, ""changepct"") / 100, """")"),"")</f>
        <v/>
      </c>
      <c r="L257" s="21" t="str">
        <f>IFERROR(__xludf.DUMMYFUNCTION("IFERROR((GOOGLEFINANCE(C257, ""price"") / INDEX(GOOGLEFINANCE(C257, ""price"", TODAY()-7, TODAY()), 2, 2)) - 1, """")"),"")</f>
        <v/>
      </c>
      <c r="M257" s="21" t="str">
        <f>IFERROR(__xludf.DUMMYFUNCTION("IFERROR((GOOGLEFINANCE(C257, ""price"") / INDEX(GOOGLEFINANCE(C257, ""price"", EDATE(TODAY(), -1), TODAY()), 2, 2)) - 1, """")"),"")</f>
        <v/>
      </c>
      <c r="N257" s="21" t="str">
        <f>IFERROR(__xludf.DUMMYFUNCTION("IFERROR((GOOGLEFINANCE(C257, ""price"") / INDEX(GOOGLEFINANCE(C257, ""price"", EDATE(TODAY(), -3), TODAY()), 2, 2)) - 1, """")"),"")</f>
        <v/>
      </c>
      <c r="O257" s="21" t="str">
        <f>IFERROR(__xludf.DUMMYFUNCTION("IFERROR((GOOGLEFINANCE(C257, ""price"") / INDEX(GOOGLEFINANCE(C257, ""price"", EDATE(TODAY(), -6), TODAY()), 2, 2)) - 1, """")"),"")</f>
        <v/>
      </c>
      <c r="P257" s="21" t="str">
        <f>IFERROR(__xludf.DUMMYFUNCTION("IFERROR((GOOGLEFINANCE(C257, ""price"") / INDEX(GOOGLEFINANCE(C257, ""price"", EDATE(TODAY(), -12), TODAY()), 2, 2)) - 1, """")"),"")</f>
        <v/>
      </c>
      <c r="Q257" s="6" t="str">
        <f>IFERROR(__xludf.DUMMYFUNCTION("AVERAGE(QUERY(GOOGLEFINANCE(C257, ""price"", TODAY()-80, TODAY()), ""SELECT Col2 WHERE Col2 IS NOT NULL ORDER BY Col1 DESC LIMIT 50"", 0))"),"#N/A")</f>
        <v>#N/A</v>
      </c>
      <c r="R257" s="24" t="str">
        <f>IFERROR(__xludf.DUMMYFUNCTION("IFERROR(
  LET(
    data, QUERY(GOOGLEFINANCE(C257,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GOOGLEFINANCE(C257, ""price"")) * 100,
    IF(calc=0, G257, calc)
  ), 
G257)"),"#N/A")</f>
        <v>#N/A</v>
      </c>
      <c r="S257" s="8" t="s">
        <v>15</v>
      </c>
      <c r="T257" s="26" t="str">
        <f>IFERROR(__xludf.DUMMYFUNCTION("IFERROR(TRANSPOSE(QUERY(IFERROR(SORT(GOOGLEFINANCE(C257, ""price"", WORKDAY(TODAY(), -40), TODAY()), 1, FALSE)), ""select Col2 where Col2 is not null limit 22 label Col2 ''"", 0)), """")"),"")</f>
        <v/>
      </c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8"/>
      <c r="AO257" s="28"/>
      <c r="AP257" s="29"/>
      <c r="AQ257" s="29" t="str">
        <f t="shared" ref="AQ257:BL257" si="260">T257/T$2</f>
        <v>#N/A</v>
      </c>
      <c r="AR257" s="29" t="str">
        <f t="shared" si="260"/>
        <v>#DIV/0!</v>
      </c>
      <c r="AS257" s="29" t="str">
        <f t="shared" si="260"/>
        <v>#DIV/0!</v>
      </c>
      <c r="AT257" s="29" t="str">
        <f t="shared" si="260"/>
        <v>#DIV/0!</v>
      </c>
      <c r="AU257" s="29" t="str">
        <f t="shared" si="260"/>
        <v>#DIV/0!</v>
      </c>
      <c r="AV257" s="29" t="str">
        <f t="shared" si="260"/>
        <v>#DIV/0!</v>
      </c>
      <c r="AW257" s="29" t="str">
        <f t="shared" si="260"/>
        <v>#DIV/0!</v>
      </c>
      <c r="AX257" s="29" t="str">
        <f t="shared" si="260"/>
        <v>#DIV/0!</v>
      </c>
      <c r="AY257" s="29" t="str">
        <f t="shared" si="260"/>
        <v>#DIV/0!</v>
      </c>
      <c r="AZ257" s="29" t="str">
        <f t="shared" si="260"/>
        <v>#DIV/0!</v>
      </c>
      <c r="BA257" s="29" t="str">
        <f t="shared" si="260"/>
        <v>#DIV/0!</v>
      </c>
      <c r="BB257" s="29" t="str">
        <f t="shared" si="260"/>
        <v>#DIV/0!</v>
      </c>
      <c r="BC257" s="29" t="str">
        <f t="shared" si="260"/>
        <v>#DIV/0!</v>
      </c>
      <c r="BD257" s="29" t="str">
        <f t="shared" si="260"/>
        <v>#DIV/0!</v>
      </c>
      <c r="BE257" s="29" t="str">
        <f t="shared" si="260"/>
        <v>#DIV/0!</v>
      </c>
      <c r="BF257" s="29" t="str">
        <f t="shared" si="260"/>
        <v>#DIV/0!</v>
      </c>
      <c r="BG257" s="29" t="str">
        <f t="shared" si="260"/>
        <v>#DIV/0!</v>
      </c>
      <c r="BH257" s="29" t="str">
        <f t="shared" si="260"/>
        <v>#DIV/0!</v>
      </c>
      <c r="BI257" s="29" t="str">
        <f t="shared" si="260"/>
        <v>#DIV/0!</v>
      </c>
      <c r="BJ257" s="29" t="str">
        <f t="shared" si="260"/>
        <v>#DIV/0!</v>
      </c>
      <c r="BK257" s="29" t="str">
        <f t="shared" si="260"/>
        <v>#DIV/0!</v>
      </c>
      <c r="BL257" s="29" t="str">
        <f t="shared" si="260"/>
        <v>#DIV/0!</v>
      </c>
      <c r="BM257" s="29" t="str">
        <f t="shared" si="3"/>
        <v>#DIV/0!</v>
      </c>
    </row>
    <row r="258">
      <c r="A258" s="16" t="str">
        <f>IFERROR(__xludf.DUMMYFUNCTION("IFERROR(SPARKLINE(SORT(MAP(TRANSPOSE(AQ258:BL258), LAMBDA(val, IF(ISNUMBER(val), PERCENTRANK(AQ258:BL258, val)+0.01, 0))), SEQUENCE(COLUMNS(AQ258:BL258)), FALSE), {""charttype"",""column""; ""color"",""chartreuse""; ""ymin"", 0; ""ymax"", 1.01; ""highcolo"&amp;"r"", ""darkgreen""; ""lowcolor"", ""red""}), """")"),"")</f>
        <v/>
      </c>
      <c r="B258" s="17" t="str">
        <f t="shared" si="4"/>
        <v/>
      </c>
      <c r="C258" s="1" t="s">
        <v>1151</v>
      </c>
      <c r="D258" s="30" t="str">
        <f>IFERROR(__xludf.DUMMYFUNCTION("IFERROR(GOOGLEFINANCE(C258, ""NAME""))"),"Sunrun Inc")</f>
        <v>Sunrun Inc</v>
      </c>
      <c r="E258" s="30" t="s">
        <v>1045</v>
      </c>
      <c r="F258" s="33" t="str">
        <f>IFERROR(__xludf.DUMMYFUNCTION("( (GOOGLEFINANCE(C258, ""price"") - Q258) / Q258 ) / (R258 / 100)"),"Loading...")</f>
        <v>Loading...</v>
      </c>
      <c r="G258" s="20" t="str">
        <f>IFERROR(__xludf.DUMMYFUNCTION("AVERAGE(ARRAYFORMULA(100 * (QUERY(GOOGLEFINANCE(C258, ""high"", TODAY()-40, TODAY()), ""SELECT Col2 WHERE Col2 IS NOT NULL ORDER BY Col1 DESC LIMIT 20"", 0) / QUERY(GOOGLEFINANCE(C258, ""low"", TODAY()-40, TODAY()), ""SELECT Col2 WHERE Col2 IS NOT NULL OR"&amp;"DER BY Col1 DESC LIMIT 20"", 0) - 1)))"),"#N/A")</f>
        <v>#N/A</v>
      </c>
      <c r="H258" s="35" t="str">
        <f t="shared" si="6"/>
        <v/>
      </c>
      <c r="I258" s="36" t="str">
        <f t="shared" si="7"/>
        <v/>
      </c>
      <c r="J258" s="37" t="str">
        <f>IFERROR(__xludf.DUMMYFUNCTION("IFERROR(
  IF(C258="""",, 
    IFERROR(
      GOOGLEFINANCE(C258, ""price"") * GOOGLEFINANCE(C258, ""volumeavg""), 
      GOOGLEFINANCE(C258, ""price"") * AVERAGE(QUERY(GOOGLEFINANCE(C258, ""volume"", TODAY()-40, TODAY()), ""SELECT Col2 WHERE Col2 IS NOT "&amp;"NULL ORDER BY Col1 DESC LIMIT 20"", 0))
    )
  ), 
"""")"),"")</f>
        <v/>
      </c>
      <c r="K258" s="21" t="str">
        <f>IFERROR(__xludf.DUMMYFUNCTION("IFERROR(GOOGLEFINANCE(C258, ""changepct"") / 100, """")"),"")</f>
        <v/>
      </c>
      <c r="L258" s="21" t="str">
        <f>IFERROR(__xludf.DUMMYFUNCTION("IFERROR((GOOGLEFINANCE(C258, ""price"") / INDEX(GOOGLEFINANCE(C258, ""price"", TODAY()-7, TODAY()), 2, 2)) - 1, """")"),"")</f>
        <v/>
      </c>
      <c r="M258" s="21" t="str">
        <f>IFERROR(__xludf.DUMMYFUNCTION("IFERROR((GOOGLEFINANCE(C258, ""price"") / INDEX(GOOGLEFINANCE(C258, ""price"", EDATE(TODAY(), -1), TODAY()), 2, 2)) - 1, """")"),"")</f>
        <v/>
      </c>
      <c r="N258" s="21" t="str">
        <f>IFERROR(__xludf.DUMMYFUNCTION("IFERROR((GOOGLEFINANCE(C258, ""price"") / INDEX(GOOGLEFINANCE(C258, ""price"", EDATE(TODAY(), -3), TODAY()), 2, 2)) - 1, """")"),"")</f>
        <v/>
      </c>
      <c r="O258" s="21" t="str">
        <f>IFERROR(__xludf.DUMMYFUNCTION("IFERROR((GOOGLEFINANCE(C258, ""price"") / INDEX(GOOGLEFINANCE(C258, ""price"", EDATE(TODAY(), -6), TODAY()), 2, 2)) - 1, """")"),"")</f>
        <v/>
      </c>
      <c r="P258" s="21" t="str">
        <f>IFERROR(__xludf.DUMMYFUNCTION("IFERROR((GOOGLEFINANCE(C258, ""price"") / INDEX(GOOGLEFINANCE(C258, ""price"", EDATE(TODAY(), -12), TODAY()), 2, 2)) - 1, """")"),"")</f>
        <v/>
      </c>
      <c r="Q258" s="6" t="str">
        <f>IFERROR(__xludf.DUMMYFUNCTION("AVERAGE(QUERY(GOOGLEFINANCE(C258, ""price"", TODAY()-80, TODAY()), ""SELECT Col2 WHERE Col2 IS NOT NULL ORDER BY Col1 DESC LIMIT 50"", 0))"),"#N/A")</f>
        <v>#N/A</v>
      </c>
      <c r="R258" s="24" t="str">
        <f>IFERROR(__xludf.DUMMYFUNCTION("IFERROR(
  LET(
    data, QUERY(GOOGLEFINANCE(C258,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GOOGLEFINANCE(C258, ""price"")) * 100,
    IF(calc=0, G258, calc)
  ), 
G258)"),"#N/A")</f>
        <v>#N/A</v>
      </c>
      <c r="S258" s="8" t="s">
        <v>15</v>
      </c>
      <c r="T258" s="26" t="str">
        <f>IFERROR(__xludf.DUMMYFUNCTION("IFERROR(TRANSPOSE(QUERY(IFERROR(SORT(GOOGLEFINANCE(C258, ""price"", WORKDAY(TODAY(), -40), TODAY()), 1, FALSE)), ""select Col2 where Col2 is not null limit 22 label Col2 ''"", 0)), """")"),"")</f>
        <v/>
      </c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8"/>
      <c r="AO258" s="28"/>
      <c r="AP258" s="29"/>
      <c r="AQ258" s="29" t="str">
        <f t="shared" ref="AQ258:BL258" si="261">T258/T$2</f>
        <v>#N/A</v>
      </c>
      <c r="AR258" s="29" t="str">
        <f t="shared" si="261"/>
        <v>#DIV/0!</v>
      </c>
      <c r="AS258" s="29" t="str">
        <f t="shared" si="261"/>
        <v>#DIV/0!</v>
      </c>
      <c r="AT258" s="29" t="str">
        <f t="shared" si="261"/>
        <v>#DIV/0!</v>
      </c>
      <c r="AU258" s="29" t="str">
        <f t="shared" si="261"/>
        <v>#DIV/0!</v>
      </c>
      <c r="AV258" s="29" t="str">
        <f t="shared" si="261"/>
        <v>#DIV/0!</v>
      </c>
      <c r="AW258" s="29" t="str">
        <f t="shared" si="261"/>
        <v>#DIV/0!</v>
      </c>
      <c r="AX258" s="29" t="str">
        <f t="shared" si="261"/>
        <v>#DIV/0!</v>
      </c>
      <c r="AY258" s="29" t="str">
        <f t="shared" si="261"/>
        <v>#DIV/0!</v>
      </c>
      <c r="AZ258" s="29" t="str">
        <f t="shared" si="261"/>
        <v>#DIV/0!</v>
      </c>
      <c r="BA258" s="29" t="str">
        <f t="shared" si="261"/>
        <v>#DIV/0!</v>
      </c>
      <c r="BB258" s="29" t="str">
        <f t="shared" si="261"/>
        <v>#DIV/0!</v>
      </c>
      <c r="BC258" s="29" t="str">
        <f t="shared" si="261"/>
        <v>#DIV/0!</v>
      </c>
      <c r="BD258" s="29" t="str">
        <f t="shared" si="261"/>
        <v>#DIV/0!</v>
      </c>
      <c r="BE258" s="29" t="str">
        <f t="shared" si="261"/>
        <v>#DIV/0!</v>
      </c>
      <c r="BF258" s="29" t="str">
        <f t="shared" si="261"/>
        <v>#DIV/0!</v>
      </c>
      <c r="BG258" s="29" t="str">
        <f t="shared" si="261"/>
        <v>#DIV/0!</v>
      </c>
      <c r="BH258" s="29" t="str">
        <f t="shared" si="261"/>
        <v>#DIV/0!</v>
      </c>
      <c r="BI258" s="29" t="str">
        <f t="shared" si="261"/>
        <v>#DIV/0!</v>
      </c>
      <c r="BJ258" s="29" t="str">
        <f t="shared" si="261"/>
        <v>#DIV/0!</v>
      </c>
      <c r="BK258" s="29" t="str">
        <f t="shared" si="261"/>
        <v>#DIV/0!</v>
      </c>
      <c r="BL258" s="29" t="str">
        <f t="shared" si="261"/>
        <v>#DIV/0!</v>
      </c>
      <c r="BM258" s="29" t="str">
        <f t="shared" si="3"/>
        <v>#DIV/0!</v>
      </c>
    </row>
    <row r="259">
      <c r="A259" s="16" t="str">
        <f>IFERROR(__xludf.DUMMYFUNCTION("IFERROR(SPARKLINE(SORT(MAP(TRANSPOSE(AQ259:BL259), LAMBDA(val, IF(ISNUMBER(val), PERCENTRANK(AQ259:BL259, val)+0.01, 0))), SEQUENCE(COLUMNS(AQ259:BL259)), FALSE), {""charttype"",""column""; ""color"",""chartreuse""; ""ymin"", 0; ""ymax"", 1.01; ""highcolo"&amp;"r"", ""darkgreen""; ""lowcolor"", ""red""}), """")"),"")</f>
        <v/>
      </c>
      <c r="B259" s="17" t="str">
        <f t="shared" si="4"/>
        <v/>
      </c>
      <c r="C259" s="1" t="s">
        <v>1154</v>
      </c>
      <c r="D259" s="30" t="str">
        <f>IFERROR(__xludf.DUMMYFUNCTION("IFERROR(GOOGLEFINANCE(C259, ""NAME""))"),"CoreWeave Inc")</f>
        <v>CoreWeave Inc</v>
      </c>
      <c r="E259" s="30" t="s">
        <v>58</v>
      </c>
      <c r="F259" s="33" t="str">
        <f>IFERROR(__xludf.DUMMYFUNCTION("( (GOOGLEFINANCE(C259, ""price"") - Q259) / Q259 ) / (R259 / 100)"),"Loading...")</f>
        <v>Loading...</v>
      </c>
      <c r="G259" s="20" t="str">
        <f>IFERROR(__xludf.DUMMYFUNCTION("AVERAGE(ARRAYFORMULA(100 * (QUERY(GOOGLEFINANCE(C259, ""high"", TODAY()-40, TODAY()), ""SELECT Col2 WHERE Col2 IS NOT NULL ORDER BY Col1 DESC LIMIT 20"", 0) / QUERY(GOOGLEFINANCE(C259, ""low"", TODAY()-40, TODAY()), ""SELECT Col2 WHERE Col2 IS NOT NULL OR"&amp;"DER BY Col1 DESC LIMIT 20"", 0) - 1)))"),"#N/A")</f>
        <v>#N/A</v>
      </c>
      <c r="H259" s="35" t="str">
        <f t="shared" si="6"/>
        <v/>
      </c>
      <c r="I259" s="36" t="str">
        <f t="shared" si="7"/>
        <v/>
      </c>
      <c r="J259" s="37" t="str">
        <f>IFERROR(__xludf.DUMMYFUNCTION("IFERROR(
  IF(C259="""",, 
    IFERROR(
      GOOGLEFINANCE(C259, ""price"") * GOOGLEFINANCE(C259, ""volumeavg""), 
      GOOGLEFINANCE(C259, ""price"") * AVERAGE(QUERY(GOOGLEFINANCE(C259, ""volume"", TODAY()-40, TODAY()), ""SELECT Col2 WHERE Col2 IS NOT "&amp;"NULL ORDER BY Col1 DESC LIMIT 20"", 0))
    )
  ), 
"""")"),"")</f>
        <v/>
      </c>
      <c r="K259" s="21" t="str">
        <f>IFERROR(__xludf.DUMMYFUNCTION("IFERROR(GOOGLEFINANCE(C259, ""changepct"") / 100, """")"),"")</f>
        <v/>
      </c>
      <c r="L259" s="21" t="str">
        <f>IFERROR(__xludf.DUMMYFUNCTION("IFERROR((GOOGLEFINANCE(C259, ""price"") / INDEX(GOOGLEFINANCE(C259, ""price"", TODAY()-7, TODAY()), 2, 2)) - 1, """")"),"")</f>
        <v/>
      </c>
      <c r="M259" s="21" t="str">
        <f>IFERROR(__xludf.DUMMYFUNCTION("IFERROR((GOOGLEFINANCE(C259, ""price"") / INDEX(GOOGLEFINANCE(C259, ""price"", EDATE(TODAY(), -1), TODAY()), 2, 2)) - 1, """")"),"")</f>
        <v/>
      </c>
      <c r="N259" s="21" t="str">
        <f>IFERROR(__xludf.DUMMYFUNCTION("IFERROR((GOOGLEFINANCE(C259, ""price"") / INDEX(GOOGLEFINANCE(C259, ""price"", EDATE(TODAY(), -3), TODAY()), 2, 2)) - 1, """")"),"")</f>
        <v/>
      </c>
      <c r="O259" s="21" t="str">
        <f>IFERROR(__xludf.DUMMYFUNCTION("IFERROR((GOOGLEFINANCE(C259, ""price"") / INDEX(GOOGLEFINANCE(C259, ""price"", EDATE(TODAY(), -6), TODAY()), 2, 2)) - 1, """")"),"")</f>
        <v/>
      </c>
      <c r="P259" s="21" t="str">
        <f>IFERROR(__xludf.DUMMYFUNCTION("IFERROR((GOOGLEFINANCE(C259, ""price"") / INDEX(GOOGLEFINANCE(C259, ""price"", EDATE(TODAY(), -12), TODAY()), 2, 2)) - 1, """")"),"")</f>
        <v/>
      </c>
      <c r="Q259" s="6" t="str">
        <f>IFERROR(__xludf.DUMMYFUNCTION("AVERAGE(QUERY(GOOGLEFINANCE(C259, ""price"", TODAY()-80, TODAY()), ""SELECT Col2 WHERE Col2 IS NOT NULL ORDER BY Col1 DESC LIMIT 50"", 0))"),"#N/A")</f>
        <v>#N/A</v>
      </c>
      <c r="R259" s="24" t="str">
        <f>IFERROR(__xludf.DUMMYFUNCTION("IFERROR(
  LET(
    data, QUERY(GOOGLEFINANCE(C259,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GOOGLEFINANCE(C259, ""price"")) * 100,
    IF(calc=0, G259, calc)
  ), 
G259)"),"#N/A")</f>
        <v>#N/A</v>
      </c>
      <c r="S259" s="8" t="s">
        <v>15</v>
      </c>
      <c r="T259" s="26" t="str">
        <f>IFERROR(__xludf.DUMMYFUNCTION("IFERROR(TRANSPOSE(QUERY(IFERROR(SORT(GOOGLEFINANCE(C259, ""price"", WORKDAY(TODAY(), -40), TODAY()), 1, FALSE)), ""select Col2 where Col2 is not null limit 22 label Col2 ''"", 0)), """")"),"")</f>
        <v/>
      </c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8"/>
      <c r="AO259" s="28"/>
      <c r="AP259" s="29"/>
      <c r="AQ259" s="29" t="str">
        <f t="shared" ref="AQ259:BL259" si="262">T259/T$2</f>
        <v>#N/A</v>
      </c>
      <c r="AR259" s="29" t="str">
        <f t="shared" si="262"/>
        <v>#DIV/0!</v>
      </c>
      <c r="AS259" s="29" t="str">
        <f t="shared" si="262"/>
        <v>#DIV/0!</v>
      </c>
      <c r="AT259" s="29" t="str">
        <f t="shared" si="262"/>
        <v>#DIV/0!</v>
      </c>
      <c r="AU259" s="29" t="str">
        <f t="shared" si="262"/>
        <v>#DIV/0!</v>
      </c>
      <c r="AV259" s="29" t="str">
        <f t="shared" si="262"/>
        <v>#DIV/0!</v>
      </c>
      <c r="AW259" s="29" t="str">
        <f t="shared" si="262"/>
        <v>#DIV/0!</v>
      </c>
      <c r="AX259" s="29" t="str">
        <f t="shared" si="262"/>
        <v>#DIV/0!</v>
      </c>
      <c r="AY259" s="29" t="str">
        <f t="shared" si="262"/>
        <v>#DIV/0!</v>
      </c>
      <c r="AZ259" s="29" t="str">
        <f t="shared" si="262"/>
        <v>#DIV/0!</v>
      </c>
      <c r="BA259" s="29" t="str">
        <f t="shared" si="262"/>
        <v>#DIV/0!</v>
      </c>
      <c r="BB259" s="29" t="str">
        <f t="shared" si="262"/>
        <v>#DIV/0!</v>
      </c>
      <c r="BC259" s="29" t="str">
        <f t="shared" si="262"/>
        <v>#DIV/0!</v>
      </c>
      <c r="BD259" s="29" t="str">
        <f t="shared" si="262"/>
        <v>#DIV/0!</v>
      </c>
      <c r="BE259" s="29" t="str">
        <f t="shared" si="262"/>
        <v>#DIV/0!</v>
      </c>
      <c r="BF259" s="29" t="str">
        <f t="shared" si="262"/>
        <v>#DIV/0!</v>
      </c>
      <c r="BG259" s="29" t="str">
        <f t="shared" si="262"/>
        <v>#DIV/0!</v>
      </c>
      <c r="BH259" s="29" t="str">
        <f t="shared" si="262"/>
        <v>#DIV/0!</v>
      </c>
      <c r="BI259" s="29" t="str">
        <f t="shared" si="262"/>
        <v>#DIV/0!</v>
      </c>
      <c r="BJ259" s="29" t="str">
        <f t="shared" si="262"/>
        <v>#DIV/0!</v>
      </c>
      <c r="BK259" s="29" t="str">
        <f t="shared" si="262"/>
        <v>#DIV/0!</v>
      </c>
      <c r="BL259" s="29" t="str">
        <f t="shared" si="262"/>
        <v>#DIV/0!</v>
      </c>
      <c r="BM259" s="29" t="str">
        <f t="shared" si="3"/>
        <v>#DIV/0!</v>
      </c>
    </row>
    <row r="260">
      <c r="A260" s="16" t="str">
        <f>IFERROR(__xludf.DUMMYFUNCTION("IFERROR(SPARKLINE(SORT(MAP(TRANSPOSE(AQ260:BL260), LAMBDA(val, IF(ISNUMBER(val), PERCENTRANK(AQ260:BL260, val)+0.01, 0))), SEQUENCE(COLUMNS(AQ260:BL260)), FALSE), {""charttype"",""column""; ""color"",""chartreuse""; ""ymin"", 0; ""ymax"", 1.01; ""highcolo"&amp;"r"", ""darkgreen""; ""lowcolor"", ""red""}), """")"),"")</f>
        <v/>
      </c>
      <c r="B260" s="17" t="str">
        <f t="shared" si="4"/>
        <v/>
      </c>
      <c r="C260" s="1" t="s">
        <v>1157</v>
      </c>
      <c r="D260" s="30" t="str">
        <f>IFERROR(__xludf.DUMMYFUNCTION("IFERROR(GOOGLEFINANCE(C260, ""NAME""))"),"Teledyne Technologies Inc")</f>
        <v>Teledyne Technologies Inc</v>
      </c>
      <c r="E260" s="30" t="s">
        <v>595</v>
      </c>
      <c r="F260" s="33" t="str">
        <f>IFERROR(__xludf.DUMMYFUNCTION("( (GOOGLEFINANCE(C260, ""price"") - Q260) / Q260 ) / (R260 / 100)"),"Loading...")</f>
        <v>Loading...</v>
      </c>
      <c r="G260" s="20" t="str">
        <f>IFERROR(__xludf.DUMMYFUNCTION("AVERAGE(ARRAYFORMULA(100 * (QUERY(GOOGLEFINANCE(C260, ""high"", TODAY()-40, TODAY()), ""SELECT Col2 WHERE Col2 IS NOT NULL ORDER BY Col1 DESC LIMIT 20"", 0) / QUERY(GOOGLEFINANCE(C260, ""low"", TODAY()-40, TODAY()), ""SELECT Col2 WHERE Col2 IS NOT NULL OR"&amp;"DER BY Col1 DESC LIMIT 20"", 0) - 1)))"),"#N/A")</f>
        <v>#N/A</v>
      </c>
      <c r="H260" s="35" t="str">
        <f t="shared" si="6"/>
        <v/>
      </c>
      <c r="I260" s="36" t="str">
        <f t="shared" si="7"/>
        <v/>
      </c>
      <c r="J260" s="37" t="str">
        <f>IFERROR(__xludf.DUMMYFUNCTION("IFERROR(
  IF(C260="""",, 
    IFERROR(
      GOOGLEFINANCE(C260, ""price"") * GOOGLEFINANCE(C260, ""volumeavg""), 
      GOOGLEFINANCE(C260, ""price"") * AVERAGE(QUERY(GOOGLEFINANCE(C260, ""volume"", TODAY()-40, TODAY()), ""SELECT Col2 WHERE Col2 IS NOT "&amp;"NULL ORDER BY Col1 DESC LIMIT 20"", 0))
    )
  ), 
"""")"),"")</f>
        <v/>
      </c>
      <c r="K260" s="21" t="str">
        <f>IFERROR(__xludf.DUMMYFUNCTION("IFERROR(GOOGLEFINANCE(C260, ""changepct"") / 100, """")"),"")</f>
        <v/>
      </c>
      <c r="L260" s="21" t="str">
        <f>IFERROR(__xludf.DUMMYFUNCTION("IFERROR((GOOGLEFINANCE(C260, ""price"") / INDEX(GOOGLEFINANCE(C260, ""price"", TODAY()-7, TODAY()), 2, 2)) - 1, """")"),"")</f>
        <v/>
      </c>
      <c r="M260" s="21" t="str">
        <f>IFERROR(__xludf.DUMMYFUNCTION("IFERROR((GOOGLEFINANCE(C260, ""price"") / INDEX(GOOGLEFINANCE(C260, ""price"", EDATE(TODAY(), -1), TODAY()), 2, 2)) - 1, """")"),"")</f>
        <v/>
      </c>
      <c r="N260" s="21" t="str">
        <f>IFERROR(__xludf.DUMMYFUNCTION("IFERROR((GOOGLEFINANCE(C260, ""price"") / INDEX(GOOGLEFINANCE(C260, ""price"", EDATE(TODAY(), -3), TODAY()), 2, 2)) - 1, """")"),"")</f>
        <v/>
      </c>
      <c r="O260" s="21" t="str">
        <f>IFERROR(__xludf.DUMMYFUNCTION("IFERROR((GOOGLEFINANCE(C260, ""price"") / INDEX(GOOGLEFINANCE(C260, ""price"", EDATE(TODAY(), -6), TODAY()), 2, 2)) - 1, """")"),"")</f>
        <v/>
      </c>
      <c r="P260" s="21" t="str">
        <f>IFERROR(__xludf.DUMMYFUNCTION("IFERROR((GOOGLEFINANCE(C260, ""price"") / INDEX(GOOGLEFINANCE(C260, ""price"", EDATE(TODAY(), -12), TODAY()), 2, 2)) - 1, """")"),"")</f>
        <v/>
      </c>
      <c r="Q260" s="6" t="str">
        <f>IFERROR(__xludf.DUMMYFUNCTION("AVERAGE(QUERY(GOOGLEFINANCE(C260, ""price"", TODAY()-80, TODAY()), ""SELECT Col2 WHERE Col2 IS NOT NULL ORDER BY Col1 DESC LIMIT 50"", 0))"),"#N/A")</f>
        <v>#N/A</v>
      </c>
      <c r="R260" s="24" t="str">
        <f>IFERROR(__xludf.DUMMYFUNCTION("IFERROR(
  LET(
    data, QUERY(GOOGLEFINANCE(C260,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GOOGLEFINANCE(C260, ""price"")) * 100,
    IF(calc=0, G260, calc)
  ), 
G260)"),"#N/A")</f>
        <v>#N/A</v>
      </c>
      <c r="S260" s="8" t="s">
        <v>15</v>
      </c>
      <c r="T260" s="26" t="str">
        <f>IFERROR(__xludf.DUMMYFUNCTION("IFERROR(TRANSPOSE(QUERY(IFERROR(SORT(GOOGLEFINANCE(C260, ""price"", WORKDAY(TODAY(), -40), TODAY()), 1, FALSE)), ""select Col2 where Col2 is not null limit 22 label Col2 ''"", 0)), """")"),"")</f>
        <v/>
      </c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8"/>
      <c r="AO260" s="28"/>
      <c r="AP260" s="29"/>
      <c r="AQ260" s="29" t="str">
        <f t="shared" ref="AQ260:BL260" si="263">T260/T$2</f>
        <v>#N/A</v>
      </c>
      <c r="AR260" s="29" t="str">
        <f t="shared" si="263"/>
        <v>#DIV/0!</v>
      </c>
      <c r="AS260" s="29" t="str">
        <f t="shared" si="263"/>
        <v>#DIV/0!</v>
      </c>
      <c r="AT260" s="29" t="str">
        <f t="shared" si="263"/>
        <v>#DIV/0!</v>
      </c>
      <c r="AU260" s="29" t="str">
        <f t="shared" si="263"/>
        <v>#DIV/0!</v>
      </c>
      <c r="AV260" s="29" t="str">
        <f t="shared" si="263"/>
        <v>#DIV/0!</v>
      </c>
      <c r="AW260" s="29" t="str">
        <f t="shared" si="263"/>
        <v>#DIV/0!</v>
      </c>
      <c r="AX260" s="29" t="str">
        <f t="shared" si="263"/>
        <v>#DIV/0!</v>
      </c>
      <c r="AY260" s="29" t="str">
        <f t="shared" si="263"/>
        <v>#DIV/0!</v>
      </c>
      <c r="AZ260" s="29" t="str">
        <f t="shared" si="263"/>
        <v>#DIV/0!</v>
      </c>
      <c r="BA260" s="29" t="str">
        <f t="shared" si="263"/>
        <v>#DIV/0!</v>
      </c>
      <c r="BB260" s="29" t="str">
        <f t="shared" si="263"/>
        <v>#DIV/0!</v>
      </c>
      <c r="BC260" s="29" t="str">
        <f t="shared" si="263"/>
        <v>#DIV/0!</v>
      </c>
      <c r="BD260" s="29" t="str">
        <f t="shared" si="263"/>
        <v>#DIV/0!</v>
      </c>
      <c r="BE260" s="29" t="str">
        <f t="shared" si="263"/>
        <v>#DIV/0!</v>
      </c>
      <c r="BF260" s="29" t="str">
        <f t="shared" si="263"/>
        <v>#DIV/0!</v>
      </c>
      <c r="BG260" s="29" t="str">
        <f t="shared" si="263"/>
        <v>#DIV/0!</v>
      </c>
      <c r="BH260" s="29" t="str">
        <f t="shared" si="263"/>
        <v>#DIV/0!</v>
      </c>
      <c r="BI260" s="29" t="str">
        <f t="shared" si="263"/>
        <v>#DIV/0!</v>
      </c>
      <c r="BJ260" s="29" t="str">
        <f t="shared" si="263"/>
        <v>#DIV/0!</v>
      </c>
      <c r="BK260" s="29" t="str">
        <f t="shared" si="263"/>
        <v>#DIV/0!</v>
      </c>
      <c r="BL260" s="29" t="str">
        <f t="shared" si="263"/>
        <v>#DIV/0!</v>
      </c>
      <c r="BM260" s="29" t="str">
        <f t="shared" si="3"/>
        <v>#DIV/0!</v>
      </c>
    </row>
    <row r="261">
      <c r="A261" s="16" t="str">
        <f>IFERROR(__xludf.DUMMYFUNCTION("IFERROR(SPARKLINE(SORT(MAP(TRANSPOSE(AQ261:BL261), LAMBDA(val, IF(ISNUMBER(val), PERCENTRANK(AQ261:BL261, val)+0.01, 0))), SEQUENCE(COLUMNS(AQ261:BL261)), FALSE), {""charttype"",""column""; ""color"",""chartreuse""; ""ymin"", 0; ""ymax"", 1.01; ""highcolo"&amp;"r"", ""darkgreen""; ""lowcolor"", ""red""}), """")"),"")</f>
        <v/>
      </c>
      <c r="B261" s="17" t="str">
        <f t="shared" si="4"/>
        <v/>
      </c>
      <c r="C261" s="1" t="s">
        <v>1162</v>
      </c>
      <c r="D261" s="30" t="str">
        <f>IFERROR(__xludf.DUMMYFUNCTION("IFERROR(GOOGLEFINANCE(C261, ""NAME""))"),"Zeta Global Holdings Corp")</f>
        <v>Zeta Global Holdings Corp</v>
      </c>
      <c r="E261" s="30" t="s">
        <v>58</v>
      </c>
      <c r="F261" s="33" t="str">
        <f>IFERROR(__xludf.DUMMYFUNCTION("( (GOOGLEFINANCE(C261, ""price"") - Q261) / Q261 ) / (R261 / 100)"),"Loading...")</f>
        <v>Loading...</v>
      </c>
      <c r="G261" s="20" t="str">
        <f>IFERROR(__xludf.DUMMYFUNCTION("AVERAGE(ARRAYFORMULA(100 * (QUERY(GOOGLEFINANCE(C261, ""high"", TODAY()-40, TODAY()), ""SELECT Col2 WHERE Col2 IS NOT NULL ORDER BY Col1 DESC LIMIT 20"", 0) / QUERY(GOOGLEFINANCE(C261, ""low"", TODAY()-40, TODAY()), ""SELECT Col2 WHERE Col2 IS NOT NULL OR"&amp;"DER BY Col1 DESC LIMIT 20"", 0) - 1)))"),"#N/A")</f>
        <v>#N/A</v>
      </c>
      <c r="H261" s="35" t="str">
        <f t="shared" si="6"/>
        <v/>
      </c>
      <c r="I261" s="36" t="str">
        <f t="shared" si="7"/>
        <v/>
      </c>
      <c r="J261" s="37" t="str">
        <f>IFERROR(__xludf.DUMMYFUNCTION("IFERROR(
  IF(C261="""",, 
    IFERROR(
      GOOGLEFINANCE(C261, ""price"") * GOOGLEFINANCE(C261, ""volumeavg""), 
      GOOGLEFINANCE(C261, ""price"") * AVERAGE(QUERY(GOOGLEFINANCE(C261, ""volume"", TODAY()-40, TODAY()), ""SELECT Col2 WHERE Col2 IS NOT "&amp;"NULL ORDER BY Col1 DESC LIMIT 20"", 0))
    )
  ), 
"""")"),"")</f>
        <v/>
      </c>
      <c r="K261" s="21" t="str">
        <f>IFERROR(__xludf.DUMMYFUNCTION("IFERROR(GOOGLEFINANCE(C261, ""changepct"") / 100, """")"),"")</f>
        <v/>
      </c>
      <c r="L261" s="21" t="str">
        <f>IFERROR(__xludf.DUMMYFUNCTION("IFERROR((GOOGLEFINANCE(C261, ""price"") / INDEX(GOOGLEFINANCE(C261, ""price"", TODAY()-7, TODAY()), 2, 2)) - 1, """")"),"")</f>
        <v/>
      </c>
      <c r="M261" s="21" t="str">
        <f>IFERROR(__xludf.DUMMYFUNCTION("IFERROR((GOOGLEFINANCE(C261, ""price"") / INDEX(GOOGLEFINANCE(C261, ""price"", EDATE(TODAY(), -1), TODAY()), 2, 2)) - 1, """")"),"")</f>
        <v/>
      </c>
      <c r="N261" s="21" t="str">
        <f>IFERROR(__xludf.DUMMYFUNCTION("IFERROR((GOOGLEFINANCE(C261, ""price"") / INDEX(GOOGLEFINANCE(C261, ""price"", EDATE(TODAY(), -3), TODAY()), 2, 2)) - 1, """")"),"")</f>
        <v/>
      </c>
      <c r="O261" s="21" t="str">
        <f>IFERROR(__xludf.DUMMYFUNCTION("IFERROR((GOOGLEFINANCE(C261, ""price"") / INDEX(GOOGLEFINANCE(C261, ""price"", EDATE(TODAY(), -6), TODAY()), 2, 2)) - 1, """")"),"")</f>
        <v/>
      </c>
      <c r="P261" s="21" t="str">
        <f>IFERROR(__xludf.DUMMYFUNCTION("IFERROR((GOOGLEFINANCE(C261, ""price"") / INDEX(GOOGLEFINANCE(C261, ""price"", EDATE(TODAY(), -12), TODAY()), 2, 2)) - 1, """")"),"")</f>
        <v/>
      </c>
      <c r="Q261" s="6" t="str">
        <f>IFERROR(__xludf.DUMMYFUNCTION("AVERAGE(QUERY(GOOGLEFINANCE(C261, ""price"", TODAY()-80, TODAY()), ""SELECT Col2 WHERE Col2 IS NOT NULL ORDER BY Col1 DESC LIMIT 50"", 0))"),"#N/A")</f>
        <v>#N/A</v>
      </c>
      <c r="R261" s="24" t="str">
        <f>IFERROR(__xludf.DUMMYFUNCTION("IFERROR(
  LET(
    data, QUERY(GOOGLEFINANCE(C261,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GOOGLEFINANCE(C261, ""price"")) * 100,
    IF(calc=0, G261, calc)
  ), 
G261)"),"#N/A")</f>
        <v>#N/A</v>
      </c>
      <c r="S261" s="8" t="s">
        <v>15</v>
      </c>
      <c r="T261" s="26" t="str">
        <f>IFERROR(__xludf.DUMMYFUNCTION("IFERROR(TRANSPOSE(QUERY(IFERROR(SORT(GOOGLEFINANCE(C261, ""price"", WORKDAY(TODAY(), -40), TODAY()), 1, FALSE)), ""select Col2 where Col2 is not null limit 22 label Col2 ''"", 0)), """")"),"")</f>
        <v/>
      </c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8"/>
      <c r="AO261" s="28"/>
      <c r="AP261" s="29"/>
      <c r="AQ261" s="29" t="str">
        <f t="shared" ref="AQ261:BL261" si="264">T261/T$2</f>
        <v>#N/A</v>
      </c>
      <c r="AR261" s="29" t="str">
        <f t="shared" si="264"/>
        <v>#DIV/0!</v>
      </c>
      <c r="AS261" s="29" t="str">
        <f t="shared" si="264"/>
        <v>#DIV/0!</v>
      </c>
      <c r="AT261" s="29" t="str">
        <f t="shared" si="264"/>
        <v>#DIV/0!</v>
      </c>
      <c r="AU261" s="29" t="str">
        <f t="shared" si="264"/>
        <v>#DIV/0!</v>
      </c>
      <c r="AV261" s="29" t="str">
        <f t="shared" si="264"/>
        <v>#DIV/0!</v>
      </c>
      <c r="AW261" s="29" t="str">
        <f t="shared" si="264"/>
        <v>#DIV/0!</v>
      </c>
      <c r="AX261" s="29" t="str">
        <f t="shared" si="264"/>
        <v>#DIV/0!</v>
      </c>
      <c r="AY261" s="29" t="str">
        <f t="shared" si="264"/>
        <v>#DIV/0!</v>
      </c>
      <c r="AZ261" s="29" t="str">
        <f t="shared" si="264"/>
        <v>#DIV/0!</v>
      </c>
      <c r="BA261" s="29" t="str">
        <f t="shared" si="264"/>
        <v>#DIV/0!</v>
      </c>
      <c r="BB261" s="29" t="str">
        <f t="shared" si="264"/>
        <v>#DIV/0!</v>
      </c>
      <c r="BC261" s="29" t="str">
        <f t="shared" si="264"/>
        <v>#DIV/0!</v>
      </c>
      <c r="BD261" s="29" t="str">
        <f t="shared" si="264"/>
        <v>#DIV/0!</v>
      </c>
      <c r="BE261" s="29" t="str">
        <f t="shared" si="264"/>
        <v>#DIV/0!</v>
      </c>
      <c r="BF261" s="29" t="str">
        <f t="shared" si="264"/>
        <v>#DIV/0!</v>
      </c>
      <c r="BG261" s="29" t="str">
        <f t="shared" si="264"/>
        <v>#DIV/0!</v>
      </c>
      <c r="BH261" s="29" t="str">
        <f t="shared" si="264"/>
        <v>#DIV/0!</v>
      </c>
      <c r="BI261" s="29" t="str">
        <f t="shared" si="264"/>
        <v>#DIV/0!</v>
      </c>
      <c r="BJ261" s="29" t="str">
        <f t="shared" si="264"/>
        <v>#DIV/0!</v>
      </c>
      <c r="BK261" s="29" t="str">
        <f t="shared" si="264"/>
        <v>#DIV/0!</v>
      </c>
      <c r="BL261" s="29" t="str">
        <f t="shared" si="264"/>
        <v>#DIV/0!</v>
      </c>
      <c r="BM261" s="29" t="str">
        <f t="shared" si="3"/>
        <v>#DIV/0!</v>
      </c>
    </row>
    <row r="262">
      <c r="A262" s="16" t="str">
        <f>IFERROR(__xludf.DUMMYFUNCTION("IFERROR(SPARKLINE(SORT(MAP(TRANSPOSE(AQ262:BL262), LAMBDA(val, IF(ISNUMBER(val), PERCENTRANK(AQ262:BL262, val)+0.01, 0))), SEQUENCE(COLUMNS(AQ262:BL262)), FALSE), {""charttype"",""column""; ""color"",""chartreuse""; ""ymin"", 0; ""ymax"", 1.01; ""highcolo"&amp;"r"", ""darkgreen""; ""lowcolor"", ""red""}), """")"),"")</f>
        <v/>
      </c>
      <c r="B262" s="17" t="str">
        <f t="shared" si="4"/>
        <v/>
      </c>
      <c r="C262" s="1" t="s">
        <v>1166</v>
      </c>
      <c r="D262" s="30" t="str">
        <f>IFERROR(__xludf.DUMMYFUNCTION("IFERROR(GOOGLEFINANCE(C262, ""NAME""))"),"")</f>
        <v/>
      </c>
      <c r="E262" s="30" t="s">
        <v>58</v>
      </c>
      <c r="F262" s="33" t="str">
        <f>IFERROR(__xludf.DUMMYFUNCTION("( (GOOGLEFINANCE(C262, ""price"") - Q262) / Q262 ) / (R262 / 100)"),"Loading...")</f>
        <v>Loading...</v>
      </c>
      <c r="G262" s="20" t="str">
        <f>IFERROR(__xludf.DUMMYFUNCTION("AVERAGE(ARRAYFORMULA(100 * (QUERY(GOOGLEFINANCE(C262, ""high"", TODAY()-40, TODAY()), ""SELECT Col2 WHERE Col2 IS NOT NULL ORDER BY Col1 DESC LIMIT 20"", 0) / QUERY(GOOGLEFINANCE(C262, ""low"", TODAY()-40, TODAY()), ""SELECT Col2 WHERE Col2 IS NOT NULL OR"&amp;"DER BY Col1 DESC LIMIT 20"", 0) - 1)))"),"#N/A")</f>
        <v>#N/A</v>
      </c>
      <c r="H262" s="35" t="str">
        <f t="shared" si="6"/>
        <v/>
      </c>
      <c r="I262" s="36" t="str">
        <f t="shared" si="7"/>
        <v/>
      </c>
      <c r="J262" s="37" t="str">
        <f>IFERROR(__xludf.DUMMYFUNCTION("IFERROR(
  IF(C262="""",, 
    IFERROR(
      GOOGLEFINANCE(C262, ""price"") * GOOGLEFINANCE(C262, ""volumeavg""), 
      GOOGLEFINANCE(C262, ""price"") * AVERAGE(QUERY(GOOGLEFINANCE(C262, ""volume"", TODAY()-40, TODAY()), ""SELECT Col2 WHERE Col2 IS NOT "&amp;"NULL ORDER BY Col1 DESC LIMIT 20"", 0))
    )
  ), 
"""")"),"")</f>
        <v/>
      </c>
      <c r="K262" s="21" t="str">
        <f>IFERROR(__xludf.DUMMYFUNCTION("IFERROR(GOOGLEFINANCE(C262, ""changepct"") / 100, """")"),"")</f>
        <v/>
      </c>
      <c r="L262" s="21" t="str">
        <f>IFERROR(__xludf.DUMMYFUNCTION("IFERROR((GOOGLEFINANCE(C262, ""price"") / INDEX(GOOGLEFINANCE(C262, ""price"", TODAY()-7, TODAY()), 2, 2)) - 1, """")"),"")</f>
        <v/>
      </c>
      <c r="M262" s="21" t="str">
        <f>IFERROR(__xludf.DUMMYFUNCTION("IFERROR((GOOGLEFINANCE(C262, ""price"") / INDEX(GOOGLEFINANCE(C262, ""price"", EDATE(TODAY(), -1), TODAY()), 2, 2)) - 1, """")"),"")</f>
        <v/>
      </c>
      <c r="N262" s="21" t="str">
        <f>IFERROR(__xludf.DUMMYFUNCTION("IFERROR((GOOGLEFINANCE(C262, ""price"") / INDEX(GOOGLEFINANCE(C262, ""price"", EDATE(TODAY(), -3), TODAY()), 2, 2)) - 1, """")"),"")</f>
        <v/>
      </c>
      <c r="O262" s="21" t="str">
        <f>IFERROR(__xludf.DUMMYFUNCTION("IFERROR((GOOGLEFINANCE(C262, ""price"") / INDEX(GOOGLEFINANCE(C262, ""price"", EDATE(TODAY(), -6), TODAY()), 2, 2)) - 1, """")"),"")</f>
        <v/>
      </c>
      <c r="P262" s="21" t="str">
        <f>IFERROR(__xludf.DUMMYFUNCTION("IFERROR((GOOGLEFINANCE(C262, ""price"") / INDEX(GOOGLEFINANCE(C262, ""price"", EDATE(TODAY(), -12), TODAY()), 2, 2)) - 1, """")"),"")</f>
        <v/>
      </c>
      <c r="Q262" s="6" t="str">
        <f>IFERROR(__xludf.DUMMYFUNCTION("AVERAGE(QUERY(GOOGLEFINANCE(C262, ""price"", TODAY()-80, TODAY()), ""SELECT Col2 WHERE Col2 IS NOT NULL ORDER BY Col1 DESC LIMIT 50"", 0))"),"#N/A")</f>
        <v>#N/A</v>
      </c>
      <c r="R262" s="24" t="str">
        <f>IFERROR(__xludf.DUMMYFUNCTION("IFERROR(
  LET(
    data, QUERY(GOOGLEFINANCE(C262,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GOOGLEFINANCE(C262, ""price"")) * 100,
    IF(calc=0, G262, calc)
  ), 
G262)"),"#N/A")</f>
        <v>#N/A</v>
      </c>
      <c r="S262" s="8" t="s">
        <v>15</v>
      </c>
      <c r="T262" s="26" t="str">
        <f>IFERROR(__xludf.DUMMYFUNCTION("IFERROR(TRANSPOSE(QUERY(IFERROR(SORT(GOOGLEFINANCE(C262, ""price"", WORKDAY(TODAY(), -40), TODAY()), 1, FALSE)), ""select Col2 where Col2 is not null limit 22 label Col2 ''"", 0)), """")"),"")</f>
        <v/>
      </c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8"/>
      <c r="AO262" s="28"/>
      <c r="AP262" s="29"/>
      <c r="AQ262" s="29" t="str">
        <f t="shared" ref="AQ262:BL262" si="265">T262/T$2</f>
        <v>#N/A</v>
      </c>
      <c r="AR262" s="29" t="str">
        <f t="shared" si="265"/>
        <v>#DIV/0!</v>
      </c>
      <c r="AS262" s="29" t="str">
        <f t="shared" si="265"/>
        <v>#DIV/0!</v>
      </c>
      <c r="AT262" s="29" t="str">
        <f t="shared" si="265"/>
        <v>#DIV/0!</v>
      </c>
      <c r="AU262" s="29" t="str">
        <f t="shared" si="265"/>
        <v>#DIV/0!</v>
      </c>
      <c r="AV262" s="29" t="str">
        <f t="shared" si="265"/>
        <v>#DIV/0!</v>
      </c>
      <c r="AW262" s="29" t="str">
        <f t="shared" si="265"/>
        <v>#DIV/0!</v>
      </c>
      <c r="AX262" s="29" t="str">
        <f t="shared" si="265"/>
        <v>#DIV/0!</v>
      </c>
      <c r="AY262" s="29" t="str">
        <f t="shared" si="265"/>
        <v>#DIV/0!</v>
      </c>
      <c r="AZ262" s="29" t="str">
        <f t="shared" si="265"/>
        <v>#DIV/0!</v>
      </c>
      <c r="BA262" s="29" t="str">
        <f t="shared" si="265"/>
        <v>#DIV/0!</v>
      </c>
      <c r="BB262" s="29" t="str">
        <f t="shared" si="265"/>
        <v>#DIV/0!</v>
      </c>
      <c r="BC262" s="29" t="str">
        <f t="shared" si="265"/>
        <v>#DIV/0!</v>
      </c>
      <c r="BD262" s="29" t="str">
        <f t="shared" si="265"/>
        <v>#DIV/0!</v>
      </c>
      <c r="BE262" s="29" t="str">
        <f t="shared" si="265"/>
        <v>#DIV/0!</v>
      </c>
      <c r="BF262" s="29" t="str">
        <f t="shared" si="265"/>
        <v>#DIV/0!</v>
      </c>
      <c r="BG262" s="29" t="str">
        <f t="shared" si="265"/>
        <v>#DIV/0!</v>
      </c>
      <c r="BH262" s="29" t="str">
        <f t="shared" si="265"/>
        <v>#DIV/0!</v>
      </c>
      <c r="BI262" s="29" t="str">
        <f t="shared" si="265"/>
        <v>#DIV/0!</v>
      </c>
      <c r="BJ262" s="29" t="str">
        <f t="shared" si="265"/>
        <v>#DIV/0!</v>
      </c>
      <c r="BK262" s="29" t="str">
        <f t="shared" si="265"/>
        <v>#DIV/0!</v>
      </c>
      <c r="BL262" s="29" t="str">
        <f t="shared" si="265"/>
        <v>#DIV/0!</v>
      </c>
      <c r="BM262" s="29" t="str">
        <f t="shared" si="3"/>
        <v>#DIV/0!</v>
      </c>
    </row>
    <row r="263">
      <c r="A263" s="16" t="str">
        <f>IFERROR(__xludf.DUMMYFUNCTION("IFERROR(SPARKLINE(SORT(MAP(TRANSPOSE(AQ263:BL263), LAMBDA(val, IF(ISNUMBER(val), PERCENTRANK(AQ263:BL263, val)+0.01, 0))), SEQUENCE(COLUMNS(AQ263:BL263)), FALSE), {""charttype"",""column""; ""color"",""chartreuse""; ""ymin"", 0; ""ymax"", 1.01; ""highcolo"&amp;"r"", ""darkgreen""; ""lowcolor"", ""red""}), """")"),"")</f>
        <v/>
      </c>
      <c r="B263" s="17" t="str">
        <f t="shared" si="4"/>
        <v/>
      </c>
      <c r="C263" s="1" t="s">
        <v>1169</v>
      </c>
      <c r="D263" s="30" t="str">
        <f>IFERROR(__xludf.DUMMYFUNCTION("IFERROR(GOOGLEFINANCE(C263, ""NAME""))"),"Ralliant Corp")</f>
        <v>Ralliant Corp</v>
      </c>
      <c r="E263" s="30" t="s">
        <v>469</v>
      </c>
      <c r="F263" s="33" t="str">
        <f>IFERROR(__xludf.DUMMYFUNCTION("( (GOOGLEFINANCE(C263, ""price"") - Q263) / Q263 ) / (R263 / 100)"),"Loading...")</f>
        <v>Loading...</v>
      </c>
      <c r="G263" s="20" t="str">
        <f>IFERROR(__xludf.DUMMYFUNCTION("AVERAGE(ARRAYFORMULA(100 * (QUERY(GOOGLEFINANCE(C263, ""high"", TODAY()-40, TODAY()), ""SELECT Col2 WHERE Col2 IS NOT NULL ORDER BY Col1 DESC LIMIT 20"", 0) / QUERY(GOOGLEFINANCE(C263, ""low"", TODAY()-40, TODAY()), ""SELECT Col2 WHERE Col2 IS NOT NULL OR"&amp;"DER BY Col1 DESC LIMIT 20"", 0) - 1)))"),"#N/A")</f>
        <v>#N/A</v>
      </c>
      <c r="H263" s="35" t="str">
        <f t="shared" si="6"/>
        <v/>
      </c>
      <c r="I263" s="36" t="str">
        <f t="shared" si="7"/>
        <v/>
      </c>
      <c r="J263" s="37" t="str">
        <f>IFERROR(__xludf.DUMMYFUNCTION("IFERROR(
  IF(C263="""",, 
    IFERROR(
      GOOGLEFINANCE(C263, ""price"") * GOOGLEFINANCE(C263, ""volumeavg""), 
      GOOGLEFINANCE(C263, ""price"") * AVERAGE(QUERY(GOOGLEFINANCE(C263, ""volume"", TODAY()-40, TODAY()), ""SELECT Col2 WHERE Col2 IS NOT "&amp;"NULL ORDER BY Col1 DESC LIMIT 20"", 0))
    )
  ), 
"""")"),"")</f>
        <v/>
      </c>
      <c r="K263" s="21" t="str">
        <f>IFERROR(__xludf.DUMMYFUNCTION("IFERROR(GOOGLEFINANCE(C263, ""changepct"") / 100, """")"),"")</f>
        <v/>
      </c>
      <c r="L263" s="21" t="str">
        <f>IFERROR(__xludf.DUMMYFUNCTION("IFERROR((GOOGLEFINANCE(C263, ""price"") / INDEX(GOOGLEFINANCE(C263, ""price"", TODAY()-7, TODAY()), 2, 2)) - 1, """")"),"")</f>
        <v/>
      </c>
      <c r="M263" s="21" t="str">
        <f>IFERROR(__xludf.DUMMYFUNCTION("IFERROR((GOOGLEFINANCE(C263, ""price"") / INDEX(GOOGLEFINANCE(C263, ""price"", EDATE(TODAY(), -1), TODAY()), 2, 2)) - 1, """")"),"")</f>
        <v/>
      </c>
      <c r="N263" s="21" t="str">
        <f>IFERROR(__xludf.DUMMYFUNCTION("IFERROR((GOOGLEFINANCE(C263, ""price"") / INDEX(GOOGLEFINANCE(C263, ""price"", EDATE(TODAY(), -3), TODAY()), 2, 2)) - 1, """")"),"")</f>
        <v/>
      </c>
      <c r="O263" s="21" t="str">
        <f>IFERROR(__xludf.DUMMYFUNCTION("IFERROR((GOOGLEFINANCE(C263, ""price"") / INDEX(GOOGLEFINANCE(C263, ""price"", EDATE(TODAY(), -6), TODAY()), 2, 2)) - 1, """")"),"")</f>
        <v/>
      </c>
      <c r="P263" s="21" t="str">
        <f>IFERROR(__xludf.DUMMYFUNCTION("IFERROR((GOOGLEFINANCE(C263, ""price"") / INDEX(GOOGLEFINANCE(C263, ""price"", EDATE(TODAY(), -12), TODAY()), 2, 2)) - 1, """")"),"")</f>
        <v/>
      </c>
      <c r="Q263" s="6" t="str">
        <f>IFERROR(__xludf.DUMMYFUNCTION("AVERAGE(QUERY(GOOGLEFINANCE(C263, ""price"", TODAY()-80, TODAY()), ""SELECT Col2 WHERE Col2 IS NOT NULL ORDER BY Col1 DESC LIMIT 50"", 0))"),"#N/A")</f>
        <v>#N/A</v>
      </c>
      <c r="R263" s="24" t="str">
        <f>IFERROR(__xludf.DUMMYFUNCTION("IFERROR(
  LET(
    data, QUERY(GOOGLEFINANCE(C263,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GOOGLEFINANCE(C263, ""price"")) * 100,
    IF(calc=0, G263, calc)
  ), 
G263)"),"#N/A")</f>
        <v>#N/A</v>
      </c>
      <c r="S263" s="8" t="s">
        <v>15</v>
      </c>
      <c r="T263" s="26" t="str">
        <f>IFERROR(__xludf.DUMMYFUNCTION("IFERROR(TRANSPOSE(QUERY(IFERROR(SORT(GOOGLEFINANCE(C263, ""price"", WORKDAY(TODAY(), -40), TODAY()), 1, FALSE)), ""select Col2 where Col2 is not null limit 22 label Col2 ''"", 0)), """")"),"")</f>
        <v/>
      </c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8"/>
      <c r="AO263" s="28"/>
      <c r="AP263" s="29"/>
      <c r="AQ263" s="29" t="str">
        <f t="shared" ref="AQ263:BL263" si="266">T263/T$2</f>
        <v>#N/A</v>
      </c>
      <c r="AR263" s="29" t="str">
        <f t="shared" si="266"/>
        <v>#DIV/0!</v>
      </c>
      <c r="AS263" s="29" t="str">
        <f t="shared" si="266"/>
        <v>#DIV/0!</v>
      </c>
      <c r="AT263" s="29" t="str">
        <f t="shared" si="266"/>
        <v>#DIV/0!</v>
      </c>
      <c r="AU263" s="29" t="str">
        <f t="shared" si="266"/>
        <v>#DIV/0!</v>
      </c>
      <c r="AV263" s="29" t="str">
        <f t="shared" si="266"/>
        <v>#DIV/0!</v>
      </c>
      <c r="AW263" s="29" t="str">
        <f t="shared" si="266"/>
        <v>#DIV/0!</v>
      </c>
      <c r="AX263" s="29" t="str">
        <f t="shared" si="266"/>
        <v>#DIV/0!</v>
      </c>
      <c r="AY263" s="29" t="str">
        <f t="shared" si="266"/>
        <v>#DIV/0!</v>
      </c>
      <c r="AZ263" s="29" t="str">
        <f t="shared" si="266"/>
        <v>#DIV/0!</v>
      </c>
      <c r="BA263" s="29" t="str">
        <f t="shared" si="266"/>
        <v>#DIV/0!</v>
      </c>
      <c r="BB263" s="29" t="str">
        <f t="shared" si="266"/>
        <v>#DIV/0!</v>
      </c>
      <c r="BC263" s="29" t="str">
        <f t="shared" si="266"/>
        <v>#DIV/0!</v>
      </c>
      <c r="BD263" s="29" t="str">
        <f t="shared" si="266"/>
        <v>#DIV/0!</v>
      </c>
      <c r="BE263" s="29" t="str">
        <f t="shared" si="266"/>
        <v>#DIV/0!</v>
      </c>
      <c r="BF263" s="29" t="str">
        <f t="shared" si="266"/>
        <v>#DIV/0!</v>
      </c>
      <c r="BG263" s="29" t="str">
        <f t="shared" si="266"/>
        <v>#DIV/0!</v>
      </c>
      <c r="BH263" s="29" t="str">
        <f t="shared" si="266"/>
        <v>#DIV/0!</v>
      </c>
      <c r="BI263" s="29" t="str">
        <f t="shared" si="266"/>
        <v>#DIV/0!</v>
      </c>
      <c r="BJ263" s="29" t="str">
        <f t="shared" si="266"/>
        <v>#DIV/0!</v>
      </c>
      <c r="BK263" s="29" t="str">
        <f t="shared" si="266"/>
        <v>#DIV/0!</v>
      </c>
      <c r="BL263" s="29" t="str">
        <f t="shared" si="266"/>
        <v>#DIV/0!</v>
      </c>
      <c r="BM263" s="29" t="str">
        <f t="shared" si="3"/>
        <v>#DIV/0!</v>
      </c>
    </row>
    <row r="264">
      <c r="A264" s="16" t="str">
        <f>IFERROR(__xludf.DUMMYFUNCTION("IFERROR(SPARKLINE(SORT(MAP(TRANSPOSE(AQ264:BL264), LAMBDA(val, IF(ISNUMBER(val), PERCENTRANK(AQ264:BL264, val)+0.01, 0))), SEQUENCE(COLUMNS(AQ264:BL264)), FALSE), {""charttype"",""column""; ""color"",""chartreuse""; ""ymin"", 0; ""ymax"", 1.01; ""highcolo"&amp;"r"", ""darkgreen""; ""lowcolor"", ""red""}), """")"),"")</f>
        <v/>
      </c>
      <c r="B264" s="17" t="str">
        <f t="shared" si="4"/>
        <v/>
      </c>
      <c r="C264" s="1" t="s">
        <v>1172</v>
      </c>
      <c r="D264" s="30" t="str">
        <f>IFERROR(__xludf.DUMMYFUNCTION("IFERROR(GOOGLEFINANCE(C264, ""NAME""))"),"Palo Alto Networks Inc")</f>
        <v>Palo Alto Networks Inc</v>
      </c>
      <c r="E264" s="30" t="s">
        <v>58</v>
      </c>
      <c r="F264" s="33" t="str">
        <f>IFERROR(__xludf.DUMMYFUNCTION("( (GOOGLEFINANCE(C264, ""price"") - Q264) / Q264 ) / (R264 / 100)"),"Loading...")</f>
        <v>Loading...</v>
      </c>
      <c r="G264" s="20" t="str">
        <f>IFERROR(__xludf.DUMMYFUNCTION("AVERAGE(ARRAYFORMULA(100 * (QUERY(GOOGLEFINANCE(C264, ""high"", TODAY()-40, TODAY()), ""SELECT Col2 WHERE Col2 IS NOT NULL ORDER BY Col1 DESC LIMIT 20"", 0) / QUERY(GOOGLEFINANCE(C264, ""low"", TODAY()-40, TODAY()), ""SELECT Col2 WHERE Col2 IS NOT NULL OR"&amp;"DER BY Col1 DESC LIMIT 20"", 0) - 1)))"),"#N/A")</f>
        <v>#N/A</v>
      </c>
      <c r="H264" s="35" t="str">
        <f t="shared" si="6"/>
        <v/>
      </c>
      <c r="I264" s="36" t="str">
        <f t="shared" si="7"/>
        <v/>
      </c>
      <c r="J264" s="37" t="str">
        <f>IFERROR(__xludf.DUMMYFUNCTION("IFERROR(
  IF(C264="""",, 
    IFERROR(
      GOOGLEFINANCE(C264, ""price"") * GOOGLEFINANCE(C264, ""volumeavg""), 
      GOOGLEFINANCE(C264, ""price"") * AVERAGE(QUERY(GOOGLEFINANCE(C264, ""volume"", TODAY()-40, TODAY()), ""SELECT Col2 WHERE Col2 IS NOT "&amp;"NULL ORDER BY Col1 DESC LIMIT 20"", 0))
    )
  ), 
"""")"),"")</f>
        <v/>
      </c>
      <c r="K264" s="21" t="str">
        <f>IFERROR(__xludf.DUMMYFUNCTION("IFERROR(GOOGLEFINANCE(C264, ""changepct"") / 100, """")"),"")</f>
        <v/>
      </c>
      <c r="L264" s="21" t="str">
        <f>IFERROR(__xludf.DUMMYFUNCTION("IFERROR((GOOGLEFINANCE(C264, ""price"") / INDEX(GOOGLEFINANCE(C264, ""price"", TODAY()-7, TODAY()), 2, 2)) - 1, """")"),"")</f>
        <v/>
      </c>
      <c r="M264" s="21" t="str">
        <f>IFERROR(__xludf.DUMMYFUNCTION("IFERROR((GOOGLEFINANCE(C264, ""price"") / INDEX(GOOGLEFINANCE(C264, ""price"", EDATE(TODAY(), -1), TODAY()), 2, 2)) - 1, """")"),"")</f>
        <v/>
      </c>
      <c r="N264" s="21" t="str">
        <f>IFERROR(__xludf.DUMMYFUNCTION("IFERROR((GOOGLEFINANCE(C264, ""price"") / INDEX(GOOGLEFINANCE(C264, ""price"", EDATE(TODAY(), -3), TODAY()), 2, 2)) - 1, """")"),"")</f>
        <v/>
      </c>
      <c r="O264" s="21" t="str">
        <f>IFERROR(__xludf.DUMMYFUNCTION("IFERROR((GOOGLEFINANCE(C264, ""price"") / INDEX(GOOGLEFINANCE(C264, ""price"", EDATE(TODAY(), -6), TODAY()), 2, 2)) - 1, """")"),"")</f>
        <v/>
      </c>
      <c r="P264" s="21" t="str">
        <f>IFERROR(__xludf.DUMMYFUNCTION("IFERROR((GOOGLEFINANCE(C264, ""price"") / INDEX(GOOGLEFINANCE(C264, ""price"", EDATE(TODAY(), -12), TODAY()), 2, 2)) - 1, """")"),"")</f>
        <v/>
      </c>
      <c r="Q264" s="6" t="str">
        <f>IFERROR(__xludf.DUMMYFUNCTION("AVERAGE(QUERY(GOOGLEFINANCE(C264, ""price"", TODAY()-80, TODAY()), ""SELECT Col2 WHERE Col2 IS NOT NULL ORDER BY Col1 DESC LIMIT 50"", 0))"),"#N/A")</f>
        <v>#N/A</v>
      </c>
      <c r="R264" s="24" t="str">
        <f>IFERROR(__xludf.DUMMYFUNCTION("IFERROR(
  LET(
    data, QUERY(GOOGLEFINANCE(C264,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GOOGLEFINANCE(C264, ""price"")) * 100,
    IF(calc=0, G264, calc)
  ), 
G264)"),"#N/A")</f>
        <v>#N/A</v>
      </c>
      <c r="S264" s="8" t="s">
        <v>15</v>
      </c>
      <c r="T264" s="26" t="str">
        <f>IFERROR(__xludf.DUMMYFUNCTION("IFERROR(TRANSPOSE(QUERY(IFERROR(SORT(GOOGLEFINANCE(C264, ""price"", WORKDAY(TODAY(), -40), TODAY()), 1, FALSE)), ""select Col2 where Col2 is not null limit 22 label Col2 ''"", 0)), """")"),"")</f>
        <v/>
      </c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8"/>
      <c r="AO264" s="28"/>
      <c r="AP264" s="29"/>
      <c r="AQ264" s="29" t="str">
        <f t="shared" ref="AQ264:BL264" si="267">T264/T$2</f>
        <v>#N/A</v>
      </c>
      <c r="AR264" s="29" t="str">
        <f t="shared" si="267"/>
        <v>#DIV/0!</v>
      </c>
      <c r="AS264" s="29" t="str">
        <f t="shared" si="267"/>
        <v>#DIV/0!</v>
      </c>
      <c r="AT264" s="29" t="str">
        <f t="shared" si="267"/>
        <v>#DIV/0!</v>
      </c>
      <c r="AU264" s="29" t="str">
        <f t="shared" si="267"/>
        <v>#DIV/0!</v>
      </c>
      <c r="AV264" s="29" t="str">
        <f t="shared" si="267"/>
        <v>#DIV/0!</v>
      </c>
      <c r="AW264" s="29" t="str">
        <f t="shared" si="267"/>
        <v>#DIV/0!</v>
      </c>
      <c r="AX264" s="29" t="str">
        <f t="shared" si="267"/>
        <v>#DIV/0!</v>
      </c>
      <c r="AY264" s="29" t="str">
        <f t="shared" si="267"/>
        <v>#DIV/0!</v>
      </c>
      <c r="AZ264" s="29" t="str">
        <f t="shared" si="267"/>
        <v>#DIV/0!</v>
      </c>
      <c r="BA264" s="29" t="str">
        <f t="shared" si="267"/>
        <v>#DIV/0!</v>
      </c>
      <c r="BB264" s="29" t="str">
        <f t="shared" si="267"/>
        <v>#DIV/0!</v>
      </c>
      <c r="BC264" s="29" t="str">
        <f t="shared" si="267"/>
        <v>#DIV/0!</v>
      </c>
      <c r="BD264" s="29" t="str">
        <f t="shared" si="267"/>
        <v>#DIV/0!</v>
      </c>
      <c r="BE264" s="29" t="str">
        <f t="shared" si="267"/>
        <v>#DIV/0!</v>
      </c>
      <c r="BF264" s="29" t="str">
        <f t="shared" si="267"/>
        <v>#DIV/0!</v>
      </c>
      <c r="BG264" s="29" t="str">
        <f t="shared" si="267"/>
        <v>#DIV/0!</v>
      </c>
      <c r="BH264" s="29" t="str">
        <f t="shared" si="267"/>
        <v>#DIV/0!</v>
      </c>
      <c r="BI264" s="29" t="str">
        <f t="shared" si="267"/>
        <v>#DIV/0!</v>
      </c>
      <c r="BJ264" s="29" t="str">
        <f t="shared" si="267"/>
        <v>#DIV/0!</v>
      </c>
      <c r="BK264" s="29" t="str">
        <f t="shared" si="267"/>
        <v>#DIV/0!</v>
      </c>
      <c r="BL264" s="29" t="str">
        <f t="shared" si="267"/>
        <v>#DIV/0!</v>
      </c>
      <c r="BM264" s="29" t="str">
        <f t="shared" si="3"/>
        <v>#DIV/0!</v>
      </c>
    </row>
    <row r="265">
      <c r="A265" s="16" t="str">
        <f>IFERROR(__xludf.DUMMYFUNCTION("IFERROR(SPARKLINE(SORT(MAP(TRANSPOSE(AQ265:BL265), LAMBDA(val, IF(ISNUMBER(val), PERCENTRANK(AQ265:BL265, val)+0.01, 0))), SEQUENCE(COLUMNS(AQ265:BL265)), FALSE), {""charttype"",""column""; ""color"",""chartreuse""; ""ymin"", 0; ""ymax"", 1.01; ""highcolo"&amp;"r"", ""darkgreen""; ""lowcolor"", ""red""}), """")"),"")</f>
        <v/>
      </c>
      <c r="B265" s="17" t="str">
        <f t="shared" si="4"/>
        <v/>
      </c>
      <c r="C265" s="1" t="s">
        <v>1176</v>
      </c>
      <c r="D265" s="30" t="str">
        <f>IFERROR(__xludf.DUMMYFUNCTION("IFERROR(GOOGLEFINANCE(C265, ""NAME""))"),"ePlus inc")</f>
        <v>ePlus inc</v>
      </c>
      <c r="E265" s="30" t="s">
        <v>48</v>
      </c>
      <c r="F265" s="33" t="str">
        <f>IFERROR(__xludf.DUMMYFUNCTION("( (GOOGLEFINANCE(C265, ""price"") - Q265) / Q265 ) / (R265 / 100)"),"Loading...")</f>
        <v>Loading...</v>
      </c>
      <c r="G265" s="20" t="str">
        <f>IFERROR(__xludf.DUMMYFUNCTION("AVERAGE(ARRAYFORMULA(100 * (QUERY(GOOGLEFINANCE(C265, ""high"", TODAY()-40, TODAY()), ""SELECT Col2 WHERE Col2 IS NOT NULL ORDER BY Col1 DESC LIMIT 20"", 0) / QUERY(GOOGLEFINANCE(C265, ""low"", TODAY()-40, TODAY()), ""SELECT Col2 WHERE Col2 IS NOT NULL OR"&amp;"DER BY Col1 DESC LIMIT 20"", 0) - 1)))"),"#N/A")</f>
        <v>#N/A</v>
      </c>
      <c r="H265" s="35" t="str">
        <f t="shared" si="6"/>
        <v/>
      </c>
      <c r="I265" s="36" t="str">
        <f t="shared" si="7"/>
        <v/>
      </c>
      <c r="J265" s="37" t="str">
        <f>IFERROR(__xludf.DUMMYFUNCTION("IFERROR(
  IF(C265="""",, 
    IFERROR(
      GOOGLEFINANCE(C265, ""price"") * GOOGLEFINANCE(C265, ""volumeavg""), 
      GOOGLEFINANCE(C265, ""price"") * AVERAGE(QUERY(GOOGLEFINANCE(C265, ""volume"", TODAY()-40, TODAY()), ""SELECT Col2 WHERE Col2 IS NOT "&amp;"NULL ORDER BY Col1 DESC LIMIT 20"", 0))
    )
  ), 
"""")"),"")</f>
        <v/>
      </c>
      <c r="K265" s="21" t="str">
        <f>IFERROR(__xludf.DUMMYFUNCTION("IFERROR(GOOGLEFINANCE(C265, ""changepct"") / 100, """")"),"")</f>
        <v/>
      </c>
      <c r="L265" s="21" t="str">
        <f>IFERROR(__xludf.DUMMYFUNCTION("IFERROR((GOOGLEFINANCE(C265, ""price"") / INDEX(GOOGLEFINANCE(C265, ""price"", TODAY()-7, TODAY()), 2, 2)) - 1, """")"),"")</f>
        <v/>
      </c>
      <c r="M265" s="21" t="str">
        <f>IFERROR(__xludf.DUMMYFUNCTION("IFERROR((GOOGLEFINANCE(C265, ""price"") / INDEX(GOOGLEFINANCE(C265, ""price"", EDATE(TODAY(), -1), TODAY()), 2, 2)) - 1, """")"),"")</f>
        <v/>
      </c>
      <c r="N265" s="21" t="str">
        <f>IFERROR(__xludf.DUMMYFUNCTION("IFERROR((GOOGLEFINANCE(C265, ""price"") / INDEX(GOOGLEFINANCE(C265, ""price"", EDATE(TODAY(), -3), TODAY()), 2, 2)) - 1, """")"),"")</f>
        <v/>
      </c>
      <c r="O265" s="21" t="str">
        <f>IFERROR(__xludf.DUMMYFUNCTION("IFERROR((GOOGLEFINANCE(C265, ""price"") / INDEX(GOOGLEFINANCE(C265, ""price"", EDATE(TODAY(), -6), TODAY()), 2, 2)) - 1, """")"),"")</f>
        <v/>
      </c>
      <c r="P265" s="21" t="str">
        <f>IFERROR(__xludf.DUMMYFUNCTION("IFERROR((GOOGLEFINANCE(C265, ""price"") / INDEX(GOOGLEFINANCE(C265, ""price"", EDATE(TODAY(), -12), TODAY()), 2, 2)) - 1, """")"),"")</f>
        <v/>
      </c>
      <c r="Q265" s="6" t="str">
        <f>IFERROR(__xludf.DUMMYFUNCTION("AVERAGE(QUERY(GOOGLEFINANCE(C265, ""price"", TODAY()-80, TODAY()), ""SELECT Col2 WHERE Col2 IS NOT NULL ORDER BY Col1 DESC LIMIT 50"", 0))"),"#N/A")</f>
        <v>#N/A</v>
      </c>
      <c r="R265" s="24" t="str">
        <f>IFERROR(__xludf.DUMMYFUNCTION("IFERROR(
  LET(
    data, QUERY(GOOGLEFINANCE(C265,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GOOGLEFINANCE(C265, ""price"")) * 100,
    IF(calc=0, G265, calc)
  ), 
G265)"),"#N/A")</f>
        <v>#N/A</v>
      </c>
      <c r="S265" s="8" t="s">
        <v>15</v>
      </c>
      <c r="T265" s="26" t="str">
        <f>IFERROR(__xludf.DUMMYFUNCTION("IFERROR(TRANSPOSE(QUERY(IFERROR(SORT(GOOGLEFINANCE(C265, ""price"", WORKDAY(TODAY(), -40), TODAY()), 1, FALSE)), ""select Col2 where Col2 is not null limit 22 label Col2 ''"", 0)), """")"),"")</f>
        <v/>
      </c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8"/>
      <c r="AO265" s="28"/>
      <c r="AP265" s="29"/>
      <c r="AQ265" s="29" t="str">
        <f t="shared" ref="AQ265:BL265" si="268">T265/T$2</f>
        <v>#N/A</v>
      </c>
      <c r="AR265" s="29" t="str">
        <f t="shared" si="268"/>
        <v>#DIV/0!</v>
      </c>
      <c r="AS265" s="29" t="str">
        <f t="shared" si="268"/>
        <v>#DIV/0!</v>
      </c>
      <c r="AT265" s="29" t="str">
        <f t="shared" si="268"/>
        <v>#DIV/0!</v>
      </c>
      <c r="AU265" s="29" t="str">
        <f t="shared" si="268"/>
        <v>#DIV/0!</v>
      </c>
      <c r="AV265" s="29" t="str">
        <f t="shared" si="268"/>
        <v>#DIV/0!</v>
      </c>
      <c r="AW265" s="29" t="str">
        <f t="shared" si="268"/>
        <v>#DIV/0!</v>
      </c>
      <c r="AX265" s="29" t="str">
        <f t="shared" si="268"/>
        <v>#DIV/0!</v>
      </c>
      <c r="AY265" s="29" t="str">
        <f t="shared" si="268"/>
        <v>#DIV/0!</v>
      </c>
      <c r="AZ265" s="29" t="str">
        <f t="shared" si="268"/>
        <v>#DIV/0!</v>
      </c>
      <c r="BA265" s="29" t="str">
        <f t="shared" si="268"/>
        <v>#DIV/0!</v>
      </c>
      <c r="BB265" s="29" t="str">
        <f t="shared" si="268"/>
        <v>#DIV/0!</v>
      </c>
      <c r="BC265" s="29" t="str">
        <f t="shared" si="268"/>
        <v>#DIV/0!</v>
      </c>
      <c r="BD265" s="29" t="str">
        <f t="shared" si="268"/>
        <v>#DIV/0!</v>
      </c>
      <c r="BE265" s="29" t="str">
        <f t="shared" si="268"/>
        <v>#DIV/0!</v>
      </c>
      <c r="BF265" s="29" t="str">
        <f t="shared" si="268"/>
        <v>#DIV/0!</v>
      </c>
      <c r="BG265" s="29" t="str">
        <f t="shared" si="268"/>
        <v>#DIV/0!</v>
      </c>
      <c r="BH265" s="29" t="str">
        <f t="shared" si="268"/>
        <v>#DIV/0!</v>
      </c>
      <c r="BI265" s="29" t="str">
        <f t="shared" si="268"/>
        <v>#DIV/0!</v>
      </c>
      <c r="BJ265" s="29" t="str">
        <f t="shared" si="268"/>
        <v>#DIV/0!</v>
      </c>
      <c r="BK265" s="29" t="str">
        <f t="shared" si="268"/>
        <v>#DIV/0!</v>
      </c>
      <c r="BL265" s="29" t="str">
        <f t="shared" si="268"/>
        <v>#DIV/0!</v>
      </c>
      <c r="BM265" s="29" t="str">
        <f t="shared" si="3"/>
        <v>#DIV/0!</v>
      </c>
    </row>
    <row r="266">
      <c r="A266" s="16" t="str">
        <f>IFERROR(__xludf.DUMMYFUNCTION("IFERROR(SPARKLINE(SORT(MAP(TRANSPOSE(AQ266:BL266), LAMBDA(val, IF(ISNUMBER(val), PERCENTRANK(AQ266:BL266, val)+0.01, 0))), SEQUENCE(COLUMNS(AQ266:BL266)), FALSE), {""charttype"",""column""; ""color"",""chartreuse""; ""ymin"", 0; ""ymax"", 1.01; ""highcolo"&amp;"r"", ""darkgreen""; ""lowcolor"", ""red""}), """")"),"")</f>
        <v/>
      </c>
      <c r="B266" s="17" t="str">
        <f t="shared" si="4"/>
        <v/>
      </c>
      <c r="C266" s="1" t="s">
        <v>1178</v>
      </c>
      <c r="D266" s="30" t="str">
        <f>IFERROR(__xludf.DUMMYFUNCTION("IFERROR(GOOGLEFINANCE(C266, ""NAME""))"),"TE Connectivity PLC")</f>
        <v>TE Connectivity PLC</v>
      </c>
      <c r="E266" s="30" t="s">
        <v>469</v>
      </c>
      <c r="F266" s="33" t="str">
        <f>IFERROR(__xludf.DUMMYFUNCTION("( (GOOGLEFINANCE(C266, ""price"") - Q266) / Q266 ) / (R266 / 100)"),"Loading...")</f>
        <v>Loading...</v>
      </c>
      <c r="G266" s="20" t="str">
        <f>IFERROR(__xludf.DUMMYFUNCTION("AVERAGE(ARRAYFORMULA(100 * (QUERY(GOOGLEFINANCE(C266, ""high"", TODAY()-40, TODAY()), ""SELECT Col2 WHERE Col2 IS NOT NULL ORDER BY Col1 DESC LIMIT 20"", 0) / QUERY(GOOGLEFINANCE(C266, ""low"", TODAY()-40, TODAY()), ""SELECT Col2 WHERE Col2 IS NOT NULL OR"&amp;"DER BY Col1 DESC LIMIT 20"", 0) - 1)))"),"#N/A")</f>
        <v>#N/A</v>
      </c>
      <c r="H266" s="35" t="str">
        <f t="shared" si="6"/>
        <v/>
      </c>
      <c r="I266" s="36" t="str">
        <f t="shared" si="7"/>
        <v/>
      </c>
      <c r="J266" s="37" t="str">
        <f>IFERROR(__xludf.DUMMYFUNCTION("IFERROR(
  IF(C266="""",, 
    IFERROR(
      GOOGLEFINANCE(C266, ""price"") * GOOGLEFINANCE(C266, ""volumeavg""), 
      GOOGLEFINANCE(C266, ""price"") * AVERAGE(QUERY(GOOGLEFINANCE(C266, ""volume"", TODAY()-40, TODAY()), ""SELECT Col2 WHERE Col2 IS NOT "&amp;"NULL ORDER BY Col1 DESC LIMIT 20"", 0))
    )
  ), 
"""")"),"")</f>
        <v/>
      </c>
      <c r="K266" s="21" t="str">
        <f>IFERROR(__xludf.DUMMYFUNCTION("IFERROR(GOOGLEFINANCE(C266, ""changepct"") / 100, """")"),"")</f>
        <v/>
      </c>
      <c r="L266" s="21" t="str">
        <f>IFERROR(__xludf.DUMMYFUNCTION("IFERROR((GOOGLEFINANCE(C266, ""price"") / INDEX(GOOGLEFINANCE(C266, ""price"", TODAY()-7, TODAY()), 2, 2)) - 1, """")"),"")</f>
        <v/>
      </c>
      <c r="M266" s="21" t="str">
        <f>IFERROR(__xludf.DUMMYFUNCTION("IFERROR((GOOGLEFINANCE(C266, ""price"") / INDEX(GOOGLEFINANCE(C266, ""price"", EDATE(TODAY(), -1), TODAY()), 2, 2)) - 1, """")"),"")</f>
        <v/>
      </c>
      <c r="N266" s="21" t="str">
        <f>IFERROR(__xludf.DUMMYFUNCTION("IFERROR((GOOGLEFINANCE(C266, ""price"") / INDEX(GOOGLEFINANCE(C266, ""price"", EDATE(TODAY(), -3), TODAY()), 2, 2)) - 1, """")"),"")</f>
        <v/>
      </c>
      <c r="O266" s="21" t="str">
        <f>IFERROR(__xludf.DUMMYFUNCTION("IFERROR((GOOGLEFINANCE(C266, ""price"") / INDEX(GOOGLEFINANCE(C266, ""price"", EDATE(TODAY(), -6), TODAY()), 2, 2)) - 1, """")"),"")</f>
        <v/>
      </c>
      <c r="P266" s="21" t="str">
        <f>IFERROR(__xludf.DUMMYFUNCTION("IFERROR((GOOGLEFINANCE(C266, ""price"") / INDEX(GOOGLEFINANCE(C266, ""price"", EDATE(TODAY(), -12), TODAY()), 2, 2)) - 1, """")"),"")</f>
        <v/>
      </c>
      <c r="Q266" s="6" t="str">
        <f>IFERROR(__xludf.DUMMYFUNCTION("AVERAGE(QUERY(GOOGLEFINANCE(C266, ""price"", TODAY()-80, TODAY()), ""SELECT Col2 WHERE Col2 IS NOT NULL ORDER BY Col1 DESC LIMIT 50"", 0))"),"#N/A")</f>
        <v>#N/A</v>
      </c>
      <c r="R266" s="24" t="str">
        <f>IFERROR(__xludf.DUMMYFUNCTION("IFERROR(
  LET(
    data, QUERY(GOOGLEFINANCE(C266,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GOOGLEFINANCE(C266, ""price"")) * 100,
    IF(calc=0, G266, calc)
  ), 
G266)"),"#N/A")</f>
        <v>#N/A</v>
      </c>
      <c r="S266" s="8" t="s">
        <v>15</v>
      </c>
      <c r="T266" s="26" t="str">
        <f>IFERROR(__xludf.DUMMYFUNCTION("IFERROR(TRANSPOSE(QUERY(IFERROR(SORT(GOOGLEFINANCE(C266, ""price"", WORKDAY(TODAY(), -40), TODAY()), 1, FALSE)), ""select Col2 where Col2 is not null limit 22 label Col2 ''"", 0)), """")"),"")</f>
        <v/>
      </c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8"/>
      <c r="AO266" s="28"/>
      <c r="AP266" s="29"/>
      <c r="AQ266" s="29" t="str">
        <f t="shared" ref="AQ266:BL266" si="269">T266/T$2</f>
        <v>#N/A</v>
      </c>
      <c r="AR266" s="29" t="str">
        <f t="shared" si="269"/>
        <v>#DIV/0!</v>
      </c>
      <c r="AS266" s="29" t="str">
        <f t="shared" si="269"/>
        <v>#DIV/0!</v>
      </c>
      <c r="AT266" s="29" t="str">
        <f t="shared" si="269"/>
        <v>#DIV/0!</v>
      </c>
      <c r="AU266" s="29" t="str">
        <f t="shared" si="269"/>
        <v>#DIV/0!</v>
      </c>
      <c r="AV266" s="29" t="str">
        <f t="shared" si="269"/>
        <v>#DIV/0!</v>
      </c>
      <c r="AW266" s="29" t="str">
        <f t="shared" si="269"/>
        <v>#DIV/0!</v>
      </c>
      <c r="AX266" s="29" t="str">
        <f t="shared" si="269"/>
        <v>#DIV/0!</v>
      </c>
      <c r="AY266" s="29" t="str">
        <f t="shared" si="269"/>
        <v>#DIV/0!</v>
      </c>
      <c r="AZ266" s="29" t="str">
        <f t="shared" si="269"/>
        <v>#DIV/0!</v>
      </c>
      <c r="BA266" s="29" t="str">
        <f t="shared" si="269"/>
        <v>#DIV/0!</v>
      </c>
      <c r="BB266" s="29" t="str">
        <f t="shared" si="269"/>
        <v>#DIV/0!</v>
      </c>
      <c r="BC266" s="29" t="str">
        <f t="shared" si="269"/>
        <v>#DIV/0!</v>
      </c>
      <c r="BD266" s="29" t="str">
        <f t="shared" si="269"/>
        <v>#DIV/0!</v>
      </c>
      <c r="BE266" s="29" t="str">
        <f t="shared" si="269"/>
        <v>#DIV/0!</v>
      </c>
      <c r="BF266" s="29" t="str">
        <f t="shared" si="269"/>
        <v>#DIV/0!</v>
      </c>
      <c r="BG266" s="29" t="str">
        <f t="shared" si="269"/>
        <v>#DIV/0!</v>
      </c>
      <c r="BH266" s="29" t="str">
        <f t="shared" si="269"/>
        <v>#DIV/0!</v>
      </c>
      <c r="BI266" s="29" t="str">
        <f t="shared" si="269"/>
        <v>#DIV/0!</v>
      </c>
      <c r="BJ266" s="29" t="str">
        <f t="shared" si="269"/>
        <v>#DIV/0!</v>
      </c>
      <c r="BK266" s="29" t="str">
        <f t="shared" si="269"/>
        <v>#DIV/0!</v>
      </c>
      <c r="BL266" s="29" t="str">
        <f t="shared" si="269"/>
        <v>#DIV/0!</v>
      </c>
      <c r="BM266" s="29" t="str">
        <f t="shared" si="3"/>
        <v>#DIV/0!</v>
      </c>
    </row>
    <row r="267">
      <c r="A267" s="16" t="str">
        <f>IFERROR(__xludf.DUMMYFUNCTION("IFERROR(SPARKLINE(SORT(MAP(TRANSPOSE(AQ267:BL267), LAMBDA(val, IF(ISNUMBER(val), PERCENTRANK(AQ267:BL267, val)+0.01, 0))), SEQUENCE(COLUMNS(AQ267:BL267)), FALSE), {""charttype"",""column""; ""color"",""chartreuse""; ""ymin"", 0; ""ymax"", 1.01; ""highcolo"&amp;"r"", ""darkgreen""; ""lowcolor"", ""red""}), """")"),"")</f>
        <v/>
      </c>
      <c r="B267" s="17" t="str">
        <f t="shared" si="4"/>
        <v/>
      </c>
      <c r="C267" s="1" t="s">
        <v>1185</v>
      </c>
      <c r="D267" s="30" t="str">
        <f>IFERROR(__xludf.DUMMYFUNCTION("IFERROR(GOOGLEFINANCE(C267, ""NAME""))"),"Daqo New Energy Corp")</f>
        <v>Daqo New Energy Corp</v>
      </c>
      <c r="E267" s="30" t="s">
        <v>1045</v>
      </c>
      <c r="F267" s="33" t="str">
        <f>IFERROR(__xludf.DUMMYFUNCTION("( (GOOGLEFINANCE(C267, ""price"") - Q267) / Q267 ) / (R267 / 100)"),"Loading...")</f>
        <v>Loading...</v>
      </c>
      <c r="G267" s="20" t="str">
        <f>IFERROR(__xludf.DUMMYFUNCTION("AVERAGE(ARRAYFORMULA(100 * (QUERY(GOOGLEFINANCE(C267, ""high"", TODAY()-40, TODAY()), ""SELECT Col2 WHERE Col2 IS NOT NULL ORDER BY Col1 DESC LIMIT 20"", 0) / QUERY(GOOGLEFINANCE(C267, ""low"", TODAY()-40, TODAY()), ""SELECT Col2 WHERE Col2 IS NOT NULL OR"&amp;"DER BY Col1 DESC LIMIT 20"", 0) - 1)))"),"#N/A")</f>
        <v>#N/A</v>
      </c>
      <c r="H267" s="35" t="str">
        <f t="shared" si="6"/>
        <v/>
      </c>
      <c r="I267" s="36" t="str">
        <f t="shared" si="7"/>
        <v/>
      </c>
      <c r="J267" s="37" t="str">
        <f>IFERROR(__xludf.DUMMYFUNCTION("IFERROR(
  IF(C267="""",, 
    IFERROR(
      GOOGLEFINANCE(C267, ""price"") * GOOGLEFINANCE(C267, ""volumeavg""), 
      GOOGLEFINANCE(C267, ""price"") * AVERAGE(QUERY(GOOGLEFINANCE(C267, ""volume"", TODAY()-40, TODAY()), ""SELECT Col2 WHERE Col2 IS NOT "&amp;"NULL ORDER BY Col1 DESC LIMIT 20"", 0))
    )
  ), 
"""")"),"")</f>
        <v/>
      </c>
      <c r="K267" s="21" t="str">
        <f>IFERROR(__xludf.DUMMYFUNCTION("IFERROR(GOOGLEFINANCE(C267, ""changepct"") / 100, """")"),"")</f>
        <v/>
      </c>
      <c r="L267" s="21" t="str">
        <f>IFERROR(__xludf.DUMMYFUNCTION("IFERROR((GOOGLEFINANCE(C267, ""price"") / INDEX(GOOGLEFINANCE(C267, ""price"", TODAY()-7, TODAY()), 2, 2)) - 1, """")"),"")</f>
        <v/>
      </c>
      <c r="M267" s="21" t="str">
        <f>IFERROR(__xludf.DUMMYFUNCTION("IFERROR((GOOGLEFINANCE(C267, ""price"") / INDEX(GOOGLEFINANCE(C267, ""price"", EDATE(TODAY(), -1), TODAY()), 2, 2)) - 1, """")"),"")</f>
        <v/>
      </c>
      <c r="N267" s="21" t="str">
        <f>IFERROR(__xludf.DUMMYFUNCTION("IFERROR((GOOGLEFINANCE(C267, ""price"") / INDEX(GOOGLEFINANCE(C267, ""price"", EDATE(TODAY(), -3), TODAY()), 2, 2)) - 1, """")"),"")</f>
        <v/>
      </c>
      <c r="O267" s="21" t="str">
        <f>IFERROR(__xludf.DUMMYFUNCTION("IFERROR((GOOGLEFINANCE(C267, ""price"") / INDEX(GOOGLEFINANCE(C267, ""price"", EDATE(TODAY(), -6), TODAY()), 2, 2)) - 1, """")"),"")</f>
        <v/>
      </c>
      <c r="P267" s="21" t="str">
        <f>IFERROR(__xludf.DUMMYFUNCTION("IFERROR((GOOGLEFINANCE(C267, ""price"") / INDEX(GOOGLEFINANCE(C267, ""price"", EDATE(TODAY(), -12), TODAY()), 2, 2)) - 1, """")"),"")</f>
        <v/>
      </c>
      <c r="Q267" s="6" t="str">
        <f>IFERROR(__xludf.DUMMYFUNCTION("AVERAGE(QUERY(GOOGLEFINANCE(C267, ""price"", TODAY()-80, TODAY()), ""SELECT Col2 WHERE Col2 IS NOT NULL ORDER BY Col1 DESC LIMIT 50"", 0))"),"#N/A")</f>
        <v>#N/A</v>
      </c>
      <c r="R267" s="24" t="str">
        <f>IFERROR(__xludf.DUMMYFUNCTION("IFERROR(
  LET(
    data, QUERY(GOOGLEFINANCE(C267,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GOOGLEFINANCE(C267, ""price"")) * 100,
    IF(calc=0, G267, calc)
  ), 
G267)"),"#N/A")</f>
        <v>#N/A</v>
      </c>
      <c r="S267" s="8" t="s">
        <v>15</v>
      </c>
      <c r="T267" s="26" t="str">
        <f>IFERROR(__xludf.DUMMYFUNCTION("IFERROR(TRANSPOSE(QUERY(IFERROR(SORT(GOOGLEFINANCE(C267, ""price"", WORKDAY(TODAY(), -40), TODAY()), 1, FALSE)), ""select Col2 where Col2 is not null limit 22 label Col2 ''"", 0)), """")"),"")</f>
        <v/>
      </c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8"/>
      <c r="AO267" s="28"/>
      <c r="AP267" s="29"/>
      <c r="AQ267" s="29" t="str">
        <f t="shared" ref="AQ267:BL267" si="270">T267/T$2</f>
        <v>#N/A</v>
      </c>
      <c r="AR267" s="29" t="str">
        <f t="shared" si="270"/>
        <v>#DIV/0!</v>
      </c>
      <c r="AS267" s="29" t="str">
        <f t="shared" si="270"/>
        <v>#DIV/0!</v>
      </c>
      <c r="AT267" s="29" t="str">
        <f t="shared" si="270"/>
        <v>#DIV/0!</v>
      </c>
      <c r="AU267" s="29" t="str">
        <f t="shared" si="270"/>
        <v>#DIV/0!</v>
      </c>
      <c r="AV267" s="29" t="str">
        <f t="shared" si="270"/>
        <v>#DIV/0!</v>
      </c>
      <c r="AW267" s="29" t="str">
        <f t="shared" si="270"/>
        <v>#DIV/0!</v>
      </c>
      <c r="AX267" s="29" t="str">
        <f t="shared" si="270"/>
        <v>#DIV/0!</v>
      </c>
      <c r="AY267" s="29" t="str">
        <f t="shared" si="270"/>
        <v>#DIV/0!</v>
      </c>
      <c r="AZ267" s="29" t="str">
        <f t="shared" si="270"/>
        <v>#DIV/0!</v>
      </c>
      <c r="BA267" s="29" t="str">
        <f t="shared" si="270"/>
        <v>#DIV/0!</v>
      </c>
      <c r="BB267" s="29" t="str">
        <f t="shared" si="270"/>
        <v>#DIV/0!</v>
      </c>
      <c r="BC267" s="29" t="str">
        <f t="shared" si="270"/>
        <v>#DIV/0!</v>
      </c>
      <c r="BD267" s="29" t="str">
        <f t="shared" si="270"/>
        <v>#DIV/0!</v>
      </c>
      <c r="BE267" s="29" t="str">
        <f t="shared" si="270"/>
        <v>#DIV/0!</v>
      </c>
      <c r="BF267" s="29" t="str">
        <f t="shared" si="270"/>
        <v>#DIV/0!</v>
      </c>
      <c r="BG267" s="29" t="str">
        <f t="shared" si="270"/>
        <v>#DIV/0!</v>
      </c>
      <c r="BH267" s="29" t="str">
        <f t="shared" si="270"/>
        <v>#DIV/0!</v>
      </c>
      <c r="BI267" s="29" t="str">
        <f t="shared" si="270"/>
        <v>#DIV/0!</v>
      </c>
      <c r="BJ267" s="29" t="str">
        <f t="shared" si="270"/>
        <v>#DIV/0!</v>
      </c>
      <c r="BK267" s="29" t="str">
        <f t="shared" si="270"/>
        <v>#DIV/0!</v>
      </c>
      <c r="BL267" s="29" t="str">
        <f t="shared" si="270"/>
        <v>#DIV/0!</v>
      </c>
      <c r="BM267" s="29" t="str">
        <f t="shared" si="3"/>
        <v>#DIV/0!</v>
      </c>
    </row>
    <row r="268">
      <c r="A268" s="16" t="str">
        <f>IFERROR(__xludf.DUMMYFUNCTION("IFERROR(SPARKLINE(SORT(MAP(TRANSPOSE(AQ268:BL268), LAMBDA(val, IF(ISNUMBER(val), PERCENTRANK(AQ268:BL268, val)+0.01, 0))), SEQUENCE(COLUMNS(AQ268:BL268)), FALSE), {""charttype"",""column""; ""color"",""chartreuse""; ""ymin"", 0; ""ymax"", 1.01; ""highcolo"&amp;"r"", ""darkgreen""; ""lowcolor"", ""red""}), """")"),"")</f>
        <v/>
      </c>
      <c r="B268" s="17" t="str">
        <f t="shared" si="4"/>
        <v/>
      </c>
      <c r="C268" s="1" t="s">
        <v>1187</v>
      </c>
      <c r="D268" s="30" t="str">
        <f>IFERROR(__xludf.DUMMYFUNCTION("IFERROR(GOOGLEFINANCE(C268, ""NAME""))"),"F5 Inc")</f>
        <v>F5 Inc</v>
      </c>
      <c r="E268" s="30" t="s">
        <v>58</v>
      </c>
      <c r="F268" s="33" t="str">
        <f>IFERROR(__xludf.DUMMYFUNCTION("( (GOOGLEFINANCE(C268, ""price"") - Q268) / Q268 ) / (R268 / 100)"),"Loading...")</f>
        <v>Loading...</v>
      </c>
      <c r="G268" s="20" t="str">
        <f>IFERROR(__xludf.DUMMYFUNCTION("AVERAGE(ARRAYFORMULA(100 * (QUERY(GOOGLEFINANCE(C268, ""high"", TODAY()-40, TODAY()), ""SELECT Col2 WHERE Col2 IS NOT NULL ORDER BY Col1 DESC LIMIT 20"", 0) / QUERY(GOOGLEFINANCE(C268, ""low"", TODAY()-40, TODAY()), ""SELECT Col2 WHERE Col2 IS NOT NULL OR"&amp;"DER BY Col1 DESC LIMIT 20"", 0) - 1)))"),"#N/A")</f>
        <v>#N/A</v>
      </c>
      <c r="H268" s="35" t="str">
        <f t="shared" si="6"/>
        <v/>
      </c>
      <c r="I268" s="36" t="str">
        <f t="shared" si="7"/>
        <v/>
      </c>
      <c r="J268" s="37" t="str">
        <f>IFERROR(__xludf.DUMMYFUNCTION("IFERROR(
  IF(C268="""",, 
    IFERROR(
      GOOGLEFINANCE(C268, ""price"") * GOOGLEFINANCE(C268, ""volumeavg""), 
      GOOGLEFINANCE(C268, ""price"") * AVERAGE(QUERY(GOOGLEFINANCE(C268, ""volume"", TODAY()-40, TODAY()), ""SELECT Col2 WHERE Col2 IS NOT "&amp;"NULL ORDER BY Col1 DESC LIMIT 20"", 0))
    )
  ), 
"""")"),"")</f>
        <v/>
      </c>
      <c r="K268" s="21" t="str">
        <f>IFERROR(__xludf.DUMMYFUNCTION("IFERROR(GOOGLEFINANCE(C268, ""changepct"") / 100, """")"),"")</f>
        <v/>
      </c>
      <c r="L268" s="21" t="str">
        <f>IFERROR(__xludf.DUMMYFUNCTION("IFERROR((GOOGLEFINANCE(C268, ""price"") / INDEX(GOOGLEFINANCE(C268, ""price"", TODAY()-7, TODAY()), 2, 2)) - 1, """")"),"")</f>
        <v/>
      </c>
      <c r="M268" s="21" t="str">
        <f>IFERROR(__xludf.DUMMYFUNCTION("IFERROR((GOOGLEFINANCE(C268, ""price"") / INDEX(GOOGLEFINANCE(C268, ""price"", EDATE(TODAY(), -1), TODAY()), 2, 2)) - 1, """")"),"")</f>
        <v/>
      </c>
      <c r="N268" s="21" t="str">
        <f>IFERROR(__xludf.DUMMYFUNCTION("IFERROR((GOOGLEFINANCE(C268, ""price"") / INDEX(GOOGLEFINANCE(C268, ""price"", EDATE(TODAY(), -3), TODAY()), 2, 2)) - 1, """")"),"")</f>
        <v/>
      </c>
      <c r="O268" s="21" t="str">
        <f>IFERROR(__xludf.DUMMYFUNCTION("IFERROR((GOOGLEFINANCE(C268, ""price"") / INDEX(GOOGLEFINANCE(C268, ""price"", EDATE(TODAY(), -6), TODAY()), 2, 2)) - 1, """")"),"")</f>
        <v/>
      </c>
      <c r="P268" s="21" t="str">
        <f>IFERROR(__xludf.DUMMYFUNCTION("IFERROR((GOOGLEFINANCE(C268, ""price"") / INDEX(GOOGLEFINANCE(C268, ""price"", EDATE(TODAY(), -12), TODAY()), 2, 2)) - 1, """")"),"")</f>
        <v/>
      </c>
      <c r="Q268" s="6" t="str">
        <f>IFERROR(__xludf.DUMMYFUNCTION("AVERAGE(QUERY(GOOGLEFINANCE(C268, ""price"", TODAY()-80, TODAY()), ""SELECT Col2 WHERE Col2 IS NOT NULL ORDER BY Col1 DESC LIMIT 50"", 0))"),"#N/A")</f>
        <v>#N/A</v>
      </c>
      <c r="R268" s="24" t="str">
        <f>IFERROR(__xludf.DUMMYFUNCTION("IFERROR(
  LET(
    data, QUERY(GOOGLEFINANCE(C268,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GOOGLEFINANCE(C268, ""price"")) * 100,
    IF(calc=0, G268, calc)
  ), 
G268)"),"#N/A")</f>
        <v>#N/A</v>
      </c>
      <c r="S268" s="8" t="s">
        <v>15</v>
      </c>
      <c r="T268" s="26" t="str">
        <f>IFERROR(__xludf.DUMMYFUNCTION("IFERROR(TRANSPOSE(QUERY(IFERROR(SORT(GOOGLEFINANCE(C268, ""price"", WORKDAY(TODAY(), -40), TODAY()), 1, FALSE)), ""select Col2 where Col2 is not null limit 22 label Col2 ''"", 0)), """")"),"")</f>
        <v/>
      </c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8"/>
      <c r="AO268" s="28"/>
      <c r="AP268" s="29"/>
      <c r="AQ268" s="29" t="str">
        <f t="shared" ref="AQ268:BL268" si="271">T268/T$2</f>
        <v>#N/A</v>
      </c>
      <c r="AR268" s="29" t="str">
        <f t="shared" si="271"/>
        <v>#DIV/0!</v>
      </c>
      <c r="AS268" s="29" t="str">
        <f t="shared" si="271"/>
        <v>#DIV/0!</v>
      </c>
      <c r="AT268" s="29" t="str">
        <f t="shared" si="271"/>
        <v>#DIV/0!</v>
      </c>
      <c r="AU268" s="29" t="str">
        <f t="shared" si="271"/>
        <v>#DIV/0!</v>
      </c>
      <c r="AV268" s="29" t="str">
        <f t="shared" si="271"/>
        <v>#DIV/0!</v>
      </c>
      <c r="AW268" s="29" t="str">
        <f t="shared" si="271"/>
        <v>#DIV/0!</v>
      </c>
      <c r="AX268" s="29" t="str">
        <f t="shared" si="271"/>
        <v>#DIV/0!</v>
      </c>
      <c r="AY268" s="29" t="str">
        <f t="shared" si="271"/>
        <v>#DIV/0!</v>
      </c>
      <c r="AZ268" s="29" t="str">
        <f t="shared" si="271"/>
        <v>#DIV/0!</v>
      </c>
      <c r="BA268" s="29" t="str">
        <f t="shared" si="271"/>
        <v>#DIV/0!</v>
      </c>
      <c r="BB268" s="29" t="str">
        <f t="shared" si="271"/>
        <v>#DIV/0!</v>
      </c>
      <c r="BC268" s="29" t="str">
        <f t="shared" si="271"/>
        <v>#DIV/0!</v>
      </c>
      <c r="BD268" s="29" t="str">
        <f t="shared" si="271"/>
        <v>#DIV/0!</v>
      </c>
      <c r="BE268" s="29" t="str">
        <f t="shared" si="271"/>
        <v>#DIV/0!</v>
      </c>
      <c r="BF268" s="29" t="str">
        <f t="shared" si="271"/>
        <v>#DIV/0!</v>
      </c>
      <c r="BG268" s="29" t="str">
        <f t="shared" si="271"/>
        <v>#DIV/0!</v>
      </c>
      <c r="BH268" s="29" t="str">
        <f t="shared" si="271"/>
        <v>#DIV/0!</v>
      </c>
      <c r="BI268" s="29" t="str">
        <f t="shared" si="271"/>
        <v>#DIV/0!</v>
      </c>
      <c r="BJ268" s="29" t="str">
        <f t="shared" si="271"/>
        <v>#DIV/0!</v>
      </c>
      <c r="BK268" s="29" t="str">
        <f t="shared" si="271"/>
        <v>#DIV/0!</v>
      </c>
      <c r="BL268" s="29" t="str">
        <f t="shared" si="271"/>
        <v>#DIV/0!</v>
      </c>
      <c r="BM268" s="29" t="str">
        <f t="shared" si="3"/>
        <v>#DIV/0!</v>
      </c>
    </row>
    <row r="269">
      <c r="A269" s="16" t="str">
        <f>IFERROR(__xludf.DUMMYFUNCTION("IFERROR(SPARKLINE(SORT(MAP(TRANSPOSE(AQ269:BL269), LAMBDA(val, IF(ISNUMBER(val), PERCENTRANK(AQ269:BL269, val)+0.01, 0))), SEQUENCE(COLUMNS(AQ269:BL269)), FALSE), {""charttype"",""column""; ""color"",""chartreuse""; ""ymin"", 0; ""ymax"", 1.01; ""highcolo"&amp;"r"", ""darkgreen""; ""lowcolor"", ""red""}), """")"),"")</f>
        <v/>
      </c>
      <c r="B269" s="17" t="str">
        <f t="shared" si="4"/>
        <v/>
      </c>
      <c r="C269" s="1" t="s">
        <v>1190</v>
      </c>
      <c r="D269" s="30" t="str">
        <f>IFERROR(__xludf.DUMMYFUNCTION("IFERROR(GOOGLEFINANCE(C269, ""NAME""))"),"NVE Corp")</f>
        <v>NVE Corp</v>
      </c>
      <c r="E269" s="30" t="s">
        <v>871</v>
      </c>
      <c r="F269" s="33" t="str">
        <f>IFERROR(__xludf.DUMMYFUNCTION("( (GOOGLEFINANCE(C269, ""price"") - Q269) / Q269 ) / (R269 / 100)"),"Loading...")</f>
        <v>Loading...</v>
      </c>
      <c r="G269" s="20" t="str">
        <f>IFERROR(__xludf.DUMMYFUNCTION("AVERAGE(ARRAYFORMULA(100 * (QUERY(GOOGLEFINANCE(C269, ""high"", TODAY()-40, TODAY()), ""SELECT Col2 WHERE Col2 IS NOT NULL ORDER BY Col1 DESC LIMIT 20"", 0) / QUERY(GOOGLEFINANCE(C269, ""low"", TODAY()-40, TODAY()), ""SELECT Col2 WHERE Col2 IS NOT NULL OR"&amp;"DER BY Col1 DESC LIMIT 20"", 0) - 1)))"),"#N/A")</f>
        <v>#N/A</v>
      </c>
      <c r="H269" s="35" t="str">
        <f t="shared" si="6"/>
        <v/>
      </c>
      <c r="I269" s="36" t="str">
        <f t="shared" si="7"/>
        <v/>
      </c>
      <c r="J269" s="37" t="str">
        <f>IFERROR(__xludf.DUMMYFUNCTION("IFERROR(
  IF(C269="""",, 
    IFERROR(
      GOOGLEFINANCE(C269, ""price"") * GOOGLEFINANCE(C269, ""volumeavg""), 
      GOOGLEFINANCE(C269, ""price"") * AVERAGE(QUERY(GOOGLEFINANCE(C269, ""volume"", TODAY()-40, TODAY()), ""SELECT Col2 WHERE Col2 IS NOT "&amp;"NULL ORDER BY Col1 DESC LIMIT 20"", 0))
    )
  ), 
"""")"),"")</f>
        <v/>
      </c>
      <c r="K269" s="21" t="str">
        <f>IFERROR(__xludf.DUMMYFUNCTION("IFERROR(GOOGLEFINANCE(C269, ""changepct"") / 100, """")"),"")</f>
        <v/>
      </c>
      <c r="L269" s="21" t="str">
        <f>IFERROR(__xludf.DUMMYFUNCTION("IFERROR((GOOGLEFINANCE(C269, ""price"") / INDEX(GOOGLEFINANCE(C269, ""price"", TODAY()-7, TODAY()), 2, 2)) - 1, """")"),"")</f>
        <v/>
      </c>
      <c r="M269" s="21" t="str">
        <f>IFERROR(__xludf.DUMMYFUNCTION("IFERROR((GOOGLEFINANCE(C269, ""price"") / INDEX(GOOGLEFINANCE(C269, ""price"", EDATE(TODAY(), -1), TODAY()), 2, 2)) - 1, """")"),"")</f>
        <v/>
      </c>
      <c r="N269" s="21" t="str">
        <f>IFERROR(__xludf.DUMMYFUNCTION("IFERROR((GOOGLEFINANCE(C269, ""price"") / INDEX(GOOGLEFINANCE(C269, ""price"", EDATE(TODAY(), -3), TODAY()), 2, 2)) - 1, """")"),"")</f>
        <v/>
      </c>
      <c r="O269" s="21" t="str">
        <f>IFERROR(__xludf.DUMMYFUNCTION("IFERROR((GOOGLEFINANCE(C269, ""price"") / INDEX(GOOGLEFINANCE(C269, ""price"", EDATE(TODAY(), -6), TODAY()), 2, 2)) - 1, """")"),"")</f>
        <v/>
      </c>
      <c r="P269" s="21" t="str">
        <f>IFERROR(__xludf.DUMMYFUNCTION("IFERROR((GOOGLEFINANCE(C269, ""price"") / INDEX(GOOGLEFINANCE(C269, ""price"", EDATE(TODAY(), -12), TODAY()), 2, 2)) - 1, """")"),"")</f>
        <v/>
      </c>
      <c r="Q269" s="6" t="str">
        <f>IFERROR(__xludf.DUMMYFUNCTION("AVERAGE(QUERY(GOOGLEFINANCE(C269, ""price"", TODAY()-80, TODAY()), ""SELECT Col2 WHERE Col2 IS NOT NULL ORDER BY Col1 DESC LIMIT 50"", 0))"),"#N/A")</f>
        <v>#N/A</v>
      </c>
      <c r="R269" s="24" t="str">
        <f>IFERROR(__xludf.DUMMYFUNCTION("IFERROR(
  LET(
    data, QUERY(GOOGLEFINANCE(C269,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GOOGLEFINANCE(C269, ""price"")) * 100,
    IF(calc=0, G269, calc)
  ), 
G269)"),"#N/A")</f>
        <v>#N/A</v>
      </c>
      <c r="S269" s="8" t="s">
        <v>15</v>
      </c>
      <c r="T269" s="26" t="str">
        <f>IFERROR(__xludf.DUMMYFUNCTION("IFERROR(TRANSPOSE(QUERY(IFERROR(SORT(GOOGLEFINANCE(C269, ""price"", WORKDAY(TODAY(), -40), TODAY()), 1, FALSE)), ""select Col2 where Col2 is not null limit 22 label Col2 ''"", 0)), """")"),"")</f>
        <v/>
      </c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8"/>
      <c r="AO269" s="28"/>
      <c r="AP269" s="29"/>
      <c r="AQ269" s="29" t="str">
        <f t="shared" ref="AQ269:BL269" si="272">T269/T$2</f>
        <v>#N/A</v>
      </c>
      <c r="AR269" s="29" t="str">
        <f t="shared" si="272"/>
        <v>#DIV/0!</v>
      </c>
      <c r="AS269" s="29" t="str">
        <f t="shared" si="272"/>
        <v>#DIV/0!</v>
      </c>
      <c r="AT269" s="29" t="str">
        <f t="shared" si="272"/>
        <v>#DIV/0!</v>
      </c>
      <c r="AU269" s="29" t="str">
        <f t="shared" si="272"/>
        <v>#DIV/0!</v>
      </c>
      <c r="AV269" s="29" t="str">
        <f t="shared" si="272"/>
        <v>#DIV/0!</v>
      </c>
      <c r="AW269" s="29" t="str">
        <f t="shared" si="272"/>
        <v>#DIV/0!</v>
      </c>
      <c r="AX269" s="29" t="str">
        <f t="shared" si="272"/>
        <v>#DIV/0!</v>
      </c>
      <c r="AY269" s="29" t="str">
        <f t="shared" si="272"/>
        <v>#DIV/0!</v>
      </c>
      <c r="AZ269" s="29" t="str">
        <f t="shared" si="272"/>
        <v>#DIV/0!</v>
      </c>
      <c r="BA269" s="29" t="str">
        <f t="shared" si="272"/>
        <v>#DIV/0!</v>
      </c>
      <c r="BB269" s="29" t="str">
        <f t="shared" si="272"/>
        <v>#DIV/0!</v>
      </c>
      <c r="BC269" s="29" t="str">
        <f t="shared" si="272"/>
        <v>#DIV/0!</v>
      </c>
      <c r="BD269" s="29" t="str">
        <f t="shared" si="272"/>
        <v>#DIV/0!</v>
      </c>
      <c r="BE269" s="29" t="str">
        <f t="shared" si="272"/>
        <v>#DIV/0!</v>
      </c>
      <c r="BF269" s="29" t="str">
        <f t="shared" si="272"/>
        <v>#DIV/0!</v>
      </c>
      <c r="BG269" s="29" t="str">
        <f t="shared" si="272"/>
        <v>#DIV/0!</v>
      </c>
      <c r="BH269" s="29" t="str">
        <f t="shared" si="272"/>
        <v>#DIV/0!</v>
      </c>
      <c r="BI269" s="29" t="str">
        <f t="shared" si="272"/>
        <v>#DIV/0!</v>
      </c>
      <c r="BJ269" s="29" t="str">
        <f t="shared" si="272"/>
        <v>#DIV/0!</v>
      </c>
      <c r="BK269" s="29" t="str">
        <f t="shared" si="272"/>
        <v>#DIV/0!</v>
      </c>
      <c r="BL269" s="29" t="str">
        <f t="shared" si="272"/>
        <v>#DIV/0!</v>
      </c>
      <c r="BM269" s="29" t="str">
        <f t="shared" si="3"/>
        <v>#DIV/0!</v>
      </c>
    </row>
    <row r="270">
      <c r="A270" s="16" t="str">
        <f>IFERROR(__xludf.DUMMYFUNCTION("IFERROR(SPARKLINE(SORT(MAP(TRANSPOSE(AQ270:BL270), LAMBDA(val, IF(ISNUMBER(val), PERCENTRANK(AQ270:BL270, val)+0.01, 0))), SEQUENCE(COLUMNS(AQ270:BL270)), FALSE), {""charttype"",""column""; ""color"",""chartreuse""; ""ymin"", 0; ""ymax"", 1.01; ""highcolo"&amp;"r"", ""darkgreen""; ""lowcolor"", ""red""}), """")"),"")</f>
        <v/>
      </c>
      <c r="B270" s="17" t="str">
        <f t="shared" si="4"/>
        <v/>
      </c>
      <c r="C270" s="1" t="s">
        <v>1194</v>
      </c>
      <c r="D270" s="30" t="str">
        <f>IFERROR(__xludf.DUMMYFUNCTION("IFERROR(GOOGLEFINANCE(C270, ""NAME""))"),"Ambarella Inc")</f>
        <v>Ambarella Inc</v>
      </c>
      <c r="E270" s="30" t="s">
        <v>1195</v>
      </c>
      <c r="F270" s="33" t="str">
        <f>IFERROR(__xludf.DUMMYFUNCTION("( (GOOGLEFINANCE(C270, ""price"") - Q270) / Q270 ) / (R270 / 100)"),"Loading...")</f>
        <v>Loading...</v>
      </c>
      <c r="G270" s="20" t="str">
        <f>IFERROR(__xludf.DUMMYFUNCTION("AVERAGE(ARRAYFORMULA(100 * (QUERY(GOOGLEFINANCE(C270, ""high"", TODAY()-40, TODAY()), ""SELECT Col2 WHERE Col2 IS NOT NULL ORDER BY Col1 DESC LIMIT 20"", 0) / QUERY(GOOGLEFINANCE(C270, ""low"", TODAY()-40, TODAY()), ""SELECT Col2 WHERE Col2 IS NOT NULL OR"&amp;"DER BY Col1 DESC LIMIT 20"", 0) - 1)))"),"#N/A")</f>
        <v>#N/A</v>
      </c>
      <c r="H270" s="35" t="str">
        <f t="shared" si="6"/>
        <v/>
      </c>
      <c r="I270" s="36" t="str">
        <f t="shared" si="7"/>
        <v/>
      </c>
      <c r="J270" s="37" t="str">
        <f>IFERROR(__xludf.DUMMYFUNCTION("IFERROR(
  IF(C270="""",, 
    IFERROR(
      GOOGLEFINANCE(C270, ""price"") * GOOGLEFINANCE(C270, ""volumeavg""), 
      GOOGLEFINANCE(C270, ""price"") * AVERAGE(QUERY(GOOGLEFINANCE(C270, ""volume"", TODAY()-40, TODAY()), ""SELECT Col2 WHERE Col2 IS NOT "&amp;"NULL ORDER BY Col1 DESC LIMIT 20"", 0))
    )
  ), 
"""")"),"")</f>
        <v/>
      </c>
      <c r="K270" s="21" t="str">
        <f>IFERROR(__xludf.DUMMYFUNCTION("IFERROR(GOOGLEFINANCE(C270, ""changepct"") / 100, """")"),"")</f>
        <v/>
      </c>
      <c r="L270" s="21" t="str">
        <f>IFERROR(__xludf.DUMMYFUNCTION("IFERROR((GOOGLEFINANCE(C270, ""price"") / INDEX(GOOGLEFINANCE(C270, ""price"", TODAY()-7, TODAY()), 2, 2)) - 1, """")"),"")</f>
        <v/>
      </c>
      <c r="M270" s="21" t="str">
        <f>IFERROR(__xludf.DUMMYFUNCTION("IFERROR((GOOGLEFINANCE(C270, ""price"") / INDEX(GOOGLEFINANCE(C270, ""price"", EDATE(TODAY(), -1), TODAY()), 2, 2)) - 1, """")"),"")</f>
        <v/>
      </c>
      <c r="N270" s="21" t="str">
        <f>IFERROR(__xludf.DUMMYFUNCTION("IFERROR((GOOGLEFINANCE(C270, ""price"") / INDEX(GOOGLEFINANCE(C270, ""price"", EDATE(TODAY(), -3), TODAY()), 2, 2)) - 1, """")"),"")</f>
        <v/>
      </c>
      <c r="O270" s="21" t="str">
        <f>IFERROR(__xludf.DUMMYFUNCTION("IFERROR((GOOGLEFINANCE(C270, ""price"") / INDEX(GOOGLEFINANCE(C270, ""price"", EDATE(TODAY(), -6), TODAY()), 2, 2)) - 1, """")"),"")</f>
        <v/>
      </c>
      <c r="P270" s="21" t="str">
        <f>IFERROR(__xludf.DUMMYFUNCTION("IFERROR((GOOGLEFINANCE(C270, ""price"") / INDEX(GOOGLEFINANCE(C270, ""price"", EDATE(TODAY(), -12), TODAY()), 2, 2)) - 1, """")"),"")</f>
        <v/>
      </c>
      <c r="Q270" s="6" t="str">
        <f>IFERROR(__xludf.DUMMYFUNCTION("AVERAGE(QUERY(GOOGLEFINANCE(C270, ""price"", TODAY()-80, TODAY()), ""SELECT Col2 WHERE Col2 IS NOT NULL ORDER BY Col1 DESC LIMIT 50"", 0))"),"#N/A")</f>
        <v>#N/A</v>
      </c>
      <c r="R270" s="24" t="str">
        <f>IFERROR(__xludf.DUMMYFUNCTION("IFERROR(
  LET(
    data, QUERY(GOOGLEFINANCE(C270,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GOOGLEFINANCE(C270, ""price"")) * 100,
    IF(calc=0, G270, calc)
  ), 
G270)"),"#N/A")</f>
        <v>#N/A</v>
      </c>
      <c r="S270" s="8" t="s">
        <v>15</v>
      </c>
      <c r="T270" s="26" t="str">
        <f>IFERROR(__xludf.DUMMYFUNCTION("IFERROR(TRANSPOSE(QUERY(IFERROR(SORT(GOOGLEFINANCE(C270, ""price"", WORKDAY(TODAY(), -40), TODAY()), 1, FALSE)), ""select Col2 where Col2 is not null limit 22 label Col2 ''"", 0)), """")"),"")</f>
        <v/>
      </c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8"/>
      <c r="AO270" s="28"/>
      <c r="AP270" s="29"/>
      <c r="AQ270" s="29" t="str">
        <f t="shared" ref="AQ270:BL270" si="273">T270/T$2</f>
        <v>#N/A</v>
      </c>
      <c r="AR270" s="29" t="str">
        <f t="shared" si="273"/>
        <v>#DIV/0!</v>
      </c>
      <c r="AS270" s="29" t="str">
        <f t="shared" si="273"/>
        <v>#DIV/0!</v>
      </c>
      <c r="AT270" s="29" t="str">
        <f t="shared" si="273"/>
        <v>#DIV/0!</v>
      </c>
      <c r="AU270" s="29" t="str">
        <f t="shared" si="273"/>
        <v>#DIV/0!</v>
      </c>
      <c r="AV270" s="29" t="str">
        <f t="shared" si="273"/>
        <v>#DIV/0!</v>
      </c>
      <c r="AW270" s="29" t="str">
        <f t="shared" si="273"/>
        <v>#DIV/0!</v>
      </c>
      <c r="AX270" s="29" t="str">
        <f t="shared" si="273"/>
        <v>#DIV/0!</v>
      </c>
      <c r="AY270" s="29" t="str">
        <f t="shared" si="273"/>
        <v>#DIV/0!</v>
      </c>
      <c r="AZ270" s="29" t="str">
        <f t="shared" si="273"/>
        <v>#DIV/0!</v>
      </c>
      <c r="BA270" s="29" t="str">
        <f t="shared" si="273"/>
        <v>#DIV/0!</v>
      </c>
      <c r="BB270" s="29" t="str">
        <f t="shared" si="273"/>
        <v>#DIV/0!</v>
      </c>
      <c r="BC270" s="29" t="str">
        <f t="shared" si="273"/>
        <v>#DIV/0!</v>
      </c>
      <c r="BD270" s="29" t="str">
        <f t="shared" si="273"/>
        <v>#DIV/0!</v>
      </c>
      <c r="BE270" s="29" t="str">
        <f t="shared" si="273"/>
        <v>#DIV/0!</v>
      </c>
      <c r="BF270" s="29" t="str">
        <f t="shared" si="273"/>
        <v>#DIV/0!</v>
      </c>
      <c r="BG270" s="29" t="str">
        <f t="shared" si="273"/>
        <v>#DIV/0!</v>
      </c>
      <c r="BH270" s="29" t="str">
        <f t="shared" si="273"/>
        <v>#DIV/0!</v>
      </c>
      <c r="BI270" s="29" t="str">
        <f t="shared" si="273"/>
        <v>#DIV/0!</v>
      </c>
      <c r="BJ270" s="29" t="str">
        <f t="shared" si="273"/>
        <v>#DIV/0!</v>
      </c>
      <c r="BK270" s="29" t="str">
        <f t="shared" si="273"/>
        <v>#DIV/0!</v>
      </c>
      <c r="BL270" s="29" t="str">
        <f t="shared" si="273"/>
        <v>#DIV/0!</v>
      </c>
      <c r="BM270" s="29" t="str">
        <f t="shared" si="3"/>
        <v>#DIV/0!</v>
      </c>
    </row>
    <row r="271">
      <c r="A271" s="16" t="str">
        <f>IFERROR(__xludf.DUMMYFUNCTION("IFERROR(SPARKLINE(SORT(MAP(TRANSPOSE(AQ271:BL271), LAMBDA(val, IF(ISNUMBER(val), PERCENTRANK(AQ271:BL271, val)+0.01, 0))), SEQUENCE(COLUMNS(AQ271:BL271)), FALSE), {""charttype"",""column""; ""color"",""chartreuse""; ""ymin"", 0; ""ymax"", 1.01; ""highcolo"&amp;"r"", ""darkgreen""; ""lowcolor"", ""red""}), """")"),"")</f>
        <v/>
      </c>
      <c r="B271" s="17" t="str">
        <f t="shared" si="4"/>
        <v/>
      </c>
      <c r="C271" s="1" t="s">
        <v>1199</v>
      </c>
      <c r="D271" s="30" t="str">
        <f>IFERROR(__xludf.DUMMYFUNCTION("IFERROR(GOOGLEFINANCE(C271, ""NAME""))"),"SmartRent Inc")</f>
        <v>SmartRent Inc</v>
      </c>
      <c r="E271" s="30" t="s">
        <v>48</v>
      </c>
      <c r="F271" s="33" t="str">
        <f>IFERROR(__xludf.DUMMYFUNCTION("( (GOOGLEFINANCE(C271, ""price"") - Q271) / Q271 ) / (R271 / 100)"),"Loading...")</f>
        <v>Loading...</v>
      </c>
      <c r="G271" s="20" t="str">
        <f>IFERROR(__xludf.DUMMYFUNCTION("AVERAGE(ARRAYFORMULA(100 * (QUERY(GOOGLEFINANCE(C271, ""high"", TODAY()-40, TODAY()), ""SELECT Col2 WHERE Col2 IS NOT NULL ORDER BY Col1 DESC LIMIT 20"", 0) / QUERY(GOOGLEFINANCE(C271, ""low"", TODAY()-40, TODAY()), ""SELECT Col2 WHERE Col2 IS NOT NULL OR"&amp;"DER BY Col1 DESC LIMIT 20"", 0) - 1)))"),"#N/A")</f>
        <v>#N/A</v>
      </c>
      <c r="H271" s="35" t="str">
        <f t="shared" si="6"/>
        <v/>
      </c>
      <c r="I271" s="36" t="str">
        <f t="shared" si="7"/>
        <v/>
      </c>
      <c r="J271" s="37" t="str">
        <f>IFERROR(__xludf.DUMMYFUNCTION("IFERROR(
  IF(C271="""",, 
    IFERROR(
      GOOGLEFINANCE(C271, ""price"") * GOOGLEFINANCE(C271, ""volumeavg""), 
      GOOGLEFINANCE(C271, ""price"") * AVERAGE(QUERY(GOOGLEFINANCE(C271, ""volume"", TODAY()-40, TODAY()), ""SELECT Col2 WHERE Col2 IS NOT "&amp;"NULL ORDER BY Col1 DESC LIMIT 20"", 0))
    )
  ), 
"""")"),"")</f>
        <v/>
      </c>
      <c r="K271" s="21" t="str">
        <f>IFERROR(__xludf.DUMMYFUNCTION("IFERROR(GOOGLEFINANCE(C271, ""changepct"") / 100, """")"),"")</f>
        <v/>
      </c>
      <c r="L271" s="21" t="str">
        <f>IFERROR(__xludf.DUMMYFUNCTION("IFERROR((GOOGLEFINANCE(C271, ""price"") / INDEX(GOOGLEFINANCE(C271, ""price"", TODAY()-7, TODAY()), 2, 2)) - 1, """")"),"")</f>
        <v/>
      </c>
      <c r="M271" s="21" t="str">
        <f>IFERROR(__xludf.DUMMYFUNCTION("IFERROR((GOOGLEFINANCE(C271, ""price"") / INDEX(GOOGLEFINANCE(C271, ""price"", EDATE(TODAY(), -1), TODAY()), 2, 2)) - 1, """")"),"")</f>
        <v/>
      </c>
      <c r="N271" s="21" t="str">
        <f>IFERROR(__xludf.DUMMYFUNCTION("IFERROR((GOOGLEFINANCE(C271, ""price"") / INDEX(GOOGLEFINANCE(C271, ""price"", EDATE(TODAY(), -3), TODAY()), 2, 2)) - 1, """")"),"")</f>
        <v/>
      </c>
      <c r="O271" s="21" t="str">
        <f>IFERROR(__xludf.DUMMYFUNCTION("IFERROR((GOOGLEFINANCE(C271, ""price"") / INDEX(GOOGLEFINANCE(C271, ""price"", EDATE(TODAY(), -6), TODAY()), 2, 2)) - 1, """")"),"")</f>
        <v/>
      </c>
      <c r="P271" s="21" t="str">
        <f>IFERROR(__xludf.DUMMYFUNCTION("IFERROR((GOOGLEFINANCE(C271, ""price"") / INDEX(GOOGLEFINANCE(C271, ""price"", EDATE(TODAY(), -12), TODAY()), 2, 2)) - 1, """")"),"")</f>
        <v/>
      </c>
      <c r="Q271" s="6" t="str">
        <f>IFERROR(__xludf.DUMMYFUNCTION("AVERAGE(QUERY(GOOGLEFINANCE(C271, ""price"", TODAY()-80, TODAY()), ""SELECT Col2 WHERE Col2 IS NOT NULL ORDER BY Col1 DESC LIMIT 50"", 0))"),"#N/A")</f>
        <v>#N/A</v>
      </c>
      <c r="R271" s="24" t="str">
        <f>IFERROR(__xludf.DUMMYFUNCTION("IFERROR(
  LET(
    data, QUERY(GOOGLEFINANCE(C271,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GOOGLEFINANCE(C271, ""price"")) * 100,
    IF(calc=0, G271, calc)
  ), 
G271)"),"#N/A")</f>
        <v>#N/A</v>
      </c>
      <c r="S271" s="8" t="s">
        <v>15</v>
      </c>
      <c r="T271" s="26" t="str">
        <f>IFERROR(__xludf.DUMMYFUNCTION("IFERROR(TRANSPOSE(QUERY(IFERROR(SORT(GOOGLEFINANCE(C271, ""price"", WORKDAY(TODAY(), -40), TODAY()), 1, FALSE)), ""select Col2 where Col2 is not null limit 22 label Col2 ''"", 0)), """")"),"")</f>
        <v/>
      </c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8"/>
      <c r="AO271" s="28"/>
      <c r="AP271" s="29"/>
      <c r="AQ271" s="29" t="str">
        <f t="shared" ref="AQ271:BL271" si="274">T271/T$2</f>
        <v>#N/A</v>
      </c>
      <c r="AR271" s="29" t="str">
        <f t="shared" si="274"/>
        <v>#DIV/0!</v>
      </c>
      <c r="AS271" s="29" t="str">
        <f t="shared" si="274"/>
        <v>#DIV/0!</v>
      </c>
      <c r="AT271" s="29" t="str">
        <f t="shared" si="274"/>
        <v>#DIV/0!</v>
      </c>
      <c r="AU271" s="29" t="str">
        <f t="shared" si="274"/>
        <v>#DIV/0!</v>
      </c>
      <c r="AV271" s="29" t="str">
        <f t="shared" si="274"/>
        <v>#DIV/0!</v>
      </c>
      <c r="AW271" s="29" t="str">
        <f t="shared" si="274"/>
        <v>#DIV/0!</v>
      </c>
      <c r="AX271" s="29" t="str">
        <f t="shared" si="274"/>
        <v>#DIV/0!</v>
      </c>
      <c r="AY271" s="29" t="str">
        <f t="shared" si="274"/>
        <v>#DIV/0!</v>
      </c>
      <c r="AZ271" s="29" t="str">
        <f t="shared" si="274"/>
        <v>#DIV/0!</v>
      </c>
      <c r="BA271" s="29" t="str">
        <f t="shared" si="274"/>
        <v>#DIV/0!</v>
      </c>
      <c r="BB271" s="29" t="str">
        <f t="shared" si="274"/>
        <v>#DIV/0!</v>
      </c>
      <c r="BC271" s="29" t="str">
        <f t="shared" si="274"/>
        <v>#DIV/0!</v>
      </c>
      <c r="BD271" s="29" t="str">
        <f t="shared" si="274"/>
        <v>#DIV/0!</v>
      </c>
      <c r="BE271" s="29" t="str">
        <f t="shared" si="274"/>
        <v>#DIV/0!</v>
      </c>
      <c r="BF271" s="29" t="str">
        <f t="shared" si="274"/>
        <v>#DIV/0!</v>
      </c>
      <c r="BG271" s="29" t="str">
        <f t="shared" si="274"/>
        <v>#DIV/0!</v>
      </c>
      <c r="BH271" s="29" t="str">
        <f t="shared" si="274"/>
        <v>#DIV/0!</v>
      </c>
      <c r="BI271" s="29" t="str">
        <f t="shared" si="274"/>
        <v>#DIV/0!</v>
      </c>
      <c r="BJ271" s="29" t="str">
        <f t="shared" si="274"/>
        <v>#DIV/0!</v>
      </c>
      <c r="BK271" s="29" t="str">
        <f t="shared" si="274"/>
        <v>#DIV/0!</v>
      </c>
      <c r="BL271" s="29" t="str">
        <f t="shared" si="274"/>
        <v>#DIV/0!</v>
      </c>
      <c r="BM271" s="29" t="str">
        <f t="shared" si="3"/>
        <v>#DIV/0!</v>
      </c>
    </row>
    <row r="272">
      <c r="A272" s="16" t="str">
        <f>IFERROR(__xludf.DUMMYFUNCTION("IFERROR(SPARKLINE(SORT(MAP(TRANSPOSE(AQ272:BL272), LAMBDA(val, IF(ISNUMBER(val), PERCENTRANK(AQ272:BL272, val)+0.01, 0))), SEQUENCE(COLUMNS(AQ272:BL272)), FALSE), {""charttype"",""column""; ""color"",""chartreuse""; ""ymin"", 0; ""ymax"", 1.01; ""highcolo"&amp;"r"", ""darkgreen""; ""lowcolor"", ""red""}), """")"),"")</f>
        <v/>
      </c>
      <c r="B272" s="17" t="str">
        <f t="shared" si="4"/>
        <v/>
      </c>
      <c r="C272" s="1" t="s">
        <v>1204</v>
      </c>
      <c r="D272" s="30" t="str">
        <f>IFERROR(__xludf.DUMMYFUNCTION("IFERROR(GOOGLEFINANCE(C272, ""NAME""))"),"Dave Inc")</f>
        <v>Dave Inc</v>
      </c>
      <c r="E272" s="30" t="s">
        <v>48</v>
      </c>
      <c r="F272" s="33" t="str">
        <f>IFERROR(__xludf.DUMMYFUNCTION("( (GOOGLEFINANCE(C272, ""price"") - Q272) / Q272 ) / (R272 / 100)"),"Loading...")</f>
        <v>Loading...</v>
      </c>
      <c r="G272" s="20" t="str">
        <f>IFERROR(__xludf.DUMMYFUNCTION("AVERAGE(ARRAYFORMULA(100 * (QUERY(GOOGLEFINANCE(C272, ""high"", TODAY()-40, TODAY()), ""SELECT Col2 WHERE Col2 IS NOT NULL ORDER BY Col1 DESC LIMIT 20"", 0) / QUERY(GOOGLEFINANCE(C272, ""low"", TODAY()-40, TODAY()), ""SELECT Col2 WHERE Col2 IS NOT NULL OR"&amp;"DER BY Col1 DESC LIMIT 20"", 0) - 1)))"),"#N/A")</f>
        <v>#N/A</v>
      </c>
      <c r="H272" s="35" t="str">
        <f t="shared" si="6"/>
        <v/>
      </c>
      <c r="I272" s="36" t="str">
        <f t="shared" si="7"/>
        <v/>
      </c>
      <c r="J272" s="37" t="str">
        <f>IFERROR(__xludf.DUMMYFUNCTION("IFERROR(
  IF(C272="""",, 
    IFERROR(
      GOOGLEFINANCE(C272, ""price"") * GOOGLEFINANCE(C272, ""volumeavg""), 
      GOOGLEFINANCE(C272, ""price"") * AVERAGE(QUERY(GOOGLEFINANCE(C272, ""volume"", TODAY()-40, TODAY()), ""SELECT Col2 WHERE Col2 IS NOT "&amp;"NULL ORDER BY Col1 DESC LIMIT 20"", 0))
    )
  ), 
"""")"),"")</f>
        <v/>
      </c>
      <c r="K272" s="21" t="str">
        <f>IFERROR(__xludf.DUMMYFUNCTION("IFERROR(GOOGLEFINANCE(C272, ""changepct"") / 100, """")"),"")</f>
        <v/>
      </c>
      <c r="L272" s="21" t="str">
        <f>IFERROR(__xludf.DUMMYFUNCTION("IFERROR((GOOGLEFINANCE(C272, ""price"") / INDEX(GOOGLEFINANCE(C272, ""price"", TODAY()-7, TODAY()), 2, 2)) - 1, """")"),"")</f>
        <v/>
      </c>
      <c r="M272" s="21" t="str">
        <f>IFERROR(__xludf.DUMMYFUNCTION("IFERROR((GOOGLEFINANCE(C272, ""price"") / INDEX(GOOGLEFINANCE(C272, ""price"", EDATE(TODAY(), -1), TODAY()), 2, 2)) - 1, """")"),"")</f>
        <v/>
      </c>
      <c r="N272" s="21" t="str">
        <f>IFERROR(__xludf.DUMMYFUNCTION("IFERROR((GOOGLEFINANCE(C272, ""price"") / INDEX(GOOGLEFINANCE(C272, ""price"", EDATE(TODAY(), -3), TODAY()), 2, 2)) - 1, """")"),"")</f>
        <v/>
      </c>
      <c r="O272" s="21" t="str">
        <f>IFERROR(__xludf.DUMMYFUNCTION("IFERROR((GOOGLEFINANCE(C272, ""price"") / INDEX(GOOGLEFINANCE(C272, ""price"", EDATE(TODAY(), -6), TODAY()), 2, 2)) - 1, """")"),"")</f>
        <v/>
      </c>
      <c r="P272" s="21" t="str">
        <f>IFERROR(__xludf.DUMMYFUNCTION("IFERROR((GOOGLEFINANCE(C272, ""price"") / INDEX(GOOGLEFINANCE(C272, ""price"", EDATE(TODAY(), -12), TODAY()), 2, 2)) - 1, """")"),"")</f>
        <v/>
      </c>
      <c r="Q272" s="6" t="str">
        <f>IFERROR(__xludf.DUMMYFUNCTION("AVERAGE(QUERY(GOOGLEFINANCE(C272, ""price"", TODAY()-80, TODAY()), ""SELECT Col2 WHERE Col2 IS NOT NULL ORDER BY Col1 DESC LIMIT 50"", 0))"),"#N/A")</f>
        <v>#N/A</v>
      </c>
      <c r="R272" s="24" t="str">
        <f>IFERROR(__xludf.DUMMYFUNCTION("IFERROR(
  LET(
    data, QUERY(GOOGLEFINANCE(C272,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GOOGLEFINANCE(C272, ""price"")) * 100,
    IF(calc=0, G272, calc)
  ), 
G272)"),"#N/A")</f>
        <v>#N/A</v>
      </c>
      <c r="S272" s="8" t="s">
        <v>15</v>
      </c>
      <c r="T272" s="26" t="str">
        <f>IFERROR(__xludf.DUMMYFUNCTION("IFERROR(TRANSPOSE(QUERY(IFERROR(SORT(GOOGLEFINANCE(C272, ""price"", WORKDAY(TODAY(), -40), TODAY()), 1, FALSE)), ""select Col2 where Col2 is not null limit 22 label Col2 ''"", 0)), """")"),"")</f>
        <v/>
      </c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8"/>
      <c r="AO272" s="28"/>
      <c r="AP272" s="29"/>
      <c r="AQ272" s="29" t="str">
        <f t="shared" ref="AQ272:BL272" si="275">T272/T$2</f>
        <v>#N/A</v>
      </c>
      <c r="AR272" s="29" t="str">
        <f t="shared" si="275"/>
        <v>#DIV/0!</v>
      </c>
      <c r="AS272" s="29" t="str">
        <f t="shared" si="275"/>
        <v>#DIV/0!</v>
      </c>
      <c r="AT272" s="29" t="str">
        <f t="shared" si="275"/>
        <v>#DIV/0!</v>
      </c>
      <c r="AU272" s="29" t="str">
        <f t="shared" si="275"/>
        <v>#DIV/0!</v>
      </c>
      <c r="AV272" s="29" t="str">
        <f t="shared" si="275"/>
        <v>#DIV/0!</v>
      </c>
      <c r="AW272" s="29" t="str">
        <f t="shared" si="275"/>
        <v>#DIV/0!</v>
      </c>
      <c r="AX272" s="29" t="str">
        <f t="shared" si="275"/>
        <v>#DIV/0!</v>
      </c>
      <c r="AY272" s="29" t="str">
        <f t="shared" si="275"/>
        <v>#DIV/0!</v>
      </c>
      <c r="AZ272" s="29" t="str">
        <f t="shared" si="275"/>
        <v>#DIV/0!</v>
      </c>
      <c r="BA272" s="29" t="str">
        <f t="shared" si="275"/>
        <v>#DIV/0!</v>
      </c>
      <c r="BB272" s="29" t="str">
        <f t="shared" si="275"/>
        <v>#DIV/0!</v>
      </c>
      <c r="BC272" s="29" t="str">
        <f t="shared" si="275"/>
        <v>#DIV/0!</v>
      </c>
      <c r="BD272" s="29" t="str">
        <f t="shared" si="275"/>
        <v>#DIV/0!</v>
      </c>
      <c r="BE272" s="29" t="str">
        <f t="shared" si="275"/>
        <v>#DIV/0!</v>
      </c>
      <c r="BF272" s="29" t="str">
        <f t="shared" si="275"/>
        <v>#DIV/0!</v>
      </c>
      <c r="BG272" s="29" t="str">
        <f t="shared" si="275"/>
        <v>#DIV/0!</v>
      </c>
      <c r="BH272" s="29" t="str">
        <f t="shared" si="275"/>
        <v>#DIV/0!</v>
      </c>
      <c r="BI272" s="29" t="str">
        <f t="shared" si="275"/>
        <v>#DIV/0!</v>
      </c>
      <c r="BJ272" s="29" t="str">
        <f t="shared" si="275"/>
        <v>#DIV/0!</v>
      </c>
      <c r="BK272" s="29" t="str">
        <f t="shared" si="275"/>
        <v>#DIV/0!</v>
      </c>
      <c r="BL272" s="29" t="str">
        <f t="shared" si="275"/>
        <v>#DIV/0!</v>
      </c>
      <c r="BM272" s="29" t="str">
        <f t="shared" si="3"/>
        <v>#DIV/0!</v>
      </c>
    </row>
    <row r="273">
      <c r="A273" s="16" t="str">
        <f>IFERROR(__xludf.DUMMYFUNCTION("IFERROR(SPARKLINE(SORT(MAP(TRANSPOSE(AQ273:BL273), LAMBDA(val, IF(ISNUMBER(val), PERCENTRANK(AQ273:BL273, val)+0.01, 0))), SEQUENCE(COLUMNS(AQ273:BL273)), FALSE), {""charttype"",""column""; ""color"",""chartreuse""; ""ymin"", 0; ""ymax"", 1.01; ""highcolo"&amp;"r"", ""darkgreen""; ""lowcolor"", ""red""}), """")"),"")</f>
        <v/>
      </c>
      <c r="B273" s="17" t="str">
        <f t="shared" si="4"/>
        <v/>
      </c>
      <c r="C273" s="1" t="s">
        <v>1206</v>
      </c>
      <c r="D273" s="30" t="str">
        <f>IFERROR(__xludf.DUMMYFUNCTION("IFERROR(GOOGLEFINANCE(C273, ""NAME""))"),"JinkoSolar Holding Co., Ltd")</f>
        <v>JinkoSolar Holding Co., Ltd</v>
      </c>
      <c r="E273" s="30" t="s">
        <v>1045</v>
      </c>
      <c r="F273" s="33" t="str">
        <f>IFERROR(__xludf.DUMMYFUNCTION("( (GOOGLEFINANCE(C273, ""price"") - Q273) / Q273 ) / (R273 / 100)"),"Loading...")</f>
        <v>Loading...</v>
      </c>
      <c r="G273" s="20" t="str">
        <f>IFERROR(__xludf.DUMMYFUNCTION("AVERAGE(ARRAYFORMULA(100 * (QUERY(GOOGLEFINANCE(C273, ""high"", TODAY()-40, TODAY()), ""SELECT Col2 WHERE Col2 IS NOT NULL ORDER BY Col1 DESC LIMIT 20"", 0) / QUERY(GOOGLEFINANCE(C273, ""low"", TODAY()-40, TODAY()), ""SELECT Col2 WHERE Col2 IS NOT NULL OR"&amp;"DER BY Col1 DESC LIMIT 20"", 0) - 1)))"),"#N/A")</f>
        <v>#N/A</v>
      </c>
      <c r="H273" s="35" t="str">
        <f t="shared" si="6"/>
        <v/>
      </c>
      <c r="I273" s="36" t="str">
        <f t="shared" si="7"/>
        <v/>
      </c>
      <c r="J273" s="37" t="str">
        <f>IFERROR(__xludf.DUMMYFUNCTION("IFERROR(
  IF(C273="""",, 
    IFERROR(
      GOOGLEFINANCE(C273, ""price"") * GOOGLEFINANCE(C273, ""volumeavg""), 
      GOOGLEFINANCE(C273, ""price"") * AVERAGE(QUERY(GOOGLEFINANCE(C273, ""volume"", TODAY()-40, TODAY()), ""SELECT Col2 WHERE Col2 IS NOT "&amp;"NULL ORDER BY Col1 DESC LIMIT 20"", 0))
    )
  ), 
"""")"),"")</f>
        <v/>
      </c>
      <c r="K273" s="21" t="str">
        <f>IFERROR(__xludf.DUMMYFUNCTION("IFERROR(GOOGLEFINANCE(C273, ""changepct"") / 100, """")"),"")</f>
        <v/>
      </c>
      <c r="L273" s="21" t="str">
        <f>IFERROR(__xludf.DUMMYFUNCTION("IFERROR((GOOGLEFINANCE(C273, ""price"") / INDEX(GOOGLEFINANCE(C273, ""price"", TODAY()-7, TODAY()), 2, 2)) - 1, """")"),"")</f>
        <v/>
      </c>
      <c r="M273" s="21" t="str">
        <f>IFERROR(__xludf.DUMMYFUNCTION("IFERROR((GOOGLEFINANCE(C273, ""price"") / INDEX(GOOGLEFINANCE(C273, ""price"", EDATE(TODAY(), -1), TODAY()), 2, 2)) - 1, """")"),"")</f>
        <v/>
      </c>
      <c r="N273" s="21" t="str">
        <f>IFERROR(__xludf.DUMMYFUNCTION("IFERROR((GOOGLEFINANCE(C273, ""price"") / INDEX(GOOGLEFINANCE(C273, ""price"", EDATE(TODAY(), -3), TODAY()), 2, 2)) - 1, """")"),"")</f>
        <v/>
      </c>
      <c r="O273" s="21" t="str">
        <f>IFERROR(__xludf.DUMMYFUNCTION("IFERROR((GOOGLEFINANCE(C273, ""price"") / INDEX(GOOGLEFINANCE(C273, ""price"", EDATE(TODAY(), -6), TODAY()), 2, 2)) - 1, """")"),"")</f>
        <v/>
      </c>
      <c r="P273" s="21" t="str">
        <f>IFERROR(__xludf.DUMMYFUNCTION("IFERROR((GOOGLEFINANCE(C273, ""price"") / INDEX(GOOGLEFINANCE(C273, ""price"", EDATE(TODAY(), -12), TODAY()), 2, 2)) - 1, """")"),"")</f>
        <v/>
      </c>
      <c r="Q273" s="6" t="str">
        <f>IFERROR(__xludf.DUMMYFUNCTION("AVERAGE(QUERY(GOOGLEFINANCE(C273, ""price"", TODAY()-80, TODAY()), ""SELECT Col2 WHERE Col2 IS NOT NULL ORDER BY Col1 DESC LIMIT 50"", 0))"),"#N/A")</f>
        <v>#N/A</v>
      </c>
      <c r="R273" s="24" t="str">
        <f>IFERROR(__xludf.DUMMYFUNCTION("IFERROR(
  LET(
    data, QUERY(GOOGLEFINANCE(C273,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GOOGLEFINANCE(C273, ""price"")) * 100,
    IF(calc=0, G273, calc)
  ), 
G273)"),"#N/A")</f>
        <v>#N/A</v>
      </c>
      <c r="S273" s="8" t="s">
        <v>15</v>
      </c>
      <c r="T273" s="26" t="str">
        <f>IFERROR(__xludf.DUMMYFUNCTION("IFERROR(TRANSPOSE(QUERY(IFERROR(SORT(GOOGLEFINANCE(C273, ""price"", WORKDAY(TODAY(), -40), TODAY()), 1, FALSE)), ""select Col2 where Col2 is not null limit 22 label Col2 ''"", 0)), """")"),"")</f>
        <v/>
      </c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8"/>
      <c r="AO273" s="28"/>
      <c r="AP273" s="29"/>
      <c r="AQ273" s="29" t="str">
        <f t="shared" ref="AQ273:BL273" si="276">T273/T$2</f>
        <v>#N/A</v>
      </c>
      <c r="AR273" s="29" t="str">
        <f t="shared" si="276"/>
        <v>#DIV/0!</v>
      </c>
      <c r="AS273" s="29" t="str">
        <f t="shared" si="276"/>
        <v>#DIV/0!</v>
      </c>
      <c r="AT273" s="29" t="str">
        <f t="shared" si="276"/>
        <v>#DIV/0!</v>
      </c>
      <c r="AU273" s="29" t="str">
        <f t="shared" si="276"/>
        <v>#DIV/0!</v>
      </c>
      <c r="AV273" s="29" t="str">
        <f t="shared" si="276"/>
        <v>#DIV/0!</v>
      </c>
      <c r="AW273" s="29" t="str">
        <f t="shared" si="276"/>
        <v>#DIV/0!</v>
      </c>
      <c r="AX273" s="29" t="str">
        <f t="shared" si="276"/>
        <v>#DIV/0!</v>
      </c>
      <c r="AY273" s="29" t="str">
        <f t="shared" si="276"/>
        <v>#DIV/0!</v>
      </c>
      <c r="AZ273" s="29" t="str">
        <f t="shared" si="276"/>
        <v>#DIV/0!</v>
      </c>
      <c r="BA273" s="29" t="str">
        <f t="shared" si="276"/>
        <v>#DIV/0!</v>
      </c>
      <c r="BB273" s="29" t="str">
        <f t="shared" si="276"/>
        <v>#DIV/0!</v>
      </c>
      <c r="BC273" s="29" t="str">
        <f t="shared" si="276"/>
        <v>#DIV/0!</v>
      </c>
      <c r="BD273" s="29" t="str">
        <f t="shared" si="276"/>
        <v>#DIV/0!</v>
      </c>
      <c r="BE273" s="29" t="str">
        <f t="shared" si="276"/>
        <v>#DIV/0!</v>
      </c>
      <c r="BF273" s="29" t="str">
        <f t="shared" si="276"/>
        <v>#DIV/0!</v>
      </c>
      <c r="BG273" s="29" t="str">
        <f t="shared" si="276"/>
        <v>#DIV/0!</v>
      </c>
      <c r="BH273" s="29" t="str">
        <f t="shared" si="276"/>
        <v>#DIV/0!</v>
      </c>
      <c r="BI273" s="29" t="str">
        <f t="shared" si="276"/>
        <v>#DIV/0!</v>
      </c>
      <c r="BJ273" s="29" t="str">
        <f t="shared" si="276"/>
        <v>#DIV/0!</v>
      </c>
      <c r="BK273" s="29" t="str">
        <f t="shared" si="276"/>
        <v>#DIV/0!</v>
      </c>
      <c r="BL273" s="29" t="str">
        <f t="shared" si="276"/>
        <v>#DIV/0!</v>
      </c>
      <c r="BM273" s="29" t="str">
        <f t="shared" si="3"/>
        <v>#DIV/0!</v>
      </c>
    </row>
    <row r="274">
      <c r="A274" s="16" t="str">
        <f>IFERROR(__xludf.DUMMYFUNCTION("IFERROR(SPARKLINE(SORT(MAP(TRANSPOSE(AQ274:BL274), LAMBDA(val, IF(ISNUMBER(val), PERCENTRANK(AQ274:BL274, val)+0.01, 0))), SEQUENCE(COLUMNS(AQ274:BL274)), FALSE), {""charttype"",""column""; ""color"",""chartreuse""; ""ymin"", 0; ""ymax"", 1.01; ""highcolo"&amp;"r"", ""darkgreen""; ""lowcolor"", ""red""}), """")"),"")</f>
        <v/>
      </c>
      <c r="B274" s="17" t="str">
        <f t="shared" si="4"/>
        <v/>
      </c>
      <c r="C274" s="1" t="s">
        <v>1210</v>
      </c>
      <c r="D274" s="30" t="str">
        <f>IFERROR(__xludf.DUMMYFUNCTION("IFERROR(GOOGLEFINANCE(C274, ""NAME""))"),"Qualcomm Inc")</f>
        <v>Qualcomm Inc</v>
      </c>
      <c r="E274" s="30" t="s">
        <v>871</v>
      </c>
      <c r="F274" s="33" t="str">
        <f>IFERROR(__xludf.DUMMYFUNCTION("( (GOOGLEFINANCE(C274, ""price"") - Q274) / Q274 ) / (R274 / 100)"),"Loading...")</f>
        <v>Loading...</v>
      </c>
      <c r="G274" s="20" t="str">
        <f>IFERROR(__xludf.DUMMYFUNCTION("AVERAGE(ARRAYFORMULA(100 * (QUERY(GOOGLEFINANCE(C274, ""high"", TODAY()-40, TODAY()), ""SELECT Col2 WHERE Col2 IS NOT NULL ORDER BY Col1 DESC LIMIT 20"", 0) / QUERY(GOOGLEFINANCE(C274, ""low"", TODAY()-40, TODAY()), ""SELECT Col2 WHERE Col2 IS NOT NULL OR"&amp;"DER BY Col1 DESC LIMIT 20"", 0) - 1)))"),"#N/A")</f>
        <v>#N/A</v>
      </c>
      <c r="H274" s="35" t="str">
        <f t="shared" si="6"/>
        <v/>
      </c>
      <c r="I274" s="36" t="str">
        <f t="shared" si="7"/>
        <v/>
      </c>
      <c r="J274" s="37" t="str">
        <f>IFERROR(__xludf.DUMMYFUNCTION("IFERROR(
  IF(C274="""",, 
    IFERROR(
      GOOGLEFINANCE(C274, ""price"") * GOOGLEFINANCE(C274, ""volumeavg""), 
      GOOGLEFINANCE(C274, ""price"") * AVERAGE(QUERY(GOOGLEFINANCE(C274, ""volume"", TODAY()-40, TODAY()), ""SELECT Col2 WHERE Col2 IS NOT "&amp;"NULL ORDER BY Col1 DESC LIMIT 20"", 0))
    )
  ), 
"""")"),"")</f>
        <v/>
      </c>
      <c r="K274" s="21" t="str">
        <f>IFERROR(__xludf.DUMMYFUNCTION("IFERROR(GOOGLEFINANCE(C274, ""changepct"") / 100, """")"),"")</f>
        <v/>
      </c>
      <c r="L274" s="21" t="str">
        <f>IFERROR(__xludf.DUMMYFUNCTION("IFERROR((GOOGLEFINANCE(C274, ""price"") / INDEX(GOOGLEFINANCE(C274, ""price"", TODAY()-7, TODAY()), 2, 2)) - 1, """")"),"")</f>
        <v/>
      </c>
      <c r="M274" s="21" t="str">
        <f>IFERROR(__xludf.DUMMYFUNCTION("IFERROR((GOOGLEFINANCE(C274, ""price"") / INDEX(GOOGLEFINANCE(C274, ""price"", EDATE(TODAY(), -1), TODAY()), 2, 2)) - 1, """")"),"")</f>
        <v/>
      </c>
      <c r="N274" s="21" t="str">
        <f>IFERROR(__xludf.DUMMYFUNCTION("IFERROR((GOOGLEFINANCE(C274, ""price"") / INDEX(GOOGLEFINANCE(C274, ""price"", EDATE(TODAY(), -3), TODAY()), 2, 2)) - 1, """")"),"")</f>
        <v/>
      </c>
      <c r="O274" s="21" t="str">
        <f>IFERROR(__xludf.DUMMYFUNCTION("IFERROR((GOOGLEFINANCE(C274, ""price"") / INDEX(GOOGLEFINANCE(C274, ""price"", EDATE(TODAY(), -6), TODAY()), 2, 2)) - 1, """")"),"")</f>
        <v/>
      </c>
      <c r="P274" s="21" t="str">
        <f>IFERROR(__xludf.DUMMYFUNCTION("IFERROR((GOOGLEFINANCE(C274, ""price"") / INDEX(GOOGLEFINANCE(C274, ""price"", EDATE(TODAY(), -12), TODAY()), 2, 2)) - 1, """")"),"")</f>
        <v/>
      </c>
      <c r="Q274" s="6" t="str">
        <f>IFERROR(__xludf.DUMMYFUNCTION("AVERAGE(QUERY(GOOGLEFINANCE(C274, ""price"", TODAY()-80, TODAY()), ""SELECT Col2 WHERE Col2 IS NOT NULL ORDER BY Col1 DESC LIMIT 50"", 0))"),"#N/A")</f>
        <v>#N/A</v>
      </c>
      <c r="R274" s="24" t="str">
        <f>IFERROR(__xludf.DUMMYFUNCTION("IFERROR(
  LET(
    data, QUERY(GOOGLEFINANCE(C274,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GOOGLEFINANCE(C274, ""price"")) * 100,
    IF(calc=0, G274, calc)
  ), 
G274)"),"#N/A")</f>
        <v>#N/A</v>
      </c>
      <c r="S274" s="8" t="s">
        <v>15</v>
      </c>
      <c r="T274" s="26" t="str">
        <f>IFERROR(__xludf.DUMMYFUNCTION("IFERROR(TRANSPOSE(QUERY(IFERROR(SORT(GOOGLEFINANCE(C274, ""price"", WORKDAY(TODAY(), -40), TODAY()), 1, FALSE)), ""select Col2 where Col2 is not null limit 22 label Col2 ''"", 0)), """")"),"")</f>
        <v/>
      </c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8"/>
      <c r="AO274" s="28"/>
      <c r="AP274" s="29"/>
      <c r="AQ274" s="29" t="str">
        <f t="shared" ref="AQ274:BL274" si="277">T274/T$2</f>
        <v>#N/A</v>
      </c>
      <c r="AR274" s="29" t="str">
        <f t="shared" si="277"/>
        <v>#DIV/0!</v>
      </c>
      <c r="AS274" s="29" t="str">
        <f t="shared" si="277"/>
        <v>#DIV/0!</v>
      </c>
      <c r="AT274" s="29" t="str">
        <f t="shared" si="277"/>
        <v>#DIV/0!</v>
      </c>
      <c r="AU274" s="29" t="str">
        <f t="shared" si="277"/>
        <v>#DIV/0!</v>
      </c>
      <c r="AV274" s="29" t="str">
        <f t="shared" si="277"/>
        <v>#DIV/0!</v>
      </c>
      <c r="AW274" s="29" t="str">
        <f t="shared" si="277"/>
        <v>#DIV/0!</v>
      </c>
      <c r="AX274" s="29" t="str">
        <f t="shared" si="277"/>
        <v>#DIV/0!</v>
      </c>
      <c r="AY274" s="29" t="str">
        <f t="shared" si="277"/>
        <v>#DIV/0!</v>
      </c>
      <c r="AZ274" s="29" t="str">
        <f t="shared" si="277"/>
        <v>#DIV/0!</v>
      </c>
      <c r="BA274" s="29" t="str">
        <f t="shared" si="277"/>
        <v>#DIV/0!</v>
      </c>
      <c r="BB274" s="29" t="str">
        <f t="shared" si="277"/>
        <v>#DIV/0!</v>
      </c>
      <c r="BC274" s="29" t="str">
        <f t="shared" si="277"/>
        <v>#DIV/0!</v>
      </c>
      <c r="BD274" s="29" t="str">
        <f t="shared" si="277"/>
        <v>#DIV/0!</v>
      </c>
      <c r="BE274" s="29" t="str">
        <f t="shared" si="277"/>
        <v>#DIV/0!</v>
      </c>
      <c r="BF274" s="29" t="str">
        <f t="shared" si="277"/>
        <v>#DIV/0!</v>
      </c>
      <c r="BG274" s="29" t="str">
        <f t="shared" si="277"/>
        <v>#DIV/0!</v>
      </c>
      <c r="BH274" s="29" t="str">
        <f t="shared" si="277"/>
        <v>#DIV/0!</v>
      </c>
      <c r="BI274" s="29" t="str">
        <f t="shared" si="277"/>
        <v>#DIV/0!</v>
      </c>
      <c r="BJ274" s="29" t="str">
        <f t="shared" si="277"/>
        <v>#DIV/0!</v>
      </c>
      <c r="BK274" s="29" t="str">
        <f t="shared" si="277"/>
        <v>#DIV/0!</v>
      </c>
      <c r="BL274" s="29" t="str">
        <f t="shared" si="277"/>
        <v>#DIV/0!</v>
      </c>
      <c r="BM274" s="29" t="str">
        <f t="shared" si="3"/>
        <v>#DIV/0!</v>
      </c>
    </row>
    <row r="275">
      <c r="A275" s="16" t="str">
        <f>IFERROR(__xludf.DUMMYFUNCTION("IFERROR(SPARKLINE(SORT(MAP(TRANSPOSE(AQ275:BL275), LAMBDA(val, IF(ISNUMBER(val), PERCENTRANK(AQ275:BL275, val)+0.01, 0))), SEQUENCE(COLUMNS(AQ275:BL275)), FALSE), {""charttype"",""column""; ""color"",""chartreuse""; ""ymin"", 0; ""ymax"", 1.01; ""highcolo"&amp;"r"", ""darkgreen""; ""lowcolor"", ""red""}), """")"),"")</f>
        <v/>
      </c>
      <c r="B275" s="17" t="str">
        <f t="shared" si="4"/>
        <v/>
      </c>
      <c r="C275" s="1" t="s">
        <v>1217</v>
      </c>
      <c r="D275" s="30" t="str">
        <f>IFERROR(__xludf.DUMMYFUNCTION("IFERROR(GOOGLEFINANCE(C275, ""NAME""))"),"Aeva Technologies Inc")</f>
        <v>Aeva Technologies Inc</v>
      </c>
      <c r="E275" s="30" t="s">
        <v>58</v>
      </c>
      <c r="F275" s="33" t="str">
        <f>IFERROR(__xludf.DUMMYFUNCTION("( (GOOGLEFINANCE(C275, ""price"") - Q275) / Q275 ) / (R275 / 100)"),"Loading...")</f>
        <v>Loading...</v>
      </c>
      <c r="G275" s="20" t="str">
        <f>IFERROR(__xludf.DUMMYFUNCTION("AVERAGE(ARRAYFORMULA(100 * (QUERY(GOOGLEFINANCE(C275, ""high"", TODAY()-40, TODAY()), ""SELECT Col2 WHERE Col2 IS NOT NULL ORDER BY Col1 DESC LIMIT 20"", 0) / QUERY(GOOGLEFINANCE(C275, ""low"", TODAY()-40, TODAY()), ""SELECT Col2 WHERE Col2 IS NOT NULL OR"&amp;"DER BY Col1 DESC LIMIT 20"", 0) - 1)))"),"#N/A")</f>
        <v>#N/A</v>
      </c>
      <c r="H275" s="35" t="str">
        <f t="shared" si="6"/>
        <v/>
      </c>
      <c r="I275" s="36" t="str">
        <f t="shared" si="7"/>
        <v/>
      </c>
      <c r="J275" s="37" t="str">
        <f>IFERROR(__xludf.DUMMYFUNCTION("IFERROR(
  IF(C275="""",, 
    IFERROR(
      GOOGLEFINANCE(C275, ""price"") * GOOGLEFINANCE(C275, ""volumeavg""), 
      GOOGLEFINANCE(C275, ""price"") * AVERAGE(QUERY(GOOGLEFINANCE(C275, ""volume"", TODAY()-40, TODAY()), ""SELECT Col2 WHERE Col2 IS NOT "&amp;"NULL ORDER BY Col1 DESC LIMIT 20"", 0))
    )
  ), 
"""")"),"")</f>
        <v/>
      </c>
      <c r="K275" s="21" t="str">
        <f>IFERROR(__xludf.DUMMYFUNCTION("IFERROR(GOOGLEFINANCE(C275, ""changepct"") / 100, """")"),"")</f>
        <v/>
      </c>
      <c r="L275" s="21" t="str">
        <f>IFERROR(__xludf.DUMMYFUNCTION("IFERROR((GOOGLEFINANCE(C275, ""price"") / INDEX(GOOGLEFINANCE(C275, ""price"", TODAY()-7, TODAY()), 2, 2)) - 1, """")"),"")</f>
        <v/>
      </c>
      <c r="M275" s="21" t="str">
        <f>IFERROR(__xludf.DUMMYFUNCTION("IFERROR((GOOGLEFINANCE(C275, ""price"") / INDEX(GOOGLEFINANCE(C275, ""price"", EDATE(TODAY(), -1), TODAY()), 2, 2)) - 1, """")"),"")</f>
        <v/>
      </c>
      <c r="N275" s="21" t="str">
        <f>IFERROR(__xludf.DUMMYFUNCTION("IFERROR((GOOGLEFINANCE(C275, ""price"") / INDEX(GOOGLEFINANCE(C275, ""price"", EDATE(TODAY(), -3), TODAY()), 2, 2)) - 1, """")"),"")</f>
        <v/>
      </c>
      <c r="O275" s="21" t="str">
        <f>IFERROR(__xludf.DUMMYFUNCTION("IFERROR((GOOGLEFINANCE(C275, ""price"") / INDEX(GOOGLEFINANCE(C275, ""price"", EDATE(TODAY(), -6), TODAY()), 2, 2)) - 1, """")"),"")</f>
        <v/>
      </c>
      <c r="P275" s="21" t="str">
        <f>IFERROR(__xludf.DUMMYFUNCTION("IFERROR((GOOGLEFINANCE(C275, ""price"") / INDEX(GOOGLEFINANCE(C275, ""price"", EDATE(TODAY(), -12), TODAY()), 2, 2)) - 1, """")"),"")</f>
        <v/>
      </c>
      <c r="Q275" s="6" t="str">
        <f>IFERROR(__xludf.DUMMYFUNCTION("AVERAGE(QUERY(GOOGLEFINANCE(C275, ""price"", TODAY()-80, TODAY()), ""SELECT Col2 WHERE Col2 IS NOT NULL ORDER BY Col1 DESC LIMIT 50"", 0))"),"#N/A")</f>
        <v>#N/A</v>
      </c>
      <c r="R275" s="24" t="str">
        <f>IFERROR(__xludf.DUMMYFUNCTION("IFERROR(
  LET(
    data, QUERY(GOOGLEFINANCE(C275,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GOOGLEFINANCE(C275, ""price"")) * 100,
    IF(calc=0, G275, calc)
  ), 
G275)"),"#N/A")</f>
        <v>#N/A</v>
      </c>
      <c r="S275" s="8" t="s">
        <v>15</v>
      </c>
      <c r="T275" s="26" t="str">
        <f>IFERROR(__xludf.DUMMYFUNCTION("IFERROR(TRANSPOSE(QUERY(IFERROR(SORT(GOOGLEFINANCE(C275, ""price"", WORKDAY(TODAY(), -40), TODAY()), 1, FALSE)), ""select Col2 where Col2 is not null limit 22 label Col2 ''"", 0)), """")"),"")</f>
        <v/>
      </c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8"/>
      <c r="AO275" s="28"/>
      <c r="AP275" s="29"/>
      <c r="AQ275" s="29" t="str">
        <f t="shared" ref="AQ275:BL275" si="278">T275/T$2</f>
        <v>#N/A</v>
      </c>
      <c r="AR275" s="29" t="str">
        <f t="shared" si="278"/>
        <v>#DIV/0!</v>
      </c>
      <c r="AS275" s="29" t="str">
        <f t="shared" si="278"/>
        <v>#DIV/0!</v>
      </c>
      <c r="AT275" s="29" t="str">
        <f t="shared" si="278"/>
        <v>#DIV/0!</v>
      </c>
      <c r="AU275" s="29" t="str">
        <f t="shared" si="278"/>
        <v>#DIV/0!</v>
      </c>
      <c r="AV275" s="29" t="str">
        <f t="shared" si="278"/>
        <v>#DIV/0!</v>
      </c>
      <c r="AW275" s="29" t="str">
        <f t="shared" si="278"/>
        <v>#DIV/0!</v>
      </c>
      <c r="AX275" s="29" t="str">
        <f t="shared" si="278"/>
        <v>#DIV/0!</v>
      </c>
      <c r="AY275" s="29" t="str">
        <f t="shared" si="278"/>
        <v>#DIV/0!</v>
      </c>
      <c r="AZ275" s="29" t="str">
        <f t="shared" si="278"/>
        <v>#DIV/0!</v>
      </c>
      <c r="BA275" s="29" t="str">
        <f t="shared" si="278"/>
        <v>#DIV/0!</v>
      </c>
      <c r="BB275" s="29" t="str">
        <f t="shared" si="278"/>
        <v>#DIV/0!</v>
      </c>
      <c r="BC275" s="29" t="str">
        <f t="shared" si="278"/>
        <v>#DIV/0!</v>
      </c>
      <c r="BD275" s="29" t="str">
        <f t="shared" si="278"/>
        <v>#DIV/0!</v>
      </c>
      <c r="BE275" s="29" t="str">
        <f t="shared" si="278"/>
        <v>#DIV/0!</v>
      </c>
      <c r="BF275" s="29" t="str">
        <f t="shared" si="278"/>
        <v>#DIV/0!</v>
      </c>
      <c r="BG275" s="29" t="str">
        <f t="shared" si="278"/>
        <v>#DIV/0!</v>
      </c>
      <c r="BH275" s="29" t="str">
        <f t="shared" si="278"/>
        <v>#DIV/0!</v>
      </c>
      <c r="BI275" s="29" t="str">
        <f t="shared" si="278"/>
        <v>#DIV/0!</v>
      </c>
      <c r="BJ275" s="29" t="str">
        <f t="shared" si="278"/>
        <v>#DIV/0!</v>
      </c>
      <c r="BK275" s="29" t="str">
        <f t="shared" si="278"/>
        <v>#DIV/0!</v>
      </c>
      <c r="BL275" s="29" t="str">
        <f t="shared" si="278"/>
        <v>#DIV/0!</v>
      </c>
      <c r="BM275" s="29" t="str">
        <f t="shared" si="3"/>
        <v>#DIV/0!</v>
      </c>
    </row>
    <row r="276">
      <c r="A276" s="16" t="str">
        <f>IFERROR(__xludf.DUMMYFUNCTION("IFERROR(SPARKLINE(SORT(MAP(TRANSPOSE(AQ276:BL276), LAMBDA(val, IF(ISNUMBER(val), PERCENTRANK(AQ276:BL276, val)+0.01, 0))), SEQUENCE(COLUMNS(AQ276:BL276)), FALSE), {""charttype"",""column""; ""color"",""chartreuse""; ""ymin"", 0; ""ymax"", 1.01; ""highcolo"&amp;"r"", ""darkgreen""; ""lowcolor"", ""red""}), """")"),"")</f>
        <v/>
      </c>
      <c r="B276" s="17" t="str">
        <f t="shared" si="4"/>
        <v/>
      </c>
      <c r="C276" s="1" t="s">
        <v>1221</v>
      </c>
      <c r="D276" s="30" t="str">
        <f>IFERROR(__xludf.DUMMYFUNCTION("IFERROR(GOOGLEFINANCE(C276, ""NAME""))"),"Harmonic Inc")</f>
        <v>Harmonic Inc</v>
      </c>
      <c r="E276" s="30" t="s">
        <v>716</v>
      </c>
      <c r="F276" s="33" t="str">
        <f>IFERROR(__xludf.DUMMYFUNCTION("( (GOOGLEFINANCE(C276, ""price"") - Q276) / Q276 ) / (R276 / 100)"),"Loading...")</f>
        <v>Loading...</v>
      </c>
      <c r="G276" s="20" t="str">
        <f>IFERROR(__xludf.DUMMYFUNCTION("AVERAGE(ARRAYFORMULA(100 * (QUERY(GOOGLEFINANCE(C276, ""high"", TODAY()-40, TODAY()), ""SELECT Col2 WHERE Col2 IS NOT NULL ORDER BY Col1 DESC LIMIT 20"", 0) / QUERY(GOOGLEFINANCE(C276, ""low"", TODAY()-40, TODAY()), ""SELECT Col2 WHERE Col2 IS NOT NULL OR"&amp;"DER BY Col1 DESC LIMIT 20"", 0) - 1)))"),"#N/A")</f>
        <v>#N/A</v>
      </c>
      <c r="H276" s="35" t="str">
        <f t="shared" si="6"/>
        <v/>
      </c>
      <c r="I276" s="36" t="str">
        <f t="shared" si="7"/>
        <v/>
      </c>
      <c r="J276" s="37" t="str">
        <f>IFERROR(__xludf.DUMMYFUNCTION("IFERROR(
  IF(C276="""",, 
    IFERROR(
      GOOGLEFINANCE(C276, ""price"") * GOOGLEFINANCE(C276, ""volumeavg""), 
      GOOGLEFINANCE(C276, ""price"") * AVERAGE(QUERY(GOOGLEFINANCE(C276, ""volume"", TODAY()-40, TODAY()), ""SELECT Col2 WHERE Col2 IS NOT "&amp;"NULL ORDER BY Col1 DESC LIMIT 20"", 0))
    )
  ), 
"""")"),"")</f>
        <v/>
      </c>
      <c r="K276" s="21" t="str">
        <f>IFERROR(__xludf.DUMMYFUNCTION("IFERROR(GOOGLEFINANCE(C276, ""changepct"") / 100, """")"),"")</f>
        <v/>
      </c>
      <c r="L276" s="21" t="str">
        <f>IFERROR(__xludf.DUMMYFUNCTION("IFERROR((GOOGLEFINANCE(C276, ""price"") / INDEX(GOOGLEFINANCE(C276, ""price"", TODAY()-7, TODAY()), 2, 2)) - 1, """")"),"")</f>
        <v/>
      </c>
      <c r="M276" s="21" t="str">
        <f>IFERROR(__xludf.DUMMYFUNCTION("IFERROR((GOOGLEFINANCE(C276, ""price"") / INDEX(GOOGLEFINANCE(C276, ""price"", EDATE(TODAY(), -1), TODAY()), 2, 2)) - 1, """")"),"")</f>
        <v/>
      </c>
      <c r="N276" s="21" t="str">
        <f>IFERROR(__xludf.DUMMYFUNCTION("IFERROR((GOOGLEFINANCE(C276, ""price"") / INDEX(GOOGLEFINANCE(C276, ""price"", EDATE(TODAY(), -3), TODAY()), 2, 2)) - 1, """")"),"")</f>
        <v/>
      </c>
      <c r="O276" s="21" t="str">
        <f>IFERROR(__xludf.DUMMYFUNCTION("IFERROR((GOOGLEFINANCE(C276, ""price"") / INDEX(GOOGLEFINANCE(C276, ""price"", EDATE(TODAY(), -6), TODAY()), 2, 2)) - 1, """")"),"")</f>
        <v/>
      </c>
      <c r="P276" s="21" t="str">
        <f>IFERROR(__xludf.DUMMYFUNCTION("IFERROR((GOOGLEFINANCE(C276, ""price"") / INDEX(GOOGLEFINANCE(C276, ""price"", EDATE(TODAY(), -12), TODAY()), 2, 2)) - 1, """")"),"")</f>
        <v/>
      </c>
      <c r="Q276" s="6" t="str">
        <f>IFERROR(__xludf.DUMMYFUNCTION("AVERAGE(QUERY(GOOGLEFINANCE(C276, ""price"", TODAY()-80, TODAY()), ""SELECT Col2 WHERE Col2 IS NOT NULL ORDER BY Col1 DESC LIMIT 50"", 0))"),"#N/A")</f>
        <v>#N/A</v>
      </c>
      <c r="R276" s="24" t="str">
        <f>IFERROR(__xludf.DUMMYFUNCTION("IFERROR(
  LET(
    data, QUERY(GOOGLEFINANCE(C276,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GOOGLEFINANCE(C276, ""price"")) * 100,
    IF(calc=0, G276, calc)
  ), 
G276)"),"#N/A")</f>
        <v>#N/A</v>
      </c>
      <c r="S276" s="8" t="s">
        <v>15</v>
      </c>
      <c r="T276" s="26" t="str">
        <f>IFERROR(__xludf.DUMMYFUNCTION("IFERROR(TRANSPOSE(QUERY(IFERROR(SORT(GOOGLEFINANCE(C276, ""price"", WORKDAY(TODAY(), -40), TODAY()), 1, FALSE)), ""select Col2 where Col2 is not null limit 22 label Col2 ''"", 0)), """")"),"")</f>
        <v/>
      </c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8"/>
      <c r="AO276" s="28"/>
      <c r="AP276" s="29"/>
      <c r="AQ276" s="29" t="str">
        <f t="shared" ref="AQ276:BL276" si="279">T276/T$2</f>
        <v>#N/A</v>
      </c>
      <c r="AR276" s="29" t="str">
        <f t="shared" si="279"/>
        <v>#DIV/0!</v>
      </c>
      <c r="AS276" s="29" t="str">
        <f t="shared" si="279"/>
        <v>#DIV/0!</v>
      </c>
      <c r="AT276" s="29" t="str">
        <f t="shared" si="279"/>
        <v>#DIV/0!</v>
      </c>
      <c r="AU276" s="29" t="str">
        <f t="shared" si="279"/>
        <v>#DIV/0!</v>
      </c>
      <c r="AV276" s="29" t="str">
        <f t="shared" si="279"/>
        <v>#DIV/0!</v>
      </c>
      <c r="AW276" s="29" t="str">
        <f t="shared" si="279"/>
        <v>#DIV/0!</v>
      </c>
      <c r="AX276" s="29" t="str">
        <f t="shared" si="279"/>
        <v>#DIV/0!</v>
      </c>
      <c r="AY276" s="29" t="str">
        <f t="shared" si="279"/>
        <v>#DIV/0!</v>
      </c>
      <c r="AZ276" s="29" t="str">
        <f t="shared" si="279"/>
        <v>#DIV/0!</v>
      </c>
      <c r="BA276" s="29" t="str">
        <f t="shared" si="279"/>
        <v>#DIV/0!</v>
      </c>
      <c r="BB276" s="29" t="str">
        <f t="shared" si="279"/>
        <v>#DIV/0!</v>
      </c>
      <c r="BC276" s="29" t="str">
        <f t="shared" si="279"/>
        <v>#DIV/0!</v>
      </c>
      <c r="BD276" s="29" t="str">
        <f t="shared" si="279"/>
        <v>#DIV/0!</v>
      </c>
      <c r="BE276" s="29" t="str">
        <f t="shared" si="279"/>
        <v>#DIV/0!</v>
      </c>
      <c r="BF276" s="29" t="str">
        <f t="shared" si="279"/>
        <v>#DIV/0!</v>
      </c>
      <c r="BG276" s="29" t="str">
        <f t="shared" si="279"/>
        <v>#DIV/0!</v>
      </c>
      <c r="BH276" s="29" t="str">
        <f t="shared" si="279"/>
        <v>#DIV/0!</v>
      </c>
      <c r="BI276" s="29" t="str">
        <f t="shared" si="279"/>
        <v>#DIV/0!</v>
      </c>
      <c r="BJ276" s="29" t="str">
        <f t="shared" si="279"/>
        <v>#DIV/0!</v>
      </c>
      <c r="BK276" s="29" t="str">
        <f t="shared" si="279"/>
        <v>#DIV/0!</v>
      </c>
      <c r="BL276" s="29" t="str">
        <f t="shared" si="279"/>
        <v>#DIV/0!</v>
      </c>
      <c r="BM276" s="29" t="str">
        <f t="shared" si="3"/>
        <v>#DIV/0!</v>
      </c>
    </row>
    <row r="277">
      <c r="A277" s="16" t="str">
        <f>IFERROR(__xludf.DUMMYFUNCTION("IFERROR(SPARKLINE(SORT(MAP(TRANSPOSE(AQ277:BL277), LAMBDA(val, IF(ISNUMBER(val), PERCENTRANK(AQ277:BL277, val)+0.01, 0))), SEQUENCE(COLUMNS(AQ277:BL277)), FALSE), {""charttype"",""column""; ""color"",""chartreuse""; ""ymin"", 0; ""ymax"", 1.01; ""highcolo"&amp;"r"", ""darkgreen""; ""lowcolor"", ""red""}), """")"),"")</f>
        <v/>
      </c>
      <c r="B277" s="17" t="str">
        <f t="shared" si="4"/>
        <v/>
      </c>
      <c r="C277" s="1" t="s">
        <v>1225</v>
      </c>
      <c r="D277" s="30" t="str">
        <f>IFERROR(__xludf.DUMMYFUNCTION("IFERROR(GOOGLEFINANCE(C277, ""NAME""))"),"Crowdstrike Holdings Inc")</f>
        <v>Crowdstrike Holdings Inc</v>
      </c>
      <c r="E277" s="30" t="s">
        <v>58</v>
      </c>
      <c r="F277" s="33" t="str">
        <f>IFERROR(__xludf.DUMMYFUNCTION("( (GOOGLEFINANCE(C277, ""price"") - Q277) / Q277 ) / (R277 / 100)"),"Loading...")</f>
        <v>Loading...</v>
      </c>
      <c r="G277" s="20" t="str">
        <f>IFERROR(__xludf.DUMMYFUNCTION("AVERAGE(ARRAYFORMULA(100 * (QUERY(GOOGLEFINANCE(C277, ""high"", TODAY()-40, TODAY()), ""SELECT Col2 WHERE Col2 IS NOT NULL ORDER BY Col1 DESC LIMIT 20"", 0) / QUERY(GOOGLEFINANCE(C277, ""low"", TODAY()-40, TODAY()), ""SELECT Col2 WHERE Col2 IS NOT NULL OR"&amp;"DER BY Col1 DESC LIMIT 20"", 0) - 1)))"),"#N/A")</f>
        <v>#N/A</v>
      </c>
      <c r="H277" s="35" t="str">
        <f t="shared" si="6"/>
        <v/>
      </c>
      <c r="I277" s="36" t="str">
        <f t="shared" si="7"/>
        <v/>
      </c>
      <c r="J277" s="37" t="str">
        <f>IFERROR(__xludf.DUMMYFUNCTION("IFERROR(
  IF(C277="""",, 
    IFERROR(
      GOOGLEFINANCE(C277, ""price"") * GOOGLEFINANCE(C277, ""volumeavg""), 
      GOOGLEFINANCE(C277, ""price"") * AVERAGE(QUERY(GOOGLEFINANCE(C277, ""volume"", TODAY()-40, TODAY()), ""SELECT Col2 WHERE Col2 IS NOT "&amp;"NULL ORDER BY Col1 DESC LIMIT 20"", 0))
    )
  ), 
"""")"),"")</f>
        <v/>
      </c>
      <c r="K277" s="21" t="str">
        <f>IFERROR(__xludf.DUMMYFUNCTION("IFERROR(GOOGLEFINANCE(C277, ""changepct"") / 100, """")"),"")</f>
        <v/>
      </c>
      <c r="L277" s="21" t="str">
        <f>IFERROR(__xludf.DUMMYFUNCTION("IFERROR((GOOGLEFINANCE(C277, ""price"") / INDEX(GOOGLEFINANCE(C277, ""price"", TODAY()-7, TODAY()), 2, 2)) - 1, """")"),"")</f>
        <v/>
      </c>
      <c r="M277" s="21" t="str">
        <f>IFERROR(__xludf.DUMMYFUNCTION("IFERROR((GOOGLEFINANCE(C277, ""price"") / INDEX(GOOGLEFINANCE(C277, ""price"", EDATE(TODAY(), -1), TODAY()), 2, 2)) - 1, """")"),"")</f>
        <v/>
      </c>
      <c r="N277" s="21" t="str">
        <f>IFERROR(__xludf.DUMMYFUNCTION("IFERROR((GOOGLEFINANCE(C277, ""price"") / INDEX(GOOGLEFINANCE(C277, ""price"", EDATE(TODAY(), -3), TODAY()), 2, 2)) - 1, """")"),"")</f>
        <v/>
      </c>
      <c r="O277" s="21" t="str">
        <f>IFERROR(__xludf.DUMMYFUNCTION("IFERROR((GOOGLEFINANCE(C277, ""price"") / INDEX(GOOGLEFINANCE(C277, ""price"", EDATE(TODAY(), -6), TODAY()), 2, 2)) - 1, """")"),"")</f>
        <v/>
      </c>
      <c r="P277" s="21" t="str">
        <f>IFERROR(__xludf.DUMMYFUNCTION("IFERROR((GOOGLEFINANCE(C277, ""price"") / INDEX(GOOGLEFINANCE(C277, ""price"", EDATE(TODAY(), -12), TODAY()), 2, 2)) - 1, """")"),"")</f>
        <v/>
      </c>
      <c r="Q277" s="6" t="str">
        <f>IFERROR(__xludf.DUMMYFUNCTION("AVERAGE(QUERY(GOOGLEFINANCE(C277, ""price"", TODAY()-80, TODAY()), ""SELECT Col2 WHERE Col2 IS NOT NULL ORDER BY Col1 DESC LIMIT 50"", 0))"),"#N/A")</f>
        <v>#N/A</v>
      </c>
      <c r="R277" s="24" t="str">
        <f>IFERROR(__xludf.DUMMYFUNCTION("IFERROR(
  LET(
    data, QUERY(GOOGLEFINANCE(C277,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GOOGLEFINANCE(C277, ""price"")) * 100,
    IF(calc=0, G277, calc)
  ), 
G277)"),"#N/A")</f>
        <v>#N/A</v>
      </c>
      <c r="S277" s="8" t="s">
        <v>15</v>
      </c>
      <c r="T277" s="26" t="str">
        <f>IFERROR(__xludf.DUMMYFUNCTION("IFERROR(TRANSPOSE(QUERY(IFERROR(SORT(GOOGLEFINANCE(C277, ""price"", WORKDAY(TODAY(), -40), TODAY()), 1, FALSE)), ""select Col2 where Col2 is not null limit 22 label Col2 ''"", 0)), """")"),"")</f>
        <v/>
      </c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8"/>
      <c r="AO277" s="28"/>
      <c r="AP277" s="29"/>
      <c r="AQ277" s="29" t="str">
        <f t="shared" ref="AQ277:BL277" si="280">T277/T$2</f>
        <v>#N/A</v>
      </c>
      <c r="AR277" s="29" t="str">
        <f t="shared" si="280"/>
        <v>#DIV/0!</v>
      </c>
      <c r="AS277" s="29" t="str">
        <f t="shared" si="280"/>
        <v>#DIV/0!</v>
      </c>
      <c r="AT277" s="29" t="str">
        <f t="shared" si="280"/>
        <v>#DIV/0!</v>
      </c>
      <c r="AU277" s="29" t="str">
        <f t="shared" si="280"/>
        <v>#DIV/0!</v>
      </c>
      <c r="AV277" s="29" t="str">
        <f t="shared" si="280"/>
        <v>#DIV/0!</v>
      </c>
      <c r="AW277" s="29" t="str">
        <f t="shared" si="280"/>
        <v>#DIV/0!</v>
      </c>
      <c r="AX277" s="29" t="str">
        <f t="shared" si="280"/>
        <v>#DIV/0!</v>
      </c>
      <c r="AY277" s="29" t="str">
        <f t="shared" si="280"/>
        <v>#DIV/0!</v>
      </c>
      <c r="AZ277" s="29" t="str">
        <f t="shared" si="280"/>
        <v>#DIV/0!</v>
      </c>
      <c r="BA277" s="29" t="str">
        <f t="shared" si="280"/>
        <v>#DIV/0!</v>
      </c>
      <c r="BB277" s="29" t="str">
        <f t="shared" si="280"/>
        <v>#DIV/0!</v>
      </c>
      <c r="BC277" s="29" t="str">
        <f t="shared" si="280"/>
        <v>#DIV/0!</v>
      </c>
      <c r="BD277" s="29" t="str">
        <f t="shared" si="280"/>
        <v>#DIV/0!</v>
      </c>
      <c r="BE277" s="29" t="str">
        <f t="shared" si="280"/>
        <v>#DIV/0!</v>
      </c>
      <c r="BF277" s="29" t="str">
        <f t="shared" si="280"/>
        <v>#DIV/0!</v>
      </c>
      <c r="BG277" s="29" t="str">
        <f t="shared" si="280"/>
        <v>#DIV/0!</v>
      </c>
      <c r="BH277" s="29" t="str">
        <f t="shared" si="280"/>
        <v>#DIV/0!</v>
      </c>
      <c r="BI277" s="29" t="str">
        <f t="shared" si="280"/>
        <v>#DIV/0!</v>
      </c>
      <c r="BJ277" s="29" t="str">
        <f t="shared" si="280"/>
        <v>#DIV/0!</v>
      </c>
      <c r="BK277" s="29" t="str">
        <f t="shared" si="280"/>
        <v>#DIV/0!</v>
      </c>
      <c r="BL277" s="29" t="str">
        <f t="shared" si="280"/>
        <v>#DIV/0!</v>
      </c>
      <c r="BM277" s="29" t="str">
        <f t="shared" si="3"/>
        <v>#DIV/0!</v>
      </c>
    </row>
    <row r="278">
      <c r="A278" s="16" t="str">
        <f>IFERROR(__xludf.DUMMYFUNCTION("IFERROR(SPARKLINE(SORT(MAP(TRANSPOSE(AQ278:BL278), LAMBDA(val, IF(ISNUMBER(val), PERCENTRANK(AQ278:BL278, val)+0.01, 0))), SEQUENCE(COLUMNS(AQ278:BL278)), FALSE), {""charttype"",""column""; ""color"",""chartreuse""; ""ymin"", 0; ""ymax"", 1.01; ""highcolo"&amp;"r"", ""darkgreen""; ""lowcolor"", ""red""}), """")"),"")</f>
        <v/>
      </c>
      <c r="B278" s="17" t="str">
        <f t="shared" si="4"/>
        <v/>
      </c>
      <c r="C278" s="1" t="s">
        <v>1229</v>
      </c>
      <c r="D278" s="30" t="str">
        <f>IFERROR(__xludf.DUMMYFUNCTION("IFERROR(GOOGLEFINANCE(C278, ""NAME""))"),"International Money Express Inc")</f>
        <v>International Money Express Inc</v>
      </c>
      <c r="E278" s="30" t="s">
        <v>58</v>
      </c>
      <c r="F278" s="33" t="str">
        <f>IFERROR(__xludf.DUMMYFUNCTION("( (GOOGLEFINANCE(C278, ""price"") - Q278) / Q278 ) / (R278 / 100)"),"Loading...")</f>
        <v>Loading...</v>
      </c>
      <c r="G278" s="20" t="str">
        <f>IFERROR(__xludf.DUMMYFUNCTION("AVERAGE(ARRAYFORMULA(100 * (QUERY(GOOGLEFINANCE(C278, ""high"", TODAY()-40, TODAY()), ""SELECT Col2 WHERE Col2 IS NOT NULL ORDER BY Col1 DESC LIMIT 20"", 0) / QUERY(GOOGLEFINANCE(C278, ""low"", TODAY()-40, TODAY()), ""SELECT Col2 WHERE Col2 IS NOT NULL OR"&amp;"DER BY Col1 DESC LIMIT 20"", 0) - 1)))"),"#N/A")</f>
        <v>#N/A</v>
      </c>
      <c r="H278" s="35" t="str">
        <f t="shared" si="6"/>
        <v/>
      </c>
      <c r="I278" s="36" t="str">
        <f t="shared" si="7"/>
        <v/>
      </c>
      <c r="J278" s="37" t="str">
        <f>IFERROR(__xludf.DUMMYFUNCTION("IFERROR(
  IF(C278="""",, 
    IFERROR(
      GOOGLEFINANCE(C278, ""price"") * GOOGLEFINANCE(C278, ""volumeavg""), 
      GOOGLEFINANCE(C278, ""price"") * AVERAGE(QUERY(GOOGLEFINANCE(C278, ""volume"", TODAY()-40, TODAY()), ""SELECT Col2 WHERE Col2 IS NOT "&amp;"NULL ORDER BY Col1 DESC LIMIT 20"", 0))
    )
  ), 
"""")"),"")</f>
        <v/>
      </c>
      <c r="K278" s="21" t="str">
        <f>IFERROR(__xludf.DUMMYFUNCTION("IFERROR(GOOGLEFINANCE(C278, ""changepct"") / 100, """")"),"")</f>
        <v/>
      </c>
      <c r="L278" s="21" t="str">
        <f>IFERROR(__xludf.DUMMYFUNCTION("IFERROR((GOOGLEFINANCE(C278, ""price"") / INDEX(GOOGLEFINANCE(C278, ""price"", TODAY()-7, TODAY()), 2, 2)) - 1, """")"),"")</f>
        <v/>
      </c>
      <c r="M278" s="21" t="str">
        <f>IFERROR(__xludf.DUMMYFUNCTION("IFERROR((GOOGLEFINANCE(C278, ""price"") / INDEX(GOOGLEFINANCE(C278, ""price"", EDATE(TODAY(), -1), TODAY()), 2, 2)) - 1, """")"),"")</f>
        <v/>
      </c>
      <c r="N278" s="21" t="str">
        <f>IFERROR(__xludf.DUMMYFUNCTION("IFERROR((GOOGLEFINANCE(C278, ""price"") / INDEX(GOOGLEFINANCE(C278, ""price"", EDATE(TODAY(), -3), TODAY()), 2, 2)) - 1, """")"),"")</f>
        <v/>
      </c>
      <c r="O278" s="21" t="str">
        <f>IFERROR(__xludf.DUMMYFUNCTION("IFERROR((GOOGLEFINANCE(C278, ""price"") / INDEX(GOOGLEFINANCE(C278, ""price"", EDATE(TODAY(), -6), TODAY()), 2, 2)) - 1, """")"),"")</f>
        <v/>
      </c>
      <c r="P278" s="21" t="str">
        <f>IFERROR(__xludf.DUMMYFUNCTION("IFERROR((GOOGLEFINANCE(C278, ""price"") / INDEX(GOOGLEFINANCE(C278, ""price"", EDATE(TODAY(), -12), TODAY()), 2, 2)) - 1, """")"),"")</f>
        <v/>
      </c>
      <c r="Q278" s="6" t="str">
        <f>IFERROR(__xludf.DUMMYFUNCTION("AVERAGE(QUERY(GOOGLEFINANCE(C278, ""price"", TODAY()-80, TODAY()), ""SELECT Col2 WHERE Col2 IS NOT NULL ORDER BY Col1 DESC LIMIT 50"", 0))"),"#N/A")</f>
        <v>#N/A</v>
      </c>
      <c r="R278" s="24" t="str">
        <f>IFERROR(__xludf.DUMMYFUNCTION("IFERROR(
  LET(
    data, QUERY(GOOGLEFINANCE(C278,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GOOGLEFINANCE(C278, ""price"")) * 100,
    IF(calc=0, G278, calc)
  ), 
G278)"),"#N/A")</f>
        <v>#N/A</v>
      </c>
      <c r="S278" s="8" t="s">
        <v>15</v>
      </c>
      <c r="T278" s="26" t="str">
        <f>IFERROR(__xludf.DUMMYFUNCTION("IFERROR(TRANSPOSE(QUERY(IFERROR(SORT(GOOGLEFINANCE(C278, ""price"", WORKDAY(TODAY(), -40), TODAY()), 1, FALSE)), ""select Col2 where Col2 is not null limit 22 label Col2 ''"", 0)), """")"),"")</f>
        <v/>
      </c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8"/>
      <c r="AO278" s="28"/>
      <c r="AP278" s="29"/>
      <c r="AQ278" s="29" t="str">
        <f t="shared" ref="AQ278:BL278" si="281">T278/T$2</f>
        <v>#N/A</v>
      </c>
      <c r="AR278" s="29" t="str">
        <f t="shared" si="281"/>
        <v>#DIV/0!</v>
      </c>
      <c r="AS278" s="29" t="str">
        <f t="shared" si="281"/>
        <v>#DIV/0!</v>
      </c>
      <c r="AT278" s="29" t="str">
        <f t="shared" si="281"/>
        <v>#DIV/0!</v>
      </c>
      <c r="AU278" s="29" t="str">
        <f t="shared" si="281"/>
        <v>#DIV/0!</v>
      </c>
      <c r="AV278" s="29" t="str">
        <f t="shared" si="281"/>
        <v>#DIV/0!</v>
      </c>
      <c r="AW278" s="29" t="str">
        <f t="shared" si="281"/>
        <v>#DIV/0!</v>
      </c>
      <c r="AX278" s="29" t="str">
        <f t="shared" si="281"/>
        <v>#DIV/0!</v>
      </c>
      <c r="AY278" s="29" t="str">
        <f t="shared" si="281"/>
        <v>#DIV/0!</v>
      </c>
      <c r="AZ278" s="29" t="str">
        <f t="shared" si="281"/>
        <v>#DIV/0!</v>
      </c>
      <c r="BA278" s="29" t="str">
        <f t="shared" si="281"/>
        <v>#DIV/0!</v>
      </c>
      <c r="BB278" s="29" t="str">
        <f t="shared" si="281"/>
        <v>#DIV/0!</v>
      </c>
      <c r="BC278" s="29" t="str">
        <f t="shared" si="281"/>
        <v>#DIV/0!</v>
      </c>
      <c r="BD278" s="29" t="str">
        <f t="shared" si="281"/>
        <v>#DIV/0!</v>
      </c>
      <c r="BE278" s="29" t="str">
        <f t="shared" si="281"/>
        <v>#DIV/0!</v>
      </c>
      <c r="BF278" s="29" t="str">
        <f t="shared" si="281"/>
        <v>#DIV/0!</v>
      </c>
      <c r="BG278" s="29" t="str">
        <f t="shared" si="281"/>
        <v>#DIV/0!</v>
      </c>
      <c r="BH278" s="29" t="str">
        <f t="shared" si="281"/>
        <v>#DIV/0!</v>
      </c>
      <c r="BI278" s="29" t="str">
        <f t="shared" si="281"/>
        <v>#DIV/0!</v>
      </c>
      <c r="BJ278" s="29" t="str">
        <f t="shared" si="281"/>
        <v>#DIV/0!</v>
      </c>
      <c r="BK278" s="29" t="str">
        <f t="shared" si="281"/>
        <v>#DIV/0!</v>
      </c>
      <c r="BL278" s="29" t="str">
        <f t="shared" si="281"/>
        <v>#DIV/0!</v>
      </c>
      <c r="BM278" s="29" t="str">
        <f t="shared" si="3"/>
        <v>#DIV/0!</v>
      </c>
    </row>
    <row r="279">
      <c r="A279" s="16" t="str">
        <f>IFERROR(__xludf.DUMMYFUNCTION("IFERROR(SPARKLINE(SORT(MAP(TRANSPOSE(AQ279:BL279), LAMBDA(val, IF(ISNUMBER(val), PERCENTRANK(AQ279:BL279, val)+0.01, 0))), SEQUENCE(COLUMNS(AQ279:BL279)), FALSE), {""charttype"",""column""; ""color"",""chartreuse""; ""ymin"", 0; ""ymax"", 1.01; ""highcolo"&amp;"r"", ""darkgreen""; ""lowcolor"", ""red""}), """")"),"")</f>
        <v/>
      </c>
      <c r="B279" s="17" t="str">
        <f t="shared" si="4"/>
        <v/>
      </c>
      <c r="C279" s="1" t="s">
        <v>1232</v>
      </c>
      <c r="D279" s="30" t="str">
        <f>IFERROR(__xludf.DUMMYFUNCTION("IFERROR(GOOGLEFINANCE(C279, ""NAME""))"),"Formula Systems 1985 Ltd")</f>
        <v>Formula Systems 1985 Ltd</v>
      </c>
      <c r="E279" s="30" t="s">
        <v>102</v>
      </c>
      <c r="F279" s="38" t="str">
        <f>IFERROR(__xludf.DUMMYFUNCTION("( (GOOGLEFINANCE(C279, ""price"") - Q279) / Q279 ) / (R279 / 100)"),"Loading...")</f>
        <v>Loading...</v>
      </c>
      <c r="G279" s="20" t="str">
        <f>IFERROR(__xludf.DUMMYFUNCTION("AVERAGE(ARRAYFORMULA(100 * (QUERY(GOOGLEFINANCE(C279, ""high"", TODAY()-40, TODAY()), ""SELECT Col2 WHERE Col2 IS NOT NULL ORDER BY Col1 DESC LIMIT 20"", 0) / QUERY(GOOGLEFINANCE(C279, ""low"", TODAY()-40, TODAY()), ""SELECT Col2 WHERE Col2 IS NOT NULL OR"&amp;"DER BY Col1 DESC LIMIT 20"", 0) - 1)))"),"#N/A")</f>
        <v>#N/A</v>
      </c>
      <c r="H279" s="35" t="str">
        <f t="shared" si="6"/>
        <v/>
      </c>
      <c r="I279" s="36" t="str">
        <f t="shared" si="7"/>
        <v/>
      </c>
      <c r="J279" s="37" t="str">
        <f>IFERROR(__xludf.DUMMYFUNCTION("IFERROR(
  IF(C279="""",, 
    IFERROR(
      GOOGLEFINANCE(C279, ""price"") * GOOGLEFINANCE(C279, ""volumeavg""), 
      GOOGLEFINANCE(C279, ""price"") * AVERAGE(QUERY(GOOGLEFINANCE(C279, ""volume"", TODAY()-40, TODAY()), ""SELECT Col2 WHERE Col2 IS NOT "&amp;"NULL ORDER BY Col1 DESC LIMIT 20"", 0))
    )
  ), 
"""")"),"")</f>
        <v/>
      </c>
      <c r="K279" s="21" t="str">
        <f>IFERROR(__xludf.DUMMYFUNCTION("IFERROR(GOOGLEFINANCE(C279, ""changepct"") / 100, """")"),"")</f>
        <v/>
      </c>
      <c r="L279" s="21" t="str">
        <f>IFERROR(__xludf.DUMMYFUNCTION("IFERROR((GOOGLEFINANCE(C279, ""price"") / INDEX(GOOGLEFINANCE(C279, ""price"", TODAY()-7, TODAY()), 2, 2)) - 1, """")"),"")</f>
        <v/>
      </c>
      <c r="M279" s="21" t="str">
        <f>IFERROR(__xludf.DUMMYFUNCTION("IFERROR((GOOGLEFINANCE(C279, ""price"") / INDEX(GOOGLEFINANCE(C279, ""price"", EDATE(TODAY(), -1), TODAY()), 2, 2)) - 1, """")"),"")</f>
        <v/>
      </c>
      <c r="N279" s="21" t="str">
        <f>IFERROR(__xludf.DUMMYFUNCTION("IFERROR((GOOGLEFINANCE(C279, ""price"") / INDEX(GOOGLEFINANCE(C279, ""price"", EDATE(TODAY(), -3), TODAY()), 2, 2)) - 1, """")"),"")</f>
        <v/>
      </c>
      <c r="O279" s="21" t="str">
        <f>IFERROR(__xludf.DUMMYFUNCTION("IFERROR((GOOGLEFINANCE(C279, ""price"") / INDEX(GOOGLEFINANCE(C279, ""price"", EDATE(TODAY(), -6), TODAY()), 2, 2)) - 1, """")"),"")</f>
        <v/>
      </c>
      <c r="P279" s="21" t="str">
        <f>IFERROR(__xludf.DUMMYFUNCTION("IFERROR((GOOGLEFINANCE(C279, ""price"") / INDEX(GOOGLEFINANCE(C279, ""price"", EDATE(TODAY(), -12), TODAY()), 2, 2)) - 1, """")"),"")</f>
        <v/>
      </c>
      <c r="Q279" s="6" t="str">
        <f>IFERROR(__xludf.DUMMYFUNCTION("AVERAGE(QUERY(GOOGLEFINANCE(C279, ""price"", TODAY()-80, TODAY()), ""SELECT Col2 WHERE Col2 IS NOT NULL ORDER BY Col1 DESC LIMIT 50"", 0))"),"#N/A")</f>
        <v>#N/A</v>
      </c>
      <c r="R279" s="24" t="str">
        <f>IFERROR(__xludf.DUMMYFUNCTION("IFERROR(
  LET(
    data, QUERY(GOOGLEFINANCE(C279,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GOOGLEFINANCE(C279, ""price"")) * 100,
    IF(calc=0, G279, calc)
  ), 
G279)"),"#N/A")</f>
        <v>#N/A</v>
      </c>
      <c r="S279" s="8" t="s">
        <v>15</v>
      </c>
      <c r="T279" s="26" t="str">
        <f>IFERROR(__xludf.DUMMYFUNCTION("IFERROR(TRANSPOSE(QUERY(IFERROR(SORT(GOOGLEFINANCE(C279, ""price"", WORKDAY(TODAY(), -40), TODAY()), 1, FALSE)), ""select Col2 where Col2 is not null limit 22 label Col2 ''"", 0)), """")"),"")</f>
        <v/>
      </c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8"/>
      <c r="AO279" s="28"/>
      <c r="AP279" s="29"/>
      <c r="AQ279" s="29" t="str">
        <f t="shared" ref="AQ279:BL279" si="282">T279/T$2</f>
        <v>#N/A</v>
      </c>
      <c r="AR279" s="29" t="str">
        <f t="shared" si="282"/>
        <v>#DIV/0!</v>
      </c>
      <c r="AS279" s="29" t="str">
        <f t="shared" si="282"/>
        <v>#DIV/0!</v>
      </c>
      <c r="AT279" s="29" t="str">
        <f t="shared" si="282"/>
        <v>#DIV/0!</v>
      </c>
      <c r="AU279" s="29" t="str">
        <f t="shared" si="282"/>
        <v>#DIV/0!</v>
      </c>
      <c r="AV279" s="29" t="str">
        <f t="shared" si="282"/>
        <v>#DIV/0!</v>
      </c>
      <c r="AW279" s="29" t="str">
        <f t="shared" si="282"/>
        <v>#DIV/0!</v>
      </c>
      <c r="AX279" s="29" t="str">
        <f t="shared" si="282"/>
        <v>#DIV/0!</v>
      </c>
      <c r="AY279" s="29" t="str">
        <f t="shared" si="282"/>
        <v>#DIV/0!</v>
      </c>
      <c r="AZ279" s="29" t="str">
        <f t="shared" si="282"/>
        <v>#DIV/0!</v>
      </c>
      <c r="BA279" s="29" t="str">
        <f t="shared" si="282"/>
        <v>#DIV/0!</v>
      </c>
      <c r="BB279" s="29" t="str">
        <f t="shared" si="282"/>
        <v>#DIV/0!</v>
      </c>
      <c r="BC279" s="29" t="str">
        <f t="shared" si="282"/>
        <v>#DIV/0!</v>
      </c>
      <c r="BD279" s="29" t="str">
        <f t="shared" si="282"/>
        <v>#DIV/0!</v>
      </c>
      <c r="BE279" s="29" t="str">
        <f t="shared" si="282"/>
        <v>#DIV/0!</v>
      </c>
      <c r="BF279" s="29" t="str">
        <f t="shared" si="282"/>
        <v>#DIV/0!</v>
      </c>
      <c r="BG279" s="29" t="str">
        <f t="shared" si="282"/>
        <v>#DIV/0!</v>
      </c>
      <c r="BH279" s="29" t="str">
        <f t="shared" si="282"/>
        <v>#DIV/0!</v>
      </c>
      <c r="BI279" s="29" t="str">
        <f t="shared" si="282"/>
        <v>#DIV/0!</v>
      </c>
      <c r="BJ279" s="29" t="str">
        <f t="shared" si="282"/>
        <v>#DIV/0!</v>
      </c>
      <c r="BK279" s="29" t="str">
        <f t="shared" si="282"/>
        <v>#DIV/0!</v>
      </c>
      <c r="BL279" s="29" t="str">
        <f t="shared" si="282"/>
        <v>#DIV/0!</v>
      </c>
      <c r="BM279" s="29" t="str">
        <f t="shared" si="3"/>
        <v>#DIV/0!</v>
      </c>
    </row>
    <row r="280">
      <c r="A280" s="16" t="str">
        <f>IFERROR(__xludf.DUMMYFUNCTION("IFERROR(SPARKLINE(SORT(MAP(TRANSPOSE(AQ280:BL280), LAMBDA(val, IF(ISNUMBER(val), PERCENTRANK(AQ280:BL280, val)+0.01, 0))), SEQUENCE(COLUMNS(AQ280:BL280)), FALSE), {""charttype"",""column""; ""color"",""chartreuse""; ""ymin"", 0; ""ymax"", 1.01; ""highcolo"&amp;"r"", ""darkgreen""; ""lowcolor"", ""red""}), """")"),"")</f>
        <v/>
      </c>
      <c r="B280" s="17" t="str">
        <f t="shared" si="4"/>
        <v/>
      </c>
      <c r="C280" s="1" t="s">
        <v>1236</v>
      </c>
      <c r="D280" s="30" t="str">
        <f>IFERROR(__xludf.DUMMYFUNCTION("IFERROR(GOOGLEFINANCE(C280, ""NAME""))"),"CTS Corp")</f>
        <v>CTS Corp</v>
      </c>
      <c r="E280" s="30" t="s">
        <v>469</v>
      </c>
      <c r="F280" s="33" t="str">
        <f>IFERROR(__xludf.DUMMYFUNCTION("( (GOOGLEFINANCE(C280, ""price"") - Q280) / Q280 ) / (R280 / 100)"),"Loading...")</f>
        <v>Loading...</v>
      </c>
      <c r="G280" s="20" t="str">
        <f>IFERROR(__xludf.DUMMYFUNCTION("AVERAGE(ARRAYFORMULA(100 * (QUERY(GOOGLEFINANCE(C280, ""high"", TODAY()-40, TODAY()), ""SELECT Col2 WHERE Col2 IS NOT NULL ORDER BY Col1 DESC LIMIT 20"", 0) / QUERY(GOOGLEFINANCE(C280, ""low"", TODAY()-40, TODAY()), ""SELECT Col2 WHERE Col2 IS NOT NULL OR"&amp;"DER BY Col1 DESC LIMIT 20"", 0) - 1)))"),"#N/A")</f>
        <v>#N/A</v>
      </c>
      <c r="H280" s="35" t="str">
        <f t="shared" si="6"/>
        <v/>
      </c>
      <c r="I280" s="36" t="str">
        <f t="shared" si="7"/>
        <v/>
      </c>
      <c r="J280" s="37" t="str">
        <f>IFERROR(__xludf.DUMMYFUNCTION("IFERROR(
  IF(C280="""",, 
    IFERROR(
      GOOGLEFINANCE(C280, ""price"") * GOOGLEFINANCE(C280, ""volumeavg""), 
      GOOGLEFINANCE(C280, ""price"") * AVERAGE(QUERY(GOOGLEFINANCE(C280, ""volume"", TODAY()-40, TODAY()), ""SELECT Col2 WHERE Col2 IS NOT "&amp;"NULL ORDER BY Col1 DESC LIMIT 20"", 0))
    )
  ), 
"""")"),"")</f>
        <v/>
      </c>
      <c r="K280" s="21" t="str">
        <f>IFERROR(__xludf.DUMMYFUNCTION("IFERROR(GOOGLEFINANCE(C280, ""changepct"") / 100, """")"),"")</f>
        <v/>
      </c>
      <c r="L280" s="21" t="str">
        <f>IFERROR(__xludf.DUMMYFUNCTION("IFERROR((GOOGLEFINANCE(C280, ""price"") / INDEX(GOOGLEFINANCE(C280, ""price"", TODAY()-7, TODAY()), 2, 2)) - 1, """")"),"")</f>
        <v/>
      </c>
      <c r="M280" s="21" t="str">
        <f>IFERROR(__xludf.DUMMYFUNCTION("IFERROR((GOOGLEFINANCE(C280, ""price"") / INDEX(GOOGLEFINANCE(C280, ""price"", EDATE(TODAY(), -1), TODAY()), 2, 2)) - 1, """")"),"")</f>
        <v/>
      </c>
      <c r="N280" s="21" t="str">
        <f>IFERROR(__xludf.DUMMYFUNCTION("IFERROR((GOOGLEFINANCE(C280, ""price"") / INDEX(GOOGLEFINANCE(C280, ""price"", EDATE(TODAY(), -3), TODAY()), 2, 2)) - 1, """")"),"")</f>
        <v/>
      </c>
      <c r="O280" s="21" t="str">
        <f>IFERROR(__xludf.DUMMYFUNCTION("IFERROR((GOOGLEFINANCE(C280, ""price"") / INDEX(GOOGLEFINANCE(C280, ""price"", EDATE(TODAY(), -6), TODAY()), 2, 2)) - 1, """")"),"")</f>
        <v/>
      </c>
      <c r="P280" s="21" t="str">
        <f>IFERROR(__xludf.DUMMYFUNCTION("IFERROR((GOOGLEFINANCE(C280, ""price"") / INDEX(GOOGLEFINANCE(C280, ""price"", EDATE(TODAY(), -12), TODAY()), 2, 2)) - 1, """")"),"")</f>
        <v/>
      </c>
      <c r="Q280" s="6" t="str">
        <f>IFERROR(__xludf.DUMMYFUNCTION("AVERAGE(QUERY(GOOGLEFINANCE(C280, ""price"", TODAY()-80, TODAY()), ""SELECT Col2 WHERE Col2 IS NOT NULL ORDER BY Col1 DESC LIMIT 50"", 0))"),"#N/A")</f>
        <v>#N/A</v>
      </c>
      <c r="R280" s="24" t="str">
        <f>IFERROR(__xludf.DUMMYFUNCTION("IFERROR(
  LET(
    data, QUERY(GOOGLEFINANCE(C280,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GOOGLEFINANCE(C280, ""price"")) * 100,
    IF(calc=0, G280, calc)
  ), 
G280)"),"#N/A")</f>
        <v>#N/A</v>
      </c>
      <c r="S280" s="8" t="s">
        <v>15</v>
      </c>
      <c r="T280" s="26" t="str">
        <f>IFERROR(__xludf.DUMMYFUNCTION("IFERROR(TRANSPOSE(QUERY(IFERROR(SORT(GOOGLEFINANCE(C280, ""price"", WORKDAY(TODAY(), -40), TODAY()), 1, FALSE)), ""select Col2 where Col2 is not null limit 22 label Col2 ''"", 0)), """")"),"")</f>
        <v/>
      </c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8"/>
      <c r="AO280" s="28"/>
      <c r="AP280" s="29"/>
      <c r="AQ280" s="29" t="str">
        <f t="shared" ref="AQ280:BL280" si="283">T280/T$2</f>
        <v>#N/A</v>
      </c>
      <c r="AR280" s="29" t="str">
        <f t="shared" si="283"/>
        <v>#DIV/0!</v>
      </c>
      <c r="AS280" s="29" t="str">
        <f t="shared" si="283"/>
        <v>#DIV/0!</v>
      </c>
      <c r="AT280" s="29" t="str">
        <f t="shared" si="283"/>
        <v>#DIV/0!</v>
      </c>
      <c r="AU280" s="29" t="str">
        <f t="shared" si="283"/>
        <v>#DIV/0!</v>
      </c>
      <c r="AV280" s="29" t="str">
        <f t="shared" si="283"/>
        <v>#DIV/0!</v>
      </c>
      <c r="AW280" s="29" t="str">
        <f t="shared" si="283"/>
        <v>#DIV/0!</v>
      </c>
      <c r="AX280" s="29" t="str">
        <f t="shared" si="283"/>
        <v>#DIV/0!</v>
      </c>
      <c r="AY280" s="29" t="str">
        <f t="shared" si="283"/>
        <v>#DIV/0!</v>
      </c>
      <c r="AZ280" s="29" t="str">
        <f t="shared" si="283"/>
        <v>#DIV/0!</v>
      </c>
      <c r="BA280" s="29" t="str">
        <f t="shared" si="283"/>
        <v>#DIV/0!</v>
      </c>
      <c r="BB280" s="29" t="str">
        <f t="shared" si="283"/>
        <v>#DIV/0!</v>
      </c>
      <c r="BC280" s="29" t="str">
        <f t="shared" si="283"/>
        <v>#DIV/0!</v>
      </c>
      <c r="BD280" s="29" t="str">
        <f t="shared" si="283"/>
        <v>#DIV/0!</v>
      </c>
      <c r="BE280" s="29" t="str">
        <f t="shared" si="283"/>
        <v>#DIV/0!</v>
      </c>
      <c r="BF280" s="29" t="str">
        <f t="shared" si="283"/>
        <v>#DIV/0!</v>
      </c>
      <c r="BG280" s="29" t="str">
        <f t="shared" si="283"/>
        <v>#DIV/0!</v>
      </c>
      <c r="BH280" s="29" t="str">
        <f t="shared" si="283"/>
        <v>#DIV/0!</v>
      </c>
      <c r="BI280" s="29" t="str">
        <f t="shared" si="283"/>
        <v>#DIV/0!</v>
      </c>
      <c r="BJ280" s="29" t="str">
        <f t="shared" si="283"/>
        <v>#DIV/0!</v>
      </c>
      <c r="BK280" s="29" t="str">
        <f t="shared" si="283"/>
        <v>#DIV/0!</v>
      </c>
      <c r="BL280" s="29" t="str">
        <f t="shared" si="283"/>
        <v>#DIV/0!</v>
      </c>
      <c r="BM280" s="29" t="str">
        <f t="shared" si="3"/>
        <v>#DIV/0!</v>
      </c>
    </row>
    <row r="281">
      <c r="A281" s="16" t="str">
        <f>IFERROR(__xludf.DUMMYFUNCTION("IFERROR(SPARKLINE(SORT(MAP(TRANSPOSE(AQ281:BL281), LAMBDA(val, IF(ISNUMBER(val), PERCENTRANK(AQ281:BL281, val)+0.01, 0))), SEQUENCE(COLUMNS(AQ281:BL281)), FALSE), {""charttype"",""column""; ""color"",""chartreuse""; ""ymin"", 0; ""ymax"", 1.01; ""highcolo"&amp;"r"", ""darkgreen""; ""lowcolor"", ""red""}), """")"),"")</f>
        <v/>
      </c>
      <c r="B281" s="17" t="str">
        <f t="shared" si="4"/>
        <v/>
      </c>
      <c r="C281" s="1" t="s">
        <v>1240</v>
      </c>
      <c r="D281" s="30" t="str">
        <f>IFERROR(__xludf.DUMMYFUNCTION("IFERROR(GOOGLEFINANCE(C281, ""NAME""))"),"Ooma Inc")</f>
        <v>Ooma Inc</v>
      </c>
      <c r="E281" s="30" t="s">
        <v>48</v>
      </c>
      <c r="F281" s="33" t="str">
        <f>IFERROR(__xludf.DUMMYFUNCTION("( (GOOGLEFINANCE(C281, ""price"") - Q281) / Q281 ) / (R281 / 100)"),"Loading...")</f>
        <v>Loading...</v>
      </c>
      <c r="G281" s="20" t="str">
        <f>IFERROR(__xludf.DUMMYFUNCTION("AVERAGE(ARRAYFORMULA(100 * (QUERY(GOOGLEFINANCE(C281, ""high"", TODAY()-40, TODAY()), ""SELECT Col2 WHERE Col2 IS NOT NULL ORDER BY Col1 DESC LIMIT 20"", 0) / QUERY(GOOGLEFINANCE(C281, ""low"", TODAY()-40, TODAY()), ""SELECT Col2 WHERE Col2 IS NOT NULL OR"&amp;"DER BY Col1 DESC LIMIT 20"", 0) - 1)))"),"#N/A")</f>
        <v>#N/A</v>
      </c>
      <c r="H281" s="35" t="str">
        <f t="shared" si="6"/>
        <v/>
      </c>
      <c r="I281" s="36" t="str">
        <f t="shared" si="7"/>
        <v/>
      </c>
      <c r="J281" s="37" t="str">
        <f>IFERROR(__xludf.DUMMYFUNCTION("IFERROR(
  IF(C281="""",, 
    IFERROR(
      GOOGLEFINANCE(C281, ""price"") * GOOGLEFINANCE(C281, ""volumeavg""), 
      GOOGLEFINANCE(C281, ""price"") * AVERAGE(QUERY(GOOGLEFINANCE(C281, ""volume"", TODAY()-40, TODAY()), ""SELECT Col2 WHERE Col2 IS NOT "&amp;"NULL ORDER BY Col1 DESC LIMIT 20"", 0))
    )
  ), 
"""")"),"")</f>
        <v/>
      </c>
      <c r="K281" s="21" t="str">
        <f>IFERROR(__xludf.DUMMYFUNCTION("IFERROR(GOOGLEFINANCE(C281, ""changepct"") / 100, """")"),"")</f>
        <v/>
      </c>
      <c r="L281" s="21" t="str">
        <f>IFERROR(__xludf.DUMMYFUNCTION("IFERROR((GOOGLEFINANCE(C281, ""price"") / INDEX(GOOGLEFINANCE(C281, ""price"", TODAY()-7, TODAY()), 2, 2)) - 1, """")"),"")</f>
        <v/>
      </c>
      <c r="M281" s="21" t="str">
        <f>IFERROR(__xludf.DUMMYFUNCTION("IFERROR((GOOGLEFINANCE(C281, ""price"") / INDEX(GOOGLEFINANCE(C281, ""price"", EDATE(TODAY(), -1), TODAY()), 2, 2)) - 1, """")"),"")</f>
        <v/>
      </c>
      <c r="N281" s="21" t="str">
        <f>IFERROR(__xludf.DUMMYFUNCTION("IFERROR((GOOGLEFINANCE(C281, ""price"") / INDEX(GOOGLEFINANCE(C281, ""price"", EDATE(TODAY(), -3), TODAY()), 2, 2)) - 1, """")"),"")</f>
        <v/>
      </c>
      <c r="O281" s="21" t="str">
        <f>IFERROR(__xludf.DUMMYFUNCTION("IFERROR((GOOGLEFINANCE(C281, ""price"") / INDEX(GOOGLEFINANCE(C281, ""price"", EDATE(TODAY(), -6), TODAY()), 2, 2)) - 1, """")"),"")</f>
        <v/>
      </c>
      <c r="P281" s="21" t="str">
        <f>IFERROR(__xludf.DUMMYFUNCTION("IFERROR((GOOGLEFINANCE(C281, ""price"") / INDEX(GOOGLEFINANCE(C281, ""price"", EDATE(TODAY(), -12), TODAY()), 2, 2)) - 1, """")"),"")</f>
        <v/>
      </c>
      <c r="Q281" s="6" t="str">
        <f>IFERROR(__xludf.DUMMYFUNCTION("AVERAGE(QUERY(GOOGLEFINANCE(C281, ""price"", TODAY()-80, TODAY()), ""SELECT Col2 WHERE Col2 IS NOT NULL ORDER BY Col1 DESC LIMIT 50"", 0))"),"#N/A")</f>
        <v>#N/A</v>
      </c>
      <c r="R281" s="24" t="str">
        <f>IFERROR(__xludf.DUMMYFUNCTION("IFERROR(
  LET(
    data, QUERY(GOOGLEFINANCE(C281,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GOOGLEFINANCE(C281, ""price"")) * 100,
    IF(calc=0, G281, calc)
  ), 
G281)"),"#N/A")</f>
        <v>#N/A</v>
      </c>
      <c r="S281" s="8" t="s">
        <v>15</v>
      </c>
      <c r="T281" s="26" t="str">
        <f>IFERROR(__xludf.DUMMYFUNCTION("IFERROR(TRANSPOSE(QUERY(IFERROR(SORT(GOOGLEFINANCE(C281, ""price"", WORKDAY(TODAY(), -40), TODAY()), 1, FALSE)), ""select Col2 where Col2 is not null limit 22 label Col2 ''"", 0)), """")"),"")</f>
        <v/>
      </c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8"/>
      <c r="AO281" s="28"/>
      <c r="AP281" s="29"/>
      <c r="AQ281" s="29" t="str">
        <f t="shared" ref="AQ281:BL281" si="284">T281/T$2</f>
        <v>#N/A</v>
      </c>
      <c r="AR281" s="29" t="str">
        <f t="shared" si="284"/>
        <v>#DIV/0!</v>
      </c>
      <c r="AS281" s="29" t="str">
        <f t="shared" si="284"/>
        <v>#DIV/0!</v>
      </c>
      <c r="AT281" s="29" t="str">
        <f t="shared" si="284"/>
        <v>#DIV/0!</v>
      </c>
      <c r="AU281" s="29" t="str">
        <f t="shared" si="284"/>
        <v>#DIV/0!</v>
      </c>
      <c r="AV281" s="29" t="str">
        <f t="shared" si="284"/>
        <v>#DIV/0!</v>
      </c>
      <c r="AW281" s="29" t="str">
        <f t="shared" si="284"/>
        <v>#DIV/0!</v>
      </c>
      <c r="AX281" s="29" t="str">
        <f t="shared" si="284"/>
        <v>#DIV/0!</v>
      </c>
      <c r="AY281" s="29" t="str">
        <f t="shared" si="284"/>
        <v>#DIV/0!</v>
      </c>
      <c r="AZ281" s="29" t="str">
        <f t="shared" si="284"/>
        <v>#DIV/0!</v>
      </c>
      <c r="BA281" s="29" t="str">
        <f t="shared" si="284"/>
        <v>#DIV/0!</v>
      </c>
      <c r="BB281" s="29" t="str">
        <f t="shared" si="284"/>
        <v>#DIV/0!</v>
      </c>
      <c r="BC281" s="29" t="str">
        <f t="shared" si="284"/>
        <v>#DIV/0!</v>
      </c>
      <c r="BD281" s="29" t="str">
        <f t="shared" si="284"/>
        <v>#DIV/0!</v>
      </c>
      <c r="BE281" s="29" t="str">
        <f t="shared" si="284"/>
        <v>#DIV/0!</v>
      </c>
      <c r="BF281" s="29" t="str">
        <f t="shared" si="284"/>
        <v>#DIV/0!</v>
      </c>
      <c r="BG281" s="29" t="str">
        <f t="shared" si="284"/>
        <v>#DIV/0!</v>
      </c>
      <c r="BH281" s="29" t="str">
        <f t="shared" si="284"/>
        <v>#DIV/0!</v>
      </c>
      <c r="BI281" s="29" t="str">
        <f t="shared" si="284"/>
        <v>#DIV/0!</v>
      </c>
      <c r="BJ281" s="29" t="str">
        <f t="shared" si="284"/>
        <v>#DIV/0!</v>
      </c>
      <c r="BK281" s="29" t="str">
        <f t="shared" si="284"/>
        <v>#DIV/0!</v>
      </c>
      <c r="BL281" s="29" t="str">
        <f t="shared" si="284"/>
        <v>#DIV/0!</v>
      </c>
      <c r="BM281" s="29" t="str">
        <f t="shared" si="3"/>
        <v>#DIV/0!</v>
      </c>
    </row>
    <row r="282">
      <c r="A282" s="16" t="str">
        <f>IFERROR(__xludf.DUMMYFUNCTION("IFERROR(SPARKLINE(SORT(MAP(TRANSPOSE(AQ282:BL282), LAMBDA(val, IF(ISNUMBER(val), PERCENTRANK(AQ282:BL282, val)+0.01, 0))), SEQUENCE(COLUMNS(AQ282:BL282)), FALSE), {""charttype"",""column""; ""color"",""chartreuse""; ""ymin"", 0; ""ymax"", 1.01; ""highcolo"&amp;"r"", ""darkgreen""; ""lowcolor"", ""red""}), """")"),"")</f>
        <v/>
      </c>
      <c r="B282" s="17" t="str">
        <f t="shared" si="4"/>
        <v/>
      </c>
      <c r="C282" s="1" t="s">
        <v>1243</v>
      </c>
      <c r="D282" s="30" t="str">
        <f>IFERROR(__xludf.DUMMYFUNCTION("IFERROR(GOOGLEFINANCE(C282, ""NAME""))"),"NXP Semiconductors NV")</f>
        <v>NXP Semiconductors NV</v>
      </c>
      <c r="E282" s="30" t="s">
        <v>871</v>
      </c>
      <c r="F282" s="33" t="str">
        <f>IFERROR(__xludf.DUMMYFUNCTION("( (GOOGLEFINANCE(C282, ""price"") - Q282) / Q282 ) / (R282 / 100)"),"Loading...")</f>
        <v>Loading...</v>
      </c>
      <c r="G282" s="20" t="str">
        <f>IFERROR(__xludf.DUMMYFUNCTION("AVERAGE(ARRAYFORMULA(100 * (QUERY(GOOGLEFINANCE(C282, ""high"", TODAY()-40, TODAY()), ""SELECT Col2 WHERE Col2 IS NOT NULL ORDER BY Col1 DESC LIMIT 20"", 0) / QUERY(GOOGLEFINANCE(C282, ""low"", TODAY()-40, TODAY()), ""SELECT Col2 WHERE Col2 IS NOT NULL OR"&amp;"DER BY Col1 DESC LIMIT 20"", 0) - 1)))"),"#N/A")</f>
        <v>#N/A</v>
      </c>
      <c r="H282" s="35" t="str">
        <f t="shared" si="6"/>
        <v/>
      </c>
      <c r="I282" s="36" t="str">
        <f t="shared" si="7"/>
        <v/>
      </c>
      <c r="J282" s="37" t="str">
        <f>IFERROR(__xludf.DUMMYFUNCTION("IFERROR(
  IF(C282="""",, 
    IFERROR(
      GOOGLEFINANCE(C282, ""price"") * GOOGLEFINANCE(C282, ""volumeavg""), 
      GOOGLEFINANCE(C282, ""price"") * AVERAGE(QUERY(GOOGLEFINANCE(C282, ""volume"", TODAY()-40, TODAY()), ""SELECT Col2 WHERE Col2 IS NOT "&amp;"NULL ORDER BY Col1 DESC LIMIT 20"", 0))
    )
  ), 
"""")"),"")</f>
        <v/>
      </c>
      <c r="K282" s="21" t="str">
        <f>IFERROR(__xludf.DUMMYFUNCTION("IFERROR(GOOGLEFINANCE(C282, ""changepct"") / 100, """")"),"")</f>
        <v/>
      </c>
      <c r="L282" s="21" t="str">
        <f>IFERROR(__xludf.DUMMYFUNCTION("IFERROR((GOOGLEFINANCE(C282, ""price"") / INDEX(GOOGLEFINANCE(C282, ""price"", TODAY()-7, TODAY()), 2, 2)) - 1, """")"),"")</f>
        <v/>
      </c>
      <c r="M282" s="21" t="str">
        <f>IFERROR(__xludf.DUMMYFUNCTION("IFERROR((GOOGLEFINANCE(C282, ""price"") / INDEX(GOOGLEFINANCE(C282, ""price"", EDATE(TODAY(), -1), TODAY()), 2, 2)) - 1, """")"),"")</f>
        <v/>
      </c>
      <c r="N282" s="21" t="str">
        <f>IFERROR(__xludf.DUMMYFUNCTION("IFERROR((GOOGLEFINANCE(C282, ""price"") / INDEX(GOOGLEFINANCE(C282, ""price"", EDATE(TODAY(), -3), TODAY()), 2, 2)) - 1, """")"),"")</f>
        <v/>
      </c>
      <c r="O282" s="21" t="str">
        <f>IFERROR(__xludf.DUMMYFUNCTION("IFERROR((GOOGLEFINANCE(C282, ""price"") / INDEX(GOOGLEFINANCE(C282, ""price"", EDATE(TODAY(), -6), TODAY()), 2, 2)) - 1, """")"),"")</f>
        <v/>
      </c>
      <c r="P282" s="21" t="str">
        <f>IFERROR(__xludf.DUMMYFUNCTION("IFERROR((GOOGLEFINANCE(C282, ""price"") / INDEX(GOOGLEFINANCE(C282, ""price"", EDATE(TODAY(), -12), TODAY()), 2, 2)) - 1, """")"),"")</f>
        <v/>
      </c>
      <c r="Q282" s="6" t="str">
        <f>IFERROR(__xludf.DUMMYFUNCTION("AVERAGE(QUERY(GOOGLEFINANCE(C282, ""price"", TODAY()-80, TODAY()), ""SELECT Col2 WHERE Col2 IS NOT NULL ORDER BY Col1 DESC LIMIT 50"", 0))"),"#N/A")</f>
        <v>#N/A</v>
      </c>
      <c r="R282" s="24" t="str">
        <f>IFERROR(__xludf.DUMMYFUNCTION("IFERROR(
  LET(
    data, QUERY(GOOGLEFINANCE(C282,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GOOGLEFINANCE(C282, ""price"")) * 100,
    IF(calc=0, G282, calc)
  ), 
G282)"),"#N/A")</f>
        <v>#N/A</v>
      </c>
      <c r="S282" s="8" t="s">
        <v>15</v>
      </c>
      <c r="T282" s="26" t="str">
        <f>IFERROR(__xludf.DUMMYFUNCTION("IFERROR(TRANSPOSE(QUERY(IFERROR(SORT(GOOGLEFINANCE(C282, ""price"", WORKDAY(TODAY(), -40), TODAY()), 1, FALSE)), ""select Col2 where Col2 is not null limit 22 label Col2 ''"", 0)), """")"),"")</f>
        <v/>
      </c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8"/>
      <c r="AO282" s="28"/>
      <c r="AP282" s="29"/>
      <c r="AQ282" s="29" t="str">
        <f t="shared" ref="AQ282:BL282" si="285">T282/T$2</f>
        <v>#N/A</v>
      </c>
      <c r="AR282" s="29" t="str">
        <f t="shared" si="285"/>
        <v>#DIV/0!</v>
      </c>
      <c r="AS282" s="29" t="str">
        <f t="shared" si="285"/>
        <v>#DIV/0!</v>
      </c>
      <c r="AT282" s="29" t="str">
        <f t="shared" si="285"/>
        <v>#DIV/0!</v>
      </c>
      <c r="AU282" s="29" t="str">
        <f t="shared" si="285"/>
        <v>#DIV/0!</v>
      </c>
      <c r="AV282" s="29" t="str">
        <f t="shared" si="285"/>
        <v>#DIV/0!</v>
      </c>
      <c r="AW282" s="29" t="str">
        <f t="shared" si="285"/>
        <v>#DIV/0!</v>
      </c>
      <c r="AX282" s="29" t="str">
        <f t="shared" si="285"/>
        <v>#DIV/0!</v>
      </c>
      <c r="AY282" s="29" t="str">
        <f t="shared" si="285"/>
        <v>#DIV/0!</v>
      </c>
      <c r="AZ282" s="29" t="str">
        <f t="shared" si="285"/>
        <v>#DIV/0!</v>
      </c>
      <c r="BA282" s="29" t="str">
        <f t="shared" si="285"/>
        <v>#DIV/0!</v>
      </c>
      <c r="BB282" s="29" t="str">
        <f t="shared" si="285"/>
        <v>#DIV/0!</v>
      </c>
      <c r="BC282" s="29" t="str">
        <f t="shared" si="285"/>
        <v>#DIV/0!</v>
      </c>
      <c r="BD282" s="29" t="str">
        <f t="shared" si="285"/>
        <v>#DIV/0!</v>
      </c>
      <c r="BE282" s="29" t="str">
        <f t="shared" si="285"/>
        <v>#DIV/0!</v>
      </c>
      <c r="BF282" s="29" t="str">
        <f t="shared" si="285"/>
        <v>#DIV/0!</v>
      </c>
      <c r="BG282" s="29" t="str">
        <f t="shared" si="285"/>
        <v>#DIV/0!</v>
      </c>
      <c r="BH282" s="29" t="str">
        <f t="shared" si="285"/>
        <v>#DIV/0!</v>
      </c>
      <c r="BI282" s="29" t="str">
        <f t="shared" si="285"/>
        <v>#DIV/0!</v>
      </c>
      <c r="BJ282" s="29" t="str">
        <f t="shared" si="285"/>
        <v>#DIV/0!</v>
      </c>
      <c r="BK282" s="29" t="str">
        <f t="shared" si="285"/>
        <v>#DIV/0!</v>
      </c>
      <c r="BL282" s="29" t="str">
        <f t="shared" si="285"/>
        <v>#DIV/0!</v>
      </c>
      <c r="BM282" s="29" t="str">
        <f t="shared" si="3"/>
        <v>#DIV/0!</v>
      </c>
    </row>
    <row r="283">
      <c r="A283" s="16" t="str">
        <f>IFERROR(__xludf.DUMMYFUNCTION("IFERROR(SPARKLINE(SORT(MAP(TRANSPOSE(AQ283:BL283), LAMBDA(val, IF(ISNUMBER(val), PERCENTRANK(AQ283:BL283, val)+0.01, 0))), SEQUENCE(COLUMNS(AQ283:BL283)), FALSE), {""charttype"",""column""; ""color"",""chartreuse""; ""ymin"", 0; ""ymax"", 1.01; ""highcolo"&amp;"r"", ""darkgreen""; ""lowcolor"", ""red""}), """")"),"")</f>
        <v/>
      </c>
      <c r="B283" s="17" t="str">
        <f t="shared" si="4"/>
        <v/>
      </c>
      <c r="C283" s="1" t="s">
        <v>1246</v>
      </c>
      <c r="D283" s="30" t="str">
        <f>IFERROR(__xludf.DUMMYFUNCTION("IFERROR(GOOGLEFINANCE(C283, ""NAME""))"),"Flywire Corp")</f>
        <v>Flywire Corp</v>
      </c>
      <c r="E283" s="30" t="s">
        <v>58</v>
      </c>
      <c r="F283" s="33" t="str">
        <f>IFERROR(__xludf.DUMMYFUNCTION("( (GOOGLEFINANCE(C283, ""price"") - Q283) / Q283 ) / (R283 / 100)"),"Loading...")</f>
        <v>Loading...</v>
      </c>
      <c r="G283" s="20" t="str">
        <f>IFERROR(__xludf.DUMMYFUNCTION("AVERAGE(ARRAYFORMULA(100 * (QUERY(GOOGLEFINANCE(C283, ""high"", TODAY()-40, TODAY()), ""SELECT Col2 WHERE Col2 IS NOT NULL ORDER BY Col1 DESC LIMIT 20"", 0) / QUERY(GOOGLEFINANCE(C283, ""low"", TODAY()-40, TODAY()), ""SELECT Col2 WHERE Col2 IS NOT NULL OR"&amp;"DER BY Col1 DESC LIMIT 20"", 0) - 1)))"),"#N/A")</f>
        <v>#N/A</v>
      </c>
      <c r="H283" s="35" t="str">
        <f t="shared" si="6"/>
        <v/>
      </c>
      <c r="I283" s="36" t="str">
        <f t="shared" si="7"/>
        <v/>
      </c>
      <c r="J283" s="37" t="str">
        <f>IFERROR(__xludf.DUMMYFUNCTION("IFERROR(
  IF(C283="""",, 
    IFERROR(
      GOOGLEFINANCE(C283, ""price"") * GOOGLEFINANCE(C283, ""volumeavg""), 
      GOOGLEFINANCE(C283, ""price"") * AVERAGE(QUERY(GOOGLEFINANCE(C283, ""volume"", TODAY()-40, TODAY()), ""SELECT Col2 WHERE Col2 IS NOT "&amp;"NULL ORDER BY Col1 DESC LIMIT 20"", 0))
    )
  ), 
"""")"),"")</f>
        <v/>
      </c>
      <c r="K283" s="21" t="str">
        <f>IFERROR(__xludf.DUMMYFUNCTION("IFERROR(GOOGLEFINANCE(C283, ""changepct"") / 100, """")"),"")</f>
        <v/>
      </c>
      <c r="L283" s="21" t="str">
        <f>IFERROR(__xludf.DUMMYFUNCTION("IFERROR((GOOGLEFINANCE(C283, ""price"") / INDEX(GOOGLEFINANCE(C283, ""price"", TODAY()-7, TODAY()), 2, 2)) - 1, """")"),"")</f>
        <v/>
      </c>
      <c r="M283" s="21" t="str">
        <f>IFERROR(__xludf.DUMMYFUNCTION("IFERROR((GOOGLEFINANCE(C283, ""price"") / INDEX(GOOGLEFINANCE(C283, ""price"", EDATE(TODAY(), -1), TODAY()), 2, 2)) - 1, """")"),"")</f>
        <v/>
      </c>
      <c r="N283" s="21" t="str">
        <f>IFERROR(__xludf.DUMMYFUNCTION("IFERROR((GOOGLEFINANCE(C283, ""price"") / INDEX(GOOGLEFINANCE(C283, ""price"", EDATE(TODAY(), -3), TODAY()), 2, 2)) - 1, """")"),"")</f>
        <v/>
      </c>
      <c r="O283" s="21" t="str">
        <f>IFERROR(__xludf.DUMMYFUNCTION("IFERROR((GOOGLEFINANCE(C283, ""price"") / INDEX(GOOGLEFINANCE(C283, ""price"", EDATE(TODAY(), -6), TODAY()), 2, 2)) - 1, """")"),"")</f>
        <v/>
      </c>
      <c r="P283" s="21" t="str">
        <f>IFERROR(__xludf.DUMMYFUNCTION("IFERROR((GOOGLEFINANCE(C283, ""price"") / INDEX(GOOGLEFINANCE(C283, ""price"", EDATE(TODAY(), -12), TODAY()), 2, 2)) - 1, """")"),"")</f>
        <v/>
      </c>
      <c r="Q283" s="6" t="str">
        <f>IFERROR(__xludf.DUMMYFUNCTION("AVERAGE(QUERY(GOOGLEFINANCE(C283, ""price"", TODAY()-80, TODAY()), ""SELECT Col2 WHERE Col2 IS NOT NULL ORDER BY Col1 DESC LIMIT 50"", 0))"),"#N/A")</f>
        <v>#N/A</v>
      </c>
      <c r="R283" s="24" t="str">
        <f>IFERROR(__xludf.DUMMYFUNCTION("IFERROR(
  LET(
    data, QUERY(GOOGLEFINANCE(C283,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GOOGLEFINANCE(C283, ""price"")) * 100,
    IF(calc=0, G283, calc)
  ), 
G283)"),"#N/A")</f>
        <v>#N/A</v>
      </c>
      <c r="S283" s="8" t="s">
        <v>15</v>
      </c>
      <c r="T283" s="26" t="str">
        <f>IFERROR(__xludf.DUMMYFUNCTION("IFERROR(TRANSPOSE(QUERY(IFERROR(SORT(GOOGLEFINANCE(C283, ""price"", WORKDAY(TODAY(), -40), TODAY()), 1, FALSE)), ""select Col2 where Col2 is not null limit 22 label Col2 ''"", 0)), """")"),"")</f>
        <v/>
      </c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8"/>
      <c r="AO283" s="28"/>
      <c r="AP283" s="29"/>
      <c r="AQ283" s="29" t="str">
        <f t="shared" ref="AQ283:BL283" si="286">T283/T$2</f>
        <v>#N/A</v>
      </c>
      <c r="AR283" s="29" t="str">
        <f t="shared" si="286"/>
        <v>#DIV/0!</v>
      </c>
      <c r="AS283" s="29" t="str">
        <f t="shared" si="286"/>
        <v>#DIV/0!</v>
      </c>
      <c r="AT283" s="29" t="str">
        <f t="shared" si="286"/>
        <v>#DIV/0!</v>
      </c>
      <c r="AU283" s="29" t="str">
        <f t="shared" si="286"/>
        <v>#DIV/0!</v>
      </c>
      <c r="AV283" s="29" t="str">
        <f t="shared" si="286"/>
        <v>#DIV/0!</v>
      </c>
      <c r="AW283" s="29" t="str">
        <f t="shared" si="286"/>
        <v>#DIV/0!</v>
      </c>
      <c r="AX283" s="29" t="str">
        <f t="shared" si="286"/>
        <v>#DIV/0!</v>
      </c>
      <c r="AY283" s="29" t="str">
        <f t="shared" si="286"/>
        <v>#DIV/0!</v>
      </c>
      <c r="AZ283" s="29" t="str">
        <f t="shared" si="286"/>
        <v>#DIV/0!</v>
      </c>
      <c r="BA283" s="29" t="str">
        <f t="shared" si="286"/>
        <v>#DIV/0!</v>
      </c>
      <c r="BB283" s="29" t="str">
        <f t="shared" si="286"/>
        <v>#DIV/0!</v>
      </c>
      <c r="BC283" s="29" t="str">
        <f t="shared" si="286"/>
        <v>#DIV/0!</v>
      </c>
      <c r="BD283" s="29" t="str">
        <f t="shared" si="286"/>
        <v>#DIV/0!</v>
      </c>
      <c r="BE283" s="29" t="str">
        <f t="shared" si="286"/>
        <v>#DIV/0!</v>
      </c>
      <c r="BF283" s="29" t="str">
        <f t="shared" si="286"/>
        <v>#DIV/0!</v>
      </c>
      <c r="BG283" s="29" t="str">
        <f t="shared" si="286"/>
        <v>#DIV/0!</v>
      </c>
      <c r="BH283" s="29" t="str">
        <f t="shared" si="286"/>
        <v>#DIV/0!</v>
      </c>
      <c r="BI283" s="29" t="str">
        <f t="shared" si="286"/>
        <v>#DIV/0!</v>
      </c>
      <c r="BJ283" s="29" t="str">
        <f t="shared" si="286"/>
        <v>#DIV/0!</v>
      </c>
      <c r="BK283" s="29" t="str">
        <f t="shared" si="286"/>
        <v>#DIV/0!</v>
      </c>
      <c r="BL283" s="29" t="str">
        <f t="shared" si="286"/>
        <v>#DIV/0!</v>
      </c>
      <c r="BM283" s="29" t="str">
        <f t="shared" si="3"/>
        <v>#DIV/0!</v>
      </c>
    </row>
    <row r="284">
      <c r="A284" s="16" t="str">
        <f>IFERROR(__xludf.DUMMYFUNCTION("IFERROR(SPARKLINE(SORT(MAP(TRANSPOSE(AQ284:BL284), LAMBDA(val, IF(ISNUMBER(val), PERCENTRANK(AQ284:BL284, val)+0.01, 0))), SEQUENCE(COLUMNS(AQ284:BL284)), FALSE), {""charttype"",""column""; ""color"",""chartreuse""; ""ymin"", 0; ""ymax"", 1.01; ""highcolo"&amp;"r"", ""darkgreen""; ""lowcolor"", ""red""}), """")"),"")</f>
        <v/>
      </c>
      <c r="B284" s="17" t="str">
        <f t="shared" si="4"/>
        <v/>
      </c>
      <c r="C284" s="1" t="s">
        <v>1250</v>
      </c>
      <c r="D284" s="34" t="str">
        <f>IFERROR(__xludf.DUMMYFUNCTION("IFERROR(GOOGLEFINANCE(C284, ""NAME""))"),"Figure Technology Solutions Inc Class A")</f>
        <v>Figure Technology Solutions Inc Class A</v>
      </c>
      <c r="E284" s="30" t="s">
        <v>1251</v>
      </c>
      <c r="F284" s="33" t="str">
        <f>IFERROR(__xludf.DUMMYFUNCTION("( (GOOGLEFINANCE(C284, ""price"") - Q284) / Q284 ) / (R284 / 100)"),"Loading...")</f>
        <v>Loading...</v>
      </c>
      <c r="G284" s="20" t="str">
        <f>IFERROR(__xludf.DUMMYFUNCTION("AVERAGE(ARRAYFORMULA(100 * (QUERY(GOOGLEFINANCE(C284, ""high"", TODAY()-40, TODAY()), ""SELECT Col2 WHERE Col2 IS NOT NULL ORDER BY Col1 DESC LIMIT 20"", 0) / QUERY(GOOGLEFINANCE(C284, ""low"", TODAY()-40, TODAY()), ""SELECT Col2 WHERE Col2 IS NOT NULL OR"&amp;"DER BY Col1 DESC LIMIT 20"", 0) - 1)))"),"#N/A")</f>
        <v>#N/A</v>
      </c>
      <c r="H284" s="35" t="str">
        <f t="shared" si="6"/>
        <v/>
      </c>
      <c r="I284" s="36" t="str">
        <f t="shared" si="7"/>
        <v/>
      </c>
      <c r="J284" s="37" t="str">
        <f>IFERROR(__xludf.DUMMYFUNCTION("IFERROR(
  IF(C284="""",, 
    IFERROR(
      GOOGLEFINANCE(C284, ""price"") * GOOGLEFINANCE(C284, ""volumeavg""), 
      GOOGLEFINANCE(C284, ""price"") * AVERAGE(QUERY(GOOGLEFINANCE(C284, ""volume"", TODAY()-40, TODAY()), ""SELECT Col2 WHERE Col2 IS NOT "&amp;"NULL ORDER BY Col1 DESC LIMIT 20"", 0))
    )
  ), 
"""")"),"")</f>
        <v/>
      </c>
      <c r="K284" s="21" t="str">
        <f>IFERROR(__xludf.DUMMYFUNCTION("IFERROR(GOOGLEFINANCE(C284, ""changepct"") / 100, """")"),"")</f>
        <v/>
      </c>
      <c r="L284" s="21" t="str">
        <f>IFERROR(__xludf.DUMMYFUNCTION("IFERROR((GOOGLEFINANCE(C284, ""price"") / INDEX(GOOGLEFINANCE(C284, ""price"", TODAY()-7, TODAY()), 2, 2)) - 1, """")"),"")</f>
        <v/>
      </c>
      <c r="M284" s="21" t="str">
        <f>IFERROR(__xludf.DUMMYFUNCTION("IFERROR((GOOGLEFINANCE(C284, ""price"") / INDEX(GOOGLEFINANCE(C284, ""price"", EDATE(TODAY(), -1), TODAY()), 2, 2)) - 1, """")"),"")</f>
        <v/>
      </c>
      <c r="N284" s="21" t="str">
        <f>IFERROR(__xludf.DUMMYFUNCTION("IFERROR((GOOGLEFINANCE(C284, ""price"") / INDEX(GOOGLEFINANCE(C284, ""price"", EDATE(TODAY(), -3), TODAY()), 2, 2)) - 1, """")"),"")</f>
        <v/>
      </c>
      <c r="O284" s="21" t="str">
        <f>IFERROR(__xludf.DUMMYFUNCTION("IFERROR((GOOGLEFINANCE(C284, ""price"") / INDEX(GOOGLEFINANCE(C284, ""price"", EDATE(TODAY(), -6), TODAY()), 2, 2)) - 1, """")"),"")</f>
        <v/>
      </c>
      <c r="P284" s="21" t="str">
        <f>IFERROR(__xludf.DUMMYFUNCTION("IFERROR((GOOGLEFINANCE(C284, ""price"") / INDEX(GOOGLEFINANCE(C284, ""price"", EDATE(TODAY(), -12), TODAY()), 2, 2)) - 1, """")"),"")</f>
        <v/>
      </c>
      <c r="Q284" s="6" t="str">
        <f>IFERROR(__xludf.DUMMYFUNCTION("AVERAGE(QUERY(GOOGLEFINANCE(C284, ""price"", TODAY()-80, TODAY()), ""SELECT Col2 WHERE Col2 IS NOT NULL ORDER BY Col1 DESC LIMIT 50"", 0))"),"#N/A")</f>
        <v>#N/A</v>
      </c>
      <c r="R284" s="24" t="str">
        <f>IFERROR(__xludf.DUMMYFUNCTION("IFERROR(
  LET(
    data, QUERY(GOOGLEFINANCE(C284,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GOOGLEFINANCE(C284, ""price"")) * 100,
    IF(calc=0, G284, calc)
  ), 
G284)"),"#N/A")</f>
        <v>#N/A</v>
      </c>
      <c r="S284" s="8" t="s">
        <v>15</v>
      </c>
      <c r="T284" s="26" t="str">
        <f>IFERROR(__xludf.DUMMYFUNCTION("IFERROR(TRANSPOSE(QUERY(IFERROR(SORT(GOOGLEFINANCE(C284, ""price"", WORKDAY(TODAY(), -40), TODAY()), 1, FALSE)), ""select Col2 where Col2 is not null limit 22 label Col2 ''"", 0)), """")"),"")</f>
        <v/>
      </c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8"/>
      <c r="AO284" s="28"/>
      <c r="AP284" s="29"/>
      <c r="AQ284" s="29" t="str">
        <f t="shared" ref="AQ284:BL284" si="287">T284/T$2</f>
        <v>#N/A</v>
      </c>
      <c r="AR284" s="29" t="str">
        <f t="shared" si="287"/>
        <v>#DIV/0!</v>
      </c>
      <c r="AS284" s="29" t="str">
        <f t="shared" si="287"/>
        <v>#DIV/0!</v>
      </c>
      <c r="AT284" s="29" t="str">
        <f t="shared" si="287"/>
        <v>#DIV/0!</v>
      </c>
      <c r="AU284" s="29" t="str">
        <f t="shared" si="287"/>
        <v>#DIV/0!</v>
      </c>
      <c r="AV284" s="29" t="str">
        <f t="shared" si="287"/>
        <v>#DIV/0!</v>
      </c>
      <c r="AW284" s="29" t="str">
        <f t="shared" si="287"/>
        <v>#DIV/0!</v>
      </c>
      <c r="AX284" s="29" t="str">
        <f t="shared" si="287"/>
        <v>#DIV/0!</v>
      </c>
      <c r="AY284" s="29" t="str">
        <f t="shared" si="287"/>
        <v>#DIV/0!</v>
      </c>
      <c r="AZ284" s="29" t="str">
        <f t="shared" si="287"/>
        <v>#DIV/0!</v>
      </c>
      <c r="BA284" s="29" t="str">
        <f t="shared" si="287"/>
        <v>#DIV/0!</v>
      </c>
      <c r="BB284" s="29" t="str">
        <f t="shared" si="287"/>
        <v>#DIV/0!</v>
      </c>
      <c r="BC284" s="29" t="str">
        <f t="shared" si="287"/>
        <v>#DIV/0!</v>
      </c>
      <c r="BD284" s="29" t="str">
        <f t="shared" si="287"/>
        <v>#DIV/0!</v>
      </c>
      <c r="BE284" s="29" t="str">
        <f t="shared" si="287"/>
        <v>#DIV/0!</v>
      </c>
      <c r="BF284" s="29" t="str">
        <f t="shared" si="287"/>
        <v>#DIV/0!</v>
      </c>
      <c r="BG284" s="29" t="str">
        <f t="shared" si="287"/>
        <v>#DIV/0!</v>
      </c>
      <c r="BH284" s="29" t="str">
        <f t="shared" si="287"/>
        <v>#DIV/0!</v>
      </c>
      <c r="BI284" s="29" t="str">
        <f t="shared" si="287"/>
        <v>#DIV/0!</v>
      </c>
      <c r="BJ284" s="29" t="str">
        <f t="shared" si="287"/>
        <v>#DIV/0!</v>
      </c>
      <c r="BK284" s="29" t="str">
        <f t="shared" si="287"/>
        <v>#DIV/0!</v>
      </c>
      <c r="BL284" s="29" t="str">
        <f t="shared" si="287"/>
        <v>#DIV/0!</v>
      </c>
      <c r="BM284" s="29" t="str">
        <f t="shared" si="3"/>
        <v>#DIV/0!</v>
      </c>
    </row>
    <row r="285">
      <c r="A285" s="16" t="str">
        <f>IFERROR(__xludf.DUMMYFUNCTION("IFERROR(SPARKLINE(SORT(MAP(TRANSPOSE(AQ285:BL285), LAMBDA(val, IF(ISNUMBER(val), PERCENTRANK(AQ285:BL285, val)+0.01, 0))), SEQUENCE(COLUMNS(AQ285:BL285)), FALSE), {""charttype"",""column""; ""color"",""chartreuse""; ""ymin"", 0; ""ymax"", 1.01; ""highcolo"&amp;"r"", ""darkgreen""; ""lowcolor"", ""red""}), """")"),"")</f>
        <v/>
      </c>
      <c r="B285" s="17" t="str">
        <f t="shared" si="4"/>
        <v/>
      </c>
      <c r="C285" s="1" t="s">
        <v>1255</v>
      </c>
      <c r="D285" s="30" t="str">
        <f>IFERROR(__xludf.DUMMYFUNCTION("IFERROR(GOOGLEFINANCE(C285, ""NAME""))"),"Power Integrations Inc")</f>
        <v>Power Integrations Inc</v>
      </c>
      <c r="E285" s="30" t="s">
        <v>871</v>
      </c>
      <c r="F285" s="33" t="str">
        <f>IFERROR(__xludf.DUMMYFUNCTION("( (GOOGLEFINANCE(C285, ""price"") - Q285) / Q285 ) / (R285 / 100)"),"Loading...")</f>
        <v>Loading...</v>
      </c>
      <c r="G285" s="20" t="str">
        <f>IFERROR(__xludf.DUMMYFUNCTION("AVERAGE(ARRAYFORMULA(100 * (QUERY(GOOGLEFINANCE(C285, ""high"", TODAY()-40, TODAY()), ""SELECT Col2 WHERE Col2 IS NOT NULL ORDER BY Col1 DESC LIMIT 20"", 0) / QUERY(GOOGLEFINANCE(C285, ""low"", TODAY()-40, TODAY()), ""SELECT Col2 WHERE Col2 IS NOT NULL OR"&amp;"DER BY Col1 DESC LIMIT 20"", 0) - 1)))"),"#N/A")</f>
        <v>#N/A</v>
      </c>
      <c r="H285" s="35" t="str">
        <f t="shared" si="6"/>
        <v/>
      </c>
      <c r="I285" s="36" t="str">
        <f t="shared" si="7"/>
        <v/>
      </c>
      <c r="J285" s="37" t="str">
        <f>IFERROR(__xludf.DUMMYFUNCTION("IFERROR(
  IF(C285="""",, 
    IFERROR(
      GOOGLEFINANCE(C285, ""price"") * GOOGLEFINANCE(C285, ""volumeavg""), 
      GOOGLEFINANCE(C285, ""price"") * AVERAGE(QUERY(GOOGLEFINANCE(C285, ""volume"", TODAY()-40, TODAY()), ""SELECT Col2 WHERE Col2 IS NOT "&amp;"NULL ORDER BY Col1 DESC LIMIT 20"", 0))
    )
  ), 
"""")"),"")</f>
        <v/>
      </c>
      <c r="K285" s="21" t="str">
        <f>IFERROR(__xludf.DUMMYFUNCTION("IFERROR(GOOGLEFINANCE(C285, ""changepct"") / 100, """")"),"")</f>
        <v/>
      </c>
      <c r="L285" s="21" t="str">
        <f>IFERROR(__xludf.DUMMYFUNCTION("IFERROR((GOOGLEFINANCE(C285, ""price"") / INDEX(GOOGLEFINANCE(C285, ""price"", TODAY()-7, TODAY()), 2, 2)) - 1, """")"),"")</f>
        <v/>
      </c>
      <c r="M285" s="21" t="str">
        <f>IFERROR(__xludf.DUMMYFUNCTION("IFERROR((GOOGLEFINANCE(C285, ""price"") / INDEX(GOOGLEFINANCE(C285, ""price"", EDATE(TODAY(), -1), TODAY()), 2, 2)) - 1, """")"),"")</f>
        <v/>
      </c>
      <c r="N285" s="21" t="str">
        <f>IFERROR(__xludf.DUMMYFUNCTION("IFERROR((GOOGLEFINANCE(C285, ""price"") / INDEX(GOOGLEFINANCE(C285, ""price"", EDATE(TODAY(), -3), TODAY()), 2, 2)) - 1, """")"),"")</f>
        <v/>
      </c>
      <c r="O285" s="21" t="str">
        <f>IFERROR(__xludf.DUMMYFUNCTION("IFERROR((GOOGLEFINANCE(C285, ""price"") / INDEX(GOOGLEFINANCE(C285, ""price"", EDATE(TODAY(), -6), TODAY()), 2, 2)) - 1, """")"),"")</f>
        <v/>
      </c>
      <c r="P285" s="21" t="str">
        <f>IFERROR(__xludf.DUMMYFUNCTION("IFERROR((GOOGLEFINANCE(C285, ""price"") / INDEX(GOOGLEFINANCE(C285, ""price"", EDATE(TODAY(), -12), TODAY()), 2, 2)) - 1, """")"),"")</f>
        <v/>
      </c>
      <c r="Q285" s="6" t="str">
        <f>IFERROR(__xludf.DUMMYFUNCTION("AVERAGE(QUERY(GOOGLEFINANCE(C285, ""price"", TODAY()-80, TODAY()), ""SELECT Col2 WHERE Col2 IS NOT NULL ORDER BY Col1 DESC LIMIT 50"", 0))"),"#N/A")</f>
        <v>#N/A</v>
      </c>
      <c r="R285" s="24" t="str">
        <f>IFERROR(__xludf.DUMMYFUNCTION("IFERROR(
  LET(
    data, QUERY(GOOGLEFINANCE(C285,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GOOGLEFINANCE(C285, ""price"")) * 100,
    IF(calc=0, G285, calc)
  ), 
G285)"),"#N/A")</f>
        <v>#N/A</v>
      </c>
      <c r="S285" s="8" t="s">
        <v>15</v>
      </c>
      <c r="T285" s="26" t="str">
        <f>IFERROR(__xludf.DUMMYFUNCTION("IFERROR(TRANSPOSE(QUERY(IFERROR(SORT(GOOGLEFINANCE(C285, ""price"", WORKDAY(TODAY(), -40), TODAY()), 1, FALSE)), ""select Col2 where Col2 is not null limit 22 label Col2 ''"", 0)), """")"),"")</f>
        <v/>
      </c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8"/>
      <c r="AO285" s="28"/>
      <c r="AP285" s="29"/>
      <c r="AQ285" s="29" t="str">
        <f t="shared" ref="AQ285:BL285" si="288">T285/T$2</f>
        <v>#N/A</v>
      </c>
      <c r="AR285" s="29" t="str">
        <f t="shared" si="288"/>
        <v>#DIV/0!</v>
      </c>
      <c r="AS285" s="29" t="str">
        <f t="shared" si="288"/>
        <v>#DIV/0!</v>
      </c>
      <c r="AT285" s="29" t="str">
        <f t="shared" si="288"/>
        <v>#DIV/0!</v>
      </c>
      <c r="AU285" s="29" t="str">
        <f t="shared" si="288"/>
        <v>#DIV/0!</v>
      </c>
      <c r="AV285" s="29" t="str">
        <f t="shared" si="288"/>
        <v>#DIV/0!</v>
      </c>
      <c r="AW285" s="29" t="str">
        <f t="shared" si="288"/>
        <v>#DIV/0!</v>
      </c>
      <c r="AX285" s="29" t="str">
        <f t="shared" si="288"/>
        <v>#DIV/0!</v>
      </c>
      <c r="AY285" s="29" t="str">
        <f t="shared" si="288"/>
        <v>#DIV/0!</v>
      </c>
      <c r="AZ285" s="29" t="str">
        <f t="shared" si="288"/>
        <v>#DIV/0!</v>
      </c>
      <c r="BA285" s="29" t="str">
        <f t="shared" si="288"/>
        <v>#DIV/0!</v>
      </c>
      <c r="BB285" s="29" t="str">
        <f t="shared" si="288"/>
        <v>#DIV/0!</v>
      </c>
      <c r="BC285" s="29" t="str">
        <f t="shared" si="288"/>
        <v>#DIV/0!</v>
      </c>
      <c r="BD285" s="29" t="str">
        <f t="shared" si="288"/>
        <v>#DIV/0!</v>
      </c>
      <c r="BE285" s="29" t="str">
        <f t="shared" si="288"/>
        <v>#DIV/0!</v>
      </c>
      <c r="BF285" s="29" t="str">
        <f t="shared" si="288"/>
        <v>#DIV/0!</v>
      </c>
      <c r="BG285" s="29" t="str">
        <f t="shared" si="288"/>
        <v>#DIV/0!</v>
      </c>
      <c r="BH285" s="29" t="str">
        <f t="shared" si="288"/>
        <v>#DIV/0!</v>
      </c>
      <c r="BI285" s="29" t="str">
        <f t="shared" si="288"/>
        <v>#DIV/0!</v>
      </c>
      <c r="BJ285" s="29" t="str">
        <f t="shared" si="288"/>
        <v>#DIV/0!</v>
      </c>
      <c r="BK285" s="29" t="str">
        <f t="shared" si="288"/>
        <v>#DIV/0!</v>
      </c>
      <c r="BL285" s="29" t="str">
        <f t="shared" si="288"/>
        <v>#DIV/0!</v>
      </c>
      <c r="BM285" s="29" t="str">
        <f t="shared" si="3"/>
        <v>#DIV/0!</v>
      </c>
    </row>
    <row r="286">
      <c r="A286" s="16" t="str">
        <f>IFERROR(__xludf.DUMMYFUNCTION("IFERROR(SPARKLINE(SORT(MAP(TRANSPOSE(AQ286:BL286), LAMBDA(val, IF(ISNUMBER(val), PERCENTRANK(AQ286:BL286, val)+0.01, 0))), SEQUENCE(COLUMNS(AQ286:BL286)), FALSE), {""charttype"",""column""; ""color"",""chartreuse""; ""ymin"", 0; ""ymax"", 1.01; ""highcolo"&amp;"r"", ""darkgreen""; ""lowcolor"", ""red""}), """")"),"")</f>
        <v/>
      </c>
      <c r="B286" s="17" t="str">
        <f t="shared" si="4"/>
        <v/>
      </c>
      <c r="C286" s="1" t="s">
        <v>1258</v>
      </c>
      <c r="D286" s="30" t="str">
        <f>IFERROR(__xludf.DUMMYFUNCTION("IFERROR(GOOGLEFINANCE(C286, ""NAME""))"),"Sonos Inc")</f>
        <v>Sonos Inc</v>
      </c>
      <c r="E286" s="30" t="s">
        <v>837</v>
      </c>
      <c r="F286" s="33" t="str">
        <f>IFERROR(__xludf.DUMMYFUNCTION("( (GOOGLEFINANCE(C286, ""price"") - Q286) / Q286 ) / (R286 / 100)"),"Loading...")</f>
        <v>Loading...</v>
      </c>
      <c r="G286" s="20" t="str">
        <f>IFERROR(__xludf.DUMMYFUNCTION("AVERAGE(ARRAYFORMULA(100 * (QUERY(GOOGLEFINANCE(C286, ""high"", TODAY()-40, TODAY()), ""SELECT Col2 WHERE Col2 IS NOT NULL ORDER BY Col1 DESC LIMIT 20"", 0) / QUERY(GOOGLEFINANCE(C286, ""low"", TODAY()-40, TODAY()), ""SELECT Col2 WHERE Col2 IS NOT NULL OR"&amp;"DER BY Col1 DESC LIMIT 20"", 0) - 1)))"),"#N/A")</f>
        <v>#N/A</v>
      </c>
      <c r="H286" s="35" t="str">
        <f t="shared" si="6"/>
        <v/>
      </c>
      <c r="I286" s="36" t="str">
        <f t="shared" si="7"/>
        <v/>
      </c>
      <c r="J286" s="37" t="str">
        <f>IFERROR(__xludf.DUMMYFUNCTION("IFERROR(
  IF(C286="""",, 
    IFERROR(
      GOOGLEFINANCE(C286, ""price"") * GOOGLEFINANCE(C286, ""volumeavg""), 
      GOOGLEFINANCE(C286, ""price"") * AVERAGE(QUERY(GOOGLEFINANCE(C286, ""volume"", TODAY()-40, TODAY()), ""SELECT Col2 WHERE Col2 IS NOT "&amp;"NULL ORDER BY Col1 DESC LIMIT 20"", 0))
    )
  ), 
"""")"),"")</f>
        <v/>
      </c>
      <c r="K286" s="21" t="str">
        <f>IFERROR(__xludf.DUMMYFUNCTION("IFERROR(GOOGLEFINANCE(C286, ""changepct"") / 100, """")"),"")</f>
        <v/>
      </c>
      <c r="L286" s="21" t="str">
        <f>IFERROR(__xludf.DUMMYFUNCTION("IFERROR((GOOGLEFINANCE(C286, ""price"") / INDEX(GOOGLEFINANCE(C286, ""price"", TODAY()-7, TODAY()), 2, 2)) - 1, """")"),"")</f>
        <v/>
      </c>
      <c r="M286" s="21" t="str">
        <f>IFERROR(__xludf.DUMMYFUNCTION("IFERROR((GOOGLEFINANCE(C286, ""price"") / INDEX(GOOGLEFINANCE(C286, ""price"", EDATE(TODAY(), -1), TODAY()), 2, 2)) - 1, """")"),"")</f>
        <v/>
      </c>
      <c r="N286" s="21" t="str">
        <f>IFERROR(__xludf.DUMMYFUNCTION("IFERROR((GOOGLEFINANCE(C286, ""price"") / INDEX(GOOGLEFINANCE(C286, ""price"", EDATE(TODAY(), -3), TODAY()), 2, 2)) - 1, """")"),"")</f>
        <v/>
      </c>
      <c r="O286" s="21" t="str">
        <f>IFERROR(__xludf.DUMMYFUNCTION("IFERROR((GOOGLEFINANCE(C286, ""price"") / INDEX(GOOGLEFINANCE(C286, ""price"", EDATE(TODAY(), -6), TODAY()), 2, 2)) - 1, """")"),"")</f>
        <v/>
      </c>
      <c r="P286" s="21" t="str">
        <f>IFERROR(__xludf.DUMMYFUNCTION("IFERROR((GOOGLEFINANCE(C286, ""price"") / INDEX(GOOGLEFINANCE(C286, ""price"", EDATE(TODAY(), -12), TODAY()), 2, 2)) - 1, """")"),"")</f>
        <v/>
      </c>
      <c r="Q286" s="6" t="str">
        <f>IFERROR(__xludf.DUMMYFUNCTION("AVERAGE(QUERY(GOOGLEFINANCE(C286, ""price"", TODAY()-80, TODAY()), ""SELECT Col2 WHERE Col2 IS NOT NULL ORDER BY Col1 DESC LIMIT 50"", 0))"),"#N/A")</f>
        <v>#N/A</v>
      </c>
      <c r="R286" s="24" t="str">
        <f>IFERROR(__xludf.DUMMYFUNCTION("IFERROR(
  LET(
    data, QUERY(GOOGLEFINANCE(C286,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GOOGLEFINANCE(C286, ""price"")) * 100,
    IF(calc=0, G286, calc)
  ), 
G286)"),"#N/A")</f>
        <v>#N/A</v>
      </c>
      <c r="S286" s="8" t="s">
        <v>15</v>
      </c>
      <c r="T286" s="26" t="str">
        <f>IFERROR(__xludf.DUMMYFUNCTION("IFERROR(TRANSPOSE(QUERY(IFERROR(SORT(GOOGLEFINANCE(C286, ""price"", WORKDAY(TODAY(), -40), TODAY()), 1, FALSE)), ""select Col2 where Col2 is not null limit 22 label Col2 ''"", 0)), """")"),"")</f>
        <v/>
      </c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8"/>
      <c r="AO286" s="28"/>
      <c r="AP286" s="29"/>
      <c r="AQ286" s="29" t="str">
        <f t="shared" ref="AQ286:BL286" si="289">T286/T$2</f>
        <v>#N/A</v>
      </c>
      <c r="AR286" s="29" t="str">
        <f t="shared" si="289"/>
        <v>#DIV/0!</v>
      </c>
      <c r="AS286" s="29" t="str">
        <f t="shared" si="289"/>
        <v>#DIV/0!</v>
      </c>
      <c r="AT286" s="29" t="str">
        <f t="shared" si="289"/>
        <v>#DIV/0!</v>
      </c>
      <c r="AU286" s="29" t="str">
        <f t="shared" si="289"/>
        <v>#DIV/0!</v>
      </c>
      <c r="AV286" s="29" t="str">
        <f t="shared" si="289"/>
        <v>#DIV/0!</v>
      </c>
      <c r="AW286" s="29" t="str">
        <f t="shared" si="289"/>
        <v>#DIV/0!</v>
      </c>
      <c r="AX286" s="29" t="str">
        <f t="shared" si="289"/>
        <v>#DIV/0!</v>
      </c>
      <c r="AY286" s="29" t="str">
        <f t="shared" si="289"/>
        <v>#DIV/0!</v>
      </c>
      <c r="AZ286" s="29" t="str">
        <f t="shared" si="289"/>
        <v>#DIV/0!</v>
      </c>
      <c r="BA286" s="29" t="str">
        <f t="shared" si="289"/>
        <v>#DIV/0!</v>
      </c>
      <c r="BB286" s="29" t="str">
        <f t="shared" si="289"/>
        <v>#DIV/0!</v>
      </c>
      <c r="BC286" s="29" t="str">
        <f t="shared" si="289"/>
        <v>#DIV/0!</v>
      </c>
      <c r="BD286" s="29" t="str">
        <f t="shared" si="289"/>
        <v>#DIV/0!</v>
      </c>
      <c r="BE286" s="29" t="str">
        <f t="shared" si="289"/>
        <v>#DIV/0!</v>
      </c>
      <c r="BF286" s="29" t="str">
        <f t="shared" si="289"/>
        <v>#DIV/0!</v>
      </c>
      <c r="BG286" s="29" t="str">
        <f t="shared" si="289"/>
        <v>#DIV/0!</v>
      </c>
      <c r="BH286" s="29" t="str">
        <f t="shared" si="289"/>
        <v>#DIV/0!</v>
      </c>
      <c r="BI286" s="29" t="str">
        <f t="shared" si="289"/>
        <v>#DIV/0!</v>
      </c>
      <c r="BJ286" s="29" t="str">
        <f t="shared" si="289"/>
        <v>#DIV/0!</v>
      </c>
      <c r="BK286" s="29" t="str">
        <f t="shared" si="289"/>
        <v>#DIV/0!</v>
      </c>
      <c r="BL286" s="29" t="str">
        <f t="shared" si="289"/>
        <v>#DIV/0!</v>
      </c>
      <c r="BM286" s="29" t="str">
        <f t="shared" si="3"/>
        <v>#DIV/0!</v>
      </c>
    </row>
    <row r="287">
      <c r="A287" s="16" t="str">
        <f>IFERROR(__xludf.DUMMYFUNCTION("IFERROR(SPARKLINE(SORT(MAP(TRANSPOSE(AQ287:BL287), LAMBDA(val, IF(ISNUMBER(val), PERCENTRANK(AQ287:BL287, val)+0.01, 0))), SEQUENCE(COLUMNS(AQ287:BL287)), FALSE), {""charttype"",""column""; ""color"",""chartreuse""; ""ymin"", 0; ""ymax"", 1.01; ""highcolo"&amp;"r"", ""darkgreen""; ""lowcolor"", ""red""}), """")"),"")</f>
        <v/>
      </c>
      <c r="B287" s="17" t="str">
        <f t="shared" si="4"/>
        <v/>
      </c>
      <c r="C287" s="1" t="s">
        <v>1262</v>
      </c>
      <c r="D287" s="30" t="str">
        <f>IFERROR(__xludf.DUMMYFUNCTION("IFERROR(GOOGLEFINANCE(C287, ""NAME""))"),"LSI Industries Inc")</f>
        <v>LSI Industries Inc</v>
      </c>
      <c r="E287" s="30" t="s">
        <v>469</v>
      </c>
      <c r="F287" s="33" t="str">
        <f>IFERROR(__xludf.DUMMYFUNCTION("( (GOOGLEFINANCE(C287, ""price"") - Q287) / Q287 ) / (R287 / 100)"),"Loading...")</f>
        <v>Loading...</v>
      </c>
      <c r="G287" s="20" t="str">
        <f>IFERROR(__xludf.DUMMYFUNCTION("AVERAGE(ARRAYFORMULA(100 * (QUERY(GOOGLEFINANCE(C287, ""high"", TODAY()-40, TODAY()), ""SELECT Col2 WHERE Col2 IS NOT NULL ORDER BY Col1 DESC LIMIT 20"", 0) / QUERY(GOOGLEFINANCE(C287, ""low"", TODAY()-40, TODAY()), ""SELECT Col2 WHERE Col2 IS NOT NULL OR"&amp;"DER BY Col1 DESC LIMIT 20"", 0) - 1)))"),"#N/A")</f>
        <v>#N/A</v>
      </c>
      <c r="H287" s="35" t="str">
        <f t="shared" si="6"/>
        <v/>
      </c>
      <c r="I287" s="36" t="str">
        <f t="shared" si="7"/>
        <v/>
      </c>
      <c r="J287" s="37" t="str">
        <f>IFERROR(__xludf.DUMMYFUNCTION("IFERROR(
  IF(C287="""",, 
    IFERROR(
      GOOGLEFINANCE(C287, ""price"") * GOOGLEFINANCE(C287, ""volumeavg""), 
      GOOGLEFINANCE(C287, ""price"") * AVERAGE(QUERY(GOOGLEFINANCE(C287, ""volume"", TODAY()-40, TODAY()), ""SELECT Col2 WHERE Col2 IS NOT "&amp;"NULL ORDER BY Col1 DESC LIMIT 20"", 0))
    )
  ), 
"""")"),"")</f>
        <v/>
      </c>
      <c r="K287" s="21" t="str">
        <f>IFERROR(__xludf.DUMMYFUNCTION("IFERROR(GOOGLEFINANCE(C287, ""changepct"") / 100, """")"),"")</f>
        <v/>
      </c>
      <c r="L287" s="21" t="str">
        <f>IFERROR(__xludf.DUMMYFUNCTION("IFERROR((GOOGLEFINANCE(C287, ""price"") / INDEX(GOOGLEFINANCE(C287, ""price"", TODAY()-7, TODAY()), 2, 2)) - 1, """")"),"")</f>
        <v/>
      </c>
      <c r="M287" s="21" t="str">
        <f>IFERROR(__xludf.DUMMYFUNCTION("IFERROR((GOOGLEFINANCE(C287, ""price"") / INDEX(GOOGLEFINANCE(C287, ""price"", EDATE(TODAY(), -1), TODAY()), 2, 2)) - 1, """")"),"")</f>
        <v/>
      </c>
      <c r="N287" s="21" t="str">
        <f>IFERROR(__xludf.DUMMYFUNCTION("IFERROR((GOOGLEFINANCE(C287, ""price"") / INDEX(GOOGLEFINANCE(C287, ""price"", EDATE(TODAY(), -3), TODAY()), 2, 2)) - 1, """")"),"")</f>
        <v/>
      </c>
      <c r="O287" s="21" t="str">
        <f>IFERROR(__xludf.DUMMYFUNCTION("IFERROR((GOOGLEFINANCE(C287, ""price"") / INDEX(GOOGLEFINANCE(C287, ""price"", EDATE(TODAY(), -6), TODAY()), 2, 2)) - 1, """")"),"")</f>
        <v/>
      </c>
      <c r="P287" s="21" t="str">
        <f>IFERROR(__xludf.DUMMYFUNCTION("IFERROR((GOOGLEFINANCE(C287, ""price"") / INDEX(GOOGLEFINANCE(C287, ""price"", EDATE(TODAY(), -12), TODAY()), 2, 2)) - 1, """")"),"")</f>
        <v/>
      </c>
      <c r="Q287" s="6" t="str">
        <f>IFERROR(__xludf.DUMMYFUNCTION("AVERAGE(QUERY(GOOGLEFINANCE(C287, ""price"", TODAY()-80, TODAY()), ""SELECT Col2 WHERE Col2 IS NOT NULL ORDER BY Col1 DESC LIMIT 50"", 0))"),"#N/A")</f>
        <v>#N/A</v>
      </c>
      <c r="R287" s="24" t="str">
        <f>IFERROR(__xludf.DUMMYFUNCTION("IFERROR(
  LET(
    data, QUERY(GOOGLEFINANCE(C287,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GOOGLEFINANCE(C287, ""price"")) * 100,
    IF(calc=0, G287, calc)
  ), 
G287)"),"#N/A")</f>
        <v>#N/A</v>
      </c>
      <c r="S287" s="8" t="s">
        <v>15</v>
      </c>
      <c r="T287" s="26" t="str">
        <f>IFERROR(__xludf.DUMMYFUNCTION("IFERROR(TRANSPOSE(QUERY(IFERROR(SORT(GOOGLEFINANCE(C287, ""price"", WORKDAY(TODAY(), -40), TODAY()), 1, FALSE)), ""select Col2 where Col2 is not null limit 22 label Col2 ''"", 0)), """")"),"")</f>
        <v/>
      </c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8"/>
      <c r="AO287" s="28"/>
      <c r="AP287" s="29"/>
      <c r="AQ287" s="29" t="str">
        <f t="shared" ref="AQ287:BL287" si="290">T287/T$2</f>
        <v>#N/A</v>
      </c>
      <c r="AR287" s="29" t="str">
        <f t="shared" si="290"/>
        <v>#DIV/0!</v>
      </c>
      <c r="AS287" s="29" t="str">
        <f t="shared" si="290"/>
        <v>#DIV/0!</v>
      </c>
      <c r="AT287" s="29" t="str">
        <f t="shared" si="290"/>
        <v>#DIV/0!</v>
      </c>
      <c r="AU287" s="29" t="str">
        <f t="shared" si="290"/>
        <v>#DIV/0!</v>
      </c>
      <c r="AV287" s="29" t="str">
        <f t="shared" si="290"/>
        <v>#DIV/0!</v>
      </c>
      <c r="AW287" s="29" t="str">
        <f t="shared" si="290"/>
        <v>#DIV/0!</v>
      </c>
      <c r="AX287" s="29" t="str">
        <f t="shared" si="290"/>
        <v>#DIV/0!</v>
      </c>
      <c r="AY287" s="29" t="str">
        <f t="shared" si="290"/>
        <v>#DIV/0!</v>
      </c>
      <c r="AZ287" s="29" t="str">
        <f t="shared" si="290"/>
        <v>#DIV/0!</v>
      </c>
      <c r="BA287" s="29" t="str">
        <f t="shared" si="290"/>
        <v>#DIV/0!</v>
      </c>
      <c r="BB287" s="29" t="str">
        <f t="shared" si="290"/>
        <v>#DIV/0!</v>
      </c>
      <c r="BC287" s="29" t="str">
        <f t="shared" si="290"/>
        <v>#DIV/0!</v>
      </c>
      <c r="BD287" s="29" t="str">
        <f t="shared" si="290"/>
        <v>#DIV/0!</v>
      </c>
      <c r="BE287" s="29" t="str">
        <f t="shared" si="290"/>
        <v>#DIV/0!</v>
      </c>
      <c r="BF287" s="29" t="str">
        <f t="shared" si="290"/>
        <v>#DIV/0!</v>
      </c>
      <c r="BG287" s="29" t="str">
        <f t="shared" si="290"/>
        <v>#DIV/0!</v>
      </c>
      <c r="BH287" s="29" t="str">
        <f t="shared" si="290"/>
        <v>#DIV/0!</v>
      </c>
      <c r="BI287" s="29" t="str">
        <f t="shared" si="290"/>
        <v>#DIV/0!</v>
      </c>
      <c r="BJ287" s="29" t="str">
        <f t="shared" si="290"/>
        <v>#DIV/0!</v>
      </c>
      <c r="BK287" s="29" t="str">
        <f t="shared" si="290"/>
        <v>#DIV/0!</v>
      </c>
      <c r="BL287" s="29" t="str">
        <f t="shared" si="290"/>
        <v>#DIV/0!</v>
      </c>
      <c r="BM287" s="29" t="str">
        <f t="shared" si="3"/>
        <v>#DIV/0!</v>
      </c>
    </row>
    <row r="288">
      <c r="A288" s="16" t="str">
        <f>IFERROR(__xludf.DUMMYFUNCTION("IFERROR(SPARKLINE(SORT(MAP(TRANSPOSE(AQ288:BL288), LAMBDA(val, IF(ISNUMBER(val), PERCENTRANK(AQ288:BL288, val)+0.01, 0))), SEQUENCE(COLUMNS(AQ288:BL288)), FALSE), {""charttype"",""column""; ""color"",""chartreuse""; ""ymin"", 0; ""ymax"", 1.01; ""highcolo"&amp;"r"", ""darkgreen""; ""lowcolor"", ""red""}), """")"),"")</f>
        <v/>
      </c>
      <c r="B288" s="17" t="str">
        <f t="shared" si="4"/>
        <v/>
      </c>
      <c r="C288" s="1" t="s">
        <v>1266</v>
      </c>
      <c r="D288" s="30" t="str">
        <f>IFERROR(__xludf.DUMMYFUNCTION("IFERROR(GOOGLEFINANCE(C288, ""NAME""))"),"First Solar Inc")</f>
        <v>First Solar Inc</v>
      </c>
      <c r="E288" s="30" t="s">
        <v>1045</v>
      </c>
      <c r="F288" s="33" t="str">
        <f>IFERROR(__xludf.DUMMYFUNCTION("( (GOOGLEFINANCE(C288, ""price"") - Q288) / Q288 ) / (R288 / 100)"),"Loading...")</f>
        <v>Loading...</v>
      </c>
      <c r="G288" s="20" t="str">
        <f>IFERROR(__xludf.DUMMYFUNCTION("AVERAGE(ARRAYFORMULA(100 * (QUERY(GOOGLEFINANCE(C288, ""high"", TODAY()-40, TODAY()), ""SELECT Col2 WHERE Col2 IS NOT NULL ORDER BY Col1 DESC LIMIT 20"", 0) / QUERY(GOOGLEFINANCE(C288, ""low"", TODAY()-40, TODAY()), ""SELECT Col2 WHERE Col2 IS NOT NULL OR"&amp;"DER BY Col1 DESC LIMIT 20"", 0) - 1)))"),"#N/A")</f>
        <v>#N/A</v>
      </c>
      <c r="H288" s="35" t="str">
        <f t="shared" si="6"/>
        <v/>
      </c>
      <c r="I288" s="36" t="str">
        <f t="shared" si="7"/>
        <v/>
      </c>
      <c r="J288" s="37" t="str">
        <f>IFERROR(__xludf.DUMMYFUNCTION("IFERROR(
  IF(C288="""",, 
    IFERROR(
      GOOGLEFINANCE(C288, ""price"") * GOOGLEFINANCE(C288, ""volumeavg""), 
      GOOGLEFINANCE(C288, ""price"") * AVERAGE(QUERY(GOOGLEFINANCE(C288, ""volume"", TODAY()-40, TODAY()), ""SELECT Col2 WHERE Col2 IS NOT "&amp;"NULL ORDER BY Col1 DESC LIMIT 20"", 0))
    )
  ), 
"""")"),"")</f>
        <v/>
      </c>
      <c r="K288" s="21" t="str">
        <f>IFERROR(__xludf.DUMMYFUNCTION("IFERROR(GOOGLEFINANCE(C288, ""changepct"") / 100, """")"),"")</f>
        <v/>
      </c>
      <c r="L288" s="21" t="str">
        <f>IFERROR(__xludf.DUMMYFUNCTION("IFERROR((GOOGLEFINANCE(C288, ""price"") / INDEX(GOOGLEFINANCE(C288, ""price"", TODAY()-7, TODAY()), 2, 2)) - 1, """")"),"")</f>
        <v/>
      </c>
      <c r="M288" s="21" t="str">
        <f>IFERROR(__xludf.DUMMYFUNCTION("IFERROR((GOOGLEFINANCE(C288, ""price"") / INDEX(GOOGLEFINANCE(C288, ""price"", EDATE(TODAY(), -1), TODAY()), 2, 2)) - 1, """")"),"")</f>
        <v/>
      </c>
      <c r="N288" s="21" t="str">
        <f>IFERROR(__xludf.DUMMYFUNCTION("IFERROR((GOOGLEFINANCE(C288, ""price"") / INDEX(GOOGLEFINANCE(C288, ""price"", EDATE(TODAY(), -3), TODAY()), 2, 2)) - 1, """")"),"")</f>
        <v/>
      </c>
      <c r="O288" s="21" t="str">
        <f>IFERROR(__xludf.DUMMYFUNCTION("IFERROR((GOOGLEFINANCE(C288, ""price"") / INDEX(GOOGLEFINANCE(C288, ""price"", EDATE(TODAY(), -6), TODAY()), 2, 2)) - 1, """")"),"")</f>
        <v/>
      </c>
      <c r="P288" s="21" t="str">
        <f>IFERROR(__xludf.DUMMYFUNCTION("IFERROR((GOOGLEFINANCE(C288, ""price"") / INDEX(GOOGLEFINANCE(C288, ""price"", EDATE(TODAY(), -12), TODAY()), 2, 2)) - 1, """")"),"")</f>
        <v/>
      </c>
      <c r="Q288" s="6" t="str">
        <f>IFERROR(__xludf.DUMMYFUNCTION("AVERAGE(QUERY(GOOGLEFINANCE(C288, ""price"", TODAY()-80, TODAY()), ""SELECT Col2 WHERE Col2 IS NOT NULL ORDER BY Col1 DESC LIMIT 50"", 0))"),"#N/A")</f>
        <v>#N/A</v>
      </c>
      <c r="R288" s="24" t="str">
        <f>IFERROR(__xludf.DUMMYFUNCTION("IFERROR(
  LET(
    data, QUERY(GOOGLEFINANCE(C288,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GOOGLEFINANCE(C288, ""price"")) * 100,
    IF(calc=0, G288, calc)
  ), 
G288)"),"#N/A")</f>
        <v>#N/A</v>
      </c>
      <c r="S288" s="8" t="s">
        <v>15</v>
      </c>
      <c r="T288" s="26" t="str">
        <f>IFERROR(__xludf.DUMMYFUNCTION("IFERROR(TRANSPOSE(QUERY(IFERROR(SORT(GOOGLEFINANCE(C288, ""price"", WORKDAY(TODAY(), -40), TODAY()), 1, FALSE)), ""select Col2 where Col2 is not null limit 22 label Col2 ''"", 0)), """")"),"")</f>
        <v/>
      </c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8"/>
      <c r="AO288" s="28"/>
      <c r="AP288" s="29"/>
      <c r="AQ288" s="29" t="str">
        <f t="shared" ref="AQ288:BL288" si="291">T288/T$2</f>
        <v>#N/A</v>
      </c>
      <c r="AR288" s="29" t="str">
        <f t="shared" si="291"/>
        <v>#DIV/0!</v>
      </c>
      <c r="AS288" s="29" t="str">
        <f t="shared" si="291"/>
        <v>#DIV/0!</v>
      </c>
      <c r="AT288" s="29" t="str">
        <f t="shared" si="291"/>
        <v>#DIV/0!</v>
      </c>
      <c r="AU288" s="29" t="str">
        <f t="shared" si="291"/>
        <v>#DIV/0!</v>
      </c>
      <c r="AV288" s="29" t="str">
        <f t="shared" si="291"/>
        <v>#DIV/0!</v>
      </c>
      <c r="AW288" s="29" t="str">
        <f t="shared" si="291"/>
        <v>#DIV/0!</v>
      </c>
      <c r="AX288" s="29" t="str">
        <f t="shared" si="291"/>
        <v>#DIV/0!</v>
      </c>
      <c r="AY288" s="29" t="str">
        <f t="shared" si="291"/>
        <v>#DIV/0!</v>
      </c>
      <c r="AZ288" s="29" t="str">
        <f t="shared" si="291"/>
        <v>#DIV/0!</v>
      </c>
      <c r="BA288" s="29" t="str">
        <f t="shared" si="291"/>
        <v>#DIV/0!</v>
      </c>
      <c r="BB288" s="29" t="str">
        <f t="shared" si="291"/>
        <v>#DIV/0!</v>
      </c>
      <c r="BC288" s="29" t="str">
        <f t="shared" si="291"/>
        <v>#DIV/0!</v>
      </c>
      <c r="BD288" s="29" t="str">
        <f t="shared" si="291"/>
        <v>#DIV/0!</v>
      </c>
      <c r="BE288" s="29" t="str">
        <f t="shared" si="291"/>
        <v>#DIV/0!</v>
      </c>
      <c r="BF288" s="29" t="str">
        <f t="shared" si="291"/>
        <v>#DIV/0!</v>
      </c>
      <c r="BG288" s="29" t="str">
        <f t="shared" si="291"/>
        <v>#DIV/0!</v>
      </c>
      <c r="BH288" s="29" t="str">
        <f t="shared" si="291"/>
        <v>#DIV/0!</v>
      </c>
      <c r="BI288" s="29" t="str">
        <f t="shared" si="291"/>
        <v>#DIV/0!</v>
      </c>
      <c r="BJ288" s="29" t="str">
        <f t="shared" si="291"/>
        <v>#DIV/0!</v>
      </c>
      <c r="BK288" s="29" t="str">
        <f t="shared" si="291"/>
        <v>#DIV/0!</v>
      </c>
      <c r="BL288" s="29" t="str">
        <f t="shared" si="291"/>
        <v>#DIV/0!</v>
      </c>
      <c r="BM288" s="29" t="str">
        <f t="shared" si="3"/>
        <v>#DIV/0!</v>
      </c>
    </row>
    <row r="289">
      <c r="A289" s="16" t="str">
        <f>IFERROR(__xludf.DUMMYFUNCTION("IFERROR(SPARKLINE(SORT(MAP(TRANSPOSE(AQ289:BL289), LAMBDA(val, IF(ISNUMBER(val), PERCENTRANK(AQ289:BL289, val)+0.01, 0))), SEQUENCE(COLUMNS(AQ289:BL289)), FALSE), {""charttype"",""column""; ""color"",""chartreuse""; ""ymin"", 0; ""ymax"", 1.01; ""highcolo"&amp;"r"", ""darkgreen""; ""lowcolor"", ""red""}), """")"),"")</f>
        <v/>
      </c>
      <c r="B289" s="17" t="str">
        <f t="shared" si="4"/>
        <v/>
      </c>
      <c r="C289" s="1" t="s">
        <v>1270</v>
      </c>
      <c r="D289" s="30" t="str">
        <f>IFERROR(__xludf.DUMMYFUNCTION("IFERROR(GOOGLEFINANCE(C289, ""NAME""))"),"Diebold Nixdorf Inc")</f>
        <v>Diebold Nixdorf Inc</v>
      </c>
      <c r="E289" s="30" t="s">
        <v>48</v>
      </c>
      <c r="F289" s="33" t="str">
        <f>IFERROR(__xludf.DUMMYFUNCTION("( (GOOGLEFINANCE(C289, ""price"") - Q289) / Q289 ) / (R289 / 100)"),"Loading...")</f>
        <v>Loading...</v>
      </c>
      <c r="G289" s="20" t="str">
        <f>IFERROR(__xludf.DUMMYFUNCTION("AVERAGE(ARRAYFORMULA(100 * (QUERY(GOOGLEFINANCE(C289, ""high"", TODAY()-40, TODAY()), ""SELECT Col2 WHERE Col2 IS NOT NULL ORDER BY Col1 DESC LIMIT 20"", 0) / QUERY(GOOGLEFINANCE(C289, ""low"", TODAY()-40, TODAY()), ""SELECT Col2 WHERE Col2 IS NOT NULL OR"&amp;"DER BY Col1 DESC LIMIT 20"", 0) - 1)))"),"#N/A")</f>
        <v>#N/A</v>
      </c>
      <c r="H289" s="35" t="str">
        <f t="shared" si="6"/>
        <v/>
      </c>
      <c r="I289" s="36" t="str">
        <f t="shared" si="7"/>
        <v/>
      </c>
      <c r="J289" s="37" t="str">
        <f>IFERROR(__xludf.DUMMYFUNCTION("IFERROR(
  IF(C289="""",, 
    IFERROR(
      GOOGLEFINANCE(C289, ""price"") * GOOGLEFINANCE(C289, ""volumeavg""), 
      GOOGLEFINANCE(C289, ""price"") * AVERAGE(QUERY(GOOGLEFINANCE(C289, ""volume"", TODAY()-40, TODAY()), ""SELECT Col2 WHERE Col2 IS NOT "&amp;"NULL ORDER BY Col1 DESC LIMIT 20"", 0))
    )
  ), 
"""")"),"")</f>
        <v/>
      </c>
      <c r="K289" s="21" t="str">
        <f>IFERROR(__xludf.DUMMYFUNCTION("IFERROR(GOOGLEFINANCE(C289, ""changepct"") / 100, """")"),"")</f>
        <v/>
      </c>
      <c r="L289" s="21" t="str">
        <f>IFERROR(__xludf.DUMMYFUNCTION("IFERROR((GOOGLEFINANCE(C289, ""price"") / INDEX(GOOGLEFINANCE(C289, ""price"", TODAY()-7, TODAY()), 2, 2)) - 1, """")"),"")</f>
        <v/>
      </c>
      <c r="M289" s="21" t="str">
        <f>IFERROR(__xludf.DUMMYFUNCTION("IFERROR((GOOGLEFINANCE(C289, ""price"") / INDEX(GOOGLEFINANCE(C289, ""price"", EDATE(TODAY(), -1), TODAY()), 2, 2)) - 1, """")"),"")</f>
        <v/>
      </c>
      <c r="N289" s="21" t="str">
        <f>IFERROR(__xludf.DUMMYFUNCTION("IFERROR((GOOGLEFINANCE(C289, ""price"") / INDEX(GOOGLEFINANCE(C289, ""price"", EDATE(TODAY(), -3), TODAY()), 2, 2)) - 1, """")"),"")</f>
        <v/>
      </c>
      <c r="O289" s="21" t="str">
        <f>IFERROR(__xludf.DUMMYFUNCTION("IFERROR((GOOGLEFINANCE(C289, ""price"") / INDEX(GOOGLEFINANCE(C289, ""price"", EDATE(TODAY(), -6), TODAY()), 2, 2)) - 1, """")"),"")</f>
        <v/>
      </c>
      <c r="P289" s="21" t="str">
        <f>IFERROR(__xludf.DUMMYFUNCTION("IFERROR((GOOGLEFINANCE(C289, ""price"") / INDEX(GOOGLEFINANCE(C289, ""price"", EDATE(TODAY(), -12), TODAY()), 2, 2)) - 1, """")"),"")</f>
        <v/>
      </c>
      <c r="Q289" s="6" t="str">
        <f>IFERROR(__xludf.DUMMYFUNCTION("AVERAGE(QUERY(GOOGLEFINANCE(C289, ""price"", TODAY()-80, TODAY()), ""SELECT Col2 WHERE Col2 IS NOT NULL ORDER BY Col1 DESC LIMIT 50"", 0))"),"#N/A")</f>
        <v>#N/A</v>
      </c>
      <c r="R289" s="24" t="str">
        <f>IFERROR(__xludf.DUMMYFUNCTION("IFERROR(
  LET(
    data, QUERY(GOOGLEFINANCE(C289,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GOOGLEFINANCE(C289, ""price"")) * 100,
    IF(calc=0, G289, calc)
  ), 
G289)"),"#N/A")</f>
        <v>#N/A</v>
      </c>
      <c r="S289" s="8" t="s">
        <v>15</v>
      </c>
      <c r="T289" s="26" t="str">
        <f>IFERROR(__xludf.DUMMYFUNCTION("IFERROR(TRANSPOSE(QUERY(IFERROR(SORT(GOOGLEFINANCE(C289, ""price"", WORKDAY(TODAY(), -40), TODAY()), 1, FALSE)), ""select Col2 where Col2 is not null limit 22 label Col2 ''"", 0)), """")"),"")</f>
        <v/>
      </c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8"/>
      <c r="AO289" s="28"/>
      <c r="AP289" s="29"/>
      <c r="AQ289" s="29" t="str">
        <f t="shared" ref="AQ289:BL289" si="292">T289/T$2</f>
        <v>#N/A</v>
      </c>
      <c r="AR289" s="29" t="str">
        <f t="shared" si="292"/>
        <v>#DIV/0!</v>
      </c>
      <c r="AS289" s="29" t="str">
        <f t="shared" si="292"/>
        <v>#DIV/0!</v>
      </c>
      <c r="AT289" s="29" t="str">
        <f t="shared" si="292"/>
        <v>#DIV/0!</v>
      </c>
      <c r="AU289" s="29" t="str">
        <f t="shared" si="292"/>
        <v>#DIV/0!</v>
      </c>
      <c r="AV289" s="29" t="str">
        <f t="shared" si="292"/>
        <v>#DIV/0!</v>
      </c>
      <c r="AW289" s="29" t="str">
        <f t="shared" si="292"/>
        <v>#DIV/0!</v>
      </c>
      <c r="AX289" s="29" t="str">
        <f t="shared" si="292"/>
        <v>#DIV/0!</v>
      </c>
      <c r="AY289" s="29" t="str">
        <f t="shared" si="292"/>
        <v>#DIV/0!</v>
      </c>
      <c r="AZ289" s="29" t="str">
        <f t="shared" si="292"/>
        <v>#DIV/0!</v>
      </c>
      <c r="BA289" s="29" t="str">
        <f t="shared" si="292"/>
        <v>#DIV/0!</v>
      </c>
      <c r="BB289" s="29" t="str">
        <f t="shared" si="292"/>
        <v>#DIV/0!</v>
      </c>
      <c r="BC289" s="29" t="str">
        <f t="shared" si="292"/>
        <v>#DIV/0!</v>
      </c>
      <c r="BD289" s="29" t="str">
        <f t="shared" si="292"/>
        <v>#DIV/0!</v>
      </c>
      <c r="BE289" s="29" t="str">
        <f t="shared" si="292"/>
        <v>#DIV/0!</v>
      </c>
      <c r="BF289" s="29" t="str">
        <f t="shared" si="292"/>
        <v>#DIV/0!</v>
      </c>
      <c r="BG289" s="29" t="str">
        <f t="shared" si="292"/>
        <v>#DIV/0!</v>
      </c>
      <c r="BH289" s="29" t="str">
        <f t="shared" si="292"/>
        <v>#DIV/0!</v>
      </c>
      <c r="BI289" s="29" t="str">
        <f t="shared" si="292"/>
        <v>#DIV/0!</v>
      </c>
      <c r="BJ289" s="29" t="str">
        <f t="shared" si="292"/>
        <v>#DIV/0!</v>
      </c>
      <c r="BK289" s="29" t="str">
        <f t="shared" si="292"/>
        <v>#DIV/0!</v>
      </c>
      <c r="BL289" s="29" t="str">
        <f t="shared" si="292"/>
        <v>#DIV/0!</v>
      </c>
      <c r="BM289" s="29" t="str">
        <f t="shared" si="3"/>
        <v>#DIV/0!</v>
      </c>
    </row>
    <row r="290">
      <c r="A290" s="16" t="str">
        <f>IFERROR(__xludf.DUMMYFUNCTION("IFERROR(SPARKLINE(SORT(MAP(TRANSPOSE(AQ290:BL290), LAMBDA(val, IF(ISNUMBER(val), PERCENTRANK(AQ290:BL290, val)+0.01, 0))), SEQUENCE(COLUMNS(AQ290:BL290)), FALSE), {""charttype"",""column""; ""color"",""chartreuse""; ""ymin"", 0; ""ymax"", 1.01; ""highcolo"&amp;"r"", ""darkgreen""; ""lowcolor"", ""red""}), """")"),"")</f>
        <v/>
      </c>
      <c r="B290" s="17" t="str">
        <f t="shared" si="4"/>
        <v/>
      </c>
      <c r="C290" s="1" t="s">
        <v>1272</v>
      </c>
      <c r="D290" s="30" t="str">
        <f>IFERROR(__xludf.DUMMYFUNCTION("IFERROR(GOOGLEFINANCE(C290, ""NAME""))"),"Apple Inc")</f>
        <v>Apple Inc</v>
      </c>
      <c r="E290" s="30" t="s">
        <v>837</v>
      </c>
      <c r="F290" s="33" t="str">
        <f>IFERROR(__xludf.DUMMYFUNCTION("( (GOOGLEFINANCE(C290, ""price"") - Q290) / Q290 ) / (R290 / 100)"),"Loading...")</f>
        <v>Loading...</v>
      </c>
      <c r="G290" s="20" t="str">
        <f>IFERROR(__xludf.DUMMYFUNCTION("AVERAGE(ARRAYFORMULA(100 * (QUERY(GOOGLEFINANCE(C290, ""high"", TODAY()-40, TODAY()), ""SELECT Col2 WHERE Col2 IS NOT NULL ORDER BY Col1 DESC LIMIT 20"", 0) / QUERY(GOOGLEFINANCE(C290, ""low"", TODAY()-40, TODAY()), ""SELECT Col2 WHERE Col2 IS NOT NULL OR"&amp;"DER BY Col1 DESC LIMIT 20"", 0) - 1)))"),"#N/A")</f>
        <v>#N/A</v>
      </c>
      <c r="H290" s="35" t="str">
        <f t="shared" si="6"/>
        <v/>
      </c>
      <c r="I290" s="36" t="str">
        <f t="shared" si="7"/>
        <v/>
      </c>
      <c r="J290" s="37" t="str">
        <f>IFERROR(__xludf.DUMMYFUNCTION("IFERROR(
  IF(C290="""",, 
    IFERROR(
      GOOGLEFINANCE(C290, ""price"") * GOOGLEFINANCE(C290, ""volumeavg""), 
      GOOGLEFINANCE(C290, ""price"") * AVERAGE(QUERY(GOOGLEFINANCE(C290, ""volume"", TODAY()-40, TODAY()), ""SELECT Col2 WHERE Col2 IS NOT "&amp;"NULL ORDER BY Col1 DESC LIMIT 20"", 0))
    )
  ), 
"""")"),"")</f>
        <v/>
      </c>
      <c r="K290" s="21" t="str">
        <f>IFERROR(__xludf.DUMMYFUNCTION("IFERROR(GOOGLEFINANCE(C290, ""changepct"") / 100, """")"),"")</f>
        <v/>
      </c>
      <c r="L290" s="21" t="str">
        <f>IFERROR(__xludf.DUMMYFUNCTION("IFERROR((GOOGLEFINANCE(C290, ""price"") / INDEX(GOOGLEFINANCE(C290, ""price"", TODAY()-7, TODAY()), 2, 2)) - 1, """")"),"")</f>
        <v/>
      </c>
      <c r="M290" s="21" t="str">
        <f>IFERROR(__xludf.DUMMYFUNCTION("IFERROR((GOOGLEFINANCE(C290, ""price"") / INDEX(GOOGLEFINANCE(C290, ""price"", EDATE(TODAY(), -1), TODAY()), 2, 2)) - 1, """")"),"")</f>
        <v/>
      </c>
      <c r="N290" s="21" t="str">
        <f>IFERROR(__xludf.DUMMYFUNCTION("IFERROR((GOOGLEFINANCE(C290, ""price"") / INDEX(GOOGLEFINANCE(C290, ""price"", EDATE(TODAY(), -3), TODAY()), 2, 2)) - 1, """")"),"")</f>
        <v/>
      </c>
      <c r="O290" s="21" t="str">
        <f>IFERROR(__xludf.DUMMYFUNCTION("IFERROR((GOOGLEFINANCE(C290, ""price"") / INDEX(GOOGLEFINANCE(C290, ""price"", EDATE(TODAY(), -6), TODAY()), 2, 2)) - 1, """")"),"")</f>
        <v/>
      </c>
      <c r="P290" s="21" t="str">
        <f>IFERROR(__xludf.DUMMYFUNCTION("IFERROR((GOOGLEFINANCE(C290, ""price"") / INDEX(GOOGLEFINANCE(C290, ""price"", EDATE(TODAY(), -12), TODAY()), 2, 2)) - 1, """")"),"")</f>
        <v/>
      </c>
      <c r="Q290" s="6" t="str">
        <f>IFERROR(__xludf.DUMMYFUNCTION("AVERAGE(QUERY(GOOGLEFINANCE(C290, ""price"", TODAY()-80, TODAY()), ""SELECT Col2 WHERE Col2 IS NOT NULL ORDER BY Col1 DESC LIMIT 50"", 0))"),"#N/A")</f>
        <v>#N/A</v>
      </c>
      <c r="R290" s="24" t="str">
        <f>IFERROR(__xludf.DUMMYFUNCTION("IFERROR(
  LET(
    data, QUERY(GOOGLEFINANCE(C290,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GOOGLEFINANCE(C290, ""price"")) * 100,
    IF(calc=0, G290, calc)
  ), 
G290)"),"#N/A")</f>
        <v>#N/A</v>
      </c>
      <c r="S290" s="8" t="s">
        <v>15</v>
      </c>
      <c r="T290" s="26" t="str">
        <f>IFERROR(__xludf.DUMMYFUNCTION("IFERROR(TRANSPOSE(QUERY(IFERROR(SORT(GOOGLEFINANCE(C290, ""price"", WORKDAY(TODAY(), -40), TODAY()), 1, FALSE)), ""select Col2 where Col2 is not null limit 22 label Col2 ''"", 0)), """")"),"")</f>
        <v/>
      </c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8"/>
      <c r="AO290" s="28"/>
      <c r="AP290" s="29"/>
      <c r="AQ290" s="29" t="str">
        <f t="shared" ref="AQ290:BL290" si="293">T290/T$2</f>
        <v>#N/A</v>
      </c>
      <c r="AR290" s="29" t="str">
        <f t="shared" si="293"/>
        <v>#DIV/0!</v>
      </c>
      <c r="AS290" s="29" t="str">
        <f t="shared" si="293"/>
        <v>#DIV/0!</v>
      </c>
      <c r="AT290" s="29" t="str">
        <f t="shared" si="293"/>
        <v>#DIV/0!</v>
      </c>
      <c r="AU290" s="29" t="str">
        <f t="shared" si="293"/>
        <v>#DIV/0!</v>
      </c>
      <c r="AV290" s="29" t="str">
        <f t="shared" si="293"/>
        <v>#DIV/0!</v>
      </c>
      <c r="AW290" s="29" t="str">
        <f t="shared" si="293"/>
        <v>#DIV/0!</v>
      </c>
      <c r="AX290" s="29" t="str">
        <f t="shared" si="293"/>
        <v>#DIV/0!</v>
      </c>
      <c r="AY290" s="29" t="str">
        <f t="shared" si="293"/>
        <v>#DIV/0!</v>
      </c>
      <c r="AZ290" s="29" t="str">
        <f t="shared" si="293"/>
        <v>#DIV/0!</v>
      </c>
      <c r="BA290" s="29" t="str">
        <f t="shared" si="293"/>
        <v>#DIV/0!</v>
      </c>
      <c r="BB290" s="29" t="str">
        <f t="shared" si="293"/>
        <v>#DIV/0!</v>
      </c>
      <c r="BC290" s="29" t="str">
        <f t="shared" si="293"/>
        <v>#DIV/0!</v>
      </c>
      <c r="BD290" s="29" t="str">
        <f t="shared" si="293"/>
        <v>#DIV/0!</v>
      </c>
      <c r="BE290" s="29" t="str">
        <f t="shared" si="293"/>
        <v>#DIV/0!</v>
      </c>
      <c r="BF290" s="29" t="str">
        <f t="shared" si="293"/>
        <v>#DIV/0!</v>
      </c>
      <c r="BG290" s="29" t="str">
        <f t="shared" si="293"/>
        <v>#DIV/0!</v>
      </c>
      <c r="BH290" s="29" t="str">
        <f t="shared" si="293"/>
        <v>#DIV/0!</v>
      </c>
      <c r="BI290" s="29" t="str">
        <f t="shared" si="293"/>
        <v>#DIV/0!</v>
      </c>
      <c r="BJ290" s="29" t="str">
        <f t="shared" si="293"/>
        <v>#DIV/0!</v>
      </c>
      <c r="BK290" s="29" t="str">
        <f t="shared" si="293"/>
        <v>#DIV/0!</v>
      </c>
      <c r="BL290" s="29" t="str">
        <f t="shared" si="293"/>
        <v>#DIV/0!</v>
      </c>
      <c r="BM290" s="29" t="str">
        <f t="shared" si="3"/>
        <v>#DIV/0!</v>
      </c>
    </row>
    <row r="291">
      <c r="A291" s="16" t="str">
        <f>IFERROR(__xludf.DUMMYFUNCTION("IFERROR(SPARKLINE(SORT(MAP(TRANSPOSE(AQ291:BL291), LAMBDA(val, IF(ISNUMBER(val), PERCENTRANK(AQ291:BL291, val)+0.01, 0))), SEQUENCE(COLUMNS(AQ291:BL291)), FALSE), {""charttype"",""column""; ""color"",""chartreuse""; ""ymin"", 0; ""ymax"", 1.01; ""highcolo"&amp;"r"", ""darkgreen""; ""lowcolor"", ""red""}), """")"),"")</f>
        <v/>
      </c>
      <c r="B291" s="17" t="str">
        <f t="shared" si="4"/>
        <v/>
      </c>
      <c r="C291" s="1" t="s">
        <v>1276</v>
      </c>
      <c r="D291" s="30" t="str">
        <f>IFERROR(__xludf.DUMMYFUNCTION("IFERROR(GOOGLEFINANCE(C291, ""NAME""))"),"Everpure Inc")</f>
        <v>Everpure Inc</v>
      </c>
      <c r="E291" s="30" t="s">
        <v>477</v>
      </c>
      <c r="F291" s="33" t="str">
        <f>IFERROR(__xludf.DUMMYFUNCTION("( (GOOGLEFINANCE(C291, ""price"") - Q291) / Q291 ) / (R291 / 100)"),"Loading...")</f>
        <v>Loading...</v>
      </c>
      <c r="G291" s="20" t="str">
        <f>IFERROR(__xludf.DUMMYFUNCTION("AVERAGE(ARRAYFORMULA(100 * (QUERY(GOOGLEFINANCE(C291, ""high"", TODAY()-40, TODAY()), ""SELECT Col2 WHERE Col2 IS NOT NULL ORDER BY Col1 DESC LIMIT 20"", 0) / QUERY(GOOGLEFINANCE(C291, ""low"", TODAY()-40, TODAY()), ""SELECT Col2 WHERE Col2 IS NOT NULL OR"&amp;"DER BY Col1 DESC LIMIT 20"", 0) - 1)))"),"#N/A")</f>
        <v>#N/A</v>
      </c>
      <c r="H291" s="35" t="str">
        <f t="shared" si="6"/>
        <v/>
      </c>
      <c r="I291" s="36" t="str">
        <f t="shared" si="7"/>
        <v/>
      </c>
      <c r="J291" s="37" t="str">
        <f>IFERROR(__xludf.DUMMYFUNCTION("IFERROR(
  IF(C291="""",, 
    IFERROR(
      GOOGLEFINANCE(C291, ""price"") * GOOGLEFINANCE(C291, ""volumeavg""), 
      GOOGLEFINANCE(C291, ""price"") * AVERAGE(QUERY(GOOGLEFINANCE(C291, ""volume"", TODAY()-40, TODAY()), ""SELECT Col2 WHERE Col2 IS NOT "&amp;"NULL ORDER BY Col1 DESC LIMIT 20"", 0))
    )
  ), 
"""")"),"")</f>
        <v/>
      </c>
      <c r="K291" s="21" t="str">
        <f>IFERROR(__xludf.DUMMYFUNCTION("IFERROR(GOOGLEFINANCE(C291, ""changepct"") / 100, """")"),"")</f>
        <v/>
      </c>
      <c r="L291" s="21" t="str">
        <f>IFERROR(__xludf.DUMMYFUNCTION("IFERROR((GOOGLEFINANCE(C291, ""price"") / INDEX(GOOGLEFINANCE(C291, ""price"", TODAY()-7, TODAY()), 2, 2)) - 1, """")"),"")</f>
        <v/>
      </c>
      <c r="M291" s="21" t="str">
        <f>IFERROR(__xludf.DUMMYFUNCTION("IFERROR((GOOGLEFINANCE(C291, ""price"") / INDEX(GOOGLEFINANCE(C291, ""price"", EDATE(TODAY(), -1), TODAY()), 2, 2)) - 1, """")"),"")</f>
        <v/>
      </c>
      <c r="N291" s="21" t="str">
        <f>IFERROR(__xludf.DUMMYFUNCTION("IFERROR((GOOGLEFINANCE(C291, ""price"") / INDEX(GOOGLEFINANCE(C291, ""price"", EDATE(TODAY(), -3), TODAY()), 2, 2)) - 1, """")"),"")</f>
        <v/>
      </c>
      <c r="O291" s="21" t="str">
        <f>IFERROR(__xludf.DUMMYFUNCTION("IFERROR((GOOGLEFINANCE(C291, ""price"") / INDEX(GOOGLEFINANCE(C291, ""price"", EDATE(TODAY(), -6), TODAY()), 2, 2)) - 1, """")"),"")</f>
        <v/>
      </c>
      <c r="P291" s="21" t="str">
        <f>IFERROR(__xludf.DUMMYFUNCTION("IFERROR((GOOGLEFINANCE(C291, ""price"") / INDEX(GOOGLEFINANCE(C291, ""price"", EDATE(TODAY(), -12), TODAY()), 2, 2)) - 1, """")"),"")</f>
        <v/>
      </c>
      <c r="Q291" s="6" t="str">
        <f>IFERROR(__xludf.DUMMYFUNCTION("AVERAGE(QUERY(GOOGLEFINANCE(C291, ""price"", TODAY()-80, TODAY()), ""SELECT Col2 WHERE Col2 IS NOT NULL ORDER BY Col1 DESC LIMIT 50"", 0))"),"#N/A")</f>
        <v>#N/A</v>
      </c>
      <c r="R291" s="24" t="str">
        <f>IFERROR(__xludf.DUMMYFUNCTION("IFERROR(
  LET(
    data, QUERY(GOOGLEFINANCE(C291,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GOOGLEFINANCE(C291, ""price"")) * 100,
    IF(calc=0, G291, calc)
  ), 
G291)"),"#N/A")</f>
        <v>#N/A</v>
      </c>
      <c r="S291" s="8" t="s">
        <v>15</v>
      </c>
      <c r="T291" s="26" t="str">
        <f>IFERROR(__xludf.DUMMYFUNCTION("IFERROR(TRANSPOSE(QUERY(IFERROR(SORT(GOOGLEFINANCE(C291, ""price"", WORKDAY(TODAY(), -40), TODAY()), 1, FALSE)), ""select Col2 where Col2 is not null limit 22 label Col2 ''"", 0)), """")"),"")</f>
        <v/>
      </c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8"/>
      <c r="AO291" s="28"/>
      <c r="AP291" s="29"/>
      <c r="AQ291" s="29" t="str">
        <f t="shared" ref="AQ291:BL291" si="294">T291/T$2</f>
        <v>#N/A</v>
      </c>
      <c r="AR291" s="29" t="str">
        <f t="shared" si="294"/>
        <v>#DIV/0!</v>
      </c>
      <c r="AS291" s="29" t="str">
        <f t="shared" si="294"/>
        <v>#DIV/0!</v>
      </c>
      <c r="AT291" s="29" t="str">
        <f t="shared" si="294"/>
        <v>#DIV/0!</v>
      </c>
      <c r="AU291" s="29" t="str">
        <f t="shared" si="294"/>
        <v>#DIV/0!</v>
      </c>
      <c r="AV291" s="29" t="str">
        <f t="shared" si="294"/>
        <v>#DIV/0!</v>
      </c>
      <c r="AW291" s="29" t="str">
        <f t="shared" si="294"/>
        <v>#DIV/0!</v>
      </c>
      <c r="AX291" s="29" t="str">
        <f t="shared" si="294"/>
        <v>#DIV/0!</v>
      </c>
      <c r="AY291" s="29" t="str">
        <f t="shared" si="294"/>
        <v>#DIV/0!</v>
      </c>
      <c r="AZ291" s="29" t="str">
        <f t="shared" si="294"/>
        <v>#DIV/0!</v>
      </c>
      <c r="BA291" s="29" t="str">
        <f t="shared" si="294"/>
        <v>#DIV/0!</v>
      </c>
      <c r="BB291" s="29" t="str">
        <f t="shared" si="294"/>
        <v>#DIV/0!</v>
      </c>
      <c r="BC291" s="29" t="str">
        <f t="shared" si="294"/>
        <v>#DIV/0!</v>
      </c>
      <c r="BD291" s="29" t="str">
        <f t="shared" si="294"/>
        <v>#DIV/0!</v>
      </c>
      <c r="BE291" s="29" t="str">
        <f t="shared" si="294"/>
        <v>#DIV/0!</v>
      </c>
      <c r="BF291" s="29" t="str">
        <f t="shared" si="294"/>
        <v>#DIV/0!</v>
      </c>
      <c r="BG291" s="29" t="str">
        <f t="shared" si="294"/>
        <v>#DIV/0!</v>
      </c>
      <c r="BH291" s="29" t="str">
        <f t="shared" si="294"/>
        <v>#DIV/0!</v>
      </c>
      <c r="BI291" s="29" t="str">
        <f t="shared" si="294"/>
        <v>#DIV/0!</v>
      </c>
      <c r="BJ291" s="29" t="str">
        <f t="shared" si="294"/>
        <v>#DIV/0!</v>
      </c>
      <c r="BK291" s="29" t="str">
        <f t="shared" si="294"/>
        <v>#DIV/0!</v>
      </c>
      <c r="BL291" s="29" t="str">
        <f t="shared" si="294"/>
        <v>#DIV/0!</v>
      </c>
      <c r="BM291" s="29" t="str">
        <f t="shared" si="3"/>
        <v>#DIV/0!</v>
      </c>
    </row>
    <row r="292">
      <c r="A292" s="16" t="str">
        <f>IFERROR(__xludf.DUMMYFUNCTION("IFERROR(SPARKLINE(SORT(MAP(TRANSPOSE(AQ292:BL292), LAMBDA(val, IF(ISNUMBER(val), PERCENTRANK(AQ292:BL292, val)+0.01, 0))), SEQUENCE(COLUMNS(AQ292:BL292)), FALSE), {""charttype"",""column""; ""color"",""chartreuse""; ""ymin"", 0; ""ymax"", 1.01; ""highcolo"&amp;"r"", ""darkgreen""; ""lowcolor"", ""red""}), """")"),"")</f>
        <v/>
      </c>
      <c r="B292" s="17" t="str">
        <f t="shared" si="4"/>
        <v/>
      </c>
      <c r="C292" s="1" t="s">
        <v>1279</v>
      </c>
      <c r="D292" s="30" t="str">
        <f>IFERROR(__xludf.DUMMYFUNCTION("IFERROR(GOOGLEFINANCE(C292, ""NAME""))"),"Amphenol Corp")</f>
        <v>Amphenol Corp</v>
      </c>
      <c r="E292" s="30" t="s">
        <v>469</v>
      </c>
      <c r="F292" s="33" t="str">
        <f>IFERROR(__xludf.DUMMYFUNCTION("( (GOOGLEFINANCE(C292, ""price"") - Q292) / Q292 ) / (R292 / 100)"),"Loading...")</f>
        <v>Loading...</v>
      </c>
      <c r="G292" s="20" t="str">
        <f>IFERROR(__xludf.DUMMYFUNCTION("AVERAGE(ARRAYFORMULA(100 * (QUERY(GOOGLEFINANCE(C292, ""high"", TODAY()-40, TODAY()), ""SELECT Col2 WHERE Col2 IS NOT NULL ORDER BY Col1 DESC LIMIT 20"", 0) / QUERY(GOOGLEFINANCE(C292, ""low"", TODAY()-40, TODAY()), ""SELECT Col2 WHERE Col2 IS NOT NULL OR"&amp;"DER BY Col1 DESC LIMIT 20"", 0) - 1)))"),"#N/A")</f>
        <v>#N/A</v>
      </c>
      <c r="H292" s="35" t="str">
        <f t="shared" si="6"/>
        <v/>
      </c>
      <c r="I292" s="36" t="str">
        <f t="shared" si="7"/>
        <v/>
      </c>
      <c r="J292" s="37" t="str">
        <f>IFERROR(__xludf.DUMMYFUNCTION("IFERROR(
  IF(C292="""",, 
    IFERROR(
      GOOGLEFINANCE(C292, ""price"") * GOOGLEFINANCE(C292, ""volumeavg""), 
      GOOGLEFINANCE(C292, ""price"") * AVERAGE(QUERY(GOOGLEFINANCE(C292, ""volume"", TODAY()-40, TODAY()), ""SELECT Col2 WHERE Col2 IS NOT "&amp;"NULL ORDER BY Col1 DESC LIMIT 20"", 0))
    )
  ), 
"""")"),"")</f>
        <v/>
      </c>
      <c r="K292" s="21" t="str">
        <f>IFERROR(__xludf.DUMMYFUNCTION("IFERROR(GOOGLEFINANCE(C292, ""changepct"") / 100, """")"),"")</f>
        <v/>
      </c>
      <c r="L292" s="21" t="str">
        <f>IFERROR(__xludf.DUMMYFUNCTION("IFERROR((GOOGLEFINANCE(C292, ""price"") / INDEX(GOOGLEFINANCE(C292, ""price"", TODAY()-7, TODAY()), 2, 2)) - 1, """")"),"")</f>
        <v/>
      </c>
      <c r="M292" s="21" t="str">
        <f>IFERROR(__xludf.DUMMYFUNCTION("IFERROR((GOOGLEFINANCE(C292, ""price"") / INDEX(GOOGLEFINANCE(C292, ""price"", EDATE(TODAY(), -1), TODAY()), 2, 2)) - 1, """")"),"")</f>
        <v/>
      </c>
      <c r="N292" s="21" t="str">
        <f>IFERROR(__xludf.DUMMYFUNCTION("IFERROR((GOOGLEFINANCE(C292, ""price"") / INDEX(GOOGLEFINANCE(C292, ""price"", EDATE(TODAY(), -3), TODAY()), 2, 2)) - 1, """")"),"")</f>
        <v/>
      </c>
      <c r="O292" s="21" t="str">
        <f>IFERROR(__xludf.DUMMYFUNCTION("IFERROR((GOOGLEFINANCE(C292, ""price"") / INDEX(GOOGLEFINANCE(C292, ""price"", EDATE(TODAY(), -6), TODAY()), 2, 2)) - 1, """")"),"")</f>
        <v/>
      </c>
      <c r="P292" s="21" t="str">
        <f>IFERROR(__xludf.DUMMYFUNCTION("IFERROR((GOOGLEFINANCE(C292, ""price"") / INDEX(GOOGLEFINANCE(C292, ""price"", EDATE(TODAY(), -12), TODAY()), 2, 2)) - 1, """")"),"")</f>
        <v/>
      </c>
      <c r="Q292" s="6" t="str">
        <f>IFERROR(__xludf.DUMMYFUNCTION("AVERAGE(QUERY(GOOGLEFINANCE(C292, ""price"", TODAY()-80, TODAY()), ""SELECT Col2 WHERE Col2 IS NOT NULL ORDER BY Col1 DESC LIMIT 50"", 0))"),"#N/A")</f>
        <v>#N/A</v>
      </c>
      <c r="R292" s="24" t="str">
        <f>IFERROR(__xludf.DUMMYFUNCTION("IFERROR(
  LET(
    data, QUERY(GOOGLEFINANCE(C292,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GOOGLEFINANCE(C292, ""price"")) * 100,
    IF(calc=0, G292, calc)
  ), 
G292)"),"#N/A")</f>
        <v>#N/A</v>
      </c>
      <c r="S292" s="8" t="s">
        <v>15</v>
      </c>
      <c r="T292" s="26" t="str">
        <f>IFERROR(__xludf.DUMMYFUNCTION("IFERROR(TRANSPOSE(QUERY(IFERROR(SORT(GOOGLEFINANCE(C292, ""price"", WORKDAY(TODAY(), -40), TODAY()), 1, FALSE)), ""select Col2 where Col2 is not null limit 22 label Col2 ''"", 0)), """")"),"")</f>
        <v/>
      </c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8"/>
      <c r="AO292" s="28"/>
      <c r="AP292" s="29"/>
      <c r="AQ292" s="29" t="str">
        <f t="shared" ref="AQ292:BL292" si="295">T292/T$2</f>
        <v>#N/A</v>
      </c>
      <c r="AR292" s="29" t="str">
        <f t="shared" si="295"/>
        <v>#DIV/0!</v>
      </c>
      <c r="AS292" s="29" t="str">
        <f t="shared" si="295"/>
        <v>#DIV/0!</v>
      </c>
      <c r="AT292" s="29" t="str">
        <f t="shared" si="295"/>
        <v>#DIV/0!</v>
      </c>
      <c r="AU292" s="29" t="str">
        <f t="shared" si="295"/>
        <v>#DIV/0!</v>
      </c>
      <c r="AV292" s="29" t="str">
        <f t="shared" si="295"/>
        <v>#DIV/0!</v>
      </c>
      <c r="AW292" s="29" t="str">
        <f t="shared" si="295"/>
        <v>#DIV/0!</v>
      </c>
      <c r="AX292" s="29" t="str">
        <f t="shared" si="295"/>
        <v>#DIV/0!</v>
      </c>
      <c r="AY292" s="29" t="str">
        <f t="shared" si="295"/>
        <v>#DIV/0!</v>
      </c>
      <c r="AZ292" s="29" t="str">
        <f t="shared" si="295"/>
        <v>#DIV/0!</v>
      </c>
      <c r="BA292" s="29" t="str">
        <f t="shared" si="295"/>
        <v>#DIV/0!</v>
      </c>
      <c r="BB292" s="29" t="str">
        <f t="shared" si="295"/>
        <v>#DIV/0!</v>
      </c>
      <c r="BC292" s="29" t="str">
        <f t="shared" si="295"/>
        <v>#DIV/0!</v>
      </c>
      <c r="BD292" s="29" t="str">
        <f t="shared" si="295"/>
        <v>#DIV/0!</v>
      </c>
      <c r="BE292" s="29" t="str">
        <f t="shared" si="295"/>
        <v>#DIV/0!</v>
      </c>
      <c r="BF292" s="29" t="str">
        <f t="shared" si="295"/>
        <v>#DIV/0!</v>
      </c>
      <c r="BG292" s="29" t="str">
        <f t="shared" si="295"/>
        <v>#DIV/0!</v>
      </c>
      <c r="BH292" s="29" t="str">
        <f t="shared" si="295"/>
        <v>#DIV/0!</v>
      </c>
      <c r="BI292" s="29" t="str">
        <f t="shared" si="295"/>
        <v>#DIV/0!</v>
      </c>
      <c r="BJ292" s="29" t="str">
        <f t="shared" si="295"/>
        <v>#DIV/0!</v>
      </c>
      <c r="BK292" s="29" t="str">
        <f t="shared" si="295"/>
        <v>#DIV/0!</v>
      </c>
      <c r="BL292" s="29" t="str">
        <f t="shared" si="295"/>
        <v>#DIV/0!</v>
      </c>
      <c r="BM292" s="29" t="str">
        <f t="shared" si="3"/>
        <v>#DIV/0!</v>
      </c>
    </row>
    <row r="293">
      <c r="A293" s="16" t="str">
        <f>IFERROR(__xludf.DUMMYFUNCTION("IFERROR(SPARKLINE(SORT(MAP(TRANSPOSE(AQ293:BL293), LAMBDA(val, IF(ISNUMBER(val), PERCENTRANK(AQ293:BL293, val)+0.01, 0))), SEQUENCE(COLUMNS(AQ293:BL293)), FALSE), {""charttype"",""column""; ""color"",""chartreuse""; ""ymin"", 0; ""ymax"", 1.01; ""highcolo"&amp;"r"", ""darkgreen""; ""lowcolor"", ""red""}), """")"),"")</f>
        <v/>
      </c>
      <c r="B293" s="17" t="str">
        <f t="shared" si="4"/>
        <v/>
      </c>
      <c r="C293" s="1" t="s">
        <v>1284</v>
      </c>
      <c r="D293" s="30" t="str">
        <f>IFERROR(__xludf.DUMMYFUNCTION("IFERROR(GOOGLEFINANCE(C293, ""NAME""))"),"Mitek Systems Inc")</f>
        <v>Mitek Systems Inc</v>
      </c>
      <c r="E293" s="30" t="s">
        <v>48</v>
      </c>
      <c r="F293" s="33" t="str">
        <f>IFERROR(__xludf.DUMMYFUNCTION("( (GOOGLEFINANCE(C293, ""price"") - Q293) / Q293 ) / (R293 / 100)"),"Loading...")</f>
        <v>Loading...</v>
      </c>
      <c r="G293" s="20" t="str">
        <f>IFERROR(__xludf.DUMMYFUNCTION("AVERAGE(ARRAYFORMULA(100 * (QUERY(GOOGLEFINANCE(C293, ""high"", TODAY()-40, TODAY()), ""SELECT Col2 WHERE Col2 IS NOT NULL ORDER BY Col1 DESC LIMIT 20"", 0) / QUERY(GOOGLEFINANCE(C293, ""low"", TODAY()-40, TODAY()), ""SELECT Col2 WHERE Col2 IS NOT NULL OR"&amp;"DER BY Col1 DESC LIMIT 20"", 0) - 1)))"),"#N/A")</f>
        <v>#N/A</v>
      </c>
      <c r="H293" s="35" t="str">
        <f t="shared" si="6"/>
        <v/>
      </c>
      <c r="I293" s="36" t="str">
        <f t="shared" si="7"/>
        <v/>
      </c>
      <c r="J293" s="37" t="str">
        <f>IFERROR(__xludf.DUMMYFUNCTION("IFERROR(
  IF(C293="""",, 
    IFERROR(
      GOOGLEFINANCE(C293, ""price"") * GOOGLEFINANCE(C293, ""volumeavg""), 
      GOOGLEFINANCE(C293, ""price"") * AVERAGE(QUERY(GOOGLEFINANCE(C293, ""volume"", TODAY()-40, TODAY()), ""SELECT Col2 WHERE Col2 IS NOT "&amp;"NULL ORDER BY Col1 DESC LIMIT 20"", 0))
    )
  ), 
"""")"),"")</f>
        <v/>
      </c>
      <c r="K293" s="21" t="str">
        <f>IFERROR(__xludf.DUMMYFUNCTION("IFERROR(GOOGLEFINANCE(C293, ""changepct"") / 100, """")"),"")</f>
        <v/>
      </c>
      <c r="L293" s="21" t="str">
        <f>IFERROR(__xludf.DUMMYFUNCTION("IFERROR((GOOGLEFINANCE(C293, ""price"") / INDEX(GOOGLEFINANCE(C293, ""price"", TODAY()-7, TODAY()), 2, 2)) - 1, """")"),"")</f>
        <v/>
      </c>
      <c r="M293" s="21" t="str">
        <f>IFERROR(__xludf.DUMMYFUNCTION("IFERROR((GOOGLEFINANCE(C293, ""price"") / INDEX(GOOGLEFINANCE(C293, ""price"", EDATE(TODAY(), -1), TODAY()), 2, 2)) - 1, """")"),"")</f>
        <v/>
      </c>
      <c r="N293" s="21" t="str">
        <f>IFERROR(__xludf.DUMMYFUNCTION("IFERROR((GOOGLEFINANCE(C293, ""price"") / INDEX(GOOGLEFINANCE(C293, ""price"", EDATE(TODAY(), -3), TODAY()), 2, 2)) - 1, """")"),"")</f>
        <v/>
      </c>
      <c r="O293" s="21" t="str">
        <f>IFERROR(__xludf.DUMMYFUNCTION("IFERROR((GOOGLEFINANCE(C293, ""price"") / INDEX(GOOGLEFINANCE(C293, ""price"", EDATE(TODAY(), -6), TODAY()), 2, 2)) - 1, """")"),"")</f>
        <v/>
      </c>
      <c r="P293" s="21" t="str">
        <f>IFERROR(__xludf.DUMMYFUNCTION("IFERROR((GOOGLEFINANCE(C293, ""price"") / INDEX(GOOGLEFINANCE(C293, ""price"", EDATE(TODAY(), -12), TODAY()), 2, 2)) - 1, """")"),"")</f>
        <v/>
      </c>
      <c r="Q293" s="6" t="str">
        <f>IFERROR(__xludf.DUMMYFUNCTION("AVERAGE(QUERY(GOOGLEFINANCE(C293, ""price"", TODAY()-80, TODAY()), ""SELECT Col2 WHERE Col2 IS NOT NULL ORDER BY Col1 DESC LIMIT 50"", 0))"),"#N/A")</f>
        <v>#N/A</v>
      </c>
      <c r="R293" s="24" t="str">
        <f>IFERROR(__xludf.DUMMYFUNCTION("IFERROR(
  LET(
    data, QUERY(GOOGLEFINANCE(C293,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GOOGLEFINANCE(C293, ""price"")) * 100,
    IF(calc=0, G293, calc)
  ), 
G293)"),"#N/A")</f>
        <v>#N/A</v>
      </c>
      <c r="S293" s="8" t="s">
        <v>15</v>
      </c>
      <c r="T293" s="26" t="str">
        <f>IFERROR(__xludf.DUMMYFUNCTION("IFERROR(TRANSPOSE(QUERY(IFERROR(SORT(GOOGLEFINANCE(C293, ""price"", WORKDAY(TODAY(), -40), TODAY()), 1, FALSE)), ""select Col2 where Col2 is not null limit 22 label Col2 ''"", 0)), """")"),"")</f>
        <v/>
      </c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8"/>
      <c r="AO293" s="28"/>
      <c r="AP293" s="29"/>
      <c r="AQ293" s="29" t="str">
        <f t="shared" ref="AQ293:BL293" si="296">T293/T$2</f>
        <v>#N/A</v>
      </c>
      <c r="AR293" s="29" t="str">
        <f t="shared" si="296"/>
        <v>#DIV/0!</v>
      </c>
      <c r="AS293" s="29" t="str">
        <f t="shared" si="296"/>
        <v>#DIV/0!</v>
      </c>
      <c r="AT293" s="29" t="str">
        <f t="shared" si="296"/>
        <v>#DIV/0!</v>
      </c>
      <c r="AU293" s="29" t="str">
        <f t="shared" si="296"/>
        <v>#DIV/0!</v>
      </c>
      <c r="AV293" s="29" t="str">
        <f t="shared" si="296"/>
        <v>#DIV/0!</v>
      </c>
      <c r="AW293" s="29" t="str">
        <f t="shared" si="296"/>
        <v>#DIV/0!</v>
      </c>
      <c r="AX293" s="29" t="str">
        <f t="shared" si="296"/>
        <v>#DIV/0!</v>
      </c>
      <c r="AY293" s="29" t="str">
        <f t="shared" si="296"/>
        <v>#DIV/0!</v>
      </c>
      <c r="AZ293" s="29" t="str">
        <f t="shared" si="296"/>
        <v>#DIV/0!</v>
      </c>
      <c r="BA293" s="29" t="str">
        <f t="shared" si="296"/>
        <v>#DIV/0!</v>
      </c>
      <c r="BB293" s="29" t="str">
        <f t="shared" si="296"/>
        <v>#DIV/0!</v>
      </c>
      <c r="BC293" s="29" t="str">
        <f t="shared" si="296"/>
        <v>#DIV/0!</v>
      </c>
      <c r="BD293" s="29" t="str">
        <f t="shared" si="296"/>
        <v>#DIV/0!</v>
      </c>
      <c r="BE293" s="29" t="str">
        <f t="shared" si="296"/>
        <v>#DIV/0!</v>
      </c>
      <c r="BF293" s="29" t="str">
        <f t="shared" si="296"/>
        <v>#DIV/0!</v>
      </c>
      <c r="BG293" s="29" t="str">
        <f t="shared" si="296"/>
        <v>#DIV/0!</v>
      </c>
      <c r="BH293" s="29" t="str">
        <f t="shared" si="296"/>
        <v>#DIV/0!</v>
      </c>
      <c r="BI293" s="29" t="str">
        <f t="shared" si="296"/>
        <v>#DIV/0!</v>
      </c>
      <c r="BJ293" s="29" t="str">
        <f t="shared" si="296"/>
        <v>#DIV/0!</v>
      </c>
      <c r="BK293" s="29" t="str">
        <f t="shared" si="296"/>
        <v>#DIV/0!</v>
      </c>
      <c r="BL293" s="29" t="str">
        <f t="shared" si="296"/>
        <v>#DIV/0!</v>
      </c>
      <c r="BM293" s="29" t="str">
        <f t="shared" si="3"/>
        <v>#DIV/0!</v>
      </c>
    </row>
    <row r="294">
      <c r="A294" s="16" t="str">
        <f>IFERROR(__xludf.DUMMYFUNCTION("IFERROR(SPARKLINE(SORT(MAP(TRANSPOSE(AQ294:BL294), LAMBDA(val, IF(ISNUMBER(val), PERCENTRANK(AQ294:BL294, val)+0.01, 0))), SEQUENCE(COLUMNS(AQ294:BL294)), FALSE), {""charttype"",""column""; ""color"",""chartreuse""; ""ymin"", 0; ""ymax"", 1.01; ""highcolo"&amp;"r"", ""darkgreen""; ""lowcolor"", ""red""}), """")"),"")</f>
        <v/>
      </c>
      <c r="B294" s="17" t="str">
        <f t="shared" si="4"/>
        <v/>
      </c>
      <c r="C294" s="1" t="s">
        <v>1287</v>
      </c>
      <c r="D294" s="30" t="str">
        <f>IFERROR(__xludf.DUMMYFUNCTION("IFERROR(GOOGLEFINANCE(C294, ""NAME""))"),"Telefonaktiebolaget LM Ericsson - ADR")</f>
        <v>Telefonaktiebolaget LM Ericsson - ADR</v>
      </c>
      <c r="E294" s="30" t="s">
        <v>716</v>
      </c>
      <c r="F294" s="33" t="str">
        <f>IFERROR(__xludf.DUMMYFUNCTION("( (GOOGLEFINANCE(C294, ""price"") - Q294) / Q294 ) / (R294 / 100)"),"Loading...")</f>
        <v>Loading...</v>
      </c>
      <c r="G294" s="20" t="str">
        <f>IFERROR(__xludf.DUMMYFUNCTION("AVERAGE(ARRAYFORMULA(100 * (QUERY(GOOGLEFINANCE(C294, ""high"", TODAY()-40, TODAY()), ""SELECT Col2 WHERE Col2 IS NOT NULL ORDER BY Col1 DESC LIMIT 20"", 0) / QUERY(GOOGLEFINANCE(C294, ""low"", TODAY()-40, TODAY()), ""SELECT Col2 WHERE Col2 IS NOT NULL OR"&amp;"DER BY Col1 DESC LIMIT 20"", 0) - 1)))"),"#N/A")</f>
        <v>#N/A</v>
      </c>
      <c r="H294" s="35" t="str">
        <f t="shared" si="6"/>
        <v/>
      </c>
      <c r="I294" s="36" t="str">
        <f t="shared" si="7"/>
        <v/>
      </c>
      <c r="J294" s="37" t="str">
        <f>IFERROR(__xludf.DUMMYFUNCTION("IFERROR(
  IF(C294="""",, 
    IFERROR(
      GOOGLEFINANCE(C294, ""price"") * GOOGLEFINANCE(C294, ""volumeavg""), 
      GOOGLEFINANCE(C294, ""price"") * AVERAGE(QUERY(GOOGLEFINANCE(C294, ""volume"", TODAY()-40, TODAY()), ""SELECT Col2 WHERE Col2 IS NOT "&amp;"NULL ORDER BY Col1 DESC LIMIT 20"", 0))
    )
  ), 
"""")"),"")</f>
        <v/>
      </c>
      <c r="K294" s="21" t="str">
        <f>IFERROR(__xludf.DUMMYFUNCTION("IFERROR(GOOGLEFINANCE(C294, ""changepct"") / 100, """")"),"")</f>
        <v/>
      </c>
      <c r="L294" s="21" t="str">
        <f>IFERROR(__xludf.DUMMYFUNCTION("IFERROR((GOOGLEFINANCE(C294, ""price"") / INDEX(GOOGLEFINANCE(C294, ""price"", TODAY()-7, TODAY()), 2, 2)) - 1, """")"),"")</f>
        <v/>
      </c>
      <c r="M294" s="21" t="str">
        <f>IFERROR(__xludf.DUMMYFUNCTION("IFERROR((GOOGLEFINANCE(C294, ""price"") / INDEX(GOOGLEFINANCE(C294, ""price"", EDATE(TODAY(), -1), TODAY()), 2, 2)) - 1, """")"),"")</f>
        <v/>
      </c>
      <c r="N294" s="21" t="str">
        <f>IFERROR(__xludf.DUMMYFUNCTION("IFERROR((GOOGLEFINANCE(C294, ""price"") / INDEX(GOOGLEFINANCE(C294, ""price"", EDATE(TODAY(), -3), TODAY()), 2, 2)) - 1, """")"),"")</f>
        <v/>
      </c>
      <c r="O294" s="21" t="str">
        <f>IFERROR(__xludf.DUMMYFUNCTION("IFERROR((GOOGLEFINANCE(C294, ""price"") / INDEX(GOOGLEFINANCE(C294, ""price"", EDATE(TODAY(), -6), TODAY()), 2, 2)) - 1, """")"),"")</f>
        <v/>
      </c>
      <c r="P294" s="21" t="str">
        <f>IFERROR(__xludf.DUMMYFUNCTION("IFERROR((GOOGLEFINANCE(C294, ""price"") / INDEX(GOOGLEFINANCE(C294, ""price"", EDATE(TODAY(), -12), TODAY()), 2, 2)) - 1, """")"),"")</f>
        <v/>
      </c>
      <c r="Q294" s="6" t="str">
        <f>IFERROR(__xludf.DUMMYFUNCTION("AVERAGE(QUERY(GOOGLEFINANCE(C294, ""price"", TODAY()-80, TODAY()), ""SELECT Col2 WHERE Col2 IS NOT NULL ORDER BY Col1 DESC LIMIT 50"", 0))"),"#N/A")</f>
        <v>#N/A</v>
      </c>
      <c r="R294" s="24" t="str">
        <f>IFERROR(__xludf.DUMMYFUNCTION("IFERROR(
  LET(
    data, QUERY(GOOGLEFINANCE(C294,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GOOGLEFINANCE(C294, ""price"")) * 100,
    IF(calc=0, G294, calc)
  ), 
G294)"),"#N/A")</f>
        <v>#N/A</v>
      </c>
      <c r="S294" s="8" t="s">
        <v>15</v>
      </c>
      <c r="T294" s="26" t="str">
        <f>IFERROR(__xludf.DUMMYFUNCTION("IFERROR(TRANSPOSE(QUERY(IFERROR(SORT(GOOGLEFINANCE(C294, ""price"", WORKDAY(TODAY(), -40), TODAY()), 1, FALSE)), ""select Col2 where Col2 is not null limit 22 label Col2 ''"", 0)), """")"),"")</f>
        <v/>
      </c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8"/>
      <c r="AO294" s="28"/>
      <c r="AP294" s="29"/>
      <c r="AQ294" s="29" t="str">
        <f t="shared" ref="AQ294:BL294" si="297">T294/T$2</f>
        <v>#N/A</v>
      </c>
      <c r="AR294" s="29" t="str">
        <f t="shared" si="297"/>
        <v>#DIV/0!</v>
      </c>
      <c r="AS294" s="29" t="str">
        <f t="shared" si="297"/>
        <v>#DIV/0!</v>
      </c>
      <c r="AT294" s="29" t="str">
        <f t="shared" si="297"/>
        <v>#DIV/0!</v>
      </c>
      <c r="AU294" s="29" t="str">
        <f t="shared" si="297"/>
        <v>#DIV/0!</v>
      </c>
      <c r="AV294" s="29" t="str">
        <f t="shared" si="297"/>
        <v>#DIV/0!</v>
      </c>
      <c r="AW294" s="29" t="str">
        <f t="shared" si="297"/>
        <v>#DIV/0!</v>
      </c>
      <c r="AX294" s="29" t="str">
        <f t="shared" si="297"/>
        <v>#DIV/0!</v>
      </c>
      <c r="AY294" s="29" t="str">
        <f t="shared" si="297"/>
        <v>#DIV/0!</v>
      </c>
      <c r="AZ294" s="29" t="str">
        <f t="shared" si="297"/>
        <v>#DIV/0!</v>
      </c>
      <c r="BA294" s="29" t="str">
        <f t="shared" si="297"/>
        <v>#DIV/0!</v>
      </c>
      <c r="BB294" s="29" t="str">
        <f t="shared" si="297"/>
        <v>#DIV/0!</v>
      </c>
      <c r="BC294" s="29" t="str">
        <f t="shared" si="297"/>
        <v>#DIV/0!</v>
      </c>
      <c r="BD294" s="29" t="str">
        <f t="shared" si="297"/>
        <v>#DIV/0!</v>
      </c>
      <c r="BE294" s="29" t="str">
        <f t="shared" si="297"/>
        <v>#DIV/0!</v>
      </c>
      <c r="BF294" s="29" t="str">
        <f t="shared" si="297"/>
        <v>#DIV/0!</v>
      </c>
      <c r="BG294" s="29" t="str">
        <f t="shared" si="297"/>
        <v>#DIV/0!</v>
      </c>
      <c r="BH294" s="29" t="str">
        <f t="shared" si="297"/>
        <v>#DIV/0!</v>
      </c>
      <c r="BI294" s="29" t="str">
        <f t="shared" si="297"/>
        <v>#DIV/0!</v>
      </c>
      <c r="BJ294" s="29" t="str">
        <f t="shared" si="297"/>
        <v>#DIV/0!</v>
      </c>
      <c r="BK294" s="29" t="str">
        <f t="shared" si="297"/>
        <v>#DIV/0!</v>
      </c>
      <c r="BL294" s="29" t="str">
        <f t="shared" si="297"/>
        <v>#DIV/0!</v>
      </c>
      <c r="BM294" s="29" t="str">
        <f t="shared" si="3"/>
        <v>#DIV/0!</v>
      </c>
    </row>
    <row r="295">
      <c r="A295" s="16" t="str">
        <f>IFERROR(__xludf.DUMMYFUNCTION("IFERROR(SPARKLINE(SORT(MAP(TRANSPOSE(AQ295:BL295), LAMBDA(val, IF(ISNUMBER(val), PERCENTRANK(AQ295:BL295, val)+0.01, 0))), SEQUENCE(COLUMNS(AQ295:BL295)), FALSE), {""charttype"",""column""; ""color"",""chartreuse""; ""ymin"", 0; ""ymax"", 1.01; ""highcolo"&amp;"r"", ""darkgreen""; ""lowcolor"", ""red""}), """")"),"")</f>
        <v/>
      </c>
      <c r="B295" s="17" t="str">
        <f t="shared" si="4"/>
        <v/>
      </c>
      <c r="C295" s="1" t="s">
        <v>1289</v>
      </c>
      <c r="D295" s="30" t="str">
        <f>IFERROR(__xludf.DUMMYFUNCTION("IFERROR(GOOGLEFINANCE(C295, ""NAME""))"),"Arista Networks Inc")</f>
        <v>Arista Networks Inc</v>
      </c>
      <c r="E295" s="30" t="s">
        <v>477</v>
      </c>
      <c r="F295" s="33" t="str">
        <f>IFERROR(__xludf.DUMMYFUNCTION("( (GOOGLEFINANCE(C295, ""price"") - Q295) / Q295 ) / (R295 / 100)"),"Loading...")</f>
        <v>Loading...</v>
      </c>
      <c r="G295" s="20" t="str">
        <f>IFERROR(__xludf.DUMMYFUNCTION("AVERAGE(ARRAYFORMULA(100 * (QUERY(GOOGLEFINANCE(C295, ""high"", TODAY()-40, TODAY()), ""SELECT Col2 WHERE Col2 IS NOT NULL ORDER BY Col1 DESC LIMIT 20"", 0) / QUERY(GOOGLEFINANCE(C295, ""low"", TODAY()-40, TODAY()), ""SELECT Col2 WHERE Col2 IS NOT NULL OR"&amp;"DER BY Col1 DESC LIMIT 20"", 0) - 1)))"),"#N/A")</f>
        <v>#N/A</v>
      </c>
      <c r="H295" s="35" t="str">
        <f t="shared" si="6"/>
        <v/>
      </c>
      <c r="I295" s="36" t="str">
        <f t="shared" si="7"/>
        <v/>
      </c>
      <c r="J295" s="37" t="str">
        <f>IFERROR(__xludf.DUMMYFUNCTION("IFERROR(
  IF(C295="""",, 
    IFERROR(
      GOOGLEFINANCE(C295, ""price"") * GOOGLEFINANCE(C295, ""volumeavg""), 
      GOOGLEFINANCE(C295, ""price"") * AVERAGE(QUERY(GOOGLEFINANCE(C295, ""volume"", TODAY()-40, TODAY()), ""SELECT Col2 WHERE Col2 IS NOT "&amp;"NULL ORDER BY Col1 DESC LIMIT 20"", 0))
    )
  ), 
"""")"),"")</f>
        <v/>
      </c>
      <c r="K295" s="21" t="str">
        <f>IFERROR(__xludf.DUMMYFUNCTION("IFERROR(GOOGLEFINANCE(C295, ""changepct"") / 100, """")"),"")</f>
        <v/>
      </c>
      <c r="L295" s="21" t="str">
        <f>IFERROR(__xludf.DUMMYFUNCTION("IFERROR((GOOGLEFINANCE(C295, ""price"") / INDEX(GOOGLEFINANCE(C295, ""price"", TODAY()-7, TODAY()), 2, 2)) - 1, """")"),"")</f>
        <v/>
      </c>
      <c r="M295" s="21" t="str">
        <f>IFERROR(__xludf.DUMMYFUNCTION("IFERROR((GOOGLEFINANCE(C295, ""price"") / INDEX(GOOGLEFINANCE(C295, ""price"", EDATE(TODAY(), -1), TODAY()), 2, 2)) - 1, """")"),"")</f>
        <v/>
      </c>
      <c r="N295" s="21" t="str">
        <f>IFERROR(__xludf.DUMMYFUNCTION("IFERROR((GOOGLEFINANCE(C295, ""price"") / INDEX(GOOGLEFINANCE(C295, ""price"", EDATE(TODAY(), -3), TODAY()), 2, 2)) - 1, """")"),"")</f>
        <v/>
      </c>
      <c r="O295" s="21" t="str">
        <f>IFERROR(__xludf.DUMMYFUNCTION("IFERROR((GOOGLEFINANCE(C295, ""price"") / INDEX(GOOGLEFINANCE(C295, ""price"", EDATE(TODAY(), -6), TODAY()), 2, 2)) - 1, """")"),"")</f>
        <v/>
      </c>
      <c r="P295" s="21" t="str">
        <f>IFERROR(__xludf.DUMMYFUNCTION("IFERROR((GOOGLEFINANCE(C295, ""price"") / INDEX(GOOGLEFINANCE(C295, ""price"", EDATE(TODAY(), -12), TODAY()), 2, 2)) - 1, """")"),"")</f>
        <v/>
      </c>
      <c r="Q295" s="6" t="str">
        <f>IFERROR(__xludf.DUMMYFUNCTION("AVERAGE(QUERY(GOOGLEFINANCE(C295, ""price"", TODAY()-80, TODAY()), ""SELECT Col2 WHERE Col2 IS NOT NULL ORDER BY Col1 DESC LIMIT 50"", 0))"),"#N/A")</f>
        <v>#N/A</v>
      </c>
      <c r="R295" s="24" t="str">
        <f>IFERROR(__xludf.DUMMYFUNCTION("IFERROR(
  LET(
    data, QUERY(GOOGLEFINANCE(C295,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GOOGLEFINANCE(C295, ""price"")) * 100,
    IF(calc=0, G295, calc)
  ), 
G295)"),"#N/A")</f>
        <v>#N/A</v>
      </c>
      <c r="S295" s="8" t="s">
        <v>15</v>
      </c>
      <c r="T295" s="26" t="str">
        <f>IFERROR(__xludf.DUMMYFUNCTION("IFERROR(TRANSPOSE(QUERY(IFERROR(SORT(GOOGLEFINANCE(C295, ""price"", WORKDAY(TODAY(), -40), TODAY()), 1, FALSE)), ""select Col2 where Col2 is not null limit 22 label Col2 ''"", 0)), """")"),"")</f>
        <v/>
      </c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8"/>
      <c r="AO295" s="28"/>
      <c r="AP295" s="29"/>
      <c r="AQ295" s="29" t="str">
        <f t="shared" ref="AQ295:BL295" si="298">T295/T$2</f>
        <v>#N/A</v>
      </c>
      <c r="AR295" s="29" t="str">
        <f t="shared" si="298"/>
        <v>#DIV/0!</v>
      </c>
      <c r="AS295" s="29" t="str">
        <f t="shared" si="298"/>
        <v>#DIV/0!</v>
      </c>
      <c r="AT295" s="29" t="str">
        <f t="shared" si="298"/>
        <v>#DIV/0!</v>
      </c>
      <c r="AU295" s="29" t="str">
        <f t="shared" si="298"/>
        <v>#DIV/0!</v>
      </c>
      <c r="AV295" s="29" t="str">
        <f t="shared" si="298"/>
        <v>#DIV/0!</v>
      </c>
      <c r="AW295" s="29" t="str">
        <f t="shared" si="298"/>
        <v>#DIV/0!</v>
      </c>
      <c r="AX295" s="29" t="str">
        <f t="shared" si="298"/>
        <v>#DIV/0!</v>
      </c>
      <c r="AY295" s="29" t="str">
        <f t="shared" si="298"/>
        <v>#DIV/0!</v>
      </c>
      <c r="AZ295" s="29" t="str">
        <f t="shared" si="298"/>
        <v>#DIV/0!</v>
      </c>
      <c r="BA295" s="29" t="str">
        <f t="shared" si="298"/>
        <v>#DIV/0!</v>
      </c>
      <c r="BB295" s="29" t="str">
        <f t="shared" si="298"/>
        <v>#DIV/0!</v>
      </c>
      <c r="BC295" s="29" t="str">
        <f t="shared" si="298"/>
        <v>#DIV/0!</v>
      </c>
      <c r="BD295" s="29" t="str">
        <f t="shared" si="298"/>
        <v>#DIV/0!</v>
      </c>
      <c r="BE295" s="29" t="str">
        <f t="shared" si="298"/>
        <v>#DIV/0!</v>
      </c>
      <c r="BF295" s="29" t="str">
        <f t="shared" si="298"/>
        <v>#DIV/0!</v>
      </c>
      <c r="BG295" s="29" t="str">
        <f t="shared" si="298"/>
        <v>#DIV/0!</v>
      </c>
      <c r="BH295" s="29" t="str">
        <f t="shared" si="298"/>
        <v>#DIV/0!</v>
      </c>
      <c r="BI295" s="29" t="str">
        <f t="shared" si="298"/>
        <v>#DIV/0!</v>
      </c>
      <c r="BJ295" s="29" t="str">
        <f t="shared" si="298"/>
        <v>#DIV/0!</v>
      </c>
      <c r="BK295" s="29" t="str">
        <f t="shared" si="298"/>
        <v>#DIV/0!</v>
      </c>
      <c r="BL295" s="29" t="str">
        <f t="shared" si="298"/>
        <v>#DIV/0!</v>
      </c>
      <c r="BM295" s="29" t="str">
        <f t="shared" si="3"/>
        <v>#DIV/0!</v>
      </c>
    </row>
    <row r="296">
      <c r="A296" s="16" t="str">
        <f>IFERROR(__xludf.DUMMYFUNCTION("IFERROR(SPARKLINE(SORT(MAP(TRANSPOSE(AQ296:BL296), LAMBDA(val, IF(ISNUMBER(val), PERCENTRANK(AQ296:BL296, val)+0.01, 0))), SEQUENCE(COLUMNS(AQ296:BL296)), FALSE), {""charttype"",""column""; ""color"",""chartreuse""; ""ymin"", 0; ""ymax"", 1.01; ""highcolo"&amp;"r"", ""darkgreen""; ""lowcolor"", ""red""}), """")"),"")</f>
        <v/>
      </c>
      <c r="B296" s="17" t="str">
        <f t="shared" si="4"/>
        <v/>
      </c>
      <c r="C296" s="1" t="s">
        <v>1293</v>
      </c>
      <c r="D296" s="30" t="str">
        <f>IFERROR(__xludf.DUMMYFUNCTION("IFERROR(GOOGLEFINANCE(C296, ""NAME""))"),"IONQ Inc")</f>
        <v>IONQ Inc</v>
      </c>
      <c r="E296" s="30" t="s">
        <v>477</v>
      </c>
      <c r="F296" s="33" t="str">
        <f>IFERROR(__xludf.DUMMYFUNCTION("( (GOOGLEFINANCE(C296, ""price"") - Q296) / Q296 ) / (R296 / 100)"),"Loading...")</f>
        <v>Loading...</v>
      </c>
      <c r="G296" s="20" t="str">
        <f>IFERROR(__xludf.DUMMYFUNCTION("AVERAGE(ARRAYFORMULA(100 * (QUERY(GOOGLEFINANCE(C296, ""high"", TODAY()-40, TODAY()), ""SELECT Col2 WHERE Col2 IS NOT NULL ORDER BY Col1 DESC LIMIT 20"", 0) / QUERY(GOOGLEFINANCE(C296, ""low"", TODAY()-40, TODAY()), ""SELECT Col2 WHERE Col2 IS NOT NULL OR"&amp;"DER BY Col1 DESC LIMIT 20"", 0) - 1)))"),"#N/A")</f>
        <v>#N/A</v>
      </c>
      <c r="H296" s="35" t="str">
        <f t="shared" si="6"/>
        <v/>
      </c>
      <c r="I296" s="36" t="str">
        <f t="shared" si="7"/>
        <v/>
      </c>
      <c r="J296" s="37" t="str">
        <f>IFERROR(__xludf.DUMMYFUNCTION("IFERROR(
  IF(C296="""",, 
    IFERROR(
      GOOGLEFINANCE(C296, ""price"") * GOOGLEFINANCE(C296, ""volumeavg""), 
      GOOGLEFINANCE(C296, ""price"") * AVERAGE(QUERY(GOOGLEFINANCE(C296, ""volume"", TODAY()-40, TODAY()), ""SELECT Col2 WHERE Col2 IS NOT "&amp;"NULL ORDER BY Col1 DESC LIMIT 20"", 0))
    )
  ), 
"""")"),"")</f>
        <v/>
      </c>
      <c r="K296" s="21" t="str">
        <f>IFERROR(__xludf.DUMMYFUNCTION("IFERROR(GOOGLEFINANCE(C296, ""changepct"") / 100, """")"),"")</f>
        <v/>
      </c>
      <c r="L296" s="21" t="str">
        <f>IFERROR(__xludf.DUMMYFUNCTION("IFERROR((GOOGLEFINANCE(C296, ""price"") / INDEX(GOOGLEFINANCE(C296, ""price"", TODAY()-7, TODAY()), 2, 2)) - 1, """")"),"")</f>
        <v/>
      </c>
      <c r="M296" s="21" t="str">
        <f>IFERROR(__xludf.DUMMYFUNCTION("IFERROR((GOOGLEFINANCE(C296, ""price"") / INDEX(GOOGLEFINANCE(C296, ""price"", EDATE(TODAY(), -1), TODAY()), 2, 2)) - 1, """")"),"")</f>
        <v/>
      </c>
      <c r="N296" s="21" t="str">
        <f>IFERROR(__xludf.DUMMYFUNCTION("IFERROR((GOOGLEFINANCE(C296, ""price"") / INDEX(GOOGLEFINANCE(C296, ""price"", EDATE(TODAY(), -3), TODAY()), 2, 2)) - 1, """")"),"")</f>
        <v/>
      </c>
      <c r="O296" s="21" t="str">
        <f>IFERROR(__xludf.DUMMYFUNCTION("IFERROR((GOOGLEFINANCE(C296, ""price"") / INDEX(GOOGLEFINANCE(C296, ""price"", EDATE(TODAY(), -6), TODAY()), 2, 2)) - 1, """")"),"")</f>
        <v/>
      </c>
      <c r="P296" s="21" t="str">
        <f>IFERROR(__xludf.DUMMYFUNCTION("IFERROR((GOOGLEFINANCE(C296, ""price"") / INDEX(GOOGLEFINANCE(C296, ""price"", EDATE(TODAY(), -12), TODAY()), 2, 2)) - 1, """")"),"")</f>
        <v/>
      </c>
      <c r="Q296" s="6" t="str">
        <f>IFERROR(__xludf.DUMMYFUNCTION("AVERAGE(QUERY(GOOGLEFINANCE(C296, ""price"", TODAY()-80, TODAY()), ""SELECT Col2 WHERE Col2 IS NOT NULL ORDER BY Col1 DESC LIMIT 50"", 0))"),"#N/A")</f>
        <v>#N/A</v>
      </c>
      <c r="R296" s="24" t="str">
        <f>IFERROR(__xludf.DUMMYFUNCTION("IFERROR(
  LET(
    data, QUERY(GOOGLEFINANCE(C296,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GOOGLEFINANCE(C296, ""price"")) * 100,
    IF(calc=0, G296, calc)
  ), 
G296)"),"#N/A")</f>
        <v>#N/A</v>
      </c>
      <c r="S296" s="8" t="s">
        <v>15</v>
      </c>
      <c r="T296" s="26" t="str">
        <f>IFERROR(__xludf.DUMMYFUNCTION("IFERROR(TRANSPOSE(QUERY(IFERROR(SORT(GOOGLEFINANCE(C296, ""price"", WORKDAY(TODAY(), -40), TODAY()), 1, FALSE)), ""select Col2 where Col2 is not null limit 22 label Col2 ''"", 0)), """")"),"")</f>
        <v/>
      </c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8"/>
      <c r="AO296" s="28"/>
      <c r="AP296" s="29"/>
      <c r="AQ296" s="29" t="str">
        <f t="shared" ref="AQ296:BL296" si="299">T296/T$2</f>
        <v>#N/A</v>
      </c>
      <c r="AR296" s="29" t="str">
        <f t="shared" si="299"/>
        <v>#DIV/0!</v>
      </c>
      <c r="AS296" s="29" t="str">
        <f t="shared" si="299"/>
        <v>#DIV/0!</v>
      </c>
      <c r="AT296" s="29" t="str">
        <f t="shared" si="299"/>
        <v>#DIV/0!</v>
      </c>
      <c r="AU296" s="29" t="str">
        <f t="shared" si="299"/>
        <v>#DIV/0!</v>
      </c>
      <c r="AV296" s="29" t="str">
        <f t="shared" si="299"/>
        <v>#DIV/0!</v>
      </c>
      <c r="AW296" s="29" t="str">
        <f t="shared" si="299"/>
        <v>#DIV/0!</v>
      </c>
      <c r="AX296" s="29" t="str">
        <f t="shared" si="299"/>
        <v>#DIV/0!</v>
      </c>
      <c r="AY296" s="29" t="str">
        <f t="shared" si="299"/>
        <v>#DIV/0!</v>
      </c>
      <c r="AZ296" s="29" t="str">
        <f t="shared" si="299"/>
        <v>#DIV/0!</v>
      </c>
      <c r="BA296" s="29" t="str">
        <f t="shared" si="299"/>
        <v>#DIV/0!</v>
      </c>
      <c r="BB296" s="29" t="str">
        <f t="shared" si="299"/>
        <v>#DIV/0!</v>
      </c>
      <c r="BC296" s="29" t="str">
        <f t="shared" si="299"/>
        <v>#DIV/0!</v>
      </c>
      <c r="BD296" s="29" t="str">
        <f t="shared" si="299"/>
        <v>#DIV/0!</v>
      </c>
      <c r="BE296" s="29" t="str">
        <f t="shared" si="299"/>
        <v>#DIV/0!</v>
      </c>
      <c r="BF296" s="29" t="str">
        <f t="shared" si="299"/>
        <v>#DIV/0!</v>
      </c>
      <c r="BG296" s="29" t="str">
        <f t="shared" si="299"/>
        <v>#DIV/0!</v>
      </c>
      <c r="BH296" s="29" t="str">
        <f t="shared" si="299"/>
        <v>#DIV/0!</v>
      </c>
      <c r="BI296" s="29" t="str">
        <f t="shared" si="299"/>
        <v>#DIV/0!</v>
      </c>
      <c r="BJ296" s="29" t="str">
        <f t="shared" si="299"/>
        <v>#DIV/0!</v>
      </c>
      <c r="BK296" s="29" t="str">
        <f t="shared" si="299"/>
        <v>#DIV/0!</v>
      </c>
      <c r="BL296" s="29" t="str">
        <f t="shared" si="299"/>
        <v>#DIV/0!</v>
      </c>
      <c r="BM296" s="29" t="str">
        <f t="shared" si="3"/>
        <v>#DIV/0!</v>
      </c>
    </row>
    <row r="297">
      <c r="A297" s="16" t="str">
        <f>IFERROR(__xludf.DUMMYFUNCTION("IFERROR(SPARKLINE(SORT(MAP(TRANSPOSE(AQ297:BL297), LAMBDA(val, IF(ISNUMBER(val), PERCENTRANK(AQ297:BL297, val)+0.01, 0))), SEQUENCE(COLUMNS(AQ297:BL297)), FALSE), {""charttype"",""column""; ""color"",""chartreuse""; ""ymin"", 0; ""ymax"", 1.01; ""highcolo"&amp;"r"", ""darkgreen""; ""lowcolor"", ""red""}), """")"),"")</f>
        <v/>
      </c>
      <c r="B297" s="17" t="str">
        <f t="shared" si="4"/>
        <v/>
      </c>
      <c r="C297" s="1" t="s">
        <v>1297</v>
      </c>
      <c r="D297" s="30" t="str">
        <f>IFERROR(__xludf.DUMMYFUNCTION("IFERROR(GOOGLEFINANCE(C297, ""NAME""))"),"Rigetti Computing Inc")</f>
        <v>Rigetti Computing Inc</v>
      </c>
      <c r="E297" s="30" t="s">
        <v>477</v>
      </c>
      <c r="F297" s="33" t="str">
        <f>IFERROR(__xludf.DUMMYFUNCTION("( (GOOGLEFINANCE(C297, ""price"") - Q297) / Q297 ) / (R297 / 100)"),"Loading...")</f>
        <v>Loading...</v>
      </c>
      <c r="G297" s="20" t="str">
        <f>IFERROR(__xludf.DUMMYFUNCTION("AVERAGE(ARRAYFORMULA(100 * (QUERY(GOOGLEFINANCE(C297, ""high"", TODAY()-40, TODAY()), ""SELECT Col2 WHERE Col2 IS NOT NULL ORDER BY Col1 DESC LIMIT 20"", 0) / QUERY(GOOGLEFINANCE(C297, ""low"", TODAY()-40, TODAY()), ""SELECT Col2 WHERE Col2 IS NOT NULL OR"&amp;"DER BY Col1 DESC LIMIT 20"", 0) - 1)))"),"#N/A")</f>
        <v>#N/A</v>
      </c>
      <c r="H297" s="35" t="str">
        <f t="shared" si="6"/>
        <v/>
      </c>
      <c r="I297" s="36" t="str">
        <f t="shared" si="7"/>
        <v/>
      </c>
      <c r="J297" s="37" t="str">
        <f>IFERROR(__xludf.DUMMYFUNCTION("IFERROR(
  IF(C297="""",, 
    IFERROR(
      GOOGLEFINANCE(C297, ""price"") * GOOGLEFINANCE(C297, ""volumeavg""), 
      GOOGLEFINANCE(C297, ""price"") * AVERAGE(QUERY(GOOGLEFINANCE(C297, ""volume"", TODAY()-40, TODAY()), ""SELECT Col2 WHERE Col2 IS NOT "&amp;"NULL ORDER BY Col1 DESC LIMIT 20"", 0))
    )
  ), 
"""")"),"")</f>
        <v/>
      </c>
      <c r="K297" s="21" t="str">
        <f>IFERROR(__xludf.DUMMYFUNCTION("IFERROR(GOOGLEFINANCE(C297, ""changepct"") / 100, """")"),"")</f>
        <v/>
      </c>
      <c r="L297" s="21" t="str">
        <f>IFERROR(__xludf.DUMMYFUNCTION("IFERROR((GOOGLEFINANCE(C297, ""price"") / INDEX(GOOGLEFINANCE(C297, ""price"", TODAY()-7, TODAY()), 2, 2)) - 1, """")"),"")</f>
        <v/>
      </c>
      <c r="M297" s="21" t="str">
        <f>IFERROR(__xludf.DUMMYFUNCTION("IFERROR((GOOGLEFINANCE(C297, ""price"") / INDEX(GOOGLEFINANCE(C297, ""price"", EDATE(TODAY(), -1), TODAY()), 2, 2)) - 1, """")"),"")</f>
        <v/>
      </c>
      <c r="N297" s="21" t="str">
        <f>IFERROR(__xludf.DUMMYFUNCTION("IFERROR((GOOGLEFINANCE(C297, ""price"") / INDEX(GOOGLEFINANCE(C297, ""price"", EDATE(TODAY(), -3), TODAY()), 2, 2)) - 1, """")"),"")</f>
        <v/>
      </c>
      <c r="O297" s="21" t="str">
        <f>IFERROR(__xludf.DUMMYFUNCTION("IFERROR((GOOGLEFINANCE(C297, ""price"") / INDEX(GOOGLEFINANCE(C297, ""price"", EDATE(TODAY(), -6), TODAY()), 2, 2)) - 1, """")"),"")</f>
        <v/>
      </c>
      <c r="P297" s="21" t="str">
        <f>IFERROR(__xludf.DUMMYFUNCTION("IFERROR((GOOGLEFINANCE(C297, ""price"") / INDEX(GOOGLEFINANCE(C297, ""price"", EDATE(TODAY(), -12), TODAY()), 2, 2)) - 1, """")"),"")</f>
        <v/>
      </c>
      <c r="Q297" s="6" t="str">
        <f>IFERROR(__xludf.DUMMYFUNCTION("AVERAGE(QUERY(GOOGLEFINANCE(C297, ""price"", TODAY()-80, TODAY()), ""SELECT Col2 WHERE Col2 IS NOT NULL ORDER BY Col1 DESC LIMIT 50"", 0))"),"#N/A")</f>
        <v>#N/A</v>
      </c>
      <c r="R297" s="24" t="str">
        <f>IFERROR(__xludf.DUMMYFUNCTION("IFERROR(
  LET(
    data, QUERY(GOOGLEFINANCE(C297,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GOOGLEFINANCE(C297, ""price"")) * 100,
    IF(calc=0, G297, calc)
  ), 
G297)"),"#N/A")</f>
        <v>#N/A</v>
      </c>
      <c r="S297" s="8" t="s">
        <v>15</v>
      </c>
      <c r="T297" s="26" t="str">
        <f>IFERROR(__xludf.DUMMYFUNCTION("IFERROR(TRANSPOSE(QUERY(IFERROR(SORT(GOOGLEFINANCE(C297, ""price"", WORKDAY(TODAY(), -40), TODAY()), 1, FALSE)), ""select Col2 where Col2 is not null limit 22 label Col2 ''"", 0)), """")"),"")</f>
        <v/>
      </c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8"/>
      <c r="AO297" s="28"/>
      <c r="AP297" s="29"/>
      <c r="AQ297" s="29" t="str">
        <f t="shared" ref="AQ297:BL297" si="300">T297/T$2</f>
        <v>#N/A</v>
      </c>
      <c r="AR297" s="29" t="str">
        <f t="shared" si="300"/>
        <v>#DIV/0!</v>
      </c>
      <c r="AS297" s="29" t="str">
        <f t="shared" si="300"/>
        <v>#DIV/0!</v>
      </c>
      <c r="AT297" s="29" t="str">
        <f t="shared" si="300"/>
        <v>#DIV/0!</v>
      </c>
      <c r="AU297" s="29" t="str">
        <f t="shared" si="300"/>
        <v>#DIV/0!</v>
      </c>
      <c r="AV297" s="29" t="str">
        <f t="shared" si="300"/>
        <v>#DIV/0!</v>
      </c>
      <c r="AW297" s="29" t="str">
        <f t="shared" si="300"/>
        <v>#DIV/0!</v>
      </c>
      <c r="AX297" s="29" t="str">
        <f t="shared" si="300"/>
        <v>#DIV/0!</v>
      </c>
      <c r="AY297" s="29" t="str">
        <f t="shared" si="300"/>
        <v>#DIV/0!</v>
      </c>
      <c r="AZ297" s="29" t="str">
        <f t="shared" si="300"/>
        <v>#DIV/0!</v>
      </c>
      <c r="BA297" s="29" t="str">
        <f t="shared" si="300"/>
        <v>#DIV/0!</v>
      </c>
      <c r="BB297" s="29" t="str">
        <f t="shared" si="300"/>
        <v>#DIV/0!</v>
      </c>
      <c r="BC297" s="29" t="str">
        <f t="shared" si="300"/>
        <v>#DIV/0!</v>
      </c>
      <c r="BD297" s="29" t="str">
        <f t="shared" si="300"/>
        <v>#DIV/0!</v>
      </c>
      <c r="BE297" s="29" t="str">
        <f t="shared" si="300"/>
        <v>#DIV/0!</v>
      </c>
      <c r="BF297" s="29" t="str">
        <f t="shared" si="300"/>
        <v>#DIV/0!</v>
      </c>
      <c r="BG297" s="29" t="str">
        <f t="shared" si="300"/>
        <v>#DIV/0!</v>
      </c>
      <c r="BH297" s="29" t="str">
        <f t="shared" si="300"/>
        <v>#DIV/0!</v>
      </c>
      <c r="BI297" s="29" t="str">
        <f t="shared" si="300"/>
        <v>#DIV/0!</v>
      </c>
      <c r="BJ297" s="29" t="str">
        <f t="shared" si="300"/>
        <v>#DIV/0!</v>
      </c>
      <c r="BK297" s="29" t="str">
        <f t="shared" si="300"/>
        <v>#DIV/0!</v>
      </c>
      <c r="BL297" s="29" t="str">
        <f t="shared" si="300"/>
        <v>#DIV/0!</v>
      </c>
      <c r="BM297" s="29" t="str">
        <f t="shared" si="3"/>
        <v>#DIV/0!</v>
      </c>
    </row>
    <row r="298">
      <c r="A298" s="16" t="str">
        <f>IFERROR(__xludf.DUMMYFUNCTION("IFERROR(SPARKLINE(SORT(MAP(TRANSPOSE(AQ298:BL298), LAMBDA(val, IF(ISNUMBER(val), PERCENTRANK(AQ298:BL298, val)+0.01, 0))), SEQUENCE(COLUMNS(AQ298:BL298)), FALSE), {""charttype"",""column""; ""color"",""chartreuse""; ""ymin"", 0; ""ymax"", 1.01; ""highcolo"&amp;"r"", ""darkgreen""; ""lowcolor"", ""red""}), """")"),"")</f>
        <v/>
      </c>
      <c r="B298" s="17" t="str">
        <f t="shared" si="4"/>
        <v/>
      </c>
      <c r="C298" s="1" t="s">
        <v>1301</v>
      </c>
      <c r="D298" s="30" t="str">
        <f>IFERROR(__xludf.DUMMYFUNCTION("IFERROR(GOOGLEFINANCE(C298, ""NAME""))"),"WhiteFiber Inc")</f>
        <v>WhiteFiber Inc</v>
      </c>
      <c r="E298" s="30" t="s">
        <v>48</v>
      </c>
      <c r="F298" s="33" t="str">
        <f>IFERROR(__xludf.DUMMYFUNCTION("( (GOOGLEFINANCE(C298, ""price"") - Q298) / Q298 ) / (R298 / 100)"),"Loading...")</f>
        <v>Loading...</v>
      </c>
      <c r="G298" s="20" t="str">
        <f>IFERROR(__xludf.DUMMYFUNCTION("AVERAGE(ARRAYFORMULA(100 * (QUERY(GOOGLEFINANCE(C298, ""high"", TODAY()-40, TODAY()), ""SELECT Col2 WHERE Col2 IS NOT NULL ORDER BY Col1 DESC LIMIT 20"", 0) / QUERY(GOOGLEFINANCE(C298, ""low"", TODAY()-40, TODAY()), ""SELECT Col2 WHERE Col2 IS NOT NULL OR"&amp;"DER BY Col1 DESC LIMIT 20"", 0) - 1)))"),"#N/A")</f>
        <v>#N/A</v>
      </c>
      <c r="H298" s="35" t="str">
        <f t="shared" si="6"/>
        <v/>
      </c>
      <c r="I298" s="36" t="str">
        <f t="shared" si="7"/>
        <v/>
      </c>
      <c r="J298" s="37" t="str">
        <f>IFERROR(__xludf.DUMMYFUNCTION("IFERROR(
  IF(C298="""",, 
    IFERROR(
      GOOGLEFINANCE(C298, ""price"") * GOOGLEFINANCE(C298, ""volumeavg""), 
      GOOGLEFINANCE(C298, ""price"") * AVERAGE(QUERY(GOOGLEFINANCE(C298, ""volume"", TODAY()-40, TODAY()), ""SELECT Col2 WHERE Col2 IS NOT "&amp;"NULL ORDER BY Col1 DESC LIMIT 20"", 0))
    )
  ), 
"""")"),"")</f>
        <v/>
      </c>
      <c r="K298" s="21" t="str">
        <f>IFERROR(__xludf.DUMMYFUNCTION("IFERROR(GOOGLEFINANCE(C298, ""changepct"") / 100, """")"),"")</f>
        <v/>
      </c>
      <c r="L298" s="21" t="str">
        <f>IFERROR(__xludf.DUMMYFUNCTION("IFERROR((GOOGLEFINANCE(C298, ""price"") / INDEX(GOOGLEFINANCE(C298, ""price"", TODAY()-7, TODAY()), 2, 2)) - 1, """")"),"")</f>
        <v/>
      </c>
      <c r="M298" s="21" t="str">
        <f>IFERROR(__xludf.DUMMYFUNCTION("IFERROR((GOOGLEFINANCE(C298, ""price"") / INDEX(GOOGLEFINANCE(C298, ""price"", EDATE(TODAY(), -1), TODAY()), 2, 2)) - 1, """")"),"")</f>
        <v/>
      </c>
      <c r="N298" s="21" t="str">
        <f>IFERROR(__xludf.DUMMYFUNCTION("IFERROR((GOOGLEFINANCE(C298, ""price"") / INDEX(GOOGLEFINANCE(C298, ""price"", EDATE(TODAY(), -3), TODAY()), 2, 2)) - 1, """")"),"")</f>
        <v/>
      </c>
      <c r="O298" s="21" t="str">
        <f>IFERROR(__xludf.DUMMYFUNCTION("IFERROR((GOOGLEFINANCE(C298, ""price"") / INDEX(GOOGLEFINANCE(C298, ""price"", EDATE(TODAY(), -6), TODAY()), 2, 2)) - 1, """")"),"")</f>
        <v/>
      </c>
      <c r="P298" s="21" t="str">
        <f>IFERROR(__xludf.DUMMYFUNCTION("IFERROR((GOOGLEFINANCE(C298, ""price"") / INDEX(GOOGLEFINANCE(C298, ""price"", EDATE(TODAY(), -12), TODAY()), 2, 2)) - 1, """")"),"")</f>
        <v/>
      </c>
      <c r="Q298" s="6" t="str">
        <f>IFERROR(__xludf.DUMMYFUNCTION("AVERAGE(QUERY(GOOGLEFINANCE(C298, ""price"", TODAY()-80, TODAY()), ""SELECT Col2 WHERE Col2 IS NOT NULL ORDER BY Col1 DESC LIMIT 50"", 0))"),"#N/A")</f>
        <v>#N/A</v>
      </c>
      <c r="R298" s="24" t="str">
        <f>IFERROR(__xludf.DUMMYFUNCTION("IFERROR(
  LET(
    data, QUERY(GOOGLEFINANCE(C298,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GOOGLEFINANCE(C298, ""price"")) * 100,
    IF(calc=0, G298, calc)
  ), 
G298)"),"#N/A")</f>
        <v>#N/A</v>
      </c>
      <c r="S298" s="8" t="s">
        <v>15</v>
      </c>
      <c r="T298" s="26" t="str">
        <f>IFERROR(__xludf.DUMMYFUNCTION("IFERROR(TRANSPOSE(QUERY(IFERROR(SORT(GOOGLEFINANCE(C298, ""price"", WORKDAY(TODAY(), -40), TODAY()), 1, FALSE)), ""select Col2 where Col2 is not null limit 22 label Col2 ''"", 0)), """")"),"")</f>
        <v/>
      </c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8"/>
      <c r="AO298" s="28"/>
      <c r="AP298" s="29"/>
      <c r="AQ298" s="29" t="str">
        <f t="shared" ref="AQ298:BL298" si="301">T298/T$2</f>
        <v>#N/A</v>
      </c>
      <c r="AR298" s="29" t="str">
        <f t="shared" si="301"/>
        <v>#DIV/0!</v>
      </c>
      <c r="AS298" s="29" t="str">
        <f t="shared" si="301"/>
        <v>#DIV/0!</v>
      </c>
      <c r="AT298" s="29" t="str">
        <f t="shared" si="301"/>
        <v>#DIV/0!</v>
      </c>
      <c r="AU298" s="29" t="str">
        <f t="shared" si="301"/>
        <v>#DIV/0!</v>
      </c>
      <c r="AV298" s="29" t="str">
        <f t="shared" si="301"/>
        <v>#DIV/0!</v>
      </c>
      <c r="AW298" s="29" t="str">
        <f t="shared" si="301"/>
        <v>#DIV/0!</v>
      </c>
      <c r="AX298" s="29" t="str">
        <f t="shared" si="301"/>
        <v>#DIV/0!</v>
      </c>
      <c r="AY298" s="29" t="str">
        <f t="shared" si="301"/>
        <v>#DIV/0!</v>
      </c>
      <c r="AZ298" s="29" t="str">
        <f t="shared" si="301"/>
        <v>#DIV/0!</v>
      </c>
      <c r="BA298" s="29" t="str">
        <f t="shared" si="301"/>
        <v>#DIV/0!</v>
      </c>
      <c r="BB298" s="29" t="str">
        <f t="shared" si="301"/>
        <v>#DIV/0!</v>
      </c>
      <c r="BC298" s="29" t="str">
        <f t="shared" si="301"/>
        <v>#DIV/0!</v>
      </c>
      <c r="BD298" s="29" t="str">
        <f t="shared" si="301"/>
        <v>#DIV/0!</v>
      </c>
      <c r="BE298" s="29" t="str">
        <f t="shared" si="301"/>
        <v>#DIV/0!</v>
      </c>
      <c r="BF298" s="29" t="str">
        <f t="shared" si="301"/>
        <v>#DIV/0!</v>
      </c>
      <c r="BG298" s="29" t="str">
        <f t="shared" si="301"/>
        <v>#DIV/0!</v>
      </c>
      <c r="BH298" s="29" t="str">
        <f t="shared" si="301"/>
        <v>#DIV/0!</v>
      </c>
      <c r="BI298" s="29" t="str">
        <f t="shared" si="301"/>
        <v>#DIV/0!</v>
      </c>
      <c r="BJ298" s="29" t="str">
        <f t="shared" si="301"/>
        <v>#DIV/0!</v>
      </c>
      <c r="BK298" s="29" t="str">
        <f t="shared" si="301"/>
        <v>#DIV/0!</v>
      </c>
      <c r="BL298" s="29" t="str">
        <f t="shared" si="301"/>
        <v>#DIV/0!</v>
      </c>
      <c r="BM298" s="29" t="str">
        <f t="shared" si="3"/>
        <v>#DIV/0!</v>
      </c>
    </row>
    <row r="299">
      <c r="A299" s="16" t="str">
        <f>IFERROR(__xludf.DUMMYFUNCTION("IFERROR(SPARKLINE(SORT(MAP(TRANSPOSE(AQ299:BL299), LAMBDA(val, IF(ISNUMBER(val), PERCENTRANK(AQ299:BL299, val)+0.01, 0))), SEQUENCE(COLUMNS(AQ299:BL299)), FALSE), {""charttype"",""column""; ""color"",""chartreuse""; ""ymin"", 0; ""ymax"", 1.01; ""highcolo"&amp;"r"", ""darkgreen""; ""lowcolor"", ""red""}), """")"),"")</f>
        <v/>
      </c>
      <c r="B299" s="17" t="str">
        <f t="shared" si="4"/>
        <v/>
      </c>
      <c r="C299" s="1" t="s">
        <v>1304</v>
      </c>
      <c r="D299" s="30" t="str">
        <f>IFERROR(__xludf.DUMMYFUNCTION("IFERROR(GOOGLEFINANCE(C299, ""NAME""))"),"Teradata Corp")</f>
        <v>Teradata Corp</v>
      </c>
      <c r="E299" s="30" t="s">
        <v>58</v>
      </c>
      <c r="F299" s="33" t="str">
        <f>IFERROR(__xludf.DUMMYFUNCTION("( (GOOGLEFINANCE(C299, ""price"") - Q299) / Q299 ) / (R299 / 100)"),"Loading...")</f>
        <v>Loading...</v>
      </c>
      <c r="G299" s="20" t="str">
        <f>IFERROR(__xludf.DUMMYFUNCTION("AVERAGE(ARRAYFORMULA(100 * (QUERY(GOOGLEFINANCE(C299, ""high"", TODAY()-40, TODAY()), ""SELECT Col2 WHERE Col2 IS NOT NULL ORDER BY Col1 DESC LIMIT 20"", 0) / QUERY(GOOGLEFINANCE(C299, ""low"", TODAY()-40, TODAY()), ""SELECT Col2 WHERE Col2 IS NOT NULL OR"&amp;"DER BY Col1 DESC LIMIT 20"", 0) - 1)))"),"#N/A")</f>
        <v>#N/A</v>
      </c>
      <c r="H299" s="35" t="str">
        <f t="shared" si="6"/>
        <v/>
      </c>
      <c r="I299" s="36" t="str">
        <f t="shared" si="7"/>
        <v/>
      </c>
      <c r="J299" s="37" t="str">
        <f>IFERROR(__xludf.DUMMYFUNCTION("IFERROR(
  IF(C299="""",, 
    IFERROR(
      GOOGLEFINANCE(C299, ""price"") * GOOGLEFINANCE(C299, ""volumeavg""), 
      GOOGLEFINANCE(C299, ""price"") * AVERAGE(QUERY(GOOGLEFINANCE(C299, ""volume"", TODAY()-40, TODAY()), ""SELECT Col2 WHERE Col2 IS NOT "&amp;"NULL ORDER BY Col1 DESC LIMIT 20"", 0))
    )
  ), 
"""")"),"")</f>
        <v/>
      </c>
      <c r="K299" s="21" t="str">
        <f>IFERROR(__xludf.DUMMYFUNCTION("IFERROR(GOOGLEFINANCE(C299, ""changepct"") / 100, """")"),"")</f>
        <v/>
      </c>
      <c r="L299" s="21" t="str">
        <f>IFERROR(__xludf.DUMMYFUNCTION("IFERROR((GOOGLEFINANCE(C299, ""price"") / INDEX(GOOGLEFINANCE(C299, ""price"", TODAY()-7, TODAY()), 2, 2)) - 1, """")"),"")</f>
        <v/>
      </c>
      <c r="M299" s="21" t="str">
        <f>IFERROR(__xludf.DUMMYFUNCTION("IFERROR((GOOGLEFINANCE(C299, ""price"") / INDEX(GOOGLEFINANCE(C299, ""price"", EDATE(TODAY(), -1), TODAY()), 2, 2)) - 1, """")"),"")</f>
        <v/>
      </c>
      <c r="N299" s="21" t="str">
        <f>IFERROR(__xludf.DUMMYFUNCTION("IFERROR((GOOGLEFINANCE(C299, ""price"") / INDEX(GOOGLEFINANCE(C299, ""price"", EDATE(TODAY(), -3), TODAY()), 2, 2)) - 1, """")"),"")</f>
        <v/>
      </c>
      <c r="O299" s="21" t="str">
        <f>IFERROR(__xludf.DUMMYFUNCTION("IFERROR((GOOGLEFINANCE(C299, ""price"") / INDEX(GOOGLEFINANCE(C299, ""price"", EDATE(TODAY(), -6), TODAY()), 2, 2)) - 1, """")"),"")</f>
        <v/>
      </c>
      <c r="P299" s="21" t="str">
        <f>IFERROR(__xludf.DUMMYFUNCTION("IFERROR((GOOGLEFINANCE(C299, ""price"") / INDEX(GOOGLEFINANCE(C299, ""price"", EDATE(TODAY(), -12), TODAY()), 2, 2)) - 1, """")"),"")</f>
        <v/>
      </c>
      <c r="Q299" s="6" t="str">
        <f>IFERROR(__xludf.DUMMYFUNCTION("AVERAGE(QUERY(GOOGLEFINANCE(C299, ""price"", TODAY()-80, TODAY()), ""SELECT Col2 WHERE Col2 IS NOT NULL ORDER BY Col1 DESC LIMIT 50"", 0))"),"#N/A")</f>
        <v>#N/A</v>
      </c>
      <c r="R299" s="24" t="str">
        <f>IFERROR(__xludf.DUMMYFUNCTION("IFERROR(
  LET(
    data, QUERY(GOOGLEFINANCE(C299,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GOOGLEFINANCE(C299, ""price"")) * 100,
    IF(calc=0, G299, calc)
  ), 
G299)"),"#N/A")</f>
        <v>#N/A</v>
      </c>
      <c r="S299" s="8" t="s">
        <v>15</v>
      </c>
      <c r="T299" s="26" t="str">
        <f>IFERROR(__xludf.DUMMYFUNCTION("IFERROR(TRANSPOSE(QUERY(IFERROR(SORT(GOOGLEFINANCE(C299, ""price"", WORKDAY(TODAY(), -40), TODAY()), 1, FALSE)), ""select Col2 where Col2 is not null limit 22 label Col2 ''"", 0)), """")"),"")</f>
        <v/>
      </c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8"/>
      <c r="AO299" s="28"/>
      <c r="AP299" s="29"/>
      <c r="AQ299" s="29" t="str">
        <f t="shared" ref="AQ299:BL299" si="302">T299/T$2</f>
        <v>#N/A</v>
      </c>
      <c r="AR299" s="29" t="str">
        <f t="shared" si="302"/>
        <v>#DIV/0!</v>
      </c>
      <c r="AS299" s="29" t="str">
        <f t="shared" si="302"/>
        <v>#DIV/0!</v>
      </c>
      <c r="AT299" s="29" t="str">
        <f t="shared" si="302"/>
        <v>#DIV/0!</v>
      </c>
      <c r="AU299" s="29" t="str">
        <f t="shared" si="302"/>
        <v>#DIV/0!</v>
      </c>
      <c r="AV299" s="29" t="str">
        <f t="shared" si="302"/>
        <v>#DIV/0!</v>
      </c>
      <c r="AW299" s="29" t="str">
        <f t="shared" si="302"/>
        <v>#DIV/0!</v>
      </c>
      <c r="AX299" s="29" t="str">
        <f t="shared" si="302"/>
        <v>#DIV/0!</v>
      </c>
      <c r="AY299" s="29" t="str">
        <f t="shared" si="302"/>
        <v>#DIV/0!</v>
      </c>
      <c r="AZ299" s="29" t="str">
        <f t="shared" si="302"/>
        <v>#DIV/0!</v>
      </c>
      <c r="BA299" s="29" t="str">
        <f t="shared" si="302"/>
        <v>#DIV/0!</v>
      </c>
      <c r="BB299" s="29" t="str">
        <f t="shared" si="302"/>
        <v>#DIV/0!</v>
      </c>
      <c r="BC299" s="29" t="str">
        <f t="shared" si="302"/>
        <v>#DIV/0!</v>
      </c>
      <c r="BD299" s="29" t="str">
        <f t="shared" si="302"/>
        <v>#DIV/0!</v>
      </c>
      <c r="BE299" s="29" t="str">
        <f t="shared" si="302"/>
        <v>#DIV/0!</v>
      </c>
      <c r="BF299" s="29" t="str">
        <f t="shared" si="302"/>
        <v>#DIV/0!</v>
      </c>
      <c r="BG299" s="29" t="str">
        <f t="shared" si="302"/>
        <v>#DIV/0!</v>
      </c>
      <c r="BH299" s="29" t="str">
        <f t="shared" si="302"/>
        <v>#DIV/0!</v>
      </c>
      <c r="BI299" s="29" t="str">
        <f t="shared" si="302"/>
        <v>#DIV/0!</v>
      </c>
      <c r="BJ299" s="29" t="str">
        <f t="shared" si="302"/>
        <v>#DIV/0!</v>
      </c>
      <c r="BK299" s="29" t="str">
        <f t="shared" si="302"/>
        <v>#DIV/0!</v>
      </c>
      <c r="BL299" s="29" t="str">
        <f t="shared" si="302"/>
        <v>#DIV/0!</v>
      </c>
      <c r="BM299" s="29" t="str">
        <f t="shared" si="3"/>
        <v>#DIV/0!</v>
      </c>
    </row>
    <row r="300">
      <c r="A300" s="16" t="str">
        <f>IFERROR(__xludf.DUMMYFUNCTION("IFERROR(SPARKLINE(SORT(MAP(TRANSPOSE(AQ300:BL300), LAMBDA(val, IF(ISNUMBER(val), PERCENTRANK(AQ300:BL300, val)+0.01, 0))), SEQUENCE(COLUMNS(AQ300:BL300)), FALSE), {""charttype"",""column""; ""color"",""chartreuse""; ""ymin"", 0; ""ymax"", 1.01; ""highcolo"&amp;"r"", ""darkgreen""; ""lowcolor"", ""red""}), """")"),"")</f>
        <v/>
      </c>
      <c r="B300" s="17" t="str">
        <f t="shared" si="4"/>
        <v/>
      </c>
      <c r="C300" s="1" t="s">
        <v>1306</v>
      </c>
      <c r="D300" s="30" t="str">
        <f>IFERROR(__xludf.DUMMYFUNCTION("IFERROR(GOOGLEFINANCE(C300, ""NAME""))"),"RingCentral Inc")</f>
        <v>RingCentral Inc</v>
      </c>
      <c r="E300" s="30" t="s">
        <v>48</v>
      </c>
      <c r="F300" s="33" t="str">
        <f>IFERROR(__xludf.DUMMYFUNCTION("( (GOOGLEFINANCE(C300, ""price"") - Q300) / Q300 ) / (R300 / 100)"),"Loading...")</f>
        <v>Loading...</v>
      </c>
      <c r="G300" s="20" t="str">
        <f>IFERROR(__xludf.DUMMYFUNCTION("AVERAGE(ARRAYFORMULA(100 * (QUERY(GOOGLEFINANCE(C300, ""high"", TODAY()-40, TODAY()), ""SELECT Col2 WHERE Col2 IS NOT NULL ORDER BY Col1 DESC LIMIT 20"", 0) / QUERY(GOOGLEFINANCE(C300, ""low"", TODAY()-40, TODAY()), ""SELECT Col2 WHERE Col2 IS NOT NULL OR"&amp;"DER BY Col1 DESC LIMIT 20"", 0) - 1)))"),"#N/A")</f>
        <v>#N/A</v>
      </c>
      <c r="H300" s="35" t="str">
        <f t="shared" si="6"/>
        <v/>
      </c>
      <c r="I300" s="36" t="str">
        <f t="shared" si="7"/>
        <v/>
      </c>
      <c r="J300" s="37" t="str">
        <f>IFERROR(__xludf.DUMMYFUNCTION("IFERROR(
  IF(C300="""",, 
    IFERROR(
      GOOGLEFINANCE(C300, ""price"") * GOOGLEFINANCE(C300, ""volumeavg""), 
      GOOGLEFINANCE(C300, ""price"") * AVERAGE(QUERY(GOOGLEFINANCE(C300, ""volume"", TODAY()-40, TODAY()), ""SELECT Col2 WHERE Col2 IS NOT "&amp;"NULL ORDER BY Col1 DESC LIMIT 20"", 0))
    )
  ), 
"""")"),"")</f>
        <v/>
      </c>
      <c r="K300" s="21" t="str">
        <f>IFERROR(__xludf.DUMMYFUNCTION("IFERROR(GOOGLEFINANCE(C300, ""changepct"") / 100, """")"),"")</f>
        <v/>
      </c>
      <c r="L300" s="21" t="str">
        <f>IFERROR(__xludf.DUMMYFUNCTION("IFERROR((GOOGLEFINANCE(C300, ""price"") / INDEX(GOOGLEFINANCE(C300, ""price"", TODAY()-7, TODAY()), 2, 2)) - 1, """")"),"")</f>
        <v/>
      </c>
      <c r="M300" s="21" t="str">
        <f>IFERROR(__xludf.DUMMYFUNCTION("IFERROR((GOOGLEFINANCE(C300, ""price"") / INDEX(GOOGLEFINANCE(C300, ""price"", EDATE(TODAY(), -1), TODAY()), 2, 2)) - 1, """")"),"")</f>
        <v/>
      </c>
      <c r="N300" s="21" t="str">
        <f>IFERROR(__xludf.DUMMYFUNCTION("IFERROR((GOOGLEFINANCE(C300, ""price"") / INDEX(GOOGLEFINANCE(C300, ""price"", EDATE(TODAY(), -3), TODAY()), 2, 2)) - 1, """")"),"")</f>
        <v/>
      </c>
      <c r="O300" s="21" t="str">
        <f>IFERROR(__xludf.DUMMYFUNCTION("IFERROR((GOOGLEFINANCE(C300, ""price"") / INDEX(GOOGLEFINANCE(C300, ""price"", EDATE(TODAY(), -6), TODAY()), 2, 2)) - 1, """")"),"")</f>
        <v/>
      </c>
      <c r="P300" s="21" t="str">
        <f>IFERROR(__xludf.DUMMYFUNCTION("IFERROR((GOOGLEFINANCE(C300, ""price"") / INDEX(GOOGLEFINANCE(C300, ""price"", EDATE(TODAY(), -12), TODAY()), 2, 2)) - 1, """")"),"")</f>
        <v/>
      </c>
      <c r="Q300" s="6" t="str">
        <f>IFERROR(__xludf.DUMMYFUNCTION("AVERAGE(QUERY(GOOGLEFINANCE(C300, ""price"", TODAY()-80, TODAY()), ""SELECT Col2 WHERE Col2 IS NOT NULL ORDER BY Col1 DESC LIMIT 50"", 0))"),"#N/A")</f>
        <v>#N/A</v>
      </c>
      <c r="R300" s="24" t="str">
        <f>IFERROR(__xludf.DUMMYFUNCTION("IFERROR(
  LET(
    data, QUERY(GOOGLEFINANCE(C300,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GOOGLEFINANCE(C300, ""price"")) * 100,
    IF(calc=0, G300, calc)
  ), 
G300)"),"#N/A")</f>
        <v>#N/A</v>
      </c>
      <c r="S300" s="8" t="s">
        <v>15</v>
      </c>
      <c r="T300" s="26" t="str">
        <f>IFERROR(__xludf.DUMMYFUNCTION("IFERROR(TRANSPOSE(QUERY(IFERROR(SORT(GOOGLEFINANCE(C300, ""price"", WORKDAY(TODAY(), -40), TODAY()), 1, FALSE)), ""select Col2 where Col2 is not null limit 22 label Col2 ''"", 0)), """")"),"")</f>
        <v/>
      </c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8"/>
      <c r="AO300" s="28"/>
      <c r="AP300" s="29"/>
      <c r="AQ300" s="29" t="str">
        <f t="shared" ref="AQ300:BL300" si="303">T300/T$2</f>
        <v>#N/A</v>
      </c>
      <c r="AR300" s="29" t="str">
        <f t="shared" si="303"/>
        <v>#DIV/0!</v>
      </c>
      <c r="AS300" s="29" t="str">
        <f t="shared" si="303"/>
        <v>#DIV/0!</v>
      </c>
      <c r="AT300" s="29" t="str">
        <f t="shared" si="303"/>
        <v>#DIV/0!</v>
      </c>
      <c r="AU300" s="29" t="str">
        <f t="shared" si="303"/>
        <v>#DIV/0!</v>
      </c>
      <c r="AV300" s="29" t="str">
        <f t="shared" si="303"/>
        <v>#DIV/0!</v>
      </c>
      <c r="AW300" s="29" t="str">
        <f t="shared" si="303"/>
        <v>#DIV/0!</v>
      </c>
      <c r="AX300" s="29" t="str">
        <f t="shared" si="303"/>
        <v>#DIV/0!</v>
      </c>
      <c r="AY300" s="29" t="str">
        <f t="shared" si="303"/>
        <v>#DIV/0!</v>
      </c>
      <c r="AZ300" s="29" t="str">
        <f t="shared" si="303"/>
        <v>#DIV/0!</v>
      </c>
      <c r="BA300" s="29" t="str">
        <f t="shared" si="303"/>
        <v>#DIV/0!</v>
      </c>
      <c r="BB300" s="29" t="str">
        <f t="shared" si="303"/>
        <v>#DIV/0!</v>
      </c>
      <c r="BC300" s="29" t="str">
        <f t="shared" si="303"/>
        <v>#DIV/0!</v>
      </c>
      <c r="BD300" s="29" t="str">
        <f t="shared" si="303"/>
        <v>#DIV/0!</v>
      </c>
      <c r="BE300" s="29" t="str">
        <f t="shared" si="303"/>
        <v>#DIV/0!</v>
      </c>
      <c r="BF300" s="29" t="str">
        <f t="shared" si="303"/>
        <v>#DIV/0!</v>
      </c>
      <c r="BG300" s="29" t="str">
        <f t="shared" si="303"/>
        <v>#DIV/0!</v>
      </c>
      <c r="BH300" s="29" t="str">
        <f t="shared" si="303"/>
        <v>#DIV/0!</v>
      </c>
      <c r="BI300" s="29" t="str">
        <f t="shared" si="303"/>
        <v>#DIV/0!</v>
      </c>
      <c r="BJ300" s="29" t="str">
        <f t="shared" si="303"/>
        <v>#DIV/0!</v>
      </c>
      <c r="BK300" s="29" t="str">
        <f t="shared" si="303"/>
        <v>#DIV/0!</v>
      </c>
      <c r="BL300" s="29" t="str">
        <f t="shared" si="303"/>
        <v>#DIV/0!</v>
      </c>
      <c r="BM300" s="29" t="str">
        <f t="shared" si="3"/>
        <v>#DIV/0!</v>
      </c>
    </row>
    <row r="301">
      <c r="A301" s="16" t="str">
        <f>IFERROR(__xludf.DUMMYFUNCTION("IFERROR(SPARKLINE(SORT(MAP(TRANSPOSE(AQ301:BL301), LAMBDA(val, IF(ISNUMBER(val), PERCENTRANK(AQ301:BL301, val)+0.01, 0))), SEQUENCE(COLUMNS(AQ301:BL301)), FALSE), {""charttype"",""column""; ""color"",""chartreuse""; ""ymin"", 0; ""ymax"", 1.01; ""highcolo"&amp;"r"", ""darkgreen""; ""lowcolor"", ""red""}), """")"),"")</f>
        <v/>
      </c>
      <c r="B301" s="17" t="str">
        <f t="shared" si="4"/>
        <v/>
      </c>
      <c r="C301" s="1" t="s">
        <v>1310</v>
      </c>
      <c r="D301" s="30" t="str">
        <f>IFERROR(__xludf.DUMMYFUNCTION("IFERROR(GOOGLEFINANCE(C301, ""NAME""))"),"Ituran Location and Control Ltd")</f>
        <v>Ituran Location and Control Ltd</v>
      </c>
      <c r="E301" s="30" t="s">
        <v>595</v>
      </c>
      <c r="F301" s="33" t="str">
        <f>IFERROR(__xludf.DUMMYFUNCTION("( (GOOGLEFINANCE(C301, ""price"") - Q301) / Q301 ) / (R301 / 100)"),"Loading...")</f>
        <v>Loading...</v>
      </c>
      <c r="G301" s="20" t="str">
        <f>IFERROR(__xludf.DUMMYFUNCTION("AVERAGE(ARRAYFORMULA(100 * (QUERY(GOOGLEFINANCE(C301, ""high"", TODAY()-40, TODAY()), ""SELECT Col2 WHERE Col2 IS NOT NULL ORDER BY Col1 DESC LIMIT 20"", 0) / QUERY(GOOGLEFINANCE(C301, ""low"", TODAY()-40, TODAY()), ""SELECT Col2 WHERE Col2 IS NOT NULL OR"&amp;"DER BY Col1 DESC LIMIT 20"", 0) - 1)))"),"#N/A")</f>
        <v>#N/A</v>
      </c>
      <c r="H301" s="35" t="str">
        <f t="shared" si="6"/>
        <v/>
      </c>
      <c r="I301" s="36" t="str">
        <f t="shared" si="7"/>
        <v/>
      </c>
      <c r="J301" s="37" t="str">
        <f>IFERROR(__xludf.DUMMYFUNCTION("IFERROR(
  IF(C301="""",, 
    IFERROR(
      GOOGLEFINANCE(C301, ""price"") * GOOGLEFINANCE(C301, ""volumeavg""), 
      GOOGLEFINANCE(C301, ""price"") * AVERAGE(QUERY(GOOGLEFINANCE(C301, ""volume"", TODAY()-40, TODAY()), ""SELECT Col2 WHERE Col2 IS NOT "&amp;"NULL ORDER BY Col1 DESC LIMIT 20"", 0))
    )
  ), 
"""")"),"")</f>
        <v/>
      </c>
      <c r="K301" s="21" t="str">
        <f>IFERROR(__xludf.DUMMYFUNCTION("IFERROR(GOOGLEFINANCE(C301, ""changepct"") / 100, """")"),"")</f>
        <v/>
      </c>
      <c r="L301" s="21" t="str">
        <f>IFERROR(__xludf.DUMMYFUNCTION("IFERROR((GOOGLEFINANCE(C301, ""price"") / INDEX(GOOGLEFINANCE(C301, ""price"", TODAY()-7, TODAY()), 2, 2)) - 1, """")"),"")</f>
        <v/>
      </c>
      <c r="M301" s="21" t="str">
        <f>IFERROR(__xludf.DUMMYFUNCTION("IFERROR((GOOGLEFINANCE(C301, ""price"") / INDEX(GOOGLEFINANCE(C301, ""price"", EDATE(TODAY(), -1), TODAY()), 2, 2)) - 1, """")"),"")</f>
        <v/>
      </c>
      <c r="N301" s="21" t="str">
        <f>IFERROR(__xludf.DUMMYFUNCTION("IFERROR((GOOGLEFINANCE(C301, ""price"") / INDEX(GOOGLEFINANCE(C301, ""price"", EDATE(TODAY(), -3), TODAY()), 2, 2)) - 1, """")"),"")</f>
        <v/>
      </c>
      <c r="O301" s="21" t="str">
        <f>IFERROR(__xludf.DUMMYFUNCTION("IFERROR((GOOGLEFINANCE(C301, ""price"") / INDEX(GOOGLEFINANCE(C301, ""price"", EDATE(TODAY(), -6), TODAY()), 2, 2)) - 1, """")"),"")</f>
        <v/>
      </c>
      <c r="P301" s="21" t="str">
        <f>IFERROR(__xludf.DUMMYFUNCTION("IFERROR((GOOGLEFINANCE(C301, ""price"") / INDEX(GOOGLEFINANCE(C301, ""price"", EDATE(TODAY(), -12), TODAY()), 2, 2)) - 1, """")"),"")</f>
        <v/>
      </c>
      <c r="Q301" s="6" t="str">
        <f>IFERROR(__xludf.DUMMYFUNCTION("AVERAGE(QUERY(GOOGLEFINANCE(C301, ""price"", TODAY()-80, TODAY()), ""SELECT Col2 WHERE Col2 IS NOT NULL ORDER BY Col1 DESC LIMIT 50"", 0))"),"#N/A")</f>
        <v>#N/A</v>
      </c>
      <c r="R301" s="24" t="str">
        <f>IFERROR(__xludf.DUMMYFUNCTION("IFERROR(
  LET(
    data, QUERY(GOOGLEFINANCE(C301,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GOOGLEFINANCE(C301, ""price"")) * 100,
    IF(calc=0, G301, calc)
  ), 
G301)"),"#N/A")</f>
        <v>#N/A</v>
      </c>
      <c r="S301" s="8" t="s">
        <v>15</v>
      </c>
      <c r="T301" s="26" t="str">
        <f>IFERROR(__xludf.DUMMYFUNCTION("IFERROR(TRANSPOSE(QUERY(IFERROR(SORT(GOOGLEFINANCE(C301, ""price"", WORKDAY(TODAY(), -40), TODAY()), 1, FALSE)), ""select Col2 where Col2 is not null limit 22 label Col2 ''"", 0)), """")"),"")</f>
        <v/>
      </c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8"/>
      <c r="AO301" s="28"/>
      <c r="AP301" s="29"/>
      <c r="AQ301" s="29" t="str">
        <f t="shared" ref="AQ301:BL301" si="304">T301/T$2</f>
        <v>#N/A</v>
      </c>
      <c r="AR301" s="29" t="str">
        <f t="shared" si="304"/>
        <v>#DIV/0!</v>
      </c>
      <c r="AS301" s="29" t="str">
        <f t="shared" si="304"/>
        <v>#DIV/0!</v>
      </c>
      <c r="AT301" s="29" t="str">
        <f t="shared" si="304"/>
        <v>#DIV/0!</v>
      </c>
      <c r="AU301" s="29" t="str">
        <f t="shared" si="304"/>
        <v>#DIV/0!</v>
      </c>
      <c r="AV301" s="29" t="str">
        <f t="shared" si="304"/>
        <v>#DIV/0!</v>
      </c>
      <c r="AW301" s="29" t="str">
        <f t="shared" si="304"/>
        <v>#DIV/0!</v>
      </c>
      <c r="AX301" s="29" t="str">
        <f t="shared" si="304"/>
        <v>#DIV/0!</v>
      </c>
      <c r="AY301" s="29" t="str">
        <f t="shared" si="304"/>
        <v>#DIV/0!</v>
      </c>
      <c r="AZ301" s="29" t="str">
        <f t="shared" si="304"/>
        <v>#DIV/0!</v>
      </c>
      <c r="BA301" s="29" t="str">
        <f t="shared" si="304"/>
        <v>#DIV/0!</v>
      </c>
      <c r="BB301" s="29" t="str">
        <f t="shared" si="304"/>
        <v>#DIV/0!</v>
      </c>
      <c r="BC301" s="29" t="str">
        <f t="shared" si="304"/>
        <v>#DIV/0!</v>
      </c>
      <c r="BD301" s="29" t="str">
        <f t="shared" si="304"/>
        <v>#DIV/0!</v>
      </c>
      <c r="BE301" s="29" t="str">
        <f t="shared" si="304"/>
        <v>#DIV/0!</v>
      </c>
      <c r="BF301" s="29" t="str">
        <f t="shared" si="304"/>
        <v>#DIV/0!</v>
      </c>
      <c r="BG301" s="29" t="str">
        <f t="shared" si="304"/>
        <v>#DIV/0!</v>
      </c>
      <c r="BH301" s="29" t="str">
        <f t="shared" si="304"/>
        <v>#DIV/0!</v>
      </c>
      <c r="BI301" s="29" t="str">
        <f t="shared" si="304"/>
        <v>#DIV/0!</v>
      </c>
      <c r="BJ301" s="29" t="str">
        <f t="shared" si="304"/>
        <v>#DIV/0!</v>
      </c>
      <c r="BK301" s="29" t="str">
        <f t="shared" si="304"/>
        <v>#DIV/0!</v>
      </c>
      <c r="BL301" s="29" t="str">
        <f t="shared" si="304"/>
        <v>#DIV/0!</v>
      </c>
      <c r="BM301" s="29" t="str">
        <f t="shared" si="3"/>
        <v>#DIV/0!</v>
      </c>
    </row>
    <row r="302">
      <c r="A302" s="16" t="str">
        <f>IFERROR(__xludf.DUMMYFUNCTION("IFERROR(SPARKLINE(SORT(MAP(TRANSPOSE(AQ302:BL302), LAMBDA(val, IF(ISNUMBER(val), PERCENTRANK(AQ302:BL302, val)+0.01, 0))), SEQUENCE(COLUMNS(AQ302:BL302)), FALSE), {""charttype"",""column""; ""color"",""chartreuse""; ""ymin"", 0; ""ymax"", 1.01; ""highcolo"&amp;"r"", ""darkgreen""; ""lowcolor"", ""red""}), """")"),"")</f>
        <v/>
      </c>
      <c r="B302" s="17" t="str">
        <f t="shared" si="4"/>
        <v/>
      </c>
      <c r="C302" s="1" t="s">
        <v>1314</v>
      </c>
      <c r="D302" s="30" t="str">
        <f>IFERROR(__xludf.DUMMYFUNCTION("IFERROR(GOOGLEFINANCE(C302, ""NAME""))"),"Cirrus Logic Inc")</f>
        <v>Cirrus Logic Inc</v>
      </c>
      <c r="E302" s="30" t="s">
        <v>871</v>
      </c>
      <c r="F302" s="33" t="str">
        <f>IFERROR(__xludf.DUMMYFUNCTION("( (GOOGLEFINANCE(C302, ""price"") - Q302) / Q302 ) / (R302 / 100)"),"Loading...")</f>
        <v>Loading...</v>
      </c>
      <c r="G302" s="20" t="str">
        <f>IFERROR(__xludf.DUMMYFUNCTION("AVERAGE(ARRAYFORMULA(100 * (QUERY(GOOGLEFINANCE(C302, ""high"", TODAY()-40, TODAY()), ""SELECT Col2 WHERE Col2 IS NOT NULL ORDER BY Col1 DESC LIMIT 20"", 0) / QUERY(GOOGLEFINANCE(C302, ""low"", TODAY()-40, TODAY()), ""SELECT Col2 WHERE Col2 IS NOT NULL OR"&amp;"DER BY Col1 DESC LIMIT 20"", 0) - 1)))"),"#N/A")</f>
        <v>#N/A</v>
      </c>
      <c r="H302" s="35" t="str">
        <f t="shared" si="6"/>
        <v/>
      </c>
      <c r="I302" s="36" t="str">
        <f t="shared" si="7"/>
        <v/>
      </c>
      <c r="J302" s="37" t="str">
        <f>IFERROR(__xludf.DUMMYFUNCTION("IFERROR(
  IF(C302="""",, 
    IFERROR(
      GOOGLEFINANCE(C302, ""price"") * GOOGLEFINANCE(C302, ""volumeavg""), 
      GOOGLEFINANCE(C302, ""price"") * AVERAGE(QUERY(GOOGLEFINANCE(C302, ""volume"", TODAY()-40, TODAY()), ""SELECT Col2 WHERE Col2 IS NOT "&amp;"NULL ORDER BY Col1 DESC LIMIT 20"", 0))
    )
  ), 
"""")"),"")</f>
        <v/>
      </c>
      <c r="K302" s="21" t="str">
        <f>IFERROR(__xludf.DUMMYFUNCTION("IFERROR(GOOGLEFINANCE(C302, ""changepct"") / 100, """")"),"")</f>
        <v/>
      </c>
      <c r="L302" s="21" t="str">
        <f>IFERROR(__xludf.DUMMYFUNCTION("IFERROR((GOOGLEFINANCE(C302, ""price"") / INDEX(GOOGLEFINANCE(C302, ""price"", TODAY()-7, TODAY()), 2, 2)) - 1, """")"),"")</f>
        <v/>
      </c>
      <c r="M302" s="21" t="str">
        <f>IFERROR(__xludf.DUMMYFUNCTION("IFERROR((GOOGLEFINANCE(C302, ""price"") / INDEX(GOOGLEFINANCE(C302, ""price"", EDATE(TODAY(), -1), TODAY()), 2, 2)) - 1, """")"),"")</f>
        <v/>
      </c>
      <c r="N302" s="21" t="str">
        <f>IFERROR(__xludf.DUMMYFUNCTION("IFERROR((GOOGLEFINANCE(C302, ""price"") / INDEX(GOOGLEFINANCE(C302, ""price"", EDATE(TODAY(), -3), TODAY()), 2, 2)) - 1, """")"),"")</f>
        <v/>
      </c>
      <c r="O302" s="21" t="str">
        <f>IFERROR(__xludf.DUMMYFUNCTION("IFERROR((GOOGLEFINANCE(C302, ""price"") / INDEX(GOOGLEFINANCE(C302, ""price"", EDATE(TODAY(), -6), TODAY()), 2, 2)) - 1, """")"),"")</f>
        <v/>
      </c>
      <c r="P302" s="21" t="str">
        <f>IFERROR(__xludf.DUMMYFUNCTION("IFERROR((GOOGLEFINANCE(C302, ""price"") / INDEX(GOOGLEFINANCE(C302, ""price"", EDATE(TODAY(), -12), TODAY()), 2, 2)) - 1, """")"),"")</f>
        <v/>
      </c>
      <c r="Q302" s="6" t="str">
        <f>IFERROR(__xludf.DUMMYFUNCTION("AVERAGE(QUERY(GOOGLEFINANCE(C302, ""price"", TODAY()-80, TODAY()), ""SELECT Col2 WHERE Col2 IS NOT NULL ORDER BY Col1 DESC LIMIT 50"", 0))"),"#N/A")</f>
        <v>#N/A</v>
      </c>
      <c r="R302" s="24" t="str">
        <f>IFERROR(__xludf.DUMMYFUNCTION("IFERROR(
  LET(
    data, QUERY(GOOGLEFINANCE(C302,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GOOGLEFINANCE(C302, ""price"")) * 100,
    IF(calc=0, G302, calc)
  ), 
G302)"),"#N/A")</f>
        <v>#N/A</v>
      </c>
      <c r="S302" s="8" t="s">
        <v>15</v>
      </c>
      <c r="T302" s="26" t="str">
        <f>IFERROR(__xludf.DUMMYFUNCTION("IFERROR(TRANSPOSE(QUERY(IFERROR(SORT(GOOGLEFINANCE(C302, ""price"", WORKDAY(TODAY(), -40), TODAY()), 1, FALSE)), ""select Col2 where Col2 is not null limit 22 label Col2 ''"", 0)), """")"),"")</f>
        <v/>
      </c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8"/>
      <c r="AO302" s="28"/>
      <c r="AP302" s="29"/>
      <c r="AQ302" s="29" t="str">
        <f t="shared" ref="AQ302:BL302" si="305">T302/T$2</f>
        <v>#N/A</v>
      </c>
      <c r="AR302" s="29" t="str">
        <f t="shared" si="305"/>
        <v>#DIV/0!</v>
      </c>
      <c r="AS302" s="29" t="str">
        <f t="shared" si="305"/>
        <v>#DIV/0!</v>
      </c>
      <c r="AT302" s="29" t="str">
        <f t="shared" si="305"/>
        <v>#DIV/0!</v>
      </c>
      <c r="AU302" s="29" t="str">
        <f t="shared" si="305"/>
        <v>#DIV/0!</v>
      </c>
      <c r="AV302" s="29" t="str">
        <f t="shared" si="305"/>
        <v>#DIV/0!</v>
      </c>
      <c r="AW302" s="29" t="str">
        <f t="shared" si="305"/>
        <v>#DIV/0!</v>
      </c>
      <c r="AX302" s="29" t="str">
        <f t="shared" si="305"/>
        <v>#DIV/0!</v>
      </c>
      <c r="AY302" s="29" t="str">
        <f t="shared" si="305"/>
        <v>#DIV/0!</v>
      </c>
      <c r="AZ302" s="29" t="str">
        <f t="shared" si="305"/>
        <v>#DIV/0!</v>
      </c>
      <c r="BA302" s="29" t="str">
        <f t="shared" si="305"/>
        <v>#DIV/0!</v>
      </c>
      <c r="BB302" s="29" t="str">
        <f t="shared" si="305"/>
        <v>#DIV/0!</v>
      </c>
      <c r="BC302" s="29" t="str">
        <f t="shared" si="305"/>
        <v>#DIV/0!</v>
      </c>
      <c r="BD302" s="29" t="str">
        <f t="shared" si="305"/>
        <v>#DIV/0!</v>
      </c>
      <c r="BE302" s="29" t="str">
        <f t="shared" si="305"/>
        <v>#DIV/0!</v>
      </c>
      <c r="BF302" s="29" t="str">
        <f t="shared" si="305"/>
        <v>#DIV/0!</v>
      </c>
      <c r="BG302" s="29" t="str">
        <f t="shared" si="305"/>
        <v>#DIV/0!</v>
      </c>
      <c r="BH302" s="29" t="str">
        <f t="shared" si="305"/>
        <v>#DIV/0!</v>
      </c>
      <c r="BI302" s="29" t="str">
        <f t="shared" si="305"/>
        <v>#DIV/0!</v>
      </c>
      <c r="BJ302" s="29" t="str">
        <f t="shared" si="305"/>
        <v>#DIV/0!</v>
      </c>
      <c r="BK302" s="29" t="str">
        <f t="shared" si="305"/>
        <v>#DIV/0!</v>
      </c>
      <c r="BL302" s="29" t="str">
        <f t="shared" si="305"/>
        <v>#DIV/0!</v>
      </c>
      <c r="BM302" s="29" t="str">
        <f t="shared" si="3"/>
        <v>#DIV/0!</v>
      </c>
    </row>
    <row r="303">
      <c r="A303" s="16" t="str">
        <f>IFERROR(__xludf.DUMMYFUNCTION("IFERROR(SPARKLINE(SORT(MAP(TRANSPOSE(AQ303:BL303), LAMBDA(val, IF(ISNUMBER(val), PERCENTRANK(AQ303:BL303, val)+0.01, 0))), SEQUENCE(COLUMNS(AQ303:BL303)), FALSE), {""charttype"",""column""; ""color"",""chartreuse""; ""ymin"", 0; ""ymax"", 1.01; ""highcolo"&amp;"r"", ""darkgreen""; ""lowcolor"", ""red""}), """")"),"")</f>
        <v/>
      </c>
      <c r="B303" s="17" t="str">
        <f t="shared" si="4"/>
        <v/>
      </c>
      <c r="C303" s="1" t="s">
        <v>1318</v>
      </c>
      <c r="D303" s="30" t="str">
        <f>IFERROR(__xludf.DUMMYFUNCTION("IFERROR(GOOGLEFINANCE(C303, ""NAME""))"),"Extreme Networks Inc")</f>
        <v>Extreme Networks Inc</v>
      </c>
      <c r="E303" s="30" t="s">
        <v>716</v>
      </c>
      <c r="F303" s="33" t="str">
        <f>IFERROR(__xludf.DUMMYFUNCTION("( (GOOGLEFINANCE(C303, ""price"") - Q303) / Q303 ) / (R303 / 100)"),"Loading...")</f>
        <v>Loading...</v>
      </c>
      <c r="G303" s="20" t="str">
        <f>IFERROR(__xludf.DUMMYFUNCTION("AVERAGE(ARRAYFORMULA(100 * (QUERY(GOOGLEFINANCE(C303, ""high"", TODAY()-40, TODAY()), ""SELECT Col2 WHERE Col2 IS NOT NULL ORDER BY Col1 DESC LIMIT 20"", 0) / QUERY(GOOGLEFINANCE(C303, ""low"", TODAY()-40, TODAY()), ""SELECT Col2 WHERE Col2 IS NOT NULL OR"&amp;"DER BY Col1 DESC LIMIT 20"", 0) - 1)))"),"#N/A")</f>
        <v>#N/A</v>
      </c>
      <c r="H303" s="35" t="str">
        <f t="shared" si="6"/>
        <v/>
      </c>
      <c r="I303" s="36" t="str">
        <f t="shared" si="7"/>
        <v/>
      </c>
      <c r="J303" s="37" t="str">
        <f>IFERROR(__xludf.DUMMYFUNCTION("IFERROR(
  IF(C303="""",, 
    IFERROR(
      GOOGLEFINANCE(C303, ""price"") * GOOGLEFINANCE(C303, ""volumeavg""), 
      GOOGLEFINANCE(C303, ""price"") * AVERAGE(QUERY(GOOGLEFINANCE(C303, ""volume"", TODAY()-40, TODAY()), ""SELECT Col2 WHERE Col2 IS NOT "&amp;"NULL ORDER BY Col1 DESC LIMIT 20"", 0))
    )
  ), 
"""")"),"")</f>
        <v/>
      </c>
      <c r="K303" s="21" t="str">
        <f>IFERROR(__xludf.DUMMYFUNCTION("IFERROR(GOOGLEFINANCE(C303, ""changepct"") / 100, """")"),"")</f>
        <v/>
      </c>
      <c r="L303" s="21" t="str">
        <f>IFERROR(__xludf.DUMMYFUNCTION("IFERROR((GOOGLEFINANCE(C303, ""price"") / INDEX(GOOGLEFINANCE(C303, ""price"", TODAY()-7, TODAY()), 2, 2)) - 1, """")"),"")</f>
        <v/>
      </c>
      <c r="M303" s="21" t="str">
        <f>IFERROR(__xludf.DUMMYFUNCTION("IFERROR((GOOGLEFINANCE(C303, ""price"") / INDEX(GOOGLEFINANCE(C303, ""price"", EDATE(TODAY(), -1), TODAY()), 2, 2)) - 1, """")"),"")</f>
        <v/>
      </c>
      <c r="N303" s="21" t="str">
        <f>IFERROR(__xludf.DUMMYFUNCTION("IFERROR((GOOGLEFINANCE(C303, ""price"") / INDEX(GOOGLEFINANCE(C303, ""price"", EDATE(TODAY(), -3), TODAY()), 2, 2)) - 1, """")"),"")</f>
        <v/>
      </c>
      <c r="O303" s="21" t="str">
        <f>IFERROR(__xludf.DUMMYFUNCTION("IFERROR((GOOGLEFINANCE(C303, ""price"") / INDEX(GOOGLEFINANCE(C303, ""price"", EDATE(TODAY(), -6), TODAY()), 2, 2)) - 1, """")"),"")</f>
        <v/>
      </c>
      <c r="P303" s="21" t="str">
        <f>IFERROR(__xludf.DUMMYFUNCTION("IFERROR((GOOGLEFINANCE(C303, ""price"") / INDEX(GOOGLEFINANCE(C303, ""price"", EDATE(TODAY(), -12), TODAY()), 2, 2)) - 1, """")"),"")</f>
        <v/>
      </c>
      <c r="Q303" s="6" t="str">
        <f>IFERROR(__xludf.DUMMYFUNCTION("AVERAGE(QUERY(GOOGLEFINANCE(C303, ""price"", TODAY()-80, TODAY()), ""SELECT Col2 WHERE Col2 IS NOT NULL ORDER BY Col1 DESC LIMIT 50"", 0))"),"#N/A")</f>
        <v>#N/A</v>
      </c>
      <c r="R303" s="24" t="str">
        <f>IFERROR(__xludf.DUMMYFUNCTION("IFERROR(
  LET(
    data, QUERY(GOOGLEFINANCE(C303,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GOOGLEFINANCE(C303, ""price"")) * 100,
    IF(calc=0, G303, calc)
  ), 
G303)"),"#N/A")</f>
        <v>#N/A</v>
      </c>
      <c r="S303" s="8" t="s">
        <v>15</v>
      </c>
      <c r="T303" s="26" t="str">
        <f>IFERROR(__xludf.DUMMYFUNCTION("IFERROR(TRANSPOSE(QUERY(IFERROR(SORT(GOOGLEFINANCE(C303, ""price"", WORKDAY(TODAY(), -40), TODAY()), 1, FALSE)), ""select Col2 where Col2 is not null limit 22 label Col2 ''"", 0)), """")"),"")</f>
        <v/>
      </c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8"/>
      <c r="AO303" s="28"/>
      <c r="AP303" s="29"/>
      <c r="AQ303" s="29" t="str">
        <f t="shared" ref="AQ303:BL303" si="306">T303/T$2</f>
        <v>#N/A</v>
      </c>
      <c r="AR303" s="29" t="str">
        <f t="shared" si="306"/>
        <v>#DIV/0!</v>
      </c>
      <c r="AS303" s="29" t="str">
        <f t="shared" si="306"/>
        <v>#DIV/0!</v>
      </c>
      <c r="AT303" s="29" t="str">
        <f t="shared" si="306"/>
        <v>#DIV/0!</v>
      </c>
      <c r="AU303" s="29" t="str">
        <f t="shared" si="306"/>
        <v>#DIV/0!</v>
      </c>
      <c r="AV303" s="29" t="str">
        <f t="shared" si="306"/>
        <v>#DIV/0!</v>
      </c>
      <c r="AW303" s="29" t="str">
        <f t="shared" si="306"/>
        <v>#DIV/0!</v>
      </c>
      <c r="AX303" s="29" t="str">
        <f t="shared" si="306"/>
        <v>#DIV/0!</v>
      </c>
      <c r="AY303" s="29" t="str">
        <f t="shared" si="306"/>
        <v>#DIV/0!</v>
      </c>
      <c r="AZ303" s="29" t="str">
        <f t="shared" si="306"/>
        <v>#DIV/0!</v>
      </c>
      <c r="BA303" s="29" t="str">
        <f t="shared" si="306"/>
        <v>#DIV/0!</v>
      </c>
      <c r="BB303" s="29" t="str">
        <f t="shared" si="306"/>
        <v>#DIV/0!</v>
      </c>
      <c r="BC303" s="29" t="str">
        <f t="shared" si="306"/>
        <v>#DIV/0!</v>
      </c>
      <c r="BD303" s="29" t="str">
        <f t="shared" si="306"/>
        <v>#DIV/0!</v>
      </c>
      <c r="BE303" s="29" t="str">
        <f t="shared" si="306"/>
        <v>#DIV/0!</v>
      </c>
      <c r="BF303" s="29" t="str">
        <f t="shared" si="306"/>
        <v>#DIV/0!</v>
      </c>
      <c r="BG303" s="29" t="str">
        <f t="shared" si="306"/>
        <v>#DIV/0!</v>
      </c>
      <c r="BH303" s="29" t="str">
        <f t="shared" si="306"/>
        <v>#DIV/0!</v>
      </c>
      <c r="BI303" s="29" t="str">
        <f t="shared" si="306"/>
        <v>#DIV/0!</v>
      </c>
      <c r="BJ303" s="29" t="str">
        <f t="shared" si="306"/>
        <v>#DIV/0!</v>
      </c>
      <c r="BK303" s="29" t="str">
        <f t="shared" si="306"/>
        <v>#DIV/0!</v>
      </c>
      <c r="BL303" s="29" t="str">
        <f t="shared" si="306"/>
        <v>#DIV/0!</v>
      </c>
      <c r="BM303" s="29" t="str">
        <f t="shared" si="3"/>
        <v>#DIV/0!</v>
      </c>
    </row>
    <row r="304">
      <c r="A304" s="16" t="str">
        <f>IFERROR(__xludf.DUMMYFUNCTION("IFERROR(SPARKLINE(SORT(MAP(TRANSPOSE(AQ304:BL304), LAMBDA(val, IF(ISNUMBER(val), PERCENTRANK(AQ304:BL304, val)+0.01, 0))), SEQUENCE(COLUMNS(AQ304:BL304)), FALSE), {""charttype"",""column""; ""color"",""chartreuse""; ""ymin"", 0; ""ymax"", 1.01; ""highcolo"&amp;"r"", ""darkgreen""; ""lowcolor"", ""red""}), """")"),"")</f>
        <v/>
      </c>
      <c r="B304" s="17" t="str">
        <f t="shared" si="4"/>
        <v/>
      </c>
      <c r="C304" s="1" t="s">
        <v>1322</v>
      </c>
      <c r="D304" s="30" t="str">
        <f>IFERROR(__xludf.DUMMYFUNCTION("IFERROR(GOOGLEFINANCE(C304, ""NAME""))"),"Nayax Ltd")</f>
        <v>Nayax Ltd</v>
      </c>
      <c r="E304" s="30" t="s">
        <v>58</v>
      </c>
      <c r="F304" s="33" t="str">
        <f>IFERROR(__xludf.DUMMYFUNCTION("( (GOOGLEFINANCE(C304, ""price"") - Q304) / Q304 ) / (R304 / 100)"),"Loading...")</f>
        <v>Loading...</v>
      </c>
      <c r="G304" s="20" t="str">
        <f>IFERROR(__xludf.DUMMYFUNCTION("AVERAGE(ARRAYFORMULA(100 * (QUERY(GOOGLEFINANCE(C304, ""high"", TODAY()-40, TODAY()), ""SELECT Col2 WHERE Col2 IS NOT NULL ORDER BY Col1 DESC LIMIT 20"", 0) / QUERY(GOOGLEFINANCE(C304, ""low"", TODAY()-40, TODAY()), ""SELECT Col2 WHERE Col2 IS NOT NULL OR"&amp;"DER BY Col1 DESC LIMIT 20"", 0) - 1)))"),"#N/A")</f>
        <v>#N/A</v>
      </c>
      <c r="H304" s="35" t="str">
        <f t="shared" si="6"/>
        <v/>
      </c>
      <c r="I304" s="36" t="str">
        <f t="shared" si="7"/>
        <v/>
      </c>
      <c r="J304" s="37" t="str">
        <f>IFERROR(__xludf.DUMMYFUNCTION("IFERROR(
  IF(C304="""",, 
    IFERROR(
      GOOGLEFINANCE(C304, ""price"") * GOOGLEFINANCE(C304, ""volumeavg""), 
      GOOGLEFINANCE(C304, ""price"") * AVERAGE(QUERY(GOOGLEFINANCE(C304, ""volume"", TODAY()-40, TODAY()), ""SELECT Col2 WHERE Col2 IS NOT "&amp;"NULL ORDER BY Col1 DESC LIMIT 20"", 0))
    )
  ), 
"""")"),"")</f>
        <v/>
      </c>
      <c r="K304" s="21" t="str">
        <f>IFERROR(__xludf.DUMMYFUNCTION("IFERROR(GOOGLEFINANCE(C304, ""changepct"") / 100, """")"),"")</f>
        <v/>
      </c>
      <c r="L304" s="21" t="str">
        <f>IFERROR(__xludf.DUMMYFUNCTION("IFERROR((GOOGLEFINANCE(C304, ""price"") / INDEX(GOOGLEFINANCE(C304, ""price"", TODAY()-7, TODAY()), 2, 2)) - 1, """")"),"")</f>
        <v/>
      </c>
      <c r="M304" s="21" t="str">
        <f>IFERROR(__xludf.DUMMYFUNCTION("IFERROR((GOOGLEFINANCE(C304, ""price"") / INDEX(GOOGLEFINANCE(C304, ""price"", EDATE(TODAY(), -1), TODAY()), 2, 2)) - 1, """")"),"")</f>
        <v/>
      </c>
      <c r="N304" s="21" t="str">
        <f>IFERROR(__xludf.DUMMYFUNCTION("IFERROR((GOOGLEFINANCE(C304, ""price"") / INDEX(GOOGLEFINANCE(C304, ""price"", EDATE(TODAY(), -3), TODAY()), 2, 2)) - 1, """")"),"")</f>
        <v/>
      </c>
      <c r="O304" s="21" t="str">
        <f>IFERROR(__xludf.DUMMYFUNCTION("IFERROR((GOOGLEFINANCE(C304, ""price"") / INDEX(GOOGLEFINANCE(C304, ""price"", EDATE(TODAY(), -6), TODAY()), 2, 2)) - 1, """")"),"")</f>
        <v/>
      </c>
      <c r="P304" s="21" t="str">
        <f>IFERROR(__xludf.DUMMYFUNCTION("IFERROR((GOOGLEFINANCE(C304, ""price"") / INDEX(GOOGLEFINANCE(C304, ""price"", EDATE(TODAY(), -12), TODAY()), 2, 2)) - 1, """")"),"")</f>
        <v/>
      </c>
      <c r="Q304" s="6" t="str">
        <f>IFERROR(__xludf.DUMMYFUNCTION("AVERAGE(QUERY(GOOGLEFINANCE(C304, ""price"", TODAY()-80, TODAY()), ""SELECT Col2 WHERE Col2 IS NOT NULL ORDER BY Col1 DESC LIMIT 50"", 0))"),"#N/A")</f>
        <v>#N/A</v>
      </c>
      <c r="R304" s="24" t="str">
        <f>IFERROR(__xludf.DUMMYFUNCTION("IFERROR(
  LET(
    data, QUERY(GOOGLEFINANCE(C304,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GOOGLEFINANCE(C304, ""price"")) * 100,
    IF(calc=0, G304, calc)
  ), 
G304)"),"#N/A")</f>
        <v>#N/A</v>
      </c>
      <c r="S304" s="8" t="s">
        <v>15</v>
      </c>
      <c r="T304" s="26" t="str">
        <f>IFERROR(__xludf.DUMMYFUNCTION("IFERROR(TRANSPOSE(QUERY(IFERROR(SORT(GOOGLEFINANCE(C304, ""price"", WORKDAY(TODAY(), -40), TODAY()), 1, FALSE)), ""select Col2 where Col2 is not null limit 22 label Col2 ''"", 0)), """")"),"")</f>
        <v/>
      </c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8"/>
      <c r="AO304" s="28"/>
      <c r="AP304" s="29"/>
      <c r="AQ304" s="29" t="str">
        <f t="shared" ref="AQ304:BL304" si="307">T304/T$2</f>
        <v>#N/A</v>
      </c>
      <c r="AR304" s="29" t="str">
        <f t="shared" si="307"/>
        <v>#DIV/0!</v>
      </c>
      <c r="AS304" s="29" t="str">
        <f t="shared" si="307"/>
        <v>#DIV/0!</v>
      </c>
      <c r="AT304" s="29" t="str">
        <f t="shared" si="307"/>
        <v>#DIV/0!</v>
      </c>
      <c r="AU304" s="29" t="str">
        <f t="shared" si="307"/>
        <v>#DIV/0!</v>
      </c>
      <c r="AV304" s="29" t="str">
        <f t="shared" si="307"/>
        <v>#DIV/0!</v>
      </c>
      <c r="AW304" s="29" t="str">
        <f t="shared" si="307"/>
        <v>#DIV/0!</v>
      </c>
      <c r="AX304" s="29" t="str">
        <f t="shared" si="307"/>
        <v>#DIV/0!</v>
      </c>
      <c r="AY304" s="29" t="str">
        <f t="shared" si="307"/>
        <v>#DIV/0!</v>
      </c>
      <c r="AZ304" s="29" t="str">
        <f t="shared" si="307"/>
        <v>#DIV/0!</v>
      </c>
      <c r="BA304" s="29" t="str">
        <f t="shared" si="307"/>
        <v>#DIV/0!</v>
      </c>
      <c r="BB304" s="29" t="str">
        <f t="shared" si="307"/>
        <v>#DIV/0!</v>
      </c>
      <c r="BC304" s="29" t="str">
        <f t="shared" si="307"/>
        <v>#DIV/0!</v>
      </c>
      <c r="BD304" s="29" t="str">
        <f t="shared" si="307"/>
        <v>#DIV/0!</v>
      </c>
      <c r="BE304" s="29" t="str">
        <f t="shared" si="307"/>
        <v>#DIV/0!</v>
      </c>
      <c r="BF304" s="29" t="str">
        <f t="shared" si="307"/>
        <v>#DIV/0!</v>
      </c>
      <c r="BG304" s="29" t="str">
        <f t="shared" si="307"/>
        <v>#DIV/0!</v>
      </c>
      <c r="BH304" s="29" t="str">
        <f t="shared" si="307"/>
        <v>#DIV/0!</v>
      </c>
      <c r="BI304" s="29" t="str">
        <f t="shared" si="307"/>
        <v>#DIV/0!</v>
      </c>
      <c r="BJ304" s="29" t="str">
        <f t="shared" si="307"/>
        <v>#DIV/0!</v>
      </c>
      <c r="BK304" s="29" t="str">
        <f t="shared" si="307"/>
        <v>#DIV/0!</v>
      </c>
      <c r="BL304" s="29" t="str">
        <f t="shared" si="307"/>
        <v>#DIV/0!</v>
      </c>
      <c r="BM304" s="29" t="str">
        <f t="shared" si="3"/>
        <v>#DIV/0!</v>
      </c>
    </row>
    <row r="305">
      <c r="A305" s="16" t="str">
        <f>IFERROR(__xludf.DUMMYFUNCTION("IFERROR(SPARKLINE(SORT(MAP(TRANSPOSE(AQ305:BL305), LAMBDA(val, IF(ISNUMBER(val), PERCENTRANK(AQ305:BL305, val)+0.01, 0))), SEQUENCE(COLUMNS(AQ305:BL305)), FALSE), {""charttype"",""column""; ""color"",""chartreuse""; ""ymin"", 0; ""ymax"", 1.01; ""highcolo"&amp;"r"", ""darkgreen""; ""lowcolor"", ""red""}), """")"),"")</f>
        <v/>
      </c>
      <c r="B305" s="17" t="str">
        <f t="shared" si="4"/>
        <v/>
      </c>
      <c r="C305" s="1" t="s">
        <v>1323</v>
      </c>
      <c r="D305" s="30" t="str">
        <f>IFERROR(__xludf.DUMMYFUNCTION("IFERROR(GOOGLEFINANCE(C305, ""NAME""))"),"D-Wave Quantum Inc")</f>
        <v>D-Wave Quantum Inc</v>
      </c>
      <c r="E305" s="30" t="s">
        <v>477</v>
      </c>
      <c r="F305" s="33" t="str">
        <f>IFERROR(__xludf.DUMMYFUNCTION("( (GOOGLEFINANCE(C305, ""price"") - Q305) / Q305 ) / (R305 / 100)"),"Loading...")</f>
        <v>Loading...</v>
      </c>
      <c r="G305" s="20" t="str">
        <f>IFERROR(__xludf.DUMMYFUNCTION("AVERAGE(ARRAYFORMULA(100 * (QUERY(GOOGLEFINANCE(C305, ""high"", TODAY()-40, TODAY()), ""SELECT Col2 WHERE Col2 IS NOT NULL ORDER BY Col1 DESC LIMIT 20"", 0) / QUERY(GOOGLEFINANCE(C305, ""low"", TODAY()-40, TODAY()), ""SELECT Col2 WHERE Col2 IS NOT NULL OR"&amp;"DER BY Col1 DESC LIMIT 20"", 0) - 1)))"),"#N/A")</f>
        <v>#N/A</v>
      </c>
      <c r="H305" s="35" t="str">
        <f t="shared" si="6"/>
        <v/>
      </c>
      <c r="I305" s="36" t="str">
        <f t="shared" si="7"/>
        <v/>
      </c>
      <c r="J305" s="37" t="str">
        <f>IFERROR(__xludf.DUMMYFUNCTION("IFERROR(
  IF(C305="""",, 
    IFERROR(
      GOOGLEFINANCE(C305, ""price"") * GOOGLEFINANCE(C305, ""volumeavg""), 
      GOOGLEFINANCE(C305, ""price"") * AVERAGE(QUERY(GOOGLEFINANCE(C305, ""volume"", TODAY()-40, TODAY()), ""SELECT Col2 WHERE Col2 IS NOT "&amp;"NULL ORDER BY Col1 DESC LIMIT 20"", 0))
    )
  ), 
"""")"),"")</f>
        <v/>
      </c>
      <c r="K305" s="21" t="str">
        <f>IFERROR(__xludf.DUMMYFUNCTION("IFERROR(GOOGLEFINANCE(C305, ""changepct"") / 100, """")"),"")</f>
        <v/>
      </c>
      <c r="L305" s="21" t="str">
        <f>IFERROR(__xludf.DUMMYFUNCTION("IFERROR((GOOGLEFINANCE(C305, ""price"") / INDEX(GOOGLEFINANCE(C305, ""price"", TODAY()-7, TODAY()), 2, 2)) - 1, """")"),"")</f>
        <v/>
      </c>
      <c r="M305" s="21" t="str">
        <f>IFERROR(__xludf.DUMMYFUNCTION("IFERROR((GOOGLEFINANCE(C305, ""price"") / INDEX(GOOGLEFINANCE(C305, ""price"", EDATE(TODAY(), -1), TODAY()), 2, 2)) - 1, """")"),"")</f>
        <v/>
      </c>
      <c r="N305" s="21" t="str">
        <f>IFERROR(__xludf.DUMMYFUNCTION("IFERROR((GOOGLEFINANCE(C305, ""price"") / INDEX(GOOGLEFINANCE(C305, ""price"", EDATE(TODAY(), -3), TODAY()), 2, 2)) - 1, """")"),"")</f>
        <v/>
      </c>
      <c r="O305" s="21" t="str">
        <f>IFERROR(__xludf.DUMMYFUNCTION("IFERROR((GOOGLEFINANCE(C305, ""price"") / INDEX(GOOGLEFINANCE(C305, ""price"", EDATE(TODAY(), -6), TODAY()), 2, 2)) - 1, """")"),"")</f>
        <v/>
      </c>
      <c r="P305" s="21" t="str">
        <f>IFERROR(__xludf.DUMMYFUNCTION("IFERROR((GOOGLEFINANCE(C305, ""price"") / INDEX(GOOGLEFINANCE(C305, ""price"", EDATE(TODAY(), -12), TODAY()), 2, 2)) - 1, """")"),"")</f>
        <v/>
      </c>
      <c r="Q305" s="6" t="str">
        <f>IFERROR(__xludf.DUMMYFUNCTION("AVERAGE(QUERY(GOOGLEFINANCE(C305, ""price"", TODAY()-80, TODAY()), ""SELECT Col2 WHERE Col2 IS NOT NULL ORDER BY Col1 DESC LIMIT 50"", 0))"),"#N/A")</f>
        <v>#N/A</v>
      </c>
      <c r="R305" s="24" t="str">
        <f>IFERROR(__xludf.DUMMYFUNCTION("IFERROR(
  LET(
    data, QUERY(GOOGLEFINANCE(C305,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GOOGLEFINANCE(C305, ""price"")) * 100,
    IF(calc=0, G305, calc)
  ), 
G305)"),"#N/A")</f>
        <v>#N/A</v>
      </c>
      <c r="S305" s="8" t="s">
        <v>15</v>
      </c>
      <c r="T305" s="26" t="str">
        <f>IFERROR(__xludf.DUMMYFUNCTION("IFERROR(TRANSPOSE(QUERY(IFERROR(SORT(GOOGLEFINANCE(C305, ""price"", WORKDAY(TODAY(), -40), TODAY()), 1, FALSE)), ""select Col2 where Col2 is not null limit 22 label Col2 ''"", 0)), """")"),"")</f>
        <v/>
      </c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8"/>
      <c r="AO305" s="28"/>
      <c r="AP305" s="29"/>
      <c r="AQ305" s="29" t="str">
        <f t="shared" ref="AQ305:BL305" si="308">T305/T$2</f>
        <v>#N/A</v>
      </c>
      <c r="AR305" s="29" t="str">
        <f t="shared" si="308"/>
        <v>#DIV/0!</v>
      </c>
      <c r="AS305" s="29" t="str">
        <f t="shared" si="308"/>
        <v>#DIV/0!</v>
      </c>
      <c r="AT305" s="29" t="str">
        <f t="shared" si="308"/>
        <v>#DIV/0!</v>
      </c>
      <c r="AU305" s="29" t="str">
        <f t="shared" si="308"/>
        <v>#DIV/0!</v>
      </c>
      <c r="AV305" s="29" t="str">
        <f t="shared" si="308"/>
        <v>#DIV/0!</v>
      </c>
      <c r="AW305" s="29" t="str">
        <f t="shared" si="308"/>
        <v>#DIV/0!</v>
      </c>
      <c r="AX305" s="29" t="str">
        <f t="shared" si="308"/>
        <v>#DIV/0!</v>
      </c>
      <c r="AY305" s="29" t="str">
        <f t="shared" si="308"/>
        <v>#DIV/0!</v>
      </c>
      <c r="AZ305" s="29" t="str">
        <f t="shared" si="308"/>
        <v>#DIV/0!</v>
      </c>
      <c r="BA305" s="29" t="str">
        <f t="shared" si="308"/>
        <v>#DIV/0!</v>
      </c>
      <c r="BB305" s="29" t="str">
        <f t="shared" si="308"/>
        <v>#DIV/0!</v>
      </c>
      <c r="BC305" s="29" t="str">
        <f t="shared" si="308"/>
        <v>#DIV/0!</v>
      </c>
      <c r="BD305" s="29" t="str">
        <f t="shared" si="308"/>
        <v>#DIV/0!</v>
      </c>
      <c r="BE305" s="29" t="str">
        <f t="shared" si="308"/>
        <v>#DIV/0!</v>
      </c>
      <c r="BF305" s="29" t="str">
        <f t="shared" si="308"/>
        <v>#DIV/0!</v>
      </c>
      <c r="BG305" s="29" t="str">
        <f t="shared" si="308"/>
        <v>#DIV/0!</v>
      </c>
      <c r="BH305" s="29" t="str">
        <f t="shared" si="308"/>
        <v>#DIV/0!</v>
      </c>
      <c r="BI305" s="29" t="str">
        <f t="shared" si="308"/>
        <v>#DIV/0!</v>
      </c>
      <c r="BJ305" s="29" t="str">
        <f t="shared" si="308"/>
        <v>#DIV/0!</v>
      </c>
      <c r="BK305" s="29" t="str">
        <f t="shared" si="308"/>
        <v>#DIV/0!</v>
      </c>
      <c r="BL305" s="29" t="str">
        <f t="shared" si="308"/>
        <v>#DIV/0!</v>
      </c>
      <c r="BM305" s="29" t="str">
        <f t="shared" si="3"/>
        <v>#DIV/0!</v>
      </c>
    </row>
    <row r="306">
      <c r="A306" s="16" t="str">
        <f>IFERROR(__xludf.DUMMYFUNCTION("IFERROR(SPARKLINE(SORT(MAP(TRANSPOSE(AQ306:BL306), LAMBDA(val, IF(ISNUMBER(val), PERCENTRANK(AQ306:BL306, val)+0.01, 0))), SEQUENCE(COLUMNS(AQ306:BL306)), FALSE), {""charttype"",""column""; ""color"",""chartreuse""; ""ymin"", 0; ""ymax"", 1.01; ""highcolo"&amp;"r"", ""darkgreen""; ""lowcolor"", ""red""}), """")"),"")</f>
        <v/>
      </c>
      <c r="B306" s="17" t="str">
        <f t="shared" si="4"/>
        <v/>
      </c>
      <c r="C306" s="1" t="s">
        <v>1327</v>
      </c>
      <c r="D306" s="30" t="str">
        <f>IFERROR(__xludf.DUMMYFUNCTION("IFERROR(GOOGLEFINANCE(C306, ""NAME""))"),"Microchip Technology Inc")</f>
        <v>Microchip Technology Inc</v>
      </c>
      <c r="E306" s="30" t="s">
        <v>871</v>
      </c>
      <c r="F306" s="33" t="str">
        <f>IFERROR(__xludf.DUMMYFUNCTION("( (GOOGLEFINANCE(C306, ""price"") - Q306) / Q306 ) / (R306 / 100)"),"Loading...")</f>
        <v>Loading...</v>
      </c>
      <c r="G306" s="20" t="str">
        <f>IFERROR(__xludf.DUMMYFUNCTION("AVERAGE(ARRAYFORMULA(100 * (QUERY(GOOGLEFINANCE(C306, ""high"", TODAY()-40, TODAY()), ""SELECT Col2 WHERE Col2 IS NOT NULL ORDER BY Col1 DESC LIMIT 20"", 0) / QUERY(GOOGLEFINANCE(C306, ""low"", TODAY()-40, TODAY()), ""SELECT Col2 WHERE Col2 IS NOT NULL OR"&amp;"DER BY Col1 DESC LIMIT 20"", 0) - 1)))"),"#N/A")</f>
        <v>#N/A</v>
      </c>
      <c r="H306" s="35" t="str">
        <f t="shared" si="6"/>
        <v/>
      </c>
      <c r="I306" s="36" t="str">
        <f t="shared" si="7"/>
        <v/>
      </c>
      <c r="J306" s="37" t="str">
        <f>IFERROR(__xludf.DUMMYFUNCTION("IFERROR(
  IF(C306="""",, 
    IFERROR(
      GOOGLEFINANCE(C306, ""price"") * GOOGLEFINANCE(C306, ""volumeavg""), 
      GOOGLEFINANCE(C306, ""price"") * AVERAGE(QUERY(GOOGLEFINANCE(C306, ""volume"", TODAY()-40, TODAY()), ""SELECT Col2 WHERE Col2 IS NOT "&amp;"NULL ORDER BY Col1 DESC LIMIT 20"", 0))
    )
  ), 
"""")"),"")</f>
        <v/>
      </c>
      <c r="K306" s="21" t="str">
        <f>IFERROR(__xludf.DUMMYFUNCTION("IFERROR(GOOGLEFINANCE(C306, ""changepct"") / 100, """")"),"")</f>
        <v/>
      </c>
      <c r="L306" s="21" t="str">
        <f>IFERROR(__xludf.DUMMYFUNCTION("IFERROR((GOOGLEFINANCE(C306, ""price"") / INDEX(GOOGLEFINANCE(C306, ""price"", TODAY()-7, TODAY()), 2, 2)) - 1, """")"),"")</f>
        <v/>
      </c>
      <c r="M306" s="21" t="str">
        <f>IFERROR(__xludf.DUMMYFUNCTION("IFERROR((GOOGLEFINANCE(C306, ""price"") / INDEX(GOOGLEFINANCE(C306, ""price"", EDATE(TODAY(), -1), TODAY()), 2, 2)) - 1, """")"),"")</f>
        <v/>
      </c>
      <c r="N306" s="21" t="str">
        <f>IFERROR(__xludf.DUMMYFUNCTION("IFERROR((GOOGLEFINANCE(C306, ""price"") / INDEX(GOOGLEFINANCE(C306, ""price"", EDATE(TODAY(), -3), TODAY()), 2, 2)) - 1, """")"),"")</f>
        <v/>
      </c>
      <c r="O306" s="21" t="str">
        <f>IFERROR(__xludf.DUMMYFUNCTION("IFERROR((GOOGLEFINANCE(C306, ""price"") / INDEX(GOOGLEFINANCE(C306, ""price"", EDATE(TODAY(), -6), TODAY()), 2, 2)) - 1, """")"),"")</f>
        <v/>
      </c>
      <c r="P306" s="21" t="str">
        <f>IFERROR(__xludf.DUMMYFUNCTION("IFERROR((GOOGLEFINANCE(C306, ""price"") / INDEX(GOOGLEFINANCE(C306, ""price"", EDATE(TODAY(), -12), TODAY()), 2, 2)) - 1, """")"),"")</f>
        <v/>
      </c>
      <c r="Q306" s="6" t="str">
        <f>IFERROR(__xludf.DUMMYFUNCTION("AVERAGE(QUERY(GOOGLEFINANCE(C306, ""price"", TODAY()-80, TODAY()), ""SELECT Col2 WHERE Col2 IS NOT NULL ORDER BY Col1 DESC LIMIT 50"", 0))"),"#N/A")</f>
        <v>#N/A</v>
      </c>
      <c r="R306" s="24" t="str">
        <f>IFERROR(__xludf.DUMMYFUNCTION("IFERROR(
  LET(
    data, QUERY(GOOGLEFINANCE(C306,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GOOGLEFINANCE(C306, ""price"")) * 100,
    IF(calc=0, G306, calc)
  ), 
G306)"),"#N/A")</f>
        <v>#N/A</v>
      </c>
      <c r="S306" s="8" t="s">
        <v>15</v>
      </c>
      <c r="T306" s="26" t="str">
        <f>IFERROR(__xludf.DUMMYFUNCTION("IFERROR(TRANSPOSE(QUERY(IFERROR(SORT(GOOGLEFINANCE(C306, ""price"", WORKDAY(TODAY(), -40), TODAY()), 1, FALSE)), ""select Col2 where Col2 is not null limit 22 label Col2 ''"", 0)), """")"),"")</f>
        <v/>
      </c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8"/>
      <c r="AO306" s="28"/>
      <c r="AP306" s="29"/>
      <c r="AQ306" s="29" t="str">
        <f t="shared" ref="AQ306:BL306" si="309">T306/T$2</f>
        <v>#N/A</v>
      </c>
      <c r="AR306" s="29" t="str">
        <f t="shared" si="309"/>
        <v>#DIV/0!</v>
      </c>
      <c r="AS306" s="29" t="str">
        <f t="shared" si="309"/>
        <v>#DIV/0!</v>
      </c>
      <c r="AT306" s="29" t="str">
        <f t="shared" si="309"/>
        <v>#DIV/0!</v>
      </c>
      <c r="AU306" s="29" t="str">
        <f t="shared" si="309"/>
        <v>#DIV/0!</v>
      </c>
      <c r="AV306" s="29" t="str">
        <f t="shared" si="309"/>
        <v>#DIV/0!</v>
      </c>
      <c r="AW306" s="29" t="str">
        <f t="shared" si="309"/>
        <v>#DIV/0!</v>
      </c>
      <c r="AX306" s="29" t="str">
        <f t="shared" si="309"/>
        <v>#DIV/0!</v>
      </c>
      <c r="AY306" s="29" t="str">
        <f t="shared" si="309"/>
        <v>#DIV/0!</v>
      </c>
      <c r="AZ306" s="29" t="str">
        <f t="shared" si="309"/>
        <v>#DIV/0!</v>
      </c>
      <c r="BA306" s="29" t="str">
        <f t="shared" si="309"/>
        <v>#DIV/0!</v>
      </c>
      <c r="BB306" s="29" t="str">
        <f t="shared" si="309"/>
        <v>#DIV/0!</v>
      </c>
      <c r="BC306" s="29" t="str">
        <f t="shared" si="309"/>
        <v>#DIV/0!</v>
      </c>
      <c r="BD306" s="29" t="str">
        <f t="shared" si="309"/>
        <v>#DIV/0!</v>
      </c>
      <c r="BE306" s="29" t="str">
        <f t="shared" si="309"/>
        <v>#DIV/0!</v>
      </c>
      <c r="BF306" s="29" t="str">
        <f t="shared" si="309"/>
        <v>#DIV/0!</v>
      </c>
      <c r="BG306" s="29" t="str">
        <f t="shared" si="309"/>
        <v>#DIV/0!</v>
      </c>
      <c r="BH306" s="29" t="str">
        <f t="shared" si="309"/>
        <v>#DIV/0!</v>
      </c>
      <c r="BI306" s="29" t="str">
        <f t="shared" si="309"/>
        <v>#DIV/0!</v>
      </c>
      <c r="BJ306" s="29" t="str">
        <f t="shared" si="309"/>
        <v>#DIV/0!</v>
      </c>
      <c r="BK306" s="29" t="str">
        <f t="shared" si="309"/>
        <v>#DIV/0!</v>
      </c>
      <c r="BL306" s="29" t="str">
        <f t="shared" si="309"/>
        <v>#DIV/0!</v>
      </c>
      <c r="BM306" s="29" t="str">
        <f t="shared" si="3"/>
        <v>#DIV/0!</v>
      </c>
    </row>
    <row r="307">
      <c r="A307" s="16" t="str">
        <f>IFERROR(__xludf.DUMMYFUNCTION("IFERROR(SPARKLINE(SORT(MAP(TRANSPOSE(AQ307:BL307), LAMBDA(val, IF(ISNUMBER(val), PERCENTRANK(AQ307:BL307, val)+0.01, 0))), SEQUENCE(COLUMNS(AQ307:BL307)), FALSE), {""charttype"",""column""; ""color"",""chartreuse""; ""ymin"", 0; ""ymax"", 1.01; ""highcolo"&amp;"r"", ""darkgreen""; ""lowcolor"", ""red""}), """")"),"")</f>
        <v/>
      </c>
      <c r="B307" s="17" t="str">
        <f t="shared" si="4"/>
        <v/>
      </c>
      <c r="C307" s="1" t="s">
        <v>1331</v>
      </c>
      <c r="D307" s="30" t="str">
        <f>IFERROR(__xludf.DUMMYFUNCTION("IFERROR(GOOGLEFINANCE(C307, ""NAME""))"),"JFrog Ltd")</f>
        <v>JFrog Ltd</v>
      </c>
      <c r="E307" s="30" t="s">
        <v>48</v>
      </c>
      <c r="F307" s="33" t="str">
        <f>IFERROR(__xludf.DUMMYFUNCTION("( (GOOGLEFINANCE(C307, ""price"") - Q307) / Q307 ) / (R307 / 100)"),"Loading...")</f>
        <v>Loading...</v>
      </c>
      <c r="G307" s="20" t="str">
        <f>IFERROR(__xludf.DUMMYFUNCTION("AVERAGE(ARRAYFORMULA(100 * (QUERY(GOOGLEFINANCE(C307, ""high"", TODAY()-40, TODAY()), ""SELECT Col2 WHERE Col2 IS NOT NULL ORDER BY Col1 DESC LIMIT 20"", 0) / QUERY(GOOGLEFINANCE(C307, ""low"", TODAY()-40, TODAY()), ""SELECT Col2 WHERE Col2 IS NOT NULL OR"&amp;"DER BY Col1 DESC LIMIT 20"", 0) - 1)))"),"#N/A")</f>
        <v>#N/A</v>
      </c>
      <c r="H307" s="35" t="str">
        <f t="shared" si="6"/>
        <v/>
      </c>
      <c r="I307" s="36" t="str">
        <f t="shared" si="7"/>
        <v/>
      </c>
      <c r="J307" s="37" t="str">
        <f>IFERROR(__xludf.DUMMYFUNCTION("IFERROR(
  IF(C307="""",, 
    IFERROR(
      GOOGLEFINANCE(C307, ""price"") * GOOGLEFINANCE(C307, ""volumeavg""), 
      GOOGLEFINANCE(C307, ""price"") * AVERAGE(QUERY(GOOGLEFINANCE(C307, ""volume"", TODAY()-40, TODAY()), ""SELECT Col2 WHERE Col2 IS NOT "&amp;"NULL ORDER BY Col1 DESC LIMIT 20"", 0))
    )
  ), 
"""")"),"")</f>
        <v/>
      </c>
      <c r="K307" s="21" t="str">
        <f>IFERROR(__xludf.DUMMYFUNCTION("IFERROR(GOOGLEFINANCE(C307, ""changepct"") / 100, """")"),"")</f>
        <v/>
      </c>
      <c r="L307" s="21" t="str">
        <f>IFERROR(__xludf.DUMMYFUNCTION("IFERROR((GOOGLEFINANCE(C307, ""price"") / INDEX(GOOGLEFINANCE(C307, ""price"", TODAY()-7, TODAY()), 2, 2)) - 1, """")"),"")</f>
        <v/>
      </c>
      <c r="M307" s="21" t="str">
        <f>IFERROR(__xludf.DUMMYFUNCTION("IFERROR((GOOGLEFINANCE(C307, ""price"") / INDEX(GOOGLEFINANCE(C307, ""price"", EDATE(TODAY(), -1), TODAY()), 2, 2)) - 1, """")"),"")</f>
        <v/>
      </c>
      <c r="N307" s="21" t="str">
        <f>IFERROR(__xludf.DUMMYFUNCTION("IFERROR((GOOGLEFINANCE(C307, ""price"") / INDEX(GOOGLEFINANCE(C307, ""price"", EDATE(TODAY(), -3), TODAY()), 2, 2)) - 1, """")"),"")</f>
        <v/>
      </c>
      <c r="O307" s="21" t="str">
        <f>IFERROR(__xludf.DUMMYFUNCTION("IFERROR((GOOGLEFINANCE(C307, ""price"") / INDEX(GOOGLEFINANCE(C307, ""price"", EDATE(TODAY(), -6), TODAY()), 2, 2)) - 1, """")"),"")</f>
        <v/>
      </c>
      <c r="P307" s="21" t="str">
        <f>IFERROR(__xludf.DUMMYFUNCTION("IFERROR((GOOGLEFINANCE(C307, ""price"") / INDEX(GOOGLEFINANCE(C307, ""price"", EDATE(TODAY(), -12), TODAY()), 2, 2)) - 1, """")"),"")</f>
        <v/>
      </c>
      <c r="Q307" s="6" t="str">
        <f>IFERROR(__xludf.DUMMYFUNCTION("AVERAGE(QUERY(GOOGLEFINANCE(C307, ""price"", TODAY()-80, TODAY()), ""SELECT Col2 WHERE Col2 IS NOT NULL ORDER BY Col1 DESC LIMIT 50"", 0))"),"#N/A")</f>
        <v>#N/A</v>
      </c>
      <c r="R307" s="24" t="str">
        <f>IFERROR(__xludf.DUMMYFUNCTION("IFERROR(
  LET(
    data, QUERY(GOOGLEFINANCE(C307,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GOOGLEFINANCE(C307, ""price"")) * 100,
    IF(calc=0, G307, calc)
  ), 
G307)"),"#N/A")</f>
        <v>#N/A</v>
      </c>
      <c r="S307" s="8" t="s">
        <v>15</v>
      </c>
      <c r="T307" s="26" t="str">
        <f>IFERROR(__xludf.DUMMYFUNCTION("IFERROR(TRANSPOSE(QUERY(IFERROR(SORT(GOOGLEFINANCE(C307, ""price"", WORKDAY(TODAY(), -40), TODAY()), 1, FALSE)), ""select Col2 where Col2 is not null limit 22 label Col2 ''"", 0)), """")"),"")</f>
        <v/>
      </c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8"/>
      <c r="AO307" s="28"/>
      <c r="AP307" s="29"/>
      <c r="AQ307" s="29" t="str">
        <f t="shared" ref="AQ307:BL307" si="310">T307/T$2</f>
        <v>#N/A</v>
      </c>
      <c r="AR307" s="29" t="str">
        <f t="shared" si="310"/>
        <v>#DIV/0!</v>
      </c>
      <c r="AS307" s="29" t="str">
        <f t="shared" si="310"/>
        <v>#DIV/0!</v>
      </c>
      <c r="AT307" s="29" t="str">
        <f t="shared" si="310"/>
        <v>#DIV/0!</v>
      </c>
      <c r="AU307" s="29" t="str">
        <f t="shared" si="310"/>
        <v>#DIV/0!</v>
      </c>
      <c r="AV307" s="29" t="str">
        <f t="shared" si="310"/>
        <v>#DIV/0!</v>
      </c>
      <c r="AW307" s="29" t="str">
        <f t="shared" si="310"/>
        <v>#DIV/0!</v>
      </c>
      <c r="AX307" s="29" t="str">
        <f t="shared" si="310"/>
        <v>#DIV/0!</v>
      </c>
      <c r="AY307" s="29" t="str">
        <f t="shared" si="310"/>
        <v>#DIV/0!</v>
      </c>
      <c r="AZ307" s="29" t="str">
        <f t="shared" si="310"/>
        <v>#DIV/0!</v>
      </c>
      <c r="BA307" s="29" t="str">
        <f t="shared" si="310"/>
        <v>#DIV/0!</v>
      </c>
      <c r="BB307" s="29" t="str">
        <f t="shared" si="310"/>
        <v>#DIV/0!</v>
      </c>
      <c r="BC307" s="29" t="str">
        <f t="shared" si="310"/>
        <v>#DIV/0!</v>
      </c>
      <c r="BD307" s="29" t="str">
        <f t="shared" si="310"/>
        <v>#DIV/0!</v>
      </c>
      <c r="BE307" s="29" t="str">
        <f t="shared" si="310"/>
        <v>#DIV/0!</v>
      </c>
      <c r="BF307" s="29" t="str">
        <f t="shared" si="310"/>
        <v>#DIV/0!</v>
      </c>
      <c r="BG307" s="29" t="str">
        <f t="shared" si="310"/>
        <v>#DIV/0!</v>
      </c>
      <c r="BH307" s="29" t="str">
        <f t="shared" si="310"/>
        <v>#DIV/0!</v>
      </c>
      <c r="BI307" s="29" t="str">
        <f t="shared" si="310"/>
        <v>#DIV/0!</v>
      </c>
      <c r="BJ307" s="29" t="str">
        <f t="shared" si="310"/>
        <v>#DIV/0!</v>
      </c>
      <c r="BK307" s="29" t="str">
        <f t="shared" si="310"/>
        <v>#DIV/0!</v>
      </c>
      <c r="BL307" s="29" t="str">
        <f t="shared" si="310"/>
        <v>#DIV/0!</v>
      </c>
      <c r="BM307" s="29" t="str">
        <f t="shared" si="3"/>
        <v>#DIV/0!</v>
      </c>
    </row>
    <row r="308">
      <c r="A308" s="16" t="str">
        <f>IFERROR(__xludf.DUMMYFUNCTION("IFERROR(SPARKLINE(SORT(MAP(TRANSPOSE(AQ308:BL308), LAMBDA(val, IF(ISNUMBER(val), PERCENTRANK(AQ308:BL308, val)+0.01, 0))), SEQUENCE(COLUMNS(AQ308:BL308)), FALSE), {""charttype"",""column""; ""color"",""chartreuse""; ""ymin"", 0; ""ymax"", 1.01; ""highcolo"&amp;"r"", ""darkgreen""; ""lowcolor"", ""red""}), """")"),"")</f>
        <v/>
      </c>
      <c r="B308" s="17" t="str">
        <f t="shared" si="4"/>
        <v/>
      </c>
      <c r="C308" s="1" t="s">
        <v>1333</v>
      </c>
      <c r="D308" s="30" t="str">
        <f>IFERROR(__xludf.DUMMYFUNCTION("IFERROR(GOOGLEFINANCE(C308, ""NAME""))"),"IPG Photonics Corporation")</f>
        <v>IPG Photonics Corporation</v>
      </c>
      <c r="E308" s="30" t="s">
        <v>1195</v>
      </c>
      <c r="F308" s="38" t="str">
        <f>IFERROR(__xludf.DUMMYFUNCTION("( (GOOGLEFINANCE(C308, ""price"") - Q308) / Q308 ) / (R308 / 100)"),"Loading...")</f>
        <v>Loading...</v>
      </c>
      <c r="G308" s="20" t="str">
        <f>IFERROR(__xludf.DUMMYFUNCTION("AVERAGE(ARRAYFORMULA(100 * (QUERY(GOOGLEFINANCE(C308, ""high"", TODAY()-40, TODAY()), ""SELECT Col2 WHERE Col2 IS NOT NULL ORDER BY Col1 DESC LIMIT 20"", 0) / QUERY(GOOGLEFINANCE(C308, ""low"", TODAY()-40, TODAY()), ""SELECT Col2 WHERE Col2 IS NOT NULL OR"&amp;"DER BY Col1 DESC LIMIT 20"", 0) - 1)))"),"#N/A")</f>
        <v>#N/A</v>
      </c>
      <c r="H308" s="35" t="str">
        <f t="shared" si="6"/>
        <v/>
      </c>
      <c r="I308" s="36" t="str">
        <f t="shared" si="7"/>
        <v/>
      </c>
      <c r="J308" s="37" t="str">
        <f>IFERROR(__xludf.DUMMYFUNCTION("IFERROR(
  IF(C308="""",, 
    IFERROR(
      GOOGLEFINANCE(C308, ""price"") * GOOGLEFINANCE(C308, ""volumeavg""), 
      GOOGLEFINANCE(C308, ""price"") * AVERAGE(QUERY(GOOGLEFINANCE(C308, ""volume"", TODAY()-40, TODAY()), ""SELECT Col2 WHERE Col2 IS NOT "&amp;"NULL ORDER BY Col1 DESC LIMIT 20"", 0))
    )
  ), 
"""")"),"")</f>
        <v/>
      </c>
      <c r="K308" s="21" t="str">
        <f>IFERROR(__xludf.DUMMYFUNCTION("IFERROR(GOOGLEFINANCE(C308, ""changepct"") / 100, """")"),"")</f>
        <v/>
      </c>
      <c r="L308" s="21" t="str">
        <f>IFERROR(__xludf.DUMMYFUNCTION("IFERROR((GOOGLEFINANCE(C308, ""price"") / INDEX(GOOGLEFINANCE(C308, ""price"", TODAY()-7, TODAY()), 2, 2)) - 1, """")"),"")</f>
        <v/>
      </c>
      <c r="M308" s="21" t="str">
        <f>IFERROR(__xludf.DUMMYFUNCTION("IFERROR((GOOGLEFINANCE(C308, ""price"") / INDEX(GOOGLEFINANCE(C308, ""price"", EDATE(TODAY(), -1), TODAY()), 2, 2)) - 1, """")"),"")</f>
        <v/>
      </c>
      <c r="N308" s="21" t="str">
        <f>IFERROR(__xludf.DUMMYFUNCTION("IFERROR((GOOGLEFINANCE(C308, ""price"") / INDEX(GOOGLEFINANCE(C308, ""price"", EDATE(TODAY(), -3), TODAY()), 2, 2)) - 1, """")"),"")</f>
        <v/>
      </c>
      <c r="O308" s="21" t="str">
        <f>IFERROR(__xludf.DUMMYFUNCTION("IFERROR((GOOGLEFINANCE(C308, ""price"") / INDEX(GOOGLEFINANCE(C308, ""price"", EDATE(TODAY(), -6), TODAY()), 2, 2)) - 1, """")"),"")</f>
        <v/>
      </c>
      <c r="P308" s="21" t="str">
        <f>IFERROR(__xludf.DUMMYFUNCTION("IFERROR((GOOGLEFINANCE(C308, ""price"") / INDEX(GOOGLEFINANCE(C308, ""price"", EDATE(TODAY(), -12), TODAY()), 2, 2)) - 1, """")"),"")</f>
        <v/>
      </c>
      <c r="Q308" s="6" t="str">
        <f>IFERROR(__xludf.DUMMYFUNCTION("AVERAGE(QUERY(GOOGLEFINANCE(C308, ""price"", TODAY()-80, TODAY()), ""SELECT Col2 WHERE Col2 IS NOT NULL ORDER BY Col1 DESC LIMIT 50"", 0))"),"#N/A")</f>
        <v>#N/A</v>
      </c>
      <c r="R308" s="24" t="str">
        <f>IFERROR(__xludf.DUMMYFUNCTION("IFERROR(
  LET(
    data, QUERY(GOOGLEFINANCE(C308,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GOOGLEFINANCE(C308, ""price"")) * 100,
    IF(calc=0, G308, calc)
  ), 
G308)"),"#N/A")</f>
        <v>#N/A</v>
      </c>
      <c r="S308" s="8" t="s">
        <v>15</v>
      </c>
      <c r="T308" s="26" t="str">
        <f>IFERROR(__xludf.DUMMYFUNCTION("IFERROR(TRANSPOSE(QUERY(IFERROR(SORT(GOOGLEFINANCE(C308, ""price"", WORKDAY(TODAY(), -40), TODAY()), 1, FALSE)), ""select Col2 where Col2 is not null limit 22 label Col2 ''"", 0)), """")"),"")</f>
        <v/>
      </c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8"/>
      <c r="AO308" s="28"/>
      <c r="AP308" s="29"/>
      <c r="AQ308" s="29" t="str">
        <f t="shared" ref="AQ308:BL308" si="311">T308/T$2</f>
        <v>#N/A</v>
      </c>
      <c r="AR308" s="29" t="str">
        <f t="shared" si="311"/>
        <v>#DIV/0!</v>
      </c>
      <c r="AS308" s="29" t="str">
        <f t="shared" si="311"/>
        <v>#DIV/0!</v>
      </c>
      <c r="AT308" s="29" t="str">
        <f t="shared" si="311"/>
        <v>#DIV/0!</v>
      </c>
      <c r="AU308" s="29" t="str">
        <f t="shared" si="311"/>
        <v>#DIV/0!</v>
      </c>
      <c r="AV308" s="29" t="str">
        <f t="shared" si="311"/>
        <v>#DIV/0!</v>
      </c>
      <c r="AW308" s="29" t="str">
        <f t="shared" si="311"/>
        <v>#DIV/0!</v>
      </c>
      <c r="AX308" s="29" t="str">
        <f t="shared" si="311"/>
        <v>#DIV/0!</v>
      </c>
      <c r="AY308" s="29" t="str">
        <f t="shared" si="311"/>
        <v>#DIV/0!</v>
      </c>
      <c r="AZ308" s="29" t="str">
        <f t="shared" si="311"/>
        <v>#DIV/0!</v>
      </c>
      <c r="BA308" s="29" t="str">
        <f t="shared" si="311"/>
        <v>#DIV/0!</v>
      </c>
      <c r="BB308" s="29" t="str">
        <f t="shared" si="311"/>
        <v>#DIV/0!</v>
      </c>
      <c r="BC308" s="29" t="str">
        <f t="shared" si="311"/>
        <v>#DIV/0!</v>
      </c>
      <c r="BD308" s="29" t="str">
        <f t="shared" si="311"/>
        <v>#DIV/0!</v>
      </c>
      <c r="BE308" s="29" t="str">
        <f t="shared" si="311"/>
        <v>#DIV/0!</v>
      </c>
      <c r="BF308" s="29" t="str">
        <f t="shared" si="311"/>
        <v>#DIV/0!</v>
      </c>
      <c r="BG308" s="29" t="str">
        <f t="shared" si="311"/>
        <v>#DIV/0!</v>
      </c>
      <c r="BH308" s="29" t="str">
        <f t="shared" si="311"/>
        <v>#DIV/0!</v>
      </c>
      <c r="BI308" s="29" t="str">
        <f t="shared" si="311"/>
        <v>#DIV/0!</v>
      </c>
      <c r="BJ308" s="29" t="str">
        <f t="shared" si="311"/>
        <v>#DIV/0!</v>
      </c>
      <c r="BK308" s="29" t="str">
        <f t="shared" si="311"/>
        <v>#DIV/0!</v>
      </c>
      <c r="BL308" s="29" t="str">
        <f t="shared" si="311"/>
        <v>#DIV/0!</v>
      </c>
      <c r="BM308" s="29" t="str">
        <f t="shared" si="3"/>
        <v>#DIV/0!</v>
      </c>
    </row>
    <row r="309">
      <c r="A309" s="16" t="str">
        <f>IFERROR(__xludf.DUMMYFUNCTION("IFERROR(SPARKLINE(SORT(MAP(TRANSPOSE(AQ309:BL309), LAMBDA(val, IF(ISNUMBER(val), PERCENTRANK(AQ309:BL309, val)+0.01, 0))), SEQUENCE(COLUMNS(AQ309:BL309)), FALSE), {""charttype"",""column""; ""color"",""chartreuse""; ""ymin"", 0; ""ymax"", 1.01; ""highcolo"&amp;"r"", ""darkgreen""; ""lowcolor"", ""red""}), """")"),"")</f>
        <v/>
      </c>
      <c r="B309" s="17" t="str">
        <f t="shared" si="4"/>
        <v/>
      </c>
      <c r="C309" s="1" t="s">
        <v>1335</v>
      </c>
      <c r="D309" s="30" t="str">
        <f>IFERROR(__xludf.DUMMYFUNCTION("IFERROR(GOOGLEFINANCE(C309, ""NAME""))"),"Telos Corp")</f>
        <v>Telos Corp</v>
      </c>
      <c r="E309" s="30" t="s">
        <v>58</v>
      </c>
      <c r="F309" s="33" t="str">
        <f>IFERROR(__xludf.DUMMYFUNCTION("( (GOOGLEFINANCE(C309, ""price"") - Q309) / Q309 ) / (R309 / 100)"),"Loading...")</f>
        <v>Loading...</v>
      </c>
      <c r="G309" s="20" t="str">
        <f>IFERROR(__xludf.DUMMYFUNCTION("AVERAGE(ARRAYFORMULA(100 * (QUERY(GOOGLEFINANCE(C309, ""high"", TODAY()-40, TODAY()), ""SELECT Col2 WHERE Col2 IS NOT NULL ORDER BY Col1 DESC LIMIT 20"", 0) / QUERY(GOOGLEFINANCE(C309, ""low"", TODAY()-40, TODAY()), ""SELECT Col2 WHERE Col2 IS NOT NULL OR"&amp;"DER BY Col1 DESC LIMIT 20"", 0) - 1)))"),"#N/A")</f>
        <v>#N/A</v>
      </c>
      <c r="H309" s="35" t="str">
        <f t="shared" si="6"/>
        <v/>
      </c>
      <c r="I309" s="36" t="str">
        <f t="shared" si="7"/>
        <v/>
      </c>
      <c r="J309" s="37" t="str">
        <f>IFERROR(__xludf.DUMMYFUNCTION("IFERROR(
  IF(C309="""",, 
    IFERROR(
      GOOGLEFINANCE(C309, ""price"") * GOOGLEFINANCE(C309, ""volumeavg""), 
      GOOGLEFINANCE(C309, ""price"") * AVERAGE(QUERY(GOOGLEFINANCE(C309, ""volume"", TODAY()-40, TODAY()), ""SELECT Col2 WHERE Col2 IS NOT "&amp;"NULL ORDER BY Col1 DESC LIMIT 20"", 0))
    )
  ), 
"""")"),"")</f>
        <v/>
      </c>
      <c r="K309" s="21" t="str">
        <f>IFERROR(__xludf.DUMMYFUNCTION("IFERROR(GOOGLEFINANCE(C309, ""changepct"") / 100, """")"),"")</f>
        <v/>
      </c>
      <c r="L309" s="21" t="str">
        <f>IFERROR(__xludf.DUMMYFUNCTION("IFERROR((GOOGLEFINANCE(C309, ""price"") / INDEX(GOOGLEFINANCE(C309, ""price"", TODAY()-7, TODAY()), 2, 2)) - 1, """")"),"")</f>
        <v/>
      </c>
      <c r="M309" s="21" t="str">
        <f>IFERROR(__xludf.DUMMYFUNCTION("IFERROR((GOOGLEFINANCE(C309, ""price"") / INDEX(GOOGLEFINANCE(C309, ""price"", EDATE(TODAY(), -1), TODAY()), 2, 2)) - 1, """")"),"")</f>
        <v/>
      </c>
      <c r="N309" s="21" t="str">
        <f>IFERROR(__xludf.DUMMYFUNCTION("IFERROR((GOOGLEFINANCE(C309, ""price"") / INDEX(GOOGLEFINANCE(C309, ""price"", EDATE(TODAY(), -3), TODAY()), 2, 2)) - 1, """")"),"")</f>
        <v/>
      </c>
      <c r="O309" s="21" t="str">
        <f>IFERROR(__xludf.DUMMYFUNCTION("IFERROR((GOOGLEFINANCE(C309, ""price"") / INDEX(GOOGLEFINANCE(C309, ""price"", EDATE(TODAY(), -6), TODAY()), 2, 2)) - 1, """")"),"")</f>
        <v/>
      </c>
      <c r="P309" s="21" t="str">
        <f>IFERROR(__xludf.DUMMYFUNCTION("IFERROR((GOOGLEFINANCE(C309, ""price"") / INDEX(GOOGLEFINANCE(C309, ""price"", EDATE(TODAY(), -12), TODAY()), 2, 2)) - 1, """")"),"")</f>
        <v/>
      </c>
      <c r="Q309" s="6" t="str">
        <f>IFERROR(__xludf.DUMMYFUNCTION("AVERAGE(QUERY(GOOGLEFINANCE(C309, ""price"", TODAY()-80, TODAY()), ""SELECT Col2 WHERE Col2 IS NOT NULL ORDER BY Col1 DESC LIMIT 50"", 0))"),"#N/A")</f>
        <v>#N/A</v>
      </c>
      <c r="R309" s="24" t="str">
        <f>IFERROR(__xludf.DUMMYFUNCTION("IFERROR(
  LET(
    data, QUERY(GOOGLEFINANCE(C309,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GOOGLEFINANCE(C309, ""price"")) * 100,
    IF(calc=0, G309, calc)
  ), 
G309)"),"#N/A")</f>
        <v>#N/A</v>
      </c>
      <c r="S309" s="8" t="s">
        <v>15</v>
      </c>
      <c r="T309" s="26" t="str">
        <f>IFERROR(__xludf.DUMMYFUNCTION("IFERROR(TRANSPOSE(QUERY(IFERROR(SORT(GOOGLEFINANCE(C309, ""price"", WORKDAY(TODAY(), -40), TODAY()), 1, FALSE)), ""select Col2 where Col2 is not null limit 22 label Col2 ''"", 0)), """")"),"")</f>
        <v/>
      </c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8"/>
      <c r="AO309" s="28"/>
      <c r="AP309" s="29"/>
      <c r="AQ309" s="29" t="str">
        <f t="shared" ref="AQ309:BL309" si="312">T309/T$2</f>
        <v>#N/A</v>
      </c>
      <c r="AR309" s="29" t="str">
        <f t="shared" si="312"/>
        <v>#DIV/0!</v>
      </c>
      <c r="AS309" s="29" t="str">
        <f t="shared" si="312"/>
        <v>#DIV/0!</v>
      </c>
      <c r="AT309" s="29" t="str">
        <f t="shared" si="312"/>
        <v>#DIV/0!</v>
      </c>
      <c r="AU309" s="29" t="str">
        <f t="shared" si="312"/>
        <v>#DIV/0!</v>
      </c>
      <c r="AV309" s="29" t="str">
        <f t="shared" si="312"/>
        <v>#DIV/0!</v>
      </c>
      <c r="AW309" s="29" t="str">
        <f t="shared" si="312"/>
        <v>#DIV/0!</v>
      </c>
      <c r="AX309" s="29" t="str">
        <f t="shared" si="312"/>
        <v>#DIV/0!</v>
      </c>
      <c r="AY309" s="29" t="str">
        <f t="shared" si="312"/>
        <v>#DIV/0!</v>
      </c>
      <c r="AZ309" s="29" t="str">
        <f t="shared" si="312"/>
        <v>#DIV/0!</v>
      </c>
      <c r="BA309" s="29" t="str">
        <f t="shared" si="312"/>
        <v>#DIV/0!</v>
      </c>
      <c r="BB309" s="29" t="str">
        <f t="shared" si="312"/>
        <v>#DIV/0!</v>
      </c>
      <c r="BC309" s="29" t="str">
        <f t="shared" si="312"/>
        <v>#DIV/0!</v>
      </c>
      <c r="BD309" s="29" t="str">
        <f t="shared" si="312"/>
        <v>#DIV/0!</v>
      </c>
      <c r="BE309" s="29" t="str">
        <f t="shared" si="312"/>
        <v>#DIV/0!</v>
      </c>
      <c r="BF309" s="29" t="str">
        <f t="shared" si="312"/>
        <v>#DIV/0!</v>
      </c>
      <c r="BG309" s="29" t="str">
        <f t="shared" si="312"/>
        <v>#DIV/0!</v>
      </c>
      <c r="BH309" s="29" t="str">
        <f t="shared" si="312"/>
        <v>#DIV/0!</v>
      </c>
      <c r="BI309" s="29" t="str">
        <f t="shared" si="312"/>
        <v>#DIV/0!</v>
      </c>
      <c r="BJ309" s="29" t="str">
        <f t="shared" si="312"/>
        <v>#DIV/0!</v>
      </c>
      <c r="BK309" s="29" t="str">
        <f t="shared" si="312"/>
        <v>#DIV/0!</v>
      </c>
      <c r="BL309" s="29" t="str">
        <f t="shared" si="312"/>
        <v>#DIV/0!</v>
      </c>
      <c r="BM309" s="29" t="str">
        <f t="shared" si="3"/>
        <v>#DIV/0!</v>
      </c>
    </row>
    <row r="310">
      <c r="A310" s="16" t="str">
        <f>IFERROR(__xludf.DUMMYFUNCTION("IFERROR(SPARKLINE(SORT(MAP(TRANSPOSE(AQ310:BL310), LAMBDA(val, IF(ISNUMBER(val), PERCENTRANK(AQ310:BL310, val)+0.01, 0))), SEQUENCE(COLUMNS(AQ310:BL310)), FALSE), {""charttype"",""column""; ""color"",""chartreuse""; ""ymin"", 0; ""ymax"", 1.01; ""highcolo"&amp;"r"", ""darkgreen""; ""lowcolor"", ""red""}), """")"),"")</f>
        <v/>
      </c>
      <c r="B310" s="17" t="str">
        <f t="shared" si="4"/>
        <v/>
      </c>
      <c r="C310" s="1" t="s">
        <v>1339</v>
      </c>
      <c r="D310" s="30" t="str">
        <f>IFERROR(__xludf.DUMMYFUNCTION("IFERROR(GOOGLEFINANCE(C310, ""NAME""))"),"ESCO Technologies Inc")</f>
        <v>ESCO Technologies Inc</v>
      </c>
      <c r="E310" s="30" t="s">
        <v>595</v>
      </c>
      <c r="F310" s="33" t="str">
        <f>IFERROR(__xludf.DUMMYFUNCTION("( (GOOGLEFINANCE(C310, ""price"") - Q310) / Q310 ) / (R310 / 100)"),"Loading...")</f>
        <v>Loading...</v>
      </c>
      <c r="G310" s="20" t="str">
        <f>IFERROR(__xludf.DUMMYFUNCTION("AVERAGE(ARRAYFORMULA(100 * (QUERY(GOOGLEFINANCE(C310, ""high"", TODAY()-40, TODAY()), ""SELECT Col2 WHERE Col2 IS NOT NULL ORDER BY Col1 DESC LIMIT 20"", 0) / QUERY(GOOGLEFINANCE(C310, ""low"", TODAY()-40, TODAY()), ""SELECT Col2 WHERE Col2 IS NOT NULL OR"&amp;"DER BY Col1 DESC LIMIT 20"", 0) - 1)))"),"#N/A")</f>
        <v>#N/A</v>
      </c>
      <c r="H310" s="35" t="str">
        <f t="shared" si="6"/>
        <v/>
      </c>
      <c r="I310" s="36" t="str">
        <f t="shared" si="7"/>
        <v/>
      </c>
      <c r="J310" s="37" t="str">
        <f>IFERROR(__xludf.DUMMYFUNCTION("IFERROR(
  IF(C310="""",, 
    IFERROR(
      GOOGLEFINANCE(C310, ""price"") * GOOGLEFINANCE(C310, ""volumeavg""), 
      GOOGLEFINANCE(C310, ""price"") * AVERAGE(QUERY(GOOGLEFINANCE(C310, ""volume"", TODAY()-40, TODAY()), ""SELECT Col2 WHERE Col2 IS NOT "&amp;"NULL ORDER BY Col1 DESC LIMIT 20"", 0))
    )
  ), 
"""")"),"")</f>
        <v/>
      </c>
      <c r="K310" s="21" t="str">
        <f>IFERROR(__xludf.DUMMYFUNCTION("IFERROR(GOOGLEFINANCE(C310, ""changepct"") / 100, """")"),"")</f>
        <v/>
      </c>
      <c r="L310" s="21" t="str">
        <f>IFERROR(__xludf.DUMMYFUNCTION("IFERROR((GOOGLEFINANCE(C310, ""price"") / INDEX(GOOGLEFINANCE(C310, ""price"", TODAY()-7, TODAY()), 2, 2)) - 1, """")"),"")</f>
        <v/>
      </c>
      <c r="M310" s="21" t="str">
        <f>IFERROR(__xludf.DUMMYFUNCTION("IFERROR((GOOGLEFINANCE(C310, ""price"") / INDEX(GOOGLEFINANCE(C310, ""price"", EDATE(TODAY(), -1), TODAY()), 2, 2)) - 1, """")"),"")</f>
        <v/>
      </c>
      <c r="N310" s="21" t="str">
        <f>IFERROR(__xludf.DUMMYFUNCTION("IFERROR((GOOGLEFINANCE(C310, ""price"") / INDEX(GOOGLEFINANCE(C310, ""price"", EDATE(TODAY(), -3), TODAY()), 2, 2)) - 1, """")"),"")</f>
        <v/>
      </c>
      <c r="O310" s="21" t="str">
        <f>IFERROR(__xludf.DUMMYFUNCTION("IFERROR((GOOGLEFINANCE(C310, ""price"") / INDEX(GOOGLEFINANCE(C310, ""price"", EDATE(TODAY(), -6), TODAY()), 2, 2)) - 1, """")"),"")</f>
        <v/>
      </c>
      <c r="P310" s="21" t="str">
        <f>IFERROR(__xludf.DUMMYFUNCTION("IFERROR((GOOGLEFINANCE(C310, ""price"") / INDEX(GOOGLEFINANCE(C310, ""price"", EDATE(TODAY(), -12), TODAY()), 2, 2)) - 1, """")"),"")</f>
        <v/>
      </c>
      <c r="Q310" s="6" t="str">
        <f>IFERROR(__xludf.DUMMYFUNCTION("AVERAGE(QUERY(GOOGLEFINANCE(C310, ""price"", TODAY()-80, TODAY()), ""SELECT Col2 WHERE Col2 IS NOT NULL ORDER BY Col1 DESC LIMIT 50"", 0))"),"#N/A")</f>
        <v>#N/A</v>
      </c>
      <c r="R310" s="24" t="str">
        <f>IFERROR(__xludf.DUMMYFUNCTION("IFERROR(
  LET(
    data, QUERY(GOOGLEFINANCE(C310,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GOOGLEFINANCE(C310, ""price"")) * 100,
    IF(calc=0, G310, calc)
  ), 
G310)"),"#N/A")</f>
        <v>#N/A</v>
      </c>
      <c r="S310" s="8" t="s">
        <v>15</v>
      </c>
      <c r="T310" s="26" t="str">
        <f>IFERROR(__xludf.DUMMYFUNCTION("IFERROR(TRANSPOSE(QUERY(IFERROR(SORT(GOOGLEFINANCE(C310, ""price"", WORKDAY(TODAY(), -40), TODAY()), 1, FALSE)), ""select Col2 where Col2 is not null limit 22 label Col2 ''"", 0)), """")"),"")</f>
        <v/>
      </c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8"/>
      <c r="AO310" s="28"/>
      <c r="AP310" s="29"/>
      <c r="AQ310" s="29" t="str">
        <f t="shared" ref="AQ310:BL310" si="313">T310/T$2</f>
        <v>#N/A</v>
      </c>
      <c r="AR310" s="29" t="str">
        <f t="shared" si="313"/>
        <v>#DIV/0!</v>
      </c>
      <c r="AS310" s="29" t="str">
        <f t="shared" si="313"/>
        <v>#DIV/0!</v>
      </c>
      <c r="AT310" s="29" t="str">
        <f t="shared" si="313"/>
        <v>#DIV/0!</v>
      </c>
      <c r="AU310" s="29" t="str">
        <f t="shared" si="313"/>
        <v>#DIV/0!</v>
      </c>
      <c r="AV310" s="29" t="str">
        <f t="shared" si="313"/>
        <v>#DIV/0!</v>
      </c>
      <c r="AW310" s="29" t="str">
        <f t="shared" si="313"/>
        <v>#DIV/0!</v>
      </c>
      <c r="AX310" s="29" t="str">
        <f t="shared" si="313"/>
        <v>#DIV/0!</v>
      </c>
      <c r="AY310" s="29" t="str">
        <f t="shared" si="313"/>
        <v>#DIV/0!</v>
      </c>
      <c r="AZ310" s="29" t="str">
        <f t="shared" si="313"/>
        <v>#DIV/0!</v>
      </c>
      <c r="BA310" s="29" t="str">
        <f t="shared" si="313"/>
        <v>#DIV/0!</v>
      </c>
      <c r="BB310" s="29" t="str">
        <f t="shared" si="313"/>
        <v>#DIV/0!</v>
      </c>
      <c r="BC310" s="29" t="str">
        <f t="shared" si="313"/>
        <v>#DIV/0!</v>
      </c>
      <c r="BD310" s="29" t="str">
        <f t="shared" si="313"/>
        <v>#DIV/0!</v>
      </c>
      <c r="BE310" s="29" t="str">
        <f t="shared" si="313"/>
        <v>#DIV/0!</v>
      </c>
      <c r="BF310" s="29" t="str">
        <f t="shared" si="313"/>
        <v>#DIV/0!</v>
      </c>
      <c r="BG310" s="29" t="str">
        <f t="shared" si="313"/>
        <v>#DIV/0!</v>
      </c>
      <c r="BH310" s="29" t="str">
        <f t="shared" si="313"/>
        <v>#DIV/0!</v>
      </c>
      <c r="BI310" s="29" t="str">
        <f t="shared" si="313"/>
        <v>#DIV/0!</v>
      </c>
      <c r="BJ310" s="29" t="str">
        <f t="shared" si="313"/>
        <v>#DIV/0!</v>
      </c>
      <c r="BK310" s="29" t="str">
        <f t="shared" si="313"/>
        <v>#DIV/0!</v>
      </c>
      <c r="BL310" s="29" t="str">
        <f t="shared" si="313"/>
        <v>#DIV/0!</v>
      </c>
      <c r="BM310" s="29" t="str">
        <f t="shared" si="3"/>
        <v>#DIV/0!</v>
      </c>
    </row>
    <row r="311">
      <c r="A311" s="16" t="str">
        <f>IFERROR(__xludf.DUMMYFUNCTION("IFERROR(SPARKLINE(SORT(MAP(TRANSPOSE(AQ311:BL311), LAMBDA(val, IF(ISNUMBER(val), PERCENTRANK(AQ311:BL311, val)+0.01, 0))), SEQUENCE(COLUMNS(AQ311:BL311)), FALSE), {""charttype"",""column""; ""color"",""chartreuse""; ""ymin"", 0; ""ymax"", 1.01; ""highcolo"&amp;"r"", ""darkgreen""; ""lowcolor"", ""red""}), """")"),"")</f>
        <v/>
      </c>
      <c r="B311" s="17" t="str">
        <f t="shared" si="4"/>
        <v/>
      </c>
      <c r="C311" s="1" t="s">
        <v>1342</v>
      </c>
      <c r="D311" s="30" t="str">
        <f>IFERROR(__xludf.DUMMYFUNCTION("IFERROR(GOOGLEFINANCE(C311, ""NAME""))"),"Arm Holdings PLC - ADR")</f>
        <v>Arm Holdings PLC - ADR</v>
      </c>
      <c r="E311" s="30" t="s">
        <v>871</v>
      </c>
      <c r="F311" s="33" t="str">
        <f>IFERROR(__xludf.DUMMYFUNCTION("( (GOOGLEFINANCE(C311, ""price"") - Q311) / Q311 ) / (R311 / 100)"),"Loading...")</f>
        <v>Loading...</v>
      </c>
      <c r="G311" s="20" t="str">
        <f>IFERROR(__xludf.DUMMYFUNCTION("AVERAGE(ARRAYFORMULA(100 * (QUERY(GOOGLEFINANCE(C311, ""high"", TODAY()-40, TODAY()), ""SELECT Col2 WHERE Col2 IS NOT NULL ORDER BY Col1 DESC LIMIT 20"", 0) / QUERY(GOOGLEFINANCE(C311, ""low"", TODAY()-40, TODAY()), ""SELECT Col2 WHERE Col2 IS NOT NULL OR"&amp;"DER BY Col1 DESC LIMIT 20"", 0) - 1)))"),"#N/A")</f>
        <v>#N/A</v>
      </c>
      <c r="H311" s="35" t="str">
        <f t="shared" si="6"/>
        <v/>
      </c>
      <c r="I311" s="36" t="str">
        <f t="shared" si="7"/>
        <v/>
      </c>
      <c r="J311" s="37" t="str">
        <f>IFERROR(__xludf.DUMMYFUNCTION("IFERROR(
  IF(C311="""",, 
    IFERROR(
      GOOGLEFINANCE(C311, ""price"") * GOOGLEFINANCE(C311, ""volumeavg""), 
      GOOGLEFINANCE(C311, ""price"") * AVERAGE(QUERY(GOOGLEFINANCE(C311, ""volume"", TODAY()-40, TODAY()), ""SELECT Col2 WHERE Col2 IS NOT "&amp;"NULL ORDER BY Col1 DESC LIMIT 20"", 0))
    )
  ), 
"""")"),"")</f>
        <v/>
      </c>
      <c r="K311" s="21" t="str">
        <f>IFERROR(__xludf.DUMMYFUNCTION("IFERROR(GOOGLEFINANCE(C311, ""changepct"") / 100, """")"),"")</f>
        <v/>
      </c>
      <c r="L311" s="21" t="str">
        <f>IFERROR(__xludf.DUMMYFUNCTION("IFERROR((GOOGLEFINANCE(C311, ""price"") / INDEX(GOOGLEFINANCE(C311, ""price"", TODAY()-7, TODAY()), 2, 2)) - 1, """")"),"")</f>
        <v/>
      </c>
      <c r="M311" s="21" t="str">
        <f>IFERROR(__xludf.DUMMYFUNCTION("IFERROR((GOOGLEFINANCE(C311, ""price"") / INDEX(GOOGLEFINANCE(C311, ""price"", EDATE(TODAY(), -1), TODAY()), 2, 2)) - 1, """")"),"")</f>
        <v/>
      </c>
      <c r="N311" s="21" t="str">
        <f>IFERROR(__xludf.DUMMYFUNCTION("IFERROR((GOOGLEFINANCE(C311, ""price"") / INDEX(GOOGLEFINANCE(C311, ""price"", EDATE(TODAY(), -3), TODAY()), 2, 2)) - 1, """")"),"")</f>
        <v/>
      </c>
      <c r="O311" s="21" t="str">
        <f>IFERROR(__xludf.DUMMYFUNCTION("IFERROR((GOOGLEFINANCE(C311, ""price"") / INDEX(GOOGLEFINANCE(C311, ""price"", EDATE(TODAY(), -6), TODAY()), 2, 2)) - 1, """")"),"")</f>
        <v/>
      </c>
      <c r="P311" s="21" t="str">
        <f>IFERROR(__xludf.DUMMYFUNCTION("IFERROR((GOOGLEFINANCE(C311, ""price"") / INDEX(GOOGLEFINANCE(C311, ""price"", EDATE(TODAY(), -12), TODAY()), 2, 2)) - 1, """")"),"")</f>
        <v/>
      </c>
      <c r="Q311" s="6" t="str">
        <f>IFERROR(__xludf.DUMMYFUNCTION("AVERAGE(QUERY(GOOGLEFINANCE(C311, ""price"", TODAY()-80, TODAY()), ""SELECT Col2 WHERE Col2 IS NOT NULL ORDER BY Col1 DESC LIMIT 50"", 0))"),"#N/A")</f>
        <v>#N/A</v>
      </c>
      <c r="R311" s="24" t="str">
        <f>IFERROR(__xludf.DUMMYFUNCTION("IFERROR(
  LET(
    data, QUERY(GOOGLEFINANCE(C311,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GOOGLEFINANCE(C311, ""price"")) * 100,
    IF(calc=0, G311, calc)
  ), 
G311)"),"#N/A")</f>
        <v>#N/A</v>
      </c>
      <c r="S311" s="8" t="s">
        <v>15</v>
      </c>
      <c r="T311" s="26" t="str">
        <f>IFERROR(__xludf.DUMMYFUNCTION("IFERROR(TRANSPOSE(QUERY(IFERROR(SORT(GOOGLEFINANCE(C311, ""price"", WORKDAY(TODAY(), -40), TODAY()), 1, FALSE)), ""select Col2 where Col2 is not null limit 22 label Col2 ''"", 0)), """")"),"")</f>
        <v/>
      </c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8"/>
      <c r="AO311" s="28"/>
      <c r="AP311" s="29"/>
      <c r="AQ311" s="29" t="str">
        <f t="shared" ref="AQ311:BL311" si="314">T311/T$2</f>
        <v>#N/A</v>
      </c>
      <c r="AR311" s="29" t="str">
        <f t="shared" si="314"/>
        <v>#DIV/0!</v>
      </c>
      <c r="AS311" s="29" t="str">
        <f t="shared" si="314"/>
        <v>#DIV/0!</v>
      </c>
      <c r="AT311" s="29" t="str">
        <f t="shared" si="314"/>
        <v>#DIV/0!</v>
      </c>
      <c r="AU311" s="29" t="str">
        <f t="shared" si="314"/>
        <v>#DIV/0!</v>
      </c>
      <c r="AV311" s="29" t="str">
        <f t="shared" si="314"/>
        <v>#DIV/0!</v>
      </c>
      <c r="AW311" s="29" t="str">
        <f t="shared" si="314"/>
        <v>#DIV/0!</v>
      </c>
      <c r="AX311" s="29" t="str">
        <f t="shared" si="314"/>
        <v>#DIV/0!</v>
      </c>
      <c r="AY311" s="29" t="str">
        <f t="shared" si="314"/>
        <v>#DIV/0!</v>
      </c>
      <c r="AZ311" s="29" t="str">
        <f t="shared" si="314"/>
        <v>#DIV/0!</v>
      </c>
      <c r="BA311" s="29" t="str">
        <f t="shared" si="314"/>
        <v>#DIV/0!</v>
      </c>
      <c r="BB311" s="29" t="str">
        <f t="shared" si="314"/>
        <v>#DIV/0!</v>
      </c>
      <c r="BC311" s="29" t="str">
        <f t="shared" si="314"/>
        <v>#DIV/0!</v>
      </c>
      <c r="BD311" s="29" t="str">
        <f t="shared" si="314"/>
        <v>#DIV/0!</v>
      </c>
      <c r="BE311" s="29" t="str">
        <f t="shared" si="314"/>
        <v>#DIV/0!</v>
      </c>
      <c r="BF311" s="29" t="str">
        <f t="shared" si="314"/>
        <v>#DIV/0!</v>
      </c>
      <c r="BG311" s="29" t="str">
        <f t="shared" si="314"/>
        <v>#DIV/0!</v>
      </c>
      <c r="BH311" s="29" t="str">
        <f t="shared" si="314"/>
        <v>#DIV/0!</v>
      </c>
      <c r="BI311" s="29" t="str">
        <f t="shared" si="314"/>
        <v>#DIV/0!</v>
      </c>
      <c r="BJ311" s="29" t="str">
        <f t="shared" si="314"/>
        <v>#DIV/0!</v>
      </c>
      <c r="BK311" s="29" t="str">
        <f t="shared" si="314"/>
        <v>#DIV/0!</v>
      </c>
      <c r="BL311" s="29" t="str">
        <f t="shared" si="314"/>
        <v>#DIV/0!</v>
      </c>
      <c r="BM311" s="29" t="str">
        <f t="shared" si="3"/>
        <v>#DIV/0!</v>
      </c>
    </row>
    <row r="312">
      <c r="A312" s="16" t="str">
        <f>IFERROR(__xludf.DUMMYFUNCTION("IFERROR(SPARKLINE(SORT(MAP(TRANSPOSE(AQ312:BL312), LAMBDA(val, IF(ISNUMBER(val), PERCENTRANK(AQ312:BL312, val)+0.01, 0))), SEQUENCE(COLUMNS(AQ312:BL312)), FALSE), {""charttype"",""column""; ""color"",""chartreuse""; ""ymin"", 0; ""ymax"", 1.01; ""highcolo"&amp;"r"", ""darkgreen""; ""lowcolor"", ""red""}), """")"),"")</f>
        <v/>
      </c>
      <c r="B312" s="17" t="str">
        <f t="shared" si="4"/>
        <v/>
      </c>
      <c r="C312" s="1" t="s">
        <v>1345</v>
      </c>
      <c r="D312" s="30" t="str">
        <f>IFERROR(__xludf.DUMMYFUNCTION("IFERROR(GOOGLEFINANCE(C312, ""NAME""))"),"indie Semiconductor Inc")</f>
        <v>indie Semiconductor Inc</v>
      </c>
      <c r="E312" s="30" t="s">
        <v>871</v>
      </c>
      <c r="F312" s="33" t="str">
        <f>IFERROR(__xludf.DUMMYFUNCTION("( (GOOGLEFINANCE(C312, ""price"") - Q312) / Q312 ) / (R312 / 100)"),"Loading...")</f>
        <v>Loading...</v>
      </c>
      <c r="G312" s="20" t="str">
        <f>IFERROR(__xludf.DUMMYFUNCTION("AVERAGE(ARRAYFORMULA(100 * (QUERY(GOOGLEFINANCE(C312, ""high"", TODAY()-40, TODAY()), ""SELECT Col2 WHERE Col2 IS NOT NULL ORDER BY Col1 DESC LIMIT 20"", 0) / QUERY(GOOGLEFINANCE(C312, ""low"", TODAY()-40, TODAY()), ""SELECT Col2 WHERE Col2 IS NOT NULL OR"&amp;"DER BY Col1 DESC LIMIT 20"", 0) - 1)))"),"#N/A")</f>
        <v>#N/A</v>
      </c>
      <c r="H312" s="35" t="str">
        <f t="shared" si="6"/>
        <v/>
      </c>
      <c r="I312" s="36" t="str">
        <f t="shared" si="7"/>
        <v/>
      </c>
      <c r="J312" s="37" t="str">
        <f>IFERROR(__xludf.DUMMYFUNCTION("IFERROR(
  IF(C312="""",, 
    IFERROR(
      GOOGLEFINANCE(C312, ""price"") * GOOGLEFINANCE(C312, ""volumeavg""), 
      GOOGLEFINANCE(C312, ""price"") * AVERAGE(QUERY(GOOGLEFINANCE(C312, ""volume"", TODAY()-40, TODAY()), ""SELECT Col2 WHERE Col2 IS NOT "&amp;"NULL ORDER BY Col1 DESC LIMIT 20"", 0))
    )
  ), 
"""")"),"")</f>
        <v/>
      </c>
      <c r="K312" s="21" t="str">
        <f>IFERROR(__xludf.DUMMYFUNCTION("IFERROR(GOOGLEFINANCE(C312, ""changepct"") / 100, """")"),"")</f>
        <v/>
      </c>
      <c r="L312" s="21" t="str">
        <f>IFERROR(__xludf.DUMMYFUNCTION("IFERROR((GOOGLEFINANCE(C312, ""price"") / INDEX(GOOGLEFINANCE(C312, ""price"", TODAY()-7, TODAY()), 2, 2)) - 1, """")"),"")</f>
        <v/>
      </c>
      <c r="M312" s="21" t="str">
        <f>IFERROR(__xludf.DUMMYFUNCTION("IFERROR((GOOGLEFINANCE(C312, ""price"") / INDEX(GOOGLEFINANCE(C312, ""price"", EDATE(TODAY(), -1), TODAY()), 2, 2)) - 1, """")"),"")</f>
        <v/>
      </c>
      <c r="N312" s="21" t="str">
        <f>IFERROR(__xludf.DUMMYFUNCTION("IFERROR((GOOGLEFINANCE(C312, ""price"") / INDEX(GOOGLEFINANCE(C312, ""price"", EDATE(TODAY(), -3), TODAY()), 2, 2)) - 1, """")"),"")</f>
        <v/>
      </c>
      <c r="O312" s="21" t="str">
        <f>IFERROR(__xludf.DUMMYFUNCTION("IFERROR((GOOGLEFINANCE(C312, ""price"") / INDEX(GOOGLEFINANCE(C312, ""price"", EDATE(TODAY(), -6), TODAY()), 2, 2)) - 1, """")"),"")</f>
        <v/>
      </c>
      <c r="P312" s="21" t="str">
        <f>IFERROR(__xludf.DUMMYFUNCTION("IFERROR((GOOGLEFINANCE(C312, ""price"") / INDEX(GOOGLEFINANCE(C312, ""price"", EDATE(TODAY(), -12), TODAY()), 2, 2)) - 1, """")"),"")</f>
        <v/>
      </c>
      <c r="Q312" s="6" t="str">
        <f>IFERROR(__xludf.DUMMYFUNCTION("AVERAGE(QUERY(GOOGLEFINANCE(C312, ""price"", TODAY()-80, TODAY()), ""SELECT Col2 WHERE Col2 IS NOT NULL ORDER BY Col1 DESC LIMIT 50"", 0))"),"#N/A")</f>
        <v>#N/A</v>
      </c>
      <c r="R312" s="24" t="str">
        <f>IFERROR(__xludf.DUMMYFUNCTION("IFERROR(
  LET(
    data, QUERY(GOOGLEFINANCE(C312,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GOOGLEFINANCE(C312, ""price"")) * 100,
    IF(calc=0, G312, calc)
  ), 
G312)"),"#N/A")</f>
        <v>#N/A</v>
      </c>
      <c r="S312" s="8" t="s">
        <v>15</v>
      </c>
      <c r="T312" s="26" t="str">
        <f>IFERROR(__xludf.DUMMYFUNCTION("IFERROR(TRANSPOSE(QUERY(IFERROR(SORT(GOOGLEFINANCE(C312, ""price"", WORKDAY(TODAY(), -40), TODAY()), 1, FALSE)), ""select Col2 where Col2 is not null limit 22 label Col2 ''"", 0)), """")"),"")</f>
        <v/>
      </c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8"/>
      <c r="AO312" s="28"/>
      <c r="AP312" s="29"/>
      <c r="AQ312" s="29" t="str">
        <f t="shared" ref="AQ312:BL312" si="315">T312/T$2</f>
        <v>#N/A</v>
      </c>
      <c r="AR312" s="29" t="str">
        <f t="shared" si="315"/>
        <v>#DIV/0!</v>
      </c>
      <c r="AS312" s="29" t="str">
        <f t="shared" si="315"/>
        <v>#DIV/0!</v>
      </c>
      <c r="AT312" s="29" t="str">
        <f t="shared" si="315"/>
        <v>#DIV/0!</v>
      </c>
      <c r="AU312" s="29" t="str">
        <f t="shared" si="315"/>
        <v>#DIV/0!</v>
      </c>
      <c r="AV312" s="29" t="str">
        <f t="shared" si="315"/>
        <v>#DIV/0!</v>
      </c>
      <c r="AW312" s="29" t="str">
        <f t="shared" si="315"/>
        <v>#DIV/0!</v>
      </c>
      <c r="AX312" s="29" t="str">
        <f t="shared" si="315"/>
        <v>#DIV/0!</v>
      </c>
      <c r="AY312" s="29" t="str">
        <f t="shared" si="315"/>
        <v>#DIV/0!</v>
      </c>
      <c r="AZ312" s="29" t="str">
        <f t="shared" si="315"/>
        <v>#DIV/0!</v>
      </c>
      <c r="BA312" s="29" t="str">
        <f t="shared" si="315"/>
        <v>#DIV/0!</v>
      </c>
      <c r="BB312" s="29" t="str">
        <f t="shared" si="315"/>
        <v>#DIV/0!</v>
      </c>
      <c r="BC312" s="29" t="str">
        <f t="shared" si="315"/>
        <v>#DIV/0!</v>
      </c>
      <c r="BD312" s="29" t="str">
        <f t="shared" si="315"/>
        <v>#DIV/0!</v>
      </c>
      <c r="BE312" s="29" t="str">
        <f t="shared" si="315"/>
        <v>#DIV/0!</v>
      </c>
      <c r="BF312" s="29" t="str">
        <f t="shared" si="315"/>
        <v>#DIV/0!</v>
      </c>
      <c r="BG312" s="29" t="str">
        <f t="shared" si="315"/>
        <v>#DIV/0!</v>
      </c>
      <c r="BH312" s="29" t="str">
        <f t="shared" si="315"/>
        <v>#DIV/0!</v>
      </c>
      <c r="BI312" s="29" t="str">
        <f t="shared" si="315"/>
        <v>#DIV/0!</v>
      </c>
      <c r="BJ312" s="29" t="str">
        <f t="shared" si="315"/>
        <v>#DIV/0!</v>
      </c>
      <c r="BK312" s="29" t="str">
        <f t="shared" si="315"/>
        <v>#DIV/0!</v>
      </c>
      <c r="BL312" s="29" t="str">
        <f t="shared" si="315"/>
        <v>#DIV/0!</v>
      </c>
      <c r="BM312" s="29" t="str">
        <f t="shared" si="3"/>
        <v>#DIV/0!</v>
      </c>
    </row>
    <row r="313">
      <c r="A313" s="16" t="str">
        <f>IFERROR(__xludf.DUMMYFUNCTION("IFERROR(SPARKLINE(SORT(MAP(TRANSPOSE(AQ313:BL313), LAMBDA(val, IF(ISNUMBER(val), PERCENTRANK(AQ313:BL313, val)+0.01, 0))), SEQUENCE(COLUMNS(AQ313:BL313)), FALSE), {""charttype"",""column""; ""color"",""chartreuse""; ""ymin"", 0; ""ymax"", 1.01; ""highcolo"&amp;"r"", ""darkgreen""; ""lowcolor"", ""red""}), """")"),"")</f>
        <v/>
      </c>
      <c r="B313" s="17" t="str">
        <f t="shared" si="4"/>
        <v/>
      </c>
      <c r="C313" s="1" t="s">
        <v>1347</v>
      </c>
      <c r="D313" s="30" t="str">
        <f>IFERROR(__xludf.DUMMYFUNCTION("IFERROR(GOOGLEFINANCE(C313, ""NAME""))"),"Allegro MicroSystems Inc")</f>
        <v>Allegro MicroSystems Inc</v>
      </c>
      <c r="E313" s="30" t="s">
        <v>871</v>
      </c>
      <c r="F313" s="33" t="str">
        <f>IFERROR(__xludf.DUMMYFUNCTION("( (GOOGLEFINANCE(C313, ""price"") - Q313) / Q313 ) / (R313 / 100)"),"Loading...")</f>
        <v>Loading...</v>
      </c>
      <c r="G313" s="20" t="str">
        <f>IFERROR(__xludf.DUMMYFUNCTION("AVERAGE(ARRAYFORMULA(100 * (QUERY(GOOGLEFINANCE(C313, ""high"", TODAY()-40, TODAY()), ""SELECT Col2 WHERE Col2 IS NOT NULL ORDER BY Col1 DESC LIMIT 20"", 0) / QUERY(GOOGLEFINANCE(C313, ""low"", TODAY()-40, TODAY()), ""SELECT Col2 WHERE Col2 IS NOT NULL OR"&amp;"DER BY Col1 DESC LIMIT 20"", 0) - 1)))"),"#N/A")</f>
        <v>#N/A</v>
      </c>
      <c r="H313" s="35" t="str">
        <f t="shared" si="6"/>
        <v/>
      </c>
      <c r="I313" s="36" t="str">
        <f t="shared" si="7"/>
        <v/>
      </c>
      <c r="J313" s="37" t="str">
        <f>IFERROR(__xludf.DUMMYFUNCTION("IFERROR(
  IF(C313="""",, 
    IFERROR(
      GOOGLEFINANCE(C313, ""price"") * GOOGLEFINANCE(C313, ""volumeavg""), 
      GOOGLEFINANCE(C313, ""price"") * AVERAGE(QUERY(GOOGLEFINANCE(C313, ""volume"", TODAY()-40, TODAY()), ""SELECT Col2 WHERE Col2 IS NOT "&amp;"NULL ORDER BY Col1 DESC LIMIT 20"", 0))
    )
  ), 
"""")"),"")</f>
        <v/>
      </c>
      <c r="K313" s="21" t="str">
        <f>IFERROR(__xludf.DUMMYFUNCTION("IFERROR(GOOGLEFINANCE(C313, ""changepct"") / 100, """")"),"")</f>
        <v/>
      </c>
      <c r="L313" s="21" t="str">
        <f>IFERROR(__xludf.DUMMYFUNCTION("IFERROR((GOOGLEFINANCE(C313, ""price"") / INDEX(GOOGLEFINANCE(C313, ""price"", TODAY()-7, TODAY()), 2, 2)) - 1, """")"),"")</f>
        <v/>
      </c>
      <c r="M313" s="21" t="str">
        <f>IFERROR(__xludf.DUMMYFUNCTION("IFERROR((GOOGLEFINANCE(C313, ""price"") / INDEX(GOOGLEFINANCE(C313, ""price"", EDATE(TODAY(), -1), TODAY()), 2, 2)) - 1, """")"),"")</f>
        <v/>
      </c>
      <c r="N313" s="21" t="str">
        <f>IFERROR(__xludf.DUMMYFUNCTION("IFERROR((GOOGLEFINANCE(C313, ""price"") / INDEX(GOOGLEFINANCE(C313, ""price"", EDATE(TODAY(), -3), TODAY()), 2, 2)) - 1, """")"),"")</f>
        <v/>
      </c>
      <c r="O313" s="21" t="str">
        <f>IFERROR(__xludf.DUMMYFUNCTION("IFERROR((GOOGLEFINANCE(C313, ""price"") / INDEX(GOOGLEFINANCE(C313, ""price"", EDATE(TODAY(), -6), TODAY()), 2, 2)) - 1, """")"),"")</f>
        <v/>
      </c>
      <c r="P313" s="21" t="str">
        <f>IFERROR(__xludf.DUMMYFUNCTION("IFERROR((GOOGLEFINANCE(C313, ""price"") / INDEX(GOOGLEFINANCE(C313, ""price"", EDATE(TODAY(), -12), TODAY()), 2, 2)) - 1, """")"),"")</f>
        <v/>
      </c>
      <c r="Q313" s="6" t="str">
        <f>IFERROR(__xludf.DUMMYFUNCTION("AVERAGE(QUERY(GOOGLEFINANCE(C313, ""price"", TODAY()-80, TODAY()), ""SELECT Col2 WHERE Col2 IS NOT NULL ORDER BY Col1 DESC LIMIT 50"", 0))"),"#N/A")</f>
        <v>#N/A</v>
      </c>
      <c r="R313" s="24" t="str">
        <f>IFERROR(__xludf.DUMMYFUNCTION("IFERROR(
  LET(
    data, QUERY(GOOGLEFINANCE(C313,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GOOGLEFINANCE(C313, ""price"")) * 100,
    IF(calc=0, G313, calc)
  ), 
G313)"),"#N/A")</f>
        <v>#N/A</v>
      </c>
      <c r="S313" s="8" t="s">
        <v>15</v>
      </c>
      <c r="T313" s="26" t="str">
        <f>IFERROR(__xludf.DUMMYFUNCTION("IFERROR(TRANSPOSE(QUERY(IFERROR(SORT(GOOGLEFINANCE(C313, ""price"", WORKDAY(TODAY(), -40), TODAY()), 1, FALSE)), ""select Col2 where Col2 is not null limit 22 label Col2 ''"", 0)), """")"),"")</f>
        <v/>
      </c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8"/>
      <c r="AO313" s="28"/>
      <c r="AP313" s="29"/>
      <c r="AQ313" s="29" t="str">
        <f t="shared" ref="AQ313:BL313" si="316">T313/T$2</f>
        <v>#N/A</v>
      </c>
      <c r="AR313" s="29" t="str">
        <f t="shared" si="316"/>
        <v>#DIV/0!</v>
      </c>
      <c r="AS313" s="29" t="str">
        <f t="shared" si="316"/>
        <v>#DIV/0!</v>
      </c>
      <c r="AT313" s="29" t="str">
        <f t="shared" si="316"/>
        <v>#DIV/0!</v>
      </c>
      <c r="AU313" s="29" t="str">
        <f t="shared" si="316"/>
        <v>#DIV/0!</v>
      </c>
      <c r="AV313" s="29" t="str">
        <f t="shared" si="316"/>
        <v>#DIV/0!</v>
      </c>
      <c r="AW313" s="29" t="str">
        <f t="shared" si="316"/>
        <v>#DIV/0!</v>
      </c>
      <c r="AX313" s="29" t="str">
        <f t="shared" si="316"/>
        <v>#DIV/0!</v>
      </c>
      <c r="AY313" s="29" t="str">
        <f t="shared" si="316"/>
        <v>#DIV/0!</v>
      </c>
      <c r="AZ313" s="29" t="str">
        <f t="shared" si="316"/>
        <v>#DIV/0!</v>
      </c>
      <c r="BA313" s="29" t="str">
        <f t="shared" si="316"/>
        <v>#DIV/0!</v>
      </c>
      <c r="BB313" s="29" t="str">
        <f t="shared" si="316"/>
        <v>#DIV/0!</v>
      </c>
      <c r="BC313" s="29" t="str">
        <f t="shared" si="316"/>
        <v>#DIV/0!</v>
      </c>
      <c r="BD313" s="29" t="str">
        <f t="shared" si="316"/>
        <v>#DIV/0!</v>
      </c>
      <c r="BE313" s="29" t="str">
        <f t="shared" si="316"/>
        <v>#DIV/0!</v>
      </c>
      <c r="BF313" s="29" t="str">
        <f t="shared" si="316"/>
        <v>#DIV/0!</v>
      </c>
      <c r="BG313" s="29" t="str">
        <f t="shared" si="316"/>
        <v>#DIV/0!</v>
      </c>
      <c r="BH313" s="29" t="str">
        <f t="shared" si="316"/>
        <v>#DIV/0!</v>
      </c>
      <c r="BI313" s="29" t="str">
        <f t="shared" si="316"/>
        <v>#DIV/0!</v>
      </c>
      <c r="BJ313" s="29" t="str">
        <f t="shared" si="316"/>
        <v>#DIV/0!</v>
      </c>
      <c r="BK313" s="29" t="str">
        <f t="shared" si="316"/>
        <v>#DIV/0!</v>
      </c>
      <c r="BL313" s="29" t="str">
        <f t="shared" si="316"/>
        <v>#DIV/0!</v>
      </c>
      <c r="BM313" s="29" t="str">
        <f t="shared" si="3"/>
        <v>#DIV/0!</v>
      </c>
    </row>
    <row r="314">
      <c r="A314" s="16" t="str">
        <f>IFERROR(__xludf.DUMMYFUNCTION("IFERROR(SPARKLINE(SORT(MAP(TRANSPOSE(AQ314:BL314), LAMBDA(val, IF(ISNUMBER(val), PERCENTRANK(AQ314:BL314, val)+0.01, 0))), SEQUENCE(COLUMNS(AQ314:BL314)), FALSE), {""charttype"",""column""; ""color"",""chartreuse""; ""ymin"", 0; ""ymax"", 1.01; ""highcolo"&amp;"r"", ""darkgreen""; ""lowcolor"", ""red""}), """")"),"")</f>
        <v/>
      </c>
      <c r="B314" s="17" t="str">
        <f t="shared" si="4"/>
        <v/>
      </c>
      <c r="C314" s="1" t="s">
        <v>1352</v>
      </c>
      <c r="D314" s="30" t="str">
        <f>IFERROR(__xludf.DUMMYFUNCTION("IFERROR(GOOGLEFINANCE(C314, ""NAME""))"),"A10 Networks Inc")</f>
        <v>A10 Networks Inc</v>
      </c>
      <c r="E314" s="30" t="s">
        <v>58</v>
      </c>
      <c r="F314" s="33" t="str">
        <f>IFERROR(__xludf.DUMMYFUNCTION("( (GOOGLEFINANCE(C314, ""price"") - Q314) / Q314 ) / (R314 / 100)"),"Loading...")</f>
        <v>Loading...</v>
      </c>
      <c r="G314" s="20" t="str">
        <f>IFERROR(__xludf.DUMMYFUNCTION("AVERAGE(ARRAYFORMULA(100 * (QUERY(GOOGLEFINANCE(C314, ""high"", TODAY()-40, TODAY()), ""SELECT Col2 WHERE Col2 IS NOT NULL ORDER BY Col1 DESC LIMIT 20"", 0) / QUERY(GOOGLEFINANCE(C314, ""low"", TODAY()-40, TODAY()), ""SELECT Col2 WHERE Col2 IS NOT NULL OR"&amp;"DER BY Col1 DESC LIMIT 20"", 0) - 1)))"),"#N/A")</f>
        <v>#N/A</v>
      </c>
      <c r="H314" s="35" t="str">
        <f t="shared" si="6"/>
        <v/>
      </c>
      <c r="I314" s="36" t="str">
        <f t="shared" si="7"/>
        <v/>
      </c>
      <c r="J314" s="37" t="str">
        <f>IFERROR(__xludf.DUMMYFUNCTION("IFERROR(
  IF(C314="""",, 
    IFERROR(
      GOOGLEFINANCE(C314, ""price"") * GOOGLEFINANCE(C314, ""volumeavg""), 
      GOOGLEFINANCE(C314, ""price"") * AVERAGE(QUERY(GOOGLEFINANCE(C314, ""volume"", TODAY()-40, TODAY()), ""SELECT Col2 WHERE Col2 IS NOT "&amp;"NULL ORDER BY Col1 DESC LIMIT 20"", 0))
    )
  ), 
"""")"),"")</f>
        <v/>
      </c>
      <c r="K314" s="21" t="str">
        <f>IFERROR(__xludf.DUMMYFUNCTION("IFERROR(GOOGLEFINANCE(C314, ""changepct"") / 100, """")"),"")</f>
        <v/>
      </c>
      <c r="L314" s="21" t="str">
        <f>IFERROR(__xludf.DUMMYFUNCTION("IFERROR((GOOGLEFINANCE(C314, ""price"") / INDEX(GOOGLEFINANCE(C314, ""price"", TODAY()-7, TODAY()), 2, 2)) - 1, """")"),"")</f>
        <v/>
      </c>
      <c r="M314" s="21" t="str">
        <f>IFERROR(__xludf.DUMMYFUNCTION("IFERROR((GOOGLEFINANCE(C314, ""price"") / INDEX(GOOGLEFINANCE(C314, ""price"", EDATE(TODAY(), -1), TODAY()), 2, 2)) - 1, """")"),"")</f>
        <v/>
      </c>
      <c r="N314" s="21" t="str">
        <f>IFERROR(__xludf.DUMMYFUNCTION("IFERROR((GOOGLEFINANCE(C314, ""price"") / INDEX(GOOGLEFINANCE(C314, ""price"", EDATE(TODAY(), -3), TODAY()), 2, 2)) - 1, """")"),"")</f>
        <v/>
      </c>
      <c r="O314" s="21" t="str">
        <f>IFERROR(__xludf.DUMMYFUNCTION("IFERROR((GOOGLEFINANCE(C314, ""price"") / INDEX(GOOGLEFINANCE(C314, ""price"", EDATE(TODAY(), -6), TODAY()), 2, 2)) - 1, """")"),"")</f>
        <v/>
      </c>
      <c r="P314" s="21" t="str">
        <f>IFERROR(__xludf.DUMMYFUNCTION("IFERROR((GOOGLEFINANCE(C314, ""price"") / INDEX(GOOGLEFINANCE(C314, ""price"", EDATE(TODAY(), -12), TODAY()), 2, 2)) - 1, """")"),"")</f>
        <v/>
      </c>
      <c r="Q314" s="6" t="str">
        <f>IFERROR(__xludf.DUMMYFUNCTION("AVERAGE(QUERY(GOOGLEFINANCE(C314, ""price"", TODAY()-80, TODAY()), ""SELECT Col2 WHERE Col2 IS NOT NULL ORDER BY Col1 DESC LIMIT 50"", 0))"),"#N/A")</f>
        <v>#N/A</v>
      </c>
      <c r="R314" s="24" t="str">
        <f>IFERROR(__xludf.DUMMYFUNCTION("IFERROR(
  LET(
    data, QUERY(GOOGLEFINANCE(C314,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GOOGLEFINANCE(C314, ""price"")) * 100,
    IF(calc=0, G314, calc)
  ), 
G314)"),"#N/A")</f>
        <v>#N/A</v>
      </c>
      <c r="S314" s="8" t="s">
        <v>15</v>
      </c>
      <c r="T314" s="26" t="str">
        <f>IFERROR(__xludf.DUMMYFUNCTION("IFERROR(TRANSPOSE(QUERY(IFERROR(SORT(GOOGLEFINANCE(C314, ""price"", WORKDAY(TODAY(), -40), TODAY()), 1, FALSE)), ""select Col2 where Col2 is not null limit 22 label Col2 ''"", 0)), """")"),"")</f>
        <v/>
      </c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8"/>
      <c r="AO314" s="28"/>
      <c r="AP314" s="29"/>
      <c r="AQ314" s="29" t="str">
        <f t="shared" ref="AQ314:BL314" si="317">T314/T$2</f>
        <v>#N/A</v>
      </c>
      <c r="AR314" s="29" t="str">
        <f t="shared" si="317"/>
        <v>#DIV/0!</v>
      </c>
      <c r="AS314" s="29" t="str">
        <f t="shared" si="317"/>
        <v>#DIV/0!</v>
      </c>
      <c r="AT314" s="29" t="str">
        <f t="shared" si="317"/>
        <v>#DIV/0!</v>
      </c>
      <c r="AU314" s="29" t="str">
        <f t="shared" si="317"/>
        <v>#DIV/0!</v>
      </c>
      <c r="AV314" s="29" t="str">
        <f t="shared" si="317"/>
        <v>#DIV/0!</v>
      </c>
      <c r="AW314" s="29" t="str">
        <f t="shared" si="317"/>
        <v>#DIV/0!</v>
      </c>
      <c r="AX314" s="29" t="str">
        <f t="shared" si="317"/>
        <v>#DIV/0!</v>
      </c>
      <c r="AY314" s="29" t="str">
        <f t="shared" si="317"/>
        <v>#DIV/0!</v>
      </c>
      <c r="AZ314" s="29" t="str">
        <f t="shared" si="317"/>
        <v>#DIV/0!</v>
      </c>
      <c r="BA314" s="29" t="str">
        <f t="shared" si="317"/>
        <v>#DIV/0!</v>
      </c>
      <c r="BB314" s="29" t="str">
        <f t="shared" si="317"/>
        <v>#DIV/0!</v>
      </c>
      <c r="BC314" s="29" t="str">
        <f t="shared" si="317"/>
        <v>#DIV/0!</v>
      </c>
      <c r="BD314" s="29" t="str">
        <f t="shared" si="317"/>
        <v>#DIV/0!</v>
      </c>
      <c r="BE314" s="29" t="str">
        <f t="shared" si="317"/>
        <v>#DIV/0!</v>
      </c>
      <c r="BF314" s="29" t="str">
        <f t="shared" si="317"/>
        <v>#DIV/0!</v>
      </c>
      <c r="BG314" s="29" t="str">
        <f t="shared" si="317"/>
        <v>#DIV/0!</v>
      </c>
      <c r="BH314" s="29" t="str">
        <f t="shared" si="317"/>
        <v>#DIV/0!</v>
      </c>
      <c r="BI314" s="29" t="str">
        <f t="shared" si="317"/>
        <v>#DIV/0!</v>
      </c>
      <c r="BJ314" s="29" t="str">
        <f t="shared" si="317"/>
        <v>#DIV/0!</v>
      </c>
      <c r="BK314" s="29" t="str">
        <f t="shared" si="317"/>
        <v>#DIV/0!</v>
      </c>
      <c r="BL314" s="29" t="str">
        <f t="shared" si="317"/>
        <v>#DIV/0!</v>
      </c>
      <c r="BM314" s="29" t="str">
        <f t="shared" si="3"/>
        <v>#DIV/0!</v>
      </c>
    </row>
    <row r="315">
      <c r="A315" s="16" t="str">
        <f>IFERROR(__xludf.DUMMYFUNCTION("IFERROR(SPARKLINE(SORT(MAP(TRANSPOSE(AQ315:BL315), LAMBDA(val, IF(ISNUMBER(val), PERCENTRANK(AQ315:BL315, val)+0.01, 0))), SEQUENCE(COLUMNS(AQ315:BL315)), FALSE), {""charttype"",""column""; ""color"",""chartreuse""; ""ymin"", 0; ""ymax"", 1.01; ""highcolo"&amp;"r"", ""darkgreen""; ""lowcolor"", ""red""}), """")"),"")</f>
        <v/>
      </c>
      <c r="B315" s="17" t="str">
        <f t="shared" si="4"/>
        <v/>
      </c>
      <c r="C315" s="1" t="s">
        <v>1356</v>
      </c>
      <c r="D315" s="30" t="str">
        <f>IFERROR(__xludf.DUMMYFUNCTION("IFERROR(GOOGLEFINANCE(C315, ""NAME""))"),"VNET Group Inc - ADR")</f>
        <v>VNET Group Inc - ADR</v>
      </c>
      <c r="E315" s="30" t="s">
        <v>102</v>
      </c>
      <c r="F315" s="33" t="str">
        <f>IFERROR(__xludf.DUMMYFUNCTION("( (GOOGLEFINANCE(C315, ""price"") - Q315) / Q315 ) / (R315 / 100)"),"Loading...")</f>
        <v>Loading...</v>
      </c>
      <c r="G315" s="20" t="str">
        <f>IFERROR(__xludf.DUMMYFUNCTION("AVERAGE(ARRAYFORMULA(100 * (QUERY(GOOGLEFINANCE(C315, ""high"", TODAY()-40, TODAY()), ""SELECT Col2 WHERE Col2 IS NOT NULL ORDER BY Col1 DESC LIMIT 20"", 0) / QUERY(GOOGLEFINANCE(C315, ""low"", TODAY()-40, TODAY()), ""SELECT Col2 WHERE Col2 IS NOT NULL OR"&amp;"DER BY Col1 DESC LIMIT 20"", 0) - 1)))"),"#N/A")</f>
        <v>#N/A</v>
      </c>
      <c r="H315" s="35" t="str">
        <f t="shared" si="6"/>
        <v/>
      </c>
      <c r="I315" s="36" t="str">
        <f t="shared" si="7"/>
        <v/>
      </c>
      <c r="J315" s="37" t="str">
        <f>IFERROR(__xludf.DUMMYFUNCTION("IFERROR(
  IF(C315="""",, 
    IFERROR(
      GOOGLEFINANCE(C315, ""price"") * GOOGLEFINANCE(C315, ""volumeavg""), 
      GOOGLEFINANCE(C315, ""price"") * AVERAGE(QUERY(GOOGLEFINANCE(C315, ""volume"", TODAY()-40, TODAY()), ""SELECT Col2 WHERE Col2 IS NOT "&amp;"NULL ORDER BY Col1 DESC LIMIT 20"", 0))
    )
  ), 
"""")"),"")</f>
        <v/>
      </c>
      <c r="K315" s="21" t="str">
        <f>IFERROR(__xludf.DUMMYFUNCTION("IFERROR(GOOGLEFINANCE(C315, ""changepct"") / 100, """")"),"")</f>
        <v/>
      </c>
      <c r="L315" s="21" t="str">
        <f>IFERROR(__xludf.DUMMYFUNCTION("IFERROR((GOOGLEFINANCE(C315, ""price"") / INDEX(GOOGLEFINANCE(C315, ""price"", TODAY()-7, TODAY()), 2, 2)) - 1, """")"),"")</f>
        <v/>
      </c>
      <c r="M315" s="21" t="str">
        <f>IFERROR(__xludf.DUMMYFUNCTION("IFERROR((GOOGLEFINANCE(C315, ""price"") / INDEX(GOOGLEFINANCE(C315, ""price"", EDATE(TODAY(), -1), TODAY()), 2, 2)) - 1, """")"),"")</f>
        <v/>
      </c>
      <c r="N315" s="21" t="str">
        <f>IFERROR(__xludf.DUMMYFUNCTION("IFERROR((GOOGLEFINANCE(C315, ""price"") / INDEX(GOOGLEFINANCE(C315, ""price"", EDATE(TODAY(), -3), TODAY()), 2, 2)) - 1, """")"),"")</f>
        <v/>
      </c>
      <c r="O315" s="21" t="str">
        <f>IFERROR(__xludf.DUMMYFUNCTION("IFERROR((GOOGLEFINANCE(C315, ""price"") / INDEX(GOOGLEFINANCE(C315, ""price"", EDATE(TODAY(), -6), TODAY()), 2, 2)) - 1, """")"),"")</f>
        <v/>
      </c>
      <c r="P315" s="21" t="str">
        <f>IFERROR(__xludf.DUMMYFUNCTION("IFERROR((GOOGLEFINANCE(C315, ""price"") / INDEX(GOOGLEFINANCE(C315, ""price"", EDATE(TODAY(), -12), TODAY()), 2, 2)) - 1, """")"),"")</f>
        <v/>
      </c>
      <c r="Q315" s="6" t="str">
        <f>IFERROR(__xludf.DUMMYFUNCTION("AVERAGE(QUERY(GOOGLEFINANCE(C315, ""price"", TODAY()-80, TODAY()), ""SELECT Col2 WHERE Col2 IS NOT NULL ORDER BY Col1 DESC LIMIT 50"", 0))"),"#N/A")</f>
        <v>#N/A</v>
      </c>
      <c r="R315" s="24" t="str">
        <f>IFERROR(__xludf.DUMMYFUNCTION("IFERROR(
  LET(
    data, QUERY(GOOGLEFINANCE(C315,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GOOGLEFINANCE(C315, ""price"")) * 100,
    IF(calc=0, G315, calc)
  ), 
G315)"),"#N/A")</f>
        <v>#N/A</v>
      </c>
      <c r="S315" s="8" t="s">
        <v>15</v>
      </c>
      <c r="T315" s="26" t="str">
        <f>IFERROR(__xludf.DUMMYFUNCTION("IFERROR(TRANSPOSE(QUERY(IFERROR(SORT(GOOGLEFINANCE(C315, ""price"", WORKDAY(TODAY(), -40), TODAY()), 1, FALSE)), ""select Col2 where Col2 is not null limit 22 label Col2 ''"", 0)), """")"),"")</f>
        <v/>
      </c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8"/>
      <c r="AO315" s="28"/>
      <c r="AP315" s="29"/>
      <c r="AQ315" s="29" t="str">
        <f t="shared" ref="AQ315:BL315" si="318">T315/T$2</f>
        <v>#N/A</v>
      </c>
      <c r="AR315" s="29" t="str">
        <f t="shared" si="318"/>
        <v>#DIV/0!</v>
      </c>
      <c r="AS315" s="29" t="str">
        <f t="shared" si="318"/>
        <v>#DIV/0!</v>
      </c>
      <c r="AT315" s="29" t="str">
        <f t="shared" si="318"/>
        <v>#DIV/0!</v>
      </c>
      <c r="AU315" s="29" t="str">
        <f t="shared" si="318"/>
        <v>#DIV/0!</v>
      </c>
      <c r="AV315" s="29" t="str">
        <f t="shared" si="318"/>
        <v>#DIV/0!</v>
      </c>
      <c r="AW315" s="29" t="str">
        <f t="shared" si="318"/>
        <v>#DIV/0!</v>
      </c>
      <c r="AX315" s="29" t="str">
        <f t="shared" si="318"/>
        <v>#DIV/0!</v>
      </c>
      <c r="AY315" s="29" t="str">
        <f t="shared" si="318"/>
        <v>#DIV/0!</v>
      </c>
      <c r="AZ315" s="29" t="str">
        <f t="shared" si="318"/>
        <v>#DIV/0!</v>
      </c>
      <c r="BA315" s="29" t="str">
        <f t="shared" si="318"/>
        <v>#DIV/0!</v>
      </c>
      <c r="BB315" s="29" t="str">
        <f t="shared" si="318"/>
        <v>#DIV/0!</v>
      </c>
      <c r="BC315" s="29" t="str">
        <f t="shared" si="318"/>
        <v>#DIV/0!</v>
      </c>
      <c r="BD315" s="29" t="str">
        <f t="shared" si="318"/>
        <v>#DIV/0!</v>
      </c>
      <c r="BE315" s="29" t="str">
        <f t="shared" si="318"/>
        <v>#DIV/0!</v>
      </c>
      <c r="BF315" s="29" t="str">
        <f t="shared" si="318"/>
        <v>#DIV/0!</v>
      </c>
      <c r="BG315" s="29" t="str">
        <f t="shared" si="318"/>
        <v>#DIV/0!</v>
      </c>
      <c r="BH315" s="29" t="str">
        <f t="shared" si="318"/>
        <v>#DIV/0!</v>
      </c>
      <c r="BI315" s="29" t="str">
        <f t="shared" si="318"/>
        <v>#DIV/0!</v>
      </c>
      <c r="BJ315" s="29" t="str">
        <f t="shared" si="318"/>
        <v>#DIV/0!</v>
      </c>
      <c r="BK315" s="29" t="str">
        <f t="shared" si="318"/>
        <v>#DIV/0!</v>
      </c>
      <c r="BL315" s="29" t="str">
        <f t="shared" si="318"/>
        <v>#DIV/0!</v>
      </c>
      <c r="BM315" s="29" t="str">
        <f t="shared" si="3"/>
        <v>#DIV/0!</v>
      </c>
    </row>
    <row r="316">
      <c r="A316" s="16" t="str">
        <f>IFERROR(__xludf.DUMMYFUNCTION("IFERROR(SPARKLINE(SORT(MAP(TRANSPOSE(AQ316:BL316), LAMBDA(val, IF(ISNUMBER(val), PERCENTRANK(AQ316:BL316, val)+0.01, 0))), SEQUENCE(COLUMNS(AQ316:BL316)), FALSE), {""charttype"",""column""; ""color"",""chartreuse""; ""ymin"", 0; ""ymax"", 1.01; ""highcolo"&amp;"r"", ""darkgreen""; ""lowcolor"", ""red""}), """")"),"")</f>
        <v/>
      </c>
      <c r="B316" s="17" t="str">
        <f t="shared" si="4"/>
        <v/>
      </c>
      <c r="C316" s="1" t="s">
        <v>1360</v>
      </c>
      <c r="D316" s="30" t="str">
        <f>IFERROR(__xludf.DUMMYFUNCTION("IFERROR(GOOGLEFINANCE(C316, ""NAME""))"),"Texas Instruments Inc")</f>
        <v>Texas Instruments Inc</v>
      </c>
      <c r="E316" s="30" t="s">
        <v>871</v>
      </c>
      <c r="F316" s="38" t="str">
        <f>IFERROR(__xludf.DUMMYFUNCTION("( (GOOGLEFINANCE(C316, ""price"") - Q316) / Q316 ) / (R316 / 100)"),"Loading...")</f>
        <v>Loading...</v>
      </c>
      <c r="G316" s="20" t="str">
        <f>IFERROR(__xludf.DUMMYFUNCTION("AVERAGE(ARRAYFORMULA(100 * (QUERY(GOOGLEFINANCE(C316, ""high"", TODAY()-40, TODAY()), ""SELECT Col2 WHERE Col2 IS NOT NULL ORDER BY Col1 DESC LIMIT 20"", 0) / QUERY(GOOGLEFINANCE(C316, ""low"", TODAY()-40, TODAY()), ""SELECT Col2 WHERE Col2 IS NOT NULL OR"&amp;"DER BY Col1 DESC LIMIT 20"", 0) - 1)))"),"#N/A")</f>
        <v>#N/A</v>
      </c>
      <c r="H316" s="35" t="str">
        <f t="shared" si="6"/>
        <v/>
      </c>
      <c r="I316" s="36" t="str">
        <f t="shared" si="7"/>
        <v/>
      </c>
      <c r="J316" s="37" t="str">
        <f>IFERROR(__xludf.DUMMYFUNCTION("IFERROR(
  IF(C316="""",, 
    IFERROR(
      GOOGLEFINANCE(C316, ""price"") * GOOGLEFINANCE(C316, ""volumeavg""), 
      GOOGLEFINANCE(C316, ""price"") * AVERAGE(QUERY(GOOGLEFINANCE(C316, ""volume"", TODAY()-40, TODAY()), ""SELECT Col2 WHERE Col2 IS NOT "&amp;"NULL ORDER BY Col1 DESC LIMIT 20"", 0))
    )
  ), 
"""")"),"")</f>
        <v/>
      </c>
      <c r="K316" s="21" t="str">
        <f>IFERROR(__xludf.DUMMYFUNCTION("IFERROR(GOOGLEFINANCE(C316, ""changepct"") / 100, """")"),"")</f>
        <v/>
      </c>
      <c r="L316" s="21" t="str">
        <f>IFERROR(__xludf.DUMMYFUNCTION("IFERROR((GOOGLEFINANCE(C316, ""price"") / INDEX(GOOGLEFINANCE(C316, ""price"", TODAY()-7, TODAY()), 2, 2)) - 1, """")"),"")</f>
        <v/>
      </c>
      <c r="M316" s="21" t="str">
        <f>IFERROR(__xludf.DUMMYFUNCTION("IFERROR((GOOGLEFINANCE(C316, ""price"") / INDEX(GOOGLEFINANCE(C316, ""price"", EDATE(TODAY(), -1), TODAY()), 2, 2)) - 1, """")"),"")</f>
        <v/>
      </c>
      <c r="N316" s="21" t="str">
        <f>IFERROR(__xludf.DUMMYFUNCTION("IFERROR((GOOGLEFINANCE(C316, ""price"") / INDEX(GOOGLEFINANCE(C316, ""price"", EDATE(TODAY(), -3), TODAY()), 2, 2)) - 1, """")"),"")</f>
        <v/>
      </c>
      <c r="O316" s="21" t="str">
        <f>IFERROR(__xludf.DUMMYFUNCTION("IFERROR((GOOGLEFINANCE(C316, ""price"") / INDEX(GOOGLEFINANCE(C316, ""price"", EDATE(TODAY(), -6), TODAY()), 2, 2)) - 1, """")"),"")</f>
        <v/>
      </c>
      <c r="P316" s="21" t="str">
        <f>IFERROR(__xludf.DUMMYFUNCTION("IFERROR((GOOGLEFINANCE(C316, ""price"") / INDEX(GOOGLEFINANCE(C316, ""price"", EDATE(TODAY(), -12), TODAY()), 2, 2)) - 1, """")"),"")</f>
        <v/>
      </c>
      <c r="Q316" s="6" t="str">
        <f>IFERROR(__xludf.DUMMYFUNCTION("AVERAGE(QUERY(GOOGLEFINANCE(C316, ""price"", TODAY()-80, TODAY()), ""SELECT Col2 WHERE Col2 IS NOT NULL ORDER BY Col1 DESC LIMIT 50"", 0))"),"#N/A")</f>
        <v>#N/A</v>
      </c>
      <c r="R316" s="24" t="str">
        <f>IFERROR(__xludf.DUMMYFUNCTION("IFERROR(
  LET(
    data, QUERY(GOOGLEFINANCE(C316,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GOOGLEFINANCE(C316, ""price"")) * 100,
    IF(calc=0, G316, calc)
  ), 
G316)"),"#N/A")</f>
        <v>#N/A</v>
      </c>
      <c r="S316" s="8" t="s">
        <v>15</v>
      </c>
      <c r="T316" s="26" t="str">
        <f>IFERROR(__xludf.DUMMYFUNCTION("IFERROR(TRANSPOSE(QUERY(IFERROR(SORT(GOOGLEFINANCE(C316, ""price"", WORKDAY(TODAY(), -40), TODAY()), 1, FALSE)), ""select Col2 where Col2 is not null limit 22 label Col2 ''"", 0)), """")"),"")</f>
        <v/>
      </c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8"/>
      <c r="AO316" s="28"/>
      <c r="AP316" s="29"/>
      <c r="AQ316" s="29" t="str">
        <f t="shared" ref="AQ316:BL316" si="319">T316/T$2</f>
        <v>#N/A</v>
      </c>
      <c r="AR316" s="29" t="str">
        <f t="shared" si="319"/>
        <v>#DIV/0!</v>
      </c>
      <c r="AS316" s="29" t="str">
        <f t="shared" si="319"/>
        <v>#DIV/0!</v>
      </c>
      <c r="AT316" s="29" t="str">
        <f t="shared" si="319"/>
        <v>#DIV/0!</v>
      </c>
      <c r="AU316" s="29" t="str">
        <f t="shared" si="319"/>
        <v>#DIV/0!</v>
      </c>
      <c r="AV316" s="29" t="str">
        <f t="shared" si="319"/>
        <v>#DIV/0!</v>
      </c>
      <c r="AW316" s="29" t="str">
        <f t="shared" si="319"/>
        <v>#DIV/0!</v>
      </c>
      <c r="AX316" s="29" t="str">
        <f t="shared" si="319"/>
        <v>#DIV/0!</v>
      </c>
      <c r="AY316" s="29" t="str">
        <f t="shared" si="319"/>
        <v>#DIV/0!</v>
      </c>
      <c r="AZ316" s="29" t="str">
        <f t="shared" si="319"/>
        <v>#DIV/0!</v>
      </c>
      <c r="BA316" s="29" t="str">
        <f t="shared" si="319"/>
        <v>#DIV/0!</v>
      </c>
      <c r="BB316" s="29" t="str">
        <f t="shared" si="319"/>
        <v>#DIV/0!</v>
      </c>
      <c r="BC316" s="29" t="str">
        <f t="shared" si="319"/>
        <v>#DIV/0!</v>
      </c>
      <c r="BD316" s="29" t="str">
        <f t="shared" si="319"/>
        <v>#DIV/0!</v>
      </c>
      <c r="BE316" s="29" t="str">
        <f t="shared" si="319"/>
        <v>#DIV/0!</v>
      </c>
      <c r="BF316" s="29" t="str">
        <f t="shared" si="319"/>
        <v>#DIV/0!</v>
      </c>
      <c r="BG316" s="29" t="str">
        <f t="shared" si="319"/>
        <v>#DIV/0!</v>
      </c>
      <c r="BH316" s="29" t="str">
        <f t="shared" si="319"/>
        <v>#DIV/0!</v>
      </c>
      <c r="BI316" s="29" t="str">
        <f t="shared" si="319"/>
        <v>#DIV/0!</v>
      </c>
      <c r="BJ316" s="29" t="str">
        <f t="shared" si="319"/>
        <v>#DIV/0!</v>
      </c>
      <c r="BK316" s="29" t="str">
        <f t="shared" si="319"/>
        <v>#DIV/0!</v>
      </c>
      <c r="BL316" s="29" t="str">
        <f t="shared" si="319"/>
        <v>#DIV/0!</v>
      </c>
      <c r="BM316" s="29" t="str">
        <f t="shared" si="3"/>
        <v>#DIV/0!</v>
      </c>
    </row>
    <row r="317">
      <c r="A317" s="16" t="str">
        <f>IFERROR(__xludf.DUMMYFUNCTION("IFERROR(SPARKLINE(SORT(MAP(TRANSPOSE(AQ317:BL317), LAMBDA(val, IF(ISNUMBER(val), PERCENTRANK(AQ317:BL317, val)+0.01, 0))), SEQUENCE(COLUMNS(AQ317:BL317)), FALSE), {""charttype"",""column""; ""color"",""chartreuse""; ""ymin"", 0; ""ymax"", 1.01; ""highcolo"&amp;"r"", ""darkgreen""; ""lowcolor"", ""red""}), """")"),"")</f>
        <v/>
      </c>
      <c r="B317" s="17" t="str">
        <f t="shared" si="4"/>
        <v/>
      </c>
      <c r="C317" s="1" t="s">
        <v>1362</v>
      </c>
      <c r="D317" s="30" t="str">
        <f>IFERROR(__xludf.DUMMYFUNCTION("IFERROR(GOOGLEFINANCE(C317, ""NAME""))"),"NCR Atleos Corp")</f>
        <v>NCR Atleos Corp</v>
      </c>
      <c r="E317" s="30" t="s">
        <v>48</v>
      </c>
      <c r="F317" s="33" t="str">
        <f>IFERROR(__xludf.DUMMYFUNCTION("( (GOOGLEFINANCE(C317, ""price"") - Q317) / Q317 ) / (R317 / 100)"),"Loading...")</f>
        <v>Loading...</v>
      </c>
      <c r="G317" s="20" t="str">
        <f>IFERROR(__xludf.DUMMYFUNCTION("AVERAGE(ARRAYFORMULA(100 * (QUERY(GOOGLEFINANCE(C317, ""high"", TODAY()-40, TODAY()), ""SELECT Col2 WHERE Col2 IS NOT NULL ORDER BY Col1 DESC LIMIT 20"", 0) / QUERY(GOOGLEFINANCE(C317, ""low"", TODAY()-40, TODAY()), ""SELECT Col2 WHERE Col2 IS NOT NULL OR"&amp;"DER BY Col1 DESC LIMIT 20"", 0) - 1)))"),"#N/A")</f>
        <v>#N/A</v>
      </c>
      <c r="H317" s="35" t="str">
        <f t="shared" si="6"/>
        <v/>
      </c>
      <c r="I317" s="36" t="str">
        <f t="shared" si="7"/>
        <v/>
      </c>
      <c r="J317" s="37" t="str">
        <f>IFERROR(__xludf.DUMMYFUNCTION("IFERROR(
  IF(C317="""",, 
    IFERROR(
      GOOGLEFINANCE(C317, ""price"") * GOOGLEFINANCE(C317, ""volumeavg""), 
      GOOGLEFINANCE(C317, ""price"") * AVERAGE(QUERY(GOOGLEFINANCE(C317, ""volume"", TODAY()-40, TODAY()), ""SELECT Col2 WHERE Col2 IS NOT "&amp;"NULL ORDER BY Col1 DESC LIMIT 20"", 0))
    )
  ), 
"""")"),"")</f>
        <v/>
      </c>
      <c r="K317" s="21" t="str">
        <f>IFERROR(__xludf.DUMMYFUNCTION("IFERROR(GOOGLEFINANCE(C317, ""changepct"") / 100, """")"),"")</f>
        <v/>
      </c>
      <c r="L317" s="21" t="str">
        <f>IFERROR(__xludf.DUMMYFUNCTION("IFERROR((GOOGLEFINANCE(C317, ""price"") / INDEX(GOOGLEFINANCE(C317, ""price"", TODAY()-7, TODAY()), 2, 2)) - 1, """")"),"")</f>
        <v/>
      </c>
      <c r="M317" s="21" t="str">
        <f>IFERROR(__xludf.DUMMYFUNCTION("IFERROR((GOOGLEFINANCE(C317, ""price"") / INDEX(GOOGLEFINANCE(C317, ""price"", EDATE(TODAY(), -1), TODAY()), 2, 2)) - 1, """")"),"")</f>
        <v/>
      </c>
      <c r="N317" s="21" t="str">
        <f>IFERROR(__xludf.DUMMYFUNCTION("IFERROR((GOOGLEFINANCE(C317, ""price"") / INDEX(GOOGLEFINANCE(C317, ""price"", EDATE(TODAY(), -3), TODAY()), 2, 2)) - 1, """")"),"")</f>
        <v/>
      </c>
      <c r="O317" s="21" t="str">
        <f>IFERROR(__xludf.DUMMYFUNCTION("IFERROR((GOOGLEFINANCE(C317, ""price"") / INDEX(GOOGLEFINANCE(C317, ""price"", EDATE(TODAY(), -6), TODAY()), 2, 2)) - 1, """")"),"")</f>
        <v/>
      </c>
      <c r="P317" s="21" t="str">
        <f>IFERROR(__xludf.DUMMYFUNCTION("IFERROR((GOOGLEFINANCE(C317, ""price"") / INDEX(GOOGLEFINANCE(C317, ""price"", EDATE(TODAY(), -12), TODAY()), 2, 2)) - 1, """")"),"")</f>
        <v/>
      </c>
      <c r="Q317" s="6" t="str">
        <f>IFERROR(__xludf.DUMMYFUNCTION("AVERAGE(QUERY(GOOGLEFINANCE(C317, ""price"", TODAY()-80, TODAY()), ""SELECT Col2 WHERE Col2 IS NOT NULL ORDER BY Col1 DESC LIMIT 50"", 0))"),"#N/A")</f>
        <v>#N/A</v>
      </c>
      <c r="R317" s="24" t="str">
        <f>IFERROR(__xludf.DUMMYFUNCTION("IFERROR(
  LET(
    data, QUERY(GOOGLEFINANCE(C317,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GOOGLEFINANCE(C317, ""price"")) * 100,
    IF(calc=0, G317, calc)
  ), 
G317)"),"#N/A")</f>
        <v>#N/A</v>
      </c>
      <c r="S317" s="8" t="s">
        <v>15</v>
      </c>
      <c r="T317" s="26" t="str">
        <f>IFERROR(__xludf.DUMMYFUNCTION("IFERROR(TRANSPOSE(QUERY(IFERROR(SORT(GOOGLEFINANCE(C317, ""price"", WORKDAY(TODAY(), -40), TODAY()), 1, FALSE)), ""select Col2 where Col2 is not null limit 22 label Col2 ''"", 0)), """")"),"")</f>
        <v/>
      </c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8"/>
      <c r="AO317" s="28"/>
      <c r="AP317" s="29"/>
      <c r="AQ317" s="29" t="str">
        <f t="shared" ref="AQ317:BL317" si="320">T317/T$2</f>
        <v>#N/A</v>
      </c>
      <c r="AR317" s="29" t="str">
        <f t="shared" si="320"/>
        <v>#DIV/0!</v>
      </c>
      <c r="AS317" s="29" t="str">
        <f t="shared" si="320"/>
        <v>#DIV/0!</v>
      </c>
      <c r="AT317" s="29" t="str">
        <f t="shared" si="320"/>
        <v>#DIV/0!</v>
      </c>
      <c r="AU317" s="29" t="str">
        <f t="shared" si="320"/>
        <v>#DIV/0!</v>
      </c>
      <c r="AV317" s="29" t="str">
        <f t="shared" si="320"/>
        <v>#DIV/0!</v>
      </c>
      <c r="AW317" s="29" t="str">
        <f t="shared" si="320"/>
        <v>#DIV/0!</v>
      </c>
      <c r="AX317" s="29" t="str">
        <f t="shared" si="320"/>
        <v>#DIV/0!</v>
      </c>
      <c r="AY317" s="29" t="str">
        <f t="shared" si="320"/>
        <v>#DIV/0!</v>
      </c>
      <c r="AZ317" s="29" t="str">
        <f t="shared" si="320"/>
        <v>#DIV/0!</v>
      </c>
      <c r="BA317" s="29" t="str">
        <f t="shared" si="320"/>
        <v>#DIV/0!</v>
      </c>
      <c r="BB317" s="29" t="str">
        <f t="shared" si="320"/>
        <v>#DIV/0!</v>
      </c>
      <c r="BC317" s="29" t="str">
        <f t="shared" si="320"/>
        <v>#DIV/0!</v>
      </c>
      <c r="BD317" s="29" t="str">
        <f t="shared" si="320"/>
        <v>#DIV/0!</v>
      </c>
      <c r="BE317" s="29" t="str">
        <f t="shared" si="320"/>
        <v>#DIV/0!</v>
      </c>
      <c r="BF317" s="29" t="str">
        <f t="shared" si="320"/>
        <v>#DIV/0!</v>
      </c>
      <c r="BG317" s="29" t="str">
        <f t="shared" si="320"/>
        <v>#DIV/0!</v>
      </c>
      <c r="BH317" s="29" t="str">
        <f t="shared" si="320"/>
        <v>#DIV/0!</v>
      </c>
      <c r="BI317" s="29" t="str">
        <f t="shared" si="320"/>
        <v>#DIV/0!</v>
      </c>
      <c r="BJ317" s="29" t="str">
        <f t="shared" si="320"/>
        <v>#DIV/0!</v>
      </c>
      <c r="BK317" s="29" t="str">
        <f t="shared" si="320"/>
        <v>#DIV/0!</v>
      </c>
      <c r="BL317" s="29" t="str">
        <f t="shared" si="320"/>
        <v>#DIV/0!</v>
      </c>
      <c r="BM317" s="29" t="str">
        <f t="shared" si="3"/>
        <v>#DIV/0!</v>
      </c>
    </row>
    <row r="318">
      <c r="A318" s="16" t="str">
        <f>IFERROR(__xludf.DUMMYFUNCTION("IFERROR(SPARKLINE(SORT(MAP(TRANSPOSE(AQ318:BL318), LAMBDA(val, IF(ISNUMBER(val), PERCENTRANK(AQ318:BL318, val)+0.01, 0))), SEQUENCE(COLUMNS(AQ318:BL318)), FALSE), {""charttype"",""column""; ""color"",""chartreuse""; ""ymin"", 0; ""ymax"", 1.01; ""highcolo"&amp;"r"", ""darkgreen""; ""lowcolor"", ""red""}), """")"),"")</f>
        <v/>
      </c>
      <c r="B318" s="17" t="str">
        <f t="shared" si="4"/>
        <v/>
      </c>
      <c r="C318" s="1" t="s">
        <v>1365</v>
      </c>
      <c r="D318" s="30" t="str">
        <f>IFERROR(__xludf.DUMMYFUNCTION("IFERROR(GOOGLEFINANCE(C318, ""NAME""))"),"NetScout Systems Inc")</f>
        <v>NetScout Systems Inc</v>
      </c>
      <c r="E318" s="30" t="s">
        <v>58</v>
      </c>
      <c r="F318" s="33" t="str">
        <f>IFERROR(__xludf.DUMMYFUNCTION("( (GOOGLEFINANCE(C318, ""price"") - Q318) / Q318 ) / (R318 / 100)"),"Loading...")</f>
        <v>Loading...</v>
      </c>
      <c r="G318" s="20" t="str">
        <f>IFERROR(__xludf.DUMMYFUNCTION("AVERAGE(ARRAYFORMULA(100 * (QUERY(GOOGLEFINANCE(C318, ""high"", TODAY()-40, TODAY()), ""SELECT Col2 WHERE Col2 IS NOT NULL ORDER BY Col1 DESC LIMIT 20"", 0) / QUERY(GOOGLEFINANCE(C318, ""low"", TODAY()-40, TODAY()), ""SELECT Col2 WHERE Col2 IS NOT NULL OR"&amp;"DER BY Col1 DESC LIMIT 20"", 0) - 1)))"),"#N/A")</f>
        <v>#N/A</v>
      </c>
      <c r="H318" s="35" t="str">
        <f t="shared" si="6"/>
        <v/>
      </c>
      <c r="I318" s="36" t="str">
        <f t="shared" si="7"/>
        <v/>
      </c>
      <c r="J318" s="37" t="str">
        <f>IFERROR(__xludf.DUMMYFUNCTION("IFERROR(
  IF(C318="""",, 
    IFERROR(
      GOOGLEFINANCE(C318, ""price"") * GOOGLEFINANCE(C318, ""volumeavg""), 
      GOOGLEFINANCE(C318, ""price"") * AVERAGE(QUERY(GOOGLEFINANCE(C318, ""volume"", TODAY()-40, TODAY()), ""SELECT Col2 WHERE Col2 IS NOT "&amp;"NULL ORDER BY Col1 DESC LIMIT 20"", 0))
    )
  ), 
"""")"),"")</f>
        <v/>
      </c>
      <c r="K318" s="21" t="str">
        <f>IFERROR(__xludf.DUMMYFUNCTION("IFERROR(GOOGLEFINANCE(C318, ""changepct"") / 100, """")"),"")</f>
        <v/>
      </c>
      <c r="L318" s="21" t="str">
        <f>IFERROR(__xludf.DUMMYFUNCTION("IFERROR((GOOGLEFINANCE(C318, ""price"") / INDEX(GOOGLEFINANCE(C318, ""price"", TODAY()-7, TODAY()), 2, 2)) - 1, """")"),"")</f>
        <v/>
      </c>
      <c r="M318" s="21" t="str">
        <f>IFERROR(__xludf.DUMMYFUNCTION("IFERROR((GOOGLEFINANCE(C318, ""price"") / INDEX(GOOGLEFINANCE(C318, ""price"", EDATE(TODAY(), -1), TODAY()), 2, 2)) - 1, """")"),"")</f>
        <v/>
      </c>
      <c r="N318" s="21" t="str">
        <f>IFERROR(__xludf.DUMMYFUNCTION("IFERROR((GOOGLEFINANCE(C318, ""price"") / INDEX(GOOGLEFINANCE(C318, ""price"", EDATE(TODAY(), -3), TODAY()), 2, 2)) - 1, """")"),"")</f>
        <v/>
      </c>
      <c r="O318" s="21" t="str">
        <f>IFERROR(__xludf.DUMMYFUNCTION("IFERROR((GOOGLEFINANCE(C318, ""price"") / INDEX(GOOGLEFINANCE(C318, ""price"", EDATE(TODAY(), -6), TODAY()), 2, 2)) - 1, """")"),"")</f>
        <v/>
      </c>
      <c r="P318" s="21" t="str">
        <f>IFERROR(__xludf.DUMMYFUNCTION("IFERROR((GOOGLEFINANCE(C318, ""price"") / INDEX(GOOGLEFINANCE(C318, ""price"", EDATE(TODAY(), -12), TODAY()), 2, 2)) - 1, """")"),"")</f>
        <v/>
      </c>
      <c r="Q318" s="6" t="str">
        <f>IFERROR(__xludf.DUMMYFUNCTION("AVERAGE(QUERY(GOOGLEFINANCE(C318, ""price"", TODAY()-80, TODAY()), ""SELECT Col2 WHERE Col2 IS NOT NULL ORDER BY Col1 DESC LIMIT 50"", 0))"),"#N/A")</f>
        <v>#N/A</v>
      </c>
      <c r="R318" s="24" t="str">
        <f>IFERROR(__xludf.DUMMYFUNCTION("IFERROR(
  LET(
    data, QUERY(GOOGLEFINANCE(C318,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GOOGLEFINANCE(C318, ""price"")) * 100,
    IF(calc=0, G318, calc)
  ), 
G318)"),"#N/A")</f>
        <v>#N/A</v>
      </c>
      <c r="S318" s="8" t="s">
        <v>15</v>
      </c>
      <c r="T318" s="26" t="str">
        <f>IFERROR(__xludf.DUMMYFUNCTION("IFERROR(TRANSPOSE(QUERY(IFERROR(SORT(GOOGLEFINANCE(C318, ""price"", WORKDAY(TODAY(), -40), TODAY()), 1, FALSE)), ""select Col2 where Col2 is not null limit 22 label Col2 ''"", 0)), """")"),"")</f>
        <v/>
      </c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8"/>
      <c r="AO318" s="28"/>
      <c r="AP318" s="29"/>
      <c r="AQ318" s="29" t="str">
        <f t="shared" ref="AQ318:BL318" si="321">T318/T$2</f>
        <v>#N/A</v>
      </c>
      <c r="AR318" s="29" t="str">
        <f t="shared" si="321"/>
        <v>#DIV/0!</v>
      </c>
      <c r="AS318" s="29" t="str">
        <f t="shared" si="321"/>
        <v>#DIV/0!</v>
      </c>
      <c r="AT318" s="29" t="str">
        <f t="shared" si="321"/>
        <v>#DIV/0!</v>
      </c>
      <c r="AU318" s="29" t="str">
        <f t="shared" si="321"/>
        <v>#DIV/0!</v>
      </c>
      <c r="AV318" s="29" t="str">
        <f t="shared" si="321"/>
        <v>#DIV/0!</v>
      </c>
      <c r="AW318" s="29" t="str">
        <f t="shared" si="321"/>
        <v>#DIV/0!</v>
      </c>
      <c r="AX318" s="29" t="str">
        <f t="shared" si="321"/>
        <v>#DIV/0!</v>
      </c>
      <c r="AY318" s="29" t="str">
        <f t="shared" si="321"/>
        <v>#DIV/0!</v>
      </c>
      <c r="AZ318" s="29" t="str">
        <f t="shared" si="321"/>
        <v>#DIV/0!</v>
      </c>
      <c r="BA318" s="29" t="str">
        <f t="shared" si="321"/>
        <v>#DIV/0!</v>
      </c>
      <c r="BB318" s="29" t="str">
        <f t="shared" si="321"/>
        <v>#DIV/0!</v>
      </c>
      <c r="BC318" s="29" t="str">
        <f t="shared" si="321"/>
        <v>#DIV/0!</v>
      </c>
      <c r="BD318" s="29" t="str">
        <f t="shared" si="321"/>
        <v>#DIV/0!</v>
      </c>
      <c r="BE318" s="29" t="str">
        <f t="shared" si="321"/>
        <v>#DIV/0!</v>
      </c>
      <c r="BF318" s="29" t="str">
        <f t="shared" si="321"/>
        <v>#DIV/0!</v>
      </c>
      <c r="BG318" s="29" t="str">
        <f t="shared" si="321"/>
        <v>#DIV/0!</v>
      </c>
      <c r="BH318" s="29" t="str">
        <f t="shared" si="321"/>
        <v>#DIV/0!</v>
      </c>
      <c r="BI318" s="29" t="str">
        <f t="shared" si="321"/>
        <v>#DIV/0!</v>
      </c>
      <c r="BJ318" s="29" t="str">
        <f t="shared" si="321"/>
        <v>#DIV/0!</v>
      </c>
      <c r="BK318" s="29" t="str">
        <f t="shared" si="321"/>
        <v>#DIV/0!</v>
      </c>
      <c r="BL318" s="29" t="str">
        <f t="shared" si="321"/>
        <v>#DIV/0!</v>
      </c>
      <c r="BM318" s="29" t="str">
        <f t="shared" si="3"/>
        <v>#DIV/0!</v>
      </c>
    </row>
    <row r="319">
      <c r="A319" s="16" t="str">
        <f>IFERROR(__xludf.DUMMYFUNCTION("IFERROR(SPARKLINE(SORT(MAP(TRANSPOSE(AQ319:BL319), LAMBDA(val, IF(ISNUMBER(val), PERCENTRANK(AQ319:BL319, val)+0.01, 0))), SEQUENCE(COLUMNS(AQ319:BL319)), FALSE), {""charttype"",""column""; ""color"",""chartreuse""; ""ymin"", 0; ""ymax"", 1.01; ""highcolo"&amp;"r"", ""darkgreen""; ""lowcolor"", ""red""}), """")"),"")</f>
        <v/>
      </c>
      <c r="B319" s="17" t="str">
        <f t="shared" si="4"/>
        <v/>
      </c>
      <c r="C319" s="1" t="s">
        <v>1369</v>
      </c>
      <c r="D319" s="30" t="str">
        <f>IFERROR(__xludf.DUMMYFUNCTION("IFERROR(GOOGLEFINANCE(C319, ""NAME""))"),"Avnet Inc")</f>
        <v>Avnet Inc</v>
      </c>
      <c r="E319" s="30" t="s">
        <v>540</v>
      </c>
      <c r="F319" s="33" t="str">
        <f>IFERROR(__xludf.DUMMYFUNCTION("( (GOOGLEFINANCE(C319, ""price"") - Q319) / Q319 ) / (R319 / 100)"),"Loading...")</f>
        <v>Loading...</v>
      </c>
      <c r="G319" s="20" t="str">
        <f>IFERROR(__xludf.DUMMYFUNCTION("AVERAGE(ARRAYFORMULA(100 * (QUERY(GOOGLEFINANCE(C319, ""high"", TODAY()-40, TODAY()), ""SELECT Col2 WHERE Col2 IS NOT NULL ORDER BY Col1 DESC LIMIT 20"", 0) / QUERY(GOOGLEFINANCE(C319, ""low"", TODAY()-40, TODAY()), ""SELECT Col2 WHERE Col2 IS NOT NULL OR"&amp;"DER BY Col1 DESC LIMIT 20"", 0) - 1)))"),"#N/A")</f>
        <v>#N/A</v>
      </c>
      <c r="H319" s="35" t="str">
        <f t="shared" si="6"/>
        <v/>
      </c>
      <c r="I319" s="36" t="str">
        <f t="shared" si="7"/>
        <v/>
      </c>
      <c r="J319" s="37" t="str">
        <f>IFERROR(__xludf.DUMMYFUNCTION("IFERROR(
  IF(C319="""",, 
    IFERROR(
      GOOGLEFINANCE(C319, ""price"") * GOOGLEFINANCE(C319, ""volumeavg""), 
      GOOGLEFINANCE(C319, ""price"") * AVERAGE(QUERY(GOOGLEFINANCE(C319, ""volume"", TODAY()-40, TODAY()), ""SELECT Col2 WHERE Col2 IS NOT "&amp;"NULL ORDER BY Col1 DESC LIMIT 20"", 0))
    )
  ), 
"""")"),"")</f>
        <v/>
      </c>
      <c r="K319" s="21" t="str">
        <f>IFERROR(__xludf.DUMMYFUNCTION("IFERROR(GOOGLEFINANCE(C319, ""changepct"") / 100, """")"),"")</f>
        <v/>
      </c>
      <c r="L319" s="21" t="str">
        <f>IFERROR(__xludf.DUMMYFUNCTION("IFERROR((GOOGLEFINANCE(C319, ""price"") / INDEX(GOOGLEFINANCE(C319, ""price"", TODAY()-7, TODAY()), 2, 2)) - 1, """")"),"")</f>
        <v/>
      </c>
      <c r="M319" s="21" t="str">
        <f>IFERROR(__xludf.DUMMYFUNCTION("IFERROR((GOOGLEFINANCE(C319, ""price"") / INDEX(GOOGLEFINANCE(C319, ""price"", EDATE(TODAY(), -1), TODAY()), 2, 2)) - 1, """")"),"")</f>
        <v/>
      </c>
      <c r="N319" s="21" t="str">
        <f>IFERROR(__xludf.DUMMYFUNCTION("IFERROR((GOOGLEFINANCE(C319, ""price"") / INDEX(GOOGLEFINANCE(C319, ""price"", EDATE(TODAY(), -3), TODAY()), 2, 2)) - 1, """")"),"")</f>
        <v/>
      </c>
      <c r="O319" s="21" t="str">
        <f>IFERROR(__xludf.DUMMYFUNCTION("IFERROR((GOOGLEFINANCE(C319, ""price"") / INDEX(GOOGLEFINANCE(C319, ""price"", EDATE(TODAY(), -6), TODAY()), 2, 2)) - 1, """")"),"")</f>
        <v/>
      </c>
      <c r="P319" s="21" t="str">
        <f>IFERROR(__xludf.DUMMYFUNCTION("IFERROR((GOOGLEFINANCE(C319, ""price"") / INDEX(GOOGLEFINANCE(C319, ""price"", EDATE(TODAY(), -12), TODAY()), 2, 2)) - 1, """")"),"")</f>
        <v/>
      </c>
      <c r="Q319" s="6" t="str">
        <f>IFERROR(__xludf.DUMMYFUNCTION("AVERAGE(QUERY(GOOGLEFINANCE(C319, ""price"", TODAY()-80, TODAY()), ""SELECT Col2 WHERE Col2 IS NOT NULL ORDER BY Col1 DESC LIMIT 50"", 0))"),"#N/A")</f>
        <v>#N/A</v>
      </c>
      <c r="R319" s="24" t="str">
        <f>IFERROR(__xludf.DUMMYFUNCTION("IFERROR(
  LET(
    data, QUERY(GOOGLEFINANCE(C319,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GOOGLEFINANCE(C319, ""price"")) * 100,
    IF(calc=0, G319, calc)
  ), 
G319)"),"#N/A")</f>
        <v>#N/A</v>
      </c>
      <c r="S319" s="8" t="s">
        <v>15</v>
      </c>
      <c r="T319" s="26" t="str">
        <f>IFERROR(__xludf.DUMMYFUNCTION("IFERROR(TRANSPOSE(QUERY(IFERROR(SORT(GOOGLEFINANCE(C319, ""price"", WORKDAY(TODAY(), -40), TODAY()), 1, FALSE)), ""select Col2 where Col2 is not null limit 22 label Col2 ''"", 0)), """")"),"")</f>
        <v/>
      </c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8"/>
      <c r="AO319" s="28"/>
      <c r="AP319" s="29"/>
      <c r="AQ319" s="29" t="str">
        <f t="shared" ref="AQ319:BL319" si="322">T319/T$2</f>
        <v>#N/A</v>
      </c>
      <c r="AR319" s="29" t="str">
        <f t="shared" si="322"/>
        <v>#DIV/0!</v>
      </c>
      <c r="AS319" s="29" t="str">
        <f t="shared" si="322"/>
        <v>#DIV/0!</v>
      </c>
      <c r="AT319" s="29" t="str">
        <f t="shared" si="322"/>
        <v>#DIV/0!</v>
      </c>
      <c r="AU319" s="29" t="str">
        <f t="shared" si="322"/>
        <v>#DIV/0!</v>
      </c>
      <c r="AV319" s="29" t="str">
        <f t="shared" si="322"/>
        <v>#DIV/0!</v>
      </c>
      <c r="AW319" s="29" t="str">
        <f t="shared" si="322"/>
        <v>#DIV/0!</v>
      </c>
      <c r="AX319" s="29" t="str">
        <f t="shared" si="322"/>
        <v>#DIV/0!</v>
      </c>
      <c r="AY319" s="29" t="str">
        <f t="shared" si="322"/>
        <v>#DIV/0!</v>
      </c>
      <c r="AZ319" s="29" t="str">
        <f t="shared" si="322"/>
        <v>#DIV/0!</v>
      </c>
      <c r="BA319" s="29" t="str">
        <f t="shared" si="322"/>
        <v>#DIV/0!</v>
      </c>
      <c r="BB319" s="29" t="str">
        <f t="shared" si="322"/>
        <v>#DIV/0!</v>
      </c>
      <c r="BC319" s="29" t="str">
        <f t="shared" si="322"/>
        <v>#DIV/0!</v>
      </c>
      <c r="BD319" s="29" t="str">
        <f t="shared" si="322"/>
        <v>#DIV/0!</v>
      </c>
      <c r="BE319" s="29" t="str">
        <f t="shared" si="322"/>
        <v>#DIV/0!</v>
      </c>
      <c r="BF319" s="29" t="str">
        <f t="shared" si="322"/>
        <v>#DIV/0!</v>
      </c>
      <c r="BG319" s="29" t="str">
        <f t="shared" si="322"/>
        <v>#DIV/0!</v>
      </c>
      <c r="BH319" s="29" t="str">
        <f t="shared" si="322"/>
        <v>#DIV/0!</v>
      </c>
      <c r="BI319" s="29" t="str">
        <f t="shared" si="322"/>
        <v>#DIV/0!</v>
      </c>
      <c r="BJ319" s="29" t="str">
        <f t="shared" si="322"/>
        <v>#DIV/0!</v>
      </c>
      <c r="BK319" s="29" t="str">
        <f t="shared" si="322"/>
        <v>#DIV/0!</v>
      </c>
      <c r="BL319" s="29" t="str">
        <f t="shared" si="322"/>
        <v>#DIV/0!</v>
      </c>
      <c r="BM319" s="29" t="str">
        <f t="shared" si="3"/>
        <v>#DIV/0!</v>
      </c>
    </row>
    <row r="320">
      <c r="A320" s="16" t="str">
        <f>IFERROR(__xludf.DUMMYFUNCTION("IFERROR(SPARKLINE(SORT(MAP(TRANSPOSE(AQ320:BL320), LAMBDA(val, IF(ISNUMBER(val), PERCENTRANK(AQ320:BL320, val)+0.01, 0))), SEQUENCE(COLUMNS(AQ320:BL320)), FALSE), {""charttype"",""column""; ""color"",""chartreuse""; ""ymin"", 0; ""ymax"", 1.01; ""highcolo"&amp;"r"", ""darkgreen""; ""lowcolor"", ""red""}), """")"),"")</f>
        <v/>
      </c>
      <c r="B320" s="17" t="str">
        <f t="shared" si="4"/>
        <v/>
      </c>
      <c r="C320" s="1" t="s">
        <v>1376</v>
      </c>
      <c r="D320" s="30" t="str">
        <f>IFERROR(__xludf.DUMMYFUNCTION("IFERROR(GOOGLEFINANCE(C320, ""NAME""))"),"NVIDIA Corp")</f>
        <v>NVIDIA Corp</v>
      </c>
      <c r="E320" s="30" t="s">
        <v>871</v>
      </c>
      <c r="F320" s="33" t="str">
        <f>IFERROR(__xludf.DUMMYFUNCTION("( (GOOGLEFINANCE(C320, ""price"") - Q320) / Q320 ) / (R320 / 100)"),"Loading...")</f>
        <v>Loading...</v>
      </c>
      <c r="G320" s="20" t="str">
        <f>IFERROR(__xludf.DUMMYFUNCTION("AVERAGE(ARRAYFORMULA(100 * (QUERY(GOOGLEFINANCE(C320, ""high"", TODAY()-40, TODAY()), ""SELECT Col2 WHERE Col2 IS NOT NULL ORDER BY Col1 DESC LIMIT 20"", 0) / QUERY(GOOGLEFINANCE(C320, ""low"", TODAY()-40, TODAY()), ""SELECT Col2 WHERE Col2 IS NOT NULL OR"&amp;"DER BY Col1 DESC LIMIT 20"", 0) - 1)))"),"#N/A")</f>
        <v>#N/A</v>
      </c>
      <c r="H320" s="35" t="str">
        <f t="shared" si="6"/>
        <v/>
      </c>
      <c r="I320" s="36" t="str">
        <f t="shared" si="7"/>
        <v/>
      </c>
      <c r="J320" s="37" t="str">
        <f>IFERROR(__xludf.DUMMYFUNCTION("IFERROR(
  IF(C320="""",, 
    IFERROR(
      GOOGLEFINANCE(C320, ""price"") * GOOGLEFINANCE(C320, ""volumeavg""), 
      GOOGLEFINANCE(C320, ""price"") * AVERAGE(QUERY(GOOGLEFINANCE(C320, ""volume"", TODAY()-40, TODAY()), ""SELECT Col2 WHERE Col2 IS NOT "&amp;"NULL ORDER BY Col1 DESC LIMIT 20"", 0))
    )
  ), 
"""")"),"")</f>
        <v/>
      </c>
      <c r="K320" s="21" t="str">
        <f>IFERROR(__xludf.DUMMYFUNCTION("IFERROR(GOOGLEFINANCE(C320, ""changepct"") / 100, """")"),"")</f>
        <v/>
      </c>
      <c r="L320" s="21" t="str">
        <f>IFERROR(__xludf.DUMMYFUNCTION("IFERROR((GOOGLEFINANCE(C320, ""price"") / INDEX(GOOGLEFINANCE(C320, ""price"", TODAY()-7, TODAY()), 2, 2)) - 1, """")"),"")</f>
        <v/>
      </c>
      <c r="M320" s="21" t="str">
        <f>IFERROR(__xludf.DUMMYFUNCTION("IFERROR((GOOGLEFINANCE(C320, ""price"") / INDEX(GOOGLEFINANCE(C320, ""price"", EDATE(TODAY(), -1), TODAY()), 2, 2)) - 1, """")"),"")</f>
        <v/>
      </c>
      <c r="N320" s="21" t="str">
        <f>IFERROR(__xludf.DUMMYFUNCTION("IFERROR((GOOGLEFINANCE(C320, ""price"") / INDEX(GOOGLEFINANCE(C320, ""price"", EDATE(TODAY(), -3), TODAY()), 2, 2)) - 1, """")"),"")</f>
        <v/>
      </c>
      <c r="O320" s="21" t="str">
        <f>IFERROR(__xludf.DUMMYFUNCTION("IFERROR((GOOGLEFINANCE(C320, ""price"") / INDEX(GOOGLEFINANCE(C320, ""price"", EDATE(TODAY(), -6), TODAY()), 2, 2)) - 1, """")"),"")</f>
        <v/>
      </c>
      <c r="P320" s="21" t="str">
        <f>IFERROR(__xludf.DUMMYFUNCTION("IFERROR((GOOGLEFINANCE(C320, ""price"") / INDEX(GOOGLEFINANCE(C320, ""price"", EDATE(TODAY(), -12), TODAY()), 2, 2)) - 1, """")"),"")</f>
        <v/>
      </c>
      <c r="Q320" s="6" t="str">
        <f>IFERROR(__xludf.DUMMYFUNCTION("AVERAGE(QUERY(GOOGLEFINANCE(C320, ""price"", TODAY()-80, TODAY()), ""SELECT Col2 WHERE Col2 IS NOT NULL ORDER BY Col1 DESC LIMIT 50"", 0))"),"#N/A")</f>
        <v>#N/A</v>
      </c>
      <c r="R320" s="24" t="str">
        <f>IFERROR(__xludf.DUMMYFUNCTION("IFERROR(
  LET(
    data, QUERY(GOOGLEFINANCE(C320,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GOOGLEFINANCE(C320, ""price"")) * 100,
    IF(calc=0, G320, calc)
  ), 
G320)"),"#N/A")</f>
        <v>#N/A</v>
      </c>
      <c r="S320" s="8" t="s">
        <v>15</v>
      </c>
      <c r="T320" s="26" t="str">
        <f>IFERROR(__xludf.DUMMYFUNCTION("IFERROR(TRANSPOSE(QUERY(IFERROR(SORT(GOOGLEFINANCE(C320, ""price"", WORKDAY(TODAY(), -40), TODAY()), 1, FALSE)), ""select Col2 where Col2 is not null limit 22 label Col2 ''"", 0)), """")"),"")</f>
        <v/>
      </c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8"/>
      <c r="AO320" s="28"/>
      <c r="AP320" s="29"/>
      <c r="AQ320" s="29" t="str">
        <f t="shared" ref="AQ320:BL320" si="323">T320/T$2</f>
        <v>#N/A</v>
      </c>
      <c r="AR320" s="29" t="str">
        <f t="shared" si="323"/>
        <v>#DIV/0!</v>
      </c>
      <c r="AS320" s="29" t="str">
        <f t="shared" si="323"/>
        <v>#DIV/0!</v>
      </c>
      <c r="AT320" s="29" t="str">
        <f t="shared" si="323"/>
        <v>#DIV/0!</v>
      </c>
      <c r="AU320" s="29" t="str">
        <f t="shared" si="323"/>
        <v>#DIV/0!</v>
      </c>
      <c r="AV320" s="29" t="str">
        <f t="shared" si="323"/>
        <v>#DIV/0!</v>
      </c>
      <c r="AW320" s="29" t="str">
        <f t="shared" si="323"/>
        <v>#DIV/0!</v>
      </c>
      <c r="AX320" s="29" t="str">
        <f t="shared" si="323"/>
        <v>#DIV/0!</v>
      </c>
      <c r="AY320" s="29" t="str">
        <f t="shared" si="323"/>
        <v>#DIV/0!</v>
      </c>
      <c r="AZ320" s="29" t="str">
        <f t="shared" si="323"/>
        <v>#DIV/0!</v>
      </c>
      <c r="BA320" s="29" t="str">
        <f t="shared" si="323"/>
        <v>#DIV/0!</v>
      </c>
      <c r="BB320" s="29" t="str">
        <f t="shared" si="323"/>
        <v>#DIV/0!</v>
      </c>
      <c r="BC320" s="29" t="str">
        <f t="shared" si="323"/>
        <v>#DIV/0!</v>
      </c>
      <c r="BD320" s="29" t="str">
        <f t="shared" si="323"/>
        <v>#DIV/0!</v>
      </c>
      <c r="BE320" s="29" t="str">
        <f t="shared" si="323"/>
        <v>#DIV/0!</v>
      </c>
      <c r="BF320" s="29" t="str">
        <f t="shared" si="323"/>
        <v>#DIV/0!</v>
      </c>
      <c r="BG320" s="29" t="str">
        <f t="shared" si="323"/>
        <v>#DIV/0!</v>
      </c>
      <c r="BH320" s="29" t="str">
        <f t="shared" si="323"/>
        <v>#DIV/0!</v>
      </c>
      <c r="BI320" s="29" t="str">
        <f t="shared" si="323"/>
        <v>#DIV/0!</v>
      </c>
      <c r="BJ320" s="29" t="str">
        <f t="shared" si="323"/>
        <v>#DIV/0!</v>
      </c>
      <c r="BK320" s="29" t="str">
        <f t="shared" si="323"/>
        <v>#DIV/0!</v>
      </c>
      <c r="BL320" s="29" t="str">
        <f t="shared" si="323"/>
        <v>#DIV/0!</v>
      </c>
      <c r="BM320" s="29" t="str">
        <f t="shared" si="3"/>
        <v>#DIV/0!</v>
      </c>
    </row>
    <row r="321">
      <c r="A321" s="16" t="str">
        <f>IFERROR(__xludf.DUMMYFUNCTION("IFERROR(SPARKLINE(SORT(MAP(TRANSPOSE(AQ321:BL321), LAMBDA(val, IF(ISNUMBER(val), PERCENTRANK(AQ321:BL321, val)+0.01, 0))), SEQUENCE(COLUMNS(AQ321:BL321)), FALSE), {""charttype"",""column""; ""color"",""chartreuse""; ""ymin"", 0; ""ymax"", 1.01; ""highcolo"&amp;"r"", ""darkgreen""; ""lowcolor"", ""red""}), """")"),"")</f>
        <v/>
      </c>
      <c r="B321" s="17" t="str">
        <f t="shared" si="4"/>
        <v/>
      </c>
      <c r="C321" s="1" t="s">
        <v>1380</v>
      </c>
      <c r="D321" s="30" t="str">
        <f>IFERROR(__xludf.DUMMYFUNCTION("IFERROR(GOOGLEFINANCE(C321, ""NAME""))"),"Canadian Solar Inc")</f>
        <v>Canadian Solar Inc</v>
      </c>
      <c r="E321" s="30" t="s">
        <v>1045</v>
      </c>
      <c r="F321" s="33" t="str">
        <f>IFERROR(__xludf.DUMMYFUNCTION("( (GOOGLEFINANCE(C321, ""price"") - Q321) / Q321 ) / (R321 / 100)"),"Loading...")</f>
        <v>Loading...</v>
      </c>
      <c r="G321" s="20" t="str">
        <f>IFERROR(__xludf.DUMMYFUNCTION("AVERAGE(ARRAYFORMULA(100 * (QUERY(GOOGLEFINANCE(C321, ""high"", TODAY()-40, TODAY()), ""SELECT Col2 WHERE Col2 IS NOT NULL ORDER BY Col1 DESC LIMIT 20"", 0) / QUERY(GOOGLEFINANCE(C321, ""low"", TODAY()-40, TODAY()), ""SELECT Col2 WHERE Col2 IS NOT NULL OR"&amp;"DER BY Col1 DESC LIMIT 20"", 0) - 1)))"),"#N/A")</f>
        <v>#N/A</v>
      </c>
      <c r="H321" s="35" t="str">
        <f t="shared" si="6"/>
        <v/>
      </c>
      <c r="I321" s="36" t="str">
        <f t="shared" si="7"/>
        <v/>
      </c>
      <c r="J321" s="37" t="str">
        <f>IFERROR(__xludf.DUMMYFUNCTION("IFERROR(
  IF(C321="""",, 
    IFERROR(
      GOOGLEFINANCE(C321, ""price"") * GOOGLEFINANCE(C321, ""volumeavg""), 
      GOOGLEFINANCE(C321, ""price"") * AVERAGE(QUERY(GOOGLEFINANCE(C321, ""volume"", TODAY()-40, TODAY()), ""SELECT Col2 WHERE Col2 IS NOT "&amp;"NULL ORDER BY Col1 DESC LIMIT 20"", 0))
    )
  ), 
"""")"),"")</f>
        <v/>
      </c>
      <c r="K321" s="21" t="str">
        <f>IFERROR(__xludf.DUMMYFUNCTION("IFERROR(GOOGLEFINANCE(C321, ""changepct"") / 100, """")"),"")</f>
        <v/>
      </c>
      <c r="L321" s="21" t="str">
        <f>IFERROR(__xludf.DUMMYFUNCTION("IFERROR((GOOGLEFINANCE(C321, ""price"") / INDEX(GOOGLEFINANCE(C321, ""price"", TODAY()-7, TODAY()), 2, 2)) - 1, """")"),"")</f>
        <v/>
      </c>
      <c r="M321" s="21" t="str">
        <f>IFERROR(__xludf.DUMMYFUNCTION("IFERROR((GOOGLEFINANCE(C321, ""price"") / INDEX(GOOGLEFINANCE(C321, ""price"", EDATE(TODAY(), -1), TODAY()), 2, 2)) - 1, """")"),"")</f>
        <v/>
      </c>
      <c r="N321" s="21" t="str">
        <f>IFERROR(__xludf.DUMMYFUNCTION("IFERROR((GOOGLEFINANCE(C321, ""price"") / INDEX(GOOGLEFINANCE(C321, ""price"", EDATE(TODAY(), -3), TODAY()), 2, 2)) - 1, """")"),"")</f>
        <v/>
      </c>
      <c r="O321" s="21" t="str">
        <f>IFERROR(__xludf.DUMMYFUNCTION("IFERROR((GOOGLEFINANCE(C321, ""price"") / INDEX(GOOGLEFINANCE(C321, ""price"", EDATE(TODAY(), -6), TODAY()), 2, 2)) - 1, """")"),"")</f>
        <v/>
      </c>
      <c r="P321" s="21" t="str">
        <f>IFERROR(__xludf.DUMMYFUNCTION("IFERROR((GOOGLEFINANCE(C321, ""price"") / INDEX(GOOGLEFINANCE(C321, ""price"", EDATE(TODAY(), -12), TODAY()), 2, 2)) - 1, """")"),"")</f>
        <v/>
      </c>
      <c r="Q321" s="6" t="str">
        <f>IFERROR(__xludf.DUMMYFUNCTION("AVERAGE(QUERY(GOOGLEFINANCE(C321, ""price"", TODAY()-80, TODAY()), ""SELECT Col2 WHERE Col2 IS NOT NULL ORDER BY Col1 DESC LIMIT 50"", 0))"),"#N/A")</f>
        <v>#N/A</v>
      </c>
      <c r="R321" s="24" t="str">
        <f>IFERROR(__xludf.DUMMYFUNCTION("IFERROR(
  LET(
    data, QUERY(GOOGLEFINANCE(C321,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GOOGLEFINANCE(C321, ""price"")) * 100,
    IF(calc=0, G321, calc)
  ), 
G321)"),"#N/A")</f>
        <v>#N/A</v>
      </c>
      <c r="S321" s="8" t="s">
        <v>15</v>
      </c>
      <c r="T321" s="26" t="str">
        <f>IFERROR(__xludf.DUMMYFUNCTION("IFERROR(TRANSPOSE(QUERY(IFERROR(SORT(GOOGLEFINANCE(C321, ""price"", WORKDAY(TODAY(), -40), TODAY()), 1, FALSE)), ""select Col2 where Col2 is not null limit 22 label Col2 ''"", 0)), """")"),"")</f>
        <v/>
      </c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8"/>
      <c r="AO321" s="28"/>
      <c r="AP321" s="29"/>
      <c r="AQ321" s="29" t="str">
        <f t="shared" ref="AQ321:BL321" si="324">T321/T$2</f>
        <v>#N/A</v>
      </c>
      <c r="AR321" s="29" t="str">
        <f t="shared" si="324"/>
        <v>#DIV/0!</v>
      </c>
      <c r="AS321" s="29" t="str">
        <f t="shared" si="324"/>
        <v>#DIV/0!</v>
      </c>
      <c r="AT321" s="29" t="str">
        <f t="shared" si="324"/>
        <v>#DIV/0!</v>
      </c>
      <c r="AU321" s="29" t="str">
        <f t="shared" si="324"/>
        <v>#DIV/0!</v>
      </c>
      <c r="AV321" s="29" t="str">
        <f t="shared" si="324"/>
        <v>#DIV/0!</v>
      </c>
      <c r="AW321" s="29" t="str">
        <f t="shared" si="324"/>
        <v>#DIV/0!</v>
      </c>
      <c r="AX321" s="29" t="str">
        <f t="shared" si="324"/>
        <v>#DIV/0!</v>
      </c>
      <c r="AY321" s="29" t="str">
        <f t="shared" si="324"/>
        <v>#DIV/0!</v>
      </c>
      <c r="AZ321" s="29" t="str">
        <f t="shared" si="324"/>
        <v>#DIV/0!</v>
      </c>
      <c r="BA321" s="29" t="str">
        <f t="shared" si="324"/>
        <v>#DIV/0!</v>
      </c>
      <c r="BB321" s="29" t="str">
        <f t="shared" si="324"/>
        <v>#DIV/0!</v>
      </c>
      <c r="BC321" s="29" t="str">
        <f t="shared" si="324"/>
        <v>#DIV/0!</v>
      </c>
      <c r="BD321" s="29" t="str">
        <f t="shared" si="324"/>
        <v>#DIV/0!</v>
      </c>
      <c r="BE321" s="29" t="str">
        <f t="shared" si="324"/>
        <v>#DIV/0!</v>
      </c>
      <c r="BF321" s="29" t="str">
        <f t="shared" si="324"/>
        <v>#DIV/0!</v>
      </c>
      <c r="BG321" s="29" t="str">
        <f t="shared" si="324"/>
        <v>#DIV/0!</v>
      </c>
      <c r="BH321" s="29" t="str">
        <f t="shared" si="324"/>
        <v>#DIV/0!</v>
      </c>
      <c r="BI321" s="29" t="str">
        <f t="shared" si="324"/>
        <v>#DIV/0!</v>
      </c>
      <c r="BJ321" s="29" t="str">
        <f t="shared" si="324"/>
        <v>#DIV/0!</v>
      </c>
      <c r="BK321" s="29" t="str">
        <f t="shared" si="324"/>
        <v>#DIV/0!</v>
      </c>
      <c r="BL321" s="29" t="str">
        <f t="shared" si="324"/>
        <v>#DIV/0!</v>
      </c>
      <c r="BM321" s="29" t="str">
        <f t="shared" si="3"/>
        <v>#DIV/0!</v>
      </c>
    </row>
    <row r="322">
      <c r="A322" s="16" t="str">
        <f>IFERROR(__xludf.DUMMYFUNCTION("IFERROR(SPARKLINE(SORT(MAP(TRANSPOSE(AQ322:BL322), LAMBDA(val, IF(ISNUMBER(val), PERCENTRANK(AQ322:BL322, val)+0.01, 0))), SEQUENCE(COLUMNS(AQ322:BL322)), FALSE), {""charttype"",""column""; ""color"",""chartreuse""; ""ymin"", 0; ""ymax"", 1.01; ""highcolo"&amp;"r"", ""darkgreen""; ""lowcolor"", ""red""}), """")"),"")</f>
        <v/>
      </c>
      <c r="B322" s="17" t="str">
        <f t="shared" si="4"/>
        <v/>
      </c>
      <c r="C322" s="1" t="s">
        <v>1384</v>
      </c>
      <c r="D322" s="30" t="str">
        <f>IFERROR(__xludf.DUMMYFUNCTION("IFERROR(GOOGLEFINANCE(C322, ""NAME""))"),"Silicon Laboratories Inc")</f>
        <v>Silicon Laboratories Inc</v>
      </c>
      <c r="E322" s="30" t="s">
        <v>871</v>
      </c>
      <c r="F322" s="33" t="str">
        <f>IFERROR(__xludf.DUMMYFUNCTION("( (GOOGLEFINANCE(C322, ""price"") - Q322) / Q322 ) / (R322 / 100)"),"Loading...")</f>
        <v>Loading...</v>
      </c>
      <c r="G322" s="20" t="str">
        <f>IFERROR(__xludf.DUMMYFUNCTION("AVERAGE(ARRAYFORMULA(100 * (QUERY(GOOGLEFINANCE(C322, ""high"", TODAY()-40, TODAY()), ""SELECT Col2 WHERE Col2 IS NOT NULL ORDER BY Col1 DESC LIMIT 20"", 0) / QUERY(GOOGLEFINANCE(C322, ""low"", TODAY()-40, TODAY()), ""SELECT Col2 WHERE Col2 IS NOT NULL OR"&amp;"DER BY Col1 DESC LIMIT 20"", 0) - 1)))"),"#N/A")</f>
        <v>#N/A</v>
      </c>
      <c r="H322" s="35" t="str">
        <f t="shared" si="6"/>
        <v/>
      </c>
      <c r="I322" s="36" t="str">
        <f t="shared" si="7"/>
        <v/>
      </c>
      <c r="J322" s="37" t="str">
        <f>IFERROR(__xludf.DUMMYFUNCTION("IFERROR(
  IF(C322="""",, 
    IFERROR(
      GOOGLEFINANCE(C322, ""price"") * GOOGLEFINANCE(C322, ""volumeavg""), 
      GOOGLEFINANCE(C322, ""price"") * AVERAGE(QUERY(GOOGLEFINANCE(C322, ""volume"", TODAY()-40, TODAY()), ""SELECT Col2 WHERE Col2 IS NOT "&amp;"NULL ORDER BY Col1 DESC LIMIT 20"", 0))
    )
  ), 
"""")"),"")</f>
        <v/>
      </c>
      <c r="K322" s="21" t="str">
        <f>IFERROR(__xludf.DUMMYFUNCTION("IFERROR(GOOGLEFINANCE(C322, ""changepct"") / 100, """")"),"")</f>
        <v/>
      </c>
      <c r="L322" s="21" t="str">
        <f>IFERROR(__xludf.DUMMYFUNCTION("IFERROR((GOOGLEFINANCE(C322, ""price"") / INDEX(GOOGLEFINANCE(C322, ""price"", TODAY()-7, TODAY()), 2, 2)) - 1, """")"),"")</f>
        <v/>
      </c>
      <c r="M322" s="21" t="str">
        <f>IFERROR(__xludf.DUMMYFUNCTION("IFERROR((GOOGLEFINANCE(C322, ""price"") / INDEX(GOOGLEFINANCE(C322, ""price"", EDATE(TODAY(), -1), TODAY()), 2, 2)) - 1, """")"),"")</f>
        <v/>
      </c>
      <c r="N322" s="21" t="str">
        <f>IFERROR(__xludf.DUMMYFUNCTION("IFERROR((GOOGLEFINANCE(C322, ""price"") / INDEX(GOOGLEFINANCE(C322, ""price"", EDATE(TODAY(), -3), TODAY()), 2, 2)) - 1, """")"),"")</f>
        <v/>
      </c>
      <c r="O322" s="21" t="str">
        <f>IFERROR(__xludf.DUMMYFUNCTION("IFERROR((GOOGLEFINANCE(C322, ""price"") / INDEX(GOOGLEFINANCE(C322, ""price"", EDATE(TODAY(), -6), TODAY()), 2, 2)) - 1, """")"),"")</f>
        <v/>
      </c>
      <c r="P322" s="21" t="str">
        <f>IFERROR(__xludf.DUMMYFUNCTION("IFERROR((GOOGLEFINANCE(C322, ""price"") / INDEX(GOOGLEFINANCE(C322, ""price"", EDATE(TODAY(), -12), TODAY()), 2, 2)) - 1, """")"),"")</f>
        <v/>
      </c>
      <c r="Q322" s="6" t="str">
        <f>IFERROR(__xludf.DUMMYFUNCTION("AVERAGE(QUERY(GOOGLEFINANCE(C322, ""price"", TODAY()-80, TODAY()), ""SELECT Col2 WHERE Col2 IS NOT NULL ORDER BY Col1 DESC LIMIT 50"", 0))"),"#N/A")</f>
        <v>#N/A</v>
      </c>
      <c r="R322" s="24" t="str">
        <f>IFERROR(__xludf.DUMMYFUNCTION("IFERROR(
  LET(
    data, QUERY(GOOGLEFINANCE(C322,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GOOGLEFINANCE(C322, ""price"")) * 100,
    IF(calc=0, G322, calc)
  ), 
G322)"),"#N/A")</f>
        <v>#N/A</v>
      </c>
      <c r="S322" s="8" t="s">
        <v>15</v>
      </c>
      <c r="T322" s="26" t="str">
        <f>IFERROR(__xludf.DUMMYFUNCTION("IFERROR(TRANSPOSE(QUERY(IFERROR(SORT(GOOGLEFINANCE(C322, ""price"", WORKDAY(TODAY(), -40), TODAY()), 1, FALSE)), ""select Col2 where Col2 is not null limit 22 label Col2 ''"", 0)), """")"),"")</f>
        <v/>
      </c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8"/>
      <c r="AO322" s="28"/>
      <c r="AP322" s="29"/>
      <c r="AQ322" s="29" t="str">
        <f t="shared" ref="AQ322:BL322" si="325">T322/T$2</f>
        <v>#N/A</v>
      </c>
      <c r="AR322" s="29" t="str">
        <f t="shared" si="325"/>
        <v>#DIV/0!</v>
      </c>
      <c r="AS322" s="29" t="str">
        <f t="shared" si="325"/>
        <v>#DIV/0!</v>
      </c>
      <c r="AT322" s="29" t="str">
        <f t="shared" si="325"/>
        <v>#DIV/0!</v>
      </c>
      <c r="AU322" s="29" t="str">
        <f t="shared" si="325"/>
        <v>#DIV/0!</v>
      </c>
      <c r="AV322" s="29" t="str">
        <f t="shared" si="325"/>
        <v>#DIV/0!</v>
      </c>
      <c r="AW322" s="29" t="str">
        <f t="shared" si="325"/>
        <v>#DIV/0!</v>
      </c>
      <c r="AX322" s="29" t="str">
        <f t="shared" si="325"/>
        <v>#DIV/0!</v>
      </c>
      <c r="AY322" s="29" t="str">
        <f t="shared" si="325"/>
        <v>#DIV/0!</v>
      </c>
      <c r="AZ322" s="29" t="str">
        <f t="shared" si="325"/>
        <v>#DIV/0!</v>
      </c>
      <c r="BA322" s="29" t="str">
        <f t="shared" si="325"/>
        <v>#DIV/0!</v>
      </c>
      <c r="BB322" s="29" t="str">
        <f t="shared" si="325"/>
        <v>#DIV/0!</v>
      </c>
      <c r="BC322" s="29" t="str">
        <f t="shared" si="325"/>
        <v>#DIV/0!</v>
      </c>
      <c r="BD322" s="29" t="str">
        <f t="shared" si="325"/>
        <v>#DIV/0!</v>
      </c>
      <c r="BE322" s="29" t="str">
        <f t="shared" si="325"/>
        <v>#DIV/0!</v>
      </c>
      <c r="BF322" s="29" t="str">
        <f t="shared" si="325"/>
        <v>#DIV/0!</v>
      </c>
      <c r="BG322" s="29" t="str">
        <f t="shared" si="325"/>
        <v>#DIV/0!</v>
      </c>
      <c r="BH322" s="29" t="str">
        <f t="shared" si="325"/>
        <v>#DIV/0!</v>
      </c>
      <c r="BI322" s="29" t="str">
        <f t="shared" si="325"/>
        <v>#DIV/0!</v>
      </c>
      <c r="BJ322" s="29" t="str">
        <f t="shared" si="325"/>
        <v>#DIV/0!</v>
      </c>
      <c r="BK322" s="29" t="str">
        <f t="shared" si="325"/>
        <v>#DIV/0!</v>
      </c>
      <c r="BL322" s="29" t="str">
        <f t="shared" si="325"/>
        <v>#DIV/0!</v>
      </c>
      <c r="BM322" s="29" t="str">
        <f t="shared" si="3"/>
        <v>#DIV/0!</v>
      </c>
    </row>
    <row r="323">
      <c r="A323" s="16" t="str">
        <f>IFERROR(__xludf.DUMMYFUNCTION("IFERROR(SPARKLINE(SORT(MAP(TRANSPOSE(AQ323:BL323), LAMBDA(val, IF(ISNUMBER(val), PERCENTRANK(AQ323:BL323, val)+0.01, 0))), SEQUENCE(COLUMNS(AQ323:BL323)), FALSE), {""charttype"",""column""; ""color"",""chartreuse""; ""ymin"", 0; ""ymax"", 1.01; ""highcolo"&amp;"r"", ""darkgreen""; ""lowcolor"", ""red""}), """")"),"")</f>
        <v/>
      </c>
      <c r="B323" s="17" t="str">
        <f t="shared" si="4"/>
        <v/>
      </c>
      <c r="C323" s="1" t="s">
        <v>1388</v>
      </c>
      <c r="D323" s="30" t="str">
        <f>IFERROR(__xludf.DUMMYFUNCTION("IFERROR(GOOGLEFINANCE(C323, ""NAME""))"),"Twilio Inc")</f>
        <v>Twilio Inc</v>
      </c>
      <c r="E323" s="30" t="s">
        <v>58</v>
      </c>
      <c r="F323" s="33" t="str">
        <f>IFERROR(__xludf.DUMMYFUNCTION("( (GOOGLEFINANCE(C323, ""price"") - Q323) / Q323 ) / (R323 / 100)"),"Loading...")</f>
        <v>Loading...</v>
      </c>
      <c r="G323" s="20" t="str">
        <f>IFERROR(__xludf.DUMMYFUNCTION("AVERAGE(ARRAYFORMULA(100 * (QUERY(GOOGLEFINANCE(C323, ""high"", TODAY()-40, TODAY()), ""SELECT Col2 WHERE Col2 IS NOT NULL ORDER BY Col1 DESC LIMIT 20"", 0) / QUERY(GOOGLEFINANCE(C323, ""low"", TODAY()-40, TODAY()), ""SELECT Col2 WHERE Col2 IS NOT NULL OR"&amp;"DER BY Col1 DESC LIMIT 20"", 0) - 1)))"),"#N/A")</f>
        <v>#N/A</v>
      </c>
      <c r="H323" s="35" t="str">
        <f t="shared" si="6"/>
        <v/>
      </c>
      <c r="I323" s="36" t="str">
        <f t="shared" si="7"/>
        <v/>
      </c>
      <c r="J323" s="37" t="str">
        <f>IFERROR(__xludf.DUMMYFUNCTION("IFERROR(
  IF(C323="""",, 
    IFERROR(
      GOOGLEFINANCE(C323, ""price"") * GOOGLEFINANCE(C323, ""volumeavg""), 
      GOOGLEFINANCE(C323, ""price"") * AVERAGE(QUERY(GOOGLEFINANCE(C323, ""volume"", TODAY()-40, TODAY()), ""SELECT Col2 WHERE Col2 IS NOT "&amp;"NULL ORDER BY Col1 DESC LIMIT 20"", 0))
    )
  ), 
"""")"),"")</f>
        <v/>
      </c>
      <c r="K323" s="21" t="str">
        <f>IFERROR(__xludf.DUMMYFUNCTION("IFERROR(GOOGLEFINANCE(C323, ""changepct"") / 100, """")"),"")</f>
        <v/>
      </c>
      <c r="L323" s="21" t="str">
        <f>IFERROR(__xludf.DUMMYFUNCTION("IFERROR((GOOGLEFINANCE(C323, ""price"") / INDEX(GOOGLEFINANCE(C323, ""price"", TODAY()-7, TODAY()), 2, 2)) - 1, """")"),"")</f>
        <v/>
      </c>
      <c r="M323" s="21" t="str">
        <f>IFERROR(__xludf.DUMMYFUNCTION("IFERROR((GOOGLEFINANCE(C323, ""price"") / INDEX(GOOGLEFINANCE(C323, ""price"", EDATE(TODAY(), -1), TODAY()), 2, 2)) - 1, """")"),"")</f>
        <v/>
      </c>
      <c r="N323" s="21" t="str">
        <f>IFERROR(__xludf.DUMMYFUNCTION("IFERROR((GOOGLEFINANCE(C323, ""price"") / INDEX(GOOGLEFINANCE(C323, ""price"", EDATE(TODAY(), -3), TODAY()), 2, 2)) - 1, """")"),"")</f>
        <v/>
      </c>
      <c r="O323" s="21" t="str">
        <f>IFERROR(__xludf.DUMMYFUNCTION("IFERROR((GOOGLEFINANCE(C323, ""price"") / INDEX(GOOGLEFINANCE(C323, ""price"", EDATE(TODAY(), -6), TODAY()), 2, 2)) - 1, """")"),"")</f>
        <v/>
      </c>
      <c r="P323" s="21" t="str">
        <f>IFERROR(__xludf.DUMMYFUNCTION("IFERROR((GOOGLEFINANCE(C323, ""price"") / INDEX(GOOGLEFINANCE(C323, ""price"", EDATE(TODAY(), -12), TODAY()), 2, 2)) - 1, """")"),"")</f>
        <v/>
      </c>
      <c r="Q323" s="6" t="str">
        <f>IFERROR(__xludf.DUMMYFUNCTION("AVERAGE(QUERY(GOOGLEFINANCE(C323, ""price"", TODAY()-80, TODAY()), ""SELECT Col2 WHERE Col2 IS NOT NULL ORDER BY Col1 DESC LIMIT 50"", 0))"),"#N/A")</f>
        <v>#N/A</v>
      </c>
      <c r="R323" s="24" t="str">
        <f>IFERROR(__xludf.DUMMYFUNCTION("IFERROR(
  LET(
    data, QUERY(GOOGLEFINANCE(C323,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GOOGLEFINANCE(C323, ""price"")) * 100,
    IF(calc=0, G323, calc)
  ), 
G323)"),"#N/A")</f>
        <v>#N/A</v>
      </c>
      <c r="S323" s="8" t="s">
        <v>15</v>
      </c>
      <c r="T323" s="26" t="str">
        <f>IFERROR(__xludf.DUMMYFUNCTION("IFERROR(TRANSPOSE(QUERY(IFERROR(SORT(GOOGLEFINANCE(C323, ""price"", WORKDAY(TODAY(), -40), TODAY()), 1, FALSE)), ""select Col2 where Col2 is not null limit 22 label Col2 ''"", 0)), """")"),"")</f>
        <v/>
      </c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8"/>
      <c r="AO323" s="28"/>
      <c r="AP323" s="29"/>
      <c r="AQ323" s="29" t="str">
        <f t="shared" ref="AQ323:BL323" si="326">T323/T$2</f>
        <v>#N/A</v>
      </c>
      <c r="AR323" s="29" t="str">
        <f t="shared" si="326"/>
        <v>#DIV/0!</v>
      </c>
      <c r="AS323" s="29" t="str">
        <f t="shared" si="326"/>
        <v>#DIV/0!</v>
      </c>
      <c r="AT323" s="29" t="str">
        <f t="shared" si="326"/>
        <v>#DIV/0!</v>
      </c>
      <c r="AU323" s="29" t="str">
        <f t="shared" si="326"/>
        <v>#DIV/0!</v>
      </c>
      <c r="AV323" s="29" t="str">
        <f t="shared" si="326"/>
        <v>#DIV/0!</v>
      </c>
      <c r="AW323" s="29" t="str">
        <f t="shared" si="326"/>
        <v>#DIV/0!</v>
      </c>
      <c r="AX323" s="29" t="str">
        <f t="shared" si="326"/>
        <v>#DIV/0!</v>
      </c>
      <c r="AY323" s="29" t="str">
        <f t="shared" si="326"/>
        <v>#DIV/0!</v>
      </c>
      <c r="AZ323" s="29" t="str">
        <f t="shared" si="326"/>
        <v>#DIV/0!</v>
      </c>
      <c r="BA323" s="29" t="str">
        <f t="shared" si="326"/>
        <v>#DIV/0!</v>
      </c>
      <c r="BB323" s="29" t="str">
        <f t="shared" si="326"/>
        <v>#DIV/0!</v>
      </c>
      <c r="BC323" s="29" t="str">
        <f t="shared" si="326"/>
        <v>#DIV/0!</v>
      </c>
      <c r="BD323" s="29" t="str">
        <f t="shared" si="326"/>
        <v>#DIV/0!</v>
      </c>
      <c r="BE323" s="29" t="str">
        <f t="shared" si="326"/>
        <v>#DIV/0!</v>
      </c>
      <c r="BF323" s="29" t="str">
        <f t="shared" si="326"/>
        <v>#DIV/0!</v>
      </c>
      <c r="BG323" s="29" t="str">
        <f t="shared" si="326"/>
        <v>#DIV/0!</v>
      </c>
      <c r="BH323" s="29" t="str">
        <f t="shared" si="326"/>
        <v>#DIV/0!</v>
      </c>
      <c r="BI323" s="29" t="str">
        <f t="shared" si="326"/>
        <v>#DIV/0!</v>
      </c>
      <c r="BJ323" s="29" t="str">
        <f t="shared" si="326"/>
        <v>#DIV/0!</v>
      </c>
      <c r="BK323" s="29" t="str">
        <f t="shared" si="326"/>
        <v>#DIV/0!</v>
      </c>
      <c r="BL323" s="29" t="str">
        <f t="shared" si="326"/>
        <v>#DIV/0!</v>
      </c>
      <c r="BM323" s="29" t="str">
        <f t="shared" si="3"/>
        <v>#DIV/0!</v>
      </c>
    </row>
    <row r="324">
      <c r="A324" s="16" t="str">
        <f>IFERROR(__xludf.DUMMYFUNCTION("IFERROR(SPARKLINE(SORT(MAP(TRANSPOSE(AQ324:BL324), LAMBDA(val, IF(ISNUMBER(val), PERCENTRANK(AQ324:BL324, val)+0.01, 0))), SEQUENCE(COLUMNS(AQ324:BL324)), FALSE), {""charttype"",""column""; ""color"",""chartreuse""; ""ymin"", 0; ""ymax"", 1.01; ""highcolo"&amp;"r"", ""darkgreen""; ""lowcolor"", ""red""}), """")"),"")</f>
        <v/>
      </c>
      <c r="B324" s="17" t="str">
        <f t="shared" si="4"/>
        <v/>
      </c>
      <c r="C324" s="1" t="s">
        <v>1392</v>
      </c>
      <c r="D324" s="30" t="str">
        <f>IFERROR(__xludf.DUMMYFUNCTION("IFERROR(GOOGLEFINANCE(C324, ""NAME""))"),"Alpha and Omega Semiconductor Ltd")</f>
        <v>Alpha and Omega Semiconductor Ltd</v>
      </c>
      <c r="E324" s="30" t="s">
        <v>871</v>
      </c>
      <c r="F324" s="33" t="str">
        <f>IFERROR(__xludf.DUMMYFUNCTION("( (GOOGLEFINANCE(C324, ""price"") - Q324) / Q324 ) / (R324 / 100)"),"Loading...")</f>
        <v>Loading...</v>
      </c>
      <c r="G324" s="20" t="str">
        <f>IFERROR(__xludf.DUMMYFUNCTION("AVERAGE(ARRAYFORMULA(100 * (QUERY(GOOGLEFINANCE(C324, ""high"", TODAY()-40, TODAY()), ""SELECT Col2 WHERE Col2 IS NOT NULL ORDER BY Col1 DESC LIMIT 20"", 0) / QUERY(GOOGLEFINANCE(C324, ""low"", TODAY()-40, TODAY()), ""SELECT Col2 WHERE Col2 IS NOT NULL OR"&amp;"DER BY Col1 DESC LIMIT 20"", 0) - 1)))"),"#N/A")</f>
        <v>#N/A</v>
      </c>
      <c r="H324" s="35" t="str">
        <f t="shared" si="6"/>
        <v/>
      </c>
      <c r="I324" s="36" t="str">
        <f t="shared" si="7"/>
        <v/>
      </c>
      <c r="J324" s="37" t="str">
        <f>IFERROR(__xludf.DUMMYFUNCTION("IFERROR(
  IF(C324="""",, 
    IFERROR(
      GOOGLEFINANCE(C324, ""price"") * GOOGLEFINANCE(C324, ""volumeavg""), 
      GOOGLEFINANCE(C324, ""price"") * AVERAGE(QUERY(GOOGLEFINANCE(C324, ""volume"", TODAY()-40, TODAY()), ""SELECT Col2 WHERE Col2 IS NOT "&amp;"NULL ORDER BY Col1 DESC LIMIT 20"", 0))
    )
  ), 
"""")"),"")</f>
        <v/>
      </c>
      <c r="K324" s="21" t="str">
        <f>IFERROR(__xludf.DUMMYFUNCTION("IFERROR(GOOGLEFINANCE(C324, ""changepct"") / 100, """")"),"")</f>
        <v/>
      </c>
      <c r="L324" s="21" t="str">
        <f>IFERROR(__xludf.DUMMYFUNCTION("IFERROR((GOOGLEFINANCE(C324, ""price"") / INDEX(GOOGLEFINANCE(C324, ""price"", TODAY()-7, TODAY()), 2, 2)) - 1, """")"),"")</f>
        <v/>
      </c>
      <c r="M324" s="21" t="str">
        <f>IFERROR(__xludf.DUMMYFUNCTION("IFERROR((GOOGLEFINANCE(C324, ""price"") / INDEX(GOOGLEFINANCE(C324, ""price"", EDATE(TODAY(), -1), TODAY()), 2, 2)) - 1, """")"),"")</f>
        <v/>
      </c>
      <c r="N324" s="21" t="str">
        <f>IFERROR(__xludf.DUMMYFUNCTION("IFERROR((GOOGLEFINANCE(C324, ""price"") / INDEX(GOOGLEFINANCE(C324, ""price"", EDATE(TODAY(), -3), TODAY()), 2, 2)) - 1, """")"),"")</f>
        <v/>
      </c>
      <c r="O324" s="21" t="str">
        <f>IFERROR(__xludf.DUMMYFUNCTION("IFERROR((GOOGLEFINANCE(C324, ""price"") / INDEX(GOOGLEFINANCE(C324, ""price"", EDATE(TODAY(), -6), TODAY()), 2, 2)) - 1, """")"),"")</f>
        <v/>
      </c>
      <c r="P324" s="21" t="str">
        <f>IFERROR(__xludf.DUMMYFUNCTION("IFERROR((GOOGLEFINANCE(C324, ""price"") / INDEX(GOOGLEFINANCE(C324, ""price"", EDATE(TODAY(), -12), TODAY()), 2, 2)) - 1, """")"),"")</f>
        <v/>
      </c>
      <c r="Q324" s="6" t="str">
        <f>IFERROR(__xludf.DUMMYFUNCTION("AVERAGE(QUERY(GOOGLEFINANCE(C324, ""price"", TODAY()-80, TODAY()), ""SELECT Col2 WHERE Col2 IS NOT NULL ORDER BY Col1 DESC LIMIT 50"", 0))"),"#N/A")</f>
        <v>#N/A</v>
      </c>
      <c r="R324" s="24" t="str">
        <f>IFERROR(__xludf.DUMMYFUNCTION("IFERROR(
  LET(
    data, QUERY(GOOGLEFINANCE(C324,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GOOGLEFINANCE(C324, ""price"")) * 100,
    IF(calc=0, G324, calc)
  ), 
G324)"),"#N/A")</f>
        <v>#N/A</v>
      </c>
      <c r="S324" s="8" t="s">
        <v>15</v>
      </c>
      <c r="T324" s="26" t="str">
        <f>IFERROR(__xludf.DUMMYFUNCTION("IFERROR(TRANSPOSE(QUERY(IFERROR(SORT(GOOGLEFINANCE(C324, ""price"", WORKDAY(TODAY(), -40), TODAY()), 1, FALSE)), ""select Col2 where Col2 is not null limit 22 label Col2 ''"", 0)), """")"),"")</f>
        <v/>
      </c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8"/>
      <c r="AO324" s="28"/>
      <c r="AP324" s="29"/>
      <c r="AQ324" s="29" t="str">
        <f t="shared" ref="AQ324:BL324" si="327">T324/T$2</f>
        <v>#N/A</v>
      </c>
      <c r="AR324" s="29" t="str">
        <f t="shared" si="327"/>
        <v>#DIV/0!</v>
      </c>
      <c r="AS324" s="29" t="str">
        <f t="shared" si="327"/>
        <v>#DIV/0!</v>
      </c>
      <c r="AT324" s="29" t="str">
        <f t="shared" si="327"/>
        <v>#DIV/0!</v>
      </c>
      <c r="AU324" s="29" t="str">
        <f t="shared" si="327"/>
        <v>#DIV/0!</v>
      </c>
      <c r="AV324" s="29" t="str">
        <f t="shared" si="327"/>
        <v>#DIV/0!</v>
      </c>
      <c r="AW324" s="29" t="str">
        <f t="shared" si="327"/>
        <v>#DIV/0!</v>
      </c>
      <c r="AX324" s="29" t="str">
        <f t="shared" si="327"/>
        <v>#DIV/0!</v>
      </c>
      <c r="AY324" s="29" t="str">
        <f t="shared" si="327"/>
        <v>#DIV/0!</v>
      </c>
      <c r="AZ324" s="29" t="str">
        <f t="shared" si="327"/>
        <v>#DIV/0!</v>
      </c>
      <c r="BA324" s="29" t="str">
        <f t="shared" si="327"/>
        <v>#DIV/0!</v>
      </c>
      <c r="BB324" s="29" t="str">
        <f t="shared" si="327"/>
        <v>#DIV/0!</v>
      </c>
      <c r="BC324" s="29" t="str">
        <f t="shared" si="327"/>
        <v>#DIV/0!</v>
      </c>
      <c r="BD324" s="29" t="str">
        <f t="shared" si="327"/>
        <v>#DIV/0!</v>
      </c>
      <c r="BE324" s="29" t="str">
        <f t="shared" si="327"/>
        <v>#DIV/0!</v>
      </c>
      <c r="BF324" s="29" t="str">
        <f t="shared" si="327"/>
        <v>#DIV/0!</v>
      </c>
      <c r="BG324" s="29" t="str">
        <f t="shared" si="327"/>
        <v>#DIV/0!</v>
      </c>
      <c r="BH324" s="29" t="str">
        <f t="shared" si="327"/>
        <v>#DIV/0!</v>
      </c>
      <c r="BI324" s="29" t="str">
        <f t="shared" si="327"/>
        <v>#DIV/0!</v>
      </c>
      <c r="BJ324" s="29" t="str">
        <f t="shared" si="327"/>
        <v>#DIV/0!</v>
      </c>
      <c r="BK324" s="29" t="str">
        <f t="shared" si="327"/>
        <v>#DIV/0!</v>
      </c>
      <c r="BL324" s="29" t="str">
        <f t="shared" si="327"/>
        <v>#DIV/0!</v>
      </c>
      <c r="BM324" s="29" t="str">
        <f t="shared" si="3"/>
        <v>#DIV/0!</v>
      </c>
    </row>
    <row r="325">
      <c r="A325" s="16" t="str">
        <f>IFERROR(__xludf.DUMMYFUNCTION("IFERROR(SPARKLINE(SORT(MAP(TRANSPOSE(AQ325:BL325), LAMBDA(val, IF(ISNUMBER(val), PERCENTRANK(AQ325:BL325, val)+0.01, 0))), SEQUENCE(COLUMNS(AQ325:BL325)), FALSE), {""charttype"",""column""; ""color"",""chartreuse""; ""ymin"", 0; ""ymax"", 1.01; ""highcolo"&amp;"r"", ""darkgreen""; ""lowcolor"", ""red""}), """")"),"")</f>
        <v/>
      </c>
      <c r="B325" s="17" t="str">
        <f t="shared" si="4"/>
        <v/>
      </c>
      <c r="C325" s="1" t="s">
        <v>1395</v>
      </c>
      <c r="D325" s="30" t="str">
        <f>IFERROR(__xludf.DUMMYFUNCTION("IFERROR(GOOGLEFINANCE(C325, ""NAME""))"),"Ceva Inc")</f>
        <v>Ceva Inc</v>
      </c>
      <c r="E325" s="30" t="s">
        <v>871</v>
      </c>
      <c r="F325" s="33" t="str">
        <f>IFERROR(__xludf.DUMMYFUNCTION("( (GOOGLEFINANCE(C325, ""price"") - Q325) / Q325 ) / (R325 / 100)"),"Loading...")</f>
        <v>Loading...</v>
      </c>
      <c r="G325" s="20" t="str">
        <f>IFERROR(__xludf.DUMMYFUNCTION("AVERAGE(ARRAYFORMULA(100 * (QUERY(GOOGLEFINANCE(C325, ""high"", TODAY()-40, TODAY()), ""SELECT Col2 WHERE Col2 IS NOT NULL ORDER BY Col1 DESC LIMIT 20"", 0) / QUERY(GOOGLEFINANCE(C325, ""low"", TODAY()-40, TODAY()), ""SELECT Col2 WHERE Col2 IS NOT NULL OR"&amp;"DER BY Col1 DESC LIMIT 20"", 0) - 1)))"),"#N/A")</f>
        <v>#N/A</v>
      </c>
      <c r="H325" s="35" t="str">
        <f t="shared" si="6"/>
        <v/>
      </c>
      <c r="I325" s="36" t="str">
        <f t="shared" si="7"/>
        <v/>
      </c>
      <c r="J325" s="37" t="str">
        <f>IFERROR(__xludf.DUMMYFUNCTION("IFERROR(
  IF(C325="""",, 
    IFERROR(
      GOOGLEFINANCE(C325, ""price"") * GOOGLEFINANCE(C325, ""volumeavg""), 
      GOOGLEFINANCE(C325, ""price"") * AVERAGE(QUERY(GOOGLEFINANCE(C325, ""volume"", TODAY()-40, TODAY()), ""SELECT Col2 WHERE Col2 IS NOT "&amp;"NULL ORDER BY Col1 DESC LIMIT 20"", 0))
    )
  ), 
"""")"),"")</f>
        <v/>
      </c>
      <c r="K325" s="21" t="str">
        <f>IFERROR(__xludf.DUMMYFUNCTION("IFERROR(GOOGLEFINANCE(C325, ""changepct"") / 100, """")"),"")</f>
        <v/>
      </c>
      <c r="L325" s="21" t="str">
        <f>IFERROR(__xludf.DUMMYFUNCTION("IFERROR((GOOGLEFINANCE(C325, ""price"") / INDEX(GOOGLEFINANCE(C325, ""price"", TODAY()-7, TODAY()), 2, 2)) - 1, """")"),"")</f>
        <v/>
      </c>
      <c r="M325" s="21" t="str">
        <f>IFERROR(__xludf.DUMMYFUNCTION("IFERROR((GOOGLEFINANCE(C325, ""price"") / INDEX(GOOGLEFINANCE(C325, ""price"", EDATE(TODAY(), -1), TODAY()), 2, 2)) - 1, """")"),"")</f>
        <v/>
      </c>
      <c r="N325" s="21" t="str">
        <f>IFERROR(__xludf.DUMMYFUNCTION("IFERROR((GOOGLEFINANCE(C325, ""price"") / INDEX(GOOGLEFINANCE(C325, ""price"", EDATE(TODAY(), -3), TODAY()), 2, 2)) - 1, """")"),"")</f>
        <v/>
      </c>
      <c r="O325" s="21" t="str">
        <f>IFERROR(__xludf.DUMMYFUNCTION("IFERROR((GOOGLEFINANCE(C325, ""price"") / INDEX(GOOGLEFINANCE(C325, ""price"", EDATE(TODAY(), -6), TODAY()), 2, 2)) - 1, """")"),"")</f>
        <v/>
      </c>
      <c r="P325" s="21" t="str">
        <f>IFERROR(__xludf.DUMMYFUNCTION("IFERROR((GOOGLEFINANCE(C325, ""price"") / INDEX(GOOGLEFINANCE(C325, ""price"", EDATE(TODAY(), -12), TODAY()), 2, 2)) - 1, """")"),"")</f>
        <v/>
      </c>
      <c r="Q325" s="6" t="str">
        <f>IFERROR(__xludf.DUMMYFUNCTION("AVERAGE(QUERY(GOOGLEFINANCE(C325, ""price"", TODAY()-80, TODAY()), ""SELECT Col2 WHERE Col2 IS NOT NULL ORDER BY Col1 DESC LIMIT 50"", 0))"),"#N/A")</f>
        <v>#N/A</v>
      </c>
      <c r="R325" s="24" t="str">
        <f>IFERROR(__xludf.DUMMYFUNCTION("IFERROR(
  LET(
    data, QUERY(GOOGLEFINANCE(C325,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GOOGLEFINANCE(C325, ""price"")) * 100,
    IF(calc=0, G325, calc)
  ), 
G325)"),"#N/A")</f>
        <v>#N/A</v>
      </c>
      <c r="S325" s="8" t="s">
        <v>15</v>
      </c>
      <c r="T325" s="26" t="str">
        <f>IFERROR(__xludf.DUMMYFUNCTION("IFERROR(TRANSPOSE(QUERY(IFERROR(SORT(GOOGLEFINANCE(C325, ""price"", WORKDAY(TODAY(), -40), TODAY()), 1, FALSE)), ""select Col2 where Col2 is not null limit 22 label Col2 ''"", 0)), """")"),"")</f>
        <v/>
      </c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8"/>
      <c r="AO325" s="28"/>
      <c r="AP325" s="29"/>
      <c r="AQ325" s="29" t="str">
        <f t="shared" ref="AQ325:BL325" si="328">T325/T$2</f>
        <v>#N/A</v>
      </c>
      <c r="AR325" s="29" t="str">
        <f t="shared" si="328"/>
        <v>#DIV/0!</v>
      </c>
      <c r="AS325" s="29" t="str">
        <f t="shared" si="328"/>
        <v>#DIV/0!</v>
      </c>
      <c r="AT325" s="29" t="str">
        <f t="shared" si="328"/>
        <v>#DIV/0!</v>
      </c>
      <c r="AU325" s="29" t="str">
        <f t="shared" si="328"/>
        <v>#DIV/0!</v>
      </c>
      <c r="AV325" s="29" t="str">
        <f t="shared" si="328"/>
        <v>#DIV/0!</v>
      </c>
      <c r="AW325" s="29" t="str">
        <f t="shared" si="328"/>
        <v>#DIV/0!</v>
      </c>
      <c r="AX325" s="29" t="str">
        <f t="shared" si="328"/>
        <v>#DIV/0!</v>
      </c>
      <c r="AY325" s="29" t="str">
        <f t="shared" si="328"/>
        <v>#DIV/0!</v>
      </c>
      <c r="AZ325" s="29" t="str">
        <f t="shared" si="328"/>
        <v>#DIV/0!</v>
      </c>
      <c r="BA325" s="29" t="str">
        <f t="shared" si="328"/>
        <v>#DIV/0!</v>
      </c>
      <c r="BB325" s="29" t="str">
        <f t="shared" si="328"/>
        <v>#DIV/0!</v>
      </c>
      <c r="BC325" s="29" t="str">
        <f t="shared" si="328"/>
        <v>#DIV/0!</v>
      </c>
      <c r="BD325" s="29" t="str">
        <f t="shared" si="328"/>
        <v>#DIV/0!</v>
      </c>
      <c r="BE325" s="29" t="str">
        <f t="shared" si="328"/>
        <v>#DIV/0!</v>
      </c>
      <c r="BF325" s="29" t="str">
        <f t="shared" si="328"/>
        <v>#DIV/0!</v>
      </c>
      <c r="BG325" s="29" t="str">
        <f t="shared" si="328"/>
        <v>#DIV/0!</v>
      </c>
      <c r="BH325" s="29" t="str">
        <f t="shared" si="328"/>
        <v>#DIV/0!</v>
      </c>
      <c r="BI325" s="29" t="str">
        <f t="shared" si="328"/>
        <v>#DIV/0!</v>
      </c>
      <c r="BJ325" s="29" t="str">
        <f t="shared" si="328"/>
        <v>#DIV/0!</v>
      </c>
      <c r="BK325" s="29" t="str">
        <f t="shared" si="328"/>
        <v>#DIV/0!</v>
      </c>
      <c r="BL325" s="29" t="str">
        <f t="shared" si="328"/>
        <v>#DIV/0!</v>
      </c>
      <c r="BM325" s="29" t="str">
        <f t="shared" si="3"/>
        <v>#DIV/0!</v>
      </c>
    </row>
    <row r="326">
      <c r="A326" s="16" t="str">
        <f>IFERROR(__xludf.DUMMYFUNCTION("IFERROR(SPARKLINE(SORT(MAP(TRANSPOSE(AQ326:BL326), LAMBDA(val, IF(ISNUMBER(val), PERCENTRANK(AQ326:BL326, val)+0.01, 0))), SEQUENCE(COLUMNS(AQ326:BL326)), FALSE), {""charttype"",""column""; ""color"",""chartreuse""; ""ymin"", 0; ""ymax"", 1.01; ""highcolo"&amp;"r"", ""darkgreen""; ""lowcolor"", ""red""}), """")"),"")</f>
        <v/>
      </c>
      <c r="B326" s="17" t="str">
        <f t="shared" si="4"/>
        <v/>
      </c>
      <c r="C326" s="1" t="s">
        <v>1397</v>
      </c>
      <c r="D326" s="30" t="str">
        <f>IFERROR(__xludf.DUMMYFUNCTION("IFERROR(GOOGLEFINANCE(C326, ""NAME""))"),"mF International Limited")</f>
        <v>mF International Limited</v>
      </c>
      <c r="E326" s="30" t="s">
        <v>48</v>
      </c>
      <c r="F326" s="33" t="str">
        <f>IFERROR(__xludf.DUMMYFUNCTION("( (GOOGLEFINANCE(C326, ""price"") - Q326) / Q326 ) / (R326 / 100)"),"Loading...")</f>
        <v>Loading...</v>
      </c>
      <c r="G326" s="20" t="str">
        <f>IFERROR(__xludf.DUMMYFUNCTION("AVERAGE(ARRAYFORMULA(100 * (QUERY(GOOGLEFINANCE(C326, ""high"", TODAY()-40, TODAY()), ""SELECT Col2 WHERE Col2 IS NOT NULL ORDER BY Col1 DESC LIMIT 20"", 0) / QUERY(GOOGLEFINANCE(C326, ""low"", TODAY()-40, TODAY()), ""SELECT Col2 WHERE Col2 IS NOT NULL OR"&amp;"DER BY Col1 DESC LIMIT 20"", 0) - 1)))"),"#N/A")</f>
        <v>#N/A</v>
      </c>
      <c r="H326" s="35" t="str">
        <f t="shared" si="6"/>
        <v/>
      </c>
      <c r="I326" s="36" t="str">
        <f t="shared" si="7"/>
        <v/>
      </c>
      <c r="J326" s="37" t="str">
        <f>IFERROR(__xludf.DUMMYFUNCTION("IFERROR(
  IF(C326="""",, 
    IFERROR(
      GOOGLEFINANCE(C326, ""price"") * GOOGLEFINANCE(C326, ""volumeavg""), 
      GOOGLEFINANCE(C326, ""price"") * AVERAGE(QUERY(GOOGLEFINANCE(C326, ""volume"", TODAY()-40, TODAY()), ""SELECT Col2 WHERE Col2 IS NOT "&amp;"NULL ORDER BY Col1 DESC LIMIT 20"", 0))
    )
  ), 
"""")"),"")</f>
        <v/>
      </c>
      <c r="K326" s="21" t="str">
        <f>IFERROR(__xludf.DUMMYFUNCTION("IFERROR(GOOGLEFINANCE(C326, ""changepct"") / 100, """")"),"")</f>
        <v/>
      </c>
      <c r="L326" s="21" t="str">
        <f>IFERROR(__xludf.DUMMYFUNCTION("IFERROR((GOOGLEFINANCE(C326, ""price"") / INDEX(GOOGLEFINANCE(C326, ""price"", TODAY()-7, TODAY()), 2, 2)) - 1, """")"),"")</f>
        <v/>
      </c>
      <c r="M326" s="21" t="str">
        <f>IFERROR(__xludf.DUMMYFUNCTION("IFERROR((GOOGLEFINANCE(C326, ""price"") / INDEX(GOOGLEFINANCE(C326, ""price"", EDATE(TODAY(), -1), TODAY()), 2, 2)) - 1, """")"),"")</f>
        <v/>
      </c>
      <c r="N326" s="21" t="str">
        <f>IFERROR(__xludf.DUMMYFUNCTION("IFERROR((GOOGLEFINANCE(C326, ""price"") / INDEX(GOOGLEFINANCE(C326, ""price"", EDATE(TODAY(), -3), TODAY()), 2, 2)) - 1, """")"),"")</f>
        <v/>
      </c>
      <c r="O326" s="21" t="str">
        <f>IFERROR(__xludf.DUMMYFUNCTION("IFERROR((GOOGLEFINANCE(C326, ""price"") / INDEX(GOOGLEFINANCE(C326, ""price"", EDATE(TODAY(), -6), TODAY()), 2, 2)) - 1, """")"),"")</f>
        <v/>
      </c>
      <c r="P326" s="21" t="str">
        <f>IFERROR(__xludf.DUMMYFUNCTION("IFERROR((GOOGLEFINANCE(C326, ""price"") / INDEX(GOOGLEFINANCE(C326, ""price"", EDATE(TODAY(), -12), TODAY()), 2, 2)) - 1, """")"),"")</f>
        <v/>
      </c>
      <c r="Q326" s="6" t="str">
        <f>IFERROR(__xludf.DUMMYFUNCTION("AVERAGE(QUERY(GOOGLEFINANCE(C326, ""price"", TODAY()-80, TODAY()), ""SELECT Col2 WHERE Col2 IS NOT NULL ORDER BY Col1 DESC LIMIT 50"", 0))"),"#N/A")</f>
        <v>#N/A</v>
      </c>
      <c r="R326" s="24" t="str">
        <f>IFERROR(__xludf.DUMMYFUNCTION("IFERROR(
  LET(
    data, QUERY(GOOGLEFINANCE(C326,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GOOGLEFINANCE(C326, ""price"")) * 100,
    IF(calc=0, G326, calc)
  ), 
G326)"),"#N/A")</f>
        <v>#N/A</v>
      </c>
      <c r="S326" s="8" t="s">
        <v>15</v>
      </c>
      <c r="T326" s="26" t="str">
        <f>IFERROR(__xludf.DUMMYFUNCTION("IFERROR(TRANSPOSE(QUERY(IFERROR(SORT(GOOGLEFINANCE(C326, ""price"", WORKDAY(TODAY(), -40), TODAY()), 1, FALSE)), ""select Col2 where Col2 is not null limit 22 label Col2 ''"", 0)), """")"),"")</f>
        <v/>
      </c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8"/>
      <c r="AO326" s="28"/>
      <c r="AP326" s="29"/>
      <c r="AQ326" s="29" t="str">
        <f t="shared" ref="AQ326:BL326" si="329">T326/T$2</f>
        <v>#N/A</v>
      </c>
      <c r="AR326" s="29" t="str">
        <f t="shared" si="329"/>
        <v>#DIV/0!</v>
      </c>
      <c r="AS326" s="29" t="str">
        <f t="shared" si="329"/>
        <v>#DIV/0!</v>
      </c>
      <c r="AT326" s="29" t="str">
        <f t="shared" si="329"/>
        <v>#DIV/0!</v>
      </c>
      <c r="AU326" s="29" t="str">
        <f t="shared" si="329"/>
        <v>#DIV/0!</v>
      </c>
      <c r="AV326" s="29" t="str">
        <f t="shared" si="329"/>
        <v>#DIV/0!</v>
      </c>
      <c r="AW326" s="29" t="str">
        <f t="shared" si="329"/>
        <v>#DIV/0!</v>
      </c>
      <c r="AX326" s="29" t="str">
        <f t="shared" si="329"/>
        <v>#DIV/0!</v>
      </c>
      <c r="AY326" s="29" t="str">
        <f t="shared" si="329"/>
        <v>#DIV/0!</v>
      </c>
      <c r="AZ326" s="29" t="str">
        <f t="shared" si="329"/>
        <v>#DIV/0!</v>
      </c>
      <c r="BA326" s="29" t="str">
        <f t="shared" si="329"/>
        <v>#DIV/0!</v>
      </c>
      <c r="BB326" s="29" t="str">
        <f t="shared" si="329"/>
        <v>#DIV/0!</v>
      </c>
      <c r="BC326" s="29" t="str">
        <f t="shared" si="329"/>
        <v>#DIV/0!</v>
      </c>
      <c r="BD326" s="29" t="str">
        <f t="shared" si="329"/>
        <v>#DIV/0!</v>
      </c>
      <c r="BE326" s="29" t="str">
        <f t="shared" si="329"/>
        <v>#DIV/0!</v>
      </c>
      <c r="BF326" s="29" t="str">
        <f t="shared" si="329"/>
        <v>#DIV/0!</v>
      </c>
      <c r="BG326" s="29" t="str">
        <f t="shared" si="329"/>
        <v>#DIV/0!</v>
      </c>
      <c r="BH326" s="29" t="str">
        <f t="shared" si="329"/>
        <v>#DIV/0!</v>
      </c>
      <c r="BI326" s="29" t="str">
        <f t="shared" si="329"/>
        <v>#DIV/0!</v>
      </c>
      <c r="BJ326" s="29" t="str">
        <f t="shared" si="329"/>
        <v>#DIV/0!</v>
      </c>
      <c r="BK326" s="29" t="str">
        <f t="shared" si="329"/>
        <v>#DIV/0!</v>
      </c>
      <c r="BL326" s="29" t="str">
        <f t="shared" si="329"/>
        <v>#DIV/0!</v>
      </c>
      <c r="BM326" s="29" t="str">
        <f t="shared" si="3"/>
        <v>#DIV/0!</v>
      </c>
    </row>
    <row r="327">
      <c r="A327" s="16" t="str">
        <f>IFERROR(__xludf.DUMMYFUNCTION("IFERROR(SPARKLINE(SORT(MAP(TRANSPOSE(AQ327:BL327), LAMBDA(val, IF(ISNUMBER(val), PERCENTRANK(AQ327:BL327, val)+0.01, 0))), SEQUENCE(COLUMNS(AQ327:BL327)), FALSE), {""charttype"",""column""; ""color"",""chartreuse""; ""ymin"", 0; ""ymax"", 1.01; ""highcolo"&amp;"r"", ""darkgreen""; ""lowcolor"", ""red""}), """")"),"")</f>
        <v/>
      </c>
      <c r="B327" s="17" t="str">
        <f t="shared" si="4"/>
        <v/>
      </c>
      <c r="C327" s="1" t="s">
        <v>1401</v>
      </c>
      <c r="D327" s="30" t="str">
        <f>IFERROR(__xludf.DUMMYFUNCTION("IFERROR(GOOGLEFINANCE(C327, ""NAME""))"),"Entegris Inc")</f>
        <v>Entegris Inc</v>
      </c>
      <c r="E327" s="30" t="s">
        <v>1195</v>
      </c>
      <c r="F327" s="33" t="str">
        <f>IFERROR(__xludf.DUMMYFUNCTION("( (GOOGLEFINANCE(C327, ""price"") - Q327) / Q327 ) / (R327 / 100)"),"Loading...")</f>
        <v>Loading...</v>
      </c>
      <c r="G327" s="20" t="str">
        <f>IFERROR(__xludf.DUMMYFUNCTION("AVERAGE(ARRAYFORMULA(100 * (QUERY(GOOGLEFINANCE(C327, ""high"", TODAY()-40, TODAY()), ""SELECT Col2 WHERE Col2 IS NOT NULL ORDER BY Col1 DESC LIMIT 20"", 0) / QUERY(GOOGLEFINANCE(C327, ""low"", TODAY()-40, TODAY()), ""SELECT Col2 WHERE Col2 IS NOT NULL OR"&amp;"DER BY Col1 DESC LIMIT 20"", 0) - 1)))"),"#N/A")</f>
        <v>#N/A</v>
      </c>
      <c r="H327" s="35" t="str">
        <f t="shared" si="6"/>
        <v/>
      </c>
      <c r="I327" s="36" t="str">
        <f t="shared" si="7"/>
        <v/>
      </c>
      <c r="J327" s="37" t="str">
        <f>IFERROR(__xludf.DUMMYFUNCTION("IFERROR(
  IF(C327="""",, 
    IFERROR(
      GOOGLEFINANCE(C327, ""price"") * GOOGLEFINANCE(C327, ""volumeavg""), 
      GOOGLEFINANCE(C327, ""price"") * AVERAGE(QUERY(GOOGLEFINANCE(C327, ""volume"", TODAY()-40, TODAY()), ""SELECT Col2 WHERE Col2 IS NOT "&amp;"NULL ORDER BY Col1 DESC LIMIT 20"", 0))
    )
  ), 
"""")"),"")</f>
        <v/>
      </c>
      <c r="K327" s="21" t="str">
        <f>IFERROR(__xludf.DUMMYFUNCTION("IFERROR(GOOGLEFINANCE(C327, ""changepct"") / 100, """")"),"")</f>
        <v/>
      </c>
      <c r="L327" s="21" t="str">
        <f>IFERROR(__xludf.DUMMYFUNCTION("IFERROR((GOOGLEFINANCE(C327, ""price"") / INDEX(GOOGLEFINANCE(C327, ""price"", TODAY()-7, TODAY()), 2, 2)) - 1, """")"),"")</f>
        <v/>
      </c>
      <c r="M327" s="21" t="str">
        <f>IFERROR(__xludf.DUMMYFUNCTION("IFERROR((GOOGLEFINANCE(C327, ""price"") / INDEX(GOOGLEFINANCE(C327, ""price"", EDATE(TODAY(), -1), TODAY()), 2, 2)) - 1, """")"),"")</f>
        <v/>
      </c>
      <c r="N327" s="21" t="str">
        <f>IFERROR(__xludf.DUMMYFUNCTION("IFERROR((GOOGLEFINANCE(C327, ""price"") / INDEX(GOOGLEFINANCE(C327, ""price"", EDATE(TODAY(), -3), TODAY()), 2, 2)) - 1, """")"),"")</f>
        <v/>
      </c>
      <c r="O327" s="21" t="str">
        <f>IFERROR(__xludf.DUMMYFUNCTION("IFERROR((GOOGLEFINANCE(C327, ""price"") / INDEX(GOOGLEFINANCE(C327, ""price"", EDATE(TODAY(), -6), TODAY()), 2, 2)) - 1, """")"),"")</f>
        <v/>
      </c>
      <c r="P327" s="21" t="str">
        <f>IFERROR(__xludf.DUMMYFUNCTION("IFERROR((GOOGLEFINANCE(C327, ""price"") / INDEX(GOOGLEFINANCE(C327, ""price"", EDATE(TODAY(), -12), TODAY()), 2, 2)) - 1, """")"),"")</f>
        <v/>
      </c>
      <c r="Q327" s="6" t="str">
        <f>IFERROR(__xludf.DUMMYFUNCTION("AVERAGE(QUERY(GOOGLEFINANCE(C327, ""price"", TODAY()-80, TODAY()), ""SELECT Col2 WHERE Col2 IS NOT NULL ORDER BY Col1 DESC LIMIT 50"", 0))"),"#N/A")</f>
        <v>#N/A</v>
      </c>
      <c r="R327" s="24" t="str">
        <f>IFERROR(__xludf.DUMMYFUNCTION("IFERROR(
  LET(
    data, QUERY(GOOGLEFINANCE(C327,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GOOGLEFINANCE(C327, ""price"")) * 100,
    IF(calc=0, G327, calc)
  ), 
G327)"),"#N/A")</f>
        <v>#N/A</v>
      </c>
      <c r="S327" s="8" t="s">
        <v>15</v>
      </c>
      <c r="T327" s="26" t="str">
        <f>IFERROR(__xludf.DUMMYFUNCTION("IFERROR(TRANSPOSE(QUERY(IFERROR(SORT(GOOGLEFINANCE(C327, ""price"", WORKDAY(TODAY(), -40), TODAY()), 1, FALSE)), ""select Col2 where Col2 is not null limit 22 label Col2 ''"", 0)), """")"),"")</f>
        <v/>
      </c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8"/>
      <c r="AO327" s="28"/>
      <c r="AP327" s="29"/>
      <c r="AQ327" s="29" t="str">
        <f t="shared" ref="AQ327:BL327" si="330">T327/T$2</f>
        <v>#N/A</v>
      </c>
      <c r="AR327" s="29" t="str">
        <f t="shared" si="330"/>
        <v>#DIV/0!</v>
      </c>
      <c r="AS327" s="29" t="str">
        <f t="shared" si="330"/>
        <v>#DIV/0!</v>
      </c>
      <c r="AT327" s="29" t="str">
        <f t="shared" si="330"/>
        <v>#DIV/0!</v>
      </c>
      <c r="AU327" s="29" t="str">
        <f t="shared" si="330"/>
        <v>#DIV/0!</v>
      </c>
      <c r="AV327" s="29" t="str">
        <f t="shared" si="330"/>
        <v>#DIV/0!</v>
      </c>
      <c r="AW327" s="29" t="str">
        <f t="shared" si="330"/>
        <v>#DIV/0!</v>
      </c>
      <c r="AX327" s="29" t="str">
        <f t="shared" si="330"/>
        <v>#DIV/0!</v>
      </c>
      <c r="AY327" s="29" t="str">
        <f t="shared" si="330"/>
        <v>#DIV/0!</v>
      </c>
      <c r="AZ327" s="29" t="str">
        <f t="shared" si="330"/>
        <v>#DIV/0!</v>
      </c>
      <c r="BA327" s="29" t="str">
        <f t="shared" si="330"/>
        <v>#DIV/0!</v>
      </c>
      <c r="BB327" s="29" t="str">
        <f t="shared" si="330"/>
        <v>#DIV/0!</v>
      </c>
      <c r="BC327" s="29" t="str">
        <f t="shared" si="330"/>
        <v>#DIV/0!</v>
      </c>
      <c r="BD327" s="29" t="str">
        <f t="shared" si="330"/>
        <v>#DIV/0!</v>
      </c>
      <c r="BE327" s="29" t="str">
        <f t="shared" si="330"/>
        <v>#DIV/0!</v>
      </c>
      <c r="BF327" s="29" t="str">
        <f t="shared" si="330"/>
        <v>#DIV/0!</v>
      </c>
      <c r="BG327" s="29" t="str">
        <f t="shared" si="330"/>
        <v>#DIV/0!</v>
      </c>
      <c r="BH327" s="29" t="str">
        <f t="shared" si="330"/>
        <v>#DIV/0!</v>
      </c>
      <c r="BI327" s="29" t="str">
        <f t="shared" si="330"/>
        <v>#DIV/0!</v>
      </c>
      <c r="BJ327" s="29" t="str">
        <f t="shared" si="330"/>
        <v>#DIV/0!</v>
      </c>
      <c r="BK327" s="29" t="str">
        <f t="shared" si="330"/>
        <v>#DIV/0!</v>
      </c>
      <c r="BL327" s="29" t="str">
        <f t="shared" si="330"/>
        <v>#DIV/0!</v>
      </c>
      <c r="BM327" s="29" t="str">
        <f t="shared" si="3"/>
        <v>#DIV/0!</v>
      </c>
    </row>
    <row r="328">
      <c r="A328" s="16" t="str">
        <f>IFERROR(__xludf.DUMMYFUNCTION("IFERROR(SPARKLINE(SORT(MAP(TRANSPOSE(AQ328:BL328), LAMBDA(val, IF(ISNUMBER(val), PERCENTRANK(AQ328:BL328, val)+0.01, 0))), SEQUENCE(COLUMNS(AQ328:BL328)), FALSE), {""charttype"",""column""; ""color"",""chartreuse""; ""ymin"", 0; ""ymax"", 1.01; ""highcolo"&amp;"r"", ""darkgreen""; ""lowcolor"", ""red""}), """")"),"")</f>
        <v/>
      </c>
      <c r="B328" s="17" t="str">
        <f t="shared" si="4"/>
        <v/>
      </c>
      <c r="C328" s="1" t="s">
        <v>1404</v>
      </c>
      <c r="D328" s="30" t="str">
        <f>IFERROR(__xludf.DUMMYFUNCTION("IFERROR(GOOGLEFINANCE(C328, ""NAME""))"),"3D Systems Corp")</f>
        <v>3D Systems Corp</v>
      </c>
      <c r="E328" s="30" t="s">
        <v>477</v>
      </c>
      <c r="F328" s="33" t="str">
        <f>IFERROR(__xludf.DUMMYFUNCTION("( (GOOGLEFINANCE(C328, ""price"") - Q328) / Q328 ) / (R328 / 100)"),"Loading...")</f>
        <v>Loading...</v>
      </c>
      <c r="G328" s="20" t="str">
        <f>IFERROR(__xludf.DUMMYFUNCTION("AVERAGE(ARRAYFORMULA(100 * (QUERY(GOOGLEFINANCE(C328, ""high"", TODAY()-40, TODAY()), ""SELECT Col2 WHERE Col2 IS NOT NULL ORDER BY Col1 DESC LIMIT 20"", 0) / QUERY(GOOGLEFINANCE(C328, ""low"", TODAY()-40, TODAY()), ""SELECT Col2 WHERE Col2 IS NOT NULL OR"&amp;"DER BY Col1 DESC LIMIT 20"", 0) - 1)))"),"#N/A")</f>
        <v>#N/A</v>
      </c>
      <c r="H328" s="35" t="str">
        <f t="shared" si="6"/>
        <v/>
      </c>
      <c r="I328" s="36" t="str">
        <f t="shared" si="7"/>
        <v/>
      </c>
      <c r="J328" s="37" t="str">
        <f>IFERROR(__xludf.DUMMYFUNCTION("IFERROR(
  IF(C328="""",, 
    IFERROR(
      GOOGLEFINANCE(C328, ""price"") * GOOGLEFINANCE(C328, ""volumeavg""), 
      GOOGLEFINANCE(C328, ""price"") * AVERAGE(QUERY(GOOGLEFINANCE(C328, ""volume"", TODAY()-40, TODAY()), ""SELECT Col2 WHERE Col2 IS NOT "&amp;"NULL ORDER BY Col1 DESC LIMIT 20"", 0))
    )
  ), 
"""")"),"")</f>
        <v/>
      </c>
      <c r="K328" s="21" t="str">
        <f>IFERROR(__xludf.DUMMYFUNCTION("IFERROR(GOOGLEFINANCE(C328, ""changepct"") / 100, """")"),"")</f>
        <v/>
      </c>
      <c r="L328" s="21" t="str">
        <f>IFERROR(__xludf.DUMMYFUNCTION("IFERROR((GOOGLEFINANCE(C328, ""price"") / INDEX(GOOGLEFINANCE(C328, ""price"", TODAY()-7, TODAY()), 2, 2)) - 1, """")"),"")</f>
        <v/>
      </c>
      <c r="M328" s="21" t="str">
        <f>IFERROR(__xludf.DUMMYFUNCTION("IFERROR((GOOGLEFINANCE(C328, ""price"") / INDEX(GOOGLEFINANCE(C328, ""price"", EDATE(TODAY(), -1), TODAY()), 2, 2)) - 1, """")"),"")</f>
        <v/>
      </c>
      <c r="N328" s="21" t="str">
        <f>IFERROR(__xludf.DUMMYFUNCTION("IFERROR((GOOGLEFINANCE(C328, ""price"") / INDEX(GOOGLEFINANCE(C328, ""price"", EDATE(TODAY(), -3), TODAY()), 2, 2)) - 1, """")"),"")</f>
        <v/>
      </c>
      <c r="O328" s="21" t="str">
        <f>IFERROR(__xludf.DUMMYFUNCTION("IFERROR((GOOGLEFINANCE(C328, ""price"") / INDEX(GOOGLEFINANCE(C328, ""price"", EDATE(TODAY(), -6), TODAY()), 2, 2)) - 1, """")"),"")</f>
        <v/>
      </c>
      <c r="P328" s="21" t="str">
        <f>IFERROR(__xludf.DUMMYFUNCTION("IFERROR((GOOGLEFINANCE(C328, ""price"") / INDEX(GOOGLEFINANCE(C328, ""price"", EDATE(TODAY(), -12), TODAY()), 2, 2)) - 1, """")"),"")</f>
        <v/>
      </c>
      <c r="Q328" s="6" t="str">
        <f>IFERROR(__xludf.DUMMYFUNCTION("AVERAGE(QUERY(GOOGLEFINANCE(C328, ""price"", TODAY()-80, TODAY()), ""SELECT Col2 WHERE Col2 IS NOT NULL ORDER BY Col1 DESC LIMIT 50"", 0))"),"#N/A")</f>
        <v>#N/A</v>
      </c>
      <c r="R328" s="24" t="str">
        <f>IFERROR(__xludf.DUMMYFUNCTION("IFERROR(
  LET(
    data, QUERY(GOOGLEFINANCE(C328,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GOOGLEFINANCE(C328, ""price"")) * 100,
    IF(calc=0, G328, calc)
  ), 
G328)"),"#N/A")</f>
        <v>#N/A</v>
      </c>
      <c r="S328" s="8" t="s">
        <v>15</v>
      </c>
      <c r="T328" s="26" t="str">
        <f>IFERROR(__xludf.DUMMYFUNCTION("IFERROR(TRANSPOSE(QUERY(IFERROR(SORT(GOOGLEFINANCE(C328, ""price"", WORKDAY(TODAY(), -40), TODAY()), 1, FALSE)), ""select Col2 where Col2 is not null limit 22 label Col2 ''"", 0)), """")"),"")</f>
        <v/>
      </c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8"/>
      <c r="AO328" s="28"/>
      <c r="AP328" s="29"/>
      <c r="AQ328" s="29" t="str">
        <f t="shared" ref="AQ328:BL328" si="331">T328/T$2</f>
        <v>#N/A</v>
      </c>
      <c r="AR328" s="29" t="str">
        <f t="shared" si="331"/>
        <v>#DIV/0!</v>
      </c>
      <c r="AS328" s="29" t="str">
        <f t="shared" si="331"/>
        <v>#DIV/0!</v>
      </c>
      <c r="AT328" s="29" t="str">
        <f t="shared" si="331"/>
        <v>#DIV/0!</v>
      </c>
      <c r="AU328" s="29" t="str">
        <f t="shared" si="331"/>
        <v>#DIV/0!</v>
      </c>
      <c r="AV328" s="29" t="str">
        <f t="shared" si="331"/>
        <v>#DIV/0!</v>
      </c>
      <c r="AW328" s="29" t="str">
        <f t="shared" si="331"/>
        <v>#DIV/0!</v>
      </c>
      <c r="AX328" s="29" t="str">
        <f t="shared" si="331"/>
        <v>#DIV/0!</v>
      </c>
      <c r="AY328" s="29" t="str">
        <f t="shared" si="331"/>
        <v>#DIV/0!</v>
      </c>
      <c r="AZ328" s="29" t="str">
        <f t="shared" si="331"/>
        <v>#DIV/0!</v>
      </c>
      <c r="BA328" s="29" t="str">
        <f t="shared" si="331"/>
        <v>#DIV/0!</v>
      </c>
      <c r="BB328" s="29" t="str">
        <f t="shared" si="331"/>
        <v>#DIV/0!</v>
      </c>
      <c r="BC328" s="29" t="str">
        <f t="shared" si="331"/>
        <v>#DIV/0!</v>
      </c>
      <c r="BD328" s="29" t="str">
        <f t="shared" si="331"/>
        <v>#DIV/0!</v>
      </c>
      <c r="BE328" s="29" t="str">
        <f t="shared" si="331"/>
        <v>#DIV/0!</v>
      </c>
      <c r="BF328" s="29" t="str">
        <f t="shared" si="331"/>
        <v>#DIV/0!</v>
      </c>
      <c r="BG328" s="29" t="str">
        <f t="shared" si="331"/>
        <v>#DIV/0!</v>
      </c>
      <c r="BH328" s="29" t="str">
        <f t="shared" si="331"/>
        <v>#DIV/0!</v>
      </c>
      <c r="BI328" s="29" t="str">
        <f t="shared" si="331"/>
        <v>#DIV/0!</v>
      </c>
      <c r="BJ328" s="29" t="str">
        <f t="shared" si="331"/>
        <v>#DIV/0!</v>
      </c>
      <c r="BK328" s="29" t="str">
        <f t="shared" si="331"/>
        <v>#DIV/0!</v>
      </c>
      <c r="BL328" s="29" t="str">
        <f t="shared" si="331"/>
        <v>#DIV/0!</v>
      </c>
      <c r="BM328" s="29" t="str">
        <f t="shared" si="3"/>
        <v>#DIV/0!</v>
      </c>
    </row>
    <row r="329">
      <c r="A329" s="16" t="str">
        <f>IFERROR(__xludf.DUMMYFUNCTION("IFERROR(SPARKLINE(SORT(MAP(TRANSPOSE(AQ329:BL329), LAMBDA(val, IF(ISNUMBER(val), PERCENTRANK(AQ329:BL329, val)+0.01, 0))), SEQUENCE(COLUMNS(AQ329:BL329)), FALSE), {""charttype"",""column""; ""color"",""chartreuse""; ""ymin"", 0; ""ymax"", 1.01; ""highcolo"&amp;"r"", ""darkgreen""; ""lowcolor"", ""red""}), """")"),"")</f>
        <v/>
      </c>
      <c r="B329" s="17" t="str">
        <f t="shared" si="4"/>
        <v/>
      </c>
      <c r="C329" s="1" t="s">
        <v>1407</v>
      </c>
      <c r="D329" s="30" t="str">
        <f>IFERROR(__xludf.DUMMYFUNCTION("IFERROR(GOOGLEFINANCE(C329, ""NAME""))"),"Datadog Inc")</f>
        <v>Datadog Inc</v>
      </c>
      <c r="E329" s="30" t="s">
        <v>48</v>
      </c>
      <c r="F329" s="33" t="str">
        <f>IFERROR(__xludf.DUMMYFUNCTION("( (GOOGLEFINANCE(C329, ""price"") - Q329) / Q329 ) / (R329 / 100)"),"Loading...")</f>
        <v>Loading...</v>
      </c>
      <c r="G329" s="20" t="str">
        <f>IFERROR(__xludf.DUMMYFUNCTION("AVERAGE(ARRAYFORMULA(100 * (QUERY(GOOGLEFINANCE(C329, ""high"", TODAY()-40, TODAY()), ""SELECT Col2 WHERE Col2 IS NOT NULL ORDER BY Col1 DESC LIMIT 20"", 0) / QUERY(GOOGLEFINANCE(C329, ""low"", TODAY()-40, TODAY()), ""SELECT Col2 WHERE Col2 IS NOT NULL OR"&amp;"DER BY Col1 DESC LIMIT 20"", 0) - 1)))"),"#N/A")</f>
        <v>#N/A</v>
      </c>
      <c r="H329" s="35" t="str">
        <f t="shared" si="6"/>
        <v/>
      </c>
      <c r="I329" s="36" t="str">
        <f t="shared" si="7"/>
        <v/>
      </c>
      <c r="J329" s="37" t="str">
        <f>IFERROR(__xludf.DUMMYFUNCTION("IFERROR(
  IF(C329="""",, 
    IFERROR(
      GOOGLEFINANCE(C329, ""price"") * GOOGLEFINANCE(C329, ""volumeavg""), 
      GOOGLEFINANCE(C329, ""price"") * AVERAGE(QUERY(GOOGLEFINANCE(C329, ""volume"", TODAY()-40, TODAY()), ""SELECT Col2 WHERE Col2 IS NOT "&amp;"NULL ORDER BY Col1 DESC LIMIT 20"", 0))
    )
  ), 
"""")"),"")</f>
        <v/>
      </c>
      <c r="K329" s="21" t="str">
        <f>IFERROR(__xludf.DUMMYFUNCTION("IFERROR(GOOGLEFINANCE(C329, ""changepct"") / 100, """")"),"")</f>
        <v/>
      </c>
      <c r="L329" s="21" t="str">
        <f>IFERROR(__xludf.DUMMYFUNCTION("IFERROR((GOOGLEFINANCE(C329, ""price"") / INDEX(GOOGLEFINANCE(C329, ""price"", TODAY()-7, TODAY()), 2, 2)) - 1, """")"),"")</f>
        <v/>
      </c>
      <c r="M329" s="21" t="str">
        <f>IFERROR(__xludf.DUMMYFUNCTION("IFERROR((GOOGLEFINANCE(C329, ""price"") / INDEX(GOOGLEFINANCE(C329, ""price"", EDATE(TODAY(), -1), TODAY()), 2, 2)) - 1, """")"),"")</f>
        <v/>
      </c>
      <c r="N329" s="21" t="str">
        <f>IFERROR(__xludf.DUMMYFUNCTION("IFERROR((GOOGLEFINANCE(C329, ""price"") / INDEX(GOOGLEFINANCE(C329, ""price"", EDATE(TODAY(), -3), TODAY()), 2, 2)) - 1, """")"),"")</f>
        <v/>
      </c>
      <c r="O329" s="21" t="str">
        <f>IFERROR(__xludf.DUMMYFUNCTION("IFERROR((GOOGLEFINANCE(C329, ""price"") / INDEX(GOOGLEFINANCE(C329, ""price"", EDATE(TODAY(), -6), TODAY()), 2, 2)) - 1, """")"),"")</f>
        <v/>
      </c>
      <c r="P329" s="21" t="str">
        <f>IFERROR(__xludf.DUMMYFUNCTION("IFERROR((GOOGLEFINANCE(C329, ""price"") / INDEX(GOOGLEFINANCE(C329, ""price"", EDATE(TODAY(), -12), TODAY()), 2, 2)) - 1, """")"),"")</f>
        <v/>
      </c>
      <c r="Q329" s="6" t="str">
        <f>IFERROR(__xludf.DUMMYFUNCTION("AVERAGE(QUERY(GOOGLEFINANCE(C329, ""price"", TODAY()-80, TODAY()), ""SELECT Col2 WHERE Col2 IS NOT NULL ORDER BY Col1 DESC LIMIT 50"", 0))"),"#N/A")</f>
        <v>#N/A</v>
      </c>
      <c r="R329" s="24" t="str">
        <f>IFERROR(__xludf.DUMMYFUNCTION("IFERROR(
  LET(
    data, QUERY(GOOGLEFINANCE(C329,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GOOGLEFINANCE(C329, ""price"")) * 100,
    IF(calc=0, G329, calc)
  ), 
G329)"),"#N/A")</f>
        <v>#N/A</v>
      </c>
      <c r="S329" s="8" t="s">
        <v>15</v>
      </c>
      <c r="T329" s="26" t="str">
        <f>IFERROR(__xludf.DUMMYFUNCTION("IFERROR(TRANSPOSE(QUERY(IFERROR(SORT(GOOGLEFINANCE(C329, ""price"", WORKDAY(TODAY(), -40), TODAY()), 1, FALSE)), ""select Col2 where Col2 is not null limit 22 label Col2 ''"", 0)), """")"),"")</f>
        <v/>
      </c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8"/>
      <c r="AO329" s="28"/>
      <c r="AP329" s="29"/>
      <c r="AQ329" s="29" t="str">
        <f t="shared" ref="AQ329:BL329" si="332">T329/T$2</f>
        <v>#N/A</v>
      </c>
      <c r="AR329" s="29" t="str">
        <f t="shared" si="332"/>
        <v>#DIV/0!</v>
      </c>
      <c r="AS329" s="29" t="str">
        <f t="shared" si="332"/>
        <v>#DIV/0!</v>
      </c>
      <c r="AT329" s="29" t="str">
        <f t="shared" si="332"/>
        <v>#DIV/0!</v>
      </c>
      <c r="AU329" s="29" t="str">
        <f t="shared" si="332"/>
        <v>#DIV/0!</v>
      </c>
      <c r="AV329" s="29" t="str">
        <f t="shared" si="332"/>
        <v>#DIV/0!</v>
      </c>
      <c r="AW329" s="29" t="str">
        <f t="shared" si="332"/>
        <v>#DIV/0!</v>
      </c>
      <c r="AX329" s="29" t="str">
        <f t="shared" si="332"/>
        <v>#DIV/0!</v>
      </c>
      <c r="AY329" s="29" t="str">
        <f t="shared" si="332"/>
        <v>#DIV/0!</v>
      </c>
      <c r="AZ329" s="29" t="str">
        <f t="shared" si="332"/>
        <v>#DIV/0!</v>
      </c>
      <c r="BA329" s="29" t="str">
        <f t="shared" si="332"/>
        <v>#DIV/0!</v>
      </c>
      <c r="BB329" s="29" t="str">
        <f t="shared" si="332"/>
        <v>#DIV/0!</v>
      </c>
      <c r="BC329" s="29" t="str">
        <f t="shared" si="332"/>
        <v>#DIV/0!</v>
      </c>
      <c r="BD329" s="29" t="str">
        <f t="shared" si="332"/>
        <v>#DIV/0!</v>
      </c>
      <c r="BE329" s="29" t="str">
        <f t="shared" si="332"/>
        <v>#DIV/0!</v>
      </c>
      <c r="BF329" s="29" t="str">
        <f t="shared" si="332"/>
        <v>#DIV/0!</v>
      </c>
      <c r="BG329" s="29" t="str">
        <f t="shared" si="332"/>
        <v>#DIV/0!</v>
      </c>
      <c r="BH329" s="29" t="str">
        <f t="shared" si="332"/>
        <v>#DIV/0!</v>
      </c>
      <c r="BI329" s="29" t="str">
        <f t="shared" si="332"/>
        <v>#DIV/0!</v>
      </c>
      <c r="BJ329" s="29" t="str">
        <f t="shared" si="332"/>
        <v>#DIV/0!</v>
      </c>
      <c r="BK329" s="29" t="str">
        <f t="shared" si="332"/>
        <v>#DIV/0!</v>
      </c>
      <c r="BL329" s="29" t="str">
        <f t="shared" si="332"/>
        <v>#DIV/0!</v>
      </c>
      <c r="BM329" s="29" t="str">
        <f t="shared" si="3"/>
        <v>#DIV/0!</v>
      </c>
    </row>
    <row r="330">
      <c r="A330" s="16" t="str">
        <f>IFERROR(__xludf.DUMMYFUNCTION("IFERROR(SPARKLINE(SORT(MAP(TRANSPOSE(AQ330:BL330), LAMBDA(val, IF(ISNUMBER(val), PERCENTRANK(AQ330:BL330, val)+0.01, 0))), SEQUENCE(COLUMNS(AQ330:BL330)), FALSE), {""charttype"",""column""; ""color"",""chartreuse""; ""ymin"", 0; ""ymax"", 1.01; ""highcolo"&amp;"r"", ""darkgreen""; ""lowcolor"", ""red""}), """")"),"")</f>
        <v/>
      </c>
      <c r="B330" s="17" t="str">
        <f t="shared" si="4"/>
        <v/>
      </c>
      <c r="C330" s="1" t="s">
        <v>1411</v>
      </c>
      <c r="D330" s="30" t="str">
        <f>IFERROR(__xludf.DUMMYFUNCTION("IFERROR(GOOGLEFINANCE(C330, ""NAME""))"),"BK Technologies Corp")</f>
        <v>BK Technologies Corp</v>
      </c>
      <c r="E330" s="30" t="s">
        <v>716</v>
      </c>
      <c r="F330" s="38" t="str">
        <f>IFERROR(__xludf.DUMMYFUNCTION("( (GOOGLEFINANCE(C330, ""price"") - Q330) / Q330 ) / (R330 / 100)"),"Loading...")</f>
        <v>Loading...</v>
      </c>
      <c r="G330" s="20" t="str">
        <f>IFERROR(__xludf.DUMMYFUNCTION("AVERAGE(ARRAYFORMULA(100 * (QUERY(GOOGLEFINANCE(C330, ""high"", TODAY()-40, TODAY()), ""SELECT Col2 WHERE Col2 IS NOT NULL ORDER BY Col1 DESC LIMIT 20"", 0) / QUERY(GOOGLEFINANCE(C330, ""low"", TODAY()-40, TODAY()), ""SELECT Col2 WHERE Col2 IS NOT NULL OR"&amp;"DER BY Col1 DESC LIMIT 20"", 0) - 1)))"),"#N/A")</f>
        <v>#N/A</v>
      </c>
      <c r="H330" s="35" t="str">
        <f t="shared" si="6"/>
        <v/>
      </c>
      <c r="I330" s="36" t="str">
        <f t="shared" si="7"/>
        <v/>
      </c>
      <c r="J330" s="37" t="str">
        <f>IFERROR(__xludf.DUMMYFUNCTION("IFERROR(
  IF(C330="""",, 
    IFERROR(
      GOOGLEFINANCE(C330, ""price"") * GOOGLEFINANCE(C330, ""volumeavg""), 
      GOOGLEFINANCE(C330, ""price"") * AVERAGE(QUERY(GOOGLEFINANCE(C330, ""volume"", TODAY()-40, TODAY()), ""SELECT Col2 WHERE Col2 IS NOT "&amp;"NULL ORDER BY Col1 DESC LIMIT 20"", 0))
    )
  ), 
"""")"),"")</f>
        <v/>
      </c>
      <c r="K330" s="21" t="str">
        <f>IFERROR(__xludf.DUMMYFUNCTION("IFERROR(GOOGLEFINANCE(C330, ""changepct"") / 100, """")"),"")</f>
        <v/>
      </c>
      <c r="L330" s="21" t="str">
        <f>IFERROR(__xludf.DUMMYFUNCTION("IFERROR((GOOGLEFINANCE(C330, ""price"") / INDEX(GOOGLEFINANCE(C330, ""price"", TODAY()-7, TODAY()), 2, 2)) - 1, """")"),"")</f>
        <v/>
      </c>
      <c r="M330" s="21" t="str">
        <f>IFERROR(__xludf.DUMMYFUNCTION("IFERROR((GOOGLEFINANCE(C330, ""price"") / INDEX(GOOGLEFINANCE(C330, ""price"", EDATE(TODAY(), -1), TODAY()), 2, 2)) - 1, """")"),"")</f>
        <v/>
      </c>
      <c r="N330" s="21" t="str">
        <f>IFERROR(__xludf.DUMMYFUNCTION("IFERROR((GOOGLEFINANCE(C330, ""price"") / INDEX(GOOGLEFINANCE(C330, ""price"", EDATE(TODAY(), -3), TODAY()), 2, 2)) - 1, """")"),"")</f>
        <v/>
      </c>
      <c r="O330" s="21" t="str">
        <f>IFERROR(__xludf.DUMMYFUNCTION("IFERROR((GOOGLEFINANCE(C330, ""price"") / INDEX(GOOGLEFINANCE(C330, ""price"", EDATE(TODAY(), -6), TODAY()), 2, 2)) - 1, """")"),"")</f>
        <v/>
      </c>
      <c r="P330" s="21" t="str">
        <f>IFERROR(__xludf.DUMMYFUNCTION("IFERROR((GOOGLEFINANCE(C330, ""price"") / INDEX(GOOGLEFINANCE(C330, ""price"", EDATE(TODAY(), -12), TODAY()), 2, 2)) - 1, """")"),"")</f>
        <v/>
      </c>
      <c r="Q330" s="6" t="str">
        <f>IFERROR(__xludf.DUMMYFUNCTION("AVERAGE(QUERY(GOOGLEFINANCE(C330, ""price"", TODAY()-80, TODAY()), ""SELECT Col2 WHERE Col2 IS NOT NULL ORDER BY Col1 DESC LIMIT 50"", 0))"),"#N/A")</f>
        <v>#N/A</v>
      </c>
      <c r="R330" s="24" t="str">
        <f>IFERROR(__xludf.DUMMYFUNCTION("IFERROR(
  LET(
    data, QUERY(GOOGLEFINANCE(C330,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GOOGLEFINANCE(C330, ""price"")) * 100,
    IF(calc=0, G330, calc)
  ), 
G330)"),"#N/A")</f>
        <v>#N/A</v>
      </c>
      <c r="S330" s="8" t="s">
        <v>15</v>
      </c>
      <c r="T330" s="26" t="str">
        <f>IFERROR(__xludf.DUMMYFUNCTION("IFERROR(TRANSPOSE(QUERY(IFERROR(SORT(GOOGLEFINANCE(C330, ""price"", WORKDAY(TODAY(), -40), TODAY()), 1, FALSE)), ""select Col2 where Col2 is not null limit 22 label Col2 ''"", 0)), """")"),"")</f>
        <v/>
      </c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8"/>
      <c r="AO330" s="28"/>
      <c r="AP330" s="29"/>
      <c r="AQ330" s="29" t="str">
        <f t="shared" ref="AQ330:BL330" si="333">T330/T$2</f>
        <v>#N/A</v>
      </c>
      <c r="AR330" s="29" t="str">
        <f t="shared" si="333"/>
        <v>#DIV/0!</v>
      </c>
      <c r="AS330" s="29" t="str">
        <f t="shared" si="333"/>
        <v>#DIV/0!</v>
      </c>
      <c r="AT330" s="29" t="str">
        <f t="shared" si="333"/>
        <v>#DIV/0!</v>
      </c>
      <c r="AU330" s="29" t="str">
        <f t="shared" si="333"/>
        <v>#DIV/0!</v>
      </c>
      <c r="AV330" s="29" t="str">
        <f t="shared" si="333"/>
        <v>#DIV/0!</v>
      </c>
      <c r="AW330" s="29" t="str">
        <f t="shared" si="333"/>
        <v>#DIV/0!</v>
      </c>
      <c r="AX330" s="29" t="str">
        <f t="shared" si="333"/>
        <v>#DIV/0!</v>
      </c>
      <c r="AY330" s="29" t="str">
        <f t="shared" si="333"/>
        <v>#DIV/0!</v>
      </c>
      <c r="AZ330" s="29" t="str">
        <f t="shared" si="333"/>
        <v>#DIV/0!</v>
      </c>
      <c r="BA330" s="29" t="str">
        <f t="shared" si="333"/>
        <v>#DIV/0!</v>
      </c>
      <c r="BB330" s="29" t="str">
        <f t="shared" si="333"/>
        <v>#DIV/0!</v>
      </c>
      <c r="BC330" s="29" t="str">
        <f t="shared" si="333"/>
        <v>#DIV/0!</v>
      </c>
      <c r="BD330" s="29" t="str">
        <f t="shared" si="333"/>
        <v>#DIV/0!</v>
      </c>
      <c r="BE330" s="29" t="str">
        <f t="shared" si="333"/>
        <v>#DIV/0!</v>
      </c>
      <c r="BF330" s="29" t="str">
        <f t="shared" si="333"/>
        <v>#DIV/0!</v>
      </c>
      <c r="BG330" s="29" t="str">
        <f t="shared" si="333"/>
        <v>#DIV/0!</v>
      </c>
      <c r="BH330" s="29" t="str">
        <f t="shared" si="333"/>
        <v>#DIV/0!</v>
      </c>
      <c r="BI330" s="29" t="str">
        <f t="shared" si="333"/>
        <v>#DIV/0!</v>
      </c>
      <c r="BJ330" s="29" t="str">
        <f t="shared" si="333"/>
        <v>#DIV/0!</v>
      </c>
      <c r="BK330" s="29" t="str">
        <f t="shared" si="333"/>
        <v>#DIV/0!</v>
      </c>
      <c r="BL330" s="29" t="str">
        <f t="shared" si="333"/>
        <v>#DIV/0!</v>
      </c>
      <c r="BM330" s="29" t="str">
        <f t="shared" si="3"/>
        <v>#DIV/0!</v>
      </c>
    </row>
    <row r="331">
      <c r="A331" s="16" t="str">
        <f>IFERROR(__xludf.DUMMYFUNCTION("IFERROR(SPARKLINE(SORT(MAP(TRANSPOSE(AQ331:BL331), LAMBDA(val, IF(ISNUMBER(val), PERCENTRANK(AQ331:BL331, val)+0.01, 0))), SEQUENCE(COLUMNS(AQ331:BL331)), FALSE), {""charttype"",""column""; ""color"",""chartreuse""; ""ymin"", 0; ""ymax"", 1.01; ""highcolo"&amp;"r"", ""darkgreen""; ""lowcolor"", ""red""}), """")"),"")</f>
        <v/>
      </c>
      <c r="B331" s="17" t="str">
        <f t="shared" si="4"/>
        <v/>
      </c>
      <c r="C331" s="1" t="s">
        <v>1415</v>
      </c>
      <c r="D331" s="30" t="str">
        <f>IFERROR(__xludf.DUMMYFUNCTION("IFERROR(GOOGLEFINANCE(C331, ""NAME""))"),"Sensata Technologies Holding PLC")</f>
        <v>Sensata Technologies Holding PLC</v>
      </c>
      <c r="E331" s="30" t="s">
        <v>595</v>
      </c>
      <c r="F331" s="33" t="str">
        <f>IFERROR(__xludf.DUMMYFUNCTION("( (GOOGLEFINANCE(C331, ""price"") - Q331) / Q331 ) / (R331 / 100)"),"Loading...")</f>
        <v>Loading...</v>
      </c>
      <c r="G331" s="20" t="str">
        <f>IFERROR(__xludf.DUMMYFUNCTION("AVERAGE(ARRAYFORMULA(100 * (QUERY(GOOGLEFINANCE(C331, ""high"", TODAY()-40, TODAY()), ""SELECT Col2 WHERE Col2 IS NOT NULL ORDER BY Col1 DESC LIMIT 20"", 0) / QUERY(GOOGLEFINANCE(C331, ""low"", TODAY()-40, TODAY()), ""SELECT Col2 WHERE Col2 IS NOT NULL OR"&amp;"DER BY Col1 DESC LIMIT 20"", 0) - 1)))"),"#N/A")</f>
        <v>#N/A</v>
      </c>
      <c r="H331" s="35" t="str">
        <f t="shared" si="6"/>
        <v/>
      </c>
      <c r="I331" s="36" t="str">
        <f t="shared" si="7"/>
        <v/>
      </c>
      <c r="J331" s="37" t="str">
        <f>IFERROR(__xludf.DUMMYFUNCTION("IFERROR(
  IF(C331="""",, 
    IFERROR(
      GOOGLEFINANCE(C331, ""price"") * GOOGLEFINANCE(C331, ""volumeavg""), 
      GOOGLEFINANCE(C331, ""price"") * AVERAGE(QUERY(GOOGLEFINANCE(C331, ""volume"", TODAY()-40, TODAY()), ""SELECT Col2 WHERE Col2 IS NOT "&amp;"NULL ORDER BY Col1 DESC LIMIT 20"", 0))
    )
  ), 
"""")"),"")</f>
        <v/>
      </c>
      <c r="K331" s="21" t="str">
        <f>IFERROR(__xludf.DUMMYFUNCTION("IFERROR(GOOGLEFINANCE(C331, ""changepct"") / 100, """")"),"")</f>
        <v/>
      </c>
      <c r="L331" s="21" t="str">
        <f>IFERROR(__xludf.DUMMYFUNCTION("IFERROR((GOOGLEFINANCE(C331, ""price"") / INDEX(GOOGLEFINANCE(C331, ""price"", TODAY()-7, TODAY()), 2, 2)) - 1, """")"),"")</f>
        <v/>
      </c>
      <c r="M331" s="21" t="str">
        <f>IFERROR(__xludf.DUMMYFUNCTION("IFERROR((GOOGLEFINANCE(C331, ""price"") / INDEX(GOOGLEFINANCE(C331, ""price"", EDATE(TODAY(), -1), TODAY()), 2, 2)) - 1, """")"),"")</f>
        <v/>
      </c>
      <c r="N331" s="21" t="str">
        <f>IFERROR(__xludf.DUMMYFUNCTION("IFERROR((GOOGLEFINANCE(C331, ""price"") / INDEX(GOOGLEFINANCE(C331, ""price"", EDATE(TODAY(), -3), TODAY()), 2, 2)) - 1, """")"),"")</f>
        <v/>
      </c>
      <c r="O331" s="21" t="str">
        <f>IFERROR(__xludf.DUMMYFUNCTION("IFERROR((GOOGLEFINANCE(C331, ""price"") / INDEX(GOOGLEFINANCE(C331, ""price"", EDATE(TODAY(), -6), TODAY()), 2, 2)) - 1, """")"),"")</f>
        <v/>
      </c>
      <c r="P331" s="21" t="str">
        <f>IFERROR(__xludf.DUMMYFUNCTION("IFERROR((GOOGLEFINANCE(C331, ""price"") / INDEX(GOOGLEFINANCE(C331, ""price"", EDATE(TODAY(), -12), TODAY()), 2, 2)) - 1, """")"),"")</f>
        <v/>
      </c>
      <c r="Q331" s="6" t="str">
        <f>IFERROR(__xludf.DUMMYFUNCTION("AVERAGE(QUERY(GOOGLEFINANCE(C331, ""price"", TODAY()-80, TODAY()), ""SELECT Col2 WHERE Col2 IS NOT NULL ORDER BY Col1 DESC LIMIT 50"", 0))"),"#N/A")</f>
        <v>#N/A</v>
      </c>
      <c r="R331" s="24" t="str">
        <f>IFERROR(__xludf.DUMMYFUNCTION("IFERROR(
  LET(
    data, QUERY(GOOGLEFINANCE(C331,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GOOGLEFINANCE(C331, ""price"")) * 100,
    IF(calc=0, G331, calc)
  ), 
G331)"),"#N/A")</f>
        <v>#N/A</v>
      </c>
      <c r="S331" s="8" t="s">
        <v>15</v>
      </c>
      <c r="T331" s="26" t="str">
        <f>IFERROR(__xludf.DUMMYFUNCTION("IFERROR(TRANSPOSE(QUERY(IFERROR(SORT(GOOGLEFINANCE(C331, ""price"", WORKDAY(TODAY(), -40), TODAY()), 1, FALSE)), ""select Col2 where Col2 is not null limit 22 label Col2 ''"", 0)), """")"),"")</f>
        <v/>
      </c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8"/>
      <c r="AO331" s="28"/>
      <c r="AP331" s="29"/>
      <c r="AQ331" s="29" t="str">
        <f t="shared" ref="AQ331:BL331" si="334">T331/T$2</f>
        <v>#N/A</v>
      </c>
      <c r="AR331" s="29" t="str">
        <f t="shared" si="334"/>
        <v>#DIV/0!</v>
      </c>
      <c r="AS331" s="29" t="str">
        <f t="shared" si="334"/>
        <v>#DIV/0!</v>
      </c>
      <c r="AT331" s="29" t="str">
        <f t="shared" si="334"/>
        <v>#DIV/0!</v>
      </c>
      <c r="AU331" s="29" t="str">
        <f t="shared" si="334"/>
        <v>#DIV/0!</v>
      </c>
      <c r="AV331" s="29" t="str">
        <f t="shared" si="334"/>
        <v>#DIV/0!</v>
      </c>
      <c r="AW331" s="29" t="str">
        <f t="shared" si="334"/>
        <v>#DIV/0!</v>
      </c>
      <c r="AX331" s="29" t="str">
        <f t="shared" si="334"/>
        <v>#DIV/0!</v>
      </c>
      <c r="AY331" s="29" t="str">
        <f t="shared" si="334"/>
        <v>#DIV/0!</v>
      </c>
      <c r="AZ331" s="29" t="str">
        <f t="shared" si="334"/>
        <v>#DIV/0!</v>
      </c>
      <c r="BA331" s="29" t="str">
        <f t="shared" si="334"/>
        <v>#DIV/0!</v>
      </c>
      <c r="BB331" s="29" t="str">
        <f t="shared" si="334"/>
        <v>#DIV/0!</v>
      </c>
      <c r="BC331" s="29" t="str">
        <f t="shared" si="334"/>
        <v>#DIV/0!</v>
      </c>
      <c r="BD331" s="29" t="str">
        <f t="shared" si="334"/>
        <v>#DIV/0!</v>
      </c>
      <c r="BE331" s="29" t="str">
        <f t="shared" si="334"/>
        <v>#DIV/0!</v>
      </c>
      <c r="BF331" s="29" t="str">
        <f t="shared" si="334"/>
        <v>#DIV/0!</v>
      </c>
      <c r="BG331" s="29" t="str">
        <f t="shared" si="334"/>
        <v>#DIV/0!</v>
      </c>
      <c r="BH331" s="29" t="str">
        <f t="shared" si="334"/>
        <v>#DIV/0!</v>
      </c>
      <c r="BI331" s="29" t="str">
        <f t="shared" si="334"/>
        <v>#DIV/0!</v>
      </c>
      <c r="BJ331" s="29" t="str">
        <f t="shared" si="334"/>
        <v>#DIV/0!</v>
      </c>
      <c r="BK331" s="29" t="str">
        <f t="shared" si="334"/>
        <v>#DIV/0!</v>
      </c>
      <c r="BL331" s="29" t="str">
        <f t="shared" si="334"/>
        <v>#DIV/0!</v>
      </c>
      <c r="BM331" s="29" t="str">
        <f t="shared" si="3"/>
        <v>#DIV/0!</v>
      </c>
    </row>
    <row r="332">
      <c r="A332" s="16" t="str">
        <f>IFERROR(__xludf.DUMMYFUNCTION("IFERROR(SPARKLINE(SORT(MAP(TRANSPOSE(AQ332:BL332), LAMBDA(val, IF(ISNUMBER(val), PERCENTRANK(AQ332:BL332, val)+0.01, 0))), SEQUENCE(COLUMNS(AQ332:BL332)), FALSE), {""charttype"",""column""; ""color"",""chartreuse""; ""ymin"", 0; ""ymax"", 1.01; ""highcolo"&amp;"r"", ""darkgreen""; ""lowcolor"", ""red""}), """")"),"")</f>
        <v/>
      </c>
      <c r="B332" s="17" t="str">
        <f t="shared" si="4"/>
        <v/>
      </c>
      <c r="C332" s="1" t="s">
        <v>1418</v>
      </c>
      <c r="D332" s="30" t="str">
        <f>IFERROR(__xludf.DUMMYFUNCTION("IFERROR(GOOGLEFINANCE(C332, ""NAME""))"),"Ambiq Micro Inc")</f>
        <v>Ambiq Micro Inc</v>
      </c>
      <c r="E332" s="30" t="s">
        <v>871</v>
      </c>
      <c r="F332" s="38" t="str">
        <f>IFERROR(__xludf.DUMMYFUNCTION("( (GOOGLEFINANCE(C332, ""price"") - Q332) / Q332 ) / (R332 / 100)"),"Loading...")</f>
        <v>Loading...</v>
      </c>
      <c r="G332" s="20" t="str">
        <f>IFERROR(__xludf.DUMMYFUNCTION("AVERAGE(ARRAYFORMULA(100 * (QUERY(GOOGLEFINANCE(C332, ""high"", TODAY()-40, TODAY()), ""SELECT Col2 WHERE Col2 IS NOT NULL ORDER BY Col1 DESC LIMIT 20"", 0) / QUERY(GOOGLEFINANCE(C332, ""low"", TODAY()-40, TODAY()), ""SELECT Col2 WHERE Col2 IS NOT NULL OR"&amp;"DER BY Col1 DESC LIMIT 20"", 0) - 1)))"),"#N/A")</f>
        <v>#N/A</v>
      </c>
      <c r="H332" s="35" t="str">
        <f t="shared" si="6"/>
        <v/>
      </c>
      <c r="I332" s="36" t="str">
        <f t="shared" si="7"/>
        <v/>
      </c>
      <c r="J332" s="37" t="str">
        <f>IFERROR(__xludf.DUMMYFUNCTION("IFERROR(
  IF(C332="""",, 
    IFERROR(
      GOOGLEFINANCE(C332, ""price"") * GOOGLEFINANCE(C332, ""volumeavg""), 
      GOOGLEFINANCE(C332, ""price"") * AVERAGE(QUERY(GOOGLEFINANCE(C332, ""volume"", TODAY()-40, TODAY()), ""SELECT Col2 WHERE Col2 IS NOT "&amp;"NULL ORDER BY Col1 DESC LIMIT 20"", 0))
    )
  ), 
"""")"),"")</f>
        <v/>
      </c>
      <c r="K332" s="21" t="str">
        <f>IFERROR(__xludf.DUMMYFUNCTION("IFERROR(GOOGLEFINANCE(C332, ""changepct"") / 100, """")"),"")</f>
        <v/>
      </c>
      <c r="L332" s="21" t="str">
        <f>IFERROR(__xludf.DUMMYFUNCTION("IFERROR((GOOGLEFINANCE(C332, ""price"") / INDEX(GOOGLEFINANCE(C332, ""price"", TODAY()-7, TODAY()), 2, 2)) - 1, """")"),"")</f>
        <v/>
      </c>
      <c r="M332" s="21" t="str">
        <f>IFERROR(__xludf.DUMMYFUNCTION("IFERROR((GOOGLEFINANCE(C332, ""price"") / INDEX(GOOGLEFINANCE(C332, ""price"", EDATE(TODAY(), -1), TODAY()), 2, 2)) - 1, """")"),"")</f>
        <v/>
      </c>
      <c r="N332" s="21" t="str">
        <f>IFERROR(__xludf.DUMMYFUNCTION("IFERROR((GOOGLEFINANCE(C332, ""price"") / INDEX(GOOGLEFINANCE(C332, ""price"", EDATE(TODAY(), -3), TODAY()), 2, 2)) - 1, """")"),"")</f>
        <v/>
      </c>
      <c r="O332" s="21" t="str">
        <f>IFERROR(__xludf.DUMMYFUNCTION("IFERROR((GOOGLEFINANCE(C332, ""price"") / INDEX(GOOGLEFINANCE(C332, ""price"", EDATE(TODAY(), -6), TODAY()), 2, 2)) - 1, """")"),"")</f>
        <v/>
      </c>
      <c r="P332" s="21" t="str">
        <f>IFERROR(__xludf.DUMMYFUNCTION("IFERROR((GOOGLEFINANCE(C332, ""price"") / INDEX(GOOGLEFINANCE(C332, ""price"", EDATE(TODAY(), -12), TODAY()), 2, 2)) - 1, """")"),"")</f>
        <v/>
      </c>
      <c r="Q332" s="6" t="str">
        <f>IFERROR(__xludf.DUMMYFUNCTION("AVERAGE(QUERY(GOOGLEFINANCE(C332, ""price"", TODAY()-80, TODAY()), ""SELECT Col2 WHERE Col2 IS NOT NULL ORDER BY Col1 DESC LIMIT 50"", 0))"),"#N/A")</f>
        <v>#N/A</v>
      </c>
      <c r="R332" s="24" t="str">
        <f>IFERROR(__xludf.DUMMYFUNCTION("IFERROR(
  LET(
    data, QUERY(GOOGLEFINANCE(C332,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GOOGLEFINANCE(C332, ""price"")) * 100,
    IF(calc=0, G332, calc)
  ), 
G332)"),"#N/A")</f>
        <v>#N/A</v>
      </c>
      <c r="S332" s="8" t="s">
        <v>15</v>
      </c>
      <c r="T332" s="26" t="str">
        <f>IFERROR(__xludf.DUMMYFUNCTION("IFERROR(TRANSPOSE(QUERY(IFERROR(SORT(GOOGLEFINANCE(C332, ""price"", WORKDAY(TODAY(), -40), TODAY()), 1, FALSE)), ""select Col2 where Col2 is not null limit 22 label Col2 ''"", 0)), """")"),"")</f>
        <v/>
      </c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8"/>
      <c r="AO332" s="28"/>
      <c r="AP332" s="29"/>
      <c r="AQ332" s="29" t="str">
        <f t="shared" ref="AQ332:BL332" si="335">T332/T$2</f>
        <v>#N/A</v>
      </c>
      <c r="AR332" s="29" t="str">
        <f t="shared" si="335"/>
        <v>#DIV/0!</v>
      </c>
      <c r="AS332" s="29" t="str">
        <f t="shared" si="335"/>
        <v>#DIV/0!</v>
      </c>
      <c r="AT332" s="29" t="str">
        <f t="shared" si="335"/>
        <v>#DIV/0!</v>
      </c>
      <c r="AU332" s="29" t="str">
        <f t="shared" si="335"/>
        <v>#DIV/0!</v>
      </c>
      <c r="AV332" s="29" t="str">
        <f t="shared" si="335"/>
        <v>#DIV/0!</v>
      </c>
      <c r="AW332" s="29" t="str">
        <f t="shared" si="335"/>
        <v>#DIV/0!</v>
      </c>
      <c r="AX332" s="29" t="str">
        <f t="shared" si="335"/>
        <v>#DIV/0!</v>
      </c>
      <c r="AY332" s="29" t="str">
        <f t="shared" si="335"/>
        <v>#DIV/0!</v>
      </c>
      <c r="AZ332" s="29" t="str">
        <f t="shared" si="335"/>
        <v>#DIV/0!</v>
      </c>
      <c r="BA332" s="29" t="str">
        <f t="shared" si="335"/>
        <v>#DIV/0!</v>
      </c>
      <c r="BB332" s="29" t="str">
        <f t="shared" si="335"/>
        <v>#DIV/0!</v>
      </c>
      <c r="BC332" s="29" t="str">
        <f t="shared" si="335"/>
        <v>#DIV/0!</v>
      </c>
      <c r="BD332" s="29" t="str">
        <f t="shared" si="335"/>
        <v>#DIV/0!</v>
      </c>
      <c r="BE332" s="29" t="str">
        <f t="shared" si="335"/>
        <v>#DIV/0!</v>
      </c>
      <c r="BF332" s="29" t="str">
        <f t="shared" si="335"/>
        <v>#DIV/0!</v>
      </c>
      <c r="BG332" s="29" t="str">
        <f t="shared" si="335"/>
        <v>#DIV/0!</v>
      </c>
      <c r="BH332" s="29" t="str">
        <f t="shared" si="335"/>
        <v>#DIV/0!</v>
      </c>
      <c r="BI332" s="29" t="str">
        <f t="shared" si="335"/>
        <v>#DIV/0!</v>
      </c>
      <c r="BJ332" s="29" t="str">
        <f t="shared" si="335"/>
        <v>#DIV/0!</v>
      </c>
      <c r="BK332" s="29" t="str">
        <f t="shared" si="335"/>
        <v>#DIV/0!</v>
      </c>
      <c r="BL332" s="29" t="str">
        <f t="shared" si="335"/>
        <v>#DIV/0!</v>
      </c>
      <c r="BM332" s="29" t="str">
        <f t="shared" si="3"/>
        <v>#DIV/0!</v>
      </c>
    </row>
    <row r="333">
      <c r="A333" s="16" t="str">
        <f>IFERROR(__xludf.DUMMYFUNCTION("IFERROR(SPARKLINE(SORT(MAP(TRANSPOSE(AQ333:BL333), LAMBDA(val, IF(ISNUMBER(val), PERCENTRANK(AQ333:BL333, val)+0.01, 0))), SEQUENCE(COLUMNS(AQ333:BL333)), FALSE), {""charttype"",""column""; ""color"",""chartreuse""; ""ymin"", 0; ""ymax"", 1.01; ""highcolo"&amp;"r"", ""darkgreen""; ""lowcolor"", ""red""}), """")"),"")</f>
        <v/>
      </c>
      <c r="B333" s="17" t="str">
        <f t="shared" si="4"/>
        <v/>
      </c>
      <c r="C333" s="1" t="s">
        <v>1423</v>
      </c>
      <c r="D333" s="30" t="str">
        <f>IFERROR(__xludf.DUMMYFUNCTION("IFERROR(GOOGLEFINANCE(C333, ""NAME""))"),"Adtran Holdings Inc")</f>
        <v>Adtran Holdings Inc</v>
      </c>
      <c r="E333" s="30" t="s">
        <v>716</v>
      </c>
      <c r="F333" s="33" t="str">
        <f>IFERROR(__xludf.DUMMYFUNCTION("( (GOOGLEFINANCE(C333, ""price"") - Q333) / Q333 ) / (R333 / 100)"),"Loading...")</f>
        <v>Loading...</v>
      </c>
      <c r="G333" s="20" t="str">
        <f>IFERROR(__xludf.DUMMYFUNCTION("AVERAGE(ARRAYFORMULA(100 * (QUERY(GOOGLEFINANCE(C333, ""high"", TODAY()-40, TODAY()), ""SELECT Col2 WHERE Col2 IS NOT NULL ORDER BY Col1 DESC LIMIT 20"", 0) / QUERY(GOOGLEFINANCE(C333, ""low"", TODAY()-40, TODAY()), ""SELECT Col2 WHERE Col2 IS NOT NULL OR"&amp;"DER BY Col1 DESC LIMIT 20"", 0) - 1)))"),"#N/A")</f>
        <v>#N/A</v>
      </c>
      <c r="H333" s="35" t="str">
        <f t="shared" si="6"/>
        <v/>
      </c>
      <c r="I333" s="36" t="str">
        <f t="shared" si="7"/>
        <v/>
      </c>
      <c r="J333" s="37" t="str">
        <f>IFERROR(__xludf.DUMMYFUNCTION("IFERROR(
  IF(C333="""",, 
    IFERROR(
      GOOGLEFINANCE(C333, ""price"") * GOOGLEFINANCE(C333, ""volumeavg""), 
      GOOGLEFINANCE(C333, ""price"") * AVERAGE(QUERY(GOOGLEFINANCE(C333, ""volume"", TODAY()-40, TODAY()), ""SELECT Col2 WHERE Col2 IS NOT "&amp;"NULL ORDER BY Col1 DESC LIMIT 20"", 0))
    )
  ), 
"""")"),"")</f>
        <v/>
      </c>
      <c r="K333" s="21" t="str">
        <f>IFERROR(__xludf.DUMMYFUNCTION("IFERROR(GOOGLEFINANCE(C333, ""changepct"") / 100, """")"),"")</f>
        <v/>
      </c>
      <c r="L333" s="21" t="str">
        <f>IFERROR(__xludf.DUMMYFUNCTION("IFERROR((GOOGLEFINANCE(C333, ""price"") / INDEX(GOOGLEFINANCE(C333, ""price"", TODAY()-7, TODAY()), 2, 2)) - 1, """")"),"")</f>
        <v/>
      </c>
      <c r="M333" s="21" t="str">
        <f>IFERROR(__xludf.DUMMYFUNCTION("IFERROR((GOOGLEFINANCE(C333, ""price"") / INDEX(GOOGLEFINANCE(C333, ""price"", EDATE(TODAY(), -1), TODAY()), 2, 2)) - 1, """")"),"")</f>
        <v/>
      </c>
      <c r="N333" s="21" t="str">
        <f>IFERROR(__xludf.DUMMYFUNCTION("IFERROR((GOOGLEFINANCE(C333, ""price"") / INDEX(GOOGLEFINANCE(C333, ""price"", EDATE(TODAY(), -3), TODAY()), 2, 2)) - 1, """")"),"")</f>
        <v/>
      </c>
      <c r="O333" s="21" t="str">
        <f>IFERROR(__xludf.DUMMYFUNCTION("IFERROR((GOOGLEFINANCE(C333, ""price"") / INDEX(GOOGLEFINANCE(C333, ""price"", EDATE(TODAY(), -6), TODAY()), 2, 2)) - 1, """")"),"")</f>
        <v/>
      </c>
      <c r="P333" s="21" t="str">
        <f>IFERROR(__xludf.DUMMYFUNCTION("IFERROR((GOOGLEFINANCE(C333, ""price"") / INDEX(GOOGLEFINANCE(C333, ""price"", EDATE(TODAY(), -12), TODAY()), 2, 2)) - 1, """")"),"")</f>
        <v/>
      </c>
      <c r="Q333" s="6" t="str">
        <f>IFERROR(__xludf.DUMMYFUNCTION("AVERAGE(QUERY(GOOGLEFINANCE(C333, ""price"", TODAY()-80, TODAY()), ""SELECT Col2 WHERE Col2 IS NOT NULL ORDER BY Col1 DESC LIMIT 50"", 0))"),"#N/A")</f>
        <v>#N/A</v>
      </c>
      <c r="R333" s="24" t="str">
        <f>IFERROR(__xludf.DUMMYFUNCTION("IFERROR(
  LET(
    data, QUERY(GOOGLEFINANCE(C333,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GOOGLEFINANCE(C333, ""price"")) * 100,
    IF(calc=0, G333, calc)
  ), 
G333)"),"#N/A")</f>
        <v>#N/A</v>
      </c>
      <c r="S333" s="8" t="s">
        <v>15</v>
      </c>
      <c r="T333" s="26" t="str">
        <f>IFERROR(__xludf.DUMMYFUNCTION("IFERROR(TRANSPOSE(QUERY(IFERROR(SORT(GOOGLEFINANCE(C333, ""price"", WORKDAY(TODAY(), -40), TODAY()), 1, FALSE)), ""select Col2 where Col2 is not null limit 22 label Col2 ''"", 0)), """")"),"")</f>
        <v/>
      </c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8"/>
      <c r="AO333" s="28"/>
      <c r="AP333" s="29"/>
      <c r="AQ333" s="29" t="str">
        <f t="shared" ref="AQ333:BL333" si="336">T333/T$2</f>
        <v>#N/A</v>
      </c>
      <c r="AR333" s="29" t="str">
        <f t="shared" si="336"/>
        <v>#DIV/0!</v>
      </c>
      <c r="AS333" s="29" t="str">
        <f t="shared" si="336"/>
        <v>#DIV/0!</v>
      </c>
      <c r="AT333" s="29" t="str">
        <f t="shared" si="336"/>
        <v>#DIV/0!</v>
      </c>
      <c r="AU333" s="29" t="str">
        <f t="shared" si="336"/>
        <v>#DIV/0!</v>
      </c>
      <c r="AV333" s="29" t="str">
        <f t="shared" si="336"/>
        <v>#DIV/0!</v>
      </c>
      <c r="AW333" s="29" t="str">
        <f t="shared" si="336"/>
        <v>#DIV/0!</v>
      </c>
      <c r="AX333" s="29" t="str">
        <f t="shared" si="336"/>
        <v>#DIV/0!</v>
      </c>
      <c r="AY333" s="29" t="str">
        <f t="shared" si="336"/>
        <v>#DIV/0!</v>
      </c>
      <c r="AZ333" s="29" t="str">
        <f t="shared" si="336"/>
        <v>#DIV/0!</v>
      </c>
      <c r="BA333" s="29" t="str">
        <f t="shared" si="336"/>
        <v>#DIV/0!</v>
      </c>
      <c r="BB333" s="29" t="str">
        <f t="shared" si="336"/>
        <v>#DIV/0!</v>
      </c>
      <c r="BC333" s="29" t="str">
        <f t="shared" si="336"/>
        <v>#DIV/0!</v>
      </c>
      <c r="BD333" s="29" t="str">
        <f t="shared" si="336"/>
        <v>#DIV/0!</v>
      </c>
      <c r="BE333" s="29" t="str">
        <f t="shared" si="336"/>
        <v>#DIV/0!</v>
      </c>
      <c r="BF333" s="29" t="str">
        <f t="shared" si="336"/>
        <v>#DIV/0!</v>
      </c>
      <c r="BG333" s="29" t="str">
        <f t="shared" si="336"/>
        <v>#DIV/0!</v>
      </c>
      <c r="BH333" s="29" t="str">
        <f t="shared" si="336"/>
        <v>#DIV/0!</v>
      </c>
      <c r="BI333" s="29" t="str">
        <f t="shared" si="336"/>
        <v>#DIV/0!</v>
      </c>
      <c r="BJ333" s="29" t="str">
        <f t="shared" si="336"/>
        <v>#DIV/0!</v>
      </c>
      <c r="BK333" s="29" t="str">
        <f t="shared" si="336"/>
        <v>#DIV/0!</v>
      </c>
      <c r="BL333" s="29" t="str">
        <f t="shared" si="336"/>
        <v>#DIV/0!</v>
      </c>
      <c r="BM333" s="29" t="str">
        <f t="shared" si="3"/>
        <v>#DIV/0!</v>
      </c>
    </row>
    <row r="334">
      <c r="A334" s="16" t="str">
        <f>IFERROR(__xludf.DUMMYFUNCTION("IFERROR(SPARKLINE(SORT(MAP(TRANSPOSE(AQ334:BL334), LAMBDA(val, IF(ISNUMBER(val), PERCENTRANK(AQ334:BL334, val)+0.01, 0))), SEQUENCE(COLUMNS(AQ334:BL334)), FALSE), {""charttype"",""column""; ""color"",""chartreuse""; ""ymin"", 0; ""ymax"", 1.01; ""highcolo"&amp;"r"", ""darkgreen""; ""lowcolor"", ""red""}), """")"),"")</f>
        <v/>
      </c>
      <c r="B334" s="17" t="str">
        <f t="shared" si="4"/>
        <v/>
      </c>
      <c r="C334" s="1" t="s">
        <v>1428</v>
      </c>
      <c r="D334" s="30" t="str">
        <f>IFERROR(__xludf.DUMMYFUNCTION("IFERROR(GOOGLEFINANCE(C334, ""NAME""))"),"Broadcom Inc")</f>
        <v>Broadcom Inc</v>
      </c>
      <c r="E334" s="30" t="s">
        <v>871</v>
      </c>
      <c r="F334" s="33" t="str">
        <f>IFERROR(__xludf.DUMMYFUNCTION("( (GOOGLEFINANCE(C334, ""price"") - Q334) / Q334 ) / (R334 / 100)"),"Loading...")</f>
        <v>Loading...</v>
      </c>
      <c r="G334" s="20" t="str">
        <f>IFERROR(__xludf.DUMMYFUNCTION("AVERAGE(ARRAYFORMULA(100 * (QUERY(GOOGLEFINANCE(C334, ""high"", TODAY()-40, TODAY()), ""SELECT Col2 WHERE Col2 IS NOT NULL ORDER BY Col1 DESC LIMIT 20"", 0) / QUERY(GOOGLEFINANCE(C334, ""low"", TODAY()-40, TODAY()), ""SELECT Col2 WHERE Col2 IS NOT NULL OR"&amp;"DER BY Col1 DESC LIMIT 20"", 0) - 1)))"),"#N/A")</f>
        <v>#N/A</v>
      </c>
      <c r="H334" s="35" t="str">
        <f t="shared" si="6"/>
        <v/>
      </c>
      <c r="I334" s="36" t="str">
        <f t="shared" si="7"/>
        <v/>
      </c>
      <c r="J334" s="37" t="str">
        <f>IFERROR(__xludf.DUMMYFUNCTION("IFERROR(
  IF(C334="""",, 
    IFERROR(
      GOOGLEFINANCE(C334, ""price"") * GOOGLEFINANCE(C334, ""volumeavg""), 
      GOOGLEFINANCE(C334, ""price"") * AVERAGE(QUERY(GOOGLEFINANCE(C334, ""volume"", TODAY()-40, TODAY()), ""SELECT Col2 WHERE Col2 IS NOT "&amp;"NULL ORDER BY Col1 DESC LIMIT 20"", 0))
    )
  ), 
"""")"),"")</f>
        <v/>
      </c>
      <c r="K334" s="21" t="str">
        <f>IFERROR(__xludf.DUMMYFUNCTION("IFERROR(GOOGLEFINANCE(C334, ""changepct"") / 100, """")"),"")</f>
        <v/>
      </c>
      <c r="L334" s="21" t="str">
        <f>IFERROR(__xludf.DUMMYFUNCTION("IFERROR((GOOGLEFINANCE(C334, ""price"") / INDEX(GOOGLEFINANCE(C334, ""price"", TODAY()-7, TODAY()), 2, 2)) - 1, """")"),"")</f>
        <v/>
      </c>
      <c r="M334" s="21" t="str">
        <f>IFERROR(__xludf.DUMMYFUNCTION("IFERROR((GOOGLEFINANCE(C334, ""price"") / INDEX(GOOGLEFINANCE(C334, ""price"", EDATE(TODAY(), -1), TODAY()), 2, 2)) - 1, """")"),"")</f>
        <v/>
      </c>
      <c r="N334" s="21" t="str">
        <f>IFERROR(__xludf.DUMMYFUNCTION("IFERROR((GOOGLEFINANCE(C334, ""price"") / INDEX(GOOGLEFINANCE(C334, ""price"", EDATE(TODAY(), -3), TODAY()), 2, 2)) - 1, """")"),"")</f>
        <v/>
      </c>
      <c r="O334" s="21" t="str">
        <f>IFERROR(__xludf.DUMMYFUNCTION("IFERROR((GOOGLEFINANCE(C334, ""price"") / INDEX(GOOGLEFINANCE(C334, ""price"", EDATE(TODAY(), -6), TODAY()), 2, 2)) - 1, """")"),"")</f>
        <v/>
      </c>
      <c r="P334" s="21" t="str">
        <f>IFERROR(__xludf.DUMMYFUNCTION("IFERROR((GOOGLEFINANCE(C334, ""price"") / INDEX(GOOGLEFINANCE(C334, ""price"", EDATE(TODAY(), -12), TODAY()), 2, 2)) - 1, """")"),"")</f>
        <v/>
      </c>
      <c r="Q334" s="6" t="str">
        <f>IFERROR(__xludf.DUMMYFUNCTION("AVERAGE(QUERY(GOOGLEFINANCE(C334, ""price"", TODAY()-80, TODAY()), ""SELECT Col2 WHERE Col2 IS NOT NULL ORDER BY Col1 DESC LIMIT 50"", 0))"),"#N/A")</f>
        <v>#N/A</v>
      </c>
      <c r="R334" s="24" t="str">
        <f>IFERROR(__xludf.DUMMYFUNCTION("IFERROR(
  LET(
    data, QUERY(GOOGLEFINANCE(C334,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GOOGLEFINANCE(C334, ""price"")) * 100,
    IF(calc=0, G334, calc)
  ), 
G334)"),"#N/A")</f>
        <v>#N/A</v>
      </c>
      <c r="S334" s="8" t="s">
        <v>15</v>
      </c>
      <c r="T334" s="26" t="str">
        <f>IFERROR(__xludf.DUMMYFUNCTION("IFERROR(TRANSPOSE(QUERY(IFERROR(SORT(GOOGLEFINANCE(C334, ""price"", WORKDAY(TODAY(), -40), TODAY()), 1, FALSE)), ""select Col2 where Col2 is not null limit 22 label Col2 ''"", 0)), """")"),"")</f>
        <v/>
      </c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8"/>
      <c r="AO334" s="28"/>
      <c r="AP334" s="29"/>
      <c r="AQ334" s="29" t="str">
        <f t="shared" ref="AQ334:BL334" si="337">T334/T$2</f>
        <v>#N/A</v>
      </c>
      <c r="AR334" s="29" t="str">
        <f t="shared" si="337"/>
        <v>#DIV/0!</v>
      </c>
      <c r="AS334" s="29" t="str">
        <f t="shared" si="337"/>
        <v>#DIV/0!</v>
      </c>
      <c r="AT334" s="29" t="str">
        <f t="shared" si="337"/>
        <v>#DIV/0!</v>
      </c>
      <c r="AU334" s="29" t="str">
        <f t="shared" si="337"/>
        <v>#DIV/0!</v>
      </c>
      <c r="AV334" s="29" t="str">
        <f t="shared" si="337"/>
        <v>#DIV/0!</v>
      </c>
      <c r="AW334" s="29" t="str">
        <f t="shared" si="337"/>
        <v>#DIV/0!</v>
      </c>
      <c r="AX334" s="29" t="str">
        <f t="shared" si="337"/>
        <v>#DIV/0!</v>
      </c>
      <c r="AY334" s="29" t="str">
        <f t="shared" si="337"/>
        <v>#DIV/0!</v>
      </c>
      <c r="AZ334" s="29" t="str">
        <f t="shared" si="337"/>
        <v>#DIV/0!</v>
      </c>
      <c r="BA334" s="29" t="str">
        <f t="shared" si="337"/>
        <v>#DIV/0!</v>
      </c>
      <c r="BB334" s="29" t="str">
        <f t="shared" si="337"/>
        <v>#DIV/0!</v>
      </c>
      <c r="BC334" s="29" t="str">
        <f t="shared" si="337"/>
        <v>#DIV/0!</v>
      </c>
      <c r="BD334" s="29" t="str">
        <f t="shared" si="337"/>
        <v>#DIV/0!</v>
      </c>
      <c r="BE334" s="29" t="str">
        <f t="shared" si="337"/>
        <v>#DIV/0!</v>
      </c>
      <c r="BF334" s="29" t="str">
        <f t="shared" si="337"/>
        <v>#DIV/0!</v>
      </c>
      <c r="BG334" s="29" t="str">
        <f t="shared" si="337"/>
        <v>#DIV/0!</v>
      </c>
      <c r="BH334" s="29" t="str">
        <f t="shared" si="337"/>
        <v>#DIV/0!</v>
      </c>
      <c r="BI334" s="29" t="str">
        <f t="shared" si="337"/>
        <v>#DIV/0!</v>
      </c>
      <c r="BJ334" s="29" t="str">
        <f t="shared" si="337"/>
        <v>#DIV/0!</v>
      </c>
      <c r="BK334" s="29" t="str">
        <f t="shared" si="337"/>
        <v>#DIV/0!</v>
      </c>
      <c r="BL334" s="29" t="str">
        <f t="shared" si="337"/>
        <v>#DIV/0!</v>
      </c>
      <c r="BM334" s="29" t="str">
        <f t="shared" si="3"/>
        <v>#DIV/0!</v>
      </c>
    </row>
    <row r="335">
      <c r="A335" s="16" t="str">
        <f>IFERROR(__xludf.DUMMYFUNCTION("IFERROR(SPARKLINE(SORT(MAP(TRANSPOSE(AQ335:BL335), LAMBDA(val, IF(ISNUMBER(val), PERCENTRANK(AQ335:BL335, val)+0.01, 0))), SEQUENCE(COLUMNS(AQ335:BL335)), FALSE), {""charttype"",""column""; ""color"",""chartreuse""; ""ymin"", 0; ""ymax"", 1.01; ""highcolo"&amp;"r"", ""darkgreen""; ""lowcolor"", ""red""}), """")"),"")</f>
        <v/>
      </c>
      <c r="B335" s="17" t="str">
        <f t="shared" si="4"/>
        <v/>
      </c>
      <c r="C335" s="1" t="s">
        <v>1431</v>
      </c>
      <c r="D335" s="30" t="str">
        <f>IFERROR(__xludf.DUMMYFUNCTION("IFERROR(GOOGLEFINANCE(C335, ""NAME""))"),"Cisco Systems Inc")</f>
        <v>Cisco Systems Inc</v>
      </c>
      <c r="E335" s="30" t="s">
        <v>716</v>
      </c>
      <c r="F335" s="33" t="str">
        <f>IFERROR(__xludf.DUMMYFUNCTION("( (GOOGLEFINANCE(C335, ""price"") - Q335) / Q335 ) / (R335 / 100)"),"Loading...")</f>
        <v>Loading...</v>
      </c>
      <c r="G335" s="20" t="str">
        <f>IFERROR(__xludf.DUMMYFUNCTION("AVERAGE(ARRAYFORMULA(100 * (QUERY(GOOGLEFINANCE(C335, ""high"", TODAY()-40, TODAY()), ""SELECT Col2 WHERE Col2 IS NOT NULL ORDER BY Col1 DESC LIMIT 20"", 0) / QUERY(GOOGLEFINANCE(C335, ""low"", TODAY()-40, TODAY()), ""SELECT Col2 WHERE Col2 IS NOT NULL OR"&amp;"DER BY Col1 DESC LIMIT 20"", 0) - 1)))"),"#N/A")</f>
        <v>#N/A</v>
      </c>
      <c r="H335" s="35" t="str">
        <f t="shared" si="6"/>
        <v/>
      </c>
      <c r="I335" s="36" t="str">
        <f t="shared" si="7"/>
        <v/>
      </c>
      <c r="J335" s="37" t="str">
        <f>IFERROR(__xludf.DUMMYFUNCTION("IFERROR(
  IF(C335="""",, 
    IFERROR(
      GOOGLEFINANCE(C335, ""price"") * GOOGLEFINANCE(C335, ""volumeavg""), 
      GOOGLEFINANCE(C335, ""price"") * AVERAGE(QUERY(GOOGLEFINANCE(C335, ""volume"", TODAY()-40, TODAY()), ""SELECT Col2 WHERE Col2 IS NOT "&amp;"NULL ORDER BY Col1 DESC LIMIT 20"", 0))
    )
  ), 
"""")"),"")</f>
        <v/>
      </c>
      <c r="K335" s="21" t="str">
        <f>IFERROR(__xludf.DUMMYFUNCTION("IFERROR(GOOGLEFINANCE(C335, ""changepct"") / 100, """")"),"")</f>
        <v/>
      </c>
      <c r="L335" s="21" t="str">
        <f>IFERROR(__xludf.DUMMYFUNCTION("IFERROR((GOOGLEFINANCE(C335, ""price"") / INDEX(GOOGLEFINANCE(C335, ""price"", TODAY()-7, TODAY()), 2, 2)) - 1, """")"),"")</f>
        <v/>
      </c>
      <c r="M335" s="21" t="str">
        <f>IFERROR(__xludf.DUMMYFUNCTION("IFERROR((GOOGLEFINANCE(C335, ""price"") / INDEX(GOOGLEFINANCE(C335, ""price"", EDATE(TODAY(), -1), TODAY()), 2, 2)) - 1, """")"),"")</f>
        <v/>
      </c>
      <c r="N335" s="21" t="str">
        <f>IFERROR(__xludf.DUMMYFUNCTION("IFERROR((GOOGLEFINANCE(C335, ""price"") / INDEX(GOOGLEFINANCE(C335, ""price"", EDATE(TODAY(), -3), TODAY()), 2, 2)) - 1, """")"),"")</f>
        <v/>
      </c>
      <c r="O335" s="21" t="str">
        <f>IFERROR(__xludf.DUMMYFUNCTION("IFERROR((GOOGLEFINANCE(C335, ""price"") / INDEX(GOOGLEFINANCE(C335, ""price"", EDATE(TODAY(), -6), TODAY()), 2, 2)) - 1, """")"),"")</f>
        <v/>
      </c>
      <c r="P335" s="21" t="str">
        <f>IFERROR(__xludf.DUMMYFUNCTION("IFERROR((GOOGLEFINANCE(C335, ""price"") / INDEX(GOOGLEFINANCE(C335, ""price"", EDATE(TODAY(), -12), TODAY()), 2, 2)) - 1, """")"),"")</f>
        <v/>
      </c>
      <c r="Q335" s="6" t="str">
        <f>IFERROR(__xludf.DUMMYFUNCTION("AVERAGE(QUERY(GOOGLEFINANCE(C335, ""price"", TODAY()-80, TODAY()), ""SELECT Col2 WHERE Col2 IS NOT NULL ORDER BY Col1 DESC LIMIT 50"", 0))"),"#N/A")</f>
        <v>#N/A</v>
      </c>
      <c r="R335" s="24" t="str">
        <f>IFERROR(__xludf.DUMMYFUNCTION("IFERROR(
  LET(
    data, QUERY(GOOGLEFINANCE(C335,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GOOGLEFINANCE(C335, ""price"")) * 100,
    IF(calc=0, G335, calc)
  ), 
G335)"),"#N/A")</f>
        <v>#N/A</v>
      </c>
      <c r="S335" s="8" t="s">
        <v>15</v>
      </c>
      <c r="T335" s="26" t="str">
        <f>IFERROR(__xludf.DUMMYFUNCTION("IFERROR(TRANSPOSE(QUERY(IFERROR(SORT(GOOGLEFINANCE(C335, ""price"", WORKDAY(TODAY(), -40), TODAY()), 1, FALSE)), ""select Col2 where Col2 is not null limit 22 label Col2 ''"", 0)), """")"),"")</f>
        <v/>
      </c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8"/>
      <c r="AO335" s="28"/>
      <c r="AP335" s="29"/>
      <c r="AQ335" s="29" t="str">
        <f t="shared" ref="AQ335:BL335" si="338">T335/T$2</f>
        <v>#N/A</v>
      </c>
      <c r="AR335" s="29" t="str">
        <f t="shared" si="338"/>
        <v>#DIV/0!</v>
      </c>
      <c r="AS335" s="29" t="str">
        <f t="shared" si="338"/>
        <v>#DIV/0!</v>
      </c>
      <c r="AT335" s="29" t="str">
        <f t="shared" si="338"/>
        <v>#DIV/0!</v>
      </c>
      <c r="AU335" s="29" t="str">
        <f t="shared" si="338"/>
        <v>#DIV/0!</v>
      </c>
      <c r="AV335" s="29" t="str">
        <f t="shared" si="338"/>
        <v>#DIV/0!</v>
      </c>
      <c r="AW335" s="29" t="str">
        <f t="shared" si="338"/>
        <v>#DIV/0!</v>
      </c>
      <c r="AX335" s="29" t="str">
        <f t="shared" si="338"/>
        <v>#DIV/0!</v>
      </c>
      <c r="AY335" s="29" t="str">
        <f t="shared" si="338"/>
        <v>#DIV/0!</v>
      </c>
      <c r="AZ335" s="29" t="str">
        <f t="shared" si="338"/>
        <v>#DIV/0!</v>
      </c>
      <c r="BA335" s="29" t="str">
        <f t="shared" si="338"/>
        <v>#DIV/0!</v>
      </c>
      <c r="BB335" s="29" t="str">
        <f t="shared" si="338"/>
        <v>#DIV/0!</v>
      </c>
      <c r="BC335" s="29" t="str">
        <f t="shared" si="338"/>
        <v>#DIV/0!</v>
      </c>
      <c r="BD335" s="29" t="str">
        <f t="shared" si="338"/>
        <v>#DIV/0!</v>
      </c>
      <c r="BE335" s="29" t="str">
        <f t="shared" si="338"/>
        <v>#DIV/0!</v>
      </c>
      <c r="BF335" s="29" t="str">
        <f t="shared" si="338"/>
        <v>#DIV/0!</v>
      </c>
      <c r="BG335" s="29" t="str">
        <f t="shared" si="338"/>
        <v>#DIV/0!</v>
      </c>
      <c r="BH335" s="29" t="str">
        <f t="shared" si="338"/>
        <v>#DIV/0!</v>
      </c>
      <c r="BI335" s="29" t="str">
        <f t="shared" si="338"/>
        <v>#DIV/0!</v>
      </c>
      <c r="BJ335" s="29" t="str">
        <f t="shared" si="338"/>
        <v>#DIV/0!</v>
      </c>
      <c r="BK335" s="29" t="str">
        <f t="shared" si="338"/>
        <v>#DIV/0!</v>
      </c>
      <c r="BL335" s="29" t="str">
        <f t="shared" si="338"/>
        <v>#DIV/0!</v>
      </c>
      <c r="BM335" s="29" t="str">
        <f t="shared" si="3"/>
        <v>#DIV/0!</v>
      </c>
    </row>
    <row r="336">
      <c r="A336" s="16" t="str">
        <f>IFERROR(__xludf.DUMMYFUNCTION("IFERROR(SPARKLINE(SORT(MAP(TRANSPOSE(AQ336:BL336), LAMBDA(val, IF(ISNUMBER(val), PERCENTRANK(AQ336:BL336, val)+0.01, 0))), SEQUENCE(COLUMNS(AQ336:BL336)), FALSE), {""charttype"",""column""; ""color"",""chartreuse""; ""ymin"", 0; ""ymax"", 1.01; ""highcolo"&amp;"r"", ""darkgreen""; ""lowcolor"", ""red""}), """")"),"")</f>
        <v/>
      </c>
      <c r="B336" s="17" t="str">
        <f t="shared" si="4"/>
        <v/>
      </c>
      <c r="C336" s="1" t="s">
        <v>1435</v>
      </c>
      <c r="D336" s="30" t="str">
        <f>IFERROR(__xludf.DUMMYFUNCTION("IFERROR(GOOGLEFINANCE(C336, ""NAME""))"),"TD Synnex Corp")</f>
        <v>TD Synnex Corp</v>
      </c>
      <c r="E336" s="30" t="s">
        <v>540</v>
      </c>
      <c r="F336" s="33" t="str">
        <f>IFERROR(__xludf.DUMMYFUNCTION("( (GOOGLEFINANCE(C336, ""price"") - Q336) / Q336 ) / (R336 / 100)"),"Loading...")</f>
        <v>Loading...</v>
      </c>
      <c r="G336" s="20" t="str">
        <f>IFERROR(__xludf.DUMMYFUNCTION("AVERAGE(ARRAYFORMULA(100 * (QUERY(GOOGLEFINANCE(C336, ""high"", TODAY()-40, TODAY()), ""SELECT Col2 WHERE Col2 IS NOT NULL ORDER BY Col1 DESC LIMIT 20"", 0) / QUERY(GOOGLEFINANCE(C336, ""low"", TODAY()-40, TODAY()), ""SELECT Col2 WHERE Col2 IS NOT NULL OR"&amp;"DER BY Col1 DESC LIMIT 20"", 0) - 1)))"),"#N/A")</f>
        <v>#N/A</v>
      </c>
      <c r="H336" s="35" t="str">
        <f t="shared" si="6"/>
        <v/>
      </c>
      <c r="I336" s="36" t="str">
        <f t="shared" si="7"/>
        <v/>
      </c>
      <c r="J336" s="37" t="str">
        <f>IFERROR(__xludf.DUMMYFUNCTION("IFERROR(
  IF(C336="""",, 
    IFERROR(
      GOOGLEFINANCE(C336, ""price"") * GOOGLEFINANCE(C336, ""volumeavg""), 
      GOOGLEFINANCE(C336, ""price"") * AVERAGE(QUERY(GOOGLEFINANCE(C336, ""volume"", TODAY()-40, TODAY()), ""SELECT Col2 WHERE Col2 IS NOT "&amp;"NULL ORDER BY Col1 DESC LIMIT 20"", 0))
    )
  ), 
"""")"),"")</f>
        <v/>
      </c>
      <c r="K336" s="21" t="str">
        <f>IFERROR(__xludf.DUMMYFUNCTION("IFERROR(GOOGLEFINANCE(C336, ""changepct"") / 100, """")"),"")</f>
        <v/>
      </c>
      <c r="L336" s="21" t="str">
        <f>IFERROR(__xludf.DUMMYFUNCTION("IFERROR((GOOGLEFINANCE(C336, ""price"") / INDEX(GOOGLEFINANCE(C336, ""price"", TODAY()-7, TODAY()), 2, 2)) - 1, """")"),"")</f>
        <v/>
      </c>
      <c r="M336" s="21" t="str">
        <f>IFERROR(__xludf.DUMMYFUNCTION("IFERROR((GOOGLEFINANCE(C336, ""price"") / INDEX(GOOGLEFINANCE(C336, ""price"", EDATE(TODAY(), -1), TODAY()), 2, 2)) - 1, """")"),"")</f>
        <v/>
      </c>
      <c r="N336" s="21" t="str">
        <f>IFERROR(__xludf.DUMMYFUNCTION("IFERROR((GOOGLEFINANCE(C336, ""price"") / INDEX(GOOGLEFINANCE(C336, ""price"", EDATE(TODAY(), -3), TODAY()), 2, 2)) - 1, """")"),"")</f>
        <v/>
      </c>
      <c r="O336" s="21" t="str">
        <f>IFERROR(__xludf.DUMMYFUNCTION("IFERROR((GOOGLEFINANCE(C336, ""price"") / INDEX(GOOGLEFINANCE(C336, ""price"", EDATE(TODAY(), -6), TODAY()), 2, 2)) - 1, """")"),"")</f>
        <v/>
      </c>
      <c r="P336" s="21" t="str">
        <f>IFERROR(__xludf.DUMMYFUNCTION("IFERROR((GOOGLEFINANCE(C336, ""price"") / INDEX(GOOGLEFINANCE(C336, ""price"", EDATE(TODAY(), -12), TODAY()), 2, 2)) - 1, """")"),"")</f>
        <v/>
      </c>
      <c r="Q336" s="6" t="str">
        <f>IFERROR(__xludf.DUMMYFUNCTION("AVERAGE(QUERY(GOOGLEFINANCE(C336, ""price"", TODAY()-80, TODAY()), ""SELECT Col2 WHERE Col2 IS NOT NULL ORDER BY Col1 DESC LIMIT 50"", 0))"),"#N/A")</f>
        <v>#N/A</v>
      </c>
      <c r="R336" s="24" t="str">
        <f>IFERROR(__xludf.DUMMYFUNCTION("IFERROR(
  LET(
    data, QUERY(GOOGLEFINANCE(C336,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GOOGLEFINANCE(C336, ""price"")) * 100,
    IF(calc=0, G336, calc)
  ), 
G336)"),"#N/A")</f>
        <v>#N/A</v>
      </c>
      <c r="S336" s="8" t="s">
        <v>15</v>
      </c>
      <c r="T336" s="26" t="str">
        <f>IFERROR(__xludf.DUMMYFUNCTION("IFERROR(TRANSPOSE(QUERY(IFERROR(SORT(GOOGLEFINANCE(C336, ""price"", WORKDAY(TODAY(), -40), TODAY()), 1, FALSE)), ""select Col2 where Col2 is not null limit 22 label Col2 ''"", 0)), """")"),"")</f>
        <v/>
      </c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8"/>
      <c r="AO336" s="28"/>
      <c r="AP336" s="29"/>
      <c r="AQ336" s="29" t="str">
        <f t="shared" ref="AQ336:BL336" si="339">T336/T$2</f>
        <v>#N/A</v>
      </c>
      <c r="AR336" s="29" t="str">
        <f t="shared" si="339"/>
        <v>#DIV/0!</v>
      </c>
      <c r="AS336" s="29" t="str">
        <f t="shared" si="339"/>
        <v>#DIV/0!</v>
      </c>
      <c r="AT336" s="29" t="str">
        <f t="shared" si="339"/>
        <v>#DIV/0!</v>
      </c>
      <c r="AU336" s="29" t="str">
        <f t="shared" si="339"/>
        <v>#DIV/0!</v>
      </c>
      <c r="AV336" s="29" t="str">
        <f t="shared" si="339"/>
        <v>#DIV/0!</v>
      </c>
      <c r="AW336" s="29" t="str">
        <f t="shared" si="339"/>
        <v>#DIV/0!</v>
      </c>
      <c r="AX336" s="29" t="str">
        <f t="shared" si="339"/>
        <v>#DIV/0!</v>
      </c>
      <c r="AY336" s="29" t="str">
        <f t="shared" si="339"/>
        <v>#DIV/0!</v>
      </c>
      <c r="AZ336" s="29" t="str">
        <f t="shared" si="339"/>
        <v>#DIV/0!</v>
      </c>
      <c r="BA336" s="29" t="str">
        <f t="shared" si="339"/>
        <v>#DIV/0!</v>
      </c>
      <c r="BB336" s="29" t="str">
        <f t="shared" si="339"/>
        <v>#DIV/0!</v>
      </c>
      <c r="BC336" s="29" t="str">
        <f t="shared" si="339"/>
        <v>#DIV/0!</v>
      </c>
      <c r="BD336" s="29" t="str">
        <f t="shared" si="339"/>
        <v>#DIV/0!</v>
      </c>
      <c r="BE336" s="29" t="str">
        <f t="shared" si="339"/>
        <v>#DIV/0!</v>
      </c>
      <c r="BF336" s="29" t="str">
        <f t="shared" si="339"/>
        <v>#DIV/0!</v>
      </c>
      <c r="BG336" s="29" t="str">
        <f t="shared" si="339"/>
        <v>#DIV/0!</v>
      </c>
      <c r="BH336" s="29" t="str">
        <f t="shared" si="339"/>
        <v>#DIV/0!</v>
      </c>
      <c r="BI336" s="29" t="str">
        <f t="shared" si="339"/>
        <v>#DIV/0!</v>
      </c>
      <c r="BJ336" s="29" t="str">
        <f t="shared" si="339"/>
        <v>#DIV/0!</v>
      </c>
      <c r="BK336" s="29" t="str">
        <f t="shared" si="339"/>
        <v>#DIV/0!</v>
      </c>
      <c r="BL336" s="29" t="str">
        <f t="shared" si="339"/>
        <v>#DIV/0!</v>
      </c>
      <c r="BM336" s="29" t="str">
        <f t="shared" si="3"/>
        <v>#DIV/0!</v>
      </c>
    </row>
    <row r="337">
      <c r="A337" s="16" t="str">
        <f>IFERROR(__xludf.DUMMYFUNCTION("IFERROR(SPARKLINE(SORT(MAP(TRANSPOSE(AQ337:BL337), LAMBDA(val, IF(ISNUMBER(val), PERCENTRANK(AQ337:BL337, val)+0.01, 0))), SEQUENCE(COLUMNS(AQ337:BL337)), FALSE), {""charttype"",""column""; ""color"",""chartreuse""; ""ymin"", 0; ""ymax"", 1.01; ""highcolo"&amp;"r"", ""darkgreen""; ""lowcolor"", ""red""}), """")"),"")</f>
        <v/>
      </c>
      <c r="B337" s="17" t="str">
        <f t="shared" si="4"/>
        <v/>
      </c>
      <c r="C337" s="1" t="s">
        <v>1439</v>
      </c>
      <c r="D337" s="30" t="str">
        <f>IFERROR(__xludf.DUMMYFUNCTION("IFERROR(GOOGLEFINANCE(C337, ""NAME""))"),"Digi International Inc")</f>
        <v>Digi International Inc</v>
      </c>
      <c r="E337" s="30" t="s">
        <v>716</v>
      </c>
      <c r="F337" s="33" t="str">
        <f>IFERROR(__xludf.DUMMYFUNCTION("( (GOOGLEFINANCE(C337, ""price"") - Q337) / Q337 ) / (R337 / 100)"),"Loading...")</f>
        <v>Loading...</v>
      </c>
      <c r="G337" s="20" t="str">
        <f>IFERROR(__xludf.DUMMYFUNCTION("AVERAGE(ARRAYFORMULA(100 * (QUERY(GOOGLEFINANCE(C337, ""high"", TODAY()-40, TODAY()), ""SELECT Col2 WHERE Col2 IS NOT NULL ORDER BY Col1 DESC LIMIT 20"", 0) / QUERY(GOOGLEFINANCE(C337, ""low"", TODAY()-40, TODAY()), ""SELECT Col2 WHERE Col2 IS NOT NULL OR"&amp;"DER BY Col1 DESC LIMIT 20"", 0) - 1)))"),"#N/A")</f>
        <v>#N/A</v>
      </c>
      <c r="H337" s="35" t="str">
        <f t="shared" si="6"/>
        <v/>
      </c>
      <c r="I337" s="36" t="str">
        <f t="shared" si="7"/>
        <v/>
      </c>
      <c r="J337" s="37" t="str">
        <f>IFERROR(__xludf.DUMMYFUNCTION("IFERROR(
  IF(C337="""",, 
    IFERROR(
      GOOGLEFINANCE(C337, ""price"") * GOOGLEFINANCE(C337, ""volumeavg""), 
      GOOGLEFINANCE(C337, ""price"") * AVERAGE(QUERY(GOOGLEFINANCE(C337, ""volume"", TODAY()-40, TODAY()), ""SELECT Col2 WHERE Col2 IS NOT "&amp;"NULL ORDER BY Col1 DESC LIMIT 20"", 0))
    )
  ), 
"""")"),"")</f>
        <v/>
      </c>
      <c r="K337" s="21" t="str">
        <f>IFERROR(__xludf.DUMMYFUNCTION("IFERROR(GOOGLEFINANCE(C337, ""changepct"") / 100, """")"),"")</f>
        <v/>
      </c>
      <c r="L337" s="21" t="str">
        <f>IFERROR(__xludf.DUMMYFUNCTION("IFERROR((GOOGLEFINANCE(C337, ""price"") / INDEX(GOOGLEFINANCE(C337, ""price"", TODAY()-7, TODAY()), 2, 2)) - 1, """")"),"")</f>
        <v/>
      </c>
      <c r="M337" s="21" t="str">
        <f>IFERROR(__xludf.DUMMYFUNCTION("IFERROR((GOOGLEFINANCE(C337, ""price"") / INDEX(GOOGLEFINANCE(C337, ""price"", EDATE(TODAY(), -1), TODAY()), 2, 2)) - 1, """")"),"")</f>
        <v/>
      </c>
      <c r="N337" s="21" t="str">
        <f>IFERROR(__xludf.DUMMYFUNCTION("IFERROR((GOOGLEFINANCE(C337, ""price"") / INDEX(GOOGLEFINANCE(C337, ""price"", EDATE(TODAY(), -3), TODAY()), 2, 2)) - 1, """")"),"")</f>
        <v/>
      </c>
      <c r="O337" s="21" t="str">
        <f>IFERROR(__xludf.DUMMYFUNCTION("IFERROR((GOOGLEFINANCE(C337, ""price"") / INDEX(GOOGLEFINANCE(C337, ""price"", EDATE(TODAY(), -6), TODAY()), 2, 2)) - 1, """")"),"")</f>
        <v/>
      </c>
      <c r="P337" s="21" t="str">
        <f>IFERROR(__xludf.DUMMYFUNCTION("IFERROR((GOOGLEFINANCE(C337, ""price"") / INDEX(GOOGLEFINANCE(C337, ""price"", EDATE(TODAY(), -12), TODAY()), 2, 2)) - 1, """")"),"")</f>
        <v/>
      </c>
      <c r="Q337" s="6" t="str">
        <f>IFERROR(__xludf.DUMMYFUNCTION("AVERAGE(QUERY(GOOGLEFINANCE(C337, ""price"", TODAY()-80, TODAY()), ""SELECT Col2 WHERE Col2 IS NOT NULL ORDER BY Col1 DESC LIMIT 50"", 0))"),"#N/A")</f>
        <v>#N/A</v>
      </c>
      <c r="R337" s="24" t="str">
        <f>IFERROR(__xludf.DUMMYFUNCTION("IFERROR(
  LET(
    data, QUERY(GOOGLEFINANCE(C337,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GOOGLEFINANCE(C337, ""price"")) * 100,
    IF(calc=0, G337, calc)
  ), 
G337)"),"#N/A")</f>
        <v>#N/A</v>
      </c>
      <c r="S337" s="8" t="s">
        <v>15</v>
      </c>
      <c r="T337" s="26" t="str">
        <f>IFERROR(__xludf.DUMMYFUNCTION("IFERROR(TRANSPOSE(QUERY(IFERROR(SORT(GOOGLEFINANCE(C337, ""price"", WORKDAY(TODAY(), -40), TODAY()), 1, FALSE)), ""select Col2 where Col2 is not null limit 22 label Col2 ''"", 0)), """")"),"")</f>
        <v/>
      </c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8"/>
      <c r="AO337" s="28"/>
      <c r="AP337" s="29"/>
      <c r="AQ337" s="29" t="str">
        <f t="shared" ref="AQ337:BL337" si="340">T337/T$2</f>
        <v>#N/A</v>
      </c>
      <c r="AR337" s="29" t="str">
        <f t="shared" si="340"/>
        <v>#DIV/0!</v>
      </c>
      <c r="AS337" s="29" t="str">
        <f t="shared" si="340"/>
        <v>#DIV/0!</v>
      </c>
      <c r="AT337" s="29" t="str">
        <f t="shared" si="340"/>
        <v>#DIV/0!</v>
      </c>
      <c r="AU337" s="29" t="str">
        <f t="shared" si="340"/>
        <v>#DIV/0!</v>
      </c>
      <c r="AV337" s="29" t="str">
        <f t="shared" si="340"/>
        <v>#DIV/0!</v>
      </c>
      <c r="AW337" s="29" t="str">
        <f t="shared" si="340"/>
        <v>#DIV/0!</v>
      </c>
      <c r="AX337" s="29" t="str">
        <f t="shared" si="340"/>
        <v>#DIV/0!</v>
      </c>
      <c r="AY337" s="29" t="str">
        <f t="shared" si="340"/>
        <v>#DIV/0!</v>
      </c>
      <c r="AZ337" s="29" t="str">
        <f t="shared" si="340"/>
        <v>#DIV/0!</v>
      </c>
      <c r="BA337" s="29" t="str">
        <f t="shared" si="340"/>
        <v>#DIV/0!</v>
      </c>
      <c r="BB337" s="29" t="str">
        <f t="shared" si="340"/>
        <v>#DIV/0!</v>
      </c>
      <c r="BC337" s="29" t="str">
        <f t="shared" si="340"/>
        <v>#DIV/0!</v>
      </c>
      <c r="BD337" s="29" t="str">
        <f t="shared" si="340"/>
        <v>#DIV/0!</v>
      </c>
      <c r="BE337" s="29" t="str">
        <f t="shared" si="340"/>
        <v>#DIV/0!</v>
      </c>
      <c r="BF337" s="29" t="str">
        <f t="shared" si="340"/>
        <v>#DIV/0!</v>
      </c>
      <c r="BG337" s="29" t="str">
        <f t="shared" si="340"/>
        <v>#DIV/0!</v>
      </c>
      <c r="BH337" s="29" t="str">
        <f t="shared" si="340"/>
        <v>#DIV/0!</v>
      </c>
      <c r="BI337" s="29" t="str">
        <f t="shared" si="340"/>
        <v>#DIV/0!</v>
      </c>
      <c r="BJ337" s="29" t="str">
        <f t="shared" si="340"/>
        <v>#DIV/0!</v>
      </c>
      <c r="BK337" s="29" t="str">
        <f t="shared" si="340"/>
        <v>#DIV/0!</v>
      </c>
      <c r="BL337" s="29" t="str">
        <f t="shared" si="340"/>
        <v>#DIV/0!</v>
      </c>
      <c r="BM337" s="29" t="str">
        <f t="shared" si="3"/>
        <v>#DIV/0!</v>
      </c>
    </row>
    <row r="338">
      <c r="A338" s="16" t="str">
        <f>IFERROR(__xludf.DUMMYFUNCTION("IFERROR(SPARKLINE(SORT(MAP(TRANSPOSE(AQ338:BL338), LAMBDA(val, IF(ISNUMBER(val), PERCENTRANK(AQ338:BL338, val)+0.01, 0))), SEQUENCE(COLUMNS(AQ338:BL338)), FALSE), {""charttype"",""column""; ""color"",""chartreuse""; ""ymin"", 0; ""ymax"", 1.01; ""highcolo"&amp;"r"", ""darkgreen""; ""lowcolor"", ""red""}), """")"),"")</f>
        <v/>
      </c>
      <c r="B338" s="17" t="str">
        <f t="shared" si="4"/>
        <v/>
      </c>
      <c r="C338" s="1" t="s">
        <v>1443</v>
      </c>
      <c r="D338" s="30" t="str">
        <f>IFERROR(__xludf.DUMMYFUNCTION("IFERROR(GOOGLEFINANCE(C338, ""NAME""))"),"Allient Inc")</f>
        <v>Allient Inc</v>
      </c>
      <c r="E338" s="30" t="s">
        <v>469</v>
      </c>
      <c r="F338" s="33" t="str">
        <f>IFERROR(__xludf.DUMMYFUNCTION("( (GOOGLEFINANCE(C338, ""price"") - Q338) / Q338 ) / (R338 / 100)"),"Loading...")</f>
        <v>Loading...</v>
      </c>
      <c r="G338" s="20" t="str">
        <f>IFERROR(__xludf.DUMMYFUNCTION("AVERAGE(ARRAYFORMULA(100 * (QUERY(GOOGLEFINANCE(C338, ""high"", TODAY()-40, TODAY()), ""SELECT Col2 WHERE Col2 IS NOT NULL ORDER BY Col1 DESC LIMIT 20"", 0) / QUERY(GOOGLEFINANCE(C338, ""low"", TODAY()-40, TODAY()), ""SELECT Col2 WHERE Col2 IS NOT NULL OR"&amp;"DER BY Col1 DESC LIMIT 20"", 0) - 1)))"),"#N/A")</f>
        <v>#N/A</v>
      </c>
      <c r="H338" s="35" t="str">
        <f t="shared" si="6"/>
        <v/>
      </c>
      <c r="I338" s="36" t="str">
        <f t="shared" si="7"/>
        <v/>
      </c>
      <c r="J338" s="37" t="str">
        <f>IFERROR(__xludf.DUMMYFUNCTION("IFERROR(
  IF(C338="""",, 
    IFERROR(
      GOOGLEFINANCE(C338, ""price"") * GOOGLEFINANCE(C338, ""volumeavg""), 
      GOOGLEFINANCE(C338, ""price"") * AVERAGE(QUERY(GOOGLEFINANCE(C338, ""volume"", TODAY()-40, TODAY()), ""SELECT Col2 WHERE Col2 IS NOT "&amp;"NULL ORDER BY Col1 DESC LIMIT 20"", 0))
    )
  ), 
"""")"),"")</f>
        <v/>
      </c>
      <c r="K338" s="21" t="str">
        <f>IFERROR(__xludf.DUMMYFUNCTION("IFERROR(GOOGLEFINANCE(C338, ""changepct"") / 100, """")"),"")</f>
        <v/>
      </c>
      <c r="L338" s="21" t="str">
        <f>IFERROR(__xludf.DUMMYFUNCTION("IFERROR((GOOGLEFINANCE(C338, ""price"") / INDEX(GOOGLEFINANCE(C338, ""price"", TODAY()-7, TODAY()), 2, 2)) - 1, """")"),"")</f>
        <v/>
      </c>
      <c r="M338" s="21" t="str">
        <f>IFERROR(__xludf.DUMMYFUNCTION("IFERROR((GOOGLEFINANCE(C338, ""price"") / INDEX(GOOGLEFINANCE(C338, ""price"", EDATE(TODAY(), -1), TODAY()), 2, 2)) - 1, """")"),"")</f>
        <v/>
      </c>
      <c r="N338" s="21" t="str">
        <f>IFERROR(__xludf.DUMMYFUNCTION("IFERROR((GOOGLEFINANCE(C338, ""price"") / INDEX(GOOGLEFINANCE(C338, ""price"", EDATE(TODAY(), -3), TODAY()), 2, 2)) - 1, """")"),"")</f>
        <v/>
      </c>
      <c r="O338" s="21" t="str">
        <f>IFERROR(__xludf.DUMMYFUNCTION("IFERROR((GOOGLEFINANCE(C338, ""price"") / INDEX(GOOGLEFINANCE(C338, ""price"", EDATE(TODAY(), -6), TODAY()), 2, 2)) - 1, """")"),"")</f>
        <v/>
      </c>
      <c r="P338" s="21" t="str">
        <f>IFERROR(__xludf.DUMMYFUNCTION("IFERROR((GOOGLEFINANCE(C338, ""price"") / INDEX(GOOGLEFINANCE(C338, ""price"", EDATE(TODAY(), -12), TODAY()), 2, 2)) - 1, """")"),"")</f>
        <v/>
      </c>
      <c r="Q338" s="6" t="str">
        <f>IFERROR(__xludf.DUMMYFUNCTION("AVERAGE(QUERY(GOOGLEFINANCE(C338, ""price"", TODAY()-80, TODAY()), ""SELECT Col2 WHERE Col2 IS NOT NULL ORDER BY Col1 DESC LIMIT 50"", 0))"),"#N/A")</f>
        <v>#N/A</v>
      </c>
      <c r="R338" s="24" t="str">
        <f>IFERROR(__xludf.DUMMYFUNCTION("IFERROR(
  LET(
    data, QUERY(GOOGLEFINANCE(C338,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GOOGLEFINANCE(C338, ""price"")) * 100,
    IF(calc=0, G338, calc)
  ), 
G338)"),"#N/A")</f>
        <v>#N/A</v>
      </c>
      <c r="S338" s="8" t="s">
        <v>15</v>
      </c>
      <c r="T338" s="26" t="str">
        <f>IFERROR(__xludf.DUMMYFUNCTION("IFERROR(TRANSPOSE(QUERY(IFERROR(SORT(GOOGLEFINANCE(C338, ""price"", WORKDAY(TODAY(), -40), TODAY()), 1, FALSE)), ""select Col2 where Col2 is not null limit 22 label Col2 ''"", 0)), """")"),"")</f>
        <v/>
      </c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8"/>
      <c r="AO338" s="28"/>
      <c r="AP338" s="29"/>
      <c r="AQ338" s="29" t="str">
        <f t="shared" ref="AQ338:BL338" si="341">T338/T$2</f>
        <v>#N/A</v>
      </c>
      <c r="AR338" s="29" t="str">
        <f t="shared" si="341"/>
        <v>#DIV/0!</v>
      </c>
      <c r="AS338" s="29" t="str">
        <f t="shared" si="341"/>
        <v>#DIV/0!</v>
      </c>
      <c r="AT338" s="29" t="str">
        <f t="shared" si="341"/>
        <v>#DIV/0!</v>
      </c>
      <c r="AU338" s="29" t="str">
        <f t="shared" si="341"/>
        <v>#DIV/0!</v>
      </c>
      <c r="AV338" s="29" t="str">
        <f t="shared" si="341"/>
        <v>#DIV/0!</v>
      </c>
      <c r="AW338" s="29" t="str">
        <f t="shared" si="341"/>
        <v>#DIV/0!</v>
      </c>
      <c r="AX338" s="29" t="str">
        <f t="shared" si="341"/>
        <v>#DIV/0!</v>
      </c>
      <c r="AY338" s="29" t="str">
        <f t="shared" si="341"/>
        <v>#DIV/0!</v>
      </c>
      <c r="AZ338" s="29" t="str">
        <f t="shared" si="341"/>
        <v>#DIV/0!</v>
      </c>
      <c r="BA338" s="29" t="str">
        <f t="shared" si="341"/>
        <v>#DIV/0!</v>
      </c>
      <c r="BB338" s="29" t="str">
        <f t="shared" si="341"/>
        <v>#DIV/0!</v>
      </c>
      <c r="BC338" s="29" t="str">
        <f t="shared" si="341"/>
        <v>#DIV/0!</v>
      </c>
      <c r="BD338" s="29" t="str">
        <f t="shared" si="341"/>
        <v>#DIV/0!</v>
      </c>
      <c r="BE338" s="29" t="str">
        <f t="shared" si="341"/>
        <v>#DIV/0!</v>
      </c>
      <c r="BF338" s="29" t="str">
        <f t="shared" si="341"/>
        <v>#DIV/0!</v>
      </c>
      <c r="BG338" s="29" t="str">
        <f t="shared" si="341"/>
        <v>#DIV/0!</v>
      </c>
      <c r="BH338" s="29" t="str">
        <f t="shared" si="341"/>
        <v>#DIV/0!</v>
      </c>
      <c r="BI338" s="29" t="str">
        <f t="shared" si="341"/>
        <v>#DIV/0!</v>
      </c>
      <c r="BJ338" s="29" t="str">
        <f t="shared" si="341"/>
        <v>#DIV/0!</v>
      </c>
      <c r="BK338" s="29" t="str">
        <f t="shared" si="341"/>
        <v>#DIV/0!</v>
      </c>
      <c r="BL338" s="29" t="str">
        <f t="shared" si="341"/>
        <v>#DIV/0!</v>
      </c>
      <c r="BM338" s="29" t="str">
        <f t="shared" si="3"/>
        <v>#DIV/0!</v>
      </c>
    </row>
    <row r="339">
      <c r="A339" s="16" t="str">
        <f>IFERROR(__xludf.DUMMYFUNCTION("IFERROR(SPARKLINE(SORT(MAP(TRANSPOSE(AQ339:BL339), LAMBDA(val, IF(ISNUMBER(val), PERCENTRANK(AQ339:BL339, val)+0.01, 0))), SEQUENCE(COLUMNS(AQ339:BL339)), FALSE), {""charttype"",""column""; ""color"",""chartreuse""; ""ymin"", 0; ""ymax"", 1.01; ""highcolo"&amp;"r"", ""darkgreen""; ""lowcolor"", ""red""}), """")"),"")</f>
        <v/>
      </c>
      <c r="B339" s="17" t="str">
        <f t="shared" si="4"/>
        <v/>
      </c>
      <c r="C339" s="1" t="s">
        <v>1447</v>
      </c>
      <c r="D339" s="30" t="str">
        <f>IFERROR(__xludf.DUMMYFUNCTION("IFERROR(GOOGLEFINANCE(C339, ""NAME""))"),"Aeluma Inc")</f>
        <v>Aeluma Inc</v>
      </c>
      <c r="E339" s="30" t="s">
        <v>871</v>
      </c>
      <c r="F339" s="33" t="str">
        <f>IFERROR(__xludf.DUMMYFUNCTION("( (GOOGLEFINANCE(C339, ""price"") - Q339) / Q339 ) / (R339 / 100)"),"Loading...")</f>
        <v>Loading...</v>
      </c>
      <c r="G339" s="20" t="str">
        <f>IFERROR(__xludf.DUMMYFUNCTION("AVERAGE(ARRAYFORMULA(100 * (QUERY(GOOGLEFINANCE(C339, ""high"", TODAY()-40, TODAY()), ""SELECT Col2 WHERE Col2 IS NOT NULL ORDER BY Col1 DESC LIMIT 20"", 0) / QUERY(GOOGLEFINANCE(C339, ""low"", TODAY()-40, TODAY()), ""SELECT Col2 WHERE Col2 IS NOT NULL OR"&amp;"DER BY Col1 DESC LIMIT 20"", 0) - 1)))"),"#N/A")</f>
        <v>#N/A</v>
      </c>
      <c r="H339" s="35" t="str">
        <f t="shared" si="6"/>
        <v/>
      </c>
      <c r="I339" s="36" t="str">
        <f t="shared" si="7"/>
        <v/>
      </c>
      <c r="J339" s="37" t="str">
        <f>IFERROR(__xludf.DUMMYFUNCTION("IFERROR(
  IF(C339="""",, 
    IFERROR(
      GOOGLEFINANCE(C339, ""price"") * GOOGLEFINANCE(C339, ""volumeavg""), 
      GOOGLEFINANCE(C339, ""price"") * AVERAGE(QUERY(GOOGLEFINANCE(C339, ""volume"", TODAY()-40, TODAY()), ""SELECT Col2 WHERE Col2 IS NOT "&amp;"NULL ORDER BY Col1 DESC LIMIT 20"", 0))
    )
  ), 
"""")"),"")</f>
        <v/>
      </c>
      <c r="K339" s="21" t="str">
        <f>IFERROR(__xludf.DUMMYFUNCTION("IFERROR(GOOGLEFINANCE(C339, ""changepct"") / 100, """")"),"")</f>
        <v/>
      </c>
      <c r="L339" s="21" t="str">
        <f>IFERROR(__xludf.DUMMYFUNCTION("IFERROR((GOOGLEFINANCE(C339, ""price"") / INDEX(GOOGLEFINANCE(C339, ""price"", TODAY()-7, TODAY()), 2, 2)) - 1, """")"),"")</f>
        <v/>
      </c>
      <c r="M339" s="21" t="str">
        <f>IFERROR(__xludf.DUMMYFUNCTION("IFERROR((GOOGLEFINANCE(C339, ""price"") / INDEX(GOOGLEFINANCE(C339, ""price"", EDATE(TODAY(), -1), TODAY()), 2, 2)) - 1, """")"),"")</f>
        <v/>
      </c>
      <c r="N339" s="21" t="str">
        <f>IFERROR(__xludf.DUMMYFUNCTION("IFERROR((GOOGLEFINANCE(C339, ""price"") / INDEX(GOOGLEFINANCE(C339, ""price"", EDATE(TODAY(), -3), TODAY()), 2, 2)) - 1, """")"),"")</f>
        <v/>
      </c>
      <c r="O339" s="21" t="str">
        <f>IFERROR(__xludf.DUMMYFUNCTION("IFERROR((GOOGLEFINANCE(C339, ""price"") / INDEX(GOOGLEFINANCE(C339, ""price"", EDATE(TODAY(), -6), TODAY()), 2, 2)) - 1, """")"),"")</f>
        <v/>
      </c>
      <c r="P339" s="21" t="str">
        <f>IFERROR(__xludf.DUMMYFUNCTION("IFERROR((GOOGLEFINANCE(C339, ""price"") / INDEX(GOOGLEFINANCE(C339, ""price"", EDATE(TODAY(), -12), TODAY()), 2, 2)) - 1, """")"),"")</f>
        <v/>
      </c>
      <c r="Q339" s="6" t="str">
        <f>IFERROR(__xludf.DUMMYFUNCTION("AVERAGE(QUERY(GOOGLEFINANCE(C339, ""price"", TODAY()-80, TODAY()), ""SELECT Col2 WHERE Col2 IS NOT NULL ORDER BY Col1 DESC LIMIT 50"", 0))"),"#N/A")</f>
        <v>#N/A</v>
      </c>
      <c r="R339" s="24" t="str">
        <f>IFERROR(__xludf.DUMMYFUNCTION("IFERROR(
  LET(
    data, QUERY(GOOGLEFINANCE(C339,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GOOGLEFINANCE(C339, ""price"")) * 100,
    IF(calc=0, G339, calc)
  ), 
G339)"),"#N/A")</f>
        <v>#N/A</v>
      </c>
      <c r="S339" s="8" t="s">
        <v>15</v>
      </c>
      <c r="T339" s="26" t="str">
        <f>IFERROR(__xludf.DUMMYFUNCTION("IFERROR(TRANSPOSE(QUERY(IFERROR(SORT(GOOGLEFINANCE(C339, ""price"", WORKDAY(TODAY(), -40), TODAY()), 1, FALSE)), ""select Col2 where Col2 is not null limit 22 label Col2 ''"", 0)), """")"),"")</f>
        <v/>
      </c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8"/>
      <c r="AO339" s="28"/>
      <c r="AP339" s="29"/>
      <c r="AQ339" s="29" t="str">
        <f t="shared" ref="AQ339:BL339" si="342">T339/T$2</f>
        <v>#N/A</v>
      </c>
      <c r="AR339" s="29" t="str">
        <f t="shared" si="342"/>
        <v>#DIV/0!</v>
      </c>
      <c r="AS339" s="29" t="str">
        <f t="shared" si="342"/>
        <v>#DIV/0!</v>
      </c>
      <c r="AT339" s="29" t="str">
        <f t="shared" si="342"/>
        <v>#DIV/0!</v>
      </c>
      <c r="AU339" s="29" t="str">
        <f t="shared" si="342"/>
        <v>#DIV/0!</v>
      </c>
      <c r="AV339" s="29" t="str">
        <f t="shared" si="342"/>
        <v>#DIV/0!</v>
      </c>
      <c r="AW339" s="29" t="str">
        <f t="shared" si="342"/>
        <v>#DIV/0!</v>
      </c>
      <c r="AX339" s="29" t="str">
        <f t="shared" si="342"/>
        <v>#DIV/0!</v>
      </c>
      <c r="AY339" s="29" t="str">
        <f t="shared" si="342"/>
        <v>#DIV/0!</v>
      </c>
      <c r="AZ339" s="29" t="str">
        <f t="shared" si="342"/>
        <v>#DIV/0!</v>
      </c>
      <c r="BA339" s="29" t="str">
        <f t="shared" si="342"/>
        <v>#DIV/0!</v>
      </c>
      <c r="BB339" s="29" t="str">
        <f t="shared" si="342"/>
        <v>#DIV/0!</v>
      </c>
      <c r="BC339" s="29" t="str">
        <f t="shared" si="342"/>
        <v>#DIV/0!</v>
      </c>
      <c r="BD339" s="29" t="str">
        <f t="shared" si="342"/>
        <v>#DIV/0!</v>
      </c>
      <c r="BE339" s="29" t="str">
        <f t="shared" si="342"/>
        <v>#DIV/0!</v>
      </c>
      <c r="BF339" s="29" t="str">
        <f t="shared" si="342"/>
        <v>#DIV/0!</v>
      </c>
      <c r="BG339" s="29" t="str">
        <f t="shared" si="342"/>
        <v>#DIV/0!</v>
      </c>
      <c r="BH339" s="29" t="str">
        <f t="shared" si="342"/>
        <v>#DIV/0!</v>
      </c>
      <c r="BI339" s="29" t="str">
        <f t="shared" si="342"/>
        <v>#DIV/0!</v>
      </c>
      <c r="BJ339" s="29" t="str">
        <f t="shared" si="342"/>
        <v>#DIV/0!</v>
      </c>
      <c r="BK339" s="29" t="str">
        <f t="shared" si="342"/>
        <v>#DIV/0!</v>
      </c>
      <c r="BL339" s="29" t="str">
        <f t="shared" si="342"/>
        <v>#DIV/0!</v>
      </c>
      <c r="BM339" s="29" t="str">
        <f t="shared" si="3"/>
        <v>#DIV/0!</v>
      </c>
    </row>
    <row r="340">
      <c r="A340" s="16" t="str">
        <f>IFERROR(__xludf.DUMMYFUNCTION("IFERROR(SPARKLINE(SORT(MAP(TRANSPOSE(AQ340:BL340), LAMBDA(val, IF(ISNUMBER(val), PERCENTRANK(AQ340:BL340, val)+0.01, 0))), SEQUENCE(COLUMNS(AQ340:BL340)), FALSE), {""charttype"",""column""; ""color"",""chartreuse""; ""ymin"", 0; ""ymax"", 1.01; ""highcolo"&amp;"r"", ""darkgreen""; ""lowcolor"", ""red""}), """")"),"")</f>
        <v/>
      </c>
      <c r="B340" s="17" t="str">
        <f t="shared" si="4"/>
        <v/>
      </c>
      <c r="C340" s="1" t="s">
        <v>1450</v>
      </c>
      <c r="D340" s="30" t="str">
        <f>IFERROR(__xludf.DUMMYFUNCTION("IFERROR(GOOGLEFINANCE(C340, ""NAME""))"),"Akamai Technologies Inc")</f>
        <v>Akamai Technologies Inc</v>
      </c>
      <c r="E340" s="30" t="s">
        <v>58</v>
      </c>
      <c r="F340" s="33" t="str">
        <f>IFERROR(__xludf.DUMMYFUNCTION("( (GOOGLEFINANCE(C340, ""price"") - Q340) / Q340 ) / (R340 / 100)"),"Loading...")</f>
        <v>Loading...</v>
      </c>
      <c r="G340" s="20" t="str">
        <f>IFERROR(__xludf.DUMMYFUNCTION("AVERAGE(ARRAYFORMULA(100 * (QUERY(GOOGLEFINANCE(C340, ""high"", TODAY()-40, TODAY()), ""SELECT Col2 WHERE Col2 IS NOT NULL ORDER BY Col1 DESC LIMIT 20"", 0) / QUERY(GOOGLEFINANCE(C340, ""low"", TODAY()-40, TODAY()), ""SELECT Col2 WHERE Col2 IS NOT NULL OR"&amp;"DER BY Col1 DESC LIMIT 20"", 0) - 1)))"),"#N/A")</f>
        <v>#N/A</v>
      </c>
      <c r="H340" s="35" t="str">
        <f t="shared" si="6"/>
        <v/>
      </c>
      <c r="I340" s="36" t="str">
        <f t="shared" si="7"/>
        <v/>
      </c>
      <c r="J340" s="37" t="str">
        <f>IFERROR(__xludf.DUMMYFUNCTION("IFERROR(
  IF(C340="""",, 
    IFERROR(
      GOOGLEFINANCE(C340, ""price"") * GOOGLEFINANCE(C340, ""volumeavg""), 
      GOOGLEFINANCE(C340, ""price"") * AVERAGE(QUERY(GOOGLEFINANCE(C340, ""volume"", TODAY()-40, TODAY()), ""SELECT Col2 WHERE Col2 IS NOT "&amp;"NULL ORDER BY Col1 DESC LIMIT 20"", 0))
    )
  ), 
"""")"),"")</f>
        <v/>
      </c>
      <c r="K340" s="21" t="str">
        <f>IFERROR(__xludf.DUMMYFUNCTION("IFERROR(GOOGLEFINANCE(C340, ""changepct"") / 100, """")"),"")</f>
        <v/>
      </c>
      <c r="L340" s="21" t="str">
        <f>IFERROR(__xludf.DUMMYFUNCTION("IFERROR((GOOGLEFINANCE(C340, ""price"") / INDEX(GOOGLEFINANCE(C340, ""price"", TODAY()-7, TODAY()), 2, 2)) - 1, """")"),"")</f>
        <v/>
      </c>
      <c r="M340" s="21" t="str">
        <f>IFERROR(__xludf.DUMMYFUNCTION("IFERROR((GOOGLEFINANCE(C340, ""price"") / INDEX(GOOGLEFINANCE(C340, ""price"", EDATE(TODAY(), -1), TODAY()), 2, 2)) - 1, """")"),"")</f>
        <v/>
      </c>
      <c r="N340" s="21" t="str">
        <f>IFERROR(__xludf.DUMMYFUNCTION("IFERROR((GOOGLEFINANCE(C340, ""price"") / INDEX(GOOGLEFINANCE(C340, ""price"", EDATE(TODAY(), -3), TODAY()), 2, 2)) - 1, """")"),"")</f>
        <v/>
      </c>
      <c r="O340" s="21" t="str">
        <f>IFERROR(__xludf.DUMMYFUNCTION("IFERROR((GOOGLEFINANCE(C340, ""price"") / INDEX(GOOGLEFINANCE(C340, ""price"", EDATE(TODAY(), -6), TODAY()), 2, 2)) - 1, """")"),"")</f>
        <v/>
      </c>
      <c r="P340" s="21" t="str">
        <f>IFERROR(__xludf.DUMMYFUNCTION("IFERROR((GOOGLEFINANCE(C340, ""price"") / INDEX(GOOGLEFINANCE(C340, ""price"", EDATE(TODAY(), -12), TODAY()), 2, 2)) - 1, """")"),"")</f>
        <v/>
      </c>
      <c r="Q340" s="6" t="str">
        <f>IFERROR(__xludf.DUMMYFUNCTION("AVERAGE(QUERY(GOOGLEFINANCE(C340, ""price"", TODAY()-80, TODAY()), ""SELECT Col2 WHERE Col2 IS NOT NULL ORDER BY Col1 DESC LIMIT 50"", 0))"),"#N/A")</f>
        <v>#N/A</v>
      </c>
      <c r="R340" s="24" t="str">
        <f>IFERROR(__xludf.DUMMYFUNCTION("IFERROR(
  LET(
    data, QUERY(GOOGLEFINANCE(C340,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GOOGLEFINANCE(C340, ""price"")) * 100,
    IF(calc=0, G340, calc)
  ), 
G340)"),"#N/A")</f>
        <v>#N/A</v>
      </c>
      <c r="S340" s="8" t="s">
        <v>15</v>
      </c>
      <c r="T340" s="26" t="str">
        <f>IFERROR(__xludf.DUMMYFUNCTION("IFERROR(TRANSPOSE(QUERY(IFERROR(SORT(GOOGLEFINANCE(C340, ""price"", WORKDAY(TODAY(), -40), TODAY()), 1, FALSE)), ""select Col2 where Col2 is not null limit 22 label Col2 ''"", 0)), """")"),"")</f>
        <v/>
      </c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8"/>
      <c r="AO340" s="28"/>
      <c r="AP340" s="29"/>
      <c r="AQ340" s="29" t="str">
        <f t="shared" ref="AQ340:BL340" si="343">T340/T$2</f>
        <v>#N/A</v>
      </c>
      <c r="AR340" s="29" t="str">
        <f t="shared" si="343"/>
        <v>#DIV/0!</v>
      </c>
      <c r="AS340" s="29" t="str">
        <f t="shared" si="343"/>
        <v>#DIV/0!</v>
      </c>
      <c r="AT340" s="29" t="str">
        <f t="shared" si="343"/>
        <v>#DIV/0!</v>
      </c>
      <c r="AU340" s="29" t="str">
        <f t="shared" si="343"/>
        <v>#DIV/0!</v>
      </c>
      <c r="AV340" s="29" t="str">
        <f t="shared" si="343"/>
        <v>#DIV/0!</v>
      </c>
      <c r="AW340" s="29" t="str">
        <f t="shared" si="343"/>
        <v>#DIV/0!</v>
      </c>
      <c r="AX340" s="29" t="str">
        <f t="shared" si="343"/>
        <v>#DIV/0!</v>
      </c>
      <c r="AY340" s="29" t="str">
        <f t="shared" si="343"/>
        <v>#DIV/0!</v>
      </c>
      <c r="AZ340" s="29" t="str">
        <f t="shared" si="343"/>
        <v>#DIV/0!</v>
      </c>
      <c r="BA340" s="29" t="str">
        <f t="shared" si="343"/>
        <v>#DIV/0!</v>
      </c>
      <c r="BB340" s="29" t="str">
        <f t="shared" si="343"/>
        <v>#DIV/0!</v>
      </c>
      <c r="BC340" s="29" t="str">
        <f t="shared" si="343"/>
        <v>#DIV/0!</v>
      </c>
      <c r="BD340" s="29" t="str">
        <f t="shared" si="343"/>
        <v>#DIV/0!</v>
      </c>
      <c r="BE340" s="29" t="str">
        <f t="shared" si="343"/>
        <v>#DIV/0!</v>
      </c>
      <c r="BF340" s="29" t="str">
        <f t="shared" si="343"/>
        <v>#DIV/0!</v>
      </c>
      <c r="BG340" s="29" t="str">
        <f t="shared" si="343"/>
        <v>#DIV/0!</v>
      </c>
      <c r="BH340" s="29" t="str">
        <f t="shared" si="343"/>
        <v>#DIV/0!</v>
      </c>
      <c r="BI340" s="29" t="str">
        <f t="shared" si="343"/>
        <v>#DIV/0!</v>
      </c>
      <c r="BJ340" s="29" t="str">
        <f t="shared" si="343"/>
        <v>#DIV/0!</v>
      </c>
      <c r="BK340" s="29" t="str">
        <f t="shared" si="343"/>
        <v>#DIV/0!</v>
      </c>
      <c r="BL340" s="29" t="str">
        <f t="shared" si="343"/>
        <v>#DIV/0!</v>
      </c>
      <c r="BM340" s="29" t="str">
        <f t="shared" si="3"/>
        <v>#DIV/0!</v>
      </c>
    </row>
    <row r="341">
      <c r="A341" s="16" t="str">
        <f>IFERROR(__xludf.DUMMYFUNCTION("IFERROR(SPARKLINE(SORT(MAP(TRANSPOSE(AQ341:BL341), LAMBDA(val, IF(ISNUMBER(val), PERCENTRANK(AQ341:BL341, val)+0.01, 0))), SEQUENCE(COLUMNS(AQ341:BL341)), FALSE), {""charttype"",""column""; ""color"",""chartreuse""; ""ymin"", 0; ""ymax"", 1.01; ""highcolo"&amp;"r"", ""darkgreen""; ""lowcolor"", ""red""}), """")"),"")</f>
        <v/>
      </c>
      <c r="B341" s="17" t="str">
        <f t="shared" si="4"/>
        <v/>
      </c>
      <c r="C341" s="1" t="s">
        <v>1454</v>
      </c>
      <c r="D341" s="30" t="str">
        <f>IFERROR(__xludf.DUMMYFUNCTION("IFERROR(GOOGLEFINANCE(C341, ""NAME""))"),"Plexus Corp")</f>
        <v>Plexus Corp</v>
      </c>
      <c r="E341" s="30" t="s">
        <v>469</v>
      </c>
      <c r="F341" s="33" t="str">
        <f>IFERROR(__xludf.DUMMYFUNCTION("( (GOOGLEFINANCE(C341, ""price"") - Q341) / Q341 ) / (R341 / 100)"),"Loading...")</f>
        <v>Loading...</v>
      </c>
      <c r="G341" s="20" t="str">
        <f>IFERROR(__xludf.DUMMYFUNCTION("AVERAGE(ARRAYFORMULA(100 * (QUERY(GOOGLEFINANCE(C341, ""high"", TODAY()-40, TODAY()), ""SELECT Col2 WHERE Col2 IS NOT NULL ORDER BY Col1 DESC LIMIT 20"", 0) / QUERY(GOOGLEFINANCE(C341, ""low"", TODAY()-40, TODAY()), ""SELECT Col2 WHERE Col2 IS NOT NULL OR"&amp;"DER BY Col1 DESC LIMIT 20"", 0) - 1)))"),"#N/A")</f>
        <v>#N/A</v>
      </c>
      <c r="H341" s="35" t="str">
        <f t="shared" si="6"/>
        <v/>
      </c>
      <c r="I341" s="36" t="str">
        <f t="shared" si="7"/>
        <v/>
      </c>
      <c r="J341" s="37" t="str">
        <f>IFERROR(__xludf.DUMMYFUNCTION("IFERROR(
  IF(C341="""",, 
    IFERROR(
      GOOGLEFINANCE(C341, ""price"") * GOOGLEFINANCE(C341, ""volumeavg""), 
      GOOGLEFINANCE(C341, ""price"") * AVERAGE(QUERY(GOOGLEFINANCE(C341, ""volume"", TODAY()-40, TODAY()), ""SELECT Col2 WHERE Col2 IS NOT "&amp;"NULL ORDER BY Col1 DESC LIMIT 20"", 0))
    )
  ), 
"""")"),"")</f>
        <v/>
      </c>
      <c r="K341" s="21" t="str">
        <f>IFERROR(__xludf.DUMMYFUNCTION("IFERROR(GOOGLEFINANCE(C341, ""changepct"") / 100, """")"),"")</f>
        <v/>
      </c>
      <c r="L341" s="21" t="str">
        <f>IFERROR(__xludf.DUMMYFUNCTION("IFERROR((GOOGLEFINANCE(C341, ""price"") / INDEX(GOOGLEFINANCE(C341, ""price"", TODAY()-7, TODAY()), 2, 2)) - 1, """")"),"")</f>
        <v/>
      </c>
      <c r="M341" s="21" t="str">
        <f>IFERROR(__xludf.DUMMYFUNCTION("IFERROR((GOOGLEFINANCE(C341, ""price"") / INDEX(GOOGLEFINANCE(C341, ""price"", EDATE(TODAY(), -1), TODAY()), 2, 2)) - 1, """")"),"")</f>
        <v/>
      </c>
      <c r="N341" s="21" t="str">
        <f>IFERROR(__xludf.DUMMYFUNCTION("IFERROR((GOOGLEFINANCE(C341, ""price"") / INDEX(GOOGLEFINANCE(C341, ""price"", EDATE(TODAY(), -3), TODAY()), 2, 2)) - 1, """")"),"")</f>
        <v/>
      </c>
      <c r="O341" s="21" t="str">
        <f>IFERROR(__xludf.DUMMYFUNCTION("IFERROR((GOOGLEFINANCE(C341, ""price"") / INDEX(GOOGLEFINANCE(C341, ""price"", EDATE(TODAY(), -6), TODAY()), 2, 2)) - 1, """")"),"")</f>
        <v/>
      </c>
      <c r="P341" s="21" t="str">
        <f>IFERROR(__xludf.DUMMYFUNCTION("IFERROR((GOOGLEFINANCE(C341, ""price"") / INDEX(GOOGLEFINANCE(C341, ""price"", EDATE(TODAY(), -12), TODAY()), 2, 2)) - 1, """")"),"")</f>
        <v/>
      </c>
      <c r="Q341" s="6" t="str">
        <f>IFERROR(__xludf.DUMMYFUNCTION("AVERAGE(QUERY(GOOGLEFINANCE(C341, ""price"", TODAY()-80, TODAY()), ""SELECT Col2 WHERE Col2 IS NOT NULL ORDER BY Col1 DESC LIMIT 50"", 0))"),"#N/A")</f>
        <v>#N/A</v>
      </c>
      <c r="R341" s="24" t="str">
        <f>IFERROR(__xludf.DUMMYFUNCTION("IFERROR(
  LET(
    data, QUERY(GOOGLEFINANCE(C341,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GOOGLEFINANCE(C341, ""price"")) * 100,
    IF(calc=0, G341, calc)
  ), 
G341)"),"#N/A")</f>
        <v>#N/A</v>
      </c>
      <c r="S341" s="8" t="s">
        <v>15</v>
      </c>
      <c r="T341" s="26" t="str">
        <f>IFERROR(__xludf.DUMMYFUNCTION("IFERROR(TRANSPOSE(QUERY(IFERROR(SORT(GOOGLEFINANCE(C341, ""price"", WORKDAY(TODAY(), -40), TODAY()), 1, FALSE)), ""select Col2 where Col2 is not null limit 22 label Col2 ''"", 0)), """")"),"")</f>
        <v/>
      </c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8"/>
      <c r="AO341" s="28"/>
      <c r="AP341" s="29"/>
      <c r="AQ341" s="29" t="str">
        <f t="shared" ref="AQ341:BL341" si="344">T341/T$2</f>
        <v>#N/A</v>
      </c>
      <c r="AR341" s="29" t="str">
        <f t="shared" si="344"/>
        <v>#DIV/0!</v>
      </c>
      <c r="AS341" s="29" t="str">
        <f t="shared" si="344"/>
        <v>#DIV/0!</v>
      </c>
      <c r="AT341" s="29" t="str">
        <f t="shared" si="344"/>
        <v>#DIV/0!</v>
      </c>
      <c r="AU341" s="29" t="str">
        <f t="shared" si="344"/>
        <v>#DIV/0!</v>
      </c>
      <c r="AV341" s="29" t="str">
        <f t="shared" si="344"/>
        <v>#DIV/0!</v>
      </c>
      <c r="AW341" s="29" t="str">
        <f t="shared" si="344"/>
        <v>#DIV/0!</v>
      </c>
      <c r="AX341" s="29" t="str">
        <f t="shared" si="344"/>
        <v>#DIV/0!</v>
      </c>
      <c r="AY341" s="29" t="str">
        <f t="shared" si="344"/>
        <v>#DIV/0!</v>
      </c>
      <c r="AZ341" s="29" t="str">
        <f t="shared" si="344"/>
        <v>#DIV/0!</v>
      </c>
      <c r="BA341" s="29" t="str">
        <f t="shared" si="344"/>
        <v>#DIV/0!</v>
      </c>
      <c r="BB341" s="29" t="str">
        <f t="shared" si="344"/>
        <v>#DIV/0!</v>
      </c>
      <c r="BC341" s="29" t="str">
        <f t="shared" si="344"/>
        <v>#DIV/0!</v>
      </c>
      <c r="BD341" s="29" t="str">
        <f t="shared" si="344"/>
        <v>#DIV/0!</v>
      </c>
      <c r="BE341" s="29" t="str">
        <f t="shared" si="344"/>
        <v>#DIV/0!</v>
      </c>
      <c r="BF341" s="29" t="str">
        <f t="shared" si="344"/>
        <v>#DIV/0!</v>
      </c>
      <c r="BG341" s="29" t="str">
        <f t="shared" si="344"/>
        <v>#DIV/0!</v>
      </c>
      <c r="BH341" s="29" t="str">
        <f t="shared" si="344"/>
        <v>#DIV/0!</v>
      </c>
      <c r="BI341" s="29" t="str">
        <f t="shared" si="344"/>
        <v>#DIV/0!</v>
      </c>
      <c r="BJ341" s="29" t="str">
        <f t="shared" si="344"/>
        <v>#DIV/0!</v>
      </c>
      <c r="BK341" s="29" t="str">
        <f t="shared" si="344"/>
        <v>#DIV/0!</v>
      </c>
      <c r="BL341" s="29" t="str">
        <f t="shared" si="344"/>
        <v>#DIV/0!</v>
      </c>
      <c r="BM341" s="29" t="str">
        <f t="shared" si="3"/>
        <v>#DIV/0!</v>
      </c>
    </row>
    <row r="342">
      <c r="A342" s="16" t="str">
        <f>IFERROR(__xludf.DUMMYFUNCTION("IFERROR(SPARKLINE(SORT(MAP(TRANSPOSE(AQ342:BL342), LAMBDA(val, IF(ISNUMBER(val), PERCENTRANK(AQ342:BL342, val)+0.01, 0))), SEQUENCE(COLUMNS(AQ342:BL342)), FALSE), {""charttype"",""column""; ""color"",""chartreuse""; ""ymin"", 0; ""ymax"", 1.01; ""highcolo"&amp;"r"", ""darkgreen""; ""lowcolor"", ""red""}), """")"),"")</f>
        <v/>
      </c>
      <c r="B342" s="17" t="str">
        <f t="shared" si="4"/>
        <v/>
      </c>
      <c r="C342" s="1" t="s">
        <v>1458</v>
      </c>
      <c r="D342" s="30" t="str">
        <f>IFERROR(__xludf.DUMMYFUNCTION("IFERROR(GOOGLEFINANCE(C342, ""NAME""))"),"Vistance Networks Inc")</f>
        <v>Vistance Networks Inc</v>
      </c>
      <c r="E342" s="30" t="s">
        <v>716</v>
      </c>
      <c r="F342" s="33" t="str">
        <f>IFERROR(__xludf.DUMMYFUNCTION("( (GOOGLEFINANCE(C342, ""price"") - Q342) / Q342 ) / (R342 / 100)"),"Loading...")</f>
        <v>Loading...</v>
      </c>
      <c r="G342" s="20" t="str">
        <f>IFERROR(__xludf.DUMMYFUNCTION("AVERAGE(ARRAYFORMULA(100 * (QUERY(GOOGLEFINANCE(C342, ""high"", TODAY()-40, TODAY()), ""SELECT Col2 WHERE Col2 IS NOT NULL ORDER BY Col1 DESC LIMIT 20"", 0) / QUERY(GOOGLEFINANCE(C342, ""low"", TODAY()-40, TODAY()), ""SELECT Col2 WHERE Col2 IS NOT NULL OR"&amp;"DER BY Col1 DESC LIMIT 20"", 0) - 1)))"),"#N/A")</f>
        <v>#N/A</v>
      </c>
      <c r="H342" s="35" t="str">
        <f t="shared" si="6"/>
        <v/>
      </c>
      <c r="I342" s="36" t="str">
        <f t="shared" si="7"/>
        <v/>
      </c>
      <c r="J342" s="37" t="str">
        <f>IFERROR(__xludf.DUMMYFUNCTION("IFERROR(
  IF(C342="""",, 
    IFERROR(
      GOOGLEFINANCE(C342, ""price"") * GOOGLEFINANCE(C342, ""volumeavg""), 
      GOOGLEFINANCE(C342, ""price"") * AVERAGE(QUERY(GOOGLEFINANCE(C342, ""volume"", TODAY()-40, TODAY()), ""SELECT Col2 WHERE Col2 IS NOT "&amp;"NULL ORDER BY Col1 DESC LIMIT 20"", 0))
    )
  ), 
"""")"),"")</f>
        <v/>
      </c>
      <c r="K342" s="21" t="str">
        <f>IFERROR(__xludf.DUMMYFUNCTION("IFERROR(GOOGLEFINANCE(C342, ""changepct"") / 100, """")"),"")</f>
        <v/>
      </c>
      <c r="L342" s="21" t="str">
        <f>IFERROR(__xludf.DUMMYFUNCTION("IFERROR((GOOGLEFINANCE(C342, ""price"") / INDEX(GOOGLEFINANCE(C342, ""price"", TODAY()-7, TODAY()), 2, 2)) - 1, """")"),"")</f>
        <v/>
      </c>
      <c r="M342" s="21" t="str">
        <f>IFERROR(__xludf.DUMMYFUNCTION("IFERROR((GOOGLEFINANCE(C342, ""price"") / INDEX(GOOGLEFINANCE(C342, ""price"", EDATE(TODAY(), -1), TODAY()), 2, 2)) - 1, """")"),"")</f>
        <v/>
      </c>
      <c r="N342" s="21" t="str">
        <f>IFERROR(__xludf.DUMMYFUNCTION("IFERROR((GOOGLEFINANCE(C342, ""price"") / INDEX(GOOGLEFINANCE(C342, ""price"", EDATE(TODAY(), -3), TODAY()), 2, 2)) - 1, """")"),"")</f>
        <v/>
      </c>
      <c r="O342" s="21" t="str">
        <f>IFERROR(__xludf.DUMMYFUNCTION("IFERROR((GOOGLEFINANCE(C342, ""price"") / INDEX(GOOGLEFINANCE(C342, ""price"", EDATE(TODAY(), -6), TODAY()), 2, 2)) - 1, """")"),"")</f>
        <v/>
      </c>
      <c r="P342" s="21" t="str">
        <f>IFERROR(__xludf.DUMMYFUNCTION("IFERROR((GOOGLEFINANCE(C342, ""price"") / INDEX(GOOGLEFINANCE(C342, ""price"", EDATE(TODAY(), -12), TODAY()), 2, 2)) - 1, """")"),"")</f>
        <v/>
      </c>
      <c r="Q342" s="6" t="str">
        <f>IFERROR(__xludf.DUMMYFUNCTION("AVERAGE(QUERY(GOOGLEFINANCE(C342, ""price"", TODAY()-80, TODAY()), ""SELECT Col2 WHERE Col2 IS NOT NULL ORDER BY Col1 DESC LIMIT 50"", 0))"),"#N/A")</f>
        <v>#N/A</v>
      </c>
      <c r="R342" s="24" t="str">
        <f>IFERROR(__xludf.DUMMYFUNCTION("IFERROR(
  LET(
    data, QUERY(GOOGLEFINANCE(C342,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GOOGLEFINANCE(C342, ""price"")) * 100,
    IF(calc=0, G342, calc)
  ), 
G342)"),"#N/A")</f>
        <v>#N/A</v>
      </c>
      <c r="S342" s="8" t="s">
        <v>15</v>
      </c>
      <c r="T342" s="26" t="str">
        <f>IFERROR(__xludf.DUMMYFUNCTION("IFERROR(TRANSPOSE(QUERY(IFERROR(SORT(GOOGLEFINANCE(C342, ""price"", WORKDAY(TODAY(), -40), TODAY()), 1, FALSE)), ""select Col2 where Col2 is not null limit 22 label Col2 ''"", 0)), """")"),"")</f>
        <v/>
      </c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8"/>
      <c r="AO342" s="28"/>
      <c r="AP342" s="29"/>
      <c r="AQ342" s="29" t="str">
        <f t="shared" ref="AQ342:BL342" si="345">T342/T$2</f>
        <v>#N/A</v>
      </c>
      <c r="AR342" s="29" t="str">
        <f t="shared" si="345"/>
        <v>#DIV/0!</v>
      </c>
      <c r="AS342" s="29" t="str">
        <f t="shared" si="345"/>
        <v>#DIV/0!</v>
      </c>
      <c r="AT342" s="29" t="str">
        <f t="shared" si="345"/>
        <v>#DIV/0!</v>
      </c>
      <c r="AU342" s="29" t="str">
        <f t="shared" si="345"/>
        <v>#DIV/0!</v>
      </c>
      <c r="AV342" s="29" t="str">
        <f t="shared" si="345"/>
        <v>#DIV/0!</v>
      </c>
      <c r="AW342" s="29" t="str">
        <f t="shared" si="345"/>
        <v>#DIV/0!</v>
      </c>
      <c r="AX342" s="29" t="str">
        <f t="shared" si="345"/>
        <v>#DIV/0!</v>
      </c>
      <c r="AY342" s="29" t="str">
        <f t="shared" si="345"/>
        <v>#DIV/0!</v>
      </c>
      <c r="AZ342" s="29" t="str">
        <f t="shared" si="345"/>
        <v>#DIV/0!</v>
      </c>
      <c r="BA342" s="29" t="str">
        <f t="shared" si="345"/>
        <v>#DIV/0!</v>
      </c>
      <c r="BB342" s="29" t="str">
        <f t="shared" si="345"/>
        <v>#DIV/0!</v>
      </c>
      <c r="BC342" s="29" t="str">
        <f t="shared" si="345"/>
        <v>#DIV/0!</v>
      </c>
      <c r="BD342" s="29" t="str">
        <f t="shared" si="345"/>
        <v>#DIV/0!</v>
      </c>
      <c r="BE342" s="29" t="str">
        <f t="shared" si="345"/>
        <v>#DIV/0!</v>
      </c>
      <c r="BF342" s="29" t="str">
        <f t="shared" si="345"/>
        <v>#DIV/0!</v>
      </c>
      <c r="BG342" s="29" t="str">
        <f t="shared" si="345"/>
        <v>#DIV/0!</v>
      </c>
      <c r="BH342" s="29" t="str">
        <f t="shared" si="345"/>
        <v>#DIV/0!</v>
      </c>
      <c r="BI342" s="29" t="str">
        <f t="shared" si="345"/>
        <v>#DIV/0!</v>
      </c>
      <c r="BJ342" s="29" t="str">
        <f t="shared" si="345"/>
        <v>#DIV/0!</v>
      </c>
      <c r="BK342" s="29" t="str">
        <f t="shared" si="345"/>
        <v>#DIV/0!</v>
      </c>
      <c r="BL342" s="29" t="str">
        <f t="shared" si="345"/>
        <v>#DIV/0!</v>
      </c>
      <c r="BM342" s="29" t="str">
        <f t="shared" si="3"/>
        <v>#DIV/0!</v>
      </c>
    </row>
    <row r="343">
      <c r="A343" s="16" t="str">
        <f>IFERROR(__xludf.DUMMYFUNCTION("IFERROR(SPARKLINE(SORT(MAP(TRANSPOSE(AQ343:BL343), LAMBDA(val, IF(ISNUMBER(val), PERCENTRANK(AQ343:BL343, val)+0.01, 0))), SEQUENCE(COLUMNS(AQ343:BL343)), FALSE), {""charttype"",""column""; ""color"",""chartreuse""; ""ymin"", 0; ""ymax"", 1.01; ""highcolo"&amp;"r"", ""darkgreen""; ""lowcolor"", ""red""}), """")"),"")</f>
        <v/>
      </c>
      <c r="B343" s="17" t="str">
        <f t="shared" si="4"/>
        <v/>
      </c>
      <c r="C343" s="1" t="s">
        <v>1461</v>
      </c>
      <c r="D343" s="30" t="str">
        <f>IFERROR(__xludf.DUMMYFUNCTION("IFERROR(GOOGLEFINANCE(C343, ""NAME""))"),"GigaCloud Technology Inc")</f>
        <v>GigaCloud Technology Inc</v>
      </c>
      <c r="E343" s="30" t="s">
        <v>58</v>
      </c>
      <c r="F343" s="33" t="str">
        <f>IFERROR(__xludf.DUMMYFUNCTION("( (GOOGLEFINANCE(C343, ""price"") - Q343) / Q343 ) / (R343 / 100)"),"Loading...")</f>
        <v>Loading...</v>
      </c>
      <c r="G343" s="20" t="str">
        <f>IFERROR(__xludf.DUMMYFUNCTION("AVERAGE(ARRAYFORMULA(100 * (QUERY(GOOGLEFINANCE(C343, ""high"", TODAY()-40, TODAY()), ""SELECT Col2 WHERE Col2 IS NOT NULL ORDER BY Col1 DESC LIMIT 20"", 0) / QUERY(GOOGLEFINANCE(C343, ""low"", TODAY()-40, TODAY()), ""SELECT Col2 WHERE Col2 IS NOT NULL OR"&amp;"DER BY Col1 DESC LIMIT 20"", 0) - 1)))"),"#N/A")</f>
        <v>#N/A</v>
      </c>
      <c r="H343" s="35" t="str">
        <f t="shared" si="6"/>
        <v/>
      </c>
      <c r="I343" s="36" t="str">
        <f t="shared" si="7"/>
        <v/>
      </c>
      <c r="J343" s="37" t="str">
        <f>IFERROR(__xludf.DUMMYFUNCTION("IFERROR(
  IF(C343="""",, 
    IFERROR(
      GOOGLEFINANCE(C343, ""price"") * GOOGLEFINANCE(C343, ""volumeavg""), 
      GOOGLEFINANCE(C343, ""price"") * AVERAGE(QUERY(GOOGLEFINANCE(C343, ""volume"", TODAY()-40, TODAY()), ""SELECT Col2 WHERE Col2 IS NOT "&amp;"NULL ORDER BY Col1 DESC LIMIT 20"", 0))
    )
  ), 
"""")"),"")</f>
        <v/>
      </c>
      <c r="K343" s="21" t="str">
        <f>IFERROR(__xludf.DUMMYFUNCTION("IFERROR(GOOGLEFINANCE(C343, ""changepct"") / 100, """")"),"")</f>
        <v/>
      </c>
      <c r="L343" s="21" t="str">
        <f>IFERROR(__xludf.DUMMYFUNCTION("IFERROR((GOOGLEFINANCE(C343, ""price"") / INDEX(GOOGLEFINANCE(C343, ""price"", TODAY()-7, TODAY()), 2, 2)) - 1, """")"),"")</f>
        <v/>
      </c>
      <c r="M343" s="21" t="str">
        <f>IFERROR(__xludf.DUMMYFUNCTION("IFERROR((GOOGLEFINANCE(C343, ""price"") / INDEX(GOOGLEFINANCE(C343, ""price"", EDATE(TODAY(), -1), TODAY()), 2, 2)) - 1, """")"),"")</f>
        <v/>
      </c>
      <c r="N343" s="21" t="str">
        <f>IFERROR(__xludf.DUMMYFUNCTION("IFERROR((GOOGLEFINANCE(C343, ""price"") / INDEX(GOOGLEFINANCE(C343, ""price"", EDATE(TODAY(), -3), TODAY()), 2, 2)) - 1, """")"),"")</f>
        <v/>
      </c>
      <c r="O343" s="21" t="str">
        <f>IFERROR(__xludf.DUMMYFUNCTION("IFERROR((GOOGLEFINANCE(C343, ""price"") / INDEX(GOOGLEFINANCE(C343, ""price"", EDATE(TODAY(), -6), TODAY()), 2, 2)) - 1, """")"),"")</f>
        <v/>
      </c>
      <c r="P343" s="21" t="str">
        <f>IFERROR(__xludf.DUMMYFUNCTION("IFERROR((GOOGLEFINANCE(C343, ""price"") / INDEX(GOOGLEFINANCE(C343, ""price"", EDATE(TODAY(), -12), TODAY()), 2, 2)) - 1, """")"),"")</f>
        <v/>
      </c>
      <c r="Q343" s="6" t="str">
        <f>IFERROR(__xludf.DUMMYFUNCTION("AVERAGE(QUERY(GOOGLEFINANCE(C343, ""price"", TODAY()-80, TODAY()), ""SELECT Col2 WHERE Col2 IS NOT NULL ORDER BY Col1 DESC LIMIT 50"", 0))"),"#N/A")</f>
        <v>#N/A</v>
      </c>
      <c r="R343" s="24" t="str">
        <f>IFERROR(__xludf.DUMMYFUNCTION("IFERROR(
  LET(
    data, QUERY(GOOGLEFINANCE(C343,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GOOGLEFINANCE(C343, ""price"")) * 100,
    IF(calc=0, G343, calc)
  ), 
G343)"),"#N/A")</f>
        <v>#N/A</v>
      </c>
      <c r="S343" s="8" t="s">
        <v>15</v>
      </c>
      <c r="T343" s="26" t="str">
        <f>IFERROR(__xludf.DUMMYFUNCTION("IFERROR(TRANSPOSE(QUERY(IFERROR(SORT(GOOGLEFINANCE(C343, ""price"", WORKDAY(TODAY(), -40), TODAY()), 1, FALSE)), ""select Col2 where Col2 is not null limit 22 label Col2 ''"", 0)), """")"),"")</f>
        <v/>
      </c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8"/>
      <c r="AO343" s="28"/>
      <c r="AP343" s="29"/>
      <c r="AQ343" s="29" t="str">
        <f t="shared" ref="AQ343:BL343" si="346">T343/T$2</f>
        <v>#N/A</v>
      </c>
      <c r="AR343" s="29" t="str">
        <f t="shared" si="346"/>
        <v>#DIV/0!</v>
      </c>
      <c r="AS343" s="29" t="str">
        <f t="shared" si="346"/>
        <v>#DIV/0!</v>
      </c>
      <c r="AT343" s="29" t="str">
        <f t="shared" si="346"/>
        <v>#DIV/0!</v>
      </c>
      <c r="AU343" s="29" t="str">
        <f t="shared" si="346"/>
        <v>#DIV/0!</v>
      </c>
      <c r="AV343" s="29" t="str">
        <f t="shared" si="346"/>
        <v>#DIV/0!</v>
      </c>
      <c r="AW343" s="29" t="str">
        <f t="shared" si="346"/>
        <v>#DIV/0!</v>
      </c>
      <c r="AX343" s="29" t="str">
        <f t="shared" si="346"/>
        <v>#DIV/0!</v>
      </c>
      <c r="AY343" s="29" t="str">
        <f t="shared" si="346"/>
        <v>#DIV/0!</v>
      </c>
      <c r="AZ343" s="29" t="str">
        <f t="shared" si="346"/>
        <v>#DIV/0!</v>
      </c>
      <c r="BA343" s="29" t="str">
        <f t="shared" si="346"/>
        <v>#DIV/0!</v>
      </c>
      <c r="BB343" s="29" t="str">
        <f t="shared" si="346"/>
        <v>#DIV/0!</v>
      </c>
      <c r="BC343" s="29" t="str">
        <f t="shared" si="346"/>
        <v>#DIV/0!</v>
      </c>
      <c r="BD343" s="29" t="str">
        <f t="shared" si="346"/>
        <v>#DIV/0!</v>
      </c>
      <c r="BE343" s="29" t="str">
        <f t="shared" si="346"/>
        <v>#DIV/0!</v>
      </c>
      <c r="BF343" s="29" t="str">
        <f t="shared" si="346"/>
        <v>#DIV/0!</v>
      </c>
      <c r="BG343" s="29" t="str">
        <f t="shared" si="346"/>
        <v>#DIV/0!</v>
      </c>
      <c r="BH343" s="29" t="str">
        <f t="shared" si="346"/>
        <v>#DIV/0!</v>
      </c>
      <c r="BI343" s="29" t="str">
        <f t="shared" si="346"/>
        <v>#DIV/0!</v>
      </c>
      <c r="BJ343" s="29" t="str">
        <f t="shared" si="346"/>
        <v>#DIV/0!</v>
      </c>
      <c r="BK343" s="29" t="str">
        <f t="shared" si="346"/>
        <v>#DIV/0!</v>
      </c>
      <c r="BL343" s="29" t="str">
        <f t="shared" si="346"/>
        <v>#DIV/0!</v>
      </c>
      <c r="BM343" s="29" t="str">
        <f t="shared" si="3"/>
        <v>#DIV/0!</v>
      </c>
    </row>
    <row r="344">
      <c r="A344" s="16" t="str">
        <f>IFERROR(__xludf.DUMMYFUNCTION("IFERROR(SPARKLINE(SORT(MAP(TRANSPOSE(AQ344:BL344), LAMBDA(val, IF(ISNUMBER(val), PERCENTRANK(AQ344:BL344, val)+0.01, 0))), SEQUENCE(COLUMNS(AQ344:BL344)), FALSE), {""charttype"",""column""; ""color"",""chartreuse""; ""ymin"", 0; ""ymax"", 1.01; ""highcolo"&amp;"r"", ""darkgreen""; ""lowcolor"", ""red""}), """")"),"")</f>
        <v/>
      </c>
      <c r="B344" s="17" t="str">
        <f t="shared" si="4"/>
        <v/>
      </c>
      <c r="C344" s="1" t="s">
        <v>1464</v>
      </c>
      <c r="D344" s="30" t="str">
        <f>IFERROR(__xludf.DUMMYFUNCTION("IFERROR(GOOGLEFINANCE(C344, ""NAME""))"),"ASML Holding NV")</f>
        <v>ASML Holding NV</v>
      </c>
      <c r="E344" s="30" t="s">
        <v>1195</v>
      </c>
      <c r="F344" s="33" t="str">
        <f>IFERROR(__xludf.DUMMYFUNCTION("( (GOOGLEFINANCE(C344, ""price"") - Q344) / Q344 ) / (R344 / 100)"),"Loading...")</f>
        <v>Loading...</v>
      </c>
      <c r="G344" s="20" t="str">
        <f>IFERROR(__xludf.DUMMYFUNCTION("AVERAGE(ARRAYFORMULA(100 * (QUERY(GOOGLEFINANCE(C344, ""high"", TODAY()-40, TODAY()), ""SELECT Col2 WHERE Col2 IS NOT NULL ORDER BY Col1 DESC LIMIT 20"", 0) / QUERY(GOOGLEFINANCE(C344, ""low"", TODAY()-40, TODAY()), ""SELECT Col2 WHERE Col2 IS NOT NULL OR"&amp;"DER BY Col1 DESC LIMIT 20"", 0) - 1)))"),"#N/A")</f>
        <v>#N/A</v>
      </c>
      <c r="H344" s="35" t="str">
        <f t="shared" si="6"/>
        <v/>
      </c>
      <c r="I344" s="36" t="str">
        <f t="shared" si="7"/>
        <v/>
      </c>
      <c r="J344" s="37" t="str">
        <f>IFERROR(__xludf.DUMMYFUNCTION("IFERROR(
  IF(C344="""",, 
    IFERROR(
      GOOGLEFINANCE(C344, ""price"") * GOOGLEFINANCE(C344, ""volumeavg""), 
      GOOGLEFINANCE(C344, ""price"") * AVERAGE(QUERY(GOOGLEFINANCE(C344, ""volume"", TODAY()-40, TODAY()), ""SELECT Col2 WHERE Col2 IS NOT "&amp;"NULL ORDER BY Col1 DESC LIMIT 20"", 0))
    )
  ), 
"""")"),"")</f>
        <v/>
      </c>
      <c r="K344" s="21" t="str">
        <f>IFERROR(__xludf.DUMMYFUNCTION("IFERROR(GOOGLEFINANCE(C344, ""changepct"") / 100, """")"),"")</f>
        <v/>
      </c>
      <c r="L344" s="21" t="str">
        <f>IFERROR(__xludf.DUMMYFUNCTION("IFERROR((GOOGLEFINANCE(C344, ""price"") / INDEX(GOOGLEFINANCE(C344, ""price"", TODAY()-7, TODAY()), 2, 2)) - 1, """")"),"")</f>
        <v/>
      </c>
      <c r="M344" s="21" t="str">
        <f>IFERROR(__xludf.DUMMYFUNCTION("IFERROR((GOOGLEFINANCE(C344, ""price"") / INDEX(GOOGLEFINANCE(C344, ""price"", EDATE(TODAY(), -1), TODAY()), 2, 2)) - 1, """")"),"")</f>
        <v/>
      </c>
      <c r="N344" s="21" t="str">
        <f>IFERROR(__xludf.DUMMYFUNCTION("IFERROR((GOOGLEFINANCE(C344, ""price"") / INDEX(GOOGLEFINANCE(C344, ""price"", EDATE(TODAY(), -3), TODAY()), 2, 2)) - 1, """")"),"")</f>
        <v/>
      </c>
      <c r="O344" s="21" t="str">
        <f>IFERROR(__xludf.DUMMYFUNCTION("IFERROR((GOOGLEFINANCE(C344, ""price"") / INDEX(GOOGLEFINANCE(C344, ""price"", EDATE(TODAY(), -6), TODAY()), 2, 2)) - 1, """")"),"")</f>
        <v/>
      </c>
      <c r="P344" s="21" t="str">
        <f>IFERROR(__xludf.DUMMYFUNCTION("IFERROR((GOOGLEFINANCE(C344, ""price"") / INDEX(GOOGLEFINANCE(C344, ""price"", EDATE(TODAY(), -12), TODAY()), 2, 2)) - 1, """")"),"")</f>
        <v/>
      </c>
      <c r="Q344" s="6" t="str">
        <f>IFERROR(__xludf.DUMMYFUNCTION("AVERAGE(QUERY(GOOGLEFINANCE(C344, ""price"", TODAY()-80, TODAY()), ""SELECT Col2 WHERE Col2 IS NOT NULL ORDER BY Col1 DESC LIMIT 50"", 0))"),"#N/A")</f>
        <v>#N/A</v>
      </c>
      <c r="R344" s="24" t="str">
        <f>IFERROR(__xludf.DUMMYFUNCTION("IFERROR(
  LET(
    data, QUERY(GOOGLEFINANCE(C344,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GOOGLEFINANCE(C344, ""price"")) * 100,
    IF(calc=0, G344, calc)
  ), 
G344)"),"#N/A")</f>
        <v>#N/A</v>
      </c>
      <c r="S344" s="8" t="s">
        <v>15</v>
      </c>
      <c r="T344" s="26" t="str">
        <f>IFERROR(__xludf.DUMMYFUNCTION("IFERROR(TRANSPOSE(QUERY(IFERROR(SORT(GOOGLEFINANCE(C344, ""price"", WORKDAY(TODAY(), -40), TODAY()), 1, FALSE)), ""select Col2 where Col2 is not null limit 22 label Col2 ''"", 0)), """")"),"")</f>
        <v/>
      </c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8"/>
      <c r="AO344" s="28"/>
      <c r="AP344" s="29"/>
      <c r="AQ344" s="29" t="str">
        <f t="shared" ref="AQ344:BL344" si="347">T344/T$2</f>
        <v>#N/A</v>
      </c>
      <c r="AR344" s="29" t="str">
        <f t="shared" si="347"/>
        <v>#DIV/0!</v>
      </c>
      <c r="AS344" s="29" t="str">
        <f t="shared" si="347"/>
        <v>#DIV/0!</v>
      </c>
      <c r="AT344" s="29" t="str">
        <f t="shared" si="347"/>
        <v>#DIV/0!</v>
      </c>
      <c r="AU344" s="29" t="str">
        <f t="shared" si="347"/>
        <v>#DIV/0!</v>
      </c>
      <c r="AV344" s="29" t="str">
        <f t="shared" si="347"/>
        <v>#DIV/0!</v>
      </c>
      <c r="AW344" s="29" t="str">
        <f t="shared" si="347"/>
        <v>#DIV/0!</v>
      </c>
      <c r="AX344" s="29" t="str">
        <f t="shared" si="347"/>
        <v>#DIV/0!</v>
      </c>
      <c r="AY344" s="29" t="str">
        <f t="shared" si="347"/>
        <v>#DIV/0!</v>
      </c>
      <c r="AZ344" s="29" t="str">
        <f t="shared" si="347"/>
        <v>#DIV/0!</v>
      </c>
      <c r="BA344" s="29" t="str">
        <f t="shared" si="347"/>
        <v>#DIV/0!</v>
      </c>
      <c r="BB344" s="29" t="str">
        <f t="shared" si="347"/>
        <v>#DIV/0!</v>
      </c>
      <c r="BC344" s="29" t="str">
        <f t="shared" si="347"/>
        <v>#DIV/0!</v>
      </c>
      <c r="BD344" s="29" t="str">
        <f t="shared" si="347"/>
        <v>#DIV/0!</v>
      </c>
      <c r="BE344" s="29" t="str">
        <f t="shared" si="347"/>
        <v>#DIV/0!</v>
      </c>
      <c r="BF344" s="29" t="str">
        <f t="shared" si="347"/>
        <v>#DIV/0!</v>
      </c>
      <c r="BG344" s="29" t="str">
        <f t="shared" si="347"/>
        <v>#DIV/0!</v>
      </c>
      <c r="BH344" s="29" t="str">
        <f t="shared" si="347"/>
        <v>#DIV/0!</v>
      </c>
      <c r="BI344" s="29" t="str">
        <f t="shared" si="347"/>
        <v>#DIV/0!</v>
      </c>
      <c r="BJ344" s="29" t="str">
        <f t="shared" si="347"/>
        <v>#DIV/0!</v>
      </c>
      <c r="BK344" s="29" t="str">
        <f t="shared" si="347"/>
        <v>#DIV/0!</v>
      </c>
      <c r="BL344" s="29" t="str">
        <f t="shared" si="347"/>
        <v>#DIV/0!</v>
      </c>
      <c r="BM344" s="29" t="str">
        <f t="shared" si="3"/>
        <v>#DIV/0!</v>
      </c>
    </row>
    <row r="345">
      <c r="A345" s="16" t="str">
        <f>IFERROR(__xludf.DUMMYFUNCTION("IFERROR(SPARKLINE(SORT(MAP(TRANSPOSE(AQ345:BL345), LAMBDA(val, IF(ISNUMBER(val), PERCENTRANK(AQ345:BL345, val)+0.01, 0))), SEQUENCE(COLUMNS(AQ345:BL345)), FALSE), {""charttype"",""column""; ""color"",""chartreuse""; ""ymin"", 0; ""ymax"", 1.01; ""highcolo"&amp;"r"", ""darkgreen""; ""lowcolor"", ""red""}), """")"),"")</f>
        <v/>
      </c>
      <c r="B345" s="17" t="str">
        <f t="shared" si="4"/>
        <v/>
      </c>
      <c r="C345" s="1" t="s">
        <v>1467</v>
      </c>
      <c r="D345" s="30" t="str">
        <f>IFERROR(__xludf.DUMMYFUNCTION("IFERROR(GOOGLEFINANCE(C345, ""NAME""))"),"Synaptics Inc")</f>
        <v>Synaptics Inc</v>
      </c>
      <c r="E345" s="30" t="s">
        <v>871</v>
      </c>
      <c r="F345" s="33" t="str">
        <f>IFERROR(__xludf.DUMMYFUNCTION("( (GOOGLEFINANCE(C345, ""price"") - Q345) / Q345 ) / (R345 / 100)"),"Loading...")</f>
        <v>Loading...</v>
      </c>
      <c r="G345" s="20" t="str">
        <f>IFERROR(__xludf.DUMMYFUNCTION("AVERAGE(ARRAYFORMULA(100 * (QUERY(GOOGLEFINANCE(C345, ""high"", TODAY()-40, TODAY()), ""SELECT Col2 WHERE Col2 IS NOT NULL ORDER BY Col1 DESC LIMIT 20"", 0) / QUERY(GOOGLEFINANCE(C345, ""low"", TODAY()-40, TODAY()), ""SELECT Col2 WHERE Col2 IS NOT NULL OR"&amp;"DER BY Col1 DESC LIMIT 20"", 0) - 1)))"),"#N/A")</f>
        <v>#N/A</v>
      </c>
      <c r="H345" s="35" t="str">
        <f t="shared" si="6"/>
        <v/>
      </c>
      <c r="I345" s="36" t="str">
        <f t="shared" si="7"/>
        <v/>
      </c>
      <c r="J345" s="37" t="str">
        <f>IFERROR(__xludf.DUMMYFUNCTION("IFERROR(
  IF(C345="""",, 
    IFERROR(
      GOOGLEFINANCE(C345, ""price"") * GOOGLEFINANCE(C345, ""volumeavg""), 
      GOOGLEFINANCE(C345, ""price"") * AVERAGE(QUERY(GOOGLEFINANCE(C345, ""volume"", TODAY()-40, TODAY()), ""SELECT Col2 WHERE Col2 IS NOT "&amp;"NULL ORDER BY Col1 DESC LIMIT 20"", 0))
    )
  ), 
"""")"),"")</f>
        <v/>
      </c>
      <c r="K345" s="21" t="str">
        <f>IFERROR(__xludf.DUMMYFUNCTION("IFERROR(GOOGLEFINANCE(C345, ""changepct"") / 100, """")"),"")</f>
        <v/>
      </c>
      <c r="L345" s="21" t="str">
        <f>IFERROR(__xludf.DUMMYFUNCTION("IFERROR((GOOGLEFINANCE(C345, ""price"") / INDEX(GOOGLEFINANCE(C345, ""price"", TODAY()-7, TODAY()), 2, 2)) - 1, """")"),"")</f>
        <v/>
      </c>
      <c r="M345" s="21" t="str">
        <f>IFERROR(__xludf.DUMMYFUNCTION("IFERROR((GOOGLEFINANCE(C345, ""price"") / INDEX(GOOGLEFINANCE(C345, ""price"", EDATE(TODAY(), -1), TODAY()), 2, 2)) - 1, """")"),"")</f>
        <v/>
      </c>
      <c r="N345" s="21" t="str">
        <f>IFERROR(__xludf.DUMMYFUNCTION("IFERROR((GOOGLEFINANCE(C345, ""price"") / INDEX(GOOGLEFINANCE(C345, ""price"", EDATE(TODAY(), -3), TODAY()), 2, 2)) - 1, """")"),"")</f>
        <v/>
      </c>
      <c r="O345" s="21" t="str">
        <f>IFERROR(__xludf.DUMMYFUNCTION("IFERROR((GOOGLEFINANCE(C345, ""price"") / INDEX(GOOGLEFINANCE(C345, ""price"", EDATE(TODAY(), -6), TODAY()), 2, 2)) - 1, """")"),"")</f>
        <v/>
      </c>
      <c r="P345" s="21" t="str">
        <f>IFERROR(__xludf.DUMMYFUNCTION("IFERROR((GOOGLEFINANCE(C345, ""price"") / INDEX(GOOGLEFINANCE(C345, ""price"", EDATE(TODAY(), -12), TODAY()), 2, 2)) - 1, """")"),"")</f>
        <v/>
      </c>
      <c r="Q345" s="6" t="str">
        <f>IFERROR(__xludf.DUMMYFUNCTION("AVERAGE(QUERY(GOOGLEFINANCE(C345, ""price"", TODAY()-80, TODAY()), ""SELECT Col2 WHERE Col2 IS NOT NULL ORDER BY Col1 DESC LIMIT 50"", 0))"),"#N/A")</f>
        <v>#N/A</v>
      </c>
      <c r="R345" s="24" t="str">
        <f>IFERROR(__xludf.DUMMYFUNCTION("IFERROR(
  LET(
    data, QUERY(GOOGLEFINANCE(C345,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GOOGLEFINANCE(C345, ""price"")) * 100,
    IF(calc=0, G345, calc)
  ), 
G345)"),"#N/A")</f>
        <v>#N/A</v>
      </c>
      <c r="S345" s="8" t="s">
        <v>15</v>
      </c>
      <c r="T345" s="26" t="str">
        <f>IFERROR(__xludf.DUMMYFUNCTION("IFERROR(TRANSPOSE(QUERY(IFERROR(SORT(GOOGLEFINANCE(C345, ""price"", WORKDAY(TODAY(), -40), TODAY()), 1, FALSE)), ""select Col2 where Col2 is not null limit 22 label Col2 ''"", 0)), """")"),"")</f>
        <v/>
      </c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8"/>
      <c r="AO345" s="28"/>
      <c r="AP345" s="29"/>
      <c r="AQ345" s="29" t="str">
        <f t="shared" ref="AQ345:BL345" si="348">T345/T$2</f>
        <v>#N/A</v>
      </c>
      <c r="AR345" s="29" t="str">
        <f t="shared" si="348"/>
        <v>#DIV/0!</v>
      </c>
      <c r="AS345" s="29" t="str">
        <f t="shared" si="348"/>
        <v>#DIV/0!</v>
      </c>
      <c r="AT345" s="29" t="str">
        <f t="shared" si="348"/>
        <v>#DIV/0!</v>
      </c>
      <c r="AU345" s="29" t="str">
        <f t="shared" si="348"/>
        <v>#DIV/0!</v>
      </c>
      <c r="AV345" s="29" t="str">
        <f t="shared" si="348"/>
        <v>#DIV/0!</v>
      </c>
      <c r="AW345" s="29" t="str">
        <f t="shared" si="348"/>
        <v>#DIV/0!</v>
      </c>
      <c r="AX345" s="29" t="str">
        <f t="shared" si="348"/>
        <v>#DIV/0!</v>
      </c>
      <c r="AY345" s="29" t="str">
        <f t="shared" si="348"/>
        <v>#DIV/0!</v>
      </c>
      <c r="AZ345" s="29" t="str">
        <f t="shared" si="348"/>
        <v>#DIV/0!</v>
      </c>
      <c r="BA345" s="29" t="str">
        <f t="shared" si="348"/>
        <v>#DIV/0!</v>
      </c>
      <c r="BB345" s="29" t="str">
        <f t="shared" si="348"/>
        <v>#DIV/0!</v>
      </c>
      <c r="BC345" s="29" t="str">
        <f t="shared" si="348"/>
        <v>#DIV/0!</v>
      </c>
      <c r="BD345" s="29" t="str">
        <f t="shared" si="348"/>
        <v>#DIV/0!</v>
      </c>
      <c r="BE345" s="29" t="str">
        <f t="shared" si="348"/>
        <v>#DIV/0!</v>
      </c>
      <c r="BF345" s="29" t="str">
        <f t="shared" si="348"/>
        <v>#DIV/0!</v>
      </c>
      <c r="BG345" s="29" t="str">
        <f t="shared" si="348"/>
        <v>#DIV/0!</v>
      </c>
      <c r="BH345" s="29" t="str">
        <f t="shared" si="348"/>
        <v>#DIV/0!</v>
      </c>
      <c r="BI345" s="29" t="str">
        <f t="shared" si="348"/>
        <v>#DIV/0!</v>
      </c>
      <c r="BJ345" s="29" t="str">
        <f t="shared" si="348"/>
        <v>#DIV/0!</v>
      </c>
      <c r="BK345" s="29" t="str">
        <f t="shared" si="348"/>
        <v>#DIV/0!</v>
      </c>
      <c r="BL345" s="29" t="str">
        <f t="shared" si="348"/>
        <v>#DIV/0!</v>
      </c>
      <c r="BM345" s="29" t="str">
        <f t="shared" si="3"/>
        <v>#DIV/0!</v>
      </c>
    </row>
    <row r="346">
      <c r="A346" s="16" t="str">
        <f>IFERROR(__xludf.DUMMYFUNCTION("IFERROR(SPARKLINE(SORT(MAP(TRANSPOSE(AQ346:BL346), LAMBDA(val, IF(ISNUMBER(val), PERCENTRANK(AQ346:BL346, val)+0.01, 0))), SEQUENCE(COLUMNS(AQ346:BL346)), FALSE), {""charttype"",""column""; ""color"",""chartreuse""; ""ymin"", 0; ""ymax"", 1.01; ""highcolo"&amp;"r"", ""darkgreen""; ""lowcolor"", ""red""}), """")"),"")</f>
        <v/>
      </c>
      <c r="B346" s="17" t="str">
        <f t="shared" si="4"/>
        <v/>
      </c>
      <c r="C346" s="1" t="s">
        <v>1470</v>
      </c>
      <c r="D346" s="30" t="str">
        <f>IFERROR(__xludf.DUMMYFUNCTION("IFERROR(GOOGLEFINANCE(C346, ""NAME""))"),"Jabil Inc")</f>
        <v>Jabil Inc</v>
      </c>
      <c r="E346" s="30" t="s">
        <v>469</v>
      </c>
      <c r="F346" s="33" t="str">
        <f>IFERROR(__xludf.DUMMYFUNCTION("( (GOOGLEFINANCE(C346, ""price"") - Q346) / Q346 ) / (R346 / 100)"),"Loading...")</f>
        <v>Loading...</v>
      </c>
      <c r="G346" s="20" t="str">
        <f>IFERROR(__xludf.DUMMYFUNCTION("AVERAGE(ARRAYFORMULA(100 * (QUERY(GOOGLEFINANCE(C346, ""high"", TODAY()-40, TODAY()), ""SELECT Col2 WHERE Col2 IS NOT NULL ORDER BY Col1 DESC LIMIT 20"", 0) / QUERY(GOOGLEFINANCE(C346, ""low"", TODAY()-40, TODAY()), ""SELECT Col2 WHERE Col2 IS NOT NULL OR"&amp;"DER BY Col1 DESC LIMIT 20"", 0) - 1)))"),"#N/A")</f>
        <v>#N/A</v>
      </c>
      <c r="H346" s="35" t="str">
        <f t="shared" si="6"/>
        <v/>
      </c>
      <c r="I346" s="36" t="str">
        <f t="shared" si="7"/>
        <v/>
      </c>
      <c r="J346" s="37" t="str">
        <f>IFERROR(__xludf.DUMMYFUNCTION("IFERROR(
  IF(C346="""",, 
    IFERROR(
      GOOGLEFINANCE(C346, ""price"") * GOOGLEFINANCE(C346, ""volumeavg""), 
      GOOGLEFINANCE(C346, ""price"") * AVERAGE(QUERY(GOOGLEFINANCE(C346, ""volume"", TODAY()-40, TODAY()), ""SELECT Col2 WHERE Col2 IS NOT "&amp;"NULL ORDER BY Col1 DESC LIMIT 20"", 0))
    )
  ), 
"""")"),"")</f>
        <v/>
      </c>
      <c r="K346" s="21" t="str">
        <f>IFERROR(__xludf.DUMMYFUNCTION("IFERROR(GOOGLEFINANCE(C346, ""changepct"") / 100, """")"),"")</f>
        <v/>
      </c>
      <c r="L346" s="21" t="str">
        <f>IFERROR(__xludf.DUMMYFUNCTION("IFERROR((GOOGLEFINANCE(C346, ""price"") / INDEX(GOOGLEFINANCE(C346, ""price"", TODAY()-7, TODAY()), 2, 2)) - 1, """")"),"")</f>
        <v/>
      </c>
      <c r="M346" s="21" t="str">
        <f>IFERROR(__xludf.DUMMYFUNCTION("IFERROR((GOOGLEFINANCE(C346, ""price"") / INDEX(GOOGLEFINANCE(C346, ""price"", EDATE(TODAY(), -1), TODAY()), 2, 2)) - 1, """")"),"")</f>
        <v/>
      </c>
      <c r="N346" s="21" t="str">
        <f>IFERROR(__xludf.DUMMYFUNCTION("IFERROR((GOOGLEFINANCE(C346, ""price"") / INDEX(GOOGLEFINANCE(C346, ""price"", EDATE(TODAY(), -3), TODAY()), 2, 2)) - 1, """")"),"")</f>
        <v/>
      </c>
      <c r="O346" s="21" t="str">
        <f>IFERROR(__xludf.DUMMYFUNCTION("IFERROR((GOOGLEFINANCE(C346, ""price"") / INDEX(GOOGLEFINANCE(C346, ""price"", EDATE(TODAY(), -6), TODAY()), 2, 2)) - 1, """")"),"")</f>
        <v/>
      </c>
      <c r="P346" s="21" t="str">
        <f>IFERROR(__xludf.DUMMYFUNCTION("IFERROR((GOOGLEFINANCE(C346, ""price"") / INDEX(GOOGLEFINANCE(C346, ""price"", EDATE(TODAY(), -12), TODAY()), 2, 2)) - 1, """")"),"")</f>
        <v/>
      </c>
      <c r="Q346" s="6" t="str">
        <f>IFERROR(__xludf.DUMMYFUNCTION("AVERAGE(QUERY(GOOGLEFINANCE(C346, ""price"", TODAY()-80, TODAY()), ""SELECT Col2 WHERE Col2 IS NOT NULL ORDER BY Col1 DESC LIMIT 50"", 0))"),"#N/A")</f>
        <v>#N/A</v>
      </c>
      <c r="R346" s="24" t="str">
        <f>IFERROR(__xludf.DUMMYFUNCTION("IFERROR(
  LET(
    data, QUERY(GOOGLEFINANCE(C346,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GOOGLEFINANCE(C346, ""price"")) * 100,
    IF(calc=0, G346, calc)
  ), 
G346)"),"#N/A")</f>
        <v>#N/A</v>
      </c>
      <c r="S346" s="8" t="s">
        <v>15</v>
      </c>
      <c r="T346" s="26" t="str">
        <f>IFERROR(__xludf.DUMMYFUNCTION("IFERROR(TRANSPOSE(QUERY(IFERROR(SORT(GOOGLEFINANCE(C346, ""price"", WORKDAY(TODAY(), -40), TODAY()), 1, FALSE)), ""select Col2 where Col2 is not null limit 22 label Col2 ''"", 0)), """")"),"")</f>
        <v/>
      </c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8"/>
      <c r="AO346" s="28"/>
      <c r="AP346" s="29"/>
      <c r="AQ346" s="29" t="str">
        <f t="shared" ref="AQ346:BL346" si="349">T346/T$2</f>
        <v>#N/A</v>
      </c>
      <c r="AR346" s="29" t="str">
        <f t="shared" si="349"/>
        <v>#DIV/0!</v>
      </c>
      <c r="AS346" s="29" t="str">
        <f t="shared" si="349"/>
        <v>#DIV/0!</v>
      </c>
      <c r="AT346" s="29" t="str">
        <f t="shared" si="349"/>
        <v>#DIV/0!</v>
      </c>
      <c r="AU346" s="29" t="str">
        <f t="shared" si="349"/>
        <v>#DIV/0!</v>
      </c>
      <c r="AV346" s="29" t="str">
        <f t="shared" si="349"/>
        <v>#DIV/0!</v>
      </c>
      <c r="AW346" s="29" t="str">
        <f t="shared" si="349"/>
        <v>#DIV/0!</v>
      </c>
      <c r="AX346" s="29" t="str">
        <f t="shared" si="349"/>
        <v>#DIV/0!</v>
      </c>
      <c r="AY346" s="29" t="str">
        <f t="shared" si="349"/>
        <v>#DIV/0!</v>
      </c>
      <c r="AZ346" s="29" t="str">
        <f t="shared" si="349"/>
        <v>#DIV/0!</v>
      </c>
      <c r="BA346" s="29" t="str">
        <f t="shared" si="349"/>
        <v>#DIV/0!</v>
      </c>
      <c r="BB346" s="29" t="str">
        <f t="shared" si="349"/>
        <v>#DIV/0!</v>
      </c>
      <c r="BC346" s="29" t="str">
        <f t="shared" si="349"/>
        <v>#DIV/0!</v>
      </c>
      <c r="BD346" s="29" t="str">
        <f t="shared" si="349"/>
        <v>#DIV/0!</v>
      </c>
      <c r="BE346" s="29" t="str">
        <f t="shared" si="349"/>
        <v>#DIV/0!</v>
      </c>
      <c r="BF346" s="29" t="str">
        <f t="shared" si="349"/>
        <v>#DIV/0!</v>
      </c>
      <c r="BG346" s="29" t="str">
        <f t="shared" si="349"/>
        <v>#DIV/0!</v>
      </c>
      <c r="BH346" s="29" t="str">
        <f t="shared" si="349"/>
        <v>#DIV/0!</v>
      </c>
      <c r="BI346" s="29" t="str">
        <f t="shared" si="349"/>
        <v>#DIV/0!</v>
      </c>
      <c r="BJ346" s="29" t="str">
        <f t="shared" si="349"/>
        <v>#DIV/0!</v>
      </c>
      <c r="BK346" s="29" t="str">
        <f t="shared" si="349"/>
        <v>#DIV/0!</v>
      </c>
      <c r="BL346" s="29" t="str">
        <f t="shared" si="349"/>
        <v>#DIV/0!</v>
      </c>
      <c r="BM346" s="29" t="str">
        <f t="shared" si="3"/>
        <v>#DIV/0!</v>
      </c>
    </row>
    <row r="347">
      <c r="A347" s="16" t="str">
        <f>IFERROR(__xludf.DUMMYFUNCTION("IFERROR(SPARKLINE(SORT(MAP(TRANSPOSE(AQ347:BL347), LAMBDA(val, IF(ISNUMBER(val), PERCENTRANK(AQ347:BL347, val)+0.01, 0))), SEQUENCE(COLUMNS(AQ347:BL347)), FALSE), {""charttype"",""column""; ""color"",""chartreuse""; ""ymin"", 0; ""ymax"", 1.01; ""highcolo"&amp;"r"", ""darkgreen""; ""lowcolor"", ""red""}), """")"),"")</f>
        <v/>
      </c>
      <c r="B347" s="17" t="str">
        <f t="shared" si="4"/>
        <v/>
      </c>
      <c r="C347" s="1" t="s">
        <v>1472</v>
      </c>
      <c r="D347" s="30" t="str">
        <f>IFERROR(__xludf.DUMMYFUNCTION("IFERROR(GOOGLEFINANCE(C347, ""NAME""))"),"Rogers Corp")</f>
        <v>Rogers Corp</v>
      </c>
      <c r="E347" s="30" t="s">
        <v>469</v>
      </c>
      <c r="F347" s="33" t="str">
        <f>IFERROR(__xludf.DUMMYFUNCTION("( (GOOGLEFINANCE(C347, ""price"") - Q347) / Q347 ) / (R347 / 100)"),"Loading...")</f>
        <v>Loading...</v>
      </c>
      <c r="G347" s="20" t="str">
        <f>IFERROR(__xludf.DUMMYFUNCTION("AVERAGE(ARRAYFORMULA(100 * (QUERY(GOOGLEFINANCE(C347, ""high"", TODAY()-40, TODAY()), ""SELECT Col2 WHERE Col2 IS NOT NULL ORDER BY Col1 DESC LIMIT 20"", 0) / QUERY(GOOGLEFINANCE(C347, ""low"", TODAY()-40, TODAY()), ""SELECT Col2 WHERE Col2 IS NOT NULL OR"&amp;"DER BY Col1 DESC LIMIT 20"", 0) - 1)))"),"#N/A")</f>
        <v>#N/A</v>
      </c>
      <c r="H347" s="35" t="str">
        <f t="shared" si="6"/>
        <v/>
      </c>
      <c r="I347" s="36" t="str">
        <f t="shared" si="7"/>
        <v/>
      </c>
      <c r="J347" s="37" t="str">
        <f>IFERROR(__xludf.DUMMYFUNCTION("IFERROR(
  IF(C347="""",, 
    IFERROR(
      GOOGLEFINANCE(C347, ""price"") * GOOGLEFINANCE(C347, ""volumeavg""), 
      GOOGLEFINANCE(C347, ""price"") * AVERAGE(QUERY(GOOGLEFINANCE(C347, ""volume"", TODAY()-40, TODAY()), ""SELECT Col2 WHERE Col2 IS NOT "&amp;"NULL ORDER BY Col1 DESC LIMIT 20"", 0))
    )
  ), 
"""")"),"")</f>
        <v/>
      </c>
      <c r="K347" s="21" t="str">
        <f>IFERROR(__xludf.DUMMYFUNCTION("IFERROR(GOOGLEFINANCE(C347, ""changepct"") / 100, """")"),"")</f>
        <v/>
      </c>
      <c r="L347" s="21" t="str">
        <f>IFERROR(__xludf.DUMMYFUNCTION("IFERROR((GOOGLEFINANCE(C347, ""price"") / INDEX(GOOGLEFINANCE(C347, ""price"", TODAY()-7, TODAY()), 2, 2)) - 1, """")"),"")</f>
        <v/>
      </c>
      <c r="M347" s="21" t="str">
        <f>IFERROR(__xludf.DUMMYFUNCTION("IFERROR((GOOGLEFINANCE(C347, ""price"") / INDEX(GOOGLEFINANCE(C347, ""price"", EDATE(TODAY(), -1), TODAY()), 2, 2)) - 1, """")"),"")</f>
        <v/>
      </c>
      <c r="N347" s="21" t="str">
        <f>IFERROR(__xludf.DUMMYFUNCTION("IFERROR((GOOGLEFINANCE(C347, ""price"") / INDEX(GOOGLEFINANCE(C347, ""price"", EDATE(TODAY(), -3), TODAY()), 2, 2)) - 1, """")"),"")</f>
        <v/>
      </c>
      <c r="O347" s="21" t="str">
        <f>IFERROR(__xludf.DUMMYFUNCTION("IFERROR((GOOGLEFINANCE(C347, ""price"") / INDEX(GOOGLEFINANCE(C347, ""price"", EDATE(TODAY(), -6), TODAY()), 2, 2)) - 1, """")"),"")</f>
        <v/>
      </c>
      <c r="P347" s="21" t="str">
        <f>IFERROR(__xludf.DUMMYFUNCTION("IFERROR((GOOGLEFINANCE(C347, ""price"") / INDEX(GOOGLEFINANCE(C347, ""price"", EDATE(TODAY(), -12), TODAY()), 2, 2)) - 1, """")"),"")</f>
        <v/>
      </c>
      <c r="Q347" s="6" t="str">
        <f>IFERROR(__xludf.DUMMYFUNCTION("AVERAGE(QUERY(GOOGLEFINANCE(C347, ""price"", TODAY()-80, TODAY()), ""SELECT Col2 WHERE Col2 IS NOT NULL ORDER BY Col1 DESC LIMIT 50"", 0))"),"#N/A")</f>
        <v>#N/A</v>
      </c>
      <c r="R347" s="24" t="str">
        <f>IFERROR(__xludf.DUMMYFUNCTION("IFERROR(
  LET(
    data, QUERY(GOOGLEFINANCE(C347,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GOOGLEFINANCE(C347, ""price"")) * 100,
    IF(calc=0, G347, calc)
  ), 
G347)"),"#N/A")</f>
        <v>#N/A</v>
      </c>
      <c r="S347" s="8" t="s">
        <v>15</v>
      </c>
      <c r="T347" s="26" t="str">
        <f>IFERROR(__xludf.DUMMYFUNCTION("IFERROR(TRANSPOSE(QUERY(IFERROR(SORT(GOOGLEFINANCE(C347, ""price"", WORKDAY(TODAY(), -40), TODAY()), 1, FALSE)), ""select Col2 where Col2 is not null limit 22 label Col2 ''"", 0)), """")"),"")</f>
        <v/>
      </c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8"/>
      <c r="AO347" s="28"/>
      <c r="AP347" s="29"/>
      <c r="AQ347" s="29" t="str">
        <f t="shared" ref="AQ347:BL347" si="350">T347/T$2</f>
        <v>#N/A</v>
      </c>
      <c r="AR347" s="29" t="str">
        <f t="shared" si="350"/>
        <v>#DIV/0!</v>
      </c>
      <c r="AS347" s="29" t="str">
        <f t="shared" si="350"/>
        <v>#DIV/0!</v>
      </c>
      <c r="AT347" s="29" t="str">
        <f t="shared" si="350"/>
        <v>#DIV/0!</v>
      </c>
      <c r="AU347" s="29" t="str">
        <f t="shared" si="350"/>
        <v>#DIV/0!</v>
      </c>
      <c r="AV347" s="29" t="str">
        <f t="shared" si="350"/>
        <v>#DIV/0!</v>
      </c>
      <c r="AW347" s="29" t="str">
        <f t="shared" si="350"/>
        <v>#DIV/0!</v>
      </c>
      <c r="AX347" s="29" t="str">
        <f t="shared" si="350"/>
        <v>#DIV/0!</v>
      </c>
      <c r="AY347" s="29" t="str">
        <f t="shared" si="350"/>
        <v>#DIV/0!</v>
      </c>
      <c r="AZ347" s="29" t="str">
        <f t="shared" si="350"/>
        <v>#DIV/0!</v>
      </c>
      <c r="BA347" s="29" t="str">
        <f t="shared" si="350"/>
        <v>#DIV/0!</v>
      </c>
      <c r="BB347" s="29" t="str">
        <f t="shared" si="350"/>
        <v>#DIV/0!</v>
      </c>
      <c r="BC347" s="29" t="str">
        <f t="shared" si="350"/>
        <v>#DIV/0!</v>
      </c>
      <c r="BD347" s="29" t="str">
        <f t="shared" si="350"/>
        <v>#DIV/0!</v>
      </c>
      <c r="BE347" s="29" t="str">
        <f t="shared" si="350"/>
        <v>#DIV/0!</v>
      </c>
      <c r="BF347" s="29" t="str">
        <f t="shared" si="350"/>
        <v>#DIV/0!</v>
      </c>
      <c r="BG347" s="29" t="str">
        <f t="shared" si="350"/>
        <v>#DIV/0!</v>
      </c>
      <c r="BH347" s="29" t="str">
        <f t="shared" si="350"/>
        <v>#DIV/0!</v>
      </c>
      <c r="BI347" s="29" t="str">
        <f t="shared" si="350"/>
        <v>#DIV/0!</v>
      </c>
      <c r="BJ347" s="29" t="str">
        <f t="shared" si="350"/>
        <v>#DIV/0!</v>
      </c>
      <c r="BK347" s="29" t="str">
        <f t="shared" si="350"/>
        <v>#DIV/0!</v>
      </c>
      <c r="BL347" s="29" t="str">
        <f t="shared" si="350"/>
        <v>#DIV/0!</v>
      </c>
      <c r="BM347" s="29" t="str">
        <f t="shared" si="3"/>
        <v>#DIV/0!</v>
      </c>
    </row>
    <row r="348">
      <c r="A348" s="16" t="str">
        <f>IFERROR(__xludf.DUMMYFUNCTION("IFERROR(SPARKLINE(SORT(MAP(TRANSPOSE(AQ348:BL348), LAMBDA(val, IF(ISNUMBER(val), PERCENTRANK(AQ348:BL348, val)+0.01, 0))), SEQUENCE(COLUMNS(AQ348:BL348)), FALSE), {""charttype"",""column""; ""color"",""chartreuse""; ""ymin"", 0; ""ymax"", 1.01; ""highcolo"&amp;"r"", ""darkgreen""; ""lowcolor"", ""red""}), """")"),"")</f>
        <v/>
      </c>
      <c r="B348" s="17" t="str">
        <f t="shared" si="4"/>
        <v/>
      </c>
      <c r="C348" s="1" t="s">
        <v>1476</v>
      </c>
      <c r="D348" s="30" t="str">
        <f>IFERROR(__xludf.DUMMYFUNCTION("IFERROR(GOOGLEFINANCE(C348, ""NAME""))"),"Littelfuse Inc")</f>
        <v>Littelfuse Inc</v>
      </c>
      <c r="E348" s="30" t="s">
        <v>469</v>
      </c>
      <c r="F348" s="33" t="str">
        <f>IFERROR(__xludf.DUMMYFUNCTION("( (GOOGLEFINANCE(C348, ""price"") - Q348) / Q348 ) / (R348 / 100)"),"Loading...")</f>
        <v>Loading...</v>
      </c>
      <c r="G348" s="20" t="str">
        <f>IFERROR(__xludf.DUMMYFUNCTION("AVERAGE(ARRAYFORMULA(100 * (QUERY(GOOGLEFINANCE(C348, ""high"", TODAY()-40, TODAY()), ""SELECT Col2 WHERE Col2 IS NOT NULL ORDER BY Col1 DESC LIMIT 20"", 0) / QUERY(GOOGLEFINANCE(C348, ""low"", TODAY()-40, TODAY()), ""SELECT Col2 WHERE Col2 IS NOT NULL OR"&amp;"DER BY Col1 DESC LIMIT 20"", 0) - 1)))"),"#N/A")</f>
        <v>#N/A</v>
      </c>
      <c r="H348" s="35" t="str">
        <f t="shared" si="6"/>
        <v/>
      </c>
      <c r="I348" s="36" t="str">
        <f t="shared" si="7"/>
        <v/>
      </c>
      <c r="J348" s="37" t="str">
        <f>IFERROR(__xludf.DUMMYFUNCTION("IFERROR(
  IF(C348="""",, 
    IFERROR(
      GOOGLEFINANCE(C348, ""price"") * GOOGLEFINANCE(C348, ""volumeavg""), 
      GOOGLEFINANCE(C348, ""price"") * AVERAGE(QUERY(GOOGLEFINANCE(C348, ""volume"", TODAY()-40, TODAY()), ""SELECT Col2 WHERE Col2 IS NOT "&amp;"NULL ORDER BY Col1 DESC LIMIT 20"", 0))
    )
  ), 
"""")"),"")</f>
        <v/>
      </c>
      <c r="K348" s="21" t="str">
        <f>IFERROR(__xludf.DUMMYFUNCTION("IFERROR(GOOGLEFINANCE(C348, ""changepct"") / 100, """")"),"")</f>
        <v/>
      </c>
      <c r="L348" s="21" t="str">
        <f>IFERROR(__xludf.DUMMYFUNCTION("IFERROR((GOOGLEFINANCE(C348, ""price"") / INDEX(GOOGLEFINANCE(C348, ""price"", TODAY()-7, TODAY()), 2, 2)) - 1, """")"),"")</f>
        <v/>
      </c>
      <c r="M348" s="21" t="str">
        <f>IFERROR(__xludf.DUMMYFUNCTION("IFERROR((GOOGLEFINANCE(C348, ""price"") / INDEX(GOOGLEFINANCE(C348, ""price"", EDATE(TODAY(), -1), TODAY()), 2, 2)) - 1, """")"),"")</f>
        <v/>
      </c>
      <c r="N348" s="21" t="str">
        <f>IFERROR(__xludf.DUMMYFUNCTION("IFERROR((GOOGLEFINANCE(C348, ""price"") / INDEX(GOOGLEFINANCE(C348, ""price"", EDATE(TODAY(), -3), TODAY()), 2, 2)) - 1, """")"),"")</f>
        <v/>
      </c>
      <c r="O348" s="21" t="str">
        <f>IFERROR(__xludf.DUMMYFUNCTION("IFERROR((GOOGLEFINANCE(C348, ""price"") / INDEX(GOOGLEFINANCE(C348, ""price"", EDATE(TODAY(), -6), TODAY()), 2, 2)) - 1, """")"),"")</f>
        <v/>
      </c>
      <c r="P348" s="21" t="str">
        <f>IFERROR(__xludf.DUMMYFUNCTION("IFERROR((GOOGLEFINANCE(C348, ""price"") / INDEX(GOOGLEFINANCE(C348, ""price"", EDATE(TODAY(), -12), TODAY()), 2, 2)) - 1, """")"),"")</f>
        <v/>
      </c>
      <c r="Q348" s="6" t="str">
        <f>IFERROR(__xludf.DUMMYFUNCTION("AVERAGE(QUERY(GOOGLEFINANCE(C348, ""price"", TODAY()-80, TODAY()), ""SELECT Col2 WHERE Col2 IS NOT NULL ORDER BY Col1 DESC LIMIT 50"", 0))"),"#N/A")</f>
        <v>#N/A</v>
      </c>
      <c r="R348" s="24" t="str">
        <f>IFERROR(__xludf.DUMMYFUNCTION("IFERROR(
  LET(
    data, QUERY(GOOGLEFINANCE(C348,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GOOGLEFINANCE(C348, ""price"")) * 100,
    IF(calc=0, G348, calc)
  ), 
G348)"),"#N/A")</f>
        <v>#N/A</v>
      </c>
      <c r="S348" s="8" t="s">
        <v>15</v>
      </c>
      <c r="T348" s="26" t="str">
        <f>IFERROR(__xludf.DUMMYFUNCTION("IFERROR(TRANSPOSE(QUERY(IFERROR(SORT(GOOGLEFINANCE(C348, ""price"", WORKDAY(TODAY(), -40), TODAY()), 1, FALSE)), ""select Col2 where Col2 is not null limit 22 label Col2 ''"", 0)), """")"),"")</f>
        <v/>
      </c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8"/>
      <c r="AO348" s="28"/>
      <c r="AP348" s="29"/>
      <c r="AQ348" s="29" t="str">
        <f t="shared" ref="AQ348:BL348" si="351">T348/T$2</f>
        <v>#N/A</v>
      </c>
      <c r="AR348" s="29" t="str">
        <f t="shared" si="351"/>
        <v>#DIV/0!</v>
      </c>
      <c r="AS348" s="29" t="str">
        <f t="shared" si="351"/>
        <v>#DIV/0!</v>
      </c>
      <c r="AT348" s="29" t="str">
        <f t="shared" si="351"/>
        <v>#DIV/0!</v>
      </c>
      <c r="AU348" s="29" t="str">
        <f t="shared" si="351"/>
        <v>#DIV/0!</v>
      </c>
      <c r="AV348" s="29" t="str">
        <f t="shared" si="351"/>
        <v>#DIV/0!</v>
      </c>
      <c r="AW348" s="29" t="str">
        <f t="shared" si="351"/>
        <v>#DIV/0!</v>
      </c>
      <c r="AX348" s="29" t="str">
        <f t="shared" si="351"/>
        <v>#DIV/0!</v>
      </c>
      <c r="AY348" s="29" t="str">
        <f t="shared" si="351"/>
        <v>#DIV/0!</v>
      </c>
      <c r="AZ348" s="29" t="str">
        <f t="shared" si="351"/>
        <v>#DIV/0!</v>
      </c>
      <c r="BA348" s="29" t="str">
        <f t="shared" si="351"/>
        <v>#DIV/0!</v>
      </c>
      <c r="BB348" s="29" t="str">
        <f t="shared" si="351"/>
        <v>#DIV/0!</v>
      </c>
      <c r="BC348" s="29" t="str">
        <f t="shared" si="351"/>
        <v>#DIV/0!</v>
      </c>
      <c r="BD348" s="29" t="str">
        <f t="shared" si="351"/>
        <v>#DIV/0!</v>
      </c>
      <c r="BE348" s="29" t="str">
        <f t="shared" si="351"/>
        <v>#DIV/0!</v>
      </c>
      <c r="BF348" s="29" t="str">
        <f t="shared" si="351"/>
        <v>#DIV/0!</v>
      </c>
      <c r="BG348" s="29" t="str">
        <f t="shared" si="351"/>
        <v>#DIV/0!</v>
      </c>
      <c r="BH348" s="29" t="str">
        <f t="shared" si="351"/>
        <v>#DIV/0!</v>
      </c>
      <c r="BI348" s="29" t="str">
        <f t="shared" si="351"/>
        <v>#DIV/0!</v>
      </c>
      <c r="BJ348" s="29" t="str">
        <f t="shared" si="351"/>
        <v>#DIV/0!</v>
      </c>
      <c r="BK348" s="29" t="str">
        <f t="shared" si="351"/>
        <v>#DIV/0!</v>
      </c>
      <c r="BL348" s="29" t="str">
        <f t="shared" si="351"/>
        <v>#DIV/0!</v>
      </c>
      <c r="BM348" s="29" t="str">
        <f t="shared" si="3"/>
        <v>#DIV/0!</v>
      </c>
    </row>
    <row r="349">
      <c r="A349" s="16" t="str">
        <f>IFERROR(__xludf.DUMMYFUNCTION("IFERROR(SPARKLINE(SORT(MAP(TRANSPOSE(AQ349:BL349), LAMBDA(val, IF(ISNUMBER(val), PERCENTRANK(AQ349:BL349, val)+0.01, 0))), SEQUENCE(COLUMNS(AQ349:BL349)), FALSE), {""charttype"",""column""; ""color"",""chartreuse""; ""ymin"", 0; ""ymax"", 1.01; ""highcolo"&amp;"r"", ""darkgreen""; ""lowcolor"", ""red""}), """")"),"")</f>
        <v/>
      </c>
      <c r="B349" s="17" t="str">
        <f t="shared" si="4"/>
        <v/>
      </c>
      <c r="C349" s="1" t="s">
        <v>1480</v>
      </c>
      <c r="D349" s="30" t="str">
        <f>IFERROR(__xludf.DUMMYFUNCTION("IFERROR(GOOGLEFINANCE(C349, ""NAME""))"),"Cognex Corp")</f>
        <v>Cognex Corp</v>
      </c>
      <c r="E349" s="30" t="s">
        <v>595</v>
      </c>
      <c r="F349" s="33" t="str">
        <f>IFERROR(__xludf.DUMMYFUNCTION("( (GOOGLEFINANCE(C349, ""price"") - Q349) / Q349 ) / (R349 / 100)"),"Loading...")</f>
        <v>Loading...</v>
      </c>
      <c r="G349" s="20" t="str">
        <f>IFERROR(__xludf.DUMMYFUNCTION("AVERAGE(ARRAYFORMULA(100 * (QUERY(GOOGLEFINANCE(C349, ""high"", TODAY()-40, TODAY()), ""SELECT Col2 WHERE Col2 IS NOT NULL ORDER BY Col1 DESC LIMIT 20"", 0) / QUERY(GOOGLEFINANCE(C349, ""low"", TODAY()-40, TODAY()), ""SELECT Col2 WHERE Col2 IS NOT NULL OR"&amp;"DER BY Col1 DESC LIMIT 20"", 0) - 1)))"),"#N/A")</f>
        <v>#N/A</v>
      </c>
      <c r="H349" s="35" t="str">
        <f t="shared" si="6"/>
        <v/>
      </c>
      <c r="I349" s="36" t="str">
        <f t="shared" si="7"/>
        <v/>
      </c>
      <c r="J349" s="37" t="str">
        <f>IFERROR(__xludf.DUMMYFUNCTION("IFERROR(
  IF(C349="""",, 
    IFERROR(
      GOOGLEFINANCE(C349, ""price"") * GOOGLEFINANCE(C349, ""volumeavg""), 
      GOOGLEFINANCE(C349, ""price"") * AVERAGE(QUERY(GOOGLEFINANCE(C349, ""volume"", TODAY()-40, TODAY()), ""SELECT Col2 WHERE Col2 IS NOT "&amp;"NULL ORDER BY Col1 DESC LIMIT 20"", 0))
    )
  ), 
"""")"),"")</f>
        <v/>
      </c>
      <c r="K349" s="21" t="str">
        <f>IFERROR(__xludf.DUMMYFUNCTION("IFERROR(GOOGLEFINANCE(C349, ""changepct"") / 100, """")"),"")</f>
        <v/>
      </c>
      <c r="L349" s="21" t="str">
        <f>IFERROR(__xludf.DUMMYFUNCTION("IFERROR((GOOGLEFINANCE(C349, ""price"") / INDEX(GOOGLEFINANCE(C349, ""price"", TODAY()-7, TODAY()), 2, 2)) - 1, """")"),"")</f>
        <v/>
      </c>
      <c r="M349" s="21" t="str">
        <f>IFERROR(__xludf.DUMMYFUNCTION("IFERROR((GOOGLEFINANCE(C349, ""price"") / INDEX(GOOGLEFINANCE(C349, ""price"", EDATE(TODAY(), -1), TODAY()), 2, 2)) - 1, """")"),"")</f>
        <v/>
      </c>
      <c r="N349" s="21" t="str">
        <f>IFERROR(__xludf.DUMMYFUNCTION("IFERROR((GOOGLEFINANCE(C349, ""price"") / INDEX(GOOGLEFINANCE(C349, ""price"", EDATE(TODAY(), -3), TODAY()), 2, 2)) - 1, """")"),"")</f>
        <v/>
      </c>
      <c r="O349" s="21" t="str">
        <f>IFERROR(__xludf.DUMMYFUNCTION("IFERROR((GOOGLEFINANCE(C349, ""price"") / INDEX(GOOGLEFINANCE(C349, ""price"", EDATE(TODAY(), -6), TODAY()), 2, 2)) - 1, """")"),"")</f>
        <v/>
      </c>
      <c r="P349" s="21" t="str">
        <f>IFERROR(__xludf.DUMMYFUNCTION("IFERROR((GOOGLEFINANCE(C349, ""price"") / INDEX(GOOGLEFINANCE(C349, ""price"", EDATE(TODAY(), -12), TODAY()), 2, 2)) - 1, """")"),"")</f>
        <v/>
      </c>
      <c r="Q349" s="6" t="str">
        <f>IFERROR(__xludf.DUMMYFUNCTION("AVERAGE(QUERY(GOOGLEFINANCE(C349, ""price"", TODAY()-80, TODAY()), ""SELECT Col2 WHERE Col2 IS NOT NULL ORDER BY Col1 DESC LIMIT 50"", 0))"),"#N/A")</f>
        <v>#N/A</v>
      </c>
      <c r="R349" s="24" t="str">
        <f>IFERROR(__xludf.DUMMYFUNCTION("IFERROR(
  LET(
    data, QUERY(GOOGLEFINANCE(C349,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GOOGLEFINANCE(C349, ""price"")) * 100,
    IF(calc=0, G349, calc)
  ), 
G349)"),"#N/A")</f>
        <v>#N/A</v>
      </c>
      <c r="S349" s="8" t="s">
        <v>15</v>
      </c>
      <c r="T349" s="26" t="str">
        <f>IFERROR(__xludf.DUMMYFUNCTION("IFERROR(TRANSPOSE(QUERY(IFERROR(SORT(GOOGLEFINANCE(C349, ""price"", WORKDAY(TODAY(), -40), TODAY()), 1, FALSE)), ""select Col2 where Col2 is not null limit 22 label Col2 ''"", 0)), """")"),"")</f>
        <v/>
      </c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8"/>
      <c r="AO349" s="28"/>
      <c r="AP349" s="29"/>
      <c r="AQ349" s="29" t="str">
        <f t="shared" ref="AQ349:BL349" si="352">T349/T$2</f>
        <v>#N/A</v>
      </c>
      <c r="AR349" s="29" t="str">
        <f t="shared" si="352"/>
        <v>#DIV/0!</v>
      </c>
      <c r="AS349" s="29" t="str">
        <f t="shared" si="352"/>
        <v>#DIV/0!</v>
      </c>
      <c r="AT349" s="29" t="str">
        <f t="shared" si="352"/>
        <v>#DIV/0!</v>
      </c>
      <c r="AU349" s="29" t="str">
        <f t="shared" si="352"/>
        <v>#DIV/0!</v>
      </c>
      <c r="AV349" s="29" t="str">
        <f t="shared" si="352"/>
        <v>#DIV/0!</v>
      </c>
      <c r="AW349" s="29" t="str">
        <f t="shared" si="352"/>
        <v>#DIV/0!</v>
      </c>
      <c r="AX349" s="29" t="str">
        <f t="shared" si="352"/>
        <v>#DIV/0!</v>
      </c>
      <c r="AY349" s="29" t="str">
        <f t="shared" si="352"/>
        <v>#DIV/0!</v>
      </c>
      <c r="AZ349" s="29" t="str">
        <f t="shared" si="352"/>
        <v>#DIV/0!</v>
      </c>
      <c r="BA349" s="29" t="str">
        <f t="shared" si="352"/>
        <v>#DIV/0!</v>
      </c>
      <c r="BB349" s="29" t="str">
        <f t="shared" si="352"/>
        <v>#DIV/0!</v>
      </c>
      <c r="BC349" s="29" t="str">
        <f t="shared" si="352"/>
        <v>#DIV/0!</v>
      </c>
      <c r="BD349" s="29" t="str">
        <f t="shared" si="352"/>
        <v>#DIV/0!</v>
      </c>
      <c r="BE349" s="29" t="str">
        <f t="shared" si="352"/>
        <v>#DIV/0!</v>
      </c>
      <c r="BF349" s="29" t="str">
        <f t="shared" si="352"/>
        <v>#DIV/0!</v>
      </c>
      <c r="BG349" s="29" t="str">
        <f t="shared" si="352"/>
        <v>#DIV/0!</v>
      </c>
      <c r="BH349" s="29" t="str">
        <f t="shared" si="352"/>
        <v>#DIV/0!</v>
      </c>
      <c r="BI349" s="29" t="str">
        <f t="shared" si="352"/>
        <v>#DIV/0!</v>
      </c>
      <c r="BJ349" s="29" t="str">
        <f t="shared" si="352"/>
        <v>#DIV/0!</v>
      </c>
      <c r="BK349" s="29" t="str">
        <f t="shared" si="352"/>
        <v>#DIV/0!</v>
      </c>
      <c r="BL349" s="29" t="str">
        <f t="shared" si="352"/>
        <v>#DIV/0!</v>
      </c>
      <c r="BM349" s="29" t="str">
        <f t="shared" si="3"/>
        <v>#DIV/0!</v>
      </c>
    </row>
    <row r="350">
      <c r="A350" s="16" t="str">
        <f>IFERROR(__xludf.DUMMYFUNCTION("IFERROR(SPARKLINE(SORT(MAP(TRANSPOSE(AQ350:BL350), LAMBDA(val, IF(ISNUMBER(val), PERCENTRANK(AQ350:BL350, val)+0.01, 0))), SEQUENCE(COLUMNS(AQ350:BL350)), FALSE), {""charttype"",""column""; ""color"",""chartreuse""; ""ymin"", 0; ""ymax"", 1.01; ""highcolo"&amp;"r"", ""darkgreen""; ""lowcolor"", ""red""}), """")"),"")</f>
        <v/>
      </c>
      <c r="B350" s="17" t="str">
        <f t="shared" si="4"/>
        <v/>
      </c>
      <c r="C350" s="1" t="s">
        <v>1484</v>
      </c>
      <c r="D350" s="30" t="str">
        <f>IFERROR(__xludf.DUMMYFUNCTION("IFERROR(GOOGLEFINANCE(C350, ""NAME""))"),"Taiwan Semicndctr Mnufctrng Co Ltd")</f>
        <v>Taiwan Semicndctr Mnufctrng Co Ltd</v>
      </c>
      <c r="E350" s="30" t="s">
        <v>871</v>
      </c>
      <c r="F350" s="38" t="str">
        <f>IFERROR(__xludf.DUMMYFUNCTION("( (GOOGLEFINANCE(C350, ""price"") - Q350) / Q350 ) / (R350 / 100)"),"Loading...")</f>
        <v>Loading...</v>
      </c>
      <c r="G350" s="20" t="str">
        <f>IFERROR(__xludf.DUMMYFUNCTION("AVERAGE(ARRAYFORMULA(100 * (QUERY(GOOGLEFINANCE(C350, ""high"", TODAY()-40, TODAY()), ""SELECT Col2 WHERE Col2 IS NOT NULL ORDER BY Col1 DESC LIMIT 20"", 0) / QUERY(GOOGLEFINANCE(C350, ""low"", TODAY()-40, TODAY()), ""SELECT Col2 WHERE Col2 IS NOT NULL OR"&amp;"DER BY Col1 DESC LIMIT 20"", 0) - 1)))"),"#N/A")</f>
        <v>#N/A</v>
      </c>
      <c r="H350" s="35" t="str">
        <f t="shared" si="6"/>
        <v/>
      </c>
      <c r="I350" s="36" t="str">
        <f t="shared" si="7"/>
        <v/>
      </c>
      <c r="J350" s="37" t="str">
        <f>IFERROR(__xludf.DUMMYFUNCTION("IFERROR(
  IF(C350="""",, 
    IFERROR(
      GOOGLEFINANCE(C350, ""price"") * GOOGLEFINANCE(C350, ""volumeavg""), 
      GOOGLEFINANCE(C350, ""price"") * AVERAGE(QUERY(GOOGLEFINANCE(C350, ""volume"", TODAY()-40, TODAY()), ""SELECT Col2 WHERE Col2 IS NOT "&amp;"NULL ORDER BY Col1 DESC LIMIT 20"", 0))
    )
  ), 
"""")"),"")</f>
        <v/>
      </c>
      <c r="K350" s="21" t="str">
        <f>IFERROR(__xludf.DUMMYFUNCTION("IFERROR(GOOGLEFINANCE(C350, ""changepct"") / 100, """")"),"")</f>
        <v/>
      </c>
      <c r="L350" s="21" t="str">
        <f>IFERROR(__xludf.DUMMYFUNCTION("IFERROR((GOOGLEFINANCE(C350, ""price"") / INDEX(GOOGLEFINANCE(C350, ""price"", TODAY()-7, TODAY()), 2, 2)) - 1, """")"),"")</f>
        <v/>
      </c>
      <c r="M350" s="21" t="str">
        <f>IFERROR(__xludf.DUMMYFUNCTION("IFERROR((GOOGLEFINANCE(C350, ""price"") / INDEX(GOOGLEFINANCE(C350, ""price"", EDATE(TODAY(), -1), TODAY()), 2, 2)) - 1, """")"),"")</f>
        <v/>
      </c>
      <c r="N350" s="21" t="str">
        <f>IFERROR(__xludf.DUMMYFUNCTION("IFERROR((GOOGLEFINANCE(C350, ""price"") / INDEX(GOOGLEFINANCE(C350, ""price"", EDATE(TODAY(), -3), TODAY()), 2, 2)) - 1, """")"),"")</f>
        <v/>
      </c>
      <c r="O350" s="21" t="str">
        <f>IFERROR(__xludf.DUMMYFUNCTION("IFERROR((GOOGLEFINANCE(C350, ""price"") / INDEX(GOOGLEFINANCE(C350, ""price"", EDATE(TODAY(), -6), TODAY()), 2, 2)) - 1, """")"),"")</f>
        <v/>
      </c>
      <c r="P350" s="21" t="str">
        <f>IFERROR(__xludf.DUMMYFUNCTION("IFERROR((GOOGLEFINANCE(C350, ""price"") / INDEX(GOOGLEFINANCE(C350, ""price"", EDATE(TODAY(), -12), TODAY()), 2, 2)) - 1, """")"),"")</f>
        <v/>
      </c>
      <c r="Q350" s="6" t="str">
        <f>IFERROR(__xludf.DUMMYFUNCTION("AVERAGE(QUERY(GOOGLEFINANCE(C350, ""price"", TODAY()-80, TODAY()), ""SELECT Col2 WHERE Col2 IS NOT NULL ORDER BY Col1 DESC LIMIT 50"", 0))"),"#N/A")</f>
        <v>#N/A</v>
      </c>
      <c r="R350" s="24" t="str">
        <f>IFERROR(__xludf.DUMMYFUNCTION("IFERROR(
  LET(
    data, QUERY(GOOGLEFINANCE(C350,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GOOGLEFINANCE(C350, ""price"")) * 100,
    IF(calc=0, G350, calc)
  ), 
G350)"),"#N/A")</f>
        <v>#N/A</v>
      </c>
      <c r="S350" s="8" t="s">
        <v>15</v>
      </c>
      <c r="T350" s="26" t="str">
        <f>IFERROR(__xludf.DUMMYFUNCTION("IFERROR(TRANSPOSE(QUERY(IFERROR(SORT(GOOGLEFINANCE(C350, ""price"", WORKDAY(TODAY(), -40), TODAY()), 1, FALSE)), ""select Col2 where Col2 is not null limit 22 label Col2 ''"", 0)), """")"),"")</f>
        <v/>
      </c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8"/>
      <c r="AO350" s="28"/>
      <c r="AP350" s="29"/>
      <c r="AQ350" s="29" t="str">
        <f t="shared" ref="AQ350:BL350" si="353">T350/T$2</f>
        <v>#N/A</v>
      </c>
      <c r="AR350" s="29" t="str">
        <f t="shared" si="353"/>
        <v>#DIV/0!</v>
      </c>
      <c r="AS350" s="29" t="str">
        <f t="shared" si="353"/>
        <v>#DIV/0!</v>
      </c>
      <c r="AT350" s="29" t="str">
        <f t="shared" si="353"/>
        <v>#DIV/0!</v>
      </c>
      <c r="AU350" s="29" t="str">
        <f t="shared" si="353"/>
        <v>#DIV/0!</v>
      </c>
      <c r="AV350" s="29" t="str">
        <f t="shared" si="353"/>
        <v>#DIV/0!</v>
      </c>
      <c r="AW350" s="29" t="str">
        <f t="shared" si="353"/>
        <v>#DIV/0!</v>
      </c>
      <c r="AX350" s="29" t="str">
        <f t="shared" si="353"/>
        <v>#DIV/0!</v>
      </c>
      <c r="AY350" s="29" t="str">
        <f t="shared" si="353"/>
        <v>#DIV/0!</v>
      </c>
      <c r="AZ350" s="29" t="str">
        <f t="shared" si="353"/>
        <v>#DIV/0!</v>
      </c>
      <c r="BA350" s="29" t="str">
        <f t="shared" si="353"/>
        <v>#DIV/0!</v>
      </c>
      <c r="BB350" s="29" t="str">
        <f t="shared" si="353"/>
        <v>#DIV/0!</v>
      </c>
      <c r="BC350" s="29" t="str">
        <f t="shared" si="353"/>
        <v>#DIV/0!</v>
      </c>
      <c r="BD350" s="29" t="str">
        <f t="shared" si="353"/>
        <v>#DIV/0!</v>
      </c>
      <c r="BE350" s="29" t="str">
        <f t="shared" si="353"/>
        <v>#DIV/0!</v>
      </c>
      <c r="BF350" s="29" t="str">
        <f t="shared" si="353"/>
        <v>#DIV/0!</v>
      </c>
      <c r="BG350" s="29" t="str">
        <f t="shared" si="353"/>
        <v>#DIV/0!</v>
      </c>
      <c r="BH350" s="29" t="str">
        <f t="shared" si="353"/>
        <v>#DIV/0!</v>
      </c>
      <c r="BI350" s="29" t="str">
        <f t="shared" si="353"/>
        <v>#DIV/0!</v>
      </c>
      <c r="BJ350" s="29" t="str">
        <f t="shared" si="353"/>
        <v>#DIV/0!</v>
      </c>
      <c r="BK350" s="29" t="str">
        <f t="shared" si="353"/>
        <v>#DIV/0!</v>
      </c>
      <c r="BL350" s="29" t="str">
        <f t="shared" si="353"/>
        <v>#DIV/0!</v>
      </c>
      <c r="BM350" s="29" t="str">
        <f t="shared" si="3"/>
        <v>#DIV/0!</v>
      </c>
    </row>
    <row r="351">
      <c r="A351" s="16" t="str">
        <f>IFERROR(__xludf.DUMMYFUNCTION("IFERROR(SPARKLINE(SORT(MAP(TRANSPOSE(AQ351:BL351), LAMBDA(val, IF(ISNUMBER(val), PERCENTRANK(AQ351:BL351, val)+0.01, 0))), SEQUENCE(COLUMNS(AQ351:BL351)), FALSE), {""charttype"",""column""; ""color"",""chartreuse""; ""ymin"", 0; ""ymax"", 1.01; ""highcolo"&amp;"r"", ""darkgreen""; ""lowcolor"", ""red""}), """")"),"")</f>
        <v/>
      </c>
      <c r="B351" s="17" t="str">
        <f t="shared" si="4"/>
        <v/>
      </c>
      <c r="C351" s="1" t="s">
        <v>1489</v>
      </c>
      <c r="D351" s="30" t="str">
        <f>IFERROR(__xludf.DUMMYFUNCTION("IFERROR(GOOGLEFINANCE(C351, ""NAME""))"),"Diodes Inc")</f>
        <v>Diodes Inc</v>
      </c>
      <c r="E351" s="30" t="s">
        <v>871</v>
      </c>
      <c r="F351" s="33" t="str">
        <f>IFERROR(__xludf.DUMMYFUNCTION("( (GOOGLEFINANCE(C351, ""price"") - Q351) / Q351 ) / (R351 / 100)"),"Loading...")</f>
        <v>Loading...</v>
      </c>
      <c r="G351" s="20" t="str">
        <f>IFERROR(__xludf.DUMMYFUNCTION("AVERAGE(ARRAYFORMULA(100 * (QUERY(GOOGLEFINANCE(C351, ""high"", TODAY()-40, TODAY()), ""SELECT Col2 WHERE Col2 IS NOT NULL ORDER BY Col1 DESC LIMIT 20"", 0) / QUERY(GOOGLEFINANCE(C351, ""low"", TODAY()-40, TODAY()), ""SELECT Col2 WHERE Col2 IS NOT NULL OR"&amp;"DER BY Col1 DESC LIMIT 20"", 0) - 1)))"),"#N/A")</f>
        <v>#N/A</v>
      </c>
      <c r="H351" s="35" t="str">
        <f t="shared" si="6"/>
        <v/>
      </c>
      <c r="I351" s="36" t="str">
        <f t="shared" si="7"/>
        <v/>
      </c>
      <c r="J351" s="37" t="str">
        <f>IFERROR(__xludf.DUMMYFUNCTION("IFERROR(
  IF(C351="""",, 
    IFERROR(
      GOOGLEFINANCE(C351, ""price"") * GOOGLEFINANCE(C351, ""volumeavg""), 
      GOOGLEFINANCE(C351, ""price"") * AVERAGE(QUERY(GOOGLEFINANCE(C351, ""volume"", TODAY()-40, TODAY()), ""SELECT Col2 WHERE Col2 IS NOT "&amp;"NULL ORDER BY Col1 DESC LIMIT 20"", 0))
    )
  ), 
"""")"),"")</f>
        <v/>
      </c>
      <c r="K351" s="21" t="str">
        <f>IFERROR(__xludf.DUMMYFUNCTION("IFERROR(GOOGLEFINANCE(C351, ""changepct"") / 100, """")"),"")</f>
        <v/>
      </c>
      <c r="L351" s="21" t="str">
        <f>IFERROR(__xludf.DUMMYFUNCTION("IFERROR((GOOGLEFINANCE(C351, ""price"") / INDEX(GOOGLEFINANCE(C351, ""price"", TODAY()-7, TODAY()), 2, 2)) - 1, """")"),"")</f>
        <v/>
      </c>
      <c r="M351" s="21" t="str">
        <f>IFERROR(__xludf.DUMMYFUNCTION("IFERROR((GOOGLEFINANCE(C351, ""price"") / INDEX(GOOGLEFINANCE(C351, ""price"", EDATE(TODAY(), -1), TODAY()), 2, 2)) - 1, """")"),"")</f>
        <v/>
      </c>
      <c r="N351" s="21" t="str">
        <f>IFERROR(__xludf.DUMMYFUNCTION("IFERROR((GOOGLEFINANCE(C351, ""price"") / INDEX(GOOGLEFINANCE(C351, ""price"", EDATE(TODAY(), -3), TODAY()), 2, 2)) - 1, """")"),"")</f>
        <v/>
      </c>
      <c r="O351" s="21" t="str">
        <f>IFERROR(__xludf.DUMMYFUNCTION("IFERROR((GOOGLEFINANCE(C351, ""price"") / INDEX(GOOGLEFINANCE(C351, ""price"", EDATE(TODAY(), -6), TODAY()), 2, 2)) - 1, """")"),"")</f>
        <v/>
      </c>
      <c r="P351" s="21" t="str">
        <f>IFERROR(__xludf.DUMMYFUNCTION("IFERROR((GOOGLEFINANCE(C351, ""price"") / INDEX(GOOGLEFINANCE(C351, ""price"", EDATE(TODAY(), -12), TODAY()), 2, 2)) - 1, """")"),"")</f>
        <v/>
      </c>
      <c r="Q351" s="6" t="str">
        <f>IFERROR(__xludf.DUMMYFUNCTION("AVERAGE(QUERY(GOOGLEFINANCE(C351, ""price"", TODAY()-80, TODAY()), ""SELECT Col2 WHERE Col2 IS NOT NULL ORDER BY Col1 DESC LIMIT 50"", 0))"),"#N/A")</f>
        <v>#N/A</v>
      </c>
      <c r="R351" s="24" t="str">
        <f>IFERROR(__xludf.DUMMYFUNCTION("IFERROR(
  LET(
    data, QUERY(GOOGLEFINANCE(C351,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GOOGLEFINANCE(C351, ""price"")) * 100,
    IF(calc=0, G351, calc)
  ), 
G351)"),"#N/A")</f>
        <v>#N/A</v>
      </c>
      <c r="S351" s="8" t="s">
        <v>15</v>
      </c>
      <c r="T351" s="26" t="str">
        <f>IFERROR(__xludf.DUMMYFUNCTION("IFERROR(TRANSPOSE(QUERY(IFERROR(SORT(GOOGLEFINANCE(C351, ""price"", WORKDAY(TODAY(), -40), TODAY()), 1, FALSE)), ""select Col2 where Col2 is not null limit 22 label Col2 ''"", 0)), """")"),"")</f>
        <v/>
      </c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8"/>
      <c r="AO351" s="28"/>
      <c r="AP351" s="29"/>
      <c r="AQ351" s="29" t="str">
        <f t="shared" ref="AQ351:BL351" si="354">T351/T$2</f>
        <v>#N/A</v>
      </c>
      <c r="AR351" s="29" t="str">
        <f t="shared" si="354"/>
        <v>#DIV/0!</v>
      </c>
      <c r="AS351" s="29" t="str">
        <f t="shared" si="354"/>
        <v>#DIV/0!</v>
      </c>
      <c r="AT351" s="29" t="str">
        <f t="shared" si="354"/>
        <v>#DIV/0!</v>
      </c>
      <c r="AU351" s="29" t="str">
        <f t="shared" si="354"/>
        <v>#DIV/0!</v>
      </c>
      <c r="AV351" s="29" t="str">
        <f t="shared" si="354"/>
        <v>#DIV/0!</v>
      </c>
      <c r="AW351" s="29" t="str">
        <f t="shared" si="354"/>
        <v>#DIV/0!</v>
      </c>
      <c r="AX351" s="29" t="str">
        <f t="shared" si="354"/>
        <v>#DIV/0!</v>
      </c>
      <c r="AY351" s="29" t="str">
        <f t="shared" si="354"/>
        <v>#DIV/0!</v>
      </c>
      <c r="AZ351" s="29" t="str">
        <f t="shared" si="354"/>
        <v>#DIV/0!</v>
      </c>
      <c r="BA351" s="29" t="str">
        <f t="shared" si="354"/>
        <v>#DIV/0!</v>
      </c>
      <c r="BB351" s="29" t="str">
        <f t="shared" si="354"/>
        <v>#DIV/0!</v>
      </c>
      <c r="BC351" s="29" t="str">
        <f t="shared" si="354"/>
        <v>#DIV/0!</v>
      </c>
      <c r="BD351" s="29" t="str">
        <f t="shared" si="354"/>
        <v>#DIV/0!</v>
      </c>
      <c r="BE351" s="29" t="str">
        <f t="shared" si="354"/>
        <v>#DIV/0!</v>
      </c>
      <c r="BF351" s="29" t="str">
        <f t="shared" si="354"/>
        <v>#DIV/0!</v>
      </c>
      <c r="BG351" s="29" t="str">
        <f t="shared" si="354"/>
        <v>#DIV/0!</v>
      </c>
      <c r="BH351" s="29" t="str">
        <f t="shared" si="354"/>
        <v>#DIV/0!</v>
      </c>
      <c r="BI351" s="29" t="str">
        <f t="shared" si="354"/>
        <v>#DIV/0!</v>
      </c>
      <c r="BJ351" s="29" t="str">
        <f t="shared" si="354"/>
        <v>#DIV/0!</v>
      </c>
      <c r="BK351" s="29" t="str">
        <f t="shared" si="354"/>
        <v>#DIV/0!</v>
      </c>
      <c r="BL351" s="29" t="str">
        <f t="shared" si="354"/>
        <v>#DIV/0!</v>
      </c>
      <c r="BM351" s="29" t="str">
        <f t="shared" si="3"/>
        <v>#DIV/0!</v>
      </c>
    </row>
    <row r="352">
      <c r="A352" s="16" t="str">
        <f>IFERROR(__xludf.DUMMYFUNCTION("IFERROR(SPARKLINE(SORT(MAP(TRANSPOSE(AQ352:BL352), LAMBDA(val, IF(ISNUMBER(val), PERCENTRANK(AQ352:BL352, val)+0.01, 0))), SEQUENCE(COLUMNS(AQ352:BL352)), FALSE), {""charttype"",""column""; ""color"",""chartreuse""; ""ymin"", 0; ""ymax"", 1.01; ""highcolo"&amp;"r"", ""darkgreen""; ""lowcolor"", ""red""}), """")"),"")</f>
        <v/>
      </c>
      <c r="B352" s="17" t="str">
        <f t="shared" si="4"/>
        <v/>
      </c>
      <c r="C352" s="1" t="s">
        <v>1494</v>
      </c>
      <c r="D352" s="30" t="str">
        <f>IFERROR(__xludf.DUMMYFUNCTION("IFERROR(GOOGLEFINANCE(C352, ""NAME""))"),"Dell Technologies Inc")</f>
        <v>Dell Technologies Inc</v>
      </c>
      <c r="E352" s="30" t="s">
        <v>477</v>
      </c>
      <c r="F352" s="33" t="str">
        <f>IFERROR(__xludf.DUMMYFUNCTION("( (GOOGLEFINANCE(C352, ""price"") - Q352) / Q352 ) / (R352 / 100)"),"Loading...")</f>
        <v>Loading...</v>
      </c>
      <c r="G352" s="20" t="str">
        <f>IFERROR(__xludf.DUMMYFUNCTION("AVERAGE(ARRAYFORMULA(100 * (QUERY(GOOGLEFINANCE(C352, ""high"", TODAY()-40, TODAY()), ""SELECT Col2 WHERE Col2 IS NOT NULL ORDER BY Col1 DESC LIMIT 20"", 0) / QUERY(GOOGLEFINANCE(C352, ""low"", TODAY()-40, TODAY()), ""SELECT Col2 WHERE Col2 IS NOT NULL OR"&amp;"DER BY Col1 DESC LIMIT 20"", 0) - 1)))"),"#N/A")</f>
        <v>#N/A</v>
      </c>
      <c r="H352" s="35" t="str">
        <f t="shared" si="6"/>
        <v/>
      </c>
      <c r="I352" s="36" t="str">
        <f t="shared" si="7"/>
        <v/>
      </c>
      <c r="J352" s="37" t="str">
        <f>IFERROR(__xludf.DUMMYFUNCTION("IFERROR(
  IF(C352="""",, 
    IFERROR(
      GOOGLEFINANCE(C352, ""price"") * GOOGLEFINANCE(C352, ""volumeavg""), 
      GOOGLEFINANCE(C352, ""price"") * AVERAGE(QUERY(GOOGLEFINANCE(C352, ""volume"", TODAY()-40, TODAY()), ""SELECT Col2 WHERE Col2 IS NOT "&amp;"NULL ORDER BY Col1 DESC LIMIT 20"", 0))
    )
  ), 
"""")"),"")</f>
        <v/>
      </c>
      <c r="K352" s="21" t="str">
        <f>IFERROR(__xludf.DUMMYFUNCTION("IFERROR(GOOGLEFINANCE(C352, ""changepct"") / 100, """")"),"")</f>
        <v/>
      </c>
      <c r="L352" s="21" t="str">
        <f>IFERROR(__xludf.DUMMYFUNCTION("IFERROR((GOOGLEFINANCE(C352, ""price"") / INDEX(GOOGLEFINANCE(C352, ""price"", TODAY()-7, TODAY()), 2, 2)) - 1, """")"),"")</f>
        <v/>
      </c>
      <c r="M352" s="21" t="str">
        <f>IFERROR(__xludf.DUMMYFUNCTION("IFERROR((GOOGLEFINANCE(C352, ""price"") / INDEX(GOOGLEFINANCE(C352, ""price"", EDATE(TODAY(), -1), TODAY()), 2, 2)) - 1, """")"),"")</f>
        <v/>
      </c>
      <c r="N352" s="21" t="str">
        <f>IFERROR(__xludf.DUMMYFUNCTION("IFERROR((GOOGLEFINANCE(C352, ""price"") / INDEX(GOOGLEFINANCE(C352, ""price"", EDATE(TODAY(), -3), TODAY()), 2, 2)) - 1, """")"),"")</f>
        <v/>
      </c>
      <c r="O352" s="21" t="str">
        <f>IFERROR(__xludf.DUMMYFUNCTION("IFERROR((GOOGLEFINANCE(C352, ""price"") / INDEX(GOOGLEFINANCE(C352, ""price"", EDATE(TODAY(), -6), TODAY()), 2, 2)) - 1, """")"),"")</f>
        <v/>
      </c>
      <c r="P352" s="21" t="str">
        <f>IFERROR(__xludf.DUMMYFUNCTION("IFERROR((GOOGLEFINANCE(C352, ""price"") / INDEX(GOOGLEFINANCE(C352, ""price"", EDATE(TODAY(), -12), TODAY()), 2, 2)) - 1, """")"),"")</f>
        <v/>
      </c>
      <c r="Q352" s="6" t="str">
        <f>IFERROR(__xludf.DUMMYFUNCTION("AVERAGE(QUERY(GOOGLEFINANCE(C352, ""price"", TODAY()-80, TODAY()), ""SELECT Col2 WHERE Col2 IS NOT NULL ORDER BY Col1 DESC LIMIT 50"", 0))"),"#N/A")</f>
        <v>#N/A</v>
      </c>
      <c r="R352" s="24" t="str">
        <f>IFERROR(__xludf.DUMMYFUNCTION("IFERROR(
  LET(
    data, QUERY(GOOGLEFINANCE(C352,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GOOGLEFINANCE(C352, ""price"")) * 100,
    IF(calc=0, G352, calc)
  ), 
G352)"),"#N/A")</f>
        <v>#N/A</v>
      </c>
      <c r="S352" s="8" t="s">
        <v>15</v>
      </c>
      <c r="T352" s="26" t="str">
        <f>IFERROR(__xludf.DUMMYFUNCTION("IFERROR(TRANSPOSE(QUERY(IFERROR(SORT(GOOGLEFINANCE(C352, ""price"", WORKDAY(TODAY(), -40), TODAY()), 1, FALSE)), ""select Col2 where Col2 is not null limit 22 label Col2 ''"", 0)), """")"),"")</f>
        <v/>
      </c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8"/>
      <c r="AO352" s="28"/>
      <c r="AP352" s="29"/>
      <c r="AQ352" s="29" t="str">
        <f t="shared" ref="AQ352:BL352" si="355">T352/T$2</f>
        <v>#N/A</v>
      </c>
      <c r="AR352" s="29" t="str">
        <f t="shared" si="355"/>
        <v>#DIV/0!</v>
      </c>
      <c r="AS352" s="29" t="str">
        <f t="shared" si="355"/>
        <v>#DIV/0!</v>
      </c>
      <c r="AT352" s="29" t="str">
        <f t="shared" si="355"/>
        <v>#DIV/0!</v>
      </c>
      <c r="AU352" s="29" t="str">
        <f t="shared" si="355"/>
        <v>#DIV/0!</v>
      </c>
      <c r="AV352" s="29" t="str">
        <f t="shared" si="355"/>
        <v>#DIV/0!</v>
      </c>
      <c r="AW352" s="29" t="str">
        <f t="shared" si="355"/>
        <v>#DIV/0!</v>
      </c>
      <c r="AX352" s="29" t="str">
        <f t="shared" si="355"/>
        <v>#DIV/0!</v>
      </c>
      <c r="AY352" s="29" t="str">
        <f t="shared" si="355"/>
        <v>#DIV/0!</v>
      </c>
      <c r="AZ352" s="29" t="str">
        <f t="shared" si="355"/>
        <v>#DIV/0!</v>
      </c>
      <c r="BA352" s="29" t="str">
        <f t="shared" si="355"/>
        <v>#DIV/0!</v>
      </c>
      <c r="BB352" s="29" t="str">
        <f t="shared" si="355"/>
        <v>#DIV/0!</v>
      </c>
      <c r="BC352" s="29" t="str">
        <f t="shared" si="355"/>
        <v>#DIV/0!</v>
      </c>
      <c r="BD352" s="29" t="str">
        <f t="shared" si="355"/>
        <v>#DIV/0!</v>
      </c>
      <c r="BE352" s="29" t="str">
        <f t="shared" si="355"/>
        <v>#DIV/0!</v>
      </c>
      <c r="BF352" s="29" t="str">
        <f t="shared" si="355"/>
        <v>#DIV/0!</v>
      </c>
      <c r="BG352" s="29" t="str">
        <f t="shared" si="355"/>
        <v>#DIV/0!</v>
      </c>
      <c r="BH352" s="29" t="str">
        <f t="shared" si="355"/>
        <v>#DIV/0!</v>
      </c>
      <c r="BI352" s="29" t="str">
        <f t="shared" si="355"/>
        <v>#DIV/0!</v>
      </c>
      <c r="BJ352" s="29" t="str">
        <f t="shared" si="355"/>
        <v>#DIV/0!</v>
      </c>
      <c r="BK352" s="29" t="str">
        <f t="shared" si="355"/>
        <v>#DIV/0!</v>
      </c>
      <c r="BL352" s="29" t="str">
        <f t="shared" si="355"/>
        <v>#DIV/0!</v>
      </c>
      <c r="BM352" s="29" t="str">
        <f t="shared" si="3"/>
        <v>#DIV/0!</v>
      </c>
    </row>
    <row r="353">
      <c r="A353" s="16" t="str">
        <f>IFERROR(__xludf.DUMMYFUNCTION("IFERROR(SPARKLINE(SORT(MAP(TRANSPOSE(AQ353:BL353), LAMBDA(val, IF(ISNUMBER(val), PERCENTRANK(AQ353:BL353, val)+0.01, 0))), SEQUENCE(COLUMNS(AQ353:BL353)), FALSE), {""charttype"",""column""; ""color"",""chartreuse""; ""ymin"", 0; ""ymax"", 1.01; ""highcolo"&amp;"r"", ""darkgreen""; ""lowcolor"", ""red""}), """")"),"")</f>
        <v/>
      </c>
      <c r="B353" s="17" t="str">
        <f t="shared" si="4"/>
        <v/>
      </c>
      <c r="C353" s="1" t="s">
        <v>1500</v>
      </c>
      <c r="D353" s="30" t="str">
        <f>IFERROR(__xludf.DUMMYFUNCTION("IFERROR(GOOGLEFINANCE(C353, ""NAME""))"),"Keysight Technologies Inc")</f>
        <v>Keysight Technologies Inc</v>
      </c>
      <c r="E353" s="30" t="s">
        <v>595</v>
      </c>
      <c r="F353" s="33" t="str">
        <f>IFERROR(__xludf.DUMMYFUNCTION("( (GOOGLEFINANCE(C353, ""price"") - Q353) / Q353 ) / (R353 / 100)"),"Loading...")</f>
        <v>Loading...</v>
      </c>
      <c r="G353" s="20" t="str">
        <f>IFERROR(__xludf.DUMMYFUNCTION("AVERAGE(ARRAYFORMULA(100 * (QUERY(GOOGLEFINANCE(C353, ""high"", TODAY()-40, TODAY()), ""SELECT Col2 WHERE Col2 IS NOT NULL ORDER BY Col1 DESC LIMIT 20"", 0) / QUERY(GOOGLEFINANCE(C353, ""low"", TODAY()-40, TODAY()), ""SELECT Col2 WHERE Col2 IS NOT NULL OR"&amp;"DER BY Col1 DESC LIMIT 20"", 0) - 1)))"),"#N/A")</f>
        <v>#N/A</v>
      </c>
      <c r="H353" s="35" t="str">
        <f t="shared" si="6"/>
        <v/>
      </c>
      <c r="I353" s="36" t="str">
        <f t="shared" si="7"/>
        <v/>
      </c>
      <c r="J353" s="37" t="str">
        <f>IFERROR(__xludf.DUMMYFUNCTION("IFERROR(
  IF(C353="""",, 
    IFERROR(
      GOOGLEFINANCE(C353, ""price"") * GOOGLEFINANCE(C353, ""volumeavg""), 
      GOOGLEFINANCE(C353, ""price"") * AVERAGE(QUERY(GOOGLEFINANCE(C353, ""volume"", TODAY()-40, TODAY()), ""SELECT Col2 WHERE Col2 IS NOT "&amp;"NULL ORDER BY Col1 DESC LIMIT 20"", 0))
    )
  ), 
"""")"),"")</f>
        <v/>
      </c>
      <c r="K353" s="21" t="str">
        <f>IFERROR(__xludf.DUMMYFUNCTION("IFERROR(GOOGLEFINANCE(C353, ""changepct"") / 100, """")"),"")</f>
        <v/>
      </c>
      <c r="L353" s="21" t="str">
        <f>IFERROR(__xludf.DUMMYFUNCTION("IFERROR((GOOGLEFINANCE(C353, ""price"") / INDEX(GOOGLEFINANCE(C353, ""price"", TODAY()-7, TODAY()), 2, 2)) - 1, """")"),"")</f>
        <v/>
      </c>
      <c r="M353" s="21" t="str">
        <f>IFERROR(__xludf.DUMMYFUNCTION("IFERROR((GOOGLEFINANCE(C353, ""price"") / INDEX(GOOGLEFINANCE(C353, ""price"", EDATE(TODAY(), -1), TODAY()), 2, 2)) - 1, """")"),"")</f>
        <v/>
      </c>
      <c r="N353" s="21" t="str">
        <f>IFERROR(__xludf.DUMMYFUNCTION("IFERROR((GOOGLEFINANCE(C353, ""price"") / INDEX(GOOGLEFINANCE(C353, ""price"", EDATE(TODAY(), -3), TODAY()), 2, 2)) - 1, """")"),"")</f>
        <v/>
      </c>
      <c r="O353" s="21" t="str">
        <f>IFERROR(__xludf.DUMMYFUNCTION("IFERROR((GOOGLEFINANCE(C353, ""price"") / INDEX(GOOGLEFINANCE(C353, ""price"", EDATE(TODAY(), -6), TODAY()), 2, 2)) - 1, """")"),"")</f>
        <v/>
      </c>
      <c r="P353" s="21" t="str">
        <f>IFERROR(__xludf.DUMMYFUNCTION("IFERROR((GOOGLEFINANCE(C353, ""price"") / INDEX(GOOGLEFINANCE(C353, ""price"", EDATE(TODAY(), -12), TODAY()), 2, 2)) - 1, """")"),"")</f>
        <v/>
      </c>
      <c r="Q353" s="6" t="str">
        <f>IFERROR(__xludf.DUMMYFUNCTION("AVERAGE(QUERY(GOOGLEFINANCE(C353, ""price"", TODAY()-80, TODAY()), ""SELECT Col2 WHERE Col2 IS NOT NULL ORDER BY Col1 DESC LIMIT 50"", 0))"),"#N/A")</f>
        <v>#N/A</v>
      </c>
      <c r="R353" s="24" t="str">
        <f>IFERROR(__xludf.DUMMYFUNCTION("IFERROR(
  LET(
    data, QUERY(GOOGLEFINANCE(C353,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GOOGLEFINANCE(C353, ""price"")) * 100,
    IF(calc=0, G353, calc)
  ), 
G353)"),"#N/A")</f>
        <v>#N/A</v>
      </c>
      <c r="S353" s="8" t="s">
        <v>15</v>
      </c>
      <c r="T353" s="26" t="str">
        <f>IFERROR(__xludf.DUMMYFUNCTION("IFERROR(TRANSPOSE(QUERY(IFERROR(SORT(GOOGLEFINANCE(C353, ""price"", WORKDAY(TODAY(), -40), TODAY()), 1, FALSE)), ""select Col2 where Col2 is not null limit 22 label Col2 ''"", 0)), """")"),"")</f>
        <v/>
      </c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8"/>
      <c r="AO353" s="28"/>
      <c r="AP353" s="29"/>
      <c r="AQ353" s="29" t="str">
        <f t="shared" ref="AQ353:BL353" si="356">T353/T$2</f>
        <v>#N/A</v>
      </c>
      <c r="AR353" s="29" t="str">
        <f t="shared" si="356"/>
        <v>#DIV/0!</v>
      </c>
      <c r="AS353" s="29" t="str">
        <f t="shared" si="356"/>
        <v>#DIV/0!</v>
      </c>
      <c r="AT353" s="29" t="str">
        <f t="shared" si="356"/>
        <v>#DIV/0!</v>
      </c>
      <c r="AU353" s="29" t="str">
        <f t="shared" si="356"/>
        <v>#DIV/0!</v>
      </c>
      <c r="AV353" s="29" t="str">
        <f t="shared" si="356"/>
        <v>#DIV/0!</v>
      </c>
      <c r="AW353" s="29" t="str">
        <f t="shared" si="356"/>
        <v>#DIV/0!</v>
      </c>
      <c r="AX353" s="29" t="str">
        <f t="shared" si="356"/>
        <v>#DIV/0!</v>
      </c>
      <c r="AY353" s="29" t="str">
        <f t="shared" si="356"/>
        <v>#DIV/0!</v>
      </c>
      <c r="AZ353" s="29" t="str">
        <f t="shared" si="356"/>
        <v>#DIV/0!</v>
      </c>
      <c r="BA353" s="29" t="str">
        <f t="shared" si="356"/>
        <v>#DIV/0!</v>
      </c>
      <c r="BB353" s="29" t="str">
        <f t="shared" si="356"/>
        <v>#DIV/0!</v>
      </c>
      <c r="BC353" s="29" t="str">
        <f t="shared" si="356"/>
        <v>#DIV/0!</v>
      </c>
      <c r="BD353" s="29" t="str">
        <f t="shared" si="356"/>
        <v>#DIV/0!</v>
      </c>
      <c r="BE353" s="29" t="str">
        <f t="shared" si="356"/>
        <v>#DIV/0!</v>
      </c>
      <c r="BF353" s="29" t="str">
        <f t="shared" si="356"/>
        <v>#DIV/0!</v>
      </c>
      <c r="BG353" s="29" t="str">
        <f t="shared" si="356"/>
        <v>#DIV/0!</v>
      </c>
      <c r="BH353" s="29" t="str">
        <f t="shared" si="356"/>
        <v>#DIV/0!</v>
      </c>
      <c r="BI353" s="29" t="str">
        <f t="shared" si="356"/>
        <v>#DIV/0!</v>
      </c>
      <c r="BJ353" s="29" t="str">
        <f t="shared" si="356"/>
        <v>#DIV/0!</v>
      </c>
      <c r="BK353" s="29" t="str">
        <f t="shared" si="356"/>
        <v>#DIV/0!</v>
      </c>
      <c r="BL353" s="29" t="str">
        <f t="shared" si="356"/>
        <v>#DIV/0!</v>
      </c>
      <c r="BM353" s="29" t="str">
        <f t="shared" si="3"/>
        <v>#DIV/0!</v>
      </c>
    </row>
    <row r="354">
      <c r="A354" s="16" t="str">
        <f>IFERROR(__xludf.DUMMYFUNCTION("IFERROR(SPARKLINE(SORT(MAP(TRANSPOSE(AQ354:BL354), LAMBDA(val, IF(ISNUMBER(val), PERCENTRANK(AQ354:BL354, val)+0.01, 0))), SEQUENCE(COLUMNS(AQ354:BL354)), FALSE), {""charttype"",""column""; ""color"",""chartreuse""; ""ymin"", 0; ""ymax"", 1.01; ""highcolo"&amp;"r"", ""darkgreen""; ""lowcolor"", ""red""}), """")"),"")</f>
        <v/>
      </c>
      <c r="B354" s="17" t="str">
        <f t="shared" si="4"/>
        <v/>
      </c>
      <c r="C354" s="1" t="s">
        <v>1504</v>
      </c>
      <c r="D354" s="30" t="str">
        <f>IFERROR(__xludf.DUMMYFUNCTION("IFERROR(GOOGLEFINANCE(C354, ""NAME""))"),"United Microelectronics Corp")</f>
        <v>United Microelectronics Corp</v>
      </c>
      <c r="E354" s="30" t="s">
        <v>871</v>
      </c>
      <c r="F354" s="33" t="str">
        <f>IFERROR(__xludf.DUMMYFUNCTION("( (GOOGLEFINANCE(C354, ""price"") - Q354) / Q354 ) / (R354 / 100)"),"Loading...")</f>
        <v>Loading...</v>
      </c>
      <c r="G354" s="20" t="str">
        <f>IFERROR(__xludf.DUMMYFUNCTION("AVERAGE(ARRAYFORMULA(100 * (QUERY(GOOGLEFINANCE(C354, ""high"", TODAY()-40, TODAY()), ""SELECT Col2 WHERE Col2 IS NOT NULL ORDER BY Col1 DESC LIMIT 20"", 0) / QUERY(GOOGLEFINANCE(C354, ""low"", TODAY()-40, TODAY()), ""SELECT Col2 WHERE Col2 IS NOT NULL OR"&amp;"DER BY Col1 DESC LIMIT 20"", 0) - 1)))"),"#N/A")</f>
        <v>#N/A</v>
      </c>
      <c r="H354" s="35" t="str">
        <f t="shared" si="6"/>
        <v/>
      </c>
      <c r="I354" s="36" t="str">
        <f t="shared" si="7"/>
        <v/>
      </c>
      <c r="J354" s="37" t="str">
        <f>IFERROR(__xludf.DUMMYFUNCTION("IFERROR(
  IF(C354="""",, 
    IFERROR(
      GOOGLEFINANCE(C354, ""price"") * GOOGLEFINANCE(C354, ""volumeavg""), 
      GOOGLEFINANCE(C354, ""price"") * AVERAGE(QUERY(GOOGLEFINANCE(C354, ""volume"", TODAY()-40, TODAY()), ""SELECT Col2 WHERE Col2 IS NOT "&amp;"NULL ORDER BY Col1 DESC LIMIT 20"", 0))
    )
  ), 
"""")"),"")</f>
        <v/>
      </c>
      <c r="K354" s="21" t="str">
        <f>IFERROR(__xludf.DUMMYFUNCTION("IFERROR(GOOGLEFINANCE(C354, ""changepct"") / 100, """")"),"")</f>
        <v/>
      </c>
      <c r="L354" s="21" t="str">
        <f>IFERROR(__xludf.DUMMYFUNCTION("IFERROR((GOOGLEFINANCE(C354, ""price"") / INDEX(GOOGLEFINANCE(C354, ""price"", TODAY()-7, TODAY()), 2, 2)) - 1, """")"),"")</f>
        <v/>
      </c>
      <c r="M354" s="21" t="str">
        <f>IFERROR(__xludf.DUMMYFUNCTION("IFERROR((GOOGLEFINANCE(C354, ""price"") / INDEX(GOOGLEFINANCE(C354, ""price"", EDATE(TODAY(), -1), TODAY()), 2, 2)) - 1, """")"),"")</f>
        <v/>
      </c>
      <c r="N354" s="21" t="str">
        <f>IFERROR(__xludf.DUMMYFUNCTION("IFERROR((GOOGLEFINANCE(C354, ""price"") / INDEX(GOOGLEFINANCE(C354, ""price"", EDATE(TODAY(), -3), TODAY()), 2, 2)) - 1, """")"),"")</f>
        <v/>
      </c>
      <c r="O354" s="21" t="str">
        <f>IFERROR(__xludf.DUMMYFUNCTION("IFERROR((GOOGLEFINANCE(C354, ""price"") / INDEX(GOOGLEFINANCE(C354, ""price"", EDATE(TODAY(), -6), TODAY()), 2, 2)) - 1, """")"),"")</f>
        <v/>
      </c>
      <c r="P354" s="21" t="str">
        <f>IFERROR(__xludf.DUMMYFUNCTION("IFERROR((GOOGLEFINANCE(C354, ""price"") / INDEX(GOOGLEFINANCE(C354, ""price"", EDATE(TODAY(), -12), TODAY()), 2, 2)) - 1, """")"),"")</f>
        <v/>
      </c>
      <c r="Q354" s="6" t="str">
        <f>IFERROR(__xludf.DUMMYFUNCTION("AVERAGE(QUERY(GOOGLEFINANCE(C354, ""price"", TODAY()-80, TODAY()), ""SELECT Col2 WHERE Col2 IS NOT NULL ORDER BY Col1 DESC LIMIT 50"", 0))"),"#N/A")</f>
        <v>#N/A</v>
      </c>
      <c r="R354" s="24" t="str">
        <f>IFERROR(__xludf.DUMMYFUNCTION("IFERROR(
  LET(
    data, QUERY(GOOGLEFINANCE(C354,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GOOGLEFINANCE(C354, ""price"")) * 100,
    IF(calc=0, G354, calc)
  ), 
G354)"),"#N/A")</f>
        <v>#N/A</v>
      </c>
      <c r="S354" s="8" t="s">
        <v>15</v>
      </c>
      <c r="T354" s="26" t="str">
        <f>IFERROR(__xludf.DUMMYFUNCTION("IFERROR(TRANSPOSE(QUERY(IFERROR(SORT(GOOGLEFINANCE(C354, ""price"", WORKDAY(TODAY(), -40), TODAY()), 1, FALSE)), ""select Col2 where Col2 is not null limit 22 label Col2 ''"", 0)), """")"),"")</f>
        <v/>
      </c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8"/>
      <c r="AO354" s="28"/>
      <c r="AP354" s="29"/>
      <c r="AQ354" s="29" t="str">
        <f t="shared" ref="AQ354:BL354" si="357">T354/T$2</f>
        <v>#N/A</v>
      </c>
      <c r="AR354" s="29" t="str">
        <f t="shared" si="357"/>
        <v>#DIV/0!</v>
      </c>
      <c r="AS354" s="29" t="str">
        <f t="shared" si="357"/>
        <v>#DIV/0!</v>
      </c>
      <c r="AT354" s="29" t="str">
        <f t="shared" si="357"/>
        <v>#DIV/0!</v>
      </c>
      <c r="AU354" s="29" t="str">
        <f t="shared" si="357"/>
        <v>#DIV/0!</v>
      </c>
      <c r="AV354" s="29" t="str">
        <f t="shared" si="357"/>
        <v>#DIV/0!</v>
      </c>
      <c r="AW354" s="29" t="str">
        <f t="shared" si="357"/>
        <v>#DIV/0!</v>
      </c>
      <c r="AX354" s="29" t="str">
        <f t="shared" si="357"/>
        <v>#DIV/0!</v>
      </c>
      <c r="AY354" s="29" t="str">
        <f t="shared" si="357"/>
        <v>#DIV/0!</v>
      </c>
      <c r="AZ354" s="29" t="str">
        <f t="shared" si="357"/>
        <v>#DIV/0!</v>
      </c>
      <c r="BA354" s="29" t="str">
        <f t="shared" si="357"/>
        <v>#DIV/0!</v>
      </c>
      <c r="BB354" s="29" t="str">
        <f t="shared" si="357"/>
        <v>#DIV/0!</v>
      </c>
      <c r="BC354" s="29" t="str">
        <f t="shared" si="357"/>
        <v>#DIV/0!</v>
      </c>
      <c r="BD354" s="29" t="str">
        <f t="shared" si="357"/>
        <v>#DIV/0!</v>
      </c>
      <c r="BE354" s="29" t="str">
        <f t="shared" si="357"/>
        <v>#DIV/0!</v>
      </c>
      <c r="BF354" s="29" t="str">
        <f t="shared" si="357"/>
        <v>#DIV/0!</v>
      </c>
      <c r="BG354" s="29" t="str">
        <f t="shared" si="357"/>
        <v>#DIV/0!</v>
      </c>
      <c r="BH354" s="29" t="str">
        <f t="shared" si="357"/>
        <v>#DIV/0!</v>
      </c>
      <c r="BI354" s="29" t="str">
        <f t="shared" si="357"/>
        <v>#DIV/0!</v>
      </c>
      <c r="BJ354" s="29" t="str">
        <f t="shared" si="357"/>
        <v>#DIV/0!</v>
      </c>
      <c r="BK354" s="29" t="str">
        <f t="shared" si="357"/>
        <v>#DIV/0!</v>
      </c>
      <c r="BL354" s="29" t="str">
        <f t="shared" si="357"/>
        <v>#DIV/0!</v>
      </c>
      <c r="BM354" s="29" t="str">
        <f t="shared" si="3"/>
        <v>#DIV/0!</v>
      </c>
    </row>
    <row r="355">
      <c r="A355" s="16" t="str">
        <f>IFERROR(__xludf.DUMMYFUNCTION("IFERROR(SPARKLINE(SORT(MAP(TRANSPOSE(AQ355:BL355), LAMBDA(val, IF(ISNUMBER(val), PERCENTRANK(AQ355:BL355, val)+0.01, 0))), SEQUENCE(COLUMNS(AQ355:BL355)), FALSE), {""charttype"",""column""; ""color"",""chartreuse""; ""ymin"", 0; ""ymax"", 1.01; ""highcolo"&amp;"r"", ""darkgreen""; ""lowcolor"", ""red""}), """")"),"")</f>
        <v/>
      </c>
      <c r="B355" s="17" t="str">
        <f t="shared" si="4"/>
        <v/>
      </c>
      <c r="C355" s="1" t="s">
        <v>1507</v>
      </c>
      <c r="D355" s="30" t="str">
        <f>IFERROR(__xludf.DUMMYFUNCTION("IFERROR(GOOGLEFINANCE(C355, ""NAME""))"),"Shoals Technologies Group Inc")</f>
        <v>Shoals Technologies Group Inc</v>
      </c>
      <c r="E355" s="30" t="s">
        <v>1045</v>
      </c>
      <c r="F355" s="33" t="str">
        <f>IFERROR(__xludf.DUMMYFUNCTION("( (GOOGLEFINANCE(C355, ""price"") - Q355) / Q355 ) / (R355 / 100)"),"Loading...")</f>
        <v>Loading...</v>
      </c>
      <c r="G355" s="20" t="str">
        <f>IFERROR(__xludf.DUMMYFUNCTION("AVERAGE(ARRAYFORMULA(100 * (QUERY(GOOGLEFINANCE(C355, ""high"", TODAY()-40, TODAY()), ""SELECT Col2 WHERE Col2 IS NOT NULL ORDER BY Col1 DESC LIMIT 20"", 0) / QUERY(GOOGLEFINANCE(C355, ""low"", TODAY()-40, TODAY()), ""SELECT Col2 WHERE Col2 IS NOT NULL OR"&amp;"DER BY Col1 DESC LIMIT 20"", 0) - 1)))"),"#N/A")</f>
        <v>#N/A</v>
      </c>
      <c r="H355" s="35" t="str">
        <f t="shared" si="6"/>
        <v/>
      </c>
      <c r="I355" s="36" t="str">
        <f t="shared" si="7"/>
        <v/>
      </c>
      <c r="J355" s="37" t="str">
        <f>IFERROR(__xludf.DUMMYFUNCTION("IFERROR(
  IF(C355="""",, 
    IFERROR(
      GOOGLEFINANCE(C355, ""price"") * GOOGLEFINANCE(C355, ""volumeavg""), 
      GOOGLEFINANCE(C355, ""price"") * AVERAGE(QUERY(GOOGLEFINANCE(C355, ""volume"", TODAY()-40, TODAY()), ""SELECT Col2 WHERE Col2 IS NOT "&amp;"NULL ORDER BY Col1 DESC LIMIT 20"", 0))
    )
  ), 
"""")"),"")</f>
        <v/>
      </c>
      <c r="K355" s="21" t="str">
        <f>IFERROR(__xludf.DUMMYFUNCTION("IFERROR(GOOGLEFINANCE(C355, ""changepct"") / 100, """")"),"")</f>
        <v/>
      </c>
      <c r="L355" s="21" t="str">
        <f>IFERROR(__xludf.DUMMYFUNCTION("IFERROR((GOOGLEFINANCE(C355, ""price"") / INDEX(GOOGLEFINANCE(C355, ""price"", TODAY()-7, TODAY()), 2, 2)) - 1, """")"),"")</f>
        <v/>
      </c>
      <c r="M355" s="21" t="str">
        <f>IFERROR(__xludf.DUMMYFUNCTION("IFERROR((GOOGLEFINANCE(C355, ""price"") / INDEX(GOOGLEFINANCE(C355, ""price"", EDATE(TODAY(), -1), TODAY()), 2, 2)) - 1, """")"),"")</f>
        <v/>
      </c>
      <c r="N355" s="21" t="str">
        <f>IFERROR(__xludf.DUMMYFUNCTION("IFERROR((GOOGLEFINANCE(C355, ""price"") / INDEX(GOOGLEFINANCE(C355, ""price"", EDATE(TODAY(), -3), TODAY()), 2, 2)) - 1, """")"),"")</f>
        <v/>
      </c>
      <c r="O355" s="21" t="str">
        <f>IFERROR(__xludf.DUMMYFUNCTION("IFERROR((GOOGLEFINANCE(C355, ""price"") / INDEX(GOOGLEFINANCE(C355, ""price"", EDATE(TODAY(), -6), TODAY()), 2, 2)) - 1, """")"),"")</f>
        <v/>
      </c>
      <c r="P355" s="21" t="str">
        <f>IFERROR(__xludf.DUMMYFUNCTION("IFERROR((GOOGLEFINANCE(C355, ""price"") / INDEX(GOOGLEFINANCE(C355, ""price"", EDATE(TODAY(), -12), TODAY()), 2, 2)) - 1, """")"),"")</f>
        <v/>
      </c>
      <c r="Q355" s="6" t="str">
        <f>IFERROR(__xludf.DUMMYFUNCTION("AVERAGE(QUERY(GOOGLEFINANCE(C355, ""price"", TODAY()-80, TODAY()), ""SELECT Col2 WHERE Col2 IS NOT NULL ORDER BY Col1 DESC LIMIT 50"", 0))"),"#N/A")</f>
        <v>#N/A</v>
      </c>
      <c r="R355" s="24" t="str">
        <f>IFERROR(__xludf.DUMMYFUNCTION("IFERROR(
  LET(
    data, QUERY(GOOGLEFINANCE(C355,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GOOGLEFINANCE(C355, ""price"")) * 100,
    IF(calc=0, G355, calc)
  ), 
G355)"),"#N/A")</f>
        <v>#N/A</v>
      </c>
      <c r="S355" s="8" t="s">
        <v>15</v>
      </c>
      <c r="T355" s="26" t="str">
        <f>IFERROR(__xludf.DUMMYFUNCTION("IFERROR(TRANSPOSE(QUERY(IFERROR(SORT(GOOGLEFINANCE(C355, ""price"", WORKDAY(TODAY(), -40), TODAY()), 1, FALSE)), ""select Col2 where Col2 is not null limit 22 label Col2 ''"", 0)), """")"),"")</f>
        <v/>
      </c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8"/>
      <c r="AO355" s="28"/>
      <c r="AP355" s="29"/>
      <c r="AQ355" s="29" t="str">
        <f t="shared" ref="AQ355:BL355" si="358">T355/T$2</f>
        <v>#N/A</v>
      </c>
      <c r="AR355" s="29" t="str">
        <f t="shared" si="358"/>
        <v>#DIV/0!</v>
      </c>
      <c r="AS355" s="29" t="str">
        <f t="shared" si="358"/>
        <v>#DIV/0!</v>
      </c>
      <c r="AT355" s="29" t="str">
        <f t="shared" si="358"/>
        <v>#DIV/0!</v>
      </c>
      <c r="AU355" s="29" t="str">
        <f t="shared" si="358"/>
        <v>#DIV/0!</v>
      </c>
      <c r="AV355" s="29" t="str">
        <f t="shared" si="358"/>
        <v>#DIV/0!</v>
      </c>
      <c r="AW355" s="29" t="str">
        <f t="shared" si="358"/>
        <v>#DIV/0!</v>
      </c>
      <c r="AX355" s="29" t="str">
        <f t="shared" si="358"/>
        <v>#DIV/0!</v>
      </c>
      <c r="AY355" s="29" t="str">
        <f t="shared" si="358"/>
        <v>#DIV/0!</v>
      </c>
      <c r="AZ355" s="29" t="str">
        <f t="shared" si="358"/>
        <v>#DIV/0!</v>
      </c>
      <c r="BA355" s="29" t="str">
        <f t="shared" si="358"/>
        <v>#DIV/0!</v>
      </c>
      <c r="BB355" s="29" t="str">
        <f t="shared" si="358"/>
        <v>#DIV/0!</v>
      </c>
      <c r="BC355" s="29" t="str">
        <f t="shared" si="358"/>
        <v>#DIV/0!</v>
      </c>
      <c r="BD355" s="29" t="str">
        <f t="shared" si="358"/>
        <v>#DIV/0!</v>
      </c>
      <c r="BE355" s="29" t="str">
        <f t="shared" si="358"/>
        <v>#DIV/0!</v>
      </c>
      <c r="BF355" s="29" t="str">
        <f t="shared" si="358"/>
        <v>#DIV/0!</v>
      </c>
      <c r="BG355" s="29" t="str">
        <f t="shared" si="358"/>
        <v>#DIV/0!</v>
      </c>
      <c r="BH355" s="29" t="str">
        <f t="shared" si="358"/>
        <v>#DIV/0!</v>
      </c>
      <c r="BI355" s="29" t="str">
        <f t="shared" si="358"/>
        <v>#DIV/0!</v>
      </c>
      <c r="BJ355" s="29" t="str">
        <f t="shared" si="358"/>
        <v>#DIV/0!</v>
      </c>
      <c r="BK355" s="29" t="str">
        <f t="shared" si="358"/>
        <v>#DIV/0!</v>
      </c>
      <c r="BL355" s="29" t="str">
        <f t="shared" si="358"/>
        <v>#DIV/0!</v>
      </c>
      <c r="BM355" s="29" t="str">
        <f t="shared" si="3"/>
        <v>#DIV/0!</v>
      </c>
    </row>
    <row r="356">
      <c r="A356" s="16" t="str">
        <f>IFERROR(__xludf.DUMMYFUNCTION("IFERROR(SPARKLINE(SORT(MAP(TRANSPOSE(AQ356:BL356), LAMBDA(val, IF(ISNUMBER(val), PERCENTRANK(AQ356:BL356, val)+0.01, 0))), SEQUENCE(COLUMNS(AQ356:BL356)), FALSE), {""charttype"",""column""; ""color"",""chartreuse""; ""ymin"", 0; ""ymax"", 1.01; ""highcolo"&amp;"r"", ""darkgreen""; ""lowcolor"", ""red""}), """")"),"")</f>
        <v/>
      </c>
      <c r="B356" s="17" t="str">
        <f t="shared" si="4"/>
        <v/>
      </c>
      <c r="C356" s="1" t="s">
        <v>1514</v>
      </c>
      <c r="D356" s="30" t="str">
        <f>IFERROR(__xludf.DUMMYFUNCTION("IFERROR(GOOGLEFINANCE(C356, ""NAME""))"),"Fastly Inc")</f>
        <v>Fastly Inc</v>
      </c>
      <c r="E356" s="30" t="s">
        <v>48</v>
      </c>
      <c r="F356" s="33" t="str">
        <f>IFERROR(__xludf.DUMMYFUNCTION("( (GOOGLEFINANCE(C356, ""price"") - Q356) / Q356 ) / (R356 / 100)"),"Loading...")</f>
        <v>Loading...</v>
      </c>
      <c r="G356" s="20" t="str">
        <f>IFERROR(__xludf.DUMMYFUNCTION("AVERAGE(ARRAYFORMULA(100 * (QUERY(GOOGLEFINANCE(C356, ""high"", TODAY()-40, TODAY()), ""SELECT Col2 WHERE Col2 IS NOT NULL ORDER BY Col1 DESC LIMIT 20"", 0) / QUERY(GOOGLEFINANCE(C356, ""low"", TODAY()-40, TODAY()), ""SELECT Col2 WHERE Col2 IS NOT NULL OR"&amp;"DER BY Col1 DESC LIMIT 20"", 0) - 1)))"),"#N/A")</f>
        <v>#N/A</v>
      </c>
      <c r="H356" s="35" t="str">
        <f t="shared" si="6"/>
        <v/>
      </c>
      <c r="I356" s="36" t="str">
        <f t="shared" si="7"/>
        <v/>
      </c>
      <c r="J356" s="37" t="str">
        <f>IFERROR(__xludf.DUMMYFUNCTION("IFERROR(
  IF(C356="""",, 
    IFERROR(
      GOOGLEFINANCE(C356, ""price"") * GOOGLEFINANCE(C356, ""volumeavg""), 
      GOOGLEFINANCE(C356, ""price"") * AVERAGE(QUERY(GOOGLEFINANCE(C356, ""volume"", TODAY()-40, TODAY()), ""SELECT Col2 WHERE Col2 IS NOT "&amp;"NULL ORDER BY Col1 DESC LIMIT 20"", 0))
    )
  ), 
"""")"),"")</f>
        <v/>
      </c>
      <c r="K356" s="21" t="str">
        <f>IFERROR(__xludf.DUMMYFUNCTION("IFERROR(GOOGLEFINANCE(C356, ""changepct"") / 100, """")"),"")</f>
        <v/>
      </c>
      <c r="L356" s="21" t="str">
        <f>IFERROR(__xludf.DUMMYFUNCTION("IFERROR((GOOGLEFINANCE(C356, ""price"") / INDEX(GOOGLEFINANCE(C356, ""price"", TODAY()-7, TODAY()), 2, 2)) - 1, """")"),"")</f>
        <v/>
      </c>
      <c r="M356" s="21" t="str">
        <f>IFERROR(__xludf.DUMMYFUNCTION("IFERROR((GOOGLEFINANCE(C356, ""price"") / INDEX(GOOGLEFINANCE(C356, ""price"", EDATE(TODAY(), -1), TODAY()), 2, 2)) - 1, """")"),"")</f>
        <v/>
      </c>
      <c r="N356" s="21" t="str">
        <f>IFERROR(__xludf.DUMMYFUNCTION("IFERROR((GOOGLEFINANCE(C356, ""price"") / INDEX(GOOGLEFINANCE(C356, ""price"", EDATE(TODAY(), -3), TODAY()), 2, 2)) - 1, """")"),"")</f>
        <v/>
      </c>
      <c r="O356" s="21" t="str">
        <f>IFERROR(__xludf.DUMMYFUNCTION("IFERROR((GOOGLEFINANCE(C356, ""price"") / INDEX(GOOGLEFINANCE(C356, ""price"", EDATE(TODAY(), -6), TODAY()), 2, 2)) - 1, """")"),"")</f>
        <v/>
      </c>
      <c r="P356" s="21" t="str">
        <f>IFERROR(__xludf.DUMMYFUNCTION("IFERROR((GOOGLEFINANCE(C356, ""price"") / INDEX(GOOGLEFINANCE(C356, ""price"", EDATE(TODAY(), -12), TODAY()), 2, 2)) - 1, """")"),"")</f>
        <v/>
      </c>
      <c r="Q356" s="6" t="str">
        <f>IFERROR(__xludf.DUMMYFUNCTION("AVERAGE(QUERY(GOOGLEFINANCE(C356, ""price"", TODAY()-80, TODAY()), ""SELECT Col2 WHERE Col2 IS NOT NULL ORDER BY Col1 DESC LIMIT 50"", 0))"),"#N/A")</f>
        <v>#N/A</v>
      </c>
      <c r="R356" s="24" t="str">
        <f>IFERROR(__xludf.DUMMYFUNCTION("IFERROR(
  LET(
    data, QUERY(GOOGLEFINANCE(C356,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GOOGLEFINANCE(C356, ""price"")) * 100,
    IF(calc=0, G356, calc)
  ), 
G356)"),"#N/A")</f>
        <v>#N/A</v>
      </c>
      <c r="S356" s="8" t="s">
        <v>15</v>
      </c>
      <c r="T356" s="26" t="str">
        <f>IFERROR(__xludf.DUMMYFUNCTION("IFERROR(TRANSPOSE(QUERY(IFERROR(SORT(GOOGLEFINANCE(C356, ""price"", WORKDAY(TODAY(), -40), TODAY()), 1, FALSE)), ""select Col2 where Col2 is not null limit 22 label Col2 ''"", 0)), """")"),"")</f>
        <v/>
      </c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8"/>
      <c r="AO356" s="28"/>
      <c r="AP356" s="29"/>
      <c r="AQ356" s="29" t="str">
        <f t="shared" ref="AQ356:BL356" si="359">T356/T$2</f>
        <v>#N/A</v>
      </c>
      <c r="AR356" s="29" t="str">
        <f t="shared" si="359"/>
        <v>#DIV/0!</v>
      </c>
      <c r="AS356" s="29" t="str">
        <f t="shared" si="359"/>
        <v>#DIV/0!</v>
      </c>
      <c r="AT356" s="29" t="str">
        <f t="shared" si="359"/>
        <v>#DIV/0!</v>
      </c>
      <c r="AU356" s="29" t="str">
        <f t="shared" si="359"/>
        <v>#DIV/0!</v>
      </c>
      <c r="AV356" s="29" t="str">
        <f t="shared" si="359"/>
        <v>#DIV/0!</v>
      </c>
      <c r="AW356" s="29" t="str">
        <f t="shared" si="359"/>
        <v>#DIV/0!</v>
      </c>
      <c r="AX356" s="29" t="str">
        <f t="shared" si="359"/>
        <v>#DIV/0!</v>
      </c>
      <c r="AY356" s="29" t="str">
        <f t="shared" si="359"/>
        <v>#DIV/0!</v>
      </c>
      <c r="AZ356" s="29" t="str">
        <f t="shared" si="359"/>
        <v>#DIV/0!</v>
      </c>
      <c r="BA356" s="29" t="str">
        <f t="shared" si="359"/>
        <v>#DIV/0!</v>
      </c>
      <c r="BB356" s="29" t="str">
        <f t="shared" si="359"/>
        <v>#DIV/0!</v>
      </c>
      <c r="BC356" s="29" t="str">
        <f t="shared" si="359"/>
        <v>#DIV/0!</v>
      </c>
      <c r="BD356" s="29" t="str">
        <f t="shared" si="359"/>
        <v>#DIV/0!</v>
      </c>
      <c r="BE356" s="29" t="str">
        <f t="shared" si="359"/>
        <v>#DIV/0!</v>
      </c>
      <c r="BF356" s="29" t="str">
        <f t="shared" si="359"/>
        <v>#DIV/0!</v>
      </c>
      <c r="BG356" s="29" t="str">
        <f t="shared" si="359"/>
        <v>#DIV/0!</v>
      </c>
      <c r="BH356" s="29" t="str">
        <f t="shared" si="359"/>
        <v>#DIV/0!</v>
      </c>
      <c r="BI356" s="29" t="str">
        <f t="shared" si="359"/>
        <v>#DIV/0!</v>
      </c>
      <c r="BJ356" s="29" t="str">
        <f t="shared" si="359"/>
        <v>#DIV/0!</v>
      </c>
      <c r="BK356" s="29" t="str">
        <f t="shared" si="359"/>
        <v>#DIV/0!</v>
      </c>
      <c r="BL356" s="29" t="str">
        <f t="shared" si="359"/>
        <v>#DIV/0!</v>
      </c>
      <c r="BM356" s="29" t="str">
        <f t="shared" si="3"/>
        <v>#DIV/0!</v>
      </c>
    </row>
    <row r="357">
      <c r="A357" s="16" t="str">
        <f>IFERROR(__xludf.DUMMYFUNCTION("IFERROR(SPARKLINE(SORT(MAP(TRANSPOSE(AQ357:BL357), LAMBDA(val, IF(ISNUMBER(val), PERCENTRANK(AQ357:BL357, val)+0.01, 0))), SEQUENCE(COLUMNS(AQ357:BL357)), FALSE), {""charttype"",""column""; ""color"",""chartreuse""; ""ymin"", 0; ""ymax"", 1.01; ""highcolo"&amp;"r"", ""darkgreen""; ""lowcolor"", ""red""}), """")"),"")</f>
        <v/>
      </c>
      <c r="B357" s="17" t="str">
        <f t="shared" si="4"/>
        <v/>
      </c>
      <c r="C357" s="1" t="s">
        <v>1519</v>
      </c>
      <c r="D357" s="30" t="str">
        <f>IFERROR(__xludf.DUMMYFUNCTION("IFERROR(GOOGLEFINANCE(C357, ""NAME""))"),"Monolithic Power Systems Inc")</f>
        <v>Monolithic Power Systems Inc</v>
      </c>
      <c r="E357" s="30" t="s">
        <v>871</v>
      </c>
      <c r="F357" s="33" t="str">
        <f>IFERROR(__xludf.DUMMYFUNCTION("( (GOOGLEFINANCE(C357, ""price"") - Q357) / Q357 ) / (R357 / 100)"),"Loading...")</f>
        <v>Loading...</v>
      </c>
      <c r="G357" s="20" t="str">
        <f>IFERROR(__xludf.DUMMYFUNCTION("AVERAGE(ARRAYFORMULA(100 * (QUERY(GOOGLEFINANCE(C357, ""high"", TODAY()-40, TODAY()), ""SELECT Col2 WHERE Col2 IS NOT NULL ORDER BY Col1 DESC LIMIT 20"", 0) / QUERY(GOOGLEFINANCE(C357, ""low"", TODAY()-40, TODAY()), ""SELECT Col2 WHERE Col2 IS NOT NULL OR"&amp;"DER BY Col1 DESC LIMIT 20"", 0) - 1)))"),"#N/A")</f>
        <v>#N/A</v>
      </c>
      <c r="H357" s="35" t="str">
        <f t="shared" si="6"/>
        <v/>
      </c>
      <c r="I357" s="36" t="str">
        <f t="shared" si="7"/>
        <v/>
      </c>
      <c r="J357" s="37" t="str">
        <f>IFERROR(__xludf.DUMMYFUNCTION("IFERROR(
  IF(C357="""",, 
    IFERROR(
      GOOGLEFINANCE(C357, ""price"") * GOOGLEFINANCE(C357, ""volumeavg""), 
      GOOGLEFINANCE(C357, ""price"") * AVERAGE(QUERY(GOOGLEFINANCE(C357, ""volume"", TODAY()-40, TODAY()), ""SELECT Col2 WHERE Col2 IS NOT "&amp;"NULL ORDER BY Col1 DESC LIMIT 20"", 0))
    )
  ), 
"""")"),"")</f>
        <v/>
      </c>
      <c r="K357" s="21" t="str">
        <f>IFERROR(__xludf.DUMMYFUNCTION("IFERROR(GOOGLEFINANCE(C357, ""changepct"") / 100, """")"),"")</f>
        <v/>
      </c>
      <c r="L357" s="21" t="str">
        <f>IFERROR(__xludf.DUMMYFUNCTION("IFERROR((GOOGLEFINANCE(C357, ""price"") / INDEX(GOOGLEFINANCE(C357, ""price"", TODAY()-7, TODAY()), 2, 2)) - 1, """")"),"")</f>
        <v/>
      </c>
      <c r="M357" s="21" t="str">
        <f>IFERROR(__xludf.DUMMYFUNCTION("IFERROR((GOOGLEFINANCE(C357, ""price"") / INDEX(GOOGLEFINANCE(C357, ""price"", EDATE(TODAY(), -1), TODAY()), 2, 2)) - 1, """")"),"")</f>
        <v/>
      </c>
      <c r="N357" s="21" t="str">
        <f>IFERROR(__xludf.DUMMYFUNCTION("IFERROR((GOOGLEFINANCE(C357, ""price"") / INDEX(GOOGLEFINANCE(C357, ""price"", EDATE(TODAY(), -3), TODAY()), 2, 2)) - 1, """")"),"")</f>
        <v/>
      </c>
      <c r="O357" s="21" t="str">
        <f>IFERROR(__xludf.DUMMYFUNCTION("IFERROR((GOOGLEFINANCE(C357, ""price"") / INDEX(GOOGLEFINANCE(C357, ""price"", EDATE(TODAY(), -6), TODAY()), 2, 2)) - 1, """")"),"")</f>
        <v/>
      </c>
      <c r="P357" s="21" t="str">
        <f>IFERROR(__xludf.DUMMYFUNCTION("IFERROR((GOOGLEFINANCE(C357, ""price"") / INDEX(GOOGLEFINANCE(C357, ""price"", EDATE(TODAY(), -12), TODAY()), 2, 2)) - 1, """")"),"")</f>
        <v/>
      </c>
      <c r="Q357" s="6" t="str">
        <f>IFERROR(__xludf.DUMMYFUNCTION("AVERAGE(QUERY(GOOGLEFINANCE(C357, ""price"", TODAY()-80, TODAY()), ""SELECT Col2 WHERE Col2 IS NOT NULL ORDER BY Col1 DESC LIMIT 50"", 0))"),"#N/A")</f>
        <v>#N/A</v>
      </c>
      <c r="R357" s="24" t="str">
        <f>IFERROR(__xludf.DUMMYFUNCTION("IFERROR(
  LET(
    data, QUERY(GOOGLEFINANCE(C357,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GOOGLEFINANCE(C357, ""price"")) * 100,
    IF(calc=0, G357, calc)
  ), 
G357)"),"#N/A")</f>
        <v>#N/A</v>
      </c>
      <c r="S357" s="8" t="s">
        <v>15</v>
      </c>
      <c r="T357" s="26" t="str">
        <f>IFERROR(__xludf.DUMMYFUNCTION("IFERROR(TRANSPOSE(QUERY(IFERROR(SORT(GOOGLEFINANCE(C357, ""price"", WORKDAY(TODAY(), -40), TODAY()), 1, FALSE)), ""select Col2 where Col2 is not null limit 22 label Col2 ''"", 0)), """")"),"")</f>
        <v/>
      </c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8"/>
      <c r="AO357" s="28"/>
      <c r="AP357" s="29"/>
      <c r="AQ357" s="29" t="str">
        <f t="shared" ref="AQ357:BL357" si="360">T357/T$2</f>
        <v>#N/A</v>
      </c>
      <c r="AR357" s="29" t="str">
        <f t="shared" si="360"/>
        <v>#DIV/0!</v>
      </c>
      <c r="AS357" s="29" t="str">
        <f t="shared" si="360"/>
        <v>#DIV/0!</v>
      </c>
      <c r="AT357" s="29" t="str">
        <f t="shared" si="360"/>
        <v>#DIV/0!</v>
      </c>
      <c r="AU357" s="29" t="str">
        <f t="shared" si="360"/>
        <v>#DIV/0!</v>
      </c>
      <c r="AV357" s="29" t="str">
        <f t="shared" si="360"/>
        <v>#DIV/0!</v>
      </c>
      <c r="AW357" s="29" t="str">
        <f t="shared" si="360"/>
        <v>#DIV/0!</v>
      </c>
      <c r="AX357" s="29" t="str">
        <f t="shared" si="360"/>
        <v>#DIV/0!</v>
      </c>
      <c r="AY357" s="29" t="str">
        <f t="shared" si="360"/>
        <v>#DIV/0!</v>
      </c>
      <c r="AZ357" s="29" t="str">
        <f t="shared" si="360"/>
        <v>#DIV/0!</v>
      </c>
      <c r="BA357" s="29" t="str">
        <f t="shared" si="360"/>
        <v>#DIV/0!</v>
      </c>
      <c r="BB357" s="29" t="str">
        <f t="shared" si="360"/>
        <v>#DIV/0!</v>
      </c>
      <c r="BC357" s="29" t="str">
        <f t="shared" si="360"/>
        <v>#DIV/0!</v>
      </c>
      <c r="BD357" s="29" t="str">
        <f t="shared" si="360"/>
        <v>#DIV/0!</v>
      </c>
      <c r="BE357" s="29" t="str">
        <f t="shared" si="360"/>
        <v>#DIV/0!</v>
      </c>
      <c r="BF357" s="29" t="str">
        <f t="shared" si="360"/>
        <v>#DIV/0!</v>
      </c>
      <c r="BG357" s="29" t="str">
        <f t="shared" si="360"/>
        <v>#DIV/0!</v>
      </c>
      <c r="BH357" s="29" t="str">
        <f t="shared" si="360"/>
        <v>#DIV/0!</v>
      </c>
      <c r="BI357" s="29" t="str">
        <f t="shared" si="360"/>
        <v>#DIV/0!</v>
      </c>
      <c r="BJ357" s="29" t="str">
        <f t="shared" si="360"/>
        <v>#DIV/0!</v>
      </c>
      <c r="BK357" s="29" t="str">
        <f t="shared" si="360"/>
        <v>#DIV/0!</v>
      </c>
      <c r="BL357" s="29" t="str">
        <f t="shared" si="360"/>
        <v>#DIV/0!</v>
      </c>
      <c r="BM357" s="29" t="str">
        <f t="shared" si="3"/>
        <v>#DIV/0!</v>
      </c>
    </row>
    <row r="358">
      <c r="A358" s="16" t="str">
        <f>IFERROR(__xludf.DUMMYFUNCTION("IFERROR(SPARKLINE(SORT(MAP(TRANSPOSE(AQ358:BL358), LAMBDA(val, IF(ISNUMBER(val), PERCENTRANK(AQ358:BL358, val)+0.01, 0))), SEQUENCE(COLUMNS(AQ358:BL358)), FALSE), {""charttype"",""column""; ""color"",""chartreuse""; ""ymin"", 0; ""ymax"", 1.01; ""highcolo"&amp;"r"", ""darkgreen""; ""lowcolor"", ""red""}), """")"),"")</f>
        <v/>
      </c>
      <c r="B358" s="17" t="str">
        <f t="shared" si="4"/>
        <v/>
      </c>
      <c r="C358" s="1" t="s">
        <v>1523</v>
      </c>
      <c r="D358" s="30" t="str">
        <f>IFERROR(__xludf.DUMMYFUNCTION("IFERROR(GOOGLEFINANCE(C358, ""NAME""))"),"Adeia Inc")</f>
        <v>Adeia Inc</v>
      </c>
      <c r="E358" s="30" t="s">
        <v>48</v>
      </c>
      <c r="F358" s="38" t="str">
        <f>IFERROR(__xludf.DUMMYFUNCTION("( (GOOGLEFINANCE(C358, ""price"") - Q358) / Q358 ) / (R358 / 100)"),"Loading...")</f>
        <v>Loading...</v>
      </c>
      <c r="G358" s="20" t="str">
        <f>IFERROR(__xludf.DUMMYFUNCTION("AVERAGE(ARRAYFORMULA(100 * (QUERY(GOOGLEFINANCE(C358, ""high"", TODAY()-40, TODAY()), ""SELECT Col2 WHERE Col2 IS NOT NULL ORDER BY Col1 DESC LIMIT 20"", 0) / QUERY(GOOGLEFINANCE(C358, ""low"", TODAY()-40, TODAY()), ""SELECT Col2 WHERE Col2 IS NOT NULL OR"&amp;"DER BY Col1 DESC LIMIT 20"", 0) - 1)))"),"#N/A")</f>
        <v>#N/A</v>
      </c>
      <c r="H358" s="35" t="str">
        <f t="shared" si="6"/>
        <v/>
      </c>
      <c r="I358" s="36" t="str">
        <f t="shared" si="7"/>
        <v/>
      </c>
      <c r="J358" s="37" t="str">
        <f>IFERROR(__xludf.DUMMYFUNCTION("IFERROR(
  IF(C358="""",, 
    IFERROR(
      GOOGLEFINANCE(C358, ""price"") * GOOGLEFINANCE(C358, ""volumeavg""), 
      GOOGLEFINANCE(C358, ""price"") * AVERAGE(QUERY(GOOGLEFINANCE(C358, ""volume"", TODAY()-40, TODAY()), ""SELECT Col2 WHERE Col2 IS NOT "&amp;"NULL ORDER BY Col1 DESC LIMIT 20"", 0))
    )
  ), 
"""")"),"")</f>
        <v/>
      </c>
      <c r="K358" s="21" t="str">
        <f>IFERROR(__xludf.DUMMYFUNCTION("IFERROR(GOOGLEFINANCE(C358, ""changepct"") / 100, """")"),"")</f>
        <v/>
      </c>
      <c r="L358" s="21" t="str">
        <f>IFERROR(__xludf.DUMMYFUNCTION("IFERROR((GOOGLEFINANCE(C358, ""price"") / INDEX(GOOGLEFINANCE(C358, ""price"", TODAY()-7, TODAY()), 2, 2)) - 1, """")"),"")</f>
        <v/>
      </c>
      <c r="M358" s="21" t="str">
        <f>IFERROR(__xludf.DUMMYFUNCTION("IFERROR((GOOGLEFINANCE(C358, ""price"") / INDEX(GOOGLEFINANCE(C358, ""price"", EDATE(TODAY(), -1), TODAY()), 2, 2)) - 1, """")"),"")</f>
        <v/>
      </c>
      <c r="N358" s="21" t="str">
        <f>IFERROR(__xludf.DUMMYFUNCTION("IFERROR((GOOGLEFINANCE(C358, ""price"") / INDEX(GOOGLEFINANCE(C358, ""price"", EDATE(TODAY(), -3), TODAY()), 2, 2)) - 1, """")"),"")</f>
        <v/>
      </c>
      <c r="O358" s="21" t="str">
        <f>IFERROR(__xludf.DUMMYFUNCTION("IFERROR((GOOGLEFINANCE(C358, ""price"") / INDEX(GOOGLEFINANCE(C358, ""price"", EDATE(TODAY(), -6), TODAY()), 2, 2)) - 1, """")"),"")</f>
        <v/>
      </c>
      <c r="P358" s="21" t="str">
        <f>IFERROR(__xludf.DUMMYFUNCTION("IFERROR((GOOGLEFINANCE(C358, ""price"") / INDEX(GOOGLEFINANCE(C358, ""price"", EDATE(TODAY(), -12), TODAY()), 2, 2)) - 1, """")"),"")</f>
        <v/>
      </c>
      <c r="Q358" s="6" t="str">
        <f>IFERROR(__xludf.DUMMYFUNCTION("AVERAGE(QUERY(GOOGLEFINANCE(C358, ""price"", TODAY()-80, TODAY()), ""SELECT Col2 WHERE Col2 IS NOT NULL ORDER BY Col1 DESC LIMIT 50"", 0))"),"#N/A")</f>
        <v>#N/A</v>
      </c>
      <c r="R358" s="24" t="str">
        <f>IFERROR(__xludf.DUMMYFUNCTION("IFERROR(
  LET(
    data, QUERY(GOOGLEFINANCE(C358,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GOOGLEFINANCE(C358, ""price"")) * 100,
    IF(calc=0, G358, calc)
  ), 
G358)"),"#N/A")</f>
        <v>#N/A</v>
      </c>
      <c r="S358" s="8" t="s">
        <v>15</v>
      </c>
      <c r="T358" s="26" t="str">
        <f>IFERROR(__xludf.DUMMYFUNCTION("IFERROR(TRANSPOSE(QUERY(IFERROR(SORT(GOOGLEFINANCE(C358, ""price"", WORKDAY(TODAY(), -40), TODAY()), 1, FALSE)), ""select Col2 where Col2 is not null limit 22 label Col2 ''"", 0)), """")"),"")</f>
        <v/>
      </c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8"/>
      <c r="AO358" s="28"/>
      <c r="AP358" s="29"/>
      <c r="AQ358" s="29" t="str">
        <f t="shared" ref="AQ358:BL358" si="361">T358/T$2</f>
        <v>#N/A</v>
      </c>
      <c r="AR358" s="29" t="str">
        <f t="shared" si="361"/>
        <v>#DIV/0!</v>
      </c>
      <c r="AS358" s="29" t="str">
        <f t="shared" si="361"/>
        <v>#DIV/0!</v>
      </c>
      <c r="AT358" s="29" t="str">
        <f t="shared" si="361"/>
        <v>#DIV/0!</v>
      </c>
      <c r="AU358" s="29" t="str">
        <f t="shared" si="361"/>
        <v>#DIV/0!</v>
      </c>
      <c r="AV358" s="29" t="str">
        <f t="shared" si="361"/>
        <v>#DIV/0!</v>
      </c>
      <c r="AW358" s="29" t="str">
        <f t="shared" si="361"/>
        <v>#DIV/0!</v>
      </c>
      <c r="AX358" s="29" t="str">
        <f t="shared" si="361"/>
        <v>#DIV/0!</v>
      </c>
      <c r="AY358" s="29" t="str">
        <f t="shared" si="361"/>
        <v>#DIV/0!</v>
      </c>
      <c r="AZ358" s="29" t="str">
        <f t="shared" si="361"/>
        <v>#DIV/0!</v>
      </c>
      <c r="BA358" s="29" t="str">
        <f t="shared" si="361"/>
        <v>#DIV/0!</v>
      </c>
      <c r="BB358" s="29" t="str">
        <f t="shared" si="361"/>
        <v>#DIV/0!</v>
      </c>
      <c r="BC358" s="29" t="str">
        <f t="shared" si="361"/>
        <v>#DIV/0!</v>
      </c>
      <c r="BD358" s="29" t="str">
        <f t="shared" si="361"/>
        <v>#DIV/0!</v>
      </c>
      <c r="BE358" s="29" t="str">
        <f t="shared" si="361"/>
        <v>#DIV/0!</v>
      </c>
      <c r="BF358" s="29" t="str">
        <f t="shared" si="361"/>
        <v>#DIV/0!</v>
      </c>
      <c r="BG358" s="29" t="str">
        <f t="shared" si="361"/>
        <v>#DIV/0!</v>
      </c>
      <c r="BH358" s="29" t="str">
        <f t="shared" si="361"/>
        <v>#DIV/0!</v>
      </c>
      <c r="BI358" s="29" t="str">
        <f t="shared" si="361"/>
        <v>#DIV/0!</v>
      </c>
      <c r="BJ358" s="29" t="str">
        <f t="shared" si="361"/>
        <v>#DIV/0!</v>
      </c>
      <c r="BK358" s="29" t="str">
        <f t="shared" si="361"/>
        <v>#DIV/0!</v>
      </c>
      <c r="BL358" s="29" t="str">
        <f t="shared" si="361"/>
        <v>#DIV/0!</v>
      </c>
      <c r="BM358" s="29" t="str">
        <f t="shared" si="3"/>
        <v>#DIV/0!</v>
      </c>
    </row>
    <row r="359">
      <c r="A359" s="16" t="str">
        <f>IFERROR(__xludf.DUMMYFUNCTION("IFERROR(SPARKLINE(SORT(MAP(TRANSPOSE(AQ359:BL359), LAMBDA(val, IF(ISNUMBER(val), PERCENTRANK(AQ359:BL359, val)+0.01, 0))), SEQUENCE(COLUMNS(AQ359:BL359)), FALSE), {""charttype"",""column""; ""color"",""chartreuse""; ""ymin"", 0; ""ymax"", 1.01; ""highcolo"&amp;"r"", ""darkgreen""; ""lowcolor"", ""red""}), """")"),"")</f>
        <v/>
      </c>
      <c r="B359" s="17" t="str">
        <f t="shared" si="4"/>
        <v/>
      </c>
      <c r="C359" s="1" t="s">
        <v>1526</v>
      </c>
      <c r="D359" s="30" t="str">
        <f>IFERROR(__xludf.DUMMYFUNCTION("IFERROR(GOOGLEFINANCE(C359, ""NAME""))"),"Core Scientific Inc")</f>
        <v>Core Scientific Inc</v>
      </c>
      <c r="E359" s="30" t="s">
        <v>58</v>
      </c>
      <c r="F359" s="33" t="str">
        <f>IFERROR(__xludf.DUMMYFUNCTION("( (GOOGLEFINANCE(C359, ""price"") - Q359) / Q359 ) / (R359 / 100)"),"Loading...")</f>
        <v>Loading...</v>
      </c>
      <c r="G359" s="20" t="str">
        <f>IFERROR(__xludf.DUMMYFUNCTION("AVERAGE(ARRAYFORMULA(100 * (QUERY(GOOGLEFINANCE(C359, ""high"", TODAY()-40, TODAY()), ""SELECT Col2 WHERE Col2 IS NOT NULL ORDER BY Col1 DESC LIMIT 20"", 0) / QUERY(GOOGLEFINANCE(C359, ""low"", TODAY()-40, TODAY()), ""SELECT Col2 WHERE Col2 IS NOT NULL OR"&amp;"DER BY Col1 DESC LIMIT 20"", 0) - 1)))"),"#N/A")</f>
        <v>#N/A</v>
      </c>
      <c r="H359" s="35" t="str">
        <f t="shared" si="6"/>
        <v/>
      </c>
      <c r="I359" s="36" t="str">
        <f t="shared" si="7"/>
        <v/>
      </c>
      <c r="J359" s="37" t="str">
        <f>IFERROR(__xludf.DUMMYFUNCTION("IFERROR(
  IF(C359="""",, 
    IFERROR(
      GOOGLEFINANCE(C359, ""price"") * GOOGLEFINANCE(C359, ""volumeavg""), 
      GOOGLEFINANCE(C359, ""price"") * AVERAGE(QUERY(GOOGLEFINANCE(C359, ""volume"", TODAY()-40, TODAY()), ""SELECT Col2 WHERE Col2 IS NOT "&amp;"NULL ORDER BY Col1 DESC LIMIT 20"", 0))
    )
  ), 
"""")"),"")</f>
        <v/>
      </c>
      <c r="K359" s="21" t="str">
        <f>IFERROR(__xludf.DUMMYFUNCTION("IFERROR(GOOGLEFINANCE(C359, ""changepct"") / 100, """")"),"")</f>
        <v/>
      </c>
      <c r="L359" s="21" t="str">
        <f>IFERROR(__xludf.DUMMYFUNCTION("IFERROR((GOOGLEFINANCE(C359, ""price"") / INDEX(GOOGLEFINANCE(C359, ""price"", TODAY()-7, TODAY()), 2, 2)) - 1, """")"),"")</f>
        <v/>
      </c>
      <c r="M359" s="21" t="str">
        <f>IFERROR(__xludf.DUMMYFUNCTION("IFERROR((GOOGLEFINANCE(C359, ""price"") / INDEX(GOOGLEFINANCE(C359, ""price"", EDATE(TODAY(), -1), TODAY()), 2, 2)) - 1, """")"),"")</f>
        <v/>
      </c>
      <c r="N359" s="21" t="str">
        <f>IFERROR(__xludf.DUMMYFUNCTION("IFERROR((GOOGLEFINANCE(C359, ""price"") / INDEX(GOOGLEFINANCE(C359, ""price"", EDATE(TODAY(), -3), TODAY()), 2, 2)) - 1, """")"),"")</f>
        <v/>
      </c>
      <c r="O359" s="21" t="str">
        <f>IFERROR(__xludf.DUMMYFUNCTION("IFERROR((GOOGLEFINANCE(C359, ""price"") / INDEX(GOOGLEFINANCE(C359, ""price"", EDATE(TODAY(), -6), TODAY()), 2, 2)) - 1, """")"),"")</f>
        <v/>
      </c>
      <c r="P359" s="21" t="str">
        <f>IFERROR(__xludf.DUMMYFUNCTION("IFERROR((GOOGLEFINANCE(C359, ""price"") / INDEX(GOOGLEFINANCE(C359, ""price"", EDATE(TODAY(), -12), TODAY()), 2, 2)) - 1, """")"),"")</f>
        <v/>
      </c>
      <c r="Q359" s="6" t="str">
        <f>IFERROR(__xludf.DUMMYFUNCTION("AVERAGE(QUERY(GOOGLEFINANCE(C359, ""price"", TODAY()-80, TODAY()), ""SELECT Col2 WHERE Col2 IS NOT NULL ORDER BY Col1 DESC LIMIT 50"", 0))"),"#N/A")</f>
        <v>#N/A</v>
      </c>
      <c r="R359" s="24" t="str">
        <f>IFERROR(__xludf.DUMMYFUNCTION("IFERROR(
  LET(
    data, QUERY(GOOGLEFINANCE(C359,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GOOGLEFINANCE(C359, ""price"")) * 100,
    IF(calc=0, G359, calc)
  ), 
G359)"),"#N/A")</f>
        <v>#N/A</v>
      </c>
      <c r="S359" s="8" t="s">
        <v>15</v>
      </c>
      <c r="T359" s="26" t="str">
        <f>IFERROR(__xludf.DUMMYFUNCTION("IFERROR(TRANSPOSE(QUERY(IFERROR(SORT(GOOGLEFINANCE(C359, ""price"", WORKDAY(TODAY(), -40), TODAY()), 1, FALSE)), ""select Col2 where Col2 is not null limit 22 label Col2 ''"", 0)), """")"),"")</f>
        <v/>
      </c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8"/>
      <c r="AO359" s="28"/>
      <c r="AP359" s="29"/>
      <c r="AQ359" s="29" t="str">
        <f t="shared" ref="AQ359:BL359" si="362">T359/T$2</f>
        <v>#N/A</v>
      </c>
      <c r="AR359" s="29" t="str">
        <f t="shared" si="362"/>
        <v>#DIV/0!</v>
      </c>
      <c r="AS359" s="29" t="str">
        <f t="shared" si="362"/>
        <v>#DIV/0!</v>
      </c>
      <c r="AT359" s="29" t="str">
        <f t="shared" si="362"/>
        <v>#DIV/0!</v>
      </c>
      <c r="AU359" s="29" t="str">
        <f t="shared" si="362"/>
        <v>#DIV/0!</v>
      </c>
      <c r="AV359" s="29" t="str">
        <f t="shared" si="362"/>
        <v>#DIV/0!</v>
      </c>
      <c r="AW359" s="29" t="str">
        <f t="shared" si="362"/>
        <v>#DIV/0!</v>
      </c>
      <c r="AX359" s="29" t="str">
        <f t="shared" si="362"/>
        <v>#DIV/0!</v>
      </c>
      <c r="AY359" s="29" t="str">
        <f t="shared" si="362"/>
        <v>#DIV/0!</v>
      </c>
      <c r="AZ359" s="29" t="str">
        <f t="shared" si="362"/>
        <v>#DIV/0!</v>
      </c>
      <c r="BA359" s="29" t="str">
        <f t="shared" si="362"/>
        <v>#DIV/0!</v>
      </c>
      <c r="BB359" s="29" t="str">
        <f t="shared" si="362"/>
        <v>#DIV/0!</v>
      </c>
      <c r="BC359" s="29" t="str">
        <f t="shared" si="362"/>
        <v>#DIV/0!</v>
      </c>
      <c r="BD359" s="29" t="str">
        <f t="shared" si="362"/>
        <v>#DIV/0!</v>
      </c>
      <c r="BE359" s="29" t="str">
        <f t="shared" si="362"/>
        <v>#DIV/0!</v>
      </c>
      <c r="BF359" s="29" t="str">
        <f t="shared" si="362"/>
        <v>#DIV/0!</v>
      </c>
      <c r="BG359" s="29" t="str">
        <f t="shared" si="362"/>
        <v>#DIV/0!</v>
      </c>
      <c r="BH359" s="29" t="str">
        <f t="shared" si="362"/>
        <v>#DIV/0!</v>
      </c>
      <c r="BI359" s="29" t="str">
        <f t="shared" si="362"/>
        <v>#DIV/0!</v>
      </c>
      <c r="BJ359" s="29" t="str">
        <f t="shared" si="362"/>
        <v>#DIV/0!</v>
      </c>
      <c r="BK359" s="29" t="str">
        <f t="shared" si="362"/>
        <v>#DIV/0!</v>
      </c>
      <c r="BL359" s="29" t="str">
        <f t="shared" si="362"/>
        <v>#DIV/0!</v>
      </c>
      <c r="BM359" s="29" t="str">
        <f t="shared" si="3"/>
        <v>#DIV/0!</v>
      </c>
    </row>
    <row r="360">
      <c r="A360" s="16" t="str">
        <f>IFERROR(__xludf.DUMMYFUNCTION("IFERROR(SPARKLINE(SORT(MAP(TRANSPOSE(AQ360:BL360), LAMBDA(val, IF(ISNUMBER(val), PERCENTRANK(AQ360:BL360, val)+0.01, 0))), SEQUENCE(COLUMNS(AQ360:BL360)), FALSE), {""charttype"",""column""; ""color"",""chartreuse""; ""ymin"", 0; ""ymax"", 1.01; ""highcolo"&amp;"r"", ""darkgreen""; ""lowcolor"", ""red""}), """")"),"")</f>
        <v/>
      </c>
      <c r="B360" s="17" t="str">
        <f t="shared" si="4"/>
        <v/>
      </c>
      <c r="C360" s="1" t="s">
        <v>1530</v>
      </c>
      <c r="D360" s="30" t="str">
        <f>IFERROR(__xludf.DUMMYFUNCTION("IFERROR(GOOGLEFINANCE(C360, ""NAME""))"),"Rambus Inc")</f>
        <v>Rambus Inc</v>
      </c>
      <c r="E360" s="30" t="s">
        <v>871</v>
      </c>
      <c r="F360" s="33" t="str">
        <f>IFERROR(__xludf.DUMMYFUNCTION("( (GOOGLEFINANCE(C360, ""price"") - Q360) / Q360 ) / (R360 / 100)"),"Loading...")</f>
        <v>Loading...</v>
      </c>
      <c r="G360" s="20" t="str">
        <f>IFERROR(__xludf.DUMMYFUNCTION("AVERAGE(ARRAYFORMULA(100 * (QUERY(GOOGLEFINANCE(C360, ""high"", TODAY()-40, TODAY()), ""SELECT Col2 WHERE Col2 IS NOT NULL ORDER BY Col1 DESC LIMIT 20"", 0) / QUERY(GOOGLEFINANCE(C360, ""low"", TODAY()-40, TODAY()), ""SELECT Col2 WHERE Col2 IS NOT NULL OR"&amp;"DER BY Col1 DESC LIMIT 20"", 0) - 1)))"),"#N/A")</f>
        <v>#N/A</v>
      </c>
      <c r="H360" s="35" t="str">
        <f t="shared" si="6"/>
        <v/>
      </c>
      <c r="I360" s="36" t="str">
        <f t="shared" si="7"/>
        <v/>
      </c>
      <c r="J360" s="37" t="str">
        <f>IFERROR(__xludf.DUMMYFUNCTION("IFERROR(
  IF(C360="""",, 
    IFERROR(
      GOOGLEFINANCE(C360, ""price"") * GOOGLEFINANCE(C360, ""volumeavg""), 
      GOOGLEFINANCE(C360, ""price"") * AVERAGE(QUERY(GOOGLEFINANCE(C360, ""volume"", TODAY()-40, TODAY()), ""SELECT Col2 WHERE Col2 IS NOT "&amp;"NULL ORDER BY Col1 DESC LIMIT 20"", 0))
    )
  ), 
"""")"),"")</f>
        <v/>
      </c>
      <c r="K360" s="21" t="str">
        <f>IFERROR(__xludf.DUMMYFUNCTION("IFERROR(GOOGLEFINANCE(C360, ""changepct"") / 100, """")"),"")</f>
        <v/>
      </c>
      <c r="L360" s="21" t="str">
        <f>IFERROR(__xludf.DUMMYFUNCTION("IFERROR((GOOGLEFINANCE(C360, ""price"") / INDEX(GOOGLEFINANCE(C360, ""price"", TODAY()-7, TODAY()), 2, 2)) - 1, """")"),"")</f>
        <v/>
      </c>
      <c r="M360" s="21" t="str">
        <f>IFERROR(__xludf.DUMMYFUNCTION("IFERROR((GOOGLEFINANCE(C360, ""price"") / INDEX(GOOGLEFINANCE(C360, ""price"", EDATE(TODAY(), -1), TODAY()), 2, 2)) - 1, """")"),"")</f>
        <v/>
      </c>
      <c r="N360" s="21" t="str">
        <f>IFERROR(__xludf.DUMMYFUNCTION("IFERROR((GOOGLEFINANCE(C360, ""price"") / INDEX(GOOGLEFINANCE(C360, ""price"", EDATE(TODAY(), -3), TODAY()), 2, 2)) - 1, """")"),"")</f>
        <v/>
      </c>
      <c r="O360" s="21" t="str">
        <f>IFERROR(__xludf.DUMMYFUNCTION("IFERROR((GOOGLEFINANCE(C360, ""price"") / INDEX(GOOGLEFINANCE(C360, ""price"", EDATE(TODAY(), -6), TODAY()), 2, 2)) - 1, """")"),"")</f>
        <v/>
      </c>
      <c r="P360" s="21" t="str">
        <f>IFERROR(__xludf.DUMMYFUNCTION("IFERROR((GOOGLEFINANCE(C360, ""price"") / INDEX(GOOGLEFINANCE(C360, ""price"", EDATE(TODAY(), -12), TODAY()), 2, 2)) - 1, """")"),"")</f>
        <v/>
      </c>
      <c r="Q360" s="6" t="str">
        <f>IFERROR(__xludf.DUMMYFUNCTION("AVERAGE(QUERY(GOOGLEFINANCE(C360, ""price"", TODAY()-80, TODAY()), ""SELECT Col2 WHERE Col2 IS NOT NULL ORDER BY Col1 DESC LIMIT 50"", 0))"),"#N/A")</f>
        <v>#N/A</v>
      </c>
      <c r="R360" s="24" t="str">
        <f>IFERROR(__xludf.DUMMYFUNCTION("IFERROR(
  LET(
    data, QUERY(GOOGLEFINANCE(C360,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GOOGLEFINANCE(C360, ""price"")) * 100,
    IF(calc=0, G360, calc)
  ), 
G360)"),"#N/A")</f>
        <v>#N/A</v>
      </c>
      <c r="S360" s="8" t="s">
        <v>15</v>
      </c>
      <c r="T360" s="26" t="str">
        <f>IFERROR(__xludf.DUMMYFUNCTION("IFERROR(TRANSPOSE(QUERY(IFERROR(SORT(GOOGLEFINANCE(C360, ""price"", WORKDAY(TODAY(), -40), TODAY()), 1, FALSE)), ""select Col2 where Col2 is not null limit 22 label Col2 ''"", 0)), """")"),"")</f>
        <v/>
      </c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8"/>
      <c r="AO360" s="28"/>
      <c r="AP360" s="29"/>
      <c r="AQ360" s="29" t="str">
        <f t="shared" ref="AQ360:BL360" si="363">T360/T$2</f>
        <v>#N/A</v>
      </c>
      <c r="AR360" s="29" t="str">
        <f t="shared" si="363"/>
        <v>#DIV/0!</v>
      </c>
      <c r="AS360" s="29" t="str">
        <f t="shared" si="363"/>
        <v>#DIV/0!</v>
      </c>
      <c r="AT360" s="29" t="str">
        <f t="shared" si="363"/>
        <v>#DIV/0!</v>
      </c>
      <c r="AU360" s="29" t="str">
        <f t="shared" si="363"/>
        <v>#DIV/0!</v>
      </c>
      <c r="AV360" s="29" t="str">
        <f t="shared" si="363"/>
        <v>#DIV/0!</v>
      </c>
      <c r="AW360" s="29" t="str">
        <f t="shared" si="363"/>
        <v>#DIV/0!</v>
      </c>
      <c r="AX360" s="29" t="str">
        <f t="shared" si="363"/>
        <v>#DIV/0!</v>
      </c>
      <c r="AY360" s="29" t="str">
        <f t="shared" si="363"/>
        <v>#DIV/0!</v>
      </c>
      <c r="AZ360" s="29" t="str">
        <f t="shared" si="363"/>
        <v>#DIV/0!</v>
      </c>
      <c r="BA360" s="29" t="str">
        <f t="shared" si="363"/>
        <v>#DIV/0!</v>
      </c>
      <c r="BB360" s="29" t="str">
        <f t="shared" si="363"/>
        <v>#DIV/0!</v>
      </c>
      <c r="BC360" s="29" t="str">
        <f t="shared" si="363"/>
        <v>#DIV/0!</v>
      </c>
      <c r="BD360" s="29" t="str">
        <f t="shared" si="363"/>
        <v>#DIV/0!</v>
      </c>
      <c r="BE360" s="29" t="str">
        <f t="shared" si="363"/>
        <v>#DIV/0!</v>
      </c>
      <c r="BF360" s="29" t="str">
        <f t="shared" si="363"/>
        <v>#DIV/0!</v>
      </c>
      <c r="BG360" s="29" t="str">
        <f t="shared" si="363"/>
        <v>#DIV/0!</v>
      </c>
      <c r="BH360" s="29" t="str">
        <f t="shared" si="363"/>
        <v>#DIV/0!</v>
      </c>
      <c r="BI360" s="29" t="str">
        <f t="shared" si="363"/>
        <v>#DIV/0!</v>
      </c>
      <c r="BJ360" s="29" t="str">
        <f t="shared" si="363"/>
        <v>#DIV/0!</v>
      </c>
      <c r="BK360" s="29" t="str">
        <f t="shared" si="363"/>
        <v>#DIV/0!</v>
      </c>
      <c r="BL360" s="29" t="str">
        <f t="shared" si="363"/>
        <v>#DIV/0!</v>
      </c>
      <c r="BM360" s="29" t="str">
        <f t="shared" si="3"/>
        <v>#DIV/0!</v>
      </c>
    </row>
    <row r="361">
      <c r="A361" s="16" t="str">
        <f>IFERROR(__xludf.DUMMYFUNCTION("IFERROR(SPARKLINE(SORT(MAP(TRANSPOSE(AQ361:BL361), LAMBDA(val, IF(ISNUMBER(val), PERCENTRANK(AQ361:BL361, val)+0.01, 0))), SEQUENCE(COLUMNS(AQ361:BL361)), FALSE), {""charttype"",""column""; ""color"",""chartreuse""; ""ymin"", 0; ""ymax"", 1.01; ""highcolo"&amp;"r"", ""darkgreen""; ""lowcolor"", ""red""}), """")"),"")</f>
        <v/>
      </c>
      <c r="B361" s="17" t="str">
        <f t="shared" si="4"/>
        <v/>
      </c>
      <c r="C361" s="1" t="s">
        <v>1535</v>
      </c>
      <c r="D361" s="30" t="str">
        <f>IFERROR(__xludf.DUMMYFUNCTION("IFERROR(GOOGLEFINANCE(C361, ""NAME""))"),"Himax Technologies Inc")</f>
        <v>Himax Technologies Inc</v>
      </c>
      <c r="E361" s="30" t="s">
        <v>871</v>
      </c>
      <c r="F361" s="33" t="str">
        <f>IFERROR(__xludf.DUMMYFUNCTION("( (GOOGLEFINANCE(C361, ""price"") - Q361) / Q361 ) / (R361 / 100)"),"Loading...")</f>
        <v>Loading...</v>
      </c>
      <c r="G361" s="20" t="str">
        <f>IFERROR(__xludf.DUMMYFUNCTION("AVERAGE(ARRAYFORMULA(100 * (QUERY(GOOGLEFINANCE(C361, ""high"", TODAY()-40, TODAY()), ""SELECT Col2 WHERE Col2 IS NOT NULL ORDER BY Col1 DESC LIMIT 20"", 0) / QUERY(GOOGLEFINANCE(C361, ""low"", TODAY()-40, TODAY()), ""SELECT Col2 WHERE Col2 IS NOT NULL OR"&amp;"DER BY Col1 DESC LIMIT 20"", 0) - 1)))"),"#N/A")</f>
        <v>#N/A</v>
      </c>
      <c r="H361" s="35" t="str">
        <f t="shared" si="6"/>
        <v/>
      </c>
      <c r="I361" s="36" t="str">
        <f t="shared" si="7"/>
        <v/>
      </c>
      <c r="J361" s="37" t="str">
        <f>IFERROR(__xludf.DUMMYFUNCTION("IFERROR(
  IF(C361="""",, 
    IFERROR(
      GOOGLEFINANCE(C361, ""price"") * GOOGLEFINANCE(C361, ""volumeavg""), 
      GOOGLEFINANCE(C361, ""price"") * AVERAGE(QUERY(GOOGLEFINANCE(C361, ""volume"", TODAY()-40, TODAY()), ""SELECT Col2 WHERE Col2 IS NOT "&amp;"NULL ORDER BY Col1 DESC LIMIT 20"", 0))
    )
  ), 
"""")"),"")</f>
        <v/>
      </c>
      <c r="K361" s="21" t="str">
        <f>IFERROR(__xludf.DUMMYFUNCTION("IFERROR(GOOGLEFINANCE(C361, ""changepct"") / 100, """")"),"")</f>
        <v/>
      </c>
      <c r="L361" s="21" t="str">
        <f>IFERROR(__xludf.DUMMYFUNCTION("IFERROR((GOOGLEFINANCE(C361, ""price"") / INDEX(GOOGLEFINANCE(C361, ""price"", TODAY()-7, TODAY()), 2, 2)) - 1, """")"),"")</f>
        <v/>
      </c>
      <c r="M361" s="21" t="str">
        <f>IFERROR(__xludf.DUMMYFUNCTION("IFERROR((GOOGLEFINANCE(C361, ""price"") / INDEX(GOOGLEFINANCE(C361, ""price"", EDATE(TODAY(), -1), TODAY()), 2, 2)) - 1, """")"),"")</f>
        <v/>
      </c>
      <c r="N361" s="21" t="str">
        <f>IFERROR(__xludf.DUMMYFUNCTION("IFERROR((GOOGLEFINANCE(C361, ""price"") / INDEX(GOOGLEFINANCE(C361, ""price"", EDATE(TODAY(), -3), TODAY()), 2, 2)) - 1, """")"),"")</f>
        <v/>
      </c>
      <c r="O361" s="21" t="str">
        <f>IFERROR(__xludf.DUMMYFUNCTION("IFERROR((GOOGLEFINANCE(C361, ""price"") / INDEX(GOOGLEFINANCE(C361, ""price"", EDATE(TODAY(), -6), TODAY()), 2, 2)) - 1, """")"),"")</f>
        <v/>
      </c>
      <c r="P361" s="21" t="str">
        <f>IFERROR(__xludf.DUMMYFUNCTION("IFERROR((GOOGLEFINANCE(C361, ""price"") / INDEX(GOOGLEFINANCE(C361, ""price"", EDATE(TODAY(), -12), TODAY()), 2, 2)) - 1, """")"),"")</f>
        <v/>
      </c>
      <c r="Q361" s="6" t="str">
        <f>IFERROR(__xludf.DUMMYFUNCTION("AVERAGE(QUERY(GOOGLEFINANCE(C361, ""price"", TODAY()-80, TODAY()), ""SELECT Col2 WHERE Col2 IS NOT NULL ORDER BY Col1 DESC LIMIT 50"", 0))"),"#N/A")</f>
        <v>#N/A</v>
      </c>
      <c r="R361" s="24" t="str">
        <f>IFERROR(__xludf.DUMMYFUNCTION("IFERROR(
  LET(
    data, QUERY(GOOGLEFINANCE(C361,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GOOGLEFINANCE(C361, ""price"")) * 100,
    IF(calc=0, G361, calc)
  ), 
G361)"),"#N/A")</f>
        <v>#N/A</v>
      </c>
      <c r="S361" s="8" t="s">
        <v>15</v>
      </c>
      <c r="T361" s="26" t="str">
        <f>IFERROR(__xludf.DUMMYFUNCTION("IFERROR(TRANSPOSE(QUERY(IFERROR(SORT(GOOGLEFINANCE(C361, ""price"", WORKDAY(TODAY(), -40), TODAY()), 1, FALSE)), ""select Col2 where Col2 is not null limit 22 label Col2 ''"", 0)), """")"),"")</f>
        <v/>
      </c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8"/>
      <c r="AO361" s="28"/>
      <c r="AP361" s="29"/>
      <c r="AQ361" s="29" t="str">
        <f t="shared" ref="AQ361:BL361" si="364">T361/T$2</f>
        <v>#N/A</v>
      </c>
      <c r="AR361" s="29" t="str">
        <f t="shared" si="364"/>
        <v>#DIV/0!</v>
      </c>
      <c r="AS361" s="29" t="str">
        <f t="shared" si="364"/>
        <v>#DIV/0!</v>
      </c>
      <c r="AT361" s="29" t="str">
        <f t="shared" si="364"/>
        <v>#DIV/0!</v>
      </c>
      <c r="AU361" s="29" t="str">
        <f t="shared" si="364"/>
        <v>#DIV/0!</v>
      </c>
      <c r="AV361" s="29" t="str">
        <f t="shared" si="364"/>
        <v>#DIV/0!</v>
      </c>
      <c r="AW361" s="29" t="str">
        <f t="shared" si="364"/>
        <v>#DIV/0!</v>
      </c>
      <c r="AX361" s="29" t="str">
        <f t="shared" si="364"/>
        <v>#DIV/0!</v>
      </c>
      <c r="AY361" s="29" t="str">
        <f t="shared" si="364"/>
        <v>#DIV/0!</v>
      </c>
      <c r="AZ361" s="29" t="str">
        <f t="shared" si="364"/>
        <v>#DIV/0!</v>
      </c>
      <c r="BA361" s="29" t="str">
        <f t="shared" si="364"/>
        <v>#DIV/0!</v>
      </c>
      <c r="BB361" s="29" t="str">
        <f t="shared" si="364"/>
        <v>#DIV/0!</v>
      </c>
      <c r="BC361" s="29" t="str">
        <f t="shared" si="364"/>
        <v>#DIV/0!</v>
      </c>
      <c r="BD361" s="29" t="str">
        <f t="shared" si="364"/>
        <v>#DIV/0!</v>
      </c>
      <c r="BE361" s="29" t="str">
        <f t="shared" si="364"/>
        <v>#DIV/0!</v>
      </c>
      <c r="BF361" s="29" t="str">
        <f t="shared" si="364"/>
        <v>#DIV/0!</v>
      </c>
      <c r="BG361" s="29" t="str">
        <f t="shared" si="364"/>
        <v>#DIV/0!</v>
      </c>
      <c r="BH361" s="29" t="str">
        <f t="shared" si="364"/>
        <v>#DIV/0!</v>
      </c>
      <c r="BI361" s="29" t="str">
        <f t="shared" si="364"/>
        <v>#DIV/0!</v>
      </c>
      <c r="BJ361" s="29" t="str">
        <f t="shared" si="364"/>
        <v>#DIV/0!</v>
      </c>
      <c r="BK361" s="29" t="str">
        <f t="shared" si="364"/>
        <v>#DIV/0!</v>
      </c>
      <c r="BL361" s="29" t="str">
        <f t="shared" si="364"/>
        <v>#DIV/0!</v>
      </c>
      <c r="BM361" s="29" t="str">
        <f t="shared" si="3"/>
        <v>#DIV/0!</v>
      </c>
    </row>
    <row r="362">
      <c r="A362" s="16" t="str">
        <f>IFERROR(__xludf.DUMMYFUNCTION("IFERROR(SPARKLINE(SORT(MAP(TRANSPOSE(AQ362:BL362), LAMBDA(val, IF(ISNUMBER(val), PERCENTRANK(AQ362:BL362, val)+0.01, 0))), SEQUENCE(COLUMNS(AQ362:BL362)), FALSE), {""charttype"",""column""; ""color"",""chartreuse""; ""ymin"", 0; ""ymax"", 1.01; ""highcolo"&amp;"r"", ""darkgreen""; ""lowcolor"", ""red""}), """")"),"")</f>
        <v/>
      </c>
      <c r="B362" s="17" t="str">
        <f t="shared" si="4"/>
        <v/>
      </c>
      <c r="C362" s="1" t="s">
        <v>1538</v>
      </c>
      <c r="D362" s="30" t="str">
        <f>IFERROR(__xludf.DUMMYFUNCTION("IFERROR(GOOGLEFINANCE(C362, ""NAME""))"),"KLA Corp")</f>
        <v>KLA Corp</v>
      </c>
      <c r="E362" s="30" t="s">
        <v>1195</v>
      </c>
      <c r="F362" s="33" t="str">
        <f>IFERROR(__xludf.DUMMYFUNCTION("( (GOOGLEFINANCE(C362, ""price"") - Q362) / Q362 ) / (R362 / 100)"),"Loading...")</f>
        <v>Loading...</v>
      </c>
      <c r="G362" s="20" t="str">
        <f>IFERROR(__xludf.DUMMYFUNCTION("AVERAGE(ARRAYFORMULA(100 * (QUERY(GOOGLEFINANCE(C362, ""high"", TODAY()-40, TODAY()), ""SELECT Col2 WHERE Col2 IS NOT NULL ORDER BY Col1 DESC LIMIT 20"", 0) / QUERY(GOOGLEFINANCE(C362, ""low"", TODAY()-40, TODAY()), ""SELECT Col2 WHERE Col2 IS NOT NULL OR"&amp;"DER BY Col1 DESC LIMIT 20"", 0) - 1)))"),"#N/A")</f>
        <v>#N/A</v>
      </c>
      <c r="H362" s="35" t="str">
        <f t="shared" si="6"/>
        <v/>
      </c>
      <c r="I362" s="36" t="str">
        <f t="shared" si="7"/>
        <v/>
      </c>
      <c r="J362" s="37" t="str">
        <f>IFERROR(__xludf.DUMMYFUNCTION("IFERROR(
  IF(C362="""",, 
    IFERROR(
      GOOGLEFINANCE(C362, ""price"") * GOOGLEFINANCE(C362, ""volumeavg""), 
      GOOGLEFINANCE(C362, ""price"") * AVERAGE(QUERY(GOOGLEFINANCE(C362, ""volume"", TODAY()-40, TODAY()), ""SELECT Col2 WHERE Col2 IS NOT "&amp;"NULL ORDER BY Col1 DESC LIMIT 20"", 0))
    )
  ), 
"""")"),"")</f>
        <v/>
      </c>
      <c r="K362" s="21" t="str">
        <f>IFERROR(__xludf.DUMMYFUNCTION("IFERROR(GOOGLEFINANCE(C362, ""changepct"") / 100, """")"),"")</f>
        <v/>
      </c>
      <c r="L362" s="21" t="str">
        <f>IFERROR(__xludf.DUMMYFUNCTION("IFERROR((GOOGLEFINANCE(C362, ""price"") / INDEX(GOOGLEFINANCE(C362, ""price"", TODAY()-7, TODAY()), 2, 2)) - 1, """")"),"")</f>
        <v/>
      </c>
      <c r="M362" s="21" t="str">
        <f>IFERROR(__xludf.DUMMYFUNCTION("IFERROR((GOOGLEFINANCE(C362, ""price"") / INDEX(GOOGLEFINANCE(C362, ""price"", EDATE(TODAY(), -1), TODAY()), 2, 2)) - 1, """")"),"")</f>
        <v/>
      </c>
      <c r="N362" s="21" t="str">
        <f>IFERROR(__xludf.DUMMYFUNCTION("IFERROR((GOOGLEFINANCE(C362, ""price"") / INDEX(GOOGLEFINANCE(C362, ""price"", EDATE(TODAY(), -3), TODAY()), 2, 2)) - 1, """")"),"")</f>
        <v/>
      </c>
      <c r="O362" s="21" t="str">
        <f>IFERROR(__xludf.DUMMYFUNCTION("IFERROR((GOOGLEFINANCE(C362, ""price"") / INDEX(GOOGLEFINANCE(C362, ""price"", EDATE(TODAY(), -6), TODAY()), 2, 2)) - 1, """")"),"")</f>
        <v/>
      </c>
      <c r="P362" s="21" t="str">
        <f>IFERROR(__xludf.DUMMYFUNCTION("IFERROR((GOOGLEFINANCE(C362, ""price"") / INDEX(GOOGLEFINANCE(C362, ""price"", EDATE(TODAY(), -12), TODAY()), 2, 2)) - 1, """")"),"")</f>
        <v/>
      </c>
      <c r="Q362" s="6" t="str">
        <f>IFERROR(__xludf.DUMMYFUNCTION("AVERAGE(QUERY(GOOGLEFINANCE(C362, ""price"", TODAY()-80, TODAY()), ""SELECT Col2 WHERE Col2 IS NOT NULL ORDER BY Col1 DESC LIMIT 50"", 0))"),"#N/A")</f>
        <v>#N/A</v>
      </c>
      <c r="R362" s="24" t="str">
        <f>IFERROR(__xludf.DUMMYFUNCTION("IFERROR(
  LET(
    data, QUERY(GOOGLEFINANCE(C362,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GOOGLEFINANCE(C362, ""price"")) * 100,
    IF(calc=0, G362, calc)
  ), 
G362)"),"#N/A")</f>
        <v>#N/A</v>
      </c>
      <c r="S362" s="8" t="s">
        <v>15</v>
      </c>
      <c r="T362" s="26" t="str">
        <f>IFERROR(__xludf.DUMMYFUNCTION("IFERROR(TRANSPOSE(QUERY(IFERROR(SORT(GOOGLEFINANCE(C362, ""price"", WORKDAY(TODAY(), -40), TODAY()), 1, FALSE)), ""select Col2 where Col2 is not null limit 22 label Col2 ''"", 0)), """")"),"")</f>
        <v/>
      </c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8"/>
      <c r="AO362" s="28"/>
      <c r="AP362" s="29"/>
      <c r="AQ362" s="29" t="str">
        <f t="shared" ref="AQ362:BL362" si="365">T362/T$2</f>
        <v>#N/A</v>
      </c>
      <c r="AR362" s="29" t="str">
        <f t="shared" si="365"/>
        <v>#DIV/0!</v>
      </c>
      <c r="AS362" s="29" t="str">
        <f t="shared" si="365"/>
        <v>#DIV/0!</v>
      </c>
      <c r="AT362" s="29" t="str">
        <f t="shared" si="365"/>
        <v>#DIV/0!</v>
      </c>
      <c r="AU362" s="29" t="str">
        <f t="shared" si="365"/>
        <v>#DIV/0!</v>
      </c>
      <c r="AV362" s="29" t="str">
        <f t="shared" si="365"/>
        <v>#DIV/0!</v>
      </c>
      <c r="AW362" s="29" t="str">
        <f t="shared" si="365"/>
        <v>#DIV/0!</v>
      </c>
      <c r="AX362" s="29" t="str">
        <f t="shared" si="365"/>
        <v>#DIV/0!</v>
      </c>
      <c r="AY362" s="29" t="str">
        <f t="shared" si="365"/>
        <v>#DIV/0!</v>
      </c>
      <c r="AZ362" s="29" t="str">
        <f t="shared" si="365"/>
        <v>#DIV/0!</v>
      </c>
      <c r="BA362" s="29" t="str">
        <f t="shared" si="365"/>
        <v>#DIV/0!</v>
      </c>
      <c r="BB362" s="29" t="str">
        <f t="shared" si="365"/>
        <v>#DIV/0!</v>
      </c>
      <c r="BC362" s="29" t="str">
        <f t="shared" si="365"/>
        <v>#DIV/0!</v>
      </c>
      <c r="BD362" s="29" t="str">
        <f t="shared" si="365"/>
        <v>#DIV/0!</v>
      </c>
      <c r="BE362" s="29" t="str">
        <f t="shared" si="365"/>
        <v>#DIV/0!</v>
      </c>
      <c r="BF362" s="29" t="str">
        <f t="shared" si="365"/>
        <v>#DIV/0!</v>
      </c>
      <c r="BG362" s="29" t="str">
        <f t="shared" si="365"/>
        <v>#DIV/0!</v>
      </c>
      <c r="BH362" s="29" t="str">
        <f t="shared" si="365"/>
        <v>#DIV/0!</v>
      </c>
      <c r="BI362" s="29" t="str">
        <f t="shared" si="365"/>
        <v>#DIV/0!</v>
      </c>
      <c r="BJ362" s="29" t="str">
        <f t="shared" si="365"/>
        <v>#DIV/0!</v>
      </c>
      <c r="BK362" s="29" t="str">
        <f t="shared" si="365"/>
        <v>#DIV/0!</v>
      </c>
      <c r="BL362" s="29" t="str">
        <f t="shared" si="365"/>
        <v>#DIV/0!</v>
      </c>
      <c r="BM362" s="29" t="str">
        <f t="shared" si="3"/>
        <v>#DIV/0!</v>
      </c>
    </row>
    <row r="363">
      <c r="A363" s="16" t="str">
        <f>IFERROR(__xludf.DUMMYFUNCTION("IFERROR(SPARKLINE(SORT(MAP(TRANSPOSE(AQ363:BL363), LAMBDA(val, IF(ISNUMBER(val), PERCENTRANK(AQ363:BL363, val)+0.01, 0))), SEQUENCE(COLUMNS(AQ363:BL363)), FALSE), {""charttype"",""column""; ""color"",""chartreuse""; ""ymin"", 0; ""ymax"", 1.01; ""highcolo"&amp;"r"", ""darkgreen""; ""lowcolor"", ""red""}), """")"),"")</f>
        <v/>
      </c>
      <c r="B363" s="17" t="str">
        <f t="shared" si="4"/>
        <v/>
      </c>
      <c r="C363" s="1" t="s">
        <v>1542</v>
      </c>
      <c r="D363" s="30" t="str">
        <f>IFERROR(__xludf.DUMMYFUNCTION("IFERROR(GOOGLEFINANCE(C363, ""NAME""))"),"PDF Solutions Inc")</f>
        <v>PDF Solutions Inc</v>
      </c>
      <c r="E363" s="30" t="s">
        <v>48</v>
      </c>
      <c r="F363" s="38" t="str">
        <f>IFERROR(__xludf.DUMMYFUNCTION("( (GOOGLEFINANCE(C363, ""price"") - Q363) / Q363 ) / (R363 / 100)"),"Loading...")</f>
        <v>Loading...</v>
      </c>
      <c r="G363" s="20" t="str">
        <f>IFERROR(__xludf.DUMMYFUNCTION("AVERAGE(ARRAYFORMULA(100 * (QUERY(GOOGLEFINANCE(C363, ""high"", TODAY()-40, TODAY()), ""SELECT Col2 WHERE Col2 IS NOT NULL ORDER BY Col1 DESC LIMIT 20"", 0) / QUERY(GOOGLEFINANCE(C363, ""low"", TODAY()-40, TODAY()), ""SELECT Col2 WHERE Col2 IS NOT NULL OR"&amp;"DER BY Col1 DESC LIMIT 20"", 0) - 1)))"),"#N/A")</f>
        <v>#N/A</v>
      </c>
      <c r="H363" s="35" t="str">
        <f t="shared" si="6"/>
        <v/>
      </c>
      <c r="I363" s="36" t="str">
        <f t="shared" si="7"/>
        <v/>
      </c>
      <c r="J363" s="37" t="str">
        <f>IFERROR(__xludf.DUMMYFUNCTION("IFERROR(
  IF(C363="""",, 
    IFERROR(
      GOOGLEFINANCE(C363, ""price"") * GOOGLEFINANCE(C363, ""volumeavg""), 
      GOOGLEFINANCE(C363, ""price"") * AVERAGE(QUERY(GOOGLEFINANCE(C363, ""volume"", TODAY()-40, TODAY()), ""SELECT Col2 WHERE Col2 IS NOT "&amp;"NULL ORDER BY Col1 DESC LIMIT 20"", 0))
    )
  ), 
"""")"),"")</f>
        <v/>
      </c>
      <c r="K363" s="21" t="str">
        <f>IFERROR(__xludf.DUMMYFUNCTION("IFERROR(GOOGLEFINANCE(C363, ""changepct"") / 100, """")"),"")</f>
        <v/>
      </c>
      <c r="L363" s="21" t="str">
        <f>IFERROR(__xludf.DUMMYFUNCTION("IFERROR((GOOGLEFINANCE(C363, ""price"") / INDEX(GOOGLEFINANCE(C363, ""price"", TODAY()-7, TODAY()), 2, 2)) - 1, """")"),"")</f>
        <v/>
      </c>
      <c r="M363" s="21" t="str">
        <f>IFERROR(__xludf.DUMMYFUNCTION("IFERROR((GOOGLEFINANCE(C363, ""price"") / INDEX(GOOGLEFINANCE(C363, ""price"", EDATE(TODAY(), -1), TODAY()), 2, 2)) - 1, """")"),"")</f>
        <v/>
      </c>
      <c r="N363" s="21" t="str">
        <f>IFERROR(__xludf.DUMMYFUNCTION("IFERROR((GOOGLEFINANCE(C363, ""price"") / INDEX(GOOGLEFINANCE(C363, ""price"", EDATE(TODAY(), -3), TODAY()), 2, 2)) - 1, """")"),"")</f>
        <v/>
      </c>
      <c r="O363" s="21" t="str">
        <f>IFERROR(__xludf.DUMMYFUNCTION("IFERROR((GOOGLEFINANCE(C363, ""price"") / INDEX(GOOGLEFINANCE(C363, ""price"", EDATE(TODAY(), -6), TODAY()), 2, 2)) - 1, """")"),"")</f>
        <v/>
      </c>
      <c r="P363" s="21" t="str">
        <f>IFERROR(__xludf.DUMMYFUNCTION("IFERROR((GOOGLEFINANCE(C363, ""price"") / INDEX(GOOGLEFINANCE(C363, ""price"", EDATE(TODAY(), -12), TODAY()), 2, 2)) - 1, """")"),"")</f>
        <v/>
      </c>
      <c r="Q363" s="6" t="str">
        <f>IFERROR(__xludf.DUMMYFUNCTION("AVERAGE(QUERY(GOOGLEFINANCE(C363, ""price"", TODAY()-80, TODAY()), ""SELECT Col2 WHERE Col2 IS NOT NULL ORDER BY Col1 DESC LIMIT 50"", 0))"),"#N/A")</f>
        <v>#N/A</v>
      </c>
      <c r="R363" s="24" t="str">
        <f>IFERROR(__xludf.DUMMYFUNCTION("IFERROR(
  LET(
    data, QUERY(GOOGLEFINANCE(C363,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GOOGLEFINANCE(C363, ""price"")) * 100,
    IF(calc=0, G363, calc)
  ), 
G363)"),"#N/A")</f>
        <v>#N/A</v>
      </c>
      <c r="S363" s="8" t="s">
        <v>15</v>
      </c>
      <c r="T363" s="26" t="str">
        <f>IFERROR(__xludf.DUMMYFUNCTION("IFERROR(TRANSPOSE(QUERY(IFERROR(SORT(GOOGLEFINANCE(C363, ""price"", WORKDAY(TODAY(), -40), TODAY()), 1, FALSE)), ""select Col2 where Col2 is not null limit 22 label Col2 ''"", 0)), """")"),"")</f>
        <v/>
      </c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8"/>
      <c r="AO363" s="28"/>
      <c r="AP363" s="29"/>
      <c r="AQ363" s="29" t="str">
        <f t="shared" ref="AQ363:BL363" si="366">T363/T$2</f>
        <v>#N/A</v>
      </c>
      <c r="AR363" s="29" t="str">
        <f t="shared" si="366"/>
        <v>#DIV/0!</v>
      </c>
      <c r="AS363" s="29" t="str">
        <f t="shared" si="366"/>
        <v>#DIV/0!</v>
      </c>
      <c r="AT363" s="29" t="str">
        <f t="shared" si="366"/>
        <v>#DIV/0!</v>
      </c>
      <c r="AU363" s="29" t="str">
        <f t="shared" si="366"/>
        <v>#DIV/0!</v>
      </c>
      <c r="AV363" s="29" t="str">
        <f t="shared" si="366"/>
        <v>#DIV/0!</v>
      </c>
      <c r="AW363" s="29" t="str">
        <f t="shared" si="366"/>
        <v>#DIV/0!</v>
      </c>
      <c r="AX363" s="29" t="str">
        <f t="shared" si="366"/>
        <v>#DIV/0!</v>
      </c>
      <c r="AY363" s="29" t="str">
        <f t="shared" si="366"/>
        <v>#DIV/0!</v>
      </c>
      <c r="AZ363" s="29" t="str">
        <f t="shared" si="366"/>
        <v>#DIV/0!</v>
      </c>
      <c r="BA363" s="29" t="str">
        <f t="shared" si="366"/>
        <v>#DIV/0!</v>
      </c>
      <c r="BB363" s="29" t="str">
        <f t="shared" si="366"/>
        <v>#DIV/0!</v>
      </c>
      <c r="BC363" s="29" t="str">
        <f t="shared" si="366"/>
        <v>#DIV/0!</v>
      </c>
      <c r="BD363" s="29" t="str">
        <f t="shared" si="366"/>
        <v>#DIV/0!</v>
      </c>
      <c r="BE363" s="29" t="str">
        <f t="shared" si="366"/>
        <v>#DIV/0!</v>
      </c>
      <c r="BF363" s="29" t="str">
        <f t="shared" si="366"/>
        <v>#DIV/0!</v>
      </c>
      <c r="BG363" s="29" t="str">
        <f t="shared" si="366"/>
        <v>#DIV/0!</v>
      </c>
      <c r="BH363" s="29" t="str">
        <f t="shared" si="366"/>
        <v>#DIV/0!</v>
      </c>
      <c r="BI363" s="29" t="str">
        <f t="shared" si="366"/>
        <v>#DIV/0!</v>
      </c>
      <c r="BJ363" s="29" t="str">
        <f t="shared" si="366"/>
        <v>#DIV/0!</v>
      </c>
      <c r="BK363" s="29" t="str">
        <f t="shared" si="366"/>
        <v>#DIV/0!</v>
      </c>
      <c r="BL363" s="29" t="str">
        <f t="shared" si="366"/>
        <v>#DIV/0!</v>
      </c>
      <c r="BM363" s="29" t="str">
        <f t="shared" si="3"/>
        <v>#DIV/0!</v>
      </c>
    </row>
    <row r="364">
      <c r="A364" s="16" t="str">
        <f>IFERROR(__xludf.DUMMYFUNCTION("IFERROR(SPARKLINE(SORT(MAP(TRANSPOSE(AQ364:BL364), LAMBDA(val, IF(ISNUMBER(val), PERCENTRANK(AQ364:BL364, val)+0.01, 0))), SEQUENCE(COLUMNS(AQ364:BL364)), FALSE), {""charttype"",""column""; ""color"",""chartreuse""; ""ymin"", 0; ""ymax"", 1.01; ""highcolo"&amp;"r"", ""darkgreen""; ""lowcolor"", ""red""}), """")"),"")</f>
        <v/>
      </c>
      <c r="B364" s="17" t="str">
        <f t="shared" si="4"/>
        <v/>
      </c>
      <c r="C364" s="1" t="s">
        <v>1546</v>
      </c>
      <c r="D364" s="30" t="str">
        <f>IFERROR(__xludf.DUMMYFUNCTION("IFERROR(GOOGLEFINANCE(C364, ""NAME""))"),"STMicroelectronics NV")</f>
        <v>STMicroelectronics NV</v>
      </c>
      <c r="E364" s="30" t="s">
        <v>871</v>
      </c>
      <c r="F364" s="33" t="str">
        <f>IFERROR(__xludf.DUMMYFUNCTION("( (GOOGLEFINANCE(C364, ""price"") - Q364) / Q364 ) / (R364 / 100)"),"Loading...")</f>
        <v>Loading...</v>
      </c>
      <c r="G364" s="20" t="str">
        <f>IFERROR(__xludf.DUMMYFUNCTION("AVERAGE(ARRAYFORMULA(100 * (QUERY(GOOGLEFINANCE(C364, ""high"", TODAY()-40, TODAY()), ""SELECT Col2 WHERE Col2 IS NOT NULL ORDER BY Col1 DESC LIMIT 20"", 0) / QUERY(GOOGLEFINANCE(C364, ""low"", TODAY()-40, TODAY()), ""SELECT Col2 WHERE Col2 IS NOT NULL OR"&amp;"DER BY Col1 DESC LIMIT 20"", 0) - 1)))"),"#N/A")</f>
        <v>#N/A</v>
      </c>
      <c r="H364" s="35" t="str">
        <f t="shared" si="6"/>
        <v/>
      </c>
      <c r="I364" s="36" t="str">
        <f t="shared" si="7"/>
        <v/>
      </c>
      <c r="J364" s="37" t="str">
        <f>IFERROR(__xludf.DUMMYFUNCTION("IFERROR(
  IF(C364="""",, 
    IFERROR(
      GOOGLEFINANCE(C364, ""price"") * GOOGLEFINANCE(C364, ""volumeavg""), 
      GOOGLEFINANCE(C364, ""price"") * AVERAGE(QUERY(GOOGLEFINANCE(C364, ""volume"", TODAY()-40, TODAY()), ""SELECT Col2 WHERE Col2 IS NOT "&amp;"NULL ORDER BY Col1 DESC LIMIT 20"", 0))
    )
  ), 
"""")"),"")</f>
        <v/>
      </c>
      <c r="K364" s="21" t="str">
        <f>IFERROR(__xludf.DUMMYFUNCTION("IFERROR(GOOGLEFINANCE(C364, ""changepct"") / 100, """")"),"")</f>
        <v/>
      </c>
      <c r="L364" s="21" t="str">
        <f>IFERROR(__xludf.DUMMYFUNCTION("IFERROR((GOOGLEFINANCE(C364, ""price"") / INDEX(GOOGLEFINANCE(C364, ""price"", TODAY()-7, TODAY()), 2, 2)) - 1, """")"),"")</f>
        <v/>
      </c>
      <c r="M364" s="21" t="str">
        <f>IFERROR(__xludf.DUMMYFUNCTION("IFERROR((GOOGLEFINANCE(C364, ""price"") / INDEX(GOOGLEFINANCE(C364, ""price"", EDATE(TODAY(), -1), TODAY()), 2, 2)) - 1, """")"),"")</f>
        <v/>
      </c>
      <c r="N364" s="21" t="str">
        <f>IFERROR(__xludf.DUMMYFUNCTION("IFERROR((GOOGLEFINANCE(C364, ""price"") / INDEX(GOOGLEFINANCE(C364, ""price"", EDATE(TODAY(), -3), TODAY()), 2, 2)) - 1, """")"),"")</f>
        <v/>
      </c>
      <c r="O364" s="21" t="str">
        <f>IFERROR(__xludf.DUMMYFUNCTION("IFERROR((GOOGLEFINANCE(C364, ""price"") / INDEX(GOOGLEFINANCE(C364, ""price"", EDATE(TODAY(), -6), TODAY()), 2, 2)) - 1, """")"),"")</f>
        <v/>
      </c>
      <c r="P364" s="21" t="str">
        <f>IFERROR(__xludf.DUMMYFUNCTION("IFERROR((GOOGLEFINANCE(C364, ""price"") / INDEX(GOOGLEFINANCE(C364, ""price"", EDATE(TODAY(), -12), TODAY()), 2, 2)) - 1, """")"),"")</f>
        <v/>
      </c>
      <c r="Q364" s="6" t="str">
        <f>IFERROR(__xludf.DUMMYFUNCTION("AVERAGE(QUERY(GOOGLEFINANCE(C364, ""price"", TODAY()-80, TODAY()), ""SELECT Col2 WHERE Col2 IS NOT NULL ORDER BY Col1 DESC LIMIT 50"", 0))"),"#N/A")</f>
        <v>#N/A</v>
      </c>
      <c r="R364" s="24" t="str">
        <f>IFERROR(__xludf.DUMMYFUNCTION("IFERROR(
  LET(
    data, QUERY(GOOGLEFINANCE(C364,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GOOGLEFINANCE(C364, ""price"")) * 100,
    IF(calc=0, G364, calc)
  ), 
G364)"),"#N/A")</f>
        <v>#N/A</v>
      </c>
      <c r="S364" s="8" t="s">
        <v>15</v>
      </c>
      <c r="T364" s="26" t="str">
        <f>IFERROR(__xludf.DUMMYFUNCTION("IFERROR(TRANSPOSE(QUERY(IFERROR(SORT(GOOGLEFINANCE(C364, ""price"", WORKDAY(TODAY(), -40), TODAY()), 1, FALSE)), ""select Col2 where Col2 is not null limit 22 label Col2 ''"", 0)), """")"),"")</f>
        <v/>
      </c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8"/>
      <c r="AO364" s="28"/>
      <c r="AP364" s="29"/>
      <c r="AQ364" s="29" t="str">
        <f t="shared" ref="AQ364:BL364" si="367">T364/T$2</f>
        <v>#N/A</v>
      </c>
      <c r="AR364" s="29" t="str">
        <f t="shared" si="367"/>
        <v>#DIV/0!</v>
      </c>
      <c r="AS364" s="29" t="str">
        <f t="shared" si="367"/>
        <v>#DIV/0!</v>
      </c>
      <c r="AT364" s="29" t="str">
        <f t="shared" si="367"/>
        <v>#DIV/0!</v>
      </c>
      <c r="AU364" s="29" t="str">
        <f t="shared" si="367"/>
        <v>#DIV/0!</v>
      </c>
      <c r="AV364" s="29" t="str">
        <f t="shared" si="367"/>
        <v>#DIV/0!</v>
      </c>
      <c r="AW364" s="29" t="str">
        <f t="shared" si="367"/>
        <v>#DIV/0!</v>
      </c>
      <c r="AX364" s="29" t="str">
        <f t="shared" si="367"/>
        <v>#DIV/0!</v>
      </c>
      <c r="AY364" s="29" t="str">
        <f t="shared" si="367"/>
        <v>#DIV/0!</v>
      </c>
      <c r="AZ364" s="29" t="str">
        <f t="shared" si="367"/>
        <v>#DIV/0!</v>
      </c>
      <c r="BA364" s="29" t="str">
        <f t="shared" si="367"/>
        <v>#DIV/0!</v>
      </c>
      <c r="BB364" s="29" t="str">
        <f t="shared" si="367"/>
        <v>#DIV/0!</v>
      </c>
      <c r="BC364" s="29" t="str">
        <f t="shared" si="367"/>
        <v>#DIV/0!</v>
      </c>
      <c r="BD364" s="29" t="str">
        <f t="shared" si="367"/>
        <v>#DIV/0!</v>
      </c>
      <c r="BE364" s="29" t="str">
        <f t="shared" si="367"/>
        <v>#DIV/0!</v>
      </c>
      <c r="BF364" s="29" t="str">
        <f t="shared" si="367"/>
        <v>#DIV/0!</v>
      </c>
      <c r="BG364" s="29" t="str">
        <f t="shared" si="367"/>
        <v>#DIV/0!</v>
      </c>
      <c r="BH364" s="29" t="str">
        <f t="shared" si="367"/>
        <v>#DIV/0!</v>
      </c>
      <c r="BI364" s="29" t="str">
        <f t="shared" si="367"/>
        <v>#DIV/0!</v>
      </c>
      <c r="BJ364" s="29" t="str">
        <f t="shared" si="367"/>
        <v>#DIV/0!</v>
      </c>
      <c r="BK364" s="29" t="str">
        <f t="shared" si="367"/>
        <v>#DIV/0!</v>
      </c>
      <c r="BL364" s="29" t="str">
        <f t="shared" si="367"/>
        <v>#DIV/0!</v>
      </c>
      <c r="BM364" s="29" t="str">
        <f t="shared" si="3"/>
        <v>#DIV/0!</v>
      </c>
    </row>
    <row r="365">
      <c r="A365" s="16" t="str">
        <f>IFERROR(__xludf.DUMMYFUNCTION("IFERROR(SPARKLINE(SORT(MAP(TRANSPOSE(AQ365:BL365), LAMBDA(val, IF(ISNUMBER(val), PERCENTRANK(AQ365:BL365, val)+0.01, 0))), SEQUENCE(COLUMNS(AQ365:BL365)), FALSE), {""charttype"",""column""; ""color"",""chartreuse""; ""ymin"", 0; ""ymax"", 1.01; ""highcolo"&amp;"r"", ""darkgreen""; ""lowcolor"", ""red""}), """")"),"")</f>
        <v/>
      </c>
      <c r="B365" s="17" t="str">
        <f t="shared" si="4"/>
        <v/>
      </c>
      <c r="C365" s="1" t="s">
        <v>1550</v>
      </c>
      <c r="D365" s="30" t="str">
        <f>IFERROR(__xludf.DUMMYFUNCTION("IFERROR(GOOGLEFINANCE(C365, ""NAME""))"),"Lattice Semiconductor Corp")</f>
        <v>Lattice Semiconductor Corp</v>
      </c>
      <c r="E365" s="30" t="s">
        <v>871</v>
      </c>
      <c r="F365" s="33" t="str">
        <f>IFERROR(__xludf.DUMMYFUNCTION("( (GOOGLEFINANCE(C365, ""price"") - Q365) / Q365 ) / (R365 / 100)"),"Loading...")</f>
        <v>Loading...</v>
      </c>
      <c r="G365" s="20" t="str">
        <f>IFERROR(__xludf.DUMMYFUNCTION("AVERAGE(ARRAYFORMULA(100 * (QUERY(GOOGLEFINANCE(C365, ""high"", TODAY()-40, TODAY()), ""SELECT Col2 WHERE Col2 IS NOT NULL ORDER BY Col1 DESC LIMIT 20"", 0) / QUERY(GOOGLEFINANCE(C365, ""low"", TODAY()-40, TODAY()), ""SELECT Col2 WHERE Col2 IS NOT NULL OR"&amp;"DER BY Col1 DESC LIMIT 20"", 0) - 1)))"),"#N/A")</f>
        <v>#N/A</v>
      </c>
      <c r="H365" s="35" t="str">
        <f t="shared" si="6"/>
        <v/>
      </c>
      <c r="I365" s="36" t="str">
        <f t="shared" si="7"/>
        <v/>
      </c>
      <c r="J365" s="37" t="str">
        <f>IFERROR(__xludf.DUMMYFUNCTION("IFERROR(
  IF(C365="""",, 
    IFERROR(
      GOOGLEFINANCE(C365, ""price"") * GOOGLEFINANCE(C365, ""volumeavg""), 
      GOOGLEFINANCE(C365, ""price"") * AVERAGE(QUERY(GOOGLEFINANCE(C365, ""volume"", TODAY()-40, TODAY()), ""SELECT Col2 WHERE Col2 IS NOT "&amp;"NULL ORDER BY Col1 DESC LIMIT 20"", 0))
    )
  ), 
"""")"),"")</f>
        <v/>
      </c>
      <c r="K365" s="21" t="str">
        <f>IFERROR(__xludf.DUMMYFUNCTION("IFERROR(GOOGLEFINANCE(C365, ""changepct"") / 100, """")"),"")</f>
        <v/>
      </c>
      <c r="L365" s="21" t="str">
        <f>IFERROR(__xludf.DUMMYFUNCTION("IFERROR((GOOGLEFINANCE(C365, ""price"") / INDEX(GOOGLEFINANCE(C365, ""price"", TODAY()-7, TODAY()), 2, 2)) - 1, """")"),"")</f>
        <v/>
      </c>
      <c r="M365" s="21" t="str">
        <f>IFERROR(__xludf.DUMMYFUNCTION("IFERROR((GOOGLEFINANCE(C365, ""price"") / INDEX(GOOGLEFINANCE(C365, ""price"", EDATE(TODAY(), -1), TODAY()), 2, 2)) - 1, """")"),"")</f>
        <v/>
      </c>
      <c r="N365" s="21" t="str">
        <f>IFERROR(__xludf.DUMMYFUNCTION("IFERROR((GOOGLEFINANCE(C365, ""price"") / INDEX(GOOGLEFINANCE(C365, ""price"", EDATE(TODAY(), -3), TODAY()), 2, 2)) - 1, """")"),"")</f>
        <v/>
      </c>
      <c r="O365" s="21" t="str">
        <f>IFERROR(__xludf.DUMMYFUNCTION("IFERROR((GOOGLEFINANCE(C365, ""price"") / INDEX(GOOGLEFINANCE(C365, ""price"", EDATE(TODAY(), -6), TODAY()), 2, 2)) - 1, """")"),"")</f>
        <v/>
      </c>
      <c r="P365" s="21" t="str">
        <f>IFERROR(__xludf.DUMMYFUNCTION("IFERROR((GOOGLEFINANCE(C365, ""price"") / INDEX(GOOGLEFINANCE(C365, ""price"", EDATE(TODAY(), -12), TODAY()), 2, 2)) - 1, """")"),"")</f>
        <v/>
      </c>
      <c r="Q365" s="6" t="str">
        <f>IFERROR(__xludf.DUMMYFUNCTION("AVERAGE(QUERY(GOOGLEFINANCE(C365, ""price"", TODAY()-80, TODAY()), ""SELECT Col2 WHERE Col2 IS NOT NULL ORDER BY Col1 DESC LIMIT 50"", 0))"),"#N/A")</f>
        <v>#N/A</v>
      </c>
      <c r="R365" s="24" t="str">
        <f>IFERROR(__xludf.DUMMYFUNCTION("IFERROR(
  LET(
    data, QUERY(GOOGLEFINANCE(C365,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GOOGLEFINANCE(C365, ""price"")) * 100,
    IF(calc=0, G365, calc)
  ), 
G365)"),"#N/A")</f>
        <v>#N/A</v>
      </c>
      <c r="S365" s="8" t="s">
        <v>15</v>
      </c>
      <c r="T365" s="26" t="str">
        <f>IFERROR(__xludf.DUMMYFUNCTION("IFERROR(TRANSPOSE(QUERY(IFERROR(SORT(GOOGLEFINANCE(C365, ""price"", WORKDAY(TODAY(), -40), TODAY()), 1, FALSE)), ""select Col2 where Col2 is not null limit 22 label Col2 ''"", 0)), """")"),"")</f>
        <v/>
      </c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8"/>
      <c r="AO365" s="28"/>
      <c r="AP365" s="29"/>
      <c r="AQ365" s="29" t="str">
        <f t="shared" ref="AQ365:BL365" si="368">T365/T$2</f>
        <v>#N/A</v>
      </c>
      <c r="AR365" s="29" t="str">
        <f t="shared" si="368"/>
        <v>#DIV/0!</v>
      </c>
      <c r="AS365" s="29" t="str">
        <f t="shared" si="368"/>
        <v>#DIV/0!</v>
      </c>
      <c r="AT365" s="29" t="str">
        <f t="shared" si="368"/>
        <v>#DIV/0!</v>
      </c>
      <c r="AU365" s="29" t="str">
        <f t="shared" si="368"/>
        <v>#DIV/0!</v>
      </c>
      <c r="AV365" s="29" t="str">
        <f t="shared" si="368"/>
        <v>#DIV/0!</v>
      </c>
      <c r="AW365" s="29" t="str">
        <f t="shared" si="368"/>
        <v>#DIV/0!</v>
      </c>
      <c r="AX365" s="29" t="str">
        <f t="shared" si="368"/>
        <v>#DIV/0!</v>
      </c>
      <c r="AY365" s="29" t="str">
        <f t="shared" si="368"/>
        <v>#DIV/0!</v>
      </c>
      <c r="AZ365" s="29" t="str">
        <f t="shared" si="368"/>
        <v>#DIV/0!</v>
      </c>
      <c r="BA365" s="29" t="str">
        <f t="shared" si="368"/>
        <v>#DIV/0!</v>
      </c>
      <c r="BB365" s="29" t="str">
        <f t="shared" si="368"/>
        <v>#DIV/0!</v>
      </c>
      <c r="BC365" s="29" t="str">
        <f t="shared" si="368"/>
        <v>#DIV/0!</v>
      </c>
      <c r="BD365" s="29" t="str">
        <f t="shared" si="368"/>
        <v>#DIV/0!</v>
      </c>
      <c r="BE365" s="29" t="str">
        <f t="shared" si="368"/>
        <v>#DIV/0!</v>
      </c>
      <c r="BF365" s="29" t="str">
        <f t="shared" si="368"/>
        <v>#DIV/0!</v>
      </c>
      <c r="BG365" s="29" t="str">
        <f t="shared" si="368"/>
        <v>#DIV/0!</v>
      </c>
      <c r="BH365" s="29" t="str">
        <f t="shared" si="368"/>
        <v>#DIV/0!</v>
      </c>
      <c r="BI365" s="29" t="str">
        <f t="shared" si="368"/>
        <v>#DIV/0!</v>
      </c>
      <c r="BJ365" s="29" t="str">
        <f t="shared" si="368"/>
        <v>#DIV/0!</v>
      </c>
      <c r="BK365" s="29" t="str">
        <f t="shared" si="368"/>
        <v>#DIV/0!</v>
      </c>
      <c r="BL365" s="29" t="str">
        <f t="shared" si="368"/>
        <v>#DIV/0!</v>
      </c>
      <c r="BM365" s="29" t="str">
        <f t="shared" si="3"/>
        <v>#DIV/0!</v>
      </c>
    </row>
    <row r="366">
      <c r="A366" s="16" t="str">
        <f>IFERROR(__xludf.DUMMYFUNCTION("IFERROR(SPARKLINE(SORT(MAP(TRANSPOSE(AQ366:BL366), LAMBDA(val, IF(ISNUMBER(val), PERCENTRANK(AQ366:BL366, val)+0.01, 0))), SEQUENCE(COLUMNS(AQ366:BL366)), FALSE), {""charttype"",""column""; ""color"",""chartreuse""; ""ymin"", 0; ""ymax"", 1.01; ""highcolo"&amp;"r"", ""darkgreen""; ""lowcolor"", ""red""}), """")"),"")</f>
        <v/>
      </c>
      <c r="B366" s="17" t="str">
        <f t="shared" si="4"/>
        <v/>
      </c>
      <c r="C366" s="1" t="s">
        <v>1554</v>
      </c>
      <c r="D366" s="30" t="str">
        <f>IFERROR(__xludf.DUMMYFUNCTION("IFERROR(GOOGLEFINANCE(C366, ""NAME""))"),"Clear Secure Inc")</f>
        <v>Clear Secure Inc</v>
      </c>
      <c r="E366" s="30" t="s">
        <v>48</v>
      </c>
      <c r="F366" s="33" t="str">
        <f>IFERROR(__xludf.DUMMYFUNCTION("( (GOOGLEFINANCE(C366, ""price"") - Q366) / Q366 ) / (R366 / 100)"),"Loading...")</f>
        <v>Loading...</v>
      </c>
      <c r="G366" s="20" t="str">
        <f>IFERROR(__xludf.DUMMYFUNCTION("AVERAGE(ARRAYFORMULA(100 * (QUERY(GOOGLEFINANCE(C366, ""high"", TODAY()-40, TODAY()), ""SELECT Col2 WHERE Col2 IS NOT NULL ORDER BY Col1 DESC LIMIT 20"", 0) / QUERY(GOOGLEFINANCE(C366, ""low"", TODAY()-40, TODAY()), ""SELECT Col2 WHERE Col2 IS NOT NULL OR"&amp;"DER BY Col1 DESC LIMIT 20"", 0) - 1)))"),"#N/A")</f>
        <v>#N/A</v>
      </c>
      <c r="H366" s="35" t="str">
        <f t="shared" si="6"/>
        <v/>
      </c>
      <c r="I366" s="36" t="str">
        <f t="shared" si="7"/>
        <v/>
      </c>
      <c r="J366" s="37" t="str">
        <f>IFERROR(__xludf.DUMMYFUNCTION("IFERROR(
  IF(C366="""",, 
    IFERROR(
      GOOGLEFINANCE(C366, ""price"") * GOOGLEFINANCE(C366, ""volumeavg""), 
      GOOGLEFINANCE(C366, ""price"") * AVERAGE(QUERY(GOOGLEFINANCE(C366, ""volume"", TODAY()-40, TODAY()), ""SELECT Col2 WHERE Col2 IS NOT "&amp;"NULL ORDER BY Col1 DESC LIMIT 20"", 0))
    )
  ), 
"""")"),"")</f>
        <v/>
      </c>
      <c r="K366" s="21" t="str">
        <f>IFERROR(__xludf.DUMMYFUNCTION("IFERROR(GOOGLEFINANCE(C366, ""changepct"") / 100, """")"),"")</f>
        <v/>
      </c>
      <c r="L366" s="21" t="str">
        <f>IFERROR(__xludf.DUMMYFUNCTION("IFERROR((GOOGLEFINANCE(C366, ""price"") / INDEX(GOOGLEFINANCE(C366, ""price"", TODAY()-7, TODAY()), 2, 2)) - 1, """")"),"")</f>
        <v/>
      </c>
      <c r="M366" s="21" t="str">
        <f>IFERROR(__xludf.DUMMYFUNCTION("IFERROR((GOOGLEFINANCE(C366, ""price"") / INDEX(GOOGLEFINANCE(C366, ""price"", EDATE(TODAY(), -1), TODAY()), 2, 2)) - 1, """")"),"")</f>
        <v/>
      </c>
      <c r="N366" s="21" t="str">
        <f>IFERROR(__xludf.DUMMYFUNCTION("IFERROR((GOOGLEFINANCE(C366, ""price"") / INDEX(GOOGLEFINANCE(C366, ""price"", EDATE(TODAY(), -3), TODAY()), 2, 2)) - 1, """")"),"")</f>
        <v/>
      </c>
      <c r="O366" s="21" t="str">
        <f>IFERROR(__xludf.DUMMYFUNCTION("IFERROR((GOOGLEFINANCE(C366, ""price"") / INDEX(GOOGLEFINANCE(C366, ""price"", EDATE(TODAY(), -6), TODAY()), 2, 2)) - 1, """")"),"")</f>
        <v/>
      </c>
      <c r="P366" s="21" t="str">
        <f>IFERROR(__xludf.DUMMYFUNCTION("IFERROR((GOOGLEFINANCE(C366, ""price"") / INDEX(GOOGLEFINANCE(C366, ""price"", EDATE(TODAY(), -12), TODAY()), 2, 2)) - 1, """")"),"")</f>
        <v/>
      </c>
      <c r="Q366" s="6" t="str">
        <f>IFERROR(__xludf.DUMMYFUNCTION("AVERAGE(QUERY(GOOGLEFINANCE(C366, ""price"", TODAY()-80, TODAY()), ""SELECT Col2 WHERE Col2 IS NOT NULL ORDER BY Col1 DESC LIMIT 50"", 0))"),"#N/A")</f>
        <v>#N/A</v>
      </c>
      <c r="R366" s="24" t="str">
        <f>IFERROR(__xludf.DUMMYFUNCTION("IFERROR(
  LET(
    data, QUERY(GOOGLEFINANCE(C366,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GOOGLEFINANCE(C366, ""price"")) * 100,
    IF(calc=0, G366, calc)
  ), 
G366)"),"#N/A")</f>
        <v>#N/A</v>
      </c>
      <c r="S366" s="8" t="s">
        <v>15</v>
      </c>
      <c r="T366" s="26" t="str">
        <f>IFERROR(__xludf.DUMMYFUNCTION("IFERROR(TRANSPOSE(QUERY(IFERROR(SORT(GOOGLEFINANCE(C366, ""price"", WORKDAY(TODAY(), -40), TODAY()), 1, FALSE)), ""select Col2 where Col2 is not null limit 22 label Col2 ''"", 0)), """")"),"")</f>
        <v/>
      </c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8"/>
      <c r="AO366" s="28"/>
      <c r="AP366" s="29"/>
      <c r="AQ366" s="29" t="str">
        <f t="shared" ref="AQ366:BL366" si="369">T366/T$2</f>
        <v>#N/A</v>
      </c>
      <c r="AR366" s="29" t="str">
        <f t="shared" si="369"/>
        <v>#DIV/0!</v>
      </c>
      <c r="AS366" s="29" t="str">
        <f t="shared" si="369"/>
        <v>#DIV/0!</v>
      </c>
      <c r="AT366" s="29" t="str">
        <f t="shared" si="369"/>
        <v>#DIV/0!</v>
      </c>
      <c r="AU366" s="29" t="str">
        <f t="shared" si="369"/>
        <v>#DIV/0!</v>
      </c>
      <c r="AV366" s="29" t="str">
        <f t="shared" si="369"/>
        <v>#DIV/0!</v>
      </c>
      <c r="AW366" s="29" t="str">
        <f t="shared" si="369"/>
        <v>#DIV/0!</v>
      </c>
      <c r="AX366" s="29" t="str">
        <f t="shared" si="369"/>
        <v>#DIV/0!</v>
      </c>
      <c r="AY366" s="29" t="str">
        <f t="shared" si="369"/>
        <v>#DIV/0!</v>
      </c>
      <c r="AZ366" s="29" t="str">
        <f t="shared" si="369"/>
        <v>#DIV/0!</v>
      </c>
      <c r="BA366" s="29" t="str">
        <f t="shared" si="369"/>
        <v>#DIV/0!</v>
      </c>
      <c r="BB366" s="29" t="str">
        <f t="shared" si="369"/>
        <v>#DIV/0!</v>
      </c>
      <c r="BC366" s="29" t="str">
        <f t="shared" si="369"/>
        <v>#DIV/0!</v>
      </c>
      <c r="BD366" s="29" t="str">
        <f t="shared" si="369"/>
        <v>#DIV/0!</v>
      </c>
      <c r="BE366" s="29" t="str">
        <f t="shared" si="369"/>
        <v>#DIV/0!</v>
      </c>
      <c r="BF366" s="29" t="str">
        <f t="shared" si="369"/>
        <v>#DIV/0!</v>
      </c>
      <c r="BG366" s="29" t="str">
        <f t="shared" si="369"/>
        <v>#DIV/0!</v>
      </c>
      <c r="BH366" s="29" t="str">
        <f t="shared" si="369"/>
        <v>#DIV/0!</v>
      </c>
      <c r="BI366" s="29" t="str">
        <f t="shared" si="369"/>
        <v>#DIV/0!</v>
      </c>
      <c r="BJ366" s="29" t="str">
        <f t="shared" si="369"/>
        <v>#DIV/0!</v>
      </c>
      <c r="BK366" s="29" t="str">
        <f t="shared" si="369"/>
        <v>#DIV/0!</v>
      </c>
      <c r="BL366" s="29" t="str">
        <f t="shared" si="369"/>
        <v>#DIV/0!</v>
      </c>
      <c r="BM366" s="29" t="str">
        <f t="shared" si="3"/>
        <v>#DIV/0!</v>
      </c>
    </row>
    <row r="367">
      <c r="A367" s="16" t="str">
        <f>IFERROR(__xludf.DUMMYFUNCTION("IFERROR(SPARKLINE(SORT(MAP(TRANSPOSE(AQ367:BL367), LAMBDA(val, IF(ISNUMBER(val), PERCENTRANK(AQ367:BL367, val)+0.01, 0))), SEQUENCE(COLUMNS(AQ367:BL367)), FALSE), {""charttype"",""column""; ""color"",""chartreuse""; ""ymin"", 0; ""ymax"", 1.01; ""highcolo"&amp;"r"", ""darkgreen""; ""lowcolor"", ""red""}), """")"),"")</f>
        <v/>
      </c>
      <c r="B367" s="17" t="str">
        <f t="shared" si="4"/>
        <v/>
      </c>
      <c r="C367" s="1" t="s">
        <v>1564</v>
      </c>
      <c r="D367" s="30" t="str">
        <f>IFERROR(__xludf.DUMMYFUNCTION("IFERROR(GOOGLEFINANCE(C367, ""NAME""))"),"Photronics Inc")</f>
        <v>Photronics Inc</v>
      </c>
      <c r="E367" s="30" t="s">
        <v>1195</v>
      </c>
      <c r="F367" s="33" t="str">
        <f>IFERROR(__xludf.DUMMYFUNCTION("( (GOOGLEFINANCE(C367, ""price"") - Q367) / Q367 ) / (R367 / 100)"),"Loading...")</f>
        <v>Loading...</v>
      </c>
      <c r="G367" s="20" t="str">
        <f>IFERROR(__xludf.DUMMYFUNCTION("AVERAGE(ARRAYFORMULA(100 * (QUERY(GOOGLEFINANCE(C367, ""high"", TODAY()-40, TODAY()), ""SELECT Col2 WHERE Col2 IS NOT NULL ORDER BY Col1 DESC LIMIT 20"", 0) / QUERY(GOOGLEFINANCE(C367, ""low"", TODAY()-40, TODAY()), ""SELECT Col2 WHERE Col2 IS NOT NULL OR"&amp;"DER BY Col1 DESC LIMIT 20"", 0) - 1)))"),"#N/A")</f>
        <v>#N/A</v>
      </c>
      <c r="H367" s="35" t="str">
        <f t="shared" si="6"/>
        <v/>
      </c>
      <c r="I367" s="36" t="str">
        <f t="shared" si="7"/>
        <v/>
      </c>
      <c r="J367" s="37" t="str">
        <f>IFERROR(__xludf.DUMMYFUNCTION("IFERROR(
  IF(C367="""",, 
    IFERROR(
      GOOGLEFINANCE(C367, ""price"") * GOOGLEFINANCE(C367, ""volumeavg""), 
      GOOGLEFINANCE(C367, ""price"") * AVERAGE(QUERY(GOOGLEFINANCE(C367, ""volume"", TODAY()-40, TODAY()), ""SELECT Col2 WHERE Col2 IS NOT "&amp;"NULL ORDER BY Col1 DESC LIMIT 20"", 0))
    )
  ), 
"""")"),"")</f>
        <v/>
      </c>
      <c r="K367" s="21" t="str">
        <f>IFERROR(__xludf.DUMMYFUNCTION("IFERROR(GOOGLEFINANCE(C367, ""changepct"") / 100, """")"),"")</f>
        <v/>
      </c>
      <c r="L367" s="21" t="str">
        <f>IFERROR(__xludf.DUMMYFUNCTION("IFERROR((GOOGLEFINANCE(C367, ""price"") / INDEX(GOOGLEFINANCE(C367, ""price"", TODAY()-7, TODAY()), 2, 2)) - 1, """")"),"")</f>
        <v/>
      </c>
      <c r="M367" s="21" t="str">
        <f>IFERROR(__xludf.DUMMYFUNCTION("IFERROR((GOOGLEFINANCE(C367, ""price"") / INDEX(GOOGLEFINANCE(C367, ""price"", EDATE(TODAY(), -1), TODAY()), 2, 2)) - 1, """")"),"")</f>
        <v/>
      </c>
      <c r="N367" s="21" t="str">
        <f>IFERROR(__xludf.DUMMYFUNCTION("IFERROR((GOOGLEFINANCE(C367, ""price"") / INDEX(GOOGLEFINANCE(C367, ""price"", EDATE(TODAY(), -3), TODAY()), 2, 2)) - 1, """")"),"")</f>
        <v/>
      </c>
      <c r="O367" s="21" t="str">
        <f>IFERROR(__xludf.DUMMYFUNCTION("IFERROR((GOOGLEFINANCE(C367, ""price"") / INDEX(GOOGLEFINANCE(C367, ""price"", EDATE(TODAY(), -6), TODAY()), 2, 2)) - 1, """")"),"")</f>
        <v/>
      </c>
      <c r="P367" s="21" t="str">
        <f>IFERROR(__xludf.DUMMYFUNCTION("IFERROR((GOOGLEFINANCE(C367, ""price"") / INDEX(GOOGLEFINANCE(C367, ""price"", EDATE(TODAY(), -12), TODAY()), 2, 2)) - 1, """")"),"")</f>
        <v/>
      </c>
      <c r="Q367" s="6" t="str">
        <f>IFERROR(__xludf.DUMMYFUNCTION("AVERAGE(QUERY(GOOGLEFINANCE(C367, ""price"", TODAY()-80, TODAY()), ""SELECT Col2 WHERE Col2 IS NOT NULL ORDER BY Col1 DESC LIMIT 50"", 0))"),"#N/A")</f>
        <v>#N/A</v>
      </c>
      <c r="R367" s="24" t="str">
        <f>IFERROR(__xludf.DUMMYFUNCTION("IFERROR(
  LET(
    data, QUERY(GOOGLEFINANCE(C367,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GOOGLEFINANCE(C367, ""price"")) * 100,
    IF(calc=0, G367, calc)
  ), 
G367)"),"#N/A")</f>
        <v>#N/A</v>
      </c>
      <c r="S367" s="8" t="s">
        <v>15</v>
      </c>
      <c r="T367" s="26" t="str">
        <f>IFERROR(__xludf.DUMMYFUNCTION("IFERROR(TRANSPOSE(QUERY(IFERROR(SORT(GOOGLEFINANCE(C367, ""price"", WORKDAY(TODAY(), -40), TODAY()), 1, FALSE)), ""select Col2 where Col2 is not null limit 22 label Col2 ''"", 0)), """")"),"")</f>
        <v/>
      </c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8"/>
      <c r="AO367" s="28"/>
      <c r="AP367" s="29"/>
      <c r="AQ367" s="29" t="str">
        <f t="shared" ref="AQ367:BL367" si="370">T367/T$2</f>
        <v>#N/A</v>
      </c>
      <c r="AR367" s="29" t="str">
        <f t="shared" si="370"/>
        <v>#DIV/0!</v>
      </c>
      <c r="AS367" s="29" t="str">
        <f t="shared" si="370"/>
        <v>#DIV/0!</v>
      </c>
      <c r="AT367" s="29" t="str">
        <f t="shared" si="370"/>
        <v>#DIV/0!</v>
      </c>
      <c r="AU367" s="29" t="str">
        <f t="shared" si="370"/>
        <v>#DIV/0!</v>
      </c>
      <c r="AV367" s="29" t="str">
        <f t="shared" si="370"/>
        <v>#DIV/0!</v>
      </c>
      <c r="AW367" s="29" t="str">
        <f t="shared" si="370"/>
        <v>#DIV/0!</v>
      </c>
      <c r="AX367" s="29" t="str">
        <f t="shared" si="370"/>
        <v>#DIV/0!</v>
      </c>
      <c r="AY367" s="29" t="str">
        <f t="shared" si="370"/>
        <v>#DIV/0!</v>
      </c>
      <c r="AZ367" s="29" t="str">
        <f t="shared" si="370"/>
        <v>#DIV/0!</v>
      </c>
      <c r="BA367" s="29" t="str">
        <f t="shared" si="370"/>
        <v>#DIV/0!</v>
      </c>
      <c r="BB367" s="29" t="str">
        <f t="shared" si="370"/>
        <v>#DIV/0!</v>
      </c>
      <c r="BC367" s="29" t="str">
        <f t="shared" si="370"/>
        <v>#DIV/0!</v>
      </c>
      <c r="BD367" s="29" t="str">
        <f t="shared" si="370"/>
        <v>#DIV/0!</v>
      </c>
      <c r="BE367" s="29" t="str">
        <f t="shared" si="370"/>
        <v>#DIV/0!</v>
      </c>
      <c r="BF367" s="29" t="str">
        <f t="shared" si="370"/>
        <v>#DIV/0!</v>
      </c>
      <c r="BG367" s="29" t="str">
        <f t="shared" si="370"/>
        <v>#DIV/0!</v>
      </c>
      <c r="BH367" s="29" t="str">
        <f t="shared" si="370"/>
        <v>#DIV/0!</v>
      </c>
      <c r="BI367" s="29" t="str">
        <f t="shared" si="370"/>
        <v>#DIV/0!</v>
      </c>
      <c r="BJ367" s="29" t="str">
        <f t="shared" si="370"/>
        <v>#DIV/0!</v>
      </c>
      <c r="BK367" s="29" t="str">
        <f t="shared" si="370"/>
        <v>#DIV/0!</v>
      </c>
      <c r="BL367" s="29" t="str">
        <f t="shared" si="370"/>
        <v>#DIV/0!</v>
      </c>
      <c r="BM367" s="29" t="str">
        <f t="shared" si="3"/>
        <v>#DIV/0!</v>
      </c>
    </row>
    <row r="368">
      <c r="A368" s="16" t="str">
        <f>IFERROR(__xludf.DUMMYFUNCTION("IFERROR(SPARKLINE(SORT(MAP(TRANSPOSE(AQ368:BL368), LAMBDA(val, IF(ISNUMBER(val), PERCENTRANK(AQ368:BL368, val)+0.01, 0))), SEQUENCE(COLUMNS(AQ368:BL368)), FALSE), {""charttype"",""column""; ""color"",""chartreuse""; ""ymin"", 0; ""ymax"", 1.01; ""highcolo"&amp;"r"", ""darkgreen""; ""lowcolor"", ""red""}), """")"),"")</f>
        <v/>
      </c>
      <c r="B368" s="17" t="str">
        <f t="shared" si="4"/>
        <v/>
      </c>
      <c r="C368" s="1" t="s">
        <v>1568</v>
      </c>
      <c r="D368" s="30" t="str">
        <f>IFERROR(__xludf.DUMMYFUNCTION("IFERROR(GOOGLEFINANCE(C368, ""NAME""))"),"Nextpower Inc")</f>
        <v>Nextpower Inc</v>
      </c>
      <c r="E368" s="30" t="s">
        <v>1045</v>
      </c>
      <c r="F368" s="33" t="str">
        <f>IFERROR(__xludf.DUMMYFUNCTION("( (GOOGLEFINANCE(C368, ""price"") - Q368) / Q368 ) / (R368 / 100)"),"Loading...")</f>
        <v>Loading...</v>
      </c>
      <c r="G368" s="20" t="str">
        <f>IFERROR(__xludf.DUMMYFUNCTION("AVERAGE(ARRAYFORMULA(100 * (QUERY(GOOGLEFINANCE(C368, ""high"", TODAY()-40, TODAY()), ""SELECT Col2 WHERE Col2 IS NOT NULL ORDER BY Col1 DESC LIMIT 20"", 0) / QUERY(GOOGLEFINANCE(C368, ""low"", TODAY()-40, TODAY()), ""SELECT Col2 WHERE Col2 IS NOT NULL OR"&amp;"DER BY Col1 DESC LIMIT 20"", 0) - 1)))"),"#N/A")</f>
        <v>#N/A</v>
      </c>
      <c r="H368" s="35" t="str">
        <f t="shared" si="6"/>
        <v/>
      </c>
      <c r="I368" s="36" t="str">
        <f t="shared" si="7"/>
        <v/>
      </c>
      <c r="J368" s="37" t="str">
        <f>IFERROR(__xludf.DUMMYFUNCTION("IFERROR(
  IF(C368="""",, 
    IFERROR(
      GOOGLEFINANCE(C368, ""price"") * GOOGLEFINANCE(C368, ""volumeavg""), 
      GOOGLEFINANCE(C368, ""price"") * AVERAGE(QUERY(GOOGLEFINANCE(C368, ""volume"", TODAY()-40, TODAY()), ""SELECT Col2 WHERE Col2 IS NOT "&amp;"NULL ORDER BY Col1 DESC LIMIT 20"", 0))
    )
  ), 
"""")"),"")</f>
        <v/>
      </c>
      <c r="K368" s="21" t="str">
        <f>IFERROR(__xludf.DUMMYFUNCTION("IFERROR(GOOGLEFINANCE(C368, ""changepct"") / 100, """")"),"")</f>
        <v/>
      </c>
      <c r="L368" s="21" t="str">
        <f>IFERROR(__xludf.DUMMYFUNCTION("IFERROR((GOOGLEFINANCE(C368, ""price"") / INDEX(GOOGLEFINANCE(C368, ""price"", TODAY()-7, TODAY()), 2, 2)) - 1, """")"),"")</f>
        <v/>
      </c>
      <c r="M368" s="21" t="str">
        <f>IFERROR(__xludf.DUMMYFUNCTION("IFERROR((GOOGLEFINANCE(C368, ""price"") / INDEX(GOOGLEFINANCE(C368, ""price"", EDATE(TODAY(), -1), TODAY()), 2, 2)) - 1, """")"),"")</f>
        <v/>
      </c>
      <c r="N368" s="21" t="str">
        <f>IFERROR(__xludf.DUMMYFUNCTION("IFERROR((GOOGLEFINANCE(C368, ""price"") / INDEX(GOOGLEFINANCE(C368, ""price"", EDATE(TODAY(), -3), TODAY()), 2, 2)) - 1, """")"),"")</f>
        <v/>
      </c>
      <c r="O368" s="21" t="str">
        <f>IFERROR(__xludf.DUMMYFUNCTION("IFERROR((GOOGLEFINANCE(C368, ""price"") / INDEX(GOOGLEFINANCE(C368, ""price"", EDATE(TODAY(), -6), TODAY()), 2, 2)) - 1, """")"),"")</f>
        <v/>
      </c>
      <c r="P368" s="21" t="str">
        <f>IFERROR(__xludf.DUMMYFUNCTION("IFERROR((GOOGLEFINANCE(C368, ""price"") / INDEX(GOOGLEFINANCE(C368, ""price"", EDATE(TODAY(), -12), TODAY()), 2, 2)) - 1, """")"),"")</f>
        <v/>
      </c>
      <c r="Q368" s="6" t="str">
        <f>IFERROR(__xludf.DUMMYFUNCTION("AVERAGE(QUERY(GOOGLEFINANCE(C368, ""price"", TODAY()-80, TODAY()), ""SELECT Col2 WHERE Col2 IS NOT NULL ORDER BY Col1 DESC LIMIT 50"", 0))"),"#N/A")</f>
        <v>#N/A</v>
      </c>
      <c r="R368" s="24" t="str">
        <f>IFERROR(__xludf.DUMMYFUNCTION("IFERROR(
  LET(
    data, QUERY(GOOGLEFINANCE(C368,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GOOGLEFINANCE(C368, ""price"")) * 100,
    IF(calc=0, G368, calc)
  ), 
G368)"),"#N/A")</f>
        <v>#N/A</v>
      </c>
      <c r="S368" s="8" t="s">
        <v>15</v>
      </c>
      <c r="T368" s="26" t="str">
        <f>IFERROR(__xludf.DUMMYFUNCTION("IFERROR(TRANSPOSE(QUERY(IFERROR(SORT(GOOGLEFINANCE(C368, ""price"", WORKDAY(TODAY(), -40), TODAY()), 1, FALSE)), ""select Col2 where Col2 is not null limit 22 label Col2 ''"", 0)), """")"),"")</f>
        <v/>
      </c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8"/>
      <c r="AO368" s="28"/>
      <c r="AP368" s="29"/>
      <c r="AQ368" s="29" t="str">
        <f t="shared" ref="AQ368:BL368" si="371">T368/T$2</f>
        <v>#N/A</v>
      </c>
      <c r="AR368" s="29" t="str">
        <f t="shared" si="371"/>
        <v>#DIV/0!</v>
      </c>
      <c r="AS368" s="29" t="str">
        <f t="shared" si="371"/>
        <v>#DIV/0!</v>
      </c>
      <c r="AT368" s="29" t="str">
        <f t="shared" si="371"/>
        <v>#DIV/0!</v>
      </c>
      <c r="AU368" s="29" t="str">
        <f t="shared" si="371"/>
        <v>#DIV/0!</v>
      </c>
      <c r="AV368" s="29" t="str">
        <f t="shared" si="371"/>
        <v>#DIV/0!</v>
      </c>
      <c r="AW368" s="29" t="str">
        <f t="shared" si="371"/>
        <v>#DIV/0!</v>
      </c>
      <c r="AX368" s="29" t="str">
        <f t="shared" si="371"/>
        <v>#DIV/0!</v>
      </c>
      <c r="AY368" s="29" t="str">
        <f t="shared" si="371"/>
        <v>#DIV/0!</v>
      </c>
      <c r="AZ368" s="29" t="str">
        <f t="shared" si="371"/>
        <v>#DIV/0!</v>
      </c>
      <c r="BA368" s="29" t="str">
        <f t="shared" si="371"/>
        <v>#DIV/0!</v>
      </c>
      <c r="BB368" s="29" t="str">
        <f t="shared" si="371"/>
        <v>#DIV/0!</v>
      </c>
      <c r="BC368" s="29" t="str">
        <f t="shared" si="371"/>
        <v>#DIV/0!</v>
      </c>
      <c r="BD368" s="29" t="str">
        <f t="shared" si="371"/>
        <v>#DIV/0!</v>
      </c>
      <c r="BE368" s="29" t="str">
        <f t="shared" si="371"/>
        <v>#DIV/0!</v>
      </c>
      <c r="BF368" s="29" t="str">
        <f t="shared" si="371"/>
        <v>#DIV/0!</v>
      </c>
      <c r="BG368" s="29" t="str">
        <f t="shared" si="371"/>
        <v>#DIV/0!</v>
      </c>
      <c r="BH368" s="29" t="str">
        <f t="shared" si="371"/>
        <v>#DIV/0!</v>
      </c>
      <c r="BI368" s="29" t="str">
        <f t="shared" si="371"/>
        <v>#DIV/0!</v>
      </c>
      <c r="BJ368" s="29" t="str">
        <f t="shared" si="371"/>
        <v>#DIV/0!</v>
      </c>
      <c r="BK368" s="29" t="str">
        <f t="shared" si="371"/>
        <v>#DIV/0!</v>
      </c>
      <c r="BL368" s="29" t="str">
        <f t="shared" si="371"/>
        <v>#DIV/0!</v>
      </c>
      <c r="BM368" s="29" t="str">
        <f t="shared" si="3"/>
        <v>#DIV/0!</v>
      </c>
    </row>
    <row r="369">
      <c r="A369" s="16" t="str">
        <f>IFERROR(__xludf.DUMMYFUNCTION("IFERROR(SPARKLINE(SORT(MAP(TRANSPOSE(AQ369:BL369), LAMBDA(val, IF(ISNUMBER(val), PERCENTRANK(AQ369:BL369, val)+0.01, 0))), SEQUENCE(COLUMNS(AQ369:BL369)), FALSE), {""charttype"",""column""; ""color"",""chartreuse""; ""ymin"", 0; ""ymax"", 1.01; ""highcolo"&amp;"r"", ""darkgreen""; ""lowcolor"", ""red""}), """")"),"")</f>
        <v/>
      </c>
      <c r="B369" s="17" t="str">
        <f t="shared" si="4"/>
        <v/>
      </c>
      <c r="C369" s="1" t="s">
        <v>1572</v>
      </c>
      <c r="D369" s="30" t="str">
        <f>IFERROR(__xludf.DUMMYFUNCTION("IFERROR(GOOGLEFINANCE(C369, ""NAME""))"),"Vishay Intertechnology Inc")</f>
        <v>Vishay Intertechnology Inc</v>
      </c>
      <c r="E369" s="30" t="s">
        <v>871</v>
      </c>
      <c r="F369" s="33" t="str">
        <f>IFERROR(__xludf.DUMMYFUNCTION("( (GOOGLEFINANCE(C369, ""price"") - Q369) / Q369 ) / (R369 / 100)"),"Loading...")</f>
        <v>Loading...</v>
      </c>
      <c r="G369" s="20" t="str">
        <f>IFERROR(__xludf.DUMMYFUNCTION("AVERAGE(ARRAYFORMULA(100 * (QUERY(GOOGLEFINANCE(C369, ""high"", TODAY()-40, TODAY()), ""SELECT Col2 WHERE Col2 IS NOT NULL ORDER BY Col1 DESC LIMIT 20"", 0) / QUERY(GOOGLEFINANCE(C369, ""low"", TODAY()-40, TODAY()), ""SELECT Col2 WHERE Col2 IS NOT NULL OR"&amp;"DER BY Col1 DESC LIMIT 20"", 0) - 1)))"),"#N/A")</f>
        <v>#N/A</v>
      </c>
      <c r="H369" s="35" t="str">
        <f t="shared" si="6"/>
        <v/>
      </c>
      <c r="I369" s="36" t="str">
        <f t="shared" si="7"/>
        <v/>
      </c>
      <c r="J369" s="37" t="str">
        <f>IFERROR(__xludf.DUMMYFUNCTION("IFERROR(
  IF(C369="""",, 
    IFERROR(
      GOOGLEFINANCE(C369, ""price"") * GOOGLEFINANCE(C369, ""volumeavg""), 
      GOOGLEFINANCE(C369, ""price"") * AVERAGE(QUERY(GOOGLEFINANCE(C369, ""volume"", TODAY()-40, TODAY()), ""SELECT Col2 WHERE Col2 IS NOT "&amp;"NULL ORDER BY Col1 DESC LIMIT 20"", 0))
    )
  ), 
"""")"),"")</f>
        <v/>
      </c>
      <c r="K369" s="21" t="str">
        <f>IFERROR(__xludf.DUMMYFUNCTION("IFERROR(GOOGLEFINANCE(C369, ""changepct"") / 100, """")"),"")</f>
        <v/>
      </c>
      <c r="L369" s="21" t="str">
        <f>IFERROR(__xludf.DUMMYFUNCTION("IFERROR((GOOGLEFINANCE(C369, ""price"") / INDEX(GOOGLEFINANCE(C369, ""price"", TODAY()-7, TODAY()), 2, 2)) - 1, """")"),"")</f>
        <v/>
      </c>
      <c r="M369" s="21" t="str">
        <f>IFERROR(__xludf.DUMMYFUNCTION("IFERROR((GOOGLEFINANCE(C369, ""price"") / INDEX(GOOGLEFINANCE(C369, ""price"", EDATE(TODAY(), -1), TODAY()), 2, 2)) - 1, """")"),"")</f>
        <v/>
      </c>
      <c r="N369" s="21" t="str">
        <f>IFERROR(__xludf.DUMMYFUNCTION("IFERROR((GOOGLEFINANCE(C369, ""price"") / INDEX(GOOGLEFINANCE(C369, ""price"", EDATE(TODAY(), -3), TODAY()), 2, 2)) - 1, """")"),"")</f>
        <v/>
      </c>
      <c r="O369" s="21" t="str">
        <f>IFERROR(__xludf.DUMMYFUNCTION("IFERROR((GOOGLEFINANCE(C369, ""price"") / INDEX(GOOGLEFINANCE(C369, ""price"", EDATE(TODAY(), -6), TODAY()), 2, 2)) - 1, """")"),"")</f>
        <v/>
      </c>
      <c r="P369" s="21" t="str">
        <f>IFERROR(__xludf.DUMMYFUNCTION("IFERROR((GOOGLEFINANCE(C369, ""price"") / INDEX(GOOGLEFINANCE(C369, ""price"", EDATE(TODAY(), -12), TODAY()), 2, 2)) - 1, """")"),"")</f>
        <v/>
      </c>
      <c r="Q369" s="6" t="str">
        <f>IFERROR(__xludf.DUMMYFUNCTION("AVERAGE(QUERY(GOOGLEFINANCE(C369, ""price"", TODAY()-80, TODAY()), ""SELECT Col2 WHERE Col2 IS NOT NULL ORDER BY Col1 DESC LIMIT 50"", 0))"),"#N/A")</f>
        <v>#N/A</v>
      </c>
      <c r="R369" s="24" t="str">
        <f>IFERROR(__xludf.DUMMYFUNCTION("IFERROR(
  LET(
    data, QUERY(GOOGLEFINANCE(C369,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GOOGLEFINANCE(C369, ""price"")) * 100,
    IF(calc=0, G369, calc)
  ), 
G369)"),"#N/A")</f>
        <v>#N/A</v>
      </c>
      <c r="S369" s="8" t="s">
        <v>15</v>
      </c>
      <c r="T369" s="26" t="str">
        <f>IFERROR(__xludf.DUMMYFUNCTION("IFERROR(TRANSPOSE(QUERY(IFERROR(SORT(GOOGLEFINANCE(C369, ""price"", WORKDAY(TODAY(), -40), TODAY()), 1, FALSE)), ""select Col2 where Col2 is not null limit 22 label Col2 ''"", 0)), """")"),"")</f>
        <v/>
      </c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8"/>
      <c r="AO369" s="28"/>
      <c r="AP369" s="29"/>
      <c r="AQ369" s="29" t="str">
        <f t="shared" ref="AQ369:BL369" si="372">T369/T$2</f>
        <v>#N/A</v>
      </c>
      <c r="AR369" s="29" t="str">
        <f t="shared" si="372"/>
        <v>#DIV/0!</v>
      </c>
      <c r="AS369" s="29" t="str">
        <f t="shared" si="372"/>
        <v>#DIV/0!</v>
      </c>
      <c r="AT369" s="29" t="str">
        <f t="shared" si="372"/>
        <v>#DIV/0!</v>
      </c>
      <c r="AU369" s="29" t="str">
        <f t="shared" si="372"/>
        <v>#DIV/0!</v>
      </c>
      <c r="AV369" s="29" t="str">
        <f t="shared" si="372"/>
        <v>#DIV/0!</v>
      </c>
      <c r="AW369" s="29" t="str">
        <f t="shared" si="372"/>
        <v>#DIV/0!</v>
      </c>
      <c r="AX369" s="29" t="str">
        <f t="shared" si="372"/>
        <v>#DIV/0!</v>
      </c>
      <c r="AY369" s="29" t="str">
        <f t="shared" si="372"/>
        <v>#DIV/0!</v>
      </c>
      <c r="AZ369" s="29" t="str">
        <f t="shared" si="372"/>
        <v>#DIV/0!</v>
      </c>
      <c r="BA369" s="29" t="str">
        <f t="shared" si="372"/>
        <v>#DIV/0!</v>
      </c>
      <c r="BB369" s="29" t="str">
        <f t="shared" si="372"/>
        <v>#DIV/0!</v>
      </c>
      <c r="BC369" s="29" t="str">
        <f t="shared" si="372"/>
        <v>#DIV/0!</v>
      </c>
      <c r="BD369" s="29" t="str">
        <f t="shared" si="372"/>
        <v>#DIV/0!</v>
      </c>
      <c r="BE369" s="29" t="str">
        <f t="shared" si="372"/>
        <v>#DIV/0!</v>
      </c>
      <c r="BF369" s="29" t="str">
        <f t="shared" si="372"/>
        <v>#DIV/0!</v>
      </c>
      <c r="BG369" s="29" t="str">
        <f t="shared" si="372"/>
        <v>#DIV/0!</v>
      </c>
      <c r="BH369" s="29" t="str">
        <f t="shared" si="372"/>
        <v>#DIV/0!</v>
      </c>
      <c r="BI369" s="29" t="str">
        <f t="shared" si="372"/>
        <v>#DIV/0!</v>
      </c>
      <c r="BJ369" s="29" t="str">
        <f t="shared" si="372"/>
        <v>#DIV/0!</v>
      </c>
      <c r="BK369" s="29" t="str">
        <f t="shared" si="372"/>
        <v>#DIV/0!</v>
      </c>
      <c r="BL369" s="29" t="str">
        <f t="shared" si="372"/>
        <v>#DIV/0!</v>
      </c>
      <c r="BM369" s="29" t="str">
        <f t="shared" si="3"/>
        <v>#DIV/0!</v>
      </c>
    </row>
    <row r="370">
      <c r="A370" s="16" t="str">
        <f>IFERROR(__xludf.DUMMYFUNCTION("IFERROR(SPARKLINE(SORT(MAP(TRANSPOSE(AQ370:BL370), LAMBDA(val, IF(ISNUMBER(val), PERCENTRANK(AQ370:BL370, val)+0.01, 0))), SEQUENCE(COLUMNS(AQ370:BL370)), FALSE), {""charttype"",""column""; ""color"",""chartreuse""; ""ymin"", 0; ""ymax"", 1.01; ""highcolo"&amp;"r"", ""darkgreen""; ""lowcolor"", ""red""}), """")"),"")</f>
        <v/>
      </c>
      <c r="B370" s="17" t="str">
        <f t="shared" si="4"/>
        <v/>
      </c>
      <c r="C370" s="1" t="s">
        <v>1575</v>
      </c>
      <c r="D370" s="30" t="str">
        <f>IFERROR(__xludf.DUMMYFUNCTION("IFERROR(GOOGLEFINANCE(C370, ""NAME""))"),"Innodata Inc")</f>
        <v>Innodata Inc</v>
      </c>
      <c r="E370" s="30" t="s">
        <v>102</v>
      </c>
      <c r="F370" s="33" t="str">
        <f>IFERROR(__xludf.DUMMYFUNCTION("( (GOOGLEFINANCE(C370, ""price"") - Q370) / Q370 ) / (R370 / 100)"),"Loading...")</f>
        <v>Loading...</v>
      </c>
      <c r="G370" s="20" t="str">
        <f>IFERROR(__xludf.DUMMYFUNCTION("AVERAGE(ARRAYFORMULA(100 * (QUERY(GOOGLEFINANCE(C370, ""high"", TODAY()-40, TODAY()), ""SELECT Col2 WHERE Col2 IS NOT NULL ORDER BY Col1 DESC LIMIT 20"", 0) / QUERY(GOOGLEFINANCE(C370, ""low"", TODAY()-40, TODAY()), ""SELECT Col2 WHERE Col2 IS NOT NULL OR"&amp;"DER BY Col1 DESC LIMIT 20"", 0) - 1)))"),"#N/A")</f>
        <v>#N/A</v>
      </c>
      <c r="H370" s="35" t="str">
        <f t="shared" si="6"/>
        <v/>
      </c>
      <c r="I370" s="36" t="str">
        <f t="shared" si="7"/>
        <v/>
      </c>
      <c r="J370" s="37" t="str">
        <f>IFERROR(__xludf.DUMMYFUNCTION("IFERROR(
  IF(C370="""",, 
    IFERROR(
      GOOGLEFINANCE(C370, ""price"") * GOOGLEFINANCE(C370, ""volumeavg""), 
      GOOGLEFINANCE(C370, ""price"") * AVERAGE(QUERY(GOOGLEFINANCE(C370, ""volume"", TODAY()-40, TODAY()), ""SELECT Col2 WHERE Col2 IS NOT "&amp;"NULL ORDER BY Col1 DESC LIMIT 20"", 0))
    )
  ), 
"""")"),"")</f>
        <v/>
      </c>
      <c r="K370" s="21" t="str">
        <f>IFERROR(__xludf.DUMMYFUNCTION("IFERROR(GOOGLEFINANCE(C370, ""changepct"") / 100, """")"),"")</f>
        <v/>
      </c>
      <c r="L370" s="21" t="str">
        <f>IFERROR(__xludf.DUMMYFUNCTION("IFERROR((GOOGLEFINANCE(C370, ""price"") / INDEX(GOOGLEFINANCE(C370, ""price"", TODAY()-7, TODAY()), 2, 2)) - 1, """")"),"")</f>
        <v/>
      </c>
      <c r="M370" s="21" t="str">
        <f>IFERROR(__xludf.DUMMYFUNCTION("IFERROR((GOOGLEFINANCE(C370, ""price"") / INDEX(GOOGLEFINANCE(C370, ""price"", EDATE(TODAY(), -1), TODAY()), 2, 2)) - 1, """")"),"")</f>
        <v/>
      </c>
      <c r="N370" s="21" t="str">
        <f>IFERROR(__xludf.DUMMYFUNCTION("IFERROR((GOOGLEFINANCE(C370, ""price"") / INDEX(GOOGLEFINANCE(C370, ""price"", EDATE(TODAY(), -3), TODAY()), 2, 2)) - 1, """")"),"")</f>
        <v/>
      </c>
      <c r="O370" s="21" t="str">
        <f>IFERROR(__xludf.DUMMYFUNCTION("IFERROR((GOOGLEFINANCE(C370, ""price"") / INDEX(GOOGLEFINANCE(C370, ""price"", EDATE(TODAY(), -6), TODAY()), 2, 2)) - 1, """")"),"")</f>
        <v/>
      </c>
      <c r="P370" s="21" t="str">
        <f>IFERROR(__xludf.DUMMYFUNCTION("IFERROR((GOOGLEFINANCE(C370, ""price"") / INDEX(GOOGLEFINANCE(C370, ""price"", EDATE(TODAY(), -12), TODAY()), 2, 2)) - 1, """")"),"")</f>
        <v/>
      </c>
      <c r="Q370" s="6" t="str">
        <f>IFERROR(__xludf.DUMMYFUNCTION("AVERAGE(QUERY(GOOGLEFINANCE(C370, ""price"", TODAY()-80, TODAY()), ""SELECT Col2 WHERE Col2 IS NOT NULL ORDER BY Col1 DESC LIMIT 50"", 0))"),"#N/A")</f>
        <v>#N/A</v>
      </c>
      <c r="R370" s="24" t="str">
        <f>IFERROR(__xludf.DUMMYFUNCTION("IFERROR(
  LET(
    data, QUERY(GOOGLEFINANCE(C370,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GOOGLEFINANCE(C370, ""price"")) * 100,
    IF(calc=0, G370, calc)
  ), 
G370)"),"#N/A")</f>
        <v>#N/A</v>
      </c>
      <c r="S370" s="8" t="s">
        <v>15</v>
      </c>
      <c r="T370" s="26" t="str">
        <f>IFERROR(__xludf.DUMMYFUNCTION("IFERROR(TRANSPOSE(QUERY(IFERROR(SORT(GOOGLEFINANCE(C370, ""price"", WORKDAY(TODAY(), -40), TODAY()), 1, FALSE)), ""select Col2 where Col2 is not null limit 22 label Col2 ''"", 0)), """")"),"")</f>
        <v/>
      </c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8"/>
      <c r="AO370" s="28"/>
      <c r="AP370" s="29"/>
      <c r="AQ370" s="29" t="str">
        <f t="shared" ref="AQ370:BL370" si="373">T370/T$2</f>
        <v>#N/A</v>
      </c>
      <c r="AR370" s="29" t="str">
        <f t="shared" si="373"/>
        <v>#DIV/0!</v>
      </c>
      <c r="AS370" s="29" t="str">
        <f t="shared" si="373"/>
        <v>#DIV/0!</v>
      </c>
      <c r="AT370" s="29" t="str">
        <f t="shared" si="373"/>
        <v>#DIV/0!</v>
      </c>
      <c r="AU370" s="29" t="str">
        <f t="shared" si="373"/>
        <v>#DIV/0!</v>
      </c>
      <c r="AV370" s="29" t="str">
        <f t="shared" si="373"/>
        <v>#DIV/0!</v>
      </c>
      <c r="AW370" s="29" t="str">
        <f t="shared" si="373"/>
        <v>#DIV/0!</v>
      </c>
      <c r="AX370" s="29" t="str">
        <f t="shared" si="373"/>
        <v>#DIV/0!</v>
      </c>
      <c r="AY370" s="29" t="str">
        <f t="shared" si="373"/>
        <v>#DIV/0!</v>
      </c>
      <c r="AZ370" s="29" t="str">
        <f t="shared" si="373"/>
        <v>#DIV/0!</v>
      </c>
      <c r="BA370" s="29" t="str">
        <f t="shared" si="373"/>
        <v>#DIV/0!</v>
      </c>
      <c r="BB370" s="29" t="str">
        <f t="shared" si="373"/>
        <v>#DIV/0!</v>
      </c>
      <c r="BC370" s="29" t="str">
        <f t="shared" si="373"/>
        <v>#DIV/0!</v>
      </c>
      <c r="BD370" s="29" t="str">
        <f t="shared" si="373"/>
        <v>#DIV/0!</v>
      </c>
      <c r="BE370" s="29" t="str">
        <f t="shared" si="373"/>
        <v>#DIV/0!</v>
      </c>
      <c r="BF370" s="29" t="str">
        <f t="shared" si="373"/>
        <v>#DIV/0!</v>
      </c>
      <c r="BG370" s="29" t="str">
        <f t="shared" si="373"/>
        <v>#DIV/0!</v>
      </c>
      <c r="BH370" s="29" t="str">
        <f t="shared" si="373"/>
        <v>#DIV/0!</v>
      </c>
      <c r="BI370" s="29" t="str">
        <f t="shared" si="373"/>
        <v>#DIV/0!</v>
      </c>
      <c r="BJ370" s="29" t="str">
        <f t="shared" si="373"/>
        <v>#DIV/0!</v>
      </c>
      <c r="BK370" s="29" t="str">
        <f t="shared" si="373"/>
        <v>#DIV/0!</v>
      </c>
      <c r="BL370" s="29" t="str">
        <f t="shared" si="373"/>
        <v>#DIV/0!</v>
      </c>
      <c r="BM370" s="29" t="str">
        <f t="shared" si="3"/>
        <v>#DIV/0!</v>
      </c>
    </row>
    <row r="371">
      <c r="A371" s="16" t="str">
        <f>IFERROR(__xludf.DUMMYFUNCTION("IFERROR(SPARKLINE(SORT(MAP(TRANSPOSE(AQ371:BL371), LAMBDA(val, IF(ISNUMBER(val), PERCENTRANK(AQ371:BL371, val)+0.01, 0))), SEQUENCE(COLUMNS(AQ371:BL371)), FALSE), {""charttype"",""column""; ""color"",""chartreuse""; ""ymin"", 0; ""ymax"", 1.01; ""highcolo"&amp;"r"", ""darkgreen""; ""lowcolor"", ""red""}), """")"),"")</f>
        <v/>
      </c>
      <c r="B371" s="17" t="str">
        <f t="shared" si="4"/>
        <v/>
      </c>
      <c r="C371" s="1" t="s">
        <v>1579</v>
      </c>
      <c r="D371" s="30" t="str">
        <f>IFERROR(__xludf.DUMMYFUNCTION("IFERROR(GOOGLEFINANCE(C371, ""NAME""))"),"Penguin Solutions Inc")</f>
        <v>Penguin Solutions Inc</v>
      </c>
      <c r="E371" s="30" t="s">
        <v>102</v>
      </c>
      <c r="F371" s="33" t="str">
        <f>IFERROR(__xludf.DUMMYFUNCTION("( (GOOGLEFINANCE(C371, ""price"") - Q371) / Q371 ) / (R371 / 100)"),"Loading...")</f>
        <v>Loading...</v>
      </c>
      <c r="G371" s="20" t="str">
        <f>IFERROR(__xludf.DUMMYFUNCTION("AVERAGE(ARRAYFORMULA(100 * (QUERY(GOOGLEFINANCE(C371, ""high"", TODAY()-40, TODAY()), ""SELECT Col2 WHERE Col2 IS NOT NULL ORDER BY Col1 DESC LIMIT 20"", 0) / QUERY(GOOGLEFINANCE(C371, ""low"", TODAY()-40, TODAY()), ""SELECT Col2 WHERE Col2 IS NOT NULL OR"&amp;"DER BY Col1 DESC LIMIT 20"", 0) - 1)))"),"#N/A")</f>
        <v>#N/A</v>
      </c>
      <c r="H371" s="35" t="str">
        <f t="shared" si="6"/>
        <v/>
      </c>
      <c r="I371" s="36" t="str">
        <f t="shared" si="7"/>
        <v/>
      </c>
      <c r="J371" s="37" t="str">
        <f>IFERROR(__xludf.DUMMYFUNCTION("IFERROR(
  IF(C371="""",, 
    IFERROR(
      GOOGLEFINANCE(C371, ""price"") * GOOGLEFINANCE(C371, ""volumeavg""), 
      GOOGLEFINANCE(C371, ""price"") * AVERAGE(QUERY(GOOGLEFINANCE(C371, ""volume"", TODAY()-40, TODAY()), ""SELECT Col2 WHERE Col2 IS NOT "&amp;"NULL ORDER BY Col1 DESC LIMIT 20"", 0))
    )
  ), 
"""")"),"")</f>
        <v/>
      </c>
      <c r="K371" s="21" t="str">
        <f>IFERROR(__xludf.DUMMYFUNCTION("IFERROR(GOOGLEFINANCE(C371, ""changepct"") / 100, """")"),"")</f>
        <v/>
      </c>
      <c r="L371" s="21" t="str">
        <f>IFERROR(__xludf.DUMMYFUNCTION("IFERROR((GOOGLEFINANCE(C371, ""price"") / INDEX(GOOGLEFINANCE(C371, ""price"", TODAY()-7, TODAY()), 2, 2)) - 1, """")"),"")</f>
        <v/>
      </c>
      <c r="M371" s="21" t="str">
        <f>IFERROR(__xludf.DUMMYFUNCTION("IFERROR((GOOGLEFINANCE(C371, ""price"") / INDEX(GOOGLEFINANCE(C371, ""price"", EDATE(TODAY(), -1), TODAY()), 2, 2)) - 1, """")"),"")</f>
        <v/>
      </c>
      <c r="N371" s="21" t="str">
        <f>IFERROR(__xludf.DUMMYFUNCTION("IFERROR((GOOGLEFINANCE(C371, ""price"") / INDEX(GOOGLEFINANCE(C371, ""price"", EDATE(TODAY(), -3), TODAY()), 2, 2)) - 1, """")"),"")</f>
        <v/>
      </c>
      <c r="O371" s="21" t="str">
        <f>IFERROR(__xludf.DUMMYFUNCTION("IFERROR((GOOGLEFINANCE(C371, ""price"") / INDEX(GOOGLEFINANCE(C371, ""price"", EDATE(TODAY(), -6), TODAY()), 2, 2)) - 1, """")"),"")</f>
        <v/>
      </c>
      <c r="P371" s="21" t="str">
        <f>IFERROR(__xludf.DUMMYFUNCTION("IFERROR((GOOGLEFINANCE(C371, ""price"") / INDEX(GOOGLEFINANCE(C371, ""price"", EDATE(TODAY(), -12), TODAY()), 2, 2)) - 1, """")"),"")</f>
        <v/>
      </c>
      <c r="Q371" s="6" t="str">
        <f>IFERROR(__xludf.DUMMYFUNCTION("AVERAGE(QUERY(GOOGLEFINANCE(C371, ""price"", TODAY()-80, TODAY()), ""SELECT Col2 WHERE Col2 IS NOT NULL ORDER BY Col1 DESC LIMIT 50"", 0))"),"#N/A")</f>
        <v>#N/A</v>
      </c>
      <c r="R371" s="24" t="str">
        <f>IFERROR(__xludf.DUMMYFUNCTION("IFERROR(
  LET(
    data, QUERY(GOOGLEFINANCE(C371,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GOOGLEFINANCE(C371, ""price"")) * 100,
    IF(calc=0, G371, calc)
  ), 
G371)"),"#N/A")</f>
        <v>#N/A</v>
      </c>
      <c r="S371" s="8" t="s">
        <v>15</v>
      </c>
      <c r="T371" s="26" t="str">
        <f>IFERROR(__xludf.DUMMYFUNCTION("IFERROR(TRANSPOSE(QUERY(IFERROR(SORT(GOOGLEFINANCE(C371, ""price"", WORKDAY(TODAY(), -40), TODAY()), 1, FALSE)), ""select Col2 where Col2 is not null limit 22 label Col2 ''"", 0)), """")"),"")</f>
        <v/>
      </c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8"/>
      <c r="AO371" s="28"/>
      <c r="AP371" s="29"/>
      <c r="AQ371" s="29" t="str">
        <f t="shared" ref="AQ371:BL371" si="374">T371/T$2</f>
        <v>#N/A</v>
      </c>
      <c r="AR371" s="29" t="str">
        <f t="shared" si="374"/>
        <v>#DIV/0!</v>
      </c>
      <c r="AS371" s="29" t="str">
        <f t="shared" si="374"/>
        <v>#DIV/0!</v>
      </c>
      <c r="AT371" s="29" t="str">
        <f t="shared" si="374"/>
        <v>#DIV/0!</v>
      </c>
      <c r="AU371" s="29" t="str">
        <f t="shared" si="374"/>
        <v>#DIV/0!</v>
      </c>
      <c r="AV371" s="29" t="str">
        <f t="shared" si="374"/>
        <v>#DIV/0!</v>
      </c>
      <c r="AW371" s="29" t="str">
        <f t="shared" si="374"/>
        <v>#DIV/0!</v>
      </c>
      <c r="AX371" s="29" t="str">
        <f t="shared" si="374"/>
        <v>#DIV/0!</v>
      </c>
      <c r="AY371" s="29" t="str">
        <f t="shared" si="374"/>
        <v>#DIV/0!</v>
      </c>
      <c r="AZ371" s="29" t="str">
        <f t="shared" si="374"/>
        <v>#DIV/0!</v>
      </c>
      <c r="BA371" s="29" t="str">
        <f t="shared" si="374"/>
        <v>#DIV/0!</v>
      </c>
      <c r="BB371" s="29" t="str">
        <f t="shared" si="374"/>
        <v>#DIV/0!</v>
      </c>
      <c r="BC371" s="29" t="str">
        <f t="shared" si="374"/>
        <v>#DIV/0!</v>
      </c>
      <c r="BD371" s="29" t="str">
        <f t="shared" si="374"/>
        <v>#DIV/0!</v>
      </c>
      <c r="BE371" s="29" t="str">
        <f t="shared" si="374"/>
        <v>#DIV/0!</v>
      </c>
      <c r="BF371" s="29" t="str">
        <f t="shared" si="374"/>
        <v>#DIV/0!</v>
      </c>
      <c r="BG371" s="29" t="str">
        <f t="shared" si="374"/>
        <v>#DIV/0!</v>
      </c>
      <c r="BH371" s="29" t="str">
        <f t="shared" si="374"/>
        <v>#DIV/0!</v>
      </c>
      <c r="BI371" s="29" t="str">
        <f t="shared" si="374"/>
        <v>#DIV/0!</v>
      </c>
      <c r="BJ371" s="29" t="str">
        <f t="shared" si="374"/>
        <v>#DIV/0!</v>
      </c>
      <c r="BK371" s="29" t="str">
        <f t="shared" si="374"/>
        <v>#DIV/0!</v>
      </c>
      <c r="BL371" s="29" t="str">
        <f t="shared" si="374"/>
        <v>#DIV/0!</v>
      </c>
      <c r="BM371" s="29" t="str">
        <f t="shared" si="3"/>
        <v>#DIV/0!</v>
      </c>
    </row>
    <row r="372">
      <c r="A372" s="16" t="str">
        <f>IFERROR(__xludf.DUMMYFUNCTION("IFERROR(SPARKLINE(SORT(MAP(TRANSPOSE(AQ372:BL372), LAMBDA(val, IF(ISNUMBER(val), PERCENTRANK(AQ372:BL372, val)+0.01, 0))), SEQUENCE(COLUMNS(AQ372:BL372)), FALSE), {""charttype"",""column""; ""color"",""chartreuse""; ""ymin"", 0; ""ymax"", 1.01; ""highcolo"&amp;"r"", ""darkgreen""; ""lowcolor"", ""red""}), """")"),"")</f>
        <v/>
      </c>
      <c r="B372" s="17" t="str">
        <f t="shared" si="4"/>
        <v/>
      </c>
      <c r="C372" s="1" t="s">
        <v>1588</v>
      </c>
      <c r="D372" s="30" t="str">
        <f>IFERROR(__xludf.DUMMYFUNCTION("IFERROR(GOOGLEFINANCE(C372, ""NAME""))"),"Axcelis Technologies Inc")</f>
        <v>Axcelis Technologies Inc</v>
      </c>
      <c r="E372" s="30" t="s">
        <v>1195</v>
      </c>
      <c r="F372" s="33" t="str">
        <f>IFERROR(__xludf.DUMMYFUNCTION("( (GOOGLEFINANCE(C372, ""price"") - Q372) / Q372 ) / (R372 / 100)"),"Loading...")</f>
        <v>Loading...</v>
      </c>
      <c r="G372" s="20" t="str">
        <f>IFERROR(__xludf.DUMMYFUNCTION("AVERAGE(ARRAYFORMULA(100 * (QUERY(GOOGLEFINANCE(C372, ""high"", TODAY()-40, TODAY()), ""SELECT Col2 WHERE Col2 IS NOT NULL ORDER BY Col1 DESC LIMIT 20"", 0) / QUERY(GOOGLEFINANCE(C372, ""low"", TODAY()-40, TODAY()), ""SELECT Col2 WHERE Col2 IS NOT NULL OR"&amp;"DER BY Col1 DESC LIMIT 20"", 0) - 1)))"),"#N/A")</f>
        <v>#N/A</v>
      </c>
      <c r="H372" s="35" t="str">
        <f t="shared" si="6"/>
        <v/>
      </c>
      <c r="I372" s="36" t="str">
        <f t="shared" si="7"/>
        <v/>
      </c>
      <c r="J372" s="37" t="str">
        <f>IFERROR(__xludf.DUMMYFUNCTION("IFERROR(
  IF(C372="""",, 
    IFERROR(
      GOOGLEFINANCE(C372, ""price"") * GOOGLEFINANCE(C372, ""volumeavg""), 
      GOOGLEFINANCE(C372, ""price"") * AVERAGE(QUERY(GOOGLEFINANCE(C372, ""volume"", TODAY()-40, TODAY()), ""SELECT Col2 WHERE Col2 IS NOT "&amp;"NULL ORDER BY Col1 DESC LIMIT 20"", 0))
    )
  ), 
"""")"),"")</f>
        <v/>
      </c>
      <c r="K372" s="21" t="str">
        <f>IFERROR(__xludf.DUMMYFUNCTION("IFERROR(GOOGLEFINANCE(C372, ""changepct"") / 100, """")"),"")</f>
        <v/>
      </c>
      <c r="L372" s="21" t="str">
        <f>IFERROR(__xludf.DUMMYFUNCTION("IFERROR((GOOGLEFINANCE(C372, ""price"") / INDEX(GOOGLEFINANCE(C372, ""price"", TODAY()-7, TODAY()), 2, 2)) - 1, """")"),"")</f>
        <v/>
      </c>
      <c r="M372" s="21" t="str">
        <f>IFERROR(__xludf.DUMMYFUNCTION("IFERROR((GOOGLEFINANCE(C372, ""price"") / INDEX(GOOGLEFINANCE(C372, ""price"", EDATE(TODAY(), -1), TODAY()), 2, 2)) - 1, """")"),"")</f>
        <v/>
      </c>
      <c r="N372" s="21" t="str">
        <f>IFERROR(__xludf.DUMMYFUNCTION("IFERROR((GOOGLEFINANCE(C372, ""price"") / INDEX(GOOGLEFINANCE(C372, ""price"", EDATE(TODAY(), -3), TODAY()), 2, 2)) - 1, """")"),"")</f>
        <v/>
      </c>
      <c r="O372" s="21" t="str">
        <f>IFERROR(__xludf.DUMMYFUNCTION("IFERROR((GOOGLEFINANCE(C372, ""price"") / INDEX(GOOGLEFINANCE(C372, ""price"", EDATE(TODAY(), -6), TODAY()), 2, 2)) - 1, """")"),"")</f>
        <v/>
      </c>
      <c r="P372" s="21" t="str">
        <f>IFERROR(__xludf.DUMMYFUNCTION("IFERROR((GOOGLEFINANCE(C372, ""price"") / INDEX(GOOGLEFINANCE(C372, ""price"", EDATE(TODAY(), -12), TODAY()), 2, 2)) - 1, """")"),"")</f>
        <v/>
      </c>
      <c r="Q372" s="6" t="str">
        <f>IFERROR(__xludf.DUMMYFUNCTION("AVERAGE(QUERY(GOOGLEFINANCE(C372, ""price"", TODAY()-80, TODAY()), ""SELECT Col2 WHERE Col2 IS NOT NULL ORDER BY Col1 DESC LIMIT 50"", 0))"),"#N/A")</f>
        <v>#N/A</v>
      </c>
      <c r="R372" s="24" t="str">
        <f>IFERROR(__xludf.DUMMYFUNCTION("IFERROR(
  LET(
    data, QUERY(GOOGLEFINANCE(C372,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GOOGLEFINANCE(C372, ""price"")) * 100,
    IF(calc=0, G372, calc)
  ), 
G372)"),"#N/A")</f>
        <v>#N/A</v>
      </c>
      <c r="S372" s="8" t="s">
        <v>15</v>
      </c>
      <c r="T372" s="26" t="str">
        <f>IFERROR(__xludf.DUMMYFUNCTION("IFERROR(TRANSPOSE(QUERY(IFERROR(SORT(GOOGLEFINANCE(C372, ""price"", WORKDAY(TODAY(), -40), TODAY()), 1, FALSE)), ""select Col2 where Col2 is not null limit 22 label Col2 ''"", 0)), """")"),"")</f>
        <v/>
      </c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8"/>
      <c r="AO372" s="28"/>
      <c r="AP372" s="29"/>
      <c r="AQ372" s="29" t="str">
        <f t="shared" ref="AQ372:BL372" si="375">T372/T$2</f>
        <v>#N/A</v>
      </c>
      <c r="AR372" s="29" t="str">
        <f t="shared" si="375"/>
        <v>#DIV/0!</v>
      </c>
      <c r="AS372" s="29" t="str">
        <f t="shared" si="375"/>
        <v>#DIV/0!</v>
      </c>
      <c r="AT372" s="29" t="str">
        <f t="shared" si="375"/>
        <v>#DIV/0!</v>
      </c>
      <c r="AU372" s="29" t="str">
        <f t="shared" si="375"/>
        <v>#DIV/0!</v>
      </c>
      <c r="AV372" s="29" t="str">
        <f t="shared" si="375"/>
        <v>#DIV/0!</v>
      </c>
      <c r="AW372" s="29" t="str">
        <f t="shared" si="375"/>
        <v>#DIV/0!</v>
      </c>
      <c r="AX372" s="29" t="str">
        <f t="shared" si="375"/>
        <v>#DIV/0!</v>
      </c>
      <c r="AY372" s="29" t="str">
        <f t="shared" si="375"/>
        <v>#DIV/0!</v>
      </c>
      <c r="AZ372" s="29" t="str">
        <f t="shared" si="375"/>
        <v>#DIV/0!</v>
      </c>
      <c r="BA372" s="29" t="str">
        <f t="shared" si="375"/>
        <v>#DIV/0!</v>
      </c>
      <c r="BB372" s="29" t="str">
        <f t="shared" si="375"/>
        <v>#DIV/0!</v>
      </c>
      <c r="BC372" s="29" t="str">
        <f t="shared" si="375"/>
        <v>#DIV/0!</v>
      </c>
      <c r="BD372" s="29" t="str">
        <f t="shared" si="375"/>
        <v>#DIV/0!</v>
      </c>
      <c r="BE372" s="29" t="str">
        <f t="shared" si="375"/>
        <v>#DIV/0!</v>
      </c>
      <c r="BF372" s="29" t="str">
        <f t="shared" si="375"/>
        <v>#DIV/0!</v>
      </c>
      <c r="BG372" s="29" t="str">
        <f t="shared" si="375"/>
        <v>#DIV/0!</v>
      </c>
      <c r="BH372" s="29" t="str">
        <f t="shared" si="375"/>
        <v>#DIV/0!</v>
      </c>
      <c r="BI372" s="29" t="str">
        <f t="shared" si="375"/>
        <v>#DIV/0!</v>
      </c>
      <c r="BJ372" s="29" t="str">
        <f t="shared" si="375"/>
        <v>#DIV/0!</v>
      </c>
      <c r="BK372" s="29" t="str">
        <f t="shared" si="375"/>
        <v>#DIV/0!</v>
      </c>
      <c r="BL372" s="29" t="str">
        <f t="shared" si="375"/>
        <v>#DIV/0!</v>
      </c>
      <c r="BM372" s="29" t="str">
        <f t="shared" si="3"/>
        <v>#DIV/0!</v>
      </c>
    </row>
    <row r="373">
      <c r="A373" s="16" t="str">
        <f>IFERROR(__xludf.DUMMYFUNCTION("IFERROR(SPARKLINE(SORT(MAP(TRANSPOSE(AQ373:BL373), LAMBDA(val, IF(ISNUMBER(val), PERCENTRANK(AQ373:BL373, val)+0.01, 0))), SEQUENCE(COLUMNS(AQ373:BL373)), FALSE), {""charttype"",""column""; ""color"",""chartreuse""; ""ymin"", 0; ""ymax"", 1.01; ""highcolo"&amp;"r"", ""darkgreen""; ""lowcolor"", ""red""}), """")"),"")</f>
        <v/>
      </c>
      <c r="B373" s="17" t="str">
        <f t="shared" si="4"/>
        <v/>
      </c>
      <c r="C373" s="1" t="s">
        <v>1594</v>
      </c>
      <c r="D373" s="30" t="str">
        <f>IFERROR(__xludf.DUMMYFUNCTION("IFERROR(GOOGLEFINANCE(C373, ""NAME""))"),"Gilat Satellite Networks Ltd")</f>
        <v>Gilat Satellite Networks Ltd</v>
      </c>
      <c r="E373" s="30" t="s">
        <v>716</v>
      </c>
      <c r="F373" s="33" t="str">
        <f>IFERROR(__xludf.DUMMYFUNCTION("( (GOOGLEFINANCE(C373, ""price"") - Q373) / Q373 ) / (R373 / 100)"),"Loading...")</f>
        <v>Loading...</v>
      </c>
      <c r="G373" s="20" t="str">
        <f>IFERROR(__xludf.DUMMYFUNCTION("AVERAGE(ARRAYFORMULA(100 * (QUERY(GOOGLEFINANCE(C373, ""high"", TODAY()-40, TODAY()), ""SELECT Col2 WHERE Col2 IS NOT NULL ORDER BY Col1 DESC LIMIT 20"", 0) / QUERY(GOOGLEFINANCE(C373, ""low"", TODAY()-40, TODAY()), ""SELECT Col2 WHERE Col2 IS NOT NULL OR"&amp;"DER BY Col1 DESC LIMIT 20"", 0) - 1)))"),"#N/A")</f>
        <v>#N/A</v>
      </c>
      <c r="H373" s="35" t="str">
        <f t="shared" si="6"/>
        <v/>
      </c>
      <c r="I373" s="36" t="str">
        <f t="shared" si="7"/>
        <v/>
      </c>
      <c r="J373" s="37" t="str">
        <f>IFERROR(__xludf.DUMMYFUNCTION("IFERROR(
  IF(C373="""",, 
    IFERROR(
      GOOGLEFINANCE(C373, ""price"") * GOOGLEFINANCE(C373, ""volumeavg""), 
      GOOGLEFINANCE(C373, ""price"") * AVERAGE(QUERY(GOOGLEFINANCE(C373, ""volume"", TODAY()-40, TODAY()), ""SELECT Col2 WHERE Col2 IS NOT "&amp;"NULL ORDER BY Col1 DESC LIMIT 20"", 0))
    )
  ), 
"""")"),"")</f>
        <v/>
      </c>
      <c r="K373" s="21" t="str">
        <f>IFERROR(__xludf.DUMMYFUNCTION("IFERROR(GOOGLEFINANCE(C373, ""changepct"") / 100, """")"),"")</f>
        <v/>
      </c>
      <c r="L373" s="21" t="str">
        <f>IFERROR(__xludf.DUMMYFUNCTION("IFERROR((GOOGLEFINANCE(C373, ""price"") / INDEX(GOOGLEFINANCE(C373, ""price"", TODAY()-7, TODAY()), 2, 2)) - 1, """")"),"")</f>
        <v/>
      </c>
      <c r="M373" s="21" t="str">
        <f>IFERROR(__xludf.DUMMYFUNCTION("IFERROR((GOOGLEFINANCE(C373, ""price"") / INDEX(GOOGLEFINANCE(C373, ""price"", EDATE(TODAY(), -1), TODAY()), 2, 2)) - 1, """")"),"")</f>
        <v/>
      </c>
      <c r="N373" s="21" t="str">
        <f>IFERROR(__xludf.DUMMYFUNCTION("IFERROR((GOOGLEFINANCE(C373, ""price"") / INDEX(GOOGLEFINANCE(C373, ""price"", EDATE(TODAY(), -3), TODAY()), 2, 2)) - 1, """")"),"")</f>
        <v/>
      </c>
      <c r="O373" s="21" t="str">
        <f>IFERROR(__xludf.DUMMYFUNCTION("IFERROR((GOOGLEFINANCE(C373, ""price"") / INDEX(GOOGLEFINANCE(C373, ""price"", EDATE(TODAY(), -6), TODAY()), 2, 2)) - 1, """")"),"")</f>
        <v/>
      </c>
      <c r="P373" s="21" t="str">
        <f>IFERROR(__xludf.DUMMYFUNCTION("IFERROR((GOOGLEFINANCE(C373, ""price"") / INDEX(GOOGLEFINANCE(C373, ""price"", EDATE(TODAY(), -12), TODAY()), 2, 2)) - 1, """")"),"")</f>
        <v/>
      </c>
      <c r="Q373" s="6" t="str">
        <f>IFERROR(__xludf.DUMMYFUNCTION("AVERAGE(QUERY(GOOGLEFINANCE(C373, ""price"", TODAY()-80, TODAY()), ""SELECT Col2 WHERE Col2 IS NOT NULL ORDER BY Col1 DESC LIMIT 50"", 0))"),"#N/A")</f>
        <v>#N/A</v>
      </c>
      <c r="R373" s="24" t="str">
        <f>IFERROR(__xludf.DUMMYFUNCTION("IFERROR(
  LET(
    data, QUERY(GOOGLEFINANCE(C373,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GOOGLEFINANCE(C373, ""price"")) * 100,
    IF(calc=0, G373, calc)
  ), 
G373)"),"#N/A")</f>
        <v>#N/A</v>
      </c>
      <c r="S373" s="8" t="s">
        <v>15</v>
      </c>
      <c r="T373" s="26" t="str">
        <f>IFERROR(__xludf.DUMMYFUNCTION("IFERROR(TRANSPOSE(QUERY(IFERROR(SORT(GOOGLEFINANCE(C373, ""price"", WORKDAY(TODAY(), -40), TODAY()), 1, FALSE)), ""select Col2 where Col2 is not null limit 22 label Col2 ''"", 0)), """")"),"")</f>
        <v/>
      </c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8"/>
      <c r="AO373" s="28"/>
      <c r="AP373" s="29"/>
      <c r="AQ373" s="29" t="str">
        <f t="shared" ref="AQ373:BL373" si="376">T373/T$2</f>
        <v>#N/A</v>
      </c>
      <c r="AR373" s="29" t="str">
        <f t="shared" si="376"/>
        <v>#DIV/0!</v>
      </c>
      <c r="AS373" s="29" t="str">
        <f t="shared" si="376"/>
        <v>#DIV/0!</v>
      </c>
      <c r="AT373" s="29" t="str">
        <f t="shared" si="376"/>
        <v>#DIV/0!</v>
      </c>
      <c r="AU373" s="29" t="str">
        <f t="shared" si="376"/>
        <v>#DIV/0!</v>
      </c>
      <c r="AV373" s="29" t="str">
        <f t="shared" si="376"/>
        <v>#DIV/0!</v>
      </c>
      <c r="AW373" s="29" t="str">
        <f t="shared" si="376"/>
        <v>#DIV/0!</v>
      </c>
      <c r="AX373" s="29" t="str">
        <f t="shared" si="376"/>
        <v>#DIV/0!</v>
      </c>
      <c r="AY373" s="29" t="str">
        <f t="shared" si="376"/>
        <v>#DIV/0!</v>
      </c>
      <c r="AZ373" s="29" t="str">
        <f t="shared" si="376"/>
        <v>#DIV/0!</v>
      </c>
      <c r="BA373" s="29" t="str">
        <f t="shared" si="376"/>
        <v>#DIV/0!</v>
      </c>
      <c r="BB373" s="29" t="str">
        <f t="shared" si="376"/>
        <v>#DIV/0!</v>
      </c>
      <c r="BC373" s="29" t="str">
        <f t="shared" si="376"/>
        <v>#DIV/0!</v>
      </c>
      <c r="BD373" s="29" t="str">
        <f t="shared" si="376"/>
        <v>#DIV/0!</v>
      </c>
      <c r="BE373" s="29" t="str">
        <f t="shared" si="376"/>
        <v>#DIV/0!</v>
      </c>
      <c r="BF373" s="29" t="str">
        <f t="shared" si="376"/>
        <v>#DIV/0!</v>
      </c>
      <c r="BG373" s="29" t="str">
        <f t="shared" si="376"/>
        <v>#DIV/0!</v>
      </c>
      <c r="BH373" s="29" t="str">
        <f t="shared" si="376"/>
        <v>#DIV/0!</v>
      </c>
      <c r="BI373" s="29" t="str">
        <f t="shared" si="376"/>
        <v>#DIV/0!</v>
      </c>
      <c r="BJ373" s="29" t="str">
        <f t="shared" si="376"/>
        <v>#DIV/0!</v>
      </c>
      <c r="BK373" s="29" t="str">
        <f t="shared" si="376"/>
        <v>#DIV/0!</v>
      </c>
      <c r="BL373" s="29" t="str">
        <f t="shared" si="376"/>
        <v>#DIV/0!</v>
      </c>
      <c r="BM373" s="29" t="str">
        <f t="shared" si="3"/>
        <v>#DIV/0!</v>
      </c>
    </row>
    <row r="374">
      <c r="A374" s="16" t="str">
        <f>IFERROR(__xludf.DUMMYFUNCTION("IFERROR(SPARKLINE(SORT(MAP(TRANSPOSE(AQ374:BL374), LAMBDA(val, IF(ISNUMBER(val), PERCENTRANK(AQ374:BL374, val)+0.01, 0))), SEQUENCE(COLUMNS(AQ374:BL374)), FALSE), {""charttype"",""column""; ""color"",""chartreuse""; ""ymin"", 0; ""ymax"", 1.01; ""highcolo"&amp;"r"", ""darkgreen""; ""lowcolor"", ""red""}), """")"),"")</f>
        <v/>
      </c>
      <c r="B374" s="17" t="str">
        <f t="shared" si="4"/>
        <v/>
      </c>
      <c r="C374" s="1" t="s">
        <v>1597</v>
      </c>
      <c r="D374" s="30" t="str">
        <f>IFERROR(__xludf.DUMMYFUNCTION("IFERROR(GOOGLEFINANCE(C374, ""NAME""))"),"Astera Labs Inc")</f>
        <v>Astera Labs Inc</v>
      </c>
      <c r="E374" s="30" t="s">
        <v>871</v>
      </c>
      <c r="F374" s="33" t="str">
        <f>IFERROR(__xludf.DUMMYFUNCTION("( (GOOGLEFINANCE(C374, ""price"") - Q374) / Q374 ) / (R374 / 100)"),"Loading...")</f>
        <v>Loading...</v>
      </c>
      <c r="G374" s="20" t="str">
        <f>IFERROR(__xludf.DUMMYFUNCTION("AVERAGE(ARRAYFORMULA(100 * (QUERY(GOOGLEFINANCE(C374, ""high"", TODAY()-40, TODAY()), ""SELECT Col2 WHERE Col2 IS NOT NULL ORDER BY Col1 DESC LIMIT 20"", 0) / QUERY(GOOGLEFINANCE(C374, ""low"", TODAY()-40, TODAY()), ""SELECT Col2 WHERE Col2 IS NOT NULL OR"&amp;"DER BY Col1 DESC LIMIT 20"", 0) - 1)))"),"#N/A")</f>
        <v>#N/A</v>
      </c>
      <c r="H374" s="35" t="str">
        <f t="shared" si="6"/>
        <v/>
      </c>
      <c r="I374" s="36" t="str">
        <f t="shared" si="7"/>
        <v/>
      </c>
      <c r="J374" s="37" t="str">
        <f>IFERROR(__xludf.DUMMYFUNCTION("IFERROR(
  IF(C374="""",, 
    IFERROR(
      GOOGLEFINANCE(C374, ""price"") * GOOGLEFINANCE(C374, ""volumeavg""), 
      GOOGLEFINANCE(C374, ""price"") * AVERAGE(QUERY(GOOGLEFINANCE(C374, ""volume"", TODAY()-40, TODAY()), ""SELECT Col2 WHERE Col2 IS NOT "&amp;"NULL ORDER BY Col1 DESC LIMIT 20"", 0))
    )
  ), 
"""")"),"")</f>
        <v/>
      </c>
      <c r="K374" s="21" t="str">
        <f>IFERROR(__xludf.DUMMYFUNCTION("IFERROR(GOOGLEFINANCE(C374, ""changepct"") / 100, """")"),"")</f>
        <v/>
      </c>
      <c r="L374" s="21" t="str">
        <f>IFERROR(__xludf.DUMMYFUNCTION("IFERROR((GOOGLEFINANCE(C374, ""price"") / INDEX(GOOGLEFINANCE(C374, ""price"", TODAY()-7, TODAY()), 2, 2)) - 1, """")"),"")</f>
        <v/>
      </c>
      <c r="M374" s="21" t="str">
        <f>IFERROR(__xludf.DUMMYFUNCTION("IFERROR((GOOGLEFINANCE(C374, ""price"") / INDEX(GOOGLEFINANCE(C374, ""price"", EDATE(TODAY(), -1), TODAY()), 2, 2)) - 1, """")"),"")</f>
        <v/>
      </c>
      <c r="N374" s="21" t="str">
        <f>IFERROR(__xludf.DUMMYFUNCTION("IFERROR((GOOGLEFINANCE(C374, ""price"") / INDEX(GOOGLEFINANCE(C374, ""price"", EDATE(TODAY(), -3), TODAY()), 2, 2)) - 1, """")"),"")</f>
        <v/>
      </c>
      <c r="O374" s="21" t="str">
        <f>IFERROR(__xludf.DUMMYFUNCTION("IFERROR((GOOGLEFINANCE(C374, ""price"") / INDEX(GOOGLEFINANCE(C374, ""price"", EDATE(TODAY(), -6), TODAY()), 2, 2)) - 1, """")"),"")</f>
        <v/>
      </c>
      <c r="P374" s="21" t="str">
        <f>IFERROR(__xludf.DUMMYFUNCTION("IFERROR((GOOGLEFINANCE(C374, ""price"") / INDEX(GOOGLEFINANCE(C374, ""price"", EDATE(TODAY(), -12), TODAY()), 2, 2)) - 1, """")"),"")</f>
        <v/>
      </c>
      <c r="Q374" s="6" t="str">
        <f>IFERROR(__xludf.DUMMYFUNCTION("AVERAGE(QUERY(GOOGLEFINANCE(C374, ""price"", TODAY()-80, TODAY()), ""SELECT Col2 WHERE Col2 IS NOT NULL ORDER BY Col1 DESC LIMIT 50"", 0))"),"#N/A")</f>
        <v>#N/A</v>
      </c>
      <c r="R374" s="24" t="str">
        <f>IFERROR(__xludf.DUMMYFUNCTION("IFERROR(
  LET(
    data, QUERY(GOOGLEFINANCE(C374,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GOOGLEFINANCE(C374, ""price"")) * 100,
    IF(calc=0, G374, calc)
  ), 
G374)"),"#N/A")</f>
        <v>#N/A</v>
      </c>
      <c r="S374" s="8" t="s">
        <v>15</v>
      </c>
      <c r="T374" s="26" t="str">
        <f>IFERROR(__xludf.DUMMYFUNCTION("IFERROR(TRANSPOSE(QUERY(IFERROR(SORT(GOOGLEFINANCE(C374, ""price"", WORKDAY(TODAY(), -40), TODAY()), 1, FALSE)), ""select Col2 where Col2 is not null limit 22 label Col2 ''"", 0)), """")"),"")</f>
        <v/>
      </c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8"/>
      <c r="AO374" s="28"/>
      <c r="AP374" s="29"/>
      <c r="AQ374" s="29" t="str">
        <f t="shared" ref="AQ374:BL374" si="377">T374/T$2</f>
        <v>#N/A</v>
      </c>
      <c r="AR374" s="29" t="str">
        <f t="shared" si="377"/>
        <v>#DIV/0!</v>
      </c>
      <c r="AS374" s="29" t="str">
        <f t="shared" si="377"/>
        <v>#DIV/0!</v>
      </c>
      <c r="AT374" s="29" t="str">
        <f t="shared" si="377"/>
        <v>#DIV/0!</v>
      </c>
      <c r="AU374" s="29" t="str">
        <f t="shared" si="377"/>
        <v>#DIV/0!</v>
      </c>
      <c r="AV374" s="29" t="str">
        <f t="shared" si="377"/>
        <v>#DIV/0!</v>
      </c>
      <c r="AW374" s="29" t="str">
        <f t="shared" si="377"/>
        <v>#DIV/0!</v>
      </c>
      <c r="AX374" s="29" t="str">
        <f t="shared" si="377"/>
        <v>#DIV/0!</v>
      </c>
      <c r="AY374" s="29" t="str">
        <f t="shared" si="377"/>
        <v>#DIV/0!</v>
      </c>
      <c r="AZ374" s="29" t="str">
        <f t="shared" si="377"/>
        <v>#DIV/0!</v>
      </c>
      <c r="BA374" s="29" t="str">
        <f t="shared" si="377"/>
        <v>#DIV/0!</v>
      </c>
      <c r="BB374" s="29" t="str">
        <f t="shared" si="377"/>
        <v>#DIV/0!</v>
      </c>
      <c r="BC374" s="29" t="str">
        <f t="shared" si="377"/>
        <v>#DIV/0!</v>
      </c>
      <c r="BD374" s="29" t="str">
        <f t="shared" si="377"/>
        <v>#DIV/0!</v>
      </c>
      <c r="BE374" s="29" t="str">
        <f t="shared" si="377"/>
        <v>#DIV/0!</v>
      </c>
      <c r="BF374" s="29" t="str">
        <f t="shared" si="377"/>
        <v>#DIV/0!</v>
      </c>
      <c r="BG374" s="29" t="str">
        <f t="shared" si="377"/>
        <v>#DIV/0!</v>
      </c>
      <c r="BH374" s="29" t="str">
        <f t="shared" si="377"/>
        <v>#DIV/0!</v>
      </c>
      <c r="BI374" s="29" t="str">
        <f t="shared" si="377"/>
        <v>#DIV/0!</v>
      </c>
      <c r="BJ374" s="29" t="str">
        <f t="shared" si="377"/>
        <v>#DIV/0!</v>
      </c>
      <c r="BK374" s="29" t="str">
        <f t="shared" si="377"/>
        <v>#DIV/0!</v>
      </c>
      <c r="BL374" s="29" t="str">
        <f t="shared" si="377"/>
        <v>#DIV/0!</v>
      </c>
      <c r="BM374" s="29" t="str">
        <f t="shared" si="3"/>
        <v>#DIV/0!</v>
      </c>
    </row>
    <row r="375">
      <c r="A375" s="16" t="str">
        <f>IFERROR(__xludf.DUMMYFUNCTION("IFERROR(SPARKLINE(SORT(MAP(TRANSPOSE(AQ375:BL375), LAMBDA(val, IF(ISNUMBER(val), PERCENTRANK(AQ375:BL375, val)+0.01, 0))), SEQUENCE(COLUMNS(AQ375:BL375)), FALSE), {""charttype"",""column""; ""color"",""chartreuse""; ""ymin"", 0; ""ymax"", 1.01; ""highcolo"&amp;"r"", ""darkgreen""; ""lowcolor"", ""red""}), """")"),"")</f>
        <v/>
      </c>
      <c r="B375" s="17" t="str">
        <f t="shared" si="4"/>
        <v/>
      </c>
      <c r="C375" s="1" t="s">
        <v>1601</v>
      </c>
      <c r="D375" s="30" t="str">
        <f>IFERROR(__xludf.DUMMYFUNCTION("IFERROR(GOOGLEFINANCE(C375, ""NAME""))"),"Camtek Ltd")</f>
        <v>Camtek Ltd</v>
      </c>
      <c r="E375" s="30" t="s">
        <v>1195</v>
      </c>
      <c r="F375" s="33" t="str">
        <f>IFERROR(__xludf.DUMMYFUNCTION("( (GOOGLEFINANCE(C375, ""price"") - Q375) / Q375 ) / (R375 / 100)"),"Loading...")</f>
        <v>Loading...</v>
      </c>
      <c r="G375" s="20" t="str">
        <f>IFERROR(__xludf.DUMMYFUNCTION("AVERAGE(ARRAYFORMULA(100 * (QUERY(GOOGLEFINANCE(C375, ""high"", TODAY()-40, TODAY()), ""SELECT Col2 WHERE Col2 IS NOT NULL ORDER BY Col1 DESC LIMIT 20"", 0) / QUERY(GOOGLEFINANCE(C375, ""low"", TODAY()-40, TODAY()), ""SELECT Col2 WHERE Col2 IS NOT NULL OR"&amp;"DER BY Col1 DESC LIMIT 20"", 0) - 1)))"),"#N/A")</f>
        <v>#N/A</v>
      </c>
      <c r="H375" s="35" t="str">
        <f t="shared" si="6"/>
        <v/>
      </c>
      <c r="I375" s="36" t="str">
        <f t="shared" si="7"/>
        <v/>
      </c>
      <c r="J375" s="37" t="str">
        <f>IFERROR(__xludf.DUMMYFUNCTION("IFERROR(
  IF(C375="""",, 
    IFERROR(
      GOOGLEFINANCE(C375, ""price"") * GOOGLEFINANCE(C375, ""volumeavg""), 
      GOOGLEFINANCE(C375, ""price"") * AVERAGE(QUERY(GOOGLEFINANCE(C375, ""volume"", TODAY()-40, TODAY()), ""SELECT Col2 WHERE Col2 IS NOT "&amp;"NULL ORDER BY Col1 DESC LIMIT 20"", 0))
    )
  ), 
"""")"),"")</f>
        <v/>
      </c>
      <c r="K375" s="21" t="str">
        <f>IFERROR(__xludf.DUMMYFUNCTION("IFERROR(GOOGLEFINANCE(C375, ""changepct"") / 100, """")"),"")</f>
        <v/>
      </c>
      <c r="L375" s="21" t="str">
        <f>IFERROR(__xludf.DUMMYFUNCTION("IFERROR((GOOGLEFINANCE(C375, ""price"") / INDEX(GOOGLEFINANCE(C375, ""price"", TODAY()-7, TODAY()), 2, 2)) - 1, """")"),"")</f>
        <v/>
      </c>
      <c r="M375" s="21" t="str">
        <f>IFERROR(__xludf.DUMMYFUNCTION("IFERROR((GOOGLEFINANCE(C375, ""price"") / INDEX(GOOGLEFINANCE(C375, ""price"", EDATE(TODAY(), -1), TODAY()), 2, 2)) - 1, """")"),"")</f>
        <v/>
      </c>
      <c r="N375" s="21" t="str">
        <f>IFERROR(__xludf.DUMMYFUNCTION("IFERROR((GOOGLEFINANCE(C375, ""price"") / INDEX(GOOGLEFINANCE(C375, ""price"", EDATE(TODAY(), -3), TODAY()), 2, 2)) - 1, """")"),"")</f>
        <v/>
      </c>
      <c r="O375" s="21" t="str">
        <f>IFERROR(__xludf.DUMMYFUNCTION("IFERROR((GOOGLEFINANCE(C375, ""price"") / INDEX(GOOGLEFINANCE(C375, ""price"", EDATE(TODAY(), -6), TODAY()), 2, 2)) - 1, """")"),"")</f>
        <v/>
      </c>
      <c r="P375" s="21" t="str">
        <f>IFERROR(__xludf.DUMMYFUNCTION("IFERROR((GOOGLEFINANCE(C375, ""price"") / INDEX(GOOGLEFINANCE(C375, ""price"", EDATE(TODAY(), -12), TODAY()), 2, 2)) - 1, """")"),"")</f>
        <v/>
      </c>
      <c r="Q375" s="6" t="str">
        <f>IFERROR(__xludf.DUMMYFUNCTION("AVERAGE(QUERY(GOOGLEFINANCE(C375, ""price"", TODAY()-80, TODAY()), ""SELECT Col2 WHERE Col2 IS NOT NULL ORDER BY Col1 DESC LIMIT 50"", 0))"),"#N/A")</f>
        <v>#N/A</v>
      </c>
      <c r="R375" s="24" t="str">
        <f>IFERROR(__xludf.DUMMYFUNCTION("IFERROR(
  LET(
    data, QUERY(GOOGLEFINANCE(C375,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GOOGLEFINANCE(C375, ""price"")) * 100,
    IF(calc=0, G375, calc)
  ), 
G375)"),"#N/A")</f>
        <v>#N/A</v>
      </c>
      <c r="S375" s="8" t="s">
        <v>15</v>
      </c>
      <c r="T375" s="26" t="str">
        <f>IFERROR(__xludf.DUMMYFUNCTION("IFERROR(TRANSPOSE(QUERY(IFERROR(SORT(GOOGLEFINANCE(C375, ""price"", WORKDAY(TODAY(), -40), TODAY()), 1, FALSE)), ""select Col2 where Col2 is not null limit 22 label Col2 ''"", 0)), """")"),"")</f>
        <v/>
      </c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8"/>
      <c r="AO375" s="28"/>
      <c r="AP375" s="29"/>
      <c r="AQ375" s="29" t="str">
        <f t="shared" ref="AQ375:BL375" si="378">T375/T$2</f>
        <v>#N/A</v>
      </c>
      <c r="AR375" s="29" t="str">
        <f t="shared" si="378"/>
        <v>#DIV/0!</v>
      </c>
      <c r="AS375" s="29" t="str">
        <f t="shared" si="378"/>
        <v>#DIV/0!</v>
      </c>
      <c r="AT375" s="29" t="str">
        <f t="shared" si="378"/>
        <v>#DIV/0!</v>
      </c>
      <c r="AU375" s="29" t="str">
        <f t="shared" si="378"/>
        <v>#DIV/0!</v>
      </c>
      <c r="AV375" s="29" t="str">
        <f t="shared" si="378"/>
        <v>#DIV/0!</v>
      </c>
      <c r="AW375" s="29" t="str">
        <f t="shared" si="378"/>
        <v>#DIV/0!</v>
      </c>
      <c r="AX375" s="29" t="str">
        <f t="shared" si="378"/>
        <v>#DIV/0!</v>
      </c>
      <c r="AY375" s="29" t="str">
        <f t="shared" si="378"/>
        <v>#DIV/0!</v>
      </c>
      <c r="AZ375" s="29" t="str">
        <f t="shared" si="378"/>
        <v>#DIV/0!</v>
      </c>
      <c r="BA375" s="29" t="str">
        <f t="shared" si="378"/>
        <v>#DIV/0!</v>
      </c>
      <c r="BB375" s="29" t="str">
        <f t="shared" si="378"/>
        <v>#DIV/0!</v>
      </c>
      <c r="BC375" s="29" t="str">
        <f t="shared" si="378"/>
        <v>#DIV/0!</v>
      </c>
      <c r="BD375" s="29" t="str">
        <f t="shared" si="378"/>
        <v>#DIV/0!</v>
      </c>
      <c r="BE375" s="29" t="str">
        <f t="shared" si="378"/>
        <v>#DIV/0!</v>
      </c>
      <c r="BF375" s="29" t="str">
        <f t="shared" si="378"/>
        <v>#DIV/0!</v>
      </c>
      <c r="BG375" s="29" t="str">
        <f t="shared" si="378"/>
        <v>#DIV/0!</v>
      </c>
      <c r="BH375" s="29" t="str">
        <f t="shared" si="378"/>
        <v>#DIV/0!</v>
      </c>
      <c r="BI375" s="29" t="str">
        <f t="shared" si="378"/>
        <v>#DIV/0!</v>
      </c>
      <c r="BJ375" s="29" t="str">
        <f t="shared" si="378"/>
        <v>#DIV/0!</v>
      </c>
      <c r="BK375" s="29" t="str">
        <f t="shared" si="378"/>
        <v>#DIV/0!</v>
      </c>
      <c r="BL375" s="29" t="str">
        <f t="shared" si="378"/>
        <v>#DIV/0!</v>
      </c>
      <c r="BM375" s="29" t="str">
        <f t="shared" si="3"/>
        <v>#DIV/0!</v>
      </c>
    </row>
    <row r="376">
      <c r="A376" s="16" t="str">
        <f>IFERROR(__xludf.DUMMYFUNCTION("IFERROR(SPARKLINE(SORT(MAP(TRANSPOSE(AQ376:BL376), LAMBDA(val, IF(ISNUMBER(val), PERCENTRANK(AQ376:BL376, val)+0.01, 0))), SEQUENCE(COLUMNS(AQ376:BL376)), FALSE), {""charttype"",""column""; ""color"",""chartreuse""; ""ymin"", 0; ""ymax"", 1.01; ""highcolo"&amp;"r"", ""darkgreen""; ""lowcolor"", ""red""}), """")"),"")</f>
        <v/>
      </c>
      <c r="B376" s="17" t="str">
        <f t="shared" si="4"/>
        <v/>
      </c>
      <c r="C376" s="1" t="s">
        <v>1606</v>
      </c>
      <c r="D376" s="30" t="str">
        <f>IFERROR(__xludf.DUMMYFUNCTION("IFERROR(GOOGLEFINANCE(C376, ""NAME""))"),"Applied Materials Inc")</f>
        <v>Applied Materials Inc</v>
      </c>
      <c r="E376" s="30" t="s">
        <v>1195</v>
      </c>
      <c r="F376" s="33" t="str">
        <f>IFERROR(__xludf.DUMMYFUNCTION("( (GOOGLEFINANCE(C376, ""price"") - Q376) / Q376 ) / (R376 / 100)"),"Loading...")</f>
        <v>Loading...</v>
      </c>
      <c r="G376" s="20" t="str">
        <f>IFERROR(__xludf.DUMMYFUNCTION("AVERAGE(ARRAYFORMULA(100 * (QUERY(GOOGLEFINANCE(C376, ""high"", TODAY()-40, TODAY()), ""SELECT Col2 WHERE Col2 IS NOT NULL ORDER BY Col1 DESC LIMIT 20"", 0) / QUERY(GOOGLEFINANCE(C376, ""low"", TODAY()-40, TODAY()), ""SELECT Col2 WHERE Col2 IS NOT NULL OR"&amp;"DER BY Col1 DESC LIMIT 20"", 0) - 1)))"),"#N/A")</f>
        <v>#N/A</v>
      </c>
      <c r="H376" s="35" t="str">
        <f t="shared" si="6"/>
        <v/>
      </c>
      <c r="I376" s="36" t="str">
        <f t="shared" si="7"/>
        <v/>
      </c>
      <c r="J376" s="37" t="str">
        <f>IFERROR(__xludf.DUMMYFUNCTION("IFERROR(
  IF(C376="""",, 
    IFERROR(
      GOOGLEFINANCE(C376, ""price"") * GOOGLEFINANCE(C376, ""volumeavg""), 
      GOOGLEFINANCE(C376, ""price"") * AVERAGE(QUERY(GOOGLEFINANCE(C376, ""volume"", TODAY()-40, TODAY()), ""SELECT Col2 WHERE Col2 IS NOT "&amp;"NULL ORDER BY Col1 DESC LIMIT 20"", 0))
    )
  ), 
"""")"),"")</f>
        <v/>
      </c>
      <c r="K376" s="21" t="str">
        <f>IFERROR(__xludf.DUMMYFUNCTION("IFERROR(GOOGLEFINANCE(C376, ""changepct"") / 100, """")"),"")</f>
        <v/>
      </c>
      <c r="L376" s="21" t="str">
        <f>IFERROR(__xludf.DUMMYFUNCTION("IFERROR((GOOGLEFINANCE(C376, ""price"") / INDEX(GOOGLEFINANCE(C376, ""price"", TODAY()-7, TODAY()), 2, 2)) - 1, """")"),"")</f>
        <v/>
      </c>
      <c r="M376" s="21" t="str">
        <f>IFERROR(__xludf.DUMMYFUNCTION("IFERROR((GOOGLEFINANCE(C376, ""price"") / INDEX(GOOGLEFINANCE(C376, ""price"", EDATE(TODAY(), -1), TODAY()), 2, 2)) - 1, """")"),"")</f>
        <v/>
      </c>
      <c r="N376" s="21" t="str">
        <f>IFERROR(__xludf.DUMMYFUNCTION("IFERROR((GOOGLEFINANCE(C376, ""price"") / INDEX(GOOGLEFINANCE(C376, ""price"", EDATE(TODAY(), -3), TODAY()), 2, 2)) - 1, """")"),"")</f>
        <v/>
      </c>
      <c r="O376" s="21" t="str">
        <f>IFERROR(__xludf.DUMMYFUNCTION("IFERROR((GOOGLEFINANCE(C376, ""price"") / INDEX(GOOGLEFINANCE(C376, ""price"", EDATE(TODAY(), -6), TODAY()), 2, 2)) - 1, """")"),"")</f>
        <v/>
      </c>
      <c r="P376" s="21" t="str">
        <f>IFERROR(__xludf.DUMMYFUNCTION("IFERROR((GOOGLEFINANCE(C376, ""price"") / INDEX(GOOGLEFINANCE(C376, ""price"", EDATE(TODAY(), -12), TODAY()), 2, 2)) - 1, """")"),"")</f>
        <v/>
      </c>
      <c r="Q376" s="6" t="str">
        <f>IFERROR(__xludf.DUMMYFUNCTION("AVERAGE(QUERY(GOOGLEFINANCE(C376, ""price"", TODAY()-80, TODAY()), ""SELECT Col2 WHERE Col2 IS NOT NULL ORDER BY Col1 DESC LIMIT 50"", 0))"),"#N/A")</f>
        <v>#N/A</v>
      </c>
      <c r="R376" s="24" t="str">
        <f>IFERROR(__xludf.DUMMYFUNCTION("IFERROR(
  LET(
    data, QUERY(GOOGLEFINANCE(C376,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GOOGLEFINANCE(C376, ""price"")) * 100,
    IF(calc=0, G376, calc)
  ), 
G376)"),"#N/A")</f>
        <v>#N/A</v>
      </c>
      <c r="S376" s="8" t="s">
        <v>15</v>
      </c>
      <c r="T376" s="26" t="str">
        <f>IFERROR(__xludf.DUMMYFUNCTION("IFERROR(TRANSPOSE(QUERY(IFERROR(SORT(GOOGLEFINANCE(C376, ""price"", WORKDAY(TODAY(), -40), TODAY()), 1, FALSE)), ""select Col2 where Col2 is not null limit 22 label Col2 ''"", 0)), """")"),"")</f>
        <v/>
      </c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8"/>
      <c r="AO376" s="28"/>
      <c r="AP376" s="29"/>
      <c r="AQ376" s="29" t="str">
        <f t="shared" ref="AQ376:BL376" si="379">T376/T$2</f>
        <v>#N/A</v>
      </c>
      <c r="AR376" s="29" t="str">
        <f t="shared" si="379"/>
        <v>#DIV/0!</v>
      </c>
      <c r="AS376" s="29" t="str">
        <f t="shared" si="379"/>
        <v>#DIV/0!</v>
      </c>
      <c r="AT376" s="29" t="str">
        <f t="shared" si="379"/>
        <v>#DIV/0!</v>
      </c>
      <c r="AU376" s="29" t="str">
        <f t="shared" si="379"/>
        <v>#DIV/0!</v>
      </c>
      <c r="AV376" s="29" t="str">
        <f t="shared" si="379"/>
        <v>#DIV/0!</v>
      </c>
      <c r="AW376" s="29" t="str">
        <f t="shared" si="379"/>
        <v>#DIV/0!</v>
      </c>
      <c r="AX376" s="29" t="str">
        <f t="shared" si="379"/>
        <v>#DIV/0!</v>
      </c>
      <c r="AY376" s="29" t="str">
        <f t="shared" si="379"/>
        <v>#DIV/0!</v>
      </c>
      <c r="AZ376" s="29" t="str">
        <f t="shared" si="379"/>
        <v>#DIV/0!</v>
      </c>
      <c r="BA376" s="29" t="str">
        <f t="shared" si="379"/>
        <v>#DIV/0!</v>
      </c>
      <c r="BB376" s="29" t="str">
        <f t="shared" si="379"/>
        <v>#DIV/0!</v>
      </c>
      <c r="BC376" s="29" t="str">
        <f t="shared" si="379"/>
        <v>#DIV/0!</v>
      </c>
      <c r="BD376" s="29" t="str">
        <f t="shared" si="379"/>
        <v>#DIV/0!</v>
      </c>
      <c r="BE376" s="29" t="str">
        <f t="shared" si="379"/>
        <v>#DIV/0!</v>
      </c>
      <c r="BF376" s="29" t="str">
        <f t="shared" si="379"/>
        <v>#DIV/0!</v>
      </c>
      <c r="BG376" s="29" t="str">
        <f t="shared" si="379"/>
        <v>#DIV/0!</v>
      </c>
      <c r="BH376" s="29" t="str">
        <f t="shared" si="379"/>
        <v>#DIV/0!</v>
      </c>
      <c r="BI376" s="29" t="str">
        <f t="shared" si="379"/>
        <v>#DIV/0!</v>
      </c>
      <c r="BJ376" s="29" t="str">
        <f t="shared" si="379"/>
        <v>#DIV/0!</v>
      </c>
      <c r="BK376" s="29" t="str">
        <f t="shared" si="379"/>
        <v>#DIV/0!</v>
      </c>
      <c r="BL376" s="29" t="str">
        <f t="shared" si="379"/>
        <v>#DIV/0!</v>
      </c>
      <c r="BM376" s="29" t="str">
        <f t="shared" si="3"/>
        <v>#DIV/0!</v>
      </c>
    </row>
    <row r="377">
      <c r="A377" s="16" t="str">
        <f>IFERROR(__xludf.DUMMYFUNCTION("IFERROR(SPARKLINE(SORT(MAP(TRANSPOSE(AQ377:BL377), LAMBDA(val, IF(ISNUMBER(val), PERCENTRANK(AQ377:BL377, val)+0.01, 0))), SEQUENCE(COLUMNS(AQ377:BL377)), FALSE), {""charttype"",""column""; ""color"",""chartreuse""; ""ymin"", 0; ""ymax"", 1.01; ""highcolo"&amp;"r"", ""darkgreen""; ""lowcolor"", ""red""}), """")"),"")</f>
        <v/>
      </c>
      <c r="B377" s="17" t="str">
        <f t="shared" si="4"/>
        <v/>
      </c>
      <c r="C377" s="1" t="s">
        <v>1610</v>
      </c>
      <c r="D377" s="30" t="str">
        <f>IFERROR(__xludf.DUMMYFUNCTION("IFERROR(GOOGLEFINANCE(C377, ""NAME""))"),"Cohu Inc")</f>
        <v>Cohu Inc</v>
      </c>
      <c r="E377" s="30" t="s">
        <v>1195</v>
      </c>
      <c r="F377" s="33" t="str">
        <f>IFERROR(__xludf.DUMMYFUNCTION("( (GOOGLEFINANCE(C377, ""price"") - Q377) / Q377 ) / (R377 / 100)"),"Loading...")</f>
        <v>Loading...</v>
      </c>
      <c r="G377" s="20" t="str">
        <f>IFERROR(__xludf.DUMMYFUNCTION("AVERAGE(ARRAYFORMULA(100 * (QUERY(GOOGLEFINANCE(C377, ""high"", TODAY()-40, TODAY()), ""SELECT Col2 WHERE Col2 IS NOT NULL ORDER BY Col1 DESC LIMIT 20"", 0) / QUERY(GOOGLEFINANCE(C377, ""low"", TODAY()-40, TODAY()), ""SELECT Col2 WHERE Col2 IS NOT NULL OR"&amp;"DER BY Col1 DESC LIMIT 20"", 0) - 1)))"),"#N/A")</f>
        <v>#N/A</v>
      </c>
      <c r="H377" s="35" t="str">
        <f t="shared" si="6"/>
        <v/>
      </c>
      <c r="I377" s="36" t="str">
        <f t="shared" si="7"/>
        <v/>
      </c>
      <c r="J377" s="37" t="str">
        <f>IFERROR(__xludf.DUMMYFUNCTION("IFERROR(
  IF(C377="""",, 
    IFERROR(
      GOOGLEFINANCE(C377, ""price"") * GOOGLEFINANCE(C377, ""volumeavg""), 
      GOOGLEFINANCE(C377, ""price"") * AVERAGE(QUERY(GOOGLEFINANCE(C377, ""volume"", TODAY()-40, TODAY()), ""SELECT Col2 WHERE Col2 IS NOT "&amp;"NULL ORDER BY Col1 DESC LIMIT 20"", 0))
    )
  ), 
"""")"),"")</f>
        <v/>
      </c>
      <c r="K377" s="21" t="str">
        <f>IFERROR(__xludf.DUMMYFUNCTION("IFERROR(GOOGLEFINANCE(C377, ""changepct"") / 100, """")"),"")</f>
        <v/>
      </c>
      <c r="L377" s="21" t="str">
        <f>IFERROR(__xludf.DUMMYFUNCTION("IFERROR((GOOGLEFINANCE(C377, ""price"") / INDEX(GOOGLEFINANCE(C377, ""price"", TODAY()-7, TODAY()), 2, 2)) - 1, """")"),"")</f>
        <v/>
      </c>
      <c r="M377" s="21" t="str">
        <f>IFERROR(__xludf.DUMMYFUNCTION("IFERROR((GOOGLEFINANCE(C377, ""price"") / INDEX(GOOGLEFINANCE(C377, ""price"", EDATE(TODAY(), -1), TODAY()), 2, 2)) - 1, """")"),"")</f>
        <v/>
      </c>
      <c r="N377" s="21" t="str">
        <f>IFERROR(__xludf.DUMMYFUNCTION("IFERROR((GOOGLEFINANCE(C377, ""price"") / INDEX(GOOGLEFINANCE(C377, ""price"", EDATE(TODAY(), -3), TODAY()), 2, 2)) - 1, """")"),"")</f>
        <v/>
      </c>
      <c r="O377" s="21" t="str">
        <f>IFERROR(__xludf.DUMMYFUNCTION("IFERROR((GOOGLEFINANCE(C377, ""price"") / INDEX(GOOGLEFINANCE(C377, ""price"", EDATE(TODAY(), -6), TODAY()), 2, 2)) - 1, """")"),"")</f>
        <v/>
      </c>
      <c r="P377" s="21" t="str">
        <f>IFERROR(__xludf.DUMMYFUNCTION("IFERROR((GOOGLEFINANCE(C377, ""price"") / INDEX(GOOGLEFINANCE(C377, ""price"", EDATE(TODAY(), -12), TODAY()), 2, 2)) - 1, """")"),"")</f>
        <v/>
      </c>
      <c r="Q377" s="6" t="str">
        <f>IFERROR(__xludf.DUMMYFUNCTION("AVERAGE(QUERY(GOOGLEFINANCE(C377, ""price"", TODAY()-80, TODAY()), ""SELECT Col2 WHERE Col2 IS NOT NULL ORDER BY Col1 DESC LIMIT 50"", 0))"),"#N/A")</f>
        <v>#N/A</v>
      </c>
      <c r="R377" s="24" t="str">
        <f>IFERROR(__xludf.DUMMYFUNCTION("IFERROR(
  LET(
    data, QUERY(GOOGLEFINANCE(C377,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GOOGLEFINANCE(C377, ""price"")) * 100,
    IF(calc=0, G377, calc)
  ), 
G377)"),"#N/A")</f>
        <v>#N/A</v>
      </c>
      <c r="S377" s="8" t="s">
        <v>15</v>
      </c>
      <c r="T377" s="26" t="str">
        <f>IFERROR(__xludf.DUMMYFUNCTION("IFERROR(TRANSPOSE(QUERY(IFERROR(SORT(GOOGLEFINANCE(C377, ""price"", WORKDAY(TODAY(), -40), TODAY()), 1, FALSE)), ""select Col2 where Col2 is not null limit 22 label Col2 ''"", 0)), """")"),"")</f>
        <v/>
      </c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8"/>
      <c r="AO377" s="28"/>
      <c r="AP377" s="29"/>
      <c r="AQ377" s="29" t="str">
        <f t="shared" ref="AQ377:BL377" si="380">T377/T$2</f>
        <v>#N/A</v>
      </c>
      <c r="AR377" s="29" t="str">
        <f t="shared" si="380"/>
        <v>#DIV/0!</v>
      </c>
      <c r="AS377" s="29" t="str">
        <f t="shared" si="380"/>
        <v>#DIV/0!</v>
      </c>
      <c r="AT377" s="29" t="str">
        <f t="shared" si="380"/>
        <v>#DIV/0!</v>
      </c>
      <c r="AU377" s="29" t="str">
        <f t="shared" si="380"/>
        <v>#DIV/0!</v>
      </c>
      <c r="AV377" s="29" t="str">
        <f t="shared" si="380"/>
        <v>#DIV/0!</v>
      </c>
      <c r="AW377" s="29" t="str">
        <f t="shared" si="380"/>
        <v>#DIV/0!</v>
      </c>
      <c r="AX377" s="29" t="str">
        <f t="shared" si="380"/>
        <v>#DIV/0!</v>
      </c>
      <c r="AY377" s="29" t="str">
        <f t="shared" si="380"/>
        <v>#DIV/0!</v>
      </c>
      <c r="AZ377" s="29" t="str">
        <f t="shared" si="380"/>
        <v>#DIV/0!</v>
      </c>
      <c r="BA377" s="29" t="str">
        <f t="shared" si="380"/>
        <v>#DIV/0!</v>
      </c>
      <c r="BB377" s="29" t="str">
        <f t="shared" si="380"/>
        <v>#DIV/0!</v>
      </c>
      <c r="BC377" s="29" t="str">
        <f t="shared" si="380"/>
        <v>#DIV/0!</v>
      </c>
      <c r="BD377" s="29" t="str">
        <f t="shared" si="380"/>
        <v>#DIV/0!</v>
      </c>
      <c r="BE377" s="29" t="str">
        <f t="shared" si="380"/>
        <v>#DIV/0!</v>
      </c>
      <c r="BF377" s="29" t="str">
        <f t="shared" si="380"/>
        <v>#DIV/0!</v>
      </c>
      <c r="BG377" s="29" t="str">
        <f t="shared" si="380"/>
        <v>#DIV/0!</v>
      </c>
      <c r="BH377" s="29" t="str">
        <f t="shared" si="380"/>
        <v>#DIV/0!</v>
      </c>
      <c r="BI377" s="29" t="str">
        <f t="shared" si="380"/>
        <v>#DIV/0!</v>
      </c>
      <c r="BJ377" s="29" t="str">
        <f t="shared" si="380"/>
        <v>#DIV/0!</v>
      </c>
      <c r="BK377" s="29" t="str">
        <f t="shared" si="380"/>
        <v>#DIV/0!</v>
      </c>
      <c r="BL377" s="29" t="str">
        <f t="shared" si="380"/>
        <v>#DIV/0!</v>
      </c>
      <c r="BM377" s="29" t="str">
        <f t="shared" si="3"/>
        <v>#DIV/0!</v>
      </c>
    </row>
    <row r="378">
      <c r="A378" s="16" t="str">
        <f>IFERROR(__xludf.DUMMYFUNCTION("IFERROR(SPARKLINE(SORT(MAP(TRANSPOSE(AQ378:BL378), LAMBDA(val, IF(ISNUMBER(val), PERCENTRANK(AQ378:BL378, val)+0.01, 0))), SEQUENCE(COLUMNS(AQ378:BL378)), FALSE), {""charttype"",""column""; ""color"",""chartreuse""; ""ymin"", 0; ""ymax"", 1.01; ""highcolo"&amp;"r"", ""darkgreen""; ""lowcolor"", ""red""}), """")"),"")</f>
        <v/>
      </c>
      <c r="B378" s="17" t="str">
        <f t="shared" si="4"/>
        <v/>
      </c>
      <c r="C378" s="1" t="s">
        <v>1613</v>
      </c>
      <c r="D378" s="30" t="str">
        <f>IFERROR(__xludf.DUMMYFUNCTION("IFERROR(GOOGLEFINANCE(C378, ""NAME""))"),"Nokia Oyj")</f>
        <v>Nokia Oyj</v>
      </c>
      <c r="E378" s="30" t="s">
        <v>716</v>
      </c>
      <c r="F378" s="33" t="str">
        <f>IFERROR(__xludf.DUMMYFUNCTION("( (GOOGLEFINANCE(C378, ""price"") - Q378) / Q378 ) / (R378 / 100)"),"Loading...")</f>
        <v>Loading...</v>
      </c>
      <c r="G378" s="20" t="str">
        <f>IFERROR(__xludf.DUMMYFUNCTION("AVERAGE(ARRAYFORMULA(100 * (QUERY(GOOGLEFINANCE(C378, ""high"", TODAY()-40, TODAY()), ""SELECT Col2 WHERE Col2 IS NOT NULL ORDER BY Col1 DESC LIMIT 20"", 0) / QUERY(GOOGLEFINANCE(C378, ""low"", TODAY()-40, TODAY()), ""SELECT Col2 WHERE Col2 IS NOT NULL OR"&amp;"DER BY Col1 DESC LIMIT 20"", 0) - 1)))"),"#N/A")</f>
        <v>#N/A</v>
      </c>
      <c r="H378" s="35" t="str">
        <f t="shared" si="6"/>
        <v/>
      </c>
      <c r="I378" s="36" t="str">
        <f t="shared" si="7"/>
        <v/>
      </c>
      <c r="J378" s="37" t="str">
        <f>IFERROR(__xludf.DUMMYFUNCTION("IFERROR(
  IF(C378="""",, 
    IFERROR(
      GOOGLEFINANCE(C378, ""price"") * GOOGLEFINANCE(C378, ""volumeavg""), 
      GOOGLEFINANCE(C378, ""price"") * AVERAGE(QUERY(GOOGLEFINANCE(C378, ""volume"", TODAY()-40, TODAY()), ""SELECT Col2 WHERE Col2 IS NOT "&amp;"NULL ORDER BY Col1 DESC LIMIT 20"", 0))
    )
  ), 
"""")"),"")</f>
        <v/>
      </c>
      <c r="K378" s="21" t="str">
        <f>IFERROR(__xludf.DUMMYFUNCTION("IFERROR(GOOGLEFINANCE(C378, ""changepct"") / 100, """")"),"")</f>
        <v/>
      </c>
      <c r="L378" s="21" t="str">
        <f>IFERROR(__xludf.DUMMYFUNCTION("IFERROR((GOOGLEFINANCE(C378, ""price"") / INDEX(GOOGLEFINANCE(C378, ""price"", TODAY()-7, TODAY()), 2, 2)) - 1, """")"),"")</f>
        <v/>
      </c>
      <c r="M378" s="21" t="str">
        <f>IFERROR(__xludf.DUMMYFUNCTION("IFERROR((GOOGLEFINANCE(C378, ""price"") / INDEX(GOOGLEFINANCE(C378, ""price"", EDATE(TODAY(), -1), TODAY()), 2, 2)) - 1, """")"),"")</f>
        <v/>
      </c>
      <c r="N378" s="21" t="str">
        <f>IFERROR(__xludf.DUMMYFUNCTION("IFERROR((GOOGLEFINANCE(C378, ""price"") / INDEX(GOOGLEFINANCE(C378, ""price"", EDATE(TODAY(), -3), TODAY()), 2, 2)) - 1, """")"),"")</f>
        <v/>
      </c>
      <c r="O378" s="21" t="str">
        <f>IFERROR(__xludf.DUMMYFUNCTION("IFERROR((GOOGLEFINANCE(C378, ""price"") / INDEX(GOOGLEFINANCE(C378, ""price"", EDATE(TODAY(), -6), TODAY()), 2, 2)) - 1, """")"),"")</f>
        <v/>
      </c>
      <c r="P378" s="21" t="str">
        <f>IFERROR(__xludf.DUMMYFUNCTION("IFERROR((GOOGLEFINANCE(C378, ""price"") / INDEX(GOOGLEFINANCE(C378, ""price"", EDATE(TODAY(), -12), TODAY()), 2, 2)) - 1, """")"),"")</f>
        <v/>
      </c>
      <c r="Q378" s="6" t="str">
        <f>IFERROR(__xludf.DUMMYFUNCTION("AVERAGE(QUERY(GOOGLEFINANCE(C378, ""price"", TODAY()-80, TODAY()), ""SELECT Col2 WHERE Col2 IS NOT NULL ORDER BY Col1 DESC LIMIT 50"", 0))"),"#N/A")</f>
        <v>#N/A</v>
      </c>
      <c r="R378" s="24" t="str">
        <f>IFERROR(__xludf.DUMMYFUNCTION("IFERROR(
  LET(
    data, QUERY(GOOGLEFINANCE(C378,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GOOGLEFINANCE(C378, ""price"")) * 100,
    IF(calc=0, G378, calc)
  ), 
G378)"),"#N/A")</f>
        <v>#N/A</v>
      </c>
      <c r="S378" s="8" t="s">
        <v>15</v>
      </c>
      <c r="T378" s="26" t="str">
        <f>IFERROR(__xludf.DUMMYFUNCTION("IFERROR(TRANSPOSE(QUERY(IFERROR(SORT(GOOGLEFINANCE(C378, ""price"", WORKDAY(TODAY(), -40), TODAY()), 1, FALSE)), ""select Col2 where Col2 is not null limit 22 label Col2 ''"", 0)), """")"),"")</f>
        <v/>
      </c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8"/>
      <c r="AO378" s="28"/>
      <c r="AP378" s="29"/>
      <c r="AQ378" s="29" t="str">
        <f t="shared" ref="AQ378:BL378" si="381">T378/T$2</f>
        <v>#N/A</v>
      </c>
      <c r="AR378" s="29" t="str">
        <f t="shared" si="381"/>
        <v>#DIV/0!</v>
      </c>
      <c r="AS378" s="29" t="str">
        <f t="shared" si="381"/>
        <v>#DIV/0!</v>
      </c>
      <c r="AT378" s="29" t="str">
        <f t="shared" si="381"/>
        <v>#DIV/0!</v>
      </c>
      <c r="AU378" s="29" t="str">
        <f t="shared" si="381"/>
        <v>#DIV/0!</v>
      </c>
      <c r="AV378" s="29" t="str">
        <f t="shared" si="381"/>
        <v>#DIV/0!</v>
      </c>
      <c r="AW378" s="29" t="str">
        <f t="shared" si="381"/>
        <v>#DIV/0!</v>
      </c>
      <c r="AX378" s="29" t="str">
        <f t="shared" si="381"/>
        <v>#DIV/0!</v>
      </c>
      <c r="AY378" s="29" t="str">
        <f t="shared" si="381"/>
        <v>#DIV/0!</v>
      </c>
      <c r="AZ378" s="29" t="str">
        <f t="shared" si="381"/>
        <v>#DIV/0!</v>
      </c>
      <c r="BA378" s="29" t="str">
        <f t="shared" si="381"/>
        <v>#DIV/0!</v>
      </c>
      <c r="BB378" s="29" t="str">
        <f t="shared" si="381"/>
        <v>#DIV/0!</v>
      </c>
      <c r="BC378" s="29" t="str">
        <f t="shared" si="381"/>
        <v>#DIV/0!</v>
      </c>
      <c r="BD378" s="29" t="str">
        <f t="shared" si="381"/>
        <v>#DIV/0!</v>
      </c>
      <c r="BE378" s="29" t="str">
        <f t="shared" si="381"/>
        <v>#DIV/0!</v>
      </c>
      <c r="BF378" s="29" t="str">
        <f t="shared" si="381"/>
        <v>#DIV/0!</v>
      </c>
      <c r="BG378" s="29" t="str">
        <f t="shared" si="381"/>
        <v>#DIV/0!</v>
      </c>
      <c r="BH378" s="29" t="str">
        <f t="shared" si="381"/>
        <v>#DIV/0!</v>
      </c>
      <c r="BI378" s="29" t="str">
        <f t="shared" si="381"/>
        <v>#DIV/0!</v>
      </c>
      <c r="BJ378" s="29" t="str">
        <f t="shared" si="381"/>
        <v>#DIV/0!</v>
      </c>
      <c r="BK378" s="29" t="str">
        <f t="shared" si="381"/>
        <v>#DIV/0!</v>
      </c>
      <c r="BL378" s="29" t="str">
        <f t="shared" si="381"/>
        <v>#DIV/0!</v>
      </c>
      <c r="BM378" s="29" t="str">
        <f t="shared" si="3"/>
        <v>#DIV/0!</v>
      </c>
    </row>
    <row r="379">
      <c r="A379" s="16" t="str">
        <f>IFERROR(__xludf.DUMMYFUNCTION("IFERROR(SPARKLINE(SORT(MAP(TRANSPOSE(AQ379:BL379), LAMBDA(val, IF(ISNUMBER(val), PERCENTRANK(AQ379:BL379, val)+0.01, 0))), SEQUENCE(COLUMNS(AQ379:BL379)), FALSE), {""charttype"",""column""; ""color"",""chartreuse""; ""ymin"", 0; ""ymax"", 1.01; ""highcolo"&amp;"r"", ""darkgreen""; ""lowcolor"", ""red""}), """")"),"")</f>
        <v/>
      </c>
      <c r="B379" s="17" t="str">
        <f t="shared" si="4"/>
        <v/>
      </c>
      <c r="C379" s="1" t="s">
        <v>1617</v>
      </c>
      <c r="D379" s="30" t="str">
        <f>IFERROR(__xludf.DUMMYFUNCTION("IFERROR(GOOGLEFINANCE(C379, ""NAME""))"),"Nova Ltd")</f>
        <v>Nova Ltd</v>
      </c>
      <c r="E379" s="30" t="s">
        <v>1195</v>
      </c>
      <c r="F379" s="33" t="str">
        <f>IFERROR(__xludf.DUMMYFUNCTION("( (GOOGLEFINANCE(C379, ""price"") - Q379) / Q379 ) / (R379 / 100)"),"Loading...")</f>
        <v>Loading...</v>
      </c>
      <c r="G379" s="20" t="str">
        <f>IFERROR(__xludf.DUMMYFUNCTION("AVERAGE(ARRAYFORMULA(100 * (QUERY(GOOGLEFINANCE(C379, ""high"", TODAY()-40, TODAY()), ""SELECT Col2 WHERE Col2 IS NOT NULL ORDER BY Col1 DESC LIMIT 20"", 0) / QUERY(GOOGLEFINANCE(C379, ""low"", TODAY()-40, TODAY()), ""SELECT Col2 WHERE Col2 IS NOT NULL OR"&amp;"DER BY Col1 DESC LIMIT 20"", 0) - 1)))"),"#N/A")</f>
        <v>#N/A</v>
      </c>
      <c r="H379" s="35" t="str">
        <f t="shared" si="6"/>
        <v/>
      </c>
      <c r="I379" s="36" t="str">
        <f t="shared" si="7"/>
        <v/>
      </c>
      <c r="J379" s="37" t="str">
        <f>IFERROR(__xludf.DUMMYFUNCTION("IFERROR(
  IF(C379="""",, 
    IFERROR(
      GOOGLEFINANCE(C379, ""price"") * GOOGLEFINANCE(C379, ""volumeavg""), 
      GOOGLEFINANCE(C379, ""price"") * AVERAGE(QUERY(GOOGLEFINANCE(C379, ""volume"", TODAY()-40, TODAY()), ""SELECT Col2 WHERE Col2 IS NOT "&amp;"NULL ORDER BY Col1 DESC LIMIT 20"", 0))
    )
  ), 
"""")"),"")</f>
        <v/>
      </c>
      <c r="K379" s="21" t="str">
        <f>IFERROR(__xludf.DUMMYFUNCTION("IFERROR(GOOGLEFINANCE(C379, ""changepct"") / 100, """")"),"")</f>
        <v/>
      </c>
      <c r="L379" s="21" t="str">
        <f>IFERROR(__xludf.DUMMYFUNCTION("IFERROR((GOOGLEFINANCE(C379, ""price"") / INDEX(GOOGLEFINANCE(C379, ""price"", TODAY()-7, TODAY()), 2, 2)) - 1, """")"),"")</f>
        <v/>
      </c>
      <c r="M379" s="21" t="str">
        <f>IFERROR(__xludf.DUMMYFUNCTION("IFERROR((GOOGLEFINANCE(C379, ""price"") / INDEX(GOOGLEFINANCE(C379, ""price"", EDATE(TODAY(), -1), TODAY()), 2, 2)) - 1, """")"),"")</f>
        <v/>
      </c>
      <c r="N379" s="21" t="str">
        <f>IFERROR(__xludf.DUMMYFUNCTION("IFERROR((GOOGLEFINANCE(C379, ""price"") / INDEX(GOOGLEFINANCE(C379, ""price"", EDATE(TODAY(), -3), TODAY()), 2, 2)) - 1, """")"),"")</f>
        <v/>
      </c>
      <c r="O379" s="21" t="str">
        <f>IFERROR(__xludf.DUMMYFUNCTION("IFERROR((GOOGLEFINANCE(C379, ""price"") / INDEX(GOOGLEFINANCE(C379, ""price"", EDATE(TODAY(), -6), TODAY()), 2, 2)) - 1, """")"),"")</f>
        <v/>
      </c>
      <c r="P379" s="21" t="str">
        <f>IFERROR(__xludf.DUMMYFUNCTION("IFERROR((GOOGLEFINANCE(C379, ""price"") / INDEX(GOOGLEFINANCE(C379, ""price"", EDATE(TODAY(), -12), TODAY()), 2, 2)) - 1, """")"),"")</f>
        <v/>
      </c>
      <c r="Q379" s="6" t="str">
        <f>IFERROR(__xludf.DUMMYFUNCTION("AVERAGE(QUERY(GOOGLEFINANCE(C379, ""price"", TODAY()-80, TODAY()), ""SELECT Col2 WHERE Col2 IS NOT NULL ORDER BY Col1 DESC LIMIT 50"", 0))"),"#N/A")</f>
        <v>#N/A</v>
      </c>
      <c r="R379" s="24" t="str">
        <f>IFERROR(__xludf.DUMMYFUNCTION("IFERROR(
  LET(
    data, QUERY(GOOGLEFINANCE(C379,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GOOGLEFINANCE(C379, ""price"")) * 100,
    IF(calc=0, G379, calc)
  ), 
G379)"),"#N/A")</f>
        <v>#N/A</v>
      </c>
      <c r="S379" s="8" t="s">
        <v>15</v>
      </c>
      <c r="T379" s="26" t="str">
        <f>IFERROR(__xludf.DUMMYFUNCTION("IFERROR(TRANSPOSE(QUERY(IFERROR(SORT(GOOGLEFINANCE(C379, ""price"", WORKDAY(TODAY(), -40), TODAY()), 1, FALSE)), ""select Col2 where Col2 is not null limit 22 label Col2 ''"", 0)), """")"),"")</f>
        <v/>
      </c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8"/>
      <c r="AO379" s="28"/>
      <c r="AP379" s="29"/>
      <c r="AQ379" s="29" t="str">
        <f t="shared" ref="AQ379:BL379" si="382">T379/T$2</f>
        <v>#N/A</v>
      </c>
      <c r="AR379" s="29" t="str">
        <f t="shared" si="382"/>
        <v>#DIV/0!</v>
      </c>
      <c r="AS379" s="29" t="str">
        <f t="shared" si="382"/>
        <v>#DIV/0!</v>
      </c>
      <c r="AT379" s="29" t="str">
        <f t="shared" si="382"/>
        <v>#DIV/0!</v>
      </c>
      <c r="AU379" s="29" t="str">
        <f t="shared" si="382"/>
        <v>#DIV/0!</v>
      </c>
      <c r="AV379" s="29" t="str">
        <f t="shared" si="382"/>
        <v>#DIV/0!</v>
      </c>
      <c r="AW379" s="29" t="str">
        <f t="shared" si="382"/>
        <v>#DIV/0!</v>
      </c>
      <c r="AX379" s="29" t="str">
        <f t="shared" si="382"/>
        <v>#DIV/0!</v>
      </c>
      <c r="AY379" s="29" t="str">
        <f t="shared" si="382"/>
        <v>#DIV/0!</v>
      </c>
      <c r="AZ379" s="29" t="str">
        <f t="shared" si="382"/>
        <v>#DIV/0!</v>
      </c>
      <c r="BA379" s="29" t="str">
        <f t="shared" si="382"/>
        <v>#DIV/0!</v>
      </c>
      <c r="BB379" s="29" t="str">
        <f t="shared" si="382"/>
        <v>#DIV/0!</v>
      </c>
      <c r="BC379" s="29" t="str">
        <f t="shared" si="382"/>
        <v>#DIV/0!</v>
      </c>
      <c r="BD379" s="29" t="str">
        <f t="shared" si="382"/>
        <v>#DIV/0!</v>
      </c>
      <c r="BE379" s="29" t="str">
        <f t="shared" si="382"/>
        <v>#DIV/0!</v>
      </c>
      <c r="BF379" s="29" t="str">
        <f t="shared" si="382"/>
        <v>#DIV/0!</v>
      </c>
      <c r="BG379" s="29" t="str">
        <f t="shared" si="382"/>
        <v>#DIV/0!</v>
      </c>
      <c r="BH379" s="29" t="str">
        <f t="shared" si="382"/>
        <v>#DIV/0!</v>
      </c>
      <c r="BI379" s="29" t="str">
        <f t="shared" si="382"/>
        <v>#DIV/0!</v>
      </c>
      <c r="BJ379" s="29" t="str">
        <f t="shared" si="382"/>
        <v>#DIV/0!</v>
      </c>
      <c r="BK379" s="29" t="str">
        <f t="shared" si="382"/>
        <v>#DIV/0!</v>
      </c>
      <c r="BL379" s="29" t="str">
        <f t="shared" si="382"/>
        <v>#DIV/0!</v>
      </c>
      <c r="BM379" s="29" t="str">
        <f t="shared" si="3"/>
        <v>#DIV/0!</v>
      </c>
    </row>
    <row r="380">
      <c r="A380" s="16" t="str">
        <f>IFERROR(__xludf.DUMMYFUNCTION("IFERROR(SPARKLINE(SORT(MAP(TRANSPOSE(AQ380:BL380), LAMBDA(val, IF(ISNUMBER(val), PERCENTRANK(AQ380:BL380, val)+0.01, 0))), SEQUENCE(COLUMNS(AQ380:BL380)), FALSE), {""charttype"",""column""; ""color"",""chartreuse""; ""ymin"", 0; ""ymax"", 1.01; ""highcolo"&amp;"r"", ""darkgreen""; ""lowcolor"", ""red""}), """")"),"")</f>
        <v/>
      </c>
      <c r="B380" s="17" t="str">
        <f t="shared" si="4"/>
        <v/>
      </c>
      <c r="C380" s="1" t="s">
        <v>1621</v>
      </c>
      <c r="D380" s="30" t="str">
        <f>IFERROR(__xludf.DUMMYFUNCTION("IFERROR(GOOGLEFINANCE(C380, ""NAME""))"),"ChipMOS Technologies Inc - ADR")</f>
        <v>ChipMOS Technologies Inc - ADR</v>
      </c>
      <c r="E380" s="30" t="s">
        <v>871</v>
      </c>
      <c r="F380" s="33" t="str">
        <f>IFERROR(__xludf.DUMMYFUNCTION("( (GOOGLEFINANCE(C380, ""price"") - Q380) / Q380 ) / (R380 / 100)"),"Loading...")</f>
        <v>Loading...</v>
      </c>
      <c r="G380" s="20" t="str">
        <f>IFERROR(__xludf.DUMMYFUNCTION("AVERAGE(ARRAYFORMULA(100 * (QUERY(GOOGLEFINANCE(C380, ""high"", TODAY()-40, TODAY()), ""SELECT Col2 WHERE Col2 IS NOT NULL ORDER BY Col1 DESC LIMIT 20"", 0) / QUERY(GOOGLEFINANCE(C380, ""low"", TODAY()-40, TODAY()), ""SELECT Col2 WHERE Col2 IS NOT NULL OR"&amp;"DER BY Col1 DESC LIMIT 20"", 0) - 1)))"),"#N/A")</f>
        <v>#N/A</v>
      </c>
      <c r="H380" s="35" t="str">
        <f t="shared" si="6"/>
        <v/>
      </c>
      <c r="I380" s="36" t="str">
        <f t="shared" si="7"/>
        <v/>
      </c>
      <c r="J380" s="37" t="str">
        <f>IFERROR(__xludf.DUMMYFUNCTION("IFERROR(
  IF(C380="""",, 
    IFERROR(
      GOOGLEFINANCE(C380, ""price"") * GOOGLEFINANCE(C380, ""volumeavg""), 
      GOOGLEFINANCE(C380, ""price"") * AVERAGE(QUERY(GOOGLEFINANCE(C380, ""volume"", TODAY()-40, TODAY()), ""SELECT Col2 WHERE Col2 IS NOT "&amp;"NULL ORDER BY Col1 DESC LIMIT 20"", 0))
    )
  ), 
"""")"),"")</f>
        <v/>
      </c>
      <c r="K380" s="21" t="str">
        <f>IFERROR(__xludf.DUMMYFUNCTION("IFERROR(GOOGLEFINANCE(C380, ""changepct"") / 100, """")"),"")</f>
        <v/>
      </c>
      <c r="L380" s="21" t="str">
        <f>IFERROR(__xludf.DUMMYFUNCTION("IFERROR((GOOGLEFINANCE(C380, ""price"") / INDEX(GOOGLEFINANCE(C380, ""price"", TODAY()-7, TODAY()), 2, 2)) - 1, """")"),"")</f>
        <v/>
      </c>
      <c r="M380" s="21" t="str">
        <f>IFERROR(__xludf.DUMMYFUNCTION("IFERROR((GOOGLEFINANCE(C380, ""price"") / INDEX(GOOGLEFINANCE(C380, ""price"", EDATE(TODAY(), -1), TODAY()), 2, 2)) - 1, """")"),"")</f>
        <v/>
      </c>
      <c r="N380" s="21" t="str">
        <f>IFERROR(__xludf.DUMMYFUNCTION("IFERROR((GOOGLEFINANCE(C380, ""price"") / INDEX(GOOGLEFINANCE(C380, ""price"", EDATE(TODAY(), -3), TODAY()), 2, 2)) - 1, """")"),"")</f>
        <v/>
      </c>
      <c r="O380" s="21" t="str">
        <f>IFERROR(__xludf.DUMMYFUNCTION("IFERROR((GOOGLEFINANCE(C380, ""price"") / INDEX(GOOGLEFINANCE(C380, ""price"", EDATE(TODAY(), -6), TODAY()), 2, 2)) - 1, """")"),"")</f>
        <v/>
      </c>
      <c r="P380" s="21" t="str">
        <f>IFERROR(__xludf.DUMMYFUNCTION("IFERROR((GOOGLEFINANCE(C380, ""price"") / INDEX(GOOGLEFINANCE(C380, ""price"", EDATE(TODAY(), -12), TODAY()), 2, 2)) - 1, """")"),"")</f>
        <v/>
      </c>
      <c r="Q380" s="6" t="str">
        <f>IFERROR(__xludf.DUMMYFUNCTION("AVERAGE(QUERY(GOOGLEFINANCE(C380, ""price"", TODAY()-80, TODAY()), ""SELECT Col2 WHERE Col2 IS NOT NULL ORDER BY Col1 DESC LIMIT 50"", 0))"),"#N/A")</f>
        <v>#N/A</v>
      </c>
      <c r="R380" s="24" t="str">
        <f>IFERROR(__xludf.DUMMYFUNCTION("IFERROR(
  LET(
    data, QUERY(GOOGLEFINANCE(C380,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GOOGLEFINANCE(C380, ""price"")) * 100,
    IF(calc=0, G380, calc)
  ), 
G380)"),"#N/A")</f>
        <v>#N/A</v>
      </c>
      <c r="S380" s="8" t="s">
        <v>15</v>
      </c>
      <c r="T380" s="26" t="str">
        <f>IFERROR(__xludf.DUMMYFUNCTION("IFERROR(TRANSPOSE(QUERY(IFERROR(SORT(GOOGLEFINANCE(C380, ""price"", WORKDAY(TODAY(), -40), TODAY()), 1, FALSE)), ""select Col2 where Col2 is not null limit 22 label Col2 ''"", 0)), """")"),"")</f>
        <v/>
      </c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8"/>
      <c r="AO380" s="28"/>
      <c r="AP380" s="29"/>
      <c r="AQ380" s="29" t="str">
        <f t="shared" ref="AQ380:BL380" si="383">T380/T$2</f>
        <v>#N/A</v>
      </c>
      <c r="AR380" s="29" t="str">
        <f t="shared" si="383"/>
        <v>#DIV/0!</v>
      </c>
      <c r="AS380" s="29" t="str">
        <f t="shared" si="383"/>
        <v>#DIV/0!</v>
      </c>
      <c r="AT380" s="29" t="str">
        <f t="shared" si="383"/>
        <v>#DIV/0!</v>
      </c>
      <c r="AU380" s="29" t="str">
        <f t="shared" si="383"/>
        <v>#DIV/0!</v>
      </c>
      <c r="AV380" s="29" t="str">
        <f t="shared" si="383"/>
        <v>#DIV/0!</v>
      </c>
      <c r="AW380" s="29" t="str">
        <f t="shared" si="383"/>
        <v>#DIV/0!</v>
      </c>
      <c r="AX380" s="29" t="str">
        <f t="shared" si="383"/>
        <v>#DIV/0!</v>
      </c>
      <c r="AY380" s="29" t="str">
        <f t="shared" si="383"/>
        <v>#DIV/0!</v>
      </c>
      <c r="AZ380" s="29" t="str">
        <f t="shared" si="383"/>
        <v>#DIV/0!</v>
      </c>
      <c r="BA380" s="29" t="str">
        <f t="shared" si="383"/>
        <v>#DIV/0!</v>
      </c>
      <c r="BB380" s="29" t="str">
        <f t="shared" si="383"/>
        <v>#DIV/0!</v>
      </c>
      <c r="BC380" s="29" t="str">
        <f t="shared" si="383"/>
        <v>#DIV/0!</v>
      </c>
      <c r="BD380" s="29" t="str">
        <f t="shared" si="383"/>
        <v>#DIV/0!</v>
      </c>
      <c r="BE380" s="29" t="str">
        <f t="shared" si="383"/>
        <v>#DIV/0!</v>
      </c>
      <c r="BF380" s="29" t="str">
        <f t="shared" si="383"/>
        <v>#DIV/0!</v>
      </c>
      <c r="BG380" s="29" t="str">
        <f t="shared" si="383"/>
        <v>#DIV/0!</v>
      </c>
      <c r="BH380" s="29" t="str">
        <f t="shared" si="383"/>
        <v>#DIV/0!</v>
      </c>
      <c r="BI380" s="29" t="str">
        <f t="shared" si="383"/>
        <v>#DIV/0!</v>
      </c>
      <c r="BJ380" s="29" t="str">
        <f t="shared" si="383"/>
        <v>#DIV/0!</v>
      </c>
      <c r="BK380" s="29" t="str">
        <f t="shared" si="383"/>
        <v>#DIV/0!</v>
      </c>
      <c r="BL380" s="29" t="str">
        <f t="shared" si="383"/>
        <v>#DIV/0!</v>
      </c>
      <c r="BM380" s="29" t="str">
        <f t="shared" si="3"/>
        <v>#DIV/0!</v>
      </c>
    </row>
    <row r="381">
      <c r="A381" s="16" t="str">
        <f>IFERROR(__xludf.DUMMYFUNCTION("IFERROR(SPARKLINE(SORT(MAP(TRANSPOSE(AQ381:BL381), LAMBDA(val, IF(ISNUMBER(val), PERCENTRANK(AQ381:BL381, val)+0.01, 0))), SEQUENCE(COLUMNS(AQ381:BL381)), FALSE), {""charttype"",""column""; ""color"",""chartreuse""; ""ymin"", 0; ""ymax"", 1.01; ""highcolo"&amp;"r"", ""darkgreen""; ""lowcolor"", ""red""}), """")"),"")</f>
        <v/>
      </c>
      <c r="B381" s="17" t="str">
        <f t="shared" si="4"/>
        <v/>
      </c>
      <c r="C381" s="1" t="s">
        <v>1625</v>
      </c>
      <c r="D381" s="30" t="str">
        <f>IFERROR(__xludf.DUMMYFUNCTION("IFERROR(GOOGLEFINANCE(C381, ""NAME""))"),"Onto Innovation Inc")</f>
        <v>Onto Innovation Inc</v>
      </c>
      <c r="E381" s="30" t="s">
        <v>1195</v>
      </c>
      <c r="F381" s="33" t="str">
        <f>IFERROR(__xludf.DUMMYFUNCTION("( (GOOGLEFINANCE(C381, ""price"") - Q381) / Q381 ) / (R381 / 100)"),"Loading...")</f>
        <v>Loading...</v>
      </c>
      <c r="G381" s="20" t="str">
        <f>IFERROR(__xludf.DUMMYFUNCTION("AVERAGE(ARRAYFORMULA(100 * (QUERY(GOOGLEFINANCE(C381, ""high"", TODAY()-40, TODAY()), ""SELECT Col2 WHERE Col2 IS NOT NULL ORDER BY Col1 DESC LIMIT 20"", 0) / QUERY(GOOGLEFINANCE(C381, ""low"", TODAY()-40, TODAY()), ""SELECT Col2 WHERE Col2 IS NOT NULL OR"&amp;"DER BY Col1 DESC LIMIT 20"", 0) - 1)))"),"#N/A")</f>
        <v>#N/A</v>
      </c>
      <c r="H381" s="35" t="str">
        <f t="shared" si="6"/>
        <v/>
      </c>
      <c r="I381" s="36" t="str">
        <f t="shared" si="7"/>
        <v/>
      </c>
      <c r="J381" s="37" t="str">
        <f>IFERROR(__xludf.DUMMYFUNCTION("IFERROR(
  IF(C381="""",, 
    IFERROR(
      GOOGLEFINANCE(C381, ""price"") * GOOGLEFINANCE(C381, ""volumeavg""), 
      GOOGLEFINANCE(C381, ""price"") * AVERAGE(QUERY(GOOGLEFINANCE(C381, ""volume"", TODAY()-40, TODAY()), ""SELECT Col2 WHERE Col2 IS NOT "&amp;"NULL ORDER BY Col1 DESC LIMIT 20"", 0))
    )
  ), 
"""")"),"")</f>
        <v/>
      </c>
      <c r="K381" s="21" t="str">
        <f>IFERROR(__xludf.DUMMYFUNCTION("IFERROR(GOOGLEFINANCE(C381, ""changepct"") / 100, """")"),"")</f>
        <v/>
      </c>
      <c r="L381" s="21" t="str">
        <f>IFERROR(__xludf.DUMMYFUNCTION("IFERROR((GOOGLEFINANCE(C381, ""price"") / INDEX(GOOGLEFINANCE(C381, ""price"", TODAY()-7, TODAY()), 2, 2)) - 1, """")"),"")</f>
        <v/>
      </c>
      <c r="M381" s="21" t="str">
        <f>IFERROR(__xludf.DUMMYFUNCTION("IFERROR((GOOGLEFINANCE(C381, ""price"") / INDEX(GOOGLEFINANCE(C381, ""price"", EDATE(TODAY(), -1), TODAY()), 2, 2)) - 1, """")"),"")</f>
        <v/>
      </c>
      <c r="N381" s="21" t="str">
        <f>IFERROR(__xludf.DUMMYFUNCTION("IFERROR((GOOGLEFINANCE(C381, ""price"") / INDEX(GOOGLEFINANCE(C381, ""price"", EDATE(TODAY(), -3), TODAY()), 2, 2)) - 1, """")"),"")</f>
        <v/>
      </c>
      <c r="O381" s="21" t="str">
        <f>IFERROR(__xludf.DUMMYFUNCTION("IFERROR((GOOGLEFINANCE(C381, ""price"") / INDEX(GOOGLEFINANCE(C381, ""price"", EDATE(TODAY(), -6), TODAY()), 2, 2)) - 1, """")"),"")</f>
        <v/>
      </c>
      <c r="P381" s="21" t="str">
        <f>IFERROR(__xludf.DUMMYFUNCTION("IFERROR((GOOGLEFINANCE(C381, ""price"") / INDEX(GOOGLEFINANCE(C381, ""price"", EDATE(TODAY(), -12), TODAY()), 2, 2)) - 1, """")"),"")</f>
        <v/>
      </c>
      <c r="Q381" s="6" t="str">
        <f>IFERROR(__xludf.DUMMYFUNCTION("AVERAGE(QUERY(GOOGLEFINANCE(C381, ""price"", TODAY()-80, TODAY()), ""SELECT Col2 WHERE Col2 IS NOT NULL ORDER BY Col1 DESC LIMIT 50"", 0))"),"#N/A")</f>
        <v>#N/A</v>
      </c>
      <c r="R381" s="24" t="str">
        <f>IFERROR(__xludf.DUMMYFUNCTION("IFERROR(
  LET(
    data, QUERY(GOOGLEFINANCE(C381,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GOOGLEFINANCE(C381, ""price"")) * 100,
    IF(calc=0, G381, calc)
  ), 
G381)"),"#N/A")</f>
        <v>#N/A</v>
      </c>
      <c r="S381" s="8" t="s">
        <v>15</v>
      </c>
      <c r="T381" s="26" t="str">
        <f>IFERROR(__xludf.DUMMYFUNCTION("IFERROR(TRANSPOSE(QUERY(IFERROR(SORT(GOOGLEFINANCE(C381, ""price"", WORKDAY(TODAY(), -40), TODAY()), 1, FALSE)), ""select Col2 where Col2 is not null limit 22 label Col2 ''"", 0)), """")"),"")</f>
        <v/>
      </c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8"/>
      <c r="AO381" s="28"/>
      <c r="AP381" s="29"/>
      <c r="AQ381" s="29" t="str">
        <f t="shared" ref="AQ381:BL381" si="384">T381/T$2</f>
        <v>#N/A</v>
      </c>
      <c r="AR381" s="29" t="str">
        <f t="shared" si="384"/>
        <v>#DIV/0!</v>
      </c>
      <c r="AS381" s="29" t="str">
        <f t="shared" si="384"/>
        <v>#DIV/0!</v>
      </c>
      <c r="AT381" s="29" t="str">
        <f t="shared" si="384"/>
        <v>#DIV/0!</v>
      </c>
      <c r="AU381" s="29" t="str">
        <f t="shared" si="384"/>
        <v>#DIV/0!</v>
      </c>
      <c r="AV381" s="29" t="str">
        <f t="shared" si="384"/>
        <v>#DIV/0!</v>
      </c>
      <c r="AW381" s="29" t="str">
        <f t="shared" si="384"/>
        <v>#DIV/0!</v>
      </c>
      <c r="AX381" s="29" t="str">
        <f t="shared" si="384"/>
        <v>#DIV/0!</v>
      </c>
      <c r="AY381" s="29" t="str">
        <f t="shared" si="384"/>
        <v>#DIV/0!</v>
      </c>
      <c r="AZ381" s="29" t="str">
        <f t="shared" si="384"/>
        <v>#DIV/0!</v>
      </c>
      <c r="BA381" s="29" t="str">
        <f t="shared" si="384"/>
        <v>#DIV/0!</v>
      </c>
      <c r="BB381" s="29" t="str">
        <f t="shared" si="384"/>
        <v>#DIV/0!</v>
      </c>
      <c r="BC381" s="29" t="str">
        <f t="shared" si="384"/>
        <v>#DIV/0!</v>
      </c>
      <c r="BD381" s="29" t="str">
        <f t="shared" si="384"/>
        <v>#DIV/0!</v>
      </c>
      <c r="BE381" s="29" t="str">
        <f t="shared" si="384"/>
        <v>#DIV/0!</v>
      </c>
      <c r="BF381" s="29" t="str">
        <f t="shared" si="384"/>
        <v>#DIV/0!</v>
      </c>
      <c r="BG381" s="29" t="str">
        <f t="shared" si="384"/>
        <v>#DIV/0!</v>
      </c>
      <c r="BH381" s="29" t="str">
        <f t="shared" si="384"/>
        <v>#DIV/0!</v>
      </c>
      <c r="BI381" s="29" t="str">
        <f t="shared" si="384"/>
        <v>#DIV/0!</v>
      </c>
      <c r="BJ381" s="29" t="str">
        <f t="shared" si="384"/>
        <v>#DIV/0!</v>
      </c>
      <c r="BK381" s="29" t="str">
        <f t="shared" si="384"/>
        <v>#DIV/0!</v>
      </c>
      <c r="BL381" s="29" t="str">
        <f t="shared" si="384"/>
        <v>#DIV/0!</v>
      </c>
      <c r="BM381" s="29" t="str">
        <f t="shared" si="3"/>
        <v>#DIV/0!</v>
      </c>
    </row>
    <row r="382">
      <c r="A382" s="16" t="str">
        <f>IFERROR(__xludf.DUMMYFUNCTION("IFERROR(SPARKLINE(SORT(MAP(TRANSPOSE(AQ382:BL382), LAMBDA(val, IF(ISNUMBER(val), PERCENTRANK(AQ382:BL382, val)+0.01, 0))), SEQUENCE(COLUMNS(AQ382:BL382)), FALSE), {""charttype"",""column""; ""color"",""chartreuse""; ""ymin"", 0; ""ymax"", 1.01; ""highcolo"&amp;"r"", ""darkgreen""; ""lowcolor"", ""red""}), """")"),"")</f>
        <v/>
      </c>
      <c r="B382" s="17" t="str">
        <f t="shared" si="4"/>
        <v/>
      </c>
      <c r="C382" s="1" t="s">
        <v>1629</v>
      </c>
      <c r="D382" s="30" t="str">
        <f>IFERROR(__xludf.DUMMYFUNCTION("IFERROR(GOOGLEFINANCE(C382, ""NAME""))"),"ACM Research Inc")</f>
        <v>ACM Research Inc</v>
      </c>
      <c r="E382" s="30" t="s">
        <v>1195</v>
      </c>
      <c r="F382" s="33" t="str">
        <f>IFERROR(__xludf.DUMMYFUNCTION("( (GOOGLEFINANCE(C382, ""price"") - Q382) / Q382 ) / (R382 / 100)"),"Loading...")</f>
        <v>Loading...</v>
      </c>
      <c r="G382" s="20" t="str">
        <f>IFERROR(__xludf.DUMMYFUNCTION("AVERAGE(ARRAYFORMULA(100 * (QUERY(GOOGLEFINANCE(C382, ""high"", TODAY()-40, TODAY()), ""SELECT Col2 WHERE Col2 IS NOT NULL ORDER BY Col1 DESC LIMIT 20"", 0) / QUERY(GOOGLEFINANCE(C382, ""low"", TODAY()-40, TODAY()), ""SELECT Col2 WHERE Col2 IS NOT NULL OR"&amp;"DER BY Col1 DESC LIMIT 20"", 0) - 1)))"),"#N/A")</f>
        <v>#N/A</v>
      </c>
      <c r="H382" s="35" t="str">
        <f t="shared" si="6"/>
        <v/>
      </c>
      <c r="I382" s="36" t="str">
        <f t="shared" si="7"/>
        <v/>
      </c>
      <c r="J382" s="37" t="str">
        <f>IFERROR(__xludf.DUMMYFUNCTION("IFERROR(
  IF(C382="""",, 
    IFERROR(
      GOOGLEFINANCE(C382, ""price"") * GOOGLEFINANCE(C382, ""volumeavg""), 
      GOOGLEFINANCE(C382, ""price"") * AVERAGE(QUERY(GOOGLEFINANCE(C382, ""volume"", TODAY()-40, TODAY()), ""SELECT Col2 WHERE Col2 IS NOT "&amp;"NULL ORDER BY Col1 DESC LIMIT 20"", 0))
    )
  ), 
"""")"),"")</f>
        <v/>
      </c>
      <c r="K382" s="21" t="str">
        <f>IFERROR(__xludf.DUMMYFUNCTION("IFERROR(GOOGLEFINANCE(C382, ""changepct"") / 100, """")"),"")</f>
        <v/>
      </c>
      <c r="L382" s="21" t="str">
        <f>IFERROR(__xludf.DUMMYFUNCTION("IFERROR((GOOGLEFINANCE(C382, ""price"") / INDEX(GOOGLEFINANCE(C382, ""price"", TODAY()-7, TODAY()), 2, 2)) - 1, """")"),"")</f>
        <v/>
      </c>
      <c r="M382" s="21" t="str">
        <f>IFERROR(__xludf.DUMMYFUNCTION("IFERROR((GOOGLEFINANCE(C382, ""price"") / INDEX(GOOGLEFINANCE(C382, ""price"", EDATE(TODAY(), -1), TODAY()), 2, 2)) - 1, """")"),"")</f>
        <v/>
      </c>
      <c r="N382" s="21" t="str">
        <f>IFERROR(__xludf.DUMMYFUNCTION("IFERROR((GOOGLEFINANCE(C382, ""price"") / INDEX(GOOGLEFINANCE(C382, ""price"", EDATE(TODAY(), -3), TODAY()), 2, 2)) - 1, """")"),"")</f>
        <v/>
      </c>
      <c r="O382" s="21" t="str">
        <f>IFERROR(__xludf.DUMMYFUNCTION("IFERROR((GOOGLEFINANCE(C382, ""price"") / INDEX(GOOGLEFINANCE(C382, ""price"", EDATE(TODAY(), -6), TODAY()), 2, 2)) - 1, """")"),"")</f>
        <v/>
      </c>
      <c r="P382" s="21" t="str">
        <f>IFERROR(__xludf.DUMMYFUNCTION("IFERROR((GOOGLEFINANCE(C382, ""price"") / INDEX(GOOGLEFINANCE(C382, ""price"", EDATE(TODAY(), -12), TODAY()), 2, 2)) - 1, """")"),"")</f>
        <v/>
      </c>
      <c r="Q382" s="6" t="str">
        <f>IFERROR(__xludf.DUMMYFUNCTION("AVERAGE(QUERY(GOOGLEFINANCE(C382, ""price"", TODAY()-80, TODAY()), ""SELECT Col2 WHERE Col2 IS NOT NULL ORDER BY Col1 DESC LIMIT 50"", 0))"),"#N/A")</f>
        <v>#N/A</v>
      </c>
      <c r="R382" s="24" t="str">
        <f>IFERROR(__xludf.DUMMYFUNCTION("IFERROR(
  LET(
    data, QUERY(GOOGLEFINANCE(C382,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GOOGLEFINANCE(C382, ""price"")) * 100,
    IF(calc=0, G382, calc)
  ), 
G382)"),"#N/A")</f>
        <v>#N/A</v>
      </c>
      <c r="S382" s="8" t="s">
        <v>15</v>
      </c>
      <c r="T382" s="26" t="str">
        <f>IFERROR(__xludf.DUMMYFUNCTION("IFERROR(TRANSPOSE(QUERY(IFERROR(SORT(GOOGLEFINANCE(C382, ""price"", WORKDAY(TODAY(), -40), TODAY()), 1, FALSE)), ""select Col2 where Col2 is not null limit 22 label Col2 ''"", 0)), """")"),"")</f>
        <v/>
      </c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8"/>
      <c r="AO382" s="28"/>
      <c r="AP382" s="29"/>
      <c r="AQ382" s="29" t="str">
        <f t="shared" ref="AQ382:BL382" si="385">T382/T$2</f>
        <v>#N/A</v>
      </c>
      <c r="AR382" s="29" t="str">
        <f t="shared" si="385"/>
        <v>#DIV/0!</v>
      </c>
      <c r="AS382" s="29" t="str">
        <f t="shared" si="385"/>
        <v>#DIV/0!</v>
      </c>
      <c r="AT382" s="29" t="str">
        <f t="shared" si="385"/>
        <v>#DIV/0!</v>
      </c>
      <c r="AU382" s="29" t="str">
        <f t="shared" si="385"/>
        <v>#DIV/0!</v>
      </c>
      <c r="AV382" s="29" t="str">
        <f t="shared" si="385"/>
        <v>#DIV/0!</v>
      </c>
      <c r="AW382" s="29" t="str">
        <f t="shared" si="385"/>
        <v>#DIV/0!</v>
      </c>
      <c r="AX382" s="29" t="str">
        <f t="shared" si="385"/>
        <v>#DIV/0!</v>
      </c>
      <c r="AY382" s="29" t="str">
        <f t="shared" si="385"/>
        <v>#DIV/0!</v>
      </c>
      <c r="AZ382" s="29" t="str">
        <f t="shared" si="385"/>
        <v>#DIV/0!</v>
      </c>
      <c r="BA382" s="29" t="str">
        <f t="shared" si="385"/>
        <v>#DIV/0!</v>
      </c>
      <c r="BB382" s="29" t="str">
        <f t="shared" si="385"/>
        <v>#DIV/0!</v>
      </c>
      <c r="BC382" s="29" t="str">
        <f t="shared" si="385"/>
        <v>#DIV/0!</v>
      </c>
      <c r="BD382" s="29" t="str">
        <f t="shared" si="385"/>
        <v>#DIV/0!</v>
      </c>
      <c r="BE382" s="29" t="str">
        <f t="shared" si="385"/>
        <v>#DIV/0!</v>
      </c>
      <c r="BF382" s="29" t="str">
        <f t="shared" si="385"/>
        <v>#DIV/0!</v>
      </c>
      <c r="BG382" s="29" t="str">
        <f t="shared" si="385"/>
        <v>#DIV/0!</v>
      </c>
      <c r="BH382" s="29" t="str">
        <f t="shared" si="385"/>
        <v>#DIV/0!</v>
      </c>
      <c r="BI382" s="29" t="str">
        <f t="shared" si="385"/>
        <v>#DIV/0!</v>
      </c>
      <c r="BJ382" s="29" t="str">
        <f t="shared" si="385"/>
        <v>#DIV/0!</v>
      </c>
      <c r="BK382" s="29" t="str">
        <f t="shared" si="385"/>
        <v>#DIV/0!</v>
      </c>
      <c r="BL382" s="29" t="str">
        <f t="shared" si="385"/>
        <v>#DIV/0!</v>
      </c>
      <c r="BM382" s="29" t="str">
        <f t="shared" si="3"/>
        <v>#DIV/0!</v>
      </c>
    </row>
    <row r="383">
      <c r="A383" s="16" t="str">
        <f>IFERROR(__xludf.DUMMYFUNCTION("IFERROR(SPARKLINE(SORT(MAP(TRANSPOSE(AQ383:BL383), LAMBDA(val, IF(ISNUMBER(val), PERCENTRANK(AQ383:BL383, val)+0.01, 0))), SEQUENCE(COLUMNS(AQ383:BL383)), FALSE), {""charttype"",""column""; ""color"",""chartreuse""; ""ymin"", 0; ""ymax"", 1.01; ""highcolo"&amp;"r"", ""darkgreen""; ""lowcolor"", ""red""}), """")"),"")</f>
        <v/>
      </c>
      <c r="B383" s="17" t="str">
        <f t="shared" si="4"/>
        <v/>
      </c>
      <c r="C383" s="1" t="s">
        <v>1634</v>
      </c>
      <c r="D383" s="30" t="str">
        <f>IFERROR(__xludf.DUMMYFUNCTION("IFERROR(GOOGLEFINANCE(C383, ""NAME""))"),"Credo Technology Group Holding Ltd")</f>
        <v>Credo Technology Group Holding Ltd</v>
      </c>
      <c r="E383" s="30" t="s">
        <v>871</v>
      </c>
      <c r="F383" s="33" t="str">
        <f>IFERROR(__xludf.DUMMYFUNCTION("( (GOOGLEFINANCE(C383, ""price"") - Q383) / Q383 ) / (R383 / 100)"),"Loading...")</f>
        <v>Loading...</v>
      </c>
      <c r="G383" s="20" t="str">
        <f>IFERROR(__xludf.DUMMYFUNCTION("AVERAGE(ARRAYFORMULA(100 * (QUERY(GOOGLEFINANCE(C383, ""high"", TODAY()-40, TODAY()), ""SELECT Col2 WHERE Col2 IS NOT NULL ORDER BY Col1 DESC LIMIT 20"", 0) / QUERY(GOOGLEFINANCE(C383, ""low"", TODAY()-40, TODAY()), ""SELECT Col2 WHERE Col2 IS NOT NULL OR"&amp;"DER BY Col1 DESC LIMIT 20"", 0) - 1)))"),"#N/A")</f>
        <v>#N/A</v>
      </c>
      <c r="H383" s="35" t="str">
        <f t="shared" si="6"/>
        <v/>
      </c>
      <c r="I383" s="36" t="str">
        <f t="shared" si="7"/>
        <v/>
      </c>
      <c r="J383" s="37" t="str">
        <f>IFERROR(__xludf.DUMMYFUNCTION("IFERROR(
  IF(C383="""",, 
    IFERROR(
      GOOGLEFINANCE(C383, ""price"") * GOOGLEFINANCE(C383, ""volumeavg""), 
      GOOGLEFINANCE(C383, ""price"") * AVERAGE(QUERY(GOOGLEFINANCE(C383, ""volume"", TODAY()-40, TODAY()), ""SELECT Col2 WHERE Col2 IS NOT "&amp;"NULL ORDER BY Col1 DESC LIMIT 20"", 0))
    )
  ), 
"""")"),"")</f>
        <v/>
      </c>
      <c r="K383" s="21" t="str">
        <f>IFERROR(__xludf.DUMMYFUNCTION("IFERROR(GOOGLEFINANCE(C383, ""changepct"") / 100, """")"),"")</f>
        <v/>
      </c>
      <c r="L383" s="21" t="str">
        <f>IFERROR(__xludf.DUMMYFUNCTION("IFERROR((GOOGLEFINANCE(C383, ""price"") / INDEX(GOOGLEFINANCE(C383, ""price"", TODAY()-7, TODAY()), 2, 2)) - 1, """")"),"")</f>
        <v/>
      </c>
      <c r="M383" s="21" t="str">
        <f>IFERROR(__xludf.DUMMYFUNCTION("IFERROR((GOOGLEFINANCE(C383, ""price"") / INDEX(GOOGLEFINANCE(C383, ""price"", EDATE(TODAY(), -1), TODAY()), 2, 2)) - 1, """")"),"")</f>
        <v/>
      </c>
      <c r="N383" s="21" t="str">
        <f>IFERROR(__xludf.DUMMYFUNCTION("IFERROR((GOOGLEFINANCE(C383, ""price"") / INDEX(GOOGLEFINANCE(C383, ""price"", EDATE(TODAY(), -3), TODAY()), 2, 2)) - 1, """")"),"")</f>
        <v/>
      </c>
      <c r="O383" s="21" t="str">
        <f>IFERROR(__xludf.DUMMYFUNCTION("IFERROR((GOOGLEFINANCE(C383, ""price"") / INDEX(GOOGLEFINANCE(C383, ""price"", EDATE(TODAY(), -6), TODAY()), 2, 2)) - 1, """")"),"")</f>
        <v/>
      </c>
      <c r="P383" s="21" t="str">
        <f>IFERROR(__xludf.DUMMYFUNCTION("IFERROR((GOOGLEFINANCE(C383, ""price"") / INDEX(GOOGLEFINANCE(C383, ""price"", EDATE(TODAY(), -12), TODAY()), 2, 2)) - 1, """")"),"")</f>
        <v/>
      </c>
      <c r="Q383" s="6" t="str">
        <f>IFERROR(__xludf.DUMMYFUNCTION("AVERAGE(QUERY(GOOGLEFINANCE(C383, ""price"", TODAY()-80, TODAY()), ""SELECT Col2 WHERE Col2 IS NOT NULL ORDER BY Col1 DESC LIMIT 50"", 0))"),"#N/A")</f>
        <v>#N/A</v>
      </c>
      <c r="R383" s="24" t="str">
        <f>IFERROR(__xludf.DUMMYFUNCTION("IFERROR(
  LET(
    data, QUERY(GOOGLEFINANCE(C383,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GOOGLEFINANCE(C383, ""price"")) * 100,
    IF(calc=0, G383, calc)
  ), 
G383)"),"#N/A")</f>
        <v>#N/A</v>
      </c>
      <c r="S383" s="8" t="s">
        <v>15</v>
      </c>
      <c r="T383" s="26" t="str">
        <f>IFERROR(__xludf.DUMMYFUNCTION("IFERROR(TRANSPOSE(QUERY(IFERROR(SORT(GOOGLEFINANCE(C383, ""price"", WORKDAY(TODAY(), -40), TODAY()), 1, FALSE)), ""select Col2 where Col2 is not null limit 22 label Col2 ''"", 0)), """")"),"")</f>
        <v/>
      </c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8"/>
      <c r="AO383" s="28"/>
      <c r="AP383" s="29"/>
      <c r="AQ383" s="29" t="str">
        <f t="shared" ref="AQ383:BL383" si="386">T383/T$2</f>
        <v>#N/A</v>
      </c>
      <c r="AR383" s="29" t="str">
        <f t="shared" si="386"/>
        <v>#DIV/0!</v>
      </c>
      <c r="AS383" s="29" t="str">
        <f t="shared" si="386"/>
        <v>#DIV/0!</v>
      </c>
      <c r="AT383" s="29" t="str">
        <f t="shared" si="386"/>
        <v>#DIV/0!</v>
      </c>
      <c r="AU383" s="29" t="str">
        <f t="shared" si="386"/>
        <v>#DIV/0!</v>
      </c>
      <c r="AV383" s="29" t="str">
        <f t="shared" si="386"/>
        <v>#DIV/0!</v>
      </c>
      <c r="AW383" s="29" t="str">
        <f t="shared" si="386"/>
        <v>#DIV/0!</v>
      </c>
      <c r="AX383" s="29" t="str">
        <f t="shared" si="386"/>
        <v>#DIV/0!</v>
      </c>
      <c r="AY383" s="29" t="str">
        <f t="shared" si="386"/>
        <v>#DIV/0!</v>
      </c>
      <c r="AZ383" s="29" t="str">
        <f t="shared" si="386"/>
        <v>#DIV/0!</v>
      </c>
      <c r="BA383" s="29" t="str">
        <f t="shared" si="386"/>
        <v>#DIV/0!</v>
      </c>
      <c r="BB383" s="29" t="str">
        <f t="shared" si="386"/>
        <v>#DIV/0!</v>
      </c>
      <c r="BC383" s="29" t="str">
        <f t="shared" si="386"/>
        <v>#DIV/0!</v>
      </c>
      <c r="BD383" s="29" t="str">
        <f t="shared" si="386"/>
        <v>#DIV/0!</v>
      </c>
      <c r="BE383" s="29" t="str">
        <f t="shared" si="386"/>
        <v>#DIV/0!</v>
      </c>
      <c r="BF383" s="29" t="str">
        <f t="shared" si="386"/>
        <v>#DIV/0!</v>
      </c>
      <c r="BG383" s="29" t="str">
        <f t="shared" si="386"/>
        <v>#DIV/0!</v>
      </c>
      <c r="BH383" s="29" t="str">
        <f t="shared" si="386"/>
        <v>#DIV/0!</v>
      </c>
      <c r="BI383" s="29" t="str">
        <f t="shared" si="386"/>
        <v>#DIV/0!</v>
      </c>
      <c r="BJ383" s="29" t="str">
        <f t="shared" si="386"/>
        <v>#DIV/0!</v>
      </c>
      <c r="BK383" s="29" t="str">
        <f t="shared" si="386"/>
        <v>#DIV/0!</v>
      </c>
      <c r="BL383" s="29" t="str">
        <f t="shared" si="386"/>
        <v>#DIV/0!</v>
      </c>
      <c r="BM383" s="29" t="str">
        <f t="shared" si="3"/>
        <v>#DIV/0!</v>
      </c>
    </row>
    <row r="384">
      <c r="A384" s="16" t="str">
        <f>IFERROR(__xludf.DUMMYFUNCTION("IFERROR(SPARKLINE(SORT(MAP(TRANSPOSE(AQ384:BL384), LAMBDA(val, IF(ISNUMBER(val), PERCENTRANK(AQ384:BL384, val)+0.01, 0))), SEQUENCE(COLUMNS(AQ384:BL384)), FALSE), {""charttype"",""column""; ""color"",""chartreuse""; ""ymin"", 0; ""ymax"", 1.01; ""highcolo"&amp;"r"", ""darkgreen""; ""lowcolor"", ""red""}), """")"),"")</f>
        <v/>
      </c>
      <c r="B384" s="17" t="str">
        <f t="shared" si="4"/>
        <v/>
      </c>
      <c r="C384" s="1" t="s">
        <v>1639</v>
      </c>
      <c r="D384" s="30" t="str">
        <f>IFERROR(__xludf.DUMMYFUNCTION("IFERROR(GOOGLEFINANCE(C384, ""NAME""))"),"Velo3D Inc")</f>
        <v>Velo3D Inc</v>
      </c>
      <c r="E384" s="30" t="s">
        <v>477</v>
      </c>
      <c r="F384" s="33" t="str">
        <f>IFERROR(__xludf.DUMMYFUNCTION("( (GOOGLEFINANCE(C384, ""price"") - Q384) / Q384 ) / (R384 / 100)"),"Loading...")</f>
        <v>Loading...</v>
      </c>
      <c r="G384" s="20" t="str">
        <f>IFERROR(__xludf.DUMMYFUNCTION("AVERAGE(ARRAYFORMULA(100 * (QUERY(GOOGLEFINANCE(C384, ""high"", TODAY()-40, TODAY()), ""SELECT Col2 WHERE Col2 IS NOT NULL ORDER BY Col1 DESC LIMIT 20"", 0) / QUERY(GOOGLEFINANCE(C384, ""low"", TODAY()-40, TODAY()), ""SELECT Col2 WHERE Col2 IS NOT NULL OR"&amp;"DER BY Col1 DESC LIMIT 20"", 0) - 1)))"),"#N/A")</f>
        <v>#N/A</v>
      </c>
      <c r="H384" s="35" t="str">
        <f t="shared" si="6"/>
        <v/>
      </c>
      <c r="I384" s="36" t="str">
        <f t="shared" si="7"/>
        <v/>
      </c>
      <c r="J384" s="37" t="str">
        <f>IFERROR(__xludf.DUMMYFUNCTION("IFERROR(
  IF(C384="""",, 
    IFERROR(
      GOOGLEFINANCE(C384, ""price"") * GOOGLEFINANCE(C384, ""volumeavg""), 
      GOOGLEFINANCE(C384, ""price"") * AVERAGE(QUERY(GOOGLEFINANCE(C384, ""volume"", TODAY()-40, TODAY()), ""SELECT Col2 WHERE Col2 IS NOT "&amp;"NULL ORDER BY Col1 DESC LIMIT 20"", 0))
    )
  ), 
"""")"),"")</f>
        <v/>
      </c>
      <c r="K384" s="21" t="str">
        <f>IFERROR(__xludf.DUMMYFUNCTION("IFERROR(GOOGLEFINANCE(C384, ""changepct"") / 100, """")"),"")</f>
        <v/>
      </c>
      <c r="L384" s="21" t="str">
        <f>IFERROR(__xludf.DUMMYFUNCTION("IFERROR((GOOGLEFINANCE(C384, ""price"") / INDEX(GOOGLEFINANCE(C384, ""price"", TODAY()-7, TODAY()), 2, 2)) - 1, """")"),"")</f>
        <v/>
      </c>
      <c r="M384" s="21" t="str">
        <f>IFERROR(__xludf.DUMMYFUNCTION("IFERROR((GOOGLEFINANCE(C384, ""price"") / INDEX(GOOGLEFINANCE(C384, ""price"", EDATE(TODAY(), -1), TODAY()), 2, 2)) - 1, """")"),"")</f>
        <v/>
      </c>
      <c r="N384" s="21" t="str">
        <f>IFERROR(__xludf.DUMMYFUNCTION("IFERROR((GOOGLEFINANCE(C384, ""price"") / INDEX(GOOGLEFINANCE(C384, ""price"", EDATE(TODAY(), -3), TODAY()), 2, 2)) - 1, """")"),"")</f>
        <v/>
      </c>
      <c r="O384" s="21" t="str">
        <f>IFERROR(__xludf.DUMMYFUNCTION("IFERROR((GOOGLEFINANCE(C384, ""price"") / INDEX(GOOGLEFINANCE(C384, ""price"", EDATE(TODAY(), -6), TODAY()), 2, 2)) - 1, """")"),"")</f>
        <v/>
      </c>
      <c r="P384" s="21" t="str">
        <f>IFERROR(__xludf.DUMMYFUNCTION("IFERROR((GOOGLEFINANCE(C384, ""price"") / INDEX(GOOGLEFINANCE(C384, ""price"", EDATE(TODAY(), -12), TODAY()), 2, 2)) - 1, """")"),"")</f>
        <v/>
      </c>
      <c r="Q384" s="6" t="str">
        <f>IFERROR(__xludf.DUMMYFUNCTION("AVERAGE(QUERY(GOOGLEFINANCE(C384, ""price"", TODAY()-80, TODAY()), ""SELECT Col2 WHERE Col2 IS NOT NULL ORDER BY Col1 DESC LIMIT 50"", 0))"),"#N/A")</f>
        <v>#N/A</v>
      </c>
      <c r="R384" s="24" t="str">
        <f>IFERROR(__xludf.DUMMYFUNCTION("IFERROR(
  LET(
    data, QUERY(GOOGLEFINANCE(C384,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GOOGLEFINANCE(C384, ""price"")) * 100,
    IF(calc=0, G384, calc)
  ), 
G384)"),"#N/A")</f>
        <v>#N/A</v>
      </c>
      <c r="S384" s="8" t="s">
        <v>15</v>
      </c>
      <c r="T384" s="26" t="str">
        <f>IFERROR(__xludf.DUMMYFUNCTION("IFERROR(TRANSPOSE(QUERY(IFERROR(SORT(GOOGLEFINANCE(C384, ""price"", WORKDAY(TODAY(), -40), TODAY()), 1, FALSE)), ""select Col2 where Col2 is not null limit 22 label Col2 ''"", 0)), """")"),"")</f>
        <v/>
      </c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8"/>
      <c r="AO384" s="28"/>
      <c r="AP384" s="29"/>
      <c r="AQ384" s="29" t="str">
        <f t="shared" ref="AQ384:BL384" si="387">T384/T$2</f>
        <v>#N/A</v>
      </c>
      <c r="AR384" s="29" t="str">
        <f t="shared" si="387"/>
        <v>#DIV/0!</v>
      </c>
      <c r="AS384" s="29" t="str">
        <f t="shared" si="387"/>
        <v>#DIV/0!</v>
      </c>
      <c r="AT384" s="29" t="str">
        <f t="shared" si="387"/>
        <v>#DIV/0!</v>
      </c>
      <c r="AU384" s="29" t="str">
        <f t="shared" si="387"/>
        <v>#DIV/0!</v>
      </c>
      <c r="AV384" s="29" t="str">
        <f t="shared" si="387"/>
        <v>#DIV/0!</v>
      </c>
      <c r="AW384" s="29" t="str">
        <f t="shared" si="387"/>
        <v>#DIV/0!</v>
      </c>
      <c r="AX384" s="29" t="str">
        <f t="shared" si="387"/>
        <v>#DIV/0!</v>
      </c>
      <c r="AY384" s="29" t="str">
        <f t="shared" si="387"/>
        <v>#DIV/0!</v>
      </c>
      <c r="AZ384" s="29" t="str">
        <f t="shared" si="387"/>
        <v>#DIV/0!</v>
      </c>
      <c r="BA384" s="29" t="str">
        <f t="shared" si="387"/>
        <v>#DIV/0!</v>
      </c>
      <c r="BB384" s="29" t="str">
        <f t="shared" si="387"/>
        <v>#DIV/0!</v>
      </c>
      <c r="BC384" s="29" t="str">
        <f t="shared" si="387"/>
        <v>#DIV/0!</v>
      </c>
      <c r="BD384" s="29" t="str">
        <f t="shared" si="387"/>
        <v>#DIV/0!</v>
      </c>
      <c r="BE384" s="29" t="str">
        <f t="shared" si="387"/>
        <v>#DIV/0!</v>
      </c>
      <c r="BF384" s="29" t="str">
        <f t="shared" si="387"/>
        <v>#DIV/0!</v>
      </c>
      <c r="BG384" s="29" t="str">
        <f t="shared" si="387"/>
        <v>#DIV/0!</v>
      </c>
      <c r="BH384" s="29" t="str">
        <f t="shared" si="387"/>
        <v>#DIV/0!</v>
      </c>
      <c r="BI384" s="29" t="str">
        <f t="shared" si="387"/>
        <v>#DIV/0!</v>
      </c>
      <c r="BJ384" s="29" t="str">
        <f t="shared" si="387"/>
        <v>#DIV/0!</v>
      </c>
      <c r="BK384" s="29" t="str">
        <f t="shared" si="387"/>
        <v>#DIV/0!</v>
      </c>
      <c r="BL384" s="29" t="str">
        <f t="shared" si="387"/>
        <v>#DIV/0!</v>
      </c>
      <c r="BM384" s="29" t="str">
        <f t="shared" si="3"/>
        <v>#DIV/0!</v>
      </c>
    </row>
    <row r="385">
      <c r="A385" s="16" t="str">
        <f>IFERROR(__xludf.DUMMYFUNCTION("IFERROR(SPARKLINE(SORT(MAP(TRANSPOSE(AQ385:BL385), LAMBDA(val, IF(ISNUMBER(val), PERCENTRANK(AQ385:BL385, val)+0.01, 0))), SEQUENCE(COLUMNS(AQ385:BL385)), FALSE), {""charttype"",""column""; ""color"",""chartreuse""; ""ymin"", 0; ""ymax"", 1.01; ""highcolo"&amp;"r"", ""darkgreen""; ""lowcolor"", ""red""}), """")"),"")</f>
        <v/>
      </c>
      <c r="B385" s="17" t="str">
        <f t="shared" si="4"/>
        <v/>
      </c>
      <c r="C385" s="1" t="s">
        <v>1643</v>
      </c>
      <c r="D385" s="30" t="str">
        <f>IFERROR(__xludf.DUMMYFUNCTION("IFERROR(GOOGLEFINANCE(C385, ""NAME""))"),"Marvell Technology Inc")</f>
        <v>Marvell Technology Inc</v>
      </c>
      <c r="E385" s="30" t="s">
        <v>871</v>
      </c>
      <c r="F385" s="33" t="str">
        <f>IFERROR(__xludf.DUMMYFUNCTION("( (GOOGLEFINANCE(C385, ""price"") - Q385) / Q385 ) / (R385 / 100)"),"Loading...")</f>
        <v>Loading...</v>
      </c>
      <c r="G385" s="20" t="str">
        <f>IFERROR(__xludf.DUMMYFUNCTION("AVERAGE(ARRAYFORMULA(100 * (QUERY(GOOGLEFINANCE(C385, ""high"", TODAY()-40, TODAY()), ""SELECT Col2 WHERE Col2 IS NOT NULL ORDER BY Col1 DESC LIMIT 20"", 0) / QUERY(GOOGLEFINANCE(C385, ""low"", TODAY()-40, TODAY()), ""SELECT Col2 WHERE Col2 IS NOT NULL OR"&amp;"DER BY Col1 DESC LIMIT 20"", 0) - 1)))"),"#N/A")</f>
        <v>#N/A</v>
      </c>
      <c r="H385" s="35" t="str">
        <f t="shared" si="6"/>
        <v/>
      </c>
      <c r="I385" s="36" t="str">
        <f t="shared" si="7"/>
        <v/>
      </c>
      <c r="J385" s="37" t="str">
        <f>IFERROR(__xludf.DUMMYFUNCTION("IFERROR(
  IF(C385="""",, 
    IFERROR(
      GOOGLEFINANCE(C385, ""price"") * GOOGLEFINANCE(C385, ""volumeavg""), 
      GOOGLEFINANCE(C385, ""price"") * AVERAGE(QUERY(GOOGLEFINANCE(C385, ""volume"", TODAY()-40, TODAY()), ""SELECT Col2 WHERE Col2 IS NOT "&amp;"NULL ORDER BY Col1 DESC LIMIT 20"", 0))
    )
  ), 
"""")"),"")</f>
        <v/>
      </c>
      <c r="K385" s="21" t="str">
        <f>IFERROR(__xludf.DUMMYFUNCTION("IFERROR(GOOGLEFINANCE(C385, ""changepct"") / 100, """")"),"")</f>
        <v/>
      </c>
      <c r="L385" s="21" t="str">
        <f>IFERROR(__xludf.DUMMYFUNCTION("IFERROR((GOOGLEFINANCE(C385, ""price"") / INDEX(GOOGLEFINANCE(C385, ""price"", TODAY()-7, TODAY()), 2, 2)) - 1, """")"),"")</f>
        <v/>
      </c>
      <c r="M385" s="21" t="str">
        <f>IFERROR(__xludf.DUMMYFUNCTION("IFERROR((GOOGLEFINANCE(C385, ""price"") / INDEX(GOOGLEFINANCE(C385, ""price"", EDATE(TODAY(), -1), TODAY()), 2, 2)) - 1, """")"),"")</f>
        <v/>
      </c>
      <c r="N385" s="21" t="str">
        <f>IFERROR(__xludf.DUMMYFUNCTION("IFERROR((GOOGLEFINANCE(C385, ""price"") / INDEX(GOOGLEFINANCE(C385, ""price"", EDATE(TODAY(), -3), TODAY()), 2, 2)) - 1, """")"),"")</f>
        <v/>
      </c>
      <c r="O385" s="21" t="str">
        <f>IFERROR(__xludf.DUMMYFUNCTION("IFERROR((GOOGLEFINANCE(C385, ""price"") / INDEX(GOOGLEFINANCE(C385, ""price"", EDATE(TODAY(), -6), TODAY()), 2, 2)) - 1, """")"),"")</f>
        <v/>
      </c>
      <c r="P385" s="21" t="str">
        <f>IFERROR(__xludf.DUMMYFUNCTION("IFERROR((GOOGLEFINANCE(C385, ""price"") / INDEX(GOOGLEFINANCE(C385, ""price"", EDATE(TODAY(), -12), TODAY()), 2, 2)) - 1, """")"),"")</f>
        <v/>
      </c>
      <c r="Q385" s="6" t="str">
        <f>IFERROR(__xludf.DUMMYFUNCTION("AVERAGE(QUERY(GOOGLEFINANCE(C385, ""price"", TODAY()-80, TODAY()), ""SELECT Col2 WHERE Col2 IS NOT NULL ORDER BY Col1 DESC LIMIT 50"", 0))"),"#N/A")</f>
        <v>#N/A</v>
      </c>
      <c r="R385" s="24" t="str">
        <f>IFERROR(__xludf.DUMMYFUNCTION("IFERROR(
  LET(
    data, QUERY(GOOGLEFINANCE(C385,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GOOGLEFINANCE(C385, ""price"")) * 100,
    IF(calc=0, G385, calc)
  ), 
G385)"),"#N/A")</f>
        <v>#N/A</v>
      </c>
      <c r="S385" s="8" t="s">
        <v>15</v>
      </c>
      <c r="T385" s="26" t="str">
        <f>IFERROR(__xludf.DUMMYFUNCTION("IFERROR(TRANSPOSE(QUERY(IFERROR(SORT(GOOGLEFINANCE(C385, ""price"", WORKDAY(TODAY(), -40), TODAY()), 1, FALSE)), ""select Col2 where Col2 is not null limit 22 label Col2 ''"", 0)), """")"),"")</f>
        <v/>
      </c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8"/>
      <c r="AO385" s="28"/>
      <c r="AP385" s="29"/>
      <c r="AQ385" s="29" t="str">
        <f t="shared" ref="AQ385:BL385" si="388">T385/T$2</f>
        <v>#N/A</v>
      </c>
      <c r="AR385" s="29" t="str">
        <f t="shared" si="388"/>
        <v>#DIV/0!</v>
      </c>
      <c r="AS385" s="29" t="str">
        <f t="shared" si="388"/>
        <v>#DIV/0!</v>
      </c>
      <c r="AT385" s="29" t="str">
        <f t="shared" si="388"/>
        <v>#DIV/0!</v>
      </c>
      <c r="AU385" s="29" t="str">
        <f t="shared" si="388"/>
        <v>#DIV/0!</v>
      </c>
      <c r="AV385" s="29" t="str">
        <f t="shared" si="388"/>
        <v>#DIV/0!</v>
      </c>
      <c r="AW385" s="29" t="str">
        <f t="shared" si="388"/>
        <v>#DIV/0!</v>
      </c>
      <c r="AX385" s="29" t="str">
        <f t="shared" si="388"/>
        <v>#DIV/0!</v>
      </c>
      <c r="AY385" s="29" t="str">
        <f t="shared" si="388"/>
        <v>#DIV/0!</v>
      </c>
      <c r="AZ385" s="29" t="str">
        <f t="shared" si="388"/>
        <v>#DIV/0!</v>
      </c>
      <c r="BA385" s="29" t="str">
        <f t="shared" si="388"/>
        <v>#DIV/0!</v>
      </c>
      <c r="BB385" s="29" t="str">
        <f t="shared" si="388"/>
        <v>#DIV/0!</v>
      </c>
      <c r="BC385" s="29" t="str">
        <f t="shared" si="388"/>
        <v>#DIV/0!</v>
      </c>
      <c r="BD385" s="29" t="str">
        <f t="shared" si="388"/>
        <v>#DIV/0!</v>
      </c>
      <c r="BE385" s="29" t="str">
        <f t="shared" si="388"/>
        <v>#DIV/0!</v>
      </c>
      <c r="BF385" s="29" t="str">
        <f t="shared" si="388"/>
        <v>#DIV/0!</v>
      </c>
      <c r="BG385" s="29" t="str">
        <f t="shared" si="388"/>
        <v>#DIV/0!</v>
      </c>
      <c r="BH385" s="29" t="str">
        <f t="shared" si="388"/>
        <v>#DIV/0!</v>
      </c>
      <c r="BI385" s="29" t="str">
        <f t="shared" si="388"/>
        <v>#DIV/0!</v>
      </c>
      <c r="BJ385" s="29" t="str">
        <f t="shared" si="388"/>
        <v>#DIV/0!</v>
      </c>
      <c r="BK385" s="29" t="str">
        <f t="shared" si="388"/>
        <v>#DIV/0!</v>
      </c>
      <c r="BL385" s="29" t="str">
        <f t="shared" si="388"/>
        <v>#DIV/0!</v>
      </c>
      <c r="BM385" s="29" t="str">
        <f t="shared" si="3"/>
        <v>#DIV/0!</v>
      </c>
    </row>
    <row r="386">
      <c r="A386" s="16" t="str">
        <f>IFERROR(__xludf.DUMMYFUNCTION("IFERROR(SPARKLINE(SORT(MAP(TRANSPOSE(AQ386:BL386), LAMBDA(val, IF(ISNUMBER(val), PERCENTRANK(AQ386:BL386, val)+0.01, 0))), SEQUENCE(COLUMNS(AQ386:BL386)), FALSE), {""charttype"",""column""; ""color"",""chartreuse""; ""ymin"", 0; ""ymax"", 1.01; ""highcolo"&amp;"r"", ""darkgreen""; ""lowcolor"", ""red""}), """")"),"")</f>
        <v/>
      </c>
      <c r="B386" s="17" t="str">
        <f t="shared" si="4"/>
        <v/>
      </c>
      <c r="C386" s="1" t="s">
        <v>1647</v>
      </c>
      <c r="D386" s="30" t="str">
        <f>IFERROR(__xludf.DUMMYFUNCTION("IFERROR(GOOGLEFINANCE(C386, ""NAME""))"),"Sanmina Corp")</f>
        <v>Sanmina Corp</v>
      </c>
      <c r="E386" s="30" t="s">
        <v>469</v>
      </c>
      <c r="F386" s="33" t="str">
        <f>IFERROR(__xludf.DUMMYFUNCTION("( (GOOGLEFINANCE(C386, ""price"") - Q386) / Q386 ) / (R386 / 100)"),"Loading...")</f>
        <v>Loading...</v>
      </c>
      <c r="G386" s="20" t="str">
        <f>IFERROR(__xludf.DUMMYFUNCTION("AVERAGE(ARRAYFORMULA(100 * (QUERY(GOOGLEFINANCE(C386, ""high"", TODAY()-40, TODAY()), ""SELECT Col2 WHERE Col2 IS NOT NULL ORDER BY Col1 DESC LIMIT 20"", 0) / QUERY(GOOGLEFINANCE(C386, ""low"", TODAY()-40, TODAY()), ""SELECT Col2 WHERE Col2 IS NOT NULL OR"&amp;"DER BY Col1 DESC LIMIT 20"", 0) - 1)))"),"#N/A")</f>
        <v>#N/A</v>
      </c>
      <c r="H386" s="35" t="str">
        <f t="shared" si="6"/>
        <v/>
      </c>
      <c r="I386" s="36" t="str">
        <f t="shared" si="7"/>
        <v/>
      </c>
      <c r="J386" s="37" t="str">
        <f>IFERROR(__xludf.DUMMYFUNCTION("IFERROR(
  IF(C386="""",, 
    IFERROR(
      GOOGLEFINANCE(C386, ""price"") * GOOGLEFINANCE(C386, ""volumeavg""), 
      GOOGLEFINANCE(C386, ""price"") * AVERAGE(QUERY(GOOGLEFINANCE(C386, ""volume"", TODAY()-40, TODAY()), ""SELECT Col2 WHERE Col2 IS NOT "&amp;"NULL ORDER BY Col1 DESC LIMIT 20"", 0))
    )
  ), 
"""")"),"")</f>
        <v/>
      </c>
      <c r="K386" s="21" t="str">
        <f>IFERROR(__xludf.DUMMYFUNCTION("IFERROR(GOOGLEFINANCE(C386, ""changepct"") / 100, """")"),"")</f>
        <v/>
      </c>
      <c r="L386" s="21" t="str">
        <f>IFERROR(__xludf.DUMMYFUNCTION("IFERROR((GOOGLEFINANCE(C386, ""price"") / INDEX(GOOGLEFINANCE(C386, ""price"", TODAY()-7, TODAY()), 2, 2)) - 1, """")"),"")</f>
        <v/>
      </c>
      <c r="M386" s="21" t="str">
        <f>IFERROR(__xludf.DUMMYFUNCTION("IFERROR((GOOGLEFINANCE(C386, ""price"") / INDEX(GOOGLEFINANCE(C386, ""price"", EDATE(TODAY(), -1), TODAY()), 2, 2)) - 1, """")"),"")</f>
        <v/>
      </c>
      <c r="N386" s="21" t="str">
        <f>IFERROR(__xludf.DUMMYFUNCTION("IFERROR((GOOGLEFINANCE(C386, ""price"") / INDEX(GOOGLEFINANCE(C386, ""price"", EDATE(TODAY(), -3), TODAY()), 2, 2)) - 1, """")"),"")</f>
        <v/>
      </c>
      <c r="O386" s="21" t="str">
        <f>IFERROR(__xludf.DUMMYFUNCTION("IFERROR((GOOGLEFINANCE(C386, ""price"") / INDEX(GOOGLEFINANCE(C386, ""price"", EDATE(TODAY(), -6), TODAY()), 2, 2)) - 1, """")"),"")</f>
        <v/>
      </c>
      <c r="P386" s="21" t="str">
        <f>IFERROR(__xludf.DUMMYFUNCTION("IFERROR((GOOGLEFINANCE(C386, ""price"") / INDEX(GOOGLEFINANCE(C386, ""price"", EDATE(TODAY(), -12), TODAY()), 2, 2)) - 1, """")"),"")</f>
        <v/>
      </c>
      <c r="Q386" s="6" t="str">
        <f>IFERROR(__xludf.DUMMYFUNCTION("AVERAGE(QUERY(GOOGLEFINANCE(C386, ""price"", TODAY()-80, TODAY()), ""SELECT Col2 WHERE Col2 IS NOT NULL ORDER BY Col1 DESC LIMIT 50"", 0))"),"#N/A")</f>
        <v>#N/A</v>
      </c>
      <c r="R386" s="24" t="str">
        <f>IFERROR(__xludf.DUMMYFUNCTION("IFERROR(
  LET(
    data, QUERY(GOOGLEFINANCE(C386,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GOOGLEFINANCE(C386, ""price"")) * 100,
    IF(calc=0, G386, calc)
  ), 
G386)"),"#N/A")</f>
        <v>#N/A</v>
      </c>
      <c r="S386" s="8" t="s">
        <v>15</v>
      </c>
      <c r="T386" s="26" t="str">
        <f>IFERROR(__xludf.DUMMYFUNCTION("IFERROR(TRANSPOSE(QUERY(IFERROR(SORT(GOOGLEFINANCE(C386, ""price"", WORKDAY(TODAY(), -40), TODAY()), 1, FALSE)), ""select Col2 where Col2 is not null limit 22 label Col2 ''"", 0)), """")"),"")</f>
        <v/>
      </c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8"/>
      <c r="AO386" s="28"/>
      <c r="AP386" s="29"/>
      <c r="AQ386" s="29" t="str">
        <f t="shared" ref="AQ386:BL386" si="389">T386/T$2</f>
        <v>#N/A</v>
      </c>
      <c r="AR386" s="29" t="str">
        <f t="shared" si="389"/>
        <v>#DIV/0!</v>
      </c>
      <c r="AS386" s="29" t="str">
        <f t="shared" si="389"/>
        <v>#DIV/0!</v>
      </c>
      <c r="AT386" s="29" t="str">
        <f t="shared" si="389"/>
        <v>#DIV/0!</v>
      </c>
      <c r="AU386" s="29" t="str">
        <f t="shared" si="389"/>
        <v>#DIV/0!</v>
      </c>
      <c r="AV386" s="29" t="str">
        <f t="shared" si="389"/>
        <v>#DIV/0!</v>
      </c>
      <c r="AW386" s="29" t="str">
        <f t="shared" si="389"/>
        <v>#DIV/0!</v>
      </c>
      <c r="AX386" s="29" t="str">
        <f t="shared" si="389"/>
        <v>#DIV/0!</v>
      </c>
      <c r="AY386" s="29" t="str">
        <f t="shared" si="389"/>
        <v>#DIV/0!</v>
      </c>
      <c r="AZ386" s="29" t="str">
        <f t="shared" si="389"/>
        <v>#DIV/0!</v>
      </c>
      <c r="BA386" s="29" t="str">
        <f t="shared" si="389"/>
        <v>#DIV/0!</v>
      </c>
      <c r="BB386" s="29" t="str">
        <f t="shared" si="389"/>
        <v>#DIV/0!</v>
      </c>
      <c r="BC386" s="29" t="str">
        <f t="shared" si="389"/>
        <v>#DIV/0!</v>
      </c>
      <c r="BD386" s="29" t="str">
        <f t="shared" si="389"/>
        <v>#DIV/0!</v>
      </c>
      <c r="BE386" s="29" t="str">
        <f t="shared" si="389"/>
        <v>#DIV/0!</v>
      </c>
      <c r="BF386" s="29" t="str">
        <f t="shared" si="389"/>
        <v>#DIV/0!</v>
      </c>
      <c r="BG386" s="29" t="str">
        <f t="shared" si="389"/>
        <v>#DIV/0!</v>
      </c>
      <c r="BH386" s="29" t="str">
        <f t="shared" si="389"/>
        <v>#DIV/0!</v>
      </c>
      <c r="BI386" s="29" t="str">
        <f t="shared" si="389"/>
        <v>#DIV/0!</v>
      </c>
      <c r="BJ386" s="29" t="str">
        <f t="shared" si="389"/>
        <v>#DIV/0!</v>
      </c>
      <c r="BK386" s="29" t="str">
        <f t="shared" si="389"/>
        <v>#DIV/0!</v>
      </c>
      <c r="BL386" s="29" t="str">
        <f t="shared" si="389"/>
        <v>#DIV/0!</v>
      </c>
      <c r="BM386" s="29" t="str">
        <f t="shared" si="3"/>
        <v>#DIV/0!</v>
      </c>
    </row>
    <row r="387">
      <c r="A387" s="16" t="str">
        <f>IFERROR(__xludf.DUMMYFUNCTION("IFERROR(SPARKLINE(SORT(MAP(TRANSPOSE(AQ387:BL387), LAMBDA(val, IF(ISNUMBER(val), PERCENTRANK(AQ387:BL387, val)+0.01, 0))), SEQUENCE(COLUMNS(AQ387:BL387)), FALSE), {""charttype"",""column""; ""color"",""chartreuse""; ""ymin"", 0; ""ymax"", 1.01; ""highcolo"&amp;"r"", ""darkgreen""; ""lowcolor"", ""red""}), """")"),"")</f>
        <v/>
      </c>
      <c r="B387" s="17" t="str">
        <f t="shared" si="4"/>
        <v/>
      </c>
      <c r="C387" s="1" t="s">
        <v>1649</v>
      </c>
      <c r="D387" s="30" t="str">
        <f>IFERROR(__xludf.DUMMYFUNCTION("IFERROR(GOOGLEFINANCE(C387, ""NAME""))"),"Veeco Instruments Inc")</f>
        <v>Veeco Instruments Inc</v>
      </c>
      <c r="E387" s="30" t="s">
        <v>1195</v>
      </c>
      <c r="F387" s="33" t="str">
        <f>IFERROR(__xludf.DUMMYFUNCTION("( (GOOGLEFINANCE(C387, ""price"") - Q387) / Q387 ) / (R387 / 100)"),"Loading...")</f>
        <v>Loading...</v>
      </c>
      <c r="G387" s="20" t="str">
        <f>IFERROR(__xludf.DUMMYFUNCTION("AVERAGE(ARRAYFORMULA(100 * (QUERY(GOOGLEFINANCE(C387, ""high"", TODAY()-40, TODAY()), ""SELECT Col2 WHERE Col2 IS NOT NULL ORDER BY Col1 DESC LIMIT 20"", 0) / QUERY(GOOGLEFINANCE(C387, ""low"", TODAY()-40, TODAY()), ""SELECT Col2 WHERE Col2 IS NOT NULL OR"&amp;"DER BY Col1 DESC LIMIT 20"", 0) - 1)))"),"#N/A")</f>
        <v>#N/A</v>
      </c>
      <c r="H387" s="35" t="str">
        <f t="shared" si="6"/>
        <v/>
      </c>
      <c r="I387" s="36" t="str">
        <f t="shared" si="7"/>
        <v/>
      </c>
      <c r="J387" s="37" t="str">
        <f>IFERROR(__xludf.DUMMYFUNCTION("IFERROR(
  IF(C387="""",, 
    IFERROR(
      GOOGLEFINANCE(C387, ""price"") * GOOGLEFINANCE(C387, ""volumeavg""), 
      GOOGLEFINANCE(C387, ""price"") * AVERAGE(QUERY(GOOGLEFINANCE(C387, ""volume"", TODAY()-40, TODAY()), ""SELECT Col2 WHERE Col2 IS NOT "&amp;"NULL ORDER BY Col1 DESC LIMIT 20"", 0))
    )
  ), 
"""")"),"")</f>
        <v/>
      </c>
      <c r="K387" s="21" t="str">
        <f>IFERROR(__xludf.DUMMYFUNCTION("IFERROR(GOOGLEFINANCE(C387, ""changepct"") / 100, """")"),"")</f>
        <v/>
      </c>
      <c r="L387" s="21" t="str">
        <f>IFERROR(__xludf.DUMMYFUNCTION("IFERROR((GOOGLEFINANCE(C387, ""price"") / INDEX(GOOGLEFINANCE(C387, ""price"", TODAY()-7, TODAY()), 2, 2)) - 1, """")"),"")</f>
        <v/>
      </c>
      <c r="M387" s="21" t="str">
        <f>IFERROR(__xludf.DUMMYFUNCTION("IFERROR((GOOGLEFINANCE(C387, ""price"") / INDEX(GOOGLEFINANCE(C387, ""price"", EDATE(TODAY(), -1), TODAY()), 2, 2)) - 1, """")"),"")</f>
        <v/>
      </c>
      <c r="N387" s="21" t="str">
        <f>IFERROR(__xludf.DUMMYFUNCTION("IFERROR((GOOGLEFINANCE(C387, ""price"") / INDEX(GOOGLEFINANCE(C387, ""price"", EDATE(TODAY(), -3), TODAY()), 2, 2)) - 1, """")"),"")</f>
        <v/>
      </c>
      <c r="O387" s="21" t="str">
        <f>IFERROR(__xludf.DUMMYFUNCTION("IFERROR((GOOGLEFINANCE(C387, ""price"") / INDEX(GOOGLEFINANCE(C387, ""price"", EDATE(TODAY(), -6), TODAY()), 2, 2)) - 1, """")"),"")</f>
        <v/>
      </c>
      <c r="P387" s="21" t="str">
        <f>IFERROR(__xludf.DUMMYFUNCTION("IFERROR((GOOGLEFINANCE(C387, ""price"") / INDEX(GOOGLEFINANCE(C387, ""price"", EDATE(TODAY(), -12), TODAY()), 2, 2)) - 1, """")"),"")</f>
        <v/>
      </c>
      <c r="Q387" s="6" t="str">
        <f>IFERROR(__xludf.DUMMYFUNCTION("AVERAGE(QUERY(GOOGLEFINANCE(C387, ""price"", TODAY()-80, TODAY()), ""SELECT Col2 WHERE Col2 IS NOT NULL ORDER BY Col1 DESC LIMIT 50"", 0))"),"#N/A")</f>
        <v>#N/A</v>
      </c>
      <c r="R387" s="24" t="str">
        <f>IFERROR(__xludf.DUMMYFUNCTION("IFERROR(
  LET(
    data, QUERY(GOOGLEFINANCE(C387,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GOOGLEFINANCE(C387, ""price"")) * 100,
    IF(calc=0, G387, calc)
  ), 
G387)"),"#N/A")</f>
        <v>#N/A</v>
      </c>
      <c r="S387" s="8" t="s">
        <v>15</v>
      </c>
      <c r="T387" s="26" t="str">
        <f>IFERROR(__xludf.DUMMYFUNCTION("IFERROR(TRANSPOSE(QUERY(IFERROR(SORT(GOOGLEFINANCE(C387, ""price"", WORKDAY(TODAY(), -40), TODAY()), 1, FALSE)), ""select Col2 where Col2 is not null limit 22 label Col2 ''"", 0)), """")"),"")</f>
        <v/>
      </c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8"/>
      <c r="AO387" s="28"/>
      <c r="AP387" s="29"/>
      <c r="AQ387" s="29" t="str">
        <f t="shared" ref="AQ387:BL387" si="390">T387/T$2</f>
        <v>#N/A</v>
      </c>
      <c r="AR387" s="29" t="str">
        <f t="shared" si="390"/>
        <v>#DIV/0!</v>
      </c>
      <c r="AS387" s="29" t="str">
        <f t="shared" si="390"/>
        <v>#DIV/0!</v>
      </c>
      <c r="AT387" s="29" t="str">
        <f t="shared" si="390"/>
        <v>#DIV/0!</v>
      </c>
      <c r="AU387" s="29" t="str">
        <f t="shared" si="390"/>
        <v>#DIV/0!</v>
      </c>
      <c r="AV387" s="29" t="str">
        <f t="shared" si="390"/>
        <v>#DIV/0!</v>
      </c>
      <c r="AW387" s="29" t="str">
        <f t="shared" si="390"/>
        <v>#DIV/0!</v>
      </c>
      <c r="AX387" s="29" t="str">
        <f t="shared" si="390"/>
        <v>#DIV/0!</v>
      </c>
      <c r="AY387" s="29" t="str">
        <f t="shared" si="390"/>
        <v>#DIV/0!</v>
      </c>
      <c r="AZ387" s="29" t="str">
        <f t="shared" si="390"/>
        <v>#DIV/0!</v>
      </c>
      <c r="BA387" s="29" t="str">
        <f t="shared" si="390"/>
        <v>#DIV/0!</v>
      </c>
      <c r="BB387" s="29" t="str">
        <f t="shared" si="390"/>
        <v>#DIV/0!</v>
      </c>
      <c r="BC387" s="29" t="str">
        <f t="shared" si="390"/>
        <v>#DIV/0!</v>
      </c>
      <c r="BD387" s="29" t="str">
        <f t="shared" si="390"/>
        <v>#DIV/0!</v>
      </c>
      <c r="BE387" s="29" t="str">
        <f t="shared" si="390"/>
        <v>#DIV/0!</v>
      </c>
      <c r="BF387" s="29" t="str">
        <f t="shared" si="390"/>
        <v>#DIV/0!</v>
      </c>
      <c r="BG387" s="29" t="str">
        <f t="shared" si="390"/>
        <v>#DIV/0!</v>
      </c>
      <c r="BH387" s="29" t="str">
        <f t="shared" si="390"/>
        <v>#DIV/0!</v>
      </c>
      <c r="BI387" s="29" t="str">
        <f t="shared" si="390"/>
        <v>#DIV/0!</v>
      </c>
      <c r="BJ387" s="29" t="str">
        <f t="shared" si="390"/>
        <v>#DIV/0!</v>
      </c>
      <c r="BK387" s="29" t="str">
        <f t="shared" si="390"/>
        <v>#DIV/0!</v>
      </c>
      <c r="BL387" s="29" t="str">
        <f t="shared" si="390"/>
        <v>#DIV/0!</v>
      </c>
      <c r="BM387" s="29" t="str">
        <f t="shared" si="3"/>
        <v>#DIV/0!</v>
      </c>
    </row>
    <row r="388">
      <c r="A388" s="16" t="str">
        <f>IFERROR(__xludf.DUMMYFUNCTION("IFERROR(SPARKLINE(SORT(MAP(TRANSPOSE(AQ388:BL388), LAMBDA(val, IF(ISNUMBER(val), PERCENTRANK(AQ388:BL388, val)+0.01, 0))), SEQUENCE(COLUMNS(AQ388:BL388)), FALSE), {""charttype"",""column""; ""color"",""chartreuse""; ""ymin"", 0; ""ymax"", 1.01; ""highcolo"&amp;"r"", ""darkgreen""; ""lowcolor"", ""red""}), """")"),"")</f>
        <v/>
      </c>
      <c r="B388" s="17" t="str">
        <f t="shared" si="4"/>
        <v/>
      </c>
      <c r="C388" s="1" t="s">
        <v>1653</v>
      </c>
      <c r="D388" s="30" t="str">
        <f>IFERROR(__xludf.DUMMYFUNCTION("IFERROR(GOOGLEFINANCE(C388, ""NAME""))"),"Solaredge Technologies Inc")</f>
        <v>Solaredge Technologies Inc</v>
      </c>
      <c r="E388" s="30" t="s">
        <v>1045</v>
      </c>
      <c r="F388" s="33" t="str">
        <f>IFERROR(__xludf.DUMMYFUNCTION("( (GOOGLEFINANCE(C388, ""price"") - Q388) / Q388 ) / (R388 / 100)"),"Loading...")</f>
        <v>Loading...</v>
      </c>
      <c r="G388" s="20" t="str">
        <f>IFERROR(__xludf.DUMMYFUNCTION("AVERAGE(ARRAYFORMULA(100 * (QUERY(GOOGLEFINANCE(C388, ""high"", TODAY()-40, TODAY()), ""SELECT Col2 WHERE Col2 IS NOT NULL ORDER BY Col1 DESC LIMIT 20"", 0) / QUERY(GOOGLEFINANCE(C388, ""low"", TODAY()-40, TODAY()), ""SELECT Col2 WHERE Col2 IS NOT NULL OR"&amp;"DER BY Col1 DESC LIMIT 20"", 0) - 1)))"),"#N/A")</f>
        <v>#N/A</v>
      </c>
      <c r="H388" s="35" t="str">
        <f t="shared" si="6"/>
        <v/>
      </c>
      <c r="I388" s="36" t="str">
        <f t="shared" si="7"/>
        <v/>
      </c>
      <c r="J388" s="37" t="str">
        <f>IFERROR(__xludf.DUMMYFUNCTION("IFERROR(
  IF(C388="""",, 
    IFERROR(
      GOOGLEFINANCE(C388, ""price"") * GOOGLEFINANCE(C388, ""volumeavg""), 
      GOOGLEFINANCE(C388, ""price"") * AVERAGE(QUERY(GOOGLEFINANCE(C388, ""volume"", TODAY()-40, TODAY()), ""SELECT Col2 WHERE Col2 IS NOT "&amp;"NULL ORDER BY Col1 DESC LIMIT 20"", 0))
    )
  ), 
"""")"),"")</f>
        <v/>
      </c>
      <c r="K388" s="21" t="str">
        <f>IFERROR(__xludf.DUMMYFUNCTION("IFERROR(GOOGLEFINANCE(C388, ""changepct"") / 100, """")"),"")</f>
        <v/>
      </c>
      <c r="L388" s="21" t="str">
        <f>IFERROR(__xludf.DUMMYFUNCTION("IFERROR((GOOGLEFINANCE(C388, ""price"") / INDEX(GOOGLEFINANCE(C388, ""price"", TODAY()-7, TODAY()), 2, 2)) - 1, """")"),"")</f>
        <v/>
      </c>
      <c r="M388" s="21" t="str">
        <f>IFERROR(__xludf.DUMMYFUNCTION("IFERROR((GOOGLEFINANCE(C388, ""price"") / INDEX(GOOGLEFINANCE(C388, ""price"", EDATE(TODAY(), -1), TODAY()), 2, 2)) - 1, """")"),"")</f>
        <v/>
      </c>
      <c r="N388" s="21" t="str">
        <f>IFERROR(__xludf.DUMMYFUNCTION("IFERROR((GOOGLEFINANCE(C388, ""price"") / INDEX(GOOGLEFINANCE(C388, ""price"", EDATE(TODAY(), -3), TODAY()), 2, 2)) - 1, """")"),"")</f>
        <v/>
      </c>
      <c r="O388" s="21" t="str">
        <f>IFERROR(__xludf.DUMMYFUNCTION("IFERROR((GOOGLEFINANCE(C388, ""price"") / INDEX(GOOGLEFINANCE(C388, ""price"", EDATE(TODAY(), -6), TODAY()), 2, 2)) - 1, """")"),"")</f>
        <v/>
      </c>
      <c r="P388" s="21" t="str">
        <f>IFERROR(__xludf.DUMMYFUNCTION("IFERROR((GOOGLEFINANCE(C388, ""price"") / INDEX(GOOGLEFINANCE(C388, ""price"", EDATE(TODAY(), -12), TODAY()), 2, 2)) - 1, """")"),"")</f>
        <v/>
      </c>
      <c r="Q388" s="6" t="str">
        <f>IFERROR(__xludf.DUMMYFUNCTION("AVERAGE(QUERY(GOOGLEFINANCE(C388, ""price"", TODAY()-80, TODAY()), ""SELECT Col2 WHERE Col2 IS NOT NULL ORDER BY Col1 DESC LIMIT 50"", 0))"),"#N/A")</f>
        <v>#N/A</v>
      </c>
      <c r="R388" s="24" t="str">
        <f>IFERROR(__xludf.DUMMYFUNCTION("IFERROR(
  LET(
    data, QUERY(GOOGLEFINANCE(C388,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GOOGLEFINANCE(C388, ""price"")) * 100,
    IF(calc=0, G388, calc)
  ), 
G388)"),"#N/A")</f>
        <v>#N/A</v>
      </c>
      <c r="S388" s="8" t="s">
        <v>15</v>
      </c>
      <c r="T388" s="26" t="str">
        <f>IFERROR(__xludf.DUMMYFUNCTION("IFERROR(TRANSPOSE(QUERY(IFERROR(SORT(GOOGLEFINANCE(C388, ""price"", WORKDAY(TODAY(), -40), TODAY()), 1, FALSE)), ""select Col2 where Col2 is not null limit 22 label Col2 ''"", 0)), """")"),"")</f>
        <v/>
      </c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8"/>
      <c r="AO388" s="28"/>
      <c r="AP388" s="29"/>
      <c r="AQ388" s="29" t="str">
        <f t="shared" ref="AQ388:BL388" si="391">T388/T$2</f>
        <v>#N/A</v>
      </c>
      <c r="AR388" s="29" t="str">
        <f t="shared" si="391"/>
        <v>#DIV/0!</v>
      </c>
      <c r="AS388" s="29" t="str">
        <f t="shared" si="391"/>
        <v>#DIV/0!</v>
      </c>
      <c r="AT388" s="29" t="str">
        <f t="shared" si="391"/>
        <v>#DIV/0!</v>
      </c>
      <c r="AU388" s="29" t="str">
        <f t="shared" si="391"/>
        <v>#DIV/0!</v>
      </c>
      <c r="AV388" s="29" t="str">
        <f t="shared" si="391"/>
        <v>#DIV/0!</v>
      </c>
      <c r="AW388" s="29" t="str">
        <f t="shared" si="391"/>
        <v>#DIV/0!</v>
      </c>
      <c r="AX388" s="29" t="str">
        <f t="shared" si="391"/>
        <v>#DIV/0!</v>
      </c>
      <c r="AY388" s="29" t="str">
        <f t="shared" si="391"/>
        <v>#DIV/0!</v>
      </c>
      <c r="AZ388" s="29" t="str">
        <f t="shared" si="391"/>
        <v>#DIV/0!</v>
      </c>
      <c r="BA388" s="29" t="str">
        <f t="shared" si="391"/>
        <v>#DIV/0!</v>
      </c>
      <c r="BB388" s="29" t="str">
        <f t="shared" si="391"/>
        <v>#DIV/0!</v>
      </c>
      <c r="BC388" s="29" t="str">
        <f t="shared" si="391"/>
        <v>#DIV/0!</v>
      </c>
      <c r="BD388" s="29" t="str">
        <f t="shared" si="391"/>
        <v>#DIV/0!</v>
      </c>
      <c r="BE388" s="29" t="str">
        <f t="shared" si="391"/>
        <v>#DIV/0!</v>
      </c>
      <c r="BF388" s="29" t="str">
        <f t="shared" si="391"/>
        <v>#DIV/0!</v>
      </c>
      <c r="BG388" s="29" t="str">
        <f t="shared" si="391"/>
        <v>#DIV/0!</v>
      </c>
      <c r="BH388" s="29" t="str">
        <f t="shared" si="391"/>
        <v>#DIV/0!</v>
      </c>
      <c r="BI388" s="29" t="str">
        <f t="shared" si="391"/>
        <v>#DIV/0!</v>
      </c>
      <c r="BJ388" s="29" t="str">
        <f t="shared" si="391"/>
        <v>#DIV/0!</v>
      </c>
      <c r="BK388" s="29" t="str">
        <f t="shared" si="391"/>
        <v>#DIV/0!</v>
      </c>
      <c r="BL388" s="29" t="str">
        <f t="shared" si="391"/>
        <v>#DIV/0!</v>
      </c>
      <c r="BM388" s="29" t="str">
        <f t="shared" si="3"/>
        <v>#DIV/0!</v>
      </c>
    </row>
    <row r="389">
      <c r="A389" s="16" t="str">
        <f>IFERROR(__xludf.DUMMYFUNCTION("IFERROR(SPARKLINE(SORT(MAP(TRANSPOSE(AQ389:BL389), LAMBDA(val, IF(ISNUMBER(val), PERCENTRANK(AQ389:BL389, val)+0.01, 0))), SEQUENCE(COLUMNS(AQ389:BL389)), FALSE), {""charttype"",""column""; ""color"",""chartreuse""; ""ymin"", 0; ""ymax"", 1.01; ""highcolo"&amp;"r"", ""darkgreen""; ""lowcolor"", ""red""}), """")"),"")</f>
        <v/>
      </c>
      <c r="B389" s="17" t="str">
        <f t="shared" si="4"/>
        <v/>
      </c>
      <c r="C389" s="1" t="s">
        <v>1657</v>
      </c>
      <c r="D389" s="30" t="str">
        <f>IFERROR(__xludf.DUMMYFUNCTION("IFERROR(GOOGLEFINANCE(C389, ""NAME""))"),"Unusual Machines Inc")</f>
        <v>Unusual Machines Inc</v>
      </c>
      <c r="E389" s="30" t="s">
        <v>477</v>
      </c>
      <c r="F389" s="33" t="str">
        <f>IFERROR(__xludf.DUMMYFUNCTION("( (GOOGLEFINANCE(C389, ""price"") - Q389) / Q389 ) / (R389 / 100)"),"Loading...")</f>
        <v>Loading...</v>
      </c>
      <c r="G389" s="20" t="str">
        <f>IFERROR(__xludf.DUMMYFUNCTION("AVERAGE(ARRAYFORMULA(100 * (QUERY(GOOGLEFINANCE(C389, ""high"", TODAY()-40, TODAY()), ""SELECT Col2 WHERE Col2 IS NOT NULL ORDER BY Col1 DESC LIMIT 20"", 0) / QUERY(GOOGLEFINANCE(C389, ""low"", TODAY()-40, TODAY()), ""SELECT Col2 WHERE Col2 IS NOT NULL OR"&amp;"DER BY Col1 DESC LIMIT 20"", 0) - 1)))"),"#N/A")</f>
        <v>#N/A</v>
      </c>
      <c r="H389" s="35" t="str">
        <f t="shared" si="6"/>
        <v/>
      </c>
      <c r="I389" s="36" t="str">
        <f t="shared" si="7"/>
        <v/>
      </c>
      <c r="J389" s="37" t="str">
        <f>IFERROR(__xludf.DUMMYFUNCTION("IFERROR(
  IF(C389="""",, 
    IFERROR(
      GOOGLEFINANCE(C389, ""price"") * GOOGLEFINANCE(C389, ""volumeavg""), 
      GOOGLEFINANCE(C389, ""price"") * AVERAGE(QUERY(GOOGLEFINANCE(C389, ""volume"", TODAY()-40, TODAY()), ""SELECT Col2 WHERE Col2 IS NOT "&amp;"NULL ORDER BY Col1 DESC LIMIT 20"", 0))
    )
  ), 
"""")"),"")</f>
        <v/>
      </c>
      <c r="K389" s="21" t="str">
        <f>IFERROR(__xludf.DUMMYFUNCTION("IFERROR(GOOGLEFINANCE(C389, ""changepct"") / 100, """")"),"")</f>
        <v/>
      </c>
      <c r="L389" s="21" t="str">
        <f>IFERROR(__xludf.DUMMYFUNCTION("IFERROR((GOOGLEFINANCE(C389, ""price"") / INDEX(GOOGLEFINANCE(C389, ""price"", TODAY()-7, TODAY()), 2, 2)) - 1, """")"),"")</f>
        <v/>
      </c>
      <c r="M389" s="21" t="str">
        <f>IFERROR(__xludf.DUMMYFUNCTION("IFERROR((GOOGLEFINANCE(C389, ""price"") / INDEX(GOOGLEFINANCE(C389, ""price"", EDATE(TODAY(), -1), TODAY()), 2, 2)) - 1, """")"),"")</f>
        <v/>
      </c>
      <c r="N389" s="21" t="str">
        <f>IFERROR(__xludf.DUMMYFUNCTION("IFERROR((GOOGLEFINANCE(C389, ""price"") / INDEX(GOOGLEFINANCE(C389, ""price"", EDATE(TODAY(), -3), TODAY()), 2, 2)) - 1, """")"),"")</f>
        <v/>
      </c>
      <c r="O389" s="21" t="str">
        <f>IFERROR(__xludf.DUMMYFUNCTION("IFERROR((GOOGLEFINANCE(C389, ""price"") / INDEX(GOOGLEFINANCE(C389, ""price"", EDATE(TODAY(), -6), TODAY()), 2, 2)) - 1, """")"),"")</f>
        <v/>
      </c>
      <c r="P389" s="21" t="str">
        <f>IFERROR(__xludf.DUMMYFUNCTION("IFERROR((GOOGLEFINANCE(C389, ""price"") / INDEX(GOOGLEFINANCE(C389, ""price"", EDATE(TODAY(), -12), TODAY()), 2, 2)) - 1, """")"),"")</f>
        <v/>
      </c>
      <c r="Q389" s="6" t="str">
        <f>IFERROR(__xludf.DUMMYFUNCTION("AVERAGE(QUERY(GOOGLEFINANCE(C389, ""price"", TODAY()-80, TODAY()), ""SELECT Col2 WHERE Col2 IS NOT NULL ORDER BY Col1 DESC LIMIT 50"", 0))"),"#N/A")</f>
        <v>#N/A</v>
      </c>
      <c r="R389" s="24" t="str">
        <f>IFERROR(__xludf.DUMMYFUNCTION("IFERROR(
  LET(
    data, QUERY(GOOGLEFINANCE(C389,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GOOGLEFINANCE(C389, ""price"")) * 100,
    IF(calc=0, G389, calc)
  ), 
G389)"),"#N/A")</f>
        <v>#N/A</v>
      </c>
      <c r="S389" s="8" t="s">
        <v>15</v>
      </c>
      <c r="T389" s="26" t="str">
        <f>IFERROR(__xludf.DUMMYFUNCTION("IFERROR(TRANSPOSE(QUERY(IFERROR(SORT(GOOGLEFINANCE(C389, ""price"", WORKDAY(TODAY(), -40), TODAY()), 1, FALSE)), ""select Col2 where Col2 is not null limit 22 label Col2 ''"", 0)), """")"),"")</f>
        <v/>
      </c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8"/>
      <c r="AO389" s="28"/>
      <c r="AP389" s="29"/>
      <c r="AQ389" s="29" t="str">
        <f t="shared" ref="AQ389:BL389" si="392">T389/T$2</f>
        <v>#N/A</v>
      </c>
      <c r="AR389" s="29" t="str">
        <f t="shared" si="392"/>
        <v>#DIV/0!</v>
      </c>
      <c r="AS389" s="29" t="str">
        <f t="shared" si="392"/>
        <v>#DIV/0!</v>
      </c>
      <c r="AT389" s="29" t="str">
        <f t="shared" si="392"/>
        <v>#DIV/0!</v>
      </c>
      <c r="AU389" s="29" t="str">
        <f t="shared" si="392"/>
        <v>#DIV/0!</v>
      </c>
      <c r="AV389" s="29" t="str">
        <f t="shared" si="392"/>
        <v>#DIV/0!</v>
      </c>
      <c r="AW389" s="29" t="str">
        <f t="shared" si="392"/>
        <v>#DIV/0!</v>
      </c>
      <c r="AX389" s="29" t="str">
        <f t="shared" si="392"/>
        <v>#DIV/0!</v>
      </c>
      <c r="AY389" s="29" t="str">
        <f t="shared" si="392"/>
        <v>#DIV/0!</v>
      </c>
      <c r="AZ389" s="29" t="str">
        <f t="shared" si="392"/>
        <v>#DIV/0!</v>
      </c>
      <c r="BA389" s="29" t="str">
        <f t="shared" si="392"/>
        <v>#DIV/0!</v>
      </c>
      <c r="BB389" s="29" t="str">
        <f t="shared" si="392"/>
        <v>#DIV/0!</v>
      </c>
      <c r="BC389" s="29" t="str">
        <f t="shared" si="392"/>
        <v>#DIV/0!</v>
      </c>
      <c r="BD389" s="29" t="str">
        <f t="shared" si="392"/>
        <v>#DIV/0!</v>
      </c>
      <c r="BE389" s="29" t="str">
        <f t="shared" si="392"/>
        <v>#DIV/0!</v>
      </c>
      <c r="BF389" s="29" t="str">
        <f t="shared" si="392"/>
        <v>#DIV/0!</v>
      </c>
      <c r="BG389" s="29" t="str">
        <f t="shared" si="392"/>
        <v>#DIV/0!</v>
      </c>
      <c r="BH389" s="29" t="str">
        <f t="shared" si="392"/>
        <v>#DIV/0!</v>
      </c>
      <c r="BI389" s="29" t="str">
        <f t="shared" si="392"/>
        <v>#DIV/0!</v>
      </c>
      <c r="BJ389" s="29" t="str">
        <f t="shared" si="392"/>
        <v>#DIV/0!</v>
      </c>
      <c r="BK389" s="29" t="str">
        <f t="shared" si="392"/>
        <v>#DIV/0!</v>
      </c>
      <c r="BL389" s="29" t="str">
        <f t="shared" si="392"/>
        <v>#DIV/0!</v>
      </c>
      <c r="BM389" s="29" t="str">
        <f t="shared" si="3"/>
        <v>#DIV/0!</v>
      </c>
    </row>
    <row r="390">
      <c r="A390" s="16" t="str">
        <f>IFERROR(__xludf.DUMMYFUNCTION("IFERROR(SPARKLINE(SORT(MAP(TRANSPOSE(AQ390:BL390), LAMBDA(val, IF(ISNUMBER(val), PERCENTRANK(AQ390:BL390, val)+0.01, 0))), SEQUENCE(COLUMNS(AQ390:BL390)), FALSE), {""charttype"",""column""; ""color"",""chartreuse""; ""ymin"", 0; ""ymax"", 1.01; ""highcolo"&amp;"r"", ""darkgreen""; ""lowcolor"", ""red""}), """")"),"")</f>
        <v/>
      </c>
      <c r="B390" s="17" t="str">
        <f t="shared" si="4"/>
        <v/>
      </c>
      <c r="C390" s="1" t="s">
        <v>1661</v>
      </c>
      <c r="D390" s="30" t="str">
        <f>IFERROR(__xludf.DUMMYFUNCTION("IFERROR(GOOGLEFINANCE(C390, ""NAME""))"),"MACOM Technology Solutions Holdings Inc")</f>
        <v>MACOM Technology Solutions Holdings Inc</v>
      </c>
      <c r="E390" s="30" t="s">
        <v>871</v>
      </c>
      <c r="F390" s="33" t="str">
        <f>IFERROR(__xludf.DUMMYFUNCTION("( (GOOGLEFINANCE(C390, ""price"") - Q390) / Q390 ) / (R390 / 100)"),"Loading...")</f>
        <v>Loading...</v>
      </c>
      <c r="G390" s="20" t="str">
        <f>IFERROR(__xludf.DUMMYFUNCTION("AVERAGE(ARRAYFORMULA(100 * (QUERY(GOOGLEFINANCE(C390, ""high"", TODAY()-40, TODAY()), ""SELECT Col2 WHERE Col2 IS NOT NULL ORDER BY Col1 DESC LIMIT 20"", 0) / QUERY(GOOGLEFINANCE(C390, ""low"", TODAY()-40, TODAY()), ""SELECT Col2 WHERE Col2 IS NOT NULL OR"&amp;"DER BY Col1 DESC LIMIT 20"", 0) - 1)))"),"#N/A")</f>
        <v>#N/A</v>
      </c>
      <c r="H390" s="35" t="str">
        <f t="shared" si="6"/>
        <v/>
      </c>
      <c r="I390" s="36" t="str">
        <f t="shared" si="7"/>
        <v/>
      </c>
      <c r="J390" s="37" t="str">
        <f>IFERROR(__xludf.DUMMYFUNCTION("IFERROR(
  IF(C390="""",, 
    IFERROR(
      GOOGLEFINANCE(C390, ""price"") * GOOGLEFINANCE(C390, ""volumeavg""), 
      GOOGLEFINANCE(C390, ""price"") * AVERAGE(QUERY(GOOGLEFINANCE(C390, ""volume"", TODAY()-40, TODAY()), ""SELECT Col2 WHERE Col2 IS NOT "&amp;"NULL ORDER BY Col1 DESC LIMIT 20"", 0))
    )
  ), 
"""")"),"")</f>
        <v/>
      </c>
      <c r="K390" s="21" t="str">
        <f>IFERROR(__xludf.DUMMYFUNCTION("IFERROR(GOOGLEFINANCE(C390, ""changepct"") / 100, """")"),"")</f>
        <v/>
      </c>
      <c r="L390" s="21" t="str">
        <f>IFERROR(__xludf.DUMMYFUNCTION("IFERROR((GOOGLEFINANCE(C390, ""price"") / INDEX(GOOGLEFINANCE(C390, ""price"", TODAY()-7, TODAY()), 2, 2)) - 1, """")"),"")</f>
        <v/>
      </c>
      <c r="M390" s="21" t="str">
        <f>IFERROR(__xludf.DUMMYFUNCTION("IFERROR((GOOGLEFINANCE(C390, ""price"") / INDEX(GOOGLEFINANCE(C390, ""price"", EDATE(TODAY(), -1), TODAY()), 2, 2)) - 1, """")"),"")</f>
        <v/>
      </c>
      <c r="N390" s="21" t="str">
        <f>IFERROR(__xludf.DUMMYFUNCTION("IFERROR((GOOGLEFINANCE(C390, ""price"") / INDEX(GOOGLEFINANCE(C390, ""price"", EDATE(TODAY(), -3), TODAY()), 2, 2)) - 1, """")"),"")</f>
        <v/>
      </c>
      <c r="O390" s="21" t="str">
        <f>IFERROR(__xludf.DUMMYFUNCTION("IFERROR((GOOGLEFINANCE(C390, ""price"") / INDEX(GOOGLEFINANCE(C390, ""price"", EDATE(TODAY(), -6), TODAY()), 2, 2)) - 1, """")"),"")</f>
        <v/>
      </c>
      <c r="P390" s="21" t="str">
        <f>IFERROR(__xludf.DUMMYFUNCTION("IFERROR((GOOGLEFINANCE(C390, ""price"") / INDEX(GOOGLEFINANCE(C390, ""price"", EDATE(TODAY(), -12), TODAY()), 2, 2)) - 1, """")"),"")</f>
        <v/>
      </c>
      <c r="Q390" s="6" t="str">
        <f>IFERROR(__xludf.DUMMYFUNCTION("AVERAGE(QUERY(GOOGLEFINANCE(C390, ""price"", TODAY()-80, TODAY()), ""SELECT Col2 WHERE Col2 IS NOT NULL ORDER BY Col1 DESC LIMIT 50"", 0))"),"#N/A")</f>
        <v>#N/A</v>
      </c>
      <c r="R390" s="24" t="str">
        <f>IFERROR(__xludf.DUMMYFUNCTION("IFERROR(
  LET(
    data, QUERY(GOOGLEFINANCE(C390,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GOOGLEFINANCE(C390, ""price"")) * 100,
    IF(calc=0, G390, calc)
  ), 
G390)"),"#N/A")</f>
        <v>#N/A</v>
      </c>
      <c r="S390" s="8" t="s">
        <v>15</v>
      </c>
      <c r="T390" s="26" t="str">
        <f>IFERROR(__xludf.DUMMYFUNCTION("IFERROR(TRANSPOSE(QUERY(IFERROR(SORT(GOOGLEFINANCE(C390, ""price"", WORKDAY(TODAY(), -40), TODAY()), 1, FALSE)), ""select Col2 where Col2 is not null limit 22 label Col2 ''"", 0)), """")"),"")</f>
        <v/>
      </c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8"/>
      <c r="AO390" s="28"/>
      <c r="AP390" s="29"/>
      <c r="AQ390" s="29" t="str">
        <f t="shared" ref="AQ390:BL390" si="393">T390/T$2</f>
        <v>#N/A</v>
      </c>
      <c r="AR390" s="29" t="str">
        <f t="shared" si="393"/>
        <v>#DIV/0!</v>
      </c>
      <c r="AS390" s="29" t="str">
        <f t="shared" si="393"/>
        <v>#DIV/0!</v>
      </c>
      <c r="AT390" s="29" t="str">
        <f t="shared" si="393"/>
        <v>#DIV/0!</v>
      </c>
      <c r="AU390" s="29" t="str">
        <f t="shared" si="393"/>
        <v>#DIV/0!</v>
      </c>
      <c r="AV390" s="29" t="str">
        <f t="shared" si="393"/>
        <v>#DIV/0!</v>
      </c>
      <c r="AW390" s="29" t="str">
        <f t="shared" si="393"/>
        <v>#DIV/0!</v>
      </c>
      <c r="AX390" s="29" t="str">
        <f t="shared" si="393"/>
        <v>#DIV/0!</v>
      </c>
      <c r="AY390" s="29" t="str">
        <f t="shared" si="393"/>
        <v>#DIV/0!</v>
      </c>
      <c r="AZ390" s="29" t="str">
        <f t="shared" si="393"/>
        <v>#DIV/0!</v>
      </c>
      <c r="BA390" s="29" t="str">
        <f t="shared" si="393"/>
        <v>#DIV/0!</v>
      </c>
      <c r="BB390" s="29" t="str">
        <f t="shared" si="393"/>
        <v>#DIV/0!</v>
      </c>
      <c r="BC390" s="29" t="str">
        <f t="shared" si="393"/>
        <v>#DIV/0!</v>
      </c>
      <c r="BD390" s="29" t="str">
        <f t="shared" si="393"/>
        <v>#DIV/0!</v>
      </c>
      <c r="BE390" s="29" t="str">
        <f t="shared" si="393"/>
        <v>#DIV/0!</v>
      </c>
      <c r="BF390" s="29" t="str">
        <f t="shared" si="393"/>
        <v>#DIV/0!</v>
      </c>
      <c r="BG390" s="29" t="str">
        <f t="shared" si="393"/>
        <v>#DIV/0!</v>
      </c>
      <c r="BH390" s="29" t="str">
        <f t="shared" si="393"/>
        <v>#DIV/0!</v>
      </c>
      <c r="BI390" s="29" t="str">
        <f t="shared" si="393"/>
        <v>#DIV/0!</v>
      </c>
      <c r="BJ390" s="29" t="str">
        <f t="shared" si="393"/>
        <v>#DIV/0!</v>
      </c>
      <c r="BK390" s="29" t="str">
        <f t="shared" si="393"/>
        <v>#DIV/0!</v>
      </c>
      <c r="BL390" s="29" t="str">
        <f t="shared" si="393"/>
        <v>#DIV/0!</v>
      </c>
      <c r="BM390" s="29" t="str">
        <f t="shared" si="3"/>
        <v>#DIV/0!</v>
      </c>
    </row>
    <row r="391">
      <c r="A391" s="16" t="str">
        <f>IFERROR(__xludf.DUMMYFUNCTION("IFERROR(SPARKLINE(SORT(MAP(TRANSPOSE(AQ391:BL391), LAMBDA(val, IF(ISNUMBER(val), PERCENTRANK(AQ391:BL391, val)+0.01, 0))), SEQUENCE(COLUMNS(AQ391:BL391)), FALSE), {""charttype"",""column""; ""color"",""chartreuse""; ""ymin"", 0; ""ymax"", 1.01; ""highcolo"&amp;"r"", ""darkgreen""; ""lowcolor"", ""red""}), """")"),"")</f>
        <v/>
      </c>
      <c r="B391" s="17" t="str">
        <f t="shared" si="4"/>
        <v/>
      </c>
      <c r="C391" s="1" t="s">
        <v>1665</v>
      </c>
      <c r="D391" s="30" t="str">
        <f>IFERROR(__xludf.DUMMYFUNCTION("IFERROR(GOOGLEFINANCE(C391, ""NAME""))"),"Kulicke And Soffa Industries Inc")</f>
        <v>Kulicke And Soffa Industries Inc</v>
      </c>
      <c r="E391" s="30" t="s">
        <v>1195</v>
      </c>
      <c r="F391" s="33" t="str">
        <f>IFERROR(__xludf.DUMMYFUNCTION("( (GOOGLEFINANCE(C391, ""price"") - Q391) / Q391 ) / (R391 / 100)"),"Loading...")</f>
        <v>Loading...</v>
      </c>
      <c r="G391" s="20" t="str">
        <f>IFERROR(__xludf.DUMMYFUNCTION("AVERAGE(ARRAYFORMULA(100 * (QUERY(GOOGLEFINANCE(C391, ""high"", TODAY()-40, TODAY()), ""SELECT Col2 WHERE Col2 IS NOT NULL ORDER BY Col1 DESC LIMIT 20"", 0) / QUERY(GOOGLEFINANCE(C391, ""low"", TODAY()-40, TODAY()), ""SELECT Col2 WHERE Col2 IS NOT NULL OR"&amp;"DER BY Col1 DESC LIMIT 20"", 0) - 1)))"),"#N/A")</f>
        <v>#N/A</v>
      </c>
      <c r="H391" s="35" t="str">
        <f t="shared" si="6"/>
        <v/>
      </c>
      <c r="I391" s="36" t="str">
        <f t="shared" si="7"/>
        <v/>
      </c>
      <c r="J391" s="37" t="str">
        <f>IFERROR(__xludf.DUMMYFUNCTION("IFERROR(
  IF(C391="""",, 
    IFERROR(
      GOOGLEFINANCE(C391, ""price"") * GOOGLEFINANCE(C391, ""volumeavg""), 
      GOOGLEFINANCE(C391, ""price"") * AVERAGE(QUERY(GOOGLEFINANCE(C391, ""volume"", TODAY()-40, TODAY()), ""SELECT Col2 WHERE Col2 IS NOT "&amp;"NULL ORDER BY Col1 DESC LIMIT 20"", 0))
    )
  ), 
"""")"),"")</f>
        <v/>
      </c>
      <c r="K391" s="21" t="str">
        <f>IFERROR(__xludf.DUMMYFUNCTION("IFERROR(GOOGLEFINANCE(C391, ""changepct"") / 100, """")"),"")</f>
        <v/>
      </c>
      <c r="L391" s="21" t="str">
        <f>IFERROR(__xludf.DUMMYFUNCTION("IFERROR((GOOGLEFINANCE(C391, ""price"") / INDEX(GOOGLEFINANCE(C391, ""price"", TODAY()-7, TODAY()), 2, 2)) - 1, """")"),"")</f>
        <v/>
      </c>
      <c r="M391" s="21" t="str">
        <f>IFERROR(__xludf.DUMMYFUNCTION("IFERROR((GOOGLEFINANCE(C391, ""price"") / INDEX(GOOGLEFINANCE(C391, ""price"", EDATE(TODAY(), -1), TODAY()), 2, 2)) - 1, """")"),"")</f>
        <v/>
      </c>
      <c r="N391" s="21" t="str">
        <f>IFERROR(__xludf.DUMMYFUNCTION("IFERROR((GOOGLEFINANCE(C391, ""price"") / INDEX(GOOGLEFINANCE(C391, ""price"", EDATE(TODAY(), -3), TODAY()), 2, 2)) - 1, """")"),"")</f>
        <v/>
      </c>
      <c r="O391" s="21" t="str">
        <f>IFERROR(__xludf.DUMMYFUNCTION("IFERROR((GOOGLEFINANCE(C391, ""price"") / INDEX(GOOGLEFINANCE(C391, ""price"", EDATE(TODAY(), -6), TODAY()), 2, 2)) - 1, """")"),"")</f>
        <v/>
      </c>
      <c r="P391" s="21" t="str">
        <f>IFERROR(__xludf.DUMMYFUNCTION("IFERROR((GOOGLEFINANCE(C391, ""price"") / INDEX(GOOGLEFINANCE(C391, ""price"", EDATE(TODAY(), -12), TODAY()), 2, 2)) - 1, """")"),"")</f>
        <v/>
      </c>
      <c r="Q391" s="6" t="str">
        <f>IFERROR(__xludf.DUMMYFUNCTION("AVERAGE(QUERY(GOOGLEFINANCE(C391, ""price"", TODAY()-80, TODAY()), ""SELECT Col2 WHERE Col2 IS NOT NULL ORDER BY Col1 DESC LIMIT 50"", 0))"),"#N/A")</f>
        <v>#N/A</v>
      </c>
      <c r="R391" s="24" t="str">
        <f>IFERROR(__xludf.DUMMYFUNCTION("IFERROR(
  LET(
    data, QUERY(GOOGLEFINANCE(C391,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GOOGLEFINANCE(C391, ""price"")) * 100,
    IF(calc=0, G391, calc)
  ), 
G391)"),"#N/A")</f>
        <v>#N/A</v>
      </c>
      <c r="S391" s="8" t="s">
        <v>15</v>
      </c>
      <c r="T391" s="26" t="str">
        <f>IFERROR(__xludf.DUMMYFUNCTION("IFERROR(TRANSPOSE(QUERY(IFERROR(SORT(GOOGLEFINANCE(C391, ""price"", WORKDAY(TODAY(), -40), TODAY()), 1, FALSE)), ""select Col2 where Col2 is not null limit 22 label Col2 ''"", 0)), """")"),"")</f>
        <v/>
      </c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8"/>
      <c r="AO391" s="28"/>
      <c r="AP391" s="29"/>
      <c r="AQ391" s="29" t="str">
        <f t="shared" ref="AQ391:BL391" si="394">T391/T$2</f>
        <v>#N/A</v>
      </c>
      <c r="AR391" s="29" t="str">
        <f t="shared" si="394"/>
        <v>#DIV/0!</v>
      </c>
      <c r="AS391" s="29" t="str">
        <f t="shared" si="394"/>
        <v>#DIV/0!</v>
      </c>
      <c r="AT391" s="29" t="str">
        <f t="shared" si="394"/>
        <v>#DIV/0!</v>
      </c>
      <c r="AU391" s="29" t="str">
        <f t="shared" si="394"/>
        <v>#DIV/0!</v>
      </c>
      <c r="AV391" s="29" t="str">
        <f t="shared" si="394"/>
        <v>#DIV/0!</v>
      </c>
      <c r="AW391" s="29" t="str">
        <f t="shared" si="394"/>
        <v>#DIV/0!</v>
      </c>
      <c r="AX391" s="29" t="str">
        <f t="shared" si="394"/>
        <v>#DIV/0!</v>
      </c>
      <c r="AY391" s="29" t="str">
        <f t="shared" si="394"/>
        <v>#DIV/0!</v>
      </c>
      <c r="AZ391" s="29" t="str">
        <f t="shared" si="394"/>
        <v>#DIV/0!</v>
      </c>
      <c r="BA391" s="29" t="str">
        <f t="shared" si="394"/>
        <v>#DIV/0!</v>
      </c>
      <c r="BB391" s="29" t="str">
        <f t="shared" si="394"/>
        <v>#DIV/0!</v>
      </c>
      <c r="BC391" s="29" t="str">
        <f t="shared" si="394"/>
        <v>#DIV/0!</v>
      </c>
      <c r="BD391" s="29" t="str">
        <f t="shared" si="394"/>
        <v>#DIV/0!</v>
      </c>
      <c r="BE391" s="29" t="str">
        <f t="shared" si="394"/>
        <v>#DIV/0!</v>
      </c>
      <c r="BF391" s="29" t="str">
        <f t="shared" si="394"/>
        <v>#DIV/0!</v>
      </c>
      <c r="BG391" s="29" t="str">
        <f t="shared" si="394"/>
        <v>#DIV/0!</v>
      </c>
      <c r="BH391" s="29" t="str">
        <f t="shared" si="394"/>
        <v>#DIV/0!</v>
      </c>
      <c r="BI391" s="29" t="str">
        <f t="shared" si="394"/>
        <v>#DIV/0!</v>
      </c>
      <c r="BJ391" s="29" t="str">
        <f t="shared" si="394"/>
        <v>#DIV/0!</v>
      </c>
      <c r="BK391" s="29" t="str">
        <f t="shared" si="394"/>
        <v>#DIV/0!</v>
      </c>
      <c r="BL391" s="29" t="str">
        <f t="shared" si="394"/>
        <v>#DIV/0!</v>
      </c>
      <c r="BM391" s="29" t="str">
        <f t="shared" si="3"/>
        <v>#DIV/0!</v>
      </c>
    </row>
    <row r="392">
      <c r="A392" s="16" t="str">
        <f>IFERROR(__xludf.DUMMYFUNCTION("IFERROR(SPARKLINE(SORT(MAP(TRANSPOSE(AQ392:BL392), LAMBDA(val, IF(ISNUMBER(val), PERCENTRANK(AQ392:BL392, val)+0.01, 0))), SEQUENCE(COLUMNS(AQ392:BL392)), FALSE), {""charttype"",""column""; ""color"",""chartreuse""; ""ymin"", 0; ""ymax"", 1.01; ""highcolo"&amp;"r"", ""darkgreen""; ""lowcolor"", ""red""}), """")"),"")</f>
        <v/>
      </c>
      <c r="B392" s="17" t="str">
        <f t="shared" si="4"/>
        <v/>
      </c>
      <c r="C392" s="1" t="s">
        <v>1669</v>
      </c>
      <c r="D392" s="30" t="str">
        <f>IFERROR(__xludf.DUMMYFUNCTION("IFERROR(GOOGLEFINANCE(C392, ""NAME""))"),"Telesat Corp")</f>
        <v>Telesat Corp</v>
      </c>
      <c r="E392" s="30" t="s">
        <v>716</v>
      </c>
      <c r="F392" s="33" t="str">
        <f>IFERROR(__xludf.DUMMYFUNCTION("( (GOOGLEFINANCE(C392, ""price"") - Q392) / Q392 ) / (R392 / 100)"),"Loading...")</f>
        <v>Loading...</v>
      </c>
      <c r="G392" s="20" t="str">
        <f>IFERROR(__xludf.DUMMYFUNCTION("AVERAGE(ARRAYFORMULA(100 * (QUERY(GOOGLEFINANCE(C392, ""high"", TODAY()-40, TODAY()), ""SELECT Col2 WHERE Col2 IS NOT NULL ORDER BY Col1 DESC LIMIT 20"", 0) / QUERY(GOOGLEFINANCE(C392, ""low"", TODAY()-40, TODAY()), ""SELECT Col2 WHERE Col2 IS NOT NULL OR"&amp;"DER BY Col1 DESC LIMIT 20"", 0) - 1)))"),"#N/A")</f>
        <v>#N/A</v>
      </c>
      <c r="H392" s="35" t="str">
        <f t="shared" si="6"/>
        <v/>
      </c>
      <c r="I392" s="36" t="str">
        <f t="shared" si="7"/>
        <v/>
      </c>
      <c r="J392" s="37" t="str">
        <f>IFERROR(__xludf.DUMMYFUNCTION("IFERROR(
  IF(C392="""",, 
    IFERROR(
      GOOGLEFINANCE(C392, ""price"") * GOOGLEFINANCE(C392, ""volumeavg""), 
      GOOGLEFINANCE(C392, ""price"") * AVERAGE(QUERY(GOOGLEFINANCE(C392, ""volume"", TODAY()-40, TODAY()), ""SELECT Col2 WHERE Col2 IS NOT "&amp;"NULL ORDER BY Col1 DESC LIMIT 20"", 0))
    )
  ), 
"""")"),"")</f>
        <v/>
      </c>
      <c r="K392" s="21" t="str">
        <f>IFERROR(__xludf.DUMMYFUNCTION("IFERROR(GOOGLEFINANCE(C392, ""changepct"") / 100, """")"),"")</f>
        <v/>
      </c>
      <c r="L392" s="21" t="str">
        <f>IFERROR(__xludf.DUMMYFUNCTION("IFERROR((GOOGLEFINANCE(C392, ""price"") / INDEX(GOOGLEFINANCE(C392, ""price"", TODAY()-7, TODAY()), 2, 2)) - 1, """")"),"")</f>
        <v/>
      </c>
      <c r="M392" s="21" t="str">
        <f>IFERROR(__xludf.DUMMYFUNCTION("IFERROR((GOOGLEFINANCE(C392, ""price"") / INDEX(GOOGLEFINANCE(C392, ""price"", EDATE(TODAY(), -1), TODAY()), 2, 2)) - 1, """")"),"")</f>
        <v/>
      </c>
      <c r="N392" s="21" t="str">
        <f>IFERROR(__xludf.DUMMYFUNCTION("IFERROR((GOOGLEFINANCE(C392, ""price"") / INDEX(GOOGLEFINANCE(C392, ""price"", EDATE(TODAY(), -3), TODAY()), 2, 2)) - 1, """")"),"")</f>
        <v/>
      </c>
      <c r="O392" s="21" t="str">
        <f>IFERROR(__xludf.DUMMYFUNCTION("IFERROR((GOOGLEFINANCE(C392, ""price"") / INDEX(GOOGLEFINANCE(C392, ""price"", EDATE(TODAY(), -6), TODAY()), 2, 2)) - 1, """")"),"")</f>
        <v/>
      </c>
      <c r="P392" s="21" t="str">
        <f>IFERROR(__xludf.DUMMYFUNCTION("IFERROR((GOOGLEFINANCE(C392, ""price"") / INDEX(GOOGLEFINANCE(C392, ""price"", EDATE(TODAY(), -12), TODAY()), 2, 2)) - 1, """")"),"")</f>
        <v/>
      </c>
      <c r="Q392" s="6" t="str">
        <f>IFERROR(__xludf.DUMMYFUNCTION("AVERAGE(QUERY(GOOGLEFINANCE(C392, ""price"", TODAY()-80, TODAY()), ""SELECT Col2 WHERE Col2 IS NOT NULL ORDER BY Col1 DESC LIMIT 50"", 0))"),"#N/A")</f>
        <v>#N/A</v>
      </c>
      <c r="R392" s="24" t="str">
        <f>IFERROR(__xludf.DUMMYFUNCTION("IFERROR(
  LET(
    data, QUERY(GOOGLEFINANCE(C392,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GOOGLEFINANCE(C392, ""price"")) * 100,
    IF(calc=0, G392, calc)
  ), 
G392)"),"#N/A")</f>
        <v>#N/A</v>
      </c>
      <c r="S392" s="8" t="s">
        <v>15</v>
      </c>
      <c r="T392" s="26" t="str">
        <f>IFERROR(__xludf.DUMMYFUNCTION("IFERROR(TRANSPOSE(QUERY(IFERROR(SORT(GOOGLEFINANCE(C392, ""price"", WORKDAY(TODAY(), -40), TODAY()), 1, FALSE)), ""select Col2 where Col2 is not null limit 22 label Col2 ''"", 0)), """")"),"")</f>
        <v/>
      </c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8"/>
      <c r="AO392" s="28"/>
      <c r="AP392" s="29"/>
      <c r="AQ392" s="29" t="str">
        <f t="shared" ref="AQ392:BL392" si="395">T392/T$2</f>
        <v>#N/A</v>
      </c>
      <c r="AR392" s="29" t="str">
        <f t="shared" si="395"/>
        <v>#DIV/0!</v>
      </c>
      <c r="AS392" s="29" t="str">
        <f t="shared" si="395"/>
        <v>#DIV/0!</v>
      </c>
      <c r="AT392" s="29" t="str">
        <f t="shared" si="395"/>
        <v>#DIV/0!</v>
      </c>
      <c r="AU392" s="29" t="str">
        <f t="shared" si="395"/>
        <v>#DIV/0!</v>
      </c>
      <c r="AV392" s="29" t="str">
        <f t="shared" si="395"/>
        <v>#DIV/0!</v>
      </c>
      <c r="AW392" s="29" t="str">
        <f t="shared" si="395"/>
        <v>#DIV/0!</v>
      </c>
      <c r="AX392" s="29" t="str">
        <f t="shared" si="395"/>
        <v>#DIV/0!</v>
      </c>
      <c r="AY392" s="29" t="str">
        <f t="shared" si="395"/>
        <v>#DIV/0!</v>
      </c>
      <c r="AZ392" s="29" t="str">
        <f t="shared" si="395"/>
        <v>#DIV/0!</v>
      </c>
      <c r="BA392" s="29" t="str">
        <f t="shared" si="395"/>
        <v>#DIV/0!</v>
      </c>
      <c r="BB392" s="29" t="str">
        <f t="shared" si="395"/>
        <v>#DIV/0!</v>
      </c>
      <c r="BC392" s="29" t="str">
        <f t="shared" si="395"/>
        <v>#DIV/0!</v>
      </c>
      <c r="BD392" s="29" t="str">
        <f t="shared" si="395"/>
        <v>#DIV/0!</v>
      </c>
      <c r="BE392" s="29" t="str">
        <f t="shared" si="395"/>
        <v>#DIV/0!</v>
      </c>
      <c r="BF392" s="29" t="str">
        <f t="shared" si="395"/>
        <v>#DIV/0!</v>
      </c>
      <c r="BG392" s="29" t="str">
        <f t="shared" si="395"/>
        <v>#DIV/0!</v>
      </c>
      <c r="BH392" s="29" t="str">
        <f t="shared" si="395"/>
        <v>#DIV/0!</v>
      </c>
      <c r="BI392" s="29" t="str">
        <f t="shared" si="395"/>
        <v>#DIV/0!</v>
      </c>
      <c r="BJ392" s="29" t="str">
        <f t="shared" si="395"/>
        <v>#DIV/0!</v>
      </c>
      <c r="BK392" s="29" t="str">
        <f t="shared" si="395"/>
        <v>#DIV/0!</v>
      </c>
      <c r="BL392" s="29" t="str">
        <f t="shared" si="395"/>
        <v>#DIV/0!</v>
      </c>
      <c r="BM392" s="29" t="str">
        <f t="shared" si="3"/>
        <v>#DIV/0!</v>
      </c>
    </row>
    <row r="393">
      <c r="A393" s="16" t="str">
        <f>IFERROR(__xludf.DUMMYFUNCTION("IFERROR(SPARKLINE(SORT(MAP(TRANSPOSE(AQ393:BL393), LAMBDA(val, IF(ISNUMBER(val), PERCENTRANK(AQ393:BL393, val)+0.01, 0))), SEQUENCE(COLUMNS(AQ393:BL393)), FALSE), {""charttype"",""column""; ""color"",""chartreuse""; ""ymin"", 0; ""ymax"", 1.01; ""highcolo"&amp;"r"", ""darkgreen""; ""lowcolor"", ""red""}), """")"),"")</f>
        <v/>
      </c>
      <c r="B393" s="17" t="str">
        <f t="shared" si="4"/>
        <v/>
      </c>
      <c r="C393" s="1" t="s">
        <v>1673</v>
      </c>
      <c r="D393" s="30" t="str">
        <f>IFERROR(__xludf.DUMMYFUNCTION("IFERROR(GOOGLEFINANCE(C393, ""NAME""))"),"Frequency Electronics Inc")</f>
        <v>Frequency Electronics Inc</v>
      </c>
      <c r="E393" s="30" t="s">
        <v>716</v>
      </c>
      <c r="F393" s="33" t="str">
        <f>IFERROR(__xludf.DUMMYFUNCTION("( (GOOGLEFINANCE(C393, ""price"") - Q393) / Q393 ) / (R393 / 100)"),"Loading...")</f>
        <v>Loading...</v>
      </c>
      <c r="G393" s="20" t="str">
        <f>IFERROR(__xludf.DUMMYFUNCTION("AVERAGE(ARRAYFORMULA(100 * (QUERY(GOOGLEFINANCE(C393, ""high"", TODAY()-40, TODAY()), ""SELECT Col2 WHERE Col2 IS NOT NULL ORDER BY Col1 DESC LIMIT 20"", 0) / QUERY(GOOGLEFINANCE(C393, ""low"", TODAY()-40, TODAY()), ""SELECT Col2 WHERE Col2 IS NOT NULL OR"&amp;"DER BY Col1 DESC LIMIT 20"", 0) - 1)))"),"#N/A")</f>
        <v>#N/A</v>
      </c>
      <c r="H393" s="35" t="str">
        <f t="shared" si="6"/>
        <v/>
      </c>
      <c r="I393" s="36" t="str">
        <f t="shared" si="7"/>
        <v/>
      </c>
      <c r="J393" s="37" t="str">
        <f>IFERROR(__xludf.DUMMYFUNCTION("IFERROR(
  IF(C393="""",, 
    IFERROR(
      GOOGLEFINANCE(C393, ""price"") * GOOGLEFINANCE(C393, ""volumeavg""), 
      GOOGLEFINANCE(C393, ""price"") * AVERAGE(QUERY(GOOGLEFINANCE(C393, ""volume"", TODAY()-40, TODAY()), ""SELECT Col2 WHERE Col2 IS NOT "&amp;"NULL ORDER BY Col1 DESC LIMIT 20"", 0))
    )
  ), 
"""")"),"")</f>
        <v/>
      </c>
      <c r="K393" s="21" t="str">
        <f>IFERROR(__xludf.DUMMYFUNCTION("IFERROR(GOOGLEFINANCE(C393, ""changepct"") / 100, """")"),"")</f>
        <v/>
      </c>
      <c r="L393" s="21" t="str">
        <f>IFERROR(__xludf.DUMMYFUNCTION("IFERROR((GOOGLEFINANCE(C393, ""price"") / INDEX(GOOGLEFINANCE(C393, ""price"", TODAY()-7, TODAY()), 2, 2)) - 1, """")"),"")</f>
        <v/>
      </c>
      <c r="M393" s="21" t="str">
        <f>IFERROR(__xludf.DUMMYFUNCTION("IFERROR((GOOGLEFINANCE(C393, ""price"") / INDEX(GOOGLEFINANCE(C393, ""price"", EDATE(TODAY(), -1), TODAY()), 2, 2)) - 1, """")"),"")</f>
        <v/>
      </c>
      <c r="N393" s="21" t="str">
        <f>IFERROR(__xludf.DUMMYFUNCTION("IFERROR((GOOGLEFINANCE(C393, ""price"") / INDEX(GOOGLEFINANCE(C393, ""price"", EDATE(TODAY(), -3), TODAY()), 2, 2)) - 1, """")"),"")</f>
        <v/>
      </c>
      <c r="O393" s="21" t="str">
        <f>IFERROR(__xludf.DUMMYFUNCTION("IFERROR((GOOGLEFINANCE(C393, ""price"") / INDEX(GOOGLEFINANCE(C393, ""price"", EDATE(TODAY(), -6), TODAY()), 2, 2)) - 1, """")"),"")</f>
        <v/>
      </c>
      <c r="P393" s="21" t="str">
        <f>IFERROR(__xludf.DUMMYFUNCTION("IFERROR((GOOGLEFINANCE(C393, ""price"") / INDEX(GOOGLEFINANCE(C393, ""price"", EDATE(TODAY(), -12), TODAY()), 2, 2)) - 1, """")"),"")</f>
        <v/>
      </c>
      <c r="Q393" s="6" t="str">
        <f>IFERROR(__xludf.DUMMYFUNCTION("AVERAGE(QUERY(GOOGLEFINANCE(C393, ""price"", TODAY()-80, TODAY()), ""SELECT Col2 WHERE Col2 IS NOT NULL ORDER BY Col1 DESC LIMIT 50"", 0))"),"#N/A")</f>
        <v>#N/A</v>
      </c>
      <c r="R393" s="24" t="str">
        <f>IFERROR(__xludf.DUMMYFUNCTION("IFERROR(
  LET(
    data, QUERY(GOOGLEFINANCE(C393,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GOOGLEFINANCE(C393, ""price"")) * 100,
    IF(calc=0, G393, calc)
  ), 
G393)"),"#N/A")</f>
        <v>#N/A</v>
      </c>
      <c r="S393" s="8" t="s">
        <v>15</v>
      </c>
      <c r="T393" s="26" t="str">
        <f>IFERROR(__xludf.DUMMYFUNCTION("IFERROR(TRANSPOSE(QUERY(IFERROR(SORT(GOOGLEFINANCE(C393, ""price"", WORKDAY(TODAY(), -40), TODAY()), 1, FALSE)), ""select Col2 where Col2 is not null limit 22 label Col2 ''"", 0)), """")"),"")</f>
        <v/>
      </c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8"/>
      <c r="AO393" s="28"/>
      <c r="AP393" s="29"/>
      <c r="AQ393" s="29" t="str">
        <f t="shared" ref="AQ393:BL393" si="396">T393/T$2</f>
        <v>#N/A</v>
      </c>
      <c r="AR393" s="29" t="str">
        <f t="shared" si="396"/>
        <v>#DIV/0!</v>
      </c>
      <c r="AS393" s="29" t="str">
        <f t="shared" si="396"/>
        <v>#DIV/0!</v>
      </c>
      <c r="AT393" s="29" t="str">
        <f t="shared" si="396"/>
        <v>#DIV/0!</v>
      </c>
      <c r="AU393" s="29" t="str">
        <f t="shared" si="396"/>
        <v>#DIV/0!</v>
      </c>
      <c r="AV393" s="29" t="str">
        <f t="shared" si="396"/>
        <v>#DIV/0!</v>
      </c>
      <c r="AW393" s="29" t="str">
        <f t="shared" si="396"/>
        <v>#DIV/0!</v>
      </c>
      <c r="AX393" s="29" t="str">
        <f t="shared" si="396"/>
        <v>#DIV/0!</v>
      </c>
      <c r="AY393" s="29" t="str">
        <f t="shared" si="396"/>
        <v>#DIV/0!</v>
      </c>
      <c r="AZ393" s="29" t="str">
        <f t="shared" si="396"/>
        <v>#DIV/0!</v>
      </c>
      <c r="BA393" s="29" t="str">
        <f t="shared" si="396"/>
        <v>#DIV/0!</v>
      </c>
      <c r="BB393" s="29" t="str">
        <f t="shared" si="396"/>
        <v>#DIV/0!</v>
      </c>
      <c r="BC393" s="29" t="str">
        <f t="shared" si="396"/>
        <v>#DIV/0!</v>
      </c>
      <c r="BD393" s="29" t="str">
        <f t="shared" si="396"/>
        <v>#DIV/0!</v>
      </c>
      <c r="BE393" s="29" t="str">
        <f t="shared" si="396"/>
        <v>#DIV/0!</v>
      </c>
      <c r="BF393" s="29" t="str">
        <f t="shared" si="396"/>
        <v>#DIV/0!</v>
      </c>
      <c r="BG393" s="29" t="str">
        <f t="shared" si="396"/>
        <v>#DIV/0!</v>
      </c>
      <c r="BH393" s="29" t="str">
        <f t="shared" si="396"/>
        <v>#DIV/0!</v>
      </c>
      <c r="BI393" s="29" t="str">
        <f t="shared" si="396"/>
        <v>#DIV/0!</v>
      </c>
      <c r="BJ393" s="29" t="str">
        <f t="shared" si="396"/>
        <v>#DIV/0!</v>
      </c>
      <c r="BK393" s="29" t="str">
        <f t="shared" si="396"/>
        <v>#DIV/0!</v>
      </c>
      <c r="BL393" s="29" t="str">
        <f t="shared" si="396"/>
        <v>#DIV/0!</v>
      </c>
      <c r="BM393" s="29" t="str">
        <f t="shared" si="3"/>
        <v>#DIV/0!</v>
      </c>
    </row>
    <row r="394">
      <c r="A394" s="16" t="str">
        <f>IFERROR(__xludf.DUMMYFUNCTION("IFERROR(SPARKLINE(SORT(MAP(TRANSPOSE(AQ394:BL394), LAMBDA(val, IF(ISNUMBER(val), PERCENTRANK(AQ394:BL394, val)+0.01, 0))), SEQUENCE(COLUMNS(AQ394:BL394)), FALSE), {""charttype"",""column""; ""color"",""chartreuse""; ""ymin"", 0; ""ymax"", 1.01; ""highcolo"&amp;"r"", ""darkgreen""; ""lowcolor"", ""red""}), """")"),"")</f>
        <v/>
      </c>
      <c r="B394" s="17" t="str">
        <f t="shared" si="4"/>
        <v/>
      </c>
      <c r="C394" s="1" t="s">
        <v>1676</v>
      </c>
      <c r="D394" s="30" t="str">
        <f>IFERROR(__xludf.DUMMYFUNCTION("IFERROR(GOOGLEFINANCE(C394, ""NAME""))"),"Ouster Inc")</f>
        <v>Ouster Inc</v>
      </c>
      <c r="E394" s="30" t="s">
        <v>469</v>
      </c>
      <c r="F394" s="33" t="str">
        <f>IFERROR(__xludf.DUMMYFUNCTION("( (GOOGLEFINANCE(C394, ""price"") - Q394) / Q394 ) / (R394 / 100)"),"Loading...")</f>
        <v>Loading...</v>
      </c>
      <c r="G394" s="20" t="str">
        <f>IFERROR(__xludf.DUMMYFUNCTION("AVERAGE(ARRAYFORMULA(100 * (QUERY(GOOGLEFINANCE(C394, ""high"", TODAY()-40, TODAY()), ""SELECT Col2 WHERE Col2 IS NOT NULL ORDER BY Col1 DESC LIMIT 20"", 0) / QUERY(GOOGLEFINANCE(C394, ""low"", TODAY()-40, TODAY()), ""SELECT Col2 WHERE Col2 IS NOT NULL OR"&amp;"DER BY Col1 DESC LIMIT 20"", 0) - 1)))"),"#N/A")</f>
        <v>#N/A</v>
      </c>
      <c r="H394" s="35" t="str">
        <f t="shared" si="6"/>
        <v/>
      </c>
      <c r="I394" s="36" t="str">
        <f t="shared" si="7"/>
        <v/>
      </c>
      <c r="J394" s="37" t="str">
        <f>IFERROR(__xludf.DUMMYFUNCTION("IFERROR(
  IF(C394="""",, 
    IFERROR(
      GOOGLEFINANCE(C394, ""price"") * GOOGLEFINANCE(C394, ""volumeavg""), 
      GOOGLEFINANCE(C394, ""price"") * AVERAGE(QUERY(GOOGLEFINANCE(C394, ""volume"", TODAY()-40, TODAY()), ""SELECT Col2 WHERE Col2 IS NOT "&amp;"NULL ORDER BY Col1 DESC LIMIT 20"", 0))
    )
  ), 
"""")"),"")</f>
        <v/>
      </c>
      <c r="K394" s="21" t="str">
        <f>IFERROR(__xludf.DUMMYFUNCTION("IFERROR(GOOGLEFINANCE(C394, ""changepct"") / 100, """")"),"")</f>
        <v/>
      </c>
      <c r="L394" s="21" t="str">
        <f>IFERROR(__xludf.DUMMYFUNCTION("IFERROR((GOOGLEFINANCE(C394, ""price"") / INDEX(GOOGLEFINANCE(C394, ""price"", TODAY()-7, TODAY()), 2, 2)) - 1, """")"),"")</f>
        <v/>
      </c>
      <c r="M394" s="21" t="str">
        <f>IFERROR(__xludf.DUMMYFUNCTION("IFERROR((GOOGLEFINANCE(C394, ""price"") / INDEX(GOOGLEFINANCE(C394, ""price"", EDATE(TODAY(), -1), TODAY()), 2, 2)) - 1, """")"),"")</f>
        <v/>
      </c>
      <c r="N394" s="21" t="str">
        <f>IFERROR(__xludf.DUMMYFUNCTION("IFERROR((GOOGLEFINANCE(C394, ""price"") / INDEX(GOOGLEFINANCE(C394, ""price"", EDATE(TODAY(), -3), TODAY()), 2, 2)) - 1, """")"),"")</f>
        <v/>
      </c>
      <c r="O394" s="21" t="str">
        <f>IFERROR(__xludf.DUMMYFUNCTION("IFERROR((GOOGLEFINANCE(C394, ""price"") / INDEX(GOOGLEFINANCE(C394, ""price"", EDATE(TODAY(), -6), TODAY()), 2, 2)) - 1, """")"),"")</f>
        <v/>
      </c>
      <c r="P394" s="21" t="str">
        <f>IFERROR(__xludf.DUMMYFUNCTION("IFERROR((GOOGLEFINANCE(C394, ""price"") / INDEX(GOOGLEFINANCE(C394, ""price"", EDATE(TODAY(), -12), TODAY()), 2, 2)) - 1, """")"),"")</f>
        <v/>
      </c>
      <c r="Q394" s="6" t="str">
        <f>IFERROR(__xludf.DUMMYFUNCTION("AVERAGE(QUERY(GOOGLEFINANCE(C394, ""price"", TODAY()-80, TODAY()), ""SELECT Col2 WHERE Col2 IS NOT NULL ORDER BY Col1 DESC LIMIT 50"", 0))"),"#N/A")</f>
        <v>#N/A</v>
      </c>
      <c r="R394" s="24" t="str">
        <f>IFERROR(__xludf.DUMMYFUNCTION("IFERROR(
  LET(
    data, QUERY(GOOGLEFINANCE(C394,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GOOGLEFINANCE(C394, ""price"")) * 100,
    IF(calc=0, G394, calc)
  ), 
G394)"),"#N/A")</f>
        <v>#N/A</v>
      </c>
      <c r="S394" s="8" t="s">
        <v>15</v>
      </c>
      <c r="T394" s="26" t="str">
        <f>IFERROR(__xludf.DUMMYFUNCTION("IFERROR(TRANSPOSE(QUERY(IFERROR(SORT(GOOGLEFINANCE(C394, ""price"", WORKDAY(TODAY(), -40), TODAY()), 1, FALSE)), ""select Col2 where Col2 is not null limit 22 label Col2 ''"", 0)), """")"),"")</f>
        <v/>
      </c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8"/>
      <c r="AO394" s="28"/>
      <c r="AP394" s="29"/>
      <c r="AQ394" s="29" t="str">
        <f t="shared" ref="AQ394:BL394" si="397">T394/T$2</f>
        <v>#N/A</v>
      </c>
      <c r="AR394" s="29" t="str">
        <f t="shared" si="397"/>
        <v>#DIV/0!</v>
      </c>
      <c r="AS394" s="29" t="str">
        <f t="shared" si="397"/>
        <v>#DIV/0!</v>
      </c>
      <c r="AT394" s="29" t="str">
        <f t="shared" si="397"/>
        <v>#DIV/0!</v>
      </c>
      <c r="AU394" s="29" t="str">
        <f t="shared" si="397"/>
        <v>#DIV/0!</v>
      </c>
      <c r="AV394" s="29" t="str">
        <f t="shared" si="397"/>
        <v>#DIV/0!</v>
      </c>
      <c r="AW394" s="29" t="str">
        <f t="shared" si="397"/>
        <v>#DIV/0!</v>
      </c>
      <c r="AX394" s="29" t="str">
        <f t="shared" si="397"/>
        <v>#DIV/0!</v>
      </c>
      <c r="AY394" s="29" t="str">
        <f t="shared" si="397"/>
        <v>#DIV/0!</v>
      </c>
      <c r="AZ394" s="29" t="str">
        <f t="shared" si="397"/>
        <v>#DIV/0!</v>
      </c>
      <c r="BA394" s="29" t="str">
        <f t="shared" si="397"/>
        <v>#DIV/0!</v>
      </c>
      <c r="BB394" s="29" t="str">
        <f t="shared" si="397"/>
        <v>#DIV/0!</v>
      </c>
      <c r="BC394" s="29" t="str">
        <f t="shared" si="397"/>
        <v>#DIV/0!</v>
      </c>
      <c r="BD394" s="29" t="str">
        <f t="shared" si="397"/>
        <v>#DIV/0!</v>
      </c>
      <c r="BE394" s="29" t="str">
        <f t="shared" si="397"/>
        <v>#DIV/0!</v>
      </c>
      <c r="BF394" s="29" t="str">
        <f t="shared" si="397"/>
        <v>#DIV/0!</v>
      </c>
      <c r="BG394" s="29" t="str">
        <f t="shared" si="397"/>
        <v>#DIV/0!</v>
      </c>
      <c r="BH394" s="29" t="str">
        <f t="shared" si="397"/>
        <v>#DIV/0!</v>
      </c>
      <c r="BI394" s="29" t="str">
        <f t="shared" si="397"/>
        <v>#DIV/0!</v>
      </c>
      <c r="BJ394" s="29" t="str">
        <f t="shared" si="397"/>
        <v>#DIV/0!</v>
      </c>
      <c r="BK394" s="29" t="str">
        <f t="shared" si="397"/>
        <v>#DIV/0!</v>
      </c>
      <c r="BL394" s="29" t="str">
        <f t="shared" si="397"/>
        <v>#DIV/0!</v>
      </c>
      <c r="BM394" s="29" t="str">
        <f t="shared" si="3"/>
        <v>#DIV/0!</v>
      </c>
    </row>
    <row r="395">
      <c r="A395" s="16" t="str">
        <f>IFERROR(__xludf.DUMMYFUNCTION("IFERROR(SPARKLINE(SORT(MAP(TRANSPOSE(AQ395:BL395), LAMBDA(val, IF(ISNUMBER(val), PERCENTRANK(AQ395:BL395, val)+0.01, 0))), SEQUENCE(COLUMNS(AQ395:BL395)), FALSE), {""charttype"",""column""; ""color"",""chartreuse""; ""ymin"", 0; ""ymax"", 1.01; ""highcolo"&amp;"r"", ""darkgreen""; ""lowcolor"", ""red""}), """")"),"")</f>
        <v/>
      </c>
      <c r="B395" s="17" t="str">
        <f t="shared" si="4"/>
        <v/>
      </c>
      <c r="C395" s="1" t="s">
        <v>1679</v>
      </c>
      <c r="D395" s="30" t="str">
        <f>IFERROR(__xludf.DUMMYFUNCTION("IFERROR(GOOGLEFINANCE(C395, ""NAME""))"),"Celestica Inc")</f>
        <v>Celestica Inc</v>
      </c>
      <c r="E395" s="30" t="s">
        <v>469</v>
      </c>
      <c r="F395" s="33" t="str">
        <f>IFERROR(__xludf.DUMMYFUNCTION("( (GOOGLEFINANCE(C395, ""price"") - Q395) / Q395 ) / (R395 / 100)"),"Loading...")</f>
        <v>Loading...</v>
      </c>
      <c r="G395" s="20" t="str">
        <f>IFERROR(__xludf.DUMMYFUNCTION("AVERAGE(ARRAYFORMULA(100 * (QUERY(GOOGLEFINANCE(C395, ""high"", TODAY()-40, TODAY()), ""SELECT Col2 WHERE Col2 IS NOT NULL ORDER BY Col1 DESC LIMIT 20"", 0) / QUERY(GOOGLEFINANCE(C395, ""low"", TODAY()-40, TODAY()), ""SELECT Col2 WHERE Col2 IS NOT NULL OR"&amp;"DER BY Col1 DESC LIMIT 20"", 0) - 1)))"),"#N/A")</f>
        <v>#N/A</v>
      </c>
      <c r="H395" s="35" t="str">
        <f t="shared" si="6"/>
        <v/>
      </c>
      <c r="I395" s="36" t="str">
        <f t="shared" si="7"/>
        <v/>
      </c>
      <c r="J395" s="37" t="str">
        <f>IFERROR(__xludf.DUMMYFUNCTION("IFERROR(
  IF(C395="""",, 
    IFERROR(
      GOOGLEFINANCE(C395, ""price"") * GOOGLEFINANCE(C395, ""volumeavg""), 
      GOOGLEFINANCE(C395, ""price"") * AVERAGE(QUERY(GOOGLEFINANCE(C395, ""volume"", TODAY()-40, TODAY()), ""SELECT Col2 WHERE Col2 IS NOT "&amp;"NULL ORDER BY Col1 DESC LIMIT 20"", 0))
    )
  ), 
"""")"),"")</f>
        <v/>
      </c>
      <c r="K395" s="21" t="str">
        <f>IFERROR(__xludf.DUMMYFUNCTION("IFERROR(GOOGLEFINANCE(C395, ""changepct"") / 100, """")"),"")</f>
        <v/>
      </c>
      <c r="L395" s="21" t="str">
        <f>IFERROR(__xludf.DUMMYFUNCTION("IFERROR((GOOGLEFINANCE(C395, ""price"") / INDEX(GOOGLEFINANCE(C395, ""price"", TODAY()-7, TODAY()), 2, 2)) - 1, """")"),"")</f>
        <v/>
      </c>
      <c r="M395" s="21" t="str">
        <f>IFERROR(__xludf.DUMMYFUNCTION("IFERROR((GOOGLEFINANCE(C395, ""price"") / INDEX(GOOGLEFINANCE(C395, ""price"", EDATE(TODAY(), -1), TODAY()), 2, 2)) - 1, """")"),"")</f>
        <v/>
      </c>
      <c r="N395" s="21" t="str">
        <f>IFERROR(__xludf.DUMMYFUNCTION("IFERROR((GOOGLEFINANCE(C395, ""price"") / INDEX(GOOGLEFINANCE(C395, ""price"", EDATE(TODAY(), -3), TODAY()), 2, 2)) - 1, """")"),"")</f>
        <v/>
      </c>
      <c r="O395" s="21" t="str">
        <f>IFERROR(__xludf.DUMMYFUNCTION("IFERROR((GOOGLEFINANCE(C395, ""price"") / INDEX(GOOGLEFINANCE(C395, ""price"", EDATE(TODAY(), -6), TODAY()), 2, 2)) - 1, """")"),"")</f>
        <v/>
      </c>
      <c r="P395" s="21" t="str">
        <f>IFERROR(__xludf.DUMMYFUNCTION("IFERROR((GOOGLEFINANCE(C395, ""price"") / INDEX(GOOGLEFINANCE(C395, ""price"", EDATE(TODAY(), -12), TODAY()), 2, 2)) - 1, """")"),"")</f>
        <v/>
      </c>
      <c r="Q395" s="6" t="str">
        <f>IFERROR(__xludf.DUMMYFUNCTION("AVERAGE(QUERY(GOOGLEFINANCE(C395, ""price"", TODAY()-80, TODAY()), ""SELECT Col2 WHERE Col2 IS NOT NULL ORDER BY Col1 DESC LIMIT 50"", 0))"),"#N/A")</f>
        <v>#N/A</v>
      </c>
      <c r="R395" s="24" t="str">
        <f>IFERROR(__xludf.DUMMYFUNCTION("IFERROR(
  LET(
    data, QUERY(GOOGLEFINANCE(C395,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GOOGLEFINANCE(C395, ""price"")) * 100,
    IF(calc=0, G395, calc)
  ), 
G395)"),"#N/A")</f>
        <v>#N/A</v>
      </c>
      <c r="S395" s="8" t="s">
        <v>15</v>
      </c>
      <c r="T395" s="26" t="str">
        <f>IFERROR(__xludf.DUMMYFUNCTION("IFERROR(TRANSPOSE(QUERY(IFERROR(SORT(GOOGLEFINANCE(C395, ""price"", WORKDAY(TODAY(), -40), TODAY()), 1, FALSE)), ""select Col2 where Col2 is not null limit 22 label Col2 ''"", 0)), """")"),"")</f>
        <v/>
      </c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8"/>
      <c r="AO395" s="28"/>
      <c r="AP395" s="29"/>
      <c r="AQ395" s="29" t="str">
        <f t="shared" ref="AQ395:BL395" si="398">T395/T$2</f>
        <v>#N/A</v>
      </c>
      <c r="AR395" s="29" t="str">
        <f t="shared" si="398"/>
        <v>#DIV/0!</v>
      </c>
      <c r="AS395" s="29" t="str">
        <f t="shared" si="398"/>
        <v>#DIV/0!</v>
      </c>
      <c r="AT395" s="29" t="str">
        <f t="shared" si="398"/>
        <v>#DIV/0!</v>
      </c>
      <c r="AU395" s="29" t="str">
        <f t="shared" si="398"/>
        <v>#DIV/0!</v>
      </c>
      <c r="AV395" s="29" t="str">
        <f t="shared" si="398"/>
        <v>#DIV/0!</v>
      </c>
      <c r="AW395" s="29" t="str">
        <f t="shared" si="398"/>
        <v>#DIV/0!</v>
      </c>
      <c r="AX395" s="29" t="str">
        <f t="shared" si="398"/>
        <v>#DIV/0!</v>
      </c>
      <c r="AY395" s="29" t="str">
        <f t="shared" si="398"/>
        <v>#DIV/0!</v>
      </c>
      <c r="AZ395" s="29" t="str">
        <f t="shared" si="398"/>
        <v>#DIV/0!</v>
      </c>
      <c r="BA395" s="29" t="str">
        <f t="shared" si="398"/>
        <v>#DIV/0!</v>
      </c>
      <c r="BB395" s="29" t="str">
        <f t="shared" si="398"/>
        <v>#DIV/0!</v>
      </c>
      <c r="BC395" s="29" t="str">
        <f t="shared" si="398"/>
        <v>#DIV/0!</v>
      </c>
      <c r="BD395" s="29" t="str">
        <f t="shared" si="398"/>
        <v>#DIV/0!</v>
      </c>
      <c r="BE395" s="29" t="str">
        <f t="shared" si="398"/>
        <v>#DIV/0!</v>
      </c>
      <c r="BF395" s="29" t="str">
        <f t="shared" si="398"/>
        <v>#DIV/0!</v>
      </c>
      <c r="BG395" s="29" t="str">
        <f t="shared" si="398"/>
        <v>#DIV/0!</v>
      </c>
      <c r="BH395" s="29" t="str">
        <f t="shared" si="398"/>
        <v>#DIV/0!</v>
      </c>
      <c r="BI395" s="29" t="str">
        <f t="shared" si="398"/>
        <v>#DIV/0!</v>
      </c>
      <c r="BJ395" s="29" t="str">
        <f t="shared" si="398"/>
        <v>#DIV/0!</v>
      </c>
      <c r="BK395" s="29" t="str">
        <f t="shared" si="398"/>
        <v>#DIV/0!</v>
      </c>
      <c r="BL395" s="29" t="str">
        <f t="shared" si="398"/>
        <v>#DIV/0!</v>
      </c>
      <c r="BM395" s="29" t="str">
        <f t="shared" si="3"/>
        <v>#DIV/0!</v>
      </c>
    </row>
    <row r="396">
      <c r="A396" s="16" t="str">
        <f>IFERROR(__xludf.DUMMYFUNCTION("IFERROR(SPARKLINE(SORT(MAP(TRANSPOSE(AQ396:BL396), LAMBDA(val, IF(ISNUMBER(val), PERCENTRANK(AQ396:BL396, val)+0.01, 0))), SEQUENCE(COLUMNS(AQ396:BL396)), FALSE), {""charttype"",""column""; ""color"",""chartreuse""; ""ymin"", 0; ""ymax"", 1.01; ""highcolo"&amp;"r"", ""darkgreen""; ""lowcolor"", ""red""}), """")"),"")</f>
        <v/>
      </c>
      <c r="B396" s="17" t="str">
        <f t="shared" si="4"/>
        <v/>
      </c>
      <c r="C396" s="1" t="s">
        <v>1684</v>
      </c>
      <c r="D396" s="30" t="str">
        <f>IFERROR(__xludf.DUMMYFUNCTION("IFERROR(GOOGLEFINANCE(C396, ""NAME""))"),"Flex Ltd")</f>
        <v>Flex Ltd</v>
      </c>
      <c r="E396" s="30" t="s">
        <v>469</v>
      </c>
      <c r="F396" s="33" t="str">
        <f>IFERROR(__xludf.DUMMYFUNCTION("( (GOOGLEFINANCE(C396, ""price"") - Q396) / Q396 ) / (R396 / 100)"),"Loading...")</f>
        <v>Loading...</v>
      </c>
      <c r="G396" s="20" t="str">
        <f>IFERROR(__xludf.DUMMYFUNCTION("AVERAGE(ARRAYFORMULA(100 * (QUERY(GOOGLEFINANCE(C396, ""high"", TODAY()-40, TODAY()), ""SELECT Col2 WHERE Col2 IS NOT NULL ORDER BY Col1 DESC LIMIT 20"", 0) / QUERY(GOOGLEFINANCE(C396, ""low"", TODAY()-40, TODAY()), ""SELECT Col2 WHERE Col2 IS NOT NULL OR"&amp;"DER BY Col1 DESC LIMIT 20"", 0) - 1)))"),"#N/A")</f>
        <v>#N/A</v>
      </c>
      <c r="H396" s="35" t="str">
        <f t="shared" si="6"/>
        <v/>
      </c>
      <c r="I396" s="36" t="str">
        <f t="shared" si="7"/>
        <v/>
      </c>
      <c r="J396" s="37" t="str">
        <f>IFERROR(__xludf.DUMMYFUNCTION("IFERROR(
  IF(C396="""",, 
    IFERROR(
      GOOGLEFINANCE(C396, ""price"") * GOOGLEFINANCE(C396, ""volumeavg""), 
      GOOGLEFINANCE(C396, ""price"") * AVERAGE(QUERY(GOOGLEFINANCE(C396, ""volume"", TODAY()-40, TODAY()), ""SELECT Col2 WHERE Col2 IS NOT "&amp;"NULL ORDER BY Col1 DESC LIMIT 20"", 0))
    )
  ), 
"""")"),"")</f>
        <v/>
      </c>
      <c r="K396" s="21" t="str">
        <f>IFERROR(__xludf.DUMMYFUNCTION("IFERROR(GOOGLEFINANCE(C396, ""changepct"") / 100, """")"),"")</f>
        <v/>
      </c>
      <c r="L396" s="21" t="str">
        <f>IFERROR(__xludf.DUMMYFUNCTION("IFERROR((GOOGLEFINANCE(C396, ""price"") / INDEX(GOOGLEFINANCE(C396, ""price"", TODAY()-7, TODAY()), 2, 2)) - 1, """")"),"")</f>
        <v/>
      </c>
      <c r="M396" s="21" t="str">
        <f>IFERROR(__xludf.DUMMYFUNCTION("IFERROR((GOOGLEFINANCE(C396, ""price"") / INDEX(GOOGLEFINANCE(C396, ""price"", EDATE(TODAY(), -1), TODAY()), 2, 2)) - 1, """")"),"")</f>
        <v/>
      </c>
      <c r="N396" s="21" t="str">
        <f>IFERROR(__xludf.DUMMYFUNCTION("IFERROR((GOOGLEFINANCE(C396, ""price"") / INDEX(GOOGLEFINANCE(C396, ""price"", EDATE(TODAY(), -3), TODAY()), 2, 2)) - 1, """")"),"")</f>
        <v/>
      </c>
      <c r="O396" s="21" t="str">
        <f>IFERROR(__xludf.DUMMYFUNCTION("IFERROR((GOOGLEFINANCE(C396, ""price"") / INDEX(GOOGLEFINANCE(C396, ""price"", EDATE(TODAY(), -6), TODAY()), 2, 2)) - 1, """")"),"")</f>
        <v/>
      </c>
      <c r="P396" s="21" t="str">
        <f>IFERROR(__xludf.DUMMYFUNCTION("IFERROR((GOOGLEFINANCE(C396, ""price"") / INDEX(GOOGLEFINANCE(C396, ""price"", EDATE(TODAY(), -12), TODAY()), 2, 2)) - 1, """")"),"")</f>
        <v/>
      </c>
      <c r="Q396" s="6" t="str">
        <f>IFERROR(__xludf.DUMMYFUNCTION("AVERAGE(QUERY(GOOGLEFINANCE(C396, ""price"", TODAY()-80, TODAY()), ""SELECT Col2 WHERE Col2 IS NOT NULL ORDER BY Col1 DESC LIMIT 50"", 0))"),"#N/A")</f>
        <v>#N/A</v>
      </c>
      <c r="R396" s="24" t="str">
        <f>IFERROR(__xludf.DUMMYFUNCTION("IFERROR(
  LET(
    data, QUERY(GOOGLEFINANCE(C396,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GOOGLEFINANCE(C396, ""price"")) * 100,
    IF(calc=0, G396, calc)
  ), 
G396)"),"#N/A")</f>
        <v>#N/A</v>
      </c>
      <c r="S396" s="8" t="s">
        <v>15</v>
      </c>
      <c r="T396" s="26" t="str">
        <f>IFERROR(__xludf.DUMMYFUNCTION("IFERROR(TRANSPOSE(QUERY(IFERROR(SORT(GOOGLEFINANCE(C396, ""price"", WORKDAY(TODAY(), -40), TODAY()), 1, FALSE)), ""select Col2 where Col2 is not null limit 22 label Col2 ''"", 0)), """")"),"")</f>
        <v/>
      </c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8"/>
      <c r="AO396" s="28"/>
      <c r="AP396" s="29"/>
      <c r="AQ396" s="29" t="str">
        <f t="shared" ref="AQ396:BL396" si="399">T396/T$2</f>
        <v>#N/A</v>
      </c>
      <c r="AR396" s="29" t="str">
        <f t="shared" si="399"/>
        <v>#DIV/0!</v>
      </c>
      <c r="AS396" s="29" t="str">
        <f t="shared" si="399"/>
        <v>#DIV/0!</v>
      </c>
      <c r="AT396" s="29" t="str">
        <f t="shared" si="399"/>
        <v>#DIV/0!</v>
      </c>
      <c r="AU396" s="29" t="str">
        <f t="shared" si="399"/>
        <v>#DIV/0!</v>
      </c>
      <c r="AV396" s="29" t="str">
        <f t="shared" si="399"/>
        <v>#DIV/0!</v>
      </c>
      <c r="AW396" s="29" t="str">
        <f t="shared" si="399"/>
        <v>#DIV/0!</v>
      </c>
      <c r="AX396" s="29" t="str">
        <f t="shared" si="399"/>
        <v>#DIV/0!</v>
      </c>
      <c r="AY396" s="29" t="str">
        <f t="shared" si="399"/>
        <v>#DIV/0!</v>
      </c>
      <c r="AZ396" s="29" t="str">
        <f t="shared" si="399"/>
        <v>#DIV/0!</v>
      </c>
      <c r="BA396" s="29" t="str">
        <f t="shared" si="399"/>
        <v>#DIV/0!</v>
      </c>
      <c r="BB396" s="29" t="str">
        <f t="shared" si="399"/>
        <v>#DIV/0!</v>
      </c>
      <c r="BC396" s="29" t="str">
        <f t="shared" si="399"/>
        <v>#DIV/0!</v>
      </c>
      <c r="BD396" s="29" t="str">
        <f t="shared" si="399"/>
        <v>#DIV/0!</v>
      </c>
      <c r="BE396" s="29" t="str">
        <f t="shared" si="399"/>
        <v>#DIV/0!</v>
      </c>
      <c r="BF396" s="29" t="str">
        <f t="shared" si="399"/>
        <v>#DIV/0!</v>
      </c>
      <c r="BG396" s="29" t="str">
        <f t="shared" si="399"/>
        <v>#DIV/0!</v>
      </c>
      <c r="BH396" s="29" t="str">
        <f t="shared" si="399"/>
        <v>#DIV/0!</v>
      </c>
      <c r="BI396" s="29" t="str">
        <f t="shared" si="399"/>
        <v>#DIV/0!</v>
      </c>
      <c r="BJ396" s="29" t="str">
        <f t="shared" si="399"/>
        <v>#DIV/0!</v>
      </c>
      <c r="BK396" s="29" t="str">
        <f t="shared" si="399"/>
        <v>#DIV/0!</v>
      </c>
      <c r="BL396" s="29" t="str">
        <f t="shared" si="399"/>
        <v>#DIV/0!</v>
      </c>
      <c r="BM396" s="29" t="str">
        <f t="shared" si="3"/>
        <v>#DIV/0!</v>
      </c>
    </row>
    <row r="397">
      <c r="A397" s="16" t="str">
        <f>IFERROR(__xludf.DUMMYFUNCTION("IFERROR(SPARKLINE(SORT(MAP(TRANSPOSE(AQ397:BL397), LAMBDA(val, IF(ISNUMBER(val), PERCENTRANK(AQ397:BL397, val)+0.01, 0))), SEQUENCE(COLUMNS(AQ397:BL397)), FALSE), {""charttype"",""column""; ""color"",""chartreuse""; ""ymin"", 0; ""ymax"", 1.01; ""highcolo"&amp;"r"", ""darkgreen""; ""lowcolor"", ""red""}), """")"),"")</f>
        <v/>
      </c>
      <c r="B397" s="17" t="str">
        <f t="shared" si="4"/>
        <v/>
      </c>
      <c r="C397" s="1" t="s">
        <v>1689</v>
      </c>
      <c r="D397" s="30" t="str">
        <f>IFERROR(__xludf.DUMMYFUNCTION("IFERROR(GOOGLEFINANCE(C397, ""NAME""))"),"Lam Research Corp")</f>
        <v>Lam Research Corp</v>
      </c>
      <c r="E397" s="30" t="s">
        <v>1195</v>
      </c>
      <c r="F397" s="33" t="str">
        <f>IFERROR(__xludf.DUMMYFUNCTION("( (GOOGLEFINANCE(C397, ""price"") - Q397) / Q397 ) / (R397 / 100)"),"Loading...")</f>
        <v>Loading...</v>
      </c>
      <c r="G397" s="20" t="str">
        <f>IFERROR(__xludf.DUMMYFUNCTION("AVERAGE(ARRAYFORMULA(100 * (QUERY(GOOGLEFINANCE(C397, ""high"", TODAY()-40, TODAY()), ""SELECT Col2 WHERE Col2 IS NOT NULL ORDER BY Col1 DESC LIMIT 20"", 0) / QUERY(GOOGLEFINANCE(C397, ""low"", TODAY()-40, TODAY()), ""SELECT Col2 WHERE Col2 IS NOT NULL OR"&amp;"DER BY Col1 DESC LIMIT 20"", 0) - 1)))"),"#N/A")</f>
        <v>#N/A</v>
      </c>
      <c r="H397" s="35" t="str">
        <f t="shared" si="6"/>
        <v/>
      </c>
      <c r="I397" s="36" t="str">
        <f t="shared" si="7"/>
        <v/>
      </c>
      <c r="J397" s="37" t="str">
        <f>IFERROR(__xludf.DUMMYFUNCTION("IFERROR(
  IF(C397="""",, 
    IFERROR(
      GOOGLEFINANCE(C397, ""price"") * GOOGLEFINANCE(C397, ""volumeavg""), 
      GOOGLEFINANCE(C397, ""price"") * AVERAGE(QUERY(GOOGLEFINANCE(C397, ""volume"", TODAY()-40, TODAY()), ""SELECT Col2 WHERE Col2 IS NOT "&amp;"NULL ORDER BY Col1 DESC LIMIT 20"", 0))
    )
  ), 
"""")"),"")</f>
        <v/>
      </c>
      <c r="K397" s="21" t="str">
        <f>IFERROR(__xludf.DUMMYFUNCTION("IFERROR(GOOGLEFINANCE(C397, ""changepct"") / 100, """")"),"")</f>
        <v/>
      </c>
      <c r="L397" s="21" t="str">
        <f>IFERROR(__xludf.DUMMYFUNCTION("IFERROR((GOOGLEFINANCE(C397, ""price"") / INDEX(GOOGLEFINANCE(C397, ""price"", TODAY()-7, TODAY()), 2, 2)) - 1, """")"),"")</f>
        <v/>
      </c>
      <c r="M397" s="21" t="str">
        <f>IFERROR(__xludf.DUMMYFUNCTION("IFERROR((GOOGLEFINANCE(C397, ""price"") / INDEX(GOOGLEFINANCE(C397, ""price"", EDATE(TODAY(), -1), TODAY()), 2, 2)) - 1, """")"),"")</f>
        <v/>
      </c>
      <c r="N397" s="21" t="str">
        <f>IFERROR(__xludf.DUMMYFUNCTION("IFERROR((GOOGLEFINANCE(C397, ""price"") / INDEX(GOOGLEFINANCE(C397, ""price"", EDATE(TODAY(), -3), TODAY()), 2, 2)) - 1, """")"),"")</f>
        <v/>
      </c>
      <c r="O397" s="21" t="str">
        <f>IFERROR(__xludf.DUMMYFUNCTION("IFERROR((GOOGLEFINANCE(C397, ""price"") / INDEX(GOOGLEFINANCE(C397, ""price"", EDATE(TODAY(), -6), TODAY()), 2, 2)) - 1, """")"),"")</f>
        <v/>
      </c>
      <c r="P397" s="21" t="str">
        <f>IFERROR(__xludf.DUMMYFUNCTION("IFERROR((GOOGLEFINANCE(C397, ""price"") / INDEX(GOOGLEFINANCE(C397, ""price"", EDATE(TODAY(), -12), TODAY()), 2, 2)) - 1, """")"),"")</f>
        <v/>
      </c>
      <c r="Q397" s="6" t="str">
        <f>IFERROR(__xludf.DUMMYFUNCTION("AVERAGE(QUERY(GOOGLEFINANCE(C397, ""price"", TODAY()-80, TODAY()), ""SELECT Col2 WHERE Col2 IS NOT NULL ORDER BY Col1 DESC LIMIT 50"", 0))"),"#N/A")</f>
        <v>#N/A</v>
      </c>
      <c r="R397" s="24" t="str">
        <f>IFERROR(__xludf.DUMMYFUNCTION("IFERROR(
  LET(
    data, QUERY(GOOGLEFINANCE(C397,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GOOGLEFINANCE(C397, ""price"")) * 100,
    IF(calc=0, G397, calc)
  ), 
G397)"),"#N/A")</f>
        <v>#N/A</v>
      </c>
      <c r="S397" s="8" t="s">
        <v>15</v>
      </c>
      <c r="T397" s="26" t="str">
        <f>IFERROR(__xludf.DUMMYFUNCTION("IFERROR(TRANSPOSE(QUERY(IFERROR(SORT(GOOGLEFINANCE(C397, ""price"", WORKDAY(TODAY(), -40), TODAY()), 1, FALSE)), ""select Col2 where Col2 is not null limit 22 label Col2 ''"", 0)), """")"),"")</f>
        <v/>
      </c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8"/>
      <c r="AO397" s="28"/>
      <c r="AP397" s="29"/>
      <c r="AQ397" s="29" t="str">
        <f t="shared" ref="AQ397:BL397" si="400">T397/T$2</f>
        <v>#N/A</v>
      </c>
      <c r="AR397" s="29" t="str">
        <f t="shared" si="400"/>
        <v>#DIV/0!</v>
      </c>
      <c r="AS397" s="29" t="str">
        <f t="shared" si="400"/>
        <v>#DIV/0!</v>
      </c>
      <c r="AT397" s="29" t="str">
        <f t="shared" si="400"/>
        <v>#DIV/0!</v>
      </c>
      <c r="AU397" s="29" t="str">
        <f t="shared" si="400"/>
        <v>#DIV/0!</v>
      </c>
      <c r="AV397" s="29" t="str">
        <f t="shared" si="400"/>
        <v>#DIV/0!</v>
      </c>
      <c r="AW397" s="29" t="str">
        <f t="shared" si="400"/>
        <v>#DIV/0!</v>
      </c>
      <c r="AX397" s="29" t="str">
        <f t="shared" si="400"/>
        <v>#DIV/0!</v>
      </c>
      <c r="AY397" s="29" t="str">
        <f t="shared" si="400"/>
        <v>#DIV/0!</v>
      </c>
      <c r="AZ397" s="29" t="str">
        <f t="shared" si="400"/>
        <v>#DIV/0!</v>
      </c>
      <c r="BA397" s="29" t="str">
        <f t="shared" si="400"/>
        <v>#DIV/0!</v>
      </c>
      <c r="BB397" s="29" t="str">
        <f t="shared" si="400"/>
        <v>#DIV/0!</v>
      </c>
      <c r="BC397" s="29" t="str">
        <f t="shared" si="400"/>
        <v>#DIV/0!</v>
      </c>
      <c r="BD397" s="29" t="str">
        <f t="shared" si="400"/>
        <v>#DIV/0!</v>
      </c>
      <c r="BE397" s="29" t="str">
        <f t="shared" si="400"/>
        <v>#DIV/0!</v>
      </c>
      <c r="BF397" s="29" t="str">
        <f t="shared" si="400"/>
        <v>#DIV/0!</v>
      </c>
      <c r="BG397" s="29" t="str">
        <f t="shared" si="400"/>
        <v>#DIV/0!</v>
      </c>
      <c r="BH397" s="29" t="str">
        <f t="shared" si="400"/>
        <v>#DIV/0!</v>
      </c>
      <c r="BI397" s="29" t="str">
        <f t="shared" si="400"/>
        <v>#DIV/0!</v>
      </c>
      <c r="BJ397" s="29" t="str">
        <f t="shared" si="400"/>
        <v>#DIV/0!</v>
      </c>
      <c r="BK397" s="29" t="str">
        <f t="shared" si="400"/>
        <v>#DIV/0!</v>
      </c>
      <c r="BL397" s="29" t="str">
        <f t="shared" si="400"/>
        <v>#DIV/0!</v>
      </c>
      <c r="BM397" s="29" t="str">
        <f t="shared" si="3"/>
        <v>#DIV/0!</v>
      </c>
    </row>
    <row r="398">
      <c r="A398" s="16" t="str">
        <f>IFERROR(__xludf.DUMMYFUNCTION("IFERROR(SPARKLINE(SORT(MAP(TRANSPOSE(AQ398:BL398), LAMBDA(val, IF(ISNUMBER(val), PERCENTRANK(AQ398:BL398, val)+0.01, 0))), SEQUENCE(COLUMNS(AQ398:BL398)), FALSE), {""charttype"",""column""; ""color"",""chartreuse""; ""ymin"", 0; ""ymax"", 1.01; ""highcolo"&amp;"r"", ""darkgreen""; ""lowcolor"", ""red""}), """")"),"")</f>
        <v/>
      </c>
      <c r="B398" s="17" t="str">
        <f t="shared" si="4"/>
        <v/>
      </c>
      <c r="C398" s="1" t="s">
        <v>1693</v>
      </c>
      <c r="D398" s="30" t="str">
        <f>IFERROR(__xludf.DUMMYFUNCTION("IFERROR(GOOGLEFINANCE(C398, ""NAME""))"),"POET Technologies Inc")</f>
        <v>POET Technologies Inc</v>
      </c>
      <c r="E398" s="30" t="s">
        <v>871</v>
      </c>
      <c r="F398" s="33" t="str">
        <f>IFERROR(__xludf.DUMMYFUNCTION("( (GOOGLEFINANCE(C398, ""price"") - Q398) / Q398 ) / (R398 / 100)"),"Loading...")</f>
        <v>Loading...</v>
      </c>
      <c r="G398" s="20" t="str">
        <f>IFERROR(__xludf.DUMMYFUNCTION("AVERAGE(ARRAYFORMULA(100 * (QUERY(GOOGLEFINANCE(C398, ""high"", TODAY()-40, TODAY()), ""SELECT Col2 WHERE Col2 IS NOT NULL ORDER BY Col1 DESC LIMIT 20"", 0) / QUERY(GOOGLEFINANCE(C398, ""low"", TODAY()-40, TODAY()), ""SELECT Col2 WHERE Col2 IS NOT NULL OR"&amp;"DER BY Col1 DESC LIMIT 20"", 0) - 1)))"),"#N/A")</f>
        <v>#N/A</v>
      </c>
      <c r="H398" s="35" t="str">
        <f t="shared" si="6"/>
        <v/>
      </c>
      <c r="I398" s="36" t="str">
        <f t="shared" si="7"/>
        <v/>
      </c>
      <c r="J398" s="37" t="str">
        <f>IFERROR(__xludf.DUMMYFUNCTION("IFERROR(
  IF(C398="""",, 
    IFERROR(
      GOOGLEFINANCE(C398, ""price"") * GOOGLEFINANCE(C398, ""volumeavg""), 
      GOOGLEFINANCE(C398, ""price"") * AVERAGE(QUERY(GOOGLEFINANCE(C398, ""volume"", TODAY()-40, TODAY()), ""SELECT Col2 WHERE Col2 IS NOT "&amp;"NULL ORDER BY Col1 DESC LIMIT 20"", 0))
    )
  ), 
"""")"),"")</f>
        <v/>
      </c>
      <c r="K398" s="21" t="str">
        <f>IFERROR(__xludf.DUMMYFUNCTION("IFERROR(GOOGLEFINANCE(C398, ""changepct"") / 100, """")"),"")</f>
        <v/>
      </c>
      <c r="L398" s="21" t="str">
        <f>IFERROR(__xludf.DUMMYFUNCTION("IFERROR((GOOGLEFINANCE(C398, ""price"") / INDEX(GOOGLEFINANCE(C398, ""price"", TODAY()-7, TODAY()), 2, 2)) - 1, """")"),"")</f>
        <v/>
      </c>
      <c r="M398" s="21" t="str">
        <f>IFERROR(__xludf.DUMMYFUNCTION("IFERROR((GOOGLEFINANCE(C398, ""price"") / INDEX(GOOGLEFINANCE(C398, ""price"", EDATE(TODAY(), -1), TODAY()), 2, 2)) - 1, """")"),"")</f>
        <v/>
      </c>
      <c r="N398" s="21" t="str">
        <f>IFERROR(__xludf.DUMMYFUNCTION("IFERROR((GOOGLEFINANCE(C398, ""price"") / INDEX(GOOGLEFINANCE(C398, ""price"", EDATE(TODAY(), -3), TODAY()), 2, 2)) - 1, """")"),"")</f>
        <v/>
      </c>
      <c r="O398" s="21" t="str">
        <f>IFERROR(__xludf.DUMMYFUNCTION("IFERROR((GOOGLEFINANCE(C398, ""price"") / INDEX(GOOGLEFINANCE(C398, ""price"", EDATE(TODAY(), -6), TODAY()), 2, 2)) - 1, """")"),"")</f>
        <v/>
      </c>
      <c r="P398" s="21" t="str">
        <f>IFERROR(__xludf.DUMMYFUNCTION("IFERROR((GOOGLEFINANCE(C398, ""price"") / INDEX(GOOGLEFINANCE(C398, ""price"", EDATE(TODAY(), -12), TODAY()), 2, 2)) - 1, """")"),"")</f>
        <v/>
      </c>
      <c r="Q398" s="6" t="str">
        <f>IFERROR(__xludf.DUMMYFUNCTION("AVERAGE(QUERY(GOOGLEFINANCE(C398, ""price"", TODAY()-80, TODAY()), ""SELECT Col2 WHERE Col2 IS NOT NULL ORDER BY Col1 DESC LIMIT 50"", 0))"),"#N/A")</f>
        <v>#N/A</v>
      </c>
      <c r="R398" s="24" t="str">
        <f>IFERROR(__xludf.DUMMYFUNCTION("IFERROR(
  LET(
    data, QUERY(GOOGLEFINANCE(C398,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GOOGLEFINANCE(C398, ""price"")) * 100,
    IF(calc=0, G398, calc)
  ), 
G398)"),"#N/A")</f>
        <v>#N/A</v>
      </c>
      <c r="S398" s="8" t="s">
        <v>15</v>
      </c>
      <c r="T398" s="26" t="str">
        <f>IFERROR(__xludf.DUMMYFUNCTION("IFERROR(TRANSPOSE(QUERY(IFERROR(SORT(GOOGLEFINANCE(C398, ""price"", WORKDAY(TODAY(), -40), TODAY()), 1, FALSE)), ""select Col2 where Col2 is not null limit 22 label Col2 ''"", 0)), """")"),"")</f>
        <v/>
      </c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8"/>
      <c r="AO398" s="28"/>
      <c r="AP398" s="29"/>
      <c r="AQ398" s="29" t="str">
        <f t="shared" ref="AQ398:BL398" si="401">T398/T$2</f>
        <v>#N/A</v>
      </c>
      <c r="AR398" s="29" t="str">
        <f t="shared" si="401"/>
        <v>#DIV/0!</v>
      </c>
      <c r="AS398" s="29" t="str">
        <f t="shared" si="401"/>
        <v>#DIV/0!</v>
      </c>
      <c r="AT398" s="29" t="str">
        <f t="shared" si="401"/>
        <v>#DIV/0!</v>
      </c>
      <c r="AU398" s="29" t="str">
        <f t="shared" si="401"/>
        <v>#DIV/0!</v>
      </c>
      <c r="AV398" s="29" t="str">
        <f t="shared" si="401"/>
        <v>#DIV/0!</v>
      </c>
      <c r="AW398" s="29" t="str">
        <f t="shared" si="401"/>
        <v>#DIV/0!</v>
      </c>
      <c r="AX398" s="29" t="str">
        <f t="shared" si="401"/>
        <v>#DIV/0!</v>
      </c>
      <c r="AY398" s="29" t="str">
        <f t="shared" si="401"/>
        <v>#DIV/0!</v>
      </c>
      <c r="AZ398" s="29" t="str">
        <f t="shared" si="401"/>
        <v>#DIV/0!</v>
      </c>
      <c r="BA398" s="29" t="str">
        <f t="shared" si="401"/>
        <v>#DIV/0!</v>
      </c>
      <c r="BB398" s="29" t="str">
        <f t="shared" si="401"/>
        <v>#DIV/0!</v>
      </c>
      <c r="BC398" s="29" t="str">
        <f t="shared" si="401"/>
        <v>#DIV/0!</v>
      </c>
      <c r="BD398" s="29" t="str">
        <f t="shared" si="401"/>
        <v>#DIV/0!</v>
      </c>
      <c r="BE398" s="29" t="str">
        <f t="shared" si="401"/>
        <v>#DIV/0!</v>
      </c>
      <c r="BF398" s="29" t="str">
        <f t="shared" si="401"/>
        <v>#DIV/0!</v>
      </c>
      <c r="BG398" s="29" t="str">
        <f t="shared" si="401"/>
        <v>#DIV/0!</v>
      </c>
      <c r="BH398" s="29" t="str">
        <f t="shared" si="401"/>
        <v>#DIV/0!</v>
      </c>
      <c r="BI398" s="29" t="str">
        <f t="shared" si="401"/>
        <v>#DIV/0!</v>
      </c>
      <c r="BJ398" s="29" t="str">
        <f t="shared" si="401"/>
        <v>#DIV/0!</v>
      </c>
      <c r="BK398" s="29" t="str">
        <f t="shared" si="401"/>
        <v>#DIV/0!</v>
      </c>
      <c r="BL398" s="29" t="str">
        <f t="shared" si="401"/>
        <v>#DIV/0!</v>
      </c>
      <c r="BM398" s="29" t="str">
        <f t="shared" si="3"/>
        <v>#DIV/0!</v>
      </c>
    </row>
    <row r="399">
      <c r="A399" s="16" t="str">
        <f>IFERROR(__xludf.DUMMYFUNCTION("IFERROR(SPARKLINE(SORT(MAP(TRANSPOSE(AQ399:BL399), LAMBDA(val, IF(ISNUMBER(val), PERCENTRANK(AQ399:BL399, val)+0.01, 0))), SEQUENCE(COLUMNS(AQ399:BL399)), FALSE), {""charttype"",""column""; ""color"",""chartreuse""; ""ymin"", 0; ""ymax"", 1.01; ""highcolo"&amp;"r"", ""darkgreen""; ""lowcolor"", ""red""}), """")"),"")</f>
        <v/>
      </c>
      <c r="B399" s="17" t="str">
        <f t="shared" si="4"/>
        <v/>
      </c>
      <c r="C399" s="1" t="s">
        <v>1697</v>
      </c>
      <c r="D399" s="30" t="str">
        <f>IFERROR(__xludf.DUMMYFUNCTION("IFERROR(GOOGLEFINANCE(C399, ""NAME""))"),"Bel Fuse Inc Class B")</f>
        <v>Bel Fuse Inc Class B</v>
      </c>
      <c r="E399" s="30" t="s">
        <v>469</v>
      </c>
      <c r="F399" s="33" t="str">
        <f>IFERROR(__xludf.DUMMYFUNCTION("( (GOOGLEFINANCE(C399, ""price"") - Q399) / Q399 ) / (R399 / 100)"),"Loading...")</f>
        <v>Loading...</v>
      </c>
      <c r="G399" s="20" t="str">
        <f>IFERROR(__xludf.DUMMYFUNCTION("AVERAGE(ARRAYFORMULA(100 * (QUERY(GOOGLEFINANCE(C399, ""high"", TODAY()-40, TODAY()), ""SELECT Col2 WHERE Col2 IS NOT NULL ORDER BY Col1 DESC LIMIT 20"", 0) / QUERY(GOOGLEFINANCE(C399, ""low"", TODAY()-40, TODAY()), ""SELECT Col2 WHERE Col2 IS NOT NULL OR"&amp;"DER BY Col1 DESC LIMIT 20"", 0) - 1)))"),"#N/A")</f>
        <v>#N/A</v>
      </c>
      <c r="H399" s="35" t="str">
        <f t="shared" si="6"/>
        <v/>
      </c>
      <c r="I399" s="36" t="str">
        <f t="shared" si="7"/>
        <v/>
      </c>
      <c r="J399" s="37" t="str">
        <f>IFERROR(__xludf.DUMMYFUNCTION("IFERROR(
  IF(C399="""",, 
    IFERROR(
      GOOGLEFINANCE(C399, ""price"") * GOOGLEFINANCE(C399, ""volumeavg""), 
      GOOGLEFINANCE(C399, ""price"") * AVERAGE(QUERY(GOOGLEFINANCE(C399, ""volume"", TODAY()-40, TODAY()), ""SELECT Col2 WHERE Col2 IS NOT "&amp;"NULL ORDER BY Col1 DESC LIMIT 20"", 0))
    )
  ), 
"""")"),"")</f>
        <v/>
      </c>
      <c r="K399" s="21" t="str">
        <f>IFERROR(__xludf.DUMMYFUNCTION("IFERROR(GOOGLEFINANCE(C399, ""changepct"") / 100, """")"),"")</f>
        <v/>
      </c>
      <c r="L399" s="21" t="str">
        <f>IFERROR(__xludf.DUMMYFUNCTION("IFERROR((GOOGLEFINANCE(C399, ""price"") / INDEX(GOOGLEFINANCE(C399, ""price"", TODAY()-7, TODAY()), 2, 2)) - 1, """")"),"")</f>
        <v/>
      </c>
      <c r="M399" s="21" t="str">
        <f>IFERROR(__xludf.DUMMYFUNCTION("IFERROR((GOOGLEFINANCE(C399, ""price"") / INDEX(GOOGLEFINANCE(C399, ""price"", EDATE(TODAY(), -1), TODAY()), 2, 2)) - 1, """")"),"")</f>
        <v/>
      </c>
      <c r="N399" s="21" t="str">
        <f>IFERROR(__xludf.DUMMYFUNCTION("IFERROR((GOOGLEFINANCE(C399, ""price"") / INDEX(GOOGLEFINANCE(C399, ""price"", EDATE(TODAY(), -3), TODAY()), 2, 2)) - 1, """")"),"")</f>
        <v/>
      </c>
      <c r="O399" s="21" t="str">
        <f>IFERROR(__xludf.DUMMYFUNCTION("IFERROR((GOOGLEFINANCE(C399, ""price"") / INDEX(GOOGLEFINANCE(C399, ""price"", EDATE(TODAY(), -6), TODAY()), 2, 2)) - 1, """")"),"")</f>
        <v/>
      </c>
      <c r="P399" s="21" t="str">
        <f>IFERROR(__xludf.DUMMYFUNCTION("IFERROR((GOOGLEFINANCE(C399, ""price"") / INDEX(GOOGLEFINANCE(C399, ""price"", EDATE(TODAY(), -12), TODAY()), 2, 2)) - 1, """")"),"")</f>
        <v/>
      </c>
      <c r="Q399" s="6" t="str">
        <f>IFERROR(__xludf.DUMMYFUNCTION("AVERAGE(QUERY(GOOGLEFINANCE(C399, ""price"", TODAY()-80, TODAY()), ""SELECT Col2 WHERE Col2 IS NOT NULL ORDER BY Col1 DESC LIMIT 50"", 0))"),"#N/A")</f>
        <v>#N/A</v>
      </c>
      <c r="R399" s="24" t="str">
        <f>IFERROR(__xludf.DUMMYFUNCTION("IFERROR(
  LET(
    data, QUERY(GOOGLEFINANCE(C399,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GOOGLEFINANCE(C399, ""price"")) * 100,
    IF(calc=0, G399, calc)
  ), 
G399)"),"#N/A")</f>
        <v>#N/A</v>
      </c>
      <c r="S399" s="8" t="s">
        <v>15</v>
      </c>
      <c r="T399" s="26" t="str">
        <f>IFERROR(__xludf.DUMMYFUNCTION("IFERROR(TRANSPOSE(QUERY(IFERROR(SORT(GOOGLEFINANCE(C399, ""price"", WORKDAY(TODAY(), -40), TODAY()), 1, FALSE)), ""select Col2 where Col2 is not null limit 22 label Col2 ''"", 0)), """")"),"")</f>
        <v/>
      </c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8"/>
      <c r="AO399" s="28"/>
      <c r="AP399" s="29"/>
      <c r="AQ399" s="29" t="str">
        <f t="shared" ref="AQ399:BL399" si="402">T399/T$2</f>
        <v>#N/A</v>
      </c>
      <c r="AR399" s="29" t="str">
        <f t="shared" si="402"/>
        <v>#DIV/0!</v>
      </c>
      <c r="AS399" s="29" t="str">
        <f t="shared" si="402"/>
        <v>#DIV/0!</v>
      </c>
      <c r="AT399" s="29" t="str">
        <f t="shared" si="402"/>
        <v>#DIV/0!</v>
      </c>
      <c r="AU399" s="29" t="str">
        <f t="shared" si="402"/>
        <v>#DIV/0!</v>
      </c>
      <c r="AV399" s="29" t="str">
        <f t="shared" si="402"/>
        <v>#DIV/0!</v>
      </c>
      <c r="AW399" s="29" t="str">
        <f t="shared" si="402"/>
        <v>#DIV/0!</v>
      </c>
      <c r="AX399" s="29" t="str">
        <f t="shared" si="402"/>
        <v>#DIV/0!</v>
      </c>
      <c r="AY399" s="29" t="str">
        <f t="shared" si="402"/>
        <v>#DIV/0!</v>
      </c>
      <c r="AZ399" s="29" t="str">
        <f t="shared" si="402"/>
        <v>#DIV/0!</v>
      </c>
      <c r="BA399" s="29" t="str">
        <f t="shared" si="402"/>
        <v>#DIV/0!</v>
      </c>
      <c r="BB399" s="29" t="str">
        <f t="shared" si="402"/>
        <v>#DIV/0!</v>
      </c>
      <c r="BC399" s="29" t="str">
        <f t="shared" si="402"/>
        <v>#DIV/0!</v>
      </c>
      <c r="BD399" s="29" t="str">
        <f t="shared" si="402"/>
        <v>#DIV/0!</v>
      </c>
      <c r="BE399" s="29" t="str">
        <f t="shared" si="402"/>
        <v>#DIV/0!</v>
      </c>
      <c r="BF399" s="29" t="str">
        <f t="shared" si="402"/>
        <v>#DIV/0!</v>
      </c>
      <c r="BG399" s="29" t="str">
        <f t="shared" si="402"/>
        <v>#DIV/0!</v>
      </c>
      <c r="BH399" s="29" t="str">
        <f t="shared" si="402"/>
        <v>#DIV/0!</v>
      </c>
      <c r="BI399" s="29" t="str">
        <f t="shared" si="402"/>
        <v>#DIV/0!</v>
      </c>
      <c r="BJ399" s="29" t="str">
        <f t="shared" si="402"/>
        <v>#DIV/0!</v>
      </c>
      <c r="BK399" s="29" t="str">
        <f t="shared" si="402"/>
        <v>#DIV/0!</v>
      </c>
      <c r="BL399" s="29" t="str">
        <f t="shared" si="402"/>
        <v>#DIV/0!</v>
      </c>
      <c r="BM399" s="29" t="str">
        <f t="shared" si="3"/>
        <v>#DIV/0!</v>
      </c>
    </row>
    <row r="400">
      <c r="A400" s="16" t="str">
        <f>IFERROR(__xludf.DUMMYFUNCTION("IFERROR(SPARKLINE(SORT(MAP(TRANSPOSE(AQ400:BL400), LAMBDA(val, IF(ISNUMBER(val), PERCENTRANK(AQ400:BL400, val)+0.01, 0))), SEQUENCE(COLUMNS(AQ400:BL400)), FALSE), {""charttype"",""column""; ""color"",""chartreuse""; ""ymin"", 0; ""ymax"", 1.01; ""highcolo"&amp;"r"", ""darkgreen""; ""lowcolor"", ""red""}), """")"),"")</f>
        <v/>
      </c>
      <c r="B400" s="17" t="str">
        <f t="shared" si="4"/>
        <v/>
      </c>
      <c r="C400" s="1" t="s">
        <v>1702</v>
      </c>
      <c r="D400" s="30" t="str">
        <f>IFERROR(__xludf.DUMMYFUNCTION("IFERROR(GOOGLEFINANCE(C400, ""NAME""))"),"AST SpaceMobile Inc")</f>
        <v>AST SpaceMobile Inc</v>
      </c>
      <c r="E400" s="30" t="s">
        <v>716</v>
      </c>
      <c r="F400" s="33" t="str">
        <f>IFERROR(__xludf.DUMMYFUNCTION("( (GOOGLEFINANCE(C400, ""price"") - Q400) / Q400 ) / (R400 / 100)"),"Loading...")</f>
        <v>Loading...</v>
      </c>
      <c r="G400" s="20" t="str">
        <f>IFERROR(__xludf.DUMMYFUNCTION("AVERAGE(ARRAYFORMULA(100 * (QUERY(GOOGLEFINANCE(C400, ""high"", TODAY()-40, TODAY()), ""SELECT Col2 WHERE Col2 IS NOT NULL ORDER BY Col1 DESC LIMIT 20"", 0) / QUERY(GOOGLEFINANCE(C400, ""low"", TODAY()-40, TODAY()), ""SELECT Col2 WHERE Col2 IS NOT NULL OR"&amp;"DER BY Col1 DESC LIMIT 20"", 0) - 1)))"),"#N/A")</f>
        <v>#N/A</v>
      </c>
      <c r="H400" s="35" t="str">
        <f t="shared" si="6"/>
        <v/>
      </c>
      <c r="I400" s="36" t="str">
        <f t="shared" si="7"/>
        <v/>
      </c>
      <c r="J400" s="37" t="str">
        <f>IFERROR(__xludf.DUMMYFUNCTION("IFERROR(
  IF(C400="""",, 
    IFERROR(
      GOOGLEFINANCE(C400, ""price"") * GOOGLEFINANCE(C400, ""volumeavg""), 
      GOOGLEFINANCE(C400, ""price"") * AVERAGE(QUERY(GOOGLEFINANCE(C400, ""volume"", TODAY()-40, TODAY()), ""SELECT Col2 WHERE Col2 IS NOT "&amp;"NULL ORDER BY Col1 DESC LIMIT 20"", 0))
    )
  ), 
"""")"),"")</f>
        <v/>
      </c>
      <c r="K400" s="21" t="str">
        <f>IFERROR(__xludf.DUMMYFUNCTION("IFERROR(GOOGLEFINANCE(C400, ""changepct"") / 100, """")"),"")</f>
        <v/>
      </c>
      <c r="L400" s="21" t="str">
        <f>IFERROR(__xludf.DUMMYFUNCTION("IFERROR((GOOGLEFINANCE(C400, ""price"") / INDEX(GOOGLEFINANCE(C400, ""price"", TODAY()-7, TODAY()), 2, 2)) - 1, """")"),"")</f>
        <v/>
      </c>
      <c r="M400" s="21" t="str">
        <f>IFERROR(__xludf.DUMMYFUNCTION("IFERROR((GOOGLEFINANCE(C400, ""price"") / INDEX(GOOGLEFINANCE(C400, ""price"", EDATE(TODAY(), -1), TODAY()), 2, 2)) - 1, """")"),"")</f>
        <v/>
      </c>
      <c r="N400" s="21" t="str">
        <f>IFERROR(__xludf.DUMMYFUNCTION("IFERROR((GOOGLEFINANCE(C400, ""price"") / INDEX(GOOGLEFINANCE(C400, ""price"", EDATE(TODAY(), -3), TODAY()), 2, 2)) - 1, """")"),"")</f>
        <v/>
      </c>
      <c r="O400" s="21" t="str">
        <f>IFERROR(__xludf.DUMMYFUNCTION("IFERROR((GOOGLEFINANCE(C400, ""price"") / INDEX(GOOGLEFINANCE(C400, ""price"", EDATE(TODAY(), -6), TODAY()), 2, 2)) - 1, """")"),"")</f>
        <v/>
      </c>
      <c r="P400" s="21" t="str">
        <f>IFERROR(__xludf.DUMMYFUNCTION("IFERROR((GOOGLEFINANCE(C400, ""price"") / INDEX(GOOGLEFINANCE(C400, ""price"", EDATE(TODAY(), -12), TODAY()), 2, 2)) - 1, """")"),"")</f>
        <v/>
      </c>
      <c r="Q400" s="6" t="str">
        <f>IFERROR(__xludf.DUMMYFUNCTION("AVERAGE(QUERY(GOOGLEFINANCE(C400, ""price"", TODAY()-80, TODAY()), ""SELECT Col2 WHERE Col2 IS NOT NULL ORDER BY Col1 DESC LIMIT 50"", 0))"),"#N/A")</f>
        <v>#N/A</v>
      </c>
      <c r="R400" s="24" t="str">
        <f>IFERROR(__xludf.DUMMYFUNCTION("IFERROR(
  LET(
    data, QUERY(GOOGLEFINANCE(C400,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GOOGLEFINANCE(C400, ""price"")) * 100,
    IF(calc=0, G400, calc)
  ), 
G400)"),"#N/A")</f>
        <v>#N/A</v>
      </c>
      <c r="S400" s="8" t="s">
        <v>15</v>
      </c>
      <c r="T400" s="26" t="str">
        <f>IFERROR(__xludf.DUMMYFUNCTION("IFERROR(TRANSPOSE(QUERY(IFERROR(SORT(GOOGLEFINANCE(C400, ""price"", WORKDAY(TODAY(), -40), TODAY()), 1, FALSE)), ""select Col2 where Col2 is not null limit 22 label Col2 ''"", 0)), """")"),"")</f>
        <v/>
      </c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8"/>
      <c r="AO400" s="28"/>
      <c r="AP400" s="29"/>
      <c r="AQ400" s="29" t="str">
        <f t="shared" ref="AQ400:BL400" si="403">T400/T$2</f>
        <v>#N/A</v>
      </c>
      <c r="AR400" s="29" t="str">
        <f t="shared" si="403"/>
        <v>#DIV/0!</v>
      </c>
      <c r="AS400" s="29" t="str">
        <f t="shared" si="403"/>
        <v>#DIV/0!</v>
      </c>
      <c r="AT400" s="29" t="str">
        <f t="shared" si="403"/>
        <v>#DIV/0!</v>
      </c>
      <c r="AU400" s="29" t="str">
        <f t="shared" si="403"/>
        <v>#DIV/0!</v>
      </c>
      <c r="AV400" s="29" t="str">
        <f t="shared" si="403"/>
        <v>#DIV/0!</v>
      </c>
      <c r="AW400" s="29" t="str">
        <f t="shared" si="403"/>
        <v>#DIV/0!</v>
      </c>
      <c r="AX400" s="29" t="str">
        <f t="shared" si="403"/>
        <v>#DIV/0!</v>
      </c>
      <c r="AY400" s="29" t="str">
        <f t="shared" si="403"/>
        <v>#DIV/0!</v>
      </c>
      <c r="AZ400" s="29" t="str">
        <f t="shared" si="403"/>
        <v>#DIV/0!</v>
      </c>
      <c r="BA400" s="29" t="str">
        <f t="shared" si="403"/>
        <v>#DIV/0!</v>
      </c>
      <c r="BB400" s="29" t="str">
        <f t="shared" si="403"/>
        <v>#DIV/0!</v>
      </c>
      <c r="BC400" s="29" t="str">
        <f t="shared" si="403"/>
        <v>#DIV/0!</v>
      </c>
      <c r="BD400" s="29" t="str">
        <f t="shared" si="403"/>
        <v>#DIV/0!</v>
      </c>
      <c r="BE400" s="29" t="str">
        <f t="shared" si="403"/>
        <v>#DIV/0!</v>
      </c>
      <c r="BF400" s="29" t="str">
        <f t="shared" si="403"/>
        <v>#DIV/0!</v>
      </c>
      <c r="BG400" s="29" t="str">
        <f t="shared" si="403"/>
        <v>#DIV/0!</v>
      </c>
      <c r="BH400" s="29" t="str">
        <f t="shared" si="403"/>
        <v>#DIV/0!</v>
      </c>
      <c r="BI400" s="29" t="str">
        <f t="shared" si="403"/>
        <v>#DIV/0!</v>
      </c>
      <c r="BJ400" s="29" t="str">
        <f t="shared" si="403"/>
        <v>#DIV/0!</v>
      </c>
      <c r="BK400" s="29" t="str">
        <f t="shared" si="403"/>
        <v>#DIV/0!</v>
      </c>
      <c r="BL400" s="29" t="str">
        <f t="shared" si="403"/>
        <v>#DIV/0!</v>
      </c>
      <c r="BM400" s="29" t="str">
        <f t="shared" si="3"/>
        <v>#DIV/0!</v>
      </c>
    </row>
    <row r="401">
      <c r="A401" s="16" t="str">
        <f>IFERROR(__xludf.DUMMYFUNCTION("IFERROR(SPARKLINE(SORT(MAP(TRANSPOSE(AQ401:BL401), LAMBDA(val, IF(ISNUMBER(val), PERCENTRANK(AQ401:BL401, val)+0.01, 0))), SEQUENCE(COLUMNS(AQ401:BL401)), FALSE), {""charttype"",""column""; ""color"",""chartreuse""; ""ymin"", 0; ""ymax"", 1.01; ""highcolo"&amp;"r"", ""darkgreen""; ""lowcolor"", ""red""}), """")"),"")</f>
        <v/>
      </c>
      <c r="B401" s="17" t="str">
        <f t="shared" si="4"/>
        <v/>
      </c>
      <c r="C401" s="1" t="s">
        <v>1706</v>
      </c>
      <c r="D401" s="30" t="str">
        <f>IFERROR(__xludf.DUMMYFUNCTION("IFERROR(GOOGLEFINANCE(C401, ""NAME""))"),"Bel Fuse Inc Class A")</f>
        <v>Bel Fuse Inc Class A</v>
      </c>
      <c r="E401" s="30" t="s">
        <v>469</v>
      </c>
      <c r="F401" s="33" t="str">
        <f>IFERROR(__xludf.DUMMYFUNCTION("( (GOOGLEFINANCE(C401, ""price"") - Q401) / Q401 ) / (R401 / 100)"),"Loading...")</f>
        <v>Loading...</v>
      </c>
      <c r="G401" s="20" t="str">
        <f>IFERROR(__xludf.DUMMYFUNCTION("AVERAGE(ARRAYFORMULA(100 * (QUERY(GOOGLEFINANCE(C401, ""high"", TODAY()-40, TODAY()), ""SELECT Col2 WHERE Col2 IS NOT NULL ORDER BY Col1 DESC LIMIT 20"", 0) / QUERY(GOOGLEFINANCE(C401, ""low"", TODAY()-40, TODAY()), ""SELECT Col2 WHERE Col2 IS NOT NULL OR"&amp;"DER BY Col1 DESC LIMIT 20"", 0) - 1)))"),"#N/A")</f>
        <v>#N/A</v>
      </c>
      <c r="H401" s="35" t="str">
        <f t="shared" si="6"/>
        <v/>
      </c>
      <c r="I401" s="36" t="str">
        <f t="shared" si="7"/>
        <v/>
      </c>
      <c r="J401" s="37" t="str">
        <f>IFERROR(__xludf.DUMMYFUNCTION("IFERROR(
  IF(C401="""",, 
    IFERROR(
      GOOGLEFINANCE(C401, ""price"") * GOOGLEFINANCE(C401, ""volumeavg""), 
      GOOGLEFINANCE(C401, ""price"") * AVERAGE(QUERY(GOOGLEFINANCE(C401, ""volume"", TODAY()-40, TODAY()), ""SELECT Col2 WHERE Col2 IS NOT "&amp;"NULL ORDER BY Col1 DESC LIMIT 20"", 0))
    )
  ), 
"""")"),"")</f>
        <v/>
      </c>
      <c r="K401" s="21" t="str">
        <f>IFERROR(__xludf.DUMMYFUNCTION("IFERROR(GOOGLEFINANCE(C401, ""changepct"") / 100, """")"),"")</f>
        <v/>
      </c>
      <c r="L401" s="21" t="str">
        <f>IFERROR(__xludf.DUMMYFUNCTION("IFERROR((GOOGLEFINANCE(C401, ""price"") / INDEX(GOOGLEFINANCE(C401, ""price"", TODAY()-7, TODAY()), 2, 2)) - 1, """")"),"")</f>
        <v/>
      </c>
      <c r="M401" s="21" t="str">
        <f>IFERROR(__xludf.DUMMYFUNCTION("IFERROR((GOOGLEFINANCE(C401, ""price"") / INDEX(GOOGLEFINANCE(C401, ""price"", EDATE(TODAY(), -1), TODAY()), 2, 2)) - 1, """")"),"")</f>
        <v/>
      </c>
      <c r="N401" s="21" t="str">
        <f>IFERROR(__xludf.DUMMYFUNCTION("IFERROR((GOOGLEFINANCE(C401, ""price"") / INDEX(GOOGLEFINANCE(C401, ""price"", EDATE(TODAY(), -3), TODAY()), 2, 2)) - 1, """")"),"")</f>
        <v/>
      </c>
      <c r="O401" s="21" t="str">
        <f>IFERROR(__xludf.DUMMYFUNCTION("IFERROR((GOOGLEFINANCE(C401, ""price"") / INDEX(GOOGLEFINANCE(C401, ""price"", EDATE(TODAY(), -6), TODAY()), 2, 2)) - 1, """")"),"")</f>
        <v/>
      </c>
      <c r="P401" s="21" t="str">
        <f>IFERROR(__xludf.DUMMYFUNCTION("IFERROR((GOOGLEFINANCE(C401, ""price"") / INDEX(GOOGLEFINANCE(C401, ""price"", EDATE(TODAY(), -12), TODAY()), 2, 2)) - 1, """")"),"")</f>
        <v/>
      </c>
      <c r="Q401" s="6" t="str">
        <f>IFERROR(__xludf.DUMMYFUNCTION("AVERAGE(QUERY(GOOGLEFINANCE(C401, ""price"", TODAY()-80, TODAY()), ""SELECT Col2 WHERE Col2 IS NOT NULL ORDER BY Col1 DESC LIMIT 50"", 0))"),"#N/A")</f>
        <v>#N/A</v>
      </c>
      <c r="R401" s="24" t="str">
        <f>IFERROR(__xludf.DUMMYFUNCTION("IFERROR(
  LET(
    data, QUERY(GOOGLEFINANCE(C401,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GOOGLEFINANCE(C401, ""price"")) * 100,
    IF(calc=0, G401, calc)
  ), 
G401)"),"#N/A")</f>
        <v>#N/A</v>
      </c>
      <c r="S401" s="8" t="s">
        <v>15</v>
      </c>
      <c r="T401" s="26" t="str">
        <f>IFERROR(__xludf.DUMMYFUNCTION("IFERROR(TRANSPOSE(QUERY(IFERROR(SORT(GOOGLEFINANCE(C401, ""price"", WORKDAY(TODAY(), -40), TODAY()), 1, FALSE)), ""select Col2 where Col2 is not null limit 22 label Col2 ''"", 0)), """")"),"")</f>
        <v/>
      </c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8"/>
      <c r="AO401" s="28"/>
      <c r="AP401" s="29"/>
      <c r="AQ401" s="29" t="str">
        <f t="shared" ref="AQ401:BL401" si="404">T401/T$2</f>
        <v>#N/A</v>
      </c>
      <c r="AR401" s="29" t="str">
        <f t="shared" si="404"/>
        <v>#DIV/0!</v>
      </c>
      <c r="AS401" s="29" t="str">
        <f t="shared" si="404"/>
        <v>#DIV/0!</v>
      </c>
      <c r="AT401" s="29" t="str">
        <f t="shared" si="404"/>
        <v>#DIV/0!</v>
      </c>
      <c r="AU401" s="29" t="str">
        <f t="shared" si="404"/>
        <v>#DIV/0!</v>
      </c>
      <c r="AV401" s="29" t="str">
        <f t="shared" si="404"/>
        <v>#DIV/0!</v>
      </c>
      <c r="AW401" s="29" t="str">
        <f t="shared" si="404"/>
        <v>#DIV/0!</v>
      </c>
      <c r="AX401" s="29" t="str">
        <f t="shared" si="404"/>
        <v>#DIV/0!</v>
      </c>
      <c r="AY401" s="29" t="str">
        <f t="shared" si="404"/>
        <v>#DIV/0!</v>
      </c>
      <c r="AZ401" s="29" t="str">
        <f t="shared" si="404"/>
        <v>#DIV/0!</v>
      </c>
      <c r="BA401" s="29" t="str">
        <f t="shared" si="404"/>
        <v>#DIV/0!</v>
      </c>
      <c r="BB401" s="29" t="str">
        <f t="shared" si="404"/>
        <v>#DIV/0!</v>
      </c>
      <c r="BC401" s="29" t="str">
        <f t="shared" si="404"/>
        <v>#DIV/0!</v>
      </c>
      <c r="BD401" s="29" t="str">
        <f t="shared" si="404"/>
        <v>#DIV/0!</v>
      </c>
      <c r="BE401" s="29" t="str">
        <f t="shared" si="404"/>
        <v>#DIV/0!</v>
      </c>
      <c r="BF401" s="29" t="str">
        <f t="shared" si="404"/>
        <v>#DIV/0!</v>
      </c>
      <c r="BG401" s="29" t="str">
        <f t="shared" si="404"/>
        <v>#DIV/0!</v>
      </c>
      <c r="BH401" s="29" t="str">
        <f t="shared" si="404"/>
        <v>#DIV/0!</v>
      </c>
      <c r="BI401" s="29" t="str">
        <f t="shared" si="404"/>
        <v>#DIV/0!</v>
      </c>
      <c r="BJ401" s="29" t="str">
        <f t="shared" si="404"/>
        <v>#DIV/0!</v>
      </c>
      <c r="BK401" s="29" t="str">
        <f t="shared" si="404"/>
        <v>#DIV/0!</v>
      </c>
      <c r="BL401" s="29" t="str">
        <f t="shared" si="404"/>
        <v>#DIV/0!</v>
      </c>
      <c r="BM401" s="29" t="str">
        <f t="shared" si="3"/>
        <v>#DIV/0!</v>
      </c>
    </row>
    <row r="402">
      <c r="A402" s="16" t="str">
        <f>IFERROR(__xludf.DUMMYFUNCTION("IFERROR(SPARKLINE(SORT(MAP(TRANSPOSE(AQ402:BL402), LAMBDA(val, IF(ISNUMBER(val), PERCENTRANK(AQ402:BL402, val)+0.01, 0))), SEQUENCE(COLUMNS(AQ402:BL402)), FALSE), {""charttype"",""column""; ""color"",""chartreuse""; ""ymin"", 0; ""ymax"", 1.01; ""highcolo"&amp;"r"", ""darkgreen""; ""lowcolor"", ""red""}), """")"),"")</f>
        <v/>
      </c>
      <c r="B402" s="17" t="str">
        <f t="shared" si="4"/>
        <v/>
      </c>
      <c r="C402" s="1" t="s">
        <v>1710</v>
      </c>
      <c r="D402" s="30" t="str">
        <f>IFERROR(__xludf.DUMMYFUNCTION("IFERROR(GOOGLEFINANCE(C402, ""NAME""))"),"MKS Incorporated")</f>
        <v>MKS Incorporated</v>
      </c>
      <c r="E402" s="30" t="s">
        <v>595</v>
      </c>
      <c r="F402" s="33" t="str">
        <f>IFERROR(__xludf.DUMMYFUNCTION("( (GOOGLEFINANCE(C402, ""price"") - Q402) / Q402 ) / (R402 / 100)"),"Loading...")</f>
        <v>Loading...</v>
      </c>
      <c r="G402" s="20" t="str">
        <f>IFERROR(__xludf.DUMMYFUNCTION("AVERAGE(ARRAYFORMULA(100 * (QUERY(GOOGLEFINANCE(C402, ""high"", TODAY()-40, TODAY()), ""SELECT Col2 WHERE Col2 IS NOT NULL ORDER BY Col1 DESC LIMIT 20"", 0) / QUERY(GOOGLEFINANCE(C402, ""low"", TODAY()-40, TODAY()), ""SELECT Col2 WHERE Col2 IS NOT NULL OR"&amp;"DER BY Col1 DESC LIMIT 20"", 0) - 1)))"),"#N/A")</f>
        <v>#N/A</v>
      </c>
      <c r="H402" s="35" t="str">
        <f t="shared" si="6"/>
        <v/>
      </c>
      <c r="I402" s="36" t="str">
        <f t="shared" si="7"/>
        <v/>
      </c>
      <c r="J402" s="37" t="str">
        <f>IFERROR(__xludf.DUMMYFUNCTION("IFERROR(
  IF(C402="""",, 
    IFERROR(
      GOOGLEFINANCE(C402, ""price"") * GOOGLEFINANCE(C402, ""volumeavg""), 
      GOOGLEFINANCE(C402, ""price"") * AVERAGE(QUERY(GOOGLEFINANCE(C402, ""volume"", TODAY()-40, TODAY()), ""SELECT Col2 WHERE Col2 IS NOT "&amp;"NULL ORDER BY Col1 DESC LIMIT 20"", 0))
    )
  ), 
"""")"),"")</f>
        <v/>
      </c>
      <c r="K402" s="21" t="str">
        <f>IFERROR(__xludf.DUMMYFUNCTION("IFERROR(GOOGLEFINANCE(C402, ""changepct"") / 100, """")"),"")</f>
        <v/>
      </c>
      <c r="L402" s="21" t="str">
        <f>IFERROR(__xludf.DUMMYFUNCTION("IFERROR((GOOGLEFINANCE(C402, ""price"") / INDEX(GOOGLEFINANCE(C402, ""price"", TODAY()-7, TODAY()), 2, 2)) - 1, """")"),"")</f>
        <v/>
      </c>
      <c r="M402" s="21" t="str">
        <f>IFERROR(__xludf.DUMMYFUNCTION("IFERROR((GOOGLEFINANCE(C402, ""price"") / INDEX(GOOGLEFINANCE(C402, ""price"", EDATE(TODAY(), -1), TODAY()), 2, 2)) - 1, """")"),"")</f>
        <v/>
      </c>
      <c r="N402" s="21" t="str">
        <f>IFERROR(__xludf.DUMMYFUNCTION("IFERROR((GOOGLEFINANCE(C402, ""price"") / INDEX(GOOGLEFINANCE(C402, ""price"", EDATE(TODAY(), -3), TODAY()), 2, 2)) - 1, """")"),"")</f>
        <v/>
      </c>
      <c r="O402" s="21" t="str">
        <f>IFERROR(__xludf.DUMMYFUNCTION("IFERROR((GOOGLEFINANCE(C402, ""price"") / INDEX(GOOGLEFINANCE(C402, ""price"", EDATE(TODAY(), -6), TODAY()), 2, 2)) - 1, """")"),"")</f>
        <v/>
      </c>
      <c r="P402" s="21" t="str">
        <f>IFERROR(__xludf.DUMMYFUNCTION("IFERROR((GOOGLEFINANCE(C402, ""price"") / INDEX(GOOGLEFINANCE(C402, ""price"", EDATE(TODAY(), -12), TODAY()), 2, 2)) - 1, """")"),"")</f>
        <v/>
      </c>
      <c r="Q402" s="6" t="str">
        <f>IFERROR(__xludf.DUMMYFUNCTION("AVERAGE(QUERY(GOOGLEFINANCE(C402, ""price"", TODAY()-80, TODAY()), ""SELECT Col2 WHERE Col2 IS NOT NULL ORDER BY Col1 DESC LIMIT 50"", 0))"),"#N/A")</f>
        <v>#N/A</v>
      </c>
      <c r="R402" s="24" t="str">
        <f>IFERROR(__xludf.DUMMYFUNCTION("IFERROR(
  LET(
    data, QUERY(GOOGLEFINANCE(C402,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GOOGLEFINANCE(C402, ""price"")) * 100,
    IF(calc=0, G402, calc)
  ), 
G402)"),"#N/A")</f>
        <v>#N/A</v>
      </c>
      <c r="S402" s="8" t="s">
        <v>15</v>
      </c>
      <c r="T402" s="26" t="str">
        <f>IFERROR(__xludf.DUMMYFUNCTION("IFERROR(TRANSPOSE(QUERY(IFERROR(SORT(GOOGLEFINANCE(C402, ""price"", WORKDAY(TODAY(), -40), TODAY()), 1, FALSE)), ""select Col2 where Col2 is not null limit 22 label Col2 ''"", 0)), """")"),"")</f>
        <v/>
      </c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8"/>
      <c r="AO402" s="28"/>
      <c r="AP402" s="29"/>
      <c r="AQ402" s="29" t="str">
        <f t="shared" ref="AQ402:BL402" si="405">T402/T$2</f>
        <v>#N/A</v>
      </c>
      <c r="AR402" s="29" t="str">
        <f t="shared" si="405"/>
        <v>#DIV/0!</v>
      </c>
      <c r="AS402" s="29" t="str">
        <f t="shared" si="405"/>
        <v>#DIV/0!</v>
      </c>
      <c r="AT402" s="29" t="str">
        <f t="shared" si="405"/>
        <v>#DIV/0!</v>
      </c>
      <c r="AU402" s="29" t="str">
        <f t="shared" si="405"/>
        <v>#DIV/0!</v>
      </c>
      <c r="AV402" s="29" t="str">
        <f t="shared" si="405"/>
        <v>#DIV/0!</v>
      </c>
      <c r="AW402" s="29" t="str">
        <f t="shared" si="405"/>
        <v>#DIV/0!</v>
      </c>
      <c r="AX402" s="29" t="str">
        <f t="shared" si="405"/>
        <v>#DIV/0!</v>
      </c>
      <c r="AY402" s="29" t="str">
        <f t="shared" si="405"/>
        <v>#DIV/0!</v>
      </c>
      <c r="AZ402" s="29" t="str">
        <f t="shared" si="405"/>
        <v>#DIV/0!</v>
      </c>
      <c r="BA402" s="29" t="str">
        <f t="shared" si="405"/>
        <v>#DIV/0!</v>
      </c>
      <c r="BB402" s="29" t="str">
        <f t="shared" si="405"/>
        <v>#DIV/0!</v>
      </c>
      <c r="BC402" s="29" t="str">
        <f t="shared" si="405"/>
        <v>#DIV/0!</v>
      </c>
      <c r="BD402" s="29" t="str">
        <f t="shared" si="405"/>
        <v>#DIV/0!</v>
      </c>
      <c r="BE402" s="29" t="str">
        <f t="shared" si="405"/>
        <v>#DIV/0!</v>
      </c>
      <c r="BF402" s="29" t="str">
        <f t="shared" si="405"/>
        <v>#DIV/0!</v>
      </c>
      <c r="BG402" s="29" t="str">
        <f t="shared" si="405"/>
        <v>#DIV/0!</v>
      </c>
      <c r="BH402" s="29" t="str">
        <f t="shared" si="405"/>
        <v>#DIV/0!</v>
      </c>
      <c r="BI402" s="29" t="str">
        <f t="shared" si="405"/>
        <v>#DIV/0!</v>
      </c>
      <c r="BJ402" s="29" t="str">
        <f t="shared" si="405"/>
        <v>#DIV/0!</v>
      </c>
      <c r="BK402" s="29" t="str">
        <f t="shared" si="405"/>
        <v>#DIV/0!</v>
      </c>
      <c r="BL402" s="29" t="str">
        <f t="shared" si="405"/>
        <v>#DIV/0!</v>
      </c>
      <c r="BM402" s="29" t="str">
        <f t="shared" si="3"/>
        <v>#DIV/0!</v>
      </c>
    </row>
    <row r="403">
      <c r="A403" s="16" t="str">
        <f>IFERROR(__xludf.DUMMYFUNCTION("IFERROR(SPARKLINE(SORT(MAP(TRANSPOSE(AQ403:BL403), LAMBDA(val, IF(ISNUMBER(val), PERCENTRANK(AQ403:BL403, val)+0.01, 0))), SEQUENCE(COLUMNS(AQ403:BL403)), FALSE), {""charttype"",""column""; ""color"",""chartreuse""; ""ymin"", 0; ""ymax"", 1.01; ""highcolo"&amp;"r"", ""darkgreen""; ""lowcolor"", ""red""}), """")"),"")</f>
        <v/>
      </c>
      <c r="B403" s="17" t="str">
        <f t="shared" si="4"/>
        <v/>
      </c>
      <c r="C403" s="1" t="s">
        <v>1714</v>
      </c>
      <c r="D403" s="30" t="str">
        <f>IFERROR(__xludf.DUMMYFUNCTION("IFERROR(GOOGLEFINANCE(C403, ""NAME""))"),"Semtech Corp")</f>
        <v>Semtech Corp</v>
      </c>
      <c r="E403" s="30" t="s">
        <v>871</v>
      </c>
      <c r="F403" s="33" t="str">
        <f>IFERROR(__xludf.DUMMYFUNCTION("( (GOOGLEFINANCE(C403, ""price"") - Q403) / Q403 ) / (R403 / 100)"),"Loading...")</f>
        <v>Loading...</v>
      </c>
      <c r="G403" s="20" t="str">
        <f>IFERROR(__xludf.DUMMYFUNCTION("AVERAGE(ARRAYFORMULA(100 * (QUERY(GOOGLEFINANCE(C403, ""high"", TODAY()-40, TODAY()), ""SELECT Col2 WHERE Col2 IS NOT NULL ORDER BY Col1 DESC LIMIT 20"", 0) / QUERY(GOOGLEFINANCE(C403, ""low"", TODAY()-40, TODAY()), ""SELECT Col2 WHERE Col2 IS NOT NULL OR"&amp;"DER BY Col1 DESC LIMIT 20"", 0) - 1)))"),"#N/A")</f>
        <v>#N/A</v>
      </c>
      <c r="H403" s="35" t="str">
        <f t="shared" si="6"/>
        <v/>
      </c>
      <c r="I403" s="36" t="str">
        <f t="shared" si="7"/>
        <v/>
      </c>
      <c r="J403" s="37" t="str">
        <f>IFERROR(__xludf.DUMMYFUNCTION("IFERROR(
  IF(C403="""",, 
    IFERROR(
      GOOGLEFINANCE(C403, ""price"") * GOOGLEFINANCE(C403, ""volumeavg""), 
      GOOGLEFINANCE(C403, ""price"") * AVERAGE(QUERY(GOOGLEFINANCE(C403, ""volume"", TODAY()-40, TODAY()), ""SELECT Col2 WHERE Col2 IS NOT "&amp;"NULL ORDER BY Col1 DESC LIMIT 20"", 0))
    )
  ), 
"""")"),"")</f>
        <v/>
      </c>
      <c r="K403" s="21" t="str">
        <f>IFERROR(__xludf.DUMMYFUNCTION("IFERROR(GOOGLEFINANCE(C403, ""changepct"") / 100, """")"),"")</f>
        <v/>
      </c>
      <c r="L403" s="21" t="str">
        <f>IFERROR(__xludf.DUMMYFUNCTION("IFERROR((GOOGLEFINANCE(C403, ""price"") / INDEX(GOOGLEFINANCE(C403, ""price"", TODAY()-7, TODAY()), 2, 2)) - 1, """")"),"")</f>
        <v/>
      </c>
      <c r="M403" s="21" t="str">
        <f>IFERROR(__xludf.DUMMYFUNCTION("IFERROR((GOOGLEFINANCE(C403, ""price"") / INDEX(GOOGLEFINANCE(C403, ""price"", EDATE(TODAY(), -1), TODAY()), 2, 2)) - 1, """")"),"")</f>
        <v/>
      </c>
      <c r="N403" s="21" t="str">
        <f>IFERROR(__xludf.DUMMYFUNCTION("IFERROR((GOOGLEFINANCE(C403, ""price"") / INDEX(GOOGLEFINANCE(C403, ""price"", EDATE(TODAY(), -3), TODAY()), 2, 2)) - 1, """")"),"")</f>
        <v/>
      </c>
      <c r="O403" s="21" t="str">
        <f>IFERROR(__xludf.DUMMYFUNCTION("IFERROR((GOOGLEFINANCE(C403, ""price"") / INDEX(GOOGLEFINANCE(C403, ""price"", EDATE(TODAY(), -6), TODAY()), 2, 2)) - 1, """")"),"")</f>
        <v/>
      </c>
      <c r="P403" s="21" t="str">
        <f>IFERROR(__xludf.DUMMYFUNCTION("IFERROR((GOOGLEFINANCE(C403, ""price"") / INDEX(GOOGLEFINANCE(C403, ""price"", EDATE(TODAY(), -12), TODAY()), 2, 2)) - 1, """")"),"")</f>
        <v/>
      </c>
      <c r="Q403" s="6" t="str">
        <f>IFERROR(__xludf.DUMMYFUNCTION("AVERAGE(QUERY(GOOGLEFINANCE(C403, ""price"", TODAY()-80, TODAY()), ""SELECT Col2 WHERE Col2 IS NOT NULL ORDER BY Col1 DESC LIMIT 50"", 0))"),"#N/A")</f>
        <v>#N/A</v>
      </c>
      <c r="R403" s="24" t="str">
        <f>IFERROR(__xludf.DUMMYFUNCTION("IFERROR(
  LET(
    data, QUERY(GOOGLEFINANCE(C403,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GOOGLEFINANCE(C403, ""price"")) * 100,
    IF(calc=0, G403, calc)
  ), 
G403)"),"#N/A")</f>
        <v>#N/A</v>
      </c>
      <c r="S403" s="8" t="s">
        <v>15</v>
      </c>
      <c r="T403" s="26" t="str">
        <f>IFERROR(__xludf.DUMMYFUNCTION("IFERROR(TRANSPOSE(QUERY(IFERROR(SORT(GOOGLEFINANCE(C403, ""price"", WORKDAY(TODAY(), -40), TODAY()), 1, FALSE)), ""select Col2 where Col2 is not null limit 22 label Col2 ''"", 0)), """")"),"")</f>
        <v/>
      </c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8"/>
      <c r="AO403" s="28"/>
      <c r="AP403" s="29"/>
      <c r="AQ403" s="29" t="str">
        <f t="shared" ref="AQ403:BL403" si="406">T403/T$2</f>
        <v>#N/A</v>
      </c>
      <c r="AR403" s="29" t="str">
        <f t="shared" si="406"/>
        <v>#DIV/0!</v>
      </c>
      <c r="AS403" s="29" t="str">
        <f t="shared" si="406"/>
        <v>#DIV/0!</v>
      </c>
      <c r="AT403" s="29" t="str">
        <f t="shared" si="406"/>
        <v>#DIV/0!</v>
      </c>
      <c r="AU403" s="29" t="str">
        <f t="shared" si="406"/>
        <v>#DIV/0!</v>
      </c>
      <c r="AV403" s="29" t="str">
        <f t="shared" si="406"/>
        <v>#DIV/0!</v>
      </c>
      <c r="AW403" s="29" t="str">
        <f t="shared" si="406"/>
        <v>#DIV/0!</v>
      </c>
      <c r="AX403" s="29" t="str">
        <f t="shared" si="406"/>
        <v>#DIV/0!</v>
      </c>
      <c r="AY403" s="29" t="str">
        <f t="shared" si="406"/>
        <v>#DIV/0!</v>
      </c>
      <c r="AZ403" s="29" t="str">
        <f t="shared" si="406"/>
        <v>#DIV/0!</v>
      </c>
      <c r="BA403" s="29" t="str">
        <f t="shared" si="406"/>
        <v>#DIV/0!</v>
      </c>
      <c r="BB403" s="29" t="str">
        <f t="shared" si="406"/>
        <v>#DIV/0!</v>
      </c>
      <c r="BC403" s="29" t="str">
        <f t="shared" si="406"/>
        <v>#DIV/0!</v>
      </c>
      <c r="BD403" s="29" t="str">
        <f t="shared" si="406"/>
        <v>#DIV/0!</v>
      </c>
      <c r="BE403" s="29" t="str">
        <f t="shared" si="406"/>
        <v>#DIV/0!</v>
      </c>
      <c r="BF403" s="29" t="str">
        <f t="shared" si="406"/>
        <v>#DIV/0!</v>
      </c>
      <c r="BG403" s="29" t="str">
        <f t="shared" si="406"/>
        <v>#DIV/0!</v>
      </c>
      <c r="BH403" s="29" t="str">
        <f t="shared" si="406"/>
        <v>#DIV/0!</v>
      </c>
      <c r="BI403" s="29" t="str">
        <f t="shared" si="406"/>
        <v>#DIV/0!</v>
      </c>
      <c r="BJ403" s="29" t="str">
        <f t="shared" si="406"/>
        <v>#DIV/0!</v>
      </c>
      <c r="BK403" s="29" t="str">
        <f t="shared" si="406"/>
        <v>#DIV/0!</v>
      </c>
      <c r="BL403" s="29" t="str">
        <f t="shared" si="406"/>
        <v>#DIV/0!</v>
      </c>
      <c r="BM403" s="29" t="str">
        <f t="shared" si="3"/>
        <v>#DIV/0!</v>
      </c>
    </row>
    <row r="404">
      <c r="A404" s="16" t="str">
        <f>IFERROR(__xludf.DUMMYFUNCTION("IFERROR(SPARKLINE(SORT(MAP(TRANSPOSE(AQ404:BL404), LAMBDA(val, IF(ISNUMBER(val), PERCENTRANK(AQ404:BL404, val)+0.01, 0))), SEQUENCE(COLUMNS(AQ404:BL404)), FALSE), {""charttype"",""column""; ""color"",""chartreuse""; ""ymin"", 0; ""ymax"", 1.01; ""highcolo"&amp;"r"", ""darkgreen""; ""lowcolor"", ""red""}), """")"),"")</f>
        <v/>
      </c>
      <c r="B404" s="17" t="str">
        <f t="shared" si="4"/>
        <v/>
      </c>
      <c r="C404" s="1" t="s">
        <v>1718</v>
      </c>
      <c r="D404" s="30" t="str">
        <f>IFERROR(__xludf.DUMMYFUNCTION("IFERROR(GOOGLEFINANCE(C404, ""NAME""))"),"Amkor Technology Inc")</f>
        <v>Amkor Technology Inc</v>
      </c>
      <c r="E404" s="30" t="s">
        <v>1195</v>
      </c>
      <c r="F404" s="33" t="str">
        <f>IFERROR(__xludf.DUMMYFUNCTION("( (GOOGLEFINANCE(C404, ""price"") - Q404) / Q404 ) / (R404 / 100)"),"Loading...")</f>
        <v>Loading...</v>
      </c>
      <c r="G404" s="20" t="str">
        <f>IFERROR(__xludf.DUMMYFUNCTION("AVERAGE(ARRAYFORMULA(100 * (QUERY(GOOGLEFINANCE(C404, ""high"", TODAY()-40, TODAY()), ""SELECT Col2 WHERE Col2 IS NOT NULL ORDER BY Col1 DESC LIMIT 20"", 0) / QUERY(GOOGLEFINANCE(C404, ""low"", TODAY()-40, TODAY()), ""SELECT Col2 WHERE Col2 IS NOT NULL OR"&amp;"DER BY Col1 DESC LIMIT 20"", 0) - 1)))"),"#N/A")</f>
        <v>#N/A</v>
      </c>
      <c r="H404" s="35" t="str">
        <f t="shared" si="6"/>
        <v/>
      </c>
      <c r="I404" s="36" t="str">
        <f t="shared" si="7"/>
        <v/>
      </c>
      <c r="J404" s="37" t="str">
        <f>IFERROR(__xludf.DUMMYFUNCTION("IFERROR(
  IF(C404="""",, 
    IFERROR(
      GOOGLEFINANCE(C404, ""price"") * GOOGLEFINANCE(C404, ""volumeavg""), 
      GOOGLEFINANCE(C404, ""price"") * AVERAGE(QUERY(GOOGLEFINANCE(C404, ""volume"", TODAY()-40, TODAY()), ""SELECT Col2 WHERE Col2 IS NOT "&amp;"NULL ORDER BY Col1 DESC LIMIT 20"", 0))
    )
  ), 
"""")"),"")</f>
        <v/>
      </c>
      <c r="K404" s="21" t="str">
        <f>IFERROR(__xludf.DUMMYFUNCTION("IFERROR(GOOGLEFINANCE(C404, ""changepct"") / 100, """")"),"")</f>
        <v/>
      </c>
      <c r="L404" s="21" t="str">
        <f>IFERROR(__xludf.DUMMYFUNCTION("IFERROR((GOOGLEFINANCE(C404, ""price"") / INDEX(GOOGLEFINANCE(C404, ""price"", TODAY()-7, TODAY()), 2, 2)) - 1, """")"),"")</f>
        <v/>
      </c>
      <c r="M404" s="21" t="str">
        <f>IFERROR(__xludf.DUMMYFUNCTION("IFERROR((GOOGLEFINANCE(C404, ""price"") / INDEX(GOOGLEFINANCE(C404, ""price"", EDATE(TODAY(), -1), TODAY()), 2, 2)) - 1, """")"),"")</f>
        <v/>
      </c>
      <c r="N404" s="21" t="str">
        <f>IFERROR(__xludf.DUMMYFUNCTION("IFERROR((GOOGLEFINANCE(C404, ""price"") / INDEX(GOOGLEFINANCE(C404, ""price"", EDATE(TODAY(), -3), TODAY()), 2, 2)) - 1, """")"),"")</f>
        <v/>
      </c>
      <c r="O404" s="21" t="str">
        <f>IFERROR(__xludf.DUMMYFUNCTION("IFERROR((GOOGLEFINANCE(C404, ""price"") / INDEX(GOOGLEFINANCE(C404, ""price"", EDATE(TODAY(), -6), TODAY()), 2, 2)) - 1, """")"),"")</f>
        <v/>
      </c>
      <c r="P404" s="21" t="str">
        <f>IFERROR(__xludf.DUMMYFUNCTION("IFERROR((GOOGLEFINANCE(C404, ""price"") / INDEX(GOOGLEFINANCE(C404, ""price"", EDATE(TODAY(), -12), TODAY()), 2, 2)) - 1, """")"),"")</f>
        <v/>
      </c>
      <c r="Q404" s="6" t="str">
        <f>IFERROR(__xludf.DUMMYFUNCTION("AVERAGE(QUERY(GOOGLEFINANCE(C404, ""price"", TODAY()-80, TODAY()), ""SELECT Col2 WHERE Col2 IS NOT NULL ORDER BY Col1 DESC LIMIT 50"", 0))"),"#N/A")</f>
        <v>#N/A</v>
      </c>
      <c r="R404" s="24" t="str">
        <f>IFERROR(__xludf.DUMMYFUNCTION("IFERROR(
  LET(
    data, QUERY(GOOGLEFINANCE(C404,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GOOGLEFINANCE(C404, ""price"")) * 100,
    IF(calc=0, G404, calc)
  ), 
G404)"),"#N/A")</f>
        <v>#N/A</v>
      </c>
      <c r="S404" s="8" t="s">
        <v>15</v>
      </c>
      <c r="T404" s="26" t="str">
        <f>IFERROR(__xludf.DUMMYFUNCTION("IFERROR(TRANSPOSE(QUERY(IFERROR(SORT(GOOGLEFINANCE(C404, ""price"", WORKDAY(TODAY(), -40), TODAY()), 1, FALSE)), ""select Col2 where Col2 is not null limit 22 label Col2 ''"", 0)), """")"),"")</f>
        <v/>
      </c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8"/>
      <c r="AO404" s="28"/>
      <c r="AP404" s="29"/>
      <c r="AQ404" s="29" t="str">
        <f t="shared" ref="AQ404:BL404" si="407">T404/T$2</f>
        <v>#N/A</v>
      </c>
      <c r="AR404" s="29" t="str">
        <f t="shared" si="407"/>
        <v>#DIV/0!</v>
      </c>
      <c r="AS404" s="29" t="str">
        <f t="shared" si="407"/>
        <v>#DIV/0!</v>
      </c>
      <c r="AT404" s="29" t="str">
        <f t="shared" si="407"/>
        <v>#DIV/0!</v>
      </c>
      <c r="AU404" s="29" t="str">
        <f t="shared" si="407"/>
        <v>#DIV/0!</v>
      </c>
      <c r="AV404" s="29" t="str">
        <f t="shared" si="407"/>
        <v>#DIV/0!</v>
      </c>
      <c r="AW404" s="29" t="str">
        <f t="shared" si="407"/>
        <v>#DIV/0!</v>
      </c>
      <c r="AX404" s="29" t="str">
        <f t="shared" si="407"/>
        <v>#DIV/0!</v>
      </c>
      <c r="AY404" s="29" t="str">
        <f t="shared" si="407"/>
        <v>#DIV/0!</v>
      </c>
      <c r="AZ404" s="29" t="str">
        <f t="shared" si="407"/>
        <v>#DIV/0!</v>
      </c>
      <c r="BA404" s="29" t="str">
        <f t="shared" si="407"/>
        <v>#DIV/0!</v>
      </c>
      <c r="BB404" s="29" t="str">
        <f t="shared" si="407"/>
        <v>#DIV/0!</v>
      </c>
      <c r="BC404" s="29" t="str">
        <f t="shared" si="407"/>
        <v>#DIV/0!</v>
      </c>
      <c r="BD404" s="29" t="str">
        <f t="shared" si="407"/>
        <v>#DIV/0!</v>
      </c>
      <c r="BE404" s="29" t="str">
        <f t="shared" si="407"/>
        <v>#DIV/0!</v>
      </c>
      <c r="BF404" s="29" t="str">
        <f t="shared" si="407"/>
        <v>#DIV/0!</v>
      </c>
      <c r="BG404" s="29" t="str">
        <f t="shared" si="407"/>
        <v>#DIV/0!</v>
      </c>
      <c r="BH404" s="29" t="str">
        <f t="shared" si="407"/>
        <v>#DIV/0!</v>
      </c>
      <c r="BI404" s="29" t="str">
        <f t="shared" si="407"/>
        <v>#DIV/0!</v>
      </c>
      <c r="BJ404" s="29" t="str">
        <f t="shared" si="407"/>
        <v>#DIV/0!</v>
      </c>
      <c r="BK404" s="29" t="str">
        <f t="shared" si="407"/>
        <v>#DIV/0!</v>
      </c>
      <c r="BL404" s="29" t="str">
        <f t="shared" si="407"/>
        <v>#DIV/0!</v>
      </c>
      <c r="BM404" s="29" t="str">
        <f t="shared" si="3"/>
        <v>#DIV/0!</v>
      </c>
    </row>
    <row r="405">
      <c r="A405" s="16" t="str">
        <f>IFERROR(__xludf.DUMMYFUNCTION("IFERROR(SPARKLINE(SORT(MAP(TRANSPOSE(AQ405:BL405), LAMBDA(val, IF(ISNUMBER(val), PERCENTRANK(AQ405:BL405, val)+0.01, 0))), SEQUENCE(COLUMNS(AQ405:BL405)), FALSE), {""charttype"",""column""; ""color"",""chartreuse""; ""ymin"", 0; ""ymax"", 1.01; ""highcolo"&amp;"r"", ""darkgreen""; ""lowcolor"", ""red""}), """")"),"")</f>
        <v/>
      </c>
      <c r="B405" s="17" t="str">
        <f t="shared" si="4"/>
        <v/>
      </c>
      <c r="C405" s="1" t="s">
        <v>1722</v>
      </c>
      <c r="D405" s="30" t="str">
        <f>IFERROR(__xludf.DUMMYFUNCTION("IFERROR(GOOGLEFINANCE(C405, ""NAME""))"),"Kopin Corp")</f>
        <v>Kopin Corp</v>
      </c>
      <c r="E405" s="30" t="s">
        <v>469</v>
      </c>
      <c r="F405" s="33" t="str">
        <f>IFERROR(__xludf.DUMMYFUNCTION("( (GOOGLEFINANCE(C405, ""price"") - Q405) / Q405 ) / (R405 / 100)"),"Loading...")</f>
        <v>Loading...</v>
      </c>
      <c r="G405" s="20" t="str">
        <f>IFERROR(__xludf.DUMMYFUNCTION("AVERAGE(ARRAYFORMULA(100 * (QUERY(GOOGLEFINANCE(C405, ""high"", TODAY()-40, TODAY()), ""SELECT Col2 WHERE Col2 IS NOT NULL ORDER BY Col1 DESC LIMIT 20"", 0) / QUERY(GOOGLEFINANCE(C405, ""low"", TODAY()-40, TODAY()), ""SELECT Col2 WHERE Col2 IS NOT NULL OR"&amp;"DER BY Col1 DESC LIMIT 20"", 0) - 1)))"),"#N/A")</f>
        <v>#N/A</v>
      </c>
      <c r="H405" s="35" t="str">
        <f t="shared" si="6"/>
        <v/>
      </c>
      <c r="I405" s="36" t="str">
        <f t="shared" si="7"/>
        <v/>
      </c>
      <c r="J405" s="37" t="str">
        <f>IFERROR(__xludf.DUMMYFUNCTION("IFERROR(
  IF(C405="""",, 
    IFERROR(
      GOOGLEFINANCE(C405, ""price"") * GOOGLEFINANCE(C405, ""volumeavg""), 
      GOOGLEFINANCE(C405, ""price"") * AVERAGE(QUERY(GOOGLEFINANCE(C405, ""volume"", TODAY()-40, TODAY()), ""SELECT Col2 WHERE Col2 IS NOT "&amp;"NULL ORDER BY Col1 DESC LIMIT 20"", 0))
    )
  ), 
"""")"),"")</f>
        <v/>
      </c>
      <c r="K405" s="21" t="str">
        <f>IFERROR(__xludf.DUMMYFUNCTION("IFERROR(GOOGLEFINANCE(C405, ""changepct"") / 100, """")"),"")</f>
        <v/>
      </c>
      <c r="L405" s="21" t="str">
        <f>IFERROR(__xludf.DUMMYFUNCTION("IFERROR((GOOGLEFINANCE(C405, ""price"") / INDEX(GOOGLEFINANCE(C405, ""price"", TODAY()-7, TODAY()), 2, 2)) - 1, """")"),"")</f>
        <v/>
      </c>
      <c r="M405" s="21" t="str">
        <f>IFERROR(__xludf.DUMMYFUNCTION("IFERROR((GOOGLEFINANCE(C405, ""price"") / INDEX(GOOGLEFINANCE(C405, ""price"", EDATE(TODAY(), -1), TODAY()), 2, 2)) - 1, """")"),"")</f>
        <v/>
      </c>
      <c r="N405" s="21" t="str">
        <f>IFERROR(__xludf.DUMMYFUNCTION("IFERROR((GOOGLEFINANCE(C405, ""price"") / INDEX(GOOGLEFINANCE(C405, ""price"", EDATE(TODAY(), -3), TODAY()), 2, 2)) - 1, """")"),"")</f>
        <v/>
      </c>
      <c r="O405" s="21" t="str">
        <f>IFERROR(__xludf.DUMMYFUNCTION("IFERROR((GOOGLEFINANCE(C405, ""price"") / INDEX(GOOGLEFINANCE(C405, ""price"", EDATE(TODAY(), -6), TODAY()), 2, 2)) - 1, """")"),"")</f>
        <v/>
      </c>
      <c r="P405" s="21" t="str">
        <f>IFERROR(__xludf.DUMMYFUNCTION("IFERROR((GOOGLEFINANCE(C405, ""price"") / INDEX(GOOGLEFINANCE(C405, ""price"", EDATE(TODAY(), -12), TODAY()), 2, 2)) - 1, """")"),"")</f>
        <v/>
      </c>
      <c r="Q405" s="6" t="str">
        <f>IFERROR(__xludf.DUMMYFUNCTION("AVERAGE(QUERY(GOOGLEFINANCE(C405, ""price"", TODAY()-80, TODAY()), ""SELECT Col2 WHERE Col2 IS NOT NULL ORDER BY Col1 DESC LIMIT 50"", 0))"),"#N/A")</f>
        <v>#N/A</v>
      </c>
      <c r="R405" s="24" t="str">
        <f>IFERROR(__xludf.DUMMYFUNCTION("IFERROR(
  LET(
    data, QUERY(GOOGLEFINANCE(C405,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GOOGLEFINANCE(C405, ""price"")) * 100,
    IF(calc=0, G405, calc)
  ), 
G405)"),"#N/A")</f>
        <v>#N/A</v>
      </c>
      <c r="S405" s="8" t="s">
        <v>15</v>
      </c>
      <c r="T405" s="26" t="str">
        <f>IFERROR(__xludf.DUMMYFUNCTION("IFERROR(TRANSPOSE(QUERY(IFERROR(SORT(GOOGLEFINANCE(C405, ""price"", WORKDAY(TODAY(), -40), TODAY()), 1, FALSE)), ""select Col2 where Col2 is not null limit 22 label Col2 ''"", 0)), """")"),"")</f>
        <v/>
      </c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8"/>
      <c r="AO405" s="28"/>
      <c r="AP405" s="29"/>
      <c r="AQ405" s="29" t="str">
        <f t="shared" ref="AQ405:BL405" si="408">T405/T$2</f>
        <v>#N/A</v>
      </c>
      <c r="AR405" s="29" t="str">
        <f t="shared" si="408"/>
        <v>#DIV/0!</v>
      </c>
      <c r="AS405" s="29" t="str">
        <f t="shared" si="408"/>
        <v>#DIV/0!</v>
      </c>
      <c r="AT405" s="29" t="str">
        <f t="shared" si="408"/>
        <v>#DIV/0!</v>
      </c>
      <c r="AU405" s="29" t="str">
        <f t="shared" si="408"/>
        <v>#DIV/0!</v>
      </c>
      <c r="AV405" s="29" t="str">
        <f t="shared" si="408"/>
        <v>#DIV/0!</v>
      </c>
      <c r="AW405" s="29" t="str">
        <f t="shared" si="408"/>
        <v>#DIV/0!</v>
      </c>
      <c r="AX405" s="29" t="str">
        <f t="shared" si="408"/>
        <v>#DIV/0!</v>
      </c>
      <c r="AY405" s="29" t="str">
        <f t="shared" si="408"/>
        <v>#DIV/0!</v>
      </c>
      <c r="AZ405" s="29" t="str">
        <f t="shared" si="408"/>
        <v>#DIV/0!</v>
      </c>
      <c r="BA405" s="29" t="str">
        <f t="shared" si="408"/>
        <v>#DIV/0!</v>
      </c>
      <c r="BB405" s="29" t="str">
        <f t="shared" si="408"/>
        <v>#DIV/0!</v>
      </c>
      <c r="BC405" s="29" t="str">
        <f t="shared" si="408"/>
        <v>#DIV/0!</v>
      </c>
      <c r="BD405" s="29" t="str">
        <f t="shared" si="408"/>
        <v>#DIV/0!</v>
      </c>
      <c r="BE405" s="29" t="str">
        <f t="shared" si="408"/>
        <v>#DIV/0!</v>
      </c>
      <c r="BF405" s="29" t="str">
        <f t="shared" si="408"/>
        <v>#DIV/0!</v>
      </c>
      <c r="BG405" s="29" t="str">
        <f t="shared" si="408"/>
        <v>#DIV/0!</v>
      </c>
      <c r="BH405" s="29" t="str">
        <f t="shared" si="408"/>
        <v>#DIV/0!</v>
      </c>
      <c r="BI405" s="29" t="str">
        <f t="shared" si="408"/>
        <v>#DIV/0!</v>
      </c>
      <c r="BJ405" s="29" t="str">
        <f t="shared" si="408"/>
        <v>#DIV/0!</v>
      </c>
      <c r="BK405" s="29" t="str">
        <f t="shared" si="408"/>
        <v>#DIV/0!</v>
      </c>
      <c r="BL405" s="29" t="str">
        <f t="shared" si="408"/>
        <v>#DIV/0!</v>
      </c>
      <c r="BM405" s="29" t="str">
        <f t="shared" si="3"/>
        <v>#DIV/0!</v>
      </c>
    </row>
    <row r="406">
      <c r="A406" s="16" t="str">
        <f>IFERROR(__xludf.DUMMYFUNCTION("IFERROR(SPARKLINE(SORT(MAP(TRANSPOSE(AQ406:BL406), LAMBDA(val, IF(ISNUMBER(val), PERCENTRANK(AQ406:BL406, val)+0.01, 0))), SEQUENCE(COLUMNS(AQ406:BL406)), FALSE), {""charttype"",""column""; ""color"",""chartreuse""; ""ymin"", 0; ""ymax"", 1.01; ""highcolo"&amp;"r"", ""darkgreen""; ""lowcolor"", ""red""}), """")"),"")</f>
        <v/>
      </c>
      <c r="B406" s="17" t="str">
        <f t="shared" si="4"/>
        <v/>
      </c>
      <c r="C406" s="1" t="s">
        <v>1727</v>
      </c>
      <c r="D406" s="30" t="str">
        <f>IFERROR(__xludf.DUMMYFUNCTION("IFERROR(GOOGLEFINANCE(C406, ""NAME""))"),"Vishay Precision Group Inc")</f>
        <v>Vishay Precision Group Inc</v>
      </c>
      <c r="E406" s="30" t="s">
        <v>595</v>
      </c>
      <c r="F406" s="33" t="str">
        <f>IFERROR(__xludf.DUMMYFUNCTION("( (GOOGLEFINANCE(C406, ""price"") - Q406) / Q406 ) / (R406 / 100)"),"Loading...")</f>
        <v>Loading...</v>
      </c>
      <c r="G406" s="20" t="str">
        <f>IFERROR(__xludf.DUMMYFUNCTION("AVERAGE(ARRAYFORMULA(100 * (QUERY(GOOGLEFINANCE(C406, ""high"", TODAY()-40, TODAY()), ""SELECT Col2 WHERE Col2 IS NOT NULL ORDER BY Col1 DESC LIMIT 20"", 0) / QUERY(GOOGLEFINANCE(C406, ""low"", TODAY()-40, TODAY()), ""SELECT Col2 WHERE Col2 IS NOT NULL OR"&amp;"DER BY Col1 DESC LIMIT 20"", 0) - 1)))"),"#N/A")</f>
        <v>#N/A</v>
      </c>
      <c r="H406" s="35" t="str">
        <f t="shared" si="6"/>
        <v/>
      </c>
      <c r="I406" s="36" t="str">
        <f t="shared" si="7"/>
        <v/>
      </c>
      <c r="J406" s="37" t="str">
        <f>IFERROR(__xludf.DUMMYFUNCTION("IFERROR(
  IF(C406="""",, 
    IFERROR(
      GOOGLEFINANCE(C406, ""price"") * GOOGLEFINANCE(C406, ""volumeavg""), 
      GOOGLEFINANCE(C406, ""price"") * AVERAGE(QUERY(GOOGLEFINANCE(C406, ""volume"", TODAY()-40, TODAY()), ""SELECT Col2 WHERE Col2 IS NOT "&amp;"NULL ORDER BY Col1 DESC LIMIT 20"", 0))
    )
  ), 
"""")"),"")</f>
        <v/>
      </c>
      <c r="K406" s="21" t="str">
        <f>IFERROR(__xludf.DUMMYFUNCTION("IFERROR(GOOGLEFINANCE(C406, ""changepct"") / 100, """")"),"")</f>
        <v/>
      </c>
      <c r="L406" s="21" t="str">
        <f>IFERROR(__xludf.DUMMYFUNCTION("IFERROR((GOOGLEFINANCE(C406, ""price"") / INDEX(GOOGLEFINANCE(C406, ""price"", TODAY()-7, TODAY()), 2, 2)) - 1, """")"),"")</f>
        <v/>
      </c>
      <c r="M406" s="21" t="str">
        <f>IFERROR(__xludf.DUMMYFUNCTION("IFERROR((GOOGLEFINANCE(C406, ""price"") / INDEX(GOOGLEFINANCE(C406, ""price"", EDATE(TODAY(), -1), TODAY()), 2, 2)) - 1, """")"),"")</f>
        <v/>
      </c>
      <c r="N406" s="21" t="str">
        <f>IFERROR(__xludf.DUMMYFUNCTION("IFERROR((GOOGLEFINANCE(C406, ""price"") / INDEX(GOOGLEFINANCE(C406, ""price"", EDATE(TODAY(), -3), TODAY()), 2, 2)) - 1, """")"),"")</f>
        <v/>
      </c>
      <c r="O406" s="21" t="str">
        <f>IFERROR(__xludf.DUMMYFUNCTION("IFERROR((GOOGLEFINANCE(C406, ""price"") / INDEX(GOOGLEFINANCE(C406, ""price"", EDATE(TODAY(), -6), TODAY()), 2, 2)) - 1, """")"),"")</f>
        <v/>
      </c>
      <c r="P406" s="21" t="str">
        <f>IFERROR(__xludf.DUMMYFUNCTION("IFERROR((GOOGLEFINANCE(C406, ""price"") / INDEX(GOOGLEFINANCE(C406, ""price"", EDATE(TODAY(), -12), TODAY()), 2, 2)) - 1, """")"),"")</f>
        <v/>
      </c>
      <c r="Q406" s="6" t="str">
        <f>IFERROR(__xludf.DUMMYFUNCTION("AVERAGE(QUERY(GOOGLEFINANCE(C406, ""price"", TODAY()-80, TODAY()), ""SELECT Col2 WHERE Col2 IS NOT NULL ORDER BY Col1 DESC LIMIT 50"", 0))"),"#N/A")</f>
        <v>#N/A</v>
      </c>
      <c r="R406" s="24" t="str">
        <f>IFERROR(__xludf.DUMMYFUNCTION("IFERROR(
  LET(
    data, QUERY(GOOGLEFINANCE(C406,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GOOGLEFINANCE(C406, ""price"")) * 100,
    IF(calc=0, G406, calc)
  ), 
G406)"),"#N/A")</f>
        <v>#N/A</v>
      </c>
      <c r="S406" s="8" t="s">
        <v>15</v>
      </c>
      <c r="T406" s="26" t="str">
        <f>IFERROR(__xludf.DUMMYFUNCTION("IFERROR(TRANSPOSE(QUERY(IFERROR(SORT(GOOGLEFINANCE(C406, ""price"", WORKDAY(TODAY(), -40), TODAY()), 1, FALSE)), ""select Col2 where Col2 is not null limit 22 label Col2 ''"", 0)), """")"),"")</f>
        <v/>
      </c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8"/>
      <c r="AO406" s="28"/>
      <c r="AP406" s="29"/>
      <c r="AQ406" s="29" t="str">
        <f t="shared" ref="AQ406:BL406" si="409">T406/T$2</f>
        <v>#N/A</v>
      </c>
      <c r="AR406" s="29" t="str">
        <f t="shared" si="409"/>
        <v>#DIV/0!</v>
      </c>
      <c r="AS406" s="29" t="str">
        <f t="shared" si="409"/>
        <v>#DIV/0!</v>
      </c>
      <c r="AT406" s="29" t="str">
        <f t="shared" si="409"/>
        <v>#DIV/0!</v>
      </c>
      <c r="AU406" s="29" t="str">
        <f t="shared" si="409"/>
        <v>#DIV/0!</v>
      </c>
      <c r="AV406" s="29" t="str">
        <f t="shared" si="409"/>
        <v>#DIV/0!</v>
      </c>
      <c r="AW406" s="29" t="str">
        <f t="shared" si="409"/>
        <v>#DIV/0!</v>
      </c>
      <c r="AX406" s="29" t="str">
        <f t="shared" si="409"/>
        <v>#DIV/0!</v>
      </c>
      <c r="AY406" s="29" t="str">
        <f t="shared" si="409"/>
        <v>#DIV/0!</v>
      </c>
      <c r="AZ406" s="29" t="str">
        <f t="shared" si="409"/>
        <v>#DIV/0!</v>
      </c>
      <c r="BA406" s="29" t="str">
        <f t="shared" si="409"/>
        <v>#DIV/0!</v>
      </c>
      <c r="BB406" s="29" t="str">
        <f t="shared" si="409"/>
        <v>#DIV/0!</v>
      </c>
      <c r="BC406" s="29" t="str">
        <f t="shared" si="409"/>
        <v>#DIV/0!</v>
      </c>
      <c r="BD406" s="29" t="str">
        <f t="shared" si="409"/>
        <v>#DIV/0!</v>
      </c>
      <c r="BE406" s="29" t="str">
        <f t="shared" si="409"/>
        <v>#DIV/0!</v>
      </c>
      <c r="BF406" s="29" t="str">
        <f t="shared" si="409"/>
        <v>#DIV/0!</v>
      </c>
      <c r="BG406" s="29" t="str">
        <f t="shared" si="409"/>
        <v>#DIV/0!</v>
      </c>
      <c r="BH406" s="29" t="str">
        <f t="shared" si="409"/>
        <v>#DIV/0!</v>
      </c>
      <c r="BI406" s="29" t="str">
        <f t="shared" si="409"/>
        <v>#DIV/0!</v>
      </c>
      <c r="BJ406" s="29" t="str">
        <f t="shared" si="409"/>
        <v>#DIV/0!</v>
      </c>
      <c r="BK406" s="29" t="str">
        <f t="shared" si="409"/>
        <v>#DIV/0!</v>
      </c>
      <c r="BL406" s="29" t="str">
        <f t="shared" si="409"/>
        <v>#DIV/0!</v>
      </c>
      <c r="BM406" s="29" t="str">
        <f t="shared" si="3"/>
        <v>#DIV/0!</v>
      </c>
    </row>
    <row r="407">
      <c r="A407" s="16" t="str">
        <f>IFERROR(__xludf.DUMMYFUNCTION("IFERROR(SPARKLINE(SORT(MAP(TRANSPOSE(AQ407:BL407), LAMBDA(val, IF(ISNUMBER(val), PERCENTRANK(AQ407:BL407, val)+0.01, 0))), SEQUENCE(COLUMNS(AQ407:BL407)), FALSE), {""charttype"",""column""; ""color"",""chartreuse""; ""ymin"", 0; ""ymax"", 1.01; ""highcolo"&amp;"r"", ""darkgreen""; ""lowcolor"", ""red""}), """")"),"")</f>
        <v/>
      </c>
      <c r="B407" s="17" t="str">
        <f t="shared" si="4"/>
        <v/>
      </c>
      <c r="C407" s="1" t="s">
        <v>1732</v>
      </c>
      <c r="D407" s="30" t="str">
        <f>IFERROR(__xludf.DUMMYFUNCTION("IFERROR(GOOGLEFINANCE(C407, ""NAME""))"),"Advanced Micro Devices Inc")</f>
        <v>Advanced Micro Devices Inc</v>
      </c>
      <c r="E407" s="30" t="s">
        <v>871</v>
      </c>
      <c r="F407" s="33" t="str">
        <f>IFERROR(__xludf.DUMMYFUNCTION("( (GOOGLEFINANCE(C407, ""price"") - Q407) / Q407 ) / (R407 / 100)"),"Loading...")</f>
        <v>Loading...</v>
      </c>
      <c r="G407" s="20" t="str">
        <f>IFERROR(__xludf.DUMMYFUNCTION("AVERAGE(ARRAYFORMULA(100 * (QUERY(GOOGLEFINANCE(C407, ""high"", TODAY()-40, TODAY()), ""SELECT Col2 WHERE Col2 IS NOT NULL ORDER BY Col1 DESC LIMIT 20"", 0) / QUERY(GOOGLEFINANCE(C407, ""low"", TODAY()-40, TODAY()), ""SELECT Col2 WHERE Col2 IS NOT NULL OR"&amp;"DER BY Col1 DESC LIMIT 20"", 0) - 1)))"),"#N/A")</f>
        <v>#N/A</v>
      </c>
      <c r="H407" s="35" t="str">
        <f t="shared" si="6"/>
        <v/>
      </c>
      <c r="I407" s="36" t="str">
        <f t="shared" si="7"/>
        <v/>
      </c>
      <c r="J407" s="37" t="str">
        <f>IFERROR(__xludf.DUMMYFUNCTION("IFERROR(
  IF(C407="""",, 
    IFERROR(
      GOOGLEFINANCE(C407, ""price"") * GOOGLEFINANCE(C407, ""volumeavg""), 
      GOOGLEFINANCE(C407, ""price"") * AVERAGE(QUERY(GOOGLEFINANCE(C407, ""volume"", TODAY()-40, TODAY()), ""SELECT Col2 WHERE Col2 IS NOT "&amp;"NULL ORDER BY Col1 DESC LIMIT 20"", 0))
    )
  ), 
"""")"),"")</f>
        <v/>
      </c>
      <c r="K407" s="21" t="str">
        <f>IFERROR(__xludf.DUMMYFUNCTION("IFERROR(GOOGLEFINANCE(C407, ""changepct"") / 100, """")"),"")</f>
        <v/>
      </c>
      <c r="L407" s="21" t="str">
        <f>IFERROR(__xludf.DUMMYFUNCTION("IFERROR((GOOGLEFINANCE(C407, ""price"") / INDEX(GOOGLEFINANCE(C407, ""price"", TODAY()-7, TODAY()), 2, 2)) - 1, """")"),"")</f>
        <v/>
      </c>
      <c r="M407" s="21" t="str">
        <f>IFERROR(__xludf.DUMMYFUNCTION("IFERROR((GOOGLEFINANCE(C407, ""price"") / INDEX(GOOGLEFINANCE(C407, ""price"", EDATE(TODAY(), -1), TODAY()), 2, 2)) - 1, """")"),"")</f>
        <v/>
      </c>
      <c r="N407" s="21" t="str">
        <f>IFERROR(__xludf.DUMMYFUNCTION("IFERROR((GOOGLEFINANCE(C407, ""price"") / INDEX(GOOGLEFINANCE(C407, ""price"", EDATE(TODAY(), -3), TODAY()), 2, 2)) - 1, """")"),"")</f>
        <v/>
      </c>
      <c r="O407" s="21" t="str">
        <f>IFERROR(__xludf.DUMMYFUNCTION("IFERROR((GOOGLEFINANCE(C407, ""price"") / INDEX(GOOGLEFINANCE(C407, ""price"", EDATE(TODAY(), -6), TODAY()), 2, 2)) - 1, """")"),"")</f>
        <v/>
      </c>
      <c r="P407" s="21" t="str">
        <f>IFERROR(__xludf.DUMMYFUNCTION("IFERROR((GOOGLEFINANCE(C407, ""price"") / INDEX(GOOGLEFINANCE(C407, ""price"", EDATE(TODAY(), -12), TODAY()), 2, 2)) - 1, """")"),"")</f>
        <v/>
      </c>
      <c r="Q407" s="6" t="str">
        <f>IFERROR(__xludf.DUMMYFUNCTION("AVERAGE(QUERY(GOOGLEFINANCE(C407, ""price"", TODAY()-80, TODAY()), ""SELECT Col2 WHERE Col2 IS NOT NULL ORDER BY Col1 DESC LIMIT 50"", 0))"),"#N/A")</f>
        <v>#N/A</v>
      </c>
      <c r="R407" s="24" t="str">
        <f>IFERROR(__xludf.DUMMYFUNCTION("IFERROR(
  LET(
    data, QUERY(GOOGLEFINANCE(C407,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GOOGLEFINANCE(C407, ""price"")) * 100,
    IF(calc=0, G407, calc)
  ), 
G407)"),"#N/A")</f>
        <v>#N/A</v>
      </c>
      <c r="S407" s="8" t="s">
        <v>15</v>
      </c>
      <c r="T407" s="26" t="str">
        <f>IFERROR(__xludf.DUMMYFUNCTION("IFERROR(TRANSPOSE(QUERY(IFERROR(SORT(GOOGLEFINANCE(C407, ""price"", WORKDAY(TODAY(), -40), TODAY()), 1, FALSE)), ""select Col2 where Col2 is not null limit 22 label Col2 ''"", 0)), """")"),"")</f>
        <v/>
      </c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8"/>
      <c r="AO407" s="28"/>
      <c r="AP407" s="29"/>
      <c r="AQ407" s="29" t="str">
        <f t="shared" ref="AQ407:BL407" si="410">T407/T$2</f>
        <v>#N/A</v>
      </c>
      <c r="AR407" s="29" t="str">
        <f t="shared" si="410"/>
        <v>#DIV/0!</v>
      </c>
      <c r="AS407" s="29" t="str">
        <f t="shared" si="410"/>
        <v>#DIV/0!</v>
      </c>
      <c r="AT407" s="29" t="str">
        <f t="shared" si="410"/>
        <v>#DIV/0!</v>
      </c>
      <c r="AU407" s="29" t="str">
        <f t="shared" si="410"/>
        <v>#DIV/0!</v>
      </c>
      <c r="AV407" s="29" t="str">
        <f t="shared" si="410"/>
        <v>#DIV/0!</v>
      </c>
      <c r="AW407" s="29" t="str">
        <f t="shared" si="410"/>
        <v>#DIV/0!</v>
      </c>
      <c r="AX407" s="29" t="str">
        <f t="shared" si="410"/>
        <v>#DIV/0!</v>
      </c>
      <c r="AY407" s="29" t="str">
        <f t="shared" si="410"/>
        <v>#DIV/0!</v>
      </c>
      <c r="AZ407" s="29" t="str">
        <f t="shared" si="410"/>
        <v>#DIV/0!</v>
      </c>
      <c r="BA407" s="29" t="str">
        <f t="shared" si="410"/>
        <v>#DIV/0!</v>
      </c>
      <c r="BB407" s="29" t="str">
        <f t="shared" si="410"/>
        <v>#DIV/0!</v>
      </c>
      <c r="BC407" s="29" t="str">
        <f t="shared" si="410"/>
        <v>#DIV/0!</v>
      </c>
      <c r="BD407" s="29" t="str">
        <f t="shared" si="410"/>
        <v>#DIV/0!</v>
      </c>
      <c r="BE407" s="29" t="str">
        <f t="shared" si="410"/>
        <v>#DIV/0!</v>
      </c>
      <c r="BF407" s="29" t="str">
        <f t="shared" si="410"/>
        <v>#DIV/0!</v>
      </c>
      <c r="BG407" s="29" t="str">
        <f t="shared" si="410"/>
        <v>#DIV/0!</v>
      </c>
      <c r="BH407" s="29" t="str">
        <f t="shared" si="410"/>
        <v>#DIV/0!</v>
      </c>
      <c r="BI407" s="29" t="str">
        <f t="shared" si="410"/>
        <v>#DIV/0!</v>
      </c>
      <c r="BJ407" s="29" t="str">
        <f t="shared" si="410"/>
        <v>#DIV/0!</v>
      </c>
      <c r="BK407" s="29" t="str">
        <f t="shared" si="410"/>
        <v>#DIV/0!</v>
      </c>
      <c r="BL407" s="29" t="str">
        <f t="shared" si="410"/>
        <v>#DIV/0!</v>
      </c>
      <c r="BM407" s="29" t="str">
        <f t="shared" si="3"/>
        <v>#DIV/0!</v>
      </c>
    </row>
    <row r="408">
      <c r="A408" s="16" t="str">
        <f>IFERROR(__xludf.DUMMYFUNCTION("IFERROR(SPARKLINE(SORT(MAP(TRANSPOSE(AQ408:BL408), LAMBDA(val, IF(ISNUMBER(val), PERCENTRANK(AQ408:BL408, val)+0.01, 0))), SEQUENCE(COLUMNS(AQ408:BL408)), FALSE), {""charttype"",""column""; ""color"",""chartreuse""; ""ymin"", 0; ""ymax"", 1.01; ""highcolo"&amp;"r"", ""darkgreen""; ""lowcolor"", ""red""}), """")"),"")</f>
        <v/>
      </c>
      <c r="B408" s="17" t="str">
        <f t="shared" si="4"/>
        <v/>
      </c>
      <c r="C408" s="1" t="s">
        <v>1736</v>
      </c>
      <c r="D408" s="30" t="str">
        <f>IFERROR(__xludf.DUMMYFUNCTION("IFERROR(GOOGLEFINANCE(C408, ""NAME""))"),"SiTime Corp")</f>
        <v>SiTime Corp</v>
      </c>
      <c r="E408" s="30" t="s">
        <v>871</v>
      </c>
      <c r="F408" s="38" t="str">
        <f>IFERROR(__xludf.DUMMYFUNCTION("( (GOOGLEFINANCE(C408, ""price"") - Q408) / Q408 ) / (R408 / 100)"),"Loading...")</f>
        <v>Loading...</v>
      </c>
      <c r="G408" s="20" t="str">
        <f>IFERROR(__xludf.DUMMYFUNCTION("AVERAGE(ARRAYFORMULA(100 * (QUERY(GOOGLEFINANCE(C408, ""high"", TODAY()-40, TODAY()), ""SELECT Col2 WHERE Col2 IS NOT NULL ORDER BY Col1 DESC LIMIT 20"", 0) / QUERY(GOOGLEFINANCE(C408, ""low"", TODAY()-40, TODAY()), ""SELECT Col2 WHERE Col2 IS NOT NULL OR"&amp;"DER BY Col1 DESC LIMIT 20"", 0) - 1)))"),"#N/A")</f>
        <v>#N/A</v>
      </c>
      <c r="H408" s="35" t="str">
        <f t="shared" si="6"/>
        <v/>
      </c>
      <c r="I408" s="36" t="str">
        <f t="shared" si="7"/>
        <v/>
      </c>
      <c r="J408" s="37" t="str">
        <f>IFERROR(__xludf.DUMMYFUNCTION("IFERROR(
  IF(C408="""",, 
    IFERROR(
      GOOGLEFINANCE(C408, ""price"") * GOOGLEFINANCE(C408, ""volumeavg""), 
      GOOGLEFINANCE(C408, ""price"") * AVERAGE(QUERY(GOOGLEFINANCE(C408, ""volume"", TODAY()-40, TODAY()), ""SELECT Col2 WHERE Col2 IS NOT "&amp;"NULL ORDER BY Col1 DESC LIMIT 20"", 0))
    )
  ), 
"""")"),"")</f>
        <v/>
      </c>
      <c r="K408" s="21" t="str">
        <f>IFERROR(__xludf.DUMMYFUNCTION("IFERROR(GOOGLEFINANCE(C408, ""changepct"") / 100, """")"),"")</f>
        <v/>
      </c>
      <c r="L408" s="21" t="str">
        <f>IFERROR(__xludf.DUMMYFUNCTION("IFERROR((GOOGLEFINANCE(C408, ""price"") / INDEX(GOOGLEFINANCE(C408, ""price"", TODAY()-7, TODAY()), 2, 2)) - 1, """")"),"")</f>
        <v/>
      </c>
      <c r="M408" s="21" t="str">
        <f>IFERROR(__xludf.DUMMYFUNCTION("IFERROR((GOOGLEFINANCE(C408, ""price"") / INDEX(GOOGLEFINANCE(C408, ""price"", EDATE(TODAY(), -1), TODAY()), 2, 2)) - 1, """")"),"")</f>
        <v/>
      </c>
      <c r="N408" s="21" t="str">
        <f>IFERROR(__xludf.DUMMYFUNCTION("IFERROR((GOOGLEFINANCE(C408, ""price"") / INDEX(GOOGLEFINANCE(C408, ""price"", EDATE(TODAY(), -3), TODAY()), 2, 2)) - 1, """")"),"")</f>
        <v/>
      </c>
      <c r="O408" s="21" t="str">
        <f>IFERROR(__xludf.DUMMYFUNCTION("IFERROR((GOOGLEFINANCE(C408, ""price"") / INDEX(GOOGLEFINANCE(C408, ""price"", EDATE(TODAY(), -6), TODAY()), 2, 2)) - 1, """")"),"")</f>
        <v/>
      </c>
      <c r="P408" s="21" t="str">
        <f>IFERROR(__xludf.DUMMYFUNCTION("IFERROR((GOOGLEFINANCE(C408, ""price"") / INDEX(GOOGLEFINANCE(C408, ""price"", EDATE(TODAY(), -12), TODAY()), 2, 2)) - 1, """")"),"")</f>
        <v/>
      </c>
      <c r="Q408" s="6" t="str">
        <f>IFERROR(__xludf.DUMMYFUNCTION("AVERAGE(QUERY(GOOGLEFINANCE(C408, ""price"", TODAY()-80, TODAY()), ""SELECT Col2 WHERE Col2 IS NOT NULL ORDER BY Col1 DESC LIMIT 50"", 0))"),"#N/A")</f>
        <v>#N/A</v>
      </c>
      <c r="R408" s="24" t="str">
        <f>IFERROR(__xludf.DUMMYFUNCTION("IFERROR(
  LET(
    data, QUERY(GOOGLEFINANCE(C408,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GOOGLEFINANCE(C408, ""price"")) * 100,
    IF(calc=0, G408, calc)
  ), 
G408)"),"#N/A")</f>
        <v>#N/A</v>
      </c>
      <c r="S408" s="8" t="s">
        <v>15</v>
      </c>
      <c r="T408" s="26" t="str">
        <f>IFERROR(__xludf.DUMMYFUNCTION("IFERROR(TRANSPOSE(QUERY(IFERROR(SORT(GOOGLEFINANCE(C408, ""price"", WORKDAY(TODAY(), -40), TODAY()), 1, FALSE)), ""select Col2 where Col2 is not null limit 22 label Col2 ''"", 0)), """")"),"")</f>
        <v/>
      </c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8"/>
      <c r="AO408" s="28"/>
      <c r="AP408" s="29"/>
      <c r="AQ408" s="29" t="str">
        <f t="shared" ref="AQ408:BL408" si="411">T408/T$2</f>
        <v>#N/A</v>
      </c>
      <c r="AR408" s="29" t="str">
        <f t="shared" si="411"/>
        <v>#DIV/0!</v>
      </c>
      <c r="AS408" s="29" t="str">
        <f t="shared" si="411"/>
        <v>#DIV/0!</v>
      </c>
      <c r="AT408" s="29" t="str">
        <f t="shared" si="411"/>
        <v>#DIV/0!</v>
      </c>
      <c r="AU408" s="29" t="str">
        <f t="shared" si="411"/>
        <v>#DIV/0!</v>
      </c>
      <c r="AV408" s="29" t="str">
        <f t="shared" si="411"/>
        <v>#DIV/0!</v>
      </c>
      <c r="AW408" s="29" t="str">
        <f t="shared" si="411"/>
        <v>#DIV/0!</v>
      </c>
      <c r="AX408" s="29" t="str">
        <f t="shared" si="411"/>
        <v>#DIV/0!</v>
      </c>
      <c r="AY408" s="29" t="str">
        <f t="shared" si="411"/>
        <v>#DIV/0!</v>
      </c>
      <c r="AZ408" s="29" t="str">
        <f t="shared" si="411"/>
        <v>#DIV/0!</v>
      </c>
      <c r="BA408" s="29" t="str">
        <f t="shared" si="411"/>
        <v>#DIV/0!</v>
      </c>
      <c r="BB408" s="29" t="str">
        <f t="shared" si="411"/>
        <v>#DIV/0!</v>
      </c>
      <c r="BC408" s="29" t="str">
        <f t="shared" si="411"/>
        <v>#DIV/0!</v>
      </c>
      <c r="BD408" s="29" t="str">
        <f t="shared" si="411"/>
        <v>#DIV/0!</v>
      </c>
      <c r="BE408" s="29" t="str">
        <f t="shared" si="411"/>
        <v>#DIV/0!</v>
      </c>
      <c r="BF408" s="29" t="str">
        <f t="shared" si="411"/>
        <v>#DIV/0!</v>
      </c>
      <c r="BG408" s="29" t="str">
        <f t="shared" si="411"/>
        <v>#DIV/0!</v>
      </c>
      <c r="BH408" s="29" t="str">
        <f t="shared" si="411"/>
        <v>#DIV/0!</v>
      </c>
      <c r="BI408" s="29" t="str">
        <f t="shared" si="411"/>
        <v>#DIV/0!</v>
      </c>
      <c r="BJ408" s="29" t="str">
        <f t="shared" si="411"/>
        <v>#DIV/0!</v>
      </c>
      <c r="BK408" s="29" t="str">
        <f t="shared" si="411"/>
        <v>#DIV/0!</v>
      </c>
      <c r="BL408" s="29" t="str">
        <f t="shared" si="411"/>
        <v>#DIV/0!</v>
      </c>
      <c r="BM408" s="29" t="str">
        <f t="shared" si="3"/>
        <v>#DIV/0!</v>
      </c>
    </row>
    <row r="409">
      <c r="A409" s="16" t="str">
        <f>IFERROR(__xludf.DUMMYFUNCTION("IFERROR(SPARKLINE(SORT(MAP(TRANSPOSE(AQ409:BL409), LAMBDA(val, IF(ISNUMBER(val), PERCENTRANK(AQ409:BL409, val)+0.01, 0))), SEQUENCE(COLUMNS(AQ409:BL409)), FALSE), {""charttype"",""column""; ""color"",""chartreuse""; ""ymin"", 0; ""ymax"", 1.01; ""highcolo"&amp;"r"", ""darkgreen""; ""lowcolor"", ""red""}), """")"),"")</f>
        <v/>
      </c>
      <c r="B409" s="17" t="str">
        <f t="shared" si="4"/>
        <v/>
      </c>
      <c r="C409" s="1" t="s">
        <v>1741</v>
      </c>
      <c r="D409" s="30" t="str">
        <f>IFERROR(__xludf.DUMMYFUNCTION("IFERROR(GOOGLEFINANCE(C409, ""NAME""))"),"Bandwidth Inc")</f>
        <v>Bandwidth Inc</v>
      </c>
      <c r="E409" s="30" t="s">
        <v>58</v>
      </c>
      <c r="F409" s="33" t="str">
        <f>IFERROR(__xludf.DUMMYFUNCTION("( (GOOGLEFINANCE(C409, ""price"") - Q409) / Q409 ) / (R409 / 100)"),"Loading...")</f>
        <v>Loading...</v>
      </c>
      <c r="G409" s="20" t="str">
        <f>IFERROR(__xludf.DUMMYFUNCTION("AVERAGE(ARRAYFORMULA(100 * (QUERY(GOOGLEFINANCE(C409, ""high"", TODAY()-40, TODAY()), ""SELECT Col2 WHERE Col2 IS NOT NULL ORDER BY Col1 DESC LIMIT 20"", 0) / QUERY(GOOGLEFINANCE(C409, ""low"", TODAY()-40, TODAY()), ""SELECT Col2 WHERE Col2 IS NOT NULL OR"&amp;"DER BY Col1 DESC LIMIT 20"", 0) - 1)))"),"#N/A")</f>
        <v>#N/A</v>
      </c>
      <c r="H409" s="35" t="str">
        <f t="shared" si="6"/>
        <v/>
      </c>
      <c r="I409" s="36" t="str">
        <f t="shared" si="7"/>
        <v/>
      </c>
      <c r="J409" s="37" t="str">
        <f>IFERROR(__xludf.DUMMYFUNCTION("IFERROR(
  IF(C409="""",, 
    IFERROR(
      GOOGLEFINANCE(C409, ""price"") * GOOGLEFINANCE(C409, ""volumeavg""), 
      GOOGLEFINANCE(C409, ""price"") * AVERAGE(QUERY(GOOGLEFINANCE(C409, ""volume"", TODAY()-40, TODAY()), ""SELECT Col2 WHERE Col2 IS NOT "&amp;"NULL ORDER BY Col1 DESC LIMIT 20"", 0))
    )
  ), 
"""")"),"")</f>
        <v/>
      </c>
      <c r="K409" s="21" t="str">
        <f>IFERROR(__xludf.DUMMYFUNCTION("IFERROR(GOOGLEFINANCE(C409, ""changepct"") / 100, """")"),"")</f>
        <v/>
      </c>
      <c r="L409" s="21" t="str">
        <f>IFERROR(__xludf.DUMMYFUNCTION("IFERROR((GOOGLEFINANCE(C409, ""price"") / INDEX(GOOGLEFINANCE(C409, ""price"", TODAY()-7, TODAY()), 2, 2)) - 1, """")"),"")</f>
        <v/>
      </c>
      <c r="M409" s="21" t="str">
        <f>IFERROR(__xludf.DUMMYFUNCTION("IFERROR((GOOGLEFINANCE(C409, ""price"") / INDEX(GOOGLEFINANCE(C409, ""price"", EDATE(TODAY(), -1), TODAY()), 2, 2)) - 1, """")"),"")</f>
        <v/>
      </c>
      <c r="N409" s="21" t="str">
        <f>IFERROR(__xludf.DUMMYFUNCTION("IFERROR((GOOGLEFINANCE(C409, ""price"") / INDEX(GOOGLEFINANCE(C409, ""price"", EDATE(TODAY(), -3), TODAY()), 2, 2)) - 1, """")"),"")</f>
        <v/>
      </c>
      <c r="O409" s="21" t="str">
        <f>IFERROR(__xludf.DUMMYFUNCTION("IFERROR((GOOGLEFINANCE(C409, ""price"") / INDEX(GOOGLEFINANCE(C409, ""price"", EDATE(TODAY(), -6), TODAY()), 2, 2)) - 1, """")"),"")</f>
        <v/>
      </c>
      <c r="P409" s="21" t="str">
        <f>IFERROR(__xludf.DUMMYFUNCTION("IFERROR((GOOGLEFINANCE(C409, ""price"") / INDEX(GOOGLEFINANCE(C409, ""price"", EDATE(TODAY(), -12), TODAY()), 2, 2)) - 1, """")"),"")</f>
        <v/>
      </c>
      <c r="Q409" s="6" t="str">
        <f>IFERROR(__xludf.DUMMYFUNCTION("AVERAGE(QUERY(GOOGLEFINANCE(C409, ""price"", TODAY()-80, TODAY()), ""SELECT Col2 WHERE Col2 IS NOT NULL ORDER BY Col1 DESC LIMIT 50"", 0))"),"#N/A")</f>
        <v>#N/A</v>
      </c>
      <c r="R409" s="24" t="str">
        <f>IFERROR(__xludf.DUMMYFUNCTION("IFERROR(
  LET(
    data, QUERY(GOOGLEFINANCE(C409,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GOOGLEFINANCE(C409, ""price"")) * 100,
    IF(calc=0, G409, calc)
  ), 
G409)"),"#N/A")</f>
        <v>#N/A</v>
      </c>
      <c r="S409" s="8" t="s">
        <v>15</v>
      </c>
      <c r="T409" s="26" t="str">
        <f>IFERROR(__xludf.DUMMYFUNCTION("IFERROR(TRANSPOSE(QUERY(IFERROR(SORT(GOOGLEFINANCE(C409, ""price"", WORKDAY(TODAY(), -40), TODAY()), 1, FALSE)), ""select Col2 where Col2 is not null limit 22 label Col2 ''"", 0)), """")"),"")</f>
        <v/>
      </c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8"/>
      <c r="AO409" s="28"/>
      <c r="AP409" s="29"/>
      <c r="AQ409" s="29" t="str">
        <f t="shared" ref="AQ409:BL409" si="412">T409/T$2</f>
        <v>#N/A</v>
      </c>
      <c r="AR409" s="29" t="str">
        <f t="shared" si="412"/>
        <v>#DIV/0!</v>
      </c>
      <c r="AS409" s="29" t="str">
        <f t="shared" si="412"/>
        <v>#DIV/0!</v>
      </c>
      <c r="AT409" s="29" t="str">
        <f t="shared" si="412"/>
        <v>#DIV/0!</v>
      </c>
      <c r="AU409" s="29" t="str">
        <f t="shared" si="412"/>
        <v>#DIV/0!</v>
      </c>
      <c r="AV409" s="29" t="str">
        <f t="shared" si="412"/>
        <v>#DIV/0!</v>
      </c>
      <c r="AW409" s="29" t="str">
        <f t="shared" si="412"/>
        <v>#DIV/0!</v>
      </c>
      <c r="AX409" s="29" t="str">
        <f t="shared" si="412"/>
        <v>#DIV/0!</v>
      </c>
      <c r="AY409" s="29" t="str">
        <f t="shared" si="412"/>
        <v>#DIV/0!</v>
      </c>
      <c r="AZ409" s="29" t="str">
        <f t="shared" si="412"/>
        <v>#DIV/0!</v>
      </c>
      <c r="BA409" s="29" t="str">
        <f t="shared" si="412"/>
        <v>#DIV/0!</v>
      </c>
      <c r="BB409" s="29" t="str">
        <f t="shared" si="412"/>
        <v>#DIV/0!</v>
      </c>
      <c r="BC409" s="29" t="str">
        <f t="shared" si="412"/>
        <v>#DIV/0!</v>
      </c>
      <c r="BD409" s="29" t="str">
        <f t="shared" si="412"/>
        <v>#DIV/0!</v>
      </c>
      <c r="BE409" s="29" t="str">
        <f t="shared" si="412"/>
        <v>#DIV/0!</v>
      </c>
      <c r="BF409" s="29" t="str">
        <f t="shared" si="412"/>
        <v>#DIV/0!</v>
      </c>
      <c r="BG409" s="29" t="str">
        <f t="shared" si="412"/>
        <v>#DIV/0!</v>
      </c>
      <c r="BH409" s="29" t="str">
        <f t="shared" si="412"/>
        <v>#DIV/0!</v>
      </c>
      <c r="BI409" s="29" t="str">
        <f t="shared" si="412"/>
        <v>#DIV/0!</v>
      </c>
      <c r="BJ409" s="29" t="str">
        <f t="shared" si="412"/>
        <v>#DIV/0!</v>
      </c>
      <c r="BK409" s="29" t="str">
        <f t="shared" si="412"/>
        <v>#DIV/0!</v>
      </c>
      <c r="BL409" s="29" t="str">
        <f t="shared" si="412"/>
        <v>#DIV/0!</v>
      </c>
      <c r="BM409" s="29" t="str">
        <f t="shared" si="3"/>
        <v>#DIV/0!</v>
      </c>
    </row>
    <row r="410">
      <c r="A410" s="16" t="str">
        <f>IFERROR(__xludf.DUMMYFUNCTION("IFERROR(SPARKLINE(SORT(MAP(TRANSPOSE(AQ410:BL410), LAMBDA(val, IF(ISNUMBER(val), PERCENTRANK(AQ410:BL410, val)+0.01, 0))), SEQUENCE(COLUMNS(AQ410:BL410)), FALSE), {""charttype"",""column""; ""color"",""chartreuse""; ""ymin"", 0; ""ymax"", 1.01; ""highcolo"&amp;"r"", ""darkgreen""; ""lowcolor"", ""red""}), """")"),"")</f>
        <v/>
      </c>
      <c r="B410" s="17" t="str">
        <f t="shared" si="4"/>
        <v/>
      </c>
      <c r="C410" s="1" t="s">
        <v>1745</v>
      </c>
      <c r="D410" s="30" t="str">
        <f>IFERROR(__xludf.DUMMYFUNCTION("IFERROR(GOOGLEFINANCE(C410, ""NAME""))"),"FormFactor Inc")</f>
        <v>FormFactor Inc</v>
      </c>
      <c r="E410" s="30" t="s">
        <v>1195</v>
      </c>
      <c r="F410" s="33" t="str">
        <f>IFERROR(__xludf.DUMMYFUNCTION("( (GOOGLEFINANCE(C410, ""price"") - Q410) / Q410 ) / (R410 / 100)"),"Loading...")</f>
        <v>Loading...</v>
      </c>
      <c r="G410" s="20" t="str">
        <f>IFERROR(__xludf.DUMMYFUNCTION("AVERAGE(ARRAYFORMULA(100 * (QUERY(GOOGLEFINANCE(C410, ""high"", TODAY()-40, TODAY()), ""SELECT Col2 WHERE Col2 IS NOT NULL ORDER BY Col1 DESC LIMIT 20"", 0) / QUERY(GOOGLEFINANCE(C410, ""low"", TODAY()-40, TODAY()), ""SELECT Col2 WHERE Col2 IS NOT NULL OR"&amp;"DER BY Col1 DESC LIMIT 20"", 0) - 1)))"),"#N/A")</f>
        <v>#N/A</v>
      </c>
      <c r="H410" s="35" t="str">
        <f t="shared" si="6"/>
        <v/>
      </c>
      <c r="I410" s="36" t="str">
        <f t="shared" si="7"/>
        <v/>
      </c>
      <c r="J410" s="37" t="str">
        <f>IFERROR(__xludf.DUMMYFUNCTION("IFERROR(
  IF(C410="""",, 
    IFERROR(
      GOOGLEFINANCE(C410, ""price"") * GOOGLEFINANCE(C410, ""volumeavg""), 
      GOOGLEFINANCE(C410, ""price"") * AVERAGE(QUERY(GOOGLEFINANCE(C410, ""volume"", TODAY()-40, TODAY()), ""SELECT Col2 WHERE Col2 IS NOT "&amp;"NULL ORDER BY Col1 DESC LIMIT 20"", 0))
    )
  ), 
"""")"),"")</f>
        <v/>
      </c>
      <c r="K410" s="21" t="str">
        <f>IFERROR(__xludf.DUMMYFUNCTION("IFERROR(GOOGLEFINANCE(C410, ""changepct"") / 100, """")"),"")</f>
        <v/>
      </c>
      <c r="L410" s="21" t="str">
        <f>IFERROR(__xludf.DUMMYFUNCTION("IFERROR((GOOGLEFINANCE(C410, ""price"") / INDEX(GOOGLEFINANCE(C410, ""price"", TODAY()-7, TODAY()), 2, 2)) - 1, """")"),"")</f>
        <v/>
      </c>
      <c r="M410" s="21" t="str">
        <f>IFERROR(__xludf.DUMMYFUNCTION("IFERROR((GOOGLEFINANCE(C410, ""price"") / INDEX(GOOGLEFINANCE(C410, ""price"", EDATE(TODAY(), -1), TODAY()), 2, 2)) - 1, """")"),"")</f>
        <v/>
      </c>
      <c r="N410" s="21" t="str">
        <f>IFERROR(__xludf.DUMMYFUNCTION("IFERROR((GOOGLEFINANCE(C410, ""price"") / INDEX(GOOGLEFINANCE(C410, ""price"", EDATE(TODAY(), -3), TODAY()), 2, 2)) - 1, """")"),"")</f>
        <v/>
      </c>
      <c r="O410" s="21" t="str">
        <f>IFERROR(__xludf.DUMMYFUNCTION("IFERROR((GOOGLEFINANCE(C410, ""price"") / INDEX(GOOGLEFINANCE(C410, ""price"", EDATE(TODAY(), -6), TODAY()), 2, 2)) - 1, """")"),"")</f>
        <v/>
      </c>
      <c r="P410" s="21" t="str">
        <f>IFERROR(__xludf.DUMMYFUNCTION("IFERROR((GOOGLEFINANCE(C410, ""price"") / INDEX(GOOGLEFINANCE(C410, ""price"", EDATE(TODAY(), -12), TODAY()), 2, 2)) - 1, """")"),"")</f>
        <v/>
      </c>
      <c r="Q410" s="6" t="str">
        <f>IFERROR(__xludf.DUMMYFUNCTION("AVERAGE(QUERY(GOOGLEFINANCE(C410, ""price"", TODAY()-80, TODAY()), ""SELECT Col2 WHERE Col2 IS NOT NULL ORDER BY Col1 DESC LIMIT 50"", 0))"),"#N/A")</f>
        <v>#N/A</v>
      </c>
      <c r="R410" s="24" t="str">
        <f>IFERROR(__xludf.DUMMYFUNCTION("IFERROR(
  LET(
    data, QUERY(GOOGLEFINANCE(C410,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GOOGLEFINANCE(C410, ""price"")) * 100,
    IF(calc=0, G410, calc)
  ), 
G410)"),"#N/A")</f>
        <v>#N/A</v>
      </c>
      <c r="S410" s="8" t="s">
        <v>15</v>
      </c>
      <c r="T410" s="26" t="str">
        <f>IFERROR(__xludf.DUMMYFUNCTION("IFERROR(TRANSPOSE(QUERY(IFERROR(SORT(GOOGLEFINANCE(C410, ""price"", WORKDAY(TODAY(), -40), TODAY()), 1, FALSE)), ""select Col2 where Col2 is not null limit 22 label Col2 ''"", 0)), """")"),"")</f>
        <v/>
      </c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8"/>
      <c r="AO410" s="28"/>
      <c r="AP410" s="29"/>
      <c r="AQ410" s="29" t="str">
        <f t="shared" ref="AQ410:BL410" si="413">T410/T$2</f>
        <v>#N/A</v>
      </c>
      <c r="AR410" s="29" t="str">
        <f t="shared" si="413"/>
        <v>#DIV/0!</v>
      </c>
      <c r="AS410" s="29" t="str">
        <f t="shared" si="413"/>
        <v>#DIV/0!</v>
      </c>
      <c r="AT410" s="29" t="str">
        <f t="shared" si="413"/>
        <v>#DIV/0!</v>
      </c>
      <c r="AU410" s="29" t="str">
        <f t="shared" si="413"/>
        <v>#DIV/0!</v>
      </c>
      <c r="AV410" s="29" t="str">
        <f t="shared" si="413"/>
        <v>#DIV/0!</v>
      </c>
      <c r="AW410" s="29" t="str">
        <f t="shared" si="413"/>
        <v>#DIV/0!</v>
      </c>
      <c r="AX410" s="29" t="str">
        <f t="shared" si="413"/>
        <v>#DIV/0!</v>
      </c>
      <c r="AY410" s="29" t="str">
        <f t="shared" si="413"/>
        <v>#DIV/0!</v>
      </c>
      <c r="AZ410" s="29" t="str">
        <f t="shared" si="413"/>
        <v>#DIV/0!</v>
      </c>
      <c r="BA410" s="29" t="str">
        <f t="shared" si="413"/>
        <v>#DIV/0!</v>
      </c>
      <c r="BB410" s="29" t="str">
        <f t="shared" si="413"/>
        <v>#DIV/0!</v>
      </c>
      <c r="BC410" s="29" t="str">
        <f t="shared" si="413"/>
        <v>#DIV/0!</v>
      </c>
      <c r="BD410" s="29" t="str">
        <f t="shared" si="413"/>
        <v>#DIV/0!</v>
      </c>
      <c r="BE410" s="29" t="str">
        <f t="shared" si="413"/>
        <v>#DIV/0!</v>
      </c>
      <c r="BF410" s="29" t="str">
        <f t="shared" si="413"/>
        <v>#DIV/0!</v>
      </c>
      <c r="BG410" s="29" t="str">
        <f t="shared" si="413"/>
        <v>#DIV/0!</v>
      </c>
      <c r="BH410" s="29" t="str">
        <f t="shared" si="413"/>
        <v>#DIV/0!</v>
      </c>
      <c r="BI410" s="29" t="str">
        <f t="shared" si="413"/>
        <v>#DIV/0!</v>
      </c>
      <c r="BJ410" s="29" t="str">
        <f t="shared" si="413"/>
        <v>#DIV/0!</v>
      </c>
      <c r="BK410" s="29" t="str">
        <f t="shared" si="413"/>
        <v>#DIV/0!</v>
      </c>
      <c r="BL410" s="29" t="str">
        <f t="shared" si="413"/>
        <v>#DIV/0!</v>
      </c>
      <c r="BM410" s="29" t="str">
        <f t="shared" si="3"/>
        <v>#DIV/0!</v>
      </c>
    </row>
    <row r="411">
      <c r="A411" s="16" t="str">
        <f>IFERROR(__xludf.DUMMYFUNCTION("IFERROR(SPARKLINE(SORT(MAP(TRANSPOSE(AQ411:BL411), LAMBDA(val, IF(ISNUMBER(val), PERCENTRANK(AQ411:BL411, val)+0.01, 0))), SEQUENCE(COLUMNS(AQ411:BL411)), FALSE), {""charttype"",""column""; ""color"",""chartreuse""; ""ymin"", 0; ""ymax"", 1.01; ""highcolo"&amp;"r"", ""darkgreen""; ""lowcolor"", ""red""}), """")"),"")</f>
        <v/>
      </c>
      <c r="B411" s="17" t="str">
        <f t="shared" si="4"/>
        <v/>
      </c>
      <c r="C411" s="1" t="s">
        <v>1751</v>
      </c>
      <c r="D411" s="30" t="str">
        <f>IFERROR(__xludf.DUMMYFUNCTION("IFERROR(GOOGLEFINANCE(C411, ""NAME""))"),"")</f>
        <v/>
      </c>
      <c r="E411" s="30" t="s">
        <v>871</v>
      </c>
      <c r="F411" s="33" t="str">
        <f>IFERROR(__xludf.DUMMYFUNCTION("( (GOOGLEFINANCE(C411, ""price"") - Q411) / Q411 ) / (R411 / 100)"),"Loading...")</f>
        <v>Loading...</v>
      </c>
      <c r="G411" s="20" t="str">
        <f>IFERROR(__xludf.DUMMYFUNCTION("AVERAGE(ARRAYFORMULA(100 * (QUERY(GOOGLEFINANCE(C411, ""high"", TODAY()-40, TODAY()), ""SELECT Col2 WHERE Col2 IS NOT NULL ORDER BY Col1 DESC LIMIT 20"", 0) / QUERY(GOOGLEFINANCE(C411, ""low"", TODAY()-40, TODAY()), ""SELECT Col2 WHERE Col2 IS NOT NULL OR"&amp;"DER BY Col1 DESC LIMIT 20"", 0) - 1)))"),"#N/A")</f>
        <v>#N/A</v>
      </c>
      <c r="H411" s="35" t="str">
        <f t="shared" si="6"/>
        <v/>
      </c>
      <c r="I411" s="36" t="str">
        <f t="shared" si="7"/>
        <v/>
      </c>
      <c r="J411" s="37" t="str">
        <f>IFERROR(__xludf.DUMMYFUNCTION("IFERROR(
  IF(C411="""",, 
    IFERROR(
      GOOGLEFINANCE(C411, ""price"") * GOOGLEFINANCE(C411, ""volumeavg""), 
      GOOGLEFINANCE(C411, ""price"") * AVERAGE(QUERY(GOOGLEFINANCE(C411, ""volume"", TODAY()-40, TODAY()), ""SELECT Col2 WHERE Col2 IS NOT "&amp;"NULL ORDER BY Col1 DESC LIMIT 20"", 0))
    )
  ), 
"""")"),"")</f>
        <v/>
      </c>
      <c r="K411" s="21" t="str">
        <f>IFERROR(__xludf.DUMMYFUNCTION("IFERROR(GOOGLEFINANCE(C411, ""changepct"") / 100, """")"),"")</f>
        <v/>
      </c>
      <c r="L411" s="21" t="str">
        <f>IFERROR(__xludf.DUMMYFUNCTION("IFERROR((GOOGLEFINANCE(C411, ""price"") / INDEX(GOOGLEFINANCE(C411, ""price"", TODAY()-7, TODAY()), 2, 2)) - 1, """")"),"")</f>
        <v/>
      </c>
      <c r="M411" s="21" t="str">
        <f>IFERROR(__xludf.DUMMYFUNCTION("IFERROR((GOOGLEFINANCE(C411, ""price"") / INDEX(GOOGLEFINANCE(C411, ""price"", EDATE(TODAY(), -1), TODAY()), 2, 2)) - 1, """")"),"")</f>
        <v/>
      </c>
      <c r="N411" s="21" t="str">
        <f>IFERROR(__xludf.DUMMYFUNCTION("IFERROR((GOOGLEFINANCE(C411, ""price"") / INDEX(GOOGLEFINANCE(C411, ""price"", EDATE(TODAY(), -3), TODAY()), 2, 2)) - 1, """")"),"")</f>
        <v/>
      </c>
      <c r="O411" s="21" t="str">
        <f>IFERROR(__xludf.DUMMYFUNCTION("IFERROR((GOOGLEFINANCE(C411, ""price"") / INDEX(GOOGLEFINANCE(C411, ""price"", EDATE(TODAY(), -6), TODAY()), 2, 2)) - 1, """")"),"")</f>
        <v/>
      </c>
      <c r="P411" s="21" t="str">
        <f>IFERROR(__xludf.DUMMYFUNCTION("IFERROR((GOOGLEFINANCE(C411, ""price"") / INDEX(GOOGLEFINANCE(C411, ""price"", EDATE(TODAY(), -12), TODAY()), 2, 2)) - 1, """")"),"")</f>
        <v/>
      </c>
      <c r="Q411" s="6" t="str">
        <f>IFERROR(__xludf.DUMMYFUNCTION("AVERAGE(QUERY(GOOGLEFINANCE(C411, ""price"", TODAY()-80, TODAY()), ""SELECT Col2 WHERE Col2 IS NOT NULL ORDER BY Col1 DESC LIMIT 50"", 0))"),"#N/A")</f>
        <v>#N/A</v>
      </c>
      <c r="R411" s="24" t="str">
        <f>IFERROR(__xludf.DUMMYFUNCTION("IFERROR(
  LET(
    data, QUERY(GOOGLEFINANCE(C411,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GOOGLEFINANCE(C411, ""price"")) * 100,
    IF(calc=0, G411, calc)
  ), 
G411)"),"#N/A")</f>
        <v>#N/A</v>
      </c>
      <c r="S411" s="8" t="s">
        <v>15</v>
      </c>
      <c r="T411" s="26" t="str">
        <f>IFERROR(__xludf.DUMMYFUNCTION("IFERROR(TRANSPOSE(QUERY(IFERROR(SORT(GOOGLEFINANCE(C411, ""price"", WORKDAY(TODAY(), -40), TODAY()), 1, FALSE)), ""select Col2 where Col2 is not null limit 22 label Col2 ''"", 0)), """")"),"")</f>
        <v/>
      </c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8"/>
      <c r="AO411" s="28"/>
      <c r="AP411" s="29"/>
      <c r="AQ411" s="29" t="str">
        <f t="shared" ref="AQ411:BL411" si="414">T411/T$2</f>
        <v>#N/A</v>
      </c>
      <c r="AR411" s="29" t="str">
        <f t="shared" si="414"/>
        <v>#DIV/0!</v>
      </c>
      <c r="AS411" s="29" t="str">
        <f t="shared" si="414"/>
        <v>#DIV/0!</v>
      </c>
      <c r="AT411" s="29" t="str">
        <f t="shared" si="414"/>
        <v>#DIV/0!</v>
      </c>
      <c r="AU411" s="29" t="str">
        <f t="shared" si="414"/>
        <v>#DIV/0!</v>
      </c>
      <c r="AV411" s="29" t="str">
        <f t="shared" si="414"/>
        <v>#DIV/0!</v>
      </c>
      <c r="AW411" s="29" t="str">
        <f t="shared" si="414"/>
        <v>#DIV/0!</v>
      </c>
      <c r="AX411" s="29" t="str">
        <f t="shared" si="414"/>
        <v>#DIV/0!</v>
      </c>
      <c r="AY411" s="29" t="str">
        <f t="shared" si="414"/>
        <v>#DIV/0!</v>
      </c>
      <c r="AZ411" s="29" t="str">
        <f t="shared" si="414"/>
        <v>#DIV/0!</v>
      </c>
      <c r="BA411" s="29" t="str">
        <f t="shared" si="414"/>
        <v>#DIV/0!</v>
      </c>
      <c r="BB411" s="29" t="str">
        <f t="shared" si="414"/>
        <v>#DIV/0!</v>
      </c>
      <c r="BC411" s="29" t="str">
        <f t="shared" si="414"/>
        <v>#DIV/0!</v>
      </c>
      <c r="BD411" s="29" t="str">
        <f t="shared" si="414"/>
        <v>#DIV/0!</v>
      </c>
      <c r="BE411" s="29" t="str">
        <f t="shared" si="414"/>
        <v>#DIV/0!</v>
      </c>
      <c r="BF411" s="29" t="str">
        <f t="shared" si="414"/>
        <v>#DIV/0!</v>
      </c>
      <c r="BG411" s="29" t="str">
        <f t="shared" si="414"/>
        <v>#DIV/0!</v>
      </c>
      <c r="BH411" s="29" t="str">
        <f t="shared" si="414"/>
        <v>#DIV/0!</v>
      </c>
      <c r="BI411" s="29" t="str">
        <f t="shared" si="414"/>
        <v>#DIV/0!</v>
      </c>
      <c r="BJ411" s="29" t="str">
        <f t="shared" si="414"/>
        <v>#DIV/0!</v>
      </c>
      <c r="BK411" s="29" t="str">
        <f t="shared" si="414"/>
        <v>#DIV/0!</v>
      </c>
      <c r="BL411" s="29" t="str">
        <f t="shared" si="414"/>
        <v>#DIV/0!</v>
      </c>
      <c r="BM411" s="29" t="str">
        <f t="shared" si="3"/>
        <v>#DIV/0!</v>
      </c>
    </row>
    <row r="412">
      <c r="A412" s="16" t="str">
        <f>IFERROR(__xludf.DUMMYFUNCTION("IFERROR(SPARKLINE(SORT(MAP(TRANSPOSE(AQ412:BL412), LAMBDA(val, IF(ISNUMBER(val), PERCENTRANK(AQ412:BL412, val)+0.01, 0))), SEQUENCE(COLUMNS(AQ412:BL412)), FALSE), {""charttype"",""column""; ""color"",""chartreuse""; ""ymin"", 0; ""ymax"", 1.01; ""highcolo"&amp;"r"", ""darkgreen""; ""lowcolor"", ""red""}), """")"),"")</f>
        <v/>
      </c>
      <c r="B412" s="17" t="str">
        <f t="shared" si="4"/>
        <v/>
      </c>
      <c r="C412" s="1" t="s">
        <v>1756</v>
      </c>
      <c r="D412" s="30" t="str">
        <f>IFERROR(__xludf.DUMMYFUNCTION("IFERROR(GOOGLEFINANCE(C412, ""NAME""))"),"Ultra Clean Holdings Inc")</f>
        <v>Ultra Clean Holdings Inc</v>
      </c>
      <c r="E412" s="30" t="s">
        <v>1195</v>
      </c>
      <c r="F412" s="33" t="str">
        <f>IFERROR(__xludf.DUMMYFUNCTION("( (GOOGLEFINANCE(C412, ""price"") - Q412) / Q412 ) / (R412 / 100)"),"Loading...")</f>
        <v>Loading...</v>
      </c>
      <c r="G412" s="20" t="str">
        <f>IFERROR(__xludf.DUMMYFUNCTION("AVERAGE(ARRAYFORMULA(100 * (QUERY(GOOGLEFINANCE(C412, ""high"", TODAY()-40, TODAY()), ""SELECT Col2 WHERE Col2 IS NOT NULL ORDER BY Col1 DESC LIMIT 20"", 0) / QUERY(GOOGLEFINANCE(C412, ""low"", TODAY()-40, TODAY()), ""SELECT Col2 WHERE Col2 IS NOT NULL OR"&amp;"DER BY Col1 DESC LIMIT 20"", 0) - 1)))"),"#N/A")</f>
        <v>#N/A</v>
      </c>
      <c r="H412" s="35" t="str">
        <f t="shared" si="6"/>
        <v/>
      </c>
      <c r="I412" s="36" t="str">
        <f t="shared" si="7"/>
        <v/>
      </c>
      <c r="J412" s="37" t="str">
        <f>IFERROR(__xludf.DUMMYFUNCTION("IFERROR(
  IF(C412="""",, 
    IFERROR(
      GOOGLEFINANCE(C412, ""price"") * GOOGLEFINANCE(C412, ""volumeavg""), 
      GOOGLEFINANCE(C412, ""price"") * AVERAGE(QUERY(GOOGLEFINANCE(C412, ""volume"", TODAY()-40, TODAY()), ""SELECT Col2 WHERE Col2 IS NOT "&amp;"NULL ORDER BY Col1 DESC LIMIT 20"", 0))
    )
  ), 
"""")"),"")</f>
        <v/>
      </c>
      <c r="K412" s="21" t="str">
        <f>IFERROR(__xludf.DUMMYFUNCTION("IFERROR(GOOGLEFINANCE(C412, ""changepct"") / 100, """")"),"")</f>
        <v/>
      </c>
      <c r="L412" s="21" t="str">
        <f>IFERROR(__xludf.DUMMYFUNCTION("IFERROR((GOOGLEFINANCE(C412, ""price"") / INDEX(GOOGLEFINANCE(C412, ""price"", TODAY()-7, TODAY()), 2, 2)) - 1, """")"),"")</f>
        <v/>
      </c>
      <c r="M412" s="21" t="str">
        <f>IFERROR(__xludf.DUMMYFUNCTION("IFERROR((GOOGLEFINANCE(C412, ""price"") / INDEX(GOOGLEFINANCE(C412, ""price"", EDATE(TODAY(), -1), TODAY()), 2, 2)) - 1, """")"),"")</f>
        <v/>
      </c>
      <c r="N412" s="21" t="str">
        <f>IFERROR(__xludf.DUMMYFUNCTION("IFERROR((GOOGLEFINANCE(C412, ""price"") / INDEX(GOOGLEFINANCE(C412, ""price"", EDATE(TODAY(), -3), TODAY()), 2, 2)) - 1, """")"),"")</f>
        <v/>
      </c>
      <c r="O412" s="21" t="str">
        <f>IFERROR(__xludf.DUMMYFUNCTION("IFERROR((GOOGLEFINANCE(C412, ""price"") / INDEX(GOOGLEFINANCE(C412, ""price"", EDATE(TODAY(), -6), TODAY()), 2, 2)) - 1, """")"),"")</f>
        <v/>
      </c>
      <c r="P412" s="21" t="str">
        <f>IFERROR(__xludf.DUMMYFUNCTION("IFERROR((GOOGLEFINANCE(C412, ""price"") / INDEX(GOOGLEFINANCE(C412, ""price"", EDATE(TODAY(), -12), TODAY()), 2, 2)) - 1, """")"),"")</f>
        <v/>
      </c>
      <c r="Q412" s="6" t="str">
        <f>IFERROR(__xludf.DUMMYFUNCTION("AVERAGE(QUERY(GOOGLEFINANCE(C412, ""price"", TODAY()-80, TODAY()), ""SELECT Col2 WHERE Col2 IS NOT NULL ORDER BY Col1 DESC LIMIT 50"", 0))"),"#N/A")</f>
        <v>#N/A</v>
      </c>
      <c r="R412" s="24" t="str">
        <f>IFERROR(__xludf.DUMMYFUNCTION("IFERROR(
  LET(
    data, QUERY(GOOGLEFINANCE(C412,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GOOGLEFINANCE(C412, ""price"")) * 100,
    IF(calc=0, G412, calc)
  ), 
G412)"),"#N/A")</f>
        <v>#N/A</v>
      </c>
      <c r="S412" s="8" t="s">
        <v>15</v>
      </c>
      <c r="T412" s="26" t="str">
        <f>IFERROR(__xludf.DUMMYFUNCTION("IFERROR(TRANSPOSE(QUERY(IFERROR(SORT(GOOGLEFINANCE(C412, ""price"", WORKDAY(TODAY(), -40), TODAY()), 1, FALSE)), ""select Col2 where Col2 is not null limit 22 label Col2 ''"", 0)), """")"),"")</f>
        <v/>
      </c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8"/>
      <c r="AO412" s="28"/>
      <c r="AP412" s="29"/>
      <c r="AQ412" s="29" t="str">
        <f t="shared" ref="AQ412:BL412" si="415">T412/T$2</f>
        <v>#N/A</v>
      </c>
      <c r="AR412" s="29" t="str">
        <f t="shared" si="415"/>
        <v>#DIV/0!</v>
      </c>
      <c r="AS412" s="29" t="str">
        <f t="shared" si="415"/>
        <v>#DIV/0!</v>
      </c>
      <c r="AT412" s="29" t="str">
        <f t="shared" si="415"/>
        <v>#DIV/0!</v>
      </c>
      <c r="AU412" s="29" t="str">
        <f t="shared" si="415"/>
        <v>#DIV/0!</v>
      </c>
      <c r="AV412" s="29" t="str">
        <f t="shared" si="415"/>
        <v>#DIV/0!</v>
      </c>
      <c r="AW412" s="29" t="str">
        <f t="shared" si="415"/>
        <v>#DIV/0!</v>
      </c>
      <c r="AX412" s="29" t="str">
        <f t="shared" si="415"/>
        <v>#DIV/0!</v>
      </c>
      <c r="AY412" s="29" t="str">
        <f t="shared" si="415"/>
        <v>#DIV/0!</v>
      </c>
      <c r="AZ412" s="29" t="str">
        <f t="shared" si="415"/>
        <v>#DIV/0!</v>
      </c>
      <c r="BA412" s="29" t="str">
        <f t="shared" si="415"/>
        <v>#DIV/0!</v>
      </c>
      <c r="BB412" s="29" t="str">
        <f t="shared" si="415"/>
        <v>#DIV/0!</v>
      </c>
      <c r="BC412" s="29" t="str">
        <f t="shared" si="415"/>
        <v>#DIV/0!</v>
      </c>
      <c r="BD412" s="29" t="str">
        <f t="shared" si="415"/>
        <v>#DIV/0!</v>
      </c>
      <c r="BE412" s="29" t="str">
        <f t="shared" si="415"/>
        <v>#DIV/0!</v>
      </c>
      <c r="BF412" s="29" t="str">
        <f t="shared" si="415"/>
        <v>#DIV/0!</v>
      </c>
      <c r="BG412" s="29" t="str">
        <f t="shared" si="415"/>
        <v>#DIV/0!</v>
      </c>
      <c r="BH412" s="29" t="str">
        <f t="shared" si="415"/>
        <v>#DIV/0!</v>
      </c>
      <c r="BI412" s="29" t="str">
        <f t="shared" si="415"/>
        <v>#DIV/0!</v>
      </c>
      <c r="BJ412" s="29" t="str">
        <f t="shared" si="415"/>
        <v>#DIV/0!</v>
      </c>
      <c r="BK412" s="29" t="str">
        <f t="shared" si="415"/>
        <v>#DIV/0!</v>
      </c>
      <c r="BL412" s="29" t="str">
        <f t="shared" si="415"/>
        <v>#DIV/0!</v>
      </c>
      <c r="BM412" s="29" t="str">
        <f t="shared" si="3"/>
        <v>#DIV/0!</v>
      </c>
    </row>
    <row r="413">
      <c r="A413" s="16" t="str">
        <f>IFERROR(__xludf.DUMMYFUNCTION("IFERROR(SPARKLINE(SORT(MAP(TRANSPOSE(AQ413:BL413), LAMBDA(val, IF(ISNUMBER(val), PERCENTRANK(AQ413:BL413, val)+0.01, 0))), SEQUENCE(COLUMNS(AQ413:BL413)), FALSE), {""charttype"",""column""; ""color"",""chartreuse""; ""ymin"", 0; ""ymax"", 1.01; ""highcolo"&amp;"r"", ""darkgreen""; ""lowcolor"", ""red""}), """")"),"")</f>
        <v/>
      </c>
      <c r="B413" s="17" t="str">
        <f t="shared" si="4"/>
        <v/>
      </c>
      <c r="C413" s="1" t="s">
        <v>1760</v>
      </c>
      <c r="D413" s="30" t="str">
        <f>IFERROR(__xludf.DUMMYFUNCTION("IFERROR(GOOGLEFINANCE(C413, ""NAME""))"),"Silicon Motion Technology Corp.")</f>
        <v>Silicon Motion Technology Corp.</v>
      </c>
      <c r="E413" s="30" t="s">
        <v>871</v>
      </c>
      <c r="F413" s="33" t="str">
        <f>IFERROR(__xludf.DUMMYFUNCTION("( (GOOGLEFINANCE(C413, ""price"") - Q413) / Q413 ) / (R413 / 100)"),"Loading...")</f>
        <v>Loading...</v>
      </c>
      <c r="G413" s="20" t="str">
        <f>IFERROR(__xludf.DUMMYFUNCTION("AVERAGE(ARRAYFORMULA(100 * (QUERY(GOOGLEFINANCE(C413, ""high"", TODAY()-40, TODAY()), ""SELECT Col2 WHERE Col2 IS NOT NULL ORDER BY Col1 DESC LIMIT 20"", 0) / QUERY(GOOGLEFINANCE(C413, ""low"", TODAY()-40, TODAY()), ""SELECT Col2 WHERE Col2 IS NOT NULL OR"&amp;"DER BY Col1 DESC LIMIT 20"", 0) - 1)))"),"#N/A")</f>
        <v>#N/A</v>
      </c>
      <c r="H413" s="35" t="str">
        <f t="shared" si="6"/>
        <v/>
      </c>
      <c r="I413" s="36" t="str">
        <f t="shared" si="7"/>
        <v/>
      </c>
      <c r="J413" s="37" t="str">
        <f>IFERROR(__xludf.DUMMYFUNCTION("IFERROR(
  IF(C413="""",, 
    IFERROR(
      GOOGLEFINANCE(C413, ""price"") * GOOGLEFINANCE(C413, ""volumeavg""), 
      GOOGLEFINANCE(C413, ""price"") * AVERAGE(QUERY(GOOGLEFINANCE(C413, ""volume"", TODAY()-40, TODAY()), ""SELECT Col2 WHERE Col2 IS NOT "&amp;"NULL ORDER BY Col1 DESC LIMIT 20"", 0))
    )
  ), 
"""")"),"")</f>
        <v/>
      </c>
      <c r="K413" s="21" t="str">
        <f>IFERROR(__xludf.DUMMYFUNCTION("IFERROR(GOOGLEFINANCE(C413, ""changepct"") / 100, """")"),"")</f>
        <v/>
      </c>
      <c r="L413" s="21" t="str">
        <f>IFERROR(__xludf.DUMMYFUNCTION("IFERROR((GOOGLEFINANCE(C413, ""price"") / INDEX(GOOGLEFINANCE(C413, ""price"", TODAY()-7, TODAY()), 2, 2)) - 1, """")"),"")</f>
        <v/>
      </c>
      <c r="M413" s="21" t="str">
        <f>IFERROR(__xludf.DUMMYFUNCTION("IFERROR((GOOGLEFINANCE(C413, ""price"") / INDEX(GOOGLEFINANCE(C413, ""price"", EDATE(TODAY(), -1), TODAY()), 2, 2)) - 1, """")"),"")</f>
        <v/>
      </c>
      <c r="N413" s="21" t="str">
        <f>IFERROR(__xludf.DUMMYFUNCTION("IFERROR((GOOGLEFINANCE(C413, ""price"") / INDEX(GOOGLEFINANCE(C413, ""price"", EDATE(TODAY(), -3), TODAY()), 2, 2)) - 1, """")"),"")</f>
        <v/>
      </c>
      <c r="O413" s="21" t="str">
        <f>IFERROR(__xludf.DUMMYFUNCTION("IFERROR((GOOGLEFINANCE(C413, ""price"") / INDEX(GOOGLEFINANCE(C413, ""price"", EDATE(TODAY(), -6), TODAY()), 2, 2)) - 1, """")"),"")</f>
        <v/>
      </c>
      <c r="P413" s="21" t="str">
        <f>IFERROR(__xludf.DUMMYFUNCTION("IFERROR((GOOGLEFINANCE(C413, ""price"") / INDEX(GOOGLEFINANCE(C413, ""price"", EDATE(TODAY(), -12), TODAY()), 2, 2)) - 1, """")"),"")</f>
        <v/>
      </c>
      <c r="Q413" s="6" t="str">
        <f>IFERROR(__xludf.DUMMYFUNCTION("AVERAGE(QUERY(GOOGLEFINANCE(C413, ""price"", TODAY()-80, TODAY()), ""SELECT Col2 WHERE Col2 IS NOT NULL ORDER BY Col1 DESC LIMIT 50"", 0))"),"#N/A")</f>
        <v>#N/A</v>
      </c>
      <c r="R413" s="24" t="str">
        <f>IFERROR(__xludf.DUMMYFUNCTION("IFERROR(
  LET(
    data, QUERY(GOOGLEFINANCE(C413,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GOOGLEFINANCE(C413, ""price"")) * 100,
    IF(calc=0, G413, calc)
  ), 
G413)"),"#N/A")</f>
        <v>#N/A</v>
      </c>
      <c r="S413" s="8" t="s">
        <v>15</v>
      </c>
      <c r="T413" s="26" t="str">
        <f>IFERROR(__xludf.DUMMYFUNCTION("IFERROR(TRANSPOSE(QUERY(IFERROR(SORT(GOOGLEFINANCE(C413, ""price"", WORKDAY(TODAY(), -40), TODAY()), 1, FALSE)), ""select Col2 where Col2 is not null limit 22 label Col2 ''"", 0)), """")"),"")</f>
        <v/>
      </c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8"/>
      <c r="AO413" s="28"/>
      <c r="AP413" s="29"/>
      <c r="AQ413" s="29" t="str">
        <f t="shared" ref="AQ413:BL413" si="416">T413/T$2</f>
        <v>#N/A</v>
      </c>
      <c r="AR413" s="29" t="str">
        <f t="shared" si="416"/>
        <v>#DIV/0!</v>
      </c>
      <c r="AS413" s="29" t="str">
        <f t="shared" si="416"/>
        <v>#DIV/0!</v>
      </c>
      <c r="AT413" s="29" t="str">
        <f t="shared" si="416"/>
        <v>#DIV/0!</v>
      </c>
      <c r="AU413" s="29" t="str">
        <f t="shared" si="416"/>
        <v>#DIV/0!</v>
      </c>
      <c r="AV413" s="29" t="str">
        <f t="shared" si="416"/>
        <v>#DIV/0!</v>
      </c>
      <c r="AW413" s="29" t="str">
        <f t="shared" si="416"/>
        <v>#DIV/0!</v>
      </c>
      <c r="AX413" s="29" t="str">
        <f t="shared" si="416"/>
        <v>#DIV/0!</v>
      </c>
      <c r="AY413" s="29" t="str">
        <f t="shared" si="416"/>
        <v>#DIV/0!</v>
      </c>
      <c r="AZ413" s="29" t="str">
        <f t="shared" si="416"/>
        <v>#DIV/0!</v>
      </c>
      <c r="BA413" s="29" t="str">
        <f t="shared" si="416"/>
        <v>#DIV/0!</v>
      </c>
      <c r="BB413" s="29" t="str">
        <f t="shared" si="416"/>
        <v>#DIV/0!</v>
      </c>
      <c r="BC413" s="29" t="str">
        <f t="shared" si="416"/>
        <v>#DIV/0!</v>
      </c>
      <c r="BD413" s="29" t="str">
        <f t="shared" si="416"/>
        <v>#DIV/0!</v>
      </c>
      <c r="BE413" s="29" t="str">
        <f t="shared" si="416"/>
        <v>#DIV/0!</v>
      </c>
      <c r="BF413" s="29" t="str">
        <f t="shared" si="416"/>
        <v>#DIV/0!</v>
      </c>
      <c r="BG413" s="29" t="str">
        <f t="shared" si="416"/>
        <v>#DIV/0!</v>
      </c>
      <c r="BH413" s="29" t="str">
        <f t="shared" si="416"/>
        <v>#DIV/0!</v>
      </c>
      <c r="BI413" s="29" t="str">
        <f t="shared" si="416"/>
        <v>#DIV/0!</v>
      </c>
      <c r="BJ413" s="29" t="str">
        <f t="shared" si="416"/>
        <v>#DIV/0!</v>
      </c>
      <c r="BK413" s="29" t="str">
        <f t="shared" si="416"/>
        <v>#DIV/0!</v>
      </c>
      <c r="BL413" s="29" t="str">
        <f t="shared" si="416"/>
        <v>#DIV/0!</v>
      </c>
      <c r="BM413" s="29" t="str">
        <f t="shared" si="3"/>
        <v>#DIV/0!</v>
      </c>
    </row>
    <row r="414">
      <c r="A414" s="16" t="str">
        <f>IFERROR(__xludf.DUMMYFUNCTION("IFERROR(SPARKLINE(SORT(MAP(TRANSPOSE(AQ414:BL414), LAMBDA(val, IF(ISNUMBER(val), PERCENTRANK(AQ414:BL414, val)+0.01, 0))), SEQUENCE(COLUMNS(AQ414:BL414)), FALSE), {""charttype"",""column""; ""color"",""chartreuse""; ""ymin"", 0; ""ymax"", 1.01; ""highcolo"&amp;"r"", ""darkgreen""; ""lowcolor"", ""red""}), """")"),"")</f>
        <v/>
      </c>
      <c r="B414" s="17" t="str">
        <f t="shared" si="4"/>
        <v/>
      </c>
      <c r="C414" s="1" t="s">
        <v>1764</v>
      </c>
      <c r="D414" s="30" t="str">
        <f>IFERROR(__xludf.DUMMYFUNCTION("IFERROR(GOOGLEFINANCE(C414, ""NAME""))"),"Ichor Holdings, Ltd")</f>
        <v>Ichor Holdings, Ltd</v>
      </c>
      <c r="E414" s="30" t="s">
        <v>1195</v>
      </c>
      <c r="F414" s="33" t="str">
        <f>IFERROR(__xludf.DUMMYFUNCTION("( (GOOGLEFINANCE(C414, ""price"") - Q414) / Q414 ) / (R414 / 100)"),"Loading...")</f>
        <v>Loading...</v>
      </c>
      <c r="G414" s="20" t="str">
        <f>IFERROR(__xludf.DUMMYFUNCTION("AVERAGE(ARRAYFORMULA(100 * (QUERY(GOOGLEFINANCE(C414, ""high"", TODAY()-40, TODAY()), ""SELECT Col2 WHERE Col2 IS NOT NULL ORDER BY Col1 DESC LIMIT 20"", 0) / QUERY(GOOGLEFINANCE(C414, ""low"", TODAY()-40, TODAY()), ""SELECT Col2 WHERE Col2 IS NOT NULL OR"&amp;"DER BY Col1 DESC LIMIT 20"", 0) - 1)))"),"#N/A")</f>
        <v>#N/A</v>
      </c>
      <c r="H414" s="35" t="str">
        <f t="shared" si="6"/>
        <v/>
      </c>
      <c r="I414" s="36" t="str">
        <f t="shared" si="7"/>
        <v/>
      </c>
      <c r="J414" s="37" t="str">
        <f>IFERROR(__xludf.DUMMYFUNCTION("IFERROR(
  IF(C414="""",, 
    IFERROR(
      GOOGLEFINANCE(C414, ""price"") * GOOGLEFINANCE(C414, ""volumeavg""), 
      GOOGLEFINANCE(C414, ""price"") * AVERAGE(QUERY(GOOGLEFINANCE(C414, ""volume"", TODAY()-40, TODAY()), ""SELECT Col2 WHERE Col2 IS NOT "&amp;"NULL ORDER BY Col1 DESC LIMIT 20"", 0))
    )
  ), 
"""")"),"")</f>
        <v/>
      </c>
      <c r="K414" s="21" t="str">
        <f>IFERROR(__xludf.DUMMYFUNCTION("IFERROR(GOOGLEFINANCE(C414, ""changepct"") / 100, """")"),"")</f>
        <v/>
      </c>
      <c r="L414" s="21" t="str">
        <f>IFERROR(__xludf.DUMMYFUNCTION("IFERROR((GOOGLEFINANCE(C414, ""price"") / INDEX(GOOGLEFINANCE(C414, ""price"", TODAY()-7, TODAY()), 2, 2)) - 1, """")"),"")</f>
        <v/>
      </c>
      <c r="M414" s="21" t="str">
        <f>IFERROR(__xludf.DUMMYFUNCTION("IFERROR((GOOGLEFINANCE(C414, ""price"") / INDEX(GOOGLEFINANCE(C414, ""price"", EDATE(TODAY(), -1), TODAY()), 2, 2)) - 1, """")"),"")</f>
        <v/>
      </c>
      <c r="N414" s="21" t="str">
        <f>IFERROR(__xludf.DUMMYFUNCTION("IFERROR((GOOGLEFINANCE(C414, ""price"") / INDEX(GOOGLEFINANCE(C414, ""price"", EDATE(TODAY(), -3), TODAY()), 2, 2)) - 1, """")"),"")</f>
        <v/>
      </c>
      <c r="O414" s="21" t="str">
        <f>IFERROR(__xludf.DUMMYFUNCTION("IFERROR((GOOGLEFINANCE(C414, ""price"") / INDEX(GOOGLEFINANCE(C414, ""price"", EDATE(TODAY(), -6), TODAY()), 2, 2)) - 1, """")"),"")</f>
        <v/>
      </c>
      <c r="P414" s="21" t="str">
        <f>IFERROR(__xludf.DUMMYFUNCTION("IFERROR((GOOGLEFINANCE(C414, ""price"") / INDEX(GOOGLEFINANCE(C414, ""price"", EDATE(TODAY(), -12), TODAY()), 2, 2)) - 1, """")"),"")</f>
        <v/>
      </c>
      <c r="Q414" s="6" t="str">
        <f>IFERROR(__xludf.DUMMYFUNCTION("AVERAGE(QUERY(GOOGLEFINANCE(C414, ""price"", TODAY()-80, TODAY()), ""SELECT Col2 WHERE Col2 IS NOT NULL ORDER BY Col1 DESC LIMIT 50"", 0))"),"#N/A")</f>
        <v>#N/A</v>
      </c>
      <c r="R414" s="24" t="str">
        <f>IFERROR(__xludf.DUMMYFUNCTION("IFERROR(
  LET(
    data, QUERY(GOOGLEFINANCE(C414,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GOOGLEFINANCE(C414, ""price"")) * 100,
    IF(calc=0, G414, calc)
  ), 
G414)"),"#N/A")</f>
        <v>#N/A</v>
      </c>
      <c r="S414" s="8" t="s">
        <v>15</v>
      </c>
      <c r="T414" s="26" t="str">
        <f>IFERROR(__xludf.DUMMYFUNCTION("IFERROR(TRANSPOSE(QUERY(IFERROR(SORT(GOOGLEFINANCE(C414, ""price"", WORKDAY(TODAY(), -40), TODAY()), 1, FALSE)), ""select Col2 where Col2 is not null limit 22 label Col2 ''"", 0)), """")"),"")</f>
        <v/>
      </c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8"/>
      <c r="AO414" s="28"/>
      <c r="AP414" s="29"/>
      <c r="AQ414" s="29" t="str">
        <f t="shared" ref="AQ414:BL414" si="417">T414/T$2</f>
        <v>#N/A</v>
      </c>
      <c r="AR414" s="29" t="str">
        <f t="shared" si="417"/>
        <v>#DIV/0!</v>
      </c>
      <c r="AS414" s="29" t="str">
        <f t="shared" si="417"/>
        <v>#DIV/0!</v>
      </c>
      <c r="AT414" s="29" t="str">
        <f t="shared" si="417"/>
        <v>#DIV/0!</v>
      </c>
      <c r="AU414" s="29" t="str">
        <f t="shared" si="417"/>
        <v>#DIV/0!</v>
      </c>
      <c r="AV414" s="29" t="str">
        <f t="shared" si="417"/>
        <v>#DIV/0!</v>
      </c>
      <c r="AW414" s="29" t="str">
        <f t="shared" si="417"/>
        <v>#DIV/0!</v>
      </c>
      <c r="AX414" s="29" t="str">
        <f t="shared" si="417"/>
        <v>#DIV/0!</v>
      </c>
      <c r="AY414" s="29" t="str">
        <f t="shared" si="417"/>
        <v>#DIV/0!</v>
      </c>
      <c r="AZ414" s="29" t="str">
        <f t="shared" si="417"/>
        <v>#DIV/0!</v>
      </c>
      <c r="BA414" s="29" t="str">
        <f t="shared" si="417"/>
        <v>#DIV/0!</v>
      </c>
      <c r="BB414" s="29" t="str">
        <f t="shared" si="417"/>
        <v>#DIV/0!</v>
      </c>
      <c r="BC414" s="29" t="str">
        <f t="shared" si="417"/>
        <v>#DIV/0!</v>
      </c>
      <c r="BD414" s="29" t="str">
        <f t="shared" si="417"/>
        <v>#DIV/0!</v>
      </c>
      <c r="BE414" s="29" t="str">
        <f t="shared" si="417"/>
        <v>#DIV/0!</v>
      </c>
      <c r="BF414" s="29" t="str">
        <f t="shared" si="417"/>
        <v>#DIV/0!</v>
      </c>
      <c r="BG414" s="29" t="str">
        <f t="shared" si="417"/>
        <v>#DIV/0!</v>
      </c>
      <c r="BH414" s="29" t="str">
        <f t="shared" si="417"/>
        <v>#DIV/0!</v>
      </c>
      <c r="BI414" s="29" t="str">
        <f t="shared" si="417"/>
        <v>#DIV/0!</v>
      </c>
      <c r="BJ414" s="29" t="str">
        <f t="shared" si="417"/>
        <v>#DIV/0!</v>
      </c>
      <c r="BK414" s="29" t="str">
        <f t="shared" si="417"/>
        <v>#DIV/0!</v>
      </c>
      <c r="BL414" s="29" t="str">
        <f t="shared" si="417"/>
        <v>#DIV/0!</v>
      </c>
      <c r="BM414" s="29" t="str">
        <f t="shared" si="3"/>
        <v>#DIV/0!</v>
      </c>
    </row>
    <row r="415">
      <c r="A415" s="16" t="str">
        <f>IFERROR(__xludf.DUMMYFUNCTION("IFERROR(SPARKLINE(SORT(MAP(TRANSPOSE(AQ415:BL415), LAMBDA(val, IF(ISNUMBER(val), PERCENTRANK(AQ415:BL415, val)+0.01, 0))), SEQUENCE(COLUMNS(AQ415:BL415)), FALSE), {""charttype"",""column""; ""color"",""chartreuse""; ""ymin"", 0; ""ymax"", 1.01; ""highcolo"&amp;"r"", ""darkgreen""; ""lowcolor"", ""red""}), """")"),"")</f>
        <v/>
      </c>
      <c r="B415" s="17" t="str">
        <f t="shared" si="4"/>
        <v/>
      </c>
      <c r="C415" s="1" t="s">
        <v>1768</v>
      </c>
      <c r="D415" s="30" t="str">
        <f>IFERROR(__xludf.DUMMYFUNCTION("IFERROR(GOOGLEFINANCE(C415, ""NAME""))"),"Teradyne Inc")</f>
        <v>Teradyne Inc</v>
      </c>
      <c r="E415" s="30" t="s">
        <v>1195</v>
      </c>
      <c r="F415" s="33" t="str">
        <f>IFERROR(__xludf.DUMMYFUNCTION("( (GOOGLEFINANCE(C415, ""price"") - Q415) / Q415 ) / (R415 / 100)"),"Loading...")</f>
        <v>Loading...</v>
      </c>
      <c r="G415" s="20" t="str">
        <f>IFERROR(__xludf.DUMMYFUNCTION("AVERAGE(ARRAYFORMULA(100 * (QUERY(GOOGLEFINANCE(C415, ""high"", TODAY()-40, TODAY()), ""SELECT Col2 WHERE Col2 IS NOT NULL ORDER BY Col1 DESC LIMIT 20"", 0) / QUERY(GOOGLEFINANCE(C415, ""low"", TODAY()-40, TODAY()), ""SELECT Col2 WHERE Col2 IS NOT NULL OR"&amp;"DER BY Col1 DESC LIMIT 20"", 0) - 1)))"),"#N/A")</f>
        <v>#N/A</v>
      </c>
      <c r="H415" s="35" t="str">
        <f t="shared" si="6"/>
        <v/>
      </c>
      <c r="I415" s="36" t="str">
        <f t="shared" si="7"/>
        <v/>
      </c>
      <c r="J415" s="37" t="str">
        <f>IFERROR(__xludf.DUMMYFUNCTION("IFERROR(
  IF(C415="""",, 
    IFERROR(
      GOOGLEFINANCE(C415, ""price"") * GOOGLEFINANCE(C415, ""volumeavg""), 
      GOOGLEFINANCE(C415, ""price"") * AVERAGE(QUERY(GOOGLEFINANCE(C415, ""volume"", TODAY()-40, TODAY()), ""SELECT Col2 WHERE Col2 IS NOT "&amp;"NULL ORDER BY Col1 DESC LIMIT 20"", 0))
    )
  ), 
"""")"),"")</f>
        <v/>
      </c>
      <c r="K415" s="21" t="str">
        <f>IFERROR(__xludf.DUMMYFUNCTION("IFERROR(GOOGLEFINANCE(C415, ""changepct"") / 100, """")"),"")</f>
        <v/>
      </c>
      <c r="L415" s="21" t="str">
        <f>IFERROR(__xludf.DUMMYFUNCTION("IFERROR((GOOGLEFINANCE(C415, ""price"") / INDEX(GOOGLEFINANCE(C415, ""price"", TODAY()-7, TODAY()), 2, 2)) - 1, """")"),"")</f>
        <v/>
      </c>
      <c r="M415" s="21" t="str">
        <f>IFERROR(__xludf.DUMMYFUNCTION("IFERROR((GOOGLEFINANCE(C415, ""price"") / INDEX(GOOGLEFINANCE(C415, ""price"", EDATE(TODAY(), -1), TODAY()), 2, 2)) - 1, """")"),"")</f>
        <v/>
      </c>
      <c r="N415" s="21" t="str">
        <f>IFERROR(__xludf.DUMMYFUNCTION("IFERROR((GOOGLEFINANCE(C415, ""price"") / INDEX(GOOGLEFINANCE(C415, ""price"", EDATE(TODAY(), -3), TODAY()), 2, 2)) - 1, """")"),"")</f>
        <v/>
      </c>
      <c r="O415" s="21" t="str">
        <f>IFERROR(__xludf.DUMMYFUNCTION("IFERROR((GOOGLEFINANCE(C415, ""price"") / INDEX(GOOGLEFINANCE(C415, ""price"", EDATE(TODAY(), -6), TODAY()), 2, 2)) - 1, """")"),"")</f>
        <v/>
      </c>
      <c r="P415" s="21" t="str">
        <f>IFERROR(__xludf.DUMMYFUNCTION("IFERROR((GOOGLEFINANCE(C415, ""price"") / INDEX(GOOGLEFINANCE(C415, ""price"", EDATE(TODAY(), -12), TODAY()), 2, 2)) - 1, """")"),"")</f>
        <v/>
      </c>
      <c r="Q415" s="6" t="str">
        <f>IFERROR(__xludf.DUMMYFUNCTION("AVERAGE(QUERY(GOOGLEFINANCE(C415, ""price"", TODAY()-80, TODAY()), ""SELECT Col2 WHERE Col2 IS NOT NULL ORDER BY Col1 DESC LIMIT 50"", 0))"),"#N/A")</f>
        <v>#N/A</v>
      </c>
      <c r="R415" s="24" t="str">
        <f>IFERROR(__xludf.DUMMYFUNCTION("IFERROR(
  LET(
    data, QUERY(GOOGLEFINANCE(C415,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GOOGLEFINANCE(C415, ""price"")) * 100,
    IF(calc=0, G415, calc)
  ), 
G415)"),"#N/A")</f>
        <v>#N/A</v>
      </c>
      <c r="S415" s="8" t="s">
        <v>15</v>
      </c>
      <c r="T415" s="26" t="str">
        <f>IFERROR(__xludf.DUMMYFUNCTION("IFERROR(TRANSPOSE(QUERY(IFERROR(SORT(GOOGLEFINANCE(C415, ""price"", WORKDAY(TODAY(), -40), TODAY()), 1, FALSE)), ""select Col2 where Col2 is not null limit 22 label Col2 ''"", 0)), """")"),"")</f>
        <v/>
      </c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8"/>
      <c r="AO415" s="28"/>
      <c r="AP415" s="29"/>
      <c r="AQ415" s="29" t="str">
        <f t="shared" ref="AQ415:BL415" si="418">T415/T$2</f>
        <v>#N/A</v>
      </c>
      <c r="AR415" s="29" t="str">
        <f t="shared" si="418"/>
        <v>#DIV/0!</v>
      </c>
      <c r="AS415" s="29" t="str">
        <f t="shared" si="418"/>
        <v>#DIV/0!</v>
      </c>
      <c r="AT415" s="29" t="str">
        <f t="shared" si="418"/>
        <v>#DIV/0!</v>
      </c>
      <c r="AU415" s="29" t="str">
        <f t="shared" si="418"/>
        <v>#DIV/0!</v>
      </c>
      <c r="AV415" s="29" t="str">
        <f t="shared" si="418"/>
        <v>#DIV/0!</v>
      </c>
      <c r="AW415" s="29" t="str">
        <f t="shared" si="418"/>
        <v>#DIV/0!</v>
      </c>
      <c r="AX415" s="29" t="str">
        <f t="shared" si="418"/>
        <v>#DIV/0!</v>
      </c>
      <c r="AY415" s="29" t="str">
        <f t="shared" si="418"/>
        <v>#DIV/0!</v>
      </c>
      <c r="AZ415" s="29" t="str">
        <f t="shared" si="418"/>
        <v>#DIV/0!</v>
      </c>
      <c r="BA415" s="29" t="str">
        <f t="shared" si="418"/>
        <v>#DIV/0!</v>
      </c>
      <c r="BB415" s="29" t="str">
        <f t="shared" si="418"/>
        <v>#DIV/0!</v>
      </c>
      <c r="BC415" s="29" t="str">
        <f t="shared" si="418"/>
        <v>#DIV/0!</v>
      </c>
      <c r="BD415" s="29" t="str">
        <f t="shared" si="418"/>
        <v>#DIV/0!</v>
      </c>
      <c r="BE415" s="29" t="str">
        <f t="shared" si="418"/>
        <v>#DIV/0!</v>
      </c>
      <c r="BF415" s="29" t="str">
        <f t="shared" si="418"/>
        <v>#DIV/0!</v>
      </c>
      <c r="BG415" s="29" t="str">
        <f t="shared" si="418"/>
        <v>#DIV/0!</v>
      </c>
      <c r="BH415" s="29" t="str">
        <f t="shared" si="418"/>
        <v>#DIV/0!</v>
      </c>
      <c r="BI415" s="29" t="str">
        <f t="shared" si="418"/>
        <v>#DIV/0!</v>
      </c>
      <c r="BJ415" s="29" t="str">
        <f t="shared" si="418"/>
        <v>#DIV/0!</v>
      </c>
      <c r="BK415" s="29" t="str">
        <f t="shared" si="418"/>
        <v>#DIV/0!</v>
      </c>
      <c r="BL415" s="29" t="str">
        <f t="shared" si="418"/>
        <v>#DIV/0!</v>
      </c>
      <c r="BM415" s="29" t="str">
        <f t="shared" si="3"/>
        <v>#DIV/0!</v>
      </c>
    </row>
    <row r="416">
      <c r="A416" s="16" t="str">
        <f>IFERROR(__xludf.DUMMYFUNCTION("IFERROR(SPARKLINE(SORT(MAP(TRANSPOSE(AQ416:BL416), LAMBDA(val, IF(ISNUMBER(val), PERCENTRANK(AQ416:BL416, val)+0.01, 0))), SEQUENCE(COLUMNS(AQ416:BL416)), FALSE), {""charttype"",""column""; ""color"",""chartreuse""; ""ymin"", 0; ""ymax"", 1.01; ""highcolo"&amp;"r"", ""darkgreen""; ""lowcolor"", ""red""}), """")"),"")</f>
        <v/>
      </c>
      <c r="B416" s="17" t="str">
        <f t="shared" si="4"/>
        <v/>
      </c>
      <c r="C416" s="1" t="s">
        <v>1773</v>
      </c>
      <c r="D416" s="30" t="str">
        <f>IFERROR(__xludf.DUMMYFUNCTION("IFERROR(GOOGLEFINANCE(C416, ""NAME""))"),"Arteris Inc")</f>
        <v>Arteris Inc</v>
      </c>
      <c r="E416" s="30" t="s">
        <v>871</v>
      </c>
      <c r="F416" s="33" t="str">
        <f>IFERROR(__xludf.DUMMYFUNCTION("( (GOOGLEFINANCE(C416, ""price"") - Q416) / Q416 ) / (R416 / 100)"),"Loading...")</f>
        <v>Loading...</v>
      </c>
      <c r="G416" s="20" t="str">
        <f>IFERROR(__xludf.DUMMYFUNCTION("AVERAGE(ARRAYFORMULA(100 * (QUERY(GOOGLEFINANCE(C416, ""high"", TODAY()-40, TODAY()), ""SELECT Col2 WHERE Col2 IS NOT NULL ORDER BY Col1 DESC LIMIT 20"", 0) / QUERY(GOOGLEFINANCE(C416, ""low"", TODAY()-40, TODAY()), ""SELECT Col2 WHERE Col2 IS NOT NULL OR"&amp;"DER BY Col1 DESC LIMIT 20"", 0) - 1)))"),"#N/A")</f>
        <v>#N/A</v>
      </c>
      <c r="H416" s="35" t="str">
        <f t="shared" si="6"/>
        <v/>
      </c>
      <c r="I416" s="36" t="str">
        <f t="shared" si="7"/>
        <v/>
      </c>
      <c r="J416" s="37" t="str">
        <f>IFERROR(__xludf.DUMMYFUNCTION("IFERROR(
  IF(C416="""",, 
    IFERROR(
      GOOGLEFINANCE(C416, ""price"") * GOOGLEFINANCE(C416, ""volumeavg""), 
      GOOGLEFINANCE(C416, ""price"") * AVERAGE(QUERY(GOOGLEFINANCE(C416, ""volume"", TODAY()-40, TODAY()), ""SELECT Col2 WHERE Col2 IS NOT "&amp;"NULL ORDER BY Col1 DESC LIMIT 20"", 0))
    )
  ), 
"""")"),"")</f>
        <v/>
      </c>
      <c r="K416" s="21" t="str">
        <f>IFERROR(__xludf.DUMMYFUNCTION("IFERROR(GOOGLEFINANCE(C416, ""changepct"") / 100, """")"),"")</f>
        <v/>
      </c>
      <c r="L416" s="21" t="str">
        <f>IFERROR(__xludf.DUMMYFUNCTION("IFERROR((GOOGLEFINANCE(C416, ""price"") / INDEX(GOOGLEFINANCE(C416, ""price"", TODAY()-7, TODAY()), 2, 2)) - 1, """")"),"")</f>
        <v/>
      </c>
      <c r="M416" s="21" t="str">
        <f>IFERROR(__xludf.DUMMYFUNCTION("IFERROR((GOOGLEFINANCE(C416, ""price"") / INDEX(GOOGLEFINANCE(C416, ""price"", EDATE(TODAY(), -1), TODAY()), 2, 2)) - 1, """")"),"")</f>
        <v/>
      </c>
      <c r="N416" s="21" t="str">
        <f>IFERROR(__xludf.DUMMYFUNCTION("IFERROR((GOOGLEFINANCE(C416, ""price"") / INDEX(GOOGLEFINANCE(C416, ""price"", EDATE(TODAY(), -3), TODAY()), 2, 2)) - 1, """")"),"")</f>
        <v/>
      </c>
      <c r="O416" s="21" t="str">
        <f>IFERROR(__xludf.DUMMYFUNCTION("IFERROR((GOOGLEFINANCE(C416, ""price"") / INDEX(GOOGLEFINANCE(C416, ""price"", EDATE(TODAY(), -6), TODAY()), 2, 2)) - 1, """")"),"")</f>
        <v/>
      </c>
      <c r="P416" s="21" t="str">
        <f>IFERROR(__xludf.DUMMYFUNCTION("IFERROR((GOOGLEFINANCE(C416, ""price"") / INDEX(GOOGLEFINANCE(C416, ""price"", EDATE(TODAY(), -12), TODAY()), 2, 2)) - 1, """")"),"")</f>
        <v/>
      </c>
      <c r="Q416" s="6" t="str">
        <f>IFERROR(__xludf.DUMMYFUNCTION("AVERAGE(QUERY(GOOGLEFINANCE(C416, ""price"", TODAY()-80, TODAY()), ""SELECT Col2 WHERE Col2 IS NOT NULL ORDER BY Col1 DESC LIMIT 50"", 0))"),"#N/A")</f>
        <v>#N/A</v>
      </c>
      <c r="R416" s="24" t="str">
        <f>IFERROR(__xludf.DUMMYFUNCTION("IFERROR(
  LET(
    data, QUERY(GOOGLEFINANCE(C416,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GOOGLEFINANCE(C416, ""price"")) * 100,
    IF(calc=0, G416, calc)
  ), 
G416)"),"#N/A")</f>
        <v>#N/A</v>
      </c>
      <c r="S416" s="8" t="s">
        <v>15</v>
      </c>
      <c r="T416" s="26" t="str">
        <f>IFERROR(__xludf.DUMMYFUNCTION("IFERROR(TRANSPOSE(QUERY(IFERROR(SORT(GOOGLEFINANCE(C416, ""price"", WORKDAY(TODAY(), -40), TODAY()), 1, FALSE)), ""select Col2 where Col2 is not null limit 22 label Col2 ''"", 0)), """")"),"")</f>
        <v/>
      </c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8"/>
      <c r="AO416" s="28"/>
      <c r="AP416" s="29"/>
      <c r="AQ416" s="29" t="str">
        <f t="shared" ref="AQ416:BL416" si="419">T416/T$2</f>
        <v>#N/A</v>
      </c>
      <c r="AR416" s="29" t="str">
        <f t="shared" si="419"/>
        <v>#DIV/0!</v>
      </c>
      <c r="AS416" s="29" t="str">
        <f t="shared" si="419"/>
        <v>#DIV/0!</v>
      </c>
      <c r="AT416" s="29" t="str">
        <f t="shared" si="419"/>
        <v>#DIV/0!</v>
      </c>
      <c r="AU416" s="29" t="str">
        <f t="shared" si="419"/>
        <v>#DIV/0!</v>
      </c>
      <c r="AV416" s="29" t="str">
        <f t="shared" si="419"/>
        <v>#DIV/0!</v>
      </c>
      <c r="AW416" s="29" t="str">
        <f t="shared" si="419"/>
        <v>#DIV/0!</v>
      </c>
      <c r="AX416" s="29" t="str">
        <f t="shared" si="419"/>
        <v>#DIV/0!</v>
      </c>
      <c r="AY416" s="29" t="str">
        <f t="shared" si="419"/>
        <v>#DIV/0!</v>
      </c>
      <c r="AZ416" s="29" t="str">
        <f t="shared" si="419"/>
        <v>#DIV/0!</v>
      </c>
      <c r="BA416" s="29" t="str">
        <f t="shared" si="419"/>
        <v>#DIV/0!</v>
      </c>
      <c r="BB416" s="29" t="str">
        <f t="shared" si="419"/>
        <v>#DIV/0!</v>
      </c>
      <c r="BC416" s="29" t="str">
        <f t="shared" si="419"/>
        <v>#DIV/0!</v>
      </c>
      <c r="BD416" s="29" t="str">
        <f t="shared" si="419"/>
        <v>#DIV/0!</v>
      </c>
      <c r="BE416" s="29" t="str">
        <f t="shared" si="419"/>
        <v>#DIV/0!</v>
      </c>
      <c r="BF416" s="29" t="str">
        <f t="shared" si="419"/>
        <v>#DIV/0!</v>
      </c>
      <c r="BG416" s="29" t="str">
        <f t="shared" si="419"/>
        <v>#DIV/0!</v>
      </c>
      <c r="BH416" s="29" t="str">
        <f t="shared" si="419"/>
        <v>#DIV/0!</v>
      </c>
      <c r="BI416" s="29" t="str">
        <f t="shared" si="419"/>
        <v>#DIV/0!</v>
      </c>
      <c r="BJ416" s="29" t="str">
        <f t="shared" si="419"/>
        <v>#DIV/0!</v>
      </c>
      <c r="BK416" s="29" t="str">
        <f t="shared" si="419"/>
        <v>#DIV/0!</v>
      </c>
      <c r="BL416" s="29" t="str">
        <f t="shared" si="419"/>
        <v>#DIV/0!</v>
      </c>
      <c r="BM416" s="29" t="str">
        <f t="shared" si="3"/>
        <v>#DIV/0!</v>
      </c>
    </row>
    <row r="417">
      <c r="A417" s="16" t="str">
        <f>IFERROR(__xludf.DUMMYFUNCTION("IFERROR(SPARKLINE(SORT(MAP(TRANSPOSE(AQ417:BL417), LAMBDA(val, IF(ISNUMBER(val), PERCENTRANK(AQ417:BL417, val)+0.01, 0))), SEQUENCE(COLUMNS(AQ417:BL417)), FALSE), {""charttype"",""column""; ""color"",""chartreuse""; ""ymin"", 0; ""ymax"", 1.01; ""highcolo"&amp;"r"", ""darkgreen""; ""lowcolor"", ""red""}), """")"),"")</f>
        <v/>
      </c>
      <c r="B417" s="17" t="str">
        <f t="shared" si="4"/>
        <v/>
      </c>
      <c r="C417" s="1" t="s">
        <v>1777</v>
      </c>
      <c r="D417" s="30" t="str">
        <f>IFERROR(__xludf.DUMMYFUNCTION("IFERROR(GOOGLEFINANCE(C417, ""NAME""))"),"LightPath Technologies Inc")</f>
        <v>LightPath Technologies Inc</v>
      </c>
      <c r="E417" s="30" t="s">
        <v>469</v>
      </c>
      <c r="F417" s="33" t="str">
        <f>IFERROR(__xludf.DUMMYFUNCTION("( (GOOGLEFINANCE(C417, ""price"") - Q417) / Q417 ) / (R417 / 100)"),"Loading...")</f>
        <v>Loading...</v>
      </c>
      <c r="G417" s="20" t="str">
        <f>IFERROR(__xludf.DUMMYFUNCTION("AVERAGE(ARRAYFORMULA(100 * (QUERY(GOOGLEFINANCE(C417, ""high"", TODAY()-40, TODAY()), ""SELECT Col2 WHERE Col2 IS NOT NULL ORDER BY Col1 DESC LIMIT 20"", 0) / QUERY(GOOGLEFINANCE(C417, ""low"", TODAY()-40, TODAY()), ""SELECT Col2 WHERE Col2 IS NOT NULL OR"&amp;"DER BY Col1 DESC LIMIT 20"", 0) - 1)))"),"#N/A")</f>
        <v>#N/A</v>
      </c>
      <c r="H417" s="35" t="str">
        <f t="shared" si="6"/>
        <v/>
      </c>
      <c r="I417" s="36" t="str">
        <f t="shared" si="7"/>
        <v/>
      </c>
      <c r="J417" s="37" t="str">
        <f>IFERROR(__xludf.DUMMYFUNCTION("IFERROR(
  IF(C417="""",, 
    IFERROR(
      GOOGLEFINANCE(C417, ""price"") * GOOGLEFINANCE(C417, ""volumeavg""), 
      GOOGLEFINANCE(C417, ""price"") * AVERAGE(QUERY(GOOGLEFINANCE(C417, ""volume"", TODAY()-40, TODAY()), ""SELECT Col2 WHERE Col2 IS NOT "&amp;"NULL ORDER BY Col1 DESC LIMIT 20"", 0))
    )
  ), 
"""")"),"")</f>
        <v/>
      </c>
      <c r="K417" s="21" t="str">
        <f>IFERROR(__xludf.DUMMYFUNCTION("IFERROR(GOOGLEFINANCE(C417, ""changepct"") / 100, """")"),"")</f>
        <v/>
      </c>
      <c r="L417" s="21" t="str">
        <f>IFERROR(__xludf.DUMMYFUNCTION("IFERROR((GOOGLEFINANCE(C417, ""price"") / INDEX(GOOGLEFINANCE(C417, ""price"", TODAY()-7, TODAY()), 2, 2)) - 1, """")"),"")</f>
        <v/>
      </c>
      <c r="M417" s="21" t="str">
        <f>IFERROR(__xludf.DUMMYFUNCTION("IFERROR((GOOGLEFINANCE(C417, ""price"") / INDEX(GOOGLEFINANCE(C417, ""price"", EDATE(TODAY(), -1), TODAY()), 2, 2)) - 1, """")"),"")</f>
        <v/>
      </c>
      <c r="N417" s="21" t="str">
        <f>IFERROR(__xludf.DUMMYFUNCTION("IFERROR((GOOGLEFINANCE(C417, ""price"") / INDEX(GOOGLEFINANCE(C417, ""price"", EDATE(TODAY(), -3), TODAY()), 2, 2)) - 1, """")"),"")</f>
        <v/>
      </c>
      <c r="O417" s="21" t="str">
        <f>IFERROR(__xludf.DUMMYFUNCTION("IFERROR((GOOGLEFINANCE(C417, ""price"") / INDEX(GOOGLEFINANCE(C417, ""price"", EDATE(TODAY(), -6), TODAY()), 2, 2)) - 1, """")"),"")</f>
        <v/>
      </c>
      <c r="P417" s="21" t="str">
        <f>IFERROR(__xludf.DUMMYFUNCTION("IFERROR((GOOGLEFINANCE(C417, ""price"") / INDEX(GOOGLEFINANCE(C417, ""price"", EDATE(TODAY(), -12), TODAY()), 2, 2)) - 1, """")"),"")</f>
        <v/>
      </c>
      <c r="Q417" s="6" t="str">
        <f>IFERROR(__xludf.DUMMYFUNCTION("AVERAGE(QUERY(GOOGLEFINANCE(C417, ""price"", TODAY()-80, TODAY()), ""SELECT Col2 WHERE Col2 IS NOT NULL ORDER BY Col1 DESC LIMIT 50"", 0))"),"#N/A")</f>
        <v>#N/A</v>
      </c>
      <c r="R417" s="24" t="str">
        <f>IFERROR(__xludf.DUMMYFUNCTION("IFERROR(
  LET(
    data, QUERY(GOOGLEFINANCE(C417,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GOOGLEFINANCE(C417, ""price"")) * 100,
    IF(calc=0, G417, calc)
  ), 
G417)"),"#N/A")</f>
        <v>#N/A</v>
      </c>
      <c r="S417" s="8" t="s">
        <v>15</v>
      </c>
      <c r="T417" s="26" t="str">
        <f>IFERROR(__xludf.DUMMYFUNCTION("IFERROR(TRANSPOSE(QUERY(IFERROR(SORT(GOOGLEFINANCE(C417, ""price"", WORKDAY(TODAY(), -40), TODAY()), 1, FALSE)), ""select Col2 where Col2 is not null limit 22 label Col2 ''"", 0)), """")"),"")</f>
        <v/>
      </c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8"/>
      <c r="AO417" s="28"/>
      <c r="AP417" s="29"/>
      <c r="AQ417" s="29" t="str">
        <f t="shared" ref="AQ417:BL417" si="420">T417/T$2</f>
        <v>#N/A</v>
      </c>
      <c r="AR417" s="29" t="str">
        <f t="shared" si="420"/>
        <v>#DIV/0!</v>
      </c>
      <c r="AS417" s="29" t="str">
        <f t="shared" si="420"/>
        <v>#DIV/0!</v>
      </c>
      <c r="AT417" s="29" t="str">
        <f t="shared" si="420"/>
        <v>#DIV/0!</v>
      </c>
      <c r="AU417" s="29" t="str">
        <f t="shared" si="420"/>
        <v>#DIV/0!</v>
      </c>
      <c r="AV417" s="29" t="str">
        <f t="shared" si="420"/>
        <v>#DIV/0!</v>
      </c>
      <c r="AW417" s="29" t="str">
        <f t="shared" si="420"/>
        <v>#DIV/0!</v>
      </c>
      <c r="AX417" s="29" t="str">
        <f t="shared" si="420"/>
        <v>#DIV/0!</v>
      </c>
      <c r="AY417" s="29" t="str">
        <f t="shared" si="420"/>
        <v>#DIV/0!</v>
      </c>
      <c r="AZ417" s="29" t="str">
        <f t="shared" si="420"/>
        <v>#DIV/0!</v>
      </c>
      <c r="BA417" s="29" t="str">
        <f t="shared" si="420"/>
        <v>#DIV/0!</v>
      </c>
      <c r="BB417" s="29" t="str">
        <f t="shared" si="420"/>
        <v>#DIV/0!</v>
      </c>
      <c r="BC417" s="29" t="str">
        <f t="shared" si="420"/>
        <v>#DIV/0!</v>
      </c>
      <c r="BD417" s="29" t="str">
        <f t="shared" si="420"/>
        <v>#DIV/0!</v>
      </c>
      <c r="BE417" s="29" t="str">
        <f t="shared" si="420"/>
        <v>#DIV/0!</v>
      </c>
      <c r="BF417" s="29" t="str">
        <f t="shared" si="420"/>
        <v>#DIV/0!</v>
      </c>
      <c r="BG417" s="29" t="str">
        <f t="shared" si="420"/>
        <v>#DIV/0!</v>
      </c>
      <c r="BH417" s="29" t="str">
        <f t="shared" si="420"/>
        <v>#DIV/0!</v>
      </c>
      <c r="BI417" s="29" t="str">
        <f t="shared" si="420"/>
        <v>#DIV/0!</v>
      </c>
      <c r="BJ417" s="29" t="str">
        <f t="shared" si="420"/>
        <v>#DIV/0!</v>
      </c>
      <c r="BK417" s="29" t="str">
        <f t="shared" si="420"/>
        <v>#DIV/0!</v>
      </c>
      <c r="BL417" s="29" t="str">
        <f t="shared" si="420"/>
        <v>#DIV/0!</v>
      </c>
      <c r="BM417" s="29" t="str">
        <f t="shared" si="3"/>
        <v>#DIV/0!</v>
      </c>
    </row>
    <row r="418">
      <c r="A418" s="16" t="str">
        <f>IFERROR(__xludf.DUMMYFUNCTION("IFERROR(SPARKLINE(SORT(MAP(TRANSPOSE(AQ418:BL418), LAMBDA(val, IF(ISNUMBER(val), PERCENTRANK(AQ418:BL418, val)+0.01, 0))), SEQUENCE(COLUMNS(AQ418:BL418)), FALSE), {""charttype"",""column""; ""color"",""chartreuse""; ""ymin"", 0; ""ymax"", 1.01; ""highcolo"&amp;"r"", ""darkgreen""; ""lowcolor"", ""red""}), """")"),"")</f>
        <v/>
      </c>
      <c r="B418" s="17" t="str">
        <f t="shared" si="4"/>
        <v/>
      </c>
      <c r="C418" s="1" t="s">
        <v>1780</v>
      </c>
      <c r="D418" s="30" t="str">
        <f>IFERROR(__xludf.DUMMYFUNCTION("IFERROR(GOOGLEFINANCE(C418, ""NAME""))"),"Coherent Corp")</f>
        <v>Coherent Corp</v>
      </c>
      <c r="E418" s="30" t="s">
        <v>595</v>
      </c>
      <c r="F418" s="33" t="str">
        <f>IFERROR(__xludf.DUMMYFUNCTION("( (GOOGLEFINANCE(C418, ""price"") - Q418) / Q418 ) / (R418 / 100)"),"Loading...")</f>
        <v>Loading...</v>
      </c>
      <c r="G418" s="20" t="str">
        <f>IFERROR(__xludf.DUMMYFUNCTION("AVERAGE(ARRAYFORMULA(100 * (QUERY(GOOGLEFINANCE(C418, ""high"", TODAY()-40, TODAY()), ""SELECT Col2 WHERE Col2 IS NOT NULL ORDER BY Col1 DESC LIMIT 20"", 0) / QUERY(GOOGLEFINANCE(C418, ""low"", TODAY()-40, TODAY()), ""SELECT Col2 WHERE Col2 IS NOT NULL OR"&amp;"DER BY Col1 DESC LIMIT 20"", 0) - 1)))"),"#N/A")</f>
        <v>#N/A</v>
      </c>
      <c r="H418" s="35" t="str">
        <f t="shared" si="6"/>
        <v/>
      </c>
      <c r="I418" s="36" t="str">
        <f t="shared" si="7"/>
        <v/>
      </c>
      <c r="J418" s="37" t="str">
        <f>IFERROR(__xludf.DUMMYFUNCTION("IFERROR(
  IF(C418="""",, 
    IFERROR(
      GOOGLEFINANCE(C418, ""price"") * GOOGLEFINANCE(C418, ""volumeavg""), 
      GOOGLEFINANCE(C418, ""price"") * AVERAGE(QUERY(GOOGLEFINANCE(C418, ""volume"", TODAY()-40, TODAY()), ""SELECT Col2 WHERE Col2 IS NOT "&amp;"NULL ORDER BY Col1 DESC LIMIT 20"", 0))
    )
  ), 
"""")"),"")</f>
        <v/>
      </c>
      <c r="K418" s="21" t="str">
        <f>IFERROR(__xludf.DUMMYFUNCTION("IFERROR(GOOGLEFINANCE(C418, ""changepct"") / 100, """")"),"")</f>
        <v/>
      </c>
      <c r="L418" s="21" t="str">
        <f>IFERROR(__xludf.DUMMYFUNCTION("IFERROR((GOOGLEFINANCE(C418, ""price"") / INDEX(GOOGLEFINANCE(C418, ""price"", TODAY()-7, TODAY()), 2, 2)) - 1, """")"),"")</f>
        <v/>
      </c>
      <c r="M418" s="21" t="str">
        <f>IFERROR(__xludf.DUMMYFUNCTION("IFERROR((GOOGLEFINANCE(C418, ""price"") / INDEX(GOOGLEFINANCE(C418, ""price"", EDATE(TODAY(), -1), TODAY()), 2, 2)) - 1, """")"),"")</f>
        <v/>
      </c>
      <c r="N418" s="21" t="str">
        <f>IFERROR(__xludf.DUMMYFUNCTION("IFERROR((GOOGLEFINANCE(C418, ""price"") / INDEX(GOOGLEFINANCE(C418, ""price"", EDATE(TODAY(), -3), TODAY()), 2, 2)) - 1, """")"),"")</f>
        <v/>
      </c>
      <c r="O418" s="21" t="str">
        <f>IFERROR(__xludf.DUMMYFUNCTION("IFERROR((GOOGLEFINANCE(C418, ""price"") / INDEX(GOOGLEFINANCE(C418, ""price"", EDATE(TODAY(), -6), TODAY()), 2, 2)) - 1, """")"),"")</f>
        <v/>
      </c>
      <c r="P418" s="21" t="str">
        <f>IFERROR(__xludf.DUMMYFUNCTION("IFERROR((GOOGLEFINANCE(C418, ""price"") / INDEX(GOOGLEFINANCE(C418, ""price"", EDATE(TODAY(), -12), TODAY()), 2, 2)) - 1, """")"),"")</f>
        <v/>
      </c>
      <c r="Q418" s="6" t="str">
        <f>IFERROR(__xludf.DUMMYFUNCTION("AVERAGE(QUERY(GOOGLEFINANCE(C418, ""price"", TODAY()-80, TODAY()), ""SELECT Col2 WHERE Col2 IS NOT NULL ORDER BY Col1 DESC LIMIT 50"", 0))"),"#N/A")</f>
        <v>#N/A</v>
      </c>
      <c r="R418" s="24" t="str">
        <f>IFERROR(__xludf.DUMMYFUNCTION("IFERROR(
  LET(
    data, QUERY(GOOGLEFINANCE(C418,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GOOGLEFINANCE(C418, ""price"")) * 100,
    IF(calc=0, G418, calc)
  ), 
G418)"),"#N/A")</f>
        <v>#N/A</v>
      </c>
      <c r="S418" s="8" t="s">
        <v>15</v>
      </c>
      <c r="T418" s="26" t="str">
        <f>IFERROR(__xludf.DUMMYFUNCTION("IFERROR(TRANSPOSE(QUERY(IFERROR(SORT(GOOGLEFINANCE(C418, ""price"", WORKDAY(TODAY(), -40), TODAY()), 1, FALSE)), ""select Col2 where Col2 is not null limit 22 label Col2 ''"", 0)), """")"),"")</f>
        <v/>
      </c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8"/>
      <c r="AO418" s="28"/>
      <c r="AP418" s="29"/>
      <c r="AQ418" s="29" t="str">
        <f t="shared" ref="AQ418:BL418" si="421">T418/T$2</f>
        <v>#N/A</v>
      </c>
      <c r="AR418" s="29" t="str">
        <f t="shared" si="421"/>
        <v>#DIV/0!</v>
      </c>
      <c r="AS418" s="29" t="str">
        <f t="shared" si="421"/>
        <v>#DIV/0!</v>
      </c>
      <c r="AT418" s="29" t="str">
        <f t="shared" si="421"/>
        <v>#DIV/0!</v>
      </c>
      <c r="AU418" s="29" t="str">
        <f t="shared" si="421"/>
        <v>#DIV/0!</v>
      </c>
      <c r="AV418" s="29" t="str">
        <f t="shared" si="421"/>
        <v>#DIV/0!</v>
      </c>
      <c r="AW418" s="29" t="str">
        <f t="shared" si="421"/>
        <v>#DIV/0!</v>
      </c>
      <c r="AX418" s="29" t="str">
        <f t="shared" si="421"/>
        <v>#DIV/0!</v>
      </c>
      <c r="AY418" s="29" t="str">
        <f t="shared" si="421"/>
        <v>#DIV/0!</v>
      </c>
      <c r="AZ418" s="29" t="str">
        <f t="shared" si="421"/>
        <v>#DIV/0!</v>
      </c>
      <c r="BA418" s="29" t="str">
        <f t="shared" si="421"/>
        <v>#DIV/0!</v>
      </c>
      <c r="BB418" s="29" t="str">
        <f t="shared" si="421"/>
        <v>#DIV/0!</v>
      </c>
      <c r="BC418" s="29" t="str">
        <f t="shared" si="421"/>
        <v>#DIV/0!</v>
      </c>
      <c r="BD418" s="29" t="str">
        <f t="shared" si="421"/>
        <v>#DIV/0!</v>
      </c>
      <c r="BE418" s="29" t="str">
        <f t="shared" si="421"/>
        <v>#DIV/0!</v>
      </c>
      <c r="BF418" s="29" t="str">
        <f t="shared" si="421"/>
        <v>#DIV/0!</v>
      </c>
      <c r="BG418" s="29" t="str">
        <f t="shared" si="421"/>
        <v>#DIV/0!</v>
      </c>
      <c r="BH418" s="29" t="str">
        <f t="shared" si="421"/>
        <v>#DIV/0!</v>
      </c>
      <c r="BI418" s="29" t="str">
        <f t="shared" si="421"/>
        <v>#DIV/0!</v>
      </c>
      <c r="BJ418" s="29" t="str">
        <f t="shared" si="421"/>
        <v>#DIV/0!</v>
      </c>
      <c r="BK418" s="29" t="str">
        <f t="shared" si="421"/>
        <v>#DIV/0!</v>
      </c>
      <c r="BL418" s="29" t="str">
        <f t="shared" si="421"/>
        <v>#DIV/0!</v>
      </c>
      <c r="BM418" s="29" t="str">
        <f t="shared" si="3"/>
        <v>#DIV/0!</v>
      </c>
    </row>
    <row r="419">
      <c r="A419" s="16" t="str">
        <f>IFERROR(__xludf.DUMMYFUNCTION("IFERROR(SPARKLINE(SORT(MAP(TRANSPOSE(AQ419:BL419), LAMBDA(val, IF(ISNUMBER(val), PERCENTRANK(AQ419:BL419, val)+0.01, 0))), SEQUENCE(COLUMNS(AQ419:BL419)), FALSE), {""charttype"",""column""; ""color"",""chartreuse""; ""ymin"", 0; ""ymax"", 1.01; ""highcolo"&amp;"r"", ""darkgreen""; ""lowcolor"", ""red""}), """")"),"")</f>
        <v/>
      </c>
      <c r="B419" s="17" t="str">
        <f t="shared" si="4"/>
        <v/>
      </c>
      <c r="C419" s="1" t="s">
        <v>1785</v>
      </c>
      <c r="D419" s="30" t="str">
        <f>IFERROR(__xludf.DUMMYFUNCTION("IFERROR(GOOGLEFINANCE(C419, ""NAME""))"),"Intel Corp")</f>
        <v>Intel Corp</v>
      </c>
      <c r="E419" s="30" t="s">
        <v>871</v>
      </c>
      <c r="F419" s="33" t="str">
        <f>IFERROR(__xludf.DUMMYFUNCTION("( (GOOGLEFINANCE(C419, ""price"") - Q419) / Q419 ) / (R419 / 100)"),"Loading...")</f>
        <v>Loading...</v>
      </c>
      <c r="G419" s="20" t="str">
        <f>IFERROR(__xludf.DUMMYFUNCTION("AVERAGE(ARRAYFORMULA(100 * (QUERY(GOOGLEFINANCE(C419, ""high"", TODAY()-40, TODAY()), ""SELECT Col2 WHERE Col2 IS NOT NULL ORDER BY Col1 DESC LIMIT 20"", 0) / QUERY(GOOGLEFINANCE(C419, ""low"", TODAY()-40, TODAY()), ""SELECT Col2 WHERE Col2 IS NOT NULL OR"&amp;"DER BY Col1 DESC LIMIT 20"", 0) - 1)))"),"#N/A")</f>
        <v>#N/A</v>
      </c>
      <c r="H419" s="35" t="str">
        <f t="shared" si="6"/>
        <v/>
      </c>
      <c r="I419" s="36" t="str">
        <f t="shared" si="7"/>
        <v/>
      </c>
      <c r="J419" s="37" t="str">
        <f>IFERROR(__xludf.DUMMYFUNCTION("IFERROR(
  IF(C419="""",, 
    IFERROR(
      GOOGLEFINANCE(C419, ""price"") * GOOGLEFINANCE(C419, ""volumeavg""), 
      GOOGLEFINANCE(C419, ""price"") * AVERAGE(QUERY(GOOGLEFINANCE(C419, ""volume"", TODAY()-40, TODAY()), ""SELECT Col2 WHERE Col2 IS NOT "&amp;"NULL ORDER BY Col1 DESC LIMIT 20"", 0))
    )
  ), 
"""")"),"")</f>
        <v/>
      </c>
      <c r="K419" s="21" t="str">
        <f>IFERROR(__xludf.DUMMYFUNCTION("IFERROR(GOOGLEFINANCE(C419, ""changepct"") / 100, """")"),"")</f>
        <v/>
      </c>
      <c r="L419" s="21" t="str">
        <f>IFERROR(__xludf.DUMMYFUNCTION("IFERROR((GOOGLEFINANCE(C419, ""price"") / INDEX(GOOGLEFINANCE(C419, ""price"", TODAY()-7, TODAY()), 2, 2)) - 1, """")"),"")</f>
        <v/>
      </c>
      <c r="M419" s="21" t="str">
        <f>IFERROR(__xludf.DUMMYFUNCTION("IFERROR((GOOGLEFINANCE(C419, ""price"") / INDEX(GOOGLEFINANCE(C419, ""price"", EDATE(TODAY(), -1), TODAY()), 2, 2)) - 1, """")"),"")</f>
        <v/>
      </c>
      <c r="N419" s="21" t="str">
        <f>IFERROR(__xludf.DUMMYFUNCTION("IFERROR((GOOGLEFINANCE(C419, ""price"") / INDEX(GOOGLEFINANCE(C419, ""price"", EDATE(TODAY(), -3), TODAY()), 2, 2)) - 1, """")"),"")</f>
        <v/>
      </c>
      <c r="O419" s="21" t="str">
        <f>IFERROR(__xludf.DUMMYFUNCTION("IFERROR((GOOGLEFINANCE(C419, ""price"") / INDEX(GOOGLEFINANCE(C419, ""price"", EDATE(TODAY(), -6), TODAY()), 2, 2)) - 1, """")"),"")</f>
        <v/>
      </c>
      <c r="P419" s="21" t="str">
        <f>IFERROR(__xludf.DUMMYFUNCTION("IFERROR((GOOGLEFINANCE(C419, ""price"") / INDEX(GOOGLEFINANCE(C419, ""price"", EDATE(TODAY(), -12), TODAY()), 2, 2)) - 1, """")"),"")</f>
        <v/>
      </c>
      <c r="Q419" s="6" t="str">
        <f>IFERROR(__xludf.DUMMYFUNCTION("AVERAGE(QUERY(GOOGLEFINANCE(C419, ""price"", TODAY()-80, TODAY()), ""SELECT Col2 WHERE Col2 IS NOT NULL ORDER BY Col1 DESC LIMIT 50"", 0))"),"#N/A")</f>
        <v>#N/A</v>
      </c>
      <c r="R419" s="24" t="str">
        <f>IFERROR(__xludf.DUMMYFUNCTION("IFERROR(
  LET(
    data, QUERY(GOOGLEFINANCE(C419,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GOOGLEFINANCE(C419, ""price"")) * 100,
    IF(calc=0, G419, calc)
  ), 
G419)"),"#N/A")</f>
        <v>#N/A</v>
      </c>
      <c r="S419" s="8" t="s">
        <v>15</v>
      </c>
      <c r="T419" s="26" t="str">
        <f>IFERROR(__xludf.DUMMYFUNCTION("IFERROR(TRANSPOSE(QUERY(IFERROR(SORT(GOOGLEFINANCE(C419, ""price"", WORKDAY(TODAY(), -40), TODAY()), 1, FALSE)), ""select Col2 where Col2 is not null limit 22 label Col2 ''"", 0)), """")"),"")</f>
        <v/>
      </c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8"/>
      <c r="AO419" s="28"/>
      <c r="AP419" s="29"/>
      <c r="AQ419" s="29" t="str">
        <f t="shared" ref="AQ419:BL419" si="422">T419/T$2</f>
        <v>#N/A</v>
      </c>
      <c r="AR419" s="29" t="str">
        <f t="shared" si="422"/>
        <v>#DIV/0!</v>
      </c>
      <c r="AS419" s="29" t="str">
        <f t="shared" si="422"/>
        <v>#DIV/0!</v>
      </c>
      <c r="AT419" s="29" t="str">
        <f t="shared" si="422"/>
        <v>#DIV/0!</v>
      </c>
      <c r="AU419" s="29" t="str">
        <f t="shared" si="422"/>
        <v>#DIV/0!</v>
      </c>
      <c r="AV419" s="29" t="str">
        <f t="shared" si="422"/>
        <v>#DIV/0!</v>
      </c>
      <c r="AW419" s="29" t="str">
        <f t="shared" si="422"/>
        <v>#DIV/0!</v>
      </c>
      <c r="AX419" s="29" t="str">
        <f t="shared" si="422"/>
        <v>#DIV/0!</v>
      </c>
      <c r="AY419" s="29" t="str">
        <f t="shared" si="422"/>
        <v>#DIV/0!</v>
      </c>
      <c r="AZ419" s="29" t="str">
        <f t="shared" si="422"/>
        <v>#DIV/0!</v>
      </c>
      <c r="BA419" s="29" t="str">
        <f t="shared" si="422"/>
        <v>#DIV/0!</v>
      </c>
      <c r="BB419" s="29" t="str">
        <f t="shared" si="422"/>
        <v>#DIV/0!</v>
      </c>
      <c r="BC419" s="29" t="str">
        <f t="shared" si="422"/>
        <v>#DIV/0!</v>
      </c>
      <c r="BD419" s="29" t="str">
        <f t="shared" si="422"/>
        <v>#DIV/0!</v>
      </c>
      <c r="BE419" s="29" t="str">
        <f t="shared" si="422"/>
        <v>#DIV/0!</v>
      </c>
      <c r="BF419" s="29" t="str">
        <f t="shared" si="422"/>
        <v>#DIV/0!</v>
      </c>
      <c r="BG419" s="29" t="str">
        <f t="shared" si="422"/>
        <v>#DIV/0!</v>
      </c>
      <c r="BH419" s="29" t="str">
        <f t="shared" si="422"/>
        <v>#DIV/0!</v>
      </c>
      <c r="BI419" s="29" t="str">
        <f t="shared" si="422"/>
        <v>#DIV/0!</v>
      </c>
      <c r="BJ419" s="29" t="str">
        <f t="shared" si="422"/>
        <v>#DIV/0!</v>
      </c>
      <c r="BK419" s="29" t="str">
        <f t="shared" si="422"/>
        <v>#DIV/0!</v>
      </c>
      <c r="BL419" s="29" t="str">
        <f t="shared" si="422"/>
        <v>#DIV/0!</v>
      </c>
      <c r="BM419" s="29" t="str">
        <f t="shared" si="3"/>
        <v>#DIV/0!</v>
      </c>
    </row>
    <row r="420">
      <c r="A420" s="16" t="str">
        <f>IFERROR(__xludf.DUMMYFUNCTION("IFERROR(SPARKLINE(SORT(MAP(TRANSPOSE(AQ420:BL420), LAMBDA(val, IF(ISNUMBER(val), PERCENTRANK(AQ420:BL420, val)+0.01, 0))), SEQUENCE(COLUMNS(AQ420:BL420)), FALSE), {""charttype"",""column""; ""color"",""chartreuse""; ""ymin"", 0; ""ymax"", 1.01; ""highcolo"&amp;"r"", ""darkgreen""; ""lowcolor"", ""red""}), """")"),"")</f>
        <v/>
      </c>
      <c r="B420" s="17" t="str">
        <f t="shared" si="4"/>
        <v/>
      </c>
      <c r="C420" s="1" t="s">
        <v>1787</v>
      </c>
      <c r="D420" s="30" t="str">
        <f>IFERROR(__xludf.DUMMYFUNCTION("IFERROR(GOOGLEFINANCE(C420, ""NAME""))"),"DigitalOcean Holdings Inc")</f>
        <v>DigitalOcean Holdings Inc</v>
      </c>
      <c r="E420" s="30" t="s">
        <v>58</v>
      </c>
      <c r="F420" s="33" t="str">
        <f>IFERROR(__xludf.DUMMYFUNCTION("( (GOOGLEFINANCE(C420, ""price"") - Q420) / Q420 ) / (R420 / 100)"),"Loading...")</f>
        <v>Loading...</v>
      </c>
      <c r="G420" s="20" t="str">
        <f>IFERROR(__xludf.DUMMYFUNCTION("AVERAGE(ARRAYFORMULA(100 * (QUERY(GOOGLEFINANCE(C420, ""high"", TODAY()-40, TODAY()), ""SELECT Col2 WHERE Col2 IS NOT NULL ORDER BY Col1 DESC LIMIT 20"", 0) / QUERY(GOOGLEFINANCE(C420, ""low"", TODAY()-40, TODAY()), ""SELECT Col2 WHERE Col2 IS NOT NULL OR"&amp;"DER BY Col1 DESC LIMIT 20"", 0) - 1)))"),"#N/A")</f>
        <v>#N/A</v>
      </c>
      <c r="H420" s="35" t="str">
        <f t="shared" si="6"/>
        <v/>
      </c>
      <c r="I420" s="36" t="str">
        <f t="shared" si="7"/>
        <v/>
      </c>
      <c r="J420" s="37" t="str">
        <f>IFERROR(__xludf.DUMMYFUNCTION("IFERROR(
  IF(C420="""",, 
    IFERROR(
      GOOGLEFINANCE(C420, ""price"") * GOOGLEFINANCE(C420, ""volumeavg""), 
      GOOGLEFINANCE(C420, ""price"") * AVERAGE(QUERY(GOOGLEFINANCE(C420, ""volume"", TODAY()-40, TODAY()), ""SELECT Col2 WHERE Col2 IS NOT "&amp;"NULL ORDER BY Col1 DESC LIMIT 20"", 0))
    )
  ), 
"""")"),"")</f>
        <v/>
      </c>
      <c r="K420" s="21" t="str">
        <f>IFERROR(__xludf.DUMMYFUNCTION("IFERROR(GOOGLEFINANCE(C420, ""changepct"") / 100, """")"),"")</f>
        <v/>
      </c>
      <c r="L420" s="21" t="str">
        <f>IFERROR(__xludf.DUMMYFUNCTION("IFERROR((GOOGLEFINANCE(C420, ""price"") / INDEX(GOOGLEFINANCE(C420, ""price"", TODAY()-7, TODAY()), 2, 2)) - 1, """")"),"")</f>
        <v/>
      </c>
      <c r="M420" s="21" t="str">
        <f>IFERROR(__xludf.DUMMYFUNCTION("IFERROR((GOOGLEFINANCE(C420, ""price"") / INDEX(GOOGLEFINANCE(C420, ""price"", EDATE(TODAY(), -1), TODAY()), 2, 2)) - 1, """")"),"")</f>
        <v/>
      </c>
      <c r="N420" s="21" t="str">
        <f>IFERROR(__xludf.DUMMYFUNCTION("IFERROR((GOOGLEFINANCE(C420, ""price"") / INDEX(GOOGLEFINANCE(C420, ""price"", EDATE(TODAY(), -3), TODAY()), 2, 2)) - 1, """")"),"")</f>
        <v/>
      </c>
      <c r="O420" s="21" t="str">
        <f>IFERROR(__xludf.DUMMYFUNCTION("IFERROR((GOOGLEFINANCE(C420, ""price"") / INDEX(GOOGLEFINANCE(C420, ""price"", EDATE(TODAY(), -6), TODAY()), 2, 2)) - 1, """")"),"")</f>
        <v/>
      </c>
      <c r="P420" s="21" t="str">
        <f>IFERROR(__xludf.DUMMYFUNCTION("IFERROR((GOOGLEFINANCE(C420, ""price"") / INDEX(GOOGLEFINANCE(C420, ""price"", EDATE(TODAY(), -12), TODAY()), 2, 2)) - 1, """")"),"")</f>
        <v/>
      </c>
      <c r="Q420" s="6" t="str">
        <f>IFERROR(__xludf.DUMMYFUNCTION("AVERAGE(QUERY(GOOGLEFINANCE(C420, ""price"", TODAY()-80, TODAY()), ""SELECT Col2 WHERE Col2 IS NOT NULL ORDER BY Col1 DESC LIMIT 50"", 0))"),"#N/A")</f>
        <v>#N/A</v>
      </c>
      <c r="R420" s="24" t="str">
        <f>IFERROR(__xludf.DUMMYFUNCTION("IFERROR(
  LET(
    data, QUERY(GOOGLEFINANCE(C420,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GOOGLEFINANCE(C420, ""price"")) * 100,
    IF(calc=0, G420, calc)
  ), 
G420)"),"#N/A")</f>
        <v>#N/A</v>
      </c>
      <c r="S420" s="8" t="s">
        <v>15</v>
      </c>
      <c r="T420" s="26" t="str">
        <f>IFERROR(__xludf.DUMMYFUNCTION("IFERROR(TRANSPOSE(QUERY(IFERROR(SORT(GOOGLEFINANCE(C420, ""price"", WORKDAY(TODAY(), -40), TODAY()), 1, FALSE)), ""select Col2 where Col2 is not null limit 22 label Col2 ''"", 0)), """")"),"")</f>
        <v/>
      </c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8"/>
      <c r="AO420" s="28"/>
      <c r="AP420" s="29"/>
      <c r="AQ420" s="29" t="str">
        <f t="shared" ref="AQ420:BL420" si="423">T420/T$2</f>
        <v>#N/A</v>
      </c>
      <c r="AR420" s="29" t="str">
        <f t="shared" si="423"/>
        <v>#DIV/0!</v>
      </c>
      <c r="AS420" s="29" t="str">
        <f t="shared" si="423"/>
        <v>#DIV/0!</v>
      </c>
      <c r="AT420" s="29" t="str">
        <f t="shared" si="423"/>
        <v>#DIV/0!</v>
      </c>
      <c r="AU420" s="29" t="str">
        <f t="shared" si="423"/>
        <v>#DIV/0!</v>
      </c>
      <c r="AV420" s="29" t="str">
        <f t="shared" si="423"/>
        <v>#DIV/0!</v>
      </c>
      <c r="AW420" s="29" t="str">
        <f t="shared" si="423"/>
        <v>#DIV/0!</v>
      </c>
      <c r="AX420" s="29" t="str">
        <f t="shared" si="423"/>
        <v>#DIV/0!</v>
      </c>
      <c r="AY420" s="29" t="str">
        <f t="shared" si="423"/>
        <v>#DIV/0!</v>
      </c>
      <c r="AZ420" s="29" t="str">
        <f t="shared" si="423"/>
        <v>#DIV/0!</v>
      </c>
      <c r="BA420" s="29" t="str">
        <f t="shared" si="423"/>
        <v>#DIV/0!</v>
      </c>
      <c r="BB420" s="29" t="str">
        <f t="shared" si="423"/>
        <v>#DIV/0!</v>
      </c>
      <c r="BC420" s="29" t="str">
        <f t="shared" si="423"/>
        <v>#DIV/0!</v>
      </c>
      <c r="BD420" s="29" t="str">
        <f t="shared" si="423"/>
        <v>#DIV/0!</v>
      </c>
      <c r="BE420" s="29" t="str">
        <f t="shared" si="423"/>
        <v>#DIV/0!</v>
      </c>
      <c r="BF420" s="29" t="str">
        <f t="shared" si="423"/>
        <v>#DIV/0!</v>
      </c>
      <c r="BG420" s="29" t="str">
        <f t="shared" si="423"/>
        <v>#DIV/0!</v>
      </c>
      <c r="BH420" s="29" t="str">
        <f t="shared" si="423"/>
        <v>#DIV/0!</v>
      </c>
      <c r="BI420" s="29" t="str">
        <f t="shared" si="423"/>
        <v>#DIV/0!</v>
      </c>
      <c r="BJ420" s="29" t="str">
        <f t="shared" si="423"/>
        <v>#DIV/0!</v>
      </c>
      <c r="BK420" s="29" t="str">
        <f t="shared" si="423"/>
        <v>#DIV/0!</v>
      </c>
      <c r="BL420" s="29" t="str">
        <f t="shared" si="423"/>
        <v>#DIV/0!</v>
      </c>
      <c r="BM420" s="29" t="str">
        <f t="shared" si="3"/>
        <v>#DIV/0!</v>
      </c>
    </row>
    <row r="421">
      <c r="A421" s="16" t="str">
        <f>IFERROR(__xludf.DUMMYFUNCTION("IFERROR(SPARKLINE(SORT(MAP(TRANSPOSE(AQ421:BL421), LAMBDA(val, IF(ISNUMBER(val), PERCENTRANK(AQ421:BL421, val)+0.01, 0))), SEQUENCE(COLUMNS(AQ421:BL421)), FALSE), {""charttype"",""column""; ""color"",""chartreuse""; ""ymin"", 0; ""ymax"", 1.01; ""highcolo"&amp;"r"", ""darkgreen""; ""lowcolor"", ""red""}), """")"),"")</f>
        <v/>
      </c>
      <c r="B421" s="17" t="str">
        <f t="shared" si="4"/>
        <v/>
      </c>
      <c r="C421" s="1" t="s">
        <v>1791</v>
      </c>
      <c r="D421" s="30" t="str">
        <f>IFERROR(__xludf.DUMMYFUNCTION("IFERROR(GOOGLEFINANCE(C421, ""NAME""))"),"Viavi Solutions Inc")</f>
        <v>Viavi Solutions Inc</v>
      </c>
      <c r="E421" s="30" t="s">
        <v>716</v>
      </c>
      <c r="F421" s="33" t="str">
        <f>IFERROR(__xludf.DUMMYFUNCTION("( (GOOGLEFINANCE(C421, ""price"") - Q421) / Q421 ) / (R421 / 100)"),"Loading...")</f>
        <v>Loading...</v>
      </c>
      <c r="G421" s="20" t="str">
        <f>IFERROR(__xludf.DUMMYFUNCTION("AVERAGE(ARRAYFORMULA(100 * (QUERY(GOOGLEFINANCE(C421, ""high"", TODAY()-40, TODAY()), ""SELECT Col2 WHERE Col2 IS NOT NULL ORDER BY Col1 DESC LIMIT 20"", 0) / QUERY(GOOGLEFINANCE(C421, ""low"", TODAY()-40, TODAY()), ""SELECT Col2 WHERE Col2 IS NOT NULL OR"&amp;"DER BY Col1 DESC LIMIT 20"", 0) - 1)))"),"#N/A")</f>
        <v>#N/A</v>
      </c>
      <c r="H421" s="35" t="str">
        <f t="shared" si="6"/>
        <v/>
      </c>
      <c r="I421" s="36" t="str">
        <f t="shared" si="7"/>
        <v/>
      </c>
      <c r="J421" s="37" t="str">
        <f>IFERROR(__xludf.DUMMYFUNCTION("IFERROR(
  IF(C421="""",, 
    IFERROR(
      GOOGLEFINANCE(C421, ""price"") * GOOGLEFINANCE(C421, ""volumeavg""), 
      GOOGLEFINANCE(C421, ""price"") * AVERAGE(QUERY(GOOGLEFINANCE(C421, ""volume"", TODAY()-40, TODAY()), ""SELECT Col2 WHERE Col2 IS NOT "&amp;"NULL ORDER BY Col1 DESC LIMIT 20"", 0))
    )
  ), 
"""")"),"")</f>
        <v/>
      </c>
      <c r="K421" s="21" t="str">
        <f>IFERROR(__xludf.DUMMYFUNCTION("IFERROR(GOOGLEFINANCE(C421, ""changepct"") / 100, """")"),"")</f>
        <v/>
      </c>
      <c r="L421" s="21" t="str">
        <f>IFERROR(__xludf.DUMMYFUNCTION("IFERROR((GOOGLEFINANCE(C421, ""price"") / INDEX(GOOGLEFINANCE(C421, ""price"", TODAY()-7, TODAY()), 2, 2)) - 1, """")"),"")</f>
        <v/>
      </c>
      <c r="M421" s="21" t="str">
        <f>IFERROR(__xludf.DUMMYFUNCTION("IFERROR((GOOGLEFINANCE(C421, ""price"") / INDEX(GOOGLEFINANCE(C421, ""price"", EDATE(TODAY(), -1), TODAY()), 2, 2)) - 1, """")"),"")</f>
        <v/>
      </c>
      <c r="N421" s="21" t="str">
        <f>IFERROR(__xludf.DUMMYFUNCTION("IFERROR((GOOGLEFINANCE(C421, ""price"") / INDEX(GOOGLEFINANCE(C421, ""price"", EDATE(TODAY(), -3), TODAY()), 2, 2)) - 1, """")"),"")</f>
        <v/>
      </c>
      <c r="O421" s="21" t="str">
        <f>IFERROR(__xludf.DUMMYFUNCTION("IFERROR((GOOGLEFINANCE(C421, ""price"") / INDEX(GOOGLEFINANCE(C421, ""price"", EDATE(TODAY(), -6), TODAY()), 2, 2)) - 1, """")"),"")</f>
        <v/>
      </c>
      <c r="P421" s="21" t="str">
        <f>IFERROR(__xludf.DUMMYFUNCTION("IFERROR((GOOGLEFINANCE(C421, ""price"") / INDEX(GOOGLEFINANCE(C421, ""price"", EDATE(TODAY(), -12), TODAY()), 2, 2)) - 1, """")"),"")</f>
        <v/>
      </c>
      <c r="Q421" s="6" t="str">
        <f>IFERROR(__xludf.DUMMYFUNCTION("AVERAGE(QUERY(GOOGLEFINANCE(C421, ""price"", TODAY()-80, TODAY()), ""SELECT Col2 WHERE Col2 IS NOT NULL ORDER BY Col1 DESC LIMIT 50"", 0))"),"#N/A")</f>
        <v>#N/A</v>
      </c>
      <c r="R421" s="24" t="str">
        <f>IFERROR(__xludf.DUMMYFUNCTION("IFERROR(
  LET(
    data, QUERY(GOOGLEFINANCE(C421,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GOOGLEFINANCE(C421, ""price"")) * 100,
    IF(calc=0, G421, calc)
  ), 
G421)"),"#N/A")</f>
        <v>#N/A</v>
      </c>
      <c r="S421" s="8" t="s">
        <v>15</v>
      </c>
      <c r="T421" s="26" t="str">
        <f>IFERROR(__xludf.DUMMYFUNCTION("IFERROR(TRANSPOSE(QUERY(IFERROR(SORT(GOOGLEFINANCE(C421, ""price"", WORKDAY(TODAY(), -40), TODAY()), 1, FALSE)), ""select Col2 where Col2 is not null limit 22 label Col2 ''"", 0)), """")"),"")</f>
        <v/>
      </c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8"/>
      <c r="AO421" s="28"/>
      <c r="AP421" s="29"/>
      <c r="AQ421" s="29" t="str">
        <f t="shared" ref="AQ421:BL421" si="424">T421/T$2</f>
        <v>#N/A</v>
      </c>
      <c r="AR421" s="29" t="str">
        <f t="shared" si="424"/>
        <v>#DIV/0!</v>
      </c>
      <c r="AS421" s="29" t="str">
        <f t="shared" si="424"/>
        <v>#DIV/0!</v>
      </c>
      <c r="AT421" s="29" t="str">
        <f t="shared" si="424"/>
        <v>#DIV/0!</v>
      </c>
      <c r="AU421" s="29" t="str">
        <f t="shared" si="424"/>
        <v>#DIV/0!</v>
      </c>
      <c r="AV421" s="29" t="str">
        <f t="shared" si="424"/>
        <v>#DIV/0!</v>
      </c>
      <c r="AW421" s="29" t="str">
        <f t="shared" si="424"/>
        <v>#DIV/0!</v>
      </c>
      <c r="AX421" s="29" t="str">
        <f t="shared" si="424"/>
        <v>#DIV/0!</v>
      </c>
      <c r="AY421" s="29" t="str">
        <f t="shared" si="424"/>
        <v>#DIV/0!</v>
      </c>
      <c r="AZ421" s="29" t="str">
        <f t="shared" si="424"/>
        <v>#DIV/0!</v>
      </c>
      <c r="BA421" s="29" t="str">
        <f t="shared" si="424"/>
        <v>#DIV/0!</v>
      </c>
      <c r="BB421" s="29" t="str">
        <f t="shared" si="424"/>
        <v>#DIV/0!</v>
      </c>
      <c r="BC421" s="29" t="str">
        <f t="shared" si="424"/>
        <v>#DIV/0!</v>
      </c>
      <c r="BD421" s="29" t="str">
        <f t="shared" si="424"/>
        <v>#DIV/0!</v>
      </c>
      <c r="BE421" s="29" t="str">
        <f t="shared" si="424"/>
        <v>#DIV/0!</v>
      </c>
      <c r="BF421" s="29" t="str">
        <f t="shared" si="424"/>
        <v>#DIV/0!</v>
      </c>
      <c r="BG421" s="29" t="str">
        <f t="shared" si="424"/>
        <v>#DIV/0!</v>
      </c>
      <c r="BH421" s="29" t="str">
        <f t="shared" si="424"/>
        <v>#DIV/0!</v>
      </c>
      <c r="BI421" s="29" t="str">
        <f t="shared" si="424"/>
        <v>#DIV/0!</v>
      </c>
      <c r="BJ421" s="29" t="str">
        <f t="shared" si="424"/>
        <v>#DIV/0!</v>
      </c>
      <c r="BK421" s="29" t="str">
        <f t="shared" si="424"/>
        <v>#DIV/0!</v>
      </c>
      <c r="BL421" s="29" t="str">
        <f t="shared" si="424"/>
        <v>#DIV/0!</v>
      </c>
      <c r="BM421" s="29" t="str">
        <f t="shared" si="3"/>
        <v>#DIV/0!</v>
      </c>
    </row>
    <row r="422">
      <c r="A422" s="16" t="str">
        <f>IFERROR(__xludf.DUMMYFUNCTION("IFERROR(SPARKLINE(SORT(MAP(TRANSPOSE(AQ422:BL422), LAMBDA(val, IF(ISNUMBER(val), PERCENTRANK(AQ422:BL422, val)+0.01, 0))), SEQUENCE(COLUMNS(AQ422:BL422)), FALSE), {""charttype"",""column""; ""color"",""chartreuse""; ""ymin"", 0; ""ymax"", 1.01; ""highcolo"&amp;"r"", ""darkgreen""; ""lowcolor"", ""red""}), """")"),"")</f>
        <v/>
      </c>
      <c r="B422" s="17" t="str">
        <f t="shared" si="4"/>
        <v/>
      </c>
      <c r="C422" s="1" t="s">
        <v>1795</v>
      </c>
      <c r="D422" s="30" t="str">
        <f>IFERROR(__xludf.DUMMYFUNCTION("IFERROR(GOOGLEFINANCE(C422, ""NAME""))"),"TTM Technologies Inc")</f>
        <v>TTM Technologies Inc</v>
      </c>
      <c r="E422" s="30" t="s">
        <v>469</v>
      </c>
      <c r="F422" s="33" t="str">
        <f>IFERROR(__xludf.DUMMYFUNCTION("( (GOOGLEFINANCE(C422, ""price"") - Q422) / Q422 ) / (R422 / 100)"),"Loading...")</f>
        <v>Loading...</v>
      </c>
      <c r="G422" s="20" t="str">
        <f>IFERROR(__xludf.DUMMYFUNCTION("AVERAGE(ARRAYFORMULA(100 * (QUERY(GOOGLEFINANCE(C422, ""high"", TODAY()-40, TODAY()), ""SELECT Col2 WHERE Col2 IS NOT NULL ORDER BY Col1 DESC LIMIT 20"", 0) / QUERY(GOOGLEFINANCE(C422, ""low"", TODAY()-40, TODAY()), ""SELECT Col2 WHERE Col2 IS NOT NULL OR"&amp;"DER BY Col1 DESC LIMIT 20"", 0) - 1)))"),"#N/A")</f>
        <v>#N/A</v>
      </c>
      <c r="H422" s="35" t="str">
        <f t="shared" si="6"/>
        <v/>
      </c>
      <c r="I422" s="36" t="str">
        <f t="shared" si="7"/>
        <v/>
      </c>
      <c r="J422" s="37" t="str">
        <f>IFERROR(__xludf.DUMMYFUNCTION("IFERROR(
  IF(C422="""",, 
    IFERROR(
      GOOGLEFINANCE(C422, ""price"") * GOOGLEFINANCE(C422, ""volumeavg""), 
      GOOGLEFINANCE(C422, ""price"") * AVERAGE(QUERY(GOOGLEFINANCE(C422, ""volume"", TODAY()-40, TODAY()), ""SELECT Col2 WHERE Col2 IS NOT "&amp;"NULL ORDER BY Col1 DESC LIMIT 20"", 0))
    )
  ), 
"""")"),"")</f>
        <v/>
      </c>
      <c r="K422" s="21" t="str">
        <f>IFERROR(__xludf.DUMMYFUNCTION("IFERROR(GOOGLEFINANCE(C422, ""changepct"") / 100, """")"),"")</f>
        <v/>
      </c>
      <c r="L422" s="21" t="str">
        <f>IFERROR(__xludf.DUMMYFUNCTION("IFERROR((GOOGLEFINANCE(C422, ""price"") / INDEX(GOOGLEFINANCE(C422, ""price"", TODAY()-7, TODAY()), 2, 2)) - 1, """")"),"")</f>
        <v/>
      </c>
      <c r="M422" s="21" t="str">
        <f>IFERROR(__xludf.DUMMYFUNCTION("IFERROR((GOOGLEFINANCE(C422, ""price"") / INDEX(GOOGLEFINANCE(C422, ""price"", EDATE(TODAY(), -1), TODAY()), 2, 2)) - 1, """")"),"")</f>
        <v/>
      </c>
      <c r="N422" s="21" t="str">
        <f>IFERROR(__xludf.DUMMYFUNCTION("IFERROR((GOOGLEFINANCE(C422, ""price"") / INDEX(GOOGLEFINANCE(C422, ""price"", EDATE(TODAY(), -3), TODAY()), 2, 2)) - 1, """")"),"")</f>
        <v/>
      </c>
      <c r="O422" s="21" t="str">
        <f>IFERROR(__xludf.DUMMYFUNCTION("IFERROR((GOOGLEFINANCE(C422, ""price"") / INDEX(GOOGLEFINANCE(C422, ""price"", EDATE(TODAY(), -6), TODAY()), 2, 2)) - 1, """")"),"")</f>
        <v/>
      </c>
      <c r="P422" s="21" t="str">
        <f>IFERROR(__xludf.DUMMYFUNCTION("IFERROR((GOOGLEFINANCE(C422, ""price"") / INDEX(GOOGLEFINANCE(C422, ""price"", EDATE(TODAY(), -12), TODAY()), 2, 2)) - 1, """")"),"")</f>
        <v/>
      </c>
      <c r="Q422" s="6" t="str">
        <f>IFERROR(__xludf.DUMMYFUNCTION("AVERAGE(QUERY(GOOGLEFINANCE(C422, ""price"", TODAY()-80, TODAY()), ""SELECT Col2 WHERE Col2 IS NOT NULL ORDER BY Col1 DESC LIMIT 50"", 0))"),"#N/A")</f>
        <v>#N/A</v>
      </c>
      <c r="R422" s="24" t="str">
        <f>IFERROR(__xludf.DUMMYFUNCTION("IFERROR(
  LET(
    data, QUERY(GOOGLEFINANCE(C422,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GOOGLEFINANCE(C422, ""price"")) * 100,
    IF(calc=0, G422, calc)
  ), 
G422)"),"#N/A")</f>
        <v>#N/A</v>
      </c>
      <c r="S422" s="8" t="s">
        <v>15</v>
      </c>
      <c r="T422" s="26" t="str">
        <f>IFERROR(__xludf.DUMMYFUNCTION("IFERROR(TRANSPOSE(QUERY(IFERROR(SORT(GOOGLEFINANCE(C422, ""price"", WORKDAY(TODAY(), -40), TODAY()), 1, FALSE)), ""select Col2 where Col2 is not null limit 22 label Col2 ''"", 0)), """")"),"")</f>
        <v/>
      </c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8"/>
      <c r="AO422" s="28"/>
      <c r="AP422" s="29"/>
      <c r="AQ422" s="29" t="str">
        <f t="shared" ref="AQ422:BL422" si="425">T422/T$2</f>
        <v>#N/A</v>
      </c>
      <c r="AR422" s="29" t="str">
        <f t="shared" si="425"/>
        <v>#DIV/0!</v>
      </c>
      <c r="AS422" s="29" t="str">
        <f t="shared" si="425"/>
        <v>#DIV/0!</v>
      </c>
      <c r="AT422" s="29" t="str">
        <f t="shared" si="425"/>
        <v>#DIV/0!</v>
      </c>
      <c r="AU422" s="29" t="str">
        <f t="shared" si="425"/>
        <v>#DIV/0!</v>
      </c>
      <c r="AV422" s="29" t="str">
        <f t="shared" si="425"/>
        <v>#DIV/0!</v>
      </c>
      <c r="AW422" s="29" t="str">
        <f t="shared" si="425"/>
        <v>#DIV/0!</v>
      </c>
      <c r="AX422" s="29" t="str">
        <f t="shared" si="425"/>
        <v>#DIV/0!</v>
      </c>
      <c r="AY422" s="29" t="str">
        <f t="shared" si="425"/>
        <v>#DIV/0!</v>
      </c>
      <c r="AZ422" s="29" t="str">
        <f t="shared" si="425"/>
        <v>#DIV/0!</v>
      </c>
      <c r="BA422" s="29" t="str">
        <f t="shared" si="425"/>
        <v>#DIV/0!</v>
      </c>
      <c r="BB422" s="29" t="str">
        <f t="shared" si="425"/>
        <v>#DIV/0!</v>
      </c>
      <c r="BC422" s="29" t="str">
        <f t="shared" si="425"/>
        <v>#DIV/0!</v>
      </c>
      <c r="BD422" s="29" t="str">
        <f t="shared" si="425"/>
        <v>#DIV/0!</v>
      </c>
      <c r="BE422" s="29" t="str">
        <f t="shared" si="425"/>
        <v>#DIV/0!</v>
      </c>
      <c r="BF422" s="29" t="str">
        <f t="shared" si="425"/>
        <v>#DIV/0!</v>
      </c>
      <c r="BG422" s="29" t="str">
        <f t="shared" si="425"/>
        <v>#DIV/0!</v>
      </c>
      <c r="BH422" s="29" t="str">
        <f t="shared" si="425"/>
        <v>#DIV/0!</v>
      </c>
      <c r="BI422" s="29" t="str">
        <f t="shared" si="425"/>
        <v>#DIV/0!</v>
      </c>
      <c r="BJ422" s="29" t="str">
        <f t="shared" si="425"/>
        <v>#DIV/0!</v>
      </c>
      <c r="BK422" s="29" t="str">
        <f t="shared" si="425"/>
        <v>#DIV/0!</v>
      </c>
      <c r="BL422" s="29" t="str">
        <f t="shared" si="425"/>
        <v>#DIV/0!</v>
      </c>
      <c r="BM422" s="29" t="str">
        <f t="shared" si="3"/>
        <v>#DIV/0!</v>
      </c>
    </row>
    <row r="423">
      <c r="A423" s="16" t="str">
        <f>IFERROR(__xludf.DUMMYFUNCTION("IFERROR(SPARKLINE(SORT(MAP(TRANSPOSE(AQ423:BL423), LAMBDA(val, IF(ISNUMBER(val), PERCENTRANK(AQ423:BL423, val)+0.01, 0))), SEQUENCE(COLUMNS(AQ423:BL423)), FALSE), {""charttype"",""column""; ""color"",""chartreuse""; ""ymin"", 0; ""ymax"", 1.01; ""highcolo"&amp;"r"", ""darkgreen""; ""lowcolor"", ""red""}), """")"),"")</f>
        <v/>
      </c>
      <c r="B423" s="17" t="str">
        <f t="shared" si="4"/>
        <v/>
      </c>
      <c r="C423" s="1" t="s">
        <v>1799</v>
      </c>
      <c r="D423" s="30" t="str">
        <f>IFERROR(__xludf.DUMMYFUNCTION("IFERROR(GOOGLEFINANCE(C423, ""NAME""))"),"Nebius Group NV")</f>
        <v>Nebius Group NV</v>
      </c>
      <c r="E423" s="30" t="s">
        <v>58</v>
      </c>
      <c r="F423" s="33" t="str">
        <f>IFERROR(__xludf.DUMMYFUNCTION("( (GOOGLEFINANCE(C423, ""price"") - Q423) / Q423 ) / (R423 / 100)"),"Loading...")</f>
        <v>Loading...</v>
      </c>
      <c r="G423" s="20" t="str">
        <f>IFERROR(__xludf.DUMMYFUNCTION("AVERAGE(ARRAYFORMULA(100 * (QUERY(GOOGLEFINANCE(C423, ""high"", TODAY()-40, TODAY()), ""SELECT Col2 WHERE Col2 IS NOT NULL ORDER BY Col1 DESC LIMIT 20"", 0) / QUERY(GOOGLEFINANCE(C423, ""low"", TODAY()-40, TODAY()), ""SELECT Col2 WHERE Col2 IS NOT NULL OR"&amp;"DER BY Col1 DESC LIMIT 20"", 0) - 1)))"),"#N/A")</f>
        <v>#N/A</v>
      </c>
      <c r="H423" s="35" t="str">
        <f t="shared" si="6"/>
        <v/>
      </c>
      <c r="I423" s="36" t="str">
        <f t="shared" si="7"/>
        <v/>
      </c>
      <c r="J423" s="37" t="str">
        <f>IFERROR(__xludf.DUMMYFUNCTION("IFERROR(
  IF(C423="""",, 
    IFERROR(
      GOOGLEFINANCE(C423, ""price"") * GOOGLEFINANCE(C423, ""volumeavg""), 
      GOOGLEFINANCE(C423, ""price"") * AVERAGE(QUERY(GOOGLEFINANCE(C423, ""volume"", TODAY()-40, TODAY()), ""SELECT Col2 WHERE Col2 IS NOT "&amp;"NULL ORDER BY Col1 DESC LIMIT 20"", 0))
    )
  ), 
"""")"),"")</f>
        <v/>
      </c>
      <c r="K423" s="21" t="str">
        <f>IFERROR(__xludf.DUMMYFUNCTION("IFERROR(GOOGLEFINANCE(C423, ""changepct"") / 100, """")"),"")</f>
        <v/>
      </c>
      <c r="L423" s="21" t="str">
        <f>IFERROR(__xludf.DUMMYFUNCTION("IFERROR((GOOGLEFINANCE(C423, ""price"") / INDEX(GOOGLEFINANCE(C423, ""price"", TODAY()-7, TODAY()), 2, 2)) - 1, """")"),"")</f>
        <v/>
      </c>
      <c r="M423" s="21" t="str">
        <f>IFERROR(__xludf.DUMMYFUNCTION("IFERROR((GOOGLEFINANCE(C423, ""price"") / INDEX(GOOGLEFINANCE(C423, ""price"", EDATE(TODAY(), -1), TODAY()), 2, 2)) - 1, """")"),"")</f>
        <v/>
      </c>
      <c r="N423" s="21" t="str">
        <f>IFERROR(__xludf.DUMMYFUNCTION("IFERROR((GOOGLEFINANCE(C423, ""price"") / INDEX(GOOGLEFINANCE(C423, ""price"", EDATE(TODAY(), -3), TODAY()), 2, 2)) - 1, """")"),"")</f>
        <v/>
      </c>
      <c r="O423" s="21" t="str">
        <f>IFERROR(__xludf.DUMMYFUNCTION("IFERROR((GOOGLEFINANCE(C423, ""price"") / INDEX(GOOGLEFINANCE(C423, ""price"", EDATE(TODAY(), -6), TODAY()), 2, 2)) - 1, """")"),"")</f>
        <v/>
      </c>
      <c r="P423" s="21" t="str">
        <f>IFERROR(__xludf.DUMMYFUNCTION("IFERROR((GOOGLEFINANCE(C423, ""price"") / INDEX(GOOGLEFINANCE(C423, ""price"", EDATE(TODAY(), -12), TODAY()), 2, 2)) - 1, """")"),"")</f>
        <v/>
      </c>
      <c r="Q423" s="6" t="str">
        <f>IFERROR(__xludf.DUMMYFUNCTION("AVERAGE(QUERY(GOOGLEFINANCE(C423, ""price"", TODAY()-80, TODAY()), ""SELECT Col2 WHERE Col2 IS NOT NULL ORDER BY Col1 DESC LIMIT 50"", 0))"),"#N/A")</f>
        <v>#N/A</v>
      </c>
      <c r="R423" s="24" t="str">
        <f>IFERROR(__xludf.DUMMYFUNCTION("IFERROR(
  LET(
    data, QUERY(GOOGLEFINANCE(C423,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GOOGLEFINANCE(C423, ""price"")) * 100,
    IF(calc=0, G423, calc)
  ), 
G423)"),"#N/A")</f>
        <v>#N/A</v>
      </c>
      <c r="S423" s="8" t="s">
        <v>15</v>
      </c>
      <c r="T423" s="26" t="str">
        <f>IFERROR(__xludf.DUMMYFUNCTION("IFERROR(TRANSPOSE(QUERY(IFERROR(SORT(GOOGLEFINANCE(C423, ""price"", WORKDAY(TODAY(), -40), TODAY()), 1, FALSE)), ""select Col2 where Col2 is not null limit 22 label Col2 ''"", 0)), """")"),"")</f>
        <v/>
      </c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8"/>
      <c r="AO423" s="28"/>
      <c r="AP423" s="29"/>
      <c r="AQ423" s="29" t="str">
        <f t="shared" ref="AQ423:BL423" si="426">T423/T$2</f>
        <v>#N/A</v>
      </c>
      <c r="AR423" s="29" t="str">
        <f t="shared" si="426"/>
        <v>#DIV/0!</v>
      </c>
      <c r="AS423" s="29" t="str">
        <f t="shared" si="426"/>
        <v>#DIV/0!</v>
      </c>
      <c r="AT423" s="29" t="str">
        <f t="shared" si="426"/>
        <v>#DIV/0!</v>
      </c>
      <c r="AU423" s="29" t="str">
        <f t="shared" si="426"/>
        <v>#DIV/0!</v>
      </c>
      <c r="AV423" s="29" t="str">
        <f t="shared" si="426"/>
        <v>#DIV/0!</v>
      </c>
      <c r="AW423" s="29" t="str">
        <f t="shared" si="426"/>
        <v>#DIV/0!</v>
      </c>
      <c r="AX423" s="29" t="str">
        <f t="shared" si="426"/>
        <v>#DIV/0!</v>
      </c>
      <c r="AY423" s="29" t="str">
        <f t="shared" si="426"/>
        <v>#DIV/0!</v>
      </c>
      <c r="AZ423" s="29" t="str">
        <f t="shared" si="426"/>
        <v>#DIV/0!</v>
      </c>
      <c r="BA423" s="29" t="str">
        <f t="shared" si="426"/>
        <v>#DIV/0!</v>
      </c>
      <c r="BB423" s="29" t="str">
        <f t="shared" si="426"/>
        <v>#DIV/0!</v>
      </c>
      <c r="BC423" s="29" t="str">
        <f t="shared" si="426"/>
        <v>#DIV/0!</v>
      </c>
      <c r="BD423" s="29" t="str">
        <f t="shared" si="426"/>
        <v>#DIV/0!</v>
      </c>
      <c r="BE423" s="29" t="str">
        <f t="shared" si="426"/>
        <v>#DIV/0!</v>
      </c>
      <c r="BF423" s="29" t="str">
        <f t="shared" si="426"/>
        <v>#DIV/0!</v>
      </c>
      <c r="BG423" s="29" t="str">
        <f t="shared" si="426"/>
        <v>#DIV/0!</v>
      </c>
      <c r="BH423" s="29" t="str">
        <f t="shared" si="426"/>
        <v>#DIV/0!</v>
      </c>
      <c r="BI423" s="29" t="str">
        <f t="shared" si="426"/>
        <v>#DIV/0!</v>
      </c>
      <c r="BJ423" s="29" t="str">
        <f t="shared" si="426"/>
        <v>#DIV/0!</v>
      </c>
      <c r="BK423" s="29" t="str">
        <f t="shared" si="426"/>
        <v>#DIV/0!</v>
      </c>
      <c r="BL423" s="29" t="str">
        <f t="shared" si="426"/>
        <v>#DIV/0!</v>
      </c>
      <c r="BM423" s="29" t="str">
        <f t="shared" si="3"/>
        <v>#DIV/0!</v>
      </c>
    </row>
    <row r="424">
      <c r="A424" s="16" t="str">
        <f>IFERROR(__xludf.DUMMYFUNCTION("IFERROR(SPARKLINE(SORT(MAP(TRANSPOSE(AQ424:BL424), LAMBDA(val, IF(ISNUMBER(val), PERCENTRANK(AQ424:BL424, val)+0.01, 0))), SEQUENCE(COLUMNS(AQ424:BL424)), FALSE), {""charttype"",""column""; ""color"",""chartreuse""; ""ymin"", 0; ""ymax"", 1.01; ""highcolo"&amp;"r"", ""darkgreen""; ""lowcolor"", ""red""}), """")"),"")</f>
        <v/>
      </c>
      <c r="B424" s="17" t="str">
        <f t="shared" si="4"/>
        <v/>
      </c>
      <c r="C424" s="1" t="s">
        <v>1803</v>
      </c>
      <c r="D424" s="30" t="str">
        <f>IFERROR(__xludf.DUMMYFUNCTION("IFERROR(GOOGLEFINANCE(C424, ""NAME""))"),"Nlight Inc")</f>
        <v>Nlight Inc</v>
      </c>
      <c r="E424" s="30" t="s">
        <v>871</v>
      </c>
      <c r="F424" s="33" t="str">
        <f>IFERROR(__xludf.DUMMYFUNCTION("( (GOOGLEFINANCE(C424, ""price"") - Q424) / Q424 ) / (R424 / 100)"),"Loading...")</f>
        <v>Loading...</v>
      </c>
      <c r="G424" s="20" t="str">
        <f>IFERROR(__xludf.DUMMYFUNCTION("AVERAGE(ARRAYFORMULA(100 * (QUERY(GOOGLEFINANCE(C424, ""high"", TODAY()-40, TODAY()), ""SELECT Col2 WHERE Col2 IS NOT NULL ORDER BY Col1 DESC LIMIT 20"", 0) / QUERY(GOOGLEFINANCE(C424, ""low"", TODAY()-40, TODAY()), ""SELECT Col2 WHERE Col2 IS NOT NULL OR"&amp;"DER BY Col1 DESC LIMIT 20"", 0) - 1)))"),"#N/A")</f>
        <v>#N/A</v>
      </c>
      <c r="H424" s="35" t="str">
        <f t="shared" si="6"/>
        <v/>
      </c>
      <c r="I424" s="36" t="str">
        <f t="shared" si="7"/>
        <v/>
      </c>
      <c r="J424" s="37" t="str">
        <f>IFERROR(__xludf.DUMMYFUNCTION("IFERROR(
  IF(C424="""",, 
    IFERROR(
      GOOGLEFINANCE(C424, ""price"") * GOOGLEFINANCE(C424, ""volumeavg""), 
      GOOGLEFINANCE(C424, ""price"") * AVERAGE(QUERY(GOOGLEFINANCE(C424, ""volume"", TODAY()-40, TODAY()), ""SELECT Col2 WHERE Col2 IS NOT "&amp;"NULL ORDER BY Col1 DESC LIMIT 20"", 0))
    )
  ), 
"""")"),"")</f>
        <v/>
      </c>
      <c r="K424" s="21" t="str">
        <f>IFERROR(__xludf.DUMMYFUNCTION("IFERROR(GOOGLEFINANCE(C424, ""changepct"") / 100, """")"),"")</f>
        <v/>
      </c>
      <c r="L424" s="21" t="str">
        <f>IFERROR(__xludf.DUMMYFUNCTION("IFERROR((GOOGLEFINANCE(C424, ""price"") / INDEX(GOOGLEFINANCE(C424, ""price"", TODAY()-7, TODAY()), 2, 2)) - 1, """")"),"")</f>
        <v/>
      </c>
      <c r="M424" s="21" t="str">
        <f>IFERROR(__xludf.DUMMYFUNCTION("IFERROR((GOOGLEFINANCE(C424, ""price"") / INDEX(GOOGLEFINANCE(C424, ""price"", EDATE(TODAY(), -1), TODAY()), 2, 2)) - 1, """")"),"")</f>
        <v/>
      </c>
      <c r="N424" s="21" t="str">
        <f>IFERROR(__xludf.DUMMYFUNCTION("IFERROR((GOOGLEFINANCE(C424, ""price"") / INDEX(GOOGLEFINANCE(C424, ""price"", EDATE(TODAY(), -3), TODAY()), 2, 2)) - 1, """")"),"")</f>
        <v/>
      </c>
      <c r="O424" s="21" t="str">
        <f>IFERROR(__xludf.DUMMYFUNCTION("IFERROR((GOOGLEFINANCE(C424, ""price"") / INDEX(GOOGLEFINANCE(C424, ""price"", EDATE(TODAY(), -6), TODAY()), 2, 2)) - 1, """")"),"")</f>
        <v/>
      </c>
      <c r="P424" s="21" t="str">
        <f>IFERROR(__xludf.DUMMYFUNCTION("IFERROR((GOOGLEFINANCE(C424, ""price"") / INDEX(GOOGLEFINANCE(C424, ""price"", EDATE(TODAY(), -12), TODAY()), 2, 2)) - 1, """")"),"")</f>
        <v/>
      </c>
      <c r="Q424" s="6" t="str">
        <f>IFERROR(__xludf.DUMMYFUNCTION("AVERAGE(QUERY(GOOGLEFINANCE(C424, ""price"", TODAY()-80, TODAY()), ""SELECT Col2 WHERE Col2 IS NOT NULL ORDER BY Col1 DESC LIMIT 50"", 0))"),"#N/A")</f>
        <v>#N/A</v>
      </c>
      <c r="R424" s="24" t="str">
        <f>IFERROR(__xludf.DUMMYFUNCTION("IFERROR(
  LET(
    data, QUERY(GOOGLEFINANCE(C424,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GOOGLEFINANCE(C424, ""price"")) * 100,
    IF(calc=0, G424, calc)
  ), 
G424)"),"#N/A")</f>
        <v>#N/A</v>
      </c>
      <c r="S424" s="8" t="s">
        <v>15</v>
      </c>
      <c r="T424" s="26" t="str">
        <f>IFERROR(__xludf.DUMMYFUNCTION("IFERROR(TRANSPOSE(QUERY(IFERROR(SORT(GOOGLEFINANCE(C424, ""price"", WORKDAY(TODAY(), -40), TODAY()), 1, FALSE)), ""select Col2 where Col2 is not null limit 22 label Col2 ''"", 0)), """")"),"")</f>
        <v/>
      </c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8"/>
      <c r="AO424" s="28"/>
      <c r="AP424" s="29"/>
      <c r="AQ424" s="29" t="str">
        <f t="shared" ref="AQ424:BL424" si="427">T424/T$2</f>
        <v>#N/A</v>
      </c>
      <c r="AR424" s="29" t="str">
        <f t="shared" si="427"/>
        <v>#DIV/0!</v>
      </c>
      <c r="AS424" s="29" t="str">
        <f t="shared" si="427"/>
        <v>#DIV/0!</v>
      </c>
      <c r="AT424" s="29" t="str">
        <f t="shared" si="427"/>
        <v>#DIV/0!</v>
      </c>
      <c r="AU424" s="29" t="str">
        <f t="shared" si="427"/>
        <v>#DIV/0!</v>
      </c>
      <c r="AV424" s="29" t="str">
        <f t="shared" si="427"/>
        <v>#DIV/0!</v>
      </c>
      <c r="AW424" s="29" t="str">
        <f t="shared" si="427"/>
        <v>#DIV/0!</v>
      </c>
      <c r="AX424" s="29" t="str">
        <f t="shared" si="427"/>
        <v>#DIV/0!</v>
      </c>
      <c r="AY424" s="29" t="str">
        <f t="shared" si="427"/>
        <v>#DIV/0!</v>
      </c>
      <c r="AZ424" s="29" t="str">
        <f t="shared" si="427"/>
        <v>#DIV/0!</v>
      </c>
      <c r="BA424" s="29" t="str">
        <f t="shared" si="427"/>
        <v>#DIV/0!</v>
      </c>
      <c r="BB424" s="29" t="str">
        <f t="shared" si="427"/>
        <v>#DIV/0!</v>
      </c>
      <c r="BC424" s="29" t="str">
        <f t="shared" si="427"/>
        <v>#DIV/0!</v>
      </c>
      <c r="BD424" s="29" t="str">
        <f t="shared" si="427"/>
        <v>#DIV/0!</v>
      </c>
      <c r="BE424" s="29" t="str">
        <f t="shared" si="427"/>
        <v>#DIV/0!</v>
      </c>
      <c r="BF424" s="29" t="str">
        <f t="shared" si="427"/>
        <v>#DIV/0!</v>
      </c>
      <c r="BG424" s="29" t="str">
        <f t="shared" si="427"/>
        <v>#DIV/0!</v>
      </c>
      <c r="BH424" s="29" t="str">
        <f t="shared" si="427"/>
        <v>#DIV/0!</v>
      </c>
      <c r="BI424" s="29" t="str">
        <f t="shared" si="427"/>
        <v>#DIV/0!</v>
      </c>
      <c r="BJ424" s="29" t="str">
        <f t="shared" si="427"/>
        <v>#DIV/0!</v>
      </c>
      <c r="BK424" s="29" t="str">
        <f t="shared" si="427"/>
        <v>#DIV/0!</v>
      </c>
      <c r="BL424" s="29" t="str">
        <f t="shared" si="427"/>
        <v>#DIV/0!</v>
      </c>
      <c r="BM424" s="29" t="str">
        <f t="shared" si="3"/>
        <v>#DIV/0!</v>
      </c>
    </row>
    <row r="425">
      <c r="A425" s="16" t="str">
        <f>IFERROR(__xludf.DUMMYFUNCTION("IFERROR(SPARKLINE(SORT(MAP(TRANSPOSE(AQ425:BL425), LAMBDA(val, IF(ISNUMBER(val), PERCENTRANK(AQ425:BL425, val)+0.01, 0))), SEQUENCE(COLUMNS(AQ425:BL425)), FALSE), {""charttype"",""column""; ""color"",""chartreuse""; ""ymin"", 0; ""ymax"", 1.01; ""highcolo"&amp;"r"", ""darkgreen""; ""lowcolor"", ""red""}), """")"),"")</f>
        <v/>
      </c>
      <c r="B425" s="17" t="str">
        <f t="shared" si="4"/>
        <v/>
      </c>
      <c r="C425" s="1" t="s">
        <v>1807</v>
      </c>
      <c r="D425" s="30" t="str">
        <f>IFERROR(__xludf.DUMMYFUNCTION("IFERROR(GOOGLEFINANCE(C425, ""NAME""))"),"Everspin Technologies Inc")</f>
        <v>Everspin Technologies Inc</v>
      </c>
      <c r="E425" s="30" t="s">
        <v>871</v>
      </c>
      <c r="F425" s="33" t="str">
        <f>IFERROR(__xludf.DUMMYFUNCTION("( (GOOGLEFINANCE(C425, ""price"") - Q425) / Q425 ) / (R425 / 100)"),"Loading...")</f>
        <v>Loading...</v>
      </c>
      <c r="G425" s="20" t="str">
        <f>IFERROR(__xludf.DUMMYFUNCTION("AVERAGE(ARRAYFORMULA(100 * (QUERY(GOOGLEFINANCE(C425, ""high"", TODAY()-40, TODAY()), ""SELECT Col2 WHERE Col2 IS NOT NULL ORDER BY Col1 DESC LIMIT 20"", 0) / QUERY(GOOGLEFINANCE(C425, ""low"", TODAY()-40, TODAY()), ""SELECT Col2 WHERE Col2 IS NOT NULL OR"&amp;"DER BY Col1 DESC LIMIT 20"", 0) - 1)))"),"#N/A")</f>
        <v>#N/A</v>
      </c>
      <c r="H425" s="35" t="str">
        <f t="shared" si="6"/>
        <v/>
      </c>
      <c r="I425" s="36" t="str">
        <f t="shared" si="7"/>
        <v/>
      </c>
      <c r="J425" s="37" t="str">
        <f>IFERROR(__xludf.DUMMYFUNCTION("IFERROR(
  IF(C425="""",, 
    IFERROR(
      GOOGLEFINANCE(C425, ""price"") * GOOGLEFINANCE(C425, ""volumeavg""), 
      GOOGLEFINANCE(C425, ""price"") * AVERAGE(QUERY(GOOGLEFINANCE(C425, ""volume"", TODAY()-40, TODAY()), ""SELECT Col2 WHERE Col2 IS NOT "&amp;"NULL ORDER BY Col1 DESC LIMIT 20"", 0))
    )
  ), 
"""")"),"")</f>
        <v/>
      </c>
      <c r="K425" s="21" t="str">
        <f>IFERROR(__xludf.DUMMYFUNCTION("IFERROR(GOOGLEFINANCE(C425, ""changepct"") / 100, """")"),"")</f>
        <v/>
      </c>
      <c r="L425" s="21" t="str">
        <f>IFERROR(__xludf.DUMMYFUNCTION("IFERROR((GOOGLEFINANCE(C425, ""price"") / INDEX(GOOGLEFINANCE(C425, ""price"", TODAY()-7, TODAY()), 2, 2)) - 1, """")"),"")</f>
        <v/>
      </c>
      <c r="M425" s="21" t="str">
        <f>IFERROR(__xludf.DUMMYFUNCTION("IFERROR((GOOGLEFINANCE(C425, ""price"") / INDEX(GOOGLEFINANCE(C425, ""price"", EDATE(TODAY(), -1), TODAY()), 2, 2)) - 1, """")"),"")</f>
        <v/>
      </c>
      <c r="N425" s="21" t="str">
        <f>IFERROR(__xludf.DUMMYFUNCTION("IFERROR((GOOGLEFINANCE(C425, ""price"") / INDEX(GOOGLEFINANCE(C425, ""price"", EDATE(TODAY(), -3), TODAY()), 2, 2)) - 1, """")"),"")</f>
        <v/>
      </c>
      <c r="O425" s="21" t="str">
        <f>IFERROR(__xludf.DUMMYFUNCTION("IFERROR((GOOGLEFINANCE(C425, ""price"") / INDEX(GOOGLEFINANCE(C425, ""price"", EDATE(TODAY(), -6), TODAY()), 2, 2)) - 1, """")"),"")</f>
        <v/>
      </c>
      <c r="P425" s="21" t="str">
        <f>IFERROR(__xludf.DUMMYFUNCTION("IFERROR((GOOGLEFINANCE(C425, ""price"") / INDEX(GOOGLEFINANCE(C425, ""price"", EDATE(TODAY(), -12), TODAY()), 2, 2)) - 1, """")"),"")</f>
        <v/>
      </c>
      <c r="Q425" s="6" t="str">
        <f>IFERROR(__xludf.DUMMYFUNCTION("AVERAGE(QUERY(GOOGLEFINANCE(C425, ""price"", TODAY()-80, TODAY()), ""SELECT Col2 WHERE Col2 IS NOT NULL ORDER BY Col1 DESC LIMIT 50"", 0))"),"#N/A")</f>
        <v>#N/A</v>
      </c>
      <c r="R425" s="24" t="str">
        <f>IFERROR(__xludf.DUMMYFUNCTION("IFERROR(
  LET(
    data, QUERY(GOOGLEFINANCE(C425,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GOOGLEFINANCE(C425, ""price"")) * 100,
    IF(calc=0, G425, calc)
  ), 
G425)"),"#N/A")</f>
        <v>#N/A</v>
      </c>
      <c r="S425" s="8" t="s">
        <v>15</v>
      </c>
      <c r="T425" s="26" t="str">
        <f>IFERROR(__xludf.DUMMYFUNCTION("IFERROR(TRANSPOSE(QUERY(IFERROR(SORT(GOOGLEFINANCE(C425, ""price"", WORKDAY(TODAY(), -40), TODAY()), 1, FALSE)), ""select Col2 where Col2 is not null limit 22 label Col2 ''"", 0)), """")"),"")</f>
        <v/>
      </c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8"/>
      <c r="AO425" s="28"/>
      <c r="AP425" s="29"/>
      <c r="AQ425" s="29" t="str">
        <f t="shared" ref="AQ425:BL425" si="428">T425/T$2</f>
        <v>#N/A</v>
      </c>
      <c r="AR425" s="29" t="str">
        <f t="shared" si="428"/>
        <v>#DIV/0!</v>
      </c>
      <c r="AS425" s="29" t="str">
        <f t="shared" si="428"/>
        <v>#DIV/0!</v>
      </c>
      <c r="AT425" s="29" t="str">
        <f t="shared" si="428"/>
        <v>#DIV/0!</v>
      </c>
      <c r="AU425" s="29" t="str">
        <f t="shared" si="428"/>
        <v>#DIV/0!</v>
      </c>
      <c r="AV425" s="29" t="str">
        <f t="shared" si="428"/>
        <v>#DIV/0!</v>
      </c>
      <c r="AW425" s="29" t="str">
        <f t="shared" si="428"/>
        <v>#DIV/0!</v>
      </c>
      <c r="AX425" s="29" t="str">
        <f t="shared" si="428"/>
        <v>#DIV/0!</v>
      </c>
      <c r="AY425" s="29" t="str">
        <f t="shared" si="428"/>
        <v>#DIV/0!</v>
      </c>
      <c r="AZ425" s="29" t="str">
        <f t="shared" si="428"/>
        <v>#DIV/0!</v>
      </c>
      <c r="BA425" s="29" t="str">
        <f t="shared" si="428"/>
        <v>#DIV/0!</v>
      </c>
      <c r="BB425" s="29" t="str">
        <f t="shared" si="428"/>
        <v>#DIV/0!</v>
      </c>
      <c r="BC425" s="29" t="str">
        <f t="shared" si="428"/>
        <v>#DIV/0!</v>
      </c>
      <c r="BD425" s="29" t="str">
        <f t="shared" si="428"/>
        <v>#DIV/0!</v>
      </c>
      <c r="BE425" s="29" t="str">
        <f t="shared" si="428"/>
        <v>#DIV/0!</v>
      </c>
      <c r="BF425" s="29" t="str">
        <f t="shared" si="428"/>
        <v>#DIV/0!</v>
      </c>
      <c r="BG425" s="29" t="str">
        <f t="shared" si="428"/>
        <v>#DIV/0!</v>
      </c>
      <c r="BH425" s="29" t="str">
        <f t="shared" si="428"/>
        <v>#DIV/0!</v>
      </c>
      <c r="BI425" s="29" t="str">
        <f t="shared" si="428"/>
        <v>#DIV/0!</v>
      </c>
      <c r="BJ425" s="29" t="str">
        <f t="shared" si="428"/>
        <v>#DIV/0!</v>
      </c>
      <c r="BK425" s="29" t="str">
        <f t="shared" si="428"/>
        <v>#DIV/0!</v>
      </c>
      <c r="BL425" s="29" t="str">
        <f t="shared" si="428"/>
        <v>#DIV/0!</v>
      </c>
      <c r="BM425" s="29" t="str">
        <f t="shared" si="3"/>
        <v>#DIV/0!</v>
      </c>
    </row>
    <row r="426">
      <c r="A426" s="16" t="str">
        <f>IFERROR(__xludf.DUMMYFUNCTION("IFERROR(SPARKLINE(SORT(MAP(TRANSPOSE(AQ426:BL426), LAMBDA(val, IF(ISNUMBER(val), PERCENTRANK(AQ426:BL426, val)+0.01, 0))), SEQUENCE(COLUMNS(AQ426:BL426)), FALSE), {""charttype"",""column""; ""color"",""chartreuse""; ""ymin"", 0; ""ymax"", 1.01; ""highcolo"&amp;"r"", ""darkgreen""; ""lowcolor"", ""red""}), """")"),"")</f>
        <v/>
      </c>
      <c r="B426" s="17" t="str">
        <f t="shared" si="4"/>
        <v/>
      </c>
      <c r="C426" s="1" t="s">
        <v>1811</v>
      </c>
      <c r="D426" s="30" t="str">
        <f>IFERROR(__xludf.DUMMYFUNCTION("IFERROR(GOOGLEFINANCE(C426, ""NAME""))"),"Applied Digital Corp")</f>
        <v>Applied Digital Corp</v>
      </c>
      <c r="E426" s="30" t="s">
        <v>102</v>
      </c>
      <c r="F426" s="33" t="str">
        <f>IFERROR(__xludf.DUMMYFUNCTION("( (GOOGLEFINANCE(C426, ""price"") - Q426) / Q426 ) / (R426 / 100)"),"Loading...")</f>
        <v>Loading...</v>
      </c>
      <c r="G426" s="20" t="str">
        <f>IFERROR(__xludf.DUMMYFUNCTION("AVERAGE(ARRAYFORMULA(100 * (QUERY(GOOGLEFINANCE(C426, ""high"", TODAY()-40, TODAY()), ""SELECT Col2 WHERE Col2 IS NOT NULL ORDER BY Col1 DESC LIMIT 20"", 0) / QUERY(GOOGLEFINANCE(C426, ""low"", TODAY()-40, TODAY()), ""SELECT Col2 WHERE Col2 IS NOT NULL OR"&amp;"DER BY Col1 DESC LIMIT 20"", 0) - 1)))"),"#N/A")</f>
        <v>#N/A</v>
      </c>
      <c r="H426" s="35" t="str">
        <f t="shared" si="6"/>
        <v/>
      </c>
      <c r="I426" s="36" t="str">
        <f t="shared" si="7"/>
        <v/>
      </c>
      <c r="J426" s="37" t="str">
        <f>IFERROR(__xludf.DUMMYFUNCTION("IFERROR(
  IF(C426="""",, 
    IFERROR(
      GOOGLEFINANCE(C426, ""price"") * GOOGLEFINANCE(C426, ""volumeavg""), 
      GOOGLEFINANCE(C426, ""price"") * AVERAGE(QUERY(GOOGLEFINANCE(C426, ""volume"", TODAY()-40, TODAY()), ""SELECT Col2 WHERE Col2 IS NOT "&amp;"NULL ORDER BY Col1 DESC LIMIT 20"", 0))
    )
  ), 
"""")"),"")</f>
        <v/>
      </c>
      <c r="K426" s="21" t="str">
        <f>IFERROR(__xludf.DUMMYFUNCTION("IFERROR(GOOGLEFINANCE(C426, ""changepct"") / 100, """")"),"")</f>
        <v/>
      </c>
      <c r="L426" s="21" t="str">
        <f>IFERROR(__xludf.DUMMYFUNCTION("IFERROR((GOOGLEFINANCE(C426, ""price"") / INDEX(GOOGLEFINANCE(C426, ""price"", TODAY()-7, TODAY()), 2, 2)) - 1, """")"),"")</f>
        <v/>
      </c>
      <c r="M426" s="21" t="str">
        <f>IFERROR(__xludf.DUMMYFUNCTION("IFERROR((GOOGLEFINANCE(C426, ""price"") / INDEX(GOOGLEFINANCE(C426, ""price"", EDATE(TODAY(), -1), TODAY()), 2, 2)) - 1, """")"),"")</f>
        <v/>
      </c>
      <c r="N426" s="21" t="str">
        <f>IFERROR(__xludf.DUMMYFUNCTION("IFERROR((GOOGLEFINANCE(C426, ""price"") / INDEX(GOOGLEFINANCE(C426, ""price"", EDATE(TODAY(), -3), TODAY()), 2, 2)) - 1, """")"),"")</f>
        <v/>
      </c>
      <c r="O426" s="21" t="str">
        <f>IFERROR(__xludf.DUMMYFUNCTION("IFERROR((GOOGLEFINANCE(C426, ""price"") / INDEX(GOOGLEFINANCE(C426, ""price"", EDATE(TODAY(), -6), TODAY()), 2, 2)) - 1, """")"),"")</f>
        <v/>
      </c>
      <c r="P426" s="21" t="str">
        <f>IFERROR(__xludf.DUMMYFUNCTION("IFERROR((GOOGLEFINANCE(C426, ""price"") / INDEX(GOOGLEFINANCE(C426, ""price"", EDATE(TODAY(), -12), TODAY()), 2, 2)) - 1, """")"),"")</f>
        <v/>
      </c>
      <c r="Q426" s="6" t="str">
        <f>IFERROR(__xludf.DUMMYFUNCTION("AVERAGE(QUERY(GOOGLEFINANCE(C426, ""price"", TODAY()-80, TODAY()), ""SELECT Col2 WHERE Col2 IS NOT NULL ORDER BY Col1 DESC LIMIT 50"", 0))"),"#N/A")</f>
        <v>#N/A</v>
      </c>
      <c r="R426" s="24" t="str">
        <f>IFERROR(__xludf.DUMMYFUNCTION("IFERROR(
  LET(
    data, QUERY(GOOGLEFINANCE(C426,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GOOGLEFINANCE(C426, ""price"")) * 100,
    IF(calc=0, G426, calc)
  ), 
G426)"),"#N/A")</f>
        <v>#N/A</v>
      </c>
      <c r="S426" s="8" t="s">
        <v>15</v>
      </c>
      <c r="T426" s="26" t="str">
        <f>IFERROR(__xludf.DUMMYFUNCTION("IFERROR(TRANSPOSE(QUERY(IFERROR(SORT(GOOGLEFINANCE(C426, ""price"", WORKDAY(TODAY(), -40), TODAY()), 1, FALSE)), ""select Col2 where Col2 is not null limit 22 label Col2 ''"", 0)), """")"),"")</f>
        <v/>
      </c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8"/>
      <c r="AO426" s="28"/>
      <c r="AP426" s="29"/>
      <c r="AQ426" s="29" t="str">
        <f t="shared" ref="AQ426:BL426" si="429">T426/T$2</f>
        <v>#N/A</v>
      </c>
      <c r="AR426" s="29" t="str">
        <f t="shared" si="429"/>
        <v>#DIV/0!</v>
      </c>
      <c r="AS426" s="29" t="str">
        <f t="shared" si="429"/>
        <v>#DIV/0!</v>
      </c>
      <c r="AT426" s="29" t="str">
        <f t="shared" si="429"/>
        <v>#DIV/0!</v>
      </c>
      <c r="AU426" s="29" t="str">
        <f t="shared" si="429"/>
        <v>#DIV/0!</v>
      </c>
      <c r="AV426" s="29" t="str">
        <f t="shared" si="429"/>
        <v>#DIV/0!</v>
      </c>
      <c r="AW426" s="29" t="str">
        <f t="shared" si="429"/>
        <v>#DIV/0!</v>
      </c>
      <c r="AX426" s="29" t="str">
        <f t="shared" si="429"/>
        <v>#DIV/0!</v>
      </c>
      <c r="AY426" s="29" t="str">
        <f t="shared" si="429"/>
        <v>#DIV/0!</v>
      </c>
      <c r="AZ426" s="29" t="str">
        <f t="shared" si="429"/>
        <v>#DIV/0!</v>
      </c>
      <c r="BA426" s="29" t="str">
        <f t="shared" si="429"/>
        <v>#DIV/0!</v>
      </c>
      <c r="BB426" s="29" t="str">
        <f t="shared" si="429"/>
        <v>#DIV/0!</v>
      </c>
      <c r="BC426" s="29" t="str">
        <f t="shared" si="429"/>
        <v>#DIV/0!</v>
      </c>
      <c r="BD426" s="29" t="str">
        <f t="shared" si="429"/>
        <v>#DIV/0!</v>
      </c>
      <c r="BE426" s="29" t="str">
        <f t="shared" si="429"/>
        <v>#DIV/0!</v>
      </c>
      <c r="BF426" s="29" t="str">
        <f t="shared" si="429"/>
        <v>#DIV/0!</v>
      </c>
      <c r="BG426" s="29" t="str">
        <f t="shared" si="429"/>
        <v>#DIV/0!</v>
      </c>
      <c r="BH426" s="29" t="str">
        <f t="shared" si="429"/>
        <v>#DIV/0!</v>
      </c>
      <c r="BI426" s="29" t="str">
        <f t="shared" si="429"/>
        <v>#DIV/0!</v>
      </c>
      <c r="BJ426" s="29" t="str">
        <f t="shared" si="429"/>
        <v>#DIV/0!</v>
      </c>
      <c r="BK426" s="29" t="str">
        <f t="shared" si="429"/>
        <v>#DIV/0!</v>
      </c>
      <c r="BL426" s="29" t="str">
        <f t="shared" si="429"/>
        <v>#DIV/0!</v>
      </c>
      <c r="BM426" s="29" t="str">
        <f t="shared" si="3"/>
        <v>#DIV/0!</v>
      </c>
    </row>
    <row r="427">
      <c r="A427" s="16" t="str">
        <f>IFERROR(__xludf.DUMMYFUNCTION("IFERROR(SPARKLINE(SORT(MAP(TRANSPOSE(AQ427:BL427), LAMBDA(val, IF(ISNUMBER(val), PERCENTRANK(AQ427:BL427, val)+0.01, 0))), SEQUENCE(COLUMNS(AQ427:BL427)), FALSE), {""charttype"",""column""; ""color"",""chartreuse""; ""ymin"", 0; ""ymax"", 1.01; ""highcolo"&amp;"r"", ""darkgreen""; ""lowcolor"", ""red""}), """")"),"")</f>
        <v/>
      </c>
      <c r="B427" s="17" t="str">
        <f t="shared" si="4"/>
        <v/>
      </c>
      <c r="C427" s="1" t="s">
        <v>1815</v>
      </c>
      <c r="D427" s="30" t="str">
        <f>IFERROR(__xludf.DUMMYFUNCTION("IFERROR(GOOGLEFINANCE(C427, ""NAME""))"),"Vicor Corp")</f>
        <v>Vicor Corp</v>
      </c>
      <c r="E427" s="30" t="s">
        <v>469</v>
      </c>
      <c r="F427" s="38" t="str">
        <f>IFERROR(__xludf.DUMMYFUNCTION("( (GOOGLEFINANCE(C427, ""price"") - Q427) / Q427 ) / (R427 / 100)"),"Loading...")</f>
        <v>Loading...</v>
      </c>
      <c r="G427" s="20" t="str">
        <f>IFERROR(__xludf.DUMMYFUNCTION("AVERAGE(ARRAYFORMULA(100 * (QUERY(GOOGLEFINANCE(C427, ""high"", TODAY()-40, TODAY()), ""SELECT Col2 WHERE Col2 IS NOT NULL ORDER BY Col1 DESC LIMIT 20"", 0) / QUERY(GOOGLEFINANCE(C427, ""low"", TODAY()-40, TODAY()), ""SELECT Col2 WHERE Col2 IS NOT NULL OR"&amp;"DER BY Col1 DESC LIMIT 20"", 0) - 1)))"),"#N/A")</f>
        <v>#N/A</v>
      </c>
      <c r="H427" s="35" t="str">
        <f t="shared" si="6"/>
        <v/>
      </c>
      <c r="I427" s="36" t="str">
        <f t="shared" si="7"/>
        <v/>
      </c>
      <c r="J427" s="37" t="str">
        <f>IFERROR(__xludf.DUMMYFUNCTION("IFERROR(
  IF(C427="""",, 
    IFERROR(
      GOOGLEFINANCE(C427, ""price"") * GOOGLEFINANCE(C427, ""volumeavg""), 
      GOOGLEFINANCE(C427, ""price"") * AVERAGE(QUERY(GOOGLEFINANCE(C427, ""volume"", TODAY()-40, TODAY()), ""SELECT Col2 WHERE Col2 IS NOT "&amp;"NULL ORDER BY Col1 DESC LIMIT 20"", 0))
    )
  ), 
"""")"),"")</f>
        <v/>
      </c>
      <c r="K427" s="21" t="str">
        <f>IFERROR(__xludf.DUMMYFUNCTION("IFERROR(GOOGLEFINANCE(C427, ""changepct"") / 100, """")"),"")</f>
        <v/>
      </c>
      <c r="L427" s="21" t="str">
        <f>IFERROR(__xludf.DUMMYFUNCTION("IFERROR((GOOGLEFINANCE(C427, ""price"") / INDEX(GOOGLEFINANCE(C427, ""price"", TODAY()-7, TODAY()), 2, 2)) - 1, """")"),"")</f>
        <v/>
      </c>
      <c r="M427" s="21" t="str">
        <f>IFERROR(__xludf.DUMMYFUNCTION("IFERROR((GOOGLEFINANCE(C427, ""price"") / INDEX(GOOGLEFINANCE(C427, ""price"", EDATE(TODAY(), -1), TODAY()), 2, 2)) - 1, """")"),"")</f>
        <v/>
      </c>
      <c r="N427" s="21" t="str">
        <f>IFERROR(__xludf.DUMMYFUNCTION("IFERROR((GOOGLEFINANCE(C427, ""price"") / INDEX(GOOGLEFINANCE(C427, ""price"", EDATE(TODAY(), -3), TODAY()), 2, 2)) - 1, """")"),"")</f>
        <v/>
      </c>
      <c r="O427" s="21" t="str">
        <f>IFERROR(__xludf.DUMMYFUNCTION("IFERROR((GOOGLEFINANCE(C427, ""price"") / INDEX(GOOGLEFINANCE(C427, ""price"", EDATE(TODAY(), -6), TODAY()), 2, 2)) - 1, """")"),"")</f>
        <v/>
      </c>
      <c r="P427" s="21" t="str">
        <f>IFERROR(__xludf.DUMMYFUNCTION("IFERROR((GOOGLEFINANCE(C427, ""price"") / INDEX(GOOGLEFINANCE(C427, ""price"", EDATE(TODAY(), -12), TODAY()), 2, 2)) - 1, """")"),"")</f>
        <v/>
      </c>
      <c r="Q427" s="6" t="str">
        <f>IFERROR(__xludf.DUMMYFUNCTION("AVERAGE(QUERY(GOOGLEFINANCE(C427, ""price"", TODAY()-80, TODAY()), ""SELECT Col2 WHERE Col2 IS NOT NULL ORDER BY Col1 DESC LIMIT 50"", 0))"),"#N/A")</f>
        <v>#N/A</v>
      </c>
      <c r="R427" s="24" t="str">
        <f>IFERROR(__xludf.DUMMYFUNCTION("IFERROR(
  LET(
    data, QUERY(GOOGLEFINANCE(C427,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GOOGLEFINANCE(C427, ""price"")) * 100,
    IF(calc=0, G427, calc)
  ), 
G427)"),"#N/A")</f>
        <v>#N/A</v>
      </c>
      <c r="S427" s="8" t="s">
        <v>15</v>
      </c>
      <c r="T427" s="26" t="str">
        <f>IFERROR(__xludf.DUMMYFUNCTION("IFERROR(TRANSPOSE(QUERY(IFERROR(SORT(GOOGLEFINANCE(C427, ""price"", WORKDAY(TODAY(), -40), TODAY()), 1, FALSE)), ""select Col2 where Col2 is not null limit 22 label Col2 ''"", 0)), """")"),"")</f>
        <v/>
      </c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8"/>
      <c r="AO427" s="28"/>
      <c r="AP427" s="29"/>
      <c r="AQ427" s="29" t="str">
        <f t="shared" ref="AQ427:BL427" si="430">T427/T$2</f>
        <v>#N/A</v>
      </c>
      <c r="AR427" s="29" t="str">
        <f t="shared" si="430"/>
        <v>#DIV/0!</v>
      </c>
      <c r="AS427" s="29" t="str">
        <f t="shared" si="430"/>
        <v>#DIV/0!</v>
      </c>
      <c r="AT427" s="29" t="str">
        <f t="shared" si="430"/>
        <v>#DIV/0!</v>
      </c>
      <c r="AU427" s="29" t="str">
        <f t="shared" si="430"/>
        <v>#DIV/0!</v>
      </c>
      <c r="AV427" s="29" t="str">
        <f t="shared" si="430"/>
        <v>#DIV/0!</v>
      </c>
      <c r="AW427" s="29" t="str">
        <f t="shared" si="430"/>
        <v>#DIV/0!</v>
      </c>
      <c r="AX427" s="29" t="str">
        <f t="shared" si="430"/>
        <v>#DIV/0!</v>
      </c>
      <c r="AY427" s="29" t="str">
        <f t="shared" si="430"/>
        <v>#DIV/0!</v>
      </c>
      <c r="AZ427" s="29" t="str">
        <f t="shared" si="430"/>
        <v>#DIV/0!</v>
      </c>
      <c r="BA427" s="29" t="str">
        <f t="shared" si="430"/>
        <v>#DIV/0!</v>
      </c>
      <c r="BB427" s="29" t="str">
        <f t="shared" si="430"/>
        <v>#DIV/0!</v>
      </c>
      <c r="BC427" s="29" t="str">
        <f t="shared" si="430"/>
        <v>#DIV/0!</v>
      </c>
      <c r="BD427" s="29" t="str">
        <f t="shared" si="430"/>
        <v>#DIV/0!</v>
      </c>
      <c r="BE427" s="29" t="str">
        <f t="shared" si="430"/>
        <v>#DIV/0!</v>
      </c>
      <c r="BF427" s="29" t="str">
        <f t="shared" si="430"/>
        <v>#DIV/0!</v>
      </c>
      <c r="BG427" s="29" t="str">
        <f t="shared" si="430"/>
        <v>#DIV/0!</v>
      </c>
      <c r="BH427" s="29" t="str">
        <f t="shared" si="430"/>
        <v>#DIV/0!</v>
      </c>
      <c r="BI427" s="29" t="str">
        <f t="shared" si="430"/>
        <v>#DIV/0!</v>
      </c>
      <c r="BJ427" s="29" t="str">
        <f t="shared" si="430"/>
        <v>#DIV/0!</v>
      </c>
      <c r="BK427" s="29" t="str">
        <f t="shared" si="430"/>
        <v>#DIV/0!</v>
      </c>
      <c r="BL427" s="29" t="str">
        <f t="shared" si="430"/>
        <v>#DIV/0!</v>
      </c>
      <c r="BM427" s="29" t="str">
        <f t="shared" si="3"/>
        <v>#DIV/0!</v>
      </c>
    </row>
    <row r="428">
      <c r="A428" s="16" t="str">
        <f>IFERROR(__xludf.DUMMYFUNCTION("IFERROR(SPARKLINE(SORT(MAP(TRANSPOSE(AQ428:BL428), LAMBDA(val, IF(ISNUMBER(val), PERCENTRANK(AQ428:BL428, val)+0.01, 0))), SEQUENCE(COLUMNS(AQ428:BL428)), FALSE), {""charttype"",""column""; ""color"",""chartreuse""; ""ymin"", 0; ""ymax"", 1.01; ""highcolo"&amp;"r"", ""darkgreen""; ""lowcolor"", ""red""}), """")"),"")</f>
        <v/>
      </c>
      <c r="B428" s="17" t="str">
        <f t="shared" si="4"/>
        <v/>
      </c>
      <c r="C428" s="1" t="s">
        <v>1820</v>
      </c>
      <c r="D428" s="30" t="str">
        <f>IFERROR(__xludf.DUMMYFUNCTION("IFERROR(GOOGLEFINANCE(C428, ""NAME""))"),"Viasat Inc")</f>
        <v>Viasat Inc</v>
      </c>
      <c r="E428" s="30" t="s">
        <v>716</v>
      </c>
      <c r="F428" s="33" t="str">
        <f>IFERROR(__xludf.DUMMYFUNCTION("( (GOOGLEFINANCE(C428, ""price"") - Q428) / Q428 ) / (R428 / 100)"),"Loading...")</f>
        <v>Loading...</v>
      </c>
      <c r="G428" s="20" t="str">
        <f>IFERROR(__xludf.DUMMYFUNCTION("AVERAGE(ARRAYFORMULA(100 * (QUERY(GOOGLEFINANCE(C428, ""high"", TODAY()-40, TODAY()), ""SELECT Col2 WHERE Col2 IS NOT NULL ORDER BY Col1 DESC LIMIT 20"", 0) / QUERY(GOOGLEFINANCE(C428, ""low"", TODAY()-40, TODAY()), ""SELECT Col2 WHERE Col2 IS NOT NULL OR"&amp;"DER BY Col1 DESC LIMIT 20"", 0) - 1)))"),"#N/A")</f>
        <v>#N/A</v>
      </c>
      <c r="H428" s="35" t="str">
        <f t="shared" si="6"/>
        <v/>
      </c>
      <c r="I428" s="36" t="str">
        <f t="shared" si="7"/>
        <v/>
      </c>
      <c r="J428" s="37" t="str">
        <f>IFERROR(__xludf.DUMMYFUNCTION("IFERROR(
  IF(C428="""",, 
    IFERROR(
      GOOGLEFINANCE(C428, ""price"") * GOOGLEFINANCE(C428, ""volumeavg""), 
      GOOGLEFINANCE(C428, ""price"") * AVERAGE(QUERY(GOOGLEFINANCE(C428, ""volume"", TODAY()-40, TODAY()), ""SELECT Col2 WHERE Col2 IS NOT "&amp;"NULL ORDER BY Col1 DESC LIMIT 20"", 0))
    )
  ), 
"""")"),"")</f>
        <v/>
      </c>
      <c r="K428" s="21" t="str">
        <f>IFERROR(__xludf.DUMMYFUNCTION("IFERROR(GOOGLEFINANCE(C428, ""changepct"") / 100, """")"),"")</f>
        <v/>
      </c>
      <c r="L428" s="21" t="str">
        <f>IFERROR(__xludf.DUMMYFUNCTION("IFERROR((GOOGLEFINANCE(C428, ""price"") / INDEX(GOOGLEFINANCE(C428, ""price"", TODAY()-7, TODAY()), 2, 2)) - 1, """")"),"")</f>
        <v/>
      </c>
      <c r="M428" s="21" t="str">
        <f>IFERROR(__xludf.DUMMYFUNCTION("IFERROR((GOOGLEFINANCE(C428, ""price"") / INDEX(GOOGLEFINANCE(C428, ""price"", EDATE(TODAY(), -1), TODAY()), 2, 2)) - 1, """")"),"")</f>
        <v/>
      </c>
      <c r="N428" s="21" t="str">
        <f>IFERROR(__xludf.DUMMYFUNCTION("IFERROR((GOOGLEFINANCE(C428, ""price"") / INDEX(GOOGLEFINANCE(C428, ""price"", EDATE(TODAY(), -3), TODAY()), 2, 2)) - 1, """")"),"")</f>
        <v/>
      </c>
      <c r="O428" s="21" t="str">
        <f>IFERROR(__xludf.DUMMYFUNCTION("IFERROR((GOOGLEFINANCE(C428, ""price"") / INDEX(GOOGLEFINANCE(C428, ""price"", EDATE(TODAY(), -6), TODAY()), 2, 2)) - 1, """")"),"")</f>
        <v/>
      </c>
      <c r="P428" s="21" t="str">
        <f>IFERROR(__xludf.DUMMYFUNCTION("IFERROR((GOOGLEFINANCE(C428, ""price"") / INDEX(GOOGLEFINANCE(C428, ""price"", EDATE(TODAY(), -12), TODAY()), 2, 2)) - 1, """")"),"")</f>
        <v/>
      </c>
      <c r="Q428" s="6" t="str">
        <f>IFERROR(__xludf.DUMMYFUNCTION("AVERAGE(QUERY(GOOGLEFINANCE(C428, ""price"", TODAY()-80, TODAY()), ""SELECT Col2 WHERE Col2 IS NOT NULL ORDER BY Col1 DESC LIMIT 50"", 0))"),"#N/A")</f>
        <v>#N/A</v>
      </c>
      <c r="R428" s="24" t="str">
        <f>IFERROR(__xludf.DUMMYFUNCTION("IFERROR(
  LET(
    data, QUERY(GOOGLEFINANCE(C428,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GOOGLEFINANCE(C428, ""price"")) * 100,
    IF(calc=0, G428, calc)
  ), 
G428)"),"#N/A")</f>
        <v>#N/A</v>
      </c>
      <c r="S428" s="8" t="s">
        <v>15</v>
      </c>
      <c r="T428" s="26" t="str">
        <f>IFERROR(__xludf.DUMMYFUNCTION("IFERROR(TRANSPOSE(QUERY(IFERROR(SORT(GOOGLEFINANCE(C428, ""price"", WORKDAY(TODAY(), -40), TODAY()), 1, FALSE)), ""select Col2 where Col2 is not null limit 22 label Col2 ''"", 0)), """")"),"")</f>
        <v/>
      </c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8"/>
      <c r="AO428" s="28"/>
      <c r="AP428" s="29"/>
      <c r="AQ428" s="29" t="str">
        <f t="shared" ref="AQ428:BL428" si="431">T428/T$2</f>
        <v>#N/A</v>
      </c>
      <c r="AR428" s="29" t="str">
        <f t="shared" si="431"/>
        <v>#DIV/0!</v>
      </c>
      <c r="AS428" s="29" t="str">
        <f t="shared" si="431"/>
        <v>#DIV/0!</v>
      </c>
      <c r="AT428" s="29" t="str">
        <f t="shared" si="431"/>
        <v>#DIV/0!</v>
      </c>
      <c r="AU428" s="29" t="str">
        <f t="shared" si="431"/>
        <v>#DIV/0!</v>
      </c>
      <c r="AV428" s="29" t="str">
        <f t="shared" si="431"/>
        <v>#DIV/0!</v>
      </c>
      <c r="AW428" s="29" t="str">
        <f t="shared" si="431"/>
        <v>#DIV/0!</v>
      </c>
      <c r="AX428" s="29" t="str">
        <f t="shared" si="431"/>
        <v>#DIV/0!</v>
      </c>
      <c r="AY428" s="29" t="str">
        <f t="shared" si="431"/>
        <v>#DIV/0!</v>
      </c>
      <c r="AZ428" s="29" t="str">
        <f t="shared" si="431"/>
        <v>#DIV/0!</v>
      </c>
      <c r="BA428" s="29" t="str">
        <f t="shared" si="431"/>
        <v>#DIV/0!</v>
      </c>
      <c r="BB428" s="29" t="str">
        <f t="shared" si="431"/>
        <v>#DIV/0!</v>
      </c>
      <c r="BC428" s="29" t="str">
        <f t="shared" si="431"/>
        <v>#DIV/0!</v>
      </c>
      <c r="BD428" s="29" t="str">
        <f t="shared" si="431"/>
        <v>#DIV/0!</v>
      </c>
      <c r="BE428" s="29" t="str">
        <f t="shared" si="431"/>
        <v>#DIV/0!</v>
      </c>
      <c r="BF428" s="29" t="str">
        <f t="shared" si="431"/>
        <v>#DIV/0!</v>
      </c>
      <c r="BG428" s="29" t="str">
        <f t="shared" si="431"/>
        <v>#DIV/0!</v>
      </c>
      <c r="BH428" s="29" t="str">
        <f t="shared" si="431"/>
        <v>#DIV/0!</v>
      </c>
      <c r="BI428" s="29" t="str">
        <f t="shared" si="431"/>
        <v>#DIV/0!</v>
      </c>
      <c r="BJ428" s="29" t="str">
        <f t="shared" si="431"/>
        <v>#DIV/0!</v>
      </c>
      <c r="BK428" s="29" t="str">
        <f t="shared" si="431"/>
        <v>#DIV/0!</v>
      </c>
      <c r="BL428" s="29" t="str">
        <f t="shared" si="431"/>
        <v>#DIV/0!</v>
      </c>
      <c r="BM428" s="29" t="str">
        <f t="shared" si="3"/>
        <v>#DIV/0!</v>
      </c>
    </row>
    <row r="429">
      <c r="A429" s="16" t="str">
        <f>IFERROR(__xludf.DUMMYFUNCTION("IFERROR(SPARKLINE(SORT(MAP(TRANSPOSE(AQ429:BL429), LAMBDA(val, IF(ISNUMBER(val), PERCENTRANK(AQ429:BL429, val)+0.01, 0))), SEQUENCE(COLUMNS(AQ429:BL429)), FALSE), {""charttype"",""column""; ""color"",""chartreuse""; ""ymin"", 0; ""ymax"", 1.01; ""highcolo"&amp;"r"", ""darkgreen""; ""lowcolor"", ""red""}), """")"),"")</f>
        <v/>
      </c>
      <c r="B429" s="17" t="str">
        <f t="shared" si="4"/>
        <v/>
      </c>
      <c r="C429" s="1" t="s">
        <v>1825</v>
      </c>
      <c r="D429" s="30" t="str">
        <f>IFERROR(__xludf.DUMMYFUNCTION("IFERROR(GOOGLEFINANCE(C429, ""NAME""))"),"Tower Semiconductor Ltd")</f>
        <v>Tower Semiconductor Ltd</v>
      </c>
      <c r="E429" s="30" t="s">
        <v>871</v>
      </c>
      <c r="F429" s="33" t="str">
        <f>IFERROR(__xludf.DUMMYFUNCTION("( (GOOGLEFINANCE(C429, ""price"") - Q429) / Q429 ) / (R429 / 100)"),"Loading...")</f>
        <v>Loading...</v>
      </c>
      <c r="G429" s="20" t="str">
        <f>IFERROR(__xludf.DUMMYFUNCTION("AVERAGE(ARRAYFORMULA(100 * (QUERY(GOOGLEFINANCE(C429, ""high"", TODAY()-40, TODAY()), ""SELECT Col2 WHERE Col2 IS NOT NULL ORDER BY Col1 DESC LIMIT 20"", 0) / QUERY(GOOGLEFINANCE(C429, ""low"", TODAY()-40, TODAY()), ""SELECT Col2 WHERE Col2 IS NOT NULL OR"&amp;"DER BY Col1 DESC LIMIT 20"", 0) - 1)))"),"#N/A")</f>
        <v>#N/A</v>
      </c>
      <c r="H429" s="35" t="str">
        <f t="shared" si="6"/>
        <v/>
      </c>
      <c r="I429" s="36" t="str">
        <f t="shared" si="7"/>
        <v/>
      </c>
      <c r="J429" s="37" t="str">
        <f>IFERROR(__xludf.DUMMYFUNCTION("IFERROR(
  IF(C429="""",, 
    IFERROR(
      GOOGLEFINANCE(C429, ""price"") * GOOGLEFINANCE(C429, ""volumeavg""), 
      GOOGLEFINANCE(C429, ""price"") * AVERAGE(QUERY(GOOGLEFINANCE(C429, ""volume"", TODAY()-40, TODAY()), ""SELECT Col2 WHERE Col2 IS NOT "&amp;"NULL ORDER BY Col1 DESC LIMIT 20"", 0))
    )
  ), 
"""")"),"")</f>
        <v/>
      </c>
      <c r="K429" s="21" t="str">
        <f>IFERROR(__xludf.DUMMYFUNCTION("IFERROR(GOOGLEFINANCE(C429, ""changepct"") / 100, """")"),"")</f>
        <v/>
      </c>
      <c r="L429" s="21" t="str">
        <f>IFERROR(__xludf.DUMMYFUNCTION("IFERROR((GOOGLEFINANCE(C429, ""price"") / INDEX(GOOGLEFINANCE(C429, ""price"", TODAY()-7, TODAY()), 2, 2)) - 1, """")"),"")</f>
        <v/>
      </c>
      <c r="M429" s="21" t="str">
        <f>IFERROR(__xludf.DUMMYFUNCTION("IFERROR((GOOGLEFINANCE(C429, ""price"") / INDEX(GOOGLEFINANCE(C429, ""price"", EDATE(TODAY(), -1), TODAY()), 2, 2)) - 1, """")"),"")</f>
        <v/>
      </c>
      <c r="N429" s="21" t="str">
        <f>IFERROR(__xludf.DUMMYFUNCTION("IFERROR((GOOGLEFINANCE(C429, ""price"") / INDEX(GOOGLEFINANCE(C429, ""price"", EDATE(TODAY(), -3), TODAY()), 2, 2)) - 1, """")"),"")</f>
        <v/>
      </c>
      <c r="O429" s="21" t="str">
        <f>IFERROR(__xludf.DUMMYFUNCTION("IFERROR((GOOGLEFINANCE(C429, ""price"") / INDEX(GOOGLEFINANCE(C429, ""price"", EDATE(TODAY(), -6), TODAY()), 2, 2)) - 1, """")"),"")</f>
        <v/>
      </c>
      <c r="P429" s="21" t="str">
        <f>IFERROR(__xludf.DUMMYFUNCTION("IFERROR((GOOGLEFINANCE(C429, ""price"") / INDEX(GOOGLEFINANCE(C429, ""price"", EDATE(TODAY(), -12), TODAY()), 2, 2)) - 1, """")"),"")</f>
        <v/>
      </c>
      <c r="Q429" s="6" t="str">
        <f>IFERROR(__xludf.DUMMYFUNCTION("AVERAGE(QUERY(GOOGLEFINANCE(C429, ""price"", TODAY()-80, TODAY()), ""SELECT Col2 WHERE Col2 IS NOT NULL ORDER BY Col1 DESC LIMIT 50"", 0))"),"#N/A")</f>
        <v>#N/A</v>
      </c>
      <c r="R429" s="24" t="str">
        <f>IFERROR(__xludf.DUMMYFUNCTION("IFERROR(
  LET(
    data, QUERY(GOOGLEFINANCE(C429,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GOOGLEFINANCE(C429, ""price"")) * 100,
    IF(calc=0, G429, calc)
  ), 
G429)"),"#N/A")</f>
        <v>#N/A</v>
      </c>
      <c r="S429" s="8" t="s">
        <v>15</v>
      </c>
      <c r="T429" s="26" t="str">
        <f>IFERROR(__xludf.DUMMYFUNCTION("IFERROR(TRANSPOSE(QUERY(IFERROR(SORT(GOOGLEFINANCE(C429, ""price"", WORKDAY(TODAY(), -40), TODAY()), 1, FALSE)), ""select Col2 where Col2 is not null limit 22 label Col2 ''"", 0)), """")"),"")</f>
        <v/>
      </c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8"/>
      <c r="AO429" s="28"/>
      <c r="AP429" s="29"/>
      <c r="AQ429" s="29" t="str">
        <f t="shared" ref="AQ429:BL429" si="432">T429/T$2</f>
        <v>#N/A</v>
      </c>
      <c r="AR429" s="29" t="str">
        <f t="shared" si="432"/>
        <v>#DIV/0!</v>
      </c>
      <c r="AS429" s="29" t="str">
        <f t="shared" si="432"/>
        <v>#DIV/0!</v>
      </c>
      <c r="AT429" s="29" t="str">
        <f t="shared" si="432"/>
        <v>#DIV/0!</v>
      </c>
      <c r="AU429" s="29" t="str">
        <f t="shared" si="432"/>
        <v>#DIV/0!</v>
      </c>
      <c r="AV429" s="29" t="str">
        <f t="shared" si="432"/>
        <v>#DIV/0!</v>
      </c>
      <c r="AW429" s="29" t="str">
        <f t="shared" si="432"/>
        <v>#DIV/0!</v>
      </c>
      <c r="AX429" s="29" t="str">
        <f t="shared" si="432"/>
        <v>#DIV/0!</v>
      </c>
      <c r="AY429" s="29" t="str">
        <f t="shared" si="432"/>
        <v>#DIV/0!</v>
      </c>
      <c r="AZ429" s="29" t="str">
        <f t="shared" si="432"/>
        <v>#DIV/0!</v>
      </c>
      <c r="BA429" s="29" t="str">
        <f t="shared" si="432"/>
        <v>#DIV/0!</v>
      </c>
      <c r="BB429" s="29" t="str">
        <f t="shared" si="432"/>
        <v>#DIV/0!</v>
      </c>
      <c r="BC429" s="29" t="str">
        <f t="shared" si="432"/>
        <v>#DIV/0!</v>
      </c>
      <c r="BD429" s="29" t="str">
        <f t="shared" si="432"/>
        <v>#DIV/0!</v>
      </c>
      <c r="BE429" s="29" t="str">
        <f t="shared" si="432"/>
        <v>#DIV/0!</v>
      </c>
      <c r="BF429" s="29" t="str">
        <f t="shared" si="432"/>
        <v>#DIV/0!</v>
      </c>
      <c r="BG429" s="29" t="str">
        <f t="shared" si="432"/>
        <v>#DIV/0!</v>
      </c>
      <c r="BH429" s="29" t="str">
        <f t="shared" si="432"/>
        <v>#DIV/0!</v>
      </c>
      <c r="BI429" s="29" t="str">
        <f t="shared" si="432"/>
        <v>#DIV/0!</v>
      </c>
      <c r="BJ429" s="29" t="str">
        <f t="shared" si="432"/>
        <v>#DIV/0!</v>
      </c>
      <c r="BK429" s="29" t="str">
        <f t="shared" si="432"/>
        <v>#DIV/0!</v>
      </c>
      <c r="BL429" s="29" t="str">
        <f t="shared" si="432"/>
        <v>#DIV/0!</v>
      </c>
      <c r="BM429" s="29" t="str">
        <f t="shared" si="3"/>
        <v>#DIV/0!</v>
      </c>
    </row>
    <row r="430">
      <c r="A430" s="16" t="str">
        <f>IFERROR(__xludf.DUMMYFUNCTION("IFERROR(SPARKLINE(SORT(MAP(TRANSPOSE(AQ430:BL430), LAMBDA(val, IF(ISNUMBER(val), PERCENTRANK(AQ430:BL430, val)+0.01, 0))), SEQUENCE(COLUMNS(AQ430:BL430)), FALSE), {""charttype"",""column""; ""color"",""chartreuse""; ""ymin"", 0; ""ymax"", 1.01; ""highcolo"&amp;"r"", ""darkgreen""; ""lowcolor"", ""red""}), """")"),"")</f>
        <v/>
      </c>
      <c r="B430" s="17" t="str">
        <f t="shared" si="4"/>
        <v/>
      </c>
      <c r="C430" s="1" t="s">
        <v>1829</v>
      </c>
      <c r="D430" s="30" t="str">
        <f>IFERROR(__xludf.DUMMYFUNCTION("IFERROR(GOOGLEFINANCE(C430, ""NAME""))"),"Ciena Corp")</f>
        <v>Ciena Corp</v>
      </c>
      <c r="E430" s="30" t="s">
        <v>716</v>
      </c>
      <c r="F430" s="33" t="str">
        <f>IFERROR(__xludf.DUMMYFUNCTION("( (GOOGLEFINANCE(C430, ""price"") - Q430) / Q430 ) / (R430 / 100)"),"Loading...")</f>
        <v>Loading...</v>
      </c>
      <c r="G430" s="20" t="str">
        <f>IFERROR(__xludf.DUMMYFUNCTION("AVERAGE(ARRAYFORMULA(100 * (QUERY(GOOGLEFINANCE(C430, ""high"", TODAY()-40, TODAY()), ""SELECT Col2 WHERE Col2 IS NOT NULL ORDER BY Col1 DESC LIMIT 20"", 0) / QUERY(GOOGLEFINANCE(C430, ""low"", TODAY()-40, TODAY()), ""SELECT Col2 WHERE Col2 IS NOT NULL OR"&amp;"DER BY Col1 DESC LIMIT 20"", 0) - 1)))"),"#N/A")</f>
        <v>#N/A</v>
      </c>
      <c r="H430" s="35" t="str">
        <f t="shared" si="6"/>
        <v/>
      </c>
      <c r="I430" s="36" t="str">
        <f t="shared" si="7"/>
        <v/>
      </c>
      <c r="J430" s="37" t="str">
        <f>IFERROR(__xludf.DUMMYFUNCTION("IFERROR(
  IF(C430="""",, 
    IFERROR(
      GOOGLEFINANCE(C430, ""price"") * GOOGLEFINANCE(C430, ""volumeavg""), 
      GOOGLEFINANCE(C430, ""price"") * AVERAGE(QUERY(GOOGLEFINANCE(C430, ""volume"", TODAY()-40, TODAY()), ""SELECT Col2 WHERE Col2 IS NOT "&amp;"NULL ORDER BY Col1 DESC LIMIT 20"", 0))
    )
  ), 
"""")"),"")</f>
        <v/>
      </c>
      <c r="K430" s="21" t="str">
        <f>IFERROR(__xludf.DUMMYFUNCTION("IFERROR(GOOGLEFINANCE(C430, ""changepct"") / 100, """")"),"")</f>
        <v/>
      </c>
      <c r="L430" s="21" t="str">
        <f>IFERROR(__xludf.DUMMYFUNCTION("IFERROR((GOOGLEFINANCE(C430, ""price"") / INDEX(GOOGLEFINANCE(C430, ""price"", TODAY()-7, TODAY()), 2, 2)) - 1, """")"),"")</f>
        <v/>
      </c>
      <c r="M430" s="21" t="str">
        <f>IFERROR(__xludf.DUMMYFUNCTION("IFERROR((GOOGLEFINANCE(C430, ""price"") / INDEX(GOOGLEFINANCE(C430, ""price"", EDATE(TODAY(), -1), TODAY()), 2, 2)) - 1, """")"),"")</f>
        <v/>
      </c>
      <c r="N430" s="21" t="str">
        <f>IFERROR(__xludf.DUMMYFUNCTION("IFERROR((GOOGLEFINANCE(C430, ""price"") / INDEX(GOOGLEFINANCE(C430, ""price"", EDATE(TODAY(), -3), TODAY()), 2, 2)) - 1, """")"),"")</f>
        <v/>
      </c>
      <c r="O430" s="21" t="str">
        <f>IFERROR(__xludf.DUMMYFUNCTION("IFERROR((GOOGLEFINANCE(C430, ""price"") / INDEX(GOOGLEFINANCE(C430, ""price"", EDATE(TODAY(), -6), TODAY()), 2, 2)) - 1, """")"),"")</f>
        <v/>
      </c>
      <c r="P430" s="21" t="str">
        <f>IFERROR(__xludf.DUMMYFUNCTION("IFERROR((GOOGLEFINANCE(C430, ""price"") / INDEX(GOOGLEFINANCE(C430, ""price"", EDATE(TODAY(), -12), TODAY()), 2, 2)) - 1, """")"),"")</f>
        <v/>
      </c>
      <c r="Q430" s="6" t="str">
        <f>IFERROR(__xludf.DUMMYFUNCTION("AVERAGE(QUERY(GOOGLEFINANCE(C430, ""price"", TODAY()-80, TODAY()), ""SELECT Col2 WHERE Col2 IS NOT NULL ORDER BY Col1 DESC LIMIT 50"", 0))"),"#N/A")</f>
        <v>#N/A</v>
      </c>
      <c r="R430" s="24" t="str">
        <f>IFERROR(__xludf.DUMMYFUNCTION("IFERROR(
  LET(
    data, QUERY(GOOGLEFINANCE(C430,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GOOGLEFINANCE(C430, ""price"")) * 100,
    IF(calc=0, G430, calc)
  ), 
G430)"),"#N/A")</f>
        <v>#N/A</v>
      </c>
      <c r="S430" s="8" t="s">
        <v>15</v>
      </c>
      <c r="T430" s="26" t="str">
        <f>IFERROR(__xludf.DUMMYFUNCTION("IFERROR(TRANSPOSE(QUERY(IFERROR(SORT(GOOGLEFINANCE(C430, ""price"", WORKDAY(TODAY(), -40), TODAY()), 1, FALSE)), ""select Col2 where Col2 is not null limit 22 label Col2 ''"", 0)), """")"),"")</f>
        <v/>
      </c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8"/>
      <c r="AO430" s="28"/>
      <c r="AP430" s="29"/>
      <c r="AQ430" s="29" t="str">
        <f t="shared" ref="AQ430:BL430" si="433">T430/T$2</f>
        <v>#N/A</v>
      </c>
      <c r="AR430" s="29" t="str">
        <f t="shared" si="433"/>
        <v>#DIV/0!</v>
      </c>
      <c r="AS430" s="29" t="str">
        <f t="shared" si="433"/>
        <v>#DIV/0!</v>
      </c>
      <c r="AT430" s="29" t="str">
        <f t="shared" si="433"/>
        <v>#DIV/0!</v>
      </c>
      <c r="AU430" s="29" t="str">
        <f t="shared" si="433"/>
        <v>#DIV/0!</v>
      </c>
      <c r="AV430" s="29" t="str">
        <f t="shared" si="433"/>
        <v>#DIV/0!</v>
      </c>
      <c r="AW430" s="29" t="str">
        <f t="shared" si="433"/>
        <v>#DIV/0!</v>
      </c>
      <c r="AX430" s="29" t="str">
        <f t="shared" si="433"/>
        <v>#DIV/0!</v>
      </c>
      <c r="AY430" s="29" t="str">
        <f t="shared" si="433"/>
        <v>#DIV/0!</v>
      </c>
      <c r="AZ430" s="29" t="str">
        <f t="shared" si="433"/>
        <v>#DIV/0!</v>
      </c>
      <c r="BA430" s="29" t="str">
        <f t="shared" si="433"/>
        <v>#DIV/0!</v>
      </c>
      <c r="BB430" s="29" t="str">
        <f t="shared" si="433"/>
        <v>#DIV/0!</v>
      </c>
      <c r="BC430" s="29" t="str">
        <f t="shared" si="433"/>
        <v>#DIV/0!</v>
      </c>
      <c r="BD430" s="29" t="str">
        <f t="shared" si="433"/>
        <v>#DIV/0!</v>
      </c>
      <c r="BE430" s="29" t="str">
        <f t="shared" si="433"/>
        <v>#DIV/0!</v>
      </c>
      <c r="BF430" s="29" t="str">
        <f t="shared" si="433"/>
        <v>#DIV/0!</v>
      </c>
      <c r="BG430" s="29" t="str">
        <f t="shared" si="433"/>
        <v>#DIV/0!</v>
      </c>
      <c r="BH430" s="29" t="str">
        <f t="shared" si="433"/>
        <v>#DIV/0!</v>
      </c>
      <c r="BI430" s="29" t="str">
        <f t="shared" si="433"/>
        <v>#DIV/0!</v>
      </c>
      <c r="BJ430" s="29" t="str">
        <f t="shared" si="433"/>
        <v>#DIV/0!</v>
      </c>
      <c r="BK430" s="29" t="str">
        <f t="shared" si="433"/>
        <v>#DIV/0!</v>
      </c>
      <c r="BL430" s="29" t="str">
        <f t="shared" si="433"/>
        <v>#DIV/0!</v>
      </c>
      <c r="BM430" s="29" t="str">
        <f t="shared" si="3"/>
        <v>#DIV/0!</v>
      </c>
    </row>
    <row r="431">
      <c r="A431" s="16" t="str">
        <f>IFERROR(__xludf.DUMMYFUNCTION("IFERROR(SPARKLINE(SORT(MAP(TRANSPOSE(AQ431:BL431), LAMBDA(val, IF(ISNUMBER(val), PERCENTRANK(AQ431:BL431, val)+0.01, 0))), SEQUENCE(COLUMNS(AQ431:BL431)), FALSE), {""charttype"",""column""; ""color"",""chartreuse""; ""ymin"", 0; ""ymax"", 1.01; ""highcolo"&amp;"r"", ""darkgreen""; ""lowcolor"", ""red""}), """")"),"")</f>
        <v/>
      </c>
      <c r="B431" s="17" t="str">
        <f t="shared" si="4"/>
        <v/>
      </c>
      <c r="C431" s="1" t="s">
        <v>1834</v>
      </c>
      <c r="D431" s="30" t="str">
        <f>IFERROR(__xludf.DUMMYFUNCTION("IFERROR(GOOGLEFINANCE(C431, ""NAME""))"),"New Era Energy &amp; Digital Inc")</f>
        <v>New Era Energy &amp; Digital Inc</v>
      </c>
      <c r="E431" s="30" t="s">
        <v>58</v>
      </c>
      <c r="F431" s="33" t="str">
        <f>IFERROR(__xludf.DUMMYFUNCTION("( (GOOGLEFINANCE(C431, ""price"") - Q431) / Q431 ) / (R431 / 100)"),"Loading...")</f>
        <v>Loading...</v>
      </c>
      <c r="G431" s="20" t="str">
        <f>IFERROR(__xludf.DUMMYFUNCTION("AVERAGE(ARRAYFORMULA(100 * (QUERY(GOOGLEFINANCE(C431, ""high"", TODAY()-40, TODAY()), ""SELECT Col2 WHERE Col2 IS NOT NULL ORDER BY Col1 DESC LIMIT 20"", 0) / QUERY(GOOGLEFINANCE(C431, ""low"", TODAY()-40, TODAY()), ""SELECT Col2 WHERE Col2 IS NOT NULL OR"&amp;"DER BY Col1 DESC LIMIT 20"", 0) - 1)))"),"#N/A")</f>
        <v>#N/A</v>
      </c>
      <c r="H431" s="35" t="str">
        <f t="shared" si="6"/>
        <v/>
      </c>
      <c r="I431" s="36" t="str">
        <f t="shared" si="7"/>
        <v/>
      </c>
      <c r="J431" s="37" t="str">
        <f>IFERROR(__xludf.DUMMYFUNCTION("IFERROR(
  IF(C431="""",, 
    IFERROR(
      GOOGLEFINANCE(C431, ""price"") * GOOGLEFINANCE(C431, ""volumeavg""), 
      GOOGLEFINANCE(C431, ""price"") * AVERAGE(QUERY(GOOGLEFINANCE(C431, ""volume"", TODAY()-40, TODAY()), ""SELECT Col2 WHERE Col2 IS NOT "&amp;"NULL ORDER BY Col1 DESC LIMIT 20"", 0))
    )
  ), 
"""")"),"")</f>
        <v/>
      </c>
      <c r="K431" s="21" t="str">
        <f>IFERROR(__xludf.DUMMYFUNCTION("IFERROR(GOOGLEFINANCE(C431, ""changepct"") / 100, """")"),"")</f>
        <v/>
      </c>
      <c r="L431" s="21" t="str">
        <f>IFERROR(__xludf.DUMMYFUNCTION("IFERROR((GOOGLEFINANCE(C431, ""price"") / INDEX(GOOGLEFINANCE(C431, ""price"", TODAY()-7, TODAY()), 2, 2)) - 1, """")"),"")</f>
        <v/>
      </c>
      <c r="M431" s="21" t="str">
        <f>IFERROR(__xludf.DUMMYFUNCTION("IFERROR((GOOGLEFINANCE(C431, ""price"") / INDEX(GOOGLEFINANCE(C431, ""price"", EDATE(TODAY(), -1), TODAY()), 2, 2)) - 1, """")"),"")</f>
        <v/>
      </c>
      <c r="N431" s="21" t="str">
        <f>IFERROR(__xludf.DUMMYFUNCTION("IFERROR((GOOGLEFINANCE(C431, ""price"") / INDEX(GOOGLEFINANCE(C431, ""price"", EDATE(TODAY(), -3), TODAY()), 2, 2)) - 1, """")"),"")</f>
        <v/>
      </c>
      <c r="O431" s="21" t="str">
        <f>IFERROR(__xludf.DUMMYFUNCTION("IFERROR((GOOGLEFINANCE(C431, ""price"") / INDEX(GOOGLEFINANCE(C431, ""price"", EDATE(TODAY(), -6), TODAY()), 2, 2)) - 1, """")"),"")</f>
        <v/>
      </c>
      <c r="P431" s="21" t="str">
        <f>IFERROR(__xludf.DUMMYFUNCTION("IFERROR((GOOGLEFINANCE(C431, ""price"") / INDEX(GOOGLEFINANCE(C431, ""price"", EDATE(TODAY(), -12), TODAY()), 2, 2)) - 1, """")"),"")</f>
        <v/>
      </c>
      <c r="Q431" s="6" t="str">
        <f>IFERROR(__xludf.DUMMYFUNCTION("AVERAGE(QUERY(GOOGLEFINANCE(C431, ""price"", TODAY()-80, TODAY()), ""SELECT Col2 WHERE Col2 IS NOT NULL ORDER BY Col1 DESC LIMIT 50"", 0))"),"#N/A")</f>
        <v>#N/A</v>
      </c>
      <c r="R431" s="24" t="str">
        <f>IFERROR(__xludf.DUMMYFUNCTION("IFERROR(
  LET(
    data, QUERY(GOOGLEFINANCE(C431,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GOOGLEFINANCE(C431, ""price"")) * 100,
    IF(calc=0, G431, calc)
  ), 
G431)"),"#N/A")</f>
        <v>#N/A</v>
      </c>
      <c r="S431" s="8" t="s">
        <v>15</v>
      </c>
      <c r="T431" s="26" t="str">
        <f>IFERROR(__xludf.DUMMYFUNCTION("IFERROR(TRANSPOSE(QUERY(IFERROR(SORT(GOOGLEFINANCE(C431, ""price"", WORKDAY(TODAY(), -40), TODAY()), 1, FALSE)), ""select Col2 where Col2 is not null limit 22 label Col2 ''"", 0)), """")"),"")</f>
        <v/>
      </c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8"/>
      <c r="AO431" s="28"/>
      <c r="AP431" s="29"/>
      <c r="AQ431" s="29" t="str">
        <f t="shared" ref="AQ431:BL431" si="434">T431/T$2</f>
        <v>#N/A</v>
      </c>
      <c r="AR431" s="29" t="str">
        <f t="shared" si="434"/>
        <v>#DIV/0!</v>
      </c>
      <c r="AS431" s="29" t="str">
        <f t="shared" si="434"/>
        <v>#DIV/0!</v>
      </c>
      <c r="AT431" s="29" t="str">
        <f t="shared" si="434"/>
        <v>#DIV/0!</v>
      </c>
      <c r="AU431" s="29" t="str">
        <f t="shared" si="434"/>
        <v>#DIV/0!</v>
      </c>
      <c r="AV431" s="29" t="str">
        <f t="shared" si="434"/>
        <v>#DIV/0!</v>
      </c>
      <c r="AW431" s="29" t="str">
        <f t="shared" si="434"/>
        <v>#DIV/0!</v>
      </c>
      <c r="AX431" s="29" t="str">
        <f t="shared" si="434"/>
        <v>#DIV/0!</v>
      </c>
      <c r="AY431" s="29" t="str">
        <f t="shared" si="434"/>
        <v>#DIV/0!</v>
      </c>
      <c r="AZ431" s="29" t="str">
        <f t="shared" si="434"/>
        <v>#DIV/0!</v>
      </c>
      <c r="BA431" s="29" t="str">
        <f t="shared" si="434"/>
        <v>#DIV/0!</v>
      </c>
      <c r="BB431" s="29" t="str">
        <f t="shared" si="434"/>
        <v>#DIV/0!</v>
      </c>
      <c r="BC431" s="29" t="str">
        <f t="shared" si="434"/>
        <v>#DIV/0!</v>
      </c>
      <c r="BD431" s="29" t="str">
        <f t="shared" si="434"/>
        <v>#DIV/0!</v>
      </c>
      <c r="BE431" s="29" t="str">
        <f t="shared" si="434"/>
        <v>#DIV/0!</v>
      </c>
      <c r="BF431" s="29" t="str">
        <f t="shared" si="434"/>
        <v>#DIV/0!</v>
      </c>
      <c r="BG431" s="29" t="str">
        <f t="shared" si="434"/>
        <v>#DIV/0!</v>
      </c>
      <c r="BH431" s="29" t="str">
        <f t="shared" si="434"/>
        <v>#DIV/0!</v>
      </c>
      <c r="BI431" s="29" t="str">
        <f t="shared" si="434"/>
        <v>#DIV/0!</v>
      </c>
      <c r="BJ431" s="29" t="str">
        <f t="shared" si="434"/>
        <v>#DIV/0!</v>
      </c>
      <c r="BK431" s="29" t="str">
        <f t="shared" si="434"/>
        <v>#DIV/0!</v>
      </c>
      <c r="BL431" s="29" t="str">
        <f t="shared" si="434"/>
        <v>#DIV/0!</v>
      </c>
      <c r="BM431" s="29" t="str">
        <f t="shared" si="3"/>
        <v>#DIV/0!</v>
      </c>
    </row>
    <row r="432">
      <c r="A432" s="16" t="str">
        <f>IFERROR(__xludf.DUMMYFUNCTION("IFERROR(SPARKLINE(SORT(MAP(TRANSPOSE(AQ432:BL432), LAMBDA(val, IF(ISNUMBER(val), PERCENTRANK(AQ432:BL432, val)+0.01, 0))), SEQUENCE(COLUMNS(AQ432:BL432)), FALSE), {""charttype"",""column""; ""color"",""chartreuse""; ""ymin"", 0; ""ymax"", 1.01; ""highcolo"&amp;"r"", ""darkgreen""; ""lowcolor"", ""red""}), """")"),"")</f>
        <v/>
      </c>
      <c r="B432" s="17" t="str">
        <f t="shared" si="4"/>
        <v/>
      </c>
      <c r="C432" s="1" t="s">
        <v>1838</v>
      </c>
      <c r="D432" s="30" t="str">
        <f>IFERROR(__xludf.DUMMYFUNCTION("IFERROR(GOOGLEFINANCE(C432, ""NAME""))"),"Seagate Technology Holdings PLC")</f>
        <v>Seagate Technology Holdings PLC</v>
      </c>
      <c r="E432" s="30" t="s">
        <v>477</v>
      </c>
      <c r="F432" s="33" t="str">
        <f>IFERROR(__xludf.DUMMYFUNCTION("( (GOOGLEFINANCE(C432, ""price"") - Q432) / Q432 ) / (R432 / 100)"),"Loading...")</f>
        <v>Loading...</v>
      </c>
      <c r="G432" s="20" t="str">
        <f>IFERROR(__xludf.DUMMYFUNCTION("AVERAGE(ARRAYFORMULA(100 * (QUERY(GOOGLEFINANCE(C432, ""high"", TODAY()-40, TODAY()), ""SELECT Col2 WHERE Col2 IS NOT NULL ORDER BY Col1 DESC LIMIT 20"", 0) / QUERY(GOOGLEFINANCE(C432, ""low"", TODAY()-40, TODAY()), ""SELECT Col2 WHERE Col2 IS NOT NULL OR"&amp;"DER BY Col1 DESC LIMIT 20"", 0) - 1)))"),"#N/A")</f>
        <v>#N/A</v>
      </c>
      <c r="H432" s="35" t="str">
        <f t="shared" si="6"/>
        <v/>
      </c>
      <c r="I432" s="36" t="str">
        <f t="shared" si="7"/>
        <v/>
      </c>
      <c r="J432" s="37" t="str">
        <f>IFERROR(__xludf.DUMMYFUNCTION("IFERROR(
  IF(C432="""",, 
    IFERROR(
      GOOGLEFINANCE(C432, ""price"") * GOOGLEFINANCE(C432, ""volumeavg""), 
      GOOGLEFINANCE(C432, ""price"") * AVERAGE(QUERY(GOOGLEFINANCE(C432, ""volume"", TODAY()-40, TODAY()), ""SELECT Col2 WHERE Col2 IS NOT "&amp;"NULL ORDER BY Col1 DESC LIMIT 20"", 0))
    )
  ), 
"""")"),"")</f>
        <v/>
      </c>
      <c r="K432" s="21" t="str">
        <f>IFERROR(__xludf.DUMMYFUNCTION("IFERROR(GOOGLEFINANCE(C432, ""changepct"") / 100, """")"),"")</f>
        <v/>
      </c>
      <c r="L432" s="21" t="str">
        <f>IFERROR(__xludf.DUMMYFUNCTION("IFERROR((GOOGLEFINANCE(C432, ""price"") / INDEX(GOOGLEFINANCE(C432, ""price"", TODAY()-7, TODAY()), 2, 2)) - 1, """")"),"")</f>
        <v/>
      </c>
      <c r="M432" s="21" t="str">
        <f>IFERROR(__xludf.DUMMYFUNCTION("IFERROR((GOOGLEFINANCE(C432, ""price"") / INDEX(GOOGLEFINANCE(C432, ""price"", EDATE(TODAY(), -1), TODAY()), 2, 2)) - 1, """")"),"")</f>
        <v/>
      </c>
      <c r="N432" s="21" t="str">
        <f>IFERROR(__xludf.DUMMYFUNCTION("IFERROR((GOOGLEFINANCE(C432, ""price"") / INDEX(GOOGLEFINANCE(C432, ""price"", EDATE(TODAY(), -3), TODAY()), 2, 2)) - 1, """")"),"")</f>
        <v/>
      </c>
      <c r="O432" s="21" t="str">
        <f>IFERROR(__xludf.DUMMYFUNCTION("IFERROR((GOOGLEFINANCE(C432, ""price"") / INDEX(GOOGLEFINANCE(C432, ""price"", EDATE(TODAY(), -6), TODAY()), 2, 2)) - 1, """")"),"")</f>
        <v/>
      </c>
      <c r="P432" s="21" t="str">
        <f>IFERROR(__xludf.DUMMYFUNCTION("IFERROR((GOOGLEFINANCE(C432, ""price"") / INDEX(GOOGLEFINANCE(C432, ""price"", EDATE(TODAY(), -12), TODAY()), 2, 2)) - 1, """")"),"")</f>
        <v/>
      </c>
      <c r="Q432" s="6" t="str">
        <f>IFERROR(__xludf.DUMMYFUNCTION("AVERAGE(QUERY(GOOGLEFINANCE(C432, ""price"", TODAY()-80, TODAY()), ""SELECT Col2 WHERE Col2 IS NOT NULL ORDER BY Col1 DESC LIMIT 50"", 0))"),"#N/A")</f>
        <v>#N/A</v>
      </c>
      <c r="R432" s="24" t="str">
        <f>IFERROR(__xludf.DUMMYFUNCTION("IFERROR(
  LET(
    data, QUERY(GOOGLEFINANCE(C432,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GOOGLEFINANCE(C432, ""price"")) * 100,
    IF(calc=0, G432, calc)
  ), 
G432)"),"#N/A")</f>
        <v>#N/A</v>
      </c>
      <c r="S432" s="8" t="s">
        <v>15</v>
      </c>
      <c r="T432" s="26" t="str">
        <f>IFERROR(__xludf.DUMMYFUNCTION("IFERROR(TRANSPOSE(QUERY(IFERROR(SORT(GOOGLEFINANCE(C432, ""price"", WORKDAY(TODAY(), -40), TODAY()), 1, FALSE)), ""select Col2 where Col2 is not null limit 22 label Col2 ''"", 0)), """")"),"")</f>
        <v/>
      </c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8"/>
      <c r="AO432" s="28"/>
      <c r="AP432" s="29"/>
      <c r="AQ432" s="29" t="str">
        <f t="shared" ref="AQ432:BL432" si="435">T432/T$2</f>
        <v>#N/A</v>
      </c>
      <c r="AR432" s="29" t="str">
        <f t="shared" si="435"/>
        <v>#DIV/0!</v>
      </c>
      <c r="AS432" s="29" t="str">
        <f t="shared" si="435"/>
        <v>#DIV/0!</v>
      </c>
      <c r="AT432" s="29" t="str">
        <f t="shared" si="435"/>
        <v>#DIV/0!</v>
      </c>
      <c r="AU432" s="29" t="str">
        <f t="shared" si="435"/>
        <v>#DIV/0!</v>
      </c>
      <c r="AV432" s="29" t="str">
        <f t="shared" si="435"/>
        <v>#DIV/0!</v>
      </c>
      <c r="AW432" s="29" t="str">
        <f t="shared" si="435"/>
        <v>#DIV/0!</v>
      </c>
      <c r="AX432" s="29" t="str">
        <f t="shared" si="435"/>
        <v>#DIV/0!</v>
      </c>
      <c r="AY432" s="29" t="str">
        <f t="shared" si="435"/>
        <v>#DIV/0!</v>
      </c>
      <c r="AZ432" s="29" t="str">
        <f t="shared" si="435"/>
        <v>#DIV/0!</v>
      </c>
      <c r="BA432" s="29" t="str">
        <f t="shared" si="435"/>
        <v>#DIV/0!</v>
      </c>
      <c r="BB432" s="29" t="str">
        <f t="shared" si="435"/>
        <v>#DIV/0!</v>
      </c>
      <c r="BC432" s="29" t="str">
        <f t="shared" si="435"/>
        <v>#DIV/0!</v>
      </c>
      <c r="BD432" s="29" t="str">
        <f t="shared" si="435"/>
        <v>#DIV/0!</v>
      </c>
      <c r="BE432" s="29" t="str">
        <f t="shared" si="435"/>
        <v>#DIV/0!</v>
      </c>
      <c r="BF432" s="29" t="str">
        <f t="shared" si="435"/>
        <v>#DIV/0!</v>
      </c>
      <c r="BG432" s="29" t="str">
        <f t="shared" si="435"/>
        <v>#DIV/0!</v>
      </c>
      <c r="BH432" s="29" t="str">
        <f t="shared" si="435"/>
        <v>#DIV/0!</v>
      </c>
      <c r="BI432" s="29" t="str">
        <f t="shared" si="435"/>
        <v>#DIV/0!</v>
      </c>
      <c r="BJ432" s="29" t="str">
        <f t="shared" si="435"/>
        <v>#DIV/0!</v>
      </c>
      <c r="BK432" s="29" t="str">
        <f t="shared" si="435"/>
        <v>#DIV/0!</v>
      </c>
      <c r="BL432" s="29" t="str">
        <f t="shared" si="435"/>
        <v>#DIV/0!</v>
      </c>
      <c r="BM432" s="29" t="str">
        <f t="shared" si="3"/>
        <v>#DIV/0!</v>
      </c>
    </row>
    <row r="433">
      <c r="A433" s="16" t="str">
        <f>IFERROR(__xludf.DUMMYFUNCTION("IFERROR(SPARKLINE(SORT(MAP(TRANSPOSE(AQ433:BL433), LAMBDA(val, IF(ISNUMBER(val), PERCENTRANK(AQ433:BL433, val)+0.01, 0))), SEQUENCE(COLUMNS(AQ433:BL433)), FALSE), {""charttype"",""column""; ""color"",""chartreuse""; ""ymin"", 0; ""ymax"", 1.01; ""highcolo"&amp;"r"", ""darkgreen""; ""lowcolor"", ""red""}), """")"),"")</f>
        <v/>
      </c>
      <c r="B433" s="17" t="str">
        <f t="shared" si="4"/>
        <v/>
      </c>
      <c r="C433" s="1" t="s">
        <v>1844</v>
      </c>
      <c r="D433" s="30" t="str">
        <f>IFERROR(__xludf.DUMMYFUNCTION("IFERROR(GOOGLEFINANCE(C433, ""NAME""))"),"Micron Technology Inc")</f>
        <v>Micron Technology Inc</v>
      </c>
      <c r="E433" s="30" t="s">
        <v>871</v>
      </c>
      <c r="F433" s="38" t="str">
        <f>IFERROR(__xludf.DUMMYFUNCTION("( (GOOGLEFINANCE(C433, ""price"") - Q433) / Q433 ) / (R433 / 100)"),"Loading...")</f>
        <v>Loading...</v>
      </c>
      <c r="G433" s="20" t="str">
        <f>IFERROR(__xludf.DUMMYFUNCTION("AVERAGE(ARRAYFORMULA(100 * (QUERY(GOOGLEFINANCE(C433, ""high"", TODAY()-40, TODAY()), ""SELECT Col2 WHERE Col2 IS NOT NULL ORDER BY Col1 DESC LIMIT 20"", 0) / QUERY(GOOGLEFINANCE(C433, ""low"", TODAY()-40, TODAY()), ""SELECT Col2 WHERE Col2 IS NOT NULL OR"&amp;"DER BY Col1 DESC LIMIT 20"", 0) - 1)))"),"#N/A")</f>
        <v>#N/A</v>
      </c>
      <c r="H433" s="35" t="str">
        <f t="shared" si="6"/>
        <v/>
      </c>
      <c r="I433" s="36" t="str">
        <f t="shared" si="7"/>
        <v/>
      </c>
      <c r="J433" s="37" t="str">
        <f>IFERROR(__xludf.DUMMYFUNCTION("IFERROR(
  IF(C433="""",, 
    IFERROR(
      GOOGLEFINANCE(C433, ""price"") * GOOGLEFINANCE(C433, ""volumeavg""), 
      GOOGLEFINANCE(C433, ""price"") * AVERAGE(QUERY(GOOGLEFINANCE(C433, ""volume"", TODAY()-40, TODAY()), ""SELECT Col2 WHERE Col2 IS NOT "&amp;"NULL ORDER BY Col1 DESC LIMIT 20"", 0))
    )
  ), 
"""")"),"")</f>
        <v/>
      </c>
      <c r="K433" s="21" t="str">
        <f>IFERROR(__xludf.DUMMYFUNCTION("IFERROR(GOOGLEFINANCE(C433, ""changepct"") / 100, """")"),"")</f>
        <v/>
      </c>
      <c r="L433" s="21" t="str">
        <f>IFERROR(__xludf.DUMMYFUNCTION("IFERROR((GOOGLEFINANCE(C433, ""price"") / INDEX(GOOGLEFINANCE(C433, ""price"", TODAY()-7, TODAY()), 2, 2)) - 1, """")"),"")</f>
        <v/>
      </c>
      <c r="M433" s="21" t="str">
        <f>IFERROR(__xludf.DUMMYFUNCTION("IFERROR((GOOGLEFINANCE(C433, ""price"") / INDEX(GOOGLEFINANCE(C433, ""price"", EDATE(TODAY(), -1), TODAY()), 2, 2)) - 1, """")"),"")</f>
        <v/>
      </c>
      <c r="N433" s="21" t="str">
        <f>IFERROR(__xludf.DUMMYFUNCTION("IFERROR((GOOGLEFINANCE(C433, ""price"") / INDEX(GOOGLEFINANCE(C433, ""price"", EDATE(TODAY(), -3), TODAY()), 2, 2)) - 1, """")"),"")</f>
        <v/>
      </c>
      <c r="O433" s="21" t="str">
        <f>IFERROR(__xludf.DUMMYFUNCTION("IFERROR((GOOGLEFINANCE(C433, ""price"") / INDEX(GOOGLEFINANCE(C433, ""price"", EDATE(TODAY(), -6), TODAY()), 2, 2)) - 1, """")"),"")</f>
        <v/>
      </c>
      <c r="P433" s="21" t="str">
        <f>IFERROR(__xludf.DUMMYFUNCTION("IFERROR((GOOGLEFINANCE(C433, ""price"") / INDEX(GOOGLEFINANCE(C433, ""price"", EDATE(TODAY(), -12), TODAY()), 2, 2)) - 1, """")"),"")</f>
        <v/>
      </c>
      <c r="Q433" s="6" t="str">
        <f>IFERROR(__xludf.DUMMYFUNCTION("AVERAGE(QUERY(GOOGLEFINANCE(C433, ""price"", TODAY()-80, TODAY()), ""SELECT Col2 WHERE Col2 IS NOT NULL ORDER BY Col1 DESC LIMIT 50"", 0))"),"#N/A")</f>
        <v>#N/A</v>
      </c>
      <c r="R433" s="24" t="str">
        <f>IFERROR(__xludf.DUMMYFUNCTION("IFERROR(
  LET(
    data, QUERY(GOOGLEFINANCE(C433,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GOOGLEFINANCE(C433, ""price"")) * 100,
    IF(calc=0, G433, calc)
  ), 
G433)"),"#N/A")</f>
        <v>#N/A</v>
      </c>
      <c r="S433" s="8" t="s">
        <v>15</v>
      </c>
      <c r="T433" s="26" t="str">
        <f>IFERROR(__xludf.DUMMYFUNCTION("IFERROR(TRANSPOSE(QUERY(IFERROR(SORT(GOOGLEFINANCE(C433, ""price"", WORKDAY(TODAY(), -40), TODAY()), 1, FALSE)), ""select Col2 where Col2 is not null limit 22 label Col2 ''"", 0)), """")"),"")</f>
        <v/>
      </c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8"/>
      <c r="AO433" s="28"/>
      <c r="AP433" s="29"/>
      <c r="AQ433" s="29" t="str">
        <f t="shared" ref="AQ433:BL433" si="436">T433/T$2</f>
        <v>#N/A</v>
      </c>
      <c r="AR433" s="29" t="str">
        <f t="shared" si="436"/>
        <v>#DIV/0!</v>
      </c>
      <c r="AS433" s="29" t="str">
        <f t="shared" si="436"/>
        <v>#DIV/0!</v>
      </c>
      <c r="AT433" s="29" t="str">
        <f t="shared" si="436"/>
        <v>#DIV/0!</v>
      </c>
      <c r="AU433" s="29" t="str">
        <f t="shared" si="436"/>
        <v>#DIV/0!</v>
      </c>
      <c r="AV433" s="29" t="str">
        <f t="shared" si="436"/>
        <v>#DIV/0!</v>
      </c>
      <c r="AW433" s="29" t="str">
        <f t="shared" si="436"/>
        <v>#DIV/0!</v>
      </c>
      <c r="AX433" s="29" t="str">
        <f t="shared" si="436"/>
        <v>#DIV/0!</v>
      </c>
      <c r="AY433" s="29" t="str">
        <f t="shared" si="436"/>
        <v>#DIV/0!</v>
      </c>
      <c r="AZ433" s="29" t="str">
        <f t="shared" si="436"/>
        <v>#DIV/0!</v>
      </c>
      <c r="BA433" s="29" t="str">
        <f t="shared" si="436"/>
        <v>#DIV/0!</v>
      </c>
      <c r="BB433" s="29" t="str">
        <f t="shared" si="436"/>
        <v>#DIV/0!</v>
      </c>
      <c r="BC433" s="29" t="str">
        <f t="shared" si="436"/>
        <v>#DIV/0!</v>
      </c>
      <c r="BD433" s="29" t="str">
        <f t="shared" si="436"/>
        <v>#DIV/0!</v>
      </c>
      <c r="BE433" s="29" t="str">
        <f t="shared" si="436"/>
        <v>#DIV/0!</v>
      </c>
      <c r="BF433" s="29" t="str">
        <f t="shared" si="436"/>
        <v>#DIV/0!</v>
      </c>
      <c r="BG433" s="29" t="str">
        <f t="shared" si="436"/>
        <v>#DIV/0!</v>
      </c>
      <c r="BH433" s="29" t="str">
        <f t="shared" si="436"/>
        <v>#DIV/0!</v>
      </c>
      <c r="BI433" s="29" t="str">
        <f t="shared" si="436"/>
        <v>#DIV/0!</v>
      </c>
      <c r="BJ433" s="29" t="str">
        <f t="shared" si="436"/>
        <v>#DIV/0!</v>
      </c>
      <c r="BK433" s="29" t="str">
        <f t="shared" si="436"/>
        <v>#DIV/0!</v>
      </c>
      <c r="BL433" s="29" t="str">
        <f t="shared" si="436"/>
        <v>#DIV/0!</v>
      </c>
      <c r="BM433" s="29" t="str">
        <f t="shared" si="3"/>
        <v>#DIV/0!</v>
      </c>
    </row>
    <row r="434">
      <c r="A434" s="16" t="str">
        <f>IFERROR(__xludf.DUMMYFUNCTION("IFERROR(SPARKLINE(SORT(MAP(TRANSPOSE(AQ434:BL434), LAMBDA(val, IF(ISNUMBER(val), PERCENTRANK(AQ434:BL434, val)+0.01, 0))), SEQUENCE(COLUMNS(AQ434:BL434)), FALSE), {""charttype"",""column""; ""color"",""chartreuse""; ""ymin"", 0; ""ymax"", 1.01; ""highcolo"&amp;"r"", ""darkgreen""; ""lowcolor"", ""red""}), """")"),"")</f>
        <v/>
      </c>
      <c r="B434" s="17" t="str">
        <f t="shared" si="4"/>
        <v/>
      </c>
      <c r="C434" s="1" t="s">
        <v>1849</v>
      </c>
      <c r="D434" s="30" t="str">
        <f>IFERROR(__xludf.DUMMYFUNCTION("IFERROR(GOOGLEFINANCE(C434, ""NAME""))"),"Maxlinear Inc")</f>
        <v>Maxlinear Inc</v>
      </c>
      <c r="E434" s="30" t="s">
        <v>871</v>
      </c>
      <c r="F434" s="33" t="str">
        <f>IFERROR(__xludf.DUMMYFUNCTION("( (GOOGLEFINANCE(C434, ""price"") - Q434) / Q434 ) / (R434 / 100)"),"Loading...")</f>
        <v>Loading...</v>
      </c>
      <c r="G434" s="20" t="str">
        <f>IFERROR(__xludf.DUMMYFUNCTION("AVERAGE(ARRAYFORMULA(100 * (QUERY(GOOGLEFINANCE(C434, ""high"", TODAY()-40, TODAY()), ""SELECT Col2 WHERE Col2 IS NOT NULL ORDER BY Col1 DESC LIMIT 20"", 0) / QUERY(GOOGLEFINANCE(C434, ""low"", TODAY()-40, TODAY()), ""SELECT Col2 WHERE Col2 IS NOT NULL OR"&amp;"DER BY Col1 DESC LIMIT 20"", 0) - 1)))"),"#N/A")</f>
        <v>#N/A</v>
      </c>
      <c r="H434" s="35" t="str">
        <f t="shared" si="6"/>
        <v/>
      </c>
      <c r="I434" s="36" t="str">
        <f t="shared" si="7"/>
        <v/>
      </c>
      <c r="J434" s="37" t="str">
        <f>IFERROR(__xludf.DUMMYFUNCTION("IFERROR(
  IF(C434="""",, 
    IFERROR(
      GOOGLEFINANCE(C434, ""price"") * GOOGLEFINANCE(C434, ""volumeavg""), 
      GOOGLEFINANCE(C434, ""price"") * AVERAGE(QUERY(GOOGLEFINANCE(C434, ""volume"", TODAY()-40, TODAY()), ""SELECT Col2 WHERE Col2 IS NOT "&amp;"NULL ORDER BY Col1 DESC LIMIT 20"", 0))
    )
  ), 
"""")"),"")</f>
        <v/>
      </c>
      <c r="K434" s="21" t="str">
        <f>IFERROR(__xludf.DUMMYFUNCTION("IFERROR(GOOGLEFINANCE(C434, ""changepct"") / 100, """")"),"")</f>
        <v/>
      </c>
      <c r="L434" s="21" t="str">
        <f>IFERROR(__xludf.DUMMYFUNCTION("IFERROR((GOOGLEFINANCE(C434, ""price"") / INDEX(GOOGLEFINANCE(C434, ""price"", TODAY()-7, TODAY()), 2, 2)) - 1, """")"),"")</f>
        <v/>
      </c>
      <c r="M434" s="21" t="str">
        <f>IFERROR(__xludf.DUMMYFUNCTION("IFERROR((GOOGLEFINANCE(C434, ""price"") / INDEX(GOOGLEFINANCE(C434, ""price"", EDATE(TODAY(), -1), TODAY()), 2, 2)) - 1, """")"),"")</f>
        <v/>
      </c>
      <c r="N434" s="21" t="str">
        <f>IFERROR(__xludf.DUMMYFUNCTION("IFERROR((GOOGLEFINANCE(C434, ""price"") / INDEX(GOOGLEFINANCE(C434, ""price"", EDATE(TODAY(), -3), TODAY()), 2, 2)) - 1, """")"),"")</f>
        <v/>
      </c>
      <c r="O434" s="21" t="str">
        <f>IFERROR(__xludf.DUMMYFUNCTION("IFERROR((GOOGLEFINANCE(C434, ""price"") / INDEX(GOOGLEFINANCE(C434, ""price"", EDATE(TODAY(), -6), TODAY()), 2, 2)) - 1, """")"),"")</f>
        <v/>
      </c>
      <c r="P434" s="21" t="str">
        <f>IFERROR(__xludf.DUMMYFUNCTION("IFERROR((GOOGLEFINANCE(C434, ""price"") / INDEX(GOOGLEFINANCE(C434, ""price"", EDATE(TODAY(), -12), TODAY()), 2, 2)) - 1, """")"),"")</f>
        <v/>
      </c>
      <c r="Q434" s="6" t="str">
        <f>IFERROR(__xludf.DUMMYFUNCTION("AVERAGE(QUERY(GOOGLEFINANCE(C434, ""price"", TODAY()-80, TODAY()), ""SELECT Col2 WHERE Col2 IS NOT NULL ORDER BY Col1 DESC LIMIT 50"", 0))"),"#N/A")</f>
        <v>#N/A</v>
      </c>
      <c r="R434" s="24" t="str">
        <f>IFERROR(__xludf.DUMMYFUNCTION("IFERROR(
  LET(
    data, QUERY(GOOGLEFINANCE(C434,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GOOGLEFINANCE(C434, ""price"")) * 100,
    IF(calc=0, G434, calc)
  ), 
G434)"),"#N/A")</f>
        <v>#N/A</v>
      </c>
      <c r="S434" s="8" t="s">
        <v>15</v>
      </c>
      <c r="T434" s="26" t="str">
        <f>IFERROR(__xludf.DUMMYFUNCTION("IFERROR(TRANSPOSE(QUERY(IFERROR(SORT(GOOGLEFINANCE(C434, ""price"", WORKDAY(TODAY(), -40), TODAY()), 1, FALSE)), ""select Col2 where Col2 is not null limit 22 label Col2 ''"", 0)), """")"),"")</f>
        <v/>
      </c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8"/>
      <c r="AO434" s="28"/>
      <c r="AP434" s="29"/>
      <c r="AQ434" s="29" t="str">
        <f t="shared" ref="AQ434:BL434" si="437">T434/T$2</f>
        <v>#N/A</v>
      </c>
      <c r="AR434" s="29" t="str">
        <f t="shared" si="437"/>
        <v>#DIV/0!</v>
      </c>
      <c r="AS434" s="29" t="str">
        <f t="shared" si="437"/>
        <v>#DIV/0!</v>
      </c>
      <c r="AT434" s="29" t="str">
        <f t="shared" si="437"/>
        <v>#DIV/0!</v>
      </c>
      <c r="AU434" s="29" t="str">
        <f t="shared" si="437"/>
        <v>#DIV/0!</v>
      </c>
      <c r="AV434" s="29" t="str">
        <f t="shared" si="437"/>
        <v>#DIV/0!</v>
      </c>
      <c r="AW434" s="29" t="str">
        <f t="shared" si="437"/>
        <v>#DIV/0!</v>
      </c>
      <c r="AX434" s="29" t="str">
        <f t="shared" si="437"/>
        <v>#DIV/0!</v>
      </c>
      <c r="AY434" s="29" t="str">
        <f t="shared" si="437"/>
        <v>#DIV/0!</v>
      </c>
      <c r="AZ434" s="29" t="str">
        <f t="shared" si="437"/>
        <v>#DIV/0!</v>
      </c>
      <c r="BA434" s="29" t="str">
        <f t="shared" si="437"/>
        <v>#DIV/0!</v>
      </c>
      <c r="BB434" s="29" t="str">
        <f t="shared" si="437"/>
        <v>#DIV/0!</v>
      </c>
      <c r="BC434" s="29" t="str">
        <f t="shared" si="437"/>
        <v>#DIV/0!</v>
      </c>
      <c r="BD434" s="29" t="str">
        <f t="shared" si="437"/>
        <v>#DIV/0!</v>
      </c>
      <c r="BE434" s="29" t="str">
        <f t="shared" si="437"/>
        <v>#DIV/0!</v>
      </c>
      <c r="BF434" s="29" t="str">
        <f t="shared" si="437"/>
        <v>#DIV/0!</v>
      </c>
      <c r="BG434" s="29" t="str">
        <f t="shared" si="437"/>
        <v>#DIV/0!</v>
      </c>
      <c r="BH434" s="29" t="str">
        <f t="shared" si="437"/>
        <v>#DIV/0!</v>
      </c>
      <c r="BI434" s="29" t="str">
        <f t="shared" si="437"/>
        <v>#DIV/0!</v>
      </c>
      <c r="BJ434" s="29" t="str">
        <f t="shared" si="437"/>
        <v>#DIV/0!</v>
      </c>
      <c r="BK434" s="29" t="str">
        <f t="shared" si="437"/>
        <v>#DIV/0!</v>
      </c>
      <c r="BL434" s="29" t="str">
        <f t="shared" si="437"/>
        <v>#DIV/0!</v>
      </c>
      <c r="BM434" s="29" t="str">
        <f t="shared" si="3"/>
        <v>#DIV/0!</v>
      </c>
    </row>
    <row r="435">
      <c r="A435" s="16" t="str">
        <f>IFERROR(__xludf.DUMMYFUNCTION("IFERROR(SPARKLINE(SORT(MAP(TRANSPOSE(AQ435:BL435), LAMBDA(val, IF(ISNUMBER(val), PERCENTRANK(AQ435:BL435, val)+0.01, 0))), SEQUENCE(COLUMNS(AQ435:BL435)), FALSE), {""charttype"",""column""; ""color"",""chartreuse""; ""ymin"", 0; ""ymax"", 1.01; ""highcolo"&amp;"r"", ""darkgreen""; ""lowcolor"", ""red""}), """")"),"")</f>
        <v/>
      </c>
      <c r="B435" s="17" t="str">
        <f t="shared" si="4"/>
        <v/>
      </c>
      <c r="C435" s="1" t="s">
        <v>1853</v>
      </c>
      <c r="D435" s="30" t="str">
        <f>IFERROR(__xludf.DUMMYFUNCTION("IFERROR(GOOGLEFINANCE(C435, ""NAME""))"),"Western Digital Corp")</f>
        <v>Western Digital Corp</v>
      </c>
      <c r="E435" s="30" t="s">
        <v>477</v>
      </c>
      <c r="F435" s="33" t="str">
        <f>IFERROR(__xludf.DUMMYFUNCTION("( (GOOGLEFINANCE(C435, ""price"") - Q435) / Q435 ) / (R435 / 100)"),"Loading...")</f>
        <v>Loading...</v>
      </c>
      <c r="G435" s="20" t="str">
        <f>IFERROR(__xludf.DUMMYFUNCTION("AVERAGE(ARRAYFORMULA(100 * (QUERY(GOOGLEFINANCE(C435, ""high"", TODAY()-40, TODAY()), ""SELECT Col2 WHERE Col2 IS NOT NULL ORDER BY Col1 DESC LIMIT 20"", 0) / QUERY(GOOGLEFINANCE(C435, ""low"", TODAY()-40, TODAY()), ""SELECT Col2 WHERE Col2 IS NOT NULL OR"&amp;"DER BY Col1 DESC LIMIT 20"", 0) - 1)))"),"#N/A")</f>
        <v>#N/A</v>
      </c>
      <c r="H435" s="35" t="str">
        <f t="shared" si="6"/>
        <v/>
      </c>
      <c r="I435" s="36" t="str">
        <f t="shared" si="7"/>
        <v/>
      </c>
      <c r="J435" s="37" t="str">
        <f>IFERROR(__xludf.DUMMYFUNCTION("IFERROR(
  IF(C435="""",, 
    IFERROR(
      GOOGLEFINANCE(C435, ""price"") * GOOGLEFINANCE(C435, ""volumeavg""), 
      GOOGLEFINANCE(C435, ""price"") * AVERAGE(QUERY(GOOGLEFINANCE(C435, ""volume"", TODAY()-40, TODAY()), ""SELECT Col2 WHERE Col2 IS NOT "&amp;"NULL ORDER BY Col1 DESC LIMIT 20"", 0))
    )
  ), 
"""")"),"")</f>
        <v/>
      </c>
      <c r="K435" s="21" t="str">
        <f>IFERROR(__xludf.DUMMYFUNCTION("IFERROR(GOOGLEFINANCE(C435, ""changepct"") / 100, """")"),"")</f>
        <v/>
      </c>
      <c r="L435" s="21" t="str">
        <f>IFERROR(__xludf.DUMMYFUNCTION("IFERROR((GOOGLEFINANCE(C435, ""price"") / INDEX(GOOGLEFINANCE(C435, ""price"", TODAY()-7, TODAY()), 2, 2)) - 1, """")"),"")</f>
        <v/>
      </c>
      <c r="M435" s="21" t="str">
        <f>IFERROR(__xludf.DUMMYFUNCTION("IFERROR((GOOGLEFINANCE(C435, ""price"") / INDEX(GOOGLEFINANCE(C435, ""price"", EDATE(TODAY(), -1), TODAY()), 2, 2)) - 1, """")"),"")</f>
        <v/>
      </c>
      <c r="N435" s="21" t="str">
        <f>IFERROR(__xludf.DUMMYFUNCTION("IFERROR((GOOGLEFINANCE(C435, ""price"") / INDEX(GOOGLEFINANCE(C435, ""price"", EDATE(TODAY(), -3), TODAY()), 2, 2)) - 1, """")"),"")</f>
        <v/>
      </c>
      <c r="O435" s="21" t="str">
        <f>IFERROR(__xludf.DUMMYFUNCTION("IFERROR((GOOGLEFINANCE(C435, ""price"") / INDEX(GOOGLEFINANCE(C435, ""price"", EDATE(TODAY(), -6), TODAY()), 2, 2)) - 1, """")"),"")</f>
        <v/>
      </c>
      <c r="P435" s="21" t="str">
        <f>IFERROR(__xludf.DUMMYFUNCTION("IFERROR((GOOGLEFINANCE(C435, ""price"") / INDEX(GOOGLEFINANCE(C435, ""price"", EDATE(TODAY(), -12), TODAY()), 2, 2)) - 1, """")"),"")</f>
        <v/>
      </c>
      <c r="Q435" s="6" t="str">
        <f>IFERROR(__xludf.DUMMYFUNCTION("AVERAGE(QUERY(GOOGLEFINANCE(C435, ""price"", TODAY()-80, TODAY()), ""SELECT Col2 WHERE Col2 IS NOT NULL ORDER BY Col1 DESC LIMIT 50"", 0))"),"#N/A")</f>
        <v>#N/A</v>
      </c>
      <c r="R435" s="24" t="str">
        <f>IFERROR(__xludf.DUMMYFUNCTION("IFERROR(
  LET(
    data, QUERY(GOOGLEFINANCE(C435,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GOOGLEFINANCE(C435, ""price"")) * 100,
    IF(calc=0, G435, calc)
  ), 
G435)"),"#N/A")</f>
        <v>#N/A</v>
      </c>
      <c r="S435" s="8" t="s">
        <v>15</v>
      </c>
      <c r="T435" s="26" t="str">
        <f>IFERROR(__xludf.DUMMYFUNCTION("IFERROR(TRANSPOSE(QUERY(IFERROR(SORT(GOOGLEFINANCE(C435, ""price"", WORKDAY(TODAY(), -40), TODAY()), 1, FALSE)), ""select Col2 where Col2 is not null limit 22 label Col2 ''"", 0)), """")"),"")</f>
        <v/>
      </c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8"/>
      <c r="AO435" s="28"/>
      <c r="AP435" s="29"/>
      <c r="AQ435" s="29" t="str">
        <f t="shared" ref="AQ435:BL435" si="438">T435/T$2</f>
        <v>#N/A</v>
      </c>
      <c r="AR435" s="29" t="str">
        <f t="shared" si="438"/>
        <v>#DIV/0!</v>
      </c>
      <c r="AS435" s="29" t="str">
        <f t="shared" si="438"/>
        <v>#DIV/0!</v>
      </c>
      <c r="AT435" s="29" t="str">
        <f t="shared" si="438"/>
        <v>#DIV/0!</v>
      </c>
      <c r="AU435" s="29" t="str">
        <f t="shared" si="438"/>
        <v>#DIV/0!</v>
      </c>
      <c r="AV435" s="29" t="str">
        <f t="shared" si="438"/>
        <v>#DIV/0!</v>
      </c>
      <c r="AW435" s="29" t="str">
        <f t="shared" si="438"/>
        <v>#DIV/0!</v>
      </c>
      <c r="AX435" s="29" t="str">
        <f t="shared" si="438"/>
        <v>#DIV/0!</v>
      </c>
      <c r="AY435" s="29" t="str">
        <f t="shared" si="438"/>
        <v>#DIV/0!</v>
      </c>
      <c r="AZ435" s="29" t="str">
        <f t="shared" si="438"/>
        <v>#DIV/0!</v>
      </c>
      <c r="BA435" s="29" t="str">
        <f t="shared" si="438"/>
        <v>#DIV/0!</v>
      </c>
      <c r="BB435" s="29" t="str">
        <f t="shared" si="438"/>
        <v>#DIV/0!</v>
      </c>
      <c r="BC435" s="29" t="str">
        <f t="shared" si="438"/>
        <v>#DIV/0!</v>
      </c>
      <c r="BD435" s="29" t="str">
        <f t="shared" si="438"/>
        <v>#DIV/0!</v>
      </c>
      <c r="BE435" s="29" t="str">
        <f t="shared" si="438"/>
        <v>#DIV/0!</v>
      </c>
      <c r="BF435" s="29" t="str">
        <f t="shared" si="438"/>
        <v>#DIV/0!</v>
      </c>
      <c r="BG435" s="29" t="str">
        <f t="shared" si="438"/>
        <v>#DIV/0!</v>
      </c>
      <c r="BH435" s="29" t="str">
        <f t="shared" si="438"/>
        <v>#DIV/0!</v>
      </c>
      <c r="BI435" s="29" t="str">
        <f t="shared" si="438"/>
        <v>#DIV/0!</v>
      </c>
      <c r="BJ435" s="29" t="str">
        <f t="shared" si="438"/>
        <v>#DIV/0!</v>
      </c>
      <c r="BK435" s="29" t="str">
        <f t="shared" si="438"/>
        <v>#DIV/0!</v>
      </c>
      <c r="BL435" s="29" t="str">
        <f t="shared" si="438"/>
        <v>#DIV/0!</v>
      </c>
      <c r="BM435" s="29" t="str">
        <f t="shared" si="3"/>
        <v>#DIV/0!</v>
      </c>
    </row>
    <row r="436">
      <c r="A436" s="16" t="str">
        <f>IFERROR(__xludf.DUMMYFUNCTION("IFERROR(SPARKLINE(SORT(MAP(TRANSPOSE(AQ436:BL436), LAMBDA(val, IF(ISNUMBER(val), PERCENTRANK(AQ436:BL436, val)+0.01, 0))), SEQUENCE(COLUMNS(AQ436:BL436)), FALSE), {""charttype"",""column""; ""color"",""chartreuse""; ""ymin"", 0; ""ymax"", 1.01; ""highcolo"&amp;"r"", ""darkgreen""; ""lowcolor"", ""red""}), """")"),"")</f>
        <v/>
      </c>
      <c r="B436" s="17" t="str">
        <f t="shared" si="4"/>
        <v/>
      </c>
      <c r="C436" s="1" t="s">
        <v>1858</v>
      </c>
      <c r="D436" s="30" t="str">
        <f>IFERROR(__xludf.DUMMYFUNCTION("IFERROR(GOOGLEFINANCE(C436, ""NAME""))"),"Applied Optoelectronics Inc")</f>
        <v>Applied Optoelectronics Inc</v>
      </c>
      <c r="E436" s="30" t="s">
        <v>716</v>
      </c>
      <c r="F436" s="33" t="str">
        <f>IFERROR(__xludf.DUMMYFUNCTION("( (GOOGLEFINANCE(C436, ""price"") - Q436) / Q436 ) / (R436 / 100)"),"Loading...")</f>
        <v>Loading...</v>
      </c>
      <c r="G436" s="20" t="str">
        <f>IFERROR(__xludf.DUMMYFUNCTION("AVERAGE(ARRAYFORMULA(100 * (QUERY(GOOGLEFINANCE(C436, ""high"", TODAY()-40, TODAY()), ""SELECT Col2 WHERE Col2 IS NOT NULL ORDER BY Col1 DESC LIMIT 20"", 0) / QUERY(GOOGLEFINANCE(C436, ""low"", TODAY()-40, TODAY()), ""SELECT Col2 WHERE Col2 IS NOT NULL OR"&amp;"DER BY Col1 DESC LIMIT 20"", 0) - 1)))"),"#N/A")</f>
        <v>#N/A</v>
      </c>
      <c r="H436" s="35" t="str">
        <f t="shared" si="6"/>
        <v/>
      </c>
      <c r="I436" s="36" t="str">
        <f t="shared" si="7"/>
        <v/>
      </c>
      <c r="J436" s="37" t="str">
        <f>IFERROR(__xludf.DUMMYFUNCTION("IFERROR(
  IF(C436="""",, 
    IFERROR(
      GOOGLEFINANCE(C436, ""price"") * GOOGLEFINANCE(C436, ""volumeavg""), 
      GOOGLEFINANCE(C436, ""price"") * AVERAGE(QUERY(GOOGLEFINANCE(C436, ""volume"", TODAY()-40, TODAY()), ""SELECT Col2 WHERE Col2 IS NOT "&amp;"NULL ORDER BY Col1 DESC LIMIT 20"", 0))
    )
  ), 
"""")"),"")</f>
        <v/>
      </c>
      <c r="K436" s="21" t="str">
        <f>IFERROR(__xludf.DUMMYFUNCTION("IFERROR(GOOGLEFINANCE(C436, ""changepct"") / 100, """")"),"")</f>
        <v/>
      </c>
      <c r="L436" s="21" t="str">
        <f>IFERROR(__xludf.DUMMYFUNCTION("IFERROR((GOOGLEFINANCE(C436, ""price"") / INDEX(GOOGLEFINANCE(C436, ""price"", TODAY()-7, TODAY()), 2, 2)) - 1, """")"),"")</f>
        <v/>
      </c>
      <c r="M436" s="21" t="str">
        <f>IFERROR(__xludf.DUMMYFUNCTION("IFERROR((GOOGLEFINANCE(C436, ""price"") / INDEX(GOOGLEFINANCE(C436, ""price"", EDATE(TODAY(), -1), TODAY()), 2, 2)) - 1, """")"),"")</f>
        <v/>
      </c>
      <c r="N436" s="21" t="str">
        <f>IFERROR(__xludf.DUMMYFUNCTION("IFERROR((GOOGLEFINANCE(C436, ""price"") / INDEX(GOOGLEFINANCE(C436, ""price"", EDATE(TODAY(), -3), TODAY()), 2, 2)) - 1, """")"),"")</f>
        <v/>
      </c>
      <c r="O436" s="21" t="str">
        <f>IFERROR(__xludf.DUMMYFUNCTION("IFERROR((GOOGLEFINANCE(C436, ""price"") / INDEX(GOOGLEFINANCE(C436, ""price"", EDATE(TODAY(), -6), TODAY()), 2, 2)) - 1, """")"),"")</f>
        <v/>
      </c>
      <c r="P436" s="21" t="str">
        <f>IFERROR(__xludf.DUMMYFUNCTION("IFERROR((GOOGLEFINANCE(C436, ""price"") / INDEX(GOOGLEFINANCE(C436, ""price"", EDATE(TODAY(), -12), TODAY()), 2, 2)) - 1, """")"),"")</f>
        <v/>
      </c>
      <c r="Q436" s="6" t="str">
        <f>IFERROR(__xludf.DUMMYFUNCTION("AVERAGE(QUERY(GOOGLEFINANCE(C436, ""price"", TODAY()-80, TODAY()), ""SELECT Col2 WHERE Col2 IS NOT NULL ORDER BY Col1 DESC LIMIT 50"", 0))"),"#N/A")</f>
        <v>#N/A</v>
      </c>
      <c r="R436" s="24" t="str">
        <f>IFERROR(__xludf.DUMMYFUNCTION("IFERROR(
  LET(
    data, QUERY(GOOGLEFINANCE(C436,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GOOGLEFINANCE(C436, ""price"")) * 100,
    IF(calc=0, G436, calc)
  ), 
G436)"),"#N/A")</f>
        <v>#N/A</v>
      </c>
      <c r="S436" s="8" t="s">
        <v>15</v>
      </c>
      <c r="T436" s="26" t="str">
        <f>IFERROR(__xludf.DUMMYFUNCTION("IFERROR(TRANSPOSE(QUERY(IFERROR(SORT(GOOGLEFINANCE(C436, ""price"", WORKDAY(TODAY(), -40), TODAY()), 1, FALSE)), ""select Col2 where Col2 is not null limit 22 label Col2 ''"", 0)), """")"),"")</f>
        <v/>
      </c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8"/>
      <c r="AO436" s="28"/>
      <c r="AP436" s="29"/>
      <c r="AQ436" s="29" t="str">
        <f t="shared" ref="AQ436:BL436" si="439">T436/T$2</f>
        <v>#N/A</v>
      </c>
      <c r="AR436" s="29" t="str">
        <f t="shared" si="439"/>
        <v>#DIV/0!</v>
      </c>
      <c r="AS436" s="29" t="str">
        <f t="shared" si="439"/>
        <v>#DIV/0!</v>
      </c>
      <c r="AT436" s="29" t="str">
        <f t="shared" si="439"/>
        <v>#DIV/0!</v>
      </c>
      <c r="AU436" s="29" t="str">
        <f t="shared" si="439"/>
        <v>#DIV/0!</v>
      </c>
      <c r="AV436" s="29" t="str">
        <f t="shared" si="439"/>
        <v>#DIV/0!</v>
      </c>
      <c r="AW436" s="29" t="str">
        <f t="shared" si="439"/>
        <v>#DIV/0!</v>
      </c>
      <c r="AX436" s="29" t="str">
        <f t="shared" si="439"/>
        <v>#DIV/0!</v>
      </c>
      <c r="AY436" s="29" t="str">
        <f t="shared" si="439"/>
        <v>#DIV/0!</v>
      </c>
      <c r="AZ436" s="29" t="str">
        <f t="shared" si="439"/>
        <v>#DIV/0!</v>
      </c>
      <c r="BA436" s="29" t="str">
        <f t="shared" si="439"/>
        <v>#DIV/0!</v>
      </c>
      <c r="BB436" s="29" t="str">
        <f t="shared" si="439"/>
        <v>#DIV/0!</v>
      </c>
      <c r="BC436" s="29" t="str">
        <f t="shared" si="439"/>
        <v>#DIV/0!</v>
      </c>
      <c r="BD436" s="29" t="str">
        <f t="shared" si="439"/>
        <v>#DIV/0!</v>
      </c>
      <c r="BE436" s="29" t="str">
        <f t="shared" si="439"/>
        <v>#DIV/0!</v>
      </c>
      <c r="BF436" s="29" t="str">
        <f t="shared" si="439"/>
        <v>#DIV/0!</v>
      </c>
      <c r="BG436" s="29" t="str">
        <f t="shared" si="439"/>
        <v>#DIV/0!</v>
      </c>
      <c r="BH436" s="29" t="str">
        <f t="shared" si="439"/>
        <v>#DIV/0!</v>
      </c>
      <c r="BI436" s="29" t="str">
        <f t="shared" si="439"/>
        <v>#DIV/0!</v>
      </c>
      <c r="BJ436" s="29" t="str">
        <f t="shared" si="439"/>
        <v>#DIV/0!</v>
      </c>
      <c r="BK436" s="29" t="str">
        <f t="shared" si="439"/>
        <v>#DIV/0!</v>
      </c>
      <c r="BL436" s="29" t="str">
        <f t="shared" si="439"/>
        <v>#DIV/0!</v>
      </c>
      <c r="BM436" s="29" t="str">
        <f t="shared" si="3"/>
        <v>#DIV/0!</v>
      </c>
    </row>
    <row r="437">
      <c r="A437" s="16" t="str">
        <f>IFERROR(__xludf.DUMMYFUNCTION("IFERROR(SPARKLINE(SORT(MAP(TRANSPOSE(AQ437:BL437), LAMBDA(val, IF(ISNUMBER(val), PERCENTRANK(AQ437:BL437, val)+0.01, 0))), SEQUENCE(COLUMNS(AQ437:BL437)), FALSE), {""charttype"",""column""; ""color"",""chartreuse""; ""ymin"", 0; ""ymax"", 1.01; ""highcolo"&amp;"r"", ""darkgreen""; ""lowcolor"", ""red""}), """")"),"")</f>
        <v/>
      </c>
      <c r="B437" s="17" t="str">
        <f t="shared" si="4"/>
        <v/>
      </c>
      <c r="C437" s="1" t="s">
        <v>1862</v>
      </c>
      <c r="D437" s="30" t="str">
        <f>IFERROR(__xludf.DUMMYFUNCTION("IFERROR(GOOGLEFINANCE(C437, ""NAME""))"),"Navitas Semiconductor Corp")</f>
        <v>Navitas Semiconductor Corp</v>
      </c>
      <c r="E437" s="30" t="s">
        <v>871</v>
      </c>
      <c r="F437" s="33" t="str">
        <f>IFERROR(__xludf.DUMMYFUNCTION("( (GOOGLEFINANCE(C437, ""price"") - Q437) / Q437 ) / (R437 / 100)"),"Loading...")</f>
        <v>Loading...</v>
      </c>
      <c r="G437" s="20" t="str">
        <f>IFERROR(__xludf.DUMMYFUNCTION("AVERAGE(ARRAYFORMULA(100 * (QUERY(GOOGLEFINANCE(C437, ""high"", TODAY()-40, TODAY()), ""SELECT Col2 WHERE Col2 IS NOT NULL ORDER BY Col1 DESC LIMIT 20"", 0) / QUERY(GOOGLEFINANCE(C437, ""low"", TODAY()-40, TODAY()), ""SELECT Col2 WHERE Col2 IS NOT NULL OR"&amp;"DER BY Col1 DESC LIMIT 20"", 0) - 1)))"),"#N/A")</f>
        <v>#N/A</v>
      </c>
      <c r="H437" s="35" t="str">
        <f t="shared" si="6"/>
        <v/>
      </c>
      <c r="I437" s="36" t="str">
        <f t="shared" si="7"/>
        <v/>
      </c>
      <c r="J437" s="37" t="str">
        <f>IFERROR(__xludf.DUMMYFUNCTION("IFERROR(
  IF(C437="""",, 
    IFERROR(
      GOOGLEFINANCE(C437, ""price"") * GOOGLEFINANCE(C437, ""volumeavg""), 
      GOOGLEFINANCE(C437, ""price"") * AVERAGE(QUERY(GOOGLEFINANCE(C437, ""volume"", TODAY()-40, TODAY()), ""SELECT Col2 WHERE Col2 IS NOT "&amp;"NULL ORDER BY Col1 DESC LIMIT 20"", 0))
    )
  ), 
"""")"),"")</f>
        <v/>
      </c>
      <c r="K437" s="21" t="str">
        <f>IFERROR(__xludf.DUMMYFUNCTION("IFERROR(GOOGLEFINANCE(C437, ""changepct"") / 100, """")"),"")</f>
        <v/>
      </c>
      <c r="L437" s="21" t="str">
        <f>IFERROR(__xludf.DUMMYFUNCTION("IFERROR((GOOGLEFINANCE(C437, ""price"") / INDEX(GOOGLEFINANCE(C437, ""price"", TODAY()-7, TODAY()), 2, 2)) - 1, """")"),"")</f>
        <v/>
      </c>
      <c r="M437" s="21" t="str">
        <f>IFERROR(__xludf.DUMMYFUNCTION("IFERROR((GOOGLEFINANCE(C437, ""price"") / INDEX(GOOGLEFINANCE(C437, ""price"", EDATE(TODAY(), -1), TODAY()), 2, 2)) - 1, """")"),"")</f>
        <v/>
      </c>
      <c r="N437" s="21" t="str">
        <f>IFERROR(__xludf.DUMMYFUNCTION("IFERROR((GOOGLEFINANCE(C437, ""price"") / INDEX(GOOGLEFINANCE(C437, ""price"", EDATE(TODAY(), -3), TODAY()), 2, 2)) - 1, """")"),"")</f>
        <v/>
      </c>
      <c r="O437" s="21" t="str">
        <f>IFERROR(__xludf.DUMMYFUNCTION("IFERROR((GOOGLEFINANCE(C437, ""price"") / INDEX(GOOGLEFINANCE(C437, ""price"", EDATE(TODAY(), -6), TODAY()), 2, 2)) - 1, """")"),"")</f>
        <v/>
      </c>
      <c r="P437" s="21" t="str">
        <f>IFERROR(__xludf.DUMMYFUNCTION("IFERROR((GOOGLEFINANCE(C437, ""price"") / INDEX(GOOGLEFINANCE(C437, ""price"", EDATE(TODAY(), -12), TODAY()), 2, 2)) - 1, """")"),"")</f>
        <v/>
      </c>
      <c r="Q437" s="6" t="str">
        <f>IFERROR(__xludf.DUMMYFUNCTION("AVERAGE(QUERY(GOOGLEFINANCE(C437, ""price"", TODAY()-80, TODAY()), ""SELECT Col2 WHERE Col2 IS NOT NULL ORDER BY Col1 DESC LIMIT 50"", 0))"),"#N/A")</f>
        <v>#N/A</v>
      </c>
      <c r="R437" s="24" t="str">
        <f>IFERROR(__xludf.DUMMYFUNCTION("IFERROR(
  LET(
    data, QUERY(GOOGLEFINANCE(C437,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GOOGLEFINANCE(C437, ""price"")) * 100,
    IF(calc=0, G437, calc)
  ), 
G437)"),"#N/A")</f>
        <v>#N/A</v>
      </c>
      <c r="S437" s="8" t="s">
        <v>15</v>
      </c>
      <c r="T437" s="26" t="str">
        <f>IFERROR(__xludf.DUMMYFUNCTION("IFERROR(TRANSPOSE(QUERY(IFERROR(SORT(GOOGLEFINANCE(C437, ""price"", WORKDAY(TODAY(), -40), TODAY()), 1, FALSE)), ""select Col2 where Col2 is not null limit 22 label Col2 ''"", 0)), """")"),"")</f>
        <v/>
      </c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8"/>
      <c r="AO437" s="28"/>
      <c r="AP437" s="29"/>
      <c r="AQ437" s="29" t="str">
        <f t="shared" ref="AQ437:BL437" si="440">T437/T$2</f>
        <v>#N/A</v>
      </c>
      <c r="AR437" s="29" t="str">
        <f t="shared" si="440"/>
        <v>#DIV/0!</v>
      </c>
      <c r="AS437" s="29" t="str">
        <f t="shared" si="440"/>
        <v>#DIV/0!</v>
      </c>
      <c r="AT437" s="29" t="str">
        <f t="shared" si="440"/>
        <v>#DIV/0!</v>
      </c>
      <c r="AU437" s="29" t="str">
        <f t="shared" si="440"/>
        <v>#DIV/0!</v>
      </c>
      <c r="AV437" s="29" t="str">
        <f t="shared" si="440"/>
        <v>#DIV/0!</v>
      </c>
      <c r="AW437" s="29" t="str">
        <f t="shared" si="440"/>
        <v>#DIV/0!</v>
      </c>
      <c r="AX437" s="29" t="str">
        <f t="shared" si="440"/>
        <v>#DIV/0!</v>
      </c>
      <c r="AY437" s="29" t="str">
        <f t="shared" si="440"/>
        <v>#DIV/0!</v>
      </c>
      <c r="AZ437" s="29" t="str">
        <f t="shared" si="440"/>
        <v>#DIV/0!</v>
      </c>
      <c r="BA437" s="29" t="str">
        <f t="shared" si="440"/>
        <v>#DIV/0!</v>
      </c>
      <c r="BB437" s="29" t="str">
        <f t="shared" si="440"/>
        <v>#DIV/0!</v>
      </c>
      <c r="BC437" s="29" t="str">
        <f t="shared" si="440"/>
        <v>#DIV/0!</v>
      </c>
      <c r="BD437" s="29" t="str">
        <f t="shared" si="440"/>
        <v>#DIV/0!</v>
      </c>
      <c r="BE437" s="29" t="str">
        <f t="shared" si="440"/>
        <v>#DIV/0!</v>
      </c>
      <c r="BF437" s="29" t="str">
        <f t="shared" si="440"/>
        <v>#DIV/0!</v>
      </c>
      <c r="BG437" s="29" t="str">
        <f t="shared" si="440"/>
        <v>#DIV/0!</v>
      </c>
      <c r="BH437" s="29" t="str">
        <f t="shared" si="440"/>
        <v>#DIV/0!</v>
      </c>
      <c r="BI437" s="29" t="str">
        <f t="shared" si="440"/>
        <v>#DIV/0!</v>
      </c>
      <c r="BJ437" s="29" t="str">
        <f t="shared" si="440"/>
        <v>#DIV/0!</v>
      </c>
      <c r="BK437" s="29" t="str">
        <f t="shared" si="440"/>
        <v>#DIV/0!</v>
      </c>
      <c r="BL437" s="29" t="str">
        <f t="shared" si="440"/>
        <v>#DIV/0!</v>
      </c>
      <c r="BM437" s="29" t="str">
        <f t="shared" si="3"/>
        <v>#DIV/0!</v>
      </c>
    </row>
    <row r="438">
      <c r="A438" s="16" t="str">
        <f>IFERROR(__xludf.DUMMYFUNCTION("IFERROR(SPARKLINE(SORT(MAP(TRANSPOSE(AQ438:BL438), LAMBDA(val, IF(ISNUMBER(val), PERCENTRANK(AQ438:BL438, val)+0.01, 0))), SEQUENCE(COLUMNS(AQ438:BL438)), FALSE), {""charttype"",""column""; ""color"",""chartreuse""; ""ymin"", 0; ""ymax"", 1.01; ""highcolo"&amp;"r"", ""darkgreen""; ""lowcolor"", ""red""}), """")"),"")</f>
        <v/>
      </c>
      <c r="B438" s="17" t="str">
        <f t="shared" si="4"/>
        <v/>
      </c>
      <c r="C438" s="1" t="s">
        <v>1866</v>
      </c>
      <c r="D438" s="30" t="str">
        <f>IFERROR(__xludf.DUMMYFUNCTION("IFERROR(GOOGLEFINANCE(C438, ""NAME""))"),"Ondas Inc")</f>
        <v>Ondas Inc</v>
      </c>
      <c r="E438" s="30" t="s">
        <v>716</v>
      </c>
      <c r="F438" s="33" t="str">
        <f>IFERROR(__xludf.DUMMYFUNCTION("( (GOOGLEFINANCE(C438, ""price"") - Q438) / Q438 ) / (R438 / 100)"),"Loading...")</f>
        <v>Loading...</v>
      </c>
      <c r="G438" s="20" t="str">
        <f>IFERROR(__xludf.DUMMYFUNCTION("AVERAGE(ARRAYFORMULA(100 * (QUERY(GOOGLEFINANCE(C438, ""high"", TODAY()-40, TODAY()), ""SELECT Col2 WHERE Col2 IS NOT NULL ORDER BY Col1 DESC LIMIT 20"", 0) / QUERY(GOOGLEFINANCE(C438, ""low"", TODAY()-40, TODAY()), ""SELECT Col2 WHERE Col2 IS NOT NULL OR"&amp;"DER BY Col1 DESC LIMIT 20"", 0) - 1)))"),"#N/A")</f>
        <v>#N/A</v>
      </c>
      <c r="H438" s="35" t="str">
        <f t="shared" si="6"/>
        <v/>
      </c>
      <c r="I438" s="36" t="str">
        <f t="shared" si="7"/>
        <v/>
      </c>
      <c r="J438" s="37" t="str">
        <f>IFERROR(__xludf.DUMMYFUNCTION("IFERROR(
  IF(C438="""",, 
    IFERROR(
      GOOGLEFINANCE(C438, ""price"") * GOOGLEFINANCE(C438, ""volumeavg""), 
      GOOGLEFINANCE(C438, ""price"") * AVERAGE(QUERY(GOOGLEFINANCE(C438, ""volume"", TODAY()-40, TODAY()), ""SELECT Col2 WHERE Col2 IS NOT "&amp;"NULL ORDER BY Col1 DESC LIMIT 20"", 0))
    )
  ), 
"""")"),"")</f>
        <v/>
      </c>
      <c r="K438" s="21" t="str">
        <f>IFERROR(__xludf.DUMMYFUNCTION("IFERROR(GOOGLEFINANCE(C438, ""changepct"") / 100, """")"),"")</f>
        <v/>
      </c>
      <c r="L438" s="21" t="str">
        <f>IFERROR(__xludf.DUMMYFUNCTION("IFERROR((GOOGLEFINANCE(C438, ""price"") / INDEX(GOOGLEFINANCE(C438, ""price"", TODAY()-7, TODAY()), 2, 2)) - 1, """")"),"")</f>
        <v/>
      </c>
      <c r="M438" s="21" t="str">
        <f>IFERROR(__xludf.DUMMYFUNCTION("IFERROR((GOOGLEFINANCE(C438, ""price"") / INDEX(GOOGLEFINANCE(C438, ""price"", EDATE(TODAY(), -1), TODAY()), 2, 2)) - 1, """")"),"")</f>
        <v/>
      </c>
      <c r="N438" s="21" t="str">
        <f>IFERROR(__xludf.DUMMYFUNCTION("IFERROR((GOOGLEFINANCE(C438, ""price"") / INDEX(GOOGLEFINANCE(C438, ""price"", EDATE(TODAY(), -3), TODAY()), 2, 2)) - 1, """")"),"")</f>
        <v/>
      </c>
      <c r="O438" s="21" t="str">
        <f>IFERROR(__xludf.DUMMYFUNCTION("IFERROR((GOOGLEFINANCE(C438, ""price"") / INDEX(GOOGLEFINANCE(C438, ""price"", EDATE(TODAY(), -6), TODAY()), 2, 2)) - 1, """")"),"")</f>
        <v/>
      </c>
      <c r="P438" s="21" t="str">
        <f>IFERROR(__xludf.DUMMYFUNCTION("IFERROR((GOOGLEFINANCE(C438, ""price"") / INDEX(GOOGLEFINANCE(C438, ""price"", EDATE(TODAY(), -12), TODAY()), 2, 2)) - 1, """")"),"")</f>
        <v/>
      </c>
      <c r="Q438" s="6" t="str">
        <f>IFERROR(__xludf.DUMMYFUNCTION("AVERAGE(QUERY(GOOGLEFINANCE(C438, ""price"", TODAY()-80, TODAY()), ""SELECT Col2 WHERE Col2 IS NOT NULL ORDER BY Col1 DESC LIMIT 50"", 0))"),"#N/A")</f>
        <v>#N/A</v>
      </c>
      <c r="R438" s="24" t="str">
        <f>IFERROR(__xludf.DUMMYFUNCTION("IFERROR(
  LET(
    data, QUERY(GOOGLEFINANCE(C438,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GOOGLEFINANCE(C438, ""price"")) * 100,
    IF(calc=0, G438, calc)
  ), 
G438)"),"#N/A")</f>
        <v>#N/A</v>
      </c>
      <c r="S438" s="8" t="s">
        <v>15</v>
      </c>
      <c r="T438" s="26" t="str">
        <f>IFERROR(__xludf.DUMMYFUNCTION("IFERROR(TRANSPOSE(QUERY(IFERROR(SORT(GOOGLEFINANCE(C438, ""price"", WORKDAY(TODAY(), -40), TODAY()), 1, FALSE)), ""select Col2 where Col2 is not null limit 22 label Col2 ''"", 0)), """")"),"")</f>
        <v/>
      </c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8"/>
      <c r="AO438" s="28"/>
      <c r="AP438" s="29"/>
      <c r="AQ438" s="29" t="str">
        <f t="shared" ref="AQ438:BL438" si="441">T438/T$2</f>
        <v>#N/A</v>
      </c>
      <c r="AR438" s="29" t="str">
        <f t="shared" si="441"/>
        <v>#DIV/0!</v>
      </c>
      <c r="AS438" s="29" t="str">
        <f t="shared" si="441"/>
        <v>#DIV/0!</v>
      </c>
      <c r="AT438" s="29" t="str">
        <f t="shared" si="441"/>
        <v>#DIV/0!</v>
      </c>
      <c r="AU438" s="29" t="str">
        <f t="shared" si="441"/>
        <v>#DIV/0!</v>
      </c>
      <c r="AV438" s="29" t="str">
        <f t="shared" si="441"/>
        <v>#DIV/0!</v>
      </c>
      <c r="AW438" s="29" t="str">
        <f t="shared" si="441"/>
        <v>#DIV/0!</v>
      </c>
      <c r="AX438" s="29" t="str">
        <f t="shared" si="441"/>
        <v>#DIV/0!</v>
      </c>
      <c r="AY438" s="29" t="str">
        <f t="shared" si="441"/>
        <v>#DIV/0!</v>
      </c>
      <c r="AZ438" s="29" t="str">
        <f t="shared" si="441"/>
        <v>#DIV/0!</v>
      </c>
      <c r="BA438" s="29" t="str">
        <f t="shared" si="441"/>
        <v>#DIV/0!</v>
      </c>
      <c r="BB438" s="29" t="str">
        <f t="shared" si="441"/>
        <v>#DIV/0!</v>
      </c>
      <c r="BC438" s="29" t="str">
        <f t="shared" si="441"/>
        <v>#DIV/0!</v>
      </c>
      <c r="BD438" s="29" t="str">
        <f t="shared" si="441"/>
        <v>#DIV/0!</v>
      </c>
      <c r="BE438" s="29" t="str">
        <f t="shared" si="441"/>
        <v>#DIV/0!</v>
      </c>
      <c r="BF438" s="29" t="str">
        <f t="shared" si="441"/>
        <v>#DIV/0!</v>
      </c>
      <c r="BG438" s="29" t="str">
        <f t="shared" si="441"/>
        <v>#DIV/0!</v>
      </c>
      <c r="BH438" s="29" t="str">
        <f t="shared" si="441"/>
        <v>#DIV/0!</v>
      </c>
      <c r="BI438" s="29" t="str">
        <f t="shared" si="441"/>
        <v>#DIV/0!</v>
      </c>
      <c r="BJ438" s="29" t="str">
        <f t="shared" si="441"/>
        <v>#DIV/0!</v>
      </c>
      <c r="BK438" s="29" t="str">
        <f t="shared" si="441"/>
        <v>#DIV/0!</v>
      </c>
      <c r="BL438" s="29" t="str">
        <f t="shared" si="441"/>
        <v>#DIV/0!</v>
      </c>
      <c r="BM438" s="29" t="str">
        <f t="shared" si="3"/>
        <v>#DIV/0!</v>
      </c>
    </row>
    <row r="439">
      <c r="A439" s="16" t="str">
        <f>IFERROR(__xludf.DUMMYFUNCTION("IFERROR(SPARKLINE(SORT(MAP(TRANSPOSE(AQ439:BL439), LAMBDA(val, IF(ISNUMBER(val), PERCENTRANK(AQ439:BL439, val)+0.01, 0))), SEQUENCE(COLUMNS(AQ439:BL439)), FALSE), {""charttype"",""column""; ""color"",""chartreuse""; ""ymin"", 0; ""ymax"", 1.01; ""highcolo"&amp;"r"", ""darkgreen""; ""lowcolor"", ""red""}), """")"),"")</f>
        <v/>
      </c>
      <c r="B439" s="17" t="str">
        <f t="shared" si="4"/>
        <v/>
      </c>
      <c r="C439" s="1" t="s">
        <v>1870</v>
      </c>
      <c r="D439" s="30" t="str">
        <f>IFERROR(__xludf.DUMMYFUNCTION("IFERROR(GOOGLEFINANCE(C439, ""NAME""))"),"Aehr Test Systems")</f>
        <v>Aehr Test Systems</v>
      </c>
      <c r="E439" s="30" t="s">
        <v>1195</v>
      </c>
      <c r="F439" s="33" t="str">
        <f>IFERROR(__xludf.DUMMYFUNCTION("( (GOOGLEFINANCE(C439, ""price"") - Q439) / Q439 ) / (R439 / 100)"),"Loading...")</f>
        <v>Loading...</v>
      </c>
      <c r="G439" s="20" t="str">
        <f>IFERROR(__xludf.DUMMYFUNCTION("AVERAGE(ARRAYFORMULA(100 * (QUERY(GOOGLEFINANCE(C439, ""high"", TODAY()-40, TODAY()), ""SELECT Col2 WHERE Col2 IS NOT NULL ORDER BY Col1 DESC LIMIT 20"", 0) / QUERY(GOOGLEFINANCE(C439, ""low"", TODAY()-40, TODAY()), ""SELECT Col2 WHERE Col2 IS NOT NULL OR"&amp;"DER BY Col1 DESC LIMIT 20"", 0) - 1)))"),"#N/A")</f>
        <v>#N/A</v>
      </c>
      <c r="H439" s="35" t="str">
        <f t="shared" si="6"/>
        <v/>
      </c>
      <c r="I439" s="36" t="str">
        <f t="shared" si="7"/>
        <v/>
      </c>
      <c r="J439" s="37" t="str">
        <f>IFERROR(__xludf.DUMMYFUNCTION("IFERROR(
  IF(C439="""",, 
    IFERROR(
      GOOGLEFINANCE(C439, ""price"") * GOOGLEFINANCE(C439, ""volumeavg""), 
      GOOGLEFINANCE(C439, ""price"") * AVERAGE(QUERY(GOOGLEFINANCE(C439, ""volume"", TODAY()-40, TODAY()), ""SELECT Col2 WHERE Col2 IS NOT "&amp;"NULL ORDER BY Col1 DESC LIMIT 20"", 0))
    )
  ), 
"""")"),"")</f>
        <v/>
      </c>
      <c r="K439" s="21" t="str">
        <f>IFERROR(__xludf.DUMMYFUNCTION("IFERROR(GOOGLEFINANCE(C439, ""changepct"") / 100, """")"),"")</f>
        <v/>
      </c>
      <c r="L439" s="21" t="str">
        <f>IFERROR(__xludf.DUMMYFUNCTION("IFERROR((GOOGLEFINANCE(C439, ""price"") / INDEX(GOOGLEFINANCE(C439, ""price"", TODAY()-7, TODAY()), 2, 2)) - 1, """")"),"")</f>
        <v/>
      </c>
      <c r="M439" s="21" t="str">
        <f>IFERROR(__xludf.DUMMYFUNCTION("IFERROR((GOOGLEFINANCE(C439, ""price"") / INDEX(GOOGLEFINANCE(C439, ""price"", EDATE(TODAY(), -1), TODAY()), 2, 2)) - 1, """")"),"")</f>
        <v/>
      </c>
      <c r="N439" s="21" t="str">
        <f>IFERROR(__xludf.DUMMYFUNCTION("IFERROR((GOOGLEFINANCE(C439, ""price"") / INDEX(GOOGLEFINANCE(C439, ""price"", EDATE(TODAY(), -3), TODAY()), 2, 2)) - 1, """")"),"")</f>
        <v/>
      </c>
      <c r="O439" s="21" t="str">
        <f>IFERROR(__xludf.DUMMYFUNCTION("IFERROR((GOOGLEFINANCE(C439, ""price"") / INDEX(GOOGLEFINANCE(C439, ""price"", EDATE(TODAY(), -6), TODAY()), 2, 2)) - 1, """")"),"")</f>
        <v/>
      </c>
      <c r="P439" s="21" t="str">
        <f>IFERROR(__xludf.DUMMYFUNCTION("IFERROR((GOOGLEFINANCE(C439, ""price"") / INDEX(GOOGLEFINANCE(C439, ""price"", EDATE(TODAY(), -12), TODAY()), 2, 2)) - 1, """")"),"")</f>
        <v/>
      </c>
      <c r="Q439" s="6" t="str">
        <f>IFERROR(__xludf.DUMMYFUNCTION("AVERAGE(QUERY(GOOGLEFINANCE(C439, ""price"", TODAY()-80, TODAY()), ""SELECT Col2 WHERE Col2 IS NOT NULL ORDER BY Col1 DESC LIMIT 50"", 0))"),"#N/A")</f>
        <v>#N/A</v>
      </c>
      <c r="R439" s="24" t="str">
        <f>IFERROR(__xludf.DUMMYFUNCTION("IFERROR(
  LET(
    data, QUERY(GOOGLEFINANCE(C439,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GOOGLEFINANCE(C439, ""price"")) * 100,
    IF(calc=0, G439, calc)
  ), 
G439)"),"#N/A")</f>
        <v>#N/A</v>
      </c>
      <c r="S439" s="8" t="s">
        <v>15</v>
      </c>
      <c r="T439" s="26" t="str">
        <f>IFERROR(__xludf.DUMMYFUNCTION("IFERROR(TRANSPOSE(QUERY(IFERROR(SORT(GOOGLEFINANCE(C439, ""price"", WORKDAY(TODAY(), -40), TODAY()), 1, FALSE)), ""select Col2 where Col2 is not null limit 22 label Col2 ''"", 0)), """")"),"")</f>
        <v/>
      </c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8"/>
      <c r="AO439" s="28"/>
      <c r="AP439" s="29"/>
      <c r="AQ439" s="29" t="str">
        <f t="shared" ref="AQ439:BL439" si="442">T439/T$2</f>
        <v>#N/A</v>
      </c>
      <c r="AR439" s="29" t="str">
        <f t="shared" si="442"/>
        <v>#DIV/0!</v>
      </c>
      <c r="AS439" s="29" t="str">
        <f t="shared" si="442"/>
        <v>#DIV/0!</v>
      </c>
      <c r="AT439" s="29" t="str">
        <f t="shared" si="442"/>
        <v>#DIV/0!</v>
      </c>
      <c r="AU439" s="29" t="str">
        <f t="shared" si="442"/>
        <v>#DIV/0!</v>
      </c>
      <c r="AV439" s="29" t="str">
        <f t="shared" si="442"/>
        <v>#DIV/0!</v>
      </c>
      <c r="AW439" s="29" t="str">
        <f t="shared" si="442"/>
        <v>#DIV/0!</v>
      </c>
      <c r="AX439" s="29" t="str">
        <f t="shared" si="442"/>
        <v>#DIV/0!</v>
      </c>
      <c r="AY439" s="29" t="str">
        <f t="shared" si="442"/>
        <v>#DIV/0!</v>
      </c>
      <c r="AZ439" s="29" t="str">
        <f t="shared" si="442"/>
        <v>#DIV/0!</v>
      </c>
      <c r="BA439" s="29" t="str">
        <f t="shared" si="442"/>
        <v>#DIV/0!</v>
      </c>
      <c r="BB439" s="29" t="str">
        <f t="shared" si="442"/>
        <v>#DIV/0!</v>
      </c>
      <c r="BC439" s="29" t="str">
        <f t="shared" si="442"/>
        <v>#DIV/0!</v>
      </c>
      <c r="BD439" s="29" t="str">
        <f t="shared" si="442"/>
        <v>#DIV/0!</v>
      </c>
      <c r="BE439" s="29" t="str">
        <f t="shared" si="442"/>
        <v>#DIV/0!</v>
      </c>
      <c r="BF439" s="29" t="str">
        <f t="shared" si="442"/>
        <v>#DIV/0!</v>
      </c>
      <c r="BG439" s="29" t="str">
        <f t="shared" si="442"/>
        <v>#DIV/0!</v>
      </c>
      <c r="BH439" s="29" t="str">
        <f t="shared" si="442"/>
        <v>#DIV/0!</v>
      </c>
      <c r="BI439" s="29" t="str">
        <f t="shared" si="442"/>
        <v>#DIV/0!</v>
      </c>
      <c r="BJ439" s="29" t="str">
        <f t="shared" si="442"/>
        <v>#DIV/0!</v>
      </c>
      <c r="BK439" s="29" t="str">
        <f t="shared" si="442"/>
        <v>#DIV/0!</v>
      </c>
      <c r="BL439" s="29" t="str">
        <f t="shared" si="442"/>
        <v>#DIV/0!</v>
      </c>
      <c r="BM439" s="29" t="str">
        <f t="shared" si="3"/>
        <v>#DIV/0!</v>
      </c>
    </row>
    <row r="440">
      <c r="A440" s="16" t="str">
        <f>IFERROR(__xludf.DUMMYFUNCTION("IFERROR(SPARKLINE(SORT(MAP(TRANSPOSE(AQ440:BL440), LAMBDA(val, IF(ISNUMBER(val), PERCENTRANK(AQ440:BL440, val)+0.01, 0))), SEQUENCE(COLUMNS(AQ440:BL440)), FALSE), {""charttype"",""column""; ""color"",""chartreuse""; ""ymin"", 0; ""ymax"", 1.01; ""highcolo"&amp;"r"", ""darkgreen""; ""lowcolor"", ""red""}), """")"),"")</f>
        <v/>
      </c>
      <c r="B440" s="17" t="str">
        <f t="shared" si="4"/>
        <v/>
      </c>
      <c r="C440" s="1" t="s">
        <v>1874</v>
      </c>
      <c r="D440" s="30" t="str">
        <f>IFERROR(__xludf.DUMMYFUNCTION("IFERROR(GOOGLEFINANCE(C440, ""NAME""))"),"Lumentum Holdings Inc")</f>
        <v>Lumentum Holdings Inc</v>
      </c>
      <c r="E440" s="30" t="s">
        <v>716</v>
      </c>
      <c r="F440" s="38" t="str">
        <f>IFERROR(__xludf.DUMMYFUNCTION("( (GOOGLEFINANCE(C440, ""price"") - Q440) / Q440 ) / (R440 / 100)"),"Loading...")</f>
        <v>Loading...</v>
      </c>
      <c r="G440" s="20" t="str">
        <f>IFERROR(__xludf.DUMMYFUNCTION("AVERAGE(ARRAYFORMULA(100 * (QUERY(GOOGLEFINANCE(C440, ""high"", TODAY()-40, TODAY()), ""SELECT Col2 WHERE Col2 IS NOT NULL ORDER BY Col1 DESC LIMIT 20"", 0) / QUERY(GOOGLEFINANCE(C440, ""low"", TODAY()-40, TODAY()), ""SELECT Col2 WHERE Col2 IS NOT NULL OR"&amp;"DER BY Col1 DESC LIMIT 20"", 0) - 1)))"),"#N/A")</f>
        <v>#N/A</v>
      </c>
      <c r="H440" s="35" t="str">
        <f t="shared" si="6"/>
        <v/>
      </c>
      <c r="I440" s="36" t="str">
        <f t="shared" si="7"/>
        <v/>
      </c>
      <c r="J440" s="37" t="str">
        <f>IFERROR(__xludf.DUMMYFUNCTION("IFERROR(
  IF(C440="""",, 
    IFERROR(
      GOOGLEFINANCE(C440, ""price"") * GOOGLEFINANCE(C440, ""volumeavg""), 
      GOOGLEFINANCE(C440, ""price"") * AVERAGE(QUERY(GOOGLEFINANCE(C440, ""volume"", TODAY()-40, TODAY()), ""SELECT Col2 WHERE Col2 IS NOT "&amp;"NULL ORDER BY Col1 DESC LIMIT 20"", 0))
    )
  ), 
"""")"),"")</f>
        <v/>
      </c>
      <c r="K440" s="21" t="str">
        <f>IFERROR(__xludf.DUMMYFUNCTION("IFERROR(GOOGLEFINANCE(C440, ""changepct"") / 100, """")"),"")</f>
        <v/>
      </c>
      <c r="L440" s="21" t="str">
        <f>IFERROR(__xludf.DUMMYFUNCTION("IFERROR((GOOGLEFINANCE(C440, ""price"") / INDEX(GOOGLEFINANCE(C440, ""price"", TODAY()-7, TODAY()), 2, 2)) - 1, """")"),"")</f>
        <v/>
      </c>
      <c r="M440" s="21" t="str">
        <f>IFERROR(__xludf.DUMMYFUNCTION("IFERROR((GOOGLEFINANCE(C440, ""price"") / INDEX(GOOGLEFINANCE(C440, ""price"", EDATE(TODAY(), -1), TODAY()), 2, 2)) - 1, """")"),"")</f>
        <v/>
      </c>
      <c r="N440" s="21" t="str">
        <f>IFERROR(__xludf.DUMMYFUNCTION("IFERROR((GOOGLEFINANCE(C440, ""price"") / INDEX(GOOGLEFINANCE(C440, ""price"", EDATE(TODAY(), -3), TODAY()), 2, 2)) - 1, """")"),"")</f>
        <v/>
      </c>
      <c r="O440" s="21" t="str">
        <f>IFERROR(__xludf.DUMMYFUNCTION("IFERROR((GOOGLEFINANCE(C440, ""price"") / INDEX(GOOGLEFINANCE(C440, ""price"", EDATE(TODAY(), -6), TODAY()), 2, 2)) - 1, """")"),"")</f>
        <v/>
      </c>
      <c r="P440" s="21" t="str">
        <f>IFERROR(__xludf.DUMMYFUNCTION("IFERROR((GOOGLEFINANCE(C440, ""price"") / INDEX(GOOGLEFINANCE(C440, ""price"", EDATE(TODAY(), -12), TODAY()), 2, 2)) - 1, """")"),"")</f>
        <v/>
      </c>
      <c r="Q440" s="6" t="str">
        <f>IFERROR(__xludf.DUMMYFUNCTION("AVERAGE(QUERY(GOOGLEFINANCE(C440, ""price"", TODAY()-80, TODAY()), ""SELECT Col2 WHERE Col2 IS NOT NULL ORDER BY Col1 DESC LIMIT 50"", 0))"),"#N/A")</f>
        <v>#N/A</v>
      </c>
      <c r="R440" s="24" t="str">
        <f>IFERROR(__xludf.DUMMYFUNCTION("IFERROR(
  LET(
    data, QUERY(GOOGLEFINANCE(C440,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GOOGLEFINANCE(C440, ""price"")) * 100,
    IF(calc=0, G440, calc)
  ), 
G440)"),"#N/A")</f>
        <v>#N/A</v>
      </c>
      <c r="S440" s="8" t="s">
        <v>15</v>
      </c>
      <c r="T440" s="26" t="str">
        <f>IFERROR(__xludf.DUMMYFUNCTION("IFERROR(TRANSPOSE(QUERY(IFERROR(SORT(GOOGLEFINANCE(C440, ""price"", WORKDAY(TODAY(), -40), TODAY()), 1, FALSE)), ""select Col2 where Col2 is not null limit 22 label Col2 ''"", 0)), """")"),"")</f>
        <v/>
      </c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8"/>
      <c r="AO440" s="28"/>
      <c r="AP440" s="29"/>
      <c r="AQ440" s="29" t="str">
        <f t="shared" ref="AQ440:BL440" si="443">T440/T$2</f>
        <v>#N/A</v>
      </c>
      <c r="AR440" s="29" t="str">
        <f t="shared" si="443"/>
        <v>#DIV/0!</v>
      </c>
      <c r="AS440" s="29" t="str">
        <f t="shared" si="443"/>
        <v>#DIV/0!</v>
      </c>
      <c r="AT440" s="29" t="str">
        <f t="shared" si="443"/>
        <v>#DIV/0!</v>
      </c>
      <c r="AU440" s="29" t="str">
        <f t="shared" si="443"/>
        <v>#DIV/0!</v>
      </c>
      <c r="AV440" s="29" t="str">
        <f t="shared" si="443"/>
        <v>#DIV/0!</v>
      </c>
      <c r="AW440" s="29" t="str">
        <f t="shared" si="443"/>
        <v>#DIV/0!</v>
      </c>
      <c r="AX440" s="29" t="str">
        <f t="shared" si="443"/>
        <v>#DIV/0!</v>
      </c>
      <c r="AY440" s="29" t="str">
        <f t="shared" si="443"/>
        <v>#DIV/0!</v>
      </c>
      <c r="AZ440" s="29" t="str">
        <f t="shared" si="443"/>
        <v>#DIV/0!</v>
      </c>
      <c r="BA440" s="29" t="str">
        <f t="shared" si="443"/>
        <v>#DIV/0!</v>
      </c>
      <c r="BB440" s="29" t="str">
        <f t="shared" si="443"/>
        <v>#DIV/0!</v>
      </c>
      <c r="BC440" s="29" t="str">
        <f t="shared" si="443"/>
        <v>#DIV/0!</v>
      </c>
      <c r="BD440" s="29" t="str">
        <f t="shared" si="443"/>
        <v>#DIV/0!</v>
      </c>
      <c r="BE440" s="29" t="str">
        <f t="shared" si="443"/>
        <v>#DIV/0!</v>
      </c>
      <c r="BF440" s="29" t="str">
        <f t="shared" si="443"/>
        <v>#DIV/0!</v>
      </c>
      <c r="BG440" s="29" t="str">
        <f t="shared" si="443"/>
        <v>#DIV/0!</v>
      </c>
      <c r="BH440" s="29" t="str">
        <f t="shared" si="443"/>
        <v>#DIV/0!</v>
      </c>
      <c r="BI440" s="29" t="str">
        <f t="shared" si="443"/>
        <v>#DIV/0!</v>
      </c>
      <c r="BJ440" s="29" t="str">
        <f t="shared" si="443"/>
        <v>#DIV/0!</v>
      </c>
      <c r="BK440" s="29" t="str">
        <f t="shared" si="443"/>
        <v>#DIV/0!</v>
      </c>
      <c r="BL440" s="29" t="str">
        <f t="shared" si="443"/>
        <v>#DIV/0!</v>
      </c>
      <c r="BM440" s="29" t="str">
        <f t="shared" si="3"/>
        <v>#DIV/0!</v>
      </c>
    </row>
    <row r="441">
      <c r="A441" s="16" t="str">
        <f>IFERROR(__xludf.DUMMYFUNCTION("IFERROR(SPARKLINE(SORT(MAP(TRANSPOSE(AQ441:BL441), LAMBDA(val, IF(ISNUMBER(val), PERCENTRANK(AQ441:BL441, val)+0.01, 0))), SEQUENCE(COLUMNS(AQ441:BL441)), FALSE), {""charttype"",""column""; ""color"",""chartreuse""; ""ymin"", 0; ""ymax"", 1.01; ""highcolo"&amp;"r"", ""darkgreen""; ""lowcolor"", ""red""}), """")"),"")</f>
        <v/>
      </c>
      <c r="B441" s="17" t="str">
        <f t="shared" si="4"/>
        <v/>
      </c>
      <c r="C441" s="1" t="s">
        <v>1878</v>
      </c>
      <c r="D441" s="30" t="str">
        <f>IFERROR(__xludf.DUMMYFUNCTION("IFERROR(GOOGLEFINANCE(C441, ""NAME""))"),"Wolfspeed Inc")</f>
        <v>Wolfspeed Inc</v>
      </c>
      <c r="E441" s="30" t="s">
        <v>871</v>
      </c>
      <c r="F441" s="33" t="str">
        <f>IFERROR(__xludf.DUMMYFUNCTION("( (GOOGLEFINANCE(C441, ""price"") - Q441) / Q441 ) / (R441 / 100)"),"Loading...")</f>
        <v>Loading...</v>
      </c>
      <c r="G441" s="20" t="str">
        <f>IFERROR(__xludf.DUMMYFUNCTION("AVERAGE(ARRAYFORMULA(100 * (QUERY(GOOGLEFINANCE(C441, ""high"", TODAY()-40, TODAY()), ""SELECT Col2 WHERE Col2 IS NOT NULL ORDER BY Col1 DESC LIMIT 20"", 0) / QUERY(GOOGLEFINANCE(C441, ""low"", TODAY()-40, TODAY()), ""SELECT Col2 WHERE Col2 IS NOT NULL OR"&amp;"DER BY Col1 DESC LIMIT 20"", 0) - 1)))"),"#N/A")</f>
        <v>#N/A</v>
      </c>
      <c r="H441" s="35" t="str">
        <f t="shared" si="6"/>
        <v/>
      </c>
      <c r="I441" s="36" t="str">
        <f t="shared" si="7"/>
        <v/>
      </c>
      <c r="J441" s="37" t="str">
        <f>IFERROR(__xludf.DUMMYFUNCTION("IFERROR(
  IF(C441="""",, 
    IFERROR(
      GOOGLEFINANCE(C441, ""price"") * GOOGLEFINANCE(C441, ""volumeavg""), 
      GOOGLEFINANCE(C441, ""price"") * AVERAGE(QUERY(GOOGLEFINANCE(C441, ""volume"", TODAY()-40, TODAY()), ""SELECT Col2 WHERE Col2 IS NOT "&amp;"NULL ORDER BY Col1 DESC LIMIT 20"", 0))
    )
  ), 
"""")"),"")</f>
        <v/>
      </c>
      <c r="K441" s="21" t="str">
        <f>IFERROR(__xludf.DUMMYFUNCTION("IFERROR(GOOGLEFINANCE(C441, ""changepct"") / 100, """")"),"")</f>
        <v/>
      </c>
      <c r="L441" s="21" t="str">
        <f>IFERROR(__xludf.DUMMYFUNCTION("IFERROR((GOOGLEFINANCE(C441, ""price"") / INDEX(GOOGLEFINANCE(C441, ""price"", TODAY()-7, TODAY()), 2, 2)) - 1, """")"),"")</f>
        <v/>
      </c>
      <c r="M441" s="21" t="str">
        <f>IFERROR(__xludf.DUMMYFUNCTION("IFERROR((GOOGLEFINANCE(C441, ""price"") / INDEX(GOOGLEFINANCE(C441, ""price"", EDATE(TODAY(), -1), TODAY()), 2, 2)) - 1, """")"),"")</f>
        <v/>
      </c>
      <c r="N441" s="21" t="str">
        <f>IFERROR(__xludf.DUMMYFUNCTION("IFERROR((GOOGLEFINANCE(C441, ""price"") / INDEX(GOOGLEFINANCE(C441, ""price"", EDATE(TODAY(), -3), TODAY()), 2, 2)) - 1, """")"),"")</f>
        <v/>
      </c>
      <c r="O441" s="21" t="str">
        <f>IFERROR(__xludf.DUMMYFUNCTION("IFERROR((GOOGLEFINANCE(C441, ""price"") / INDEX(GOOGLEFINANCE(C441, ""price"", EDATE(TODAY(), -6), TODAY()), 2, 2)) - 1, """")"),"")</f>
        <v/>
      </c>
      <c r="P441" s="21" t="str">
        <f>IFERROR(__xludf.DUMMYFUNCTION("IFERROR((GOOGLEFINANCE(C441, ""price"") / INDEX(GOOGLEFINANCE(C441, ""price"", EDATE(TODAY(), -12), TODAY()), 2, 2)) - 1, """")"),"")</f>
        <v/>
      </c>
      <c r="Q441" s="6" t="str">
        <f>IFERROR(__xludf.DUMMYFUNCTION("AVERAGE(QUERY(GOOGLEFINANCE(C441, ""price"", TODAY()-80, TODAY()), ""SELECT Col2 WHERE Col2 IS NOT NULL ORDER BY Col1 DESC LIMIT 50"", 0))"),"#N/A")</f>
        <v>#N/A</v>
      </c>
      <c r="R441" s="24" t="str">
        <f>IFERROR(__xludf.DUMMYFUNCTION("IFERROR(
  LET(
    data, QUERY(GOOGLEFINANCE(C441,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GOOGLEFINANCE(C441, ""price"")) * 100,
    IF(calc=0, G441, calc)
  ), 
G441)"),"#N/A")</f>
        <v>#N/A</v>
      </c>
      <c r="S441" s="8" t="s">
        <v>15</v>
      </c>
      <c r="T441" s="26" t="str">
        <f>IFERROR(__xludf.DUMMYFUNCTION("IFERROR(TRANSPOSE(QUERY(IFERROR(SORT(GOOGLEFINANCE(C441, ""price"", WORKDAY(TODAY(), -40), TODAY()), 1, FALSE)), ""select Col2 where Col2 is not null limit 22 label Col2 ''"", 0)), """")"),"")</f>
        <v/>
      </c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8"/>
      <c r="AO441" s="28"/>
      <c r="AP441" s="29"/>
      <c r="AQ441" s="29" t="str">
        <f t="shared" ref="AQ441:BL441" si="444">T441/T$2</f>
        <v>#N/A</v>
      </c>
      <c r="AR441" s="29" t="str">
        <f t="shared" si="444"/>
        <v>#DIV/0!</v>
      </c>
      <c r="AS441" s="29" t="str">
        <f t="shared" si="444"/>
        <v>#DIV/0!</v>
      </c>
      <c r="AT441" s="29" t="str">
        <f t="shared" si="444"/>
        <v>#DIV/0!</v>
      </c>
      <c r="AU441" s="29" t="str">
        <f t="shared" si="444"/>
        <v>#DIV/0!</v>
      </c>
      <c r="AV441" s="29" t="str">
        <f t="shared" si="444"/>
        <v>#DIV/0!</v>
      </c>
      <c r="AW441" s="29" t="str">
        <f t="shared" si="444"/>
        <v>#DIV/0!</v>
      </c>
      <c r="AX441" s="29" t="str">
        <f t="shared" si="444"/>
        <v>#DIV/0!</v>
      </c>
      <c r="AY441" s="29" t="str">
        <f t="shared" si="444"/>
        <v>#DIV/0!</v>
      </c>
      <c r="AZ441" s="29" t="str">
        <f t="shared" si="444"/>
        <v>#DIV/0!</v>
      </c>
      <c r="BA441" s="29" t="str">
        <f t="shared" si="444"/>
        <v>#DIV/0!</v>
      </c>
      <c r="BB441" s="29" t="str">
        <f t="shared" si="444"/>
        <v>#DIV/0!</v>
      </c>
      <c r="BC441" s="29" t="str">
        <f t="shared" si="444"/>
        <v>#DIV/0!</v>
      </c>
      <c r="BD441" s="29" t="str">
        <f t="shared" si="444"/>
        <v>#DIV/0!</v>
      </c>
      <c r="BE441" s="29" t="str">
        <f t="shared" si="444"/>
        <v>#DIV/0!</v>
      </c>
      <c r="BF441" s="29" t="str">
        <f t="shared" si="444"/>
        <v>#DIV/0!</v>
      </c>
      <c r="BG441" s="29" t="str">
        <f t="shared" si="444"/>
        <v>#DIV/0!</v>
      </c>
      <c r="BH441" s="29" t="str">
        <f t="shared" si="444"/>
        <v>#DIV/0!</v>
      </c>
      <c r="BI441" s="29" t="str">
        <f t="shared" si="444"/>
        <v>#DIV/0!</v>
      </c>
      <c r="BJ441" s="29" t="str">
        <f t="shared" si="444"/>
        <v>#DIV/0!</v>
      </c>
      <c r="BK441" s="29" t="str">
        <f t="shared" si="444"/>
        <v>#DIV/0!</v>
      </c>
      <c r="BL441" s="29" t="str">
        <f t="shared" si="444"/>
        <v>#DIV/0!</v>
      </c>
      <c r="BM441" s="29" t="str">
        <f t="shared" si="3"/>
        <v>#DIV/0!</v>
      </c>
    </row>
    <row r="442">
      <c r="A442" s="16" t="str">
        <f>IFERROR(__xludf.DUMMYFUNCTION("IFERROR(SPARKLINE(SORT(MAP(TRANSPOSE(AQ442:BL442), LAMBDA(val, IF(ISNUMBER(val), PERCENTRANK(AQ442:BL442, val)+0.01, 0))), SEQUENCE(COLUMNS(AQ442:BL442)), FALSE), {""charttype"",""column""; ""color"",""chartreuse""; ""ymin"", 0; ""ymax"", 1.01; ""highcolo"&amp;"r"", ""darkgreen""; ""lowcolor"", ""red""}), """")"),"")</f>
        <v/>
      </c>
      <c r="B442" s="17" t="str">
        <f t="shared" si="4"/>
        <v/>
      </c>
      <c r="C442" s="1" t="s">
        <v>1883</v>
      </c>
      <c r="D442" s="30" t="str">
        <f>IFERROR(__xludf.DUMMYFUNCTION("IFERROR(GOOGLEFINANCE(C442, ""NAME""))"),"SanDisk Corp")</f>
        <v>SanDisk Corp</v>
      </c>
      <c r="E442" s="30" t="s">
        <v>477</v>
      </c>
      <c r="F442" s="38" t="str">
        <f>IFERROR(__xludf.DUMMYFUNCTION("( (GOOGLEFINANCE(C442, ""price"") - Q442) / Q442 ) / (R442 / 100)"),"Loading...")</f>
        <v>Loading...</v>
      </c>
      <c r="G442" s="20" t="str">
        <f>IFERROR(__xludf.DUMMYFUNCTION("AVERAGE(ARRAYFORMULA(100 * (QUERY(GOOGLEFINANCE(C442, ""high"", TODAY()-40, TODAY()), ""SELECT Col2 WHERE Col2 IS NOT NULL ORDER BY Col1 DESC LIMIT 20"", 0) / QUERY(GOOGLEFINANCE(C442, ""low"", TODAY()-40, TODAY()), ""SELECT Col2 WHERE Col2 IS NOT NULL OR"&amp;"DER BY Col1 DESC LIMIT 20"", 0) - 1)))"),"#N/A")</f>
        <v>#N/A</v>
      </c>
      <c r="H442" s="35" t="str">
        <f t="shared" si="6"/>
        <v/>
      </c>
      <c r="I442" s="36" t="str">
        <f t="shared" si="7"/>
        <v/>
      </c>
      <c r="J442" s="37" t="str">
        <f>IFERROR(__xludf.DUMMYFUNCTION("IFERROR(
  IF(C442="""",, 
    IFERROR(
      GOOGLEFINANCE(C442, ""price"") * GOOGLEFINANCE(C442, ""volumeavg""), 
      GOOGLEFINANCE(C442, ""price"") * AVERAGE(QUERY(GOOGLEFINANCE(C442, ""volume"", TODAY()-40, TODAY()), ""SELECT Col2 WHERE Col2 IS NOT "&amp;"NULL ORDER BY Col1 DESC LIMIT 20"", 0))
    )
  ), 
"""")"),"")</f>
        <v/>
      </c>
      <c r="K442" s="21" t="str">
        <f>IFERROR(__xludf.DUMMYFUNCTION("IFERROR(GOOGLEFINANCE(C442, ""changepct"") / 100, """")"),"")</f>
        <v/>
      </c>
      <c r="L442" s="21" t="str">
        <f>IFERROR(__xludf.DUMMYFUNCTION("IFERROR((GOOGLEFINANCE(C442, ""price"") / INDEX(GOOGLEFINANCE(C442, ""price"", TODAY()-7, TODAY()), 2, 2)) - 1, """")"),"")</f>
        <v/>
      </c>
      <c r="M442" s="21" t="str">
        <f>IFERROR(__xludf.DUMMYFUNCTION("IFERROR((GOOGLEFINANCE(C442, ""price"") / INDEX(GOOGLEFINANCE(C442, ""price"", EDATE(TODAY(), -1), TODAY()), 2, 2)) - 1, """")"),"")</f>
        <v/>
      </c>
      <c r="N442" s="21" t="str">
        <f>IFERROR(__xludf.DUMMYFUNCTION("IFERROR((GOOGLEFINANCE(C442, ""price"") / INDEX(GOOGLEFINANCE(C442, ""price"", EDATE(TODAY(), -3), TODAY()), 2, 2)) - 1, """")"),"")</f>
        <v/>
      </c>
      <c r="O442" s="21" t="str">
        <f>IFERROR(__xludf.DUMMYFUNCTION("IFERROR((GOOGLEFINANCE(C442, ""price"") / INDEX(GOOGLEFINANCE(C442, ""price"", EDATE(TODAY(), -6), TODAY()), 2, 2)) - 1, """")"),"")</f>
        <v/>
      </c>
      <c r="P442" s="21" t="str">
        <f>IFERROR(__xludf.DUMMYFUNCTION("IFERROR((GOOGLEFINANCE(C442, ""price"") / INDEX(GOOGLEFINANCE(C442, ""price"", EDATE(TODAY(), -12), TODAY()), 2, 2)) - 1, """")"),"")</f>
        <v/>
      </c>
      <c r="Q442" s="6" t="str">
        <f>IFERROR(__xludf.DUMMYFUNCTION("AVERAGE(QUERY(GOOGLEFINANCE(C442, ""price"", TODAY()-80, TODAY()), ""SELECT Col2 WHERE Col2 IS NOT NULL ORDER BY Col1 DESC LIMIT 50"", 0))"),"#N/A")</f>
        <v>#N/A</v>
      </c>
      <c r="R442" s="24" t="str">
        <f>IFERROR(__xludf.DUMMYFUNCTION("IFERROR(
  LET(
    data, QUERY(GOOGLEFINANCE(C442,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GOOGLEFINANCE(C442, ""price"")) * 100,
    IF(calc=0, G442, calc)
  ), 
G442)"),"#N/A")</f>
        <v>#N/A</v>
      </c>
      <c r="S442" s="8" t="s">
        <v>15</v>
      </c>
      <c r="T442" s="26" t="str">
        <f>IFERROR(__xludf.DUMMYFUNCTION("IFERROR(TRANSPOSE(QUERY(IFERROR(SORT(GOOGLEFINANCE(C442, ""price"", WORKDAY(TODAY(), -40), TODAY()), 1, FALSE)), ""select Col2 where Col2 is not null limit 22 label Col2 ''"", 0)), """")"),"")</f>
        <v/>
      </c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8"/>
      <c r="AO442" s="28"/>
      <c r="AP442" s="29"/>
      <c r="AQ442" s="29" t="str">
        <f t="shared" ref="AQ442:BL442" si="445">T442/T$2</f>
        <v>#N/A</v>
      </c>
      <c r="AR442" s="29" t="str">
        <f t="shared" si="445"/>
        <v>#DIV/0!</v>
      </c>
      <c r="AS442" s="29" t="str">
        <f t="shared" si="445"/>
        <v>#DIV/0!</v>
      </c>
      <c r="AT442" s="29" t="str">
        <f t="shared" si="445"/>
        <v>#DIV/0!</v>
      </c>
      <c r="AU442" s="29" t="str">
        <f t="shared" si="445"/>
        <v>#DIV/0!</v>
      </c>
      <c r="AV442" s="29" t="str">
        <f t="shared" si="445"/>
        <v>#DIV/0!</v>
      </c>
      <c r="AW442" s="29" t="str">
        <f t="shared" si="445"/>
        <v>#DIV/0!</v>
      </c>
      <c r="AX442" s="29" t="str">
        <f t="shared" si="445"/>
        <v>#DIV/0!</v>
      </c>
      <c r="AY442" s="29" t="str">
        <f t="shared" si="445"/>
        <v>#DIV/0!</v>
      </c>
      <c r="AZ442" s="29" t="str">
        <f t="shared" si="445"/>
        <v>#DIV/0!</v>
      </c>
      <c r="BA442" s="29" t="str">
        <f t="shared" si="445"/>
        <v>#DIV/0!</v>
      </c>
      <c r="BB442" s="29" t="str">
        <f t="shared" si="445"/>
        <v>#DIV/0!</v>
      </c>
      <c r="BC442" s="29" t="str">
        <f t="shared" si="445"/>
        <v>#DIV/0!</v>
      </c>
      <c r="BD442" s="29" t="str">
        <f t="shared" si="445"/>
        <v>#DIV/0!</v>
      </c>
      <c r="BE442" s="29" t="str">
        <f t="shared" si="445"/>
        <v>#DIV/0!</v>
      </c>
      <c r="BF442" s="29" t="str">
        <f t="shared" si="445"/>
        <v>#DIV/0!</v>
      </c>
      <c r="BG442" s="29" t="str">
        <f t="shared" si="445"/>
        <v>#DIV/0!</v>
      </c>
      <c r="BH442" s="29" t="str">
        <f t="shared" si="445"/>
        <v>#DIV/0!</v>
      </c>
      <c r="BI442" s="29" t="str">
        <f t="shared" si="445"/>
        <v>#DIV/0!</v>
      </c>
      <c r="BJ442" s="29" t="str">
        <f t="shared" si="445"/>
        <v>#DIV/0!</v>
      </c>
      <c r="BK442" s="29" t="str">
        <f t="shared" si="445"/>
        <v>#DIV/0!</v>
      </c>
      <c r="BL442" s="29" t="str">
        <f t="shared" si="445"/>
        <v>#DIV/0!</v>
      </c>
      <c r="BM442" s="29" t="str">
        <f t="shared" si="3"/>
        <v>#DIV/0!</v>
      </c>
    </row>
    <row r="443">
      <c r="A443" s="16" t="str">
        <f>IFERROR(__xludf.DUMMYFUNCTION("IFERROR(SPARKLINE(SORT(MAP(TRANSPOSE(AQ443:BL443), LAMBDA(val, IF(ISNUMBER(val), PERCENTRANK(AQ443:BL443, val)+0.01, 0))), SEQUENCE(COLUMNS(AQ443:BL443)), FALSE), {""charttype"",""column""; ""color"",""chartreuse""; ""ymin"", 0; ""ymax"", 1.01; ""highcolo"&amp;"r"", ""darkgreen""; ""lowcolor"", ""red""}), """")"),"")</f>
        <v/>
      </c>
      <c r="B443" s="17" t="str">
        <f t="shared" si="4"/>
        <v/>
      </c>
      <c r="C443" s="1" t="s">
        <v>1887</v>
      </c>
      <c r="D443" s="30" t="str">
        <f>IFERROR(__xludf.DUMMYFUNCTION("IFERROR(GOOGLEFINANCE(C443, ""NAME""))"),"AXT Inc")</f>
        <v>AXT Inc</v>
      </c>
      <c r="E443" s="30" t="s">
        <v>1195</v>
      </c>
      <c r="F443" s="33" t="str">
        <f>IFERROR(__xludf.DUMMYFUNCTION("( (GOOGLEFINANCE(C443, ""price"") - Q443) / Q443 ) / (R443 / 100)"),"Loading...")</f>
        <v>Loading...</v>
      </c>
      <c r="G443" s="20" t="str">
        <f>IFERROR(__xludf.DUMMYFUNCTION("AVERAGE(ARRAYFORMULA(100 * (QUERY(GOOGLEFINANCE(C443, ""high"", TODAY()-40, TODAY()), ""SELECT Col2 WHERE Col2 IS NOT NULL ORDER BY Col1 DESC LIMIT 20"", 0) / QUERY(GOOGLEFINANCE(C443, ""low"", TODAY()-40, TODAY()), ""SELECT Col2 WHERE Col2 IS NOT NULL OR"&amp;"DER BY Col1 DESC LIMIT 20"", 0) - 1)))"),"#N/A")</f>
        <v>#N/A</v>
      </c>
      <c r="H443" s="35" t="str">
        <f t="shared" si="6"/>
        <v/>
      </c>
      <c r="I443" s="36" t="str">
        <f t="shared" si="7"/>
        <v/>
      </c>
      <c r="J443" s="37" t="str">
        <f>IFERROR(__xludf.DUMMYFUNCTION("IFERROR(
  IF(C443="""",, 
    IFERROR(
      GOOGLEFINANCE(C443, ""price"") * GOOGLEFINANCE(C443, ""volumeavg""), 
      GOOGLEFINANCE(C443, ""price"") * AVERAGE(QUERY(GOOGLEFINANCE(C443, ""volume"", TODAY()-40, TODAY()), ""SELECT Col2 WHERE Col2 IS NOT "&amp;"NULL ORDER BY Col1 DESC LIMIT 20"", 0))
    )
  ), 
"""")"),"")</f>
        <v/>
      </c>
      <c r="K443" s="21" t="str">
        <f>IFERROR(__xludf.DUMMYFUNCTION("IFERROR(GOOGLEFINANCE(C443, ""changepct"") / 100, """")"),"")</f>
        <v/>
      </c>
      <c r="L443" s="21" t="str">
        <f>IFERROR(__xludf.DUMMYFUNCTION("IFERROR((GOOGLEFINANCE(C443, ""price"") / INDEX(GOOGLEFINANCE(C443, ""price"", TODAY()-7, TODAY()), 2, 2)) - 1, """")"),"")</f>
        <v/>
      </c>
      <c r="M443" s="21" t="str">
        <f>IFERROR(__xludf.DUMMYFUNCTION("IFERROR((GOOGLEFINANCE(C443, ""price"") / INDEX(GOOGLEFINANCE(C443, ""price"", EDATE(TODAY(), -1), TODAY()), 2, 2)) - 1, """")"),"")</f>
        <v/>
      </c>
      <c r="N443" s="21" t="str">
        <f>IFERROR(__xludf.DUMMYFUNCTION("IFERROR((GOOGLEFINANCE(C443, ""price"") / INDEX(GOOGLEFINANCE(C443, ""price"", EDATE(TODAY(), -3), TODAY()), 2, 2)) - 1, """")"),"")</f>
        <v/>
      </c>
      <c r="O443" s="21" t="str">
        <f>IFERROR(__xludf.DUMMYFUNCTION("IFERROR((GOOGLEFINANCE(C443, ""price"") / INDEX(GOOGLEFINANCE(C443, ""price"", EDATE(TODAY(), -6), TODAY()), 2, 2)) - 1, """")"),"")</f>
        <v/>
      </c>
      <c r="P443" s="21" t="str">
        <f>IFERROR(__xludf.DUMMYFUNCTION("IFERROR((GOOGLEFINANCE(C443, ""price"") / INDEX(GOOGLEFINANCE(C443, ""price"", EDATE(TODAY(), -12), TODAY()), 2, 2)) - 1, """")"),"")</f>
        <v/>
      </c>
      <c r="Q443" s="6" t="str">
        <f>IFERROR(__xludf.DUMMYFUNCTION("AVERAGE(QUERY(GOOGLEFINANCE(C443, ""price"", TODAY()-80, TODAY()), ""SELECT Col2 WHERE Col2 IS NOT NULL ORDER BY Col1 DESC LIMIT 50"", 0))"),"#N/A")</f>
        <v>#N/A</v>
      </c>
      <c r="R443" s="24" t="str">
        <f>IFERROR(__xludf.DUMMYFUNCTION("IFERROR(
  LET(
    data, QUERY(GOOGLEFINANCE(C443,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GOOGLEFINANCE(C443, ""price"")) * 100,
    IF(calc=0, G443, calc)
  ), 
G443)"),"#N/A")</f>
        <v>#N/A</v>
      </c>
      <c r="S443" s="8" t="s">
        <v>15</v>
      </c>
      <c r="T443" s="26" t="str">
        <f>IFERROR(__xludf.DUMMYFUNCTION("IFERROR(TRANSPOSE(QUERY(IFERROR(SORT(GOOGLEFINANCE(C443, ""price"", WORKDAY(TODAY(), -40), TODAY()), 1, FALSE)), ""select Col2 where Col2 is not null limit 22 label Col2 ''"", 0)), """")"),"")</f>
        <v/>
      </c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8"/>
      <c r="AO443" s="28"/>
      <c r="AP443" s="29"/>
      <c r="AQ443" s="29" t="str">
        <f t="shared" ref="AQ443:BL443" si="446">T443/T$2</f>
        <v>#N/A</v>
      </c>
      <c r="AR443" s="29" t="str">
        <f t="shared" si="446"/>
        <v>#DIV/0!</v>
      </c>
      <c r="AS443" s="29" t="str">
        <f t="shared" si="446"/>
        <v>#DIV/0!</v>
      </c>
      <c r="AT443" s="29" t="str">
        <f t="shared" si="446"/>
        <v>#DIV/0!</v>
      </c>
      <c r="AU443" s="29" t="str">
        <f t="shared" si="446"/>
        <v>#DIV/0!</v>
      </c>
      <c r="AV443" s="29" t="str">
        <f t="shared" si="446"/>
        <v>#DIV/0!</v>
      </c>
      <c r="AW443" s="29" t="str">
        <f t="shared" si="446"/>
        <v>#DIV/0!</v>
      </c>
      <c r="AX443" s="29" t="str">
        <f t="shared" si="446"/>
        <v>#DIV/0!</v>
      </c>
      <c r="AY443" s="29" t="str">
        <f t="shared" si="446"/>
        <v>#DIV/0!</v>
      </c>
      <c r="AZ443" s="29" t="str">
        <f t="shared" si="446"/>
        <v>#DIV/0!</v>
      </c>
      <c r="BA443" s="29" t="str">
        <f t="shared" si="446"/>
        <v>#DIV/0!</v>
      </c>
      <c r="BB443" s="29" t="str">
        <f t="shared" si="446"/>
        <v>#DIV/0!</v>
      </c>
      <c r="BC443" s="29" t="str">
        <f t="shared" si="446"/>
        <v>#DIV/0!</v>
      </c>
      <c r="BD443" s="29" t="str">
        <f t="shared" si="446"/>
        <v>#DIV/0!</v>
      </c>
      <c r="BE443" s="29" t="str">
        <f t="shared" si="446"/>
        <v>#DIV/0!</v>
      </c>
      <c r="BF443" s="29" t="str">
        <f t="shared" si="446"/>
        <v>#DIV/0!</v>
      </c>
      <c r="BG443" s="29" t="str">
        <f t="shared" si="446"/>
        <v>#DIV/0!</v>
      </c>
      <c r="BH443" s="29" t="str">
        <f t="shared" si="446"/>
        <v>#DIV/0!</v>
      </c>
      <c r="BI443" s="29" t="str">
        <f t="shared" si="446"/>
        <v>#DIV/0!</v>
      </c>
      <c r="BJ443" s="29" t="str">
        <f t="shared" si="446"/>
        <v>#DIV/0!</v>
      </c>
      <c r="BK443" s="29" t="str">
        <f t="shared" si="446"/>
        <v>#DIV/0!</v>
      </c>
      <c r="BL443" s="29" t="str">
        <f t="shared" si="446"/>
        <v>#DIV/0!</v>
      </c>
      <c r="BM443" s="29" t="str">
        <f t="shared" si="3"/>
        <v>#DIV/0!</v>
      </c>
    </row>
    <row r="444">
      <c r="A444" s="16" t="str">
        <f>IFERROR(__xludf.DUMMYFUNCTION("IFERROR(SPARKLINE(SORT(MAP(TRANSPOSE(AQ444:BL444), LAMBDA(val, IF(ISNUMBER(val), PERCENTRANK(AQ444:BL444, val)+0.01, 0))), SEQUENCE(COLUMNS(AQ444:BL444)), FALSE), {""charttype"",""column""; ""color"",""chartreuse""; ""ymin"", 0; ""ymax"", 1.01; ""highcolo"&amp;"r"", ""darkgreen""; ""lowcolor"", ""red""}), """")"),"")</f>
        <v/>
      </c>
      <c r="B444" s="17" t="str">
        <f t="shared" si="4"/>
        <v/>
      </c>
      <c r="C444" s="1" t="s">
        <v>1892</v>
      </c>
      <c r="D444" s="30" t="str">
        <f>IFERROR(__xludf.DUMMYFUNCTION("IFERROR(GOOGLEFINANCE(C444, ""NAME""))"),"DXC Technology Co")</f>
        <v>DXC Technology Co</v>
      </c>
      <c r="E444" s="30" t="s">
        <v>102</v>
      </c>
      <c r="F444" s="33" t="str">
        <f>IFERROR(__xludf.DUMMYFUNCTION("( (GOOGLEFINANCE(C444, ""price"") - Q444) / Q444 ) / (R444 / 100)"),"Loading...")</f>
        <v>Loading...</v>
      </c>
      <c r="G444" s="20" t="str">
        <f>IFERROR(__xludf.DUMMYFUNCTION("AVERAGE(ARRAYFORMULA(100 * (QUERY(GOOGLEFINANCE(C444, ""high"", TODAY()-40, TODAY()), ""SELECT Col2 WHERE Col2 IS NOT NULL ORDER BY Col1 DESC LIMIT 20"", 0) / QUERY(GOOGLEFINANCE(C444, ""low"", TODAY()-40, TODAY()), ""SELECT Col2 WHERE Col2 IS NOT NULL OR"&amp;"DER BY Col1 DESC LIMIT 20"", 0) - 1)))"),"#N/A")</f>
        <v>#N/A</v>
      </c>
      <c r="H444" s="35" t="str">
        <f t="shared" si="6"/>
        <v/>
      </c>
      <c r="I444" s="36" t="str">
        <f t="shared" si="7"/>
        <v/>
      </c>
      <c r="J444" s="37" t="str">
        <f>IFERROR(__xludf.DUMMYFUNCTION("IFERROR(
  IF(C444="""",, 
    IFERROR(
      GOOGLEFINANCE(C444, ""price"") * GOOGLEFINANCE(C444, ""volumeavg""), 
      GOOGLEFINANCE(C444, ""price"") * AVERAGE(QUERY(GOOGLEFINANCE(C444, ""volume"", TODAY()-40, TODAY()), ""SELECT Col2 WHERE Col2 IS NOT "&amp;"NULL ORDER BY Col1 DESC LIMIT 20"", 0))
    )
  ), 
"""")"),"")</f>
        <v/>
      </c>
      <c r="K444" s="21" t="str">
        <f>IFERROR(__xludf.DUMMYFUNCTION("IFERROR(GOOGLEFINANCE(C444, ""changepct"") / 100, """")"),"")</f>
        <v/>
      </c>
      <c r="L444" s="21" t="str">
        <f>IFERROR(__xludf.DUMMYFUNCTION("IFERROR((GOOGLEFINANCE(C444, ""price"") / INDEX(GOOGLEFINANCE(C444, ""price"", TODAY()-7, TODAY()), 2, 2)) - 1, """")"),"")</f>
        <v/>
      </c>
      <c r="M444" s="21" t="str">
        <f>IFERROR(__xludf.DUMMYFUNCTION("IFERROR((GOOGLEFINANCE(C444, ""price"") / INDEX(GOOGLEFINANCE(C444, ""price"", EDATE(TODAY(), -1), TODAY()), 2, 2)) - 1, """")"),"")</f>
        <v/>
      </c>
      <c r="N444" s="21" t="str">
        <f>IFERROR(__xludf.DUMMYFUNCTION("IFERROR((GOOGLEFINANCE(C444, ""price"") / INDEX(GOOGLEFINANCE(C444, ""price"", EDATE(TODAY(), -3), TODAY()), 2, 2)) - 1, """")"),"")</f>
        <v/>
      </c>
      <c r="O444" s="21" t="str">
        <f>IFERROR(__xludf.DUMMYFUNCTION("IFERROR((GOOGLEFINANCE(C444, ""price"") / INDEX(GOOGLEFINANCE(C444, ""price"", EDATE(TODAY(), -6), TODAY()), 2, 2)) - 1, """")"),"")</f>
        <v/>
      </c>
      <c r="P444" s="21" t="str">
        <f>IFERROR(__xludf.DUMMYFUNCTION("IFERROR((GOOGLEFINANCE(C444, ""price"") / INDEX(GOOGLEFINANCE(C444, ""price"", EDATE(TODAY(), -12), TODAY()), 2, 2)) - 1, """")"),"")</f>
        <v/>
      </c>
      <c r="Q444" s="6" t="str">
        <f>IFERROR(__xludf.DUMMYFUNCTION("AVERAGE(QUERY(GOOGLEFINANCE(C444, ""price"", TODAY()-80, TODAY()), ""SELECT Col2 WHERE Col2 IS NOT NULL ORDER BY Col1 DESC LIMIT 50"", 0))"),"#N/A")</f>
        <v>#N/A</v>
      </c>
      <c r="R444" s="24" t="str">
        <f>IFERROR(__xludf.DUMMYFUNCTION("IFERROR(
  LET(
    data, QUERY(GOOGLEFINANCE(C444,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GOOGLEFINANCE(C444, ""price"")) * 100,
    IF(calc=0, G444, calc)
  ), 
G444)"),"#N/A")</f>
        <v>#N/A</v>
      </c>
      <c r="S444" s="8" t="s">
        <v>15</v>
      </c>
      <c r="T444" s="26" t="str">
        <f>IFERROR(__xludf.DUMMYFUNCTION("IFERROR(TRANSPOSE(QUERY(IFERROR(SORT(GOOGLEFINANCE(C444, ""price"", WORKDAY(TODAY(), -40), TODAY()), 1, FALSE)), ""select Col2 where Col2 is not null limit 22 label Col2 ''"", 0)), """")"),"")</f>
        <v/>
      </c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8"/>
      <c r="AO444" s="28"/>
      <c r="AP444" s="29"/>
      <c r="AQ444" s="29" t="str">
        <f t="shared" ref="AQ444:BL444" si="447">T444/T$2</f>
        <v>#N/A</v>
      </c>
      <c r="AR444" s="29" t="str">
        <f t="shared" si="447"/>
        <v>#DIV/0!</v>
      </c>
      <c r="AS444" s="29" t="str">
        <f t="shared" si="447"/>
        <v>#DIV/0!</v>
      </c>
      <c r="AT444" s="29" t="str">
        <f t="shared" si="447"/>
        <v>#DIV/0!</v>
      </c>
      <c r="AU444" s="29" t="str">
        <f t="shared" si="447"/>
        <v>#DIV/0!</v>
      </c>
      <c r="AV444" s="29" t="str">
        <f t="shared" si="447"/>
        <v>#DIV/0!</v>
      </c>
      <c r="AW444" s="29" t="str">
        <f t="shared" si="447"/>
        <v>#DIV/0!</v>
      </c>
      <c r="AX444" s="29" t="str">
        <f t="shared" si="447"/>
        <v>#DIV/0!</v>
      </c>
      <c r="AY444" s="29" t="str">
        <f t="shared" si="447"/>
        <v>#DIV/0!</v>
      </c>
      <c r="AZ444" s="29" t="str">
        <f t="shared" si="447"/>
        <v>#DIV/0!</v>
      </c>
      <c r="BA444" s="29" t="str">
        <f t="shared" si="447"/>
        <v>#DIV/0!</v>
      </c>
      <c r="BB444" s="29" t="str">
        <f t="shared" si="447"/>
        <v>#DIV/0!</v>
      </c>
      <c r="BC444" s="29" t="str">
        <f t="shared" si="447"/>
        <v>#DIV/0!</v>
      </c>
      <c r="BD444" s="29" t="str">
        <f t="shared" si="447"/>
        <v>#DIV/0!</v>
      </c>
      <c r="BE444" s="29" t="str">
        <f t="shared" si="447"/>
        <v>#DIV/0!</v>
      </c>
      <c r="BF444" s="29" t="str">
        <f t="shared" si="447"/>
        <v>#DIV/0!</v>
      </c>
      <c r="BG444" s="29" t="str">
        <f t="shared" si="447"/>
        <v>#DIV/0!</v>
      </c>
      <c r="BH444" s="29" t="str">
        <f t="shared" si="447"/>
        <v>#DIV/0!</v>
      </c>
      <c r="BI444" s="29" t="str">
        <f t="shared" si="447"/>
        <v>#DIV/0!</v>
      </c>
      <c r="BJ444" s="29" t="str">
        <f t="shared" si="447"/>
        <v>#DIV/0!</v>
      </c>
      <c r="BK444" s="29" t="str">
        <f t="shared" si="447"/>
        <v>#DIV/0!</v>
      </c>
      <c r="BL444" s="29" t="str">
        <f t="shared" si="447"/>
        <v>#DIV/0!</v>
      </c>
      <c r="BM444" s="29" t="str">
        <f t="shared" si="3"/>
        <v>#DIV/0!</v>
      </c>
    </row>
    <row r="445">
      <c r="A445" s="16" t="str">
        <f>IFERROR(__xludf.DUMMYFUNCTION("IFERROR(SPARKLINE(SORT(MAP(TRANSPOSE(AQ445:BL445), LAMBDA(val, IF(ISNUMBER(val), PERCENTRANK(AQ445:BL445, val)+0.01, 0))), SEQUENCE(COLUMNS(AQ445:BL445)), FALSE), {""charttype"",""column""; ""color"",""chartreuse""; ""ymin"", 0; ""ymax"", 1.01; ""highcolo"&amp;"r"", ""darkgreen""; ""lowcolor"", ""red""}), """")"),"")</f>
        <v/>
      </c>
      <c r="B445" s="17" t="str">
        <f t="shared" si="4"/>
        <v/>
      </c>
      <c r="C445" s="1" t="s">
        <v>1897</v>
      </c>
      <c r="D445" s="30" t="str">
        <f>IFERROR(__xludf.DUMMYFUNCTION("IFERROR(GOOGLEFINANCE(C445, ""NAME""))"),"Kodiak AI Inc")</f>
        <v>Kodiak AI Inc</v>
      </c>
      <c r="E445" s="30" t="s">
        <v>58</v>
      </c>
      <c r="F445" s="33" t="str">
        <f>IFERROR(__xludf.DUMMYFUNCTION("( (GOOGLEFINANCE(C445, ""price"") - Q445) / Q445 ) / (R445 / 100)"),"Loading...")</f>
        <v>Loading...</v>
      </c>
      <c r="G445" s="20" t="str">
        <f>IFERROR(__xludf.DUMMYFUNCTION("AVERAGE(ARRAYFORMULA(100 * (QUERY(GOOGLEFINANCE(C445, ""high"", TODAY()-40, TODAY()), ""SELECT Col2 WHERE Col2 IS NOT NULL ORDER BY Col1 DESC LIMIT 20"", 0) / QUERY(GOOGLEFINANCE(C445, ""low"", TODAY()-40, TODAY()), ""SELECT Col2 WHERE Col2 IS NOT NULL OR"&amp;"DER BY Col1 DESC LIMIT 20"", 0) - 1)))"),"#N/A")</f>
        <v>#N/A</v>
      </c>
      <c r="H445" s="35" t="str">
        <f t="shared" si="6"/>
        <v/>
      </c>
      <c r="I445" s="36" t="str">
        <f t="shared" si="7"/>
        <v/>
      </c>
      <c r="J445" s="37" t="str">
        <f>IFERROR(__xludf.DUMMYFUNCTION("IFERROR(
  IF(C445="""",, 
    IFERROR(
      GOOGLEFINANCE(C445, ""price"") * GOOGLEFINANCE(C445, ""volumeavg""), 
      GOOGLEFINANCE(C445, ""price"") * AVERAGE(QUERY(GOOGLEFINANCE(C445, ""volume"", TODAY()-40, TODAY()), ""SELECT Col2 WHERE Col2 IS NOT "&amp;"NULL ORDER BY Col1 DESC LIMIT 20"", 0))
    )
  ), 
"""")"),"")</f>
        <v/>
      </c>
      <c r="K445" s="21" t="str">
        <f>IFERROR(__xludf.DUMMYFUNCTION("IFERROR(GOOGLEFINANCE(C445, ""changepct"") / 100, """")"),"")</f>
        <v/>
      </c>
      <c r="L445" s="21" t="str">
        <f>IFERROR(__xludf.DUMMYFUNCTION("IFERROR((GOOGLEFINANCE(C445, ""price"") / INDEX(GOOGLEFINANCE(C445, ""price"", TODAY()-7, TODAY()), 2, 2)) - 1, """")"),"")</f>
        <v/>
      </c>
      <c r="M445" s="21" t="str">
        <f>IFERROR(__xludf.DUMMYFUNCTION("IFERROR((GOOGLEFINANCE(C445, ""price"") / INDEX(GOOGLEFINANCE(C445, ""price"", EDATE(TODAY(), -1), TODAY()), 2, 2)) - 1, """")"),"")</f>
        <v/>
      </c>
      <c r="N445" s="21" t="str">
        <f>IFERROR(__xludf.DUMMYFUNCTION("IFERROR((GOOGLEFINANCE(C445, ""price"") / INDEX(GOOGLEFINANCE(C445, ""price"", EDATE(TODAY(), -3), TODAY()), 2, 2)) - 1, """")"),"")</f>
        <v/>
      </c>
      <c r="O445" s="21" t="str">
        <f>IFERROR(__xludf.DUMMYFUNCTION("IFERROR((GOOGLEFINANCE(C445, ""price"") / INDEX(GOOGLEFINANCE(C445, ""price"", EDATE(TODAY(), -6), TODAY()), 2, 2)) - 1, """")"),"")</f>
        <v/>
      </c>
      <c r="P445" s="21" t="str">
        <f>IFERROR(__xludf.DUMMYFUNCTION("IFERROR((GOOGLEFINANCE(C445, ""price"") / INDEX(GOOGLEFINANCE(C445, ""price"", EDATE(TODAY(), -12), TODAY()), 2, 2)) - 1, """")"),"")</f>
        <v/>
      </c>
      <c r="Q445" s="6" t="str">
        <f>IFERROR(__xludf.DUMMYFUNCTION("AVERAGE(QUERY(GOOGLEFINANCE(C445, ""price"", TODAY()-80, TODAY()), ""SELECT Col2 WHERE Col2 IS NOT NULL ORDER BY Col1 DESC LIMIT 50"", 0))"),"#N/A")</f>
        <v>#N/A</v>
      </c>
      <c r="R445" s="24" t="str">
        <f>IFERROR(__xludf.DUMMYFUNCTION("IFERROR(
  LET(
    data, QUERY(GOOGLEFINANCE(C445,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GOOGLEFINANCE(C445, ""price"")) * 100,
    IF(calc=0, G445, calc)
  ), 
G445)"),"#N/A")</f>
        <v>#N/A</v>
      </c>
      <c r="S445" s="8" t="s">
        <v>15</v>
      </c>
      <c r="T445" s="26" t="str">
        <f>IFERROR(__xludf.DUMMYFUNCTION("IFERROR(TRANSPOSE(QUERY(IFERROR(SORT(GOOGLEFINANCE(C445, ""price"", WORKDAY(TODAY(), -40), TODAY()), 1, FALSE)), ""select Col2 where Col2 is not null limit 22 label Col2 ''"", 0)), """")"),"")</f>
        <v/>
      </c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8"/>
      <c r="AO445" s="28"/>
      <c r="AP445" s="29"/>
      <c r="AQ445" s="29" t="str">
        <f t="shared" ref="AQ445:BL445" si="448">T445/T$2</f>
        <v>#N/A</v>
      </c>
      <c r="AR445" s="29" t="str">
        <f t="shared" si="448"/>
        <v>#DIV/0!</v>
      </c>
      <c r="AS445" s="29" t="str">
        <f t="shared" si="448"/>
        <v>#DIV/0!</v>
      </c>
      <c r="AT445" s="29" t="str">
        <f t="shared" si="448"/>
        <v>#DIV/0!</v>
      </c>
      <c r="AU445" s="29" t="str">
        <f t="shared" si="448"/>
        <v>#DIV/0!</v>
      </c>
      <c r="AV445" s="29" t="str">
        <f t="shared" si="448"/>
        <v>#DIV/0!</v>
      </c>
      <c r="AW445" s="29" t="str">
        <f t="shared" si="448"/>
        <v>#DIV/0!</v>
      </c>
      <c r="AX445" s="29" t="str">
        <f t="shared" si="448"/>
        <v>#DIV/0!</v>
      </c>
      <c r="AY445" s="29" t="str">
        <f t="shared" si="448"/>
        <v>#DIV/0!</v>
      </c>
      <c r="AZ445" s="29" t="str">
        <f t="shared" si="448"/>
        <v>#DIV/0!</v>
      </c>
      <c r="BA445" s="29" t="str">
        <f t="shared" si="448"/>
        <v>#DIV/0!</v>
      </c>
      <c r="BB445" s="29" t="str">
        <f t="shared" si="448"/>
        <v>#DIV/0!</v>
      </c>
      <c r="BC445" s="29" t="str">
        <f t="shared" si="448"/>
        <v>#DIV/0!</v>
      </c>
      <c r="BD445" s="29" t="str">
        <f t="shared" si="448"/>
        <v>#DIV/0!</v>
      </c>
      <c r="BE445" s="29" t="str">
        <f t="shared" si="448"/>
        <v>#DIV/0!</v>
      </c>
      <c r="BF445" s="29" t="str">
        <f t="shared" si="448"/>
        <v>#DIV/0!</v>
      </c>
      <c r="BG445" s="29" t="str">
        <f t="shared" si="448"/>
        <v>#DIV/0!</v>
      </c>
      <c r="BH445" s="29" t="str">
        <f t="shared" si="448"/>
        <v>#DIV/0!</v>
      </c>
      <c r="BI445" s="29" t="str">
        <f t="shared" si="448"/>
        <v>#DIV/0!</v>
      </c>
      <c r="BJ445" s="29" t="str">
        <f t="shared" si="448"/>
        <v>#DIV/0!</v>
      </c>
      <c r="BK445" s="29" t="str">
        <f t="shared" si="448"/>
        <v>#DIV/0!</v>
      </c>
      <c r="BL445" s="29" t="str">
        <f t="shared" si="448"/>
        <v>#DIV/0!</v>
      </c>
      <c r="BM445" s="29" t="str">
        <f t="shared" si="3"/>
        <v>#DIV/0!</v>
      </c>
    </row>
    <row r="446">
      <c r="A446" s="16" t="str">
        <f>IFERROR(__xludf.DUMMYFUNCTION("IFERROR(SPARKLINE(SORT(MAP(TRANSPOSE(AQ446:BL446), LAMBDA(val, IF(ISNUMBER(val), PERCENTRANK(AQ446:BL446, val)+0.01, 0))), SEQUENCE(COLUMNS(AQ446:BL446)), FALSE), {""charttype"",""column""; ""color"",""chartreuse""; ""ymin"", 0; ""ymax"", 1.01; ""highcolo"&amp;"r"", ""darkgreen""; ""lowcolor"", ""red""}), """")"),"")</f>
        <v/>
      </c>
      <c r="B446" s="17" t="str">
        <f t="shared" si="4"/>
        <v/>
      </c>
      <c r="C446" s="1" t="s">
        <v>1901</v>
      </c>
      <c r="D446" s="30" t="str">
        <f>IFERROR(__xludf.DUMMYFUNCTION("IFERROR(GOOGLEFINANCE(C446, ""NAME""))"),"Yuanbao Inc")</f>
        <v>Yuanbao Inc</v>
      </c>
      <c r="E446" s="30" t="s">
        <v>48</v>
      </c>
      <c r="F446" s="33" t="str">
        <f>IFERROR(__xludf.DUMMYFUNCTION("( (GOOGLEFINANCE(C446, ""price"") - Q446) / Q446 ) / (R446 / 100)"),"Loading...")</f>
        <v>Loading...</v>
      </c>
      <c r="G446" s="20" t="str">
        <f>IFERROR(__xludf.DUMMYFUNCTION("AVERAGE(ARRAYFORMULA(100 * (QUERY(GOOGLEFINANCE(C446, ""high"", TODAY()-40, TODAY()), ""SELECT Col2 WHERE Col2 IS NOT NULL ORDER BY Col1 DESC LIMIT 20"", 0) / QUERY(GOOGLEFINANCE(C446, ""low"", TODAY()-40, TODAY()), ""SELECT Col2 WHERE Col2 IS NOT NULL OR"&amp;"DER BY Col1 DESC LIMIT 20"", 0) - 1)))"),"#N/A")</f>
        <v>#N/A</v>
      </c>
      <c r="H446" s="35" t="str">
        <f t="shared" si="6"/>
        <v/>
      </c>
      <c r="I446" s="36" t="str">
        <f t="shared" si="7"/>
        <v/>
      </c>
      <c r="J446" s="37" t="str">
        <f>IFERROR(__xludf.DUMMYFUNCTION("IFERROR(
  IF(C446="""",, 
    IFERROR(
      GOOGLEFINANCE(C446, ""price"") * GOOGLEFINANCE(C446, ""volumeavg""), 
      GOOGLEFINANCE(C446, ""price"") * AVERAGE(QUERY(GOOGLEFINANCE(C446, ""volume"", TODAY()-40, TODAY()), ""SELECT Col2 WHERE Col2 IS NOT "&amp;"NULL ORDER BY Col1 DESC LIMIT 20"", 0))
    )
  ), 
"""")"),"")</f>
        <v/>
      </c>
      <c r="K446" s="21" t="str">
        <f>IFERROR(__xludf.DUMMYFUNCTION("IFERROR(GOOGLEFINANCE(C446, ""changepct"") / 100, """")"),"")</f>
        <v/>
      </c>
      <c r="L446" s="21" t="str">
        <f>IFERROR(__xludf.DUMMYFUNCTION("IFERROR((GOOGLEFINANCE(C446, ""price"") / INDEX(GOOGLEFINANCE(C446, ""price"", TODAY()-7, TODAY()), 2, 2)) - 1, """")"),"")</f>
        <v/>
      </c>
      <c r="M446" s="21" t="str">
        <f>IFERROR(__xludf.DUMMYFUNCTION("IFERROR((GOOGLEFINANCE(C446, ""price"") / INDEX(GOOGLEFINANCE(C446, ""price"", EDATE(TODAY(), -1), TODAY()), 2, 2)) - 1, """")"),"")</f>
        <v/>
      </c>
      <c r="N446" s="21" t="str">
        <f>IFERROR(__xludf.DUMMYFUNCTION("IFERROR((GOOGLEFINANCE(C446, ""price"") / INDEX(GOOGLEFINANCE(C446, ""price"", EDATE(TODAY(), -3), TODAY()), 2, 2)) - 1, """")"),"")</f>
        <v/>
      </c>
      <c r="O446" s="21" t="str">
        <f>IFERROR(__xludf.DUMMYFUNCTION("IFERROR((GOOGLEFINANCE(C446, ""price"") / INDEX(GOOGLEFINANCE(C446, ""price"", EDATE(TODAY(), -6), TODAY()), 2, 2)) - 1, """")"),"")</f>
        <v/>
      </c>
      <c r="P446" s="21" t="str">
        <f>IFERROR(__xludf.DUMMYFUNCTION("IFERROR((GOOGLEFINANCE(C446, ""price"") / INDEX(GOOGLEFINANCE(C446, ""price"", EDATE(TODAY(), -12), TODAY()), 2, 2)) - 1, """")"),"")</f>
        <v/>
      </c>
      <c r="Q446" s="6" t="str">
        <f>IFERROR(__xludf.DUMMYFUNCTION("AVERAGE(QUERY(GOOGLEFINANCE(C446, ""price"", TODAY()-80, TODAY()), ""SELECT Col2 WHERE Col2 IS NOT NULL ORDER BY Col1 DESC LIMIT 50"", 0))"),"#N/A")</f>
        <v>#N/A</v>
      </c>
      <c r="R446" s="24" t="str">
        <f>IFERROR(__xludf.DUMMYFUNCTION("IFERROR(
  LET(
    data, QUERY(GOOGLEFINANCE(C446,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GOOGLEFINANCE(C446, ""price"")) * 100,
    IF(calc=0, G446, calc)
  ), 
G446)"),"#N/A")</f>
        <v>#N/A</v>
      </c>
      <c r="S446" s="8" t="s">
        <v>15</v>
      </c>
      <c r="T446" s="26" t="str">
        <f>IFERROR(__xludf.DUMMYFUNCTION("IFERROR(TRANSPOSE(QUERY(IFERROR(SORT(GOOGLEFINANCE(C446, ""price"", WORKDAY(TODAY(), -40), TODAY()), 1, FALSE)), ""select Col2 where Col2 is not null limit 22 label Col2 ''"", 0)), """")"),"")</f>
        <v/>
      </c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8"/>
      <c r="AO446" s="28"/>
      <c r="AP446" s="29"/>
      <c r="AQ446" s="29" t="str">
        <f t="shared" ref="AQ446:BL446" si="449">T446/T$2</f>
        <v>#N/A</v>
      </c>
      <c r="AR446" s="29" t="str">
        <f t="shared" si="449"/>
        <v>#DIV/0!</v>
      </c>
      <c r="AS446" s="29" t="str">
        <f t="shared" si="449"/>
        <v>#DIV/0!</v>
      </c>
      <c r="AT446" s="29" t="str">
        <f t="shared" si="449"/>
        <v>#DIV/0!</v>
      </c>
      <c r="AU446" s="29" t="str">
        <f t="shared" si="449"/>
        <v>#DIV/0!</v>
      </c>
      <c r="AV446" s="29" t="str">
        <f t="shared" si="449"/>
        <v>#DIV/0!</v>
      </c>
      <c r="AW446" s="29" t="str">
        <f t="shared" si="449"/>
        <v>#DIV/0!</v>
      </c>
      <c r="AX446" s="29" t="str">
        <f t="shared" si="449"/>
        <v>#DIV/0!</v>
      </c>
      <c r="AY446" s="29" t="str">
        <f t="shared" si="449"/>
        <v>#DIV/0!</v>
      </c>
      <c r="AZ446" s="29" t="str">
        <f t="shared" si="449"/>
        <v>#DIV/0!</v>
      </c>
      <c r="BA446" s="29" t="str">
        <f t="shared" si="449"/>
        <v>#DIV/0!</v>
      </c>
      <c r="BB446" s="29" t="str">
        <f t="shared" si="449"/>
        <v>#DIV/0!</v>
      </c>
      <c r="BC446" s="29" t="str">
        <f t="shared" si="449"/>
        <v>#DIV/0!</v>
      </c>
      <c r="BD446" s="29" t="str">
        <f t="shared" si="449"/>
        <v>#DIV/0!</v>
      </c>
      <c r="BE446" s="29" t="str">
        <f t="shared" si="449"/>
        <v>#DIV/0!</v>
      </c>
      <c r="BF446" s="29" t="str">
        <f t="shared" si="449"/>
        <v>#DIV/0!</v>
      </c>
      <c r="BG446" s="29" t="str">
        <f t="shared" si="449"/>
        <v>#DIV/0!</v>
      </c>
      <c r="BH446" s="29" t="str">
        <f t="shared" si="449"/>
        <v>#DIV/0!</v>
      </c>
      <c r="BI446" s="29" t="str">
        <f t="shared" si="449"/>
        <v>#DIV/0!</v>
      </c>
      <c r="BJ446" s="29" t="str">
        <f t="shared" si="449"/>
        <v>#DIV/0!</v>
      </c>
      <c r="BK446" s="29" t="str">
        <f t="shared" si="449"/>
        <v>#DIV/0!</v>
      </c>
      <c r="BL446" s="29" t="str">
        <f t="shared" si="449"/>
        <v>#DIV/0!</v>
      </c>
      <c r="BM446" s="29" t="str">
        <f t="shared" si="3"/>
        <v>#DIV/0!</v>
      </c>
    </row>
    <row r="447">
      <c r="A447" s="16" t="str">
        <f>IFERROR(__xludf.DUMMYFUNCTION("IFERROR(SPARKLINE(SORT(MAP(TRANSPOSE(AQ447:BL447), LAMBDA(val, IF(ISNUMBER(val), PERCENTRANK(AQ447:BL447, val)+0.01, 0))), SEQUENCE(COLUMNS(AQ447:BL447)), FALSE), {""charttype"",""column""; ""color"",""chartreuse""; ""ymin"", 0; ""ymax"", 1.01; ""highcolo"&amp;"r"", ""darkgreen""; ""lowcolor"", ""red""}), """")"),"")</f>
        <v/>
      </c>
      <c r="B447" s="17" t="str">
        <f t="shared" si="4"/>
        <v/>
      </c>
      <c r="C447" s="1" t="s">
        <v>1906</v>
      </c>
      <c r="D447" s="30" t="str">
        <f>IFERROR(__xludf.DUMMYFUNCTION("IFERROR(GOOGLEFINANCE(C447, ""NAME""))"),"CGI Inc")</f>
        <v>CGI Inc</v>
      </c>
      <c r="E447" s="30" t="s">
        <v>102</v>
      </c>
      <c r="F447" s="33" t="str">
        <f>IFERROR(__xludf.DUMMYFUNCTION("( (GOOGLEFINANCE(C447, ""price"") - Q447) / Q447 ) / (R447 / 100)"),"Loading...")</f>
        <v>Loading...</v>
      </c>
      <c r="G447" s="20" t="str">
        <f>IFERROR(__xludf.DUMMYFUNCTION("AVERAGE(ARRAYFORMULA(100 * (QUERY(GOOGLEFINANCE(C447, ""high"", TODAY()-40, TODAY()), ""SELECT Col2 WHERE Col2 IS NOT NULL ORDER BY Col1 DESC LIMIT 20"", 0) / QUERY(GOOGLEFINANCE(C447, ""low"", TODAY()-40, TODAY()), ""SELECT Col2 WHERE Col2 IS NOT NULL OR"&amp;"DER BY Col1 DESC LIMIT 20"", 0) - 1)))"),"#N/A")</f>
        <v>#N/A</v>
      </c>
      <c r="H447" s="35" t="str">
        <f t="shared" si="6"/>
        <v/>
      </c>
      <c r="I447" s="36" t="str">
        <f t="shared" si="7"/>
        <v/>
      </c>
      <c r="J447" s="37" t="str">
        <f>IFERROR(__xludf.DUMMYFUNCTION("IFERROR(
  IF(C447="""",, 
    IFERROR(
      GOOGLEFINANCE(C447, ""price"") * GOOGLEFINANCE(C447, ""volumeavg""), 
      GOOGLEFINANCE(C447, ""price"") * AVERAGE(QUERY(GOOGLEFINANCE(C447, ""volume"", TODAY()-40, TODAY()), ""SELECT Col2 WHERE Col2 IS NOT "&amp;"NULL ORDER BY Col1 DESC LIMIT 20"", 0))
    )
  ), 
"""")"),"")</f>
        <v/>
      </c>
      <c r="K447" s="21" t="str">
        <f>IFERROR(__xludf.DUMMYFUNCTION("IFERROR(GOOGLEFINANCE(C447, ""changepct"") / 100, """")"),"")</f>
        <v/>
      </c>
      <c r="L447" s="21" t="str">
        <f>IFERROR(__xludf.DUMMYFUNCTION("IFERROR((GOOGLEFINANCE(C447, ""price"") / INDEX(GOOGLEFINANCE(C447, ""price"", TODAY()-7, TODAY()), 2, 2)) - 1, """")"),"")</f>
        <v/>
      </c>
      <c r="M447" s="21" t="str">
        <f>IFERROR(__xludf.DUMMYFUNCTION("IFERROR((GOOGLEFINANCE(C447, ""price"") / INDEX(GOOGLEFINANCE(C447, ""price"", EDATE(TODAY(), -1), TODAY()), 2, 2)) - 1, """")"),"")</f>
        <v/>
      </c>
      <c r="N447" s="21" t="str">
        <f>IFERROR(__xludf.DUMMYFUNCTION("IFERROR((GOOGLEFINANCE(C447, ""price"") / INDEX(GOOGLEFINANCE(C447, ""price"", EDATE(TODAY(), -3), TODAY()), 2, 2)) - 1, """")"),"")</f>
        <v/>
      </c>
      <c r="O447" s="21" t="str">
        <f>IFERROR(__xludf.DUMMYFUNCTION("IFERROR((GOOGLEFINANCE(C447, ""price"") / INDEX(GOOGLEFINANCE(C447, ""price"", EDATE(TODAY(), -6), TODAY()), 2, 2)) - 1, """")"),"")</f>
        <v/>
      </c>
      <c r="P447" s="21" t="str">
        <f>IFERROR(__xludf.DUMMYFUNCTION("IFERROR((GOOGLEFINANCE(C447, ""price"") / INDEX(GOOGLEFINANCE(C447, ""price"", EDATE(TODAY(), -12), TODAY()), 2, 2)) - 1, """")"),"")</f>
        <v/>
      </c>
      <c r="Q447" s="6" t="str">
        <f>IFERROR(__xludf.DUMMYFUNCTION("AVERAGE(QUERY(GOOGLEFINANCE(C447, ""price"", TODAY()-80, TODAY()), ""SELECT Col2 WHERE Col2 IS NOT NULL ORDER BY Col1 DESC LIMIT 50"", 0))"),"#N/A")</f>
        <v>#N/A</v>
      </c>
      <c r="R447" s="24" t="str">
        <f>IFERROR(__xludf.DUMMYFUNCTION("IFERROR(
  LET(
    data, QUERY(GOOGLEFINANCE(C447,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GOOGLEFINANCE(C447, ""price"")) * 100,
    IF(calc=0, G447, calc)
  ), 
G447)"),"#N/A")</f>
        <v>#N/A</v>
      </c>
      <c r="S447" s="8" t="s">
        <v>15</v>
      </c>
      <c r="T447" s="26" t="str">
        <f>IFERROR(__xludf.DUMMYFUNCTION("IFERROR(TRANSPOSE(QUERY(IFERROR(SORT(GOOGLEFINANCE(C447, ""price"", WORKDAY(TODAY(), -40), TODAY()), 1, FALSE)), ""select Col2 where Col2 is not null limit 22 label Col2 ''"", 0)), """")"),"")</f>
        <v/>
      </c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8"/>
      <c r="AO447" s="28"/>
      <c r="AP447" s="29"/>
      <c r="AQ447" s="29" t="str">
        <f t="shared" ref="AQ447:BL447" si="450">T447/T$2</f>
        <v>#N/A</v>
      </c>
      <c r="AR447" s="29" t="str">
        <f t="shared" si="450"/>
        <v>#DIV/0!</v>
      </c>
      <c r="AS447" s="29" t="str">
        <f t="shared" si="450"/>
        <v>#DIV/0!</v>
      </c>
      <c r="AT447" s="29" t="str">
        <f t="shared" si="450"/>
        <v>#DIV/0!</v>
      </c>
      <c r="AU447" s="29" t="str">
        <f t="shared" si="450"/>
        <v>#DIV/0!</v>
      </c>
      <c r="AV447" s="29" t="str">
        <f t="shared" si="450"/>
        <v>#DIV/0!</v>
      </c>
      <c r="AW447" s="29" t="str">
        <f t="shared" si="450"/>
        <v>#DIV/0!</v>
      </c>
      <c r="AX447" s="29" t="str">
        <f t="shared" si="450"/>
        <v>#DIV/0!</v>
      </c>
      <c r="AY447" s="29" t="str">
        <f t="shared" si="450"/>
        <v>#DIV/0!</v>
      </c>
      <c r="AZ447" s="29" t="str">
        <f t="shared" si="450"/>
        <v>#DIV/0!</v>
      </c>
      <c r="BA447" s="29" t="str">
        <f t="shared" si="450"/>
        <v>#DIV/0!</v>
      </c>
      <c r="BB447" s="29" t="str">
        <f t="shared" si="450"/>
        <v>#DIV/0!</v>
      </c>
      <c r="BC447" s="29" t="str">
        <f t="shared" si="450"/>
        <v>#DIV/0!</v>
      </c>
      <c r="BD447" s="29" t="str">
        <f t="shared" si="450"/>
        <v>#DIV/0!</v>
      </c>
      <c r="BE447" s="29" t="str">
        <f t="shared" si="450"/>
        <v>#DIV/0!</v>
      </c>
      <c r="BF447" s="29" t="str">
        <f t="shared" si="450"/>
        <v>#DIV/0!</v>
      </c>
      <c r="BG447" s="29" t="str">
        <f t="shared" si="450"/>
        <v>#DIV/0!</v>
      </c>
      <c r="BH447" s="29" t="str">
        <f t="shared" si="450"/>
        <v>#DIV/0!</v>
      </c>
      <c r="BI447" s="29" t="str">
        <f t="shared" si="450"/>
        <v>#DIV/0!</v>
      </c>
      <c r="BJ447" s="29" t="str">
        <f t="shared" si="450"/>
        <v>#DIV/0!</v>
      </c>
      <c r="BK447" s="29" t="str">
        <f t="shared" si="450"/>
        <v>#DIV/0!</v>
      </c>
      <c r="BL447" s="29" t="str">
        <f t="shared" si="450"/>
        <v>#DIV/0!</v>
      </c>
      <c r="BM447" s="29" t="str">
        <f t="shared" si="3"/>
        <v>#DIV/0!</v>
      </c>
    </row>
    <row r="448">
      <c r="A448" s="16" t="str">
        <f>IFERROR(__xludf.DUMMYFUNCTION("IFERROR(SPARKLINE(SORT(MAP(TRANSPOSE(AQ448:BL448), LAMBDA(val, IF(ISNUMBER(val), PERCENTRANK(AQ448:BL448, val)+0.01, 0))), SEQUENCE(COLUMNS(AQ448:BL448)), FALSE), {""charttype"",""column""; ""color"",""chartreuse""; ""ymin"", 0; ""ymax"", 1.01; ""highcolo"&amp;"r"", ""darkgreen""; ""lowcolor"", ""red""}), """")"),"")</f>
        <v/>
      </c>
      <c r="B448" s="17" t="str">
        <f t="shared" si="4"/>
        <v/>
      </c>
      <c r="C448" s="1" t="s">
        <v>1910</v>
      </c>
      <c r="D448" s="30" t="str">
        <f>IFERROR(__xludf.DUMMYFUNCTION("IFERROR(GOOGLEFINANCE(C448, ""NAME""))"),"Gartner Inc")</f>
        <v>Gartner Inc</v>
      </c>
      <c r="E448" s="30" t="s">
        <v>102</v>
      </c>
      <c r="F448" s="33" t="str">
        <f>IFERROR(__xludf.DUMMYFUNCTION("( (GOOGLEFINANCE(C448, ""price"") - Q448) / Q448 ) / (R448 / 100)"),"Loading...")</f>
        <v>Loading...</v>
      </c>
      <c r="G448" s="20" t="str">
        <f>IFERROR(__xludf.DUMMYFUNCTION("AVERAGE(ARRAYFORMULA(100 * (QUERY(GOOGLEFINANCE(C448, ""high"", TODAY()-40, TODAY()), ""SELECT Col2 WHERE Col2 IS NOT NULL ORDER BY Col1 DESC LIMIT 20"", 0) / QUERY(GOOGLEFINANCE(C448, ""low"", TODAY()-40, TODAY()), ""SELECT Col2 WHERE Col2 IS NOT NULL OR"&amp;"DER BY Col1 DESC LIMIT 20"", 0) - 1)))"),"#N/A")</f>
        <v>#N/A</v>
      </c>
      <c r="H448" s="35" t="str">
        <f t="shared" si="6"/>
        <v/>
      </c>
      <c r="I448" s="36" t="str">
        <f t="shared" si="7"/>
        <v/>
      </c>
      <c r="J448" s="37" t="str">
        <f>IFERROR(__xludf.DUMMYFUNCTION("IFERROR(
  IF(C448="""",, 
    IFERROR(
      GOOGLEFINANCE(C448, ""price"") * GOOGLEFINANCE(C448, ""volumeavg""), 
      GOOGLEFINANCE(C448, ""price"") * AVERAGE(QUERY(GOOGLEFINANCE(C448, ""volume"", TODAY()-40, TODAY()), ""SELECT Col2 WHERE Col2 IS NOT "&amp;"NULL ORDER BY Col1 DESC LIMIT 20"", 0))
    )
  ), 
"""")"),"")</f>
        <v/>
      </c>
      <c r="K448" s="21" t="str">
        <f>IFERROR(__xludf.DUMMYFUNCTION("IFERROR(GOOGLEFINANCE(C448, ""changepct"") / 100, """")"),"")</f>
        <v/>
      </c>
      <c r="L448" s="21" t="str">
        <f>IFERROR(__xludf.DUMMYFUNCTION("IFERROR((GOOGLEFINANCE(C448, ""price"") / INDEX(GOOGLEFINANCE(C448, ""price"", TODAY()-7, TODAY()), 2, 2)) - 1, """")"),"")</f>
        <v/>
      </c>
      <c r="M448" s="21" t="str">
        <f>IFERROR(__xludf.DUMMYFUNCTION("IFERROR((GOOGLEFINANCE(C448, ""price"") / INDEX(GOOGLEFINANCE(C448, ""price"", EDATE(TODAY(), -1), TODAY()), 2, 2)) - 1, """")"),"")</f>
        <v/>
      </c>
      <c r="N448" s="21" t="str">
        <f>IFERROR(__xludf.DUMMYFUNCTION("IFERROR((GOOGLEFINANCE(C448, ""price"") / INDEX(GOOGLEFINANCE(C448, ""price"", EDATE(TODAY(), -3), TODAY()), 2, 2)) - 1, """")"),"")</f>
        <v/>
      </c>
      <c r="O448" s="21" t="str">
        <f>IFERROR(__xludf.DUMMYFUNCTION("IFERROR((GOOGLEFINANCE(C448, ""price"") / INDEX(GOOGLEFINANCE(C448, ""price"", EDATE(TODAY(), -6), TODAY()), 2, 2)) - 1, """")"),"")</f>
        <v/>
      </c>
      <c r="P448" s="21" t="str">
        <f>IFERROR(__xludf.DUMMYFUNCTION("IFERROR((GOOGLEFINANCE(C448, ""price"") / INDEX(GOOGLEFINANCE(C448, ""price"", EDATE(TODAY(), -12), TODAY()), 2, 2)) - 1, """")"),"")</f>
        <v/>
      </c>
      <c r="Q448" s="6" t="str">
        <f>IFERROR(__xludf.DUMMYFUNCTION("AVERAGE(QUERY(GOOGLEFINANCE(C448, ""price"", TODAY()-80, TODAY()), ""SELECT Col2 WHERE Col2 IS NOT NULL ORDER BY Col1 DESC LIMIT 50"", 0))"),"#N/A")</f>
        <v>#N/A</v>
      </c>
      <c r="R448" s="24" t="str">
        <f>IFERROR(__xludf.DUMMYFUNCTION("IFERROR(
  LET(
    data, QUERY(GOOGLEFINANCE(C448,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GOOGLEFINANCE(C448, ""price"")) * 100,
    IF(calc=0, G448, calc)
  ), 
G448)"),"#N/A")</f>
        <v>#N/A</v>
      </c>
      <c r="S448" s="8" t="s">
        <v>15</v>
      </c>
      <c r="T448" s="26" t="str">
        <f>IFERROR(__xludf.DUMMYFUNCTION("IFERROR(TRANSPOSE(QUERY(IFERROR(SORT(GOOGLEFINANCE(C448, ""price"", WORKDAY(TODAY(), -40), TODAY()), 1, FALSE)), ""select Col2 where Col2 is not null limit 22 label Col2 ''"", 0)), """")"),"")</f>
        <v/>
      </c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8"/>
      <c r="AO448" s="28"/>
      <c r="AP448" s="29"/>
      <c r="AQ448" s="29" t="str">
        <f t="shared" ref="AQ448:BL448" si="451">T448/T$2</f>
        <v>#N/A</v>
      </c>
      <c r="AR448" s="29" t="str">
        <f t="shared" si="451"/>
        <v>#DIV/0!</v>
      </c>
      <c r="AS448" s="29" t="str">
        <f t="shared" si="451"/>
        <v>#DIV/0!</v>
      </c>
      <c r="AT448" s="29" t="str">
        <f t="shared" si="451"/>
        <v>#DIV/0!</v>
      </c>
      <c r="AU448" s="29" t="str">
        <f t="shared" si="451"/>
        <v>#DIV/0!</v>
      </c>
      <c r="AV448" s="29" t="str">
        <f t="shared" si="451"/>
        <v>#DIV/0!</v>
      </c>
      <c r="AW448" s="29" t="str">
        <f t="shared" si="451"/>
        <v>#DIV/0!</v>
      </c>
      <c r="AX448" s="29" t="str">
        <f t="shared" si="451"/>
        <v>#DIV/0!</v>
      </c>
      <c r="AY448" s="29" t="str">
        <f t="shared" si="451"/>
        <v>#DIV/0!</v>
      </c>
      <c r="AZ448" s="29" t="str">
        <f t="shared" si="451"/>
        <v>#DIV/0!</v>
      </c>
      <c r="BA448" s="29" t="str">
        <f t="shared" si="451"/>
        <v>#DIV/0!</v>
      </c>
      <c r="BB448" s="29" t="str">
        <f t="shared" si="451"/>
        <v>#DIV/0!</v>
      </c>
      <c r="BC448" s="29" t="str">
        <f t="shared" si="451"/>
        <v>#DIV/0!</v>
      </c>
      <c r="BD448" s="29" t="str">
        <f t="shared" si="451"/>
        <v>#DIV/0!</v>
      </c>
      <c r="BE448" s="29" t="str">
        <f t="shared" si="451"/>
        <v>#DIV/0!</v>
      </c>
      <c r="BF448" s="29" t="str">
        <f t="shared" si="451"/>
        <v>#DIV/0!</v>
      </c>
      <c r="BG448" s="29" t="str">
        <f t="shared" si="451"/>
        <v>#DIV/0!</v>
      </c>
      <c r="BH448" s="29" t="str">
        <f t="shared" si="451"/>
        <v>#DIV/0!</v>
      </c>
      <c r="BI448" s="29" t="str">
        <f t="shared" si="451"/>
        <v>#DIV/0!</v>
      </c>
      <c r="BJ448" s="29" t="str">
        <f t="shared" si="451"/>
        <v>#DIV/0!</v>
      </c>
      <c r="BK448" s="29" t="str">
        <f t="shared" si="451"/>
        <v>#DIV/0!</v>
      </c>
      <c r="BL448" s="29" t="str">
        <f t="shared" si="451"/>
        <v>#DIV/0!</v>
      </c>
      <c r="BM448" s="29" t="str">
        <f t="shared" si="3"/>
        <v>#DIV/0!</v>
      </c>
    </row>
    <row r="449">
      <c r="A449" s="16" t="str">
        <f>IFERROR(__xludf.DUMMYFUNCTION("IFERROR(SPARKLINE(SORT(MAP(TRANSPOSE(AQ449:BL449), LAMBDA(val, IF(ISNUMBER(val), PERCENTRANK(AQ449:BL449, val)+0.01, 0))), SEQUENCE(COLUMNS(AQ449:BL449)), FALSE), {""charttype"",""column""; ""color"",""chartreuse""; ""ymin"", 0; ""ymax"", 1.01; ""highcolo"&amp;"r"", ""darkgreen""; ""lowcolor"", ""red""}), """")"),"")</f>
        <v/>
      </c>
      <c r="B449" s="17" t="str">
        <f t="shared" si="4"/>
        <v/>
      </c>
      <c r="C449" s="1" t="s">
        <v>1914</v>
      </c>
      <c r="D449" s="30" t="str">
        <f>IFERROR(__xludf.DUMMYFUNCTION("IFERROR(GOOGLEFINANCE(C449, ""NAME""))"),"LG Display Co Ltd")</f>
        <v>LG Display Co Ltd</v>
      </c>
      <c r="E449" s="30" t="s">
        <v>837</v>
      </c>
      <c r="F449" s="33" t="str">
        <f>IFERROR(__xludf.DUMMYFUNCTION("( (GOOGLEFINANCE(C449, ""price"") - Q449) / Q449 ) / (R449 / 100)"),"Loading...")</f>
        <v>Loading...</v>
      </c>
      <c r="G449" s="20" t="str">
        <f>IFERROR(__xludf.DUMMYFUNCTION("AVERAGE(ARRAYFORMULA(100 * (QUERY(GOOGLEFINANCE(C449, ""high"", TODAY()-40, TODAY()), ""SELECT Col2 WHERE Col2 IS NOT NULL ORDER BY Col1 DESC LIMIT 20"", 0) / QUERY(GOOGLEFINANCE(C449, ""low"", TODAY()-40, TODAY()), ""SELECT Col2 WHERE Col2 IS NOT NULL OR"&amp;"DER BY Col1 DESC LIMIT 20"", 0) - 1)))"),"#N/A")</f>
        <v>#N/A</v>
      </c>
      <c r="H449" s="35" t="str">
        <f t="shared" si="6"/>
        <v/>
      </c>
      <c r="I449" s="36" t="str">
        <f t="shared" si="7"/>
        <v/>
      </c>
      <c r="J449" s="37" t="str">
        <f>IFERROR(__xludf.DUMMYFUNCTION("IFERROR(
  IF(C449="""",, 
    IFERROR(
      GOOGLEFINANCE(C449, ""price"") * GOOGLEFINANCE(C449, ""volumeavg""), 
      GOOGLEFINANCE(C449, ""price"") * AVERAGE(QUERY(GOOGLEFINANCE(C449, ""volume"", TODAY()-40, TODAY()), ""SELECT Col2 WHERE Col2 IS NOT "&amp;"NULL ORDER BY Col1 DESC LIMIT 20"", 0))
    )
  ), 
"""")"),"")</f>
        <v/>
      </c>
      <c r="K449" s="21" t="str">
        <f>IFERROR(__xludf.DUMMYFUNCTION("IFERROR(GOOGLEFINANCE(C449, ""changepct"") / 100, """")"),"")</f>
        <v/>
      </c>
      <c r="L449" s="21" t="str">
        <f>IFERROR(__xludf.DUMMYFUNCTION("IFERROR((GOOGLEFINANCE(C449, ""price"") / INDEX(GOOGLEFINANCE(C449, ""price"", TODAY()-7, TODAY()), 2, 2)) - 1, """")"),"")</f>
        <v/>
      </c>
      <c r="M449" s="21" t="str">
        <f>IFERROR(__xludf.DUMMYFUNCTION("IFERROR((GOOGLEFINANCE(C449, ""price"") / INDEX(GOOGLEFINANCE(C449, ""price"", EDATE(TODAY(), -1), TODAY()), 2, 2)) - 1, """")"),"")</f>
        <v/>
      </c>
      <c r="N449" s="21" t="str">
        <f>IFERROR(__xludf.DUMMYFUNCTION("IFERROR((GOOGLEFINANCE(C449, ""price"") / INDEX(GOOGLEFINANCE(C449, ""price"", EDATE(TODAY(), -3), TODAY()), 2, 2)) - 1, """")"),"")</f>
        <v/>
      </c>
      <c r="O449" s="21" t="str">
        <f>IFERROR(__xludf.DUMMYFUNCTION("IFERROR((GOOGLEFINANCE(C449, ""price"") / INDEX(GOOGLEFINANCE(C449, ""price"", EDATE(TODAY(), -6), TODAY()), 2, 2)) - 1, """")"),"")</f>
        <v/>
      </c>
      <c r="P449" s="21" t="str">
        <f>IFERROR(__xludf.DUMMYFUNCTION("IFERROR((GOOGLEFINANCE(C449, ""price"") / INDEX(GOOGLEFINANCE(C449, ""price"", EDATE(TODAY(), -12), TODAY()), 2, 2)) - 1, """")"),"")</f>
        <v/>
      </c>
      <c r="Q449" s="6" t="str">
        <f>IFERROR(__xludf.DUMMYFUNCTION("AVERAGE(QUERY(GOOGLEFINANCE(C449, ""price"", TODAY()-80, TODAY()), ""SELECT Col2 WHERE Col2 IS NOT NULL ORDER BY Col1 DESC LIMIT 50"", 0))"),"#N/A")</f>
        <v>#N/A</v>
      </c>
      <c r="R449" s="24" t="str">
        <f>IFERROR(__xludf.DUMMYFUNCTION("IFERROR(
  LET(
    data, QUERY(GOOGLEFINANCE(C449,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GOOGLEFINANCE(C449, ""price"")) * 100,
    IF(calc=0, G449, calc)
  ), 
G449)"),"#N/A")</f>
        <v>#N/A</v>
      </c>
      <c r="S449" s="8" t="s">
        <v>15</v>
      </c>
      <c r="T449" s="26" t="str">
        <f>IFERROR(__xludf.DUMMYFUNCTION("IFERROR(TRANSPOSE(QUERY(IFERROR(SORT(GOOGLEFINANCE(C449, ""price"", WORKDAY(TODAY(), -40), TODAY()), 1, FALSE)), ""select Col2 where Col2 is not null limit 22 label Col2 ''"", 0)), """")"),"")</f>
        <v/>
      </c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8"/>
      <c r="AO449" s="28"/>
      <c r="AP449" s="29"/>
      <c r="AQ449" s="29" t="str">
        <f t="shared" ref="AQ449:BL449" si="452">T449/T$2</f>
        <v>#N/A</v>
      </c>
      <c r="AR449" s="29" t="str">
        <f t="shared" si="452"/>
        <v>#DIV/0!</v>
      </c>
      <c r="AS449" s="29" t="str">
        <f t="shared" si="452"/>
        <v>#DIV/0!</v>
      </c>
      <c r="AT449" s="29" t="str">
        <f t="shared" si="452"/>
        <v>#DIV/0!</v>
      </c>
      <c r="AU449" s="29" t="str">
        <f t="shared" si="452"/>
        <v>#DIV/0!</v>
      </c>
      <c r="AV449" s="29" t="str">
        <f t="shared" si="452"/>
        <v>#DIV/0!</v>
      </c>
      <c r="AW449" s="29" t="str">
        <f t="shared" si="452"/>
        <v>#DIV/0!</v>
      </c>
      <c r="AX449" s="29" t="str">
        <f t="shared" si="452"/>
        <v>#DIV/0!</v>
      </c>
      <c r="AY449" s="29" t="str">
        <f t="shared" si="452"/>
        <v>#DIV/0!</v>
      </c>
      <c r="AZ449" s="29" t="str">
        <f t="shared" si="452"/>
        <v>#DIV/0!</v>
      </c>
      <c r="BA449" s="29" t="str">
        <f t="shared" si="452"/>
        <v>#DIV/0!</v>
      </c>
      <c r="BB449" s="29" t="str">
        <f t="shared" si="452"/>
        <v>#DIV/0!</v>
      </c>
      <c r="BC449" s="29" t="str">
        <f t="shared" si="452"/>
        <v>#DIV/0!</v>
      </c>
      <c r="BD449" s="29" t="str">
        <f t="shared" si="452"/>
        <v>#DIV/0!</v>
      </c>
      <c r="BE449" s="29" t="str">
        <f t="shared" si="452"/>
        <v>#DIV/0!</v>
      </c>
      <c r="BF449" s="29" t="str">
        <f t="shared" si="452"/>
        <v>#DIV/0!</v>
      </c>
      <c r="BG449" s="29" t="str">
        <f t="shared" si="452"/>
        <v>#DIV/0!</v>
      </c>
      <c r="BH449" s="29" t="str">
        <f t="shared" si="452"/>
        <v>#DIV/0!</v>
      </c>
      <c r="BI449" s="29" t="str">
        <f t="shared" si="452"/>
        <v>#DIV/0!</v>
      </c>
      <c r="BJ449" s="29" t="str">
        <f t="shared" si="452"/>
        <v>#DIV/0!</v>
      </c>
      <c r="BK449" s="29" t="str">
        <f t="shared" si="452"/>
        <v>#DIV/0!</v>
      </c>
      <c r="BL449" s="29" t="str">
        <f t="shared" si="452"/>
        <v>#DIV/0!</v>
      </c>
      <c r="BM449" s="29" t="str">
        <f t="shared" si="3"/>
        <v>#DIV/0!</v>
      </c>
    </row>
    <row r="450">
      <c r="A450" s="16" t="str">
        <f>IFERROR(__xludf.DUMMYFUNCTION("IFERROR(SPARKLINE(SORT(MAP(TRANSPOSE(AQ450:BL450), LAMBDA(val, IF(ISNUMBER(val), PERCENTRANK(AQ450:BL450, val)+0.01, 0))), SEQUENCE(COLUMNS(AQ450:BL450)), FALSE), {""charttype"",""column""; ""color"",""chartreuse""; ""ymin"", 0; ""ymax"", 1.01; ""highcolo"&amp;"r"", ""darkgreen""; ""lowcolor"", ""red""}), """")"),"")</f>
        <v/>
      </c>
      <c r="B450" s="17" t="str">
        <f t="shared" si="4"/>
        <v/>
      </c>
      <c r="C450" s="1" t="s">
        <v>1918</v>
      </c>
      <c r="D450" s="30" t="str">
        <f>IFERROR(__xludf.DUMMYFUNCTION("IFERROR(GOOGLEFINANCE(C450, ""NAME""))"),"GDS Holdings Ltd - ADR")</f>
        <v>GDS Holdings Ltd - ADR</v>
      </c>
      <c r="E450" s="30" t="s">
        <v>102</v>
      </c>
      <c r="F450" s="33" t="str">
        <f>IFERROR(__xludf.DUMMYFUNCTION("( (GOOGLEFINANCE(C450, ""price"") - Q450) / Q450 ) / (R450 / 100)"),"Loading...")</f>
        <v>Loading...</v>
      </c>
      <c r="G450" s="20" t="str">
        <f>IFERROR(__xludf.DUMMYFUNCTION("AVERAGE(ARRAYFORMULA(100 * (QUERY(GOOGLEFINANCE(C450, ""high"", TODAY()-40, TODAY()), ""SELECT Col2 WHERE Col2 IS NOT NULL ORDER BY Col1 DESC LIMIT 20"", 0) / QUERY(GOOGLEFINANCE(C450, ""low"", TODAY()-40, TODAY()), ""SELECT Col2 WHERE Col2 IS NOT NULL OR"&amp;"DER BY Col1 DESC LIMIT 20"", 0) - 1)))"),"#N/A")</f>
        <v>#N/A</v>
      </c>
      <c r="H450" s="35" t="str">
        <f t="shared" si="6"/>
        <v/>
      </c>
      <c r="I450" s="36" t="str">
        <f t="shared" si="7"/>
        <v/>
      </c>
      <c r="J450" s="37" t="str">
        <f>IFERROR(__xludf.DUMMYFUNCTION("IFERROR(
  IF(C450="""",, 
    IFERROR(
      GOOGLEFINANCE(C450, ""price"") * GOOGLEFINANCE(C450, ""volumeavg""), 
      GOOGLEFINANCE(C450, ""price"") * AVERAGE(QUERY(GOOGLEFINANCE(C450, ""volume"", TODAY()-40, TODAY()), ""SELECT Col2 WHERE Col2 IS NOT "&amp;"NULL ORDER BY Col1 DESC LIMIT 20"", 0))
    )
  ), 
"""")"),"")</f>
        <v/>
      </c>
      <c r="K450" s="21" t="str">
        <f>IFERROR(__xludf.DUMMYFUNCTION("IFERROR(GOOGLEFINANCE(C450, ""changepct"") / 100, """")"),"")</f>
        <v/>
      </c>
      <c r="L450" s="21" t="str">
        <f>IFERROR(__xludf.DUMMYFUNCTION("IFERROR((GOOGLEFINANCE(C450, ""price"") / INDEX(GOOGLEFINANCE(C450, ""price"", TODAY()-7, TODAY()), 2, 2)) - 1, """")"),"")</f>
        <v/>
      </c>
      <c r="M450" s="21" t="str">
        <f>IFERROR(__xludf.DUMMYFUNCTION("IFERROR((GOOGLEFINANCE(C450, ""price"") / INDEX(GOOGLEFINANCE(C450, ""price"", EDATE(TODAY(), -1), TODAY()), 2, 2)) - 1, """")"),"")</f>
        <v/>
      </c>
      <c r="N450" s="21" t="str">
        <f>IFERROR(__xludf.DUMMYFUNCTION("IFERROR((GOOGLEFINANCE(C450, ""price"") / INDEX(GOOGLEFINANCE(C450, ""price"", EDATE(TODAY(), -3), TODAY()), 2, 2)) - 1, """")"),"")</f>
        <v/>
      </c>
      <c r="O450" s="21" t="str">
        <f>IFERROR(__xludf.DUMMYFUNCTION("IFERROR((GOOGLEFINANCE(C450, ""price"") / INDEX(GOOGLEFINANCE(C450, ""price"", EDATE(TODAY(), -6), TODAY()), 2, 2)) - 1, """")"),"")</f>
        <v/>
      </c>
      <c r="P450" s="21" t="str">
        <f>IFERROR(__xludf.DUMMYFUNCTION("IFERROR((GOOGLEFINANCE(C450, ""price"") / INDEX(GOOGLEFINANCE(C450, ""price"", EDATE(TODAY(), -12), TODAY()), 2, 2)) - 1, """")"),"")</f>
        <v/>
      </c>
      <c r="Q450" s="6" t="str">
        <f>IFERROR(__xludf.DUMMYFUNCTION("AVERAGE(QUERY(GOOGLEFINANCE(C450, ""price"", TODAY()-80, TODAY()), ""SELECT Col2 WHERE Col2 IS NOT NULL ORDER BY Col1 DESC LIMIT 50"", 0))"),"#N/A")</f>
        <v>#N/A</v>
      </c>
      <c r="R450" s="24" t="str">
        <f>IFERROR(__xludf.DUMMYFUNCTION("IFERROR(
  LET(
    data, QUERY(GOOGLEFINANCE(C450,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GOOGLEFINANCE(C450, ""price"")) * 100,
    IF(calc=0, G450, calc)
  ), 
G450)"),"#N/A")</f>
        <v>#N/A</v>
      </c>
      <c r="S450" s="8" t="s">
        <v>15</v>
      </c>
      <c r="T450" s="26" t="str">
        <f>IFERROR(__xludf.DUMMYFUNCTION("IFERROR(TRANSPOSE(QUERY(IFERROR(SORT(GOOGLEFINANCE(C450, ""price"", WORKDAY(TODAY(), -40), TODAY()), 1, FALSE)), ""select Col2 where Col2 is not null limit 22 label Col2 ''"", 0)), """")"),"")</f>
        <v/>
      </c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8"/>
      <c r="AO450" s="28"/>
      <c r="AP450" s="29"/>
      <c r="AQ450" s="29" t="str">
        <f t="shared" ref="AQ450:BL450" si="453">T450/T$2</f>
        <v>#N/A</v>
      </c>
      <c r="AR450" s="29" t="str">
        <f t="shared" si="453"/>
        <v>#DIV/0!</v>
      </c>
      <c r="AS450" s="29" t="str">
        <f t="shared" si="453"/>
        <v>#DIV/0!</v>
      </c>
      <c r="AT450" s="29" t="str">
        <f t="shared" si="453"/>
        <v>#DIV/0!</v>
      </c>
      <c r="AU450" s="29" t="str">
        <f t="shared" si="453"/>
        <v>#DIV/0!</v>
      </c>
      <c r="AV450" s="29" t="str">
        <f t="shared" si="453"/>
        <v>#DIV/0!</v>
      </c>
      <c r="AW450" s="29" t="str">
        <f t="shared" si="453"/>
        <v>#DIV/0!</v>
      </c>
      <c r="AX450" s="29" t="str">
        <f t="shared" si="453"/>
        <v>#DIV/0!</v>
      </c>
      <c r="AY450" s="29" t="str">
        <f t="shared" si="453"/>
        <v>#DIV/0!</v>
      </c>
      <c r="AZ450" s="29" t="str">
        <f t="shared" si="453"/>
        <v>#DIV/0!</v>
      </c>
      <c r="BA450" s="29" t="str">
        <f t="shared" si="453"/>
        <v>#DIV/0!</v>
      </c>
      <c r="BB450" s="29" t="str">
        <f t="shared" si="453"/>
        <v>#DIV/0!</v>
      </c>
      <c r="BC450" s="29" t="str">
        <f t="shared" si="453"/>
        <v>#DIV/0!</v>
      </c>
      <c r="BD450" s="29" t="str">
        <f t="shared" si="453"/>
        <v>#DIV/0!</v>
      </c>
      <c r="BE450" s="29" t="str">
        <f t="shared" si="453"/>
        <v>#DIV/0!</v>
      </c>
      <c r="BF450" s="29" t="str">
        <f t="shared" si="453"/>
        <v>#DIV/0!</v>
      </c>
      <c r="BG450" s="29" t="str">
        <f t="shared" si="453"/>
        <v>#DIV/0!</v>
      </c>
      <c r="BH450" s="29" t="str">
        <f t="shared" si="453"/>
        <v>#DIV/0!</v>
      </c>
      <c r="BI450" s="29" t="str">
        <f t="shared" si="453"/>
        <v>#DIV/0!</v>
      </c>
      <c r="BJ450" s="29" t="str">
        <f t="shared" si="453"/>
        <v>#DIV/0!</v>
      </c>
      <c r="BK450" s="29" t="str">
        <f t="shared" si="453"/>
        <v>#DIV/0!</v>
      </c>
      <c r="BL450" s="29" t="str">
        <f t="shared" si="453"/>
        <v>#DIV/0!</v>
      </c>
      <c r="BM450" s="29" t="str">
        <f t="shared" si="3"/>
        <v>#DIV/0!</v>
      </c>
    </row>
    <row r="451">
      <c r="A451" s="16" t="str">
        <f>IFERROR(__xludf.DUMMYFUNCTION("IFERROR(SPARKLINE(SORT(MAP(TRANSPOSE(AQ451:BL451), LAMBDA(val, IF(ISNUMBER(val), PERCENTRANK(AQ451:BL451, val)+0.01, 0))), SEQUENCE(COLUMNS(AQ451:BL451)), FALSE), {""charttype"",""column""; ""color"",""chartreuse""; ""ymin"", 0; ""ymax"", 1.01; ""highcolo"&amp;"r"", ""darkgreen""; ""lowcolor"", ""red""}), """")"),"")</f>
        <v/>
      </c>
      <c r="B451" s="17" t="str">
        <f t="shared" si="4"/>
        <v/>
      </c>
      <c r="C451" s="1" t="s">
        <v>1923</v>
      </c>
      <c r="D451" s="30" t="str">
        <f>IFERROR(__xludf.DUMMYFUNCTION("IFERROR(GOOGLEFINANCE(C451, ""NAME""))"),"Salesforce Inc")</f>
        <v>Salesforce Inc</v>
      </c>
      <c r="E451" s="30" t="s">
        <v>48</v>
      </c>
      <c r="F451" s="33" t="str">
        <f>IFERROR(__xludf.DUMMYFUNCTION("( (GOOGLEFINANCE(C451, ""price"") - Q451) / Q451 ) / (R451 / 100)"),"Loading...")</f>
        <v>Loading...</v>
      </c>
      <c r="G451" s="20" t="str">
        <f>IFERROR(__xludf.DUMMYFUNCTION("AVERAGE(ARRAYFORMULA(100 * (QUERY(GOOGLEFINANCE(C451, ""high"", TODAY()-40, TODAY()), ""SELECT Col2 WHERE Col2 IS NOT NULL ORDER BY Col1 DESC LIMIT 20"", 0) / QUERY(GOOGLEFINANCE(C451, ""low"", TODAY()-40, TODAY()), ""SELECT Col2 WHERE Col2 IS NOT NULL OR"&amp;"DER BY Col1 DESC LIMIT 20"", 0) - 1)))"),"#N/A")</f>
        <v>#N/A</v>
      </c>
      <c r="H451" s="35" t="str">
        <f t="shared" si="6"/>
        <v/>
      </c>
      <c r="I451" s="36" t="str">
        <f t="shared" si="7"/>
        <v/>
      </c>
      <c r="J451" s="37" t="str">
        <f>IFERROR(__xludf.DUMMYFUNCTION("IFERROR(
  IF(C451="""",, 
    IFERROR(
      GOOGLEFINANCE(C451, ""price"") * GOOGLEFINANCE(C451, ""volumeavg""), 
      GOOGLEFINANCE(C451, ""price"") * AVERAGE(QUERY(GOOGLEFINANCE(C451, ""volume"", TODAY()-40, TODAY()), ""SELECT Col2 WHERE Col2 IS NOT "&amp;"NULL ORDER BY Col1 DESC LIMIT 20"", 0))
    )
  ), 
"""")"),"")</f>
        <v/>
      </c>
      <c r="K451" s="21" t="str">
        <f>IFERROR(__xludf.DUMMYFUNCTION("IFERROR(GOOGLEFINANCE(C451, ""changepct"") / 100, """")"),"")</f>
        <v/>
      </c>
      <c r="L451" s="21" t="str">
        <f>IFERROR(__xludf.DUMMYFUNCTION("IFERROR((GOOGLEFINANCE(C451, ""price"") / INDEX(GOOGLEFINANCE(C451, ""price"", TODAY()-7, TODAY()), 2, 2)) - 1, """")"),"")</f>
        <v/>
      </c>
      <c r="M451" s="21" t="str">
        <f>IFERROR(__xludf.DUMMYFUNCTION("IFERROR((GOOGLEFINANCE(C451, ""price"") / INDEX(GOOGLEFINANCE(C451, ""price"", EDATE(TODAY(), -1), TODAY()), 2, 2)) - 1, """")"),"")</f>
        <v/>
      </c>
      <c r="N451" s="21" t="str">
        <f>IFERROR(__xludf.DUMMYFUNCTION("IFERROR((GOOGLEFINANCE(C451, ""price"") / INDEX(GOOGLEFINANCE(C451, ""price"", EDATE(TODAY(), -3), TODAY()), 2, 2)) - 1, """")"),"")</f>
        <v/>
      </c>
      <c r="O451" s="21" t="str">
        <f>IFERROR(__xludf.DUMMYFUNCTION("IFERROR((GOOGLEFINANCE(C451, ""price"") / INDEX(GOOGLEFINANCE(C451, ""price"", EDATE(TODAY(), -6), TODAY()), 2, 2)) - 1, """")"),"")</f>
        <v/>
      </c>
      <c r="P451" s="21" t="str">
        <f>IFERROR(__xludf.DUMMYFUNCTION("IFERROR((GOOGLEFINANCE(C451, ""price"") / INDEX(GOOGLEFINANCE(C451, ""price"", EDATE(TODAY(), -12), TODAY()), 2, 2)) - 1, """")"),"")</f>
        <v/>
      </c>
      <c r="Q451" s="6" t="str">
        <f>IFERROR(__xludf.DUMMYFUNCTION("AVERAGE(QUERY(GOOGLEFINANCE(C451, ""price"", TODAY()-80, TODAY()), ""SELECT Col2 WHERE Col2 IS NOT NULL ORDER BY Col1 DESC LIMIT 50"", 0))"),"#N/A")</f>
        <v>#N/A</v>
      </c>
      <c r="R451" s="24" t="str">
        <f>IFERROR(__xludf.DUMMYFUNCTION("IFERROR(
  LET(
    data, QUERY(GOOGLEFINANCE(C451,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GOOGLEFINANCE(C451, ""price"")) * 100,
    IF(calc=0, G451, calc)
  ), 
G451)"),"#N/A")</f>
        <v>#N/A</v>
      </c>
      <c r="S451" s="8" t="s">
        <v>15</v>
      </c>
      <c r="T451" s="26" t="str">
        <f>IFERROR(__xludf.DUMMYFUNCTION("IFERROR(TRANSPOSE(QUERY(IFERROR(SORT(GOOGLEFINANCE(C451, ""price"", WORKDAY(TODAY(), -40), TODAY()), 1, FALSE)), ""select Col2 where Col2 is not null limit 22 label Col2 ''"", 0)), """")"),"")</f>
        <v/>
      </c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8"/>
      <c r="AO451" s="28"/>
      <c r="AP451" s="29"/>
      <c r="AQ451" s="29" t="str">
        <f t="shared" ref="AQ451:BL451" si="454">T451/T$2</f>
        <v>#N/A</v>
      </c>
      <c r="AR451" s="29" t="str">
        <f t="shared" si="454"/>
        <v>#DIV/0!</v>
      </c>
      <c r="AS451" s="29" t="str">
        <f t="shared" si="454"/>
        <v>#DIV/0!</v>
      </c>
      <c r="AT451" s="29" t="str">
        <f t="shared" si="454"/>
        <v>#DIV/0!</v>
      </c>
      <c r="AU451" s="29" t="str">
        <f t="shared" si="454"/>
        <v>#DIV/0!</v>
      </c>
      <c r="AV451" s="29" t="str">
        <f t="shared" si="454"/>
        <v>#DIV/0!</v>
      </c>
      <c r="AW451" s="29" t="str">
        <f t="shared" si="454"/>
        <v>#DIV/0!</v>
      </c>
      <c r="AX451" s="29" t="str">
        <f t="shared" si="454"/>
        <v>#DIV/0!</v>
      </c>
      <c r="AY451" s="29" t="str">
        <f t="shared" si="454"/>
        <v>#DIV/0!</v>
      </c>
      <c r="AZ451" s="29" t="str">
        <f t="shared" si="454"/>
        <v>#DIV/0!</v>
      </c>
      <c r="BA451" s="29" t="str">
        <f t="shared" si="454"/>
        <v>#DIV/0!</v>
      </c>
      <c r="BB451" s="29" t="str">
        <f t="shared" si="454"/>
        <v>#DIV/0!</v>
      </c>
      <c r="BC451" s="29" t="str">
        <f t="shared" si="454"/>
        <v>#DIV/0!</v>
      </c>
      <c r="BD451" s="29" t="str">
        <f t="shared" si="454"/>
        <v>#DIV/0!</v>
      </c>
      <c r="BE451" s="29" t="str">
        <f t="shared" si="454"/>
        <v>#DIV/0!</v>
      </c>
      <c r="BF451" s="29" t="str">
        <f t="shared" si="454"/>
        <v>#DIV/0!</v>
      </c>
      <c r="BG451" s="29" t="str">
        <f t="shared" si="454"/>
        <v>#DIV/0!</v>
      </c>
      <c r="BH451" s="29" t="str">
        <f t="shared" si="454"/>
        <v>#DIV/0!</v>
      </c>
      <c r="BI451" s="29" t="str">
        <f t="shared" si="454"/>
        <v>#DIV/0!</v>
      </c>
      <c r="BJ451" s="29" t="str">
        <f t="shared" si="454"/>
        <v>#DIV/0!</v>
      </c>
      <c r="BK451" s="29" t="str">
        <f t="shared" si="454"/>
        <v>#DIV/0!</v>
      </c>
      <c r="BL451" s="29" t="str">
        <f t="shared" si="454"/>
        <v>#DIV/0!</v>
      </c>
      <c r="BM451" s="29" t="str">
        <f t="shared" si="3"/>
        <v>#DIV/0!</v>
      </c>
    </row>
    <row r="452">
      <c r="A452" s="16" t="str">
        <f>IFERROR(__xludf.DUMMYFUNCTION("IFERROR(SPARKLINE(SORT(MAP(TRANSPOSE(AQ452:BL452), LAMBDA(val, IF(ISNUMBER(val), PERCENTRANK(AQ452:BL452, val)+0.01, 0))), SEQUENCE(COLUMNS(AQ452:BL452)), FALSE), {""charttype"",""column""; ""color"",""chartreuse""; ""ymin"", 0; ""ymax"", 1.01; ""highcolo"&amp;"r"", ""darkgreen""; ""lowcolor"", ""red""}), """")"),"")</f>
        <v/>
      </c>
      <c r="B452" s="17" t="str">
        <f t="shared" si="4"/>
        <v/>
      </c>
      <c r="C452" s="1" t="s">
        <v>1927</v>
      </c>
      <c r="D452" s="30" t="str">
        <f>IFERROR(__xludf.DUMMYFUNCTION("IFERROR(GOOGLEFINANCE(C452, ""NAME""))"),"Cloudflare Inc")</f>
        <v>Cloudflare Inc</v>
      </c>
      <c r="E452" s="30" t="s">
        <v>58</v>
      </c>
      <c r="F452" s="33" t="str">
        <f>IFERROR(__xludf.DUMMYFUNCTION("( (GOOGLEFINANCE(C452, ""price"") - Q452) / Q452 ) / (R452 / 100)"),"Loading...")</f>
        <v>Loading...</v>
      </c>
      <c r="G452" s="20" t="str">
        <f>IFERROR(__xludf.DUMMYFUNCTION("AVERAGE(ARRAYFORMULA(100 * (QUERY(GOOGLEFINANCE(C452, ""high"", TODAY()-40, TODAY()), ""SELECT Col2 WHERE Col2 IS NOT NULL ORDER BY Col1 DESC LIMIT 20"", 0) / QUERY(GOOGLEFINANCE(C452, ""low"", TODAY()-40, TODAY()), ""SELECT Col2 WHERE Col2 IS NOT NULL OR"&amp;"DER BY Col1 DESC LIMIT 20"", 0) - 1)))"),"#N/A")</f>
        <v>#N/A</v>
      </c>
      <c r="H452" s="35" t="str">
        <f t="shared" si="6"/>
        <v/>
      </c>
      <c r="I452" s="36" t="str">
        <f t="shared" si="7"/>
        <v/>
      </c>
      <c r="J452" s="37" t="str">
        <f>IFERROR(__xludf.DUMMYFUNCTION("IFERROR(
  IF(C452="""",, 
    IFERROR(
      GOOGLEFINANCE(C452, ""price"") * GOOGLEFINANCE(C452, ""volumeavg""), 
      GOOGLEFINANCE(C452, ""price"") * AVERAGE(QUERY(GOOGLEFINANCE(C452, ""volume"", TODAY()-40, TODAY()), ""SELECT Col2 WHERE Col2 IS NOT "&amp;"NULL ORDER BY Col1 DESC LIMIT 20"", 0))
    )
  ), 
"""")"),"")</f>
        <v/>
      </c>
      <c r="K452" s="21" t="str">
        <f>IFERROR(__xludf.DUMMYFUNCTION("IFERROR(GOOGLEFINANCE(C452, ""changepct"") / 100, """")"),"")</f>
        <v/>
      </c>
      <c r="L452" s="21" t="str">
        <f>IFERROR(__xludf.DUMMYFUNCTION("IFERROR((GOOGLEFINANCE(C452, ""price"") / INDEX(GOOGLEFINANCE(C452, ""price"", TODAY()-7, TODAY()), 2, 2)) - 1, """")"),"")</f>
        <v/>
      </c>
      <c r="M452" s="21" t="str">
        <f>IFERROR(__xludf.DUMMYFUNCTION("IFERROR((GOOGLEFINANCE(C452, ""price"") / INDEX(GOOGLEFINANCE(C452, ""price"", EDATE(TODAY(), -1), TODAY()), 2, 2)) - 1, """")"),"")</f>
        <v/>
      </c>
      <c r="N452" s="21" t="str">
        <f>IFERROR(__xludf.DUMMYFUNCTION("IFERROR((GOOGLEFINANCE(C452, ""price"") / INDEX(GOOGLEFINANCE(C452, ""price"", EDATE(TODAY(), -3), TODAY()), 2, 2)) - 1, """")"),"")</f>
        <v/>
      </c>
      <c r="O452" s="21" t="str">
        <f>IFERROR(__xludf.DUMMYFUNCTION("IFERROR((GOOGLEFINANCE(C452, ""price"") / INDEX(GOOGLEFINANCE(C452, ""price"", EDATE(TODAY(), -6), TODAY()), 2, 2)) - 1, """")"),"")</f>
        <v/>
      </c>
      <c r="P452" s="21" t="str">
        <f>IFERROR(__xludf.DUMMYFUNCTION("IFERROR((GOOGLEFINANCE(C452, ""price"") / INDEX(GOOGLEFINANCE(C452, ""price"", EDATE(TODAY(), -12), TODAY()), 2, 2)) - 1, """")"),"")</f>
        <v/>
      </c>
      <c r="Q452" s="6" t="str">
        <f>IFERROR(__xludf.DUMMYFUNCTION("AVERAGE(QUERY(GOOGLEFINANCE(C452, ""price"", TODAY()-80, TODAY()), ""SELECT Col2 WHERE Col2 IS NOT NULL ORDER BY Col1 DESC LIMIT 50"", 0))"),"#N/A")</f>
        <v>#N/A</v>
      </c>
      <c r="R452" s="24" t="str">
        <f>IFERROR(__xludf.DUMMYFUNCTION("IFERROR(
  LET(
    data, QUERY(GOOGLEFINANCE(C452,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GOOGLEFINANCE(C452, ""price"")) * 100,
    IF(calc=0, G452, calc)
  ), 
G452)"),"#N/A")</f>
        <v>#N/A</v>
      </c>
      <c r="S452" s="8" t="s">
        <v>15</v>
      </c>
      <c r="T452" s="26" t="str">
        <f>IFERROR(__xludf.DUMMYFUNCTION("IFERROR(TRANSPOSE(QUERY(IFERROR(SORT(GOOGLEFINANCE(C452, ""price"", WORKDAY(TODAY(), -40), TODAY()), 1, FALSE)), ""select Col2 where Col2 is not null limit 22 label Col2 ''"", 0)), """")"),"")</f>
        <v/>
      </c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8"/>
      <c r="AO452" s="28"/>
      <c r="AP452" s="29"/>
      <c r="AQ452" s="29" t="str">
        <f t="shared" ref="AQ452:BL452" si="455">T452/T$2</f>
        <v>#N/A</v>
      </c>
      <c r="AR452" s="29" t="str">
        <f t="shared" si="455"/>
        <v>#DIV/0!</v>
      </c>
      <c r="AS452" s="29" t="str">
        <f t="shared" si="455"/>
        <v>#DIV/0!</v>
      </c>
      <c r="AT452" s="29" t="str">
        <f t="shared" si="455"/>
        <v>#DIV/0!</v>
      </c>
      <c r="AU452" s="29" t="str">
        <f t="shared" si="455"/>
        <v>#DIV/0!</v>
      </c>
      <c r="AV452" s="29" t="str">
        <f t="shared" si="455"/>
        <v>#DIV/0!</v>
      </c>
      <c r="AW452" s="29" t="str">
        <f t="shared" si="455"/>
        <v>#DIV/0!</v>
      </c>
      <c r="AX452" s="29" t="str">
        <f t="shared" si="455"/>
        <v>#DIV/0!</v>
      </c>
      <c r="AY452" s="29" t="str">
        <f t="shared" si="455"/>
        <v>#DIV/0!</v>
      </c>
      <c r="AZ452" s="29" t="str">
        <f t="shared" si="455"/>
        <v>#DIV/0!</v>
      </c>
      <c r="BA452" s="29" t="str">
        <f t="shared" si="455"/>
        <v>#DIV/0!</v>
      </c>
      <c r="BB452" s="29" t="str">
        <f t="shared" si="455"/>
        <v>#DIV/0!</v>
      </c>
      <c r="BC452" s="29" t="str">
        <f t="shared" si="455"/>
        <v>#DIV/0!</v>
      </c>
      <c r="BD452" s="29" t="str">
        <f t="shared" si="455"/>
        <v>#DIV/0!</v>
      </c>
      <c r="BE452" s="29" t="str">
        <f t="shared" si="455"/>
        <v>#DIV/0!</v>
      </c>
      <c r="BF452" s="29" t="str">
        <f t="shared" si="455"/>
        <v>#DIV/0!</v>
      </c>
      <c r="BG452" s="29" t="str">
        <f t="shared" si="455"/>
        <v>#DIV/0!</v>
      </c>
      <c r="BH452" s="29" t="str">
        <f t="shared" si="455"/>
        <v>#DIV/0!</v>
      </c>
      <c r="BI452" s="29" t="str">
        <f t="shared" si="455"/>
        <v>#DIV/0!</v>
      </c>
      <c r="BJ452" s="29" t="str">
        <f t="shared" si="455"/>
        <v>#DIV/0!</v>
      </c>
      <c r="BK452" s="29" t="str">
        <f t="shared" si="455"/>
        <v>#DIV/0!</v>
      </c>
      <c r="BL452" s="29" t="str">
        <f t="shared" si="455"/>
        <v>#DIV/0!</v>
      </c>
      <c r="BM452" s="29" t="str">
        <f t="shared" si="3"/>
        <v>#DIV/0!</v>
      </c>
    </row>
    <row r="453">
      <c r="A453" s="16" t="str">
        <f>IFERROR(__xludf.DUMMYFUNCTION("IFERROR(SPARKLINE(SORT(MAP(TRANSPOSE(AQ453:BL453), LAMBDA(val, IF(ISNUMBER(val), PERCENTRANK(AQ453:BL453, val)+0.01, 0))), SEQUENCE(COLUMNS(AQ453:BL453)), FALSE), {""charttype"",""column""; ""color"",""chartreuse""; ""ymin"", 0; ""ymax"", 1.01; ""highcolo"&amp;"r"", ""darkgreen""; ""lowcolor"", ""red""}), """")"),"")</f>
        <v/>
      </c>
      <c r="B453" s="17" t="str">
        <f t="shared" si="4"/>
        <v/>
      </c>
      <c r="C453" s="1" t="s">
        <v>1931</v>
      </c>
      <c r="D453" s="30" t="str">
        <f>IFERROR(__xludf.DUMMYFUNCTION("IFERROR(GOOGLEFINANCE(C453, ""NAME""))"),"Badger Meter Inc")</f>
        <v>Badger Meter Inc</v>
      </c>
      <c r="E453" s="30" t="s">
        <v>595</v>
      </c>
      <c r="F453" s="33" t="str">
        <f>IFERROR(__xludf.DUMMYFUNCTION("( (GOOGLEFINANCE(C453, ""price"") - Q453) / Q453 ) / (R453 / 100)"),"Loading...")</f>
        <v>Loading...</v>
      </c>
      <c r="G453" s="20" t="str">
        <f>IFERROR(__xludf.DUMMYFUNCTION("AVERAGE(ARRAYFORMULA(100 * (QUERY(GOOGLEFINANCE(C453, ""high"", TODAY()-40, TODAY()), ""SELECT Col2 WHERE Col2 IS NOT NULL ORDER BY Col1 DESC LIMIT 20"", 0) / QUERY(GOOGLEFINANCE(C453, ""low"", TODAY()-40, TODAY()), ""SELECT Col2 WHERE Col2 IS NOT NULL OR"&amp;"DER BY Col1 DESC LIMIT 20"", 0) - 1)))"),"#N/A")</f>
        <v>#N/A</v>
      </c>
      <c r="H453" s="35" t="str">
        <f t="shared" si="6"/>
        <v/>
      </c>
      <c r="I453" s="36" t="str">
        <f t="shared" si="7"/>
        <v/>
      </c>
      <c r="J453" s="37" t="str">
        <f>IFERROR(__xludf.DUMMYFUNCTION("IFERROR(
  IF(C453="""",, 
    IFERROR(
      GOOGLEFINANCE(C453, ""price"") * GOOGLEFINANCE(C453, ""volumeavg""), 
      GOOGLEFINANCE(C453, ""price"") * AVERAGE(QUERY(GOOGLEFINANCE(C453, ""volume"", TODAY()-40, TODAY()), ""SELECT Col2 WHERE Col2 IS NOT "&amp;"NULL ORDER BY Col1 DESC LIMIT 20"", 0))
    )
  ), 
"""")"),"")</f>
        <v/>
      </c>
      <c r="K453" s="21" t="str">
        <f>IFERROR(__xludf.DUMMYFUNCTION("IFERROR(GOOGLEFINANCE(C453, ""changepct"") / 100, """")"),"")</f>
        <v/>
      </c>
      <c r="L453" s="21" t="str">
        <f>IFERROR(__xludf.DUMMYFUNCTION("IFERROR((GOOGLEFINANCE(C453, ""price"") / INDEX(GOOGLEFINANCE(C453, ""price"", TODAY()-7, TODAY()), 2, 2)) - 1, """")"),"")</f>
        <v/>
      </c>
      <c r="M453" s="21" t="str">
        <f>IFERROR(__xludf.DUMMYFUNCTION("IFERROR((GOOGLEFINANCE(C453, ""price"") / INDEX(GOOGLEFINANCE(C453, ""price"", EDATE(TODAY(), -1), TODAY()), 2, 2)) - 1, """")"),"")</f>
        <v/>
      </c>
      <c r="N453" s="21" t="str">
        <f>IFERROR(__xludf.DUMMYFUNCTION("IFERROR((GOOGLEFINANCE(C453, ""price"") / INDEX(GOOGLEFINANCE(C453, ""price"", EDATE(TODAY(), -3), TODAY()), 2, 2)) - 1, """")"),"")</f>
        <v/>
      </c>
      <c r="O453" s="21" t="str">
        <f>IFERROR(__xludf.DUMMYFUNCTION("IFERROR((GOOGLEFINANCE(C453, ""price"") / INDEX(GOOGLEFINANCE(C453, ""price"", EDATE(TODAY(), -6), TODAY()), 2, 2)) - 1, """")"),"")</f>
        <v/>
      </c>
      <c r="P453" s="21" t="str">
        <f>IFERROR(__xludf.DUMMYFUNCTION("IFERROR((GOOGLEFINANCE(C453, ""price"") / INDEX(GOOGLEFINANCE(C453, ""price"", EDATE(TODAY(), -12), TODAY()), 2, 2)) - 1, """")"),"")</f>
        <v/>
      </c>
      <c r="Q453" s="6" t="str">
        <f>IFERROR(__xludf.DUMMYFUNCTION("AVERAGE(QUERY(GOOGLEFINANCE(C453, ""price"", TODAY()-80, TODAY()), ""SELECT Col2 WHERE Col2 IS NOT NULL ORDER BY Col1 DESC LIMIT 50"", 0))"),"#N/A")</f>
        <v>#N/A</v>
      </c>
      <c r="R453" s="24" t="str">
        <f>IFERROR(__xludf.DUMMYFUNCTION("IFERROR(
  LET(
    data, QUERY(GOOGLEFINANCE(C453,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GOOGLEFINANCE(C453, ""price"")) * 100,
    IF(calc=0, G453, calc)
  ), 
G453)"),"#N/A")</f>
        <v>#N/A</v>
      </c>
      <c r="S453" s="8" t="s">
        <v>15</v>
      </c>
      <c r="T453" s="26" t="str">
        <f>IFERROR(__xludf.DUMMYFUNCTION("IFERROR(TRANSPOSE(QUERY(IFERROR(SORT(GOOGLEFINANCE(C453, ""price"", WORKDAY(TODAY(), -40), TODAY()), 1, FALSE)), ""select Col2 where Col2 is not null limit 22 label Col2 ''"", 0)), """")"),"")</f>
        <v/>
      </c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8"/>
      <c r="AO453" s="28"/>
      <c r="AP453" s="29"/>
      <c r="AQ453" s="29" t="str">
        <f t="shared" ref="AQ453:BL453" si="456">T453/T$2</f>
        <v>#N/A</v>
      </c>
      <c r="AR453" s="29" t="str">
        <f t="shared" si="456"/>
        <v>#DIV/0!</v>
      </c>
      <c r="AS453" s="29" t="str">
        <f t="shared" si="456"/>
        <v>#DIV/0!</v>
      </c>
      <c r="AT453" s="29" t="str">
        <f t="shared" si="456"/>
        <v>#DIV/0!</v>
      </c>
      <c r="AU453" s="29" t="str">
        <f t="shared" si="456"/>
        <v>#DIV/0!</v>
      </c>
      <c r="AV453" s="29" t="str">
        <f t="shared" si="456"/>
        <v>#DIV/0!</v>
      </c>
      <c r="AW453" s="29" t="str">
        <f t="shared" si="456"/>
        <v>#DIV/0!</v>
      </c>
      <c r="AX453" s="29" t="str">
        <f t="shared" si="456"/>
        <v>#DIV/0!</v>
      </c>
      <c r="AY453" s="29" t="str">
        <f t="shared" si="456"/>
        <v>#DIV/0!</v>
      </c>
      <c r="AZ453" s="29" t="str">
        <f t="shared" si="456"/>
        <v>#DIV/0!</v>
      </c>
      <c r="BA453" s="29" t="str">
        <f t="shared" si="456"/>
        <v>#DIV/0!</v>
      </c>
      <c r="BB453" s="29" t="str">
        <f t="shared" si="456"/>
        <v>#DIV/0!</v>
      </c>
      <c r="BC453" s="29" t="str">
        <f t="shared" si="456"/>
        <v>#DIV/0!</v>
      </c>
      <c r="BD453" s="29" t="str">
        <f t="shared" si="456"/>
        <v>#DIV/0!</v>
      </c>
      <c r="BE453" s="29" t="str">
        <f t="shared" si="456"/>
        <v>#DIV/0!</v>
      </c>
      <c r="BF453" s="29" t="str">
        <f t="shared" si="456"/>
        <v>#DIV/0!</v>
      </c>
      <c r="BG453" s="29" t="str">
        <f t="shared" si="456"/>
        <v>#DIV/0!</v>
      </c>
      <c r="BH453" s="29" t="str">
        <f t="shared" si="456"/>
        <v>#DIV/0!</v>
      </c>
      <c r="BI453" s="29" t="str">
        <f t="shared" si="456"/>
        <v>#DIV/0!</v>
      </c>
      <c r="BJ453" s="29" t="str">
        <f t="shared" si="456"/>
        <v>#DIV/0!</v>
      </c>
      <c r="BK453" s="29" t="str">
        <f t="shared" si="456"/>
        <v>#DIV/0!</v>
      </c>
      <c r="BL453" s="29" t="str">
        <f t="shared" si="456"/>
        <v>#DIV/0!</v>
      </c>
      <c r="BM453" s="29" t="str">
        <f t="shared" si="3"/>
        <v>#DIV/0!</v>
      </c>
    </row>
    <row r="454">
      <c r="A454" s="16" t="str">
        <f>IFERROR(__xludf.DUMMYFUNCTION("IFERROR(SPARKLINE(SORT(MAP(TRANSPOSE(AQ454:BL454), LAMBDA(val, IF(ISNUMBER(val), PERCENTRANK(AQ454:BL454, val)+0.01, 0))), SEQUENCE(COLUMNS(AQ454:BL454)), FALSE), {""charttype"",""column""; ""color"",""chartreuse""; ""ymin"", 0; ""ymax"", 1.01; ""highcolo"&amp;"r"", ""darkgreen""; ""lowcolor"", ""red""}), """")"),"")</f>
        <v/>
      </c>
      <c r="B454" s="17" t="str">
        <f t="shared" si="4"/>
        <v/>
      </c>
      <c r="C454" s="1" t="s">
        <v>1934</v>
      </c>
      <c r="D454" s="30" t="str">
        <f>IFERROR(__xludf.DUMMYFUNCTION("IFERROR(GOOGLEFINANCE(C454, ""NAME""))"),"Box Inc")</f>
        <v>Box Inc</v>
      </c>
      <c r="E454" s="30" t="s">
        <v>58</v>
      </c>
      <c r="F454" s="38" t="str">
        <f>IFERROR(__xludf.DUMMYFUNCTION("( (GOOGLEFINANCE(C454, ""price"") - Q454) / Q454 ) / (R454 / 100)"),"Loading...")</f>
        <v>Loading...</v>
      </c>
      <c r="G454" s="20" t="str">
        <f>IFERROR(__xludf.DUMMYFUNCTION("AVERAGE(ARRAYFORMULA(100 * (QUERY(GOOGLEFINANCE(C454, ""high"", TODAY()-40, TODAY()), ""SELECT Col2 WHERE Col2 IS NOT NULL ORDER BY Col1 DESC LIMIT 20"", 0) / QUERY(GOOGLEFINANCE(C454, ""low"", TODAY()-40, TODAY()), ""SELECT Col2 WHERE Col2 IS NOT NULL OR"&amp;"DER BY Col1 DESC LIMIT 20"", 0) - 1)))"),"#N/A")</f>
        <v>#N/A</v>
      </c>
      <c r="H454" s="35" t="str">
        <f t="shared" si="6"/>
        <v/>
      </c>
      <c r="I454" s="36" t="str">
        <f t="shared" si="7"/>
        <v/>
      </c>
      <c r="J454" s="37" t="str">
        <f>IFERROR(__xludf.DUMMYFUNCTION("IFERROR(
  IF(C454="""",, 
    IFERROR(
      GOOGLEFINANCE(C454, ""price"") * GOOGLEFINANCE(C454, ""volumeavg""), 
      GOOGLEFINANCE(C454, ""price"") * AVERAGE(QUERY(GOOGLEFINANCE(C454, ""volume"", TODAY()-40, TODAY()), ""SELECT Col2 WHERE Col2 IS NOT "&amp;"NULL ORDER BY Col1 DESC LIMIT 20"", 0))
    )
  ), 
"""")"),"")</f>
        <v/>
      </c>
      <c r="K454" s="21" t="str">
        <f>IFERROR(__xludf.DUMMYFUNCTION("IFERROR(GOOGLEFINANCE(C454, ""changepct"") / 100, """")"),"")</f>
        <v/>
      </c>
      <c r="L454" s="21" t="str">
        <f>IFERROR(__xludf.DUMMYFUNCTION("IFERROR((GOOGLEFINANCE(C454, ""price"") / INDEX(GOOGLEFINANCE(C454, ""price"", TODAY()-7, TODAY()), 2, 2)) - 1, """")"),"")</f>
        <v/>
      </c>
      <c r="M454" s="21" t="str">
        <f>IFERROR(__xludf.DUMMYFUNCTION("IFERROR((GOOGLEFINANCE(C454, ""price"") / INDEX(GOOGLEFINANCE(C454, ""price"", EDATE(TODAY(), -1), TODAY()), 2, 2)) - 1, """")"),"")</f>
        <v/>
      </c>
      <c r="N454" s="21" t="str">
        <f>IFERROR(__xludf.DUMMYFUNCTION("IFERROR((GOOGLEFINANCE(C454, ""price"") / INDEX(GOOGLEFINANCE(C454, ""price"", EDATE(TODAY(), -3), TODAY()), 2, 2)) - 1, """")"),"")</f>
        <v/>
      </c>
      <c r="O454" s="21" t="str">
        <f>IFERROR(__xludf.DUMMYFUNCTION("IFERROR((GOOGLEFINANCE(C454, ""price"") / INDEX(GOOGLEFINANCE(C454, ""price"", EDATE(TODAY(), -6), TODAY()), 2, 2)) - 1, """")"),"")</f>
        <v/>
      </c>
      <c r="P454" s="21" t="str">
        <f>IFERROR(__xludf.DUMMYFUNCTION("IFERROR((GOOGLEFINANCE(C454, ""price"") / INDEX(GOOGLEFINANCE(C454, ""price"", EDATE(TODAY(), -12), TODAY()), 2, 2)) - 1, """")"),"")</f>
        <v/>
      </c>
      <c r="Q454" s="6" t="str">
        <f>IFERROR(__xludf.DUMMYFUNCTION("AVERAGE(QUERY(GOOGLEFINANCE(C454, ""price"", TODAY()-80, TODAY()), ""SELECT Col2 WHERE Col2 IS NOT NULL ORDER BY Col1 DESC LIMIT 50"", 0))"),"#N/A")</f>
        <v>#N/A</v>
      </c>
      <c r="R454" s="24" t="str">
        <f>IFERROR(__xludf.DUMMYFUNCTION("IFERROR(
  LET(
    data, QUERY(GOOGLEFINANCE(C454,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GOOGLEFINANCE(C454, ""price"")) * 100,
    IF(calc=0, G454, calc)
  ), 
G454)"),"#N/A")</f>
        <v>#N/A</v>
      </c>
      <c r="S454" s="8" t="s">
        <v>15</v>
      </c>
      <c r="T454" s="26" t="str">
        <f>IFERROR(__xludf.DUMMYFUNCTION("IFERROR(TRANSPOSE(QUERY(IFERROR(SORT(GOOGLEFINANCE(C454, ""price"", WORKDAY(TODAY(), -40), TODAY()), 1, FALSE)), ""select Col2 where Col2 is not null limit 22 label Col2 ''"", 0)), """")"),"")</f>
        <v/>
      </c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8"/>
      <c r="AO454" s="28"/>
      <c r="AP454" s="29"/>
      <c r="AQ454" s="29" t="str">
        <f t="shared" ref="AQ454:BL454" si="457">T454/T$2</f>
        <v>#N/A</v>
      </c>
      <c r="AR454" s="29" t="str">
        <f t="shared" si="457"/>
        <v>#DIV/0!</v>
      </c>
      <c r="AS454" s="29" t="str">
        <f t="shared" si="457"/>
        <v>#DIV/0!</v>
      </c>
      <c r="AT454" s="29" t="str">
        <f t="shared" si="457"/>
        <v>#DIV/0!</v>
      </c>
      <c r="AU454" s="29" t="str">
        <f t="shared" si="457"/>
        <v>#DIV/0!</v>
      </c>
      <c r="AV454" s="29" t="str">
        <f t="shared" si="457"/>
        <v>#DIV/0!</v>
      </c>
      <c r="AW454" s="29" t="str">
        <f t="shared" si="457"/>
        <v>#DIV/0!</v>
      </c>
      <c r="AX454" s="29" t="str">
        <f t="shared" si="457"/>
        <v>#DIV/0!</v>
      </c>
      <c r="AY454" s="29" t="str">
        <f t="shared" si="457"/>
        <v>#DIV/0!</v>
      </c>
      <c r="AZ454" s="29" t="str">
        <f t="shared" si="457"/>
        <v>#DIV/0!</v>
      </c>
      <c r="BA454" s="29" t="str">
        <f t="shared" si="457"/>
        <v>#DIV/0!</v>
      </c>
      <c r="BB454" s="29" t="str">
        <f t="shared" si="457"/>
        <v>#DIV/0!</v>
      </c>
      <c r="BC454" s="29" t="str">
        <f t="shared" si="457"/>
        <v>#DIV/0!</v>
      </c>
      <c r="BD454" s="29" t="str">
        <f t="shared" si="457"/>
        <v>#DIV/0!</v>
      </c>
      <c r="BE454" s="29" t="str">
        <f t="shared" si="457"/>
        <v>#DIV/0!</v>
      </c>
      <c r="BF454" s="29" t="str">
        <f t="shared" si="457"/>
        <v>#DIV/0!</v>
      </c>
      <c r="BG454" s="29" t="str">
        <f t="shared" si="457"/>
        <v>#DIV/0!</v>
      </c>
      <c r="BH454" s="29" t="str">
        <f t="shared" si="457"/>
        <v>#DIV/0!</v>
      </c>
      <c r="BI454" s="29" t="str">
        <f t="shared" si="457"/>
        <v>#DIV/0!</v>
      </c>
      <c r="BJ454" s="29" t="str">
        <f t="shared" si="457"/>
        <v>#DIV/0!</v>
      </c>
      <c r="BK454" s="29" t="str">
        <f t="shared" si="457"/>
        <v>#DIV/0!</v>
      </c>
      <c r="BL454" s="29" t="str">
        <f t="shared" si="457"/>
        <v>#DIV/0!</v>
      </c>
      <c r="BM454" s="29" t="str">
        <f t="shared" si="3"/>
        <v>#DIV/0!</v>
      </c>
    </row>
    <row r="455">
      <c r="A455" s="16" t="str">
        <f>IFERROR(__xludf.DUMMYFUNCTION("IFERROR(SPARKLINE(SORT(MAP(TRANSPOSE(AQ455:BL455), LAMBDA(val, IF(ISNUMBER(val), PERCENTRANK(AQ455:BL455, val)+0.01, 0))), SEQUENCE(COLUMNS(AQ455:BL455)), FALSE), {""charttype"",""column""; ""color"",""chartreuse""; ""ymin"", 0; ""ymax"", 1.01; ""highcolo"&amp;"r"", ""darkgreen""; ""lowcolor"", ""red""}), """")"),"")</f>
        <v/>
      </c>
      <c r="B455" s="17" t="str">
        <f t="shared" si="4"/>
        <v/>
      </c>
      <c r="C455" s="1" t="s">
        <v>1938</v>
      </c>
      <c r="D455" s="30" t="str">
        <f>IFERROR(__xludf.DUMMYFUNCTION("IFERROR(GOOGLEFINANCE(C455, ""NAME""))"),"Unity Software Inc")</f>
        <v>Unity Software Inc</v>
      </c>
      <c r="E455" s="30" t="s">
        <v>48</v>
      </c>
      <c r="F455" s="38" t="str">
        <f>IFERROR(__xludf.DUMMYFUNCTION("( (GOOGLEFINANCE(C455, ""price"") - Q455) / Q455 ) / (R455 / 100)"),"Loading...")</f>
        <v>Loading...</v>
      </c>
      <c r="G455" s="20" t="str">
        <f>IFERROR(__xludf.DUMMYFUNCTION("AVERAGE(ARRAYFORMULA(100 * (QUERY(GOOGLEFINANCE(C455, ""high"", TODAY()-40, TODAY()), ""SELECT Col2 WHERE Col2 IS NOT NULL ORDER BY Col1 DESC LIMIT 20"", 0) / QUERY(GOOGLEFINANCE(C455, ""low"", TODAY()-40, TODAY()), ""SELECT Col2 WHERE Col2 IS NOT NULL OR"&amp;"DER BY Col1 DESC LIMIT 20"", 0) - 1)))"),"#N/A")</f>
        <v>#N/A</v>
      </c>
      <c r="H455" s="35" t="str">
        <f t="shared" si="6"/>
        <v/>
      </c>
      <c r="I455" s="36" t="str">
        <f t="shared" si="7"/>
        <v/>
      </c>
      <c r="J455" s="37" t="str">
        <f>IFERROR(__xludf.DUMMYFUNCTION("IFERROR(
  IF(C455="""",, 
    IFERROR(
      GOOGLEFINANCE(C455, ""price"") * GOOGLEFINANCE(C455, ""volumeavg""), 
      GOOGLEFINANCE(C455, ""price"") * AVERAGE(QUERY(GOOGLEFINANCE(C455, ""volume"", TODAY()-40, TODAY()), ""SELECT Col2 WHERE Col2 IS NOT "&amp;"NULL ORDER BY Col1 DESC LIMIT 20"", 0))
    )
  ), 
"""")"),"")</f>
        <v/>
      </c>
      <c r="K455" s="21" t="str">
        <f>IFERROR(__xludf.DUMMYFUNCTION("IFERROR(GOOGLEFINANCE(C455, ""changepct"") / 100, """")"),"")</f>
        <v/>
      </c>
      <c r="L455" s="21" t="str">
        <f>IFERROR(__xludf.DUMMYFUNCTION("IFERROR((GOOGLEFINANCE(C455, ""price"") / INDEX(GOOGLEFINANCE(C455, ""price"", TODAY()-7, TODAY()), 2, 2)) - 1, """")"),"")</f>
        <v/>
      </c>
      <c r="M455" s="21" t="str">
        <f>IFERROR(__xludf.DUMMYFUNCTION("IFERROR((GOOGLEFINANCE(C455, ""price"") / INDEX(GOOGLEFINANCE(C455, ""price"", EDATE(TODAY(), -1), TODAY()), 2, 2)) - 1, """")"),"")</f>
        <v/>
      </c>
      <c r="N455" s="21" t="str">
        <f>IFERROR(__xludf.DUMMYFUNCTION("IFERROR((GOOGLEFINANCE(C455, ""price"") / INDEX(GOOGLEFINANCE(C455, ""price"", EDATE(TODAY(), -3), TODAY()), 2, 2)) - 1, """")"),"")</f>
        <v/>
      </c>
      <c r="O455" s="21" t="str">
        <f>IFERROR(__xludf.DUMMYFUNCTION("IFERROR((GOOGLEFINANCE(C455, ""price"") / INDEX(GOOGLEFINANCE(C455, ""price"", EDATE(TODAY(), -6), TODAY()), 2, 2)) - 1, """")"),"")</f>
        <v/>
      </c>
      <c r="P455" s="21" t="str">
        <f>IFERROR(__xludf.DUMMYFUNCTION("IFERROR((GOOGLEFINANCE(C455, ""price"") / INDEX(GOOGLEFINANCE(C455, ""price"", EDATE(TODAY(), -12), TODAY()), 2, 2)) - 1, """")"),"")</f>
        <v/>
      </c>
      <c r="Q455" s="6" t="str">
        <f>IFERROR(__xludf.DUMMYFUNCTION("AVERAGE(QUERY(GOOGLEFINANCE(C455, ""price"", TODAY()-80, TODAY()), ""SELECT Col2 WHERE Col2 IS NOT NULL ORDER BY Col1 DESC LIMIT 50"", 0))"),"#N/A")</f>
        <v>#N/A</v>
      </c>
      <c r="R455" s="24" t="str">
        <f>IFERROR(__xludf.DUMMYFUNCTION("IFERROR(
  LET(
    data, QUERY(GOOGLEFINANCE(C455,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GOOGLEFINANCE(C455, ""price"")) * 100,
    IF(calc=0, G455, calc)
  ), 
G455)"),"#N/A")</f>
        <v>#N/A</v>
      </c>
      <c r="S455" s="8" t="s">
        <v>15</v>
      </c>
      <c r="T455" s="26" t="str">
        <f>IFERROR(__xludf.DUMMYFUNCTION("IFERROR(TRANSPOSE(QUERY(IFERROR(SORT(GOOGLEFINANCE(C455, ""price"", WORKDAY(TODAY(), -40), TODAY()), 1, FALSE)), ""select Col2 where Col2 is not null limit 22 label Col2 ''"", 0)), """")"),"")</f>
        <v/>
      </c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8"/>
      <c r="AO455" s="28"/>
      <c r="AP455" s="29"/>
      <c r="AQ455" s="29" t="str">
        <f t="shared" ref="AQ455:BL455" si="458">T455/T$2</f>
        <v>#N/A</v>
      </c>
      <c r="AR455" s="29" t="str">
        <f t="shared" si="458"/>
        <v>#DIV/0!</v>
      </c>
      <c r="AS455" s="29" t="str">
        <f t="shared" si="458"/>
        <v>#DIV/0!</v>
      </c>
      <c r="AT455" s="29" t="str">
        <f t="shared" si="458"/>
        <v>#DIV/0!</v>
      </c>
      <c r="AU455" s="29" t="str">
        <f t="shared" si="458"/>
        <v>#DIV/0!</v>
      </c>
      <c r="AV455" s="29" t="str">
        <f t="shared" si="458"/>
        <v>#DIV/0!</v>
      </c>
      <c r="AW455" s="29" t="str">
        <f t="shared" si="458"/>
        <v>#DIV/0!</v>
      </c>
      <c r="AX455" s="29" t="str">
        <f t="shared" si="458"/>
        <v>#DIV/0!</v>
      </c>
      <c r="AY455" s="29" t="str">
        <f t="shared" si="458"/>
        <v>#DIV/0!</v>
      </c>
      <c r="AZ455" s="29" t="str">
        <f t="shared" si="458"/>
        <v>#DIV/0!</v>
      </c>
      <c r="BA455" s="29" t="str">
        <f t="shared" si="458"/>
        <v>#DIV/0!</v>
      </c>
      <c r="BB455" s="29" t="str">
        <f t="shared" si="458"/>
        <v>#DIV/0!</v>
      </c>
      <c r="BC455" s="29" t="str">
        <f t="shared" si="458"/>
        <v>#DIV/0!</v>
      </c>
      <c r="BD455" s="29" t="str">
        <f t="shared" si="458"/>
        <v>#DIV/0!</v>
      </c>
      <c r="BE455" s="29" t="str">
        <f t="shared" si="458"/>
        <v>#DIV/0!</v>
      </c>
      <c r="BF455" s="29" t="str">
        <f t="shared" si="458"/>
        <v>#DIV/0!</v>
      </c>
      <c r="BG455" s="29" t="str">
        <f t="shared" si="458"/>
        <v>#DIV/0!</v>
      </c>
      <c r="BH455" s="29" t="str">
        <f t="shared" si="458"/>
        <v>#DIV/0!</v>
      </c>
      <c r="BI455" s="29" t="str">
        <f t="shared" si="458"/>
        <v>#DIV/0!</v>
      </c>
      <c r="BJ455" s="29" t="str">
        <f t="shared" si="458"/>
        <v>#DIV/0!</v>
      </c>
      <c r="BK455" s="29" t="str">
        <f t="shared" si="458"/>
        <v>#DIV/0!</v>
      </c>
      <c r="BL455" s="29" t="str">
        <f t="shared" si="458"/>
        <v>#DIV/0!</v>
      </c>
      <c r="BM455" s="29" t="str">
        <f t="shared" si="3"/>
        <v>#DIV/0!</v>
      </c>
    </row>
    <row r="456">
      <c r="A456" s="16" t="str">
        <f>IFERROR(__xludf.DUMMYFUNCTION("IFERROR(SPARKLINE(SORT(MAP(TRANSPOSE(AQ456:BL456), LAMBDA(val, IF(ISNUMBER(val), PERCENTRANK(AQ456:BL456, val)+0.01, 0))), SEQUENCE(COLUMNS(AQ456:BL456)), FALSE), {""charttype"",""column""; ""color"",""chartreuse""; ""ymin"", 0; ""ymax"", 1.01; ""highcolo"&amp;"r"", ""darkgreen""; ""lowcolor"", ""red""}), """")"),"")</f>
        <v/>
      </c>
      <c r="B456" s="17" t="str">
        <f t="shared" si="4"/>
        <v/>
      </c>
      <c r="C456" s="1" t="s">
        <v>1942</v>
      </c>
      <c r="D456" s="30" t="str">
        <f>IFERROR(__xludf.DUMMYFUNCTION("IFERROR(GOOGLEFINANCE(C456, ""NAME""))"),"Analog Devices Inc")</f>
        <v>Analog Devices Inc</v>
      </c>
      <c r="E456" s="30" t="s">
        <v>871</v>
      </c>
      <c r="F456" s="33" t="str">
        <f>IFERROR(__xludf.DUMMYFUNCTION("( (GOOGLEFINANCE(C456, ""price"") - Q456) / Q456 ) / (R456 / 100)"),"Loading...")</f>
        <v>Loading...</v>
      </c>
      <c r="G456" s="20" t="str">
        <f>IFERROR(__xludf.DUMMYFUNCTION("AVERAGE(ARRAYFORMULA(100 * (QUERY(GOOGLEFINANCE(C456, ""high"", TODAY()-40, TODAY()), ""SELECT Col2 WHERE Col2 IS NOT NULL ORDER BY Col1 DESC LIMIT 20"", 0) / QUERY(GOOGLEFINANCE(C456, ""low"", TODAY()-40, TODAY()), ""SELECT Col2 WHERE Col2 IS NOT NULL OR"&amp;"DER BY Col1 DESC LIMIT 20"", 0) - 1)))"),"#N/A")</f>
        <v>#N/A</v>
      </c>
      <c r="H456" s="35" t="str">
        <f t="shared" si="6"/>
        <v/>
      </c>
      <c r="I456" s="36" t="str">
        <f t="shared" si="7"/>
        <v/>
      </c>
      <c r="J456" s="37" t="str">
        <f>IFERROR(__xludf.DUMMYFUNCTION("IFERROR(
  IF(C456="""",, 
    IFERROR(
      GOOGLEFINANCE(C456, ""price"") * GOOGLEFINANCE(C456, ""volumeavg""), 
      GOOGLEFINANCE(C456, ""price"") * AVERAGE(QUERY(GOOGLEFINANCE(C456, ""volume"", TODAY()-40, TODAY()), ""SELECT Col2 WHERE Col2 IS NOT "&amp;"NULL ORDER BY Col1 DESC LIMIT 20"", 0))
    )
  ), 
"""")"),"")</f>
        <v/>
      </c>
      <c r="K456" s="21" t="str">
        <f>IFERROR(__xludf.DUMMYFUNCTION("IFERROR(GOOGLEFINANCE(C456, ""changepct"") / 100, """")"),"")</f>
        <v/>
      </c>
      <c r="L456" s="21" t="str">
        <f>IFERROR(__xludf.DUMMYFUNCTION("IFERROR((GOOGLEFINANCE(C456, ""price"") / INDEX(GOOGLEFINANCE(C456, ""price"", TODAY()-7, TODAY()), 2, 2)) - 1, """")"),"")</f>
        <v/>
      </c>
      <c r="M456" s="21" t="str">
        <f>IFERROR(__xludf.DUMMYFUNCTION("IFERROR((GOOGLEFINANCE(C456, ""price"") / INDEX(GOOGLEFINANCE(C456, ""price"", EDATE(TODAY(), -1), TODAY()), 2, 2)) - 1, """")"),"")</f>
        <v/>
      </c>
      <c r="N456" s="21" t="str">
        <f>IFERROR(__xludf.DUMMYFUNCTION("IFERROR((GOOGLEFINANCE(C456, ""price"") / INDEX(GOOGLEFINANCE(C456, ""price"", EDATE(TODAY(), -3), TODAY()), 2, 2)) - 1, """")"),"")</f>
        <v/>
      </c>
      <c r="O456" s="21" t="str">
        <f>IFERROR(__xludf.DUMMYFUNCTION("IFERROR((GOOGLEFINANCE(C456, ""price"") / INDEX(GOOGLEFINANCE(C456, ""price"", EDATE(TODAY(), -6), TODAY()), 2, 2)) - 1, """")"),"")</f>
        <v/>
      </c>
      <c r="P456" s="21" t="str">
        <f>IFERROR(__xludf.DUMMYFUNCTION("IFERROR((GOOGLEFINANCE(C456, ""price"") / INDEX(GOOGLEFINANCE(C456, ""price"", EDATE(TODAY(), -12), TODAY()), 2, 2)) - 1, """")"),"")</f>
        <v/>
      </c>
      <c r="Q456" s="6" t="str">
        <f>IFERROR(__xludf.DUMMYFUNCTION("AVERAGE(QUERY(GOOGLEFINANCE(C456, ""price"", TODAY()-80, TODAY()), ""SELECT Col2 WHERE Col2 IS NOT NULL ORDER BY Col1 DESC LIMIT 50"", 0))"),"#N/A")</f>
        <v>#N/A</v>
      </c>
      <c r="R456" s="24" t="str">
        <f>IFERROR(__xludf.DUMMYFUNCTION("IFERROR(
  LET(
    data, QUERY(GOOGLEFINANCE(C456,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GOOGLEFINANCE(C456, ""price"")) * 100,
    IF(calc=0, G456, calc)
  ), 
G456)"),"#N/A")</f>
        <v>#N/A</v>
      </c>
      <c r="S456" s="8" t="s">
        <v>15</v>
      </c>
      <c r="T456" s="26" t="str">
        <f>IFERROR(__xludf.DUMMYFUNCTION("IFERROR(TRANSPOSE(QUERY(IFERROR(SORT(GOOGLEFINANCE(C456, ""price"", WORKDAY(TODAY(), -40), TODAY()), 1, FALSE)), ""select Col2 where Col2 is not null limit 22 label Col2 ''"", 0)), """")"),"")</f>
        <v/>
      </c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8"/>
      <c r="AO456" s="28"/>
      <c r="AP456" s="29"/>
      <c r="AQ456" s="29" t="str">
        <f t="shared" ref="AQ456:BL456" si="459">T456/T$2</f>
        <v>#N/A</v>
      </c>
      <c r="AR456" s="29" t="str">
        <f t="shared" si="459"/>
        <v>#DIV/0!</v>
      </c>
      <c r="AS456" s="29" t="str">
        <f t="shared" si="459"/>
        <v>#DIV/0!</v>
      </c>
      <c r="AT456" s="29" t="str">
        <f t="shared" si="459"/>
        <v>#DIV/0!</v>
      </c>
      <c r="AU456" s="29" t="str">
        <f t="shared" si="459"/>
        <v>#DIV/0!</v>
      </c>
      <c r="AV456" s="29" t="str">
        <f t="shared" si="459"/>
        <v>#DIV/0!</v>
      </c>
      <c r="AW456" s="29" t="str">
        <f t="shared" si="459"/>
        <v>#DIV/0!</v>
      </c>
      <c r="AX456" s="29" t="str">
        <f t="shared" si="459"/>
        <v>#DIV/0!</v>
      </c>
      <c r="AY456" s="29" t="str">
        <f t="shared" si="459"/>
        <v>#DIV/0!</v>
      </c>
      <c r="AZ456" s="29" t="str">
        <f t="shared" si="459"/>
        <v>#DIV/0!</v>
      </c>
      <c r="BA456" s="29" t="str">
        <f t="shared" si="459"/>
        <v>#DIV/0!</v>
      </c>
      <c r="BB456" s="29" t="str">
        <f t="shared" si="459"/>
        <v>#DIV/0!</v>
      </c>
      <c r="BC456" s="29" t="str">
        <f t="shared" si="459"/>
        <v>#DIV/0!</v>
      </c>
      <c r="BD456" s="29" t="str">
        <f t="shared" si="459"/>
        <v>#DIV/0!</v>
      </c>
      <c r="BE456" s="29" t="str">
        <f t="shared" si="459"/>
        <v>#DIV/0!</v>
      </c>
      <c r="BF456" s="29" t="str">
        <f t="shared" si="459"/>
        <v>#DIV/0!</v>
      </c>
      <c r="BG456" s="29" t="str">
        <f t="shared" si="459"/>
        <v>#DIV/0!</v>
      </c>
      <c r="BH456" s="29" t="str">
        <f t="shared" si="459"/>
        <v>#DIV/0!</v>
      </c>
      <c r="BI456" s="29" t="str">
        <f t="shared" si="459"/>
        <v>#DIV/0!</v>
      </c>
      <c r="BJ456" s="29" t="str">
        <f t="shared" si="459"/>
        <v>#DIV/0!</v>
      </c>
      <c r="BK456" s="29" t="str">
        <f t="shared" si="459"/>
        <v>#DIV/0!</v>
      </c>
      <c r="BL456" s="29" t="str">
        <f t="shared" si="459"/>
        <v>#DIV/0!</v>
      </c>
      <c r="BM456" s="29" t="str">
        <f t="shared" si="3"/>
        <v>#DIV/0!</v>
      </c>
    </row>
    <row r="457">
      <c r="A457" s="16" t="str">
        <f>IFERROR(__xludf.DUMMYFUNCTION("IFERROR(SPARKLINE(SORT(MAP(TRANSPOSE(AQ457:BL457), LAMBDA(val, IF(ISNUMBER(val), PERCENTRANK(AQ457:BL457, val)+0.01, 0))), SEQUENCE(COLUMNS(AQ457:BL457)), FALSE), {""charttype"",""column""; ""color"",""chartreuse""; ""ymin"", 0; ""ymax"", 1.01; ""highcolo"&amp;"r"", ""darkgreen""; ""lowcolor"", ""red""}), """")"),"")</f>
        <v/>
      </c>
      <c r="B457" s="17" t="str">
        <f t="shared" si="4"/>
        <v/>
      </c>
      <c r="C457" s="1" t="s">
        <v>1946</v>
      </c>
      <c r="D457" s="30" t="str">
        <f>IFERROR(__xludf.DUMMYFUNCTION("IFERROR(GOOGLEFINANCE(C457, ""NAME""))"),"Knowles Corp")</f>
        <v>Knowles Corp</v>
      </c>
      <c r="E457" s="30" t="s">
        <v>469</v>
      </c>
      <c r="F457" s="38" t="str">
        <f>IFERROR(__xludf.DUMMYFUNCTION("( (GOOGLEFINANCE(C457, ""price"") - Q457) / Q457 ) / (R457 / 100)"),"Loading...")</f>
        <v>Loading...</v>
      </c>
      <c r="G457" s="20" t="str">
        <f>IFERROR(__xludf.DUMMYFUNCTION("AVERAGE(ARRAYFORMULA(100 * (QUERY(GOOGLEFINANCE(C457, ""high"", TODAY()-40, TODAY()), ""SELECT Col2 WHERE Col2 IS NOT NULL ORDER BY Col1 DESC LIMIT 20"", 0) / QUERY(GOOGLEFINANCE(C457, ""low"", TODAY()-40, TODAY()), ""SELECT Col2 WHERE Col2 IS NOT NULL OR"&amp;"DER BY Col1 DESC LIMIT 20"", 0) - 1)))"),"#N/A")</f>
        <v>#N/A</v>
      </c>
      <c r="H457" s="35" t="str">
        <f t="shared" si="6"/>
        <v/>
      </c>
      <c r="I457" s="36" t="str">
        <f t="shared" si="7"/>
        <v/>
      </c>
      <c r="J457" s="37" t="str">
        <f>IFERROR(__xludf.DUMMYFUNCTION("IFERROR(
  IF(C457="""",, 
    IFERROR(
      GOOGLEFINANCE(C457, ""price"") * GOOGLEFINANCE(C457, ""volumeavg""), 
      GOOGLEFINANCE(C457, ""price"") * AVERAGE(QUERY(GOOGLEFINANCE(C457, ""volume"", TODAY()-40, TODAY()), ""SELECT Col2 WHERE Col2 IS NOT "&amp;"NULL ORDER BY Col1 DESC LIMIT 20"", 0))
    )
  ), 
"""")"),"")</f>
        <v/>
      </c>
      <c r="K457" s="21" t="str">
        <f>IFERROR(__xludf.DUMMYFUNCTION("IFERROR(GOOGLEFINANCE(C457, ""changepct"") / 100, """")"),"")</f>
        <v/>
      </c>
      <c r="L457" s="21" t="str">
        <f>IFERROR(__xludf.DUMMYFUNCTION("IFERROR((GOOGLEFINANCE(C457, ""price"") / INDEX(GOOGLEFINANCE(C457, ""price"", TODAY()-7, TODAY()), 2, 2)) - 1, """")"),"")</f>
        <v/>
      </c>
      <c r="M457" s="21" t="str">
        <f>IFERROR(__xludf.DUMMYFUNCTION("IFERROR((GOOGLEFINANCE(C457, ""price"") / INDEX(GOOGLEFINANCE(C457, ""price"", EDATE(TODAY(), -1), TODAY()), 2, 2)) - 1, """")"),"")</f>
        <v/>
      </c>
      <c r="N457" s="21" t="str">
        <f>IFERROR(__xludf.DUMMYFUNCTION("IFERROR((GOOGLEFINANCE(C457, ""price"") / INDEX(GOOGLEFINANCE(C457, ""price"", EDATE(TODAY(), -3), TODAY()), 2, 2)) - 1, """")"),"")</f>
        <v/>
      </c>
      <c r="O457" s="21" t="str">
        <f>IFERROR(__xludf.DUMMYFUNCTION("IFERROR((GOOGLEFINANCE(C457, ""price"") / INDEX(GOOGLEFINANCE(C457, ""price"", EDATE(TODAY(), -6), TODAY()), 2, 2)) - 1, """")"),"")</f>
        <v/>
      </c>
      <c r="P457" s="21" t="str">
        <f>IFERROR(__xludf.DUMMYFUNCTION("IFERROR((GOOGLEFINANCE(C457, ""price"") / INDEX(GOOGLEFINANCE(C457, ""price"", EDATE(TODAY(), -12), TODAY()), 2, 2)) - 1, """")"),"")</f>
        <v/>
      </c>
      <c r="Q457" s="6" t="str">
        <f>IFERROR(__xludf.DUMMYFUNCTION("AVERAGE(QUERY(GOOGLEFINANCE(C457, ""price"", TODAY()-80, TODAY()), ""SELECT Col2 WHERE Col2 IS NOT NULL ORDER BY Col1 DESC LIMIT 50"", 0))"),"#N/A")</f>
        <v>#N/A</v>
      </c>
      <c r="R457" s="24" t="str">
        <f>IFERROR(__xludf.DUMMYFUNCTION("IFERROR(
  LET(
    data, QUERY(GOOGLEFINANCE(C457,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GOOGLEFINANCE(C457, ""price"")) * 100,
    IF(calc=0, G457, calc)
  ), 
G457)"),"#N/A")</f>
        <v>#N/A</v>
      </c>
      <c r="S457" s="8" t="s">
        <v>15</v>
      </c>
      <c r="T457" s="26" t="str">
        <f>IFERROR(__xludf.DUMMYFUNCTION("IFERROR(TRANSPOSE(QUERY(IFERROR(SORT(GOOGLEFINANCE(C457, ""price"", WORKDAY(TODAY(), -40), TODAY()), 1, FALSE)), ""select Col2 where Col2 is not null limit 22 label Col2 ''"", 0)), """")"),"")</f>
        <v/>
      </c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8"/>
      <c r="AO457" s="28"/>
      <c r="AP457" s="29"/>
      <c r="AQ457" s="29" t="str">
        <f t="shared" ref="AQ457:BL457" si="460">T457/T$2</f>
        <v>#N/A</v>
      </c>
      <c r="AR457" s="29" t="str">
        <f t="shared" si="460"/>
        <v>#DIV/0!</v>
      </c>
      <c r="AS457" s="29" t="str">
        <f t="shared" si="460"/>
        <v>#DIV/0!</v>
      </c>
      <c r="AT457" s="29" t="str">
        <f t="shared" si="460"/>
        <v>#DIV/0!</v>
      </c>
      <c r="AU457" s="29" t="str">
        <f t="shared" si="460"/>
        <v>#DIV/0!</v>
      </c>
      <c r="AV457" s="29" t="str">
        <f t="shared" si="460"/>
        <v>#DIV/0!</v>
      </c>
      <c r="AW457" s="29" t="str">
        <f t="shared" si="460"/>
        <v>#DIV/0!</v>
      </c>
      <c r="AX457" s="29" t="str">
        <f t="shared" si="460"/>
        <v>#DIV/0!</v>
      </c>
      <c r="AY457" s="29" t="str">
        <f t="shared" si="460"/>
        <v>#DIV/0!</v>
      </c>
      <c r="AZ457" s="29" t="str">
        <f t="shared" si="460"/>
        <v>#DIV/0!</v>
      </c>
      <c r="BA457" s="29" t="str">
        <f t="shared" si="460"/>
        <v>#DIV/0!</v>
      </c>
      <c r="BB457" s="29" t="str">
        <f t="shared" si="460"/>
        <v>#DIV/0!</v>
      </c>
      <c r="BC457" s="29" t="str">
        <f t="shared" si="460"/>
        <v>#DIV/0!</v>
      </c>
      <c r="BD457" s="29" t="str">
        <f t="shared" si="460"/>
        <v>#DIV/0!</v>
      </c>
      <c r="BE457" s="29" t="str">
        <f t="shared" si="460"/>
        <v>#DIV/0!</v>
      </c>
      <c r="BF457" s="29" t="str">
        <f t="shared" si="460"/>
        <v>#DIV/0!</v>
      </c>
      <c r="BG457" s="29" t="str">
        <f t="shared" si="460"/>
        <v>#DIV/0!</v>
      </c>
      <c r="BH457" s="29" t="str">
        <f t="shared" si="460"/>
        <v>#DIV/0!</v>
      </c>
      <c r="BI457" s="29" t="str">
        <f t="shared" si="460"/>
        <v>#DIV/0!</v>
      </c>
      <c r="BJ457" s="29" t="str">
        <f t="shared" si="460"/>
        <v>#DIV/0!</v>
      </c>
      <c r="BK457" s="29" t="str">
        <f t="shared" si="460"/>
        <v>#DIV/0!</v>
      </c>
      <c r="BL457" s="29" t="str">
        <f t="shared" si="460"/>
        <v>#DIV/0!</v>
      </c>
      <c r="BM457" s="29" t="str">
        <f t="shared" si="3"/>
        <v>#DIV/0!</v>
      </c>
    </row>
    <row r="458">
      <c r="A458" s="16" t="str">
        <f>IFERROR(__xludf.DUMMYFUNCTION("IFERROR(SPARKLINE(SORT(MAP(TRANSPOSE(AQ458:BL458), LAMBDA(val, IF(ISNUMBER(val), PERCENTRANK(AQ458:BL458, val)+0.01, 0))), SEQUENCE(COLUMNS(AQ458:BL458)), FALSE), {""charttype"",""column""; ""color"",""chartreuse""; ""ymin"", 0; ""ymax"", 1.01; ""highcolo"&amp;"r"", ""darkgreen""; ""lowcolor"", ""red""}), """")"),"")</f>
        <v/>
      </c>
      <c r="B458" s="17" t="str">
        <f t="shared" si="4"/>
        <v/>
      </c>
      <c r="C458" s="1" t="s">
        <v>1950</v>
      </c>
      <c r="D458" s="30" t="str">
        <f>IFERROR(__xludf.DUMMYFUNCTION("IFERROR(GOOGLEFINANCE(C458, ""NAME""))"),"Mongodb Inc")</f>
        <v>Mongodb Inc</v>
      </c>
      <c r="E458" s="30" t="s">
        <v>58</v>
      </c>
      <c r="F458" s="33" t="str">
        <f>IFERROR(__xludf.DUMMYFUNCTION("( (GOOGLEFINANCE(C458, ""price"") - Q458) / Q458 ) / (R458 / 100)"),"Loading...")</f>
        <v>Loading...</v>
      </c>
      <c r="G458" s="20" t="str">
        <f>IFERROR(__xludf.DUMMYFUNCTION("AVERAGE(ARRAYFORMULA(100 * (QUERY(GOOGLEFINANCE(C458, ""high"", TODAY()-40, TODAY()), ""SELECT Col2 WHERE Col2 IS NOT NULL ORDER BY Col1 DESC LIMIT 20"", 0) / QUERY(GOOGLEFINANCE(C458, ""low"", TODAY()-40, TODAY()), ""SELECT Col2 WHERE Col2 IS NOT NULL OR"&amp;"DER BY Col1 DESC LIMIT 20"", 0) - 1)))"),"#N/A")</f>
        <v>#N/A</v>
      </c>
      <c r="H458" s="35" t="str">
        <f t="shared" si="6"/>
        <v/>
      </c>
      <c r="I458" s="36" t="str">
        <f t="shared" si="7"/>
        <v/>
      </c>
      <c r="J458" s="37" t="str">
        <f>IFERROR(__xludf.DUMMYFUNCTION("IFERROR(
  IF(C458="""",, 
    IFERROR(
      GOOGLEFINANCE(C458, ""price"") * GOOGLEFINANCE(C458, ""volumeavg""), 
      GOOGLEFINANCE(C458, ""price"") * AVERAGE(QUERY(GOOGLEFINANCE(C458, ""volume"", TODAY()-40, TODAY()), ""SELECT Col2 WHERE Col2 IS NOT "&amp;"NULL ORDER BY Col1 DESC LIMIT 20"", 0))
    )
  ), 
"""")"),"")</f>
        <v/>
      </c>
      <c r="K458" s="21" t="str">
        <f>IFERROR(__xludf.DUMMYFUNCTION("IFERROR(GOOGLEFINANCE(C458, ""changepct"") / 100, """")"),"")</f>
        <v/>
      </c>
      <c r="L458" s="21" t="str">
        <f>IFERROR(__xludf.DUMMYFUNCTION("IFERROR((GOOGLEFINANCE(C458, ""price"") / INDEX(GOOGLEFINANCE(C458, ""price"", TODAY()-7, TODAY()), 2, 2)) - 1, """")"),"")</f>
        <v/>
      </c>
      <c r="M458" s="21" t="str">
        <f>IFERROR(__xludf.DUMMYFUNCTION("IFERROR((GOOGLEFINANCE(C458, ""price"") / INDEX(GOOGLEFINANCE(C458, ""price"", EDATE(TODAY(), -1), TODAY()), 2, 2)) - 1, """")"),"")</f>
        <v/>
      </c>
      <c r="N458" s="21" t="str">
        <f>IFERROR(__xludf.DUMMYFUNCTION("IFERROR((GOOGLEFINANCE(C458, ""price"") / INDEX(GOOGLEFINANCE(C458, ""price"", EDATE(TODAY(), -3), TODAY()), 2, 2)) - 1, """")"),"")</f>
        <v/>
      </c>
      <c r="O458" s="21" t="str">
        <f>IFERROR(__xludf.DUMMYFUNCTION("IFERROR((GOOGLEFINANCE(C458, ""price"") / INDEX(GOOGLEFINANCE(C458, ""price"", EDATE(TODAY(), -6), TODAY()), 2, 2)) - 1, """")"),"")</f>
        <v/>
      </c>
      <c r="P458" s="21" t="str">
        <f>IFERROR(__xludf.DUMMYFUNCTION("IFERROR((GOOGLEFINANCE(C458, ""price"") / INDEX(GOOGLEFINANCE(C458, ""price"", EDATE(TODAY(), -12), TODAY()), 2, 2)) - 1, """")"),"")</f>
        <v/>
      </c>
      <c r="Q458" s="6" t="str">
        <f>IFERROR(__xludf.DUMMYFUNCTION("AVERAGE(QUERY(GOOGLEFINANCE(C458, ""price"", TODAY()-80, TODAY()), ""SELECT Col2 WHERE Col2 IS NOT NULL ORDER BY Col1 DESC LIMIT 50"", 0))"),"#N/A")</f>
        <v>#N/A</v>
      </c>
      <c r="R458" s="24" t="str">
        <f>IFERROR(__xludf.DUMMYFUNCTION("IFERROR(
  LET(
    data, QUERY(GOOGLEFINANCE(C458,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GOOGLEFINANCE(C458, ""price"")) * 100,
    IF(calc=0, G458, calc)
  ), 
G458)"),"#N/A")</f>
        <v>#N/A</v>
      </c>
      <c r="S458" s="8" t="s">
        <v>15</v>
      </c>
      <c r="T458" s="26" t="str">
        <f>IFERROR(__xludf.DUMMYFUNCTION("IFERROR(TRANSPOSE(QUERY(IFERROR(SORT(GOOGLEFINANCE(C458, ""price"", WORKDAY(TODAY(), -40), TODAY()), 1, FALSE)), ""select Col2 where Col2 is not null limit 22 label Col2 ''"", 0)), """")"),"")</f>
        <v/>
      </c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8"/>
      <c r="AO458" s="28"/>
      <c r="AP458" s="29"/>
      <c r="AQ458" s="29" t="str">
        <f t="shared" ref="AQ458:BL458" si="461">T458/T$2</f>
        <v>#N/A</v>
      </c>
      <c r="AR458" s="29" t="str">
        <f t="shared" si="461"/>
        <v>#DIV/0!</v>
      </c>
      <c r="AS458" s="29" t="str">
        <f t="shared" si="461"/>
        <v>#DIV/0!</v>
      </c>
      <c r="AT458" s="29" t="str">
        <f t="shared" si="461"/>
        <v>#DIV/0!</v>
      </c>
      <c r="AU458" s="29" t="str">
        <f t="shared" si="461"/>
        <v>#DIV/0!</v>
      </c>
      <c r="AV458" s="29" t="str">
        <f t="shared" si="461"/>
        <v>#DIV/0!</v>
      </c>
      <c r="AW458" s="29" t="str">
        <f t="shared" si="461"/>
        <v>#DIV/0!</v>
      </c>
      <c r="AX458" s="29" t="str">
        <f t="shared" si="461"/>
        <v>#DIV/0!</v>
      </c>
      <c r="AY458" s="29" t="str">
        <f t="shared" si="461"/>
        <v>#DIV/0!</v>
      </c>
      <c r="AZ458" s="29" t="str">
        <f t="shared" si="461"/>
        <v>#DIV/0!</v>
      </c>
      <c r="BA458" s="29" t="str">
        <f t="shared" si="461"/>
        <v>#DIV/0!</v>
      </c>
      <c r="BB458" s="29" t="str">
        <f t="shared" si="461"/>
        <v>#DIV/0!</v>
      </c>
      <c r="BC458" s="29" t="str">
        <f t="shared" si="461"/>
        <v>#DIV/0!</v>
      </c>
      <c r="BD458" s="29" t="str">
        <f t="shared" si="461"/>
        <v>#DIV/0!</v>
      </c>
      <c r="BE458" s="29" t="str">
        <f t="shared" si="461"/>
        <v>#DIV/0!</v>
      </c>
      <c r="BF458" s="29" t="str">
        <f t="shared" si="461"/>
        <v>#DIV/0!</v>
      </c>
      <c r="BG458" s="29" t="str">
        <f t="shared" si="461"/>
        <v>#DIV/0!</v>
      </c>
      <c r="BH458" s="29" t="str">
        <f t="shared" si="461"/>
        <v>#DIV/0!</v>
      </c>
      <c r="BI458" s="29" t="str">
        <f t="shared" si="461"/>
        <v>#DIV/0!</v>
      </c>
      <c r="BJ458" s="29" t="str">
        <f t="shared" si="461"/>
        <v>#DIV/0!</v>
      </c>
      <c r="BK458" s="29" t="str">
        <f t="shared" si="461"/>
        <v>#DIV/0!</v>
      </c>
      <c r="BL458" s="29" t="str">
        <f t="shared" si="461"/>
        <v>#DIV/0!</v>
      </c>
      <c r="BM458" s="29" t="str">
        <f t="shared" si="3"/>
        <v>#DIV/0!</v>
      </c>
    </row>
    <row r="459">
      <c r="A459" s="16" t="str">
        <f>IFERROR(__xludf.DUMMYFUNCTION("IFERROR(SPARKLINE(SORT(MAP(TRANSPOSE(AQ459:BL459), LAMBDA(val, IF(ISNUMBER(val), PERCENTRANK(AQ459:BL459, val)+0.01, 0))), SEQUENCE(COLUMNS(AQ459:BL459)), FALSE), {""charttype"",""column""; ""color"",""chartreuse""; ""ymin"", 0; ""ymax"", 1.01; ""highcolo"&amp;"r"", ""darkgreen""; ""lowcolor"", ""red""}), """")"),"")</f>
        <v/>
      </c>
      <c r="B459" s="17" t="str">
        <f t="shared" si="4"/>
        <v/>
      </c>
      <c r="C459" s="1" t="s">
        <v>1954</v>
      </c>
      <c r="D459" s="30" t="str">
        <f>IFERROR(__xludf.DUMMYFUNCTION("IFERROR(GOOGLEFINANCE(C459, ""NAME""))"),"Figma Inc")</f>
        <v>Figma Inc</v>
      </c>
      <c r="E459" s="30" t="s">
        <v>48</v>
      </c>
      <c r="F459" s="33" t="str">
        <f>IFERROR(__xludf.DUMMYFUNCTION("( (GOOGLEFINANCE(C459, ""price"") - Q459) / Q459 ) / (R459 / 100)"),"Loading...")</f>
        <v>Loading...</v>
      </c>
      <c r="G459" s="20" t="str">
        <f>IFERROR(__xludf.DUMMYFUNCTION("AVERAGE(ARRAYFORMULA(100 * (QUERY(GOOGLEFINANCE(C459, ""high"", TODAY()-40, TODAY()), ""SELECT Col2 WHERE Col2 IS NOT NULL ORDER BY Col1 DESC LIMIT 20"", 0) / QUERY(GOOGLEFINANCE(C459, ""low"", TODAY()-40, TODAY()), ""SELECT Col2 WHERE Col2 IS NOT NULL OR"&amp;"DER BY Col1 DESC LIMIT 20"", 0) - 1)))"),"#N/A")</f>
        <v>#N/A</v>
      </c>
      <c r="H459" s="35" t="str">
        <f t="shared" si="6"/>
        <v/>
      </c>
      <c r="I459" s="36" t="str">
        <f t="shared" si="7"/>
        <v/>
      </c>
      <c r="J459" s="37" t="str">
        <f>IFERROR(__xludf.DUMMYFUNCTION("IFERROR(
  IF(C459="""",, 
    IFERROR(
      GOOGLEFINANCE(C459, ""price"") * GOOGLEFINANCE(C459, ""volumeavg""), 
      GOOGLEFINANCE(C459, ""price"") * AVERAGE(QUERY(GOOGLEFINANCE(C459, ""volume"", TODAY()-40, TODAY()), ""SELECT Col2 WHERE Col2 IS NOT "&amp;"NULL ORDER BY Col1 DESC LIMIT 20"", 0))
    )
  ), 
"""")"),"")</f>
        <v/>
      </c>
      <c r="K459" s="21" t="str">
        <f>IFERROR(__xludf.DUMMYFUNCTION("IFERROR(GOOGLEFINANCE(C459, ""changepct"") / 100, """")"),"")</f>
        <v/>
      </c>
      <c r="L459" s="21" t="str">
        <f>IFERROR(__xludf.DUMMYFUNCTION("IFERROR((GOOGLEFINANCE(C459, ""price"") / INDEX(GOOGLEFINANCE(C459, ""price"", TODAY()-7, TODAY()), 2, 2)) - 1, """")"),"")</f>
        <v/>
      </c>
      <c r="M459" s="21" t="str">
        <f>IFERROR(__xludf.DUMMYFUNCTION("IFERROR((GOOGLEFINANCE(C459, ""price"") / INDEX(GOOGLEFINANCE(C459, ""price"", EDATE(TODAY(), -1), TODAY()), 2, 2)) - 1, """")"),"")</f>
        <v/>
      </c>
      <c r="N459" s="21" t="str">
        <f>IFERROR(__xludf.DUMMYFUNCTION("IFERROR((GOOGLEFINANCE(C459, ""price"") / INDEX(GOOGLEFINANCE(C459, ""price"", EDATE(TODAY(), -3), TODAY()), 2, 2)) - 1, """")"),"")</f>
        <v/>
      </c>
      <c r="O459" s="21" t="str">
        <f>IFERROR(__xludf.DUMMYFUNCTION("IFERROR((GOOGLEFINANCE(C459, ""price"") / INDEX(GOOGLEFINANCE(C459, ""price"", EDATE(TODAY(), -6), TODAY()), 2, 2)) - 1, """")"),"")</f>
        <v/>
      </c>
      <c r="P459" s="21" t="str">
        <f>IFERROR(__xludf.DUMMYFUNCTION("IFERROR((GOOGLEFINANCE(C459, ""price"") / INDEX(GOOGLEFINANCE(C459, ""price"", EDATE(TODAY(), -12), TODAY()), 2, 2)) - 1, """")"),"")</f>
        <v/>
      </c>
      <c r="Q459" s="6" t="str">
        <f>IFERROR(__xludf.DUMMYFUNCTION("AVERAGE(QUERY(GOOGLEFINANCE(C459, ""price"", TODAY()-80, TODAY()), ""SELECT Col2 WHERE Col2 IS NOT NULL ORDER BY Col1 DESC LIMIT 50"", 0))"),"#N/A")</f>
        <v>#N/A</v>
      </c>
      <c r="R459" s="24" t="str">
        <f>IFERROR(__xludf.DUMMYFUNCTION("IFERROR(
  LET(
    data, QUERY(GOOGLEFINANCE(C459,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GOOGLEFINANCE(C459, ""price"")) * 100,
    IF(calc=0, G459, calc)
  ), 
G459)"),"#N/A")</f>
        <v>#N/A</v>
      </c>
      <c r="S459" s="8" t="s">
        <v>15</v>
      </c>
      <c r="T459" s="26" t="str">
        <f>IFERROR(__xludf.DUMMYFUNCTION("IFERROR(TRANSPOSE(QUERY(IFERROR(SORT(GOOGLEFINANCE(C459, ""price"", WORKDAY(TODAY(), -40), TODAY()), 1, FALSE)), ""select Col2 where Col2 is not null limit 22 label Col2 ''"", 0)), """")"),"")</f>
        <v/>
      </c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8"/>
      <c r="AO459" s="28"/>
      <c r="AP459" s="29"/>
      <c r="AQ459" s="29" t="str">
        <f t="shared" ref="AQ459:BL459" si="462">T459/T$2</f>
        <v>#N/A</v>
      </c>
      <c r="AR459" s="29" t="str">
        <f t="shared" si="462"/>
        <v>#DIV/0!</v>
      </c>
      <c r="AS459" s="29" t="str">
        <f t="shared" si="462"/>
        <v>#DIV/0!</v>
      </c>
      <c r="AT459" s="29" t="str">
        <f t="shared" si="462"/>
        <v>#DIV/0!</v>
      </c>
      <c r="AU459" s="29" t="str">
        <f t="shared" si="462"/>
        <v>#DIV/0!</v>
      </c>
      <c r="AV459" s="29" t="str">
        <f t="shared" si="462"/>
        <v>#DIV/0!</v>
      </c>
      <c r="AW459" s="29" t="str">
        <f t="shared" si="462"/>
        <v>#DIV/0!</v>
      </c>
      <c r="AX459" s="29" t="str">
        <f t="shared" si="462"/>
        <v>#DIV/0!</v>
      </c>
      <c r="AY459" s="29" t="str">
        <f t="shared" si="462"/>
        <v>#DIV/0!</v>
      </c>
      <c r="AZ459" s="29" t="str">
        <f t="shared" si="462"/>
        <v>#DIV/0!</v>
      </c>
      <c r="BA459" s="29" t="str">
        <f t="shared" si="462"/>
        <v>#DIV/0!</v>
      </c>
      <c r="BB459" s="29" t="str">
        <f t="shared" si="462"/>
        <v>#DIV/0!</v>
      </c>
      <c r="BC459" s="29" t="str">
        <f t="shared" si="462"/>
        <v>#DIV/0!</v>
      </c>
      <c r="BD459" s="29" t="str">
        <f t="shared" si="462"/>
        <v>#DIV/0!</v>
      </c>
      <c r="BE459" s="29" t="str">
        <f t="shared" si="462"/>
        <v>#DIV/0!</v>
      </c>
      <c r="BF459" s="29" t="str">
        <f t="shared" si="462"/>
        <v>#DIV/0!</v>
      </c>
      <c r="BG459" s="29" t="str">
        <f t="shared" si="462"/>
        <v>#DIV/0!</v>
      </c>
      <c r="BH459" s="29" t="str">
        <f t="shared" si="462"/>
        <v>#DIV/0!</v>
      </c>
      <c r="BI459" s="29" t="str">
        <f t="shared" si="462"/>
        <v>#DIV/0!</v>
      </c>
      <c r="BJ459" s="29" t="str">
        <f t="shared" si="462"/>
        <v>#DIV/0!</v>
      </c>
      <c r="BK459" s="29" t="str">
        <f t="shared" si="462"/>
        <v>#DIV/0!</v>
      </c>
      <c r="BL459" s="29" t="str">
        <f t="shared" si="462"/>
        <v>#DIV/0!</v>
      </c>
      <c r="BM459" s="29" t="str">
        <f t="shared" si="3"/>
        <v>#DIV/0!</v>
      </c>
    </row>
    <row r="460">
      <c r="A460" s="16" t="str">
        <f>IFERROR(__xludf.DUMMYFUNCTION("IFERROR(SPARKLINE(SORT(MAP(TRANSPOSE(AQ460:BL460), LAMBDA(val, IF(ISNUMBER(val), PERCENTRANK(AQ460:BL460, val)+0.01, 0))), SEQUENCE(COLUMNS(AQ460:BL460)), FALSE), {""charttype"",""column""; ""color"",""chartreuse""; ""ymin"", 0; ""ymax"", 1.01; ""highcolo"&amp;"r"", ""darkgreen""; ""lowcolor"", ""red""}), """")"),"")</f>
        <v/>
      </c>
      <c r="B460" s="17" t="str">
        <f t="shared" si="4"/>
        <v/>
      </c>
      <c r="C460" s="1" t="s">
        <v>1958</v>
      </c>
      <c r="D460" s="30" t="str">
        <f>IFERROR(__xludf.DUMMYFUNCTION("IFERROR(GOOGLEFINANCE(C460, ""NAME""))"),"BlackBerry Ltd")</f>
        <v>BlackBerry Ltd</v>
      </c>
      <c r="E460" s="30" t="s">
        <v>58</v>
      </c>
      <c r="F460" s="33" t="str">
        <f>IFERROR(__xludf.DUMMYFUNCTION("( (GOOGLEFINANCE(C460, ""price"") - Q460) / Q460 ) / (R460 / 100)"),"Loading...")</f>
        <v>Loading...</v>
      </c>
      <c r="G460" s="20" t="str">
        <f>IFERROR(__xludf.DUMMYFUNCTION("AVERAGE(ARRAYFORMULA(100 * (QUERY(GOOGLEFINANCE(C460, ""high"", TODAY()-40, TODAY()), ""SELECT Col2 WHERE Col2 IS NOT NULL ORDER BY Col1 DESC LIMIT 20"", 0) / QUERY(GOOGLEFINANCE(C460, ""low"", TODAY()-40, TODAY()), ""SELECT Col2 WHERE Col2 IS NOT NULL OR"&amp;"DER BY Col1 DESC LIMIT 20"", 0) - 1)))"),"#N/A")</f>
        <v>#N/A</v>
      </c>
      <c r="H460" s="35" t="str">
        <f t="shared" si="6"/>
        <v/>
      </c>
      <c r="I460" s="36" t="str">
        <f t="shared" si="7"/>
        <v/>
      </c>
      <c r="J460" s="37" t="str">
        <f>IFERROR(__xludf.DUMMYFUNCTION("IFERROR(
  IF(C460="""",, 
    IFERROR(
      GOOGLEFINANCE(C460, ""price"") * GOOGLEFINANCE(C460, ""volumeavg""), 
      GOOGLEFINANCE(C460, ""price"") * AVERAGE(QUERY(GOOGLEFINANCE(C460, ""volume"", TODAY()-40, TODAY()), ""SELECT Col2 WHERE Col2 IS NOT "&amp;"NULL ORDER BY Col1 DESC LIMIT 20"", 0))
    )
  ), 
"""")"),"")</f>
        <v/>
      </c>
      <c r="K460" s="21" t="str">
        <f>IFERROR(__xludf.DUMMYFUNCTION("IFERROR(GOOGLEFINANCE(C460, ""changepct"") / 100, """")"),"")</f>
        <v/>
      </c>
      <c r="L460" s="21" t="str">
        <f>IFERROR(__xludf.DUMMYFUNCTION("IFERROR((GOOGLEFINANCE(C460, ""price"") / INDEX(GOOGLEFINANCE(C460, ""price"", TODAY()-7, TODAY()), 2, 2)) - 1, """")"),"")</f>
        <v/>
      </c>
      <c r="M460" s="21" t="str">
        <f>IFERROR(__xludf.DUMMYFUNCTION("IFERROR((GOOGLEFINANCE(C460, ""price"") / INDEX(GOOGLEFINANCE(C460, ""price"", EDATE(TODAY(), -1), TODAY()), 2, 2)) - 1, """")"),"")</f>
        <v/>
      </c>
      <c r="N460" s="21" t="str">
        <f>IFERROR(__xludf.DUMMYFUNCTION("IFERROR((GOOGLEFINANCE(C460, ""price"") / INDEX(GOOGLEFINANCE(C460, ""price"", EDATE(TODAY(), -3), TODAY()), 2, 2)) - 1, """")"),"")</f>
        <v/>
      </c>
      <c r="O460" s="21" t="str">
        <f>IFERROR(__xludf.DUMMYFUNCTION("IFERROR((GOOGLEFINANCE(C460, ""price"") / INDEX(GOOGLEFINANCE(C460, ""price"", EDATE(TODAY(), -6), TODAY()), 2, 2)) - 1, """")"),"")</f>
        <v/>
      </c>
      <c r="P460" s="21" t="str">
        <f>IFERROR(__xludf.DUMMYFUNCTION("IFERROR((GOOGLEFINANCE(C460, ""price"") / INDEX(GOOGLEFINANCE(C460, ""price"", EDATE(TODAY(), -12), TODAY()), 2, 2)) - 1, """")"),"")</f>
        <v/>
      </c>
      <c r="Q460" s="6" t="str">
        <f>IFERROR(__xludf.DUMMYFUNCTION("AVERAGE(QUERY(GOOGLEFINANCE(C460, ""price"", TODAY()-80, TODAY()), ""SELECT Col2 WHERE Col2 IS NOT NULL ORDER BY Col1 DESC LIMIT 50"", 0))"),"#N/A")</f>
        <v>#N/A</v>
      </c>
      <c r="R460" s="24" t="str">
        <f>IFERROR(__xludf.DUMMYFUNCTION("IFERROR(
  LET(
    data, QUERY(GOOGLEFINANCE(C460,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GOOGLEFINANCE(C460, ""price"")) * 100,
    IF(calc=0, G460, calc)
  ), 
G460)"),"#N/A")</f>
        <v>#N/A</v>
      </c>
      <c r="S460" s="8" t="s">
        <v>15</v>
      </c>
      <c r="T460" s="26" t="str">
        <f>IFERROR(__xludf.DUMMYFUNCTION("IFERROR(TRANSPOSE(QUERY(IFERROR(SORT(GOOGLEFINANCE(C460, ""price"", WORKDAY(TODAY(), -40), TODAY()), 1, FALSE)), ""select Col2 where Col2 is not null limit 22 label Col2 ''"", 0)), """")"),"")</f>
        <v/>
      </c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8"/>
      <c r="AO460" s="28"/>
      <c r="AP460" s="29"/>
      <c r="AQ460" s="29" t="str">
        <f t="shared" ref="AQ460:BL460" si="463">T460/T$2</f>
        <v>#N/A</v>
      </c>
      <c r="AR460" s="29" t="str">
        <f t="shared" si="463"/>
        <v>#DIV/0!</v>
      </c>
      <c r="AS460" s="29" t="str">
        <f t="shared" si="463"/>
        <v>#DIV/0!</v>
      </c>
      <c r="AT460" s="29" t="str">
        <f t="shared" si="463"/>
        <v>#DIV/0!</v>
      </c>
      <c r="AU460" s="29" t="str">
        <f t="shared" si="463"/>
        <v>#DIV/0!</v>
      </c>
      <c r="AV460" s="29" t="str">
        <f t="shared" si="463"/>
        <v>#DIV/0!</v>
      </c>
      <c r="AW460" s="29" t="str">
        <f t="shared" si="463"/>
        <v>#DIV/0!</v>
      </c>
      <c r="AX460" s="29" t="str">
        <f t="shared" si="463"/>
        <v>#DIV/0!</v>
      </c>
      <c r="AY460" s="29" t="str">
        <f t="shared" si="463"/>
        <v>#DIV/0!</v>
      </c>
      <c r="AZ460" s="29" t="str">
        <f t="shared" si="463"/>
        <v>#DIV/0!</v>
      </c>
      <c r="BA460" s="29" t="str">
        <f t="shared" si="463"/>
        <v>#DIV/0!</v>
      </c>
      <c r="BB460" s="29" t="str">
        <f t="shared" si="463"/>
        <v>#DIV/0!</v>
      </c>
      <c r="BC460" s="29" t="str">
        <f t="shared" si="463"/>
        <v>#DIV/0!</v>
      </c>
      <c r="BD460" s="29" t="str">
        <f t="shared" si="463"/>
        <v>#DIV/0!</v>
      </c>
      <c r="BE460" s="29" t="str">
        <f t="shared" si="463"/>
        <v>#DIV/0!</v>
      </c>
      <c r="BF460" s="29" t="str">
        <f t="shared" si="463"/>
        <v>#DIV/0!</v>
      </c>
      <c r="BG460" s="29" t="str">
        <f t="shared" si="463"/>
        <v>#DIV/0!</v>
      </c>
      <c r="BH460" s="29" t="str">
        <f t="shared" si="463"/>
        <v>#DIV/0!</v>
      </c>
      <c r="BI460" s="29" t="str">
        <f t="shared" si="463"/>
        <v>#DIV/0!</v>
      </c>
      <c r="BJ460" s="29" t="str">
        <f t="shared" si="463"/>
        <v>#DIV/0!</v>
      </c>
      <c r="BK460" s="29" t="str">
        <f t="shared" si="463"/>
        <v>#DIV/0!</v>
      </c>
      <c r="BL460" s="29" t="str">
        <f t="shared" si="463"/>
        <v>#DIV/0!</v>
      </c>
      <c r="BM460" s="29" t="str">
        <f t="shared" si="3"/>
        <v>#DIV/0!</v>
      </c>
    </row>
    <row r="461">
      <c r="A461" s="16" t="str">
        <f>IFERROR(__xludf.DUMMYFUNCTION("IFERROR(SPARKLINE(SORT(MAP(TRANSPOSE(AQ461:BL461), LAMBDA(val, IF(ISNUMBER(val), PERCENTRANK(AQ461:BL461, val)+0.01, 0))), SEQUENCE(COLUMNS(AQ461:BL461)), FALSE), {""charttype"",""column""; ""color"",""chartreuse""; ""ymin"", 0; ""ymax"", 1.01; ""highcolo"&amp;"r"", ""darkgreen""; ""lowcolor"", ""red""}), """")"),"")</f>
        <v/>
      </c>
      <c r="B461" s="17" t="str">
        <f t="shared" si="4"/>
        <v/>
      </c>
      <c r="C461" s="1" t="s">
        <v>1963</v>
      </c>
      <c r="D461" s="30" t="str">
        <f>IFERROR(__xludf.DUMMYFUNCTION("IFERROR(GOOGLEFINANCE(C461, ""NAME""))"),"Globalfoundries Inc")</f>
        <v>Globalfoundries Inc</v>
      </c>
      <c r="E461" s="30" t="s">
        <v>871</v>
      </c>
      <c r="F461" s="33" t="str">
        <f>IFERROR(__xludf.DUMMYFUNCTION("( (GOOGLEFINANCE(C461, ""price"") - Q461) / Q461 ) / (R461 / 100)"),"Loading...")</f>
        <v>Loading...</v>
      </c>
      <c r="G461" s="20" t="str">
        <f>IFERROR(__xludf.DUMMYFUNCTION("AVERAGE(ARRAYFORMULA(100 * (QUERY(GOOGLEFINANCE(C461, ""high"", TODAY()-40, TODAY()), ""SELECT Col2 WHERE Col2 IS NOT NULL ORDER BY Col1 DESC LIMIT 20"", 0) / QUERY(GOOGLEFINANCE(C461, ""low"", TODAY()-40, TODAY()), ""SELECT Col2 WHERE Col2 IS NOT NULL OR"&amp;"DER BY Col1 DESC LIMIT 20"", 0) - 1)))"),"#N/A")</f>
        <v>#N/A</v>
      </c>
      <c r="H461" s="35" t="str">
        <f t="shared" si="6"/>
        <v/>
      </c>
      <c r="I461" s="36" t="str">
        <f t="shared" si="7"/>
        <v/>
      </c>
      <c r="J461" s="37" t="str">
        <f>IFERROR(__xludf.DUMMYFUNCTION("IFERROR(
  IF(C461="""",, 
    IFERROR(
      GOOGLEFINANCE(C461, ""price"") * GOOGLEFINANCE(C461, ""volumeavg""), 
      GOOGLEFINANCE(C461, ""price"") * AVERAGE(QUERY(GOOGLEFINANCE(C461, ""volume"", TODAY()-40, TODAY()), ""SELECT Col2 WHERE Col2 IS NOT "&amp;"NULL ORDER BY Col1 DESC LIMIT 20"", 0))
    )
  ), 
"""")"),"")</f>
        <v/>
      </c>
      <c r="K461" s="21" t="str">
        <f>IFERROR(__xludf.DUMMYFUNCTION("IFERROR(GOOGLEFINANCE(C461, ""changepct"") / 100, """")"),"")</f>
        <v/>
      </c>
      <c r="L461" s="21" t="str">
        <f>IFERROR(__xludf.DUMMYFUNCTION("IFERROR((GOOGLEFINANCE(C461, ""price"") / INDEX(GOOGLEFINANCE(C461, ""price"", TODAY()-7, TODAY()), 2, 2)) - 1, """")"),"")</f>
        <v/>
      </c>
      <c r="M461" s="21" t="str">
        <f>IFERROR(__xludf.DUMMYFUNCTION("IFERROR((GOOGLEFINANCE(C461, ""price"") / INDEX(GOOGLEFINANCE(C461, ""price"", EDATE(TODAY(), -1), TODAY()), 2, 2)) - 1, """")"),"")</f>
        <v/>
      </c>
      <c r="N461" s="21" t="str">
        <f>IFERROR(__xludf.DUMMYFUNCTION("IFERROR((GOOGLEFINANCE(C461, ""price"") / INDEX(GOOGLEFINANCE(C461, ""price"", EDATE(TODAY(), -3), TODAY()), 2, 2)) - 1, """")"),"")</f>
        <v/>
      </c>
      <c r="O461" s="21" t="str">
        <f>IFERROR(__xludf.DUMMYFUNCTION("IFERROR((GOOGLEFINANCE(C461, ""price"") / INDEX(GOOGLEFINANCE(C461, ""price"", EDATE(TODAY(), -6), TODAY()), 2, 2)) - 1, """")"),"")</f>
        <v/>
      </c>
      <c r="P461" s="21" t="str">
        <f>IFERROR(__xludf.DUMMYFUNCTION("IFERROR((GOOGLEFINANCE(C461, ""price"") / INDEX(GOOGLEFINANCE(C461, ""price"", EDATE(TODAY(), -12), TODAY()), 2, 2)) - 1, """")"),"")</f>
        <v/>
      </c>
      <c r="Q461" s="6" t="str">
        <f>IFERROR(__xludf.DUMMYFUNCTION("AVERAGE(QUERY(GOOGLEFINANCE(C461, ""price"", TODAY()-80, TODAY()), ""SELECT Col2 WHERE Col2 IS NOT NULL ORDER BY Col1 DESC LIMIT 50"", 0))"),"#N/A")</f>
        <v>#N/A</v>
      </c>
      <c r="R461" s="24" t="str">
        <f>IFERROR(__xludf.DUMMYFUNCTION("IFERROR(
  LET(
    data, QUERY(GOOGLEFINANCE(C461,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GOOGLEFINANCE(C461, ""price"")) * 100,
    IF(calc=0, G461, calc)
  ), 
G461)"),"#N/A")</f>
        <v>#N/A</v>
      </c>
      <c r="S461" s="8" t="s">
        <v>15</v>
      </c>
      <c r="T461" s="26" t="str">
        <f>IFERROR(__xludf.DUMMYFUNCTION("IFERROR(TRANSPOSE(QUERY(IFERROR(SORT(GOOGLEFINANCE(C461, ""price"", WORKDAY(TODAY(), -40), TODAY()), 1, FALSE)), ""select Col2 where Col2 is not null limit 22 label Col2 ''"", 0)), """")"),"")</f>
        <v/>
      </c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8"/>
      <c r="AO461" s="28"/>
      <c r="AP461" s="29"/>
      <c r="AQ461" s="29" t="str">
        <f t="shared" ref="AQ461:BL461" si="464">T461/T$2</f>
        <v>#N/A</v>
      </c>
      <c r="AR461" s="29" t="str">
        <f t="shared" si="464"/>
        <v>#DIV/0!</v>
      </c>
      <c r="AS461" s="29" t="str">
        <f t="shared" si="464"/>
        <v>#DIV/0!</v>
      </c>
      <c r="AT461" s="29" t="str">
        <f t="shared" si="464"/>
        <v>#DIV/0!</v>
      </c>
      <c r="AU461" s="29" t="str">
        <f t="shared" si="464"/>
        <v>#DIV/0!</v>
      </c>
      <c r="AV461" s="29" t="str">
        <f t="shared" si="464"/>
        <v>#DIV/0!</v>
      </c>
      <c r="AW461" s="29" t="str">
        <f t="shared" si="464"/>
        <v>#DIV/0!</v>
      </c>
      <c r="AX461" s="29" t="str">
        <f t="shared" si="464"/>
        <v>#DIV/0!</v>
      </c>
      <c r="AY461" s="29" t="str">
        <f t="shared" si="464"/>
        <v>#DIV/0!</v>
      </c>
      <c r="AZ461" s="29" t="str">
        <f t="shared" si="464"/>
        <v>#DIV/0!</v>
      </c>
      <c r="BA461" s="29" t="str">
        <f t="shared" si="464"/>
        <v>#DIV/0!</v>
      </c>
      <c r="BB461" s="29" t="str">
        <f t="shared" si="464"/>
        <v>#DIV/0!</v>
      </c>
      <c r="BC461" s="29" t="str">
        <f t="shared" si="464"/>
        <v>#DIV/0!</v>
      </c>
      <c r="BD461" s="29" t="str">
        <f t="shared" si="464"/>
        <v>#DIV/0!</v>
      </c>
      <c r="BE461" s="29" t="str">
        <f t="shared" si="464"/>
        <v>#DIV/0!</v>
      </c>
      <c r="BF461" s="29" t="str">
        <f t="shared" si="464"/>
        <v>#DIV/0!</v>
      </c>
      <c r="BG461" s="29" t="str">
        <f t="shared" si="464"/>
        <v>#DIV/0!</v>
      </c>
      <c r="BH461" s="29" t="str">
        <f t="shared" si="464"/>
        <v>#DIV/0!</v>
      </c>
      <c r="BI461" s="29" t="str">
        <f t="shared" si="464"/>
        <v>#DIV/0!</v>
      </c>
      <c r="BJ461" s="29" t="str">
        <f t="shared" si="464"/>
        <v>#DIV/0!</v>
      </c>
      <c r="BK461" s="29" t="str">
        <f t="shared" si="464"/>
        <v>#DIV/0!</v>
      </c>
      <c r="BL461" s="29" t="str">
        <f t="shared" si="464"/>
        <v>#DIV/0!</v>
      </c>
      <c r="BM461" s="29" t="str">
        <f t="shared" si="3"/>
        <v>#DIV/0!</v>
      </c>
    </row>
    <row r="462">
      <c r="A462" s="16" t="str">
        <f>IFERROR(__xludf.DUMMYFUNCTION("IFERROR(SPARKLINE(SORT(MAP(TRANSPOSE(AQ462:BL462), LAMBDA(val, IF(ISNUMBER(val), PERCENTRANK(AQ462:BL462, val)+0.01, 0))), SEQUENCE(COLUMNS(AQ462:BL462)), FALSE), {""charttype"",""column""; ""color"",""chartreuse""; ""ymin"", 0; ""ymax"", 1.01; ""highcolo"&amp;"r"", ""darkgreen""; ""lowcolor"", ""red""}), """")"),"")</f>
        <v/>
      </c>
      <c r="B462" s="17" t="str">
        <f t="shared" si="4"/>
        <v/>
      </c>
      <c r="C462" s="1" t="s">
        <v>1967</v>
      </c>
      <c r="D462" s="30" t="str">
        <f>IFERROR(__xludf.DUMMYFUNCTION("IFERROR(GOOGLEFINANCE(C462, ""NAME""))"),"Benchmark Electronics Inc")</f>
        <v>Benchmark Electronics Inc</v>
      </c>
      <c r="E462" s="30" t="s">
        <v>469</v>
      </c>
      <c r="F462" s="33" t="str">
        <f>IFERROR(__xludf.DUMMYFUNCTION("( (GOOGLEFINANCE(C462, ""price"") - Q462) / Q462 ) / (R462 / 100)"),"Loading...")</f>
        <v>Loading...</v>
      </c>
      <c r="G462" s="20" t="str">
        <f>IFERROR(__xludf.DUMMYFUNCTION("AVERAGE(ARRAYFORMULA(100 * (QUERY(GOOGLEFINANCE(C462, ""high"", TODAY()-40, TODAY()), ""SELECT Col2 WHERE Col2 IS NOT NULL ORDER BY Col1 DESC LIMIT 20"", 0) / QUERY(GOOGLEFINANCE(C462, ""low"", TODAY()-40, TODAY()), ""SELECT Col2 WHERE Col2 IS NOT NULL OR"&amp;"DER BY Col1 DESC LIMIT 20"", 0) - 1)))"),"#N/A")</f>
        <v>#N/A</v>
      </c>
      <c r="H462" s="35" t="str">
        <f t="shared" si="6"/>
        <v/>
      </c>
      <c r="I462" s="36" t="str">
        <f t="shared" si="7"/>
        <v/>
      </c>
      <c r="J462" s="37" t="str">
        <f>IFERROR(__xludf.DUMMYFUNCTION("IFERROR(
  IF(C462="""",, 
    IFERROR(
      GOOGLEFINANCE(C462, ""price"") * GOOGLEFINANCE(C462, ""volumeavg""), 
      GOOGLEFINANCE(C462, ""price"") * AVERAGE(QUERY(GOOGLEFINANCE(C462, ""volume"", TODAY()-40, TODAY()), ""SELECT Col2 WHERE Col2 IS NOT "&amp;"NULL ORDER BY Col1 DESC LIMIT 20"", 0))
    )
  ), 
"""")"),"")</f>
        <v/>
      </c>
      <c r="K462" s="21" t="str">
        <f>IFERROR(__xludf.DUMMYFUNCTION("IFERROR(GOOGLEFINANCE(C462, ""changepct"") / 100, """")"),"")</f>
        <v/>
      </c>
      <c r="L462" s="21" t="str">
        <f>IFERROR(__xludf.DUMMYFUNCTION("IFERROR((GOOGLEFINANCE(C462, ""price"") / INDEX(GOOGLEFINANCE(C462, ""price"", TODAY()-7, TODAY()), 2, 2)) - 1, """")"),"")</f>
        <v/>
      </c>
      <c r="M462" s="21" t="str">
        <f>IFERROR(__xludf.DUMMYFUNCTION("IFERROR((GOOGLEFINANCE(C462, ""price"") / INDEX(GOOGLEFINANCE(C462, ""price"", EDATE(TODAY(), -1), TODAY()), 2, 2)) - 1, """")"),"")</f>
        <v/>
      </c>
      <c r="N462" s="21" t="str">
        <f>IFERROR(__xludf.DUMMYFUNCTION("IFERROR((GOOGLEFINANCE(C462, ""price"") / INDEX(GOOGLEFINANCE(C462, ""price"", EDATE(TODAY(), -3), TODAY()), 2, 2)) - 1, """")"),"")</f>
        <v/>
      </c>
      <c r="O462" s="21" t="str">
        <f>IFERROR(__xludf.DUMMYFUNCTION("IFERROR((GOOGLEFINANCE(C462, ""price"") / INDEX(GOOGLEFINANCE(C462, ""price"", EDATE(TODAY(), -6), TODAY()), 2, 2)) - 1, """")"),"")</f>
        <v/>
      </c>
      <c r="P462" s="21" t="str">
        <f>IFERROR(__xludf.DUMMYFUNCTION("IFERROR((GOOGLEFINANCE(C462, ""price"") / INDEX(GOOGLEFINANCE(C462, ""price"", EDATE(TODAY(), -12), TODAY()), 2, 2)) - 1, """")"),"")</f>
        <v/>
      </c>
      <c r="Q462" s="6" t="str">
        <f>IFERROR(__xludf.DUMMYFUNCTION("AVERAGE(QUERY(GOOGLEFINANCE(C462, ""price"", TODAY()-80, TODAY()), ""SELECT Col2 WHERE Col2 IS NOT NULL ORDER BY Col1 DESC LIMIT 50"", 0))"),"#N/A")</f>
        <v>#N/A</v>
      </c>
      <c r="R462" s="24" t="str">
        <f>IFERROR(__xludf.DUMMYFUNCTION("IFERROR(
  LET(
    data, QUERY(GOOGLEFINANCE(C462,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GOOGLEFINANCE(C462, ""price"")) * 100,
    IF(calc=0, G462, calc)
  ), 
G462)"),"#N/A")</f>
        <v>#N/A</v>
      </c>
      <c r="S462" s="8" t="s">
        <v>15</v>
      </c>
      <c r="T462" s="26" t="str">
        <f>IFERROR(__xludf.DUMMYFUNCTION("IFERROR(TRANSPOSE(QUERY(IFERROR(SORT(GOOGLEFINANCE(C462, ""price"", WORKDAY(TODAY(), -40), TODAY()), 1, FALSE)), ""select Col2 where Col2 is not null limit 22 label Col2 ''"", 0)), """")"),"")</f>
        <v/>
      </c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8"/>
      <c r="AO462" s="28"/>
      <c r="AP462" s="29"/>
      <c r="AQ462" s="29" t="str">
        <f t="shared" ref="AQ462:BL462" si="465">T462/T$2</f>
        <v>#N/A</v>
      </c>
      <c r="AR462" s="29" t="str">
        <f t="shared" si="465"/>
        <v>#DIV/0!</v>
      </c>
      <c r="AS462" s="29" t="str">
        <f t="shared" si="465"/>
        <v>#DIV/0!</v>
      </c>
      <c r="AT462" s="29" t="str">
        <f t="shared" si="465"/>
        <v>#DIV/0!</v>
      </c>
      <c r="AU462" s="29" t="str">
        <f t="shared" si="465"/>
        <v>#DIV/0!</v>
      </c>
      <c r="AV462" s="29" t="str">
        <f t="shared" si="465"/>
        <v>#DIV/0!</v>
      </c>
      <c r="AW462" s="29" t="str">
        <f t="shared" si="465"/>
        <v>#DIV/0!</v>
      </c>
      <c r="AX462" s="29" t="str">
        <f t="shared" si="465"/>
        <v>#DIV/0!</v>
      </c>
      <c r="AY462" s="29" t="str">
        <f t="shared" si="465"/>
        <v>#DIV/0!</v>
      </c>
      <c r="AZ462" s="29" t="str">
        <f t="shared" si="465"/>
        <v>#DIV/0!</v>
      </c>
      <c r="BA462" s="29" t="str">
        <f t="shared" si="465"/>
        <v>#DIV/0!</v>
      </c>
      <c r="BB462" s="29" t="str">
        <f t="shared" si="465"/>
        <v>#DIV/0!</v>
      </c>
      <c r="BC462" s="29" t="str">
        <f t="shared" si="465"/>
        <v>#DIV/0!</v>
      </c>
      <c r="BD462" s="29" t="str">
        <f t="shared" si="465"/>
        <v>#DIV/0!</v>
      </c>
      <c r="BE462" s="29" t="str">
        <f t="shared" si="465"/>
        <v>#DIV/0!</v>
      </c>
      <c r="BF462" s="29" t="str">
        <f t="shared" si="465"/>
        <v>#DIV/0!</v>
      </c>
      <c r="BG462" s="29" t="str">
        <f t="shared" si="465"/>
        <v>#DIV/0!</v>
      </c>
      <c r="BH462" s="29" t="str">
        <f t="shared" si="465"/>
        <v>#DIV/0!</v>
      </c>
      <c r="BI462" s="29" t="str">
        <f t="shared" si="465"/>
        <v>#DIV/0!</v>
      </c>
      <c r="BJ462" s="29" t="str">
        <f t="shared" si="465"/>
        <v>#DIV/0!</v>
      </c>
      <c r="BK462" s="29" t="str">
        <f t="shared" si="465"/>
        <v>#DIV/0!</v>
      </c>
      <c r="BL462" s="29" t="str">
        <f t="shared" si="465"/>
        <v>#DIV/0!</v>
      </c>
      <c r="BM462" s="29" t="str">
        <f t="shared" si="3"/>
        <v>#DIV/0!</v>
      </c>
    </row>
    <row r="463">
      <c r="A463" s="16" t="str">
        <f>IFERROR(__xludf.DUMMYFUNCTION("IFERROR(SPARKLINE(SORT(MAP(TRANSPOSE(AQ463:BL463), LAMBDA(val, IF(ISNUMBER(val), PERCENTRANK(AQ463:BL463, val)+0.01, 0))), SEQUENCE(COLUMNS(AQ463:BL463)), FALSE), {""charttype"",""column""; ""color"",""chartreuse""; ""ymin"", 0; ""ymax"", 1.01; ""highcolo"&amp;"r"", ""darkgreen""; ""lowcolor"", ""red""}), """")"),"")</f>
        <v/>
      </c>
      <c r="B463" s="17" t="str">
        <f t="shared" si="4"/>
        <v/>
      </c>
      <c r="C463" s="1" t="s">
        <v>1970</v>
      </c>
      <c r="D463" s="30" t="str">
        <f>IFERROR(__xludf.DUMMYFUNCTION("IFERROR(GOOGLEFINANCE(C463, ""NAME""))"),"Officina Stellare SpA")</f>
        <v>Officina Stellare SpA</v>
      </c>
      <c r="E463" s="30" t="s">
        <v>58</v>
      </c>
      <c r="F463" s="33" t="str">
        <f>IFERROR(__xludf.DUMMYFUNCTION("( (GOOGLEFINANCE(C463, ""price"") - Q463) / Q463 ) / (R463 / 100)"),"Loading...")</f>
        <v>Loading...</v>
      </c>
      <c r="G463" s="20" t="str">
        <f>IFERROR(__xludf.DUMMYFUNCTION("AVERAGE(ARRAYFORMULA(100 * (QUERY(GOOGLEFINANCE(C463, ""high"", TODAY()-40, TODAY()), ""SELECT Col2 WHERE Col2 IS NOT NULL ORDER BY Col1 DESC LIMIT 20"", 0) / QUERY(GOOGLEFINANCE(C463, ""low"", TODAY()-40, TODAY()), ""SELECT Col2 WHERE Col2 IS NOT NULL OR"&amp;"DER BY Col1 DESC LIMIT 20"", 0) - 1)))"),"#N/A")</f>
        <v>#N/A</v>
      </c>
      <c r="H463" s="35" t="str">
        <f t="shared" si="6"/>
        <v/>
      </c>
      <c r="I463" s="36" t="str">
        <f t="shared" si="7"/>
        <v/>
      </c>
      <c r="J463" s="37" t="str">
        <f>IFERROR(__xludf.DUMMYFUNCTION("IFERROR(
  IF(C463="""",, 
    IFERROR(
      GOOGLEFINANCE(C463, ""price"") * GOOGLEFINANCE(C463, ""volumeavg""), 
      GOOGLEFINANCE(C463, ""price"") * AVERAGE(QUERY(GOOGLEFINANCE(C463, ""volume"", TODAY()-40, TODAY()), ""SELECT Col2 WHERE Col2 IS NOT "&amp;"NULL ORDER BY Col1 DESC LIMIT 20"", 0))
    )
  ), 
"""")"),"")</f>
        <v/>
      </c>
      <c r="K463" s="21" t="str">
        <f>IFERROR(__xludf.DUMMYFUNCTION("IFERROR(GOOGLEFINANCE(C463, ""changepct"") / 100, """")"),"")</f>
        <v/>
      </c>
      <c r="L463" s="21" t="str">
        <f>IFERROR(__xludf.DUMMYFUNCTION("IFERROR((GOOGLEFINANCE(C463, ""price"") / INDEX(GOOGLEFINANCE(C463, ""price"", TODAY()-7, TODAY()), 2, 2)) - 1, """")"),"")</f>
        <v/>
      </c>
      <c r="M463" s="21" t="str">
        <f>IFERROR(__xludf.DUMMYFUNCTION("IFERROR((GOOGLEFINANCE(C463, ""price"") / INDEX(GOOGLEFINANCE(C463, ""price"", EDATE(TODAY(), -1), TODAY()), 2, 2)) - 1, """")"),"")</f>
        <v/>
      </c>
      <c r="N463" s="21" t="str">
        <f>IFERROR(__xludf.DUMMYFUNCTION("IFERROR((GOOGLEFINANCE(C463, ""price"") / INDEX(GOOGLEFINANCE(C463, ""price"", EDATE(TODAY(), -3), TODAY()), 2, 2)) - 1, """")"),"")</f>
        <v/>
      </c>
      <c r="O463" s="21" t="str">
        <f>IFERROR(__xludf.DUMMYFUNCTION("IFERROR((GOOGLEFINANCE(C463, ""price"") / INDEX(GOOGLEFINANCE(C463, ""price"", EDATE(TODAY(), -6), TODAY()), 2, 2)) - 1, """")"),"")</f>
        <v/>
      </c>
      <c r="P463" s="21" t="str">
        <f>IFERROR(__xludf.DUMMYFUNCTION("IFERROR((GOOGLEFINANCE(C463, ""price"") / INDEX(GOOGLEFINANCE(C463, ""price"", EDATE(TODAY(), -12), TODAY()), 2, 2)) - 1, """")"),"")</f>
        <v/>
      </c>
      <c r="Q463" s="6" t="str">
        <f>IFERROR(__xludf.DUMMYFUNCTION("AVERAGE(QUERY(GOOGLEFINANCE(C463, ""price"", TODAY()-80, TODAY()), ""SELECT Col2 WHERE Col2 IS NOT NULL ORDER BY Col1 DESC LIMIT 50"", 0))"),"#N/A")</f>
        <v>#N/A</v>
      </c>
      <c r="R463" s="24" t="str">
        <f>IFERROR(__xludf.DUMMYFUNCTION("IFERROR(
  LET(
    data, QUERY(GOOGLEFINANCE(C463,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GOOGLEFINANCE(C463, ""price"")) * 100,
    IF(calc=0, G463, calc)
  ), 
G463)"),"#N/A")</f>
        <v>#N/A</v>
      </c>
      <c r="S463" s="8" t="s">
        <v>15</v>
      </c>
      <c r="T463" s="26" t="str">
        <f>IFERROR(__xludf.DUMMYFUNCTION("IFERROR(TRANSPOSE(QUERY(IFERROR(SORT(GOOGLEFINANCE(C463, ""price"", WORKDAY(TODAY(), -40), TODAY()), 1, FALSE)), ""select Col2 where Col2 is not null limit 22 label Col2 ''"", 0)), """")"),"")</f>
        <v/>
      </c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8"/>
      <c r="AO463" s="28"/>
      <c r="AP463" s="29"/>
      <c r="AQ463" s="29" t="str">
        <f t="shared" ref="AQ463:BL463" si="466">T463/T$2</f>
        <v>#N/A</v>
      </c>
      <c r="AR463" s="29" t="str">
        <f t="shared" si="466"/>
        <v>#DIV/0!</v>
      </c>
      <c r="AS463" s="29" t="str">
        <f t="shared" si="466"/>
        <v>#DIV/0!</v>
      </c>
      <c r="AT463" s="29" t="str">
        <f t="shared" si="466"/>
        <v>#DIV/0!</v>
      </c>
      <c r="AU463" s="29" t="str">
        <f t="shared" si="466"/>
        <v>#DIV/0!</v>
      </c>
      <c r="AV463" s="29" t="str">
        <f t="shared" si="466"/>
        <v>#DIV/0!</v>
      </c>
      <c r="AW463" s="29" t="str">
        <f t="shared" si="466"/>
        <v>#DIV/0!</v>
      </c>
      <c r="AX463" s="29" t="str">
        <f t="shared" si="466"/>
        <v>#DIV/0!</v>
      </c>
      <c r="AY463" s="29" t="str">
        <f t="shared" si="466"/>
        <v>#DIV/0!</v>
      </c>
      <c r="AZ463" s="29" t="str">
        <f t="shared" si="466"/>
        <v>#DIV/0!</v>
      </c>
      <c r="BA463" s="29" t="str">
        <f t="shared" si="466"/>
        <v>#DIV/0!</v>
      </c>
      <c r="BB463" s="29" t="str">
        <f t="shared" si="466"/>
        <v>#DIV/0!</v>
      </c>
      <c r="BC463" s="29" t="str">
        <f t="shared" si="466"/>
        <v>#DIV/0!</v>
      </c>
      <c r="BD463" s="29" t="str">
        <f t="shared" si="466"/>
        <v>#DIV/0!</v>
      </c>
      <c r="BE463" s="29" t="str">
        <f t="shared" si="466"/>
        <v>#DIV/0!</v>
      </c>
      <c r="BF463" s="29" t="str">
        <f t="shared" si="466"/>
        <v>#DIV/0!</v>
      </c>
      <c r="BG463" s="29" t="str">
        <f t="shared" si="466"/>
        <v>#DIV/0!</v>
      </c>
      <c r="BH463" s="29" t="str">
        <f t="shared" si="466"/>
        <v>#DIV/0!</v>
      </c>
      <c r="BI463" s="29" t="str">
        <f t="shared" si="466"/>
        <v>#DIV/0!</v>
      </c>
      <c r="BJ463" s="29" t="str">
        <f t="shared" si="466"/>
        <v>#DIV/0!</v>
      </c>
      <c r="BK463" s="29" t="str">
        <f t="shared" si="466"/>
        <v>#DIV/0!</v>
      </c>
      <c r="BL463" s="29" t="str">
        <f t="shared" si="466"/>
        <v>#DIV/0!</v>
      </c>
      <c r="BM463" s="29" t="str">
        <f t="shared" si="3"/>
        <v>#DIV/0!</v>
      </c>
    </row>
    <row r="464">
      <c r="A464" s="16" t="str">
        <f>IFERROR(__xludf.DUMMYFUNCTION("IFERROR(SPARKLINE(SORT(MAP(TRANSPOSE(AQ464:BL464), LAMBDA(val, IF(ISNUMBER(val), PERCENTRANK(AQ464:BL464, val)+0.01, 0))), SEQUENCE(COLUMNS(AQ464:BL464)), FALSE), {""charttype"",""column""; ""color"",""chartreuse""; ""ymin"", 0; ""ymax"", 1.01; ""highcolo"&amp;"r"", ""darkgreen""; ""lowcolor"", ""red""}), """")"),"")</f>
        <v/>
      </c>
      <c r="B464" s="17" t="str">
        <f t="shared" si="4"/>
        <v/>
      </c>
      <c r="C464" s="1" t="s">
        <v>1974</v>
      </c>
      <c r="D464" s="30" t="str">
        <f>IFERROR(__xludf.DUMMYFUNCTION("IFERROR(GOOGLEFINANCE(C464, ""NAME""))"),"")</f>
        <v/>
      </c>
      <c r="E464" s="30" t="s">
        <v>58</v>
      </c>
      <c r="F464" s="38" t="str">
        <f>IFERROR(__xludf.DUMMYFUNCTION("( (GOOGLEFINANCE(C464, ""price"") - Q464) / Q464 ) / (R464 / 100)"),"Loading...")</f>
        <v>Loading...</v>
      </c>
      <c r="G464" s="20" t="str">
        <f>IFERROR(__xludf.DUMMYFUNCTION("AVERAGE(ARRAYFORMULA(100 * (QUERY(GOOGLEFINANCE(C464, ""high"", TODAY()-40, TODAY()), ""SELECT Col2 WHERE Col2 IS NOT NULL ORDER BY Col1 DESC LIMIT 20"", 0) / QUERY(GOOGLEFINANCE(C464, ""low"", TODAY()-40, TODAY()), ""SELECT Col2 WHERE Col2 IS NOT NULL OR"&amp;"DER BY Col1 DESC LIMIT 20"", 0) - 1)))"),"#N/A")</f>
        <v>#N/A</v>
      </c>
      <c r="H464" s="35" t="str">
        <f t="shared" si="6"/>
        <v/>
      </c>
      <c r="I464" s="36" t="str">
        <f t="shared" si="7"/>
        <v/>
      </c>
      <c r="J464" s="37" t="str">
        <f>IFERROR(__xludf.DUMMYFUNCTION("IFERROR(
  IF(C464="""",, 
    IFERROR(
      GOOGLEFINANCE(C464, ""price"") * GOOGLEFINANCE(C464, ""volumeavg""), 
      GOOGLEFINANCE(C464, ""price"") * AVERAGE(QUERY(GOOGLEFINANCE(C464, ""volume"", TODAY()-40, TODAY()), ""SELECT Col2 WHERE Col2 IS NOT "&amp;"NULL ORDER BY Col1 DESC LIMIT 20"", 0))
    )
  ), 
"""")"),"")</f>
        <v/>
      </c>
      <c r="K464" s="21" t="str">
        <f>IFERROR(__xludf.DUMMYFUNCTION("IFERROR(GOOGLEFINANCE(C464, ""changepct"") / 100, """")"),"")</f>
        <v/>
      </c>
      <c r="L464" s="21" t="str">
        <f>IFERROR(__xludf.DUMMYFUNCTION("IFERROR((GOOGLEFINANCE(C464, ""price"") / INDEX(GOOGLEFINANCE(C464, ""price"", TODAY()-7, TODAY()), 2, 2)) - 1, """")"),"")</f>
        <v/>
      </c>
      <c r="M464" s="21" t="str">
        <f>IFERROR(__xludf.DUMMYFUNCTION("IFERROR((GOOGLEFINANCE(C464, ""price"") / INDEX(GOOGLEFINANCE(C464, ""price"", EDATE(TODAY(), -1), TODAY()), 2, 2)) - 1, """")"),"")</f>
        <v/>
      </c>
      <c r="N464" s="21" t="str">
        <f>IFERROR(__xludf.DUMMYFUNCTION("IFERROR((GOOGLEFINANCE(C464, ""price"") / INDEX(GOOGLEFINANCE(C464, ""price"", EDATE(TODAY(), -3), TODAY()), 2, 2)) - 1, """")"),"")</f>
        <v/>
      </c>
      <c r="O464" s="21" t="str">
        <f>IFERROR(__xludf.DUMMYFUNCTION("IFERROR((GOOGLEFINANCE(C464, ""price"") / INDEX(GOOGLEFINANCE(C464, ""price"", EDATE(TODAY(), -6), TODAY()), 2, 2)) - 1, """")"),"")</f>
        <v/>
      </c>
      <c r="P464" s="21" t="str">
        <f>IFERROR(__xludf.DUMMYFUNCTION("IFERROR((GOOGLEFINANCE(C464, ""price"") / INDEX(GOOGLEFINANCE(C464, ""price"", EDATE(TODAY(), -12), TODAY()), 2, 2)) - 1, """")"),"")</f>
        <v/>
      </c>
      <c r="Q464" s="6" t="str">
        <f>IFERROR(__xludf.DUMMYFUNCTION("AVERAGE(QUERY(GOOGLEFINANCE(C464, ""price"", TODAY()-80, TODAY()), ""SELECT Col2 WHERE Col2 IS NOT NULL ORDER BY Col1 DESC LIMIT 50"", 0))"),"#N/A")</f>
        <v>#N/A</v>
      </c>
      <c r="R464" s="24" t="str">
        <f>IFERROR(__xludf.DUMMYFUNCTION("IFERROR(
  LET(
    data, QUERY(GOOGLEFINANCE(C464,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GOOGLEFINANCE(C464, ""price"")) * 100,
    IF(calc=0, G464, calc)
  ), 
G464)"),"#N/A")</f>
        <v>#N/A</v>
      </c>
      <c r="S464" s="8" t="s">
        <v>15</v>
      </c>
      <c r="T464" s="26" t="str">
        <f>IFERROR(__xludf.DUMMYFUNCTION("IFERROR(TRANSPOSE(QUERY(IFERROR(SORT(GOOGLEFINANCE(C464, ""price"", WORKDAY(TODAY(), -40), TODAY()), 1, FALSE)), ""select Col2 where Col2 is not null limit 22 label Col2 ''"", 0)), """")"),"")</f>
        <v/>
      </c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8"/>
      <c r="AO464" s="28"/>
      <c r="AP464" s="29"/>
      <c r="AQ464" s="29" t="str">
        <f t="shared" ref="AQ464:BL464" si="467">T464/T$2</f>
        <v>#N/A</v>
      </c>
      <c r="AR464" s="29" t="str">
        <f t="shared" si="467"/>
        <v>#DIV/0!</v>
      </c>
      <c r="AS464" s="29" t="str">
        <f t="shared" si="467"/>
        <v>#DIV/0!</v>
      </c>
      <c r="AT464" s="29" t="str">
        <f t="shared" si="467"/>
        <v>#DIV/0!</v>
      </c>
      <c r="AU464" s="29" t="str">
        <f t="shared" si="467"/>
        <v>#DIV/0!</v>
      </c>
      <c r="AV464" s="29" t="str">
        <f t="shared" si="467"/>
        <v>#DIV/0!</v>
      </c>
      <c r="AW464" s="29" t="str">
        <f t="shared" si="467"/>
        <v>#DIV/0!</v>
      </c>
      <c r="AX464" s="29" t="str">
        <f t="shared" si="467"/>
        <v>#DIV/0!</v>
      </c>
      <c r="AY464" s="29" t="str">
        <f t="shared" si="467"/>
        <v>#DIV/0!</v>
      </c>
      <c r="AZ464" s="29" t="str">
        <f t="shared" si="467"/>
        <v>#DIV/0!</v>
      </c>
      <c r="BA464" s="29" t="str">
        <f t="shared" si="467"/>
        <v>#DIV/0!</v>
      </c>
      <c r="BB464" s="29" t="str">
        <f t="shared" si="467"/>
        <v>#DIV/0!</v>
      </c>
      <c r="BC464" s="29" t="str">
        <f t="shared" si="467"/>
        <v>#DIV/0!</v>
      </c>
      <c r="BD464" s="29" t="str">
        <f t="shared" si="467"/>
        <v>#DIV/0!</v>
      </c>
      <c r="BE464" s="29" t="str">
        <f t="shared" si="467"/>
        <v>#DIV/0!</v>
      </c>
      <c r="BF464" s="29" t="str">
        <f t="shared" si="467"/>
        <v>#DIV/0!</v>
      </c>
      <c r="BG464" s="29" t="str">
        <f t="shared" si="467"/>
        <v>#DIV/0!</v>
      </c>
      <c r="BH464" s="29" t="str">
        <f t="shared" si="467"/>
        <v>#DIV/0!</v>
      </c>
      <c r="BI464" s="29" t="str">
        <f t="shared" si="467"/>
        <v>#DIV/0!</v>
      </c>
      <c r="BJ464" s="29" t="str">
        <f t="shared" si="467"/>
        <v>#DIV/0!</v>
      </c>
      <c r="BK464" s="29" t="str">
        <f t="shared" si="467"/>
        <v>#DIV/0!</v>
      </c>
      <c r="BL464" s="29" t="str">
        <f t="shared" si="467"/>
        <v>#DIV/0!</v>
      </c>
      <c r="BM464" s="29" t="str">
        <f t="shared" si="3"/>
        <v>#DIV/0!</v>
      </c>
    </row>
    <row r="465">
      <c r="A465" s="16" t="str">
        <f>IFERROR(__xludf.DUMMYFUNCTION("IFERROR(SPARKLINE(SORT(MAP(TRANSPOSE(AQ465:BL465), LAMBDA(val, IF(ISNUMBER(val), PERCENTRANK(AQ465:BL465, val)+0.01, 0))), SEQUENCE(COLUMNS(AQ465:BL465)), FALSE), {""charttype"",""column""; ""color"",""chartreuse""; ""ymin"", 0; ""ymax"", 1.01; ""highcolo"&amp;"r"", ""darkgreen""; ""lowcolor"", ""red""}), """")"),"")</f>
        <v/>
      </c>
      <c r="B465" s="17" t="str">
        <f t="shared" si="4"/>
        <v/>
      </c>
      <c r="C465" s="1" t="s">
        <v>1977</v>
      </c>
      <c r="D465" s="30" t="str">
        <f>IFERROR(__xludf.DUMMYFUNCTION("IFERROR(GOOGLEFINANCE(C465, ""NAME""))"),"Corning Inc")</f>
        <v>Corning Inc</v>
      </c>
      <c r="E465" s="30" t="s">
        <v>469</v>
      </c>
      <c r="F465" s="33" t="str">
        <f>IFERROR(__xludf.DUMMYFUNCTION("( (GOOGLEFINANCE(C465, ""price"") - Q465) / Q465 ) / (R465 / 100)"),"Loading...")</f>
        <v>Loading...</v>
      </c>
      <c r="G465" s="20" t="str">
        <f>IFERROR(__xludf.DUMMYFUNCTION("AVERAGE(ARRAYFORMULA(100 * (QUERY(GOOGLEFINANCE(C465, ""high"", TODAY()-40, TODAY()), ""SELECT Col2 WHERE Col2 IS NOT NULL ORDER BY Col1 DESC LIMIT 20"", 0) / QUERY(GOOGLEFINANCE(C465, ""low"", TODAY()-40, TODAY()), ""SELECT Col2 WHERE Col2 IS NOT NULL OR"&amp;"DER BY Col1 DESC LIMIT 20"", 0) - 1)))"),"#N/A")</f>
        <v>#N/A</v>
      </c>
      <c r="H465" s="35" t="str">
        <f t="shared" si="6"/>
        <v/>
      </c>
      <c r="I465" s="36" t="str">
        <f t="shared" si="7"/>
        <v/>
      </c>
      <c r="J465" s="37" t="str">
        <f>IFERROR(__xludf.DUMMYFUNCTION("IFERROR(
  IF(C465="""",, 
    IFERROR(
      GOOGLEFINANCE(C465, ""price"") * GOOGLEFINANCE(C465, ""volumeavg""), 
      GOOGLEFINANCE(C465, ""price"") * AVERAGE(QUERY(GOOGLEFINANCE(C465, ""volume"", TODAY()-40, TODAY()), ""SELECT Col2 WHERE Col2 IS NOT "&amp;"NULL ORDER BY Col1 DESC LIMIT 20"", 0))
    )
  ), 
"""")"),"")</f>
        <v/>
      </c>
      <c r="K465" s="21" t="str">
        <f>IFERROR(__xludf.DUMMYFUNCTION("IFERROR(GOOGLEFINANCE(C465, ""changepct"") / 100, """")"),"")</f>
        <v/>
      </c>
      <c r="L465" s="21" t="str">
        <f>IFERROR(__xludf.DUMMYFUNCTION("IFERROR((GOOGLEFINANCE(C465, ""price"") / INDEX(GOOGLEFINANCE(C465, ""price"", TODAY()-7, TODAY()), 2, 2)) - 1, """")"),"")</f>
        <v/>
      </c>
      <c r="M465" s="21" t="str">
        <f>IFERROR(__xludf.DUMMYFUNCTION("IFERROR((GOOGLEFINANCE(C465, ""price"") / INDEX(GOOGLEFINANCE(C465, ""price"", EDATE(TODAY(), -1), TODAY()), 2, 2)) - 1, """")"),"")</f>
        <v/>
      </c>
      <c r="N465" s="21" t="str">
        <f>IFERROR(__xludf.DUMMYFUNCTION("IFERROR((GOOGLEFINANCE(C465, ""price"") / INDEX(GOOGLEFINANCE(C465, ""price"", EDATE(TODAY(), -3), TODAY()), 2, 2)) - 1, """")"),"")</f>
        <v/>
      </c>
      <c r="O465" s="21" t="str">
        <f>IFERROR(__xludf.DUMMYFUNCTION("IFERROR((GOOGLEFINANCE(C465, ""price"") / INDEX(GOOGLEFINANCE(C465, ""price"", EDATE(TODAY(), -6), TODAY()), 2, 2)) - 1, """")"),"")</f>
        <v/>
      </c>
      <c r="P465" s="21" t="str">
        <f>IFERROR(__xludf.DUMMYFUNCTION("IFERROR((GOOGLEFINANCE(C465, ""price"") / INDEX(GOOGLEFINANCE(C465, ""price"", EDATE(TODAY(), -12), TODAY()), 2, 2)) - 1, """")"),"")</f>
        <v/>
      </c>
      <c r="Q465" s="6" t="str">
        <f>IFERROR(__xludf.DUMMYFUNCTION("AVERAGE(QUERY(GOOGLEFINANCE(C465, ""price"", TODAY()-80, TODAY()), ""SELECT Col2 WHERE Col2 IS NOT NULL ORDER BY Col1 DESC LIMIT 50"", 0))"),"#N/A")</f>
        <v>#N/A</v>
      </c>
      <c r="R465" s="24" t="str">
        <f>IFERROR(__xludf.DUMMYFUNCTION("IFERROR(
  LET(
    data, QUERY(GOOGLEFINANCE(C465,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GOOGLEFINANCE(C465, ""price"")) * 100,
    IF(calc=0, G465, calc)
  ), 
G465)"),"#N/A")</f>
        <v>#N/A</v>
      </c>
      <c r="S465" s="8" t="s">
        <v>15</v>
      </c>
      <c r="T465" s="26" t="str">
        <f>IFERROR(__xludf.DUMMYFUNCTION("IFERROR(TRANSPOSE(QUERY(IFERROR(SORT(GOOGLEFINANCE(C465, ""price"", WORKDAY(TODAY(), -40), TODAY()), 1, FALSE)), ""select Col2 where Col2 is not null limit 22 label Col2 ''"", 0)), """")"),"")</f>
        <v/>
      </c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8"/>
      <c r="AO465" s="28"/>
      <c r="AP465" s="29"/>
      <c r="AQ465" s="29" t="str">
        <f t="shared" ref="AQ465:BL465" si="468">T465/T$2</f>
        <v>#N/A</v>
      </c>
      <c r="AR465" s="29" t="str">
        <f t="shared" si="468"/>
        <v>#DIV/0!</v>
      </c>
      <c r="AS465" s="29" t="str">
        <f t="shared" si="468"/>
        <v>#DIV/0!</v>
      </c>
      <c r="AT465" s="29" t="str">
        <f t="shared" si="468"/>
        <v>#DIV/0!</v>
      </c>
      <c r="AU465" s="29" t="str">
        <f t="shared" si="468"/>
        <v>#DIV/0!</v>
      </c>
      <c r="AV465" s="29" t="str">
        <f t="shared" si="468"/>
        <v>#DIV/0!</v>
      </c>
      <c r="AW465" s="29" t="str">
        <f t="shared" si="468"/>
        <v>#DIV/0!</v>
      </c>
      <c r="AX465" s="29" t="str">
        <f t="shared" si="468"/>
        <v>#DIV/0!</v>
      </c>
      <c r="AY465" s="29" t="str">
        <f t="shared" si="468"/>
        <v>#DIV/0!</v>
      </c>
      <c r="AZ465" s="29" t="str">
        <f t="shared" si="468"/>
        <v>#DIV/0!</v>
      </c>
      <c r="BA465" s="29" t="str">
        <f t="shared" si="468"/>
        <v>#DIV/0!</v>
      </c>
      <c r="BB465" s="29" t="str">
        <f t="shared" si="468"/>
        <v>#DIV/0!</v>
      </c>
      <c r="BC465" s="29" t="str">
        <f t="shared" si="468"/>
        <v>#DIV/0!</v>
      </c>
      <c r="BD465" s="29" t="str">
        <f t="shared" si="468"/>
        <v>#DIV/0!</v>
      </c>
      <c r="BE465" s="29" t="str">
        <f t="shared" si="468"/>
        <v>#DIV/0!</v>
      </c>
      <c r="BF465" s="29" t="str">
        <f t="shared" si="468"/>
        <v>#DIV/0!</v>
      </c>
      <c r="BG465" s="29" t="str">
        <f t="shared" si="468"/>
        <v>#DIV/0!</v>
      </c>
      <c r="BH465" s="29" t="str">
        <f t="shared" si="468"/>
        <v>#DIV/0!</v>
      </c>
      <c r="BI465" s="29" t="str">
        <f t="shared" si="468"/>
        <v>#DIV/0!</v>
      </c>
      <c r="BJ465" s="29" t="str">
        <f t="shared" si="468"/>
        <v>#DIV/0!</v>
      </c>
      <c r="BK465" s="29" t="str">
        <f t="shared" si="468"/>
        <v>#DIV/0!</v>
      </c>
      <c r="BL465" s="29" t="str">
        <f t="shared" si="468"/>
        <v>#DIV/0!</v>
      </c>
      <c r="BM465" s="29" t="str">
        <f t="shared" si="3"/>
        <v>#DIV/0!</v>
      </c>
    </row>
    <row r="466">
      <c r="A466" s="16" t="str">
        <f>IFERROR(__xludf.DUMMYFUNCTION("IFERROR(SPARKLINE(SORT(MAP(TRANSPOSE(AQ466:BL466), LAMBDA(val, IF(ISNUMBER(val), PERCENTRANK(AQ466:BL466, val)+0.01, 0))), SEQUENCE(COLUMNS(AQ466:BL466)), FALSE), {""charttype"",""column""; ""color"",""chartreuse""; ""ymin"", 0; ""ymax"", 1.01; ""highcolo"&amp;"r"", ""darkgreen""; ""lowcolor"", ""red""}), """")"),"")</f>
        <v/>
      </c>
      <c r="B466" s="17" t="str">
        <f t="shared" si="4"/>
        <v/>
      </c>
      <c r="C466" s="1" t="s">
        <v>1980</v>
      </c>
      <c r="D466" s="30" t="str">
        <f>IFERROR(__xludf.DUMMYFUNCTION("IFERROR(GOOGLEFINANCE(C466, ""NAME""))"),"IBM Common Stock")</f>
        <v>IBM Common Stock</v>
      </c>
      <c r="E466" s="30" t="s">
        <v>102</v>
      </c>
      <c r="F466" s="33" t="str">
        <f>IFERROR(__xludf.DUMMYFUNCTION("( (GOOGLEFINANCE(C466, ""price"") - Q466) / Q466 ) / (R466 / 100)"),"Loading...")</f>
        <v>Loading...</v>
      </c>
      <c r="G466" s="20" t="str">
        <f>IFERROR(__xludf.DUMMYFUNCTION("AVERAGE(ARRAYFORMULA(100 * (QUERY(GOOGLEFINANCE(C466, ""high"", TODAY()-40, TODAY()), ""SELECT Col2 WHERE Col2 IS NOT NULL ORDER BY Col1 DESC LIMIT 20"", 0) / QUERY(GOOGLEFINANCE(C466, ""low"", TODAY()-40, TODAY()), ""SELECT Col2 WHERE Col2 IS NOT NULL OR"&amp;"DER BY Col1 DESC LIMIT 20"", 0) - 1)))"),"#N/A")</f>
        <v>#N/A</v>
      </c>
      <c r="H466" s="35" t="str">
        <f t="shared" si="6"/>
        <v/>
      </c>
      <c r="I466" s="36" t="str">
        <f t="shared" si="7"/>
        <v/>
      </c>
      <c r="J466" s="37" t="str">
        <f>IFERROR(__xludf.DUMMYFUNCTION("IFERROR(
  IF(C466="""",, 
    IFERROR(
      GOOGLEFINANCE(C466, ""price"") * GOOGLEFINANCE(C466, ""volumeavg""), 
      GOOGLEFINANCE(C466, ""price"") * AVERAGE(QUERY(GOOGLEFINANCE(C466, ""volume"", TODAY()-40, TODAY()), ""SELECT Col2 WHERE Col2 IS NOT "&amp;"NULL ORDER BY Col1 DESC LIMIT 20"", 0))
    )
  ), 
"""")"),"")</f>
        <v/>
      </c>
      <c r="K466" s="21" t="str">
        <f>IFERROR(__xludf.DUMMYFUNCTION("IFERROR(GOOGLEFINANCE(C466, ""changepct"") / 100, """")"),"")</f>
        <v/>
      </c>
      <c r="L466" s="21" t="str">
        <f>IFERROR(__xludf.DUMMYFUNCTION("IFERROR((GOOGLEFINANCE(C466, ""price"") / INDEX(GOOGLEFINANCE(C466, ""price"", TODAY()-7, TODAY()), 2, 2)) - 1, """")"),"")</f>
        <v/>
      </c>
      <c r="M466" s="21" t="str">
        <f>IFERROR(__xludf.DUMMYFUNCTION("IFERROR((GOOGLEFINANCE(C466, ""price"") / INDEX(GOOGLEFINANCE(C466, ""price"", EDATE(TODAY(), -1), TODAY()), 2, 2)) - 1, """")"),"")</f>
        <v/>
      </c>
      <c r="N466" s="21" t="str">
        <f>IFERROR(__xludf.DUMMYFUNCTION("IFERROR((GOOGLEFINANCE(C466, ""price"") / INDEX(GOOGLEFINANCE(C466, ""price"", EDATE(TODAY(), -3), TODAY()), 2, 2)) - 1, """")"),"")</f>
        <v/>
      </c>
      <c r="O466" s="21" t="str">
        <f>IFERROR(__xludf.DUMMYFUNCTION("IFERROR((GOOGLEFINANCE(C466, ""price"") / INDEX(GOOGLEFINANCE(C466, ""price"", EDATE(TODAY(), -6), TODAY()), 2, 2)) - 1, """")"),"")</f>
        <v/>
      </c>
      <c r="P466" s="21" t="str">
        <f>IFERROR(__xludf.DUMMYFUNCTION("IFERROR((GOOGLEFINANCE(C466, ""price"") / INDEX(GOOGLEFINANCE(C466, ""price"", EDATE(TODAY(), -12), TODAY()), 2, 2)) - 1, """")"),"")</f>
        <v/>
      </c>
      <c r="Q466" s="6" t="str">
        <f>IFERROR(__xludf.DUMMYFUNCTION("AVERAGE(QUERY(GOOGLEFINANCE(C466, ""price"", TODAY()-80, TODAY()), ""SELECT Col2 WHERE Col2 IS NOT NULL ORDER BY Col1 DESC LIMIT 50"", 0))"),"#N/A")</f>
        <v>#N/A</v>
      </c>
      <c r="R466" s="24" t="str">
        <f>IFERROR(__xludf.DUMMYFUNCTION("IFERROR(
  LET(
    data, QUERY(GOOGLEFINANCE(C466,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GOOGLEFINANCE(C466, ""price"")) * 100,
    IF(calc=0, G466, calc)
  ), 
G466)"),"#N/A")</f>
        <v>#N/A</v>
      </c>
      <c r="S466" s="8" t="s">
        <v>15</v>
      </c>
      <c r="T466" s="26" t="str">
        <f>IFERROR(__xludf.DUMMYFUNCTION("IFERROR(TRANSPOSE(QUERY(IFERROR(SORT(GOOGLEFINANCE(C466, ""price"", WORKDAY(TODAY(), -40), TODAY()), 1, FALSE)), ""select Col2 where Col2 is not null limit 22 label Col2 ''"", 0)), """")"),"")</f>
        <v/>
      </c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8"/>
      <c r="AO466" s="28"/>
      <c r="AP466" s="29"/>
      <c r="AQ466" s="29" t="str">
        <f t="shared" ref="AQ466:BL466" si="469">T466/T$2</f>
        <v>#N/A</v>
      </c>
      <c r="AR466" s="29" t="str">
        <f t="shared" si="469"/>
        <v>#DIV/0!</v>
      </c>
      <c r="AS466" s="29" t="str">
        <f t="shared" si="469"/>
        <v>#DIV/0!</v>
      </c>
      <c r="AT466" s="29" t="str">
        <f t="shared" si="469"/>
        <v>#DIV/0!</v>
      </c>
      <c r="AU466" s="29" t="str">
        <f t="shared" si="469"/>
        <v>#DIV/0!</v>
      </c>
      <c r="AV466" s="29" t="str">
        <f t="shared" si="469"/>
        <v>#DIV/0!</v>
      </c>
      <c r="AW466" s="29" t="str">
        <f t="shared" si="469"/>
        <v>#DIV/0!</v>
      </c>
      <c r="AX466" s="29" t="str">
        <f t="shared" si="469"/>
        <v>#DIV/0!</v>
      </c>
      <c r="AY466" s="29" t="str">
        <f t="shared" si="469"/>
        <v>#DIV/0!</v>
      </c>
      <c r="AZ466" s="29" t="str">
        <f t="shared" si="469"/>
        <v>#DIV/0!</v>
      </c>
      <c r="BA466" s="29" t="str">
        <f t="shared" si="469"/>
        <v>#DIV/0!</v>
      </c>
      <c r="BB466" s="29" t="str">
        <f t="shared" si="469"/>
        <v>#DIV/0!</v>
      </c>
      <c r="BC466" s="29" t="str">
        <f t="shared" si="469"/>
        <v>#DIV/0!</v>
      </c>
      <c r="BD466" s="29" t="str">
        <f t="shared" si="469"/>
        <v>#DIV/0!</v>
      </c>
      <c r="BE466" s="29" t="str">
        <f t="shared" si="469"/>
        <v>#DIV/0!</v>
      </c>
      <c r="BF466" s="29" t="str">
        <f t="shared" si="469"/>
        <v>#DIV/0!</v>
      </c>
      <c r="BG466" s="29" t="str">
        <f t="shared" si="469"/>
        <v>#DIV/0!</v>
      </c>
      <c r="BH466" s="29" t="str">
        <f t="shared" si="469"/>
        <v>#DIV/0!</v>
      </c>
      <c r="BI466" s="29" t="str">
        <f t="shared" si="469"/>
        <v>#DIV/0!</v>
      </c>
      <c r="BJ466" s="29" t="str">
        <f t="shared" si="469"/>
        <v>#DIV/0!</v>
      </c>
      <c r="BK466" s="29" t="str">
        <f t="shared" si="469"/>
        <v>#DIV/0!</v>
      </c>
      <c r="BL466" s="29" t="str">
        <f t="shared" si="469"/>
        <v>#DIV/0!</v>
      </c>
      <c r="BM466" s="29" t="str">
        <f t="shared" si="3"/>
        <v>#DIV/0!</v>
      </c>
    </row>
    <row r="467">
      <c r="A467" s="16" t="str">
        <f>IFERROR(__xludf.DUMMYFUNCTION("IFERROR(SPARKLINE(SORT(MAP(TRANSPOSE(AQ467:BL467), LAMBDA(val, IF(ISNUMBER(val), PERCENTRANK(AQ467:BL467, val)+0.01, 0))), SEQUENCE(COLUMNS(AQ467:BL467)), FALSE), {""charttype"",""column""; ""color"",""chartreuse""; ""ymin"", 0; ""ymax"", 1.01; ""highcolo"&amp;"r"", ""darkgreen""; ""lowcolor"", ""red""}), """")"),"")</f>
        <v/>
      </c>
      <c r="B467" s="17" t="str">
        <f t="shared" si="4"/>
        <v/>
      </c>
      <c r="C467" s="1" t="s">
        <v>1983</v>
      </c>
      <c r="D467" s="30" t="str">
        <f>IFERROR(__xludf.DUMMYFUNCTION("IFERROR(GOOGLEFINANCE(C467, ""NAME""))"),"ON Semiconductor Corp")</f>
        <v>ON Semiconductor Corp</v>
      </c>
      <c r="E467" s="30" t="s">
        <v>871</v>
      </c>
      <c r="F467" s="33" t="str">
        <f>IFERROR(__xludf.DUMMYFUNCTION("( (GOOGLEFINANCE(C467, ""price"") - Q467) / Q467 ) / (R467 / 100)"),"Loading...")</f>
        <v>Loading...</v>
      </c>
      <c r="G467" s="20" t="str">
        <f>IFERROR(__xludf.DUMMYFUNCTION("AVERAGE(ARRAYFORMULA(100 * (QUERY(GOOGLEFINANCE(C467, ""high"", TODAY()-40, TODAY()), ""SELECT Col2 WHERE Col2 IS NOT NULL ORDER BY Col1 DESC LIMIT 20"", 0) / QUERY(GOOGLEFINANCE(C467, ""low"", TODAY()-40, TODAY()), ""SELECT Col2 WHERE Col2 IS NOT NULL OR"&amp;"DER BY Col1 DESC LIMIT 20"", 0) - 1)))"),"#N/A")</f>
        <v>#N/A</v>
      </c>
      <c r="H467" s="35" t="str">
        <f t="shared" si="6"/>
        <v/>
      </c>
      <c r="I467" s="36" t="str">
        <f t="shared" si="7"/>
        <v/>
      </c>
      <c r="J467" s="37" t="str">
        <f>IFERROR(__xludf.DUMMYFUNCTION("IFERROR(
  IF(C467="""",, 
    IFERROR(
      GOOGLEFINANCE(C467, ""price"") * GOOGLEFINANCE(C467, ""volumeavg""), 
      GOOGLEFINANCE(C467, ""price"") * AVERAGE(QUERY(GOOGLEFINANCE(C467, ""volume"", TODAY()-40, TODAY()), ""SELECT Col2 WHERE Col2 IS NOT "&amp;"NULL ORDER BY Col1 DESC LIMIT 20"", 0))
    )
  ), 
"""")"),"")</f>
        <v/>
      </c>
      <c r="K467" s="21" t="str">
        <f>IFERROR(__xludf.DUMMYFUNCTION("IFERROR(GOOGLEFINANCE(C467, ""changepct"") / 100, """")"),"")</f>
        <v/>
      </c>
      <c r="L467" s="21" t="str">
        <f>IFERROR(__xludf.DUMMYFUNCTION("IFERROR((GOOGLEFINANCE(C467, ""price"") / INDEX(GOOGLEFINANCE(C467, ""price"", TODAY()-7, TODAY()), 2, 2)) - 1, """")"),"")</f>
        <v/>
      </c>
      <c r="M467" s="21" t="str">
        <f>IFERROR(__xludf.DUMMYFUNCTION("IFERROR((GOOGLEFINANCE(C467, ""price"") / INDEX(GOOGLEFINANCE(C467, ""price"", EDATE(TODAY(), -1), TODAY()), 2, 2)) - 1, """")"),"")</f>
        <v/>
      </c>
      <c r="N467" s="21" t="str">
        <f>IFERROR(__xludf.DUMMYFUNCTION("IFERROR((GOOGLEFINANCE(C467, ""price"") / INDEX(GOOGLEFINANCE(C467, ""price"", EDATE(TODAY(), -3), TODAY()), 2, 2)) - 1, """")"),"")</f>
        <v/>
      </c>
      <c r="O467" s="21" t="str">
        <f>IFERROR(__xludf.DUMMYFUNCTION("IFERROR((GOOGLEFINANCE(C467, ""price"") / INDEX(GOOGLEFINANCE(C467, ""price"", EDATE(TODAY(), -6), TODAY()), 2, 2)) - 1, """")"),"")</f>
        <v/>
      </c>
      <c r="P467" s="21" t="str">
        <f>IFERROR(__xludf.DUMMYFUNCTION("IFERROR((GOOGLEFINANCE(C467, ""price"") / INDEX(GOOGLEFINANCE(C467, ""price"", EDATE(TODAY(), -12), TODAY()), 2, 2)) - 1, """")"),"")</f>
        <v/>
      </c>
      <c r="Q467" s="6" t="str">
        <f>IFERROR(__xludf.DUMMYFUNCTION("AVERAGE(QUERY(GOOGLEFINANCE(C467, ""price"", TODAY()-80, TODAY()), ""SELECT Col2 WHERE Col2 IS NOT NULL ORDER BY Col1 DESC LIMIT 50"", 0))"),"#N/A")</f>
        <v>#N/A</v>
      </c>
      <c r="R467" s="24" t="str">
        <f>IFERROR(__xludf.DUMMYFUNCTION("IFERROR(
  LET(
    data, QUERY(GOOGLEFINANCE(C467,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GOOGLEFINANCE(C467, ""price"")) * 100,
    IF(calc=0, G467, calc)
  ), 
G467)"),"#N/A")</f>
        <v>#N/A</v>
      </c>
      <c r="S467" s="8" t="s">
        <v>15</v>
      </c>
      <c r="T467" s="26" t="str">
        <f>IFERROR(__xludf.DUMMYFUNCTION("IFERROR(TRANSPOSE(QUERY(IFERROR(SORT(GOOGLEFINANCE(C467, ""price"", WORKDAY(TODAY(), -40), TODAY()), 1, FALSE)), ""select Col2 where Col2 is not null limit 22 label Col2 ''"", 0)), """")"),"")</f>
        <v/>
      </c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8"/>
      <c r="AO467" s="28"/>
      <c r="AP467" s="29"/>
      <c r="AQ467" s="29" t="str">
        <f t="shared" ref="AQ467:BL467" si="470">T467/T$2</f>
        <v>#N/A</v>
      </c>
      <c r="AR467" s="29" t="str">
        <f t="shared" si="470"/>
        <v>#DIV/0!</v>
      </c>
      <c r="AS467" s="29" t="str">
        <f t="shared" si="470"/>
        <v>#DIV/0!</v>
      </c>
      <c r="AT467" s="29" t="str">
        <f t="shared" si="470"/>
        <v>#DIV/0!</v>
      </c>
      <c r="AU467" s="29" t="str">
        <f t="shared" si="470"/>
        <v>#DIV/0!</v>
      </c>
      <c r="AV467" s="29" t="str">
        <f t="shared" si="470"/>
        <v>#DIV/0!</v>
      </c>
      <c r="AW467" s="29" t="str">
        <f t="shared" si="470"/>
        <v>#DIV/0!</v>
      </c>
      <c r="AX467" s="29" t="str">
        <f t="shared" si="470"/>
        <v>#DIV/0!</v>
      </c>
      <c r="AY467" s="29" t="str">
        <f t="shared" si="470"/>
        <v>#DIV/0!</v>
      </c>
      <c r="AZ467" s="29" t="str">
        <f t="shared" si="470"/>
        <v>#DIV/0!</v>
      </c>
      <c r="BA467" s="29" t="str">
        <f t="shared" si="470"/>
        <v>#DIV/0!</v>
      </c>
      <c r="BB467" s="29" t="str">
        <f t="shared" si="470"/>
        <v>#DIV/0!</v>
      </c>
      <c r="BC467" s="29" t="str">
        <f t="shared" si="470"/>
        <v>#DIV/0!</v>
      </c>
      <c r="BD467" s="29" t="str">
        <f t="shared" si="470"/>
        <v>#DIV/0!</v>
      </c>
      <c r="BE467" s="29" t="str">
        <f t="shared" si="470"/>
        <v>#DIV/0!</v>
      </c>
      <c r="BF467" s="29" t="str">
        <f t="shared" si="470"/>
        <v>#DIV/0!</v>
      </c>
      <c r="BG467" s="29" t="str">
        <f t="shared" si="470"/>
        <v>#DIV/0!</v>
      </c>
      <c r="BH467" s="29" t="str">
        <f t="shared" si="470"/>
        <v>#DIV/0!</v>
      </c>
      <c r="BI467" s="29" t="str">
        <f t="shared" si="470"/>
        <v>#DIV/0!</v>
      </c>
      <c r="BJ467" s="29" t="str">
        <f t="shared" si="470"/>
        <v>#DIV/0!</v>
      </c>
      <c r="BK467" s="29" t="str">
        <f t="shared" si="470"/>
        <v>#DIV/0!</v>
      </c>
      <c r="BL467" s="29" t="str">
        <f t="shared" si="470"/>
        <v>#DIV/0!</v>
      </c>
      <c r="BM467" s="29" t="str">
        <f t="shared" si="3"/>
        <v>#DIV/0!</v>
      </c>
    </row>
    <row r="468">
      <c r="A468" s="16" t="str">
        <f>IFERROR(__xludf.DUMMYFUNCTION("IFERROR(SPARKLINE(SORT(MAP(TRANSPOSE(AQ468:BL468), LAMBDA(val, IF(ISNUMBER(val), PERCENTRANK(AQ468:BL468, val)+0.01, 0))), SEQUENCE(COLUMNS(AQ468:BL468)), FALSE), {""charttype"",""column""; ""color"",""chartreuse""; ""ymin"", 0; ""ymax"", 1.01; ""highcolo"&amp;"r"", ""darkgreen""; ""lowcolor"", ""red""}), """")"),"")</f>
        <v/>
      </c>
      <c r="B468" s="17" t="str">
        <f t="shared" si="4"/>
        <v/>
      </c>
      <c r="C468" s="1" t="s">
        <v>1987</v>
      </c>
      <c r="D468" s="30" t="str">
        <f>IFERROR(__xludf.DUMMYFUNCTION("IFERROR(GOOGLEFINANCE(C468, ""NAME""))"),"Fabrinet")</f>
        <v>Fabrinet</v>
      </c>
      <c r="E468" s="30" t="s">
        <v>469</v>
      </c>
      <c r="F468" s="33" t="str">
        <f>IFERROR(__xludf.DUMMYFUNCTION("( (GOOGLEFINANCE(C468, ""price"") - Q468) / Q468 ) / (R468 / 100)"),"Loading...")</f>
        <v>Loading...</v>
      </c>
      <c r="G468" s="20" t="str">
        <f>IFERROR(__xludf.DUMMYFUNCTION("AVERAGE(ARRAYFORMULA(100 * (QUERY(GOOGLEFINANCE(C468, ""high"", TODAY()-40, TODAY()), ""SELECT Col2 WHERE Col2 IS NOT NULL ORDER BY Col1 DESC LIMIT 20"", 0) / QUERY(GOOGLEFINANCE(C468, ""low"", TODAY()-40, TODAY()), ""SELECT Col2 WHERE Col2 IS NOT NULL OR"&amp;"DER BY Col1 DESC LIMIT 20"", 0) - 1)))"),"#N/A")</f>
        <v>#N/A</v>
      </c>
      <c r="H468" s="35" t="str">
        <f t="shared" si="6"/>
        <v/>
      </c>
      <c r="I468" s="36" t="str">
        <f t="shared" si="7"/>
        <v/>
      </c>
      <c r="J468" s="37" t="str">
        <f>IFERROR(__xludf.DUMMYFUNCTION("IFERROR(
  IF(C468="""",, 
    IFERROR(
      GOOGLEFINANCE(C468, ""price"") * GOOGLEFINANCE(C468, ""volumeavg""), 
      GOOGLEFINANCE(C468, ""price"") * AVERAGE(QUERY(GOOGLEFINANCE(C468, ""volume"", TODAY()-40, TODAY()), ""SELECT Col2 WHERE Col2 IS NOT "&amp;"NULL ORDER BY Col1 DESC LIMIT 20"", 0))
    )
  ), 
"""")"),"")</f>
        <v/>
      </c>
      <c r="K468" s="21" t="str">
        <f>IFERROR(__xludf.DUMMYFUNCTION("IFERROR(GOOGLEFINANCE(C468, ""changepct"") / 100, """")"),"")</f>
        <v/>
      </c>
      <c r="L468" s="21" t="str">
        <f>IFERROR(__xludf.DUMMYFUNCTION("IFERROR((GOOGLEFINANCE(C468, ""price"") / INDEX(GOOGLEFINANCE(C468, ""price"", TODAY()-7, TODAY()), 2, 2)) - 1, """")"),"")</f>
        <v/>
      </c>
      <c r="M468" s="21" t="str">
        <f>IFERROR(__xludf.DUMMYFUNCTION("IFERROR((GOOGLEFINANCE(C468, ""price"") / INDEX(GOOGLEFINANCE(C468, ""price"", EDATE(TODAY(), -1), TODAY()), 2, 2)) - 1, """")"),"")</f>
        <v/>
      </c>
      <c r="N468" s="21" t="str">
        <f>IFERROR(__xludf.DUMMYFUNCTION("IFERROR((GOOGLEFINANCE(C468, ""price"") / INDEX(GOOGLEFINANCE(C468, ""price"", EDATE(TODAY(), -3), TODAY()), 2, 2)) - 1, """")"),"")</f>
        <v/>
      </c>
      <c r="O468" s="21" t="str">
        <f>IFERROR(__xludf.DUMMYFUNCTION("IFERROR((GOOGLEFINANCE(C468, ""price"") / INDEX(GOOGLEFINANCE(C468, ""price"", EDATE(TODAY(), -6), TODAY()), 2, 2)) - 1, """")"),"")</f>
        <v/>
      </c>
      <c r="P468" s="21" t="str">
        <f>IFERROR(__xludf.DUMMYFUNCTION("IFERROR((GOOGLEFINANCE(C468, ""price"") / INDEX(GOOGLEFINANCE(C468, ""price"", EDATE(TODAY(), -12), TODAY()), 2, 2)) - 1, """")"),"")</f>
        <v/>
      </c>
      <c r="Q468" s="6" t="str">
        <f>IFERROR(__xludf.DUMMYFUNCTION("AVERAGE(QUERY(GOOGLEFINANCE(C468, ""price"", TODAY()-80, TODAY()), ""SELECT Col2 WHERE Col2 IS NOT NULL ORDER BY Col1 DESC LIMIT 50"", 0))"),"#N/A")</f>
        <v>#N/A</v>
      </c>
      <c r="R468" s="24" t="str">
        <f>IFERROR(__xludf.DUMMYFUNCTION("IFERROR(
  LET(
    data, QUERY(GOOGLEFINANCE(C468,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GOOGLEFINANCE(C468, ""price"")) * 100,
    IF(calc=0, G468, calc)
  ), 
G468)"),"#N/A")</f>
        <v>#N/A</v>
      </c>
      <c r="S468" s="8" t="s">
        <v>15</v>
      </c>
      <c r="T468" s="26" t="str">
        <f>IFERROR(__xludf.DUMMYFUNCTION("IFERROR(TRANSPOSE(QUERY(IFERROR(SORT(GOOGLEFINANCE(C468, ""price"", WORKDAY(TODAY(), -40), TODAY()), 1, FALSE)), ""select Col2 where Col2 is not null limit 22 label Col2 ''"", 0)), """")"),"")</f>
        <v/>
      </c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8"/>
      <c r="AO468" s="28"/>
      <c r="AP468" s="29"/>
      <c r="AQ468" s="29" t="str">
        <f t="shared" ref="AQ468:BL468" si="471">T468/T$2</f>
        <v>#N/A</v>
      </c>
      <c r="AR468" s="29" t="str">
        <f t="shared" si="471"/>
        <v>#DIV/0!</v>
      </c>
      <c r="AS468" s="29" t="str">
        <f t="shared" si="471"/>
        <v>#DIV/0!</v>
      </c>
      <c r="AT468" s="29" t="str">
        <f t="shared" si="471"/>
        <v>#DIV/0!</v>
      </c>
      <c r="AU468" s="29" t="str">
        <f t="shared" si="471"/>
        <v>#DIV/0!</v>
      </c>
      <c r="AV468" s="29" t="str">
        <f t="shared" si="471"/>
        <v>#DIV/0!</v>
      </c>
      <c r="AW468" s="29" t="str">
        <f t="shared" si="471"/>
        <v>#DIV/0!</v>
      </c>
      <c r="AX468" s="29" t="str">
        <f t="shared" si="471"/>
        <v>#DIV/0!</v>
      </c>
      <c r="AY468" s="29" t="str">
        <f t="shared" si="471"/>
        <v>#DIV/0!</v>
      </c>
      <c r="AZ468" s="29" t="str">
        <f t="shared" si="471"/>
        <v>#DIV/0!</v>
      </c>
      <c r="BA468" s="29" t="str">
        <f t="shared" si="471"/>
        <v>#DIV/0!</v>
      </c>
      <c r="BB468" s="29" t="str">
        <f t="shared" si="471"/>
        <v>#DIV/0!</v>
      </c>
      <c r="BC468" s="29" t="str">
        <f t="shared" si="471"/>
        <v>#DIV/0!</v>
      </c>
      <c r="BD468" s="29" t="str">
        <f t="shared" si="471"/>
        <v>#DIV/0!</v>
      </c>
      <c r="BE468" s="29" t="str">
        <f t="shared" si="471"/>
        <v>#DIV/0!</v>
      </c>
      <c r="BF468" s="29" t="str">
        <f t="shared" si="471"/>
        <v>#DIV/0!</v>
      </c>
      <c r="BG468" s="29" t="str">
        <f t="shared" si="471"/>
        <v>#DIV/0!</v>
      </c>
      <c r="BH468" s="29" t="str">
        <f t="shared" si="471"/>
        <v>#DIV/0!</v>
      </c>
      <c r="BI468" s="29" t="str">
        <f t="shared" si="471"/>
        <v>#DIV/0!</v>
      </c>
      <c r="BJ468" s="29" t="str">
        <f t="shared" si="471"/>
        <v>#DIV/0!</v>
      </c>
      <c r="BK468" s="29" t="str">
        <f t="shared" si="471"/>
        <v>#DIV/0!</v>
      </c>
      <c r="BL468" s="29" t="str">
        <f t="shared" si="471"/>
        <v>#DIV/0!</v>
      </c>
      <c r="BM468" s="29" t="str">
        <f t="shared" si="3"/>
        <v>#DIV/0!</v>
      </c>
    </row>
    <row r="469">
      <c r="A469" s="16" t="str">
        <f>IFERROR(__xludf.DUMMYFUNCTION("IFERROR(SPARKLINE(SORT(MAP(TRANSPOSE(AQ469:BL469), LAMBDA(val, IF(ISNUMBER(val), PERCENTRANK(AQ469:BL469, val)+0.01, 0))), SEQUENCE(COLUMNS(AQ469:BL469)), FALSE), {""charttype"",""column""; ""color"",""chartreuse""; ""ymin"", 0; ""ymax"", 1.01; ""highcolo"&amp;"r"", ""darkgreen""; ""lowcolor"", ""red""}), """")"),"")</f>
        <v/>
      </c>
      <c r="B469" s="17" t="str">
        <f t="shared" si="4"/>
        <v/>
      </c>
      <c r="C469" s="1" t="s">
        <v>1991</v>
      </c>
      <c r="D469" s="30" t="str">
        <f>IFERROR(__xludf.DUMMYFUNCTION("IFERROR(GOOGLEFINANCE(C469, ""NAME""))"),"Hewlett Packard Enterprise Co")</f>
        <v>Hewlett Packard Enterprise Co</v>
      </c>
      <c r="E469" s="30" t="s">
        <v>716</v>
      </c>
      <c r="F469" s="33" t="str">
        <f>IFERROR(__xludf.DUMMYFUNCTION("( (GOOGLEFINANCE(C469, ""price"") - Q469) / Q469 ) / (R469 / 100)"),"Loading...")</f>
        <v>Loading...</v>
      </c>
      <c r="G469" s="20" t="str">
        <f>IFERROR(__xludf.DUMMYFUNCTION("AVERAGE(ARRAYFORMULA(100 * (QUERY(GOOGLEFINANCE(C469, ""high"", TODAY()-40, TODAY()), ""SELECT Col2 WHERE Col2 IS NOT NULL ORDER BY Col1 DESC LIMIT 20"", 0) / QUERY(GOOGLEFINANCE(C469, ""low"", TODAY()-40, TODAY()), ""SELECT Col2 WHERE Col2 IS NOT NULL OR"&amp;"DER BY Col1 DESC LIMIT 20"", 0) - 1)))"),"#N/A")</f>
        <v>#N/A</v>
      </c>
      <c r="H469" s="35" t="str">
        <f t="shared" si="6"/>
        <v/>
      </c>
      <c r="I469" s="36" t="str">
        <f t="shared" si="7"/>
        <v/>
      </c>
      <c r="J469" s="37" t="str">
        <f>IFERROR(__xludf.DUMMYFUNCTION("IFERROR(
  IF(C469="""",, 
    IFERROR(
      GOOGLEFINANCE(C469, ""price"") * GOOGLEFINANCE(C469, ""volumeavg""), 
      GOOGLEFINANCE(C469, ""price"") * AVERAGE(QUERY(GOOGLEFINANCE(C469, ""volume"", TODAY()-40, TODAY()), ""SELECT Col2 WHERE Col2 IS NOT "&amp;"NULL ORDER BY Col1 DESC LIMIT 20"", 0))
    )
  ), 
"""")"),"")</f>
        <v/>
      </c>
      <c r="K469" s="21" t="str">
        <f>IFERROR(__xludf.DUMMYFUNCTION("IFERROR(GOOGLEFINANCE(C469, ""changepct"") / 100, """")"),"")</f>
        <v/>
      </c>
      <c r="L469" s="21" t="str">
        <f>IFERROR(__xludf.DUMMYFUNCTION("IFERROR((GOOGLEFINANCE(C469, ""price"") / INDEX(GOOGLEFINANCE(C469, ""price"", TODAY()-7, TODAY()), 2, 2)) - 1, """")"),"")</f>
        <v/>
      </c>
      <c r="M469" s="21" t="str">
        <f>IFERROR(__xludf.DUMMYFUNCTION("IFERROR((GOOGLEFINANCE(C469, ""price"") / INDEX(GOOGLEFINANCE(C469, ""price"", EDATE(TODAY(), -1), TODAY()), 2, 2)) - 1, """")"),"")</f>
        <v/>
      </c>
      <c r="N469" s="21" t="str">
        <f>IFERROR(__xludf.DUMMYFUNCTION("IFERROR((GOOGLEFINANCE(C469, ""price"") / INDEX(GOOGLEFINANCE(C469, ""price"", EDATE(TODAY(), -3), TODAY()), 2, 2)) - 1, """")"),"")</f>
        <v/>
      </c>
      <c r="O469" s="21" t="str">
        <f>IFERROR(__xludf.DUMMYFUNCTION("IFERROR((GOOGLEFINANCE(C469, ""price"") / INDEX(GOOGLEFINANCE(C469, ""price"", EDATE(TODAY(), -6), TODAY()), 2, 2)) - 1, """")"),"")</f>
        <v/>
      </c>
      <c r="P469" s="21" t="str">
        <f>IFERROR(__xludf.DUMMYFUNCTION("IFERROR((GOOGLEFINANCE(C469, ""price"") / INDEX(GOOGLEFINANCE(C469, ""price"", EDATE(TODAY(), -12), TODAY()), 2, 2)) - 1, """")"),"")</f>
        <v/>
      </c>
      <c r="Q469" s="6" t="str">
        <f>IFERROR(__xludf.DUMMYFUNCTION("AVERAGE(QUERY(GOOGLEFINANCE(C469, ""price"", TODAY()-80, TODAY()), ""SELECT Col2 WHERE Col2 IS NOT NULL ORDER BY Col1 DESC LIMIT 50"", 0))"),"#N/A")</f>
        <v>#N/A</v>
      </c>
      <c r="R469" s="24" t="str">
        <f>IFERROR(__xludf.DUMMYFUNCTION("IFERROR(
  LET(
    data, QUERY(GOOGLEFINANCE(C469,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GOOGLEFINANCE(C469, ""price"")) * 100,
    IF(calc=0, G469, calc)
  ), 
G469)"),"#N/A")</f>
        <v>#N/A</v>
      </c>
      <c r="S469" s="8" t="s">
        <v>15</v>
      </c>
      <c r="T469" s="26" t="str">
        <f>IFERROR(__xludf.DUMMYFUNCTION("IFERROR(TRANSPOSE(QUERY(IFERROR(SORT(GOOGLEFINANCE(C469, ""price"", WORKDAY(TODAY(), -40), TODAY()), 1, FALSE)), ""select Col2 where Col2 is not null limit 22 label Col2 ''"", 0)), """")"),"")</f>
        <v/>
      </c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8"/>
      <c r="AO469" s="28"/>
      <c r="AP469" s="29"/>
      <c r="AQ469" s="29" t="str">
        <f t="shared" ref="AQ469:BL469" si="472">T469/T$2</f>
        <v>#N/A</v>
      </c>
      <c r="AR469" s="29" t="str">
        <f t="shared" si="472"/>
        <v>#DIV/0!</v>
      </c>
      <c r="AS469" s="29" t="str">
        <f t="shared" si="472"/>
        <v>#DIV/0!</v>
      </c>
      <c r="AT469" s="29" t="str">
        <f t="shared" si="472"/>
        <v>#DIV/0!</v>
      </c>
      <c r="AU469" s="29" t="str">
        <f t="shared" si="472"/>
        <v>#DIV/0!</v>
      </c>
      <c r="AV469" s="29" t="str">
        <f t="shared" si="472"/>
        <v>#DIV/0!</v>
      </c>
      <c r="AW469" s="29" t="str">
        <f t="shared" si="472"/>
        <v>#DIV/0!</v>
      </c>
      <c r="AX469" s="29" t="str">
        <f t="shared" si="472"/>
        <v>#DIV/0!</v>
      </c>
      <c r="AY469" s="29" t="str">
        <f t="shared" si="472"/>
        <v>#DIV/0!</v>
      </c>
      <c r="AZ469" s="29" t="str">
        <f t="shared" si="472"/>
        <v>#DIV/0!</v>
      </c>
      <c r="BA469" s="29" t="str">
        <f t="shared" si="472"/>
        <v>#DIV/0!</v>
      </c>
      <c r="BB469" s="29" t="str">
        <f t="shared" si="472"/>
        <v>#DIV/0!</v>
      </c>
      <c r="BC469" s="29" t="str">
        <f t="shared" si="472"/>
        <v>#DIV/0!</v>
      </c>
      <c r="BD469" s="29" t="str">
        <f t="shared" si="472"/>
        <v>#DIV/0!</v>
      </c>
      <c r="BE469" s="29" t="str">
        <f t="shared" si="472"/>
        <v>#DIV/0!</v>
      </c>
      <c r="BF469" s="29" t="str">
        <f t="shared" si="472"/>
        <v>#DIV/0!</v>
      </c>
      <c r="BG469" s="29" t="str">
        <f t="shared" si="472"/>
        <v>#DIV/0!</v>
      </c>
      <c r="BH469" s="29" t="str">
        <f t="shared" si="472"/>
        <v>#DIV/0!</v>
      </c>
      <c r="BI469" s="29" t="str">
        <f t="shared" si="472"/>
        <v>#DIV/0!</v>
      </c>
      <c r="BJ469" s="29" t="str">
        <f t="shared" si="472"/>
        <v>#DIV/0!</v>
      </c>
      <c r="BK469" s="29" t="str">
        <f t="shared" si="472"/>
        <v>#DIV/0!</v>
      </c>
      <c r="BL469" s="29" t="str">
        <f t="shared" si="472"/>
        <v>#DIV/0!</v>
      </c>
      <c r="BM469" s="29" t="str">
        <f t="shared" si="3"/>
        <v>#DIV/0!</v>
      </c>
    </row>
    <row r="470">
      <c r="A470" s="16" t="str">
        <f>IFERROR(__xludf.DUMMYFUNCTION("IFERROR(SPARKLINE(SORT(MAP(TRANSPOSE(AQ470:BL470), LAMBDA(val, IF(ISNUMBER(val), PERCENTRANK(AQ470:BL470, val)+0.01, 0))), SEQUENCE(COLUMNS(AQ470:BL470)), FALSE), {""charttype"",""column""; ""color"",""chartreuse""; ""ymin"", 0; ""ymax"", 1.01; ""highcolo"&amp;"r"", ""darkgreen""; ""lowcolor"", ""red""}), """")"),"")</f>
        <v/>
      </c>
      <c r="B470" s="17" t="str">
        <f t="shared" si="4"/>
        <v/>
      </c>
      <c r="C470" s="1" t="s">
        <v>1995</v>
      </c>
      <c r="D470" s="30" t="str">
        <f>IFERROR(__xludf.DUMMYFUNCTION("IFERROR(GOOGLEFINANCE(C470, ""NAME""))"),"Zscaler Inc")</f>
        <v>Zscaler Inc</v>
      </c>
      <c r="E470" s="30" t="s">
        <v>58</v>
      </c>
      <c r="F470" s="33" t="str">
        <f>IFERROR(__xludf.DUMMYFUNCTION("( (GOOGLEFINANCE(C470, ""price"") - Q470) / Q470 ) / (R470 / 100)"),"Loading...")</f>
        <v>Loading...</v>
      </c>
      <c r="G470" s="20" t="str">
        <f>IFERROR(__xludf.DUMMYFUNCTION("AVERAGE(ARRAYFORMULA(100 * (QUERY(GOOGLEFINANCE(C470, ""high"", TODAY()-40, TODAY()), ""SELECT Col2 WHERE Col2 IS NOT NULL ORDER BY Col1 DESC LIMIT 20"", 0) / QUERY(GOOGLEFINANCE(C470, ""low"", TODAY()-40, TODAY()), ""SELECT Col2 WHERE Col2 IS NOT NULL OR"&amp;"DER BY Col1 DESC LIMIT 20"", 0) - 1)))"),"#N/A")</f>
        <v>#N/A</v>
      </c>
      <c r="H470" s="35" t="str">
        <f t="shared" si="6"/>
        <v/>
      </c>
      <c r="I470" s="36" t="str">
        <f t="shared" si="7"/>
        <v/>
      </c>
      <c r="J470" s="37" t="str">
        <f>IFERROR(__xludf.DUMMYFUNCTION("IFERROR(
  IF(C470="""",, 
    IFERROR(
      GOOGLEFINANCE(C470, ""price"") * GOOGLEFINANCE(C470, ""volumeavg""), 
      GOOGLEFINANCE(C470, ""price"") * AVERAGE(QUERY(GOOGLEFINANCE(C470, ""volume"", TODAY()-40, TODAY()), ""SELECT Col2 WHERE Col2 IS NOT "&amp;"NULL ORDER BY Col1 DESC LIMIT 20"", 0))
    )
  ), 
"""")"),"")</f>
        <v/>
      </c>
      <c r="K470" s="21" t="str">
        <f>IFERROR(__xludf.DUMMYFUNCTION("IFERROR(GOOGLEFINANCE(C470, ""changepct"") / 100, """")"),"")</f>
        <v/>
      </c>
      <c r="L470" s="21" t="str">
        <f>IFERROR(__xludf.DUMMYFUNCTION("IFERROR((GOOGLEFINANCE(C470, ""price"") / INDEX(GOOGLEFINANCE(C470, ""price"", TODAY()-7, TODAY()), 2, 2)) - 1, """")"),"")</f>
        <v/>
      </c>
      <c r="M470" s="21" t="str">
        <f>IFERROR(__xludf.DUMMYFUNCTION("IFERROR((GOOGLEFINANCE(C470, ""price"") / INDEX(GOOGLEFINANCE(C470, ""price"", EDATE(TODAY(), -1), TODAY()), 2, 2)) - 1, """")"),"")</f>
        <v/>
      </c>
      <c r="N470" s="21" t="str">
        <f>IFERROR(__xludf.DUMMYFUNCTION("IFERROR((GOOGLEFINANCE(C470, ""price"") / INDEX(GOOGLEFINANCE(C470, ""price"", EDATE(TODAY(), -3), TODAY()), 2, 2)) - 1, """")"),"")</f>
        <v/>
      </c>
      <c r="O470" s="21" t="str">
        <f>IFERROR(__xludf.DUMMYFUNCTION("IFERROR((GOOGLEFINANCE(C470, ""price"") / INDEX(GOOGLEFINANCE(C470, ""price"", EDATE(TODAY(), -6), TODAY()), 2, 2)) - 1, """")"),"")</f>
        <v/>
      </c>
      <c r="P470" s="21" t="str">
        <f>IFERROR(__xludf.DUMMYFUNCTION("IFERROR((GOOGLEFINANCE(C470, ""price"") / INDEX(GOOGLEFINANCE(C470, ""price"", EDATE(TODAY(), -12), TODAY()), 2, 2)) - 1, """")"),"")</f>
        <v/>
      </c>
      <c r="Q470" s="6" t="str">
        <f>IFERROR(__xludf.DUMMYFUNCTION("AVERAGE(QUERY(GOOGLEFINANCE(C470, ""price"", TODAY()-80, TODAY()), ""SELECT Col2 WHERE Col2 IS NOT NULL ORDER BY Col1 DESC LIMIT 50"", 0))"),"#N/A")</f>
        <v>#N/A</v>
      </c>
      <c r="R470" s="24" t="str">
        <f>IFERROR(__xludf.DUMMYFUNCTION("IFERROR(
  LET(
    data, QUERY(GOOGLEFINANCE(C470,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GOOGLEFINANCE(C470, ""price"")) * 100,
    IF(calc=0, G470, calc)
  ), 
G470)"),"#N/A")</f>
        <v>#N/A</v>
      </c>
      <c r="S470" s="8" t="s">
        <v>15</v>
      </c>
      <c r="T470" s="26" t="str">
        <f>IFERROR(__xludf.DUMMYFUNCTION("IFERROR(TRANSPOSE(QUERY(IFERROR(SORT(GOOGLEFINANCE(C470, ""price"", WORKDAY(TODAY(), -40), TODAY()), 1, FALSE)), ""select Col2 where Col2 is not null limit 22 label Col2 ''"", 0)), """")"),"")</f>
        <v/>
      </c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8"/>
      <c r="AO470" s="28"/>
      <c r="AP470" s="29"/>
      <c r="AQ470" s="29" t="str">
        <f t="shared" ref="AQ470:BL470" si="473">T470/T$2</f>
        <v>#N/A</v>
      </c>
      <c r="AR470" s="29" t="str">
        <f t="shared" si="473"/>
        <v>#DIV/0!</v>
      </c>
      <c r="AS470" s="29" t="str">
        <f t="shared" si="473"/>
        <v>#DIV/0!</v>
      </c>
      <c r="AT470" s="29" t="str">
        <f t="shared" si="473"/>
        <v>#DIV/0!</v>
      </c>
      <c r="AU470" s="29" t="str">
        <f t="shared" si="473"/>
        <v>#DIV/0!</v>
      </c>
      <c r="AV470" s="29" t="str">
        <f t="shared" si="473"/>
        <v>#DIV/0!</v>
      </c>
      <c r="AW470" s="29" t="str">
        <f t="shared" si="473"/>
        <v>#DIV/0!</v>
      </c>
      <c r="AX470" s="29" t="str">
        <f t="shared" si="473"/>
        <v>#DIV/0!</v>
      </c>
      <c r="AY470" s="29" t="str">
        <f t="shared" si="473"/>
        <v>#DIV/0!</v>
      </c>
      <c r="AZ470" s="29" t="str">
        <f t="shared" si="473"/>
        <v>#DIV/0!</v>
      </c>
      <c r="BA470" s="29" t="str">
        <f t="shared" si="473"/>
        <v>#DIV/0!</v>
      </c>
      <c r="BB470" s="29" t="str">
        <f t="shared" si="473"/>
        <v>#DIV/0!</v>
      </c>
      <c r="BC470" s="29" t="str">
        <f t="shared" si="473"/>
        <v>#DIV/0!</v>
      </c>
      <c r="BD470" s="29" t="str">
        <f t="shared" si="473"/>
        <v>#DIV/0!</v>
      </c>
      <c r="BE470" s="29" t="str">
        <f t="shared" si="473"/>
        <v>#DIV/0!</v>
      </c>
      <c r="BF470" s="29" t="str">
        <f t="shared" si="473"/>
        <v>#DIV/0!</v>
      </c>
      <c r="BG470" s="29" t="str">
        <f t="shared" si="473"/>
        <v>#DIV/0!</v>
      </c>
      <c r="BH470" s="29" t="str">
        <f t="shared" si="473"/>
        <v>#DIV/0!</v>
      </c>
      <c r="BI470" s="29" t="str">
        <f t="shared" si="473"/>
        <v>#DIV/0!</v>
      </c>
      <c r="BJ470" s="29" t="str">
        <f t="shared" si="473"/>
        <v>#DIV/0!</v>
      </c>
      <c r="BK470" s="29" t="str">
        <f t="shared" si="473"/>
        <v>#DIV/0!</v>
      </c>
      <c r="BL470" s="29" t="str">
        <f t="shared" si="473"/>
        <v>#DIV/0!</v>
      </c>
      <c r="BM470" s="29" t="str">
        <f t="shared" si="3"/>
        <v>#DIV/0!</v>
      </c>
    </row>
    <row r="471">
      <c r="A471" s="16" t="str">
        <f>IFERROR(__xludf.DUMMYFUNCTION("IFERROR(SPARKLINE(SORT(MAP(TRANSPOSE(AQ471:BL471), LAMBDA(val, IF(ISNUMBER(val), PERCENTRANK(AQ471:BL471, val)+0.01, 0))), SEQUENCE(COLUMNS(AQ471:BL471)), FALSE), {""charttype"",""column""; ""color"",""chartreuse""; ""ymin"", 0; ""ymax"", 1.01; ""highcolo"&amp;"r"", ""darkgreen""; ""lowcolor"", ""red""}), """")"),"")</f>
        <v/>
      </c>
      <c r="B471" s="17" t="str">
        <f t="shared" si="4"/>
        <v/>
      </c>
      <c r="C471" s="1" t="s">
        <v>1999</v>
      </c>
      <c r="D471" s="30" t="str">
        <f>IFERROR(__xludf.DUMMYFUNCTION("IFERROR(GOOGLEFINANCE(C471, ""NAME""))"),"Qnity Electronics Inc")</f>
        <v>Qnity Electronics Inc</v>
      </c>
      <c r="E471" s="30" t="s">
        <v>1195</v>
      </c>
      <c r="F471" s="33" t="str">
        <f>IFERROR(__xludf.DUMMYFUNCTION("( (GOOGLEFINANCE(C471, ""price"") - Q471) / Q471 ) / (R471 / 100)"),"Loading...")</f>
        <v>Loading...</v>
      </c>
      <c r="G471" s="20" t="str">
        <f>IFERROR(__xludf.DUMMYFUNCTION("AVERAGE(ARRAYFORMULA(100 * (QUERY(GOOGLEFINANCE(C471, ""high"", TODAY()-40, TODAY()), ""SELECT Col2 WHERE Col2 IS NOT NULL ORDER BY Col1 DESC LIMIT 20"", 0) / QUERY(GOOGLEFINANCE(C471, ""low"", TODAY()-40, TODAY()), ""SELECT Col2 WHERE Col2 IS NOT NULL OR"&amp;"DER BY Col1 DESC LIMIT 20"", 0) - 1)))"),"#N/A")</f>
        <v>#N/A</v>
      </c>
      <c r="H471" s="35" t="str">
        <f t="shared" si="6"/>
        <v/>
      </c>
      <c r="I471" s="36" t="str">
        <f t="shared" si="7"/>
        <v/>
      </c>
      <c r="J471" s="37" t="str">
        <f>IFERROR(__xludf.DUMMYFUNCTION("IFERROR(
  IF(C471="""",, 
    IFERROR(
      GOOGLEFINANCE(C471, ""price"") * GOOGLEFINANCE(C471, ""volumeavg""), 
      GOOGLEFINANCE(C471, ""price"") * AVERAGE(QUERY(GOOGLEFINANCE(C471, ""volume"", TODAY()-40, TODAY()), ""SELECT Col2 WHERE Col2 IS NOT "&amp;"NULL ORDER BY Col1 DESC LIMIT 20"", 0))
    )
  ), 
"""")"),"")</f>
        <v/>
      </c>
      <c r="K471" s="21" t="str">
        <f>IFERROR(__xludf.DUMMYFUNCTION("IFERROR(GOOGLEFINANCE(C471, ""changepct"") / 100, """")"),"")</f>
        <v/>
      </c>
      <c r="L471" s="21" t="str">
        <f>IFERROR(__xludf.DUMMYFUNCTION("IFERROR((GOOGLEFINANCE(C471, ""price"") / INDEX(GOOGLEFINANCE(C471, ""price"", TODAY()-7, TODAY()), 2, 2)) - 1, """")"),"")</f>
        <v/>
      </c>
      <c r="M471" s="21" t="str">
        <f>IFERROR(__xludf.DUMMYFUNCTION("IFERROR((GOOGLEFINANCE(C471, ""price"") / INDEX(GOOGLEFINANCE(C471, ""price"", EDATE(TODAY(), -1), TODAY()), 2, 2)) - 1, """")"),"")</f>
        <v/>
      </c>
      <c r="N471" s="21" t="str">
        <f>IFERROR(__xludf.DUMMYFUNCTION("IFERROR((GOOGLEFINANCE(C471, ""price"") / INDEX(GOOGLEFINANCE(C471, ""price"", EDATE(TODAY(), -3), TODAY()), 2, 2)) - 1, """")"),"")</f>
        <v/>
      </c>
      <c r="O471" s="21" t="str">
        <f>IFERROR(__xludf.DUMMYFUNCTION("IFERROR((GOOGLEFINANCE(C471, ""price"") / INDEX(GOOGLEFINANCE(C471, ""price"", EDATE(TODAY(), -6), TODAY()), 2, 2)) - 1, """")"),"")</f>
        <v/>
      </c>
      <c r="P471" s="21" t="str">
        <f>IFERROR(__xludf.DUMMYFUNCTION("IFERROR((GOOGLEFINANCE(C471, ""price"") / INDEX(GOOGLEFINANCE(C471, ""price"", EDATE(TODAY(), -12), TODAY()), 2, 2)) - 1, """")"),"")</f>
        <v/>
      </c>
      <c r="Q471" s="6" t="str">
        <f>IFERROR(__xludf.DUMMYFUNCTION("AVERAGE(QUERY(GOOGLEFINANCE(C471, ""price"", TODAY()-80, TODAY()), ""SELECT Col2 WHERE Col2 IS NOT NULL ORDER BY Col1 DESC LIMIT 50"", 0))"),"#N/A")</f>
        <v>#N/A</v>
      </c>
      <c r="R471" s="24" t="str">
        <f>IFERROR(__xludf.DUMMYFUNCTION("IFERROR(
  LET(
    data, QUERY(GOOGLEFINANCE(C471,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GOOGLEFINANCE(C471, ""price"")) * 100,
    IF(calc=0, G471, calc)
  ), 
G471)"),"#N/A")</f>
        <v>#N/A</v>
      </c>
      <c r="S471" s="8" t="s">
        <v>15</v>
      </c>
      <c r="T471" s="26" t="str">
        <f>IFERROR(__xludf.DUMMYFUNCTION("IFERROR(TRANSPOSE(QUERY(IFERROR(SORT(GOOGLEFINANCE(C471, ""price"", WORKDAY(TODAY(), -40), TODAY()), 1, FALSE)), ""select Col2 where Col2 is not null limit 22 label Col2 ''"", 0)), """")"),"")</f>
        <v/>
      </c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8"/>
      <c r="AO471" s="28"/>
      <c r="AP471" s="29"/>
      <c r="AQ471" s="29" t="str">
        <f t="shared" ref="AQ471:BL471" si="474">T471/T$2</f>
        <v>#N/A</v>
      </c>
      <c r="AR471" s="29" t="str">
        <f t="shared" si="474"/>
        <v>#DIV/0!</v>
      </c>
      <c r="AS471" s="29" t="str">
        <f t="shared" si="474"/>
        <v>#DIV/0!</v>
      </c>
      <c r="AT471" s="29" t="str">
        <f t="shared" si="474"/>
        <v>#DIV/0!</v>
      </c>
      <c r="AU471" s="29" t="str">
        <f t="shared" si="474"/>
        <v>#DIV/0!</v>
      </c>
      <c r="AV471" s="29" t="str">
        <f t="shared" si="474"/>
        <v>#DIV/0!</v>
      </c>
      <c r="AW471" s="29" t="str">
        <f t="shared" si="474"/>
        <v>#DIV/0!</v>
      </c>
      <c r="AX471" s="29" t="str">
        <f t="shared" si="474"/>
        <v>#DIV/0!</v>
      </c>
      <c r="AY471" s="29" t="str">
        <f t="shared" si="474"/>
        <v>#DIV/0!</v>
      </c>
      <c r="AZ471" s="29" t="str">
        <f t="shared" si="474"/>
        <v>#DIV/0!</v>
      </c>
      <c r="BA471" s="29" t="str">
        <f t="shared" si="474"/>
        <v>#DIV/0!</v>
      </c>
      <c r="BB471" s="29" t="str">
        <f t="shared" si="474"/>
        <v>#DIV/0!</v>
      </c>
      <c r="BC471" s="29" t="str">
        <f t="shared" si="474"/>
        <v>#DIV/0!</v>
      </c>
      <c r="BD471" s="29" t="str">
        <f t="shared" si="474"/>
        <v>#DIV/0!</v>
      </c>
      <c r="BE471" s="29" t="str">
        <f t="shared" si="474"/>
        <v>#DIV/0!</v>
      </c>
      <c r="BF471" s="29" t="str">
        <f t="shared" si="474"/>
        <v>#DIV/0!</v>
      </c>
      <c r="BG471" s="29" t="str">
        <f t="shared" si="474"/>
        <v>#DIV/0!</v>
      </c>
      <c r="BH471" s="29" t="str">
        <f t="shared" si="474"/>
        <v>#DIV/0!</v>
      </c>
      <c r="BI471" s="29" t="str">
        <f t="shared" si="474"/>
        <v>#DIV/0!</v>
      </c>
      <c r="BJ471" s="29" t="str">
        <f t="shared" si="474"/>
        <v>#DIV/0!</v>
      </c>
      <c r="BK471" s="29" t="str">
        <f t="shared" si="474"/>
        <v>#DIV/0!</v>
      </c>
      <c r="BL471" s="29" t="str">
        <f t="shared" si="474"/>
        <v>#DIV/0!</v>
      </c>
      <c r="BM471" s="29" t="str">
        <f t="shared" si="3"/>
        <v>#DIV/0!</v>
      </c>
    </row>
    <row r="472">
      <c r="A472" s="16" t="str">
        <f>IFERROR(__xludf.DUMMYFUNCTION("IFERROR(SPARKLINE(SORT(MAP(TRANSPOSE(AQ472:BL472), LAMBDA(val, IF(ISNUMBER(val), PERCENTRANK(AQ472:BL472, val)+0.01, 0))), SEQUENCE(COLUMNS(AQ472:BL472)), FALSE), {""charttype"",""column""; ""color"",""chartreuse""; ""ymin"", 0; ""ymax"", 1.01; ""highcolo"&amp;"r"", ""darkgreen""; ""lowcolor"", ""red""}), """")"),"")</f>
        <v/>
      </c>
      <c r="B472" s="17" t="str">
        <f t="shared" si="4"/>
        <v/>
      </c>
      <c r="C472" s="1" t="s">
        <v>2002</v>
      </c>
      <c r="D472" s="30" t="str">
        <f>IFERROR(__xludf.DUMMYFUNCTION("IFERROR(GOOGLEFINANCE(C472, ""NAME""))"),"ASE Technology Holding Co Ltd")</f>
        <v>ASE Technology Holding Co Ltd</v>
      </c>
      <c r="E472" s="30" t="s">
        <v>871</v>
      </c>
      <c r="F472" s="33" t="str">
        <f>IFERROR(__xludf.DUMMYFUNCTION("( (GOOGLEFINANCE(C472, ""price"") - Q472) / Q472 ) / (R472 / 100)"),"Loading...")</f>
        <v>Loading...</v>
      </c>
      <c r="G472" s="20" t="str">
        <f>IFERROR(__xludf.DUMMYFUNCTION("AVERAGE(ARRAYFORMULA(100 * (QUERY(GOOGLEFINANCE(C472, ""high"", TODAY()-40, TODAY()), ""SELECT Col2 WHERE Col2 IS NOT NULL ORDER BY Col1 DESC LIMIT 20"", 0) / QUERY(GOOGLEFINANCE(C472, ""low"", TODAY()-40, TODAY()), ""SELECT Col2 WHERE Col2 IS NOT NULL OR"&amp;"DER BY Col1 DESC LIMIT 20"", 0) - 1)))"),"#N/A")</f>
        <v>#N/A</v>
      </c>
      <c r="H472" s="35" t="str">
        <f t="shared" si="6"/>
        <v/>
      </c>
      <c r="I472" s="36" t="str">
        <f t="shared" si="7"/>
        <v/>
      </c>
      <c r="J472" s="37" t="str">
        <f>IFERROR(__xludf.DUMMYFUNCTION("IFERROR(
  IF(C472="""",, 
    IFERROR(
      GOOGLEFINANCE(C472, ""price"") * GOOGLEFINANCE(C472, ""volumeavg""), 
      GOOGLEFINANCE(C472, ""price"") * AVERAGE(QUERY(GOOGLEFINANCE(C472, ""volume"", TODAY()-40, TODAY()), ""SELECT Col2 WHERE Col2 IS NOT "&amp;"NULL ORDER BY Col1 DESC LIMIT 20"", 0))
    )
  ), 
"""")"),"")</f>
        <v/>
      </c>
      <c r="K472" s="21" t="str">
        <f>IFERROR(__xludf.DUMMYFUNCTION("IFERROR(GOOGLEFINANCE(C472, ""changepct"") / 100, """")"),"")</f>
        <v/>
      </c>
      <c r="L472" s="21" t="str">
        <f>IFERROR(__xludf.DUMMYFUNCTION("IFERROR((GOOGLEFINANCE(C472, ""price"") / INDEX(GOOGLEFINANCE(C472, ""price"", TODAY()-7, TODAY()), 2, 2)) - 1, """")"),"")</f>
        <v/>
      </c>
      <c r="M472" s="21" t="str">
        <f>IFERROR(__xludf.DUMMYFUNCTION("IFERROR((GOOGLEFINANCE(C472, ""price"") / INDEX(GOOGLEFINANCE(C472, ""price"", EDATE(TODAY(), -1), TODAY()), 2, 2)) - 1, """")"),"")</f>
        <v/>
      </c>
      <c r="N472" s="21" t="str">
        <f>IFERROR(__xludf.DUMMYFUNCTION("IFERROR((GOOGLEFINANCE(C472, ""price"") / INDEX(GOOGLEFINANCE(C472, ""price"", EDATE(TODAY(), -3), TODAY()), 2, 2)) - 1, """")"),"")</f>
        <v/>
      </c>
      <c r="O472" s="21" t="str">
        <f>IFERROR(__xludf.DUMMYFUNCTION("IFERROR((GOOGLEFINANCE(C472, ""price"") / INDEX(GOOGLEFINANCE(C472, ""price"", EDATE(TODAY(), -6), TODAY()), 2, 2)) - 1, """")"),"")</f>
        <v/>
      </c>
      <c r="P472" s="21" t="str">
        <f>IFERROR(__xludf.DUMMYFUNCTION("IFERROR((GOOGLEFINANCE(C472, ""price"") / INDEX(GOOGLEFINANCE(C472, ""price"", EDATE(TODAY(), -12), TODAY()), 2, 2)) - 1, """")"),"")</f>
        <v/>
      </c>
      <c r="Q472" s="6" t="str">
        <f>IFERROR(__xludf.DUMMYFUNCTION("AVERAGE(QUERY(GOOGLEFINANCE(C472, ""price"", TODAY()-80, TODAY()), ""SELECT Col2 WHERE Col2 IS NOT NULL ORDER BY Col1 DESC LIMIT 50"", 0))"),"#N/A")</f>
        <v>#N/A</v>
      </c>
      <c r="R472" s="24" t="str">
        <f>IFERROR(__xludf.DUMMYFUNCTION("IFERROR(
  LET(
    data, QUERY(GOOGLEFINANCE(C472,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GOOGLEFINANCE(C472, ""price"")) * 100,
    IF(calc=0, G472, calc)
  ), 
G472)"),"#N/A")</f>
        <v>#N/A</v>
      </c>
      <c r="S472" s="8" t="s">
        <v>15</v>
      </c>
      <c r="T472" s="26" t="str">
        <f>IFERROR(__xludf.DUMMYFUNCTION("IFERROR(TRANSPOSE(QUERY(IFERROR(SORT(GOOGLEFINANCE(C472, ""price"", WORKDAY(TODAY(), -40), TODAY()), 1, FALSE)), ""select Col2 where Col2 is not null limit 22 label Col2 ''"", 0)), """")"),"")</f>
        <v/>
      </c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8"/>
      <c r="AO472" s="28"/>
      <c r="AP472" s="29"/>
      <c r="AQ472" s="29" t="str">
        <f t="shared" ref="AQ472:BL472" si="475">T472/T$2</f>
        <v>#N/A</v>
      </c>
      <c r="AR472" s="29" t="str">
        <f t="shared" si="475"/>
        <v>#DIV/0!</v>
      </c>
      <c r="AS472" s="29" t="str">
        <f t="shared" si="475"/>
        <v>#DIV/0!</v>
      </c>
      <c r="AT472" s="29" t="str">
        <f t="shared" si="475"/>
        <v>#DIV/0!</v>
      </c>
      <c r="AU472" s="29" t="str">
        <f t="shared" si="475"/>
        <v>#DIV/0!</v>
      </c>
      <c r="AV472" s="29" t="str">
        <f t="shared" si="475"/>
        <v>#DIV/0!</v>
      </c>
      <c r="AW472" s="29" t="str">
        <f t="shared" si="475"/>
        <v>#DIV/0!</v>
      </c>
      <c r="AX472" s="29" t="str">
        <f t="shared" si="475"/>
        <v>#DIV/0!</v>
      </c>
      <c r="AY472" s="29" t="str">
        <f t="shared" si="475"/>
        <v>#DIV/0!</v>
      </c>
      <c r="AZ472" s="29" t="str">
        <f t="shared" si="475"/>
        <v>#DIV/0!</v>
      </c>
      <c r="BA472" s="29" t="str">
        <f t="shared" si="475"/>
        <v>#DIV/0!</v>
      </c>
      <c r="BB472" s="29" t="str">
        <f t="shared" si="475"/>
        <v>#DIV/0!</v>
      </c>
      <c r="BC472" s="29" t="str">
        <f t="shared" si="475"/>
        <v>#DIV/0!</v>
      </c>
      <c r="BD472" s="29" t="str">
        <f t="shared" si="475"/>
        <v>#DIV/0!</v>
      </c>
      <c r="BE472" s="29" t="str">
        <f t="shared" si="475"/>
        <v>#DIV/0!</v>
      </c>
      <c r="BF472" s="29" t="str">
        <f t="shared" si="475"/>
        <v>#DIV/0!</v>
      </c>
      <c r="BG472" s="29" t="str">
        <f t="shared" si="475"/>
        <v>#DIV/0!</v>
      </c>
      <c r="BH472" s="29" t="str">
        <f t="shared" si="475"/>
        <v>#DIV/0!</v>
      </c>
      <c r="BI472" s="29" t="str">
        <f t="shared" si="475"/>
        <v>#DIV/0!</v>
      </c>
      <c r="BJ472" s="29" t="str">
        <f t="shared" si="475"/>
        <v>#DIV/0!</v>
      </c>
      <c r="BK472" s="29" t="str">
        <f t="shared" si="475"/>
        <v>#DIV/0!</v>
      </c>
      <c r="BL472" s="29" t="str">
        <f t="shared" si="475"/>
        <v>#DIV/0!</v>
      </c>
      <c r="BM472" s="29" t="str">
        <f t="shared" si="3"/>
        <v>#DIV/0!</v>
      </c>
    </row>
    <row r="473">
      <c r="A473" s="16" t="str">
        <f>IFERROR(__xludf.DUMMYFUNCTION("IFERROR(SPARKLINE(SORT(MAP(TRANSPOSE(AQ473:BL473), LAMBDA(val, IF(ISNUMBER(val), PERCENTRANK(AQ473:BL473, val)+0.01, 0))), SEQUENCE(COLUMNS(AQ473:BL473)), FALSE), {""charttype"",""column""; ""color"",""chartreuse""; ""ymin"", 0; ""ymax"", 1.01; ""highcolo"&amp;"r"", ""darkgreen""; ""lowcolor"", ""red""}), """")"),"")</f>
        <v/>
      </c>
      <c r="B473" s="17" t="str">
        <f t="shared" si="4"/>
        <v/>
      </c>
      <c r="C473" s="1" t="s">
        <v>2006</v>
      </c>
      <c r="D473" s="30" t="str">
        <f>IFERROR(__xludf.DUMMYFUNCTION("IFERROR(GOOGLEFINANCE(C473, ""NAME""))"),"Global Payments Inc")</f>
        <v>Global Payments Inc</v>
      </c>
      <c r="E473" s="30" t="s">
        <v>58</v>
      </c>
      <c r="F473" s="33" t="str">
        <f>IFERROR(__xludf.DUMMYFUNCTION("( (GOOGLEFINANCE(C473, ""price"") - Q473) / Q473 ) / (R473 / 100)"),"Loading...")</f>
        <v>Loading...</v>
      </c>
      <c r="G473" s="20" t="str">
        <f>IFERROR(__xludf.DUMMYFUNCTION("AVERAGE(ARRAYFORMULA(100 * (QUERY(GOOGLEFINANCE(C473, ""high"", TODAY()-40, TODAY()), ""SELECT Col2 WHERE Col2 IS NOT NULL ORDER BY Col1 DESC LIMIT 20"", 0) / QUERY(GOOGLEFINANCE(C473, ""low"", TODAY()-40, TODAY()), ""SELECT Col2 WHERE Col2 IS NOT NULL OR"&amp;"DER BY Col1 DESC LIMIT 20"", 0) - 1)))"),"#N/A")</f>
        <v>#N/A</v>
      </c>
      <c r="H473" s="35" t="str">
        <f t="shared" si="6"/>
        <v/>
      </c>
      <c r="I473" s="36" t="str">
        <f t="shared" si="7"/>
        <v/>
      </c>
      <c r="J473" s="37" t="str">
        <f>IFERROR(__xludf.DUMMYFUNCTION("IFERROR(
  IF(C473="""",, 
    IFERROR(
      GOOGLEFINANCE(C473, ""price"") * GOOGLEFINANCE(C473, ""volumeavg""), 
      GOOGLEFINANCE(C473, ""price"") * AVERAGE(QUERY(GOOGLEFINANCE(C473, ""volume"", TODAY()-40, TODAY()), ""SELECT Col2 WHERE Col2 IS NOT "&amp;"NULL ORDER BY Col1 DESC LIMIT 20"", 0))
    )
  ), 
"""")"),"")</f>
        <v/>
      </c>
      <c r="K473" s="21" t="str">
        <f>IFERROR(__xludf.DUMMYFUNCTION("IFERROR(GOOGLEFINANCE(C473, ""changepct"") / 100, """")"),"")</f>
        <v/>
      </c>
      <c r="L473" s="21" t="str">
        <f>IFERROR(__xludf.DUMMYFUNCTION("IFERROR((GOOGLEFINANCE(C473, ""price"") / INDEX(GOOGLEFINANCE(C473, ""price"", TODAY()-7, TODAY()), 2, 2)) - 1, """")"),"")</f>
        <v/>
      </c>
      <c r="M473" s="21" t="str">
        <f>IFERROR(__xludf.DUMMYFUNCTION("IFERROR((GOOGLEFINANCE(C473, ""price"") / INDEX(GOOGLEFINANCE(C473, ""price"", EDATE(TODAY(), -1), TODAY()), 2, 2)) - 1, """")"),"")</f>
        <v/>
      </c>
      <c r="N473" s="21" t="str">
        <f>IFERROR(__xludf.DUMMYFUNCTION("IFERROR((GOOGLEFINANCE(C473, ""price"") / INDEX(GOOGLEFINANCE(C473, ""price"", EDATE(TODAY(), -3), TODAY()), 2, 2)) - 1, """")"),"")</f>
        <v/>
      </c>
      <c r="O473" s="21" t="str">
        <f>IFERROR(__xludf.DUMMYFUNCTION("IFERROR((GOOGLEFINANCE(C473, ""price"") / INDEX(GOOGLEFINANCE(C473, ""price"", EDATE(TODAY(), -6), TODAY()), 2, 2)) - 1, """")"),"")</f>
        <v/>
      </c>
      <c r="P473" s="21" t="str">
        <f>IFERROR(__xludf.DUMMYFUNCTION("IFERROR((GOOGLEFINANCE(C473, ""price"") / INDEX(GOOGLEFINANCE(C473, ""price"", EDATE(TODAY(), -12), TODAY()), 2, 2)) - 1, """")"),"")</f>
        <v/>
      </c>
      <c r="Q473" s="6" t="str">
        <f>IFERROR(__xludf.DUMMYFUNCTION("AVERAGE(QUERY(GOOGLEFINANCE(C473, ""price"", TODAY()-80, TODAY()), ""SELECT Col2 WHERE Col2 IS NOT NULL ORDER BY Col1 DESC LIMIT 50"", 0))"),"#N/A")</f>
        <v>#N/A</v>
      </c>
      <c r="R473" s="24" t="str">
        <f>IFERROR(__xludf.DUMMYFUNCTION("IFERROR(
  LET(
    data, QUERY(GOOGLEFINANCE(C473,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GOOGLEFINANCE(C473, ""price"")) * 100,
    IF(calc=0, G473, calc)
  ), 
G473)"),"#N/A")</f>
        <v>#N/A</v>
      </c>
      <c r="S473" s="8" t="s">
        <v>15</v>
      </c>
      <c r="T473" s="26" t="str">
        <f>IFERROR(__xludf.DUMMYFUNCTION("IFERROR(TRANSPOSE(QUERY(IFERROR(SORT(GOOGLEFINANCE(C473, ""price"", WORKDAY(TODAY(), -40), TODAY()), 1, FALSE)), ""select Col2 where Col2 is not null limit 22 label Col2 ''"", 0)), """")"),"")</f>
        <v/>
      </c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8"/>
      <c r="AO473" s="28"/>
      <c r="AP473" s="29"/>
      <c r="AQ473" s="29" t="str">
        <f t="shared" ref="AQ473:BL473" si="476">T473/T$2</f>
        <v>#N/A</v>
      </c>
      <c r="AR473" s="29" t="str">
        <f t="shared" si="476"/>
        <v>#DIV/0!</v>
      </c>
      <c r="AS473" s="29" t="str">
        <f t="shared" si="476"/>
        <v>#DIV/0!</v>
      </c>
      <c r="AT473" s="29" t="str">
        <f t="shared" si="476"/>
        <v>#DIV/0!</v>
      </c>
      <c r="AU473" s="29" t="str">
        <f t="shared" si="476"/>
        <v>#DIV/0!</v>
      </c>
      <c r="AV473" s="29" t="str">
        <f t="shared" si="476"/>
        <v>#DIV/0!</v>
      </c>
      <c r="AW473" s="29" t="str">
        <f t="shared" si="476"/>
        <v>#DIV/0!</v>
      </c>
      <c r="AX473" s="29" t="str">
        <f t="shared" si="476"/>
        <v>#DIV/0!</v>
      </c>
      <c r="AY473" s="29" t="str">
        <f t="shared" si="476"/>
        <v>#DIV/0!</v>
      </c>
      <c r="AZ473" s="29" t="str">
        <f t="shared" si="476"/>
        <v>#DIV/0!</v>
      </c>
      <c r="BA473" s="29" t="str">
        <f t="shared" si="476"/>
        <v>#DIV/0!</v>
      </c>
      <c r="BB473" s="29" t="str">
        <f t="shared" si="476"/>
        <v>#DIV/0!</v>
      </c>
      <c r="BC473" s="29" t="str">
        <f t="shared" si="476"/>
        <v>#DIV/0!</v>
      </c>
      <c r="BD473" s="29" t="str">
        <f t="shared" si="476"/>
        <v>#DIV/0!</v>
      </c>
      <c r="BE473" s="29" t="str">
        <f t="shared" si="476"/>
        <v>#DIV/0!</v>
      </c>
      <c r="BF473" s="29" t="str">
        <f t="shared" si="476"/>
        <v>#DIV/0!</v>
      </c>
      <c r="BG473" s="29" t="str">
        <f t="shared" si="476"/>
        <v>#DIV/0!</v>
      </c>
      <c r="BH473" s="29" t="str">
        <f t="shared" si="476"/>
        <v>#DIV/0!</v>
      </c>
      <c r="BI473" s="29" t="str">
        <f t="shared" si="476"/>
        <v>#DIV/0!</v>
      </c>
      <c r="BJ473" s="29" t="str">
        <f t="shared" si="476"/>
        <v>#DIV/0!</v>
      </c>
      <c r="BK473" s="29" t="str">
        <f t="shared" si="476"/>
        <v>#DIV/0!</v>
      </c>
      <c r="BL473" s="29" t="str">
        <f t="shared" si="476"/>
        <v>#DIV/0!</v>
      </c>
      <c r="BM473" s="29" t="str">
        <f t="shared" si="3"/>
        <v>#DIV/0!</v>
      </c>
    </row>
    <row r="474">
      <c r="A474" s="16" t="str">
        <f>IFERROR(__xludf.DUMMYFUNCTION("IFERROR(SPARKLINE(SORT(MAP(TRANSPOSE(AQ474:BL474), LAMBDA(val, IF(ISNUMBER(val), PERCENTRANK(AQ474:BL474, val)+0.01, 0))), SEQUENCE(COLUMNS(AQ474:BL474)), FALSE), {""charttype"",""column""; ""color"",""chartreuse""; ""ymin"", 0; ""ymax"", 1.01; ""highcolo"&amp;"r"", ""darkgreen""; ""lowcolor"", ""red""}), """")"),"")</f>
        <v/>
      </c>
      <c r="B474" s="17" t="str">
        <f t="shared" si="4"/>
        <v/>
      </c>
      <c r="C474" s="1" t="s">
        <v>2010</v>
      </c>
      <c r="D474" s="30" t="str">
        <f>IFERROR(__xludf.DUMMYFUNCTION("IFERROR(GOOGLEFINANCE(C474, ""NAME""))"),"Broadridge Financial Solutions Inc")</f>
        <v>Broadridge Financial Solutions Inc</v>
      </c>
      <c r="E474" s="30" t="s">
        <v>102</v>
      </c>
      <c r="F474" s="33" t="str">
        <f>IFERROR(__xludf.DUMMYFUNCTION("( (GOOGLEFINANCE(C474, ""price"") - Q474) / Q474 ) / (R474 / 100)"),"Loading...")</f>
        <v>Loading...</v>
      </c>
      <c r="G474" s="20" t="str">
        <f>IFERROR(__xludf.DUMMYFUNCTION("AVERAGE(ARRAYFORMULA(100 * (QUERY(GOOGLEFINANCE(C474, ""high"", TODAY()-40, TODAY()), ""SELECT Col2 WHERE Col2 IS NOT NULL ORDER BY Col1 DESC LIMIT 20"", 0) / QUERY(GOOGLEFINANCE(C474, ""low"", TODAY()-40, TODAY()), ""SELECT Col2 WHERE Col2 IS NOT NULL OR"&amp;"DER BY Col1 DESC LIMIT 20"", 0) - 1)))"),"#N/A")</f>
        <v>#N/A</v>
      </c>
      <c r="H474" s="35" t="str">
        <f t="shared" si="6"/>
        <v/>
      </c>
      <c r="I474" s="36" t="str">
        <f t="shared" si="7"/>
        <v/>
      </c>
      <c r="J474" s="37" t="str">
        <f>IFERROR(__xludf.DUMMYFUNCTION("IFERROR(
  IF(C474="""",, 
    IFERROR(
      GOOGLEFINANCE(C474, ""price"") * GOOGLEFINANCE(C474, ""volumeavg""), 
      GOOGLEFINANCE(C474, ""price"") * AVERAGE(QUERY(GOOGLEFINANCE(C474, ""volume"", TODAY()-40, TODAY()), ""SELECT Col2 WHERE Col2 IS NOT "&amp;"NULL ORDER BY Col1 DESC LIMIT 20"", 0))
    )
  ), 
"""")"),"")</f>
        <v/>
      </c>
      <c r="K474" s="21" t="str">
        <f>IFERROR(__xludf.DUMMYFUNCTION("IFERROR(GOOGLEFINANCE(C474, ""changepct"") / 100, """")"),"")</f>
        <v/>
      </c>
      <c r="L474" s="21" t="str">
        <f>IFERROR(__xludf.DUMMYFUNCTION("IFERROR((GOOGLEFINANCE(C474, ""price"") / INDEX(GOOGLEFINANCE(C474, ""price"", TODAY()-7, TODAY()), 2, 2)) - 1, """")"),"")</f>
        <v/>
      </c>
      <c r="M474" s="21" t="str">
        <f>IFERROR(__xludf.DUMMYFUNCTION("IFERROR((GOOGLEFINANCE(C474, ""price"") / INDEX(GOOGLEFINANCE(C474, ""price"", EDATE(TODAY(), -1), TODAY()), 2, 2)) - 1, """")"),"")</f>
        <v/>
      </c>
      <c r="N474" s="21" t="str">
        <f>IFERROR(__xludf.DUMMYFUNCTION("IFERROR((GOOGLEFINANCE(C474, ""price"") / INDEX(GOOGLEFINANCE(C474, ""price"", EDATE(TODAY(), -3), TODAY()), 2, 2)) - 1, """")"),"")</f>
        <v/>
      </c>
      <c r="O474" s="21" t="str">
        <f>IFERROR(__xludf.DUMMYFUNCTION("IFERROR((GOOGLEFINANCE(C474, ""price"") / INDEX(GOOGLEFINANCE(C474, ""price"", EDATE(TODAY(), -6), TODAY()), 2, 2)) - 1, """")"),"")</f>
        <v/>
      </c>
      <c r="P474" s="21" t="str">
        <f>IFERROR(__xludf.DUMMYFUNCTION("IFERROR((GOOGLEFINANCE(C474, ""price"") / INDEX(GOOGLEFINANCE(C474, ""price"", EDATE(TODAY(), -12), TODAY()), 2, 2)) - 1, """")"),"")</f>
        <v/>
      </c>
      <c r="Q474" s="6" t="str">
        <f>IFERROR(__xludf.DUMMYFUNCTION("AVERAGE(QUERY(GOOGLEFINANCE(C474, ""price"", TODAY()-80, TODAY()), ""SELECT Col2 WHERE Col2 IS NOT NULL ORDER BY Col1 DESC LIMIT 50"", 0))"),"#N/A")</f>
        <v>#N/A</v>
      </c>
      <c r="R474" s="24" t="str">
        <f>IFERROR(__xludf.DUMMYFUNCTION("IFERROR(
  LET(
    data, QUERY(GOOGLEFINANCE(C474,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GOOGLEFINANCE(C474, ""price"")) * 100,
    IF(calc=0, G474, calc)
  ), 
G474)"),"#N/A")</f>
        <v>#N/A</v>
      </c>
      <c r="S474" s="8" t="s">
        <v>15</v>
      </c>
      <c r="T474" s="26" t="str">
        <f>IFERROR(__xludf.DUMMYFUNCTION("IFERROR(TRANSPOSE(QUERY(IFERROR(SORT(GOOGLEFINANCE(C474, ""price"", WORKDAY(TODAY(), -40), TODAY()), 1, FALSE)), ""select Col2 where Col2 is not null limit 22 label Col2 ''"", 0)), """")"),"")</f>
        <v/>
      </c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8"/>
      <c r="AO474" s="28"/>
      <c r="AP474" s="29"/>
      <c r="AQ474" s="29" t="str">
        <f t="shared" ref="AQ474:BL474" si="477">T474/T$2</f>
        <v>#N/A</v>
      </c>
      <c r="AR474" s="29" t="str">
        <f t="shared" si="477"/>
        <v>#DIV/0!</v>
      </c>
      <c r="AS474" s="29" t="str">
        <f t="shared" si="477"/>
        <v>#DIV/0!</v>
      </c>
      <c r="AT474" s="29" t="str">
        <f t="shared" si="477"/>
        <v>#DIV/0!</v>
      </c>
      <c r="AU474" s="29" t="str">
        <f t="shared" si="477"/>
        <v>#DIV/0!</v>
      </c>
      <c r="AV474" s="29" t="str">
        <f t="shared" si="477"/>
        <v>#DIV/0!</v>
      </c>
      <c r="AW474" s="29" t="str">
        <f t="shared" si="477"/>
        <v>#DIV/0!</v>
      </c>
      <c r="AX474" s="29" t="str">
        <f t="shared" si="477"/>
        <v>#DIV/0!</v>
      </c>
      <c r="AY474" s="29" t="str">
        <f t="shared" si="477"/>
        <v>#DIV/0!</v>
      </c>
      <c r="AZ474" s="29" t="str">
        <f t="shared" si="477"/>
        <v>#DIV/0!</v>
      </c>
      <c r="BA474" s="29" t="str">
        <f t="shared" si="477"/>
        <v>#DIV/0!</v>
      </c>
      <c r="BB474" s="29" t="str">
        <f t="shared" si="477"/>
        <v>#DIV/0!</v>
      </c>
      <c r="BC474" s="29" t="str">
        <f t="shared" si="477"/>
        <v>#DIV/0!</v>
      </c>
      <c r="BD474" s="29" t="str">
        <f t="shared" si="477"/>
        <v>#DIV/0!</v>
      </c>
      <c r="BE474" s="29" t="str">
        <f t="shared" si="477"/>
        <v>#DIV/0!</v>
      </c>
      <c r="BF474" s="29" t="str">
        <f t="shared" si="477"/>
        <v>#DIV/0!</v>
      </c>
      <c r="BG474" s="29" t="str">
        <f t="shared" si="477"/>
        <v>#DIV/0!</v>
      </c>
      <c r="BH474" s="29" t="str">
        <f t="shared" si="477"/>
        <v>#DIV/0!</v>
      </c>
      <c r="BI474" s="29" t="str">
        <f t="shared" si="477"/>
        <v>#DIV/0!</v>
      </c>
      <c r="BJ474" s="29" t="str">
        <f t="shared" si="477"/>
        <v>#DIV/0!</v>
      </c>
      <c r="BK474" s="29" t="str">
        <f t="shared" si="477"/>
        <v>#DIV/0!</v>
      </c>
      <c r="BL474" s="29" t="str">
        <f t="shared" si="477"/>
        <v>#DIV/0!</v>
      </c>
      <c r="BM474" s="29" t="str">
        <f t="shared" si="3"/>
        <v>#DIV/0!</v>
      </c>
    </row>
    <row r="475">
      <c r="A475" s="16" t="str">
        <f>IFERROR(__xludf.DUMMYFUNCTION("IFERROR(SPARKLINE(SORT(MAP(TRANSPOSE(AQ475:BL475), LAMBDA(val, IF(ISNUMBER(val), PERCENTRANK(AQ475:BL475, val)+0.01, 0))), SEQUENCE(COLUMNS(AQ475:BL475)), FALSE), {""charttype"",""column""; ""color"",""chartreuse""; ""ymin"", 0; ""ymax"", 1.01; ""highcolo"&amp;"r"", ""darkgreen""; ""lowcolor"", ""red""}), """")"),"")</f>
        <v/>
      </c>
      <c r="B475" s="17" t="str">
        <f t="shared" si="4"/>
        <v/>
      </c>
      <c r="C475" s="1" t="s">
        <v>2014</v>
      </c>
      <c r="D475" s="30" t="str">
        <f>IFERROR(__xludf.DUMMYFUNCTION("IFERROR(GOOGLEFINANCE(C475, ""NAME""))"),"Gen Digital Inc")</f>
        <v>Gen Digital Inc</v>
      </c>
      <c r="E475" s="30" t="s">
        <v>58</v>
      </c>
      <c r="F475" s="38" t="str">
        <f>IFERROR(__xludf.DUMMYFUNCTION("( (GOOGLEFINANCE(C475, ""price"") - Q475) / Q475 ) / (R475 / 100)"),"Loading...")</f>
        <v>Loading...</v>
      </c>
      <c r="G475" s="20" t="str">
        <f>IFERROR(__xludf.DUMMYFUNCTION("AVERAGE(ARRAYFORMULA(100 * (QUERY(GOOGLEFINANCE(C475, ""high"", TODAY()-40, TODAY()), ""SELECT Col2 WHERE Col2 IS NOT NULL ORDER BY Col1 DESC LIMIT 20"", 0) / QUERY(GOOGLEFINANCE(C475, ""low"", TODAY()-40, TODAY()), ""SELECT Col2 WHERE Col2 IS NOT NULL OR"&amp;"DER BY Col1 DESC LIMIT 20"", 0) - 1)))"),"#N/A")</f>
        <v>#N/A</v>
      </c>
      <c r="H475" s="35" t="str">
        <f t="shared" si="6"/>
        <v/>
      </c>
      <c r="I475" s="36" t="str">
        <f t="shared" si="7"/>
        <v/>
      </c>
      <c r="J475" s="37" t="str">
        <f>IFERROR(__xludf.DUMMYFUNCTION("IFERROR(
  IF(C475="""",, 
    IFERROR(
      GOOGLEFINANCE(C475, ""price"") * GOOGLEFINANCE(C475, ""volumeavg""), 
      GOOGLEFINANCE(C475, ""price"") * AVERAGE(QUERY(GOOGLEFINANCE(C475, ""volume"", TODAY()-40, TODAY()), ""SELECT Col2 WHERE Col2 IS NOT "&amp;"NULL ORDER BY Col1 DESC LIMIT 20"", 0))
    )
  ), 
"""")"),"")</f>
        <v/>
      </c>
      <c r="K475" s="21" t="str">
        <f>IFERROR(__xludf.DUMMYFUNCTION("IFERROR(GOOGLEFINANCE(C475, ""changepct"") / 100, """")"),"")</f>
        <v/>
      </c>
      <c r="L475" s="21" t="str">
        <f>IFERROR(__xludf.DUMMYFUNCTION("IFERROR((GOOGLEFINANCE(C475, ""price"") / INDEX(GOOGLEFINANCE(C475, ""price"", TODAY()-7, TODAY()), 2, 2)) - 1, """")"),"")</f>
        <v/>
      </c>
      <c r="M475" s="21" t="str">
        <f>IFERROR(__xludf.DUMMYFUNCTION("IFERROR((GOOGLEFINANCE(C475, ""price"") / INDEX(GOOGLEFINANCE(C475, ""price"", EDATE(TODAY(), -1), TODAY()), 2, 2)) - 1, """")"),"")</f>
        <v/>
      </c>
      <c r="N475" s="21" t="str">
        <f>IFERROR(__xludf.DUMMYFUNCTION("IFERROR((GOOGLEFINANCE(C475, ""price"") / INDEX(GOOGLEFINANCE(C475, ""price"", EDATE(TODAY(), -3), TODAY()), 2, 2)) - 1, """")"),"")</f>
        <v/>
      </c>
      <c r="O475" s="21" t="str">
        <f>IFERROR(__xludf.DUMMYFUNCTION("IFERROR((GOOGLEFINANCE(C475, ""price"") / INDEX(GOOGLEFINANCE(C475, ""price"", EDATE(TODAY(), -6), TODAY()), 2, 2)) - 1, """")"),"")</f>
        <v/>
      </c>
      <c r="P475" s="21" t="str">
        <f>IFERROR(__xludf.DUMMYFUNCTION("IFERROR((GOOGLEFINANCE(C475, ""price"") / INDEX(GOOGLEFINANCE(C475, ""price"", EDATE(TODAY(), -12), TODAY()), 2, 2)) - 1, """")"),"")</f>
        <v/>
      </c>
      <c r="Q475" s="6" t="str">
        <f>IFERROR(__xludf.DUMMYFUNCTION("AVERAGE(QUERY(GOOGLEFINANCE(C475, ""price"", TODAY()-80, TODAY()), ""SELECT Col2 WHERE Col2 IS NOT NULL ORDER BY Col1 DESC LIMIT 50"", 0))"),"#N/A")</f>
        <v>#N/A</v>
      </c>
      <c r="R475" s="24" t="str">
        <f>IFERROR(__xludf.DUMMYFUNCTION("IFERROR(
  LET(
    data, QUERY(GOOGLEFINANCE(C475,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GOOGLEFINANCE(C475, ""price"")) * 100,
    IF(calc=0, G475, calc)
  ), 
G475)"),"#N/A")</f>
        <v>#N/A</v>
      </c>
      <c r="S475" s="8" t="s">
        <v>15</v>
      </c>
      <c r="T475" s="26" t="str">
        <f>IFERROR(__xludf.DUMMYFUNCTION("IFERROR(TRANSPOSE(QUERY(IFERROR(SORT(GOOGLEFINANCE(C475, ""price"", WORKDAY(TODAY(), -40), TODAY()), 1, FALSE)), ""select Col2 where Col2 is not null limit 22 label Col2 ''"", 0)), """")"),"")</f>
        <v/>
      </c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8"/>
      <c r="AO475" s="28"/>
      <c r="AP475" s="29"/>
      <c r="AQ475" s="29" t="str">
        <f t="shared" ref="AQ475:BL475" si="478">T475/T$2</f>
        <v>#N/A</v>
      </c>
      <c r="AR475" s="29" t="str">
        <f t="shared" si="478"/>
        <v>#DIV/0!</v>
      </c>
      <c r="AS475" s="29" t="str">
        <f t="shared" si="478"/>
        <v>#DIV/0!</v>
      </c>
      <c r="AT475" s="29" t="str">
        <f t="shared" si="478"/>
        <v>#DIV/0!</v>
      </c>
      <c r="AU475" s="29" t="str">
        <f t="shared" si="478"/>
        <v>#DIV/0!</v>
      </c>
      <c r="AV475" s="29" t="str">
        <f t="shared" si="478"/>
        <v>#DIV/0!</v>
      </c>
      <c r="AW475" s="29" t="str">
        <f t="shared" si="478"/>
        <v>#DIV/0!</v>
      </c>
      <c r="AX475" s="29" t="str">
        <f t="shared" si="478"/>
        <v>#DIV/0!</v>
      </c>
      <c r="AY475" s="29" t="str">
        <f t="shared" si="478"/>
        <v>#DIV/0!</v>
      </c>
      <c r="AZ475" s="29" t="str">
        <f t="shared" si="478"/>
        <v>#DIV/0!</v>
      </c>
      <c r="BA475" s="29" t="str">
        <f t="shared" si="478"/>
        <v>#DIV/0!</v>
      </c>
      <c r="BB475" s="29" t="str">
        <f t="shared" si="478"/>
        <v>#DIV/0!</v>
      </c>
      <c r="BC475" s="29" t="str">
        <f t="shared" si="478"/>
        <v>#DIV/0!</v>
      </c>
      <c r="BD475" s="29" t="str">
        <f t="shared" si="478"/>
        <v>#DIV/0!</v>
      </c>
      <c r="BE475" s="29" t="str">
        <f t="shared" si="478"/>
        <v>#DIV/0!</v>
      </c>
      <c r="BF475" s="29" t="str">
        <f t="shared" si="478"/>
        <v>#DIV/0!</v>
      </c>
      <c r="BG475" s="29" t="str">
        <f t="shared" si="478"/>
        <v>#DIV/0!</v>
      </c>
      <c r="BH475" s="29" t="str">
        <f t="shared" si="478"/>
        <v>#DIV/0!</v>
      </c>
      <c r="BI475" s="29" t="str">
        <f t="shared" si="478"/>
        <v>#DIV/0!</v>
      </c>
      <c r="BJ475" s="29" t="str">
        <f t="shared" si="478"/>
        <v>#DIV/0!</v>
      </c>
      <c r="BK475" s="29" t="str">
        <f t="shared" si="478"/>
        <v>#DIV/0!</v>
      </c>
      <c r="BL475" s="29" t="str">
        <f t="shared" si="478"/>
        <v>#DIV/0!</v>
      </c>
      <c r="BM475" s="29" t="str">
        <f t="shared" si="3"/>
        <v>#DIV/0!</v>
      </c>
    </row>
    <row r="476">
      <c r="A476" s="16" t="str">
        <f>IFERROR(__xludf.DUMMYFUNCTION("IFERROR(SPARKLINE(SORT(MAP(TRANSPOSE(AQ476:BL476), LAMBDA(val, IF(ISNUMBER(val), PERCENTRANK(AQ476:BL476, val)+0.01, 0))), SEQUENCE(COLUMNS(AQ476:BL476)), FALSE), {""charttype"",""column""; ""color"",""chartreuse""; ""ymin"", 0; ""ymax"", 1.01; ""highcolo"&amp;"r"", ""darkgreen""; ""lowcolor"", ""red""}), """")"),"")</f>
        <v/>
      </c>
      <c r="B476" s="17" t="str">
        <f t="shared" si="4"/>
        <v/>
      </c>
      <c r="C476" s="1" t="s">
        <v>2018</v>
      </c>
      <c r="D476" s="30" t="str">
        <f>IFERROR(__xludf.DUMMYFUNCTION("IFERROR(GOOGLEFINANCE(C476, ""NAME""))"),"Arrow Electronics Inc")</f>
        <v>Arrow Electronics Inc</v>
      </c>
      <c r="E476" s="30" t="s">
        <v>540</v>
      </c>
      <c r="F476" s="33" t="str">
        <f>IFERROR(__xludf.DUMMYFUNCTION("( (GOOGLEFINANCE(C476, ""price"") - Q476) / Q476 ) / (R476 / 100)"),"Loading...")</f>
        <v>Loading...</v>
      </c>
      <c r="G476" s="20" t="str">
        <f>IFERROR(__xludf.DUMMYFUNCTION("AVERAGE(ARRAYFORMULA(100 * (QUERY(GOOGLEFINANCE(C476, ""high"", TODAY()-40, TODAY()), ""SELECT Col2 WHERE Col2 IS NOT NULL ORDER BY Col1 DESC LIMIT 20"", 0) / QUERY(GOOGLEFINANCE(C476, ""low"", TODAY()-40, TODAY()), ""SELECT Col2 WHERE Col2 IS NOT NULL OR"&amp;"DER BY Col1 DESC LIMIT 20"", 0) - 1)))"),"#N/A")</f>
        <v>#N/A</v>
      </c>
      <c r="H476" s="35" t="str">
        <f t="shared" si="6"/>
        <v/>
      </c>
      <c r="I476" s="36" t="str">
        <f t="shared" si="7"/>
        <v/>
      </c>
      <c r="J476" s="37" t="str">
        <f>IFERROR(__xludf.DUMMYFUNCTION("IFERROR(
  IF(C476="""",, 
    IFERROR(
      GOOGLEFINANCE(C476, ""price"") * GOOGLEFINANCE(C476, ""volumeavg""), 
      GOOGLEFINANCE(C476, ""price"") * AVERAGE(QUERY(GOOGLEFINANCE(C476, ""volume"", TODAY()-40, TODAY()), ""SELECT Col2 WHERE Col2 IS NOT "&amp;"NULL ORDER BY Col1 DESC LIMIT 20"", 0))
    )
  ), 
"""")"),"")</f>
        <v/>
      </c>
      <c r="K476" s="21" t="str">
        <f>IFERROR(__xludf.DUMMYFUNCTION("IFERROR(GOOGLEFINANCE(C476, ""changepct"") / 100, """")"),"")</f>
        <v/>
      </c>
      <c r="L476" s="21" t="str">
        <f>IFERROR(__xludf.DUMMYFUNCTION("IFERROR((GOOGLEFINANCE(C476, ""price"") / INDEX(GOOGLEFINANCE(C476, ""price"", TODAY()-7, TODAY()), 2, 2)) - 1, """")"),"")</f>
        <v/>
      </c>
      <c r="M476" s="21" t="str">
        <f>IFERROR(__xludf.DUMMYFUNCTION("IFERROR((GOOGLEFINANCE(C476, ""price"") / INDEX(GOOGLEFINANCE(C476, ""price"", EDATE(TODAY(), -1), TODAY()), 2, 2)) - 1, """")"),"")</f>
        <v/>
      </c>
      <c r="N476" s="21" t="str">
        <f>IFERROR(__xludf.DUMMYFUNCTION("IFERROR((GOOGLEFINANCE(C476, ""price"") / INDEX(GOOGLEFINANCE(C476, ""price"", EDATE(TODAY(), -3), TODAY()), 2, 2)) - 1, """")"),"")</f>
        <v/>
      </c>
      <c r="O476" s="21" t="str">
        <f>IFERROR(__xludf.DUMMYFUNCTION("IFERROR((GOOGLEFINANCE(C476, ""price"") / INDEX(GOOGLEFINANCE(C476, ""price"", EDATE(TODAY(), -6), TODAY()), 2, 2)) - 1, """")"),"")</f>
        <v/>
      </c>
      <c r="P476" s="21" t="str">
        <f>IFERROR(__xludf.DUMMYFUNCTION("IFERROR((GOOGLEFINANCE(C476, ""price"") / INDEX(GOOGLEFINANCE(C476, ""price"", EDATE(TODAY(), -12), TODAY()), 2, 2)) - 1, """")"),"")</f>
        <v/>
      </c>
      <c r="Q476" s="6" t="str">
        <f>IFERROR(__xludf.DUMMYFUNCTION("AVERAGE(QUERY(GOOGLEFINANCE(C476, ""price"", TODAY()-80, TODAY()), ""SELECT Col2 WHERE Col2 IS NOT NULL ORDER BY Col1 DESC LIMIT 50"", 0))"),"#N/A")</f>
        <v>#N/A</v>
      </c>
      <c r="R476" s="24" t="str">
        <f>IFERROR(__xludf.DUMMYFUNCTION("IFERROR(
  LET(
    data, QUERY(GOOGLEFINANCE(C476,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GOOGLEFINANCE(C476, ""price"")) * 100,
    IF(calc=0, G476, calc)
  ), 
G476)"),"#N/A")</f>
        <v>#N/A</v>
      </c>
      <c r="S476" s="8" t="s">
        <v>15</v>
      </c>
      <c r="T476" s="26" t="str">
        <f>IFERROR(__xludf.DUMMYFUNCTION("IFERROR(TRANSPOSE(QUERY(IFERROR(SORT(GOOGLEFINANCE(C476, ""price"", WORKDAY(TODAY(), -40), TODAY()), 1, FALSE)), ""select Col2 where Col2 is not null limit 22 label Col2 ''"", 0)), """")"),"")</f>
        <v/>
      </c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8"/>
      <c r="AO476" s="28"/>
      <c r="AP476" s="29"/>
      <c r="AQ476" s="29" t="str">
        <f t="shared" ref="AQ476:BL476" si="479">T476/T$2</f>
        <v>#N/A</v>
      </c>
      <c r="AR476" s="29" t="str">
        <f t="shared" si="479"/>
        <v>#DIV/0!</v>
      </c>
      <c r="AS476" s="29" t="str">
        <f t="shared" si="479"/>
        <v>#DIV/0!</v>
      </c>
      <c r="AT476" s="29" t="str">
        <f t="shared" si="479"/>
        <v>#DIV/0!</v>
      </c>
      <c r="AU476" s="29" t="str">
        <f t="shared" si="479"/>
        <v>#DIV/0!</v>
      </c>
      <c r="AV476" s="29" t="str">
        <f t="shared" si="479"/>
        <v>#DIV/0!</v>
      </c>
      <c r="AW476" s="29" t="str">
        <f t="shared" si="479"/>
        <v>#DIV/0!</v>
      </c>
      <c r="AX476" s="29" t="str">
        <f t="shared" si="479"/>
        <v>#DIV/0!</v>
      </c>
      <c r="AY476" s="29" t="str">
        <f t="shared" si="479"/>
        <v>#DIV/0!</v>
      </c>
      <c r="AZ476" s="29" t="str">
        <f t="shared" si="479"/>
        <v>#DIV/0!</v>
      </c>
      <c r="BA476" s="29" t="str">
        <f t="shared" si="479"/>
        <v>#DIV/0!</v>
      </c>
      <c r="BB476" s="29" t="str">
        <f t="shared" si="479"/>
        <v>#DIV/0!</v>
      </c>
      <c r="BC476" s="29" t="str">
        <f t="shared" si="479"/>
        <v>#DIV/0!</v>
      </c>
      <c r="BD476" s="29" t="str">
        <f t="shared" si="479"/>
        <v>#DIV/0!</v>
      </c>
      <c r="BE476" s="29" t="str">
        <f t="shared" si="479"/>
        <v>#DIV/0!</v>
      </c>
      <c r="BF476" s="29" t="str">
        <f t="shared" si="479"/>
        <v>#DIV/0!</v>
      </c>
      <c r="BG476" s="29" t="str">
        <f t="shared" si="479"/>
        <v>#DIV/0!</v>
      </c>
      <c r="BH476" s="29" t="str">
        <f t="shared" si="479"/>
        <v>#DIV/0!</v>
      </c>
      <c r="BI476" s="29" t="str">
        <f t="shared" si="479"/>
        <v>#DIV/0!</v>
      </c>
      <c r="BJ476" s="29" t="str">
        <f t="shared" si="479"/>
        <v>#DIV/0!</v>
      </c>
      <c r="BK476" s="29" t="str">
        <f t="shared" si="479"/>
        <v>#DIV/0!</v>
      </c>
      <c r="BL476" s="29" t="str">
        <f t="shared" si="479"/>
        <v>#DIV/0!</v>
      </c>
      <c r="BM476" s="29" t="str">
        <f t="shared" si="3"/>
        <v>#DIV/0!</v>
      </c>
    </row>
    <row r="477">
      <c r="A477" s="16" t="str">
        <f>IFERROR(__xludf.DUMMYFUNCTION("IFERROR(SPARKLINE(SORT(MAP(TRANSPOSE(AQ477:BL477), LAMBDA(val, IF(ISNUMBER(val), PERCENTRANK(AQ477:BL477, val)+0.01, 0))), SEQUENCE(COLUMNS(AQ477:BL477)), FALSE), {""charttype"",""column""; ""color"",""chartreuse""; ""ymin"", 0; ""ymax"", 1.01; ""highcolo"&amp;"r"", ""darkgreen""; ""lowcolor"", ""red""}), """")"),"")</f>
        <v/>
      </c>
      <c r="B477" s="17" t="str">
        <f t="shared" si="4"/>
        <v/>
      </c>
      <c r="C477" s="1" t="s">
        <v>2021</v>
      </c>
      <c r="D477" s="30" t="str">
        <f>IFERROR(__xludf.DUMMYFUNCTION("IFERROR(GOOGLEFINANCE(C477, ""NAME""))"),"Ubiquiti Inc")</f>
        <v>Ubiquiti Inc</v>
      </c>
      <c r="E477" s="30" t="s">
        <v>716</v>
      </c>
      <c r="F477" s="33" t="str">
        <f>IFERROR(__xludf.DUMMYFUNCTION("( (GOOGLEFINANCE(C477, ""price"") - Q477) / Q477 ) / (R477 / 100)"),"Loading...")</f>
        <v>Loading...</v>
      </c>
      <c r="G477" s="20" t="str">
        <f>IFERROR(__xludf.DUMMYFUNCTION("AVERAGE(ARRAYFORMULA(100 * (QUERY(GOOGLEFINANCE(C477, ""high"", TODAY()-40, TODAY()), ""SELECT Col2 WHERE Col2 IS NOT NULL ORDER BY Col1 DESC LIMIT 20"", 0) / QUERY(GOOGLEFINANCE(C477, ""low"", TODAY()-40, TODAY()), ""SELECT Col2 WHERE Col2 IS NOT NULL OR"&amp;"DER BY Col1 DESC LIMIT 20"", 0) - 1)))"),"#N/A")</f>
        <v>#N/A</v>
      </c>
      <c r="H477" s="35" t="str">
        <f t="shared" si="6"/>
        <v/>
      </c>
      <c r="I477" s="36" t="str">
        <f t="shared" si="7"/>
        <v/>
      </c>
      <c r="J477" s="37" t="str">
        <f>IFERROR(__xludf.DUMMYFUNCTION("IFERROR(
  IF(C477="""",, 
    IFERROR(
      GOOGLEFINANCE(C477, ""price"") * GOOGLEFINANCE(C477, ""volumeavg""), 
      GOOGLEFINANCE(C477, ""price"") * AVERAGE(QUERY(GOOGLEFINANCE(C477, ""volume"", TODAY()-40, TODAY()), ""SELECT Col2 WHERE Col2 IS NOT "&amp;"NULL ORDER BY Col1 DESC LIMIT 20"", 0))
    )
  ), 
"""")"),"")</f>
        <v/>
      </c>
      <c r="K477" s="21" t="str">
        <f>IFERROR(__xludf.DUMMYFUNCTION("IFERROR(GOOGLEFINANCE(C477, ""changepct"") / 100, """")"),"")</f>
        <v/>
      </c>
      <c r="L477" s="21" t="str">
        <f>IFERROR(__xludf.DUMMYFUNCTION("IFERROR((GOOGLEFINANCE(C477, ""price"") / INDEX(GOOGLEFINANCE(C477, ""price"", TODAY()-7, TODAY()), 2, 2)) - 1, """")"),"")</f>
        <v/>
      </c>
      <c r="M477" s="21" t="str">
        <f>IFERROR(__xludf.DUMMYFUNCTION("IFERROR((GOOGLEFINANCE(C477, ""price"") / INDEX(GOOGLEFINANCE(C477, ""price"", EDATE(TODAY(), -1), TODAY()), 2, 2)) - 1, """")"),"")</f>
        <v/>
      </c>
      <c r="N477" s="21" t="str">
        <f>IFERROR(__xludf.DUMMYFUNCTION("IFERROR((GOOGLEFINANCE(C477, ""price"") / INDEX(GOOGLEFINANCE(C477, ""price"", EDATE(TODAY(), -3), TODAY()), 2, 2)) - 1, """")"),"")</f>
        <v/>
      </c>
      <c r="O477" s="21" t="str">
        <f>IFERROR(__xludf.DUMMYFUNCTION("IFERROR((GOOGLEFINANCE(C477, ""price"") / INDEX(GOOGLEFINANCE(C477, ""price"", EDATE(TODAY(), -6), TODAY()), 2, 2)) - 1, """")"),"")</f>
        <v/>
      </c>
      <c r="P477" s="21" t="str">
        <f>IFERROR(__xludf.DUMMYFUNCTION("IFERROR((GOOGLEFINANCE(C477, ""price"") / INDEX(GOOGLEFINANCE(C477, ""price"", EDATE(TODAY(), -12), TODAY()), 2, 2)) - 1, """")"),"")</f>
        <v/>
      </c>
      <c r="Q477" s="6" t="str">
        <f>IFERROR(__xludf.DUMMYFUNCTION("AVERAGE(QUERY(GOOGLEFINANCE(C477, ""price"", TODAY()-80, TODAY()), ""SELECT Col2 WHERE Col2 IS NOT NULL ORDER BY Col1 DESC LIMIT 50"", 0))"),"#N/A")</f>
        <v>#N/A</v>
      </c>
      <c r="R477" s="24" t="str">
        <f>IFERROR(__xludf.DUMMYFUNCTION("IFERROR(
  LET(
    data, QUERY(GOOGLEFINANCE(C477,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GOOGLEFINANCE(C477, ""price"")) * 100,
    IF(calc=0, G477, calc)
  ), 
G477)"),"#N/A")</f>
        <v>#N/A</v>
      </c>
      <c r="S477" s="8" t="s">
        <v>15</v>
      </c>
      <c r="T477" s="26" t="str">
        <f>IFERROR(__xludf.DUMMYFUNCTION("IFERROR(TRANSPOSE(QUERY(IFERROR(SORT(GOOGLEFINANCE(C477, ""price"", WORKDAY(TODAY(), -40), TODAY()), 1, FALSE)), ""select Col2 where Col2 is not null limit 22 label Col2 ''"", 0)), """")"),"")</f>
        <v/>
      </c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8"/>
      <c r="AO477" s="28"/>
      <c r="AP477" s="29"/>
      <c r="AQ477" s="29" t="str">
        <f t="shared" ref="AQ477:BL477" si="480">T477/T$2</f>
        <v>#N/A</v>
      </c>
      <c r="AR477" s="29" t="str">
        <f t="shared" si="480"/>
        <v>#DIV/0!</v>
      </c>
      <c r="AS477" s="29" t="str">
        <f t="shared" si="480"/>
        <v>#DIV/0!</v>
      </c>
      <c r="AT477" s="29" t="str">
        <f t="shared" si="480"/>
        <v>#DIV/0!</v>
      </c>
      <c r="AU477" s="29" t="str">
        <f t="shared" si="480"/>
        <v>#DIV/0!</v>
      </c>
      <c r="AV477" s="29" t="str">
        <f t="shared" si="480"/>
        <v>#DIV/0!</v>
      </c>
      <c r="AW477" s="29" t="str">
        <f t="shared" si="480"/>
        <v>#DIV/0!</v>
      </c>
      <c r="AX477" s="29" t="str">
        <f t="shared" si="480"/>
        <v>#DIV/0!</v>
      </c>
      <c r="AY477" s="29" t="str">
        <f t="shared" si="480"/>
        <v>#DIV/0!</v>
      </c>
      <c r="AZ477" s="29" t="str">
        <f t="shared" si="480"/>
        <v>#DIV/0!</v>
      </c>
      <c r="BA477" s="29" t="str">
        <f t="shared" si="480"/>
        <v>#DIV/0!</v>
      </c>
      <c r="BB477" s="29" t="str">
        <f t="shared" si="480"/>
        <v>#DIV/0!</v>
      </c>
      <c r="BC477" s="29" t="str">
        <f t="shared" si="480"/>
        <v>#DIV/0!</v>
      </c>
      <c r="BD477" s="29" t="str">
        <f t="shared" si="480"/>
        <v>#DIV/0!</v>
      </c>
      <c r="BE477" s="29" t="str">
        <f t="shared" si="480"/>
        <v>#DIV/0!</v>
      </c>
      <c r="BF477" s="29" t="str">
        <f t="shared" si="480"/>
        <v>#DIV/0!</v>
      </c>
      <c r="BG477" s="29" t="str">
        <f t="shared" si="480"/>
        <v>#DIV/0!</v>
      </c>
      <c r="BH477" s="29" t="str">
        <f t="shared" si="480"/>
        <v>#DIV/0!</v>
      </c>
      <c r="BI477" s="29" t="str">
        <f t="shared" si="480"/>
        <v>#DIV/0!</v>
      </c>
      <c r="BJ477" s="29" t="str">
        <f t="shared" si="480"/>
        <v>#DIV/0!</v>
      </c>
      <c r="BK477" s="29" t="str">
        <f t="shared" si="480"/>
        <v>#DIV/0!</v>
      </c>
      <c r="BL477" s="29" t="str">
        <f t="shared" si="480"/>
        <v>#DIV/0!</v>
      </c>
      <c r="BM477" s="29" t="str">
        <f t="shared" si="3"/>
        <v>#DIV/0!</v>
      </c>
    </row>
    <row r="478">
      <c r="A478" s="16" t="str">
        <f>IFERROR(__xludf.DUMMYFUNCTION("IFERROR(SPARKLINE(SORT(MAP(TRANSPOSE(AQ478:BL478), LAMBDA(val, IF(ISNUMBER(val), PERCENTRANK(AQ478:BL478, val)+0.01, 0))), SEQUENCE(COLUMNS(AQ478:BL478)), FALSE), {""charttype"",""column""; ""color"",""chartreuse""; ""ymin"", 0; ""ymax"", 1.01; ""highcolo"&amp;"r"", ""darkgreen""; ""lowcolor"", ""red""}), """")"),"")</f>
        <v/>
      </c>
      <c r="B478" s="17" t="str">
        <f t="shared" si="4"/>
        <v/>
      </c>
      <c r="C478" s="1" t="s">
        <v>2023</v>
      </c>
      <c r="D478" s="30" t="str">
        <f>IFERROR(__xludf.DUMMYFUNCTION("IFERROR(GOOGLEFINANCE(C478, ""NAME""))"),"IMPINJ Inc")</f>
        <v>IMPINJ Inc</v>
      </c>
      <c r="E478" s="30" t="s">
        <v>871</v>
      </c>
      <c r="F478" s="33" t="str">
        <f>IFERROR(__xludf.DUMMYFUNCTION("( (GOOGLEFINANCE(C478, ""price"") - Q478) / Q478 ) / (R478 / 100)"),"Loading...")</f>
        <v>Loading...</v>
      </c>
      <c r="G478" s="20" t="str">
        <f>IFERROR(__xludf.DUMMYFUNCTION("AVERAGE(ARRAYFORMULA(100 * (QUERY(GOOGLEFINANCE(C478, ""high"", TODAY()-40, TODAY()), ""SELECT Col2 WHERE Col2 IS NOT NULL ORDER BY Col1 DESC LIMIT 20"", 0) / QUERY(GOOGLEFINANCE(C478, ""low"", TODAY()-40, TODAY()), ""SELECT Col2 WHERE Col2 IS NOT NULL OR"&amp;"DER BY Col1 DESC LIMIT 20"", 0) - 1)))"),"#N/A")</f>
        <v>#N/A</v>
      </c>
      <c r="H478" s="35" t="str">
        <f t="shared" si="6"/>
        <v/>
      </c>
      <c r="I478" s="36" t="str">
        <f t="shared" si="7"/>
        <v/>
      </c>
      <c r="J478" s="37" t="str">
        <f>IFERROR(__xludf.DUMMYFUNCTION("IFERROR(
  IF(C478="""",, 
    IFERROR(
      GOOGLEFINANCE(C478, ""price"") * GOOGLEFINANCE(C478, ""volumeavg""), 
      GOOGLEFINANCE(C478, ""price"") * AVERAGE(QUERY(GOOGLEFINANCE(C478, ""volume"", TODAY()-40, TODAY()), ""SELECT Col2 WHERE Col2 IS NOT "&amp;"NULL ORDER BY Col1 DESC LIMIT 20"", 0))
    )
  ), 
"""")"),"")</f>
        <v/>
      </c>
      <c r="K478" s="21" t="str">
        <f>IFERROR(__xludf.DUMMYFUNCTION("IFERROR(GOOGLEFINANCE(C478, ""changepct"") / 100, """")"),"")</f>
        <v/>
      </c>
      <c r="L478" s="21" t="str">
        <f>IFERROR(__xludf.DUMMYFUNCTION("IFERROR((GOOGLEFINANCE(C478, ""price"") / INDEX(GOOGLEFINANCE(C478, ""price"", TODAY()-7, TODAY()), 2, 2)) - 1, """")"),"")</f>
        <v/>
      </c>
      <c r="M478" s="21" t="str">
        <f>IFERROR(__xludf.DUMMYFUNCTION("IFERROR((GOOGLEFINANCE(C478, ""price"") / INDEX(GOOGLEFINANCE(C478, ""price"", EDATE(TODAY(), -1), TODAY()), 2, 2)) - 1, """")"),"")</f>
        <v/>
      </c>
      <c r="N478" s="21" t="str">
        <f>IFERROR(__xludf.DUMMYFUNCTION("IFERROR((GOOGLEFINANCE(C478, ""price"") / INDEX(GOOGLEFINANCE(C478, ""price"", EDATE(TODAY(), -3), TODAY()), 2, 2)) - 1, """")"),"")</f>
        <v/>
      </c>
      <c r="O478" s="21" t="str">
        <f>IFERROR(__xludf.DUMMYFUNCTION("IFERROR((GOOGLEFINANCE(C478, ""price"") / INDEX(GOOGLEFINANCE(C478, ""price"", EDATE(TODAY(), -6), TODAY()), 2, 2)) - 1, """")"),"")</f>
        <v/>
      </c>
      <c r="P478" s="21" t="str">
        <f>IFERROR(__xludf.DUMMYFUNCTION("IFERROR((GOOGLEFINANCE(C478, ""price"") / INDEX(GOOGLEFINANCE(C478, ""price"", EDATE(TODAY(), -12), TODAY()), 2, 2)) - 1, """")"),"")</f>
        <v/>
      </c>
      <c r="Q478" s="6" t="str">
        <f>IFERROR(__xludf.DUMMYFUNCTION("AVERAGE(QUERY(GOOGLEFINANCE(C478, ""price"", TODAY()-80, TODAY()), ""SELECT Col2 WHERE Col2 IS NOT NULL ORDER BY Col1 DESC LIMIT 50"", 0))"),"#N/A")</f>
        <v>#N/A</v>
      </c>
      <c r="R478" s="24" t="str">
        <f>IFERROR(__xludf.DUMMYFUNCTION("IFERROR(
  LET(
    data, QUERY(GOOGLEFINANCE(C478,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GOOGLEFINANCE(C478, ""price"")) * 100,
    IF(calc=0, G478, calc)
  ), 
G478)"),"#N/A")</f>
        <v>#N/A</v>
      </c>
      <c r="S478" s="8" t="s">
        <v>15</v>
      </c>
      <c r="T478" s="26" t="str">
        <f>IFERROR(__xludf.DUMMYFUNCTION("IFERROR(TRANSPOSE(QUERY(IFERROR(SORT(GOOGLEFINANCE(C478, ""price"", WORKDAY(TODAY(), -40), TODAY()), 1, FALSE)), ""select Col2 where Col2 is not null limit 22 label Col2 ''"", 0)), """")"),"")</f>
        <v/>
      </c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8"/>
      <c r="AO478" s="28"/>
      <c r="AP478" s="29"/>
      <c r="AQ478" s="29" t="str">
        <f t="shared" ref="AQ478:BL478" si="481">T478/T$2</f>
        <v>#N/A</v>
      </c>
      <c r="AR478" s="29" t="str">
        <f t="shared" si="481"/>
        <v>#DIV/0!</v>
      </c>
      <c r="AS478" s="29" t="str">
        <f t="shared" si="481"/>
        <v>#DIV/0!</v>
      </c>
      <c r="AT478" s="29" t="str">
        <f t="shared" si="481"/>
        <v>#DIV/0!</v>
      </c>
      <c r="AU478" s="29" t="str">
        <f t="shared" si="481"/>
        <v>#DIV/0!</v>
      </c>
      <c r="AV478" s="29" t="str">
        <f t="shared" si="481"/>
        <v>#DIV/0!</v>
      </c>
      <c r="AW478" s="29" t="str">
        <f t="shared" si="481"/>
        <v>#DIV/0!</v>
      </c>
      <c r="AX478" s="29" t="str">
        <f t="shared" si="481"/>
        <v>#DIV/0!</v>
      </c>
      <c r="AY478" s="29" t="str">
        <f t="shared" si="481"/>
        <v>#DIV/0!</v>
      </c>
      <c r="AZ478" s="29" t="str">
        <f t="shared" si="481"/>
        <v>#DIV/0!</v>
      </c>
      <c r="BA478" s="29" t="str">
        <f t="shared" si="481"/>
        <v>#DIV/0!</v>
      </c>
      <c r="BB478" s="29" t="str">
        <f t="shared" si="481"/>
        <v>#DIV/0!</v>
      </c>
      <c r="BC478" s="29" t="str">
        <f t="shared" si="481"/>
        <v>#DIV/0!</v>
      </c>
      <c r="BD478" s="29" t="str">
        <f t="shared" si="481"/>
        <v>#DIV/0!</v>
      </c>
      <c r="BE478" s="29" t="str">
        <f t="shared" si="481"/>
        <v>#DIV/0!</v>
      </c>
      <c r="BF478" s="29" t="str">
        <f t="shared" si="481"/>
        <v>#DIV/0!</v>
      </c>
      <c r="BG478" s="29" t="str">
        <f t="shared" si="481"/>
        <v>#DIV/0!</v>
      </c>
      <c r="BH478" s="29" t="str">
        <f t="shared" si="481"/>
        <v>#DIV/0!</v>
      </c>
      <c r="BI478" s="29" t="str">
        <f t="shared" si="481"/>
        <v>#DIV/0!</v>
      </c>
      <c r="BJ478" s="29" t="str">
        <f t="shared" si="481"/>
        <v>#DIV/0!</v>
      </c>
      <c r="BK478" s="29" t="str">
        <f t="shared" si="481"/>
        <v>#DIV/0!</v>
      </c>
      <c r="BL478" s="29" t="str">
        <f t="shared" si="481"/>
        <v>#DIV/0!</v>
      </c>
      <c r="BM478" s="29" t="str">
        <f t="shared" si="3"/>
        <v>#DIV/0!</v>
      </c>
    </row>
    <row r="479">
      <c r="A479" s="16" t="str">
        <f>IFERROR(__xludf.DUMMYFUNCTION("IFERROR(SPARKLINE(SORT(MAP(TRANSPOSE(AQ479:BL479), LAMBDA(val, IF(ISNUMBER(val), PERCENTRANK(AQ479:BL479, val)+0.01, 0))), SEQUENCE(COLUMNS(AQ479:BL479)), FALSE), {""charttype"",""column""; ""color"",""chartreuse""; ""ymin"", 0; ""ymax"", 1.01; ""highcolo"&amp;"r"", ""darkgreen""; ""lowcolor"", ""red""}), """")"),"")</f>
        <v/>
      </c>
      <c r="B479" s="17" t="str">
        <f t="shared" si="4"/>
        <v/>
      </c>
      <c r="C479" s="1" t="s">
        <v>2027</v>
      </c>
      <c r="D479" s="30" t="str">
        <f>IFERROR(__xludf.DUMMYFUNCTION("IFERROR(GOOGLEFINANCE(C479, ""NAME""))"),"Nextnav Inc")</f>
        <v>Nextnav Inc</v>
      </c>
      <c r="E479" s="30" t="s">
        <v>58</v>
      </c>
      <c r="F479" s="33" t="str">
        <f>IFERROR(__xludf.DUMMYFUNCTION("( (GOOGLEFINANCE(C479, ""price"") - Q479) / Q479 ) / (R479 / 100)"),"Loading...")</f>
        <v>Loading...</v>
      </c>
      <c r="G479" s="20" t="str">
        <f>IFERROR(__xludf.DUMMYFUNCTION("AVERAGE(ARRAYFORMULA(100 * (QUERY(GOOGLEFINANCE(C479, ""high"", TODAY()-40, TODAY()), ""SELECT Col2 WHERE Col2 IS NOT NULL ORDER BY Col1 DESC LIMIT 20"", 0) / QUERY(GOOGLEFINANCE(C479, ""low"", TODAY()-40, TODAY()), ""SELECT Col2 WHERE Col2 IS NOT NULL OR"&amp;"DER BY Col1 DESC LIMIT 20"", 0) - 1)))"),"#N/A")</f>
        <v>#N/A</v>
      </c>
      <c r="H479" s="35" t="str">
        <f t="shared" si="6"/>
        <v/>
      </c>
      <c r="I479" s="36" t="str">
        <f t="shared" si="7"/>
        <v/>
      </c>
      <c r="J479" s="37" t="str">
        <f>IFERROR(__xludf.DUMMYFUNCTION("IFERROR(
  IF(C479="""",, 
    IFERROR(
      GOOGLEFINANCE(C479, ""price"") * GOOGLEFINANCE(C479, ""volumeavg""), 
      GOOGLEFINANCE(C479, ""price"") * AVERAGE(QUERY(GOOGLEFINANCE(C479, ""volume"", TODAY()-40, TODAY()), ""SELECT Col2 WHERE Col2 IS NOT "&amp;"NULL ORDER BY Col1 DESC LIMIT 20"", 0))
    )
  ), 
"""")"),"")</f>
        <v/>
      </c>
      <c r="K479" s="21" t="str">
        <f>IFERROR(__xludf.DUMMYFUNCTION("IFERROR(GOOGLEFINANCE(C479, ""changepct"") / 100, """")"),"")</f>
        <v/>
      </c>
      <c r="L479" s="21" t="str">
        <f>IFERROR(__xludf.DUMMYFUNCTION("IFERROR((GOOGLEFINANCE(C479, ""price"") / INDEX(GOOGLEFINANCE(C479, ""price"", TODAY()-7, TODAY()), 2, 2)) - 1, """")"),"")</f>
        <v/>
      </c>
      <c r="M479" s="21" t="str">
        <f>IFERROR(__xludf.DUMMYFUNCTION("IFERROR((GOOGLEFINANCE(C479, ""price"") / INDEX(GOOGLEFINANCE(C479, ""price"", EDATE(TODAY(), -1), TODAY()), 2, 2)) - 1, """")"),"")</f>
        <v/>
      </c>
      <c r="N479" s="21" t="str">
        <f>IFERROR(__xludf.DUMMYFUNCTION("IFERROR((GOOGLEFINANCE(C479, ""price"") / INDEX(GOOGLEFINANCE(C479, ""price"", EDATE(TODAY(), -3), TODAY()), 2, 2)) - 1, """")"),"")</f>
        <v/>
      </c>
      <c r="O479" s="21" t="str">
        <f>IFERROR(__xludf.DUMMYFUNCTION("IFERROR((GOOGLEFINANCE(C479, ""price"") / INDEX(GOOGLEFINANCE(C479, ""price"", EDATE(TODAY(), -6), TODAY()), 2, 2)) - 1, """")"),"")</f>
        <v/>
      </c>
      <c r="P479" s="21" t="str">
        <f>IFERROR(__xludf.DUMMYFUNCTION("IFERROR((GOOGLEFINANCE(C479, ""price"") / INDEX(GOOGLEFINANCE(C479, ""price"", EDATE(TODAY(), -12), TODAY()), 2, 2)) - 1, """")"),"")</f>
        <v/>
      </c>
      <c r="Q479" s="6" t="str">
        <f>IFERROR(__xludf.DUMMYFUNCTION("AVERAGE(QUERY(GOOGLEFINANCE(C479, ""price"", TODAY()-80, TODAY()), ""SELECT Col2 WHERE Col2 IS NOT NULL ORDER BY Col1 DESC LIMIT 50"", 0))"),"#N/A")</f>
        <v>#N/A</v>
      </c>
      <c r="R479" s="24" t="str">
        <f>IFERROR(__xludf.DUMMYFUNCTION("IFERROR(
  LET(
    data, QUERY(GOOGLEFINANCE(C479,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GOOGLEFINANCE(C479, ""price"")) * 100,
    IF(calc=0, G479, calc)
  ), 
G479)"),"#N/A")</f>
        <v>#N/A</v>
      </c>
      <c r="S479" s="8" t="s">
        <v>15</v>
      </c>
      <c r="T479" s="26" t="str">
        <f>IFERROR(__xludf.DUMMYFUNCTION("IFERROR(TRANSPOSE(QUERY(IFERROR(SORT(GOOGLEFINANCE(C479, ""price"", WORKDAY(TODAY(), -40), TODAY()), 1, FALSE)), ""select Col2 where Col2 is not null limit 22 label Col2 ''"", 0)), """")"),"")</f>
        <v/>
      </c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8"/>
      <c r="AO479" s="28"/>
      <c r="AP479" s="29"/>
      <c r="AQ479" s="29" t="str">
        <f t="shared" ref="AQ479:BL479" si="482">T479/T$2</f>
        <v>#N/A</v>
      </c>
      <c r="AR479" s="29" t="str">
        <f t="shared" si="482"/>
        <v>#DIV/0!</v>
      </c>
      <c r="AS479" s="29" t="str">
        <f t="shared" si="482"/>
        <v>#DIV/0!</v>
      </c>
      <c r="AT479" s="29" t="str">
        <f t="shared" si="482"/>
        <v>#DIV/0!</v>
      </c>
      <c r="AU479" s="29" t="str">
        <f t="shared" si="482"/>
        <v>#DIV/0!</v>
      </c>
      <c r="AV479" s="29" t="str">
        <f t="shared" si="482"/>
        <v>#DIV/0!</v>
      </c>
      <c r="AW479" s="29" t="str">
        <f t="shared" si="482"/>
        <v>#DIV/0!</v>
      </c>
      <c r="AX479" s="29" t="str">
        <f t="shared" si="482"/>
        <v>#DIV/0!</v>
      </c>
      <c r="AY479" s="29" t="str">
        <f t="shared" si="482"/>
        <v>#DIV/0!</v>
      </c>
      <c r="AZ479" s="29" t="str">
        <f t="shared" si="482"/>
        <v>#DIV/0!</v>
      </c>
      <c r="BA479" s="29" t="str">
        <f t="shared" si="482"/>
        <v>#DIV/0!</v>
      </c>
      <c r="BB479" s="29" t="str">
        <f t="shared" si="482"/>
        <v>#DIV/0!</v>
      </c>
      <c r="BC479" s="29" t="str">
        <f t="shared" si="482"/>
        <v>#DIV/0!</v>
      </c>
      <c r="BD479" s="29" t="str">
        <f t="shared" si="482"/>
        <v>#DIV/0!</v>
      </c>
      <c r="BE479" s="29" t="str">
        <f t="shared" si="482"/>
        <v>#DIV/0!</v>
      </c>
      <c r="BF479" s="29" t="str">
        <f t="shared" si="482"/>
        <v>#DIV/0!</v>
      </c>
      <c r="BG479" s="29" t="str">
        <f t="shared" si="482"/>
        <v>#DIV/0!</v>
      </c>
      <c r="BH479" s="29" t="str">
        <f t="shared" si="482"/>
        <v>#DIV/0!</v>
      </c>
      <c r="BI479" s="29" t="str">
        <f t="shared" si="482"/>
        <v>#DIV/0!</v>
      </c>
      <c r="BJ479" s="29" t="str">
        <f t="shared" si="482"/>
        <v>#DIV/0!</v>
      </c>
      <c r="BK479" s="29" t="str">
        <f t="shared" si="482"/>
        <v>#DIV/0!</v>
      </c>
      <c r="BL479" s="29" t="str">
        <f t="shared" si="482"/>
        <v>#DIV/0!</v>
      </c>
      <c r="BM479" s="29" t="str">
        <f t="shared" si="3"/>
        <v>#DIV/0!</v>
      </c>
    </row>
    <row r="480">
      <c r="A480" s="16" t="str">
        <f>IFERROR(__xludf.DUMMYFUNCTION("IFERROR(SPARKLINE(SORT(MAP(TRANSPOSE(AQ480:BL480), LAMBDA(val, IF(ISNUMBER(val), PERCENTRANK(AQ480:BL480, val)+0.01, 0))), SEQUENCE(COLUMNS(AQ480:BL480)), FALSE), {""charttype"",""column""; ""color"",""chartreuse""; ""ymin"", 0; ""ymax"", 1.01; ""highcolo"&amp;"r"", ""darkgreen""; ""lowcolor"", ""red""}), """")"),"")</f>
        <v/>
      </c>
      <c r="B480" s="17" t="str">
        <f t="shared" si="4"/>
        <v/>
      </c>
      <c r="C480" s="1" t="s">
        <v>2031</v>
      </c>
      <c r="D480" s="30" t="str">
        <f>IFERROR(__xludf.DUMMYFUNCTION("IFERROR(GOOGLEFINANCE(C480, ""NAME""))"),"CCC Intelligent Solutions Holdings Inc")</f>
        <v>CCC Intelligent Solutions Holdings Inc</v>
      </c>
      <c r="E480" s="30" t="s">
        <v>48</v>
      </c>
      <c r="F480" s="33" t="str">
        <f>IFERROR(__xludf.DUMMYFUNCTION("( (GOOGLEFINANCE(C480, ""price"") - Q480) / Q480 ) / (R480 / 100)"),"Loading...")</f>
        <v>Loading...</v>
      </c>
      <c r="G480" s="20" t="str">
        <f>IFERROR(__xludf.DUMMYFUNCTION("AVERAGE(ARRAYFORMULA(100 * (QUERY(GOOGLEFINANCE(C480, ""high"", TODAY()-40, TODAY()), ""SELECT Col2 WHERE Col2 IS NOT NULL ORDER BY Col1 DESC LIMIT 20"", 0) / QUERY(GOOGLEFINANCE(C480, ""low"", TODAY()-40, TODAY()), ""SELECT Col2 WHERE Col2 IS NOT NULL OR"&amp;"DER BY Col1 DESC LIMIT 20"", 0) - 1)))"),"#N/A")</f>
        <v>#N/A</v>
      </c>
      <c r="H480" s="35" t="str">
        <f t="shared" si="6"/>
        <v>Liquid</v>
      </c>
      <c r="I480" s="36" t="str">
        <f t="shared" si="7"/>
        <v>RVol Required</v>
      </c>
      <c r="J480" s="37">
        <f>IFERROR(__xludf.DUMMYFUNCTION("IFERROR(
  IF(C480="""",, 
    IFERROR(
      GOOGLEFINANCE(C480, ""price"") * GOOGLEFINANCE(C480, ""volumeavg""), 
      GOOGLEFINANCE(C480, ""price"") * AVERAGE(QUERY(GOOGLEFINANCE(C480, ""volume"", TODAY()-40, TODAY()), ""SELECT Col2 WHERE Col2 IS NOT "&amp;"NULL ORDER BY Col1 DESC LIMIT 20"", 0))
    )
  ), 
"""")"),1.7874350497E8)</f>
        <v>178743505</v>
      </c>
      <c r="K480" s="21">
        <f>IFERROR(__xludf.DUMMYFUNCTION("IFERROR(GOOGLEFINANCE(C480, ""changepct"") / 100, """")"),-0.0026)</f>
        <v>-0.0026</v>
      </c>
      <c r="L480" s="21" t="str">
        <f>IFERROR(__xludf.DUMMYFUNCTION("IFERROR((GOOGLEFINANCE(C480, ""price"") / INDEX(GOOGLEFINANCE(C480, ""price"", TODAY()-7, TODAY()), 2, 2)) - 1, """")"),"")</f>
        <v/>
      </c>
      <c r="M480" s="21" t="str">
        <f>IFERROR(__xludf.DUMMYFUNCTION("IFERROR((GOOGLEFINANCE(C480, ""price"") / INDEX(GOOGLEFINANCE(C480, ""price"", EDATE(TODAY(), -1), TODAY()), 2, 2)) - 1, """")"),"")</f>
        <v/>
      </c>
      <c r="N480" s="21" t="str">
        <f>IFERROR(__xludf.DUMMYFUNCTION("IFERROR((GOOGLEFINANCE(C480, ""price"") / INDEX(GOOGLEFINANCE(C480, ""price"", EDATE(TODAY(), -3), TODAY()), 2, 2)) - 1, """")"),"")</f>
        <v/>
      </c>
      <c r="O480" s="21" t="str">
        <f>IFERROR(__xludf.DUMMYFUNCTION("IFERROR((GOOGLEFINANCE(C480, ""price"") / INDEX(GOOGLEFINANCE(C480, ""price"", EDATE(TODAY(), -6), TODAY()), 2, 2)) - 1, """")"),"")</f>
        <v/>
      </c>
      <c r="P480" s="21" t="str">
        <f>IFERROR(__xludf.DUMMYFUNCTION("IFERROR((GOOGLEFINANCE(C480, ""price"") / INDEX(GOOGLEFINANCE(C480, ""price"", EDATE(TODAY(), -12), TODAY()), 2, 2)) - 1, """")"),"")</f>
        <v/>
      </c>
      <c r="Q480" s="6" t="str">
        <f>IFERROR(__xludf.DUMMYFUNCTION("AVERAGE(QUERY(GOOGLEFINANCE(C480, ""price"", TODAY()-80, TODAY()), ""SELECT Col2 WHERE Col2 IS NOT NULL ORDER BY Col1 DESC LIMIT 50"", 0))"),"#N/A")</f>
        <v>#N/A</v>
      </c>
      <c r="R480" s="24" t="str">
        <f>IFERROR(__xludf.DUMMYFUNCTION("IFERROR(
  LET(
    data, QUERY(GOOGLEFINANCE(C480,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GOOGLEFINANCE(C480, ""price"")) * 100,
    IF(calc=0, G480, calc)
  ), 
G480)"),"#N/A")</f>
        <v>#N/A</v>
      </c>
      <c r="S480" s="8" t="s">
        <v>15</v>
      </c>
      <c r="T480" s="26" t="str">
        <f>IFERROR(__xludf.DUMMYFUNCTION("IFERROR(TRANSPOSE(QUERY(IFERROR(SORT(GOOGLEFINANCE(C480, ""price"", WORKDAY(TODAY(), -40), TODAY()), 1, FALSE)), ""select Col2 where Col2 is not null limit 22 label Col2 ''"", 0)), """")"),"")</f>
        <v/>
      </c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8"/>
      <c r="AO480" s="28"/>
      <c r="AP480" s="29"/>
      <c r="AQ480" s="29" t="str">
        <f t="shared" ref="AQ480:BL480" si="483">T480/T$2</f>
        <v>#N/A</v>
      </c>
      <c r="AR480" s="29" t="str">
        <f t="shared" si="483"/>
        <v>#DIV/0!</v>
      </c>
      <c r="AS480" s="29" t="str">
        <f t="shared" si="483"/>
        <v>#DIV/0!</v>
      </c>
      <c r="AT480" s="29" t="str">
        <f t="shared" si="483"/>
        <v>#DIV/0!</v>
      </c>
      <c r="AU480" s="29" t="str">
        <f t="shared" si="483"/>
        <v>#DIV/0!</v>
      </c>
      <c r="AV480" s="29" t="str">
        <f t="shared" si="483"/>
        <v>#DIV/0!</v>
      </c>
      <c r="AW480" s="29" t="str">
        <f t="shared" si="483"/>
        <v>#DIV/0!</v>
      </c>
      <c r="AX480" s="29" t="str">
        <f t="shared" si="483"/>
        <v>#DIV/0!</v>
      </c>
      <c r="AY480" s="29" t="str">
        <f t="shared" si="483"/>
        <v>#DIV/0!</v>
      </c>
      <c r="AZ480" s="29" t="str">
        <f t="shared" si="483"/>
        <v>#DIV/0!</v>
      </c>
      <c r="BA480" s="29" t="str">
        <f t="shared" si="483"/>
        <v>#DIV/0!</v>
      </c>
      <c r="BB480" s="29" t="str">
        <f t="shared" si="483"/>
        <v>#DIV/0!</v>
      </c>
      <c r="BC480" s="29" t="str">
        <f t="shared" si="483"/>
        <v>#DIV/0!</v>
      </c>
      <c r="BD480" s="29" t="str">
        <f t="shared" si="483"/>
        <v>#DIV/0!</v>
      </c>
      <c r="BE480" s="29" t="str">
        <f t="shared" si="483"/>
        <v>#DIV/0!</v>
      </c>
      <c r="BF480" s="29" t="str">
        <f t="shared" si="483"/>
        <v>#DIV/0!</v>
      </c>
      <c r="BG480" s="29" t="str">
        <f t="shared" si="483"/>
        <v>#DIV/0!</v>
      </c>
      <c r="BH480" s="29" t="str">
        <f t="shared" si="483"/>
        <v>#DIV/0!</v>
      </c>
      <c r="BI480" s="29" t="str">
        <f t="shared" si="483"/>
        <v>#DIV/0!</v>
      </c>
      <c r="BJ480" s="29" t="str">
        <f t="shared" si="483"/>
        <v>#DIV/0!</v>
      </c>
      <c r="BK480" s="29" t="str">
        <f t="shared" si="483"/>
        <v>#DIV/0!</v>
      </c>
      <c r="BL480" s="29" t="str">
        <f t="shared" si="483"/>
        <v>#DIV/0!</v>
      </c>
      <c r="BM480" s="29" t="str">
        <f t="shared" si="3"/>
        <v>#DIV/0!</v>
      </c>
    </row>
    <row r="481">
      <c r="A481" s="16" t="str">
        <f>IFERROR(__xludf.DUMMYFUNCTION("IFERROR(SPARKLINE(SORT(MAP(TRANSPOSE(AQ481:BL481), LAMBDA(val, IF(ISNUMBER(val), PERCENTRANK(AQ481:BL481, val)+0.01, 0))), SEQUENCE(COLUMNS(AQ481:BL481)), FALSE), {""charttype"",""column""; ""color"",""chartreuse""; ""ymin"", 0; ""ymax"", 1.01; ""highcolo"&amp;"r"", ""darkgreen""; ""lowcolor"", ""red""}), """")"),"")</f>
        <v/>
      </c>
      <c r="B481" s="17" t="str">
        <f t="shared" si="4"/>
        <v/>
      </c>
      <c r="C481" s="1" t="s">
        <v>2042</v>
      </c>
      <c r="D481" s="30" t="str">
        <f>IFERROR(__xludf.DUMMYFUNCTION("IFERROR(GOOGLEFINANCE(C481, ""NAME""))"),"Dlocal Ltd.")</f>
        <v>Dlocal Ltd.</v>
      </c>
      <c r="E481" s="30" t="s">
        <v>58</v>
      </c>
      <c r="F481" s="33" t="str">
        <f>IFERROR(__xludf.DUMMYFUNCTION("( (GOOGLEFINANCE(C481, ""price"") - Q481) / Q481 ) / (R481 / 100)"),"Loading...")</f>
        <v>Loading...</v>
      </c>
      <c r="G481" s="20" t="str">
        <f>IFERROR(__xludf.DUMMYFUNCTION("AVERAGE(ARRAYFORMULA(100 * (QUERY(GOOGLEFINANCE(C481, ""high"", TODAY()-40, TODAY()), ""SELECT Col2 WHERE Col2 IS NOT NULL ORDER BY Col1 DESC LIMIT 20"", 0) / QUERY(GOOGLEFINANCE(C481, ""low"", TODAY()-40, TODAY()), ""SELECT Col2 WHERE Col2 IS NOT NULL OR"&amp;"DER BY Col1 DESC LIMIT 20"", 0) - 1)))"),"#N/A")</f>
        <v>#N/A</v>
      </c>
      <c r="H481" s="35" t="str">
        <f t="shared" si="6"/>
        <v>Illiquid</v>
      </c>
      <c r="I481" s="36" t="str">
        <f t="shared" si="7"/>
        <v>RVol Required</v>
      </c>
      <c r="J481" s="37">
        <f>IFERROR(__xludf.DUMMYFUNCTION("IFERROR(
  IF(C481="""",, 
    IFERROR(
      GOOGLEFINANCE(C481, ""price"") * GOOGLEFINANCE(C481, ""volumeavg""), 
      GOOGLEFINANCE(C481, ""price"") * AVERAGE(QUERY(GOOGLEFINANCE(C481, ""volume"", TODAY()-40, TODAY()), ""SELECT Col2 WHERE Col2 IS NOT "&amp;"NULL ORDER BY Col1 DESC LIMIT 20"", 0))
    )
  ), 
"""")"),2.475775215E7)</f>
        <v>24757752.15</v>
      </c>
      <c r="K481" s="21">
        <f>IFERROR(__xludf.DUMMYFUNCTION("IFERROR(GOOGLEFINANCE(C481, ""changepct"") / 100, """")"),-0.0285)</f>
        <v>-0.0285</v>
      </c>
      <c r="L481" s="21" t="str">
        <f>IFERROR(__xludf.DUMMYFUNCTION("IFERROR((GOOGLEFINANCE(C481, ""price"") / INDEX(GOOGLEFINANCE(C481, ""price"", TODAY()-7, TODAY()), 2, 2)) - 1, """")"),"")</f>
        <v/>
      </c>
      <c r="M481" s="21" t="str">
        <f>IFERROR(__xludf.DUMMYFUNCTION("IFERROR((GOOGLEFINANCE(C481, ""price"") / INDEX(GOOGLEFINANCE(C481, ""price"", EDATE(TODAY(), -1), TODAY()), 2, 2)) - 1, """")"),"")</f>
        <v/>
      </c>
      <c r="N481" s="21" t="str">
        <f>IFERROR(__xludf.DUMMYFUNCTION("IFERROR((GOOGLEFINANCE(C481, ""price"") / INDEX(GOOGLEFINANCE(C481, ""price"", EDATE(TODAY(), -3), TODAY()), 2, 2)) - 1, """")"),"")</f>
        <v/>
      </c>
      <c r="O481" s="21" t="str">
        <f>IFERROR(__xludf.DUMMYFUNCTION("IFERROR((GOOGLEFINANCE(C481, ""price"") / INDEX(GOOGLEFINANCE(C481, ""price"", EDATE(TODAY(), -6), TODAY()), 2, 2)) - 1, """")"),"")</f>
        <v/>
      </c>
      <c r="P481" s="21" t="str">
        <f>IFERROR(__xludf.DUMMYFUNCTION("IFERROR((GOOGLEFINANCE(C481, ""price"") / INDEX(GOOGLEFINANCE(C481, ""price"", EDATE(TODAY(), -12), TODAY()), 2, 2)) - 1, """")"),"")</f>
        <v/>
      </c>
      <c r="Q481" s="6" t="str">
        <f>IFERROR(__xludf.DUMMYFUNCTION("AVERAGE(QUERY(GOOGLEFINANCE(C481, ""price"", TODAY()-80, TODAY()), ""SELECT Col2 WHERE Col2 IS NOT NULL ORDER BY Col1 DESC LIMIT 50"", 0))"),"#N/A")</f>
        <v>#N/A</v>
      </c>
      <c r="R481" s="24" t="str">
        <f>IFERROR(__xludf.DUMMYFUNCTION("IFERROR(
  LET(
    data, QUERY(GOOGLEFINANCE(C481,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GOOGLEFINANCE(C481, ""price"")) * 100,
    IF(calc=0, G481, calc)
  ), 
G481)"),"#N/A")</f>
        <v>#N/A</v>
      </c>
      <c r="S481" s="8" t="s">
        <v>15</v>
      </c>
      <c r="T481" s="26" t="str">
        <f>IFERROR(__xludf.DUMMYFUNCTION("IFERROR(TRANSPOSE(QUERY(IFERROR(SORT(GOOGLEFINANCE(C481, ""price"", WORKDAY(TODAY(), -40), TODAY()), 1, FALSE)), ""select Col2 where Col2 is not null limit 22 label Col2 ''"", 0)), """")"),"")</f>
        <v/>
      </c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8"/>
      <c r="AO481" s="28"/>
      <c r="AP481" s="29"/>
      <c r="AQ481" s="29" t="str">
        <f t="shared" ref="AQ481:BL481" si="484">T481/T$2</f>
        <v>#N/A</v>
      </c>
      <c r="AR481" s="29" t="str">
        <f t="shared" si="484"/>
        <v>#DIV/0!</v>
      </c>
      <c r="AS481" s="29" t="str">
        <f t="shared" si="484"/>
        <v>#DIV/0!</v>
      </c>
      <c r="AT481" s="29" t="str">
        <f t="shared" si="484"/>
        <v>#DIV/0!</v>
      </c>
      <c r="AU481" s="29" t="str">
        <f t="shared" si="484"/>
        <v>#DIV/0!</v>
      </c>
      <c r="AV481" s="29" t="str">
        <f t="shared" si="484"/>
        <v>#DIV/0!</v>
      </c>
      <c r="AW481" s="29" t="str">
        <f t="shared" si="484"/>
        <v>#DIV/0!</v>
      </c>
      <c r="AX481" s="29" t="str">
        <f t="shared" si="484"/>
        <v>#DIV/0!</v>
      </c>
      <c r="AY481" s="29" t="str">
        <f t="shared" si="484"/>
        <v>#DIV/0!</v>
      </c>
      <c r="AZ481" s="29" t="str">
        <f t="shared" si="484"/>
        <v>#DIV/0!</v>
      </c>
      <c r="BA481" s="29" t="str">
        <f t="shared" si="484"/>
        <v>#DIV/0!</v>
      </c>
      <c r="BB481" s="29" t="str">
        <f t="shared" si="484"/>
        <v>#DIV/0!</v>
      </c>
      <c r="BC481" s="29" t="str">
        <f t="shared" si="484"/>
        <v>#DIV/0!</v>
      </c>
      <c r="BD481" s="29" t="str">
        <f t="shared" si="484"/>
        <v>#DIV/0!</v>
      </c>
      <c r="BE481" s="29" t="str">
        <f t="shared" si="484"/>
        <v>#DIV/0!</v>
      </c>
      <c r="BF481" s="29" t="str">
        <f t="shared" si="484"/>
        <v>#DIV/0!</v>
      </c>
      <c r="BG481" s="29" t="str">
        <f t="shared" si="484"/>
        <v>#DIV/0!</v>
      </c>
      <c r="BH481" s="29" t="str">
        <f t="shared" si="484"/>
        <v>#DIV/0!</v>
      </c>
      <c r="BI481" s="29" t="str">
        <f t="shared" si="484"/>
        <v>#DIV/0!</v>
      </c>
      <c r="BJ481" s="29" t="str">
        <f t="shared" si="484"/>
        <v>#DIV/0!</v>
      </c>
      <c r="BK481" s="29" t="str">
        <f t="shared" si="484"/>
        <v>#DIV/0!</v>
      </c>
      <c r="BL481" s="29" t="str">
        <f t="shared" si="484"/>
        <v>#DIV/0!</v>
      </c>
      <c r="BM481" s="29" t="str">
        <f t="shared" si="3"/>
        <v>#DIV/0!</v>
      </c>
    </row>
    <row r="482">
      <c r="A482" s="16" t="str">
        <f>IFERROR(__xludf.DUMMYFUNCTION("IFERROR(SPARKLINE(SORT(MAP(TRANSPOSE(AQ482:BL482), LAMBDA(val, IF(ISNUMBER(val), PERCENTRANK(AQ482:BL482, val)+0.01, 0))), SEQUENCE(COLUMNS(AQ482:BL482)), FALSE), {""charttype"",""column""; ""color"",""chartreuse""; ""ymin"", 0; ""ymax"", 1.01; ""highcolo"&amp;"r"", ""darkgreen""; ""lowcolor"", ""red""}), """")"),"")</f>
        <v/>
      </c>
      <c r="B482" s="17" t="str">
        <f t="shared" si="4"/>
        <v/>
      </c>
      <c r="C482" s="1" t="s">
        <v>2046</v>
      </c>
      <c r="D482" s="30" t="str">
        <f>IFERROR(__xludf.DUMMYFUNCTION("IFERROR(GOOGLEFINANCE(C482, ""NAME""))"),"Viant Technology Inc")</f>
        <v>Viant Technology Inc</v>
      </c>
      <c r="E482" s="30" t="s">
        <v>48</v>
      </c>
      <c r="F482" s="38" t="str">
        <f>IFERROR(__xludf.DUMMYFUNCTION("( (GOOGLEFINANCE(C482, ""price"") - Q482) / Q482 ) / (R482 / 100)"),"Loading...")</f>
        <v>Loading...</v>
      </c>
      <c r="G482" s="20" t="str">
        <f>IFERROR(__xludf.DUMMYFUNCTION("AVERAGE(ARRAYFORMULA(100 * (QUERY(GOOGLEFINANCE(C482, ""high"", TODAY()-40, TODAY()), ""SELECT Col2 WHERE Col2 IS NOT NULL ORDER BY Col1 DESC LIMIT 20"", 0) / QUERY(GOOGLEFINANCE(C482, ""low"", TODAY()-40, TODAY()), ""SELECT Col2 WHERE Col2 IS NOT NULL OR"&amp;"DER BY Col1 DESC LIMIT 20"", 0) - 1)))"),"#N/A")</f>
        <v>#N/A</v>
      </c>
      <c r="H482" s="35" t="str">
        <f t="shared" si="6"/>
        <v>Illiquid</v>
      </c>
      <c r="I482" s="36" t="str">
        <f t="shared" si="7"/>
        <v>RVol Required</v>
      </c>
      <c r="J482" s="37">
        <f>IFERROR(__xludf.DUMMYFUNCTION("IFERROR(
  IF(C482="""",, 
    IFERROR(
      GOOGLEFINANCE(C482, ""price"") * GOOGLEFINANCE(C482, ""volumeavg""), 
      GOOGLEFINANCE(C482, ""price"") * AVERAGE(QUERY(GOOGLEFINANCE(C482, ""volume"", TODAY()-40, TODAY()), ""SELECT Col2 WHERE Col2 IS NOT "&amp;"NULL ORDER BY Col1 DESC LIMIT 20"", 0))
    )
  ), 
"""")"),6840869.12)</f>
        <v>6840869.12</v>
      </c>
      <c r="K482" s="21">
        <f>IFERROR(__xludf.DUMMYFUNCTION("IFERROR(GOOGLEFINANCE(C482, ""changepct"") / 100, """")"),-0.0163)</f>
        <v>-0.0163</v>
      </c>
      <c r="L482" s="21" t="str">
        <f>IFERROR(__xludf.DUMMYFUNCTION("IFERROR((GOOGLEFINANCE(C482, ""price"") / INDEX(GOOGLEFINANCE(C482, ""price"", TODAY()-7, TODAY()), 2, 2)) - 1, """")"),"")</f>
        <v/>
      </c>
      <c r="M482" s="21" t="str">
        <f>IFERROR(__xludf.DUMMYFUNCTION("IFERROR((GOOGLEFINANCE(C482, ""price"") / INDEX(GOOGLEFINANCE(C482, ""price"", EDATE(TODAY(), -1), TODAY()), 2, 2)) - 1, """")"),"")</f>
        <v/>
      </c>
      <c r="N482" s="21" t="str">
        <f>IFERROR(__xludf.DUMMYFUNCTION("IFERROR((GOOGLEFINANCE(C482, ""price"") / INDEX(GOOGLEFINANCE(C482, ""price"", EDATE(TODAY(), -3), TODAY()), 2, 2)) - 1, """")"),"")</f>
        <v/>
      </c>
      <c r="O482" s="21" t="str">
        <f>IFERROR(__xludf.DUMMYFUNCTION("IFERROR((GOOGLEFINANCE(C482, ""price"") / INDEX(GOOGLEFINANCE(C482, ""price"", EDATE(TODAY(), -6), TODAY()), 2, 2)) - 1, """")"),"")</f>
        <v/>
      </c>
      <c r="P482" s="21" t="str">
        <f>IFERROR(__xludf.DUMMYFUNCTION("IFERROR((GOOGLEFINANCE(C482, ""price"") / INDEX(GOOGLEFINANCE(C482, ""price"", EDATE(TODAY(), -12), TODAY()), 2, 2)) - 1, """")"),"")</f>
        <v/>
      </c>
      <c r="Q482" s="6" t="str">
        <f>IFERROR(__xludf.DUMMYFUNCTION("AVERAGE(QUERY(GOOGLEFINANCE(C482, ""price"", TODAY()-80, TODAY()), ""SELECT Col2 WHERE Col2 IS NOT NULL ORDER BY Col1 DESC LIMIT 50"", 0))"),"#N/A")</f>
        <v>#N/A</v>
      </c>
      <c r="R482" s="24" t="str">
        <f>IFERROR(__xludf.DUMMYFUNCTION("IFERROR(
  LET(
    data, QUERY(GOOGLEFINANCE(C482,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GOOGLEFINANCE(C482, ""price"")) * 100,
    IF(calc=0, G482, calc)
  ), 
G482)"),"#N/A")</f>
        <v>#N/A</v>
      </c>
      <c r="S482" s="8" t="s">
        <v>15</v>
      </c>
      <c r="T482" s="26" t="str">
        <f>IFERROR(__xludf.DUMMYFUNCTION("IFERROR(TRANSPOSE(QUERY(IFERROR(SORT(GOOGLEFINANCE(C482, ""price"", WORKDAY(TODAY(), -40), TODAY()), 1, FALSE)), ""select Col2 where Col2 is not null limit 22 label Col2 ''"", 0)), """")"),"")</f>
        <v/>
      </c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8"/>
      <c r="AO482" s="28"/>
      <c r="AP482" s="29"/>
      <c r="AQ482" s="29" t="str">
        <f t="shared" ref="AQ482:BL482" si="485">T482/T$2</f>
        <v>#N/A</v>
      </c>
      <c r="AR482" s="29" t="str">
        <f t="shared" si="485"/>
        <v>#DIV/0!</v>
      </c>
      <c r="AS482" s="29" t="str">
        <f t="shared" si="485"/>
        <v>#DIV/0!</v>
      </c>
      <c r="AT482" s="29" t="str">
        <f t="shared" si="485"/>
        <v>#DIV/0!</v>
      </c>
      <c r="AU482" s="29" t="str">
        <f t="shared" si="485"/>
        <v>#DIV/0!</v>
      </c>
      <c r="AV482" s="29" t="str">
        <f t="shared" si="485"/>
        <v>#DIV/0!</v>
      </c>
      <c r="AW482" s="29" t="str">
        <f t="shared" si="485"/>
        <v>#DIV/0!</v>
      </c>
      <c r="AX482" s="29" t="str">
        <f t="shared" si="485"/>
        <v>#DIV/0!</v>
      </c>
      <c r="AY482" s="29" t="str">
        <f t="shared" si="485"/>
        <v>#DIV/0!</v>
      </c>
      <c r="AZ482" s="29" t="str">
        <f t="shared" si="485"/>
        <v>#DIV/0!</v>
      </c>
      <c r="BA482" s="29" t="str">
        <f t="shared" si="485"/>
        <v>#DIV/0!</v>
      </c>
      <c r="BB482" s="29" t="str">
        <f t="shared" si="485"/>
        <v>#DIV/0!</v>
      </c>
      <c r="BC482" s="29" t="str">
        <f t="shared" si="485"/>
        <v>#DIV/0!</v>
      </c>
      <c r="BD482" s="29" t="str">
        <f t="shared" si="485"/>
        <v>#DIV/0!</v>
      </c>
      <c r="BE482" s="29" t="str">
        <f t="shared" si="485"/>
        <v>#DIV/0!</v>
      </c>
      <c r="BF482" s="29" t="str">
        <f t="shared" si="485"/>
        <v>#DIV/0!</v>
      </c>
      <c r="BG482" s="29" t="str">
        <f t="shared" si="485"/>
        <v>#DIV/0!</v>
      </c>
      <c r="BH482" s="29" t="str">
        <f t="shared" si="485"/>
        <v>#DIV/0!</v>
      </c>
      <c r="BI482" s="29" t="str">
        <f t="shared" si="485"/>
        <v>#DIV/0!</v>
      </c>
      <c r="BJ482" s="29" t="str">
        <f t="shared" si="485"/>
        <v>#DIV/0!</v>
      </c>
      <c r="BK482" s="29" t="str">
        <f t="shared" si="485"/>
        <v>#DIV/0!</v>
      </c>
      <c r="BL482" s="29" t="str">
        <f t="shared" si="485"/>
        <v>#DIV/0!</v>
      </c>
      <c r="BM482" s="29" t="str">
        <f t="shared" si="3"/>
        <v>#DIV/0!</v>
      </c>
    </row>
  </sheetData>
  <mergeCells count="5">
    <mergeCell ref="E1:E3"/>
    <mergeCell ref="G1:G3"/>
    <mergeCell ref="H1:H3"/>
    <mergeCell ref="I1:I3"/>
    <mergeCell ref="J1:J3"/>
  </mergeCells>
  <conditionalFormatting sqref="H4:H482 I5">
    <cfRule type="cellIs" dxfId="8" priority="1" operator="equal">
      <formula>"Liquid"</formula>
    </cfRule>
  </conditionalFormatting>
  <conditionalFormatting sqref="I4:I482">
    <cfRule type="containsText" dxfId="8" priority="2" operator="containsText" text="No">
      <formula>NOT(ISERROR(SEARCH(("No"),(I4))))</formula>
    </cfRule>
  </conditionalFormatting>
  <conditionalFormatting sqref="K1:P482">
    <cfRule type="cellIs" dxfId="0" priority="3" operator="lessThan">
      <formula>0</formula>
    </cfRule>
  </conditionalFormatting>
  <conditionalFormatting sqref="A1:BM482">
    <cfRule type="containsBlanks" dxfId="1" priority="4">
      <formula>LEN(TRIM(A1))=0</formula>
    </cfRule>
  </conditionalFormatting>
  <conditionalFormatting sqref="C1:C482">
    <cfRule type="expression" dxfId="2" priority="5">
      <formula>COUNTIF($C:$C, C1) &gt; 1</formula>
    </cfRule>
  </conditionalFormatting>
  <conditionalFormatting sqref="F1:F482">
    <cfRule type="cellIs" dxfId="3" priority="6" operator="greaterThanOrEqual">
      <formula>8</formula>
    </cfRule>
  </conditionalFormatting>
  <conditionalFormatting sqref="F1:F482">
    <cfRule type="cellIs" dxfId="4" priority="7" operator="greaterThanOrEqual">
      <formula>5</formula>
    </cfRule>
  </conditionalFormatting>
  <conditionalFormatting sqref="F1:F482">
    <cfRule type="cellIs" dxfId="5" priority="8" operator="between">
      <formula>5</formula>
      <formula>-1</formula>
    </cfRule>
  </conditionalFormatting>
  <conditionalFormatting sqref="F1:F482">
    <cfRule type="cellIs" dxfId="6" priority="9" operator="lessThan">
      <formula>-5</formula>
    </cfRule>
  </conditionalFormatting>
  <conditionalFormatting sqref="G1:H482">
    <cfRule type="cellIs" dxfId="7" priority="10" operator="greaterThanOrEqual">
      <formula>4</formula>
    </cfRule>
  </conditionalFormatting>
  <conditionalFormatting sqref="F1:F482">
    <cfRule type="cellIs" dxfId="9" priority="11" operator="lessThan">
      <formula>-1</formula>
    </cfRule>
  </conditionalFormatting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2.13"/>
    <col customWidth="1" min="2" max="2" width="9.13"/>
    <col customWidth="1" min="3" max="3" width="8.25"/>
    <col customWidth="1" min="4" max="4" width="32.13"/>
    <col customWidth="1" min="5" max="5" width="16.75"/>
    <col customWidth="1" min="6" max="6" width="11.25"/>
    <col customWidth="1" min="7" max="7" width="8.25"/>
    <col customWidth="1" min="8" max="8" width="6.75"/>
    <col customWidth="1" min="9" max="9" width="14.75"/>
    <col customWidth="1" min="10" max="10" width="13.63"/>
    <col customWidth="1" min="11" max="11" width="6.63"/>
    <col customWidth="1" min="12" max="12" width="7.13"/>
    <col customWidth="1" min="13" max="13" width="7.38"/>
    <col customWidth="1" min="14" max="14" width="7.63"/>
    <col customWidth="1" min="15" max="15" width="8.0"/>
    <col customWidth="1" min="16" max="16" width="8.75"/>
    <col customWidth="1" min="17" max="17" width="9.38"/>
    <col customWidth="1" min="18" max="18" width="8.63"/>
    <col customWidth="1" min="19" max="19" width="1.63"/>
    <col customWidth="1" min="20" max="20" width="9.25"/>
    <col customWidth="1" min="21" max="22" width="10.75"/>
    <col customWidth="1" min="23" max="23" width="10.88"/>
    <col customWidth="1" min="24" max="24" width="10.75"/>
    <col customWidth="1" min="25" max="25" width="10.88"/>
    <col customWidth="1" min="26" max="26" width="10.75"/>
    <col customWidth="1" min="27" max="28" width="10.88"/>
    <col customWidth="1" min="29" max="29" width="11.5"/>
    <col customWidth="1" min="30" max="30" width="11.0"/>
    <col customWidth="1" min="31" max="32" width="11.25"/>
    <col customWidth="1" min="33" max="33" width="11.5"/>
    <col customWidth="1" min="34" max="38" width="11.38"/>
    <col customWidth="1" min="39" max="39" width="11.75"/>
    <col customWidth="1" min="40" max="40" width="11.38"/>
    <col customWidth="1" min="41" max="41" width="11.63"/>
    <col customWidth="1" min="42" max="42" width="14.5"/>
    <col customWidth="1" min="43" max="64" width="5.5"/>
    <col customWidth="1" min="65" max="65" width="5.38"/>
  </cols>
  <sheetData>
    <row r="1">
      <c r="A1" s="1" t="s">
        <v>0</v>
      </c>
      <c r="B1" s="2" t="s">
        <v>1</v>
      </c>
      <c r="C1" s="1" t="s">
        <v>2</v>
      </c>
      <c r="D1" s="15" t="s">
        <v>3</v>
      </c>
      <c r="E1" s="5" t="s">
        <v>5</v>
      </c>
      <c r="F1" s="3" t="s">
        <v>4</v>
      </c>
      <c r="G1" s="9" t="s">
        <v>6</v>
      </c>
      <c r="H1" s="5" t="s">
        <v>17</v>
      </c>
      <c r="I1" s="5" t="s">
        <v>19</v>
      </c>
      <c r="J1" s="5" t="s">
        <v>23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6" t="s">
        <v>13</v>
      </c>
      <c r="R1" s="7" t="s">
        <v>14</v>
      </c>
      <c r="S1" s="8" t="s">
        <v>15</v>
      </c>
      <c r="T1" s="10" t="s">
        <v>16</v>
      </c>
      <c r="U1" s="11" t="s">
        <v>18</v>
      </c>
      <c r="V1" s="12" t="s">
        <v>20</v>
      </c>
      <c r="W1" s="11" t="s">
        <v>21</v>
      </c>
      <c r="X1" s="12" t="s">
        <v>22</v>
      </c>
      <c r="Y1" s="11" t="s">
        <v>24</v>
      </c>
      <c r="Z1" s="11" t="s">
        <v>25</v>
      </c>
      <c r="AA1" s="12" t="s">
        <v>26</v>
      </c>
      <c r="AB1" s="11" t="s">
        <v>27</v>
      </c>
      <c r="AC1" s="12" t="s">
        <v>28</v>
      </c>
      <c r="AD1" s="11" t="s">
        <v>29</v>
      </c>
      <c r="AE1" s="11" t="s">
        <v>30</v>
      </c>
      <c r="AF1" s="12" t="s">
        <v>31</v>
      </c>
      <c r="AG1" s="11" t="s">
        <v>32</v>
      </c>
      <c r="AH1" s="12" t="s">
        <v>33</v>
      </c>
      <c r="AI1" s="11" t="s">
        <v>34</v>
      </c>
      <c r="AJ1" s="11" t="s">
        <v>35</v>
      </c>
      <c r="AK1" s="12" t="s">
        <v>36</v>
      </c>
      <c r="AL1" s="11" t="s">
        <v>37</v>
      </c>
      <c r="AM1" s="12" t="s">
        <v>38</v>
      </c>
      <c r="AN1" s="11" t="s">
        <v>39</v>
      </c>
      <c r="AO1" s="11" t="s">
        <v>40</v>
      </c>
      <c r="AP1" s="13"/>
      <c r="AQ1" s="14">
        <v>1.0</v>
      </c>
      <c r="AR1" s="14">
        <v>2.0</v>
      </c>
      <c r="AS1" s="14">
        <v>3.0</v>
      </c>
      <c r="AT1" s="14">
        <v>4.0</v>
      </c>
      <c r="AU1" s="14">
        <v>5.0</v>
      </c>
      <c r="AV1" s="14">
        <v>6.0</v>
      </c>
      <c r="AW1" s="14">
        <v>7.0</v>
      </c>
      <c r="AX1" s="14">
        <v>8.0</v>
      </c>
      <c r="AY1" s="14">
        <v>9.0</v>
      </c>
      <c r="AZ1" s="14">
        <v>10.0</v>
      </c>
      <c r="BA1" s="14">
        <v>11.0</v>
      </c>
      <c r="BB1" s="14">
        <v>12.0</v>
      </c>
      <c r="BC1" s="14">
        <v>13.0</v>
      </c>
      <c r="BD1" s="14">
        <v>14.0</v>
      </c>
      <c r="BE1" s="14">
        <v>15.0</v>
      </c>
      <c r="BF1" s="14">
        <v>16.0</v>
      </c>
      <c r="BG1" s="14">
        <v>17.0</v>
      </c>
      <c r="BH1" s="14">
        <v>18.0</v>
      </c>
      <c r="BI1" s="14">
        <v>19.0</v>
      </c>
      <c r="BJ1" s="14">
        <v>20.0</v>
      </c>
      <c r="BK1" s="14">
        <v>21.0</v>
      </c>
      <c r="BL1" s="14">
        <v>22.0</v>
      </c>
      <c r="BM1" s="14" t="s">
        <v>41</v>
      </c>
    </row>
    <row r="2">
      <c r="A2" s="16" t="str">
        <f>IFERROR(__xludf.DUMMYFUNCTION("SPARKLINE(SORT(MAP(TRANSPOSE(AQ2:BL2), LAMBDA(val, PERCENTRANK(AQ2:BL2, val)+0.01)), SEQUENCE(COLUMNS(AQ2:BL2)), FALSE), {""charttype"",""column""; ""color"",""chartreuse""; ""ymin"", 0; ""ymax"", 1.01; ""highcolor"", ""darkgreen""; ""lowcolor"", ""red""}"&amp;")"),"#N/A")</f>
        <v>#N/A</v>
      </c>
      <c r="B2" s="17">
        <f>IF(C2="SPY", 1, PERCENTRANK(AQ2:BL2, AQ2))</f>
        <v>1</v>
      </c>
      <c r="C2" s="1" t="s">
        <v>42</v>
      </c>
      <c r="D2" s="25" t="str">
        <f>IFERROR(__xludf.DUMMYFUNCTION("IFERROR(GOOGLEFINANCE(C2, ""NAME""))"),"State Street SPDR S&amp;P 500 ETF Trust")</f>
        <v>State Street SPDR S&amp;P 500 ETF Trust</v>
      </c>
      <c r="E2" s="22"/>
      <c r="F2" s="19" t="str">
        <f>IFERROR(__xludf.DUMMYFUNCTION("( (GOOGLEFINANCE(C2, ""price"") - Q2) / Q2 ) / (R2 / 100)"),"Loading...")</f>
        <v>Loading...</v>
      </c>
      <c r="G2" s="22"/>
      <c r="H2" s="22"/>
      <c r="I2" s="22"/>
      <c r="J2" s="22"/>
      <c r="K2" s="21" t="str">
        <f>IFERROR(__xludf.DUMMYFUNCTION("IFERROR(GOOGLEFINANCE(C2, ""changepct"") / 100, """")"),"")</f>
        <v/>
      </c>
      <c r="L2" s="21" t="str">
        <f>IFERROR(__xludf.DUMMYFUNCTION("IFERROR((GOOGLEFINANCE(C2, ""price"") / INDEX(GOOGLEFINANCE(C2, ""price"", TODAY()-7, TODAY()), 2, 2)) - 1, """")"),"")</f>
        <v/>
      </c>
      <c r="M2" s="21" t="str">
        <f>IFERROR(__xludf.DUMMYFUNCTION("IFERROR((GOOGLEFINANCE(C2, ""price"") / INDEX(GOOGLEFINANCE(C2, ""price"", EDATE(TODAY(), -1), TODAY()), 2, 2)) - 1, """")"),"")</f>
        <v/>
      </c>
      <c r="N2" s="21" t="str">
        <f>IFERROR(__xludf.DUMMYFUNCTION("IFERROR((GOOGLEFINANCE(C2, ""price"") / INDEX(GOOGLEFINANCE(C2, ""price"", EDATE(TODAY(), -3), TODAY()), 2, 2)) - 1, """")"),"")</f>
        <v/>
      </c>
      <c r="O2" s="21" t="str">
        <f>IFERROR(__xludf.DUMMYFUNCTION("IFERROR((GOOGLEFINANCE(C2, ""price"") / INDEX(GOOGLEFINANCE(C2, ""price"", EDATE(TODAY(), -6), TODAY()), 2, 2)) - 1, """")"),"")</f>
        <v/>
      </c>
      <c r="P2" s="21" t="str">
        <f>IFERROR(__xludf.DUMMYFUNCTION("IFERROR((GOOGLEFINANCE(C2, ""price"") / INDEX(GOOGLEFINANCE(C2, ""price"", EDATE(TODAY(), -12), TODAY()), 2, 2)) - 1, """")"),"")</f>
        <v/>
      </c>
      <c r="Q2" s="23" t="str">
        <f>IFERROR(__xludf.DUMMYFUNCTION("AVERAGE(QUERY(GOOGLEFINANCE(C2, ""price"", TODAY()-80, TODAY()), ""SELECT Col2 WHERE Col2 IS NOT NULL ORDER BY Col1 DESC LIMIT 50"", 0))"),"#N/A")</f>
        <v>#N/A</v>
      </c>
      <c r="R2" s="24" t="str">
        <f>IFERROR(__xludf.DUMMYFUNCTION("IFERROR(
  LET(
    data, QUERY(GOOGLEFINANCE(C2,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GOOGLEFINANCE(C2, ""price"")) * 100,
    IF(calc=0, G2, calc)
  ), 
G2)"),"")</f>
        <v/>
      </c>
      <c r="S2" s="8" t="s">
        <v>15</v>
      </c>
      <c r="T2" s="26" t="str">
        <f>IFERROR(__xludf.DUMMYFUNCTION("TRANSPOSE(QUERY(SORT(GOOGLEFINANCE(C2, ""price"", WORKDAY(TODAY(), -40), TODAY()), 1, FALSE), ""select Col2 where Col2 is not null limit 22 label Col2 ''"", 0))"),"#N/A")</f>
        <v>#N/A</v>
      </c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8"/>
      <c r="AO2" s="28"/>
      <c r="AP2" s="29"/>
      <c r="AQ2" s="29" t="str">
        <f t="shared" ref="AQ2:BL2" si="1">T2/T$2</f>
        <v>#N/A</v>
      </c>
      <c r="AR2" s="29" t="str">
        <f t="shared" si="1"/>
        <v>#DIV/0!</v>
      </c>
      <c r="AS2" s="29" t="str">
        <f t="shared" si="1"/>
        <v>#DIV/0!</v>
      </c>
      <c r="AT2" s="29" t="str">
        <f t="shared" si="1"/>
        <v>#DIV/0!</v>
      </c>
      <c r="AU2" s="29" t="str">
        <f t="shared" si="1"/>
        <v>#DIV/0!</v>
      </c>
      <c r="AV2" s="29" t="str">
        <f t="shared" si="1"/>
        <v>#DIV/0!</v>
      </c>
      <c r="AW2" s="29" t="str">
        <f t="shared" si="1"/>
        <v>#DIV/0!</v>
      </c>
      <c r="AX2" s="29" t="str">
        <f t="shared" si="1"/>
        <v>#DIV/0!</v>
      </c>
      <c r="AY2" s="29" t="str">
        <f t="shared" si="1"/>
        <v>#DIV/0!</v>
      </c>
      <c r="AZ2" s="29" t="str">
        <f t="shared" si="1"/>
        <v>#DIV/0!</v>
      </c>
      <c r="BA2" s="29" t="str">
        <f t="shared" si="1"/>
        <v>#DIV/0!</v>
      </c>
      <c r="BB2" s="29" t="str">
        <f t="shared" si="1"/>
        <v>#DIV/0!</v>
      </c>
      <c r="BC2" s="29" t="str">
        <f t="shared" si="1"/>
        <v>#DIV/0!</v>
      </c>
      <c r="BD2" s="29" t="str">
        <f t="shared" si="1"/>
        <v>#DIV/0!</v>
      </c>
      <c r="BE2" s="29" t="str">
        <f t="shared" si="1"/>
        <v>#DIV/0!</v>
      </c>
      <c r="BF2" s="29" t="str">
        <f t="shared" si="1"/>
        <v>#DIV/0!</v>
      </c>
      <c r="BG2" s="29" t="str">
        <f t="shared" si="1"/>
        <v>#DIV/0!</v>
      </c>
      <c r="BH2" s="29" t="str">
        <f t="shared" si="1"/>
        <v>#DIV/0!</v>
      </c>
      <c r="BI2" s="29" t="str">
        <f t="shared" si="1"/>
        <v>#DIV/0!</v>
      </c>
      <c r="BJ2" s="29" t="str">
        <f t="shared" si="1"/>
        <v>#DIV/0!</v>
      </c>
      <c r="BK2" s="29" t="str">
        <f t="shared" si="1"/>
        <v>#DIV/0!</v>
      </c>
      <c r="BL2" s="29" t="str">
        <f t="shared" si="1"/>
        <v>#DIV/0!</v>
      </c>
      <c r="BM2" s="29" t="str">
        <f t="shared" ref="BM2:BM654" si="3">(T2/AO2)/(T$2/AO$2)</f>
        <v>#N/A</v>
      </c>
    </row>
    <row r="3">
      <c r="A3" s="16" t="str">
        <f>IFERROR(__xludf.DUMMYFUNCTION("IFERROR(SPARKLINE(SORT(MAP(TRANSPOSE(AQ3:BL3), LAMBDA(val, IF(ISNUMBER(val), PERCENTRANK(AQ3:BL3, val)+0.01, 0))), SEQUENCE(COLUMNS(AQ3:BL3)), FALSE), {""charttype"",""column""; ""color"",""chartreuse""; ""ymin"", 0; ""ymax"", 1.01; ""highcolor"", ""darkg"&amp;"reen""; ""lowcolor"", ""red""}), """")"),"")</f>
        <v/>
      </c>
      <c r="B3" s="17" t="str">
        <f t="shared" ref="B3:B654" si="4">IFERROR(IF(C3="SPY", 1, IF(ISNUMBER(AQ3), PERCENTRANK(AQ3:BL3, AQ3), "")), "")</f>
        <v/>
      </c>
      <c r="C3" s="1" t="s">
        <v>46</v>
      </c>
      <c r="D3" s="34" t="str">
        <f>IFERROR(__xludf.DUMMYFUNCTION("IFERROR(GOOGLEFINANCE(C3, ""NAME""))"),"State Street Financial Sel Sec SPDR ETF")</f>
        <v>State Street Financial Sel Sec SPDR ETF</v>
      </c>
      <c r="E3" s="31"/>
      <c r="F3" s="33" t="str">
        <f>IFERROR(__xludf.DUMMYFUNCTION("( (GOOGLEFINANCE(C3, ""price"") - Q3) / Q3 ) / (R3 / 100)"),"Loading...")</f>
        <v>Loading...</v>
      </c>
      <c r="G3" s="31"/>
      <c r="H3" s="31"/>
      <c r="I3" s="31"/>
      <c r="J3" s="31"/>
      <c r="K3" s="21" t="str">
        <f>IFERROR(__xludf.DUMMYFUNCTION("IFERROR(GOOGLEFINANCE(C3, ""changepct"") / 100, """")"),"")</f>
        <v/>
      </c>
      <c r="L3" s="21" t="str">
        <f>IFERROR(__xludf.DUMMYFUNCTION("IFERROR((GOOGLEFINANCE(C3, ""price"") / INDEX(GOOGLEFINANCE(C3, ""price"", TODAY()-7, TODAY()), 2, 2)) - 1, """")"),"")</f>
        <v/>
      </c>
      <c r="M3" s="21" t="str">
        <f>IFERROR(__xludf.DUMMYFUNCTION("IFERROR((GOOGLEFINANCE(C3, ""price"") / INDEX(GOOGLEFINANCE(C3, ""price"", EDATE(TODAY(), -1), TODAY()), 2, 2)) - 1, """")"),"")</f>
        <v/>
      </c>
      <c r="N3" s="21" t="str">
        <f>IFERROR(__xludf.DUMMYFUNCTION("IFERROR((GOOGLEFINANCE(C3, ""price"") / INDEX(GOOGLEFINANCE(C3, ""price"", EDATE(TODAY(), -3), TODAY()), 2, 2)) - 1, """")"),"")</f>
        <v/>
      </c>
      <c r="O3" s="21" t="str">
        <f>IFERROR(__xludf.DUMMYFUNCTION("IFERROR((GOOGLEFINANCE(C3, ""price"") / INDEX(GOOGLEFINANCE(C3, ""price"", EDATE(TODAY(), -6), TODAY()), 2, 2)) - 1, """")"),"")</f>
        <v/>
      </c>
      <c r="P3" s="21" t="str">
        <f>IFERROR(__xludf.DUMMYFUNCTION("IFERROR((GOOGLEFINANCE(C3, ""price"") / INDEX(GOOGLEFINANCE(C3, ""price"", EDATE(TODAY(), -12), TODAY()), 2, 2)) - 1, """")"),"")</f>
        <v/>
      </c>
      <c r="Q3" s="6" t="str">
        <f>IFERROR(__xludf.DUMMYFUNCTION("AVERAGE(QUERY(GOOGLEFINANCE(C3, ""price"", TODAY()-80, TODAY()), ""SELECT Col2 WHERE Col2 IS NOT NULL ORDER BY Col1 DESC LIMIT 50"", 0))"),"#N/A")</f>
        <v>#N/A</v>
      </c>
      <c r="R3" s="24" t="str">
        <f>IFERROR(__xludf.DUMMYFUNCTION("IFERROR(
  LET(
    data, QUERY(GOOGLEFINANCE(C3,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GOOGLEFINANCE(C3, ""price"")) * 100,
    IF(calc=0, G3, calc)
  ), 
G3)"),"")</f>
        <v/>
      </c>
      <c r="S3" s="8" t="s">
        <v>15</v>
      </c>
      <c r="T3" s="26" t="str">
        <f>IFERROR(__xludf.DUMMYFUNCTION("IFERROR(TRANSPOSE(QUERY(IFERROR(SORT(GOOGLEFINANCE(C3, ""price"", WORKDAY(TODAY(), -40), TODAY()), 1, FALSE)), ""select Col2 where Col2 is not null limit 22 label Col2 ''"", 0)), """")"),"")</f>
        <v/>
      </c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8"/>
      <c r="AO3" s="28"/>
      <c r="AP3" s="29"/>
      <c r="AQ3" s="29" t="str">
        <f t="shared" ref="AQ3:BL3" si="2">T3/T$2</f>
        <v>#N/A</v>
      </c>
      <c r="AR3" s="29" t="str">
        <f t="shared" si="2"/>
        <v>#DIV/0!</v>
      </c>
      <c r="AS3" s="29" t="str">
        <f t="shared" si="2"/>
        <v>#DIV/0!</v>
      </c>
      <c r="AT3" s="29" t="str">
        <f t="shared" si="2"/>
        <v>#DIV/0!</v>
      </c>
      <c r="AU3" s="29" t="str">
        <f t="shared" si="2"/>
        <v>#DIV/0!</v>
      </c>
      <c r="AV3" s="29" t="str">
        <f t="shared" si="2"/>
        <v>#DIV/0!</v>
      </c>
      <c r="AW3" s="29" t="str">
        <f t="shared" si="2"/>
        <v>#DIV/0!</v>
      </c>
      <c r="AX3" s="29" t="str">
        <f t="shared" si="2"/>
        <v>#DIV/0!</v>
      </c>
      <c r="AY3" s="29" t="str">
        <f t="shared" si="2"/>
        <v>#DIV/0!</v>
      </c>
      <c r="AZ3" s="29" t="str">
        <f t="shared" si="2"/>
        <v>#DIV/0!</v>
      </c>
      <c r="BA3" s="29" t="str">
        <f t="shared" si="2"/>
        <v>#DIV/0!</v>
      </c>
      <c r="BB3" s="29" t="str">
        <f t="shared" si="2"/>
        <v>#DIV/0!</v>
      </c>
      <c r="BC3" s="29" t="str">
        <f t="shared" si="2"/>
        <v>#DIV/0!</v>
      </c>
      <c r="BD3" s="29" t="str">
        <f t="shared" si="2"/>
        <v>#DIV/0!</v>
      </c>
      <c r="BE3" s="29" t="str">
        <f t="shared" si="2"/>
        <v>#DIV/0!</v>
      </c>
      <c r="BF3" s="29" t="str">
        <f t="shared" si="2"/>
        <v>#DIV/0!</v>
      </c>
      <c r="BG3" s="29" t="str">
        <f t="shared" si="2"/>
        <v>#DIV/0!</v>
      </c>
      <c r="BH3" s="29" t="str">
        <f t="shared" si="2"/>
        <v>#DIV/0!</v>
      </c>
      <c r="BI3" s="29" t="str">
        <f t="shared" si="2"/>
        <v>#DIV/0!</v>
      </c>
      <c r="BJ3" s="29" t="str">
        <f t="shared" si="2"/>
        <v>#DIV/0!</v>
      </c>
      <c r="BK3" s="29" t="str">
        <f t="shared" si="2"/>
        <v>#DIV/0!</v>
      </c>
      <c r="BL3" s="29" t="str">
        <f t="shared" si="2"/>
        <v>#DIV/0!</v>
      </c>
      <c r="BM3" s="29" t="str">
        <f t="shared" si="3"/>
        <v>#DIV/0!</v>
      </c>
    </row>
    <row r="4">
      <c r="A4" s="16" t="str">
        <f>IFERROR(__xludf.DUMMYFUNCTION("IFERROR(SPARKLINE(SORT(MAP(TRANSPOSE(AQ4:BL4), LAMBDA(val, IF(ISNUMBER(val), PERCENTRANK(AQ4:BL4, val)+0.01, 0))), SEQUENCE(COLUMNS(AQ4:BL4)), FALSE), {""charttype"",""column""; ""color"",""chartreuse""; ""ymin"", 0; ""ymax"", 1.01; ""highcolor"", ""darkg"&amp;"reen""; ""lowcolor"", ""red""}), """")"),"")</f>
        <v/>
      </c>
      <c r="B4" s="17" t="str">
        <f t="shared" si="4"/>
        <v/>
      </c>
      <c r="C4" s="1" t="s">
        <v>53</v>
      </c>
      <c r="D4" s="34" t="str">
        <f>IFERROR(__xludf.DUMMYFUNCTION("IFERROR(GOOGLEFINANCE(C4, ""NAME""))"),"Cboe Global Markets Inc")</f>
        <v>Cboe Global Markets Inc</v>
      </c>
      <c r="E4" s="30" t="s">
        <v>54</v>
      </c>
      <c r="F4" s="33" t="str">
        <f>IFERROR(__xludf.DUMMYFUNCTION("( (GOOGLEFINANCE(C4, ""price"") - Q4) / Q4 ) / (R4 / 100)"),"Loading...")</f>
        <v>Loading...</v>
      </c>
      <c r="G4" s="20" t="str">
        <f>IFERROR(__xludf.DUMMYFUNCTION("AVERAGE(ARRAYFORMULA(100 * (QUERY(GOOGLEFINANCE(C4, ""high"", TODAY()-40, TODAY()), ""SELECT Col2 WHERE Col2 IS NOT NULL ORDER BY Col1 DESC LIMIT 20"", 0) / QUERY(GOOGLEFINANCE(C4, ""low"", TODAY()-40, TODAY()), ""SELECT Col2 WHERE Col2 IS NOT NULL ORDER "&amp;"BY Col1 DESC LIMIT 20"", 0) - 1)))"),"#N/A")</f>
        <v>#N/A</v>
      </c>
      <c r="H4" s="35" t="str">
        <f t="shared" ref="H4:H654" si="6">IFERROR(IF(ISNUMBER(J4), IF(J4 &lt; 50000000, "Illiquid", "Liquid"), ""), "")</f>
        <v/>
      </c>
      <c r="I4" s="36" t="str">
        <f t="shared" ref="I4:I654" si="7">IFERROR(IF(ISNUMBER(J4), IF(J4 &lt; 500000000, "RVol Required", "No RVol Required"), ""), "")</f>
        <v/>
      </c>
      <c r="J4" s="37" t="str">
        <f>IFERROR(__xludf.DUMMYFUNCTION("IFERROR(
  IF(C4="""",, 
    IFERROR(
      GOOGLEFINANCE(C4, ""price"") * GOOGLEFINANCE(C4, ""volumeavg""), 
      GOOGLEFINANCE(C4, ""price"") * AVERAGE(QUERY(GOOGLEFINANCE(C4, ""volume"", TODAY()-40, TODAY()), ""SELECT Col2 WHERE Col2 IS NOT NULL ORDER"&amp;" BY Col1 DESC LIMIT 20"", 0))
    )
  ), 
"""")"),"")</f>
        <v/>
      </c>
      <c r="K4" s="21" t="str">
        <f>IFERROR(__xludf.DUMMYFUNCTION("IFERROR(GOOGLEFINANCE(C4, ""changepct"") / 100, """")"),"")</f>
        <v/>
      </c>
      <c r="L4" s="21" t="str">
        <f>IFERROR(__xludf.DUMMYFUNCTION("IFERROR((GOOGLEFINANCE(C4, ""price"") / INDEX(GOOGLEFINANCE(C4, ""price"", TODAY()-7, TODAY()), 2, 2)) - 1, """")"),"")</f>
        <v/>
      </c>
      <c r="M4" s="21" t="str">
        <f>IFERROR(__xludf.DUMMYFUNCTION("IFERROR((GOOGLEFINANCE(C4, ""price"") / INDEX(GOOGLEFINANCE(C4, ""price"", EDATE(TODAY(), -1), TODAY()), 2, 2)) - 1, """")"),"")</f>
        <v/>
      </c>
      <c r="N4" s="21" t="str">
        <f>IFERROR(__xludf.DUMMYFUNCTION("IFERROR((GOOGLEFINANCE(C4, ""price"") / INDEX(GOOGLEFINANCE(C4, ""price"", EDATE(TODAY(), -3), TODAY()), 2, 2)) - 1, """")"),"")</f>
        <v/>
      </c>
      <c r="O4" s="21" t="str">
        <f>IFERROR(__xludf.DUMMYFUNCTION("IFERROR((GOOGLEFINANCE(C4, ""price"") / INDEX(GOOGLEFINANCE(C4, ""price"", EDATE(TODAY(), -6), TODAY()), 2, 2)) - 1, """")"),"")</f>
        <v/>
      </c>
      <c r="P4" s="21" t="str">
        <f>IFERROR(__xludf.DUMMYFUNCTION("IFERROR((GOOGLEFINANCE(C4, ""price"") / INDEX(GOOGLEFINANCE(C4, ""price"", EDATE(TODAY(), -12), TODAY()), 2, 2)) - 1, """")"),"")</f>
        <v/>
      </c>
      <c r="Q4" s="6" t="str">
        <f>IFERROR(__xludf.DUMMYFUNCTION("AVERAGE(QUERY(GOOGLEFINANCE(C4, ""price"", TODAY()-80, TODAY()), ""SELECT Col2 WHERE Col2 IS NOT NULL ORDER BY Col1 DESC LIMIT 50"", 0))"),"#N/A")</f>
        <v>#N/A</v>
      </c>
      <c r="R4" s="24" t="str">
        <f>IFERROR(__xludf.DUMMYFUNCTION("IFERROR(
  LET(
    data, QUERY(GOOGLEFINANCE(C4,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GOOGLEFINANCE(C4, ""price"")) * 100,
    IF(calc=0, G4, calc)
  ), 
G4)"),"#N/A")</f>
        <v>#N/A</v>
      </c>
      <c r="S4" s="8" t="s">
        <v>15</v>
      </c>
      <c r="T4" s="26" t="str">
        <f>IFERROR(__xludf.DUMMYFUNCTION("IFERROR(TRANSPOSE(QUERY(IFERROR(SORT(GOOGLEFINANCE(C4, ""price"", WORKDAY(TODAY(), -40), TODAY()), 1, FALSE)), ""select Col2 where Col2 is not null limit 22 label Col2 ''"", 0)), """")"),"")</f>
        <v/>
      </c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8"/>
      <c r="AO4" s="28"/>
      <c r="AP4" s="29"/>
      <c r="AQ4" s="29" t="str">
        <f t="shared" ref="AQ4:BL4" si="5">T4/T$2</f>
        <v>#N/A</v>
      </c>
      <c r="AR4" s="29" t="str">
        <f t="shared" si="5"/>
        <v>#DIV/0!</v>
      </c>
      <c r="AS4" s="29" t="str">
        <f t="shared" si="5"/>
        <v>#DIV/0!</v>
      </c>
      <c r="AT4" s="29" t="str">
        <f t="shared" si="5"/>
        <v>#DIV/0!</v>
      </c>
      <c r="AU4" s="29" t="str">
        <f t="shared" si="5"/>
        <v>#DIV/0!</v>
      </c>
      <c r="AV4" s="29" t="str">
        <f t="shared" si="5"/>
        <v>#DIV/0!</v>
      </c>
      <c r="AW4" s="29" t="str">
        <f t="shared" si="5"/>
        <v>#DIV/0!</v>
      </c>
      <c r="AX4" s="29" t="str">
        <f t="shared" si="5"/>
        <v>#DIV/0!</v>
      </c>
      <c r="AY4" s="29" t="str">
        <f t="shared" si="5"/>
        <v>#DIV/0!</v>
      </c>
      <c r="AZ4" s="29" t="str">
        <f t="shared" si="5"/>
        <v>#DIV/0!</v>
      </c>
      <c r="BA4" s="29" t="str">
        <f t="shared" si="5"/>
        <v>#DIV/0!</v>
      </c>
      <c r="BB4" s="29" t="str">
        <f t="shared" si="5"/>
        <v>#DIV/0!</v>
      </c>
      <c r="BC4" s="29" t="str">
        <f t="shared" si="5"/>
        <v>#DIV/0!</v>
      </c>
      <c r="BD4" s="29" t="str">
        <f t="shared" si="5"/>
        <v>#DIV/0!</v>
      </c>
      <c r="BE4" s="29" t="str">
        <f t="shared" si="5"/>
        <v>#DIV/0!</v>
      </c>
      <c r="BF4" s="29" t="str">
        <f t="shared" si="5"/>
        <v>#DIV/0!</v>
      </c>
      <c r="BG4" s="29" t="str">
        <f t="shared" si="5"/>
        <v>#DIV/0!</v>
      </c>
      <c r="BH4" s="29" t="str">
        <f t="shared" si="5"/>
        <v>#DIV/0!</v>
      </c>
      <c r="BI4" s="29" t="str">
        <f t="shared" si="5"/>
        <v>#DIV/0!</v>
      </c>
      <c r="BJ4" s="29" t="str">
        <f t="shared" si="5"/>
        <v>#DIV/0!</v>
      </c>
      <c r="BK4" s="29" t="str">
        <f t="shared" si="5"/>
        <v>#DIV/0!</v>
      </c>
      <c r="BL4" s="29" t="str">
        <f t="shared" si="5"/>
        <v>#DIV/0!</v>
      </c>
      <c r="BM4" s="29" t="str">
        <f t="shared" si="3"/>
        <v>#DIV/0!</v>
      </c>
    </row>
    <row r="5">
      <c r="A5" s="16" t="str">
        <f>IFERROR(__xludf.DUMMYFUNCTION("IFERROR(SPARKLINE(SORT(MAP(TRANSPOSE(AQ5:BL5), LAMBDA(val, IF(ISNUMBER(val), PERCENTRANK(AQ5:BL5, val)+0.01, 0))), SEQUENCE(COLUMNS(AQ5:BL5)), FALSE), {""charttype"",""column""; ""color"",""chartreuse""; ""ymin"", 0; ""ymax"", 1.01; ""highcolor"", ""darkg"&amp;"reen""; ""lowcolor"", ""red""}), """")"),"")</f>
        <v/>
      </c>
      <c r="B5" s="17" t="str">
        <f t="shared" si="4"/>
        <v/>
      </c>
      <c r="C5" s="1" t="s">
        <v>63</v>
      </c>
      <c r="D5" s="34" t="str">
        <f>IFERROR(__xludf.DUMMYFUNCTION("IFERROR(GOOGLEFINANCE(C5, ""NAME""))"),"Invesco Ltd")</f>
        <v>Invesco Ltd</v>
      </c>
      <c r="E5" s="30" t="s">
        <v>64</v>
      </c>
      <c r="F5" s="38" t="str">
        <f>IFERROR(__xludf.DUMMYFUNCTION("( (GOOGLEFINANCE(C5, ""price"") - Q5) / Q5 ) / (R5 / 100)"),"Loading...")</f>
        <v>Loading...</v>
      </c>
      <c r="G5" s="20" t="str">
        <f>IFERROR(__xludf.DUMMYFUNCTION("AVERAGE(ARRAYFORMULA(100 * (QUERY(GOOGLEFINANCE(C5, ""high"", TODAY()-40, TODAY()), ""SELECT Col2 WHERE Col2 IS NOT NULL ORDER BY Col1 DESC LIMIT 20"", 0) / QUERY(GOOGLEFINANCE(C5, ""low"", TODAY()-40, TODAY()), ""SELECT Col2 WHERE Col2 IS NOT NULL ORDER "&amp;"BY Col1 DESC LIMIT 20"", 0) - 1)))"),"#N/A")</f>
        <v>#N/A</v>
      </c>
      <c r="H5" s="35" t="str">
        <f t="shared" si="6"/>
        <v/>
      </c>
      <c r="I5" s="36" t="str">
        <f t="shared" si="7"/>
        <v/>
      </c>
      <c r="J5" s="37" t="str">
        <f>IFERROR(__xludf.DUMMYFUNCTION("IFERROR(
  IF(C5="""",, 
    IFERROR(
      GOOGLEFINANCE(C5, ""price"") * GOOGLEFINANCE(C5, ""volumeavg""), 
      GOOGLEFINANCE(C5, ""price"") * AVERAGE(QUERY(GOOGLEFINANCE(C5, ""volume"", TODAY()-40, TODAY()), ""SELECT Col2 WHERE Col2 IS NOT NULL ORDER"&amp;" BY Col1 DESC LIMIT 20"", 0))
    )
  ), 
"""")"),"")</f>
        <v/>
      </c>
      <c r="K5" s="21" t="str">
        <f>IFERROR(__xludf.DUMMYFUNCTION("IFERROR(GOOGLEFINANCE(C5, ""changepct"") / 100, """")"),"")</f>
        <v/>
      </c>
      <c r="L5" s="21" t="str">
        <f>IFERROR(__xludf.DUMMYFUNCTION("IFERROR((GOOGLEFINANCE(C5, ""price"") / INDEX(GOOGLEFINANCE(C5, ""price"", TODAY()-7, TODAY()), 2, 2)) - 1, """")"),"")</f>
        <v/>
      </c>
      <c r="M5" s="21" t="str">
        <f>IFERROR(__xludf.DUMMYFUNCTION("IFERROR((GOOGLEFINANCE(C5, ""price"") / INDEX(GOOGLEFINANCE(C5, ""price"", EDATE(TODAY(), -1), TODAY()), 2, 2)) - 1, """")"),"")</f>
        <v/>
      </c>
      <c r="N5" s="21" t="str">
        <f>IFERROR(__xludf.DUMMYFUNCTION("IFERROR((GOOGLEFINANCE(C5, ""price"") / INDEX(GOOGLEFINANCE(C5, ""price"", EDATE(TODAY(), -3), TODAY()), 2, 2)) - 1, """")"),"")</f>
        <v/>
      </c>
      <c r="O5" s="21" t="str">
        <f>IFERROR(__xludf.DUMMYFUNCTION("IFERROR((GOOGLEFINANCE(C5, ""price"") / INDEX(GOOGLEFINANCE(C5, ""price"", EDATE(TODAY(), -6), TODAY()), 2, 2)) - 1, """")"),"")</f>
        <v/>
      </c>
      <c r="P5" s="21" t="str">
        <f>IFERROR(__xludf.DUMMYFUNCTION("IFERROR((GOOGLEFINANCE(C5, ""price"") / INDEX(GOOGLEFINANCE(C5, ""price"", EDATE(TODAY(), -12), TODAY()), 2, 2)) - 1, """")"),"")</f>
        <v/>
      </c>
      <c r="Q5" s="6" t="str">
        <f>IFERROR(__xludf.DUMMYFUNCTION("AVERAGE(QUERY(GOOGLEFINANCE(C5, ""price"", TODAY()-80, TODAY()), ""SELECT Col2 WHERE Col2 IS NOT NULL ORDER BY Col1 DESC LIMIT 50"", 0))"),"#N/A")</f>
        <v>#N/A</v>
      </c>
      <c r="R5" s="24" t="str">
        <f>IFERROR(__xludf.DUMMYFUNCTION("IFERROR(
  LET(
    data, QUERY(GOOGLEFINANCE(C5,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GOOGLEFINANCE(C5, ""price"")) * 100,
    IF(calc=0, G5, calc)
  ), 
G5)"),"#N/A")</f>
        <v>#N/A</v>
      </c>
      <c r="S5" s="8" t="s">
        <v>15</v>
      </c>
      <c r="T5" s="26" t="str">
        <f>IFERROR(__xludf.DUMMYFUNCTION("IFERROR(TRANSPOSE(QUERY(IFERROR(SORT(GOOGLEFINANCE(C5, ""price"", WORKDAY(TODAY(), -40), TODAY()), 1, FALSE)), ""select Col2 where Col2 is not null limit 22 label Col2 ''"", 0)), """")"),"")</f>
        <v/>
      </c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8"/>
      <c r="AO5" s="28"/>
      <c r="AP5" s="29"/>
      <c r="AQ5" s="29" t="str">
        <f t="shared" ref="AQ5:BL5" si="8">T5/T$2</f>
        <v>#N/A</v>
      </c>
      <c r="AR5" s="29" t="str">
        <f t="shared" si="8"/>
        <v>#DIV/0!</v>
      </c>
      <c r="AS5" s="29" t="str">
        <f t="shared" si="8"/>
        <v>#DIV/0!</v>
      </c>
      <c r="AT5" s="29" t="str">
        <f t="shared" si="8"/>
        <v>#DIV/0!</v>
      </c>
      <c r="AU5" s="29" t="str">
        <f t="shared" si="8"/>
        <v>#DIV/0!</v>
      </c>
      <c r="AV5" s="29" t="str">
        <f t="shared" si="8"/>
        <v>#DIV/0!</v>
      </c>
      <c r="AW5" s="29" t="str">
        <f t="shared" si="8"/>
        <v>#DIV/0!</v>
      </c>
      <c r="AX5" s="29" t="str">
        <f t="shared" si="8"/>
        <v>#DIV/0!</v>
      </c>
      <c r="AY5" s="29" t="str">
        <f t="shared" si="8"/>
        <v>#DIV/0!</v>
      </c>
      <c r="AZ5" s="29" t="str">
        <f t="shared" si="8"/>
        <v>#DIV/0!</v>
      </c>
      <c r="BA5" s="29" t="str">
        <f t="shared" si="8"/>
        <v>#DIV/0!</v>
      </c>
      <c r="BB5" s="29" t="str">
        <f t="shared" si="8"/>
        <v>#DIV/0!</v>
      </c>
      <c r="BC5" s="29" t="str">
        <f t="shared" si="8"/>
        <v>#DIV/0!</v>
      </c>
      <c r="BD5" s="29" t="str">
        <f t="shared" si="8"/>
        <v>#DIV/0!</v>
      </c>
      <c r="BE5" s="29" t="str">
        <f t="shared" si="8"/>
        <v>#DIV/0!</v>
      </c>
      <c r="BF5" s="29" t="str">
        <f t="shared" si="8"/>
        <v>#DIV/0!</v>
      </c>
      <c r="BG5" s="29" t="str">
        <f t="shared" si="8"/>
        <v>#DIV/0!</v>
      </c>
      <c r="BH5" s="29" t="str">
        <f t="shared" si="8"/>
        <v>#DIV/0!</v>
      </c>
      <c r="BI5" s="29" t="str">
        <f t="shared" si="8"/>
        <v>#DIV/0!</v>
      </c>
      <c r="BJ5" s="29" t="str">
        <f t="shared" si="8"/>
        <v>#DIV/0!</v>
      </c>
      <c r="BK5" s="29" t="str">
        <f t="shared" si="8"/>
        <v>#DIV/0!</v>
      </c>
      <c r="BL5" s="29" t="str">
        <f t="shared" si="8"/>
        <v>#DIV/0!</v>
      </c>
      <c r="BM5" s="29" t="str">
        <f t="shared" si="3"/>
        <v>#DIV/0!</v>
      </c>
    </row>
    <row r="6">
      <c r="A6" s="16" t="str">
        <f>IFERROR(__xludf.DUMMYFUNCTION("IFERROR(SPARKLINE(SORT(MAP(TRANSPOSE(AQ6:BL6), LAMBDA(val, IF(ISNUMBER(val), PERCENTRANK(AQ6:BL6, val)+0.01, 0))), SEQUENCE(COLUMNS(AQ6:BL6)), FALSE), {""charttype"",""column""; ""color"",""chartreuse""; ""ymin"", 0; ""ymax"", 1.01; ""highcolor"", ""darkg"&amp;"reen""; ""lowcolor"", ""red""}), """")"),"")</f>
        <v/>
      </c>
      <c r="B6" s="17" t="str">
        <f t="shared" si="4"/>
        <v/>
      </c>
      <c r="C6" s="1" t="s">
        <v>70</v>
      </c>
      <c r="D6" s="34" t="str">
        <f>IFERROR(__xludf.DUMMYFUNCTION("IFERROR(GOOGLEFINANCE(C6, ""NAME""))"),"Victory Capital Holdings Inc")</f>
        <v>Victory Capital Holdings Inc</v>
      </c>
      <c r="E6" s="30" t="s">
        <v>64</v>
      </c>
      <c r="F6" s="33" t="str">
        <f>IFERROR(__xludf.DUMMYFUNCTION("( (GOOGLEFINANCE(C6, ""price"") - Q6) / Q6 ) / (R6 / 100)"),"Loading...")</f>
        <v>Loading...</v>
      </c>
      <c r="G6" s="20" t="str">
        <f>IFERROR(__xludf.DUMMYFUNCTION("AVERAGE(ARRAYFORMULA(100 * (QUERY(GOOGLEFINANCE(C6, ""high"", TODAY()-40, TODAY()), ""SELECT Col2 WHERE Col2 IS NOT NULL ORDER BY Col1 DESC LIMIT 20"", 0) / QUERY(GOOGLEFINANCE(C6, ""low"", TODAY()-40, TODAY()), ""SELECT Col2 WHERE Col2 IS NOT NULL ORDER "&amp;"BY Col1 DESC LIMIT 20"", 0) - 1)))"),"#N/A")</f>
        <v>#N/A</v>
      </c>
      <c r="H6" s="35" t="str">
        <f t="shared" si="6"/>
        <v/>
      </c>
      <c r="I6" s="36" t="str">
        <f t="shared" si="7"/>
        <v/>
      </c>
      <c r="J6" s="37" t="str">
        <f>IFERROR(__xludf.DUMMYFUNCTION("IFERROR(
  IF(C6="""",, 
    IFERROR(
      GOOGLEFINANCE(C6, ""price"") * GOOGLEFINANCE(C6, ""volumeavg""), 
      GOOGLEFINANCE(C6, ""price"") * AVERAGE(QUERY(GOOGLEFINANCE(C6, ""volume"", TODAY()-40, TODAY()), ""SELECT Col2 WHERE Col2 IS NOT NULL ORDER"&amp;" BY Col1 DESC LIMIT 20"", 0))
    )
  ), 
"""")"),"")</f>
        <v/>
      </c>
      <c r="K6" s="21" t="str">
        <f>IFERROR(__xludf.DUMMYFUNCTION("IFERROR(GOOGLEFINANCE(C6, ""changepct"") / 100, """")"),"")</f>
        <v/>
      </c>
      <c r="L6" s="21" t="str">
        <f>IFERROR(__xludf.DUMMYFUNCTION("IFERROR((GOOGLEFINANCE(C6, ""price"") / INDEX(GOOGLEFINANCE(C6, ""price"", TODAY()-7, TODAY()), 2, 2)) - 1, """")"),"")</f>
        <v/>
      </c>
      <c r="M6" s="21" t="str">
        <f>IFERROR(__xludf.DUMMYFUNCTION("IFERROR((GOOGLEFINANCE(C6, ""price"") / INDEX(GOOGLEFINANCE(C6, ""price"", EDATE(TODAY(), -1), TODAY()), 2, 2)) - 1, """")"),"")</f>
        <v/>
      </c>
      <c r="N6" s="21" t="str">
        <f>IFERROR(__xludf.DUMMYFUNCTION("IFERROR((GOOGLEFINANCE(C6, ""price"") / INDEX(GOOGLEFINANCE(C6, ""price"", EDATE(TODAY(), -3), TODAY()), 2, 2)) - 1, """")"),"")</f>
        <v/>
      </c>
      <c r="O6" s="21" t="str">
        <f>IFERROR(__xludf.DUMMYFUNCTION("IFERROR((GOOGLEFINANCE(C6, ""price"") / INDEX(GOOGLEFINANCE(C6, ""price"", EDATE(TODAY(), -6), TODAY()), 2, 2)) - 1, """")"),"")</f>
        <v/>
      </c>
      <c r="P6" s="21" t="str">
        <f>IFERROR(__xludf.DUMMYFUNCTION("IFERROR((GOOGLEFINANCE(C6, ""price"") / INDEX(GOOGLEFINANCE(C6, ""price"", EDATE(TODAY(), -12), TODAY()), 2, 2)) - 1, """")"),"")</f>
        <v/>
      </c>
      <c r="Q6" s="6" t="str">
        <f>IFERROR(__xludf.DUMMYFUNCTION("AVERAGE(QUERY(GOOGLEFINANCE(C6, ""price"", TODAY()-80, TODAY()), ""SELECT Col2 WHERE Col2 IS NOT NULL ORDER BY Col1 DESC LIMIT 50"", 0))"),"#N/A")</f>
        <v>#N/A</v>
      </c>
      <c r="R6" s="24" t="str">
        <f>IFERROR(__xludf.DUMMYFUNCTION("IFERROR(
  LET(
    data, QUERY(GOOGLEFINANCE(C6,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GOOGLEFINANCE(C6, ""price"")) * 100,
    IF(calc=0, G6, calc)
  ), 
G6)"),"#N/A")</f>
        <v>#N/A</v>
      </c>
      <c r="S6" s="8" t="s">
        <v>15</v>
      </c>
      <c r="T6" s="26" t="str">
        <f>IFERROR(__xludf.DUMMYFUNCTION("IFERROR(TRANSPOSE(QUERY(IFERROR(SORT(GOOGLEFINANCE(C6, ""price"", WORKDAY(TODAY(), -40), TODAY()), 1, FALSE)), ""select Col2 where Col2 is not null limit 22 label Col2 ''"", 0)), """")"),"")</f>
        <v/>
      </c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8"/>
      <c r="AO6" s="28"/>
      <c r="AP6" s="29"/>
      <c r="AQ6" s="29" t="str">
        <f t="shared" ref="AQ6:BL6" si="9">T6/T$2</f>
        <v>#N/A</v>
      </c>
      <c r="AR6" s="29" t="str">
        <f t="shared" si="9"/>
        <v>#DIV/0!</v>
      </c>
      <c r="AS6" s="29" t="str">
        <f t="shared" si="9"/>
        <v>#DIV/0!</v>
      </c>
      <c r="AT6" s="29" t="str">
        <f t="shared" si="9"/>
        <v>#DIV/0!</v>
      </c>
      <c r="AU6" s="29" t="str">
        <f t="shared" si="9"/>
        <v>#DIV/0!</v>
      </c>
      <c r="AV6" s="29" t="str">
        <f t="shared" si="9"/>
        <v>#DIV/0!</v>
      </c>
      <c r="AW6" s="29" t="str">
        <f t="shared" si="9"/>
        <v>#DIV/0!</v>
      </c>
      <c r="AX6" s="29" t="str">
        <f t="shared" si="9"/>
        <v>#DIV/0!</v>
      </c>
      <c r="AY6" s="29" t="str">
        <f t="shared" si="9"/>
        <v>#DIV/0!</v>
      </c>
      <c r="AZ6" s="29" t="str">
        <f t="shared" si="9"/>
        <v>#DIV/0!</v>
      </c>
      <c r="BA6" s="29" t="str">
        <f t="shared" si="9"/>
        <v>#DIV/0!</v>
      </c>
      <c r="BB6" s="29" t="str">
        <f t="shared" si="9"/>
        <v>#DIV/0!</v>
      </c>
      <c r="BC6" s="29" t="str">
        <f t="shared" si="9"/>
        <v>#DIV/0!</v>
      </c>
      <c r="BD6" s="29" t="str">
        <f t="shared" si="9"/>
        <v>#DIV/0!</v>
      </c>
      <c r="BE6" s="29" t="str">
        <f t="shared" si="9"/>
        <v>#DIV/0!</v>
      </c>
      <c r="BF6" s="29" t="str">
        <f t="shared" si="9"/>
        <v>#DIV/0!</v>
      </c>
      <c r="BG6" s="29" t="str">
        <f t="shared" si="9"/>
        <v>#DIV/0!</v>
      </c>
      <c r="BH6" s="29" t="str">
        <f t="shared" si="9"/>
        <v>#DIV/0!</v>
      </c>
      <c r="BI6" s="29" t="str">
        <f t="shared" si="9"/>
        <v>#DIV/0!</v>
      </c>
      <c r="BJ6" s="29" t="str">
        <f t="shared" si="9"/>
        <v>#DIV/0!</v>
      </c>
      <c r="BK6" s="29" t="str">
        <f t="shared" si="9"/>
        <v>#DIV/0!</v>
      </c>
      <c r="BL6" s="29" t="str">
        <f t="shared" si="9"/>
        <v>#DIV/0!</v>
      </c>
      <c r="BM6" s="29" t="str">
        <f t="shared" si="3"/>
        <v>#DIV/0!</v>
      </c>
    </row>
    <row r="7">
      <c r="A7" s="16" t="str">
        <f>IFERROR(__xludf.DUMMYFUNCTION("IFERROR(SPARKLINE(SORT(MAP(TRANSPOSE(AQ7:BL7), LAMBDA(val, IF(ISNUMBER(val), PERCENTRANK(AQ7:BL7, val)+0.01, 0))), SEQUENCE(COLUMNS(AQ7:BL7)), FALSE), {""charttype"",""column""; ""color"",""chartreuse""; ""ymin"", 0; ""ymax"", 1.01; ""highcolor"", ""darkg"&amp;"reen""; ""lowcolor"", ""red""}), """")"),"")</f>
        <v/>
      </c>
      <c r="B7" s="17" t="str">
        <f t="shared" si="4"/>
        <v/>
      </c>
      <c r="C7" s="1" t="s">
        <v>76</v>
      </c>
      <c r="D7" s="34" t="str">
        <f>IFERROR(__xludf.DUMMYFUNCTION("IFERROR(GOOGLEFINANCE(C7, ""NAME""))"),"Miami International Holdings Inc")</f>
        <v>Miami International Holdings Inc</v>
      </c>
      <c r="E7" s="30" t="s">
        <v>77</v>
      </c>
      <c r="F7" s="33" t="str">
        <f>IFERROR(__xludf.DUMMYFUNCTION("( (GOOGLEFINANCE(C7, ""price"") - Q7) / Q7 ) / (R7 / 100)"),"Loading...")</f>
        <v>Loading...</v>
      </c>
      <c r="G7" s="20" t="str">
        <f>IFERROR(__xludf.DUMMYFUNCTION("AVERAGE(ARRAYFORMULA(100 * (QUERY(GOOGLEFINANCE(C7, ""high"", TODAY()-40, TODAY()), ""SELECT Col2 WHERE Col2 IS NOT NULL ORDER BY Col1 DESC LIMIT 20"", 0) / QUERY(GOOGLEFINANCE(C7, ""low"", TODAY()-40, TODAY()), ""SELECT Col2 WHERE Col2 IS NOT NULL ORDER "&amp;"BY Col1 DESC LIMIT 20"", 0) - 1)))"),"#N/A")</f>
        <v>#N/A</v>
      </c>
      <c r="H7" s="35" t="str">
        <f t="shared" si="6"/>
        <v/>
      </c>
      <c r="I7" s="36" t="str">
        <f t="shared" si="7"/>
        <v/>
      </c>
      <c r="J7" s="37" t="str">
        <f>IFERROR(__xludf.DUMMYFUNCTION("IFERROR(
  IF(C7="""",, 
    IFERROR(
      GOOGLEFINANCE(C7, ""price"") * GOOGLEFINANCE(C7, ""volumeavg""), 
      GOOGLEFINANCE(C7, ""price"") * AVERAGE(QUERY(GOOGLEFINANCE(C7, ""volume"", TODAY()-40, TODAY()), ""SELECT Col2 WHERE Col2 IS NOT NULL ORDER"&amp;" BY Col1 DESC LIMIT 20"", 0))
    )
  ), 
"""")"),"")</f>
        <v/>
      </c>
      <c r="K7" s="21" t="str">
        <f>IFERROR(__xludf.DUMMYFUNCTION("IFERROR(GOOGLEFINANCE(C7, ""changepct"") / 100, """")"),"")</f>
        <v/>
      </c>
      <c r="L7" s="21" t="str">
        <f>IFERROR(__xludf.DUMMYFUNCTION("IFERROR((GOOGLEFINANCE(C7, ""price"") / INDEX(GOOGLEFINANCE(C7, ""price"", TODAY()-7, TODAY()), 2, 2)) - 1, """")"),"")</f>
        <v/>
      </c>
      <c r="M7" s="21" t="str">
        <f>IFERROR(__xludf.DUMMYFUNCTION("IFERROR((GOOGLEFINANCE(C7, ""price"") / INDEX(GOOGLEFINANCE(C7, ""price"", EDATE(TODAY(), -1), TODAY()), 2, 2)) - 1, """")"),"")</f>
        <v/>
      </c>
      <c r="N7" s="21" t="str">
        <f>IFERROR(__xludf.DUMMYFUNCTION("IFERROR((GOOGLEFINANCE(C7, ""price"") / INDEX(GOOGLEFINANCE(C7, ""price"", EDATE(TODAY(), -3), TODAY()), 2, 2)) - 1, """")"),"")</f>
        <v/>
      </c>
      <c r="O7" s="21" t="str">
        <f>IFERROR(__xludf.DUMMYFUNCTION("IFERROR((GOOGLEFINANCE(C7, ""price"") / INDEX(GOOGLEFINANCE(C7, ""price"", EDATE(TODAY(), -6), TODAY()), 2, 2)) - 1, """")"),"")</f>
        <v/>
      </c>
      <c r="P7" s="21" t="str">
        <f>IFERROR(__xludf.DUMMYFUNCTION("IFERROR((GOOGLEFINANCE(C7, ""price"") / INDEX(GOOGLEFINANCE(C7, ""price"", EDATE(TODAY(), -12), TODAY()), 2, 2)) - 1, """")"),"")</f>
        <v/>
      </c>
      <c r="Q7" s="6" t="str">
        <f>IFERROR(__xludf.DUMMYFUNCTION("AVERAGE(QUERY(GOOGLEFINANCE(C7, ""price"", TODAY()-80, TODAY()), ""SELECT Col2 WHERE Col2 IS NOT NULL ORDER BY Col1 DESC LIMIT 50"", 0))"),"#N/A")</f>
        <v>#N/A</v>
      </c>
      <c r="R7" s="24" t="str">
        <f>IFERROR(__xludf.DUMMYFUNCTION("IFERROR(
  LET(
    data, QUERY(GOOGLEFINANCE(C7,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GOOGLEFINANCE(C7, ""price"")) * 100,
    IF(calc=0, G7, calc)
  ), 
G7)"),"#N/A")</f>
        <v>#N/A</v>
      </c>
      <c r="S7" s="8" t="s">
        <v>15</v>
      </c>
      <c r="T7" s="26" t="str">
        <f>IFERROR(__xludf.DUMMYFUNCTION("IFERROR(TRANSPOSE(QUERY(IFERROR(SORT(GOOGLEFINANCE(C7, ""price"", WORKDAY(TODAY(), -40), TODAY()), 1, FALSE)), ""select Col2 where Col2 is not null limit 22 label Col2 ''"", 0)), """")"),"")</f>
        <v/>
      </c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8"/>
      <c r="AO7" s="28"/>
      <c r="AP7" s="29"/>
      <c r="AQ7" s="29" t="str">
        <f t="shared" ref="AQ7:BL7" si="10">T7/T$2</f>
        <v>#N/A</v>
      </c>
      <c r="AR7" s="29" t="str">
        <f t="shared" si="10"/>
        <v>#DIV/0!</v>
      </c>
      <c r="AS7" s="29" t="str">
        <f t="shared" si="10"/>
        <v>#DIV/0!</v>
      </c>
      <c r="AT7" s="29" t="str">
        <f t="shared" si="10"/>
        <v>#DIV/0!</v>
      </c>
      <c r="AU7" s="29" t="str">
        <f t="shared" si="10"/>
        <v>#DIV/0!</v>
      </c>
      <c r="AV7" s="29" t="str">
        <f t="shared" si="10"/>
        <v>#DIV/0!</v>
      </c>
      <c r="AW7" s="29" t="str">
        <f t="shared" si="10"/>
        <v>#DIV/0!</v>
      </c>
      <c r="AX7" s="29" t="str">
        <f t="shared" si="10"/>
        <v>#DIV/0!</v>
      </c>
      <c r="AY7" s="29" t="str">
        <f t="shared" si="10"/>
        <v>#DIV/0!</v>
      </c>
      <c r="AZ7" s="29" t="str">
        <f t="shared" si="10"/>
        <v>#DIV/0!</v>
      </c>
      <c r="BA7" s="29" t="str">
        <f t="shared" si="10"/>
        <v>#DIV/0!</v>
      </c>
      <c r="BB7" s="29" t="str">
        <f t="shared" si="10"/>
        <v>#DIV/0!</v>
      </c>
      <c r="BC7" s="29" t="str">
        <f t="shared" si="10"/>
        <v>#DIV/0!</v>
      </c>
      <c r="BD7" s="29" t="str">
        <f t="shared" si="10"/>
        <v>#DIV/0!</v>
      </c>
      <c r="BE7" s="29" t="str">
        <f t="shared" si="10"/>
        <v>#DIV/0!</v>
      </c>
      <c r="BF7" s="29" t="str">
        <f t="shared" si="10"/>
        <v>#DIV/0!</v>
      </c>
      <c r="BG7" s="29" t="str">
        <f t="shared" si="10"/>
        <v>#DIV/0!</v>
      </c>
      <c r="BH7" s="29" t="str">
        <f t="shared" si="10"/>
        <v>#DIV/0!</v>
      </c>
      <c r="BI7" s="29" t="str">
        <f t="shared" si="10"/>
        <v>#DIV/0!</v>
      </c>
      <c r="BJ7" s="29" t="str">
        <f t="shared" si="10"/>
        <v>#DIV/0!</v>
      </c>
      <c r="BK7" s="29" t="str">
        <f t="shared" si="10"/>
        <v>#DIV/0!</v>
      </c>
      <c r="BL7" s="29" t="str">
        <f t="shared" si="10"/>
        <v>#DIV/0!</v>
      </c>
      <c r="BM7" s="29" t="str">
        <f t="shared" si="3"/>
        <v>#DIV/0!</v>
      </c>
    </row>
    <row r="8">
      <c r="A8" s="16" t="str">
        <f>IFERROR(__xludf.DUMMYFUNCTION("IFERROR(SPARKLINE(SORT(MAP(TRANSPOSE(AQ8:BL8), LAMBDA(val, IF(ISNUMBER(val), PERCENTRANK(AQ8:BL8, val)+0.01, 0))), SEQUENCE(COLUMNS(AQ8:BL8)), FALSE), {""charttype"",""column""; ""color"",""chartreuse""; ""ymin"", 0; ""ymax"", 1.01; ""highcolor"", ""darkg"&amp;"reen""; ""lowcolor"", ""red""}), """")"),"")</f>
        <v/>
      </c>
      <c r="B8" s="17" t="str">
        <f t="shared" si="4"/>
        <v/>
      </c>
      <c r="C8" s="1" t="s">
        <v>81</v>
      </c>
      <c r="D8" s="34" t="str">
        <f>IFERROR(__xludf.DUMMYFUNCTION("IFERROR(GOOGLEFINANCE(C8, ""NAME""))"),"Bowhead Specialty Holdings Inc")</f>
        <v>Bowhead Specialty Holdings Inc</v>
      </c>
      <c r="E8" s="30" t="s">
        <v>82</v>
      </c>
      <c r="F8" s="33" t="str">
        <f>IFERROR(__xludf.DUMMYFUNCTION("( (GOOGLEFINANCE(C8, ""price"") - Q8) / Q8 ) / (R8 / 100)"),"Loading...")</f>
        <v>Loading...</v>
      </c>
      <c r="G8" s="20" t="str">
        <f>IFERROR(__xludf.DUMMYFUNCTION("AVERAGE(ARRAYFORMULA(100 * (QUERY(GOOGLEFINANCE(C8, ""high"", TODAY()-40, TODAY()), ""SELECT Col2 WHERE Col2 IS NOT NULL ORDER BY Col1 DESC LIMIT 20"", 0) / QUERY(GOOGLEFINANCE(C8, ""low"", TODAY()-40, TODAY()), ""SELECT Col2 WHERE Col2 IS NOT NULL ORDER "&amp;"BY Col1 DESC LIMIT 20"", 0) - 1)))"),"#N/A")</f>
        <v>#N/A</v>
      </c>
      <c r="H8" s="35" t="str">
        <f t="shared" si="6"/>
        <v/>
      </c>
      <c r="I8" s="36" t="str">
        <f t="shared" si="7"/>
        <v/>
      </c>
      <c r="J8" s="37" t="str">
        <f>IFERROR(__xludf.DUMMYFUNCTION("IFERROR(
  IF(C8="""",, 
    IFERROR(
      GOOGLEFINANCE(C8, ""price"") * GOOGLEFINANCE(C8, ""volumeavg""), 
      GOOGLEFINANCE(C8, ""price"") * AVERAGE(QUERY(GOOGLEFINANCE(C8, ""volume"", TODAY()-40, TODAY()), ""SELECT Col2 WHERE Col2 IS NOT NULL ORDER"&amp;" BY Col1 DESC LIMIT 20"", 0))
    )
  ), 
"""")"),"")</f>
        <v/>
      </c>
      <c r="K8" s="21" t="str">
        <f>IFERROR(__xludf.DUMMYFUNCTION("IFERROR(GOOGLEFINANCE(C8, ""changepct"") / 100, """")"),"")</f>
        <v/>
      </c>
      <c r="L8" s="21" t="str">
        <f>IFERROR(__xludf.DUMMYFUNCTION("IFERROR((GOOGLEFINANCE(C8, ""price"") / INDEX(GOOGLEFINANCE(C8, ""price"", TODAY()-7, TODAY()), 2, 2)) - 1, """")"),"")</f>
        <v/>
      </c>
      <c r="M8" s="21" t="str">
        <f>IFERROR(__xludf.DUMMYFUNCTION("IFERROR((GOOGLEFINANCE(C8, ""price"") / INDEX(GOOGLEFINANCE(C8, ""price"", EDATE(TODAY(), -1), TODAY()), 2, 2)) - 1, """")"),"")</f>
        <v/>
      </c>
      <c r="N8" s="21" t="str">
        <f>IFERROR(__xludf.DUMMYFUNCTION("IFERROR((GOOGLEFINANCE(C8, ""price"") / INDEX(GOOGLEFINANCE(C8, ""price"", EDATE(TODAY(), -3), TODAY()), 2, 2)) - 1, """")"),"")</f>
        <v/>
      </c>
      <c r="O8" s="21" t="str">
        <f>IFERROR(__xludf.DUMMYFUNCTION("IFERROR((GOOGLEFINANCE(C8, ""price"") / INDEX(GOOGLEFINANCE(C8, ""price"", EDATE(TODAY(), -6), TODAY()), 2, 2)) - 1, """")"),"")</f>
        <v/>
      </c>
      <c r="P8" s="21" t="str">
        <f>IFERROR(__xludf.DUMMYFUNCTION("IFERROR((GOOGLEFINANCE(C8, ""price"") / INDEX(GOOGLEFINANCE(C8, ""price"", EDATE(TODAY(), -12), TODAY()), 2, 2)) - 1, """")"),"")</f>
        <v/>
      </c>
      <c r="Q8" s="6" t="str">
        <f>IFERROR(__xludf.DUMMYFUNCTION("AVERAGE(QUERY(GOOGLEFINANCE(C8, ""price"", TODAY()-80, TODAY()), ""SELECT Col2 WHERE Col2 IS NOT NULL ORDER BY Col1 DESC LIMIT 50"", 0))"),"#N/A")</f>
        <v>#N/A</v>
      </c>
      <c r="R8" s="24" t="str">
        <f>IFERROR(__xludf.DUMMYFUNCTION("IFERROR(
  LET(
    data, QUERY(GOOGLEFINANCE(C8,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GOOGLEFINANCE(C8, ""price"")) * 100,
    IF(calc=0, G8, calc)
  ), 
G8)"),"#N/A")</f>
        <v>#N/A</v>
      </c>
      <c r="S8" s="8" t="s">
        <v>15</v>
      </c>
      <c r="T8" s="26" t="str">
        <f>IFERROR(__xludf.DUMMYFUNCTION("IFERROR(TRANSPOSE(QUERY(IFERROR(SORT(GOOGLEFINANCE(C8, ""price"", WORKDAY(TODAY(), -40), TODAY()), 1, FALSE)), ""select Col2 where Col2 is not null limit 22 label Col2 ''"", 0)), """")"),"")</f>
        <v/>
      </c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8"/>
      <c r="AO8" s="28"/>
      <c r="AP8" s="29"/>
      <c r="AQ8" s="29" t="str">
        <f t="shared" ref="AQ8:BL8" si="11">T8/T$2</f>
        <v>#N/A</v>
      </c>
      <c r="AR8" s="29" t="str">
        <f t="shared" si="11"/>
        <v>#DIV/0!</v>
      </c>
      <c r="AS8" s="29" t="str">
        <f t="shared" si="11"/>
        <v>#DIV/0!</v>
      </c>
      <c r="AT8" s="29" t="str">
        <f t="shared" si="11"/>
        <v>#DIV/0!</v>
      </c>
      <c r="AU8" s="29" t="str">
        <f t="shared" si="11"/>
        <v>#DIV/0!</v>
      </c>
      <c r="AV8" s="29" t="str">
        <f t="shared" si="11"/>
        <v>#DIV/0!</v>
      </c>
      <c r="AW8" s="29" t="str">
        <f t="shared" si="11"/>
        <v>#DIV/0!</v>
      </c>
      <c r="AX8" s="29" t="str">
        <f t="shared" si="11"/>
        <v>#DIV/0!</v>
      </c>
      <c r="AY8" s="29" t="str">
        <f t="shared" si="11"/>
        <v>#DIV/0!</v>
      </c>
      <c r="AZ8" s="29" t="str">
        <f t="shared" si="11"/>
        <v>#DIV/0!</v>
      </c>
      <c r="BA8" s="29" t="str">
        <f t="shared" si="11"/>
        <v>#DIV/0!</v>
      </c>
      <c r="BB8" s="29" t="str">
        <f t="shared" si="11"/>
        <v>#DIV/0!</v>
      </c>
      <c r="BC8" s="29" t="str">
        <f t="shared" si="11"/>
        <v>#DIV/0!</v>
      </c>
      <c r="BD8" s="29" t="str">
        <f t="shared" si="11"/>
        <v>#DIV/0!</v>
      </c>
      <c r="BE8" s="29" t="str">
        <f t="shared" si="11"/>
        <v>#DIV/0!</v>
      </c>
      <c r="BF8" s="29" t="str">
        <f t="shared" si="11"/>
        <v>#DIV/0!</v>
      </c>
      <c r="BG8" s="29" t="str">
        <f t="shared" si="11"/>
        <v>#DIV/0!</v>
      </c>
      <c r="BH8" s="29" t="str">
        <f t="shared" si="11"/>
        <v>#DIV/0!</v>
      </c>
      <c r="BI8" s="29" t="str">
        <f t="shared" si="11"/>
        <v>#DIV/0!</v>
      </c>
      <c r="BJ8" s="29" t="str">
        <f t="shared" si="11"/>
        <v>#DIV/0!</v>
      </c>
      <c r="BK8" s="29" t="str">
        <f t="shared" si="11"/>
        <v>#DIV/0!</v>
      </c>
      <c r="BL8" s="29" t="str">
        <f t="shared" si="11"/>
        <v>#DIV/0!</v>
      </c>
      <c r="BM8" s="29" t="str">
        <f t="shared" si="3"/>
        <v>#DIV/0!</v>
      </c>
    </row>
    <row r="9">
      <c r="A9" s="16" t="str">
        <f>IFERROR(__xludf.DUMMYFUNCTION("IFERROR(SPARKLINE(SORT(MAP(TRANSPOSE(AQ9:BL9), LAMBDA(val, IF(ISNUMBER(val), PERCENTRANK(AQ9:BL9, val)+0.01, 0))), SEQUENCE(COLUMNS(AQ9:BL9)), FALSE), {""charttype"",""column""; ""color"",""chartreuse""; ""ymin"", 0; ""ymax"", 1.01; ""highcolor"", ""darkg"&amp;"reen""; ""lowcolor"", ""red""}), """")"),"")</f>
        <v/>
      </c>
      <c r="B9" s="17" t="str">
        <f t="shared" si="4"/>
        <v/>
      </c>
      <c r="C9" s="1" t="s">
        <v>87</v>
      </c>
      <c r="D9" s="34" t="str">
        <f>IFERROR(__xludf.DUMMYFUNCTION("IFERROR(GOOGLEFINANCE(C9, ""NAME""))"),"Franklin Templeton, Inc.")</f>
        <v>Franklin Templeton, Inc.</v>
      </c>
      <c r="E9" s="30" t="s">
        <v>64</v>
      </c>
      <c r="F9" s="33" t="str">
        <f>IFERROR(__xludf.DUMMYFUNCTION("( (GOOGLEFINANCE(C9, ""price"") - Q9) / Q9 ) / (R9 / 100)"),"Loading...")</f>
        <v>Loading...</v>
      </c>
      <c r="G9" s="20" t="str">
        <f>IFERROR(__xludf.DUMMYFUNCTION("AVERAGE(ARRAYFORMULA(100 * (QUERY(GOOGLEFINANCE(C9, ""high"", TODAY()-40, TODAY()), ""SELECT Col2 WHERE Col2 IS NOT NULL ORDER BY Col1 DESC LIMIT 20"", 0) / QUERY(GOOGLEFINANCE(C9, ""low"", TODAY()-40, TODAY()), ""SELECT Col2 WHERE Col2 IS NOT NULL ORDER "&amp;"BY Col1 DESC LIMIT 20"", 0) - 1)))"),"#N/A")</f>
        <v>#N/A</v>
      </c>
      <c r="H9" s="35" t="str">
        <f t="shared" si="6"/>
        <v/>
      </c>
      <c r="I9" s="36" t="str">
        <f t="shared" si="7"/>
        <v/>
      </c>
      <c r="J9" s="37" t="str">
        <f>IFERROR(__xludf.DUMMYFUNCTION("IFERROR(
  IF(C9="""",, 
    IFERROR(
      GOOGLEFINANCE(C9, ""price"") * GOOGLEFINANCE(C9, ""volumeavg""), 
      GOOGLEFINANCE(C9, ""price"") * AVERAGE(QUERY(GOOGLEFINANCE(C9, ""volume"", TODAY()-40, TODAY()), ""SELECT Col2 WHERE Col2 IS NOT NULL ORDER"&amp;" BY Col1 DESC LIMIT 20"", 0))
    )
  ), 
"""")"),"")</f>
        <v/>
      </c>
      <c r="K9" s="21" t="str">
        <f>IFERROR(__xludf.DUMMYFUNCTION("IFERROR(GOOGLEFINANCE(C9, ""changepct"") / 100, """")"),"")</f>
        <v/>
      </c>
      <c r="L9" s="21" t="str">
        <f>IFERROR(__xludf.DUMMYFUNCTION("IFERROR((GOOGLEFINANCE(C9, ""price"") / INDEX(GOOGLEFINANCE(C9, ""price"", TODAY()-7, TODAY()), 2, 2)) - 1, """")"),"")</f>
        <v/>
      </c>
      <c r="M9" s="21" t="str">
        <f>IFERROR(__xludf.DUMMYFUNCTION("IFERROR((GOOGLEFINANCE(C9, ""price"") / INDEX(GOOGLEFINANCE(C9, ""price"", EDATE(TODAY(), -1), TODAY()), 2, 2)) - 1, """")"),"")</f>
        <v/>
      </c>
      <c r="N9" s="21" t="str">
        <f>IFERROR(__xludf.DUMMYFUNCTION("IFERROR((GOOGLEFINANCE(C9, ""price"") / INDEX(GOOGLEFINANCE(C9, ""price"", EDATE(TODAY(), -3), TODAY()), 2, 2)) - 1, """")"),"")</f>
        <v/>
      </c>
      <c r="O9" s="21" t="str">
        <f>IFERROR(__xludf.DUMMYFUNCTION("IFERROR((GOOGLEFINANCE(C9, ""price"") / INDEX(GOOGLEFINANCE(C9, ""price"", EDATE(TODAY(), -6), TODAY()), 2, 2)) - 1, """")"),"")</f>
        <v/>
      </c>
      <c r="P9" s="21" t="str">
        <f>IFERROR(__xludf.DUMMYFUNCTION("IFERROR((GOOGLEFINANCE(C9, ""price"") / INDEX(GOOGLEFINANCE(C9, ""price"", EDATE(TODAY(), -12), TODAY()), 2, 2)) - 1, """")"),"")</f>
        <v/>
      </c>
      <c r="Q9" s="6" t="str">
        <f>IFERROR(__xludf.DUMMYFUNCTION("AVERAGE(QUERY(GOOGLEFINANCE(C9, ""price"", TODAY()-80, TODAY()), ""SELECT Col2 WHERE Col2 IS NOT NULL ORDER BY Col1 DESC LIMIT 50"", 0))"),"#N/A")</f>
        <v>#N/A</v>
      </c>
      <c r="R9" s="24" t="str">
        <f>IFERROR(__xludf.DUMMYFUNCTION("IFERROR(
  LET(
    data, QUERY(GOOGLEFINANCE(C9,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GOOGLEFINANCE(C9, ""price"")) * 100,
    IF(calc=0, G9, calc)
  ), 
G9)"),"#N/A")</f>
        <v>#N/A</v>
      </c>
      <c r="S9" s="8" t="s">
        <v>15</v>
      </c>
      <c r="T9" s="26" t="str">
        <f>IFERROR(__xludf.DUMMYFUNCTION("IFERROR(TRANSPOSE(QUERY(IFERROR(SORT(GOOGLEFINANCE(C9, ""price"", WORKDAY(TODAY(), -40), TODAY()), 1, FALSE)), ""select Col2 where Col2 is not null limit 22 label Col2 ''"", 0)), """")"),"")</f>
        <v/>
      </c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8"/>
      <c r="AO9" s="28"/>
      <c r="AP9" s="29"/>
      <c r="AQ9" s="29" t="str">
        <f t="shared" ref="AQ9:BL9" si="12">T9/T$2</f>
        <v>#N/A</v>
      </c>
      <c r="AR9" s="29" t="str">
        <f t="shared" si="12"/>
        <v>#DIV/0!</v>
      </c>
      <c r="AS9" s="29" t="str">
        <f t="shared" si="12"/>
        <v>#DIV/0!</v>
      </c>
      <c r="AT9" s="29" t="str">
        <f t="shared" si="12"/>
        <v>#DIV/0!</v>
      </c>
      <c r="AU9" s="29" t="str">
        <f t="shared" si="12"/>
        <v>#DIV/0!</v>
      </c>
      <c r="AV9" s="29" t="str">
        <f t="shared" si="12"/>
        <v>#DIV/0!</v>
      </c>
      <c r="AW9" s="29" t="str">
        <f t="shared" si="12"/>
        <v>#DIV/0!</v>
      </c>
      <c r="AX9" s="29" t="str">
        <f t="shared" si="12"/>
        <v>#DIV/0!</v>
      </c>
      <c r="AY9" s="29" t="str">
        <f t="shared" si="12"/>
        <v>#DIV/0!</v>
      </c>
      <c r="AZ9" s="29" t="str">
        <f t="shared" si="12"/>
        <v>#DIV/0!</v>
      </c>
      <c r="BA9" s="29" t="str">
        <f t="shared" si="12"/>
        <v>#DIV/0!</v>
      </c>
      <c r="BB9" s="29" t="str">
        <f t="shared" si="12"/>
        <v>#DIV/0!</v>
      </c>
      <c r="BC9" s="29" t="str">
        <f t="shared" si="12"/>
        <v>#DIV/0!</v>
      </c>
      <c r="BD9" s="29" t="str">
        <f t="shared" si="12"/>
        <v>#DIV/0!</v>
      </c>
      <c r="BE9" s="29" t="str">
        <f t="shared" si="12"/>
        <v>#DIV/0!</v>
      </c>
      <c r="BF9" s="29" t="str">
        <f t="shared" si="12"/>
        <v>#DIV/0!</v>
      </c>
      <c r="BG9" s="29" t="str">
        <f t="shared" si="12"/>
        <v>#DIV/0!</v>
      </c>
      <c r="BH9" s="29" t="str">
        <f t="shared" si="12"/>
        <v>#DIV/0!</v>
      </c>
      <c r="BI9" s="29" t="str">
        <f t="shared" si="12"/>
        <v>#DIV/0!</v>
      </c>
      <c r="BJ9" s="29" t="str">
        <f t="shared" si="12"/>
        <v>#DIV/0!</v>
      </c>
      <c r="BK9" s="29" t="str">
        <f t="shared" si="12"/>
        <v>#DIV/0!</v>
      </c>
      <c r="BL9" s="29" t="str">
        <f t="shared" si="12"/>
        <v>#DIV/0!</v>
      </c>
      <c r="BM9" s="29" t="str">
        <f t="shared" si="3"/>
        <v>#DIV/0!</v>
      </c>
    </row>
    <row r="10">
      <c r="A10" s="16" t="str">
        <f>IFERROR(__xludf.DUMMYFUNCTION("IFERROR(SPARKLINE(SORT(MAP(TRANSPOSE(AQ10:BL10), LAMBDA(val, IF(ISNUMBER(val), PERCENTRANK(AQ10:BL10, val)+0.01, 0))), SEQUENCE(COLUMNS(AQ10:BL10)), FALSE), {""charttype"",""column""; ""color"",""chartreuse""; ""ymin"", 0; ""ymax"", 1.01; ""highcolor"", "&amp;"""darkgreen""; ""lowcolor"", ""red""}), """")"),"")</f>
        <v/>
      </c>
      <c r="B10" s="17" t="str">
        <f t="shared" si="4"/>
        <v/>
      </c>
      <c r="C10" s="1" t="s">
        <v>96</v>
      </c>
      <c r="D10" s="34" t="str">
        <f>IFERROR(__xludf.DUMMYFUNCTION("IFERROR(GOOGLEFINANCE(C10, ""NAME""))"),"Orix Corp")</f>
        <v>Orix Corp</v>
      </c>
      <c r="E10" s="30" t="s">
        <v>97</v>
      </c>
      <c r="F10" s="33" t="str">
        <f>IFERROR(__xludf.DUMMYFUNCTION("( (GOOGLEFINANCE(C10, ""price"") - Q10) / Q10 ) / (R10 / 100)"),"Loading...")</f>
        <v>Loading...</v>
      </c>
      <c r="G10" s="20" t="str">
        <f>IFERROR(__xludf.DUMMYFUNCTION("AVERAGE(ARRAYFORMULA(100 * (QUERY(GOOGLEFINANCE(C10, ""high"", TODAY()-40, TODAY()), ""SELECT Col2 WHERE Col2 IS NOT NULL ORDER BY Col1 DESC LIMIT 20"", 0) / QUERY(GOOGLEFINANCE(C10, ""low"", TODAY()-40, TODAY()), ""SELECT Col2 WHERE Col2 IS NOT NULL ORDE"&amp;"R BY Col1 DESC LIMIT 20"", 0) - 1)))"),"#N/A")</f>
        <v>#N/A</v>
      </c>
      <c r="H10" s="35" t="str">
        <f t="shared" si="6"/>
        <v/>
      </c>
      <c r="I10" s="36" t="str">
        <f t="shared" si="7"/>
        <v/>
      </c>
      <c r="J10" s="37" t="str">
        <f>IFERROR(__xludf.DUMMYFUNCTION("IFERROR(
  IF(C10="""",, 
    IFERROR(
      GOOGLEFINANCE(C10, ""price"") * GOOGLEFINANCE(C10, ""volumeavg""), 
      GOOGLEFINANCE(C10, ""price"") * AVERAGE(QUERY(GOOGLEFINANCE(C10, ""volume"", TODAY()-40, TODAY()), ""SELECT Col2 WHERE Col2 IS NOT NULL "&amp;"ORDER BY Col1 DESC LIMIT 20"", 0))
    )
  ), 
"""")"),"")</f>
        <v/>
      </c>
      <c r="K10" s="21" t="str">
        <f>IFERROR(__xludf.DUMMYFUNCTION("IFERROR(GOOGLEFINANCE(C10, ""changepct"") / 100, """")"),"")</f>
        <v/>
      </c>
      <c r="L10" s="21" t="str">
        <f>IFERROR(__xludf.DUMMYFUNCTION("IFERROR((GOOGLEFINANCE(C10, ""price"") / INDEX(GOOGLEFINANCE(C10, ""price"", TODAY()-7, TODAY()), 2, 2)) - 1, """")"),"")</f>
        <v/>
      </c>
      <c r="M10" s="21" t="str">
        <f>IFERROR(__xludf.DUMMYFUNCTION("IFERROR((GOOGLEFINANCE(C10, ""price"") / INDEX(GOOGLEFINANCE(C10, ""price"", EDATE(TODAY(), -1), TODAY()), 2, 2)) - 1, """")"),"")</f>
        <v/>
      </c>
      <c r="N10" s="21" t="str">
        <f>IFERROR(__xludf.DUMMYFUNCTION("IFERROR((GOOGLEFINANCE(C10, ""price"") / INDEX(GOOGLEFINANCE(C10, ""price"", EDATE(TODAY(), -3), TODAY()), 2, 2)) - 1, """")"),"")</f>
        <v/>
      </c>
      <c r="O10" s="21" t="str">
        <f>IFERROR(__xludf.DUMMYFUNCTION("IFERROR((GOOGLEFINANCE(C10, ""price"") / INDEX(GOOGLEFINANCE(C10, ""price"", EDATE(TODAY(), -6), TODAY()), 2, 2)) - 1, """")"),"")</f>
        <v/>
      </c>
      <c r="P10" s="21" t="str">
        <f>IFERROR(__xludf.DUMMYFUNCTION("IFERROR((GOOGLEFINANCE(C10, ""price"") / INDEX(GOOGLEFINANCE(C10, ""price"", EDATE(TODAY(), -12), TODAY()), 2, 2)) - 1, """")"),"")</f>
        <v/>
      </c>
      <c r="Q10" s="6" t="str">
        <f>IFERROR(__xludf.DUMMYFUNCTION("AVERAGE(QUERY(GOOGLEFINANCE(C10, ""price"", TODAY()-80, TODAY()), ""SELECT Col2 WHERE Col2 IS NOT NULL ORDER BY Col1 DESC LIMIT 50"", 0))"),"#N/A")</f>
        <v>#N/A</v>
      </c>
      <c r="R10" s="24" t="str">
        <f>IFERROR(__xludf.DUMMYFUNCTION("IFERROR(
  LET(
    data, QUERY(GOOGLEFINANCE(C10,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GOOGLEFINANCE(C10, ""price"")) * 100,
    IF(calc=0, G10, calc)
  ), 
G10)"),"#N/A")</f>
        <v>#N/A</v>
      </c>
      <c r="S10" s="8" t="s">
        <v>15</v>
      </c>
      <c r="T10" s="26" t="str">
        <f>IFERROR(__xludf.DUMMYFUNCTION("IFERROR(TRANSPOSE(QUERY(IFERROR(SORT(GOOGLEFINANCE(C10, ""price"", WORKDAY(TODAY(), -40), TODAY()), 1, FALSE)), ""select Col2 where Col2 is not null limit 22 label Col2 ''"", 0)), """")"),"")</f>
        <v/>
      </c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8"/>
      <c r="AO10" s="28"/>
      <c r="AP10" s="29"/>
      <c r="AQ10" s="29" t="str">
        <f t="shared" ref="AQ10:BL10" si="13">T10/T$2</f>
        <v>#N/A</v>
      </c>
      <c r="AR10" s="29" t="str">
        <f t="shared" si="13"/>
        <v>#DIV/0!</v>
      </c>
      <c r="AS10" s="29" t="str">
        <f t="shared" si="13"/>
        <v>#DIV/0!</v>
      </c>
      <c r="AT10" s="29" t="str">
        <f t="shared" si="13"/>
        <v>#DIV/0!</v>
      </c>
      <c r="AU10" s="29" t="str">
        <f t="shared" si="13"/>
        <v>#DIV/0!</v>
      </c>
      <c r="AV10" s="29" t="str">
        <f t="shared" si="13"/>
        <v>#DIV/0!</v>
      </c>
      <c r="AW10" s="29" t="str">
        <f t="shared" si="13"/>
        <v>#DIV/0!</v>
      </c>
      <c r="AX10" s="29" t="str">
        <f t="shared" si="13"/>
        <v>#DIV/0!</v>
      </c>
      <c r="AY10" s="29" t="str">
        <f t="shared" si="13"/>
        <v>#DIV/0!</v>
      </c>
      <c r="AZ10" s="29" t="str">
        <f t="shared" si="13"/>
        <v>#DIV/0!</v>
      </c>
      <c r="BA10" s="29" t="str">
        <f t="shared" si="13"/>
        <v>#DIV/0!</v>
      </c>
      <c r="BB10" s="29" t="str">
        <f t="shared" si="13"/>
        <v>#DIV/0!</v>
      </c>
      <c r="BC10" s="29" t="str">
        <f t="shared" si="13"/>
        <v>#DIV/0!</v>
      </c>
      <c r="BD10" s="29" t="str">
        <f t="shared" si="13"/>
        <v>#DIV/0!</v>
      </c>
      <c r="BE10" s="29" t="str">
        <f t="shared" si="13"/>
        <v>#DIV/0!</v>
      </c>
      <c r="BF10" s="29" t="str">
        <f t="shared" si="13"/>
        <v>#DIV/0!</v>
      </c>
      <c r="BG10" s="29" t="str">
        <f t="shared" si="13"/>
        <v>#DIV/0!</v>
      </c>
      <c r="BH10" s="29" t="str">
        <f t="shared" si="13"/>
        <v>#DIV/0!</v>
      </c>
      <c r="BI10" s="29" t="str">
        <f t="shared" si="13"/>
        <v>#DIV/0!</v>
      </c>
      <c r="BJ10" s="29" t="str">
        <f t="shared" si="13"/>
        <v>#DIV/0!</v>
      </c>
      <c r="BK10" s="29" t="str">
        <f t="shared" si="13"/>
        <v>#DIV/0!</v>
      </c>
      <c r="BL10" s="29" t="str">
        <f t="shared" si="13"/>
        <v>#DIV/0!</v>
      </c>
      <c r="BM10" s="29" t="str">
        <f t="shared" si="3"/>
        <v>#DIV/0!</v>
      </c>
    </row>
    <row r="11">
      <c r="A11" s="16" t="str">
        <f>IFERROR(__xludf.DUMMYFUNCTION("IFERROR(SPARKLINE(SORT(MAP(TRANSPOSE(AQ11:BL11), LAMBDA(val, IF(ISNUMBER(val), PERCENTRANK(AQ11:BL11, val)+0.01, 0))), SEQUENCE(COLUMNS(AQ11:BL11)), FALSE), {""charttype"",""column""; ""color"",""chartreuse""; ""ymin"", 0; ""ymax"", 1.01; ""highcolor"", "&amp;"""darkgreen""; ""lowcolor"", ""red""}), """")"),"")</f>
        <v/>
      </c>
      <c r="B11" s="17" t="str">
        <f t="shared" si="4"/>
        <v/>
      </c>
      <c r="C11" s="1" t="s">
        <v>100</v>
      </c>
      <c r="D11" s="34" t="str">
        <f>IFERROR(__xludf.DUMMYFUNCTION("IFERROR(GOOGLEFINANCE(C11, ""NAME""))"),"Sprott Physical Silver Trust")</f>
        <v>Sprott Physical Silver Trust</v>
      </c>
      <c r="E11" s="30" t="s">
        <v>64</v>
      </c>
      <c r="F11" s="33" t="str">
        <f>IFERROR(__xludf.DUMMYFUNCTION("( (GOOGLEFINANCE(C11, ""price"") - Q11) / Q11 ) / (R11 / 100)"),"Loading...")</f>
        <v>Loading...</v>
      </c>
      <c r="G11" s="20" t="str">
        <f>IFERROR(__xludf.DUMMYFUNCTION("AVERAGE(ARRAYFORMULA(100 * (QUERY(GOOGLEFINANCE(C11, ""high"", TODAY()-40, TODAY()), ""SELECT Col2 WHERE Col2 IS NOT NULL ORDER BY Col1 DESC LIMIT 20"", 0) / QUERY(GOOGLEFINANCE(C11, ""low"", TODAY()-40, TODAY()), ""SELECT Col2 WHERE Col2 IS NOT NULL ORDE"&amp;"R BY Col1 DESC LIMIT 20"", 0) - 1)))"),"#N/A")</f>
        <v>#N/A</v>
      </c>
      <c r="H11" s="35" t="str">
        <f t="shared" si="6"/>
        <v/>
      </c>
      <c r="I11" s="36" t="str">
        <f t="shared" si="7"/>
        <v/>
      </c>
      <c r="J11" s="37" t="str">
        <f>IFERROR(__xludf.DUMMYFUNCTION("IFERROR(
  IF(C11="""",, 
    IFERROR(
      GOOGLEFINANCE(C11, ""price"") * GOOGLEFINANCE(C11, ""volumeavg""), 
      GOOGLEFINANCE(C11, ""price"") * AVERAGE(QUERY(GOOGLEFINANCE(C11, ""volume"", TODAY()-40, TODAY()), ""SELECT Col2 WHERE Col2 IS NOT NULL "&amp;"ORDER BY Col1 DESC LIMIT 20"", 0))
    )
  ), 
"""")"),"")</f>
        <v/>
      </c>
      <c r="K11" s="21" t="str">
        <f>IFERROR(__xludf.DUMMYFUNCTION("IFERROR(GOOGLEFINANCE(C11, ""changepct"") / 100, """")"),"")</f>
        <v/>
      </c>
      <c r="L11" s="21" t="str">
        <f>IFERROR(__xludf.DUMMYFUNCTION("IFERROR((GOOGLEFINANCE(C11, ""price"") / INDEX(GOOGLEFINANCE(C11, ""price"", TODAY()-7, TODAY()), 2, 2)) - 1, """")"),"")</f>
        <v/>
      </c>
      <c r="M11" s="21" t="str">
        <f>IFERROR(__xludf.DUMMYFUNCTION("IFERROR((GOOGLEFINANCE(C11, ""price"") / INDEX(GOOGLEFINANCE(C11, ""price"", EDATE(TODAY(), -1), TODAY()), 2, 2)) - 1, """")"),"")</f>
        <v/>
      </c>
      <c r="N11" s="21" t="str">
        <f>IFERROR(__xludf.DUMMYFUNCTION("IFERROR((GOOGLEFINANCE(C11, ""price"") / INDEX(GOOGLEFINANCE(C11, ""price"", EDATE(TODAY(), -3), TODAY()), 2, 2)) - 1, """")"),"")</f>
        <v/>
      </c>
      <c r="O11" s="21" t="str">
        <f>IFERROR(__xludf.DUMMYFUNCTION("IFERROR((GOOGLEFINANCE(C11, ""price"") / INDEX(GOOGLEFINANCE(C11, ""price"", EDATE(TODAY(), -6), TODAY()), 2, 2)) - 1, """")"),"")</f>
        <v/>
      </c>
      <c r="P11" s="21" t="str">
        <f>IFERROR(__xludf.DUMMYFUNCTION("IFERROR((GOOGLEFINANCE(C11, ""price"") / INDEX(GOOGLEFINANCE(C11, ""price"", EDATE(TODAY(), -12), TODAY()), 2, 2)) - 1, """")"),"")</f>
        <v/>
      </c>
      <c r="Q11" s="6" t="str">
        <f>IFERROR(__xludf.DUMMYFUNCTION("AVERAGE(QUERY(GOOGLEFINANCE(C11, ""price"", TODAY()-80, TODAY()), ""SELECT Col2 WHERE Col2 IS NOT NULL ORDER BY Col1 DESC LIMIT 50"", 0))"),"#N/A")</f>
        <v>#N/A</v>
      </c>
      <c r="R11" s="24" t="str">
        <f>IFERROR(__xludf.DUMMYFUNCTION("IFERROR(
  LET(
    data, QUERY(GOOGLEFINANCE(C11,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GOOGLEFINANCE(C11, ""price"")) * 100,
    IF(calc=0, G11, calc)
  ), 
G11)"),"#N/A")</f>
        <v>#N/A</v>
      </c>
      <c r="S11" s="8" t="s">
        <v>15</v>
      </c>
      <c r="T11" s="26" t="str">
        <f>IFERROR(__xludf.DUMMYFUNCTION("IFERROR(TRANSPOSE(QUERY(IFERROR(SORT(GOOGLEFINANCE(C11, ""price"", WORKDAY(TODAY(), -40), TODAY()), 1, FALSE)), ""select Col2 where Col2 is not null limit 22 label Col2 ''"", 0)), """")"),"")</f>
        <v/>
      </c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8"/>
      <c r="AO11" s="28"/>
      <c r="AP11" s="29"/>
      <c r="AQ11" s="29" t="str">
        <f t="shared" ref="AQ11:BL11" si="14">T11/T$2</f>
        <v>#N/A</v>
      </c>
      <c r="AR11" s="29" t="str">
        <f t="shared" si="14"/>
        <v>#DIV/0!</v>
      </c>
      <c r="AS11" s="29" t="str">
        <f t="shared" si="14"/>
        <v>#DIV/0!</v>
      </c>
      <c r="AT11" s="29" t="str">
        <f t="shared" si="14"/>
        <v>#DIV/0!</v>
      </c>
      <c r="AU11" s="29" t="str">
        <f t="shared" si="14"/>
        <v>#DIV/0!</v>
      </c>
      <c r="AV11" s="29" t="str">
        <f t="shared" si="14"/>
        <v>#DIV/0!</v>
      </c>
      <c r="AW11" s="29" t="str">
        <f t="shared" si="14"/>
        <v>#DIV/0!</v>
      </c>
      <c r="AX11" s="29" t="str">
        <f t="shared" si="14"/>
        <v>#DIV/0!</v>
      </c>
      <c r="AY11" s="29" t="str">
        <f t="shared" si="14"/>
        <v>#DIV/0!</v>
      </c>
      <c r="AZ11" s="29" t="str">
        <f t="shared" si="14"/>
        <v>#DIV/0!</v>
      </c>
      <c r="BA11" s="29" t="str">
        <f t="shared" si="14"/>
        <v>#DIV/0!</v>
      </c>
      <c r="BB11" s="29" t="str">
        <f t="shared" si="14"/>
        <v>#DIV/0!</v>
      </c>
      <c r="BC11" s="29" t="str">
        <f t="shared" si="14"/>
        <v>#DIV/0!</v>
      </c>
      <c r="BD11" s="29" t="str">
        <f t="shared" si="14"/>
        <v>#DIV/0!</v>
      </c>
      <c r="BE11" s="29" t="str">
        <f t="shared" si="14"/>
        <v>#DIV/0!</v>
      </c>
      <c r="BF11" s="29" t="str">
        <f t="shared" si="14"/>
        <v>#DIV/0!</v>
      </c>
      <c r="BG11" s="29" t="str">
        <f t="shared" si="14"/>
        <v>#DIV/0!</v>
      </c>
      <c r="BH11" s="29" t="str">
        <f t="shared" si="14"/>
        <v>#DIV/0!</v>
      </c>
      <c r="BI11" s="29" t="str">
        <f t="shared" si="14"/>
        <v>#DIV/0!</v>
      </c>
      <c r="BJ11" s="29" t="str">
        <f t="shared" si="14"/>
        <v>#DIV/0!</v>
      </c>
      <c r="BK11" s="29" t="str">
        <f t="shared" si="14"/>
        <v>#DIV/0!</v>
      </c>
      <c r="BL11" s="29" t="str">
        <f t="shared" si="14"/>
        <v>#DIV/0!</v>
      </c>
      <c r="BM11" s="29" t="str">
        <f t="shared" si="3"/>
        <v>#DIV/0!</v>
      </c>
    </row>
    <row r="12">
      <c r="A12" s="16" t="str">
        <f>IFERROR(__xludf.DUMMYFUNCTION("IFERROR(SPARKLINE(SORT(MAP(TRANSPOSE(AQ12:BL12), LAMBDA(val, IF(ISNUMBER(val), PERCENTRANK(AQ12:BL12, val)+0.01, 0))), SEQUENCE(COLUMNS(AQ12:BL12)), FALSE), {""charttype"",""column""; ""color"",""chartreuse""; ""ymin"", 0; ""ymax"", 1.01; ""highcolor"", "&amp;"""darkgreen""; ""lowcolor"", ""red""}), """")"),"")</f>
        <v/>
      </c>
      <c r="B12" s="17" t="str">
        <f t="shared" si="4"/>
        <v/>
      </c>
      <c r="C12" s="1" t="s">
        <v>105</v>
      </c>
      <c r="D12" s="34" t="str">
        <f>IFERROR(__xludf.DUMMYFUNCTION("IFERROR(GOOGLEFINANCE(C12, ""NAME""))"),"Root Inc")</f>
        <v>Root Inc</v>
      </c>
      <c r="E12" s="30" t="s">
        <v>82</v>
      </c>
      <c r="F12" s="33" t="str">
        <f>IFERROR(__xludf.DUMMYFUNCTION("( (GOOGLEFINANCE(C12, ""price"") - Q12) / Q12 ) / (R12 / 100)"),"Loading...")</f>
        <v>Loading...</v>
      </c>
      <c r="G12" s="20" t="str">
        <f>IFERROR(__xludf.DUMMYFUNCTION("AVERAGE(ARRAYFORMULA(100 * (QUERY(GOOGLEFINANCE(C12, ""high"", TODAY()-40, TODAY()), ""SELECT Col2 WHERE Col2 IS NOT NULL ORDER BY Col1 DESC LIMIT 20"", 0) / QUERY(GOOGLEFINANCE(C12, ""low"", TODAY()-40, TODAY()), ""SELECT Col2 WHERE Col2 IS NOT NULL ORDE"&amp;"R BY Col1 DESC LIMIT 20"", 0) - 1)))"),"#N/A")</f>
        <v>#N/A</v>
      </c>
      <c r="H12" s="35" t="str">
        <f t="shared" si="6"/>
        <v/>
      </c>
      <c r="I12" s="36" t="str">
        <f t="shared" si="7"/>
        <v/>
      </c>
      <c r="J12" s="37" t="str">
        <f>IFERROR(__xludf.DUMMYFUNCTION("IFERROR(
  IF(C12="""",, 
    IFERROR(
      GOOGLEFINANCE(C12, ""price"") * GOOGLEFINANCE(C12, ""volumeavg""), 
      GOOGLEFINANCE(C12, ""price"") * AVERAGE(QUERY(GOOGLEFINANCE(C12, ""volume"", TODAY()-40, TODAY()), ""SELECT Col2 WHERE Col2 IS NOT NULL "&amp;"ORDER BY Col1 DESC LIMIT 20"", 0))
    )
  ), 
"""")"),"")</f>
        <v/>
      </c>
      <c r="K12" s="21" t="str">
        <f>IFERROR(__xludf.DUMMYFUNCTION("IFERROR(GOOGLEFINANCE(C12, ""changepct"") / 100, """")"),"")</f>
        <v/>
      </c>
      <c r="L12" s="21" t="str">
        <f>IFERROR(__xludf.DUMMYFUNCTION("IFERROR((GOOGLEFINANCE(C12, ""price"") / INDEX(GOOGLEFINANCE(C12, ""price"", TODAY()-7, TODAY()), 2, 2)) - 1, """")"),"")</f>
        <v/>
      </c>
      <c r="M12" s="21" t="str">
        <f>IFERROR(__xludf.DUMMYFUNCTION("IFERROR((GOOGLEFINANCE(C12, ""price"") / INDEX(GOOGLEFINANCE(C12, ""price"", EDATE(TODAY(), -1), TODAY()), 2, 2)) - 1, """")"),"")</f>
        <v/>
      </c>
      <c r="N12" s="21" t="str">
        <f>IFERROR(__xludf.DUMMYFUNCTION("IFERROR((GOOGLEFINANCE(C12, ""price"") / INDEX(GOOGLEFINANCE(C12, ""price"", EDATE(TODAY(), -3), TODAY()), 2, 2)) - 1, """")"),"")</f>
        <v/>
      </c>
      <c r="O12" s="21" t="str">
        <f>IFERROR(__xludf.DUMMYFUNCTION("IFERROR((GOOGLEFINANCE(C12, ""price"") / INDEX(GOOGLEFINANCE(C12, ""price"", EDATE(TODAY(), -6), TODAY()), 2, 2)) - 1, """")"),"")</f>
        <v/>
      </c>
      <c r="P12" s="21" t="str">
        <f>IFERROR(__xludf.DUMMYFUNCTION("IFERROR((GOOGLEFINANCE(C12, ""price"") / INDEX(GOOGLEFINANCE(C12, ""price"", EDATE(TODAY(), -12), TODAY()), 2, 2)) - 1, """")"),"")</f>
        <v/>
      </c>
      <c r="Q12" s="6" t="str">
        <f>IFERROR(__xludf.DUMMYFUNCTION("AVERAGE(QUERY(GOOGLEFINANCE(C12, ""price"", TODAY()-80, TODAY()), ""SELECT Col2 WHERE Col2 IS NOT NULL ORDER BY Col1 DESC LIMIT 50"", 0))"),"#N/A")</f>
        <v>#N/A</v>
      </c>
      <c r="R12" s="24" t="str">
        <f>IFERROR(__xludf.DUMMYFUNCTION("IFERROR(
  LET(
    data, QUERY(GOOGLEFINANCE(C12,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GOOGLEFINANCE(C12, ""price"")) * 100,
    IF(calc=0, G12, calc)
  ), 
G12)"),"#N/A")</f>
        <v>#N/A</v>
      </c>
      <c r="S12" s="8" t="s">
        <v>15</v>
      </c>
      <c r="T12" s="26" t="str">
        <f>IFERROR(__xludf.DUMMYFUNCTION("IFERROR(TRANSPOSE(QUERY(IFERROR(SORT(GOOGLEFINANCE(C12, ""price"", WORKDAY(TODAY(), -40), TODAY()), 1, FALSE)), ""select Col2 where Col2 is not null limit 22 label Col2 ''"", 0)), """")"),"")</f>
        <v/>
      </c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8"/>
      <c r="AO12" s="28"/>
      <c r="AP12" s="29"/>
      <c r="AQ12" s="29" t="str">
        <f t="shared" ref="AQ12:BL12" si="15">T12/T$2</f>
        <v>#N/A</v>
      </c>
      <c r="AR12" s="29" t="str">
        <f t="shared" si="15"/>
        <v>#DIV/0!</v>
      </c>
      <c r="AS12" s="29" t="str">
        <f t="shared" si="15"/>
        <v>#DIV/0!</v>
      </c>
      <c r="AT12" s="29" t="str">
        <f t="shared" si="15"/>
        <v>#DIV/0!</v>
      </c>
      <c r="AU12" s="29" t="str">
        <f t="shared" si="15"/>
        <v>#DIV/0!</v>
      </c>
      <c r="AV12" s="29" t="str">
        <f t="shared" si="15"/>
        <v>#DIV/0!</v>
      </c>
      <c r="AW12" s="29" t="str">
        <f t="shared" si="15"/>
        <v>#DIV/0!</v>
      </c>
      <c r="AX12" s="29" t="str">
        <f t="shared" si="15"/>
        <v>#DIV/0!</v>
      </c>
      <c r="AY12" s="29" t="str">
        <f t="shared" si="15"/>
        <v>#DIV/0!</v>
      </c>
      <c r="AZ12" s="29" t="str">
        <f t="shared" si="15"/>
        <v>#DIV/0!</v>
      </c>
      <c r="BA12" s="29" t="str">
        <f t="shared" si="15"/>
        <v>#DIV/0!</v>
      </c>
      <c r="BB12" s="29" t="str">
        <f t="shared" si="15"/>
        <v>#DIV/0!</v>
      </c>
      <c r="BC12" s="29" t="str">
        <f t="shared" si="15"/>
        <v>#DIV/0!</v>
      </c>
      <c r="BD12" s="29" t="str">
        <f t="shared" si="15"/>
        <v>#DIV/0!</v>
      </c>
      <c r="BE12" s="29" t="str">
        <f t="shared" si="15"/>
        <v>#DIV/0!</v>
      </c>
      <c r="BF12" s="29" t="str">
        <f t="shared" si="15"/>
        <v>#DIV/0!</v>
      </c>
      <c r="BG12" s="29" t="str">
        <f t="shared" si="15"/>
        <v>#DIV/0!</v>
      </c>
      <c r="BH12" s="29" t="str">
        <f t="shared" si="15"/>
        <v>#DIV/0!</v>
      </c>
      <c r="BI12" s="29" t="str">
        <f t="shared" si="15"/>
        <v>#DIV/0!</v>
      </c>
      <c r="BJ12" s="29" t="str">
        <f t="shared" si="15"/>
        <v>#DIV/0!</v>
      </c>
      <c r="BK12" s="29" t="str">
        <f t="shared" si="15"/>
        <v>#DIV/0!</v>
      </c>
      <c r="BL12" s="29" t="str">
        <f t="shared" si="15"/>
        <v>#DIV/0!</v>
      </c>
      <c r="BM12" s="29" t="str">
        <f t="shared" si="3"/>
        <v>#DIV/0!</v>
      </c>
    </row>
    <row r="13">
      <c r="A13" s="16" t="str">
        <f>IFERROR(__xludf.DUMMYFUNCTION("IFERROR(SPARKLINE(SORT(MAP(TRANSPOSE(AQ13:BL13), LAMBDA(val, IF(ISNUMBER(val), PERCENTRANK(AQ13:BL13, val)+0.01, 0))), SEQUENCE(COLUMNS(AQ13:BL13)), FALSE), {""charttype"",""column""; ""color"",""chartreuse""; ""ymin"", 0; ""ymax"", 1.01; ""highcolor"", "&amp;"""darkgreen""; ""lowcolor"", ""red""}), """")"),"")</f>
        <v/>
      </c>
      <c r="B13" s="17" t="str">
        <f t="shared" si="4"/>
        <v/>
      </c>
      <c r="C13" s="1" t="s">
        <v>111</v>
      </c>
      <c r="D13" s="34" t="str">
        <f>IFERROR(__xludf.DUMMYFUNCTION("IFERROR(GOOGLEFINANCE(C13, ""NAME""))"),"Cohen &amp; Steers, Inc.")</f>
        <v>Cohen &amp; Steers, Inc.</v>
      </c>
      <c r="E13" s="30" t="s">
        <v>64</v>
      </c>
      <c r="F13" s="33" t="str">
        <f>IFERROR(__xludf.DUMMYFUNCTION("( (GOOGLEFINANCE(C13, ""price"") - Q13) / Q13 ) / (R13 / 100)"),"Loading...")</f>
        <v>Loading...</v>
      </c>
      <c r="G13" s="20" t="str">
        <f>IFERROR(__xludf.DUMMYFUNCTION("AVERAGE(ARRAYFORMULA(100 * (QUERY(GOOGLEFINANCE(C13, ""high"", TODAY()-40, TODAY()), ""SELECT Col2 WHERE Col2 IS NOT NULL ORDER BY Col1 DESC LIMIT 20"", 0) / QUERY(GOOGLEFINANCE(C13, ""low"", TODAY()-40, TODAY()), ""SELECT Col2 WHERE Col2 IS NOT NULL ORDE"&amp;"R BY Col1 DESC LIMIT 20"", 0) - 1)))"),"#N/A")</f>
        <v>#N/A</v>
      </c>
      <c r="H13" s="35" t="str">
        <f t="shared" si="6"/>
        <v/>
      </c>
      <c r="I13" s="36" t="str">
        <f t="shared" si="7"/>
        <v/>
      </c>
      <c r="J13" s="37" t="str">
        <f>IFERROR(__xludf.DUMMYFUNCTION("IFERROR(
  IF(C13="""",, 
    IFERROR(
      GOOGLEFINANCE(C13, ""price"") * GOOGLEFINANCE(C13, ""volumeavg""), 
      GOOGLEFINANCE(C13, ""price"") * AVERAGE(QUERY(GOOGLEFINANCE(C13, ""volume"", TODAY()-40, TODAY()), ""SELECT Col2 WHERE Col2 IS NOT NULL "&amp;"ORDER BY Col1 DESC LIMIT 20"", 0))
    )
  ), 
"""")"),"")</f>
        <v/>
      </c>
      <c r="K13" s="21" t="str">
        <f>IFERROR(__xludf.DUMMYFUNCTION("IFERROR(GOOGLEFINANCE(C13, ""changepct"") / 100, """")"),"")</f>
        <v/>
      </c>
      <c r="L13" s="21" t="str">
        <f>IFERROR(__xludf.DUMMYFUNCTION("IFERROR((GOOGLEFINANCE(C13, ""price"") / INDEX(GOOGLEFINANCE(C13, ""price"", TODAY()-7, TODAY()), 2, 2)) - 1, """")"),"")</f>
        <v/>
      </c>
      <c r="M13" s="21" t="str">
        <f>IFERROR(__xludf.DUMMYFUNCTION("IFERROR((GOOGLEFINANCE(C13, ""price"") / INDEX(GOOGLEFINANCE(C13, ""price"", EDATE(TODAY(), -1), TODAY()), 2, 2)) - 1, """")"),"")</f>
        <v/>
      </c>
      <c r="N13" s="21" t="str">
        <f>IFERROR(__xludf.DUMMYFUNCTION("IFERROR((GOOGLEFINANCE(C13, ""price"") / INDEX(GOOGLEFINANCE(C13, ""price"", EDATE(TODAY(), -3), TODAY()), 2, 2)) - 1, """")"),"")</f>
        <v/>
      </c>
      <c r="O13" s="21" t="str">
        <f>IFERROR(__xludf.DUMMYFUNCTION("IFERROR((GOOGLEFINANCE(C13, ""price"") / INDEX(GOOGLEFINANCE(C13, ""price"", EDATE(TODAY(), -6), TODAY()), 2, 2)) - 1, """")"),"")</f>
        <v/>
      </c>
      <c r="P13" s="21" t="str">
        <f>IFERROR(__xludf.DUMMYFUNCTION("IFERROR((GOOGLEFINANCE(C13, ""price"") / INDEX(GOOGLEFINANCE(C13, ""price"", EDATE(TODAY(), -12), TODAY()), 2, 2)) - 1, """")"),"")</f>
        <v/>
      </c>
      <c r="Q13" s="6" t="str">
        <f>IFERROR(__xludf.DUMMYFUNCTION("AVERAGE(QUERY(GOOGLEFINANCE(C13, ""price"", TODAY()-80, TODAY()), ""SELECT Col2 WHERE Col2 IS NOT NULL ORDER BY Col1 DESC LIMIT 50"", 0))"),"#N/A")</f>
        <v>#N/A</v>
      </c>
      <c r="R13" s="24" t="str">
        <f>IFERROR(__xludf.DUMMYFUNCTION("IFERROR(
  LET(
    data, QUERY(GOOGLEFINANCE(C13,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GOOGLEFINANCE(C13, ""price"")) * 100,
    IF(calc=0, G13, calc)
  ), 
G13)"),"#N/A")</f>
        <v>#N/A</v>
      </c>
      <c r="S13" s="8" t="s">
        <v>15</v>
      </c>
      <c r="T13" s="26" t="str">
        <f>IFERROR(__xludf.DUMMYFUNCTION("IFERROR(TRANSPOSE(QUERY(IFERROR(SORT(GOOGLEFINANCE(C13, ""price"", WORKDAY(TODAY(), -40), TODAY()), 1, FALSE)), ""select Col2 where Col2 is not null limit 22 label Col2 ''"", 0)), """")"),"")</f>
        <v/>
      </c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8"/>
      <c r="AO13" s="28"/>
      <c r="AP13" s="29"/>
      <c r="AQ13" s="29" t="str">
        <f t="shared" ref="AQ13:BL13" si="16">T13/T$2</f>
        <v>#N/A</v>
      </c>
      <c r="AR13" s="29" t="str">
        <f t="shared" si="16"/>
        <v>#DIV/0!</v>
      </c>
      <c r="AS13" s="29" t="str">
        <f t="shared" si="16"/>
        <v>#DIV/0!</v>
      </c>
      <c r="AT13" s="29" t="str">
        <f t="shared" si="16"/>
        <v>#DIV/0!</v>
      </c>
      <c r="AU13" s="29" t="str">
        <f t="shared" si="16"/>
        <v>#DIV/0!</v>
      </c>
      <c r="AV13" s="29" t="str">
        <f t="shared" si="16"/>
        <v>#DIV/0!</v>
      </c>
      <c r="AW13" s="29" t="str">
        <f t="shared" si="16"/>
        <v>#DIV/0!</v>
      </c>
      <c r="AX13" s="29" t="str">
        <f t="shared" si="16"/>
        <v>#DIV/0!</v>
      </c>
      <c r="AY13" s="29" t="str">
        <f t="shared" si="16"/>
        <v>#DIV/0!</v>
      </c>
      <c r="AZ13" s="29" t="str">
        <f t="shared" si="16"/>
        <v>#DIV/0!</v>
      </c>
      <c r="BA13" s="29" t="str">
        <f t="shared" si="16"/>
        <v>#DIV/0!</v>
      </c>
      <c r="BB13" s="29" t="str">
        <f t="shared" si="16"/>
        <v>#DIV/0!</v>
      </c>
      <c r="BC13" s="29" t="str">
        <f t="shared" si="16"/>
        <v>#DIV/0!</v>
      </c>
      <c r="BD13" s="29" t="str">
        <f t="shared" si="16"/>
        <v>#DIV/0!</v>
      </c>
      <c r="BE13" s="29" t="str">
        <f t="shared" si="16"/>
        <v>#DIV/0!</v>
      </c>
      <c r="BF13" s="29" t="str">
        <f t="shared" si="16"/>
        <v>#DIV/0!</v>
      </c>
      <c r="BG13" s="29" t="str">
        <f t="shared" si="16"/>
        <v>#DIV/0!</v>
      </c>
      <c r="BH13" s="29" t="str">
        <f t="shared" si="16"/>
        <v>#DIV/0!</v>
      </c>
      <c r="BI13" s="29" t="str">
        <f t="shared" si="16"/>
        <v>#DIV/0!</v>
      </c>
      <c r="BJ13" s="29" t="str">
        <f t="shared" si="16"/>
        <v>#DIV/0!</v>
      </c>
      <c r="BK13" s="29" t="str">
        <f t="shared" si="16"/>
        <v>#DIV/0!</v>
      </c>
      <c r="BL13" s="29" t="str">
        <f t="shared" si="16"/>
        <v>#DIV/0!</v>
      </c>
      <c r="BM13" s="29" t="str">
        <f t="shared" si="3"/>
        <v>#DIV/0!</v>
      </c>
    </row>
    <row r="14">
      <c r="A14" s="16" t="str">
        <f>IFERROR(__xludf.DUMMYFUNCTION("IFERROR(SPARKLINE(SORT(MAP(TRANSPOSE(AQ14:BL14), LAMBDA(val, IF(ISNUMBER(val), PERCENTRANK(AQ14:BL14, val)+0.01, 0))), SEQUENCE(COLUMNS(AQ14:BL14)), FALSE), {""charttype"",""column""; ""color"",""chartreuse""; ""ymin"", 0; ""ymax"", 1.01; ""highcolor"", "&amp;"""darkgreen""; ""lowcolor"", ""red""}), """")"),"")</f>
        <v/>
      </c>
      <c r="B14" s="17" t="str">
        <f t="shared" si="4"/>
        <v/>
      </c>
      <c r="C14" s="1" t="s">
        <v>113</v>
      </c>
      <c r="D14" s="34" t="str">
        <f>IFERROR(__xludf.DUMMYFUNCTION("IFERROR(GOOGLEFINANCE(C14, ""NAME""))"),"Circle Internet Group Inc")</f>
        <v>Circle Internet Group Inc</v>
      </c>
      <c r="E14" s="30" t="s">
        <v>77</v>
      </c>
      <c r="F14" s="33" t="str">
        <f>IFERROR(__xludf.DUMMYFUNCTION("( (GOOGLEFINANCE(C14, ""price"") - Q14) / Q14 ) / (R14 / 100)"),"Loading...")</f>
        <v>Loading...</v>
      </c>
      <c r="G14" s="20" t="str">
        <f>IFERROR(__xludf.DUMMYFUNCTION("AVERAGE(ARRAYFORMULA(100 * (QUERY(GOOGLEFINANCE(C14, ""high"", TODAY()-40, TODAY()), ""SELECT Col2 WHERE Col2 IS NOT NULL ORDER BY Col1 DESC LIMIT 20"", 0) / QUERY(GOOGLEFINANCE(C14, ""low"", TODAY()-40, TODAY()), ""SELECT Col2 WHERE Col2 IS NOT NULL ORDE"&amp;"R BY Col1 DESC LIMIT 20"", 0) - 1)))"),"#N/A")</f>
        <v>#N/A</v>
      </c>
      <c r="H14" s="35" t="str">
        <f t="shared" si="6"/>
        <v/>
      </c>
      <c r="I14" s="36" t="str">
        <f t="shared" si="7"/>
        <v/>
      </c>
      <c r="J14" s="37" t="str">
        <f>IFERROR(__xludf.DUMMYFUNCTION("IFERROR(
  IF(C14="""",, 
    IFERROR(
      GOOGLEFINANCE(C14, ""price"") * GOOGLEFINANCE(C14, ""volumeavg""), 
      GOOGLEFINANCE(C14, ""price"") * AVERAGE(QUERY(GOOGLEFINANCE(C14, ""volume"", TODAY()-40, TODAY()), ""SELECT Col2 WHERE Col2 IS NOT NULL "&amp;"ORDER BY Col1 DESC LIMIT 20"", 0))
    )
  ), 
"""")"),"")</f>
        <v/>
      </c>
      <c r="K14" s="21" t="str">
        <f>IFERROR(__xludf.DUMMYFUNCTION("IFERROR(GOOGLEFINANCE(C14, ""changepct"") / 100, """")"),"")</f>
        <v/>
      </c>
      <c r="L14" s="21" t="str">
        <f>IFERROR(__xludf.DUMMYFUNCTION("IFERROR((GOOGLEFINANCE(C14, ""price"") / INDEX(GOOGLEFINANCE(C14, ""price"", TODAY()-7, TODAY()), 2, 2)) - 1, """")"),"")</f>
        <v/>
      </c>
      <c r="M14" s="21" t="str">
        <f>IFERROR(__xludf.DUMMYFUNCTION("IFERROR((GOOGLEFINANCE(C14, ""price"") / INDEX(GOOGLEFINANCE(C14, ""price"", EDATE(TODAY(), -1), TODAY()), 2, 2)) - 1, """")"),"")</f>
        <v/>
      </c>
      <c r="N14" s="21" t="str">
        <f>IFERROR(__xludf.DUMMYFUNCTION("IFERROR((GOOGLEFINANCE(C14, ""price"") / INDEX(GOOGLEFINANCE(C14, ""price"", EDATE(TODAY(), -3), TODAY()), 2, 2)) - 1, """")"),"")</f>
        <v/>
      </c>
      <c r="O14" s="21" t="str">
        <f>IFERROR(__xludf.DUMMYFUNCTION("IFERROR((GOOGLEFINANCE(C14, ""price"") / INDEX(GOOGLEFINANCE(C14, ""price"", EDATE(TODAY(), -6), TODAY()), 2, 2)) - 1, """")"),"")</f>
        <v/>
      </c>
      <c r="P14" s="21" t="str">
        <f>IFERROR(__xludf.DUMMYFUNCTION("IFERROR((GOOGLEFINANCE(C14, ""price"") / INDEX(GOOGLEFINANCE(C14, ""price"", EDATE(TODAY(), -12), TODAY()), 2, 2)) - 1, """")"),"")</f>
        <v/>
      </c>
      <c r="Q14" s="6" t="str">
        <f>IFERROR(__xludf.DUMMYFUNCTION("AVERAGE(QUERY(GOOGLEFINANCE(C14, ""price"", TODAY()-80, TODAY()), ""SELECT Col2 WHERE Col2 IS NOT NULL ORDER BY Col1 DESC LIMIT 50"", 0))"),"#N/A")</f>
        <v>#N/A</v>
      </c>
      <c r="R14" s="24" t="str">
        <f>IFERROR(__xludf.DUMMYFUNCTION("IFERROR(
  LET(
    data, QUERY(GOOGLEFINANCE(C14,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GOOGLEFINANCE(C14, ""price"")) * 100,
    IF(calc=0, G14, calc)
  ), 
G14)"),"#N/A")</f>
        <v>#N/A</v>
      </c>
      <c r="S14" s="8" t="s">
        <v>15</v>
      </c>
      <c r="T14" s="26" t="str">
        <f>IFERROR(__xludf.DUMMYFUNCTION("IFERROR(TRANSPOSE(QUERY(IFERROR(SORT(GOOGLEFINANCE(C14, ""price"", WORKDAY(TODAY(), -40), TODAY()), 1, FALSE)), ""select Col2 where Col2 is not null limit 22 label Col2 ''"", 0)), """")"),"")</f>
        <v/>
      </c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8"/>
      <c r="AO14" s="28"/>
      <c r="AP14" s="29"/>
      <c r="AQ14" s="29" t="str">
        <f t="shared" ref="AQ14:BL14" si="17">T14/T$2</f>
        <v>#N/A</v>
      </c>
      <c r="AR14" s="29" t="str">
        <f t="shared" si="17"/>
        <v>#DIV/0!</v>
      </c>
      <c r="AS14" s="29" t="str">
        <f t="shared" si="17"/>
        <v>#DIV/0!</v>
      </c>
      <c r="AT14" s="29" t="str">
        <f t="shared" si="17"/>
        <v>#DIV/0!</v>
      </c>
      <c r="AU14" s="29" t="str">
        <f t="shared" si="17"/>
        <v>#DIV/0!</v>
      </c>
      <c r="AV14" s="29" t="str">
        <f t="shared" si="17"/>
        <v>#DIV/0!</v>
      </c>
      <c r="AW14" s="29" t="str">
        <f t="shared" si="17"/>
        <v>#DIV/0!</v>
      </c>
      <c r="AX14" s="29" t="str">
        <f t="shared" si="17"/>
        <v>#DIV/0!</v>
      </c>
      <c r="AY14" s="29" t="str">
        <f t="shared" si="17"/>
        <v>#DIV/0!</v>
      </c>
      <c r="AZ14" s="29" t="str">
        <f t="shared" si="17"/>
        <v>#DIV/0!</v>
      </c>
      <c r="BA14" s="29" t="str">
        <f t="shared" si="17"/>
        <v>#DIV/0!</v>
      </c>
      <c r="BB14" s="29" t="str">
        <f t="shared" si="17"/>
        <v>#DIV/0!</v>
      </c>
      <c r="BC14" s="29" t="str">
        <f t="shared" si="17"/>
        <v>#DIV/0!</v>
      </c>
      <c r="BD14" s="29" t="str">
        <f t="shared" si="17"/>
        <v>#DIV/0!</v>
      </c>
      <c r="BE14" s="29" t="str">
        <f t="shared" si="17"/>
        <v>#DIV/0!</v>
      </c>
      <c r="BF14" s="29" t="str">
        <f t="shared" si="17"/>
        <v>#DIV/0!</v>
      </c>
      <c r="BG14" s="29" t="str">
        <f t="shared" si="17"/>
        <v>#DIV/0!</v>
      </c>
      <c r="BH14" s="29" t="str">
        <f t="shared" si="17"/>
        <v>#DIV/0!</v>
      </c>
      <c r="BI14" s="29" t="str">
        <f t="shared" si="17"/>
        <v>#DIV/0!</v>
      </c>
      <c r="BJ14" s="29" t="str">
        <f t="shared" si="17"/>
        <v>#DIV/0!</v>
      </c>
      <c r="BK14" s="29" t="str">
        <f t="shared" si="17"/>
        <v>#DIV/0!</v>
      </c>
      <c r="BL14" s="29" t="str">
        <f t="shared" si="17"/>
        <v>#DIV/0!</v>
      </c>
      <c r="BM14" s="29" t="str">
        <f t="shared" si="3"/>
        <v>#DIV/0!</v>
      </c>
    </row>
    <row r="15">
      <c r="A15" s="16" t="str">
        <f>IFERROR(__xludf.DUMMYFUNCTION("IFERROR(SPARKLINE(SORT(MAP(TRANSPOSE(AQ15:BL15), LAMBDA(val, IF(ISNUMBER(val), PERCENTRANK(AQ15:BL15, val)+0.01, 0))), SEQUENCE(COLUMNS(AQ15:BL15)), FALSE), {""charttype"",""column""; ""color"",""chartreuse""; ""ymin"", 0; ""ymax"", 1.01; ""highcolor"", "&amp;"""darkgreen""; ""lowcolor"", ""red""}), """")"),"")</f>
        <v/>
      </c>
      <c r="B15" s="17" t="str">
        <f t="shared" si="4"/>
        <v/>
      </c>
      <c r="C15" s="1" t="s">
        <v>118</v>
      </c>
      <c r="D15" s="34" t="str">
        <f>IFERROR(__xludf.DUMMYFUNCTION("IFERROR(GOOGLEFINANCE(C15, ""NAME""))"),"Walker &amp; Dunlop, Inc.")</f>
        <v>Walker &amp; Dunlop, Inc.</v>
      </c>
      <c r="E15" s="30" t="s">
        <v>119</v>
      </c>
      <c r="F15" s="33" t="str">
        <f>IFERROR(__xludf.DUMMYFUNCTION("( (GOOGLEFINANCE(C15, ""price"") - Q15) / Q15 ) / (R15 / 100)"),"Loading...")</f>
        <v>Loading...</v>
      </c>
      <c r="G15" s="20" t="str">
        <f>IFERROR(__xludf.DUMMYFUNCTION("AVERAGE(ARRAYFORMULA(100 * (QUERY(GOOGLEFINANCE(C15, ""high"", TODAY()-40, TODAY()), ""SELECT Col2 WHERE Col2 IS NOT NULL ORDER BY Col1 DESC LIMIT 20"", 0) / QUERY(GOOGLEFINANCE(C15, ""low"", TODAY()-40, TODAY()), ""SELECT Col2 WHERE Col2 IS NOT NULL ORDE"&amp;"R BY Col1 DESC LIMIT 20"", 0) - 1)))"),"#N/A")</f>
        <v>#N/A</v>
      </c>
      <c r="H15" s="35" t="str">
        <f t="shared" si="6"/>
        <v/>
      </c>
      <c r="I15" s="36" t="str">
        <f t="shared" si="7"/>
        <v/>
      </c>
      <c r="J15" s="37" t="str">
        <f>IFERROR(__xludf.DUMMYFUNCTION("IFERROR(
  IF(C15="""",, 
    IFERROR(
      GOOGLEFINANCE(C15, ""price"") * GOOGLEFINANCE(C15, ""volumeavg""), 
      GOOGLEFINANCE(C15, ""price"") * AVERAGE(QUERY(GOOGLEFINANCE(C15, ""volume"", TODAY()-40, TODAY()), ""SELECT Col2 WHERE Col2 IS NOT NULL "&amp;"ORDER BY Col1 DESC LIMIT 20"", 0))
    )
  ), 
"""")"),"")</f>
        <v/>
      </c>
      <c r="K15" s="21" t="str">
        <f>IFERROR(__xludf.DUMMYFUNCTION("IFERROR(GOOGLEFINANCE(C15, ""changepct"") / 100, """")"),"")</f>
        <v/>
      </c>
      <c r="L15" s="21" t="str">
        <f>IFERROR(__xludf.DUMMYFUNCTION("IFERROR((GOOGLEFINANCE(C15, ""price"") / INDEX(GOOGLEFINANCE(C15, ""price"", TODAY()-7, TODAY()), 2, 2)) - 1, """")"),"")</f>
        <v/>
      </c>
      <c r="M15" s="21" t="str">
        <f>IFERROR(__xludf.DUMMYFUNCTION("IFERROR((GOOGLEFINANCE(C15, ""price"") / INDEX(GOOGLEFINANCE(C15, ""price"", EDATE(TODAY(), -1), TODAY()), 2, 2)) - 1, """")"),"")</f>
        <v/>
      </c>
      <c r="N15" s="21" t="str">
        <f>IFERROR(__xludf.DUMMYFUNCTION("IFERROR((GOOGLEFINANCE(C15, ""price"") / INDEX(GOOGLEFINANCE(C15, ""price"", EDATE(TODAY(), -3), TODAY()), 2, 2)) - 1, """")"),"")</f>
        <v/>
      </c>
      <c r="O15" s="21" t="str">
        <f>IFERROR(__xludf.DUMMYFUNCTION("IFERROR((GOOGLEFINANCE(C15, ""price"") / INDEX(GOOGLEFINANCE(C15, ""price"", EDATE(TODAY(), -6), TODAY()), 2, 2)) - 1, """")"),"")</f>
        <v/>
      </c>
      <c r="P15" s="21" t="str">
        <f>IFERROR(__xludf.DUMMYFUNCTION("IFERROR((GOOGLEFINANCE(C15, ""price"") / INDEX(GOOGLEFINANCE(C15, ""price"", EDATE(TODAY(), -12), TODAY()), 2, 2)) - 1, """")"),"")</f>
        <v/>
      </c>
      <c r="Q15" s="6" t="str">
        <f>IFERROR(__xludf.DUMMYFUNCTION("AVERAGE(QUERY(GOOGLEFINANCE(C15, ""price"", TODAY()-80, TODAY()), ""SELECT Col2 WHERE Col2 IS NOT NULL ORDER BY Col1 DESC LIMIT 50"", 0))"),"#N/A")</f>
        <v>#N/A</v>
      </c>
      <c r="R15" s="24" t="str">
        <f>IFERROR(__xludf.DUMMYFUNCTION("IFERROR(
  LET(
    data, QUERY(GOOGLEFINANCE(C15,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GOOGLEFINANCE(C15, ""price"")) * 100,
    IF(calc=0, G15, calc)
  ), 
G15)"),"#N/A")</f>
        <v>#N/A</v>
      </c>
      <c r="S15" s="8" t="s">
        <v>15</v>
      </c>
      <c r="T15" s="26" t="str">
        <f>IFERROR(__xludf.DUMMYFUNCTION("IFERROR(TRANSPOSE(QUERY(IFERROR(SORT(GOOGLEFINANCE(C15, ""price"", WORKDAY(TODAY(), -40), TODAY()), 1, FALSE)), ""select Col2 where Col2 is not null limit 22 label Col2 ''"", 0)), """")"),"")</f>
        <v/>
      </c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8"/>
      <c r="AO15" s="28"/>
      <c r="AP15" s="29"/>
      <c r="AQ15" s="29" t="str">
        <f t="shared" ref="AQ15:BL15" si="18">T15/T$2</f>
        <v>#N/A</v>
      </c>
      <c r="AR15" s="29" t="str">
        <f t="shared" si="18"/>
        <v>#DIV/0!</v>
      </c>
      <c r="AS15" s="29" t="str">
        <f t="shared" si="18"/>
        <v>#DIV/0!</v>
      </c>
      <c r="AT15" s="29" t="str">
        <f t="shared" si="18"/>
        <v>#DIV/0!</v>
      </c>
      <c r="AU15" s="29" t="str">
        <f t="shared" si="18"/>
        <v>#DIV/0!</v>
      </c>
      <c r="AV15" s="29" t="str">
        <f t="shared" si="18"/>
        <v>#DIV/0!</v>
      </c>
      <c r="AW15" s="29" t="str">
        <f t="shared" si="18"/>
        <v>#DIV/0!</v>
      </c>
      <c r="AX15" s="29" t="str">
        <f t="shared" si="18"/>
        <v>#DIV/0!</v>
      </c>
      <c r="AY15" s="29" t="str">
        <f t="shared" si="18"/>
        <v>#DIV/0!</v>
      </c>
      <c r="AZ15" s="29" t="str">
        <f t="shared" si="18"/>
        <v>#DIV/0!</v>
      </c>
      <c r="BA15" s="29" t="str">
        <f t="shared" si="18"/>
        <v>#DIV/0!</v>
      </c>
      <c r="BB15" s="29" t="str">
        <f t="shared" si="18"/>
        <v>#DIV/0!</v>
      </c>
      <c r="BC15" s="29" t="str">
        <f t="shared" si="18"/>
        <v>#DIV/0!</v>
      </c>
      <c r="BD15" s="29" t="str">
        <f t="shared" si="18"/>
        <v>#DIV/0!</v>
      </c>
      <c r="BE15" s="29" t="str">
        <f t="shared" si="18"/>
        <v>#DIV/0!</v>
      </c>
      <c r="BF15" s="29" t="str">
        <f t="shared" si="18"/>
        <v>#DIV/0!</v>
      </c>
      <c r="BG15" s="29" t="str">
        <f t="shared" si="18"/>
        <v>#DIV/0!</v>
      </c>
      <c r="BH15" s="29" t="str">
        <f t="shared" si="18"/>
        <v>#DIV/0!</v>
      </c>
      <c r="BI15" s="29" t="str">
        <f t="shared" si="18"/>
        <v>#DIV/0!</v>
      </c>
      <c r="BJ15" s="29" t="str">
        <f t="shared" si="18"/>
        <v>#DIV/0!</v>
      </c>
      <c r="BK15" s="29" t="str">
        <f t="shared" si="18"/>
        <v>#DIV/0!</v>
      </c>
      <c r="BL15" s="29" t="str">
        <f t="shared" si="18"/>
        <v>#DIV/0!</v>
      </c>
      <c r="BM15" s="29" t="str">
        <f t="shared" si="3"/>
        <v>#DIV/0!</v>
      </c>
    </row>
    <row r="16">
      <c r="A16" s="16" t="str">
        <f>IFERROR(__xludf.DUMMYFUNCTION("IFERROR(SPARKLINE(SORT(MAP(TRANSPOSE(AQ16:BL16), LAMBDA(val, IF(ISNUMBER(val), PERCENTRANK(AQ16:BL16, val)+0.01, 0))), SEQUENCE(COLUMNS(AQ16:BL16)), FALSE), {""charttype"",""column""; ""color"",""chartreuse""; ""ymin"", 0; ""ymax"", 1.01; ""highcolor"", "&amp;"""darkgreen""; ""lowcolor"", ""red""}), """")"),"")</f>
        <v/>
      </c>
      <c r="B16" s="17" t="str">
        <f t="shared" si="4"/>
        <v/>
      </c>
      <c r="C16" s="1" t="s">
        <v>123</v>
      </c>
      <c r="D16" s="34" t="str">
        <f>IFERROR(__xludf.DUMMYFUNCTION("IFERROR(GOOGLEFINANCE(C16, ""NAME""))"),"Hut 8 Corp")</f>
        <v>Hut 8 Corp</v>
      </c>
      <c r="E16" s="30" t="s">
        <v>77</v>
      </c>
      <c r="F16" s="33" t="str">
        <f>IFERROR(__xludf.DUMMYFUNCTION("( (GOOGLEFINANCE(C16, ""price"") - Q16) / Q16 ) / (R16 / 100)"),"Loading...")</f>
        <v>Loading...</v>
      </c>
      <c r="G16" s="20" t="str">
        <f>IFERROR(__xludf.DUMMYFUNCTION("AVERAGE(ARRAYFORMULA(100 * (QUERY(GOOGLEFINANCE(C16, ""high"", TODAY()-40, TODAY()), ""SELECT Col2 WHERE Col2 IS NOT NULL ORDER BY Col1 DESC LIMIT 20"", 0) / QUERY(GOOGLEFINANCE(C16, ""low"", TODAY()-40, TODAY()), ""SELECT Col2 WHERE Col2 IS NOT NULL ORDE"&amp;"R BY Col1 DESC LIMIT 20"", 0) - 1)))"),"#N/A")</f>
        <v>#N/A</v>
      </c>
      <c r="H16" s="35" t="str">
        <f t="shared" si="6"/>
        <v/>
      </c>
      <c r="I16" s="36" t="str">
        <f t="shared" si="7"/>
        <v/>
      </c>
      <c r="J16" s="37" t="str">
        <f>IFERROR(__xludf.DUMMYFUNCTION("IFERROR(
  IF(C16="""",, 
    IFERROR(
      GOOGLEFINANCE(C16, ""price"") * GOOGLEFINANCE(C16, ""volumeavg""), 
      GOOGLEFINANCE(C16, ""price"") * AVERAGE(QUERY(GOOGLEFINANCE(C16, ""volume"", TODAY()-40, TODAY()), ""SELECT Col2 WHERE Col2 IS NOT NULL "&amp;"ORDER BY Col1 DESC LIMIT 20"", 0))
    )
  ), 
"""")"),"")</f>
        <v/>
      </c>
      <c r="K16" s="21" t="str">
        <f>IFERROR(__xludf.DUMMYFUNCTION("IFERROR(GOOGLEFINANCE(C16, ""changepct"") / 100, """")"),"")</f>
        <v/>
      </c>
      <c r="L16" s="21" t="str">
        <f>IFERROR(__xludf.DUMMYFUNCTION("IFERROR((GOOGLEFINANCE(C16, ""price"") / INDEX(GOOGLEFINANCE(C16, ""price"", TODAY()-7, TODAY()), 2, 2)) - 1, """")"),"")</f>
        <v/>
      </c>
      <c r="M16" s="21" t="str">
        <f>IFERROR(__xludf.DUMMYFUNCTION("IFERROR((GOOGLEFINANCE(C16, ""price"") / INDEX(GOOGLEFINANCE(C16, ""price"", EDATE(TODAY(), -1), TODAY()), 2, 2)) - 1, """")"),"")</f>
        <v/>
      </c>
      <c r="N16" s="21" t="str">
        <f>IFERROR(__xludf.DUMMYFUNCTION("IFERROR((GOOGLEFINANCE(C16, ""price"") / INDEX(GOOGLEFINANCE(C16, ""price"", EDATE(TODAY(), -3), TODAY()), 2, 2)) - 1, """")"),"")</f>
        <v/>
      </c>
      <c r="O16" s="21" t="str">
        <f>IFERROR(__xludf.DUMMYFUNCTION("IFERROR((GOOGLEFINANCE(C16, ""price"") / INDEX(GOOGLEFINANCE(C16, ""price"", EDATE(TODAY(), -6), TODAY()), 2, 2)) - 1, """")"),"")</f>
        <v/>
      </c>
      <c r="P16" s="21" t="str">
        <f>IFERROR(__xludf.DUMMYFUNCTION("IFERROR((GOOGLEFINANCE(C16, ""price"") / INDEX(GOOGLEFINANCE(C16, ""price"", EDATE(TODAY(), -12), TODAY()), 2, 2)) - 1, """")"),"")</f>
        <v/>
      </c>
      <c r="Q16" s="6" t="str">
        <f>IFERROR(__xludf.DUMMYFUNCTION("AVERAGE(QUERY(GOOGLEFINANCE(C16, ""price"", TODAY()-80, TODAY()), ""SELECT Col2 WHERE Col2 IS NOT NULL ORDER BY Col1 DESC LIMIT 50"", 0))"),"#N/A")</f>
        <v>#N/A</v>
      </c>
      <c r="R16" s="24" t="str">
        <f>IFERROR(__xludf.DUMMYFUNCTION("IFERROR(
  LET(
    data, QUERY(GOOGLEFINANCE(C16,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GOOGLEFINANCE(C16, ""price"")) * 100,
    IF(calc=0, G16, calc)
  ), 
G16)"),"#N/A")</f>
        <v>#N/A</v>
      </c>
      <c r="S16" s="8" t="s">
        <v>15</v>
      </c>
      <c r="T16" s="26" t="str">
        <f>IFERROR(__xludf.DUMMYFUNCTION("IFERROR(TRANSPOSE(QUERY(IFERROR(SORT(GOOGLEFINANCE(C16, ""price"", WORKDAY(TODAY(), -40), TODAY()), 1, FALSE)), ""select Col2 where Col2 is not null limit 22 label Col2 ''"", 0)), """")"),"")</f>
        <v/>
      </c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8"/>
      <c r="AO16" s="28"/>
      <c r="AP16" s="29"/>
      <c r="AQ16" s="29" t="str">
        <f t="shared" ref="AQ16:BL16" si="19">T16/T$2</f>
        <v>#N/A</v>
      </c>
      <c r="AR16" s="29" t="str">
        <f t="shared" si="19"/>
        <v>#DIV/0!</v>
      </c>
      <c r="AS16" s="29" t="str">
        <f t="shared" si="19"/>
        <v>#DIV/0!</v>
      </c>
      <c r="AT16" s="29" t="str">
        <f t="shared" si="19"/>
        <v>#DIV/0!</v>
      </c>
      <c r="AU16" s="29" t="str">
        <f t="shared" si="19"/>
        <v>#DIV/0!</v>
      </c>
      <c r="AV16" s="29" t="str">
        <f t="shared" si="19"/>
        <v>#DIV/0!</v>
      </c>
      <c r="AW16" s="29" t="str">
        <f t="shared" si="19"/>
        <v>#DIV/0!</v>
      </c>
      <c r="AX16" s="29" t="str">
        <f t="shared" si="19"/>
        <v>#DIV/0!</v>
      </c>
      <c r="AY16" s="29" t="str">
        <f t="shared" si="19"/>
        <v>#DIV/0!</v>
      </c>
      <c r="AZ16" s="29" t="str">
        <f t="shared" si="19"/>
        <v>#DIV/0!</v>
      </c>
      <c r="BA16" s="29" t="str">
        <f t="shared" si="19"/>
        <v>#DIV/0!</v>
      </c>
      <c r="BB16" s="29" t="str">
        <f t="shared" si="19"/>
        <v>#DIV/0!</v>
      </c>
      <c r="BC16" s="29" t="str">
        <f t="shared" si="19"/>
        <v>#DIV/0!</v>
      </c>
      <c r="BD16" s="29" t="str">
        <f t="shared" si="19"/>
        <v>#DIV/0!</v>
      </c>
      <c r="BE16" s="29" t="str">
        <f t="shared" si="19"/>
        <v>#DIV/0!</v>
      </c>
      <c r="BF16" s="29" t="str">
        <f t="shared" si="19"/>
        <v>#DIV/0!</v>
      </c>
      <c r="BG16" s="29" t="str">
        <f t="shared" si="19"/>
        <v>#DIV/0!</v>
      </c>
      <c r="BH16" s="29" t="str">
        <f t="shared" si="19"/>
        <v>#DIV/0!</v>
      </c>
      <c r="BI16" s="29" t="str">
        <f t="shared" si="19"/>
        <v>#DIV/0!</v>
      </c>
      <c r="BJ16" s="29" t="str">
        <f t="shared" si="19"/>
        <v>#DIV/0!</v>
      </c>
      <c r="BK16" s="29" t="str">
        <f t="shared" si="19"/>
        <v>#DIV/0!</v>
      </c>
      <c r="BL16" s="29" t="str">
        <f t="shared" si="19"/>
        <v>#DIV/0!</v>
      </c>
      <c r="BM16" s="29" t="str">
        <f t="shared" si="3"/>
        <v>#DIV/0!</v>
      </c>
    </row>
    <row r="17">
      <c r="A17" s="16" t="str">
        <f>IFERROR(__xludf.DUMMYFUNCTION("IFERROR(SPARKLINE(SORT(MAP(TRANSPOSE(AQ17:BL17), LAMBDA(val, IF(ISNUMBER(val), PERCENTRANK(AQ17:BL17, val)+0.01, 0))), SEQUENCE(COLUMNS(AQ17:BL17)), FALSE), {""charttype"",""column""; ""color"",""chartreuse""; ""ymin"", 0; ""ymax"", 1.01; ""highcolor"", "&amp;"""darkgreen""; ""lowcolor"", ""red""}), """")"),"")</f>
        <v/>
      </c>
      <c r="B17" s="17" t="str">
        <f t="shared" si="4"/>
        <v/>
      </c>
      <c r="C17" s="1" t="s">
        <v>130</v>
      </c>
      <c r="D17" s="34" t="str">
        <f>IFERROR(__xludf.DUMMYFUNCTION("IFERROR(GOOGLEFINANCE(C17, ""NAME""))"),"Jefferies Financial Group Inc")</f>
        <v>Jefferies Financial Group Inc</v>
      </c>
      <c r="E17" s="30" t="s">
        <v>77</v>
      </c>
      <c r="F17" s="33" t="str">
        <f>IFERROR(__xludf.DUMMYFUNCTION("( (GOOGLEFINANCE(C17, ""price"") - Q17) / Q17 ) / (R17 / 100)"),"Loading...")</f>
        <v>Loading...</v>
      </c>
      <c r="G17" s="20" t="str">
        <f>IFERROR(__xludf.DUMMYFUNCTION("AVERAGE(ARRAYFORMULA(100 * (QUERY(GOOGLEFINANCE(C17, ""high"", TODAY()-40, TODAY()), ""SELECT Col2 WHERE Col2 IS NOT NULL ORDER BY Col1 DESC LIMIT 20"", 0) / QUERY(GOOGLEFINANCE(C17, ""low"", TODAY()-40, TODAY()), ""SELECT Col2 WHERE Col2 IS NOT NULL ORDE"&amp;"R BY Col1 DESC LIMIT 20"", 0) - 1)))"),"#N/A")</f>
        <v>#N/A</v>
      </c>
      <c r="H17" s="35" t="str">
        <f t="shared" si="6"/>
        <v/>
      </c>
      <c r="I17" s="36" t="str">
        <f t="shared" si="7"/>
        <v/>
      </c>
      <c r="J17" s="37" t="str">
        <f>IFERROR(__xludf.DUMMYFUNCTION("IFERROR(
  IF(C17="""",, 
    IFERROR(
      GOOGLEFINANCE(C17, ""price"") * GOOGLEFINANCE(C17, ""volumeavg""), 
      GOOGLEFINANCE(C17, ""price"") * AVERAGE(QUERY(GOOGLEFINANCE(C17, ""volume"", TODAY()-40, TODAY()), ""SELECT Col2 WHERE Col2 IS NOT NULL "&amp;"ORDER BY Col1 DESC LIMIT 20"", 0))
    )
  ), 
"""")"),"")</f>
        <v/>
      </c>
      <c r="K17" s="21" t="str">
        <f>IFERROR(__xludf.DUMMYFUNCTION("IFERROR(GOOGLEFINANCE(C17, ""changepct"") / 100, """")"),"")</f>
        <v/>
      </c>
      <c r="L17" s="21" t="str">
        <f>IFERROR(__xludf.DUMMYFUNCTION("IFERROR((GOOGLEFINANCE(C17, ""price"") / INDEX(GOOGLEFINANCE(C17, ""price"", TODAY()-7, TODAY()), 2, 2)) - 1, """")"),"")</f>
        <v/>
      </c>
      <c r="M17" s="21" t="str">
        <f>IFERROR(__xludf.DUMMYFUNCTION("IFERROR((GOOGLEFINANCE(C17, ""price"") / INDEX(GOOGLEFINANCE(C17, ""price"", EDATE(TODAY(), -1), TODAY()), 2, 2)) - 1, """")"),"")</f>
        <v/>
      </c>
      <c r="N17" s="21" t="str">
        <f>IFERROR(__xludf.DUMMYFUNCTION("IFERROR((GOOGLEFINANCE(C17, ""price"") / INDEX(GOOGLEFINANCE(C17, ""price"", EDATE(TODAY(), -3), TODAY()), 2, 2)) - 1, """")"),"")</f>
        <v/>
      </c>
      <c r="O17" s="21" t="str">
        <f>IFERROR(__xludf.DUMMYFUNCTION("IFERROR((GOOGLEFINANCE(C17, ""price"") / INDEX(GOOGLEFINANCE(C17, ""price"", EDATE(TODAY(), -6), TODAY()), 2, 2)) - 1, """")"),"")</f>
        <v/>
      </c>
      <c r="P17" s="21" t="str">
        <f>IFERROR(__xludf.DUMMYFUNCTION("IFERROR((GOOGLEFINANCE(C17, ""price"") / INDEX(GOOGLEFINANCE(C17, ""price"", EDATE(TODAY(), -12), TODAY()), 2, 2)) - 1, """")"),"")</f>
        <v/>
      </c>
      <c r="Q17" s="6" t="str">
        <f>IFERROR(__xludf.DUMMYFUNCTION("AVERAGE(QUERY(GOOGLEFINANCE(C17, ""price"", TODAY()-80, TODAY()), ""SELECT Col2 WHERE Col2 IS NOT NULL ORDER BY Col1 DESC LIMIT 50"", 0))"),"#N/A")</f>
        <v>#N/A</v>
      </c>
      <c r="R17" s="24" t="str">
        <f>IFERROR(__xludf.DUMMYFUNCTION("IFERROR(
  LET(
    data, QUERY(GOOGLEFINANCE(C17,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GOOGLEFINANCE(C17, ""price"")) * 100,
    IF(calc=0, G17, calc)
  ), 
G17)"),"#N/A")</f>
        <v>#N/A</v>
      </c>
      <c r="S17" s="8" t="s">
        <v>15</v>
      </c>
      <c r="T17" s="26" t="str">
        <f>IFERROR(__xludf.DUMMYFUNCTION("IFERROR(TRANSPOSE(QUERY(IFERROR(SORT(GOOGLEFINANCE(C17, ""price"", WORKDAY(TODAY(), -40), TODAY()), 1, FALSE)), ""select Col2 where Col2 is not null limit 22 label Col2 ''"", 0)), """")"),"")</f>
        <v/>
      </c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8"/>
      <c r="AO17" s="28"/>
      <c r="AP17" s="29"/>
      <c r="AQ17" s="29" t="str">
        <f t="shared" ref="AQ17:BL17" si="20">T17/T$2</f>
        <v>#N/A</v>
      </c>
      <c r="AR17" s="29" t="str">
        <f t="shared" si="20"/>
        <v>#DIV/0!</v>
      </c>
      <c r="AS17" s="29" t="str">
        <f t="shared" si="20"/>
        <v>#DIV/0!</v>
      </c>
      <c r="AT17" s="29" t="str">
        <f t="shared" si="20"/>
        <v>#DIV/0!</v>
      </c>
      <c r="AU17" s="29" t="str">
        <f t="shared" si="20"/>
        <v>#DIV/0!</v>
      </c>
      <c r="AV17" s="29" t="str">
        <f t="shared" si="20"/>
        <v>#DIV/0!</v>
      </c>
      <c r="AW17" s="29" t="str">
        <f t="shared" si="20"/>
        <v>#DIV/0!</v>
      </c>
      <c r="AX17" s="29" t="str">
        <f t="shared" si="20"/>
        <v>#DIV/0!</v>
      </c>
      <c r="AY17" s="29" t="str">
        <f t="shared" si="20"/>
        <v>#DIV/0!</v>
      </c>
      <c r="AZ17" s="29" t="str">
        <f t="shared" si="20"/>
        <v>#DIV/0!</v>
      </c>
      <c r="BA17" s="29" t="str">
        <f t="shared" si="20"/>
        <v>#DIV/0!</v>
      </c>
      <c r="BB17" s="29" t="str">
        <f t="shared" si="20"/>
        <v>#DIV/0!</v>
      </c>
      <c r="BC17" s="29" t="str">
        <f t="shared" si="20"/>
        <v>#DIV/0!</v>
      </c>
      <c r="BD17" s="29" t="str">
        <f t="shared" si="20"/>
        <v>#DIV/0!</v>
      </c>
      <c r="BE17" s="29" t="str">
        <f t="shared" si="20"/>
        <v>#DIV/0!</v>
      </c>
      <c r="BF17" s="29" t="str">
        <f t="shared" si="20"/>
        <v>#DIV/0!</v>
      </c>
      <c r="BG17" s="29" t="str">
        <f t="shared" si="20"/>
        <v>#DIV/0!</v>
      </c>
      <c r="BH17" s="29" t="str">
        <f t="shared" si="20"/>
        <v>#DIV/0!</v>
      </c>
      <c r="BI17" s="29" t="str">
        <f t="shared" si="20"/>
        <v>#DIV/0!</v>
      </c>
      <c r="BJ17" s="29" t="str">
        <f t="shared" si="20"/>
        <v>#DIV/0!</v>
      </c>
      <c r="BK17" s="29" t="str">
        <f t="shared" si="20"/>
        <v>#DIV/0!</v>
      </c>
      <c r="BL17" s="29" t="str">
        <f t="shared" si="20"/>
        <v>#DIV/0!</v>
      </c>
      <c r="BM17" s="29" t="str">
        <f t="shared" si="3"/>
        <v>#DIV/0!</v>
      </c>
    </row>
    <row r="18">
      <c r="A18" s="16" t="str">
        <f>IFERROR(__xludf.DUMMYFUNCTION("IFERROR(SPARKLINE(SORT(MAP(TRANSPOSE(AQ18:BL18), LAMBDA(val, IF(ISNUMBER(val), PERCENTRANK(AQ18:BL18, val)+0.01, 0))), SEQUENCE(COLUMNS(AQ18:BL18)), FALSE), {""charttype"",""column""; ""color"",""chartreuse""; ""ymin"", 0; ""ymax"", 1.01; ""highcolor"", "&amp;"""darkgreen""; ""lowcolor"", ""red""}), """")"),"")</f>
        <v/>
      </c>
      <c r="B18" s="17" t="str">
        <f t="shared" si="4"/>
        <v/>
      </c>
      <c r="C18" s="1" t="s">
        <v>134</v>
      </c>
      <c r="D18" s="34" t="str">
        <f>IFERROR(__xludf.DUMMYFUNCTION("IFERROR(GOOGLEFINANCE(C18, ""NAME""))"),"United Fire Group Inc")</f>
        <v>United Fire Group Inc</v>
      </c>
      <c r="E18" s="30" t="s">
        <v>82</v>
      </c>
      <c r="F18" s="33" t="str">
        <f>IFERROR(__xludf.DUMMYFUNCTION("( (GOOGLEFINANCE(C18, ""price"") - Q18) / Q18 ) / (R18 / 100)"),"Loading...")</f>
        <v>Loading...</v>
      </c>
      <c r="G18" s="20" t="str">
        <f>IFERROR(__xludf.DUMMYFUNCTION("AVERAGE(ARRAYFORMULA(100 * (QUERY(GOOGLEFINANCE(C18, ""high"", TODAY()-40, TODAY()), ""SELECT Col2 WHERE Col2 IS NOT NULL ORDER BY Col1 DESC LIMIT 20"", 0) / QUERY(GOOGLEFINANCE(C18, ""low"", TODAY()-40, TODAY()), ""SELECT Col2 WHERE Col2 IS NOT NULL ORDE"&amp;"R BY Col1 DESC LIMIT 20"", 0) - 1)))"),"#N/A")</f>
        <v>#N/A</v>
      </c>
      <c r="H18" s="35" t="str">
        <f t="shared" si="6"/>
        <v/>
      </c>
      <c r="I18" s="36" t="str">
        <f t="shared" si="7"/>
        <v/>
      </c>
      <c r="J18" s="37" t="str">
        <f>IFERROR(__xludf.DUMMYFUNCTION("IFERROR(
  IF(C18="""",, 
    IFERROR(
      GOOGLEFINANCE(C18, ""price"") * GOOGLEFINANCE(C18, ""volumeavg""), 
      GOOGLEFINANCE(C18, ""price"") * AVERAGE(QUERY(GOOGLEFINANCE(C18, ""volume"", TODAY()-40, TODAY()), ""SELECT Col2 WHERE Col2 IS NOT NULL "&amp;"ORDER BY Col1 DESC LIMIT 20"", 0))
    )
  ), 
"""")"),"")</f>
        <v/>
      </c>
      <c r="K18" s="21" t="str">
        <f>IFERROR(__xludf.DUMMYFUNCTION("IFERROR(GOOGLEFINANCE(C18, ""changepct"") / 100, """")"),"")</f>
        <v/>
      </c>
      <c r="L18" s="21" t="str">
        <f>IFERROR(__xludf.DUMMYFUNCTION("IFERROR((GOOGLEFINANCE(C18, ""price"") / INDEX(GOOGLEFINANCE(C18, ""price"", TODAY()-7, TODAY()), 2, 2)) - 1, """")"),"")</f>
        <v/>
      </c>
      <c r="M18" s="21" t="str">
        <f>IFERROR(__xludf.DUMMYFUNCTION("IFERROR((GOOGLEFINANCE(C18, ""price"") / INDEX(GOOGLEFINANCE(C18, ""price"", EDATE(TODAY(), -1), TODAY()), 2, 2)) - 1, """")"),"")</f>
        <v/>
      </c>
      <c r="N18" s="21" t="str">
        <f>IFERROR(__xludf.DUMMYFUNCTION("IFERROR((GOOGLEFINANCE(C18, ""price"") / INDEX(GOOGLEFINANCE(C18, ""price"", EDATE(TODAY(), -3), TODAY()), 2, 2)) - 1, """")"),"")</f>
        <v/>
      </c>
      <c r="O18" s="21" t="str">
        <f>IFERROR(__xludf.DUMMYFUNCTION("IFERROR((GOOGLEFINANCE(C18, ""price"") / INDEX(GOOGLEFINANCE(C18, ""price"", EDATE(TODAY(), -6), TODAY()), 2, 2)) - 1, """")"),"")</f>
        <v/>
      </c>
      <c r="P18" s="21" t="str">
        <f>IFERROR(__xludf.DUMMYFUNCTION("IFERROR((GOOGLEFINANCE(C18, ""price"") / INDEX(GOOGLEFINANCE(C18, ""price"", EDATE(TODAY(), -12), TODAY()), 2, 2)) - 1, """")"),"")</f>
        <v/>
      </c>
      <c r="Q18" s="6" t="str">
        <f>IFERROR(__xludf.DUMMYFUNCTION("AVERAGE(QUERY(GOOGLEFINANCE(C18, ""price"", TODAY()-80, TODAY()), ""SELECT Col2 WHERE Col2 IS NOT NULL ORDER BY Col1 DESC LIMIT 50"", 0))"),"#N/A")</f>
        <v>#N/A</v>
      </c>
      <c r="R18" s="24" t="str">
        <f>IFERROR(__xludf.DUMMYFUNCTION("IFERROR(
  LET(
    data, QUERY(GOOGLEFINANCE(C18,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GOOGLEFINANCE(C18, ""price"")) * 100,
    IF(calc=0, G18, calc)
  ), 
G18)"),"#N/A")</f>
        <v>#N/A</v>
      </c>
      <c r="S18" s="8" t="s">
        <v>15</v>
      </c>
      <c r="T18" s="26" t="str">
        <f>IFERROR(__xludf.DUMMYFUNCTION("IFERROR(TRANSPOSE(QUERY(IFERROR(SORT(GOOGLEFINANCE(C18, ""price"", WORKDAY(TODAY(), -40), TODAY()), 1, FALSE)), ""select Col2 where Col2 is not null limit 22 label Col2 ''"", 0)), """")"),"")</f>
        <v/>
      </c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8"/>
      <c r="AO18" s="28"/>
      <c r="AP18" s="29"/>
      <c r="AQ18" s="29" t="str">
        <f t="shared" ref="AQ18:BL18" si="21">T18/T$2</f>
        <v>#N/A</v>
      </c>
      <c r="AR18" s="29" t="str">
        <f t="shared" si="21"/>
        <v>#DIV/0!</v>
      </c>
      <c r="AS18" s="29" t="str">
        <f t="shared" si="21"/>
        <v>#DIV/0!</v>
      </c>
      <c r="AT18" s="29" t="str">
        <f t="shared" si="21"/>
        <v>#DIV/0!</v>
      </c>
      <c r="AU18" s="29" t="str">
        <f t="shared" si="21"/>
        <v>#DIV/0!</v>
      </c>
      <c r="AV18" s="29" t="str">
        <f t="shared" si="21"/>
        <v>#DIV/0!</v>
      </c>
      <c r="AW18" s="29" t="str">
        <f t="shared" si="21"/>
        <v>#DIV/0!</v>
      </c>
      <c r="AX18" s="29" t="str">
        <f t="shared" si="21"/>
        <v>#DIV/0!</v>
      </c>
      <c r="AY18" s="29" t="str">
        <f t="shared" si="21"/>
        <v>#DIV/0!</v>
      </c>
      <c r="AZ18" s="29" t="str">
        <f t="shared" si="21"/>
        <v>#DIV/0!</v>
      </c>
      <c r="BA18" s="29" t="str">
        <f t="shared" si="21"/>
        <v>#DIV/0!</v>
      </c>
      <c r="BB18" s="29" t="str">
        <f t="shared" si="21"/>
        <v>#DIV/0!</v>
      </c>
      <c r="BC18" s="29" t="str">
        <f t="shared" si="21"/>
        <v>#DIV/0!</v>
      </c>
      <c r="BD18" s="29" t="str">
        <f t="shared" si="21"/>
        <v>#DIV/0!</v>
      </c>
      <c r="BE18" s="29" t="str">
        <f t="shared" si="21"/>
        <v>#DIV/0!</v>
      </c>
      <c r="BF18" s="29" t="str">
        <f t="shared" si="21"/>
        <v>#DIV/0!</v>
      </c>
      <c r="BG18" s="29" t="str">
        <f t="shared" si="21"/>
        <v>#DIV/0!</v>
      </c>
      <c r="BH18" s="29" t="str">
        <f t="shared" si="21"/>
        <v>#DIV/0!</v>
      </c>
      <c r="BI18" s="29" t="str">
        <f t="shared" si="21"/>
        <v>#DIV/0!</v>
      </c>
      <c r="BJ18" s="29" t="str">
        <f t="shared" si="21"/>
        <v>#DIV/0!</v>
      </c>
      <c r="BK18" s="29" t="str">
        <f t="shared" si="21"/>
        <v>#DIV/0!</v>
      </c>
      <c r="BL18" s="29" t="str">
        <f t="shared" si="21"/>
        <v>#DIV/0!</v>
      </c>
      <c r="BM18" s="29" t="str">
        <f t="shared" si="3"/>
        <v>#DIV/0!</v>
      </c>
    </row>
    <row r="19">
      <c r="A19" s="16" t="str">
        <f>IFERROR(__xludf.DUMMYFUNCTION("IFERROR(SPARKLINE(SORT(MAP(TRANSPOSE(AQ19:BL19), LAMBDA(val, IF(ISNUMBER(val), PERCENTRANK(AQ19:BL19, val)+0.01, 0))), SEQUENCE(COLUMNS(AQ19:BL19)), FALSE), {""charttype"",""column""; ""color"",""chartreuse""; ""ymin"", 0; ""ymax"", 1.01; ""highcolor"", "&amp;"""darkgreen""; ""lowcolor"", ""red""}), """")"),"")</f>
        <v/>
      </c>
      <c r="B19" s="17" t="str">
        <f t="shared" si="4"/>
        <v/>
      </c>
      <c r="C19" s="1" t="s">
        <v>139</v>
      </c>
      <c r="D19" s="34" t="str">
        <f>IFERROR(__xludf.DUMMYFUNCTION("IFERROR(GOOGLEFINANCE(C19, ""NAME""))"),"Riot Platforms Inc")</f>
        <v>Riot Platforms Inc</v>
      </c>
      <c r="E19" s="30" t="s">
        <v>77</v>
      </c>
      <c r="F19" s="33" t="str">
        <f>IFERROR(__xludf.DUMMYFUNCTION("( (GOOGLEFINANCE(C19, ""price"") - Q19) / Q19 ) / (R19 / 100)"),"Loading...")</f>
        <v>Loading...</v>
      </c>
      <c r="G19" s="20" t="str">
        <f>IFERROR(__xludf.DUMMYFUNCTION("AVERAGE(ARRAYFORMULA(100 * (QUERY(GOOGLEFINANCE(C19, ""high"", TODAY()-40, TODAY()), ""SELECT Col2 WHERE Col2 IS NOT NULL ORDER BY Col1 DESC LIMIT 20"", 0) / QUERY(GOOGLEFINANCE(C19, ""low"", TODAY()-40, TODAY()), ""SELECT Col2 WHERE Col2 IS NOT NULL ORDE"&amp;"R BY Col1 DESC LIMIT 20"", 0) - 1)))"),"#N/A")</f>
        <v>#N/A</v>
      </c>
      <c r="H19" s="35" t="str">
        <f t="shared" si="6"/>
        <v/>
      </c>
      <c r="I19" s="36" t="str">
        <f t="shared" si="7"/>
        <v/>
      </c>
      <c r="J19" s="37" t="str">
        <f>IFERROR(__xludf.DUMMYFUNCTION("IFERROR(
  IF(C19="""",, 
    IFERROR(
      GOOGLEFINANCE(C19, ""price"") * GOOGLEFINANCE(C19, ""volumeavg""), 
      GOOGLEFINANCE(C19, ""price"") * AVERAGE(QUERY(GOOGLEFINANCE(C19, ""volume"", TODAY()-40, TODAY()), ""SELECT Col2 WHERE Col2 IS NOT NULL "&amp;"ORDER BY Col1 DESC LIMIT 20"", 0))
    )
  ), 
"""")"),"")</f>
        <v/>
      </c>
      <c r="K19" s="21" t="str">
        <f>IFERROR(__xludf.DUMMYFUNCTION("IFERROR(GOOGLEFINANCE(C19, ""changepct"") / 100, """")"),"")</f>
        <v/>
      </c>
      <c r="L19" s="21" t="str">
        <f>IFERROR(__xludf.DUMMYFUNCTION("IFERROR((GOOGLEFINANCE(C19, ""price"") / INDEX(GOOGLEFINANCE(C19, ""price"", TODAY()-7, TODAY()), 2, 2)) - 1, """")"),"")</f>
        <v/>
      </c>
      <c r="M19" s="21" t="str">
        <f>IFERROR(__xludf.DUMMYFUNCTION("IFERROR((GOOGLEFINANCE(C19, ""price"") / INDEX(GOOGLEFINANCE(C19, ""price"", EDATE(TODAY(), -1), TODAY()), 2, 2)) - 1, """")"),"")</f>
        <v/>
      </c>
      <c r="N19" s="21" t="str">
        <f>IFERROR(__xludf.DUMMYFUNCTION("IFERROR((GOOGLEFINANCE(C19, ""price"") / INDEX(GOOGLEFINANCE(C19, ""price"", EDATE(TODAY(), -3), TODAY()), 2, 2)) - 1, """")"),"")</f>
        <v/>
      </c>
      <c r="O19" s="21" t="str">
        <f>IFERROR(__xludf.DUMMYFUNCTION("IFERROR((GOOGLEFINANCE(C19, ""price"") / INDEX(GOOGLEFINANCE(C19, ""price"", EDATE(TODAY(), -6), TODAY()), 2, 2)) - 1, """")"),"")</f>
        <v/>
      </c>
      <c r="P19" s="21" t="str">
        <f>IFERROR(__xludf.DUMMYFUNCTION("IFERROR((GOOGLEFINANCE(C19, ""price"") / INDEX(GOOGLEFINANCE(C19, ""price"", EDATE(TODAY(), -12), TODAY()), 2, 2)) - 1, """")"),"")</f>
        <v/>
      </c>
      <c r="Q19" s="6" t="str">
        <f>IFERROR(__xludf.DUMMYFUNCTION("AVERAGE(QUERY(GOOGLEFINANCE(C19, ""price"", TODAY()-80, TODAY()), ""SELECT Col2 WHERE Col2 IS NOT NULL ORDER BY Col1 DESC LIMIT 50"", 0))"),"#N/A")</f>
        <v>#N/A</v>
      </c>
      <c r="R19" s="24" t="str">
        <f>IFERROR(__xludf.DUMMYFUNCTION("IFERROR(
  LET(
    data, QUERY(GOOGLEFINANCE(C19,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GOOGLEFINANCE(C19, ""price"")) * 100,
    IF(calc=0, G19, calc)
  ), 
G19)"),"#N/A")</f>
        <v>#N/A</v>
      </c>
      <c r="S19" s="8" t="s">
        <v>15</v>
      </c>
      <c r="T19" s="26" t="str">
        <f>IFERROR(__xludf.DUMMYFUNCTION("IFERROR(TRANSPOSE(QUERY(IFERROR(SORT(GOOGLEFINANCE(C19, ""price"", WORKDAY(TODAY(), -40), TODAY()), 1, FALSE)), ""select Col2 where Col2 is not null limit 22 label Col2 ''"", 0)), """")"),"")</f>
        <v/>
      </c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8"/>
      <c r="AO19" s="28"/>
      <c r="AP19" s="29"/>
      <c r="AQ19" s="29" t="str">
        <f t="shared" ref="AQ19:BL19" si="22">T19/T$2</f>
        <v>#N/A</v>
      </c>
      <c r="AR19" s="29" t="str">
        <f t="shared" si="22"/>
        <v>#DIV/0!</v>
      </c>
      <c r="AS19" s="29" t="str">
        <f t="shared" si="22"/>
        <v>#DIV/0!</v>
      </c>
      <c r="AT19" s="29" t="str">
        <f t="shared" si="22"/>
        <v>#DIV/0!</v>
      </c>
      <c r="AU19" s="29" t="str">
        <f t="shared" si="22"/>
        <v>#DIV/0!</v>
      </c>
      <c r="AV19" s="29" t="str">
        <f t="shared" si="22"/>
        <v>#DIV/0!</v>
      </c>
      <c r="AW19" s="29" t="str">
        <f t="shared" si="22"/>
        <v>#DIV/0!</v>
      </c>
      <c r="AX19" s="29" t="str">
        <f t="shared" si="22"/>
        <v>#DIV/0!</v>
      </c>
      <c r="AY19" s="29" t="str">
        <f t="shared" si="22"/>
        <v>#DIV/0!</v>
      </c>
      <c r="AZ19" s="29" t="str">
        <f t="shared" si="22"/>
        <v>#DIV/0!</v>
      </c>
      <c r="BA19" s="29" t="str">
        <f t="shared" si="22"/>
        <v>#DIV/0!</v>
      </c>
      <c r="BB19" s="29" t="str">
        <f t="shared" si="22"/>
        <v>#DIV/0!</v>
      </c>
      <c r="BC19" s="29" t="str">
        <f t="shared" si="22"/>
        <v>#DIV/0!</v>
      </c>
      <c r="BD19" s="29" t="str">
        <f t="shared" si="22"/>
        <v>#DIV/0!</v>
      </c>
      <c r="BE19" s="29" t="str">
        <f t="shared" si="22"/>
        <v>#DIV/0!</v>
      </c>
      <c r="BF19" s="29" t="str">
        <f t="shared" si="22"/>
        <v>#DIV/0!</v>
      </c>
      <c r="BG19" s="29" t="str">
        <f t="shared" si="22"/>
        <v>#DIV/0!</v>
      </c>
      <c r="BH19" s="29" t="str">
        <f t="shared" si="22"/>
        <v>#DIV/0!</v>
      </c>
      <c r="BI19" s="29" t="str">
        <f t="shared" si="22"/>
        <v>#DIV/0!</v>
      </c>
      <c r="BJ19" s="29" t="str">
        <f t="shared" si="22"/>
        <v>#DIV/0!</v>
      </c>
      <c r="BK19" s="29" t="str">
        <f t="shared" si="22"/>
        <v>#DIV/0!</v>
      </c>
      <c r="BL19" s="29" t="str">
        <f t="shared" si="22"/>
        <v>#DIV/0!</v>
      </c>
      <c r="BM19" s="29" t="str">
        <f t="shared" si="3"/>
        <v>#DIV/0!</v>
      </c>
    </row>
    <row r="20">
      <c r="A20" s="16" t="str">
        <f>IFERROR(__xludf.DUMMYFUNCTION("IFERROR(SPARKLINE(SORT(MAP(TRANSPOSE(AQ20:BL20), LAMBDA(val, IF(ISNUMBER(val), PERCENTRANK(AQ20:BL20, val)+0.01, 0))), SEQUENCE(COLUMNS(AQ20:BL20)), FALSE), {""charttype"",""column""; ""color"",""chartreuse""; ""ymin"", 0; ""ymax"", 1.01; ""highcolor"", "&amp;"""darkgreen""; ""lowcolor"", ""red""}), """")"),"")</f>
        <v/>
      </c>
      <c r="B20" s="17" t="str">
        <f t="shared" si="4"/>
        <v/>
      </c>
      <c r="C20" s="1" t="s">
        <v>144</v>
      </c>
      <c r="D20" s="34" t="str">
        <f>IFERROR(__xludf.DUMMYFUNCTION("IFERROR(GOOGLEFINANCE(C20, ""NAME""))"),"Firstcash Holdings Inc (Texas)")</f>
        <v>Firstcash Holdings Inc (Texas)</v>
      </c>
      <c r="E20" s="30" t="s">
        <v>145</v>
      </c>
      <c r="F20" s="33" t="str">
        <f>IFERROR(__xludf.DUMMYFUNCTION("( (GOOGLEFINANCE(C20, ""price"") - Q20) / Q20 ) / (R20 / 100)"),"Loading...")</f>
        <v>Loading...</v>
      </c>
      <c r="G20" s="20" t="str">
        <f>IFERROR(__xludf.DUMMYFUNCTION("AVERAGE(ARRAYFORMULA(100 * (QUERY(GOOGLEFINANCE(C20, ""high"", TODAY()-40, TODAY()), ""SELECT Col2 WHERE Col2 IS NOT NULL ORDER BY Col1 DESC LIMIT 20"", 0) / QUERY(GOOGLEFINANCE(C20, ""low"", TODAY()-40, TODAY()), ""SELECT Col2 WHERE Col2 IS NOT NULL ORDE"&amp;"R BY Col1 DESC LIMIT 20"", 0) - 1)))"),"#N/A")</f>
        <v>#N/A</v>
      </c>
      <c r="H20" s="35" t="str">
        <f t="shared" si="6"/>
        <v/>
      </c>
      <c r="I20" s="36" t="str">
        <f t="shared" si="7"/>
        <v/>
      </c>
      <c r="J20" s="37" t="str">
        <f>IFERROR(__xludf.DUMMYFUNCTION("IFERROR(
  IF(C20="""",, 
    IFERROR(
      GOOGLEFINANCE(C20, ""price"") * GOOGLEFINANCE(C20, ""volumeavg""), 
      GOOGLEFINANCE(C20, ""price"") * AVERAGE(QUERY(GOOGLEFINANCE(C20, ""volume"", TODAY()-40, TODAY()), ""SELECT Col2 WHERE Col2 IS NOT NULL "&amp;"ORDER BY Col1 DESC LIMIT 20"", 0))
    )
  ), 
"""")"),"")</f>
        <v/>
      </c>
      <c r="K20" s="21" t="str">
        <f>IFERROR(__xludf.DUMMYFUNCTION("IFERROR(GOOGLEFINANCE(C20, ""changepct"") / 100, """")"),"")</f>
        <v/>
      </c>
      <c r="L20" s="21" t="str">
        <f>IFERROR(__xludf.DUMMYFUNCTION("IFERROR((GOOGLEFINANCE(C20, ""price"") / INDEX(GOOGLEFINANCE(C20, ""price"", TODAY()-7, TODAY()), 2, 2)) - 1, """")"),"")</f>
        <v/>
      </c>
      <c r="M20" s="21" t="str">
        <f>IFERROR(__xludf.DUMMYFUNCTION("IFERROR((GOOGLEFINANCE(C20, ""price"") / INDEX(GOOGLEFINANCE(C20, ""price"", EDATE(TODAY(), -1), TODAY()), 2, 2)) - 1, """")"),"")</f>
        <v/>
      </c>
      <c r="N20" s="21" t="str">
        <f>IFERROR(__xludf.DUMMYFUNCTION("IFERROR((GOOGLEFINANCE(C20, ""price"") / INDEX(GOOGLEFINANCE(C20, ""price"", EDATE(TODAY(), -3), TODAY()), 2, 2)) - 1, """")"),"")</f>
        <v/>
      </c>
      <c r="O20" s="21" t="str">
        <f>IFERROR(__xludf.DUMMYFUNCTION("IFERROR((GOOGLEFINANCE(C20, ""price"") / INDEX(GOOGLEFINANCE(C20, ""price"", EDATE(TODAY(), -6), TODAY()), 2, 2)) - 1, """")"),"")</f>
        <v/>
      </c>
      <c r="P20" s="21" t="str">
        <f>IFERROR(__xludf.DUMMYFUNCTION("IFERROR((GOOGLEFINANCE(C20, ""price"") / INDEX(GOOGLEFINANCE(C20, ""price"", EDATE(TODAY(), -12), TODAY()), 2, 2)) - 1, """")"),"")</f>
        <v/>
      </c>
      <c r="Q20" s="6" t="str">
        <f>IFERROR(__xludf.DUMMYFUNCTION("AVERAGE(QUERY(GOOGLEFINANCE(C20, ""price"", TODAY()-80, TODAY()), ""SELECT Col2 WHERE Col2 IS NOT NULL ORDER BY Col1 DESC LIMIT 50"", 0))"),"#N/A")</f>
        <v>#N/A</v>
      </c>
      <c r="R20" s="24" t="str">
        <f>IFERROR(__xludf.DUMMYFUNCTION("IFERROR(
  LET(
    data, QUERY(GOOGLEFINANCE(C20,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GOOGLEFINANCE(C20, ""price"")) * 100,
    IF(calc=0, G20, calc)
  ), 
G20)"),"#N/A")</f>
        <v>#N/A</v>
      </c>
      <c r="S20" s="8" t="s">
        <v>15</v>
      </c>
      <c r="T20" s="26" t="str">
        <f>IFERROR(__xludf.DUMMYFUNCTION("IFERROR(TRANSPOSE(QUERY(IFERROR(SORT(GOOGLEFINANCE(C20, ""price"", WORKDAY(TODAY(), -40), TODAY()), 1, FALSE)), ""select Col2 where Col2 is not null limit 22 label Col2 ''"", 0)), """")"),"")</f>
        <v/>
      </c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8"/>
      <c r="AO20" s="28"/>
      <c r="AP20" s="29"/>
      <c r="AQ20" s="29" t="str">
        <f t="shared" ref="AQ20:BL20" si="23">T20/T$2</f>
        <v>#N/A</v>
      </c>
      <c r="AR20" s="29" t="str">
        <f t="shared" si="23"/>
        <v>#DIV/0!</v>
      </c>
      <c r="AS20" s="29" t="str">
        <f t="shared" si="23"/>
        <v>#DIV/0!</v>
      </c>
      <c r="AT20" s="29" t="str">
        <f t="shared" si="23"/>
        <v>#DIV/0!</v>
      </c>
      <c r="AU20" s="29" t="str">
        <f t="shared" si="23"/>
        <v>#DIV/0!</v>
      </c>
      <c r="AV20" s="29" t="str">
        <f t="shared" si="23"/>
        <v>#DIV/0!</v>
      </c>
      <c r="AW20" s="29" t="str">
        <f t="shared" si="23"/>
        <v>#DIV/0!</v>
      </c>
      <c r="AX20" s="29" t="str">
        <f t="shared" si="23"/>
        <v>#DIV/0!</v>
      </c>
      <c r="AY20" s="29" t="str">
        <f t="shared" si="23"/>
        <v>#DIV/0!</v>
      </c>
      <c r="AZ20" s="29" t="str">
        <f t="shared" si="23"/>
        <v>#DIV/0!</v>
      </c>
      <c r="BA20" s="29" t="str">
        <f t="shared" si="23"/>
        <v>#DIV/0!</v>
      </c>
      <c r="BB20" s="29" t="str">
        <f t="shared" si="23"/>
        <v>#DIV/0!</v>
      </c>
      <c r="BC20" s="29" t="str">
        <f t="shared" si="23"/>
        <v>#DIV/0!</v>
      </c>
      <c r="BD20" s="29" t="str">
        <f t="shared" si="23"/>
        <v>#DIV/0!</v>
      </c>
      <c r="BE20" s="29" t="str">
        <f t="shared" si="23"/>
        <v>#DIV/0!</v>
      </c>
      <c r="BF20" s="29" t="str">
        <f t="shared" si="23"/>
        <v>#DIV/0!</v>
      </c>
      <c r="BG20" s="29" t="str">
        <f t="shared" si="23"/>
        <v>#DIV/0!</v>
      </c>
      <c r="BH20" s="29" t="str">
        <f t="shared" si="23"/>
        <v>#DIV/0!</v>
      </c>
      <c r="BI20" s="29" t="str">
        <f t="shared" si="23"/>
        <v>#DIV/0!</v>
      </c>
      <c r="BJ20" s="29" t="str">
        <f t="shared" si="23"/>
        <v>#DIV/0!</v>
      </c>
      <c r="BK20" s="29" t="str">
        <f t="shared" si="23"/>
        <v>#DIV/0!</v>
      </c>
      <c r="BL20" s="29" t="str">
        <f t="shared" si="23"/>
        <v>#DIV/0!</v>
      </c>
      <c r="BM20" s="29" t="str">
        <f t="shared" si="3"/>
        <v>#DIV/0!</v>
      </c>
    </row>
    <row r="21">
      <c r="A21" s="16" t="str">
        <f>IFERROR(__xludf.DUMMYFUNCTION("IFERROR(SPARKLINE(SORT(MAP(TRANSPOSE(AQ21:BL21), LAMBDA(val, IF(ISNUMBER(val), PERCENTRANK(AQ21:BL21, val)+0.01, 0))), SEQUENCE(COLUMNS(AQ21:BL21)), FALSE), {""charttype"",""column""; ""color"",""chartreuse""; ""ymin"", 0; ""ymax"", 1.01; ""highcolor"", "&amp;"""darkgreen""; ""lowcolor"", ""red""}), """")"),"")</f>
        <v/>
      </c>
      <c r="B21" s="17" t="str">
        <f t="shared" si="4"/>
        <v/>
      </c>
      <c r="C21" s="1" t="s">
        <v>150</v>
      </c>
      <c r="D21" s="34" t="str">
        <f>IFERROR(__xludf.DUMMYFUNCTION("IFERROR(GOOGLEFINANCE(C21, ""NAME""))"),"Galaxy Digital Inc")</f>
        <v>Galaxy Digital Inc</v>
      </c>
      <c r="E21" s="30" t="s">
        <v>77</v>
      </c>
      <c r="F21" s="33" t="str">
        <f>IFERROR(__xludf.DUMMYFUNCTION("( (GOOGLEFINANCE(C21, ""price"") - Q21) / Q21 ) / (R21 / 100)"),"Loading...")</f>
        <v>Loading...</v>
      </c>
      <c r="G21" s="20" t="str">
        <f>IFERROR(__xludf.DUMMYFUNCTION("AVERAGE(ARRAYFORMULA(100 * (QUERY(GOOGLEFINANCE(C21, ""high"", TODAY()-40, TODAY()), ""SELECT Col2 WHERE Col2 IS NOT NULL ORDER BY Col1 DESC LIMIT 20"", 0) / QUERY(GOOGLEFINANCE(C21, ""low"", TODAY()-40, TODAY()), ""SELECT Col2 WHERE Col2 IS NOT NULL ORDE"&amp;"R BY Col1 DESC LIMIT 20"", 0) - 1)))"),"#N/A")</f>
        <v>#N/A</v>
      </c>
      <c r="H21" s="35" t="str">
        <f t="shared" si="6"/>
        <v/>
      </c>
      <c r="I21" s="36" t="str">
        <f t="shared" si="7"/>
        <v/>
      </c>
      <c r="J21" s="37" t="str">
        <f>IFERROR(__xludf.DUMMYFUNCTION("IFERROR(
  IF(C21="""",, 
    IFERROR(
      GOOGLEFINANCE(C21, ""price"") * GOOGLEFINANCE(C21, ""volumeavg""), 
      GOOGLEFINANCE(C21, ""price"") * AVERAGE(QUERY(GOOGLEFINANCE(C21, ""volume"", TODAY()-40, TODAY()), ""SELECT Col2 WHERE Col2 IS NOT NULL "&amp;"ORDER BY Col1 DESC LIMIT 20"", 0))
    )
  ), 
"""")"),"")</f>
        <v/>
      </c>
      <c r="K21" s="21" t="str">
        <f>IFERROR(__xludf.DUMMYFUNCTION("IFERROR(GOOGLEFINANCE(C21, ""changepct"") / 100, """")"),"")</f>
        <v/>
      </c>
      <c r="L21" s="21" t="str">
        <f>IFERROR(__xludf.DUMMYFUNCTION("IFERROR((GOOGLEFINANCE(C21, ""price"") / INDEX(GOOGLEFINANCE(C21, ""price"", TODAY()-7, TODAY()), 2, 2)) - 1, """")"),"")</f>
        <v/>
      </c>
      <c r="M21" s="21" t="str">
        <f>IFERROR(__xludf.DUMMYFUNCTION("IFERROR((GOOGLEFINANCE(C21, ""price"") / INDEX(GOOGLEFINANCE(C21, ""price"", EDATE(TODAY(), -1), TODAY()), 2, 2)) - 1, """")"),"")</f>
        <v/>
      </c>
      <c r="N21" s="21" t="str">
        <f>IFERROR(__xludf.DUMMYFUNCTION("IFERROR((GOOGLEFINANCE(C21, ""price"") / INDEX(GOOGLEFINANCE(C21, ""price"", EDATE(TODAY(), -3), TODAY()), 2, 2)) - 1, """")"),"")</f>
        <v/>
      </c>
      <c r="O21" s="21" t="str">
        <f>IFERROR(__xludf.DUMMYFUNCTION("IFERROR((GOOGLEFINANCE(C21, ""price"") / INDEX(GOOGLEFINANCE(C21, ""price"", EDATE(TODAY(), -6), TODAY()), 2, 2)) - 1, """")"),"")</f>
        <v/>
      </c>
      <c r="P21" s="21" t="str">
        <f>IFERROR(__xludf.DUMMYFUNCTION("IFERROR((GOOGLEFINANCE(C21, ""price"") / INDEX(GOOGLEFINANCE(C21, ""price"", EDATE(TODAY(), -12), TODAY()), 2, 2)) - 1, """")"),"")</f>
        <v/>
      </c>
      <c r="Q21" s="6" t="str">
        <f>IFERROR(__xludf.DUMMYFUNCTION("AVERAGE(QUERY(GOOGLEFINANCE(C21, ""price"", TODAY()-80, TODAY()), ""SELECT Col2 WHERE Col2 IS NOT NULL ORDER BY Col1 DESC LIMIT 50"", 0))"),"#N/A")</f>
        <v>#N/A</v>
      </c>
      <c r="R21" s="24" t="str">
        <f>IFERROR(__xludf.DUMMYFUNCTION("IFERROR(
  LET(
    data, QUERY(GOOGLEFINANCE(C21,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GOOGLEFINANCE(C21, ""price"")) * 100,
    IF(calc=0, G21, calc)
  ), 
G21)"),"#N/A")</f>
        <v>#N/A</v>
      </c>
      <c r="S21" s="8" t="s">
        <v>15</v>
      </c>
      <c r="T21" s="26" t="str">
        <f>IFERROR(__xludf.DUMMYFUNCTION("IFERROR(TRANSPOSE(QUERY(IFERROR(SORT(GOOGLEFINANCE(C21, ""price"", WORKDAY(TODAY(), -40), TODAY()), 1, FALSE)), ""select Col2 where Col2 is not null limit 22 label Col2 ''"", 0)), """")"),"")</f>
        <v/>
      </c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8"/>
      <c r="AO21" s="28"/>
      <c r="AP21" s="29"/>
      <c r="AQ21" s="29" t="str">
        <f t="shared" ref="AQ21:BL21" si="24">T21/T$2</f>
        <v>#N/A</v>
      </c>
      <c r="AR21" s="29" t="str">
        <f t="shared" si="24"/>
        <v>#DIV/0!</v>
      </c>
      <c r="AS21" s="29" t="str">
        <f t="shared" si="24"/>
        <v>#DIV/0!</v>
      </c>
      <c r="AT21" s="29" t="str">
        <f t="shared" si="24"/>
        <v>#DIV/0!</v>
      </c>
      <c r="AU21" s="29" t="str">
        <f t="shared" si="24"/>
        <v>#DIV/0!</v>
      </c>
      <c r="AV21" s="29" t="str">
        <f t="shared" si="24"/>
        <v>#DIV/0!</v>
      </c>
      <c r="AW21" s="29" t="str">
        <f t="shared" si="24"/>
        <v>#DIV/0!</v>
      </c>
      <c r="AX21" s="29" t="str">
        <f t="shared" si="24"/>
        <v>#DIV/0!</v>
      </c>
      <c r="AY21" s="29" t="str">
        <f t="shared" si="24"/>
        <v>#DIV/0!</v>
      </c>
      <c r="AZ21" s="29" t="str">
        <f t="shared" si="24"/>
        <v>#DIV/0!</v>
      </c>
      <c r="BA21" s="29" t="str">
        <f t="shared" si="24"/>
        <v>#DIV/0!</v>
      </c>
      <c r="BB21" s="29" t="str">
        <f t="shared" si="24"/>
        <v>#DIV/0!</v>
      </c>
      <c r="BC21" s="29" t="str">
        <f t="shared" si="24"/>
        <v>#DIV/0!</v>
      </c>
      <c r="BD21" s="29" t="str">
        <f t="shared" si="24"/>
        <v>#DIV/0!</v>
      </c>
      <c r="BE21" s="29" t="str">
        <f t="shared" si="24"/>
        <v>#DIV/0!</v>
      </c>
      <c r="BF21" s="29" t="str">
        <f t="shared" si="24"/>
        <v>#DIV/0!</v>
      </c>
      <c r="BG21" s="29" t="str">
        <f t="shared" si="24"/>
        <v>#DIV/0!</v>
      </c>
      <c r="BH21" s="29" t="str">
        <f t="shared" si="24"/>
        <v>#DIV/0!</v>
      </c>
      <c r="BI21" s="29" t="str">
        <f t="shared" si="24"/>
        <v>#DIV/0!</v>
      </c>
      <c r="BJ21" s="29" t="str">
        <f t="shared" si="24"/>
        <v>#DIV/0!</v>
      </c>
      <c r="BK21" s="29" t="str">
        <f t="shared" si="24"/>
        <v>#DIV/0!</v>
      </c>
      <c r="BL21" s="29" t="str">
        <f t="shared" si="24"/>
        <v>#DIV/0!</v>
      </c>
      <c r="BM21" s="29" t="str">
        <f t="shared" si="3"/>
        <v>#DIV/0!</v>
      </c>
    </row>
    <row r="22">
      <c r="A22" s="16" t="str">
        <f>IFERROR(__xludf.DUMMYFUNCTION("IFERROR(SPARKLINE(SORT(MAP(TRANSPOSE(AQ22:BL22), LAMBDA(val, IF(ISNUMBER(val), PERCENTRANK(AQ22:BL22, val)+0.01, 0))), SEQUENCE(COLUMNS(AQ22:BL22)), FALSE), {""charttype"",""column""; ""color"",""chartreuse""; ""ymin"", 0; ""ymax"", 1.01; ""highcolor"", "&amp;"""darkgreen""; ""lowcolor"", ""red""}), """")"),"")</f>
        <v/>
      </c>
      <c r="B22" s="17" t="str">
        <f t="shared" si="4"/>
        <v/>
      </c>
      <c r="C22" s="1" t="s">
        <v>155</v>
      </c>
      <c r="D22" s="34" t="str">
        <f>IFERROR(__xludf.DUMMYFUNCTION("IFERROR(GOOGLEFINANCE(C22, ""NAME""))"),"Bit Digital, Inc")</f>
        <v>Bit Digital, Inc</v>
      </c>
      <c r="E22" s="30" t="s">
        <v>77</v>
      </c>
      <c r="F22" s="33" t="str">
        <f>IFERROR(__xludf.DUMMYFUNCTION("( (GOOGLEFINANCE(C22, ""price"") - Q22) / Q22 ) / (R22 / 100)"),"Loading...")</f>
        <v>Loading...</v>
      </c>
      <c r="G22" s="20" t="str">
        <f>IFERROR(__xludf.DUMMYFUNCTION("AVERAGE(ARRAYFORMULA(100 * (QUERY(GOOGLEFINANCE(C22, ""high"", TODAY()-40, TODAY()), ""SELECT Col2 WHERE Col2 IS NOT NULL ORDER BY Col1 DESC LIMIT 20"", 0) / QUERY(GOOGLEFINANCE(C22, ""low"", TODAY()-40, TODAY()), ""SELECT Col2 WHERE Col2 IS NOT NULL ORDE"&amp;"R BY Col1 DESC LIMIT 20"", 0) - 1)))"),"#N/A")</f>
        <v>#N/A</v>
      </c>
      <c r="H22" s="35" t="str">
        <f t="shared" si="6"/>
        <v/>
      </c>
      <c r="I22" s="36" t="str">
        <f t="shared" si="7"/>
        <v/>
      </c>
      <c r="J22" s="37" t="str">
        <f>IFERROR(__xludf.DUMMYFUNCTION("IFERROR(
  IF(C22="""",, 
    IFERROR(
      GOOGLEFINANCE(C22, ""price"") * GOOGLEFINANCE(C22, ""volumeavg""), 
      GOOGLEFINANCE(C22, ""price"") * AVERAGE(QUERY(GOOGLEFINANCE(C22, ""volume"", TODAY()-40, TODAY()), ""SELECT Col2 WHERE Col2 IS NOT NULL "&amp;"ORDER BY Col1 DESC LIMIT 20"", 0))
    )
  ), 
"""")"),"")</f>
        <v/>
      </c>
      <c r="K22" s="21" t="str">
        <f>IFERROR(__xludf.DUMMYFUNCTION("IFERROR(GOOGLEFINANCE(C22, ""changepct"") / 100, """")"),"")</f>
        <v/>
      </c>
      <c r="L22" s="21" t="str">
        <f>IFERROR(__xludf.DUMMYFUNCTION("IFERROR((GOOGLEFINANCE(C22, ""price"") / INDEX(GOOGLEFINANCE(C22, ""price"", TODAY()-7, TODAY()), 2, 2)) - 1, """")"),"")</f>
        <v/>
      </c>
      <c r="M22" s="21" t="str">
        <f>IFERROR(__xludf.DUMMYFUNCTION("IFERROR((GOOGLEFINANCE(C22, ""price"") / INDEX(GOOGLEFINANCE(C22, ""price"", EDATE(TODAY(), -1), TODAY()), 2, 2)) - 1, """")"),"")</f>
        <v/>
      </c>
      <c r="N22" s="21" t="str">
        <f>IFERROR(__xludf.DUMMYFUNCTION("IFERROR((GOOGLEFINANCE(C22, ""price"") / INDEX(GOOGLEFINANCE(C22, ""price"", EDATE(TODAY(), -3), TODAY()), 2, 2)) - 1, """")"),"")</f>
        <v/>
      </c>
      <c r="O22" s="21" t="str">
        <f>IFERROR(__xludf.DUMMYFUNCTION("IFERROR((GOOGLEFINANCE(C22, ""price"") / INDEX(GOOGLEFINANCE(C22, ""price"", EDATE(TODAY(), -6), TODAY()), 2, 2)) - 1, """")"),"")</f>
        <v/>
      </c>
      <c r="P22" s="21" t="str">
        <f>IFERROR(__xludf.DUMMYFUNCTION("IFERROR((GOOGLEFINANCE(C22, ""price"") / INDEX(GOOGLEFINANCE(C22, ""price"", EDATE(TODAY(), -12), TODAY()), 2, 2)) - 1, """")"),"")</f>
        <v/>
      </c>
      <c r="Q22" s="6" t="str">
        <f>IFERROR(__xludf.DUMMYFUNCTION("AVERAGE(QUERY(GOOGLEFINANCE(C22, ""price"", TODAY()-80, TODAY()), ""SELECT Col2 WHERE Col2 IS NOT NULL ORDER BY Col1 DESC LIMIT 50"", 0))"),"#N/A")</f>
        <v>#N/A</v>
      </c>
      <c r="R22" s="24" t="str">
        <f>IFERROR(__xludf.DUMMYFUNCTION("IFERROR(
  LET(
    data, QUERY(GOOGLEFINANCE(C22,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GOOGLEFINANCE(C22, ""price"")) * 100,
    IF(calc=0, G22, calc)
  ), 
G22)"),"#N/A")</f>
        <v>#N/A</v>
      </c>
      <c r="S22" s="8" t="s">
        <v>15</v>
      </c>
      <c r="T22" s="26" t="str">
        <f>IFERROR(__xludf.DUMMYFUNCTION("IFERROR(TRANSPOSE(QUERY(IFERROR(SORT(GOOGLEFINANCE(C22, ""price"", WORKDAY(TODAY(), -40), TODAY()), 1, FALSE)), ""select Col2 where Col2 is not null limit 22 label Col2 ''"", 0)), """")"),"")</f>
        <v/>
      </c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8"/>
      <c r="AO22" s="28"/>
      <c r="AP22" s="29"/>
      <c r="AQ22" s="29" t="str">
        <f t="shared" ref="AQ22:BL22" si="25">T22/T$2</f>
        <v>#N/A</v>
      </c>
      <c r="AR22" s="29" t="str">
        <f t="shared" si="25"/>
        <v>#DIV/0!</v>
      </c>
      <c r="AS22" s="29" t="str">
        <f t="shared" si="25"/>
        <v>#DIV/0!</v>
      </c>
      <c r="AT22" s="29" t="str">
        <f t="shared" si="25"/>
        <v>#DIV/0!</v>
      </c>
      <c r="AU22" s="29" t="str">
        <f t="shared" si="25"/>
        <v>#DIV/0!</v>
      </c>
      <c r="AV22" s="29" t="str">
        <f t="shared" si="25"/>
        <v>#DIV/0!</v>
      </c>
      <c r="AW22" s="29" t="str">
        <f t="shared" si="25"/>
        <v>#DIV/0!</v>
      </c>
      <c r="AX22" s="29" t="str">
        <f t="shared" si="25"/>
        <v>#DIV/0!</v>
      </c>
      <c r="AY22" s="29" t="str">
        <f t="shared" si="25"/>
        <v>#DIV/0!</v>
      </c>
      <c r="AZ22" s="29" t="str">
        <f t="shared" si="25"/>
        <v>#DIV/0!</v>
      </c>
      <c r="BA22" s="29" t="str">
        <f t="shared" si="25"/>
        <v>#DIV/0!</v>
      </c>
      <c r="BB22" s="29" t="str">
        <f t="shared" si="25"/>
        <v>#DIV/0!</v>
      </c>
      <c r="BC22" s="29" t="str">
        <f t="shared" si="25"/>
        <v>#DIV/0!</v>
      </c>
      <c r="BD22" s="29" t="str">
        <f t="shared" si="25"/>
        <v>#DIV/0!</v>
      </c>
      <c r="BE22" s="29" t="str">
        <f t="shared" si="25"/>
        <v>#DIV/0!</v>
      </c>
      <c r="BF22" s="29" t="str">
        <f t="shared" si="25"/>
        <v>#DIV/0!</v>
      </c>
      <c r="BG22" s="29" t="str">
        <f t="shared" si="25"/>
        <v>#DIV/0!</v>
      </c>
      <c r="BH22" s="29" t="str">
        <f t="shared" si="25"/>
        <v>#DIV/0!</v>
      </c>
      <c r="BI22" s="29" t="str">
        <f t="shared" si="25"/>
        <v>#DIV/0!</v>
      </c>
      <c r="BJ22" s="29" t="str">
        <f t="shared" si="25"/>
        <v>#DIV/0!</v>
      </c>
      <c r="BK22" s="29" t="str">
        <f t="shared" si="25"/>
        <v>#DIV/0!</v>
      </c>
      <c r="BL22" s="29" t="str">
        <f t="shared" si="25"/>
        <v>#DIV/0!</v>
      </c>
      <c r="BM22" s="29" t="str">
        <f t="shared" si="3"/>
        <v>#DIV/0!</v>
      </c>
    </row>
    <row r="23">
      <c r="A23" s="16" t="str">
        <f>IFERROR(__xludf.DUMMYFUNCTION("IFERROR(SPARKLINE(SORT(MAP(TRANSPOSE(AQ23:BL23), LAMBDA(val, IF(ISNUMBER(val), PERCENTRANK(AQ23:BL23, val)+0.01, 0))), SEQUENCE(COLUMNS(AQ23:BL23)), FALSE), {""charttype"",""column""; ""color"",""chartreuse""; ""ymin"", 0; ""ymax"", 1.01; ""highcolor"", "&amp;"""darkgreen""; ""lowcolor"", ""red""}), """")"),"")</f>
        <v/>
      </c>
      <c r="B23" s="17" t="str">
        <f t="shared" si="4"/>
        <v/>
      </c>
      <c r="C23" s="1" t="s">
        <v>160</v>
      </c>
      <c r="D23" s="34" t="str">
        <f>IFERROR(__xludf.DUMMYFUNCTION("IFERROR(GOOGLEFINANCE(C23, ""NAME""))"),"")</f>
        <v/>
      </c>
      <c r="E23" s="30" t="s">
        <v>161</v>
      </c>
      <c r="F23" s="33" t="str">
        <f>IFERROR(__xludf.DUMMYFUNCTION("( (GOOGLEFINANCE(C23, ""price"") - Q23) / Q23 ) / (R23 / 100)"),"Loading...")</f>
        <v>Loading...</v>
      </c>
      <c r="G23" s="20" t="str">
        <f>IFERROR(__xludf.DUMMYFUNCTION("AVERAGE(ARRAYFORMULA(100 * (QUERY(GOOGLEFINANCE(C23, ""high"", TODAY()-40, TODAY()), ""SELECT Col2 WHERE Col2 IS NOT NULL ORDER BY Col1 DESC LIMIT 20"", 0) / QUERY(GOOGLEFINANCE(C23, ""low"", TODAY()-40, TODAY()), ""SELECT Col2 WHERE Col2 IS NOT NULL ORDE"&amp;"R BY Col1 DESC LIMIT 20"", 0) - 1)))"),"#N/A")</f>
        <v>#N/A</v>
      </c>
      <c r="H23" s="35" t="str">
        <f t="shared" si="6"/>
        <v/>
      </c>
      <c r="I23" s="36" t="str">
        <f t="shared" si="7"/>
        <v/>
      </c>
      <c r="J23" s="37" t="str">
        <f>IFERROR(__xludf.DUMMYFUNCTION("IFERROR(
  IF(C23="""",, 
    IFERROR(
      GOOGLEFINANCE(C23, ""price"") * GOOGLEFINANCE(C23, ""volumeavg""), 
      GOOGLEFINANCE(C23, ""price"") * AVERAGE(QUERY(GOOGLEFINANCE(C23, ""volume"", TODAY()-40, TODAY()), ""SELECT Col2 WHERE Col2 IS NOT NULL "&amp;"ORDER BY Col1 DESC LIMIT 20"", 0))
    )
  ), 
"""")"),"")</f>
        <v/>
      </c>
      <c r="K23" s="21" t="str">
        <f>IFERROR(__xludf.DUMMYFUNCTION("IFERROR(GOOGLEFINANCE(C23, ""changepct"") / 100, """")"),"")</f>
        <v/>
      </c>
      <c r="L23" s="21" t="str">
        <f>IFERROR(__xludf.DUMMYFUNCTION("IFERROR((GOOGLEFINANCE(C23, ""price"") / INDEX(GOOGLEFINANCE(C23, ""price"", TODAY()-7, TODAY()), 2, 2)) - 1, """")"),"")</f>
        <v/>
      </c>
      <c r="M23" s="21" t="str">
        <f>IFERROR(__xludf.DUMMYFUNCTION("IFERROR((GOOGLEFINANCE(C23, ""price"") / INDEX(GOOGLEFINANCE(C23, ""price"", EDATE(TODAY(), -1), TODAY()), 2, 2)) - 1, """")"),"")</f>
        <v/>
      </c>
      <c r="N23" s="21" t="str">
        <f>IFERROR(__xludf.DUMMYFUNCTION("IFERROR((GOOGLEFINANCE(C23, ""price"") / INDEX(GOOGLEFINANCE(C23, ""price"", EDATE(TODAY(), -3), TODAY()), 2, 2)) - 1, """")"),"")</f>
        <v/>
      </c>
      <c r="O23" s="21" t="str">
        <f>IFERROR(__xludf.DUMMYFUNCTION("IFERROR((GOOGLEFINANCE(C23, ""price"") / INDEX(GOOGLEFINANCE(C23, ""price"", EDATE(TODAY(), -6), TODAY()), 2, 2)) - 1, """")"),"")</f>
        <v/>
      </c>
      <c r="P23" s="21" t="str">
        <f>IFERROR(__xludf.DUMMYFUNCTION("IFERROR((GOOGLEFINANCE(C23, ""price"") / INDEX(GOOGLEFINANCE(C23, ""price"", EDATE(TODAY(), -12), TODAY()), 2, 2)) - 1, """")"),"")</f>
        <v/>
      </c>
      <c r="Q23" s="6" t="str">
        <f>IFERROR(__xludf.DUMMYFUNCTION("AVERAGE(QUERY(GOOGLEFINANCE(C23, ""price"", TODAY()-80, TODAY()), ""SELECT Col2 WHERE Col2 IS NOT NULL ORDER BY Col1 DESC LIMIT 50"", 0))"),"#N/A")</f>
        <v>#N/A</v>
      </c>
      <c r="R23" s="24" t="str">
        <f>IFERROR(__xludf.DUMMYFUNCTION("IFERROR(
  LET(
    data, QUERY(GOOGLEFINANCE(C23,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GOOGLEFINANCE(C23, ""price"")) * 100,
    IF(calc=0, G23, calc)
  ), 
G23)"),"#N/A")</f>
        <v>#N/A</v>
      </c>
      <c r="S23" s="8" t="s">
        <v>15</v>
      </c>
      <c r="T23" s="26" t="str">
        <f>IFERROR(__xludf.DUMMYFUNCTION("IFERROR(TRANSPOSE(QUERY(IFERROR(SORT(GOOGLEFINANCE(C23, ""price"", WORKDAY(TODAY(), -40), TODAY()), 1, FALSE)), ""select Col2 where Col2 is not null limit 22 label Col2 ''"", 0)), """")"),"")</f>
        <v/>
      </c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8"/>
      <c r="AO23" s="28"/>
      <c r="AP23" s="29"/>
      <c r="AQ23" s="29" t="str">
        <f t="shared" ref="AQ23:BL23" si="26">T23/T$2</f>
        <v>#N/A</v>
      </c>
      <c r="AR23" s="29" t="str">
        <f t="shared" si="26"/>
        <v>#DIV/0!</v>
      </c>
      <c r="AS23" s="29" t="str">
        <f t="shared" si="26"/>
        <v>#DIV/0!</v>
      </c>
      <c r="AT23" s="29" t="str">
        <f t="shared" si="26"/>
        <v>#DIV/0!</v>
      </c>
      <c r="AU23" s="29" t="str">
        <f t="shared" si="26"/>
        <v>#DIV/0!</v>
      </c>
      <c r="AV23" s="29" t="str">
        <f t="shared" si="26"/>
        <v>#DIV/0!</v>
      </c>
      <c r="AW23" s="29" t="str">
        <f t="shared" si="26"/>
        <v>#DIV/0!</v>
      </c>
      <c r="AX23" s="29" t="str">
        <f t="shared" si="26"/>
        <v>#DIV/0!</v>
      </c>
      <c r="AY23" s="29" t="str">
        <f t="shared" si="26"/>
        <v>#DIV/0!</v>
      </c>
      <c r="AZ23" s="29" t="str">
        <f t="shared" si="26"/>
        <v>#DIV/0!</v>
      </c>
      <c r="BA23" s="29" t="str">
        <f t="shared" si="26"/>
        <v>#DIV/0!</v>
      </c>
      <c r="BB23" s="29" t="str">
        <f t="shared" si="26"/>
        <v>#DIV/0!</v>
      </c>
      <c r="BC23" s="29" t="str">
        <f t="shared" si="26"/>
        <v>#DIV/0!</v>
      </c>
      <c r="BD23" s="29" t="str">
        <f t="shared" si="26"/>
        <v>#DIV/0!</v>
      </c>
      <c r="BE23" s="29" t="str">
        <f t="shared" si="26"/>
        <v>#DIV/0!</v>
      </c>
      <c r="BF23" s="29" t="str">
        <f t="shared" si="26"/>
        <v>#DIV/0!</v>
      </c>
      <c r="BG23" s="29" t="str">
        <f t="shared" si="26"/>
        <v>#DIV/0!</v>
      </c>
      <c r="BH23" s="29" t="str">
        <f t="shared" si="26"/>
        <v>#DIV/0!</v>
      </c>
      <c r="BI23" s="29" t="str">
        <f t="shared" si="26"/>
        <v>#DIV/0!</v>
      </c>
      <c r="BJ23" s="29" t="str">
        <f t="shared" si="26"/>
        <v>#DIV/0!</v>
      </c>
      <c r="BK23" s="29" t="str">
        <f t="shared" si="26"/>
        <v>#DIV/0!</v>
      </c>
      <c r="BL23" s="29" t="str">
        <f t="shared" si="26"/>
        <v>#DIV/0!</v>
      </c>
      <c r="BM23" s="29" t="str">
        <f t="shared" si="3"/>
        <v>#DIV/0!</v>
      </c>
    </row>
    <row r="24">
      <c r="A24" s="16" t="str">
        <f>IFERROR(__xludf.DUMMYFUNCTION("IFERROR(SPARKLINE(SORT(MAP(TRANSPOSE(AQ24:BL24), LAMBDA(val, IF(ISNUMBER(val), PERCENTRANK(AQ24:BL24, val)+0.01, 0))), SEQUENCE(COLUMNS(AQ24:BL24)), FALSE), {""charttype"",""column""; ""color"",""chartreuse""; ""ymin"", 0; ""ymax"", 1.01; ""highcolor"", "&amp;"""darkgreen""; ""lowcolor"", ""red""}), """")"),"")</f>
        <v/>
      </c>
      <c r="B24" s="17" t="str">
        <f t="shared" si="4"/>
        <v/>
      </c>
      <c r="C24" s="1" t="s">
        <v>166</v>
      </c>
      <c r="D24" s="34" t="str">
        <f>IFERROR(__xludf.DUMMYFUNCTION("IFERROR(GOOGLEFINANCE(C24, ""NAME""))"),"Acadian Asset Management Inc")</f>
        <v>Acadian Asset Management Inc</v>
      </c>
      <c r="E24" s="30" t="s">
        <v>64</v>
      </c>
      <c r="F24" s="33" t="str">
        <f>IFERROR(__xludf.DUMMYFUNCTION("( (GOOGLEFINANCE(C24, ""price"") - Q24) / Q24 ) / (R24 / 100)"),"Loading...")</f>
        <v>Loading...</v>
      </c>
      <c r="G24" s="20" t="str">
        <f>IFERROR(__xludf.DUMMYFUNCTION("AVERAGE(ARRAYFORMULA(100 * (QUERY(GOOGLEFINANCE(C24, ""high"", TODAY()-40, TODAY()), ""SELECT Col2 WHERE Col2 IS NOT NULL ORDER BY Col1 DESC LIMIT 20"", 0) / QUERY(GOOGLEFINANCE(C24, ""low"", TODAY()-40, TODAY()), ""SELECT Col2 WHERE Col2 IS NOT NULL ORDE"&amp;"R BY Col1 DESC LIMIT 20"", 0) - 1)))"),"#N/A")</f>
        <v>#N/A</v>
      </c>
      <c r="H24" s="35" t="str">
        <f t="shared" si="6"/>
        <v/>
      </c>
      <c r="I24" s="36" t="str">
        <f t="shared" si="7"/>
        <v/>
      </c>
      <c r="J24" s="37" t="str">
        <f>IFERROR(__xludf.DUMMYFUNCTION("IFERROR(
  IF(C24="""",, 
    IFERROR(
      GOOGLEFINANCE(C24, ""price"") * GOOGLEFINANCE(C24, ""volumeavg""), 
      GOOGLEFINANCE(C24, ""price"") * AVERAGE(QUERY(GOOGLEFINANCE(C24, ""volume"", TODAY()-40, TODAY()), ""SELECT Col2 WHERE Col2 IS NOT NULL "&amp;"ORDER BY Col1 DESC LIMIT 20"", 0))
    )
  ), 
"""")"),"")</f>
        <v/>
      </c>
      <c r="K24" s="21" t="str">
        <f>IFERROR(__xludf.DUMMYFUNCTION("IFERROR(GOOGLEFINANCE(C24, ""changepct"") / 100, """")"),"")</f>
        <v/>
      </c>
      <c r="L24" s="21" t="str">
        <f>IFERROR(__xludf.DUMMYFUNCTION("IFERROR((GOOGLEFINANCE(C24, ""price"") / INDEX(GOOGLEFINANCE(C24, ""price"", TODAY()-7, TODAY()), 2, 2)) - 1, """")"),"")</f>
        <v/>
      </c>
      <c r="M24" s="21" t="str">
        <f>IFERROR(__xludf.DUMMYFUNCTION("IFERROR((GOOGLEFINANCE(C24, ""price"") / INDEX(GOOGLEFINANCE(C24, ""price"", EDATE(TODAY(), -1), TODAY()), 2, 2)) - 1, """")"),"")</f>
        <v/>
      </c>
      <c r="N24" s="21" t="str">
        <f>IFERROR(__xludf.DUMMYFUNCTION("IFERROR((GOOGLEFINANCE(C24, ""price"") / INDEX(GOOGLEFINANCE(C24, ""price"", EDATE(TODAY(), -3), TODAY()), 2, 2)) - 1, """")"),"")</f>
        <v/>
      </c>
      <c r="O24" s="21" t="str">
        <f>IFERROR(__xludf.DUMMYFUNCTION("IFERROR((GOOGLEFINANCE(C24, ""price"") / INDEX(GOOGLEFINANCE(C24, ""price"", EDATE(TODAY(), -6), TODAY()), 2, 2)) - 1, """")"),"")</f>
        <v/>
      </c>
      <c r="P24" s="21" t="str">
        <f>IFERROR(__xludf.DUMMYFUNCTION("IFERROR((GOOGLEFINANCE(C24, ""price"") / INDEX(GOOGLEFINANCE(C24, ""price"", EDATE(TODAY(), -12), TODAY()), 2, 2)) - 1, """")"),"")</f>
        <v/>
      </c>
      <c r="Q24" s="6" t="str">
        <f>IFERROR(__xludf.DUMMYFUNCTION("AVERAGE(QUERY(GOOGLEFINANCE(C24, ""price"", TODAY()-80, TODAY()), ""SELECT Col2 WHERE Col2 IS NOT NULL ORDER BY Col1 DESC LIMIT 50"", 0))"),"#N/A")</f>
        <v>#N/A</v>
      </c>
      <c r="R24" s="24" t="str">
        <f>IFERROR(__xludf.DUMMYFUNCTION("IFERROR(
  LET(
    data, QUERY(GOOGLEFINANCE(C24,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GOOGLEFINANCE(C24, ""price"")) * 100,
    IF(calc=0, G24, calc)
  ), 
G24)"),"#N/A")</f>
        <v>#N/A</v>
      </c>
      <c r="S24" s="8" t="s">
        <v>15</v>
      </c>
      <c r="T24" s="26" t="str">
        <f>IFERROR(__xludf.DUMMYFUNCTION("IFERROR(TRANSPOSE(QUERY(IFERROR(SORT(GOOGLEFINANCE(C24, ""price"", WORKDAY(TODAY(), -40), TODAY()), 1, FALSE)), ""select Col2 where Col2 is not null limit 22 label Col2 ''"", 0)), """")"),"")</f>
        <v/>
      </c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8"/>
      <c r="AO24" s="28"/>
      <c r="AP24" s="29"/>
      <c r="AQ24" s="29" t="str">
        <f t="shared" ref="AQ24:BL24" si="27">T24/T$2</f>
        <v>#N/A</v>
      </c>
      <c r="AR24" s="29" t="str">
        <f t="shared" si="27"/>
        <v>#DIV/0!</v>
      </c>
      <c r="AS24" s="29" t="str">
        <f t="shared" si="27"/>
        <v>#DIV/0!</v>
      </c>
      <c r="AT24" s="29" t="str">
        <f t="shared" si="27"/>
        <v>#DIV/0!</v>
      </c>
      <c r="AU24" s="29" t="str">
        <f t="shared" si="27"/>
        <v>#DIV/0!</v>
      </c>
      <c r="AV24" s="29" t="str">
        <f t="shared" si="27"/>
        <v>#DIV/0!</v>
      </c>
      <c r="AW24" s="29" t="str">
        <f t="shared" si="27"/>
        <v>#DIV/0!</v>
      </c>
      <c r="AX24" s="29" t="str">
        <f t="shared" si="27"/>
        <v>#DIV/0!</v>
      </c>
      <c r="AY24" s="29" t="str">
        <f t="shared" si="27"/>
        <v>#DIV/0!</v>
      </c>
      <c r="AZ24" s="29" t="str">
        <f t="shared" si="27"/>
        <v>#DIV/0!</v>
      </c>
      <c r="BA24" s="29" t="str">
        <f t="shared" si="27"/>
        <v>#DIV/0!</v>
      </c>
      <c r="BB24" s="29" t="str">
        <f t="shared" si="27"/>
        <v>#DIV/0!</v>
      </c>
      <c r="BC24" s="29" t="str">
        <f t="shared" si="27"/>
        <v>#DIV/0!</v>
      </c>
      <c r="BD24" s="29" t="str">
        <f t="shared" si="27"/>
        <v>#DIV/0!</v>
      </c>
      <c r="BE24" s="29" t="str">
        <f t="shared" si="27"/>
        <v>#DIV/0!</v>
      </c>
      <c r="BF24" s="29" t="str">
        <f t="shared" si="27"/>
        <v>#DIV/0!</v>
      </c>
      <c r="BG24" s="29" t="str">
        <f t="shared" si="27"/>
        <v>#DIV/0!</v>
      </c>
      <c r="BH24" s="29" t="str">
        <f t="shared" si="27"/>
        <v>#DIV/0!</v>
      </c>
      <c r="BI24" s="29" t="str">
        <f t="shared" si="27"/>
        <v>#DIV/0!</v>
      </c>
      <c r="BJ24" s="29" t="str">
        <f t="shared" si="27"/>
        <v>#DIV/0!</v>
      </c>
      <c r="BK24" s="29" t="str">
        <f t="shared" si="27"/>
        <v>#DIV/0!</v>
      </c>
      <c r="BL24" s="29" t="str">
        <f t="shared" si="27"/>
        <v>#DIV/0!</v>
      </c>
      <c r="BM24" s="29" t="str">
        <f t="shared" si="3"/>
        <v>#DIV/0!</v>
      </c>
    </row>
    <row r="25">
      <c r="A25" s="16" t="str">
        <f>IFERROR(__xludf.DUMMYFUNCTION("IFERROR(SPARKLINE(SORT(MAP(TRANSPOSE(AQ25:BL25), LAMBDA(val, IF(ISNUMBER(val), PERCENTRANK(AQ25:BL25, val)+0.01, 0))), SEQUENCE(COLUMNS(AQ25:BL25)), FALSE), {""charttype"",""column""; ""color"",""chartreuse""; ""ymin"", 0; ""ymax"", 1.01; ""highcolor"", "&amp;"""darkgreen""; ""lowcolor"", ""red""}), """")"),"")</f>
        <v/>
      </c>
      <c r="B25" s="17" t="str">
        <f t="shared" si="4"/>
        <v/>
      </c>
      <c r="C25" s="1" t="s">
        <v>172</v>
      </c>
      <c r="D25" s="34" t="str">
        <f>IFERROR(__xludf.DUMMYFUNCTION("IFERROR(GOOGLEFINANCE(C25, ""NAME""))"),"Coincheck Group NV")</f>
        <v>Coincheck Group NV</v>
      </c>
      <c r="E25" s="30" t="s">
        <v>77</v>
      </c>
      <c r="F25" s="33" t="str">
        <f>IFERROR(__xludf.DUMMYFUNCTION("( (GOOGLEFINANCE(C25, ""price"") - Q25) / Q25 ) / (R25 / 100)"),"Loading...")</f>
        <v>Loading...</v>
      </c>
      <c r="G25" s="20" t="str">
        <f>IFERROR(__xludf.DUMMYFUNCTION("AVERAGE(ARRAYFORMULA(100 * (QUERY(GOOGLEFINANCE(C25, ""high"", TODAY()-40, TODAY()), ""SELECT Col2 WHERE Col2 IS NOT NULL ORDER BY Col1 DESC LIMIT 20"", 0) / QUERY(GOOGLEFINANCE(C25, ""low"", TODAY()-40, TODAY()), ""SELECT Col2 WHERE Col2 IS NOT NULL ORDE"&amp;"R BY Col1 DESC LIMIT 20"", 0) - 1)))"),"#N/A")</f>
        <v>#N/A</v>
      </c>
      <c r="H25" s="35" t="str">
        <f t="shared" si="6"/>
        <v/>
      </c>
      <c r="I25" s="36" t="str">
        <f t="shared" si="7"/>
        <v/>
      </c>
      <c r="J25" s="37" t="str">
        <f>IFERROR(__xludf.DUMMYFUNCTION("IFERROR(
  IF(C25="""",, 
    IFERROR(
      GOOGLEFINANCE(C25, ""price"") * GOOGLEFINANCE(C25, ""volumeavg""), 
      GOOGLEFINANCE(C25, ""price"") * AVERAGE(QUERY(GOOGLEFINANCE(C25, ""volume"", TODAY()-40, TODAY()), ""SELECT Col2 WHERE Col2 IS NOT NULL "&amp;"ORDER BY Col1 DESC LIMIT 20"", 0))
    )
  ), 
"""")"),"")</f>
        <v/>
      </c>
      <c r="K25" s="21" t="str">
        <f>IFERROR(__xludf.DUMMYFUNCTION("IFERROR(GOOGLEFINANCE(C25, ""changepct"") / 100, """")"),"")</f>
        <v/>
      </c>
      <c r="L25" s="21" t="str">
        <f>IFERROR(__xludf.DUMMYFUNCTION("IFERROR((GOOGLEFINANCE(C25, ""price"") / INDEX(GOOGLEFINANCE(C25, ""price"", TODAY()-7, TODAY()), 2, 2)) - 1, """")"),"")</f>
        <v/>
      </c>
      <c r="M25" s="21" t="str">
        <f>IFERROR(__xludf.DUMMYFUNCTION("IFERROR((GOOGLEFINANCE(C25, ""price"") / INDEX(GOOGLEFINANCE(C25, ""price"", EDATE(TODAY(), -1), TODAY()), 2, 2)) - 1, """")"),"")</f>
        <v/>
      </c>
      <c r="N25" s="21" t="str">
        <f>IFERROR(__xludf.DUMMYFUNCTION("IFERROR((GOOGLEFINANCE(C25, ""price"") / INDEX(GOOGLEFINANCE(C25, ""price"", EDATE(TODAY(), -3), TODAY()), 2, 2)) - 1, """")"),"")</f>
        <v/>
      </c>
      <c r="O25" s="21" t="str">
        <f>IFERROR(__xludf.DUMMYFUNCTION("IFERROR((GOOGLEFINANCE(C25, ""price"") / INDEX(GOOGLEFINANCE(C25, ""price"", EDATE(TODAY(), -6), TODAY()), 2, 2)) - 1, """")"),"")</f>
        <v/>
      </c>
      <c r="P25" s="21" t="str">
        <f>IFERROR(__xludf.DUMMYFUNCTION("IFERROR((GOOGLEFINANCE(C25, ""price"") / INDEX(GOOGLEFINANCE(C25, ""price"", EDATE(TODAY(), -12), TODAY()), 2, 2)) - 1, """")"),"")</f>
        <v/>
      </c>
      <c r="Q25" s="6" t="str">
        <f>IFERROR(__xludf.DUMMYFUNCTION("AVERAGE(QUERY(GOOGLEFINANCE(C25, ""price"", TODAY()-80, TODAY()), ""SELECT Col2 WHERE Col2 IS NOT NULL ORDER BY Col1 DESC LIMIT 50"", 0))"),"#N/A")</f>
        <v>#N/A</v>
      </c>
      <c r="R25" s="24" t="str">
        <f>IFERROR(__xludf.DUMMYFUNCTION("IFERROR(
  LET(
    data, QUERY(GOOGLEFINANCE(C25,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GOOGLEFINANCE(C25, ""price"")) * 100,
    IF(calc=0, G25, calc)
  ), 
G25)"),"#N/A")</f>
        <v>#N/A</v>
      </c>
      <c r="S25" s="8" t="s">
        <v>15</v>
      </c>
      <c r="T25" s="26" t="str">
        <f>IFERROR(__xludf.DUMMYFUNCTION("IFERROR(TRANSPOSE(QUERY(IFERROR(SORT(GOOGLEFINANCE(C25, ""price"", WORKDAY(TODAY(), -40), TODAY()), 1, FALSE)), ""select Col2 where Col2 is not null limit 22 label Col2 ''"", 0)), """")"),"")</f>
        <v/>
      </c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8"/>
      <c r="AO25" s="28"/>
      <c r="AP25" s="29"/>
      <c r="AQ25" s="29" t="str">
        <f t="shared" ref="AQ25:BL25" si="28">T25/T$2</f>
        <v>#N/A</v>
      </c>
      <c r="AR25" s="29" t="str">
        <f t="shared" si="28"/>
        <v>#DIV/0!</v>
      </c>
      <c r="AS25" s="29" t="str">
        <f t="shared" si="28"/>
        <v>#DIV/0!</v>
      </c>
      <c r="AT25" s="29" t="str">
        <f t="shared" si="28"/>
        <v>#DIV/0!</v>
      </c>
      <c r="AU25" s="29" t="str">
        <f t="shared" si="28"/>
        <v>#DIV/0!</v>
      </c>
      <c r="AV25" s="29" t="str">
        <f t="shared" si="28"/>
        <v>#DIV/0!</v>
      </c>
      <c r="AW25" s="29" t="str">
        <f t="shared" si="28"/>
        <v>#DIV/0!</v>
      </c>
      <c r="AX25" s="29" t="str">
        <f t="shared" si="28"/>
        <v>#DIV/0!</v>
      </c>
      <c r="AY25" s="29" t="str">
        <f t="shared" si="28"/>
        <v>#DIV/0!</v>
      </c>
      <c r="AZ25" s="29" t="str">
        <f t="shared" si="28"/>
        <v>#DIV/0!</v>
      </c>
      <c r="BA25" s="29" t="str">
        <f t="shared" si="28"/>
        <v>#DIV/0!</v>
      </c>
      <c r="BB25" s="29" t="str">
        <f t="shared" si="28"/>
        <v>#DIV/0!</v>
      </c>
      <c r="BC25" s="29" t="str">
        <f t="shared" si="28"/>
        <v>#DIV/0!</v>
      </c>
      <c r="BD25" s="29" t="str">
        <f t="shared" si="28"/>
        <v>#DIV/0!</v>
      </c>
      <c r="BE25" s="29" t="str">
        <f t="shared" si="28"/>
        <v>#DIV/0!</v>
      </c>
      <c r="BF25" s="29" t="str">
        <f t="shared" si="28"/>
        <v>#DIV/0!</v>
      </c>
      <c r="BG25" s="29" t="str">
        <f t="shared" si="28"/>
        <v>#DIV/0!</v>
      </c>
      <c r="BH25" s="29" t="str">
        <f t="shared" si="28"/>
        <v>#DIV/0!</v>
      </c>
      <c r="BI25" s="29" t="str">
        <f t="shared" si="28"/>
        <v>#DIV/0!</v>
      </c>
      <c r="BJ25" s="29" t="str">
        <f t="shared" si="28"/>
        <v>#DIV/0!</v>
      </c>
      <c r="BK25" s="29" t="str">
        <f t="shared" si="28"/>
        <v>#DIV/0!</v>
      </c>
      <c r="BL25" s="29" t="str">
        <f t="shared" si="28"/>
        <v>#DIV/0!</v>
      </c>
      <c r="BM25" s="29" t="str">
        <f t="shared" si="3"/>
        <v>#DIV/0!</v>
      </c>
    </row>
    <row r="26">
      <c r="A26" s="16" t="str">
        <f>IFERROR(__xludf.DUMMYFUNCTION("IFERROR(SPARKLINE(SORT(MAP(TRANSPOSE(AQ26:BL26), LAMBDA(val, IF(ISNUMBER(val), PERCENTRANK(AQ26:BL26, val)+0.01, 0))), SEQUENCE(COLUMNS(AQ26:BL26)), FALSE), {""charttype"",""column""; ""color"",""chartreuse""; ""ymin"", 0; ""ymax"", 1.01; ""highcolor"", "&amp;"""darkgreen""; ""lowcolor"", ""red""}), """")"),"")</f>
        <v/>
      </c>
      <c r="B26" s="17" t="str">
        <f t="shared" si="4"/>
        <v/>
      </c>
      <c r="C26" s="1" t="s">
        <v>177</v>
      </c>
      <c r="D26" s="34" t="str">
        <f>IFERROR(__xludf.DUMMYFUNCTION("IFERROR(GOOGLEFINANCE(C26, ""NAME""))"),"Strive Inc")</f>
        <v>Strive Inc</v>
      </c>
      <c r="E26" s="30" t="s">
        <v>64</v>
      </c>
      <c r="F26" s="33" t="str">
        <f>IFERROR(__xludf.DUMMYFUNCTION("( (GOOGLEFINANCE(C26, ""price"") - Q26) / Q26 ) / (R26 / 100)"),"Loading...")</f>
        <v>Loading...</v>
      </c>
      <c r="G26" s="20" t="str">
        <f>IFERROR(__xludf.DUMMYFUNCTION("AVERAGE(ARRAYFORMULA(100 * (QUERY(GOOGLEFINANCE(C26, ""high"", TODAY()-40, TODAY()), ""SELECT Col2 WHERE Col2 IS NOT NULL ORDER BY Col1 DESC LIMIT 20"", 0) / QUERY(GOOGLEFINANCE(C26, ""low"", TODAY()-40, TODAY()), ""SELECT Col2 WHERE Col2 IS NOT NULL ORDE"&amp;"R BY Col1 DESC LIMIT 20"", 0) - 1)))"),"#N/A")</f>
        <v>#N/A</v>
      </c>
      <c r="H26" s="35" t="str">
        <f t="shared" si="6"/>
        <v/>
      </c>
      <c r="I26" s="36" t="str">
        <f t="shared" si="7"/>
        <v/>
      </c>
      <c r="J26" s="37" t="str">
        <f>IFERROR(__xludf.DUMMYFUNCTION("IFERROR(
  IF(C26="""",, 
    IFERROR(
      GOOGLEFINANCE(C26, ""price"") * GOOGLEFINANCE(C26, ""volumeavg""), 
      GOOGLEFINANCE(C26, ""price"") * AVERAGE(QUERY(GOOGLEFINANCE(C26, ""volume"", TODAY()-40, TODAY()), ""SELECT Col2 WHERE Col2 IS NOT NULL "&amp;"ORDER BY Col1 DESC LIMIT 20"", 0))
    )
  ), 
"""")"),"")</f>
        <v/>
      </c>
      <c r="K26" s="21" t="str">
        <f>IFERROR(__xludf.DUMMYFUNCTION("IFERROR(GOOGLEFINANCE(C26, ""changepct"") / 100, """")"),"")</f>
        <v/>
      </c>
      <c r="L26" s="21" t="str">
        <f>IFERROR(__xludf.DUMMYFUNCTION("IFERROR((GOOGLEFINANCE(C26, ""price"") / INDEX(GOOGLEFINANCE(C26, ""price"", TODAY()-7, TODAY()), 2, 2)) - 1, """")"),"")</f>
        <v/>
      </c>
      <c r="M26" s="21" t="str">
        <f>IFERROR(__xludf.DUMMYFUNCTION("IFERROR((GOOGLEFINANCE(C26, ""price"") / INDEX(GOOGLEFINANCE(C26, ""price"", EDATE(TODAY(), -1), TODAY()), 2, 2)) - 1, """")"),"")</f>
        <v/>
      </c>
      <c r="N26" s="21" t="str">
        <f>IFERROR(__xludf.DUMMYFUNCTION("IFERROR((GOOGLEFINANCE(C26, ""price"") / INDEX(GOOGLEFINANCE(C26, ""price"", EDATE(TODAY(), -3), TODAY()), 2, 2)) - 1, """")"),"")</f>
        <v/>
      </c>
      <c r="O26" s="21" t="str">
        <f>IFERROR(__xludf.DUMMYFUNCTION("IFERROR((GOOGLEFINANCE(C26, ""price"") / INDEX(GOOGLEFINANCE(C26, ""price"", EDATE(TODAY(), -6), TODAY()), 2, 2)) - 1, """")"),"")</f>
        <v/>
      </c>
      <c r="P26" s="21" t="str">
        <f>IFERROR(__xludf.DUMMYFUNCTION("IFERROR((GOOGLEFINANCE(C26, ""price"") / INDEX(GOOGLEFINANCE(C26, ""price"", EDATE(TODAY(), -12), TODAY()), 2, 2)) - 1, """")"),"")</f>
        <v/>
      </c>
      <c r="Q26" s="6" t="str">
        <f>IFERROR(__xludf.DUMMYFUNCTION("AVERAGE(QUERY(GOOGLEFINANCE(C26, ""price"", TODAY()-80, TODAY()), ""SELECT Col2 WHERE Col2 IS NOT NULL ORDER BY Col1 DESC LIMIT 50"", 0))"),"#N/A")</f>
        <v>#N/A</v>
      </c>
      <c r="R26" s="24" t="str">
        <f>IFERROR(__xludf.DUMMYFUNCTION("IFERROR(
  LET(
    data, QUERY(GOOGLEFINANCE(C26,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GOOGLEFINANCE(C26, ""price"")) * 100,
    IF(calc=0, G26, calc)
  ), 
G26)"),"#N/A")</f>
        <v>#N/A</v>
      </c>
      <c r="S26" s="8" t="s">
        <v>15</v>
      </c>
      <c r="T26" s="26" t="str">
        <f>IFERROR(__xludf.DUMMYFUNCTION("IFERROR(TRANSPOSE(QUERY(IFERROR(SORT(GOOGLEFINANCE(C26, ""price"", WORKDAY(TODAY(), -40), TODAY()), 1, FALSE)), ""select Col2 where Col2 is not null limit 22 label Col2 ''"", 0)), """")"),"")</f>
        <v/>
      </c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8"/>
      <c r="AO26" s="28"/>
      <c r="AP26" s="29"/>
      <c r="AQ26" s="29" t="str">
        <f t="shared" ref="AQ26:BL26" si="29">T26/T$2</f>
        <v>#N/A</v>
      </c>
      <c r="AR26" s="29" t="str">
        <f t="shared" si="29"/>
        <v>#DIV/0!</v>
      </c>
      <c r="AS26" s="29" t="str">
        <f t="shared" si="29"/>
        <v>#DIV/0!</v>
      </c>
      <c r="AT26" s="29" t="str">
        <f t="shared" si="29"/>
        <v>#DIV/0!</v>
      </c>
      <c r="AU26" s="29" t="str">
        <f t="shared" si="29"/>
        <v>#DIV/0!</v>
      </c>
      <c r="AV26" s="29" t="str">
        <f t="shared" si="29"/>
        <v>#DIV/0!</v>
      </c>
      <c r="AW26" s="29" t="str">
        <f t="shared" si="29"/>
        <v>#DIV/0!</v>
      </c>
      <c r="AX26" s="29" t="str">
        <f t="shared" si="29"/>
        <v>#DIV/0!</v>
      </c>
      <c r="AY26" s="29" t="str">
        <f t="shared" si="29"/>
        <v>#DIV/0!</v>
      </c>
      <c r="AZ26" s="29" t="str">
        <f t="shared" si="29"/>
        <v>#DIV/0!</v>
      </c>
      <c r="BA26" s="29" t="str">
        <f t="shared" si="29"/>
        <v>#DIV/0!</v>
      </c>
      <c r="BB26" s="29" t="str">
        <f t="shared" si="29"/>
        <v>#DIV/0!</v>
      </c>
      <c r="BC26" s="29" t="str">
        <f t="shared" si="29"/>
        <v>#DIV/0!</v>
      </c>
      <c r="BD26" s="29" t="str">
        <f t="shared" si="29"/>
        <v>#DIV/0!</v>
      </c>
      <c r="BE26" s="29" t="str">
        <f t="shared" si="29"/>
        <v>#DIV/0!</v>
      </c>
      <c r="BF26" s="29" t="str">
        <f t="shared" si="29"/>
        <v>#DIV/0!</v>
      </c>
      <c r="BG26" s="29" t="str">
        <f t="shared" si="29"/>
        <v>#DIV/0!</v>
      </c>
      <c r="BH26" s="29" t="str">
        <f t="shared" si="29"/>
        <v>#DIV/0!</v>
      </c>
      <c r="BI26" s="29" t="str">
        <f t="shared" si="29"/>
        <v>#DIV/0!</v>
      </c>
      <c r="BJ26" s="29" t="str">
        <f t="shared" si="29"/>
        <v>#DIV/0!</v>
      </c>
      <c r="BK26" s="29" t="str">
        <f t="shared" si="29"/>
        <v>#DIV/0!</v>
      </c>
      <c r="BL26" s="29" t="str">
        <f t="shared" si="29"/>
        <v>#DIV/0!</v>
      </c>
      <c r="BM26" s="29" t="str">
        <f t="shared" si="3"/>
        <v>#DIV/0!</v>
      </c>
    </row>
    <row r="27">
      <c r="A27" s="16" t="str">
        <f>IFERROR(__xludf.DUMMYFUNCTION("IFERROR(SPARKLINE(SORT(MAP(TRANSPOSE(AQ27:BL27), LAMBDA(val, IF(ISNUMBER(val), PERCENTRANK(AQ27:BL27, val)+0.01, 0))), SEQUENCE(COLUMNS(AQ27:BL27)), FALSE), {""charttype"",""column""; ""color"",""chartreuse""; ""ymin"", 0; ""ymax"", 1.01; ""highcolor"", "&amp;"""darkgreen""; ""lowcolor"", ""red""}), """")"),"")</f>
        <v/>
      </c>
      <c r="B27" s="17" t="str">
        <f t="shared" si="4"/>
        <v/>
      </c>
      <c r="C27" s="1" t="s">
        <v>182</v>
      </c>
      <c r="D27" s="34" t="str">
        <f>IFERROR(__xludf.DUMMYFUNCTION("IFERROR(GOOGLEFINANCE(C27, ""NAME""))"),"Mercury General Corp")</f>
        <v>Mercury General Corp</v>
      </c>
      <c r="E27" s="30" t="s">
        <v>82</v>
      </c>
      <c r="F27" s="33" t="str">
        <f>IFERROR(__xludf.DUMMYFUNCTION("( (GOOGLEFINANCE(C27, ""price"") - Q27) / Q27 ) / (R27 / 100)"),"Loading...")</f>
        <v>Loading...</v>
      </c>
      <c r="G27" s="20" t="str">
        <f>IFERROR(__xludf.DUMMYFUNCTION("AVERAGE(ARRAYFORMULA(100 * (QUERY(GOOGLEFINANCE(C27, ""high"", TODAY()-40, TODAY()), ""SELECT Col2 WHERE Col2 IS NOT NULL ORDER BY Col1 DESC LIMIT 20"", 0) / QUERY(GOOGLEFINANCE(C27, ""low"", TODAY()-40, TODAY()), ""SELECT Col2 WHERE Col2 IS NOT NULL ORDE"&amp;"R BY Col1 DESC LIMIT 20"", 0) - 1)))"),"#N/A")</f>
        <v>#N/A</v>
      </c>
      <c r="H27" s="35" t="str">
        <f t="shared" si="6"/>
        <v/>
      </c>
      <c r="I27" s="36" t="str">
        <f t="shared" si="7"/>
        <v/>
      </c>
      <c r="J27" s="37" t="str">
        <f>IFERROR(__xludf.DUMMYFUNCTION("IFERROR(
  IF(C27="""",, 
    IFERROR(
      GOOGLEFINANCE(C27, ""price"") * GOOGLEFINANCE(C27, ""volumeavg""), 
      GOOGLEFINANCE(C27, ""price"") * AVERAGE(QUERY(GOOGLEFINANCE(C27, ""volume"", TODAY()-40, TODAY()), ""SELECT Col2 WHERE Col2 IS NOT NULL "&amp;"ORDER BY Col1 DESC LIMIT 20"", 0))
    )
  ), 
"""")"),"")</f>
        <v/>
      </c>
      <c r="K27" s="21" t="str">
        <f>IFERROR(__xludf.DUMMYFUNCTION("IFERROR(GOOGLEFINANCE(C27, ""changepct"") / 100, """")"),"")</f>
        <v/>
      </c>
      <c r="L27" s="21" t="str">
        <f>IFERROR(__xludf.DUMMYFUNCTION("IFERROR((GOOGLEFINANCE(C27, ""price"") / INDEX(GOOGLEFINANCE(C27, ""price"", TODAY()-7, TODAY()), 2, 2)) - 1, """")"),"")</f>
        <v/>
      </c>
      <c r="M27" s="21" t="str">
        <f>IFERROR(__xludf.DUMMYFUNCTION("IFERROR((GOOGLEFINANCE(C27, ""price"") / INDEX(GOOGLEFINANCE(C27, ""price"", EDATE(TODAY(), -1), TODAY()), 2, 2)) - 1, """")"),"")</f>
        <v/>
      </c>
      <c r="N27" s="21" t="str">
        <f>IFERROR(__xludf.DUMMYFUNCTION("IFERROR((GOOGLEFINANCE(C27, ""price"") / INDEX(GOOGLEFINANCE(C27, ""price"", EDATE(TODAY(), -3), TODAY()), 2, 2)) - 1, """")"),"")</f>
        <v/>
      </c>
      <c r="O27" s="21" t="str">
        <f>IFERROR(__xludf.DUMMYFUNCTION("IFERROR((GOOGLEFINANCE(C27, ""price"") / INDEX(GOOGLEFINANCE(C27, ""price"", EDATE(TODAY(), -6), TODAY()), 2, 2)) - 1, """")"),"")</f>
        <v/>
      </c>
      <c r="P27" s="21" t="str">
        <f>IFERROR(__xludf.DUMMYFUNCTION("IFERROR((GOOGLEFINANCE(C27, ""price"") / INDEX(GOOGLEFINANCE(C27, ""price"", EDATE(TODAY(), -12), TODAY()), 2, 2)) - 1, """")"),"")</f>
        <v/>
      </c>
      <c r="Q27" s="6" t="str">
        <f>IFERROR(__xludf.DUMMYFUNCTION("AVERAGE(QUERY(GOOGLEFINANCE(C27, ""price"", TODAY()-80, TODAY()), ""SELECT Col2 WHERE Col2 IS NOT NULL ORDER BY Col1 DESC LIMIT 50"", 0))"),"#N/A")</f>
        <v>#N/A</v>
      </c>
      <c r="R27" s="24" t="str">
        <f>IFERROR(__xludf.DUMMYFUNCTION("IFERROR(
  LET(
    data, QUERY(GOOGLEFINANCE(C27,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GOOGLEFINANCE(C27, ""price"")) * 100,
    IF(calc=0, G27, calc)
  ), 
G27)"),"#N/A")</f>
        <v>#N/A</v>
      </c>
      <c r="S27" s="8" t="s">
        <v>15</v>
      </c>
      <c r="T27" s="26" t="str">
        <f>IFERROR(__xludf.DUMMYFUNCTION("IFERROR(TRANSPOSE(QUERY(IFERROR(SORT(GOOGLEFINANCE(C27, ""price"", WORKDAY(TODAY(), -40), TODAY()), 1, FALSE)), ""select Col2 where Col2 is not null limit 22 label Col2 ''"", 0)), """")"),"")</f>
        <v/>
      </c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8"/>
      <c r="AO27" s="28"/>
      <c r="AP27" s="29"/>
      <c r="AQ27" s="29" t="str">
        <f t="shared" ref="AQ27:BL27" si="30">T27/T$2</f>
        <v>#N/A</v>
      </c>
      <c r="AR27" s="29" t="str">
        <f t="shared" si="30"/>
        <v>#DIV/0!</v>
      </c>
      <c r="AS27" s="29" t="str">
        <f t="shared" si="30"/>
        <v>#DIV/0!</v>
      </c>
      <c r="AT27" s="29" t="str">
        <f t="shared" si="30"/>
        <v>#DIV/0!</v>
      </c>
      <c r="AU27" s="29" t="str">
        <f t="shared" si="30"/>
        <v>#DIV/0!</v>
      </c>
      <c r="AV27" s="29" t="str">
        <f t="shared" si="30"/>
        <v>#DIV/0!</v>
      </c>
      <c r="AW27" s="29" t="str">
        <f t="shared" si="30"/>
        <v>#DIV/0!</v>
      </c>
      <c r="AX27" s="29" t="str">
        <f t="shared" si="30"/>
        <v>#DIV/0!</v>
      </c>
      <c r="AY27" s="29" t="str">
        <f t="shared" si="30"/>
        <v>#DIV/0!</v>
      </c>
      <c r="AZ27" s="29" t="str">
        <f t="shared" si="30"/>
        <v>#DIV/0!</v>
      </c>
      <c r="BA27" s="29" t="str">
        <f t="shared" si="30"/>
        <v>#DIV/0!</v>
      </c>
      <c r="BB27" s="29" t="str">
        <f t="shared" si="30"/>
        <v>#DIV/0!</v>
      </c>
      <c r="BC27" s="29" t="str">
        <f t="shared" si="30"/>
        <v>#DIV/0!</v>
      </c>
      <c r="BD27" s="29" t="str">
        <f t="shared" si="30"/>
        <v>#DIV/0!</v>
      </c>
      <c r="BE27" s="29" t="str">
        <f t="shared" si="30"/>
        <v>#DIV/0!</v>
      </c>
      <c r="BF27" s="29" t="str">
        <f t="shared" si="30"/>
        <v>#DIV/0!</v>
      </c>
      <c r="BG27" s="29" t="str">
        <f t="shared" si="30"/>
        <v>#DIV/0!</v>
      </c>
      <c r="BH27" s="29" t="str">
        <f t="shared" si="30"/>
        <v>#DIV/0!</v>
      </c>
      <c r="BI27" s="29" t="str">
        <f t="shared" si="30"/>
        <v>#DIV/0!</v>
      </c>
      <c r="BJ27" s="29" t="str">
        <f t="shared" si="30"/>
        <v>#DIV/0!</v>
      </c>
      <c r="BK27" s="29" t="str">
        <f t="shared" si="30"/>
        <v>#DIV/0!</v>
      </c>
      <c r="BL27" s="29" t="str">
        <f t="shared" si="30"/>
        <v>#DIV/0!</v>
      </c>
      <c r="BM27" s="29" t="str">
        <f t="shared" si="3"/>
        <v>#DIV/0!</v>
      </c>
    </row>
    <row r="28">
      <c r="A28" s="16" t="str">
        <f>IFERROR(__xludf.DUMMYFUNCTION("IFERROR(SPARKLINE(SORT(MAP(TRANSPOSE(AQ28:BL28), LAMBDA(val, IF(ISNUMBER(val), PERCENTRANK(AQ28:BL28, val)+0.01, 0))), SEQUENCE(COLUMNS(AQ28:BL28)), FALSE), {""charttype"",""column""; ""color"",""chartreuse""; ""ymin"", 0; ""ymax"", 1.01; ""highcolor"", "&amp;"""darkgreen""; ""lowcolor"", ""red""}), """")"),"")</f>
        <v/>
      </c>
      <c r="B28" s="17" t="str">
        <f t="shared" si="4"/>
        <v/>
      </c>
      <c r="C28" s="1" t="s">
        <v>188</v>
      </c>
      <c r="D28" s="34" t="str">
        <f>IFERROR(__xludf.DUMMYFUNCTION("IFERROR(GOOGLEFINANCE(C28, ""NAME""))"),"")</f>
        <v/>
      </c>
      <c r="E28" s="30" t="s">
        <v>161</v>
      </c>
      <c r="F28" s="33" t="str">
        <f>IFERROR(__xludf.DUMMYFUNCTION("( (GOOGLEFINANCE(C28, ""price"") - Q28) / Q28 ) / (R28 / 100)"),"Loading...")</f>
        <v>Loading...</v>
      </c>
      <c r="G28" s="20" t="str">
        <f>IFERROR(__xludf.DUMMYFUNCTION("AVERAGE(ARRAYFORMULA(100 * (QUERY(GOOGLEFINANCE(C28, ""high"", TODAY()-40, TODAY()), ""SELECT Col2 WHERE Col2 IS NOT NULL ORDER BY Col1 DESC LIMIT 20"", 0) / QUERY(GOOGLEFINANCE(C28, ""low"", TODAY()-40, TODAY()), ""SELECT Col2 WHERE Col2 IS NOT NULL ORDE"&amp;"R BY Col1 DESC LIMIT 20"", 0) - 1)))"),"#N/A")</f>
        <v>#N/A</v>
      </c>
      <c r="H28" s="35" t="str">
        <f t="shared" si="6"/>
        <v/>
      </c>
      <c r="I28" s="36" t="str">
        <f t="shared" si="7"/>
        <v/>
      </c>
      <c r="J28" s="37" t="str">
        <f>IFERROR(__xludf.DUMMYFUNCTION("IFERROR(
  IF(C28="""",, 
    IFERROR(
      GOOGLEFINANCE(C28, ""price"") * GOOGLEFINANCE(C28, ""volumeavg""), 
      GOOGLEFINANCE(C28, ""price"") * AVERAGE(QUERY(GOOGLEFINANCE(C28, ""volume"", TODAY()-40, TODAY()), ""SELECT Col2 WHERE Col2 IS NOT NULL "&amp;"ORDER BY Col1 DESC LIMIT 20"", 0))
    )
  ), 
"""")"),"")</f>
        <v/>
      </c>
      <c r="K28" s="21" t="str">
        <f>IFERROR(__xludf.DUMMYFUNCTION("IFERROR(GOOGLEFINANCE(C28, ""changepct"") / 100, """")"),"")</f>
        <v/>
      </c>
      <c r="L28" s="21" t="str">
        <f>IFERROR(__xludf.DUMMYFUNCTION("IFERROR((GOOGLEFINANCE(C28, ""price"") / INDEX(GOOGLEFINANCE(C28, ""price"", TODAY()-7, TODAY()), 2, 2)) - 1, """")"),"")</f>
        <v/>
      </c>
      <c r="M28" s="21" t="str">
        <f>IFERROR(__xludf.DUMMYFUNCTION("IFERROR((GOOGLEFINANCE(C28, ""price"") / INDEX(GOOGLEFINANCE(C28, ""price"", EDATE(TODAY(), -1), TODAY()), 2, 2)) - 1, """")"),"")</f>
        <v/>
      </c>
      <c r="N28" s="21" t="str">
        <f>IFERROR(__xludf.DUMMYFUNCTION("IFERROR((GOOGLEFINANCE(C28, ""price"") / INDEX(GOOGLEFINANCE(C28, ""price"", EDATE(TODAY(), -3), TODAY()), 2, 2)) - 1, """")"),"")</f>
        <v/>
      </c>
      <c r="O28" s="21" t="str">
        <f>IFERROR(__xludf.DUMMYFUNCTION("IFERROR((GOOGLEFINANCE(C28, ""price"") / INDEX(GOOGLEFINANCE(C28, ""price"", EDATE(TODAY(), -6), TODAY()), 2, 2)) - 1, """")"),"")</f>
        <v/>
      </c>
      <c r="P28" s="21" t="str">
        <f>IFERROR(__xludf.DUMMYFUNCTION("IFERROR((GOOGLEFINANCE(C28, ""price"") / INDEX(GOOGLEFINANCE(C28, ""price"", EDATE(TODAY(), -12), TODAY()), 2, 2)) - 1, """")"),"")</f>
        <v/>
      </c>
      <c r="Q28" s="6" t="str">
        <f>IFERROR(__xludf.DUMMYFUNCTION("AVERAGE(QUERY(GOOGLEFINANCE(C28, ""price"", TODAY()-80, TODAY()), ""SELECT Col2 WHERE Col2 IS NOT NULL ORDER BY Col1 DESC LIMIT 50"", 0))"),"#N/A")</f>
        <v>#N/A</v>
      </c>
      <c r="R28" s="24" t="str">
        <f>IFERROR(__xludf.DUMMYFUNCTION("IFERROR(
  LET(
    data, QUERY(GOOGLEFINANCE(C28,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GOOGLEFINANCE(C28, ""price"")) * 100,
    IF(calc=0, G28, calc)
  ), 
G28)"),"#N/A")</f>
        <v>#N/A</v>
      </c>
      <c r="S28" s="8" t="s">
        <v>15</v>
      </c>
      <c r="T28" s="26" t="str">
        <f>IFERROR(__xludf.DUMMYFUNCTION("IFERROR(TRANSPOSE(QUERY(IFERROR(SORT(GOOGLEFINANCE(C28, ""price"", WORKDAY(TODAY(), -40), TODAY()), 1, FALSE)), ""select Col2 where Col2 is not null limit 22 label Col2 ''"", 0)), """")"),"")</f>
        <v/>
      </c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8"/>
      <c r="AO28" s="28"/>
      <c r="AP28" s="29"/>
      <c r="AQ28" s="29" t="str">
        <f t="shared" ref="AQ28:BL28" si="31">T28/T$2</f>
        <v>#N/A</v>
      </c>
      <c r="AR28" s="29" t="str">
        <f t="shared" si="31"/>
        <v>#DIV/0!</v>
      </c>
      <c r="AS28" s="29" t="str">
        <f t="shared" si="31"/>
        <v>#DIV/0!</v>
      </c>
      <c r="AT28" s="29" t="str">
        <f t="shared" si="31"/>
        <v>#DIV/0!</v>
      </c>
      <c r="AU28" s="29" t="str">
        <f t="shared" si="31"/>
        <v>#DIV/0!</v>
      </c>
      <c r="AV28" s="29" t="str">
        <f t="shared" si="31"/>
        <v>#DIV/0!</v>
      </c>
      <c r="AW28" s="29" t="str">
        <f t="shared" si="31"/>
        <v>#DIV/0!</v>
      </c>
      <c r="AX28" s="29" t="str">
        <f t="shared" si="31"/>
        <v>#DIV/0!</v>
      </c>
      <c r="AY28" s="29" t="str">
        <f t="shared" si="31"/>
        <v>#DIV/0!</v>
      </c>
      <c r="AZ28" s="29" t="str">
        <f t="shared" si="31"/>
        <v>#DIV/0!</v>
      </c>
      <c r="BA28" s="29" t="str">
        <f t="shared" si="31"/>
        <v>#DIV/0!</v>
      </c>
      <c r="BB28" s="29" t="str">
        <f t="shared" si="31"/>
        <v>#DIV/0!</v>
      </c>
      <c r="BC28" s="29" t="str">
        <f t="shared" si="31"/>
        <v>#DIV/0!</v>
      </c>
      <c r="BD28" s="29" t="str">
        <f t="shared" si="31"/>
        <v>#DIV/0!</v>
      </c>
      <c r="BE28" s="29" t="str">
        <f t="shared" si="31"/>
        <v>#DIV/0!</v>
      </c>
      <c r="BF28" s="29" t="str">
        <f t="shared" si="31"/>
        <v>#DIV/0!</v>
      </c>
      <c r="BG28" s="29" t="str">
        <f t="shared" si="31"/>
        <v>#DIV/0!</v>
      </c>
      <c r="BH28" s="29" t="str">
        <f t="shared" si="31"/>
        <v>#DIV/0!</v>
      </c>
      <c r="BI28" s="29" t="str">
        <f t="shared" si="31"/>
        <v>#DIV/0!</v>
      </c>
      <c r="BJ28" s="29" t="str">
        <f t="shared" si="31"/>
        <v>#DIV/0!</v>
      </c>
      <c r="BK28" s="29" t="str">
        <f t="shared" si="31"/>
        <v>#DIV/0!</v>
      </c>
      <c r="BL28" s="29" t="str">
        <f t="shared" si="31"/>
        <v>#DIV/0!</v>
      </c>
      <c r="BM28" s="29" t="str">
        <f t="shared" si="3"/>
        <v>#DIV/0!</v>
      </c>
    </row>
    <row r="29">
      <c r="A29" s="16" t="str">
        <f>IFERROR(__xludf.DUMMYFUNCTION("IFERROR(SPARKLINE(SORT(MAP(TRANSPOSE(AQ29:BL29), LAMBDA(val, IF(ISNUMBER(val), PERCENTRANK(AQ29:BL29, val)+0.01, 0))), SEQUENCE(COLUMNS(AQ29:BL29)), FALSE), {""charttype"",""column""; ""color"",""chartreuse""; ""ymin"", 0; ""ymax"", 1.01; ""highcolor"", "&amp;"""darkgreen""; ""lowcolor"", ""red""}), """")"),"")</f>
        <v/>
      </c>
      <c r="B29" s="17" t="str">
        <f t="shared" si="4"/>
        <v/>
      </c>
      <c r="C29" s="1" t="s">
        <v>193</v>
      </c>
      <c r="D29" s="34" t="str">
        <f>IFERROR(__xludf.DUMMYFUNCTION("IFERROR(GOOGLEFINANCE(C29, ""NAME""))"),"Sezzle Inc")</f>
        <v>Sezzle Inc</v>
      </c>
      <c r="E29" s="30" t="s">
        <v>145</v>
      </c>
      <c r="F29" s="33" t="str">
        <f>IFERROR(__xludf.DUMMYFUNCTION("( (GOOGLEFINANCE(C29, ""price"") - Q29) / Q29 ) / (R29 / 100)"),"Loading...")</f>
        <v>Loading...</v>
      </c>
      <c r="G29" s="20" t="str">
        <f>IFERROR(__xludf.DUMMYFUNCTION("AVERAGE(ARRAYFORMULA(100 * (QUERY(GOOGLEFINANCE(C29, ""high"", TODAY()-40, TODAY()), ""SELECT Col2 WHERE Col2 IS NOT NULL ORDER BY Col1 DESC LIMIT 20"", 0) / QUERY(GOOGLEFINANCE(C29, ""low"", TODAY()-40, TODAY()), ""SELECT Col2 WHERE Col2 IS NOT NULL ORDE"&amp;"R BY Col1 DESC LIMIT 20"", 0) - 1)))"),"#N/A")</f>
        <v>#N/A</v>
      </c>
      <c r="H29" s="35" t="str">
        <f t="shared" si="6"/>
        <v/>
      </c>
      <c r="I29" s="36" t="str">
        <f t="shared" si="7"/>
        <v/>
      </c>
      <c r="J29" s="37" t="str">
        <f>IFERROR(__xludf.DUMMYFUNCTION("IFERROR(
  IF(C29="""",, 
    IFERROR(
      GOOGLEFINANCE(C29, ""price"") * GOOGLEFINANCE(C29, ""volumeavg""), 
      GOOGLEFINANCE(C29, ""price"") * AVERAGE(QUERY(GOOGLEFINANCE(C29, ""volume"", TODAY()-40, TODAY()), ""SELECT Col2 WHERE Col2 IS NOT NULL "&amp;"ORDER BY Col1 DESC LIMIT 20"", 0))
    )
  ), 
"""")"),"")</f>
        <v/>
      </c>
      <c r="K29" s="21" t="str">
        <f>IFERROR(__xludf.DUMMYFUNCTION("IFERROR(GOOGLEFINANCE(C29, ""changepct"") / 100, """")"),"")</f>
        <v/>
      </c>
      <c r="L29" s="21" t="str">
        <f>IFERROR(__xludf.DUMMYFUNCTION("IFERROR((GOOGLEFINANCE(C29, ""price"") / INDEX(GOOGLEFINANCE(C29, ""price"", TODAY()-7, TODAY()), 2, 2)) - 1, """")"),"")</f>
        <v/>
      </c>
      <c r="M29" s="21" t="str">
        <f>IFERROR(__xludf.DUMMYFUNCTION("IFERROR((GOOGLEFINANCE(C29, ""price"") / INDEX(GOOGLEFINANCE(C29, ""price"", EDATE(TODAY(), -1), TODAY()), 2, 2)) - 1, """")"),"")</f>
        <v/>
      </c>
      <c r="N29" s="21" t="str">
        <f>IFERROR(__xludf.DUMMYFUNCTION("IFERROR((GOOGLEFINANCE(C29, ""price"") / INDEX(GOOGLEFINANCE(C29, ""price"", EDATE(TODAY(), -3), TODAY()), 2, 2)) - 1, """")"),"")</f>
        <v/>
      </c>
      <c r="O29" s="21" t="str">
        <f>IFERROR(__xludf.DUMMYFUNCTION("IFERROR((GOOGLEFINANCE(C29, ""price"") / INDEX(GOOGLEFINANCE(C29, ""price"", EDATE(TODAY(), -6), TODAY()), 2, 2)) - 1, """")"),"")</f>
        <v/>
      </c>
      <c r="P29" s="21" t="str">
        <f>IFERROR(__xludf.DUMMYFUNCTION("IFERROR((GOOGLEFINANCE(C29, ""price"") / INDEX(GOOGLEFINANCE(C29, ""price"", EDATE(TODAY(), -12), TODAY()), 2, 2)) - 1, """")"),"")</f>
        <v/>
      </c>
      <c r="Q29" s="6" t="str">
        <f>IFERROR(__xludf.DUMMYFUNCTION("AVERAGE(QUERY(GOOGLEFINANCE(C29, ""price"", TODAY()-80, TODAY()), ""SELECT Col2 WHERE Col2 IS NOT NULL ORDER BY Col1 DESC LIMIT 50"", 0))"),"#N/A")</f>
        <v>#N/A</v>
      </c>
      <c r="R29" s="24" t="str">
        <f>IFERROR(__xludf.DUMMYFUNCTION("IFERROR(
  LET(
    data, QUERY(GOOGLEFINANCE(C29,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GOOGLEFINANCE(C29, ""price"")) * 100,
    IF(calc=0, G29, calc)
  ), 
G29)"),"#N/A")</f>
        <v>#N/A</v>
      </c>
      <c r="S29" s="8" t="s">
        <v>15</v>
      </c>
      <c r="T29" s="26" t="str">
        <f>IFERROR(__xludf.DUMMYFUNCTION("IFERROR(TRANSPOSE(QUERY(IFERROR(SORT(GOOGLEFINANCE(C29, ""price"", WORKDAY(TODAY(), -40), TODAY()), 1, FALSE)), ""select Col2 where Col2 is not null limit 22 label Col2 ''"", 0)), """")"),"")</f>
        <v/>
      </c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8"/>
      <c r="AO29" s="28"/>
      <c r="AP29" s="29"/>
      <c r="AQ29" s="29" t="str">
        <f t="shared" ref="AQ29:BL29" si="32">T29/T$2</f>
        <v>#N/A</v>
      </c>
      <c r="AR29" s="29" t="str">
        <f t="shared" si="32"/>
        <v>#DIV/0!</v>
      </c>
      <c r="AS29" s="29" t="str">
        <f t="shared" si="32"/>
        <v>#DIV/0!</v>
      </c>
      <c r="AT29" s="29" t="str">
        <f t="shared" si="32"/>
        <v>#DIV/0!</v>
      </c>
      <c r="AU29" s="29" t="str">
        <f t="shared" si="32"/>
        <v>#DIV/0!</v>
      </c>
      <c r="AV29" s="29" t="str">
        <f t="shared" si="32"/>
        <v>#DIV/0!</v>
      </c>
      <c r="AW29" s="29" t="str">
        <f t="shared" si="32"/>
        <v>#DIV/0!</v>
      </c>
      <c r="AX29" s="29" t="str">
        <f t="shared" si="32"/>
        <v>#DIV/0!</v>
      </c>
      <c r="AY29" s="29" t="str">
        <f t="shared" si="32"/>
        <v>#DIV/0!</v>
      </c>
      <c r="AZ29" s="29" t="str">
        <f t="shared" si="32"/>
        <v>#DIV/0!</v>
      </c>
      <c r="BA29" s="29" t="str">
        <f t="shared" si="32"/>
        <v>#DIV/0!</v>
      </c>
      <c r="BB29" s="29" t="str">
        <f t="shared" si="32"/>
        <v>#DIV/0!</v>
      </c>
      <c r="BC29" s="29" t="str">
        <f t="shared" si="32"/>
        <v>#DIV/0!</v>
      </c>
      <c r="BD29" s="29" t="str">
        <f t="shared" si="32"/>
        <v>#DIV/0!</v>
      </c>
      <c r="BE29" s="29" t="str">
        <f t="shared" si="32"/>
        <v>#DIV/0!</v>
      </c>
      <c r="BF29" s="29" t="str">
        <f t="shared" si="32"/>
        <v>#DIV/0!</v>
      </c>
      <c r="BG29" s="29" t="str">
        <f t="shared" si="32"/>
        <v>#DIV/0!</v>
      </c>
      <c r="BH29" s="29" t="str">
        <f t="shared" si="32"/>
        <v>#DIV/0!</v>
      </c>
      <c r="BI29" s="29" t="str">
        <f t="shared" si="32"/>
        <v>#DIV/0!</v>
      </c>
      <c r="BJ29" s="29" t="str">
        <f t="shared" si="32"/>
        <v>#DIV/0!</v>
      </c>
      <c r="BK29" s="29" t="str">
        <f t="shared" si="32"/>
        <v>#DIV/0!</v>
      </c>
      <c r="BL29" s="29" t="str">
        <f t="shared" si="32"/>
        <v>#DIV/0!</v>
      </c>
      <c r="BM29" s="29" t="str">
        <f t="shared" si="3"/>
        <v>#DIV/0!</v>
      </c>
    </row>
    <row r="30">
      <c r="A30" s="16" t="str">
        <f>IFERROR(__xludf.DUMMYFUNCTION("IFERROR(SPARKLINE(SORT(MAP(TRANSPOSE(AQ30:BL30), LAMBDA(val, IF(ISNUMBER(val), PERCENTRANK(AQ30:BL30, val)+0.01, 0))), SEQUENCE(COLUMNS(AQ30:BL30)), FALSE), {""charttype"",""column""; ""color"",""chartreuse""; ""ymin"", 0; ""ymax"", 1.01; ""highcolor"", "&amp;"""darkgreen""; ""lowcolor"", ""red""}), """")"),"")</f>
        <v/>
      </c>
      <c r="B30" s="17" t="str">
        <f t="shared" si="4"/>
        <v/>
      </c>
      <c r="C30" s="1" t="s">
        <v>198</v>
      </c>
      <c r="D30" s="34" t="str">
        <f>IFERROR(__xludf.DUMMYFUNCTION("IFERROR(GOOGLEFINANCE(C30, ""NAME""))"),"Assurant Inc")</f>
        <v>Assurant Inc</v>
      </c>
      <c r="E30" s="30" t="s">
        <v>82</v>
      </c>
      <c r="F30" s="33" t="str">
        <f>IFERROR(__xludf.DUMMYFUNCTION("( (GOOGLEFINANCE(C30, ""price"") - Q30) / Q30 ) / (R30 / 100)"),"Loading...")</f>
        <v>Loading...</v>
      </c>
      <c r="G30" s="20" t="str">
        <f>IFERROR(__xludf.DUMMYFUNCTION("AVERAGE(ARRAYFORMULA(100 * (QUERY(GOOGLEFINANCE(C30, ""high"", TODAY()-40, TODAY()), ""SELECT Col2 WHERE Col2 IS NOT NULL ORDER BY Col1 DESC LIMIT 20"", 0) / QUERY(GOOGLEFINANCE(C30, ""low"", TODAY()-40, TODAY()), ""SELECT Col2 WHERE Col2 IS NOT NULL ORDE"&amp;"R BY Col1 DESC LIMIT 20"", 0) - 1)))"),"#N/A")</f>
        <v>#N/A</v>
      </c>
      <c r="H30" s="35" t="str">
        <f t="shared" si="6"/>
        <v/>
      </c>
      <c r="I30" s="36" t="str">
        <f t="shared" si="7"/>
        <v/>
      </c>
      <c r="J30" s="37" t="str">
        <f>IFERROR(__xludf.DUMMYFUNCTION("IFERROR(
  IF(C30="""",, 
    IFERROR(
      GOOGLEFINANCE(C30, ""price"") * GOOGLEFINANCE(C30, ""volumeavg""), 
      GOOGLEFINANCE(C30, ""price"") * AVERAGE(QUERY(GOOGLEFINANCE(C30, ""volume"", TODAY()-40, TODAY()), ""SELECT Col2 WHERE Col2 IS NOT NULL "&amp;"ORDER BY Col1 DESC LIMIT 20"", 0))
    )
  ), 
"""")"),"")</f>
        <v/>
      </c>
      <c r="K30" s="21" t="str">
        <f>IFERROR(__xludf.DUMMYFUNCTION("IFERROR(GOOGLEFINANCE(C30, ""changepct"") / 100, """")"),"")</f>
        <v/>
      </c>
      <c r="L30" s="21" t="str">
        <f>IFERROR(__xludf.DUMMYFUNCTION("IFERROR((GOOGLEFINANCE(C30, ""price"") / INDEX(GOOGLEFINANCE(C30, ""price"", TODAY()-7, TODAY()), 2, 2)) - 1, """")"),"")</f>
        <v/>
      </c>
      <c r="M30" s="21" t="str">
        <f>IFERROR(__xludf.DUMMYFUNCTION("IFERROR((GOOGLEFINANCE(C30, ""price"") / INDEX(GOOGLEFINANCE(C30, ""price"", EDATE(TODAY(), -1), TODAY()), 2, 2)) - 1, """")"),"")</f>
        <v/>
      </c>
      <c r="N30" s="21" t="str">
        <f>IFERROR(__xludf.DUMMYFUNCTION("IFERROR((GOOGLEFINANCE(C30, ""price"") / INDEX(GOOGLEFINANCE(C30, ""price"", EDATE(TODAY(), -3), TODAY()), 2, 2)) - 1, """")"),"")</f>
        <v/>
      </c>
      <c r="O30" s="21" t="str">
        <f>IFERROR(__xludf.DUMMYFUNCTION("IFERROR((GOOGLEFINANCE(C30, ""price"") / INDEX(GOOGLEFINANCE(C30, ""price"", EDATE(TODAY(), -6), TODAY()), 2, 2)) - 1, """")"),"")</f>
        <v/>
      </c>
      <c r="P30" s="21" t="str">
        <f>IFERROR(__xludf.DUMMYFUNCTION("IFERROR((GOOGLEFINANCE(C30, ""price"") / INDEX(GOOGLEFINANCE(C30, ""price"", EDATE(TODAY(), -12), TODAY()), 2, 2)) - 1, """")"),"")</f>
        <v/>
      </c>
      <c r="Q30" s="6" t="str">
        <f>IFERROR(__xludf.DUMMYFUNCTION("AVERAGE(QUERY(GOOGLEFINANCE(C30, ""price"", TODAY()-80, TODAY()), ""SELECT Col2 WHERE Col2 IS NOT NULL ORDER BY Col1 DESC LIMIT 50"", 0))"),"#N/A")</f>
        <v>#N/A</v>
      </c>
      <c r="R30" s="24" t="str">
        <f>IFERROR(__xludf.DUMMYFUNCTION("IFERROR(
  LET(
    data, QUERY(GOOGLEFINANCE(C30,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GOOGLEFINANCE(C30, ""price"")) * 100,
    IF(calc=0, G30, calc)
  ), 
G30)"),"#N/A")</f>
        <v>#N/A</v>
      </c>
      <c r="S30" s="8" t="s">
        <v>15</v>
      </c>
      <c r="T30" s="26" t="str">
        <f>IFERROR(__xludf.DUMMYFUNCTION("IFERROR(TRANSPOSE(QUERY(IFERROR(SORT(GOOGLEFINANCE(C30, ""price"", WORKDAY(TODAY(), -40), TODAY()), 1, FALSE)), ""select Col2 where Col2 is not null limit 22 label Col2 ''"", 0)), """")"),"")</f>
        <v/>
      </c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8"/>
      <c r="AO30" s="28"/>
      <c r="AP30" s="29"/>
      <c r="AQ30" s="29" t="str">
        <f t="shared" ref="AQ30:BL30" si="33">T30/T$2</f>
        <v>#N/A</v>
      </c>
      <c r="AR30" s="29" t="str">
        <f t="shared" si="33"/>
        <v>#DIV/0!</v>
      </c>
      <c r="AS30" s="29" t="str">
        <f t="shared" si="33"/>
        <v>#DIV/0!</v>
      </c>
      <c r="AT30" s="29" t="str">
        <f t="shared" si="33"/>
        <v>#DIV/0!</v>
      </c>
      <c r="AU30" s="29" t="str">
        <f t="shared" si="33"/>
        <v>#DIV/0!</v>
      </c>
      <c r="AV30" s="29" t="str">
        <f t="shared" si="33"/>
        <v>#DIV/0!</v>
      </c>
      <c r="AW30" s="29" t="str">
        <f t="shared" si="33"/>
        <v>#DIV/0!</v>
      </c>
      <c r="AX30" s="29" t="str">
        <f t="shared" si="33"/>
        <v>#DIV/0!</v>
      </c>
      <c r="AY30" s="29" t="str">
        <f t="shared" si="33"/>
        <v>#DIV/0!</v>
      </c>
      <c r="AZ30" s="29" t="str">
        <f t="shared" si="33"/>
        <v>#DIV/0!</v>
      </c>
      <c r="BA30" s="29" t="str">
        <f t="shared" si="33"/>
        <v>#DIV/0!</v>
      </c>
      <c r="BB30" s="29" t="str">
        <f t="shared" si="33"/>
        <v>#DIV/0!</v>
      </c>
      <c r="BC30" s="29" t="str">
        <f t="shared" si="33"/>
        <v>#DIV/0!</v>
      </c>
      <c r="BD30" s="29" t="str">
        <f t="shared" si="33"/>
        <v>#DIV/0!</v>
      </c>
      <c r="BE30" s="29" t="str">
        <f t="shared" si="33"/>
        <v>#DIV/0!</v>
      </c>
      <c r="BF30" s="29" t="str">
        <f t="shared" si="33"/>
        <v>#DIV/0!</v>
      </c>
      <c r="BG30" s="29" t="str">
        <f t="shared" si="33"/>
        <v>#DIV/0!</v>
      </c>
      <c r="BH30" s="29" t="str">
        <f t="shared" si="33"/>
        <v>#DIV/0!</v>
      </c>
      <c r="BI30" s="29" t="str">
        <f t="shared" si="33"/>
        <v>#DIV/0!</v>
      </c>
      <c r="BJ30" s="29" t="str">
        <f t="shared" si="33"/>
        <v>#DIV/0!</v>
      </c>
      <c r="BK30" s="29" t="str">
        <f t="shared" si="33"/>
        <v>#DIV/0!</v>
      </c>
      <c r="BL30" s="29" t="str">
        <f t="shared" si="33"/>
        <v>#DIV/0!</v>
      </c>
      <c r="BM30" s="29" t="str">
        <f t="shared" si="3"/>
        <v>#DIV/0!</v>
      </c>
    </row>
    <row r="31">
      <c r="A31" s="16" t="str">
        <f>IFERROR(__xludf.DUMMYFUNCTION("IFERROR(SPARKLINE(SORT(MAP(TRANSPOSE(AQ31:BL31), LAMBDA(val, IF(ISNUMBER(val), PERCENTRANK(AQ31:BL31, val)+0.01, 0))), SEQUENCE(COLUMNS(AQ31:BL31)), FALSE), {""charttype"",""column""; ""color"",""chartreuse""; ""ymin"", 0; ""ymax"", 1.01; ""highcolor"", "&amp;"""darkgreen""; ""lowcolor"", ""red""}), """")"),"")</f>
        <v/>
      </c>
      <c r="B31" s="17" t="str">
        <f t="shared" si="4"/>
        <v/>
      </c>
      <c r="C31" s="1" t="s">
        <v>202</v>
      </c>
      <c r="D31" s="34" t="str">
        <f>IFERROR(__xludf.DUMMYFUNCTION("IFERROR(GOOGLEFINANCE(C31, ""NAME""))"),"Destiny Tech100 Inc")</f>
        <v>Destiny Tech100 Inc</v>
      </c>
      <c r="E31" s="30" t="s">
        <v>64</v>
      </c>
      <c r="F31" s="38" t="str">
        <f>IFERROR(__xludf.DUMMYFUNCTION("( (GOOGLEFINANCE(C31, ""price"") - Q31) / Q31 ) / (R31 / 100)"),"Loading...")</f>
        <v>Loading...</v>
      </c>
      <c r="G31" s="20" t="str">
        <f>IFERROR(__xludf.DUMMYFUNCTION("AVERAGE(ARRAYFORMULA(100 * (QUERY(GOOGLEFINANCE(C31, ""high"", TODAY()-40, TODAY()), ""SELECT Col2 WHERE Col2 IS NOT NULL ORDER BY Col1 DESC LIMIT 20"", 0) / QUERY(GOOGLEFINANCE(C31, ""low"", TODAY()-40, TODAY()), ""SELECT Col2 WHERE Col2 IS NOT NULL ORDE"&amp;"R BY Col1 DESC LIMIT 20"", 0) - 1)))"),"#N/A")</f>
        <v>#N/A</v>
      </c>
      <c r="H31" s="35" t="str">
        <f t="shared" si="6"/>
        <v/>
      </c>
      <c r="I31" s="36" t="str">
        <f t="shared" si="7"/>
        <v/>
      </c>
      <c r="J31" s="37" t="str">
        <f>IFERROR(__xludf.DUMMYFUNCTION("IFERROR(
  IF(C31="""",, 
    IFERROR(
      GOOGLEFINANCE(C31, ""price"") * GOOGLEFINANCE(C31, ""volumeavg""), 
      GOOGLEFINANCE(C31, ""price"") * AVERAGE(QUERY(GOOGLEFINANCE(C31, ""volume"", TODAY()-40, TODAY()), ""SELECT Col2 WHERE Col2 IS NOT NULL "&amp;"ORDER BY Col1 DESC LIMIT 20"", 0))
    )
  ), 
"""")"),"")</f>
        <v/>
      </c>
      <c r="K31" s="21" t="str">
        <f>IFERROR(__xludf.DUMMYFUNCTION("IFERROR(GOOGLEFINANCE(C31, ""changepct"") / 100, """")"),"")</f>
        <v/>
      </c>
      <c r="L31" s="21" t="str">
        <f>IFERROR(__xludf.DUMMYFUNCTION("IFERROR((GOOGLEFINANCE(C31, ""price"") / INDEX(GOOGLEFINANCE(C31, ""price"", TODAY()-7, TODAY()), 2, 2)) - 1, """")"),"")</f>
        <v/>
      </c>
      <c r="M31" s="21" t="str">
        <f>IFERROR(__xludf.DUMMYFUNCTION("IFERROR((GOOGLEFINANCE(C31, ""price"") / INDEX(GOOGLEFINANCE(C31, ""price"", EDATE(TODAY(), -1), TODAY()), 2, 2)) - 1, """")"),"")</f>
        <v/>
      </c>
      <c r="N31" s="21" t="str">
        <f>IFERROR(__xludf.DUMMYFUNCTION("IFERROR((GOOGLEFINANCE(C31, ""price"") / INDEX(GOOGLEFINANCE(C31, ""price"", EDATE(TODAY(), -3), TODAY()), 2, 2)) - 1, """")"),"")</f>
        <v/>
      </c>
      <c r="O31" s="21" t="str">
        <f>IFERROR(__xludf.DUMMYFUNCTION("IFERROR((GOOGLEFINANCE(C31, ""price"") / INDEX(GOOGLEFINANCE(C31, ""price"", EDATE(TODAY(), -6), TODAY()), 2, 2)) - 1, """")"),"")</f>
        <v/>
      </c>
      <c r="P31" s="21" t="str">
        <f>IFERROR(__xludf.DUMMYFUNCTION("IFERROR((GOOGLEFINANCE(C31, ""price"") / INDEX(GOOGLEFINANCE(C31, ""price"", EDATE(TODAY(), -12), TODAY()), 2, 2)) - 1, """")"),"")</f>
        <v/>
      </c>
      <c r="Q31" s="6" t="str">
        <f>IFERROR(__xludf.DUMMYFUNCTION("AVERAGE(QUERY(GOOGLEFINANCE(C31, ""price"", TODAY()-80, TODAY()), ""SELECT Col2 WHERE Col2 IS NOT NULL ORDER BY Col1 DESC LIMIT 50"", 0))"),"#N/A")</f>
        <v>#N/A</v>
      </c>
      <c r="R31" s="24" t="str">
        <f>IFERROR(__xludf.DUMMYFUNCTION("IFERROR(
  LET(
    data, QUERY(GOOGLEFINANCE(C31,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GOOGLEFINANCE(C31, ""price"")) * 100,
    IF(calc=0, G31, calc)
  ), 
G31)"),"#N/A")</f>
        <v>#N/A</v>
      </c>
      <c r="S31" s="8" t="s">
        <v>15</v>
      </c>
      <c r="T31" s="26" t="str">
        <f>IFERROR(__xludf.DUMMYFUNCTION("IFERROR(TRANSPOSE(QUERY(IFERROR(SORT(GOOGLEFINANCE(C31, ""price"", WORKDAY(TODAY(), -40), TODAY()), 1, FALSE)), ""select Col2 where Col2 is not null limit 22 label Col2 ''"", 0)), """")"),"")</f>
        <v/>
      </c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8"/>
      <c r="AO31" s="28"/>
      <c r="AP31" s="29"/>
      <c r="AQ31" s="29" t="str">
        <f t="shared" ref="AQ31:BL31" si="34">T31/T$2</f>
        <v>#N/A</v>
      </c>
      <c r="AR31" s="29" t="str">
        <f t="shared" si="34"/>
        <v>#DIV/0!</v>
      </c>
      <c r="AS31" s="29" t="str">
        <f t="shared" si="34"/>
        <v>#DIV/0!</v>
      </c>
      <c r="AT31" s="29" t="str">
        <f t="shared" si="34"/>
        <v>#DIV/0!</v>
      </c>
      <c r="AU31" s="29" t="str">
        <f t="shared" si="34"/>
        <v>#DIV/0!</v>
      </c>
      <c r="AV31" s="29" t="str">
        <f t="shared" si="34"/>
        <v>#DIV/0!</v>
      </c>
      <c r="AW31" s="29" t="str">
        <f t="shared" si="34"/>
        <v>#DIV/0!</v>
      </c>
      <c r="AX31" s="29" t="str">
        <f t="shared" si="34"/>
        <v>#DIV/0!</v>
      </c>
      <c r="AY31" s="29" t="str">
        <f t="shared" si="34"/>
        <v>#DIV/0!</v>
      </c>
      <c r="AZ31" s="29" t="str">
        <f t="shared" si="34"/>
        <v>#DIV/0!</v>
      </c>
      <c r="BA31" s="29" t="str">
        <f t="shared" si="34"/>
        <v>#DIV/0!</v>
      </c>
      <c r="BB31" s="29" t="str">
        <f t="shared" si="34"/>
        <v>#DIV/0!</v>
      </c>
      <c r="BC31" s="29" t="str">
        <f t="shared" si="34"/>
        <v>#DIV/0!</v>
      </c>
      <c r="BD31" s="29" t="str">
        <f t="shared" si="34"/>
        <v>#DIV/0!</v>
      </c>
      <c r="BE31" s="29" t="str">
        <f t="shared" si="34"/>
        <v>#DIV/0!</v>
      </c>
      <c r="BF31" s="29" t="str">
        <f t="shared" si="34"/>
        <v>#DIV/0!</v>
      </c>
      <c r="BG31" s="29" t="str">
        <f t="shared" si="34"/>
        <v>#DIV/0!</v>
      </c>
      <c r="BH31" s="29" t="str">
        <f t="shared" si="34"/>
        <v>#DIV/0!</v>
      </c>
      <c r="BI31" s="29" t="str">
        <f t="shared" si="34"/>
        <v>#DIV/0!</v>
      </c>
      <c r="BJ31" s="29" t="str">
        <f t="shared" si="34"/>
        <v>#DIV/0!</v>
      </c>
      <c r="BK31" s="29" t="str">
        <f t="shared" si="34"/>
        <v>#DIV/0!</v>
      </c>
      <c r="BL31" s="29" t="str">
        <f t="shared" si="34"/>
        <v>#DIV/0!</v>
      </c>
      <c r="BM31" s="29" t="str">
        <f t="shared" si="3"/>
        <v>#DIV/0!</v>
      </c>
    </row>
    <row r="32">
      <c r="A32" s="16" t="str">
        <f>IFERROR(__xludf.DUMMYFUNCTION("IFERROR(SPARKLINE(SORT(MAP(TRANSPOSE(AQ32:BL32), LAMBDA(val, IF(ISNUMBER(val), PERCENTRANK(AQ32:BL32, val)+0.01, 0))), SEQUENCE(COLUMNS(AQ32:BL32)), FALSE), {""charttype"",""column""; ""color"",""chartreuse""; ""ymin"", 0; ""ymax"", 1.01; ""highcolor"", "&amp;"""darkgreen""; ""lowcolor"", ""red""}), """")"),"")</f>
        <v/>
      </c>
      <c r="B32" s="17" t="str">
        <f t="shared" si="4"/>
        <v/>
      </c>
      <c r="C32" s="1" t="s">
        <v>205</v>
      </c>
      <c r="D32" s="34" t="str">
        <f>IFERROR(__xludf.DUMMYFUNCTION("IFERROR(GOOGLEFINANCE(C32, ""NAME""))"),"Chaince Digital Holdings Inc - ADR")</f>
        <v>Chaince Digital Holdings Inc - ADR</v>
      </c>
      <c r="E32" s="30" t="s">
        <v>77</v>
      </c>
      <c r="F32" s="33" t="str">
        <f>IFERROR(__xludf.DUMMYFUNCTION("( (GOOGLEFINANCE(C32, ""price"") - Q32) / Q32 ) / (R32 / 100)"),"Loading...")</f>
        <v>Loading...</v>
      </c>
      <c r="G32" s="20" t="str">
        <f>IFERROR(__xludf.DUMMYFUNCTION("AVERAGE(ARRAYFORMULA(100 * (QUERY(GOOGLEFINANCE(C32, ""high"", TODAY()-40, TODAY()), ""SELECT Col2 WHERE Col2 IS NOT NULL ORDER BY Col1 DESC LIMIT 20"", 0) / QUERY(GOOGLEFINANCE(C32, ""low"", TODAY()-40, TODAY()), ""SELECT Col2 WHERE Col2 IS NOT NULL ORDE"&amp;"R BY Col1 DESC LIMIT 20"", 0) - 1)))"),"#N/A")</f>
        <v>#N/A</v>
      </c>
      <c r="H32" s="35" t="str">
        <f t="shared" si="6"/>
        <v/>
      </c>
      <c r="I32" s="36" t="str">
        <f t="shared" si="7"/>
        <v/>
      </c>
      <c r="J32" s="37" t="str">
        <f>IFERROR(__xludf.DUMMYFUNCTION("IFERROR(
  IF(C32="""",, 
    IFERROR(
      GOOGLEFINANCE(C32, ""price"") * GOOGLEFINANCE(C32, ""volumeavg""), 
      GOOGLEFINANCE(C32, ""price"") * AVERAGE(QUERY(GOOGLEFINANCE(C32, ""volume"", TODAY()-40, TODAY()), ""SELECT Col2 WHERE Col2 IS NOT NULL "&amp;"ORDER BY Col1 DESC LIMIT 20"", 0))
    )
  ), 
"""")"),"")</f>
        <v/>
      </c>
      <c r="K32" s="21" t="str">
        <f>IFERROR(__xludf.DUMMYFUNCTION("IFERROR(GOOGLEFINANCE(C32, ""changepct"") / 100, """")"),"")</f>
        <v/>
      </c>
      <c r="L32" s="21" t="str">
        <f>IFERROR(__xludf.DUMMYFUNCTION("IFERROR((GOOGLEFINANCE(C32, ""price"") / INDEX(GOOGLEFINANCE(C32, ""price"", TODAY()-7, TODAY()), 2, 2)) - 1, """")"),"")</f>
        <v/>
      </c>
      <c r="M32" s="21" t="str">
        <f>IFERROR(__xludf.DUMMYFUNCTION("IFERROR((GOOGLEFINANCE(C32, ""price"") / INDEX(GOOGLEFINANCE(C32, ""price"", EDATE(TODAY(), -1), TODAY()), 2, 2)) - 1, """")"),"")</f>
        <v/>
      </c>
      <c r="N32" s="21" t="str">
        <f>IFERROR(__xludf.DUMMYFUNCTION("IFERROR((GOOGLEFINANCE(C32, ""price"") / INDEX(GOOGLEFINANCE(C32, ""price"", EDATE(TODAY(), -3), TODAY()), 2, 2)) - 1, """")"),"")</f>
        <v/>
      </c>
      <c r="O32" s="21" t="str">
        <f>IFERROR(__xludf.DUMMYFUNCTION("IFERROR((GOOGLEFINANCE(C32, ""price"") / INDEX(GOOGLEFINANCE(C32, ""price"", EDATE(TODAY(), -6), TODAY()), 2, 2)) - 1, """")"),"")</f>
        <v/>
      </c>
      <c r="P32" s="21" t="str">
        <f>IFERROR(__xludf.DUMMYFUNCTION("IFERROR((GOOGLEFINANCE(C32, ""price"") / INDEX(GOOGLEFINANCE(C32, ""price"", EDATE(TODAY(), -12), TODAY()), 2, 2)) - 1, """")"),"")</f>
        <v/>
      </c>
      <c r="Q32" s="6" t="str">
        <f>IFERROR(__xludf.DUMMYFUNCTION("AVERAGE(QUERY(GOOGLEFINANCE(C32, ""price"", TODAY()-80, TODAY()), ""SELECT Col2 WHERE Col2 IS NOT NULL ORDER BY Col1 DESC LIMIT 50"", 0))"),"#N/A")</f>
        <v>#N/A</v>
      </c>
      <c r="R32" s="24" t="str">
        <f>IFERROR(__xludf.DUMMYFUNCTION("IFERROR(
  LET(
    data, QUERY(GOOGLEFINANCE(C32,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GOOGLEFINANCE(C32, ""price"")) * 100,
    IF(calc=0, G32, calc)
  ), 
G32)"),"#N/A")</f>
        <v>#N/A</v>
      </c>
      <c r="S32" s="8" t="s">
        <v>15</v>
      </c>
      <c r="T32" s="26" t="str">
        <f>IFERROR(__xludf.DUMMYFUNCTION("IFERROR(TRANSPOSE(QUERY(IFERROR(SORT(GOOGLEFINANCE(C32, ""price"", WORKDAY(TODAY(), -40), TODAY()), 1, FALSE)), ""select Col2 where Col2 is not null limit 22 label Col2 ''"", 0)), """")"),"")</f>
        <v/>
      </c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8"/>
      <c r="AO32" s="28"/>
      <c r="AP32" s="29"/>
      <c r="AQ32" s="29" t="str">
        <f t="shared" ref="AQ32:BL32" si="35">T32/T$2</f>
        <v>#N/A</v>
      </c>
      <c r="AR32" s="29" t="str">
        <f t="shared" si="35"/>
        <v>#DIV/0!</v>
      </c>
      <c r="AS32" s="29" t="str">
        <f t="shared" si="35"/>
        <v>#DIV/0!</v>
      </c>
      <c r="AT32" s="29" t="str">
        <f t="shared" si="35"/>
        <v>#DIV/0!</v>
      </c>
      <c r="AU32" s="29" t="str">
        <f t="shared" si="35"/>
        <v>#DIV/0!</v>
      </c>
      <c r="AV32" s="29" t="str">
        <f t="shared" si="35"/>
        <v>#DIV/0!</v>
      </c>
      <c r="AW32" s="29" t="str">
        <f t="shared" si="35"/>
        <v>#DIV/0!</v>
      </c>
      <c r="AX32" s="29" t="str">
        <f t="shared" si="35"/>
        <v>#DIV/0!</v>
      </c>
      <c r="AY32" s="29" t="str">
        <f t="shared" si="35"/>
        <v>#DIV/0!</v>
      </c>
      <c r="AZ32" s="29" t="str">
        <f t="shared" si="35"/>
        <v>#DIV/0!</v>
      </c>
      <c r="BA32" s="29" t="str">
        <f t="shared" si="35"/>
        <v>#DIV/0!</v>
      </c>
      <c r="BB32" s="29" t="str">
        <f t="shared" si="35"/>
        <v>#DIV/0!</v>
      </c>
      <c r="BC32" s="29" t="str">
        <f t="shared" si="35"/>
        <v>#DIV/0!</v>
      </c>
      <c r="BD32" s="29" t="str">
        <f t="shared" si="35"/>
        <v>#DIV/0!</v>
      </c>
      <c r="BE32" s="29" t="str">
        <f t="shared" si="35"/>
        <v>#DIV/0!</v>
      </c>
      <c r="BF32" s="29" t="str">
        <f t="shared" si="35"/>
        <v>#DIV/0!</v>
      </c>
      <c r="BG32" s="29" t="str">
        <f t="shared" si="35"/>
        <v>#DIV/0!</v>
      </c>
      <c r="BH32" s="29" t="str">
        <f t="shared" si="35"/>
        <v>#DIV/0!</v>
      </c>
      <c r="BI32" s="29" t="str">
        <f t="shared" si="35"/>
        <v>#DIV/0!</v>
      </c>
      <c r="BJ32" s="29" t="str">
        <f t="shared" si="35"/>
        <v>#DIV/0!</v>
      </c>
      <c r="BK32" s="29" t="str">
        <f t="shared" si="35"/>
        <v>#DIV/0!</v>
      </c>
      <c r="BL32" s="29" t="str">
        <f t="shared" si="35"/>
        <v>#DIV/0!</v>
      </c>
      <c r="BM32" s="29" t="str">
        <f t="shared" si="3"/>
        <v>#DIV/0!</v>
      </c>
    </row>
    <row r="33">
      <c r="A33" s="16" t="str">
        <f>IFERROR(__xludf.DUMMYFUNCTION("IFERROR(SPARKLINE(SORT(MAP(TRANSPOSE(AQ33:BL33), LAMBDA(val, IF(ISNUMBER(val), PERCENTRANK(AQ33:BL33, val)+0.01, 0))), SEQUENCE(COLUMNS(AQ33:BL33)), FALSE), {""charttype"",""column""; ""color"",""chartreuse""; ""ymin"", 0; ""ymax"", 1.01; ""highcolor"", "&amp;"""darkgreen""; ""lowcolor"", ""red""}), """")"),"")</f>
        <v/>
      </c>
      <c r="B33" s="17" t="str">
        <f t="shared" si="4"/>
        <v/>
      </c>
      <c r="C33" s="1" t="s">
        <v>209</v>
      </c>
      <c r="D33" s="34" t="str">
        <f>IFERROR(__xludf.DUMMYFUNCTION("IFERROR(GOOGLEFINANCE(C33, ""NAME""))"),"IREN Ltd")</f>
        <v>IREN Ltd</v>
      </c>
      <c r="E33" s="30" t="s">
        <v>77</v>
      </c>
      <c r="F33" s="33" t="str">
        <f>IFERROR(__xludf.DUMMYFUNCTION("( (GOOGLEFINANCE(C33, ""price"") - Q33) / Q33 ) / (R33 / 100)"),"Loading...")</f>
        <v>Loading...</v>
      </c>
      <c r="G33" s="20" t="str">
        <f>IFERROR(__xludf.DUMMYFUNCTION("AVERAGE(ARRAYFORMULA(100 * (QUERY(GOOGLEFINANCE(C33, ""high"", TODAY()-40, TODAY()), ""SELECT Col2 WHERE Col2 IS NOT NULL ORDER BY Col1 DESC LIMIT 20"", 0) / QUERY(GOOGLEFINANCE(C33, ""low"", TODAY()-40, TODAY()), ""SELECT Col2 WHERE Col2 IS NOT NULL ORDE"&amp;"R BY Col1 DESC LIMIT 20"", 0) - 1)))"),"#N/A")</f>
        <v>#N/A</v>
      </c>
      <c r="H33" s="35" t="str">
        <f t="shared" si="6"/>
        <v/>
      </c>
      <c r="I33" s="36" t="str">
        <f t="shared" si="7"/>
        <v/>
      </c>
      <c r="J33" s="37" t="str">
        <f>IFERROR(__xludf.DUMMYFUNCTION("IFERROR(
  IF(C33="""",, 
    IFERROR(
      GOOGLEFINANCE(C33, ""price"") * GOOGLEFINANCE(C33, ""volumeavg""), 
      GOOGLEFINANCE(C33, ""price"") * AVERAGE(QUERY(GOOGLEFINANCE(C33, ""volume"", TODAY()-40, TODAY()), ""SELECT Col2 WHERE Col2 IS NOT NULL "&amp;"ORDER BY Col1 DESC LIMIT 20"", 0))
    )
  ), 
"""")"),"")</f>
        <v/>
      </c>
      <c r="K33" s="21" t="str">
        <f>IFERROR(__xludf.DUMMYFUNCTION("IFERROR(GOOGLEFINANCE(C33, ""changepct"") / 100, """")"),"")</f>
        <v/>
      </c>
      <c r="L33" s="21" t="str">
        <f>IFERROR(__xludf.DUMMYFUNCTION("IFERROR((GOOGLEFINANCE(C33, ""price"") / INDEX(GOOGLEFINANCE(C33, ""price"", TODAY()-7, TODAY()), 2, 2)) - 1, """")"),"")</f>
        <v/>
      </c>
      <c r="M33" s="21" t="str">
        <f>IFERROR(__xludf.DUMMYFUNCTION("IFERROR((GOOGLEFINANCE(C33, ""price"") / INDEX(GOOGLEFINANCE(C33, ""price"", EDATE(TODAY(), -1), TODAY()), 2, 2)) - 1, """")"),"")</f>
        <v/>
      </c>
      <c r="N33" s="21" t="str">
        <f>IFERROR(__xludf.DUMMYFUNCTION("IFERROR((GOOGLEFINANCE(C33, ""price"") / INDEX(GOOGLEFINANCE(C33, ""price"", EDATE(TODAY(), -3), TODAY()), 2, 2)) - 1, """")"),"")</f>
        <v/>
      </c>
      <c r="O33" s="21" t="str">
        <f>IFERROR(__xludf.DUMMYFUNCTION("IFERROR((GOOGLEFINANCE(C33, ""price"") / INDEX(GOOGLEFINANCE(C33, ""price"", EDATE(TODAY(), -6), TODAY()), 2, 2)) - 1, """")"),"")</f>
        <v/>
      </c>
      <c r="P33" s="21" t="str">
        <f>IFERROR(__xludf.DUMMYFUNCTION("IFERROR((GOOGLEFINANCE(C33, ""price"") / INDEX(GOOGLEFINANCE(C33, ""price"", EDATE(TODAY(), -12), TODAY()), 2, 2)) - 1, """")"),"")</f>
        <v/>
      </c>
      <c r="Q33" s="6" t="str">
        <f>IFERROR(__xludf.DUMMYFUNCTION("AVERAGE(QUERY(GOOGLEFINANCE(C33, ""price"", TODAY()-80, TODAY()), ""SELECT Col2 WHERE Col2 IS NOT NULL ORDER BY Col1 DESC LIMIT 50"", 0))"),"#N/A")</f>
        <v>#N/A</v>
      </c>
      <c r="R33" s="24" t="str">
        <f>IFERROR(__xludf.DUMMYFUNCTION("IFERROR(
  LET(
    data, QUERY(GOOGLEFINANCE(C33,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GOOGLEFINANCE(C33, ""price"")) * 100,
    IF(calc=0, G33, calc)
  ), 
G33)"),"#N/A")</f>
        <v>#N/A</v>
      </c>
      <c r="S33" s="8" t="s">
        <v>15</v>
      </c>
      <c r="T33" s="26" t="str">
        <f>IFERROR(__xludf.DUMMYFUNCTION("IFERROR(TRANSPOSE(QUERY(IFERROR(SORT(GOOGLEFINANCE(C33, ""price"", WORKDAY(TODAY(), -40), TODAY()), 1, FALSE)), ""select Col2 where Col2 is not null limit 22 label Col2 ''"", 0)), """")"),"")</f>
        <v/>
      </c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8"/>
      <c r="AO33" s="28"/>
      <c r="AP33" s="29"/>
      <c r="AQ33" s="29" t="str">
        <f t="shared" ref="AQ33:BL33" si="36">T33/T$2</f>
        <v>#N/A</v>
      </c>
      <c r="AR33" s="29" t="str">
        <f t="shared" si="36"/>
        <v>#DIV/0!</v>
      </c>
      <c r="AS33" s="29" t="str">
        <f t="shared" si="36"/>
        <v>#DIV/0!</v>
      </c>
      <c r="AT33" s="29" t="str">
        <f t="shared" si="36"/>
        <v>#DIV/0!</v>
      </c>
      <c r="AU33" s="29" t="str">
        <f t="shared" si="36"/>
        <v>#DIV/0!</v>
      </c>
      <c r="AV33" s="29" t="str">
        <f t="shared" si="36"/>
        <v>#DIV/0!</v>
      </c>
      <c r="AW33" s="29" t="str">
        <f t="shared" si="36"/>
        <v>#DIV/0!</v>
      </c>
      <c r="AX33" s="29" t="str">
        <f t="shared" si="36"/>
        <v>#DIV/0!</v>
      </c>
      <c r="AY33" s="29" t="str">
        <f t="shared" si="36"/>
        <v>#DIV/0!</v>
      </c>
      <c r="AZ33" s="29" t="str">
        <f t="shared" si="36"/>
        <v>#DIV/0!</v>
      </c>
      <c r="BA33" s="29" t="str">
        <f t="shared" si="36"/>
        <v>#DIV/0!</v>
      </c>
      <c r="BB33" s="29" t="str">
        <f t="shared" si="36"/>
        <v>#DIV/0!</v>
      </c>
      <c r="BC33" s="29" t="str">
        <f t="shared" si="36"/>
        <v>#DIV/0!</v>
      </c>
      <c r="BD33" s="29" t="str">
        <f t="shared" si="36"/>
        <v>#DIV/0!</v>
      </c>
      <c r="BE33" s="29" t="str">
        <f t="shared" si="36"/>
        <v>#DIV/0!</v>
      </c>
      <c r="BF33" s="29" t="str">
        <f t="shared" si="36"/>
        <v>#DIV/0!</v>
      </c>
      <c r="BG33" s="29" t="str">
        <f t="shared" si="36"/>
        <v>#DIV/0!</v>
      </c>
      <c r="BH33" s="29" t="str">
        <f t="shared" si="36"/>
        <v>#DIV/0!</v>
      </c>
      <c r="BI33" s="29" t="str">
        <f t="shared" si="36"/>
        <v>#DIV/0!</v>
      </c>
      <c r="BJ33" s="29" t="str">
        <f t="shared" si="36"/>
        <v>#DIV/0!</v>
      </c>
      <c r="BK33" s="29" t="str">
        <f t="shared" si="36"/>
        <v>#DIV/0!</v>
      </c>
      <c r="BL33" s="29" t="str">
        <f t="shared" si="36"/>
        <v>#DIV/0!</v>
      </c>
      <c r="BM33" s="29" t="str">
        <f t="shared" si="3"/>
        <v>#DIV/0!</v>
      </c>
    </row>
    <row r="34">
      <c r="A34" s="16" t="str">
        <f>IFERROR(__xludf.DUMMYFUNCTION("IFERROR(SPARKLINE(SORT(MAP(TRANSPOSE(AQ34:BL34), LAMBDA(val, IF(ISNUMBER(val), PERCENTRANK(AQ34:BL34, val)+0.01, 0))), SEQUENCE(COLUMNS(AQ34:BL34)), FALSE), {""charttype"",""column""; ""color"",""chartreuse""; ""ymin"", 0; ""ymax"", 1.01; ""highcolor"", "&amp;"""darkgreen""; ""lowcolor"", ""red""}), """")"),"")</f>
        <v/>
      </c>
      <c r="B34" s="17" t="str">
        <f t="shared" si="4"/>
        <v/>
      </c>
      <c r="C34" s="1" t="s">
        <v>214</v>
      </c>
      <c r="D34" s="34" t="str">
        <f>IFERROR(__xludf.DUMMYFUNCTION("IFERROR(GOOGLEFINANCE(C34, ""NAME""))"),"Stonex Group Inc")</f>
        <v>Stonex Group Inc</v>
      </c>
      <c r="E34" s="30" t="s">
        <v>77</v>
      </c>
      <c r="F34" s="33" t="str">
        <f>IFERROR(__xludf.DUMMYFUNCTION("( (GOOGLEFINANCE(C34, ""price"") - Q34) / Q34 ) / (R34 / 100)"),"Loading...")</f>
        <v>Loading...</v>
      </c>
      <c r="G34" s="20" t="str">
        <f>IFERROR(__xludf.DUMMYFUNCTION("AVERAGE(ARRAYFORMULA(100 * (QUERY(GOOGLEFINANCE(C34, ""high"", TODAY()-40, TODAY()), ""SELECT Col2 WHERE Col2 IS NOT NULL ORDER BY Col1 DESC LIMIT 20"", 0) / QUERY(GOOGLEFINANCE(C34, ""low"", TODAY()-40, TODAY()), ""SELECT Col2 WHERE Col2 IS NOT NULL ORDE"&amp;"R BY Col1 DESC LIMIT 20"", 0) - 1)))"),"#N/A")</f>
        <v>#N/A</v>
      </c>
      <c r="H34" s="35" t="str">
        <f t="shared" si="6"/>
        <v/>
      </c>
      <c r="I34" s="36" t="str">
        <f t="shared" si="7"/>
        <v/>
      </c>
      <c r="J34" s="37" t="str">
        <f>IFERROR(__xludf.DUMMYFUNCTION("IFERROR(
  IF(C34="""",, 
    IFERROR(
      GOOGLEFINANCE(C34, ""price"") * GOOGLEFINANCE(C34, ""volumeavg""), 
      GOOGLEFINANCE(C34, ""price"") * AVERAGE(QUERY(GOOGLEFINANCE(C34, ""volume"", TODAY()-40, TODAY()), ""SELECT Col2 WHERE Col2 IS NOT NULL "&amp;"ORDER BY Col1 DESC LIMIT 20"", 0))
    )
  ), 
"""")"),"")</f>
        <v/>
      </c>
      <c r="K34" s="21" t="str">
        <f>IFERROR(__xludf.DUMMYFUNCTION("IFERROR(GOOGLEFINANCE(C34, ""changepct"") / 100, """")"),"")</f>
        <v/>
      </c>
      <c r="L34" s="21" t="str">
        <f>IFERROR(__xludf.DUMMYFUNCTION("IFERROR((GOOGLEFINANCE(C34, ""price"") / INDEX(GOOGLEFINANCE(C34, ""price"", TODAY()-7, TODAY()), 2, 2)) - 1, """")"),"")</f>
        <v/>
      </c>
      <c r="M34" s="21" t="str">
        <f>IFERROR(__xludf.DUMMYFUNCTION("IFERROR((GOOGLEFINANCE(C34, ""price"") / INDEX(GOOGLEFINANCE(C34, ""price"", EDATE(TODAY(), -1), TODAY()), 2, 2)) - 1, """")"),"")</f>
        <v/>
      </c>
      <c r="N34" s="21" t="str">
        <f>IFERROR(__xludf.DUMMYFUNCTION("IFERROR((GOOGLEFINANCE(C34, ""price"") / INDEX(GOOGLEFINANCE(C34, ""price"", EDATE(TODAY(), -3), TODAY()), 2, 2)) - 1, """")"),"")</f>
        <v/>
      </c>
      <c r="O34" s="21" t="str">
        <f>IFERROR(__xludf.DUMMYFUNCTION("IFERROR((GOOGLEFINANCE(C34, ""price"") / INDEX(GOOGLEFINANCE(C34, ""price"", EDATE(TODAY(), -6), TODAY()), 2, 2)) - 1, """")"),"")</f>
        <v/>
      </c>
      <c r="P34" s="21" t="str">
        <f>IFERROR(__xludf.DUMMYFUNCTION("IFERROR((GOOGLEFINANCE(C34, ""price"") / INDEX(GOOGLEFINANCE(C34, ""price"", EDATE(TODAY(), -12), TODAY()), 2, 2)) - 1, """")"),"")</f>
        <v/>
      </c>
      <c r="Q34" s="6" t="str">
        <f>IFERROR(__xludf.DUMMYFUNCTION("AVERAGE(QUERY(GOOGLEFINANCE(C34, ""price"", TODAY()-80, TODAY()), ""SELECT Col2 WHERE Col2 IS NOT NULL ORDER BY Col1 DESC LIMIT 50"", 0))"),"#N/A")</f>
        <v>#N/A</v>
      </c>
      <c r="R34" s="24" t="str">
        <f>IFERROR(__xludf.DUMMYFUNCTION("IFERROR(
  LET(
    data, QUERY(GOOGLEFINANCE(C34,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GOOGLEFINANCE(C34, ""price"")) * 100,
    IF(calc=0, G34, calc)
  ), 
G34)"),"#N/A")</f>
        <v>#N/A</v>
      </c>
      <c r="S34" s="8" t="s">
        <v>15</v>
      </c>
      <c r="T34" s="26" t="str">
        <f>IFERROR(__xludf.DUMMYFUNCTION("IFERROR(TRANSPOSE(QUERY(IFERROR(SORT(GOOGLEFINANCE(C34, ""price"", WORKDAY(TODAY(), -40), TODAY()), 1, FALSE)), ""select Col2 where Col2 is not null limit 22 label Col2 ''"", 0)), """")"),"")</f>
        <v/>
      </c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8"/>
      <c r="AO34" s="28"/>
      <c r="AP34" s="29"/>
      <c r="AQ34" s="29" t="str">
        <f t="shared" ref="AQ34:BL34" si="37">T34/T$2</f>
        <v>#N/A</v>
      </c>
      <c r="AR34" s="29" t="str">
        <f t="shared" si="37"/>
        <v>#DIV/0!</v>
      </c>
      <c r="AS34" s="29" t="str">
        <f t="shared" si="37"/>
        <v>#DIV/0!</v>
      </c>
      <c r="AT34" s="29" t="str">
        <f t="shared" si="37"/>
        <v>#DIV/0!</v>
      </c>
      <c r="AU34" s="29" t="str">
        <f t="shared" si="37"/>
        <v>#DIV/0!</v>
      </c>
      <c r="AV34" s="29" t="str">
        <f t="shared" si="37"/>
        <v>#DIV/0!</v>
      </c>
      <c r="AW34" s="29" t="str">
        <f t="shared" si="37"/>
        <v>#DIV/0!</v>
      </c>
      <c r="AX34" s="29" t="str">
        <f t="shared" si="37"/>
        <v>#DIV/0!</v>
      </c>
      <c r="AY34" s="29" t="str">
        <f t="shared" si="37"/>
        <v>#DIV/0!</v>
      </c>
      <c r="AZ34" s="29" t="str">
        <f t="shared" si="37"/>
        <v>#DIV/0!</v>
      </c>
      <c r="BA34" s="29" t="str">
        <f t="shared" si="37"/>
        <v>#DIV/0!</v>
      </c>
      <c r="BB34" s="29" t="str">
        <f t="shared" si="37"/>
        <v>#DIV/0!</v>
      </c>
      <c r="BC34" s="29" t="str">
        <f t="shared" si="37"/>
        <v>#DIV/0!</v>
      </c>
      <c r="BD34" s="29" t="str">
        <f t="shared" si="37"/>
        <v>#DIV/0!</v>
      </c>
      <c r="BE34" s="29" t="str">
        <f t="shared" si="37"/>
        <v>#DIV/0!</v>
      </c>
      <c r="BF34" s="29" t="str">
        <f t="shared" si="37"/>
        <v>#DIV/0!</v>
      </c>
      <c r="BG34" s="29" t="str">
        <f t="shared" si="37"/>
        <v>#DIV/0!</v>
      </c>
      <c r="BH34" s="29" t="str">
        <f t="shared" si="37"/>
        <v>#DIV/0!</v>
      </c>
      <c r="BI34" s="29" t="str">
        <f t="shared" si="37"/>
        <v>#DIV/0!</v>
      </c>
      <c r="BJ34" s="29" t="str">
        <f t="shared" si="37"/>
        <v>#DIV/0!</v>
      </c>
      <c r="BK34" s="29" t="str">
        <f t="shared" si="37"/>
        <v>#DIV/0!</v>
      </c>
      <c r="BL34" s="29" t="str">
        <f t="shared" si="37"/>
        <v>#DIV/0!</v>
      </c>
      <c r="BM34" s="29" t="str">
        <f t="shared" si="3"/>
        <v>#DIV/0!</v>
      </c>
    </row>
    <row r="35">
      <c r="A35" s="16" t="str">
        <f>IFERROR(__xludf.DUMMYFUNCTION("IFERROR(SPARKLINE(SORT(MAP(TRANSPOSE(AQ35:BL35), LAMBDA(val, IF(ISNUMBER(val), PERCENTRANK(AQ35:BL35, val)+0.01, 0))), SEQUENCE(COLUMNS(AQ35:BL35)), FALSE), {""charttype"",""column""; ""color"",""chartreuse""; ""ymin"", 0; ""ymax"", 1.01; ""highcolor"", "&amp;"""darkgreen""; ""lowcolor"", ""red""}), """")"),"")</f>
        <v/>
      </c>
      <c r="B35" s="17" t="str">
        <f t="shared" si="4"/>
        <v/>
      </c>
      <c r="C35" s="1" t="s">
        <v>218</v>
      </c>
      <c r="D35" s="34" t="str">
        <f>IFERROR(__xludf.DUMMYFUNCTION("IFERROR(GOOGLEFINANCE(C35, ""NAME""))"),"Marex Group Ltd")</f>
        <v>Marex Group Ltd</v>
      </c>
      <c r="E35" s="30" t="s">
        <v>77</v>
      </c>
      <c r="F35" s="38" t="str">
        <f>IFERROR(__xludf.DUMMYFUNCTION("( (GOOGLEFINANCE(C35, ""price"") - Q35) / Q35 ) / (R35 / 100)"),"Loading...")</f>
        <v>Loading...</v>
      </c>
      <c r="G35" s="20" t="str">
        <f>IFERROR(__xludf.DUMMYFUNCTION("AVERAGE(ARRAYFORMULA(100 * (QUERY(GOOGLEFINANCE(C35, ""high"", TODAY()-40, TODAY()), ""SELECT Col2 WHERE Col2 IS NOT NULL ORDER BY Col1 DESC LIMIT 20"", 0) / QUERY(GOOGLEFINANCE(C35, ""low"", TODAY()-40, TODAY()), ""SELECT Col2 WHERE Col2 IS NOT NULL ORDE"&amp;"R BY Col1 DESC LIMIT 20"", 0) - 1)))"),"#N/A")</f>
        <v>#N/A</v>
      </c>
      <c r="H35" s="35" t="str">
        <f t="shared" si="6"/>
        <v/>
      </c>
      <c r="I35" s="36" t="str">
        <f t="shared" si="7"/>
        <v/>
      </c>
      <c r="J35" s="37" t="str">
        <f>IFERROR(__xludf.DUMMYFUNCTION("IFERROR(
  IF(C35="""",, 
    IFERROR(
      GOOGLEFINANCE(C35, ""price"") * GOOGLEFINANCE(C35, ""volumeavg""), 
      GOOGLEFINANCE(C35, ""price"") * AVERAGE(QUERY(GOOGLEFINANCE(C35, ""volume"", TODAY()-40, TODAY()), ""SELECT Col2 WHERE Col2 IS NOT NULL "&amp;"ORDER BY Col1 DESC LIMIT 20"", 0))
    )
  ), 
"""")"),"")</f>
        <v/>
      </c>
      <c r="K35" s="21" t="str">
        <f>IFERROR(__xludf.DUMMYFUNCTION("IFERROR(GOOGLEFINANCE(C35, ""changepct"") / 100, """")"),"")</f>
        <v/>
      </c>
      <c r="L35" s="21" t="str">
        <f>IFERROR(__xludf.DUMMYFUNCTION("IFERROR((GOOGLEFINANCE(C35, ""price"") / INDEX(GOOGLEFINANCE(C35, ""price"", TODAY()-7, TODAY()), 2, 2)) - 1, """")"),"")</f>
        <v/>
      </c>
      <c r="M35" s="21" t="str">
        <f>IFERROR(__xludf.DUMMYFUNCTION("IFERROR((GOOGLEFINANCE(C35, ""price"") / INDEX(GOOGLEFINANCE(C35, ""price"", EDATE(TODAY(), -1), TODAY()), 2, 2)) - 1, """")"),"")</f>
        <v/>
      </c>
      <c r="N35" s="21" t="str">
        <f>IFERROR(__xludf.DUMMYFUNCTION("IFERROR((GOOGLEFINANCE(C35, ""price"") / INDEX(GOOGLEFINANCE(C35, ""price"", EDATE(TODAY(), -3), TODAY()), 2, 2)) - 1, """")"),"")</f>
        <v/>
      </c>
      <c r="O35" s="21" t="str">
        <f>IFERROR(__xludf.DUMMYFUNCTION("IFERROR((GOOGLEFINANCE(C35, ""price"") / INDEX(GOOGLEFINANCE(C35, ""price"", EDATE(TODAY(), -6), TODAY()), 2, 2)) - 1, """")"),"")</f>
        <v/>
      </c>
      <c r="P35" s="21" t="str">
        <f>IFERROR(__xludf.DUMMYFUNCTION("IFERROR((GOOGLEFINANCE(C35, ""price"") / INDEX(GOOGLEFINANCE(C35, ""price"", EDATE(TODAY(), -12), TODAY()), 2, 2)) - 1, """")"),"")</f>
        <v/>
      </c>
      <c r="Q35" s="6" t="str">
        <f>IFERROR(__xludf.DUMMYFUNCTION("AVERAGE(QUERY(GOOGLEFINANCE(C35, ""price"", TODAY()-80, TODAY()), ""SELECT Col2 WHERE Col2 IS NOT NULL ORDER BY Col1 DESC LIMIT 50"", 0))"),"#N/A")</f>
        <v>#N/A</v>
      </c>
      <c r="R35" s="24" t="str">
        <f>IFERROR(__xludf.DUMMYFUNCTION("IFERROR(
  LET(
    data, QUERY(GOOGLEFINANCE(C35,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GOOGLEFINANCE(C35, ""price"")) * 100,
    IF(calc=0, G35, calc)
  ), 
G35)"),"#N/A")</f>
        <v>#N/A</v>
      </c>
      <c r="S35" s="8" t="s">
        <v>15</v>
      </c>
      <c r="T35" s="26" t="str">
        <f>IFERROR(__xludf.DUMMYFUNCTION("IFERROR(TRANSPOSE(QUERY(IFERROR(SORT(GOOGLEFINANCE(C35, ""price"", WORKDAY(TODAY(), -40), TODAY()), 1, FALSE)), ""select Col2 where Col2 is not null limit 22 label Col2 ''"", 0)), """")"),"")</f>
        <v/>
      </c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8"/>
      <c r="AO35" s="28"/>
      <c r="AP35" s="29"/>
      <c r="AQ35" s="29" t="str">
        <f t="shared" ref="AQ35:BL35" si="38">T35/T$2</f>
        <v>#N/A</v>
      </c>
      <c r="AR35" s="29" t="str">
        <f t="shared" si="38"/>
        <v>#DIV/0!</v>
      </c>
      <c r="AS35" s="29" t="str">
        <f t="shared" si="38"/>
        <v>#DIV/0!</v>
      </c>
      <c r="AT35" s="29" t="str">
        <f t="shared" si="38"/>
        <v>#DIV/0!</v>
      </c>
      <c r="AU35" s="29" t="str">
        <f t="shared" si="38"/>
        <v>#DIV/0!</v>
      </c>
      <c r="AV35" s="29" t="str">
        <f t="shared" si="38"/>
        <v>#DIV/0!</v>
      </c>
      <c r="AW35" s="29" t="str">
        <f t="shared" si="38"/>
        <v>#DIV/0!</v>
      </c>
      <c r="AX35" s="29" t="str">
        <f t="shared" si="38"/>
        <v>#DIV/0!</v>
      </c>
      <c r="AY35" s="29" t="str">
        <f t="shared" si="38"/>
        <v>#DIV/0!</v>
      </c>
      <c r="AZ35" s="29" t="str">
        <f t="shared" si="38"/>
        <v>#DIV/0!</v>
      </c>
      <c r="BA35" s="29" t="str">
        <f t="shared" si="38"/>
        <v>#DIV/0!</v>
      </c>
      <c r="BB35" s="29" t="str">
        <f t="shared" si="38"/>
        <v>#DIV/0!</v>
      </c>
      <c r="BC35" s="29" t="str">
        <f t="shared" si="38"/>
        <v>#DIV/0!</v>
      </c>
      <c r="BD35" s="29" t="str">
        <f t="shared" si="38"/>
        <v>#DIV/0!</v>
      </c>
      <c r="BE35" s="29" t="str">
        <f t="shared" si="38"/>
        <v>#DIV/0!</v>
      </c>
      <c r="BF35" s="29" t="str">
        <f t="shared" si="38"/>
        <v>#DIV/0!</v>
      </c>
      <c r="BG35" s="29" t="str">
        <f t="shared" si="38"/>
        <v>#DIV/0!</v>
      </c>
      <c r="BH35" s="29" t="str">
        <f t="shared" si="38"/>
        <v>#DIV/0!</v>
      </c>
      <c r="BI35" s="29" t="str">
        <f t="shared" si="38"/>
        <v>#DIV/0!</v>
      </c>
      <c r="BJ35" s="29" t="str">
        <f t="shared" si="38"/>
        <v>#DIV/0!</v>
      </c>
      <c r="BK35" s="29" t="str">
        <f t="shared" si="38"/>
        <v>#DIV/0!</v>
      </c>
      <c r="BL35" s="29" t="str">
        <f t="shared" si="38"/>
        <v>#DIV/0!</v>
      </c>
      <c r="BM35" s="29" t="str">
        <f t="shared" si="3"/>
        <v>#DIV/0!</v>
      </c>
    </row>
    <row r="36">
      <c r="A36" s="16" t="str">
        <f>IFERROR(__xludf.DUMMYFUNCTION("IFERROR(SPARKLINE(SORT(MAP(TRANSPOSE(AQ36:BL36), LAMBDA(val, IF(ISNUMBER(val), PERCENTRANK(AQ36:BL36, val)+0.01, 0))), SEQUENCE(COLUMNS(AQ36:BL36)), FALSE), {""charttype"",""column""; ""color"",""chartreuse""; ""ymin"", 0; ""ymax"", 1.01; ""highcolor"", "&amp;"""darkgreen""; ""lowcolor"", ""red""}), """")"),"")</f>
        <v/>
      </c>
      <c r="B36" s="17" t="str">
        <f t="shared" si="4"/>
        <v/>
      </c>
      <c r="C36" s="1" t="s">
        <v>220</v>
      </c>
      <c r="D36" s="34" t="str">
        <f>IFERROR(__xludf.DUMMYFUNCTION("IFERROR(GOOGLEFINANCE(C36, ""NAME""))"),"Presidio Production Co")</f>
        <v>Presidio Production Co</v>
      </c>
      <c r="E36" s="30" t="s">
        <v>161</v>
      </c>
      <c r="F36" s="33" t="str">
        <f>IFERROR(__xludf.DUMMYFUNCTION("( (GOOGLEFINANCE(C36, ""price"") - Q36) / Q36 ) / (R36 / 100)"),"Loading...")</f>
        <v>Loading...</v>
      </c>
      <c r="G36" s="20" t="str">
        <f>IFERROR(__xludf.DUMMYFUNCTION("AVERAGE(ARRAYFORMULA(100 * (QUERY(GOOGLEFINANCE(C36, ""high"", TODAY()-40, TODAY()), ""SELECT Col2 WHERE Col2 IS NOT NULL ORDER BY Col1 DESC LIMIT 20"", 0) / QUERY(GOOGLEFINANCE(C36, ""low"", TODAY()-40, TODAY()), ""SELECT Col2 WHERE Col2 IS NOT NULL ORDE"&amp;"R BY Col1 DESC LIMIT 20"", 0) - 1)))"),"#N/A")</f>
        <v>#N/A</v>
      </c>
      <c r="H36" s="35" t="str">
        <f t="shared" si="6"/>
        <v/>
      </c>
      <c r="I36" s="36" t="str">
        <f t="shared" si="7"/>
        <v/>
      </c>
      <c r="J36" s="37" t="str">
        <f>IFERROR(__xludf.DUMMYFUNCTION("IFERROR(
  IF(C36="""",, 
    IFERROR(
      GOOGLEFINANCE(C36, ""price"") * GOOGLEFINANCE(C36, ""volumeavg""), 
      GOOGLEFINANCE(C36, ""price"") * AVERAGE(QUERY(GOOGLEFINANCE(C36, ""volume"", TODAY()-40, TODAY()), ""SELECT Col2 WHERE Col2 IS NOT NULL "&amp;"ORDER BY Col1 DESC LIMIT 20"", 0))
    )
  ), 
"""")"),"")</f>
        <v/>
      </c>
      <c r="K36" s="21" t="str">
        <f>IFERROR(__xludf.DUMMYFUNCTION("IFERROR(GOOGLEFINANCE(C36, ""changepct"") / 100, """")"),"")</f>
        <v/>
      </c>
      <c r="L36" s="21" t="str">
        <f>IFERROR(__xludf.DUMMYFUNCTION("IFERROR((GOOGLEFINANCE(C36, ""price"") / INDEX(GOOGLEFINANCE(C36, ""price"", TODAY()-7, TODAY()), 2, 2)) - 1, """")"),"")</f>
        <v/>
      </c>
      <c r="M36" s="21" t="str">
        <f>IFERROR(__xludf.DUMMYFUNCTION("IFERROR((GOOGLEFINANCE(C36, ""price"") / INDEX(GOOGLEFINANCE(C36, ""price"", EDATE(TODAY(), -1), TODAY()), 2, 2)) - 1, """")"),"")</f>
        <v/>
      </c>
      <c r="N36" s="21" t="str">
        <f>IFERROR(__xludf.DUMMYFUNCTION("IFERROR((GOOGLEFINANCE(C36, ""price"") / INDEX(GOOGLEFINANCE(C36, ""price"", EDATE(TODAY(), -3), TODAY()), 2, 2)) - 1, """")"),"")</f>
        <v/>
      </c>
      <c r="O36" s="21" t="str">
        <f>IFERROR(__xludf.DUMMYFUNCTION("IFERROR((GOOGLEFINANCE(C36, ""price"") / INDEX(GOOGLEFINANCE(C36, ""price"", EDATE(TODAY(), -6), TODAY()), 2, 2)) - 1, """")"),"")</f>
        <v/>
      </c>
      <c r="P36" s="21" t="str">
        <f>IFERROR(__xludf.DUMMYFUNCTION("IFERROR((GOOGLEFINANCE(C36, ""price"") / INDEX(GOOGLEFINANCE(C36, ""price"", EDATE(TODAY(), -12), TODAY()), 2, 2)) - 1, """")"),"")</f>
        <v/>
      </c>
      <c r="Q36" s="6" t="str">
        <f>IFERROR(__xludf.DUMMYFUNCTION("AVERAGE(QUERY(GOOGLEFINANCE(C36, ""price"", TODAY()-80, TODAY()), ""SELECT Col2 WHERE Col2 IS NOT NULL ORDER BY Col1 DESC LIMIT 50"", 0))"),"#N/A")</f>
        <v>#N/A</v>
      </c>
      <c r="R36" s="24" t="str">
        <f>IFERROR(__xludf.DUMMYFUNCTION("IFERROR(
  LET(
    data, QUERY(GOOGLEFINANCE(C36,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GOOGLEFINANCE(C36, ""price"")) * 100,
    IF(calc=0, G36, calc)
  ), 
G36)"),"#N/A")</f>
        <v>#N/A</v>
      </c>
      <c r="S36" s="8" t="s">
        <v>15</v>
      </c>
      <c r="T36" s="26" t="str">
        <f>IFERROR(__xludf.DUMMYFUNCTION("IFERROR(TRANSPOSE(QUERY(IFERROR(SORT(GOOGLEFINANCE(C36, ""price"", WORKDAY(TODAY(), -40), TODAY()), 1, FALSE)), ""select Col2 where Col2 is not null limit 22 label Col2 ''"", 0)), """")"),"")</f>
        <v/>
      </c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8"/>
      <c r="AO36" s="28"/>
      <c r="AP36" s="29"/>
      <c r="AQ36" s="29" t="str">
        <f t="shared" ref="AQ36:BL36" si="39">T36/T$2</f>
        <v>#N/A</v>
      </c>
      <c r="AR36" s="29" t="str">
        <f t="shared" si="39"/>
        <v>#DIV/0!</v>
      </c>
      <c r="AS36" s="29" t="str">
        <f t="shared" si="39"/>
        <v>#DIV/0!</v>
      </c>
      <c r="AT36" s="29" t="str">
        <f t="shared" si="39"/>
        <v>#DIV/0!</v>
      </c>
      <c r="AU36" s="29" t="str">
        <f t="shared" si="39"/>
        <v>#DIV/0!</v>
      </c>
      <c r="AV36" s="29" t="str">
        <f t="shared" si="39"/>
        <v>#DIV/0!</v>
      </c>
      <c r="AW36" s="29" t="str">
        <f t="shared" si="39"/>
        <v>#DIV/0!</v>
      </c>
      <c r="AX36" s="29" t="str">
        <f t="shared" si="39"/>
        <v>#DIV/0!</v>
      </c>
      <c r="AY36" s="29" t="str">
        <f t="shared" si="39"/>
        <v>#DIV/0!</v>
      </c>
      <c r="AZ36" s="29" t="str">
        <f t="shared" si="39"/>
        <v>#DIV/0!</v>
      </c>
      <c r="BA36" s="29" t="str">
        <f t="shared" si="39"/>
        <v>#DIV/0!</v>
      </c>
      <c r="BB36" s="29" t="str">
        <f t="shared" si="39"/>
        <v>#DIV/0!</v>
      </c>
      <c r="BC36" s="29" t="str">
        <f t="shared" si="39"/>
        <v>#DIV/0!</v>
      </c>
      <c r="BD36" s="29" t="str">
        <f t="shared" si="39"/>
        <v>#DIV/0!</v>
      </c>
      <c r="BE36" s="29" t="str">
        <f t="shared" si="39"/>
        <v>#DIV/0!</v>
      </c>
      <c r="BF36" s="29" t="str">
        <f t="shared" si="39"/>
        <v>#DIV/0!</v>
      </c>
      <c r="BG36" s="29" t="str">
        <f t="shared" si="39"/>
        <v>#DIV/0!</v>
      </c>
      <c r="BH36" s="29" t="str">
        <f t="shared" si="39"/>
        <v>#DIV/0!</v>
      </c>
      <c r="BI36" s="29" t="str">
        <f t="shared" si="39"/>
        <v>#DIV/0!</v>
      </c>
      <c r="BJ36" s="29" t="str">
        <f t="shared" si="39"/>
        <v>#DIV/0!</v>
      </c>
      <c r="BK36" s="29" t="str">
        <f t="shared" si="39"/>
        <v>#DIV/0!</v>
      </c>
      <c r="BL36" s="29" t="str">
        <f t="shared" si="39"/>
        <v>#DIV/0!</v>
      </c>
      <c r="BM36" s="29" t="str">
        <f t="shared" si="3"/>
        <v>#DIV/0!</v>
      </c>
    </row>
    <row r="37">
      <c r="A37" s="16" t="str">
        <f>IFERROR(__xludf.DUMMYFUNCTION("IFERROR(SPARKLINE(SORT(MAP(TRANSPOSE(AQ37:BL37), LAMBDA(val, IF(ISNUMBER(val), PERCENTRANK(AQ37:BL37, val)+0.01, 0))), SEQUENCE(COLUMNS(AQ37:BL37)), FALSE), {""charttype"",""column""; ""color"",""chartreuse""; ""ymin"", 0; ""ymax"", 1.01; ""highcolor"", "&amp;"""darkgreen""; ""lowcolor"", ""red""}), """")"),"")</f>
        <v/>
      </c>
      <c r="B37" s="17" t="str">
        <f t="shared" si="4"/>
        <v/>
      </c>
      <c r="C37" s="1" t="s">
        <v>223</v>
      </c>
      <c r="D37" s="34" t="str">
        <f>IFERROR(__xludf.DUMMYFUNCTION("IFERROR(GOOGLEFINANCE(C37, ""NAME""))"),"MARA Holdings Inc")</f>
        <v>MARA Holdings Inc</v>
      </c>
      <c r="E37" s="30" t="s">
        <v>77</v>
      </c>
      <c r="F37" s="33" t="str">
        <f>IFERROR(__xludf.DUMMYFUNCTION("( (GOOGLEFINANCE(C37, ""price"") - Q37) / Q37 ) / (R37 / 100)"),"Loading...")</f>
        <v>Loading...</v>
      </c>
      <c r="G37" s="20" t="str">
        <f>IFERROR(__xludf.DUMMYFUNCTION("AVERAGE(ARRAYFORMULA(100 * (QUERY(GOOGLEFINANCE(C37, ""high"", TODAY()-40, TODAY()), ""SELECT Col2 WHERE Col2 IS NOT NULL ORDER BY Col1 DESC LIMIT 20"", 0) / QUERY(GOOGLEFINANCE(C37, ""low"", TODAY()-40, TODAY()), ""SELECT Col2 WHERE Col2 IS NOT NULL ORDE"&amp;"R BY Col1 DESC LIMIT 20"", 0) - 1)))"),"#N/A")</f>
        <v>#N/A</v>
      </c>
      <c r="H37" s="35" t="str">
        <f t="shared" si="6"/>
        <v/>
      </c>
      <c r="I37" s="36" t="str">
        <f t="shared" si="7"/>
        <v/>
      </c>
      <c r="J37" s="37" t="str">
        <f>IFERROR(__xludf.DUMMYFUNCTION("IFERROR(
  IF(C37="""",, 
    IFERROR(
      GOOGLEFINANCE(C37, ""price"") * GOOGLEFINANCE(C37, ""volumeavg""), 
      GOOGLEFINANCE(C37, ""price"") * AVERAGE(QUERY(GOOGLEFINANCE(C37, ""volume"", TODAY()-40, TODAY()), ""SELECT Col2 WHERE Col2 IS NOT NULL "&amp;"ORDER BY Col1 DESC LIMIT 20"", 0))
    )
  ), 
"""")"),"")</f>
        <v/>
      </c>
      <c r="K37" s="21" t="str">
        <f>IFERROR(__xludf.DUMMYFUNCTION("IFERROR(GOOGLEFINANCE(C37, ""changepct"") / 100, """")"),"")</f>
        <v/>
      </c>
      <c r="L37" s="21" t="str">
        <f>IFERROR(__xludf.DUMMYFUNCTION("IFERROR((GOOGLEFINANCE(C37, ""price"") / INDEX(GOOGLEFINANCE(C37, ""price"", TODAY()-7, TODAY()), 2, 2)) - 1, """")"),"")</f>
        <v/>
      </c>
      <c r="M37" s="21" t="str">
        <f>IFERROR(__xludf.DUMMYFUNCTION("IFERROR((GOOGLEFINANCE(C37, ""price"") / INDEX(GOOGLEFINANCE(C37, ""price"", EDATE(TODAY(), -1), TODAY()), 2, 2)) - 1, """")"),"")</f>
        <v/>
      </c>
      <c r="N37" s="21" t="str">
        <f>IFERROR(__xludf.DUMMYFUNCTION("IFERROR((GOOGLEFINANCE(C37, ""price"") / INDEX(GOOGLEFINANCE(C37, ""price"", EDATE(TODAY(), -3), TODAY()), 2, 2)) - 1, """")"),"")</f>
        <v/>
      </c>
      <c r="O37" s="21" t="str">
        <f>IFERROR(__xludf.DUMMYFUNCTION("IFERROR((GOOGLEFINANCE(C37, ""price"") / INDEX(GOOGLEFINANCE(C37, ""price"", EDATE(TODAY(), -6), TODAY()), 2, 2)) - 1, """")"),"")</f>
        <v/>
      </c>
      <c r="P37" s="21" t="str">
        <f>IFERROR(__xludf.DUMMYFUNCTION("IFERROR((GOOGLEFINANCE(C37, ""price"") / INDEX(GOOGLEFINANCE(C37, ""price"", EDATE(TODAY(), -12), TODAY()), 2, 2)) - 1, """")"),"")</f>
        <v/>
      </c>
      <c r="Q37" s="6" t="str">
        <f>IFERROR(__xludf.DUMMYFUNCTION("AVERAGE(QUERY(GOOGLEFINANCE(C37, ""price"", TODAY()-80, TODAY()), ""SELECT Col2 WHERE Col2 IS NOT NULL ORDER BY Col1 DESC LIMIT 50"", 0))"),"#N/A")</f>
        <v>#N/A</v>
      </c>
      <c r="R37" s="24" t="str">
        <f>IFERROR(__xludf.DUMMYFUNCTION("IFERROR(
  LET(
    data, QUERY(GOOGLEFINANCE(C37,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GOOGLEFINANCE(C37, ""price"")) * 100,
    IF(calc=0, G37, calc)
  ), 
G37)"),"#N/A")</f>
        <v>#N/A</v>
      </c>
      <c r="S37" s="8" t="s">
        <v>15</v>
      </c>
      <c r="T37" s="26" t="str">
        <f>IFERROR(__xludf.DUMMYFUNCTION("IFERROR(TRANSPOSE(QUERY(IFERROR(SORT(GOOGLEFINANCE(C37, ""price"", WORKDAY(TODAY(), -40), TODAY()), 1, FALSE)), ""select Col2 where Col2 is not null limit 22 label Col2 ''"", 0)), """")"),"")</f>
        <v/>
      </c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8"/>
      <c r="AO37" s="28"/>
      <c r="AP37" s="29"/>
      <c r="AQ37" s="29" t="str">
        <f t="shared" ref="AQ37:BL37" si="40">T37/T$2</f>
        <v>#N/A</v>
      </c>
      <c r="AR37" s="29" t="str">
        <f t="shared" si="40"/>
        <v>#DIV/0!</v>
      </c>
      <c r="AS37" s="29" t="str">
        <f t="shared" si="40"/>
        <v>#DIV/0!</v>
      </c>
      <c r="AT37" s="29" t="str">
        <f t="shared" si="40"/>
        <v>#DIV/0!</v>
      </c>
      <c r="AU37" s="29" t="str">
        <f t="shared" si="40"/>
        <v>#DIV/0!</v>
      </c>
      <c r="AV37" s="29" t="str">
        <f t="shared" si="40"/>
        <v>#DIV/0!</v>
      </c>
      <c r="AW37" s="29" t="str">
        <f t="shared" si="40"/>
        <v>#DIV/0!</v>
      </c>
      <c r="AX37" s="29" t="str">
        <f t="shared" si="40"/>
        <v>#DIV/0!</v>
      </c>
      <c r="AY37" s="29" t="str">
        <f t="shared" si="40"/>
        <v>#DIV/0!</v>
      </c>
      <c r="AZ37" s="29" t="str">
        <f t="shared" si="40"/>
        <v>#DIV/0!</v>
      </c>
      <c r="BA37" s="29" t="str">
        <f t="shared" si="40"/>
        <v>#DIV/0!</v>
      </c>
      <c r="BB37" s="29" t="str">
        <f t="shared" si="40"/>
        <v>#DIV/0!</v>
      </c>
      <c r="BC37" s="29" t="str">
        <f t="shared" si="40"/>
        <v>#DIV/0!</v>
      </c>
      <c r="BD37" s="29" t="str">
        <f t="shared" si="40"/>
        <v>#DIV/0!</v>
      </c>
      <c r="BE37" s="29" t="str">
        <f t="shared" si="40"/>
        <v>#DIV/0!</v>
      </c>
      <c r="BF37" s="29" t="str">
        <f t="shared" si="40"/>
        <v>#DIV/0!</v>
      </c>
      <c r="BG37" s="29" t="str">
        <f t="shared" si="40"/>
        <v>#DIV/0!</v>
      </c>
      <c r="BH37" s="29" t="str">
        <f t="shared" si="40"/>
        <v>#DIV/0!</v>
      </c>
      <c r="BI37" s="29" t="str">
        <f t="shared" si="40"/>
        <v>#DIV/0!</v>
      </c>
      <c r="BJ37" s="29" t="str">
        <f t="shared" si="40"/>
        <v>#DIV/0!</v>
      </c>
      <c r="BK37" s="29" t="str">
        <f t="shared" si="40"/>
        <v>#DIV/0!</v>
      </c>
      <c r="BL37" s="29" t="str">
        <f t="shared" si="40"/>
        <v>#DIV/0!</v>
      </c>
      <c r="BM37" s="29" t="str">
        <f t="shared" si="3"/>
        <v>#DIV/0!</v>
      </c>
    </row>
    <row r="38">
      <c r="A38" s="16" t="str">
        <f>IFERROR(__xludf.DUMMYFUNCTION("IFERROR(SPARKLINE(SORT(MAP(TRANSPOSE(AQ38:BL38), LAMBDA(val, IF(ISNUMBER(val), PERCENTRANK(AQ38:BL38, val)+0.01, 0))), SEQUENCE(COLUMNS(AQ38:BL38)), FALSE), {""charttype"",""column""; ""color"",""chartreuse""; ""ymin"", 0; ""ymax"", 1.01; ""highcolor"", "&amp;"""darkgreen""; ""lowcolor"", ""red""}), """")"),"")</f>
        <v/>
      </c>
      <c r="B38" s="17" t="str">
        <f t="shared" si="4"/>
        <v/>
      </c>
      <c r="C38" s="1" t="s">
        <v>225</v>
      </c>
      <c r="D38" s="34" t="str">
        <f>IFERROR(__xludf.DUMMYFUNCTION("IFERROR(GOOGLEFINANCE(C38, ""NAME""))"),"EZCORP Inc")</f>
        <v>EZCORP Inc</v>
      </c>
      <c r="E38" s="30" t="s">
        <v>145</v>
      </c>
      <c r="F38" s="33" t="str">
        <f>IFERROR(__xludf.DUMMYFUNCTION("( (GOOGLEFINANCE(C38, ""price"") - Q38) / Q38 ) / (R38 / 100)"),"Loading...")</f>
        <v>Loading...</v>
      </c>
      <c r="G38" s="20" t="str">
        <f>IFERROR(__xludf.DUMMYFUNCTION("AVERAGE(ARRAYFORMULA(100 * (QUERY(GOOGLEFINANCE(C38, ""high"", TODAY()-40, TODAY()), ""SELECT Col2 WHERE Col2 IS NOT NULL ORDER BY Col1 DESC LIMIT 20"", 0) / QUERY(GOOGLEFINANCE(C38, ""low"", TODAY()-40, TODAY()), ""SELECT Col2 WHERE Col2 IS NOT NULL ORDE"&amp;"R BY Col1 DESC LIMIT 20"", 0) - 1)))"),"#N/A")</f>
        <v>#N/A</v>
      </c>
      <c r="H38" s="35" t="str">
        <f t="shared" si="6"/>
        <v/>
      </c>
      <c r="I38" s="36" t="str">
        <f t="shared" si="7"/>
        <v/>
      </c>
      <c r="J38" s="37" t="str">
        <f>IFERROR(__xludf.DUMMYFUNCTION("IFERROR(
  IF(C38="""",, 
    IFERROR(
      GOOGLEFINANCE(C38, ""price"") * GOOGLEFINANCE(C38, ""volumeavg""), 
      GOOGLEFINANCE(C38, ""price"") * AVERAGE(QUERY(GOOGLEFINANCE(C38, ""volume"", TODAY()-40, TODAY()), ""SELECT Col2 WHERE Col2 IS NOT NULL "&amp;"ORDER BY Col1 DESC LIMIT 20"", 0))
    )
  ), 
"""")"),"")</f>
        <v/>
      </c>
      <c r="K38" s="21" t="str">
        <f>IFERROR(__xludf.DUMMYFUNCTION("IFERROR(GOOGLEFINANCE(C38, ""changepct"") / 100, """")"),"")</f>
        <v/>
      </c>
      <c r="L38" s="21" t="str">
        <f>IFERROR(__xludf.DUMMYFUNCTION("IFERROR((GOOGLEFINANCE(C38, ""price"") / INDEX(GOOGLEFINANCE(C38, ""price"", TODAY()-7, TODAY()), 2, 2)) - 1, """")"),"")</f>
        <v/>
      </c>
      <c r="M38" s="21" t="str">
        <f>IFERROR(__xludf.DUMMYFUNCTION("IFERROR((GOOGLEFINANCE(C38, ""price"") / INDEX(GOOGLEFINANCE(C38, ""price"", EDATE(TODAY(), -1), TODAY()), 2, 2)) - 1, """")"),"")</f>
        <v/>
      </c>
      <c r="N38" s="21" t="str">
        <f>IFERROR(__xludf.DUMMYFUNCTION("IFERROR((GOOGLEFINANCE(C38, ""price"") / INDEX(GOOGLEFINANCE(C38, ""price"", EDATE(TODAY(), -3), TODAY()), 2, 2)) - 1, """")"),"")</f>
        <v/>
      </c>
      <c r="O38" s="21" t="str">
        <f>IFERROR(__xludf.DUMMYFUNCTION("IFERROR((GOOGLEFINANCE(C38, ""price"") / INDEX(GOOGLEFINANCE(C38, ""price"", EDATE(TODAY(), -6), TODAY()), 2, 2)) - 1, """")"),"")</f>
        <v/>
      </c>
      <c r="P38" s="21" t="str">
        <f>IFERROR(__xludf.DUMMYFUNCTION("IFERROR((GOOGLEFINANCE(C38, ""price"") / INDEX(GOOGLEFINANCE(C38, ""price"", EDATE(TODAY(), -12), TODAY()), 2, 2)) - 1, """")"),"")</f>
        <v/>
      </c>
      <c r="Q38" s="6" t="str">
        <f>IFERROR(__xludf.DUMMYFUNCTION("AVERAGE(QUERY(GOOGLEFINANCE(C38, ""price"", TODAY()-80, TODAY()), ""SELECT Col2 WHERE Col2 IS NOT NULL ORDER BY Col1 DESC LIMIT 50"", 0))"),"#N/A")</f>
        <v>#N/A</v>
      </c>
      <c r="R38" s="24" t="str">
        <f>IFERROR(__xludf.DUMMYFUNCTION("IFERROR(
  LET(
    data, QUERY(GOOGLEFINANCE(C38,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GOOGLEFINANCE(C38, ""price"")) * 100,
    IF(calc=0, G38, calc)
  ), 
G38)"),"#N/A")</f>
        <v>#N/A</v>
      </c>
      <c r="S38" s="8" t="s">
        <v>15</v>
      </c>
      <c r="T38" s="26" t="str">
        <f>IFERROR(__xludf.DUMMYFUNCTION("IFERROR(TRANSPOSE(QUERY(IFERROR(SORT(GOOGLEFINANCE(C38, ""price"", WORKDAY(TODAY(), -40), TODAY()), 1, FALSE)), ""select Col2 where Col2 is not null limit 22 label Col2 ''"", 0)), """")"),"")</f>
        <v/>
      </c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8"/>
      <c r="AO38" s="28"/>
      <c r="AP38" s="29"/>
      <c r="AQ38" s="29" t="str">
        <f t="shared" ref="AQ38:BL38" si="41">T38/T$2</f>
        <v>#N/A</v>
      </c>
      <c r="AR38" s="29" t="str">
        <f t="shared" si="41"/>
        <v>#DIV/0!</v>
      </c>
      <c r="AS38" s="29" t="str">
        <f t="shared" si="41"/>
        <v>#DIV/0!</v>
      </c>
      <c r="AT38" s="29" t="str">
        <f t="shared" si="41"/>
        <v>#DIV/0!</v>
      </c>
      <c r="AU38" s="29" t="str">
        <f t="shared" si="41"/>
        <v>#DIV/0!</v>
      </c>
      <c r="AV38" s="29" t="str">
        <f t="shared" si="41"/>
        <v>#DIV/0!</v>
      </c>
      <c r="AW38" s="29" t="str">
        <f t="shared" si="41"/>
        <v>#DIV/0!</v>
      </c>
      <c r="AX38" s="29" t="str">
        <f t="shared" si="41"/>
        <v>#DIV/0!</v>
      </c>
      <c r="AY38" s="29" t="str">
        <f t="shared" si="41"/>
        <v>#DIV/0!</v>
      </c>
      <c r="AZ38" s="29" t="str">
        <f t="shared" si="41"/>
        <v>#DIV/0!</v>
      </c>
      <c r="BA38" s="29" t="str">
        <f t="shared" si="41"/>
        <v>#DIV/0!</v>
      </c>
      <c r="BB38" s="29" t="str">
        <f t="shared" si="41"/>
        <v>#DIV/0!</v>
      </c>
      <c r="BC38" s="29" t="str">
        <f t="shared" si="41"/>
        <v>#DIV/0!</v>
      </c>
      <c r="BD38" s="29" t="str">
        <f t="shared" si="41"/>
        <v>#DIV/0!</v>
      </c>
      <c r="BE38" s="29" t="str">
        <f t="shared" si="41"/>
        <v>#DIV/0!</v>
      </c>
      <c r="BF38" s="29" t="str">
        <f t="shared" si="41"/>
        <v>#DIV/0!</v>
      </c>
      <c r="BG38" s="29" t="str">
        <f t="shared" si="41"/>
        <v>#DIV/0!</v>
      </c>
      <c r="BH38" s="29" t="str">
        <f t="shared" si="41"/>
        <v>#DIV/0!</v>
      </c>
      <c r="BI38" s="29" t="str">
        <f t="shared" si="41"/>
        <v>#DIV/0!</v>
      </c>
      <c r="BJ38" s="29" t="str">
        <f t="shared" si="41"/>
        <v>#DIV/0!</v>
      </c>
      <c r="BK38" s="29" t="str">
        <f t="shared" si="41"/>
        <v>#DIV/0!</v>
      </c>
      <c r="BL38" s="29" t="str">
        <f t="shared" si="41"/>
        <v>#DIV/0!</v>
      </c>
      <c r="BM38" s="29" t="str">
        <f t="shared" si="3"/>
        <v>#DIV/0!</v>
      </c>
    </row>
    <row r="39">
      <c r="A39" s="16" t="str">
        <f>IFERROR(__xludf.DUMMYFUNCTION("IFERROR(SPARKLINE(SORT(MAP(TRANSPOSE(AQ39:BL39), LAMBDA(val, IF(ISNUMBER(val), PERCENTRANK(AQ39:BL39, val)+0.01, 0))), SEQUENCE(COLUMNS(AQ39:BL39)), FALSE), {""charttype"",""column""; ""color"",""chartreuse""; ""ymin"", 0; ""ymax"", 1.01; ""highcolor"", "&amp;"""darkgreen""; ""lowcolor"", ""red""}), """")"),"")</f>
        <v/>
      </c>
      <c r="B39" s="17" t="str">
        <f t="shared" si="4"/>
        <v/>
      </c>
      <c r="C39" s="1" t="s">
        <v>230</v>
      </c>
      <c r="D39" s="34" t="str">
        <f>IFERROR(__xludf.DUMMYFUNCTION("IFERROR(GOOGLEFINANCE(C39, ""NAME""))"),"CNO Financial Group Inc")</f>
        <v>CNO Financial Group Inc</v>
      </c>
      <c r="E39" s="30" t="s">
        <v>231</v>
      </c>
      <c r="F39" s="33" t="str">
        <f>IFERROR(__xludf.DUMMYFUNCTION("( (GOOGLEFINANCE(C39, ""price"") - Q39) / Q39 ) / (R39 / 100)"),"Loading...")</f>
        <v>Loading...</v>
      </c>
      <c r="G39" s="20" t="str">
        <f>IFERROR(__xludf.DUMMYFUNCTION("AVERAGE(ARRAYFORMULA(100 * (QUERY(GOOGLEFINANCE(C39, ""high"", TODAY()-40, TODAY()), ""SELECT Col2 WHERE Col2 IS NOT NULL ORDER BY Col1 DESC LIMIT 20"", 0) / QUERY(GOOGLEFINANCE(C39, ""low"", TODAY()-40, TODAY()), ""SELECT Col2 WHERE Col2 IS NOT NULL ORDE"&amp;"R BY Col1 DESC LIMIT 20"", 0) - 1)))"),"#N/A")</f>
        <v>#N/A</v>
      </c>
      <c r="H39" s="35" t="str">
        <f t="shared" si="6"/>
        <v/>
      </c>
      <c r="I39" s="36" t="str">
        <f t="shared" si="7"/>
        <v/>
      </c>
      <c r="J39" s="37" t="str">
        <f>IFERROR(__xludf.DUMMYFUNCTION("IFERROR(
  IF(C39="""",, 
    IFERROR(
      GOOGLEFINANCE(C39, ""price"") * GOOGLEFINANCE(C39, ""volumeavg""), 
      GOOGLEFINANCE(C39, ""price"") * AVERAGE(QUERY(GOOGLEFINANCE(C39, ""volume"", TODAY()-40, TODAY()), ""SELECT Col2 WHERE Col2 IS NOT NULL "&amp;"ORDER BY Col1 DESC LIMIT 20"", 0))
    )
  ), 
"""")"),"")</f>
        <v/>
      </c>
      <c r="K39" s="21" t="str">
        <f>IFERROR(__xludf.DUMMYFUNCTION("IFERROR(GOOGLEFINANCE(C39, ""changepct"") / 100, """")"),"")</f>
        <v/>
      </c>
      <c r="L39" s="21" t="str">
        <f>IFERROR(__xludf.DUMMYFUNCTION("IFERROR((GOOGLEFINANCE(C39, ""price"") / INDEX(GOOGLEFINANCE(C39, ""price"", TODAY()-7, TODAY()), 2, 2)) - 1, """")"),"")</f>
        <v/>
      </c>
      <c r="M39" s="21" t="str">
        <f>IFERROR(__xludf.DUMMYFUNCTION("IFERROR((GOOGLEFINANCE(C39, ""price"") / INDEX(GOOGLEFINANCE(C39, ""price"", EDATE(TODAY(), -1), TODAY()), 2, 2)) - 1, """")"),"")</f>
        <v/>
      </c>
      <c r="N39" s="21" t="str">
        <f>IFERROR(__xludf.DUMMYFUNCTION("IFERROR((GOOGLEFINANCE(C39, ""price"") / INDEX(GOOGLEFINANCE(C39, ""price"", EDATE(TODAY(), -3), TODAY()), 2, 2)) - 1, """")"),"")</f>
        <v/>
      </c>
      <c r="O39" s="21" t="str">
        <f>IFERROR(__xludf.DUMMYFUNCTION("IFERROR((GOOGLEFINANCE(C39, ""price"") / INDEX(GOOGLEFINANCE(C39, ""price"", EDATE(TODAY(), -6), TODAY()), 2, 2)) - 1, """")"),"")</f>
        <v/>
      </c>
      <c r="P39" s="21" t="str">
        <f>IFERROR(__xludf.DUMMYFUNCTION("IFERROR((GOOGLEFINANCE(C39, ""price"") / INDEX(GOOGLEFINANCE(C39, ""price"", EDATE(TODAY(), -12), TODAY()), 2, 2)) - 1, """")"),"")</f>
        <v/>
      </c>
      <c r="Q39" s="6" t="str">
        <f>IFERROR(__xludf.DUMMYFUNCTION("AVERAGE(QUERY(GOOGLEFINANCE(C39, ""price"", TODAY()-80, TODAY()), ""SELECT Col2 WHERE Col2 IS NOT NULL ORDER BY Col1 DESC LIMIT 50"", 0))"),"#N/A")</f>
        <v>#N/A</v>
      </c>
      <c r="R39" s="24" t="str">
        <f>IFERROR(__xludf.DUMMYFUNCTION("IFERROR(
  LET(
    data, QUERY(GOOGLEFINANCE(C39,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GOOGLEFINANCE(C39, ""price"")) * 100,
    IF(calc=0, G39, calc)
  ), 
G39)"),"#N/A")</f>
        <v>#N/A</v>
      </c>
      <c r="S39" s="8" t="s">
        <v>15</v>
      </c>
      <c r="T39" s="26" t="str">
        <f>IFERROR(__xludf.DUMMYFUNCTION("IFERROR(TRANSPOSE(QUERY(IFERROR(SORT(GOOGLEFINANCE(C39, ""price"", WORKDAY(TODAY(), -40), TODAY()), 1, FALSE)), ""select Col2 where Col2 is not null limit 22 label Col2 ''"", 0)), """")"),"")</f>
        <v/>
      </c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8"/>
      <c r="AO39" s="28"/>
      <c r="AP39" s="29"/>
      <c r="AQ39" s="29" t="str">
        <f t="shared" ref="AQ39:BL39" si="42">T39/T$2</f>
        <v>#N/A</v>
      </c>
      <c r="AR39" s="29" t="str">
        <f t="shared" si="42"/>
        <v>#DIV/0!</v>
      </c>
      <c r="AS39" s="29" t="str">
        <f t="shared" si="42"/>
        <v>#DIV/0!</v>
      </c>
      <c r="AT39" s="29" t="str">
        <f t="shared" si="42"/>
        <v>#DIV/0!</v>
      </c>
      <c r="AU39" s="29" t="str">
        <f t="shared" si="42"/>
        <v>#DIV/0!</v>
      </c>
      <c r="AV39" s="29" t="str">
        <f t="shared" si="42"/>
        <v>#DIV/0!</v>
      </c>
      <c r="AW39" s="29" t="str">
        <f t="shared" si="42"/>
        <v>#DIV/0!</v>
      </c>
      <c r="AX39" s="29" t="str">
        <f t="shared" si="42"/>
        <v>#DIV/0!</v>
      </c>
      <c r="AY39" s="29" t="str">
        <f t="shared" si="42"/>
        <v>#DIV/0!</v>
      </c>
      <c r="AZ39" s="29" t="str">
        <f t="shared" si="42"/>
        <v>#DIV/0!</v>
      </c>
      <c r="BA39" s="29" t="str">
        <f t="shared" si="42"/>
        <v>#DIV/0!</v>
      </c>
      <c r="BB39" s="29" t="str">
        <f t="shared" si="42"/>
        <v>#DIV/0!</v>
      </c>
      <c r="BC39" s="29" t="str">
        <f t="shared" si="42"/>
        <v>#DIV/0!</v>
      </c>
      <c r="BD39" s="29" t="str">
        <f t="shared" si="42"/>
        <v>#DIV/0!</v>
      </c>
      <c r="BE39" s="29" t="str">
        <f t="shared" si="42"/>
        <v>#DIV/0!</v>
      </c>
      <c r="BF39" s="29" t="str">
        <f t="shared" si="42"/>
        <v>#DIV/0!</v>
      </c>
      <c r="BG39" s="29" t="str">
        <f t="shared" si="42"/>
        <v>#DIV/0!</v>
      </c>
      <c r="BH39" s="29" t="str">
        <f t="shared" si="42"/>
        <v>#DIV/0!</v>
      </c>
      <c r="BI39" s="29" t="str">
        <f t="shared" si="42"/>
        <v>#DIV/0!</v>
      </c>
      <c r="BJ39" s="29" t="str">
        <f t="shared" si="42"/>
        <v>#DIV/0!</v>
      </c>
      <c r="BK39" s="29" t="str">
        <f t="shared" si="42"/>
        <v>#DIV/0!</v>
      </c>
      <c r="BL39" s="29" t="str">
        <f t="shared" si="42"/>
        <v>#DIV/0!</v>
      </c>
      <c r="BM39" s="29" t="str">
        <f t="shared" si="3"/>
        <v>#DIV/0!</v>
      </c>
    </row>
    <row r="40">
      <c r="A40" s="16" t="str">
        <f>IFERROR(__xludf.DUMMYFUNCTION("IFERROR(SPARKLINE(SORT(MAP(TRANSPOSE(AQ40:BL40), LAMBDA(val, IF(ISNUMBER(val), PERCENTRANK(AQ40:BL40, val)+0.01, 0))), SEQUENCE(COLUMNS(AQ40:BL40)), FALSE), {""charttype"",""column""; ""color"",""chartreuse""; ""ymin"", 0; ""ymax"", 1.01; ""highcolor"", "&amp;"""darkgreen""; ""lowcolor"", ""red""}), """")"),"")</f>
        <v/>
      </c>
      <c r="B40" s="17" t="str">
        <f t="shared" si="4"/>
        <v/>
      </c>
      <c r="C40" s="1" t="s">
        <v>235</v>
      </c>
      <c r="D40" s="34" t="str">
        <f>IFERROR(__xludf.DUMMYFUNCTION("IFERROR(GOOGLEFINANCE(C40, ""NAME""))"),"Sumitomo Mitsui Financial Grp, Inc")</f>
        <v>Sumitomo Mitsui Financial Grp, Inc</v>
      </c>
      <c r="E40" s="30" t="s">
        <v>236</v>
      </c>
      <c r="F40" s="33" t="str">
        <f>IFERROR(__xludf.DUMMYFUNCTION("( (GOOGLEFINANCE(C40, ""price"") - Q40) / Q40 ) / (R40 / 100)"),"Loading...")</f>
        <v>Loading...</v>
      </c>
      <c r="G40" s="20" t="str">
        <f>IFERROR(__xludf.DUMMYFUNCTION("AVERAGE(ARRAYFORMULA(100 * (QUERY(GOOGLEFINANCE(C40, ""high"", TODAY()-40, TODAY()), ""SELECT Col2 WHERE Col2 IS NOT NULL ORDER BY Col1 DESC LIMIT 20"", 0) / QUERY(GOOGLEFINANCE(C40, ""low"", TODAY()-40, TODAY()), ""SELECT Col2 WHERE Col2 IS NOT NULL ORDE"&amp;"R BY Col1 DESC LIMIT 20"", 0) - 1)))"),"#N/A")</f>
        <v>#N/A</v>
      </c>
      <c r="H40" s="35" t="str">
        <f t="shared" si="6"/>
        <v/>
      </c>
      <c r="I40" s="36" t="str">
        <f t="shared" si="7"/>
        <v/>
      </c>
      <c r="J40" s="37" t="str">
        <f>IFERROR(__xludf.DUMMYFUNCTION("IFERROR(
  IF(C40="""",, 
    IFERROR(
      GOOGLEFINANCE(C40, ""price"") * GOOGLEFINANCE(C40, ""volumeavg""), 
      GOOGLEFINANCE(C40, ""price"") * AVERAGE(QUERY(GOOGLEFINANCE(C40, ""volume"", TODAY()-40, TODAY()), ""SELECT Col2 WHERE Col2 IS NOT NULL "&amp;"ORDER BY Col1 DESC LIMIT 20"", 0))
    )
  ), 
"""")"),"")</f>
        <v/>
      </c>
      <c r="K40" s="21" t="str">
        <f>IFERROR(__xludf.DUMMYFUNCTION("IFERROR(GOOGLEFINANCE(C40, ""changepct"") / 100, """")"),"")</f>
        <v/>
      </c>
      <c r="L40" s="21" t="str">
        <f>IFERROR(__xludf.DUMMYFUNCTION("IFERROR((GOOGLEFINANCE(C40, ""price"") / INDEX(GOOGLEFINANCE(C40, ""price"", TODAY()-7, TODAY()), 2, 2)) - 1, """")"),"")</f>
        <v/>
      </c>
      <c r="M40" s="21" t="str">
        <f>IFERROR(__xludf.DUMMYFUNCTION("IFERROR((GOOGLEFINANCE(C40, ""price"") / INDEX(GOOGLEFINANCE(C40, ""price"", EDATE(TODAY(), -1), TODAY()), 2, 2)) - 1, """")"),"")</f>
        <v/>
      </c>
      <c r="N40" s="21" t="str">
        <f>IFERROR(__xludf.DUMMYFUNCTION("IFERROR((GOOGLEFINANCE(C40, ""price"") / INDEX(GOOGLEFINANCE(C40, ""price"", EDATE(TODAY(), -3), TODAY()), 2, 2)) - 1, """")"),"")</f>
        <v/>
      </c>
      <c r="O40" s="21" t="str">
        <f>IFERROR(__xludf.DUMMYFUNCTION("IFERROR((GOOGLEFINANCE(C40, ""price"") / INDEX(GOOGLEFINANCE(C40, ""price"", EDATE(TODAY(), -6), TODAY()), 2, 2)) - 1, """")"),"")</f>
        <v/>
      </c>
      <c r="P40" s="21" t="str">
        <f>IFERROR(__xludf.DUMMYFUNCTION("IFERROR((GOOGLEFINANCE(C40, ""price"") / INDEX(GOOGLEFINANCE(C40, ""price"", EDATE(TODAY(), -12), TODAY()), 2, 2)) - 1, """")"),"")</f>
        <v/>
      </c>
      <c r="Q40" s="6" t="str">
        <f>IFERROR(__xludf.DUMMYFUNCTION("AVERAGE(QUERY(GOOGLEFINANCE(C40, ""price"", TODAY()-80, TODAY()), ""SELECT Col2 WHERE Col2 IS NOT NULL ORDER BY Col1 DESC LIMIT 50"", 0))"),"#N/A")</f>
        <v>#N/A</v>
      </c>
      <c r="R40" s="24" t="str">
        <f>IFERROR(__xludf.DUMMYFUNCTION("IFERROR(
  LET(
    data, QUERY(GOOGLEFINANCE(C40,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GOOGLEFINANCE(C40, ""price"")) * 100,
    IF(calc=0, G40, calc)
  ), 
G40)"),"#N/A")</f>
        <v>#N/A</v>
      </c>
      <c r="S40" s="8" t="s">
        <v>15</v>
      </c>
      <c r="T40" s="26" t="str">
        <f>IFERROR(__xludf.DUMMYFUNCTION("IFERROR(TRANSPOSE(QUERY(IFERROR(SORT(GOOGLEFINANCE(C40, ""price"", WORKDAY(TODAY(), -40), TODAY()), 1, FALSE)), ""select Col2 where Col2 is not null limit 22 label Col2 ''"", 0)), """")"),"")</f>
        <v/>
      </c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8"/>
      <c r="AO40" s="28"/>
      <c r="AP40" s="29"/>
      <c r="AQ40" s="29" t="str">
        <f t="shared" ref="AQ40:BL40" si="43">T40/T$2</f>
        <v>#N/A</v>
      </c>
      <c r="AR40" s="29" t="str">
        <f t="shared" si="43"/>
        <v>#DIV/0!</v>
      </c>
      <c r="AS40" s="29" t="str">
        <f t="shared" si="43"/>
        <v>#DIV/0!</v>
      </c>
      <c r="AT40" s="29" t="str">
        <f t="shared" si="43"/>
        <v>#DIV/0!</v>
      </c>
      <c r="AU40" s="29" t="str">
        <f t="shared" si="43"/>
        <v>#DIV/0!</v>
      </c>
      <c r="AV40" s="29" t="str">
        <f t="shared" si="43"/>
        <v>#DIV/0!</v>
      </c>
      <c r="AW40" s="29" t="str">
        <f t="shared" si="43"/>
        <v>#DIV/0!</v>
      </c>
      <c r="AX40" s="29" t="str">
        <f t="shared" si="43"/>
        <v>#DIV/0!</v>
      </c>
      <c r="AY40" s="29" t="str">
        <f t="shared" si="43"/>
        <v>#DIV/0!</v>
      </c>
      <c r="AZ40" s="29" t="str">
        <f t="shared" si="43"/>
        <v>#DIV/0!</v>
      </c>
      <c r="BA40" s="29" t="str">
        <f t="shared" si="43"/>
        <v>#DIV/0!</v>
      </c>
      <c r="BB40" s="29" t="str">
        <f t="shared" si="43"/>
        <v>#DIV/0!</v>
      </c>
      <c r="BC40" s="29" t="str">
        <f t="shared" si="43"/>
        <v>#DIV/0!</v>
      </c>
      <c r="BD40" s="29" t="str">
        <f t="shared" si="43"/>
        <v>#DIV/0!</v>
      </c>
      <c r="BE40" s="29" t="str">
        <f t="shared" si="43"/>
        <v>#DIV/0!</v>
      </c>
      <c r="BF40" s="29" t="str">
        <f t="shared" si="43"/>
        <v>#DIV/0!</v>
      </c>
      <c r="BG40" s="29" t="str">
        <f t="shared" si="43"/>
        <v>#DIV/0!</v>
      </c>
      <c r="BH40" s="29" t="str">
        <f t="shared" si="43"/>
        <v>#DIV/0!</v>
      </c>
      <c r="BI40" s="29" t="str">
        <f t="shared" si="43"/>
        <v>#DIV/0!</v>
      </c>
      <c r="BJ40" s="29" t="str">
        <f t="shared" si="43"/>
        <v>#DIV/0!</v>
      </c>
      <c r="BK40" s="29" t="str">
        <f t="shared" si="43"/>
        <v>#DIV/0!</v>
      </c>
      <c r="BL40" s="29" t="str">
        <f t="shared" si="43"/>
        <v>#DIV/0!</v>
      </c>
      <c r="BM40" s="29" t="str">
        <f t="shared" si="3"/>
        <v>#DIV/0!</v>
      </c>
    </row>
    <row r="41">
      <c r="A41" s="16" t="str">
        <f>IFERROR(__xludf.DUMMYFUNCTION("IFERROR(SPARKLINE(SORT(MAP(TRANSPOSE(AQ41:BL41), LAMBDA(val, IF(ISNUMBER(val), PERCENTRANK(AQ41:BL41, val)+0.01, 0))), SEQUENCE(COLUMNS(AQ41:BL41)), FALSE), {""charttype"",""column""; ""color"",""chartreuse""; ""ymin"", 0; ""ymax"", 1.01; ""highcolor"", "&amp;"""darkgreen""; ""lowcolor"", ""red""}), """")"),"")</f>
        <v/>
      </c>
      <c r="B41" s="17" t="str">
        <f t="shared" si="4"/>
        <v/>
      </c>
      <c r="C41" s="1" t="s">
        <v>239</v>
      </c>
      <c r="D41" s="34" t="str">
        <f>IFERROR(__xludf.DUMMYFUNCTION("IFERROR(GOOGLEFINANCE(C41, ""NAME""))"),"Sprott Physical Gold and Silver Trust")</f>
        <v>Sprott Physical Gold and Silver Trust</v>
      </c>
      <c r="E41" s="30" t="s">
        <v>64</v>
      </c>
      <c r="F41" s="33" t="str">
        <f>IFERROR(__xludf.DUMMYFUNCTION("( (GOOGLEFINANCE(C41, ""price"") - Q41) / Q41 ) / (R41 / 100)"),"Loading...")</f>
        <v>Loading...</v>
      </c>
      <c r="G41" s="20" t="str">
        <f>IFERROR(__xludf.DUMMYFUNCTION("AVERAGE(ARRAYFORMULA(100 * (QUERY(GOOGLEFINANCE(C41, ""high"", TODAY()-40, TODAY()), ""SELECT Col2 WHERE Col2 IS NOT NULL ORDER BY Col1 DESC LIMIT 20"", 0) / QUERY(GOOGLEFINANCE(C41, ""low"", TODAY()-40, TODAY()), ""SELECT Col2 WHERE Col2 IS NOT NULL ORDE"&amp;"R BY Col1 DESC LIMIT 20"", 0) - 1)))"),"#N/A")</f>
        <v>#N/A</v>
      </c>
      <c r="H41" s="35" t="str">
        <f t="shared" si="6"/>
        <v/>
      </c>
      <c r="I41" s="36" t="str">
        <f t="shared" si="7"/>
        <v/>
      </c>
      <c r="J41" s="37" t="str">
        <f>IFERROR(__xludf.DUMMYFUNCTION("IFERROR(
  IF(C41="""",, 
    IFERROR(
      GOOGLEFINANCE(C41, ""price"") * GOOGLEFINANCE(C41, ""volumeavg""), 
      GOOGLEFINANCE(C41, ""price"") * AVERAGE(QUERY(GOOGLEFINANCE(C41, ""volume"", TODAY()-40, TODAY()), ""SELECT Col2 WHERE Col2 IS NOT NULL "&amp;"ORDER BY Col1 DESC LIMIT 20"", 0))
    )
  ), 
"""")"),"")</f>
        <v/>
      </c>
      <c r="K41" s="21" t="str">
        <f>IFERROR(__xludf.DUMMYFUNCTION("IFERROR(GOOGLEFINANCE(C41, ""changepct"") / 100, """")"),"")</f>
        <v/>
      </c>
      <c r="L41" s="21" t="str">
        <f>IFERROR(__xludf.DUMMYFUNCTION("IFERROR((GOOGLEFINANCE(C41, ""price"") / INDEX(GOOGLEFINANCE(C41, ""price"", TODAY()-7, TODAY()), 2, 2)) - 1, """")"),"")</f>
        <v/>
      </c>
      <c r="M41" s="21" t="str">
        <f>IFERROR(__xludf.DUMMYFUNCTION("IFERROR((GOOGLEFINANCE(C41, ""price"") / INDEX(GOOGLEFINANCE(C41, ""price"", EDATE(TODAY(), -1), TODAY()), 2, 2)) - 1, """")"),"")</f>
        <v/>
      </c>
      <c r="N41" s="21" t="str">
        <f>IFERROR(__xludf.DUMMYFUNCTION("IFERROR((GOOGLEFINANCE(C41, ""price"") / INDEX(GOOGLEFINANCE(C41, ""price"", EDATE(TODAY(), -3), TODAY()), 2, 2)) - 1, """")"),"")</f>
        <v/>
      </c>
      <c r="O41" s="21" t="str">
        <f>IFERROR(__xludf.DUMMYFUNCTION("IFERROR((GOOGLEFINANCE(C41, ""price"") / INDEX(GOOGLEFINANCE(C41, ""price"", EDATE(TODAY(), -6), TODAY()), 2, 2)) - 1, """")"),"")</f>
        <v/>
      </c>
      <c r="P41" s="21" t="str">
        <f>IFERROR(__xludf.DUMMYFUNCTION("IFERROR((GOOGLEFINANCE(C41, ""price"") / INDEX(GOOGLEFINANCE(C41, ""price"", EDATE(TODAY(), -12), TODAY()), 2, 2)) - 1, """")"),"")</f>
        <v/>
      </c>
      <c r="Q41" s="6" t="str">
        <f>IFERROR(__xludf.DUMMYFUNCTION("AVERAGE(QUERY(GOOGLEFINANCE(C41, ""price"", TODAY()-80, TODAY()), ""SELECT Col2 WHERE Col2 IS NOT NULL ORDER BY Col1 DESC LIMIT 50"", 0))"),"#N/A")</f>
        <v>#N/A</v>
      </c>
      <c r="R41" s="24" t="str">
        <f>IFERROR(__xludf.DUMMYFUNCTION("IFERROR(
  LET(
    data, QUERY(GOOGLEFINANCE(C41,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GOOGLEFINANCE(C41, ""price"")) * 100,
    IF(calc=0, G41, calc)
  ), 
G41)"),"#N/A")</f>
        <v>#N/A</v>
      </c>
      <c r="S41" s="8" t="s">
        <v>15</v>
      </c>
      <c r="T41" s="26" t="str">
        <f>IFERROR(__xludf.DUMMYFUNCTION("IFERROR(TRANSPOSE(QUERY(IFERROR(SORT(GOOGLEFINANCE(C41, ""price"", WORKDAY(TODAY(), -40), TODAY()), 1, FALSE)), ""select Col2 where Col2 is not null limit 22 label Col2 ''"", 0)), """")"),"")</f>
        <v/>
      </c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8"/>
      <c r="AO41" s="28"/>
      <c r="AP41" s="29"/>
      <c r="AQ41" s="29" t="str">
        <f t="shared" ref="AQ41:BL41" si="44">T41/T$2</f>
        <v>#N/A</v>
      </c>
      <c r="AR41" s="29" t="str">
        <f t="shared" si="44"/>
        <v>#DIV/0!</v>
      </c>
      <c r="AS41" s="29" t="str">
        <f t="shared" si="44"/>
        <v>#DIV/0!</v>
      </c>
      <c r="AT41" s="29" t="str">
        <f t="shared" si="44"/>
        <v>#DIV/0!</v>
      </c>
      <c r="AU41" s="29" t="str">
        <f t="shared" si="44"/>
        <v>#DIV/0!</v>
      </c>
      <c r="AV41" s="29" t="str">
        <f t="shared" si="44"/>
        <v>#DIV/0!</v>
      </c>
      <c r="AW41" s="29" t="str">
        <f t="shared" si="44"/>
        <v>#DIV/0!</v>
      </c>
      <c r="AX41" s="29" t="str">
        <f t="shared" si="44"/>
        <v>#DIV/0!</v>
      </c>
      <c r="AY41" s="29" t="str">
        <f t="shared" si="44"/>
        <v>#DIV/0!</v>
      </c>
      <c r="AZ41" s="29" t="str">
        <f t="shared" si="44"/>
        <v>#DIV/0!</v>
      </c>
      <c r="BA41" s="29" t="str">
        <f t="shared" si="44"/>
        <v>#DIV/0!</v>
      </c>
      <c r="BB41" s="29" t="str">
        <f t="shared" si="44"/>
        <v>#DIV/0!</v>
      </c>
      <c r="BC41" s="29" t="str">
        <f t="shared" si="44"/>
        <v>#DIV/0!</v>
      </c>
      <c r="BD41" s="29" t="str">
        <f t="shared" si="44"/>
        <v>#DIV/0!</v>
      </c>
      <c r="BE41" s="29" t="str">
        <f t="shared" si="44"/>
        <v>#DIV/0!</v>
      </c>
      <c r="BF41" s="29" t="str">
        <f t="shared" si="44"/>
        <v>#DIV/0!</v>
      </c>
      <c r="BG41" s="29" t="str">
        <f t="shared" si="44"/>
        <v>#DIV/0!</v>
      </c>
      <c r="BH41" s="29" t="str">
        <f t="shared" si="44"/>
        <v>#DIV/0!</v>
      </c>
      <c r="BI41" s="29" t="str">
        <f t="shared" si="44"/>
        <v>#DIV/0!</v>
      </c>
      <c r="BJ41" s="29" t="str">
        <f t="shared" si="44"/>
        <v>#DIV/0!</v>
      </c>
      <c r="BK41" s="29" t="str">
        <f t="shared" si="44"/>
        <v>#DIV/0!</v>
      </c>
      <c r="BL41" s="29" t="str">
        <f t="shared" si="44"/>
        <v>#DIV/0!</v>
      </c>
      <c r="BM41" s="29" t="str">
        <f t="shared" si="3"/>
        <v>#DIV/0!</v>
      </c>
    </row>
    <row r="42">
      <c r="A42" s="16" t="str">
        <f>IFERROR(__xludf.DUMMYFUNCTION("IFERROR(SPARKLINE(SORT(MAP(TRANSPOSE(AQ42:BL42), LAMBDA(val, IF(ISNUMBER(val), PERCENTRANK(AQ42:BL42, val)+0.01, 0))), SEQUENCE(COLUMNS(AQ42:BL42)), FALSE), {""charttype"",""column""; ""color"",""chartreuse""; ""ymin"", 0; ""ymax"", 1.01; ""highcolor"", "&amp;"""darkgreen""; ""lowcolor"", ""red""}), """")"),"")</f>
        <v/>
      </c>
      <c r="B42" s="17" t="str">
        <f t="shared" si="4"/>
        <v/>
      </c>
      <c r="C42" s="1" t="s">
        <v>242</v>
      </c>
      <c r="D42" s="34" t="str">
        <f>IFERROR(__xludf.DUMMYFUNCTION("IFERROR(GOOGLEFINANCE(C42, ""NAME""))"),"Hanover Insurance Group Inc")</f>
        <v>Hanover Insurance Group Inc</v>
      </c>
      <c r="E42" s="30" t="s">
        <v>82</v>
      </c>
      <c r="F42" s="33" t="str">
        <f>IFERROR(__xludf.DUMMYFUNCTION("( (GOOGLEFINANCE(C42, ""price"") - Q42) / Q42 ) / (R42 / 100)"),"Loading...")</f>
        <v>Loading...</v>
      </c>
      <c r="G42" s="20" t="str">
        <f>IFERROR(__xludf.DUMMYFUNCTION("AVERAGE(ARRAYFORMULA(100 * (QUERY(GOOGLEFINANCE(C42, ""high"", TODAY()-40, TODAY()), ""SELECT Col2 WHERE Col2 IS NOT NULL ORDER BY Col1 DESC LIMIT 20"", 0) / QUERY(GOOGLEFINANCE(C42, ""low"", TODAY()-40, TODAY()), ""SELECT Col2 WHERE Col2 IS NOT NULL ORDE"&amp;"R BY Col1 DESC LIMIT 20"", 0) - 1)))"),"#N/A")</f>
        <v>#N/A</v>
      </c>
      <c r="H42" s="35" t="str">
        <f t="shared" si="6"/>
        <v/>
      </c>
      <c r="I42" s="36" t="str">
        <f t="shared" si="7"/>
        <v/>
      </c>
      <c r="J42" s="37" t="str">
        <f>IFERROR(__xludf.DUMMYFUNCTION("IFERROR(
  IF(C42="""",, 
    IFERROR(
      GOOGLEFINANCE(C42, ""price"") * GOOGLEFINANCE(C42, ""volumeavg""), 
      GOOGLEFINANCE(C42, ""price"") * AVERAGE(QUERY(GOOGLEFINANCE(C42, ""volume"", TODAY()-40, TODAY()), ""SELECT Col2 WHERE Col2 IS NOT NULL "&amp;"ORDER BY Col1 DESC LIMIT 20"", 0))
    )
  ), 
"""")"),"")</f>
        <v/>
      </c>
      <c r="K42" s="21" t="str">
        <f>IFERROR(__xludf.DUMMYFUNCTION("IFERROR(GOOGLEFINANCE(C42, ""changepct"") / 100, """")"),"")</f>
        <v/>
      </c>
      <c r="L42" s="21" t="str">
        <f>IFERROR(__xludf.DUMMYFUNCTION("IFERROR((GOOGLEFINANCE(C42, ""price"") / INDEX(GOOGLEFINANCE(C42, ""price"", TODAY()-7, TODAY()), 2, 2)) - 1, """")"),"")</f>
        <v/>
      </c>
      <c r="M42" s="21" t="str">
        <f>IFERROR(__xludf.DUMMYFUNCTION("IFERROR((GOOGLEFINANCE(C42, ""price"") / INDEX(GOOGLEFINANCE(C42, ""price"", EDATE(TODAY(), -1), TODAY()), 2, 2)) - 1, """")"),"")</f>
        <v/>
      </c>
      <c r="N42" s="21" t="str">
        <f>IFERROR(__xludf.DUMMYFUNCTION("IFERROR((GOOGLEFINANCE(C42, ""price"") / INDEX(GOOGLEFINANCE(C42, ""price"", EDATE(TODAY(), -3), TODAY()), 2, 2)) - 1, """")"),"")</f>
        <v/>
      </c>
      <c r="O42" s="21" t="str">
        <f>IFERROR(__xludf.DUMMYFUNCTION("IFERROR((GOOGLEFINANCE(C42, ""price"") / INDEX(GOOGLEFINANCE(C42, ""price"", EDATE(TODAY(), -6), TODAY()), 2, 2)) - 1, """")"),"")</f>
        <v/>
      </c>
      <c r="P42" s="21" t="str">
        <f>IFERROR(__xludf.DUMMYFUNCTION("IFERROR((GOOGLEFINANCE(C42, ""price"") / INDEX(GOOGLEFINANCE(C42, ""price"", EDATE(TODAY(), -12), TODAY()), 2, 2)) - 1, """")"),"")</f>
        <v/>
      </c>
      <c r="Q42" s="6" t="str">
        <f>IFERROR(__xludf.DUMMYFUNCTION("AVERAGE(QUERY(GOOGLEFINANCE(C42, ""price"", TODAY()-80, TODAY()), ""SELECT Col2 WHERE Col2 IS NOT NULL ORDER BY Col1 DESC LIMIT 50"", 0))"),"#N/A")</f>
        <v>#N/A</v>
      </c>
      <c r="R42" s="24" t="str">
        <f>IFERROR(__xludf.DUMMYFUNCTION("IFERROR(
  LET(
    data, QUERY(GOOGLEFINANCE(C42,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GOOGLEFINANCE(C42, ""price"")) * 100,
    IF(calc=0, G42, calc)
  ), 
G42)"),"#N/A")</f>
        <v>#N/A</v>
      </c>
      <c r="S42" s="8" t="s">
        <v>15</v>
      </c>
      <c r="T42" s="26" t="str">
        <f>IFERROR(__xludf.DUMMYFUNCTION("IFERROR(TRANSPOSE(QUERY(IFERROR(SORT(GOOGLEFINANCE(C42, ""price"", WORKDAY(TODAY(), -40), TODAY()), 1, FALSE)), ""select Col2 where Col2 is not null limit 22 label Col2 ''"", 0)), """")"),"")</f>
        <v/>
      </c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8"/>
      <c r="AO42" s="28"/>
      <c r="AP42" s="29"/>
      <c r="AQ42" s="29" t="str">
        <f t="shared" ref="AQ42:BL42" si="45">T42/T$2</f>
        <v>#N/A</v>
      </c>
      <c r="AR42" s="29" t="str">
        <f t="shared" si="45"/>
        <v>#DIV/0!</v>
      </c>
      <c r="AS42" s="29" t="str">
        <f t="shared" si="45"/>
        <v>#DIV/0!</v>
      </c>
      <c r="AT42" s="29" t="str">
        <f t="shared" si="45"/>
        <v>#DIV/0!</v>
      </c>
      <c r="AU42" s="29" t="str">
        <f t="shared" si="45"/>
        <v>#DIV/0!</v>
      </c>
      <c r="AV42" s="29" t="str">
        <f t="shared" si="45"/>
        <v>#DIV/0!</v>
      </c>
      <c r="AW42" s="29" t="str">
        <f t="shared" si="45"/>
        <v>#DIV/0!</v>
      </c>
      <c r="AX42" s="29" t="str">
        <f t="shared" si="45"/>
        <v>#DIV/0!</v>
      </c>
      <c r="AY42" s="29" t="str">
        <f t="shared" si="45"/>
        <v>#DIV/0!</v>
      </c>
      <c r="AZ42" s="29" t="str">
        <f t="shared" si="45"/>
        <v>#DIV/0!</v>
      </c>
      <c r="BA42" s="29" t="str">
        <f t="shared" si="45"/>
        <v>#DIV/0!</v>
      </c>
      <c r="BB42" s="29" t="str">
        <f t="shared" si="45"/>
        <v>#DIV/0!</v>
      </c>
      <c r="BC42" s="29" t="str">
        <f t="shared" si="45"/>
        <v>#DIV/0!</v>
      </c>
      <c r="BD42" s="29" t="str">
        <f t="shared" si="45"/>
        <v>#DIV/0!</v>
      </c>
      <c r="BE42" s="29" t="str">
        <f t="shared" si="45"/>
        <v>#DIV/0!</v>
      </c>
      <c r="BF42" s="29" t="str">
        <f t="shared" si="45"/>
        <v>#DIV/0!</v>
      </c>
      <c r="BG42" s="29" t="str">
        <f t="shared" si="45"/>
        <v>#DIV/0!</v>
      </c>
      <c r="BH42" s="29" t="str">
        <f t="shared" si="45"/>
        <v>#DIV/0!</v>
      </c>
      <c r="BI42" s="29" t="str">
        <f t="shared" si="45"/>
        <v>#DIV/0!</v>
      </c>
      <c r="BJ42" s="29" t="str">
        <f t="shared" si="45"/>
        <v>#DIV/0!</v>
      </c>
      <c r="BK42" s="29" t="str">
        <f t="shared" si="45"/>
        <v>#DIV/0!</v>
      </c>
      <c r="BL42" s="29" t="str">
        <f t="shared" si="45"/>
        <v>#DIV/0!</v>
      </c>
      <c r="BM42" s="29" t="str">
        <f t="shared" si="3"/>
        <v>#DIV/0!</v>
      </c>
    </row>
    <row r="43">
      <c r="A43" s="16" t="str">
        <f>IFERROR(__xludf.DUMMYFUNCTION("IFERROR(SPARKLINE(SORT(MAP(TRANSPOSE(AQ43:BL43), LAMBDA(val, IF(ISNUMBER(val), PERCENTRANK(AQ43:BL43, val)+0.01, 0))), SEQUENCE(COLUMNS(AQ43:BL43)), FALSE), {""charttype"",""column""; ""color"",""chartreuse""; ""ymin"", 0; ""ymax"", 1.01; ""highcolor"", "&amp;"""darkgreen""; ""lowcolor"", ""red""}), """")"),"")</f>
        <v/>
      </c>
      <c r="B43" s="17" t="str">
        <f t="shared" si="4"/>
        <v/>
      </c>
      <c r="C43" s="1" t="s">
        <v>245</v>
      </c>
      <c r="D43" s="34" t="str">
        <f>IFERROR(__xludf.DUMMYFUNCTION("IFERROR(GOOGLEFINANCE(C43, ""NAME""))"),"Interactive Brokers Group, Inc.")</f>
        <v>Interactive Brokers Group, Inc.</v>
      </c>
      <c r="E43" s="30" t="s">
        <v>77</v>
      </c>
      <c r="F43" s="33" t="str">
        <f>IFERROR(__xludf.DUMMYFUNCTION("( (GOOGLEFINANCE(C43, ""price"") - Q43) / Q43 ) / (R43 / 100)"),"Loading...")</f>
        <v>Loading...</v>
      </c>
      <c r="G43" s="20" t="str">
        <f>IFERROR(__xludf.DUMMYFUNCTION("AVERAGE(ARRAYFORMULA(100 * (QUERY(GOOGLEFINANCE(C43, ""high"", TODAY()-40, TODAY()), ""SELECT Col2 WHERE Col2 IS NOT NULL ORDER BY Col1 DESC LIMIT 20"", 0) / QUERY(GOOGLEFINANCE(C43, ""low"", TODAY()-40, TODAY()), ""SELECT Col2 WHERE Col2 IS NOT NULL ORDE"&amp;"R BY Col1 DESC LIMIT 20"", 0) - 1)))"),"#N/A")</f>
        <v>#N/A</v>
      </c>
      <c r="H43" s="35" t="str">
        <f t="shared" si="6"/>
        <v/>
      </c>
      <c r="I43" s="36" t="str">
        <f t="shared" si="7"/>
        <v/>
      </c>
      <c r="J43" s="37" t="str">
        <f>IFERROR(__xludf.DUMMYFUNCTION("IFERROR(
  IF(C43="""",, 
    IFERROR(
      GOOGLEFINANCE(C43, ""price"") * GOOGLEFINANCE(C43, ""volumeavg""), 
      GOOGLEFINANCE(C43, ""price"") * AVERAGE(QUERY(GOOGLEFINANCE(C43, ""volume"", TODAY()-40, TODAY()), ""SELECT Col2 WHERE Col2 IS NOT NULL "&amp;"ORDER BY Col1 DESC LIMIT 20"", 0))
    )
  ), 
"""")"),"")</f>
        <v/>
      </c>
      <c r="K43" s="21" t="str">
        <f>IFERROR(__xludf.DUMMYFUNCTION("IFERROR(GOOGLEFINANCE(C43, ""changepct"") / 100, """")"),"")</f>
        <v/>
      </c>
      <c r="L43" s="21" t="str">
        <f>IFERROR(__xludf.DUMMYFUNCTION("IFERROR((GOOGLEFINANCE(C43, ""price"") / INDEX(GOOGLEFINANCE(C43, ""price"", TODAY()-7, TODAY()), 2, 2)) - 1, """")"),"")</f>
        <v/>
      </c>
      <c r="M43" s="21" t="str">
        <f>IFERROR(__xludf.DUMMYFUNCTION("IFERROR((GOOGLEFINANCE(C43, ""price"") / INDEX(GOOGLEFINANCE(C43, ""price"", EDATE(TODAY(), -1), TODAY()), 2, 2)) - 1, """")"),"")</f>
        <v/>
      </c>
      <c r="N43" s="21" t="str">
        <f>IFERROR(__xludf.DUMMYFUNCTION("IFERROR((GOOGLEFINANCE(C43, ""price"") / INDEX(GOOGLEFINANCE(C43, ""price"", EDATE(TODAY(), -3), TODAY()), 2, 2)) - 1, """")"),"")</f>
        <v/>
      </c>
      <c r="O43" s="21" t="str">
        <f>IFERROR(__xludf.DUMMYFUNCTION("IFERROR((GOOGLEFINANCE(C43, ""price"") / INDEX(GOOGLEFINANCE(C43, ""price"", EDATE(TODAY(), -6), TODAY()), 2, 2)) - 1, """")"),"")</f>
        <v/>
      </c>
      <c r="P43" s="21" t="str">
        <f>IFERROR(__xludf.DUMMYFUNCTION("IFERROR((GOOGLEFINANCE(C43, ""price"") / INDEX(GOOGLEFINANCE(C43, ""price"", EDATE(TODAY(), -12), TODAY()), 2, 2)) - 1, """")"),"")</f>
        <v/>
      </c>
      <c r="Q43" s="6" t="str">
        <f>IFERROR(__xludf.DUMMYFUNCTION("AVERAGE(QUERY(GOOGLEFINANCE(C43, ""price"", TODAY()-80, TODAY()), ""SELECT Col2 WHERE Col2 IS NOT NULL ORDER BY Col1 DESC LIMIT 50"", 0))"),"#N/A")</f>
        <v>#N/A</v>
      </c>
      <c r="R43" s="24" t="str">
        <f>IFERROR(__xludf.DUMMYFUNCTION("IFERROR(
  LET(
    data, QUERY(GOOGLEFINANCE(C43,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GOOGLEFINANCE(C43, ""price"")) * 100,
    IF(calc=0, G43, calc)
  ), 
G43)"),"#N/A")</f>
        <v>#N/A</v>
      </c>
      <c r="S43" s="8" t="s">
        <v>15</v>
      </c>
      <c r="T43" s="26" t="str">
        <f>IFERROR(__xludf.DUMMYFUNCTION("IFERROR(TRANSPOSE(QUERY(IFERROR(SORT(GOOGLEFINANCE(C43, ""price"", WORKDAY(TODAY(), -40), TODAY()), 1, FALSE)), ""select Col2 where Col2 is not null limit 22 label Col2 ''"", 0)), """")"),"")</f>
        <v/>
      </c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8"/>
      <c r="AO43" s="28"/>
      <c r="AP43" s="29"/>
      <c r="AQ43" s="29" t="str">
        <f t="shared" ref="AQ43:BL43" si="46">T43/T$2</f>
        <v>#N/A</v>
      </c>
      <c r="AR43" s="29" t="str">
        <f t="shared" si="46"/>
        <v>#DIV/0!</v>
      </c>
      <c r="AS43" s="29" t="str">
        <f t="shared" si="46"/>
        <v>#DIV/0!</v>
      </c>
      <c r="AT43" s="29" t="str">
        <f t="shared" si="46"/>
        <v>#DIV/0!</v>
      </c>
      <c r="AU43" s="29" t="str">
        <f t="shared" si="46"/>
        <v>#DIV/0!</v>
      </c>
      <c r="AV43" s="29" t="str">
        <f t="shared" si="46"/>
        <v>#DIV/0!</v>
      </c>
      <c r="AW43" s="29" t="str">
        <f t="shared" si="46"/>
        <v>#DIV/0!</v>
      </c>
      <c r="AX43" s="29" t="str">
        <f t="shared" si="46"/>
        <v>#DIV/0!</v>
      </c>
      <c r="AY43" s="29" t="str">
        <f t="shared" si="46"/>
        <v>#DIV/0!</v>
      </c>
      <c r="AZ43" s="29" t="str">
        <f t="shared" si="46"/>
        <v>#DIV/0!</v>
      </c>
      <c r="BA43" s="29" t="str">
        <f t="shared" si="46"/>
        <v>#DIV/0!</v>
      </c>
      <c r="BB43" s="29" t="str">
        <f t="shared" si="46"/>
        <v>#DIV/0!</v>
      </c>
      <c r="BC43" s="29" t="str">
        <f t="shared" si="46"/>
        <v>#DIV/0!</v>
      </c>
      <c r="BD43" s="29" t="str">
        <f t="shared" si="46"/>
        <v>#DIV/0!</v>
      </c>
      <c r="BE43" s="29" t="str">
        <f t="shared" si="46"/>
        <v>#DIV/0!</v>
      </c>
      <c r="BF43" s="29" t="str">
        <f t="shared" si="46"/>
        <v>#DIV/0!</v>
      </c>
      <c r="BG43" s="29" t="str">
        <f t="shared" si="46"/>
        <v>#DIV/0!</v>
      </c>
      <c r="BH43" s="29" t="str">
        <f t="shared" si="46"/>
        <v>#DIV/0!</v>
      </c>
      <c r="BI43" s="29" t="str">
        <f t="shared" si="46"/>
        <v>#DIV/0!</v>
      </c>
      <c r="BJ43" s="29" t="str">
        <f t="shared" si="46"/>
        <v>#DIV/0!</v>
      </c>
      <c r="BK43" s="29" t="str">
        <f t="shared" si="46"/>
        <v>#DIV/0!</v>
      </c>
      <c r="BL43" s="29" t="str">
        <f t="shared" si="46"/>
        <v>#DIV/0!</v>
      </c>
      <c r="BM43" s="29" t="str">
        <f t="shared" si="3"/>
        <v>#DIV/0!</v>
      </c>
    </row>
    <row r="44">
      <c r="A44" s="16" t="str">
        <f>IFERROR(__xludf.DUMMYFUNCTION("IFERROR(SPARKLINE(SORT(MAP(TRANSPOSE(AQ44:BL44), LAMBDA(val, IF(ISNUMBER(val), PERCENTRANK(AQ44:BL44, val)+0.01, 0))), SEQUENCE(COLUMNS(AQ44:BL44)), FALSE), {""charttype"",""column""; ""color"",""chartreuse""; ""ymin"", 0; ""ymax"", 1.01; ""highcolor"", "&amp;"""darkgreen""; ""lowcolor"", ""red""}), """")"),"")</f>
        <v/>
      </c>
      <c r="B44" s="17" t="str">
        <f t="shared" si="4"/>
        <v/>
      </c>
      <c r="C44" s="1" t="s">
        <v>250</v>
      </c>
      <c r="D44" s="34" t="str">
        <f>IFERROR(__xludf.DUMMYFUNCTION("IFERROR(GOOGLEFINANCE(C44, ""NAME""))"),"Wisdomtree Inc")</f>
        <v>Wisdomtree Inc</v>
      </c>
      <c r="E44" s="30" t="s">
        <v>64</v>
      </c>
      <c r="F44" s="33" t="str">
        <f>IFERROR(__xludf.DUMMYFUNCTION("( (GOOGLEFINANCE(C44, ""price"") - Q44) / Q44 ) / (R44 / 100)"),"Loading...")</f>
        <v>Loading...</v>
      </c>
      <c r="G44" s="20" t="str">
        <f>IFERROR(__xludf.DUMMYFUNCTION("AVERAGE(ARRAYFORMULA(100 * (QUERY(GOOGLEFINANCE(C44, ""high"", TODAY()-40, TODAY()), ""SELECT Col2 WHERE Col2 IS NOT NULL ORDER BY Col1 DESC LIMIT 20"", 0) / QUERY(GOOGLEFINANCE(C44, ""low"", TODAY()-40, TODAY()), ""SELECT Col2 WHERE Col2 IS NOT NULL ORDE"&amp;"R BY Col1 DESC LIMIT 20"", 0) - 1)))"),"#N/A")</f>
        <v>#N/A</v>
      </c>
      <c r="H44" s="35" t="str">
        <f t="shared" si="6"/>
        <v/>
      </c>
      <c r="I44" s="36" t="str">
        <f t="shared" si="7"/>
        <v/>
      </c>
      <c r="J44" s="37" t="str">
        <f>IFERROR(__xludf.DUMMYFUNCTION("IFERROR(
  IF(C44="""",, 
    IFERROR(
      GOOGLEFINANCE(C44, ""price"") * GOOGLEFINANCE(C44, ""volumeavg""), 
      GOOGLEFINANCE(C44, ""price"") * AVERAGE(QUERY(GOOGLEFINANCE(C44, ""volume"", TODAY()-40, TODAY()), ""SELECT Col2 WHERE Col2 IS NOT NULL "&amp;"ORDER BY Col1 DESC LIMIT 20"", 0))
    )
  ), 
"""")"),"")</f>
        <v/>
      </c>
      <c r="K44" s="21" t="str">
        <f>IFERROR(__xludf.DUMMYFUNCTION("IFERROR(GOOGLEFINANCE(C44, ""changepct"") / 100, """")"),"")</f>
        <v/>
      </c>
      <c r="L44" s="21" t="str">
        <f>IFERROR(__xludf.DUMMYFUNCTION("IFERROR((GOOGLEFINANCE(C44, ""price"") / INDEX(GOOGLEFINANCE(C44, ""price"", TODAY()-7, TODAY()), 2, 2)) - 1, """")"),"")</f>
        <v/>
      </c>
      <c r="M44" s="21" t="str">
        <f>IFERROR(__xludf.DUMMYFUNCTION("IFERROR((GOOGLEFINANCE(C44, ""price"") / INDEX(GOOGLEFINANCE(C44, ""price"", EDATE(TODAY(), -1), TODAY()), 2, 2)) - 1, """")"),"")</f>
        <v/>
      </c>
      <c r="N44" s="21" t="str">
        <f>IFERROR(__xludf.DUMMYFUNCTION("IFERROR((GOOGLEFINANCE(C44, ""price"") / INDEX(GOOGLEFINANCE(C44, ""price"", EDATE(TODAY(), -3), TODAY()), 2, 2)) - 1, """")"),"")</f>
        <v/>
      </c>
      <c r="O44" s="21" t="str">
        <f>IFERROR(__xludf.DUMMYFUNCTION("IFERROR((GOOGLEFINANCE(C44, ""price"") / INDEX(GOOGLEFINANCE(C44, ""price"", EDATE(TODAY(), -6), TODAY()), 2, 2)) - 1, """")"),"")</f>
        <v/>
      </c>
      <c r="P44" s="21" t="str">
        <f>IFERROR(__xludf.DUMMYFUNCTION("IFERROR((GOOGLEFINANCE(C44, ""price"") / INDEX(GOOGLEFINANCE(C44, ""price"", EDATE(TODAY(), -12), TODAY()), 2, 2)) - 1, """")"),"")</f>
        <v/>
      </c>
      <c r="Q44" s="6" t="str">
        <f>IFERROR(__xludf.DUMMYFUNCTION("AVERAGE(QUERY(GOOGLEFINANCE(C44, ""price"", TODAY()-80, TODAY()), ""SELECT Col2 WHERE Col2 IS NOT NULL ORDER BY Col1 DESC LIMIT 50"", 0))"),"#N/A")</f>
        <v>#N/A</v>
      </c>
      <c r="R44" s="24" t="str">
        <f>IFERROR(__xludf.DUMMYFUNCTION("IFERROR(
  LET(
    data, QUERY(GOOGLEFINANCE(C44,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GOOGLEFINANCE(C44, ""price"")) * 100,
    IF(calc=0, G44, calc)
  ), 
G44)"),"#N/A")</f>
        <v>#N/A</v>
      </c>
      <c r="S44" s="8" t="s">
        <v>15</v>
      </c>
      <c r="T44" s="26" t="str">
        <f>IFERROR(__xludf.DUMMYFUNCTION("IFERROR(TRANSPOSE(QUERY(IFERROR(SORT(GOOGLEFINANCE(C44, ""price"", WORKDAY(TODAY(), -40), TODAY()), 1, FALSE)), ""select Col2 where Col2 is not null limit 22 label Col2 ''"", 0)), """")"),"")</f>
        <v/>
      </c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8"/>
      <c r="AO44" s="28"/>
      <c r="AP44" s="29"/>
      <c r="AQ44" s="29" t="str">
        <f t="shared" ref="AQ44:BL44" si="47">T44/T$2</f>
        <v>#N/A</v>
      </c>
      <c r="AR44" s="29" t="str">
        <f t="shared" si="47"/>
        <v>#DIV/0!</v>
      </c>
      <c r="AS44" s="29" t="str">
        <f t="shared" si="47"/>
        <v>#DIV/0!</v>
      </c>
      <c r="AT44" s="29" t="str">
        <f t="shared" si="47"/>
        <v>#DIV/0!</v>
      </c>
      <c r="AU44" s="29" t="str">
        <f t="shared" si="47"/>
        <v>#DIV/0!</v>
      </c>
      <c r="AV44" s="29" t="str">
        <f t="shared" si="47"/>
        <v>#DIV/0!</v>
      </c>
      <c r="AW44" s="29" t="str">
        <f t="shared" si="47"/>
        <v>#DIV/0!</v>
      </c>
      <c r="AX44" s="29" t="str">
        <f t="shared" si="47"/>
        <v>#DIV/0!</v>
      </c>
      <c r="AY44" s="29" t="str">
        <f t="shared" si="47"/>
        <v>#DIV/0!</v>
      </c>
      <c r="AZ44" s="29" t="str">
        <f t="shared" si="47"/>
        <v>#DIV/0!</v>
      </c>
      <c r="BA44" s="29" t="str">
        <f t="shared" si="47"/>
        <v>#DIV/0!</v>
      </c>
      <c r="BB44" s="29" t="str">
        <f t="shared" si="47"/>
        <v>#DIV/0!</v>
      </c>
      <c r="BC44" s="29" t="str">
        <f t="shared" si="47"/>
        <v>#DIV/0!</v>
      </c>
      <c r="BD44" s="29" t="str">
        <f t="shared" si="47"/>
        <v>#DIV/0!</v>
      </c>
      <c r="BE44" s="29" t="str">
        <f t="shared" si="47"/>
        <v>#DIV/0!</v>
      </c>
      <c r="BF44" s="29" t="str">
        <f t="shared" si="47"/>
        <v>#DIV/0!</v>
      </c>
      <c r="BG44" s="29" t="str">
        <f t="shared" si="47"/>
        <v>#DIV/0!</v>
      </c>
      <c r="BH44" s="29" t="str">
        <f t="shared" si="47"/>
        <v>#DIV/0!</v>
      </c>
      <c r="BI44" s="29" t="str">
        <f t="shared" si="47"/>
        <v>#DIV/0!</v>
      </c>
      <c r="BJ44" s="29" t="str">
        <f t="shared" si="47"/>
        <v>#DIV/0!</v>
      </c>
      <c r="BK44" s="29" t="str">
        <f t="shared" si="47"/>
        <v>#DIV/0!</v>
      </c>
      <c r="BL44" s="29" t="str">
        <f t="shared" si="47"/>
        <v>#DIV/0!</v>
      </c>
      <c r="BM44" s="29" t="str">
        <f t="shared" si="3"/>
        <v>#DIV/0!</v>
      </c>
    </row>
    <row r="45">
      <c r="A45" s="16" t="str">
        <f>IFERROR(__xludf.DUMMYFUNCTION("IFERROR(SPARKLINE(SORT(MAP(TRANSPOSE(AQ45:BL45), LAMBDA(val, IF(ISNUMBER(val), PERCENTRANK(AQ45:BL45, val)+0.01, 0))), SEQUENCE(COLUMNS(AQ45:BL45)), FALSE), {""charttype"",""column""; ""color"",""chartreuse""; ""ymin"", 0; ""ymax"", 1.01; ""highcolor"", "&amp;"""darkgreen""; ""lowcolor"", ""red""}), """")"),"")</f>
        <v/>
      </c>
      <c r="B45" s="17" t="str">
        <f t="shared" si="4"/>
        <v/>
      </c>
      <c r="C45" s="1" t="s">
        <v>253</v>
      </c>
      <c r="D45" s="34" t="str">
        <f>IFERROR(__xludf.DUMMYFUNCTION("IFERROR(GOOGLEFINANCE(C45, ""NAME""))"),"CleanSpark Inc")</f>
        <v>CleanSpark Inc</v>
      </c>
      <c r="E45" s="30" t="s">
        <v>77</v>
      </c>
      <c r="F45" s="33" t="str">
        <f>IFERROR(__xludf.DUMMYFUNCTION("( (GOOGLEFINANCE(C45, ""price"") - Q45) / Q45 ) / (R45 / 100)"),"Loading...")</f>
        <v>Loading...</v>
      </c>
      <c r="G45" s="20" t="str">
        <f>IFERROR(__xludf.DUMMYFUNCTION("AVERAGE(ARRAYFORMULA(100 * (QUERY(GOOGLEFINANCE(C45, ""high"", TODAY()-40, TODAY()), ""SELECT Col2 WHERE Col2 IS NOT NULL ORDER BY Col1 DESC LIMIT 20"", 0) / QUERY(GOOGLEFINANCE(C45, ""low"", TODAY()-40, TODAY()), ""SELECT Col2 WHERE Col2 IS NOT NULL ORDE"&amp;"R BY Col1 DESC LIMIT 20"", 0) - 1)))"),"#N/A")</f>
        <v>#N/A</v>
      </c>
      <c r="H45" s="35" t="str">
        <f t="shared" si="6"/>
        <v/>
      </c>
      <c r="I45" s="36" t="str">
        <f t="shared" si="7"/>
        <v/>
      </c>
      <c r="J45" s="37" t="str">
        <f>IFERROR(__xludf.DUMMYFUNCTION("IFERROR(
  IF(C45="""",, 
    IFERROR(
      GOOGLEFINANCE(C45, ""price"") * GOOGLEFINANCE(C45, ""volumeavg""), 
      GOOGLEFINANCE(C45, ""price"") * AVERAGE(QUERY(GOOGLEFINANCE(C45, ""volume"", TODAY()-40, TODAY()), ""SELECT Col2 WHERE Col2 IS NOT NULL "&amp;"ORDER BY Col1 DESC LIMIT 20"", 0))
    )
  ), 
"""")"),"")</f>
        <v/>
      </c>
      <c r="K45" s="21" t="str">
        <f>IFERROR(__xludf.DUMMYFUNCTION("IFERROR(GOOGLEFINANCE(C45, ""changepct"") / 100, """")"),"")</f>
        <v/>
      </c>
      <c r="L45" s="21" t="str">
        <f>IFERROR(__xludf.DUMMYFUNCTION("IFERROR((GOOGLEFINANCE(C45, ""price"") / INDEX(GOOGLEFINANCE(C45, ""price"", TODAY()-7, TODAY()), 2, 2)) - 1, """")"),"")</f>
        <v/>
      </c>
      <c r="M45" s="21" t="str">
        <f>IFERROR(__xludf.DUMMYFUNCTION("IFERROR((GOOGLEFINANCE(C45, ""price"") / INDEX(GOOGLEFINANCE(C45, ""price"", EDATE(TODAY(), -1), TODAY()), 2, 2)) - 1, """")"),"")</f>
        <v/>
      </c>
      <c r="N45" s="21" t="str">
        <f>IFERROR(__xludf.DUMMYFUNCTION("IFERROR((GOOGLEFINANCE(C45, ""price"") / INDEX(GOOGLEFINANCE(C45, ""price"", EDATE(TODAY(), -3), TODAY()), 2, 2)) - 1, """")"),"")</f>
        <v/>
      </c>
      <c r="O45" s="21" t="str">
        <f>IFERROR(__xludf.DUMMYFUNCTION("IFERROR((GOOGLEFINANCE(C45, ""price"") / INDEX(GOOGLEFINANCE(C45, ""price"", EDATE(TODAY(), -6), TODAY()), 2, 2)) - 1, """")"),"")</f>
        <v/>
      </c>
      <c r="P45" s="21" t="str">
        <f>IFERROR(__xludf.DUMMYFUNCTION("IFERROR((GOOGLEFINANCE(C45, ""price"") / INDEX(GOOGLEFINANCE(C45, ""price"", EDATE(TODAY(), -12), TODAY()), 2, 2)) - 1, """")"),"")</f>
        <v/>
      </c>
      <c r="Q45" s="6" t="str">
        <f>IFERROR(__xludf.DUMMYFUNCTION("AVERAGE(QUERY(GOOGLEFINANCE(C45, ""price"", TODAY()-80, TODAY()), ""SELECT Col2 WHERE Col2 IS NOT NULL ORDER BY Col1 DESC LIMIT 50"", 0))"),"#N/A")</f>
        <v>#N/A</v>
      </c>
      <c r="R45" s="24" t="str">
        <f>IFERROR(__xludf.DUMMYFUNCTION("IFERROR(
  LET(
    data, QUERY(GOOGLEFINANCE(C45,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GOOGLEFINANCE(C45, ""price"")) * 100,
    IF(calc=0, G45, calc)
  ), 
G45)"),"#N/A")</f>
        <v>#N/A</v>
      </c>
      <c r="S45" s="8" t="s">
        <v>15</v>
      </c>
      <c r="T45" s="26" t="str">
        <f>IFERROR(__xludf.DUMMYFUNCTION("IFERROR(TRANSPOSE(QUERY(IFERROR(SORT(GOOGLEFINANCE(C45, ""price"", WORKDAY(TODAY(), -40), TODAY()), 1, FALSE)), ""select Col2 where Col2 is not null limit 22 label Col2 ''"", 0)), """")"),"")</f>
        <v/>
      </c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8"/>
      <c r="AO45" s="28"/>
      <c r="AP45" s="29"/>
      <c r="AQ45" s="29" t="str">
        <f t="shared" ref="AQ45:BL45" si="48">T45/T$2</f>
        <v>#N/A</v>
      </c>
      <c r="AR45" s="29" t="str">
        <f t="shared" si="48"/>
        <v>#DIV/0!</v>
      </c>
      <c r="AS45" s="29" t="str">
        <f t="shared" si="48"/>
        <v>#DIV/0!</v>
      </c>
      <c r="AT45" s="29" t="str">
        <f t="shared" si="48"/>
        <v>#DIV/0!</v>
      </c>
      <c r="AU45" s="29" t="str">
        <f t="shared" si="48"/>
        <v>#DIV/0!</v>
      </c>
      <c r="AV45" s="29" t="str">
        <f t="shared" si="48"/>
        <v>#DIV/0!</v>
      </c>
      <c r="AW45" s="29" t="str">
        <f t="shared" si="48"/>
        <v>#DIV/0!</v>
      </c>
      <c r="AX45" s="29" t="str">
        <f t="shared" si="48"/>
        <v>#DIV/0!</v>
      </c>
      <c r="AY45" s="29" t="str">
        <f t="shared" si="48"/>
        <v>#DIV/0!</v>
      </c>
      <c r="AZ45" s="29" t="str">
        <f t="shared" si="48"/>
        <v>#DIV/0!</v>
      </c>
      <c r="BA45" s="29" t="str">
        <f t="shared" si="48"/>
        <v>#DIV/0!</v>
      </c>
      <c r="BB45" s="29" t="str">
        <f t="shared" si="48"/>
        <v>#DIV/0!</v>
      </c>
      <c r="BC45" s="29" t="str">
        <f t="shared" si="48"/>
        <v>#DIV/0!</v>
      </c>
      <c r="BD45" s="29" t="str">
        <f t="shared" si="48"/>
        <v>#DIV/0!</v>
      </c>
      <c r="BE45" s="29" t="str">
        <f t="shared" si="48"/>
        <v>#DIV/0!</v>
      </c>
      <c r="BF45" s="29" t="str">
        <f t="shared" si="48"/>
        <v>#DIV/0!</v>
      </c>
      <c r="BG45" s="29" t="str">
        <f t="shared" si="48"/>
        <v>#DIV/0!</v>
      </c>
      <c r="BH45" s="29" t="str">
        <f t="shared" si="48"/>
        <v>#DIV/0!</v>
      </c>
      <c r="BI45" s="29" t="str">
        <f t="shared" si="48"/>
        <v>#DIV/0!</v>
      </c>
      <c r="BJ45" s="29" t="str">
        <f t="shared" si="48"/>
        <v>#DIV/0!</v>
      </c>
      <c r="BK45" s="29" t="str">
        <f t="shared" si="48"/>
        <v>#DIV/0!</v>
      </c>
      <c r="BL45" s="29" t="str">
        <f t="shared" si="48"/>
        <v>#DIV/0!</v>
      </c>
      <c r="BM45" s="29" t="str">
        <f t="shared" si="3"/>
        <v>#DIV/0!</v>
      </c>
    </row>
    <row r="46">
      <c r="A46" s="16" t="str">
        <f>IFERROR(__xludf.DUMMYFUNCTION("IFERROR(SPARKLINE(SORT(MAP(TRANSPOSE(AQ46:BL46), LAMBDA(val, IF(ISNUMBER(val), PERCENTRANK(AQ46:BL46, val)+0.01, 0))), SEQUENCE(COLUMNS(AQ46:BL46)), FALSE), {""charttype"",""column""; ""color"",""chartreuse""; ""ymin"", 0; ""ymax"", 1.01; ""highcolor"", "&amp;"""darkgreen""; ""lowcolor"", ""red""}), """")"),"")</f>
        <v/>
      </c>
      <c r="B46" s="17" t="str">
        <f t="shared" si="4"/>
        <v/>
      </c>
      <c r="C46" s="1" t="s">
        <v>255</v>
      </c>
      <c r="D46" s="34" t="str">
        <f>IFERROR(__xludf.DUMMYFUNCTION("IFERROR(GOOGLEFINANCE(C46, ""NAME""))"),"Gemini Space Station Inc")</f>
        <v>Gemini Space Station Inc</v>
      </c>
      <c r="E46" s="30" t="s">
        <v>77</v>
      </c>
      <c r="F46" s="33" t="str">
        <f>IFERROR(__xludf.DUMMYFUNCTION("( (GOOGLEFINANCE(C46, ""price"") - Q46) / Q46 ) / (R46 / 100)"),"Loading...")</f>
        <v>Loading...</v>
      </c>
      <c r="G46" s="20" t="str">
        <f>IFERROR(__xludf.DUMMYFUNCTION("AVERAGE(ARRAYFORMULA(100 * (QUERY(GOOGLEFINANCE(C46, ""high"", TODAY()-40, TODAY()), ""SELECT Col2 WHERE Col2 IS NOT NULL ORDER BY Col1 DESC LIMIT 20"", 0) / QUERY(GOOGLEFINANCE(C46, ""low"", TODAY()-40, TODAY()), ""SELECT Col2 WHERE Col2 IS NOT NULL ORDE"&amp;"R BY Col1 DESC LIMIT 20"", 0) - 1)))"),"#N/A")</f>
        <v>#N/A</v>
      </c>
      <c r="H46" s="35" t="str">
        <f t="shared" si="6"/>
        <v/>
      </c>
      <c r="I46" s="36" t="str">
        <f t="shared" si="7"/>
        <v/>
      </c>
      <c r="J46" s="37" t="str">
        <f>IFERROR(__xludf.DUMMYFUNCTION("IFERROR(
  IF(C46="""",, 
    IFERROR(
      GOOGLEFINANCE(C46, ""price"") * GOOGLEFINANCE(C46, ""volumeavg""), 
      GOOGLEFINANCE(C46, ""price"") * AVERAGE(QUERY(GOOGLEFINANCE(C46, ""volume"", TODAY()-40, TODAY()), ""SELECT Col2 WHERE Col2 IS NOT NULL "&amp;"ORDER BY Col1 DESC LIMIT 20"", 0))
    )
  ), 
"""")"),"")</f>
        <v/>
      </c>
      <c r="K46" s="21" t="str">
        <f>IFERROR(__xludf.DUMMYFUNCTION("IFERROR(GOOGLEFINANCE(C46, ""changepct"") / 100, """")"),"")</f>
        <v/>
      </c>
      <c r="L46" s="21" t="str">
        <f>IFERROR(__xludf.DUMMYFUNCTION("IFERROR((GOOGLEFINANCE(C46, ""price"") / INDEX(GOOGLEFINANCE(C46, ""price"", TODAY()-7, TODAY()), 2, 2)) - 1, """")"),"")</f>
        <v/>
      </c>
      <c r="M46" s="21" t="str">
        <f>IFERROR(__xludf.DUMMYFUNCTION("IFERROR((GOOGLEFINANCE(C46, ""price"") / INDEX(GOOGLEFINANCE(C46, ""price"", EDATE(TODAY(), -1), TODAY()), 2, 2)) - 1, """")"),"")</f>
        <v/>
      </c>
      <c r="N46" s="21" t="str">
        <f>IFERROR(__xludf.DUMMYFUNCTION("IFERROR((GOOGLEFINANCE(C46, ""price"") / INDEX(GOOGLEFINANCE(C46, ""price"", EDATE(TODAY(), -3), TODAY()), 2, 2)) - 1, """")"),"")</f>
        <v/>
      </c>
      <c r="O46" s="21" t="str">
        <f>IFERROR(__xludf.DUMMYFUNCTION("IFERROR((GOOGLEFINANCE(C46, ""price"") / INDEX(GOOGLEFINANCE(C46, ""price"", EDATE(TODAY(), -6), TODAY()), 2, 2)) - 1, """")"),"")</f>
        <v/>
      </c>
      <c r="P46" s="21" t="str">
        <f>IFERROR(__xludf.DUMMYFUNCTION("IFERROR((GOOGLEFINANCE(C46, ""price"") / INDEX(GOOGLEFINANCE(C46, ""price"", EDATE(TODAY(), -12), TODAY()), 2, 2)) - 1, """")"),"")</f>
        <v/>
      </c>
      <c r="Q46" s="6" t="str">
        <f>IFERROR(__xludf.DUMMYFUNCTION("AVERAGE(QUERY(GOOGLEFINANCE(C46, ""price"", TODAY()-80, TODAY()), ""SELECT Col2 WHERE Col2 IS NOT NULL ORDER BY Col1 DESC LIMIT 50"", 0))"),"#N/A")</f>
        <v>#N/A</v>
      </c>
      <c r="R46" s="24" t="str">
        <f>IFERROR(__xludf.DUMMYFUNCTION("IFERROR(
  LET(
    data, QUERY(GOOGLEFINANCE(C46,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GOOGLEFINANCE(C46, ""price"")) * 100,
    IF(calc=0, G46, calc)
  ), 
G46)"),"#N/A")</f>
        <v>#N/A</v>
      </c>
      <c r="S46" s="8" t="s">
        <v>15</v>
      </c>
      <c r="T46" s="26" t="str">
        <f>IFERROR(__xludf.DUMMYFUNCTION("IFERROR(TRANSPOSE(QUERY(IFERROR(SORT(GOOGLEFINANCE(C46, ""price"", WORKDAY(TODAY(), -40), TODAY()), 1, FALSE)), ""select Col2 where Col2 is not null limit 22 label Col2 ''"", 0)), """")"),"")</f>
        <v/>
      </c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8"/>
      <c r="AO46" s="28"/>
      <c r="AP46" s="29"/>
      <c r="AQ46" s="29" t="str">
        <f t="shared" ref="AQ46:BL46" si="49">T46/T$2</f>
        <v>#N/A</v>
      </c>
      <c r="AR46" s="29" t="str">
        <f t="shared" si="49"/>
        <v>#DIV/0!</v>
      </c>
      <c r="AS46" s="29" t="str">
        <f t="shared" si="49"/>
        <v>#DIV/0!</v>
      </c>
      <c r="AT46" s="29" t="str">
        <f t="shared" si="49"/>
        <v>#DIV/0!</v>
      </c>
      <c r="AU46" s="29" t="str">
        <f t="shared" si="49"/>
        <v>#DIV/0!</v>
      </c>
      <c r="AV46" s="29" t="str">
        <f t="shared" si="49"/>
        <v>#DIV/0!</v>
      </c>
      <c r="AW46" s="29" t="str">
        <f t="shared" si="49"/>
        <v>#DIV/0!</v>
      </c>
      <c r="AX46" s="29" t="str">
        <f t="shared" si="49"/>
        <v>#DIV/0!</v>
      </c>
      <c r="AY46" s="29" t="str">
        <f t="shared" si="49"/>
        <v>#DIV/0!</v>
      </c>
      <c r="AZ46" s="29" t="str">
        <f t="shared" si="49"/>
        <v>#DIV/0!</v>
      </c>
      <c r="BA46" s="29" t="str">
        <f t="shared" si="49"/>
        <v>#DIV/0!</v>
      </c>
      <c r="BB46" s="29" t="str">
        <f t="shared" si="49"/>
        <v>#DIV/0!</v>
      </c>
      <c r="BC46" s="29" t="str">
        <f t="shared" si="49"/>
        <v>#DIV/0!</v>
      </c>
      <c r="BD46" s="29" t="str">
        <f t="shared" si="49"/>
        <v>#DIV/0!</v>
      </c>
      <c r="BE46" s="29" t="str">
        <f t="shared" si="49"/>
        <v>#DIV/0!</v>
      </c>
      <c r="BF46" s="29" t="str">
        <f t="shared" si="49"/>
        <v>#DIV/0!</v>
      </c>
      <c r="BG46" s="29" t="str">
        <f t="shared" si="49"/>
        <v>#DIV/0!</v>
      </c>
      <c r="BH46" s="29" t="str">
        <f t="shared" si="49"/>
        <v>#DIV/0!</v>
      </c>
      <c r="BI46" s="29" t="str">
        <f t="shared" si="49"/>
        <v>#DIV/0!</v>
      </c>
      <c r="BJ46" s="29" t="str">
        <f t="shared" si="49"/>
        <v>#DIV/0!</v>
      </c>
      <c r="BK46" s="29" t="str">
        <f t="shared" si="49"/>
        <v>#DIV/0!</v>
      </c>
      <c r="BL46" s="29" t="str">
        <f t="shared" si="49"/>
        <v>#DIV/0!</v>
      </c>
      <c r="BM46" s="29" t="str">
        <f t="shared" si="3"/>
        <v>#DIV/0!</v>
      </c>
    </row>
    <row r="47">
      <c r="A47" s="16" t="str">
        <f>IFERROR(__xludf.DUMMYFUNCTION("IFERROR(SPARKLINE(SORT(MAP(TRANSPOSE(AQ47:BL47), LAMBDA(val, IF(ISNUMBER(val), PERCENTRANK(AQ47:BL47, val)+0.01, 0))), SEQUENCE(COLUMNS(AQ47:BL47)), FALSE), {""charttype"",""column""; ""color"",""chartreuse""; ""ymin"", 0; ""ymax"", 1.01; ""highcolor"", "&amp;"""darkgreen""; ""lowcolor"", ""red""}), """")"),"")</f>
        <v/>
      </c>
      <c r="B47" s="17" t="str">
        <f t="shared" si="4"/>
        <v/>
      </c>
      <c r="C47" s="1" t="s">
        <v>259</v>
      </c>
      <c r="D47" s="34" t="str">
        <f>IFERROR(__xludf.DUMMYFUNCTION("IFERROR(GOOGLEFINANCE(C47, ""NAME""))"),"HIVE Digital Technologies Ltd")</f>
        <v>HIVE Digital Technologies Ltd</v>
      </c>
      <c r="E47" s="30" t="s">
        <v>77</v>
      </c>
      <c r="F47" s="33" t="str">
        <f>IFERROR(__xludf.DUMMYFUNCTION("( (GOOGLEFINANCE(C47, ""price"") - Q47) / Q47 ) / (R47 / 100)"),"Loading...")</f>
        <v>Loading...</v>
      </c>
      <c r="G47" s="20" t="str">
        <f>IFERROR(__xludf.DUMMYFUNCTION("AVERAGE(ARRAYFORMULA(100 * (QUERY(GOOGLEFINANCE(C47, ""high"", TODAY()-40, TODAY()), ""SELECT Col2 WHERE Col2 IS NOT NULL ORDER BY Col1 DESC LIMIT 20"", 0) / QUERY(GOOGLEFINANCE(C47, ""low"", TODAY()-40, TODAY()), ""SELECT Col2 WHERE Col2 IS NOT NULL ORDE"&amp;"R BY Col1 DESC LIMIT 20"", 0) - 1)))"),"#N/A")</f>
        <v>#N/A</v>
      </c>
      <c r="H47" s="35" t="str">
        <f t="shared" si="6"/>
        <v/>
      </c>
      <c r="I47" s="36" t="str">
        <f t="shared" si="7"/>
        <v/>
      </c>
      <c r="J47" s="37" t="str">
        <f>IFERROR(__xludf.DUMMYFUNCTION("IFERROR(
  IF(C47="""",, 
    IFERROR(
      GOOGLEFINANCE(C47, ""price"") * GOOGLEFINANCE(C47, ""volumeavg""), 
      GOOGLEFINANCE(C47, ""price"") * AVERAGE(QUERY(GOOGLEFINANCE(C47, ""volume"", TODAY()-40, TODAY()), ""SELECT Col2 WHERE Col2 IS NOT NULL "&amp;"ORDER BY Col1 DESC LIMIT 20"", 0))
    )
  ), 
"""")"),"")</f>
        <v/>
      </c>
      <c r="K47" s="21" t="str">
        <f>IFERROR(__xludf.DUMMYFUNCTION("IFERROR(GOOGLEFINANCE(C47, ""changepct"") / 100, """")"),"")</f>
        <v/>
      </c>
      <c r="L47" s="21" t="str">
        <f>IFERROR(__xludf.DUMMYFUNCTION("IFERROR((GOOGLEFINANCE(C47, ""price"") / INDEX(GOOGLEFINANCE(C47, ""price"", TODAY()-7, TODAY()), 2, 2)) - 1, """")"),"")</f>
        <v/>
      </c>
      <c r="M47" s="21" t="str">
        <f>IFERROR(__xludf.DUMMYFUNCTION("IFERROR((GOOGLEFINANCE(C47, ""price"") / INDEX(GOOGLEFINANCE(C47, ""price"", EDATE(TODAY(), -1), TODAY()), 2, 2)) - 1, """")"),"")</f>
        <v/>
      </c>
      <c r="N47" s="21" t="str">
        <f>IFERROR(__xludf.DUMMYFUNCTION("IFERROR((GOOGLEFINANCE(C47, ""price"") / INDEX(GOOGLEFINANCE(C47, ""price"", EDATE(TODAY(), -3), TODAY()), 2, 2)) - 1, """")"),"")</f>
        <v/>
      </c>
      <c r="O47" s="21" t="str">
        <f>IFERROR(__xludf.DUMMYFUNCTION("IFERROR((GOOGLEFINANCE(C47, ""price"") / INDEX(GOOGLEFINANCE(C47, ""price"", EDATE(TODAY(), -6), TODAY()), 2, 2)) - 1, """")"),"")</f>
        <v/>
      </c>
      <c r="P47" s="21" t="str">
        <f>IFERROR(__xludf.DUMMYFUNCTION("IFERROR((GOOGLEFINANCE(C47, ""price"") / INDEX(GOOGLEFINANCE(C47, ""price"", EDATE(TODAY(), -12), TODAY()), 2, 2)) - 1, """")"),"")</f>
        <v/>
      </c>
      <c r="Q47" s="6" t="str">
        <f>IFERROR(__xludf.DUMMYFUNCTION("AVERAGE(QUERY(GOOGLEFINANCE(C47, ""price"", TODAY()-80, TODAY()), ""SELECT Col2 WHERE Col2 IS NOT NULL ORDER BY Col1 DESC LIMIT 50"", 0))"),"#N/A")</f>
        <v>#N/A</v>
      </c>
      <c r="R47" s="24" t="str">
        <f>IFERROR(__xludf.DUMMYFUNCTION("IFERROR(
  LET(
    data, QUERY(GOOGLEFINANCE(C47,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GOOGLEFINANCE(C47, ""price"")) * 100,
    IF(calc=0, G47, calc)
  ), 
G47)"),"#N/A")</f>
        <v>#N/A</v>
      </c>
      <c r="S47" s="8" t="s">
        <v>15</v>
      </c>
      <c r="T47" s="26" t="str">
        <f>IFERROR(__xludf.DUMMYFUNCTION("IFERROR(TRANSPOSE(QUERY(IFERROR(SORT(GOOGLEFINANCE(C47, ""price"", WORKDAY(TODAY(), -40), TODAY()), 1, FALSE)), ""select Col2 where Col2 is not null limit 22 label Col2 ''"", 0)), """")"),"")</f>
        <v/>
      </c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8"/>
      <c r="AO47" s="28"/>
      <c r="AP47" s="29"/>
      <c r="AQ47" s="29" t="str">
        <f t="shared" ref="AQ47:BL47" si="50">T47/T$2</f>
        <v>#N/A</v>
      </c>
      <c r="AR47" s="29" t="str">
        <f t="shared" si="50"/>
        <v>#DIV/0!</v>
      </c>
      <c r="AS47" s="29" t="str">
        <f t="shared" si="50"/>
        <v>#DIV/0!</v>
      </c>
      <c r="AT47" s="29" t="str">
        <f t="shared" si="50"/>
        <v>#DIV/0!</v>
      </c>
      <c r="AU47" s="29" t="str">
        <f t="shared" si="50"/>
        <v>#DIV/0!</v>
      </c>
      <c r="AV47" s="29" t="str">
        <f t="shared" si="50"/>
        <v>#DIV/0!</v>
      </c>
      <c r="AW47" s="29" t="str">
        <f t="shared" si="50"/>
        <v>#DIV/0!</v>
      </c>
      <c r="AX47" s="29" t="str">
        <f t="shared" si="50"/>
        <v>#DIV/0!</v>
      </c>
      <c r="AY47" s="29" t="str">
        <f t="shared" si="50"/>
        <v>#DIV/0!</v>
      </c>
      <c r="AZ47" s="29" t="str">
        <f t="shared" si="50"/>
        <v>#DIV/0!</v>
      </c>
      <c r="BA47" s="29" t="str">
        <f t="shared" si="50"/>
        <v>#DIV/0!</v>
      </c>
      <c r="BB47" s="29" t="str">
        <f t="shared" si="50"/>
        <v>#DIV/0!</v>
      </c>
      <c r="BC47" s="29" t="str">
        <f t="shared" si="50"/>
        <v>#DIV/0!</v>
      </c>
      <c r="BD47" s="29" t="str">
        <f t="shared" si="50"/>
        <v>#DIV/0!</v>
      </c>
      <c r="BE47" s="29" t="str">
        <f t="shared" si="50"/>
        <v>#DIV/0!</v>
      </c>
      <c r="BF47" s="29" t="str">
        <f t="shared" si="50"/>
        <v>#DIV/0!</v>
      </c>
      <c r="BG47" s="29" t="str">
        <f t="shared" si="50"/>
        <v>#DIV/0!</v>
      </c>
      <c r="BH47" s="29" t="str">
        <f t="shared" si="50"/>
        <v>#DIV/0!</v>
      </c>
      <c r="BI47" s="29" t="str">
        <f t="shared" si="50"/>
        <v>#DIV/0!</v>
      </c>
      <c r="BJ47" s="29" t="str">
        <f t="shared" si="50"/>
        <v>#DIV/0!</v>
      </c>
      <c r="BK47" s="29" t="str">
        <f t="shared" si="50"/>
        <v>#DIV/0!</v>
      </c>
      <c r="BL47" s="29" t="str">
        <f t="shared" si="50"/>
        <v>#DIV/0!</v>
      </c>
      <c r="BM47" s="29" t="str">
        <f t="shared" si="3"/>
        <v>#DIV/0!</v>
      </c>
    </row>
    <row r="48">
      <c r="A48" s="16" t="str">
        <f>IFERROR(__xludf.DUMMYFUNCTION("IFERROR(SPARKLINE(SORT(MAP(TRANSPOSE(AQ48:BL48), LAMBDA(val, IF(ISNUMBER(val), PERCENTRANK(AQ48:BL48, val)+0.01, 0))), SEQUENCE(COLUMNS(AQ48:BL48)), FALSE), {""charttype"",""column""; ""color"",""chartreuse""; ""ymin"", 0; ""ymax"", 1.01; ""highcolor"", "&amp;"""darkgreen""; ""lowcolor"", ""red""}), """")"),"")</f>
        <v/>
      </c>
      <c r="B48" s="17" t="str">
        <f t="shared" si="4"/>
        <v/>
      </c>
      <c r="C48" s="1" t="s">
        <v>262</v>
      </c>
      <c r="D48" s="34" t="str">
        <f>IFERROR(__xludf.DUMMYFUNCTION("IFERROR(GOOGLEFINANCE(C48, ""NAME""))"),"Prudential Financial Inc")</f>
        <v>Prudential Financial Inc</v>
      </c>
      <c r="E48" s="30" t="s">
        <v>231</v>
      </c>
      <c r="F48" s="33" t="str">
        <f>IFERROR(__xludf.DUMMYFUNCTION("( (GOOGLEFINANCE(C48, ""price"") - Q48) / Q48 ) / (R48 / 100)"),"Loading...")</f>
        <v>Loading...</v>
      </c>
      <c r="G48" s="20" t="str">
        <f>IFERROR(__xludf.DUMMYFUNCTION("AVERAGE(ARRAYFORMULA(100 * (QUERY(GOOGLEFINANCE(C48, ""high"", TODAY()-40, TODAY()), ""SELECT Col2 WHERE Col2 IS NOT NULL ORDER BY Col1 DESC LIMIT 20"", 0) / QUERY(GOOGLEFINANCE(C48, ""low"", TODAY()-40, TODAY()), ""SELECT Col2 WHERE Col2 IS NOT NULL ORDE"&amp;"R BY Col1 DESC LIMIT 20"", 0) - 1)))"),"#N/A")</f>
        <v>#N/A</v>
      </c>
      <c r="H48" s="35" t="str">
        <f t="shared" si="6"/>
        <v/>
      </c>
      <c r="I48" s="36" t="str">
        <f t="shared" si="7"/>
        <v/>
      </c>
      <c r="J48" s="37" t="str">
        <f>IFERROR(__xludf.DUMMYFUNCTION("IFERROR(
  IF(C48="""",, 
    IFERROR(
      GOOGLEFINANCE(C48, ""price"") * GOOGLEFINANCE(C48, ""volumeavg""), 
      GOOGLEFINANCE(C48, ""price"") * AVERAGE(QUERY(GOOGLEFINANCE(C48, ""volume"", TODAY()-40, TODAY()), ""SELECT Col2 WHERE Col2 IS NOT NULL "&amp;"ORDER BY Col1 DESC LIMIT 20"", 0))
    )
  ), 
"""")"),"")</f>
        <v/>
      </c>
      <c r="K48" s="21" t="str">
        <f>IFERROR(__xludf.DUMMYFUNCTION("IFERROR(GOOGLEFINANCE(C48, ""changepct"") / 100, """")"),"")</f>
        <v/>
      </c>
      <c r="L48" s="21" t="str">
        <f>IFERROR(__xludf.DUMMYFUNCTION("IFERROR((GOOGLEFINANCE(C48, ""price"") / INDEX(GOOGLEFINANCE(C48, ""price"", TODAY()-7, TODAY()), 2, 2)) - 1, """")"),"")</f>
        <v/>
      </c>
      <c r="M48" s="21" t="str">
        <f>IFERROR(__xludf.DUMMYFUNCTION("IFERROR((GOOGLEFINANCE(C48, ""price"") / INDEX(GOOGLEFINANCE(C48, ""price"", EDATE(TODAY(), -1), TODAY()), 2, 2)) - 1, """")"),"")</f>
        <v/>
      </c>
      <c r="N48" s="21" t="str">
        <f>IFERROR(__xludf.DUMMYFUNCTION("IFERROR((GOOGLEFINANCE(C48, ""price"") / INDEX(GOOGLEFINANCE(C48, ""price"", EDATE(TODAY(), -3), TODAY()), 2, 2)) - 1, """")"),"")</f>
        <v/>
      </c>
      <c r="O48" s="21" t="str">
        <f>IFERROR(__xludf.DUMMYFUNCTION("IFERROR((GOOGLEFINANCE(C48, ""price"") / INDEX(GOOGLEFINANCE(C48, ""price"", EDATE(TODAY(), -6), TODAY()), 2, 2)) - 1, """")"),"")</f>
        <v/>
      </c>
      <c r="P48" s="21" t="str">
        <f>IFERROR(__xludf.DUMMYFUNCTION("IFERROR((GOOGLEFINANCE(C48, ""price"") / INDEX(GOOGLEFINANCE(C48, ""price"", EDATE(TODAY(), -12), TODAY()), 2, 2)) - 1, """")"),"")</f>
        <v/>
      </c>
      <c r="Q48" s="6" t="str">
        <f>IFERROR(__xludf.DUMMYFUNCTION("AVERAGE(QUERY(GOOGLEFINANCE(C48, ""price"", TODAY()-80, TODAY()), ""SELECT Col2 WHERE Col2 IS NOT NULL ORDER BY Col1 DESC LIMIT 50"", 0))"),"#N/A")</f>
        <v>#N/A</v>
      </c>
      <c r="R48" s="24" t="str">
        <f>IFERROR(__xludf.DUMMYFUNCTION("IFERROR(
  LET(
    data, QUERY(GOOGLEFINANCE(C48,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GOOGLEFINANCE(C48, ""price"")) * 100,
    IF(calc=0, G48, calc)
  ), 
G48)"),"#N/A")</f>
        <v>#N/A</v>
      </c>
      <c r="S48" s="8" t="s">
        <v>15</v>
      </c>
      <c r="T48" s="26" t="str">
        <f>IFERROR(__xludf.DUMMYFUNCTION("IFERROR(TRANSPOSE(QUERY(IFERROR(SORT(GOOGLEFINANCE(C48, ""price"", WORKDAY(TODAY(), -40), TODAY()), 1, FALSE)), ""select Col2 where Col2 is not null limit 22 label Col2 ''"", 0)), """")"),"")</f>
        <v/>
      </c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8"/>
      <c r="AO48" s="28"/>
      <c r="AP48" s="29"/>
      <c r="AQ48" s="29" t="str">
        <f t="shared" ref="AQ48:BL48" si="51">T48/T$2</f>
        <v>#N/A</v>
      </c>
      <c r="AR48" s="29" t="str">
        <f t="shared" si="51"/>
        <v>#DIV/0!</v>
      </c>
      <c r="AS48" s="29" t="str">
        <f t="shared" si="51"/>
        <v>#DIV/0!</v>
      </c>
      <c r="AT48" s="29" t="str">
        <f t="shared" si="51"/>
        <v>#DIV/0!</v>
      </c>
      <c r="AU48" s="29" t="str">
        <f t="shared" si="51"/>
        <v>#DIV/0!</v>
      </c>
      <c r="AV48" s="29" t="str">
        <f t="shared" si="51"/>
        <v>#DIV/0!</v>
      </c>
      <c r="AW48" s="29" t="str">
        <f t="shared" si="51"/>
        <v>#DIV/0!</v>
      </c>
      <c r="AX48" s="29" t="str">
        <f t="shared" si="51"/>
        <v>#DIV/0!</v>
      </c>
      <c r="AY48" s="29" t="str">
        <f t="shared" si="51"/>
        <v>#DIV/0!</v>
      </c>
      <c r="AZ48" s="29" t="str">
        <f t="shared" si="51"/>
        <v>#DIV/0!</v>
      </c>
      <c r="BA48" s="29" t="str">
        <f t="shared" si="51"/>
        <v>#DIV/0!</v>
      </c>
      <c r="BB48" s="29" t="str">
        <f t="shared" si="51"/>
        <v>#DIV/0!</v>
      </c>
      <c r="BC48" s="29" t="str">
        <f t="shared" si="51"/>
        <v>#DIV/0!</v>
      </c>
      <c r="BD48" s="29" t="str">
        <f t="shared" si="51"/>
        <v>#DIV/0!</v>
      </c>
      <c r="BE48" s="29" t="str">
        <f t="shared" si="51"/>
        <v>#DIV/0!</v>
      </c>
      <c r="BF48" s="29" t="str">
        <f t="shared" si="51"/>
        <v>#DIV/0!</v>
      </c>
      <c r="BG48" s="29" t="str">
        <f t="shared" si="51"/>
        <v>#DIV/0!</v>
      </c>
      <c r="BH48" s="29" t="str">
        <f t="shared" si="51"/>
        <v>#DIV/0!</v>
      </c>
      <c r="BI48" s="29" t="str">
        <f t="shared" si="51"/>
        <v>#DIV/0!</v>
      </c>
      <c r="BJ48" s="29" t="str">
        <f t="shared" si="51"/>
        <v>#DIV/0!</v>
      </c>
      <c r="BK48" s="29" t="str">
        <f t="shared" si="51"/>
        <v>#DIV/0!</v>
      </c>
      <c r="BL48" s="29" t="str">
        <f t="shared" si="51"/>
        <v>#DIV/0!</v>
      </c>
      <c r="BM48" s="29" t="str">
        <f t="shared" si="3"/>
        <v>#DIV/0!</v>
      </c>
    </row>
    <row r="49">
      <c r="A49" s="16" t="str">
        <f>IFERROR(__xludf.DUMMYFUNCTION("IFERROR(SPARKLINE(SORT(MAP(TRANSPOSE(AQ49:BL49), LAMBDA(val, IF(ISNUMBER(val), PERCENTRANK(AQ49:BL49, val)+0.01, 0))), SEQUENCE(COLUMNS(AQ49:BL49)), FALSE), {""charttype"",""column""; ""color"",""chartreuse""; ""ymin"", 0; ""ymax"", 1.01; ""highcolor"", "&amp;"""darkgreen""; ""lowcolor"", ""red""}), """")"),"")</f>
        <v/>
      </c>
      <c r="B49" s="17" t="str">
        <f t="shared" si="4"/>
        <v/>
      </c>
      <c r="C49" s="1" t="s">
        <v>264</v>
      </c>
      <c r="D49" s="34" t="str">
        <f>IFERROR(__xludf.DUMMYFUNCTION("IFERROR(GOOGLEFINANCE(C49, ""NAME""))"),"TROOPS Inc")</f>
        <v>TROOPS Inc</v>
      </c>
      <c r="E49" s="30" t="s">
        <v>145</v>
      </c>
      <c r="F49" s="33" t="str">
        <f>IFERROR(__xludf.DUMMYFUNCTION("( (GOOGLEFINANCE(C49, ""price"") - Q49) / Q49 ) / (R49 / 100)"),"Loading...")</f>
        <v>Loading...</v>
      </c>
      <c r="G49" s="20" t="str">
        <f>IFERROR(__xludf.DUMMYFUNCTION("AVERAGE(ARRAYFORMULA(100 * (QUERY(GOOGLEFINANCE(C49, ""high"", TODAY()-40, TODAY()), ""SELECT Col2 WHERE Col2 IS NOT NULL ORDER BY Col1 DESC LIMIT 20"", 0) / QUERY(GOOGLEFINANCE(C49, ""low"", TODAY()-40, TODAY()), ""SELECT Col2 WHERE Col2 IS NOT NULL ORDE"&amp;"R BY Col1 DESC LIMIT 20"", 0) - 1)))"),"#N/A")</f>
        <v>#N/A</v>
      </c>
      <c r="H49" s="35" t="str">
        <f t="shared" si="6"/>
        <v/>
      </c>
      <c r="I49" s="36" t="str">
        <f t="shared" si="7"/>
        <v/>
      </c>
      <c r="J49" s="37" t="str">
        <f>IFERROR(__xludf.DUMMYFUNCTION("IFERROR(
  IF(C49="""",, 
    IFERROR(
      GOOGLEFINANCE(C49, ""price"") * GOOGLEFINANCE(C49, ""volumeavg""), 
      GOOGLEFINANCE(C49, ""price"") * AVERAGE(QUERY(GOOGLEFINANCE(C49, ""volume"", TODAY()-40, TODAY()), ""SELECT Col2 WHERE Col2 IS NOT NULL "&amp;"ORDER BY Col1 DESC LIMIT 20"", 0))
    )
  ), 
"""")"),"")</f>
        <v/>
      </c>
      <c r="K49" s="21" t="str">
        <f>IFERROR(__xludf.DUMMYFUNCTION("IFERROR(GOOGLEFINANCE(C49, ""changepct"") / 100, """")"),"")</f>
        <v/>
      </c>
      <c r="L49" s="21" t="str">
        <f>IFERROR(__xludf.DUMMYFUNCTION("IFERROR((GOOGLEFINANCE(C49, ""price"") / INDEX(GOOGLEFINANCE(C49, ""price"", TODAY()-7, TODAY()), 2, 2)) - 1, """")"),"")</f>
        <v/>
      </c>
      <c r="M49" s="21" t="str">
        <f>IFERROR(__xludf.DUMMYFUNCTION("IFERROR((GOOGLEFINANCE(C49, ""price"") / INDEX(GOOGLEFINANCE(C49, ""price"", EDATE(TODAY(), -1), TODAY()), 2, 2)) - 1, """")"),"")</f>
        <v/>
      </c>
      <c r="N49" s="21" t="str">
        <f>IFERROR(__xludf.DUMMYFUNCTION("IFERROR((GOOGLEFINANCE(C49, ""price"") / INDEX(GOOGLEFINANCE(C49, ""price"", EDATE(TODAY(), -3), TODAY()), 2, 2)) - 1, """")"),"")</f>
        <v/>
      </c>
      <c r="O49" s="21" t="str">
        <f>IFERROR(__xludf.DUMMYFUNCTION("IFERROR((GOOGLEFINANCE(C49, ""price"") / INDEX(GOOGLEFINANCE(C49, ""price"", EDATE(TODAY(), -6), TODAY()), 2, 2)) - 1, """")"),"")</f>
        <v/>
      </c>
      <c r="P49" s="21" t="str">
        <f>IFERROR(__xludf.DUMMYFUNCTION("IFERROR((GOOGLEFINANCE(C49, ""price"") / INDEX(GOOGLEFINANCE(C49, ""price"", EDATE(TODAY(), -12), TODAY()), 2, 2)) - 1, """")"),"")</f>
        <v/>
      </c>
      <c r="Q49" s="6" t="str">
        <f>IFERROR(__xludf.DUMMYFUNCTION("AVERAGE(QUERY(GOOGLEFINANCE(C49, ""price"", TODAY()-80, TODAY()), ""SELECT Col2 WHERE Col2 IS NOT NULL ORDER BY Col1 DESC LIMIT 50"", 0))"),"#N/A")</f>
        <v>#N/A</v>
      </c>
      <c r="R49" s="24" t="str">
        <f>IFERROR(__xludf.DUMMYFUNCTION("IFERROR(
  LET(
    data, QUERY(GOOGLEFINANCE(C49,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GOOGLEFINANCE(C49, ""price"")) * 100,
    IF(calc=0, G49, calc)
  ), 
G49)"),"#N/A")</f>
        <v>#N/A</v>
      </c>
      <c r="S49" s="8" t="s">
        <v>15</v>
      </c>
      <c r="T49" s="26" t="str">
        <f>IFERROR(__xludf.DUMMYFUNCTION("IFERROR(TRANSPOSE(QUERY(IFERROR(SORT(GOOGLEFINANCE(C49, ""price"", WORKDAY(TODAY(), -40), TODAY()), 1, FALSE)), ""select Col2 where Col2 is not null limit 22 label Col2 ''"", 0)), """")"),"")</f>
        <v/>
      </c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8"/>
      <c r="AO49" s="28"/>
      <c r="AP49" s="29"/>
      <c r="AQ49" s="29" t="str">
        <f t="shared" ref="AQ49:BL49" si="52">T49/T$2</f>
        <v>#N/A</v>
      </c>
      <c r="AR49" s="29" t="str">
        <f t="shared" si="52"/>
        <v>#DIV/0!</v>
      </c>
      <c r="AS49" s="29" t="str">
        <f t="shared" si="52"/>
        <v>#DIV/0!</v>
      </c>
      <c r="AT49" s="29" t="str">
        <f t="shared" si="52"/>
        <v>#DIV/0!</v>
      </c>
      <c r="AU49" s="29" t="str">
        <f t="shared" si="52"/>
        <v>#DIV/0!</v>
      </c>
      <c r="AV49" s="29" t="str">
        <f t="shared" si="52"/>
        <v>#DIV/0!</v>
      </c>
      <c r="AW49" s="29" t="str">
        <f t="shared" si="52"/>
        <v>#DIV/0!</v>
      </c>
      <c r="AX49" s="29" t="str">
        <f t="shared" si="52"/>
        <v>#DIV/0!</v>
      </c>
      <c r="AY49" s="29" t="str">
        <f t="shared" si="52"/>
        <v>#DIV/0!</v>
      </c>
      <c r="AZ49" s="29" t="str">
        <f t="shared" si="52"/>
        <v>#DIV/0!</v>
      </c>
      <c r="BA49" s="29" t="str">
        <f t="shared" si="52"/>
        <v>#DIV/0!</v>
      </c>
      <c r="BB49" s="29" t="str">
        <f t="shared" si="52"/>
        <v>#DIV/0!</v>
      </c>
      <c r="BC49" s="29" t="str">
        <f t="shared" si="52"/>
        <v>#DIV/0!</v>
      </c>
      <c r="BD49" s="29" t="str">
        <f t="shared" si="52"/>
        <v>#DIV/0!</v>
      </c>
      <c r="BE49" s="29" t="str">
        <f t="shared" si="52"/>
        <v>#DIV/0!</v>
      </c>
      <c r="BF49" s="29" t="str">
        <f t="shared" si="52"/>
        <v>#DIV/0!</v>
      </c>
      <c r="BG49" s="29" t="str">
        <f t="shared" si="52"/>
        <v>#DIV/0!</v>
      </c>
      <c r="BH49" s="29" t="str">
        <f t="shared" si="52"/>
        <v>#DIV/0!</v>
      </c>
      <c r="BI49" s="29" t="str">
        <f t="shared" si="52"/>
        <v>#DIV/0!</v>
      </c>
      <c r="BJ49" s="29" t="str">
        <f t="shared" si="52"/>
        <v>#DIV/0!</v>
      </c>
      <c r="BK49" s="29" t="str">
        <f t="shared" si="52"/>
        <v>#DIV/0!</v>
      </c>
      <c r="BL49" s="29" t="str">
        <f t="shared" si="52"/>
        <v>#DIV/0!</v>
      </c>
      <c r="BM49" s="29" t="str">
        <f t="shared" si="3"/>
        <v>#DIV/0!</v>
      </c>
    </row>
    <row r="50">
      <c r="A50" s="16" t="str">
        <f>IFERROR(__xludf.DUMMYFUNCTION("IFERROR(SPARKLINE(SORT(MAP(TRANSPOSE(AQ50:BL50), LAMBDA(val, IF(ISNUMBER(val), PERCENTRANK(AQ50:BL50, val)+0.01, 0))), SEQUENCE(COLUMNS(AQ50:BL50)), FALSE), {""charttype"",""column""; ""color"",""chartreuse""; ""ymin"", 0; ""ymax"", 1.01; ""highcolor"", "&amp;"""darkgreen""; ""lowcolor"", ""red""}), """")"),"")</f>
        <v/>
      </c>
      <c r="B50" s="17" t="str">
        <f t="shared" si="4"/>
        <v/>
      </c>
      <c r="C50" s="1" t="s">
        <v>267</v>
      </c>
      <c r="D50" s="34" t="str">
        <f>IFERROR(__xludf.DUMMYFUNCTION("IFERROR(GOOGLEFINANCE(C50, ""NAME""))"),"Midland States Bancorp Inc")</f>
        <v>Midland States Bancorp Inc</v>
      </c>
      <c r="E50" s="30" t="s">
        <v>268</v>
      </c>
      <c r="F50" s="33" t="str">
        <f>IFERROR(__xludf.DUMMYFUNCTION("( (GOOGLEFINANCE(C50, ""price"") - Q50) / Q50 ) / (R50 / 100)"),"Loading...")</f>
        <v>Loading...</v>
      </c>
      <c r="G50" s="20" t="str">
        <f>IFERROR(__xludf.DUMMYFUNCTION("AVERAGE(ARRAYFORMULA(100 * (QUERY(GOOGLEFINANCE(C50, ""high"", TODAY()-40, TODAY()), ""SELECT Col2 WHERE Col2 IS NOT NULL ORDER BY Col1 DESC LIMIT 20"", 0) / QUERY(GOOGLEFINANCE(C50, ""low"", TODAY()-40, TODAY()), ""SELECT Col2 WHERE Col2 IS NOT NULL ORDE"&amp;"R BY Col1 DESC LIMIT 20"", 0) - 1)))"),"#N/A")</f>
        <v>#N/A</v>
      </c>
      <c r="H50" s="35" t="str">
        <f t="shared" si="6"/>
        <v/>
      </c>
      <c r="I50" s="36" t="str">
        <f t="shared" si="7"/>
        <v/>
      </c>
      <c r="J50" s="37" t="str">
        <f>IFERROR(__xludf.DUMMYFUNCTION("IFERROR(
  IF(C50="""",, 
    IFERROR(
      GOOGLEFINANCE(C50, ""price"") * GOOGLEFINANCE(C50, ""volumeavg""), 
      GOOGLEFINANCE(C50, ""price"") * AVERAGE(QUERY(GOOGLEFINANCE(C50, ""volume"", TODAY()-40, TODAY()), ""SELECT Col2 WHERE Col2 IS NOT NULL "&amp;"ORDER BY Col1 DESC LIMIT 20"", 0))
    )
  ), 
"""")"),"")</f>
        <v/>
      </c>
      <c r="K50" s="21" t="str">
        <f>IFERROR(__xludf.DUMMYFUNCTION("IFERROR(GOOGLEFINANCE(C50, ""changepct"") / 100, """")"),"")</f>
        <v/>
      </c>
      <c r="L50" s="21" t="str">
        <f>IFERROR(__xludf.DUMMYFUNCTION("IFERROR((GOOGLEFINANCE(C50, ""price"") / INDEX(GOOGLEFINANCE(C50, ""price"", TODAY()-7, TODAY()), 2, 2)) - 1, """")"),"")</f>
        <v/>
      </c>
      <c r="M50" s="21" t="str">
        <f>IFERROR(__xludf.DUMMYFUNCTION("IFERROR((GOOGLEFINANCE(C50, ""price"") / INDEX(GOOGLEFINANCE(C50, ""price"", EDATE(TODAY(), -1), TODAY()), 2, 2)) - 1, """")"),"")</f>
        <v/>
      </c>
      <c r="N50" s="21" t="str">
        <f>IFERROR(__xludf.DUMMYFUNCTION("IFERROR((GOOGLEFINANCE(C50, ""price"") / INDEX(GOOGLEFINANCE(C50, ""price"", EDATE(TODAY(), -3), TODAY()), 2, 2)) - 1, """")"),"")</f>
        <v/>
      </c>
      <c r="O50" s="21" t="str">
        <f>IFERROR(__xludf.DUMMYFUNCTION("IFERROR((GOOGLEFINANCE(C50, ""price"") / INDEX(GOOGLEFINANCE(C50, ""price"", EDATE(TODAY(), -6), TODAY()), 2, 2)) - 1, """")"),"")</f>
        <v/>
      </c>
      <c r="P50" s="21" t="str">
        <f>IFERROR(__xludf.DUMMYFUNCTION("IFERROR((GOOGLEFINANCE(C50, ""price"") / INDEX(GOOGLEFINANCE(C50, ""price"", EDATE(TODAY(), -12), TODAY()), 2, 2)) - 1, """")"),"")</f>
        <v/>
      </c>
      <c r="Q50" s="6" t="str">
        <f>IFERROR(__xludf.DUMMYFUNCTION("AVERAGE(QUERY(GOOGLEFINANCE(C50, ""price"", TODAY()-80, TODAY()), ""SELECT Col2 WHERE Col2 IS NOT NULL ORDER BY Col1 DESC LIMIT 50"", 0))"),"#N/A")</f>
        <v>#N/A</v>
      </c>
      <c r="R50" s="24" t="str">
        <f>IFERROR(__xludf.DUMMYFUNCTION("IFERROR(
  LET(
    data, QUERY(GOOGLEFINANCE(C50,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GOOGLEFINANCE(C50, ""price"")) * 100,
    IF(calc=0, G50, calc)
  ), 
G50)"),"#N/A")</f>
        <v>#N/A</v>
      </c>
      <c r="S50" s="8" t="s">
        <v>15</v>
      </c>
      <c r="T50" s="26" t="str">
        <f>IFERROR(__xludf.DUMMYFUNCTION("IFERROR(TRANSPOSE(QUERY(IFERROR(SORT(GOOGLEFINANCE(C50, ""price"", WORKDAY(TODAY(), -40), TODAY()), 1, FALSE)), ""select Col2 where Col2 is not null limit 22 label Col2 ''"", 0)), """")"),"")</f>
        <v/>
      </c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8"/>
      <c r="AO50" s="28"/>
      <c r="AP50" s="29"/>
      <c r="AQ50" s="29" t="str">
        <f t="shared" ref="AQ50:BL50" si="53">T50/T$2</f>
        <v>#N/A</v>
      </c>
      <c r="AR50" s="29" t="str">
        <f t="shared" si="53"/>
        <v>#DIV/0!</v>
      </c>
      <c r="AS50" s="29" t="str">
        <f t="shared" si="53"/>
        <v>#DIV/0!</v>
      </c>
      <c r="AT50" s="29" t="str">
        <f t="shared" si="53"/>
        <v>#DIV/0!</v>
      </c>
      <c r="AU50" s="29" t="str">
        <f t="shared" si="53"/>
        <v>#DIV/0!</v>
      </c>
      <c r="AV50" s="29" t="str">
        <f t="shared" si="53"/>
        <v>#DIV/0!</v>
      </c>
      <c r="AW50" s="29" t="str">
        <f t="shared" si="53"/>
        <v>#DIV/0!</v>
      </c>
      <c r="AX50" s="29" t="str">
        <f t="shared" si="53"/>
        <v>#DIV/0!</v>
      </c>
      <c r="AY50" s="29" t="str">
        <f t="shared" si="53"/>
        <v>#DIV/0!</v>
      </c>
      <c r="AZ50" s="29" t="str">
        <f t="shared" si="53"/>
        <v>#DIV/0!</v>
      </c>
      <c r="BA50" s="29" t="str">
        <f t="shared" si="53"/>
        <v>#DIV/0!</v>
      </c>
      <c r="BB50" s="29" t="str">
        <f t="shared" si="53"/>
        <v>#DIV/0!</v>
      </c>
      <c r="BC50" s="29" t="str">
        <f t="shared" si="53"/>
        <v>#DIV/0!</v>
      </c>
      <c r="BD50" s="29" t="str">
        <f t="shared" si="53"/>
        <v>#DIV/0!</v>
      </c>
      <c r="BE50" s="29" t="str">
        <f t="shared" si="53"/>
        <v>#DIV/0!</v>
      </c>
      <c r="BF50" s="29" t="str">
        <f t="shared" si="53"/>
        <v>#DIV/0!</v>
      </c>
      <c r="BG50" s="29" t="str">
        <f t="shared" si="53"/>
        <v>#DIV/0!</v>
      </c>
      <c r="BH50" s="29" t="str">
        <f t="shared" si="53"/>
        <v>#DIV/0!</v>
      </c>
      <c r="BI50" s="29" t="str">
        <f t="shared" si="53"/>
        <v>#DIV/0!</v>
      </c>
      <c r="BJ50" s="29" t="str">
        <f t="shared" si="53"/>
        <v>#DIV/0!</v>
      </c>
      <c r="BK50" s="29" t="str">
        <f t="shared" si="53"/>
        <v>#DIV/0!</v>
      </c>
      <c r="BL50" s="29" t="str">
        <f t="shared" si="53"/>
        <v>#DIV/0!</v>
      </c>
      <c r="BM50" s="29" t="str">
        <f t="shared" si="3"/>
        <v>#DIV/0!</v>
      </c>
    </row>
    <row r="51">
      <c r="A51" s="16" t="str">
        <f>IFERROR(__xludf.DUMMYFUNCTION("IFERROR(SPARKLINE(SORT(MAP(TRANSPOSE(AQ51:BL51), LAMBDA(val, IF(ISNUMBER(val), PERCENTRANK(AQ51:BL51, val)+0.01, 0))), SEQUENCE(COLUMNS(AQ51:BL51)), FALSE), {""charttype"",""column""; ""color"",""chartreuse""; ""ymin"", 0; ""ymax"", 1.01; ""highcolor"", "&amp;"""darkgreen""; ""lowcolor"", ""red""}), """")"),"")</f>
        <v/>
      </c>
      <c r="B51" s="17" t="str">
        <f t="shared" si="4"/>
        <v/>
      </c>
      <c r="C51" s="1" t="s">
        <v>271</v>
      </c>
      <c r="D51" s="34" t="str">
        <f>IFERROR(__xludf.DUMMYFUNCTION("IFERROR(GOOGLEFINANCE(C51, ""NAME""))"),"Terawulf Inc")</f>
        <v>Terawulf Inc</v>
      </c>
      <c r="E51" s="30" t="s">
        <v>77</v>
      </c>
      <c r="F51" s="33" t="str">
        <f>IFERROR(__xludf.DUMMYFUNCTION("( (GOOGLEFINANCE(C51, ""price"") - Q51) / Q51 ) / (R51 / 100)"),"Loading...")</f>
        <v>Loading...</v>
      </c>
      <c r="G51" s="20" t="str">
        <f>IFERROR(__xludf.DUMMYFUNCTION("AVERAGE(ARRAYFORMULA(100 * (QUERY(GOOGLEFINANCE(C51, ""high"", TODAY()-40, TODAY()), ""SELECT Col2 WHERE Col2 IS NOT NULL ORDER BY Col1 DESC LIMIT 20"", 0) / QUERY(GOOGLEFINANCE(C51, ""low"", TODAY()-40, TODAY()), ""SELECT Col2 WHERE Col2 IS NOT NULL ORDE"&amp;"R BY Col1 DESC LIMIT 20"", 0) - 1)))"),"#N/A")</f>
        <v>#N/A</v>
      </c>
      <c r="H51" s="35" t="str">
        <f t="shared" si="6"/>
        <v/>
      </c>
      <c r="I51" s="36" t="str">
        <f t="shared" si="7"/>
        <v/>
      </c>
      <c r="J51" s="37" t="str">
        <f>IFERROR(__xludf.DUMMYFUNCTION("IFERROR(
  IF(C51="""",, 
    IFERROR(
      GOOGLEFINANCE(C51, ""price"") * GOOGLEFINANCE(C51, ""volumeavg""), 
      GOOGLEFINANCE(C51, ""price"") * AVERAGE(QUERY(GOOGLEFINANCE(C51, ""volume"", TODAY()-40, TODAY()), ""SELECT Col2 WHERE Col2 IS NOT NULL "&amp;"ORDER BY Col1 DESC LIMIT 20"", 0))
    )
  ), 
"""")"),"")</f>
        <v/>
      </c>
      <c r="K51" s="21" t="str">
        <f>IFERROR(__xludf.DUMMYFUNCTION("IFERROR(GOOGLEFINANCE(C51, ""changepct"") / 100, """")"),"")</f>
        <v/>
      </c>
      <c r="L51" s="21" t="str">
        <f>IFERROR(__xludf.DUMMYFUNCTION("IFERROR((GOOGLEFINANCE(C51, ""price"") / INDEX(GOOGLEFINANCE(C51, ""price"", TODAY()-7, TODAY()), 2, 2)) - 1, """")"),"")</f>
        <v/>
      </c>
      <c r="M51" s="21" t="str">
        <f>IFERROR(__xludf.DUMMYFUNCTION("IFERROR((GOOGLEFINANCE(C51, ""price"") / INDEX(GOOGLEFINANCE(C51, ""price"", EDATE(TODAY(), -1), TODAY()), 2, 2)) - 1, """")"),"")</f>
        <v/>
      </c>
      <c r="N51" s="21" t="str">
        <f>IFERROR(__xludf.DUMMYFUNCTION("IFERROR((GOOGLEFINANCE(C51, ""price"") / INDEX(GOOGLEFINANCE(C51, ""price"", EDATE(TODAY(), -3), TODAY()), 2, 2)) - 1, """")"),"")</f>
        <v/>
      </c>
      <c r="O51" s="21" t="str">
        <f>IFERROR(__xludf.DUMMYFUNCTION("IFERROR((GOOGLEFINANCE(C51, ""price"") / INDEX(GOOGLEFINANCE(C51, ""price"", EDATE(TODAY(), -6), TODAY()), 2, 2)) - 1, """")"),"")</f>
        <v/>
      </c>
      <c r="P51" s="21" t="str">
        <f>IFERROR(__xludf.DUMMYFUNCTION("IFERROR((GOOGLEFINANCE(C51, ""price"") / INDEX(GOOGLEFINANCE(C51, ""price"", EDATE(TODAY(), -12), TODAY()), 2, 2)) - 1, """")"),"")</f>
        <v/>
      </c>
      <c r="Q51" s="6" t="str">
        <f>IFERROR(__xludf.DUMMYFUNCTION("AVERAGE(QUERY(GOOGLEFINANCE(C51, ""price"", TODAY()-80, TODAY()), ""SELECT Col2 WHERE Col2 IS NOT NULL ORDER BY Col1 DESC LIMIT 50"", 0))"),"#N/A")</f>
        <v>#N/A</v>
      </c>
      <c r="R51" s="24" t="str">
        <f>IFERROR(__xludf.DUMMYFUNCTION("IFERROR(
  LET(
    data, QUERY(GOOGLEFINANCE(C51,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GOOGLEFINANCE(C51, ""price"")) * 100,
    IF(calc=0, G51, calc)
  ), 
G51)"),"#N/A")</f>
        <v>#N/A</v>
      </c>
      <c r="S51" s="8" t="s">
        <v>15</v>
      </c>
      <c r="T51" s="26" t="str">
        <f>IFERROR(__xludf.DUMMYFUNCTION("IFERROR(TRANSPOSE(QUERY(IFERROR(SORT(GOOGLEFINANCE(C51, ""price"", WORKDAY(TODAY(), -40), TODAY()), 1, FALSE)), ""select Col2 where Col2 is not null limit 22 label Col2 ''"", 0)), """")"),"")</f>
        <v/>
      </c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8"/>
      <c r="AO51" s="28"/>
      <c r="AP51" s="29"/>
      <c r="AQ51" s="29" t="str">
        <f t="shared" ref="AQ51:BL51" si="54">T51/T$2</f>
        <v>#N/A</v>
      </c>
      <c r="AR51" s="29" t="str">
        <f t="shared" si="54"/>
        <v>#DIV/0!</v>
      </c>
      <c r="AS51" s="29" t="str">
        <f t="shared" si="54"/>
        <v>#DIV/0!</v>
      </c>
      <c r="AT51" s="29" t="str">
        <f t="shared" si="54"/>
        <v>#DIV/0!</v>
      </c>
      <c r="AU51" s="29" t="str">
        <f t="shared" si="54"/>
        <v>#DIV/0!</v>
      </c>
      <c r="AV51" s="29" t="str">
        <f t="shared" si="54"/>
        <v>#DIV/0!</v>
      </c>
      <c r="AW51" s="29" t="str">
        <f t="shared" si="54"/>
        <v>#DIV/0!</v>
      </c>
      <c r="AX51" s="29" t="str">
        <f t="shared" si="54"/>
        <v>#DIV/0!</v>
      </c>
      <c r="AY51" s="29" t="str">
        <f t="shared" si="54"/>
        <v>#DIV/0!</v>
      </c>
      <c r="AZ51" s="29" t="str">
        <f t="shared" si="54"/>
        <v>#DIV/0!</v>
      </c>
      <c r="BA51" s="29" t="str">
        <f t="shared" si="54"/>
        <v>#DIV/0!</v>
      </c>
      <c r="BB51" s="29" t="str">
        <f t="shared" si="54"/>
        <v>#DIV/0!</v>
      </c>
      <c r="BC51" s="29" t="str">
        <f t="shared" si="54"/>
        <v>#DIV/0!</v>
      </c>
      <c r="BD51" s="29" t="str">
        <f t="shared" si="54"/>
        <v>#DIV/0!</v>
      </c>
      <c r="BE51" s="29" t="str">
        <f t="shared" si="54"/>
        <v>#DIV/0!</v>
      </c>
      <c r="BF51" s="29" t="str">
        <f t="shared" si="54"/>
        <v>#DIV/0!</v>
      </c>
      <c r="BG51" s="29" t="str">
        <f t="shared" si="54"/>
        <v>#DIV/0!</v>
      </c>
      <c r="BH51" s="29" t="str">
        <f t="shared" si="54"/>
        <v>#DIV/0!</v>
      </c>
      <c r="BI51" s="29" t="str">
        <f t="shared" si="54"/>
        <v>#DIV/0!</v>
      </c>
      <c r="BJ51" s="29" t="str">
        <f t="shared" si="54"/>
        <v>#DIV/0!</v>
      </c>
      <c r="BK51" s="29" t="str">
        <f t="shared" si="54"/>
        <v>#DIV/0!</v>
      </c>
      <c r="BL51" s="29" t="str">
        <f t="shared" si="54"/>
        <v>#DIV/0!</v>
      </c>
      <c r="BM51" s="29" t="str">
        <f t="shared" si="3"/>
        <v>#DIV/0!</v>
      </c>
    </row>
    <row r="52">
      <c r="A52" s="16" t="str">
        <f>IFERROR(__xludf.DUMMYFUNCTION("IFERROR(SPARKLINE(SORT(MAP(TRANSPOSE(AQ52:BL52), LAMBDA(val, IF(ISNUMBER(val), PERCENTRANK(AQ52:BL52, val)+0.01, 0))), SEQUENCE(COLUMNS(AQ52:BL52)), FALSE), {""charttype"",""column""; ""color"",""chartreuse""; ""ymin"", 0; ""ymax"", 1.01; ""highcolor"", "&amp;"""darkgreen""; ""lowcolor"", ""red""}), """")"),"")</f>
        <v/>
      </c>
      <c r="B52" s="17" t="str">
        <f t="shared" si="4"/>
        <v/>
      </c>
      <c r="C52" s="1" t="s">
        <v>275</v>
      </c>
      <c r="D52" s="34" t="str">
        <f>IFERROR(__xludf.DUMMYFUNCTION("IFERROR(GOOGLEFINANCE(C52, ""NAME""))"),"Radian Group Inc")</f>
        <v>Radian Group Inc</v>
      </c>
      <c r="E52" s="30" t="s">
        <v>276</v>
      </c>
      <c r="F52" s="38" t="str">
        <f>IFERROR(__xludf.DUMMYFUNCTION("( (GOOGLEFINANCE(C52, ""price"") - Q52) / Q52 ) / (R52 / 100)"),"Loading...")</f>
        <v>Loading...</v>
      </c>
      <c r="G52" s="20" t="str">
        <f>IFERROR(__xludf.DUMMYFUNCTION("AVERAGE(ARRAYFORMULA(100 * (QUERY(GOOGLEFINANCE(C52, ""high"", TODAY()-40, TODAY()), ""SELECT Col2 WHERE Col2 IS NOT NULL ORDER BY Col1 DESC LIMIT 20"", 0) / QUERY(GOOGLEFINANCE(C52, ""low"", TODAY()-40, TODAY()), ""SELECT Col2 WHERE Col2 IS NOT NULL ORDE"&amp;"R BY Col1 DESC LIMIT 20"", 0) - 1)))"),"#N/A")</f>
        <v>#N/A</v>
      </c>
      <c r="H52" s="35" t="str">
        <f t="shared" si="6"/>
        <v/>
      </c>
      <c r="I52" s="36" t="str">
        <f t="shared" si="7"/>
        <v/>
      </c>
      <c r="J52" s="37" t="str">
        <f>IFERROR(__xludf.DUMMYFUNCTION("IFERROR(
  IF(C52="""",, 
    IFERROR(
      GOOGLEFINANCE(C52, ""price"") * GOOGLEFINANCE(C52, ""volumeavg""), 
      GOOGLEFINANCE(C52, ""price"") * AVERAGE(QUERY(GOOGLEFINANCE(C52, ""volume"", TODAY()-40, TODAY()), ""SELECT Col2 WHERE Col2 IS NOT NULL "&amp;"ORDER BY Col1 DESC LIMIT 20"", 0))
    )
  ), 
"""")"),"")</f>
        <v/>
      </c>
      <c r="K52" s="21" t="str">
        <f>IFERROR(__xludf.DUMMYFUNCTION("IFERROR(GOOGLEFINANCE(C52, ""changepct"") / 100, """")"),"")</f>
        <v/>
      </c>
      <c r="L52" s="21" t="str">
        <f>IFERROR(__xludf.DUMMYFUNCTION("IFERROR((GOOGLEFINANCE(C52, ""price"") / INDEX(GOOGLEFINANCE(C52, ""price"", TODAY()-7, TODAY()), 2, 2)) - 1, """")"),"")</f>
        <v/>
      </c>
      <c r="M52" s="21" t="str">
        <f>IFERROR(__xludf.DUMMYFUNCTION("IFERROR((GOOGLEFINANCE(C52, ""price"") / INDEX(GOOGLEFINANCE(C52, ""price"", EDATE(TODAY(), -1), TODAY()), 2, 2)) - 1, """")"),"")</f>
        <v/>
      </c>
      <c r="N52" s="21" t="str">
        <f>IFERROR(__xludf.DUMMYFUNCTION("IFERROR((GOOGLEFINANCE(C52, ""price"") / INDEX(GOOGLEFINANCE(C52, ""price"", EDATE(TODAY(), -3), TODAY()), 2, 2)) - 1, """")"),"")</f>
        <v/>
      </c>
      <c r="O52" s="21" t="str">
        <f>IFERROR(__xludf.DUMMYFUNCTION("IFERROR((GOOGLEFINANCE(C52, ""price"") / INDEX(GOOGLEFINANCE(C52, ""price"", EDATE(TODAY(), -6), TODAY()), 2, 2)) - 1, """")"),"")</f>
        <v/>
      </c>
      <c r="P52" s="21" t="str">
        <f>IFERROR(__xludf.DUMMYFUNCTION("IFERROR((GOOGLEFINANCE(C52, ""price"") / INDEX(GOOGLEFINANCE(C52, ""price"", EDATE(TODAY(), -12), TODAY()), 2, 2)) - 1, """")"),"")</f>
        <v/>
      </c>
      <c r="Q52" s="6" t="str">
        <f>IFERROR(__xludf.DUMMYFUNCTION("AVERAGE(QUERY(GOOGLEFINANCE(C52, ""price"", TODAY()-80, TODAY()), ""SELECT Col2 WHERE Col2 IS NOT NULL ORDER BY Col1 DESC LIMIT 50"", 0))"),"#N/A")</f>
        <v>#N/A</v>
      </c>
      <c r="R52" s="24" t="str">
        <f>IFERROR(__xludf.DUMMYFUNCTION("IFERROR(
  LET(
    data, QUERY(GOOGLEFINANCE(C52,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GOOGLEFINANCE(C52, ""price"")) * 100,
    IF(calc=0, G52, calc)
  ), 
G52)"),"#N/A")</f>
        <v>#N/A</v>
      </c>
      <c r="S52" s="8" t="s">
        <v>15</v>
      </c>
      <c r="T52" s="26" t="str">
        <f>IFERROR(__xludf.DUMMYFUNCTION("IFERROR(TRANSPOSE(QUERY(IFERROR(SORT(GOOGLEFINANCE(C52, ""price"", WORKDAY(TODAY(), -40), TODAY()), 1, FALSE)), ""select Col2 where Col2 is not null limit 22 label Col2 ''"", 0)), """")"),"")</f>
        <v/>
      </c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8"/>
      <c r="AO52" s="28"/>
      <c r="AP52" s="29"/>
      <c r="AQ52" s="29" t="str">
        <f t="shared" ref="AQ52:BL52" si="55">T52/T$2</f>
        <v>#N/A</v>
      </c>
      <c r="AR52" s="29" t="str">
        <f t="shared" si="55"/>
        <v>#DIV/0!</v>
      </c>
      <c r="AS52" s="29" t="str">
        <f t="shared" si="55"/>
        <v>#DIV/0!</v>
      </c>
      <c r="AT52" s="29" t="str">
        <f t="shared" si="55"/>
        <v>#DIV/0!</v>
      </c>
      <c r="AU52" s="29" t="str">
        <f t="shared" si="55"/>
        <v>#DIV/0!</v>
      </c>
      <c r="AV52" s="29" t="str">
        <f t="shared" si="55"/>
        <v>#DIV/0!</v>
      </c>
      <c r="AW52" s="29" t="str">
        <f t="shared" si="55"/>
        <v>#DIV/0!</v>
      </c>
      <c r="AX52" s="29" t="str">
        <f t="shared" si="55"/>
        <v>#DIV/0!</v>
      </c>
      <c r="AY52" s="29" t="str">
        <f t="shared" si="55"/>
        <v>#DIV/0!</v>
      </c>
      <c r="AZ52" s="29" t="str">
        <f t="shared" si="55"/>
        <v>#DIV/0!</v>
      </c>
      <c r="BA52" s="29" t="str">
        <f t="shared" si="55"/>
        <v>#DIV/0!</v>
      </c>
      <c r="BB52" s="29" t="str">
        <f t="shared" si="55"/>
        <v>#DIV/0!</v>
      </c>
      <c r="BC52" s="29" t="str">
        <f t="shared" si="55"/>
        <v>#DIV/0!</v>
      </c>
      <c r="BD52" s="29" t="str">
        <f t="shared" si="55"/>
        <v>#DIV/0!</v>
      </c>
      <c r="BE52" s="29" t="str">
        <f t="shared" si="55"/>
        <v>#DIV/0!</v>
      </c>
      <c r="BF52" s="29" t="str">
        <f t="shared" si="55"/>
        <v>#DIV/0!</v>
      </c>
      <c r="BG52" s="29" t="str">
        <f t="shared" si="55"/>
        <v>#DIV/0!</v>
      </c>
      <c r="BH52" s="29" t="str">
        <f t="shared" si="55"/>
        <v>#DIV/0!</v>
      </c>
      <c r="BI52" s="29" t="str">
        <f t="shared" si="55"/>
        <v>#DIV/0!</v>
      </c>
      <c r="BJ52" s="29" t="str">
        <f t="shared" si="55"/>
        <v>#DIV/0!</v>
      </c>
      <c r="BK52" s="29" t="str">
        <f t="shared" si="55"/>
        <v>#DIV/0!</v>
      </c>
      <c r="BL52" s="29" t="str">
        <f t="shared" si="55"/>
        <v>#DIV/0!</v>
      </c>
      <c r="BM52" s="29" t="str">
        <f t="shared" si="3"/>
        <v>#DIV/0!</v>
      </c>
    </row>
    <row r="53">
      <c r="A53" s="16" t="str">
        <f>IFERROR(__xludf.DUMMYFUNCTION("IFERROR(SPARKLINE(SORT(MAP(TRANSPOSE(AQ53:BL53), LAMBDA(val, IF(ISNUMBER(val), PERCENTRANK(AQ53:BL53, val)+0.01, 0))), SEQUENCE(COLUMNS(AQ53:BL53)), FALSE), {""charttype"",""column""; ""color"",""chartreuse""; ""ymin"", 0; ""ymax"", 1.01; ""highcolor"", "&amp;"""darkgreen""; ""lowcolor"", ""red""}), """")"),"")</f>
        <v/>
      </c>
      <c r="B53" s="17" t="str">
        <f t="shared" si="4"/>
        <v/>
      </c>
      <c r="C53" s="1" t="s">
        <v>280</v>
      </c>
      <c r="D53" s="34" t="str">
        <f>IFERROR(__xludf.DUMMYFUNCTION("IFERROR(GOOGLEFINANCE(C53, ""NAME""))"),"Coinbase Global Inc")</f>
        <v>Coinbase Global Inc</v>
      </c>
      <c r="E53" s="30" t="s">
        <v>54</v>
      </c>
      <c r="F53" s="33" t="str">
        <f>IFERROR(__xludf.DUMMYFUNCTION("( (GOOGLEFINANCE(C53, ""price"") - Q53) / Q53 ) / (R53 / 100)"),"Loading...")</f>
        <v>Loading...</v>
      </c>
      <c r="G53" s="20" t="str">
        <f>IFERROR(__xludf.DUMMYFUNCTION("AVERAGE(ARRAYFORMULA(100 * (QUERY(GOOGLEFINANCE(C53, ""high"", TODAY()-40, TODAY()), ""SELECT Col2 WHERE Col2 IS NOT NULL ORDER BY Col1 DESC LIMIT 20"", 0) / QUERY(GOOGLEFINANCE(C53, ""low"", TODAY()-40, TODAY()), ""SELECT Col2 WHERE Col2 IS NOT NULL ORDE"&amp;"R BY Col1 DESC LIMIT 20"", 0) - 1)))"),"#N/A")</f>
        <v>#N/A</v>
      </c>
      <c r="H53" s="35" t="str">
        <f t="shared" si="6"/>
        <v/>
      </c>
      <c r="I53" s="36" t="str">
        <f t="shared" si="7"/>
        <v/>
      </c>
      <c r="J53" s="37" t="str">
        <f>IFERROR(__xludf.DUMMYFUNCTION("IFERROR(
  IF(C53="""",, 
    IFERROR(
      GOOGLEFINANCE(C53, ""price"") * GOOGLEFINANCE(C53, ""volumeavg""), 
      GOOGLEFINANCE(C53, ""price"") * AVERAGE(QUERY(GOOGLEFINANCE(C53, ""volume"", TODAY()-40, TODAY()), ""SELECT Col2 WHERE Col2 IS NOT NULL "&amp;"ORDER BY Col1 DESC LIMIT 20"", 0))
    )
  ), 
"""")"),"")</f>
        <v/>
      </c>
      <c r="K53" s="21" t="str">
        <f>IFERROR(__xludf.DUMMYFUNCTION("IFERROR(GOOGLEFINANCE(C53, ""changepct"") / 100, """")"),"")</f>
        <v/>
      </c>
      <c r="L53" s="21" t="str">
        <f>IFERROR(__xludf.DUMMYFUNCTION("IFERROR((GOOGLEFINANCE(C53, ""price"") / INDEX(GOOGLEFINANCE(C53, ""price"", TODAY()-7, TODAY()), 2, 2)) - 1, """")"),"")</f>
        <v/>
      </c>
      <c r="M53" s="21" t="str">
        <f>IFERROR(__xludf.DUMMYFUNCTION("IFERROR((GOOGLEFINANCE(C53, ""price"") / INDEX(GOOGLEFINANCE(C53, ""price"", EDATE(TODAY(), -1), TODAY()), 2, 2)) - 1, """")"),"")</f>
        <v/>
      </c>
      <c r="N53" s="21" t="str">
        <f>IFERROR(__xludf.DUMMYFUNCTION("IFERROR((GOOGLEFINANCE(C53, ""price"") / INDEX(GOOGLEFINANCE(C53, ""price"", EDATE(TODAY(), -3), TODAY()), 2, 2)) - 1, """")"),"")</f>
        <v/>
      </c>
      <c r="O53" s="21" t="str">
        <f>IFERROR(__xludf.DUMMYFUNCTION("IFERROR((GOOGLEFINANCE(C53, ""price"") / INDEX(GOOGLEFINANCE(C53, ""price"", EDATE(TODAY(), -6), TODAY()), 2, 2)) - 1, """")"),"")</f>
        <v/>
      </c>
      <c r="P53" s="21" t="str">
        <f>IFERROR(__xludf.DUMMYFUNCTION("IFERROR((GOOGLEFINANCE(C53, ""price"") / INDEX(GOOGLEFINANCE(C53, ""price"", EDATE(TODAY(), -12), TODAY()), 2, 2)) - 1, """")"),"")</f>
        <v/>
      </c>
      <c r="Q53" s="6" t="str">
        <f>IFERROR(__xludf.DUMMYFUNCTION("AVERAGE(QUERY(GOOGLEFINANCE(C53, ""price"", TODAY()-80, TODAY()), ""SELECT Col2 WHERE Col2 IS NOT NULL ORDER BY Col1 DESC LIMIT 50"", 0))"),"#N/A")</f>
        <v>#N/A</v>
      </c>
      <c r="R53" s="24" t="str">
        <f>IFERROR(__xludf.DUMMYFUNCTION("IFERROR(
  LET(
    data, QUERY(GOOGLEFINANCE(C53,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GOOGLEFINANCE(C53, ""price"")) * 100,
    IF(calc=0, G53, calc)
  ), 
G53)"),"#N/A")</f>
        <v>#N/A</v>
      </c>
      <c r="S53" s="8" t="s">
        <v>15</v>
      </c>
      <c r="T53" s="26" t="str">
        <f>IFERROR(__xludf.DUMMYFUNCTION("IFERROR(TRANSPOSE(QUERY(IFERROR(SORT(GOOGLEFINANCE(C53, ""price"", WORKDAY(TODAY(), -40), TODAY()), 1, FALSE)), ""select Col2 where Col2 is not null limit 22 label Col2 ''"", 0)), """")"),"")</f>
        <v/>
      </c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8"/>
      <c r="AO53" s="28"/>
      <c r="AP53" s="29"/>
      <c r="AQ53" s="29" t="str">
        <f t="shared" ref="AQ53:BL53" si="56">T53/T$2</f>
        <v>#N/A</v>
      </c>
      <c r="AR53" s="29" t="str">
        <f t="shared" si="56"/>
        <v>#DIV/0!</v>
      </c>
      <c r="AS53" s="29" t="str">
        <f t="shared" si="56"/>
        <v>#DIV/0!</v>
      </c>
      <c r="AT53" s="29" t="str">
        <f t="shared" si="56"/>
        <v>#DIV/0!</v>
      </c>
      <c r="AU53" s="29" t="str">
        <f t="shared" si="56"/>
        <v>#DIV/0!</v>
      </c>
      <c r="AV53" s="29" t="str">
        <f t="shared" si="56"/>
        <v>#DIV/0!</v>
      </c>
      <c r="AW53" s="29" t="str">
        <f t="shared" si="56"/>
        <v>#DIV/0!</v>
      </c>
      <c r="AX53" s="29" t="str">
        <f t="shared" si="56"/>
        <v>#DIV/0!</v>
      </c>
      <c r="AY53" s="29" t="str">
        <f t="shared" si="56"/>
        <v>#DIV/0!</v>
      </c>
      <c r="AZ53" s="29" t="str">
        <f t="shared" si="56"/>
        <v>#DIV/0!</v>
      </c>
      <c r="BA53" s="29" t="str">
        <f t="shared" si="56"/>
        <v>#DIV/0!</v>
      </c>
      <c r="BB53" s="29" t="str">
        <f t="shared" si="56"/>
        <v>#DIV/0!</v>
      </c>
      <c r="BC53" s="29" t="str">
        <f t="shared" si="56"/>
        <v>#DIV/0!</v>
      </c>
      <c r="BD53" s="29" t="str">
        <f t="shared" si="56"/>
        <v>#DIV/0!</v>
      </c>
      <c r="BE53" s="29" t="str">
        <f t="shared" si="56"/>
        <v>#DIV/0!</v>
      </c>
      <c r="BF53" s="29" t="str">
        <f t="shared" si="56"/>
        <v>#DIV/0!</v>
      </c>
      <c r="BG53" s="29" t="str">
        <f t="shared" si="56"/>
        <v>#DIV/0!</v>
      </c>
      <c r="BH53" s="29" t="str">
        <f t="shared" si="56"/>
        <v>#DIV/0!</v>
      </c>
      <c r="BI53" s="29" t="str">
        <f t="shared" si="56"/>
        <v>#DIV/0!</v>
      </c>
      <c r="BJ53" s="29" t="str">
        <f t="shared" si="56"/>
        <v>#DIV/0!</v>
      </c>
      <c r="BK53" s="29" t="str">
        <f t="shared" si="56"/>
        <v>#DIV/0!</v>
      </c>
      <c r="BL53" s="29" t="str">
        <f t="shared" si="56"/>
        <v>#DIV/0!</v>
      </c>
      <c r="BM53" s="29" t="str">
        <f t="shared" si="3"/>
        <v>#DIV/0!</v>
      </c>
    </row>
    <row r="54">
      <c r="A54" s="16" t="str">
        <f>IFERROR(__xludf.DUMMYFUNCTION("IFERROR(SPARKLINE(SORT(MAP(TRANSPOSE(AQ54:BL54), LAMBDA(val, IF(ISNUMBER(val), PERCENTRANK(AQ54:BL54, val)+0.01, 0))), SEQUENCE(COLUMNS(AQ54:BL54)), FALSE), {""charttype"",""column""; ""color"",""chartreuse""; ""ymin"", 0; ""ymax"", 1.01; ""highcolor"", "&amp;"""darkgreen""; ""lowcolor"", ""red""}), """")"),"")</f>
        <v/>
      </c>
      <c r="B54" s="17" t="str">
        <f t="shared" si="4"/>
        <v/>
      </c>
      <c r="C54" s="1" t="s">
        <v>283</v>
      </c>
      <c r="D54" s="34" t="str">
        <f>IFERROR(__xludf.DUMMYFUNCTION("IFERROR(GOOGLEFINANCE(C54, ""NAME""))"),"Mitsubishi UFJ Financial Group Inc")</f>
        <v>Mitsubishi UFJ Financial Group Inc</v>
      </c>
      <c r="E54" s="30" t="s">
        <v>236</v>
      </c>
      <c r="F54" s="33" t="str">
        <f>IFERROR(__xludf.DUMMYFUNCTION("( (GOOGLEFINANCE(C54, ""price"") - Q54) / Q54 ) / (R54 / 100)"),"Loading...")</f>
        <v>Loading...</v>
      </c>
      <c r="G54" s="20" t="str">
        <f>IFERROR(__xludf.DUMMYFUNCTION("AVERAGE(ARRAYFORMULA(100 * (QUERY(GOOGLEFINANCE(C54, ""high"", TODAY()-40, TODAY()), ""SELECT Col2 WHERE Col2 IS NOT NULL ORDER BY Col1 DESC LIMIT 20"", 0) / QUERY(GOOGLEFINANCE(C54, ""low"", TODAY()-40, TODAY()), ""SELECT Col2 WHERE Col2 IS NOT NULL ORDE"&amp;"R BY Col1 DESC LIMIT 20"", 0) - 1)))"),"#N/A")</f>
        <v>#N/A</v>
      </c>
      <c r="H54" s="35" t="str">
        <f t="shared" si="6"/>
        <v/>
      </c>
      <c r="I54" s="36" t="str">
        <f t="shared" si="7"/>
        <v/>
      </c>
      <c r="J54" s="37" t="str">
        <f>IFERROR(__xludf.DUMMYFUNCTION("IFERROR(
  IF(C54="""",, 
    IFERROR(
      GOOGLEFINANCE(C54, ""price"") * GOOGLEFINANCE(C54, ""volumeavg""), 
      GOOGLEFINANCE(C54, ""price"") * AVERAGE(QUERY(GOOGLEFINANCE(C54, ""volume"", TODAY()-40, TODAY()), ""SELECT Col2 WHERE Col2 IS NOT NULL "&amp;"ORDER BY Col1 DESC LIMIT 20"", 0))
    )
  ), 
"""")"),"")</f>
        <v/>
      </c>
      <c r="K54" s="21" t="str">
        <f>IFERROR(__xludf.DUMMYFUNCTION("IFERROR(GOOGLEFINANCE(C54, ""changepct"") / 100, """")"),"")</f>
        <v/>
      </c>
      <c r="L54" s="21" t="str">
        <f>IFERROR(__xludf.DUMMYFUNCTION("IFERROR((GOOGLEFINANCE(C54, ""price"") / INDEX(GOOGLEFINANCE(C54, ""price"", TODAY()-7, TODAY()), 2, 2)) - 1, """")"),"")</f>
        <v/>
      </c>
      <c r="M54" s="21" t="str">
        <f>IFERROR(__xludf.DUMMYFUNCTION("IFERROR((GOOGLEFINANCE(C54, ""price"") / INDEX(GOOGLEFINANCE(C54, ""price"", EDATE(TODAY(), -1), TODAY()), 2, 2)) - 1, """")"),"")</f>
        <v/>
      </c>
      <c r="N54" s="21" t="str">
        <f>IFERROR(__xludf.DUMMYFUNCTION("IFERROR((GOOGLEFINANCE(C54, ""price"") / INDEX(GOOGLEFINANCE(C54, ""price"", EDATE(TODAY(), -3), TODAY()), 2, 2)) - 1, """")"),"")</f>
        <v/>
      </c>
      <c r="O54" s="21" t="str">
        <f>IFERROR(__xludf.DUMMYFUNCTION("IFERROR((GOOGLEFINANCE(C54, ""price"") / INDEX(GOOGLEFINANCE(C54, ""price"", EDATE(TODAY(), -6), TODAY()), 2, 2)) - 1, """")"),"")</f>
        <v/>
      </c>
      <c r="P54" s="21" t="str">
        <f>IFERROR(__xludf.DUMMYFUNCTION("IFERROR((GOOGLEFINANCE(C54, ""price"") / INDEX(GOOGLEFINANCE(C54, ""price"", EDATE(TODAY(), -12), TODAY()), 2, 2)) - 1, """")"),"")</f>
        <v/>
      </c>
      <c r="Q54" s="6" t="str">
        <f>IFERROR(__xludf.DUMMYFUNCTION("AVERAGE(QUERY(GOOGLEFINANCE(C54, ""price"", TODAY()-80, TODAY()), ""SELECT Col2 WHERE Col2 IS NOT NULL ORDER BY Col1 DESC LIMIT 50"", 0))"),"#N/A")</f>
        <v>#N/A</v>
      </c>
      <c r="R54" s="24" t="str">
        <f>IFERROR(__xludf.DUMMYFUNCTION("IFERROR(
  LET(
    data, QUERY(GOOGLEFINANCE(C54,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GOOGLEFINANCE(C54, ""price"")) * 100,
    IF(calc=0, G54, calc)
  ), 
G54)"),"#N/A")</f>
        <v>#N/A</v>
      </c>
      <c r="S54" s="8" t="s">
        <v>15</v>
      </c>
      <c r="T54" s="26" t="str">
        <f>IFERROR(__xludf.DUMMYFUNCTION("IFERROR(TRANSPOSE(QUERY(IFERROR(SORT(GOOGLEFINANCE(C54, ""price"", WORKDAY(TODAY(), -40), TODAY()), 1, FALSE)), ""select Col2 where Col2 is not null limit 22 label Col2 ''"", 0)), """")"),"")</f>
        <v/>
      </c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8"/>
      <c r="AO54" s="28"/>
      <c r="AP54" s="29"/>
      <c r="AQ54" s="29" t="str">
        <f t="shared" ref="AQ54:BL54" si="57">T54/T$2</f>
        <v>#N/A</v>
      </c>
      <c r="AR54" s="29" t="str">
        <f t="shared" si="57"/>
        <v>#DIV/0!</v>
      </c>
      <c r="AS54" s="29" t="str">
        <f t="shared" si="57"/>
        <v>#DIV/0!</v>
      </c>
      <c r="AT54" s="29" t="str">
        <f t="shared" si="57"/>
        <v>#DIV/0!</v>
      </c>
      <c r="AU54" s="29" t="str">
        <f t="shared" si="57"/>
        <v>#DIV/0!</v>
      </c>
      <c r="AV54" s="29" t="str">
        <f t="shared" si="57"/>
        <v>#DIV/0!</v>
      </c>
      <c r="AW54" s="29" t="str">
        <f t="shared" si="57"/>
        <v>#DIV/0!</v>
      </c>
      <c r="AX54" s="29" t="str">
        <f t="shared" si="57"/>
        <v>#DIV/0!</v>
      </c>
      <c r="AY54" s="29" t="str">
        <f t="shared" si="57"/>
        <v>#DIV/0!</v>
      </c>
      <c r="AZ54" s="29" t="str">
        <f t="shared" si="57"/>
        <v>#DIV/0!</v>
      </c>
      <c r="BA54" s="29" t="str">
        <f t="shared" si="57"/>
        <v>#DIV/0!</v>
      </c>
      <c r="BB54" s="29" t="str">
        <f t="shared" si="57"/>
        <v>#DIV/0!</v>
      </c>
      <c r="BC54" s="29" t="str">
        <f t="shared" si="57"/>
        <v>#DIV/0!</v>
      </c>
      <c r="BD54" s="29" t="str">
        <f t="shared" si="57"/>
        <v>#DIV/0!</v>
      </c>
      <c r="BE54" s="29" t="str">
        <f t="shared" si="57"/>
        <v>#DIV/0!</v>
      </c>
      <c r="BF54" s="29" t="str">
        <f t="shared" si="57"/>
        <v>#DIV/0!</v>
      </c>
      <c r="BG54" s="29" t="str">
        <f t="shared" si="57"/>
        <v>#DIV/0!</v>
      </c>
      <c r="BH54" s="29" t="str">
        <f t="shared" si="57"/>
        <v>#DIV/0!</v>
      </c>
      <c r="BI54" s="29" t="str">
        <f t="shared" si="57"/>
        <v>#DIV/0!</v>
      </c>
      <c r="BJ54" s="29" t="str">
        <f t="shared" si="57"/>
        <v>#DIV/0!</v>
      </c>
      <c r="BK54" s="29" t="str">
        <f t="shared" si="57"/>
        <v>#DIV/0!</v>
      </c>
      <c r="BL54" s="29" t="str">
        <f t="shared" si="57"/>
        <v>#DIV/0!</v>
      </c>
      <c r="BM54" s="29" t="str">
        <f t="shared" si="3"/>
        <v>#DIV/0!</v>
      </c>
    </row>
    <row r="55">
      <c r="A55" s="16" t="str">
        <f>IFERROR(__xludf.DUMMYFUNCTION("IFERROR(SPARKLINE(SORT(MAP(TRANSPOSE(AQ55:BL55), LAMBDA(val, IF(ISNUMBER(val), PERCENTRANK(AQ55:BL55, val)+0.01, 0))), SEQUENCE(COLUMNS(AQ55:BL55)), FALSE), {""charttype"",""column""; ""color"",""chartreuse""; ""ymin"", 0; ""ymax"", 1.01; ""highcolor"", "&amp;"""darkgreen""; ""lowcolor"", ""red""}), """")"),"")</f>
        <v/>
      </c>
      <c r="B55" s="17" t="str">
        <f t="shared" si="4"/>
        <v/>
      </c>
      <c r="C55" s="1" t="s">
        <v>286</v>
      </c>
      <c r="D55" s="34" t="str">
        <f>IFERROR(__xludf.DUMMYFUNCTION("IFERROR(GOOGLEFINANCE(C55, ""NAME""))"),"Trinity Capital Inc")</f>
        <v>Trinity Capital Inc</v>
      </c>
      <c r="E55" s="30" t="s">
        <v>64</v>
      </c>
      <c r="F55" s="33" t="str">
        <f>IFERROR(__xludf.DUMMYFUNCTION("( (GOOGLEFINANCE(C55, ""price"") - Q55) / Q55 ) / (R55 / 100)"),"Loading...")</f>
        <v>Loading...</v>
      </c>
      <c r="G55" s="20" t="str">
        <f>IFERROR(__xludf.DUMMYFUNCTION("AVERAGE(ARRAYFORMULA(100 * (QUERY(GOOGLEFINANCE(C55, ""high"", TODAY()-40, TODAY()), ""SELECT Col2 WHERE Col2 IS NOT NULL ORDER BY Col1 DESC LIMIT 20"", 0) / QUERY(GOOGLEFINANCE(C55, ""low"", TODAY()-40, TODAY()), ""SELECT Col2 WHERE Col2 IS NOT NULL ORDE"&amp;"R BY Col1 DESC LIMIT 20"", 0) - 1)))"),"#N/A")</f>
        <v>#N/A</v>
      </c>
      <c r="H55" s="35" t="str">
        <f t="shared" si="6"/>
        <v/>
      </c>
      <c r="I55" s="36" t="str">
        <f t="shared" si="7"/>
        <v/>
      </c>
      <c r="J55" s="37" t="str">
        <f>IFERROR(__xludf.DUMMYFUNCTION("IFERROR(
  IF(C55="""",, 
    IFERROR(
      GOOGLEFINANCE(C55, ""price"") * GOOGLEFINANCE(C55, ""volumeavg""), 
      GOOGLEFINANCE(C55, ""price"") * AVERAGE(QUERY(GOOGLEFINANCE(C55, ""volume"", TODAY()-40, TODAY()), ""SELECT Col2 WHERE Col2 IS NOT NULL "&amp;"ORDER BY Col1 DESC LIMIT 20"", 0))
    )
  ), 
"""")"),"")</f>
        <v/>
      </c>
      <c r="K55" s="21" t="str">
        <f>IFERROR(__xludf.DUMMYFUNCTION("IFERROR(GOOGLEFINANCE(C55, ""changepct"") / 100, """")"),"")</f>
        <v/>
      </c>
      <c r="L55" s="21" t="str">
        <f>IFERROR(__xludf.DUMMYFUNCTION("IFERROR((GOOGLEFINANCE(C55, ""price"") / INDEX(GOOGLEFINANCE(C55, ""price"", TODAY()-7, TODAY()), 2, 2)) - 1, """")"),"")</f>
        <v/>
      </c>
      <c r="M55" s="21" t="str">
        <f>IFERROR(__xludf.DUMMYFUNCTION("IFERROR((GOOGLEFINANCE(C55, ""price"") / INDEX(GOOGLEFINANCE(C55, ""price"", EDATE(TODAY(), -1), TODAY()), 2, 2)) - 1, """")"),"")</f>
        <v/>
      </c>
      <c r="N55" s="21" t="str">
        <f>IFERROR(__xludf.DUMMYFUNCTION("IFERROR((GOOGLEFINANCE(C55, ""price"") / INDEX(GOOGLEFINANCE(C55, ""price"", EDATE(TODAY(), -3), TODAY()), 2, 2)) - 1, """")"),"")</f>
        <v/>
      </c>
      <c r="O55" s="21" t="str">
        <f>IFERROR(__xludf.DUMMYFUNCTION("IFERROR((GOOGLEFINANCE(C55, ""price"") / INDEX(GOOGLEFINANCE(C55, ""price"", EDATE(TODAY(), -6), TODAY()), 2, 2)) - 1, """")"),"")</f>
        <v/>
      </c>
      <c r="P55" s="21" t="str">
        <f>IFERROR(__xludf.DUMMYFUNCTION("IFERROR((GOOGLEFINANCE(C55, ""price"") / INDEX(GOOGLEFINANCE(C55, ""price"", EDATE(TODAY(), -12), TODAY()), 2, 2)) - 1, """")"),"")</f>
        <v/>
      </c>
      <c r="Q55" s="6" t="str">
        <f>IFERROR(__xludf.DUMMYFUNCTION("AVERAGE(QUERY(GOOGLEFINANCE(C55, ""price"", TODAY()-80, TODAY()), ""SELECT Col2 WHERE Col2 IS NOT NULL ORDER BY Col1 DESC LIMIT 50"", 0))"),"#N/A")</f>
        <v>#N/A</v>
      </c>
      <c r="R55" s="24" t="str">
        <f>IFERROR(__xludf.DUMMYFUNCTION("IFERROR(
  LET(
    data, QUERY(GOOGLEFINANCE(C55,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GOOGLEFINANCE(C55, ""price"")) * 100,
    IF(calc=0, G55, calc)
  ), 
G55)"),"#N/A")</f>
        <v>#N/A</v>
      </c>
      <c r="S55" s="8" t="s">
        <v>15</v>
      </c>
      <c r="T55" s="26" t="str">
        <f>IFERROR(__xludf.DUMMYFUNCTION("IFERROR(TRANSPOSE(QUERY(IFERROR(SORT(GOOGLEFINANCE(C55, ""price"", WORKDAY(TODAY(), -40), TODAY()), 1, FALSE)), ""select Col2 where Col2 is not null limit 22 label Col2 ''"", 0)), """")"),"")</f>
        <v/>
      </c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8"/>
      <c r="AO55" s="28"/>
      <c r="AP55" s="29"/>
      <c r="AQ55" s="29" t="str">
        <f t="shared" ref="AQ55:BL55" si="58">T55/T$2</f>
        <v>#N/A</v>
      </c>
      <c r="AR55" s="29" t="str">
        <f t="shared" si="58"/>
        <v>#DIV/0!</v>
      </c>
      <c r="AS55" s="29" t="str">
        <f t="shared" si="58"/>
        <v>#DIV/0!</v>
      </c>
      <c r="AT55" s="29" t="str">
        <f t="shared" si="58"/>
        <v>#DIV/0!</v>
      </c>
      <c r="AU55" s="29" t="str">
        <f t="shared" si="58"/>
        <v>#DIV/0!</v>
      </c>
      <c r="AV55" s="29" t="str">
        <f t="shared" si="58"/>
        <v>#DIV/0!</v>
      </c>
      <c r="AW55" s="29" t="str">
        <f t="shared" si="58"/>
        <v>#DIV/0!</v>
      </c>
      <c r="AX55" s="29" t="str">
        <f t="shared" si="58"/>
        <v>#DIV/0!</v>
      </c>
      <c r="AY55" s="29" t="str">
        <f t="shared" si="58"/>
        <v>#DIV/0!</v>
      </c>
      <c r="AZ55" s="29" t="str">
        <f t="shared" si="58"/>
        <v>#DIV/0!</v>
      </c>
      <c r="BA55" s="29" t="str">
        <f t="shared" si="58"/>
        <v>#DIV/0!</v>
      </c>
      <c r="BB55" s="29" t="str">
        <f t="shared" si="58"/>
        <v>#DIV/0!</v>
      </c>
      <c r="BC55" s="29" t="str">
        <f t="shared" si="58"/>
        <v>#DIV/0!</v>
      </c>
      <c r="BD55" s="29" t="str">
        <f t="shared" si="58"/>
        <v>#DIV/0!</v>
      </c>
      <c r="BE55" s="29" t="str">
        <f t="shared" si="58"/>
        <v>#DIV/0!</v>
      </c>
      <c r="BF55" s="29" t="str">
        <f t="shared" si="58"/>
        <v>#DIV/0!</v>
      </c>
      <c r="BG55" s="29" t="str">
        <f t="shared" si="58"/>
        <v>#DIV/0!</v>
      </c>
      <c r="BH55" s="29" t="str">
        <f t="shared" si="58"/>
        <v>#DIV/0!</v>
      </c>
      <c r="BI55" s="29" t="str">
        <f t="shared" si="58"/>
        <v>#DIV/0!</v>
      </c>
      <c r="BJ55" s="29" t="str">
        <f t="shared" si="58"/>
        <v>#DIV/0!</v>
      </c>
      <c r="BK55" s="29" t="str">
        <f t="shared" si="58"/>
        <v>#DIV/0!</v>
      </c>
      <c r="BL55" s="29" t="str">
        <f t="shared" si="58"/>
        <v>#DIV/0!</v>
      </c>
      <c r="BM55" s="29" t="str">
        <f t="shared" si="3"/>
        <v>#DIV/0!</v>
      </c>
    </row>
    <row r="56">
      <c r="A56" s="16" t="str">
        <f>IFERROR(__xludf.DUMMYFUNCTION("IFERROR(SPARKLINE(SORT(MAP(TRANSPOSE(AQ56:BL56), LAMBDA(val, IF(ISNUMBER(val), PERCENTRANK(AQ56:BL56, val)+0.01, 0))), SEQUENCE(COLUMNS(AQ56:BL56)), FALSE), {""charttype"",""column""; ""color"",""chartreuse""; ""ymin"", 0; ""ymax"", 1.01; ""highcolor"", "&amp;"""darkgreen""; ""lowcolor"", ""red""}), """")"),"")</f>
        <v/>
      </c>
      <c r="B56" s="17" t="str">
        <f t="shared" si="4"/>
        <v/>
      </c>
      <c r="C56" s="1" t="s">
        <v>289</v>
      </c>
      <c r="D56" s="34" t="str">
        <f>IFERROR(__xludf.DUMMYFUNCTION("IFERROR(GOOGLEFINANCE(C56, ""NAME""))"),"Stepstone Group Inc")</f>
        <v>Stepstone Group Inc</v>
      </c>
      <c r="E56" s="30" t="s">
        <v>64</v>
      </c>
      <c r="F56" s="33" t="str">
        <f>IFERROR(__xludf.DUMMYFUNCTION("( (GOOGLEFINANCE(C56, ""price"") - Q56) / Q56 ) / (R56 / 100)"),"Loading...")</f>
        <v>Loading...</v>
      </c>
      <c r="G56" s="20" t="str">
        <f>IFERROR(__xludf.DUMMYFUNCTION("AVERAGE(ARRAYFORMULA(100 * (QUERY(GOOGLEFINANCE(C56, ""high"", TODAY()-40, TODAY()), ""SELECT Col2 WHERE Col2 IS NOT NULL ORDER BY Col1 DESC LIMIT 20"", 0) / QUERY(GOOGLEFINANCE(C56, ""low"", TODAY()-40, TODAY()), ""SELECT Col2 WHERE Col2 IS NOT NULL ORDE"&amp;"R BY Col1 DESC LIMIT 20"", 0) - 1)))"),"#N/A")</f>
        <v>#N/A</v>
      </c>
      <c r="H56" s="35" t="str">
        <f t="shared" si="6"/>
        <v/>
      </c>
      <c r="I56" s="36" t="str">
        <f t="shared" si="7"/>
        <v/>
      </c>
      <c r="J56" s="37" t="str">
        <f>IFERROR(__xludf.DUMMYFUNCTION("IFERROR(
  IF(C56="""",, 
    IFERROR(
      GOOGLEFINANCE(C56, ""price"") * GOOGLEFINANCE(C56, ""volumeavg""), 
      GOOGLEFINANCE(C56, ""price"") * AVERAGE(QUERY(GOOGLEFINANCE(C56, ""volume"", TODAY()-40, TODAY()), ""SELECT Col2 WHERE Col2 IS NOT NULL "&amp;"ORDER BY Col1 DESC LIMIT 20"", 0))
    )
  ), 
"""")"),"")</f>
        <v/>
      </c>
      <c r="K56" s="21" t="str">
        <f>IFERROR(__xludf.DUMMYFUNCTION("IFERROR(GOOGLEFINANCE(C56, ""changepct"") / 100, """")"),"")</f>
        <v/>
      </c>
      <c r="L56" s="21" t="str">
        <f>IFERROR(__xludf.DUMMYFUNCTION("IFERROR((GOOGLEFINANCE(C56, ""price"") / INDEX(GOOGLEFINANCE(C56, ""price"", TODAY()-7, TODAY()), 2, 2)) - 1, """")"),"")</f>
        <v/>
      </c>
      <c r="M56" s="21" t="str">
        <f>IFERROR(__xludf.DUMMYFUNCTION("IFERROR((GOOGLEFINANCE(C56, ""price"") / INDEX(GOOGLEFINANCE(C56, ""price"", EDATE(TODAY(), -1), TODAY()), 2, 2)) - 1, """")"),"")</f>
        <v/>
      </c>
      <c r="N56" s="21" t="str">
        <f>IFERROR(__xludf.DUMMYFUNCTION("IFERROR((GOOGLEFINANCE(C56, ""price"") / INDEX(GOOGLEFINANCE(C56, ""price"", EDATE(TODAY(), -3), TODAY()), 2, 2)) - 1, """")"),"")</f>
        <v/>
      </c>
      <c r="O56" s="21" t="str">
        <f>IFERROR(__xludf.DUMMYFUNCTION("IFERROR((GOOGLEFINANCE(C56, ""price"") / INDEX(GOOGLEFINANCE(C56, ""price"", EDATE(TODAY(), -6), TODAY()), 2, 2)) - 1, """")"),"")</f>
        <v/>
      </c>
      <c r="P56" s="21" t="str">
        <f>IFERROR(__xludf.DUMMYFUNCTION("IFERROR((GOOGLEFINANCE(C56, ""price"") / INDEX(GOOGLEFINANCE(C56, ""price"", EDATE(TODAY(), -12), TODAY()), 2, 2)) - 1, """")"),"")</f>
        <v/>
      </c>
      <c r="Q56" s="6" t="str">
        <f>IFERROR(__xludf.DUMMYFUNCTION("AVERAGE(QUERY(GOOGLEFINANCE(C56, ""price"", TODAY()-80, TODAY()), ""SELECT Col2 WHERE Col2 IS NOT NULL ORDER BY Col1 DESC LIMIT 50"", 0))"),"#N/A")</f>
        <v>#N/A</v>
      </c>
      <c r="R56" s="24" t="str">
        <f>IFERROR(__xludf.DUMMYFUNCTION("IFERROR(
  LET(
    data, QUERY(GOOGLEFINANCE(C56,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GOOGLEFINANCE(C56, ""price"")) * 100,
    IF(calc=0, G56, calc)
  ), 
G56)"),"#N/A")</f>
        <v>#N/A</v>
      </c>
      <c r="S56" s="8" t="s">
        <v>15</v>
      </c>
      <c r="T56" s="26" t="str">
        <f>IFERROR(__xludf.DUMMYFUNCTION("IFERROR(TRANSPOSE(QUERY(IFERROR(SORT(GOOGLEFINANCE(C56, ""price"", WORKDAY(TODAY(), -40), TODAY()), 1, FALSE)), ""select Col2 where Col2 is not null limit 22 label Col2 ''"", 0)), """")"),"")</f>
        <v/>
      </c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8"/>
      <c r="AO56" s="28"/>
      <c r="AP56" s="29"/>
      <c r="AQ56" s="29" t="str">
        <f t="shared" ref="AQ56:BL56" si="59">T56/T$2</f>
        <v>#N/A</v>
      </c>
      <c r="AR56" s="29" t="str">
        <f t="shared" si="59"/>
        <v>#DIV/0!</v>
      </c>
      <c r="AS56" s="29" t="str">
        <f t="shared" si="59"/>
        <v>#DIV/0!</v>
      </c>
      <c r="AT56" s="29" t="str">
        <f t="shared" si="59"/>
        <v>#DIV/0!</v>
      </c>
      <c r="AU56" s="29" t="str">
        <f t="shared" si="59"/>
        <v>#DIV/0!</v>
      </c>
      <c r="AV56" s="29" t="str">
        <f t="shared" si="59"/>
        <v>#DIV/0!</v>
      </c>
      <c r="AW56" s="29" t="str">
        <f t="shared" si="59"/>
        <v>#DIV/0!</v>
      </c>
      <c r="AX56" s="29" t="str">
        <f t="shared" si="59"/>
        <v>#DIV/0!</v>
      </c>
      <c r="AY56" s="29" t="str">
        <f t="shared" si="59"/>
        <v>#DIV/0!</v>
      </c>
      <c r="AZ56" s="29" t="str">
        <f t="shared" si="59"/>
        <v>#DIV/0!</v>
      </c>
      <c r="BA56" s="29" t="str">
        <f t="shared" si="59"/>
        <v>#DIV/0!</v>
      </c>
      <c r="BB56" s="29" t="str">
        <f t="shared" si="59"/>
        <v>#DIV/0!</v>
      </c>
      <c r="BC56" s="29" t="str">
        <f t="shared" si="59"/>
        <v>#DIV/0!</v>
      </c>
      <c r="BD56" s="29" t="str">
        <f t="shared" si="59"/>
        <v>#DIV/0!</v>
      </c>
      <c r="BE56" s="29" t="str">
        <f t="shared" si="59"/>
        <v>#DIV/0!</v>
      </c>
      <c r="BF56" s="29" t="str">
        <f t="shared" si="59"/>
        <v>#DIV/0!</v>
      </c>
      <c r="BG56" s="29" t="str">
        <f t="shared" si="59"/>
        <v>#DIV/0!</v>
      </c>
      <c r="BH56" s="29" t="str">
        <f t="shared" si="59"/>
        <v>#DIV/0!</v>
      </c>
      <c r="BI56" s="29" t="str">
        <f t="shared" si="59"/>
        <v>#DIV/0!</v>
      </c>
      <c r="BJ56" s="29" t="str">
        <f t="shared" si="59"/>
        <v>#DIV/0!</v>
      </c>
      <c r="BK56" s="29" t="str">
        <f t="shared" si="59"/>
        <v>#DIV/0!</v>
      </c>
      <c r="BL56" s="29" t="str">
        <f t="shared" si="59"/>
        <v>#DIV/0!</v>
      </c>
      <c r="BM56" s="29" t="str">
        <f t="shared" si="3"/>
        <v>#DIV/0!</v>
      </c>
    </row>
    <row r="57">
      <c r="A57" s="16" t="str">
        <f>IFERROR(__xludf.DUMMYFUNCTION("IFERROR(SPARKLINE(SORT(MAP(TRANSPOSE(AQ57:BL57), LAMBDA(val, IF(ISNUMBER(val), PERCENTRANK(AQ57:BL57, val)+0.01, 0))), SEQUENCE(COLUMNS(AQ57:BL57)), FALSE), {""charttype"",""column""; ""color"",""chartreuse""; ""ymin"", 0; ""ymax"", 1.01; ""highcolor"", "&amp;"""darkgreen""; ""lowcolor"", ""red""}), """")"),"")</f>
        <v/>
      </c>
      <c r="B57" s="17" t="str">
        <f t="shared" si="4"/>
        <v/>
      </c>
      <c r="C57" s="1" t="s">
        <v>293</v>
      </c>
      <c r="D57" s="34" t="str">
        <f>IFERROR(__xludf.DUMMYFUNCTION("IFERROR(GOOGLEFINANCE(C57, ""NAME""))"),"Sprott Inc")</f>
        <v>Sprott Inc</v>
      </c>
      <c r="E57" s="30" t="s">
        <v>64</v>
      </c>
      <c r="F57" s="33" t="str">
        <f>IFERROR(__xludf.DUMMYFUNCTION("( (GOOGLEFINANCE(C57, ""price"") - Q57) / Q57 ) / (R57 / 100)"),"Loading...")</f>
        <v>Loading...</v>
      </c>
      <c r="G57" s="20" t="str">
        <f>IFERROR(__xludf.DUMMYFUNCTION("AVERAGE(ARRAYFORMULA(100 * (QUERY(GOOGLEFINANCE(C57, ""high"", TODAY()-40, TODAY()), ""SELECT Col2 WHERE Col2 IS NOT NULL ORDER BY Col1 DESC LIMIT 20"", 0) / QUERY(GOOGLEFINANCE(C57, ""low"", TODAY()-40, TODAY()), ""SELECT Col2 WHERE Col2 IS NOT NULL ORDE"&amp;"R BY Col1 DESC LIMIT 20"", 0) - 1)))"),"#N/A")</f>
        <v>#N/A</v>
      </c>
      <c r="H57" s="35" t="str">
        <f t="shared" si="6"/>
        <v/>
      </c>
      <c r="I57" s="36" t="str">
        <f t="shared" si="7"/>
        <v/>
      </c>
      <c r="J57" s="37" t="str">
        <f>IFERROR(__xludf.DUMMYFUNCTION("IFERROR(
  IF(C57="""",, 
    IFERROR(
      GOOGLEFINANCE(C57, ""price"") * GOOGLEFINANCE(C57, ""volumeavg""), 
      GOOGLEFINANCE(C57, ""price"") * AVERAGE(QUERY(GOOGLEFINANCE(C57, ""volume"", TODAY()-40, TODAY()), ""SELECT Col2 WHERE Col2 IS NOT NULL "&amp;"ORDER BY Col1 DESC LIMIT 20"", 0))
    )
  ), 
"""")"),"")</f>
        <v/>
      </c>
      <c r="K57" s="21" t="str">
        <f>IFERROR(__xludf.DUMMYFUNCTION("IFERROR(GOOGLEFINANCE(C57, ""changepct"") / 100, """")"),"")</f>
        <v/>
      </c>
      <c r="L57" s="21" t="str">
        <f>IFERROR(__xludf.DUMMYFUNCTION("IFERROR((GOOGLEFINANCE(C57, ""price"") / INDEX(GOOGLEFINANCE(C57, ""price"", TODAY()-7, TODAY()), 2, 2)) - 1, """")"),"")</f>
        <v/>
      </c>
      <c r="M57" s="21" t="str">
        <f>IFERROR(__xludf.DUMMYFUNCTION("IFERROR((GOOGLEFINANCE(C57, ""price"") / INDEX(GOOGLEFINANCE(C57, ""price"", EDATE(TODAY(), -1), TODAY()), 2, 2)) - 1, """")"),"")</f>
        <v/>
      </c>
      <c r="N57" s="21" t="str">
        <f>IFERROR(__xludf.DUMMYFUNCTION("IFERROR((GOOGLEFINANCE(C57, ""price"") / INDEX(GOOGLEFINANCE(C57, ""price"", EDATE(TODAY(), -3), TODAY()), 2, 2)) - 1, """")"),"")</f>
        <v/>
      </c>
      <c r="O57" s="21" t="str">
        <f>IFERROR(__xludf.DUMMYFUNCTION("IFERROR((GOOGLEFINANCE(C57, ""price"") / INDEX(GOOGLEFINANCE(C57, ""price"", EDATE(TODAY(), -6), TODAY()), 2, 2)) - 1, """")"),"")</f>
        <v/>
      </c>
      <c r="P57" s="21" t="str">
        <f>IFERROR(__xludf.DUMMYFUNCTION("IFERROR((GOOGLEFINANCE(C57, ""price"") / INDEX(GOOGLEFINANCE(C57, ""price"", EDATE(TODAY(), -12), TODAY()), 2, 2)) - 1, """")"),"")</f>
        <v/>
      </c>
      <c r="Q57" s="6" t="str">
        <f>IFERROR(__xludf.DUMMYFUNCTION("AVERAGE(QUERY(GOOGLEFINANCE(C57, ""price"", TODAY()-80, TODAY()), ""SELECT Col2 WHERE Col2 IS NOT NULL ORDER BY Col1 DESC LIMIT 50"", 0))"),"#N/A")</f>
        <v>#N/A</v>
      </c>
      <c r="R57" s="24" t="str">
        <f>IFERROR(__xludf.DUMMYFUNCTION("IFERROR(
  LET(
    data, QUERY(GOOGLEFINANCE(C57,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GOOGLEFINANCE(C57, ""price"")) * 100,
    IF(calc=0, G57, calc)
  ), 
G57)"),"#N/A")</f>
        <v>#N/A</v>
      </c>
      <c r="S57" s="8" t="s">
        <v>15</v>
      </c>
      <c r="T57" s="26" t="str">
        <f>IFERROR(__xludf.DUMMYFUNCTION("IFERROR(TRANSPOSE(QUERY(IFERROR(SORT(GOOGLEFINANCE(C57, ""price"", WORKDAY(TODAY(), -40), TODAY()), 1, FALSE)), ""select Col2 where Col2 is not null limit 22 label Col2 ''"", 0)), """")"),"")</f>
        <v/>
      </c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8"/>
      <c r="AO57" s="28"/>
      <c r="AP57" s="29"/>
      <c r="AQ57" s="29" t="str">
        <f t="shared" ref="AQ57:BL57" si="60">T57/T$2</f>
        <v>#N/A</v>
      </c>
      <c r="AR57" s="29" t="str">
        <f t="shared" si="60"/>
        <v>#DIV/0!</v>
      </c>
      <c r="AS57" s="29" t="str">
        <f t="shared" si="60"/>
        <v>#DIV/0!</v>
      </c>
      <c r="AT57" s="29" t="str">
        <f t="shared" si="60"/>
        <v>#DIV/0!</v>
      </c>
      <c r="AU57" s="29" t="str">
        <f t="shared" si="60"/>
        <v>#DIV/0!</v>
      </c>
      <c r="AV57" s="29" t="str">
        <f t="shared" si="60"/>
        <v>#DIV/0!</v>
      </c>
      <c r="AW57" s="29" t="str">
        <f t="shared" si="60"/>
        <v>#DIV/0!</v>
      </c>
      <c r="AX57" s="29" t="str">
        <f t="shared" si="60"/>
        <v>#DIV/0!</v>
      </c>
      <c r="AY57" s="29" t="str">
        <f t="shared" si="60"/>
        <v>#DIV/0!</v>
      </c>
      <c r="AZ57" s="29" t="str">
        <f t="shared" si="60"/>
        <v>#DIV/0!</v>
      </c>
      <c r="BA57" s="29" t="str">
        <f t="shared" si="60"/>
        <v>#DIV/0!</v>
      </c>
      <c r="BB57" s="29" t="str">
        <f t="shared" si="60"/>
        <v>#DIV/0!</v>
      </c>
      <c r="BC57" s="29" t="str">
        <f t="shared" si="60"/>
        <v>#DIV/0!</v>
      </c>
      <c r="BD57" s="29" t="str">
        <f t="shared" si="60"/>
        <v>#DIV/0!</v>
      </c>
      <c r="BE57" s="29" t="str">
        <f t="shared" si="60"/>
        <v>#DIV/0!</v>
      </c>
      <c r="BF57" s="29" t="str">
        <f t="shared" si="60"/>
        <v>#DIV/0!</v>
      </c>
      <c r="BG57" s="29" t="str">
        <f t="shared" si="60"/>
        <v>#DIV/0!</v>
      </c>
      <c r="BH57" s="29" t="str">
        <f t="shared" si="60"/>
        <v>#DIV/0!</v>
      </c>
      <c r="BI57" s="29" t="str">
        <f t="shared" si="60"/>
        <v>#DIV/0!</v>
      </c>
      <c r="BJ57" s="29" t="str">
        <f t="shared" si="60"/>
        <v>#DIV/0!</v>
      </c>
      <c r="BK57" s="29" t="str">
        <f t="shared" si="60"/>
        <v>#DIV/0!</v>
      </c>
      <c r="BL57" s="29" t="str">
        <f t="shared" si="60"/>
        <v>#DIV/0!</v>
      </c>
      <c r="BM57" s="29" t="str">
        <f t="shared" si="3"/>
        <v>#DIV/0!</v>
      </c>
    </row>
    <row r="58">
      <c r="A58" s="16" t="str">
        <f>IFERROR(__xludf.DUMMYFUNCTION("IFERROR(SPARKLINE(SORT(MAP(TRANSPOSE(AQ58:BL58), LAMBDA(val, IF(ISNUMBER(val), PERCENTRANK(AQ58:BL58, val)+0.01, 0))), SEQUENCE(COLUMNS(AQ58:BL58)), FALSE), {""charttype"",""column""; ""color"",""chartreuse""; ""ymin"", 0; ""ymax"", 1.01; ""highcolor"", "&amp;"""darkgreen""; ""lowcolor"", ""red""}), """")"),"")</f>
        <v/>
      </c>
      <c r="B58" s="17" t="str">
        <f t="shared" si="4"/>
        <v/>
      </c>
      <c r="C58" s="1" t="s">
        <v>297</v>
      </c>
      <c r="D58" s="34" t="str">
        <f>IFERROR(__xludf.DUMMYFUNCTION("IFERROR(GOOGLEFINANCE(C58, ""NAME""))"),"BRC Group Holdings Inc")</f>
        <v>BRC Group Holdings Inc</v>
      </c>
      <c r="E58" s="30" t="s">
        <v>97</v>
      </c>
      <c r="F58" s="33" t="str">
        <f>IFERROR(__xludf.DUMMYFUNCTION("( (GOOGLEFINANCE(C58, ""price"") - Q58) / Q58 ) / (R58 / 100)"),"Loading...")</f>
        <v>Loading...</v>
      </c>
      <c r="G58" s="20" t="str">
        <f>IFERROR(__xludf.DUMMYFUNCTION("AVERAGE(ARRAYFORMULA(100 * (QUERY(GOOGLEFINANCE(C58, ""high"", TODAY()-40, TODAY()), ""SELECT Col2 WHERE Col2 IS NOT NULL ORDER BY Col1 DESC LIMIT 20"", 0) / QUERY(GOOGLEFINANCE(C58, ""low"", TODAY()-40, TODAY()), ""SELECT Col2 WHERE Col2 IS NOT NULL ORDE"&amp;"R BY Col1 DESC LIMIT 20"", 0) - 1)))"),"#N/A")</f>
        <v>#N/A</v>
      </c>
      <c r="H58" s="35" t="str">
        <f t="shared" si="6"/>
        <v/>
      </c>
      <c r="I58" s="36" t="str">
        <f t="shared" si="7"/>
        <v/>
      </c>
      <c r="J58" s="37" t="str">
        <f>IFERROR(__xludf.DUMMYFUNCTION("IFERROR(
  IF(C58="""",, 
    IFERROR(
      GOOGLEFINANCE(C58, ""price"") * GOOGLEFINANCE(C58, ""volumeavg""), 
      GOOGLEFINANCE(C58, ""price"") * AVERAGE(QUERY(GOOGLEFINANCE(C58, ""volume"", TODAY()-40, TODAY()), ""SELECT Col2 WHERE Col2 IS NOT NULL "&amp;"ORDER BY Col1 DESC LIMIT 20"", 0))
    )
  ), 
"""")"),"")</f>
        <v/>
      </c>
      <c r="K58" s="21" t="str">
        <f>IFERROR(__xludf.DUMMYFUNCTION("IFERROR(GOOGLEFINANCE(C58, ""changepct"") / 100, """")"),"")</f>
        <v/>
      </c>
      <c r="L58" s="21" t="str">
        <f>IFERROR(__xludf.DUMMYFUNCTION("IFERROR((GOOGLEFINANCE(C58, ""price"") / INDEX(GOOGLEFINANCE(C58, ""price"", TODAY()-7, TODAY()), 2, 2)) - 1, """")"),"")</f>
        <v/>
      </c>
      <c r="M58" s="21" t="str">
        <f>IFERROR(__xludf.DUMMYFUNCTION("IFERROR((GOOGLEFINANCE(C58, ""price"") / INDEX(GOOGLEFINANCE(C58, ""price"", EDATE(TODAY(), -1), TODAY()), 2, 2)) - 1, """")"),"")</f>
        <v/>
      </c>
      <c r="N58" s="21" t="str">
        <f>IFERROR(__xludf.DUMMYFUNCTION("IFERROR((GOOGLEFINANCE(C58, ""price"") / INDEX(GOOGLEFINANCE(C58, ""price"", EDATE(TODAY(), -3), TODAY()), 2, 2)) - 1, """")"),"")</f>
        <v/>
      </c>
      <c r="O58" s="21" t="str">
        <f>IFERROR(__xludf.DUMMYFUNCTION("IFERROR((GOOGLEFINANCE(C58, ""price"") / INDEX(GOOGLEFINANCE(C58, ""price"", EDATE(TODAY(), -6), TODAY()), 2, 2)) - 1, """")"),"")</f>
        <v/>
      </c>
      <c r="P58" s="21" t="str">
        <f>IFERROR(__xludf.DUMMYFUNCTION("IFERROR((GOOGLEFINANCE(C58, ""price"") / INDEX(GOOGLEFINANCE(C58, ""price"", EDATE(TODAY(), -12), TODAY()), 2, 2)) - 1, """")"),"")</f>
        <v/>
      </c>
      <c r="Q58" s="6" t="str">
        <f>IFERROR(__xludf.DUMMYFUNCTION("AVERAGE(QUERY(GOOGLEFINANCE(C58, ""price"", TODAY()-80, TODAY()), ""SELECT Col2 WHERE Col2 IS NOT NULL ORDER BY Col1 DESC LIMIT 50"", 0))"),"#N/A")</f>
        <v>#N/A</v>
      </c>
      <c r="R58" s="24" t="str">
        <f>IFERROR(__xludf.DUMMYFUNCTION("IFERROR(
  LET(
    data, QUERY(GOOGLEFINANCE(C58,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GOOGLEFINANCE(C58, ""price"")) * 100,
    IF(calc=0, G58, calc)
  ), 
G58)"),"#N/A")</f>
        <v>#N/A</v>
      </c>
      <c r="S58" s="8" t="s">
        <v>15</v>
      </c>
      <c r="T58" s="26" t="str">
        <f>IFERROR(__xludf.DUMMYFUNCTION("IFERROR(TRANSPOSE(QUERY(IFERROR(SORT(GOOGLEFINANCE(C58, ""price"", WORKDAY(TODAY(), -40), TODAY()), 1, FALSE)), ""select Col2 where Col2 is not null limit 22 label Col2 ''"", 0)), """")"),"")</f>
        <v/>
      </c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8"/>
      <c r="AO58" s="28"/>
      <c r="AP58" s="29"/>
      <c r="AQ58" s="29" t="str">
        <f t="shared" ref="AQ58:BL58" si="61">T58/T$2</f>
        <v>#N/A</v>
      </c>
      <c r="AR58" s="29" t="str">
        <f t="shared" si="61"/>
        <v>#DIV/0!</v>
      </c>
      <c r="AS58" s="29" t="str">
        <f t="shared" si="61"/>
        <v>#DIV/0!</v>
      </c>
      <c r="AT58" s="29" t="str">
        <f t="shared" si="61"/>
        <v>#DIV/0!</v>
      </c>
      <c r="AU58" s="29" t="str">
        <f t="shared" si="61"/>
        <v>#DIV/0!</v>
      </c>
      <c r="AV58" s="29" t="str">
        <f t="shared" si="61"/>
        <v>#DIV/0!</v>
      </c>
      <c r="AW58" s="29" t="str">
        <f t="shared" si="61"/>
        <v>#DIV/0!</v>
      </c>
      <c r="AX58" s="29" t="str">
        <f t="shared" si="61"/>
        <v>#DIV/0!</v>
      </c>
      <c r="AY58" s="29" t="str">
        <f t="shared" si="61"/>
        <v>#DIV/0!</v>
      </c>
      <c r="AZ58" s="29" t="str">
        <f t="shared" si="61"/>
        <v>#DIV/0!</v>
      </c>
      <c r="BA58" s="29" t="str">
        <f t="shared" si="61"/>
        <v>#DIV/0!</v>
      </c>
      <c r="BB58" s="29" t="str">
        <f t="shared" si="61"/>
        <v>#DIV/0!</v>
      </c>
      <c r="BC58" s="29" t="str">
        <f t="shared" si="61"/>
        <v>#DIV/0!</v>
      </c>
      <c r="BD58" s="29" t="str">
        <f t="shared" si="61"/>
        <v>#DIV/0!</v>
      </c>
      <c r="BE58" s="29" t="str">
        <f t="shared" si="61"/>
        <v>#DIV/0!</v>
      </c>
      <c r="BF58" s="29" t="str">
        <f t="shared" si="61"/>
        <v>#DIV/0!</v>
      </c>
      <c r="BG58" s="29" t="str">
        <f t="shared" si="61"/>
        <v>#DIV/0!</v>
      </c>
      <c r="BH58" s="29" t="str">
        <f t="shared" si="61"/>
        <v>#DIV/0!</v>
      </c>
      <c r="BI58" s="29" t="str">
        <f t="shared" si="61"/>
        <v>#DIV/0!</v>
      </c>
      <c r="BJ58" s="29" t="str">
        <f t="shared" si="61"/>
        <v>#DIV/0!</v>
      </c>
      <c r="BK58" s="29" t="str">
        <f t="shared" si="61"/>
        <v>#DIV/0!</v>
      </c>
      <c r="BL58" s="29" t="str">
        <f t="shared" si="61"/>
        <v>#DIV/0!</v>
      </c>
      <c r="BM58" s="29" t="str">
        <f t="shared" si="3"/>
        <v>#DIV/0!</v>
      </c>
    </row>
    <row r="59">
      <c r="A59" s="16" t="str">
        <f>IFERROR(__xludf.DUMMYFUNCTION("IFERROR(SPARKLINE(SORT(MAP(TRANSPOSE(AQ59:BL59), LAMBDA(val, IF(ISNUMBER(val), PERCENTRANK(AQ59:BL59, val)+0.01, 0))), SEQUENCE(COLUMNS(AQ59:BL59)), FALSE), {""charttype"",""column""; ""color"",""chartreuse""; ""ymin"", 0; ""ymax"", 1.01; ""highcolor"", "&amp;"""darkgreen""; ""lowcolor"", ""red""}), """")"),"")</f>
        <v/>
      </c>
      <c r="B59" s="17" t="str">
        <f t="shared" si="4"/>
        <v/>
      </c>
      <c r="C59" s="1" t="s">
        <v>301</v>
      </c>
      <c r="D59" s="34" t="str">
        <f>IFERROR(__xludf.DUMMYFUNCTION("IFERROR(GOOGLEFINANCE(C59, ""NAME""))"),"Virtu Financial Inc")</f>
        <v>Virtu Financial Inc</v>
      </c>
      <c r="E59" s="30" t="s">
        <v>77</v>
      </c>
      <c r="F59" s="33" t="str">
        <f>IFERROR(__xludf.DUMMYFUNCTION("( (GOOGLEFINANCE(C59, ""price"") - Q59) / Q59 ) / (R59 / 100)"),"Loading...")</f>
        <v>Loading...</v>
      </c>
      <c r="G59" s="20" t="str">
        <f>IFERROR(__xludf.DUMMYFUNCTION("AVERAGE(ARRAYFORMULA(100 * (QUERY(GOOGLEFINANCE(C59, ""high"", TODAY()-40, TODAY()), ""SELECT Col2 WHERE Col2 IS NOT NULL ORDER BY Col1 DESC LIMIT 20"", 0) / QUERY(GOOGLEFINANCE(C59, ""low"", TODAY()-40, TODAY()), ""SELECT Col2 WHERE Col2 IS NOT NULL ORDE"&amp;"R BY Col1 DESC LIMIT 20"", 0) - 1)))"),"#N/A")</f>
        <v>#N/A</v>
      </c>
      <c r="H59" s="35" t="str">
        <f t="shared" si="6"/>
        <v/>
      </c>
      <c r="I59" s="36" t="str">
        <f t="shared" si="7"/>
        <v/>
      </c>
      <c r="J59" s="37" t="str">
        <f>IFERROR(__xludf.DUMMYFUNCTION("IFERROR(
  IF(C59="""",, 
    IFERROR(
      GOOGLEFINANCE(C59, ""price"") * GOOGLEFINANCE(C59, ""volumeavg""), 
      GOOGLEFINANCE(C59, ""price"") * AVERAGE(QUERY(GOOGLEFINANCE(C59, ""volume"", TODAY()-40, TODAY()), ""SELECT Col2 WHERE Col2 IS NOT NULL "&amp;"ORDER BY Col1 DESC LIMIT 20"", 0))
    )
  ), 
"""")"),"")</f>
        <v/>
      </c>
      <c r="K59" s="21" t="str">
        <f>IFERROR(__xludf.DUMMYFUNCTION("IFERROR(GOOGLEFINANCE(C59, ""changepct"") / 100, """")"),"")</f>
        <v/>
      </c>
      <c r="L59" s="21" t="str">
        <f>IFERROR(__xludf.DUMMYFUNCTION("IFERROR((GOOGLEFINANCE(C59, ""price"") / INDEX(GOOGLEFINANCE(C59, ""price"", TODAY()-7, TODAY()), 2, 2)) - 1, """")"),"")</f>
        <v/>
      </c>
      <c r="M59" s="21" t="str">
        <f>IFERROR(__xludf.DUMMYFUNCTION("IFERROR((GOOGLEFINANCE(C59, ""price"") / INDEX(GOOGLEFINANCE(C59, ""price"", EDATE(TODAY(), -1), TODAY()), 2, 2)) - 1, """")"),"")</f>
        <v/>
      </c>
      <c r="N59" s="21" t="str">
        <f>IFERROR(__xludf.DUMMYFUNCTION("IFERROR((GOOGLEFINANCE(C59, ""price"") / INDEX(GOOGLEFINANCE(C59, ""price"", EDATE(TODAY(), -3), TODAY()), 2, 2)) - 1, """")"),"")</f>
        <v/>
      </c>
      <c r="O59" s="21" t="str">
        <f>IFERROR(__xludf.DUMMYFUNCTION("IFERROR((GOOGLEFINANCE(C59, ""price"") / INDEX(GOOGLEFINANCE(C59, ""price"", EDATE(TODAY(), -6), TODAY()), 2, 2)) - 1, """")"),"")</f>
        <v/>
      </c>
      <c r="P59" s="21" t="str">
        <f>IFERROR(__xludf.DUMMYFUNCTION("IFERROR((GOOGLEFINANCE(C59, ""price"") / INDEX(GOOGLEFINANCE(C59, ""price"", EDATE(TODAY(), -12), TODAY()), 2, 2)) - 1, """")"),"")</f>
        <v/>
      </c>
      <c r="Q59" s="6" t="str">
        <f>IFERROR(__xludf.DUMMYFUNCTION("AVERAGE(QUERY(GOOGLEFINANCE(C59, ""price"", TODAY()-80, TODAY()), ""SELECT Col2 WHERE Col2 IS NOT NULL ORDER BY Col1 DESC LIMIT 50"", 0))"),"#N/A")</f>
        <v>#N/A</v>
      </c>
      <c r="R59" s="24" t="str">
        <f>IFERROR(__xludf.DUMMYFUNCTION("IFERROR(
  LET(
    data, QUERY(GOOGLEFINANCE(C59,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GOOGLEFINANCE(C59, ""price"")) * 100,
    IF(calc=0, G59, calc)
  ), 
G59)"),"#N/A")</f>
        <v>#N/A</v>
      </c>
      <c r="S59" s="8" t="s">
        <v>15</v>
      </c>
      <c r="T59" s="26" t="str">
        <f>IFERROR(__xludf.DUMMYFUNCTION("IFERROR(TRANSPOSE(QUERY(IFERROR(SORT(GOOGLEFINANCE(C59, ""price"", WORKDAY(TODAY(), -40), TODAY()), 1, FALSE)), ""select Col2 where Col2 is not null limit 22 label Col2 ''"", 0)), """")"),"")</f>
        <v/>
      </c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8"/>
      <c r="AO59" s="28"/>
      <c r="AP59" s="29"/>
      <c r="AQ59" s="29" t="str">
        <f t="shared" ref="AQ59:BL59" si="62">T59/T$2</f>
        <v>#N/A</v>
      </c>
      <c r="AR59" s="29" t="str">
        <f t="shared" si="62"/>
        <v>#DIV/0!</v>
      </c>
      <c r="AS59" s="29" t="str">
        <f t="shared" si="62"/>
        <v>#DIV/0!</v>
      </c>
      <c r="AT59" s="29" t="str">
        <f t="shared" si="62"/>
        <v>#DIV/0!</v>
      </c>
      <c r="AU59" s="29" t="str">
        <f t="shared" si="62"/>
        <v>#DIV/0!</v>
      </c>
      <c r="AV59" s="29" t="str">
        <f t="shared" si="62"/>
        <v>#DIV/0!</v>
      </c>
      <c r="AW59" s="29" t="str">
        <f t="shared" si="62"/>
        <v>#DIV/0!</v>
      </c>
      <c r="AX59" s="29" t="str">
        <f t="shared" si="62"/>
        <v>#DIV/0!</v>
      </c>
      <c r="AY59" s="29" t="str">
        <f t="shared" si="62"/>
        <v>#DIV/0!</v>
      </c>
      <c r="AZ59" s="29" t="str">
        <f t="shared" si="62"/>
        <v>#DIV/0!</v>
      </c>
      <c r="BA59" s="29" t="str">
        <f t="shared" si="62"/>
        <v>#DIV/0!</v>
      </c>
      <c r="BB59" s="29" t="str">
        <f t="shared" si="62"/>
        <v>#DIV/0!</v>
      </c>
      <c r="BC59" s="29" t="str">
        <f t="shared" si="62"/>
        <v>#DIV/0!</v>
      </c>
      <c r="BD59" s="29" t="str">
        <f t="shared" si="62"/>
        <v>#DIV/0!</v>
      </c>
      <c r="BE59" s="29" t="str">
        <f t="shared" si="62"/>
        <v>#DIV/0!</v>
      </c>
      <c r="BF59" s="29" t="str">
        <f t="shared" si="62"/>
        <v>#DIV/0!</v>
      </c>
      <c r="BG59" s="29" t="str">
        <f t="shared" si="62"/>
        <v>#DIV/0!</v>
      </c>
      <c r="BH59" s="29" t="str">
        <f t="shared" si="62"/>
        <v>#DIV/0!</v>
      </c>
      <c r="BI59" s="29" t="str">
        <f t="shared" si="62"/>
        <v>#DIV/0!</v>
      </c>
      <c r="BJ59" s="29" t="str">
        <f t="shared" si="62"/>
        <v>#DIV/0!</v>
      </c>
      <c r="BK59" s="29" t="str">
        <f t="shared" si="62"/>
        <v>#DIV/0!</v>
      </c>
      <c r="BL59" s="29" t="str">
        <f t="shared" si="62"/>
        <v>#DIV/0!</v>
      </c>
      <c r="BM59" s="29" t="str">
        <f t="shared" si="3"/>
        <v>#DIV/0!</v>
      </c>
    </row>
    <row r="60">
      <c r="A60" s="16" t="str">
        <f>IFERROR(__xludf.DUMMYFUNCTION("IFERROR(SPARKLINE(SORT(MAP(TRANSPOSE(AQ60:BL60), LAMBDA(val, IF(ISNUMBER(val), PERCENTRANK(AQ60:BL60, val)+0.01, 0))), SEQUENCE(COLUMNS(AQ60:BL60)), FALSE), {""charttype"",""column""; ""color"",""chartreuse""; ""ymin"", 0; ""ymax"", 1.01; ""highcolor"", "&amp;"""darkgreen""; ""lowcolor"", ""red""}), """")"),"")</f>
        <v/>
      </c>
      <c r="B60" s="17" t="str">
        <f t="shared" si="4"/>
        <v/>
      </c>
      <c r="C60" s="1" t="s">
        <v>306</v>
      </c>
      <c r="D60" s="34" t="str">
        <f>IFERROR(__xludf.DUMMYFUNCTION("IFERROR(GOOGLEFINANCE(C60, ""NAME""))"),"Mizuho Financial Group Inc")</f>
        <v>Mizuho Financial Group Inc</v>
      </c>
      <c r="E60" s="30" t="s">
        <v>268</v>
      </c>
      <c r="F60" s="33" t="str">
        <f>IFERROR(__xludf.DUMMYFUNCTION("( (GOOGLEFINANCE(C60, ""price"") - Q60) / Q60 ) / (R60 / 100)"),"Loading...")</f>
        <v>Loading...</v>
      </c>
      <c r="G60" s="20" t="str">
        <f>IFERROR(__xludf.DUMMYFUNCTION("AVERAGE(ARRAYFORMULA(100 * (QUERY(GOOGLEFINANCE(C60, ""high"", TODAY()-40, TODAY()), ""SELECT Col2 WHERE Col2 IS NOT NULL ORDER BY Col1 DESC LIMIT 20"", 0) / QUERY(GOOGLEFINANCE(C60, ""low"", TODAY()-40, TODAY()), ""SELECT Col2 WHERE Col2 IS NOT NULL ORDE"&amp;"R BY Col1 DESC LIMIT 20"", 0) - 1)))"),"#N/A")</f>
        <v>#N/A</v>
      </c>
      <c r="H60" s="35" t="str">
        <f t="shared" si="6"/>
        <v/>
      </c>
      <c r="I60" s="36" t="str">
        <f t="shared" si="7"/>
        <v/>
      </c>
      <c r="J60" s="37" t="str">
        <f>IFERROR(__xludf.DUMMYFUNCTION("IFERROR(
  IF(C60="""",, 
    IFERROR(
      GOOGLEFINANCE(C60, ""price"") * GOOGLEFINANCE(C60, ""volumeavg""), 
      GOOGLEFINANCE(C60, ""price"") * AVERAGE(QUERY(GOOGLEFINANCE(C60, ""volume"", TODAY()-40, TODAY()), ""SELECT Col2 WHERE Col2 IS NOT NULL "&amp;"ORDER BY Col1 DESC LIMIT 20"", 0))
    )
  ), 
"""")"),"")</f>
        <v/>
      </c>
      <c r="K60" s="21" t="str">
        <f>IFERROR(__xludf.DUMMYFUNCTION("IFERROR(GOOGLEFINANCE(C60, ""changepct"") / 100, """")"),"")</f>
        <v/>
      </c>
      <c r="L60" s="21" t="str">
        <f>IFERROR(__xludf.DUMMYFUNCTION("IFERROR((GOOGLEFINANCE(C60, ""price"") / INDEX(GOOGLEFINANCE(C60, ""price"", TODAY()-7, TODAY()), 2, 2)) - 1, """")"),"")</f>
        <v/>
      </c>
      <c r="M60" s="21" t="str">
        <f>IFERROR(__xludf.DUMMYFUNCTION("IFERROR((GOOGLEFINANCE(C60, ""price"") / INDEX(GOOGLEFINANCE(C60, ""price"", EDATE(TODAY(), -1), TODAY()), 2, 2)) - 1, """")"),"")</f>
        <v/>
      </c>
      <c r="N60" s="21" t="str">
        <f>IFERROR(__xludf.DUMMYFUNCTION("IFERROR((GOOGLEFINANCE(C60, ""price"") / INDEX(GOOGLEFINANCE(C60, ""price"", EDATE(TODAY(), -3), TODAY()), 2, 2)) - 1, """")"),"")</f>
        <v/>
      </c>
      <c r="O60" s="21" t="str">
        <f>IFERROR(__xludf.DUMMYFUNCTION("IFERROR((GOOGLEFINANCE(C60, ""price"") / INDEX(GOOGLEFINANCE(C60, ""price"", EDATE(TODAY(), -6), TODAY()), 2, 2)) - 1, """")"),"")</f>
        <v/>
      </c>
      <c r="P60" s="21" t="str">
        <f>IFERROR(__xludf.DUMMYFUNCTION("IFERROR((GOOGLEFINANCE(C60, ""price"") / INDEX(GOOGLEFINANCE(C60, ""price"", EDATE(TODAY(), -12), TODAY()), 2, 2)) - 1, """")"),"")</f>
        <v/>
      </c>
      <c r="Q60" s="6" t="str">
        <f>IFERROR(__xludf.DUMMYFUNCTION("AVERAGE(QUERY(GOOGLEFINANCE(C60, ""price"", TODAY()-80, TODAY()), ""SELECT Col2 WHERE Col2 IS NOT NULL ORDER BY Col1 DESC LIMIT 50"", 0))"),"#N/A")</f>
        <v>#N/A</v>
      </c>
      <c r="R60" s="24" t="str">
        <f>IFERROR(__xludf.DUMMYFUNCTION("IFERROR(
  LET(
    data, QUERY(GOOGLEFINANCE(C60,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GOOGLEFINANCE(C60, ""price"")) * 100,
    IF(calc=0, G60, calc)
  ), 
G60)"),"#N/A")</f>
        <v>#N/A</v>
      </c>
      <c r="S60" s="8" t="s">
        <v>15</v>
      </c>
      <c r="T60" s="26" t="str">
        <f>IFERROR(__xludf.DUMMYFUNCTION("IFERROR(TRANSPOSE(QUERY(IFERROR(SORT(GOOGLEFINANCE(C60, ""price"", WORKDAY(TODAY(), -40), TODAY()), 1, FALSE)), ""select Col2 where Col2 is not null limit 22 label Col2 ''"", 0)), """")"),"")</f>
        <v/>
      </c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8"/>
      <c r="AO60" s="28"/>
      <c r="AP60" s="29"/>
      <c r="AQ60" s="29" t="str">
        <f t="shared" ref="AQ60:BL60" si="63">T60/T$2</f>
        <v>#N/A</v>
      </c>
      <c r="AR60" s="29" t="str">
        <f t="shared" si="63"/>
        <v>#DIV/0!</v>
      </c>
      <c r="AS60" s="29" t="str">
        <f t="shared" si="63"/>
        <v>#DIV/0!</v>
      </c>
      <c r="AT60" s="29" t="str">
        <f t="shared" si="63"/>
        <v>#DIV/0!</v>
      </c>
      <c r="AU60" s="29" t="str">
        <f t="shared" si="63"/>
        <v>#DIV/0!</v>
      </c>
      <c r="AV60" s="29" t="str">
        <f t="shared" si="63"/>
        <v>#DIV/0!</v>
      </c>
      <c r="AW60" s="29" t="str">
        <f t="shared" si="63"/>
        <v>#DIV/0!</v>
      </c>
      <c r="AX60" s="29" t="str">
        <f t="shared" si="63"/>
        <v>#DIV/0!</v>
      </c>
      <c r="AY60" s="29" t="str">
        <f t="shared" si="63"/>
        <v>#DIV/0!</v>
      </c>
      <c r="AZ60" s="29" t="str">
        <f t="shared" si="63"/>
        <v>#DIV/0!</v>
      </c>
      <c r="BA60" s="29" t="str">
        <f t="shared" si="63"/>
        <v>#DIV/0!</v>
      </c>
      <c r="BB60" s="29" t="str">
        <f t="shared" si="63"/>
        <v>#DIV/0!</v>
      </c>
      <c r="BC60" s="29" t="str">
        <f t="shared" si="63"/>
        <v>#DIV/0!</v>
      </c>
      <c r="BD60" s="29" t="str">
        <f t="shared" si="63"/>
        <v>#DIV/0!</v>
      </c>
      <c r="BE60" s="29" t="str">
        <f t="shared" si="63"/>
        <v>#DIV/0!</v>
      </c>
      <c r="BF60" s="29" t="str">
        <f t="shared" si="63"/>
        <v>#DIV/0!</v>
      </c>
      <c r="BG60" s="29" t="str">
        <f t="shared" si="63"/>
        <v>#DIV/0!</v>
      </c>
      <c r="BH60" s="29" t="str">
        <f t="shared" si="63"/>
        <v>#DIV/0!</v>
      </c>
      <c r="BI60" s="29" t="str">
        <f t="shared" si="63"/>
        <v>#DIV/0!</v>
      </c>
      <c r="BJ60" s="29" t="str">
        <f t="shared" si="63"/>
        <v>#DIV/0!</v>
      </c>
      <c r="BK60" s="29" t="str">
        <f t="shared" si="63"/>
        <v>#DIV/0!</v>
      </c>
      <c r="BL60" s="29" t="str">
        <f t="shared" si="63"/>
        <v>#DIV/0!</v>
      </c>
      <c r="BM60" s="29" t="str">
        <f t="shared" si="3"/>
        <v>#DIV/0!</v>
      </c>
    </row>
    <row r="61">
      <c r="A61" s="16" t="str">
        <f>IFERROR(__xludf.DUMMYFUNCTION("IFERROR(SPARKLINE(SORT(MAP(TRANSPOSE(AQ61:BL61), LAMBDA(val, IF(ISNUMBER(val), PERCENTRANK(AQ61:BL61, val)+0.01, 0))), SEQUENCE(COLUMNS(AQ61:BL61)), FALSE), {""charttype"",""column""; ""color"",""chartreuse""; ""ymin"", 0; ""ymax"", 1.01; ""highcolor"", "&amp;"""darkgreen""; ""lowcolor"", ""red""}), """")"),"")</f>
        <v/>
      </c>
      <c r="B61" s="17" t="str">
        <f t="shared" si="4"/>
        <v/>
      </c>
      <c r="C61" s="1" t="s">
        <v>310</v>
      </c>
      <c r="D61" s="34" t="str">
        <f>IFERROR(__xludf.DUMMYFUNCTION("IFERROR(GOOGLEFINANCE(C61, ""NAME""))"),"Neptune Insurance Holdings Inc")</f>
        <v>Neptune Insurance Holdings Inc</v>
      </c>
      <c r="E61" s="30" t="s">
        <v>311</v>
      </c>
      <c r="F61" s="33" t="str">
        <f>IFERROR(__xludf.DUMMYFUNCTION("( (GOOGLEFINANCE(C61, ""price"") - Q61) / Q61 ) / (R61 / 100)"),"Loading...")</f>
        <v>Loading...</v>
      </c>
      <c r="G61" s="20" t="str">
        <f>IFERROR(__xludf.DUMMYFUNCTION("AVERAGE(ARRAYFORMULA(100 * (QUERY(GOOGLEFINANCE(C61, ""high"", TODAY()-40, TODAY()), ""SELECT Col2 WHERE Col2 IS NOT NULL ORDER BY Col1 DESC LIMIT 20"", 0) / QUERY(GOOGLEFINANCE(C61, ""low"", TODAY()-40, TODAY()), ""SELECT Col2 WHERE Col2 IS NOT NULL ORDE"&amp;"R BY Col1 DESC LIMIT 20"", 0) - 1)))"),"#N/A")</f>
        <v>#N/A</v>
      </c>
      <c r="H61" s="35" t="str">
        <f t="shared" si="6"/>
        <v/>
      </c>
      <c r="I61" s="36" t="str">
        <f t="shared" si="7"/>
        <v/>
      </c>
      <c r="J61" s="37" t="str">
        <f>IFERROR(__xludf.DUMMYFUNCTION("IFERROR(
  IF(C61="""",, 
    IFERROR(
      GOOGLEFINANCE(C61, ""price"") * GOOGLEFINANCE(C61, ""volumeavg""), 
      GOOGLEFINANCE(C61, ""price"") * AVERAGE(QUERY(GOOGLEFINANCE(C61, ""volume"", TODAY()-40, TODAY()), ""SELECT Col2 WHERE Col2 IS NOT NULL "&amp;"ORDER BY Col1 DESC LIMIT 20"", 0))
    )
  ), 
"""")"),"")</f>
        <v/>
      </c>
      <c r="K61" s="21" t="str">
        <f>IFERROR(__xludf.DUMMYFUNCTION("IFERROR(GOOGLEFINANCE(C61, ""changepct"") / 100, """")"),"")</f>
        <v/>
      </c>
      <c r="L61" s="21" t="str">
        <f>IFERROR(__xludf.DUMMYFUNCTION("IFERROR((GOOGLEFINANCE(C61, ""price"") / INDEX(GOOGLEFINANCE(C61, ""price"", TODAY()-7, TODAY()), 2, 2)) - 1, """")"),"")</f>
        <v/>
      </c>
      <c r="M61" s="21" t="str">
        <f>IFERROR(__xludf.DUMMYFUNCTION("IFERROR((GOOGLEFINANCE(C61, ""price"") / INDEX(GOOGLEFINANCE(C61, ""price"", EDATE(TODAY(), -1), TODAY()), 2, 2)) - 1, """")"),"")</f>
        <v/>
      </c>
      <c r="N61" s="21" t="str">
        <f>IFERROR(__xludf.DUMMYFUNCTION("IFERROR((GOOGLEFINANCE(C61, ""price"") / INDEX(GOOGLEFINANCE(C61, ""price"", EDATE(TODAY(), -3), TODAY()), 2, 2)) - 1, """")"),"")</f>
        <v/>
      </c>
      <c r="O61" s="21" t="str">
        <f>IFERROR(__xludf.DUMMYFUNCTION("IFERROR((GOOGLEFINANCE(C61, ""price"") / INDEX(GOOGLEFINANCE(C61, ""price"", EDATE(TODAY(), -6), TODAY()), 2, 2)) - 1, """")"),"")</f>
        <v/>
      </c>
      <c r="P61" s="21" t="str">
        <f>IFERROR(__xludf.DUMMYFUNCTION("IFERROR((GOOGLEFINANCE(C61, ""price"") / INDEX(GOOGLEFINANCE(C61, ""price"", EDATE(TODAY(), -12), TODAY()), 2, 2)) - 1, """")"),"")</f>
        <v/>
      </c>
      <c r="Q61" s="6" t="str">
        <f>IFERROR(__xludf.DUMMYFUNCTION("AVERAGE(QUERY(GOOGLEFINANCE(C61, ""price"", TODAY()-80, TODAY()), ""SELECT Col2 WHERE Col2 IS NOT NULL ORDER BY Col1 DESC LIMIT 50"", 0))"),"#N/A")</f>
        <v>#N/A</v>
      </c>
      <c r="R61" s="24" t="str">
        <f>IFERROR(__xludf.DUMMYFUNCTION("IFERROR(
  LET(
    data, QUERY(GOOGLEFINANCE(C61,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GOOGLEFINANCE(C61, ""price"")) * 100,
    IF(calc=0, G61, calc)
  ), 
G61)"),"#N/A")</f>
        <v>#N/A</v>
      </c>
      <c r="S61" s="8" t="s">
        <v>15</v>
      </c>
      <c r="T61" s="26" t="str">
        <f>IFERROR(__xludf.DUMMYFUNCTION("IFERROR(TRANSPOSE(QUERY(IFERROR(SORT(GOOGLEFINANCE(C61, ""price"", WORKDAY(TODAY(), -40), TODAY()), 1, FALSE)), ""select Col2 where Col2 is not null limit 22 label Col2 ''"", 0)), """")"),"")</f>
        <v/>
      </c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8"/>
      <c r="AO61" s="28"/>
      <c r="AP61" s="29"/>
      <c r="AQ61" s="29" t="str">
        <f t="shared" ref="AQ61:BL61" si="64">T61/T$2</f>
        <v>#N/A</v>
      </c>
      <c r="AR61" s="29" t="str">
        <f t="shared" si="64"/>
        <v>#DIV/0!</v>
      </c>
      <c r="AS61" s="29" t="str">
        <f t="shared" si="64"/>
        <v>#DIV/0!</v>
      </c>
      <c r="AT61" s="29" t="str">
        <f t="shared" si="64"/>
        <v>#DIV/0!</v>
      </c>
      <c r="AU61" s="29" t="str">
        <f t="shared" si="64"/>
        <v>#DIV/0!</v>
      </c>
      <c r="AV61" s="29" t="str">
        <f t="shared" si="64"/>
        <v>#DIV/0!</v>
      </c>
      <c r="AW61" s="29" t="str">
        <f t="shared" si="64"/>
        <v>#DIV/0!</v>
      </c>
      <c r="AX61" s="29" t="str">
        <f t="shared" si="64"/>
        <v>#DIV/0!</v>
      </c>
      <c r="AY61" s="29" t="str">
        <f t="shared" si="64"/>
        <v>#DIV/0!</v>
      </c>
      <c r="AZ61" s="29" t="str">
        <f t="shared" si="64"/>
        <v>#DIV/0!</v>
      </c>
      <c r="BA61" s="29" t="str">
        <f t="shared" si="64"/>
        <v>#DIV/0!</v>
      </c>
      <c r="BB61" s="29" t="str">
        <f t="shared" si="64"/>
        <v>#DIV/0!</v>
      </c>
      <c r="BC61" s="29" t="str">
        <f t="shared" si="64"/>
        <v>#DIV/0!</v>
      </c>
      <c r="BD61" s="29" t="str">
        <f t="shared" si="64"/>
        <v>#DIV/0!</v>
      </c>
      <c r="BE61" s="29" t="str">
        <f t="shared" si="64"/>
        <v>#DIV/0!</v>
      </c>
      <c r="BF61" s="29" t="str">
        <f t="shared" si="64"/>
        <v>#DIV/0!</v>
      </c>
      <c r="BG61" s="29" t="str">
        <f t="shared" si="64"/>
        <v>#DIV/0!</v>
      </c>
      <c r="BH61" s="29" t="str">
        <f t="shared" si="64"/>
        <v>#DIV/0!</v>
      </c>
      <c r="BI61" s="29" t="str">
        <f t="shared" si="64"/>
        <v>#DIV/0!</v>
      </c>
      <c r="BJ61" s="29" t="str">
        <f t="shared" si="64"/>
        <v>#DIV/0!</v>
      </c>
      <c r="BK61" s="29" t="str">
        <f t="shared" si="64"/>
        <v>#DIV/0!</v>
      </c>
      <c r="BL61" s="29" t="str">
        <f t="shared" si="64"/>
        <v>#DIV/0!</v>
      </c>
      <c r="BM61" s="29" t="str">
        <f t="shared" si="3"/>
        <v>#DIV/0!</v>
      </c>
    </row>
    <row r="62">
      <c r="A62" s="16" t="str">
        <f>IFERROR(__xludf.DUMMYFUNCTION("IFERROR(SPARKLINE(SORT(MAP(TRANSPOSE(AQ62:BL62), LAMBDA(val, IF(ISNUMBER(val), PERCENTRANK(AQ62:BL62, val)+0.01, 0))), SEQUENCE(COLUMNS(AQ62:BL62)), FALSE), {""charttype"",""column""; ""color"",""chartreuse""; ""ymin"", 0; ""ymax"", 1.01; ""highcolor"", "&amp;"""darkgreen""; ""lowcolor"", ""red""}), """")"),"")</f>
        <v/>
      </c>
      <c r="B62" s="17" t="str">
        <f t="shared" si="4"/>
        <v/>
      </c>
      <c r="C62" s="1" t="s">
        <v>314</v>
      </c>
      <c r="D62" s="34" t="str">
        <f>IFERROR(__xludf.DUMMYFUNCTION("IFERROR(GOOGLEFINANCE(C62, ""NAME""))"),"BlackRock Inc")</f>
        <v>BlackRock Inc</v>
      </c>
      <c r="E62" s="30" t="s">
        <v>64</v>
      </c>
      <c r="F62" s="33" t="str">
        <f>IFERROR(__xludf.DUMMYFUNCTION("( (GOOGLEFINANCE(C62, ""price"") - Q62) / Q62 ) / (R62 / 100)"),"Loading...")</f>
        <v>Loading...</v>
      </c>
      <c r="G62" s="20" t="str">
        <f>IFERROR(__xludf.DUMMYFUNCTION("AVERAGE(ARRAYFORMULA(100 * (QUERY(GOOGLEFINANCE(C62, ""high"", TODAY()-40, TODAY()), ""SELECT Col2 WHERE Col2 IS NOT NULL ORDER BY Col1 DESC LIMIT 20"", 0) / QUERY(GOOGLEFINANCE(C62, ""low"", TODAY()-40, TODAY()), ""SELECT Col2 WHERE Col2 IS NOT NULL ORDE"&amp;"R BY Col1 DESC LIMIT 20"", 0) - 1)))"),"#N/A")</f>
        <v>#N/A</v>
      </c>
      <c r="H62" s="35" t="str">
        <f t="shared" si="6"/>
        <v/>
      </c>
      <c r="I62" s="36" t="str">
        <f t="shared" si="7"/>
        <v/>
      </c>
      <c r="J62" s="37" t="str">
        <f>IFERROR(__xludf.DUMMYFUNCTION("IFERROR(
  IF(C62="""",, 
    IFERROR(
      GOOGLEFINANCE(C62, ""price"") * GOOGLEFINANCE(C62, ""volumeavg""), 
      GOOGLEFINANCE(C62, ""price"") * AVERAGE(QUERY(GOOGLEFINANCE(C62, ""volume"", TODAY()-40, TODAY()), ""SELECT Col2 WHERE Col2 IS NOT NULL "&amp;"ORDER BY Col1 DESC LIMIT 20"", 0))
    )
  ), 
"""")"),"")</f>
        <v/>
      </c>
      <c r="K62" s="21" t="str">
        <f>IFERROR(__xludf.DUMMYFUNCTION("IFERROR(GOOGLEFINANCE(C62, ""changepct"") / 100, """")"),"")</f>
        <v/>
      </c>
      <c r="L62" s="21" t="str">
        <f>IFERROR(__xludf.DUMMYFUNCTION("IFERROR((GOOGLEFINANCE(C62, ""price"") / INDEX(GOOGLEFINANCE(C62, ""price"", TODAY()-7, TODAY()), 2, 2)) - 1, """")"),"")</f>
        <v/>
      </c>
      <c r="M62" s="21" t="str">
        <f>IFERROR(__xludf.DUMMYFUNCTION("IFERROR((GOOGLEFINANCE(C62, ""price"") / INDEX(GOOGLEFINANCE(C62, ""price"", EDATE(TODAY(), -1), TODAY()), 2, 2)) - 1, """")"),"")</f>
        <v/>
      </c>
      <c r="N62" s="21" t="str">
        <f>IFERROR(__xludf.DUMMYFUNCTION("IFERROR((GOOGLEFINANCE(C62, ""price"") / INDEX(GOOGLEFINANCE(C62, ""price"", EDATE(TODAY(), -3), TODAY()), 2, 2)) - 1, """")"),"")</f>
        <v/>
      </c>
      <c r="O62" s="21" t="str">
        <f>IFERROR(__xludf.DUMMYFUNCTION("IFERROR((GOOGLEFINANCE(C62, ""price"") / INDEX(GOOGLEFINANCE(C62, ""price"", EDATE(TODAY(), -6), TODAY()), 2, 2)) - 1, """")"),"")</f>
        <v/>
      </c>
      <c r="P62" s="21" t="str">
        <f>IFERROR(__xludf.DUMMYFUNCTION("IFERROR((GOOGLEFINANCE(C62, ""price"") / INDEX(GOOGLEFINANCE(C62, ""price"", EDATE(TODAY(), -12), TODAY()), 2, 2)) - 1, """")"),"")</f>
        <v/>
      </c>
      <c r="Q62" s="6" t="str">
        <f>IFERROR(__xludf.DUMMYFUNCTION("AVERAGE(QUERY(GOOGLEFINANCE(C62, ""price"", TODAY()-80, TODAY()), ""SELECT Col2 WHERE Col2 IS NOT NULL ORDER BY Col1 DESC LIMIT 50"", 0))"),"#N/A")</f>
        <v>#N/A</v>
      </c>
      <c r="R62" s="24" t="str">
        <f>IFERROR(__xludf.DUMMYFUNCTION("IFERROR(
  LET(
    data, QUERY(GOOGLEFINANCE(C62,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GOOGLEFINANCE(C62, ""price"")) * 100,
    IF(calc=0, G62, calc)
  ), 
G62)"),"#N/A")</f>
        <v>#N/A</v>
      </c>
      <c r="S62" s="8" t="s">
        <v>15</v>
      </c>
      <c r="T62" s="26" t="str">
        <f>IFERROR(__xludf.DUMMYFUNCTION("IFERROR(TRANSPOSE(QUERY(IFERROR(SORT(GOOGLEFINANCE(C62, ""price"", WORKDAY(TODAY(), -40), TODAY()), 1, FALSE)), ""select Col2 where Col2 is not null limit 22 label Col2 ''"", 0)), """")"),"")</f>
        <v/>
      </c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8"/>
      <c r="AO62" s="28"/>
      <c r="AP62" s="29"/>
      <c r="AQ62" s="29" t="str">
        <f t="shared" ref="AQ62:BL62" si="65">T62/T$2</f>
        <v>#N/A</v>
      </c>
      <c r="AR62" s="29" t="str">
        <f t="shared" si="65"/>
        <v>#DIV/0!</v>
      </c>
      <c r="AS62" s="29" t="str">
        <f t="shared" si="65"/>
        <v>#DIV/0!</v>
      </c>
      <c r="AT62" s="29" t="str">
        <f t="shared" si="65"/>
        <v>#DIV/0!</v>
      </c>
      <c r="AU62" s="29" t="str">
        <f t="shared" si="65"/>
        <v>#DIV/0!</v>
      </c>
      <c r="AV62" s="29" t="str">
        <f t="shared" si="65"/>
        <v>#DIV/0!</v>
      </c>
      <c r="AW62" s="29" t="str">
        <f t="shared" si="65"/>
        <v>#DIV/0!</v>
      </c>
      <c r="AX62" s="29" t="str">
        <f t="shared" si="65"/>
        <v>#DIV/0!</v>
      </c>
      <c r="AY62" s="29" t="str">
        <f t="shared" si="65"/>
        <v>#DIV/0!</v>
      </c>
      <c r="AZ62" s="29" t="str">
        <f t="shared" si="65"/>
        <v>#DIV/0!</v>
      </c>
      <c r="BA62" s="29" t="str">
        <f t="shared" si="65"/>
        <v>#DIV/0!</v>
      </c>
      <c r="BB62" s="29" t="str">
        <f t="shared" si="65"/>
        <v>#DIV/0!</v>
      </c>
      <c r="BC62" s="29" t="str">
        <f t="shared" si="65"/>
        <v>#DIV/0!</v>
      </c>
      <c r="BD62" s="29" t="str">
        <f t="shared" si="65"/>
        <v>#DIV/0!</v>
      </c>
      <c r="BE62" s="29" t="str">
        <f t="shared" si="65"/>
        <v>#DIV/0!</v>
      </c>
      <c r="BF62" s="29" t="str">
        <f t="shared" si="65"/>
        <v>#DIV/0!</v>
      </c>
      <c r="BG62" s="29" t="str">
        <f t="shared" si="65"/>
        <v>#DIV/0!</v>
      </c>
      <c r="BH62" s="29" t="str">
        <f t="shared" si="65"/>
        <v>#DIV/0!</v>
      </c>
      <c r="BI62" s="29" t="str">
        <f t="shared" si="65"/>
        <v>#DIV/0!</v>
      </c>
      <c r="BJ62" s="29" t="str">
        <f t="shared" si="65"/>
        <v>#DIV/0!</v>
      </c>
      <c r="BK62" s="29" t="str">
        <f t="shared" si="65"/>
        <v>#DIV/0!</v>
      </c>
      <c r="BL62" s="29" t="str">
        <f t="shared" si="65"/>
        <v>#DIV/0!</v>
      </c>
      <c r="BM62" s="29" t="str">
        <f t="shared" si="3"/>
        <v>#DIV/0!</v>
      </c>
    </row>
    <row r="63">
      <c r="A63" s="16" t="str">
        <f>IFERROR(__xludf.DUMMYFUNCTION("IFERROR(SPARKLINE(SORT(MAP(TRANSPOSE(AQ63:BL63), LAMBDA(val, IF(ISNUMBER(val), PERCENTRANK(AQ63:BL63, val)+0.01, 0))), SEQUENCE(COLUMNS(AQ63:BL63)), FALSE), {""charttype"",""column""; ""color"",""chartreuse""; ""ymin"", 0; ""ymax"", 1.01; ""highcolor"", "&amp;"""darkgreen""; ""lowcolor"", ""red""}), """")"),"")</f>
        <v/>
      </c>
      <c r="B63" s="17" t="str">
        <f t="shared" si="4"/>
        <v/>
      </c>
      <c r="C63" s="1" t="s">
        <v>319</v>
      </c>
      <c r="D63" s="34" t="str">
        <f>IFERROR(__xludf.DUMMYFUNCTION("IFERROR(GOOGLEFINANCE(C63, ""NAME""))"),"Gladstone Investment Corporation")</f>
        <v>Gladstone Investment Corporation</v>
      </c>
      <c r="E63" s="30" t="s">
        <v>64</v>
      </c>
      <c r="F63" s="33" t="str">
        <f>IFERROR(__xludf.DUMMYFUNCTION("( (GOOGLEFINANCE(C63, ""price"") - Q63) / Q63 ) / (R63 / 100)"),"Loading...")</f>
        <v>Loading...</v>
      </c>
      <c r="G63" s="20" t="str">
        <f>IFERROR(__xludf.DUMMYFUNCTION("AVERAGE(ARRAYFORMULA(100 * (QUERY(GOOGLEFINANCE(C63, ""high"", TODAY()-40, TODAY()), ""SELECT Col2 WHERE Col2 IS NOT NULL ORDER BY Col1 DESC LIMIT 20"", 0) / QUERY(GOOGLEFINANCE(C63, ""low"", TODAY()-40, TODAY()), ""SELECT Col2 WHERE Col2 IS NOT NULL ORDE"&amp;"R BY Col1 DESC LIMIT 20"", 0) - 1)))"),"#N/A")</f>
        <v>#N/A</v>
      </c>
      <c r="H63" s="35" t="str">
        <f t="shared" si="6"/>
        <v/>
      </c>
      <c r="I63" s="36" t="str">
        <f t="shared" si="7"/>
        <v/>
      </c>
      <c r="J63" s="37" t="str">
        <f>IFERROR(__xludf.DUMMYFUNCTION("IFERROR(
  IF(C63="""",, 
    IFERROR(
      GOOGLEFINANCE(C63, ""price"") * GOOGLEFINANCE(C63, ""volumeavg""), 
      GOOGLEFINANCE(C63, ""price"") * AVERAGE(QUERY(GOOGLEFINANCE(C63, ""volume"", TODAY()-40, TODAY()), ""SELECT Col2 WHERE Col2 IS NOT NULL "&amp;"ORDER BY Col1 DESC LIMIT 20"", 0))
    )
  ), 
"""")"),"")</f>
        <v/>
      </c>
      <c r="K63" s="21" t="str">
        <f>IFERROR(__xludf.DUMMYFUNCTION("IFERROR(GOOGLEFINANCE(C63, ""changepct"") / 100, """")"),"")</f>
        <v/>
      </c>
      <c r="L63" s="21" t="str">
        <f>IFERROR(__xludf.DUMMYFUNCTION("IFERROR((GOOGLEFINANCE(C63, ""price"") / INDEX(GOOGLEFINANCE(C63, ""price"", TODAY()-7, TODAY()), 2, 2)) - 1, """")"),"")</f>
        <v/>
      </c>
      <c r="M63" s="21" t="str">
        <f>IFERROR(__xludf.DUMMYFUNCTION("IFERROR((GOOGLEFINANCE(C63, ""price"") / INDEX(GOOGLEFINANCE(C63, ""price"", EDATE(TODAY(), -1), TODAY()), 2, 2)) - 1, """")"),"")</f>
        <v/>
      </c>
      <c r="N63" s="21" t="str">
        <f>IFERROR(__xludf.DUMMYFUNCTION("IFERROR((GOOGLEFINANCE(C63, ""price"") / INDEX(GOOGLEFINANCE(C63, ""price"", EDATE(TODAY(), -3), TODAY()), 2, 2)) - 1, """")"),"")</f>
        <v/>
      </c>
      <c r="O63" s="21" t="str">
        <f>IFERROR(__xludf.DUMMYFUNCTION("IFERROR((GOOGLEFINANCE(C63, ""price"") / INDEX(GOOGLEFINANCE(C63, ""price"", EDATE(TODAY(), -6), TODAY()), 2, 2)) - 1, """")"),"")</f>
        <v/>
      </c>
      <c r="P63" s="21" t="str">
        <f>IFERROR(__xludf.DUMMYFUNCTION("IFERROR((GOOGLEFINANCE(C63, ""price"") / INDEX(GOOGLEFINANCE(C63, ""price"", EDATE(TODAY(), -12), TODAY()), 2, 2)) - 1, """")"),"")</f>
        <v/>
      </c>
      <c r="Q63" s="6" t="str">
        <f>IFERROR(__xludf.DUMMYFUNCTION("AVERAGE(QUERY(GOOGLEFINANCE(C63, ""price"", TODAY()-80, TODAY()), ""SELECT Col2 WHERE Col2 IS NOT NULL ORDER BY Col1 DESC LIMIT 50"", 0))"),"#N/A")</f>
        <v>#N/A</v>
      </c>
      <c r="R63" s="24" t="str">
        <f>IFERROR(__xludf.DUMMYFUNCTION("IFERROR(
  LET(
    data, QUERY(GOOGLEFINANCE(C63,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GOOGLEFINANCE(C63, ""price"")) * 100,
    IF(calc=0, G63, calc)
  ), 
G63)"),"#N/A")</f>
        <v>#N/A</v>
      </c>
      <c r="S63" s="8" t="s">
        <v>15</v>
      </c>
      <c r="T63" s="26" t="str">
        <f>IFERROR(__xludf.DUMMYFUNCTION("IFERROR(TRANSPOSE(QUERY(IFERROR(SORT(GOOGLEFINANCE(C63, ""price"", WORKDAY(TODAY(), -40), TODAY()), 1, FALSE)), ""select Col2 where Col2 is not null limit 22 label Col2 ''"", 0)), """")"),"")</f>
        <v/>
      </c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8"/>
      <c r="AO63" s="28"/>
      <c r="AP63" s="29"/>
      <c r="AQ63" s="29" t="str">
        <f t="shared" ref="AQ63:BL63" si="66">T63/T$2</f>
        <v>#N/A</v>
      </c>
      <c r="AR63" s="29" t="str">
        <f t="shared" si="66"/>
        <v>#DIV/0!</v>
      </c>
      <c r="AS63" s="29" t="str">
        <f t="shared" si="66"/>
        <v>#DIV/0!</v>
      </c>
      <c r="AT63" s="29" t="str">
        <f t="shared" si="66"/>
        <v>#DIV/0!</v>
      </c>
      <c r="AU63" s="29" t="str">
        <f t="shared" si="66"/>
        <v>#DIV/0!</v>
      </c>
      <c r="AV63" s="29" t="str">
        <f t="shared" si="66"/>
        <v>#DIV/0!</v>
      </c>
      <c r="AW63" s="29" t="str">
        <f t="shared" si="66"/>
        <v>#DIV/0!</v>
      </c>
      <c r="AX63" s="29" t="str">
        <f t="shared" si="66"/>
        <v>#DIV/0!</v>
      </c>
      <c r="AY63" s="29" t="str">
        <f t="shared" si="66"/>
        <v>#DIV/0!</v>
      </c>
      <c r="AZ63" s="29" t="str">
        <f t="shared" si="66"/>
        <v>#DIV/0!</v>
      </c>
      <c r="BA63" s="29" t="str">
        <f t="shared" si="66"/>
        <v>#DIV/0!</v>
      </c>
      <c r="BB63" s="29" t="str">
        <f t="shared" si="66"/>
        <v>#DIV/0!</v>
      </c>
      <c r="BC63" s="29" t="str">
        <f t="shared" si="66"/>
        <v>#DIV/0!</v>
      </c>
      <c r="BD63" s="29" t="str">
        <f t="shared" si="66"/>
        <v>#DIV/0!</v>
      </c>
      <c r="BE63" s="29" t="str">
        <f t="shared" si="66"/>
        <v>#DIV/0!</v>
      </c>
      <c r="BF63" s="29" t="str">
        <f t="shared" si="66"/>
        <v>#DIV/0!</v>
      </c>
      <c r="BG63" s="29" t="str">
        <f t="shared" si="66"/>
        <v>#DIV/0!</v>
      </c>
      <c r="BH63" s="29" t="str">
        <f t="shared" si="66"/>
        <v>#DIV/0!</v>
      </c>
      <c r="BI63" s="29" t="str">
        <f t="shared" si="66"/>
        <v>#DIV/0!</v>
      </c>
      <c r="BJ63" s="29" t="str">
        <f t="shared" si="66"/>
        <v>#DIV/0!</v>
      </c>
      <c r="BK63" s="29" t="str">
        <f t="shared" si="66"/>
        <v>#DIV/0!</v>
      </c>
      <c r="BL63" s="29" t="str">
        <f t="shared" si="66"/>
        <v>#DIV/0!</v>
      </c>
      <c r="BM63" s="29" t="str">
        <f t="shared" si="3"/>
        <v>#DIV/0!</v>
      </c>
    </row>
    <row r="64">
      <c r="A64" s="16" t="str">
        <f>IFERROR(__xludf.DUMMYFUNCTION("IFERROR(SPARKLINE(SORT(MAP(TRANSPOSE(AQ64:BL64), LAMBDA(val, IF(ISNUMBER(val), PERCENTRANK(AQ64:BL64, val)+0.01, 0))), SEQUENCE(COLUMNS(AQ64:BL64)), FALSE), {""charttype"",""column""; ""color"",""chartreuse""; ""ymin"", 0; ""ymax"", 1.01; ""highcolor"", "&amp;"""darkgreen""; ""lowcolor"", ""red""}), """")"),"")</f>
        <v/>
      </c>
      <c r="B64" s="17" t="str">
        <f t="shared" si="4"/>
        <v/>
      </c>
      <c r="C64" s="1" t="s">
        <v>322</v>
      </c>
      <c r="D64" s="34" t="str">
        <f>IFERROR(__xludf.DUMMYFUNCTION("IFERROR(GOOGLEFINANCE(C64, ""NAME""))"),"Selective Insurance Group Inc")</f>
        <v>Selective Insurance Group Inc</v>
      </c>
      <c r="E64" s="30" t="s">
        <v>82</v>
      </c>
      <c r="F64" s="33" t="str">
        <f>IFERROR(__xludf.DUMMYFUNCTION("( (GOOGLEFINANCE(C64, ""price"") - Q64) / Q64 ) / (R64 / 100)"),"Loading...")</f>
        <v>Loading...</v>
      </c>
      <c r="G64" s="20" t="str">
        <f>IFERROR(__xludf.DUMMYFUNCTION("AVERAGE(ARRAYFORMULA(100 * (QUERY(GOOGLEFINANCE(C64, ""high"", TODAY()-40, TODAY()), ""SELECT Col2 WHERE Col2 IS NOT NULL ORDER BY Col1 DESC LIMIT 20"", 0) / QUERY(GOOGLEFINANCE(C64, ""low"", TODAY()-40, TODAY()), ""SELECT Col2 WHERE Col2 IS NOT NULL ORDE"&amp;"R BY Col1 DESC LIMIT 20"", 0) - 1)))"),"#N/A")</f>
        <v>#N/A</v>
      </c>
      <c r="H64" s="35" t="str">
        <f t="shared" si="6"/>
        <v/>
      </c>
      <c r="I64" s="36" t="str">
        <f t="shared" si="7"/>
        <v/>
      </c>
      <c r="J64" s="37" t="str">
        <f>IFERROR(__xludf.DUMMYFUNCTION("IFERROR(
  IF(C64="""",, 
    IFERROR(
      GOOGLEFINANCE(C64, ""price"") * GOOGLEFINANCE(C64, ""volumeavg""), 
      GOOGLEFINANCE(C64, ""price"") * AVERAGE(QUERY(GOOGLEFINANCE(C64, ""volume"", TODAY()-40, TODAY()), ""SELECT Col2 WHERE Col2 IS NOT NULL "&amp;"ORDER BY Col1 DESC LIMIT 20"", 0))
    )
  ), 
"""")"),"")</f>
        <v/>
      </c>
      <c r="K64" s="21" t="str">
        <f>IFERROR(__xludf.DUMMYFUNCTION("IFERROR(GOOGLEFINANCE(C64, ""changepct"") / 100, """")"),"")</f>
        <v/>
      </c>
      <c r="L64" s="21" t="str">
        <f>IFERROR(__xludf.DUMMYFUNCTION("IFERROR((GOOGLEFINANCE(C64, ""price"") / INDEX(GOOGLEFINANCE(C64, ""price"", TODAY()-7, TODAY()), 2, 2)) - 1, """")"),"")</f>
        <v/>
      </c>
      <c r="M64" s="21" t="str">
        <f>IFERROR(__xludf.DUMMYFUNCTION("IFERROR((GOOGLEFINANCE(C64, ""price"") / INDEX(GOOGLEFINANCE(C64, ""price"", EDATE(TODAY(), -1), TODAY()), 2, 2)) - 1, """")"),"")</f>
        <v/>
      </c>
      <c r="N64" s="21" t="str">
        <f>IFERROR(__xludf.DUMMYFUNCTION("IFERROR((GOOGLEFINANCE(C64, ""price"") / INDEX(GOOGLEFINANCE(C64, ""price"", EDATE(TODAY(), -3), TODAY()), 2, 2)) - 1, """")"),"")</f>
        <v/>
      </c>
      <c r="O64" s="21" t="str">
        <f>IFERROR(__xludf.DUMMYFUNCTION("IFERROR((GOOGLEFINANCE(C64, ""price"") / INDEX(GOOGLEFINANCE(C64, ""price"", EDATE(TODAY(), -6), TODAY()), 2, 2)) - 1, """")"),"")</f>
        <v/>
      </c>
      <c r="P64" s="21" t="str">
        <f>IFERROR(__xludf.DUMMYFUNCTION("IFERROR((GOOGLEFINANCE(C64, ""price"") / INDEX(GOOGLEFINANCE(C64, ""price"", EDATE(TODAY(), -12), TODAY()), 2, 2)) - 1, """")"),"")</f>
        <v/>
      </c>
      <c r="Q64" s="6" t="str">
        <f>IFERROR(__xludf.DUMMYFUNCTION("AVERAGE(QUERY(GOOGLEFINANCE(C64, ""price"", TODAY()-80, TODAY()), ""SELECT Col2 WHERE Col2 IS NOT NULL ORDER BY Col1 DESC LIMIT 50"", 0))"),"#N/A")</f>
        <v>#N/A</v>
      </c>
      <c r="R64" s="24" t="str">
        <f>IFERROR(__xludf.DUMMYFUNCTION("IFERROR(
  LET(
    data, QUERY(GOOGLEFINANCE(C64,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GOOGLEFINANCE(C64, ""price"")) * 100,
    IF(calc=0, G64, calc)
  ), 
G64)"),"#N/A")</f>
        <v>#N/A</v>
      </c>
      <c r="S64" s="8" t="s">
        <v>15</v>
      </c>
      <c r="T64" s="26" t="str">
        <f>IFERROR(__xludf.DUMMYFUNCTION("IFERROR(TRANSPOSE(QUERY(IFERROR(SORT(GOOGLEFINANCE(C64, ""price"", WORKDAY(TODAY(), -40), TODAY()), 1, FALSE)), ""select Col2 where Col2 is not null limit 22 label Col2 ''"", 0)), """")"),"")</f>
        <v/>
      </c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8"/>
      <c r="AO64" s="28"/>
      <c r="AP64" s="29"/>
      <c r="AQ64" s="29" t="str">
        <f t="shared" ref="AQ64:BL64" si="67">T64/T$2</f>
        <v>#N/A</v>
      </c>
      <c r="AR64" s="29" t="str">
        <f t="shared" si="67"/>
        <v>#DIV/0!</v>
      </c>
      <c r="AS64" s="29" t="str">
        <f t="shared" si="67"/>
        <v>#DIV/0!</v>
      </c>
      <c r="AT64" s="29" t="str">
        <f t="shared" si="67"/>
        <v>#DIV/0!</v>
      </c>
      <c r="AU64" s="29" t="str">
        <f t="shared" si="67"/>
        <v>#DIV/0!</v>
      </c>
      <c r="AV64" s="29" t="str">
        <f t="shared" si="67"/>
        <v>#DIV/0!</v>
      </c>
      <c r="AW64" s="29" t="str">
        <f t="shared" si="67"/>
        <v>#DIV/0!</v>
      </c>
      <c r="AX64" s="29" t="str">
        <f t="shared" si="67"/>
        <v>#DIV/0!</v>
      </c>
      <c r="AY64" s="29" t="str">
        <f t="shared" si="67"/>
        <v>#DIV/0!</v>
      </c>
      <c r="AZ64" s="29" t="str">
        <f t="shared" si="67"/>
        <v>#DIV/0!</v>
      </c>
      <c r="BA64" s="29" t="str">
        <f t="shared" si="67"/>
        <v>#DIV/0!</v>
      </c>
      <c r="BB64" s="29" t="str">
        <f t="shared" si="67"/>
        <v>#DIV/0!</v>
      </c>
      <c r="BC64" s="29" t="str">
        <f t="shared" si="67"/>
        <v>#DIV/0!</v>
      </c>
      <c r="BD64" s="29" t="str">
        <f t="shared" si="67"/>
        <v>#DIV/0!</v>
      </c>
      <c r="BE64" s="29" t="str">
        <f t="shared" si="67"/>
        <v>#DIV/0!</v>
      </c>
      <c r="BF64" s="29" t="str">
        <f t="shared" si="67"/>
        <v>#DIV/0!</v>
      </c>
      <c r="BG64" s="29" t="str">
        <f t="shared" si="67"/>
        <v>#DIV/0!</v>
      </c>
      <c r="BH64" s="29" t="str">
        <f t="shared" si="67"/>
        <v>#DIV/0!</v>
      </c>
      <c r="BI64" s="29" t="str">
        <f t="shared" si="67"/>
        <v>#DIV/0!</v>
      </c>
      <c r="BJ64" s="29" t="str">
        <f t="shared" si="67"/>
        <v>#DIV/0!</v>
      </c>
      <c r="BK64" s="29" t="str">
        <f t="shared" si="67"/>
        <v>#DIV/0!</v>
      </c>
      <c r="BL64" s="29" t="str">
        <f t="shared" si="67"/>
        <v>#DIV/0!</v>
      </c>
      <c r="BM64" s="29" t="str">
        <f t="shared" si="3"/>
        <v>#DIV/0!</v>
      </c>
    </row>
    <row r="65">
      <c r="A65" s="16" t="str">
        <f>IFERROR(__xludf.DUMMYFUNCTION("IFERROR(SPARKLINE(SORT(MAP(TRANSPOSE(AQ65:BL65), LAMBDA(val, IF(ISNUMBER(val), PERCENTRANK(AQ65:BL65, val)+0.01, 0))), SEQUENCE(COLUMNS(AQ65:BL65)), FALSE), {""charttype"",""column""; ""color"",""chartreuse""; ""ymin"", 0; ""ymax"", 1.01; ""highcolor"", "&amp;"""darkgreen""; ""lowcolor"", ""red""}), """")"),"")</f>
        <v/>
      </c>
      <c r="B65" s="17" t="str">
        <f t="shared" si="4"/>
        <v/>
      </c>
      <c r="C65" s="1" t="s">
        <v>326</v>
      </c>
      <c r="D65" s="34" t="str">
        <f>IFERROR(__xludf.DUMMYFUNCTION("IFERROR(GOOGLEFINANCE(C65, ""NAME""))"),"UBS Group AG")</f>
        <v>UBS Group AG</v>
      </c>
      <c r="E65" s="30" t="s">
        <v>236</v>
      </c>
      <c r="F65" s="33" t="str">
        <f>IFERROR(__xludf.DUMMYFUNCTION("( (GOOGLEFINANCE(C65, ""price"") - Q65) / Q65 ) / (R65 / 100)"),"Loading...")</f>
        <v>Loading...</v>
      </c>
      <c r="G65" s="20" t="str">
        <f>IFERROR(__xludf.DUMMYFUNCTION("AVERAGE(ARRAYFORMULA(100 * (QUERY(GOOGLEFINANCE(C65, ""high"", TODAY()-40, TODAY()), ""SELECT Col2 WHERE Col2 IS NOT NULL ORDER BY Col1 DESC LIMIT 20"", 0) / QUERY(GOOGLEFINANCE(C65, ""low"", TODAY()-40, TODAY()), ""SELECT Col2 WHERE Col2 IS NOT NULL ORDE"&amp;"R BY Col1 DESC LIMIT 20"", 0) - 1)))"),"#N/A")</f>
        <v>#N/A</v>
      </c>
      <c r="H65" s="35" t="str">
        <f t="shared" si="6"/>
        <v/>
      </c>
      <c r="I65" s="36" t="str">
        <f t="shared" si="7"/>
        <v/>
      </c>
      <c r="J65" s="37" t="str">
        <f>IFERROR(__xludf.DUMMYFUNCTION("IFERROR(
  IF(C65="""",, 
    IFERROR(
      GOOGLEFINANCE(C65, ""price"") * GOOGLEFINANCE(C65, ""volumeavg""), 
      GOOGLEFINANCE(C65, ""price"") * AVERAGE(QUERY(GOOGLEFINANCE(C65, ""volume"", TODAY()-40, TODAY()), ""SELECT Col2 WHERE Col2 IS NOT NULL "&amp;"ORDER BY Col1 DESC LIMIT 20"", 0))
    )
  ), 
"""")"),"")</f>
        <v/>
      </c>
      <c r="K65" s="21" t="str">
        <f>IFERROR(__xludf.DUMMYFUNCTION("IFERROR(GOOGLEFINANCE(C65, ""changepct"") / 100, """")"),"")</f>
        <v/>
      </c>
      <c r="L65" s="21" t="str">
        <f>IFERROR(__xludf.DUMMYFUNCTION("IFERROR((GOOGLEFINANCE(C65, ""price"") / INDEX(GOOGLEFINANCE(C65, ""price"", TODAY()-7, TODAY()), 2, 2)) - 1, """")"),"")</f>
        <v/>
      </c>
      <c r="M65" s="21" t="str">
        <f>IFERROR(__xludf.DUMMYFUNCTION("IFERROR((GOOGLEFINANCE(C65, ""price"") / INDEX(GOOGLEFINANCE(C65, ""price"", EDATE(TODAY(), -1), TODAY()), 2, 2)) - 1, """")"),"")</f>
        <v/>
      </c>
      <c r="N65" s="21" t="str">
        <f>IFERROR(__xludf.DUMMYFUNCTION("IFERROR((GOOGLEFINANCE(C65, ""price"") / INDEX(GOOGLEFINANCE(C65, ""price"", EDATE(TODAY(), -3), TODAY()), 2, 2)) - 1, """")"),"")</f>
        <v/>
      </c>
      <c r="O65" s="21" t="str">
        <f>IFERROR(__xludf.DUMMYFUNCTION("IFERROR((GOOGLEFINANCE(C65, ""price"") / INDEX(GOOGLEFINANCE(C65, ""price"", EDATE(TODAY(), -6), TODAY()), 2, 2)) - 1, """")"),"")</f>
        <v/>
      </c>
      <c r="P65" s="21" t="str">
        <f>IFERROR(__xludf.DUMMYFUNCTION("IFERROR((GOOGLEFINANCE(C65, ""price"") / INDEX(GOOGLEFINANCE(C65, ""price"", EDATE(TODAY(), -12), TODAY()), 2, 2)) - 1, """")"),"")</f>
        <v/>
      </c>
      <c r="Q65" s="6" t="str">
        <f>IFERROR(__xludf.DUMMYFUNCTION("AVERAGE(QUERY(GOOGLEFINANCE(C65, ""price"", TODAY()-80, TODAY()), ""SELECT Col2 WHERE Col2 IS NOT NULL ORDER BY Col1 DESC LIMIT 50"", 0))"),"#N/A")</f>
        <v>#N/A</v>
      </c>
      <c r="R65" s="24" t="str">
        <f>IFERROR(__xludf.DUMMYFUNCTION("IFERROR(
  LET(
    data, QUERY(GOOGLEFINANCE(C65,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GOOGLEFINANCE(C65, ""price"")) * 100,
    IF(calc=0, G65, calc)
  ), 
G65)"),"#N/A")</f>
        <v>#N/A</v>
      </c>
      <c r="S65" s="8" t="s">
        <v>15</v>
      </c>
      <c r="T65" s="26" t="str">
        <f>IFERROR(__xludf.DUMMYFUNCTION("IFERROR(TRANSPOSE(QUERY(IFERROR(SORT(GOOGLEFINANCE(C65, ""price"", WORKDAY(TODAY(), -40), TODAY()), 1, FALSE)), ""select Col2 where Col2 is not null limit 22 label Col2 ''"", 0)), """")"),"")</f>
        <v/>
      </c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8"/>
      <c r="AO65" s="28"/>
      <c r="AP65" s="29"/>
      <c r="AQ65" s="29" t="str">
        <f t="shared" ref="AQ65:BL65" si="68">T65/T$2</f>
        <v>#N/A</v>
      </c>
      <c r="AR65" s="29" t="str">
        <f t="shared" si="68"/>
        <v>#DIV/0!</v>
      </c>
      <c r="AS65" s="29" t="str">
        <f t="shared" si="68"/>
        <v>#DIV/0!</v>
      </c>
      <c r="AT65" s="29" t="str">
        <f t="shared" si="68"/>
        <v>#DIV/0!</v>
      </c>
      <c r="AU65" s="29" t="str">
        <f t="shared" si="68"/>
        <v>#DIV/0!</v>
      </c>
      <c r="AV65" s="29" t="str">
        <f t="shared" si="68"/>
        <v>#DIV/0!</v>
      </c>
      <c r="AW65" s="29" t="str">
        <f t="shared" si="68"/>
        <v>#DIV/0!</v>
      </c>
      <c r="AX65" s="29" t="str">
        <f t="shared" si="68"/>
        <v>#DIV/0!</v>
      </c>
      <c r="AY65" s="29" t="str">
        <f t="shared" si="68"/>
        <v>#DIV/0!</v>
      </c>
      <c r="AZ65" s="29" t="str">
        <f t="shared" si="68"/>
        <v>#DIV/0!</v>
      </c>
      <c r="BA65" s="29" t="str">
        <f t="shared" si="68"/>
        <v>#DIV/0!</v>
      </c>
      <c r="BB65" s="29" t="str">
        <f t="shared" si="68"/>
        <v>#DIV/0!</v>
      </c>
      <c r="BC65" s="29" t="str">
        <f t="shared" si="68"/>
        <v>#DIV/0!</v>
      </c>
      <c r="BD65" s="29" t="str">
        <f t="shared" si="68"/>
        <v>#DIV/0!</v>
      </c>
      <c r="BE65" s="29" t="str">
        <f t="shared" si="68"/>
        <v>#DIV/0!</v>
      </c>
      <c r="BF65" s="29" t="str">
        <f t="shared" si="68"/>
        <v>#DIV/0!</v>
      </c>
      <c r="BG65" s="29" t="str">
        <f t="shared" si="68"/>
        <v>#DIV/0!</v>
      </c>
      <c r="BH65" s="29" t="str">
        <f t="shared" si="68"/>
        <v>#DIV/0!</v>
      </c>
      <c r="BI65" s="29" t="str">
        <f t="shared" si="68"/>
        <v>#DIV/0!</v>
      </c>
      <c r="BJ65" s="29" t="str">
        <f t="shared" si="68"/>
        <v>#DIV/0!</v>
      </c>
      <c r="BK65" s="29" t="str">
        <f t="shared" si="68"/>
        <v>#DIV/0!</v>
      </c>
      <c r="BL65" s="29" t="str">
        <f t="shared" si="68"/>
        <v>#DIV/0!</v>
      </c>
      <c r="BM65" s="29" t="str">
        <f t="shared" si="3"/>
        <v>#DIV/0!</v>
      </c>
    </row>
    <row r="66">
      <c r="A66" s="16" t="str">
        <f>IFERROR(__xludf.DUMMYFUNCTION("IFERROR(SPARKLINE(SORT(MAP(TRANSPOSE(AQ66:BL66), LAMBDA(val, IF(ISNUMBER(val), PERCENTRANK(AQ66:BL66, val)+0.01, 0))), SEQUENCE(COLUMNS(AQ66:BL66)), FALSE), {""charttype"",""column""; ""color"",""chartreuse""; ""ymin"", 0; ""ymax"", 1.01; ""highcolor"", "&amp;"""darkgreen""; ""lowcolor"", ""red""}), """")"),"")</f>
        <v/>
      </c>
      <c r="B66" s="17" t="str">
        <f t="shared" si="4"/>
        <v/>
      </c>
      <c r="C66" s="1" t="s">
        <v>329</v>
      </c>
      <c r="D66" s="34" t="str">
        <f>IFERROR(__xludf.DUMMYFUNCTION("IFERROR(GOOGLEFINANCE(C66, ""NAME""))"),"BayCom Corp")</f>
        <v>BayCom Corp</v>
      </c>
      <c r="E66" s="30" t="s">
        <v>268</v>
      </c>
      <c r="F66" s="33" t="str">
        <f>IFERROR(__xludf.DUMMYFUNCTION("( (GOOGLEFINANCE(C66, ""price"") - Q66) / Q66 ) / (R66 / 100)"),"Loading...")</f>
        <v>Loading...</v>
      </c>
      <c r="G66" s="20" t="str">
        <f>IFERROR(__xludf.DUMMYFUNCTION("AVERAGE(ARRAYFORMULA(100 * (QUERY(GOOGLEFINANCE(C66, ""high"", TODAY()-40, TODAY()), ""SELECT Col2 WHERE Col2 IS NOT NULL ORDER BY Col1 DESC LIMIT 20"", 0) / QUERY(GOOGLEFINANCE(C66, ""low"", TODAY()-40, TODAY()), ""SELECT Col2 WHERE Col2 IS NOT NULL ORDE"&amp;"R BY Col1 DESC LIMIT 20"", 0) - 1)))"),"#N/A")</f>
        <v>#N/A</v>
      </c>
      <c r="H66" s="35" t="str">
        <f t="shared" si="6"/>
        <v/>
      </c>
      <c r="I66" s="36" t="str">
        <f t="shared" si="7"/>
        <v/>
      </c>
      <c r="J66" s="37" t="str">
        <f>IFERROR(__xludf.DUMMYFUNCTION("IFERROR(
  IF(C66="""",, 
    IFERROR(
      GOOGLEFINANCE(C66, ""price"") * GOOGLEFINANCE(C66, ""volumeavg""), 
      GOOGLEFINANCE(C66, ""price"") * AVERAGE(QUERY(GOOGLEFINANCE(C66, ""volume"", TODAY()-40, TODAY()), ""SELECT Col2 WHERE Col2 IS NOT NULL "&amp;"ORDER BY Col1 DESC LIMIT 20"", 0))
    )
  ), 
"""")"),"")</f>
        <v/>
      </c>
      <c r="K66" s="21" t="str">
        <f>IFERROR(__xludf.DUMMYFUNCTION("IFERROR(GOOGLEFINANCE(C66, ""changepct"") / 100, """")"),"")</f>
        <v/>
      </c>
      <c r="L66" s="21" t="str">
        <f>IFERROR(__xludf.DUMMYFUNCTION("IFERROR((GOOGLEFINANCE(C66, ""price"") / INDEX(GOOGLEFINANCE(C66, ""price"", TODAY()-7, TODAY()), 2, 2)) - 1, """")"),"")</f>
        <v/>
      </c>
      <c r="M66" s="21" t="str">
        <f>IFERROR(__xludf.DUMMYFUNCTION("IFERROR((GOOGLEFINANCE(C66, ""price"") / INDEX(GOOGLEFINANCE(C66, ""price"", EDATE(TODAY(), -1), TODAY()), 2, 2)) - 1, """")"),"")</f>
        <v/>
      </c>
      <c r="N66" s="21" t="str">
        <f>IFERROR(__xludf.DUMMYFUNCTION("IFERROR((GOOGLEFINANCE(C66, ""price"") / INDEX(GOOGLEFINANCE(C66, ""price"", EDATE(TODAY(), -3), TODAY()), 2, 2)) - 1, """")"),"")</f>
        <v/>
      </c>
      <c r="O66" s="21" t="str">
        <f>IFERROR(__xludf.DUMMYFUNCTION("IFERROR((GOOGLEFINANCE(C66, ""price"") / INDEX(GOOGLEFINANCE(C66, ""price"", EDATE(TODAY(), -6), TODAY()), 2, 2)) - 1, """")"),"")</f>
        <v/>
      </c>
      <c r="P66" s="21" t="str">
        <f>IFERROR(__xludf.DUMMYFUNCTION("IFERROR((GOOGLEFINANCE(C66, ""price"") / INDEX(GOOGLEFINANCE(C66, ""price"", EDATE(TODAY(), -12), TODAY()), 2, 2)) - 1, """")"),"")</f>
        <v/>
      </c>
      <c r="Q66" s="6" t="str">
        <f>IFERROR(__xludf.DUMMYFUNCTION("AVERAGE(QUERY(GOOGLEFINANCE(C66, ""price"", TODAY()-80, TODAY()), ""SELECT Col2 WHERE Col2 IS NOT NULL ORDER BY Col1 DESC LIMIT 50"", 0))"),"#N/A")</f>
        <v>#N/A</v>
      </c>
      <c r="R66" s="24" t="str">
        <f>IFERROR(__xludf.DUMMYFUNCTION("IFERROR(
  LET(
    data, QUERY(GOOGLEFINANCE(C66,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GOOGLEFINANCE(C66, ""price"")) * 100,
    IF(calc=0, G66, calc)
  ), 
G66)"),"#N/A")</f>
        <v>#N/A</v>
      </c>
      <c r="S66" s="8" t="s">
        <v>15</v>
      </c>
      <c r="T66" s="26" t="str">
        <f>IFERROR(__xludf.DUMMYFUNCTION("IFERROR(TRANSPOSE(QUERY(IFERROR(SORT(GOOGLEFINANCE(C66, ""price"", WORKDAY(TODAY(), -40), TODAY()), 1, FALSE)), ""select Col2 where Col2 is not null limit 22 label Col2 ''"", 0)), """")"),"")</f>
        <v/>
      </c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8"/>
      <c r="AO66" s="28"/>
      <c r="AP66" s="29"/>
      <c r="AQ66" s="29" t="str">
        <f t="shared" ref="AQ66:BL66" si="69">T66/T$2</f>
        <v>#N/A</v>
      </c>
      <c r="AR66" s="29" t="str">
        <f t="shared" si="69"/>
        <v>#DIV/0!</v>
      </c>
      <c r="AS66" s="29" t="str">
        <f t="shared" si="69"/>
        <v>#DIV/0!</v>
      </c>
      <c r="AT66" s="29" t="str">
        <f t="shared" si="69"/>
        <v>#DIV/0!</v>
      </c>
      <c r="AU66" s="29" t="str">
        <f t="shared" si="69"/>
        <v>#DIV/0!</v>
      </c>
      <c r="AV66" s="29" t="str">
        <f t="shared" si="69"/>
        <v>#DIV/0!</v>
      </c>
      <c r="AW66" s="29" t="str">
        <f t="shared" si="69"/>
        <v>#DIV/0!</v>
      </c>
      <c r="AX66" s="29" t="str">
        <f t="shared" si="69"/>
        <v>#DIV/0!</v>
      </c>
      <c r="AY66" s="29" t="str">
        <f t="shared" si="69"/>
        <v>#DIV/0!</v>
      </c>
      <c r="AZ66" s="29" t="str">
        <f t="shared" si="69"/>
        <v>#DIV/0!</v>
      </c>
      <c r="BA66" s="29" t="str">
        <f t="shared" si="69"/>
        <v>#DIV/0!</v>
      </c>
      <c r="BB66" s="29" t="str">
        <f t="shared" si="69"/>
        <v>#DIV/0!</v>
      </c>
      <c r="BC66" s="29" t="str">
        <f t="shared" si="69"/>
        <v>#DIV/0!</v>
      </c>
      <c r="BD66" s="29" t="str">
        <f t="shared" si="69"/>
        <v>#DIV/0!</v>
      </c>
      <c r="BE66" s="29" t="str">
        <f t="shared" si="69"/>
        <v>#DIV/0!</v>
      </c>
      <c r="BF66" s="29" t="str">
        <f t="shared" si="69"/>
        <v>#DIV/0!</v>
      </c>
      <c r="BG66" s="29" t="str">
        <f t="shared" si="69"/>
        <v>#DIV/0!</v>
      </c>
      <c r="BH66" s="29" t="str">
        <f t="shared" si="69"/>
        <v>#DIV/0!</v>
      </c>
      <c r="BI66" s="29" t="str">
        <f t="shared" si="69"/>
        <v>#DIV/0!</v>
      </c>
      <c r="BJ66" s="29" t="str">
        <f t="shared" si="69"/>
        <v>#DIV/0!</v>
      </c>
      <c r="BK66" s="29" t="str">
        <f t="shared" si="69"/>
        <v>#DIV/0!</v>
      </c>
      <c r="BL66" s="29" t="str">
        <f t="shared" si="69"/>
        <v>#DIV/0!</v>
      </c>
      <c r="BM66" s="29" t="str">
        <f t="shared" si="3"/>
        <v>#DIV/0!</v>
      </c>
    </row>
    <row r="67">
      <c r="A67" s="16" t="str">
        <f>IFERROR(__xludf.DUMMYFUNCTION("IFERROR(SPARKLINE(SORT(MAP(TRANSPOSE(AQ67:BL67), LAMBDA(val, IF(ISNUMBER(val), PERCENTRANK(AQ67:BL67, val)+0.01, 0))), SEQUENCE(COLUMNS(AQ67:BL67)), FALSE), {""charttype"",""column""; ""color"",""chartreuse""; ""ymin"", 0; ""ymax"", 1.01; ""highcolor"", "&amp;"""darkgreen""; ""lowcolor"", ""red""}), """")"),"")</f>
        <v/>
      </c>
      <c r="B67" s="17" t="str">
        <f t="shared" si="4"/>
        <v/>
      </c>
      <c r="C67" s="1" t="s">
        <v>334</v>
      </c>
      <c r="D67" s="34" t="str">
        <f>IFERROR(__xludf.DUMMYFUNCTION("IFERROR(GOOGLEFINANCE(C67, ""NAME""))"),"SEI Investments Co")</f>
        <v>SEI Investments Co</v>
      </c>
      <c r="E67" s="30" t="s">
        <v>64</v>
      </c>
      <c r="F67" s="38" t="str">
        <f>IFERROR(__xludf.DUMMYFUNCTION("( (GOOGLEFINANCE(C67, ""price"") - Q67) / Q67 ) / (R67 / 100)"),"Loading...")</f>
        <v>Loading...</v>
      </c>
      <c r="G67" s="20" t="str">
        <f>IFERROR(__xludf.DUMMYFUNCTION("AVERAGE(ARRAYFORMULA(100 * (QUERY(GOOGLEFINANCE(C67, ""high"", TODAY()-40, TODAY()), ""SELECT Col2 WHERE Col2 IS NOT NULL ORDER BY Col1 DESC LIMIT 20"", 0) / QUERY(GOOGLEFINANCE(C67, ""low"", TODAY()-40, TODAY()), ""SELECT Col2 WHERE Col2 IS NOT NULL ORDE"&amp;"R BY Col1 DESC LIMIT 20"", 0) - 1)))"),"#N/A")</f>
        <v>#N/A</v>
      </c>
      <c r="H67" s="35" t="str">
        <f t="shared" si="6"/>
        <v/>
      </c>
      <c r="I67" s="36" t="str">
        <f t="shared" si="7"/>
        <v/>
      </c>
      <c r="J67" s="37" t="str">
        <f>IFERROR(__xludf.DUMMYFUNCTION("IFERROR(
  IF(C67="""",, 
    IFERROR(
      GOOGLEFINANCE(C67, ""price"") * GOOGLEFINANCE(C67, ""volumeavg""), 
      GOOGLEFINANCE(C67, ""price"") * AVERAGE(QUERY(GOOGLEFINANCE(C67, ""volume"", TODAY()-40, TODAY()), ""SELECT Col2 WHERE Col2 IS NOT NULL "&amp;"ORDER BY Col1 DESC LIMIT 20"", 0))
    )
  ), 
"""")"),"")</f>
        <v/>
      </c>
      <c r="K67" s="21" t="str">
        <f>IFERROR(__xludf.DUMMYFUNCTION("IFERROR(GOOGLEFINANCE(C67, ""changepct"") / 100, """")"),"")</f>
        <v/>
      </c>
      <c r="L67" s="21" t="str">
        <f>IFERROR(__xludf.DUMMYFUNCTION("IFERROR((GOOGLEFINANCE(C67, ""price"") / INDEX(GOOGLEFINANCE(C67, ""price"", TODAY()-7, TODAY()), 2, 2)) - 1, """")"),"")</f>
        <v/>
      </c>
      <c r="M67" s="21" t="str">
        <f>IFERROR(__xludf.DUMMYFUNCTION("IFERROR((GOOGLEFINANCE(C67, ""price"") / INDEX(GOOGLEFINANCE(C67, ""price"", EDATE(TODAY(), -1), TODAY()), 2, 2)) - 1, """")"),"")</f>
        <v/>
      </c>
      <c r="N67" s="21" t="str">
        <f>IFERROR(__xludf.DUMMYFUNCTION("IFERROR((GOOGLEFINANCE(C67, ""price"") / INDEX(GOOGLEFINANCE(C67, ""price"", EDATE(TODAY(), -3), TODAY()), 2, 2)) - 1, """")"),"")</f>
        <v/>
      </c>
      <c r="O67" s="21" t="str">
        <f>IFERROR(__xludf.DUMMYFUNCTION("IFERROR((GOOGLEFINANCE(C67, ""price"") / INDEX(GOOGLEFINANCE(C67, ""price"", EDATE(TODAY(), -6), TODAY()), 2, 2)) - 1, """")"),"")</f>
        <v/>
      </c>
      <c r="P67" s="21" t="str">
        <f>IFERROR(__xludf.DUMMYFUNCTION("IFERROR((GOOGLEFINANCE(C67, ""price"") / INDEX(GOOGLEFINANCE(C67, ""price"", EDATE(TODAY(), -12), TODAY()), 2, 2)) - 1, """")"),"")</f>
        <v/>
      </c>
      <c r="Q67" s="6" t="str">
        <f>IFERROR(__xludf.DUMMYFUNCTION("AVERAGE(QUERY(GOOGLEFINANCE(C67, ""price"", TODAY()-80, TODAY()), ""SELECT Col2 WHERE Col2 IS NOT NULL ORDER BY Col1 DESC LIMIT 50"", 0))"),"#N/A")</f>
        <v>#N/A</v>
      </c>
      <c r="R67" s="24" t="str">
        <f>IFERROR(__xludf.DUMMYFUNCTION("IFERROR(
  LET(
    data, QUERY(GOOGLEFINANCE(C67,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GOOGLEFINANCE(C67, ""price"")) * 100,
    IF(calc=0, G67, calc)
  ), 
G67)"),"#N/A")</f>
        <v>#N/A</v>
      </c>
      <c r="S67" s="8" t="s">
        <v>15</v>
      </c>
      <c r="T67" s="26" t="str">
        <f>IFERROR(__xludf.DUMMYFUNCTION("IFERROR(TRANSPOSE(QUERY(IFERROR(SORT(GOOGLEFINANCE(C67, ""price"", WORKDAY(TODAY(), -40), TODAY()), 1, FALSE)), ""select Col2 where Col2 is not null limit 22 label Col2 ''"", 0)), """")"),"")</f>
        <v/>
      </c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8"/>
      <c r="AO67" s="28"/>
      <c r="AP67" s="29"/>
      <c r="AQ67" s="29" t="str">
        <f t="shared" ref="AQ67:BL67" si="70">T67/T$2</f>
        <v>#N/A</v>
      </c>
      <c r="AR67" s="29" t="str">
        <f t="shared" si="70"/>
        <v>#DIV/0!</v>
      </c>
      <c r="AS67" s="29" t="str">
        <f t="shared" si="70"/>
        <v>#DIV/0!</v>
      </c>
      <c r="AT67" s="29" t="str">
        <f t="shared" si="70"/>
        <v>#DIV/0!</v>
      </c>
      <c r="AU67" s="29" t="str">
        <f t="shared" si="70"/>
        <v>#DIV/0!</v>
      </c>
      <c r="AV67" s="29" t="str">
        <f t="shared" si="70"/>
        <v>#DIV/0!</v>
      </c>
      <c r="AW67" s="29" t="str">
        <f t="shared" si="70"/>
        <v>#DIV/0!</v>
      </c>
      <c r="AX67" s="29" t="str">
        <f t="shared" si="70"/>
        <v>#DIV/0!</v>
      </c>
      <c r="AY67" s="29" t="str">
        <f t="shared" si="70"/>
        <v>#DIV/0!</v>
      </c>
      <c r="AZ67" s="29" t="str">
        <f t="shared" si="70"/>
        <v>#DIV/0!</v>
      </c>
      <c r="BA67" s="29" t="str">
        <f t="shared" si="70"/>
        <v>#DIV/0!</v>
      </c>
      <c r="BB67" s="29" t="str">
        <f t="shared" si="70"/>
        <v>#DIV/0!</v>
      </c>
      <c r="BC67" s="29" t="str">
        <f t="shared" si="70"/>
        <v>#DIV/0!</v>
      </c>
      <c r="BD67" s="29" t="str">
        <f t="shared" si="70"/>
        <v>#DIV/0!</v>
      </c>
      <c r="BE67" s="29" t="str">
        <f t="shared" si="70"/>
        <v>#DIV/0!</v>
      </c>
      <c r="BF67" s="29" t="str">
        <f t="shared" si="70"/>
        <v>#DIV/0!</v>
      </c>
      <c r="BG67" s="29" t="str">
        <f t="shared" si="70"/>
        <v>#DIV/0!</v>
      </c>
      <c r="BH67" s="29" t="str">
        <f t="shared" si="70"/>
        <v>#DIV/0!</v>
      </c>
      <c r="BI67" s="29" t="str">
        <f t="shared" si="70"/>
        <v>#DIV/0!</v>
      </c>
      <c r="BJ67" s="29" t="str">
        <f t="shared" si="70"/>
        <v>#DIV/0!</v>
      </c>
      <c r="BK67" s="29" t="str">
        <f t="shared" si="70"/>
        <v>#DIV/0!</v>
      </c>
      <c r="BL67" s="29" t="str">
        <f t="shared" si="70"/>
        <v>#DIV/0!</v>
      </c>
      <c r="BM67" s="29" t="str">
        <f t="shared" si="3"/>
        <v>#DIV/0!</v>
      </c>
    </row>
    <row r="68">
      <c r="A68" s="16" t="str">
        <f>IFERROR(__xludf.DUMMYFUNCTION("IFERROR(SPARKLINE(SORT(MAP(TRANSPOSE(AQ68:BL68), LAMBDA(val, IF(ISNUMBER(val), PERCENTRANK(AQ68:BL68, val)+0.01, 0))), SEQUENCE(COLUMNS(AQ68:BL68)), FALSE), {""charttype"",""column""; ""color"",""chartreuse""; ""ymin"", 0; ""ymax"", 1.01; ""highcolor"", "&amp;"""darkgreen""; ""lowcolor"", ""red""}), """")"),"")</f>
        <v/>
      </c>
      <c r="B68" s="17" t="str">
        <f t="shared" si="4"/>
        <v/>
      </c>
      <c r="C68" s="1" t="s">
        <v>338</v>
      </c>
      <c r="D68" s="34" t="str">
        <f>IFERROR(__xludf.DUMMYFUNCTION("IFERROR(GOOGLEFINANCE(C68, ""NAME""))"),"Apollo Global Management Ord Shs")</f>
        <v>Apollo Global Management Ord Shs</v>
      </c>
      <c r="E68" s="30" t="s">
        <v>64</v>
      </c>
      <c r="F68" s="33" t="str">
        <f>IFERROR(__xludf.DUMMYFUNCTION("( (GOOGLEFINANCE(C68, ""price"") - Q68) / Q68 ) / (R68 / 100)"),"Loading...")</f>
        <v>Loading...</v>
      </c>
      <c r="G68" s="20" t="str">
        <f>IFERROR(__xludf.DUMMYFUNCTION("AVERAGE(ARRAYFORMULA(100 * (QUERY(GOOGLEFINANCE(C68, ""high"", TODAY()-40, TODAY()), ""SELECT Col2 WHERE Col2 IS NOT NULL ORDER BY Col1 DESC LIMIT 20"", 0) / QUERY(GOOGLEFINANCE(C68, ""low"", TODAY()-40, TODAY()), ""SELECT Col2 WHERE Col2 IS NOT NULL ORDE"&amp;"R BY Col1 DESC LIMIT 20"", 0) - 1)))"),"#N/A")</f>
        <v>#N/A</v>
      </c>
      <c r="H68" s="35" t="str">
        <f t="shared" si="6"/>
        <v/>
      </c>
      <c r="I68" s="36" t="str">
        <f t="shared" si="7"/>
        <v/>
      </c>
      <c r="J68" s="37" t="str">
        <f>IFERROR(__xludf.DUMMYFUNCTION("IFERROR(
  IF(C68="""",, 
    IFERROR(
      GOOGLEFINANCE(C68, ""price"") * GOOGLEFINANCE(C68, ""volumeavg""), 
      GOOGLEFINANCE(C68, ""price"") * AVERAGE(QUERY(GOOGLEFINANCE(C68, ""volume"", TODAY()-40, TODAY()), ""SELECT Col2 WHERE Col2 IS NOT NULL "&amp;"ORDER BY Col1 DESC LIMIT 20"", 0))
    )
  ), 
"""")"),"")</f>
        <v/>
      </c>
      <c r="K68" s="21" t="str">
        <f>IFERROR(__xludf.DUMMYFUNCTION("IFERROR(GOOGLEFINANCE(C68, ""changepct"") / 100, """")"),"")</f>
        <v/>
      </c>
      <c r="L68" s="21" t="str">
        <f>IFERROR(__xludf.DUMMYFUNCTION("IFERROR((GOOGLEFINANCE(C68, ""price"") / INDEX(GOOGLEFINANCE(C68, ""price"", TODAY()-7, TODAY()), 2, 2)) - 1, """")"),"")</f>
        <v/>
      </c>
      <c r="M68" s="21" t="str">
        <f>IFERROR(__xludf.DUMMYFUNCTION("IFERROR((GOOGLEFINANCE(C68, ""price"") / INDEX(GOOGLEFINANCE(C68, ""price"", EDATE(TODAY(), -1), TODAY()), 2, 2)) - 1, """")"),"")</f>
        <v/>
      </c>
      <c r="N68" s="21" t="str">
        <f>IFERROR(__xludf.DUMMYFUNCTION("IFERROR((GOOGLEFINANCE(C68, ""price"") / INDEX(GOOGLEFINANCE(C68, ""price"", EDATE(TODAY(), -3), TODAY()), 2, 2)) - 1, """")"),"")</f>
        <v/>
      </c>
      <c r="O68" s="21" t="str">
        <f>IFERROR(__xludf.DUMMYFUNCTION("IFERROR((GOOGLEFINANCE(C68, ""price"") / INDEX(GOOGLEFINANCE(C68, ""price"", EDATE(TODAY(), -6), TODAY()), 2, 2)) - 1, """")"),"")</f>
        <v/>
      </c>
      <c r="P68" s="21" t="str">
        <f>IFERROR(__xludf.DUMMYFUNCTION("IFERROR((GOOGLEFINANCE(C68, ""price"") / INDEX(GOOGLEFINANCE(C68, ""price"", EDATE(TODAY(), -12), TODAY()), 2, 2)) - 1, """")"),"")</f>
        <v/>
      </c>
      <c r="Q68" s="6" t="str">
        <f>IFERROR(__xludf.DUMMYFUNCTION("AVERAGE(QUERY(GOOGLEFINANCE(C68, ""price"", TODAY()-80, TODAY()), ""SELECT Col2 WHERE Col2 IS NOT NULL ORDER BY Col1 DESC LIMIT 50"", 0))"),"#N/A")</f>
        <v>#N/A</v>
      </c>
      <c r="R68" s="24" t="str">
        <f>IFERROR(__xludf.DUMMYFUNCTION("IFERROR(
  LET(
    data, QUERY(GOOGLEFINANCE(C68,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GOOGLEFINANCE(C68, ""price"")) * 100,
    IF(calc=0, G68, calc)
  ), 
G68)"),"#N/A")</f>
        <v>#N/A</v>
      </c>
      <c r="S68" s="8" t="s">
        <v>15</v>
      </c>
      <c r="T68" s="26" t="str">
        <f>IFERROR(__xludf.DUMMYFUNCTION("IFERROR(TRANSPOSE(QUERY(IFERROR(SORT(GOOGLEFINANCE(C68, ""price"", WORKDAY(TODAY(), -40), TODAY()), 1, FALSE)), ""select Col2 where Col2 is not null limit 22 label Col2 ''"", 0)), """")"),"")</f>
        <v/>
      </c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8"/>
      <c r="AO68" s="28"/>
      <c r="AP68" s="29"/>
      <c r="AQ68" s="29" t="str">
        <f t="shared" ref="AQ68:BL68" si="71">T68/T$2</f>
        <v>#N/A</v>
      </c>
      <c r="AR68" s="29" t="str">
        <f t="shared" si="71"/>
        <v>#DIV/0!</v>
      </c>
      <c r="AS68" s="29" t="str">
        <f t="shared" si="71"/>
        <v>#DIV/0!</v>
      </c>
      <c r="AT68" s="29" t="str">
        <f t="shared" si="71"/>
        <v>#DIV/0!</v>
      </c>
      <c r="AU68" s="29" t="str">
        <f t="shared" si="71"/>
        <v>#DIV/0!</v>
      </c>
      <c r="AV68" s="29" t="str">
        <f t="shared" si="71"/>
        <v>#DIV/0!</v>
      </c>
      <c r="AW68" s="29" t="str">
        <f t="shared" si="71"/>
        <v>#DIV/0!</v>
      </c>
      <c r="AX68" s="29" t="str">
        <f t="shared" si="71"/>
        <v>#DIV/0!</v>
      </c>
      <c r="AY68" s="29" t="str">
        <f t="shared" si="71"/>
        <v>#DIV/0!</v>
      </c>
      <c r="AZ68" s="29" t="str">
        <f t="shared" si="71"/>
        <v>#DIV/0!</v>
      </c>
      <c r="BA68" s="29" t="str">
        <f t="shared" si="71"/>
        <v>#DIV/0!</v>
      </c>
      <c r="BB68" s="29" t="str">
        <f t="shared" si="71"/>
        <v>#DIV/0!</v>
      </c>
      <c r="BC68" s="29" t="str">
        <f t="shared" si="71"/>
        <v>#DIV/0!</v>
      </c>
      <c r="BD68" s="29" t="str">
        <f t="shared" si="71"/>
        <v>#DIV/0!</v>
      </c>
      <c r="BE68" s="29" t="str">
        <f t="shared" si="71"/>
        <v>#DIV/0!</v>
      </c>
      <c r="BF68" s="29" t="str">
        <f t="shared" si="71"/>
        <v>#DIV/0!</v>
      </c>
      <c r="BG68" s="29" t="str">
        <f t="shared" si="71"/>
        <v>#DIV/0!</v>
      </c>
      <c r="BH68" s="29" t="str">
        <f t="shared" si="71"/>
        <v>#DIV/0!</v>
      </c>
      <c r="BI68" s="29" t="str">
        <f t="shared" si="71"/>
        <v>#DIV/0!</v>
      </c>
      <c r="BJ68" s="29" t="str">
        <f t="shared" si="71"/>
        <v>#DIV/0!</v>
      </c>
      <c r="BK68" s="29" t="str">
        <f t="shared" si="71"/>
        <v>#DIV/0!</v>
      </c>
      <c r="BL68" s="29" t="str">
        <f t="shared" si="71"/>
        <v>#DIV/0!</v>
      </c>
      <c r="BM68" s="29" t="str">
        <f t="shared" si="3"/>
        <v>#DIV/0!</v>
      </c>
    </row>
    <row r="69">
      <c r="A69" s="16" t="str">
        <f>IFERROR(__xludf.DUMMYFUNCTION("IFERROR(SPARKLINE(SORT(MAP(TRANSPOSE(AQ69:BL69), LAMBDA(val, IF(ISNUMBER(val), PERCENTRANK(AQ69:BL69, val)+0.01, 0))), SEQUENCE(COLUMNS(AQ69:BL69)), FALSE), {""charttype"",""column""; ""color"",""chartreuse""; ""ymin"", 0; ""ymax"", 1.01; ""highcolor"", "&amp;"""darkgreen""; ""lowcolor"", ""red""}), """")"),"")</f>
        <v/>
      </c>
      <c r="B69" s="17" t="str">
        <f t="shared" si="4"/>
        <v/>
      </c>
      <c r="C69" s="1" t="s">
        <v>342</v>
      </c>
      <c r="D69" s="34" t="str">
        <f>IFERROR(__xludf.DUMMYFUNCTION("IFERROR(GOOGLEFINANCE(C69, ""NAME""))"),"Alerus Financial Corp")</f>
        <v>Alerus Financial Corp</v>
      </c>
      <c r="E69" s="30" t="s">
        <v>268</v>
      </c>
      <c r="F69" s="33" t="str">
        <f>IFERROR(__xludf.DUMMYFUNCTION("( (GOOGLEFINANCE(C69, ""price"") - Q69) / Q69 ) / (R69 / 100)"),"Loading...")</f>
        <v>Loading...</v>
      </c>
      <c r="G69" s="20" t="str">
        <f>IFERROR(__xludf.DUMMYFUNCTION("AVERAGE(ARRAYFORMULA(100 * (QUERY(GOOGLEFINANCE(C69, ""high"", TODAY()-40, TODAY()), ""SELECT Col2 WHERE Col2 IS NOT NULL ORDER BY Col1 DESC LIMIT 20"", 0) / QUERY(GOOGLEFINANCE(C69, ""low"", TODAY()-40, TODAY()), ""SELECT Col2 WHERE Col2 IS NOT NULL ORDE"&amp;"R BY Col1 DESC LIMIT 20"", 0) - 1)))"),"#N/A")</f>
        <v>#N/A</v>
      </c>
      <c r="H69" s="35" t="str">
        <f t="shared" si="6"/>
        <v/>
      </c>
      <c r="I69" s="36" t="str">
        <f t="shared" si="7"/>
        <v/>
      </c>
      <c r="J69" s="37" t="str">
        <f>IFERROR(__xludf.DUMMYFUNCTION("IFERROR(
  IF(C69="""",, 
    IFERROR(
      GOOGLEFINANCE(C69, ""price"") * GOOGLEFINANCE(C69, ""volumeavg""), 
      GOOGLEFINANCE(C69, ""price"") * AVERAGE(QUERY(GOOGLEFINANCE(C69, ""volume"", TODAY()-40, TODAY()), ""SELECT Col2 WHERE Col2 IS NOT NULL "&amp;"ORDER BY Col1 DESC LIMIT 20"", 0))
    )
  ), 
"""")"),"")</f>
        <v/>
      </c>
      <c r="K69" s="21" t="str">
        <f>IFERROR(__xludf.DUMMYFUNCTION("IFERROR(GOOGLEFINANCE(C69, ""changepct"") / 100, """")"),"")</f>
        <v/>
      </c>
      <c r="L69" s="21" t="str">
        <f>IFERROR(__xludf.DUMMYFUNCTION("IFERROR((GOOGLEFINANCE(C69, ""price"") / INDEX(GOOGLEFINANCE(C69, ""price"", TODAY()-7, TODAY()), 2, 2)) - 1, """")"),"")</f>
        <v/>
      </c>
      <c r="M69" s="21" t="str">
        <f>IFERROR(__xludf.DUMMYFUNCTION("IFERROR((GOOGLEFINANCE(C69, ""price"") / INDEX(GOOGLEFINANCE(C69, ""price"", EDATE(TODAY(), -1), TODAY()), 2, 2)) - 1, """")"),"")</f>
        <v/>
      </c>
      <c r="N69" s="21" t="str">
        <f>IFERROR(__xludf.DUMMYFUNCTION("IFERROR((GOOGLEFINANCE(C69, ""price"") / INDEX(GOOGLEFINANCE(C69, ""price"", EDATE(TODAY(), -3), TODAY()), 2, 2)) - 1, """")"),"")</f>
        <v/>
      </c>
      <c r="O69" s="21" t="str">
        <f>IFERROR(__xludf.DUMMYFUNCTION("IFERROR((GOOGLEFINANCE(C69, ""price"") / INDEX(GOOGLEFINANCE(C69, ""price"", EDATE(TODAY(), -6), TODAY()), 2, 2)) - 1, """")"),"")</f>
        <v/>
      </c>
      <c r="P69" s="21" t="str">
        <f>IFERROR(__xludf.DUMMYFUNCTION("IFERROR((GOOGLEFINANCE(C69, ""price"") / INDEX(GOOGLEFINANCE(C69, ""price"", EDATE(TODAY(), -12), TODAY()), 2, 2)) - 1, """")"),"")</f>
        <v/>
      </c>
      <c r="Q69" s="6" t="str">
        <f>IFERROR(__xludf.DUMMYFUNCTION("AVERAGE(QUERY(GOOGLEFINANCE(C69, ""price"", TODAY()-80, TODAY()), ""SELECT Col2 WHERE Col2 IS NOT NULL ORDER BY Col1 DESC LIMIT 50"", 0))"),"#N/A")</f>
        <v>#N/A</v>
      </c>
      <c r="R69" s="24" t="str">
        <f>IFERROR(__xludf.DUMMYFUNCTION("IFERROR(
  LET(
    data, QUERY(GOOGLEFINANCE(C69,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GOOGLEFINANCE(C69, ""price"")) * 100,
    IF(calc=0, G69, calc)
  ), 
G69)"),"#N/A")</f>
        <v>#N/A</v>
      </c>
      <c r="S69" s="8" t="s">
        <v>15</v>
      </c>
      <c r="T69" s="26" t="str">
        <f>IFERROR(__xludf.DUMMYFUNCTION("IFERROR(TRANSPOSE(QUERY(IFERROR(SORT(GOOGLEFINANCE(C69, ""price"", WORKDAY(TODAY(), -40), TODAY()), 1, FALSE)), ""select Col2 where Col2 is not null limit 22 label Col2 ''"", 0)), """")"),"")</f>
        <v/>
      </c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8"/>
      <c r="AO69" s="28"/>
      <c r="AP69" s="29"/>
      <c r="AQ69" s="29" t="str">
        <f t="shared" ref="AQ69:BL69" si="72">T69/T$2</f>
        <v>#N/A</v>
      </c>
      <c r="AR69" s="29" t="str">
        <f t="shared" si="72"/>
        <v>#DIV/0!</v>
      </c>
      <c r="AS69" s="29" t="str">
        <f t="shared" si="72"/>
        <v>#DIV/0!</v>
      </c>
      <c r="AT69" s="29" t="str">
        <f t="shared" si="72"/>
        <v>#DIV/0!</v>
      </c>
      <c r="AU69" s="29" t="str">
        <f t="shared" si="72"/>
        <v>#DIV/0!</v>
      </c>
      <c r="AV69" s="29" t="str">
        <f t="shared" si="72"/>
        <v>#DIV/0!</v>
      </c>
      <c r="AW69" s="29" t="str">
        <f t="shared" si="72"/>
        <v>#DIV/0!</v>
      </c>
      <c r="AX69" s="29" t="str">
        <f t="shared" si="72"/>
        <v>#DIV/0!</v>
      </c>
      <c r="AY69" s="29" t="str">
        <f t="shared" si="72"/>
        <v>#DIV/0!</v>
      </c>
      <c r="AZ69" s="29" t="str">
        <f t="shared" si="72"/>
        <v>#DIV/0!</v>
      </c>
      <c r="BA69" s="29" t="str">
        <f t="shared" si="72"/>
        <v>#DIV/0!</v>
      </c>
      <c r="BB69" s="29" t="str">
        <f t="shared" si="72"/>
        <v>#DIV/0!</v>
      </c>
      <c r="BC69" s="29" t="str">
        <f t="shared" si="72"/>
        <v>#DIV/0!</v>
      </c>
      <c r="BD69" s="29" t="str">
        <f t="shared" si="72"/>
        <v>#DIV/0!</v>
      </c>
      <c r="BE69" s="29" t="str">
        <f t="shared" si="72"/>
        <v>#DIV/0!</v>
      </c>
      <c r="BF69" s="29" t="str">
        <f t="shared" si="72"/>
        <v>#DIV/0!</v>
      </c>
      <c r="BG69" s="29" t="str">
        <f t="shared" si="72"/>
        <v>#DIV/0!</v>
      </c>
      <c r="BH69" s="29" t="str">
        <f t="shared" si="72"/>
        <v>#DIV/0!</v>
      </c>
      <c r="BI69" s="29" t="str">
        <f t="shared" si="72"/>
        <v>#DIV/0!</v>
      </c>
      <c r="BJ69" s="29" t="str">
        <f t="shared" si="72"/>
        <v>#DIV/0!</v>
      </c>
      <c r="BK69" s="29" t="str">
        <f t="shared" si="72"/>
        <v>#DIV/0!</v>
      </c>
      <c r="BL69" s="29" t="str">
        <f t="shared" si="72"/>
        <v>#DIV/0!</v>
      </c>
      <c r="BM69" s="29" t="str">
        <f t="shared" si="3"/>
        <v>#DIV/0!</v>
      </c>
    </row>
    <row r="70">
      <c r="A70" s="16" t="str">
        <f>IFERROR(__xludf.DUMMYFUNCTION("IFERROR(SPARKLINE(SORT(MAP(TRANSPOSE(AQ70:BL70), LAMBDA(val, IF(ISNUMBER(val), PERCENTRANK(AQ70:BL70, val)+0.01, 0))), SEQUENCE(COLUMNS(AQ70:BL70)), FALSE), {""charttype"",""column""; ""color"",""chartreuse""; ""ymin"", 0; ""ymax"", 1.01; ""highcolor"", "&amp;"""darkgreen""; ""lowcolor"", ""red""}), """")"),"")</f>
        <v/>
      </c>
      <c r="B70" s="17" t="str">
        <f t="shared" si="4"/>
        <v/>
      </c>
      <c r="C70" s="1" t="s">
        <v>345</v>
      </c>
      <c r="D70" s="34" t="str">
        <f>IFERROR(__xludf.DUMMYFUNCTION("IFERROR(GOOGLEFINANCE(C70, ""NAME""))"),"Twenty One Capital Inc")</f>
        <v>Twenty One Capital Inc</v>
      </c>
      <c r="E70" s="30" t="s">
        <v>161</v>
      </c>
      <c r="F70" s="33" t="str">
        <f>IFERROR(__xludf.DUMMYFUNCTION("( (GOOGLEFINANCE(C70, ""price"") - Q70) / Q70 ) / (R70 / 100)"),"Loading...")</f>
        <v>Loading...</v>
      </c>
      <c r="G70" s="20" t="str">
        <f>IFERROR(__xludf.DUMMYFUNCTION("AVERAGE(ARRAYFORMULA(100 * (QUERY(GOOGLEFINANCE(C70, ""high"", TODAY()-40, TODAY()), ""SELECT Col2 WHERE Col2 IS NOT NULL ORDER BY Col1 DESC LIMIT 20"", 0) / QUERY(GOOGLEFINANCE(C70, ""low"", TODAY()-40, TODAY()), ""SELECT Col2 WHERE Col2 IS NOT NULL ORDE"&amp;"R BY Col1 DESC LIMIT 20"", 0) - 1)))"),"#N/A")</f>
        <v>#N/A</v>
      </c>
      <c r="H70" s="35" t="str">
        <f t="shared" si="6"/>
        <v/>
      </c>
      <c r="I70" s="36" t="str">
        <f t="shared" si="7"/>
        <v/>
      </c>
      <c r="J70" s="37" t="str">
        <f>IFERROR(__xludf.DUMMYFUNCTION("IFERROR(
  IF(C70="""",, 
    IFERROR(
      GOOGLEFINANCE(C70, ""price"") * GOOGLEFINANCE(C70, ""volumeavg""), 
      GOOGLEFINANCE(C70, ""price"") * AVERAGE(QUERY(GOOGLEFINANCE(C70, ""volume"", TODAY()-40, TODAY()), ""SELECT Col2 WHERE Col2 IS NOT NULL "&amp;"ORDER BY Col1 DESC LIMIT 20"", 0))
    )
  ), 
"""")"),"")</f>
        <v/>
      </c>
      <c r="K70" s="21" t="str">
        <f>IFERROR(__xludf.DUMMYFUNCTION("IFERROR(GOOGLEFINANCE(C70, ""changepct"") / 100, """")"),"")</f>
        <v/>
      </c>
      <c r="L70" s="21" t="str">
        <f>IFERROR(__xludf.DUMMYFUNCTION("IFERROR((GOOGLEFINANCE(C70, ""price"") / INDEX(GOOGLEFINANCE(C70, ""price"", TODAY()-7, TODAY()), 2, 2)) - 1, """")"),"")</f>
        <v/>
      </c>
      <c r="M70" s="21" t="str">
        <f>IFERROR(__xludf.DUMMYFUNCTION("IFERROR((GOOGLEFINANCE(C70, ""price"") / INDEX(GOOGLEFINANCE(C70, ""price"", EDATE(TODAY(), -1), TODAY()), 2, 2)) - 1, """")"),"")</f>
        <v/>
      </c>
      <c r="N70" s="21" t="str">
        <f>IFERROR(__xludf.DUMMYFUNCTION("IFERROR((GOOGLEFINANCE(C70, ""price"") / INDEX(GOOGLEFINANCE(C70, ""price"", EDATE(TODAY(), -3), TODAY()), 2, 2)) - 1, """")"),"")</f>
        <v/>
      </c>
      <c r="O70" s="21" t="str">
        <f>IFERROR(__xludf.DUMMYFUNCTION("IFERROR((GOOGLEFINANCE(C70, ""price"") / INDEX(GOOGLEFINANCE(C70, ""price"", EDATE(TODAY(), -6), TODAY()), 2, 2)) - 1, """")"),"")</f>
        <v/>
      </c>
      <c r="P70" s="21" t="str">
        <f>IFERROR(__xludf.DUMMYFUNCTION("IFERROR((GOOGLEFINANCE(C70, ""price"") / INDEX(GOOGLEFINANCE(C70, ""price"", EDATE(TODAY(), -12), TODAY()), 2, 2)) - 1, """")"),"")</f>
        <v/>
      </c>
      <c r="Q70" s="6" t="str">
        <f>IFERROR(__xludf.DUMMYFUNCTION("AVERAGE(QUERY(GOOGLEFINANCE(C70, ""price"", TODAY()-80, TODAY()), ""SELECT Col2 WHERE Col2 IS NOT NULL ORDER BY Col1 DESC LIMIT 50"", 0))"),"#N/A")</f>
        <v>#N/A</v>
      </c>
      <c r="R70" s="24" t="str">
        <f>IFERROR(__xludf.DUMMYFUNCTION("IFERROR(
  LET(
    data, QUERY(GOOGLEFINANCE(C70,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GOOGLEFINANCE(C70, ""price"")) * 100,
    IF(calc=0, G70, calc)
  ), 
G70)"),"#N/A")</f>
        <v>#N/A</v>
      </c>
      <c r="S70" s="8" t="s">
        <v>15</v>
      </c>
      <c r="T70" s="26" t="str">
        <f>IFERROR(__xludf.DUMMYFUNCTION("IFERROR(TRANSPOSE(QUERY(IFERROR(SORT(GOOGLEFINANCE(C70, ""price"", WORKDAY(TODAY(), -40), TODAY()), 1, FALSE)), ""select Col2 where Col2 is not null limit 22 label Col2 ''"", 0)), """")"),"")</f>
        <v/>
      </c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8"/>
      <c r="AO70" s="28"/>
      <c r="AP70" s="29"/>
      <c r="AQ70" s="29" t="str">
        <f t="shared" ref="AQ70:BL70" si="73">T70/T$2</f>
        <v>#N/A</v>
      </c>
      <c r="AR70" s="29" t="str">
        <f t="shared" si="73"/>
        <v>#DIV/0!</v>
      </c>
      <c r="AS70" s="29" t="str">
        <f t="shared" si="73"/>
        <v>#DIV/0!</v>
      </c>
      <c r="AT70" s="29" t="str">
        <f t="shared" si="73"/>
        <v>#DIV/0!</v>
      </c>
      <c r="AU70" s="29" t="str">
        <f t="shared" si="73"/>
        <v>#DIV/0!</v>
      </c>
      <c r="AV70" s="29" t="str">
        <f t="shared" si="73"/>
        <v>#DIV/0!</v>
      </c>
      <c r="AW70" s="29" t="str">
        <f t="shared" si="73"/>
        <v>#DIV/0!</v>
      </c>
      <c r="AX70" s="29" t="str">
        <f t="shared" si="73"/>
        <v>#DIV/0!</v>
      </c>
      <c r="AY70" s="29" t="str">
        <f t="shared" si="73"/>
        <v>#DIV/0!</v>
      </c>
      <c r="AZ70" s="29" t="str">
        <f t="shared" si="73"/>
        <v>#DIV/0!</v>
      </c>
      <c r="BA70" s="29" t="str">
        <f t="shared" si="73"/>
        <v>#DIV/0!</v>
      </c>
      <c r="BB70" s="29" t="str">
        <f t="shared" si="73"/>
        <v>#DIV/0!</v>
      </c>
      <c r="BC70" s="29" t="str">
        <f t="shared" si="73"/>
        <v>#DIV/0!</v>
      </c>
      <c r="BD70" s="29" t="str">
        <f t="shared" si="73"/>
        <v>#DIV/0!</v>
      </c>
      <c r="BE70" s="29" t="str">
        <f t="shared" si="73"/>
        <v>#DIV/0!</v>
      </c>
      <c r="BF70" s="29" t="str">
        <f t="shared" si="73"/>
        <v>#DIV/0!</v>
      </c>
      <c r="BG70" s="29" t="str">
        <f t="shared" si="73"/>
        <v>#DIV/0!</v>
      </c>
      <c r="BH70" s="29" t="str">
        <f t="shared" si="73"/>
        <v>#DIV/0!</v>
      </c>
      <c r="BI70" s="29" t="str">
        <f t="shared" si="73"/>
        <v>#DIV/0!</v>
      </c>
      <c r="BJ70" s="29" t="str">
        <f t="shared" si="73"/>
        <v>#DIV/0!</v>
      </c>
      <c r="BK70" s="29" t="str">
        <f t="shared" si="73"/>
        <v>#DIV/0!</v>
      </c>
      <c r="BL70" s="29" t="str">
        <f t="shared" si="73"/>
        <v>#DIV/0!</v>
      </c>
      <c r="BM70" s="29" t="str">
        <f t="shared" si="3"/>
        <v>#DIV/0!</v>
      </c>
    </row>
    <row r="71">
      <c r="A71" s="16" t="str">
        <f>IFERROR(__xludf.DUMMYFUNCTION("IFERROR(SPARKLINE(SORT(MAP(TRANSPOSE(AQ71:BL71), LAMBDA(val, IF(ISNUMBER(val), PERCENTRANK(AQ71:BL71, val)+0.01, 0))), SEQUENCE(COLUMNS(AQ71:BL71)), FALSE), {""charttype"",""column""; ""color"",""chartreuse""; ""ymin"", 0; ""ymax"", 1.01; ""highcolor"", "&amp;"""darkgreen""; ""lowcolor"", ""red""}), """")"),"")</f>
        <v/>
      </c>
      <c r="B71" s="17" t="str">
        <f t="shared" si="4"/>
        <v/>
      </c>
      <c r="C71" s="1" t="s">
        <v>348</v>
      </c>
      <c r="D71" s="34" t="str">
        <f>IFERROR(__xludf.DUMMYFUNCTION("IFERROR(GOOGLEFINANCE(C71, ""NAME""))"),"Cipher Digital Inc")</f>
        <v>Cipher Digital Inc</v>
      </c>
      <c r="E71" s="30" t="s">
        <v>77</v>
      </c>
      <c r="F71" s="33" t="str">
        <f>IFERROR(__xludf.DUMMYFUNCTION("( (GOOGLEFINANCE(C71, ""price"") - Q71) / Q71 ) / (R71 / 100)"),"Loading...")</f>
        <v>Loading...</v>
      </c>
      <c r="G71" s="20" t="str">
        <f>IFERROR(__xludf.DUMMYFUNCTION("AVERAGE(ARRAYFORMULA(100 * (QUERY(GOOGLEFINANCE(C71, ""high"", TODAY()-40, TODAY()), ""SELECT Col2 WHERE Col2 IS NOT NULL ORDER BY Col1 DESC LIMIT 20"", 0) / QUERY(GOOGLEFINANCE(C71, ""low"", TODAY()-40, TODAY()), ""SELECT Col2 WHERE Col2 IS NOT NULL ORDE"&amp;"R BY Col1 DESC LIMIT 20"", 0) - 1)))"),"#N/A")</f>
        <v>#N/A</v>
      </c>
      <c r="H71" s="35" t="str">
        <f t="shared" si="6"/>
        <v/>
      </c>
      <c r="I71" s="36" t="str">
        <f t="shared" si="7"/>
        <v/>
      </c>
      <c r="J71" s="37" t="str">
        <f>IFERROR(__xludf.DUMMYFUNCTION("IFERROR(
  IF(C71="""",, 
    IFERROR(
      GOOGLEFINANCE(C71, ""price"") * GOOGLEFINANCE(C71, ""volumeavg""), 
      GOOGLEFINANCE(C71, ""price"") * AVERAGE(QUERY(GOOGLEFINANCE(C71, ""volume"", TODAY()-40, TODAY()), ""SELECT Col2 WHERE Col2 IS NOT NULL "&amp;"ORDER BY Col1 DESC LIMIT 20"", 0))
    )
  ), 
"""")"),"")</f>
        <v/>
      </c>
      <c r="K71" s="21" t="str">
        <f>IFERROR(__xludf.DUMMYFUNCTION("IFERROR(GOOGLEFINANCE(C71, ""changepct"") / 100, """")"),"")</f>
        <v/>
      </c>
      <c r="L71" s="21" t="str">
        <f>IFERROR(__xludf.DUMMYFUNCTION("IFERROR((GOOGLEFINANCE(C71, ""price"") / INDEX(GOOGLEFINANCE(C71, ""price"", TODAY()-7, TODAY()), 2, 2)) - 1, """")"),"")</f>
        <v/>
      </c>
      <c r="M71" s="21" t="str">
        <f>IFERROR(__xludf.DUMMYFUNCTION("IFERROR((GOOGLEFINANCE(C71, ""price"") / INDEX(GOOGLEFINANCE(C71, ""price"", EDATE(TODAY(), -1), TODAY()), 2, 2)) - 1, """")"),"")</f>
        <v/>
      </c>
      <c r="N71" s="21" t="str">
        <f>IFERROR(__xludf.DUMMYFUNCTION("IFERROR((GOOGLEFINANCE(C71, ""price"") / INDEX(GOOGLEFINANCE(C71, ""price"", EDATE(TODAY(), -3), TODAY()), 2, 2)) - 1, """")"),"")</f>
        <v/>
      </c>
      <c r="O71" s="21" t="str">
        <f>IFERROR(__xludf.DUMMYFUNCTION("IFERROR((GOOGLEFINANCE(C71, ""price"") / INDEX(GOOGLEFINANCE(C71, ""price"", EDATE(TODAY(), -6), TODAY()), 2, 2)) - 1, """")"),"")</f>
        <v/>
      </c>
      <c r="P71" s="21" t="str">
        <f>IFERROR(__xludf.DUMMYFUNCTION("IFERROR((GOOGLEFINANCE(C71, ""price"") / INDEX(GOOGLEFINANCE(C71, ""price"", EDATE(TODAY(), -12), TODAY()), 2, 2)) - 1, """")"),"")</f>
        <v/>
      </c>
      <c r="Q71" s="6" t="str">
        <f>IFERROR(__xludf.DUMMYFUNCTION("AVERAGE(QUERY(GOOGLEFINANCE(C71, ""price"", TODAY()-80, TODAY()), ""SELECT Col2 WHERE Col2 IS NOT NULL ORDER BY Col1 DESC LIMIT 50"", 0))"),"#N/A")</f>
        <v>#N/A</v>
      </c>
      <c r="R71" s="24" t="str">
        <f>IFERROR(__xludf.DUMMYFUNCTION("IFERROR(
  LET(
    data, QUERY(GOOGLEFINANCE(C71,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GOOGLEFINANCE(C71, ""price"")) * 100,
    IF(calc=0, G71, calc)
  ), 
G71)"),"#N/A")</f>
        <v>#N/A</v>
      </c>
      <c r="S71" s="8" t="s">
        <v>15</v>
      </c>
      <c r="T71" s="26" t="str">
        <f>IFERROR(__xludf.DUMMYFUNCTION("IFERROR(TRANSPOSE(QUERY(IFERROR(SORT(GOOGLEFINANCE(C71, ""price"", WORKDAY(TODAY(), -40), TODAY()), 1, FALSE)), ""select Col2 where Col2 is not null limit 22 label Col2 ''"", 0)), """")"),"")</f>
        <v/>
      </c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8"/>
      <c r="AO71" s="28"/>
      <c r="AP71" s="29"/>
      <c r="AQ71" s="29" t="str">
        <f t="shared" ref="AQ71:BL71" si="74">T71/T$2</f>
        <v>#N/A</v>
      </c>
      <c r="AR71" s="29" t="str">
        <f t="shared" si="74"/>
        <v>#DIV/0!</v>
      </c>
      <c r="AS71" s="29" t="str">
        <f t="shared" si="74"/>
        <v>#DIV/0!</v>
      </c>
      <c r="AT71" s="29" t="str">
        <f t="shared" si="74"/>
        <v>#DIV/0!</v>
      </c>
      <c r="AU71" s="29" t="str">
        <f t="shared" si="74"/>
        <v>#DIV/0!</v>
      </c>
      <c r="AV71" s="29" t="str">
        <f t="shared" si="74"/>
        <v>#DIV/0!</v>
      </c>
      <c r="AW71" s="29" t="str">
        <f t="shared" si="74"/>
        <v>#DIV/0!</v>
      </c>
      <c r="AX71" s="29" t="str">
        <f t="shared" si="74"/>
        <v>#DIV/0!</v>
      </c>
      <c r="AY71" s="29" t="str">
        <f t="shared" si="74"/>
        <v>#DIV/0!</v>
      </c>
      <c r="AZ71" s="29" t="str">
        <f t="shared" si="74"/>
        <v>#DIV/0!</v>
      </c>
      <c r="BA71" s="29" t="str">
        <f t="shared" si="74"/>
        <v>#DIV/0!</v>
      </c>
      <c r="BB71" s="29" t="str">
        <f t="shared" si="74"/>
        <v>#DIV/0!</v>
      </c>
      <c r="BC71" s="29" t="str">
        <f t="shared" si="74"/>
        <v>#DIV/0!</v>
      </c>
      <c r="BD71" s="29" t="str">
        <f t="shared" si="74"/>
        <v>#DIV/0!</v>
      </c>
      <c r="BE71" s="29" t="str">
        <f t="shared" si="74"/>
        <v>#DIV/0!</v>
      </c>
      <c r="BF71" s="29" t="str">
        <f t="shared" si="74"/>
        <v>#DIV/0!</v>
      </c>
      <c r="BG71" s="29" t="str">
        <f t="shared" si="74"/>
        <v>#DIV/0!</v>
      </c>
      <c r="BH71" s="29" t="str">
        <f t="shared" si="74"/>
        <v>#DIV/0!</v>
      </c>
      <c r="BI71" s="29" t="str">
        <f t="shared" si="74"/>
        <v>#DIV/0!</v>
      </c>
      <c r="BJ71" s="29" t="str">
        <f t="shared" si="74"/>
        <v>#DIV/0!</v>
      </c>
      <c r="BK71" s="29" t="str">
        <f t="shared" si="74"/>
        <v>#DIV/0!</v>
      </c>
      <c r="BL71" s="29" t="str">
        <f t="shared" si="74"/>
        <v>#DIV/0!</v>
      </c>
      <c r="BM71" s="29" t="str">
        <f t="shared" si="3"/>
        <v>#DIV/0!</v>
      </c>
    </row>
    <row r="72">
      <c r="A72" s="16" t="str">
        <f>IFERROR(__xludf.DUMMYFUNCTION("IFERROR(SPARKLINE(SORT(MAP(TRANSPOSE(AQ72:BL72), LAMBDA(val, IF(ISNUMBER(val), PERCENTRANK(AQ72:BL72, val)+0.01, 0))), SEQUENCE(COLUMNS(AQ72:BL72)), FALSE), {""charttype"",""column""; ""color"",""chartreuse""; ""ymin"", 0; ""ymax"", 1.01; ""highcolor"", "&amp;"""darkgreen""; ""lowcolor"", ""red""}), """")"),"")</f>
        <v/>
      </c>
      <c r="B72" s="17" t="str">
        <f t="shared" si="4"/>
        <v/>
      </c>
      <c r="C72" s="1" t="s">
        <v>352</v>
      </c>
      <c r="D72" s="34" t="str">
        <f>IFERROR(__xludf.DUMMYFUNCTION("IFERROR(GOOGLEFINANCE(C72, ""NAME""))"),"Aldabra 4 Liquidity Opportunity Vehicle Units")</f>
        <v>Aldabra 4 Liquidity Opportunity Vehicle Units</v>
      </c>
      <c r="E72" s="30" t="s">
        <v>161</v>
      </c>
      <c r="F72" s="33" t="str">
        <f>IFERROR(__xludf.DUMMYFUNCTION("( (GOOGLEFINANCE(C72, ""price"") - Q72) / Q72 ) / (R72 / 100)"),"Loading...")</f>
        <v>Loading...</v>
      </c>
      <c r="G72" s="20" t="str">
        <f>IFERROR(__xludf.DUMMYFUNCTION("AVERAGE(ARRAYFORMULA(100 * (QUERY(GOOGLEFINANCE(C72, ""high"", TODAY()-40, TODAY()), ""SELECT Col2 WHERE Col2 IS NOT NULL ORDER BY Col1 DESC LIMIT 20"", 0) / QUERY(GOOGLEFINANCE(C72, ""low"", TODAY()-40, TODAY()), ""SELECT Col2 WHERE Col2 IS NOT NULL ORDE"&amp;"R BY Col1 DESC LIMIT 20"", 0) - 1)))"),"#N/A")</f>
        <v>#N/A</v>
      </c>
      <c r="H72" s="35" t="str">
        <f t="shared" si="6"/>
        <v/>
      </c>
      <c r="I72" s="36" t="str">
        <f t="shared" si="7"/>
        <v/>
      </c>
      <c r="J72" s="37" t="str">
        <f>IFERROR(__xludf.DUMMYFUNCTION("IFERROR(
  IF(C72="""",, 
    IFERROR(
      GOOGLEFINANCE(C72, ""price"") * GOOGLEFINANCE(C72, ""volumeavg""), 
      GOOGLEFINANCE(C72, ""price"") * AVERAGE(QUERY(GOOGLEFINANCE(C72, ""volume"", TODAY()-40, TODAY()), ""SELECT Col2 WHERE Col2 IS NOT NULL "&amp;"ORDER BY Col1 DESC LIMIT 20"", 0))
    )
  ), 
"""")"),"")</f>
        <v/>
      </c>
      <c r="K72" s="21" t="str">
        <f>IFERROR(__xludf.DUMMYFUNCTION("IFERROR(GOOGLEFINANCE(C72, ""changepct"") / 100, """")"),"")</f>
        <v/>
      </c>
      <c r="L72" s="21" t="str">
        <f>IFERROR(__xludf.DUMMYFUNCTION("IFERROR((GOOGLEFINANCE(C72, ""price"") / INDEX(GOOGLEFINANCE(C72, ""price"", TODAY()-7, TODAY()), 2, 2)) - 1, """")"),"")</f>
        <v/>
      </c>
      <c r="M72" s="21" t="str">
        <f>IFERROR(__xludf.DUMMYFUNCTION("IFERROR((GOOGLEFINANCE(C72, ""price"") / INDEX(GOOGLEFINANCE(C72, ""price"", EDATE(TODAY(), -1), TODAY()), 2, 2)) - 1, """")"),"")</f>
        <v/>
      </c>
      <c r="N72" s="21" t="str">
        <f>IFERROR(__xludf.DUMMYFUNCTION("IFERROR((GOOGLEFINANCE(C72, ""price"") / INDEX(GOOGLEFINANCE(C72, ""price"", EDATE(TODAY(), -3), TODAY()), 2, 2)) - 1, """")"),"")</f>
        <v/>
      </c>
      <c r="O72" s="21" t="str">
        <f>IFERROR(__xludf.DUMMYFUNCTION("IFERROR((GOOGLEFINANCE(C72, ""price"") / INDEX(GOOGLEFINANCE(C72, ""price"", EDATE(TODAY(), -6), TODAY()), 2, 2)) - 1, """")"),"")</f>
        <v/>
      </c>
      <c r="P72" s="21" t="str">
        <f>IFERROR(__xludf.DUMMYFUNCTION("IFERROR((GOOGLEFINANCE(C72, ""price"") / INDEX(GOOGLEFINANCE(C72, ""price"", EDATE(TODAY(), -12), TODAY()), 2, 2)) - 1, """")"),"")</f>
        <v/>
      </c>
      <c r="Q72" s="6" t="str">
        <f>IFERROR(__xludf.DUMMYFUNCTION("AVERAGE(QUERY(GOOGLEFINANCE(C72, ""price"", TODAY()-80, TODAY()), ""SELECT Col2 WHERE Col2 IS NOT NULL ORDER BY Col1 DESC LIMIT 50"", 0))"),"#N/A")</f>
        <v>#N/A</v>
      </c>
      <c r="R72" s="24" t="str">
        <f>IFERROR(__xludf.DUMMYFUNCTION("IFERROR(
  LET(
    data, QUERY(GOOGLEFINANCE(C72,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GOOGLEFINANCE(C72, ""price"")) * 100,
    IF(calc=0, G72, calc)
  ), 
G72)"),"#N/A")</f>
        <v>#N/A</v>
      </c>
      <c r="S72" s="8" t="s">
        <v>15</v>
      </c>
      <c r="T72" s="26" t="str">
        <f>IFERROR(__xludf.DUMMYFUNCTION("IFERROR(TRANSPOSE(QUERY(IFERROR(SORT(GOOGLEFINANCE(C72, ""price"", WORKDAY(TODAY(), -40), TODAY()), 1, FALSE)), ""select Col2 where Col2 is not null limit 22 label Col2 ''"", 0)), """")"),"")</f>
        <v/>
      </c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8"/>
      <c r="AO72" s="28"/>
      <c r="AP72" s="29"/>
      <c r="AQ72" s="29" t="str">
        <f t="shared" ref="AQ72:BL72" si="75">T72/T$2</f>
        <v>#N/A</v>
      </c>
      <c r="AR72" s="29" t="str">
        <f t="shared" si="75"/>
        <v>#DIV/0!</v>
      </c>
      <c r="AS72" s="29" t="str">
        <f t="shared" si="75"/>
        <v>#DIV/0!</v>
      </c>
      <c r="AT72" s="29" t="str">
        <f t="shared" si="75"/>
        <v>#DIV/0!</v>
      </c>
      <c r="AU72" s="29" t="str">
        <f t="shared" si="75"/>
        <v>#DIV/0!</v>
      </c>
      <c r="AV72" s="29" t="str">
        <f t="shared" si="75"/>
        <v>#DIV/0!</v>
      </c>
      <c r="AW72" s="29" t="str">
        <f t="shared" si="75"/>
        <v>#DIV/0!</v>
      </c>
      <c r="AX72" s="29" t="str">
        <f t="shared" si="75"/>
        <v>#DIV/0!</v>
      </c>
      <c r="AY72" s="29" t="str">
        <f t="shared" si="75"/>
        <v>#DIV/0!</v>
      </c>
      <c r="AZ72" s="29" t="str">
        <f t="shared" si="75"/>
        <v>#DIV/0!</v>
      </c>
      <c r="BA72" s="29" t="str">
        <f t="shared" si="75"/>
        <v>#DIV/0!</v>
      </c>
      <c r="BB72" s="29" t="str">
        <f t="shared" si="75"/>
        <v>#DIV/0!</v>
      </c>
      <c r="BC72" s="29" t="str">
        <f t="shared" si="75"/>
        <v>#DIV/0!</v>
      </c>
      <c r="BD72" s="29" t="str">
        <f t="shared" si="75"/>
        <v>#DIV/0!</v>
      </c>
      <c r="BE72" s="29" t="str">
        <f t="shared" si="75"/>
        <v>#DIV/0!</v>
      </c>
      <c r="BF72" s="29" t="str">
        <f t="shared" si="75"/>
        <v>#DIV/0!</v>
      </c>
      <c r="BG72" s="29" t="str">
        <f t="shared" si="75"/>
        <v>#DIV/0!</v>
      </c>
      <c r="BH72" s="29" t="str">
        <f t="shared" si="75"/>
        <v>#DIV/0!</v>
      </c>
      <c r="BI72" s="29" t="str">
        <f t="shared" si="75"/>
        <v>#DIV/0!</v>
      </c>
      <c r="BJ72" s="29" t="str">
        <f t="shared" si="75"/>
        <v>#DIV/0!</v>
      </c>
      <c r="BK72" s="29" t="str">
        <f t="shared" si="75"/>
        <v>#DIV/0!</v>
      </c>
      <c r="BL72" s="29" t="str">
        <f t="shared" si="75"/>
        <v>#DIV/0!</v>
      </c>
      <c r="BM72" s="29" t="str">
        <f t="shared" si="3"/>
        <v>#DIV/0!</v>
      </c>
    </row>
    <row r="73">
      <c r="A73" s="16" t="str">
        <f>IFERROR(__xludf.DUMMYFUNCTION("IFERROR(SPARKLINE(SORT(MAP(TRANSPOSE(AQ73:BL73), LAMBDA(val, IF(ISNUMBER(val), PERCENTRANK(AQ73:BL73, val)+0.01, 0))), SEQUENCE(COLUMNS(AQ73:BL73)), FALSE), {""charttype"",""column""; ""color"",""chartreuse""; ""ymin"", 0; ""ymax"", 1.01; ""highcolor"", "&amp;"""darkgreen""; ""lowcolor"", ""red""}), """")"),"")</f>
        <v/>
      </c>
      <c r="B73" s="17" t="str">
        <f t="shared" si="4"/>
        <v/>
      </c>
      <c r="C73" s="1" t="s">
        <v>357</v>
      </c>
      <c r="D73" s="34" t="str">
        <f>IFERROR(__xludf.DUMMYFUNCTION("IFERROR(GOOGLEFINANCE(C73, ""NAME""))"),"Oppfi Inc")</f>
        <v>Oppfi Inc</v>
      </c>
      <c r="E73" s="30" t="s">
        <v>145</v>
      </c>
      <c r="F73" s="33" t="str">
        <f>IFERROR(__xludf.DUMMYFUNCTION("( (GOOGLEFINANCE(C73, ""price"") - Q73) / Q73 ) / (R73 / 100)"),"Loading...")</f>
        <v>Loading...</v>
      </c>
      <c r="G73" s="20" t="str">
        <f>IFERROR(__xludf.DUMMYFUNCTION("AVERAGE(ARRAYFORMULA(100 * (QUERY(GOOGLEFINANCE(C73, ""high"", TODAY()-40, TODAY()), ""SELECT Col2 WHERE Col2 IS NOT NULL ORDER BY Col1 DESC LIMIT 20"", 0) / QUERY(GOOGLEFINANCE(C73, ""low"", TODAY()-40, TODAY()), ""SELECT Col2 WHERE Col2 IS NOT NULL ORDE"&amp;"R BY Col1 DESC LIMIT 20"", 0) - 1)))"),"#N/A")</f>
        <v>#N/A</v>
      </c>
      <c r="H73" s="35" t="str">
        <f t="shared" si="6"/>
        <v/>
      </c>
      <c r="I73" s="36" t="str">
        <f t="shared" si="7"/>
        <v/>
      </c>
      <c r="J73" s="37" t="str">
        <f>IFERROR(__xludf.DUMMYFUNCTION("IFERROR(
  IF(C73="""",, 
    IFERROR(
      GOOGLEFINANCE(C73, ""price"") * GOOGLEFINANCE(C73, ""volumeavg""), 
      GOOGLEFINANCE(C73, ""price"") * AVERAGE(QUERY(GOOGLEFINANCE(C73, ""volume"", TODAY()-40, TODAY()), ""SELECT Col2 WHERE Col2 IS NOT NULL "&amp;"ORDER BY Col1 DESC LIMIT 20"", 0))
    )
  ), 
"""")"),"")</f>
        <v/>
      </c>
      <c r="K73" s="21" t="str">
        <f>IFERROR(__xludf.DUMMYFUNCTION("IFERROR(GOOGLEFINANCE(C73, ""changepct"") / 100, """")"),"")</f>
        <v/>
      </c>
      <c r="L73" s="21" t="str">
        <f>IFERROR(__xludf.DUMMYFUNCTION("IFERROR((GOOGLEFINANCE(C73, ""price"") / INDEX(GOOGLEFINANCE(C73, ""price"", TODAY()-7, TODAY()), 2, 2)) - 1, """")"),"")</f>
        <v/>
      </c>
      <c r="M73" s="21" t="str">
        <f>IFERROR(__xludf.DUMMYFUNCTION("IFERROR((GOOGLEFINANCE(C73, ""price"") / INDEX(GOOGLEFINANCE(C73, ""price"", EDATE(TODAY(), -1), TODAY()), 2, 2)) - 1, """")"),"")</f>
        <v/>
      </c>
      <c r="N73" s="21" t="str">
        <f>IFERROR(__xludf.DUMMYFUNCTION("IFERROR((GOOGLEFINANCE(C73, ""price"") / INDEX(GOOGLEFINANCE(C73, ""price"", EDATE(TODAY(), -3), TODAY()), 2, 2)) - 1, """")"),"")</f>
        <v/>
      </c>
      <c r="O73" s="21" t="str">
        <f>IFERROR(__xludf.DUMMYFUNCTION("IFERROR((GOOGLEFINANCE(C73, ""price"") / INDEX(GOOGLEFINANCE(C73, ""price"", EDATE(TODAY(), -6), TODAY()), 2, 2)) - 1, """")"),"")</f>
        <v/>
      </c>
      <c r="P73" s="21" t="str">
        <f>IFERROR(__xludf.DUMMYFUNCTION("IFERROR((GOOGLEFINANCE(C73, ""price"") / INDEX(GOOGLEFINANCE(C73, ""price"", EDATE(TODAY(), -12), TODAY()), 2, 2)) - 1, """")"),"")</f>
        <v/>
      </c>
      <c r="Q73" s="6" t="str">
        <f>IFERROR(__xludf.DUMMYFUNCTION("AVERAGE(QUERY(GOOGLEFINANCE(C73, ""price"", TODAY()-80, TODAY()), ""SELECT Col2 WHERE Col2 IS NOT NULL ORDER BY Col1 DESC LIMIT 50"", 0))"),"#N/A")</f>
        <v>#N/A</v>
      </c>
      <c r="R73" s="24" t="str">
        <f>IFERROR(__xludf.DUMMYFUNCTION("IFERROR(
  LET(
    data, QUERY(GOOGLEFINANCE(C73,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GOOGLEFINANCE(C73, ""price"")) * 100,
    IF(calc=0, G73, calc)
  ), 
G73)"),"#N/A")</f>
        <v>#N/A</v>
      </c>
      <c r="S73" s="8" t="s">
        <v>15</v>
      </c>
      <c r="T73" s="26" t="str">
        <f>IFERROR(__xludf.DUMMYFUNCTION("IFERROR(TRANSPOSE(QUERY(IFERROR(SORT(GOOGLEFINANCE(C73, ""price"", WORKDAY(TODAY(), -40), TODAY()), 1, FALSE)), ""select Col2 where Col2 is not null limit 22 label Col2 ''"", 0)), """")"),"")</f>
        <v/>
      </c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8"/>
      <c r="AO73" s="28"/>
      <c r="AP73" s="29"/>
      <c r="AQ73" s="29" t="str">
        <f t="shared" ref="AQ73:BL73" si="76">T73/T$2</f>
        <v>#N/A</v>
      </c>
      <c r="AR73" s="29" t="str">
        <f t="shared" si="76"/>
        <v>#DIV/0!</v>
      </c>
      <c r="AS73" s="29" t="str">
        <f t="shared" si="76"/>
        <v>#DIV/0!</v>
      </c>
      <c r="AT73" s="29" t="str">
        <f t="shared" si="76"/>
        <v>#DIV/0!</v>
      </c>
      <c r="AU73" s="29" t="str">
        <f t="shared" si="76"/>
        <v>#DIV/0!</v>
      </c>
      <c r="AV73" s="29" t="str">
        <f t="shared" si="76"/>
        <v>#DIV/0!</v>
      </c>
      <c r="AW73" s="29" t="str">
        <f t="shared" si="76"/>
        <v>#DIV/0!</v>
      </c>
      <c r="AX73" s="29" t="str">
        <f t="shared" si="76"/>
        <v>#DIV/0!</v>
      </c>
      <c r="AY73" s="29" t="str">
        <f t="shared" si="76"/>
        <v>#DIV/0!</v>
      </c>
      <c r="AZ73" s="29" t="str">
        <f t="shared" si="76"/>
        <v>#DIV/0!</v>
      </c>
      <c r="BA73" s="29" t="str">
        <f t="shared" si="76"/>
        <v>#DIV/0!</v>
      </c>
      <c r="BB73" s="29" t="str">
        <f t="shared" si="76"/>
        <v>#DIV/0!</v>
      </c>
      <c r="BC73" s="29" t="str">
        <f t="shared" si="76"/>
        <v>#DIV/0!</v>
      </c>
      <c r="BD73" s="29" t="str">
        <f t="shared" si="76"/>
        <v>#DIV/0!</v>
      </c>
      <c r="BE73" s="29" t="str">
        <f t="shared" si="76"/>
        <v>#DIV/0!</v>
      </c>
      <c r="BF73" s="29" t="str">
        <f t="shared" si="76"/>
        <v>#DIV/0!</v>
      </c>
      <c r="BG73" s="29" t="str">
        <f t="shared" si="76"/>
        <v>#DIV/0!</v>
      </c>
      <c r="BH73" s="29" t="str">
        <f t="shared" si="76"/>
        <v>#DIV/0!</v>
      </c>
      <c r="BI73" s="29" t="str">
        <f t="shared" si="76"/>
        <v>#DIV/0!</v>
      </c>
      <c r="BJ73" s="29" t="str">
        <f t="shared" si="76"/>
        <v>#DIV/0!</v>
      </c>
      <c r="BK73" s="29" t="str">
        <f t="shared" si="76"/>
        <v>#DIV/0!</v>
      </c>
      <c r="BL73" s="29" t="str">
        <f t="shared" si="76"/>
        <v>#DIV/0!</v>
      </c>
      <c r="BM73" s="29" t="str">
        <f t="shared" si="3"/>
        <v>#DIV/0!</v>
      </c>
    </row>
    <row r="74">
      <c r="A74" s="16" t="str">
        <f>IFERROR(__xludf.DUMMYFUNCTION("IFERROR(SPARKLINE(SORT(MAP(TRANSPOSE(AQ74:BL74), LAMBDA(val, IF(ISNUMBER(val), PERCENTRANK(AQ74:BL74, val)+0.01, 0))), SEQUENCE(COLUMNS(AQ74:BL74)), FALSE), {""charttype"",""column""; ""color"",""chartreuse""; ""ymin"", 0; ""ymax"", 1.01; ""highcolor"", "&amp;"""darkgreen""; ""lowcolor"", ""red""}), """")"),"")</f>
        <v/>
      </c>
      <c r="B74" s="17" t="str">
        <f t="shared" si="4"/>
        <v/>
      </c>
      <c r="C74" s="1" t="s">
        <v>364</v>
      </c>
      <c r="D74" s="34" t="str">
        <f>IFERROR(__xludf.DUMMYFUNCTION("IFERROR(GOOGLEFINANCE(C74, ""NAME""))"),"Central Bancompany Inc")</f>
        <v>Central Bancompany Inc</v>
      </c>
      <c r="E74" s="30" t="s">
        <v>268</v>
      </c>
      <c r="F74" s="33" t="str">
        <f>IFERROR(__xludf.DUMMYFUNCTION("( (GOOGLEFINANCE(C74, ""price"") - Q74) / Q74 ) / (R74 / 100)"),"Loading...")</f>
        <v>Loading...</v>
      </c>
      <c r="G74" s="20" t="str">
        <f>IFERROR(__xludf.DUMMYFUNCTION("AVERAGE(ARRAYFORMULA(100 * (QUERY(GOOGLEFINANCE(C74, ""high"", TODAY()-40, TODAY()), ""SELECT Col2 WHERE Col2 IS NOT NULL ORDER BY Col1 DESC LIMIT 20"", 0) / QUERY(GOOGLEFINANCE(C74, ""low"", TODAY()-40, TODAY()), ""SELECT Col2 WHERE Col2 IS NOT NULL ORDE"&amp;"R BY Col1 DESC LIMIT 20"", 0) - 1)))"),"#N/A")</f>
        <v>#N/A</v>
      </c>
      <c r="H74" s="35" t="str">
        <f t="shared" si="6"/>
        <v/>
      </c>
      <c r="I74" s="36" t="str">
        <f t="shared" si="7"/>
        <v/>
      </c>
      <c r="J74" s="37" t="str">
        <f>IFERROR(__xludf.DUMMYFUNCTION("IFERROR(
  IF(C74="""",, 
    IFERROR(
      GOOGLEFINANCE(C74, ""price"") * GOOGLEFINANCE(C74, ""volumeavg""), 
      GOOGLEFINANCE(C74, ""price"") * AVERAGE(QUERY(GOOGLEFINANCE(C74, ""volume"", TODAY()-40, TODAY()), ""SELECT Col2 WHERE Col2 IS NOT NULL "&amp;"ORDER BY Col1 DESC LIMIT 20"", 0))
    )
  ), 
"""")"),"")</f>
        <v/>
      </c>
      <c r="K74" s="21" t="str">
        <f>IFERROR(__xludf.DUMMYFUNCTION("IFERROR(GOOGLEFINANCE(C74, ""changepct"") / 100, """")"),"")</f>
        <v/>
      </c>
      <c r="L74" s="21" t="str">
        <f>IFERROR(__xludf.DUMMYFUNCTION("IFERROR((GOOGLEFINANCE(C74, ""price"") / INDEX(GOOGLEFINANCE(C74, ""price"", TODAY()-7, TODAY()), 2, 2)) - 1, """")"),"")</f>
        <v/>
      </c>
      <c r="M74" s="21" t="str">
        <f>IFERROR(__xludf.DUMMYFUNCTION("IFERROR((GOOGLEFINANCE(C74, ""price"") / INDEX(GOOGLEFINANCE(C74, ""price"", EDATE(TODAY(), -1), TODAY()), 2, 2)) - 1, """")"),"")</f>
        <v/>
      </c>
      <c r="N74" s="21" t="str">
        <f>IFERROR(__xludf.DUMMYFUNCTION("IFERROR((GOOGLEFINANCE(C74, ""price"") / INDEX(GOOGLEFINANCE(C74, ""price"", EDATE(TODAY(), -3), TODAY()), 2, 2)) - 1, """")"),"")</f>
        <v/>
      </c>
      <c r="O74" s="21" t="str">
        <f>IFERROR(__xludf.DUMMYFUNCTION("IFERROR((GOOGLEFINANCE(C74, ""price"") / INDEX(GOOGLEFINANCE(C74, ""price"", EDATE(TODAY(), -6), TODAY()), 2, 2)) - 1, """")"),"")</f>
        <v/>
      </c>
      <c r="P74" s="21" t="str">
        <f>IFERROR(__xludf.DUMMYFUNCTION("IFERROR((GOOGLEFINANCE(C74, ""price"") / INDEX(GOOGLEFINANCE(C74, ""price"", EDATE(TODAY(), -12), TODAY()), 2, 2)) - 1, """")"),"")</f>
        <v/>
      </c>
      <c r="Q74" s="6" t="str">
        <f>IFERROR(__xludf.DUMMYFUNCTION("AVERAGE(QUERY(GOOGLEFINANCE(C74, ""price"", TODAY()-80, TODAY()), ""SELECT Col2 WHERE Col2 IS NOT NULL ORDER BY Col1 DESC LIMIT 50"", 0))"),"#N/A")</f>
        <v>#N/A</v>
      </c>
      <c r="R74" s="24" t="str">
        <f>IFERROR(__xludf.DUMMYFUNCTION("IFERROR(
  LET(
    data, QUERY(GOOGLEFINANCE(C74,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GOOGLEFINANCE(C74, ""price"")) * 100,
    IF(calc=0, G74, calc)
  ), 
G74)"),"#N/A")</f>
        <v>#N/A</v>
      </c>
      <c r="S74" s="8" t="s">
        <v>15</v>
      </c>
      <c r="T74" s="26" t="str">
        <f>IFERROR(__xludf.DUMMYFUNCTION("IFERROR(TRANSPOSE(QUERY(IFERROR(SORT(GOOGLEFINANCE(C74, ""price"", WORKDAY(TODAY(), -40), TODAY()), 1, FALSE)), ""select Col2 where Col2 is not null limit 22 label Col2 ''"", 0)), """")"),"")</f>
        <v/>
      </c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8"/>
      <c r="AO74" s="28"/>
      <c r="AP74" s="29"/>
      <c r="AQ74" s="29" t="str">
        <f t="shared" ref="AQ74:BL74" si="77">T74/T$2</f>
        <v>#N/A</v>
      </c>
      <c r="AR74" s="29" t="str">
        <f t="shared" si="77"/>
        <v>#DIV/0!</v>
      </c>
      <c r="AS74" s="29" t="str">
        <f t="shared" si="77"/>
        <v>#DIV/0!</v>
      </c>
      <c r="AT74" s="29" t="str">
        <f t="shared" si="77"/>
        <v>#DIV/0!</v>
      </c>
      <c r="AU74" s="29" t="str">
        <f t="shared" si="77"/>
        <v>#DIV/0!</v>
      </c>
      <c r="AV74" s="29" t="str">
        <f t="shared" si="77"/>
        <v>#DIV/0!</v>
      </c>
      <c r="AW74" s="29" t="str">
        <f t="shared" si="77"/>
        <v>#DIV/0!</v>
      </c>
      <c r="AX74" s="29" t="str">
        <f t="shared" si="77"/>
        <v>#DIV/0!</v>
      </c>
      <c r="AY74" s="29" t="str">
        <f t="shared" si="77"/>
        <v>#DIV/0!</v>
      </c>
      <c r="AZ74" s="29" t="str">
        <f t="shared" si="77"/>
        <v>#DIV/0!</v>
      </c>
      <c r="BA74" s="29" t="str">
        <f t="shared" si="77"/>
        <v>#DIV/0!</v>
      </c>
      <c r="BB74" s="29" t="str">
        <f t="shared" si="77"/>
        <v>#DIV/0!</v>
      </c>
      <c r="BC74" s="29" t="str">
        <f t="shared" si="77"/>
        <v>#DIV/0!</v>
      </c>
      <c r="BD74" s="29" t="str">
        <f t="shared" si="77"/>
        <v>#DIV/0!</v>
      </c>
      <c r="BE74" s="29" t="str">
        <f t="shared" si="77"/>
        <v>#DIV/0!</v>
      </c>
      <c r="BF74" s="29" t="str">
        <f t="shared" si="77"/>
        <v>#DIV/0!</v>
      </c>
      <c r="BG74" s="29" t="str">
        <f t="shared" si="77"/>
        <v>#DIV/0!</v>
      </c>
      <c r="BH74" s="29" t="str">
        <f t="shared" si="77"/>
        <v>#DIV/0!</v>
      </c>
      <c r="BI74" s="29" t="str">
        <f t="shared" si="77"/>
        <v>#DIV/0!</v>
      </c>
      <c r="BJ74" s="29" t="str">
        <f t="shared" si="77"/>
        <v>#DIV/0!</v>
      </c>
      <c r="BK74" s="29" t="str">
        <f t="shared" si="77"/>
        <v>#DIV/0!</v>
      </c>
      <c r="BL74" s="29" t="str">
        <f t="shared" si="77"/>
        <v>#DIV/0!</v>
      </c>
      <c r="BM74" s="29" t="str">
        <f t="shared" si="3"/>
        <v>#DIV/0!</v>
      </c>
    </row>
    <row r="75">
      <c r="A75" s="16" t="str">
        <f>IFERROR(__xludf.DUMMYFUNCTION("IFERROR(SPARKLINE(SORT(MAP(TRANSPOSE(AQ75:BL75), LAMBDA(val, IF(ISNUMBER(val), PERCENTRANK(AQ75:BL75, val)+0.01, 0))), SEQUENCE(COLUMNS(AQ75:BL75)), FALSE), {""charttype"",""column""; ""color"",""chartreuse""; ""ymin"", 0; ""ymax"", 1.01; ""highcolor"", "&amp;"""darkgreen""; ""lowcolor"", ""red""}), """")"),"")</f>
        <v/>
      </c>
      <c r="B75" s="17" t="str">
        <f t="shared" si="4"/>
        <v/>
      </c>
      <c r="C75" s="1" t="s">
        <v>370</v>
      </c>
      <c r="D75" s="34" t="str">
        <f>IFERROR(__xludf.DUMMYFUNCTION("IFERROR(GOOGLEFINANCE(C75, ""NAME""))"),"Carter Bankshares Inc")</f>
        <v>Carter Bankshares Inc</v>
      </c>
      <c r="E75" s="30" t="s">
        <v>268</v>
      </c>
      <c r="F75" s="38" t="str">
        <f>IFERROR(__xludf.DUMMYFUNCTION("( (GOOGLEFINANCE(C75, ""price"") - Q75) / Q75 ) / (R75 / 100)"),"Loading...")</f>
        <v>Loading...</v>
      </c>
      <c r="G75" s="20" t="str">
        <f>IFERROR(__xludf.DUMMYFUNCTION("AVERAGE(ARRAYFORMULA(100 * (QUERY(GOOGLEFINANCE(C75, ""high"", TODAY()-40, TODAY()), ""SELECT Col2 WHERE Col2 IS NOT NULL ORDER BY Col1 DESC LIMIT 20"", 0) / QUERY(GOOGLEFINANCE(C75, ""low"", TODAY()-40, TODAY()), ""SELECT Col2 WHERE Col2 IS NOT NULL ORDE"&amp;"R BY Col1 DESC LIMIT 20"", 0) - 1)))"),"#N/A")</f>
        <v>#N/A</v>
      </c>
      <c r="H75" s="35" t="str">
        <f t="shared" si="6"/>
        <v/>
      </c>
      <c r="I75" s="36" t="str">
        <f t="shared" si="7"/>
        <v/>
      </c>
      <c r="J75" s="37" t="str">
        <f>IFERROR(__xludf.DUMMYFUNCTION("IFERROR(
  IF(C75="""",, 
    IFERROR(
      GOOGLEFINANCE(C75, ""price"") * GOOGLEFINANCE(C75, ""volumeavg""), 
      GOOGLEFINANCE(C75, ""price"") * AVERAGE(QUERY(GOOGLEFINANCE(C75, ""volume"", TODAY()-40, TODAY()), ""SELECT Col2 WHERE Col2 IS NOT NULL "&amp;"ORDER BY Col1 DESC LIMIT 20"", 0))
    )
  ), 
"""")"),"")</f>
        <v/>
      </c>
      <c r="K75" s="21" t="str">
        <f>IFERROR(__xludf.DUMMYFUNCTION("IFERROR(GOOGLEFINANCE(C75, ""changepct"") / 100, """")"),"")</f>
        <v/>
      </c>
      <c r="L75" s="21" t="str">
        <f>IFERROR(__xludf.DUMMYFUNCTION("IFERROR((GOOGLEFINANCE(C75, ""price"") / INDEX(GOOGLEFINANCE(C75, ""price"", TODAY()-7, TODAY()), 2, 2)) - 1, """")"),"")</f>
        <v/>
      </c>
      <c r="M75" s="21" t="str">
        <f>IFERROR(__xludf.DUMMYFUNCTION("IFERROR((GOOGLEFINANCE(C75, ""price"") / INDEX(GOOGLEFINANCE(C75, ""price"", EDATE(TODAY(), -1), TODAY()), 2, 2)) - 1, """")"),"")</f>
        <v/>
      </c>
      <c r="N75" s="21" t="str">
        <f>IFERROR(__xludf.DUMMYFUNCTION("IFERROR((GOOGLEFINANCE(C75, ""price"") / INDEX(GOOGLEFINANCE(C75, ""price"", EDATE(TODAY(), -3), TODAY()), 2, 2)) - 1, """")"),"")</f>
        <v/>
      </c>
      <c r="O75" s="21" t="str">
        <f>IFERROR(__xludf.DUMMYFUNCTION("IFERROR((GOOGLEFINANCE(C75, ""price"") / INDEX(GOOGLEFINANCE(C75, ""price"", EDATE(TODAY(), -6), TODAY()), 2, 2)) - 1, """")"),"")</f>
        <v/>
      </c>
      <c r="P75" s="21" t="str">
        <f>IFERROR(__xludf.DUMMYFUNCTION("IFERROR((GOOGLEFINANCE(C75, ""price"") / INDEX(GOOGLEFINANCE(C75, ""price"", EDATE(TODAY(), -12), TODAY()), 2, 2)) - 1, """")"),"")</f>
        <v/>
      </c>
      <c r="Q75" s="6" t="str">
        <f>IFERROR(__xludf.DUMMYFUNCTION("AVERAGE(QUERY(GOOGLEFINANCE(C75, ""price"", TODAY()-80, TODAY()), ""SELECT Col2 WHERE Col2 IS NOT NULL ORDER BY Col1 DESC LIMIT 50"", 0))"),"#N/A")</f>
        <v>#N/A</v>
      </c>
      <c r="R75" s="24" t="str">
        <f>IFERROR(__xludf.DUMMYFUNCTION("IFERROR(
  LET(
    data, QUERY(GOOGLEFINANCE(C75,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GOOGLEFINANCE(C75, ""price"")) * 100,
    IF(calc=0, G75, calc)
  ), 
G75)"),"#N/A")</f>
        <v>#N/A</v>
      </c>
      <c r="S75" s="8" t="s">
        <v>15</v>
      </c>
      <c r="T75" s="26" t="str">
        <f>IFERROR(__xludf.DUMMYFUNCTION("IFERROR(TRANSPOSE(QUERY(IFERROR(SORT(GOOGLEFINANCE(C75, ""price"", WORKDAY(TODAY(), -40), TODAY()), 1, FALSE)), ""select Col2 where Col2 is not null limit 22 label Col2 ''"", 0)), """")"),"")</f>
        <v/>
      </c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8"/>
      <c r="AO75" s="28"/>
      <c r="AP75" s="29"/>
      <c r="AQ75" s="29" t="str">
        <f t="shared" ref="AQ75:BL75" si="78">T75/T$2</f>
        <v>#N/A</v>
      </c>
      <c r="AR75" s="29" t="str">
        <f t="shared" si="78"/>
        <v>#DIV/0!</v>
      </c>
      <c r="AS75" s="29" t="str">
        <f t="shared" si="78"/>
        <v>#DIV/0!</v>
      </c>
      <c r="AT75" s="29" t="str">
        <f t="shared" si="78"/>
        <v>#DIV/0!</v>
      </c>
      <c r="AU75" s="29" t="str">
        <f t="shared" si="78"/>
        <v>#DIV/0!</v>
      </c>
      <c r="AV75" s="29" t="str">
        <f t="shared" si="78"/>
        <v>#DIV/0!</v>
      </c>
      <c r="AW75" s="29" t="str">
        <f t="shared" si="78"/>
        <v>#DIV/0!</v>
      </c>
      <c r="AX75" s="29" t="str">
        <f t="shared" si="78"/>
        <v>#DIV/0!</v>
      </c>
      <c r="AY75" s="29" t="str">
        <f t="shared" si="78"/>
        <v>#DIV/0!</v>
      </c>
      <c r="AZ75" s="29" t="str">
        <f t="shared" si="78"/>
        <v>#DIV/0!</v>
      </c>
      <c r="BA75" s="29" t="str">
        <f t="shared" si="78"/>
        <v>#DIV/0!</v>
      </c>
      <c r="BB75" s="29" t="str">
        <f t="shared" si="78"/>
        <v>#DIV/0!</v>
      </c>
      <c r="BC75" s="29" t="str">
        <f t="shared" si="78"/>
        <v>#DIV/0!</v>
      </c>
      <c r="BD75" s="29" t="str">
        <f t="shared" si="78"/>
        <v>#DIV/0!</v>
      </c>
      <c r="BE75" s="29" t="str">
        <f t="shared" si="78"/>
        <v>#DIV/0!</v>
      </c>
      <c r="BF75" s="29" t="str">
        <f t="shared" si="78"/>
        <v>#DIV/0!</v>
      </c>
      <c r="BG75" s="29" t="str">
        <f t="shared" si="78"/>
        <v>#DIV/0!</v>
      </c>
      <c r="BH75" s="29" t="str">
        <f t="shared" si="78"/>
        <v>#DIV/0!</v>
      </c>
      <c r="BI75" s="29" t="str">
        <f t="shared" si="78"/>
        <v>#DIV/0!</v>
      </c>
      <c r="BJ75" s="29" t="str">
        <f t="shared" si="78"/>
        <v>#DIV/0!</v>
      </c>
      <c r="BK75" s="29" t="str">
        <f t="shared" si="78"/>
        <v>#DIV/0!</v>
      </c>
      <c r="BL75" s="29" t="str">
        <f t="shared" si="78"/>
        <v>#DIV/0!</v>
      </c>
      <c r="BM75" s="29" t="str">
        <f t="shared" si="3"/>
        <v>#DIV/0!</v>
      </c>
    </row>
    <row r="76">
      <c r="A76" s="16" t="str">
        <f>IFERROR(__xludf.DUMMYFUNCTION("IFERROR(SPARKLINE(SORT(MAP(TRANSPOSE(AQ76:BL76), LAMBDA(val, IF(ISNUMBER(val), PERCENTRANK(AQ76:BL76, val)+0.01, 0))), SEQUENCE(COLUMNS(AQ76:BL76)), FALSE), {""charttype"",""column""; ""color"",""chartreuse""; ""ymin"", 0; ""ymax"", 1.01; ""highcolor"", "&amp;"""darkgreen""; ""lowcolor"", ""red""}), """")"),"")</f>
        <v/>
      </c>
      <c r="B76" s="17" t="str">
        <f t="shared" si="4"/>
        <v/>
      </c>
      <c r="C76" s="1" t="s">
        <v>374</v>
      </c>
      <c r="D76" s="34" t="str">
        <f>IFERROR(__xludf.DUMMYFUNCTION("IFERROR(GOOGLEFINANCE(C76, ""NAME""))"),"Ares Management Corp")</f>
        <v>Ares Management Corp</v>
      </c>
      <c r="E76" s="30" t="s">
        <v>64</v>
      </c>
      <c r="F76" s="33" t="str">
        <f>IFERROR(__xludf.DUMMYFUNCTION("( (GOOGLEFINANCE(C76, ""price"") - Q76) / Q76 ) / (R76 / 100)"),"Loading...")</f>
        <v>Loading...</v>
      </c>
      <c r="G76" s="20" t="str">
        <f>IFERROR(__xludf.DUMMYFUNCTION("AVERAGE(ARRAYFORMULA(100 * (QUERY(GOOGLEFINANCE(C76, ""high"", TODAY()-40, TODAY()), ""SELECT Col2 WHERE Col2 IS NOT NULL ORDER BY Col1 DESC LIMIT 20"", 0) / QUERY(GOOGLEFINANCE(C76, ""low"", TODAY()-40, TODAY()), ""SELECT Col2 WHERE Col2 IS NOT NULL ORDE"&amp;"R BY Col1 DESC LIMIT 20"", 0) - 1)))"),"#N/A")</f>
        <v>#N/A</v>
      </c>
      <c r="H76" s="35" t="str">
        <f t="shared" si="6"/>
        <v/>
      </c>
      <c r="I76" s="36" t="str">
        <f t="shared" si="7"/>
        <v/>
      </c>
      <c r="J76" s="37" t="str">
        <f>IFERROR(__xludf.DUMMYFUNCTION("IFERROR(
  IF(C76="""",, 
    IFERROR(
      GOOGLEFINANCE(C76, ""price"") * GOOGLEFINANCE(C76, ""volumeavg""), 
      GOOGLEFINANCE(C76, ""price"") * AVERAGE(QUERY(GOOGLEFINANCE(C76, ""volume"", TODAY()-40, TODAY()), ""SELECT Col2 WHERE Col2 IS NOT NULL "&amp;"ORDER BY Col1 DESC LIMIT 20"", 0))
    )
  ), 
"""")"),"")</f>
        <v/>
      </c>
      <c r="K76" s="21" t="str">
        <f>IFERROR(__xludf.DUMMYFUNCTION("IFERROR(GOOGLEFINANCE(C76, ""changepct"") / 100, """")"),"")</f>
        <v/>
      </c>
      <c r="L76" s="21" t="str">
        <f>IFERROR(__xludf.DUMMYFUNCTION("IFERROR((GOOGLEFINANCE(C76, ""price"") / INDEX(GOOGLEFINANCE(C76, ""price"", TODAY()-7, TODAY()), 2, 2)) - 1, """")"),"")</f>
        <v/>
      </c>
      <c r="M76" s="21" t="str">
        <f>IFERROR(__xludf.DUMMYFUNCTION("IFERROR((GOOGLEFINANCE(C76, ""price"") / INDEX(GOOGLEFINANCE(C76, ""price"", EDATE(TODAY(), -1), TODAY()), 2, 2)) - 1, """")"),"")</f>
        <v/>
      </c>
      <c r="N76" s="21" t="str">
        <f>IFERROR(__xludf.DUMMYFUNCTION("IFERROR((GOOGLEFINANCE(C76, ""price"") / INDEX(GOOGLEFINANCE(C76, ""price"", EDATE(TODAY(), -3), TODAY()), 2, 2)) - 1, """")"),"")</f>
        <v/>
      </c>
      <c r="O76" s="21" t="str">
        <f>IFERROR(__xludf.DUMMYFUNCTION("IFERROR((GOOGLEFINANCE(C76, ""price"") / INDEX(GOOGLEFINANCE(C76, ""price"", EDATE(TODAY(), -6), TODAY()), 2, 2)) - 1, """")"),"")</f>
        <v/>
      </c>
      <c r="P76" s="21" t="str">
        <f>IFERROR(__xludf.DUMMYFUNCTION("IFERROR((GOOGLEFINANCE(C76, ""price"") / INDEX(GOOGLEFINANCE(C76, ""price"", EDATE(TODAY(), -12), TODAY()), 2, 2)) - 1, """")"),"")</f>
        <v/>
      </c>
      <c r="Q76" s="6" t="str">
        <f>IFERROR(__xludf.DUMMYFUNCTION("AVERAGE(QUERY(GOOGLEFINANCE(C76, ""price"", TODAY()-80, TODAY()), ""SELECT Col2 WHERE Col2 IS NOT NULL ORDER BY Col1 DESC LIMIT 50"", 0))"),"#N/A")</f>
        <v>#N/A</v>
      </c>
      <c r="R76" s="24" t="str">
        <f>IFERROR(__xludf.DUMMYFUNCTION("IFERROR(
  LET(
    data, QUERY(GOOGLEFINANCE(C76,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GOOGLEFINANCE(C76, ""price"")) * 100,
    IF(calc=0, G76, calc)
  ), 
G76)"),"#N/A")</f>
        <v>#N/A</v>
      </c>
      <c r="S76" s="8" t="s">
        <v>15</v>
      </c>
      <c r="T76" s="26" t="str">
        <f>IFERROR(__xludf.DUMMYFUNCTION("IFERROR(TRANSPOSE(QUERY(IFERROR(SORT(GOOGLEFINANCE(C76, ""price"", WORKDAY(TODAY(), -40), TODAY()), 1, FALSE)), ""select Col2 where Col2 is not null limit 22 label Col2 ''"", 0)), """")"),"")</f>
        <v/>
      </c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8"/>
      <c r="AO76" s="28"/>
      <c r="AP76" s="29"/>
      <c r="AQ76" s="29" t="str">
        <f t="shared" ref="AQ76:BL76" si="79">T76/T$2</f>
        <v>#N/A</v>
      </c>
      <c r="AR76" s="29" t="str">
        <f t="shared" si="79"/>
        <v>#DIV/0!</v>
      </c>
      <c r="AS76" s="29" t="str">
        <f t="shared" si="79"/>
        <v>#DIV/0!</v>
      </c>
      <c r="AT76" s="29" t="str">
        <f t="shared" si="79"/>
        <v>#DIV/0!</v>
      </c>
      <c r="AU76" s="29" t="str">
        <f t="shared" si="79"/>
        <v>#DIV/0!</v>
      </c>
      <c r="AV76" s="29" t="str">
        <f t="shared" si="79"/>
        <v>#DIV/0!</v>
      </c>
      <c r="AW76" s="29" t="str">
        <f t="shared" si="79"/>
        <v>#DIV/0!</v>
      </c>
      <c r="AX76" s="29" t="str">
        <f t="shared" si="79"/>
        <v>#DIV/0!</v>
      </c>
      <c r="AY76" s="29" t="str">
        <f t="shared" si="79"/>
        <v>#DIV/0!</v>
      </c>
      <c r="AZ76" s="29" t="str">
        <f t="shared" si="79"/>
        <v>#DIV/0!</v>
      </c>
      <c r="BA76" s="29" t="str">
        <f t="shared" si="79"/>
        <v>#DIV/0!</v>
      </c>
      <c r="BB76" s="29" t="str">
        <f t="shared" si="79"/>
        <v>#DIV/0!</v>
      </c>
      <c r="BC76" s="29" t="str">
        <f t="shared" si="79"/>
        <v>#DIV/0!</v>
      </c>
      <c r="BD76" s="29" t="str">
        <f t="shared" si="79"/>
        <v>#DIV/0!</v>
      </c>
      <c r="BE76" s="29" t="str">
        <f t="shared" si="79"/>
        <v>#DIV/0!</v>
      </c>
      <c r="BF76" s="29" t="str">
        <f t="shared" si="79"/>
        <v>#DIV/0!</v>
      </c>
      <c r="BG76" s="29" t="str">
        <f t="shared" si="79"/>
        <v>#DIV/0!</v>
      </c>
      <c r="BH76" s="29" t="str">
        <f t="shared" si="79"/>
        <v>#DIV/0!</v>
      </c>
      <c r="BI76" s="29" t="str">
        <f t="shared" si="79"/>
        <v>#DIV/0!</v>
      </c>
      <c r="BJ76" s="29" t="str">
        <f t="shared" si="79"/>
        <v>#DIV/0!</v>
      </c>
      <c r="BK76" s="29" t="str">
        <f t="shared" si="79"/>
        <v>#DIV/0!</v>
      </c>
      <c r="BL76" s="29" t="str">
        <f t="shared" si="79"/>
        <v>#DIV/0!</v>
      </c>
      <c r="BM76" s="29" t="str">
        <f t="shared" si="3"/>
        <v>#DIV/0!</v>
      </c>
    </row>
    <row r="77">
      <c r="A77" s="16" t="str">
        <f>IFERROR(__xludf.DUMMYFUNCTION("IFERROR(SPARKLINE(SORT(MAP(TRANSPOSE(AQ77:BL77), LAMBDA(val, IF(ISNUMBER(val), PERCENTRANK(AQ77:BL77, val)+0.01, 0))), SEQUENCE(COLUMNS(AQ77:BL77)), FALSE), {""charttype"",""column""; ""color"",""chartreuse""; ""ymin"", 0; ""ymax"", 1.01; ""highcolor"", "&amp;"""darkgreen""; ""lowcolor"", ""red""}), """")"),"")</f>
        <v/>
      </c>
      <c r="B77" s="17" t="str">
        <f t="shared" si="4"/>
        <v/>
      </c>
      <c r="C77" s="1" t="s">
        <v>379</v>
      </c>
      <c r="D77" s="34" t="str">
        <f>IFERROR(__xludf.DUMMYFUNCTION("IFERROR(GOOGLEFINANCE(C77, ""NAME""))"),"TrustCo Bank Corp NY")</f>
        <v>TrustCo Bank Corp NY</v>
      </c>
      <c r="E77" s="30" t="s">
        <v>268</v>
      </c>
      <c r="F77" s="33" t="str">
        <f>IFERROR(__xludf.DUMMYFUNCTION("( (GOOGLEFINANCE(C77, ""price"") - Q77) / Q77 ) / (R77 / 100)"),"Loading...")</f>
        <v>Loading...</v>
      </c>
      <c r="G77" s="20" t="str">
        <f>IFERROR(__xludf.DUMMYFUNCTION("AVERAGE(ARRAYFORMULA(100 * (QUERY(GOOGLEFINANCE(C77, ""high"", TODAY()-40, TODAY()), ""SELECT Col2 WHERE Col2 IS NOT NULL ORDER BY Col1 DESC LIMIT 20"", 0) / QUERY(GOOGLEFINANCE(C77, ""low"", TODAY()-40, TODAY()), ""SELECT Col2 WHERE Col2 IS NOT NULL ORDE"&amp;"R BY Col1 DESC LIMIT 20"", 0) - 1)))"),"#N/A")</f>
        <v>#N/A</v>
      </c>
      <c r="H77" s="35" t="str">
        <f t="shared" si="6"/>
        <v/>
      </c>
      <c r="I77" s="36" t="str">
        <f t="shared" si="7"/>
        <v/>
      </c>
      <c r="J77" s="37" t="str">
        <f>IFERROR(__xludf.DUMMYFUNCTION("IFERROR(
  IF(C77="""",, 
    IFERROR(
      GOOGLEFINANCE(C77, ""price"") * GOOGLEFINANCE(C77, ""volumeavg""), 
      GOOGLEFINANCE(C77, ""price"") * AVERAGE(QUERY(GOOGLEFINANCE(C77, ""volume"", TODAY()-40, TODAY()), ""SELECT Col2 WHERE Col2 IS NOT NULL "&amp;"ORDER BY Col1 DESC LIMIT 20"", 0))
    )
  ), 
"""")"),"")</f>
        <v/>
      </c>
      <c r="K77" s="21" t="str">
        <f>IFERROR(__xludf.DUMMYFUNCTION("IFERROR(GOOGLEFINANCE(C77, ""changepct"") / 100, """")"),"")</f>
        <v/>
      </c>
      <c r="L77" s="21" t="str">
        <f>IFERROR(__xludf.DUMMYFUNCTION("IFERROR((GOOGLEFINANCE(C77, ""price"") / INDEX(GOOGLEFINANCE(C77, ""price"", TODAY()-7, TODAY()), 2, 2)) - 1, """")"),"")</f>
        <v/>
      </c>
      <c r="M77" s="21" t="str">
        <f>IFERROR(__xludf.DUMMYFUNCTION("IFERROR((GOOGLEFINANCE(C77, ""price"") / INDEX(GOOGLEFINANCE(C77, ""price"", EDATE(TODAY(), -1), TODAY()), 2, 2)) - 1, """")"),"")</f>
        <v/>
      </c>
      <c r="N77" s="21" t="str">
        <f>IFERROR(__xludf.DUMMYFUNCTION("IFERROR((GOOGLEFINANCE(C77, ""price"") / INDEX(GOOGLEFINANCE(C77, ""price"", EDATE(TODAY(), -3), TODAY()), 2, 2)) - 1, """")"),"")</f>
        <v/>
      </c>
      <c r="O77" s="21" t="str">
        <f>IFERROR(__xludf.DUMMYFUNCTION("IFERROR((GOOGLEFINANCE(C77, ""price"") / INDEX(GOOGLEFINANCE(C77, ""price"", EDATE(TODAY(), -6), TODAY()), 2, 2)) - 1, """")"),"")</f>
        <v/>
      </c>
      <c r="P77" s="21" t="str">
        <f>IFERROR(__xludf.DUMMYFUNCTION("IFERROR((GOOGLEFINANCE(C77, ""price"") / INDEX(GOOGLEFINANCE(C77, ""price"", EDATE(TODAY(), -12), TODAY()), 2, 2)) - 1, """")"),"")</f>
        <v/>
      </c>
      <c r="Q77" s="6" t="str">
        <f>IFERROR(__xludf.DUMMYFUNCTION("AVERAGE(QUERY(GOOGLEFINANCE(C77, ""price"", TODAY()-80, TODAY()), ""SELECT Col2 WHERE Col2 IS NOT NULL ORDER BY Col1 DESC LIMIT 50"", 0))"),"#N/A")</f>
        <v>#N/A</v>
      </c>
      <c r="R77" s="24" t="str">
        <f>IFERROR(__xludf.DUMMYFUNCTION("IFERROR(
  LET(
    data, QUERY(GOOGLEFINANCE(C77,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GOOGLEFINANCE(C77, ""price"")) * 100,
    IF(calc=0, G77, calc)
  ), 
G77)"),"#N/A")</f>
        <v>#N/A</v>
      </c>
      <c r="S77" s="8" t="s">
        <v>15</v>
      </c>
      <c r="T77" s="26" t="str">
        <f>IFERROR(__xludf.DUMMYFUNCTION("IFERROR(TRANSPOSE(QUERY(IFERROR(SORT(GOOGLEFINANCE(C77, ""price"", WORKDAY(TODAY(), -40), TODAY()), 1, FALSE)), ""select Col2 where Col2 is not null limit 22 label Col2 ''"", 0)), """")"),"")</f>
        <v/>
      </c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8"/>
      <c r="AO77" s="28"/>
      <c r="AP77" s="29"/>
      <c r="AQ77" s="29" t="str">
        <f t="shared" ref="AQ77:BL77" si="80">T77/T$2</f>
        <v>#N/A</v>
      </c>
      <c r="AR77" s="29" t="str">
        <f t="shared" si="80"/>
        <v>#DIV/0!</v>
      </c>
      <c r="AS77" s="29" t="str">
        <f t="shared" si="80"/>
        <v>#DIV/0!</v>
      </c>
      <c r="AT77" s="29" t="str">
        <f t="shared" si="80"/>
        <v>#DIV/0!</v>
      </c>
      <c r="AU77" s="29" t="str">
        <f t="shared" si="80"/>
        <v>#DIV/0!</v>
      </c>
      <c r="AV77" s="29" t="str">
        <f t="shared" si="80"/>
        <v>#DIV/0!</v>
      </c>
      <c r="AW77" s="29" t="str">
        <f t="shared" si="80"/>
        <v>#DIV/0!</v>
      </c>
      <c r="AX77" s="29" t="str">
        <f t="shared" si="80"/>
        <v>#DIV/0!</v>
      </c>
      <c r="AY77" s="29" t="str">
        <f t="shared" si="80"/>
        <v>#DIV/0!</v>
      </c>
      <c r="AZ77" s="29" t="str">
        <f t="shared" si="80"/>
        <v>#DIV/0!</v>
      </c>
      <c r="BA77" s="29" t="str">
        <f t="shared" si="80"/>
        <v>#DIV/0!</v>
      </c>
      <c r="BB77" s="29" t="str">
        <f t="shared" si="80"/>
        <v>#DIV/0!</v>
      </c>
      <c r="BC77" s="29" t="str">
        <f t="shared" si="80"/>
        <v>#DIV/0!</v>
      </c>
      <c r="BD77" s="29" t="str">
        <f t="shared" si="80"/>
        <v>#DIV/0!</v>
      </c>
      <c r="BE77" s="29" t="str">
        <f t="shared" si="80"/>
        <v>#DIV/0!</v>
      </c>
      <c r="BF77" s="29" t="str">
        <f t="shared" si="80"/>
        <v>#DIV/0!</v>
      </c>
      <c r="BG77" s="29" t="str">
        <f t="shared" si="80"/>
        <v>#DIV/0!</v>
      </c>
      <c r="BH77" s="29" t="str">
        <f t="shared" si="80"/>
        <v>#DIV/0!</v>
      </c>
      <c r="BI77" s="29" t="str">
        <f t="shared" si="80"/>
        <v>#DIV/0!</v>
      </c>
      <c r="BJ77" s="29" t="str">
        <f t="shared" si="80"/>
        <v>#DIV/0!</v>
      </c>
      <c r="BK77" s="29" t="str">
        <f t="shared" si="80"/>
        <v>#DIV/0!</v>
      </c>
      <c r="BL77" s="29" t="str">
        <f t="shared" si="80"/>
        <v>#DIV/0!</v>
      </c>
      <c r="BM77" s="29" t="str">
        <f t="shared" si="3"/>
        <v>#DIV/0!</v>
      </c>
    </row>
    <row r="78">
      <c r="A78" s="16" t="str">
        <f>IFERROR(__xludf.DUMMYFUNCTION("IFERROR(SPARKLINE(SORT(MAP(TRANSPOSE(AQ78:BL78), LAMBDA(val, IF(ISNUMBER(val), PERCENTRANK(AQ78:BL78, val)+0.01, 0))), SEQUENCE(COLUMNS(AQ78:BL78)), FALSE), {""charttype"",""column""; ""color"",""chartreuse""; ""ymin"", 0; ""ymax"", 1.01; ""highcolor"", "&amp;"""darkgreen""; ""lowcolor"", ""red""}), """")"),"")</f>
        <v/>
      </c>
      <c r="B78" s="17" t="str">
        <f t="shared" si="4"/>
        <v/>
      </c>
      <c r="C78" s="1" t="s">
        <v>385</v>
      </c>
      <c r="D78" s="34" t="str">
        <f>IFERROR(__xludf.DUMMYFUNCTION("IFERROR(GOOGLEFINANCE(C78, ""NAME""))"),"Voya Financial Inc")</f>
        <v>Voya Financial Inc</v>
      </c>
      <c r="E78" s="30" t="s">
        <v>97</v>
      </c>
      <c r="F78" s="33" t="str">
        <f>IFERROR(__xludf.DUMMYFUNCTION("( (GOOGLEFINANCE(C78, ""price"") - Q78) / Q78 ) / (R78 / 100)"),"Loading...")</f>
        <v>Loading...</v>
      </c>
      <c r="G78" s="20" t="str">
        <f>IFERROR(__xludf.DUMMYFUNCTION("AVERAGE(ARRAYFORMULA(100 * (QUERY(GOOGLEFINANCE(C78, ""high"", TODAY()-40, TODAY()), ""SELECT Col2 WHERE Col2 IS NOT NULL ORDER BY Col1 DESC LIMIT 20"", 0) / QUERY(GOOGLEFINANCE(C78, ""low"", TODAY()-40, TODAY()), ""SELECT Col2 WHERE Col2 IS NOT NULL ORDE"&amp;"R BY Col1 DESC LIMIT 20"", 0) - 1)))"),"#N/A")</f>
        <v>#N/A</v>
      </c>
      <c r="H78" s="35" t="str">
        <f t="shared" si="6"/>
        <v/>
      </c>
      <c r="I78" s="36" t="str">
        <f t="shared" si="7"/>
        <v/>
      </c>
      <c r="J78" s="37" t="str">
        <f>IFERROR(__xludf.DUMMYFUNCTION("IFERROR(
  IF(C78="""",, 
    IFERROR(
      GOOGLEFINANCE(C78, ""price"") * GOOGLEFINANCE(C78, ""volumeavg""), 
      GOOGLEFINANCE(C78, ""price"") * AVERAGE(QUERY(GOOGLEFINANCE(C78, ""volume"", TODAY()-40, TODAY()), ""SELECT Col2 WHERE Col2 IS NOT NULL "&amp;"ORDER BY Col1 DESC LIMIT 20"", 0))
    )
  ), 
"""")"),"")</f>
        <v/>
      </c>
      <c r="K78" s="21" t="str">
        <f>IFERROR(__xludf.DUMMYFUNCTION("IFERROR(GOOGLEFINANCE(C78, ""changepct"") / 100, """")"),"")</f>
        <v/>
      </c>
      <c r="L78" s="21" t="str">
        <f>IFERROR(__xludf.DUMMYFUNCTION("IFERROR((GOOGLEFINANCE(C78, ""price"") / INDEX(GOOGLEFINANCE(C78, ""price"", TODAY()-7, TODAY()), 2, 2)) - 1, """")"),"")</f>
        <v/>
      </c>
      <c r="M78" s="21" t="str">
        <f>IFERROR(__xludf.DUMMYFUNCTION("IFERROR((GOOGLEFINANCE(C78, ""price"") / INDEX(GOOGLEFINANCE(C78, ""price"", EDATE(TODAY(), -1), TODAY()), 2, 2)) - 1, """")"),"")</f>
        <v/>
      </c>
      <c r="N78" s="21" t="str">
        <f>IFERROR(__xludf.DUMMYFUNCTION("IFERROR((GOOGLEFINANCE(C78, ""price"") / INDEX(GOOGLEFINANCE(C78, ""price"", EDATE(TODAY(), -3), TODAY()), 2, 2)) - 1, """")"),"")</f>
        <v/>
      </c>
      <c r="O78" s="21" t="str">
        <f>IFERROR(__xludf.DUMMYFUNCTION("IFERROR((GOOGLEFINANCE(C78, ""price"") / INDEX(GOOGLEFINANCE(C78, ""price"", EDATE(TODAY(), -6), TODAY()), 2, 2)) - 1, """")"),"")</f>
        <v/>
      </c>
      <c r="P78" s="21" t="str">
        <f>IFERROR(__xludf.DUMMYFUNCTION("IFERROR((GOOGLEFINANCE(C78, ""price"") / INDEX(GOOGLEFINANCE(C78, ""price"", EDATE(TODAY(), -12), TODAY()), 2, 2)) - 1, """")"),"")</f>
        <v/>
      </c>
      <c r="Q78" s="6" t="str">
        <f>IFERROR(__xludf.DUMMYFUNCTION("AVERAGE(QUERY(GOOGLEFINANCE(C78, ""price"", TODAY()-80, TODAY()), ""SELECT Col2 WHERE Col2 IS NOT NULL ORDER BY Col1 DESC LIMIT 50"", 0))"),"#N/A")</f>
        <v>#N/A</v>
      </c>
      <c r="R78" s="24" t="str">
        <f>IFERROR(__xludf.DUMMYFUNCTION("IFERROR(
  LET(
    data, QUERY(GOOGLEFINANCE(C78,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GOOGLEFINANCE(C78, ""price"")) * 100,
    IF(calc=0, G78, calc)
  ), 
G78)"),"#N/A")</f>
        <v>#N/A</v>
      </c>
      <c r="S78" s="8" t="s">
        <v>15</v>
      </c>
      <c r="T78" s="26" t="str">
        <f>IFERROR(__xludf.DUMMYFUNCTION("IFERROR(TRANSPOSE(QUERY(IFERROR(SORT(GOOGLEFINANCE(C78, ""price"", WORKDAY(TODAY(), -40), TODAY()), 1, FALSE)), ""select Col2 where Col2 is not null limit 22 label Col2 ''"", 0)), """")"),"")</f>
        <v/>
      </c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8"/>
      <c r="AO78" s="28"/>
      <c r="AP78" s="29"/>
      <c r="AQ78" s="29" t="str">
        <f t="shared" ref="AQ78:BL78" si="81">T78/T$2</f>
        <v>#N/A</v>
      </c>
      <c r="AR78" s="29" t="str">
        <f t="shared" si="81"/>
        <v>#DIV/0!</v>
      </c>
      <c r="AS78" s="29" t="str">
        <f t="shared" si="81"/>
        <v>#DIV/0!</v>
      </c>
      <c r="AT78" s="29" t="str">
        <f t="shared" si="81"/>
        <v>#DIV/0!</v>
      </c>
      <c r="AU78" s="29" t="str">
        <f t="shared" si="81"/>
        <v>#DIV/0!</v>
      </c>
      <c r="AV78" s="29" t="str">
        <f t="shared" si="81"/>
        <v>#DIV/0!</v>
      </c>
      <c r="AW78" s="29" t="str">
        <f t="shared" si="81"/>
        <v>#DIV/0!</v>
      </c>
      <c r="AX78" s="29" t="str">
        <f t="shared" si="81"/>
        <v>#DIV/0!</v>
      </c>
      <c r="AY78" s="29" t="str">
        <f t="shared" si="81"/>
        <v>#DIV/0!</v>
      </c>
      <c r="AZ78" s="29" t="str">
        <f t="shared" si="81"/>
        <v>#DIV/0!</v>
      </c>
      <c r="BA78" s="29" t="str">
        <f t="shared" si="81"/>
        <v>#DIV/0!</v>
      </c>
      <c r="BB78" s="29" t="str">
        <f t="shared" si="81"/>
        <v>#DIV/0!</v>
      </c>
      <c r="BC78" s="29" t="str">
        <f t="shared" si="81"/>
        <v>#DIV/0!</v>
      </c>
      <c r="BD78" s="29" t="str">
        <f t="shared" si="81"/>
        <v>#DIV/0!</v>
      </c>
      <c r="BE78" s="29" t="str">
        <f t="shared" si="81"/>
        <v>#DIV/0!</v>
      </c>
      <c r="BF78" s="29" t="str">
        <f t="shared" si="81"/>
        <v>#DIV/0!</v>
      </c>
      <c r="BG78" s="29" t="str">
        <f t="shared" si="81"/>
        <v>#DIV/0!</v>
      </c>
      <c r="BH78" s="29" t="str">
        <f t="shared" si="81"/>
        <v>#DIV/0!</v>
      </c>
      <c r="BI78" s="29" t="str">
        <f t="shared" si="81"/>
        <v>#DIV/0!</v>
      </c>
      <c r="BJ78" s="29" t="str">
        <f t="shared" si="81"/>
        <v>#DIV/0!</v>
      </c>
      <c r="BK78" s="29" t="str">
        <f t="shared" si="81"/>
        <v>#DIV/0!</v>
      </c>
      <c r="BL78" s="29" t="str">
        <f t="shared" si="81"/>
        <v>#DIV/0!</v>
      </c>
      <c r="BM78" s="29" t="str">
        <f t="shared" si="3"/>
        <v>#DIV/0!</v>
      </c>
    </row>
    <row r="79">
      <c r="A79" s="16" t="str">
        <f>IFERROR(__xludf.DUMMYFUNCTION("IFERROR(SPARKLINE(SORT(MAP(TRANSPOSE(AQ79:BL79), LAMBDA(val, IF(ISNUMBER(val), PERCENTRANK(AQ79:BL79, val)+0.01, 0))), SEQUENCE(COLUMNS(AQ79:BL79)), FALSE), {""charttype"",""column""; ""color"",""chartreuse""; ""ymin"", 0; ""ymax"", 1.01; ""highcolor"", "&amp;"""darkgreen""; ""lowcolor"", ""red""}), """")"),"")</f>
        <v/>
      </c>
      <c r="B79" s="17" t="str">
        <f t="shared" si="4"/>
        <v/>
      </c>
      <c r="C79" s="1" t="s">
        <v>390</v>
      </c>
      <c r="D79" s="34" t="str">
        <f>IFERROR(__xludf.DUMMYFUNCTION("IFERROR(GOOGLEFINANCE(C79, ""NAME""))"),"Peapack-Gladstone Financial Corporation Common Stock")</f>
        <v>Peapack-Gladstone Financial Corporation Common Stock</v>
      </c>
      <c r="E79" s="30" t="s">
        <v>268</v>
      </c>
      <c r="F79" s="33" t="str">
        <f>IFERROR(__xludf.DUMMYFUNCTION("( (GOOGLEFINANCE(C79, ""price"") - Q79) / Q79 ) / (R79 / 100)"),"Loading...")</f>
        <v>Loading...</v>
      </c>
      <c r="G79" s="20" t="str">
        <f>IFERROR(__xludf.DUMMYFUNCTION("AVERAGE(ARRAYFORMULA(100 * (QUERY(GOOGLEFINANCE(C79, ""high"", TODAY()-40, TODAY()), ""SELECT Col2 WHERE Col2 IS NOT NULL ORDER BY Col1 DESC LIMIT 20"", 0) / QUERY(GOOGLEFINANCE(C79, ""low"", TODAY()-40, TODAY()), ""SELECT Col2 WHERE Col2 IS NOT NULL ORDE"&amp;"R BY Col1 DESC LIMIT 20"", 0) - 1)))"),"#N/A")</f>
        <v>#N/A</v>
      </c>
      <c r="H79" s="35" t="str">
        <f t="shared" si="6"/>
        <v/>
      </c>
      <c r="I79" s="36" t="str">
        <f t="shared" si="7"/>
        <v/>
      </c>
      <c r="J79" s="37" t="str">
        <f>IFERROR(__xludf.DUMMYFUNCTION("IFERROR(
  IF(C79="""",, 
    IFERROR(
      GOOGLEFINANCE(C79, ""price"") * GOOGLEFINANCE(C79, ""volumeavg""), 
      GOOGLEFINANCE(C79, ""price"") * AVERAGE(QUERY(GOOGLEFINANCE(C79, ""volume"", TODAY()-40, TODAY()), ""SELECT Col2 WHERE Col2 IS NOT NULL "&amp;"ORDER BY Col1 DESC LIMIT 20"", 0))
    )
  ), 
"""")"),"")</f>
        <v/>
      </c>
      <c r="K79" s="21" t="str">
        <f>IFERROR(__xludf.DUMMYFUNCTION("IFERROR(GOOGLEFINANCE(C79, ""changepct"") / 100, """")"),"")</f>
        <v/>
      </c>
      <c r="L79" s="21" t="str">
        <f>IFERROR(__xludf.DUMMYFUNCTION("IFERROR((GOOGLEFINANCE(C79, ""price"") / INDEX(GOOGLEFINANCE(C79, ""price"", TODAY()-7, TODAY()), 2, 2)) - 1, """")"),"")</f>
        <v/>
      </c>
      <c r="M79" s="21" t="str">
        <f>IFERROR(__xludf.DUMMYFUNCTION("IFERROR((GOOGLEFINANCE(C79, ""price"") / INDEX(GOOGLEFINANCE(C79, ""price"", EDATE(TODAY(), -1), TODAY()), 2, 2)) - 1, """")"),"")</f>
        <v/>
      </c>
      <c r="N79" s="21" t="str">
        <f>IFERROR(__xludf.DUMMYFUNCTION("IFERROR((GOOGLEFINANCE(C79, ""price"") / INDEX(GOOGLEFINANCE(C79, ""price"", EDATE(TODAY(), -3), TODAY()), 2, 2)) - 1, """")"),"")</f>
        <v/>
      </c>
      <c r="O79" s="21" t="str">
        <f>IFERROR(__xludf.DUMMYFUNCTION("IFERROR((GOOGLEFINANCE(C79, ""price"") / INDEX(GOOGLEFINANCE(C79, ""price"", EDATE(TODAY(), -6), TODAY()), 2, 2)) - 1, """")"),"")</f>
        <v/>
      </c>
      <c r="P79" s="21" t="str">
        <f>IFERROR(__xludf.DUMMYFUNCTION("IFERROR((GOOGLEFINANCE(C79, ""price"") / INDEX(GOOGLEFINANCE(C79, ""price"", EDATE(TODAY(), -12), TODAY()), 2, 2)) - 1, """")"),"")</f>
        <v/>
      </c>
      <c r="Q79" s="6" t="str">
        <f>IFERROR(__xludf.DUMMYFUNCTION("AVERAGE(QUERY(GOOGLEFINANCE(C79, ""price"", TODAY()-80, TODAY()), ""SELECT Col2 WHERE Col2 IS NOT NULL ORDER BY Col1 DESC LIMIT 50"", 0))"),"#N/A")</f>
        <v>#N/A</v>
      </c>
      <c r="R79" s="24" t="str">
        <f>IFERROR(__xludf.DUMMYFUNCTION("IFERROR(
  LET(
    data, QUERY(GOOGLEFINANCE(C79,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GOOGLEFINANCE(C79, ""price"")) * 100,
    IF(calc=0, G79, calc)
  ), 
G79)"),"#N/A")</f>
        <v>#N/A</v>
      </c>
      <c r="S79" s="8" t="s">
        <v>15</v>
      </c>
      <c r="T79" s="26" t="str">
        <f>IFERROR(__xludf.DUMMYFUNCTION("IFERROR(TRANSPOSE(QUERY(IFERROR(SORT(GOOGLEFINANCE(C79, ""price"", WORKDAY(TODAY(), -40), TODAY()), 1, FALSE)), ""select Col2 where Col2 is not null limit 22 label Col2 ''"", 0)), """")"),"")</f>
        <v/>
      </c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8"/>
      <c r="AO79" s="28"/>
      <c r="AP79" s="29"/>
      <c r="AQ79" s="29" t="str">
        <f t="shared" ref="AQ79:BL79" si="82">T79/T$2</f>
        <v>#N/A</v>
      </c>
      <c r="AR79" s="29" t="str">
        <f t="shared" si="82"/>
        <v>#DIV/0!</v>
      </c>
      <c r="AS79" s="29" t="str">
        <f t="shared" si="82"/>
        <v>#DIV/0!</v>
      </c>
      <c r="AT79" s="29" t="str">
        <f t="shared" si="82"/>
        <v>#DIV/0!</v>
      </c>
      <c r="AU79" s="29" t="str">
        <f t="shared" si="82"/>
        <v>#DIV/0!</v>
      </c>
      <c r="AV79" s="29" t="str">
        <f t="shared" si="82"/>
        <v>#DIV/0!</v>
      </c>
      <c r="AW79" s="29" t="str">
        <f t="shared" si="82"/>
        <v>#DIV/0!</v>
      </c>
      <c r="AX79" s="29" t="str">
        <f t="shared" si="82"/>
        <v>#DIV/0!</v>
      </c>
      <c r="AY79" s="29" t="str">
        <f t="shared" si="82"/>
        <v>#DIV/0!</v>
      </c>
      <c r="AZ79" s="29" t="str">
        <f t="shared" si="82"/>
        <v>#DIV/0!</v>
      </c>
      <c r="BA79" s="29" t="str">
        <f t="shared" si="82"/>
        <v>#DIV/0!</v>
      </c>
      <c r="BB79" s="29" t="str">
        <f t="shared" si="82"/>
        <v>#DIV/0!</v>
      </c>
      <c r="BC79" s="29" t="str">
        <f t="shared" si="82"/>
        <v>#DIV/0!</v>
      </c>
      <c r="BD79" s="29" t="str">
        <f t="shared" si="82"/>
        <v>#DIV/0!</v>
      </c>
      <c r="BE79" s="29" t="str">
        <f t="shared" si="82"/>
        <v>#DIV/0!</v>
      </c>
      <c r="BF79" s="29" t="str">
        <f t="shared" si="82"/>
        <v>#DIV/0!</v>
      </c>
      <c r="BG79" s="29" t="str">
        <f t="shared" si="82"/>
        <v>#DIV/0!</v>
      </c>
      <c r="BH79" s="29" t="str">
        <f t="shared" si="82"/>
        <v>#DIV/0!</v>
      </c>
      <c r="BI79" s="29" t="str">
        <f t="shared" si="82"/>
        <v>#DIV/0!</v>
      </c>
      <c r="BJ79" s="29" t="str">
        <f t="shared" si="82"/>
        <v>#DIV/0!</v>
      </c>
      <c r="BK79" s="29" t="str">
        <f t="shared" si="82"/>
        <v>#DIV/0!</v>
      </c>
      <c r="BL79" s="29" t="str">
        <f t="shared" si="82"/>
        <v>#DIV/0!</v>
      </c>
      <c r="BM79" s="29" t="str">
        <f t="shared" si="3"/>
        <v>#DIV/0!</v>
      </c>
    </row>
    <row r="80">
      <c r="A80" s="16" t="str">
        <f>IFERROR(__xludf.DUMMYFUNCTION("IFERROR(SPARKLINE(SORT(MAP(TRANSPOSE(AQ80:BL80), LAMBDA(val, IF(ISNUMBER(val), PERCENTRANK(AQ80:BL80, val)+0.01, 0))), SEQUENCE(COLUMNS(AQ80:BL80)), FALSE), {""charttype"",""column""; ""color"",""chartreuse""; ""ymin"", 0; ""ymax"", 1.01; ""highcolor"", "&amp;"""darkgreen""; ""lowcolor"", ""red""}), """")"),"")</f>
        <v/>
      </c>
      <c r="B80" s="17" t="str">
        <f t="shared" si="4"/>
        <v/>
      </c>
      <c r="C80" s="1" t="s">
        <v>394</v>
      </c>
      <c r="D80" s="34" t="str">
        <f>IFERROR(__xludf.DUMMYFUNCTION("IFERROR(GOOGLEFINANCE(C80, ""NAME""))"),"Visa Inc")</f>
        <v>Visa Inc</v>
      </c>
      <c r="E80" s="30" t="s">
        <v>145</v>
      </c>
      <c r="F80" s="33" t="str">
        <f>IFERROR(__xludf.DUMMYFUNCTION("( (GOOGLEFINANCE(C80, ""price"") - Q80) / Q80 ) / (R80 / 100)"),"Loading...")</f>
        <v>Loading...</v>
      </c>
      <c r="G80" s="20" t="str">
        <f>IFERROR(__xludf.DUMMYFUNCTION("AVERAGE(ARRAYFORMULA(100 * (QUERY(GOOGLEFINANCE(C80, ""high"", TODAY()-40, TODAY()), ""SELECT Col2 WHERE Col2 IS NOT NULL ORDER BY Col1 DESC LIMIT 20"", 0) / QUERY(GOOGLEFINANCE(C80, ""low"", TODAY()-40, TODAY()), ""SELECT Col2 WHERE Col2 IS NOT NULL ORDE"&amp;"R BY Col1 DESC LIMIT 20"", 0) - 1)))"),"#N/A")</f>
        <v>#N/A</v>
      </c>
      <c r="H80" s="35" t="str">
        <f t="shared" si="6"/>
        <v/>
      </c>
      <c r="I80" s="36" t="str">
        <f t="shared" si="7"/>
        <v/>
      </c>
      <c r="J80" s="37" t="str">
        <f>IFERROR(__xludf.DUMMYFUNCTION("IFERROR(
  IF(C80="""",, 
    IFERROR(
      GOOGLEFINANCE(C80, ""price"") * GOOGLEFINANCE(C80, ""volumeavg""), 
      GOOGLEFINANCE(C80, ""price"") * AVERAGE(QUERY(GOOGLEFINANCE(C80, ""volume"", TODAY()-40, TODAY()), ""SELECT Col2 WHERE Col2 IS NOT NULL "&amp;"ORDER BY Col1 DESC LIMIT 20"", 0))
    )
  ), 
"""")"),"")</f>
        <v/>
      </c>
      <c r="K80" s="21" t="str">
        <f>IFERROR(__xludf.DUMMYFUNCTION("IFERROR(GOOGLEFINANCE(C80, ""changepct"") / 100, """")"),"")</f>
        <v/>
      </c>
      <c r="L80" s="21" t="str">
        <f>IFERROR(__xludf.DUMMYFUNCTION("IFERROR((GOOGLEFINANCE(C80, ""price"") / INDEX(GOOGLEFINANCE(C80, ""price"", TODAY()-7, TODAY()), 2, 2)) - 1, """")"),"")</f>
        <v/>
      </c>
      <c r="M80" s="21" t="str">
        <f>IFERROR(__xludf.DUMMYFUNCTION("IFERROR((GOOGLEFINANCE(C80, ""price"") / INDEX(GOOGLEFINANCE(C80, ""price"", EDATE(TODAY(), -1), TODAY()), 2, 2)) - 1, """")"),"")</f>
        <v/>
      </c>
      <c r="N80" s="21" t="str">
        <f>IFERROR(__xludf.DUMMYFUNCTION("IFERROR((GOOGLEFINANCE(C80, ""price"") / INDEX(GOOGLEFINANCE(C80, ""price"", EDATE(TODAY(), -3), TODAY()), 2, 2)) - 1, """")"),"")</f>
        <v/>
      </c>
      <c r="O80" s="21" t="str">
        <f>IFERROR(__xludf.DUMMYFUNCTION("IFERROR((GOOGLEFINANCE(C80, ""price"") / INDEX(GOOGLEFINANCE(C80, ""price"", EDATE(TODAY(), -6), TODAY()), 2, 2)) - 1, """")"),"")</f>
        <v/>
      </c>
      <c r="P80" s="21" t="str">
        <f>IFERROR(__xludf.DUMMYFUNCTION("IFERROR((GOOGLEFINANCE(C80, ""price"") / INDEX(GOOGLEFINANCE(C80, ""price"", EDATE(TODAY(), -12), TODAY()), 2, 2)) - 1, """")"),"")</f>
        <v/>
      </c>
      <c r="Q80" s="6" t="str">
        <f>IFERROR(__xludf.DUMMYFUNCTION("AVERAGE(QUERY(GOOGLEFINANCE(C80, ""price"", TODAY()-80, TODAY()), ""SELECT Col2 WHERE Col2 IS NOT NULL ORDER BY Col1 DESC LIMIT 50"", 0))"),"#N/A")</f>
        <v>#N/A</v>
      </c>
      <c r="R80" s="24" t="str">
        <f>IFERROR(__xludf.DUMMYFUNCTION("IFERROR(
  LET(
    data, QUERY(GOOGLEFINANCE(C80,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GOOGLEFINANCE(C80, ""price"")) * 100,
    IF(calc=0, G80, calc)
  ), 
G80)"),"#N/A")</f>
        <v>#N/A</v>
      </c>
      <c r="S80" s="8" t="s">
        <v>15</v>
      </c>
      <c r="T80" s="26" t="str">
        <f>IFERROR(__xludf.DUMMYFUNCTION("IFERROR(TRANSPOSE(QUERY(IFERROR(SORT(GOOGLEFINANCE(C80, ""price"", WORKDAY(TODAY(), -40), TODAY()), 1, FALSE)), ""select Col2 where Col2 is not null limit 22 label Col2 ''"", 0)), """")"),"")</f>
        <v/>
      </c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8"/>
      <c r="AO80" s="28"/>
      <c r="AP80" s="29"/>
      <c r="AQ80" s="29" t="str">
        <f t="shared" ref="AQ80:BL80" si="83">T80/T$2</f>
        <v>#N/A</v>
      </c>
      <c r="AR80" s="29" t="str">
        <f t="shared" si="83"/>
        <v>#DIV/0!</v>
      </c>
      <c r="AS80" s="29" t="str">
        <f t="shared" si="83"/>
        <v>#DIV/0!</v>
      </c>
      <c r="AT80" s="29" t="str">
        <f t="shared" si="83"/>
        <v>#DIV/0!</v>
      </c>
      <c r="AU80" s="29" t="str">
        <f t="shared" si="83"/>
        <v>#DIV/0!</v>
      </c>
      <c r="AV80" s="29" t="str">
        <f t="shared" si="83"/>
        <v>#DIV/0!</v>
      </c>
      <c r="AW80" s="29" t="str">
        <f t="shared" si="83"/>
        <v>#DIV/0!</v>
      </c>
      <c r="AX80" s="29" t="str">
        <f t="shared" si="83"/>
        <v>#DIV/0!</v>
      </c>
      <c r="AY80" s="29" t="str">
        <f t="shared" si="83"/>
        <v>#DIV/0!</v>
      </c>
      <c r="AZ80" s="29" t="str">
        <f t="shared" si="83"/>
        <v>#DIV/0!</v>
      </c>
      <c r="BA80" s="29" t="str">
        <f t="shared" si="83"/>
        <v>#DIV/0!</v>
      </c>
      <c r="BB80" s="29" t="str">
        <f t="shared" si="83"/>
        <v>#DIV/0!</v>
      </c>
      <c r="BC80" s="29" t="str">
        <f t="shared" si="83"/>
        <v>#DIV/0!</v>
      </c>
      <c r="BD80" s="29" t="str">
        <f t="shared" si="83"/>
        <v>#DIV/0!</v>
      </c>
      <c r="BE80" s="29" t="str">
        <f t="shared" si="83"/>
        <v>#DIV/0!</v>
      </c>
      <c r="BF80" s="29" t="str">
        <f t="shared" si="83"/>
        <v>#DIV/0!</v>
      </c>
      <c r="BG80" s="29" t="str">
        <f t="shared" si="83"/>
        <v>#DIV/0!</v>
      </c>
      <c r="BH80" s="29" t="str">
        <f t="shared" si="83"/>
        <v>#DIV/0!</v>
      </c>
      <c r="BI80" s="29" t="str">
        <f t="shared" si="83"/>
        <v>#DIV/0!</v>
      </c>
      <c r="BJ80" s="29" t="str">
        <f t="shared" si="83"/>
        <v>#DIV/0!</v>
      </c>
      <c r="BK80" s="29" t="str">
        <f t="shared" si="83"/>
        <v>#DIV/0!</v>
      </c>
      <c r="BL80" s="29" t="str">
        <f t="shared" si="83"/>
        <v>#DIV/0!</v>
      </c>
      <c r="BM80" s="29" t="str">
        <f t="shared" si="3"/>
        <v>#DIV/0!</v>
      </c>
    </row>
    <row r="81">
      <c r="A81" s="16" t="str">
        <f>IFERROR(__xludf.DUMMYFUNCTION("IFERROR(SPARKLINE(SORT(MAP(TRANSPOSE(AQ81:BL81), LAMBDA(val, IF(ISNUMBER(val), PERCENTRANK(AQ81:BL81, val)+0.01, 0))), SEQUENCE(COLUMNS(AQ81:BL81)), FALSE), {""charttype"",""column""; ""color"",""chartreuse""; ""ymin"", 0; ""ymax"", 1.01; ""highcolor"", "&amp;"""darkgreen""; ""lowcolor"", ""red""}), """")"),"")</f>
        <v/>
      </c>
      <c r="B81" s="17" t="str">
        <f t="shared" si="4"/>
        <v/>
      </c>
      <c r="C81" s="1" t="s">
        <v>398</v>
      </c>
      <c r="D81" s="34" t="str">
        <f>IFERROR(__xludf.DUMMYFUNCTION("IFERROR(GOOGLEFINANCE(C81, ""NAME""))"),"Cal Redwood Acquisition Corp")</f>
        <v>Cal Redwood Acquisition Corp</v>
      </c>
      <c r="E81" s="30" t="s">
        <v>161</v>
      </c>
      <c r="F81" s="33" t="str">
        <f>IFERROR(__xludf.DUMMYFUNCTION("( (GOOGLEFINANCE(C81, ""price"") - Q81) / Q81 ) / (R81 / 100)"),"Loading...")</f>
        <v>Loading...</v>
      </c>
      <c r="G81" s="20" t="str">
        <f>IFERROR(__xludf.DUMMYFUNCTION("AVERAGE(ARRAYFORMULA(100 * (QUERY(GOOGLEFINANCE(C81, ""high"", TODAY()-40, TODAY()), ""SELECT Col2 WHERE Col2 IS NOT NULL ORDER BY Col1 DESC LIMIT 20"", 0) / QUERY(GOOGLEFINANCE(C81, ""low"", TODAY()-40, TODAY()), ""SELECT Col2 WHERE Col2 IS NOT NULL ORDE"&amp;"R BY Col1 DESC LIMIT 20"", 0) - 1)))"),"#N/A")</f>
        <v>#N/A</v>
      </c>
      <c r="H81" s="35" t="str">
        <f t="shared" si="6"/>
        <v/>
      </c>
      <c r="I81" s="36" t="str">
        <f t="shared" si="7"/>
        <v/>
      </c>
      <c r="J81" s="37" t="str">
        <f>IFERROR(__xludf.DUMMYFUNCTION("IFERROR(
  IF(C81="""",, 
    IFERROR(
      GOOGLEFINANCE(C81, ""price"") * GOOGLEFINANCE(C81, ""volumeavg""), 
      GOOGLEFINANCE(C81, ""price"") * AVERAGE(QUERY(GOOGLEFINANCE(C81, ""volume"", TODAY()-40, TODAY()), ""SELECT Col2 WHERE Col2 IS NOT NULL "&amp;"ORDER BY Col1 DESC LIMIT 20"", 0))
    )
  ), 
"""")"),"")</f>
        <v/>
      </c>
      <c r="K81" s="21" t="str">
        <f>IFERROR(__xludf.DUMMYFUNCTION("IFERROR(GOOGLEFINANCE(C81, ""changepct"") / 100, """")"),"")</f>
        <v/>
      </c>
      <c r="L81" s="21" t="str">
        <f>IFERROR(__xludf.DUMMYFUNCTION("IFERROR((GOOGLEFINANCE(C81, ""price"") / INDEX(GOOGLEFINANCE(C81, ""price"", TODAY()-7, TODAY()), 2, 2)) - 1, """")"),"")</f>
        <v/>
      </c>
      <c r="M81" s="21" t="str">
        <f>IFERROR(__xludf.DUMMYFUNCTION("IFERROR((GOOGLEFINANCE(C81, ""price"") / INDEX(GOOGLEFINANCE(C81, ""price"", EDATE(TODAY(), -1), TODAY()), 2, 2)) - 1, """")"),"")</f>
        <v/>
      </c>
      <c r="N81" s="21" t="str">
        <f>IFERROR(__xludf.DUMMYFUNCTION("IFERROR((GOOGLEFINANCE(C81, ""price"") / INDEX(GOOGLEFINANCE(C81, ""price"", EDATE(TODAY(), -3), TODAY()), 2, 2)) - 1, """")"),"")</f>
        <v/>
      </c>
      <c r="O81" s="21" t="str">
        <f>IFERROR(__xludf.DUMMYFUNCTION("IFERROR((GOOGLEFINANCE(C81, ""price"") / INDEX(GOOGLEFINANCE(C81, ""price"", EDATE(TODAY(), -6), TODAY()), 2, 2)) - 1, """")"),"")</f>
        <v/>
      </c>
      <c r="P81" s="21" t="str">
        <f>IFERROR(__xludf.DUMMYFUNCTION("IFERROR((GOOGLEFINANCE(C81, ""price"") / INDEX(GOOGLEFINANCE(C81, ""price"", EDATE(TODAY(), -12), TODAY()), 2, 2)) - 1, """")"),"")</f>
        <v/>
      </c>
      <c r="Q81" s="6" t="str">
        <f>IFERROR(__xludf.DUMMYFUNCTION("AVERAGE(QUERY(GOOGLEFINANCE(C81, ""price"", TODAY()-80, TODAY()), ""SELECT Col2 WHERE Col2 IS NOT NULL ORDER BY Col1 DESC LIMIT 50"", 0))"),"#N/A")</f>
        <v>#N/A</v>
      </c>
      <c r="R81" s="24" t="str">
        <f>IFERROR(__xludf.DUMMYFUNCTION("IFERROR(
  LET(
    data, QUERY(GOOGLEFINANCE(C81,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GOOGLEFINANCE(C81, ""price"")) * 100,
    IF(calc=0, G81, calc)
  ), 
G81)"),"#N/A")</f>
        <v>#N/A</v>
      </c>
      <c r="S81" s="8" t="s">
        <v>15</v>
      </c>
      <c r="T81" s="26" t="str">
        <f>IFERROR(__xludf.DUMMYFUNCTION("IFERROR(TRANSPOSE(QUERY(IFERROR(SORT(GOOGLEFINANCE(C81, ""price"", WORKDAY(TODAY(), -40), TODAY()), 1, FALSE)), ""select Col2 where Col2 is not null limit 22 label Col2 ''"", 0)), """")"),"")</f>
        <v/>
      </c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8"/>
      <c r="AO81" s="28"/>
      <c r="AP81" s="29"/>
      <c r="AQ81" s="29" t="str">
        <f t="shared" ref="AQ81:BL81" si="84">T81/T$2</f>
        <v>#N/A</v>
      </c>
      <c r="AR81" s="29" t="str">
        <f t="shared" si="84"/>
        <v>#DIV/0!</v>
      </c>
      <c r="AS81" s="29" t="str">
        <f t="shared" si="84"/>
        <v>#DIV/0!</v>
      </c>
      <c r="AT81" s="29" t="str">
        <f t="shared" si="84"/>
        <v>#DIV/0!</v>
      </c>
      <c r="AU81" s="29" t="str">
        <f t="shared" si="84"/>
        <v>#DIV/0!</v>
      </c>
      <c r="AV81" s="29" t="str">
        <f t="shared" si="84"/>
        <v>#DIV/0!</v>
      </c>
      <c r="AW81" s="29" t="str">
        <f t="shared" si="84"/>
        <v>#DIV/0!</v>
      </c>
      <c r="AX81" s="29" t="str">
        <f t="shared" si="84"/>
        <v>#DIV/0!</v>
      </c>
      <c r="AY81" s="29" t="str">
        <f t="shared" si="84"/>
        <v>#DIV/0!</v>
      </c>
      <c r="AZ81" s="29" t="str">
        <f t="shared" si="84"/>
        <v>#DIV/0!</v>
      </c>
      <c r="BA81" s="29" t="str">
        <f t="shared" si="84"/>
        <v>#DIV/0!</v>
      </c>
      <c r="BB81" s="29" t="str">
        <f t="shared" si="84"/>
        <v>#DIV/0!</v>
      </c>
      <c r="BC81" s="29" t="str">
        <f t="shared" si="84"/>
        <v>#DIV/0!</v>
      </c>
      <c r="BD81" s="29" t="str">
        <f t="shared" si="84"/>
        <v>#DIV/0!</v>
      </c>
      <c r="BE81" s="29" t="str">
        <f t="shared" si="84"/>
        <v>#DIV/0!</v>
      </c>
      <c r="BF81" s="29" t="str">
        <f t="shared" si="84"/>
        <v>#DIV/0!</v>
      </c>
      <c r="BG81" s="29" t="str">
        <f t="shared" si="84"/>
        <v>#DIV/0!</v>
      </c>
      <c r="BH81" s="29" t="str">
        <f t="shared" si="84"/>
        <v>#DIV/0!</v>
      </c>
      <c r="BI81" s="29" t="str">
        <f t="shared" si="84"/>
        <v>#DIV/0!</v>
      </c>
      <c r="BJ81" s="29" t="str">
        <f t="shared" si="84"/>
        <v>#DIV/0!</v>
      </c>
      <c r="BK81" s="29" t="str">
        <f t="shared" si="84"/>
        <v>#DIV/0!</v>
      </c>
      <c r="BL81" s="29" t="str">
        <f t="shared" si="84"/>
        <v>#DIV/0!</v>
      </c>
      <c r="BM81" s="29" t="str">
        <f t="shared" si="3"/>
        <v>#DIV/0!</v>
      </c>
    </row>
    <row r="82">
      <c r="A82" s="16" t="str">
        <f>IFERROR(__xludf.DUMMYFUNCTION("IFERROR(SPARKLINE(SORT(MAP(TRANSPOSE(AQ82:BL82), LAMBDA(val, IF(ISNUMBER(val), PERCENTRANK(AQ82:BL82, val)+0.01, 0))), SEQUENCE(COLUMNS(AQ82:BL82)), FALSE), {""charttype"",""column""; ""color"",""chartreuse""; ""ymin"", 0; ""ymax"", 1.01; ""highcolor"", "&amp;"""darkgreen""; ""lowcolor"", ""red""}), """")"),"")</f>
        <v/>
      </c>
      <c r="B82" s="17" t="str">
        <f t="shared" si="4"/>
        <v/>
      </c>
      <c r="C82" s="1" t="s">
        <v>406</v>
      </c>
      <c r="D82" s="34" t="str">
        <f>IFERROR(__xludf.DUMMYFUNCTION("IFERROR(GOOGLEFINANCE(C82, ""NAME""))"),"Universal Insurance Holdings Inc")</f>
        <v>Universal Insurance Holdings Inc</v>
      </c>
      <c r="E82" s="30" t="s">
        <v>82</v>
      </c>
      <c r="F82" s="33" t="str">
        <f>IFERROR(__xludf.DUMMYFUNCTION("( (GOOGLEFINANCE(C82, ""price"") - Q82) / Q82 ) / (R82 / 100)"),"Loading...")</f>
        <v>Loading...</v>
      </c>
      <c r="G82" s="20" t="str">
        <f>IFERROR(__xludf.DUMMYFUNCTION("AVERAGE(ARRAYFORMULA(100 * (QUERY(GOOGLEFINANCE(C82, ""high"", TODAY()-40, TODAY()), ""SELECT Col2 WHERE Col2 IS NOT NULL ORDER BY Col1 DESC LIMIT 20"", 0) / QUERY(GOOGLEFINANCE(C82, ""low"", TODAY()-40, TODAY()), ""SELECT Col2 WHERE Col2 IS NOT NULL ORDE"&amp;"R BY Col1 DESC LIMIT 20"", 0) - 1)))"),"#N/A")</f>
        <v>#N/A</v>
      </c>
      <c r="H82" s="35" t="str">
        <f t="shared" si="6"/>
        <v/>
      </c>
      <c r="I82" s="36" t="str">
        <f t="shared" si="7"/>
        <v/>
      </c>
      <c r="J82" s="37" t="str">
        <f>IFERROR(__xludf.DUMMYFUNCTION("IFERROR(
  IF(C82="""",, 
    IFERROR(
      GOOGLEFINANCE(C82, ""price"") * GOOGLEFINANCE(C82, ""volumeavg""), 
      GOOGLEFINANCE(C82, ""price"") * AVERAGE(QUERY(GOOGLEFINANCE(C82, ""volume"", TODAY()-40, TODAY()), ""SELECT Col2 WHERE Col2 IS NOT NULL "&amp;"ORDER BY Col1 DESC LIMIT 20"", 0))
    )
  ), 
"""")"),"")</f>
        <v/>
      </c>
      <c r="K82" s="21" t="str">
        <f>IFERROR(__xludf.DUMMYFUNCTION("IFERROR(GOOGLEFINANCE(C82, ""changepct"") / 100, """")"),"")</f>
        <v/>
      </c>
      <c r="L82" s="21" t="str">
        <f>IFERROR(__xludf.DUMMYFUNCTION("IFERROR((GOOGLEFINANCE(C82, ""price"") / INDEX(GOOGLEFINANCE(C82, ""price"", TODAY()-7, TODAY()), 2, 2)) - 1, """")"),"")</f>
        <v/>
      </c>
      <c r="M82" s="21" t="str">
        <f>IFERROR(__xludf.DUMMYFUNCTION("IFERROR((GOOGLEFINANCE(C82, ""price"") / INDEX(GOOGLEFINANCE(C82, ""price"", EDATE(TODAY(), -1), TODAY()), 2, 2)) - 1, """")"),"")</f>
        <v/>
      </c>
      <c r="N82" s="21" t="str">
        <f>IFERROR(__xludf.DUMMYFUNCTION("IFERROR((GOOGLEFINANCE(C82, ""price"") / INDEX(GOOGLEFINANCE(C82, ""price"", EDATE(TODAY(), -3), TODAY()), 2, 2)) - 1, """")"),"")</f>
        <v/>
      </c>
      <c r="O82" s="21" t="str">
        <f>IFERROR(__xludf.DUMMYFUNCTION("IFERROR((GOOGLEFINANCE(C82, ""price"") / INDEX(GOOGLEFINANCE(C82, ""price"", EDATE(TODAY(), -6), TODAY()), 2, 2)) - 1, """")"),"")</f>
        <v/>
      </c>
      <c r="P82" s="21" t="str">
        <f>IFERROR(__xludf.DUMMYFUNCTION("IFERROR((GOOGLEFINANCE(C82, ""price"") / INDEX(GOOGLEFINANCE(C82, ""price"", EDATE(TODAY(), -12), TODAY()), 2, 2)) - 1, """")"),"")</f>
        <v/>
      </c>
      <c r="Q82" s="6" t="str">
        <f>IFERROR(__xludf.DUMMYFUNCTION("AVERAGE(QUERY(GOOGLEFINANCE(C82, ""price"", TODAY()-80, TODAY()), ""SELECT Col2 WHERE Col2 IS NOT NULL ORDER BY Col1 DESC LIMIT 50"", 0))"),"#N/A")</f>
        <v>#N/A</v>
      </c>
      <c r="R82" s="24" t="str">
        <f>IFERROR(__xludf.DUMMYFUNCTION("IFERROR(
  LET(
    data, QUERY(GOOGLEFINANCE(C82,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GOOGLEFINANCE(C82, ""price"")) * 100,
    IF(calc=0, G82, calc)
  ), 
G82)"),"#N/A")</f>
        <v>#N/A</v>
      </c>
      <c r="S82" s="8" t="s">
        <v>15</v>
      </c>
      <c r="T82" s="26" t="str">
        <f>IFERROR(__xludf.DUMMYFUNCTION("IFERROR(TRANSPOSE(QUERY(IFERROR(SORT(GOOGLEFINANCE(C82, ""price"", WORKDAY(TODAY(), -40), TODAY()), 1, FALSE)), ""select Col2 where Col2 is not null limit 22 label Col2 ''"", 0)), """")"),"")</f>
        <v/>
      </c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8"/>
      <c r="AO82" s="28"/>
      <c r="AP82" s="29"/>
      <c r="AQ82" s="29" t="str">
        <f t="shared" ref="AQ82:BL82" si="85">T82/T$2</f>
        <v>#N/A</v>
      </c>
      <c r="AR82" s="29" t="str">
        <f t="shared" si="85"/>
        <v>#DIV/0!</v>
      </c>
      <c r="AS82" s="29" t="str">
        <f t="shared" si="85"/>
        <v>#DIV/0!</v>
      </c>
      <c r="AT82" s="29" t="str">
        <f t="shared" si="85"/>
        <v>#DIV/0!</v>
      </c>
      <c r="AU82" s="29" t="str">
        <f t="shared" si="85"/>
        <v>#DIV/0!</v>
      </c>
      <c r="AV82" s="29" t="str">
        <f t="shared" si="85"/>
        <v>#DIV/0!</v>
      </c>
      <c r="AW82" s="29" t="str">
        <f t="shared" si="85"/>
        <v>#DIV/0!</v>
      </c>
      <c r="AX82" s="29" t="str">
        <f t="shared" si="85"/>
        <v>#DIV/0!</v>
      </c>
      <c r="AY82" s="29" t="str">
        <f t="shared" si="85"/>
        <v>#DIV/0!</v>
      </c>
      <c r="AZ82" s="29" t="str">
        <f t="shared" si="85"/>
        <v>#DIV/0!</v>
      </c>
      <c r="BA82" s="29" t="str">
        <f t="shared" si="85"/>
        <v>#DIV/0!</v>
      </c>
      <c r="BB82" s="29" t="str">
        <f t="shared" si="85"/>
        <v>#DIV/0!</v>
      </c>
      <c r="BC82" s="29" t="str">
        <f t="shared" si="85"/>
        <v>#DIV/0!</v>
      </c>
      <c r="BD82" s="29" t="str">
        <f t="shared" si="85"/>
        <v>#DIV/0!</v>
      </c>
      <c r="BE82" s="29" t="str">
        <f t="shared" si="85"/>
        <v>#DIV/0!</v>
      </c>
      <c r="BF82" s="29" t="str">
        <f t="shared" si="85"/>
        <v>#DIV/0!</v>
      </c>
      <c r="BG82" s="29" t="str">
        <f t="shared" si="85"/>
        <v>#DIV/0!</v>
      </c>
      <c r="BH82" s="29" t="str">
        <f t="shared" si="85"/>
        <v>#DIV/0!</v>
      </c>
      <c r="BI82" s="29" t="str">
        <f t="shared" si="85"/>
        <v>#DIV/0!</v>
      </c>
      <c r="BJ82" s="29" t="str">
        <f t="shared" si="85"/>
        <v>#DIV/0!</v>
      </c>
      <c r="BK82" s="29" t="str">
        <f t="shared" si="85"/>
        <v>#DIV/0!</v>
      </c>
      <c r="BL82" s="29" t="str">
        <f t="shared" si="85"/>
        <v>#DIV/0!</v>
      </c>
      <c r="BM82" s="29" t="str">
        <f t="shared" si="3"/>
        <v>#DIV/0!</v>
      </c>
    </row>
    <row r="83">
      <c r="A83" s="16" t="str">
        <f>IFERROR(__xludf.DUMMYFUNCTION("IFERROR(SPARKLINE(SORT(MAP(TRANSPOSE(AQ83:BL83), LAMBDA(val, IF(ISNUMBER(val), PERCENTRANK(AQ83:BL83, val)+0.01, 0))), SEQUENCE(COLUMNS(AQ83:BL83)), FALSE), {""charttype"",""column""; ""color"",""chartreuse""; ""ymin"", 0; ""ymax"", 1.01; ""highcolor"", "&amp;"""darkgreen""; ""lowcolor"", ""red""}), """")"),"")</f>
        <v/>
      </c>
      <c r="B83" s="17" t="str">
        <f t="shared" si="4"/>
        <v/>
      </c>
      <c r="C83" s="1" t="s">
        <v>414</v>
      </c>
      <c r="D83" s="34" t="str">
        <f>IFERROR(__xludf.DUMMYFUNCTION("IFERROR(GOOGLEFINANCE(C83, ""NAME""))"),"ING Groep NV")</f>
        <v>ING Groep NV</v>
      </c>
      <c r="E83" s="30" t="s">
        <v>236</v>
      </c>
      <c r="F83" s="33" t="str">
        <f>IFERROR(__xludf.DUMMYFUNCTION("( (GOOGLEFINANCE(C83, ""price"") - Q83) / Q83 ) / (R83 / 100)"),"Loading...")</f>
        <v>Loading...</v>
      </c>
      <c r="G83" s="20" t="str">
        <f>IFERROR(__xludf.DUMMYFUNCTION("AVERAGE(ARRAYFORMULA(100 * (QUERY(GOOGLEFINANCE(C83, ""high"", TODAY()-40, TODAY()), ""SELECT Col2 WHERE Col2 IS NOT NULL ORDER BY Col1 DESC LIMIT 20"", 0) / QUERY(GOOGLEFINANCE(C83, ""low"", TODAY()-40, TODAY()), ""SELECT Col2 WHERE Col2 IS NOT NULL ORDE"&amp;"R BY Col1 DESC LIMIT 20"", 0) - 1)))"),"#N/A")</f>
        <v>#N/A</v>
      </c>
      <c r="H83" s="35" t="str">
        <f t="shared" si="6"/>
        <v/>
      </c>
      <c r="I83" s="36" t="str">
        <f t="shared" si="7"/>
        <v/>
      </c>
      <c r="J83" s="37" t="str">
        <f>IFERROR(__xludf.DUMMYFUNCTION("IFERROR(
  IF(C83="""",, 
    IFERROR(
      GOOGLEFINANCE(C83, ""price"") * GOOGLEFINANCE(C83, ""volumeavg""), 
      GOOGLEFINANCE(C83, ""price"") * AVERAGE(QUERY(GOOGLEFINANCE(C83, ""volume"", TODAY()-40, TODAY()), ""SELECT Col2 WHERE Col2 IS NOT NULL "&amp;"ORDER BY Col1 DESC LIMIT 20"", 0))
    )
  ), 
"""")"),"")</f>
        <v/>
      </c>
      <c r="K83" s="21" t="str">
        <f>IFERROR(__xludf.DUMMYFUNCTION("IFERROR(GOOGLEFINANCE(C83, ""changepct"") / 100, """")"),"")</f>
        <v/>
      </c>
      <c r="L83" s="21" t="str">
        <f>IFERROR(__xludf.DUMMYFUNCTION("IFERROR((GOOGLEFINANCE(C83, ""price"") / INDEX(GOOGLEFINANCE(C83, ""price"", TODAY()-7, TODAY()), 2, 2)) - 1, """")"),"")</f>
        <v/>
      </c>
      <c r="M83" s="21" t="str">
        <f>IFERROR(__xludf.DUMMYFUNCTION("IFERROR((GOOGLEFINANCE(C83, ""price"") / INDEX(GOOGLEFINANCE(C83, ""price"", EDATE(TODAY(), -1), TODAY()), 2, 2)) - 1, """")"),"")</f>
        <v/>
      </c>
      <c r="N83" s="21" t="str">
        <f>IFERROR(__xludf.DUMMYFUNCTION("IFERROR((GOOGLEFINANCE(C83, ""price"") / INDEX(GOOGLEFINANCE(C83, ""price"", EDATE(TODAY(), -3), TODAY()), 2, 2)) - 1, """")"),"")</f>
        <v/>
      </c>
      <c r="O83" s="21" t="str">
        <f>IFERROR(__xludf.DUMMYFUNCTION("IFERROR((GOOGLEFINANCE(C83, ""price"") / INDEX(GOOGLEFINANCE(C83, ""price"", EDATE(TODAY(), -6), TODAY()), 2, 2)) - 1, """")"),"")</f>
        <v/>
      </c>
      <c r="P83" s="21" t="str">
        <f>IFERROR(__xludf.DUMMYFUNCTION("IFERROR((GOOGLEFINANCE(C83, ""price"") / INDEX(GOOGLEFINANCE(C83, ""price"", EDATE(TODAY(), -12), TODAY()), 2, 2)) - 1, """")"),"")</f>
        <v/>
      </c>
      <c r="Q83" s="6" t="str">
        <f>IFERROR(__xludf.DUMMYFUNCTION("AVERAGE(QUERY(GOOGLEFINANCE(C83, ""price"", TODAY()-80, TODAY()), ""SELECT Col2 WHERE Col2 IS NOT NULL ORDER BY Col1 DESC LIMIT 50"", 0))"),"#N/A")</f>
        <v>#N/A</v>
      </c>
      <c r="R83" s="24" t="str">
        <f>IFERROR(__xludf.DUMMYFUNCTION("IFERROR(
  LET(
    data, QUERY(GOOGLEFINANCE(C83,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GOOGLEFINANCE(C83, ""price"")) * 100,
    IF(calc=0, G83, calc)
  ), 
G83)"),"#N/A")</f>
        <v>#N/A</v>
      </c>
      <c r="S83" s="8" t="s">
        <v>15</v>
      </c>
      <c r="T83" s="26" t="str">
        <f>IFERROR(__xludf.DUMMYFUNCTION("IFERROR(TRANSPOSE(QUERY(IFERROR(SORT(GOOGLEFINANCE(C83, ""price"", WORKDAY(TODAY(), -40), TODAY()), 1, FALSE)), ""select Col2 where Col2 is not null limit 22 label Col2 ''"", 0)), """")"),"")</f>
        <v/>
      </c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8"/>
      <c r="AO83" s="28"/>
      <c r="AP83" s="29"/>
      <c r="AQ83" s="29" t="str">
        <f t="shared" ref="AQ83:BL83" si="86">T83/T$2</f>
        <v>#N/A</v>
      </c>
      <c r="AR83" s="29" t="str">
        <f t="shared" si="86"/>
        <v>#DIV/0!</v>
      </c>
      <c r="AS83" s="29" t="str">
        <f t="shared" si="86"/>
        <v>#DIV/0!</v>
      </c>
      <c r="AT83" s="29" t="str">
        <f t="shared" si="86"/>
        <v>#DIV/0!</v>
      </c>
      <c r="AU83" s="29" t="str">
        <f t="shared" si="86"/>
        <v>#DIV/0!</v>
      </c>
      <c r="AV83" s="29" t="str">
        <f t="shared" si="86"/>
        <v>#DIV/0!</v>
      </c>
      <c r="AW83" s="29" t="str">
        <f t="shared" si="86"/>
        <v>#DIV/0!</v>
      </c>
      <c r="AX83" s="29" t="str">
        <f t="shared" si="86"/>
        <v>#DIV/0!</v>
      </c>
      <c r="AY83" s="29" t="str">
        <f t="shared" si="86"/>
        <v>#DIV/0!</v>
      </c>
      <c r="AZ83" s="29" t="str">
        <f t="shared" si="86"/>
        <v>#DIV/0!</v>
      </c>
      <c r="BA83" s="29" t="str">
        <f t="shared" si="86"/>
        <v>#DIV/0!</v>
      </c>
      <c r="BB83" s="29" t="str">
        <f t="shared" si="86"/>
        <v>#DIV/0!</v>
      </c>
      <c r="BC83" s="29" t="str">
        <f t="shared" si="86"/>
        <v>#DIV/0!</v>
      </c>
      <c r="BD83" s="29" t="str">
        <f t="shared" si="86"/>
        <v>#DIV/0!</v>
      </c>
      <c r="BE83" s="29" t="str">
        <f t="shared" si="86"/>
        <v>#DIV/0!</v>
      </c>
      <c r="BF83" s="29" t="str">
        <f t="shared" si="86"/>
        <v>#DIV/0!</v>
      </c>
      <c r="BG83" s="29" t="str">
        <f t="shared" si="86"/>
        <v>#DIV/0!</v>
      </c>
      <c r="BH83" s="29" t="str">
        <f t="shared" si="86"/>
        <v>#DIV/0!</v>
      </c>
      <c r="BI83" s="29" t="str">
        <f t="shared" si="86"/>
        <v>#DIV/0!</v>
      </c>
      <c r="BJ83" s="29" t="str">
        <f t="shared" si="86"/>
        <v>#DIV/0!</v>
      </c>
      <c r="BK83" s="29" t="str">
        <f t="shared" si="86"/>
        <v>#DIV/0!</v>
      </c>
      <c r="BL83" s="29" t="str">
        <f t="shared" si="86"/>
        <v>#DIV/0!</v>
      </c>
      <c r="BM83" s="29" t="str">
        <f t="shared" si="3"/>
        <v>#DIV/0!</v>
      </c>
    </row>
    <row r="84">
      <c r="A84" s="16" t="str">
        <f>IFERROR(__xludf.DUMMYFUNCTION("IFERROR(SPARKLINE(SORT(MAP(TRANSPOSE(AQ84:BL84), LAMBDA(val, IF(ISNUMBER(val), PERCENTRANK(AQ84:BL84, val)+0.01, 0))), SEQUENCE(COLUMNS(AQ84:BL84)), FALSE), {""charttype"",""column""; ""color"",""chartreuse""; ""ymin"", 0; ""ymax"", 1.01; ""highcolor"", "&amp;"""darkgreen""; ""lowcolor"", ""red""}), """")"),"")</f>
        <v/>
      </c>
      <c r="B84" s="17" t="str">
        <f t="shared" si="4"/>
        <v/>
      </c>
      <c r="C84" s="1" t="s">
        <v>418</v>
      </c>
      <c r="D84" s="34" t="str">
        <f>IFERROR(__xludf.DUMMYFUNCTION("IFERROR(GOOGLEFINANCE(C84, ""NAME""))"),"Kayne Anderson BDC Inc")</f>
        <v>Kayne Anderson BDC Inc</v>
      </c>
      <c r="E84" s="30" t="s">
        <v>64</v>
      </c>
      <c r="F84" s="33" t="str">
        <f>IFERROR(__xludf.DUMMYFUNCTION("( (GOOGLEFINANCE(C84, ""price"") - Q84) / Q84 ) / (R84 / 100)"),"Loading...")</f>
        <v>Loading...</v>
      </c>
      <c r="G84" s="20" t="str">
        <f>IFERROR(__xludf.DUMMYFUNCTION("AVERAGE(ARRAYFORMULA(100 * (QUERY(GOOGLEFINANCE(C84, ""high"", TODAY()-40, TODAY()), ""SELECT Col2 WHERE Col2 IS NOT NULL ORDER BY Col1 DESC LIMIT 20"", 0) / QUERY(GOOGLEFINANCE(C84, ""low"", TODAY()-40, TODAY()), ""SELECT Col2 WHERE Col2 IS NOT NULL ORDE"&amp;"R BY Col1 DESC LIMIT 20"", 0) - 1)))"),"#N/A")</f>
        <v>#N/A</v>
      </c>
      <c r="H84" s="35" t="str">
        <f t="shared" si="6"/>
        <v/>
      </c>
      <c r="I84" s="36" t="str">
        <f t="shared" si="7"/>
        <v/>
      </c>
      <c r="J84" s="37" t="str">
        <f>IFERROR(__xludf.DUMMYFUNCTION("IFERROR(
  IF(C84="""",, 
    IFERROR(
      GOOGLEFINANCE(C84, ""price"") * GOOGLEFINANCE(C84, ""volumeavg""), 
      GOOGLEFINANCE(C84, ""price"") * AVERAGE(QUERY(GOOGLEFINANCE(C84, ""volume"", TODAY()-40, TODAY()), ""SELECT Col2 WHERE Col2 IS NOT NULL "&amp;"ORDER BY Col1 DESC LIMIT 20"", 0))
    )
  ), 
"""")"),"")</f>
        <v/>
      </c>
      <c r="K84" s="21" t="str">
        <f>IFERROR(__xludf.DUMMYFUNCTION("IFERROR(GOOGLEFINANCE(C84, ""changepct"") / 100, """")"),"")</f>
        <v/>
      </c>
      <c r="L84" s="21" t="str">
        <f>IFERROR(__xludf.DUMMYFUNCTION("IFERROR((GOOGLEFINANCE(C84, ""price"") / INDEX(GOOGLEFINANCE(C84, ""price"", TODAY()-7, TODAY()), 2, 2)) - 1, """")"),"")</f>
        <v/>
      </c>
      <c r="M84" s="21" t="str">
        <f>IFERROR(__xludf.DUMMYFUNCTION("IFERROR((GOOGLEFINANCE(C84, ""price"") / INDEX(GOOGLEFINANCE(C84, ""price"", EDATE(TODAY(), -1), TODAY()), 2, 2)) - 1, """")"),"")</f>
        <v/>
      </c>
      <c r="N84" s="21" t="str">
        <f>IFERROR(__xludf.DUMMYFUNCTION("IFERROR((GOOGLEFINANCE(C84, ""price"") / INDEX(GOOGLEFINANCE(C84, ""price"", EDATE(TODAY(), -3), TODAY()), 2, 2)) - 1, """")"),"")</f>
        <v/>
      </c>
      <c r="O84" s="21" t="str">
        <f>IFERROR(__xludf.DUMMYFUNCTION("IFERROR((GOOGLEFINANCE(C84, ""price"") / INDEX(GOOGLEFINANCE(C84, ""price"", EDATE(TODAY(), -6), TODAY()), 2, 2)) - 1, """")"),"")</f>
        <v/>
      </c>
      <c r="P84" s="21" t="str">
        <f>IFERROR(__xludf.DUMMYFUNCTION("IFERROR((GOOGLEFINANCE(C84, ""price"") / INDEX(GOOGLEFINANCE(C84, ""price"", EDATE(TODAY(), -12), TODAY()), 2, 2)) - 1, """")"),"")</f>
        <v/>
      </c>
      <c r="Q84" s="6" t="str">
        <f>IFERROR(__xludf.DUMMYFUNCTION("AVERAGE(QUERY(GOOGLEFINANCE(C84, ""price"", TODAY()-80, TODAY()), ""SELECT Col2 WHERE Col2 IS NOT NULL ORDER BY Col1 DESC LIMIT 50"", 0))"),"#N/A")</f>
        <v>#N/A</v>
      </c>
      <c r="R84" s="24" t="str">
        <f>IFERROR(__xludf.DUMMYFUNCTION("IFERROR(
  LET(
    data, QUERY(GOOGLEFINANCE(C84,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GOOGLEFINANCE(C84, ""price"")) * 100,
    IF(calc=0, G84, calc)
  ), 
G84)"),"#N/A")</f>
        <v>#N/A</v>
      </c>
      <c r="S84" s="8" t="s">
        <v>15</v>
      </c>
      <c r="T84" s="26" t="str">
        <f>IFERROR(__xludf.DUMMYFUNCTION("IFERROR(TRANSPOSE(QUERY(IFERROR(SORT(GOOGLEFINANCE(C84, ""price"", WORKDAY(TODAY(), -40), TODAY()), 1, FALSE)), ""select Col2 where Col2 is not null limit 22 label Col2 ''"", 0)), """")"),"")</f>
        <v/>
      </c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8"/>
      <c r="AO84" s="28"/>
      <c r="AP84" s="29"/>
      <c r="AQ84" s="29" t="str">
        <f t="shared" ref="AQ84:BL84" si="87">T84/T$2</f>
        <v>#N/A</v>
      </c>
      <c r="AR84" s="29" t="str">
        <f t="shared" si="87"/>
        <v>#DIV/0!</v>
      </c>
      <c r="AS84" s="29" t="str">
        <f t="shared" si="87"/>
        <v>#DIV/0!</v>
      </c>
      <c r="AT84" s="29" t="str">
        <f t="shared" si="87"/>
        <v>#DIV/0!</v>
      </c>
      <c r="AU84" s="29" t="str">
        <f t="shared" si="87"/>
        <v>#DIV/0!</v>
      </c>
      <c r="AV84" s="29" t="str">
        <f t="shared" si="87"/>
        <v>#DIV/0!</v>
      </c>
      <c r="AW84" s="29" t="str">
        <f t="shared" si="87"/>
        <v>#DIV/0!</v>
      </c>
      <c r="AX84" s="29" t="str">
        <f t="shared" si="87"/>
        <v>#DIV/0!</v>
      </c>
      <c r="AY84" s="29" t="str">
        <f t="shared" si="87"/>
        <v>#DIV/0!</v>
      </c>
      <c r="AZ84" s="29" t="str">
        <f t="shared" si="87"/>
        <v>#DIV/0!</v>
      </c>
      <c r="BA84" s="29" t="str">
        <f t="shared" si="87"/>
        <v>#DIV/0!</v>
      </c>
      <c r="BB84" s="29" t="str">
        <f t="shared" si="87"/>
        <v>#DIV/0!</v>
      </c>
      <c r="BC84" s="29" t="str">
        <f t="shared" si="87"/>
        <v>#DIV/0!</v>
      </c>
      <c r="BD84" s="29" t="str">
        <f t="shared" si="87"/>
        <v>#DIV/0!</v>
      </c>
      <c r="BE84" s="29" t="str">
        <f t="shared" si="87"/>
        <v>#DIV/0!</v>
      </c>
      <c r="BF84" s="29" t="str">
        <f t="shared" si="87"/>
        <v>#DIV/0!</v>
      </c>
      <c r="BG84" s="29" t="str">
        <f t="shared" si="87"/>
        <v>#DIV/0!</v>
      </c>
      <c r="BH84" s="29" t="str">
        <f t="shared" si="87"/>
        <v>#DIV/0!</v>
      </c>
      <c r="BI84" s="29" t="str">
        <f t="shared" si="87"/>
        <v>#DIV/0!</v>
      </c>
      <c r="BJ84" s="29" t="str">
        <f t="shared" si="87"/>
        <v>#DIV/0!</v>
      </c>
      <c r="BK84" s="29" t="str">
        <f t="shared" si="87"/>
        <v>#DIV/0!</v>
      </c>
      <c r="BL84" s="29" t="str">
        <f t="shared" si="87"/>
        <v>#DIV/0!</v>
      </c>
      <c r="BM84" s="29" t="str">
        <f t="shared" si="3"/>
        <v>#DIV/0!</v>
      </c>
    </row>
    <row r="85">
      <c r="A85" s="16" t="str">
        <f>IFERROR(__xludf.DUMMYFUNCTION("IFERROR(SPARKLINE(SORT(MAP(TRANSPOSE(AQ85:BL85), LAMBDA(val, IF(ISNUMBER(val), PERCENTRANK(AQ85:BL85, val)+0.01, 0))), SEQUENCE(COLUMNS(AQ85:BL85)), FALSE), {""charttype"",""column""; ""color"",""chartreuse""; ""ymin"", 0; ""ymax"", 1.01; ""highcolor"", "&amp;"""darkgreen""; ""lowcolor"", ""red""}), """")"),"")</f>
        <v/>
      </c>
      <c r="B85" s="17" t="str">
        <f t="shared" si="4"/>
        <v/>
      </c>
      <c r="C85" s="1" t="s">
        <v>421</v>
      </c>
      <c r="D85" s="34" t="str">
        <f>IFERROR(__xludf.DUMMYFUNCTION("IFERROR(GOOGLEFINANCE(C85, ""NAME""))"),"Principal Financial Group Inc")</f>
        <v>Principal Financial Group Inc</v>
      </c>
      <c r="E85" s="30" t="s">
        <v>64</v>
      </c>
      <c r="F85" s="33" t="str">
        <f>IFERROR(__xludf.DUMMYFUNCTION("( (GOOGLEFINANCE(C85, ""price"") - Q85) / Q85 ) / (R85 / 100)"),"Loading...")</f>
        <v>Loading...</v>
      </c>
      <c r="G85" s="20" t="str">
        <f>IFERROR(__xludf.DUMMYFUNCTION("AVERAGE(ARRAYFORMULA(100 * (QUERY(GOOGLEFINANCE(C85, ""high"", TODAY()-40, TODAY()), ""SELECT Col2 WHERE Col2 IS NOT NULL ORDER BY Col1 DESC LIMIT 20"", 0) / QUERY(GOOGLEFINANCE(C85, ""low"", TODAY()-40, TODAY()), ""SELECT Col2 WHERE Col2 IS NOT NULL ORDE"&amp;"R BY Col1 DESC LIMIT 20"", 0) - 1)))"),"#N/A")</f>
        <v>#N/A</v>
      </c>
      <c r="H85" s="35" t="str">
        <f t="shared" si="6"/>
        <v/>
      </c>
      <c r="I85" s="36" t="str">
        <f t="shared" si="7"/>
        <v/>
      </c>
      <c r="J85" s="37" t="str">
        <f>IFERROR(__xludf.DUMMYFUNCTION("IFERROR(
  IF(C85="""",, 
    IFERROR(
      GOOGLEFINANCE(C85, ""price"") * GOOGLEFINANCE(C85, ""volumeavg""), 
      GOOGLEFINANCE(C85, ""price"") * AVERAGE(QUERY(GOOGLEFINANCE(C85, ""volume"", TODAY()-40, TODAY()), ""SELECT Col2 WHERE Col2 IS NOT NULL "&amp;"ORDER BY Col1 DESC LIMIT 20"", 0))
    )
  ), 
"""")"),"")</f>
        <v/>
      </c>
      <c r="K85" s="21" t="str">
        <f>IFERROR(__xludf.DUMMYFUNCTION("IFERROR(GOOGLEFINANCE(C85, ""changepct"") / 100, """")"),"")</f>
        <v/>
      </c>
      <c r="L85" s="21" t="str">
        <f>IFERROR(__xludf.DUMMYFUNCTION("IFERROR((GOOGLEFINANCE(C85, ""price"") / INDEX(GOOGLEFINANCE(C85, ""price"", TODAY()-7, TODAY()), 2, 2)) - 1, """")"),"")</f>
        <v/>
      </c>
      <c r="M85" s="21" t="str">
        <f>IFERROR(__xludf.DUMMYFUNCTION("IFERROR((GOOGLEFINANCE(C85, ""price"") / INDEX(GOOGLEFINANCE(C85, ""price"", EDATE(TODAY(), -1), TODAY()), 2, 2)) - 1, """")"),"")</f>
        <v/>
      </c>
      <c r="N85" s="21" t="str">
        <f>IFERROR(__xludf.DUMMYFUNCTION("IFERROR((GOOGLEFINANCE(C85, ""price"") / INDEX(GOOGLEFINANCE(C85, ""price"", EDATE(TODAY(), -3), TODAY()), 2, 2)) - 1, """")"),"")</f>
        <v/>
      </c>
      <c r="O85" s="21" t="str">
        <f>IFERROR(__xludf.DUMMYFUNCTION("IFERROR((GOOGLEFINANCE(C85, ""price"") / INDEX(GOOGLEFINANCE(C85, ""price"", EDATE(TODAY(), -6), TODAY()), 2, 2)) - 1, """")"),"")</f>
        <v/>
      </c>
      <c r="P85" s="21" t="str">
        <f>IFERROR(__xludf.DUMMYFUNCTION("IFERROR((GOOGLEFINANCE(C85, ""price"") / INDEX(GOOGLEFINANCE(C85, ""price"", EDATE(TODAY(), -12), TODAY()), 2, 2)) - 1, """")"),"")</f>
        <v/>
      </c>
      <c r="Q85" s="6" t="str">
        <f>IFERROR(__xludf.DUMMYFUNCTION("AVERAGE(QUERY(GOOGLEFINANCE(C85, ""price"", TODAY()-80, TODAY()), ""SELECT Col2 WHERE Col2 IS NOT NULL ORDER BY Col1 DESC LIMIT 50"", 0))"),"#N/A")</f>
        <v>#N/A</v>
      </c>
      <c r="R85" s="24" t="str">
        <f>IFERROR(__xludf.DUMMYFUNCTION("IFERROR(
  LET(
    data, QUERY(GOOGLEFINANCE(C85,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GOOGLEFINANCE(C85, ""price"")) * 100,
    IF(calc=0, G85, calc)
  ), 
G85)"),"#N/A")</f>
        <v>#N/A</v>
      </c>
      <c r="S85" s="8" t="s">
        <v>15</v>
      </c>
      <c r="T85" s="26" t="str">
        <f>IFERROR(__xludf.DUMMYFUNCTION("IFERROR(TRANSPOSE(QUERY(IFERROR(SORT(GOOGLEFINANCE(C85, ""price"", WORKDAY(TODAY(), -40), TODAY()), 1, FALSE)), ""select Col2 where Col2 is not null limit 22 label Col2 ''"", 0)), """")"),"")</f>
        <v/>
      </c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8"/>
      <c r="AO85" s="28"/>
      <c r="AP85" s="29"/>
      <c r="AQ85" s="29" t="str">
        <f t="shared" ref="AQ85:BL85" si="88">T85/T$2</f>
        <v>#N/A</v>
      </c>
      <c r="AR85" s="29" t="str">
        <f t="shared" si="88"/>
        <v>#DIV/0!</v>
      </c>
      <c r="AS85" s="29" t="str">
        <f t="shared" si="88"/>
        <v>#DIV/0!</v>
      </c>
      <c r="AT85" s="29" t="str">
        <f t="shared" si="88"/>
        <v>#DIV/0!</v>
      </c>
      <c r="AU85" s="29" t="str">
        <f t="shared" si="88"/>
        <v>#DIV/0!</v>
      </c>
      <c r="AV85" s="29" t="str">
        <f t="shared" si="88"/>
        <v>#DIV/0!</v>
      </c>
      <c r="AW85" s="29" t="str">
        <f t="shared" si="88"/>
        <v>#DIV/0!</v>
      </c>
      <c r="AX85" s="29" t="str">
        <f t="shared" si="88"/>
        <v>#DIV/0!</v>
      </c>
      <c r="AY85" s="29" t="str">
        <f t="shared" si="88"/>
        <v>#DIV/0!</v>
      </c>
      <c r="AZ85" s="29" t="str">
        <f t="shared" si="88"/>
        <v>#DIV/0!</v>
      </c>
      <c r="BA85" s="29" t="str">
        <f t="shared" si="88"/>
        <v>#DIV/0!</v>
      </c>
      <c r="BB85" s="29" t="str">
        <f t="shared" si="88"/>
        <v>#DIV/0!</v>
      </c>
      <c r="BC85" s="29" t="str">
        <f t="shared" si="88"/>
        <v>#DIV/0!</v>
      </c>
      <c r="BD85" s="29" t="str">
        <f t="shared" si="88"/>
        <v>#DIV/0!</v>
      </c>
      <c r="BE85" s="29" t="str">
        <f t="shared" si="88"/>
        <v>#DIV/0!</v>
      </c>
      <c r="BF85" s="29" t="str">
        <f t="shared" si="88"/>
        <v>#DIV/0!</v>
      </c>
      <c r="BG85" s="29" t="str">
        <f t="shared" si="88"/>
        <v>#DIV/0!</v>
      </c>
      <c r="BH85" s="29" t="str">
        <f t="shared" si="88"/>
        <v>#DIV/0!</v>
      </c>
      <c r="BI85" s="29" t="str">
        <f t="shared" si="88"/>
        <v>#DIV/0!</v>
      </c>
      <c r="BJ85" s="29" t="str">
        <f t="shared" si="88"/>
        <v>#DIV/0!</v>
      </c>
      <c r="BK85" s="29" t="str">
        <f t="shared" si="88"/>
        <v>#DIV/0!</v>
      </c>
      <c r="BL85" s="29" t="str">
        <f t="shared" si="88"/>
        <v>#DIV/0!</v>
      </c>
      <c r="BM85" s="29" t="str">
        <f t="shared" si="3"/>
        <v>#DIV/0!</v>
      </c>
    </row>
    <row r="86">
      <c r="A86" s="16" t="str">
        <f>IFERROR(__xludf.DUMMYFUNCTION("IFERROR(SPARKLINE(SORT(MAP(TRANSPOSE(AQ86:BL86), LAMBDA(val, IF(ISNUMBER(val), PERCENTRANK(AQ86:BL86, val)+0.01, 0))), SEQUENCE(COLUMNS(AQ86:BL86)), FALSE), {""charttype"",""column""; ""color"",""chartreuse""; ""ymin"", 0; ""ymax"", 1.01; ""highcolor"", "&amp;"""darkgreen""; ""lowcolor"", ""red""}), """")"),"")</f>
        <v/>
      </c>
      <c r="B86" s="17" t="str">
        <f t="shared" si="4"/>
        <v/>
      </c>
      <c r="C86" s="1" t="s">
        <v>425</v>
      </c>
      <c r="D86" s="34" t="str">
        <f>IFERROR(__xludf.DUMMYFUNCTION("IFERROR(GOOGLEFINANCE(C86, ""NAME""))"),"Credit Acceptance Corp")</f>
        <v>Credit Acceptance Corp</v>
      </c>
      <c r="E86" s="30" t="s">
        <v>145</v>
      </c>
      <c r="F86" s="33" t="str">
        <f>IFERROR(__xludf.DUMMYFUNCTION("( (GOOGLEFINANCE(C86, ""price"") - Q86) / Q86 ) / (R86 / 100)"),"Loading...")</f>
        <v>Loading...</v>
      </c>
      <c r="G86" s="20" t="str">
        <f>IFERROR(__xludf.DUMMYFUNCTION("AVERAGE(ARRAYFORMULA(100 * (QUERY(GOOGLEFINANCE(C86, ""high"", TODAY()-40, TODAY()), ""SELECT Col2 WHERE Col2 IS NOT NULL ORDER BY Col1 DESC LIMIT 20"", 0) / QUERY(GOOGLEFINANCE(C86, ""low"", TODAY()-40, TODAY()), ""SELECT Col2 WHERE Col2 IS NOT NULL ORDE"&amp;"R BY Col1 DESC LIMIT 20"", 0) - 1)))"),"#N/A")</f>
        <v>#N/A</v>
      </c>
      <c r="H86" s="35" t="str">
        <f t="shared" si="6"/>
        <v/>
      </c>
      <c r="I86" s="36" t="str">
        <f t="shared" si="7"/>
        <v/>
      </c>
      <c r="J86" s="37" t="str">
        <f>IFERROR(__xludf.DUMMYFUNCTION("IFERROR(
  IF(C86="""",, 
    IFERROR(
      GOOGLEFINANCE(C86, ""price"") * GOOGLEFINANCE(C86, ""volumeavg""), 
      GOOGLEFINANCE(C86, ""price"") * AVERAGE(QUERY(GOOGLEFINANCE(C86, ""volume"", TODAY()-40, TODAY()), ""SELECT Col2 WHERE Col2 IS NOT NULL "&amp;"ORDER BY Col1 DESC LIMIT 20"", 0))
    )
  ), 
"""")"),"")</f>
        <v/>
      </c>
      <c r="K86" s="21" t="str">
        <f>IFERROR(__xludf.DUMMYFUNCTION("IFERROR(GOOGLEFINANCE(C86, ""changepct"") / 100, """")"),"")</f>
        <v/>
      </c>
      <c r="L86" s="21" t="str">
        <f>IFERROR(__xludf.DUMMYFUNCTION("IFERROR((GOOGLEFINANCE(C86, ""price"") / INDEX(GOOGLEFINANCE(C86, ""price"", TODAY()-7, TODAY()), 2, 2)) - 1, """")"),"")</f>
        <v/>
      </c>
      <c r="M86" s="21" t="str">
        <f>IFERROR(__xludf.DUMMYFUNCTION("IFERROR((GOOGLEFINANCE(C86, ""price"") / INDEX(GOOGLEFINANCE(C86, ""price"", EDATE(TODAY(), -1), TODAY()), 2, 2)) - 1, """")"),"")</f>
        <v/>
      </c>
      <c r="N86" s="21" t="str">
        <f>IFERROR(__xludf.DUMMYFUNCTION("IFERROR((GOOGLEFINANCE(C86, ""price"") / INDEX(GOOGLEFINANCE(C86, ""price"", EDATE(TODAY(), -3), TODAY()), 2, 2)) - 1, """")"),"")</f>
        <v/>
      </c>
      <c r="O86" s="21" t="str">
        <f>IFERROR(__xludf.DUMMYFUNCTION("IFERROR((GOOGLEFINANCE(C86, ""price"") / INDEX(GOOGLEFINANCE(C86, ""price"", EDATE(TODAY(), -6), TODAY()), 2, 2)) - 1, """")"),"")</f>
        <v/>
      </c>
      <c r="P86" s="21" t="str">
        <f>IFERROR(__xludf.DUMMYFUNCTION("IFERROR((GOOGLEFINANCE(C86, ""price"") / INDEX(GOOGLEFINANCE(C86, ""price"", EDATE(TODAY(), -12), TODAY()), 2, 2)) - 1, """")"),"")</f>
        <v/>
      </c>
      <c r="Q86" s="6" t="str">
        <f>IFERROR(__xludf.DUMMYFUNCTION("AVERAGE(QUERY(GOOGLEFINANCE(C86, ""price"", TODAY()-80, TODAY()), ""SELECT Col2 WHERE Col2 IS NOT NULL ORDER BY Col1 DESC LIMIT 50"", 0))"),"#N/A")</f>
        <v>#N/A</v>
      </c>
      <c r="R86" s="24" t="str">
        <f>IFERROR(__xludf.DUMMYFUNCTION("IFERROR(
  LET(
    data, QUERY(GOOGLEFINANCE(C86,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GOOGLEFINANCE(C86, ""price"")) * 100,
    IF(calc=0, G86, calc)
  ), 
G86)"),"#N/A")</f>
        <v>#N/A</v>
      </c>
      <c r="S86" s="8" t="s">
        <v>15</v>
      </c>
      <c r="T86" s="26" t="str">
        <f>IFERROR(__xludf.DUMMYFUNCTION("IFERROR(TRANSPOSE(QUERY(IFERROR(SORT(GOOGLEFINANCE(C86, ""price"", WORKDAY(TODAY(), -40), TODAY()), 1, FALSE)), ""select Col2 where Col2 is not null limit 22 label Col2 ''"", 0)), """")"),"")</f>
        <v/>
      </c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8"/>
      <c r="AO86" s="28"/>
      <c r="AP86" s="29"/>
      <c r="AQ86" s="29" t="str">
        <f t="shared" ref="AQ86:BL86" si="89">T86/T$2</f>
        <v>#N/A</v>
      </c>
      <c r="AR86" s="29" t="str">
        <f t="shared" si="89"/>
        <v>#DIV/0!</v>
      </c>
      <c r="AS86" s="29" t="str">
        <f t="shared" si="89"/>
        <v>#DIV/0!</v>
      </c>
      <c r="AT86" s="29" t="str">
        <f t="shared" si="89"/>
        <v>#DIV/0!</v>
      </c>
      <c r="AU86" s="29" t="str">
        <f t="shared" si="89"/>
        <v>#DIV/0!</v>
      </c>
      <c r="AV86" s="29" t="str">
        <f t="shared" si="89"/>
        <v>#DIV/0!</v>
      </c>
      <c r="AW86" s="29" t="str">
        <f t="shared" si="89"/>
        <v>#DIV/0!</v>
      </c>
      <c r="AX86" s="29" t="str">
        <f t="shared" si="89"/>
        <v>#DIV/0!</v>
      </c>
      <c r="AY86" s="29" t="str">
        <f t="shared" si="89"/>
        <v>#DIV/0!</v>
      </c>
      <c r="AZ86" s="29" t="str">
        <f t="shared" si="89"/>
        <v>#DIV/0!</v>
      </c>
      <c r="BA86" s="29" t="str">
        <f t="shared" si="89"/>
        <v>#DIV/0!</v>
      </c>
      <c r="BB86" s="29" t="str">
        <f t="shared" si="89"/>
        <v>#DIV/0!</v>
      </c>
      <c r="BC86" s="29" t="str">
        <f t="shared" si="89"/>
        <v>#DIV/0!</v>
      </c>
      <c r="BD86" s="29" t="str">
        <f t="shared" si="89"/>
        <v>#DIV/0!</v>
      </c>
      <c r="BE86" s="29" t="str">
        <f t="shared" si="89"/>
        <v>#DIV/0!</v>
      </c>
      <c r="BF86" s="29" t="str">
        <f t="shared" si="89"/>
        <v>#DIV/0!</v>
      </c>
      <c r="BG86" s="29" t="str">
        <f t="shared" si="89"/>
        <v>#DIV/0!</v>
      </c>
      <c r="BH86" s="29" t="str">
        <f t="shared" si="89"/>
        <v>#DIV/0!</v>
      </c>
      <c r="BI86" s="29" t="str">
        <f t="shared" si="89"/>
        <v>#DIV/0!</v>
      </c>
      <c r="BJ86" s="29" t="str">
        <f t="shared" si="89"/>
        <v>#DIV/0!</v>
      </c>
      <c r="BK86" s="29" t="str">
        <f t="shared" si="89"/>
        <v>#DIV/0!</v>
      </c>
      <c r="BL86" s="29" t="str">
        <f t="shared" si="89"/>
        <v>#DIV/0!</v>
      </c>
      <c r="BM86" s="29" t="str">
        <f t="shared" si="3"/>
        <v>#DIV/0!</v>
      </c>
    </row>
    <row r="87">
      <c r="A87" s="16" t="str">
        <f>IFERROR(__xludf.DUMMYFUNCTION("IFERROR(SPARKLINE(SORT(MAP(TRANSPOSE(AQ87:BL87), LAMBDA(val, IF(ISNUMBER(val), PERCENTRANK(AQ87:BL87, val)+0.01, 0))), SEQUENCE(COLUMNS(AQ87:BL87)), FALSE), {""charttype"",""column""; ""color"",""chartreuse""; ""ymin"", 0; ""ymax"", 1.01; ""highcolor"", "&amp;"""darkgreen""; ""lowcolor"", ""red""}), """")"),"")</f>
        <v/>
      </c>
      <c r="B87" s="17" t="str">
        <f t="shared" si="4"/>
        <v/>
      </c>
      <c r="C87" s="1" t="s">
        <v>429</v>
      </c>
      <c r="D87" s="34" t="str">
        <f>IFERROR(__xludf.DUMMYFUNCTION("IFERROR(GOOGLEFINANCE(C87, ""NAME""))"),"FinVolution Group")</f>
        <v>FinVolution Group</v>
      </c>
      <c r="E87" s="30" t="s">
        <v>145</v>
      </c>
      <c r="F87" s="33" t="str">
        <f>IFERROR(__xludf.DUMMYFUNCTION("( (GOOGLEFINANCE(C87, ""price"") - Q87) / Q87 ) / (R87 / 100)"),"Loading...")</f>
        <v>Loading...</v>
      </c>
      <c r="G87" s="20" t="str">
        <f>IFERROR(__xludf.DUMMYFUNCTION("AVERAGE(ARRAYFORMULA(100 * (QUERY(GOOGLEFINANCE(C87, ""high"", TODAY()-40, TODAY()), ""SELECT Col2 WHERE Col2 IS NOT NULL ORDER BY Col1 DESC LIMIT 20"", 0) / QUERY(GOOGLEFINANCE(C87, ""low"", TODAY()-40, TODAY()), ""SELECT Col2 WHERE Col2 IS NOT NULL ORDE"&amp;"R BY Col1 DESC LIMIT 20"", 0) - 1)))"),"#N/A")</f>
        <v>#N/A</v>
      </c>
      <c r="H87" s="35" t="str">
        <f t="shared" si="6"/>
        <v/>
      </c>
      <c r="I87" s="36" t="str">
        <f t="shared" si="7"/>
        <v/>
      </c>
      <c r="J87" s="37" t="str">
        <f>IFERROR(__xludf.DUMMYFUNCTION("IFERROR(
  IF(C87="""",, 
    IFERROR(
      GOOGLEFINANCE(C87, ""price"") * GOOGLEFINANCE(C87, ""volumeavg""), 
      GOOGLEFINANCE(C87, ""price"") * AVERAGE(QUERY(GOOGLEFINANCE(C87, ""volume"", TODAY()-40, TODAY()), ""SELECT Col2 WHERE Col2 IS NOT NULL "&amp;"ORDER BY Col1 DESC LIMIT 20"", 0))
    )
  ), 
"""")"),"")</f>
        <v/>
      </c>
      <c r="K87" s="21" t="str">
        <f>IFERROR(__xludf.DUMMYFUNCTION("IFERROR(GOOGLEFINANCE(C87, ""changepct"") / 100, """")"),"")</f>
        <v/>
      </c>
      <c r="L87" s="21" t="str">
        <f>IFERROR(__xludf.DUMMYFUNCTION("IFERROR((GOOGLEFINANCE(C87, ""price"") / INDEX(GOOGLEFINANCE(C87, ""price"", TODAY()-7, TODAY()), 2, 2)) - 1, """")"),"")</f>
        <v/>
      </c>
      <c r="M87" s="21" t="str">
        <f>IFERROR(__xludf.DUMMYFUNCTION("IFERROR((GOOGLEFINANCE(C87, ""price"") / INDEX(GOOGLEFINANCE(C87, ""price"", EDATE(TODAY(), -1), TODAY()), 2, 2)) - 1, """")"),"")</f>
        <v/>
      </c>
      <c r="N87" s="21" t="str">
        <f>IFERROR(__xludf.DUMMYFUNCTION("IFERROR((GOOGLEFINANCE(C87, ""price"") / INDEX(GOOGLEFINANCE(C87, ""price"", EDATE(TODAY(), -3), TODAY()), 2, 2)) - 1, """")"),"")</f>
        <v/>
      </c>
      <c r="O87" s="21" t="str">
        <f>IFERROR(__xludf.DUMMYFUNCTION("IFERROR((GOOGLEFINANCE(C87, ""price"") / INDEX(GOOGLEFINANCE(C87, ""price"", EDATE(TODAY(), -6), TODAY()), 2, 2)) - 1, """")"),"")</f>
        <v/>
      </c>
      <c r="P87" s="21" t="str">
        <f>IFERROR(__xludf.DUMMYFUNCTION("IFERROR((GOOGLEFINANCE(C87, ""price"") / INDEX(GOOGLEFINANCE(C87, ""price"", EDATE(TODAY(), -12), TODAY()), 2, 2)) - 1, """")"),"")</f>
        <v/>
      </c>
      <c r="Q87" s="6" t="str">
        <f>IFERROR(__xludf.DUMMYFUNCTION("AVERAGE(QUERY(GOOGLEFINANCE(C87, ""price"", TODAY()-80, TODAY()), ""SELECT Col2 WHERE Col2 IS NOT NULL ORDER BY Col1 DESC LIMIT 50"", 0))"),"#N/A")</f>
        <v>#N/A</v>
      </c>
      <c r="R87" s="24" t="str">
        <f>IFERROR(__xludf.DUMMYFUNCTION("IFERROR(
  LET(
    data, QUERY(GOOGLEFINANCE(C87,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GOOGLEFINANCE(C87, ""price"")) * 100,
    IF(calc=0, G87, calc)
  ), 
G87)"),"#N/A")</f>
        <v>#N/A</v>
      </c>
      <c r="S87" s="8" t="s">
        <v>15</v>
      </c>
      <c r="T87" s="26" t="str">
        <f>IFERROR(__xludf.DUMMYFUNCTION("IFERROR(TRANSPOSE(QUERY(IFERROR(SORT(GOOGLEFINANCE(C87, ""price"", WORKDAY(TODAY(), -40), TODAY()), 1, FALSE)), ""select Col2 where Col2 is not null limit 22 label Col2 ''"", 0)), """")"),"")</f>
        <v/>
      </c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8"/>
      <c r="AO87" s="28"/>
      <c r="AP87" s="29"/>
      <c r="AQ87" s="29" t="str">
        <f t="shared" ref="AQ87:BL87" si="90">T87/T$2</f>
        <v>#N/A</v>
      </c>
      <c r="AR87" s="29" t="str">
        <f t="shared" si="90"/>
        <v>#DIV/0!</v>
      </c>
      <c r="AS87" s="29" t="str">
        <f t="shared" si="90"/>
        <v>#DIV/0!</v>
      </c>
      <c r="AT87" s="29" t="str">
        <f t="shared" si="90"/>
        <v>#DIV/0!</v>
      </c>
      <c r="AU87" s="29" t="str">
        <f t="shared" si="90"/>
        <v>#DIV/0!</v>
      </c>
      <c r="AV87" s="29" t="str">
        <f t="shared" si="90"/>
        <v>#DIV/0!</v>
      </c>
      <c r="AW87" s="29" t="str">
        <f t="shared" si="90"/>
        <v>#DIV/0!</v>
      </c>
      <c r="AX87" s="29" t="str">
        <f t="shared" si="90"/>
        <v>#DIV/0!</v>
      </c>
      <c r="AY87" s="29" t="str">
        <f t="shared" si="90"/>
        <v>#DIV/0!</v>
      </c>
      <c r="AZ87" s="29" t="str">
        <f t="shared" si="90"/>
        <v>#DIV/0!</v>
      </c>
      <c r="BA87" s="29" t="str">
        <f t="shared" si="90"/>
        <v>#DIV/0!</v>
      </c>
      <c r="BB87" s="29" t="str">
        <f t="shared" si="90"/>
        <v>#DIV/0!</v>
      </c>
      <c r="BC87" s="29" t="str">
        <f t="shared" si="90"/>
        <v>#DIV/0!</v>
      </c>
      <c r="BD87" s="29" t="str">
        <f t="shared" si="90"/>
        <v>#DIV/0!</v>
      </c>
      <c r="BE87" s="29" t="str">
        <f t="shared" si="90"/>
        <v>#DIV/0!</v>
      </c>
      <c r="BF87" s="29" t="str">
        <f t="shared" si="90"/>
        <v>#DIV/0!</v>
      </c>
      <c r="BG87" s="29" t="str">
        <f t="shared" si="90"/>
        <v>#DIV/0!</v>
      </c>
      <c r="BH87" s="29" t="str">
        <f t="shared" si="90"/>
        <v>#DIV/0!</v>
      </c>
      <c r="BI87" s="29" t="str">
        <f t="shared" si="90"/>
        <v>#DIV/0!</v>
      </c>
      <c r="BJ87" s="29" t="str">
        <f t="shared" si="90"/>
        <v>#DIV/0!</v>
      </c>
      <c r="BK87" s="29" t="str">
        <f t="shared" si="90"/>
        <v>#DIV/0!</v>
      </c>
      <c r="BL87" s="29" t="str">
        <f t="shared" si="90"/>
        <v>#DIV/0!</v>
      </c>
      <c r="BM87" s="29" t="str">
        <f t="shared" si="3"/>
        <v>#DIV/0!</v>
      </c>
    </row>
    <row r="88">
      <c r="A88" s="16" t="str">
        <f>IFERROR(__xludf.DUMMYFUNCTION("IFERROR(SPARKLINE(SORT(MAP(TRANSPOSE(AQ88:BL88), LAMBDA(val, IF(ISNUMBER(val), PERCENTRANK(AQ88:BL88, val)+0.01, 0))), SEQUENCE(COLUMNS(AQ88:BL88)), FALSE), {""charttype"",""column""; ""color"",""chartreuse""; ""ymin"", 0; ""ymax"", 1.01; ""highcolor"", "&amp;"""darkgreen""; ""lowcolor"", ""red""}), """")"),"")</f>
        <v/>
      </c>
      <c r="B88" s="17" t="str">
        <f t="shared" si="4"/>
        <v/>
      </c>
      <c r="C88" s="1" t="s">
        <v>433</v>
      </c>
      <c r="D88" s="34" t="str">
        <f>IFERROR(__xludf.DUMMYFUNCTION("IFERROR(GOOGLEFINANCE(C88, ""NAME""))"),"Aegon Ltd")</f>
        <v>Aegon Ltd</v>
      </c>
      <c r="E88" s="30" t="s">
        <v>434</v>
      </c>
      <c r="F88" s="33" t="str">
        <f>IFERROR(__xludf.DUMMYFUNCTION("( (GOOGLEFINANCE(C88, ""price"") - Q88) / Q88 ) / (R88 / 100)"),"Loading...")</f>
        <v>Loading...</v>
      </c>
      <c r="G88" s="20" t="str">
        <f>IFERROR(__xludf.DUMMYFUNCTION("AVERAGE(ARRAYFORMULA(100 * (QUERY(GOOGLEFINANCE(C88, ""high"", TODAY()-40, TODAY()), ""SELECT Col2 WHERE Col2 IS NOT NULL ORDER BY Col1 DESC LIMIT 20"", 0) / QUERY(GOOGLEFINANCE(C88, ""low"", TODAY()-40, TODAY()), ""SELECT Col2 WHERE Col2 IS NOT NULL ORDE"&amp;"R BY Col1 DESC LIMIT 20"", 0) - 1)))"),"#N/A")</f>
        <v>#N/A</v>
      </c>
      <c r="H88" s="35" t="str">
        <f t="shared" si="6"/>
        <v/>
      </c>
      <c r="I88" s="36" t="str">
        <f t="shared" si="7"/>
        <v/>
      </c>
      <c r="J88" s="37" t="str">
        <f>IFERROR(__xludf.DUMMYFUNCTION("IFERROR(
  IF(C88="""",, 
    IFERROR(
      GOOGLEFINANCE(C88, ""price"") * GOOGLEFINANCE(C88, ""volumeavg""), 
      GOOGLEFINANCE(C88, ""price"") * AVERAGE(QUERY(GOOGLEFINANCE(C88, ""volume"", TODAY()-40, TODAY()), ""SELECT Col2 WHERE Col2 IS NOT NULL "&amp;"ORDER BY Col1 DESC LIMIT 20"", 0))
    )
  ), 
"""")"),"")</f>
        <v/>
      </c>
      <c r="K88" s="21" t="str">
        <f>IFERROR(__xludf.DUMMYFUNCTION("IFERROR(GOOGLEFINANCE(C88, ""changepct"") / 100, """")"),"")</f>
        <v/>
      </c>
      <c r="L88" s="21" t="str">
        <f>IFERROR(__xludf.DUMMYFUNCTION("IFERROR((GOOGLEFINANCE(C88, ""price"") / INDEX(GOOGLEFINANCE(C88, ""price"", TODAY()-7, TODAY()), 2, 2)) - 1, """")"),"")</f>
        <v/>
      </c>
      <c r="M88" s="21" t="str">
        <f>IFERROR(__xludf.DUMMYFUNCTION("IFERROR((GOOGLEFINANCE(C88, ""price"") / INDEX(GOOGLEFINANCE(C88, ""price"", EDATE(TODAY(), -1), TODAY()), 2, 2)) - 1, """")"),"")</f>
        <v/>
      </c>
      <c r="N88" s="21" t="str">
        <f>IFERROR(__xludf.DUMMYFUNCTION("IFERROR((GOOGLEFINANCE(C88, ""price"") / INDEX(GOOGLEFINANCE(C88, ""price"", EDATE(TODAY(), -3), TODAY()), 2, 2)) - 1, """")"),"")</f>
        <v/>
      </c>
      <c r="O88" s="21" t="str">
        <f>IFERROR(__xludf.DUMMYFUNCTION("IFERROR((GOOGLEFINANCE(C88, ""price"") / INDEX(GOOGLEFINANCE(C88, ""price"", EDATE(TODAY(), -6), TODAY()), 2, 2)) - 1, """")"),"")</f>
        <v/>
      </c>
      <c r="P88" s="21" t="str">
        <f>IFERROR(__xludf.DUMMYFUNCTION("IFERROR((GOOGLEFINANCE(C88, ""price"") / INDEX(GOOGLEFINANCE(C88, ""price"", EDATE(TODAY(), -12), TODAY()), 2, 2)) - 1, """")"),"")</f>
        <v/>
      </c>
      <c r="Q88" s="6" t="str">
        <f>IFERROR(__xludf.DUMMYFUNCTION("AVERAGE(QUERY(GOOGLEFINANCE(C88, ""price"", TODAY()-80, TODAY()), ""SELECT Col2 WHERE Col2 IS NOT NULL ORDER BY Col1 DESC LIMIT 50"", 0))"),"#N/A")</f>
        <v>#N/A</v>
      </c>
      <c r="R88" s="24" t="str">
        <f>IFERROR(__xludf.DUMMYFUNCTION("IFERROR(
  LET(
    data, QUERY(GOOGLEFINANCE(C88,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GOOGLEFINANCE(C88, ""price"")) * 100,
    IF(calc=0, G88, calc)
  ), 
G88)"),"#N/A")</f>
        <v>#N/A</v>
      </c>
      <c r="S88" s="8" t="s">
        <v>15</v>
      </c>
      <c r="T88" s="26" t="str">
        <f>IFERROR(__xludf.DUMMYFUNCTION("IFERROR(TRANSPOSE(QUERY(IFERROR(SORT(GOOGLEFINANCE(C88, ""price"", WORKDAY(TODAY(), -40), TODAY()), 1, FALSE)), ""select Col2 where Col2 is not null limit 22 label Col2 ''"", 0)), """")"),"")</f>
        <v/>
      </c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8"/>
      <c r="AO88" s="28"/>
      <c r="AP88" s="29"/>
      <c r="AQ88" s="29" t="str">
        <f t="shared" ref="AQ88:BL88" si="91">T88/T$2</f>
        <v>#N/A</v>
      </c>
      <c r="AR88" s="29" t="str">
        <f t="shared" si="91"/>
        <v>#DIV/0!</v>
      </c>
      <c r="AS88" s="29" t="str">
        <f t="shared" si="91"/>
        <v>#DIV/0!</v>
      </c>
      <c r="AT88" s="29" t="str">
        <f t="shared" si="91"/>
        <v>#DIV/0!</v>
      </c>
      <c r="AU88" s="29" t="str">
        <f t="shared" si="91"/>
        <v>#DIV/0!</v>
      </c>
      <c r="AV88" s="29" t="str">
        <f t="shared" si="91"/>
        <v>#DIV/0!</v>
      </c>
      <c r="AW88" s="29" t="str">
        <f t="shared" si="91"/>
        <v>#DIV/0!</v>
      </c>
      <c r="AX88" s="29" t="str">
        <f t="shared" si="91"/>
        <v>#DIV/0!</v>
      </c>
      <c r="AY88" s="29" t="str">
        <f t="shared" si="91"/>
        <v>#DIV/0!</v>
      </c>
      <c r="AZ88" s="29" t="str">
        <f t="shared" si="91"/>
        <v>#DIV/0!</v>
      </c>
      <c r="BA88" s="29" t="str">
        <f t="shared" si="91"/>
        <v>#DIV/0!</v>
      </c>
      <c r="BB88" s="29" t="str">
        <f t="shared" si="91"/>
        <v>#DIV/0!</v>
      </c>
      <c r="BC88" s="29" t="str">
        <f t="shared" si="91"/>
        <v>#DIV/0!</v>
      </c>
      <c r="BD88" s="29" t="str">
        <f t="shared" si="91"/>
        <v>#DIV/0!</v>
      </c>
      <c r="BE88" s="29" t="str">
        <f t="shared" si="91"/>
        <v>#DIV/0!</v>
      </c>
      <c r="BF88" s="29" t="str">
        <f t="shared" si="91"/>
        <v>#DIV/0!</v>
      </c>
      <c r="BG88" s="29" t="str">
        <f t="shared" si="91"/>
        <v>#DIV/0!</v>
      </c>
      <c r="BH88" s="29" t="str">
        <f t="shared" si="91"/>
        <v>#DIV/0!</v>
      </c>
      <c r="BI88" s="29" t="str">
        <f t="shared" si="91"/>
        <v>#DIV/0!</v>
      </c>
      <c r="BJ88" s="29" t="str">
        <f t="shared" si="91"/>
        <v>#DIV/0!</v>
      </c>
      <c r="BK88" s="29" t="str">
        <f t="shared" si="91"/>
        <v>#DIV/0!</v>
      </c>
      <c r="BL88" s="29" t="str">
        <f t="shared" si="91"/>
        <v>#DIV/0!</v>
      </c>
      <c r="BM88" s="29" t="str">
        <f t="shared" si="3"/>
        <v>#DIV/0!</v>
      </c>
    </row>
    <row r="89">
      <c r="A89" s="16" t="str">
        <f>IFERROR(__xludf.DUMMYFUNCTION("IFERROR(SPARKLINE(SORT(MAP(TRANSPOSE(AQ89:BL89), LAMBDA(val, IF(ISNUMBER(val), PERCENTRANK(AQ89:BL89, val)+0.01, 0))), SEQUENCE(COLUMNS(AQ89:BL89)), FALSE), {""charttype"",""column""; ""color"",""chartreuse""; ""ymin"", 0; ""ymax"", 1.01; ""highcolor"", "&amp;"""darkgreen""; ""lowcolor"", ""red""}), """")"),"")</f>
        <v/>
      </c>
      <c r="B89" s="17" t="str">
        <f t="shared" si="4"/>
        <v/>
      </c>
      <c r="C89" s="1" t="s">
        <v>438</v>
      </c>
      <c r="D89" s="34" t="str">
        <f>IFERROR(__xludf.DUMMYFUNCTION("IFERROR(GOOGLEFINANCE(C89, ""NAME""))"),"UMB Financial Corp")</f>
        <v>UMB Financial Corp</v>
      </c>
      <c r="E89" s="30" t="s">
        <v>268</v>
      </c>
      <c r="F89" s="33" t="str">
        <f>IFERROR(__xludf.DUMMYFUNCTION("( (GOOGLEFINANCE(C89, ""price"") - Q89) / Q89 ) / (R89 / 100)"),"Loading...")</f>
        <v>Loading...</v>
      </c>
      <c r="G89" s="20" t="str">
        <f>IFERROR(__xludf.DUMMYFUNCTION("AVERAGE(ARRAYFORMULA(100 * (QUERY(GOOGLEFINANCE(C89, ""high"", TODAY()-40, TODAY()), ""SELECT Col2 WHERE Col2 IS NOT NULL ORDER BY Col1 DESC LIMIT 20"", 0) / QUERY(GOOGLEFINANCE(C89, ""low"", TODAY()-40, TODAY()), ""SELECT Col2 WHERE Col2 IS NOT NULL ORDE"&amp;"R BY Col1 DESC LIMIT 20"", 0) - 1)))"),"#N/A")</f>
        <v>#N/A</v>
      </c>
      <c r="H89" s="35" t="str">
        <f t="shared" si="6"/>
        <v/>
      </c>
      <c r="I89" s="36" t="str">
        <f t="shared" si="7"/>
        <v/>
      </c>
      <c r="J89" s="37" t="str">
        <f>IFERROR(__xludf.DUMMYFUNCTION("IFERROR(
  IF(C89="""",, 
    IFERROR(
      GOOGLEFINANCE(C89, ""price"") * GOOGLEFINANCE(C89, ""volumeavg""), 
      GOOGLEFINANCE(C89, ""price"") * AVERAGE(QUERY(GOOGLEFINANCE(C89, ""volume"", TODAY()-40, TODAY()), ""SELECT Col2 WHERE Col2 IS NOT NULL "&amp;"ORDER BY Col1 DESC LIMIT 20"", 0))
    )
  ), 
"""")"),"")</f>
        <v/>
      </c>
      <c r="K89" s="21" t="str">
        <f>IFERROR(__xludf.DUMMYFUNCTION("IFERROR(GOOGLEFINANCE(C89, ""changepct"") / 100, """")"),"")</f>
        <v/>
      </c>
      <c r="L89" s="21" t="str">
        <f>IFERROR(__xludf.DUMMYFUNCTION("IFERROR((GOOGLEFINANCE(C89, ""price"") / INDEX(GOOGLEFINANCE(C89, ""price"", TODAY()-7, TODAY()), 2, 2)) - 1, """")"),"")</f>
        <v/>
      </c>
      <c r="M89" s="21" t="str">
        <f>IFERROR(__xludf.DUMMYFUNCTION("IFERROR((GOOGLEFINANCE(C89, ""price"") / INDEX(GOOGLEFINANCE(C89, ""price"", EDATE(TODAY(), -1), TODAY()), 2, 2)) - 1, """")"),"")</f>
        <v/>
      </c>
      <c r="N89" s="21" t="str">
        <f>IFERROR(__xludf.DUMMYFUNCTION("IFERROR((GOOGLEFINANCE(C89, ""price"") / INDEX(GOOGLEFINANCE(C89, ""price"", EDATE(TODAY(), -3), TODAY()), 2, 2)) - 1, """")"),"")</f>
        <v/>
      </c>
      <c r="O89" s="21" t="str">
        <f>IFERROR(__xludf.DUMMYFUNCTION("IFERROR((GOOGLEFINANCE(C89, ""price"") / INDEX(GOOGLEFINANCE(C89, ""price"", EDATE(TODAY(), -6), TODAY()), 2, 2)) - 1, """")"),"")</f>
        <v/>
      </c>
      <c r="P89" s="21" t="str">
        <f>IFERROR(__xludf.DUMMYFUNCTION("IFERROR((GOOGLEFINANCE(C89, ""price"") / INDEX(GOOGLEFINANCE(C89, ""price"", EDATE(TODAY(), -12), TODAY()), 2, 2)) - 1, """")"),"")</f>
        <v/>
      </c>
      <c r="Q89" s="6" t="str">
        <f>IFERROR(__xludf.DUMMYFUNCTION("AVERAGE(QUERY(GOOGLEFINANCE(C89, ""price"", TODAY()-80, TODAY()), ""SELECT Col2 WHERE Col2 IS NOT NULL ORDER BY Col1 DESC LIMIT 50"", 0))"),"#N/A")</f>
        <v>#N/A</v>
      </c>
      <c r="R89" s="24" t="str">
        <f>IFERROR(__xludf.DUMMYFUNCTION("IFERROR(
  LET(
    data, QUERY(GOOGLEFINANCE(C89,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GOOGLEFINANCE(C89, ""price"")) * 100,
    IF(calc=0, G89, calc)
  ), 
G89)"),"#N/A")</f>
        <v>#N/A</v>
      </c>
      <c r="S89" s="8" t="s">
        <v>15</v>
      </c>
      <c r="T89" s="26" t="str">
        <f>IFERROR(__xludf.DUMMYFUNCTION("IFERROR(TRANSPOSE(QUERY(IFERROR(SORT(GOOGLEFINANCE(C89, ""price"", WORKDAY(TODAY(), -40), TODAY()), 1, FALSE)), ""select Col2 where Col2 is not null limit 22 label Col2 ''"", 0)), """")"),"")</f>
        <v/>
      </c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8"/>
      <c r="AO89" s="28"/>
      <c r="AP89" s="29"/>
      <c r="AQ89" s="29" t="str">
        <f t="shared" ref="AQ89:BL89" si="92">T89/T$2</f>
        <v>#N/A</v>
      </c>
      <c r="AR89" s="29" t="str">
        <f t="shared" si="92"/>
        <v>#DIV/0!</v>
      </c>
      <c r="AS89" s="29" t="str">
        <f t="shared" si="92"/>
        <v>#DIV/0!</v>
      </c>
      <c r="AT89" s="29" t="str">
        <f t="shared" si="92"/>
        <v>#DIV/0!</v>
      </c>
      <c r="AU89" s="29" t="str">
        <f t="shared" si="92"/>
        <v>#DIV/0!</v>
      </c>
      <c r="AV89" s="29" t="str">
        <f t="shared" si="92"/>
        <v>#DIV/0!</v>
      </c>
      <c r="AW89" s="29" t="str">
        <f t="shared" si="92"/>
        <v>#DIV/0!</v>
      </c>
      <c r="AX89" s="29" t="str">
        <f t="shared" si="92"/>
        <v>#DIV/0!</v>
      </c>
      <c r="AY89" s="29" t="str">
        <f t="shared" si="92"/>
        <v>#DIV/0!</v>
      </c>
      <c r="AZ89" s="29" t="str">
        <f t="shared" si="92"/>
        <v>#DIV/0!</v>
      </c>
      <c r="BA89" s="29" t="str">
        <f t="shared" si="92"/>
        <v>#DIV/0!</v>
      </c>
      <c r="BB89" s="29" t="str">
        <f t="shared" si="92"/>
        <v>#DIV/0!</v>
      </c>
      <c r="BC89" s="29" t="str">
        <f t="shared" si="92"/>
        <v>#DIV/0!</v>
      </c>
      <c r="BD89" s="29" t="str">
        <f t="shared" si="92"/>
        <v>#DIV/0!</v>
      </c>
      <c r="BE89" s="29" t="str">
        <f t="shared" si="92"/>
        <v>#DIV/0!</v>
      </c>
      <c r="BF89" s="29" t="str">
        <f t="shared" si="92"/>
        <v>#DIV/0!</v>
      </c>
      <c r="BG89" s="29" t="str">
        <f t="shared" si="92"/>
        <v>#DIV/0!</v>
      </c>
      <c r="BH89" s="29" t="str">
        <f t="shared" si="92"/>
        <v>#DIV/0!</v>
      </c>
      <c r="BI89" s="29" t="str">
        <f t="shared" si="92"/>
        <v>#DIV/0!</v>
      </c>
      <c r="BJ89" s="29" t="str">
        <f t="shared" si="92"/>
        <v>#DIV/0!</v>
      </c>
      <c r="BK89" s="29" t="str">
        <f t="shared" si="92"/>
        <v>#DIV/0!</v>
      </c>
      <c r="BL89" s="29" t="str">
        <f t="shared" si="92"/>
        <v>#DIV/0!</v>
      </c>
      <c r="BM89" s="29" t="str">
        <f t="shared" si="3"/>
        <v>#DIV/0!</v>
      </c>
    </row>
    <row r="90">
      <c r="A90" s="16" t="str">
        <f>IFERROR(__xludf.DUMMYFUNCTION("IFERROR(SPARKLINE(SORT(MAP(TRANSPOSE(AQ90:BL90), LAMBDA(val, IF(ISNUMBER(val), PERCENTRANK(AQ90:BL90, val)+0.01, 0))), SEQUENCE(COLUMNS(AQ90:BL90)), FALSE), {""charttype"",""column""; ""color"",""chartreuse""; ""ymin"", 0; ""ymax"", 1.01; ""highcolor"", "&amp;"""darkgreen""; ""lowcolor"", ""red""}), """")"),"")</f>
        <v/>
      </c>
      <c r="B90" s="17" t="str">
        <f t="shared" si="4"/>
        <v/>
      </c>
      <c r="C90" s="1" t="s">
        <v>442</v>
      </c>
      <c r="D90" s="34" t="str">
        <f>IFERROR(__xludf.DUMMYFUNCTION("IFERROR(GOOGLEFINANCE(C90, ""NAME""))"),"Pioneer Bancorp Inc")</f>
        <v>Pioneer Bancorp Inc</v>
      </c>
      <c r="E90" s="30" t="s">
        <v>268</v>
      </c>
      <c r="F90" s="33" t="str">
        <f>IFERROR(__xludf.DUMMYFUNCTION("( (GOOGLEFINANCE(C90, ""price"") - Q90) / Q90 ) / (R90 / 100)"),"Loading...")</f>
        <v>Loading...</v>
      </c>
      <c r="G90" s="20" t="str">
        <f>IFERROR(__xludf.DUMMYFUNCTION("AVERAGE(ARRAYFORMULA(100 * (QUERY(GOOGLEFINANCE(C90, ""high"", TODAY()-40, TODAY()), ""SELECT Col2 WHERE Col2 IS NOT NULL ORDER BY Col1 DESC LIMIT 20"", 0) / QUERY(GOOGLEFINANCE(C90, ""low"", TODAY()-40, TODAY()), ""SELECT Col2 WHERE Col2 IS NOT NULL ORDE"&amp;"R BY Col1 DESC LIMIT 20"", 0) - 1)))"),"#N/A")</f>
        <v>#N/A</v>
      </c>
      <c r="H90" s="35" t="str">
        <f t="shared" si="6"/>
        <v/>
      </c>
      <c r="I90" s="36" t="str">
        <f t="shared" si="7"/>
        <v/>
      </c>
      <c r="J90" s="37" t="str">
        <f>IFERROR(__xludf.DUMMYFUNCTION("IFERROR(
  IF(C90="""",, 
    IFERROR(
      GOOGLEFINANCE(C90, ""price"") * GOOGLEFINANCE(C90, ""volumeavg""), 
      GOOGLEFINANCE(C90, ""price"") * AVERAGE(QUERY(GOOGLEFINANCE(C90, ""volume"", TODAY()-40, TODAY()), ""SELECT Col2 WHERE Col2 IS NOT NULL "&amp;"ORDER BY Col1 DESC LIMIT 20"", 0))
    )
  ), 
"""")"),"")</f>
        <v/>
      </c>
      <c r="K90" s="21" t="str">
        <f>IFERROR(__xludf.DUMMYFUNCTION("IFERROR(GOOGLEFINANCE(C90, ""changepct"") / 100, """")"),"")</f>
        <v/>
      </c>
      <c r="L90" s="21" t="str">
        <f>IFERROR(__xludf.DUMMYFUNCTION("IFERROR((GOOGLEFINANCE(C90, ""price"") / INDEX(GOOGLEFINANCE(C90, ""price"", TODAY()-7, TODAY()), 2, 2)) - 1, """")"),"")</f>
        <v/>
      </c>
      <c r="M90" s="21" t="str">
        <f>IFERROR(__xludf.DUMMYFUNCTION("IFERROR((GOOGLEFINANCE(C90, ""price"") / INDEX(GOOGLEFINANCE(C90, ""price"", EDATE(TODAY(), -1), TODAY()), 2, 2)) - 1, """")"),"")</f>
        <v/>
      </c>
      <c r="N90" s="21" t="str">
        <f>IFERROR(__xludf.DUMMYFUNCTION("IFERROR((GOOGLEFINANCE(C90, ""price"") / INDEX(GOOGLEFINANCE(C90, ""price"", EDATE(TODAY(), -3), TODAY()), 2, 2)) - 1, """")"),"")</f>
        <v/>
      </c>
      <c r="O90" s="21" t="str">
        <f>IFERROR(__xludf.DUMMYFUNCTION("IFERROR((GOOGLEFINANCE(C90, ""price"") / INDEX(GOOGLEFINANCE(C90, ""price"", EDATE(TODAY(), -6), TODAY()), 2, 2)) - 1, """")"),"")</f>
        <v/>
      </c>
      <c r="P90" s="21" t="str">
        <f>IFERROR(__xludf.DUMMYFUNCTION("IFERROR((GOOGLEFINANCE(C90, ""price"") / INDEX(GOOGLEFINANCE(C90, ""price"", EDATE(TODAY(), -12), TODAY()), 2, 2)) - 1, """")"),"")</f>
        <v/>
      </c>
      <c r="Q90" s="6" t="str">
        <f>IFERROR(__xludf.DUMMYFUNCTION("AVERAGE(QUERY(GOOGLEFINANCE(C90, ""price"", TODAY()-80, TODAY()), ""SELECT Col2 WHERE Col2 IS NOT NULL ORDER BY Col1 DESC LIMIT 50"", 0))"),"#N/A")</f>
        <v>#N/A</v>
      </c>
      <c r="R90" s="24" t="str">
        <f>IFERROR(__xludf.DUMMYFUNCTION("IFERROR(
  LET(
    data, QUERY(GOOGLEFINANCE(C90,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GOOGLEFINANCE(C90, ""price"")) * 100,
    IF(calc=0, G90, calc)
  ), 
G90)"),"#N/A")</f>
        <v>#N/A</v>
      </c>
      <c r="S90" s="8" t="s">
        <v>15</v>
      </c>
      <c r="T90" s="26" t="str">
        <f>IFERROR(__xludf.DUMMYFUNCTION("IFERROR(TRANSPOSE(QUERY(IFERROR(SORT(GOOGLEFINANCE(C90, ""price"", WORKDAY(TODAY(), -40), TODAY()), 1, FALSE)), ""select Col2 where Col2 is not null limit 22 label Col2 ''"", 0)), """")"),"")</f>
        <v/>
      </c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8"/>
      <c r="AO90" s="28"/>
      <c r="AP90" s="29"/>
      <c r="AQ90" s="29" t="str">
        <f t="shared" ref="AQ90:BL90" si="93">T90/T$2</f>
        <v>#N/A</v>
      </c>
      <c r="AR90" s="29" t="str">
        <f t="shared" si="93"/>
        <v>#DIV/0!</v>
      </c>
      <c r="AS90" s="29" t="str">
        <f t="shared" si="93"/>
        <v>#DIV/0!</v>
      </c>
      <c r="AT90" s="29" t="str">
        <f t="shared" si="93"/>
        <v>#DIV/0!</v>
      </c>
      <c r="AU90" s="29" t="str">
        <f t="shared" si="93"/>
        <v>#DIV/0!</v>
      </c>
      <c r="AV90" s="29" t="str">
        <f t="shared" si="93"/>
        <v>#DIV/0!</v>
      </c>
      <c r="AW90" s="29" t="str">
        <f t="shared" si="93"/>
        <v>#DIV/0!</v>
      </c>
      <c r="AX90" s="29" t="str">
        <f t="shared" si="93"/>
        <v>#DIV/0!</v>
      </c>
      <c r="AY90" s="29" t="str">
        <f t="shared" si="93"/>
        <v>#DIV/0!</v>
      </c>
      <c r="AZ90" s="29" t="str">
        <f t="shared" si="93"/>
        <v>#DIV/0!</v>
      </c>
      <c r="BA90" s="29" t="str">
        <f t="shared" si="93"/>
        <v>#DIV/0!</v>
      </c>
      <c r="BB90" s="29" t="str">
        <f t="shared" si="93"/>
        <v>#DIV/0!</v>
      </c>
      <c r="BC90" s="29" t="str">
        <f t="shared" si="93"/>
        <v>#DIV/0!</v>
      </c>
      <c r="BD90" s="29" t="str">
        <f t="shared" si="93"/>
        <v>#DIV/0!</v>
      </c>
      <c r="BE90" s="29" t="str">
        <f t="shared" si="93"/>
        <v>#DIV/0!</v>
      </c>
      <c r="BF90" s="29" t="str">
        <f t="shared" si="93"/>
        <v>#DIV/0!</v>
      </c>
      <c r="BG90" s="29" t="str">
        <f t="shared" si="93"/>
        <v>#DIV/0!</v>
      </c>
      <c r="BH90" s="29" t="str">
        <f t="shared" si="93"/>
        <v>#DIV/0!</v>
      </c>
      <c r="BI90" s="29" t="str">
        <f t="shared" si="93"/>
        <v>#DIV/0!</v>
      </c>
      <c r="BJ90" s="29" t="str">
        <f t="shared" si="93"/>
        <v>#DIV/0!</v>
      </c>
      <c r="BK90" s="29" t="str">
        <f t="shared" si="93"/>
        <v>#DIV/0!</v>
      </c>
      <c r="BL90" s="29" t="str">
        <f t="shared" si="93"/>
        <v>#DIV/0!</v>
      </c>
      <c r="BM90" s="29" t="str">
        <f t="shared" si="3"/>
        <v>#DIV/0!</v>
      </c>
    </row>
    <row r="91">
      <c r="A91" s="16" t="str">
        <f>IFERROR(__xludf.DUMMYFUNCTION("IFERROR(SPARKLINE(SORT(MAP(TRANSPOSE(AQ91:BL91), LAMBDA(val, IF(ISNUMBER(val), PERCENTRANK(AQ91:BL91, val)+0.01, 0))), SEQUENCE(COLUMNS(AQ91:BL91)), FALSE), {""charttype"",""column""; ""color"",""chartreuse""; ""ymin"", 0; ""ymax"", 1.01; ""highcolor"", "&amp;"""darkgreen""; ""lowcolor"", ""red""}), """")"),"")</f>
        <v/>
      </c>
      <c r="B91" s="17" t="str">
        <f t="shared" si="4"/>
        <v/>
      </c>
      <c r="C91" s="1" t="s">
        <v>449</v>
      </c>
      <c r="D91" s="34" t="str">
        <f>IFERROR(__xludf.DUMMYFUNCTION("IFERROR(GOOGLEFINANCE(C91, ""NAME""))"),"MBIA Inc")</f>
        <v>MBIA Inc</v>
      </c>
      <c r="E91" s="30" t="s">
        <v>276</v>
      </c>
      <c r="F91" s="33" t="str">
        <f>IFERROR(__xludf.DUMMYFUNCTION("( (GOOGLEFINANCE(C91, ""price"") - Q91) / Q91 ) / (R91 / 100)"),"Loading...")</f>
        <v>Loading...</v>
      </c>
      <c r="G91" s="20" t="str">
        <f>IFERROR(__xludf.DUMMYFUNCTION("AVERAGE(ARRAYFORMULA(100 * (QUERY(GOOGLEFINANCE(C91, ""high"", TODAY()-40, TODAY()), ""SELECT Col2 WHERE Col2 IS NOT NULL ORDER BY Col1 DESC LIMIT 20"", 0) / QUERY(GOOGLEFINANCE(C91, ""low"", TODAY()-40, TODAY()), ""SELECT Col2 WHERE Col2 IS NOT NULL ORDE"&amp;"R BY Col1 DESC LIMIT 20"", 0) - 1)))"),"#N/A")</f>
        <v>#N/A</v>
      </c>
      <c r="H91" s="35" t="str">
        <f t="shared" si="6"/>
        <v/>
      </c>
      <c r="I91" s="36" t="str">
        <f t="shared" si="7"/>
        <v/>
      </c>
      <c r="J91" s="37" t="str">
        <f>IFERROR(__xludf.DUMMYFUNCTION("IFERROR(
  IF(C91="""",, 
    IFERROR(
      GOOGLEFINANCE(C91, ""price"") * GOOGLEFINANCE(C91, ""volumeavg""), 
      GOOGLEFINANCE(C91, ""price"") * AVERAGE(QUERY(GOOGLEFINANCE(C91, ""volume"", TODAY()-40, TODAY()), ""SELECT Col2 WHERE Col2 IS NOT NULL "&amp;"ORDER BY Col1 DESC LIMIT 20"", 0))
    )
  ), 
"""")"),"")</f>
        <v/>
      </c>
      <c r="K91" s="21" t="str">
        <f>IFERROR(__xludf.DUMMYFUNCTION("IFERROR(GOOGLEFINANCE(C91, ""changepct"") / 100, """")"),"")</f>
        <v/>
      </c>
      <c r="L91" s="21" t="str">
        <f>IFERROR(__xludf.DUMMYFUNCTION("IFERROR((GOOGLEFINANCE(C91, ""price"") / INDEX(GOOGLEFINANCE(C91, ""price"", TODAY()-7, TODAY()), 2, 2)) - 1, """")"),"")</f>
        <v/>
      </c>
      <c r="M91" s="21" t="str">
        <f>IFERROR(__xludf.DUMMYFUNCTION("IFERROR((GOOGLEFINANCE(C91, ""price"") / INDEX(GOOGLEFINANCE(C91, ""price"", EDATE(TODAY(), -1), TODAY()), 2, 2)) - 1, """")"),"")</f>
        <v/>
      </c>
      <c r="N91" s="21" t="str">
        <f>IFERROR(__xludf.DUMMYFUNCTION("IFERROR((GOOGLEFINANCE(C91, ""price"") / INDEX(GOOGLEFINANCE(C91, ""price"", EDATE(TODAY(), -3), TODAY()), 2, 2)) - 1, """")"),"")</f>
        <v/>
      </c>
      <c r="O91" s="21" t="str">
        <f>IFERROR(__xludf.DUMMYFUNCTION("IFERROR((GOOGLEFINANCE(C91, ""price"") / INDEX(GOOGLEFINANCE(C91, ""price"", EDATE(TODAY(), -6), TODAY()), 2, 2)) - 1, """")"),"")</f>
        <v/>
      </c>
      <c r="P91" s="21" t="str">
        <f>IFERROR(__xludf.DUMMYFUNCTION("IFERROR((GOOGLEFINANCE(C91, ""price"") / INDEX(GOOGLEFINANCE(C91, ""price"", EDATE(TODAY(), -12), TODAY()), 2, 2)) - 1, """")"),"")</f>
        <v/>
      </c>
      <c r="Q91" s="6" t="str">
        <f>IFERROR(__xludf.DUMMYFUNCTION("AVERAGE(QUERY(GOOGLEFINANCE(C91, ""price"", TODAY()-80, TODAY()), ""SELECT Col2 WHERE Col2 IS NOT NULL ORDER BY Col1 DESC LIMIT 50"", 0))"),"#N/A")</f>
        <v>#N/A</v>
      </c>
      <c r="R91" s="24" t="str">
        <f>IFERROR(__xludf.DUMMYFUNCTION("IFERROR(
  LET(
    data, QUERY(GOOGLEFINANCE(C91,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GOOGLEFINANCE(C91, ""price"")) * 100,
    IF(calc=0, G91, calc)
  ), 
G91)"),"#N/A")</f>
        <v>#N/A</v>
      </c>
      <c r="S91" s="8" t="s">
        <v>15</v>
      </c>
      <c r="T91" s="26" t="str">
        <f>IFERROR(__xludf.DUMMYFUNCTION("IFERROR(TRANSPOSE(QUERY(IFERROR(SORT(GOOGLEFINANCE(C91, ""price"", WORKDAY(TODAY(), -40), TODAY()), 1, FALSE)), ""select Col2 where Col2 is not null limit 22 label Col2 ''"", 0)), """")"),"")</f>
        <v/>
      </c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8"/>
      <c r="AO91" s="28"/>
      <c r="AP91" s="29"/>
      <c r="AQ91" s="29" t="str">
        <f t="shared" ref="AQ91:BL91" si="94">T91/T$2</f>
        <v>#N/A</v>
      </c>
      <c r="AR91" s="29" t="str">
        <f t="shared" si="94"/>
        <v>#DIV/0!</v>
      </c>
      <c r="AS91" s="29" t="str">
        <f t="shared" si="94"/>
        <v>#DIV/0!</v>
      </c>
      <c r="AT91" s="29" t="str">
        <f t="shared" si="94"/>
        <v>#DIV/0!</v>
      </c>
      <c r="AU91" s="29" t="str">
        <f t="shared" si="94"/>
        <v>#DIV/0!</v>
      </c>
      <c r="AV91" s="29" t="str">
        <f t="shared" si="94"/>
        <v>#DIV/0!</v>
      </c>
      <c r="AW91" s="29" t="str">
        <f t="shared" si="94"/>
        <v>#DIV/0!</v>
      </c>
      <c r="AX91" s="29" t="str">
        <f t="shared" si="94"/>
        <v>#DIV/0!</v>
      </c>
      <c r="AY91" s="29" t="str">
        <f t="shared" si="94"/>
        <v>#DIV/0!</v>
      </c>
      <c r="AZ91" s="29" t="str">
        <f t="shared" si="94"/>
        <v>#DIV/0!</v>
      </c>
      <c r="BA91" s="29" t="str">
        <f t="shared" si="94"/>
        <v>#DIV/0!</v>
      </c>
      <c r="BB91" s="29" t="str">
        <f t="shared" si="94"/>
        <v>#DIV/0!</v>
      </c>
      <c r="BC91" s="29" t="str">
        <f t="shared" si="94"/>
        <v>#DIV/0!</v>
      </c>
      <c r="BD91" s="29" t="str">
        <f t="shared" si="94"/>
        <v>#DIV/0!</v>
      </c>
      <c r="BE91" s="29" t="str">
        <f t="shared" si="94"/>
        <v>#DIV/0!</v>
      </c>
      <c r="BF91" s="29" t="str">
        <f t="shared" si="94"/>
        <v>#DIV/0!</v>
      </c>
      <c r="BG91" s="29" t="str">
        <f t="shared" si="94"/>
        <v>#DIV/0!</v>
      </c>
      <c r="BH91" s="29" t="str">
        <f t="shared" si="94"/>
        <v>#DIV/0!</v>
      </c>
      <c r="BI91" s="29" t="str">
        <f t="shared" si="94"/>
        <v>#DIV/0!</v>
      </c>
      <c r="BJ91" s="29" t="str">
        <f t="shared" si="94"/>
        <v>#DIV/0!</v>
      </c>
      <c r="BK91" s="29" t="str">
        <f t="shared" si="94"/>
        <v>#DIV/0!</v>
      </c>
      <c r="BL91" s="29" t="str">
        <f t="shared" si="94"/>
        <v>#DIV/0!</v>
      </c>
      <c r="BM91" s="29" t="str">
        <f t="shared" si="3"/>
        <v>#DIV/0!</v>
      </c>
    </row>
    <row r="92">
      <c r="A92" s="16" t="str">
        <f>IFERROR(__xludf.DUMMYFUNCTION("IFERROR(SPARKLINE(SORT(MAP(TRANSPOSE(AQ92:BL92), LAMBDA(val, IF(ISNUMBER(val), PERCENTRANK(AQ92:BL92, val)+0.01, 0))), SEQUENCE(COLUMNS(AQ92:BL92)), FALSE), {""charttype"",""column""; ""color"",""chartreuse""; ""ymin"", 0; ""ymax"", 1.01; ""highcolor"", "&amp;"""darkgreen""; ""lowcolor"", ""red""}), """")"),"")</f>
        <v/>
      </c>
      <c r="B92" s="17" t="str">
        <f t="shared" si="4"/>
        <v/>
      </c>
      <c r="C92" s="1" t="s">
        <v>453</v>
      </c>
      <c r="D92" s="34" t="str">
        <f>IFERROR(__xludf.DUMMYFUNCTION("IFERROR(GOOGLEFINANCE(C92, ""NAME""))"),"Berkshire Hathaway Inc Class B")</f>
        <v>Berkshire Hathaway Inc Class B</v>
      </c>
      <c r="E92" s="30" t="s">
        <v>434</v>
      </c>
      <c r="F92" s="33" t="str">
        <f>IFERROR(__xludf.DUMMYFUNCTION("( (GOOGLEFINANCE(C92, ""price"") - Q92) / Q92 ) / (R92 / 100)"),"Loading...")</f>
        <v>Loading...</v>
      </c>
      <c r="G92" s="20" t="str">
        <f>IFERROR(__xludf.DUMMYFUNCTION("AVERAGE(ARRAYFORMULA(100 * (QUERY(GOOGLEFINANCE(C92, ""high"", TODAY()-40, TODAY()), ""SELECT Col2 WHERE Col2 IS NOT NULL ORDER BY Col1 DESC LIMIT 20"", 0) / QUERY(GOOGLEFINANCE(C92, ""low"", TODAY()-40, TODAY()), ""SELECT Col2 WHERE Col2 IS NOT NULL ORDE"&amp;"R BY Col1 DESC LIMIT 20"", 0) - 1)))"),"#N/A")</f>
        <v>#N/A</v>
      </c>
      <c r="H92" s="35" t="str">
        <f t="shared" si="6"/>
        <v/>
      </c>
      <c r="I92" s="36" t="str">
        <f t="shared" si="7"/>
        <v/>
      </c>
      <c r="J92" s="37" t="str">
        <f>IFERROR(__xludf.DUMMYFUNCTION("IFERROR(
  IF(C92="""",, 
    IFERROR(
      GOOGLEFINANCE(C92, ""price"") * GOOGLEFINANCE(C92, ""volumeavg""), 
      GOOGLEFINANCE(C92, ""price"") * AVERAGE(QUERY(GOOGLEFINANCE(C92, ""volume"", TODAY()-40, TODAY()), ""SELECT Col2 WHERE Col2 IS NOT NULL "&amp;"ORDER BY Col1 DESC LIMIT 20"", 0))
    )
  ), 
"""")"),"")</f>
        <v/>
      </c>
      <c r="K92" s="21" t="str">
        <f>IFERROR(__xludf.DUMMYFUNCTION("IFERROR(GOOGLEFINANCE(C92, ""changepct"") / 100, """")"),"")</f>
        <v/>
      </c>
      <c r="L92" s="21" t="str">
        <f>IFERROR(__xludf.DUMMYFUNCTION("IFERROR((GOOGLEFINANCE(C92, ""price"") / INDEX(GOOGLEFINANCE(C92, ""price"", TODAY()-7, TODAY()), 2, 2)) - 1, """")"),"")</f>
        <v/>
      </c>
      <c r="M92" s="21" t="str">
        <f>IFERROR(__xludf.DUMMYFUNCTION("IFERROR((GOOGLEFINANCE(C92, ""price"") / INDEX(GOOGLEFINANCE(C92, ""price"", EDATE(TODAY(), -1), TODAY()), 2, 2)) - 1, """")"),"")</f>
        <v/>
      </c>
      <c r="N92" s="21" t="str">
        <f>IFERROR(__xludf.DUMMYFUNCTION("IFERROR((GOOGLEFINANCE(C92, ""price"") / INDEX(GOOGLEFINANCE(C92, ""price"", EDATE(TODAY(), -3), TODAY()), 2, 2)) - 1, """")"),"")</f>
        <v/>
      </c>
      <c r="O92" s="21" t="str">
        <f>IFERROR(__xludf.DUMMYFUNCTION("IFERROR((GOOGLEFINANCE(C92, ""price"") / INDEX(GOOGLEFINANCE(C92, ""price"", EDATE(TODAY(), -6), TODAY()), 2, 2)) - 1, """")"),"")</f>
        <v/>
      </c>
      <c r="P92" s="21" t="str">
        <f>IFERROR(__xludf.DUMMYFUNCTION("IFERROR((GOOGLEFINANCE(C92, ""price"") / INDEX(GOOGLEFINANCE(C92, ""price"", EDATE(TODAY(), -12), TODAY()), 2, 2)) - 1, """")"),"")</f>
        <v/>
      </c>
      <c r="Q92" s="6" t="str">
        <f>IFERROR(__xludf.DUMMYFUNCTION("AVERAGE(QUERY(GOOGLEFINANCE(C92, ""price"", TODAY()-80, TODAY()), ""SELECT Col2 WHERE Col2 IS NOT NULL ORDER BY Col1 DESC LIMIT 50"", 0))"),"#N/A")</f>
        <v>#N/A</v>
      </c>
      <c r="R92" s="24" t="str">
        <f>IFERROR(__xludf.DUMMYFUNCTION("IFERROR(
  LET(
    data, QUERY(GOOGLEFINANCE(C92,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GOOGLEFINANCE(C92, ""price"")) * 100,
    IF(calc=0, G92, calc)
  ), 
G92)"),"#N/A")</f>
        <v>#N/A</v>
      </c>
      <c r="S92" s="8" t="s">
        <v>15</v>
      </c>
      <c r="T92" s="26" t="str">
        <f>IFERROR(__xludf.DUMMYFUNCTION("IFERROR(TRANSPOSE(QUERY(IFERROR(SORT(GOOGLEFINANCE(C92, ""price"", WORKDAY(TODAY(), -40), TODAY()), 1, FALSE)), ""select Col2 where Col2 is not null limit 22 label Col2 ''"", 0)), """")"),"")</f>
        <v/>
      </c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8"/>
      <c r="AO92" s="28"/>
      <c r="AP92" s="29"/>
      <c r="AQ92" s="29" t="str">
        <f t="shared" ref="AQ92:BL92" si="95">T92/T$2</f>
        <v>#N/A</v>
      </c>
      <c r="AR92" s="29" t="str">
        <f t="shared" si="95"/>
        <v>#DIV/0!</v>
      </c>
      <c r="AS92" s="29" t="str">
        <f t="shared" si="95"/>
        <v>#DIV/0!</v>
      </c>
      <c r="AT92" s="29" t="str">
        <f t="shared" si="95"/>
        <v>#DIV/0!</v>
      </c>
      <c r="AU92" s="29" t="str">
        <f t="shared" si="95"/>
        <v>#DIV/0!</v>
      </c>
      <c r="AV92" s="29" t="str">
        <f t="shared" si="95"/>
        <v>#DIV/0!</v>
      </c>
      <c r="AW92" s="29" t="str">
        <f t="shared" si="95"/>
        <v>#DIV/0!</v>
      </c>
      <c r="AX92" s="29" t="str">
        <f t="shared" si="95"/>
        <v>#DIV/0!</v>
      </c>
      <c r="AY92" s="29" t="str">
        <f t="shared" si="95"/>
        <v>#DIV/0!</v>
      </c>
      <c r="AZ92" s="29" t="str">
        <f t="shared" si="95"/>
        <v>#DIV/0!</v>
      </c>
      <c r="BA92" s="29" t="str">
        <f t="shared" si="95"/>
        <v>#DIV/0!</v>
      </c>
      <c r="BB92" s="29" t="str">
        <f t="shared" si="95"/>
        <v>#DIV/0!</v>
      </c>
      <c r="BC92" s="29" t="str">
        <f t="shared" si="95"/>
        <v>#DIV/0!</v>
      </c>
      <c r="BD92" s="29" t="str">
        <f t="shared" si="95"/>
        <v>#DIV/0!</v>
      </c>
      <c r="BE92" s="29" t="str">
        <f t="shared" si="95"/>
        <v>#DIV/0!</v>
      </c>
      <c r="BF92" s="29" t="str">
        <f t="shared" si="95"/>
        <v>#DIV/0!</v>
      </c>
      <c r="BG92" s="29" t="str">
        <f t="shared" si="95"/>
        <v>#DIV/0!</v>
      </c>
      <c r="BH92" s="29" t="str">
        <f t="shared" si="95"/>
        <v>#DIV/0!</v>
      </c>
      <c r="BI92" s="29" t="str">
        <f t="shared" si="95"/>
        <v>#DIV/0!</v>
      </c>
      <c r="BJ92" s="29" t="str">
        <f t="shared" si="95"/>
        <v>#DIV/0!</v>
      </c>
      <c r="BK92" s="29" t="str">
        <f t="shared" si="95"/>
        <v>#DIV/0!</v>
      </c>
      <c r="BL92" s="29" t="str">
        <f t="shared" si="95"/>
        <v>#DIV/0!</v>
      </c>
      <c r="BM92" s="29" t="str">
        <f t="shared" si="3"/>
        <v>#DIV/0!</v>
      </c>
    </row>
    <row r="93">
      <c r="A93" s="16" t="str">
        <f>IFERROR(__xludf.DUMMYFUNCTION("IFERROR(SPARKLINE(SORT(MAP(TRANSPOSE(AQ93:BL93), LAMBDA(val, IF(ISNUMBER(val), PERCENTRANK(AQ93:BL93, val)+0.01, 0))), SEQUENCE(COLUMNS(AQ93:BL93)), FALSE), {""charttype"",""column""; ""color"",""chartreuse""; ""ymin"", 0; ""ymax"", 1.01; ""highcolor"", "&amp;"""darkgreen""; ""lowcolor"", ""red""}), """")"),"")</f>
        <v/>
      </c>
      <c r="B93" s="17" t="str">
        <f t="shared" si="4"/>
        <v/>
      </c>
      <c r="C93" s="1" t="s">
        <v>458</v>
      </c>
      <c r="D93" s="34" t="str">
        <f>IFERROR(__xludf.DUMMYFUNCTION("IFERROR(GOOGLEFINANCE(C93, ""NAME""))"),"Markel Group Inc")</f>
        <v>Markel Group Inc</v>
      </c>
      <c r="E93" s="30" t="s">
        <v>82</v>
      </c>
      <c r="F93" s="33" t="str">
        <f>IFERROR(__xludf.DUMMYFUNCTION("( (GOOGLEFINANCE(C93, ""price"") - Q93) / Q93 ) / (R93 / 100)"),"Loading...")</f>
        <v>Loading...</v>
      </c>
      <c r="G93" s="20" t="str">
        <f>IFERROR(__xludf.DUMMYFUNCTION("AVERAGE(ARRAYFORMULA(100 * (QUERY(GOOGLEFINANCE(C93, ""high"", TODAY()-40, TODAY()), ""SELECT Col2 WHERE Col2 IS NOT NULL ORDER BY Col1 DESC LIMIT 20"", 0) / QUERY(GOOGLEFINANCE(C93, ""low"", TODAY()-40, TODAY()), ""SELECT Col2 WHERE Col2 IS NOT NULL ORDE"&amp;"R BY Col1 DESC LIMIT 20"", 0) - 1)))"),"#N/A")</f>
        <v>#N/A</v>
      </c>
      <c r="H93" s="35" t="str">
        <f t="shared" si="6"/>
        <v/>
      </c>
      <c r="I93" s="36" t="str">
        <f t="shared" si="7"/>
        <v/>
      </c>
      <c r="J93" s="37" t="str">
        <f>IFERROR(__xludf.DUMMYFUNCTION("IFERROR(
  IF(C93="""",, 
    IFERROR(
      GOOGLEFINANCE(C93, ""price"") * GOOGLEFINANCE(C93, ""volumeavg""), 
      GOOGLEFINANCE(C93, ""price"") * AVERAGE(QUERY(GOOGLEFINANCE(C93, ""volume"", TODAY()-40, TODAY()), ""SELECT Col2 WHERE Col2 IS NOT NULL "&amp;"ORDER BY Col1 DESC LIMIT 20"", 0))
    )
  ), 
"""")"),"")</f>
        <v/>
      </c>
      <c r="K93" s="21" t="str">
        <f>IFERROR(__xludf.DUMMYFUNCTION("IFERROR(GOOGLEFINANCE(C93, ""changepct"") / 100, """")"),"")</f>
        <v/>
      </c>
      <c r="L93" s="21" t="str">
        <f>IFERROR(__xludf.DUMMYFUNCTION("IFERROR((GOOGLEFINANCE(C93, ""price"") / INDEX(GOOGLEFINANCE(C93, ""price"", TODAY()-7, TODAY()), 2, 2)) - 1, """")"),"")</f>
        <v/>
      </c>
      <c r="M93" s="21" t="str">
        <f>IFERROR(__xludf.DUMMYFUNCTION("IFERROR((GOOGLEFINANCE(C93, ""price"") / INDEX(GOOGLEFINANCE(C93, ""price"", EDATE(TODAY(), -1), TODAY()), 2, 2)) - 1, """")"),"")</f>
        <v/>
      </c>
      <c r="N93" s="21" t="str">
        <f>IFERROR(__xludf.DUMMYFUNCTION("IFERROR((GOOGLEFINANCE(C93, ""price"") / INDEX(GOOGLEFINANCE(C93, ""price"", EDATE(TODAY(), -3), TODAY()), 2, 2)) - 1, """")"),"")</f>
        <v/>
      </c>
      <c r="O93" s="21" t="str">
        <f>IFERROR(__xludf.DUMMYFUNCTION("IFERROR((GOOGLEFINANCE(C93, ""price"") / INDEX(GOOGLEFINANCE(C93, ""price"", EDATE(TODAY(), -6), TODAY()), 2, 2)) - 1, """")"),"")</f>
        <v/>
      </c>
      <c r="P93" s="21" t="str">
        <f>IFERROR(__xludf.DUMMYFUNCTION("IFERROR((GOOGLEFINANCE(C93, ""price"") / INDEX(GOOGLEFINANCE(C93, ""price"", EDATE(TODAY(), -12), TODAY()), 2, 2)) - 1, """")"),"")</f>
        <v/>
      </c>
      <c r="Q93" s="6" t="str">
        <f>IFERROR(__xludf.DUMMYFUNCTION("AVERAGE(QUERY(GOOGLEFINANCE(C93, ""price"", TODAY()-80, TODAY()), ""SELECT Col2 WHERE Col2 IS NOT NULL ORDER BY Col1 DESC LIMIT 50"", 0))"),"#N/A")</f>
        <v>#N/A</v>
      </c>
      <c r="R93" s="24" t="str">
        <f>IFERROR(__xludf.DUMMYFUNCTION("IFERROR(
  LET(
    data, QUERY(GOOGLEFINANCE(C93,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GOOGLEFINANCE(C93, ""price"")) * 100,
    IF(calc=0, G93, calc)
  ), 
G93)"),"#N/A")</f>
        <v>#N/A</v>
      </c>
      <c r="S93" s="8" t="s">
        <v>15</v>
      </c>
      <c r="T93" s="26" t="str">
        <f>IFERROR(__xludf.DUMMYFUNCTION("IFERROR(TRANSPOSE(QUERY(IFERROR(SORT(GOOGLEFINANCE(C93, ""price"", WORKDAY(TODAY(), -40), TODAY()), 1, FALSE)), ""select Col2 where Col2 is not null limit 22 label Col2 ''"", 0)), """")"),"")</f>
        <v/>
      </c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8"/>
      <c r="AO93" s="28"/>
      <c r="AP93" s="29"/>
      <c r="AQ93" s="29" t="str">
        <f t="shared" ref="AQ93:BL93" si="96">T93/T$2</f>
        <v>#N/A</v>
      </c>
      <c r="AR93" s="29" t="str">
        <f t="shared" si="96"/>
        <v>#DIV/0!</v>
      </c>
      <c r="AS93" s="29" t="str">
        <f t="shared" si="96"/>
        <v>#DIV/0!</v>
      </c>
      <c r="AT93" s="29" t="str">
        <f t="shared" si="96"/>
        <v>#DIV/0!</v>
      </c>
      <c r="AU93" s="29" t="str">
        <f t="shared" si="96"/>
        <v>#DIV/0!</v>
      </c>
      <c r="AV93" s="29" t="str">
        <f t="shared" si="96"/>
        <v>#DIV/0!</v>
      </c>
      <c r="AW93" s="29" t="str">
        <f t="shared" si="96"/>
        <v>#DIV/0!</v>
      </c>
      <c r="AX93" s="29" t="str">
        <f t="shared" si="96"/>
        <v>#DIV/0!</v>
      </c>
      <c r="AY93" s="29" t="str">
        <f t="shared" si="96"/>
        <v>#DIV/0!</v>
      </c>
      <c r="AZ93" s="29" t="str">
        <f t="shared" si="96"/>
        <v>#DIV/0!</v>
      </c>
      <c r="BA93" s="29" t="str">
        <f t="shared" si="96"/>
        <v>#DIV/0!</v>
      </c>
      <c r="BB93" s="29" t="str">
        <f t="shared" si="96"/>
        <v>#DIV/0!</v>
      </c>
      <c r="BC93" s="29" t="str">
        <f t="shared" si="96"/>
        <v>#DIV/0!</v>
      </c>
      <c r="BD93" s="29" t="str">
        <f t="shared" si="96"/>
        <v>#DIV/0!</v>
      </c>
      <c r="BE93" s="29" t="str">
        <f t="shared" si="96"/>
        <v>#DIV/0!</v>
      </c>
      <c r="BF93" s="29" t="str">
        <f t="shared" si="96"/>
        <v>#DIV/0!</v>
      </c>
      <c r="BG93" s="29" t="str">
        <f t="shared" si="96"/>
        <v>#DIV/0!</v>
      </c>
      <c r="BH93" s="29" t="str">
        <f t="shared" si="96"/>
        <v>#DIV/0!</v>
      </c>
      <c r="BI93" s="29" t="str">
        <f t="shared" si="96"/>
        <v>#DIV/0!</v>
      </c>
      <c r="BJ93" s="29" t="str">
        <f t="shared" si="96"/>
        <v>#DIV/0!</v>
      </c>
      <c r="BK93" s="29" t="str">
        <f t="shared" si="96"/>
        <v>#DIV/0!</v>
      </c>
      <c r="BL93" s="29" t="str">
        <f t="shared" si="96"/>
        <v>#DIV/0!</v>
      </c>
      <c r="BM93" s="29" t="str">
        <f t="shared" si="3"/>
        <v>#DIV/0!</v>
      </c>
    </row>
    <row r="94">
      <c r="A94" s="16" t="str">
        <f>IFERROR(__xludf.DUMMYFUNCTION("IFERROR(SPARKLINE(SORT(MAP(TRANSPOSE(AQ94:BL94), LAMBDA(val, IF(ISNUMBER(val), PERCENTRANK(AQ94:BL94, val)+0.01, 0))), SEQUENCE(COLUMNS(AQ94:BL94)), FALSE), {""charttype"",""column""; ""color"",""chartreuse""; ""ymin"", 0; ""ymax"", 1.01; ""highcolor"", "&amp;"""darkgreen""; ""lowcolor"", ""red""}), """")"),"")</f>
        <v/>
      </c>
      <c r="B94" s="17" t="str">
        <f t="shared" si="4"/>
        <v/>
      </c>
      <c r="C94" s="1" t="s">
        <v>463</v>
      </c>
      <c r="D94" s="34" t="str">
        <f>IFERROR(__xludf.DUMMYFUNCTION("IFERROR(GOOGLEFINANCE(C94, ""NAME""))"),"Titan Acquisition Corp")</f>
        <v>Titan Acquisition Corp</v>
      </c>
      <c r="E94" s="30" t="s">
        <v>161</v>
      </c>
      <c r="F94" s="33" t="str">
        <f>IFERROR(__xludf.DUMMYFUNCTION("( (GOOGLEFINANCE(C94, ""price"") - Q94) / Q94 ) / (R94 / 100)"),"Loading...")</f>
        <v>Loading...</v>
      </c>
      <c r="G94" s="20" t="str">
        <f>IFERROR(__xludf.DUMMYFUNCTION("AVERAGE(ARRAYFORMULA(100 * (QUERY(GOOGLEFINANCE(C94, ""high"", TODAY()-40, TODAY()), ""SELECT Col2 WHERE Col2 IS NOT NULL ORDER BY Col1 DESC LIMIT 20"", 0) / QUERY(GOOGLEFINANCE(C94, ""low"", TODAY()-40, TODAY()), ""SELECT Col2 WHERE Col2 IS NOT NULL ORDE"&amp;"R BY Col1 DESC LIMIT 20"", 0) - 1)))"),"#N/A")</f>
        <v>#N/A</v>
      </c>
      <c r="H94" s="35" t="str">
        <f t="shared" si="6"/>
        <v/>
      </c>
      <c r="I94" s="36" t="str">
        <f t="shared" si="7"/>
        <v/>
      </c>
      <c r="J94" s="37" t="str">
        <f>IFERROR(__xludf.DUMMYFUNCTION("IFERROR(
  IF(C94="""",, 
    IFERROR(
      GOOGLEFINANCE(C94, ""price"") * GOOGLEFINANCE(C94, ""volumeavg""), 
      GOOGLEFINANCE(C94, ""price"") * AVERAGE(QUERY(GOOGLEFINANCE(C94, ""volume"", TODAY()-40, TODAY()), ""SELECT Col2 WHERE Col2 IS NOT NULL "&amp;"ORDER BY Col1 DESC LIMIT 20"", 0))
    )
  ), 
"""")"),"")</f>
        <v/>
      </c>
      <c r="K94" s="21" t="str">
        <f>IFERROR(__xludf.DUMMYFUNCTION("IFERROR(GOOGLEFINANCE(C94, ""changepct"") / 100, """")"),"")</f>
        <v/>
      </c>
      <c r="L94" s="21" t="str">
        <f>IFERROR(__xludf.DUMMYFUNCTION("IFERROR((GOOGLEFINANCE(C94, ""price"") / INDEX(GOOGLEFINANCE(C94, ""price"", TODAY()-7, TODAY()), 2, 2)) - 1, """")"),"")</f>
        <v/>
      </c>
      <c r="M94" s="21" t="str">
        <f>IFERROR(__xludf.DUMMYFUNCTION("IFERROR((GOOGLEFINANCE(C94, ""price"") / INDEX(GOOGLEFINANCE(C94, ""price"", EDATE(TODAY(), -1), TODAY()), 2, 2)) - 1, """")"),"")</f>
        <v/>
      </c>
      <c r="N94" s="21" t="str">
        <f>IFERROR(__xludf.DUMMYFUNCTION("IFERROR((GOOGLEFINANCE(C94, ""price"") / INDEX(GOOGLEFINANCE(C94, ""price"", EDATE(TODAY(), -3), TODAY()), 2, 2)) - 1, """")"),"")</f>
        <v/>
      </c>
      <c r="O94" s="21" t="str">
        <f>IFERROR(__xludf.DUMMYFUNCTION("IFERROR((GOOGLEFINANCE(C94, ""price"") / INDEX(GOOGLEFINANCE(C94, ""price"", EDATE(TODAY(), -6), TODAY()), 2, 2)) - 1, """")"),"")</f>
        <v/>
      </c>
      <c r="P94" s="21" t="str">
        <f>IFERROR(__xludf.DUMMYFUNCTION("IFERROR((GOOGLEFINANCE(C94, ""price"") / INDEX(GOOGLEFINANCE(C94, ""price"", EDATE(TODAY(), -12), TODAY()), 2, 2)) - 1, """")"),"")</f>
        <v/>
      </c>
      <c r="Q94" s="6" t="str">
        <f>IFERROR(__xludf.DUMMYFUNCTION("AVERAGE(QUERY(GOOGLEFINANCE(C94, ""price"", TODAY()-80, TODAY()), ""SELECT Col2 WHERE Col2 IS NOT NULL ORDER BY Col1 DESC LIMIT 50"", 0))"),"#N/A")</f>
        <v>#N/A</v>
      </c>
      <c r="R94" s="24" t="str">
        <f>IFERROR(__xludf.DUMMYFUNCTION("IFERROR(
  LET(
    data, QUERY(GOOGLEFINANCE(C94,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GOOGLEFINANCE(C94, ""price"")) * 100,
    IF(calc=0, G94, calc)
  ), 
G94)"),"#N/A")</f>
        <v>#N/A</v>
      </c>
      <c r="S94" s="8" t="s">
        <v>15</v>
      </c>
      <c r="T94" s="26" t="str">
        <f>IFERROR(__xludf.DUMMYFUNCTION("IFERROR(TRANSPOSE(QUERY(IFERROR(SORT(GOOGLEFINANCE(C94, ""price"", WORKDAY(TODAY(), -40), TODAY()), 1, FALSE)), ""select Col2 where Col2 is not null limit 22 label Col2 ''"", 0)), """")"),"")</f>
        <v/>
      </c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8"/>
      <c r="AO94" s="28"/>
      <c r="AP94" s="29"/>
      <c r="AQ94" s="29" t="str">
        <f t="shared" ref="AQ94:BL94" si="97">T94/T$2</f>
        <v>#N/A</v>
      </c>
      <c r="AR94" s="29" t="str">
        <f t="shared" si="97"/>
        <v>#DIV/0!</v>
      </c>
      <c r="AS94" s="29" t="str">
        <f t="shared" si="97"/>
        <v>#DIV/0!</v>
      </c>
      <c r="AT94" s="29" t="str">
        <f t="shared" si="97"/>
        <v>#DIV/0!</v>
      </c>
      <c r="AU94" s="29" t="str">
        <f t="shared" si="97"/>
        <v>#DIV/0!</v>
      </c>
      <c r="AV94" s="29" t="str">
        <f t="shared" si="97"/>
        <v>#DIV/0!</v>
      </c>
      <c r="AW94" s="29" t="str">
        <f t="shared" si="97"/>
        <v>#DIV/0!</v>
      </c>
      <c r="AX94" s="29" t="str">
        <f t="shared" si="97"/>
        <v>#DIV/0!</v>
      </c>
      <c r="AY94" s="29" t="str">
        <f t="shared" si="97"/>
        <v>#DIV/0!</v>
      </c>
      <c r="AZ94" s="29" t="str">
        <f t="shared" si="97"/>
        <v>#DIV/0!</v>
      </c>
      <c r="BA94" s="29" t="str">
        <f t="shared" si="97"/>
        <v>#DIV/0!</v>
      </c>
      <c r="BB94" s="29" t="str">
        <f t="shared" si="97"/>
        <v>#DIV/0!</v>
      </c>
      <c r="BC94" s="29" t="str">
        <f t="shared" si="97"/>
        <v>#DIV/0!</v>
      </c>
      <c r="BD94" s="29" t="str">
        <f t="shared" si="97"/>
        <v>#DIV/0!</v>
      </c>
      <c r="BE94" s="29" t="str">
        <f t="shared" si="97"/>
        <v>#DIV/0!</v>
      </c>
      <c r="BF94" s="29" t="str">
        <f t="shared" si="97"/>
        <v>#DIV/0!</v>
      </c>
      <c r="BG94" s="29" t="str">
        <f t="shared" si="97"/>
        <v>#DIV/0!</v>
      </c>
      <c r="BH94" s="29" t="str">
        <f t="shared" si="97"/>
        <v>#DIV/0!</v>
      </c>
      <c r="BI94" s="29" t="str">
        <f t="shared" si="97"/>
        <v>#DIV/0!</v>
      </c>
      <c r="BJ94" s="29" t="str">
        <f t="shared" si="97"/>
        <v>#DIV/0!</v>
      </c>
      <c r="BK94" s="29" t="str">
        <f t="shared" si="97"/>
        <v>#DIV/0!</v>
      </c>
      <c r="BL94" s="29" t="str">
        <f t="shared" si="97"/>
        <v>#DIV/0!</v>
      </c>
      <c r="BM94" s="29" t="str">
        <f t="shared" si="3"/>
        <v>#DIV/0!</v>
      </c>
    </row>
    <row r="95">
      <c r="A95" s="16" t="str">
        <f>IFERROR(__xludf.DUMMYFUNCTION("IFERROR(SPARKLINE(SORT(MAP(TRANSPOSE(AQ95:BL95), LAMBDA(val, IF(ISNUMBER(val), PERCENTRANK(AQ95:BL95, val)+0.01, 0))), SEQUENCE(COLUMNS(AQ95:BL95)), FALSE), {""charttype"",""column""; ""color"",""chartreuse""; ""ymin"", 0; ""ymax"", 1.01; ""highcolor"", "&amp;"""darkgreen""; ""lowcolor"", ""red""}), """")"),"")</f>
        <v/>
      </c>
      <c r="B95" s="17" t="str">
        <f t="shared" si="4"/>
        <v/>
      </c>
      <c r="C95" s="1" t="s">
        <v>467</v>
      </c>
      <c r="D95" s="34" t="str">
        <f>IFERROR(__xludf.DUMMYFUNCTION("IFERROR(GOOGLEFINANCE(C95, ""NAME""))"),"Siddhi Acquisition Corp")</f>
        <v>Siddhi Acquisition Corp</v>
      </c>
      <c r="E95" s="30" t="s">
        <v>161</v>
      </c>
      <c r="F95" s="33" t="str">
        <f>IFERROR(__xludf.DUMMYFUNCTION("( (GOOGLEFINANCE(C95, ""price"") - Q95) / Q95 ) / (R95 / 100)"),"Loading...")</f>
        <v>Loading...</v>
      </c>
      <c r="G95" s="20" t="str">
        <f>IFERROR(__xludf.DUMMYFUNCTION("AVERAGE(ARRAYFORMULA(100 * (QUERY(GOOGLEFINANCE(C95, ""high"", TODAY()-40, TODAY()), ""SELECT Col2 WHERE Col2 IS NOT NULL ORDER BY Col1 DESC LIMIT 20"", 0) / QUERY(GOOGLEFINANCE(C95, ""low"", TODAY()-40, TODAY()), ""SELECT Col2 WHERE Col2 IS NOT NULL ORDE"&amp;"R BY Col1 DESC LIMIT 20"", 0) - 1)))"),"#N/A")</f>
        <v>#N/A</v>
      </c>
      <c r="H95" s="35" t="str">
        <f t="shared" si="6"/>
        <v/>
      </c>
      <c r="I95" s="36" t="str">
        <f t="shared" si="7"/>
        <v/>
      </c>
      <c r="J95" s="37" t="str">
        <f>IFERROR(__xludf.DUMMYFUNCTION("IFERROR(
  IF(C95="""",, 
    IFERROR(
      GOOGLEFINANCE(C95, ""price"") * GOOGLEFINANCE(C95, ""volumeavg""), 
      GOOGLEFINANCE(C95, ""price"") * AVERAGE(QUERY(GOOGLEFINANCE(C95, ""volume"", TODAY()-40, TODAY()), ""SELECT Col2 WHERE Col2 IS NOT NULL "&amp;"ORDER BY Col1 DESC LIMIT 20"", 0))
    )
  ), 
"""")"),"")</f>
        <v/>
      </c>
      <c r="K95" s="21" t="str">
        <f>IFERROR(__xludf.DUMMYFUNCTION("IFERROR(GOOGLEFINANCE(C95, ""changepct"") / 100, """")"),"")</f>
        <v/>
      </c>
      <c r="L95" s="21" t="str">
        <f>IFERROR(__xludf.DUMMYFUNCTION("IFERROR((GOOGLEFINANCE(C95, ""price"") / INDEX(GOOGLEFINANCE(C95, ""price"", TODAY()-7, TODAY()), 2, 2)) - 1, """")"),"")</f>
        <v/>
      </c>
      <c r="M95" s="21" t="str">
        <f>IFERROR(__xludf.DUMMYFUNCTION("IFERROR((GOOGLEFINANCE(C95, ""price"") / INDEX(GOOGLEFINANCE(C95, ""price"", EDATE(TODAY(), -1), TODAY()), 2, 2)) - 1, """")"),"")</f>
        <v/>
      </c>
      <c r="N95" s="21" t="str">
        <f>IFERROR(__xludf.DUMMYFUNCTION("IFERROR((GOOGLEFINANCE(C95, ""price"") / INDEX(GOOGLEFINANCE(C95, ""price"", EDATE(TODAY(), -3), TODAY()), 2, 2)) - 1, """")"),"")</f>
        <v/>
      </c>
      <c r="O95" s="21" t="str">
        <f>IFERROR(__xludf.DUMMYFUNCTION("IFERROR((GOOGLEFINANCE(C95, ""price"") / INDEX(GOOGLEFINANCE(C95, ""price"", EDATE(TODAY(), -6), TODAY()), 2, 2)) - 1, """")"),"")</f>
        <v/>
      </c>
      <c r="P95" s="21" t="str">
        <f>IFERROR(__xludf.DUMMYFUNCTION("IFERROR((GOOGLEFINANCE(C95, ""price"") / INDEX(GOOGLEFINANCE(C95, ""price"", EDATE(TODAY(), -12), TODAY()), 2, 2)) - 1, """")"),"")</f>
        <v/>
      </c>
      <c r="Q95" s="6" t="str">
        <f>IFERROR(__xludf.DUMMYFUNCTION("AVERAGE(QUERY(GOOGLEFINANCE(C95, ""price"", TODAY()-80, TODAY()), ""SELECT Col2 WHERE Col2 IS NOT NULL ORDER BY Col1 DESC LIMIT 50"", 0))"),"#N/A")</f>
        <v>#N/A</v>
      </c>
      <c r="R95" s="24" t="str">
        <f>IFERROR(__xludf.DUMMYFUNCTION("IFERROR(
  LET(
    data, QUERY(GOOGLEFINANCE(C95,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GOOGLEFINANCE(C95, ""price"")) * 100,
    IF(calc=0, G95, calc)
  ), 
G95)"),"#N/A")</f>
        <v>#N/A</v>
      </c>
      <c r="S95" s="8" t="s">
        <v>15</v>
      </c>
      <c r="T95" s="26" t="str">
        <f>IFERROR(__xludf.DUMMYFUNCTION("IFERROR(TRANSPOSE(QUERY(IFERROR(SORT(GOOGLEFINANCE(C95, ""price"", WORKDAY(TODAY(), -40), TODAY()), 1, FALSE)), ""select Col2 where Col2 is not null limit 22 label Col2 ''"", 0)), """")"),"")</f>
        <v/>
      </c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8"/>
      <c r="AO95" s="28"/>
      <c r="AP95" s="29"/>
      <c r="AQ95" s="29" t="str">
        <f t="shared" ref="AQ95:BL95" si="98">T95/T$2</f>
        <v>#N/A</v>
      </c>
      <c r="AR95" s="29" t="str">
        <f t="shared" si="98"/>
        <v>#DIV/0!</v>
      </c>
      <c r="AS95" s="29" t="str">
        <f t="shared" si="98"/>
        <v>#DIV/0!</v>
      </c>
      <c r="AT95" s="29" t="str">
        <f t="shared" si="98"/>
        <v>#DIV/0!</v>
      </c>
      <c r="AU95" s="29" t="str">
        <f t="shared" si="98"/>
        <v>#DIV/0!</v>
      </c>
      <c r="AV95" s="29" t="str">
        <f t="shared" si="98"/>
        <v>#DIV/0!</v>
      </c>
      <c r="AW95" s="29" t="str">
        <f t="shared" si="98"/>
        <v>#DIV/0!</v>
      </c>
      <c r="AX95" s="29" t="str">
        <f t="shared" si="98"/>
        <v>#DIV/0!</v>
      </c>
      <c r="AY95" s="29" t="str">
        <f t="shared" si="98"/>
        <v>#DIV/0!</v>
      </c>
      <c r="AZ95" s="29" t="str">
        <f t="shared" si="98"/>
        <v>#DIV/0!</v>
      </c>
      <c r="BA95" s="29" t="str">
        <f t="shared" si="98"/>
        <v>#DIV/0!</v>
      </c>
      <c r="BB95" s="29" t="str">
        <f t="shared" si="98"/>
        <v>#DIV/0!</v>
      </c>
      <c r="BC95" s="29" t="str">
        <f t="shared" si="98"/>
        <v>#DIV/0!</v>
      </c>
      <c r="BD95" s="29" t="str">
        <f t="shared" si="98"/>
        <v>#DIV/0!</v>
      </c>
      <c r="BE95" s="29" t="str">
        <f t="shared" si="98"/>
        <v>#DIV/0!</v>
      </c>
      <c r="BF95" s="29" t="str">
        <f t="shared" si="98"/>
        <v>#DIV/0!</v>
      </c>
      <c r="BG95" s="29" t="str">
        <f t="shared" si="98"/>
        <v>#DIV/0!</v>
      </c>
      <c r="BH95" s="29" t="str">
        <f t="shared" si="98"/>
        <v>#DIV/0!</v>
      </c>
      <c r="BI95" s="29" t="str">
        <f t="shared" si="98"/>
        <v>#DIV/0!</v>
      </c>
      <c r="BJ95" s="29" t="str">
        <f t="shared" si="98"/>
        <v>#DIV/0!</v>
      </c>
      <c r="BK95" s="29" t="str">
        <f t="shared" si="98"/>
        <v>#DIV/0!</v>
      </c>
      <c r="BL95" s="29" t="str">
        <f t="shared" si="98"/>
        <v>#DIV/0!</v>
      </c>
      <c r="BM95" s="29" t="str">
        <f t="shared" si="3"/>
        <v>#DIV/0!</v>
      </c>
    </row>
    <row r="96">
      <c r="A96" s="16" t="str">
        <f>IFERROR(__xludf.DUMMYFUNCTION("IFERROR(SPARKLINE(SORT(MAP(TRANSPOSE(AQ96:BL96), LAMBDA(val, IF(ISNUMBER(val), PERCENTRANK(AQ96:BL96, val)+0.01, 0))), SEQUENCE(COLUMNS(AQ96:BL96)), FALSE), {""charttype"",""column""; ""color"",""chartreuse""; ""ymin"", 0; ""ymax"", 1.01; ""highcolor"", "&amp;"""darkgreen""; ""lowcolor"", ""red""}), """")"),"")</f>
        <v/>
      </c>
      <c r="B96" s="17" t="str">
        <f t="shared" si="4"/>
        <v/>
      </c>
      <c r="C96" s="1" t="s">
        <v>472</v>
      </c>
      <c r="D96" s="34" t="str">
        <f>IFERROR(__xludf.DUMMYFUNCTION("IFERROR(GOOGLEFINANCE(C96, ""NAME""))"),"Evercore Inc")</f>
        <v>Evercore Inc</v>
      </c>
      <c r="E96" s="30" t="s">
        <v>77</v>
      </c>
      <c r="F96" s="33" t="str">
        <f>IFERROR(__xludf.DUMMYFUNCTION("( (GOOGLEFINANCE(C96, ""price"") - Q96) / Q96 ) / (R96 / 100)"),"Loading...")</f>
        <v>Loading...</v>
      </c>
      <c r="G96" s="20" t="str">
        <f>IFERROR(__xludf.DUMMYFUNCTION("AVERAGE(ARRAYFORMULA(100 * (QUERY(GOOGLEFINANCE(C96, ""high"", TODAY()-40, TODAY()), ""SELECT Col2 WHERE Col2 IS NOT NULL ORDER BY Col1 DESC LIMIT 20"", 0) / QUERY(GOOGLEFINANCE(C96, ""low"", TODAY()-40, TODAY()), ""SELECT Col2 WHERE Col2 IS NOT NULL ORDE"&amp;"R BY Col1 DESC LIMIT 20"", 0) - 1)))"),"#N/A")</f>
        <v>#N/A</v>
      </c>
      <c r="H96" s="35" t="str">
        <f t="shared" si="6"/>
        <v/>
      </c>
      <c r="I96" s="36" t="str">
        <f t="shared" si="7"/>
        <v/>
      </c>
      <c r="J96" s="37" t="str">
        <f>IFERROR(__xludf.DUMMYFUNCTION("IFERROR(
  IF(C96="""",, 
    IFERROR(
      GOOGLEFINANCE(C96, ""price"") * GOOGLEFINANCE(C96, ""volumeavg""), 
      GOOGLEFINANCE(C96, ""price"") * AVERAGE(QUERY(GOOGLEFINANCE(C96, ""volume"", TODAY()-40, TODAY()), ""SELECT Col2 WHERE Col2 IS NOT NULL "&amp;"ORDER BY Col1 DESC LIMIT 20"", 0))
    )
  ), 
"""")"),"")</f>
        <v/>
      </c>
      <c r="K96" s="21" t="str">
        <f>IFERROR(__xludf.DUMMYFUNCTION("IFERROR(GOOGLEFINANCE(C96, ""changepct"") / 100, """")"),"")</f>
        <v/>
      </c>
      <c r="L96" s="21" t="str">
        <f>IFERROR(__xludf.DUMMYFUNCTION("IFERROR((GOOGLEFINANCE(C96, ""price"") / INDEX(GOOGLEFINANCE(C96, ""price"", TODAY()-7, TODAY()), 2, 2)) - 1, """")"),"")</f>
        <v/>
      </c>
      <c r="M96" s="21" t="str">
        <f>IFERROR(__xludf.DUMMYFUNCTION("IFERROR((GOOGLEFINANCE(C96, ""price"") / INDEX(GOOGLEFINANCE(C96, ""price"", EDATE(TODAY(), -1), TODAY()), 2, 2)) - 1, """")"),"")</f>
        <v/>
      </c>
      <c r="N96" s="21" t="str">
        <f>IFERROR(__xludf.DUMMYFUNCTION("IFERROR((GOOGLEFINANCE(C96, ""price"") / INDEX(GOOGLEFINANCE(C96, ""price"", EDATE(TODAY(), -3), TODAY()), 2, 2)) - 1, """")"),"")</f>
        <v/>
      </c>
      <c r="O96" s="21" t="str">
        <f>IFERROR(__xludf.DUMMYFUNCTION("IFERROR((GOOGLEFINANCE(C96, ""price"") / INDEX(GOOGLEFINANCE(C96, ""price"", EDATE(TODAY(), -6), TODAY()), 2, 2)) - 1, """")"),"")</f>
        <v/>
      </c>
      <c r="P96" s="21" t="str">
        <f>IFERROR(__xludf.DUMMYFUNCTION("IFERROR((GOOGLEFINANCE(C96, ""price"") / INDEX(GOOGLEFINANCE(C96, ""price"", EDATE(TODAY(), -12), TODAY()), 2, 2)) - 1, """")"),"")</f>
        <v/>
      </c>
      <c r="Q96" s="6" t="str">
        <f>IFERROR(__xludf.DUMMYFUNCTION("AVERAGE(QUERY(GOOGLEFINANCE(C96, ""price"", TODAY()-80, TODAY()), ""SELECT Col2 WHERE Col2 IS NOT NULL ORDER BY Col1 DESC LIMIT 50"", 0))"),"#N/A")</f>
        <v>#N/A</v>
      </c>
      <c r="R96" s="24" t="str">
        <f>IFERROR(__xludf.DUMMYFUNCTION("IFERROR(
  LET(
    data, QUERY(GOOGLEFINANCE(C96,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GOOGLEFINANCE(C96, ""price"")) * 100,
    IF(calc=0, G96, calc)
  ), 
G96)"),"#N/A")</f>
        <v>#N/A</v>
      </c>
      <c r="S96" s="8" t="s">
        <v>15</v>
      </c>
      <c r="T96" s="26" t="str">
        <f>IFERROR(__xludf.DUMMYFUNCTION("IFERROR(TRANSPOSE(QUERY(IFERROR(SORT(GOOGLEFINANCE(C96, ""price"", WORKDAY(TODAY(), -40), TODAY()), 1, FALSE)), ""select Col2 where Col2 is not null limit 22 label Col2 ''"", 0)), """")"),"")</f>
        <v/>
      </c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8"/>
      <c r="AO96" s="28"/>
      <c r="AP96" s="29"/>
      <c r="AQ96" s="29" t="str">
        <f t="shared" ref="AQ96:BL96" si="99">T96/T$2</f>
        <v>#N/A</v>
      </c>
      <c r="AR96" s="29" t="str">
        <f t="shared" si="99"/>
        <v>#DIV/0!</v>
      </c>
      <c r="AS96" s="29" t="str">
        <f t="shared" si="99"/>
        <v>#DIV/0!</v>
      </c>
      <c r="AT96" s="29" t="str">
        <f t="shared" si="99"/>
        <v>#DIV/0!</v>
      </c>
      <c r="AU96" s="29" t="str">
        <f t="shared" si="99"/>
        <v>#DIV/0!</v>
      </c>
      <c r="AV96" s="29" t="str">
        <f t="shared" si="99"/>
        <v>#DIV/0!</v>
      </c>
      <c r="AW96" s="29" t="str">
        <f t="shared" si="99"/>
        <v>#DIV/0!</v>
      </c>
      <c r="AX96" s="29" t="str">
        <f t="shared" si="99"/>
        <v>#DIV/0!</v>
      </c>
      <c r="AY96" s="29" t="str">
        <f t="shared" si="99"/>
        <v>#DIV/0!</v>
      </c>
      <c r="AZ96" s="29" t="str">
        <f t="shared" si="99"/>
        <v>#DIV/0!</v>
      </c>
      <c r="BA96" s="29" t="str">
        <f t="shared" si="99"/>
        <v>#DIV/0!</v>
      </c>
      <c r="BB96" s="29" t="str">
        <f t="shared" si="99"/>
        <v>#DIV/0!</v>
      </c>
      <c r="BC96" s="29" t="str">
        <f t="shared" si="99"/>
        <v>#DIV/0!</v>
      </c>
      <c r="BD96" s="29" t="str">
        <f t="shared" si="99"/>
        <v>#DIV/0!</v>
      </c>
      <c r="BE96" s="29" t="str">
        <f t="shared" si="99"/>
        <v>#DIV/0!</v>
      </c>
      <c r="BF96" s="29" t="str">
        <f t="shared" si="99"/>
        <v>#DIV/0!</v>
      </c>
      <c r="BG96" s="29" t="str">
        <f t="shared" si="99"/>
        <v>#DIV/0!</v>
      </c>
      <c r="BH96" s="29" t="str">
        <f t="shared" si="99"/>
        <v>#DIV/0!</v>
      </c>
      <c r="BI96" s="29" t="str">
        <f t="shared" si="99"/>
        <v>#DIV/0!</v>
      </c>
      <c r="BJ96" s="29" t="str">
        <f t="shared" si="99"/>
        <v>#DIV/0!</v>
      </c>
      <c r="BK96" s="29" t="str">
        <f t="shared" si="99"/>
        <v>#DIV/0!</v>
      </c>
      <c r="BL96" s="29" t="str">
        <f t="shared" si="99"/>
        <v>#DIV/0!</v>
      </c>
      <c r="BM96" s="29" t="str">
        <f t="shared" si="3"/>
        <v>#DIV/0!</v>
      </c>
    </row>
    <row r="97">
      <c r="A97" s="16" t="str">
        <f>IFERROR(__xludf.DUMMYFUNCTION("IFERROR(SPARKLINE(SORT(MAP(TRANSPOSE(AQ97:BL97), LAMBDA(val, IF(ISNUMBER(val), PERCENTRANK(AQ97:BL97, val)+0.01, 0))), SEQUENCE(COLUMNS(AQ97:BL97)), FALSE), {""charttype"",""column""; ""color"",""chartreuse""; ""ymin"", 0; ""ymax"", 1.01; ""highcolor"", "&amp;"""darkgreen""; ""lowcolor"", ""red""}), """")"),"")</f>
        <v/>
      </c>
      <c r="B97" s="17" t="str">
        <f t="shared" si="4"/>
        <v/>
      </c>
      <c r="C97" s="1" t="s">
        <v>478</v>
      </c>
      <c r="D97" s="34" t="str">
        <f>IFERROR(__xludf.DUMMYFUNCTION("IFERROR(GOOGLEFINANCE(C97, ""NAME""))"),"Unum Group")</f>
        <v>Unum Group</v>
      </c>
      <c r="E97" s="30" t="s">
        <v>231</v>
      </c>
      <c r="F97" s="33" t="str">
        <f>IFERROR(__xludf.DUMMYFUNCTION("( (GOOGLEFINANCE(C97, ""price"") - Q97) / Q97 ) / (R97 / 100)"),"Loading...")</f>
        <v>Loading...</v>
      </c>
      <c r="G97" s="20" t="str">
        <f>IFERROR(__xludf.DUMMYFUNCTION("AVERAGE(ARRAYFORMULA(100 * (QUERY(GOOGLEFINANCE(C97, ""high"", TODAY()-40, TODAY()), ""SELECT Col2 WHERE Col2 IS NOT NULL ORDER BY Col1 DESC LIMIT 20"", 0) / QUERY(GOOGLEFINANCE(C97, ""low"", TODAY()-40, TODAY()), ""SELECT Col2 WHERE Col2 IS NOT NULL ORDE"&amp;"R BY Col1 DESC LIMIT 20"", 0) - 1)))"),"#N/A")</f>
        <v>#N/A</v>
      </c>
      <c r="H97" s="35" t="str">
        <f t="shared" si="6"/>
        <v/>
      </c>
      <c r="I97" s="36" t="str">
        <f t="shared" si="7"/>
        <v/>
      </c>
      <c r="J97" s="37" t="str">
        <f>IFERROR(__xludf.DUMMYFUNCTION("IFERROR(
  IF(C97="""",, 
    IFERROR(
      GOOGLEFINANCE(C97, ""price"") * GOOGLEFINANCE(C97, ""volumeavg""), 
      GOOGLEFINANCE(C97, ""price"") * AVERAGE(QUERY(GOOGLEFINANCE(C97, ""volume"", TODAY()-40, TODAY()), ""SELECT Col2 WHERE Col2 IS NOT NULL "&amp;"ORDER BY Col1 DESC LIMIT 20"", 0))
    )
  ), 
"""")"),"")</f>
        <v/>
      </c>
      <c r="K97" s="21" t="str">
        <f>IFERROR(__xludf.DUMMYFUNCTION("IFERROR(GOOGLEFINANCE(C97, ""changepct"") / 100, """")"),"")</f>
        <v/>
      </c>
      <c r="L97" s="21" t="str">
        <f>IFERROR(__xludf.DUMMYFUNCTION("IFERROR((GOOGLEFINANCE(C97, ""price"") / INDEX(GOOGLEFINANCE(C97, ""price"", TODAY()-7, TODAY()), 2, 2)) - 1, """")"),"")</f>
        <v/>
      </c>
      <c r="M97" s="21" t="str">
        <f>IFERROR(__xludf.DUMMYFUNCTION("IFERROR((GOOGLEFINANCE(C97, ""price"") / INDEX(GOOGLEFINANCE(C97, ""price"", EDATE(TODAY(), -1), TODAY()), 2, 2)) - 1, """")"),"")</f>
        <v/>
      </c>
      <c r="N97" s="21" t="str">
        <f>IFERROR(__xludf.DUMMYFUNCTION("IFERROR((GOOGLEFINANCE(C97, ""price"") / INDEX(GOOGLEFINANCE(C97, ""price"", EDATE(TODAY(), -3), TODAY()), 2, 2)) - 1, """")"),"")</f>
        <v/>
      </c>
      <c r="O97" s="21" t="str">
        <f>IFERROR(__xludf.DUMMYFUNCTION("IFERROR((GOOGLEFINANCE(C97, ""price"") / INDEX(GOOGLEFINANCE(C97, ""price"", EDATE(TODAY(), -6), TODAY()), 2, 2)) - 1, """")"),"")</f>
        <v/>
      </c>
      <c r="P97" s="21" t="str">
        <f>IFERROR(__xludf.DUMMYFUNCTION("IFERROR((GOOGLEFINANCE(C97, ""price"") / INDEX(GOOGLEFINANCE(C97, ""price"", EDATE(TODAY(), -12), TODAY()), 2, 2)) - 1, """")"),"")</f>
        <v/>
      </c>
      <c r="Q97" s="6" t="str">
        <f>IFERROR(__xludf.DUMMYFUNCTION("AVERAGE(QUERY(GOOGLEFINANCE(C97, ""price"", TODAY()-80, TODAY()), ""SELECT Col2 WHERE Col2 IS NOT NULL ORDER BY Col1 DESC LIMIT 50"", 0))"),"#N/A")</f>
        <v>#N/A</v>
      </c>
      <c r="R97" s="24" t="str">
        <f>IFERROR(__xludf.DUMMYFUNCTION("IFERROR(
  LET(
    data, QUERY(GOOGLEFINANCE(C97,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GOOGLEFINANCE(C97, ""price"")) * 100,
    IF(calc=0, G97, calc)
  ), 
G97)"),"#N/A")</f>
        <v>#N/A</v>
      </c>
      <c r="S97" s="8" t="s">
        <v>15</v>
      </c>
      <c r="T97" s="26" t="str">
        <f>IFERROR(__xludf.DUMMYFUNCTION("IFERROR(TRANSPOSE(QUERY(IFERROR(SORT(GOOGLEFINANCE(C97, ""price"", WORKDAY(TODAY(), -40), TODAY()), 1, FALSE)), ""select Col2 where Col2 is not null limit 22 label Col2 ''"", 0)), """")"),"")</f>
        <v/>
      </c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8"/>
      <c r="AO97" s="28"/>
      <c r="AP97" s="29"/>
      <c r="AQ97" s="29" t="str">
        <f t="shared" ref="AQ97:BL97" si="100">T97/T$2</f>
        <v>#N/A</v>
      </c>
      <c r="AR97" s="29" t="str">
        <f t="shared" si="100"/>
        <v>#DIV/0!</v>
      </c>
      <c r="AS97" s="29" t="str">
        <f t="shared" si="100"/>
        <v>#DIV/0!</v>
      </c>
      <c r="AT97" s="29" t="str">
        <f t="shared" si="100"/>
        <v>#DIV/0!</v>
      </c>
      <c r="AU97" s="29" t="str">
        <f t="shared" si="100"/>
        <v>#DIV/0!</v>
      </c>
      <c r="AV97" s="29" t="str">
        <f t="shared" si="100"/>
        <v>#DIV/0!</v>
      </c>
      <c r="AW97" s="29" t="str">
        <f t="shared" si="100"/>
        <v>#DIV/0!</v>
      </c>
      <c r="AX97" s="29" t="str">
        <f t="shared" si="100"/>
        <v>#DIV/0!</v>
      </c>
      <c r="AY97" s="29" t="str">
        <f t="shared" si="100"/>
        <v>#DIV/0!</v>
      </c>
      <c r="AZ97" s="29" t="str">
        <f t="shared" si="100"/>
        <v>#DIV/0!</v>
      </c>
      <c r="BA97" s="29" t="str">
        <f t="shared" si="100"/>
        <v>#DIV/0!</v>
      </c>
      <c r="BB97" s="29" t="str">
        <f t="shared" si="100"/>
        <v>#DIV/0!</v>
      </c>
      <c r="BC97" s="29" t="str">
        <f t="shared" si="100"/>
        <v>#DIV/0!</v>
      </c>
      <c r="BD97" s="29" t="str">
        <f t="shared" si="100"/>
        <v>#DIV/0!</v>
      </c>
      <c r="BE97" s="29" t="str">
        <f t="shared" si="100"/>
        <v>#DIV/0!</v>
      </c>
      <c r="BF97" s="29" t="str">
        <f t="shared" si="100"/>
        <v>#DIV/0!</v>
      </c>
      <c r="BG97" s="29" t="str">
        <f t="shared" si="100"/>
        <v>#DIV/0!</v>
      </c>
      <c r="BH97" s="29" t="str">
        <f t="shared" si="100"/>
        <v>#DIV/0!</v>
      </c>
      <c r="BI97" s="29" t="str">
        <f t="shared" si="100"/>
        <v>#DIV/0!</v>
      </c>
      <c r="BJ97" s="29" t="str">
        <f t="shared" si="100"/>
        <v>#DIV/0!</v>
      </c>
      <c r="BK97" s="29" t="str">
        <f t="shared" si="100"/>
        <v>#DIV/0!</v>
      </c>
      <c r="BL97" s="29" t="str">
        <f t="shared" si="100"/>
        <v>#DIV/0!</v>
      </c>
      <c r="BM97" s="29" t="str">
        <f t="shared" si="3"/>
        <v>#DIV/0!</v>
      </c>
    </row>
    <row r="98">
      <c r="A98" s="16" t="str">
        <f>IFERROR(__xludf.DUMMYFUNCTION("IFERROR(SPARKLINE(SORT(MAP(TRANSPOSE(AQ98:BL98), LAMBDA(val, IF(ISNUMBER(val), PERCENTRANK(AQ98:BL98, val)+0.01, 0))), SEQUENCE(COLUMNS(AQ98:BL98)), FALSE), {""charttype"",""column""; ""color"",""chartreuse""; ""ymin"", 0; ""ymax"", 1.01; ""highcolor"", "&amp;"""darkgreen""; ""lowcolor"", ""red""}), """")"),"")</f>
        <v/>
      </c>
      <c r="B98" s="17" t="str">
        <f t="shared" si="4"/>
        <v/>
      </c>
      <c r="C98" s="1" t="s">
        <v>482</v>
      </c>
      <c r="D98" s="34" t="str">
        <f>IFERROR(__xludf.DUMMYFUNCTION("IFERROR(GOOGLEFINANCE(C98, ""NAME""))"),"Lionsgate Studios Corp")</f>
        <v>Lionsgate Studios Corp</v>
      </c>
      <c r="E98" s="30" t="s">
        <v>161</v>
      </c>
      <c r="F98" s="33" t="str">
        <f>IFERROR(__xludf.DUMMYFUNCTION("( (GOOGLEFINANCE(C98, ""price"") - Q98) / Q98 ) / (R98 / 100)"),"Loading...")</f>
        <v>Loading...</v>
      </c>
      <c r="G98" s="20" t="str">
        <f>IFERROR(__xludf.DUMMYFUNCTION("AVERAGE(ARRAYFORMULA(100 * (QUERY(GOOGLEFINANCE(C98, ""high"", TODAY()-40, TODAY()), ""SELECT Col2 WHERE Col2 IS NOT NULL ORDER BY Col1 DESC LIMIT 20"", 0) / QUERY(GOOGLEFINANCE(C98, ""low"", TODAY()-40, TODAY()), ""SELECT Col2 WHERE Col2 IS NOT NULL ORDE"&amp;"R BY Col1 DESC LIMIT 20"", 0) - 1)))"),"#N/A")</f>
        <v>#N/A</v>
      </c>
      <c r="H98" s="35" t="str">
        <f t="shared" si="6"/>
        <v/>
      </c>
      <c r="I98" s="36" t="str">
        <f t="shared" si="7"/>
        <v/>
      </c>
      <c r="J98" s="37" t="str">
        <f>IFERROR(__xludf.DUMMYFUNCTION("IFERROR(
  IF(C98="""",, 
    IFERROR(
      GOOGLEFINANCE(C98, ""price"") * GOOGLEFINANCE(C98, ""volumeavg""), 
      GOOGLEFINANCE(C98, ""price"") * AVERAGE(QUERY(GOOGLEFINANCE(C98, ""volume"", TODAY()-40, TODAY()), ""SELECT Col2 WHERE Col2 IS NOT NULL "&amp;"ORDER BY Col1 DESC LIMIT 20"", 0))
    )
  ), 
"""")"),"")</f>
        <v/>
      </c>
      <c r="K98" s="21" t="str">
        <f>IFERROR(__xludf.DUMMYFUNCTION("IFERROR(GOOGLEFINANCE(C98, ""changepct"") / 100, """")"),"")</f>
        <v/>
      </c>
      <c r="L98" s="21" t="str">
        <f>IFERROR(__xludf.DUMMYFUNCTION("IFERROR((GOOGLEFINANCE(C98, ""price"") / INDEX(GOOGLEFINANCE(C98, ""price"", TODAY()-7, TODAY()), 2, 2)) - 1, """")"),"")</f>
        <v/>
      </c>
      <c r="M98" s="21" t="str">
        <f>IFERROR(__xludf.DUMMYFUNCTION("IFERROR((GOOGLEFINANCE(C98, ""price"") / INDEX(GOOGLEFINANCE(C98, ""price"", EDATE(TODAY(), -1), TODAY()), 2, 2)) - 1, """")"),"")</f>
        <v/>
      </c>
      <c r="N98" s="21" t="str">
        <f>IFERROR(__xludf.DUMMYFUNCTION("IFERROR((GOOGLEFINANCE(C98, ""price"") / INDEX(GOOGLEFINANCE(C98, ""price"", EDATE(TODAY(), -3), TODAY()), 2, 2)) - 1, """")"),"")</f>
        <v/>
      </c>
      <c r="O98" s="21" t="str">
        <f>IFERROR(__xludf.DUMMYFUNCTION("IFERROR((GOOGLEFINANCE(C98, ""price"") / INDEX(GOOGLEFINANCE(C98, ""price"", EDATE(TODAY(), -6), TODAY()), 2, 2)) - 1, """")"),"")</f>
        <v/>
      </c>
      <c r="P98" s="21" t="str">
        <f>IFERROR(__xludf.DUMMYFUNCTION("IFERROR((GOOGLEFINANCE(C98, ""price"") / INDEX(GOOGLEFINANCE(C98, ""price"", EDATE(TODAY(), -12), TODAY()), 2, 2)) - 1, """")"),"")</f>
        <v/>
      </c>
      <c r="Q98" s="6" t="str">
        <f>IFERROR(__xludf.DUMMYFUNCTION("AVERAGE(QUERY(GOOGLEFINANCE(C98, ""price"", TODAY()-80, TODAY()), ""SELECT Col2 WHERE Col2 IS NOT NULL ORDER BY Col1 DESC LIMIT 50"", 0))"),"#N/A")</f>
        <v>#N/A</v>
      </c>
      <c r="R98" s="24" t="str">
        <f>IFERROR(__xludf.DUMMYFUNCTION("IFERROR(
  LET(
    data, QUERY(GOOGLEFINANCE(C98,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GOOGLEFINANCE(C98, ""price"")) * 100,
    IF(calc=0, G98, calc)
  ), 
G98)"),"#N/A")</f>
        <v>#N/A</v>
      </c>
      <c r="S98" s="8" t="s">
        <v>15</v>
      </c>
      <c r="T98" s="26" t="str">
        <f>IFERROR(__xludf.DUMMYFUNCTION("IFERROR(TRANSPOSE(QUERY(IFERROR(SORT(GOOGLEFINANCE(C98, ""price"", WORKDAY(TODAY(), -40), TODAY()), 1, FALSE)), ""select Col2 where Col2 is not null limit 22 label Col2 ''"", 0)), """")"),"")</f>
        <v/>
      </c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8"/>
      <c r="AO98" s="28"/>
      <c r="AP98" s="29"/>
      <c r="AQ98" s="29" t="str">
        <f t="shared" ref="AQ98:BL98" si="101">T98/T$2</f>
        <v>#N/A</v>
      </c>
      <c r="AR98" s="29" t="str">
        <f t="shared" si="101"/>
        <v>#DIV/0!</v>
      </c>
      <c r="AS98" s="29" t="str">
        <f t="shared" si="101"/>
        <v>#DIV/0!</v>
      </c>
      <c r="AT98" s="29" t="str">
        <f t="shared" si="101"/>
        <v>#DIV/0!</v>
      </c>
      <c r="AU98" s="29" t="str">
        <f t="shared" si="101"/>
        <v>#DIV/0!</v>
      </c>
      <c r="AV98" s="29" t="str">
        <f t="shared" si="101"/>
        <v>#DIV/0!</v>
      </c>
      <c r="AW98" s="29" t="str">
        <f t="shared" si="101"/>
        <v>#DIV/0!</v>
      </c>
      <c r="AX98" s="29" t="str">
        <f t="shared" si="101"/>
        <v>#DIV/0!</v>
      </c>
      <c r="AY98" s="29" t="str">
        <f t="shared" si="101"/>
        <v>#DIV/0!</v>
      </c>
      <c r="AZ98" s="29" t="str">
        <f t="shared" si="101"/>
        <v>#DIV/0!</v>
      </c>
      <c r="BA98" s="29" t="str">
        <f t="shared" si="101"/>
        <v>#DIV/0!</v>
      </c>
      <c r="BB98" s="29" t="str">
        <f t="shared" si="101"/>
        <v>#DIV/0!</v>
      </c>
      <c r="BC98" s="29" t="str">
        <f t="shared" si="101"/>
        <v>#DIV/0!</v>
      </c>
      <c r="BD98" s="29" t="str">
        <f t="shared" si="101"/>
        <v>#DIV/0!</v>
      </c>
      <c r="BE98" s="29" t="str">
        <f t="shared" si="101"/>
        <v>#DIV/0!</v>
      </c>
      <c r="BF98" s="29" t="str">
        <f t="shared" si="101"/>
        <v>#DIV/0!</v>
      </c>
      <c r="BG98" s="29" t="str">
        <f t="shared" si="101"/>
        <v>#DIV/0!</v>
      </c>
      <c r="BH98" s="29" t="str">
        <f t="shared" si="101"/>
        <v>#DIV/0!</v>
      </c>
      <c r="BI98" s="29" t="str">
        <f t="shared" si="101"/>
        <v>#DIV/0!</v>
      </c>
      <c r="BJ98" s="29" t="str">
        <f t="shared" si="101"/>
        <v>#DIV/0!</v>
      </c>
      <c r="BK98" s="29" t="str">
        <f t="shared" si="101"/>
        <v>#DIV/0!</v>
      </c>
      <c r="BL98" s="29" t="str">
        <f t="shared" si="101"/>
        <v>#DIV/0!</v>
      </c>
      <c r="BM98" s="29" t="str">
        <f t="shared" si="3"/>
        <v>#DIV/0!</v>
      </c>
    </row>
    <row r="99">
      <c r="A99" s="16" t="str">
        <f>IFERROR(__xludf.DUMMYFUNCTION("IFERROR(SPARKLINE(SORT(MAP(TRANSPOSE(AQ99:BL99), LAMBDA(val, IF(ISNUMBER(val), PERCENTRANK(AQ99:BL99, val)+0.01, 0))), SEQUENCE(COLUMNS(AQ99:BL99)), FALSE), {""charttype"",""column""; ""color"",""chartreuse""; ""ymin"", 0; ""ymax"", 1.01; ""highcolor"", "&amp;"""darkgreen""; ""lowcolor"", ""red""}), """")"),"")</f>
        <v/>
      </c>
      <c r="B99" s="17" t="str">
        <f t="shared" si="4"/>
        <v/>
      </c>
      <c r="C99" s="1" t="s">
        <v>486</v>
      </c>
      <c r="D99" s="34" t="str">
        <f>IFERROR(__xludf.DUMMYFUNCTION("IFERROR(GOOGLEFINANCE(C99, ""NAME""))"),"Banco BBVA Argentina SA")</f>
        <v>Banco BBVA Argentina SA</v>
      </c>
      <c r="E99" s="30" t="s">
        <v>268</v>
      </c>
      <c r="F99" s="38" t="str">
        <f>IFERROR(__xludf.DUMMYFUNCTION("( (GOOGLEFINANCE(C99, ""price"") - Q99) / Q99 ) / (R99 / 100)"),"Loading...")</f>
        <v>Loading...</v>
      </c>
      <c r="G99" s="20" t="str">
        <f>IFERROR(__xludf.DUMMYFUNCTION("AVERAGE(ARRAYFORMULA(100 * (QUERY(GOOGLEFINANCE(C99, ""high"", TODAY()-40, TODAY()), ""SELECT Col2 WHERE Col2 IS NOT NULL ORDER BY Col1 DESC LIMIT 20"", 0) / QUERY(GOOGLEFINANCE(C99, ""low"", TODAY()-40, TODAY()), ""SELECT Col2 WHERE Col2 IS NOT NULL ORDE"&amp;"R BY Col1 DESC LIMIT 20"", 0) - 1)))"),"#N/A")</f>
        <v>#N/A</v>
      </c>
      <c r="H99" s="35" t="str">
        <f t="shared" si="6"/>
        <v/>
      </c>
      <c r="I99" s="36" t="str">
        <f t="shared" si="7"/>
        <v/>
      </c>
      <c r="J99" s="37" t="str">
        <f>IFERROR(__xludf.DUMMYFUNCTION("IFERROR(
  IF(C99="""",, 
    IFERROR(
      GOOGLEFINANCE(C99, ""price"") * GOOGLEFINANCE(C99, ""volumeavg""), 
      GOOGLEFINANCE(C99, ""price"") * AVERAGE(QUERY(GOOGLEFINANCE(C99, ""volume"", TODAY()-40, TODAY()), ""SELECT Col2 WHERE Col2 IS NOT NULL "&amp;"ORDER BY Col1 DESC LIMIT 20"", 0))
    )
  ), 
"""")"),"")</f>
        <v/>
      </c>
      <c r="K99" s="21" t="str">
        <f>IFERROR(__xludf.DUMMYFUNCTION("IFERROR(GOOGLEFINANCE(C99, ""changepct"") / 100, """")"),"")</f>
        <v/>
      </c>
      <c r="L99" s="21" t="str">
        <f>IFERROR(__xludf.DUMMYFUNCTION("IFERROR((GOOGLEFINANCE(C99, ""price"") / INDEX(GOOGLEFINANCE(C99, ""price"", TODAY()-7, TODAY()), 2, 2)) - 1, """")"),"")</f>
        <v/>
      </c>
      <c r="M99" s="21" t="str">
        <f>IFERROR(__xludf.DUMMYFUNCTION("IFERROR((GOOGLEFINANCE(C99, ""price"") / INDEX(GOOGLEFINANCE(C99, ""price"", EDATE(TODAY(), -1), TODAY()), 2, 2)) - 1, """")"),"")</f>
        <v/>
      </c>
      <c r="N99" s="21" t="str">
        <f>IFERROR(__xludf.DUMMYFUNCTION("IFERROR((GOOGLEFINANCE(C99, ""price"") / INDEX(GOOGLEFINANCE(C99, ""price"", EDATE(TODAY(), -3), TODAY()), 2, 2)) - 1, """")"),"")</f>
        <v/>
      </c>
      <c r="O99" s="21" t="str">
        <f>IFERROR(__xludf.DUMMYFUNCTION("IFERROR((GOOGLEFINANCE(C99, ""price"") / INDEX(GOOGLEFINANCE(C99, ""price"", EDATE(TODAY(), -6), TODAY()), 2, 2)) - 1, """")"),"")</f>
        <v/>
      </c>
      <c r="P99" s="21" t="str">
        <f>IFERROR(__xludf.DUMMYFUNCTION("IFERROR((GOOGLEFINANCE(C99, ""price"") / INDEX(GOOGLEFINANCE(C99, ""price"", EDATE(TODAY(), -12), TODAY()), 2, 2)) - 1, """")"),"")</f>
        <v/>
      </c>
      <c r="Q99" s="6" t="str">
        <f>IFERROR(__xludf.DUMMYFUNCTION("AVERAGE(QUERY(GOOGLEFINANCE(C99, ""price"", TODAY()-80, TODAY()), ""SELECT Col2 WHERE Col2 IS NOT NULL ORDER BY Col1 DESC LIMIT 50"", 0))"),"#N/A")</f>
        <v>#N/A</v>
      </c>
      <c r="R99" s="24" t="str">
        <f>IFERROR(__xludf.DUMMYFUNCTION("IFERROR(
  LET(
    data, QUERY(GOOGLEFINANCE(C99,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GOOGLEFINANCE(C99, ""price"")) * 100,
    IF(calc=0, G99, calc)
  ), 
G99)"),"#N/A")</f>
        <v>#N/A</v>
      </c>
      <c r="S99" s="8" t="s">
        <v>15</v>
      </c>
      <c r="T99" s="26" t="str">
        <f>IFERROR(__xludf.DUMMYFUNCTION("IFERROR(TRANSPOSE(QUERY(IFERROR(SORT(GOOGLEFINANCE(C99, ""price"", WORKDAY(TODAY(), -40), TODAY()), 1, FALSE)), ""select Col2 where Col2 is not null limit 22 label Col2 ''"", 0)), """")"),"")</f>
        <v/>
      </c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8"/>
      <c r="AO99" s="28"/>
      <c r="AP99" s="29"/>
      <c r="AQ99" s="29" t="str">
        <f t="shared" ref="AQ99:BL99" si="102">T99/T$2</f>
        <v>#N/A</v>
      </c>
      <c r="AR99" s="29" t="str">
        <f t="shared" si="102"/>
        <v>#DIV/0!</v>
      </c>
      <c r="AS99" s="29" t="str">
        <f t="shared" si="102"/>
        <v>#DIV/0!</v>
      </c>
      <c r="AT99" s="29" t="str">
        <f t="shared" si="102"/>
        <v>#DIV/0!</v>
      </c>
      <c r="AU99" s="29" t="str">
        <f t="shared" si="102"/>
        <v>#DIV/0!</v>
      </c>
      <c r="AV99" s="29" t="str">
        <f t="shared" si="102"/>
        <v>#DIV/0!</v>
      </c>
      <c r="AW99" s="29" t="str">
        <f t="shared" si="102"/>
        <v>#DIV/0!</v>
      </c>
      <c r="AX99" s="29" t="str">
        <f t="shared" si="102"/>
        <v>#DIV/0!</v>
      </c>
      <c r="AY99" s="29" t="str">
        <f t="shared" si="102"/>
        <v>#DIV/0!</v>
      </c>
      <c r="AZ99" s="29" t="str">
        <f t="shared" si="102"/>
        <v>#DIV/0!</v>
      </c>
      <c r="BA99" s="29" t="str">
        <f t="shared" si="102"/>
        <v>#DIV/0!</v>
      </c>
      <c r="BB99" s="29" t="str">
        <f t="shared" si="102"/>
        <v>#DIV/0!</v>
      </c>
      <c r="BC99" s="29" t="str">
        <f t="shared" si="102"/>
        <v>#DIV/0!</v>
      </c>
      <c r="BD99" s="29" t="str">
        <f t="shared" si="102"/>
        <v>#DIV/0!</v>
      </c>
      <c r="BE99" s="29" t="str">
        <f t="shared" si="102"/>
        <v>#DIV/0!</v>
      </c>
      <c r="BF99" s="29" t="str">
        <f t="shared" si="102"/>
        <v>#DIV/0!</v>
      </c>
      <c r="BG99" s="29" t="str">
        <f t="shared" si="102"/>
        <v>#DIV/0!</v>
      </c>
      <c r="BH99" s="29" t="str">
        <f t="shared" si="102"/>
        <v>#DIV/0!</v>
      </c>
      <c r="BI99" s="29" t="str">
        <f t="shared" si="102"/>
        <v>#DIV/0!</v>
      </c>
      <c r="BJ99" s="29" t="str">
        <f t="shared" si="102"/>
        <v>#DIV/0!</v>
      </c>
      <c r="BK99" s="29" t="str">
        <f t="shared" si="102"/>
        <v>#DIV/0!</v>
      </c>
      <c r="BL99" s="29" t="str">
        <f t="shared" si="102"/>
        <v>#DIV/0!</v>
      </c>
      <c r="BM99" s="29" t="str">
        <f t="shared" si="3"/>
        <v>#DIV/0!</v>
      </c>
    </row>
    <row r="100">
      <c r="A100" s="16" t="str">
        <f>IFERROR(__xludf.DUMMYFUNCTION("IFERROR(SPARKLINE(SORT(MAP(TRANSPOSE(AQ100:BL100), LAMBDA(val, IF(ISNUMBER(val), PERCENTRANK(AQ100:BL100, val)+0.01, 0))), SEQUENCE(COLUMNS(AQ100:BL100)), FALSE), {""charttype"",""column""; ""color"",""chartreuse""; ""ymin"", 0; ""ymax"", 1.01; ""highcolo"&amp;"r"", ""darkgreen""; ""lowcolor"", ""red""}), """")"),"")</f>
        <v/>
      </c>
      <c r="B100" s="17" t="str">
        <f t="shared" si="4"/>
        <v/>
      </c>
      <c r="C100" s="1" t="s">
        <v>490</v>
      </c>
      <c r="D100" s="34" t="str">
        <f>IFERROR(__xludf.DUMMYFUNCTION("IFERROR(GOOGLEFINANCE(C100, ""NAME""))"),"ACNB Corp")</f>
        <v>ACNB Corp</v>
      </c>
      <c r="E100" s="30" t="s">
        <v>268</v>
      </c>
      <c r="F100" s="33" t="str">
        <f>IFERROR(__xludf.DUMMYFUNCTION("( (GOOGLEFINANCE(C100, ""price"") - Q100) / Q100 ) / (R100 / 100)"),"Loading...")</f>
        <v>Loading...</v>
      </c>
      <c r="G100" s="20" t="str">
        <f>IFERROR(__xludf.DUMMYFUNCTION("AVERAGE(ARRAYFORMULA(100 * (QUERY(GOOGLEFINANCE(C100, ""high"", TODAY()-40, TODAY()), ""SELECT Col2 WHERE Col2 IS NOT NULL ORDER BY Col1 DESC LIMIT 20"", 0) / QUERY(GOOGLEFINANCE(C100, ""low"", TODAY()-40, TODAY()), ""SELECT Col2 WHERE Col2 IS NOT NULL OR"&amp;"DER BY Col1 DESC LIMIT 20"", 0) - 1)))"),"#N/A")</f>
        <v>#N/A</v>
      </c>
      <c r="H100" s="35" t="str">
        <f t="shared" si="6"/>
        <v/>
      </c>
      <c r="I100" s="36" t="str">
        <f t="shared" si="7"/>
        <v/>
      </c>
      <c r="J100" s="37" t="str">
        <f>IFERROR(__xludf.DUMMYFUNCTION("IFERROR(
  IF(C100="""",, 
    IFERROR(
      GOOGLEFINANCE(C100, ""price"") * GOOGLEFINANCE(C100, ""volumeavg""), 
      GOOGLEFINANCE(C100, ""price"") * AVERAGE(QUERY(GOOGLEFINANCE(C100, ""volume"", TODAY()-40, TODAY()), ""SELECT Col2 WHERE Col2 IS NOT "&amp;"NULL ORDER BY Col1 DESC LIMIT 20"", 0))
    )
  ), 
"""")"),"")</f>
        <v/>
      </c>
      <c r="K100" s="21" t="str">
        <f>IFERROR(__xludf.DUMMYFUNCTION("IFERROR(GOOGLEFINANCE(C100, ""changepct"") / 100, """")"),"")</f>
        <v/>
      </c>
      <c r="L100" s="21" t="str">
        <f>IFERROR(__xludf.DUMMYFUNCTION("IFERROR((GOOGLEFINANCE(C100, ""price"") / INDEX(GOOGLEFINANCE(C100, ""price"", TODAY()-7, TODAY()), 2, 2)) - 1, """")"),"")</f>
        <v/>
      </c>
      <c r="M100" s="21" t="str">
        <f>IFERROR(__xludf.DUMMYFUNCTION("IFERROR((GOOGLEFINANCE(C100, ""price"") / INDEX(GOOGLEFINANCE(C100, ""price"", EDATE(TODAY(), -1), TODAY()), 2, 2)) - 1, """")"),"")</f>
        <v/>
      </c>
      <c r="N100" s="21" t="str">
        <f>IFERROR(__xludf.DUMMYFUNCTION("IFERROR((GOOGLEFINANCE(C100, ""price"") / INDEX(GOOGLEFINANCE(C100, ""price"", EDATE(TODAY(), -3), TODAY()), 2, 2)) - 1, """")"),"")</f>
        <v/>
      </c>
      <c r="O100" s="21" t="str">
        <f>IFERROR(__xludf.DUMMYFUNCTION("IFERROR((GOOGLEFINANCE(C100, ""price"") / INDEX(GOOGLEFINANCE(C100, ""price"", EDATE(TODAY(), -6), TODAY()), 2, 2)) - 1, """")"),"")</f>
        <v/>
      </c>
      <c r="P100" s="21" t="str">
        <f>IFERROR(__xludf.DUMMYFUNCTION("IFERROR((GOOGLEFINANCE(C100, ""price"") / INDEX(GOOGLEFINANCE(C100, ""price"", EDATE(TODAY(), -12), TODAY()), 2, 2)) - 1, """")"),"")</f>
        <v/>
      </c>
      <c r="Q100" s="6" t="str">
        <f>IFERROR(__xludf.DUMMYFUNCTION("AVERAGE(QUERY(GOOGLEFINANCE(C100, ""price"", TODAY()-80, TODAY()), ""SELECT Col2 WHERE Col2 IS NOT NULL ORDER BY Col1 DESC LIMIT 50"", 0))"),"#N/A")</f>
        <v>#N/A</v>
      </c>
      <c r="R100" s="24" t="str">
        <f>IFERROR(__xludf.DUMMYFUNCTION("IFERROR(
  LET(
    data, QUERY(GOOGLEFINANCE(C100,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GOOGLEFINANCE(C100, ""price"")) * 100,
    IF(calc=0, G100, calc)
  ), 
G100)"),"#N/A")</f>
        <v>#N/A</v>
      </c>
      <c r="S100" s="8" t="s">
        <v>15</v>
      </c>
      <c r="T100" s="26" t="str">
        <f>IFERROR(__xludf.DUMMYFUNCTION("IFERROR(TRANSPOSE(QUERY(IFERROR(SORT(GOOGLEFINANCE(C100, ""price"", WORKDAY(TODAY(), -40), TODAY()), 1, FALSE)), ""select Col2 where Col2 is not null limit 22 label Col2 ''"", 0)), """")"),"")</f>
        <v/>
      </c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8"/>
      <c r="AO100" s="28"/>
      <c r="AP100" s="29"/>
      <c r="AQ100" s="29" t="str">
        <f t="shared" ref="AQ100:BL100" si="103">T100/T$2</f>
        <v>#N/A</v>
      </c>
      <c r="AR100" s="29" t="str">
        <f t="shared" si="103"/>
        <v>#DIV/0!</v>
      </c>
      <c r="AS100" s="29" t="str">
        <f t="shared" si="103"/>
        <v>#DIV/0!</v>
      </c>
      <c r="AT100" s="29" t="str">
        <f t="shared" si="103"/>
        <v>#DIV/0!</v>
      </c>
      <c r="AU100" s="29" t="str">
        <f t="shared" si="103"/>
        <v>#DIV/0!</v>
      </c>
      <c r="AV100" s="29" t="str">
        <f t="shared" si="103"/>
        <v>#DIV/0!</v>
      </c>
      <c r="AW100" s="29" t="str">
        <f t="shared" si="103"/>
        <v>#DIV/0!</v>
      </c>
      <c r="AX100" s="29" t="str">
        <f t="shared" si="103"/>
        <v>#DIV/0!</v>
      </c>
      <c r="AY100" s="29" t="str">
        <f t="shared" si="103"/>
        <v>#DIV/0!</v>
      </c>
      <c r="AZ100" s="29" t="str">
        <f t="shared" si="103"/>
        <v>#DIV/0!</v>
      </c>
      <c r="BA100" s="29" t="str">
        <f t="shared" si="103"/>
        <v>#DIV/0!</v>
      </c>
      <c r="BB100" s="29" t="str">
        <f t="shared" si="103"/>
        <v>#DIV/0!</v>
      </c>
      <c r="BC100" s="29" t="str">
        <f t="shared" si="103"/>
        <v>#DIV/0!</v>
      </c>
      <c r="BD100" s="29" t="str">
        <f t="shared" si="103"/>
        <v>#DIV/0!</v>
      </c>
      <c r="BE100" s="29" t="str">
        <f t="shared" si="103"/>
        <v>#DIV/0!</v>
      </c>
      <c r="BF100" s="29" t="str">
        <f t="shared" si="103"/>
        <v>#DIV/0!</v>
      </c>
      <c r="BG100" s="29" t="str">
        <f t="shared" si="103"/>
        <v>#DIV/0!</v>
      </c>
      <c r="BH100" s="29" t="str">
        <f t="shared" si="103"/>
        <v>#DIV/0!</v>
      </c>
      <c r="BI100" s="29" t="str">
        <f t="shared" si="103"/>
        <v>#DIV/0!</v>
      </c>
      <c r="BJ100" s="29" t="str">
        <f t="shared" si="103"/>
        <v>#DIV/0!</v>
      </c>
      <c r="BK100" s="29" t="str">
        <f t="shared" si="103"/>
        <v>#DIV/0!</v>
      </c>
      <c r="BL100" s="29" t="str">
        <f t="shared" si="103"/>
        <v>#DIV/0!</v>
      </c>
      <c r="BM100" s="29" t="str">
        <f t="shared" si="3"/>
        <v>#DIV/0!</v>
      </c>
    </row>
    <row r="101">
      <c r="A101" s="16" t="str">
        <f>IFERROR(__xludf.DUMMYFUNCTION("IFERROR(SPARKLINE(SORT(MAP(TRANSPOSE(AQ101:BL101), LAMBDA(val, IF(ISNUMBER(val), PERCENTRANK(AQ101:BL101, val)+0.01, 0))), SEQUENCE(COLUMNS(AQ101:BL101)), FALSE), {""charttype"",""column""; ""color"",""chartreuse""; ""ymin"", 0; ""ymax"", 1.01; ""highcolo"&amp;"r"", ""darkgreen""; ""lowcolor"", ""red""}), """")"),"")</f>
        <v/>
      </c>
      <c r="B101" s="17" t="str">
        <f t="shared" si="4"/>
        <v/>
      </c>
      <c r="C101" s="1" t="s">
        <v>494</v>
      </c>
      <c r="D101" s="34" t="str">
        <f>IFERROR(__xludf.DUMMYFUNCTION("IFERROR(GOOGLEFINANCE(C101, ""NAME""))"),"Accelerant Holdings")</f>
        <v>Accelerant Holdings</v>
      </c>
      <c r="E101" s="30" t="s">
        <v>311</v>
      </c>
      <c r="F101" s="33" t="str">
        <f>IFERROR(__xludf.DUMMYFUNCTION("( (GOOGLEFINANCE(C101, ""price"") - Q101) / Q101 ) / (R101 / 100)"),"Loading...")</f>
        <v>Loading...</v>
      </c>
      <c r="G101" s="20" t="str">
        <f>IFERROR(__xludf.DUMMYFUNCTION("AVERAGE(ARRAYFORMULA(100 * (QUERY(GOOGLEFINANCE(C101, ""high"", TODAY()-40, TODAY()), ""SELECT Col2 WHERE Col2 IS NOT NULL ORDER BY Col1 DESC LIMIT 20"", 0) / QUERY(GOOGLEFINANCE(C101, ""low"", TODAY()-40, TODAY()), ""SELECT Col2 WHERE Col2 IS NOT NULL OR"&amp;"DER BY Col1 DESC LIMIT 20"", 0) - 1)))"),"#N/A")</f>
        <v>#N/A</v>
      </c>
      <c r="H101" s="35" t="str">
        <f t="shared" si="6"/>
        <v/>
      </c>
      <c r="I101" s="36" t="str">
        <f t="shared" si="7"/>
        <v/>
      </c>
      <c r="J101" s="37" t="str">
        <f>IFERROR(__xludf.DUMMYFUNCTION("IFERROR(
  IF(C101="""",, 
    IFERROR(
      GOOGLEFINANCE(C101, ""price"") * GOOGLEFINANCE(C101, ""volumeavg""), 
      GOOGLEFINANCE(C101, ""price"") * AVERAGE(QUERY(GOOGLEFINANCE(C101, ""volume"", TODAY()-40, TODAY()), ""SELECT Col2 WHERE Col2 IS NOT "&amp;"NULL ORDER BY Col1 DESC LIMIT 20"", 0))
    )
  ), 
"""")"),"")</f>
        <v/>
      </c>
      <c r="K101" s="21" t="str">
        <f>IFERROR(__xludf.DUMMYFUNCTION("IFERROR(GOOGLEFINANCE(C101, ""changepct"") / 100, """")"),"")</f>
        <v/>
      </c>
      <c r="L101" s="21" t="str">
        <f>IFERROR(__xludf.DUMMYFUNCTION("IFERROR((GOOGLEFINANCE(C101, ""price"") / INDEX(GOOGLEFINANCE(C101, ""price"", TODAY()-7, TODAY()), 2, 2)) - 1, """")"),"")</f>
        <v/>
      </c>
      <c r="M101" s="21" t="str">
        <f>IFERROR(__xludf.DUMMYFUNCTION("IFERROR((GOOGLEFINANCE(C101, ""price"") / INDEX(GOOGLEFINANCE(C101, ""price"", EDATE(TODAY(), -1), TODAY()), 2, 2)) - 1, """")"),"")</f>
        <v/>
      </c>
      <c r="N101" s="21" t="str">
        <f>IFERROR(__xludf.DUMMYFUNCTION("IFERROR((GOOGLEFINANCE(C101, ""price"") / INDEX(GOOGLEFINANCE(C101, ""price"", EDATE(TODAY(), -3), TODAY()), 2, 2)) - 1, """")"),"")</f>
        <v/>
      </c>
      <c r="O101" s="21" t="str">
        <f>IFERROR(__xludf.DUMMYFUNCTION("IFERROR((GOOGLEFINANCE(C101, ""price"") / INDEX(GOOGLEFINANCE(C101, ""price"", EDATE(TODAY(), -6), TODAY()), 2, 2)) - 1, """")"),"")</f>
        <v/>
      </c>
      <c r="P101" s="21" t="str">
        <f>IFERROR(__xludf.DUMMYFUNCTION("IFERROR((GOOGLEFINANCE(C101, ""price"") / INDEX(GOOGLEFINANCE(C101, ""price"", EDATE(TODAY(), -12), TODAY()), 2, 2)) - 1, """")"),"")</f>
        <v/>
      </c>
      <c r="Q101" s="6" t="str">
        <f>IFERROR(__xludf.DUMMYFUNCTION("AVERAGE(QUERY(GOOGLEFINANCE(C101, ""price"", TODAY()-80, TODAY()), ""SELECT Col2 WHERE Col2 IS NOT NULL ORDER BY Col1 DESC LIMIT 50"", 0))"),"#N/A")</f>
        <v>#N/A</v>
      </c>
      <c r="R101" s="24" t="str">
        <f>IFERROR(__xludf.DUMMYFUNCTION("IFERROR(
  LET(
    data, QUERY(GOOGLEFINANCE(C101,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GOOGLEFINANCE(C101, ""price"")) * 100,
    IF(calc=0, G101, calc)
  ), 
G101)"),"#N/A")</f>
        <v>#N/A</v>
      </c>
      <c r="S101" s="8" t="s">
        <v>15</v>
      </c>
      <c r="T101" s="26" t="str">
        <f>IFERROR(__xludf.DUMMYFUNCTION("IFERROR(TRANSPOSE(QUERY(IFERROR(SORT(GOOGLEFINANCE(C101, ""price"", WORKDAY(TODAY(), -40), TODAY()), 1, FALSE)), ""select Col2 where Col2 is not null limit 22 label Col2 ''"", 0)), """")"),"")</f>
        <v/>
      </c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8"/>
      <c r="AO101" s="28"/>
      <c r="AP101" s="29"/>
      <c r="AQ101" s="29" t="str">
        <f t="shared" ref="AQ101:BL101" si="104">T101/T$2</f>
        <v>#N/A</v>
      </c>
      <c r="AR101" s="29" t="str">
        <f t="shared" si="104"/>
        <v>#DIV/0!</v>
      </c>
      <c r="AS101" s="29" t="str">
        <f t="shared" si="104"/>
        <v>#DIV/0!</v>
      </c>
      <c r="AT101" s="29" t="str">
        <f t="shared" si="104"/>
        <v>#DIV/0!</v>
      </c>
      <c r="AU101" s="29" t="str">
        <f t="shared" si="104"/>
        <v>#DIV/0!</v>
      </c>
      <c r="AV101" s="29" t="str">
        <f t="shared" si="104"/>
        <v>#DIV/0!</v>
      </c>
      <c r="AW101" s="29" t="str">
        <f t="shared" si="104"/>
        <v>#DIV/0!</v>
      </c>
      <c r="AX101" s="29" t="str">
        <f t="shared" si="104"/>
        <v>#DIV/0!</v>
      </c>
      <c r="AY101" s="29" t="str">
        <f t="shared" si="104"/>
        <v>#DIV/0!</v>
      </c>
      <c r="AZ101" s="29" t="str">
        <f t="shared" si="104"/>
        <v>#DIV/0!</v>
      </c>
      <c r="BA101" s="29" t="str">
        <f t="shared" si="104"/>
        <v>#DIV/0!</v>
      </c>
      <c r="BB101" s="29" t="str">
        <f t="shared" si="104"/>
        <v>#DIV/0!</v>
      </c>
      <c r="BC101" s="29" t="str">
        <f t="shared" si="104"/>
        <v>#DIV/0!</v>
      </c>
      <c r="BD101" s="29" t="str">
        <f t="shared" si="104"/>
        <v>#DIV/0!</v>
      </c>
      <c r="BE101" s="29" t="str">
        <f t="shared" si="104"/>
        <v>#DIV/0!</v>
      </c>
      <c r="BF101" s="29" t="str">
        <f t="shared" si="104"/>
        <v>#DIV/0!</v>
      </c>
      <c r="BG101" s="29" t="str">
        <f t="shared" si="104"/>
        <v>#DIV/0!</v>
      </c>
      <c r="BH101" s="29" t="str">
        <f t="shared" si="104"/>
        <v>#DIV/0!</v>
      </c>
      <c r="BI101" s="29" t="str">
        <f t="shared" si="104"/>
        <v>#DIV/0!</v>
      </c>
      <c r="BJ101" s="29" t="str">
        <f t="shared" si="104"/>
        <v>#DIV/0!</v>
      </c>
      <c r="BK101" s="29" t="str">
        <f t="shared" si="104"/>
        <v>#DIV/0!</v>
      </c>
      <c r="BL101" s="29" t="str">
        <f t="shared" si="104"/>
        <v>#DIV/0!</v>
      </c>
      <c r="BM101" s="29" t="str">
        <f t="shared" si="3"/>
        <v>#DIV/0!</v>
      </c>
    </row>
    <row r="102">
      <c r="A102" s="16" t="str">
        <f>IFERROR(__xludf.DUMMYFUNCTION("IFERROR(SPARKLINE(SORT(MAP(TRANSPOSE(AQ102:BL102), LAMBDA(val, IF(ISNUMBER(val), PERCENTRANK(AQ102:BL102, val)+0.01, 0))), SEQUENCE(COLUMNS(AQ102:BL102)), FALSE), {""charttype"",""column""; ""color"",""chartreuse""; ""ymin"", 0; ""ymax"", 1.01; ""highcolo"&amp;"r"", ""darkgreen""; ""lowcolor"", ""red""}), """")"),"")</f>
        <v/>
      </c>
      <c r="B102" s="17" t="str">
        <f t="shared" si="4"/>
        <v/>
      </c>
      <c r="C102" s="1" t="s">
        <v>498</v>
      </c>
      <c r="D102" s="34" t="str">
        <f>IFERROR(__xludf.DUMMYFUNCTION("IFERROR(GOOGLEFINANCE(C102, ""NAME""))"),"Berkshire Hathaway Inc Class A")</f>
        <v>Berkshire Hathaway Inc Class A</v>
      </c>
      <c r="E102" s="30" t="s">
        <v>434</v>
      </c>
      <c r="F102" s="33" t="str">
        <f>IFERROR(__xludf.DUMMYFUNCTION("( (GOOGLEFINANCE(C102, ""price"") - Q102) / Q102 ) / (R102 / 100)"),"Loading...")</f>
        <v>Loading...</v>
      </c>
      <c r="G102" s="20" t="str">
        <f>IFERROR(__xludf.DUMMYFUNCTION("AVERAGE(ARRAYFORMULA(100 * (QUERY(GOOGLEFINANCE(C102, ""high"", TODAY()-40, TODAY()), ""SELECT Col2 WHERE Col2 IS NOT NULL ORDER BY Col1 DESC LIMIT 20"", 0) / QUERY(GOOGLEFINANCE(C102, ""low"", TODAY()-40, TODAY()), ""SELECT Col2 WHERE Col2 IS NOT NULL OR"&amp;"DER BY Col1 DESC LIMIT 20"", 0) - 1)))"),"#N/A")</f>
        <v>#N/A</v>
      </c>
      <c r="H102" s="35" t="str">
        <f t="shared" si="6"/>
        <v/>
      </c>
      <c r="I102" s="36" t="str">
        <f t="shared" si="7"/>
        <v/>
      </c>
      <c r="J102" s="37" t="str">
        <f>IFERROR(__xludf.DUMMYFUNCTION("IFERROR(
  IF(C102="""",, 
    IFERROR(
      GOOGLEFINANCE(C102, ""price"") * GOOGLEFINANCE(C102, ""volumeavg""), 
      GOOGLEFINANCE(C102, ""price"") * AVERAGE(QUERY(GOOGLEFINANCE(C102, ""volume"", TODAY()-40, TODAY()), ""SELECT Col2 WHERE Col2 IS NOT "&amp;"NULL ORDER BY Col1 DESC LIMIT 20"", 0))
    )
  ), 
"""")"),"")</f>
        <v/>
      </c>
      <c r="K102" s="21" t="str">
        <f>IFERROR(__xludf.DUMMYFUNCTION("IFERROR(GOOGLEFINANCE(C102, ""changepct"") / 100, """")"),"")</f>
        <v/>
      </c>
      <c r="L102" s="21" t="str">
        <f>IFERROR(__xludf.DUMMYFUNCTION("IFERROR((GOOGLEFINANCE(C102, ""price"") / INDEX(GOOGLEFINANCE(C102, ""price"", TODAY()-7, TODAY()), 2, 2)) - 1, """")"),"")</f>
        <v/>
      </c>
      <c r="M102" s="21" t="str">
        <f>IFERROR(__xludf.DUMMYFUNCTION("IFERROR((GOOGLEFINANCE(C102, ""price"") / INDEX(GOOGLEFINANCE(C102, ""price"", EDATE(TODAY(), -1), TODAY()), 2, 2)) - 1, """")"),"")</f>
        <v/>
      </c>
      <c r="N102" s="21" t="str">
        <f>IFERROR(__xludf.DUMMYFUNCTION("IFERROR((GOOGLEFINANCE(C102, ""price"") / INDEX(GOOGLEFINANCE(C102, ""price"", EDATE(TODAY(), -3), TODAY()), 2, 2)) - 1, """")"),"")</f>
        <v/>
      </c>
      <c r="O102" s="21" t="str">
        <f>IFERROR(__xludf.DUMMYFUNCTION("IFERROR((GOOGLEFINANCE(C102, ""price"") / INDEX(GOOGLEFINANCE(C102, ""price"", EDATE(TODAY(), -6), TODAY()), 2, 2)) - 1, """")"),"")</f>
        <v/>
      </c>
      <c r="P102" s="21" t="str">
        <f>IFERROR(__xludf.DUMMYFUNCTION("IFERROR((GOOGLEFINANCE(C102, ""price"") / INDEX(GOOGLEFINANCE(C102, ""price"", EDATE(TODAY(), -12), TODAY()), 2, 2)) - 1, """")"),"")</f>
        <v/>
      </c>
      <c r="Q102" s="6" t="str">
        <f>IFERROR(__xludf.DUMMYFUNCTION("AVERAGE(QUERY(GOOGLEFINANCE(C102, ""price"", TODAY()-80, TODAY()), ""SELECT Col2 WHERE Col2 IS NOT NULL ORDER BY Col1 DESC LIMIT 50"", 0))"),"#N/A")</f>
        <v>#N/A</v>
      </c>
      <c r="R102" s="24" t="str">
        <f>IFERROR(__xludf.DUMMYFUNCTION("IFERROR(
  LET(
    data, QUERY(GOOGLEFINANCE(C102,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GOOGLEFINANCE(C102, ""price"")) * 100,
    IF(calc=0, G102, calc)
  ), 
G102)"),"#N/A")</f>
        <v>#N/A</v>
      </c>
      <c r="S102" s="8" t="s">
        <v>15</v>
      </c>
      <c r="T102" s="26" t="str">
        <f>IFERROR(__xludf.DUMMYFUNCTION("IFERROR(TRANSPOSE(QUERY(IFERROR(SORT(GOOGLEFINANCE(C102, ""price"", WORKDAY(TODAY(), -40), TODAY()), 1, FALSE)), ""select Col2 where Col2 is not null limit 22 label Col2 ''"", 0)), """")"),"")</f>
        <v/>
      </c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8"/>
      <c r="AO102" s="28"/>
      <c r="AP102" s="29"/>
      <c r="AQ102" s="29" t="str">
        <f t="shared" ref="AQ102:BL102" si="105">T102/T$2</f>
        <v>#N/A</v>
      </c>
      <c r="AR102" s="29" t="str">
        <f t="shared" si="105"/>
        <v>#DIV/0!</v>
      </c>
      <c r="AS102" s="29" t="str">
        <f t="shared" si="105"/>
        <v>#DIV/0!</v>
      </c>
      <c r="AT102" s="29" t="str">
        <f t="shared" si="105"/>
        <v>#DIV/0!</v>
      </c>
      <c r="AU102" s="29" t="str">
        <f t="shared" si="105"/>
        <v>#DIV/0!</v>
      </c>
      <c r="AV102" s="29" t="str">
        <f t="shared" si="105"/>
        <v>#DIV/0!</v>
      </c>
      <c r="AW102" s="29" t="str">
        <f t="shared" si="105"/>
        <v>#DIV/0!</v>
      </c>
      <c r="AX102" s="29" t="str">
        <f t="shared" si="105"/>
        <v>#DIV/0!</v>
      </c>
      <c r="AY102" s="29" t="str">
        <f t="shared" si="105"/>
        <v>#DIV/0!</v>
      </c>
      <c r="AZ102" s="29" t="str">
        <f t="shared" si="105"/>
        <v>#DIV/0!</v>
      </c>
      <c r="BA102" s="29" t="str">
        <f t="shared" si="105"/>
        <v>#DIV/0!</v>
      </c>
      <c r="BB102" s="29" t="str">
        <f t="shared" si="105"/>
        <v>#DIV/0!</v>
      </c>
      <c r="BC102" s="29" t="str">
        <f t="shared" si="105"/>
        <v>#DIV/0!</v>
      </c>
      <c r="BD102" s="29" t="str">
        <f t="shared" si="105"/>
        <v>#DIV/0!</v>
      </c>
      <c r="BE102" s="29" t="str">
        <f t="shared" si="105"/>
        <v>#DIV/0!</v>
      </c>
      <c r="BF102" s="29" t="str">
        <f t="shared" si="105"/>
        <v>#DIV/0!</v>
      </c>
      <c r="BG102" s="29" t="str">
        <f t="shared" si="105"/>
        <v>#DIV/0!</v>
      </c>
      <c r="BH102" s="29" t="str">
        <f t="shared" si="105"/>
        <v>#DIV/0!</v>
      </c>
      <c r="BI102" s="29" t="str">
        <f t="shared" si="105"/>
        <v>#DIV/0!</v>
      </c>
      <c r="BJ102" s="29" t="str">
        <f t="shared" si="105"/>
        <v>#DIV/0!</v>
      </c>
      <c r="BK102" s="29" t="str">
        <f t="shared" si="105"/>
        <v>#DIV/0!</v>
      </c>
      <c r="BL102" s="29" t="str">
        <f t="shared" si="105"/>
        <v>#DIV/0!</v>
      </c>
      <c r="BM102" s="29" t="str">
        <f t="shared" si="3"/>
        <v>#DIV/0!</v>
      </c>
    </row>
    <row r="103">
      <c r="A103" s="16" t="str">
        <f>IFERROR(__xludf.DUMMYFUNCTION("IFERROR(SPARKLINE(SORT(MAP(TRANSPOSE(AQ103:BL103), LAMBDA(val, IF(ISNUMBER(val), PERCENTRANK(AQ103:BL103, val)+0.01, 0))), SEQUENCE(COLUMNS(AQ103:BL103)), FALSE), {""charttype"",""column""; ""color"",""chartreuse""; ""ymin"", 0; ""ymax"", 1.01; ""highcolo"&amp;"r"", ""darkgreen""; ""lowcolor"", ""red""}), """")"),"")</f>
        <v/>
      </c>
      <c r="B103" s="17" t="str">
        <f t="shared" si="4"/>
        <v/>
      </c>
      <c r="C103" s="1" t="s">
        <v>502</v>
      </c>
      <c r="D103" s="34" t="str">
        <f>IFERROR(__xludf.DUMMYFUNCTION("IFERROR(GOOGLEFINANCE(C103, ""NAME""))"),"The Goldman Sachs Group, Inc.")</f>
        <v>The Goldman Sachs Group, Inc.</v>
      </c>
      <c r="E103" s="30" t="s">
        <v>77</v>
      </c>
      <c r="F103" s="33" t="str">
        <f>IFERROR(__xludf.DUMMYFUNCTION("( (GOOGLEFINANCE(C103, ""price"") - Q103) / Q103 ) / (R103 / 100)"),"Loading...")</f>
        <v>Loading...</v>
      </c>
      <c r="G103" s="20" t="str">
        <f>IFERROR(__xludf.DUMMYFUNCTION("AVERAGE(ARRAYFORMULA(100 * (QUERY(GOOGLEFINANCE(C103, ""high"", TODAY()-40, TODAY()), ""SELECT Col2 WHERE Col2 IS NOT NULL ORDER BY Col1 DESC LIMIT 20"", 0) / QUERY(GOOGLEFINANCE(C103, ""low"", TODAY()-40, TODAY()), ""SELECT Col2 WHERE Col2 IS NOT NULL OR"&amp;"DER BY Col1 DESC LIMIT 20"", 0) - 1)))"),"#N/A")</f>
        <v>#N/A</v>
      </c>
      <c r="H103" s="35" t="str">
        <f t="shared" si="6"/>
        <v/>
      </c>
      <c r="I103" s="36" t="str">
        <f t="shared" si="7"/>
        <v/>
      </c>
      <c r="J103" s="37" t="str">
        <f>IFERROR(__xludf.DUMMYFUNCTION("IFERROR(
  IF(C103="""",, 
    IFERROR(
      GOOGLEFINANCE(C103, ""price"") * GOOGLEFINANCE(C103, ""volumeavg""), 
      GOOGLEFINANCE(C103, ""price"") * AVERAGE(QUERY(GOOGLEFINANCE(C103, ""volume"", TODAY()-40, TODAY()), ""SELECT Col2 WHERE Col2 IS NOT "&amp;"NULL ORDER BY Col1 DESC LIMIT 20"", 0))
    )
  ), 
"""")"),"")</f>
        <v/>
      </c>
      <c r="K103" s="21" t="str">
        <f>IFERROR(__xludf.DUMMYFUNCTION("IFERROR(GOOGLEFINANCE(C103, ""changepct"") / 100, """")"),"")</f>
        <v/>
      </c>
      <c r="L103" s="21" t="str">
        <f>IFERROR(__xludf.DUMMYFUNCTION("IFERROR((GOOGLEFINANCE(C103, ""price"") / INDEX(GOOGLEFINANCE(C103, ""price"", TODAY()-7, TODAY()), 2, 2)) - 1, """")"),"")</f>
        <v/>
      </c>
      <c r="M103" s="21" t="str">
        <f>IFERROR(__xludf.DUMMYFUNCTION("IFERROR((GOOGLEFINANCE(C103, ""price"") / INDEX(GOOGLEFINANCE(C103, ""price"", EDATE(TODAY(), -1), TODAY()), 2, 2)) - 1, """")"),"")</f>
        <v/>
      </c>
      <c r="N103" s="21" t="str">
        <f>IFERROR(__xludf.DUMMYFUNCTION("IFERROR((GOOGLEFINANCE(C103, ""price"") / INDEX(GOOGLEFINANCE(C103, ""price"", EDATE(TODAY(), -3), TODAY()), 2, 2)) - 1, """")"),"")</f>
        <v/>
      </c>
      <c r="O103" s="21" t="str">
        <f>IFERROR(__xludf.DUMMYFUNCTION("IFERROR((GOOGLEFINANCE(C103, ""price"") / INDEX(GOOGLEFINANCE(C103, ""price"", EDATE(TODAY(), -6), TODAY()), 2, 2)) - 1, """")"),"")</f>
        <v/>
      </c>
      <c r="P103" s="21" t="str">
        <f>IFERROR(__xludf.DUMMYFUNCTION("IFERROR((GOOGLEFINANCE(C103, ""price"") / INDEX(GOOGLEFINANCE(C103, ""price"", EDATE(TODAY(), -12), TODAY()), 2, 2)) - 1, """")"),"")</f>
        <v/>
      </c>
      <c r="Q103" s="6" t="str">
        <f>IFERROR(__xludf.DUMMYFUNCTION("AVERAGE(QUERY(GOOGLEFINANCE(C103, ""price"", TODAY()-80, TODAY()), ""SELECT Col2 WHERE Col2 IS NOT NULL ORDER BY Col1 DESC LIMIT 50"", 0))"),"#N/A")</f>
        <v>#N/A</v>
      </c>
      <c r="R103" s="24" t="str">
        <f>IFERROR(__xludf.DUMMYFUNCTION("IFERROR(
  LET(
    data, QUERY(GOOGLEFINANCE(C103,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GOOGLEFINANCE(C103, ""price"")) * 100,
    IF(calc=0, G103, calc)
  ), 
G103)"),"#N/A")</f>
        <v>#N/A</v>
      </c>
      <c r="S103" s="8" t="s">
        <v>15</v>
      </c>
      <c r="T103" s="26" t="str">
        <f>IFERROR(__xludf.DUMMYFUNCTION("IFERROR(TRANSPOSE(QUERY(IFERROR(SORT(GOOGLEFINANCE(C103, ""price"", WORKDAY(TODAY(), -40), TODAY()), 1, FALSE)), ""select Col2 where Col2 is not null limit 22 label Col2 ''"", 0)), """")"),"")</f>
        <v/>
      </c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8"/>
      <c r="AO103" s="28"/>
      <c r="AP103" s="29"/>
      <c r="AQ103" s="29" t="str">
        <f t="shared" ref="AQ103:BL103" si="106">T103/T$2</f>
        <v>#N/A</v>
      </c>
      <c r="AR103" s="29" t="str">
        <f t="shared" si="106"/>
        <v>#DIV/0!</v>
      </c>
      <c r="AS103" s="29" t="str">
        <f t="shared" si="106"/>
        <v>#DIV/0!</v>
      </c>
      <c r="AT103" s="29" t="str">
        <f t="shared" si="106"/>
        <v>#DIV/0!</v>
      </c>
      <c r="AU103" s="29" t="str">
        <f t="shared" si="106"/>
        <v>#DIV/0!</v>
      </c>
      <c r="AV103" s="29" t="str">
        <f t="shared" si="106"/>
        <v>#DIV/0!</v>
      </c>
      <c r="AW103" s="29" t="str">
        <f t="shared" si="106"/>
        <v>#DIV/0!</v>
      </c>
      <c r="AX103" s="29" t="str">
        <f t="shared" si="106"/>
        <v>#DIV/0!</v>
      </c>
      <c r="AY103" s="29" t="str">
        <f t="shared" si="106"/>
        <v>#DIV/0!</v>
      </c>
      <c r="AZ103" s="29" t="str">
        <f t="shared" si="106"/>
        <v>#DIV/0!</v>
      </c>
      <c r="BA103" s="29" t="str">
        <f t="shared" si="106"/>
        <v>#DIV/0!</v>
      </c>
      <c r="BB103" s="29" t="str">
        <f t="shared" si="106"/>
        <v>#DIV/0!</v>
      </c>
      <c r="BC103" s="29" t="str">
        <f t="shared" si="106"/>
        <v>#DIV/0!</v>
      </c>
      <c r="BD103" s="29" t="str">
        <f t="shared" si="106"/>
        <v>#DIV/0!</v>
      </c>
      <c r="BE103" s="29" t="str">
        <f t="shared" si="106"/>
        <v>#DIV/0!</v>
      </c>
      <c r="BF103" s="29" t="str">
        <f t="shared" si="106"/>
        <v>#DIV/0!</v>
      </c>
      <c r="BG103" s="29" t="str">
        <f t="shared" si="106"/>
        <v>#DIV/0!</v>
      </c>
      <c r="BH103" s="29" t="str">
        <f t="shared" si="106"/>
        <v>#DIV/0!</v>
      </c>
      <c r="BI103" s="29" t="str">
        <f t="shared" si="106"/>
        <v>#DIV/0!</v>
      </c>
      <c r="BJ103" s="29" t="str">
        <f t="shared" si="106"/>
        <v>#DIV/0!</v>
      </c>
      <c r="BK103" s="29" t="str">
        <f t="shared" si="106"/>
        <v>#DIV/0!</v>
      </c>
      <c r="BL103" s="29" t="str">
        <f t="shared" si="106"/>
        <v>#DIV/0!</v>
      </c>
      <c r="BM103" s="29" t="str">
        <f t="shared" si="3"/>
        <v>#DIV/0!</v>
      </c>
    </row>
    <row r="104">
      <c r="A104" s="16" t="str">
        <f>IFERROR(__xludf.DUMMYFUNCTION("IFERROR(SPARKLINE(SORT(MAP(TRANSPOSE(AQ104:BL104), LAMBDA(val, IF(ISNUMBER(val), PERCENTRANK(AQ104:BL104, val)+0.01, 0))), SEQUENCE(COLUMNS(AQ104:BL104)), FALSE), {""charttype"",""column""; ""color"",""chartreuse""; ""ymin"", 0; ""ymax"", 1.01; ""highcolo"&amp;"r"", ""darkgreen""; ""lowcolor"", ""red""}), """")"),"")</f>
        <v/>
      </c>
      <c r="B104" s="17" t="str">
        <f t="shared" si="4"/>
        <v/>
      </c>
      <c r="C104" s="1" t="s">
        <v>506</v>
      </c>
      <c r="D104" s="34" t="str">
        <f>IFERROR(__xludf.DUMMYFUNCTION("IFERROR(GOOGLEFINANCE(C104, ""NAME""))"),"Manulife Financial Corp")</f>
        <v>Manulife Financial Corp</v>
      </c>
      <c r="E104" s="30" t="s">
        <v>231</v>
      </c>
      <c r="F104" s="33" t="str">
        <f>IFERROR(__xludf.DUMMYFUNCTION("( (GOOGLEFINANCE(C104, ""price"") - Q104) / Q104 ) / (R104 / 100)"),"Loading...")</f>
        <v>Loading...</v>
      </c>
      <c r="G104" s="20" t="str">
        <f>IFERROR(__xludf.DUMMYFUNCTION("AVERAGE(ARRAYFORMULA(100 * (QUERY(GOOGLEFINANCE(C104, ""high"", TODAY()-40, TODAY()), ""SELECT Col2 WHERE Col2 IS NOT NULL ORDER BY Col1 DESC LIMIT 20"", 0) / QUERY(GOOGLEFINANCE(C104, ""low"", TODAY()-40, TODAY()), ""SELECT Col2 WHERE Col2 IS NOT NULL OR"&amp;"DER BY Col1 DESC LIMIT 20"", 0) - 1)))"),"#N/A")</f>
        <v>#N/A</v>
      </c>
      <c r="H104" s="35" t="str">
        <f t="shared" si="6"/>
        <v/>
      </c>
      <c r="I104" s="36" t="str">
        <f t="shared" si="7"/>
        <v/>
      </c>
      <c r="J104" s="37" t="str">
        <f>IFERROR(__xludf.DUMMYFUNCTION("IFERROR(
  IF(C104="""",, 
    IFERROR(
      GOOGLEFINANCE(C104, ""price"") * GOOGLEFINANCE(C104, ""volumeavg""), 
      GOOGLEFINANCE(C104, ""price"") * AVERAGE(QUERY(GOOGLEFINANCE(C104, ""volume"", TODAY()-40, TODAY()), ""SELECT Col2 WHERE Col2 IS NOT "&amp;"NULL ORDER BY Col1 DESC LIMIT 20"", 0))
    )
  ), 
"""")"),"")</f>
        <v/>
      </c>
      <c r="K104" s="21" t="str">
        <f>IFERROR(__xludf.DUMMYFUNCTION("IFERROR(GOOGLEFINANCE(C104, ""changepct"") / 100, """")"),"")</f>
        <v/>
      </c>
      <c r="L104" s="21" t="str">
        <f>IFERROR(__xludf.DUMMYFUNCTION("IFERROR((GOOGLEFINANCE(C104, ""price"") / INDEX(GOOGLEFINANCE(C104, ""price"", TODAY()-7, TODAY()), 2, 2)) - 1, """")"),"")</f>
        <v/>
      </c>
      <c r="M104" s="21" t="str">
        <f>IFERROR(__xludf.DUMMYFUNCTION("IFERROR((GOOGLEFINANCE(C104, ""price"") / INDEX(GOOGLEFINANCE(C104, ""price"", EDATE(TODAY(), -1), TODAY()), 2, 2)) - 1, """")"),"")</f>
        <v/>
      </c>
      <c r="N104" s="21" t="str">
        <f>IFERROR(__xludf.DUMMYFUNCTION("IFERROR((GOOGLEFINANCE(C104, ""price"") / INDEX(GOOGLEFINANCE(C104, ""price"", EDATE(TODAY(), -3), TODAY()), 2, 2)) - 1, """")"),"")</f>
        <v/>
      </c>
      <c r="O104" s="21" t="str">
        <f>IFERROR(__xludf.DUMMYFUNCTION("IFERROR((GOOGLEFINANCE(C104, ""price"") / INDEX(GOOGLEFINANCE(C104, ""price"", EDATE(TODAY(), -6), TODAY()), 2, 2)) - 1, """")"),"")</f>
        <v/>
      </c>
      <c r="P104" s="21" t="str">
        <f>IFERROR(__xludf.DUMMYFUNCTION("IFERROR((GOOGLEFINANCE(C104, ""price"") / INDEX(GOOGLEFINANCE(C104, ""price"", EDATE(TODAY(), -12), TODAY()), 2, 2)) - 1, """")"),"")</f>
        <v/>
      </c>
      <c r="Q104" s="6" t="str">
        <f>IFERROR(__xludf.DUMMYFUNCTION("AVERAGE(QUERY(GOOGLEFINANCE(C104, ""price"", TODAY()-80, TODAY()), ""SELECT Col2 WHERE Col2 IS NOT NULL ORDER BY Col1 DESC LIMIT 50"", 0))"),"#N/A")</f>
        <v>#N/A</v>
      </c>
      <c r="R104" s="24" t="str">
        <f>IFERROR(__xludf.DUMMYFUNCTION("IFERROR(
  LET(
    data, QUERY(GOOGLEFINANCE(C104,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GOOGLEFINANCE(C104, ""price"")) * 100,
    IF(calc=0, G104, calc)
  ), 
G104)"),"#N/A")</f>
        <v>#N/A</v>
      </c>
      <c r="S104" s="8" t="s">
        <v>15</v>
      </c>
      <c r="T104" s="26" t="str">
        <f>IFERROR(__xludf.DUMMYFUNCTION("IFERROR(TRANSPOSE(QUERY(IFERROR(SORT(GOOGLEFINANCE(C104, ""price"", WORKDAY(TODAY(), -40), TODAY()), 1, FALSE)), ""select Col2 where Col2 is not null limit 22 label Col2 ''"", 0)), """")"),"")</f>
        <v/>
      </c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8"/>
      <c r="AO104" s="28"/>
      <c r="AP104" s="29"/>
      <c r="AQ104" s="29" t="str">
        <f t="shared" ref="AQ104:BL104" si="107">T104/T$2</f>
        <v>#N/A</v>
      </c>
      <c r="AR104" s="29" t="str">
        <f t="shared" si="107"/>
        <v>#DIV/0!</v>
      </c>
      <c r="AS104" s="29" t="str">
        <f t="shared" si="107"/>
        <v>#DIV/0!</v>
      </c>
      <c r="AT104" s="29" t="str">
        <f t="shared" si="107"/>
        <v>#DIV/0!</v>
      </c>
      <c r="AU104" s="29" t="str">
        <f t="shared" si="107"/>
        <v>#DIV/0!</v>
      </c>
      <c r="AV104" s="29" t="str">
        <f t="shared" si="107"/>
        <v>#DIV/0!</v>
      </c>
      <c r="AW104" s="29" t="str">
        <f t="shared" si="107"/>
        <v>#DIV/0!</v>
      </c>
      <c r="AX104" s="29" t="str">
        <f t="shared" si="107"/>
        <v>#DIV/0!</v>
      </c>
      <c r="AY104" s="29" t="str">
        <f t="shared" si="107"/>
        <v>#DIV/0!</v>
      </c>
      <c r="AZ104" s="29" t="str">
        <f t="shared" si="107"/>
        <v>#DIV/0!</v>
      </c>
      <c r="BA104" s="29" t="str">
        <f t="shared" si="107"/>
        <v>#DIV/0!</v>
      </c>
      <c r="BB104" s="29" t="str">
        <f t="shared" si="107"/>
        <v>#DIV/0!</v>
      </c>
      <c r="BC104" s="29" t="str">
        <f t="shared" si="107"/>
        <v>#DIV/0!</v>
      </c>
      <c r="BD104" s="29" t="str">
        <f t="shared" si="107"/>
        <v>#DIV/0!</v>
      </c>
      <c r="BE104" s="29" t="str">
        <f t="shared" si="107"/>
        <v>#DIV/0!</v>
      </c>
      <c r="BF104" s="29" t="str">
        <f t="shared" si="107"/>
        <v>#DIV/0!</v>
      </c>
      <c r="BG104" s="29" t="str">
        <f t="shared" si="107"/>
        <v>#DIV/0!</v>
      </c>
      <c r="BH104" s="29" t="str">
        <f t="shared" si="107"/>
        <v>#DIV/0!</v>
      </c>
      <c r="BI104" s="29" t="str">
        <f t="shared" si="107"/>
        <v>#DIV/0!</v>
      </c>
      <c r="BJ104" s="29" t="str">
        <f t="shared" si="107"/>
        <v>#DIV/0!</v>
      </c>
      <c r="BK104" s="29" t="str">
        <f t="shared" si="107"/>
        <v>#DIV/0!</v>
      </c>
      <c r="BL104" s="29" t="str">
        <f t="shared" si="107"/>
        <v>#DIV/0!</v>
      </c>
      <c r="BM104" s="29" t="str">
        <f t="shared" si="3"/>
        <v>#DIV/0!</v>
      </c>
    </row>
    <row r="105">
      <c r="A105" s="16" t="str">
        <f>IFERROR(__xludf.DUMMYFUNCTION("IFERROR(SPARKLINE(SORT(MAP(TRANSPOSE(AQ105:BL105), LAMBDA(val, IF(ISNUMBER(val), PERCENTRANK(AQ105:BL105, val)+0.01, 0))), SEQUENCE(COLUMNS(AQ105:BL105)), FALSE), {""charttype"",""column""; ""color"",""chartreuse""; ""ymin"", 0; ""ymax"", 1.01; ""highcolo"&amp;"r"", ""darkgreen""; ""lowcolor"", ""red""}), """")"),"")</f>
        <v/>
      </c>
      <c r="B105" s="17" t="str">
        <f t="shared" si="4"/>
        <v/>
      </c>
      <c r="C105" s="1" t="s">
        <v>510</v>
      </c>
      <c r="D105" s="34" t="str">
        <f>IFERROR(__xludf.DUMMYFUNCTION("IFERROR(GOOGLEFINANCE(C105, ""NAME""))"),"Alussa Energy Acquisition Corp II")</f>
        <v>Alussa Energy Acquisition Corp II</v>
      </c>
      <c r="E105" s="30" t="s">
        <v>161</v>
      </c>
      <c r="F105" s="33" t="str">
        <f>IFERROR(__xludf.DUMMYFUNCTION("( (GOOGLEFINANCE(C105, ""price"") - Q105) / Q105 ) / (R105 / 100)"),"Loading...")</f>
        <v>Loading...</v>
      </c>
      <c r="G105" s="20" t="str">
        <f>IFERROR(__xludf.DUMMYFUNCTION("AVERAGE(ARRAYFORMULA(100 * (QUERY(GOOGLEFINANCE(C105, ""high"", TODAY()-40, TODAY()), ""SELECT Col2 WHERE Col2 IS NOT NULL ORDER BY Col1 DESC LIMIT 20"", 0) / QUERY(GOOGLEFINANCE(C105, ""low"", TODAY()-40, TODAY()), ""SELECT Col2 WHERE Col2 IS NOT NULL OR"&amp;"DER BY Col1 DESC LIMIT 20"", 0) - 1)))"),"#N/A")</f>
        <v>#N/A</v>
      </c>
      <c r="H105" s="35" t="str">
        <f t="shared" si="6"/>
        <v/>
      </c>
      <c r="I105" s="36" t="str">
        <f t="shared" si="7"/>
        <v/>
      </c>
      <c r="J105" s="37" t="str">
        <f>IFERROR(__xludf.DUMMYFUNCTION("IFERROR(
  IF(C105="""",, 
    IFERROR(
      GOOGLEFINANCE(C105, ""price"") * GOOGLEFINANCE(C105, ""volumeavg""), 
      GOOGLEFINANCE(C105, ""price"") * AVERAGE(QUERY(GOOGLEFINANCE(C105, ""volume"", TODAY()-40, TODAY()), ""SELECT Col2 WHERE Col2 IS NOT "&amp;"NULL ORDER BY Col1 DESC LIMIT 20"", 0))
    )
  ), 
"""")"),"")</f>
        <v/>
      </c>
      <c r="K105" s="21" t="str">
        <f>IFERROR(__xludf.DUMMYFUNCTION("IFERROR(GOOGLEFINANCE(C105, ""changepct"") / 100, """")"),"")</f>
        <v/>
      </c>
      <c r="L105" s="21" t="str">
        <f>IFERROR(__xludf.DUMMYFUNCTION("IFERROR((GOOGLEFINANCE(C105, ""price"") / INDEX(GOOGLEFINANCE(C105, ""price"", TODAY()-7, TODAY()), 2, 2)) - 1, """")"),"")</f>
        <v/>
      </c>
      <c r="M105" s="21" t="str">
        <f>IFERROR(__xludf.DUMMYFUNCTION("IFERROR((GOOGLEFINANCE(C105, ""price"") / INDEX(GOOGLEFINANCE(C105, ""price"", EDATE(TODAY(), -1), TODAY()), 2, 2)) - 1, """")"),"")</f>
        <v/>
      </c>
      <c r="N105" s="21" t="str">
        <f>IFERROR(__xludf.DUMMYFUNCTION("IFERROR((GOOGLEFINANCE(C105, ""price"") / INDEX(GOOGLEFINANCE(C105, ""price"", EDATE(TODAY(), -3), TODAY()), 2, 2)) - 1, """")"),"")</f>
        <v/>
      </c>
      <c r="O105" s="21" t="str">
        <f>IFERROR(__xludf.DUMMYFUNCTION("IFERROR((GOOGLEFINANCE(C105, ""price"") / INDEX(GOOGLEFINANCE(C105, ""price"", EDATE(TODAY(), -6), TODAY()), 2, 2)) - 1, """")"),"")</f>
        <v/>
      </c>
      <c r="P105" s="21" t="str">
        <f>IFERROR(__xludf.DUMMYFUNCTION("IFERROR((GOOGLEFINANCE(C105, ""price"") / INDEX(GOOGLEFINANCE(C105, ""price"", EDATE(TODAY(), -12), TODAY()), 2, 2)) - 1, """")"),"")</f>
        <v/>
      </c>
      <c r="Q105" s="6" t="str">
        <f>IFERROR(__xludf.DUMMYFUNCTION("AVERAGE(QUERY(GOOGLEFINANCE(C105, ""price"", TODAY()-80, TODAY()), ""SELECT Col2 WHERE Col2 IS NOT NULL ORDER BY Col1 DESC LIMIT 50"", 0))"),"#N/A")</f>
        <v>#N/A</v>
      </c>
      <c r="R105" s="24" t="str">
        <f>IFERROR(__xludf.DUMMYFUNCTION("IFERROR(
  LET(
    data, QUERY(GOOGLEFINANCE(C105,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GOOGLEFINANCE(C105, ""price"")) * 100,
    IF(calc=0, G105, calc)
  ), 
G105)"),"#N/A")</f>
        <v>#N/A</v>
      </c>
      <c r="S105" s="8" t="s">
        <v>15</v>
      </c>
      <c r="T105" s="26" t="str">
        <f>IFERROR(__xludf.DUMMYFUNCTION("IFERROR(TRANSPOSE(QUERY(IFERROR(SORT(GOOGLEFINANCE(C105, ""price"", WORKDAY(TODAY(), -40), TODAY()), 1, FALSE)), ""select Col2 where Col2 is not null limit 22 label Col2 ''"", 0)), """")"),"")</f>
        <v/>
      </c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8"/>
      <c r="AO105" s="28"/>
      <c r="AP105" s="29"/>
      <c r="AQ105" s="29" t="str">
        <f t="shared" ref="AQ105:BL105" si="108">T105/T$2</f>
        <v>#N/A</v>
      </c>
      <c r="AR105" s="29" t="str">
        <f t="shared" si="108"/>
        <v>#DIV/0!</v>
      </c>
      <c r="AS105" s="29" t="str">
        <f t="shared" si="108"/>
        <v>#DIV/0!</v>
      </c>
      <c r="AT105" s="29" t="str">
        <f t="shared" si="108"/>
        <v>#DIV/0!</v>
      </c>
      <c r="AU105" s="29" t="str">
        <f t="shared" si="108"/>
        <v>#DIV/0!</v>
      </c>
      <c r="AV105" s="29" t="str">
        <f t="shared" si="108"/>
        <v>#DIV/0!</v>
      </c>
      <c r="AW105" s="29" t="str">
        <f t="shared" si="108"/>
        <v>#DIV/0!</v>
      </c>
      <c r="AX105" s="29" t="str">
        <f t="shared" si="108"/>
        <v>#DIV/0!</v>
      </c>
      <c r="AY105" s="29" t="str">
        <f t="shared" si="108"/>
        <v>#DIV/0!</v>
      </c>
      <c r="AZ105" s="29" t="str">
        <f t="shared" si="108"/>
        <v>#DIV/0!</v>
      </c>
      <c r="BA105" s="29" t="str">
        <f t="shared" si="108"/>
        <v>#DIV/0!</v>
      </c>
      <c r="BB105" s="29" t="str">
        <f t="shared" si="108"/>
        <v>#DIV/0!</v>
      </c>
      <c r="BC105" s="29" t="str">
        <f t="shared" si="108"/>
        <v>#DIV/0!</v>
      </c>
      <c r="BD105" s="29" t="str">
        <f t="shared" si="108"/>
        <v>#DIV/0!</v>
      </c>
      <c r="BE105" s="29" t="str">
        <f t="shared" si="108"/>
        <v>#DIV/0!</v>
      </c>
      <c r="BF105" s="29" t="str">
        <f t="shared" si="108"/>
        <v>#DIV/0!</v>
      </c>
      <c r="BG105" s="29" t="str">
        <f t="shared" si="108"/>
        <v>#DIV/0!</v>
      </c>
      <c r="BH105" s="29" t="str">
        <f t="shared" si="108"/>
        <v>#DIV/0!</v>
      </c>
      <c r="BI105" s="29" t="str">
        <f t="shared" si="108"/>
        <v>#DIV/0!</v>
      </c>
      <c r="BJ105" s="29" t="str">
        <f t="shared" si="108"/>
        <v>#DIV/0!</v>
      </c>
      <c r="BK105" s="29" t="str">
        <f t="shared" si="108"/>
        <v>#DIV/0!</v>
      </c>
      <c r="BL105" s="29" t="str">
        <f t="shared" si="108"/>
        <v>#DIV/0!</v>
      </c>
      <c r="BM105" s="29" t="str">
        <f t="shared" si="3"/>
        <v>#DIV/0!</v>
      </c>
    </row>
    <row r="106">
      <c r="A106" s="16" t="str">
        <f>IFERROR(__xludf.DUMMYFUNCTION("IFERROR(SPARKLINE(SORT(MAP(TRANSPOSE(AQ106:BL106), LAMBDA(val, IF(ISNUMBER(val), PERCENTRANK(AQ106:BL106, val)+0.01, 0))), SEQUENCE(COLUMNS(AQ106:BL106)), FALSE), {""charttype"",""column""; ""color"",""chartreuse""; ""ymin"", 0; ""ymax"", 1.01; ""highcolo"&amp;"r"", ""darkgreen""; ""lowcolor"", ""red""}), """")"),"")</f>
        <v/>
      </c>
      <c r="B106" s="17" t="str">
        <f t="shared" si="4"/>
        <v/>
      </c>
      <c r="C106" s="1" t="s">
        <v>515</v>
      </c>
      <c r="D106" s="34" t="str">
        <f>IFERROR(__xludf.DUMMYFUNCTION("IFERROR(GOOGLEFINANCE(C106, ""NAME""))"),"TWFG Inc")</f>
        <v>TWFG Inc</v>
      </c>
      <c r="E106" s="30" t="s">
        <v>311</v>
      </c>
      <c r="F106" s="33" t="str">
        <f>IFERROR(__xludf.DUMMYFUNCTION("( (GOOGLEFINANCE(C106, ""price"") - Q106) / Q106 ) / (R106 / 100)"),"Loading...")</f>
        <v>Loading...</v>
      </c>
      <c r="G106" s="20" t="str">
        <f>IFERROR(__xludf.DUMMYFUNCTION("AVERAGE(ARRAYFORMULA(100 * (QUERY(GOOGLEFINANCE(C106, ""high"", TODAY()-40, TODAY()), ""SELECT Col2 WHERE Col2 IS NOT NULL ORDER BY Col1 DESC LIMIT 20"", 0) / QUERY(GOOGLEFINANCE(C106, ""low"", TODAY()-40, TODAY()), ""SELECT Col2 WHERE Col2 IS NOT NULL OR"&amp;"DER BY Col1 DESC LIMIT 20"", 0) - 1)))"),"#N/A")</f>
        <v>#N/A</v>
      </c>
      <c r="H106" s="35" t="str">
        <f t="shared" si="6"/>
        <v/>
      </c>
      <c r="I106" s="36" t="str">
        <f t="shared" si="7"/>
        <v/>
      </c>
      <c r="J106" s="37" t="str">
        <f>IFERROR(__xludf.DUMMYFUNCTION("IFERROR(
  IF(C106="""",, 
    IFERROR(
      GOOGLEFINANCE(C106, ""price"") * GOOGLEFINANCE(C106, ""volumeavg""), 
      GOOGLEFINANCE(C106, ""price"") * AVERAGE(QUERY(GOOGLEFINANCE(C106, ""volume"", TODAY()-40, TODAY()), ""SELECT Col2 WHERE Col2 IS NOT "&amp;"NULL ORDER BY Col1 DESC LIMIT 20"", 0))
    )
  ), 
"""")"),"")</f>
        <v/>
      </c>
      <c r="K106" s="21" t="str">
        <f>IFERROR(__xludf.DUMMYFUNCTION("IFERROR(GOOGLEFINANCE(C106, ""changepct"") / 100, """")"),"")</f>
        <v/>
      </c>
      <c r="L106" s="21" t="str">
        <f>IFERROR(__xludf.DUMMYFUNCTION("IFERROR((GOOGLEFINANCE(C106, ""price"") / INDEX(GOOGLEFINANCE(C106, ""price"", TODAY()-7, TODAY()), 2, 2)) - 1, """")"),"")</f>
        <v/>
      </c>
      <c r="M106" s="21" t="str">
        <f>IFERROR(__xludf.DUMMYFUNCTION("IFERROR((GOOGLEFINANCE(C106, ""price"") / INDEX(GOOGLEFINANCE(C106, ""price"", EDATE(TODAY(), -1), TODAY()), 2, 2)) - 1, """")"),"")</f>
        <v/>
      </c>
      <c r="N106" s="21" t="str">
        <f>IFERROR(__xludf.DUMMYFUNCTION("IFERROR((GOOGLEFINANCE(C106, ""price"") / INDEX(GOOGLEFINANCE(C106, ""price"", EDATE(TODAY(), -3), TODAY()), 2, 2)) - 1, """")"),"")</f>
        <v/>
      </c>
      <c r="O106" s="21" t="str">
        <f>IFERROR(__xludf.DUMMYFUNCTION("IFERROR((GOOGLEFINANCE(C106, ""price"") / INDEX(GOOGLEFINANCE(C106, ""price"", EDATE(TODAY(), -6), TODAY()), 2, 2)) - 1, """")"),"")</f>
        <v/>
      </c>
      <c r="P106" s="21" t="str">
        <f>IFERROR(__xludf.DUMMYFUNCTION("IFERROR((GOOGLEFINANCE(C106, ""price"") / INDEX(GOOGLEFINANCE(C106, ""price"", EDATE(TODAY(), -12), TODAY()), 2, 2)) - 1, """")"),"")</f>
        <v/>
      </c>
      <c r="Q106" s="6" t="str">
        <f>IFERROR(__xludf.DUMMYFUNCTION("AVERAGE(QUERY(GOOGLEFINANCE(C106, ""price"", TODAY()-80, TODAY()), ""SELECT Col2 WHERE Col2 IS NOT NULL ORDER BY Col1 DESC LIMIT 50"", 0))"),"#N/A")</f>
        <v>#N/A</v>
      </c>
      <c r="R106" s="24" t="str">
        <f>IFERROR(__xludf.DUMMYFUNCTION("IFERROR(
  LET(
    data, QUERY(GOOGLEFINANCE(C106,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GOOGLEFINANCE(C106, ""price"")) * 100,
    IF(calc=0, G106, calc)
  ), 
G106)"),"#N/A")</f>
        <v>#N/A</v>
      </c>
      <c r="S106" s="8" t="s">
        <v>15</v>
      </c>
      <c r="T106" s="26" t="str">
        <f>IFERROR(__xludf.DUMMYFUNCTION("IFERROR(TRANSPOSE(QUERY(IFERROR(SORT(GOOGLEFINANCE(C106, ""price"", WORKDAY(TODAY(), -40), TODAY()), 1, FALSE)), ""select Col2 where Col2 is not null limit 22 label Col2 ''"", 0)), """")"),"")</f>
        <v/>
      </c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8"/>
      <c r="AO106" s="28"/>
      <c r="AP106" s="29"/>
      <c r="AQ106" s="29" t="str">
        <f t="shared" ref="AQ106:BL106" si="109">T106/T$2</f>
        <v>#N/A</v>
      </c>
      <c r="AR106" s="29" t="str">
        <f t="shared" si="109"/>
        <v>#DIV/0!</v>
      </c>
      <c r="AS106" s="29" t="str">
        <f t="shared" si="109"/>
        <v>#DIV/0!</v>
      </c>
      <c r="AT106" s="29" t="str">
        <f t="shared" si="109"/>
        <v>#DIV/0!</v>
      </c>
      <c r="AU106" s="29" t="str">
        <f t="shared" si="109"/>
        <v>#DIV/0!</v>
      </c>
      <c r="AV106" s="29" t="str">
        <f t="shared" si="109"/>
        <v>#DIV/0!</v>
      </c>
      <c r="AW106" s="29" t="str">
        <f t="shared" si="109"/>
        <v>#DIV/0!</v>
      </c>
      <c r="AX106" s="29" t="str">
        <f t="shared" si="109"/>
        <v>#DIV/0!</v>
      </c>
      <c r="AY106" s="29" t="str">
        <f t="shared" si="109"/>
        <v>#DIV/0!</v>
      </c>
      <c r="AZ106" s="29" t="str">
        <f t="shared" si="109"/>
        <v>#DIV/0!</v>
      </c>
      <c r="BA106" s="29" t="str">
        <f t="shared" si="109"/>
        <v>#DIV/0!</v>
      </c>
      <c r="BB106" s="29" t="str">
        <f t="shared" si="109"/>
        <v>#DIV/0!</v>
      </c>
      <c r="BC106" s="29" t="str">
        <f t="shared" si="109"/>
        <v>#DIV/0!</v>
      </c>
      <c r="BD106" s="29" t="str">
        <f t="shared" si="109"/>
        <v>#DIV/0!</v>
      </c>
      <c r="BE106" s="29" t="str">
        <f t="shared" si="109"/>
        <v>#DIV/0!</v>
      </c>
      <c r="BF106" s="29" t="str">
        <f t="shared" si="109"/>
        <v>#DIV/0!</v>
      </c>
      <c r="BG106" s="29" t="str">
        <f t="shared" si="109"/>
        <v>#DIV/0!</v>
      </c>
      <c r="BH106" s="29" t="str">
        <f t="shared" si="109"/>
        <v>#DIV/0!</v>
      </c>
      <c r="BI106" s="29" t="str">
        <f t="shared" si="109"/>
        <v>#DIV/0!</v>
      </c>
      <c r="BJ106" s="29" t="str">
        <f t="shared" si="109"/>
        <v>#DIV/0!</v>
      </c>
      <c r="BK106" s="29" t="str">
        <f t="shared" si="109"/>
        <v>#DIV/0!</v>
      </c>
      <c r="BL106" s="29" t="str">
        <f t="shared" si="109"/>
        <v>#DIV/0!</v>
      </c>
      <c r="BM106" s="29" t="str">
        <f t="shared" si="3"/>
        <v>#DIV/0!</v>
      </c>
    </row>
    <row r="107">
      <c r="A107" s="16" t="str">
        <f>IFERROR(__xludf.DUMMYFUNCTION("IFERROR(SPARKLINE(SORT(MAP(TRANSPOSE(AQ107:BL107), LAMBDA(val, IF(ISNUMBER(val), PERCENTRANK(AQ107:BL107, val)+0.01, 0))), SEQUENCE(COLUMNS(AQ107:BL107)), FALSE), {""charttype"",""column""; ""color"",""chartreuse""; ""ymin"", 0; ""ymax"", 1.01; ""highcolo"&amp;"r"", ""darkgreen""; ""lowcolor"", ""red""}), """")"),"")</f>
        <v/>
      </c>
      <c r="B107" s="17" t="str">
        <f t="shared" si="4"/>
        <v/>
      </c>
      <c r="C107" s="1" t="s">
        <v>518</v>
      </c>
      <c r="D107" s="34" t="str">
        <f>IFERROR(__xludf.DUMMYFUNCTION("IFERROR(GOOGLEFINANCE(C107, ""NAME""))"),"Affiliated Managers Group Inc")</f>
        <v>Affiliated Managers Group Inc</v>
      </c>
      <c r="E107" s="30" t="s">
        <v>64</v>
      </c>
      <c r="F107" s="38" t="str">
        <f>IFERROR(__xludf.DUMMYFUNCTION("( (GOOGLEFINANCE(C107, ""price"") - Q107) / Q107 ) / (R107 / 100)"),"Loading...")</f>
        <v>Loading...</v>
      </c>
      <c r="G107" s="20" t="str">
        <f>IFERROR(__xludf.DUMMYFUNCTION("AVERAGE(ARRAYFORMULA(100 * (QUERY(GOOGLEFINANCE(C107, ""high"", TODAY()-40, TODAY()), ""SELECT Col2 WHERE Col2 IS NOT NULL ORDER BY Col1 DESC LIMIT 20"", 0) / QUERY(GOOGLEFINANCE(C107, ""low"", TODAY()-40, TODAY()), ""SELECT Col2 WHERE Col2 IS NOT NULL OR"&amp;"DER BY Col1 DESC LIMIT 20"", 0) - 1)))"),"#N/A")</f>
        <v>#N/A</v>
      </c>
      <c r="H107" s="35" t="str">
        <f t="shared" si="6"/>
        <v/>
      </c>
      <c r="I107" s="36" t="str">
        <f t="shared" si="7"/>
        <v/>
      </c>
      <c r="J107" s="37" t="str">
        <f>IFERROR(__xludf.DUMMYFUNCTION("IFERROR(
  IF(C107="""",, 
    IFERROR(
      GOOGLEFINANCE(C107, ""price"") * GOOGLEFINANCE(C107, ""volumeavg""), 
      GOOGLEFINANCE(C107, ""price"") * AVERAGE(QUERY(GOOGLEFINANCE(C107, ""volume"", TODAY()-40, TODAY()), ""SELECT Col2 WHERE Col2 IS NOT "&amp;"NULL ORDER BY Col1 DESC LIMIT 20"", 0))
    )
  ), 
"""")"),"")</f>
        <v/>
      </c>
      <c r="K107" s="21" t="str">
        <f>IFERROR(__xludf.DUMMYFUNCTION("IFERROR(GOOGLEFINANCE(C107, ""changepct"") / 100, """")"),"")</f>
        <v/>
      </c>
      <c r="L107" s="21" t="str">
        <f>IFERROR(__xludf.DUMMYFUNCTION("IFERROR((GOOGLEFINANCE(C107, ""price"") / INDEX(GOOGLEFINANCE(C107, ""price"", TODAY()-7, TODAY()), 2, 2)) - 1, """")"),"")</f>
        <v/>
      </c>
      <c r="M107" s="21" t="str">
        <f>IFERROR(__xludf.DUMMYFUNCTION("IFERROR((GOOGLEFINANCE(C107, ""price"") / INDEX(GOOGLEFINANCE(C107, ""price"", EDATE(TODAY(), -1), TODAY()), 2, 2)) - 1, """")"),"")</f>
        <v/>
      </c>
      <c r="N107" s="21" t="str">
        <f>IFERROR(__xludf.DUMMYFUNCTION("IFERROR((GOOGLEFINANCE(C107, ""price"") / INDEX(GOOGLEFINANCE(C107, ""price"", EDATE(TODAY(), -3), TODAY()), 2, 2)) - 1, """")"),"")</f>
        <v/>
      </c>
      <c r="O107" s="21" t="str">
        <f>IFERROR(__xludf.DUMMYFUNCTION("IFERROR((GOOGLEFINANCE(C107, ""price"") / INDEX(GOOGLEFINANCE(C107, ""price"", EDATE(TODAY(), -6), TODAY()), 2, 2)) - 1, """")"),"")</f>
        <v/>
      </c>
      <c r="P107" s="21" t="str">
        <f>IFERROR(__xludf.DUMMYFUNCTION("IFERROR((GOOGLEFINANCE(C107, ""price"") / INDEX(GOOGLEFINANCE(C107, ""price"", EDATE(TODAY(), -12), TODAY()), 2, 2)) - 1, """")"),"")</f>
        <v/>
      </c>
      <c r="Q107" s="6" t="str">
        <f>IFERROR(__xludf.DUMMYFUNCTION("AVERAGE(QUERY(GOOGLEFINANCE(C107, ""price"", TODAY()-80, TODAY()), ""SELECT Col2 WHERE Col2 IS NOT NULL ORDER BY Col1 DESC LIMIT 50"", 0))"),"#N/A")</f>
        <v>#N/A</v>
      </c>
      <c r="R107" s="24" t="str">
        <f>IFERROR(__xludf.DUMMYFUNCTION("IFERROR(
  LET(
    data, QUERY(GOOGLEFINANCE(C107,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GOOGLEFINANCE(C107, ""price"")) * 100,
    IF(calc=0, G107, calc)
  ), 
G107)"),"#N/A")</f>
        <v>#N/A</v>
      </c>
      <c r="S107" s="8" t="s">
        <v>15</v>
      </c>
      <c r="T107" s="26" t="str">
        <f>IFERROR(__xludf.DUMMYFUNCTION("IFERROR(TRANSPOSE(QUERY(IFERROR(SORT(GOOGLEFINANCE(C107, ""price"", WORKDAY(TODAY(), -40), TODAY()), 1, FALSE)), ""select Col2 where Col2 is not null limit 22 label Col2 ''"", 0)), """")"),"")</f>
        <v/>
      </c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8"/>
      <c r="AO107" s="28"/>
      <c r="AP107" s="29"/>
      <c r="AQ107" s="29" t="str">
        <f t="shared" ref="AQ107:BL107" si="110">T107/T$2</f>
        <v>#N/A</v>
      </c>
      <c r="AR107" s="29" t="str">
        <f t="shared" si="110"/>
        <v>#DIV/0!</v>
      </c>
      <c r="AS107" s="29" t="str">
        <f t="shared" si="110"/>
        <v>#DIV/0!</v>
      </c>
      <c r="AT107" s="29" t="str">
        <f t="shared" si="110"/>
        <v>#DIV/0!</v>
      </c>
      <c r="AU107" s="29" t="str">
        <f t="shared" si="110"/>
        <v>#DIV/0!</v>
      </c>
      <c r="AV107" s="29" t="str">
        <f t="shared" si="110"/>
        <v>#DIV/0!</v>
      </c>
      <c r="AW107" s="29" t="str">
        <f t="shared" si="110"/>
        <v>#DIV/0!</v>
      </c>
      <c r="AX107" s="29" t="str">
        <f t="shared" si="110"/>
        <v>#DIV/0!</v>
      </c>
      <c r="AY107" s="29" t="str">
        <f t="shared" si="110"/>
        <v>#DIV/0!</v>
      </c>
      <c r="AZ107" s="29" t="str">
        <f t="shared" si="110"/>
        <v>#DIV/0!</v>
      </c>
      <c r="BA107" s="29" t="str">
        <f t="shared" si="110"/>
        <v>#DIV/0!</v>
      </c>
      <c r="BB107" s="29" t="str">
        <f t="shared" si="110"/>
        <v>#DIV/0!</v>
      </c>
      <c r="BC107" s="29" t="str">
        <f t="shared" si="110"/>
        <v>#DIV/0!</v>
      </c>
      <c r="BD107" s="29" t="str">
        <f t="shared" si="110"/>
        <v>#DIV/0!</v>
      </c>
      <c r="BE107" s="29" t="str">
        <f t="shared" si="110"/>
        <v>#DIV/0!</v>
      </c>
      <c r="BF107" s="29" t="str">
        <f t="shared" si="110"/>
        <v>#DIV/0!</v>
      </c>
      <c r="BG107" s="29" t="str">
        <f t="shared" si="110"/>
        <v>#DIV/0!</v>
      </c>
      <c r="BH107" s="29" t="str">
        <f t="shared" si="110"/>
        <v>#DIV/0!</v>
      </c>
      <c r="BI107" s="29" t="str">
        <f t="shared" si="110"/>
        <v>#DIV/0!</v>
      </c>
      <c r="BJ107" s="29" t="str">
        <f t="shared" si="110"/>
        <v>#DIV/0!</v>
      </c>
      <c r="BK107" s="29" t="str">
        <f t="shared" si="110"/>
        <v>#DIV/0!</v>
      </c>
      <c r="BL107" s="29" t="str">
        <f t="shared" si="110"/>
        <v>#DIV/0!</v>
      </c>
      <c r="BM107" s="29" t="str">
        <f t="shared" si="3"/>
        <v>#DIV/0!</v>
      </c>
    </row>
    <row r="108">
      <c r="A108" s="16" t="str">
        <f>IFERROR(__xludf.DUMMYFUNCTION("IFERROR(SPARKLINE(SORT(MAP(TRANSPOSE(AQ108:BL108), LAMBDA(val, IF(ISNUMBER(val), PERCENTRANK(AQ108:BL108, val)+0.01, 0))), SEQUENCE(COLUMNS(AQ108:BL108)), FALSE), {""charttype"",""column""; ""color"",""chartreuse""; ""ymin"", 0; ""ymax"", 1.01; ""highcolo"&amp;"r"", ""darkgreen""; ""lowcolor"", ""red""}), """")"),"")</f>
        <v/>
      </c>
      <c r="B108" s="17" t="str">
        <f t="shared" si="4"/>
        <v/>
      </c>
      <c r="C108" s="1" t="s">
        <v>524</v>
      </c>
      <c r="D108" s="34" t="str">
        <f>IFERROR(__xludf.DUMMYFUNCTION("IFERROR(GOOGLEFINANCE(C108, ""NAME""))"),"LightWave Acquisition Corp")</f>
        <v>LightWave Acquisition Corp</v>
      </c>
      <c r="E108" s="30" t="s">
        <v>161</v>
      </c>
      <c r="F108" s="33" t="str">
        <f>IFERROR(__xludf.DUMMYFUNCTION("( (GOOGLEFINANCE(C108, ""price"") - Q108) / Q108 ) / (R108 / 100)"),"Loading...")</f>
        <v>Loading...</v>
      </c>
      <c r="G108" s="20" t="str">
        <f>IFERROR(__xludf.DUMMYFUNCTION("AVERAGE(ARRAYFORMULA(100 * (QUERY(GOOGLEFINANCE(C108, ""high"", TODAY()-40, TODAY()), ""SELECT Col2 WHERE Col2 IS NOT NULL ORDER BY Col1 DESC LIMIT 20"", 0) / QUERY(GOOGLEFINANCE(C108, ""low"", TODAY()-40, TODAY()), ""SELECT Col2 WHERE Col2 IS NOT NULL OR"&amp;"DER BY Col1 DESC LIMIT 20"", 0) - 1)))"),"#N/A")</f>
        <v>#N/A</v>
      </c>
      <c r="H108" s="35" t="str">
        <f t="shared" si="6"/>
        <v/>
      </c>
      <c r="I108" s="36" t="str">
        <f t="shared" si="7"/>
        <v/>
      </c>
      <c r="J108" s="37" t="str">
        <f>IFERROR(__xludf.DUMMYFUNCTION("IFERROR(
  IF(C108="""",, 
    IFERROR(
      GOOGLEFINANCE(C108, ""price"") * GOOGLEFINANCE(C108, ""volumeavg""), 
      GOOGLEFINANCE(C108, ""price"") * AVERAGE(QUERY(GOOGLEFINANCE(C108, ""volume"", TODAY()-40, TODAY()), ""SELECT Col2 WHERE Col2 IS NOT "&amp;"NULL ORDER BY Col1 DESC LIMIT 20"", 0))
    )
  ), 
"""")"),"")</f>
        <v/>
      </c>
      <c r="K108" s="21" t="str">
        <f>IFERROR(__xludf.DUMMYFUNCTION("IFERROR(GOOGLEFINANCE(C108, ""changepct"") / 100, """")"),"")</f>
        <v/>
      </c>
      <c r="L108" s="21" t="str">
        <f>IFERROR(__xludf.DUMMYFUNCTION("IFERROR((GOOGLEFINANCE(C108, ""price"") / INDEX(GOOGLEFINANCE(C108, ""price"", TODAY()-7, TODAY()), 2, 2)) - 1, """")"),"")</f>
        <v/>
      </c>
      <c r="M108" s="21" t="str">
        <f>IFERROR(__xludf.DUMMYFUNCTION("IFERROR((GOOGLEFINANCE(C108, ""price"") / INDEX(GOOGLEFINANCE(C108, ""price"", EDATE(TODAY(), -1), TODAY()), 2, 2)) - 1, """")"),"")</f>
        <v/>
      </c>
      <c r="N108" s="21" t="str">
        <f>IFERROR(__xludf.DUMMYFUNCTION("IFERROR((GOOGLEFINANCE(C108, ""price"") / INDEX(GOOGLEFINANCE(C108, ""price"", EDATE(TODAY(), -3), TODAY()), 2, 2)) - 1, """")"),"")</f>
        <v/>
      </c>
      <c r="O108" s="21" t="str">
        <f>IFERROR(__xludf.DUMMYFUNCTION("IFERROR((GOOGLEFINANCE(C108, ""price"") / INDEX(GOOGLEFINANCE(C108, ""price"", EDATE(TODAY(), -6), TODAY()), 2, 2)) - 1, """")"),"")</f>
        <v/>
      </c>
      <c r="P108" s="21" t="str">
        <f>IFERROR(__xludf.DUMMYFUNCTION("IFERROR((GOOGLEFINANCE(C108, ""price"") / INDEX(GOOGLEFINANCE(C108, ""price"", EDATE(TODAY(), -12), TODAY()), 2, 2)) - 1, """")"),"")</f>
        <v/>
      </c>
      <c r="Q108" s="6" t="str">
        <f>IFERROR(__xludf.DUMMYFUNCTION("AVERAGE(QUERY(GOOGLEFINANCE(C108, ""price"", TODAY()-80, TODAY()), ""SELECT Col2 WHERE Col2 IS NOT NULL ORDER BY Col1 DESC LIMIT 50"", 0))"),"#N/A")</f>
        <v>#N/A</v>
      </c>
      <c r="R108" s="24" t="str">
        <f>IFERROR(__xludf.DUMMYFUNCTION("IFERROR(
  LET(
    data, QUERY(GOOGLEFINANCE(C108,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GOOGLEFINANCE(C108, ""price"")) * 100,
    IF(calc=0, G108, calc)
  ), 
G108)"),"#N/A")</f>
        <v>#N/A</v>
      </c>
      <c r="S108" s="8" t="s">
        <v>15</v>
      </c>
      <c r="T108" s="26" t="str">
        <f>IFERROR(__xludf.DUMMYFUNCTION("IFERROR(TRANSPOSE(QUERY(IFERROR(SORT(GOOGLEFINANCE(C108, ""price"", WORKDAY(TODAY(), -40), TODAY()), 1, FALSE)), ""select Col2 where Col2 is not null limit 22 label Col2 ''"", 0)), """")"),"")</f>
        <v/>
      </c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8"/>
      <c r="AO108" s="28"/>
      <c r="AP108" s="29"/>
      <c r="AQ108" s="29" t="str">
        <f t="shared" ref="AQ108:BL108" si="111">T108/T$2</f>
        <v>#N/A</v>
      </c>
      <c r="AR108" s="29" t="str">
        <f t="shared" si="111"/>
        <v>#DIV/0!</v>
      </c>
      <c r="AS108" s="29" t="str">
        <f t="shared" si="111"/>
        <v>#DIV/0!</v>
      </c>
      <c r="AT108" s="29" t="str">
        <f t="shared" si="111"/>
        <v>#DIV/0!</v>
      </c>
      <c r="AU108" s="29" t="str">
        <f t="shared" si="111"/>
        <v>#DIV/0!</v>
      </c>
      <c r="AV108" s="29" t="str">
        <f t="shared" si="111"/>
        <v>#DIV/0!</v>
      </c>
      <c r="AW108" s="29" t="str">
        <f t="shared" si="111"/>
        <v>#DIV/0!</v>
      </c>
      <c r="AX108" s="29" t="str">
        <f t="shared" si="111"/>
        <v>#DIV/0!</v>
      </c>
      <c r="AY108" s="29" t="str">
        <f t="shared" si="111"/>
        <v>#DIV/0!</v>
      </c>
      <c r="AZ108" s="29" t="str">
        <f t="shared" si="111"/>
        <v>#DIV/0!</v>
      </c>
      <c r="BA108" s="29" t="str">
        <f t="shared" si="111"/>
        <v>#DIV/0!</v>
      </c>
      <c r="BB108" s="29" t="str">
        <f t="shared" si="111"/>
        <v>#DIV/0!</v>
      </c>
      <c r="BC108" s="29" t="str">
        <f t="shared" si="111"/>
        <v>#DIV/0!</v>
      </c>
      <c r="BD108" s="29" t="str">
        <f t="shared" si="111"/>
        <v>#DIV/0!</v>
      </c>
      <c r="BE108" s="29" t="str">
        <f t="shared" si="111"/>
        <v>#DIV/0!</v>
      </c>
      <c r="BF108" s="29" t="str">
        <f t="shared" si="111"/>
        <v>#DIV/0!</v>
      </c>
      <c r="BG108" s="29" t="str">
        <f t="shared" si="111"/>
        <v>#DIV/0!</v>
      </c>
      <c r="BH108" s="29" t="str">
        <f t="shared" si="111"/>
        <v>#DIV/0!</v>
      </c>
      <c r="BI108" s="29" t="str">
        <f t="shared" si="111"/>
        <v>#DIV/0!</v>
      </c>
      <c r="BJ108" s="29" t="str">
        <f t="shared" si="111"/>
        <v>#DIV/0!</v>
      </c>
      <c r="BK108" s="29" t="str">
        <f t="shared" si="111"/>
        <v>#DIV/0!</v>
      </c>
      <c r="BL108" s="29" t="str">
        <f t="shared" si="111"/>
        <v>#DIV/0!</v>
      </c>
      <c r="BM108" s="29" t="str">
        <f t="shared" si="3"/>
        <v>#DIV/0!</v>
      </c>
    </row>
    <row r="109">
      <c r="A109" s="16" t="str">
        <f>IFERROR(__xludf.DUMMYFUNCTION("IFERROR(SPARKLINE(SORT(MAP(TRANSPOSE(AQ109:BL109), LAMBDA(val, IF(ISNUMBER(val), PERCENTRANK(AQ109:BL109, val)+0.01, 0))), SEQUENCE(COLUMNS(AQ109:BL109)), FALSE), {""charttype"",""column""; ""color"",""chartreuse""; ""ymin"", 0; ""ymax"", 1.01; ""highcolo"&amp;"r"", ""darkgreen""; ""lowcolor"", ""red""}), """")"),"")</f>
        <v/>
      </c>
      <c r="B109" s="17" t="str">
        <f t="shared" si="4"/>
        <v/>
      </c>
      <c r="C109" s="1" t="s">
        <v>527</v>
      </c>
      <c r="D109" s="34" t="str">
        <f>IFERROR(__xludf.DUMMYFUNCTION("IFERROR(GOOGLEFINANCE(C109, ""NAME""))"),"World Acceptance Corp")</f>
        <v>World Acceptance Corp</v>
      </c>
      <c r="E109" s="30" t="s">
        <v>145</v>
      </c>
      <c r="F109" s="33" t="str">
        <f>IFERROR(__xludf.DUMMYFUNCTION("( (GOOGLEFINANCE(C109, ""price"") - Q109) / Q109 ) / (R109 / 100)"),"Loading...")</f>
        <v>Loading...</v>
      </c>
      <c r="G109" s="20" t="str">
        <f>IFERROR(__xludf.DUMMYFUNCTION("AVERAGE(ARRAYFORMULA(100 * (QUERY(GOOGLEFINANCE(C109, ""high"", TODAY()-40, TODAY()), ""SELECT Col2 WHERE Col2 IS NOT NULL ORDER BY Col1 DESC LIMIT 20"", 0) / QUERY(GOOGLEFINANCE(C109, ""low"", TODAY()-40, TODAY()), ""SELECT Col2 WHERE Col2 IS NOT NULL OR"&amp;"DER BY Col1 DESC LIMIT 20"", 0) - 1)))"),"#N/A")</f>
        <v>#N/A</v>
      </c>
      <c r="H109" s="35" t="str">
        <f t="shared" si="6"/>
        <v/>
      </c>
      <c r="I109" s="36" t="str">
        <f t="shared" si="7"/>
        <v/>
      </c>
      <c r="J109" s="37" t="str">
        <f>IFERROR(__xludf.DUMMYFUNCTION("IFERROR(
  IF(C109="""",, 
    IFERROR(
      GOOGLEFINANCE(C109, ""price"") * GOOGLEFINANCE(C109, ""volumeavg""), 
      GOOGLEFINANCE(C109, ""price"") * AVERAGE(QUERY(GOOGLEFINANCE(C109, ""volume"", TODAY()-40, TODAY()), ""SELECT Col2 WHERE Col2 IS NOT "&amp;"NULL ORDER BY Col1 DESC LIMIT 20"", 0))
    )
  ), 
"""")"),"")</f>
        <v/>
      </c>
      <c r="K109" s="21" t="str">
        <f>IFERROR(__xludf.DUMMYFUNCTION("IFERROR(GOOGLEFINANCE(C109, ""changepct"") / 100, """")"),"")</f>
        <v/>
      </c>
      <c r="L109" s="21" t="str">
        <f>IFERROR(__xludf.DUMMYFUNCTION("IFERROR((GOOGLEFINANCE(C109, ""price"") / INDEX(GOOGLEFINANCE(C109, ""price"", TODAY()-7, TODAY()), 2, 2)) - 1, """")"),"")</f>
        <v/>
      </c>
      <c r="M109" s="21" t="str">
        <f>IFERROR(__xludf.DUMMYFUNCTION("IFERROR((GOOGLEFINANCE(C109, ""price"") / INDEX(GOOGLEFINANCE(C109, ""price"", EDATE(TODAY(), -1), TODAY()), 2, 2)) - 1, """")"),"")</f>
        <v/>
      </c>
      <c r="N109" s="21" t="str">
        <f>IFERROR(__xludf.DUMMYFUNCTION("IFERROR((GOOGLEFINANCE(C109, ""price"") / INDEX(GOOGLEFINANCE(C109, ""price"", EDATE(TODAY(), -3), TODAY()), 2, 2)) - 1, """")"),"")</f>
        <v/>
      </c>
      <c r="O109" s="21" t="str">
        <f>IFERROR(__xludf.DUMMYFUNCTION("IFERROR((GOOGLEFINANCE(C109, ""price"") / INDEX(GOOGLEFINANCE(C109, ""price"", EDATE(TODAY(), -6), TODAY()), 2, 2)) - 1, """")"),"")</f>
        <v/>
      </c>
      <c r="P109" s="21" t="str">
        <f>IFERROR(__xludf.DUMMYFUNCTION("IFERROR((GOOGLEFINANCE(C109, ""price"") / INDEX(GOOGLEFINANCE(C109, ""price"", EDATE(TODAY(), -12), TODAY()), 2, 2)) - 1, """")"),"")</f>
        <v/>
      </c>
      <c r="Q109" s="6" t="str">
        <f>IFERROR(__xludf.DUMMYFUNCTION("AVERAGE(QUERY(GOOGLEFINANCE(C109, ""price"", TODAY()-80, TODAY()), ""SELECT Col2 WHERE Col2 IS NOT NULL ORDER BY Col1 DESC LIMIT 50"", 0))"),"#N/A")</f>
        <v>#N/A</v>
      </c>
      <c r="R109" s="24" t="str">
        <f>IFERROR(__xludf.DUMMYFUNCTION("IFERROR(
  LET(
    data, QUERY(GOOGLEFINANCE(C109,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GOOGLEFINANCE(C109, ""price"")) * 100,
    IF(calc=0, G109, calc)
  ), 
G109)"),"#N/A")</f>
        <v>#N/A</v>
      </c>
      <c r="S109" s="8" t="s">
        <v>15</v>
      </c>
      <c r="T109" s="26" t="str">
        <f>IFERROR(__xludf.DUMMYFUNCTION("IFERROR(TRANSPOSE(QUERY(IFERROR(SORT(GOOGLEFINANCE(C109, ""price"", WORKDAY(TODAY(), -40), TODAY()), 1, FALSE)), ""select Col2 where Col2 is not null limit 22 label Col2 ''"", 0)), """")"),"")</f>
        <v/>
      </c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8"/>
      <c r="AO109" s="28"/>
      <c r="AP109" s="29"/>
      <c r="AQ109" s="29" t="str">
        <f t="shared" ref="AQ109:BL109" si="112">T109/T$2</f>
        <v>#N/A</v>
      </c>
      <c r="AR109" s="29" t="str">
        <f t="shared" si="112"/>
        <v>#DIV/0!</v>
      </c>
      <c r="AS109" s="29" t="str">
        <f t="shared" si="112"/>
        <v>#DIV/0!</v>
      </c>
      <c r="AT109" s="29" t="str">
        <f t="shared" si="112"/>
        <v>#DIV/0!</v>
      </c>
      <c r="AU109" s="29" t="str">
        <f t="shared" si="112"/>
        <v>#DIV/0!</v>
      </c>
      <c r="AV109" s="29" t="str">
        <f t="shared" si="112"/>
        <v>#DIV/0!</v>
      </c>
      <c r="AW109" s="29" t="str">
        <f t="shared" si="112"/>
        <v>#DIV/0!</v>
      </c>
      <c r="AX109" s="29" t="str">
        <f t="shared" si="112"/>
        <v>#DIV/0!</v>
      </c>
      <c r="AY109" s="29" t="str">
        <f t="shared" si="112"/>
        <v>#DIV/0!</v>
      </c>
      <c r="AZ109" s="29" t="str">
        <f t="shared" si="112"/>
        <v>#DIV/0!</v>
      </c>
      <c r="BA109" s="29" t="str">
        <f t="shared" si="112"/>
        <v>#DIV/0!</v>
      </c>
      <c r="BB109" s="29" t="str">
        <f t="shared" si="112"/>
        <v>#DIV/0!</v>
      </c>
      <c r="BC109" s="29" t="str">
        <f t="shared" si="112"/>
        <v>#DIV/0!</v>
      </c>
      <c r="BD109" s="29" t="str">
        <f t="shared" si="112"/>
        <v>#DIV/0!</v>
      </c>
      <c r="BE109" s="29" t="str">
        <f t="shared" si="112"/>
        <v>#DIV/0!</v>
      </c>
      <c r="BF109" s="29" t="str">
        <f t="shared" si="112"/>
        <v>#DIV/0!</v>
      </c>
      <c r="BG109" s="29" t="str">
        <f t="shared" si="112"/>
        <v>#DIV/0!</v>
      </c>
      <c r="BH109" s="29" t="str">
        <f t="shared" si="112"/>
        <v>#DIV/0!</v>
      </c>
      <c r="BI109" s="29" t="str">
        <f t="shared" si="112"/>
        <v>#DIV/0!</v>
      </c>
      <c r="BJ109" s="29" t="str">
        <f t="shared" si="112"/>
        <v>#DIV/0!</v>
      </c>
      <c r="BK109" s="29" t="str">
        <f t="shared" si="112"/>
        <v>#DIV/0!</v>
      </c>
      <c r="BL109" s="29" t="str">
        <f t="shared" si="112"/>
        <v>#DIV/0!</v>
      </c>
      <c r="BM109" s="29" t="str">
        <f t="shared" si="3"/>
        <v>#DIV/0!</v>
      </c>
    </row>
    <row r="110">
      <c r="A110" s="16" t="str">
        <f>IFERROR(__xludf.DUMMYFUNCTION("IFERROR(SPARKLINE(SORT(MAP(TRANSPOSE(AQ110:BL110), LAMBDA(val, IF(ISNUMBER(val), PERCENTRANK(AQ110:BL110, val)+0.01, 0))), SEQUENCE(COLUMNS(AQ110:BL110)), FALSE), {""charttype"",""column""; ""color"",""chartreuse""; ""ymin"", 0; ""ymax"", 1.01; ""highcolo"&amp;"r"", ""darkgreen""; ""lowcolor"", ""red""}), """")"),"")</f>
        <v/>
      </c>
      <c r="B110" s="17" t="str">
        <f t="shared" si="4"/>
        <v/>
      </c>
      <c r="C110" s="1" t="s">
        <v>532</v>
      </c>
      <c r="D110" s="34" t="str">
        <f>IFERROR(__xludf.DUMMYFUNCTION("IFERROR(GOOGLEFINANCE(C110, ""NAME""))"),"Federal Agricultural Mortgage Corporatin Class C")</f>
        <v>Federal Agricultural Mortgage Corporatin Class C</v>
      </c>
      <c r="E110" s="30" t="s">
        <v>145</v>
      </c>
      <c r="F110" s="33" t="str">
        <f>IFERROR(__xludf.DUMMYFUNCTION("( (GOOGLEFINANCE(C110, ""price"") - Q110) / Q110 ) / (R110 / 100)"),"Loading...")</f>
        <v>Loading...</v>
      </c>
      <c r="G110" s="20" t="str">
        <f>IFERROR(__xludf.DUMMYFUNCTION("AVERAGE(ARRAYFORMULA(100 * (QUERY(GOOGLEFINANCE(C110, ""high"", TODAY()-40, TODAY()), ""SELECT Col2 WHERE Col2 IS NOT NULL ORDER BY Col1 DESC LIMIT 20"", 0) / QUERY(GOOGLEFINANCE(C110, ""low"", TODAY()-40, TODAY()), ""SELECT Col2 WHERE Col2 IS NOT NULL OR"&amp;"DER BY Col1 DESC LIMIT 20"", 0) - 1)))"),"#N/A")</f>
        <v>#N/A</v>
      </c>
      <c r="H110" s="35" t="str">
        <f t="shared" si="6"/>
        <v/>
      </c>
      <c r="I110" s="36" t="str">
        <f t="shared" si="7"/>
        <v/>
      </c>
      <c r="J110" s="37" t="str">
        <f>IFERROR(__xludf.DUMMYFUNCTION("IFERROR(
  IF(C110="""",, 
    IFERROR(
      GOOGLEFINANCE(C110, ""price"") * GOOGLEFINANCE(C110, ""volumeavg""), 
      GOOGLEFINANCE(C110, ""price"") * AVERAGE(QUERY(GOOGLEFINANCE(C110, ""volume"", TODAY()-40, TODAY()), ""SELECT Col2 WHERE Col2 IS NOT "&amp;"NULL ORDER BY Col1 DESC LIMIT 20"", 0))
    )
  ), 
"""")"),"")</f>
        <v/>
      </c>
      <c r="K110" s="21" t="str">
        <f>IFERROR(__xludf.DUMMYFUNCTION("IFERROR(GOOGLEFINANCE(C110, ""changepct"") / 100, """")"),"")</f>
        <v/>
      </c>
      <c r="L110" s="21" t="str">
        <f>IFERROR(__xludf.DUMMYFUNCTION("IFERROR((GOOGLEFINANCE(C110, ""price"") / INDEX(GOOGLEFINANCE(C110, ""price"", TODAY()-7, TODAY()), 2, 2)) - 1, """")"),"")</f>
        <v/>
      </c>
      <c r="M110" s="21" t="str">
        <f>IFERROR(__xludf.DUMMYFUNCTION("IFERROR((GOOGLEFINANCE(C110, ""price"") / INDEX(GOOGLEFINANCE(C110, ""price"", EDATE(TODAY(), -1), TODAY()), 2, 2)) - 1, """")"),"")</f>
        <v/>
      </c>
      <c r="N110" s="21" t="str">
        <f>IFERROR(__xludf.DUMMYFUNCTION("IFERROR((GOOGLEFINANCE(C110, ""price"") / INDEX(GOOGLEFINANCE(C110, ""price"", EDATE(TODAY(), -3), TODAY()), 2, 2)) - 1, """")"),"")</f>
        <v/>
      </c>
      <c r="O110" s="21" t="str">
        <f>IFERROR(__xludf.DUMMYFUNCTION("IFERROR((GOOGLEFINANCE(C110, ""price"") / INDEX(GOOGLEFINANCE(C110, ""price"", EDATE(TODAY(), -6), TODAY()), 2, 2)) - 1, """")"),"")</f>
        <v/>
      </c>
      <c r="P110" s="21" t="str">
        <f>IFERROR(__xludf.DUMMYFUNCTION("IFERROR((GOOGLEFINANCE(C110, ""price"") / INDEX(GOOGLEFINANCE(C110, ""price"", EDATE(TODAY(), -12), TODAY()), 2, 2)) - 1, """")"),"")</f>
        <v/>
      </c>
      <c r="Q110" s="6" t="str">
        <f>IFERROR(__xludf.DUMMYFUNCTION("AVERAGE(QUERY(GOOGLEFINANCE(C110, ""price"", TODAY()-80, TODAY()), ""SELECT Col2 WHERE Col2 IS NOT NULL ORDER BY Col1 DESC LIMIT 50"", 0))"),"#N/A")</f>
        <v>#N/A</v>
      </c>
      <c r="R110" s="24" t="str">
        <f>IFERROR(__xludf.DUMMYFUNCTION("IFERROR(
  LET(
    data, QUERY(GOOGLEFINANCE(C110,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GOOGLEFINANCE(C110, ""price"")) * 100,
    IF(calc=0, G110, calc)
  ), 
G110)"),"#N/A")</f>
        <v>#N/A</v>
      </c>
      <c r="S110" s="8" t="s">
        <v>15</v>
      </c>
      <c r="T110" s="26" t="str">
        <f>IFERROR(__xludf.DUMMYFUNCTION("IFERROR(TRANSPOSE(QUERY(IFERROR(SORT(GOOGLEFINANCE(C110, ""price"", WORKDAY(TODAY(), -40), TODAY()), 1, FALSE)), ""select Col2 where Col2 is not null limit 22 label Col2 ''"", 0)), """")"),"")</f>
        <v/>
      </c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8"/>
      <c r="AO110" s="28"/>
      <c r="AP110" s="29"/>
      <c r="AQ110" s="29" t="str">
        <f t="shared" ref="AQ110:BL110" si="113">T110/T$2</f>
        <v>#N/A</v>
      </c>
      <c r="AR110" s="29" t="str">
        <f t="shared" si="113"/>
        <v>#DIV/0!</v>
      </c>
      <c r="AS110" s="29" t="str">
        <f t="shared" si="113"/>
        <v>#DIV/0!</v>
      </c>
      <c r="AT110" s="29" t="str">
        <f t="shared" si="113"/>
        <v>#DIV/0!</v>
      </c>
      <c r="AU110" s="29" t="str">
        <f t="shared" si="113"/>
        <v>#DIV/0!</v>
      </c>
      <c r="AV110" s="29" t="str">
        <f t="shared" si="113"/>
        <v>#DIV/0!</v>
      </c>
      <c r="AW110" s="29" t="str">
        <f t="shared" si="113"/>
        <v>#DIV/0!</v>
      </c>
      <c r="AX110" s="29" t="str">
        <f t="shared" si="113"/>
        <v>#DIV/0!</v>
      </c>
      <c r="AY110" s="29" t="str">
        <f t="shared" si="113"/>
        <v>#DIV/0!</v>
      </c>
      <c r="AZ110" s="29" t="str">
        <f t="shared" si="113"/>
        <v>#DIV/0!</v>
      </c>
      <c r="BA110" s="29" t="str">
        <f t="shared" si="113"/>
        <v>#DIV/0!</v>
      </c>
      <c r="BB110" s="29" t="str">
        <f t="shared" si="113"/>
        <v>#DIV/0!</v>
      </c>
      <c r="BC110" s="29" t="str">
        <f t="shared" si="113"/>
        <v>#DIV/0!</v>
      </c>
      <c r="BD110" s="29" t="str">
        <f t="shared" si="113"/>
        <v>#DIV/0!</v>
      </c>
      <c r="BE110" s="29" t="str">
        <f t="shared" si="113"/>
        <v>#DIV/0!</v>
      </c>
      <c r="BF110" s="29" t="str">
        <f t="shared" si="113"/>
        <v>#DIV/0!</v>
      </c>
      <c r="BG110" s="29" t="str">
        <f t="shared" si="113"/>
        <v>#DIV/0!</v>
      </c>
      <c r="BH110" s="29" t="str">
        <f t="shared" si="113"/>
        <v>#DIV/0!</v>
      </c>
      <c r="BI110" s="29" t="str">
        <f t="shared" si="113"/>
        <v>#DIV/0!</v>
      </c>
      <c r="BJ110" s="29" t="str">
        <f t="shared" si="113"/>
        <v>#DIV/0!</v>
      </c>
      <c r="BK110" s="29" t="str">
        <f t="shared" si="113"/>
        <v>#DIV/0!</v>
      </c>
      <c r="BL110" s="29" t="str">
        <f t="shared" si="113"/>
        <v>#DIV/0!</v>
      </c>
      <c r="BM110" s="29" t="str">
        <f t="shared" si="3"/>
        <v>#DIV/0!</v>
      </c>
    </row>
    <row r="111">
      <c r="A111" s="16" t="str">
        <f>IFERROR(__xludf.DUMMYFUNCTION("IFERROR(SPARKLINE(SORT(MAP(TRANSPOSE(AQ111:BL111), LAMBDA(val, IF(ISNUMBER(val), PERCENTRANK(AQ111:BL111, val)+0.01, 0))), SEQUENCE(COLUMNS(AQ111:BL111)), FALSE), {""charttype"",""column""; ""color"",""chartreuse""; ""ymin"", 0; ""ymax"", 1.01; ""highcolo"&amp;"r"", ""darkgreen""; ""lowcolor"", ""red""}), """")"),"")</f>
        <v/>
      </c>
      <c r="B111" s="17" t="str">
        <f t="shared" si="4"/>
        <v/>
      </c>
      <c r="C111" s="1" t="s">
        <v>536</v>
      </c>
      <c r="D111" s="34" t="str">
        <f>IFERROR(__xludf.DUMMYFUNCTION("IFERROR(GOOGLEFINANCE(C111, ""NAME""))"),"Columbia Financial Inc")</f>
        <v>Columbia Financial Inc</v>
      </c>
      <c r="E111" s="30" t="s">
        <v>268</v>
      </c>
      <c r="F111" s="33" t="str">
        <f>IFERROR(__xludf.DUMMYFUNCTION("( (GOOGLEFINANCE(C111, ""price"") - Q111) / Q111 ) / (R111 / 100)"),"Loading...")</f>
        <v>Loading...</v>
      </c>
      <c r="G111" s="20" t="str">
        <f>IFERROR(__xludf.DUMMYFUNCTION("AVERAGE(ARRAYFORMULA(100 * (QUERY(GOOGLEFINANCE(C111, ""high"", TODAY()-40, TODAY()), ""SELECT Col2 WHERE Col2 IS NOT NULL ORDER BY Col1 DESC LIMIT 20"", 0) / QUERY(GOOGLEFINANCE(C111, ""low"", TODAY()-40, TODAY()), ""SELECT Col2 WHERE Col2 IS NOT NULL OR"&amp;"DER BY Col1 DESC LIMIT 20"", 0) - 1)))"),"#N/A")</f>
        <v>#N/A</v>
      </c>
      <c r="H111" s="35" t="str">
        <f t="shared" si="6"/>
        <v/>
      </c>
      <c r="I111" s="36" t="str">
        <f t="shared" si="7"/>
        <v/>
      </c>
      <c r="J111" s="37" t="str">
        <f>IFERROR(__xludf.DUMMYFUNCTION("IFERROR(
  IF(C111="""",, 
    IFERROR(
      GOOGLEFINANCE(C111, ""price"") * GOOGLEFINANCE(C111, ""volumeavg""), 
      GOOGLEFINANCE(C111, ""price"") * AVERAGE(QUERY(GOOGLEFINANCE(C111, ""volume"", TODAY()-40, TODAY()), ""SELECT Col2 WHERE Col2 IS NOT "&amp;"NULL ORDER BY Col1 DESC LIMIT 20"", 0))
    )
  ), 
"""")"),"")</f>
        <v/>
      </c>
      <c r="K111" s="21" t="str">
        <f>IFERROR(__xludf.DUMMYFUNCTION("IFERROR(GOOGLEFINANCE(C111, ""changepct"") / 100, """")"),"")</f>
        <v/>
      </c>
      <c r="L111" s="21" t="str">
        <f>IFERROR(__xludf.DUMMYFUNCTION("IFERROR((GOOGLEFINANCE(C111, ""price"") / INDEX(GOOGLEFINANCE(C111, ""price"", TODAY()-7, TODAY()), 2, 2)) - 1, """")"),"")</f>
        <v/>
      </c>
      <c r="M111" s="21" t="str">
        <f>IFERROR(__xludf.DUMMYFUNCTION("IFERROR((GOOGLEFINANCE(C111, ""price"") / INDEX(GOOGLEFINANCE(C111, ""price"", EDATE(TODAY(), -1), TODAY()), 2, 2)) - 1, """")"),"")</f>
        <v/>
      </c>
      <c r="N111" s="21" t="str">
        <f>IFERROR(__xludf.DUMMYFUNCTION("IFERROR((GOOGLEFINANCE(C111, ""price"") / INDEX(GOOGLEFINANCE(C111, ""price"", EDATE(TODAY(), -3), TODAY()), 2, 2)) - 1, """")"),"")</f>
        <v/>
      </c>
      <c r="O111" s="21" t="str">
        <f>IFERROR(__xludf.DUMMYFUNCTION("IFERROR((GOOGLEFINANCE(C111, ""price"") / INDEX(GOOGLEFINANCE(C111, ""price"", EDATE(TODAY(), -6), TODAY()), 2, 2)) - 1, """")"),"")</f>
        <v/>
      </c>
      <c r="P111" s="21" t="str">
        <f>IFERROR(__xludf.DUMMYFUNCTION("IFERROR((GOOGLEFINANCE(C111, ""price"") / INDEX(GOOGLEFINANCE(C111, ""price"", EDATE(TODAY(), -12), TODAY()), 2, 2)) - 1, """")"),"")</f>
        <v/>
      </c>
      <c r="Q111" s="6" t="str">
        <f>IFERROR(__xludf.DUMMYFUNCTION("AVERAGE(QUERY(GOOGLEFINANCE(C111, ""price"", TODAY()-80, TODAY()), ""SELECT Col2 WHERE Col2 IS NOT NULL ORDER BY Col1 DESC LIMIT 50"", 0))"),"#N/A")</f>
        <v>#N/A</v>
      </c>
      <c r="R111" s="24" t="str">
        <f>IFERROR(__xludf.DUMMYFUNCTION("IFERROR(
  LET(
    data, QUERY(GOOGLEFINANCE(C111,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GOOGLEFINANCE(C111, ""price"")) * 100,
    IF(calc=0, G111, calc)
  ), 
G111)"),"#N/A")</f>
        <v>#N/A</v>
      </c>
      <c r="S111" s="8" t="s">
        <v>15</v>
      </c>
      <c r="T111" s="26" t="str">
        <f>IFERROR(__xludf.DUMMYFUNCTION("IFERROR(TRANSPOSE(QUERY(IFERROR(SORT(GOOGLEFINANCE(C111, ""price"", WORKDAY(TODAY(), -40), TODAY()), 1, FALSE)), ""select Col2 where Col2 is not null limit 22 label Col2 ''"", 0)), """")"),"")</f>
        <v/>
      </c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8"/>
      <c r="AO111" s="28"/>
      <c r="AP111" s="29"/>
      <c r="AQ111" s="29" t="str">
        <f t="shared" ref="AQ111:BL111" si="114">T111/T$2</f>
        <v>#N/A</v>
      </c>
      <c r="AR111" s="29" t="str">
        <f t="shared" si="114"/>
        <v>#DIV/0!</v>
      </c>
      <c r="AS111" s="29" t="str">
        <f t="shared" si="114"/>
        <v>#DIV/0!</v>
      </c>
      <c r="AT111" s="29" t="str">
        <f t="shared" si="114"/>
        <v>#DIV/0!</v>
      </c>
      <c r="AU111" s="29" t="str">
        <f t="shared" si="114"/>
        <v>#DIV/0!</v>
      </c>
      <c r="AV111" s="29" t="str">
        <f t="shared" si="114"/>
        <v>#DIV/0!</v>
      </c>
      <c r="AW111" s="29" t="str">
        <f t="shared" si="114"/>
        <v>#DIV/0!</v>
      </c>
      <c r="AX111" s="29" t="str">
        <f t="shared" si="114"/>
        <v>#DIV/0!</v>
      </c>
      <c r="AY111" s="29" t="str">
        <f t="shared" si="114"/>
        <v>#DIV/0!</v>
      </c>
      <c r="AZ111" s="29" t="str">
        <f t="shared" si="114"/>
        <v>#DIV/0!</v>
      </c>
      <c r="BA111" s="29" t="str">
        <f t="shared" si="114"/>
        <v>#DIV/0!</v>
      </c>
      <c r="BB111" s="29" t="str">
        <f t="shared" si="114"/>
        <v>#DIV/0!</v>
      </c>
      <c r="BC111" s="29" t="str">
        <f t="shared" si="114"/>
        <v>#DIV/0!</v>
      </c>
      <c r="BD111" s="29" t="str">
        <f t="shared" si="114"/>
        <v>#DIV/0!</v>
      </c>
      <c r="BE111" s="29" t="str">
        <f t="shared" si="114"/>
        <v>#DIV/0!</v>
      </c>
      <c r="BF111" s="29" t="str">
        <f t="shared" si="114"/>
        <v>#DIV/0!</v>
      </c>
      <c r="BG111" s="29" t="str">
        <f t="shared" si="114"/>
        <v>#DIV/0!</v>
      </c>
      <c r="BH111" s="29" t="str">
        <f t="shared" si="114"/>
        <v>#DIV/0!</v>
      </c>
      <c r="BI111" s="29" t="str">
        <f t="shared" si="114"/>
        <v>#DIV/0!</v>
      </c>
      <c r="BJ111" s="29" t="str">
        <f t="shared" si="114"/>
        <v>#DIV/0!</v>
      </c>
      <c r="BK111" s="29" t="str">
        <f t="shared" si="114"/>
        <v>#DIV/0!</v>
      </c>
      <c r="BL111" s="29" t="str">
        <f t="shared" si="114"/>
        <v>#DIV/0!</v>
      </c>
      <c r="BM111" s="29" t="str">
        <f t="shared" si="3"/>
        <v>#DIV/0!</v>
      </c>
    </row>
    <row r="112">
      <c r="A112" s="16" t="str">
        <f>IFERROR(__xludf.DUMMYFUNCTION("IFERROR(SPARKLINE(SORT(MAP(TRANSPOSE(AQ112:BL112), LAMBDA(val, IF(ISNUMBER(val), PERCENTRANK(AQ112:BL112, val)+0.01, 0))), SEQUENCE(COLUMNS(AQ112:BL112)), FALSE), {""charttype"",""column""; ""color"",""chartreuse""; ""ymin"", 0; ""ymax"", 1.01; ""highcolo"&amp;"r"", ""darkgreen""; ""lowcolor"", ""red""}), """")"),"")</f>
        <v/>
      </c>
      <c r="B112" s="17" t="str">
        <f t="shared" si="4"/>
        <v/>
      </c>
      <c r="C112" s="1" t="s">
        <v>541</v>
      </c>
      <c r="D112" s="34" t="str">
        <f>IFERROR(__xludf.DUMMYFUNCTION("IFERROR(GOOGLEFINANCE(C112, ""NAME""))"),"T Rowe Price Group Inc")</f>
        <v>T Rowe Price Group Inc</v>
      </c>
      <c r="E112" s="30" t="s">
        <v>64</v>
      </c>
      <c r="F112" s="38" t="str">
        <f>IFERROR(__xludf.DUMMYFUNCTION("( (GOOGLEFINANCE(C112, ""price"") - Q112) / Q112 ) / (R112 / 100)"),"Loading...")</f>
        <v>Loading...</v>
      </c>
      <c r="G112" s="20" t="str">
        <f>IFERROR(__xludf.DUMMYFUNCTION("AVERAGE(ARRAYFORMULA(100 * (QUERY(GOOGLEFINANCE(C112, ""high"", TODAY()-40, TODAY()), ""SELECT Col2 WHERE Col2 IS NOT NULL ORDER BY Col1 DESC LIMIT 20"", 0) / QUERY(GOOGLEFINANCE(C112, ""low"", TODAY()-40, TODAY()), ""SELECT Col2 WHERE Col2 IS NOT NULL OR"&amp;"DER BY Col1 DESC LIMIT 20"", 0) - 1)))"),"#N/A")</f>
        <v>#N/A</v>
      </c>
      <c r="H112" s="35" t="str">
        <f t="shared" si="6"/>
        <v/>
      </c>
      <c r="I112" s="36" t="str">
        <f t="shared" si="7"/>
        <v/>
      </c>
      <c r="J112" s="37" t="str">
        <f>IFERROR(__xludf.DUMMYFUNCTION("IFERROR(
  IF(C112="""",, 
    IFERROR(
      GOOGLEFINANCE(C112, ""price"") * GOOGLEFINANCE(C112, ""volumeavg""), 
      GOOGLEFINANCE(C112, ""price"") * AVERAGE(QUERY(GOOGLEFINANCE(C112, ""volume"", TODAY()-40, TODAY()), ""SELECT Col2 WHERE Col2 IS NOT "&amp;"NULL ORDER BY Col1 DESC LIMIT 20"", 0))
    )
  ), 
"""")"),"")</f>
        <v/>
      </c>
      <c r="K112" s="21" t="str">
        <f>IFERROR(__xludf.DUMMYFUNCTION("IFERROR(GOOGLEFINANCE(C112, ""changepct"") / 100, """")"),"")</f>
        <v/>
      </c>
      <c r="L112" s="21" t="str">
        <f>IFERROR(__xludf.DUMMYFUNCTION("IFERROR((GOOGLEFINANCE(C112, ""price"") / INDEX(GOOGLEFINANCE(C112, ""price"", TODAY()-7, TODAY()), 2, 2)) - 1, """")"),"")</f>
        <v/>
      </c>
      <c r="M112" s="21" t="str">
        <f>IFERROR(__xludf.DUMMYFUNCTION("IFERROR((GOOGLEFINANCE(C112, ""price"") / INDEX(GOOGLEFINANCE(C112, ""price"", EDATE(TODAY(), -1), TODAY()), 2, 2)) - 1, """")"),"")</f>
        <v/>
      </c>
      <c r="N112" s="21" t="str">
        <f>IFERROR(__xludf.DUMMYFUNCTION("IFERROR((GOOGLEFINANCE(C112, ""price"") / INDEX(GOOGLEFINANCE(C112, ""price"", EDATE(TODAY(), -3), TODAY()), 2, 2)) - 1, """")"),"")</f>
        <v/>
      </c>
      <c r="O112" s="21" t="str">
        <f>IFERROR(__xludf.DUMMYFUNCTION("IFERROR((GOOGLEFINANCE(C112, ""price"") / INDEX(GOOGLEFINANCE(C112, ""price"", EDATE(TODAY(), -6), TODAY()), 2, 2)) - 1, """")"),"")</f>
        <v/>
      </c>
      <c r="P112" s="21" t="str">
        <f>IFERROR(__xludf.DUMMYFUNCTION("IFERROR((GOOGLEFINANCE(C112, ""price"") / INDEX(GOOGLEFINANCE(C112, ""price"", EDATE(TODAY(), -12), TODAY()), 2, 2)) - 1, """")"),"")</f>
        <v/>
      </c>
      <c r="Q112" s="6" t="str">
        <f>IFERROR(__xludf.DUMMYFUNCTION("AVERAGE(QUERY(GOOGLEFINANCE(C112, ""price"", TODAY()-80, TODAY()), ""SELECT Col2 WHERE Col2 IS NOT NULL ORDER BY Col1 DESC LIMIT 50"", 0))"),"#N/A")</f>
        <v>#N/A</v>
      </c>
      <c r="R112" s="24" t="str">
        <f>IFERROR(__xludf.DUMMYFUNCTION("IFERROR(
  LET(
    data, QUERY(GOOGLEFINANCE(C112,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GOOGLEFINANCE(C112, ""price"")) * 100,
    IF(calc=0, G112, calc)
  ), 
G112)"),"#N/A")</f>
        <v>#N/A</v>
      </c>
      <c r="S112" s="8" t="s">
        <v>15</v>
      </c>
      <c r="T112" s="26" t="str">
        <f>IFERROR(__xludf.DUMMYFUNCTION("IFERROR(TRANSPOSE(QUERY(IFERROR(SORT(GOOGLEFINANCE(C112, ""price"", WORKDAY(TODAY(), -40), TODAY()), 1, FALSE)), ""select Col2 where Col2 is not null limit 22 label Col2 ''"", 0)), """")"),"")</f>
        <v/>
      </c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8"/>
      <c r="AO112" s="28"/>
      <c r="AP112" s="29"/>
      <c r="AQ112" s="29" t="str">
        <f t="shared" ref="AQ112:BL112" si="115">T112/T$2</f>
        <v>#N/A</v>
      </c>
      <c r="AR112" s="29" t="str">
        <f t="shared" si="115"/>
        <v>#DIV/0!</v>
      </c>
      <c r="AS112" s="29" t="str">
        <f t="shared" si="115"/>
        <v>#DIV/0!</v>
      </c>
      <c r="AT112" s="29" t="str">
        <f t="shared" si="115"/>
        <v>#DIV/0!</v>
      </c>
      <c r="AU112" s="29" t="str">
        <f t="shared" si="115"/>
        <v>#DIV/0!</v>
      </c>
      <c r="AV112" s="29" t="str">
        <f t="shared" si="115"/>
        <v>#DIV/0!</v>
      </c>
      <c r="AW112" s="29" t="str">
        <f t="shared" si="115"/>
        <v>#DIV/0!</v>
      </c>
      <c r="AX112" s="29" t="str">
        <f t="shared" si="115"/>
        <v>#DIV/0!</v>
      </c>
      <c r="AY112" s="29" t="str">
        <f t="shared" si="115"/>
        <v>#DIV/0!</v>
      </c>
      <c r="AZ112" s="29" t="str">
        <f t="shared" si="115"/>
        <v>#DIV/0!</v>
      </c>
      <c r="BA112" s="29" t="str">
        <f t="shared" si="115"/>
        <v>#DIV/0!</v>
      </c>
      <c r="BB112" s="29" t="str">
        <f t="shared" si="115"/>
        <v>#DIV/0!</v>
      </c>
      <c r="BC112" s="29" t="str">
        <f t="shared" si="115"/>
        <v>#DIV/0!</v>
      </c>
      <c r="BD112" s="29" t="str">
        <f t="shared" si="115"/>
        <v>#DIV/0!</v>
      </c>
      <c r="BE112" s="29" t="str">
        <f t="shared" si="115"/>
        <v>#DIV/0!</v>
      </c>
      <c r="BF112" s="29" t="str">
        <f t="shared" si="115"/>
        <v>#DIV/0!</v>
      </c>
      <c r="BG112" s="29" t="str">
        <f t="shared" si="115"/>
        <v>#DIV/0!</v>
      </c>
      <c r="BH112" s="29" t="str">
        <f t="shared" si="115"/>
        <v>#DIV/0!</v>
      </c>
      <c r="BI112" s="29" t="str">
        <f t="shared" si="115"/>
        <v>#DIV/0!</v>
      </c>
      <c r="BJ112" s="29" t="str">
        <f t="shared" si="115"/>
        <v>#DIV/0!</v>
      </c>
      <c r="BK112" s="29" t="str">
        <f t="shared" si="115"/>
        <v>#DIV/0!</v>
      </c>
      <c r="BL112" s="29" t="str">
        <f t="shared" si="115"/>
        <v>#DIV/0!</v>
      </c>
      <c r="BM112" s="29" t="str">
        <f t="shared" si="3"/>
        <v>#DIV/0!</v>
      </c>
    </row>
    <row r="113">
      <c r="A113" s="16" t="str">
        <f>IFERROR(__xludf.DUMMYFUNCTION("IFERROR(SPARKLINE(SORT(MAP(TRANSPOSE(AQ113:BL113), LAMBDA(val, IF(ISNUMBER(val), PERCENTRANK(AQ113:BL113, val)+0.01, 0))), SEQUENCE(COLUMNS(AQ113:BL113)), FALSE), {""charttype"",""column""; ""color"",""chartreuse""; ""ymin"", 0; ""ymax"", 1.01; ""highcolo"&amp;"r"", ""darkgreen""; ""lowcolor"", ""red""}), """")"),"")</f>
        <v/>
      </c>
      <c r="B113" s="17" t="str">
        <f t="shared" si="4"/>
        <v/>
      </c>
      <c r="C113" s="1" t="s">
        <v>545</v>
      </c>
      <c r="D113" s="34" t="str">
        <f>IFERROR(__xludf.DUMMYFUNCTION("IFERROR(GOOGLEFINANCE(C113, ""NAME""))"),"Blue Owl Capital Inc")</f>
        <v>Blue Owl Capital Inc</v>
      </c>
      <c r="E113" s="30" t="s">
        <v>64</v>
      </c>
      <c r="F113" s="33" t="str">
        <f>IFERROR(__xludf.DUMMYFUNCTION("( (GOOGLEFINANCE(C113, ""price"") - Q113) / Q113 ) / (R113 / 100)"),"Loading...")</f>
        <v>Loading...</v>
      </c>
      <c r="G113" s="20" t="str">
        <f>IFERROR(__xludf.DUMMYFUNCTION("AVERAGE(ARRAYFORMULA(100 * (QUERY(GOOGLEFINANCE(C113, ""high"", TODAY()-40, TODAY()), ""SELECT Col2 WHERE Col2 IS NOT NULL ORDER BY Col1 DESC LIMIT 20"", 0) / QUERY(GOOGLEFINANCE(C113, ""low"", TODAY()-40, TODAY()), ""SELECT Col2 WHERE Col2 IS NOT NULL OR"&amp;"DER BY Col1 DESC LIMIT 20"", 0) - 1)))"),"#N/A")</f>
        <v>#N/A</v>
      </c>
      <c r="H113" s="35" t="str">
        <f t="shared" si="6"/>
        <v/>
      </c>
      <c r="I113" s="36" t="str">
        <f t="shared" si="7"/>
        <v/>
      </c>
      <c r="J113" s="37" t="str">
        <f>IFERROR(__xludf.DUMMYFUNCTION("IFERROR(
  IF(C113="""",, 
    IFERROR(
      GOOGLEFINANCE(C113, ""price"") * GOOGLEFINANCE(C113, ""volumeavg""), 
      GOOGLEFINANCE(C113, ""price"") * AVERAGE(QUERY(GOOGLEFINANCE(C113, ""volume"", TODAY()-40, TODAY()), ""SELECT Col2 WHERE Col2 IS NOT "&amp;"NULL ORDER BY Col1 DESC LIMIT 20"", 0))
    )
  ), 
"""")"),"")</f>
        <v/>
      </c>
      <c r="K113" s="21" t="str">
        <f>IFERROR(__xludf.DUMMYFUNCTION("IFERROR(GOOGLEFINANCE(C113, ""changepct"") / 100, """")"),"")</f>
        <v/>
      </c>
      <c r="L113" s="21" t="str">
        <f>IFERROR(__xludf.DUMMYFUNCTION("IFERROR((GOOGLEFINANCE(C113, ""price"") / INDEX(GOOGLEFINANCE(C113, ""price"", TODAY()-7, TODAY()), 2, 2)) - 1, """")"),"")</f>
        <v/>
      </c>
      <c r="M113" s="21" t="str">
        <f>IFERROR(__xludf.DUMMYFUNCTION("IFERROR((GOOGLEFINANCE(C113, ""price"") / INDEX(GOOGLEFINANCE(C113, ""price"", EDATE(TODAY(), -1), TODAY()), 2, 2)) - 1, """")"),"")</f>
        <v/>
      </c>
      <c r="N113" s="21" t="str">
        <f>IFERROR(__xludf.DUMMYFUNCTION("IFERROR((GOOGLEFINANCE(C113, ""price"") / INDEX(GOOGLEFINANCE(C113, ""price"", EDATE(TODAY(), -3), TODAY()), 2, 2)) - 1, """")"),"")</f>
        <v/>
      </c>
      <c r="O113" s="21" t="str">
        <f>IFERROR(__xludf.DUMMYFUNCTION("IFERROR((GOOGLEFINANCE(C113, ""price"") / INDEX(GOOGLEFINANCE(C113, ""price"", EDATE(TODAY(), -6), TODAY()), 2, 2)) - 1, """")"),"")</f>
        <v/>
      </c>
      <c r="P113" s="21" t="str">
        <f>IFERROR(__xludf.DUMMYFUNCTION("IFERROR((GOOGLEFINANCE(C113, ""price"") / INDEX(GOOGLEFINANCE(C113, ""price"", EDATE(TODAY(), -12), TODAY()), 2, 2)) - 1, """")"),"")</f>
        <v/>
      </c>
      <c r="Q113" s="6" t="str">
        <f>IFERROR(__xludf.DUMMYFUNCTION("AVERAGE(QUERY(GOOGLEFINANCE(C113, ""price"", TODAY()-80, TODAY()), ""SELECT Col2 WHERE Col2 IS NOT NULL ORDER BY Col1 DESC LIMIT 50"", 0))"),"#N/A")</f>
        <v>#N/A</v>
      </c>
      <c r="R113" s="24" t="str">
        <f>IFERROR(__xludf.DUMMYFUNCTION("IFERROR(
  LET(
    data, QUERY(GOOGLEFINANCE(C113,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GOOGLEFINANCE(C113, ""price"")) * 100,
    IF(calc=0, G113, calc)
  ), 
G113)"),"#N/A")</f>
        <v>#N/A</v>
      </c>
      <c r="S113" s="8" t="s">
        <v>15</v>
      </c>
      <c r="T113" s="26" t="str">
        <f>IFERROR(__xludf.DUMMYFUNCTION("IFERROR(TRANSPOSE(QUERY(IFERROR(SORT(GOOGLEFINANCE(C113, ""price"", WORKDAY(TODAY(), -40), TODAY()), 1, FALSE)), ""select Col2 where Col2 is not null limit 22 label Col2 ''"", 0)), """")"),"")</f>
        <v/>
      </c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8"/>
      <c r="AO113" s="28"/>
      <c r="AP113" s="29"/>
      <c r="AQ113" s="29" t="str">
        <f t="shared" ref="AQ113:BL113" si="116">T113/T$2</f>
        <v>#N/A</v>
      </c>
      <c r="AR113" s="29" t="str">
        <f t="shared" si="116"/>
        <v>#DIV/0!</v>
      </c>
      <c r="AS113" s="29" t="str">
        <f t="shared" si="116"/>
        <v>#DIV/0!</v>
      </c>
      <c r="AT113" s="29" t="str">
        <f t="shared" si="116"/>
        <v>#DIV/0!</v>
      </c>
      <c r="AU113" s="29" t="str">
        <f t="shared" si="116"/>
        <v>#DIV/0!</v>
      </c>
      <c r="AV113" s="29" t="str">
        <f t="shared" si="116"/>
        <v>#DIV/0!</v>
      </c>
      <c r="AW113" s="29" t="str">
        <f t="shared" si="116"/>
        <v>#DIV/0!</v>
      </c>
      <c r="AX113" s="29" t="str">
        <f t="shared" si="116"/>
        <v>#DIV/0!</v>
      </c>
      <c r="AY113" s="29" t="str">
        <f t="shared" si="116"/>
        <v>#DIV/0!</v>
      </c>
      <c r="AZ113" s="29" t="str">
        <f t="shared" si="116"/>
        <v>#DIV/0!</v>
      </c>
      <c r="BA113" s="29" t="str">
        <f t="shared" si="116"/>
        <v>#DIV/0!</v>
      </c>
      <c r="BB113" s="29" t="str">
        <f t="shared" si="116"/>
        <v>#DIV/0!</v>
      </c>
      <c r="BC113" s="29" t="str">
        <f t="shared" si="116"/>
        <v>#DIV/0!</v>
      </c>
      <c r="BD113" s="29" t="str">
        <f t="shared" si="116"/>
        <v>#DIV/0!</v>
      </c>
      <c r="BE113" s="29" t="str">
        <f t="shared" si="116"/>
        <v>#DIV/0!</v>
      </c>
      <c r="BF113" s="29" t="str">
        <f t="shared" si="116"/>
        <v>#DIV/0!</v>
      </c>
      <c r="BG113" s="29" t="str">
        <f t="shared" si="116"/>
        <v>#DIV/0!</v>
      </c>
      <c r="BH113" s="29" t="str">
        <f t="shared" si="116"/>
        <v>#DIV/0!</v>
      </c>
      <c r="BI113" s="29" t="str">
        <f t="shared" si="116"/>
        <v>#DIV/0!</v>
      </c>
      <c r="BJ113" s="29" t="str">
        <f t="shared" si="116"/>
        <v>#DIV/0!</v>
      </c>
      <c r="BK113" s="29" t="str">
        <f t="shared" si="116"/>
        <v>#DIV/0!</v>
      </c>
      <c r="BL113" s="29" t="str">
        <f t="shared" si="116"/>
        <v>#DIV/0!</v>
      </c>
      <c r="BM113" s="29" t="str">
        <f t="shared" si="3"/>
        <v>#DIV/0!</v>
      </c>
    </row>
    <row r="114">
      <c r="A114" s="16" t="str">
        <f>IFERROR(__xludf.DUMMYFUNCTION("IFERROR(SPARKLINE(SORT(MAP(TRANSPOSE(AQ114:BL114), LAMBDA(val, IF(ISNUMBER(val), PERCENTRANK(AQ114:BL114, val)+0.01, 0))), SEQUENCE(COLUMNS(AQ114:BL114)), FALSE), {""charttype"",""column""; ""color"",""chartreuse""; ""ymin"", 0; ""ymax"", 1.01; ""highcolo"&amp;"r"", ""darkgreen""; ""lowcolor"", ""red""}), """")"),"")</f>
        <v/>
      </c>
      <c r="B114" s="17" t="str">
        <f t="shared" si="4"/>
        <v/>
      </c>
      <c r="C114" s="1" t="s">
        <v>550</v>
      </c>
      <c r="D114" s="34" t="str">
        <f>IFERROR(__xludf.DUMMYFUNCTION("IFERROR(GOOGLEFINANCE(C114, ""NAME""))"),"Atlanticus Holdings Corp")</f>
        <v>Atlanticus Holdings Corp</v>
      </c>
      <c r="E114" s="30" t="s">
        <v>145</v>
      </c>
      <c r="F114" s="33" t="str">
        <f>IFERROR(__xludf.DUMMYFUNCTION("( (GOOGLEFINANCE(C114, ""price"") - Q114) / Q114 ) / (R114 / 100)"),"Loading...")</f>
        <v>Loading...</v>
      </c>
      <c r="G114" s="20" t="str">
        <f>IFERROR(__xludf.DUMMYFUNCTION("AVERAGE(ARRAYFORMULA(100 * (QUERY(GOOGLEFINANCE(C114, ""high"", TODAY()-40, TODAY()), ""SELECT Col2 WHERE Col2 IS NOT NULL ORDER BY Col1 DESC LIMIT 20"", 0) / QUERY(GOOGLEFINANCE(C114, ""low"", TODAY()-40, TODAY()), ""SELECT Col2 WHERE Col2 IS NOT NULL OR"&amp;"DER BY Col1 DESC LIMIT 20"", 0) - 1)))"),"#N/A")</f>
        <v>#N/A</v>
      </c>
      <c r="H114" s="35" t="str">
        <f t="shared" si="6"/>
        <v/>
      </c>
      <c r="I114" s="36" t="str">
        <f t="shared" si="7"/>
        <v/>
      </c>
      <c r="J114" s="37" t="str">
        <f>IFERROR(__xludf.DUMMYFUNCTION("IFERROR(
  IF(C114="""",, 
    IFERROR(
      GOOGLEFINANCE(C114, ""price"") * GOOGLEFINANCE(C114, ""volumeavg""), 
      GOOGLEFINANCE(C114, ""price"") * AVERAGE(QUERY(GOOGLEFINANCE(C114, ""volume"", TODAY()-40, TODAY()), ""SELECT Col2 WHERE Col2 IS NOT "&amp;"NULL ORDER BY Col1 DESC LIMIT 20"", 0))
    )
  ), 
"""")"),"")</f>
        <v/>
      </c>
      <c r="K114" s="21" t="str">
        <f>IFERROR(__xludf.DUMMYFUNCTION("IFERROR(GOOGLEFINANCE(C114, ""changepct"") / 100, """")"),"")</f>
        <v/>
      </c>
      <c r="L114" s="21" t="str">
        <f>IFERROR(__xludf.DUMMYFUNCTION("IFERROR((GOOGLEFINANCE(C114, ""price"") / INDEX(GOOGLEFINANCE(C114, ""price"", TODAY()-7, TODAY()), 2, 2)) - 1, """")"),"")</f>
        <v/>
      </c>
      <c r="M114" s="21" t="str">
        <f>IFERROR(__xludf.DUMMYFUNCTION("IFERROR((GOOGLEFINANCE(C114, ""price"") / INDEX(GOOGLEFINANCE(C114, ""price"", EDATE(TODAY(), -1), TODAY()), 2, 2)) - 1, """")"),"")</f>
        <v/>
      </c>
      <c r="N114" s="21" t="str">
        <f>IFERROR(__xludf.DUMMYFUNCTION("IFERROR((GOOGLEFINANCE(C114, ""price"") / INDEX(GOOGLEFINANCE(C114, ""price"", EDATE(TODAY(), -3), TODAY()), 2, 2)) - 1, """")"),"")</f>
        <v/>
      </c>
      <c r="O114" s="21" t="str">
        <f>IFERROR(__xludf.DUMMYFUNCTION("IFERROR((GOOGLEFINANCE(C114, ""price"") / INDEX(GOOGLEFINANCE(C114, ""price"", EDATE(TODAY(), -6), TODAY()), 2, 2)) - 1, """")"),"")</f>
        <v/>
      </c>
      <c r="P114" s="21" t="str">
        <f>IFERROR(__xludf.DUMMYFUNCTION("IFERROR((GOOGLEFINANCE(C114, ""price"") / INDEX(GOOGLEFINANCE(C114, ""price"", EDATE(TODAY(), -12), TODAY()), 2, 2)) - 1, """")"),"")</f>
        <v/>
      </c>
      <c r="Q114" s="6" t="str">
        <f>IFERROR(__xludf.DUMMYFUNCTION("AVERAGE(QUERY(GOOGLEFINANCE(C114, ""price"", TODAY()-80, TODAY()), ""SELECT Col2 WHERE Col2 IS NOT NULL ORDER BY Col1 DESC LIMIT 50"", 0))"),"#N/A")</f>
        <v>#N/A</v>
      </c>
      <c r="R114" s="24" t="str">
        <f>IFERROR(__xludf.DUMMYFUNCTION("IFERROR(
  LET(
    data, QUERY(GOOGLEFINANCE(C114,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GOOGLEFINANCE(C114, ""price"")) * 100,
    IF(calc=0, G114, calc)
  ), 
G114)"),"#N/A")</f>
        <v>#N/A</v>
      </c>
      <c r="S114" s="8" t="s">
        <v>15</v>
      </c>
      <c r="T114" s="26" t="str">
        <f>IFERROR(__xludf.DUMMYFUNCTION("IFERROR(TRANSPOSE(QUERY(IFERROR(SORT(GOOGLEFINANCE(C114, ""price"", WORKDAY(TODAY(), -40), TODAY()), 1, FALSE)), ""select Col2 where Col2 is not null limit 22 label Col2 ''"", 0)), """")"),"")</f>
        <v/>
      </c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8"/>
      <c r="AO114" s="28"/>
      <c r="AP114" s="29"/>
      <c r="AQ114" s="29" t="str">
        <f t="shared" ref="AQ114:BL114" si="117">T114/T$2</f>
        <v>#N/A</v>
      </c>
      <c r="AR114" s="29" t="str">
        <f t="shared" si="117"/>
        <v>#DIV/0!</v>
      </c>
      <c r="AS114" s="29" t="str">
        <f t="shared" si="117"/>
        <v>#DIV/0!</v>
      </c>
      <c r="AT114" s="29" t="str">
        <f t="shared" si="117"/>
        <v>#DIV/0!</v>
      </c>
      <c r="AU114" s="29" t="str">
        <f t="shared" si="117"/>
        <v>#DIV/0!</v>
      </c>
      <c r="AV114" s="29" t="str">
        <f t="shared" si="117"/>
        <v>#DIV/0!</v>
      </c>
      <c r="AW114" s="29" t="str">
        <f t="shared" si="117"/>
        <v>#DIV/0!</v>
      </c>
      <c r="AX114" s="29" t="str">
        <f t="shared" si="117"/>
        <v>#DIV/0!</v>
      </c>
      <c r="AY114" s="29" t="str">
        <f t="shared" si="117"/>
        <v>#DIV/0!</v>
      </c>
      <c r="AZ114" s="29" t="str">
        <f t="shared" si="117"/>
        <v>#DIV/0!</v>
      </c>
      <c r="BA114" s="29" t="str">
        <f t="shared" si="117"/>
        <v>#DIV/0!</v>
      </c>
      <c r="BB114" s="29" t="str">
        <f t="shared" si="117"/>
        <v>#DIV/0!</v>
      </c>
      <c r="BC114" s="29" t="str">
        <f t="shared" si="117"/>
        <v>#DIV/0!</v>
      </c>
      <c r="BD114" s="29" t="str">
        <f t="shared" si="117"/>
        <v>#DIV/0!</v>
      </c>
      <c r="BE114" s="29" t="str">
        <f t="shared" si="117"/>
        <v>#DIV/0!</v>
      </c>
      <c r="BF114" s="29" t="str">
        <f t="shared" si="117"/>
        <v>#DIV/0!</v>
      </c>
      <c r="BG114" s="29" t="str">
        <f t="shared" si="117"/>
        <v>#DIV/0!</v>
      </c>
      <c r="BH114" s="29" t="str">
        <f t="shared" si="117"/>
        <v>#DIV/0!</v>
      </c>
      <c r="BI114" s="29" t="str">
        <f t="shared" si="117"/>
        <v>#DIV/0!</v>
      </c>
      <c r="BJ114" s="29" t="str">
        <f t="shared" si="117"/>
        <v>#DIV/0!</v>
      </c>
      <c r="BK114" s="29" t="str">
        <f t="shared" si="117"/>
        <v>#DIV/0!</v>
      </c>
      <c r="BL114" s="29" t="str">
        <f t="shared" si="117"/>
        <v>#DIV/0!</v>
      </c>
      <c r="BM114" s="29" t="str">
        <f t="shared" si="3"/>
        <v>#DIV/0!</v>
      </c>
    </row>
    <row r="115">
      <c r="A115" s="16" t="str">
        <f>IFERROR(__xludf.DUMMYFUNCTION("IFERROR(SPARKLINE(SORT(MAP(TRANSPOSE(AQ115:BL115), LAMBDA(val, IF(ISNUMBER(val), PERCENTRANK(AQ115:BL115, val)+0.01, 0))), SEQUENCE(COLUMNS(AQ115:BL115)), FALSE), {""charttype"",""column""; ""color"",""chartreuse""; ""ymin"", 0; ""ymax"", 1.01; ""highcolo"&amp;"r"", ""darkgreen""; ""lowcolor"", ""red""}), """")"),"")</f>
        <v/>
      </c>
      <c r="B115" s="17" t="str">
        <f t="shared" si="4"/>
        <v/>
      </c>
      <c r="C115" s="1" t="s">
        <v>554</v>
      </c>
      <c r="D115" s="34" t="str">
        <f>IFERROR(__xludf.DUMMYFUNCTION("IFERROR(GOOGLEFINANCE(C115, ""NAME""))"),"Isabella Bank Corp")</f>
        <v>Isabella Bank Corp</v>
      </c>
      <c r="E115" s="30" t="s">
        <v>268</v>
      </c>
      <c r="F115" s="38" t="str">
        <f>IFERROR(__xludf.DUMMYFUNCTION("( (GOOGLEFINANCE(C115, ""price"") - Q115) / Q115 ) / (R115 / 100)"),"Loading...")</f>
        <v>Loading...</v>
      </c>
      <c r="G115" s="20" t="str">
        <f>IFERROR(__xludf.DUMMYFUNCTION("AVERAGE(ARRAYFORMULA(100 * (QUERY(GOOGLEFINANCE(C115, ""high"", TODAY()-40, TODAY()), ""SELECT Col2 WHERE Col2 IS NOT NULL ORDER BY Col1 DESC LIMIT 20"", 0) / QUERY(GOOGLEFINANCE(C115, ""low"", TODAY()-40, TODAY()), ""SELECT Col2 WHERE Col2 IS NOT NULL OR"&amp;"DER BY Col1 DESC LIMIT 20"", 0) - 1)))"),"#N/A")</f>
        <v>#N/A</v>
      </c>
      <c r="H115" s="35" t="str">
        <f t="shared" si="6"/>
        <v/>
      </c>
      <c r="I115" s="36" t="str">
        <f t="shared" si="7"/>
        <v/>
      </c>
      <c r="J115" s="37" t="str">
        <f>IFERROR(__xludf.DUMMYFUNCTION("IFERROR(
  IF(C115="""",, 
    IFERROR(
      GOOGLEFINANCE(C115, ""price"") * GOOGLEFINANCE(C115, ""volumeavg""), 
      GOOGLEFINANCE(C115, ""price"") * AVERAGE(QUERY(GOOGLEFINANCE(C115, ""volume"", TODAY()-40, TODAY()), ""SELECT Col2 WHERE Col2 IS NOT "&amp;"NULL ORDER BY Col1 DESC LIMIT 20"", 0))
    )
  ), 
"""")"),"")</f>
        <v/>
      </c>
      <c r="K115" s="21" t="str">
        <f>IFERROR(__xludf.DUMMYFUNCTION("IFERROR(GOOGLEFINANCE(C115, ""changepct"") / 100, """")"),"")</f>
        <v/>
      </c>
      <c r="L115" s="21" t="str">
        <f>IFERROR(__xludf.DUMMYFUNCTION("IFERROR((GOOGLEFINANCE(C115, ""price"") / INDEX(GOOGLEFINANCE(C115, ""price"", TODAY()-7, TODAY()), 2, 2)) - 1, """")"),"")</f>
        <v/>
      </c>
      <c r="M115" s="21" t="str">
        <f>IFERROR(__xludf.DUMMYFUNCTION("IFERROR((GOOGLEFINANCE(C115, ""price"") / INDEX(GOOGLEFINANCE(C115, ""price"", EDATE(TODAY(), -1), TODAY()), 2, 2)) - 1, """")"),"")</f>
        <v/>
      </c>
      <c r="N115" s="21" t="str">
        <f>IFERROR(__xludf.DUMMYFUNCTION("IFERROR((GOOGLEFINANCE(C115, ""price"") / INDEX(GOOGLEFINANCE(C115, ""price"", EDATE(TODAY(), -3), TODAY()), 2, 2)) - 1, """")"),"")</f>
        <v/>
      </c>
      <c r="O115" s="21" t="str">
        <f>IFERROR(__xludf.DUMMYFUNCTION("IFERROR((GOOGLEFINANCE(C115, ""price"") / INDEX(GOOGLEFINANCE(C115, ""price"", EDATE(TODAY(), -6), TODAY()), 2, 2)) - 1, """")"),"")</f>
        <v/>
      </c>
      <c r="P115" s="21" t="str">
        <f>IFERROR(__xludf.DUMMYFUNCTION("IFERROR((GOOGLEFINANCE(C115, ""price"") / INDEX(GOOGLEFINANCE(C115, ""price"", EDATE(TODAY(), -12), TODAY()), 2, 2)) - 1, """")"),"")</f>
        <v/>
      </c>
      <c r="Q115" s="6" t="str">
        <f>IFERROR(__xludf.DUMMYFUNCTION("AVERAGE(QUERY(GOOGLEFINANCE(C115, ""price"", TODAY()-80, TODAY()), ""SELECT Col2 WHERE Col2 IS NOT NULL ORDER BY Col1 DESC LIMIT 50"", 0))"),"#N/A")</f>
        <v>#N/A</v>
      </c>
      <c r="R115" s="24" t="str">
        <f>IFERROR(__xludf.DUMMYFUNCTION("IFERROR(
  LET(
    data, QUERY(GOOGLEFINANCE(C115,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GOOGLEFINANCE(C115, ""price"")) * 100,
    IF(calc=0, G115, calc)
  ), 
G115)"),"#N/A")</f>
        <v>#N/A</v>
      </c>
      <c r="S115" s="8" t="s">
        <v>15</v>
      </c>
      <c r="T115" s="26" t="str">
        <f>IFERROR(__xludf.DUMMYFUNCTION("IFERROR(TRANSPOSE(QUERY(IFERROR(SORT(GOOGLEFINANCE(C115, ""price"", WORKDAY(TODAY(), -40), TODAY()), 1, FALSE)), ""select Col2 where Col2 is not null limit 22 label Col2 ''"", 0)), """")"),"")</f>
        <v/>
      </c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8"/>
      <c r="AO115" s="28"/>
      <c r="AP115" s="29"/>
      <c r="AQ115" s="29" t="str">
        <f t="shared" ref="AQ115:BL115" si="118">T115/T$2</f>
        <v>#N/A</v>
      </c>
      <c r="AR115" s="29" t="str">
        <f t="shared" si="118"/>
        <v>#DIV/0!</v>
      </c>
      <c r="AS115" s="29" t="str">
        <f t="shared" si="118"/>
        <v>#DIV/0!</v>
      </c>
      <c r="AT115" s="29" t="str">
        <f t="shared" si="118"/>
        <v>#DIV/0!</v>
      </c>
      <c r="AU115" s="29" t="str">
        <f t="shared" si="118"/>
        <v>#DIV/0!</v>
      </c>
      <c r="AV115" s="29" t="str">
        <f t="shared" si="118"/>
        <v>#DIV/0!</v>
      </c>
      <c r="AW115" s="29" t="str">
        <f t="shared" si="118"/>
        <v>#DIV/0!</v>
      </c>
      <c r="AX115" s="29" t="str">
        <f t="shared" si="118"/>
        <v>#DIV/0!</v>
      </c>
      <c r="AY115" s="29" t="str">
        <f t="shared" si="118"/>
        <v>#DIV/0!</v>
      </c>
      <c r="AZ115" s="29" t="str">
        <f t="shared" si="118"/>
        <v>#DIV/0!</v>
      </c>
      <c r="BA115" s="29" t="str">
        <f t="shared" si="118"/>
        <v>#DIV/0!</v>
      </c>
      <c r="BB115" s="29" t="str">
        <f t="shared" si="118"/>
        <v>#DIV/0!</v>
      </c>
      <c r="BC115" s="29" t="str">
        <f t="shared" si="118"/>
        <v>#DIV/0!</v>
      </c>
      <c r="BD115" s="29" t="str">
        <f t="shared" si="118"/>
        <v>#DIV/0!</v>
      </c>
      <c r="BE115" s="29" t="str">
        <f t="shared" si="118"/>
        <v>#DIV/0!</v>
      </c>
      <c r="BF115" s="29" t="str">
        <f t="shared" si="118"/>
        <v>#DIV/0!</v>
      </c>
      <c r="BG115" s="29" t="str">
        <f t="shared" si="118"/>
        <v>#DIV/0!</v>
      </c>
      <c r="BH115" s="29" t="str">
        <f t="shared" si="118"/>
        <v>#DIV/0!</v>
      </c>
      <c r="BI115" s="29" t="str">
        <f t="shared" si="118"/>
        <v>#DIV/0!</v>
      </c>
      <c r="BJ115" s="29" t="str">
        <f t="shared" si="118"/>
        <v>#DIV/0!</v>
      </c>
      <c r="BK115" s="29" t="str">
        <f t="shared" si="118"/>
        <v>#DIV/0!</v>
      </c>
      <c r="BL115" s="29" t="str">
        <f t="shared" si="118"/>
        <v>#DIV/0!</v>
      </c>
      <c r="BM115" s="29" t="str">
        <f t="shared" si="3"/>
        <v>#DIV/0!</v>
      </c>
    </row>
    <row r="116">
      <c r="A116" s="16" t="str">
        <f>IFERROR(__xludf.DUMMYFUNCTION("IFERROR(SPARKLINE(SORT(MAP(TRANSPOSE(AQ116:BL116), LAMBDA(val, IF(ISNUMBER(val), PERCENTRANK(AQ116:BL116, val)+0.01, 0))), SEQUENCE(COLUMNS(AQ116:BL116)), FALSE), {""charttype"",""column""; ""color"",""chartreuse""; ""ymin"", 0; ""ymax"", 1.01; ""highcolo"&amp;"r"", ""darkgreen""; ""lowcolor"", ""red""}), """")"),"")</f>
        <v/>
      </c>
      <c r="B116" s="17" t="str">
        <f t="shared" si="4"/>
        <v/>
      </c>
      <c r="C116" s="1" t="s">
        <v>558</v>
      </c>
      <c r="D116" s="34" t="str">
        <f>IFERROR(__xludf.DUMMYFUNCTION("IFERROR(GOOGLEFINANCE(C116, ""NAME""))"),"Federated Hermes Inc")</f>
        <v>Federated Hermes Inc</v>
      </c>
      <c r="E116" s="30" t="s">
        <v>64</v>
      </c>
      <c r="F116" s="33" t="str">
        <f>IFERROR(__xludf.DUMMYFUNCTION("( (GOOGLEFINANCE(C116, ""price"") - Q116) / Q116 ) / (R116 / 100)"),"Loading...")</f>
        <v>Loading...</v>
      </c>
      <c r="G116" s="20" t="str">
        <f>IFERROR(__xludf.DUMMYFUNCTION("AVERAGE(ARRAYFORMULA(100 * (QUERY(GOOGLEFINANCE(C116, ""high"", TODAY()-40, TODAY()), ""SELECT Col2 WHERE Col2 IS NOT NULL ORDER BY Col1 DESC LIMIT 20"", 0) / QUERY(GOOGLEFINANCE(C116, ""low"", TODAY()-40, TODAY()), ""SELECT Col2 WHERE Col2 IS NOT NULL OR"&amp;"DER BY Col1 DESC LIMIT 20"", 0) - 1)))"),"#N/A")</f>
        <v>#N/A</v>
      </c>
      <c r="H116" s="35" t="str">
        <f t="shared" si="6"/>
        <v/>
      </c>
      <c r="I116" s="36" t="str">
        <f t="shared" si="7"/>
        <v/>
      </c>
      <c r="J116" s="37" t="str">
        <f>IFERROR(__xludf.DUMMYFUNCTION("IFERROR(
  IF(C116="""",, 
    IFERROR(
      GOOGLEFINANCE(C116, ""price"") * GOOGLEFINANCE(C116, ""volumeavg""), 
      GOOGLEFINANCE(C116, ""price"") * AVERAGE(QUERY(GOOGLEFINANCE(C116, ""volume"", TODAY()-40, TODAY()), ""SELECT Col2 WHERE Col2 IS NOT "&amp;"NULL ORDER BY Col1 DESC LIMIT 20"", 0))
    )
  ), 
"""")"),"")</f>
        <v/>
      </c>
      <c r="K116" s="21" t="str">
        <f>IFERROR(__xludf.DUMMYFUNCTION("IFERROR(GOOGLEFINANCE(C116, ""changepct"") / 100, """")"),"")</f>
        <v/>
      </c>
      <c r="L116" s="21" t="str">
        <f>IFERROR(__xludf.DUMMYFUNCTION("IFERROR((GOOGLEFINANCE(C116, ""price"") / INDEX(GOOGLEFINANCE(C116, ""price"", TODAY()-7, TODAY()), 2, 2)) - 1, """")"),"")</f>
        <v/>
      </c>
      <c r="M116" s="21" t="str">
        <f>IFERROR(__xludf.DUMMYFUNCTION("IFERROR((GOOGLEFINANCE(C116, ""price"") / INDEX(GOOGLEFINANCE(C116, ""price"", EDATE(TODAY(), -1), TODAY()), 2, 2)) - 1, """")"),"")</f>
        <v/>
      </c>
      <c r="N116" s="21" t="str">
        <f>IFERROR(__xludf.DUMMYFUNCTION("IFERROR((GOOGLEFINANCE(C116, ""price"") / INDEX(GOOGLEFINANCE(C116, ""price"", EDATE(TODAY(), -3), TODAY()), 2, 2)) - 1, """")"),"")</f>
        <v/>
      </c>
      <c r="O116" s="21" t="str">
        <f>IFERROR(__xludf.DUMMYFUNCTION("IFERROR((GOOGLEFINANCE(C116, ""price"") / INDEX(GOOGLEFINANCE(C116, ""price"", EDATE(TODAY(), -6), TODAY()), 2, 2)) - 1, """")"),"")</f>
        <v/>
      </c>
      <c r="P116" s="21" t="str">
        <f>IFERROR(__xludf.DUMMYFUNCTION("IFERROR((GOOGLEFINANCE(C116, ""price"") / INDEX(GOOGLEFINANCE(C116, ""price"", EDATE(TODAY(), -12), TODAY()), 2, 2)) - 1, """")"),"")</f>
        <v/>
      </c>
      <c r="Q116" s="6" t="str">
        <f>IFERROR(__xludf.DUMMYFUNCTION("AVERAGE(QUERY(GOOGLEFINANCE(C116, ""price"", TODAY()-80, TODAY()), ""SELECT Col2 WHERE Col2 IS NOT NULL ORDER BY Col1 DESC LIMIT 50"", 0))"),"#N/A")</f>
        <v>#N/A</v>
      </c>
      <c r="R116" s="24" t="str">
        <f>IFERROR(__xludf.DUMMYFUNCTION("IFERROR(
  LET(
    data, QUERY(GOOGLEFINANCE(C116,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GOOGLEFINANCE(C116, ""price"")) * 100,
    IF(calc=0, G116, calc)
  ), 
G116)"),"#N/A")</f>
        <v>#N/A</v>
      </c>
      <c r="S116" s="8" t="s">
        <v>15</v>
      </c>
      <c r="T116" s="26" t="str">
        <f>IFERROR(__xludf.DUMMYFUNCTION("IFERROR(TRANSPOSE(QUERY(IFERROR(SORT(GOOGLEFINANCE(C116, ""price"", WORKDAY(TODAY(), -40), TODAY()), 1, FALSE)), ""select Col2 where Col2 is not null limit 22 label Col2 ''"", 0)), """")"),"")</f>
        <v/>
      </c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8"/>
      <c r="AO116" s="28"/>
      <c r="AP116" s="29"/>
      <c r="AQ116" s="29" t="str">
        <f t="shared" ref="AQ116:BL116" si="119">T116/T$2</f>
        <v>#N/A</v>
      </c>
      <c r="AR116" s="29" t="str">
        <f t="shared" si="119"/>
        <v>#DIV/0!</v>
      </c>
      <c r="AS116" s="29" t="str">
        <f t="shared" si="119"/>
        <v>#DIV/0!</v>
      </c>
      <c r="AT116" s="29" t="str">
        <f t="shared" si="119"/>
        <v>#DIV/0!</v>
      </c>
      <c r="AU116" s="29" t="str">
        <f t="shared" si="119"/>
        <v>#DIV/0!</v>
      </c>
      <c r="AV116" s="29" t="str">
        <f t="shared" si="119"/>
        <v>#DIV/0!</v>
      </c>
      <c r="AW116" s="29" t="str">
        <f t="shared" si="119"/>
        <v>#DIV/0!</v>
      </c>
      <c r="AX116" s="29" t="str">
        <f t="shared" si="119"/>
        <v>#DIV/0!</v>
      </c>
      <c r="AY116" s="29" t="str">
        <f t="shared" si="119"/>
        <v>#DIV/0!</v>
      </c>
      <c r="AZ116" s="29" t="str">
        <f t="shared" si="119"/>
        <v>#DIV/0!</v>
      </c>
      <c r="BA116" s="29" t="str">
        <f t="shared" si="119"/>
        <v>#DIV/0!</v>
      </c>
      <c r="BB116" s="29" t="str">
        <f t="shared" si="119"/>
        <v>#DIV/0!</v>
      </c>
      <c r="BC116" s="29" t="str">
        <f t="shared" si="119"/>
        <v>#DIV/0!</v>
      </c>
      <c r="BD116" s="29" t="str">
        <f t="shared" si="119"/>
        <v>#DIV/0!</v>
      </c>
      <c r="BE116" s="29" t="str">
        <f t="shared" si="119"/>
        <v>#DIV/0!</v>
      </c>
      <c r="BF116" s="29" t="str">
        <f t="shared" si="119"/>
        <v>#DIV/0!</v>
      </c>
      <c r="BG116" s="29" t="str">
        <f t="shared" si="119"/>
        <v>#DIV/0!</v>
      </c>
      <c r="BH116" s="29" t="str">
        <f t="shared" si="119"/>
        <v>#DIV/0!</v>
      </c>
      <c r="BI116" s="29" t="str">
        <f t="shared" si="119"/>
        <v>#DIV/0!</v>
      </c>
      <c r="BJ116" s="29" t="str">
        <f t="shared" si="119"/>
        <v>#DIV/0!</v>
      </c>
      <c r="BK116" s="29" t="str">
        <f t="shared" si="119"/>
        <v>#DIV/0!</v>
      </c>
      <c r="BL116" s="29" t="str">
        <f t="shared" si="119"/>
        <v>#DIV/0!</v>
      </c>
      <c r="BM116" s="29" t="str">
        <f t="shared" si="3"/>
        <v>#DIV/0!</v>
      </c>
    </row>
    <row r="117">
      <c r="A117" s="16" t="str">
        <f>IFERROR(__xludf.DUMMYFUNCTION("IFERROR(SPARKLINE(SORT(MAP(TRANSPOSE(AQ117:BL117), LAMBDA(val, IF(ISNUMBER(val), PERCENTRANK(AQ117:BL117, val)+0.01, 0))), SEQUENCE(COLUMNS(AQ117:BL117)), FALSE), {""charttype"",""column""; ""color"",""chartreuse""; ""ymin"", 0; ""ymax"", 1.01; ""highcolo"&amp;"r"", ""darkgreen""; ""lowcolor"", ""red""}), """")"),"")</f>
        <v/>
      </c>
      <c r="B117" s="17" t="str">
        <f t="shared" si="4"/>
        <v/>
      </c>
      <c r="C117" s="1" t="s">
        <v>562</v>
      </c>
      <c r="D117" s="34" t="str">
        <f>IFERROR(__xludf.DUMMYFUNCTION("IFERROR(GOOGLEFINANCE(C117, ""NAME""))"),"Abacus Global Management Inc")</f>
        <v>Abacus Global Management Inc</v>
      </c>
      <c r="E117" s="30" t="s">
        <v>231</v>
      </c>
      <c r="F117" s="33" t="str">
        <f>IFERROR(__xludf.DUMMYFUNCTION("( (GOOGLEFINANCE(C117, ""price"") - Q117) / Q117 ) / (R117 / 100)"),"Loading...")</f>
        <v>Loading...</v>
      </c>
      <c r="G117" s="20" t="str">
        <f>IFERROR(__xludf.DUMMYFUNCTION("AVERAGE(ARRAYFORMULA(100 * (QUERY(GOOGLEFINANCE(C117, ""high"", TODAY()-40, TODAY()), ""SELECT Col2 WHERE Col2 IS NOT NULL ORDER BY Col1 DESC LIMIT 20"", 0) / QUERY(GOOGLEFINANCE(C117, ""low"", TODAY()-40, TODAY()), ""SELECT Col2 WHERE Col2 IS NOT NULL OR"&amp;"DER BY Col1 DESC LIMIT 20"", 0) - 1)))"),"#N/A")</f>
        <v>#N/A</v>
      </c>
      <c r="H117" s="35" t="str">
        <f t="shared" si="6"/>
        <v/>
      </c>
      <c r="I117" s="36" t="str">
        <f t="shared" si="7"/>
        <v/>
      </c>
      <c r="J117" s="37" t="str">
        <f>IFERROR(__xludf.DUMMYFUNCTION("IFERROR(
  IF(C117="""",, 
    IFERROR(
      GOOGLEFINANCE(C117, ""price"") * GOOGLEFINANCE(C117, ""volumeavg""), 
      GOOGLEFINANCE(C117, ""price"") * AVERAGE(QUERY(GOOGLEFINANCE(C117, ""volume"", TODAY()-40, TODAY()), ""SELECT Col2 WHERE Col2 IS NOT "&amp;"NULL ORDER BY Col1 DESC LIMIT 20"", 0))
    )
  ), 
"""")"),"")</f>
        <v/>
      </c>
      <c r="K117" s="21" t="str">
        <f>IFERROR(__xludf.DUMMYFUNCTION("IFERROR(GOOGLEFINANCE(C117, ""changepct"") / 100, """")"),"")</f>
        <v/>
      </c>
      <c r="L117" s="21" t="str">
        <f>IFERROR(__xludf.DUMMYFUNCTION("IFERROR((GOOGLEFINANCE(C117, ""price"") / INDEX(GOOGLEFINANCE(C117, ""price"", TODAY()-7, TODAY()), 2, 2)) - 1, """")"),"")</f>
        <v/>
      </c>
      <c r="M117" s="21" t="str">
        <f>IFERROR(__xludf.DUMMYFUNCTION("IFERROR((GOOGLEFINANCE(C117, ""price"") / INDEX(GOOGLEFINANCE(C117, ""price"", EDATE(TODAY(), -1), TODAY()), 2, 2)) - 1, """")"),"")</f>
        <v/>
      </c>
      <c r="N117" s="21" t="str">
        <f>IFERROR(__xludf.DUMMYFUNCTION("IFERROR((GOOGLEFINANCE(C117, ""price"") / INDEX(GOOGLEFINANCE(C117, ""price"", EDATE(TODAY(), -3), TODAY()), 2, 2)) - 1, """")"),"")</f>
        <v/>
      </c>
      <c r="O117" s="21" t="str">
        <f>IFERROR(__xludf.DUMMYFUNCTION("IFERROR((GOOGLEFINANCE(C117, ""price"") / INDEX(GOOGLEFINANCE(C117, ""price"", EDATE(TODAY(), -6), TODAY()), 2, 2)) - 1, """")"),"")</f>
        <v/>
      </c>
      <c r="P117" s="21" t="str">
        <f>IFERROR(__xludf.DUMMYFUNCTION("IFERROR((GOOGLEFINANCE(C117, ""price"") / INDEX(GOOGLEFINANCE(C117, ""price"", EDATE(TODAY(), -12), TODAY()), 2, 2)) - 1, """")"),"")</f>
        <v/>
      </c>
      <c r="Q117" s="6" t="str">
        <f>IFERROR(__xludf.DUMMYFUNCTION("AVERAGE(QUERY(GOOGLEFINANCE(C117, ""price"", TODAY()-80, TODAY()), ""SELECT Col2 WHERE Col2 IS NOT NULL ORDER BY Col1 DESC LIMIT 50"", 0))"),"#N/A")</f>
        <v>#N/A</v>
      </c>
      <c r="R117" s="24" t="str">
        <f>IFERROR(__xludf.DUMMYFUNCTION("IFERROR(
  LET(
    data, QUERY(GOOGLEFINANCE(C117,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GOOGLEFINANCE(C117, ""price"")) * 100,
    IF(calc=0, G117, calc)
  ), 
G117)"),"#N/A")</f>
        <v>#N/A</v>
      </c>
      <c r="S117" s="8" t="s">
        <v>15</v>
      </c>
      <c r="T117" s="26" t="str">
        <f>IFERROR(__xludf.DUMMYFUNCTION("IFERROR(TRANSPOSE(QUERY(IFERROR(SORT(GOOGLEFINANCE(C117, ""price"", WORKDAY(TODAY(), -40), TODAY()), 1, FALSE)), ""select Col2 where Col2 is not null limit 22 label Col2 ''"", 0)), """")"),"")</f>
        <v/>
      </c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8"/>
      <c r="AO117" s="28"/>
      <c r="AP117" s="29"/>
      <c r="AQ117" s="29" t="str">
        <f t="shared" ref="AQ117:BL117" si="120">T117/T$2</f>
        <v>#N/A</v>
      </c>
      <c r="AR117" s="29" t="str">
        <f t="shared" si="120"/>
        <v>#DIV/0!</v>
      </c>
      <c r="AS117" s="29" t="str">
        <f t="shared" si="120"/>
        <v>#DIV/0!</v>
      </c>
      <c r="AT117" s="29" t="str">
        <f t="shared" si="120"/>
        <v>#DIV/0!</v>
      </c>
      <c r="AU117" s="29" t="str">
        <f t="shared" si="120"/>
        <v>#DIV/0!</v>
      </c>
      <c r="AV117" s="29" t="str">
        <f t="shared" si="120"/>
        <v>#DIV/0!</v>
      </c>
      <c r="AW117" s="29" t="str">
        <f t="shared" si="120"/>
        <v>#DIV/0!</v>
      </c>
      <c r="AX117" s="29" t="str">
        <f t="shared" si="120"/>
        <v>#DIV/0!</v>
      </c>
      <c r="AY117" s="29" t="str">
        <f t="shared" si="120"/>
        <v>#DIV/0!</v>
      </c>
      <c r="AZ117" s="29" t="str">
        <f t="shared" si="120"/>
        <v>#DIV/0!</v>
      </c>
      <c r="BA117" s="29" t="str">
        <f t="shared" si="120"/>
        <v>#DIV/0!</v>
      </c>
      <c r="BB117" s="29" t="str">
        <f t="shared" si="120"/>
        <v>#DIV/0!</v>
      </c>
      <c r="BC117" s="29" t="str">
        <f t="shared" si="120"/>
        <v>#DIV/0!</v>
      </c>
      <c r="BD117" s="29" t="str">
        <f t="shared" si="120"/>
        <v>#DIV/0!</v>
      </c>
      <c r="BE117" s="29" t="str">
        <f t="shared" si="120"/>
        <v>#DIV/0!</v>
      </c>
      <c r="BF117" s="29" t="str">
        <f t="shared" si="120"/>
        <v>#DIV/0!</v>
      </c>
      <c r="BG117" s="29" t="str">
        <f t="shared" si="120"/>
        <v>#DIV/0!</v>
      </c>
      <c r="BH117" s="29" t="str">
        <f t="shared" si="120"/>
        <v>#DIV/0!</v>
      </c>
      <c r="BI117" s="29" t="str">
        <f t="shared" si="120"/>
        <v>#DIV/0!</v>
      </c>
      <c r="BJ117" s="29" t="str">
        <f t="shared" si="120"/>
        <v>#DIV/0!</v>
      </c>
      <c r="BK117" s="29" t="str">
        <f t="shared" si="120"/>
        <v>#DIV/0!</v>
      </c>
      <c r="BL117" s="29" t="str">
        <f t="shared" si="120"/>
        <v>#DIV/0!</v>
      </c>
      <c r="BM117" s="29" t="str">
        <f t="shared" si="3"/>
        <v>#DIV/0!</v>
      </c>
    </row>
    <row r="118">
      <c r="A118" s="16" t="str">
        <f>IFERROR(__xludf.DUMMYFUNCTION("IFERROR(SPARKLINE(SORT(MAP(TRANSPOSE(AQ118:BL118), LAMBDA(val, IF(ISNUMBER(val), PERCENTRANK(AQ118:BL118, val)+0.01, 0))), SEQUENCE(COLUMNS(AQ118:BL118)), FALSE), {""charttype"",""column""; ""color"",""chartreuse""; ""ymin"", 0; ""ymax"", 1.01; ""highcolo"&amp;"r"", ""darkgreen""; ""lowcolor"", ""red""}), """")"),"")</f>
        <v/>
      </c>
      <c r="B118" s="17" t="str">
        <f t="shared" si="4"/>
        <v/>
      </c>
      <c r="C118" s="1" t="s">
        <v>569</v>
      </c>
      <c r="D118" s="34" t="str">
        <f>IFERROR(__xludf.DUMMYFUNCTION("IFERROR(GOOGLEFINANCE(C118, ""NAME""))"),"Pioneer Acquisition I Corp")</f>
        <v>Pioneer Acquisition I Corp</v>
      </c>
      <c r="E118" s="30" t="s">
        <v>161</v>
      </c>
      <c r="F118" s="33" t="str">
        <f>IFERROR(__xludf.DUMMYFUNCTION("( (GOOGLEFINANCE(C118, ""price"") - Q118) / Q118 ) / (R118 / 100)"),"Loading...")</f>
        <v>Loading...</v>
      </c>
      <c r="G118" s="20" t="str">
        <f>IFERROR(__xludf.DUMMYFUNCTION("AVERAGE(ARRAYFORMULA(100 * (QUERY(GOOGLEFINANCE(C118, ""high"", TODAY()-40, TODAY()), ""SELECT Col2 WHERE Col2 IS NOT NULL ORDER BY Col1 DESC LIMIT 20"", 0) / QUERY(GOOGLEFINANCE(C118, ""low"", TODAY()-40, TODAY()), ""SELECT Col2 WHERE Col2 IS NOT NULL OR"&amp;"DER BY Col1 DESC LIMIT 20"", 0) - 1)))"),"#N/A")</f>
        <v>#N/A</v>
      </c>
      <c r="H118" s="35" t="str">
        <f t="shared" si="6"/>
        <v/>
      </c>
      <c r="I118" s="36" t="str">
        <f t="shared" si="7"/>
        <v/>
      </c>
      <c r="J118" s="37" t="str">
        <f>IFERROR(__xludf.DUMMYFUNCTION("IFERROR(
  IF(C118="""",, 
    IFERROR(
      GOOGLEFINANCE(C118, ""price"") * GOOGLEFINANCE(C118, ""volumeavg""), 
      GOOGLEFINANCE(C118, ""price"") * AVERAGE(QUERY(GOOGLEFINANCE(C118, ""volume"", TODAY()-40, TODAY()), ""SELECT Col2 WHERE Col2 IS NOT "&amp;"NULL ORDER BY Col1 DESC LIMIT 20"", 0))
    )
  ), 
"""")"),"")</f>
        <v/>
      </c>
      <c r="K118" s="21" t="str">
        <f>IFERROR(__xludf.DUMMYFUNCTION("IFERROR(GOOGLEFINANCE(C118, ""changepct"") / 100, """")"),"")</f>
        <v/>
      </c>
      <c r="L118" s="21" t="str">
        <f>IFERROR(__xludf.DUMMYFUNCTION("IFERROR((GOOGLEFINANCE(C118, ""price"") / INDEX(GOOGLEFINANCE(C118, ""price"", TODAY()-7, TODAY()), 2, 2)) - 1, """")"),"")</f>
        <v/>
      </c>
      <c r="M118" s="21" t="str">
        <f>IFERROR(__xludf.DUMMYFUNCTION("IFERROR((GOOGLEFINANCE(C118, ""price"") / INDEX(GOOGLEFINANCE(C118, ""price"", EDATE(TODAY(), -1), TODAY()), 2, 2)) - 1, """")"),"")</f>
        <v/>
      </c>
      <c r="N118" s="21" t="str">
        <f>IFERROR(__xludf.DUMMYFUNCTION("IFERROR((GOOGLEFINANCE(C118, ""price"") / INDEX(GOOGLEFINANCE(C118, ""price"", EDATE(TODAY(), -3), TODAY()), 2, 2)) - 1, """")"),"")</f>
        <v/>
      </c>
      <c r="O118" s="21" t="str">
        <f>IFERROR(__xludf.DUMMYFUNCTION("IFERROR((GOOGLEFINANCE(C118, ""price"") / INDEX(GOOGLEFINANCE(C118, ""price"", EDATE(TODAY(), -6), TODAY()), 2, 2)) - 1, """")"),"")</f>
        <v/>
      </c>
      <c r="P118" s="21" t="str">
        <f>IFERROR(__xludf.DUMMYFUNCTION("IFERROR((GOOGLEFINANCE(C118, ""price"") / INDEX(GOOGLEFINANCE(C118, ""price"", EDATE(TODAY(), -12), TODAY()), 2, 2)) - 1, """")"),"")</f>
        <v/>
      </c>
      <c r="Q118" s="6" t="str">
        <f>IFERROR(__xludf.DUMMYFUNCTION("AVERAGE(QUERY(GOOGLEFINANCE(C118, ""price"", TODAY()-80, TODAY()), ""SELECT Col2 WHERE Col2 IS NOT NULL ORDER BY Col1 DESC LIMIT 50"", 0))"),"#N/A")</f>
        <v>#N/A</v>
      </c>
      <c r="R118" s="24" t="str">
        <f>IFERROR(__xludf.DUMMYFUNCTION("IFERROR(
  LET(
    data, QUERY(GOOGLEFINANCE(C118,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GOOGLEFINANCE(C118, ""price"")) * 100,
    IF(calc=0, G118, calc)
  ), 
G118)"),"#N/A")</f>
        <v>#N/A</v>
      </c>
      <c r="S118" s="8" t="s">
        <v>15</v>
      </c>
      <c r="T118" s="26" t="str">
        <f>IFERROR(__xludf.DUMMYFUNCTION("IFERROR(TRANSPOSE(QUERY(IFERROR(SORT(GOOGLEFINANCE(C118, ""price"", WORKDAY(TODAY(), -40), TODAY()), 1, FALSE)), ""select Col2 where Col2 is not null limit 22 label Col2 ''"", 0)), """")"),"")</f>
        <v/>
      </c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8"/>
      <c r="AO118" s="28"/>
      <c r="AP118" s="29"/>
      <c r="AQ118" s="29" t="str">
        <f t="shared" ref="AQ118:BL118" si="121">T118/T$2</f>
        <v>#N/A</v>
      </c>
      <c r="AR118" s="29" t="str">
        <f t="shared" si="121"/>
        <v>#DIV/0!</v>
      </c>
      <c r="AS118" s="29" t="str">
        <f t="shared" si="121"/>
        <v>#DIV/0!</v>
      </c>
      <c r="AT118" s="29" t="str">
        <f t="shared" si="121"/>
        <v>#DIV/0!</v>
      </c>
      <c r="AU118" s="29" t="str">
        <f t="shared" si="121"/>
        <v>#DIV/0!</v>
      </c>
      <c r="AV118" s="29" t="str">
        <f t="shared" si="121"/>
        <v>#DIV/0!</v>
      </c>
      <c r="AW118" s="29" t="str">
        <f t="shared" si="121"/>
        <v>#DIV/0!</v>
      </c>
      <c r="AX118" s="29" t="str">
        <f t="shared" si="121"/>
        <v>#DIV/0!</v>
      </c>
      <c r="AY118" s="29" t="str">
        <f t="shared" si="121"/>
        <v>#DIV/0!</v>
      </c>
      <c r="AZ118" s="29" t="str">
        <f t="shared" si="121"/>
        <v>#DIV/0!</v>
      </c>
      <c r="BA118" s="29" t="str">
        <f t="shared" si="121"/>
        <v>#DIV/0!</v>
      </c>
      <c r="BB118" s="29" t="str">
        <f t="shared" si="121"/>
        <v>#DIV/0!</v>
      </c>
      <c r="BC118" s="29" t="str">
        <f t="shared" si="121"/>
        <v>#DIV/0!</v>
      </c>
      <c r="BD118" s="29" t="str">
        <f t="shared" si="121"/>
        <v>#DIV/0!</v>
      </c>
      <c r="BE118" s="29" t="str">
        <f t="shared" si="121"/>
        <v>#DIV/0!</v>
      </c>
      <c r="BF118" s="29" t="str">
        <f t="shared" si="121"/>
        <v>#DIV/0!</v>
      </c>
      <c r="BG118" s="29" t="str">
        <f t="shared" si="121"/>
        <v>#DIV/0!</v>
      </c>
      <c r="BH118" s="29" t="str">
        <f t="shared" si="121"/>
        <v>#DIV/0!</v>
      </c>
      <c r="BI118" s="29" t="str">
        <f t="shared" si="121"/>
        <v>#DIV/0!</v>
      </c>
      <c r="BJ118" s="29" t="str">
        <f t="shared" si="121"/>
        <v>#DIV/0!</v>
      </c>
      <c r="BK118" s="29" t="str">
        <f t="shared" si="121"/>
        <v>#DIV/0!</v>
      </c>
      <c r="BL118" s="29" t="str">
        <f t="shared" si="121"/>
        <v>#DIV/0!</v>
      </c>
      <c r="BM118" s="29" t="str">
        <f t="shared" si="3"/>
        <v>#DIV/0!</v>
      </c>
    </row>
    <row r="119">
      <c r="A119" s="16" t="str">
        <f>IFERROR(__xludf.DUMMYFUNCTION("IFERROR(SPARKLINE(SORT(MAP(TRANSPOSE(AQ119:BL119), LAMBDA(val, IF(ISNUMBER(val), PERCENTRANK(AQ119:BL119, val)+0.01, 0))), SEQUENCE(COLUMNS(AQ119:BL119)), FALSE), {""charttype"",""column""; ""color"",""chartreuse""; ""ymin"", 0; ""ymax"", 1.01; ""highcolo"&amp;"r"", ""darkgreen""; ""lowcolor"", ""red""}), """")"),"")</f>
        <v/>
      </c>
      <c r="B119" s="17" t="str">
        <f t="shared" si="4"/>
        <v/>
      </c>
      <c r="C119" s="1" t="s">
        <v>576</v>
      </c>
      <c r="D119" s="34" t="str">
        <f>IFERROR(__xludf.DUMMYFUNCTION("IFERROR(GOOGLEFINANCE(C119, ""NAME""))"),"Royal Bank of Canada")</f>
        <v>Royal Bank of Canada</v>
      </c>
      <c r="E119" s="30" t="s">
        <v>236</v>
      </c>
      <c r="F119" s="33" t="str">
        <f>IFERROR(__xludf.DUMMYFUNCTION("( (GOOGLEFINANCE(C119, ""price"") - Q119) / Q119 ) / (R119 / 100)"),"Loading...")</f>
        <v>Loading...</v>
      </c>
      <c r="G119" s="20" t="str">
        <f>IFERROR(__xludf.DUMMYFUNCTION("AVERAGE(ARRAYFORMULA(100 * (QUERY(GOOGLEFINANCE(C119, ""high"", TODAY()-40, TODAY()), ""SELECT Col2 WHERE Col2 IS NOT NULL ORDER BY Col1 DESC LIMIT 20"", 0) / QUERY(GOOGLEFINANCE(C119, ""low"", TODAY()-40, TODAY()), ""SELECT Col2 WHERE Col2 IS NOT NULL OR"&amp;"DER BY Col1 DESC LIMIT 20"", 0) - 1)))"),"#N/A")</f>
        <v>#N/A</v>
      </c>
      <c r="H119" s="35" t="str">
        <f t="shared" si="6"/>
        <v/>
      </c>
      <c r="I119" s="36" t="str">
        <f t="shared" si="7"/>
        <v/>
      </c>
      <c r="J119" s="37" t="str">
        <f>IFERROR(__xludf.DUMMYFUNCTION("IFERROR(
  IF(C119="""",, 
    IFERROR(
      GOOGLEFINANCE(C119, ""price"") * GOOGLEFINANCE(C119, ""volumeavg""), 
      GOOGLEFINANCE(C119, ""price"") * AVERAGE(QUERY(GOOGLEFINANCE(C119, ""volume"", TODAY()-40, TODAY()), ""SELECT Col2 WHERE Col2 IS NOT "&amp;"NULL ORDER BY Col1 DESC LIMIT 20"", 0))
    )
  ), 
"""")"),"")</f>
        <v/>
      </c>
      <c r="K119" s="21" t="str">
        <f>IFERROR(__xludf.DUMMYFUNCTION("IFERROR(GOOGLEFINANCE(C119, ""changepct"") / 100, """")"),"")</f>
        <v/>
      </c>
      <c r="L119" s="21" t="str">
        <f>IFERROR(__xludf.DUMMYFUNCTION("IFERROR((GOOGLEFINANCE(C119, ""price"") / INDEX(GOOGLEFINANCE(C119, ""price"", TODAY()-7, TODAY()), 2, 2)) - 1, """")"),"")</f>
        <v/>
      </c>
      <c r="M119" s="21" t="str">
        <f>IFERROR(__xludf.DUMMYFUNCTION("IFERROR((GOOGLEFINANCE(C119, ""price"") / INDEX(GOOGLEFINANCE(C119, ""price"", EDATE(TODAY(), -1), TODAY()), 2, 2)) - 1, """")"),"")</f>
        <v/>
      </c>
      <c r="N119" s="21" t="str">
        <f>IFERROR(__xludf.DUMMYFUNCTION("IFERROR((GOOGLEFINANCE(C119, ""price"") / INDEX(GOOGLEFINANCE(C119, ""price"", EDATE(TODAY(), -3), TODAY()), 2, 2)) - 1, """")"),"")</f>
        <v/>
      </c>
      <c r="O119" s="21" t="str">
        <f>IFERROR(__xludf.DUMMYFUNCTION("IFERROR((GOOGLEFINANCE(C119, ""price"") / INDEX(GOOGLEFINANCE(C119, ""price"", EDATE(TODAY(), -6), TODAY()), 2, 2)) - 1, """")"),"")</f>
        <v/>
      </c>
      <c r="P119" s="21" t="str">
        <f>IFERROR(__xludf.DUMMYFUNCTION("IFERROR((GOOGLEFINANCE(C119, ""price"") / INDEX(GOOGLEFINANCE(C119, ""price"", EDATE(TODAY(), -12), TODAY()), 2, 2)) - 1, """")"),"")</f>
        <v/>
      </c>
      <c r="Q119" s="6" t="str">
        <f>IFERROR(__xludf.DUMMYFUNCTION("AVERAGE(QUERY(GOOGLEFINANCE(C119, ""price"", TODAY()-80, TODAY()), ""SELECT Col2 WHERE Col2 IS NOT NULL ORDER BY Col1 DESC LIMIT 50"", 0))"),"#N/A")</f>
        <v>#N/A</v>
      </c>
      <c r="R119" s="24" t="str">
        <f>IFERROR(__xludf.DUMMYFUNCTION("IFERROR(
  LET(
    data, QUERY(GOOGLEFINANCE(C119,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GOOGLEFINANCE(C119, ""price"")) * 100,
    IF(calc=0, G119, calc)
  ), 
G119)"),"#N/A")</f>
        <v>#N/A</v>
      </c>
      <c r="S119" s="8" t="s">
        <v>15</v>
      </c>
      <c r="T119" s="26" t="str">
        <f>IFERROR(__xludf.DUMMYFUNCTION("IFERROR(TRANSPOSE(QUERY(IFERROR(SORT(GOOGLEFINANCE(C119, ""price"", WORKDAY(TODAY(), -40), TODAY()), 1, FALSE)), ""select Col2 where Col2 is not null limit 22 label Col2 ''"", 0)), """")"),"")</f>
        <v/>
      </c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8"/>
      <c r="AO119" s="28"/>
      <c r="AP119" s="29"/>
      <c r="AQ119" s="29" t="str">
        <f t="shared" ref="AQ119:BL119" si="122">T119/T$2</f>
        <v>#N/A</v>
      </c>
      <c r="AR119" s="29" t="str">
        <f t="shared" si="122"/>
        <v>#DIV/0!</v>
      </c>
      <c r="AS119" s="29" t="str">
        <f t="shared" si="122"/>
        <v>#DIV/0!</v>
      </c>
      <c r="AT119" s="29" t="str">
        <f t="shared" si="122"/>
        <v>#DIV/0!</v>
      </c>
      <c r="AU119" s="29" t="str">
        <f t="shared" si="122"/>
        <v>#DIV/0!</v>
      </c>
      <c r="AV119" s="29" t="str">
        <f t="shared" si="122"/>
        <v>#DIV/0!</v>
      </c>
      <c r="AW119" s="29" t="str">
        <f t="shared" si="122"/>
        <v>#DIV/0!</v>
      </c>
      <c r="AX119" s="29" t="str">
        <f t="shared" si="122"/>
        <v>#DIV/0!</v>
      </c>
      <c r="AY119" s="29" t="str">
        <f t="shared" si="122"/>
        <v>#DIV/0!</v>
      </c>
      <c r="AZ119" s="29" t="str">
        <f t="shared" si="122"/>
        <v>#DIV/0!</v>
      </c>
      <c r="BA119" s="29" t="str">
        <f t="shared" si="122"/>
        <v>#DIV/0!</v>
      </c>
      <c r="BB119" s="29" t="str">
        <f t="shared" si="122"/>
        <v>#DIV/0!</v>
      </c>
      <c r="BC119" s="29" t="str">
        <f t="shared" si="122"/>
        <v>#DIV/0!</v>
      </c>
      <c r="BD119" s="29" t="str">
        <f t="shared" si="122"/>
        <v>#DIV/0!</v>
      </c>
      <c r="BE119" s="29" t="str">
        <f t="shared" si="122"/>
        <v>#DIV/0!</v>
      </c>
      <c r="BF119" s="29" t="str">
        <f t="shared" si="122"/>
        <v>#DIV/0!</v>
      </c>
      <c r="BG119" s="29" t="str">
        <f t="shared" si="122"/>
        <v>#DIV/0!</v>
      </c>
      <c r="BH119" s="29" t="str">
        <f t="shared" si="122"/>
        <v>#DIV/0!</v>
      </c>
      <c r="BI119" s="29" t="str">
        <f t="shared" si="122"/>
        <v>#DIV/0!</v>
      </c>
      <c r="BJ119" s="29" t="str">
        <f t="shared" si="122"/>
        <v>#DIV/0!</v>
      </c>
      <c r="BK119" s="29" t="str">
        <f t="shared" si="122"/>
        <v>#DIV/0!</v>
      </c>
      <c r="BL119" s="29" t="str">
        <f t="shared" si="122"/>
        <v>#DIV/0!</v>
      </c>
      <c r="BM119" s="29" t="str">
        <f t="shared" si="3"/>
        <v>#DIV/0!</v>
      </c>
    </row>
    <row r="120">
      <c r="A120" s="16" t="str">
        <f>IFERROR(__xludf.DUMMYFUNCTION("IFERROR(SPARKLINE(SORT(MAP(TRANSPOSE(AQ120:BL120), LAMBDA(val, IF(ISNUMBER(val), PERCENTRANK(AQ120:BL120, val)+0.01, 0))), SEQUENCE(COLUMNS(AQ120:BL120)), FALSE), {""charttype"",""column""; ""color"",""chartreuse""; ""ymin"", 0; ""ymax"", 1.01; ""highcolo"&amp;"r"", ""darkgreen""; ""lowcolor"", ""red""}), """")"),"")</f>
        <v/>
      </c>
      <c r="B120" s="17" t="str">
        <f t="shared" si="4"/>
        <v/>
      </c>
      <c r="C120" s="1" t="s">
        <v>580</v>
      </c>
      <c r="D120" s="34" t="str">
        <f>IFERROR(__xludf.DUMMYFUNCTION("IFERROR(GOOGLEFINANCE(C120, ""NAME""))"),"Carlyle Group Inc")</f>
        <v>Carlyle Group Inc</v>
      </c>
      <c r="E120" s="30" t="s">
        <v>64</v>
      </c>
      <c r="F120" s="33" t="str">
        <f>IFERROR(__xludf.DUMMYFUNCTION("( (GOOGLEFINANCE(C120, ""price"") - Q120) / Q120 ) / (R120 / 100)"),"Loading...")</f>
        <v>Loading...</v>
      </c>
      <c r="G120" s="20" t="str">
        <f>IFERROR(__xludf.DUMMYFUNCTION("AVERAGE(ARRAYFORMULA(100 * (QUERY(GOOGLEFINANCE(C120, ""high"", TODAY()-40, TODAY()), ""SELECT Col2 WHERE Col2 IS NOT NULL ORDER BY Col1 DESC LIMIT 20"", 0) / QUERY(GOOGLEFINANCE(C120, ""low"", TODAY()-40, TODAY()), ""SELECT Col2 WHERE Col2 IS NOT NULL OR"&amp;"DER BY Col1 DESC LIMIT 20"", 0) - 1)))"),"#N/A")</f>
        <v>#N/A</v>
      </c>
      <c r="H120" s="35" t="str">
        <f t="shared" si="6"/>
        <v/>
      </c>
      <c r="I120" s="36" t="str">
        <f t="shared" si="7"/>
        <v/>
      </c>
      <c r="J120" s="37" t="str">
        <f>IFERROR(__xludf.DUMMYFUNCTION("IFERROR(
  IF(C120="""",, 
    IFERROR(
      GOOGLEFINANCE(C120, ""price"") * GOOGLEFINANCE(C120, ""volumeavg""), 
      GOOGLEFINANCE(C120, ""price"") * AVERAGE(QUERY(GOOGLEFINANCE(C120, ""volume"", TODAY()-40, TODAY()), ""SELECT Col2 WHERE Col2 IS NOT "&amp;"NULL ORDER BY Col1 DESC LIMIT 20"", 0))
    )
  ), 
"""")"),"")</f>
        <v/>
      </c>
      <c r="K120" s="21" t="str">
        <f>IFERROR(__xludf.DUMMYFUNCTION("IFERROR(GOOGLEFINANCE(C120, ""changepct"") / 100, """")"),"")</f>
        <v/>
      </c>
      <c r="L120" s="21" t="str">
        <f>IFERROR(__xludf.DUMMYFUNCTION("IFERROR((GOOGLEFINANCE(C120, ""price"") / INDEX(GOOGLEFINANCE(C120, ""price"", TODAY()-7, TODAY()), 2, 2)) - 1, """")"),"")</f>
        <v/>
      </c>
      <c r="M120" s="21" t="str">
        <f>IFERROR(__xludf.DUMMYFUNCTION("IFERROR((GOOGLEFINANCE(C120, ""price"") / INDEX(GOOGLEFINANCE(C120, ""price"", EDATE(TODAY(), -1), TODAY()), 2, 2)) - 1, """")"),"")</f>
        <v/>
      </c>
      <c r="N120" s="21" t="str">
        <f>IFERROR(__xludf.DUMMYFUNCTION("IFERROR((GOOGLEFINANCE(C120, ""price"") / INDEX(GOOGLEFINANCE(C120, ""price"", EDATE(TODAY(), -3), TODAY()), 2, 2)) - 1, """")"),"")</f>
        <v/>
      </c>
      <c r="O120" s="21" t="str">
        <f>IFERROR(__xludf.DUMMYFUNCTION("IFERROR((GOOGLEFINANCE(C120, ""price"") / INDEX(GOOGLEFINANCE(C120, ""price"", EDATE(TODAY(), -6), TODAY()), 2, 2)) - 1, """")"),"")</f>
        <v/>
      </c>
      <c r="P120" s="21" t="str">
        <f>IFERROR(__xludf.DUMMYFUNCTION("IFERROR((GOOGLEFINANCE(C120, ""price"") / INDEX(GOOGLEFINANCE(C120, ""price"", EDATE(TODAY(), -12), TODAY()), 2, 2)) - 1, """")"),"")</f>
        <v/>
      </c>
      <c r="Q120" s="6" t="str">
        <f>IFERROR(__xludf.DUMMYFUNCTION("AVERAGE(QUERY(GOOGLEFINANCE(C120, ""price"", TODAY()-80, TODAY()), ""SELECT Col2 WHERE Col2 IS NOT NULL ORDER BY Col1 DESC LIMIT 50"", 0))"),"#N/A")</f>
        <v>#N/A</v>
      </c>
      <c r="R120" s="24" t="str">
        <f>IFERROR(__xludf.DUMMYFUNCTION("IFERROR(
  LET(
    data, QUERY(GOOGLEFINANCE(C120,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GOOGLEFINANCE(C120, ""price"")) * 100,
    IF(calc=0, G120, calc)
  ), 
G120)"),"#N/A")</f>
        <v>#N/A</v>
      </c>
      <c r="S120" s="8" t="s">
        <v>15</v>
      </c>
      <c r="T120" s="26" t="str">
        <f>IFERROR(__xludf.DUMMYFUNCTION("IFERROR(TRANSPOSE(QUERY(IFERROR(SORT(GOOGLEFINANCE(C120, ""price"", WORKDAY(TODAY(), -40), TODAY()), 1, FALSE)), ""select Col2 where Col2 is not null limit 22 label Col2 ''"", 0)), """")"),"")</f>
        <v/>
      </c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8"/>
      <c r="AO120" s="28"/>
      <c r="AP120" s="29"/>
      <c r="AQ120" s="29" t="str">
        <f t="shared" ref="AQ120:BL120" si="123">T120/T$2</f>
        <v>#N/A</v>
      </c>
      <c r="AR120" s="29" t="str">
        <f t="shared" si="123"/>
        <v>#DIV/0!</v>
      </c>
      <c r="AS120" s="29" t="str">
        <f t="shared" si="123"/>
        <v>#DIV/0!</v>
      </c>
      <c r="AT120" s="29" t="str">
        <f t="shared" si="123"/>
        <v>#DIV/0!</v>
      </c>
      <c r="AU120" s="29" t="str">
        <f t="shared" si="123"/>
        <v>#DIV/0!</v>
      </c>
      <c r="AV120" s="29" t="str">
        <f t="shared" si="123"/>
        <v>#DIV/0!</v>
      </c>
      <c r="AW120" s="29" t="str">
        <f t="shared" si="123"/>
        <v>#DIV/0!</v>
      </c>
      <c r="AX120" s="29" t="str">
        <f t="shared" si="123"/>
        <v>#DIV/0!</v>
      </c>
      <c r="AY120" s="29" t="str">
        <f t="shared" si="123"/>
        <v>#DIV/0!</v>
      </c>
      <c r="AZ120" s="29" t="str">
        <f t="shared" si="123"/>
        <v>#DIV/0!</v>
      </c>
      <c r="BA120" s="29" t="str">
        <f t="shared" si="123"/>
        <v>#DIV/0!</v>
      </c>
      <c r="BB120" s="29" t="str">
        <f t="shared" si="123"/>
        <v>#DIV/0!</v>
      </c>
      <c r="BC120" s="29" t="str">
        <f t="shared" si="123"/>
        <v>#DIV/0!</v>
      </c>
      <c r="BD120" s="29" t="str">
        <f t="shared" si="123"/>
        <v>#DIV/0!</v>
      </c>
      <c r="BE120" s="29" t="str">
        <f t="shared" si="123"/>
        <v>#DIV/0!</v>
      </c>
      <c r="BF120" s="29" t="str">
        <f t="shared" si="123"/>
        <v>#DIV/0!</v>
      </c>
      <c r="BG120" s="29" t="str">
        <f t="shared" si="123"/>
        <v>#DIV/0!</v>
      </c>
      <c r="BH120" s="29" t="str">
        <f t="shared" si="123"/>
        <v>#DIV/0!</v>
      </c>
      <c r="BI120" s="29" t="str">
        <f t="shared" si="123"/>
        <v>#DIV/0!</v>
      </c>
      <c r="BJ120" s="29" t="str">
        <f t="shared" si="123"/>
        <v>#DIV/0!</v>
      </c>
      <c r="BK120" s="29" t="str">
        <f t="shared" si="123"/>
        <v>#DIV/0!</v>
      </c>
      <c r="BL120" s="29" t="str">
        <f t="shared" si="123"/>
        <v>#DIV/0!</v>
      </c>
      <c r="BM120" s="29" t="str">
        <f t="shared" si="3"/>
        <v>#DIV/0!</v>
      </c>
    </row>
    <row r="121">
      <c r="A121" s="16" t="str">
        <f>IFERROR(__xludf.DUMMYFUNCTION("IFERROR(SPARKLINE(SORT(MAP(TRANSPOSE(AQ121:BL121), LAMBDA(val, IF(ISNUMBER(val), PERCENTRANK(AQ121:BL121, val)+0.01, 0))), SEQUENCE(COLUMNS(AQ121:BL121)), FALSE), {""charttype"",""column""; ""color"",""chartreuse""; ""ymin"", 0; ""ymax"", 1.01; ""highcolo"&amp;"r"", ""darkgreen""; ""lowcolor"", ""red""}), """")"),"")</f>
        <v/>
      </c>
      <c r="B121" s="17" t="str">
        <f t="shared" si="4"/>
        <v/>
      </c>
      <c r="C121" s="1" t="s">
        <v>584</v>
      </c>
      <c r="D121" s="34" t="str">
        <f>IFERROR(__xludf.DUMMYFUNCTION("IFERROR(GOOGLEFINANCE(C121, ""NAME""))"),"Art Technology Acquisition Units")</f>
        <v>Art Technology Acquisition Units</v>
      </c>
      <c r="E121" s="30" t="s">
        <v>161</v>
      </c>
      <c r="F121" s="33" t="str">
        <f>IFERROR(__xludf.DUMMYFUNCTION("( (GOOGLEFINANCE(C121, ""price"") - Q121) / Q121 ) / (R121 / 100)"),"Loading...")</f>
        <v>Loading...</v>
      </c>
      <c r="G121" s="20" t="str">
        <f>IFERROR(__xludf.DUMMYFUNCTION("AVERAGE(ARRAYFORMULA(100 * (QUERY(GOOGLEFINANCE(C121, ""high"", TODAY()-40, TODAY()), ""SELECT Col2 WHERE Col2 IS NOT NULL ORDER BY Col1 DESC LIMIT 20"", 0) / QUERY(GOOGLEFINANCE(C121, ""low"", TODAY()-40, TODAY()), ""SELECT Col2 WHERE Col2 IS NOT NULL OR"&amp;"DER BY Col1 DESC LIMIT 20"", 0) - 1)))"),"#N/A")</f>
        <v>#N/A</v>
      </c>
      <c r="H121" s="35" t="str">
        <f t="shared" si="6"/>
        <v/>
      </c>
      <c r="I121" s="36" t="str">
        <f t="shared" si="7"/>
        <v/>
      </c>
      <c r="J121" s="37" t="str">
        <f>IFERROR(__xludf.DUMMYFUNCTION("IFERROR(
  IF(C121="""",, 
    IFERROR(
      GOOGLEFINANCE(C121, ""price"") * GOOGLEFINANCE(C121, ""volumeavg""), 
      GOOGLEFINANCE(C121, ""price"") * AVERAGE(QUERY(GOOGLEFINANCE(C121, ""volume"", TODAY()-40, TODAY()), ""SELECT Col2 WHERE Col2 IS NOT "&amp;"NULL ORDER BY Col1 DESC LIMIT 20"", 0))
    )
  ), 
"""")"),"")</f>
        <v/>
      </c>
      <c r="K121" s="21" t="str">
        <f>IFERROR(__xludf.DUMMYFUNCTION("IFERROR(GOOGLEFINANCE(C121, ""changepct"") / 100, """")"),"")</f>
        <v/>
      </c>
      <c r="L121" s="21" t="str">
        <f>IFERROR(__xludf.DUMMYFUNCTION("IFERROR((GOOGLEFINANCE(C121, ""price"") / INDEX(GOOGLEFINANCE(C121, ""price"", TODAY()-7, TODAY()), 2, 2)) - 1, """")"),"")</f>
        <v/>
      </c>
      <c r="M121" s="21" t="str">
        <f>IFERROR(__xludf.DUMMYFUNCTION("IFERROR((GOOGLEFINANCE(C121, ""price"") / INDEX(GOOGLEFINANCE(C121, ""price"", EDATE(TODAY(), -1), TODAY()), 2, 2)) - 1, """")"),"")</f>
        <v/>
      </c>
      <c r="N121" s="21" t="str">
        <f>IFERROR(__xludf.DUMMYFUNCTION("IFERROR((GOOGLEFINANCE(C121, ""price"") / INDEX(GOOGLEFINANCE(C121, ""price"", EDATE(TODAY(), -3), TODAY()), 2, 2)) - 1, """")"),"")</f>
        <v/>
      </c>
      <c r="O121" s="21" t="str">
        <f>IFERROR(__xludf.DUMMYFUNCTION("IFERROR((GOOGLEFINANCE(C121, ""price"") / INDEX(GOOGLEFINANCE(C121, ""price"", EDATE(TODAY(), -6), TODAY()), 2, 2)) - 1, """")"),"")</f>
        <v/>
      </c>
      <c r="P121" s="21" t="str">
        <f>IFERROR(__xludf.DUMMYFUNCTION("IFERROR((GOOGLEFINANCE(C121, ""price"") / INDEX(GOOGLEFINANCE(C121, ""price"", EDATE(TODAY(), -12), TODAY()), 2, 2)) - 1, """")"),"")</f>
        <v/>
      </c>
      <c r="Q121" s="6" t="str">
        <f>IFERROR(__xludf.DUMMYFUNCTION("AVERAGE(QUERY(GOOGLEFINANCE(C121, ""price"", TODAY()-80, TODAY()), ""SELECT Col2 WHERE Col2 IS NOT NULL ORDER BY Col1 DESC LIMIT 50"", 0))"),"#N/A")</f>
        <v>#N/A</v>
      </c>
      <c r="R121" s="24" t="str">
        <f>IFERROR(__xludf.DUMMYFUNCTION("IFERROR(
  LET(
    data, QUERY(GOOGLEFINANCE(C121,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GOOGLEFINANCE(C121, ""price"")) * 100,
    IF(calc=0, G121, calc)
  ), 
G121)"),"#N/A")</f>
        <v>#N/A</v>
      </c>
      <c r="S121" s="8" t="s">
        <v>15</v>
      </c>
      <c r="T121" s="26" t="str">
        <f>IFERROR(__xludf.DUMMYFUNCTION("IFERROR(TRANSPOSE(QUERY(IFERROR(SORT(GOOGLEFINANCE(C121, ""price"", WORKDAY(TODAY(), -40), TODAY()), 1, FALSE)), ""select Col2 where Col2 is not null limit 22 label Col2 ''"", 0)), """")"),"")</f>
        <v/>
      </c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8"/>
      <c r="AO121" s="28"/>
      <c r="AP121" s="29"/>
      <c r="AQ121" s="29" t="str">
        <f t="shared" ref="AQ121:BL121" si="124">T121/T$2</f>
        <v>#N/A</v>
      </c>
      <c r="AR121" s="29" t="str">
        <f t="shared" si="124"/>
        <v>#DIV/0!</v>
      </c>
      <c r="AS121" s="29" t="str">
        <f t="shared" si="124"/>
        <v>#DIV/0!</v>
      </c>
      <c r="AT121" s="29" t="str">
        <f t="shared" si="124"/>
        <v>#DIV/0!</v>
      </c>
      <c r="AU121" s="29" t="str">
        <f t="shared" si="124"/>
        <v>#DIV/0!</v>
      </c>
      <c r="AV121" s="29" t="str">
        <f t="shared" si="124"/>
        <v>#DIV/0!</v>
      </c>
      <c r="AW121" s="29" t="str">
        <f t="shared" si="124"/>
        <v>#DIV/0!</v>
      </c>
      <c r="AX121" s="29" t="str">
        <f t="shared" si="124"/>
        <v>#DIV/0!</v>
      </c>
      <c r="AY121" s="29" t="str">
        <f t="shared" si="124"/>
        <v>#DIV/0!</v>
      </c>
      <c r="AZ121" s="29" t="str">
        <f t="shared" si="124"/>
        <v>#DIV/0!</v>
      </c>
      <c r="BA121" s="29" t="str">
        <f t="shared" si="124"/>
        <v>#DIV/0!</v>
      </c>
      <c r="BB121" s="29" t="str">
        <f t="shared" si="124"/>
        <v>#DIV/0!</v>
      </c>
      <c r="BC121" s="29" t="str">
        <f t="shared" si="124"/>
        <v>#DIV/0!</v>
      </c>
      <c r="BD121" s="29" t="str">
        <f t="shared" si="124"/>
        <v>#DIV/0!</v>
      </c>
      <c r="BE121" s="29" t="str">
        <f t="shared" si="124"/>
        <v>#DIV/0!</v>
      </c>
      <c r="BF121" s="29" t="str">
        <f t="shared" si="124"/>
        <v>#DIV/0!</v>
      </c>
      <c r="BG121" s="29" t="str">
        <f t="shared" si="124"/>
        <v>#DIV/0!</v>
      </c>
      <c r="BH121" s="29" t="str">
        <f t="shared" si="124"/>
        <v>#DIV/0!</v>
      </c>
      <c r="BI121" s="29" t="str">
        <f t="shared" si="124"/>
        <v>#DIV/0!</v>
      </c>
      <c r="BJ121" s="29" t="str">
        <f t="shared" si="124"/>
        <v>#DIV/0!</v>
      </c>
      <c r="BK121" s="29" t="str">
        <f t="shared" si="124"/>
        <v>#DIV/0!</v>
      </c>
      <c r="BL121" s="29" t="str">
        <f t="shared" si="124"/>
        <v>#DIV/0!</v>
      </c>
      <c r="BM121" s="29" t="str">
        <f t="shared" si="3"/>
        <v>#DIV/0!</v>
      </c>
    </row>
    <row r="122">
      <c r="A122" s="16" t="str">
        <f>IFERROR(__xludf.DUMMYFUNCTION("IFERROR(SPARKLINE(SORT(MAP(TRANSPOSE(AQ122:BL122), LAMBDA(val, IF(ISNUMBER(val), PERCENTRANK(AQ122:BL122, val)+0.01, 0))), SEQUENCE(COLUMNS(AQ122:BL122)), FALSE), {""charttype"",""column""; ""color"",""chartreuse""; ""ymin"", 0; ""ymax"", 1.01; ""highcolo"&amp;"r"", ""darkgreen""; ""lowcolor"", ""red""}), """")"),"")</f>
        <v/>
      </c>
      <c r="B122" s="17" t="str">
        <f t="shared" si="4"/>
        <v/>
      </c>
      <c r="C122" s="1" t="s">
        <v>591</v>
      </c>
      <c r="D122" s="34" t="str">
        <f>IFERROR(__xludf.DUMMYFUNCTION("IFERROR(GOOGLEFINANCE(C122, ""NAME""))"),"Genworth Financial Inc")</f>
        <v>Genworth Financial Inc</v>
      </c>
      <c r="E122" s="30" t="s">
        <v>231</v>
      </c>
      <c r="F122" s="33" t="str">
        <f>IFERROR(__xludf.DUMMYFUNCTION("( (GOOGLEFINANCE(C122, ""price"") - Q122) / Q122 ) / (R122 / 100)"),"Loading...")</f>
        <v>Loading...</v>
      </c>
      <c r="G122" s="20" t="str">
        <f>IFERROR(__xludf.DUMMYFUNCTION("AVERAGE(ARRAYFORMULA(100 * (QUERY(GOOGLEFINANCE(C122, ""high"", TODAY()-40, TODAY()), ""SELECT Col2 WHERE Col2 IS NOT NULL ORDER BY Col1 DESC LIMIT 20"", 0) / QUERY(GOOGLEFINANCE(C122, ""low"", TODAY()-40, TODAY()), ""SELECT Col2 WHERE Col2 IS NOT NULL OR"&amp;"DER BY Col1 DESC LIMIT 20"", 0) - 1)))"),"#N/A")</f>
        <v>#N/A</v>
      </c>
      <c r="H122" s="35" t="str">
        <f t="shared" si="6"/>
        <v/>
      </c>
      <c r="I122" s="36" t="str">
        <f t="shared" si="7"/>
        <v/>
      </c>
      <c r="J122" s="37" t="str">
        <f>IFERROR(__xludf.DUMMYFUNCTION("IFERROR(
  IF(C122="""",, 
    IFERROR(
      GOOGLEFINANCE(C122, ""price"") * GOOGLEFINANCE(C122, ""volumeavg""), 
      GOOGLEFINANCE(C122, ""price"") * AVERAGE(QUERY(GOOGLEFINANCE(C122, ""volume"", TODAY()-40, TODAY()), ""SELECT Col2 WHERE Col2 IS NOT "&amp;"NULL ORDER BY Col1 DESC LIMIT 20"", 0))
    )
  ), 
"""")"),"")</f>
        <v/>
      </c>
      <c r="K122" s="21" t="str">
        <f>IFERROR(__xludf.DUMMYFUNCTION("IFERROR(GOOGLEFINANCE(C122, ""changepct"") / 100, """")"),"")</f>
        <v/>
      </c>
      <c r="L122" s="21" t="str">
        <f>IFERROR(__xludf.DUMMYFUNCTION("IFERROR((GOOGLEFINANCE(C122, ""price"") / INDEX(GOOGLEFINANCE(C122, ""price"", TODAY()-7, TODAY()), 2, 2)) - 1, """")"),"")</f>
        <v/>
      </c>
      <c r="M122" s="21" t="str">
        <f>IFERROR(__xludf.DUMMYFUNCTION("IFERROR((GOOGLEFINANCE(C122, ""price"") / INDEX(GOOGLEFINANCE(C122, ""price"", EDATE(TODAY(), -1), TODAY()), 2, 2)) - 1, """")"),"")</f>
        <v/>
      </c>
      <c r="N122" s="21" t="str">
        <f>IFERROR(__xludf.DUMMYFUNCTION("IFERROR((GOOGLEFINANCE(C122, ""price"") / INDEX(GOOGLEFINANCE(C122, ""price"", EDATE(TODAY(), -3), TODAY()), 2, 2)) - 1, """")"),"")</f>
        <v/>
      </c>
      <c r="O122" s="21" t="str">
        <f>IFERROR(__xludf.DUMMYFUNCTION("IFERROR((GOOGLEFINANCE(C122, ""price"") / INDEX(GOOGLEFINANCE(C122, ""price"", EDATE(TODAY(), -6), TODAY()), 2, 2)) - 1, """")"),"")</f>
        <v/>
      </c>
      <c r="P122" s="21" t="str">
        <f>IFERROR(__xludf.DUMMYFUNCTION("IFERROR((GOOGLEFINANCE(C122, ""price"") / INDEX(GOOGLEFINANCE(C122, ""price"", EDATE(TODAY(), -12), TODAY()), 2, 2)) - 1, """")"),"")</f>
        <v/>
      </c>
      <c r="Q122" s="6" t="str">
        <f>IFERROR(__xludf.DUMMYFUNCTION("AVERAGE(QUERY(GOOGLEFINANCE(C122, ""price"", TODAY()-80, TODAY()), ""SELECT Col2 WHERE Col2 IS NOT NULL ORDER BY Col1 DESC LIMIT 50"", 0))"),"#N/A")</f>
        <v>#N/A</v>
      </c>
      <c r="R122" s="24" t="str">
        <f>IFERROR(__xludf.DUMMYFUNCTION("IFERROR(
  LET(
    data, QUERY(GOOGLEFINANCE(C122,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GOOGLEFINANCE(C122, ""price"")) * 100,
    IF(calc=0, G122, calc)
  ), 
G122)"),"#N/A")</f>
        <v>#N/A</v>
      </c>
      <c r="S122" s="8" t="s">
        <v>15</v>
      </c>
      <c r="T122" s="26" t="str">
        <f>IFERROR(__xludf.DUMMYFUNCTION("IFERROR(TRANSPOSE(QUERY(IFERROR(SORT(GOOGLEFINANCE(C122, ""price"", WORKDAY(TODAY(), -40), TODAY()), 1, FALSE)), ""select Col2 where Col2 is not null limit 22 label Col2 ''"", 0)), """")"),"")</f>
        <v/>
      </c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8"/>
      <c r="AO122" s="28"/>
      <c r="AP122" s="29"/>
      <c r="AQ122" s="29" t="str">
        <f t="shared" ref="AQ122:BL122" si="125">T122/T$2</f>
        <v>#N/A</v>
      </c>
      <c r="AR122" s="29" t="str">
        <f t="shared" si="125"/>
        <v>#DIV/0!</v>
      </c>
      <c r="AS122" s="29" t="str">
        <f t="shared" si="125"/>
        <v>#DIV/0!</v>
      </c>
      <c r="AT122" s="29" t="str">
        <f t="shared" si="125"/>
        <v>#DIV/0!</v>
      </c>
      <c r="AU122" s="29" t="str">
        <f t="shared" si="125"/>
        <v>#DIV/0!</v>
      </c>
      <c r="AV122" s="29" t="str">
        <f t="shared" si="125"/>
        <v>#DIV/0!</v>
      </c>
      <c r="AW122" s="29" t="str">
        <f t="shared" si="125"/>
        <v>#DIV/0!</v>
      </c>
      <c r="AX122" s="29" t="str">
        <f t="shared" si="125"/>
        <v>#DIV/0!</v>
      </c>
      <c r="AY122" s="29" t="str">
        <f t="shared" si="125"/>
        <v>#DIV/0!</v>
      </c>
      <c r="AZ122" s="29" t="str">
        <f t="shared" si="125"/>
        <v>#DIV/0!</v>
      </c>
      <c r="BA122" s="29" t="str">
        <f t="shared" si="125"/>
        <v>#DIV/0!</v>
      </c>
      <c r="BB122" s="29" t="str">
        <f t="shared" si="125"/>
        <v>#DIV/0!</v>
      </c>
      <c r="BC122" s="29" t="str">
        <f t="shared" si="125"/>
        <v>#DIV/0!</v>
      </c>
      <c r="BD122" s="29" t="str">
        <f t="shared" si="125"/>
        <v>#DIV/0!</v>
      </c>
      <c r="BE122" s="29" t="str">
        <f t="shared" si="125"/>
        <v>#DIV/0!</v>
      </c>
      <c r="BF122" s="29" t="str">
        <f t="shared" si="125"/>
        <v>#DIV/0!</v>
      </c>
      <c r="BG122" s="29" t="str">
        <f t="shared" si="125"/>
        <v>#DIV/0!</v>
      </c>
      <c r="BH122" s="29" t="str">
        <f t="shared" si="125"/>
        <v>#DIV/0!</v>
      </c>
      <c r="BI122" s="29" t="str">
        <f t="shared" si="125"/>
        <v>#DIV/0!</v>
      </c>
      <c r="BJ122" s="29" t="str">
        <f t="shared" si="125"/>
        <v>#DIV/0!</v>
      </c>
      <c r="BK122" s="29" t="str">
        <f t="shared" si="125"/>
        <v>#DIV/0!</v>
      </c>
      <c r="BL122" s="29" t="str">
        <f t="shared" si="125"/>
        <v>#DIV/0!</v>
      </c>
      <c r="BM122" s="29" t="str">
        <f t="shared" si="3"/>
        <v>#DIV/0!</v>
      </c>
    </row>
    <row r="123">
      <c r="A123" s="16" t="str">
        <f>IFERROR(__xludf.DUMMYFUNCTION("IFERROR(SPARKLINE(SORT(MAP(TRANSPOSE(AQ123:BL123), LAMBDA(val, IF(ISNUMBER(val), PERCENTRANK(AQ123:BL123, val)+0.01, 0))), SEQUENCE(COLUMNS(AQ123:BL123)), FALSE), {""charttype"",""column""; ""color"",""chartreuse""; ""ymin"", 0; ""ymax"", 1.01; ""highcolo"&amp;"r"", ""darkgreen""; ""lowcolor"", ""red""}), """")"),"")</f>
        <v/>
      </c>
      <c r="B123" s="17" t="str">
        <f t="shared" si="4"/>
        <v/>
      </c>
      <c r="C123" s="1" t="s">
        <v>596</v>
      </c>
      <c r="D123" s="34" t="str">
        <f>IFERROR(__xludf.DUMMYFUNCTION("IFERROR(GOOGLEFINANCE(C123, ""NAME""))"),"Robinhood Markets Inc")</f>
        <v>Robinhood Markets Inc</v>
      </c>
      <c r="E123" s="30" t="s">
        <v>77</v>
      </c>
      <c r="F123" s="33" t="str">
        <f>IFERROR(__xludf.DUMMYFUNCTION("( (GOOGLEFINANCE(C123, ""price"") - Q123) / Q123 ) / (R123 / 100)"),"Loading...")</f>
        <v>Loading...</v>
      </c>
      <c r="G123" s="20" t="str">
        <f>IFERROR(__xludf.DUMMYFUNCTION("AVERAGE(ARRAYFORMULA(100 * (QUERY(GOOGLEFINANCE(C123, ""high"", TODAY()-40, TODAY()), ""SELECT Col2 WHERE Col2 IS NOT NULL ORDER BY Col1 DESC LIMIT 20"", 0) / QUERY(GOOGLEFINANCE(C123, ""low"", TODAY()-40, TODAY()), ""SELECT Col2 WHERE Col2 IS NOT NULL OR"&amp;"DER BY Col1 DESC LIMIT 20"", 0) - 1)))"),"#N/A")</f>
        <v>#N/A</v>
      </c>
      <c r="H123" s="35" t="str">
        <f t="shared" si="6"/>
        <v/>
      </c>
      <c r="I123" s="36" t="str">
        <f t="shared" si="7"/>
        <v/>
      </c>
      <c r="J123" s="37" t="str">
        <f>IFERROR(__xludf.DUMMYFUNCTION("IFERROR(
  IF(C123="""",, 
    IFERROR(
      GOOGLEFINANCE(C123, ""price"") * GOOGLEFINANCE(C123, ""volumeavg""), 
      GOOGLEFINANCE(C123, ""price"") * AVERAGE(QUERY(GOOGLEFINANCE(C123, ""volume"", TODAY()-40, TODAY()), ""SELECT Col2 WHERE Col2 IS NOT "&amp;"NULL ORDER BY Col1 DESC LIMIT 20"", 0))
    )
  ), 
"""")"),"")</f>
        <v/>
      </c>
      <c r="K123" s="21" t="str">
        <f>IFERROR(__xludf.DUMMYFUNCTION("IFERROR(GOOGLEFINANCE(C123, ""changepct"") / 100, """")"),"")</f>
        <v/>
      </c>
      <c r="L123" s="21" t="str">
        <f>IFERROR(__xludf.DUMMYFUNCTION("IFERROR((GOOGLEFINANCE(C123, ""price"") / INDEX(GOOGLEFINANCE(C123, ""price"", TODAY()-7, TODAY()), 2, 2)) - 1, """")"),"")</f>
        <v/>
      </c>
      <c r="M123" s="21" t="str">
        <f>IFERROR(__xludf.DUMMYFUNCTION("IFERROR((GOOGLEFINANCE(C123, ""price"") / INDEX(GOOGLEFINANCE(C123, ""price"", EDATE(TODAY(), -1), TODAY()), 2, 2)) - 1, """")"),"")</f>
        <v/>
      </c>
      <c r="N123" s="21" t="str">
        <f>IFERROR(__xludf.DUMMYFUNCTION("IFERROR((GOOGLEFINANCE(C123, ""price"") / INDEX(GOOGLEFINANCE(C123, ""price"", EDATE(TODAY(), -3), TODAY()), 2, 2)) - 1, """")"),"")</f>
        <v/>
      </c>
      <c r="O123" s="21" t="str">
        <f>IFERROR(__xludf.DUMMYFUNCTION("IFERROR((GOOGLEFINANCE(C123, ""price"") / INDEX(GOOGLEFINANCE(C123, ""price"", EDATE(TODAY(), -6), TODAY()), 2, 2)) - 1, """")"),"")</f>
        <v/>
      </c>
      <c r="P123" s="21" t="str">
        <f>IFERROR(__xludf.DUMMYFUNCTION("IFERROR((GOOGLEFINANCE(C123, ""price"") / INDEX(GOOGLEFINANCE(C123, ""price"", EDATE(TODAY(), -12), TODAY()), 2, 2)) - 1, """")"),"")</f>
        <v/>
      </c>
      <c r="Q123" s="6" t="str">
        <f>IFERROR(__xludf.DUMMYFUNCTION("AVERAGE(QUERY(GOOGLEFINANCE(C123, ""price"", TODAY()-80, TODAY()), ""SELECT Col2 WHERE Col2 IS NOT NULL ORDER BY Col1 DESC LIMIT 50"", 0))"),"#N/A")</f>
        <v>#N/A</v>
      </c>
      <c r="R123" s="24" t="str">
        <f>IFERROR(__xludf.DUMMYFUNCTION("IFERROR(
  LET(
    data, QUERY(GOOGLEFINANCE(C123,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GOOGLEFINANCE(C123, ""price"")) * 100,
    IF(calc=0, G123, calc)
  ), 
G123)"),"#N/A")</f>
        <v>#N/A</v>
      </c>
      <c r="S123" s="8" t="s">
        <v>15</v>
      </c>
      <c r="T123" s="26" t="str">
        <f>IFERROR(__xludf.DUMMYFUNCTION("IFERROR(TRANSPOSE(QUERY(IFERROR(SORT(GOOGLEFINANCE(C123, ""price"", WORKDAY(TODAY(), -40), TODAY()), 1, FALSE)), ""select Col2 where Col2 is not null limit 22 label Col2 ''"", 0)), """")"),"")</f>
        <v/>
      </c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8"/>
      <c r="AO123" s="28"/>
      <c r="AP123" s="29"/>
      <c r="AQ123" s="29" t="str">
        <f t="shared" ref="AQ123:BL123" si="126">T123/T$2</f>
        <v>#N/A</v>
      </c>
      <c r="AR123" s="29" t="str">
        <f t="shared" si="126"/>
        <v>#DIV/0!</v>
      </c>
      <c r="AS123" s="29" t="str">
        <f t="shared" si="126"/>
        <v>#DIV/0!</v>
      </c>
      <c r="AT123" s="29" t="str">
        <f t="shared" si="126"/>
        <v>#DIV/0!</v>
      </c>
      <c r="AU123" s="29" t="str">
        <f t="shared" si="126"/>
        <v>#DIV/0!</v>
      </c>
      <c r="AV123" s="29" t="str">
        <f t="shared" si="126"/>
        <v>#DIV/0!</v>
      </c>
      <c r="AW123" s="29" t="str">
        <f t="shared" si="126"/>
        <v>#DIV/0!</v>
      </c>
      <c r="AX123" s="29" t="str">
        <f t="shared" si="126"/>
        <v>#DIV/0!</v>
      </c>
      <c r="AY123" s="29" t="str">
        <f t="shared" si="126"/>
        <v>#DIV/0!</v>
      </c>
      <c r="AZ123" s="29" t="str">
        <f t="shared" si="126"/>
        <v>#DIV/0!</v>
      </c>
      <c r="BA123" s="29" t="str">
        <f t="shared" si="126"/>
        <v>#DIV/0!</v>
      </c>
      <c r="BB123" s="29" t="str">
        <f t="shared" si="126"/>
        <v>#DIV/0!</v>
      </c>
      <c r="BC123" s="29" t="str">
        <f t="shared" si="126"/>
        <v>#DIV/0!</v>
      </c>
      <c r="BD123" s="29" t="str">
        <f t="shared" si="126"/>
        <v>#DIV/0!</v>
      </c>
      <c r="BE123" s="29" t="str">
        <f t="shared" si="126"/>
        <v>#DIV/0!</v>
      </c>
      <c r="BF123" s="29" t="str">
        <f t="shared" si="126"/>
        <v>#DIV/0!</v>
      </c>
      <c r="BG123" s="29" t="str">
        <f t="shared" si="126"/>
        <v>#DIV/0!</v>
      </c>
      <c r="BH123" s="29" t="str">
        <f t="shared" si="126"/>
        <v>#DIV/0!</v>
      </c>
      <c r="BI123" s="29" t="str">
        <f t="shared" si="126"/>
        <v>#DIV/0!</v>
      </c>
      <c r="BJ123" s="29" t="str">
        <f t="shared" si="126"/>
        <v>#DIV/0!</v>
      </c>
      <c r="BK123" s="29" t="str">
        <f t="shared" si="126"/>
        <v>#DIV/0!</v>
      </c>
      <c r="BL123" s="29" t="str">
        <f t="shared" si="126"/>
        <v>#DIV/0!</v>
      </c>
      <c r="BM123" s="29" t="str">
        <f t="shared" si="3"/>
        <v>#DIV/0!</v>
      </c>
    </row>
    <row r="124">
      <c r="A124" s="16" t="str">
        <f>IFERROR(__xludf.DUMMYFUNCTION("IFERROR(SPARKLINE(SORT(MAP(TRANSPOSE(AQ124:BL124), LAMBDA(val, IF(ISNUMBER(val), PERCENTRANK(AQ124:BL124, val)+0.01, 0))), SEQUENCE(COLUMNS(AQ124:BL124)), FALSE), {""charttype"",""column""; ""color"",""chartreuse""; ""ymin"", 0; ""ymax"", 1.01; ""highcolo"&amp;"r"", ""darkgreen""; ""lowcolor"", ""red""}), """")"),"")</f>
        <v/>
      </c>
      <c r="B124" s="17" t="str">
        <f t="shared" si="4"/>
        <v/>
      </c>
      <c r="C124" s="1" t="s">
        <v>600</v>
      </c>
      <c r="D124" s="34" t="str">
        <f>IFERROR(__xludf.DUMMYFUNCTION("IFERROR(GOOGLEFINANCE(C124, ""NAME""))"),"Nuveen Multi-Asset Income Fund")</f>
        <v>Nuveen Multi-Asset Income Fund</v>
      </c>
      <c r="E124" s="30" t="s">
        <v>64</v>
      </c>
      <c r="F124" s="33" t="str">
        <f>IFERROR(__xludf.DUMMYFUNCTION("( (GOOGLEFINANCE(C124, ""price"") - Q124) / Q124 ) / (R124 / 100)"),"Loading...")</f>
        <v>Loading...</v>
      </c>
      <c r="G124" s="20" t="str">
        <f>IFERROR(__xludf.DUMMYFUNCTION("AVERAGE(ARRAYFORMULA(100 * (QUERY(GOOGLEFINANCE(C124, ""high"", TODAY()-40, TODAY()), ""SELECT Col2 WHERE Col2 IS NOT NULL ORDER BY Col1 DESC LIMIT 20"", 0) / QUERY(GOOGLEFINANCE(C124, ""low"", TODAY()-40, TODAY()), ""SELECT Col2 WHERE Col2 IS NOT NULL OR"&amp;"DER BY Col1 DESC LIMIT 20"", 0) - 1)))"),"#N/A")</f>
        <v>#N/A</v>
      </c>
      <c r="H124" s="35" t="str">
        <f t="shared" si="6"/>
        <v/>
      </c>
      <c r="I124" s="36" t="str">
        <f t="shared" si="7"/>
        <v/>
      </c>
      <c r="J124" s="37" t="str">
        <f>IFERROR(__xludf.DUMMYFUNCTION("IFERROR(
  IF(C124="""",, 
    IFERROR(
      GOOGLEFINANCE(C124, ""price"") * GOOGLEFINANCE(C124, ""volumeavg""), 
      GOOGLEFINANCE(C124, ""price"") * AVERAGE(QUERY(GOOGLEFINANCE(C124, ""volume"", TODAY()-40, TODAY()), ""SELECT Col2 WHERE Col2 IS NOT "&amp;"NULL ORDER BY Col1 DESC LIMIT 20"", 0))
    )
  ), 
"""")"),"")</f>
        <v/>
      </c>
      <c r="K124" s="21" t="str">
        <f>IFERROR(__xludf.DUMMYFUNCTION("IFERROR(GOOGLEFINANCE(C124, ""changepct"") / 100, """")"),"")</f>
        <v/>
      </c>
      <c r="L124" s="21" t="str">
        <f>IFERROR(__xludf.DUMMYFUNCTION("IFERROR((GOOGLEFINANCE(C124, ""price"") / INDEX(GOOGLEFINANCE(C124, ""price"", TODAY()-7, TODAY()), 2, 2)) - 1, """")"),"")</f>
        <v/>
      </c>
      <c r="M124" s="21" t="str">
        <f>IFERROR(__xludf.DUMMYFUNCTION("IFERROR((GOOGLEFINANCE(C124, ""price"") / INDEX(GOOGLEFINANCE(C124, ""price"", EDATE(TODAY(), -1), TODAY()), 2, 2)) - 1, """")"),"")</f>
        <v/>
      </c>
      <c r="N124" s="21" t="str">
        <f>IFERROR(__xludf.DUMMYFUNCTION("IFERROR((GOOGLEFINANCE(C124, ""price"") / INDEX(GOOGLEFINANCE(C124, ""price"", EDATE(TODAY(), -3), TODAY()), 2, 2)) - 1, """")"),"")</f>
        <v/>
      </c>
      <c r="O124" s="21" t="str">
        <f>IFERROR(__xludf.DUMMYFUNCTION("IFERROR((GOOGLEFINANCE(C124, ""price"") / INDEX(GOOGLEFINANCE(C124, ""price"", EDATE(TODAY(), -6), TODAY()), 2, 2)) - 1, """")"),"")</f>
        <v/>
      </c>
      <c r="P124" s="21" t="str">
        <f>IFERROR(__xludf.DUMMYFUNCTION("IFERROR((GOOGLEFINANCE(C124, ""price"") / INDEX(GOOGLEFINANCE(C124, ""price"", EDATE(TODAY(), -12), TODAY()), 2, 2)) - 1, """")"),"")</f>
        <v/>
      </c>
      <c r="Q124" s="6" t="str">
        <f>IFERROR(__xludf.DUMMYFUNCTION("AVERAGE(QUERY(GOOGLEFINANCE(C124, ""price"", TODAY()-80, TODAY()), ""SELECT Col2 WHERE Col2 IS NOT NULL ORDER BY Col1 DESC LIMIT 50"", 0))"),"#N/A")</f>
        <v>#N/A</v>
      </c>
      <c r="R124" s="24" t="str">
        <f>IFERROR(__xludf.DUMMYFUNCTION("IFERROR(
  LET(
    data, QUERY(GOOGLEFINANCE(C124,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GOOGLEFINANCE(C124, ""price"")) * 100,
    IF(calc=0, G124, calc)
  ), 
G124)"),"#N/A")</f>
        <v>#N/A</v>
      </c>
      <c r="S124" s="8" t="s">
        <v>15</v>
      </c>
      <c r="T124" s="26" t="str">
        <f>IFERROR(__xludf.DUMMYFUNCTION("IFERROR(TRANSPOSE(QUERY(IFERROR(SORT(GOOGLEFINANCE(C124, ""price"", WORKDAY(TODAY(), -40), TODAY()), 1, FALSE)), ""select Col2 where Col2 is not null limit 22 label Col2 ''"", 0)), """")"),"")</f>
        <v/>
      </c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8"/>
      <c r="AO124" s="28"/>
      <c r="AP124" s="29"/>
      <c r="AQ124" s="29" t="str">
        <f t="shared" ref="AQ124:BL124" si="127">T124/T$2</f>
        <v>#N/A</v>
      </c>
      <c r="AR124" s="29" t="str">
        <f t="shared" si="127"/>
        <v>#DIV/0!</v>
      </c>
      <c r="AS124" s="29" t="str">
        <f t="shared" si="127"/>
        <v>#DIV/0!</v>
      </c>
      <c r="AT124" s="29" t="str">
        <f t="shared" si="127"/>
        <v>#DIV/0!</v>
      </c>
      <c r="AU124" s="29" t="str">
        <f t="shared" si="127"/>
        <v>#DIV/0!</v>
      </c>
      <c r="AV124" s="29" t="str">
        <f t="shared" si="127"/>
        <v>#DIV/0!</v>
      </c>
      <c r="AW124" s="29" t="str">
        <f t="shared" si="127"/>
        <v>#DIV/0!</v>
      </c>
      <c r="AX124" s="29" t="str">
        <f t="shared" si="127"/>
        <v>#DIV/0!</v>
      </c>
      <c r="AY124" s="29" t="str">
        <f t="shared" si="127"/>
        <v>#DIV/0!</v>
      </c>
      <c r="AZ124" s="29" t="str">
        <f t="shared" si="127"/>
        <v>#DIV/0!</v>
      </c>
      <c r="BA124" s="29" t="str">
        <f t="shared" si="127"/>
        <v>#DIV/0!</v>
      </c>
      <c r="BB124" s="29" t="str">
        <f t="shared" si="127"/>
        <v>#DIV/0!</v>
      </c>
      <c r="BC124" s="29" t="str">
        <f t="shared" si="127"/>
        <v>#DIV/0!</v>
      </c>
      <c r="BD124" s="29" t="str">
        <f t="shared" si="127"/>
        <v>#DIV/0!</v>
      </c>
      <c r="BE124" s="29" t="str">
        <f t="shared" si="127"/>
        <v>#DIV/0!</v>
      </c>
      <c r="BF124" s="29" t="str">
        <f t="shared" si="127"/>
        <v>#DIV/0!</v>
      </c>
      <c r="BG124" s="29" t="str">
        <f t="shared" si="127"/>
        <v>#DIV/0!</v>
      </c>
      <c r="BH124" s="29" t="str">
        <f t="shared" si="127"/>
        <v>#DIV/0!</v>
      </c>
      <c r="BI124" s="29" t="str">
        <f t="shared" si="127"/>
        <v>#DIV/0!</v>
      </c>
      <c r="BJ124" s="29" t="str">
        <f t="shared" si="127"/>
        <v>#DIV/0!</v>
      </c>
      <c r="BK124" s="29" t="str">
        <f t="shared" si="127"/>
        <v>#DIV/0!</v>
      </c>
      <c r="BL124" s="29" t="str">
        <f t="shared" si="127"/>
        <v>#DIV/0!</v>
      </c>
      <c r="BM124" s="29" t="str">
        <f t="shared" si="3"/>
        <v>#DIV/0!</v>
      </c>
    </row>
    <row r="125">
      <c r="A125" s="16" t="str">
        <f>IFERROR(__xludf.DUMMYFUNCTION("IFERROR(SPARKLINE(SORT(MAP(TRANSPOSE(AQ125:BL125), LAMBDA(val, IF(ISNUMBER(val), PERCENTRANK(AQ125:BL125, val)+0.01, 0))), SEQUENCE(COLUMNS(AQ125:BL125)), FALSE), {""charttype"",""column""; ""color"",""chartreuse""; ""ymin"", 0; ""ymax"", 1.01; ""highcolo"&amp;"r"", ""darkgreen""; ""lowcolor"", ""red""}), """")"),"")</f>
        <v/>
      </c>
      <c r="B125" s="17" t="str">
        <f t="shared" si="4"/>
        <v/>
      </c>
      <c r="C125" s="1" t="s">
        <v>603</v>
      </c>
      <c r="D125" s="34" t="str">
        <f>IFERROR(__xludf.DUMMYFUNCTION("IFERROR(GOOGLEFINANCE(C125, ""NAME""))"),"F&amp;G Annuities &amp; Life Inc")</f>
        <v>F&amp;G Annuities &amp; Life Inc</v>
      </c>
      <c r="E125" s="30" t="s">
        <v>231</v>
      </c>
      <c r="F125" s="38" t="str">
        <f>IFERROR(__xludf.DUMMYFUNCTION("( (GOOGLEFINANCE(C125, ""price"") - Q125) / Q125 ) / (R125 / 100)"),"Loading...")</f>
        <v>Loading...</v>
      </c>
      <c r="G125" s="20" t="str">
        <f>IFERROR(__xludf.DUMMYFUNCTION("AVERAGE(ARRAYFORMULA(100 * (QUERY(GOOGLEFINANCE(C125, ""high"", TODAY()-40, TODAY()), ""SELECT Col2 WHERE Col2 IS NOT NULL ORDER BY Col1 DESC LIMIT 20"", 0) / QUERY(GOOGLEFINANCE(C125, ""low"", TODAY()-40, TODAY()), ""SELECT Col2 WHERE Col2 IS NOT NULL OR"&amp;"DER BY Col1 DESC LIMIT 20"", 0) - 1)))"),"#N/A")</f>
        <v>#N/A</v>
      </c>
      <c r="H125" s="35" t="str">
        <f t="shared" si="6"/>
        <v/>
      </c>
      <c r="I125" s="36" t="str">
        <f t="shared" si="7"/>
        <v/>
      </c>
      <c r="J125" s="37" t="str">
        <f>IFERROR(__xludf.DUMMYFUNCTION("IFERROR(
  IF(C125="""",, 
    IFERROR(
      GOOGLEFINANCE(C125, ""price"") * GOOGLEFINANCE(C125, ""volumeavg""), 
      GOOGLEFINANCE(C125, ""price"") * AVERAGE(QUERY(GOOGLEFINANCE(C125, ""volume"", TODAY()-40, TODAY()), ""SELECT Col2 WHERE Col2 IS NOT "&amp;"NULL ORDER BY Col1 DESC LIMIT 20"", 0))
    )
  ), 
"""")"),"")</f>
        <v/>
      </c>
      <c r="K125" s="21" t="str">
        <f>IFERROR(__xludf.DUMMYFUNCTION("IFERROR(GOOGLEFINANCE(C125, ""changepct"") / 100, """")"),"")</f>
        <v/>
      </c>
      <c r="L125" s="21" t="str">
        <f>IFERROR(__xludf.DUMMYFUNCTION("IFERROR((GOOGLEFINANCE(C125, ""price"") / INDEX(GOOGLEFINANCE(C125, ""price"", TODAY()-7, TODAY()), 2, 2)) - 1, """")"),"")</f>
        <v/>
      </c>
      <c r="M125" s="21" t="str">
        <f>IFERROR(__xludf.DUMMYFUNCTION("IFERROR((GOOGLEFINANCE(C125, ""price"") / INDEX(GOOGLEFINANCE(C125, ""price"", EDATE(TODAY(), -1), TODAY()), 2, 2)) - 1, """")"),"")</f>
        <v/>
      </c>
      <c r="N125" s="21" t="str">
        <f>IFERROR(__xludf.DUMMYFUNCTION("IFERROR((GOOGLEFINANCE(C125, ""price"") / INDEX(GOOGLEFINANCE(C125, ""price"", EDATE(TODAY(), -3), TODAY()), 2, 2)) - 1, """")"),"")</f>
        <v/>
      </c>
      <c r="O125" s="21" t="str">
        <f>IFERROR(__xludf.DUMMYFUNCTION("IFERROR((GOOGLEFINANCE(C125, ""price"") / INDEX(GOOGLEFINANCE(C125, ""price"", EDATE(TODAY(), -6), TODAY()), 2, 2)) - 1, """")"),"")</f>
        <v/>
      </c>
      <c r="P125" s="21" t="str">
        <f>IFERROR(__xludf.DUMMYFUNCTION("IFERROR((GOOGLEFINANCE(C125, ""price"") / INDEX(GOOGLEFINANCE(C125, ""price"", EDATE(TODAY(), -12), TODAY()), 2, 2)) - 1, """")"),"")</f>
        <v/>
      </c>
      <c r="Q125" s="6" t="str">
        <f>IFERROR(__xludf.DUMMYFUNCTION("AVERAGE(QUERY(GOOGLEFINANCE(C125, ""price"", TODAY()-80, TODAY()), ""SELECT Col2 WHERE Col2 IS NOT NULL ORDER BY Col1 DESC LIMIT 50"", 0))"),"#N/A")</f>
        <v>#N/A</v>
      </c>
      <c r="R125" s="24" t="str">
        <f>IFERROR(__xludf.DUMMYFUNCTION("IFERROR(
  LET(
    data, QUERY(GOOGLEFINANCE(C125,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GOOGLEFINANCE(C125, ""price"")) * 100,
    IF(calc=0, G125, calc)
  ), 
G125)"),"#N/A")</f>
        <v>#N/A</v>
      </c>
      <c r="S125" s="8" t="s">
        <v>15</v>
      </c>
      <c r="T125" s="26" t="str">
        <f>IFERROR(__xludf.DUMMYFUNCTION("IFERROR(TRANSPOSE(QUERY(IFERROR(SORT(GOOGLEFINANCE(C125, ""price"", WORKDAY(TODAY(), -40), TODAY()), 1, FALSE)), ""select Col2 where Col2 is not null limit 22 label Col2 ''"", 0)), """")"),"")</f>
        <v/>
      </c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8"/>
      <c r="AO125" s="28"/>
      <c r="AP125" s="29"/>
      <c r="AQ125" s="29" t="str">
        <f t="shared" ref="AQ125:BL125" si="128">T125/T$2</f>
        <v>#N/A</v>
      </c>
      <c r="AR125" s="29" t="str">
        <f t="shared" si="128"/>
        <v>#DIV/0!</v>
      </c>
      <c r="AS125" s="29" t="str">
        <f t="shared" si="128"/>
        <v>#DIV/0!</v>
      </c>
      <c r="AT125" s="29" t="str">
        <f t="shared" si="128"/>
        <v>#DIV/0!</v>
      </c>
      <c r="AU125" s="29" t="str">
        <f t="shared" si="128"/>
        <v>#DIV/0!</v>
      </c>
      <c r="AV125" s="29" t="str">
        <f t="shared" si="128"/>
        <v>#DIV/0!</v>
      </c>
      <c r="AW125" s="29" t="str">
        <f t="shared" si="128"/>
        <v>#DIV/0!</v>
      </c>
      <c r="AX125" s="29" t="str">
        <f t="shared" si="128"/>
        <v>#DIV/0!</v>
      </c>
      <c r="AY125" s="29" t="str">
        <f t="shared" si="128"/>
        <v>#DIV/0!</v>
      </c>
      <c r="AZ125" s="29" t="str">
        <f t="shared" si="128"/>
        <v>#DIV/0!</v>
      </c>
      <c r="BA125" s="29" t="str">
        <f t="shared" si="128"/>
        <v>#DIV/0!</v>
      </c>
      <c r="BB125" s="29" t="str">
        <f t="shared" si="128"/>
        <v>#DIV/0!</v>
      </c>
      <c r="BC125" s="29" t="str">
        <f t="shared" si="128"/>
        <v>#DIV/0!</v>
      </c>
      <c r="BD125" s="29" t="str">
        <f t="shared" si="128"/>
        <v>#DIV/0!</v>
      </c>
      <c r="BE125" s="29" t="str">
        <f t="shared" si="128"/>
        <v>#DIV/0!</v>
      </c>
      <c r="BF125" s="29" t="str">
        <f t="shared" si="128"/>
        <v>#DIV/0!</v>
      </c>
      <c r="BG125" s="29" t="str">
        <f t="shared" si="128"/>
        <v>#DIV/0!</v>
      </c>
      <c r="BH125" s="29" t="str">
        <f t="shared" si="128"/>
        <v>#DIV/0!</v>
      </c>
      <c r="BI125" s="29" t="str">
        <f t="shared" si="128"/>
        <v>#DIV/0!</v>
      </c>
      <c r="BJ125" s="29" t="str">
        <f t="shared" si="128"/>
        <v>#DIV/0!</v>
      </c>
      <c r="BK125" s="29" t="str">
        <f t="shared" si="128"/>
        <v>#DIV/0!</v>
      </c>
      <c r="BL125" s="29" t="str">
        <f t="shared" si="128"/>
        <v>#DIV/0!</v>
      </c>
      <c r="BM125" s="29" t="str">
        <f t="shared" si="3"/>
        <v>#DIV/0!</v>
      </c>
    </row>
    <row r="126">
      <c r="A126" s="16" t="str">
        <f>IFERROR(__xludf.DUMMYFUNCTION("IFERROR(SPARKLINE(SORT(MAP(TRANSPOSE(AQ126:BL126), LAMBDA(val, IF(ISNUMBER(val), PERCENTRANK(AQ126:BL126, val)+0.01, 0))), SEQUENCE(COLUMNS(AQ126:BL126)), FALSE), {""charttype"",""column""; ""color"",""chartreuse""; ""ymin"", 0; ""ymax"", 1.01; ""highcolo"&amp;"r"", ""darkgreen""; ""lowcolor"", ""red""}), """")"),"")</f>
        <v/>
      </c>
      <c r="B126" s="17" t="str">
        <f t="shared" si="4"/>
        <v/>
      </c>
      <c r="C126" s="1" t="s">
        <v>608</v>
      </c>
      <c r="D126" s="34" t="str">
        <f>IFERROR(__xludf.DUMMYFUNCTION("IFERROR(GOOGLEFINANCE(C126, ""NAME""))"),"Cathay General Bancorp")</f>
        <v>Cathay General Bancorp</v>
      </c>
      <c r="E126" s="30" t="s">
        <v>268</v>
      </c>
      <c r="F126" s="33" t="str">
        <f>IFERROR(__xludf.DUMMYFUNCTION("( (GOOGLEFINANCE(C126, ""price"") - Q126) / Q126 ) / (R126 / 100)"),"Loading...")</f>
        <v>Loading...</v>
      </c>
      <c r="G126" s="20" t="str">
        <f>IFERROR(__xludf.DUMMYFUNCTION("AVERAGE(ARRAYFORMULA(100 * (QUERY(GOOGLEFINANCE(C126, ""high"", TODAY()-40, TODAY()), ""SELECT Col2 WHERE Col2 IS NOT NULL ORDER BY Col1 DESC LIMIT 20"", 0) / QUERY(GOOGLEFINANCE(C126, ""low"", TODAY()-40, TODAY()), ""SELECT Col2 WHERE Col2 IS NOT NULL OR"&amp;"DER BY Col1 DESC LIMIT 20"", 0) - 1)))"),"#N/A")</f>
        <v>#N/A</v>
      </c>
      <c r="H126" s="35" t="str">
        <f t="shared" si="6"/>
        <v/>
      </c>
      <c r="I126" s="36" t="str">
        <f t="shared" si="7"/>
        <v/>
      </c>
      <c r="J126" s="37" t="str">
        <f>IFERROR(__xludf.DUMMYFUNCTION("IFERROR(
  IF(C126="""",, 
    IFERROR(
      GOOGLEFINANCE(C126, ""price"") * GOOGLEFINANCE(C126, ""volumeavg""), 
      GOOGLEFINANCE(C126, ""price"") * AVERAGE(QUERY(GOOGLEFINANCE(C126, ""volume"", TODAY()-40, TODAY()), ""SELECT Col2 WHERE Col2 IS NOT "&amp;"NULL ORDER BY Col1 DESC LIMIT 20"", 0))
    )
  ), 
"""")"),"")</f>
        <v/>
      </c>
      <c r="K126" s="21" t="str">
        <f>IFERROR(__xludf.DUMMYFUNCTION("IFERROR(GOOGLEFINANCE(C126, ""changepct"") / 100, """")"),"")</f>
        <v/>
      </c>
      <c r="L126" s="21" t="str">
        <f>IFERROR(__xludf.DUMMYFUNCTION("IFERROR((GOOGLEFINANCE(C126, ""price"") / INDEX(GOOGLEFINANCE(C126, ""price"", TODAY()-7, TODAY()), 2, 2)) - 1, """")"),"")</f>
        <v/>
      </c>
      <c r="M126" s="21" t="str">
        <f>IFERROR(__xludf.DUMMYFUNCTION("IFERROR((GOOGLEFINANCE(C126, ""price"") / INDEX(GOOGLEFINANCE(C126, ""price"", EDATE(TODAY(), -1), TODAY()), 2, 2)) - 1, """")"),"")</f>
        <v/>
      </c>
      <c r="N126" s="21" t="str">
        <f>IFERROR(__xludf.DUMMYFUNCTION("IFERROR((GOOGLEFINANCE(C126, ""price"") / INDEX(GOOGLEFINANCE(C126, ""price"", EDATE(TODAY(), -3), TODAY()), 2, 2)) - 1, """")"),"")</f>
        <v/>
      </c>
      <c r="O126" s="21" t="str">
        <f>IFERROR(__xludf.DUMMYFUNCTION("IFERROR((GOOGLEFINANCE(C126, ""price"") / INDEX(GOOGLEFINANCE(C126, ""price"", EDATE(TODAY(), -6), TODAY()), 2, 2)) - 1, """")"),"")</f>
        <v/>
      </c>
      <c r="P126" s="21" t="str">
        <f>IFERROR(__xludf.DUMMYFUNCTION("IFERROR((GOOGLEFINANCE(C126, ""price"") / INDEX(GOOGLEFINANCE(C126, ""price"", EDATE(TODAY(), -12), TODAY()), 2, 2)) - 1, """")"),"")</f>
        <v/>
      </c>
      <c r="Q126" s="6" t="str">
        <f>IFERROR(__xludf.DUMMYFUNCTION("AVERAGE(QUERY(GOOGLEFINANCE(C126, ""price"", TODAY()-80, TODAY()), ""SELECT Col2 WHERE Col2 IS NOT NULL ORDER BY Col1 DESC LIMIT 50"", 0))"),"#N/A")</f>
        <v>#N/A</v>
      </c>
      <c r="R126" s="24" t="str">
        <f>IFERROR(__xludf.DUMMYFUNCTION("IFERROR(
  LET(
    data, QUERY(GOOGLEFINANCE(C126,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GOOGLEFINANCE(C126, ""price"")) * 100,
    IF(calc=0, G126, calc)
  ), 
G126)"),"#N/A")</f>
        <v>#N/A</v>
      </c>
      <c r="S126" s="8" t="s">
        <v>15</v>
      </c>
      <c r="T126" s="26" t="str">
        <f>IFERROR(__xludf.DUMMYFUNCTION("IFERROR(TRANSPOSE(QUERY(IFERROR(SORT(GOOGLEFINANCE(C126, ""price"", WORKDAY(TODAY(), -40), TODAY()), 1, FALSE)), ""select Col2 where Col2 is not null limit 22 label Col2 ''"", 0)), """")"),"")</f>
        <v/>
      </c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8"/>
      <c r="AO126" s="28"/>
      <c r="AP126" s="29"/>
      <c r="AQ126" s="29" t="str">
        <f t="shared" ref="AQ126:BL126" si="129">T126/T$2</f>
        <v>#N/A</v>
      </c>
      <c r="AR126" s="29" t="str">
        <f t="shared" si="129"/>
        <v>#DIV/0!</v>
      </c>
      <c r="AS126" s="29" t="str">
        <f t="shared" si="129"/>
        <v>#DIV/0!</v>
      </c>
      <c r="AT126" s="29" t="str">
        <f t="shared" si="129"/>
        <v>#DIV/0!</v>
      </c>
      <c r="AU126" s="29" t="str">
        <f t="shared" si="129"/>
        <v>#DIV/0!</v>
      </c>
      <c r="AV126" s="29" t="str">
        <f t="shared" si="129"/>
        <v>#DIV/0!</v>
      </c>
      <c r="AW126" s="29" t="str">
        <f t="shared" si="129"/>
        <v>#DIV/0!</v>
      </c>
      <c r="AX126" s="29" t="str">
        <f t="shared" si="129"/>
        <v>#DIV/0!</v>
      </c>
      <c r="AY126" s="29" t="str">
        <f t="shared" si="129"/>
        <v>#DIV/0!</v>
      </c>
      <c r="AZ126" s="29" t="str">
        <f t="shared" si="129"/>
        <v>#DIV/0!</v>
      </c>
      <c r="BA126" s="29" t="str">
        <f t="shared" si="129"/>
        <v>#DIV/0!</v>
      </c>
      <c r="BB126" s="29" t="str">
        <f t="shared" si="129"/>
        <v>#DIV/0!</v>
      </c>
      <c r="BC126" s="29" t="str">
        <f t="shared" si="129"/>
        <v>#DIV/0!</v>
      </c>
      <c r="BD126" s="29" t="str">
        <f t="shared" si="129"/>
        <v>#DIV/0!</v>
      </c>
      <c r="BE126" s="29" t="str">
        <f t="shared" si="129"/>
        <v>#DIV/0!</v>
      </c>
      <c r="BF126" s="29" t="str">
        <f t="shared" si="129"/>
        <v>#DIV/0!</v>
      </c>
      <c r="BG126" s="29" t="str">
        <f t="shared" si="129"/>
        <v>#DIV/0!</v>
      </c>
      <c r="BH126" s="29" t="str">
        <f t="shared" si="129"/>
        <v>#DIV/0!</v>
      </c>
      <c r="BI126" s="29" t="str">
        <f t="shared" si="129"/>
        <v>#DIV/0!</v>
      </c>
      <c r="BJ126" s="29" t="str">
        <f t="shared" si="129"/>
        <v>#DIV/0!</v>
      </c>
      <c r="BK126" s="29" t="str">
        <f t="shared" si="129"/>
        <v>#DIV/0!</v>
      </c>
      <c r="BL126" s="29" t="str">
        <f t="shared" si="129"/>
        <v>#DIV/0!</v>
      </c>
      <c r="BM126" s="29" t="str">
        <f t="shared" si="3"/>
        <v>#DIV/0!</v>
      </c>
    </row>
    <row r="127">
      <c r="A127" s="16" t="str">
        <f>IFERROR(__xludf.DUMMYFUNCTION("IFERROR(SPARKLINE(SORT(MAP(TRANSPOSE(AQ127:BL127), LAMBDA(val, IF(ISNUMBER(val), PERCENTRANK(AQ127:BL127, val)+0.01, 0))), SEQUENCE(COLUMNS(AQ127:BL127)), FALSE), {""charttype"",""column""; ""color"",""chartreuse""; ""ymin"", 0; ""ymax"", 1.01; ""highcolo"&amp;"r"", ""darkgreen""; ""lowcolor"", ""red""}), """")"),"")</f>
        <v/>
      </c>
      <c r="B127" s="17" t="str">
        <f t="shared" si="4"/>
        <v/>
      </c>
      <c r="C127" s="1" t="s">
        <v>613</v>
      </c>
      <c r="D127" s="34" t="str">
        <f>IFERROR(__xludf.DUMMYFUNCTION("IFERROR(GOOGLEFINANCE(C127, ""NAME""))"),"BitFuFu Inc")</f>
        <v>BitFuFu Inc</v>
      </c>
      <c r="E127" s="30" t="s">
        <v>77</v>
      </c>
      <c r="F127" s="33" t="str">
        <f>IFERROR(__xludf.DUMMYFUNCTION("( (GOOGLEFINANCE(C127, ""price"") - Q127) / Q127 ) / (R127 / 100)"),"Loading...")</f>
        <v>Loading...</v>
      </c>
      <c r="G127" s="20" t="str">
        <f>IFERROR(__xludf.DUMMYFUNCTION("AVERAGE(ARRAYFORMULA(100 * (QUERY(GOOGLEFINANCE(C127, ""high"", TODAY()-40, TODAY()), ""SELECT Col2 WHERE Col2 IS NOT NULL ORDER BY Col1 DESC LIMIT 20"", 0) / QUERY(GOOGLEFINANCE(C127, ""low"", TODAY()-40, TODAY()), ""SELECT Col2 WHERE Col2 IS NOT NULL OR"&amp;"DER BY Col1 DESC LIMIT 20"", 0) - 1)))"),"#N/A")</f>
        <v>#N/A</v>
      </c>
      <c r="H127" s="35" t="str">
        <f t="shared" si="6"/>
        <v/>
      </c>
      <c r="I127" s="36" t="str">
        <f t="shared" si="7"/>
        <v/>
      </c>
      <c r="J127" s="37" t="str">
        <f>IFERROR(__xludf.DUMMYFUNCTION("IFERROR(
  IF(C127="""",, 
    IFERROR(
      GOOGLEFINANCE(C127, ""price"") * GOOGLEFINANCE(C127, ""volumeavg""), 
      GOOGLEFINANCE(C127, ""price"") * AVERAGE(QUERY(GOOGLEFINANCE(C127, ""volume"", TODAY()-40, TODAY()), ""SELECT Col2 WHERE Col2 IS NOT "&amp;"NULL ORDER BY Col1 DESC LIMIT 20"", 0))
    )
  ), 
"""")"),"")</f>
        <v/>
      </c>
      <c r="K127" s="21" t="str">
        <f>IFERROR(__xludf.DUMMYFUNCTION("IFERROR(GOOGLEFINANCE(C127, ""changepct"") / 100, """")"),"")</f>
        <v/>
      </c>
      <c r="L127" s="21" t="str">
        <f>IFERROR(__xludf.DUMMYFUNCTION("IFERROR((GOOGLEFINANCE(C127, ""price"") / INDEX(GOOGLEFINANCE(C127, ""price"", TODAY()-7, TODAY()), 2, 2)) - 1, """")"),"")</f>
        <v/>
      </c>
      <c r="M127" s="21" t="str">
        <f>IFERROR(__xludf.DUMMYFUNCTION("IFERROR((GOOGLEFINANCE(C127, ""price"") / INDEX(GOOGLEFINANCE(C127, ""price"", EDATE(TODAY(), -1), TODAY()), 2, 2)) - 1, """")"),"")</f>
        <v/>
      </c>
      <c r="N127" s="21" t="str">
        <f>IFERROR(__xludf.DUMMYFUNCTION("IFERROR((GOOGLEFINANCE(C127, ""price"") / INDEX(GOOGLEFINANCE(C127, ""price"", EDATE(TODAY(), -3), TODAY()), 2, 2)) - 1, """")"),"")</f>
        <v/>
      </c>
      <c r="O127" s="21" t="str">
        <f>IFERROR(__xludf.DUMMYFUNCTION("IFERROR((GOOGLEFINANCE(C127, ""price"") / INDEX(GOOGLEFINANCE(C127, ""price"", EDATE(TODAY(), -6), TODAY()), 2, 2)) - 1, """")"),"")</f>
        <v/>
      </c>
      <c r="P127" s="21" t="str">
        <f>IFERROR(__xludf.DUMMYFUNCTION("IFERROR((GOOGLEFINANCE(C127, ""price"") / INDEX(GOOGLEFINANCE(C127, ""price"", EDATE(TODAY(), -12), TODAY()), 2, 2)) - 1, """")"),"")</f>
        <v/>
      </c>
      <c r="Q127" s="6" t="str">
        <f>IFERROR(__xludf.DUMMYFUNCTION("AVERAGE(QUERY(GOOGLEFINANCE(C127, ""price"", TODAY()-80, TODAY()), ""SELECT Col2 WHERE Col2 IS NOT NULL ORDER BY Col1 DESC LIMIT 50"", 0))"),"#N/A")</f>
        <v>#N/A</v>
      </c>
      <c r="R127" s="24" t="str">
        <f>IFERROR(__xludf.DUMMYFUNCTION("IFERROR(
  LET(
    data, QUERY(GOOGLEFINANCE(C127,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GOOGLEFINANCE(C127, ""price"")) * 100,
    IF(calc=0, G127, calc)
  ), 
G127)"),"#N/A")</f>
        <v>#N/A</v>
      </c>
      <c r="S127" s="8" t="s">
        <v>15</v>
      </c>
      <c r="T127" s="26" t="str">
        <f>IFERROR(__xludf.DUMMYFUNCTION("IFERROR(TRANSPOSE(QUERY(IFERROR(SORT(GOOGLEFINANCE(C127, ""price"", WORKDAY(TODAY(), -40), TODAY()), 1, FALSE)), ""select Col2 where Col2 is not null limit 22 label Col2 ''"", 0)), """")"),"")</f>
        <v/>
      </c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8"/>
      <c r="AO127" s="28"/>
      <c r="AP127" s="29"/>
      <c r="AQ127" s="29" t="str">
        <f t="shared" ref="AQ127:BL127" si="130">T127/T$2</f>
        <v>#N/A</v>
      </c>
      <c r="AR127" s="29" t="str">
        <f t="shared" si="130"/>
        <v>#DIV/0!</v>
      </c>
      <c r="AS127" s="29" t="str">
        <f t="shared" si="130"/>
        <v>#DIV/0!</v>
      </c>
      <c r="AT127" s="29" t="str">
        <f t="shared" si="130"/>
        <v>#DIV/0!</v>
      </c>
      <c r="AU127" s="29" t="str">
        <f t="shared" si="130"/>
        <v>#DIV/0!</v>
      </c>
      <c r="AV127" s="29" t="str">
        <f t="shared" si="130"/>
        <v>#DIV/0!</v>
      </c>
      <c r="AW127" s="29" t="str">
        <f t="shared" si="130"/>
        <v>#DIV/0!</v>
      </c>
      <c r="AX127" s="29" t="str">
        <f t="shared" si="130"/>
        <v>#DIV/0!</v>
      </c>
      <c r="AY127" s="29" t="str">
        <f t="shared" si="130"/>
        <v>#DIV/0!</v>
      </c>
      <c r="AZ127" s="29" t="str">
        <f t="shared" si="130"/>
        <v>#DIV/0!</v>
      </c>
      <c r="BA127" s="29" t="str">
        <f t="shared" si="130"/>
        <v>#DIV/0!</v>
      </c>
      <c r="BB127" s="29" t="str">
        <f t="shared" si="130"/>
        <v>#DIV/0!</v>
      </c>
      <c r="BC127" s="29" t="str">
        <f t="shared" si="130"/>
        <v>#DIV/0!</v>
      </c>
      <c r="BD127" s="29" t="str">
        <f t="shared" si="130"/>
        <v>#DIV/0!</v>
      </c>
      <c r="BE127" s="29" t="str">
        <f t="shared" si="130"/>
        <v>#DIV/0!</v>
      </c>
      <c r="BF127" s="29" t="str">
        <f t="shared" si="130"/>
        <v>#DIV/0!</v>
      </c>
      <c r="BG127" s="29" t="str">
        <f t="shared" si="130"/>
        <v>#DIV/0!</v>
      </c>
      <c r="BH127" s="29" t="str">
        <f t="shared" si="130"/>
        <v>#DIV/0!</v>
      </c>
      <c r="BI127" s="29" t="str">
        <f t="shared" si="130"/>
        <v>#DIV/0!</v>
      </c>
      <c r="BJ127" s="29" t="str">
        <f t="shared" si="130"/>
        <v>#DIV/0!</v>
      </c>
      <c r="BK127" s="29" t="str">
        <f t="shared" si="130"/>
        <v>#DIV/0!</v>
      </c>
      <c r="BL127" s="29" t="str">
        <f t="shared" si="130"/>
        <v>#DIV/0!</v>
      </c>
      <c r="BM127" s="29" t="str">
        <f t="shared" si="3"/>
        <v>#DIV/0!</v>
      </c>
    </row>
    <row r="128">
      <c r="A128" s="16" t="str">
        <f>IFERROR(__xludf.DUMMYFUNCTION("IFERROR(SPARKLINE(SORT(MAP(TRANSPOSE(AQ128:BL128), LAMBDA(val, IF(ISNUMBER(val), PERCENTRANK(AQ128:BL128, val)+0.01, 0))), SEQUENCE(COLUMNS(AQ128:BL128)), FALSE), {""charttype"",""column""; ""color"",""chartreuse""; ""ymin"", 0; ""ymax"", 1.01; ""highcolo"&amp;"r"", ""darkgreen""; ""lowcolor"", ""red""}), """")"),"")</f>
        <v/>
      </c>
      <c r="B128" s="17" t="str">
        <f t="shared" si="4"/>
        <v/>
      </c>
      <c r="C128" s="1" t="s">
        <v>619</v>
      </c>
      <c r="D128" s="34" t="str">
        <f>IFERROR(__xludf.DUMMYFUNCTION("IFERROR(GOOGLEFINANCE(C128, ""NAME""))"),"Hyperliquid Strategies Inc")</f>
        <v>Hyperliquid Strategies Inc</v>
      </c>
      <c r="E128" s="30" t="s">
        <v>77</v>
      </c>
      <c r="F128" s="33" t="str">
        <f>IFERROR(__xludf.DUMMYFUNCTION("( (GOOGLEFINANCE(C128, ""price"") - Q128) / Q128 ) / (R128 / 100)"),"Loading...")</f>
        <v>Loading...</v>
      </c>
      <c r="G128" s="20" t="str">
        <f>IFERROR(__xludf.DUMMYFUNCTION("AVERAGE(ARRAYFORMULA(100 * (QUERY(GOOGLEFINANCE(C128, ""high"", TODAY()-40, TODAY()), ""SELECT Col2 WHERE Col2 IS NOT NULL ORDER BY Col1 DESC LIMIT 20"", 0) / QUERY(GOOGLEFINANCE(C128, ""low"", TODAY()-40, TODAY()), ""SELECT Col2 WHERE Col2 IS NOT NULL OR"&amp;"DER BY Col1 DESC LIMIT 20"", 0) - 1)))"),"#N/A")</f>
        <v>#N/A</v>
      </c>
      <c r="H128" s="35" t="str">
        <f t="shared" si="6"/>
        <v/>
      </c>
      <c r="I128" s="36" t="str">
        <f t="shared" si="7"/>
        <v/>
      </c>
      <c r="J128" s="37" t="str">
        <f>IFERROR(__xludf.DUMMYFUNCTION("IFERROR(
  IF(C128="""",, 
    IFERROR(
      GOOGLEFINANCE(C128, ""price"") * GOOGLEFINANCE(C128, ""volumeavg""), 
      GOOGLEFINANCE(C128, ""price"") * AVERAGE(QUERY(GOOGLEFINANCE(C128, ""volume"", TODAY()-40, TODAY()), ""SELECT Col2 WHERE Col2 IS NOT "&amp;"NULL ORDER BY Col1 DESC LIMIT 20"", 0))
    )
  ), 
"""")"),"")</f>
        <v/>
      </c>
      <c r="K128" s="21" t="str">
        <f>IFERROR(__xludf.DUMMYFUNCTION("IFERROR(GOOGLEFINANCE(C128, ""changepct"") / 100, """")"),"")</f>
        <v/>
      </c>
      <c r="L128" s="21" t="str">
        <f>IFERROR(__xludf.DUMMYFUNCTION("IFERROR((GOOGLEFINANCE(C128, ""price"") / INDEX(GOOGLEFINANCE(C128, ""price"", TODAY()-7, TODAY()), 2, 2)) - 1, """")"),"")</f>
        <v/>
      </c>
      <c r="M128" s="21" t="str">
        <f>IFERROR(__xludf.DUMMYFUNCTION("IFERROR((GOOGLEFINANCE(C128, ""price"") / INDEX(GOOGLEFINANCE(C128, ""price"", EDATE(TODAY(), -1), TODAY()), 2, 2)) - 1, """")"),"")</f>
        <v/>
      </c>
      <c r="N128" s="21" t="str">
        <f>IFERROR(__xludf.DUMMYFUNCTION("IFERROR((GOOGLEFINANCE(C128, ""price"") / INDEX(GOOGLEFINANCE(C128, ""price"", EDATE(TODAY(), -3), TODAY()), 2, 2)) - 1, """")"),"")</f>
        <v/>
      </c>
      <c r="O128" s="21" t="str">
        <f>IFERROR(__xludf.DUMMYFUNCTION("IFERROR((GOOGLEFINANCE(C128, ""price"") / INDEX(GOOGLEFINANCE(C128, ""price"", EDATE(TODAY(), -6), TODAY()), 2, 2)) - 1, """")"),"")</f>
        <v/>
      </c>
      <c r="P128" s="21" t="str">
        <f>IFERROR(__xludf.DUMMYFUNCTION("IFERROR((GOOGLEFINANCE(C128, ""price"") / INDEX(GOOGLEFINANCE(C128, ""price"", EDATE(TODAY(), -12), TODAY()), 2, 2)) - 1, """")"),"")</f>
        <v/>
      </c>
      <c r="Q128" s="6" t="str">
        <f>IFERROR(__xludf.DUMMYFUNCTION("AVERAGE(QUERY(GOOGLEFINANCE(C128, ""price"", TODAY()-80, TODAY()), ""SELECT Col2 WHERE Col2 IS NOT NULL ORDER BY Col1 DESC LIMIT 50"", 0))"),"#N/A")</f>
        <v>#N/A</v>
      </c>
      <c r="R128" s="24" t="str">
        <f>IFERROR(__xludf.DUMMYFUNCTION("IFERROR(
  LET(
    data, QUERY(GOOGLEFINANCE(C128,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GOOGLEFINANCE(C128, ""price"")) * 100,
    IF(calc=0, G128, calc)
  ), 
G128)"),"#N/A")</f>
        <v>#N/A</v>
      </c>
      <c r="S128" s="8" t="s">
        <v>15</v>
      </c>
      <c r="T128" s="26" t="str">
        <f>IFERROR(__xludf.DUMMYFUNCTION("IFERROR(TRANSPOSE(QUERY(IFERROR(SORT(GOOGLEFINANCE(C128, ""price"", WORKDAY(TODAY(), -40), TODAY()), 1, FALSE)), ""select Col2 where Col2 is not null limit 22 label Col2 ''"", 0)), """")"),"")</f>
        <v/>
      </c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8"/>
      <c r="AO128" s="28"/>
      <c r="AP128" s="29"/>
      <c r="AQ128" s="29" t="str">
        <f t="shared" ref="AQ128:BL128" si="131">T128/T$2</f>
        <v>#N/A</v>
      </c>
      <c r="AR128" s="29" t="str">
        <f t="shared" si="131"/>
        <v>#DIV/0!</v>
      </c>
      <c r="AS128" s="29" t="str">
        <f t="shared" si="131"/>
        <v>#DIV/0!</v>
      </c>
      <c r="AT128" s="29" t="str">
        <f t="shared" si="131"/>
        <v>#DIV/0!</v>
      </c>
      <c r="AU128" s="29" t="str">
        <f t="shared" si="131"/>
        <v>#DIV/0!</v>
      </c>
      <c r="AV128" s="29" t="str">
        <f t="shared" si="131"/>
        <v>#DIV/0!</v>
      </c>
      <c r="AW128" s="29" t="str">
        <f t="shared" si="131"/>
        <v>#DIV/0!</v>
      </c>
      <c r="AX128" s="29" t="str">
        <f t="shared" si="131"/>
        <v>#DIV/0!</v>
      </c>
      <c r="AY128" s="29" t="str">
        <f t="shared" si="131"/>
        <v>#DIV/0!</v>
      </c>
      <c r="AZ128" s="29" t="str">
        <f t="shared" si="131"/>
        <v>#DIV/0!</v>
      </c>
      <c r="BA128" s="29" t="str">
        <f t="shared" si="131"/>
        <v>#DIV/0!</v>
      </c>
      <c r="BB128" s="29" t="str">
        <f t="shared" si="131"/>
        <v>#DIV/0!</v>
      </c>
      <c r="BC128" s="29" t="str">
        <f t="shared" si="131"/>
        <v>#DIV/0!</v>
      </c>
      <c r="BD128" s="29" t="str">
        <f t="shared" si="131"/>
        <v>#DIV/0!</v>
      </c>
      <c r="BE128" s="29" t="str">
        <f t="shared" si="131"/>
        <v>#DIV/0!</v>
      </c>
      <c r="BF128" s="29" t="str">
        <f t="shared" si="131"/>
        <v>#DIV/0!</v>
      </c>
      <c r="BG128" s="29" t="str">
        <f t="shared" si="131"/>
        <v>#DIV/0!</v>
      </c>
      <c r="BH128" s="29" t="str">
        <f t="shared" si="131"/>
        <v>#DIV/0!</v>
      </c>
      <c r="BI128" s="29" t="str">
        <f t="shared" si="131"/>
        <v>#DIV/0!</v>
      </c>
      <c r="BJ128" s="29" t="str">
        <f t="shared" si="131"/>
        <v>#DIV/0!</v>
      </c>
      <c r="BK128" s="29" t="str">
        <f t="shared" si="131"/>
        <v>#DIV/0!</v>
      </c>
      <c r="BL128" s="29" t="str">
        <f t="shared" si="131"/>
        <v>#DIV/0!</v>
      </c>
      <c r="BM128" s="29" t="str">
        <f t="shared" si="3"/>
        <v>#DIV/0!</v>
      </c>
    </row>
    <row r="129">
      <c r="A129" s="16" t="str">
        <f>IFERROR(__xludf.DUMMYFUNCTION("IFERROR(SPARKLINE(SORT(MAP(TRANSPOSE(AQ129:BL129), LAMBDA(val, IF(ISNUMBER(val), PERCENTRANK(AQ129:BL129, val)+0.01, 0))), SEQUENCE(COLUMNS(AQ129:BL129)), FALSE), {""charttype"",""column""; ""color"",""chartreuse""; ""ymin"", 0; ""ymax"", 1.01; ""highcolo"&amp;"r"", ""darkgreen""; ""lowcolor"", ""red""}), """")"),"")</f>
        <v/>
      </c>
      <c r="B129" s="17" t="str">
        <f t="shared" si="4"/>
        <v/>
      </c>
      <c r="C129" s="1" t="s">
        <v>623</v>
      </c>
      <c r="D129" s="34" t="str">
        <f>IFERROR(__xludf.DUMMYFUNCTION("IFERROR(GOOGLEFINANCE(C129, ""NAME""))"),"GCM Grosvenor Inc")</f>
        <v>GCM Grosvenor Inc</v>
      </c>
      <c r="E129" s="30" t="s">
        <v>64</v>
      </c>
      <c r="F129" s="33" t="str">
        <f>IFERROR(__xludf.DUMMYFUNCTION("( (GOOGLEFINANCE(C129, ""price"") - Q129) / Q129 ) / (R129 / 100)"),"Loading...")</f>
        <v>Loading...</v>
      </c>
      <c r="G129" s="20" t="str">
        <f>IFERROR(__xludf.DUMMYFUNCTION("AVERAGE(ARRAYFORMULA(100 * (QUERY(GOOGLEFINANCE(C129, ""high"", TODAY()-40, TODAY()), ""SELECT Col2 WHERE Col2 IS NOT NULL ORDER BY Col1 DESC LIMIT 20"", 0) / QUERY(GOOGLEFINANCE(C129, ""low"", TODAY()-40, TODAY()), ""SELECT Col2 WHERE Col2 IS NOT NULL OR"&amp;"DER BY Col1 DESC LIMIT 20"", 0) - 1)))"),"#N/A")</f>
        <v>#N/A</v>
      </c>
      <c r="H129" s="35" t="str">
        <f t="shared" si="6"/>
        <v/>
      </c>
      <c r="I129" s="36" t="str">
        <f t="shared" si="7"/>
        <v/>
      </c>
      <c r="J129" s="37" t="str">
        <f>IFERROR(__xludf.DUMMYFUNCTION("IFERROR(
  IF(C129="""",, 
    IFERROR(
      GOOGLEFINANCE(C129, ""price"") * GOOGLEFINANCE(C129, ""volumeavg""), 
      GOOGLEFINANCE(C129, ""price"") * AVERAGE(QUERY(GOOGLEFINANCE(C129, ""volume"", TODAY()-40, TODAY()), ""SELECT Col2 WHERE Col2 IS NOT "&amp;"NULL ORDER BY Col1 DESC LIMIT 20"", 0))
    )
  ), 
"""")"),"")</f>
        <v/>
      </c>
      <c r="K129" s="21" t="str">
        <f>IFERROR(__xludf.DUMMYFUNCTION("IFERROR(GOOGLEFINANCE(C129, ""changepct"") / 100, """")"),"")</f>
        <v/>
      </c>
      <c r="L129" s="21" t="str">
        <f>IFERROR(__xludf.DUMMYFUNCTION("IFERROR((GOOGLEFINANCE(C129, ""price"") / INDEX(GOOGLEFINANCE(C129, ""price"", TODAY()-7, TODAY()), 2, 2)) - 1, """")"),"")</f>
        <v/>
      </c>
      <c r="M129" s="21" t="str">
        <f>IFERROR(__xludf.DUMMYFUNCTION("IFERROR((GOOGLEFINANCE(C129, ""price"") / INDEX(GOOGLEFINANCE(C129, ""price"", EDATE(TODAY(), -1), TODAY()), 2, 2)) - 1, """")"),"")</f>
        <v/>
      </c>
      <c r="N129" s="21" t="str">
        <f>IFERROR(__xludf.DUMMYFUNCTION("IFERROR((GOOGLEFINANCE(C129, ""price"") / INDEX(GOOGLEFINANCE(C129, ""price"", EDATE(TODAY(), -3), TODAY()), 2, 2)) - 1, """")"),"")</f>
        <v/>
      </c>
      <c r="O129" s="21" t="str">
        <f>IFERROR(__xludf.DUMMYFUNCTION("IFERROR((GOOGLEFINANCE(C129, ""price"") / INDEX(GOOGLEFINANCE(C129, ""price"", EDATE(TODAY(), -6), TODAY()), 2, 2)) - 1, """")"),"")</f>
        <v/>
      </c>
      <c r="P129" s="21" t="str">
        <f>IFERROR(__xludf.DUMMYFUNCTION("IFERROR((GOOGLEFINANCE(C129, ""price"") / INDEX(GOOGLEFINANCE(C129, ""price"", EDATE(TODAY(), -12), TODAY()), 2, 2)) - 1, """")"),"")</f>
        <v/>
      </c>
      <c r="Q129" s="6" t="str">
        <f>IFERROR(__xludf.DUMMYFUNCTION("AVERAGE(QUERY(GOOGLEFINANCE(C129, ""price"", TODAY()-80, TODAY()), ""SELECT Col2 WHERE Col2 IS NOT NULL ORDER BY Col1 DESC LIMIT 50"", 0))"),"#N/A")</f>
        <v>#N/A</v>
      </c>
      <c r="R129" s="24" t="str">
        <f>IFERROR(__xludf.DUMMYFUNCTION("IFERROR(
  LET(
    data, QUERY(GOOGLEFINANCE(C129,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GOOGLEFINANCE(C129, ""price"")) * 100,
    IF(calc=0, G129, calc)
  ), 
G129)"),"#N/A")</f>
        <v>#N/A</v>
      </c>
      <c r="S129" s="8" t="s">
        <v>15</v>
      </c>
      <c r="T129" s="26" t="str">
        <f>IFERROR(__xludf.DUMMYFUNCTION("IFERROR(TRANSPOSE(QUERY(IFERROR(SORT(GOOGLEFINANCE(C129, ""price"", WORKDAY(TODAY(), -40), TODAY()), 1, FALSE)), ""select Col2 where Col2 is not null limit 22 label Col2 ''"", 0)), """")"),"")</f>
        <v/>
      </c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8"/>
      <c r="AO129" s="28"/>
      <c r="AP129" s="29"/>
      <c r="AQ129" s="29" t="str">
        <f t="shared" ref="AQ129:BL129" si="132">T129/T$2</f>
        <v>#N/A</v>
      </c>
      <c r="AR129" s="29" t="str">
        <f t="shared" si="132"/>
        <v>#DIV/0!</v>
      </c>
      <c r="AS129" s="29" t="str">
        <f t="shared" si="132"/>
        <v>#DIV/0!</v>
      </c>
      <c r="AT129" s="29" t="str">
        <f t="shared" si="132"/>
        <v>#DIV/0!</v>
      </c>
      <c r="AU129" s="29" t="str">
        <f t="shared" si="132"/>
        <v>#DIV/0!</v>
      </c>
      <c r="AV129" s="29" t="str">
        <f t="shared" si="132"/>
        <v>#DIV/0!</v>
      </c>
      <c r="AW129" s="29" t="str">
        <f t="shared" si="132"/>
        <v>#DIV/0!</v>
      </c>
      <c r="AX129" s="29" t="str">
        <f t="shared" si="132"/>
        <v>#DIV/0!</v>
      </c>
      <c r="AY129" s="29" t="str">
        <f t="shared" si="132"/>
        <v>#DIV/0!</v>
      </c>
      <c r="AZ129" s="29" t="str">
        <f t="shared" si="132"/>
        <v>#DIV/0!</v>
      </c>
      <c r="BA129" s="29" t="str">
        <f t="shared" si="132"/>
        <v>#DIV/0!</v>
      </c>
      <c r="BB129" s="29" t="str">
        <f t="shared" si="132"/>
        <v>#DIV/0!</v>
      </c>
      <c r="BC129" s="29" t="str">
        <f t="shared" si="132"/>
        <v>#DIV/0!</v>
      </c>
      <c r="BD129" s="29" t="str">
        <f t="shared" si="132"/>
        <v>#DIV/0!</v>
      </c>
      <c r="BE129" s="29" t="str">
        <f t="shared" si="132"/>
        <v>#DIV/0!</v>
      </c>
      <c r="BF129" s="29" t="str">
        <f t="shared" si="132"/>
        <v>#DIV/0!</v>
      </c>
      <c r="BG129" s="29" t="str">
        <f t="shared" si="132"/>
        <v>#DIV/0!</v>
      </c>
      <c r="BH129" s="29" t="str">
        <f t="shared" si="132"/>
        <v>#DIV/0!</v>
      </c>
      <c r="BI129" s="29" t="str">
        <f t="shared" si="132"/>
        <v>#DIV/0!</v>
      </c>
      <c r="BJ129" s="29" t="str">
        <f t="shared" si="132"/>
        <v>#DIV/0!</v>
      </c>
      <c r="BK129" s="29" t="str">
        <f t="shared" si="132"/>
        <v>#DIV/0!</v>
      </c>
      <c r="BL129" s="29" t="str">
        <f t="shared" si="132"/>
        <v>#DIV/0!</v>
      </c>
      <c r="BM129" s="29" t="str">
        <f t="shared" si="3"/>
        <v>#DIV/0!</v>
      </c>
    </row>
    <row r="130">
      <c r="A130" s="16" t="str">
        <f>IFERROR(__xludf.DUMMYFUNCTION("IFERROR(SPARKLINE(SORT(MAP(TRANSPOSE(AQ130:BL130), LAMBDA(val, IF(ISNUMBER(val), PERCENTRANK(AQ130:BL130, val)+0.01, 0))), SEQUENCE(COLUMNS(AQ130:BL130)), FALSE), {""charttype"",""column""; ""color"",""chartreuse""; ""ymin"", 0; ""ymax"", 1.01; ""highcolo"&amp;"r"", ""darkgreen""; ""lowcolor"", ""red""}), """")"),"")</f>
        <v/>
      </c>
      <c r="B130" s="17" t="str">
        <f t="shared" si="4"/>
        <v/>
      </c>
      <c r="C130" s="1" t="s">
        <v>627</v>
      </c>
      <c r="D130" s="34" t="str">
        <f>IFERROR(__xludf.DUMMYFUNCTION("IFERROR(GOOGLEFINANCE(C130, ""NAME""))"),"Intercorp Financial Services Inc")</f>
        <v>Intercorp Financial Services Inc</v>
      </c>
      <c r="E130" s="30" t="s">
        <v>268</v>
      </c>
      <c r="F130" s="33" t="str">
        <f>IFERROR(__xludf.DUMMYFUNCTION("( (GOOGLEFINANCE(C130, ""price"") - Q130) / Q130 ) / (R130 / 100)"),"Loading...")</f>
        <v>Loading...</v>
      </c>
      <c r="G130" s="20" t="str">
        <f>IFERROR(__xludf.DUMMYFUNCTION("AVERAGE(ARRAYFORMULA(100 * (QUERY(GOOGLEFINANCE(C130, ""high"", TODAY()-40, TODAY()), ""SELECT Col2 WHERE Col2 IS NOT NULL ORDER BY Col1 DESC LIMIT 20"", 0) / QUERY(GOOGLEFINANCE(C130, ""low"", TODAY()-40, TODAY()), ""SELECT Col2 WHERE Col2 IS NOT NULL OR"&amp;"DER BY Col1 DESC LIMIT 20"", 0) - 1)))"),"#N/A")</f>
        <v>#N/A</v>
      </c>
      <c r="H130" s="35" t="str">
        <f t="shared" si="6"/>
        <v/>
      </c>
      <c r="I130" s="36" t="str">
        <f t="shared" si="7"/>
        <v/>
      </c>
      <c r="J130" s="37" t="str">
        <f>IFERROR(__xludf.DUMMYFUNCTION("IFERROR(
  IF(C130="""",, 
    IFERROR(
      GOOGLEFINANCE(C130, ""price"") * GOOGLEFINANCE(C130, ""volumeavg""), 
      GOOGLEFINANCE(C130, ""price"") * AVERAGE(QUERY(GOOGLEFINANCE(C130, ""volume"", TODAY()-40, TODAY()), ""SELECT Col2 WHERE Col2 IS NOT "&amp;"NULL ORDER BY Col1 DESC LIMIT 20"", 0))
    )
  ), 
"""")"),"")</f>
        <v/>
      </c>
      <c r="K130" s="21" t="str">
        <f>IFERROR(__xludf.DUMMYFUNCTION("IFERROR(GOOGLEFINANCE(C130, ""changepct"") / 100, """")"),"")</f>
        <v/>
      </c>
      <c r="L130" s="21" t="str">
        <f>IFERROR(__xludf.DUMMYFUNCTION("IFERROR((GOOGLEFINANCE(C130, ""price"") / INDEX(GOOGLEFINANCE(C130, ""price"", TODAY()-7, TODAY()), 2, 2)) - 1, """")"),"")</f>
        <v/>
      </c>
      <c r="M130" s="21" t="str">
        <f>IFERROR(__xludf.DUMMYFUNCTION("IFERROR((GOOGLEFINANCE(C130, ""price"") / INDEX(GOOGLEFINANCE(C130, ""price"", EDATE(TODAY(), -1), TODAY()), 2, 2)) - 1, """")"),"")</f>
        <v/>
      </c>
      <c r="N130" s="21" t="str">
        <f>IFERROR(__xludf.DUMMYFUNCTION("IFERROR((GOOGLEFINANCE(C130, ""price"") / INDEX(GOOGLEFINANCE(C130, ""price"", EDATE(TODAY(), -3), TODAY()), 2, 2)) - 1, """")"),"")</f>
        <v/>
      </c>
      <c r="O130" s="21" t="str">
        <f>IFERROR(__xludf.DUMMYFUNCTION("IFERROR((GOOGLEFINANCE(C130, ""price"") / INDEX(GOOGLEFINANCE(C130, ""price"", EDATE(TODAY(), -6), TODAY()), 2, 2)) - 1, """")"),"")</f>
        <v/>
      </c>
      <c r="P130" s="21" t="str">
        <f>IFERROR(__xludf.DUMMYFUNCTION("IFERROR((GOOGLEFINANCE(C130, ""price"") / INDEX(GOOGLEFINANCE(C130, ""price"", EDATE(TODAY(), -12), TODAY()), 2, 2)) - 1, """")"),"")</f>
        <v/>
      </c>
      <c r="Q130" s="6" t="str">
        <f>IFERROR(__xludf.DUMMYFUNCTION("AVERAGE(QUERY(GOOGLEFINANCE(C130, ""price"", TODAY()-80, TODAY()), ""SELECT Col2 WHERE Col2 IS NOT NULL ORDER BY Col1 DESC LIMIT 50"", 0))"),"#N/A")</f>
        <v>#N/A</v>
      </c>
      <c r="R130" s="24" t="str">
        <f>IFERROR(__xludf.DUMMYFUNCTION("IFERROR(
  LET(
    data, QUERY(GOOGLEFINANCE(C130,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GOOGLEFINANCE(C130, ""price"")) * 100,
    IF(calc=0, G130, calc)
  ), 
G130)"),"#N/A")</f>
        <v>#N/A</v>
      </c>
      <c r="S130" s="8" t="s">
        <v>15</v>
      </c>
      <c r="T130" s="26" t="str">
        <f>IFERROR(__xludf.DUMMYFUNCTION("IFERROR(TRANSPOSE(QUERY(IFERROR(SORT(GOOGLEFINANCE(C130, ""price"", WORKDAY(TODAY(), -40), TODAY()), 1, FALSE)), ""select Col2 where Col2 is not null limit 22 label Col2 ''"", 0)), """")"),"")</f>
        <v/>
      </c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8"/>
      <c r="AO130" s="28"/>
      <c r="AP130" s="29"/>
      <c r="AQ130" s="29" t="str">
        <f t="shared" ref="AQ130:BL130" si="133">T130/T$2</f>
        <v>#N/A</v>
      </c>
      <c r="AR130" s="29" t="str">
        <f t="shared" si="133"/>
        <v>#DIV/0!</v>
      </c>
      <c r="AS130" s="29" t="str">
        <f t="shared" si="133"/>
        <v>#DIV/0!</v>
      </c>
      <c r="AT130" s="29" t="str">
        <f t="shared" si="133"/>
        <v>#DIV/0!</v>
      </c>
      <c r="AU130" s="29" t="str">
        <f t="shared" si="133"/>
        <v>#DIV/0!</v>
      </c>
      <c r="AV130" s="29" t="str">
        <f t="shared" si="133"/>
        <v>#DIV/0!</v>
      </c>
      <c r="AW130" s="29" t="str">
        <f t="shared" si="133"/>
        <v>#DIV/0!</v>
      </c>
      <c r="AX130" s="29" t="str">
        <f t="shared" si="133"/>
        <v>#DIV/0!</v>
      </c>
      <c r="AY130" s="29" t="str">
        <f t="shared" si="133"/>
        <v>#DIV/0!</v>
      </c>
      <c r="AZ130" s="29" t="str">
        <f t="shared" si="133"/>
        <v>#DIV/0!</v>
      </c>
      <c r="BA130" s="29" t="str">
        <f t="shared" si="133"/>
        <v>#DIV/0!</v>
      </c>
      <c r="BB130" s="29" t="str">
        <f t="shared" si="133"/>
        <v>#DIV/0!</v>
      </c>
      <c r="BC130" s="29" t="str">
        <f t="shared" si="133"/>
        <v>#DIV/0!</v>
      </c>
      <c r="BD130" s="29" t="str">
        <f t="shared" si="133"/>
        <v>#DIV/0!</v>
      </c>
      <c r="BE130" s="29" t="str">
        <f t="shared" si="133"/>
        <v>#DIV/0!</v>
      </c>
      <c r="BF130" s="29" t="str">
        <f t="shared" si="133"/>
        <v>#DIV/0!</v>
      </c>
      <c r="BG130" s="29" t="str">
        <f t="shared" si="133"/>
        <v>#DIV/0!</v>
      </c>
      <c r="BH130" s="29" t="str">
        <f t="shared" si="133"/>
        <v>#DIV/0!</v>
      </c>
      <c r="BI130" s="29" t="str">
        <f t="shared" si="133"/>
        <v>#DIV/0!</v>
      </c>
      <c r="BJ130" s="29" t="str">
        <f t="shared" si="133"/>
        <v>#DIV/0!</v>
      </c>
      <c r="BK130" s="29" t="str">
        <f t="shared" si="133"/>
        <v>#DIV/0!</v>
      </c>
      <c r="BL130" s="29" t="str">
        <f t="shared" si="133"/>
        <v>#DIV/0!</v>
      </c>
      <c r="BM130" s="29" t="str">
        <f t="shared" si="3"/>
        <v>#DIV/0!</v>
      </c>
    </row>
    <row r="131">
      <c r="A131" s="16" t="str">
        <f>IFERROR(__xludf.DUMMYFUNCTION("IFERROR(SPARKLINE(SORT(MAP(TRANSPOSE(AQ131:BL131), LAMBDA(val, IF(ISNUMBER(val), PERCENTRANK(AQ131:BL131, val)+0.01, 0))), SEQUENCE(COLUMNS(AQ131:BL131)), FALSE), {""charttype"",""column""; ""color"",""chartreuse""; ""ymin"", 0; ""ymax"", 1.01; ""highcolo"&amp;"r"", ""darkgreen""; ""lowcolor"", ""red""}), """")"),"")</f>
        <v/>
      </c>
      <c r="B131" s="17" t="str">
        <f t="shared" si="4"/>
        <v/>
      </c>
      <c r="C131" s="1" t="s">
        <v>632</v>
      </c>
      <c r="D131" s="34" t="str">
        <f>IFERROR(__xludf.DUMMYFUNCTION("IFERROR(GOOGLEFINANCE(C131, ""NAME""))"),"Crawford &amp; Co Class B")</f>
        <v>Crawford &amp; Co Class B</v>
      </c>
      <c r="E131" s="30" t="s">
        <v>311</v>
      </c>
      <c r="F131" s="33" t="str">
        <f>IFERROR(__xludf.DUMMYFUNCTION("( (GOOGLEFINANCE(C131, ""price"") - Q131) / Q131 ) / (R131 / 100)"),"Loading...")</f>
        <v>Loading...</v>
      </c>
      <c r="G131" s="20" t="str">
        <f>IFERROR(__xludf.DUMMYFUNCTION("AVERAGE(ARRAYFORMULA(100 * (QUERY(GOOGLEFINANCE(C131, ""high"", TODAY()-40, TODAY()), ""SELECT Col2 WHERE Col2 IS NOT NULL ORDER BY Col1 DESC LIMIT 20"", 0) / QUERY(GOOGLEFINANCE(C131, ""low"", TODAY()-40, TODAY()), ""SELECT Col2 WHERE Col2 IS NOT NULL OR"&amp;"DER BY Col1 DESC LIMIT 20"", 0) - 1)))"),"#N/A")</f>
        <v>#N/A</v>
      </c>
      <c r="H131" s="35" t="str">
        <f t="shared" si="6"/>
        <v/>
      </c>
      <c r="I131" s="36" t="str">
        <f t="shared" si="7"/>
        <v/>
      </c>
      <c r="J131" s="37" t="str">
        <f>IFERROR(__xludf.DUMMYFUNCTION("IFERROR(
  IF(C131="""",, 
    IFERROR(
      GOOGLEFINANCE(C131, ""price"") * GOOGLEFINANCE(C131, ""volumeavg""), 
      GOOGLEFINANCE(C131, ""price"") * AVERAGE(QUERY(GOOGLEFINANCE(C131, ""volume"", TODAY()-40, TODAY()), ""SELECT Col2 WHERE Col2 IS NOT "&amp;"NULL ORDER BY Col1 DESC LIMIT 20"", 0))
    )
  ), 
"""")"),"")</f>
        <v/>
      </c>
      <c r="K131" s="21" t="str">
        <f>IFERROR(__xludf.DUMMYFUNCTION("IFERROR(GOOGLEFINANCE(C131, ""changepct"") / 100, """")"),"")</f>
        <v/>
      </c>
      <c r="L131" s="21" t="str">
        <f>IFERROR(__xludf.DUMMYFUNCTION("IFERROR((GOOGLEFINANCE(C131, ""price"") / INDEX(GOOGLEFINANCE(C131, ""price"", TODAY()-7, TODAY()), 2, 2)) - 1, """")"),"")</f>
        <v/>
      </c>
      <c r="M131" s="21" t="str">
        <f>IFERROR(__xludf.DUMMYFUNCTION("IFERROR((GOOGLEFINANCE(C131, ""price"") / INDEX(GOOGLEFINANCE(C131, ""price"", EDATE(TODAY(), -1), TODAY()), 2, 2)) - 1, """")"),"")</f>
        <v/>
      </c>
      <c r="N131" s="21" t="str">
        <f>IFERROR(__xludf.DUMMYFUNCTION("IFERROR((GOOGLEFINANCE(C131, ""price"") / INDEX(GOOGLEFINANCE(C131, ""price"", EDATE(TODAY(), -3), TODAY()), 2, 2)) - 1, """")"),"")</f>
        <v/>
      </c>
      <c r="O131" s="21" t="str">
        <f>IFERROR(__xludf.DUMMYFUNCTION("IFERROR((GOOGLEFINANCE(C131, ""price"") / INDEX(GOOGLEFINANCE(C131, ""price"", EDATE(TODAY(), -6), TODAY()), 2, 2)) - 1, """")"),"")</f>
        <v/>
      </c>
      <c r="P131" s="21" t="str">
        <f>IFERROR(__xludf.DUMMYFUNCTION("IFERROR((GOOGLEFINANCE(C131, ""price"") / INDEX(GOOGLEFINANCE(C131, ""price"", EDATE(TODAY(), -12), TODAY()), 2, 2)) - 1, """")"),"")</f>
        <v/>
      </c>
      <c r="Q131" s="6" t="str">
        <f>IFERROR(__xludf.DUMMYFUNCTION("AVERAGE(QUERY(GOOGLEFINANCE(C131, ""price"", TODAY()-80, TODAY()), ""SELECT Col2 WHERE Col2 IS NOT NULL ORDER BY Col1 DESC LIMIT 50"", 0))"),"#N/A")</f>
        <v>#N/A</v>
      </c>
      <c r="R131" s="24" t="str">
        <f>IFERROR(__xludf.DUMMYFUNCTION("IFERROR(
  LET(
    data, QUERY(GOOGLEFINANCE(C131,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GOOGLEFINANCE(C131, ""price"")) * 100,
    IF(calc=0, G131, calc)
  ), 
G131)"),"#N/A")</f>
        <v>#N/A</v>
      </c>
      <c r="S131" s="8" t="s">
        <v>15</v>
      </c>
      <c r="T131" s="26" t="str">
        <f>IFERROR(__xludf.DUMMYFUNCTION("IFERROR(TRANSPOSE(QUERY(IFERROR(SORT(GOOGLEFINANCE(C131, ""price"", WORKDAY(TODAY(), -40), TODAY()), 1, FALSE)), ""select Col2 where Col2 is not null limit 22 label Col2 ''"", 0)), """")"),"")</f>
        <v/>
      </c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8"/>
      <c r="AO131" s="28"/>
      <c r="AP131" s="29"/>
      <c r="AQ131" s="29" t="str">
        <f t="shared" ref="AQ131:BL131" si="134">T131/T$2</f>
        <v>#N/A</v>
      </c>
      <c r="AR131" s="29" t="str">
        <f t="shared" si="134"/>
        <v>#DIV/0!</v>
      </c>
      <c r="AS131" s="29" t="str">
        <f t="shared" si="134"/>
        <v>#DIV/0!</v>
      </c>
      <c r="AT131" s="29" t="str">
        <f t="shared" si="134"/>
        <v>#DIV/0!</v>
      </c>
      <c r="AU131" s="29" t="str">
        <f t="shared" si="134"/>
        <v>#DIV/0!</v>
      </c>
      <c r="AV131" s="29" t="str">
        <f t="shared" si="134"/>
        <v>#DIV/0!</v>
      </c>
      <c r="AW131" s="29" t="str">
        <f t="shared" si="134"/>
        <v>#DIV/0!</v>
      </c>
      <c r="AX131" s="29" t="str">
        <f t="shared" si="134"/>
        <v>#DIV/0!</v>
      </c>
      <c r="AY131" s="29" t="str">
        <f t="shared" si="134"/>
        <v>#DIV/0!</v>
      </c>
      <c r="AZ131" s="29" t="str">
        <f t="shared" si="134"/>
        <v>#DIV/0!</v>
      </c>
      <c r="BA131" s="29" t="str">
        <f t="shared" si="134"/>
        <v>#DIV/0!</v>
      </c>
      <c r="BB131" s="29" t="str">
        <f t="shared" si="134"/>
        <v>#DIV/0!</v>
      </c>
      <c r="BC131" s="29" t="str">
        <f t="shared" si="134"/>
        <v>#DIV/0!</v>
      </c>
      <c r="BD131" s="29" t="str">
        <f t="shared" si="134"/>
        <v>#DIV/0!</v>
      </c>
      <c r="BE131" s="29" t="str">
        <f t="shared" si="134"/>
        <v>#DIV/0!</v>
      </c>
      <c r="BF131" s="29" t="str">
        <f t="shared" si="134"/>
        <v>#DIV/0!</v>
      </c>
      <c r="BG131" s="29" t="str">
        <f t="shared" si="134"/>
        <v>#DIV/0!</v>
      </c>
      <c r="BH131" s="29" t="str">
        <f t="shared" si="134"/>
        <v>#DIV/0!</v>
      </c>
      <c r="BI131" s="29" t="str">
        <f t="shared" si="134"/>
        <v>#DIV/0!</v>
      </c>
      <c r="BJ131" s="29" t="str">
        <f t="shared" si="134"/>
        <v>#DIV/0!</v>
      </c>
      <c r="BK131" s="29" t="str">
        <f t="shared" si="134"/>
        <v>#DIV/0!</v>
      </c>
      <c r="BL131" s="29" t="str">
        <f t="shared" si="134"/>
        <v>#DIV/0!</v>
      </c>
      <c r="BM131" s="29" t="str">
        <f t="shared" si="3"/>
        <v>#DIV/0!</v>
      </c>
    </row>
    <row r="132">
      <c r="A132" s="16" t="str">
        <f>IFERROR(__xludf.DUMMYFUNCTION("IFERROR(SPARKLINE(SORT(MAP(TRANSPOSE(AQ132:BL132), LAMBDA(val, IF(ISNUMBER(val), PERCENTRANK(AQ132:BL132, val)+0.01, 0))), SEQUENCE(COLUMNS(AQ132:BL132)), FALSE), {""charttype"",""column""; ""color"",""chartreuse""; ""ymin"", 0; ""ymax"", 1.01; ""highcolo"&amp;"r"", ""darkgreen""; ""lowcolor"", ""red""}), """")"),"")</f>
        <v/>
      </c>
      <c r="B132" s="17" t="str">
        <f t="shared" si="4"/>
        <v/>
      </c>
      <c r="C132" s="1" t="s">
        <v>636</v>
      </c>
      <c r="D132" s="34" t="str">
        <f>IFERROR(__xludf.DUMMYFUNCTION("IFERROR(GOOGLEFINANCE(C132, ""NAME""))"),"Noah Holdings Limited")</f>
        <v>Noah Holdings Limited</v>
      </c>
      <c r="E132" s="30" t="s">
        <v>64</v>
      </c>
      <c r="F132" s="33" t="str">
        <f>IFERROR(__xludf.DUMMYFUNCTION("( (GOOGLEFINANCE(C132, ""price"") - Q132) / Q132 ) / (R132 / 100)"),"Loading...")</f>
        <v>Loading...</v>
      </c>
      <c r="G132" s="20" t="str">
        <f>IFERROR(__xludf.DUMMYFUNCTION("AVERAGE(ARRAYFORMULA(100 * (QUERY(GOOGLEFINANCE(C132, ""high"", TODAY()-40, TODAY()), ""SELECT Col2 WHERE Col2 IS NOT NULL ORDER BY Col1 DESC LIMIT 20"", 0) / QUERY(GOOGLEFINANCE(C132, ""low"", TODAY()-40, TODAY()), ""SELECT Col2 WHERE Col2 IS NOT NULL OR"&amp;"DER BY Col1 DESC LIMIT 20"", 0) - 1)))"),"#N/A")</f>
        <v>#N/A</v>
      </c>
      <c r="H132" s="35" t="str">
        <f t="shared" si="6"/>
        <v/>
      </c>
      <c r="I132" s="36" t="str">
        <f t="shared" si="7"/>
        <v/>
      </c>
      <c r="J132" s="37" t="str">
        <f>IFERROR(__xludf.DUMMYFUNCTION("IFERROR(
  IF(C132="""",, 
    IFERROR(
      GOOGLEFINANCE(C132, ""price"") * GOOGLEFINANCE(C132, ""volumeavg""), 
      GOOGLEFINANCE(C132, ""price"") * AVERAGE(QUERY(GOOGLEFINANCE(C132, ""volume"", TODAY()-40, TODAY()), ""SELECT Col2 WHERE Col2 IS NOT "&amp;"NULL ORDER BY Col1 DESC LIMIT 20"", 0))
    )
  ), 
"""")"),"")</f>
        <v/>
      </c>
      <c r="K132" s="21" t="str">
        <f>IFERROR(__xludf.DUMMYFUNCTION("IFERROR(GOOGLEFINANCE(C132, ""changepct"") / 100, """")"),"")</f>
        <v/>
      </c>
      <c r="L132" s="21" t="str">
        <f>IFERROR(__xludf.DUMMYFUNCTION("IFERROR((GOOGLEFINANCE(C132, ""price"") / INDEX(GOOGLEFINANCE(C132, ""price"", TODAY()-7, TODAY()), 2, 2)) - 1, """")"),"")</f>
        <v/>
      </c>
      <c r="M132" s="21" t="str">
        <f>IFERROR(__xludf.DUMMYFUNCTION("IFERROR((GOOGLEFINANCE(C132, ""price"") / INDEX(GOOGLEFINANCE(C132, ""price"", EDATE(TODAY(), -1), TODAY()), 2, 2)) - 1, """")"),"")</f>
        <v/>
      </c>
      <c r="N132" s="21" t="str">
        <f>IFERROR(__xludf.DUMMYFUNCTION("IFERROR((GOOGLEFINANCE(C132, ""price"") / INDEX(GOOGLEFINANCE(C132, ""price"", EDATE(TODAY(), -3), TODAY()), 2, 2)) - 1, """")"),"")</f>
        <v/>
      </c>
      <c r="O132" s="21" t="str">
        <f>IFERROR(__xludf.DUMMYFUNCTION("IFERROR((GOOGLEFINANCE(C132, ""price"") / INDEX(GOOGLEFINANCE(C132, ""price"", EDATE(TODAY(), -6), TODAY()), 2, 2)) - 1, """")"),"")</f>
        <v/>
      </c>
      <c r="P132" s="21" t="str">
        <f>IFERROR(__xludf.DUMMYFUNCTION("IFERROR((GOOGLEFINANCE(C132, ""price"") / INDEX(GOOGLEFINANCE(C132, ""price"", EDATE(TODAY(), -12), TODAY()), 2, 2)) - 1, """")"),"")</f>
        <v/>
      </c>
      <c r="Q132" s="6" t="str">
        <f>IFERROR(__xludf.DUMMYFUNCTION("AVERAGE(QUERY(GOOGLEFINANCE(C132, ""price"", TODAY()-80, TODAY()), ""SELECT Col2 WHERE Col2 IS NOT NULL ORDER BY Col1 DESC LIMIT 50"", 0))"),"#N/A")</f>
        <v>#N/A</v>
      </c>
      <c r="R132" s="24" t="str">
        <f>IFERROR(__xludf.DUMMYFUNCTION("IFERROR(
  LET(
    data, QUERY(GOOGLEFINANCE(C132,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GOOGLEFINANCE(C132, ""price"")) * 100,
    IF(calc=0, G132, calc)
  ), 
G132)"),"#N/A")</f>
        <v>#N/A</v>
      </c>
      <c r="S132" s="8" t="s">
        <v>15</v>
      </c>
      <c r="T132" s="26" t="str">
        <f>IFERROR(__xludf.DUMMYFUNCTION("IFERROR(TRANSPOSE(QUERY(IFERROR(SORT(GOOGLEFINANCE(C132, ""price"", WORKDAY(TODAY(), -40), TODAY()), 1, FALSE)), ""select Col2 where Col2 is not null limit 22 label Col2 ''"", 0)), """")"),"")</f>
        <v/>
      </c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8"/>
      <c r="AO132" s="28"/>
      <c r="AP132" s="29"/>
      <c r="AQ132" s="29" t="str">
        <f t="shared" ref="AQ132:BL132" si="135">T132/T$2</f>
        <v>#N/A</v>
      </c>
      <c r="AR132" s="29" t="str">
        <f t="shared" si="135"/>
        <v>#DIV/0!</v>
      </c>
      <c r="AS132" s="29" t="str">
        <f t="shared" si="135"/>
        <v>#DIV/0!</v>
      </c>
      <c r="AT132" s="29" t="str">
        <f t="shared" si="135"/>
        <v>#DIV/0!</v>
      </c>
      <c r="AU132" s="29" t="str">
        <f t="shared" si="135"/>
        <v>#DIV/0!</v>
      </c>
      <c r="AV132" s="29" t="str">
        <f t="shared" si="135"/>
        <v>#DIV/0!</v>
      </c>
      <c r="AW132" s="29" t="str">
        <f t="shared" si="135"/>
        <v>#DIV/0!</v>
      </c>
      <c r="AX132" s="29" t="str">
        <f t="shared" si="135"/>
        <v>#DIV/0!</v>
      </c>
      <c r="AY132" s="29" t="str">
        <f t="shared" si="135"/>
        <v>#DIV/0!</v>
      </c>
      <c r="AZ132" s="29" t="str">
        <f t="shared" si="135"/>
        <v>#DIV/0!</v>
      </c>
      <c r="BA132" s="29" t="str">
        <f t="shared" si="135"/>
        <v>#DIV/0!</v>
      </c>
      <c r="BB132" s="29" t="str">
        <f t="shared" si="135"/>
        <v>#DIV/0!</v>
      </c>
      <c r="BC132" s="29" t="str">
        <f t="shared" si="135"/>
        <v>#DIV/0!</v>
      </c>
      <c r="BD132" s="29" t="str">
        <f t="shared" si="135"/>
        <v>#DIV/0!</v>
      </c>
      <c r="BE132" s="29" t="str">
        <f t="shared" si="135"/>
        <v>#DIV/0!</v>
      </c>
      <c r="BF132" s="29" t="str">
        <f t="shared" si="135"/>
        <v>#DIV/0!</v>
      </c>
      <c r="BG132" s="29" t="str">
        <f t="shared" si="135"/>
        <v>#DIV/0!</v>
      </c>
      <c r="BH132" s="29" t="str">
        <f t="shared" si="135"/>
        <v>#DIV/0!</v>
      </c>
      <c r="BI132" s="29" t="str">
        <f t="shared" si="135"/>
        <v>#DIV/0!</v>
      </c>
      <c r="BJ132" s="29" t="str">
        <f t="shared" si="135"/>
        <v>#DIV/0!</v>
      </c>
      <c r="BK132" s="29" t="str">
        <f t="shared" si="135"/>
        <v>#DIV/0!</v>
      </c>
      <c r="BL132" s="29" t="str">
        <f t="shared" si="135"/>
        <v>#DIV/0!</v>
      </c>
      <c r="BM132" s="29" t="str">
        <f t="shared" si="3"/>
        <v>#DIV/0!</v>
      </c>
    </row>
    <row r="133">
      <c r="A133" s="16" t="str">
        <f>IFERROR(__xludf.DUMMYFUNCTION("IFERROR(SPARKLINE(SORT(MAP(TRANSPOSE(AQ133:BL133), LAMBDA(val, IF(ISNUMBER(val), PERCENTRANK(AQ133:BL133, val)+0.01, 0))), SEQUENCE(COLUMNS(AQ133:BL133)), FALSE), {""charttype"",""column""; ""color"",""chartreuse""; ""ymin"", 0; ""ymax"", 1.01; ""highcolo"&amp;"r"", ""darkgreen""; ""lowcolor"", ""red""}), """")"),"")</f>
        <v/>
      </c>
      <c r="B133" s="17" t="str">
        <f t="shared" si="4"/>
        <v/>
      </c>
      <c r="C133" s="1" t="s">
        <v>651</v>
      </c>
      <c r="D133" s="34" t="str">
        <f>IFERROR(__xludf.DUMMYFUNCTION("IFERROR(GOOGLEFINANCE(C133, ""NAME""))"),"Cincinnati Financial Corp")</f>
        <v>Cincinnati Financial Corp</v>
      </c>
      <c r="E133" s="30" t="s">
        <v>82</v>
      </c>
      <c r="F133" s="33" t="str">
        <f>IFERROR(__xludf.DUMMYFUNCTION("( (GOOGLEFINANCE(C133, ""price"") - Q133) / Q133 ) / (R133 / 100)"),"Loading...")</f>
        <v>Loading...</v>
      </c>
      <c r="G133" s="20" t="str">
        <f>IFERROR(__xludf.DUMMYFUNCTION("AVERAGE(ARRAYFORMULA(100 * (QUERY(GOOGLEFINANCE(C133, ""high"", TODAY()-40, TODAY()), ""SELECT Col2 WHERE Col2 IS NOT NULL ORDER BY Col1 DESC LIMIT 20"", 0) / QUERY(GOOGLEFINANCE(C133, ""low"", TODAY()-40, TODAY()), ""SELECT Col2 WHERE Col2 IS NOT NULL OR"&amp;"DER BY Col1 DESC LIMIT 20"", 0) - 1)))"),"#N/A")</f>
        <v>#N/A</v>
      </c>
      <c r="H133" s="35" t="str">
        <f t="shared" si="6"/>
        <v/>
      </c>
      <c r="I133" s="36" t="str">
        <f t="shared" si="7"/>
        <v/>
      </c>
      <c r="J133" s="37" t="str">
        <f>IFERROR(__xludf.DUMMYFUNCTION("IFERROR(
  IF(C133="""",, 
    IFERROR(
      GOOGLEFINANCE(C133, ""price"") * GOOGLEFINANCE(C133, ""volumeavg""), 
      GOOGLEFINANCE(C133, ""price"") * AVERAGE(QUERY(GOOGLEFINANCE(C133, ""volume"", TODAY()-40, TODAY()), ""SELECT Col2 WHERE Col2 IS NOT "&amp;"NULL ORDER BY Col1 DESC LIMIT 20"", 0))
    )
  ), 
"""")"),"")</f>
        <v/>
      </c>
      <c r="K133" s="21" t="str">
        <f>IFERROR(__xludf.DUMMYFUNCTION("IFERROR(GOOGLEFINANCE(C133, ""changepct"") / 100, """")"),"")</f>
        <v/>
      </c>
      <c r="L133" s="21" t="str">
        <f>IFERROR(__xludf.DUMMYFUNCTION("IFERROR((GOOGLEFINANCE(C133, ""price"") / INDEX(GOOGLEFINANCE(C133, ""price"", TODAY()-7, TODAY()), 2, 2)) - 1, """")"),"")</f>
        <v/>
      </c>
      <c r="M133" s="21" t="str">
        <f>IFERROR(__xludf.DUMMYFUNCTION("IFERROR((GOOGLEFINANCE(C133, ""price"") / INDEX(GOOGLEFINANCE(C133, ""price"", EDATE(TODAY(), -1), TODAY()), 2, 2)) - 1, """")"),"")</f>
        <v/>
      </c>
      <c r="N133" s="21" t="str">
        <f>IFERROR(__xludf.DUMMYFUNCTION("IFERROR((GOOGLEFINANCE(C133, ""price"") / INDEX(GOOGLEFINANCE(C133, ""price"", EDATE(TODAY(), -3), TODAY()), 2, 2)) - 1, """")"),"")</f>
        <v/>
      </c>
      <c r="O133" s="21" t="str">
        <f>IFERROR(__xludf.DUMMYFUNCTION("IFERROR((GOOGLEFINANCE(C133, ""price"") / INDEX(GOOGLEFINANCE(C133, ""price"", EDATE(TODAY(), -6), TODAY()), 2, 2)) - 1, """")"),"")</f>
        <v/>
      </c>
      <c r="P133" s="21" t="str">
        <f>IFERROR(__xludf.DUMMYFUNCTION("IFERROR((GOOGLEFINANCE(C133, ""price"") / INDEX(GOOGLEFINANCE(C133, ""price"", EDATE(TODAY(), -12), TODAY()), 2, 2)) - 1, """")"),"")</f>
        <v/>
      </c>
      <c r="Q133" s="6" t="str">
        <f>IFERROR(__xludf.DUMMYFUNCTION("AVERAGE(QUERY(GOOGLEFINANCE(C133, ""price"", TODAY()-80, TODAY()), ""SELECT Col2 WHERE Col2 IS NOT NULL ORDER BY Col1 DESC LIMIT 50"", 0))"),"#N/A")</f>
        <v>#N/A</v>
      </c>
      <c r="R133" s="24" t="str">
        <f>IFERROR(__xludf.DUMMYFUNCTION("IFERROR(
  LET(
    data, QUERY(GOOGLEFINANCE(C133,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GOOGLEFINANCE(C133, ""price"")) * 100,
    IF(calc=0, G133, calc)
  ), 
G133)"),"#N/A")</f>
        <v>#N/A</v>
      </c>
      <c r="S133" s="8" t="s">
        <v>15</v>
      </c>
      <c r="T133" s="26" t="str">
        <f>IFERROR(__xludf.DUMMYFUNCTION("IFERROR(TRANSPOSE(QUERY(IFERROR(SORT(GOOGLEFINANCE(C133, ""price"", WORKDAY(TODAY(), -40), TODAY()), 1, FALSE)), ""select Col2 where Col2 is not null limit 22 label Col2 ''"", 0)), """")"),"")</f>
        <v/>
      </c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8"/>
      <c r="AO133" s="28"/>
      <c r="AP133" s="29"/>
      <c r="AQ133" s="29" t="str">
        <f t="shared" ref="AQ133:BL133" si="136">T133/T$2</f>
        <v>#N/A</v>
      </c>
      <c r="AR133" s="29" t="str">
        <f t="shared" si="136"/>
        <v>#DIV/0!</v>
      </c>
      <c r="AS133" s="29" t="str">
        <f t="shared" si="136"/>
        <v>#DIV/0!</v>
      </c>
      <c r="AT133" s="29" t="str">
        <f t="shared" si="136"/>
        <v>#DIV/0!</v>
      </c>
      <c r="AU133" s="29" t="str">
        <f t="shared" si="136"/>
        <v>#DIV/0!</v>
      </c>
      <c r="AV133" s="29" t="str">
        <f t="shared" si="136"/>
        <v>#DIV/0!</v>
      </c>
      <c r="AW133" s="29" t="str">
        <f t="shared" si="136"/>
        <v>#DIV/0!</v>
      </c>
      <c r="AX133" s="29" t="str">
        <f t="shared" si="136"/>
        <v>#DIV/0!</v>
      </c>
      <c r="AY133" s="29" t="str">
        <f t="shared" si="136"/>
        <v>#DIV/0!</v>
      </c>
      <c r="AZ133" s="29" t="str">
        <f t="shared" si="136"/>
        <v>#DIV/0!</v>
      </c>
      <c r="BA133" s="29" t="str">
        <f t="shared" si="136"/>
        <v>#DIV/0!</v>
      </c>
      <c r="BB133" s="29" t="str">
        <f t="shared" si="136"/>
        <v>#DIV/0!</v>
      </c>
      <c r="BC133" s="29" t="str">
        <f t="shared" si="136"/>
        <v>#DIV/0!</v>
      </c>
      <c r="BD133" s="29" t="str">
        <f t="shared" si="136"/>
        <v>#DIV/0!</v>
      </c>
      <c r="BE133" s="29" t="str">
        <f t="shared" si="136"/>
        <v>#DIV/0!</v>
      </c>
      <c r="BF133" s="29" t="str">
        <f t="shared" si="136"/>
        <v>#DIV/0!</v>
      </c>
      <c r="BG133" s="29" t="str">
        <f t="shared" si="136"/>
        <v>#DIV/0!</v>
      </c>
      <c r="BH133" s="29" t="str">
        <f t="shared" si="136"/>
        <v>#DIV/0!</v>
      </c>
      <c r="BI133" s="29" t="str">
        <f t="shared" si="136"/>
        <v>#DIV/0!</v>
      </c>
      <c r="BJ133" s="29" t="str">
        <f t="shared" si="136"/>
        <v>#DIV/0!</v>
      </c>
      <c r="BK133" s="29" t="str">
        <f t="shared" si="136"/>
        <v>#DIV/0!</v>
      </c>
      <c r="BL133" s="29" t="str">
        <f t="shared" si="136"/>
        <v>#DIV/0!</v>
      </c>
      <c r="BM133" s="29" t="str">
        <f t="shared" si="3"/>
        <v>#DIV/0!</v>
      </c>
    </row>
    <row r="134">
      <c r="A134" s="16" t="str">
        <f>IFERROR(__xludf.DUMMYFUNCTION("IFERROR(SPARKLINE(SORT(MAP(TRANSPOSE(AQ134:BL134), LAMBDA(val, IF(ISNUMBER(val), PERCENTRANK(AQ134:BL134, val)+0.01, 0))), SEQUENCE(COLUMNS(AQ134:BL134)), FALSE), {""charttype"",""column""; ""color"",""chartreuse""; ""ymin"", 0; ""ymax"", 1.01; ""highcolo"&amp;"r"", ""darkgreen""; ""lowcolor"", ""red""}), """")"),"")</f>
        <v/>
      </c>
      <c r="B134" s="17" t="str">
        <f t="shared" si="4"/>
        <v/>
      </c>
      <c r="C134" s="1" t="s">
        <v>656</v>
      </c>
      <c r="D134" s="34" t="str">
        <f>IFERROR(__xludf.DUMMYFUNCTION("IFERROR(GOOGLEFINANCE(C134, ""NAME""))"),"Ryan Specialty Holdings Inc")</f>
        <v>Ryan Specialty Holdings Inc</v>
      </c>
      <c r="E134" s="30" t="s">
        <v>276</v>
      </c>
      <c r="F134" s="33" t="str">
        <f>IFERROR(__xludf.DUMMYFUNCTION("( (GOOGLEFINANCE(C134, ""price"") - Q134) / Q134 ) / (R134 / 100)"),"Loading...")</f>
        <v>Loading...</v>
      </c>
      <c r="G134" s="20" t="str">
        <f>IFERROR(__xludf.DUMMYFUNCTION("AVERAGE(ARRAYFORMULA(100 * (QUERY(GOOGLEFINANCE(C134, ""high"", TODAY()-40, TODAY()), ""SELECT Col2 WHERE Col2 IS NOT NULL ORDER BY Col1 DESC LIMIT 20"", 0) / QUERY(GOOGLEFINANCE(C134, ""low"", TODAY()-40, TODAY()), ""SELECT Col2 WHERE Col2 IS NOT NULL OR"&amp;"DER BY Col1 DESC LIMIT 20"", 0) - 1)))"),"#N/A")</f>
        <v>#N/A</v>
      </c>
      <c r="H134" s="35" t="str">
        <f t="shared" si="6"/>
        <v/>
      </c>
      <c r="I134" s="36" t="str">
        <f t="shared" si="7"/>
        <v/>
      </c>
      <c r="J134" s="37" t="str">
        <f>IFERROR(__xludf.DUMMYFUNCTION("IFERROR(
  IF(C134="""",, 
    IFERROR(
      GOOGLEFINANCE(C134, ""price"") * GOOGLEFINANCE(C134, ""volumeavg""), 
      GOOGLEFINANCE(C134, ""price"") * AVERAGE(QUERY(GOOGLEFINANCE(C134, ""volume"", TODAY()-40, TODAY()), ""SELECT Col2 WHERE Col2 IS NOT "&amp;"NULL ORDER BY Col1 DESC LIMIT 20"", 0))
    )
  ), 
"""")"),"")</f>
        <v/>
      </c>
      <c r="K134" s="21" t="str">
        <f>IFERROR(__xludf.DUMMYFUNCTION("IFERROR(GOOGLEFINANCE(C134, ""changepct"") / 100, """")"),"")</f>
        <v/>
      </c>
      <c r="L134" s="21" t="str">
        <f>IFERROR(__xludf.DUMMYFUNCTION("IFERROR((GOOGLEFINANCE(C134, ""price"") / INDEX(GOOGLEFINANCE(C134, ""price"", TODAY()-7, TODAY()), 2, 2)) - 1, """")"),"")</f>
        <v/>
      </c>
      <c r="M134" s="21" t="str">
        <f>IFERROR(__xludf.DUMMYFUNCTION("IFERROR((GOOGLEFINANCE(C134, ""price"") / INDEX(GOOGLEFINANCE(C134, ""price"", EDATE(TODAY(), -1), TODAY()), 2, 2)) - 1, """")"),"")</f>
        <v/>
      </c>
      <c r="N134" s="21" t="str">
        <f>IFERROR(__xludf.DUMMYFUNCTION("IFERROR((GOOGLEFINANCE(C134, ""price"") / INDEX(GOOGLEFINANCE(C134, ""price"", EDATE(TODAY(), -3), TODAY()), 2, 2)) - 1, """")"),"")</f>
        <v/>
      </c>
      <c r="O134" s="21" t="str">
        <f>IFERROR(__xludf.DUMMYFUNCTION("IFERROR((GOOGLEFINANCE(C134, ""price"") / INDEX(GOOGLEFINANCE(C134, ""price"", EDATE(TODAY(), -6), TODAY()), 2, 2)) - 1, """")"),"")</f>
        <v/>
      </c>
      <c r="P134" s="21" t="str">
        <f>IFERROR(__xludf.DUMMYFUNCTION("IFERROR((GOOGLEFINANCE(C134, ""price"") / INDEX(GOOGLEFINANCE(C134, ""price"", EDATE(TODAY(), -12), TODAY()), 2, 2)) - 1, """")"),"")</f>
        <v/>
      </c>
      <c r="Q134" s="6" t="str">
        <f>IFERROR(__xludf.DUMMYFUNCTION("AVERAGE(QUERY(GOOGLEFINANCE(C134, ""price"", TODAY()-80, TODAY()), ""SELECT Col2 WHERE Col2 IS NOT NULL ORDER BY Col1 DESC LIMIT 50"", 0))"),"#N/A")</f>
        <v>#N/A</v>
      </c>
      <c r="R134" s="24" t="str">
        <f>IFERROR(__xludf.DUMMYFUNCTION("IFERROR(
  LET(
    data, QUERY(GOOGLEFINANCE(C134,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GOOGLEFINANCE(C134, ""price"")) * 100,
    IF(calc=0, G134, calc)
  ), 
G134)"),"#N/A")</f>
        <v>#N/A</v>
      </c>
      <c r="S134" s="8" t="s">
        <v>15</v>
      </c>
      <c r="T134" s="26" t="str">
        <f>IFERROR(__xludf.DUMMYFUNCTION("IFERROR(TRANSPOSE(QUERY(IFERROR(SORT(GOOGLEFINANCE(C134, ""price"", WORKDAY(TODAY(), -40), TODAY()), 1, FALSE)), ""select Col2 where Col2 is not null limit 22 label Col2 ''"", 0)), """")"),"")</f>
        <v/>
      </c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8"/>
      <c r="AO134" s="28"/>
      <c r="AP134" s="29"/>
      <c r="AQ134" s="29" t="str">
        <f t="shared" ref="AQ134:BL134" si="137">T134/T$2</f>
        <v>#N/A</v>
      </c>
      <c r="AR134" s="29" t="str">
        <f t="shared" si="137"/>
        <v>#DIV/0!</v>
      </c>
      <c r="AS134" s="29" t="str">
        <f t="shared" si="137"/>
        <v>#DIV/0!</v>
      </c>
      <c r="AT134" s="29" t="str">
        <f t="shared" si="137"/>
        <v>#DIV/0!</v>
      </c>
      <c r="AU134" s="29" t="str">
        <f t="shared" si="137"/>
        <v>#DIV/0!</v>
      </c>
      <c r="AV134" s="29" t="str">
        <f t="shared" si="137"/>
        <v>#DIV/0!</v>
      </c>
      <c r="AW134" s="29" t="str">
        <f t="shared" si="137"/>
        <v>#DIV/0!</v>
      </c>
      <c r="AX134" s="29" t="str">
        <f t="shared" si="137"/>
        <v>#DIV/0!</v>
      </c>
      <c r="AY134" s="29" t="str">
        <f t="shared" si="137"/>
        <v>#DIV/0!</v>
      </c>
      <c r="AZ134" s="29" t="str">
        <f t="shared" si="137"/>
        <v>#DIV/0!</v>
      </c>
      <c r="BA134" s="29" t="str">
        <f t="shared" si="137"/>
        <v>#DIV/0!</v>
      </c>
      <c r="BB134" s="29" t="str">
        <f t="shared" si="137"/>
        <v>#DIV/0!</v>
      </c>
      <c r="BC134" s="29" t="str">
        <f t="shared" si="137"/>
        <v>#DIV/0!</v>
      </c>
      <c r="BD134" s="29" t="str">
        <f t="shared" si="137"/>
        <v>#DIV/0!</v>
      </c>
      <c r="BE134" s="29" t="str">
        <f t="shared" si="137"/>
        <v>#DIV/0!</v>
      </c>
      <c r="BF134" s="29" t="str">
        <f t="shared" si="137"/>
        <v>#DIV/0!</v>
      </c>
      <c r="BG134" s="29" t="str">
        <f t="shared" si="137"/>
        <v>#DIV/0!</v>
      </c>
      <c r="BH134" s="29" t="str">
        <f t="shared" si="137"/>
        <v>#DIV/0!</v>
      </c>
      <c r="BI134" s="29" t="str">
        <f t="shared" si="137"/>
        <v>#DIV/0!</v>
      </c>
      <c r="BJ134" s="29" t="str">
        <f t="shared" si="137"/>
        <v>#DIV/0!</v>
      </c>
      <c r="BK134" s="29" t="str">
        <f t="shared" si="137"/>
        <v>#DIV/0!</v>
      </c>
      <c r="BL134" s="29" t="str">
        <f t="shared" si="137"/>
        <v>#DIV/0!</v>
      </c>
      <c r="BM134" s="29" t="str">
        <f t="shared" si="3"/>
        <v>#DIV/0!</v>
      </c>
    </row>
    <row r="135">
      <c r="A135" s="16" t="str">
        <f>IFERROR(__xludf.DUMMYFUNCTION("IFERROR(SPARKLINE(SORT(MAP(TRANSPOSE(AQ135:BL135), LAMBDA(val, IF(ISNUMBER(val), PERCENTRANK(AQ135:BL135, val)+0.01, 0))), SEQUENCE(COLUMNS(AQ135:BL135)), FALSE), {""charttype"",""column""; ""color"",""chartreuse""; ""ymin"", 0; ""ymax"", 1.01; ""highcolo"&amp;"r"", ""darkgreen""; ""lowcolor"", ""red""}), """")"),"")</f>
        <v/>
      </c>
      <c r="B135" s="17" t="str">
        <f t="shared" si="4"/>
        <v/>
      </c>
      <c r="C135" s="1" t="s">
        <v>660</v>
      </c>
      <c r="D135" s="34" t="str">
        <f>IFERROR(__xludf.DUMMYFUNCTION("IFERROR(GOOGLEFINANCE(C135, ""NAME""))"),"Aflac Inc")</f>
        <v>Aflac Inc</v>
      </c>
      <c r="E135" s="30" t="s">
        <v>231</v>
      </c>
      <c r="F135" s="33" t="str">
        <f>IFERROR(__xludf.DUMMYFUNCTION("( (GOOGLEFINANCE(C135, ""price"") - Q135) / Q135 ) / (R135 / 100)"),"Loading...")</f>
        <v>Loading...</v>
      </c>
      <c r="G135" s="20" t="str">
        <f>IFERROR(__xludf.DUMMYFUNCTION("AVERAGE(ARRAYFORMULA(100 * (QUERY(GOOGLEFINANCE(C135, ""high"", TODAY()-40, TODAY()), ""SELECT Col2 WHERE Col2 IS NOT NULL ORDER BY Col1 DESC LIMIT 20"", 0) / QUERY(GOOGLEFINANCE(C135, ""low"", TODAY()-40, TODAY()), ""SELECT Col2 WHERE Col2 IS NOT NULL OR"&amp;"DER BY Col1 DESC LIMIT 20"", 0) - 1)))"),"#N/A")</f>
        <v>#N/A</v>
      </c>
      <c r="H135" s="35" t="str">
        <f t="shared" si="6"/>
        <v/>
      </c>
      <c r="I135" s="36" t="str">
        <f t="shared" si="7"/>
        <v/>
      </c>
      <c r="J135" s="37" t="str">
        <f>IFERROR(__xludf.DUMMYFUNCTION("IFERROR(
  IF(C135="""",, 
    IFERROR(
      GOOGLEFINANCE(C135, ""price"") * GOOGLEFINANCE(C135, ""volumeavg""), 
      GOOGLEFINANCE(C135, ""price"") * AVERAGE(QUERY(GOOGLEFINANCE(C135, ""volume"", TODAY()-40, TODAY()), ""SELECT Col2 WHERE Col2 IS NOT "&amp;"NULL ORDER BY Col1 DESC LIMIT 20"", 0))
    )
  ), 
"""")"),"")</f>
        <v/>
      </c>
      <c r="K135" s="21" t="str">
        <f>IFERROR(__xludf.DUMMYFUNCTION("IFERROR(GOOGLEFINANCE(C135, ""changepct"") / 100, """")"),"")</f>
        <v/>
      </c>
      <c r="L135" s="21" t="str">
        <f>IFERROR(__xludf.DUMMYFUNCTION("IFERROR((GOOGLEFINANCE(C135, ""price"") / INDEX(GOOGLEFINANCE(C135, ""price"", TODAY()-7, TODAY()), 2, 2)) - 1, """")"),"")</f>
        <v/>
      </c>
      <c r="M135" s="21" t="str">
        <f>IFERROR(__xludf.DUMMYFUNCTION("IFERROR((GOOGLEFINANCE(C135, ""price"") / INDEX(GOOGLEFINANCE(C135, ""price"", EDATE(TODAY(), -1), TODAY()), 2, 2)) - 1, """")"),"")</f>
        <v/>
      </c>
      <c r="N135" s="21" t="str">
        <f>IFERROR(__xludf.DUMMYFUNCTION("IFERROR((GOOGLEFINANCE(C135, ""price"") / INDEX(GOOGLEFINANCE(C135, ""price"", EDATE(TODAY(), -3), TODAY()), 2, 2)) - 1, """")"),"")</f>
        <v/>
      </c>
      <c r="O135" s="21" t="str">
        <f>IFERROR(__xludf.DUMMYFUNCTION("IFERROR((GOOGLEFINANCE(C135, ""price"") / INDEX(GOOGLEFINANCE(C135, ""price"", EDATE(TODAY(), -6), TODAY()), 2, 2)) - 1, """")"),"")</f>
        <v/>
      </c>
      <c r="P135" s="21" t="str">
        <f>IFERROR(__xludf.DUMMYFUNCTION("IFERROR((GOOGLEFINANCE(C135, ""price"") / INDEX(GOOGLEFINANCE(C135, ""price"", EDATE(TODAY(), -12), TODAY()), 2, 2)) - 1, """")"),"")</f>
        <v/>
      </c>
      <c r="Q135" s="6" t="str">
        <f>IFERROR(__xludf.DUMMYFUNCTION("AVERAGE(QUERY(GOOGLEFINANCE(C135, ""price"", TODAY()-80, TODAY()), ""SELECT Col2 WHERE Col2 IS NOT NULL ORDER BY Col1 DESC LIMIT 50"", 0))"),"#N/A")</f>
        <v>#N/A</v>
      </c>
      <c r="R135" s="24" t="str">
        <f>IFERROR(__xludf.DUMMYFUNCTION("IFERROR(
  LET(
    data, QUERY(GOOGLEFINANCE(C135,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GOOGLEFINANCE(C135, ""price"")) * 100,
    IF(calc=0, G135, calc)
  ), 
G135)"),"#N/A")</f>
        <v>#N/A</v>
      </c>
      <c r="S135" s="8" t="s">
        <v>15</v>
      </c>
      <c r="T135" s="26" t="str">
        <f>IFERROR(__xludf.DUMMYFUNCTION("IFERROR(TRANSPOSE(QUERY(IFERROR(SORT(GOOGLEFINANCE(C135, ""price"", WORKDAY(TODAY(), -40), TODAY()), 1, FALSE)), ""select Col2 where Col2 is not null limit 22 label Col2 ''"", 0)), """")"),"")</f>
        <v/>
      </c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8"/>
      <c r="AO135" s="28"/>
      <c r="AP135" s="29"/>
      <c r="AQ135" s="29" t="str">
        <f t="shared" ref="AQ135:BL135" si="138">T135/T$2</f>
        <v>#N/A</v>
      </c>
      <c r="AR135" s="29" t="str">
        <f t="shared" si="138"/>
        <v>#DIV/0!</v>
      </c>
      <c r="AS135" s="29" t="str">
        <f t="shared" si="138"/>
        <v>#DIV/0!</v>
      </c>
      <c r="AT135" s="29" t="str">
        <f t="shared" si="138"/>
        <v>#DIV/0!</v>
      </c>
      <c r="AU135" s="29" t="str">
        <f t="shared" si="138"/>
        <v>#DIV/0!</v>
      </c>
      <c r="AV135" s="29" t="str">
        <f t="shared" si="138"/>
        <v>#DIV/0!</v>
      </c>
      <c r="AW135" s="29" t="str">
        <f t="shared" si="138"/>
        <v>#DIV/0!</v>
      </c>
      <c r="AX135" s="29" t="str">
        <f t="shared" si="138"/>
        <v>#DIV/0!</v>
      </c>
      <c r="AY135" s="29" t="str">
        <f t="shared" si="138"/>
        <v>#DIV/0!</v>
      </c>
      <c r="AZ135" s="29" t="str">
        <f t="shared" si="138"/>
        <v>#DIV/0!</v>
      </c>
      <c r="BA135" s="29" t="str">
        <f t="shared" si="138"/>
        <v>#DIV/0!</v>
      </c>
      <c r="BB135" s="29" t="str">
        <f t="shared" si="138"/>
        <v>#DIV/0!</v>
      </c>
      <c r="BC135" s="29" t="str">
        <f t="shared" si="138"/>
        <v>#DIV/0!</v>
      </c>
      <c r="BD135" s="29" t="str">
        <f t="shared" si="138"/>
        <v>#DIV/0!</v>
      </c>
      <c r="BE135" s="29" t="str">
        <f t="shared" si="138"/>
        <v>#DIV/0!</v>
      </c>
      <c r="BF135" s="29" t="str">
        <f t="shared" si="138"/>
        <v>#DIV/0!</v>
      </c>
      <c r="BG135" s="29" t="str">
        <f t="shared" si="138"/>
        <v>#DIV/0!</v>
      </c>
      <c r="BH135" s="29" t="str">
        <f t="shared" si="138"/>
        <v>#DIV/0!</v>
      </c>
      <c r="BI135" s="29" t="str">
        <f t="shared" si="138"/>
        <v>#DIV/0!</v>
      </c>
      <c r="BJ135" s="29" t="str">
        <f t="shared" si="138"/>
        <v>#DIV/0!</v>
      </c>
      <c r="BK135" s="29" t="str">
        <f t="shared" si="138"/>
        <v>#DIV/0!</v>
      </c>
      <c r="BL135" s="29" t="str">
        <f t="shared" si="138"/>
        <v>#DIV/0!</v>
      </c>
      <c r="BM135" s="29" t="str">
        <f t="shared" si="3"/>
        <v>#DIV/0!</v>
      </c>
    </row>
    <row r="136">
      <c r="A136" s="16" t="str">
        <f>IFERROR(__xludf.DUMMYFUNCTION("IFERROR(SPARKLINE(SORT(MAP(TRANSPOSE(AQ136:BL136), LAMBDA(val, IF(ISNUMBER(val), PERCENTRANK(AQ136:BL136, val)+0.01, 0))), SEQUENCE(COLUMNS(AQ136:BL136)), FALSE), {""charttype"",""column""; ""color"",""chartreuse""; ""ymin"", 0; ""ymax"", 1.01; ""highcolo"&amp;"r"", ""darkgreen""; ""lowcolor"", ""red""}), """")"),"")</f>
        <v/>
      </c>
      <c r="B136" s="17" t="str">
        <f t="shared" si="4"/>
        <v/>
      </c>
      <c r="C136" s="1" t="s">
        <v>667</v>
      </c>
      <c r="D136" s="34" t="str">
        <f>IFERROR(__xludf.DUMMYFUNCTION("IFERROR(GOOGLEFINANCE(C136, ""NAME""))"),"Morningstar Inc")</f>
        <v>Morningstar Inc</v>
      </c>
      <c r="E136" s="30" t="s">
        <v>54</v>
      </c>
      <c r="F136" s="33" t="str">
        <f>IFERROR(__xludf.DUMMYFUNCTION("( (GOOGLEFINANCE(C136, ""price"") - Q136) / Q136 ) / (R136 / 100)"),"Loading...")</f>
        <v>Loading...</v>
      </c>
      <c r="G136" s="20" t="str">
        <f>IFERROR(__xludf.DUMMYFUNCTION("AVERAGE(ARRAYFORMULA(100 * (QUERY(GOOGLEFINANCE(C136, ""high"", TODAY()-40, TODAY()), ""SELECT Col2 WHERE Col2 IS NOT NULL ORDER BY Col1 DESC LIMIT 20"", 0) / QUERY(GOOGLEFINANCE(C136, ""low"", TODAY()-40, TODAY()), ""SELECT Col2 WHERE Col2 IS NOT NULL OR"&amp;"DER BY Col1 DESC LIMIT 20"", 0) - 1)))"),"#N/A")</f>
        <v>#N/A</v>
      </c>
      <c r="H136" s="35" t="str">
        <f t="shared" si="6"/>
        <v/>
      </c>
      <c r="I136" s="36" t="str">
        <f t="shared" si="7"/>
        <v/>
      </c>
      <c r="J136" s="37" t="str">
        <f>IFERROR(__xludf.DUMMYFUNCTION("IFERROR(
  IF(C136="""",, 
    IFERROR(
      GOOGLEFINANCE(C136, ""price"") * GOOGLEFINANCE(C136, ""volumeavg""), 
      GOOGLEFINANCE(C136, ""price"") * AVERAGE(QUERY(GOOGLEFINANCE(C136, ""volume"", TODAY()-40, TODAY()), ""SELECT Col2 WHERE Col2 IS NOT "&amp;"NULL ORDER BY Col1 DESC LIMIT 20"", 0))
    )
  ), 
"""")"),"")</f>
        <v/>
      </c>
      <c r="K136" s="21" t="str">
        <f>IFERROR(__xludf.DUMMYFUNCTION("IFERROR(GOOGLEFINANCE(C136, ""changepct"") / 100, """")"),"")</f>
        <v/>
      </c>
      <c r="L136" s="21" t="str">
        <f>IFERROR(__xludf.DUMMYFUNCTION("IFERROR((GOOGLEFINANCE(C136, ""price"") / INDEX(GOOGLEFINANCE(C136, ""price"", TODAY()-7, TODAY()), 2, 2)) - 1, """")"),"")</f>
        <v/>
      </c>
      <c r="M136" s="21" t="str">
        <f>IFERROR(__xludf.DUMMYFUNCTION("IFERROR((GOOGLEFINANCE(C136, ""price"") / INDEX(GOOGLEFINANCE(C136, ""price"", EDATE(TODAY(), -1), TODAY()), 2, 2)) - 1, """")"),"")</f>
        <v/>
      </c>
      <c r="N136" s="21" t="str">
        <f>IFERROR(__xludf.DUMMYFUNCTION("IFERROR((GOOGLEFINANCE(C136, ""price"") / INDEX(GOOGLEFINANCE(C136, ""price"", EDATE(TODAY(), -3), TODAY()), 2, 2)) - 1, """")"),"")</f>
        <v/>
      </c>
      <c r="O136" s="21" t="str">
        <f>IFERROR(__xludf.DUMMYFUNCTION("IFERROR((GOOGLEFINANCE(C136, ""price"") / INDEX(GOOGLEFINANCE(C136, ""price"", EDATE(TODAY(), -6), TODAY()), 2, 2)) - 1, """")"),"")</f>
        <v/>
      </c>
      <c r="P136" s="21" t="str">
        <f>IFERROR(__xludf.DUMMYFUNCTION("IFERROR((GOOGLEFINANCE(C136, ""price"") / INDEX(GOOGLEFINANCE(C136, ""price"", EDATE(TODAY(), -12), TODAY()), 2, 2)) - 1, """")"),"")</f>
        <v/>
      </c>
      <c r="Q136" s="6" t="str">
        <f>IFERROR(__xludf.DUMMYFUNCTION("AVERAGE(QUERY(GOOGLEFINANCE(C136, ""price"", TODAY()-80, TODAY()), ""SELECT Col2 WHERE Col2 IS NOT NULL ORDER BY Col1 DESC LIMIT 50"", 0))"),"#N/A")</f>
        <v>#N/A</v>
      </c>
      <c r="R136" s="24" t="str">
        <f>IFERROR(__xludf.DUMMYFUNCTION("IFERROR(
  LET(
    data, QUERY(GOOGLEFINANCE(C136,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GOOGLEFINANCE(C136, ""price"")) * 100,
    IF(calc=0, G136, calc)
  ), 
G136)"),"#N/A")</f>
        <v>#N/A</v>
      </c>
      <c r="S136" s="8" t="s">
        <v>15</v>
      </c>
      <c r="T136" s="26" t="str">
        <f>IFERROR(__xludf.DUMMYFUNCTION("IFERROR(TRANSPOSE(QUERY(IFERROR(SORT(GOOGLEFINANCE(C136, ""price"", WORKDAY(TODAY(), -40), TODAY()), 1, FALSE)), ""select Col2 where Col2 is not null limit 22 label Col2 ''"", 0)), """")"),"")</f>
        <v/>
      </c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8"/>
      <c r="AO136" s="28"/>
      <c r="AP136" s="29"/>
      <c r="AQ136" s="29" t="str">
        <f t="shared" ref="AQ136:BL136" si="139">T136/T$2</f>
        <v>#N/A</v>
      </c>
      <c r="AR136" s="29" t="str">
        <f t="shared" si="139"/>
        <v>#DIV/0!</v>
      </c>
      <c r="AS136" s="29" t="str">
        <f t="shared" si="139"/>
        <v>#DIV/0!</v>
      </c>
      <c r="AT136" s="29" t="str">
        <f t="shared" si="139"/>
        <v>#DIV/0!</v>
      </c>
      <c r="AU136" s="29" t="str">
        <f t="shared" si="139"/>
        <v>#DIV/0!</v>
      </c>
      <c r="AV136" s="29" t="str">
        <f t="shared" si="139"/>
        <v>#DIV/0!</v>
      </c>
      <c r="AW136" s="29" t="str">
        <f t="shared" si="139"/>
        <v>#DIV/0!</v>
      </c>
      <c r="AX136" s="29" t="str">
        <f t="shared" si="139"/>
        <v>#DIV/0!</v>
      </c>
      <c r="AY136" s="29" t="str">
        <f t="shared" si="139"/>
        <v>#DIV/0!</v>
      </c>
      <c r="AZ136" s="29" t="str">
        <f t="shared" si="139"/>
        <v>#DIV/0!</v>
      </c>
      <c r="BA136" s="29" t="str">
        <f t="shared" si="139"/>
        <v>#DIV/0!</v>
      </c>
      <c r="BB136" s="29" t="str">
        <f t="shared" si="139"/>
        <v>#DIV/0!</v>
      </c>
      <c r="BC136" s="29" t="str">
        <f t="shared" si="139"/>
        <v>#DIV/0!</v>
      </c>
      <c r="BD136" s="29" t="str">
        <f t="shared" si="139"/>
        <v>#DIV/0!</v>
      </c>
      <c r="BE136" s="29" t="str">
        <f t="shared" si="139"/>
        <v>#DIV/0!</v>
      </c>
      <c r="BF136" s="29" t="str">
        <f t="shared" si="139"/>
        <v>#DIV/0!</v>
      </c>
      <c r="BG136" s="29" t="str">
        <f t="shared" si="139"/>
        <v>#DIV/0!</v>
      </c>
      <c r="BH136" s="29" t="str">
        <f t="shared" si="139"/>
        <v>#DIV/0!</v>
      </c>
      <c r="BI136" s="29" t="str">
        <f t="shared" si="139"/>
        <v>#DIV/0!</v>
      </c>
      <c r="BJ136" s="29" t="str">
        <f t="shared" si="139"/>
        <v>#DIV/0!</v>
      </c>
      <c r="BK136" s="29" t="str">
        <f t="shared" si="139"/>
        <v>#DIV/0!</v>
      </c>
      <c r="BL136" s="29" t="str">
        <f t="shared" si="139"/>
        <v>#DIV/0!</v>
      </c>
      <c r="BM136" s="29" t="str">
        <f t="shared" si="3"/>
        <v>#DIV/0!</v>
      </c>
    </row>
    <row r="137">
      <c r="A137" s="16" t="str">
        <f>IFERROR(__xludf.DUMMYFUNCTION("IFERROR(SPARKLINE(SORT(MAP(TRANSPOSE(AQ137:BL137), LAMBDA(val, IF(ISNUMBER(val), PERCENTRANK(AQ137:BL137, val)+0.01, 0))), SEQUENCE(COLUMNS(AQ137:BL137)), FALSE), {""charttype"",""column""; ""color"",""chartreuse""; ""ymin"", 0; ""ymax"", 1.01; ""highcolo"&amp;"r"", ""darkgreen""; ""lowcolor"", ""red""}), """")"),"")</f>
        <v/>
      </c>
      <c r="B137" s="17" t="str">
        <f t="shared" si="4"/>
        <v/>
      </c>
      <c r="C137" s="1" t="s">
        <v>671</v>
      </c>
      <c r="D137" s="34" t="str">
        <f>IFERROR(__xludf.DUMMYFUNCTION("IFERROR(GOOGLEFINANCE(C137, ""NAME""))"),"Sierra Bancorp")</f>
        <v>Sierra Bancorp</v>
      </c>
      <c r="E137" s="30" t="s">
        <v>268</v>
      </c>
      <c r="F137" s="33" t="str">
        <f>IFERROR(__xludf.DUMMYFUNCTION("( (GOOGLEFINANCE(C137, ""price"") - Q137) / Q137 ) / (R137 / 100)"),"Loading...")</f>
        <v>Loading...</v>
      </c>
      <c r="G137" s="20" t="str">
        <f>IFERROR(__xludf.DUMMYFUNCTION("AVERAGE(ARRAYFORMULA(100 * (QUERY(GOOGLEFINANCE(C137, ""high"", TODAY()-40, TODAY()), ""SELECT Col2 WHERE Col2 IS NOT NULL ORDER BY Col1 DESC LIMIT 20"", 0) / QUERY(GOOGLEFINANCE(C137, ""low"", TODAY()-40, TODAY()), ""SELECT Col2 WHERE Col2 IS NOT NULL OR"&amp;"DER BY Col1 DESC LIMIT 20"", 0) - 1)))"),"#N/A")</f>
        <v>#N/A</v>
      </c>
      <c r="H137" s="35" t="str">
        <f t="shared" si="6"/>
        <v/>
      </c>
      <c r="I137" s="36" t="str">
        <f t="shared" si="7"/>
        <v/>
      </c>
      <c r="J137" s="37" t="str">
        <f>IFERROR(__xludf.DUMMYFUNCTION("IFERROR(
  IF(C137="""",, 
    IFERROR(
      GOOGLEFINANCE(C137, ""price"") * GOOGLEFINANCE(C137, ""volumeavg""), 
      GOOGLEFINANCE(C137, ""price"") * AVERAGE(QUERY(GOOGLEFINANCE(C137, ""volume"", TODAY()-40, TODAY()), ""SELECT Col2 WHERE Col2 IS NOT "&amp;"NULL ORDER BY Col1 DESC LIMIT 20"", 0))
    )
  ), 
"""")"),"")</f>
        <v/>
      </c>
      <c r="K137" s="21" t="str">
        <f>IFERROR(__xludf.DUMMYFUNCTION("IFERROR(GOOGLEFINANCE(C137, ""changepct"") / 100, """")"),"")</f>
        <v/>
      </c>
      <c r="L137" s="21" t="str">
        <f>IFERROR(__xludf.DUMMYFUNCTION("IFERROR((GOOGLEFINANCE(C137, ""price"") / INDEX(GOOGLEFINANCE(C137, ""price"", TODAY()-7, TODAY()), 2, 2)) - 1, """")"),"")</f>
        <v/>
      </c>
      <c r="M137" s="21" t="str">
        <f>IFERROR(__xludf.DUMMYFUNCTION("IFERROR((GOOGLEFINANCE(C137, ""price"") / INDEX(GOOGLEFINANCE(C137, ""price"", EDATE(TODAY(), -1), TODAY()), 2, 2)) - 1, """")"),"")</f>
        <v/>
      </c>
      <c r="N137" s="21" t="str">
        <f>IFERROR(__xludf.DUMMYFUNCTION("IFERROR((GOOGLEFINANCE(C137, ""price"") / INDEX(GOOGLEFINANCE(C137, ""price"", EDATE(TODAY(), -3), TODAY()), 2, 2)) - 1, """")"),"")</f>
        <v/>
      </c>
      <c r="O137" s="21" t="str">
        <f>IFERROR(__xludf.DUMMYFUNCTION("IFERROR((GOOGLEFINANCE(C137, ""price"") / INDEX(GOOGLEFINANCE(C137, ""price"", EDATE(TODAY(), -6), TODAY()), 2, 2)) - 1, """")"),"")</f>
        <v/>
      </c>
      <c r="P137" s="21" t="str">
        <f>IFERROR(__xludf.DUMMYFUNCTION("IFERROR((GOOGLEFINANCE(C137, ""price"") / INDEX(GOOGLEFINANCE(C137, ""price"", EDATE(TODAY(), -12), TODAY()), 2, 2)) - 1, """")"),"")</f>
        <v/>
      </c>
      <c r="Q137" s="6" t="str">
        <f>IFERROR(__xludf.DUMMYFUNCTION("AVERAGE(QUERY(GOOGLEFINANCE(C137, ""price"", TODAY()-80, TODAY()), ""SELECT Col2 WHERE Col2 IS NOT NULL ORDER BY Col1 DESC LIMIT 50"", 0))"),"#N/A")</f>
        <v>#N/A</v>
      </c>
      <c r="R137" s="24" t="str">
        <f>IFERROR(__xludf.DUMMYFUNCTION("IFERROR(
  LET(
    data, QUERY(GOOGLEFINANCE(C137,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GOOGLEFINANCE(C137, ""price"")) * 100,
    IF(calc=0, G137, calc)
  ), 
G137)"),"#N/A")</f>
        <v>#N/A</v>
      </c>
      <c r="S137" s="8" t="s">
        <v>15</v>
      </c>
      <c r="T137" s="26" t="str">
        <f>IFERROR(__xludf.DUMMYFUNCTION("IFERROR(TRANSPOSE(QUERY(IFERROR(SORT(GOOGLEFINANCE(C137, ""price"", WORKDAY(TODAY(), -40), TODAY()), 1, FALSE)), ""select Col2 where Col2 is not null limit 22 label Col2 ''"", 0)), """")"),"")</f>
        <v/>
      </c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8"/>
      <c r="AO137" s="28"/>
      <c r="AP137" s="29"/>
      <c r="AQ137" s="29" t="str">
        <f t="shared" ref="AQ137:BL137" si="140">T137/T$2</f>
        <v>#N/A</v>
      </c>
      <c r="AR137" s="29" t="str">
        <f t="shared" si="140"/>
        <v>#DIV/0!</v>
      </c>
      <c r="AS137" s="29" t="str">
        <f t="shared" si="140"/>
        <v>#DIV/0!</v>
      </c>
      <c r="AT137" s="29" t="str">
        <f t="shared" si="140"/>
        <v>#DIV/0!</v>
      </c>
      <c r="AU137" s="29" t="str">
        <f t="shared" si="140"/>
        <v>#DIV/0!</v>
      </c>
      <c r="AV137" s="29" t="str">
        <f t="shared" si="140"/>
        <v>#DIV/0!</v>
      </c>
      <c r="AW137" s="29" t="str">
        <f t="shared" si="140"/>
        <v>#DIV/0!</v>
      </c>
      <c r="AX137" s="29" t="str">
        <f t="shared" si="140"/>
        <v>#DIV/0!</v>
      </c>
      <c r="AY137" s="29" t="str">
        <f t="shared" si="140"/>
        <v>#DIV/0!</v>
      </c>
      <c r="AZ137" s="29" t="str">
        <f t="shared" si="140"/>
        <v>#DIV/0!</v>
      </c>
      <c r="BA137" s="29" t="str">
        <f t="shared" si="140"/>
        <v>#DIV/0!</v>
      </c>
      <c r="BB137" s="29" t="str">
        <f t="shared" si="140"/>
        <v>#DIV/0!</v>
      </c>
      <c r="BC137" s="29" t="str">
        <f t="shared" si="140"/>
        <v>#DIV/0!</v>
      </c>
      <c r="BD137" s="29" t="str">
        <f t="shared" si="140"/>
        <v>#DIV/0!</v>
      </c>
      <c r="BE137" s="29" t="str">
        <f t="shared" si="140"/>
        <v>#DIV/0!</v>
      </c>
      <c r="BF137" s="29" t="str">
        <f t="shared" si="140"/>
        <v>#DIV/0!</v>
      </c>
      <c r="BG137" s="29" t="str">
        <f t="shared" si="140"/>
        <v>#DIV/0!</v>
      </c>
      <c r="BH137" s="29" t="str">
        <f t="shared" si="140"/>
        <v>#DIV/0!</v>
      </c>
      <c r="BI137" s="29" t="str">
        <f t="shared" si="140"/>
        <v>#DIV/0!</v>
      </c>
      <c r="BJ137" s="29" t="str">
        <f t="shared" si="140"/>
        <v>#DIV/0!</v>
      </c>
      <c r="BK137" s="29" t="str">
        <f t="shared" si="140"/>
        <v>#DIV/0!</v>
      </c>
      <c r="BL137" s="29" t="str">
        <f t="shared" si="140"/>
        <v>#DIV/0!</v>
      </c>
      <c r="BM137" s="29" t="str">
        <f t="shared" si="3"/>
        <v>#DIV/0!</v>
      </c>
    </row>
    <row r="138">
      <c r="A138" s="16" t="str">
        <f>IFERROR(__xludf.DUMMYFUNCTION("IFERROR(SPARKLINE(SORT(MAP(TRANSPOSE(AQ138:BL138), LAMBDA(val, IF(ISNUMBER(val), PERCENTRANK(AQ138:BL138, val)+0.01, 0))), SEQUENCE(COLUMNS(AQ138:BL138)), FALSE), {""charttype"",""column""; ""color"",""chartreuse""; ""ymin"", 0; ""ymax"", 1.01; ""highcolo"&amp;"r"", ""darkgreen""; ""lowcolor"", ""red""}), """")"),"")</f>
        <v/>
      </c>
      <c r="B138" s="17" t="str">
        <f t="shared" si="4"/>
        <v/>
      </c>
      <c r="C138" s="1" t="s">
        <v>675</v>
      </c>
      <c r="D138" s="34" t="str">
        <f>IFERROR(__xludf.DUMMYFUNCTION("IFERROR(GOOGLEFINANCE(C138, ""NAME""))"),"eToro Group Ltd")</f>
        <v>eToro Group Ltd</v>
      </c>
      <c r="E138" s="30" t="s">
        <v>77</v>
      </c>
      <c r="F138" s="33" t="str">
        <f>IFERROR(__xludf.DUMMYFUNCTION("( (GOOGLEFINANCE(C138, ""price"") - Q138) / Q138 ) / (R138 / 100)"),"Loading...")</f>
        <v>Loading...</v>
      </c>
      <c r="G138" s="20" t="str">
        <f>IFERROR(__xludf.DUMMYFUNCTION("AVERAGE(ARRAYFORMULA(100 * (QUERY(GOOGLEFINANCE(C138, ""high"", TODAY()-40, TODAY()), ""SELECT Col2 WHERE Col2 IS NOT NULL ORDER BY Col1 DESC LIMIT 20"", 0) / QUERY(GOOGLEFINANCE(C138, ""low"", TODAY()-40, TODAY()), ""SELECT Col2 WHERE Col2 IS NOT NULL OR"&amp;"DER BY Col1 DESC LIMIT 20"", 0) - 1)))"),"#N/A")</f>
        <v>#N/A</v>
      </c>
      <c r="H138" s="35" t="str">
        <f t="shared" si="6"/>
        <v/>
      </c>
      <c r="I138" s="36" t="str">
        <f t="shared" si="7"/>
        <v/>
      </c>
      <c r="J138" s="37" t="str">
        <f>IFERROR(__xludf.DUMMYFUNCTION("IFERROR(
  IF(C138="""",, 
    IFERROR(
      GOOGLEFINANCE(C138, ""price"") * GOOGLEFINANCE(C138, ""volumeavg""), 
      GOOGLEFINANCE(C138, ""price"") * AVERAGE(QUERY(GOOGLEFINANCE(C138, ""volume"", TODAY()-40, TODAY()), ""SELECT Col2 WHERE Col2 IS NOT "&amp;"NULL ORDER BY Col1 DESC LIMIT 20"", 0))
    )
  ), 
"""")"),"")</f>
        <v/>
      </c>
      <c r="K138" s="21" t="str">
        <f>IFERROR(__xludf.DUMMYFUNCTION("IFERROR(GOOGLEFINANCE(C138, ""changepct"") / 100, """")"),"")</f>
        <v/>
      </c>
      <c r="L138" s="21" t="str">
        <f>IFERROR(__xludf.DUMMYFUNCTION("IFERROR((GOOGLEFINANCE(C138, ""price"") / INDEX(GOOGLEFINANCE(C138, ""price"", TODAY()-7, TODAY()), 2, 2)) - 1, """")"),"")</f>
        <v/>
      </c>
      <c r="M138" s="21" t="str">
        <f>IFERROR(__xludf.DUMMYFUNCTION("IFERROR((GOOGLEFINANCE(C138, ""price"") / INDEX(GOOGLEFINANCE(C138, ""price"", EDATE(TODAY(), -1), TODAY()), 2, 2)) - 1, """")"),"")</f>
        <v/>
      </c>
      <c r="N138" s="21" t="str">
        <f>IFERROR(__xludf.DUMMYFUNCTION("IFERROR((GOOGLEFINANCE(C138, ""price"") / INDEX(GOOGLEFINANCE(C138, ""price"", EDATE(TODAY(), -3), TODAY()), 2, 2)) - 1, """")"),"")</f>
        <v/>
      </c>
      <c r="O138" s="21" t="str">
        <f>IFERROR(__xludf.DUMMYFUNCTION("IFERROR((GOOGLEFINANCE(C138, ""price"") / INDEX(GOOGLEFINANCE(C138, ""price"", EDATE(TODAY(), -6), TODAY()), 2, 2)) - 1, """")"),"")</f>
        <v/>
      </c>
      <c r="P138" s="21" t="str">
        <f>IFERROR(__xludf.DUMMYFUNCTION("IFERROR((GOOGLEFINANCE(C138, ""price"") / INDEX(GOOGLEFINANCE(C138, ""price"", EDATE(TODAY(), -12), TODAY()), 2, 2)) - 1, """")"),"")</f>
        <v/>
      </c>
      <c r="Q138" s="6" t="str">
        <f>IFERROR(__xludf.DUMMYFUNCTION("AVERAGE(QUERY(GOOGLEFINANCE(C138, ""price"", TODAY()-80, TODAY()), ""SELECT Col2 WHERE Col2 IS NOT NULL ORDER BY Col1 DESC LIMIT 50"", 0))"),"#N/A")</f>
        <v>#N/A</v>
      </c>
      <c r="R138" s="24" t="str">
        <f>IFERROR(__xludf.DUMMYFUNCTION("IFERROR(
  LET(
    data, QUERY(GOOGLEFINANCE(C138,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GOOGLEFINANCE(C138, ""price"")) * 100,
    IF(calc=0, G138, calc)
  ), 
G138)"),"#N/A")</f>
        <v>#N/A</v>
      </c>
      <c r="S138" s="8" t="s">
        <v>15</v>
      </c>
      <c r="T138" s="26" t="str">
        <f>IFERROR(__xludf.DUMMYFUNCTION("IFERROR(TRANSPOSE(QUERY(IFERROR(SORT(GOOGLEFINANCE(C138, ""price"", WORKDAY(TODAY(), -40), TODAY()), 1, FALSE)), ""select Col2 where Col2 is not null limit 22 label Col2 ''"", 0)), """")"),"")</f>
        <v/>
      </c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8"/>
      <c r="AO138" s="28"/>
      <c r="AP138" s="29"/>
      <c r="AQ138" s="29" t="str">
        <f t="shared" ref="AQ138:BL138" si="141">T138/T$2</f>
        <v>#N/A</v>
      </c>
      <c r="AR138" s="29" t="str">
        <f t="shared" si="141"/>
        <v>#DIV/0!</v>
      </c>
      <c r="AS138" s="29" t="str">
        <f t="shared" si="141"/>
        <v>#DIV/0!</v>
      </c>
      <c r="AT138" s="29" t="str">
        <f t="shared" si="141"/>
        <v>#DIV/0!</v>
      </c>
      <c r="AU138" s="29" t="str">
        <f t="shared" si="141"/>
        <v>#DIV/0!</v>
      </c>
      <c r="AV138" s="29" t="str">
        <f t="shared" si="141"/>
        <v>#DIV/0!</v>
      </c>
      <c r="AW138" s="29" t="str">
        <f t="shared" si="141"/>
        <v>#DIV/0!</v>
      </c>
      <c r="AX138" s="29" t="str">
        <f t="shared" si="141"/>
        <v>#DIV/0!</v>
      </c>
      <c r="AY138" s="29" t="str">
        <f t="shared" si="141"/>
        <v>#DIV/0!</v>
      </c>
      <c r="AZ138" s="29" t="str">
        <f t="shared" si="141"/>
        <v>#DIV/0!</v>
      </c>
      <c r="BA138" s="29" t="str">
        <f t="shared" si="141"/>
        <v>#DIV/0!</v>
      </c>
      <c r="BB138" s="29" t="str">
        <f t="shared" si="141"/>
        <v>#DIV/0!</v>
      </c>
      <c r="BC138" s="29" t="str">
        <f t="shared" si="141"/>
        <v>#DIV/0!</v>
      </c>
      <c r="BD138" s="29" t="str">
        <f t="shared" si="141"/>
        <v>#DIV/0!</v>
      </c>
      <c r="BE138" s="29" t="str">
        <f t="shared" si="141"/>
        <v>#DIV/0!</v>
      </c>
      <c r="BF138" s="29" t="str">
        <f t="shared" si="141"/>
        <v>#DIV/0!</v>
      </c>
      <c r="BG138" s="29" t="str">
        <f t="shared" si="141"/>
        <v>#DIV/0!</v>
      </c>
      <c r="BH138" s="29" t="str">
        <f t="shared" si="141"/>
        <v>#DIV/0!</v>
      </c>
      <c r="BI138" s="29" t="str">
        <f t="shared" si="141"/>
        <v>#DIV/0!</v>
      </c>
      <c r="BJ138" s="29" t="str">
        <f t="shared" si="141"/>
        <v>#DIV/0!</v>
      </c>
      <c r="BK138" s="29" t="str">
        <f t="shared" si="141"/>
        <v>#DIV/0!</v>
      </c>
      <c r="BL138" s="29" t="str">
        <f t="shared" si="141"/>
        <v>#DIV/0!</v>
      </c>
      <c r="BM138" s="29" t="str">
        <f t="shared" si="3"/>
        <v>#DIV/0!</v>
      </c>
    </row>
    <row r="139">
      <c r="A139" s="16" t="str">
        <f>IFERROR(__xludf.DUMMYFUNCTION("IFERROR(SPARKLINE(SORT(MAP(TRANSPOSE(AQ139:BL139), LAMBDA(val, IF(ISNUMBER(val), PERCENTRANK(AQ139:BL139, val)+0.01, 0))), SEQUENCE(COLUMNS(AQ139:BL139)), FALSE), {""charttype"",""column""; ""color"",""chartreuse""; ""ymin"", 0; ""ymax"", 1.01; ""highcolo"&amp;"r"", ""darkgreen""; ""lowcolor"", ""red""}), """")"),"")</f>
        <v/>
      </c>
      <c r="B139" s="17" t="str">
        <f t="shared" si="4"/>
        <v/>
      </c>
      <c r="C139" s="1" t="s">
        <v>679</v>
      </c>
      <c r="D139" s="34" t="str">
        <f>IFERROR(__xludf.DUMMYFUNCTION("IFERROR(GOOGLEFINANCE(C139, ""NAME""))"),"Affirm Holdings Inc")</f>
        <v>Affirm Holdings Inc</v>
      </c>
      <c r="E139" s="30" t="s">
        <v>145</v>
      </c>
      <c r="F139" s="33" t="str">
        <f>IFERROR(__xludf.DUMMYFUNCTION("( (GOOGLEFINANCE(C139, ""price"") - Q139) / Q139 ) / (R139 / 100)"),"Loading...")</f>
        <v>Loading...</v>
      </c>
      <c r="G139" s="20" t="str">
        <f>IFERROR(__xludf.DUMMYFUNCTION("AVERAGE(ARRAYFORMULA(100 * (QUERY(GOOGLEFINANCE(C139, ""high"", TODAY()-40, TODAY()), ""SELECT Col2 WHERE Col2 IS NOT NULL ORDER BY Col1 DESC LIMIT 20"", 0) / QUERY(GOOGLEFINANCE(C139, ""low"", TODAY()-40, TODAY()), ""SELECT Col2 WHERE Col2 IS NOT NULL OR"&amp;"DER BY Col1 DESC LIMIT 20"", 0) - 1)))"),"#N/A")</f>
        <v>#N/A</v>
      </c>
      <c r="H139" s="35" t="str">
        <f t="shared" si="6"/>
        <v/>
      </c>
      <c r="I139" s="36" t="str">
        <f t="shared" si="7"/>
        <v/>
      </c>
      <c r="J139" s="37" t="str">
        <f>IFERROR(__xludf.DUMMYFUNCTION("IFERROR(
  IF(C139="""",, 
    IFERROR(
      GOOGLEFINANCE(C139, ""price"") * GOOGLEFINANCE(C139, ""volumeavg""), 
      GOOGLEFINANCE(C139, ""price"") * AVERAGE(QUERY(GOOGLEFINANCE(C139, ""volume"", TODAY()-40, TODAY()), ""SELECT Col2 WHERE Col2 IS NOT "&amp;"NULL ORDER BY Col1 DESC LIMIT 20"", 0))
    )
  ), 
"""")"),"")</f>
        <v/>
      </c>
      <c r="K139" s="21" t="str">
        <f>IFERROR(__xludf.DUMMYFUNCTION("IFERROR(GOOGLEFINANCE(C139, ""changepct"") / 100, """")"),"")</f>
        <v/>
      </c>
      <c r="L139" s="21" t="str">
        <f>IFERROR(__xludf.DUMMYFUNCTION("IFERROR((GOOGLEFINANCE(C139, ""price"") / INDEX(GOOGLEFINANCE(C139, ""price"", TODAY()-7, TODAY()), 2, 2)) - 1, """")"),"")</f>
        <v/>
      </c>
      <c r="M139" s="21" t="str">
        <f>IFERROR(__xludf.DUMMYFUNCTION("IFERROR((GOOGLEFINANCE(C139, ""price"") / INDEX(GOOGLEFINANCE(C139, ""price"", EDATE(TODAY(), -1), TODAY()), 2, 2)) - 1, """")"),"")</f>
        <v/>
      </c>
      <c r="N139" s="21" t="str">
        <f>IFERROR(__xludf.DUMMYFUNCTION("IFERROR((GOOGLEFINANCE(C139, ""price"") / INDEX(GOOGLEFINANCE(C139, ""price"", EDATE(TODAY(), -3), TODAY()), 2, 2)) - 1, """")"),"")</f>
        <v/>
      </c>
      <c r="O139" s="21" t="str">
        <f>IFERROR(__xludf.DUMMYFUNCTION("IFERROR((GOOGLEFINANCE(C139, ""price"") / INDEX(GOOGLEFINANCE(C139, ""price"", EDATE(TODAY(), -6), TODAY()), 2, 2)) - 1, """")"),"")</f>
        <v/>
      </c>
      <c r="P139" s="21" t="str">
        <f>IFERROR(__xludf.DUMMYFUNCTION("IFERROR((GOOGLEFINANCE(C139, ""price"") / INDEX(GOOGLEFINANCE(C139, ""price"", EDATE(TODAY(), -12), TODAY()), 2, 2)) - 1, """")"),"")</f>
        <v/>
      </c>
      <c r="Q139" s="6" t="str">
        <f>IFERROR(__xludf.DUMMYFUNCTION("AVERAGE(QUERY(GOOGLEFINANCE(C139, ""price"", TODAY()-80, TODAY()), ""SELECT Col2 WHERE Col2 IS NOT NULL ORDER BY Col1 DESC LIMIT 50"", 0))"),"#N/A")</f>
        <v>#N/A</v>
      </c>
      <c r="R139" s="24" t="str">
        <f>IFERROR(__xludf.DUMMYFUNCTION("IFERROR(
  LET(
    data, QUERY(GOOGLEFINANCE(C139,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GOOGLEFINANCE(C139, ""price"")) * 100,
    IF(calc=0, G139, calc)
  ), 
G139)"),"#N/A")</f>
        <v>#N/A</v>
      </c>
      <c r="S139" s="8" t="s">
        <v>15</v>
      </c>
      <c r="T139" s="26" t="str">
        <f>IFERROR(__xludf.DUMMYFUNCTION("IFERROR(TRANSPOSE(QUERY(IFERROR(SORT(GOOGLEFINANCE(C139, ""price"", WORKDAY(TODAY(), -40), TODAY()), 1, FALSE)), ""select Col2 where Col2 is not null limit 22 label Col2 ''"", 0)), """")"),"")</f>
        <v/>
      </c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8"/>
      <c r="AO139" s="28"/>
      <c r="AP139" s="29"/>
      <c r="AQ139" s="29" t="str">
        <f t="shared" ref="AQ139:BL139" si="142">T139/T$2</f>
        <v>#N/A</v>
      </c>
      <c r="AR139" s="29" t="str">
        <f t="shared" si="142"/>
        <v>#DIV/0!</v>
      </c>
      <c r="AS139" s="29" t="str">
        <f t="shared" si="142"/>
        <v>#DIV/0!</v>
      </c>
      <c r="AT139" s="29" t="str">
        <f t="shared" si="142"/>
        <v>#DIV/0!</v>
      </c>
      <c r="AU139" s="29" t="str">
        <f t="shared" si="142"/>
        <v>#DIV/0!</v>
      </c>
      <c r="AV139" s="29" t="str">
        <f t="shared" si="142"/>
        <v>#DIV/0!</v>
      </c>
      <c r="AW139" s="29" t="str">
        <f t="shared" si="142"/>
        <v>#DIV/0!</v>
      </c>
      <c r="AX139" s="29" t="str">
        <f t="shared" si="142"/>
        <v>#DIV/0!</v>
      </c>
      <c r="AY139" s="29" t="str">
        <f t="shared" si="142"/>
        <v>#DIV/0!</v>
      </c>
      <c r="AZ139" s="29" t="str">
        <f t="shared" si="142"/>
        <v>#DIV/0!</v>
      </c>
      <c r="BA139" s="29" t="str">
        <f t="shared" si="142"/>
        <v>#DIV/0!</v>
      </c>
      <c r="BB139" s="29" t="str">
        <f t="shared" si="142"/>
        <v>#DIV/0!</v>
      </c>
      <c r="BC139" s="29" t="str">
        <f t="shared" si="142"/>
        <v>#DIV/0!</v>
      </c>
      <c r="BD139" s="29" t="str">
        <f t="shared" si="142"/>
        <v>#DIV/0!</v>
      </c>
      <c r="BE139" s="29" t="str">
        <f t="shared" si="142"/>
        <v>#DIV/0!</v>
      </c>
      <c r="BF139" s="29" t="str">
        <f t="shared" si="142"/>
        <v>#DIV/0!</v>
      </c>
      <c r="BG139" s="29" t="str">
        <f t="shared" si="142"/>
        <v>#DIV/0!</v>
      </c>
      <c r="BH139" s="29" t="str">
        <f t="shared" si="142"/>
        <v>#DIV/0!</v>
      </c>
      <c r="BI139" s="29" t="str">
        <f t="shared" si="142"/>
        <v>#DIV/0!</v>
      </c>
      <c r="BJ139" s="29" t="str">
        <f t="shared" si="142"/>
        <v>#DIV/0!</v>
      </c>
      <c r="BK139" s="29" t="str">
        <f t="shared" si="142"/>
        <v>#DIV/0!</v>
      </c>
      <c r="BL139" s="29" t="str">
        <f t="shared" si="142"/>
        <v>#DIV/0!</v>
      </c>
      <c r="BM139" s="29" t="str">
        <f t="shared" si="3"/>
        <v>#DIV/0!</v>
      </c>
    </row>
    <row r="140">
      <c r="A140" s="16" t="str">
        <f>IFERROR(__xludf.DUMMYFUNCTION("IFERROR(SPARKLINE(SORT(MAP(TRANSPOSE(AQ140:BL140), LAMBDA(val, IF(ISNUMBER(val), PERCENTRANK(AQ140:BL140, val)+0.01, 0))), SEQUENCE(COLUMNS(AQ140:BL140)), FALSE), {""charttype"",""column""; ""color"",""chartreuse""; ""ymin"", 0; ""ymax"", 1.01; ""highcolo"&amp;"r"", ""darkgreen""; ""lowcolor"", ""red""}), """")"),"")</f>
        <v/>
      </c>
      <c r="B140" s="17" t="str">
        <f t="shared" si="4"/>
        <v/>
      </c>
      <c r="C140" s="1" t="s">
        <v>684</v>
      </c>
      <c r="D140" s="34" t="str">
        <f>IFERROR(__xludf.DUMMYFUNCTION("IFERROR(GOOGLEFINANCE(C140, ""NAME""))"),"Maase Inc")</f>
        <v>Maase Inc</v>
      </c>
      <c r="E140" s="30" t="s">
        <v>64</v>
      </c>
      <c r="F140" s="33" t="str">
        <f>IFERROR(__xludf.DUMMYFUNCTION("( (GOOGLEFINANCE(C140, ""price"") - Q140) / Q140 ) / (R140 / 100)"),"Loading...")</f>
        <v>Loading...</v>
      </c>
      <c r="G140" s="20" t="str">
        <f>IFERROR(__xludf.DUMMYFUNCTION("AVERAGE(ARRAYFORMULA(100 * (QUERY(GOOGLEFINANCE(C140, ""high"", TODAY()-40, TODAY()), ""SELECT Col2 WHERE Col2 IS NOT NULL ORDER BY Col1 DESC LIMIT 20"", 0) / QUERY(GOOGLEFINANCE(C140, ""low"", TODAY()-40, TODAY()), ""SELECT Col2 WHERE Col2 IS NOT NULL OR"&amp;"DER BY Col1 DESC LIMIT 20"", 0) - 1)))"),"#N/A")</f>
        <v>#N/A</v>
      </c>
      <c r="H140" s="35" t="str">
        <f t="shared" si="6"/>
        <v/>
      </c>
      <c r="I140" s="36" t="str">
        <f t="shared" si="7"/>
        <v/>
      </c>
      <c r="J140" s="37" t="str">
        <f>IFERROR(__xludf.DUMMYFUNCTION("IFERROR(
  IF(C140="""",, 
    IFERROR(
      GOOGLEFINANCE(C140, ""price"") * GOOGLEFINANCE(C140, ""volumeavg""), 
      GOOGLEFINANCE(C140, ""price"") * AVERAGE(QUERY(GOOGLEFINANCE(C140, ""volume"", TODAY()-40, TODAY()), ""SELECT Col2 WHERE Col2 IS NOT "&amp;"NULL ORDER BY Col1 DESC LIMIT 20"", 0))
    )
  ), 
"""")"),"")</f>
        <v/>
      </c>
      <c r="K140" s="21" t="str">
        <f>IFERROR(__xludf.DUMMYFUNCTION("IFERROR(GOOGLEFINANCE(C140, ""changepct"") / 100, """")"),"")</f>
        <v/>
      </c>
      <c r="L140" s="21" t="str">
        <f>IFERROR(__xludf.DUMMYFUNCTION("IFERROR((GOOGLEFINANCE(C140, ""price"") / INDEX(GOOGLEFINANCE(C140, ""price"", TODAY()-7, TODAY()), 2, 2)) - 1, """")"),"")</f>
        <v/>
      </c>
      <c r="M140" s="21" t="str">
        <f>IFERROR(__xludf.DUMMYFUNCTION("IFERROR((GOOGLEFINANCE(C140, ""price"") / INDEX(GOOGLEFINANCE(C140, ""price"", EDATE(TODAY(), -1), TODAY()), 2, 2)) - 1, """")"),"")</f>
        <v/>
      </c>
      <c r="N140" s="21" t="str">
        <f>IFERROR(__xludf.DUMMYFUNCTION("IFERROR((GOOGLEFINANCE(C140, ""price"") / INDEX(GOOGLEFINANCE(C140, ""price"", EDATE(TODAY(), -3), TODAY()), 2, 2)) - 1, """")"),"")</f>
        <v/>
      </c>
      <c r="O140" s="21" t="str">
        <f>IFERROR(__xludf.DUMMYFUNCTION("IFERROR((GOOGLEFINANCE(C140, ""price"") / INDEX(GOOGLEFINANCE(C140, ""price"", EDATE(TODAY(), -6), TODAY()), 2, 2)) - 1, """")"),"")</f>
        <v/>
      </c>
      <c r="P140" s="21" t="str">
        <f>IFERROR(__xludf.DUMMYFUNCTION("IFERROR((GOOGLEFINANCE(C140, ""price"") / INDEX(GOOGLEFINANCE(C140, ""price"", EDATE(TODAY(), -12), TODAY()), 2, 2)) - 1, """")"),"")</f>
        <v/>
      </c>
      <c r="Q140" s="6" t="str">
        <f>IFERROR(__xludf.DUMMYFUNCTION("AVERAGE(QUERY(GOOGLEFINANCE(C140, ""price"", TODAY()-80, TODAY()), ""SELECT Col2 WHERE Col2 IS NOT NULL ORDER BY Col1 DESC LIMIT 50"", 0))"),"#N/A")</f>
        <v>#N/A</v>
      </c>
      <c r="R140" s="24" t="str">
        <f>IFERROR(__xludf.DUMMYFUNCTION("IFERROR(
  LET(
    data, QUERY(GOOGLEFINANCE(C140,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GOOGLEFINANCE(C140, ""price"")) * 100,
    IF(calc=0, G140, calc)
  ), 
G140)"),"#N/A")</f>
        <v>#N/A</v>
      </c>
      <c r="S140" s="8" t="s">
        <v>15</v>
      </c>
      <c r="T140" s="26" t="str">
        <f>IFERROR(__xludf.DUMMYFUNCTION("IFERROR(TRANSPOSE(QUERY(IFERROR(SORT(GOOGLEFINANCE(C140, ""price"", WORKDAY(TODAY(), -40), TODAY()), 1, FALSE)), ""select Col2 where Col2 is not null limit 22 label Col2 ''"", 0)), """")"),"")</f>
        <v/>
      </c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8"/>
      <c r="AO140" s="28"/>
      <c r="AP140" s="29"/>
      <c r="AQ140" s="29" t="str">
        <f t="shared" ref="AQ140:BL140" si="143">T140/T$2</f>
        <v>#N/A</v>
      </c>
      <c r="AR140" s="29" t="str">
        <f t="shared" si="143"/>
        <v>#DIV/0!</v>
      </c>
      <c r="AS140" s="29" t="str">
        <f t="shared" si="143"/>
        <v>#DIV/0!</v>
      </c>
      <c r="AT140" s="29" t="str">
        <f t="shared" si="143"/>
        <v>#DIV/0!</v>
      </c>
      <c r="AU140" s="29" t="str">
        <f t="shared" si="143"/>
        <v>#DIV/0!</v>
      </c>
      <c r="AV140" s="29" t="str">
        <f t="shared" si="143"/>
        <v>#DIV/0!</v>
      </c>
      <c r="AW140" s="29" t="str">
        <f t="shared" si="143"/>
        <v>#DIV/0!</v>
      </c>
      <c r="AX140" s="29" t="str">
        <f t="shared" si="143"/>
        <v>#DIV/0!</v>
      </c>
      <c r="AY140" s="29" t="str">
        <f t="shared" si="143"/>
        <v>#DIV/0!</v>
      </c>
      <c r="AZ140" s="29" t="str">
        <f t="shared" si="143"/>
        <v>#DIV/0!</v>
      </c>
      <c r="BA140" s="29" t="str">
        <f t="shared" si="143"/>
        <v>#DIV/0!</v>
      </c>
      <c r="BB140" s="29" t="str">
        <f t="shared" si="143"/>
        <v>#DIV/0!</v>
      </c>
      <c r="BC140" s="29" t="str">
        <f t="shared" si="143"/>
        <v>#DIV/0!</v>
      </c>
      <c r="BD140" s="29" t="str">
        <f t="shared" si="143"/>
        <v>#DIV/0!</v>
      </c>
      <c r="BE140" s="29" t="str">
        <f t="shared" si="143"/>
        <v>#DIV/0!</v>
      </c>
      <c r="BF140" s="29" t="str">
        <f t="shared" si="143"/>
        <v>#DIV/0!</v>
      </c>
      <c r="BG140" s="29" t="str">
        <f t="shared" si="143"/>
        <v>#DIV/0!</v>
      </c>
      <c r="BH140" s="29" t="str">
        <f t="shared" si="143"/>
        <v>#DIV/0!</v>
      </c>
      <c r="BI140" s="29" t="str">
        <f t="shared" si="143"/>
        <v>#DIV/0!</v>
      </c>
      <c r="BJ140" s="29" t="str">
        <f t="shared" si="143"/>
        <v>#DIV/0!</v>
      </c>
      <c r="BK140" s="29" t="str">
        <f t="shared" si="143"/>
        <v>#DIV/0!</v>
      </c>
      <c r="BL140" s="29" t="str">
        <f t="shared" si="143"/>
        <v>#DIV/0!</v>
      </c>
      <c r="BM140" s="29" t="str">
        <f t="shared" si="3"/>
        <v>#DIV/0!</v>
      </c>
    </row>
    <row r="141">
      <c r="A141" s="16" t="str">
        <f>IFERROR(__xludf.DUMMYFUNCTION("IFERROR(SPARKLINE(SORT(MAP(TRANSPOSE(AQ141:BL141), LAMBDA(val, IF(ISNUMBER(val), PERCENTRANK(AQ141:BL141, val)+0.01, 0))), SEQUENCE(COLUMNS(AQ141:BL141)), FALSE), {""charttype"",""column""; ""color"",""chartreuse""; ""ymin"", 0; ""ymax"", 1.01; ""highcolo"&amp;"r"", ""darkgreen""; ""lowcolor"", ""red""}), """")"),"")</f>
        <v/>
      </c>
      <c r="B141" s="17" t="str">
        <f t="shared" si="4"/>
        <v/>
      </c>
      <c r="C141" s="1" t="s">
        <v>688</v>
      </c>
      <c r="D141" s="34" t="str">
        <f>IFERROR(__xludf.DUMMYFUNCTION("IFERROR(GOOGLEFINANCE(C141, ""NAME""))"),"Horizon Technology Finance Corp")</f>
        <v>Horizon Technology Finance Corp</v>
      </c>
      <c r="E141" s="30" t="s">
        <v>64</v>
      </c>
      <c r="F141" s="33" t="str">
        <f>IFERROR(__xludf.DUMMYFUNCTION("( (GOOGLEFINANCE(C141, ""price"") - Q141) / Q141 ) / (R141 / 100)"),"Loading...")</f>
        <v>Loading...</v>
      </c>
      <c r="G141" s="20" t="str">
        <f>IFERROR(__xludf.DUMMYFUNCTION("AVERAGE(ARRAYFORMULA(100 * (QUERY(GOOGLEFINANCE(C141, ""high"", TODAY()-40, TODAY()), ""SELECT Col2 WHERE Col2 IS NOT NULL ORDER BY Col1 DESC LIMIT 20"", 0) / QUERY(GOOGLEFINANCE(C141, ""low"", TODAY()-40, TODAY()), ""SELECT Col2 WHERE Col2 IS NOT NULL OR"&amp;"DER BY Col1 DESC LIMIT 20"", 0) - 1)))"),"#N/A")</f>
        <v>#N/A</v>
      </c>
      <c r="H141" s="35" t="str">
        <f t="shared" si="6"/>
        <v/>
      </c>
      <c r="I141" s="36" t="str">
        <f t="shared" si="7"/>
        <v/>
      </c>
      <c r="J141" s="37" t="str">
        <f>IFERROR(__xludf.DUMMYFUNCTION("IFERROR(
  IF(C141="""",, 
    IFERROR(
      GOOGLEFINANCE(C141, ""price"") * GOOGLEFINANCE(C141, ""volumeavg""), 
      GOOGLEFINANCE(C141, ""price"") * AVERAGE(QUERY(GOOGLEFINANCE(C141, ""volume"", TODAY()-40, TODAY()), ""SELECT Col2 WHERE Col2 IS NOT "&amp;"NULL ORDER BY Col1 DESC LIMIT 20"", 0))
    )
  ), 
"""")"),"")</f>
        <v/>
      </c>
      <c r="K141" s="21" t="str">
        <f>IFERROR(__xludf.DUMMYFUNCTION("IFERROR(GOOGLEFINANCE(C141, ""changepct"") / 100, """")"),"")</f>
        <v/>
      </c>
      <c r="L141" s="21" t="str">
        <f>IFERROR(__xludf.DUMMYFUNCTION("IFERROR((GOOGLEFINANCE(C141, ""price"") / INDEX(GOOGLEFINANCE(C141, ""price"", TODAY()-7, TODAY()), 2, 2)) - 1, """")"),"")</f>
        <v/>
      </c>
      <c r="M141" s="21" t="str">
        <f>IFERROR(__xludf.DUMMYFUNCTION("IFERROR((GOOGLEFINANCE(C141, ""price"") / INDEX(GOOGLEFINANCE(C141, ""price"", EDATE(TODAY(), -1), TODAY()), 2, 2)) - 1, """")"),"")</f>
        <v/>
      </c>
      <c r="N141" s="21" t="str">
        <f>IFERROR(__xludf.DUMMYFUNCTION("IFERROR((GOOGLEFINANCE(C141, ""price"") / INDEX(GOOGLEFINANCE(C141, ""price"", EDATE(TODAY(), -3), TODAY()), 2, 2)) - 1, """")"),"")</f>
        <v/>
      </c>
      <c r="O141" s="21" t="str">
        <f>IFERROR(__xludf.DUMMYFUNCTION("IFERROR((GOOGLEFINANCE(C141, ""price"") / INDEX(GOOGLEFINANCE(C141, ""price"", EDATE(TODAY(), -6), TODAY()), 2, 2)) - 1, """")"),"")</f>
        <v/>
      </c>
      <c r="P141" s="21" t="str">
        <f>IFERROR(__xludf.DUMMYFUNCTION("IFERROR((GOOGLEFINANCE(C141, ""price"") / INDEX(GOOGLEFINANCE(C141, ""price"", EDATE(TODAY(), -12), TODAY()), 2, 2)) - 1, """")"),"")</f>
        <v/>
      </c>
      <c r="Q141" s="6" t="str">
        <f>IFERROR(__xludf.DUMMYFUNCTION("AVERAGE(QUERY(GOOGLEFINANCE(C141, ""price"", TODAY()-80, TODAY()), ""SELECT Col2 WHERE Col2 IS NOT NULL ORDER BY Col1 DESC LIMIT 50"", 0))"),"#N/A")</f>
        <v>#N/A</v>
      </c>
      <c r="R141" s="24" t="str">
        <f>IFERROR(__xludf.DUMMYFUNCTION("IFERROR(
  LET(
    data, QUERY(GOOGLEFINANCE(C141,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GOOGLEFINANCE(C141, ""price"")) * 100,
    IF(calc=0, G141, calc)
  ), 
G141)"),"#N/A")</f>
        <v>#N/A</v>
      </c>
      <c r="S141" s="8" t="s">
        <v>15</v>
      </c>
      <c r="T141" s="26" t="str">
        <f>IFERROR(__xludf.DUMMYFUNCTION("IFERROR(TRANSPOSE(QUERY(IFERROR(SORT(GOOGLEFINANCE(C141, ""price"", WORKDAY(TODAY(), -40), TODAY()), 1, FALSE)), ""select Col2 where Col2 is not null limit 22 label Col2 ''"", 0)), """")"),"")</f>
        <v/>
      </c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8"/>
      <c r="AO141" s="28"/>
      <c r="AP141" s="29"/>
      <c r="AQ141" s="29" t="str">
        <f t="shared" ref="AQ141:BL141" si="144">T141/T$2</f>
        <v>#N/A</v>
      </c>
      <c r="AR141" s="29" t="str">
        <f t="shared" si="144"/>
        <v>#DIV/0!</v>
      </c>
      <c r="AS141" s="29" t="str">
        <f t="shared" si="144"/>
        <v>#DIV/0!</v>
      </c>
      <c r="AT141" s="29" t="str">
        <f t="shared" si="144"/>
        <v>#DIV/0!</v>
      </c>
      <c r="AU141" s="29" t="str">
        <f t="shared" si="144"/>
        <v>#DIV/0!</v>
      </c>
      <c r="AV141" s="29" t="str">
        <f t="shared" si="144"/>
        <v>#DIV/0!</v>
      </c>
      <c r="AW141" s="29" t="str">
        <f t="shared" si="144"/>
        <v>#DIV/0!</v>
      </c>
      <c r="AX141" s="29" t="str">
        <f t="shared" si="144"/>
        <v>#DIV/0!</v>
      </c>
      <c r="AY141" s="29" t="str">
        <f t="shared" si="144"/>
        <v>#DIV/0!</v>
      </c>
      <c r="AZ141" s="29" t="str">
        <f t="shared" si="144"/>
        <v>#DIV/0!</v>
      </c>
      <c r="BA141" s="29" t="str">
        <f t="shared" si="144"/>
        <v>#DIV/0!</v>
      </c>
      <c r="BB141" s="29" t="str">
        <f t="shared" si="144"/>
        <v>#DIV/0!</v>
      </c>
      <c r="BC141" s="29" t="str">
        <f t="shared" si="144"/>
        <v>#DIV/0!</v>
      </c>
      <c r="BD141" s="29" t="str">
        <f t="shared" si="144"/>
        <v>#DIV/0!</v>
      </c>
      <c r="BE141" s="29" t="str">
        <f t="shared" si="144"/>
        <v>#DIV/0!</v>
      </c>
      <c r="BF141" s="29" t="str">
        <f t="shared" si="144"/>
        <v>#DIV/0!</v>
      </c>
      <c r="BG141" s="29" t="str">
        <f t="shared" si="144"/>
        <v>#DIV/0!</v>
      </c>
      <c r="BH141" s="29" t="str">
        <f t="shared" si="144"/>
        <v>#DIV/0!</v>
      </c>
      <c r="BI141" s="29" t="str">
        <f t="shared" si="144"/>
        <v>#DIV/0!</v>
      </c>
      <c r="BJ141" s="29" t="str">
        <f t="shared" si="144"/>
        <v>#DIV/0!</v>
      </c>
      <c r="BK141" s="29" t="str">
        <f t="shared" si="144"/>
        <v>#DIV/0!</v>
      </c>
      <c r="BL141" s="29" t="str">
        <f t="shared" si="144"/>
        <v>#DIV/0!</v>
      </c>
      <c r="BM141" s="29" t="str">
        <f t="shared" si="3"/>
        <v>#DIV/0!</v>
      </c>
    </row>
    <row r="142">
      <c r="A142" s="16" t="str">
        <f>IFERROR(__xludf.DUMMYFUNCTION("IFERROR(SPARKLINE(SORT(MAP(TRANSPOSE(AQ142:BL142), LAMBDA(val, IF(ISNUMBER(val), PERCENTRANK(AQ142:BL142, val)+0.01, 0))), SEQUENCE(COLUMNS(AQ142:BL142)), FALSE), {""charttype"",""column""; ""color"",""chartreuse""; ""ymin"", 0; ""ymax"", 1.01; ""highcolo"&amp;"r"", ""darkgreen""; ""lowcolor"", ""red""}), """")"),"")</f>
        <v/>
      </c>
      <c r="B142" s="17" t="str">
        <f t="shared" si="4"/>
        <v/>
      </c>
      <c r="C142" s="1" t="s">
        <v>692</v>
      </c>
      <c r="D142" s="34" t="str">
        <f>IFERROR(__xludf.DUMMYFUNCTION("IFERROR(GOOGLEFINANCE(C142, ""NAME""))"),"Green Dot Corporation")</f>
        <v>Green Dot Corporation</v>
      </c>
      <c r="E142" s="30" t="s">
        <v>145</v>
      </c>
      <c r="F142" s="33" t="str">
        <f>IFERROR(__xludf.DUMMYFUNCTION("( (GOOGLEFINANCE(C142, ""price"") - Q142) / Q142 ) / (R142 / 100)"),"Loading...")</f>
        <v>Loading...</v>
      </c>
      <c r="G142" s="20" t="str">
        <f>IFERROR(__xludf.DUMMYFUNCTION("AVERAGE(ARRAYFORMULA(100 * (QUERY(GOOGLEFINANCE(C142, ""high"", TODAY()-40, TODAY()), ""SELECT Col2 WHERE Col2 IS NOT NULL ORDER BY Col1 DESC LIMIT 20"", 0) / QUERY(GOOGLEFINANCE(C142, ""low"", TODAY()-40, TODAY()), ""SELECT Col2 WHERE Col2 IS NOT NULL OR"&amp;"DER BY Col1 DESC LIMIT 20"", 0) - 1)))"),"#N/A")</f>
        <v>#N/A</v>
      </c>
      <c r="H142" s="35" t="str">
        <f t="shared" si="6"/>
        <v/>
      </c>
      <c r="I142" s="36" t="str">
        <f t="shared" si="7"/>
        <v/>
      </c>
      <c r="J142" s="37" t="str">
        <f>IFERROR(__xludf.DUMMYFUNCTION("IFERROR(
  IF(C142="""",, 
    IFERROR(
      GOOGLEFINANCE(C142, ""price"") * GOOGLEFINANCE(C142, ""volumeavg""), 
      GOOGLEFINANCE(C142, ""price"") * AVERAGE(QUERY(GOOGLEFINANCE(C142, ""volume"", TODAY()-40, TODAY()), ""SELECT Col2 WHERE Col2 IS NOT "&amp;"NULL ORDER BY Col1 DESC LIMIT 20"", 0))
    )
  ), 
"""")"),"")</f>
        <v/>
      </c>
      <c r="K142" s="21" t="str">
        <f>IFERROR(__xludf.DUMMYFUNCTION("IFERROR(GOOGLEFINANCE(C142, ""changepct"") / 100, """")"),"")</f>
        <v/>
      </c>
      <c r="L142" s="21" t="str">
        <f>IFERROR(__xludf.DUMMYFUNCTION("IFERROR((GOOGLEFINANCE(C142, ""price"") / INDEX(GOOGLEFINANCE(C142, ""price"", TODAY()-7, TODAY()), 2, 2)) - 1, """")"),"")</f>
        <v/>
      </c>
      <c r="M142" s="21" t="str">
        <f>IFERROR(__xludf.DUMMYFUNCTION("IFERROR((GOOGLEFINANCE(C142, ""price"") / INDEX(GOOGLEFINANCE(C142, ""price"", EDATE(TODAY(), -1), TODAY()), 2, 2)) - 1, """")"),"")</f>
        <v/>
      </c>
      <c r="N142" s="21" t="str">
        <f>IFERROR(__xludf.DUMMYFUNCTION("IFERROR((GOOGLEFINANCE(C142, ""price"") / INDEX(GOOGLEFINANCE(C142, ""price"", EDATE(TODAY(), -3), TODAY()), 2, 2)) - 1, """")"),"")</f>
        <v/>
      </c>
      <c r="O142" s="21" t="str">
        <f>IFERROR(__xludf.DUMMYFUNCTION("IFERROR((GOOGLEFINANCE(C142, ""price"") / INDEX(GOOGLEFINANCE(C142, ""price"", EDATE(TODAY(), -6), TODAY()), 2, 2)) - 1, """")"),"")</f>
        <v/>
      </c>
      <c r="P142" s="21" t="str">
        <f>IFERROR(__xludf.DUMMYFUNCTION("IFERROR((GOOGLEFINANCE(C142, ""price"") / INDEX(GOOGLEFINANCE(C142, ""price"", EDATE(TODAY(), -12), TODAY()), 2, 2)) - 1, """")"),"")</f>
        <v/>
      </c>
      <c r="Q142" s="6" t="str">
        <f>IFERROR(__xludf.DUMMYFUNCTION("AVERAGE(QUERY(GOOGLEFINANCE(C142, ""price"", TODAY()-80, TODAY()), ""SELECT Col2 WHERE Col2 IS NOT NULL ORDER BY Col1 DESC LIMIT 50"", 0))"),"#N/A")</f>
        <v>#N/A</v>
      </c>
      <c r="R142" s="24" t="str">
        <f>IFERROR(__xludf.DUMMYFUNCTION("IFERROR(
  LET(
    data, QUERY(GOOGLEFINANCE(C142,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GOOGLEFINANCE(C142, ""price"")) * 100,
    IF(calc=0, G142, calc)
  ), 
G142)"),"#N/A")</f>
        <v>#N/A</v>
      </c>
      <c r="S142" s="8" t="s">
        <v>15</v>
      </c>
      <c r="T142" s="26" t="str">
        <f>IFERROR(__xludf.DUMMYFUNCTION("IFERROR(TRANSPOSE(QUERY(IFERROR(SORT(GOOGLEFINANCE(C142, ""price"", WORKDAY(TODAY(), -40), TODAY()), 1, FALSE)), ""select Col2 where Col2 is not null limit 22 label Col2 ''"", 0)), """")"),"")</f>
        <v/>
      </c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8"/>
      <c r="AO142" s="28"/>
      <c r="AP142" s="29"/>
      <c r="AQ142" s="29" t="str">
        <f t="shared" ref="AQ142:BL142" si="145">T142/T$2</f>
        <v>#N/A</v>
      </c>
      <c r="AR142" s="29" t="str">
        <f t="shared" si="145"/>
        <v>#DIV/0!</v>
      </c>
      <c r="AS142" s="29" t="str">
        <f t="shared" si="145"/>
        <v>#DIV/0!</v>
      </c>
      <c r="AT142" s="29" t="str">
        <f t="shared" si="145"/>
        <v>#DIV/0!</v>
      </c>
      <c r="AU142" s="29" t="str">
        <f t="shared" si="145"/>
        <v>#DIV/0!</v>
      </c>
      <c r="AV142" s="29" t="str">
        <f t="shared" si="145"/>
        <v>#DIV/0!</v>
      </c>
      <c r="AW142" s="29" t="str">
        <f t="shared" si="145"/>
        <v>#DIV/0!</v>
      </c>
      <c r="AX142" s="29" t="str">
        <f t="shared" si="145"/>
        <v>#DIV/0!</v>
      </c>
      <c r="AY142" s="29" t="str">
        <f t="shared" si="145"/>
        <v>#DIV/0!</v>
      </c>
      <c r="AZ142" s="29" t="str">
        <f t="shared" si="145"/>
        <v>#DIV/0!</v>
      </c>
      <c r="BA142" s="29" t="str">
        <f t="shared" si="145"/>
        <v>#DIV/0!</v>
      </c>
      <c r="BB142" s="29" t="str">
        <f t="shared" si="145"/>
        <v>#DIV/0!</v>
      </c>
      <c r="BC142" s="29" t="str">
        <f t="shared" si="145"/>
        <v>#DIV/0!</v>
      </c>
      <c r="BD142" s="29" t="str">
        <f t="shared" si="145"/>
        <v>#DIV/0!</v>
      </c>
      <c r="BE142" s="29" t="str">
        <f t="shared" si="145"/>
        <v>#DIV/0!</v>
      </c>
      <c r="BF142" s="29" t="str">
        <f t="shared" si="145"/>
        <v>#DIV/0!</v>
      </c>
      <c r="BG142" s="29" t="str">
        <f t="shared" si="145"/>
        <v>#DIV/0!</v>
      </c>
      <c r="BH142" s="29" t="str">
        <f t="shared" si="145"/>
        <v>#DIV/0!</v>
      </c>
      <c r="BI142" s="29" t="str">
        <f t="shared" si="145"/>
        <v>#DIV/0!</v>
      </c>
      <c r="BJ142" s="29" t="str">
        <f t="shared" si="145"/>
        <v>#DIV/0!</v>
      </c>
      <c r="BK142" s="29" t="str">
        <f t="shared" si="145"/>
        <v>#DIV/0!</v>
      </c>
      <c r="BL142" s="29" t="str">
        <f t="shared" si="145"/>
        <v>#DIV/0!</v>
      </c>
      <c r="BM142" s="29" t="str">
        <f t="shared" si="3"/>
        <v>#DIV/0!</v>
      </c>
    </row>
    <row r="143">
      <c r="A143" s="16" t="str">
        <f>IFERROR(__xludf.DUMMYFUNCTION("IFERROR(SPARKLINE(SORT(MAP(TRANSPOSE(AQ143:BL143), LAMBDA(val, IF(ISNUMBER(val), PERCENTRANK(AQ143:BL143, val)+0.01, 0))), SEQUENCE(COLUMNS(AQ143:BL143)), FALSE), {""charttype"",""column""; ""color"",""chartreuse""; ""ymin"", 0; ""ymax"", 1.01; ""highcolo"&amp;"r"", ""darkgreen""; ""lowcolor"", ""red""}), """")"),"")</f>
        <v/>
      </c>
      <c r="B143" s="17" t="str">
        <f t="shared" si="4"/>
        <v/>
      </c>
      <c r="C143" s="1" t="s">
        <v>698</v>
      </c>
      <c r="D143" s="34" t="str">
        <f>IFERROR(__xludf.DUMMYFUNCTION("IFERROR(GOOGLEFINANCE(C143, ""NAME""))"),"Runway Growth Finance Corp")</f>
        <v>Runway Growth Finance Corp</v>
      </c>
      <c r="E143" s="30" t="s">
        <v>64</v>
      </c>
      <c r="F143" s="33" t="str">
        <f>IFERROR(__xludf.DUMMYFUNCTION("( (GOOGLEFINANCE(C143, ""price"") - Q143) / Q143 ) / (R143 / 100)"),"Loading...")</f>
        <v>Loading...</v>
      </c>
      <c r="G143" s="20" t="str">
        <f>IFERROR(__xludf.DUMMYFUNCTION("AVERAGE(ARRAYFORMULA(100 * (QUERY(GOOGLEFINANCE(C143, ""high"", TODAY()-40, TODAY()), ""SELECT Col2 WHERE Col2 IS NOT NULL ORDER BY Col1 DESC LIMIT 20"", 0) / QUERY(GOOGLEFINANCE(C143, ""low"", TODAY()-40, TODAY()), ""SELECT Col2 WHERE Col2 IS NOT NULL OR"&amp;"DER BY Col1 DESC LIMIT 20"", 0) - 1)))"),"#N/A")</f>
        <v>#N/A</v>
      </c>
      <c r="H143" s="35" t="str">
        <f t="shared" si="6"/>
        <v/>
      </c>
      <c r="I143" s="36" t="str">
        <f t="shared" si="7"/>
        <v/>
      </c>
      <c r="J143" s="37" t="str">
        <f>IFERROR(__xludf.DUMMYFUNCTION("IFERROR(
  IF(C143="""",, 
    IFERROR(
      GOOGLEFINANCE(C143, ""price"") * GOOGLEFINANCE(C143, ""volumeavg""), 
      GOOGLEFINANCE(C143, ""price"") * AVERAGE(QUERY(GOOGLEFINANCE(C143, ""volume"", TODAY()-40, TODAY()), ""SELECT Col2 WHERE Col2 IS NOT "&amp;"NULL ORDER BY Col1 DESC LIMIT 20"", 0))
    )
  ), 
"""")"),"")</f>
        <v/>
      </c>
      <c r="K143" s="21" t="str">
        <f>IFERROR(__xludf.DUMMYFUNCTION("IFERROR(GOOGLEFINANCE(C143, ""changepct"") / 100, """")"),"")</f>
        <v/>
      </c>
      <c r="L143" s="21" t="str">
        <f>IFERROR(__xludf.DUMMYFUNCTION("IFERROR((GOOGLEFINANCE(C143, ""price"") / INDEX(GOOGLEFINANCE(C143, ""price"", TODAY()-7, TODAY()), 2, 2)) - 1, """")"),"")</f>
        <v/>
      </c>
      <c r="M143" s="21" t="str">
        <f>IFERROR(__xludf.DUMMYFUNCTION("IFERROR((GOOGLEFINANCE(C143, ""price"") / INDEX(GOOGLEFINANCE(C143, ""price"", EDATE(TODAY(), -1), TODAY()), 2, 2)) - 1, """")"),"")</f>
        <v/>
      </c>
      <c r="N143" s="21" t="str">
        <f>IFERROR(__xludf.DUMMYFUNCTION("IFERROR((GOOGLEFINANCE(C143, ""price"") / INDEX(GOOGLEFINANCE(C143, ""price"", EDATE(TODAY(), -3), TODAY()), 2, 2)) - 1, """")"),"")</f>
        <v/>
      </c>
      <c r="O143" s="21" t="str">
        <f>IFERROR(__xludf.DUMMYFUNCTION("IFERROR((GOOGLEFINANCE(C143, ""price"") / INDEX(GOOGLEFINANCE(C143, ""price"", EDATE(TODAY(), -6), TODAY()), 2, 2)) - 1, """")"),"")</f>
        <v/>
      </c>
      <c r="P143" s="21" t="str">
        <f>IFERROR(__xludf.DUMMYFUNCTION("IFERROR((GOOGLEFINANCE(C143, ""price"") / INDEX(GOOGLEFINANCE(C143, ""price"", EDATE(TODAY(), -12), TODAY()), 2, 2)) - 1, """")"),"")</f>
        <v/>
      </c>
      <c r="Q143" s="6" t="str">
        <f>IFERROR(__xludf.DUMMYFUNCTION("AVERAGE(QUERY(GOOGLEFINANCE(C143, ""price"", TODAY()-80, TODAY()), ""SELECT Col2 WHERE Col2 IS NOT NULL ORDER BY Col1 DESC LIMIT 50"", 0))"),"#N/A")</f>
        <v>#N/A</v>
      </c>
      <c r="R143" s="24" t="str">
        <f>IFERROR(__xludf.DUMMYFUNCTION("IFERROR(
  LET(
    data, QUERY(GOOGLEFINANCE(C143,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GOOGLEFINANCE(C143, ""price"")) * 100,
    IF(calc=0, G143, calc)
  ), 
G143)"),"#N/A")</f>
        <v>#N/A</v>
      </c>
      <c r="S143" s="8" t="s">
        <v>15</v>
      </c>
      <c r="T143" s="26" t="str">
        <f>IFERROR(__xludf.DUMMYFUNCTION("IFERROR(TRANSPOSE(QUERY(IFERROR(SORT(GOOGLEFINANCE(C143, ""price"", WORKDAY(TODAY(), -40), TODAY()), 1, FALSE)), ""select Col2 where Col2 is not null limit 22 label Col2 ''"", 0)), """")"),"")</f>
        <v/>
      </c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8"/>
      <c r="AO143" s="28"/>
      <c r="AP143" s="29"/>
      <c r="AQ143" s="29" t="str">
        <f t="shared" ref="AQ143:BL143" si="146">T143/T$2</f>
        <v>#N/A</v>
      </c>
      <c r="AR143" s="29" t="str">
        <f t="shared" si="146"/>
        <v>#DIV/0!</v>
      </c>
      <c r="AS143" s="29" t="str">
        <f t="shared" si="146"/>
        <v>#DIV/0!</v>
      </c>
      <c r="AT143" s="29" t="str">
        <f t="shared" si="146"/>
        <v>#DIV/0!</v>
      </c>
      <c r="AU143" s="29" t="str">
        <f t="shared" si="146"/>
        <v>#DIV/0!</v>
      </c>
      <c r="AV143" s="29" t="str">
        <f t="shared" si="146"/>
        <v>#DIV/0!</v>
      </c>
      <c r="AW143" s="29" t="str">
        <f t="shared" si="146"/>
        <v>#DIV/0!</v>
      </c>
      <c r="AX143" s="29" t="str">
        <f t="shared" si="146"/>
        <v>#DIV/0!</v>
      </c>
      <c r="AY143" s="29" t="str">
        <f t="shared" si="146"/>
        <v>#DIV/0!</v>
      </c>
      <c r="AZ143" s="29" t="str">
        <f t="shared" si="146"/>
        <v>#DIV/0!</v>
      </c>
      <c r="BA143" s="29" t="str">
        <f t="shared" si="146"/>
        <v>#DIV/0!</v>
      </c>
      <c r="BB143" s="29" t="str">
        <f t="shared" si="146"/>
        <v>#DIV/0!</v>
      </c>
      <c r="BC143" s="29" t="str">
        <f t="shared" si="146"/>
        <v>#DIV/0!</v>
      </c>
      <c r="BD143" s="29" t="str">
        <f t="shared" si="146"/>
        <v>#DIV/0!</v>
      </c>
      <c r="BE143" s="29" t="str">
        <f t="shared" si="146"/>
        <v>#DIV/0!</v>
      </c>
      <c r="BF143" s="29" t="str">
        <f t="shared" si="146"/>
        <v>#DIV/0!</v>
      </c>
      <c r="BG143" s="29" t="str">
        <f t="shared" si="146"/>
        <v>#DIV/0!</v>
      </c>
      <c r="BH143" s="29" t="str">
        <f t="shared" si="146"/>
        <v>#DIV/0!</v>
      </c>
      <c r="BI143" s="29" t="str">
        <f t="shared" si="146"/>
        <v>#DIV/0!</v>
      </c>
      <c r="BJ143" s="29" t="str">
        <f t="shared" si="146"/>
        <v>#DIV/0!</v>
      </c>
      <c r="BK143" s="29" t="str">
        <f t="shared" si="146"/>
        <v>#DIV/0!</v>
      </c>
      <c r="BL143" s="29" t="str">
        <f t="shared" si="146"/>
        <v>#DIV/0!</v>
      </c>
      <c r="BM143" s="29" t="str">
        <f t="shared" si="3"/>
        <v>#DIV/0!</v>
      </c>
    </row>
    <row r="144">
      <c r="A144" s="16" t="str">
        <f>IFERROR(__xludf.DUMMYFUNCTION("IFERROR(SPARKLINE(SORT(MAP(TRANSPOSE(AQ144:BL144), LAMBDA(val, IF(ISNUMBER(val), PERCENTRANK(AQ144:BL144, val)+0.01, 0))), SEQUENCE(COLUMNS(AQ144:BL144)), FALSE), {""charttype"",""column""; ""color"",""chartreuse""; ""ymin"", 0; ""ymax"", 1.01; ""highcolo"&amp;"r"", ""darkgreen""; ""lowcolor"", ""red""}), """")"),"")</f>
        <v/>
      </c>
      <c r="B144" s="17" t="str">
        <f t="shared" si="4"/>
        <v/>
      </c>
      <c r="C144" s="1" t="s">
        <v>701</v>
      </c>
      <c r="D144" s="34" t="str">
        <f>IFERROR(__xludf.DUMMYFUNCTION("IFERROR(GOOGLEFINANCE(C144, ""NAME""))"),"Oxley Bridge Acquisition Ltd")</f>
        <v>Oxley Bridge Acquisition Ltd</v>
      </c>
      <c r="E144" s="30" t="s">
        <v>161</v>
      </c>
      <c r="F144" s="33" t="str">
        <f>IFERROR(__xludf.DUMMYFUNCTION("( (GOOGLEFINANCE(C144, ""price"") - Q144) / Q144 ) / (R144 / 100)"),"Loading...")</f>
        <v>Loading...</v>
      </c>
      <c r="G144" s="20" t="str">
        <f>IFERROR(__xludf.DUMMYFUNCTION("AVERAGE(ARRAYFORMULA(100 * (QUERY(GOOGLEFINANCE(C144, ""high"", TODAY()-40, TODAY()), ""SELECT Col2 WHERE Col2 IS NOT NULL ORDER BY Col1 DESC LIMIT 20"", 0) / QUERY(GOOGLEFINANCE(C144, ""low"", TODAY()-40, TODAY()), ""SELECT Col2 WHERE Col2 IS NOT NULL OR"&amp;"DER BY Col1 DESC LIMIT 20"", 0) - 1)))"),"#N/A")</f>
        <v>#N/A</v>
      </c>
      <c r="H144" s="35" t="str">
        <f t="shared" si="6"/>
        <v/>
      </c>
      <c r="I144" s="36" t="str">
        <f t="shared" si="7"/>
        <v/>
      </c>
      <c r="J144" s="37" t="str">
        <f>IFERROR(__xludf.DUMMYFUNCTION("IFERROR(
  IF(C144="""",, 
    IFERROR(
      GOOGLEFINANCE(C144, ""price"") * GOOGLEFINANCE(C144, ""volumeavg""), 
      GOOGLEFINANCE(C144, ""price"") * AVERAGE(QUERY(GOOGLEFINANCE(C144, ""volume"", TODAY()-40, TODAY()), ""SELECT Col2 WHERE Col2 IS NOT "&amp;"NULL ORDER BY Col1 DESC LIMIT 20"", 0))
    )
  ), 
"""")"),"")</f>
        <v/>
      </c>
      <c r="K144" s="21" t="str">
        <f>IFERROR(__xludf.DUMMYFUNCTION("IFERROR(GOOGLEFINANCE(C144, ""changepct"") / 100, """")"),"")</f>
        <v/>
      </c>
      <c r="L144" s="21" t="str">
        <f>IFERROR(__xludf.DUMMYFUNCTION("IFERROR((GOOGLEFINANCE(C144, ""price"") / INDEX(GOOGLEFINANCE(C144, ""price"", TODAY()-7, TODAY()), 2, 2)) - 1, """")"),"")</f>
        <v/>
      </c>
      <c r="M144" s="21" t="str">
        <f>IFERROR(__xludf.DUMMYFUNCTION("IFERROR((GOOGLEFINANCE(C144, ""price"") / INDEX(GOOGLEFINANCE(C144, ""price"", EDATE(TODAY(), -1), TODAY()), 2, 2)) - 1, """")"),"")</f>
        <v/>
      </c>
      <c r="N144" s="21" t="str">
        <f>IFERROR(__xludf.DUMMYFUNCTION("IFERROR((GOOGLEFINANCE(C144, ""price"") / INDEX(GOOGLEFINANCE(C144, ""price"", EDATE(TODAY(), -3), TODAY()), 2, 2)) - 1, """")"),"")</f>
        <v/>
      </c>
      <c r="O144" s="21" t="str">
        <f>IFERROR(__xludf.DUMMYFUNCTION("IFERROR((GOOGLEFINANCE(C144, ""price"") / INDEX(GOOGLEFINANCE(C144, ""price"", EDATE(TODAY(), -6), TODAY()), 2, 2)) - 1, """")"),"")</f>
        <v/>
      </c>
      <c r="P144" s="21" t="str">
        <f>IFERROR(__xludf.DUMMYFUNCTION("IFERROR((GOOGLEFINANCE(C144, ""price"") / INDEX(GOOGLEFINANCE(C144, ""price"", EDATE(TODAY(), -12), TODAY()), 2, 2)) - 1, """")"),"")</f>
        <v/>
      </c>
      <c r="Q144" s="6" t="str">
        <f>IFERROR(__xludf.DUMMYFUNCTION("AVERAGE(QUERY(GOOGLEFINANCE(C144, ""price"", TODAY()-80, TODAY()), ""SELECT Col2 WHERE Col2 IS NOT NULL ORDER BY Col1 DESC LIMIT 50"", 0))"),"#N/A")</f>
        <v>#N/A</v>
      </c>
      <c r="R144" s="24" t="str">
        <f>IFERROR(__xludf.DUMMYFUNCTION("IFERROR(
  LET(
    data, QUERY(GOOGLEFINANCE(C144,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GOOGLEFINANCE(C144, ""price"")) * 100,
    IF(calc=0, G144, calc)
  ), 
G144)"),"#N/A")</f>
        <v>#N/A</v>
      </c>
      <c r="S144" s="8" t="s">
        <v>15</v>
      </c>
      <c r="T144" s="26" t="str">
        <f>IFERROR(__xludf.DUMMYFUNCTION("IFERROR(TRANSPOSE(QUERY(IFERROR(SORT(GOOGLEFINANCE(C144, ""price"", WORKDAY(TODAY(), -40), TODAY()), 1, FALSE)), ""select Col2 where Col2 is not null limit 22 label Col2 ''"", 0)), """")"),"")</f>
        <v/>
      </c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8"/>
      <c r="AO144" s="28"/>
      <c r="AP144" s="29"/>
      <c r="AQ144" s="29" t="str">
        <f t="shared" ref="AQ144:BL144" si="147">T144/T$2</f>
        <v>#N/A</v>
      </c>
      <c r="AR144" s="29" t="str">
        <f t="shared" si="147"/>
        <v>#DIV/0!</v>
      </c>
      <c r="AS144" s="29" t="str">
        <f t="shared" si="147"/>
        <v>#DIV/0!</v>
      </c>
      <c r="AT144" s="29" t="str">
        <f t="shared" si="147"/>
        <v>#DIV/0!</v>
      </c>
      <c r="AU144" s="29" t="str">
        <f t="shared" si="147"/>
        <v>#DIV/0!</v>
      </c>
      <c r="AV144" s="29" t="str">
        <f t="shared" si="147"/>
        <v>#DIV/0!</v>
      </c>
      <c r="AW144" s="29" t="str">
        <f t="shared" si="147"/>
        <v>#DIV/0!</v>
      </c>
      <c r="AX144" s="29" t="str">
        <f t="shared" si="147"/>
        <v>#DIV/0!</v>
      </c>
      <c r="AY144" s="29" t="str">
        <f t="shared" si="147"/>
        <v>#DIV/0!</v>
      </c>
      <c r="AZ144" s="29" t="str">
        <f t="shared" si="147"/>
        <v>#DIV/0!</v>
      </c>
      <c r="BA144" s="29" t="str">
        <f t="shared" si="147"/>
        <v>#DIV/0!</v>
      </c>
      <c r="BB144" s="29" t="str">
        <f t="shared" si="147"/>
        <v>#DIV/0!</v>
      </c>
      <c r="BC144" s="29" t="str">
        <f t="shared" si="147"/>
        <v>#DIV/0!</v>
      </c>
      <c r="BD144" s="29" t="str">
        <f t="shared" si="147"/>
        <v>#DIV/0!</v>
      </c>
      <c r="BE144" s="29" t="str">
        <f t="shared" si="147"/>
        <v>#DIV/0!</v>
      </c>
      <c r="BF144" s="29" t="str">
        <f t="shared" si="147"/>
        <v>#DIV/0!</v>
      </c>
      <c r="BG144" s="29" t="str">
        <f t="shared" si="147"/>
        <v>#DIV/0!</v>
      </c>
      <c r="BH144" s="29" t="str">
        <f t="shared" si="147"/>
        <v>#DIV/0!</v>
      </c>
      <c r="BI144" s="29" t="str">
        <f t="shared" si="147"/>
        <v>#DIV/0!</v>
      </c>
      <c r="BJ144" s="29" t="str">
        <f t="shared" si="147"/>
        <v>#DIV/0!</v>
      </c>
      <c r="BK144" s="29" t="str">
        <f t="shared" si="147"/>
        <v>#DIV/0!</v>
      </c>
      <c r="BL144" s="29" t="str">
        <f t="shared" si="147"/>
        <v>#DIV/0!</v>
      </c>
      <c r="BM144" s="29" t="str">
        <f t="shared" si="3"/>
        <v>#DIV/0!</v>
      </c>
    </row>
    <row r="145">
      <c r="A145" s="16" t="str">
        <f>IFERROR(__xludf.DUMMYFUNCTION("IFERROR(SPARKLINE(SORT(MAP(TRANSPOSE(AQ145:BL145), LAMBDA(val, IF(ISNUMBER(val), PERCENTRANK(AQ145:BL145, val)+0.01, 0))), SEQUENCE(COLUMNS(AQ145:BL145)), FALSE), {""charttype"",""column""; ""color"",""chartreuse""; ""ymin"", 0; ""ymax"", 1.01; ""highcolo"&amp;"r"", ""darkgreen""; ""lowcolor"", ""red""}), """")"),"")</f>
        <v/>
      </c>
      <c r="B145" s="17" t="str">
        <f t="shared" si="4"/>
        <v/>
      </c>
      <c r="C145" s="1" t="s">
        <v>705</v>
      </c>
      <c r="D145" s="34" t="str">
        <f>IFERROR(__xludf.DUMMYFUNCTION("IFERROR(GOOGLEFINANCE(C145, ""NAME""))"),"Progressive Corp")</f>
        <v>Progressive Corp</v>
      </c>
      <c r="E145" s="30" t="s">
        <v>82</v>
      </c>
      <c r="F145" s="33" t="str">
        <f>IFERROR(__xludf.DUMMYFUNCTION("( (GOOGLEFINANCE(C145, ""price"") - Q145) / Q145 ) / (R145 / 100)"),"Loading...")</f>
        <v>Loading...</v>
      </c>
      <c r="G145" s="20" t="str">
        <f>IFERROR(__xludf.DUMMYFUNCTION("AVERAGE(ARRAYFORMULA(100 * (QUERY(GOOGLEFINANCE(C145, ""high"", TODAY()-40, TODAY()), ""SELECT Col2 WHERE Col2 IS NOT NULL ORDER BY Col1 DESC LIMIT 20"", 0) / QUERY(GOOGLEFINANCE(C145, ""low"", TODAY()-40, TODAY()), ""SELECT Col2 WHERE Col2 IS NOT NULL OR"&amp;"DER BY Col1 DESC LIMIT 20"", 0) - 1)))"),"#N/A")</f>
        <v>#N/A</v>
      </c>
      <c r="H145" s="35" t="str">
        <f t="shared" si="6"/>
        <v/>
      </c>
      <c r="I145" s="36" t="str">
        <f t="shared" si="7"/>
        <v/>
      </c>
      <c r="J145" s="37" t="str">
        <f>IFERROR(__xludf.DUMMYFUNCTION("IFERROR(
  IF(C145="""",, 
    IFERROR(
      GOOGLEFINANCE(C145, ""price"") * GOOGLEFINANCE(C145, ""volumeavg""), 
      GOOGLEFINANCE(C145, ""price"") * AVERAGE(QUERY(GOOGLEFINANCE(C145, ""volume"", TODAY()-40, TODAY()), ""SELECT Col2 WHERE Col2 IS NOT "&amp;"NULL ORDER BY Col1 DESC LIMIT 20"", 0))
    )
  ), 
"""")"),"")</f>
        <v/>
      </c>
      <c r="K145" s="21" t="str">
        <f>IFERROR(__xludf.DUMMYFUNCTION("IFERROR(GOOGLEFINANCE(C145, ""changepct"") / 100, """")"),"")</f>
        <v/>
      </c>
      <c r="L145" s="21" t="str">
        <f>IFERROR(__xludf.DUMMYFUNCTION("IFERROR((GOOGLEFINANCE(C145, ""price"") / INDEX(GOOGLEFINANCE(C145, ""price"", TODAY()-7, TODAY()), 2, 2)) - 1, """")"),"")</f>
        <v/>
      </c>
      <c r="M145" s="21" t="str">
        <f>IFERROR(__xludf.DUMMYFUNCTION("IFERROR((GOOGLEFINANCE(C145, ""price"") / INDEX(GOOGLEFINANCE(C145, ""price"", EDATE(TODAY(), -1), TODAY()), 2, 2)) - 1, """")"),"")</f>
        <v/>
      </c>
      <c r="N145" s="21" t="str">
        <f>IFERROR(__xludf.DUMMYFUNCTION("IFERROR((GOOGLEFINANCE(C145, ""price"") / INDEX(GOOGLEFINANCE(C145, ""price"", EDATE(TODAY(), -3), TODAY()), 2, 2)) - 1, """")"),"")</f>
        <v/>
      </c>
      <c r="O145" s="21" t="str">
        <f>IFERROR(__xludf.DUMMYFUNCTION("IFERROR((GOOGLEFINANCE(C145, ""price"") / INDEX(GOOGLEFINANCE(C145, ""price"", EDATE(TODAY(), -6), TODAY()), 2, 2)) - 1, """")"),"")</f>
        <v/>
      </c>
      <c r="P145" s="21" t="str">
        <f>IFERROR(__xludf.DUMMYFUNCTION("IFERROR((GOOGLEFINANCE(C145, ""price"") / INDEX(GOOGLEFINANCE(C145, ""price"", EDATE(TODAY(), -12), TODAY()), 2, 2)) - 1, """")"),"")</f>
        <v/>
      </c>
      <c r="Q145" s="6" t="str">
        <f>IFERROR(__xludf.DUMMYFUNCTION("AVERAGE(QUERY(GOOGLEFINANCE(C145, ""price"", TODAY()-80, TODAY()), ""SELECT Col2 WHERE Col2 IS NOT NULL ORDER BY Col1 DESC LIMIT 50"", 0))"),"#N/A")</f>
        <v>#N/A</v>
      </c>
      <c r="R145" s="24" t="str">
        <f>IFERROR(__xludf.DUMMYFUNCTION("IFERROR(
  LET(
    data, QUERY(GOOGLEFINANCE(C145,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GOOGLEFINANCE(C145, ""price"")) * 100,
    IF(calc=0, G145, calc)
  ), 
G145)"),"#N/A")</f>
        <v>#N/A</v>
      </c>
      <c r="S145" s="8" t="s">
        <v>15</v>
      </c>
      <c r="T145" s="26" t="str">
        <f>IFERROR(__xludf.DUMMYFUNCTION("IFERROR(TRANSPOSE(QUERY(IFERROR(SORT(GOOGLEFINANCE(C145, ""price"", WORKDAY(TODAY(), -40), TODAY()), 1, FALSE)), ""select Col2 where Col2 is not null limit 22 label Col2 ''"", 0)), """")"),"")</f>
        <v/>
      </c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8"/>
      <c r="AO145" s="28"/>
      <c r="AP145" s="29"/>
      <c r="AQ145" s="29" t="str">
        <f t="shared" ref="AQ145:BL145" si="148">T145/T$2</f>
        <v>#N/A</v>
      </c>
      <c r="AR145" s="29" t="str">
        <f t="shared" si="148"/>
        <v>#DIV/0!</v>
      </c>
      <c r="AS145" s="29" t="str">
        <f t="shared" si="148"/>
        <v>#DIV/0!</v>
      </c>
      <c r="AT145" s="29" t="str">
        <f t="shared" si="148"/>
        <v>#DIV/0!</v>
      </c>
      <c r="AU145" s="29" t="str">
        <f t="shared" si="148"/>
        <v>#DIV/0!</v>
      </c>
      <c r="AV145" s="29" t="str">
        <f t="shared" si="148"/>
        <v>#DIV/0!</v>
      </c>
      <c r="AW145" s="29" t="str">
        <f t="shared" si="148"/>
        <v>#DIV/0!</v>
      </c>
      <c r="AX145" s="29" t="str">
        <f t="shared" si="148"/>
        <v>#DIV/0!</v>
      </c>
      <c r="AY145" s="29" t="str">
        <f t="shared" si="148"/>
        <v>#DIV/0!</v>
      </c>
      <c r="AZ145" s="29" t="str">
        <f t="shared" si="148"/>
        <v>#DIV/0!</v>
      </c>
      <c r="BA145" s="29" t="str">
        <f t="shared" si="148"/>
        <v>#DIV/0!</v>
      </c>
      <c r="BB145" s="29" t="str">
        <f t="shared" si="148"/>
        <v>#DIV/0!</v>
      </c>
      <c r="BC145" s="29" t="str">
        <f t="shared" si="148"/>
        <v>#DIV/0!</v>
      </c>
      <c r="BD145" s="29" t="str">
        <f t="shared" si="148"/>
        <v>#DIV/0!</v>
      </c>
      <c r="BE145" s="29" t="str">
        <f t="shared" si="148"/>
        <v>#DIV/0!</v>
      </c>
      <c r="BF145" s="29" t="str">
        <f t="shared" si="148"/>
        <v>#DIV/0!</v>
      </c>
      <c r="BG145" s="29" t="str">
        <f t="shared" si="148"/>
        <v>#DIV/0!</v>
      </c>
      <c r="BH145" s="29" t="str">
        <f t="shared" si="148"/>
        <v>#DIV/0!</v>
      </c>
      <c r="BI145" s="29" t="str">
        <f t="shared" si="148"/>
        <v>#DIV/0!</v>
      </c>
      <c r="BJ145" s="29" t="str">
        <f t="shared" si="148"/>
        <v>#DIV/0!</v>
      </c>
      <c r="BK145" s="29" t="str">
        <f t="shared" si="148"/>
        <v>#DIV/0!</v>
      </c>
      <c r="BL145" s="29" t="str">
        <f t="shared" si="148"/>
        <v>#DIV/0!</v>
      </c>
      <c r="BM145" s="29" t="str">
        <f t="shared" si="3"/>
        <v>#DIV/0!</v>
      </c>
    </row>
    <row r="146">
      <c r="A146" s="16" t="str">
        <f>IFERROR(__xludf.DUMMYFUNCTION("IFERROR(SPARKLINE(SORT(MAP(TRANSPOSE(AQ146:BL146), LAMBDA(val, IF(ISNUMBER(val), PERCENTRANK(AQ146:BL146, val)+0.01, 0))), SEQUENCE(COLUMNS(AQ146:BL146)), FALSE), {""charttype"",""column""; ""color"",""chartreuse""; ""ymin"", 0; ""ymax"", 1.01; ""highcolo"&amp;"r"", ""darkgreen""; ""lowcolor"", ""red""}), """")"),"")</f>
        <v/>
      </c>
      <c r="B146" s="17" t="str">
        <f t="shared" si="4"/>
        <v/>
      </c>
      <c r="C146" s="1" t="s">
        <v>708</v>
      </c>
      <c r="D146" s="34" t="str">
        <f>IFERROR(__xludf.DUMMYFUNCTION("IFERROR(GOOGLEFINANCE(C146, ""NAME""))"),"American Financial Group Inc")</f>
        <v>American Financial Group Inc</v>
      </c>
      <c r="E146" s="30" t="s">
        <v>82</v>
      </c>
      <c r="F146" s="33" t="str">
        <f>IFERROR(__xludf.DUMMYFUNCTION("( (GOOGLEFINANCE(C146, ""price"") - Q146) / Q146 ) / (R146 / 100)"),"Loading...")</f>
        <v>Loading...</v>
      </c>
      <c r="G146" s="20" t="str">
        <f>IFERROR(__xludf.DUMMYFUNCTION("AVERAGE(ARRAYFORMULA(100 * (QUERY(GOOGLEFINANCE(C146, ""high"", TODAY()-40, TODAY()), ""SELECT Col2 WHERE Col2 IS NOT NULL ORDER BY Col1 DESC LIMIT 20"", 0) / QUERY(GOOGLEFINANCE(C146, ""low"", TODAY()-40, TODAY()), ""SELECT Col2 WHERE Col2 IS NOT NULL OR"&amp;"DER BY Col1 DESC LIMIT 20"", 0) - 1)))"),"#N/A")</f>
        <v>#N/A</v>
      </c>
      <c r="H146" s="35" t="str">
        <f t="shared" si="6"/>
        <v/>
      </c>
      <c r="I146" s="36" t="str">
        <f t="shared" si="7"/>
        <v/>
      </c>
      <c r="J146" s="37" t="str">
        <f>IFERROR(__xludf.DUMMYFUNCTION("IFERROR(
  IF(C146="""",, 
    IFERROR(
      GOOGLEFINANCE(C146, ""price"") * GOOGLEFINANCE(C146, ""volumeavg""), 
      GOOGLEFINANCE(C146, ""price"") * AVERAGE(QUERY(GOOGLEFINANCE(C146, ""volume"", TODAY()-40, TODAY()), ""SELECT Col2 WHERE Col2 IS NOT "&amp;"NULL ORDER BY Col1 DESC LIMIT 20"", 0))
    )
  ), 
"""")"),"")</f>
        <v/>
      </c>
      <c r="K146" s="21" t="str">
        <f>IFERROR(__xludf.DUMMYFUNCTION("IFERROR(GOOGLEFINANCE(C146, ""changepct"") / 100, """")"),"")</f>
        <v/>
      </c>
      <c r="L146" s="21" t="str">
        <f>IFERROR(__xludf.DUMMYFUNCTION("IFERROR((GOOGLEFINANCE(C146, ""price"") / INDEX(GOOGLEFINANCE(C146, ""price"", TODAY()-7, TODAY()), 2, 2)) - 1, """")"),"")</f>
        <v/>
      </c>
      <c r="M146" s="21" t="str">
        <f>IFERROR(__xludf.DUMMYFUNCTION("IFERROR((GOOGLEFINANCE(C146, ""price"") / INDEX(GOOGLEFINANCE(C146, ""price"", EDATE(TODAY(), -1), TODAY()), 2, 2)) - 1, """")"),"")</f>
        <v/>
      </c>
      <c r="N146" s="21" t="str">
        <f>IFERROR(__xludf.DUMMYFUNCTION("IFERROR((GOOGLEFINANCE(C146, ""price"") / INDEX(GOOGLEFINANCE(C146, ""price"", EDATE(TODAY(), -3), TODAY()), 2, 2)) - 1, """")"),"")</f>
        <v/>
      </c>
      <c r="O146" s="21" t="str">
        <f>IFERROR(__xludf.DUMMYFUNCTION("IFERROR((GOOGLEFINANCE(C146, ""price"") / INDEX(GOOGLEFINANCE(C146, ""price"", EDATE(TODAY(), -6), TODAY()), 2, 2)) - 1, """")"),"")</f>
        <v/>
      </c>
      <c r="P146" s="21" t="str">
        <f>IFERROR(__xludf.DUMMYFUNCTION("IFERROR((GOOGLEFINANCE(C146, ""price"") / INDEX(GOOGLEFINANCE(C146, ""price"", EDATE(TODAY(), -12), TODAY()), 2, 2)) - 1, """")"),"")</f>
        <v/>
      </c>
      <c r="Q146" s="6" t="str">
        <f>IFERROR(__xludf.DUMMYFUNCTION("AVERAGE(QUERY(GOOGLEFINANCE(C146, ""price"", TODAY()-80, TODAY()), ""SELECT Col2 WHERE Col2 IS NOT NULL ORDER BY Col1 DESC LIMIT 50"", 0))"),"#N/A")</f>
        <v>#N/A</v>
      </c>
      <c r="R146" s="24" t="str">
        <f>IFERROR(__xludf.DUMMYFUNCTION("IFERROR(
  LET(
    data, QUERY(GOOGLEFINANCE(C146,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GOOGLEFINANCE(C146, ""price"")) * 100,
    IF(calc=0, G146, calc)
  ), 
G146)"),"#N/A")</f>
        <v>#N/A</v>
      </c>
      <c r="S146" s="8" t="s">
        <v>15</v>
      </c>
      <c r="T146" s="26" t="str">
        <f>IFERROR(__xludf.DUMMYFUNCTION("IFERROR(TRANSPOSE(QUERY(IFERROR(SORT(GOOGLEFINANCE(C146, ""price"", WORKDAY(TODAY(), -40), TODAY()), 1, FALSE)), ""select Col2 where Col2 is not null limit 22 label Col2 ''"", 0)), """")"),"")</f>
        <v/>
      </c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8"/>
      <c r="AO146" s="28"/>
      <c r="AP146" s="29"/>
      <c r="AQ146" s="29" t="str">
        <f t="shared" ref="AQ146:BL146" si="149">T146/T$2</f>
        <v>#N/A</v>
      </c>
      <c r="AR146" s="29" t="str">
        <f t="shared" si="149"/>
        <v>#DIV/0!</v>
      </c>
      <c r="AS146" s="29" t="str">
        <f t="shared" si="149"/>
        <v>#DIV/0!</v>
      </c>
      <c r="AT146" s="29" t="str">
        <f t="shared" si="149"/>
        <v>#DIV/0!</v>
      </c>
      <c r="AU146" s="29" t="str">
        <f t="shared" si="149"/>
        <v>#DIV/0!</v>
      </c>
      <c r="AV146" s="29" t="str">
        <f t="shared" si="149"/>
        <v>#DIV/0!</v>
      </c>
      <c r="AW146" s="29" t="str">
        <f t="shared" si="149"/>
        <v>#DIV/0!</v>
      </c>
      <c r="AX146" s="29" t="str">
        <f t="shared" si="149"/>
        <v>#DIV/0!</v>
      </c>
      <c r="AY146" s="29" t="str">
        <f t="shared" si="149"/>
        <v>#DIV/0!</v>
      </c>
      <c r="AZ146" s="29" t="str">
        <f t="shared" si="149"/>
        <v>#DIV/0!</v>
      </c>
      <c r="BA146" s="29" t="str">
        <f t="shared" si="149"/>
        <v>#DIV/0!</v>
      </c>
      <c r="BB146" s="29" t="str">
        <f t="shared" si="149"/>
        <v>#DIV/0!</v>
      </c>
      <c r="BC146" s="29" t="str">
        <f t="shared" si="149"/>
        <v>#DIV/0!</v>
      </c>
      <c r="BD146" s="29" t="str">
        <f t="shared" si="149"/>
        <v>#DIV/0!</v>
      </c>
      <c r="BE146" s="29" t="str">
        <f t="shared" si="149"/>
        <v>#DIV/0!</v>
      </c>
      <c r="BF146" s="29" t="str">
        <f t="shared" si="149"/>
        <v>#DIV/0!</v>
      </c>
      <c r="BG146" s="29" t="str">
        <f t="shared" si="149"/>
        <v>#DIV/0!</v>
      </c>
      <c r="BH146" s="29" t="str">
        <f t="shared" si="149"/>
        <v>#DIV/0!</v>
      </c>
      <c r="BI146" s="29" t="str">
        <f t="shared" si="149"/>
        <v>#DIV/0!</v>
      </c>
      <c r="BJ146" s="29" t="str">
        <f t="shared" si="149"/>
        <v>#DIV/0!</v>
      </c>
      <c r="BK146" s="29" t="str">
        <f t="shared" si="149"/>
        <v>#DIV/0!</v>
      </c>
      <c r="BL146" s="29" t="str">
        <f t="shared" si="149"/>
        <v>#DIV/0!</v>
      </c>
      <c r="BM146" s="29" t="str">
        <f t="shared" si="3"/>
        <v>#DIV/0!</v>
      </c>
    </row>
    <row r="147">
      <c r="A147" s="16" t="str">
        <f>IFERROR(__xludf.DUMMYFUNCTION("IFERROR(SPARKLINE(SORT(MAP(TRANSPOSE(AQ147:BL147), LAMBDA(val, IF(ISNUMBER(val), PERCENTRANK(AQ147:BL147, val)+0.01, 0))), SEQUENCE(COLUMNS(AQ147:BL147)), FALSE), {""charttype"",""column""; ""color"",""chartreuse""; ""ymin"", 0; ""ymax"", 1.01; ""highcolo"&amp;"r"", ""darkgreen""; ""lowcolor"", ""red""}), """")"),"")</f>
        <v/>
      </c>
      <c r="B147" s="17" t="str">
        <f t="shared" si="4"/>
        <v/>
      </c>
      <c r="C147" s="1" t="s">
        <v>713</v>
      </c>
      <c r="D147" s="34" t="str">
        <f>IFERROR(__xludf.DUMMYFUNCTION("IFERROR(GOOGLEFINANCE(C147, ""NAME""))"),"Deutsche Bank AG")</f>
        <v>Deutsche Bank AG</v>
      </c>
      <c r="E147" s="30" t="s">
        <v>268</v>
      </c>
      <c r="F147" s="33" t="str">
        <f>IFERROR(__xludf.DUMMYFUNCTION("( (GOOGLEFINANCE(C147, ""price"") - Q147) / Q147 ) / (R147 / 100)"),"Loading...")</f>
        <v>Loading...</v>
      </c>
      <c r="G147" s="20" t="str">
        <f>IFERROR(__xludf.DUMMYFUNCTION("AVERAGE(ARRAYFORMULA(100 * (QUERY(GOOGLEFINANCE(C147, ""high"", TODAY()-40, TODAY()), ""SELECT Col2 WHERE Col2 IS NOT NULL ORDER BY Col1 DESC LIMIT 20"", 0) / QUERY(GOOGLEFINANCE(C147, ""low"", TODAY()-40, TODAY()), ""SELECT Col2 WHERE Col2 IS NOT NULL OR"&amp;"DER BY Col1 DESC LIMIT 20"", 0) - 1)))"),"#N/A")</f>
        <v>#N/A</v>
      </c>
      <c r="H147" s="35" t="str">
        <f t="shared" si="6"/>
        <v/>
      </c>
      <c r="I147" s="36" t="str">
        <f t="shared" si="7"/>
        <v/>
      </c>
      <c r="J147" s="37" t="str">
        <f>IFERROR(__xludf.DUMMYFUNCTION("IFERROR(
  IF(C147="""",, 
    IFERROR(
      GOOGLEFINANCE(C147, ""price"") * GOOGLEFINANCE(C147, ""volumeavg""), 
      GOOGLEFINANCE(C147, ""price"") * AVERAGE(QUERY(GOOGLEFINANCE(C147, ""volume"", TODAY()-40, TODAY()), ""SELECT Col2 WHERE Col2 IS NOT "&amp;"NULL ORDER BY Col1 DESC LIMIT 20"", 0))
    )
  ), 
"""")"),"")</f>
        <v/>
      </c>
      <c r="K147" s="21" t="str">
        <f>IFERROR(__xludf.DUMMYFUNCTION("IFERROR(GOOGLEFINANCE(C147, ""changepct"") / 100, """")"),"")</f>
        <v/>
      </c>
      <c r="L147" s="21" t="str">
        <f>IFERROR(__xludf.DUMMYFUNCTION("IFERROR((GOOGLEFINANCE(C147, ""price"") / INDEX(GOOGLEFINANCE(C147, ""price"", TODAY()-7, TODAY()), 2, 2)) - 1, """")"),"")</f>
        <v/>
      </c>
      <c r="M147" s="21" t="str">
        <f>IFERROR(__xludf.DUMMYFUNCTION("IFERROR((GOOGLEFINANCE(C147, ""price"") / INDEX(GOOGLEFINANCE(C147, ""price"", EDATE(TODAY(), -1), TODAY()), 2, 2)) - 1, """")"),"")</f>
        <v/>
      </c>
      <c r="N147" s="21" t="str">
        <f>IFERROR(__xludf.DUMMYFUNCTION("IFERROR((GOOGLEFINANCE(C147, ""price"") / INDEX(GOOGLEFINANCE(C147, ""price"", EDATE(TODAY(), -3), TODAY()), 2, 2)) - 1, """")"),"")</f>
        <v/>
      </c>
      <c r="O147" s="21" t="str">
        <f>IFERROR(__xludf.DUMMYFUNCTION("IFERROR((GOOGLEFINANCE(C147, ""price"") / INDEX(GOOGLEFINANCE(C147, ""price"", EDATE(TODAY(), -6), TODAY()), 2, 2)) - 1, """")"),"")</f>
        <v/>
      </c>
      <c r="P147" s="21" t="str">
        <f>IFERROR(__xludf.DUMMYFUNCTION("IFERROR((GOOGLEFINANCE(C147, ""price"") / INDEX(GOOGLEFINANCE(C147, ""price"", EDATE(TODAY(), -12), TODAY()), 2, 2)) - 1, """")"),"")</f>
        <v/>
      </c>
      <c r="Q147" s="6" t="str">
        <f>IFERROR(__xludf.DUMMYFUNCTION("AVERAGE(QUERY(GOOGLEFINANCE(C147, ""price"", TODAY()-80, TODAY()), ""SELECT Col2 WHERE Col2 IS NOT NULL ORDER BY Col1 DESC LIMIT 50"", 0))"),"#N/A")</f>
        <v>#N/A</v>
      </c>
      <c r="R147" s="24" t="str">
        <f>IFERROR(__xludf.DUMMYFUNCTION("IFERROR(
  LET(
    data, QUERY(GOOGLEFINANCE(C147,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GOOGLEFINANCE(C147, ""price"")) * 100,
    IF(calc=0, G147, calc)
  ), 
G147)"),"#N/A")</f>
        <v>#N/A</v>
      </c>
      <c r="S147" s="8" t="s">
        <v>15</v>
      </c>
      <c r="T147" s="26" t="str">
        <f>IFERROR(__xludf.DUMMYFUNCTION("IFERROR(TRANSPOSE(QUERY(IFERROR(SORT(GOOGLEFINANCE(C147, ""price"", WORKDAY(TODAY(), -40), TODAY()), 1, FALSE)), ""select Col2 where Col2 is not null limit 22 label Col2 ''"", 0)), """")"),"")</f>
        <v/>
      </c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8"/>
      <c r="AO147" s="28"/>
      <c r="AP147" s="29"/>
      <c r="AQ147" s="29" t="str">
        <f t="shared" ref="AQ147:BL147" si="150">T147/T$2</f>
        <v>#N/A</v>
      </c>
      <c r="AR147" s="29" t="str">
        <f t="shared" si="150"/>
        <v>#DIV/0!</v>
      </c>
      <c r="AS147" s="29" t="str">
        <f t="shared" si="150"/>
        <v>#DIV/0!</v>
      </c>
      <c r="AT147" s="29" t="str">
        <f t="shared" si="150"/>
        <v>#DIV/0!</v>
      </c>
      <c r="AU147" s="29" t="str">
        <f t="shared" si="150"/>
        <v>#DIV/0!</v>
      </c>
      <c r="AV147" s="29" t="str">
        <f t="shared" si="150"/>
        <v>#DIV/0!</v>
      </c>
      <c r="AW147" s="29" t="str">
        <f t="shared" si="150"/>
        <v>#DIV/0!</v>
      </c>
      <c r="AX147" s="29" t="str">
        <f t="shared" si="150"/>
        <v>#DIV/0!</v>
      </c>
      <c r="AY147" s="29" t="str">
        <f t="shared" si="150"/>
        <v>#DIV/0!</v>
      </c>
      <c r="AZ147" s="29" t="str">
        <f t="shared" si="150"/>
        <v>#DIV/0!</v>
      </c>
      <c r="BA147" s="29" t="str">
        <f t="shared" si="150"/>
        <v>#DIV/0!</v>
      </c>
      <c r="BB147" s="29" t="str">
        <f t="shared" si="150"/>
        <v>#DIV/0!</v>
      </c>
      <c r="BC147" s="29" t="str">
        <f t="shared" si="150"/>
        <v>#DIV/0!</v>
      </c>
      <c r="BD147" s="29" t="str">
        <f t="shared" si="150"/>
        <v>#DIV/0!</v>
      </c>
      <c r="BE147" s="29" t="str">
        <f t="shared" si="150"/>
        <v>#DIV/0!</v>
      </c>
      <c r="BF147" s="29" t="str">
        <f t="shared" si="150"/>
        <v>#DIV/0!</v>
      </c>
      <c r="BG147" s="29" t="str">
        <f t="shared" si="150"/>
        <v>#DIV/0!</v>
      </c>
      <c r="BH147" s="29" t="str">
        <f t="shared" si="150"/>
        <v>#DIV/0!</v>
      </c>
      <c r="BI147" s="29" t="str">
        <f t="shared" si="150"/>
        <v>#DIV/0!</v>
      </c>
      <c r="BJ147" s="29" t="str">
        <f t="shared" si="150"/>
        <v>#DIV/0!</v>
      </c>
      <c r="BK147" s="29" t="str">
        <f t="shared" si="150"/>
        <v>#DIV/0!</v>
      </c>
      <c r="BL147" s="29" t="str">
        <f t="shared" si="150"/>
        <v>#DIV/0!</v>
      </c>
      <c r="BM147" s="29" t="str">
        <f t="shared" si="3"/>
        <v>#DIV/0!</v>
      </c>
    </row>
    <row r="148">
      <c r="A148" s="16" t="str">
        <f>IFERROR(__xludf.DUMMYFUNCTION("IFERROR(SPARKLINE(SORT(MAP(TRANSPOSE(AQ148:BL148), LAMBDA(val, IF(ISNUMBER(val), PERCENTRANK(AQ148:BL148, val)+0.01, 0))), SEQUENCE(COLUMNS(AQ148:BL148)), FALSE), {""charttype"",""column""; ""color"",""chartreuse""; ""ymin"", 0; ""ymax"", 1.01; ""highcolo"&amp;"r"", ""darkgreen""; ""lowcolor"", ""red""}), """")"),"")</f>
        <v/>
      </c>
      <c r="B148" s="17" t="str">
        <f t="shared" si="4"/>
        <v/>
      </c>
      <c r="C148" s="1" t="s">
        <v>718</v>
      </c>
      <c r="D148" s="34" t="str">
        <f>IFERROR(__xludf.DUMMYFUNCTION("IFERROR(GOOGLEFINANCE(C148, ""NAME""))"),"Lemonade Inc")</f>
        <v>Lemonade Inc</v>
      </c>
      <c r="E148" s="30" t="s">
        <v>82</v>
      </c>
      <c r="F148" s="33" t="str">
        <f>IFERROR(__xludf.DUMMYFUNCTION("( (GOOGLEFINANCE(C148, ""price"") - Q148) / Q148 ) / (R148 / 100)"),"Loading...")</f>
        <v>Loading...</v>
      </c>
      <c r="G148" s="20" t="str">
        <f>IFERROR(__xludf.DUMMYFUNCTION("AVERAGE(ARRAYFORMULA(100 * (QUERY(GOOGLEFINANCE(C148, ""high"", TODAY()-40, TODAY()), ""SELECT Col2 WHERE Col2 IS NOT NULL ORDER BY Col1 DESC LIMIT 20"", 0) / QUERY(GOOGLEFINANCE(C148, ""low"", TODAY()-40, TODAY()), ""SELECT Col2 WHERE Col2 IS NOT NULL OR"&amp;"DER BY Col1 DESC LIMIT 20"", 0) - 1)))"),"#N/A")</f>
        <v>#N/A</v>
      </c>
      <c r="H148" s="35" t="str">
        <f t="shared" si="6"/>
        <v/>
      </c>
      <c r="I148" s="36" t="str">
        <f t="shared" si="7"/>
        <v/>
      </c>
      <c r="J148" s="37" t="str">
        <f>IFERROR(__xludf.DUMMYFUNCTION("IFERROR(
  IF(C148="""",, 
    IFERROR(
      GOOGLEFINANCE(C148, ""price"") * GOOGLEFINANCE(C148, ""volumeavg""), 
      GOOGLEFINANCE(C148, ""price"") * AVERAGE(QUERY(GOOGLEFINANCE(C148, ""volume"", TODAY()-40, TODAY()), ""SELECT Col2 WHERE Col2 IS NOT "&amp;"NULL ORDER BY Col1 DESC LIMIT 20"", 0))
    )
  ), 
"""")"),"")</f>
        <v/>
      </c>
      <c r="K148" s="21" t="str">
        <f>IFERROR(__xludf.DUMMYFUNCTION("IFERROR(GOOGLEFINANCE(C148, ""changepct"") / 100, """")"),"")</f>
        <v/>
      </c>
      <c r="L148" s="21" t="str">
        <f>IFERROR(__xludf.DUMMYFUNCTION("IFERROR((GOOGLEFINANCE(C148, ""price"") / INDEX(GOOGLEFINANCE(C148, ""price"", TODAY()-7, TODAY()), 2, 2)) - 1, """")"),"")</f>
        <v/>
      </c>
      <c r="M148" s="21" t="str">
        <f>IFERROR(__xludf.DUMMYFUNCTION("IFERROR((GOOGLEFINANCE(C148, ""price"") / INDEX(GOOGLEFINANCE(C148, ""price"", EDATE(TODAY(), -1), TODAY()), 2, 2)) - 1, """")"),"")</f>
        <v/>
      </c>
      <c r="N148" s="21" t="str">
        <f>IFERROR(__xludf.DUMMYFUNCTION("IFERROR((GOOGLEFINANCE(C148, ""price"") / INDEX(GOOGLEFINANCE(C148, ""price"", EDATE(TODAY(), -3), TODAY()), 2, 2)) - 1, """")"),"")</f>
        <v/>
      </c>
      <c r="O148" s="21" t="str">
        <f>IFERROR(__xludf.DUMMYFUNCTION("IFERROR((GOOGLEFINANCE(C148, ""price"") / INDEX(GOOGLEFINANCE(C148, ""price"", EDATE(TODAY(), -6), TODAY()), 2, 2)) - 1, """")"),"")</f>
        <v/>
      </c>
      <c r="P148" s="21" t="str">
        <f>IFERROR(__xludf.DUMMYFUNCTION("IFERROR((GOOGLEFINANCE(C148, ""price"") / INDEX(GOOGLEFINANCE(C148, ""price"", EDATE(TODAY(), -12), TODAY()), 2, 2)) - 1, """")"),"")</f>
        <v/>
      </c>
      <c r="Q148" s="6" t="str">
        <f>IFERROR(__xludf.DUMMYFUNCTION("AVERAGE(QUERY(GOOGLEFINANCE(C148, ""price"", TODAY()-80, TODAY()), ""SELECT Col2 WHERE Col2 IS NOT NULL ORDER BY Col1 DESC LIMIT 50"", 0))"),"#N/A")</f>
        <v>#N/A</v>
      </c>
      <c r="R148" s="24" t="str">
        <f>IFERROR(__xludf.DUMMYFUNCTION("IFERROR(
  LET(
    data, QUERY(GOOGLEFINANCE(C148,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GOOGLEFINANCE(C148, ""price"")) * 100,
    IF(calc=0, G148, calc)
  ), 
G148)"),"#N/A")</f>
        <v>#N/A</v>
      </c>
      <c r="S148" s="8" t="s">
        <v>15</v>
      </c>
      <c r="T148" s="26" t="str">
        <f>IFERROR(__xludf.DUMMYFUNCTION("IFERROR(TRANSPOSE(QUERY(IFERROR(SORT(GOOGLEFINANCE(C148, ""price"", WORKDAY(TODAY(), -40), TODAY()), 1, FALSE)), ""select Col2 where Col2 is not null limit 22 label Col2 ''"", 0)), """")"),"")</f>
        <v/>
      </c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8"/>
      <c r="AO148" s="28"/>
      <c r="AP148" s="29"/>
      <c r="AQ148" s="29" t="str">
        <f t="shared" ref="AQ148:BL148" si="151">T148/T$2</f>
        <v>#N/A</v>
      </c>
      <c r="AR148" s="29" t="str">
        <f t="shared" si="151"/>
        <v>#DIV/0!</v>
      </c>
      <c r="AS148" s="29" t="str">
        <f t="shared" si="151"/>
        <v>#DIV/0!</v>
      </c>
      <c r="AT148" s="29" t="str">
        <f t="shared" si="151"/>
        <v>#DIV/0!</v>
      </c>
      <c r="AU148" s="29" t="str">
        <f t="shared" si="151"/>
        <v>#DIV/0!</v>
      </c>
      <c r="AV148" s="29" t="str">
        <f t="shared" si="151"/>
        <v>#DIV/0!</v>
      </c>
      <c r="AW148" s="29" t="str">
        <f t="shared" si="151"/>
        <v>#DIV/0!</v>
      </c>
      <c r="AX148" s="29" t="str">
        <f t="shared" si="151"/>
        <v>#DIV/0!</v>
      </c>
      <c r="AY148" s="29" t="str">
        <f t="shared" si="151"/>
        <v>#DIV/0!</v>
      </c>
      <c r="AZ148" s="29" t="str">
        <f t="shared" si="151"/>
        <v>#DIV/0!</v>
      </c>
      <c r="BA148" s="29" t="str">
        <f t="shared" si="151"/>
        <v>#DIV/0!</v>
      </c>
      <c r="BB148" s="29" t="str">
        <f t="shared" si="151"/>
        <v>#DIV/0!</v>
      </c>
      <c r="BC148" s="29" t="str">
        <f t="shared" si="151"/>
        <v>#DIV/0!</v>
      </c>
      <c r="BD148" s="29" t="str">
        <f t="shared" si="151"/>
        <v>#DIV/0!</v>
      </c>
      <c r="BE148" s="29" t="str">
        <f t="shared" si="151"/>
        <v>#DIV/0!</v>
      </c>
      <c r="BF148" s="29" t="str">
        <f t="shared" si="151"/>
        <v>#DIV/0!</v>
      </c>
      <c r="BG148" s="29" t="str">
        <f t="shared" si="151"/>
        <v>#DIV/0!</v>
      </c>
      <c r="BH148" s="29" t="str">
        <f t="shared" si="151"/>
        <v>#DIV/0!</v>
      </c>
      <c r="BI148" s="29" t="str">
        <f t="shared" si="151"/>
        <v>#DIV/0!</v>
      </c>
      <c r="BJ148" s="29" t="str">
        <f t="shared" si="151"/>
        <v>#DIV/0!</v>
      </c>
      <c r="BK148" s="29" t="str">
        <f t="shared" si="151"/>
        <v>#DIV/0!</v>
      </c>
      <c r="BL148" s="29" t="str">
        <f t="shared" si="151"/>
        <v>#DIV/0!</v>
      </c>
      <c r="BM148" s="29" t="str">
        <f t="shared" si="3"/>
        <v>#DIV/0!</v>
      </c>
    </row>
    <row r="149">
      <c r="A149" s="16" t="str">
        <f>IFERROR(__xludf.DUMMYFUNCTION("IFERROR(SPARKLINE(SORT(MAP(TRANSPOSE(AQ149:BL149), LAMBDA(val, IF(ISNUMBER(val), PERCENTRANK(AQ149:BL149, val)+0.01, 0))), SEQUENCE(COLUMNS(AQ149:BL149)), FALSE), {""charttype"",""column""; ""color"",""chartreuse""; ""ymin"", 0; ""ymax"", 1.01; ""highcolo"&amp;"r"", ""darkgreen""; ""lowcolor"", ""red""}), """")"),"")</f>
        <v/>
      </c>
      <c r="B149" s="17" t="str">
        <f t="shared" si="4"/>
        <v/>
      </c>
      <c r="C149" s="1" t="s">
        <v>725</v>
      </c>
      <c r="D149" s="34" t="str">
        <f>IFERROR(__xludf.DUMMYFUNCTION("IFERROR(GOOGLEFINANCE(C149, ""NAME""))"),"State Street Corp")</f>
        <v>State Street Corp</v>
      </c>
      <c r="E149" s="30" t="s">
        <v>64</v>
      </c>
      <c r="F149" s="33" t="str">
        <f>IFERROR(__xludf.DUMMYFUNCTION("( (GOOGLEFINANCE(C149, ""price"") - Q149) / Q149 ) / (R149 / 100)"),"Loading...")</f>
        <v>Loading...</v>
      </c>
      <c r="G149" s="20" t="str">
        <f>IFERROR(__xludf.DUMMYFUNCTION("AVERAGE(ARRAYFORMULA(100 * (QUERY(GOOGLEFINANCE(C149, ""high"", TODAY()-40, TODAY()), ""SELECT Col2 WHERE Col2 IS NOT NULL ORDER BY Col1 DESC LIMIT 20"", 0) / QUERY(GOOGLEFINANCE(C149, ""low"", TODAY()-40, TODAY()), ""SELECT Col2 WHERE Col2 IS NOT NULL OR"&amp;"DER BY Col1 DESC LIMIT 20"", 0) - 1)))"),"#N/A")</f>
        <v>#N/A</v>
      </c>
      <c r="H149" s="35" t="str">
        <f t="shared" si="6"/>
        <v/>
      </c>
      <c r="I149" s="36" t="str">
        <f t="shared" si="7"/>
        <v/>
      </c>
      <c r="J149" s="37" t="str">
        <f>IFERROR(__xludf.DUMMYFUNCTION("IFERROR(
  IF(C149="""",, 
    IFERROR(
      GOOGLEFINANCE(C149, ""price"") * GOOGLEFINANCE(C149, ""volumeavg""), 
      GOOGLEFINANCE(C149, ""price"") * AVERAGE(QUERY(GOOGLEFINANCE(C149, ""volume"", TODAY()-40, TODAY()), ""SELECT Col2 WHERE Col2 IS NOT "&amp;"NULL ORDER BY Col1 DESC LIMIT 20"", 0))
    )
  ), 
"""")"),"")</f>
        <v/>
      </c>
      <c r="K149" s="21" t="str">
        <f>IFERROR(__xludf.DUMMYFUNCTION("IFERROR(GOOGLEFINANCE(C149, ""changepct"") / 100, """")"),"")</f>
        <v/>
      </c>
      <c r="L149" s="21" t="str">
        <f>IFERROR(__xludf.DUMMYFUNCTION("IFERROR((GOOGLEFINANCE(C149, ""price"") / INDEX(GOOGLEFINANCE(C149, ""price"", TODAY()-7, TODAY()), 2, 2)) - 1, """")"),"")</f>
        <v/>
      </c>
      <c r="M149" s="21" t="str">
        <f>IFERROR(__xludf.DUMMYFUNCTION("IFERROR((GOOGLEFINANCE(C149, ""price"") / INDEX(GOOGLEFINANCE(C149, ""price"", EDATE(TODAY(), -1), TODAY()), 2, 2)) - 1, """")"),"")</f>
        <v/>
      </c>
      <c r="N149" s="21" t="str">
        <f>IFERROR(__xludf.DUMMYFUNCTION("IFERROR((GOOGLEFINANCE(C149, ""price"") / INDEX(GOOGLEFINANCE(C149, ""price"", EDATE(TODAY(), -3), TODAY()), 2, 2)) - 1, """")"),"")</f>
        <v/>
      </c>
      <c r="O149" s="21" t="str">
        <f>IFERROR(__xludf.DUMMYFUNCTION("IFERROR((GOOGLEFINANCE(C149, ""price"") / INDEX(GOOGLEFINANCE(C149, ""price"", EDATE(TODAY(), -6), TODAY()), 2, 2)) - 1, """")"),"")</f>
        <v/>
      </c>
      <c r="P149" s="21" t="str">
        <f>IFERROR(__xludf.DUMMYFUNCTION("IFERROR((GOOGLEFINANCE(C149, ""price"") / INDEX(GOOGLEFINANCE(C149, ""price"", EDATE(TODAY(), -12), TODAY()), 2, 2)) - 1, """")"),"")</f>
        <v/>
      </c>
      <c r="Q149" s="6" t="str">
        <f>IFERROR(__xludf.DUMMYFUNCTION("AVERAGE(QUERY(GOOGLEFINANCE(C149, ""price"", TODAY()-80, TODAY()), ""SELECT Col2 WHERE Col2 IS NOT NULL ORDER BY Col1 DESC LIMIT 50"", 0))"),"#N/A")</f>
        <v>#N/A</v>
      </c>
      <c r="R149" s="24" t="str">
        <f>IFERROR(__xludf.DUMMYFUNCTION("IFERROR(
  LET(
    data, QUERY(GOOGLEFINANCE(C149,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GOOGLEFINANCE(C149, ""price"")) * 100,
    IF(calc=0, G149, calc)
  ), 
G149)"),"#N/A")</f>
        <v>#N/A</v>
      </c>
      <c r="S149" s="8" t="s">
        <v>15</v>
      </c>
      <c r="T149" s="26" t="str">
        <f>IFERROR(__xludf.DUMMYFUNCTION("IFERROR(TRANSPOSE(QUERY(IFERROR(SORT(GOOGLEFINANCE(C149, ""price"", WORKDAY(TODAY(), -40), TODAY()), 1, FALSE)), ""select Col2 where Col2 is not null limit 22 label Col2 ''"", 0)), """")"),"")</f>
        <v/>
      </c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8"/>
      <c r="AO149" s="28"/>
      <c r="AP149" s="29"/>
      <c r="AQ149" s="29" t="str">
        <f t="shared" ref="AQ149:BL149" si="152">T149/T$2</f>
        <v>#N/A</v>
      </c>
      <c r="AR149" s="29" t="str">
        <f t="shared" si="152"/>
        <v>#DIV/0!</v>
      </c>
      <c r="AS149" s="29" t="str">
        <f t="shared" si="152"/>
        <v>#DIV/0!</v>
      </c>
      <c r="AT149" s="29" t="str">
        <f t="shared" si="152"/>
        <v>#DIV/0!</v>
      </c>
      <c r="AU149" s="29" t="str">
        <f t="shared" si="152"/>
        <v>#DIV/0!</v>
      </c>
      <c r="AV149" s="29" t="str">
        <f t="shared" si="152"/>
        <v>#DIV/0!</v>
      </c>
      <c r="AW149" s="29" t="str">
        <f t="shared" si="152"/>
        <v>#DIV/0!</v>
      </c>
      <c r="AX149" s="29" t="str">
        <f t="shared" si="152"/>
        <v>#DIV/0!</v>
      </c>
      <c r="AY149" s="29" t="str">
        <f t="shared" si="152"/>
        <v>#DIV/0!</v>
      </c>
      <c r="AZ149" s="29" t="str">
        <f t="shared" si="152"/>
        <v>#DIV/0!</v>
      </c>
      <c r="BA149" s="29" t="str">
        <f t="shared" si="152"/>
        <v>#DIV/0!</v>
      </c>
      <c r="BB149" s="29" t="str">
        <f t="shared" si="152"/>
        <v>#DIV/0!</v>
      </c>
      <c r="BC149" s="29" t="str">
        <f t="shared" si="152"/>
        <v>#DIV/0!</v>
      </c>
      <c r="BD149" s="29" t="str">
        <f t="shared" si="152"/>
        <v>#DIV/0!</v>
      </c>
      <c r="BE149" s="29" t="str">
        <f t="shared" si="152"/>
        <v>#DIV/0!</v>
      </c>
      <c r="BF149" s="29" t="str">
        <f t="shared" si="152"/>
        <v>#DIV/0!</v>
      </c>
      <c r="BG149" s="29" t="str">
        <f t="shared" si="152"/>
        <v>#DIV/0!</v>
      </c>
      <c r="BH149" s="29" t="str">
        <f t="shared" si="152"/>
        <v>#DIV/0!</v>
      </c>
      <c r="BI149" s="29" t="str">
        <f t="shared" si="152"/>
        <v>#DIV/0!</v>
      </c>
      <c r="BJ149" s="29" t="str">
        <f t="shared" si="152"/>
        <v>#DIV/0!</v>
      </c>
      <c r="BK149" s="29" t="str">
        <f t="shared" si="152"/>
        <v>#DIV/0!</v>
      </c>
      <c r="BL149" s="29" t="str">
        <f t="shared" si="152"/>
        <v>#DIV/0!</v>
      </c>
      <c r="BM149" s="29" t="str">
        <f t="shared" si="3"/>
        <v>#DIV/0!</v>
      </c>
    </row>
    <row r="150">
      <c r="A150" s="16" t="str">
        <f>IFERROR(__xludf.DUMMYFUNCTION("IFERROR(SPARKLINE(SORT(MAP(TRANSPOSE(AQ150:BL150), LAMBDA(val, IF(ISNUMBER(val), PERCENTRANK(AQ150:BL150, val)+0.01, 0))), SEQUENCE(COLUMNS(AQ150:BL150)), FALSE), {""charttype"",""column""; ""color"",""chartreuse""; ""ymin"", 0; ""ymax"", 1.01; ""highcolo"&amp;"r"", ""darkgreen""; ""lowcolor"", ""red""}), """")"),"")</f>
        <v/>
      </c>
      <c r="B150" s="17" t="str">
        <f t="shared" si="4"/>
        <v/>
      </c>
      <c r="C150" s="1" t="s">
        <v>730</v>
      </c>
      <c r="D150" s="34" t="str">
        <f>IFERROR(__xludf.DUMMYFUNCTION("IFERROR(GOOGLEFINANCE(C150, ""NAME""))"),"Greene County Bancorp Inc")</f>
        <v>Greene County Bancorp Inc</v>
      </c>
      <c r="E150" s="30" t="s">
        <v>268</v>
      </c>
      <c r="F150" s="33" t="str">
        <f>IFERROR(__xludf.DUMMYFUNCTION("( (GOOGLEFINANCE(C150, ""price"") - Q150) / Q150 ) / (R150 / 100)"),"Loading...")</f>
        <v>Loading...</v>
      </c>
      <c r="G150" s="20" t="str">
        <f>IFERROR(__xludf.DUMMYFUNCTION("AVERAGE(ARRAYFORMULA(100 * (QUERY(GOOGLEFINANCE(C150, ""high"", TODAY()-40, TODAY()), ""SELECT Col2 WHERE Col2 IS NOT NULL ORDER BY Col1 DESC LIMIT 20"", 0) / QUERY(GOOGLEFINANCE(C150, ""low"", TODAY()-40, TODAY()), ""SELECT Col2 WHERE Col2 IS NOT NULL OR"&amp;"DER BY Col1 DESC LIMIT 20"", 0) - 1)))"),"#N/A")</f>
        <v>#N/A</v>
      </c>
      <c r="H150" s="35" t="str">
        <f t="shared" si="6"/>
        <v/>
      </c>
      <c r="I150" s="36" t="str">
        <f t="shared" si="7"/>
        <v/>
      </c>
      <c r="J150" s="37" t="str">
        <f>IFERROR(__xludf.DUMMYFUNCTION("IFERROR(
  IF(C150="""",, 
    IFERROR(
      GOOGLEFINANCE(C150, ""price"") * GOOGLEFINANCE(C150, ""volumeavg""), 
      GOOGLEFINANCE(C150, ""price"") * AVERAGE(QUERY(GOOGLEFINANCE(C150, ""volume"", TODAY()-40, TODAY()), ""SELECT Col2 WHERE Col2 IS NOT "&amp;"NULL ORDER BY Col1 DESC LIMIT 20"", 0))
    )
  ), 
"""")"),"")</f>
        <v/>
      </c>
      <c r="K150" s="21" t="str">
        <f>IFERROR(__xludf.DUMMYFUNCTION("IFERROR(GOOGLEFINANCE(C150, ""changepct"") / 100, """")"),"")</f>
        <v/>
      </c>
      <c r="L150" s="21" t="str">
        <f>IFERROR(__xludf.DUMMYFUNCTION("IFERROR((GOOGLEFINANCE(C150, ""price"") / INDEX(GOOGLEFINANCE(C150, ""price"", TODAY()-7, TODAY()), 2, 2)) - 1, """")"),"")</f>
        <v/>
      </c>
      <c r="M150" s="21" t="str">
        <f>IFERROR(__xludf.DUMMYFUNCTION("IFERROR((GOOGLEFINANCE(C150, ""price"") / INDEX(GOOGLEFINANCE(C150, ""price"", EDATE(TODAY(), -1), TODAY()), 2, 2)) - 1, """")"),"")</f>
        <v/>
      </c>
      <c r="N150" s="21" t="str">
        <f>IFERROR(__xludf.DUMMYFUNCTION("IFERROR((GOOGLEFINANCE(C150, ""price"") / INDEX(GOOGLEFINANCE(C150, ""price"", EDATE(TODAY(), -3), TODAY()), 2, 2)) - 1, """")"),"")</f>
        <v/>
      </c>
      <c r="O150" s="21" t="str">
        <f>IFERROR(__xludf.DUMMYFUNCTION("IFERROR((GOOGLEFINANCE(C150, ""price"") / INDEX(GOOGLEFINANCE(C150, ""price"", EDATE(TODAY(), -6), TODAY()), 2, 2)) - 1, """")"),"")</f>
        <v/>
      </c>
      <c r="P150" s="21" t="str">
        <f>IFERROR(__xludf.DUMMYFUNCTION("IFERROR((GOOGLEFINANCE(C150, ""price"") / INDEX(GOOGLEFINANCE(C150, ""price"", EDATE(TODAY(), -12), TODAY()), 2, 2)) - 1, """")"),"")</f>
        <v/>
      </c>
      <c r="Q150" s="6" t="str">
        <f>IFERROR(__xludf.DUMMYFUNCTION("AVERAGE(QUERY(GOOGLEFINANCE(C150, ""price"", TODAY()-80, TODAY()), ""SELECT Col2 WHERE Col2 IS NOT NULL ORDER BY Col1 DESC LIMIT 50"", 0))"),"#N/A")</f>
        <v>#N/A</v>
      </c>
      <c r="R150" s="24" t="str">
        <f>IFERROR(__xludf.DUMMYFUNCTION("IFERROR(
  LET(
    data, QUERY(GOOGLEFINANCE(C150,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GOOGLEFINANCE(C150, ""price"")) * 100,
    IF(calc=0, G150, calc)
  ), 
G150)"),"#N/A")</f>
        <v>#N/A</v>
      </c>
      <c r="S150" s="8" t="s">
        <v>15</v>
      </c>
      <c r="T150" s="26" t="str">
        <f>IFERROR(__xludf.DUMMYFUNCTION("IFERROR(TRANSPOSE(QUERY(IFERROR(SORT(GOOGLEFINANCE(C150, ""price"", WORKDAY(TODAY(), -40), TODAY()), 1, FALSE)), ""select Col2 where Col2 is not null limit 22 label Col2 ''"", 0)), """")"),"")</f>
        <v/>
      </c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8"/>
      <c r="AO150" s="28"/>
      <c r="AP150" s="29"/>
      <c r="AQ150" s="29" t="str">
        <f t="shared" ref="AQ150:BL150" si="153">T150/T$2</f>
        <v>#N/A</v>
      </c>
      <c r="AR150" s="29" t="str">
        <f t="shared" si="153"/>
        <v>#DIV/0!</v>
      </c>
      <c r="AS150" s="29" t="str">
        <f t="shared" si="153"/>
        <v>#DIV/0!</v>
      </c>
      <c r="AT150" s="29" t="str">
        <f t="shared" si="153"/>
        <v>#DIV/0!</v>
      </c>
      <c r="AU150" s="29" t="str">
        <f t="shared" si="153"/>
        <v>#DIV/0!</v>
      </c>
      <c r="AV150" s="29" t="str">
        <f t="shared" si="153"/>
        <v>#DIV/0!</v>
      </c>
      <c r="AW150" s="29" t="str">
        <f t="shared" si="153"/>
        <v>#DIV/0!</v>
      </c>
      <c r="AX150" s="29" t="str">
        <f t="shared" si="153"/>
        <v>#DIV/0!</v>
      </c>
      <c r="AY150" s="29" t="str">
        <f t="shared" si="153"/>
        <v>#DIV/0!</v>
      </c>
      <c r="AZ150" s="29" t="str">
        <f t="shared" si="153"/>
        <v>#DIV/0!</v>
      </c>
      <c r="BA150" s="29" t="str">
        <f t="shared" si="153"/>
        <v>#DIV/0!</v>
      </c>
      <c r="BB150" s="29" t="str">
        <f t="shared" si="153"/>
        <v>#DIV/0!</v>
      </c>
      <c r="BC150" s="29" t="str">
        <f t="shared" si="153"/>
        <v>#DIV/0!</v>
      </c>
      <c r="BD150" s="29" t="str">
        <f t="shared" si="153"/>
        <v>#DIV/0!</v>
      </c>
      <c r="BE150" s="29" t="str">
        <f t="shared" si="153"/>
        <v>#DIV/0!</v>
      </c>
      <c r="BF150" s="29" t="str">
        <f t="shared" si="153"/>
        <v>#DIV/0!</v>
      </c>
      <c r="BG150" s="29" t="str">
        <f t="shared" si="153"/>
        <v>#DIV/0!</v>
      </c>
      <c r="BH150" s="29" t="str">
        <f t="shared" si="153"/>
        <v>#DIV/0!</v>
      </c>
      <c r="BI150" s="29" t="str">
        <f t="shared" si="153"/>
        <v>#DIV/0!</v>
      </c>
      <c r="BJ150" s="29" t="str">
        <f t="shared" si="153"/>
        <v>#DIV/0!</v>
      </c>
      <c r="BK150" s="29" t="str">
        <f t="shared" si="153"/>
        <v>#DIV/0!</v>
      </c>
      <c r="BL150" s="29" t="str">
        <f t="shared" si="153"/>
        <v>#DIV/0!</v>
      </c>
      <c r="BM150" s="29" t="str">
        <f t="shared" si="3"/>
        <v>#DIV/0!</v>
      </c>
    </row>
    <row r="151">
      <c r="A151" s="16" t="str">
        <f>IFERROR(__xludf.DUMMYFUNCTION("IFERROR(SPARKLINE(SORT(MAP(TRANSPOSE(AQ151:BL151), LAMBDA(val, IF(ISNUMBER(val), PERCENTRANK(AQ151:BL151, val)+0.01, 0))), SEQUENCE(COLUMNS(AQ151:BL151)), FALSE), {""charttype"",""column""; ""color"",""chartreuse""; ""ymin"", 0; ""ymax"", 1.01; ""highcolo"&amp;"r"", ""darkgreen""; ""lowcolor"", ""red""}), """")"),"")</f>
        <v/>
      </c>
      <c r="B151" s="17" t="str">
        <f t="shared" si="4"/>
        <v/>
      </c>
      <c r="C151" s="1" t="s">
        <v>734</v>
      </c>
      <c r="D151" s="34" t="str">
        <f>IFERROR(__xludf.DUMMYFUNCTION("IFERROR(GOOGLEFINANCE(C151, ""NAME""))"),"Grupo Financiero Galicia SA")</f>
        <v>Grupo Financiero Galicia SA</v>
      </c>
      <c r="E151" s="30" t="s">
        <v>268</v>
      </c>
      <c r="F151" s="33" t="str">
        <f>IFERROR(__xludf.DUMMYFUNCTION("( (GOOGLEFINANCE(C151, ""price"") - Q151) / Q151 ) / (R151 / 100)"),"Loading...")</f>
        <v>Loading...</v>
      </c>
      <c r="G151" s="20" t="str">
        <f>IFERROR(__xludf.DUMMYFUNCTION("AVERAGE(ARRAYFORMULA(100 * (QUERY(GOOGLEFINANCE(C151, ""high"", TODAY()-40, TODAY()), ""SELECT Col2 WHERE Col2 IS NOT NULL ORDER BY Col1 DESC LIMIT 20"", 0) / QUERY(GOOGLEFINANCE(C151, ""low"", TODAY()-40, TODAY()), ""SELECT Col2 WHERE Col2 IS NOT NULL OR"&amp;"DER BY Col1 DESC LIMIT 20"", 0) - 1)))"),"#N/A")</f>
        <v>#N/A</v>
      </c>
      <c r="H151" s="35" t="str">
        <f t="shared" si="6"/>
        <v/>
      </c>
      <c r="I151" s="36" t="str">
        <f t="shared" si="7"/>
        <v/>
      </c>
      <c r="J151" s="37" t="str">
        <f>IFERROR(__xludf.DUMMYFUNCTION("IFERROR(
  IF(C151="""",, 
    IFERROR(
      GOOGLEFINANCE(C151, ""price"") * GOOGLEFINANCE(C151, ""volumeavg""), 
      GOOGLEFINANCE(C151, ""price"") * AVERAGE(QUERY(GOOGLEFINANCE(C151, ""volume"", TODAY()-40, TODAY()), ""SELECT Col2 WHERE Col2 IS NOT "&amp;"NULL ORDER BY Col1 DESC LIMIT 20"", 0))
    )
  ), 
"""")"),"")</f>
        <v/>
      </c>
      <c r="K151" s="21" t="str">
        <f>IFERROR(__xludf.DUMMYFUNCTION("IFERROR(GOOGLEFINANCE(C151, ""changepct"") / 100, """")"),"")</f>
        <v/>
      </c>
      <c r="L151" s="21" t="str">
        <f>IFERROR(__xludf.DUMMYFUNCTION("IFERROR((GOOGLEFINANCE(C151, ""price"") / INDEX(GOOGLEFINANCE(C151, ""price"", TODAY()-7, TODAY()), 2, 2)) - 1, """")"),"")</f>
        <v/>
      </c>
      <c r="M151" s="21" t="str">
        <f>IFERROR(__xludf.DUMMYFUNCTION("IFERROR((GOOGLEFINANCE(C151, ""price"") / INDEX(GOOGLEFINANCE(C151, ""price"", EDATE(TODAY(), -1), TODAY()), 2, 2)) - 1, """")"),"")</f>
        <v/>
      </c>
      <c r="N151" s="21" t="str">
        <f>IFERROR(__xludf.DUMMYFUNCTION("IFERROR((GOOGLEFINANCE(C151, ""price"") / INDEX(GOOGLEFINANCE(C151, ""price"", EDATE(TODAY(), -3), TODAY()), 2, 2)) - 1, """")"),"")</f>
        <v/>
      </c>
      <c r="O151" s="21" t="str">
        <f>IFERROR(__xludf.DUMMYFUNCTION("IFERROR((GOOGLEFINANCE(C151, ""price"") / INDEX(GOOGLEFINANCE(C151, ""price"", EDATE(TODAY(), -6), TODAY()), 2, 2)) - 1, """")"),"")</f>
        <v/>
      </c>
      <c r="P151" s="21" t="str">
        <f>IFERROR(__xludf.DUMMYFUNCTION("IFERROR((GOOGLEFINANCE(C151, ""price"") / INDEX(GOOGLEFINANCE(C151, ""price"", EDATE(TODAY(), -12), TODAY()), 2, 2)) - 1, """")"),"")</f>
        <v/>
      </c>
      <c r="Q151" s="6" t="str">
        <f>IFERROR(__xludf.DUMMYFUNCTION("AVERAGE(QUERY(GOOGLEFINANCE(C151, ""price"", TODAY()-80, TODAY()), ""SELECT Col2 WHERE Col2 IS NOT NULL ORDER BY Col1 DESC LIMIT 50"", 0))"),"#N/A")</f>
        <v>#N/A</v>
      </c>
      <c r="R151" s="24" t="str">
        <f>IFERROR(__xludf.DUMMYFUNCTION("IFERROR(
  LET(
    data, QUERY(GOOGLEFINANCE(C151,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GOOGLEFINANCE(C151, ""price"")) * 100,
    IF(calc=0, G151, calc)
  ), 
G151)"),"#N/A")</f>
        <v>#N/A</v>
      </c>
      <c r="S151" s="8" t="s">
        <v>15</v>
      </c>
      <c r="T151" s="26" t="str">
        <f>IFERROR(__xludf.DUMMYFUNCTION("IFERROR(TRANSPOSE(QUERY(IFERROR(SORT(GOOGLEFINANCE(C151, ""price"", WORKDAY(TODAY(), -40), TODAY()), 1, FALSE)), ""select Col2 where Col2 is not null limit 22 label Col2 ''"", 0)), """")"),"")</f>
        <v/>
      </c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8"/>
      <c r="AO151" s="28"/>
      <c r="AP151" s="29"/>
      <c r="AQ151" s="29" t="str">
        <f t="shared" ref="AQ151:BL151" si="154">T151/T$2</f>
        <v>#N/A</v>
      </c>
      <c r="AR151" s="29" t="str">
        <f t="shared" si="154"/>
        <v>#DIV/0!</v>
      </c>
      <c r="AS151" s="29" t="str">
        <f t="shared" si="154"/>
        <v>#DIV/0!</v>
      </c>
      <c r="AT151" s="29" t="str">
        <f t="shared" si="154"/>
        <v>#DIV/0!</v>
      </c>
      <c r="AU151" s="29" t="str">
        <f t="shared" si="154"/>
        <v>#DIV/0!</v>
      </c>
      <c r="AV151" s="29" t="str">
        <f t="shared" si="154"/>
        <v>#DIV/0!</v>
      </c>
      <c r="AW151" s="29" t="str">
        <f t="shared" si="154"/>
        <v>#DIV/0!</v>
      </c>
      <c r="AX151" s="29" t="str">
        <f t="shared" si="154"/>
        <v>#DIV/0!</v>
      </c>
      <c r="AY151" s="29" t="str">
        <f t="shared" si="154"/>
        <v>#DIV/0!</v>
      </c>
      <c r="AZ151" s="29" t="str">
        <f t="shared" si="154"/>
        <v>#DIV/0!</v>
      </c>
      <c r="BA151" s="29" t="str">
        <f t="shared" si="154"/>
        <v>#DIV/0!</v>
      </c>
      <c r="BB151" s="29" t="str">
        <f t="shared" si="154"/>
        <v>#DIV/0!</v>
      </c>
      <c r="BC151" s="29" t="str">
        <f t="shared" si="154"/>
        <v>#DIV/0!</v>
      </c>
      <c r="BD151" s="29" t="str">
        <f t="shared" si="154"/>
        <v>#DIV/0!</v>
      </c>
      <c r="BE151" s="29" t="str">
        <f t="shared" si="154"/>
        <v>#DIV/0!</v>
      </c>
      <c r="BF151" s="29" t="str">
        <f t="shared" si="154"/>
        <v>#DIV/0!</v>
      </c>
      <c r="BG151" s="29" t="str">
        <f t="shared" si="154"/>
        <v>#DIV/0!</v>
      </c>
      <c r="BH151" s="29" t="str">
        <f t="shared" si="154"/>
        <v>#DIV/0!</v>
      </c>
      <c r="BI151" s="29" t="str">
        <f t="shared" si="154"/>
        <v>#DIV/0!</v>
      </c>
      <c r="BJ151" s="29" t="str">
        <f t="shared" si="154"/>
        <v>#DIV/0!</v>
      </c>
      <c r="BK151" s="29" t="str">
        <f t="shared" si="154"/>
        <v>#DIV/0!</v>
      </c>
      <c r="BL151" s="29" t="str">
        <f t="shared" si="154"/>
        <v>#DIV/0!</v>
      </c>
      <c r="BM151" s="29" t="str">
        <f t="shared" si="3"/>
        <v>#DIV/0!</v>
      </c>
    </row>
    <row r="152">
      <c r="A152" s="16" t="str">
        <f>IFERROR(__xludf.DUMMYFUNCTION("IFERROR(SPARKLINE(SORT(MAP(TRANSPOSE(AQ152:BL152), LAMBDA(val, IF(ISNUMBER(val), PERCENTRANK(AQ152:BL152, val)+0.01, 0))), SEQUENCE(COLUMNS(AQ152:BL152)), FALSE), {""charttype"",""column""; ""color"",""chartreuse""; ""ymin"", 0; ""ymax"", 1.01; ""highcolo"&amp;"r"", ""darkgreen""; ""lowcolor"", ""red""}), """")"),"")</f>
        <v/>
      </c>
      <c r="B152" s="17" t="str">
        <f t="shared" si="4"/>
        <v/>
      </c>
      <c r="C152" s="1" t="s">
        <v>738</v>
      </c>
      <c r="D152" s="34" t="str">
        <f>IFERROR(__xludf.DUMMYFUNCTION("IFERROR(GOOGLEFINANCE(C152, ""NAME""))"),"Freedom Holding Corp")</f>
        <v>Freedom Holding Corp</v>
      </c>
      <c r="E152" s="30" t="s">
        <v>97</v>
      </c>
      <c r="F152" s="33" t="str">
        <f>IFERROR(__xludf.DUMMYFUNCTION("( (GOOGLEFINANCE(C152, ""price"") - Q152) / Q152 ) / (R152 / 100)"),"Loading...")</f>
        <v>Loading...</v>
      </c>
      <c r="G152" s="20" t="str">
        <f>IFERROR(__xludf.DUMMYFUNCTION("AVERAGE(ARRAYFORMULA(100 * (QUERY(GOOGLEFINANCE(C152, ""high"", TODAY()-40, TODAY()), ""SELECT Col2 WHERE Col2 IS NOT NULL ORDER BY Col1 DESC LIMIT 20"", 0) / QUERY(GOOGLEFINANCE(C152, ""low"", TODAY()-40, TODAY()), ""SELECT Col2 WHERE Col2 IS NOT NULL OR"&amp;"DER BY Col1 DESC LIMIT 20"", 0) - 1)))"),"#N/A")</f>
        <v>#N/A</v>
      </c>
      <c r="H152" s="35" t="str">
        <f t="shared" si="6"/>
        <v/>
      </c>
      <c r="I152" s="36" t="str">
        <f t="shared" si="7"/>
        <v/>
      </c>
      <c r="J152" s="37" t="str">
        <f>IFERROR(__xludf.DUMMYFUNCTION("IFERROR(
  IF(C152="""",, 
    IFERROR(
      GOOGLEFINANCE(C152, ""price"") * GOOGLEFINANCE(C152, ""volumeavg""), 
      GOOGLEFINANCE(C152, ""price"") * AVERAGE(QUERY(GOOGLEFINANCE(C152, ""volume"", TODAY()-40, TODAY()), ""SELECT Col2 WHERE Col2 IS NOT "&amp;"NULL ORDER BY Col1 DESC LIMIT 20"", 0))
    )
  ), 
"""")"),"")</f>
        <v/>
      </c>
      <c r="K152" s="21" t="str">
        <f>IFERROR(__xludf.DUMMYFUNCTION("IFERROR(GOOGLEFINANCE(C152, ""changepct"") / 100, """")"),"")</f>
        <v/>
      </c>
      <c r="L152" s="21" t="str">
        <f>IFERROR(__xludf.DUMMYFUNCTION("IFERROR((GOOGLEFINANCE(C152, ""price"") / INDEX(GOOGLEFINANCE(C152, ""price"", TODAY()-7, TODAY()), 2, 2)) - 1, """")"),"")</f>
        <v/>
      </c>
      <c r="M152" s="21" t="str">
        <f>IFERROR(__xludf.DUMMYFUNCTION("IFERROR((GOOGLEFINANCE(C152, ""price"") / INDEX(GOOGLEFINANCE(C152, ""price"", EDATE(TODAY(), -1), TODAY()), 2, 2)) - 1, """")"),"")</f>
        <v/>
      </c>
      <c r="N152" s="21" t="str">
        <f>IFERROR(__xludf.DUMMYFUNCTION("IFERROR((GOOGLEFINANCE(C152, ""price"") / INDEX(GOOGLEFINANCE(C152, ""price"", EDATE(TODAY(), -3), TODAY()), 2, 2)) - 1, """")"),"")</f>
        <v/>
      </c>
      <c r="O152" s="21" t="str">
        <f>IFERROR(__xludf.DUMMYFUNCTION("IFERROR((GOOGLEFINANCE(C152, ""price"") / INDEX(GOOGLEFINANCE(C152, ""price"", EDATE(TODAY(), -6), TODAY()), 2, 2)) - 1, """")"),"")</f>
        <v/>
      </c>
      <c r="P152" s="21" t="str">
        <f>IFERROR(__xludf.DUMMYFUNCTION("IFERROR((GOOGLEFINANCE(C152, ""price"") / INDEX(GOOGLEFINANCE(C152, ""price"", EDATE(TODAY(), -12), TODAY()), 2, 2)) - 1, """")"),"")</f>
        <v/>
      </c>
      <c r="Q152" s="6" t="str">
        <f>IFERROR(__xludf.DUMMYFUNCTION("AVERAGE(QUERY(GOOGLEFINANCE(C152, ""price"", TODAY()-80, TODAY()), ""SELECT Col2 WHERE Col2 IS NOT NULL ORDER BY Col1 DESC LIMIT 50"", 0))"),"#N/A")</f>
        <v>#N/A</v>
      </c>
      <c r="R152" s="24" t="str">
        <f>IFERROR(__xludf.DUMMYFUNCTION("IFERROR(
  LET(
    data, QUERY(GOOGLEFINANCE(C152,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GOOGLEFINANCE(C152, ""price"")) * 100,
    IF(calc=0, G152, calc)
  ), 
G152)"),"#N/A")</f>
        <v>#N/A</v>
      </c>
      <c r="S152" s="8" t="s">
        <v>15</v>
      </c>
      <c r="T152" s="26" t="str">
        <f>IFERROR(__xludf.DUMMYFUNCTION("IFERROR(TRANSPOSE(QUERY(IFERROR(SORT(GOOGLEFINANCE(C152, ""price"", WORKDAY(TODAY(), -40), TODAY()), 1, FALSE)), ""select Col2 where Col2 is not null limit 22 label Col2 ''"", 0)), """")"),"")</f>
        <v/>
      </c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8"/>
      <c r="AO152" s="28"/>
      <c r="AP152" s="29"/>
      <c r="AQ152" s="29" t="str">
        <f t="shared" ref="AQ152:BL152" si="155">T152/T$2</f>
        <v>#N/A</v>
      </c>
      <c r="AR152" s="29" t="str">
        <f t="shared" si="155"/>
        <v>#DIV/0!</v>
      </c>
      <c r="AS152" s="29" t="str">
        <f t="shared" si="155"/>
        <v>#DIV/0!</v>
      </c>
      <c r="AT152" s="29" t="str">
        <f t="shared" si="155"/>
        <v>#DIV/0!</v>
      </c>
      <c r="AU152" s="29" t="str">
        <f t="shared" si="155"/>
        <v>#DIV/0!</v>
      </c>
      <c r="AV152" s="29" t="str">
        <f t="shared" si="155"/>
        <v>#DIV/0!</v>
      </c>
      <c r="AW152" s="29" t="str">
        <f t="shared" si="155"/>
        <v>#DIV/0!</v>
      </c>
      <c r="AX152" s="29" t="str">
        <f t="shared" si="155"/>
        <v>#DIV/0!</v>
      </c>
      <c r="AY152" s="29" t="str">
        <f t="shared" si="155"/>
        <v>#DIV/0!</v>
      </c>
      <c r="AZ152" s="29" t="str">
        <f t="shared" si="155"/>
        <v>#DIV/0!</v>
      </c>
      <c r="BA152" s="29" t="str">
        <f t="shared" si="155"/>
        <v>#DIV/0!</v>
      </c>
      <c r="BB152" s="29" t="str">
        <f t="shared" si="155"/>
        <v>#DIV/0!</v>
      </c>
      <c r="BC152" s="29" t="str">
        <f t="shared" si="155"/>
        <v>#DIV/0!</v>
      </c>
      <c r="BD152" s="29" t="str">
        <f t="shared" si="155"/>
        <v>#DIV/0!</v>
      </c>
      <c r="BE152" s="29" t="str">
        <f t="shared" si="155"/>
        <v>#DIV/0!</v>
      </c>
      <c r="BF152" s="29" t="str">
        <f t="shared" si="155"/>
        <v>#DIV/0!</v>
      </c>
      <c r="BG152" s="29" t="str">
        <f t="shared" si="155"/>
        <v>#DIV/0!</v>
      </c>
      <c r="BH152" s="29" t="str">
        <f t="shared" si="155"/>
        <v>#DIV/0!</v>
      </c>
      <c r="BI152" s="29" t="str">
        <f t="shared" si="155"/>
        <v>#DIV/0!</v>
      </c>
      <c r="BJ152" s="29" t="str">
        <f t="shared" si="155"/>
        <v>#DIV/0!</v>
      </c>
      <c r="BK152" s="29" t="str">
        <f t="shared" si="155"/>
        <v>#DIV/0!</v>
      </c>
      <c r="BL152" s="29" t="str">
        <f t="shared" si="155"/>
        <v>#DIV/0!</v>
      </c>
      <c r="BM152" s="29" t="str">
        <f t="shared" si="3"/>
        <v>#DIV/0!</v>
      </c>
    </row>
    <row r="153">
      <c r="A153" s="16" t="str">
        <f>IFERROR(__xludf.DUMMYFUNCTION("IFERROR(SPARKLINE(SORT(MAP(TRANSPOSE(AQ153:BL153), LAMBDA(val, IF(ISNUMBER(val), PERCENTRANK(AQ153:BL153, val)+0.01, 0))), SEQUENCE(COLUMNS(AQ153:BL153)), FALSE), {""charttype"",""column""; ""color"",""chartreuse""; ""ymin"", 0; ""ymax"", 1.01; ""highcolo"&amp;"r"", ""darkgreen""; ""lowcolor"", ""red""}), """")"),"")</f>
        <v/>
      </c>
      <c r="B153" s="17" t="str">
        <f t="shared" si="4"/>
        <v/>
      </c>
      <c r="C153" s="1" t="s">
        <v>742</v>
      </c>
      <c r="D153" s="34" t="str">
        <f>IFERROR(__xludf.DUMMYFUNCTION("IFERROR(GOOGLEFINANCE(C153, ""NAME""))"),"Erie Indemnity Co")</f>
        <v>Erie Indemnity Co</v>
      </c>
      <c r="E153" s="30" t="s">
        <v>311</v>
      </c>
      <c r="F153" s="33" t="str">
        <f>IFERROR(__xludf.DUMMYFUNCTION("( (GOOGLEFINANCE(C153, ""price"") - Q153) / Q153 ) / (R153 / 100)"),"Loading...")</f>
        <v>Loading...</v>
      </c>
      <c r="G153" s="20" t="str">
        <f>IFERROR(__xludf.DUMMYFUNCTION("AVERAGE(ARRAYFORMULA(100 * (QUERY(GOOGLEFINANCE(C153, ""high"", TODAY()-40, TODAY()), ""SELECT Col2 WHERE Col2 IS NOT NULL ORDER BY Col1 DESC LIMIT 20"", 0) / QUERY(GOOGLEFINANCE(C153, ""low"", TODAY()-40, TODAY()), ""SELECT Col2 WHERE Col2 IS NOT NULL OR"&amp;"DER BY Col1 DESC LIMIT 20"", 0) - 1)))"),"#N/A")</f>
        <v>#N/A</v>
      </c>
      <c r="H153" s="35" t="str">
        <f t="shared" si="6"/>
        <v/>
      </c>
      <c r="I153" s="36" t="str">
        <f t="shared" si="7"/>
        <v/>
      </c>
      <c r="J153" s="37" t="str">
        <f>IFERROR(__xludf.DUMMYFUNCTION("IFERROR(
  IF(C153="""",, 
    IFERROR(
      GOOGLEFINANCE(C153, ""price"") * GOOGLEFINANCE(C153, ""volumeavg""), 
      GOOGLEFINANCE(C153, ""price"") * AVERAGE(QUERY(GOOGLEFINANCE(C153, ""volume"", TODAY()-40, TODAY()), ""SELECT Col2 WHERE Col2 IS NOT "&amp;"NULL ORDER BY Col1 DESC LIMIT 20"", 0))
    )
  ), 
"""")"),"")</f>
        <v/>
      </c>
      <c r="K153" s="21" t="str">
        <f>IFERROR(__xludf.DUMMYFUNCTION("IFERROR(GOOGLEFINANCE(C153, ""changepct"") / 100, """")"),"")</f>
        <v/>
      </c>
      <c r="L153" s="21" t="str">
        <f>IFERROR(__xludf.DUMMYFUNCTION("IFERROR((GOOGLEFINANCE(C153, ""price"") / INDEX(GOOGLEFINANCE(C153, ""price"", TODAY()-7, TODAY()), 2, 2)) - 1, """")"),"")</f>
        <v/>
      </c>
      <c r="M153" s="21" t="str">
        <f>IFERROR(__xludf.DUMMYFUNCTION("IFERROR((GOOGLEFINANCE(C153, ""price"") / INDEX(GOOGLEFINANCE(C153, ""price"", EDATE(TODAY(), -1), TODAY()), 2, 2)) - 1, """")"),"")</f>
        <v/>
      </c>
      <c r="N153" s="21" t="str">
        <f>IFERROR(__xludf.DUMMYFUNCTION("IFERROR((GOOGLEFINANCE(C153, ""price"") / INDEX(GOOGLEFINANCE(C153, ""price"", EDATE(TODAY(), -3), TODAY()), 2, 2)) - 1, """")"),"")</f>
        <v/>
      </c>
      <c r="O153" s="21" t="str">
        <f>IFERROR(__xludf.DUMMYFUNCTION("IFERROR((GOOGLEFINANCE(C153, ""price"") / INDEX(GOOGLEFINANCE(C153, ""price"", EDATE(TODAY(), -6), TODAY()), 2, 2)) - 1, """")"),"")</f>
        <v/>
      </c>
      <c r="P153" s="21" t="str">
        <f>IFERROR(__xludf.DUMMYFUNCTION("IFERROR((GOOGLEFINANCE(C153, ""price"") / INDEX(GOOGLEFINANCE(C153, ""price"", EDATE(TODAY(), -12), TODAY()), 2, 2)) - 1, """")"),"")</f>
        <v/>
      </c>
      <c r="Q153" s="6" t="str">
        <f>IFERROR(__xludf.DUMMYFUNCTION("AVERAGE(QUERY(GOOGLEFINANCE(C153, ""price"", TODAY()-80, TODAY()), ""SELECT Col2 WHERE Col2 IS NOT NULL ORDER BY Col1 DESC LIMIT 50"", 0))"),"#N/A")</f>
        <v>#N/A</v>
      </c>
      <c r="R153" s="24" t="str">
        <f>IFERROR(__xludf.DUMMYFUNCTION("IFERROR(
  LET(
    data, QUERY(GOOGLEFINANCE(C153,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GOOGLEFINANCE(C153, ""price"")) * 100,
    IF(calc=0, G153, calc)
  ), 
G153)"),"#N/A")</f>
        <v>#N/A</v>
      </c>
      <c r="S153" s="8" t="s">
        <v>15</v>
      </c>
      <c r="T153" s="26" t="str">
        <f>IFERROR(__xludf.DUMMYFUNCTION("IFERROR(TRANSPOSE(QUERY(IFERROR(SORT(GOOGLEFINANCE(C153, ""price"", WORKDAY(TODAY(), -40), TODAY()), 1, FALSE)), ""select Col2 where Col2 is not null limit 22 label Col2 ''"", 0)), """")"),"")</f>
        <v/>
      </c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8"/>
      <c r="AO153" s="28"/>
      <c r="AP153" s="29"/>
      <c r="AQ153" s="29" t="str">
        <f t="shared" ref="AQ153:BL153" si="156">T153/T$2</f>
        <v>#N/A</v>
      </c>
      <c r="AR153" s="29" t="str">
        <f t="shared" si="156"/>
        <v>#DIV/0!</v>
      </c>
      <c r="AS153" s="29" t="str">
        <f t="shared" si="156"/>
        <v>#DIV/0!</v>
      </c>
      <c r="AT153" s="29" t="str">
        <f t="shared" si="156"/>
        <v>#DIV/0!</v>
      </c>
      <c r="AU153" s="29" t="str">
        <f t="shared" si="156"/>
        <v>#DIV/0!</v>
      </c>
      <c r="AV153" s="29" t="str">
        <f t="shared" si="156"/>
        <v>#DIV/0!</v>
      </c>
      <c r="AW153" s="29" t="str">
        <f t="shared" si="156"/>
        <v>#DIV/0!</v>
      </c>
      <c r="AX153" s="29" t="str">
        <f t="shared" si="156"/>
        <v>#DIV/0!</v>
      </c>
      <c r="AY153" s="29" t="str">
        <f t="shared" si="156"/>
        <v>#DIV/0!</v>
      </c>
      <c r="AZ153" s="29" t="str">
        <f t="shared" si="156"/>
        <v>#DIV/0!</v>
      </c>
      <c r="BA153" s="29" t="str">
        <f t="shared" si="156"/>
        <v>#DIV/0!</v>
      </c>
      <c r="BB153" s="29" t="str">
        <f t="shared" si="156"/>
        <v>#DIV/0!</v>
      </c>
      <c r="BC153" s="29" t="str">
        <f t="shared" si="156"/>
        <v>#DIV/0!</v>
      </c>
      <c r="BD153" s="29" t="str">
        <f t="shared" si="156"/>
        <v>#DIV/0!</v>
      </c>
      <c r="BE153" s="29" t="str">
        <f t="shared" si="156"/>
        <v>#DIV/0!</v>
      </c>
      <c r="BF153" s="29" t="str">
        <f t="shared" si="156"/>
        <v>#DIV/0!</v>
      </c>
      <c r="BG153" s="29" t="str">
        <f t="shared" si="156"/>
        <v>#DIV/0!</v>
      </c>
      <c r="BH153" s="29" t="str">
        <f t="shared" si="156"/>
        <v>#DIV/0!</v>
      </c>
      <c r="BI153" s="29" t="str">
        <f t="shared" si="156"/>
        <v>#DIV/0!</v>
      </c>
      <c r="BJ153" s="29" t="str">
        <f t="shared" si="156"/>
        <v>#DIV/0!</v>
      </c>
      <c r="BK153" s="29" t="str">
        <f t="shared" si="156"/>
        <v>#DIV/0!</v>
      </c>
      <c r="BL153" s="29" t="str">
        <f t="shared" si="156"/>
        <v>#DIV/0!</v>
      </c>
      <c r="BM153" s="29" t="str">
        <f t="shared" si="3"/>
        <v>#DIV/0!</v>
      </c>
    </row>
    <row r="154">
      <c r="A154" s="16" t="str">
        <f>IFERROR(__xludf.DUMMYFUNCTION("IFERROR(SPARKLINE(SORT(MAP(TRANSPOSE(AQ154:BL154), LAMBDA(val, IF(ISNUMBER(val), PERCENTRANK(AQ154:BL154, val)+0.01, 0))), SEQUENCE(COLUMNS(AQ154:BL154)), FALSE), {""charttype"",""column""; ""color"",""chartreuse""; ""ymin"", 0; ""ymax"", 1.01; ""highcolo"&amp;"r"", ""darkgreen""; ""lowcolor"", ""red""}), """")"),"")</f>
        <v/>
      </c>
      <c r="B154" s="17" t="str">
        <f t="shared" si="4"/>
        <v/>
      </c>
      <c r="C154" s="1" t="s">
        <v>746</v>
      </c>
      <c r="D154" s="34" t="str">
        <f>IFERROR(__xludf.DUMMYFUNCTION("IFERROR(GOOGLEFINANCE(C154, ""NAME""))"),"VersaBank")</f>
        <v>VersaBank</v>
      </c>
      <c r="E154" s="30" t="s">
        <v>268</v>
      </c>
      <c r="F154" s="33" t="str">
        <f>IFERROR(__xludf.DUMMYFUNCTION("( (GOOGLEFINANCE(C154, ""price"") - Q154) / Q154 ) / (R154 / 100)"),"Loading...")</f>
        <v>Loading...</v>
      </c>
      <c r="G154" s="20" t="str">
        <f>IFERROR(__xludf.DUMMYFUNCTION("AVERAGE(ARRAYFORMULA(100 * (QUERY(GOOGLEFINANCE(C154, ""high"", TODAY()-40, TODAY()), ""SELECT Col2 WHERE Col2 IS NOT NULL ORDER BY Col1 DESC LIMIT 20"", 0) / QUERY(GOOGLEFINANCE(C154, ""low"", TODAY()-40, TODAY()), ""SELECT Col2 WHERE Col2 IS NOT NULL OR"&amp;"DER BY Col1 DESC LIMIT 20"", 0) - 1)))"),"#N/A")</f>
        <v>#N/A</v>
      </c>
      <c r="H154" s="35" t="str">
        <f t="shared" si="6"/>
        <v/>
      </c>
      <c r="I154" s="36" t="str">
        <f t="shared" si="7"/>
        <v/>
      </c>
      <c r="J154" s="37" t="str">
        <f>IFERROR(__xludf.DUMMYFUNCTION("IFERROR(
  IF(C154="""",, 
    IFERROR(
      GOOGLEFINANCE(C154, ""price"") * GOOGLEFINANCE(C154, ""volumeavg""), 
      GOOGLEFINANCE(C154, ""price"") * AVERAGE(QUERY(GOOGLEFINANCE(C154, ""volume"", TODAY()-40, TODAY()), ""SELECT Col2 WHERE Col2 IS NOT "&amp;"NULL ORDER BY Col1 DESC LIMIT 20"", 0))
    )
  ), 
"""")"),"")</f>
        <v/>
      </c>
      <c r="K154" s="21" t="str">
        <f>IFERROR(__xludf.DUMMYFUNCTION("IFERROR(GOOGLEFINANCE(C154, ""changepct"") / 100, """")"),"")</f>
        <v/>
      </c>
      <c r="L154" s="21" t="str">
        <f>IFERROR(__xludf.DUMMYFUNCTION("IFERROR((GOOGLEFINANCE(C154, ""price"") / INDEX(GOOGLEFINANCE(C154, ""price"", TODAY()-7, TODAY()), 2, 2)) - 1, """")"),"")</f>
        <v/>
      </c>
      <c r="M154" s="21" t="str">
        <f>IFERROR(__xludf.DUMMYFUNCTION("IFERROR((GOOGLEFINANCE(C154, ""price"") / INDEX(GOOGLEFINANCE(C154, ""price"", EDATE(TODAY(), -1), TODAY()), 2, 2)) - 1, """")"),"")</f>
        <v/>
      </c>
      <c r="N154" s="21" t="str">
        <f>IFERROR(__xludf.DUMMYFUNCTION("IFERROR((GOOGLEFINANCE(C154, ""price"") / INDEX(GOOGLEFINANCE(C154, ""price"", EDATE(TODAY(), -3), TODAY()), 2, 2)) - 1, """")"),"")</f>
        <v/>
      </c>
      <c r="O154" s="21" t="str">
        <f>IFERROR(__xludf.DUMMYFUNCTION("IFERROR((GOOGLEFINANCE(C154, ""price"") / INDEX(GOOGLEFINANCE(C154, ""price"", EDATE(TODAY(), -6), TODAY()), 2, 2)) - 1, """")"),"")</f>
        <v/>
      </c>
      <c r="P154" s="21" t="str">
        <f>IFERROR(__xludf.DUMMYFUNCTION("IFERROR((GOOGLEFINANCE(C154, ""price"") / INDEX(GOOGLEFINANCE(C154, ""price"", EDATE(TODAY(), -12), TODAY()), 2, 2)) - 1, """")"),"")</f>
        <v/>
      </c>
      <c r="Q154" s="6" t="str">
        <f>IFERROR(__xludf.DUMMYFUNCTION("AVERAGE(QUERY(GOOGLEFINANCE(C154, ""price"", TODAY()-80, TODAY()), ""SELECT Col2 WHERE Col2 IS NOT NULL ORDER BY Col1 DESC LIMIT 50"", 0))"),"#N/A")</f>
        <v>#N/A</v>
      </c>
      <c r="R154" s="24" t="str">
        <f>IFERROR(__xludf.DUMMYFUNCTION("IFERROR(
  LET(
    data, QUERY(GOOGLEFINANCE(C154,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GOOGLEFINANCE(C154, ""price"")) * 100,
    IF(calc=0, G154, calc)
  ), 
G154)"),"#N/A")</f>
        <v>#N/A</v>
      </c>
      <c r="S154" s="8" t="s">
        <v>15</v>
      </c>
      <c r="T154" s="26" t="str">
        <f>IFERROR(__xludf.DUMMYFUNCTION("IFERROR(TRANSPOSE(QUERY(IFERROR(SORT(GOOGLEFINANCE(C154, ""price"", WORKDAY(TODAY(), -40), TODAY()), 1, FALSE)), ""select Col2 where Col2 is not null limit 22 label Col2 ''"", 0)), """")"),"")</f>
        <v/>
      </c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8"/>
      <c r="AO154" s="28"/>
      <c r="AP154" s="29"/>
      <c r="AQ154" s="29" t="str">
        <f t="shared" ref="AQ154:BL154" si="157">T154/T$2</f>
        <v>#N/A</v>
      </c>
      <c r="AR154" s="29" t="str">
        <f t="shared" si="157"/>
        <v>#DIV/0!</v>
      </c>
      <c r="AS154" s="29" t="str">
        <f t="shared" si="157"/>
        <v>#DIV/0!</v>
      </c>
      <c r="AT154" s="29" t="str">
        <f t="shared" si="157"/>
        <v>#DIV/0!</v>
      </c>
      <c r="AU154" s="29" t="str">
        <f t="shared" si="157"/>
        <v>#DIV/0!</v>
      </c>
      <c r="AV154" s="29" t="str">
        <f t="shared" si="157"/>
        <v>#DIV/0!</v>
      </c>
      <c r="AW154" s="29" t="str">
        <f t="shared" si="157"/>
        <v>#DIV/0!</v>
      </c>
      <c r="AX154" s="29" t="str">
        <f t="shared" si="157"/>
        <v>#DIV/0!</v>
      </c>
      <c r="AY154" s="29" t="str">
        <f t="shared" si="157"/>
        <v>#DIV/0!</v>
      </c>
      <c r="AZ154" s="29" t="str">
        <f t="shared" si="157"/>
        <v>#DIV/0!</v>
      </c>
      <c r="BA154" s="29" t="str">
        <f t="shared" si="157"/>
        <v>#DIV/0!</v>
      </c>
      <c r="BB154" s="29" t="str">
        <f t="shared" si="157"/>
        <v>#DIV/0!</v>
      </c>
      <c r="BC154" s="29" t="str">
        <f t="shared" si="157"/>
        <v>#DIV/0!</v>
      </c>
      <c r="BD154" s="29" t="str">
        <f t="shared" si="157"/>
        <v>#DIV/0!</v>
      </c>
      <c r="BE154" s="29" t="str">
        <f t="shared" si="157"/>
        <v>#DIV/0!</v>
      </c>
      <c r="BF154" s="29" t="str">
        <f t="shared" si="157"/>
        <v>#DIV/0!</v>
      </c>
      <c r="BG154" s="29" t="str">
        <f t="shared" si="157"/>
        <v>#DIV/0!</v>
      </c>
      <c r="BH154" s="29" t="str">
        <f t="shared" si="157"/>
        <v>#DIV/0!</v>
      </c>
      <c r="BI154" s="29" t="str">
        <f t="shared" si="157"/>
        <v>#DIV/0!</v>
      </c>
      <c r="BJ154" s="29" t="str">
        <f t="shared" si="157"/>
        <v>#DIV/0!</v>
      </c>
      <c r="BK154" s="29" t="str">
        <f t="shared" si="157"/>
        <v>#DIV/0!</v>
      </c>
      <c r="BL154" s="29" t="str">
        <f t="shared" si="157"/>
        <v>#DIV/0!</v>
      </c>
      <c r="BM154" s="29" t="str">
        <f t="shared" si="3"/>
        <v>#DIV/0!</v>
      </c>
    </row>
    <row r="155">
      <c r="A155" s="16" t="str">
        <f>IFERROR(__xludf.DUMMYFUNCTION("IFERROR(SPARKLINE(SORT(MAP(TRANSPOSE(AQ155:BL155), LAMBDA(val, IF(ISNUMBER(val), PERCENTRANK(AQ155:BL155, val)+0.01, 0))), SEQUENCE(COLUMNS(AQ155:BL155)), FALSE), {""charttype"",""column""; ""color"",""chartreuse""; ""ymin"", 0; ""ymax"", 1.01; ""highcolo"&amp;"r"", ""darkgreen""; ""lowcolor"", ""red""}), """")"),"")</f>
        <v/>
      </c>
      <c r="B155" s="17" t="str">
        <f t="shared" si="4"/>
        <v/>
      </c>
      <c r="C155" s="1" t="s">
        <v>750</v>
      </c>
      <c r="D155" s="34" t="str">
        <f>IFERROR(__xludf.DUMMYFUNCTION("IFERROR(GOOGLEFINANCE(C155, ""NAME""))"),"First American Financial Corp")</f>
        <v>First American Financial Corp</v>
      </c>
      <c r="E155" s="30" t="s">
        <v>276</v>
      </c>
      <c r="F155" s="33" t="str">
        <f>IFERROR(__xludf.DUMMYFUNCTION("( (GOOGLEFINANCE(C155, ""price"") - Q155) / Q155 ) / (R155 / 100)"),"Loading...")</f>
        <v>Loading...</v>
      </c>
      <c r="G155" s="20" t="str">
        <f>IFERROR(__xludf.DUMMYFUNCTION("AVERAGE(ARRAYFORMULA(100 * (QUERY(GOOGLEFINANCE(C155, ""high"", TODAY()-40, TODAY()), ""SELECT Col2 WHERE Col2 IS NOT NULL ORDER BY Col1 DESC LIMIT 20"", 0) / QUERY(GOOGLEFINANCE(C155, ""low"", TODAY()-40, TODAY()), ""SELECT Col2 WHERE Col2 IS NOT NULL OR"&amp;"DER BY Col1 DESC LIMIT 20"", 0) - 1)))"),"#N/A")</f>
        <v>#N/A</v>
      </c>
      <c r="H155" s="35" t="str">
        <f t="shared" si="6"/>
        <v/>
      </c>
      <c r="I155" s="36" t="str">
        <f t="shared" si="7"/>
        <v/>
      </c>
      <c r="J155" s="37" t="str">
        <f>IFERROR(__xludf.DUMMYFUNCTION("IFERROR(
  IF(C155="""",, 
    IFERROR(
      GOOGLEFINANCE(C155, ""price"") * GOOGLEFINANCE(C155, ""volumeavg""), 
      GOOGLEFINANCE(C155, ""price"") * AVERAGE(QUERY(GOOGLEFINANCE(C155, ""volume"", TODAY()-40, TODAY()), ""SELECT Col2 WHERE Col2 IS NOT "&amp;"NULL ORDER BY Col1 DESC LIMIT 20"", 0))
    )
  ), 
"""")"),"")</f>
        <v/>
      </c>
      <c r="K155" s="21" t="str">
        <f>IFERROR(__xludf.DUMMYFUNCTION("IFERROR(GOOGLEFINANCE(C155, ""changepct"") / 100, """")"),"")</f>
        <v/>
      </c>
      <c r="L155" s="21" t="str">
        <f>IFERROR(__xludf.DUMMYFUNCTION("IFERROR((GOOGLEFINANCE(C155, ""price"") / INDEX(GOOGLEFINANCE(C155, ""price"", TODAY()-7, TODAY()), 2, 2)) - 1, """")"),"")</f>
        <v/>
      </c>
      <c r="M155" s="21" t="str">
        <f>IFERROR(__xludf.DUMMYFUNCTION("IFERROR((GOOGLEFINANCE(C155, ""price"") / INDEX(GOOGLEFINANCE(C155, ""price"", EDATE(TODAY(), -1), TODAY()), 2, 2)) - 1, """")"),"")</f>
        <v/>
      </c>
      <c r="N155" s="21" t="str">
        <f>IFERROR(__xludf.DUMMYFUNCTION("IFERROR((GOOGLEFINANCE(C155, ""price"") / INDEX(GOOGLEFINANCE(C155, ""price"", EDATE(TODAY(), -3), TODAY()), 2, 2)) - 1, """")"),"")</f>
        <v/>
      </c>
      <c r="O155" s="21" t="str">
        <f>IFERROR(__xludf.DUMMYFUNCTION("IFERROR((GOOGLEFINANCE(C155, ""price"") / INDEX(GOOGLEFINANCE(C155, ""price"", EDATE(TODAY(), -6), TODAY()), 2, 2)) - 1, """")"),"")</f>
        <v/>
      </c>
      <c r="P155" s="21" t="str">
        <f>IFERROR(__xludf.DUMMYFUNCTION("IFERROR((GOOGLEFINANCE(C155, ""price"") / INDEX(GOOGLEFINANCE(C155, ""price"", EDATE(TODAY(), -12), TODAY()), 2, 2)) - 1, """")"),"")</f>
        <v/>
      </c>
      <c r="Q155" s="6" t="str">
        <f>IFERROR(__xludf.DUMMYFUNCTION("AVERAGE(QUERY(GOOGLEFINANCE(C155, ""price"", TODAY()-80, TODAY()), ""SELECT Col2 WHERE Col2 IS NOT NULL ORDER BY Col1 DESC LIMIT 50"", 0))"),"#N/A")</f>
        <v>#N/A</v>
      </c>
      <c r="R155" s="24" t="str">
        <f>IFERROR(__xludf.DUMMYFUNCTION("IFERROR(
  LET(
    data, QUERY(GOOGLEFINANCE(C155,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GOOGLEFINANCE(C155, ""price"")) * 100,
    IF(calc=0, G155, calc)
  ), 
G155)"),"#N/A")</f>
        <v>#N/A</v>
      </c>
      <c r="S155" s="8" t="s">
        <v>15</v>
      </c>
      <c r="T155" s="26" t="str">
        <f>IFERROR(__xludf.DUMMYFUNCTION("IFERROR(TRANSPOSE(QUERY(IFERROR(SORT(GOOGLEFINANCE(C155, ""price"", WORKDAY(TODAY(), -40), TODAY()), 1, FALSE)), ""select Col2 where Col2 is not null limit 22 label Col2 ''"", 0)), """")"),"")</f>
        <v/>
      </c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8"/>
      <c r="AO155" s="28"/>
      <c r="AP155" s="29"/>
      <c r="AQ155" s="29" t="str">
        <f t="shared" ref="AQ155:BL155" si="158">T155/T$2</f>
        <v>#N/A</v>
      </c>
      <c r="AR155" s="29" t="str">
        <f t="shared" si="158"/>
        <v>#DIV/0!</v>
      </c>
      <c r="AS155" s="29" t="str">
        <f t="shared" si="158"/>
        <v>#DIV/0!</v>
      </c>
      <c r="AT155" s="29" t="str">
        <f t="shared" si="158"/>
        <v>#DIV/0!</v>
      </c>
      <c r="AU155" s="29" t="str">
        <f t="shared" si="158"/>
        <v>#DIV/0!</v>
      </c>
      <c r="AV155" s="29" t="str">
        <f t="shared" si="158"/>
        <v>#DIV/0!</v>
      </c>
      <c r="AW155" s="29" t="str">
        <f t="shared" si="158"/>
        <v>#DIV/0!</v>
      </c>
      <c r="AX155" s="29" t="str">
        <f t="shared" si="158"/>
        <v>#DIV/0!</v>
      </c>
      <c r="AY155" s="29" t="str">
        <f t="shared" si="158"/>
        <v>#DIV/0!</v>
      </c>
      <c r="AZ155" s="29" t="str">
        <f t="shared" si="158"/>
        <v>#DIV/0!</v>
      </c>
      <c r="BA155" s="29" t="str">
        <f t="shared" si="158"/>
        <v>#DIV/0!</v>
      </c>
      <c r="BB155" s="29" t="str">
        <f t="shared" si="158"/>
        <v>#DIV/0!</v>
      </c>
      <c r="BC155" s="29" t="str">
        <f t="shared" si="158"/>
        <v>#DIV/0!</v>
      </c>
      <c r="BD155" s="29" t="str">
        <f t="shared" si="158"/>
        <v>#DIV/0!</v>
      </c>
      <c r="BE155" s="29" t="str">
        <f t="shared" si="158"/>
        <v>#DIV/0!</v>
      </c>
      <c r="BF155" s="29" t="str">
        <f t="shared" si="158"/>
        <v>#DIV/0!</v>
      </c>
      <c r="BG155" s="29" t="str">
        <f t="shared" si="158"/>
        <v>#DIV/0!</v>
      </c>
      <c r="BH155" s="29" t="str">
        <f t="shared" si="158"/>
        <v>#DIV/0!</v>
      </c>
      <c r="BI155" s="29" t="str">
        <f t="shared" si="158"/>
        <v>#DIV/0!</v>
      </c>
      <c r="BJ155" s="29" t="str">
        <f t="shared" si="158"/>
        <v>#DIV/0!</v>
      </c>
      <c r="BK155" s="29" t="str">
        <f t="shared" si="158"/>
        <v>#DIV/0!</v>
      </c>
      <c r="BL155" s="29" t="str">
        <f t="shared" si="158"/>
        <v>#DIV/0!</v>
      </c>
      <c r="BM155" s="29" t="str">
        <f t="shared" si="3"/>
        <v>#DIV/0!</v>
      </c>
    </row>
    <row r="156">
      <c r="A156" s="16" t="str">
        <f>IFERROR(__xludf.DUMMYFUNCTION("IFERROR(SPARKLINE(SORT(MAP(TRANSPOSE(AQ156:BL156), LAMBDA(val, IF(ISNUMBER(val), PERCENTRANK(AQ156:BL156, val)+0.01, 0))), SEQUENCE(COLUMNS(AQ156:BL156)), FALSE), {""charttype"",""column""; ""color"",""chartreuse""; ""ymin"", 0; ""ymax"", 1.01; ""highcolo"&amp;"r"", ""darkgreen""; ""lowcolor"", ""red""}), """")"),"")</f>
        <v/>
      </c>
      <c r="B156" s="17" t="str">
        <f t="shared" si="4"/>
        <v/>
      </c>
      <c r="C156" s="1" t="s">
        <v>754</v>
      </c>
      <c r="D156" s="34" t="str">
        <f>IFERROR(__xludf.DUMMYFUNCTION("IFERROR(GOOGLEFINANCE(C156, ""NAME""))"),"Donegal Group Inc Class A")</f>
        <v>Donegal Group Inc Class A</v>
      </c>
      <c r="E156" s="30" t="s">
        <v>82</v>
      </c>
      <c r="F156" s="33" t="str">
        <f>IFERROR(__xludf.DUMMYFUNCTION("( (GOOGLEFINANCE(C156, ""price"") - Q156) / Q156 ) / (R156 / 100)"),"Loading...")</f>
        <v>Loading...</v>
      </c>
      <c r="G156" s="20" t="str">
        <f>IFERROR(__xludf.DUMMYFUNCTION("AVERAGE(ARRAYFORMULA(100 * (QUERY(GOOGLEFINANCE(C156, ""high"", TODAY()-40, TODAY()), ""SELECT Col2 WHERE Col2 IS NOT NULL ORDER BY Col1 DESC LIMIT 20"", 0) / QUERY(GOOGLEFINANCE(C156, ""low"", TODAY()-40, TODAY()), ""SELECT Col2 WHERE Col2 IS NOT NULL OR"&amp;"DER BY Col1 DESC LIMIT 20"", 0) - 1)))"),"#N/A")</f>
        <v>#N/A</v>
      </c>
      <c r="H156" s="35" t="str">
        <f t="shared" si="6"/>
        <v/>
      </c>
      <c r="I156" s="36" t="str">
        <f t="shared" si="7"/>
        <v/>
      </c>
      <c r="J156" s="37" t="str">
        <f>IFERROR(__xludf.DUMMYFUNCTION("IFERROR(
  IF(C156="""",, 
    IFERROR(
      GOOGLEFINANCE(C156, ""price"") * GOOGLEFINANCE(C156, ""volumeavg""), 
      GOOGLEFINANCE(C156, ""price"") * AVERAGE(QUERY(GOOGLEFINANCE(C156, ""volume"", TODAY()-40, TODAY()), ""SELECT Col2 WHERE Col2 IS NOT "&amp;"NULL ORDER BY Col1 DESC LIMIT 20"", 0))
    )
  ), 
"""")"),"")</f>
        <v/>
      </c>
      <c r="K156" s="21" t="str">
        <f>IFERROR(__xludf.DUMMYFUNCTION("IFERROR(GOOGLEFINANCE(C156, ""changepct"") / 100, """")"),"")</f>
        <v/>
      </c>
      <c r="L156" s="21" t="str">
        <f>IFERROR(__xludf.DUMMYFUNCTION("IFERROR((GOOGLEFINANCE(C156, ""price"") / INDEX(GOOGLEFINANCE(C156, ""price"", TODAY()-7, TODAY()), 2, 2)) - 1, """")"),"")</f>
        <v/>
      </c>
      <c r="M156" s="21" t="str">
        <f>IFERROR(__xludf.DUMMYFUNCTION("IFERROR((GOOGLEFINANCE(C156, ""price"") / INDEX(GOOGLEFINANCE(C156, ""price"", EDATE(TODAY(), -1), TODAY()), 2, 2)) - 1, """")"),"")</f>
        <v/>
      </c>
      <c r="N156" s="21" t="str">
        <f>IFERROR(__xludf.DUMMYFUNCTION("IFERROR((GOOGLEFINANCE(C156, ""price"") / INDEX(GOOGLEFINANCE(C156, ""price"", EDATE(TODAY(), -3), TODAY()), 2, 2)) - 1, """")"),"")</f>
        <v/>
      </c>
      <c r="O156" s="21" t="str">
        <f>IFERROR(__xludf.DUMMYFUNCTION("IFERROR((GOOGLEFINANCE(C156, ""price"") / INDEX(GOOGLEFINANCE(C156, ""price"", EDATE(TODAY(), -6), TODAY()), 2, 2)) - 1, """")"),"")</f>
        <v/>
      </c>
      <c r="P156" s="21" t="str">
        <f>IFERROR(__xludf.DUMMYFUNCTION("IFERROR((GOOGLEFINANCE(C156, ""price"") / INDEX(GOOGLEFINANCE(C156, ""price"", EDATE(TODAY(), -12), TODAY()), 2, 2)) - 1, """")"),"")</f>
        <v/>
      </c>
      <c r="Q156" s="6" t="str">
        <f>IFERROR(__xludf.DUMMYFUNCTION("AVERAGE(QUERY(GOOGLEFINANCE(C156, ""price"", TODAY()-80, TODAY()), ""SELECT Col2 WHERE Col2 IS NOT NULL ORDER BY Col1 DESC LIMIT 50"", 0))"),"#N/A")</f>
        <v>#N/A</v>
      </c>
      <c r="R156" s="24" t="str">
        <f>IFERROR(__xludf.DUMMYFUNCTION("IFERROR(
  LET(
    data, QUERY(GOOGLEFINANCE(C156,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GOOGLEFINANCE(C156, ""price"")) * 100,
    IF(calc=0, G156, calc)
  ), 
G156)"),"#N/A")</f>
        <v>#N/A</v>
      </c>
      <c r="S156" s="8" t="s">
        <v>15</v>
      </c>
      <c r="T156" s="26" t="str">
        <f>IFERROR(__xludf.DUMMYFUNCTION("IFERROR(TRANSPOSE(QUERY(IFERROR(SORT(GOOGLEFINANCE(C156, ""price"", WORKDAY(TODAY(), -40), TODAY()), 1, FALSE)), ""select Col2 where Col2 is not null limit 22 label Col2 ''"", 0)), """")"),"")</f>
        <v/>
      </c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8"/>
      <c r="AO156" s="28"/>
      <c r="AP156" s="29"/>
      <c r="AQ156" s="29" t="str">
        <f t="shared" ref="AQ156:BL156" si="159">T156/T$2</f>
        <v>#N/A</v>
      </c>
      <c r="AR156" s="29" t="str">
        <f t="shared" si="159"/>
        <v>#DIV/0!</v>
      </c>
      <c r="AS156" s="29" t="str">
        <f t="shared" si="159"/>
        <v>#DIV/0!</v>
      </c>
      <c r="AT156" s="29" t="str">
        <f t="shared" si="159"/>
        <v>#DIV/0!</v>
      </c>
      <c r="AU156" s="29" t="str">
        <f t="shared" si="159"/>
        <v>#DIV/0!</v>
      </c>
      <c r="AV156" s="29" t="str">
        <f t="shared" si="159"/>
        <v>#DIV/0!</v>
      </c>
      <c r="AW156" s="29" t="str">
        <f t="shared" si="159"/>
        <v>#DIV/0!</v>
      </c>
      <c r="AX156" s="29" t="str">
        <f t="shared" si="159"/>
        <v>#DIV/0!</v>
      </c>
      <c r="AY156" s="29" t="str">
        <f t="shared" si="159"/>
        <v>#DIV/0!</v>
      </c>
      <c r="AZ156" s="29" t="str">
        <f t="shared" si="159"/>
        <v>#DIV/0!</v>
      </c>
      <c r="BA156" s="29" t="str">
        <f t="shared" si="159"/>
        <v>#DIV/0!</v>
      </c>
      <c r="BB156" s="29" t="str">
        <f t="shared" si="159"/>
        <v>#DIV/0!</v>
      </c>
      <c r="BC156" s="29" t="str">
        <f t="shared" si="159"/>
        <v>#DIV/0!</v>
      </c>
      <c r="BD156" s="29" t="str">
        <f t="shared" si="159"/>
        <v>#DIV/0!</v>
      </c>
      <c r="BE156" s="29" t="str">
        <f t="shared" si="159"/>
        <v>#DIV/0!</v>
      </c>
      <c r="BF156" s="29" t="str">
        <f t="shared" si="159"/>
        <v>#DIV/0!</v>
      </c>
      <c r="BG156" s="29" t="str">
        <f t="shared" si="159"/>
        <v>#DIV/0!</v>
      </c>
      <c r="BH156" s="29" t="str">
        <f t="shared" si="159"/>
        <v>#DIV/0!</v>
      </c>
      <c r="BI156" s="29" t="str">
        <f t="shared" si="159"/>
        <v>#DIV/0!</v>
      </c>
      <c r="BJ156" s="29" t="str">
        <f t="shared" si="159"/>
        <v>#DIV/0!</v>
      </c>
      <c r="BK156" s="29" t="str">
        <f t="shared" si="159"/>
        <v>#DIV/0!</v>
      </c>
      <c r="BL156" s="29" t="str">
        <f t="shared" si="159"/>
        <v>#DIV/0!</v>
      </c>
      <c r="BM156" s="29" t="str">
        <f t="shared" si="3"/>
        <v>#DIV/0!</v>
      </c>
    </row>
    <row r="157">
      <c r="A157" s="16" t="str">
        <f>IFERROR(__xludf.DUMMYFUNCTION("IFERROR(SPARKLINE(SORT(MAP(TRANSPOSE(AQ157:BL157), LAMBDA(val, IF(ISNUMBER(val), PERCENTRANK(AQ157:BL157, val)+0.01, 0))), SEQUENCE(COLUMNS(AQ157:BL157)), FALSE), {""charttype"",""column""; ""color"",""chartreuse""; ""ymin"", 0; ""ymax"", 1.01; ""highcolo"&amp;"r"", ""darkgreen""; ""lowcolor"", ""red""}), """")"),"")</f>
        <v/>
      </c>
      <c r="B157" s="17" t="str">
        <f t="shared" si="4"/>
        <v/>
      </c>
      <c r="C157" s="1" t="s">
        <v>757</v>
      </c>
      <c r="D157" s="34" t="str">
        <f>IFERROR(__xludf.DUMMYFUNCTION("IFERROR(GOOGLEFINANCE(C157, ""NAME""))"),"Oyster Enterprises II Acquisition Corp")</f>
        <v>Oyster Enterprises II Acquisition Corp</v>
      </c>
      <c r="E157" s="30" t="s">
        <v>161</v>
      </c>
      <c r="F157" s="33" t="str">
        <f>IFERROR(__xludf.DUMMYFUNCTION("( (GOOGLEFINANCE(C157, ""price"") - Q157) / Q157 ) / (R157 / 100)"),"Loading...")</f>
        <v>Loading...</v>
      </c>
      <c r="G157" s="20" t="str">
        <f>IFERROR(__xludf.DUMMYFUNCTION("AVERAGE(ARRAYFORMULA(100 * (QUERY(GOOGLEFINANCE(C157, ""high"", TODAY()-40, TODAY()), ""SELECT Col2 WHERE Col2 IS NOT NULL ORDER BY Col1 DESC LIMIT 20"", 0) / QUERY(GOOGLEFINANCE(C157, ""low"", TODAY()-40, TODAY()), ""SELECT Col2 WHERE Col2 IS NOT NULL OR"&amp;"DER BY Col1 DESC LIMIT 20"", 0) - 1)))"),"#N/A")</f>
        <v>#N/A</v>
      </c>
      <c r="H157" s="35" t="str">
        <f t="shared" si="6"/>
        <v/>
      </c>
      <c r="I157" s="36" t="str">
        <f t="shared" si="7"/>
        <v/>
      </c>
      <c r="J157" s="37" t="str">
        <f>IFERROR(__xludf.DUMMYFUNCTION("IFERROR(
  IF(C157="""",, 
    IFERROR(
      GOOGLEFINANCE(C157, ""price"") * GOOGLEFINANCE(C157, ""volumeavg""), 
      GOOGLEFINANCE(C157, ""price"") * AVERAGE(QUERY(GOOGLEFINANCE(C157, ""volume"", TODAY()-40, TODAY()), ""SELECT Col2 WHERE Col2 IS NOT "&amp;"NULL ORDER BY Col1 DESC LIMIT 20"", 0))
    )
  ), 
"""")"),"")</f>
        <v/>
      </c>
      <c r="K157" s="21" t="str">
        <f>IFERROR(__xludf.DUMMYFUNCTION("IFERROR(GOOGLEFINANCE(C157, ""changepct"") / 100, """")"),"")</f>
        <v/>
      </c>
      <c r="L157" s="21" t="str">
        <f>IFERROR(__xludf.DUMMYFUNCTION("IFERROR((GOOGLEFINANCE(C157, ""price"") / INDEX(GOOGLEFINANCE(C157, ""price"", TODAY()-7, TODAY()), 2, 2)) - 1, """")"),"")</f>
        <v/>
      </c>
      <c r="M157" s="21" t="str">
        <f>IFERROR(__xludf.DUMMYFUNCTION("IFERROR((GOOGLEFINANCE(C157, ""price"") / INDEX(GOOGLEFINANCE(C157, ""price"", EDATE(TODAY(), -1), TODAY()), 2, 2)) - 1, """")"),"")</f>
        <v/>
      </c>
      <c r="N157" s="21" t="str">
        <f>IFERROR(__xludf.DUMMYFUNCTION("IFERROR((GOOGLEFINANCE(C157, ""price"") / INDEX(GOOGLEFINANCE(C157, ""price"", EDATE(TODAY(), -3), TODAY()), 2, 2)) - 1, """")"),"")</f>
        <v/>
      </c>
      <c r="O157" s="21" t="str">
        <f>IFERROR(__xludf.DUMMYFUNCTION("IFERROR((GOOGLEFINANCE(C157, ""price"") / INDEX(GOOGLEFINANCE(C157, ""price"", EDATE(TODAY(), -6), TODAY()), 2, 2)) - 1, """")"),"")</f>
        <v/>
      </c>
      <c r="P157" s="21" t="str">
        <f>IFERROR(__xludf.DUMMYFUNCTION("IFERROR((GOOGLEFINANCE(C157, ""price"") / INDEX(GOOGLEFINANCE(C157, ""price"", EDATE(TODAY(), -12), TODAY()), 2, 2)) - 1, """")"),"")</f>
        <v/>
      </c>
      <c r="Q157" s="6" t="str">
        <f>IFERROR(__xludf.DUMMYFUNCTION("AVERAGE(QUERY(GOOGLEFINANCE(C157, ""price"", TODAY()-80, TODAY()), ""SELECT Col2 WHERE Col2 IS NOT NULL ORDER BY Col1 DESC LIMIT 50"", 0))"),"#N/A")</f>
        <v>#N/A</v>
      </c>
      <c r="R157" s="24" t="str">
        <f>IFERROR(__xludf.DUMMYFUNCTION("IFERROR(
  LET(
    data, QUERY(GOOGLEFINANCE(C157,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GOOGLEFINANCE(C157, ""price"")) * 100,
    IF(calc=0, G157, calc)
  ), 
G157)"),"#N/A")</f>
        <v>#N/A</v>
      </c>
      <c r="S157" s="8" t="s">
        <v>15</v>
      </c>
      <c r="T157" s="26" t="str">
        <f>IFERROR(__xludf.DUMMYFUNCTION("IFERROR(TRANSPOSE(QUERY(IFERROR(SORT(GOOGLEFINANCE(C157, ""price"", WORKDAY(TODAY(), -40), TODAY()), 1, FALSE)), ""select Col2 where Col2 is not null limit 22 label Col2 ''"", 0)), """")"),"")</f>
        <v/>
      </c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8"/>
      <c r="AO157" s="28"/>
      <c r="AP157" s="29"/>
      <c r="AQ157" s="29" t="str">
        <f t="shared" ref="AQ157:BL157" si="160">T157/T$2</f>
        <v>#N/A</v>
      </c>
      <c r="AR157" s="29" t="str">
        <f t="shared" si="160"/>
        <v>#DIV/0!</v>
      </c>
      <c r="AS157" s="29" t="str">
        <f t="shared" si="160"/>
        <v>#DIV/0!</v>
      </c>
      <c r="AT157" s="29" t="str">
        <f t="shared" si="160"/>
        <v>#DIV/0!</v>
      </c>
      <c r="AU157" s="29" t="str">
        <f t="shared" si="160"/>
        <v>#DIV/0!</v>
      </c>
      <c r="AV157" s="29" t="str">
        <f t="shared" si="160"/>
        <v>#DIV/0!</v>
      </c>
      <c r="AW157" s="29" t="str">
        <f t="shared" si="160"/>
        <v>#DIV/0!</v>
      </c>
      <c r="AX157" s="29" t="str">
        <f t="shared" si="160"/>
        <v>#DIV/0!</v>
      </c>
      <c r="AY157" s="29" t="str">
        <f t="shared" si="160"/>
        <v>#DIV/0!</v>
      </c>
      <c r="AZ157" s="29" t="str">
        <f t="shared" si="160"/>
        <v>#DIV/0!</v>
      </c>
      <c r="BA157" s="29" t="str">
        <f t="shared" si="160"/>
        <v>#DIV/0!</v>
      </c>
      <c r="BB157" s="29" t="str">
        <f t="shared" si="160"/>
        <v>#DIV/0!</v>
      </c>
      <c r="BC157" s="29" t="str">
        <f t="shared" si="160"/>
        <v>#DIV/0!</v>
      </c>
      <c r="BD157" s="29" t="str">
        <f t="shared" si="160"/>
        <v>#DIV/0!</v>
      </c>
      <c r="BE157" s="29" t="str">
        <f t="shared" si="160"/>
        <v>#DIV/0!</v>
      </c>
      <c r="BF157" s="29" t="str">
        <f t="shared" si="160"/>
        <v>#DIV/0!</v>
      </c>
      <c r="BG157" s="29" t="str">
        <f t="shared" si="160"/>
        <v>#DIV/0!</v>
      </c>
      <c r="BH157" s="29" t="str">
        <f t="shared" si="160"/>
        <v>#DIV/0!</v>
      </c>
      <c r="BI157" s="29" t="str">
        <f t="shared" si="160"/>
        <v>#DIV/0!</v>
      </c>
      <c r="BJ157" s="29" t="str">
        <f t="shared" si="160"/>
        <v>#DIV/0!</v>
      </c>
      <c r="BK157" s="29" t="str">
        <f t="shared" si="160"/>
        <v>#DIV/0!</v>
      </c>
      <c r="BL157" s="29" t="str">
        <f t="shared" si="160"/>
        <v>#DIV/0!</v>
      </c>
      <c r="BM157" s="29" t="str">
        <f t="shared" si="3"/>
        <v>#DIV/0!</v>
      </c>
    </row>
    <row r="158">
      <c r="A158" s="16" t="str">
        <f>IFERROR(__xludf.DUMMYFUNCTION("IFERROR(SPARKLINE(SORT(MAP(TRANSPOSE(AQ158:BL158), LAMBDA(val, IF(ISNUMBER(val), PERCENTRANK(AQ158:BL158, val)+0.01, 0))), SEQUENCE(COLUMNS(AQ158:BL158)), FALSE), {""charttype"",""column""; ""color"",""chartreuse""; ""ymin"", 0; ""ymax"", 1.01; ""highcolo"&amp;"r"", ""darkgreen""; ""lowcolor"", ""red""}), """")"),"")</f>
        <v/>
      </c>
      <c r="B158" s="17" t="str">
        <f t="shared" si="4"/>
        <v/>
      </c>
      <c r="C158" s="1" t="s">
        <v>762</v>
      </c>
      <c r="D158" s="34" t="str">
        <f>IFERROR(__xludf.DUMMYFUNCTION("IFERROR(GOOGLEFINANCE(C158, ""NAME""))"),"Sprott Physical Gold Trust")</f>
        <v>Sprott Physical Gold Trust</v>
      </c>
      <c r="E158" s="30" t="s">
        <v>64</v>
      </c>
      <c r="F158" s="33" t="str">
        <f>IFERROR(__xludf.DUMMYFUNCTION("( (GOOGLEFINANCE(C158, ""price"") - Q158) / Q158 ) / (R158 / 100)"),"Loading...")</f>
        <v>Loading...</v>
      </c>
      <c r="G158" s="20" t="str">
        <f>IFERROR(__xludf.DUMMYFUNCTION("AVERAGE(ARRAYFORMULA(100 * (QUERY(GOOGLEFINANCE(C158, ""high"", TODAY()-40, TODAY()), ""SELECT Col2 WHERE Col2 IS NOT NULL ORDER BY Col1 DESC LIMIT 20"", 0) / QUERY(GOOGLEFINANCE(C158, ""low"", TODAY()-40, TODAY()), ""SELECT Col2 WHERE Col2 IS NOT NULL OR"&amp;"DER BY Col1 DESC LIMIT 20"", 0) - 1)))"),"#N/A")</f>
        <v>#N/A</v>
      </c>
      <c r="H158" s="35" t="str">
        <f t="shared" si="6"/>
        <v/>
      </c>
      <c r="I158" s="36" t="str">
        <f t="shared" si="7"/>
        <v/>
      </c>
      <c r="J158" s="37" t="str">
        <f>IFERROR(__xludf.DUMMYFUNCTION("IFERROR(
  IF(C158="""",, 
    IFERROR(
      GOOGLEFINANCE(C158, ""price"") * GOOGLEFINANCE(C158, ""volumeavg""), 
      GOOGLEFINANCE(C158, ""price"") * AVERAGE(QUERY(GOOGLEFINANCE(C158, ""volume"", TODAY()-40, TODAY()), ""SELECT Col2 WHERE Col2 IS NOT "&amp;"NULL ORDER BY Col1 DESC LIMIT 20"", 0))
    )
  ), 
"""")"),"")</f>
        <v/>
      </c>
      <c r="K158" s="21" t="str">
        <f>IFERROR(__xludf.DUMMYFUNCTION("IFERROR(GOOGLEFINANCE(C158, ""changepct"") / 100, """")"),"")</f>
        <v/>
      </c>
      <c r="L158" s="21" t="str">
        <f>IFERROR(__xludf.DUMMYFUNCTION("IFERROR((GOOGLEFINANCE(C158, ""price"") / INDEX(GOOGLEFINANCE(C158, ""price"", TODAY()-7, TODAY()), 2, 2)) - 1, """")"),"")</f>
        <v/>
      </c>
      <c r="M158" s="21" t="str">
        <f>IFERROR(__xludf.DUMMYFUNCTION("IFERROR((GOOGLEFINANCE(C158, ""price"") / INDEX(GOOGLEFINANCE(C158, ""price"", EDATE(TODAY(), -1), TODAY()), 2, 2)) - 1, """")"),"")</f>
        <v/>
      </c>
      <c r="N158" s="21" t="str">
        <f>IFERROR(__xludf.DUMMYFUNCTION("IFERROR((GOOGLEFINANCE(C158, ""price"") / INDEX(GOOGLEFINANCE(C158, ""price"", EDATE(TODAY(), -3), TODAY()), 2, 2)) - 1, """")"),"")</f>
        <v/>
      </c>
      <c r="O158" s="21" t="str">
        <f>IFERROR(__xludf.DUMMYFUNCTION("IFERROR((GOOGLEFINANCE(C158, ""price"") / INDEX(GOOGLEFINANCE(C158, ""price"", EDATE(TODAY(), -6), TODAY()), 2, 2)) - 1, """")"),"")</f>
        <v/>
      </c>
      <c r="P158" s="21" t="str">
        <f>IFERROR(__xludf.DUMMYFUNCTION("IFERROR((GOOGLEFINANCE(C158, ""price"") / INDEX(GOOGLEFINANCE(C158, ""price"", EDATE(TODAY(), -12), TODAY()), 2, 2)) - 1, """")"),"")</f>
        <v/>
      </c>
      <c r="Q158" s="6" t="str">
        <f>IFERROR(__xludf.DUMMYFUNCTION("AVERAGE(QUERY(GOOGLEFINANCE(C158, ""price"", TODAY()-80, TODAY()), ""SELECT Col2 WHERE Col2 IS NOT NULL ORDER BY Col1 DESC LIMIT 50"", 0))"),"#N/A")</f>
        <v>#N/A</v>
      </c>
      <c r="R158" s="24" t="str">
        <f>IFERROR(__xludf.DUMMYFUNCTION("IFERROR(
  LET(
    data, QUERY(GOOGLEFINANCE(C158,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GOOGLEFINANCE(C158, ""price"")) * 100,
    IF(calc=0, G158, calc)
  ), 
G158)"),"#N/A")</f>
        <v>#N/A</v>
      </c>
      <c r="S158" s="8" t="s">
        <v>15</v>
      </c>
      <c r="T158" s="26" t="str">
        <f>IFERROR(__xludf.DUMMYFUNCTION("IFERROR(TRANSPOSE(QUERY(IFERROR(SORT(GOOGLEFINANCE(C158, ""price"", WORKDAY(TODAY(), -40), TODAY()), 1, FALSE)), ""select Col2 where Col2 is not null limit 22 label Col2 ''"", 0)), """")"),"")</f>
        <v/>
      </c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8"/>
      <c r="AO158" s="28"/>
      <c r="AP158" s="29"/>
      <c r="AQ158" s="29" t="str">
        <f t="shared" ref="AQ158:BL158" si="161">T158/T$2</f>
        <v>#N/A</v>
      </c>
      <c r="AR158" s="29" t="str">
        <f t="shared" si="161"/>
        <v>#DIV/0!</v>
      </c>
      <c r="AS158" s="29" t="str">
        <f t="shared" si="161"/>
        <v>#DIV/0!</v>
      </c>
      <c r="AT158" s="29" t="str">
        <f t="shared" si="161"/>
        <v>#DIV/0!</v>
      </c>
      <c r="AU158" s="29" t="str">
        <f t="shared" si="161"/>
        <v>#DIV/0!</v>
      </c>
      <c r="AV158" s="29" t="str">
        <f t="shared" si="161"/>
        <v>#DIV/0!</v>
      </c>
      <c r="AW158" s="29" t="str">
        <f t="shared" si="161"/>
        <v>#DIV/0!</v>
      </c>
      <c r="AX158" s="29" t="str">
        <f t="shared" si="161"/>
        <v>#DIV/0!</v>
      </c>
      <c r="AY158" s="29" t="str">
        <f t="shared" si="161"/>
        <v>#DIV/0!</v>
      </c>
      <c r="AZ158" s="29" t="str">
        <f t="shared" si="161"/>
        <v>#DIV/0!</v>
      </c>
      <c r="BA158" s="29" t="str">
        <f t="shared" si="161"/>
        <v>#DIV/0!</v>
      </c>
      <c r="BB158" s="29" t="str">
        <f t="shared" si="161"/>
        <v>#DIV/0!</v>
      </c>
      <c r="BC158" s="29" t="str">
        <f t="shared" si="161"/>
        <v>#DIV/0!</v>
      </c>
      <c r="BD158" s="29" t="str">
        <f t="shared" si="161"/>
        <v>#DIV/0!</v>
      </c>
      <c r="BE158" s="29" t="str">
        <f t="shared" si="161"/>
        <v>#DIV/0!</v>
      </c>
      <c r="BF158" s="29" t="str">
        <f t="shared" si="161"/>
        <v>#DIV/0!</v>
      </c>
      <c r="BG158" s="29" t="str">
        <f t="shared" si="161"/>
        <v>#DIV/0!</v>
      </c>
      <c r="BH158" s="29" t="str">
        <f t="shared" si="161"/>
        <v>#DIV/0!</v>
      </c>
      <c r="BI158" s="29" t="str">
        <f t="shared" si="161"/>
        <v>#DIV/0!</v>
      </c>
      <c r="BJ158" s="29" t="str">
        <f t="shared" si="161"/>
        <v>#DIV/0!</v>
      </c>
      <c r="BK158" s="29" t="str">
        <f t="shared" si="161"/>
        <v>#DIV/0!</v>
      </c>
      <c r="BL158" s="29" t="str">
        <f t="shared" si="161"/>
        <v>#DIV/0!</v>
      </c>
      <c r="BM158" s="29" t="str">
        <f t="shared" si="3"/>
        <v>#DIV/0!</v>
      </c>
    </row>
    <row r="159">
      <c r="A159" s="16" t="str">
        <f>IFERROR(__xludf.DUMMYFUNCTION("IFERROR(SPARKLINE(SORT(MAP(TRANSPOSE(AQ159:BL159), LAMBDA(val, IF(ISNUMBER(val), PERCENTRANK(AQ159:BL159, val)+0.01, 0))), SEQUENCE(COLUMNS(AQ159:BL159)), FALSE), {""charttype"",""column""; ""color"",""chartreuse""; ""ymin"", 0; ""ymax"", 1.01; ""highcolo"&amp;"r"", ""darkgreen""; ""lowcolor"", ""red""}), """")"),"")</f>
        <v/>
      </c>
      <c r="B159" s="17" t="str">
        <f t="shared" si="4"/>
        <v/>
      </c>
      <c r="C159" s="1" t="s">
        <v>766</v>
      </c>
      <c r="D159" s="34" t="str">
        <f>IFERROR(__xludf.DUMMYFUNCTION("IFERROR(GOOGLEFINANCE(C159, ""NAME""))"),"Hanmi Financial Corp")</f>
        <v>Hanmi Financial Corp</v>
      </c>
      <c r="E159" s="30" t="s">
        <v>268</v>
      </c>
      <c r="F159" s="33" t="str">
        <f>IFERROR(__xludf.DUMMYFUNCTION("( (GOOGLEFINANCE(C159, ""price"") - Q159) / Q159 ) / (R159 / 100)"),"Loading...")</f>
        <v>Loading...</v>
      </c>
      <c r="G159" s="20" t="str">
        <f>IFERROR(__xludf.DUMMYFUNCTION("AVERAGE(ARRAYFORMULA(100 * (QUERY(GOOGLEFINANCE(C159, ""high"", TODAY()-40, TODAY()), ""SELECT Col2 WHERE Col2 IS NOT NULL ORDER BY Col1 DESC LIMIT 20"", 0) / QUERY(GOOGLEFINANCE(C159, ""low"", TODAY()-40, TODAY()), ""SELECT Col2 WHERE Col2 IS NOT NULL OR"&amp;"DER BY Col1 DESC LIMIT 20"", 0) - 1)))"),"#N/A")</f>
        <v>#N/A</v>
      </c>
      <c r="H159" s="35" t="str">
        <f t="shared" si="6"/>
        <v/>
      </c>
      <c r="I159" s="36" t="str">
        <f t="shared" si="7"/>
        <v/>
      </c>
      <c r="J159" s="37" t="str">
        <f>IFERROR(__xludf.DUMMYFUNCTION("IFERROR(
  IF(C159="""",, 
    IFERROR(
      GOOGLEFINANCE(C159, ""price"") * GOOGLEFINANCE(C159, ""volumeavg""), 
      GOOGLEFINANCE(C159, ""price"") * AVERAGE(QUERY(GOOGLEFINANCE(C159, ""volume"", TODAY()-40, TODAY()), ""SELECT Col2 WHERE Col2 IS NOT "&amp;"NULL ORDER BY Col1 DESC LIMIT 20"", 0))
    )
  ), 
"""")"),"")</f>
        <v/>
      </c>
      <c r="K159" s="21" t="str">
        <f>IFERROR(__xludf.DUMMYFUNCTION("IFERROR(GOOGLEFINANCE(C159, ""changepct"") / 100, """")"),"")</f>
        <v/>
      </c>
      <c r="L159" s="21" t="str">
        <f>IFERROR(__xludf.DUMMYFUNCTION("IFERROR((GOOGLEFINANCE(C159, ""price"") / INDEX(GOOGLEFINANCE(C159, ""price"", TODAY()-7, TODAY()), 2, 2)) - 1, """")"),"")</f>
        <v/>
      </c>
      <c r="M159" s="21" t="str">
        <f>IFERROR(__xludf.DUMMYFUNCTION("IFERROR((GOOGLEFINANCE(C159, ""price"") / INDEX(GOOGLEFINANCE(C159, ""price"", EDATE(TODAY(), -1), TODAY()), 2, 2)) - 1, """")"),"")</f>
        <v/>
      </c>
      <c r="N159" s="21" t="str">
        <f>IFERROR(__xludf.DUMMYFUNCTION("IFERROR((GOOGLEFINANCE(C159, ""price"") / INDEX(GOOGLEFINANCE(C159, ""price"", EDATE(TODAY(), -3), TODAY()), 2, 2)) - 1, """")"),"")</f>
        <v/>
      </c>
      <c r="O159" s="21" t="str">
        <f>IFERROR(__xludf.DUMMYFUNCTION("IFERROR((GOOGLEFINANCE(C159, ""price"") / INDEX(GOOGLEFINANCE(C159, ""price"", EDATE(TODAY(), -6), TODAY()), 2, 2)) - 1, """")"),"")</f>
        <v/>
      </c>
      <c r="P159" s="21" t="str">
        <f>IFERROR(__xludf.DUMMYFUNCTION("IFERROR((GOOGLEFINANCE(C159, ""price"") / INDEX(GOOGLEFINANCE(C159, ""price"", EDATE(TODAY(), -12), TODAY()), 2, 2)) - 1, """")"),"")</f>
        <v/>
      </c>
      <c r="Q159" s="6" t="str">
        <f>IFERROR(__xludf.DUMMYFUNCTION("AVERAGE(QUERY(GOOGLEFINANCE(C159, ""price"", TODAY()-80, TODAY()), ""SELECT Col2 WHERE Col2 IS NOT NULL ORDER BY Col1 DESC LIMIT 50"", 0))"),"#N/A")</f>
        <v>#N/A</v>
      </c>
      <c r="R159" s="24" t="str">
        <f>IFERROR(__xludf.DUMMYFUNCTION("IFERROR(
  LET(
    data, QUERY(GOOGLEFINANCE(C159,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GOOGLEFINANCE(C159, ""price"")) * 100,
    IF(calc=0, G159, calc)
  ), 
G159)"),"#N/A")</f>
        <v>#N/A</v>
      </c>
      <c r="S159" s="8" t="s">
        <v>15</v>
      </c>
      <c r="T159" s="26" t="str">
        <f>IFERROR(__xludf.DUMMYFUNCTION("IFERROR(TRANSPOSE(QUERY(IFERROR(SORT(GOOGLEFINANCE(C159, ""price"", WORKDAY(TODAY(), -40), TODAY()), 1, FALSE)), ""select Col2 where Col2 is not null limit 22 label Col2 ''"", 0)), """")"),"")</f>
        <v/>
      </c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8"/>
      <c r="AO159" s="28"/>
      <c r="AP159" s="29"/>
      <c r="AQ159" s="29" t="str">
        <f t="shared" ref="AQ159:BL159" si="162">T159/T$2</f>
        <v>#N/A</v>
      </c>
      <c r="AR159" s="29" t="str">
        <f t="shared" si="162"/>
        <v>#DIV/0!</v>
      </c>
      <c r="AS159" s="29" t="str">
        <f t="shared" si="162"/>
        <v>#DIV/0!</v>
      </c>
      <c r="AT159" s="29" t="str">
        <f t="shared" si="162"/>
        <v>#DIV/0!</v>
      </c>
      <c r="AU159" s="29" t="str">
        <f t="shared" si="162"/>
        <v>#DIV/0!</v>
      </c>
      <c r="AV159" s="29" t="str">
        <f t="shared" si="162"/>
        <v>#DIV/0!</v>
      </c>
      <c r="AW159" s="29" t="str">
        <f t="shared" si="162"/>
        <v>#DIV/0!</v>
      </c>
      <c r="AX159" s="29" t="str">
        <f t="shared" si="162"/>
        <v>#DIV/0!</v>
      </c>
      <c r="AY159" s="29" t="str">
        <f t="shared" si="162"/>
        <v>#DIV/0!</v>
      </c>
      <c r="AZ159" s="29" t="str">
        <f t="shared" si="162"/>
        <v>#DIV/0!</v>
      </c>
      <c r="BA159" s="29" t="str">
        <f t="shared" si="162"/>
        <v>#DIV/0!</v>
      </c>
      <c r="BB159" s="29" t="str">
        <f t="shared" si="162"/>
        <v>#DIV/0!</v>
      </c>
      <c r="BC159" s="29" t="str">
        <f t="shared" si="162"/>
        <v>#DIV/0!</v>
      </c>
      <c r="BD159" s="29" t="str">
        <f t="shared" si="162"/>
        <v>#DIV/0!</v>
      </c>
      <c r="BE159" s="29" t="str">
        <f t="shared" si="162"/>
        <v>#DIV/0!</v>
      </c>
      <c r="BF159" s="29" t="str">
        <f t="shared" si="162"/>
        <v>#DIV/0!</v>
      </c>
      <c r="BG159" s="29" t="str">
        <f t="shared" si="162"/>
        <v>#DIV/0!</v>
      </c>
      <c r="BH159" s="29" t="str">
        <f t="shared" si="162"/>
        <v>#DIV/0!</v>
      </c>
      <c r="BI159" s="29" t="str">
        <f t="shared" si="162"/>
        <v>#DIV/0!</v>
      </c>
      <c r="BJ159" s="29" t="str">
        <f t="shared" si="162"/>
        <v>#DIV/0!</v>
      </c>
      <c r="BK159" s="29" t="str">
        <f t="shared" si="162"/>
        <v>#DIV/0!</v>
      </c>
      <c r="BL159" s="29" t="str">
        <f t="shared" si="162"/>
        <v>#DIV/0!</v>
      </c>
      <c r="BM159" s="29" t="str">
        <f t="shared" si="3"/>
        <v>#DIV/0!</v>
      </c>
    </row>
    <row r="160">
      <c r="A160" s="16" t="str">
        <f>IFERROR(__xludf.DUMMYFUNCTION("IFERROR(SPARKLINE(SORT(MAP(TRANSPOSE(AQ160:BL160), LAMBDA(val, IF(ISNUMBER(val), PERCENTRANK(AQ160:BL160, val)+0.01, 0))), SEQUENCE(COLUMNS(AQ160:BL160)), FALSE), {""charttype"",""column""; ""color"",""chartreuse""; ""ymin"", 0; ""ymax"", 1.01; ""highcolo"&amp;"r"", ""darkgreen""; ""lowcolor"", ""red""}), """")"),"")</f>
        <v/>
      </c>
      <c r="B160" s="17" t="str">
        <f t="shared" si="4"/>
        <v/>
      </c>
      <c r="C160" s="1" t="s">
        <v>771</v>
      </c>
      <c r="D160" s="34" t="str">
        <f>IFERROR(__xludf.DUMMYFUNCTION("IFERROR(GOOGLEFINANCE(C160, ""NAME""))"),"Rocket Companies Inc")</f>
        <v>Rocket Companies Inc</v>
      </c>
      <c r="E160" s="30" t="s">
        <v>119</v>
      </c>
      <c r="F160" s="33" t="str">
        <f>IFERROR(__xludf.DUMMYFUNCTION("( (GOOGLEFINANCE(C160, ""price"") - Q160) / Q160 ) / (R160 / 100)"),"Loading...")</f>
        <v>Loading...</v>
      </c>
      <c r="G160" s="20" t="str">
        <f>IFERROR(__xludf.DUMMYFUNCTION("AVERAGE(ARRAYFORMULA(100 * (QUERY(GOOGLEFINANCE(C160, ""high"", TODAY()-40, TODAY()), ""SELECT Col2 WHERE Col2 IS NOT NULL ORDER BY Col1 DESC LIMIT 20"", 0) / QUERY(GOOGLEFINANCE(C160, ""low"", TODAY()-40, TODAY()), ""SELECT Col2 WHERE Col2 IS NOT NULL OR"&amp;"DER BY Col1 DESC LIMIT 20"", 0) - 1)))"),"#N/A")</f>
        <v>#N/A</v>
      </c>
      <c r="H160" s="35" t="str">
        <f t="shared" si="6"/>
        <v/>
      </c>
      <c r="I160" s="36" t="str">
        <f t="shared" si="7"/>
        <v/>
      </c>
      <c r="J160" s="37" t="str">
        <f>IFERROR(__xludf.DUMMYFUNCTION("IFERROR(
  IF(C160="""",, 
    IFERROR(
      GOOGLEFINANCE(C160, ""price"") * GOOGLEFINANCE(C160, ""volumeavg""), 
      GOOGLEFINANCE(C160, ""price"") * AVERAGE(QUERY(GOOGLEFINANCE(C160, ""volume"", TODAY()-40, TODAY()), ""SELECT Col2 WHERE Col2 IS NOT "&amp;"NULL ORDER BY Col1 DESC LIMIT 20"", 0))
    )
  ), 
"""")"),"")</f>
        <v/>
      </c>
      <c r="K160" s="21" t="str">
        <f>IFERROR(__xludf.DUMMYFUNCTION("IFERROR(GOOGLEFINANCE(C160, ""changepct"") / 100, """")"),"")</f>
        <v/>
      </c>
      <c r="L160" s="21" t="str">
        <f>IFERROR(__xludf.DUMMYFUNCTION("IFERROR((GOOGLEFINANCE(C160, ""price"") / INDEX(GOOGLEFINANCE(C160, ""price"", TODAY()-7, TODAY()), 2, 2)) - 1, """")"),"")</f>
        <v/>
      </c>
      <c r="M160" s="21" t="str">
        <f>IFERROR(__xludf.DUMMYFUNCTION("IFERROR((GOOGLEFINANCE(C160, ""price"") / INDEX(GOOGLEFINANCE(C160, ""price"", EDATE(TODAY(), -1), TODAY()), 2, 2)) - 1, """")"),"")</f>
        <v/>
      </c>
      <c r="N160" s="21" t="str">
        <f>IFERROR(__xludf.DUMMYFUNCTION("IFERROR((GOOGLEFINANCE(C160, ""price"") / INDEX(GOOGLEFINANCE(C160, ""price"", EDATE(TODAY(), -3), TODAY()), 2, 2)) - 1, """")"),"")</f>
        <v/>
      </c>
      <c r="O160" s="21" t="str">
        <f>IFERROR(__xludf.DUMMYFUNCTION("IFERROR((GOOGLEFINANCE(C160, ""price"") / INDEX(GOOGLEFINANCE(C160, ""price"", EDATE(TODAY(), -6), TODAY()), 2, 2)) - 1, """")"),"")</f>
        <v/>
      </c>
      <c r="P160" s="21" t="str">
        <f>IFERROR(__xludf.DUMMYFUNCTION("IFERROR((GOOGLEFINANCE(C160, ""price"") / INDEX(GOOGLEFINANCE(C160, ""price"", EDATE(TODAY(), -12), TODAY()), 2, 2)) - 1, """")"),"")</f>
        <v/>
      </c>
      <c r="Q160" s="6" t="str">
        <f>IFERROR(__xludf.DUMMYFUNCTION("AVERAGE(QUERY(GOOGLEFINANCE(C160, ""price"", TODAY()-80, TODAY()), ""SELECT Col2 WHERE Col2 IS NOT NULL ORDER BY Col1 DESC LIMIT 50"", 0))"),"#N/A")</f>
        <v>#N/A</v>
      </c>
      <c r="R160" s="24" t="str">
        <f>IFERROR(__xludf.DUMMYFUNCTION("IFERROR(
  LET(
    data, QUERY(GOOGLEFINANCE(C160,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GOOGLEFINANCE(C160, ""price"")) * 100,
    IF(calc=0, G160, calc)
  ), 
G160)"),"#N/A")</f>
        <v>#N/A</v>
      </c>
      <c r="S160" s="8" t="s">
        <v>15</v>
      </c>
      <c r="T160" s="26" t="str">
        <f>IFERROR(__xludf.DUMMYFUNCTION("IFERROR(TRANSPOSE(QUERY(IFERROR(SORT(GOOGLEFINANCE(C160, ""price"", WORKDAY(TODAY(), -40), TODAY()), 1, FALSE)), ""select Col2 where Col2 is not null limit 22 label Col2 ''"", 0)), """")"),"")</f>
        <v/>
      </c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8"/>
      <c r="AO160" s="28"/>
      <c r="AP160" s="29"/>
      <c r="AQ160" s="29" t="str">
        <f t="shared" ref="AQ160:BL160" si="163">T160/T$2</f>
        <v>#N/A</v>
      </c>
      <c r="AR160" s="29" t="str">
        <f t="shared" si="163"/>
        <v>#DIV/0!</v>
      </c>
      <c r="AS160" s="29" t="str">
        <f t="shared" si="163"/>
        <v>#DIV/0!</v>
      </c>
      <c r="AT160" s="29" t="str">
        <f t="shared" si="163"/>
        <v>#DIV/0!</v>
      </c>
      <c r="AU160" s="29" t="str">
        <f t="shared" si="163"/>
        <v>#DIV/0!</v>
      </c>
      <c r="AV160" s="29" t="str">
        <f t="shared" si="163"/>
        <v>#DIV/0!</v>
      </c>
      <c r="AW160" s="29" t="str">
        <f t="shared" si="163"/>
        <v>#DIV/0!</v>
      </c>
      <c r="AX160" s="29" t="str">
        <f t="shared" si="163"/>
        <v>#DIV/0!</v>
      </c>
      <c r="AY160" s="29" t="str">
        <f t="shared" si="163"/>
        <v>#DIV/0!</v>
      </c>
      <c r="AZ160" s="29" t="str">
        <f t="shared" si="163"/>
        <v>#DIV/0!</v>
      </c>
      <c r="BA160" s="29" t="str">
        <f t="shared" si="163"/>
        <v>#DIV/0!</v>
      </c>
      <c r="BB160" s="29" t="str">
        <f t="shared" si="163"/>
        <v>#DIV/0!</v>
      </c>
      <c r="BC160" s="29" t="str">
        <f t="shared" si="163"/>
        <v>#DIV/0!</v>
      </c>
      <c r="BD160" s="29" t="str">
        <f t="shared" si="163"/>
        <v>#DIV/0!</v>
      </c>
      <c r="BE160" s="29" t="str">
        <f t="shared" si="163"/>
        <v>#DIV/0!</v>
      </c>
      <c r="BF160" s="29" t="str">
        <f t="shared" si="163"/>
        <v>#DIV/0!</v>
      </c>
      <c r="BG160" s="29" t="str">
        <f t="shared" si="163"/>
        <v>#DIV/0!</v>
      </c>
      <c r="BH160" s="29" t="str">
        <f t="shared" si="163"/>
        <v>#DIV/0!</v>
      </c>
      <c r="BI160" s="29" t="str">
        <f t="shared" si="163"/>
        <v>#DIV/0!</v>
      </c>
      <c r="BJ160" s="29" t="str">
        <f t="shared" si="163"/>
        <v>#DIV/0!</v>
      </c>
      <c r="BK160" s="29" t="str">
        <f t="shared" si="163"/>
        <v>#DIV/0!</v>
      </c>
      <c r="BL160" s="29" t="str">
        <f t="shared" si="163"/>
        <v>#DIV/0!</v>
      </c>
      <c r="BM160" s="29" t="str">
        <f t="shared" si="3"/>
        <v>#DIV/0!</v>
      </c>
    </row>
    <row r="161">
      <c r="A161" s="16" t="str">
        <f>IFERROR(__xludf.DUMMYFUNCTION("IFERROR(SPARKLINE(SORT(MAP(TRANSPOSE(AQ161:BL161), LAMBDA(val, IF(ISNUMBER(val), PERCENTRANK(AQ161:BL161, val)+0.01, 0))), SEQUENCE(COLUMNS(AQ161:BL161)), FALSE), {""charttype"",""column""; ""color"",""chartreuse""; ""ymin"", 0; ""ymax"", 1.01; ""highcolo"&amp;"r"", ""darkgreen""; ""lowcolor"", ""red""}), """")"),"")</f>
        <v/>
      </c>
      <c r="B161" s="17" t="str">
        <f t="shared" si="4"/>
        <v/>
      </c>
      <c r="C161" s="1" t="s">
        <v>775</v>
      </c>
      <c r="D161" s="34" t="str">
        <f>IFERROR(__xludf.DUMMYFUNCTION("IFERROR(GOOGLEFINANCE(C161, ""NAME""))"),"Enova International Inc")</f>
        <v>Enova International Inc</v>
      </c>
      <c r="E161" s="30" t="s">
        <v>145</v>
      </c>
      <c r="F161" s="33" t="str">
        <f>IFERROR(__xludf.DUMMYFUNCTION("( (GOOGLEFINANCE(C161, ""price"") - Q161) / Q161 ) / (R161 / 100)"),"Loading...")</f>
        <v>Loading...</v>
      </c>
      <c r="G161" s="20" t="str">
        <f>IFERROR(__xludf.DUMMYFUNCTION("AVERAGE(ARRAYFORMULA(100 * (QUERY(GOOGLEFINANCE(C161, ""high"", TODAY()-40, TODAY()), ""SELECT Col2 WHERE Col2 IS NOT NULL ORDER BY Col1 DESC LIMIT 20"", 0) / QUERY(GOOGLEFINANCE(C161, ""low"", TODAY()-40, TODAY()), ""SELECT Col2 WHERE Col2 IS NOT NULL OR"&amp;"DER BY Col1 DESC LIMIT 20"", 0) - 1)))"),"#N/A")</f>
        <v>#N/A</v>
      </c>
      <c r="H161" s="35" t="str">
        <f t="shared" si="6"/>
        <v/>
      </c>
      <c r="I161" s="36" t="str">
        <f t="shared" si="7"/>
        <v/>
      </c>
      <c r="J161" s="37" t="str">
        <f>IFERROR(__xludf.DUMMYFUNCTION("IFERROR(
  IF(C161="""",, 
    IFERROR(
      GOOGLEFINANCE(C161, ""price"") * GOOGLEFINANCE(C161, ""volumeavg""), 
      GOOGLEFINANCE(C161, ""price"") * AVERAGE(QUERY(GOOGLEFINANCE(C161, ""volume"", TODAY()-40, TODAY()), ""SELECT Col2 WHERE Col2 IS NOT "&amp;"NULL ORDER BY Col1 DESC LIMIT 20"", 0))
    )
  ), 
"""")"),"")</f>
        <v/>
      </c>
      <c r="K161" s="21" t="str">
        <f>IFERROR(__xludf.DUMMYFUNCTION("IFERROR(GOOGLEFINANCE(C161, ""changepct"") / 100, """")"),"")</f>
        <v/>
      </c>
      <c r="L161" s="21" t="str">
        <f>IFERROR(__xludf.DUMMYFUNCTION("IFERROR((GOOGLEFINANCE(C161, ""price"") / INDEX(GOOGLEFINANCE(C161, ""price"", TODAY()-7, TODAY()), 2, 2)) - 1, """")"),"")</f>
        <v/>
      </c>
      <c r="M161" s="21" t="str">
        <f>IFERROR(__xludf.DUMMYFUNCTION("IFERROR((GOOGLEFINANCE(C161, ""price"") / INDEX(GOOGLEFINANCE(C161, ""price"", EDATE(TODAY(), -1), TODAY()), 2, 2)) - 1, """")"),"")</f>
        <v/>
      </c>
      <c r="N161" s="21" t="str">
        <f>IFERROR(__xludf.DUMMYFUNCTION("IFERROR((GOOGLEFINANCE(C161, ""price"") / INDEX(GOOGLEFINANCE(C161, ""price"", EDATE(TODAY(), -3), TODAY()), 2, 2)) - 1, """")"),"")</f>
        <v/>
      </c>
      <c r="O161" s="21" t="str">
        <f>IFERROR(__xludf.DUMMYFUNCTION("IFERROR((GOOGLEFINANCE(C161, ""price"") / INDEX(GOOGLEFINANCE(C161, ""price"", EDATE(TODAY(), -6), TODAY()), 2, 2)) - 1, """")"),"")</f>
        <v/>
      </c>
      <c r="P161" s="21" t="str">
        <f>IFERROR(__xludf.DUMMYFUNCTION("IFERROR((GOOGLEFINANCE(C161, ""price"") / INDEX(GOOGLEFINANCE(C161, ""price"", EDATE(TODAY(), -12), TODAY()), 2, 2)) - 1, """")"),"")</f>
        <v/>
      </c>
      <c r="Q161" s="6" t="str">
        <f>IFERROR(__xludf.DUMMYFUNCTION("AVERAGE(QUERY(GOOGLEFINANCE(C161, ""price"", TODAY()-80, TODAY()), ""SELECT Col2 WHERE Col2 IS NOT NULL ORDER BY Col1 DESC LIMIT 50"", 0))"),"#N/A")</f>
        <v>#N/A</v>
      </c>
      <c r="R161" s="24" t="str">
        <f>IFERROR(__xludf.DUMMYFUNCTION("IFERROR(
  LET(
    data, QUERY(GOOGLEFINANCE(C161,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GOOGLEFINANCE(C161, ""price"")) * 100,
    IF(calc=0, G161, calc)
  ), 
G161)"),"#N/A")</f>
        <v>#N/A</v>
      </c>
      <c r="S161" s="8" t="s">
        <v>15</v>
      </c>
      <c r="T161" s="26" t="str">
        <f>IFERROR(__xludf.DUMMYFUNCTION("IFERROR(TRANSPOSE(QUERY(IFERROR(SORT(GOOGLEFINANCE(C161, ""price"", WORKDAY(TODAY(), -40), TODAY()), 1, FALSE)), ""select Col2 where Col2 is not null limit 22 label Col2 ''"", 0)), """")"),"")</f>
        <v/>
      </c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8"/>
      <c r="AO161" s="28"/>
      <c r="AP161" s="29"/>
      <c r="AQ161" s="29" t="str">
        <f t="shared" ref="AQ161:BL161" si="164">T161/T$2</f>
        <v>#N/A</v>
      </c>
      <c r="AR161" s="29" t="str">
        <f t="shared" si="164"/>
        <v>#DIV/0!</v>
      </c>
      <c r="AS161" s="29" t="str">
        <f t="shared" si="164"/>
        <v>#DIV/0!</v>
      </c>
      <c r="AT161" s="29" t="str">
        <f t="shared" si="164"/>
        <v>#DIV/0!</v>
      </c>
      <c r="AU161" s="29" t="str">
        <f t="shared" si="164"/>
        <v>#DIV/0!</v>
      </c>
      <c r="AV161" s="29" t="str">
        <f t="shared" si="164"/>
        <v>#DIV/0!</v>
      </c>
      <c r="AW161" s="29" t="str">
        <f t="shared" si="164"/>
        <v>#DIV/0!</v>
      </c>
      <c r="AX161" s="29" t="str">
        <f t="shared" si="164"/>
        <v>#DIV/0!</v>
      </c>
      <c r="AY161" s="29" t="str">
        <f t="shared" si="164"/>
        <v>#DIV/0!</v>
      </c>
      <c r="AZ161" s="29" t="str">
        <f t="shared" si="164"/>
        <v>#DIV/0!</v>
      </c>
      <c r="BA161" s="29" t="str">
        <f t="shared" si="164"/>
        <v>#DIV/0!</v>
      </c>
      <c r="BB161" s="29" t="str">
        <f t="shared" si="164"/>
        <v>#DIV/0!</v>
      </c>
      <c r="BC161" s="29" t="str">
        <f t="shared" si="164"/>
        <v>#DIV/0!</v>
      </c>
      <c r="BD161" s="29" t="str">
        <f t="shared" si="164"/>
        <v>#DIV/0!</v>
      </c>
      <c r="BE161" s="29" t="str">
        <f t="shared" si="164"/>
        <v>#DIV/0!</v>
      </c>
      <c r="BF161" s="29" t="str">
        <f t="shared" si="164"/>
        <v>#DIV/0!</v>
      </c>
      <c r="BG161" s="29" t="str">
        <f t="shared" si="164"/>
        <v>#DIV/0!</v>
      </c>
      <c r="BH161" s="29" t="str">
        <f t="shared" si="164"/>
        <v>#DIV/0!</v>
      </c>
      <c r="BI161" s="29" t="str">
        <f t="shared" si="164"/>
        <v>#DIV/0!</v>
      </c>
      <c r="BJ161" s="29" t="str">
        <f t="shared" si="164"/>
        <v>#DIV/0!</v>
      </c>
      <c r="BK161" s="29" t="str">
        <f t="shared" si="164"/>
        <v>#DIV/0!</v>
      </c>
      <c r="BL161" s="29" t="str">
        <f t="shared" si="164"/>
        <v>#DIV/0!</v>
      </c>
      <c r="BM161" s="29" t="str">
        <f t="shared" si="3"/>
        <v>#DIV/0!</v>
      </c>
    </row>
    <row r="162">
      <c r="A162" s="16" t="str">
        <f>IFERROR(__xludf.DUMMYFUNCTION("IFERROR(SPARKLINE(SORT(MAP(TRANSPOSE(AQ162:BL162), LAMBDA(val, IF(ISNUMBER(val), PERCENTRANK(AQ162:BL162, val)+0.01, 0))), SEQUENCE(COLUMNS(AQ162:BL162)), FALSE), {""charttype"",""column""; ""color"",""chartreuse""; ""ymin"", 0; ""ymax"", 1.01; ""highcolo"&amp;"r"", ""darkgreen""; ""lowcolor"", ""red""}), """")"),"")</f>
        <v/>
      </c>
      <c r="B162" s="17" t="str">
        <f t="shared" si="4"/>
        <v/>
      </c>
      <c r="C162" s="1" t="s">
        <v>779</v>
      </c>
      <c r="D162" s="34" t="str">
        <f>IFERROR(__xludf.DUMMYFUNCTION("IFERROR(GOOGLEFINANCE(C162, ""NAME""))"),"Adrad Holdings Ltd")</f>
        <v>Adrad Holdings Ltd</v>
      </c>
      <c r="E162" s="30" t="s">
        <v>82</v>
      </c>
      <c r="F162" s="33" t="str">
        <f>IFERROR(__xludf.DUMMYFUNCTION("( (GOOGLEFINANCE(C162, ""price"") - Q162) / Q162 ) / (R162 / 100)"),"Loading...")</f>
        <v>Loading...</v>
      </c>
      <c r="G162" s="20" t="str">
        <f>IFERROR(__xludf.DUMMYFUNCTION("AVERAGE(ARRAYFORMULA(100 * (QUERY(GOOGLEFINANCE(C162, ""high"", TODAY()-40, TODAY()), ""SELECT Col2 WHERE Col2 IS NOT NULL ORDER BY Col1 DESC LIMIT 20"", 0) / QUERY(GOOGLEFINANCE(C162, ""low"", TODAY()-40, TODAY()), ""SELECT Col2 WHERE Col2 IS NOT NULL OR"&amp;"DER BY Col1 DESC LIMIT 20"", 0) - 1)))"),"#N/A")</f>
        <v>#N/A</v>
      </c>
      <c r="H162" s="35" t="str">
        <f t="shared" si="6"/>
        <v/>
      </c>
      <c r="I162" s="36" t="str">
        <f t="shared" si="7"/>
        <v/>
      </c>
      <c r="J162" s="37" t="str">
        <f>IFERROR(__xludf.DUMMYFUNCTION("IFERROR(
  IF(C162="""",, 
    IFERROR(
      GOOGLEFINANCE(C162, ""price"") * GOOGLEFINANCE(C162, ""volumeavg""), 
      GOOGLEFINANCE(C162, ""price"") * AVERAGE(QUERY(GOOGLEFINANCE(C162, ""volume"", TODAY()-40, TODAY()), ""SELECT Col2 WHERE Col2 IS NOT "&amp;"NULL ORDER BY Col1 DESC LIMIT 20"", 0))
    )
  ), 
"""")"),"")</f>
        <v/>
      </c>
      <c r="K162" s="21" t="str">
        <f>IFERROR(__xludf.DUMMYFUNCTION("IFERROR(GOOGLEFINANCE(C162, ""changepct"") / 100, """")"),"")</f>
        <v/>
      </c>
      <c r="L162" s="21" t="str">
        <f>IFERROR(__xludf.DUMMYFUNCTION("IFERROR((GOOGLEFINANCE(C162, ""price"") / INDEX(GOOGLEFINANCE(C162, ""price"", TODAY()-7, TODAY()), 2, 2)) - 1, """")"),"")</f>
        <v/>
      </c>
      <c r="M162" s="21" t="str">
        <f>IFERROR(__xludf.DUMMYFUNCTION("IFERROR((GOOGLEFINANCE(C162, ""price"") / INDEX(GOOGLEFINANCE(C162, ""price"", EDATE(TODAY(), -1), TODAY()), 2, 2)) - 1, """")"),"")</f>
        <v/>
      </c>
      <c r="N162" s="21" t="str">
        <f>IFERROR(__xludf.DUMMYFUNCTION("IFERROR((GOOGLEFINANCE(C162, ""price"") / INDEX(GOOGLEFINANCE(C162, ""price"", EDATE(TODAY(), -3), TODAY()), 2, 2)) - 1, """")"),"")</f>
        <v/>
      </c>
      <c r="O162" s="21" t="str">
        <f>IFERROR(__xludf.DUMMYFUNCTION("IFERROR((GOOGLEFINANCE(C162, ""price"") / INDEX(GOOGLEFINANCE(C162, ""price"", EDATE(TODAY(), -6), TODAY()), 2, 2)) - 1, """")"),"")</f>
        <v/>
      </c>
      <c r="P162" s="21" t="str">
        <f>IFERROR(__xludf.DUMMYFUNCTION("IFERROR((GOOGLEFINANCE(C162, ""price"") / INDEX(GOOGLEFINANCE(C162, ""price"", EDATE(TODAY(), -12), TODAY()), 2, 2)) - 1, """")"),"")</f>
        <v/>
      </c>
      <c r="Q162" s="6" t="str">
        <f>IFERROR(__xludf.DUMMYFUNCTION("AVERAGE(QUERY(GOOGLEFINANCE(C162, ""price"", TODAY()-80, TODAY()), ""SELECT Col2 WHERE Col2 IS NOT NULL ORDER BY Col1 DESC LIMIT 50"", 0))"),"#N/A")</f>
        <v>#N/A</v>
      </c>
      <c r="R162" s="24" t="str">
        <f>IFERROR(__xludf.DUMMYFUNCTION("IFERROR(
  LET(
    data, QUERY(GOOGLEFINANCE(C162,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GOOGLEFINANCE(C162, ""price"")) * 100,
    IF(calc=0, G162, calc)
  ), 
G162)"),"#N/A")</f>
        <v>#N/A</v>
      </c>
      <c r="S162" s="8" t="s">
        <v>15</v>
      </c>
      <c r="T162" s="26" t="str">
        <f>IFERROR(__xludf.DUMMYFUNCTION("IFERROR(TRANSPOSE(QUERY(IFERROR(SORT(GOOGLEFINANCE(C162, ""price"", WORKDAY(TODAY(), -40), TODAY()), 1, FALSE)), ""select Col2 where Col2 is not null limit 22 label Col2 ''"", 0)), """")"),"")</f>
        <v/>
      </c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8"/>
      <c r="AO162" s="28"/>
      <c r="AP162" s="29"/>
      <c r="AQ162" s="29" t="str">
        <f t="shared" ref="AQ162:BL162" si="165">T162/T$2</f>
        <v>#N/A</v>
      </c>
      <c r="AR162" s="29" t="str">
        <f t="shared" si="165"/>
        <v>#DIV/0!</v>
      </c>
      <c r="AS162" s="29" t="str">
        <f t="shared" si="165"/>
        <v>#DIV/0!</v>
      </c>
      <c r="AT162" s="29" t="str">
        <f t="shared" si="165"/>
        <v>#DIV/0!</v>
      </c>
      <c r="AU162" s="29" t="str">
        <f t="shared" si="165"/>
        <v>#DIV/0!</v>
      </c>
      <c r="AV162" s="29" t="str">
        <f t="shared" si="165"/>
        <v>#DIV/0!</v>
      </c>
      <c r="AW162" s="29" t="str">
        <f t="shared" si="165"/>
        <v>#DIV/0!</v>
      </c>
      <c r="AX162" s="29" t="str">
        <f t="shared" si="165"/>
        <v>#DIV/0!</v>
      </c>
      <c r="AY162" s="29" t="str">
        <f t="shared" si="165"/>
        <v>#DIV/0!</v>
      </c>
      <c r="AZ162" s="29" t="str">
        <f t="shared" si="165"/>
        <v>#DIV/0!</v>
      </c>
      <c r="BA162" s="29" t="str">
        <f t="shared" si="165"/>
        <v>#DIV/0!</v>
      </c>
      <c r="BB162" s="29" t="str">
        <f t="shared" si="165"/>
        <v>#DIV/0!</v>
      </c>
      <c r="BC162" s="29" t="str">
        <f t="shared" si="165"/>
        <v>#DIV/0!</v>
      </c>
      <c r="BD162" s="29" t="str">
        <f t="shared" si="165"/>
        <v>#DIV/0!</v>
      </c>
      <c r="BE162" s="29" t="str">
        <f t="shared" si="165"/>
        <v>#DIV/0!</v>
      </c>
      <c r="BF162" s="29" t="str">
        <f t="shared" si="165"/>
        <v>#DIV/0!</v>
      </c>
      <c r="BG162" s="29" t="str">
        <f t="shared" si="165"/>
        <v>#DIV/0!</v>
      </c>
      <c r="BH162" s="29" t="str">
        <f t="shared" si="165"/>
        <v>#DIV/0!</v>
      </c>
      <c r="BI162" s="29" t="str">
        <f t="shared" si="165"/>
        <v>#DIV/0!</v>
      </c>
      <c r="BJ162" s="29" t="str">
        <f t="shared" si="165"/>
        <v>#DIV/0!</v>
      </c>
      <c r="BK162" s="29" t="str">
        <f t="shared" si="165"/>
        <v>#DIV/0!</v>
      </c>
      <c r="BL162" s="29" t="str">
        <f t="shared" si="165"/>
        <v>#DIV/0!</v>
      </c>
      <c r="BM162" s="29" t="str">
        <f t="shared" si="3"/>
        <v>#DIV/0!</v>
      </c>
    </row>
    <row r="163">
      <c r="A163" s="16" t="str">
        <f>IFERROR(__xludf.DUMMYFUNCTION("IFERROR(SPARKLINE(SORT(MAP(TRANSPOSE(AQ163:BL163), LAMBDA(val, IF(ISNUMBER(val), PERCENTRANK(AQ163:BL163, val)+0.01, 0))), SEQUENCE(COLUMNS(AQ163:BL163)), FALSE), {""charttype"",""column""; ""color"",""chartreuse""; ""ymin"", 0; ""ymax"", 1.01; ""highcolo"&amp;"r"", ""darkgreen""; ""lowcolor"", ""red""}), """")"),"")</f>
        <v/>
      </c>
      <c r="B163" s="17" t="str">
        <f t="shared" si="4"/>
        <v/>
      </c>
      <c r="C163" s="1" t="s">
        <v>783</v>
      </c>
      <c r="D163" s="34" t="str">
        <f>IFERROR(__xludf.DUMMYFUNCTION("IFERROR(GOOGLEFINANCE(C163, ""NAME""))"),"Mastercard Inc")</f>
        <v>Mastercard Inc</v>
      </c>
      <c r="E163" s="30" t="s">
        <v>145</v>
      </c>
      <c r="F163" s="33" t="str">
        <f>IFERROR(__xludf.DUMMYFUNCTION("( (GOOGLEFINANCE(C163, ""price"") - Q163) / Q163 ) / (R163 / 100)"),"Loading...")</f>
        <v>Loading...</v>
      </c>
      <c r="G163" s="20" t="str">
        <f>IFERROR(__xludf.DUMMYFUNCTION("AVERAGE(ARRAYFORMULA(100 * (QUERY(GOOGLEFINANCE(C163, ""high"", TODAY()-40, TODAY()), ""SELECT Col2 WHERE Col2 IS NOT NULL ORDER BY Col1 DESC LIMIT 20"", 0) / QUERY(GOOGLEFINANCE(C163, ""low"", TODAY()-40, TODAY()), ""SELECT Col2 WHERE Col2 IS NOT NULL OR"&amp;"DER BY Col1 DESC LIMIT 20"", 0) - 1)))"),"#N/A")</f>
        <v>#N/A</v>
      </c>
      <c r="H163" s="35" t="str">
        <f t="shared" si="6"/>
        <v/>
      </c>
      <c r="I163" s="36" t="str">
        <f t="shared" si="7"/>
        <v/>
      </c>
      <c r="J163" s="37" t="str">
        <f>IFERROR(__xludf.DUMMYFUNCTION("IFERROR(
  IF(C163="""",, 
    IFERROR(
      GOOGLEFINANCE(C163, ""price"") * GOOGLEFINANCE(C163, ""volumeavg""), 
      GOOGLEFINANCE(C163, ""price"") * AVERAGE(QUERY(GOOGLEFINANCE(C163, ""volume"", TODAY()-40, TODAY()), ""SELECT Col2 WHERE Col2 IS NOT "&amp;"NULL ORDER BY Col1 DESC LIMIT 20"", 0))
    )
  ), 
"""")"),"")</f>
        <v/>
      </c>
      <c r="K163" s="21" t="str">
        <f>IFERROR(__xludf.DUMMYFUNCTION("IFERROR(GOOGLEFINANCE(C163, ""changepct"") / 100, """")"),"")</f>
        <v/>
      </c>
      <c r="L163" s="21" t="str">
        <f>IFERROR(__xludf.DUMMYFUNCTION("IFERROR((GOOGLEFINANCE(C163, ""price"") / INDEX(GOOGLEFINANCE(C163, ""price"", TODAY()-7, TODAY()), 2, 2)) - 1, """")"),"")</f>
        <v/>
      </c>
      <c r="M163" s="21" t="str">
        <f>IFERROR(__xludf.DUMMYFUNCTION("IFERROR((GOOGLEFINANCE(C163, ""price"") / INDEX(GOOGLEFINANCE(C163, ""price"", EDATE(TODAY(), -1), TODAY()), 2, 2)) - 1, """")"),"")</f>
        <v/>
      </c>
      <c r="N163" s="21" t="str">
        <f>IFERROR(__xludf.DUMMYFUNCTION("IFERROR((GOOGLEFINANCE(C163, ""price"") / INDEX(GOOGLEFINANCE(C163, ""price"", EDATE(TODAY(), -3), TODAY()), 2, 2)) - 1, """")"),"")</f>
        <v/>
      </c>
      <c r="O163" s="21" t="str">
        <f>IFERROR(__xludf.DUMMYFUNCTION("IFERROR((GOOGLEFINANCE(C163, ""price"") / INDEX(GOOGLEFINANCE(C163, ""price"", EDATE(TODAY(), -6), TODAY()), 2, 2)) - 1, """")"),"")</f>
        <v/>
      </c>
      <c r="P163" s="21" t="str">
        <f>IFERROR(__xludf.DUMMYFUNCTION("IFERROR((GOOGLEFINANCE(C163, ""price"") / INDEX(GOOGLEFINANCE(C163, ""price"", EDATE(TODAY(), -12), TODAY()), 2, 2)) - 1, """")"),"")</f>
        <v/>
      </c>
      <c r="Q163" s="6" t="str">
        <f>IFERROR(__xludf.DUMMYFUNCTION("AVERAGE(QUERY(GOOGLEFINANCE(C163, ""price"", TODAY()-80, TODAY()), ""SELECT Col2 WHERE Col2 IS NOT NULL ORDER BY Col1 DESC LIMIT 50"", 0))"),"#N/A")</f>
        <v>#N/A</v>
      </c>
      <c r="R163" s="24" t="str">
        <f>IFERROR(__xludf.DUMMYFUNCTION("IFERROR(
  LET(
    data, QUERY(GOOGLEFINANCE(C163,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GOOGLEFINANCE(C163, ""price"")) * 100,
    IF(calc=0, G163, calc)
  ), 
G163)"),"#N/A")</f>
        <v>#N/A</v>
      </c>
      <c r="S163" s="8" t="s">
        <v>15</v>
      </c>
      <c r="T163" s="26" t="str">
        <f>IFERROR(__xludf.DUMMYFUNCTION("IFERROR(TRANSPOSE(QUERY(IFERROR(SORT(GOOGLEFINANCE(C163, ""price"", WORKDAY(TODAY(), -40), TODAY()), 1, FALSE)), ""select Col2 where Col2 is not null limit 22 label Col2 ''"", 0)), """")"),"")</f>
        <v/>
      </c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8"/>
      <c r="AO163" s="28"/>
      <c r="AP163" s="29"/>
      <c r="AQ163" s="29" t="str">
        <f t="shared" ref="AQ163:BL163" si="166">T163/T$2</f>
        <v>#N/A</v>
      </c>
      <c r="AR163" s="29" t="str">
        <f t="shared" si="166"/>
        <v>#DIV/0!</v>
      </c>
      <c r="AS163" s="29" t="str">
        <f t="shared" si="166"/>
        <v>#DIV/0!</v>
      </c>
      <c r="AT163" s="29" t="str">
        <f t="shared" si="166"/>
        <v>#DIV/0!</v>
      </c>
      <c r="AU163" s="29" t="str">
        <f t="shared" si="166"/>
        <v>#DIV/0!</v>
      </c>
      <c r="AV163" s="29" t="str">
        <f t="shared" si="166"/>
        <v>#DIV/0!</v>
      </c>
      <c r="AW163" s="29" t="str">
        <f t="shared" si="166"/>
        <v>#DIV/0!</v>
      </c>
      <c r="AX163" s="29" t="str">
        <f t="shared" si="166"/>
        <v>#DIV/0!</v>
      </c>
      <c r="AY163" s="29" t="str">
        <f t="shared" si="166"/>
        <v>#DIV/0!</v>
      </c>
      <c r="AZ163" s="29" t="str">
        <f t="shared" si="166"/>
        <v>#DIV/0!</v>
      </c>
      <c r="BA163" s="29" t="str">
        <f t="shared" si="166"/>
        <v>#DIV/0!</v>
      </c>
      <c r="BB163" s="29" t="str">
        <f t="shared" si="166"/>
        <v>#DIV/0!</v>
      </c>
      <c r="BC163" s="29" t="str">
        <f t="shared" si="166"/>
        <v>#DIV/0!</v>
      </c>
      <c r="BD163" s="29" t="str">
        <f t="shared" si="166"/>
        <v>#DIV/0!</v>
      </c>
      <c r="BE163" s="29" t="str">
        <f t="shared" si="166"/>
        <v>#DIV/0!</v>
      </c>
      <c r="BF163" s="29" t="str">
        <f t="shared" si="166"/>
        <v>#DIV/0!</v>
      </c>
      <c r="BG163" s="29" t="str">
        <f t="shared" si="166"/>
        <v>#DIV/0!</v>
      </c>
      <c r="BH163" s="29" t="str">
        <f t="shared" si="166"/>
        <v>#DIV/0!</v>
      </c>
      <c r="BI163" s="29" t="str">
        <f t="shared" si="166"/>
        <v>#DIV/0!</v>
      </c>
      <c r="BJ163" s="29" t="str">
        <f t="shared" si="166"/>
        <v>#DIV/0!</v>
      </c>
      <c r="BK163" s="29" t="str">
        <f t="shared" si="166"/>
        <v>#DIV/0!</v>
      </c>
      <c r="BL163" s="29" t="str">
        <f t="shared" si="166"/>
        <v>#DIV/0!</v>
      </c>
      <c r="BM163" s="29" t="str">
        <f t="shared" si="3"/>
        <v>#DIV/0!</v>
      </c>
    </row>
    <row r="164">
      <c r="A164" s="16" t="str">
        <f>IFERROR(__xludf.DUMMYFUNCTION("IFERROR(SPARKLINE(SORT(MAP(TRANSPOSE(AQ164:BL164), LAMBDA(val, IF(ISNUMBER(val), PERCENTRANK(AQ164:BL164, val)+0.01, 0))), SEQUENCE(COLUMNS(AQ164:BL164)), FALSE), {""charttype"",""column""; ""color"",""chartreuse""; ""ymin"", 0; ""ymax"", 1.01; ""highcolo"&amp;"r"", ""darkgreen""; ""lowcolor"", ""red""}), """")"),"")</f>
        <v/>
      </c>
      <c r="B164" s="17" t="str">
        <f t="shared" si="4"/>
        <v/>
      </c>
      <c r="C164" s="1" t="s">
        <v>789</v>
      </c>
      <c r="D164" s="34" t="str">
        <f>IFERROR(__xludf.DUMMYFUNCTION("IFERROR(GOOGLEFINANCE(C164, ""NAME""))"),"Moody's Corp")</f>
        <v>Moody's Corp</v>
      </c>
      <c r="E164" s="30" t="s">
        <v>54</v>
      </c>
      <c r="F164" s="33" t="str">
        <f>IFERROR(__xludf.DUMMYFUNCTION("( (GOOGLEFINANCE(C164, ""price"") - Q164) / Q164 ) / (R164 / 100)"),"Loading...")</f>
        <v>Loading...</v>
      </c>
      <c r="G164" s="20" t="str">
        <f>IFERROR(__xludf.DUMMYFUNCTION("AVERAGE(ARRAYFORMULA(100 * (QUERY(GOOGLEFINANCE(C164, ""high"", TODAY()-40, TODAY()), ""SELECT Col2 WHERE Col2 IS NOT NULL ORDER BY Col1 DESC LIMIT 20"", 0) / QUERY(GOOGLEFINANCE(C164, ""low"", TODAY()-40, TODAY()), ""SELECT Col2 WHERE Col2 IS NOT NULL OR"&amp;"DER BY Col1 DESC LIMIT 20"", 0) - 1)))"),"#N/A")</f>
        <v>#N/A</v>
      </c>
      <c r="H164" s="35" t="str">
        <f t="shared" si="6"/>
        <v/>
      </c>
      <c r="I164" s="36" t="str">
        <f t="shared" si="7"/>
        <v/>
      </c>
      <c r="J164" s="37" t="str">
        <f>IFERROR(__xludf.DUMMYFUNCTION("IFERROR(
  IF(C164="""",, 
    IFERROR(
      GOOGLEFINANCE(C164, ""price"") * GOOGLEFINANCE(C164, ""volumeavg""), 
      GOOGLEFINANCE(C164, ""price"") * AVERAGE(QUERY(GOOGLEFINANCE(C164, ""volume"", TODAY()-40, TODAY()), ""SELECT Col2 WHERE Col2 IS NOT "&amp;"NULL ORDER BY Col1 DESC LIMIT 20"", 0))
    )
  ), 
"""")"),"")</f>
        <v/>
      </c>
      <c r="K164" s="21" t="str">
        <f>IFERROR(__xludf.DUMMYFUNCTION("IFERROR(GOOGLEFINANCE(C164, ""changepct"") / 100, """")"),"")</f>
        <v/>
      </c>
      <c r="L164" s="21" t="str">
        <f>IFERROR(__xludf.DUMMYFUNCTION("IFERROR((GOOGLEFINANCE(C164, ""price"") / INDEX(GOOGLEFINANCE(C164, ""price"", TODAY()-7, TODAY()), 2, 2)) - 1, """")"),"")</f>
        <v/>
      </c>
      <c r="M164" s="21" t="str">
        <f>IFERROR(__xludf.DUMMYFUNCTION("IFERROR((GOOGLEFINANCE(C164, ""price"") / INDEX(GOOGLEFINANCE(C164, ""price"", EDATE(TODAY(), -1), TODAY()), 2, 2)) - 1, """")"),"")</f>
        <v/>
      </c>
      <c r="N164" s="21" t="str">
        <f>IFERROR(__xludf.DUMMYFUNCTION("IFERROR((GOOGLEFINANCE(C164, ""price"") / INDEX(GOOGLEFINANCE(C164, ""price"", EDATE(TODAY(), -3), TODAY()), 2, 2)) - 1, """")"),"")</f>
        <v/>
      </c>
      <c r="O164" s="21" t="str">
        <f>IFERROR(__xludf.DUMMYFUNCTION("IFERROR((GOOGLEFINANCE(C164, ""price"") / INDEX(GOOGLEFINANCE(C164, ""price"", EDATE(TODAY(), -6), TODAY()), 2, 2)) - 1, """")"),"")</f>
        <v/>
      </c>
      <c r="P164" s="21" t="str">
        <f>IFERROR(__xludf.DUMMYFUNCTION("IFERROR((GOOGLEFINANCE(C164, ""price"") / INDEX(GOOGLEFINANCE(C164, ""price"", EDATE(TODAY(), -12), TODAY()), 2, 2)) - 1, """")"),"")</f>
        <v/>
      </c>
      <c r="Q164" s="6" t="str">
        <f>IFERROR(__xludf.DUMMYFUNCTION("AVERAGE(QUERY(GOOGLEFINANCE(C164, ""price"", TODAY()-80, TODAY()), ""SELECT Col2 WHERE Col2 IS NOT NULL ORDER BY Col1 DESC LIMIT 50"", 0))"),"#N/A")</f>
        <v>#N/A</v>
      </c>
      <c r="R164" s="24" t="str">
        <f>IFERROR(__xludf.DUMMYFUNCTION("IFERROR(
  LET(
    data, QUERY(GOOGLEFINANCE(C164,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GOOGLEFINANCE(C164, ""price"")) * 100,
    IF(calc=0, G164, calc)
  ), 
G164)"),"#N/A")</f>
        <v>#N/A</v>
      </c>
      <c r="S164" s="8" t="s">
        <v>15</v>
      </c>
      <c r="T164" s="26" t="str">
        <f>IFERROR(__xludf.DUMMYFUNCTION("IFERROR(TRANSPOSE(QUERY(IFERROR(SORT(GOOGLEFINANCE(C164, ""price"", WORKDAY(TODAY(), -40), TODAY()), 1, FALSE)), ""select Col2 where Col2 is not null limit 22 label Col2 ''"", 0)), """")"),"")</f>
        <v/>
      </c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8"/>
      <c r="AO164" s="28"/>
      <c r="AP164" s="29"/>
      <c r="AQ164" s="29" t="str">
        <f t="shared" ref="AQ164:BL164" si="167">T164/T$2</f>
        <v>#N/A</v>
      </c>
      <c r="AR164" s="29" t="str">
        <f t="shared" si="167"/>
        <v>#DIV/0!</v>
      </c>
      <c r="AS164" s="29" t="str">
        <f t="shared" si="167"/>
        <v>#DIV/0!</v>
      </c>
      <c r="AT164" s="29" t="str">
        <f t="shared" si="167"/>
        <v>#DIV/0!</v>
      </c>
      <c r="AU164" s="29" t="str">
        <f t="shared" si="167"/>
        <v>#DIV/0!</v>
      </c>
      <c r="AV164" s="29" t="str">
        <f t="shared" si="167"/>
        <v>#DIV/0!</v>
      </c>
      <c r="AW164" s="29" t="str">
        <f t="shared" si="167"/>
        <v>#DIV/0!</v>
      </c>
      <c r="AX164" s="29" t="str">
        <f t="shared" si="167"/>
        <v>#DIV/0!</v>
      </c>
      <c r="AY164" s="29" t="str">
        <f t="shared" si="167"/>
        <v>#DIV/0!</v>
      </c>
      <c r="AZ164" s="29" t="str">
        <f t="shared" si="167"/>
        <v>#DIV/0!</v>
      </c>
      <c r="BA164" s="29" t="str">
        <f t="shared" si="167"/>
        <v>#DIV/0!</v>
      </c>
      <c r="BB164" s="29" t="str">
        <f t="shared" si="167"/>
        <v>#DIV/0!</v>
      </c>
      <c r="BC164" s="29" t="str">
        <f t="shared" si="167"/>
        <v>#DIV/0!</v>
      </c>
      <c r="BD164" s="29" t="str">
        <f t="shared" si="167"/>
        <v>#DIV/0!</v>
      </c>
      <c r="BE164" s="29" t="str">
        <f t="shared" si="167"/>
        <v>#DIV/0!</v>
      </c>
      <c r="BF164" s="29" t="str">
        <f t="shared" si="167"/>
        <v>#DIV/0!</v>
      </c>
      <c r="BG164" s="29" t="str">
        <f t="shared" si="167"/>
        <v>#DIV/0!</v>
      </c>
      <c r="BH164" s="29" t="str">
        <f t="shared" si="167"/>
        <v>#DIV/0!</v>
      </c>
      <c r="BI164" s="29" t="str">
        <f t="shared" si="167"/>
        <v>#DIV/0!</v>
      </c>
      <c r="BJ164" s="29" t="str">
        <f t="shared" si="167"/>
        <v>#DIV/0!</v>
      </c>
      <c r="BK164" s="29" t="str">
        <f t="shared" si="167"/>
        <v>#DIV/0!</v>
      </c>
      <c r="BL164" s="29" t="str">
        <f t="shared" si="167"/>
        <v>#DIV/0!</v>
      </c>
      <c r="BM164" s="29" t="str">
        <f t="shared" si="3"/>
        <v>#DIV/0!</v>
      </c>
    </row>
    <row r="165">
      <c r="A165" s="16" t="str">
        <f>IFERROR(__xludf.DUMMYFUNCTION("IFERROR(SPARKLINE(SORT(MAP(TRANSPOSE(AQ165:BL165), LAMBDA(val, IF(ISNUMBER(val), PERCENTRANK(AQ165:BL165, val)+0.01, 0))), SEQUENCE(COLUMNS(AQ165:BL165)), FALSE), {""charttype"",""column""; ""color"",""chartreuse""; ""ymin"", 0; ""ymax"", 1.01; ""highcolo"&amp;"r"", ""darkgreen""; ""lowcolor"", ""red""}), """")"),"")</f>
        <v/>
      </c>
      <c r="B165" s="17" t="str">
        <f t="shared" si="4"/>
        <v/>
      </c>
      <c r="C165" s="1" t="s">
        <v>795</v>
      </c>
      <c r="D165" s="34" t="str">
        <f>IFERROR(__xludf.DUMMYFUNCTION("IFERROR(GOOGLEFINANCE(C165, ""NAME""))"),"American Coastal Insurance Corp")</f>
        <v>American Coastal Insurance Corp</v>
      </c>
      <c r="E165" s="30" t="s">
        <v>82</v>
      </c>
      <c r="F165" s="33" t="str">
        <f>IFERROR(__xludf.DUMMYFUNCTION("( (GOOGLEFINANCE(C165, ""price"") - Q165) / Q165 ) / (R165 / 100)"),"Loading...")</f>
        <v>Loading...</v>
      </c>
      <c r="G165" s="20" t="str">
        <f>IFERROR(__xludf.DUMMYFUNCTION("AVERAGE(ARRAYFORMULA(100 * (QUERY(GOOGLEFINANCE(C165, ""high"", TODAY()-40, TODAY()), ""SELECT Col2 WHERE Col2 IS NOT NULL ORDER BY Col1 DESC LIMIT 20"", 0) / QUERY(GOOGLEFINANCE(C165, ""low"", TODAY()-40, TODAY()), ""SELECT Col2 WHERE Col2 IS NOT NULL OR"&amp;"DER BY Col1 DESC LIMIT 20"", 0) - 1)))"),"#N/A")</f>
        <v>#N/A</v>
      </c>
      <c r="H165" s="35" t="str">
        <f t="shared" si="6"/>
        <v/>
      </c>
      <c r="I165" s="36" t="str">
        <f t="shared" si="7"/>
        <v/>
      </c>
      <c r="J165" s="37" t="str">
        <f>IFERROR(__xludf.DUMMYFUNCTION("IFERROR(
  IF(C165="""",, 
    IFERROR(
      GOOGLEFINANCE(C165, ""price"") * GOOGLEFINANCE(C165, ""volumeavg""), 
      GOOGLEFINANCE(C165, ""price"") * AVERAGE(QUERY(GOOGLEFINANCE(C165, ""volume"", TODAY()-40, TODAY()), ""SELECT Col2 WHERE Col2 IS NOT "&amp;"NULL ORDER BY Col1 DESC LIMIT 20"", 0))
    )
  ), 
"""")"),"")</f>
        <v/>
      </c>
      <c r="K165" s="21" t="str">
        <f>IFERROR(__xludf.DUMMYFUNCTION("IFERROR(GOOGLEFINANCE(C165, ""changepct"") / 100, """")"),"")</f>
        <v/>
      </c>
      <c r="L165" s="21" t="str">
        <f>IFERROR(__xludf.DUMMYFUNCTION("IFERROR((GOOGLEFINANCE(C165, ""price"") / INDEX(GOOGLEFINANCE(C165, ""price"", TODAY()-7, TODAY()), 2, 2)) - 1, """")"),"")</f>
        <v/>
      </c>
      <c r="M165" s="21" t="str">
        <f>IFERROR(__xludf.DUMMYFUNCTION("IFERROR((GOOGLEFINANCE(C165, ""price"") / INDEX(GOOGLEFINANCE(C165, ""price"", EDATE(TODAY(), -1), TODAY()), 2, 2)) - 1, """")"),"")</f>
        <v/>
      </c>
      <c r="N165" s="21" t="str">
        <f>IFERROR(__xludf.DUMMYFUNCTION("IFERROR((GOOGLEFINANCE(C165, ""price"") / INDEX(GOOGLEFINANCE(C165, ""price"", EDATE(TODAY(), -3), TODAY()), 2, 2)) - 1, """")"),"")</f>
        <v/>
      </c>
      <c r="O165" s="21" t="str">
        <f>IFERROR(__xludf.DUMMYFUNCTION("IFERROR((GOOGLEFINANCE(C165, ""price"") / INDEX(GOOGLEFINANCE(C165, ""price"", EDATE(TODAY(), -6), TODAY()), 2, 2)) - 1, """")"),"")</f>
        <v/>
      </c>
      <c r="P165" s="21" t="str">
        <f>IFERROR(__xludf.DUMMYFUNCTION("IFERROR((GOOGLEFINANCE(C165, ""price"") / INDEX(GOOGLEFINANCE(C165, ""price"", EDATE(TODAY(), -12), TODAY()), 2, 2)) - 1, """")"),"")</f>
        <v/>
      </c>
      <c r="Q165" s="6" t="str">
        <f>IFERROR(__xludf.DUMMYFUNCTION("AVERAGE(QUERY(GOOGLEFINANCE(C165, ""price"", TODAY()-80, TODAY()), ""SELECT Col2 WHERE Col2 IS NOT NULL ORDER BY Col1 DESC LIMIT 50"", 0))"),"#N/A")</f>
        <v>#N/A</v>
      </c>
      <c r="R165" s="24" t="str">
        <f>IFERROR(__xludf.DUMMYFUNCTION("IFERROR(
  LET(
    data, QUERY(GOOGLEFINANCE(C165,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GOOGLEFINANCE(C165, ""price"")) * 100,
    IF(calc=0, G165, calc)
  ), 
G165)"),"#N/A")</f>
        <v>#N/A</v>
      </c>
      <c r="S165" s="8" t="s">
        <v>15</v>
      </c>
      <c r="T165" s="26" t="str">
        <f>IFERROR(__xludf.DUMMYFUNCTION("IFERROR(TRANSPOSE(QUERY(IFERROR(SORT(GOOGLEFINANCE(C165, ""price"", WORKDAY(TODAY(), -40), TODAY()), 1, FALSE)), ""select Col2 where Col2 is not null limit 22 label Col2 ''"", 0)), """")"),"")</f>
        <v/>
      </c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8"/>
      <c r="AO165" s="28"/>
      <c r="AP165" s="29"/>
      <c r="AQ165" s="29" t="str">
        <f t="shared" ref="AQ165:BL165" si="168">T165/T$2</f>
        <v>#N/A</v>
      </c>
      <c r="AR165" s="29" t="str">
        <f t="shared" si="168"/>
        <v>#DIV/0!</v>
      </c>
      <c r="AS165" s="29" t="str">
        <f t="shared" si="168"/>
        <v>#DIV/0!</v>
      </c>
      <c r="AT165" s="29" t="str">
        <f t="shared" si="168"/>
        <v>#DIV/0!</v>
      </c>
      <c r="AU165" s="29" t="str">
        <f t="shared" si="168"/>
        <v>#DIV/0!</v>
      </c>
      <c r="AV165" s="29" t="str">
        <f t="shared" si="168"/>
        <v>#DIV/0!</v>
      </c>
      <c r="AW165" s="29" t="str">
        <f t="shared" si="168"/>
        <v>#DIV/0!</v>
      </c>
      <c r="AX165" s="29" t="str">
        <f t="shared" si="168"/>
        <v>#DIV/0!</v>
      </c>
      <c r="AY165" s="29" t="str">
        <f t="shared" si="168"/>
        <v>#DIV/0!</v>
      </c>
      <c r="AZ165" s="29" t="str">
        <f t="shared" si="168"/>
        <v>#DIV/0!</v>
      </c>
      <c r="BA165" s="29" t="str">
        <f t="shared" si="168"/>
        <v>#DIV/0!</v>
      </c>
      <c r="BB165" s="29" t="str">
        <f t="shared" si="168"/>
        <v>#DIV/0!</v>
      </c>
      <c r="BC165" s="29" t="str">
        <f t="shared" si="168"/>
        <v>#DIV/0!</v>
      </c>
      <c r="BD165" s="29" t="str">
        <f t="shared" si="168"/>
        <v>#DIV/0!</v>
      </c>
      <c r="BE165" s="29" t="str">
        <f t="shared" si="168"/>
        <v>#DIV/0!</v>
      </c>
      <c r="BF165" s="29" t="str">
        <f t="shared" si="168"/>
        <v>#DIV/0!</v>
      </c>
      <c r="BG165" s="29" t="str">
        <f t="shared" si="168"/>
        <v>#DIV/0!</v>
      </c>
      <c r="BH165" s="29" t="str">
        <f t="shared" si="168"/>
        <v>#DIV/0!</v>
      </c>
      <c r="BI165" s="29" t="str">
        <f t="shared" si="168"/>
        <v>#DIV/0!</v>
      </c>
      <c r="BJ165" s="29" t="str">
        <f t="shared" si="168"/>
        <v>#DIV/0!</v>
      </c>
      <c r="BK165" s="29" t="str">
        <f t="shared" si="168"/>
        <v>#DIV/0!</v>
      </c>
      <c r="BL165" s="29" t="str">
        <f t="shared" si="168"/>
        <v>#DIV/0!</v>
      </c>
      <c r="BM165" s="29" t="str">
        <f t="shared" si="3"/>
        <v>#DIV/0!</v>
      </c>
    </row>
    <row r="166">
      <c r="A166" s="16" t="str">
        <f>IFERROR(__xludf.DUMMYFUNCTION("IFERROR(SPARKLINE(SORT(MAP(TRANSPOSE(AQ166:BL166), LAMBDA(val, IF(ISNUMBER(val), PERCENTRANK(AQ166:BL166, val)+0.01, 0))), SEQUENCE(COLUMNS(AQ166:BL166)), FALSE), {""charttype"",""column""; ""color"",""chartreuse""; ""ymin"", 0; ""ymax"", 1.01; ""highcolo"&amp;"r"", ""darkgreen""; ""lowcolor"", ""red""}), """")"),"")</f>
        <v/>
      </c>
      <c r="B166" s="17" t="str">
        <f t="shared" si="4"/>
        <v/>
      </c>
      <c r="C166" s="1" t="s">
        <v>800</v>
      </c>
      <c r="D166" s="34" t="str">
        <f>IFERROR(__xludf.DUMMYFUNCTION("IFERROR(GOOGLEFINANCE(C166, ""NAME""))"),"Canadian Banc Corp")</f>
        <v>Canadian Banc Corp</v>
      </c>
      <c r="E166" s="30" t="s">
        <v>236</v>
      </c>
      <c r="F166" s="33" t="str">
        <f>IFERROR(__xludf.DUMMYFUNCTION("( (GOOGLEFINANCE(C166, ""price"") - Q166) / Q166 ) / (R166 / 100)"),"Loading...")</f>
        <v>Loading...</v>
      </c>
      <c r="G166" s="20" t="str">
        <f>IFERROR(__xludf.DUMMYFUNCTION("AVERAGE(ARRAYFORMULA(100 * (QUERY(GOOGLEFINANCE(C166, ""high"", TODAY()-40, TODAY()), ""SELECT Col2 WHERE Col2 IS NOT NULL ORDER BY Col1 DESC LIMIT 20"", 0) / QUERY(GOOGLEFINANCE(C166, ""low"", TODAY()-40, TODAY()), ""SELECT Col2 WHERE Col2 IS NOT NULL OR"&amp;"DER BY Col1 DESC LIMIT 20"", 0) - 1)))"),"#N/A")</f>
        <v>#N/A</v>
      </c>
      <c r="H166" s="35" t="str">
        <f t="shared" si="6"/>
        <v/>
      </c>
      <c r="I166" s="36" t="str">
        <f t="shared" si="7"/>
        <v/>
      </c>
      <c r="J166" s="37" t="str">
        <f>IFERROR(__xludf.DUMMYFUNCTION("IFERROR(
  IF(C166="""",, 
    IFERROR(
      GOOGLEFINANCE(C166, ""price"") * GOOGLEFINANCE(C166, ""volumeavg""), 
      GOOGLEFINANCE(C166, ""price"") * AVERAGE(QUERY(GOOGLEFINANCE(C166, ""volume"", TODAY()-40, TODAY()), ""SELECT Col2 WHERE Col2 IS NOT "&amp;"NULL ORDER BY Col1 DESC LIMIT 20"", 0))
    )
  ), 
"""")"),"")</f>
        <v/>
      </c>
      <c r="K166" s="21" t="str">
        <f>IFERROR(__xludf.DUMMYFUNCTION("IFERROR(GOOGLEFINANCE(C166, ""changepct"") / 100, """")"),"")</f>
        <v/>
      </c>
      <c r="L166" s="21" t="str">
        <f>IFERROR(__xludf.DUMMYFUNCTION("IFERROR((GOOGLEFINANCE(C166, ""price"") / INDEX(GOOGLEFINANCE(C166, ""price"", TODAY()-7, TODAY()), 2, 2)) - 1, """")"),"")</f>
        <v/>
      </c>
      <c r="M166" s="21" t="str">
        <f>IFERROR(__xludf.DUMMYFUNCTION("IFERROR((GOOGLEFINANCE(C166, ""price"") / INDEX(GOOGLEFINANCE(C166, ""price"", EDATE(TODAY(), -1), TODAY()), 2, 2)) - 1, """")"),"")</f>
        <v/>
      </c>
      <c r="N166" s="21" t="str">
        <f>IFERROR(__xludf.DUMMYFUNCTION("IFERROR((GOOGLEFINANCE(C166, ""price"") / INDEX(GOOGLEFINANCE(C166, ""price"", EDATE(TODAY(), -3), TODAY()), 2, 2)) - 1, """")"),"")</f>
        <v/>
      </c>
      <c r="O166" s="21" t="str">
        <f>IFERROR(__xludf.DUMMYFUNCTION("IFERROR((GOOGLEFINANCE(C166, ""price"") / INDEX(GOOGLEFINANCE(C166, ""price"", EDATE(TODAY(), -6), TODAY()), 2, 2)) - 1, """")"),"")</f>
        <v/>
      </c>
      <c r="P166" s="21" t="str">
        <f>IFERROR(__xludf.DUMMYFUNCTION("IFERROR((GOOGLEFINANCE(C166, ""price"") / INDEX(GOOGLEFINANCE(C166, ""price"", EDATE(TODAY(), -12), TODAY()), 2, 2)) - 1, """")"),"")</f>
        <v/>
      </c>
      <c r="Q166" s="6" t="str">
        <f>IFERROR(__xludf.DUMMYFUNCTION("AVERAGE(QUERY(GOOGLEFINANCE(C166, ""price"", TODAY()-80, TODAY()), ""SELECT Col2 WHERE Col2 IS NOT NULL ORDER BY Col1 DESC LIMIT 50"", 0))"),"#N/A")</f>
        <v>#N/A</v>
      </c>
      <c r="R166" s="24" t="str">
        <f>IFERROR(__xludf.DUMMYFUNCTION("IFERROR(
  LET(
    data, QUERY(GOOGLEFINANCE(C166,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GOOGLEFINANCE(C166, ""price"")) * 100,
    IF(calc=0, G166, calc)
  ), 
G166)"),"#N/A")</f>
        <v>#N/A</v>
      </c>
      <c r="S166" s="8" t="s">
        <v>15</v>
      </c>
      <c r="T166" s="26" t="str">
        <f>IFERROR(__xludf.DUMMYFUNCTION("IFERROR(TRANSPOSE(QUERY(IFERROR(SORT(GOOGLEFINANCE(C166, ""price"", WORKDAY(TODAY(), -40), TODAY()), 1, FALSE)), ""select Col2 where Col2 is not null limit 22 label Col2 ''"", 0)), """")"),"")</f>
        <v/>
      </c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8"/>
      <c r="AO166" s="28"/>
      <c r="AP166" s="29"/>
      <c r="AQ166" s="29" t="str">
        <f t="shared" ref="AQ166:BL166" si="169">T166/T$2</f>
        <v>#N/A</v>
      </c>
      <c r="AR166" s="29" t="str">
        <f t="shared" si="169"/>
        <v>#DIV/0!</v>
      </c>
      <c r="AS166" s="29" t="str">
        <f t="shared" si="169"/>
        <v>#DIV/0!</v>
      </c>
      <c r="AT166" s="29" t="str">
        <f t="shared" si="169"/>
        <v>#DIV/0!</v>
      </c>
      <c r="AU166" s="29" t="str">
        <f t="shared" si="169"/>
        <v>#DIV/0!</v>
      </c>
      <c r="AV166" s="29" t="str">
        <f t="shared" si="169"/>
        <v>#DIV/0!</v>
      </c>
      <c r="AW166" s="29" t="str">
        <f t="shared" si="169"/>
        <v>#DIV/0!</v>
      </c>
      <c r="AX166" s="29" t="str">
        <f t="shared" si="169"/>
        <v>#DIV/0!</v>
      </c>
      <c r="AY166" s="29" t="str">
        <f t="shared" si="169"/>
        <v>#DIV/0!</v>
      </c>
      <c r="AZ166" s="29" t="str">
        <f t="shared" si="169"/>
        <v>#DIV/0!</v>
      </c>
      <c r="BA166" s="29" t="str">
        <f t="shared" si="169"/>
        <v>#DIV/0!</v>
      </c>
      <c r="BB166" s="29" t="str">
        <f t="shared" si="169"/>
        <v>#DIV/0!</v>
      </c>
      <c r="BC166" s="29" t="str">
        <f t="shared" si="169"/>
        <v>#DIV/0!</v>
      </c>
      <c r="BD166" s="29" t="str">
        <f t="shared" si="169"/>
        <v>#DIV/0!</v>
      </c>
      <c r="BE166" s="29" t="str">
        <f t="shared" si="169"/>
        <v>#DIV/0!</v>
      </c>
      <c r="BF166" s="29" t="str">
        <f t="shared" si="169"/>
        <v>#DIV/0!</v>
      </c>
      <c r="BG166" s="29" t="str">
        <f t="shared" si="169"/>
        <v>#DIV/0!</v>
      </c>
      <c r="BH166" s="29" t="str">
        <f t="shared" si="169"/>
        <v>#DIV/0!</v>
      </c>
      <c r="BI166" s="29" t="str">
        <f t="shared" si="169"/>
        <v>#DIV/0!</v>
      </c>
      <c r="BJ166" s="29" t="str">
        <f t="shared" si="169"/>
        <v>#DIV/0!</v>
      </c>
      <c r="BK166" s="29" t="str">
        <f t="shared" si="169"/>
        <v>#DIV/0!</v>
      </c>
      <c r="BL166" s="29" t="str">
        <f t="shared" si="169"/>
        <v>#DIV/0!</v>
      </c>
      <c r="BM166" s="29" t="str">
        <f t="shared" si="3"/>
        <v>#DIV/0!</v>
      </c>
    </row>
    <row r="167">
      <c r="A167" s="16" t="str">
        <f>IFERROR(__xludf.DUMMYFUNCTION("IFERROR(SPARKLINE(SORT(MAP(TRANSPOSE(AQ167:BL167), LAMBDA(val, IF(ISNUMBER(val), PERCENTRANK(AQ167:BL167, val)+0.01, 0))), SEQUENCE(COLUMNS(AQ167:BL167)), FALSE), {""charttype"",""column""; ""color"",""chartreuse""; ""ymin"", 0; ""ymax"", 1.01; ""highcolo"&amp;"r"", ""darkgreen""; ""lowcolor"", ""red""}), """")"),"")</f>
        <v/>
      </c>
      <c r="B167" s="17" t="str">
        <f t="shared" si="4"/>
        <v/>
      </c>
      <c r="C167" s="1" t="s">
        <v>804</v>
      </c>
      <c r="D167" s="34" t="str">
        <f>IFERROR(__xludf.DUMMYFUNCTION("IFERROR(GOOGLEFINANCE(C167, ""NAME""))"),"Globe Life Inc")</f>
        <v>Globe Life Inc</v>
      </c>
      <c r="E167" s="30" t="s">
        <v>231</v>
      </c>
      <c r="F167" s="38" t="str">
        <f>IFERROR(__xludf.DUMMYFUNCTION("( (GOOGLEFINANCE(C167, ""price"") - Q167) / Q167 ) / (R167 / 100)"),"Loading...")</f>
        <v>Loading...</v>
      </c>
      <c r="G167" s="20" t="str">
        <f>IFERROR(__xludf.DUMMYFUNCTION("AVERAGE(ARRAYFORMULA(100 * (QUERY(GOOGLEFINANCE(C167, ""high"", TODAY()-40, TODAY()), ""SELECT Col2 WHERE Col2 IS NOT NULL ORDER BY Col1 DESC LIMIT 20"", 0) / QUERY(GOOGLEFINANCE(C167, ""low"", TODAY()-40, TODAY()), ""SELECT Col2 WHERE Col2 IS NOT NULL OR"&amp;"DER BY Col1 DESC LIMIT 20"", 0) - 1)))"),"#N/A")</f>
        <v>#N/A</v>
      </c>
      <c r="H167" s="35" t="str">
        <f t="shared" si="6"/>
        <v/>
      </c>
      <c r="I167" s="36" t="str">
        <f t="shared" si="7"/>
        <v/>
      </c>
      <c r="J167" s="37" t="str">
        <f>IFERROR(__xludf.DUMMYFUNCTION("IFERROR(
  IF(C167="""",, 
    IFERROR(
      GOOGLEFINANCE(C167, ""price"") * GOOGLEFINANCE(C167, ""volumeavg""), 
      GOOGLEFINANCE(C167, ""price"") * AVERAGE(QUERY(GOOGLEFINANCE(C167, ""volume"", TODAY()-40, TODAY()), ""SELECT Col2 WHERE Col2 IS NOT "&amp;"NULL ORDER BY Col1 DESC LIMIT 20"", 0))
    )
  ), 
"""")"),"")</f>
        <v/>
      </c>
      <c r="K167" s="21" t="str">
        <f>IFERROR(__xludf.DUMMYFUNCTION("IFERROR(GOOGLEFINANCE(C167, ""changepct"") / 100, """")"),"")</f>
        <v/>
      </c>
      <c r="L167" s="21" t="str">
        <f>IFERROR(__xludf.DUMMYFUNCTION("IFERROR((GOOGLEFINANCE(C167, ""price"") / INDEX(GOOGLEFINANCE(C167, ""price"", TODAY()-7, TODAY()), 2, 2)) - 1, """")"),"")</f>
        <v/>
      </c>
      <c r="M167" s="21" t="str">
        <f>IFERROR(__xludf.DUMMYFUNCTION("IFERROR((GOOGLEFINANCE(C167, ""price"") / INDEX(GOOGLEFINANCE(C167, ""price"", EDATE(TODAY(), -1), TODAY()), 2, 2)) - 1, """")"),"")</f>
        <v/>
      </c>
      <c r="N167" s="21" t="str">
        <f>IFERROR(__xludf.DUMMYFUNCTION("IFERROR((GOOGLEFINANCE(C167, ""price"") / INDEX(GOOGLEFINANCE(C167, ""price"", EDATE(TODAY(), -3), TODAY()), 2, 2)) - 1, """")"),"")</f>
        <v/>
      </c>
      <c r="O167" s="21" t="str">
        <f>IFERROR(__xludf.DUMMYFUNCTION("IFERROR((GOOGLEFINANCE(C167, ""price"") / INDEX(GOOGLEFINANCE(C167, ""price"", EDATE(TODAY(), -6), TODAY()), 2, 2)) - 1, """")"),"")</f>
        <v/>
      </c>
      <c r="P167" s="21" t="str">
        <f>IFERROR(__xludf.DUMMYFUNCTION("IFERROR((GOOGLEFINANCE(C167, ""price"") / INDEX(GOOGLEFINANCE(C167, ""price"", EDATE(TODAY(), -12), TODAY()), 2, 2)) - 1, """")"),"")</f>
        <v/>
      </c>
      <c r="Q167" s="6" t="str">
        <f>IFERROR(__xludf.DUMMYFUNCTION("AVERAGE(QUERY(GOOGLEFINANCE(C167, ""price"", TODAY()-80, TODAY()), ""SELECT Col2 WHERE Col2 IS NOT NULL ORDER BY Col1 DESC LIMIT 50"", 0))"),"#N/A")</f>
        <v>#N/A</v>
      </c>
      <c r="R167" s="24" t="str">
        <f>IFERROR(__xludf.DUMMYFUNCTION("IFERROR(
  LET(
    data, QUERY(GOOGLEFINANCE(C167,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GOOGLEFINANCE(C167, ""price"")) * 100,
    IF(calc=0, G167, calc)
  ), 
G167)"),"#N/A")</f>
        <v>#N/A</v>
      </c>
      <c r="S167" s="8" t="s">
        <v>15</v>
      </c>
      <c r="T167" s="26" t="str">
        <f>IFERROR(__xludf.DUMMYFUNCTION("IFERROR(TRANSPOSE(QUERY(IFERROR(SORT(GOOGLEFINANCE(C167, ""price"", WORKDAY(TODAY(), -40), TODAY()), 1, FALSE)), ""select Col2 where Col2 is not null limit 22 label Col2 ''"", 0)), """")"),"")</f>
        <v/>
      </c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8"/>
      <c r="AO167" s="28"/>
      <c r="AP167" s="29"/>
      <c r="AQ167" s="29" t="str">
        <f t="shared" ref="AQ167:BL167" si="170">T167/T$2</f>
        <v>#N/A</v>
      </c>
      <c r="AR167" s="29" t="str">
        <f t="shared" si="170"/>
        <v>#DIV/0!</v>
      </c>
      <c r="AS167" s="29" t="str">
        <f t="shared" si="170"/>
        <v>#DIV/0!</v>
      </c>
      <c r="AT167" s="29" t="str">
        <f t="shared" si="170"/>
        <v>#DIV/0!</v>
      </c>
      <c r="AU167" s="29" t="str">
        <f t="shared" si="170"/>
        <v>#DIV/0!</v>
      </c>
      <c r="AV167" s="29" t="str">
        <f t="shared" si="170"/>
        <v>#DIV/0!</v>
      </c>
      <c r="AW167" s="29" t="str">
        <f t="shared" si="170"/>
        <v>#DIV/0!</v>
      </c>
      <c r="AX167" s="29" t="str">
        <f t="shared" si="170"/>
        <v>#DIV/0!</v>
      </c>
      <c r="AY167" s="29" t="str">
        <f t="shared" si="170"/>
        <v>#DIV/0!</v>
      </c>
      <c r="AZ167" s="29" t="str">
        <f t="shared" si="170"/>
        <v>#DIV/0!</v>
      </c>
      <c r="BA167" s="29" t="str">
        <f t="shared" si="170"/>
        <v>#DIV/0!</v>
      </c>
      <c r="BB167" s="29" t="str">
        <f t="shared" si="170"/>
        <v>#DIV/0!</v>
      </c>
      <c r="BC167" s="29" t="str">
        <f t="shared" si="170"/>
        <v>#DIV/0!</v>
      </c>
      <c r="BD167" s="29" t="str">
        <f t="shared" si="170"/>
        <v>#DIV/0!</v>
      </c>
      <c r="BE167" s="29" t="str">
        <f t="shared" si="170"/>
        <v>#DIV/0!</v>
      </c>
      <c r="BF167" s="29" t="str">
        <f t="shared" si="170"/>
        <v>#DIV/0!</v>
      </c>
      <c r="BG167" s="29" t="str">
        <f t="shared" si="170"/>
        <v>#DIV/0!</v>
      </c>
      <c r="BH167" s="29" t="str">
        <f t="shared" si="170"/>
        <v>#DIV/0!</v>
      </c>
      <c r="BI167" s="29" t="str">
        <f t="shared" si="170"/>
        <v>#DIV/0!</v>
      </c>
      <c r="BJ167" s="29" t="str">
        <f t="shared" si="170"/>
        <v>#DIV/0!</v>
      </c>
      <c r="BK167" s="29" t="str">
        <f t="shared" si="170"/>
        <v>#DIV/0!</v>
      </c>
      <c r="BL167" s="29" t="str">
        <f t="shared" si="170"/>
        <v>#DIV/0!</v>
      </c>
      <c r="BM167" s="29" t="str">
        <f t="shared" si="3"/>
        <v>#DIV/0!</v>
      </c>
    </row>
    <row r="168">
      <c r="A168" s="16" t="str">
        <f>IFERROR(__xludf.DUMMYFUNCTION("IFERROR(SPARKLINE(SORT(MAP(TRANSPOSE(AQ168:BL168), LAMBDA(val, IF(ISNUMBER(val), PERCENTRANK(AQ168:BL168, val)+0.01, 0))), SEQUENCE(COLUMNS(AQ168:BL168)), FALSE), {""charttype"",""column""; ""color"",""chartreuse""; ""ymin"", 0; ""ymax"", 1.01; ""highcolo"&amp;"r"", ""darkgreen""; ""lowcolor"", ""red""}), """")"),"")</f>
        <v/>
      </c>
      <c r="B168" s="17" t="str">
        <f t="shared" si="4"/>
        <v/>
      </c>
      <c r="C168" s="1" t="s">
        <v>808</v>
      </c>
      <c r="D168" s="34" t="str">
        <f>IFERROR(__xludf.DUMMYFUNCTION("IFERROR(GOOGLEFINANCE(C168, ""NAME""))"),"")</f>
        <v/>
      </c>
      <c r="E168" s="30" t="s">
        <v>161</v>
      </c>
      <c r="F168" s="33" t="str">
        <f>IFERROR(__xludf.DUMMYFUNCTION("( (GOOGLEFINANCE(C168, ""price"") - Q168) / Q168 ) / (R168 / 100)"),"Loading...")</f>
        <v>Loading...</v>
      </c>
      <c r="G168" s="20" t="str">
        <f>IFERROR(__xludf.DUMMYFUNCTION("AVERAGE(ARRAYFORMULA(100 * (QUERY(GOOGLEFINANCE(C168, ""high"", TODAY()-40, TODAY()), ""SELECT Col2 WHERE Col2 IS NOT NULL ORDER BY Col1 DESC LIMIT 20"", 0) / QUERY(GOOGLEFINANCE(C168, ""low"", TODAY()-40, TODAY()), ""SELECT Col2 WHERE Col2 IS NOT NULL OR"&amp;"DER BY Col1 DESC LIMIT 20"", 0) - 1)))"),"#N/A")</f>
        <v>#N/A</v>
      </c>
      <c r="H168" s="35" t="str">
        <f t="shared" si="6"/>
        <v/>
      </c>
      <c r="I168" s="36" t="str">
        <f t="shared" si="7"/>
        <v/>
      </c>
      <c r="J168" s="37" t="str">
        <f>IFERROR(__xludf.DUMMYFUNCTION("IFERROR(
  IF(C168="""",, 
    IFERROR(
      GOOGLEFINANCE(C168, ""price"") * GOOGLEFINANCE(C168, ""volumeavg""), 
      GOOGLEFINANCE(C168, ""price"") * AVERAGE(QUERY(GOOGLEFINANCE(C168, ""volume"", TODAY()-40, TODAY()), ""SELECT Col2 WHERE Col2 IS NOT "&amp;"NULL ORDER BY Col1 DESC LIMIT 20"", 0))
    )
  ), 
"""")"),"")</f>
        <v/>
      </c>
      <c r="K168" s="21" t="str">
        <f>IFERROR(__xludf.DUMMYFUNCTION("IFERROR(GOOGLEFINANCE(C168, ""changepct"") / 100, """")"),"")</f>
        <v/>
      </c>
      <c r="L168" s="21" t="str">
        <f>IFERROR(__xludf.DUMMYFUNCTION("IFERROR((GOOGLEFINANCE(C168, ""price"") / INDEX(GOOGLEFINANCE(C168, ""price"", TODAY()-7, TODAY()), 2, 2)) - 1, """")"),"")</f>
        <v/>
      </c>
      <c r="M168" s="21" t="str">
        <f>IFERROR(__xludf.DUMMYFUNCTION("IFERROR((GOOGLEFINANCE(C168, ""price"") / INDEX(GOOGLEFINANCE(C168, ""price"", EDATE(TODAY(), -1), TODAY()), 2, 2)) - 1, """")"),"")</f>
        <v/>
      </c>
      <c r="N168" s="21" t="str">
        <f>IFERROR(__xludf.DUMMYFUNCTION("IFERROR((GOOGLEFINANCE(C168, ""price"") / INDEX(GOOGLEFINANCE(C168, ""price"", EDATE(TODAY(), -3), TODAY()), 2, 2)) - 1, """")"),"")</f>
        <v/>
      </c>
      <c r="O168" s="21" t="str">
        <f>IFERROR(__xludf.DUMMYFUNCTION("IFERROR((GOOGLEFINANCE(C168, ""price"") / INDEX(GOOGLEFINANCE(C168, ""price"", EDATE(TODAY(), -6), TODAY()), 2, 2)) - 1, """")"),"")</f>
        <v/>
      </c>
      <c r="P168" s="21" t="str">
        <f>IFERROR(__xludf.DUMMYFUNCTION("IFERROR((GOOGLEFINANCE(C168, ""price"") / INDEX(GOOGLEFINANCE(C168, ""price"", EDATE(TODAY(), -12), TODAY()), 2, 2)) - 1, """")"),"")</f>
        <v/>
      </c>
      <c r="Q168" s="6" t="str">
        <f>IFERROR(__xludf.DUMMYFUNCTION("AVERAGE(QUERY(GOOGLEFINANCE(C168, ""price"", TODAY()-80, TODAY()), ""SELECT Col2 WHERE Col2 IS NOT NULL ORDER BY Col1 DESC LIMIT 50"", 0))"),"#N/A")</f>
        <v>#N/A</v>
      </c>
      <c r="R168" s="24" t="str">
        <f>IFERROR(__xludf.DUMMYFUNCTION("IFERROR(
  LET(
    data, QUERY(GOOGLEFINANCE(C168,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GOOGLEFINANCE(C168, ""price"")) * 100,
    IF(calc=0, G168, calc)
  ), 
G168)"),"#N/A")</f>
        <v>#N/A</v>
      </c>
      <c r="S168" s="8" t="s">
        <v>15</v>
      </c>
      <c r="T168" s="26" t="str">
        <f>IFERROR(__xludf.DUMMYFUNCTION("IFERROR(TRANSPOSE(QUERY(IFERROR(SORT(GOOGLEFINANCE(C168, ""price"", WORKDAY(TODAY(), -40), TODAY()), 1, FALSE)), ""select Col2 where Col2 is not null limit 22 label Col2 ''"", 0)), """")"),"")</f>
        <v/>
      </c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8"/>
      <c r="AO168" s="28"/>
      <c r="AP168" s="29"/>
      <c r="AQ168" s="29" t="str">
        <f t="shared" ref="AQ168:BL168" si="171">T168/T$2</f>
        <v>#N/A</v>
      </c>
      <c r="AR168" s="29" t="str">
        <f t="shared" si="171"/>
        <v>#DIV/0!</v>
      </c>
      <c r="AS168" s="29" t="str">
        <f t="shared" si="171"/>
        <v>#DIV/0!</v>
      </c>
      <c r="AT168" s="29" t="str">
        <f t="shared" si="171"/>
        <v>#DIV/0!</v>
      </c>
      <c r="AU168" s="29" t="str">
        <f t="shared" si="171"/>
        <v>#DIV/0!</v>
      </c>
      <c r="AV168" s="29" t="str">
        <f t="shared" si="171"/>
        <v>#DIV/0!</v>
      </c>
      <c r="AW168" s="29" t="str">
        <f t="shared" si="171"/>
        <v>#DIV/0!</v>
      </c>
      <c r="AX168" s="29" t="str">
        <f t="shared" si="171"/>
        <v>#DIV/0!</v>
      </c>
      <c r="AY168" s="29" t="str">
        <f t="shared" si="171"/>
        <v>#DIV/0!</v>
      </c>
      <c r="AZ168" s="29" t="str">
        <f t="shared" si="171"/>
        <v>#DIV/0!</v>
      </c>
      <c r="BA168" s="29" t="str">
        <f t="shared" si="171"/>
        <v>#DIV/0!</v>
      </c>
      <c r="BB168" s="29" t="str">
        <f t="shared" si="171"/>
        <v>#DIV/0!</v>
      </c>
      <c r="BC168" s="29" t="str">
        <f t="shared" si="171"/>
        <v>#DIV/0!</v>
      </c>
      <c r="BD168" s="29" t="str">
        <f t="shared" si="171"/>
        <v>#DIV/0!</v>
      </c>
      <c r="BE168" s="29" t="str">
        <f t="shared" si="171"/>
        <v>#DIV/0!</v>
      </c>
      <c r="BF168" s="29" t="str">
        <f t="shared" si="171"/>
        <v>#DIV/0!</v>
      </c>
      <c r="BG168" s="29" t="str">
        <f t="shared" si="171"/>
        <v>#DIV/0!</v>
      </c>
      <c r="BH168" s="29" t="str">
        <f t="shared" si="171"/>
        <v>#DIV/0!</v>
      </c>
      <c r="BI168" s="29" t="str">
        <f t="shared" si="171"/>
        <v>#DIV/0!</v>
      </c>
      <c r="BJ168" s="29" t="str">
        <f t="shared" si="171"/>
        <v>#DIV/0!</v>
      </c>
      <c r="BK168" s="29" t="str">
        <f t="shared" si="171"/>
        <v>#DIV/0!</v>
      </c>
      <c r="BL168" s="29" t="str">
        <f t="shared" si="171"/>
        <v>#DIV/0!</v>
      </c>
      <c r="BM168" s="29" t="str">
        <f t="shared" si="3"/>
        <v>#DIV/0!</v>
      </c>
    </row>
    <row r="169">
      <c r="A169" s="16" t="str">
        <f>IFERROR(__xludf.DUMMYFUNCTION("IFERROR(SPARKLINE(SORT(MAP(TRANSPOSE(AQ169:BL169), LAMBDA(val, IF(ISNUMBER(val), PERCENTRANK(AQ169:BL169, val)+0.01, 0))), SEQUENCE(COLUMNS(AQ169:BL169)), FALSE), {""charttype"",""column""; ""color"",""chartreuse""; ""ymin"", 0; ""ymax"", 1.01; ""highcolo"&amp;"r"", ""darkgreen""; ""lowcolor"", ""red""}), """")"),"")</f>
        <v/>
      </c>
      <c r="B169" s="17" t="str">
        <f t="shared" si="4"/>
        <v/>
      </c>
      <c r="C169" s="1" t="s">
        <v>814</v>
      </c>
      <c r="D169" s="34" t="str">
        <f>IFERROR(__xludf.DUMMYFUNCTION("IFERROR(GOOGLEFINANCE(C169, ""NAME""))"),"Fidus Investment Corp")</f>
        <v>Fidus Investment Corp</v>
      </c>
      <c r="E169" s="30" t="s">
        <v>64</v>
      </c>
      <c r="F169" s="38" t="str">
        <f>IFERROR(__xludf.DUMMYFUNCTION("( (GOOGLEFINANCE(C169, ""price"") - Q169) / Q169 ) / (R169 / 100)"),"Loading...")</f>
        <v>Loading...</v>
      </c>
      <c r="G169" s="20" t="str">
        <f>IFERROR(__xludf.DUMMYFUNCTION("AVERAGE(ARRAYFORMULA(100 * (QUERY(GOOGLEFINANCE(C169, ""high"", TODAY()-40, TODAY()), ""SELECT Col2 WHERE Col2 IS NOT NULL ORDER BY Col1 DESC LIMIT 20"", 0) / QUERY(GOOGLEFINANCE(C169, ""low"", TODAY()-40, TODAY()), ""SELECT Col2 WHERE Col2 IS NOT NULL OR"&amp;"DER BY Col1 DESC LIMIT 20"", 0) - 1)))"),"#N/A")</f>
        <v>#N/A</v>
      </c>
      <c r="H169" s="35" t="str">
        <f t="shared" si="6"/>
        <v/>
      </c>
      <c r="I169" s="36" t="str">
        <f t="shared" si="7"/>
        <v/>
      </c>
      <c r="J169" s="37" t="str">
        <f>IFERROR(__xludf.DUMMYFUNCTION("IFERROR(
  IF(C169="""",, 
    IFERROR(
      GOOGLEFINANCE(C169, ""price"") * GOOGLEFINANCE(C169, ""volumeavg""), 
      GOOGLEFINANCE(C169, ""price"") * AVERAGE(QUERY(GOOGLEFINANCE(C169, ""volume"", TODAY()-40, TODAY()), ""SELECT Col2 WHERE Col2 IS NOT "&amp;"NULL ORDER BY Col1 DESC LIMIT 20"", 0))
    )
  ), 
"""")"),"")</f>
        <v/>
      </c>
      <c r="K169" s="21" t="str">
        <f>IFERROR(__xludf.DUMMYFUNCTION("IFERROR(GOOGLEFINANCE(C169, ""changepct"") / 100, """")"),"")</f>
        <v/>
      </c>
      <c r="L169" s="21" t="str">
        <f>IFERROR(__xludf.DUMMYFUNCTION("IFERROR((GOOGLEFINANCE(C169, ""price"") / INDEX(GOOGLEFINANCE(C169, ""price"", TODAY()-7, TODAY()), 2, 2)) - 1, """")"),"")</f>
        <v/>
      </c>
      <c r="M169" s="21" t="str">
        <f>IFERROR(__xludf.DUMMYFUNCTION("IFERROR((GOOGLEFINANCE(C169, ""price"") / INDEX(GOOGLEFINANCE(C169, ""price"", EDATE(TODAY(), -1), TODAY()), 2, 2)) - 1, """")"),"")</f>
        <v/>
      </c>
      <c r="N169" s="21" t="str">
        <f>IFERROR(__xludf.DUMMYFUNCTION("IFERROR((GOOGLEFINANCE(C169, ""price"") / INDEX(GOOGLEFINANCE(C169, ""price"", EDATE(TODAY(), -3), TODAY()), 2, 2)) - 1, """")"),"")</f>
        <v/>
      </c>
      <c r="O169" s="21" t="str">
        <f>IFERROR(__xludf.DUMMYFUNCTION("IFERROR((GOOGLEFINANCE(C169, ""price"") / INDEX(GOOGLEFINANCE(C169, ""price"", EDATE(TODAY(), -6), TODAY()), 2, 2)) - 1, """")"),"")</f>
        <v/>
      </c>
      <c r="P169" s="21" t="str">
        <f>IFERROR(__xludf.DUMMYFUNCTION("IFERROR((GOOGLEFINANCE(C169, ""price"") / INDEX(GOOGLEFINANCE(C169, ""price"", EDATE(TODAY(), -12), TODAY()), 2, 2)) - 1, """")"),"")</f>
        <v/>
      </c>
      <c r="Q169" s="6" t="str">
        <f>IFERROR(__xludf.DUMMYFUNCTION("AVERAGE(QUERY(GOOGLEFINANCE(C169, ""price"", TODAY()-80, TODAY()), ""SELECT Col2 WHERE Col2 IS NOT NULL ORDER BY Col1 DESC LIMIT 50"", 0))"),"#N/A")</f>
        <v>#N/A</v>
      </c>
      <c r="R169" s="24" t="str">
        <f>IFERROR(__xludf.DUMMYFUNCTION("IFERROR(
  LET(
    data, QUERY(GOOGLEFINANCE(C169,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GOOGLEFINANCE(C169, ""price"")) * 100,
    IF(calc=0, G169, calc)
  ), 
G169)"),"#N/A")</f>
        <v>#N/A</v>
      </c>
      <c r="S169" s="8" t="s">
        <v>15</v>
      </c>
      <c r="T169" s="26" t="str">
        <f>IFERROR(__xludf.DUMMYFUNCTION("IFERROR(TRANSPOSE(QUERY(IFERROR(SORT(GOOGLEFINANCE(C169, ""price"", WORKDAY(TODAY(), -40), TODAY()), 1, FALSE)), ""select Col2 where Col2 is not null limit 22 label Col2 ''"", 0)), """")"),"")</f>
        <v/>
      </c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8"/>
      <c r="AO169" s="28"/>
      <c r="AP169" s="29"/>
      <c r="AQ169" s="29" t="str">
        <f t="shared" ref="AQ169:BL169" si="172">T169/T$2</f>
        <v>#N/A</v>
      </c>
      <c r="AR169" s="29" t="str">
        <f t="shared" si="172"/>
        <v>#DIV/0!</v>
      </c>
      <c r="AS169" s="29" t="str">
        <f t="shared" si="172"/>
        <v>#DIV/0!</v>
      </c>
      <c r="AT169" s="29" t="str">
        <f t="shared" si="172"/>
        <v>#DIV/0!</v>
      </c>
      <c r="AU169" s="29" t="str">
        <f t="shared" si="172"/>
        <v>#DIV/0!</v>
      </c>
      <c r="AV169" s="29" t="str">
        <f t="shared" si="172"/>
        <v>#DIV/0!</v>
      </c>
      <c r="AW169" s="29" t="str">
        <f t="shared" si="172"/>
        <v>#DIV/0!</v>
      </c>
      <c r="AX169" s="29" t="str">
        <f t="shared" si="172"/>
        <v>#DIV/0!</v>
      </c>
      <c r="AY169" s="29" t="str">
        <f t="shared" si="172"/>
        <v>#DIV/0!</v>
      </c>
      <c r="AZ169" s="29" t="str">
        <f t="shared" si="172"/>
        <v>#DIV/0!</v>
      </c>
      <c r="BA169" s="29" t="str">
        <f t="shared" si="172"/>
        <v>#DIV/0!</v>
      </c>
      <c r="BB169" s="29" t="str">
        <f t="shared" si="172"/>
        <v>#DIV/0!</v>
      </c>
      <c r="BC169" s="29" t="str">
        <f t="shared" si="172"/>
        <v>#DIV/0!</v>
      </c>
      <c r="BD169" s="29" t="str">
        <f t="shared" si="172"/>
        <v>#DIV/0!</v>
      </c>
      <c r="BE169" s="29" t="str">
        <f t="shared" si="172"/>
        <v>#DIV/0!</v>
      </c>
      <c r="BF169" s="29" t="str">
        <f t="shared" si="172"/>
        <v>#DIV/0!</v>
      </c>
      <c r="BG169" s="29" t="str">
        <f t="shared" si="172"/>
        <v>#DIV/0!</v>
      </c>
      <c r="BH169" s="29" t="str">
        <f t="shared" si="172"/>
        <v>#DIV/0!</v>
      </c>
      <c r="BI169" s="29" t="str">
        <f t="shared" si="172"/>
        <v>#DIV/0!</v>
      </c>
      <c r="BJ169" s="29" t="str">
        <f t="shared" si="172"/>
        <v>#DIV/0!</v>
      </c>
      <c r="BK169" s="29" t="str">
        <f t="shared" si="172"/>
        <v>#DIV/0!</v>
      </c>
      <c r="BL169" s="29" t="str">
        <f t="shared" si="172"/>
        <v>#DIV/0!</v>
      </c>
      <c r="BM169" s="29" t="str">
        <f t="shared" si="3"/>
        <v>#DIV/0!</v>
      </c>
    </row>
    <row r="170">
      <c r="A170" s="16" t="str">
        <f>IFERROR(__xludf.DUMMYFUNCTION("IFERROR(SPARKLINE(SORT(MAP(TRANSPOSE(AQ170:BL170), LAMBDA(val, IF(ISNUMBER(val), PERCENTRANK(AQ170:BL170, val)+0.01, 0))), SEQUENCE(COLUMNS(AQ170:BL170)), FALSE), {""charttype"",""column""; ""color"",""chartreuse""; ""ymin"", 0; ""ymax"", 1.01; ""highcolo"&amp;"r"", ""darkgreen""; ""lowcolor"", ""red""}), """")"),"")</f>
        <v/>
      </c>
      <c r="B170" s="17" t="str">
        <f t="shared" si="4"/>
        <v/>
      </c>
      <c r="C170" s="1" t="s">
        <v>817</v>
      </c>
      <c r="D170" s="34" t="str">
        <f>IFERROR(__xludf.DUMMYFUNCTION("IFERROR(GOOGLEFINANCE(C170, ""NAME""))"),"NBT Bancorp Inc")</f>
        <v>NBT Bancorp Inc</v>
      </c>
      <c r="E170" s="30" t="s">
        <v>268</v>
      </c>
      <c r="F170" s="33" t="str">
        <f>IFERROR(__xludf.DUMMYFUNCTION("( (GOOGLEFINANCE(C170, ""price"") - Q170) / Q170 ) / (R170 / 100)"),"Loading...")</f>
        <v>Loading...</v>
      </c>
      <c r="G170" s="20" t="str">
        <f>IFERROR(__xludf.DUMMYFUNCTION("AVERAGE(ARRAYFORMULA(100 * (QUERY(GOOGLEFINANCE(C170, ""high"", TODAY()-40, TODAY()), ""SELECT Col2 WHERE Col2 IS NOT NULL ORDER BY Col1 DESC LIMIT 20"", 0) / QUERY(GOOGLEFINANCE(C170, ""low"", TODAY()-40, TODAY()), ""SELECT Col2 WHERE Col2 IS NOT NULL OR"&amp;"DER BY Col1 DESC LIMIT 20"", 0) - 1)))"),"#N/A")</f>
        <v>#N/A</v>
      </c>
      <c r="H170" s="35" t="str">
        <f t="shared" si="6"/>
        <v/>
      </c>
      <c r="I170" s="36" t="str">
        <f t="shared" si="7"/>
        <v/>
      </c>
      <c r="J170" s="37" t="str">
        <f>IFERROR(__xludf.DUMMYFUNCTION("IFERROR(
  IF(C170="""",, 
    IFERROR(
      GOOGLEFINANCE(C170, ""price"") * GOOGLEFINANCE(C170, ""volumeavg""), 
      GOOGLEFINANCE(C170, ""price"") * AVERAGE(QUERY(GOOGLEFINANCE(C170, ""volume"", TODAY()-40, TODAY()), ""SELECT Col2 WHERE Col2 IS NOT "&amp;"NULL ORDER BY Col1 DESC LIMIT 20"", 0))
    )
  ), 
"""")"),"")</f>
        <v/>
      </c>
      <c r="K170" s="21" t="str">
        <f>IFERROR(__xludf.DUMMYFUNCTION("IFERROR(GOOGLEFINANCE(C170, ""changepct"") / 100, """")"),"")</f>
        <v/>
      </c>
      <c r="L170" s="21" t="str">
        <f>IFERROR(__xludf.DUMMYFUNCTION("IFERROR((GOOGLEFINANCE(C170, ""price"") / INDEX(GOOGLEFINANCE(C170, ""price"", TODAY()-7, TODAY()), 2, 2)) - 1, """")"),"")</f>
        <v/>
      </c>
      <c r="M170" s="21" t="str">
        <f>IFERROR(__xludf.DUMMYFUNCTION("IFERROR((GOOGLEFINANCE(C170, ""price"") / INDEX(GOOGLEFINANCE(C170, ""price"", EDATE(TODAY(), -1), TODAY()), 2, 2)) - 1, """")"),"")</f>
        <v/>
      </c>
      <c r="N170" s="21" t="str">
        <f>IFERROR(__xludf.DUMMYFUNCTION("IFERROR((GOOGLEFINANCE(C170, ""price"") / INDEX(GOOGLEFINANCE(C170, ""price"", EDATE(TODAY(), -3), TODAY()), 2, 2)) - 1, """")"),"")</f>
        <v/>
      </c>
      <c r="O170" s="21" t="str">
        <f>IFERROR(__xludf.DUMMYFUNCTION("IFERROR((GOOGLEFINANCE(C170, ""price"") / INDEX(GOOGLEFINANCE(C170, ""price"", EDATE(TODAY(), -6), TODAY()), 2, 2)) - 1, """")"),"")</f>
        <v/>
      </c>
      <c r="P170" s="21" t="str">
        <f>IFERROR(__xludf.DUMMYFUNCTION("IFERROR((GOOGLEFINANCE(C170, ""price"") / INDEX(GOOGLEFINANCE(C170, ""price"", EDATE(TODAY(), -12), TODAY()), 2, 2)) - 1, """")"),"")</f>
        <v/>
      </c>
      <c r="Q170" s="6" t="str">
        <f>IFERROR(__xludf.DUMMYFUNCTION("AVERAGE(QUERY(GOOGLEFINANCE(C170, ""price"", TODAY()-80, TODAY()), ""SELECT Col2 WHERE Col2 IS NOT NULL ORDER BY Col1 DESC LIMIT 50"", 0))"),"#N/A")</f>
        <v>#N/A</v>
      </c>
      <c r="R170" s="24" t="str">
        <f>IFERROR(__xludf.DUMMYFUNCTION("IFERROR(
  LET(
    data, QUERY(GOOGLEFINANCE(C170,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GOOGLEFINANCE(C170, ""price"")) * 100,
    IF(calc=0, G170, calc)
  ), 
G170)"),"#N/A")</f>
        <v>#N/A</v>
      </c>
      <c r="S170" s="8" t="s">
        <v>15</v>
      </c>
      <c r="T170" s="26" t="str">
        <f>IFERROR(__xludf.DUMMYFUNCTION("IFERROR(TRANSPOSE(QUERY(IFERROR(SORT(GOOGLEFINANCE(C170, ""price"", WORKDAY(TODAY(), -40), TODAY()), 1, FALSE)), ""select Col2 where Col2 is not null limit 22 label Col2 ''"", 0)), """")"),"")</f>
        <v/>
      </c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8"/>
      <c r="AO170" s="28"/>
      <c r="AP170" s="29"/>
      <c r="AQ170" s="29" t="str">
        <f t="shared" ref="AQ170:BL170" si="173">T170/T$2</f>
        <v>#N/A</v>
      </c>
      <c r="AR170" s="29" t="str">
        <f t="shared" si="173"/>
        <v>#DIV/0!</v>
      </c>
      <c r="AS170" s="29" t="str">
        <f t="shared" si="173"/>
        <v>#DIV/0!</v>
      </c>
      <c r="AT170" s="29" t="str">
        <f t="shared" si="173"/>
        <v>#DIV/0!</v>
      </c>
      <c r="AU170" s="29" t="str">
        <f t="shared" si="173"/>
        <v>#DIV/0!</v>
      </c>
      <c r="AV170" s="29" t="str">
        <f t="shared" si="173"/>
        <v>#DIV/0!</v>
      </c>
      <c r="AW170" s="29" t="str">
        <f t="shared" si="173"/>
        <v>#DIV/0!</v>
      </c>
      <c r="AX170" s="29" t="str">
        <f t="shared" si="173"/>
        <v>#DIV/0!</v>
      </c>
      <c r="AY170" s="29" t="str">
        <f t="shared" si="173"/>
        <v>#DIV/0!</v>
      </c>
      <c r="AZ170" s="29" t="str">
        <f t="shared" si="173"/>
        <v>#DIV/0!</v>
      </c>
      <c r="BA170" s="29" t="str">
        <f t="shared" si="173"/>
        <v>#DIV/0!</v>
      </c>
      <c r="BB170" s="29" t="str">
        <f t="shared" si="173"/>
        <v>#DIV/0!</v>
      </c>
      <c r="BC170" s="29" t="str">
        <f t="shared" si="173"/>
        <v>#DIV/0!</v>
      </c>
      <c r="BD170" s="29" t="str">
        <f t="shared" si="173"/>
        <v>#DIV/0!</v>
      </c>
      <c r="BE170" s="29" t="str">
        <f t="shared" si="173"/>
        <v>#DIV/0!</v>
      </c>
      <c r="BF170" s="29" t="str">
        <f t="shared" si="173"/>
        <v>#DIV/0!</v>
      </c>
      <c r="BG170" s="29" t="str">
        <f t="shared" si="173"/>
        <v>#DIV/0!</v>
      </c>
      <c r="BH170" s="29" t="str">
        <f t="shared" si="173"/>
        <v>#DIV/0!</v>
      </c>
      <c r="BI170" s="29" t="str">
        <f t="shared" si="173"/>
        <v>#DIV/0!</v>
      </c>
      <c r="BJ170" s="29" t="str">
        <f t="shared" si="173"/>
        <v>#DIV/0!</v>
      </c>
      <c r="BK170" s="29" t="str">
        <f t="shared" si="173"/>
        <v>#DIV/0!</v>
      </c>
      <c r="BL170" s="29" t="str">
        <f t="shared" si="173"/>
        <v>#DIV/0!</v>
      </c>
      <c r="BM170" s="29" t="str">
        <f t="shared" si="3"/>
        <v>#DIV/0!</v>
      </c>
    </row>
    <row r="171">
      <c r="A171" s="16" t="str">
        <f>IFERROR(__xludf.DUMMYFUNCTION("IFERROR(SPARKLINE(SORT(MAP(TRANSPOSE(AQ171:BL171), LAMBDA(val, IF(ISNUMBER(val), PERCENTRANK(AQ171:BL171, val)+0.01, 0))), SEQUENCE(COLUMNS(AQ171:BL171)), FALSE), {""charttype"",""column""; ""color"",""chartreuse""; ""ymin"", 0; ""ymax"", 1.01; ""highcolo"&amp;"r"", ""darkgreen""; ""lowcolor"", ""red""}), """")"),"")</f>
        <v/>
      </c>
      <c r="B171" s="17" t="str">
        <f t="shared" si="4"/>
        <v/>
      </c>
      <c r="C171" s="1" t="s">
        <v>820</v>
      </c>
      <c r="D171" s="34" t="str">
        <f>IFERROR(__xludf.DUMMYFUNCTION("IFERROR(GOOGLEFINANCE(C171, ""NAME""))"),"CorVel Corp")</f>
        <v>CorVel Corp</v>
      </c>
      <c r="E171" s="30" t="s">
        <v>311</v>
      </c>
      <c r="F171" s="33" t="str">
        <f>IFERROR(__xludf.DUMMYFUNCTION("( (GOOGLEFINANCE(C171, ""price"") - Q171) / Q171 ) / (R171 / 100)"),"Loading...")</f>
        <v>Loading...</v>
      </c>
      <c r="G171" s="20" t="str">
        <f>IFERROR(__xludf.DUMMYFUNCTION("AVERAGE(ARRAYFORMULA(100 * (QUERY(GOOGLEFINANCE(C171, ""high"", TODAY()-40, TODAY()), ""SELECT Col2 WHERE Col2 IS NOT NULL ORDER BY Col1 DESC LIMIT 20"", 0) / QUERY(GOOGLEFINANCE(C171, ""low"", TODAY()-40, TODAY()), ""SELECT Col2 WHERE Col2 IS NOT NULL OR"&amp;"DER BY Col1 DESC LIMIT 20"", 0) - 1)))"),"#N/A")</f>
        <v>#N/A</v>
      </c>
      <c r="H171" s="35" t="str">
        <f t="shared" si="6"/>
        <v/>
      </c>
      <c r="I171" s="36" t="str">
        <f t="shared" si="7"/>
        <v/>
      </c>
      <c r="J171" s="37" t="str">
        <f>IFERROR(__xludf.DUMMYFUNCTION("IFERROR(
  IF(C171="""",, 
    IFERROR(
      GOOGLEFINANCE(C171, ""price"") * GOOGLEFINANCE(C171, ""volumeavg""), 
      GOOGLEFINANCE(C171, ""price"") * AVERAGE(QUERY(GOOGLEFINANCE(C171, ""volume"", TODAY()-40, TODAY()), ""SELECT Col2 WHERE Col2 IS NOT "&amp;"NULL ORDER BY Col1 DESC LIMIT 20"", 0))
    )
  ), 
"""")"),"")</f>
        <v/>
      </c>
      <c r="K171" s="21" t="str">
        <f>IFERROR(__xludf.DUMMYFUNCTION("IFERROR(GOOGLEFINANCE(C171, ""changepct"") / 100, """")"),"")</f>
        <v/>
      </c>
      <c r="L171" s="21" t="str">
        <f>IFERROR(__xludf.DUMMYFUNCTION("IFERROR((GOOGLEFINANCE(C171, ""price"") / INDEX(GOOGLEFINANCE(C171, ""price"", TODAY()-7, TODAY()), 2, 2)) - 1, """")"),"")</f>
        <v/>
      </c>
      <c r="M171" s="21" t="str">
        <f>IFERROR(__xludf.DUMMYFUNCTION("IFERROR((GOOGLEFINANCE(C171, ""price"") / INDEX(GOOGLEFINANCE(C171, ""price"", EDATE(TODAY(), -1), TODAY()), 2, 2)) - 1, """")"),"")</f>
        <v/>
      </c>
      <c r="N171" s="21" t="str">
        <f>IFERROR(__xludf.DUMMYFUNCTION("IFERROR((GOOGLEFINANCE(C171, ""price"") / INDEX(GOOGLEFINANCE(C171, ""price"", EDATE(TODAY(), -3), TODAY()), 2, 2)) - 1, """")"),"")</f>
        <v/>
      </c>
      <c r="O171" s="21" t="str">
        <f>IFERROR(__xludf.DUMMYFUNCTION("IFERROR((GOOGLEFINANCE(C171, ""price"") / INDEX(GOOGLEFINANCE(C171, ""price"", EDATE(TODAY(), -6), TODAY()), 2, 2)) - 1, """")"),"")</f>
        <v/>
      </c>
      <c r="P171" s="21" t="str">
        <f>IFERROR(__xludf.DUMMYFUNCTION("IFERROR((GOOGLEFINANCE(C171, ""price"") / INDEX(GOOGLEFINANCE(C171, ""price"", EDATE(TODAY(), -12), TODAY()), 2, 2)) - 1, """")"),"")</f>
        <v/>
      </c>
      <c r="Q171" s="6" t="str">
        <f>IFERROR(__xludf.DUMMYFUNCTION("AVERAGE(QUERY(GOOGLEFINANCE(C171, ""price"", TODAY()-80, TODAY()), ""SELECT Col2 WHERE Col2 IS NOT NULL ORDER BY Col1 DESC LIMIT 50"", 0))"),"#N/A")</f>
        <v>#N/A</v>
      </c>
      <c r="R171" s="24" t="str">
        <f>IFERROR(__xludf.DUMMYFUNCTION("IFERROR(
  LET(
    data, QUERY(GOOGLEFINANCE(C171,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GOOGLEFINANCE(C171, ""price"")) * 100,
    IF(calc=0, G171, calc)
  ), 
G171)"),"#N/A")</f>
        <v>#N/A</v>
      </c>
      <c r="S171" s="8" t="s">
        <v>15</v>
      </c>
      <c r="T171" s="26" t="str">
        <f>IFERROR(__xludf.DUMMYFUNCTION("IFERROR(TRANSPOSE(QUERY(IFERROR(SORT(GOOGLEFINANCE(C171, ""price"", WORKDAY(TODAY(), -40), TODAY()), 1, FALSE)), ""select Col2 where Col2 is not null limit 22 label Col2 ''"", 0)), """")"),"")</f>
        <v/>
      </c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8"/>
      <c r="AO171" s="28"/>
      <c r="AP171" s="29"/>
      <c r="AQ171" s="29" t="str">
        <f t="shared" ref="AQ171:BL171" si="174">T171/T$2</f>
        <v>#N/A</v>
      </c>
      <c r="AR171" s="29" t="str">
        <f t="shared" si="174"/>
        <v>#DIV/0!</v>
      </c>
      <c r="AS171" s="29" t="str">
        <f t="shared" si="174"/>
        <v>#DIV/0!</v>
      </c>
      <c r="AT171" s="29" t="str">
        <f t="shared" si="174"/>
        <v>#DIV/0!</v>
      </c>
      <c r="AU171" s="29" t="str">
        <f t="shared" si="174"/>
        <v>#DIV/0!</v>
      </c>
      <c r="AV171" s="29" t="str">
        <f t="shared" si="174"/>
        <v>#DIV/0!</v>
      </c>
      <c r="AW171" s="29" t="str">
        <f t="shared" si="174"/>
        <v>#DIV/0!</v>
      </c>
      <c r="AX171" s="29" t="str">
        <f t="shared" si="174"/>
        <v>#DIV/0!</v>
      </c>
      <c r="AY171" s="29" t="str">
        <f t="shared" si="174"/>
        <v>#DIV/0!</v>
      </c>
      <c r="AZ171" s="29" t="str">
        <f t="shared" si="174"/>
        <v>#DIV/0!</v>
      </c>
      <c r="BA171" s="29" t="str">
        <f t="shared" si="174"/>
        <v>#DIV/0!</v>
      </c>
      <c r="BB171" s="29" t="str">
        <f t="shared" si="174"/>
        <v>#DIV/0!</v>
      </c>
      <c r="BC171" s="29" t="str">
        <f t="shared" si="174"/>
        <v>#DIV/0!</v>
      </c>
      <c r="BD171" s="29" t="str">
        <f t="shared" si="174"/>
        <v>#DIV/0!</v>
      </c>
      <c r="BE171" s="29" t="str">
        <f t="shared" si="174"/>
        <v>#DIV/0!</v>
      </c>
      <c r="BF171" s="29" t="str">
        <f t="shared" si="174"/>
        <v>#DIV/0!</v>
      </c>
      <c r="BG171" s="29" t="str">
        <f t="shared" si="174"/>
        <v>#DIV/0!</v>
      </c>
      <c r="BH171" s="29" t="str">
        <f t="shared" si="174"/>
        <v>#DIV/0!</v>
      </c>
      <c r="BI171" s="29" t="str">
        <f t="shared" si="174"/>
        <v>#DIV/0!</v>
      </c>
      <c r="BJ171" s="29" t="str">
        <f t="shared" si="174"/>
        <v>#DIV/0!</v>
      </c>
      <c r="BK171" s="29" t="str">
        <f t="shared" si="174"/>
        <v>#DIV/0!</v>
      </c>
      <c r="BL171" s="29" t="str">
        <f t="shared" si="174"/>
        <v>#DIV/0!</v>
      </c>
      <c r="BM171" s="29" t="str">
        <f t="shared" si="3"/>
        <v>#DIV/0!</v>
      </c>
    </row>
    <row r="172">
      <c r="A172" s="16" t="str">
        <f>IFERROR(__xludf.DUMMYFUNCTION("IFERROR(SPARKLINE(SORT(MAP(TRANSPOSE(AQ172:BL172), LAMBDA(val, IF(ISNUMBER(val), PERCENTRANK(AQ172:BL172, val)+0.01, 0))), SEQUENCE(COLUMNS(AQ172:BL172)), FALSE), {""charttype"",""column""; ""color"",""chartreuse""; ""ymin"", 0; ""ymax"", 1.01; ""highcolo"&amp;"r"", ""darkgreen""; ""lowcolor"", ""red""}), """")"),"")</f>
        <v/>
      </c>
      <c r="B172" s="17" t="str">
        <f t="shared" si="4"/>
        <v/>
      </c>
      <c r="C172" s="1" t="s">
        <v>823</v>
      </c>
      <c r="D172" s="34" t="str">
        <f>IFERROR(__xludf.DUMMYFUNCTION("IFERROR(GOOGLEFINANCE(C172, ""NAME""))"),"RBB Bancorp")</f>
        <v>RBB Bancorp</v>
      </c>
      <c r="E172" s="30" t="s">
        <v>268</v>
      </c>
      <c r="F172" s="33" t="str">
        <f>IFERROR(__xludf.DUMMYFUNCTION("( (GOOGLEFINANCE(C172, ""price"") - Q172) / Q172 ) / (R172 / 100)"),"Loading...")</f>
        <v>Loading...</v>
      </c>
      <c r="G172" s="20" t="str">
        <f>IFERROR(__xludf.DUMMYFUNCTION("AVERAGE(ARRAYFORMULA(100 * (QUERY(GOOGLEFINANCE(C172, ""high"", TODAY()-40, TODAY()), ""SELECT Col2 WHERE Col2 IS NOT NULL ORDER BY Col1 DESC LIMIT 20"", 0) / QUERY(GOOGLEFINANCE(C172, ""low"", TODAY()-40, TODAY()), ""SELECT Col2 WHERE Col2 IS NOT NULL OR"&amp;"DER BY Col1 DESC LIMIT 20"", 0) - 1)))"),"#N/A")</f>
        <v>#N/A</v>
      </c>
      <c r="H172" s="35" t="str">
        <f t="shared" si="6"/>
        <v/>
      </c>
      <c r="I172" s="36" t="str">
        <f t="shared" si="7"/>
        <v/>
      </c>
      <c r="J172" s="37" t="str">
        <f>IFERROR(__xludf.DUMMYFUNCTION("IFERROR(
  IF(C172="""",, 
    IFERROR(
      GOOGLEFINANCE(C172, ""price"") * GOOGLEFINANCE(C172, ""volumeavg""), 
      GOOGLEFINANCE(C172, ""price"") * AVERAGE(QUERY(GOOGLEFINANCE(C172, ""volume"", TODAY()-40, TODAY()), ""SELECT Col2 WHERE Col2 IS NOT "&amp;"NULL ORDER BY Col1 DESC LIMIT 20"", 0))
    )
  ), 
"""")"),"")</f>
        <v/>
      </c>
      <c r="K172" s="21" t="str">
        <f>IFERROR(__xludf.DUMMYFUNCTION("IFERROR(GOOGLEFINANCE(C172, ""changepct"") / 100, """")"),"")</f>
        <v/>
      </c>
      <c r="L172" s="21" t="str">
        <f>IFERROR(__xludf.DUMMYFUNCTION("IFERROR((GOOGLEFINANCE(C172, ""price"") / INDEX(GOOGLEFINANCE(C172, ""price"", TODAY()-7, TODAY()), 2, 2)) - 1, """")"),"")</f>
        <v/>
      </c>
      <c r="M172" s="21" t="str">
        <f>IFERROR(__xludf.DUMMYFUNCTION("IFERROR((GOOGLEFINANCE(C172, ""price"") / INDEX(GOOGLEFINANCE(C172, ""price"", EDATE(TODAY(), -1), TODAY()), 2, 2)) - 1, """")"),"")</f>
        <v/>
      </c>
      <c r="N172" s="21" t="str">
        <f>IFERROR(__xludf.DUMMYFUNCTION("IFERROR((GOOGLEFINANCE(C172, ""price"") / INDEX(GOOGLEFINANCE(C172, ""price"", EDATE(TODAY(), -3), TODAY()), 2, 2)) - 1, """")"),"")</f>
        <v/>
      </c>
      <c r="O172" s="21" t="str">
        <f>IFERROR(__xludf.DUMMYFUNCTION("IFERROR((GOOGLEFINANCE(C172, ""price"") / INDEX(GOOGLEFINANCE(C172, ""price"", EDATE(TODAY(), -6), TODAY()), 2, 2)) - 1, """")"),"")</f>
        <v/>
      </c>
      <c r="P172" s="21" t="str">
        <f>IFERROR(__xludf.DUMMYFUNCTION("IFERROR((GOOGLEFINANCE(C172, ""price"") / INDEX(GOOGLEFINANCE(C172, ""price"", EDATE(TODAY(), -12), TODAY()), 2, 2)) - 1, """")"),"")</f>
        <v/>
      </c>
      <c r="Q172" s="6" t="str">
        <f>IFERROR(__xludf.DUMMYFUNCTION("AVERAGE(QUERY(GOOGLEFINANCE(C172, ""price"", TODAY()-80, TODAY()), ""SELECT Col2 WHERE Col2 IS NOT NULL ORDER BY Col1 DESC LIMIT 50"", 0))"),"#N/A")</f>
        <v>#N/A</v>
      </c>
      <c r="R172" s="24" t="str">
        <f>IFERROR(__xludf.DUMMYFUNCTION("IFERROR(
  LET(
    data, QUERY(GOOGLEFINANCE(C172,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GOOGLEFINANCE(C172, ""price"")) * 100,
    IF(calc=0, G172, calc)
  ), 
G172)"),"#N/A")</f>
        <v>#N/A</v>
      </c>
      <c r="S172" s="8" t="s">
        <v>15</v>
      </c>
      <c r="T172" s="26" t="str">
        <f>IFERROR(__xludf.DUMMYFUNCTION("IFERROR(TRANSPOSE(QUERY(IFERROR(SORT(GOOGLEFINANCE(C172, ""price"", WORKDAY(TODAY(), -40), TODAY()), 1, FALSE)), ""select Col2 where Col2 is not null limit 22 label Col2 ''"", 0)), """")"),"")</f>
        <v/>
      </c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8"/>
      <c r="AO172" s="28"/>
      <c r="AP172" s="29"/>
      <c r="AQ172" s="29" t="str">
        <f t="shared" ref="AQ172:BL172" si="175">T172/T$2</f>
        <v>#N/A</v>
      </c>
      <c r="AR172" s="29" t="str">
        <f t="shared" si="175"/>
        <v>#DIV/0!</v>
      </c>
      <c r="AS172" s="29" t="str">
        <f t="shared" si="175"/>
        <v>#DIV/0!</v>
      </c>
      <c r="AT172" s="29" t="str">
        <f t="shared" si="175"/>
        <v>#DIV/0!</v>
      </c>
      <c r="AU172" s="29" t="str">
        <f t="shared" si="175"/>
        <v>#DIV/0!</v>
      </c>
      <c r="AV172" s="29" t="str">
        <f t="shared" si="175"/>
        <v>#DIV/0!</v>
      </c>
      <c r="AW172" s="29" t="str">
        <f t="shared" si="175"/>
        <v>#DIV/0!</v>
      </c>
      <c r="AX172" s="29" t="str">
        <f t="shared" si="175"/>
        <v>#DIV/0!</v>
      </c>
      <c r="AY172" s="29" t="str">
        <f t="shared" si="175"/>
        <v>#DIV/0!</v>
      </c>
      <c r="AZ172" s="29" t="str">
        <f t="shared" si="175"/>
        <v>#DIV/0!</v>
      </c>
      <c r="BA172" s="29" t="str">
        <f t="shared" si="175"/>
        <v>#DIV/0!</v>
      </c>
      <c r="BB172" s="29" t="str">
        <f t="shared" si="175"/>
        <v>#DIV/0!</v>
      </c>
      <c r="BC172" s="29" t="str">
        <f t="shared" si="175"/>
        <v>#DIV/0!</v>
      </c>
      <c r="BD172" s="29" t="str">
        <f t="shared" si="175"/>
        <v>#DIV/0!</v>
      </c>
      <c r="BE172" s="29" t="str">
        <f t="shared" si="175"/>
        <v>#DIV/0!</v>
      </c>
      <c r="BF172" s="29" t="str">
        <f t="shared" si="175"/>
        <v>#DIV/0!</v>
      </c>
      <c r="BG172" s="29" t="str">
        <f t="shared" si="175"/>
        <v>#DIV/0!</v>
      </c>
      <c r="BH172" s="29" t="str">
        <f t="shared" si="175"/>
        <v>#DIV/0!</v>
      </c>
      <c r="BI172" s="29" t="str">
        <f t="shared" si="175"/>
        <v>#DIV/0!</v>
      </c>
      <c r="BJ172" s="29" t="str">
        <f t="shared" si="175"/>
        <v>#DIV/0!</v>
      </c>
      <c r="BK172" s="29" t="str">
        <f t="shared" si="175"/>
        <v>#DIV/0!</v>
      </c>
      <c r="BL172" s="29" t="str">
        <f t="shared" si="175"/>
        <v>#DIV/0!</v>
      </c>
      <c r="BM172" s="29" t="str">
        <f t="shared" si="3"/>
        <v>#DIV/0!</v>
      </c>
    </row>
    <row r="173">
      <c r="A173" s="16" t="str">
        <f>IFERROR(__xludf.DUMMYFUNCTION("IFERROR(SPARKLINE(SORT(MAP(TRANSPOSE(AQ173:BL173), LAMBDA(val, IF(ISNUMBER(val), PERCENTRANK(AQ173:BL173, val)+0.01, 0))), SEQUENCE(COLUMNS(AQ173:BL173)), FALSE), {""charttype"",""column""; ""color"",""chartreuse""; ""ymin"", 0; ""ymax"", 1.01; ""highcolo"&amp;"r"", ""darkgreen""; ""lowcolor"", ""red""}), """")"),"")</f>
        <v/>
      </c>
      <c r="B173" s="17" t="str">
        <f t="shared" si="4"/>
        <v/>
      </c>
      <c r="C173" s="1" t="s">
        <v>826</v>
      </c>
      <c r="D173" s="34" t="str">
        <f>IFERROR(__xludf.DUMMYFUNCTION("IFERROR(GOOGLEFINANCE(C173, ""NAME""))"),"Ameriprise Financial, Inc.")</f>
        <v>Ameriprise Financial, Inc.</v>
      </c>
      <c r="E173" s="30" t="s">
        <v>64</v>
      </c>
      <c r="F173" s="33" t="str">
        <f>IFERROR(__xludf.DUMMYFUNCTION("( (GOOGLEFINANCE(C173, ""price"") - Q173) / Q173 ) / (R173 / 100)"),"Loading...")</f>
        <v>Loading...</v>
      </c>
      <c r="G173" s="20" t="str">
        <f>IFERROR(__xludf.DUMMYFUNCTION("AVERAGE(ARRAYFORMULA(100 * (QUERY(GOOGLEFINANCE(C173, ""high"", TODAY()-40, TODAY()), ""SELECT Col2 WHERE Col2 IS NOT NULL ORDER BY Col1 DESC LIMIT 20"", 0) / QUERY(GOOGLEFINANCE(C173, ""low"", TODAY()-40, TODAY()), ""SELECT Col2 WHERE Col2 IS NOT NULL OR"&amp;"DER BY Col1 DESC LIMIT 20"", 0) - 1)))"),"#N/A")</f>
        <v>#N/A</v>
      </c>
      <c r="H173" s="35" t="str">
        <f t="shared" si="6"/>
        <v/>
      </c>
      <c r="I173" s="36" t="str">
        <f t="shared" si="7"/>
        <v/>
      </c>
      <c r="J173" s="37" t="str">
        <f>IFERROR(__xludf.DUMMYFUNCTION("IFERROR(
  IF(C173="""",, 
    IFERROR(
      GOOGLEFINANCE(C173, ""price"") * GOOGLEFINANCE(C173, ""volumeavg""), 
      GOOGLEFINANCE(C173, ""price"") * AVERAGE(QUERY(GOOGLEFINANCE(C173, ""volume"", TODAY()-40, TODAY()), ""SELECT Col2 WHERE Col2 IS NOT "&amp;"NULL ORDER BY Col1 DESC LIMIT 20"", 0))
    )
  ), 
"""")"),"")</f>
        <v/>
      </c>
      <c r="K173" s="21" t="str">
        <f>IFERROR(__xludf.DUMMYFUNCTION("IFERROR(GOOGLEFINANCE(C173, ""changepct"") / 100, """")"),"")</f>
        <v/>
      </c>
      <c r="L173" s="21" t="str">
        <f>IFERROR(__xludf.DUMMYFUNCTION("IFERROR((GOOGLEFINANCE(C173, ""price"") / INDEX(GOOGLEFINANCE(C173, ""price"", TODAY()-7, TODAY()), 2, 2)) - 1, """")"),"")</f>
        <v/>
      </c>
      <c r="M173" s="21" t="str">
        <f>IFERROR(__xludf.DUMMYFUNCTION("IFERROR((GOOGLEFINANCE(C173, ""price"") / INDEX(GOOGLEFINANCE(C173, ""price"", EDATE(TODAY(), -1), TODAY()), 2, 2)) - 1, """")"),"")</f>
        <v/>
      </c>
      <c r="N173" s="21" t="str">
        <f>IFERROR(__xludf.DUMMYFUNCTION("IFERROR((GOOGLEFINANCE(C173, ""price"") / INDEX(GOOGLEFINANCE(C173, ""price"", EDATE(TODAY(), -3), TODAY()), 2, 2)) - 1, """")"),"")</f>
        <v/>
      </c>
      <c r="O173" s="21" t="str">
        <f>IFERROR(__xludf.DUMMYFUNCTION("IFERROR((GOOGLEFINANCE(C173, ""price"") / INDEX(GOOGLEFINANCE(C173, ""price"", EDATE(TODAY(), -6), TODAY()), 2, 2)) - 1, """")"),"")</f>
        <v/>
      </c>
      <c r="P173" s="21" t="str">
        <f>IFERROR(__xludf.DUMMYFUNCTION("IFERROR((GOOGLEFINANCE(C173, ""price"") / INDEX(GOOGLEFINANCE(C173, ""price"", EDATE(TODAY(), -12), TODAY()), 2, 2)) - 1, """")"),"")</f>
        <v/>
      </c>
      <c r="Q173" s="6" t="str">
        <f>IFERROR(__xludf.DUMMYFUNCTION("AVERAGE(QUERY(GOOGLEFINANCE(C173, ""price"", TODAY()-80, TODAY()), ""SELECT Col2 WHERE Col2 IS NOT NULL ORDER BY Col1 DESC LIMIT 50"", 0))"),"#N/A")</f>
        <v>#N/A</v>
      </c>
      <c r="R173" s="24" t="str">
        <f>IFERROR(__xludf.DUMMYFUNCTION("IFERROR(
  LET(
    data, QUERY(GOOGLEFINANCE(C173,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GOOGLEFINANCE(C173, ""price"")) * 100,
    IF(calc=0, G173, calc)
  ), 
G173)"),"#N/A")</f>
        <v>#N/A</v>
      </c>
      <c r="S173" s="8" t="s">
        <v>15</v>
      </c>
      <c r="T173" s="26" t="str">
        <f>IFERROR(__xludf.DUMMYFUNCTION("IFERROR(TRANSPOSE(QUERY(IFERROR(SORT(GOOGLEFINANCE(C173, ""price"", WORKDAY(TODAY(), -40), TODAY()), 1, FALSE)), ""select Col2 where Col2 is not null limit 22 label Col2 ''"", 0)), """")"),"")</f>
        <v/>
      </c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8"/>
      <c r="AO173" s="28"/>
      <c r="AP173" s="29"/>
      <c r="AQ173" s="29" t="str">
        <f t="shared" ref="AQ173:BL173" si="176">T173/T$2</f>
        <v>#N/A</v>
      </c>
      <c r="AR173" s="29" t="str">
        <f t="shared" si="176"/>
        <v>#DIV/0!</v>
      </c>
      <c r="AS173" s="29" t="str">
        <f t="shared" si="176"/>
        <v>#DIV/0!</v>
      </c>
      <c r="AT173" s="29" t="str">
        <f t="shared" si="176"/>
        <v>#DIV/0!</v>
      </c>
      <c r="AU173" s="29" t="str">
        <f t="shared" si="176"/>
        <v>#DIV/0!</v>
      </c>
      <c r="AV173" s="29" t="str">
        <f t="shared" si="176"/>
        <v>#DIV/0!</v>
      </c>
      <c r="AW173" s="29" t="str">
        <f t="shared" si="176"/>
        <v>#DIV/0!</v>
      </c>
      <c r="AX173" s="29" t="str">
        <f t="shared" si="176"/>
        <v>#DIV/0!</v>
      </c>
      <c r="AY173" s="29" t="str">
        <f t="shared" si="176"/>
        <v>#DIV/0!</v>
      </c>
      <c r="AZ173" s="29" t="str">
        <f t="shared" si="176"/>
        <v>#DIV/0!</v>
      </c>
      <c r="BA173" s="29" t="str">
        <f t="shared" si="176"/>
        <v>#DIV/0!</v>
      </c>
      <c r="BB173" s="29" t="str">
        <f t="shared" si="176"/>
        <v>#DIV/0!</v>
      </c>
      <c r="BC173" s="29" t="str">
        <f t="shared" si="176"/>
        <v>#DIV/0!</v>
      </c>
      <c r="BD173" s="29" t="str">
        <f t="shared" si="176"/>
        <v>#DIV/0!</v>
      </c>
      <c r="BE173" s="29" t="str">
        <f t="shared" si="176"/>
        <v>#DIV/0!</v>
      </c>
      <c r="BF173" s="29" t="str">
        <f t="shared" si="176"/>
        <v>#DIV/0!</v>
      </c>
      <c r="BG173" s="29" t="str">
        <f t="shared" si="176"/>
        <v>#DIV/0!</v>
      </c>
      <c r="BH173" s="29" t="str">
        <f t="shared" si="176"/>
        <v>#DIV/0!</v>
      </c>
      <c r="BI173" s="29" t="str">
        <f t="shared" si="176"/>
        <v>#DIV/0!</v>
      </c>
      <c r="BJ173" s="29" t="str">
        <f t="shared" si="176"/>
        <v>#DIV/0!</v>
      </c>
      <c r="BK173" s="29" t="str">
        <f t="shared" si="176"/>
        <v>#DIV/0!</v>
      </c>
      <c r="BL173" s="29" t="str">
        <f t="shared" si="176"/>
        <v>#DIV/0!</v>
      </c>
      <c r="BM173" s="29" t="str">
        <f t="shared" si="3"/>
        <v>#DIV/0!</v>
      </c>
    </row>
    <row r="174">
      <c r="A174" s="16" t="str">
        <f>IFERROR(__xludf.DUMMYFUNCTION("IFERROR(SPARKLINE(SORT(MAP(TRANSPOSE(AQ174:BL174), LAMBDA(val, IF(ISNUMBER(val), PERCENTRANK(AQ174:BL174, val)+0.01, 0))), SEQUENCE(COLUMNS(AQ174:BL174)), FALSE), {""charttype"",""column""; ""color"",""chartreuse""; ""ymin"", 0; ""ymax"", 1.01; ""highcolo"&amp;"r"", ""darkgreen""; ""lowcolor"", ""red""}), """")"),"")</f>
        <v/>
      </c>
      <c r="B174" s="17" t="str">
        <f t="shared" si="4"/>
        <v/>
      </c>
      <c r="C174" s="1" t="s">
        <v>832</v>
      </c>
      <c r="D174" s="34" t="str">
        <f>IFERROR(__xludf.DUMMYFUNCTION("IFERROR(GOOGLEFINANCE(C174, ""NAME""))"),"Aon PLC")</f>
        <v>Aon PLC</v>
      </c>
      <c r="E174" s="30" t="s">
        <v>311</v>
      </c>
      <c r="F174" s="38" t="str">
        <f>IFERROR(__xludf.DUMMYFUNCTION("( (GOOGLEFINANCE(C174, ""price"") - Q174) / Q174 ) / (R174 / 100)"),"Loading...")</f>
        <v>Loading...</v>
      </c>
      <c r="G174" s="20" t="str">
        <f>IFERROR(__xludf.DUMMYFUNCTION("AVERAGE(ARRAYFORMULA(100 * (QUERY(GOOGLEFINANCE(C174, ""high"", TODAY()-40, TODAY()), ""SELECT Col2 WHERE Col2 IS NOT NULL ORDER BY Col1 DESC LIMIT 20"", 0) / QUERY(GOOGLEFINANCE(C174, ""low"", TODAY()-40, TODAY()), ""SELECT Col2 WHERE Col2 IS NOT NULL OR"&amp;"DER BY Col1 DESC LIMIT 20"", 0) - 1)))"),"#N/A")</f>
        <v>#N/A</v>
      </c>
      <c r="H174" s="35" t="str">
        <f t="shared" si="6"/>
        <v/>
      </c>
      <c r="I174" s="36" t="str">
        <f t="shared" si="7"/>
        <v/>
      </c>
      <c r="J174" s="37" t="str">
        <f>IFERROR(__xludf.DUMMYFUNCTION("IFERROR(
  IF(C174="""",, 
    IFERROR(
      GOOGLEFINANCE(C174, ""price"") * GOOGLEFINANCE(C174, ""volumeavg""), 
      GOOGLEFINANCE(C174, ""price"") * AVERAGE(QUERY(GOOGLEFINANCE(C174, ""volume"", TODAY()-40, TODAY()), ""SELECT Col2 WHERE Col2 IS NOT "&amp;"NULL ORDER BY Col1 DESC LIMIT 20"", 0))
    )
  ), 
"""")"),"")</f>
        <v/>
      </c>
      <c r="K174" s="21" t="str">
        <f>IFERROR(__xludf.DUMMYFUNCTION("IFERROR(GOOGLEFINANCE(C174, ""changepct"") / 100, """")"),"")</f>
        <v/>
      </c>
      <c r="L174" s="21" t="str">
        <f>IFERROR(__xludf.DUMMYFUNCTION("IFERROR((GOOGLEFINANCE(C174, ""price"") / INDEX(GOOGLEFINANCE(C174, ""price"", TODAY()-7, TODAY()), 2, 2)) - 1, """")"),"")</f>
        <v/>
      </c>
      <c r="M174" s="21" t="str">
        <f>IFERROR(__xludf.DUMMYFUNCTION("IFERROR((GOOGLEFINANCE(C174, ""price"") / INDEX(GOOGLEFINANCE(C174, ""price"", EDATE(TODAY(), -1), TODAY()), 2, 2)) - 1, """")"),"")</f>
        <v/>
      </c>
      <c r="N174" s="21" t="str">
        <f>IFERROR(__xludf.DUMMYFUNCTION("IFERROR((GOOGLEFINANCE(C174, ""price"") / INDEX(GOOGLEFINANCE(C174, ""price"", EDATE(TODAY(), -3), TODAY()), 2, 2)) - 1, """")"),"")</f>
        <v/>
      </c>
      <c r="O174" s="21" t="str">
        <f>IFERROR(__xludf.DUMMYFUNCTION("IFERROR((GOOGLEFINANCE(C174, ""price"") / INDEX(GOOGLEFINANCE(C174, ""price"", EDATE(TODAY(), -6), TODAY()), 2, 2)) - 1, """")"),"")</f>
        <v/>
      </c>
      <c r="P174" s="21" t="str">
        <f>IFERROR(__xludf.DUMMYFUNCTION("IFERROR((GOOGLEFINANCE(C174, ""price"") / INDEX(GOOGLEFINANCE(C174, ""price"", EDATE(TODAY(), -12), TODAY()), 2, 2)) - 1, """")"),"")</f>
        <v/>
      </c>
      <c r="Q174" s="6" t="str">
        <f>IFERROR(__xludf.DUMMYFUNCTION("AVERAGE(QUERY(GOOGLEFINANCE(C174, ""price"", TODAY()-80, TODAY()), ""SELECT Col2 WHERE Col2 IS NOT NULL ORDER BY Col1 DESC LIMIT 50"", 0))"),"#N/A")</f>
        <v>#N/A</v>
      </c>
      <c r="R174" s="24" t="str">
        <f>IFERROR(__xludf.DUMMYFUNCTION("IFERROR(
  LET(
    data, QUERY(GOOGLEFINANCE(C174,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GOOGLEFINANCE(C174, ""price"")) * 100,
    IF(calc=0, G174, calc)
  ), 
G174)"),"#N/A")</f>
        <v>#N/A</v>
      </c>
      <c r="S174" s="8" t="s">
        <v>15</v>
      </c>
      <c r="T174" s="26" t="str">
        <f>IFERROR(__xludf.DUMMYFUNCTION("IFERROR(TRANSPOSE(QUERY(IFERROR(SORT(GOOGLEFINANCE(C174, ""price"", WORKDAY(TODAY(), -40), TODAY()), 1, FALSE)), ""select Col2 where Col2 is not null limit 22 label Col2 ''"", 0)), """")"),"")</f>
        <v/>
      </c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8"/>
      <c r="AO174" s="28"/>
      <c r="AP174" s="29"/>
      <c r="AQ174" s="29" t="str">
        <f t="shared" ref="AQ174:BL174" si="177">T174/T$2</f>
        <v>#N/A</v>
      </c>
      <c r="AR174" s="29" t="str">
        <f t="shared" si="177"/>
        <v>#DIV/0!</v>
      </c>
      <c r="AS174" s="29" t="str">
        <f t="shared" si="177"/>
        <v>#DIV/0!</v>
      </c>
      <c r="AT174" s="29" t="str">
        <f t="shared" si="177"/>
        <v>#DIV/0!</v>
      </c>
      <c r="AU174" s="29" t="str">
        <f t="shared" si="177"/>
        <v>#DIV/0!</v>
      </c>
      <c r="AV174" s="29" t="str">
        <f t="shared" si="177"/>
        <v>#DIV/0!</v>
      </c>
      <c r="AW174" s="29" t="str">
        <f t="shared" si="177"/>
        <v>#DIV/0!</v>
      </c>
      <c r="AX174" s="29" t="str">
        <f t="shared" si="177"/>
        <v>#DIV/0!</v>
      </c>
      <c r="AY174" s="29" t="str">
        <f t="shared" si="177"/>
        <v>#DIV/0!</v>
      </c>
      <c r="AZ174" s="29" t="str">
        <f t="shared" si="177"/>
        <v>#DIV/0!</v>
      </c>
      <c r="BA174" s="29" t="str">
        <f t="shared" si="177"/>
        <v>#DIV/0!</v>
      </c>
      <c r="BB174" s="29" t="str">
        <f t="shared" si="177"/>
        <v>#DIV/0!</v>
      </c>
      <c r="BC174" s="29" t="str">
        <f t="shared" si="177"/>
        <v>#DIV/0!</v>
      </c>
      <c r="BD174" s="29" t="str">
        <f t="shared" si="177"/>
        <v>#DIV/0!</v>
      </c>
      <c r="BE174" s="29" t="str">
        <f t="shared" si="177"/>
        <v>#DIV/0!</v>
      </c>
      <c r="BF174" s="29" t="str">
        <f t="shared" si="177"/>
        <v>#DIV/0!</v>
      </c>
      <c r="BG174" s="29" t="str">
        <f t="shared" si="177"/>
        <v>#DIV/0!</v>
      </c>
      <c r="BH174" s="29" t="str">
        <f t="shared" si="177"/>
        <v>#DIV/0!</v>
      </c>
      <c r="BI174" s="29" t="str">
        <f t="shared" si="177"/>
        <v>#DIV/0!</v>
      </c>
      <c r="BJ174" s="29" t="str">
        <f t="shared" si="177"/>
        <v>#DIV/0!</v>
      </c>
      <c r="BK174" s="29" t="str">
        <f t="shared" si="177"/>
        <v>#DIV/0!</v>
      </c>
      <c r="BL174" s="29" t="str">
        <f t="shared" si="177"/>
        <v>#DIV/0!</v>
      </c>
      <c r="BM174" s="29" t="str">
        <f t="shared" si="3"/>
        <v>#DIV/0!</v>
      </c>
    </row>
    <row r="175">
      <c r="A175" s="16" t="str">
        <f>IFERROR(__xludf.DUMMYFUNCTION("IFERROR(SPARKLINE(SORT(MAP(TRANSPOSE(AQ175:BL175), LAMBDA(val, IF(ISNUMBER(val), PERCENTRANK(AQ175:BL175, val)+0.01, 0))), SEQUENCE(COLUMNS(AQ175:BL175)), FALSE), {""charttype"",""column""; ""color"",""chartreuse""; ""ymin"", 0; ""ymax"", 1.01; ""highcolo"&amp;"r"", ""darkgreen""; ""lowcolor"", ""red""}), """")"),"")</f>
        <v/>
      </c>
      <c r="B175" s="17" t="str">
        <f t="shared" si="4"/>
        <v/>
      </c>
      <c r="C175" s="1" t="s">
        <v>840</v>
      </c>
      <c r="D175" s="34" t="str">
        <f>IFERROR(__xludf.DUMMYFUNCTION("IFERROR(GOOGLEFINANCE(C175, ""NAME""))"),"Canadian Imperial Bank of Commerce")</f>
        <v>Canadian Imperial Bank of Commerce</v>
      </c>
      <c r="E175" s="30" t="s">
        <v>236</v>
      </c>
      <c r="F175" s="33" t="str">
        <f>IFERROR(__xludf.DUMMYFUNCTION("( (GOOGLEFINANCE(C175, ""price"") - Q175) / Q175 ) / (R175 / 100)"),"Loading...")</f>
        <v>Loading...</v>
      </c>
      <c r="G175" s="20" t="str">
        <f>IFERROR(__xludf.DUMMYFUNCTION("AVERAGE(ARRAYFORMULA(100 * (QUERY(GOOGLEFINANCE(C175, ""high"", TODAY()-40, TODAY()), ""SELECT Col2 WHERE Col2 IS NOT NULL ORDER BY Col1 DESC LIMIT 20"", 0) / QUERY(GOOGLEFINANCE(C175, ""low"", TODAY()-40, TODAY()), ""SELECT Col2 WHERE Col2 IS NOT NULL OR"&amp;"DER BY Col1 DESC LIMIT 20"", 0) - 1)))"),"#N/A")</f>
        <v>#N/A</v>
      </c>
      <c r="H175" s="35" t="str">
        <f t="shared" si="6"/>
        <v/>
      </c>
      <c r="I175" s="36" t="str">
        <f t="shared" si="7"/>
        <v/>
      </c>
      <c r="J175" s="37" t="str">
        <f>IFERROR(__xludf.DUMMYFUNCTION("IFERROR(
  IF(C175="""",, 
    IFERROR(
      GOOGLEFINANCE(C175, ""price"") * GOOGLEFINANCE(C175, ""volumeavg""), 
      GOOGLEFINANCE(C175, ""price"") * AVERAGE(QUERY(GOOGLEFINANCE(C175, ""volume"", TODAY()-40, TODAY()), ""SELECT Col2 WHERE Col2 IS NOT "&amp;"NULL ORDER BY Col1 DESC LIMIT 20"", 0))
    )
  ), 
"""")"),"")</f>
        <v/>
      </c>
      <c r="K175" s="21" t="str">
        <f>IFERROR(__xludf.DUMMYFUNCTION("IFERROR(GOOGLEFINANCE(C175, ""changepct"") / 100, """")"),"")</f>
        <v/>
      </c>
      <c r="L175" s="21" t="str">
        <f>IFERROR(__xludf.DUMMYFUNCTION("IFERROR((GOOGLEFINANCE(C175, ""price"") / INDEX(GOOGLEFINANCE(C175, ""price"", TODAY()-7, TODAY()), 2, 2)) - 1, """")"),"")</f>
        <v/>
      </c>
      <c r="M175" s="21" t="str">
        <f>IFERROR(__xludf.DUMMYFUNCTION("IFERROR((GOOGLEFINANCE(C175, ""price"") / INDEX(GOOGLEFINANCE(C175, ""price"", EDATE(TODAY(), -1), TODAY()), 2, 2)) - 1, """")"),"")</f>
        <v/>
      </c>
      <c r="N175" s="21" t="str">
        <f>IFERROR(__xludf.DUMMYFUNCTION("IFERROR((GOOGLEFINANCE(C175, ""price"") / INDEX(GOOGLEFINANCE(C175, ""price"", EDATE(TODAY(), -3), TODAY()), 2, 2)) - 1, """")"),"")</f>
        <v/>
      </c>
      <c r="O175" s="21" t="str">
        <f>IFERROR(__xludf.DUMMYFUNCTION("IFERROR((GOOGLEFINANCE(C175, ""price"") / INDEX(GOOGLEFINANCE(C175, ""price"", EDATE(TODAY(), -6), TODAY()), 2, 2)) - 1, """")"),"")</f>
        <v/>
      </c>
      <c r="P175" s="21" t="str">
        <f>IFERROR(__xludf.DUMMYFUNCTION("IFERROR((GOOGLEFINANCE(C175, ""price"") / INDEX(GOOGLEFINANCE(C175, ""price"", EDATE(TODAY(), -12), TODAY()), 2, 2)) - 1, """")"),"")</f>
        <v/>
      </c>
      <c r="Q175" s="6" t="str">
        <f>IFERROR(__xludf.DUMMYFUNCTION("AVERAGE(QUERY(GOOGLEFINANCE(C175, ""price"", TODAY()-80, TODAY()), ""SELECT Col2 WHERE Col2 IS NOT NULL ORDER BY Col1 DESC LIMIT 50"", 0))"),"#N/A")</f>
        <v>#N/A</v>
      </c>
      <c r="R175" s="24" t="str">
        <f>IFERROR(__xludf.DUMMYFUNCTION("IFERROR(
  LET(
    data, QUERY(GOOGLEFINANCE(C175,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GOOGLEFINANCE(C175, ""price"")) * 100,
    IF(calc=0, G175, calc)
  ), 
G175)"),"#N/A")</f>
        <v>#N/A</v>
      </c>
      <c r="S175" s="8" t="s">
        <v>15</v>
      </c>
      <c r="T175" s="26" t="str">
        <f>IFERROR(__xludf.DUMMYFUNCTION("IFERROR(TRANSPOSE(QUERY(IFERROR(SORT(GOOGLEFINANCE(C175, ""price"", WORKDAY(TODAY(), -40), TODAY()), 1, FALSE)), ""select Col2 where Col2 is not null limit 22 label Col2 ''"", 0)), """")"),"")</f>
        <v/>
      </c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8"/>
      <c r="AO175" s="28"/>
      <c r="AP175" s="29"/>
      <c r="AQ175" s="29" t="str">
        <f t="shared" ref="AQ175:BL175" si="178">T175/T$2</f>
        <v>#N/A</v>
      </c>
      <c r="AR175" s="29" t="str">
        <f t="shared" si="178"/>
        <v>#DIV/0!</v>
      </c>
      <c r="AS175" s="29" t="str">
        <f t="shared" si="178"/>
        <v>#DIV/0!</v>
      </c>
      <c r="AT175" s="29" t="str">
        <f t="shared" si="178"/>
        <v>#DIV/0!</v>
      </c>
      <c r="AU175" s="29" t="str">
        <f t="shared" si="178"/>
        <v>#DIV/0!</v>
      </c>
      <c r="AV175" s="29" t="str">
        <f t="shared" si="178"/>
        <v>#DIV/0!</v>
      </c>
      <c r="AW175" s="29" t="str">
        <f t="shared" si="178"/>
        <v>#DIV/0!</v>
      </c>
      <c r="AX175" s="29" t="str">
        <f t="shared" si="178"/>
        <v>#DIV/0!</v>
      </c>
      <c r="AY175" s="29" t="str">
        <f t="shared" si="178"/>
        <v>#DIV/0!</v>
      </c>
      <c r="AZ175" s="29" t="str">
        <f t="shared" si="178"/>
        <v>#DIV/0!</v>
      </c>
      <c r="BA175" s="29" t="str">
        <f t="shared" si="178"/>
        <v>#DIV/0!</v>
      </c>
      <c r="BB175" s="29" t="str">
        <f t="shared" si="178"/>
        <v>#DIV/0!</v>
      </c>
      <c r="BC175" s="29" t="str">
        <f t="shared" si="178"/>
        <v>#DIV/0!</v>
      </c>
      <c r="BD175" s="29" t="str">
        <f t="shared" si="178"/>
        <v>#DIV/0!</v>
      </c>
      <c r="BE175" s="29" t="str">
        <f t="shared" si="178"/>
        <v>#DIV/0!</v>
      </c>
      <c r="BF175" s="29" t="str">
        <f t="shared" si="178"/>
        <v>#DIV/0!</v>
      </c>
      <c r="BG175" s="29" t="str">
        <f t="shared" si="178"/>
        <v>#DIV/0!</v>
      </c>
      <c r="BH175" s="29" t="str">
        <f t="shared" si="178"/>
        <v>#DIV/0!</v>
      </c>
      <c r="BI175" s="29" t="str">
        <f t="shared" si="178"/>
        <v>#DIV/0!</v>
      </c>
      <c r="BJ175" s="29" t="str">
        <f t="shared" si="178"/>
        <v>#DIV/0!</v>
      </c>
      <c r="BK175" s="29" t="str">
        <f t="shared" si="178"/>
        <v>#DIV/0!</v>
      </c>
      <c r="BL175" s="29" t="str">
        <f t="shared" si="178"/>
        <v>#DIV/0!</v>
      </c>
      <c r="BM175" s="29" t="str">
        <f t="shared" si="3"/>
        <v>#DIV/0!</v>
      </c>
    </row>
    <row r="176">
      <c r="A176" s="16" t="str">
        <f>IFERROR(__xludf.DUMMYFUNCTION("IFERROR(SPARKLINE(SORT(MAP(TRANSPOSE(AQ176:BL176), LAMBDA(val, IF(ISNUMBER(val), PERCENTRANK(AQ176:BL176, val)+0.01, 0))), SEQUENCE(COLUMNS(AQ176:BL176)), FALSE), {""charttype"",""column""; ""color"",""chartreuse""; ""ymin"", 0; ""ymax"", 1.01; ""highcolo"&amp;"r"", ""darkgreen""; ""lowcolor"", ""red""}), """")"),"")</f>
        <v/>
      </c>
      <c r="B176" s="17" t="str">
        <f t="shared" si="4"/>
        <v/>
      </c>
      <c r="C176" s="1" t="s">
        <v>848</v>
      </c>
      <c r="D176" s="34" t="str">
        <f>IFERROR(__xludf.DUMMYFUNCTION("IFERROR(GOOGLEFINANCE(C176, ""NAME""))"),"Northern Trust Corp")</f>
        <v>Northern Trust Corp</v>
      </c>
      <c r="E176" s="30" t="s">
        <v>64</v>
      </c>
      <c r="F176" s="38" t="str">
        <f>IFERROR(__xludf.DUMMYFUNCTION("( (GOOGLEFINANCE(C176, ""price"") - Q176) / Q176 ) / (R176 / 100)"),"Loading...")</f>
        <v>Loading...</v>
      </c>
      <c r="G176" s="20" t="str">
        <f>IFERROR(__xludf.DUMMYFUNCTION("AVERAGE(ARRAYFORMULA(100 * (QUERY(GOOGLEFINANCE(C176, ""high"", TODAY()-40, TODAY()), ""SELECT Col2 WHERE Col2 IS NOT NULL ORDER BY Col1 DESC LIMIT 20"", 0) / QUERY(GOOGLEFINANCE(C176, ""low"", TODAY()-40, TODAY()), ""SELECT Col2 WHERE Col2 IS NOT NULL OR"&amp;"DER BY Col1 DESC LIMIT 20"", 0) - 1)))"),"#N/A")</f>
        <v>#N/A</v>
      </c>
      <c r="H176" s="35" t="str">
        <f t="shared" si="6"/>
        <v/>
      </c>
      <c r="I176" s="36" t="str">
        <f t="shared" si="7"/>
        <v/>
      </c>
      <c r="J176" s="37" t="str">
        <f>IFERROR(__xludf.DUMMYFUNCTION("IFERROR(
  IF(C176="""",, 
    IFERROR(
      GOOGLEFINANCE(C176, ""price"") * GOOGLEFINANCE(C176, ""volumeavg""), 
      GOOGLEFINANCE(C176, ""price"") * AVERAGE(QUERY(GOOGLEFINANCE(C176, ""volume"", TODAY()-40, TODAY()), ""SELECT Col2 WHERE Col2 IS NOT "&amp;"NULL ORDER BY Col1 DESC LIMIT 20"", 0))
    )
  ), 
"""")"),"")</f>
        <v/>
      </c>
      <c r="K176" s="21" t="str">
        <f>IFERROR(__xludf.DUMMYFUNCTION("IFERROR(GOOGLEFINANCE(C176, ""changepct"") / 100, """")"),"")</f>
        <v/>
      </c>
      <c r="L176" s="21" t="str">
        <f>IFERROR(__xludf.DUMMYFUNCTION("IFERROR((GOOGLEFINANCE(C176, ""price"") / INDEX(GOOGLEFINANCE(C176, ""price"", TODAY()-7, TODAY()), 2, 2)) - 1, """")"),"")</f>
        <v/>
      </c>
      <c r="M176" s="21" t="str">
        <f>IFERROR(__xludf.DUMMYFUNCTION("IFERROR((GOOGLEFINANCE(C176, ""price"") / INDEX(GOOGLEFINANCE(C176, ""price"", EDATE(TODAY(), -1), TODAY()), 2, 2)) - 1, """")"),"")</f>
        <v/>
      </c>
      <c r="N176" s="21" t="str">
        <f>IFERROR(__xludf.DUMMYFUNCTION("IFERROR((GOOGLEFINANCE(C176, ""price"") / INDEX(GOOGLEFINANCE(C176, ""price"", EDATE(TODAY(), -3), TODAY()), 2, 2)) - 1, """")"),"")</f>
        <v/>
      </c>
      <c r="O176" s="21" t="str">
        <f>IFERROR(__xludf.DUMMYFUNCTION("IFERROR((GOOGLEFINANCE(C176, ""price"") / INDEX(GOOGLEFINANCE(C176, ""price"", EDATE(TODAY(), -6), TODAY()), 2, 2)) - 1, """")"),"")</f>
        <v/>
      </c>
      <c r="P176" s="21" t="str">
        <f>IFERROR(__xludf.DUMMYFUNCTION("IFERROR((GOOGLEFINANCE(C176, ""price"") / INDEX(GOOGLEFINANCE(C176, ""price"", EDATE(TODAY(), -12), TODAY()), 2, 2)) - 1, """")"),"")</f>
        <v/>
      </c>
      <c r="Q176" s="6" t="str">
        <f>IFERROR(__xludf.DUMMYFUNCTION("AVERAGE(QUERY(GOOGLEFINANCE(C176, ""price"", TODAY()-80, TODAY()), ""SELECT Col2 WHERE Col2 IS NOT NULL ORDER BY Col1 DESC LIMIT 50"", 0))"),"#N/A")</f>
        <v>#N/A</v>
      </c>
      <c r="R176" s="24" t="str">
        <f>IFERROR(__xludf.DUMMYFUNCTION("IFERROR(
  LET(
    data, QUERY(GOOGLEFINANCE(C176,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GOOGLEFINANCE(C176, ""price"")) * 100,
    IF(calc=0, G176, calc)
  ), 
G176)"),"#N/A")</f>
        <v>#N/A</v>
      </c>
      <c r="S176" s="8" t="s">
        <v>15</v>
      </c>
      <c r="T176" s="26" t="str">
        <f>IFERROR(__xludf.DUMMYFUNCTION("IFERROR(TRANSPOSE(QUERY(IFERROR(SORT(GOOGLEFINANCE(C176, ""price"", WORKDAY(TODAY(), -40), TODAY()), 1, FALSE)), ""select Col2 where Col2 is not null limit 22 label Col2 ''"", 0)), """")"),"")</f>
        <v/>
      </c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8"/>
      <c r="AO176" s="28"/>
      <c r="AP176" s="29"/>
      <c r="AQ176" s="29" t="str">
        <f t="shared" ref="AQ176:BL176" si="179">T176/T$2</f>
        <v>#N/A</v>
      </c>
      <c r="AR176" s="29" t="str">
        <f t="shared" si="179"/>
        <v>#DIV/0!</v>
      </c>
      <c r="AS176" s="29" t="str">
        <f t="shared" si="179"/>
        <v>#DIV/0!</v>
      </c>
      <c r="AT176" s="29" t="str">
        <f t="shared" si="179"/>
        <v>#DIV/0!</v>
      </c>
      <c r="AU176" s="29" t="str">
        <f t="shared" si="179"/>
        <v>#DIV/0!</v>
      </c>
      <c r="AV176" s="29" t="str">
        <f t="shared" si="179"/>
        <v>#DIV/0!</v>
      </c>
      <c r="AW176" s="29" t="str">
        <f t="shared" si="179"/>
        <v>#DIV/0!</v>
      </c>
      <c r="AX176" s="29" t="str">
        <f t="shared" si="179"/>
        <v>#DIV/0!</v>
      </c>
      <c r="AY176" s="29" t="str">
        <f t="shared" si="179"/>
        <v>#DIV/0!</v>
      </c>
      <c r="AZ176" s="29" t="str">
        <f t="shared" si="179"/>
        <v>#DIV/0!</v>
      </c>
      <c r="BA176" s="29" t="str">
        <f t="shared" si="179"/>
        <v>#DIV/0!</v>
      </c>
      <c r="BB176" s="29" t="str">
        <f t="shared" si="179"/>
        <v>#DIV/0!</v>
      </c>
      <c r="BC176" s="29" t="str">
        <f t="shared" si="179"/>
        <v>#DIV/0!</v>
      </c>
      <c r="BD176" s="29" t="str">
        <f t="shared" si="179"/>
        <v>#DIV/0!</v>
      </c>
      <c r="BE176" s="29" t="str">
        <f t="shared" si="179"/>
        <v>#DIV/0!</v>
      </c>
      <c r="BF176" s="29" t="str">
        <f t="shared" si="179"/>
        <v>#DIV/0!</v>
      </c>
      <c r="BG176" s="29" t="str">
        <f t="shared" si="179"/>
        <v>#DIV/0!</v>
      </c>
      <c r="BH176" s="29" t="str">
        <f t="shared" si="179"/>
        <v>#DIV/0!</v>
      </c>
      <c r="BI176" s="29" t="str">
        <f t="shared" si="179"/>
        <v>#DIV/0!</v>
      </c>
      <c r="BJ176" s="29" t="str">
        <f t="shared" si="179"/>
        <v>#DIV/0!</v>
      </c>
      <c r="BK176" s="29" t="str">
        <f t="shared" si="179"/>
        <v>#DIV/0!</v>
      </c>
      <c r="BL176" s="29" t="str">
        <f t="shared" si="179"/>
        <v>#DIV/0!</v>
      </c>
      <c r="BM176" s="29" t="str">
        <f t="shared" si="3"/>
        <v>#DIV/0!</v>
      </c>
    </row>
    <row r="177">
      <c r="A177" s="16" t="str">
        <f>IFERROR(__xludf.DUMMYFUNCTION("IFERROR(SPARKLINE(SORT(MAP(TRANSPOSE(AQ177:BL177), LAMBDA(val, IF(ISNUMBER(val), PERCENTRANK(AQ177:BL177, val)+0.01, 0))), SEQUENCE(COLUMNS(AQ177:BL177)), FALSE), {""charttype"",""column""; ""color"",""chartreuse""; ""ymin"", 0; ""ymax"", 1.01; ""highcolo"&amp;"r"", ""darkgreen""; ""lowcolor"", ""red""}), """")"),"")</f>
        <v/>
      </c>
      <c r="B177" s="17" t="str">
        <f t="shared" si="4"/>
        <v/>
      </c>
      <c r="C177" s="1" t="s">
        <v>853</v>
      </c>
      <c r="D177" s="34" t="str">
        <f>IFERROR(__xludf.DUMMYFUNCTION("IFERROR(GOOGLEFINANCE(C177, ""NAME""))"),"W. R. Berkley Corp")</f>
        <v>W. R. Berkley Corp</v>
      </c>
      <c r="E177" s="30" t="s">
        <v>82</v>
      </c>
      <c r="F177" s="33" t="str">
        <f>IFERROR(__xludf.DUMMYFUNCTION("( (GOOGLEFINANCE(C177, ""price"") - Q177) / Q177 ) / (R177 / 100)"),"Loading...")</f>
        <v>Loading...</v>
      </c>
      <c r="G177" s="20" t="str">
        <f>IFERROR(__xludf.DUMMYFUNCTION("AVERAGE(ARRAYFORMULA(100 * (QUERY(GOOGLEFINANCE(C177, ""high"", TODAY()-40, TODAY()), ""SELECT Col2 WHERE Col2 IS NOT NULL ORDER BY Col1 DESC LIMIT 20"", 0) / QUERY(GOOGLEFINANCE(C177, ""low"", TODAY()-40, TODAY()), ""SELECT Col2 WHERE Col2 IS NOT NULL OR"&amp;"DER BY Col1 DESC LIMIT 20"", 0) - 1)))"),"#N/A")</f>
        <v>#N/A</v>
      </c>
      <c r="H177" s="35" t="str">
        <f t="shared" si="6"/>
        <v/>
      </c>
      <c r="I177" s="36" t="str">
        <f t="shared" si="7"/>
        <v/>
      </c>
      <c r="J177" s="37" t="str">
        <f>IFERROR(__xludf.DUMMYFUNCTION("IFERROR(
  IF(C177="""",, 
    IFERROR(
      GOOGLEFINANCE(C177, ""price"") * GOOGLEFINANCE(C177, ""volumeavg""), 
      GOOGLEFINANCE(C177, ""price"") * AVERAGE(QUERY(GOOGLEFINANCE(C177, ""volume"", TODAY()-40, TODAY()), ""SELECT Col2 WHERE Col2 IS NOT "&amp;"NULL ORDER BY Col1 DESC LIMIT 20"", 0))
    )
  ), 
"""")"),"")</f>
        <v/>
      </c>
      <c r="K177" s="21" t="str">
        <f>IFERROR(__xludf.DUMMYFUNCTION("IFERROR(GOOGLEFINANCE(C177, ""changepct"") / 100, """")"),"")</f>
        <v/>
      </c>
      <c r="L177" s="21" t="str">
        <f>IFERROR(__xludf.DUMMYFUNCTION("IFERROR((GOOGLEFINANCE(C177, ""price"") / INDEX(GOOGLEFINANCE(C177, ""price"", TODAY()-7, TODAY()), 2, 2)) - 1, """")"),"")</f>
        <v/>
      </c>
      <c r="M177" s="21" t="str">
        <f>IFERROR(__xludf.DUMMYFUNCTION("IFERROR((GOOGLEFINANCE(C177, ""price"") / INDEX(GOOGLEFINANCE(C177, ""price"", EDATE(TODAY(), -1), TODAY()), 2, 2)) - 1, """")"),"")</f>
        <v/>
      </c>
      <c r="N177" s="21" t="str">
        <f>IFERROR(__xludf.DUMMYFUNCTION("IFERROR((GOOGLEFINANCE(C177, ""price"") / INDEX(GOOGLEFINANCE(C177, ""price"", EDATE(TODAY(), -3), TODAY()), 2, 2)) - 1, """")"),"")</f>
        <v/>
      </c>
      <c r="O177" s="21" t="str">
        <f>IFERROR(__xludf.DUMMYFUNCTION("IFERROR((GOOGLEFINANCE(C177, ""price"") / INDEX(GOOGLEFINANCE(C177, ""price"", EDATE(TODAY(), -6), TODAY()), 2, 2)) - 1, """")"),"")</f>
        <v/>
      </c>
      <c r="P177" s="21" t="str">
        <f>IFERROR(__xludf.DUMMYFUNCTION("IFERROR((GOOGLEFINANCE(C177, ""price"") / INDEX(GOOGLEFINANCE(C177, ""price"", EDATE(TODAY(), -12), TODAY()), 2, 2)) - 1, """")"),"")</f>
        <v/>
      </c>
      <c r="Q177" s="6" t="str">
        <f>IFERROR(__xludf.DUMMYFUNCTION("AVERAGE(QUERY(GOOGLEFINANCE(C177, ""price"", TODAY()-80, TODAY()), ""SELECT Col2 WHERE Col2 IS NOT NULL ORDER BY Col1 DESC LIMIT 50"", 0))"),"#N/A")</f>
        <v>#N/A</v>
      </c>
      <c r="R177" s="24" t="str">
        <f>IFERROR(__xludf.DUMMYFUNCTION("IFERROR(
  LET(
    data, QUERY(GOOGLEFINANCE(C177,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GOOGLEFINANCE(C177, ""price"")) * 100,
    IF(calc=0, G177, calc)
  ), 
G177)"),"#N/A")</f>
        <v>#N/A</v>
      </c>
      <c r="S177" s="8" t="s">
        <v>15</v>
      </c>
      <c r="T177" s="26" t="str">
        <f>IFERROR(__xludf.DUMMYFUNCTION("IFERROR(TRANSPOSE(QUERY(IFERROR(SORT(GOOGLEFINANCE(C177, ""price"", WORKDAY(TODAY(), -40), TODAY()), 1, FALSE)), ""select Col2 where Col2 is not null limit 22 label Col2 ''"", 0)), """")"),"")</f>
        <v/>
      </c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8"/>
      <c r="AO177" s="28"/>
      <c r="AP177" s="29"/>
      <c r="AQ177" s="29" t="str">
        <f t="shared" ref="AQ177:BL177" si="180">T177/T$2</f>
        <v>#N/A</v>
      </c>
      <c r="AR177" s="29" t="str">
        <f t="shared" si="180"/>
        <v>#DIV/0!</v>
      </c>
      <c r="AS177" s="29" t="str">
        <f t="shared" si="180"/>
        <v>#DIV/0!</v>
      </c>
      <c r="AT177" s="29" t="str">
        <f t="shared" si="180"/>
        <v>#DIV/0!</v>
      </c>
      <c r="AU177" s="29" t="str">
        <f t="shared" si="180"/>
        <v>#DIV/0!</v>
      </c>
      <c r="AV177" s="29" t="str">
        <f t="shared" si="180"/>
        <v>#DIV/0!</v>
      </c>
      <c r="AW177" s="29" t="str">
        <f t="shared" si="180"/>
        <v>#DIV/0!</v>
      </c>
      <c r="AX177" s="29" t="str">
        <f t="shared" si="180"/>
        <v>#DIV/0!</v>
      </c>
      <c r="AY177" s="29" t="str">
        <f t="shared" si="180"/>
        <v>#DIV/0!</v>
      </c>
      <c r="AZ177" s="29" t="str">
        <f t="shared" si="180"/>
        <v>#DIV/0!</v>
      </c>
      <c r="BA177" s="29" t="str">
        <f t="shared" si="180"/>
        <v>#DIV/0!</v>
      </c>
      <c r="BB177" s="29" t="str">
        <f t="shared" si="180"/>
        <v>#DIV/0!</v>
      </c>
      <c r="BC177" s="29" t="str">
        <f t="shared" si="180"/>
        <v>#DIV/0!</v>
      </c>
      <c r="BD177" s="29" t="str">
        <f t="shared" si="180"/>
        <v>#DIV/0!</v>
      </c>
      <c r="BE177" s="29" t="str">
        <f t="shared" si="180"/>
        <v>#DIV/0!</v>
      </c>
      <c r="BF177" s="29" t="str">
        <f t="shared" si="180"/>
        <v>#DIV/0!</v>
      </c>
      <c r="BG177" s="29" t="str">
        <f t="shared" si="180"/>
        <v>#DIV/0!</v>
      </c>
      <c r="BH177" s="29" t="str">
        <f t="shared" si="180"/>
        <v>#DIV/0!</v>
      </c>
      <c r="BI177" s="29" t="str">
        <f t="shared" si="180"/>
        <v>#DIV/0!</v>
      </c>
      <c r="BJ177" s="29" t="str">
        <f t="shared" si="180"/>
        <v>#DIV/0!</v>
      </c>
      <c r="BK177" s="29" t="str">
        <f t="shared" si="180"/>
        <v>#DIV/0!</v>
      </c>
      <c r="BL177" s="29" t="str">
        <f t="shared" si="180"/>
        <v>#DIV/0!</v>
      </c>
      <c r="BM177" s="29" t="str">
        <f t="shared" si="3"/>
        <v>#DIV/0!</v>
      </c>
    </row>
    <row r="178">
      <c r="A178" s="16" t="str">
        <f>IFERROR(__xludf.DUMMYFUNCTION("IFERROR(SPARKLINE(SORT(MAP(TRANSPOSE(AQ178:BL178), LAMBDA(val, IF(ISNUMBER(val), PERCENTRANK(AQ178:BL178, val)+0.01, 0))), SEQUENCE(COLUMNS(AQ178:BL178)), FALSE), {""charttype"",""column""; ""color"",""chartreuse""; ""ymin"", 0; ""ymax"", 1.01; ""highcolo"&amp;"r"", ""darkgreen""; ""lowcolor"", ""red""}), """")"),"")</f>
        <v/>
      </c>
      <c r="B178" s="17" t="str">
        <f t="shared" si="4"/>
        <v/>
      </c>
      <c r="C178" s="1" t="s">
        <v>858</v>
      </c>
      <c r="D178" s="34" t="str">
        <f>IFERROR(__xludf.DUMMYFUNCTION("IFERROR(GOOGLEFINANCE(C178, ""NAME""))"),"Washington Trust Bancorp Inc")</f>
        <v>Washington Trust Bancorp Inc</v>
      </c>
      <c r="E178" s="30" t="s">
        <v>268</v>
      </c>
      <c r="F178" s="33" t="str">
        <f>IFERROR(__xludf.DUMMYFUNCTION("( (GOOGLEFINANCE(C178, ""price"") - Q178) / Q178 ) / (R178 / 100)"),"Loading...")</f>
        <v>Loading...</v>
      </c>
      <c r="G178" s="20" t="str">
        <f>IFERROR(__xludf.DUMMYFUNCTION("AVERAGE(ARRAYFORMULA(100 * (QUERY(GOOGLEFINANCE(C178, ""high"", TODAY()-40, TODAY()), ""SELECT Col2 WHERE Col2 IS NOT NULL ORDER BY Col1 DESC LIMIT 20"", 0) / QUERY(GOOGLEFINANCE(C178, ""low"", TODAY()-40, TODAY()), ""SELECT Col2 WHERE Col2 IS NOT NULL OR"&amp;"DER BY Col1 DESC LIMIT 20"", 0) - 1)))"),"#N/A")</f>
        <v>#N/A</v>
      </c>
      <c r="H178" s="35" t="str">
        <f t="shared" si="6"/>
        <v/>
      </c>
      <c r="I178" s="36" t="str">
        <f t="shared" si="7"/>
        <v/>
      </c>
      <c r="J178" s="37" t="str">
        <f>IFERROR(__xludf.DUMMYFUNCTION("IFERROR(
  IF(C178="""",, 
    IFERROR(
      GOOGLEFINANCE(C178, ""price"") * GOOGLEFINANCE(C178, ""volumeavg""), 
      GOOGLEFINANCE(C178, ""price"") * AVERAGE(QUERY(GOOGLEFINANCE(C178, ""volume"", TODAY()-40, TODAY()), ""SELECT Col2 WHERE Col2 IS NOT "&amp;"NULL ORDER BY Col1 DESC LIMIT 20"", 0))
    )
  ), 
"""")"),"")</f>
        <v/>
      </c>
      <c r="K178" s="21" t="str">
        <f>IFERROR(__xludf.DUMMYFUNCTION("IFERROR(GOOGLEFINANCE(C178, ""changepct"") / 100, """")"),"")</f>
        <v/>
      </c>
      <c r="L178" s="21" t="str">
        <f>IFERROR(__xludf.DUMMYFUNCTION("IFERROR((GOOGLEFINANCE(C178, ""price"") / INDEX(GOOGLEFINANCE(C178, ""price"", TODAY()-7, TODAY()), 2, 2)) - 1, """")"),"")</f>
        <v/>
      </c>
      <c r="M178" s="21" t="str">
        <f>IFERROR(__xludf.DUMMYFUNCTION("IFERROR((GOOGLEFINANCE(C178, ""price"") / INDEX(GOOGLEFINANCE(C178, ""price"", EDATE(TODAY(), -1), TODAY()), 2, 2)) - 1, """")"),"")</f>
        <v/>
      </c>
      <c r="N178" s="21" t="str">
        <f>IFERROR(__xludf.DUMMYFUNCTION("IFERROR((GOOGLEFINANCE(C178, ""price"") / INDEX(GOOGLEFINANCE(C178, ""price"", EDATE(TODAY(), -3), TODAY()), 2, 2)) - 1, """")"),"")</f>
        <v/>
      </c>
      <c r="O178" s="21" t="str">
        <f>IFERROR(__xludf.DUMMYFUNCTION("IFERROR((GOOGLEFINANCE(C178, ""price"") / INDEX(GOOGLEFINANCE(C178, ""price"", EDATE(TODAY(), -6), TODAY()), 2, 2)) - 1, """")"),"")</f>
        <v/>
      </c>
      <c r="P178" s="21" t="str">
        <f>IFERROR(__xludf.DUMMYFUNCTION("IFERROR((GOOGLEFINANCE(C178, ""price"") / INDEX(GOOGLEFINANCE(C178, ""price"", EDATE(TODAY(), -12), TODAY()), 2, 2)) - 1, """")"),"")</f>
        <v/>
      </c>
      <c r="Q178" s="6" t="str">
        <f>IFERROR(__xludf.DUMMYFUNCTION("AVERAGE(QUERY(GOOGLEFINANCE(C178, ""price"", TODAY()-80, TODAY()), ""SELECT Col2 WHERE Col2 IS NOT NULL ORDER BY Col1 DESC LIMIT 50"", 0))"),"#N/A")</f>
        <v>#N/A</v>
      </c>
      <c r="R178" s="24" t="str">
        <f>IFERROR(__xludf.DUMMYFUNCTION("IFERROR(
  LET(
    data, QUERY(GOOGLEFINANCE(C178,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GOOGLEFINANCE(C178, ""price"")) * 100,
    IF(calc=0, G178, calc)
  ), 
G178)"),"#N/A")</f>
        <v>#N/A</v>
      </c>
      <c r="S178" s="8" t="s">
        <v>15</v>
      </c>
      <c r="T178" s="26" t="str">
        <f>IFERROR(__xludf.DUMMYFUNCTION("IFERROR(TRANSPOSE(QUERY(IFERROR(SORT(GOOGLEFINANCE(C178, ""price"", WORKDAY(TODAY(), -40), TODAY()), 1, FALSE)), ""select Col2 where Col2 is not null limit 22 label Col2 ''"", 0)), """")"),"")</f>
        <v/>
      </c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8"/>
      <c r="AO178" s="28"/>
      <c r="AP178" s="29"/>
      <c r="AQ178" s="29" t="str">
        <f t="shared" ref="AQ178:BL178" si="181">T178/T$2</f>
        <v>#N/A</v>
      </c>
      <c r="AR178" s="29" t="str">
        <f t="shared" si="181"/>
        <v>#DIV/0!</v>
      </c>
      <c r="AS178" s="29" t="str">
        <f t="shared" si="181"/>
        <v>#DIV/0!</v>
      </c>
      <c r="AT178" s="29" t="str">
        <f t="shared" si="181"/>
        <v>#DIV/0!</v>
      </c>
      <c r="AU178" s="29" t="str">
        <f t="shared" si="181"/>
        <v>#DIV/0!</v>
      </c>
      <c r="AV178" s="29" t="str">
        <f t="shared" si="181"/>
        <v>#DIV/0!</v>
      </c>
      <c r="AW178" s="29" t="str">
        <f t="shared" si="181"/>
        <v>#DIV/0!</v>
      </c>
      <c r="AX178" s="29" t="str">
        <f t="shared" si="181"/>
        <v>#DIV/0!</v>
      </c>
      <c r="AY178" s="29" t="str">
        <f t="shared" si="181"/>
        <v>#DIV/0!</v>
      </c>
      <c r="AZ178" s="29" t="str">
        <f t="shared" si="181"/>
        <v>#DIV/0!</v>
      </c>
      <c r="BA178" s="29" t="str">
        <f t="shared" si="181"/>
        <v>#DIV/0!</v>
      </c>
      <c r="BB178" s="29" t="str">
        <f t="shared" si="181"/>
        <v>#DIV/0!</v>
      </c>
      <c r="BC178" s="29" t="str">
        <f t="shared" si="181"/>
        <v>#DIV/0!</v>
      </c>
      <c r="BD178" s="29" t="str">
        <f t="shared" si="181"/>
        <v>#DIV/0!</v>
      </c>
      <c r="BE178" s="29" t="str">
        <f t="shared" si="181"/>
        <v>#DIV/0!</v>
      </c>
      <c r="BF178" s="29" t="str">
        <f t="shared" si="181"/>
        <v>#DIV/0!</v>
      </c>
      <c r="BG178" s="29" t="str">
        <f t="shared" si="181"/>
        <v>#DIV/0!</v>
      </c>
      <c r="BH178" s="29" t="str">
        <f t="shared" si="181"/>
        <v>#DIV/0!</v>
      </c>
      <c r="BI178" s="29" t="str">
        <f t="shared" si="181"/>
        <v>#DIV/0!</v>
      </c>
      <c r="BJ178" s="29" t="str">
        <f t="shared" si="181"/>
        <v>#DIV/0!</v>
      </c>
      <c r="BK178" s="29" t="str">
        <f t="shared" si="181"/>
        <v>#DIV/0!</v>
      </c>
      <c r="BL178" s="29" t="str">
        <f t="shared" si="181"/>
        <v>#DIV/0!</v>
      </c>
      <c r="BM178" s="29" t="str">
        <f t="shared" si="3"/>
        <v>#DIV/0!</v>
      </c>
    </row>
    <row r="179">
      <c r="A179" s="16" t="str">
        <f>IFERROR(__xludf.DUMMYFUNCTION("IFERROR(SPARKLINE(SORT(MAP(TRANSPOSE(AQ179:BL179), LAMBDA(val, IF(ISNUMBER(val), PERCENTRANK(AQ179:BL179, val)+0.01, 0))), SEQUENCE(COLUMNS(AQ179:BL179)), FALSE), {""charttype"",""column""; ""color"",""chartreuse""; ""ymin"", 0; ""ymax"", 1.01; ""highcolo"&amp;"r"", ""darkgreen""; ""lowcolor"", ""red""}), """")"),"")</f>
        <v/>
      </c>
      <c r="B179" s="17" t="str">
        <f t="shared" si="4"/>
        <v/>
      </c>
      <c r="C179" s="1" t="s">
        <v>865</v>
      </c>
      <c r="D179" s="34" t="str">
        <f>IFERROR(__xludf.DUMMYFUNCTION("IFERROR(GOOGLEFINANCE(C179, ""NAME""))"),"TPG Inc")</f>
        <v>TPG Inc</v>
      </c>
      <c r="E179" s="30" t="s">
        <v>64</v>
      </c>
      <c r="F179" s="33" t="str">
        <f>IFERROR(__xludf.DUMMYFUNCTION("( (GOOGLEFINANCE(C179, ""price"") - Q179) / Q179 ) / (R179 / 100)"),"Loading...")</f>
        <v>Loading...</v>
      </c>
      <c r="G179" s="20" t="str">
        <f>IFERROR(__xludf.DUMMYFUNCTION("AVERAGE(ARRAYFORMULA(100 * (QUERY(GOOGLEFINANCE(C179, ""high"", TODAY()-40, TODAY()), ""SELECT Col2 WHERE Col2 IS NOT NULL ORDER BY Col1 DESC LIMIT 20"", 0) / QUERY(GOOGLEFINANCE(C179, ""low"", TODAY()-40, TODAY()), ""SELECT Col2 WHERE Col2 IS NOT NULL OR"&amp;"DER BY Col1 DESC LIMIT 20"", 0) - 1)))"),"#N/A")</f>
        <v>#N/A</v>
      </c>
      <c r="H179" s="35" t="str">
        <f t="shared" si="6"/>
        <v/>
      </c>
      <c r="I179" s="36" t="str">
        <f t="shared" si="7"/>
        <v/>
      </c>
      <c r="J179" s="37" t="str">
        <f>IFERROR(__xludf.DUMMYFUNCTION("IFERROR(
  IF(C179="""",, 
    IFERROR(
      GOOGLEFINANCE(C179, ""price"") * GOOGLEFINANCE(C179, ""volumeavg""), 
      GOOGLEFINANCE(C179, ""price"") * AVERAGE(QUERY(GOOGLEFINANCE(C179, ""volume"", TODAY()-40, TODAY()), ""SELECT Col2 WHERE Col2 IS NOT "&amp;"NULL ORDER BY Col1 DESC LIMIT 20"", 0))
    )
  ), 
"""")"),"")</f>
        <v/>
      </c>
      <c r="K179" s="21" t="str">
        <f>IFERROR(__xludf.DUMMYFUNCTION("IFERROR(GOOGLEFINANCE(C179, ""changepct"") / 100, """")"),"")</f>
        <v/>
      </c>
      <c r="L179" s="21" t="str">
        <f>IFERROR(__xludf.DUMMYFUNCTION("IFERROR((GOOGLEFINANCE(C179, ""price"") / INDEX(GOOGLEFINANCE(C179, ""price"", TODAY()-7, TODAY()), 2, 2)) - 1, """")"),"")</f>
        <v/>
      </c>
      <c r="M179" s="21" t="str">
        <f>IFERROR(__xludf.DUMMYFUNCTION("IFERROR((GOOGLEFINANCE(C179, ""price"") / INDEX(GOOGLEFINANCE(C179, ""price"", EDATE(TODAY(), -1), TODAY()), 2, 2)) - 1, """")"),"")</f>
        <v/>
      </c>
      <c r="N179" s="21" t="str">
        <f>IFERROR(__xludf.DUMMYFUNCTION("IFERROR((GOOGLEFINANCE(C179, ""price"") / INDEX(GOOGLEFINANCE(C179, ""price"", EDATE(TODAY(), -3), TODAY()), 2, 2)) - 1, """")"),"")</f>
        <v/>
      </c>
      <c r="O179" s="21" t="str">
        <f>IFERROR(__xludf.DUMMYFUNCTION("IFERROR((GOOGLEFINANCE(C179, ""price"") / INDEX(GOOGLEFINANCE(C179, ""price"", EDATE(TODAY(), -6), TODAY()), 2, 2)) - 1, """")"),"")</f>
        <v/>
      </c>
      <c r="P179" s="21" t="str">
        <f>IFERROR(__xludf.DUMMYFUNCTION("IFERROR((GOOGLEFINANCE(C179, ""price"") / INDEX(GOOGLEFINANCE(C179, ""price"", EDATE(TODAY(), -12), TODAY()), 2, 2)) - 1, """")"),"")</f>
        <v/>
      </c>
      <c r="Q179" s="6" t="str">
        <f>IFERROR(__xludf.DUMMYFUNCTION("AVERAGE(QUERY(GOOGLEFINANCE(C179, ""price"", TODAY()-80, TODAY()), ""SELECT Col2 WHERE Col2 IS NOT NULL ORDER BY Col1 DESC LIMIT 50"", 0))"),"#N/A")</f>
        <v>#N/A</v>
      </c>
      <c r="R179" s="24" t="str">
        <f>IFERROR(__xludf.DUMMYFUNCTION("IFERROR(
  LET(
    data, QUERY(GOOGLEFINANCE(C179,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GOOGLEFINANCE(C179, ""price"")) * 100,
    IF(calc=0, G179, calc)
  ), 
G179)"),"#N/A")</f>
        <v>#N/A</v>
      </c>
      <c r="S179" s="8" t="s">
        <v>15</v>
      </c>
      <c r="T179" s="26" t="str">
        <f>IFERROR(__xludf.DUMMYFUNCTION("IFERROR(TRANSPOSE(QUERY(IFERROR(SORT(GOOGLEFINANCE(C179, ""price"", WORKDAY(TODAY(), -40), TODAY()), 1, FALSE)), ""select Col2 where Col2 is not null limit 22 label Col2 ''"", 0)), """")"),"")</f>
        <v/>
      </c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8"/>
      <c r="AO179" s="28"/>
      <c r="AP179" s="29"/>
      <c r="AQ179" s="29" t="str">
        <f t="shared" ref="AQ179:BL179" si="182">T179/T$2</f>
        <v>#N/A</v>
      </c>
      <c r="AR179" s="29" t="str">
        <f t="shared" si="182"/>
        <v>#DIV/0!</v>
      </c>
      <c r="AS179" s="29" t="str">
        <f t="shared" si="182"/>
        <v>#DIV/0!</v>
      </c>
      <c r="AT179" s="29" t="str">
        <f t="shared" si="182"/>
        <v>#DIV/0!</v>
      </c>
      <c r="AU179" s="29" t="str">
        <f t="shared" si="182"/>
        <v>#DIV/0!</v>
      </c>
      <c r="AV179" s="29" t="str">
        <f t="shared" si="182"/>
        <v>#DIV/0!</v>
      </c>
      <c r="AW179" s="29" t="str">
        <f t="shared" si="182"/>
        <v>#DIV/0!</v>
      </c>
      <c r="AX179" s="29" t="str">
        <f t="shared" si="182"/>
        <v>#DIV/0!</v>
      </c>
      <c r="AY179" s="29" t="str">
        <f t="shared" si="182"/>
        <v>#DIV/0!</v>
      </c>
      <c r="AZ179" s="29" t="str">
        <f t="shared" si="182"/>
        <v>#DIV/0!</v>
      </c>
      <c r="BA179" s="29" t="str">
        <f t="shared" si="182"/>
        <v>#DIV/0!</v>
      </c>
      <c r="BB179" s="29" t="str">
        <f t="shared" si="182"/>
        <v>#DIV/0!</v>
      </c>
      <c r="BC179" s="29" t="str">
        <f t="shared" si="182"/>
        <v>#DIV/0!</v>
      </c>
      <c r="BD179" s="29" t="str">
        <f t="shared" si="182"/>
        <v>#DIV/0!</v>
      </c>
      <c r="BE179" s="29" t="str">
        <f t="shared" si="182"/>
        <v>#DIV/0!</v>
      </c>
      <c r="BF179" s="29" t="str">
        <f t="shared" si="182"/>
        <v>#DIV/0!</v>
      </c>
      <c r="BG179" s="29" t="str">
        <f t="shared" si="182"/>
        <v>#DIV/0!</v>
      </c>
      <c r="BH179" s="29" t="str">
        <f t="shared" si="182"/>
        <v>#DIV/0!</v>
      </c>
      <c r="BI179" s="29" t="str">
        <f t="shared" si="182"/>
        <v>#DIV/0!</v>
      </c>
      <c r="BJ179" s="29" t="str">
        <f t="shared" si="182"/>
        <v>#DIV/0!</v>
      </c>
      <c r="BK179" s="29" t="str">
        <f t="shared" si="182"/>
        <v>#DIV/0!</v>
      </c>
      <c r="BL179" s="29" t="str">
        <f t="shared" si="182"/>
        <v>#DIV/0!</v>
      </c>
      <c r="BM179" s="29" t="str">
        <f t="shared" si="3"/>
        <v>#DIV/0!</v>
      </c>
    </row>
    <row r="180">
      <c r="A180" s="16" t="str">
        <f>IFERROR(__xludf.DUMMYFUNCTION("IFERROR(SPARKLINE(SORT(MAP(TRANSPOSE(AQ180:BL180), LAMBDA(val, IF(ISNUMBER(val), PERCENTRANK(AQ180:BL180, val)+0.01, 0))), SEQUENCE(COLUMNS(AQ180:BL180)), FALSE), {""charttype"",""column""; ""color"",""chartreuse""; ""ymin"", 0; ""ymax"", 1.01; ""highcolo"&amp;"r"", ""darkgreen""; ""lowcolor"", ""red""}), """")"),"")</f>
        <v/>
      </c>
      <c r="B180" s="17" t="str">
        <f t="shared" si="4"/>
        <v/>
      </c>
      <c r="C180" s="1" t="s">
        <v>869</v>
      </c>
      <c r="D180" s="34" t="str">
        <f>IFERROR(__xludf.DUMMYFUNCTION("IFERROR(GOOGLEFINANCE(C180, ""NAME""))"),"BlackRock TCP Capital Corp")</f>
        <v>BlackRock TCP Capital Corp</v>
      </c>
      <c r="E180" s="30" t="s">
        <v>64</v>
      </c>
      <c r="F180" s="33" t="str">
        <f>IFERROR(__xludf.DUMMYFUNCTION("( (GOOGLEFINANCE(C180, ""price"") - Q180) / Q180 ) / (R180 / 100)"),"Loading...")</f>
        <v>Loading...</v>
      </c>
      <c r="G180" s="20" t="str">
        <f>IFERROR(__xludf.DUMMYFUNCTION("AVERAGE(ARRAYFORMULA(100 * (QUERY(GOOGLEFINANCE(C180, ""high"", TODAY()-40, TODAY()), ""SELECT Col2 WHERE Col2 IS NOT NULL ORDER BY Col1 DESC LIMIT 20"", 0) / QUERY(GOOGLEFINANCE(C180, ""low"", TODAY()-40, TODAY()), ""SELECT Col2 WHERE Col2 IS NOT NULL OR"&amp;"DER BY Col1 DESC LIMIT 20"", 0) - 1)))"),"#N/A")</f>
        <v>#N/A</v>
      </c>
      <c r="H180" s="35" t="str">
        <f t="shared" si="6"/>
        <v/>
      </c>
      <c r="I180" s="36" t="str">
        <f t="shared" si="7"/>
        <v/>
      </c>
      <c r="J180" s="37" t="str">
        <f>IFERROR(__xludf.DUMMYFUNCTION("IFERROR(
  IF(C180="""",, 
    IFERROR(
      GOOGLEFINANCE(C180, ""price"") * GOOGLEFINANCE(C180, ""volumeavg""), 
      GOOGLEFINANCE(C180, ""price"") * AVERAGE(QUERY(GOOGLEFINANCE(C180, ""volume"", TODAY()-40, TODAY()), ""SELECT Col2 WHERE Col2 IS NOT "&amp;"NULL ORDER BY Col1 DESC LIMIT 20"", 0))
    )
  ), 
"""")"),"")</f>
        <v/>
      </c>
      <c r="K180" s="21" t="str">
        <f>IFERROR(__xludf.DUMMYFUNCTION("IFERROR(GOOGLEFINANCE(C180, ""changepct"") / 100, """")"),"")</f>
        <v/>
      </c>
      <c r="L180" s="21" t="str">
        <f>IFERROR(__xludf.DUMMYFUNCTION("IFERROR((GOOGLEFINANCE(C180, ""price"") / INDEX(GOOGLEFINANCE(C180, ""price"", TODAY()-7, TODAY()), 2, 2)) - 1, """")"),"")</f>
        <v/>
      </c>
      <c r="M180" s="21" t="str">
        <f>IFERROR(__xludf.DUMMYFUNCTION("IFERROR((GOOGLEFINANCE(C180, ""price"") / INDEX(GOOGLEFINANCE(C180, ""price"", EDATE(TODAY(), -1), TODAY()), 2, 2)) - 1, """")"),"")</f>
        <v/>
      </c>
      <c r="N180" s="21" t="str">
        <f>IFERROR(__xludf.DUMMYFUNCTION("IFERROR((GOOGLEFINANCE(C180, ""price"") / INDEX(GOOGLEFINANCE(C180, ""price"", EDATE(TODAY(), -3), TODAY()), 2, 2)) - 1, """")"),"")</f>
        <v/>
      </c>
      <c r="O180" s="21" t="str">
        <f>IFERROR(__xludf.DUMMYFUNCTION("IFERROR((GOOGLEFINANCE(C180, ""price"") / INDEX(GOOGLEFINANCE(C180, ""price"", EDATE(TODAY(), -6), TODAY()), 2, 2)) - 1, """")"),"")</f>
        <v/>
      </c>
      <c r="P180" s="21" t="str">
        <f>IFERROR(__xludf.DUMMYFUNCTION("IFERROR((GOOGLEFINANCE(C180, ""price"") / INDEX(GOOGLEFINANCE(C180, ""price"", EDATE(TODAY(), -12), TODAY()), 2, 2)) - 1, """")"),"")</f>
        <v/>
      </c>
      <c r="Q180" s="6" t="str">
        <f>IFERROR(__xludf.DUMMYFUNCTION("AVERAGE(QUERY(GOOGLEFINANCE(C180, ""price"", TODAY()-80, TODAY()), ""SELECT Col2 WHERE Col2 IS NOT NULL ORDER BY Col1 DESC LIMIT 50"", 0))"),"#N/A")</f>
        <v>#N/A</v>
      </c>
      <c r="R180" s="24" t="str">
        <f>IFERROR(__xludf.DUMMYFUNCTION("IFERROR(
  LET(
    data, QUERY(GOOGLEFINANCE(C180,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GOOGLEFINANCE(C180, ""price"")) * 100,
    IF(calc=0, G180, calc)
  ), 
G180)"),"#N/A")</f>
        <v>#N/A</v>
      </c>
      <c r="S180" s="8" t="s">
        <v>15</v>
      </c>
      <c r="T180" s="26" t="str">
        <f>IFERROR(__xludf.DUMMYFUNCTION("IFERROR(TRANSPOSE(QUERY(IFERROR(SORT(GOOGLEFINANCE(C180, ""price"", WORKDAY(TODAY(), -40), TODAY()), 1, FALSE)), ""select Col2 where Col2 is not null limit 22 label Col2 ''"", 0)), """")"),"")</f>
        <v/>
      </c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8"/>
      <c r="AO180" s="28"/>
      <c r="AP180" s="29"/>
      <c r="AQ180" s="29" t="str">
        <f t="shared" ref="AQ180:BL180" si="183">T180/T$2</f>
        <v>#N/A</v>
      </c>
      <c r="AR180" s="29" t="str">
        <f t="shared" si="183"/>
        <v>#DIV/0!</v>
      </c>
      <c r="AS180" s="29" t="str">
        <f t="shared" si="183"/>
        <v>#DIV/0!</v>
      </c>
      <c r="AT180" s="29" t="str">
        <f t="shared" si="183"/>
        <v>#DIV/0!</v>
      </c>
      <c r="AU180" s="29" t="str">
        <f t="shared" si="183"/>
        <v>#DIV/0!</v>
      </c>
      <c r="AV180" s="29" t="str">
        <f t="shared" si="183"/>
        <v>#DIV/0!</v>
      </c>
      <c r="AW180" s="29" t="str">
        <f t="shared" si="183"/>
        <v>#DIV/0!</v>
      </c>
      <c r="AX180" s="29" t="str">
        <f t="shared" si="183"/>
        <v>#DIV/0!</v>
      </c>
      <c r="AY180" s="29" t="str">
        <f t="shared" si="183"/>
        <v>#DIV/0!</v>
      </c>
      <c r="AZ180" s="29" t="str">
        <f t="shared" si="183"/>
        <v>#DIV/0!</v>
      </c>
      <c r="BA180" s="29" t="str">
        <f t="shared" si="183"/>
        <v>#DIV/0!</v>
      </c>
      <c r="BB180" s="29" t="str">
        <f t="shared" si="183"/>
        <v>#DIV/0!</v>
      </c>
      <c r="BC180" s="29" t="str">
        <f t="shared" si="183"/>
        <v>#DIV/0!</v>
      </c>
      <c r="BD180" s="29" t="str">
        <f t="shared" si="183"/>
        <v>#DIV/0!</v>
      </c>
      <c r="BE180" s="29" t="str">
        <f t="shared" si="183"/>
        <v>#DIV/0!</v>
      </c>
      <c r="BF180" s="29" t="str">
        <f t="shared" si="183"/>
        <v>#DIV/0!</v>
      </c>
      <c r="BG180" s="29" t="str">
        <f t="shared" si="183"/>
        <v>#DIV/0!</v>
      </c>
      <c r="BH180" s="29" t="str">
        <f t="shared" si="183"/>
        <v>#DIV/0!</v>
      </c>
      <c r="BI180" s="29" t="str">
        <f t="shared" si="183"/>
        <v>#DIV/0!</v>
      </c>
      <c r="BJ180" s="29" t="str">
        <f t="shared" si="183"/>
        <v>#DIV/0!</v>
      </c>
      <c r="BK180" s="29" t="str">
        <f t="shared" si="183"/>
        <v>#DIV/0!</v>
      </c>
      <c r="BL180" s="29" t="str">
        <f t="shared" si="183"/>
        <v>#DIV/0!</v>
      </c>
      <c r="BM180" s="29" t="str">
        <f t="shared" si="3"/>
        <v>#DIV/0!</v>
      </c>
    </row>
    <row r="181">
      <c r="A181" s="16" t="str">
        <f>IFERROR(__xludf.DUMMYFUNCTION("IFERROR(SPARKLINE(SORT(MAP(TRANSPOSE(AQ181:BL181), LAMBDA(val, IF(ISNUMBER(val), PERCENTRANK(AQ181:BL181, val)+0.01, 0))), SEQUENCE(COLUMNS(AQ181:BL181)), FALSE), {""charttype"",""column""; ""color"",""chartreuse""; ""ymin"", 0; ""ymax"", 1.01; ""highcolo"&amp;"r"", ""darkgreen""; ""lowcolor"", ""red""}), """")"),"")</f>
        <v/>
      </c>
      <c r="B181" s="17" t="str">
        <f t="shared" si="4"/>
        <v/>
      </c>
      <c r="C181" s="1" t="s">
        <v>874</v>
      </c>
      <c r="D181" s="34" t="str">
        <f>IFERROR(__xludf.DUMMYFUNCTION("IFERROR(GOOGLEFINANCE(C181, ""NAME""))"),"Carma Ltd")</f>
        <v>Carma Ltd</v>
      </c>
      <c r="E181" s="30" t="s">
        <v>268</v>
      </c>
      <c r="F181" s="33" t="str">
        <f>IFERROR(__xludf.DUMMYFUNCTION("( (GOOGLEFINANCE(C181, ""price"") - Q181) / Q181 ) / (R181 / 100)"),"Loading...")</f>
        <v>Loading...</v>
      </c>
      <c r="G181" s="20" t="str">
        <f>IFERROR(__xludf.DUMMYFUNCTION("AVERAGE(ARRAYFORMULA(100 * (QUERY(GOOGLEFINANCE(C181, ""high"", TODAY()-40, TODAY()), ""SELECT Col2 WHERE Col2 IS NOT NULL ORDER BY Col1 DESC LIMIT 20"", 0) / QUERY(GOOGLEFINANCE(C181, ""low"", TODAY()-40, TODAY()), ""SELECT Col2 WHERE Col2 IS NOT NULL OR"&amp;"DER BY Col1 DESC LIMIT 20"", 0) - 1)))"),"#N/A")</f>
        <v>#N/A</v>
      </c>
      <c r="H181" s="35" t="str">
        <f t="shared" si="6"/>
        <v/>
      </c>
      <c r="I181" s="36" t="str">
        <f t="shared" si="7"/>
        <v/>
      </c>
      <c r="J181" s="37" t="str">
        <f>IFERROR(__xludf.DUMMYFUNCTION("IFERROR(
  IF(C181="""",, 
    IFERROR(
      GOOGLEFINANCE(C181, ""price"") * GOOGLEFINANCE(C181, ""volumeavg""), 
      GOOGLEFINANCE(C181, ""price"") * AVERAGE(QUERY(GOOGLEFINANCE(C181, ""volume"", TODAY()-40, TODAY()), ""SELECT Col2 WHERE Col2 IS NOT "&amp;"NULL ORDER BY Col1 DESC LIMIT 20"", 0))
    )
  ), 
"""")"),"")</f>
        <v/>
      </c>
      <c r="K181" s="21" t="str">
        <f>IFERROR(__xludf.DUMMYFUNCTION("IFERROR(GOOGLEFINANCE(C181, ""changepct"") / 100, """")"),"")</f>
        <v/>
      </c>
      <c r="L181" s="21" t="str">
        <f>IFERROR(__xludf.DUMMYFUNCTION("IFERROR((GOOGLEFINANCE(C181, ""price"") / INDEX(GOOGLEFINANCE(C181, ""price"", TODAY()-7, TODAY()), 2, 2)) - 1, """")"),"")</f>
        <v/>
      </c>
      <c r="M181" s="21" t="str">
        <f>IFERROR(__xludf.DUMMYFUNCTION("IFERROR((GOOGLEFINANCE(C181, ""price"") / INDEX(GOOGLEFINANCE(C181, ""price"", EDATE(TODAY(), -1), TODAY()), 2, 2)) - 1, """")"),"")</f>
        <v/>
      </c>
      <c r="N181" s="21" t="str">
        <f>IFERROR(__xludf.DUMMYFUNCTION("IFERROR((GOOGLEFINANCE(C181, ""price"") / INDEX(GOOGLEFINANCE(C181, ""price"", EDATE(TODAY(), -3), TODAY()), 2, 2)) - 1, """")"),"")</f>
        <v/>
      </c>
      <c r="O181" s="21" t="str">
        <f>IFERROR(__xludf.DUMMYFUNCTION("IFERROR((GOOGLEFINANCE(C181, ""price"") / INDEX(GOOGLEFINANCE(C181, ""price"", EDATE(TODAY(), -6), TODAY()), 2, 2)) - 1, """")"),"")</f>
        <v/>
      </c>
      <c r="P181" s="21" t="str">
        <f>IFERROR(__xludf.DUMMYFUNCTION("IFERROR((GOOGLEFINANCE(C181, ""price"") / INDEX(GOOGLEFINANCE(C181, ""price"", EDATE(TODAY(), -12), TODAY()), 2, 2)) - 1, """")"),"")</f>
        <v/>
      </c>
      <c r="Q181" s="6" t="str">
        <f>IFERROR(__xludf.DUMMYFUNCTION("AVERAGE(QUERY(GOOGLEFINANCE(C181, ""price"", TODAY()-80, TODAY()), ""SELECT Col2 WHERE Col2 IS NOT NULL ORDER BY Col1 DESC LIMIT 50"", 0))"),"#N/A")</f>
        <v>#N/A</v>
      </c>
      <c r="R181" s="24" t="str">
        <f>IFERROR(__xludf.DUMMYFUNCTION("IFERROR(
  LET(
    data, QUERY(GOOGLEFINANCE(C181,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GOOGLEFINANCE(C181, ""price"")) * 100,
    IF(calc=0, G181, calc)
  ), 
G181)"),"#N/A")</f>
        <v>#N/A</v>
      </c>
      <c r="S181" s="8" t="s">
        <v>15</v>
      </c>
      <c r="T181" s="26" t="str">
        <f>IFERROR(__xludf.DUMMYFUNCTION("IFERROR(TRANSPOSE(QUERY(IFERROR(SORT(GOOGLEFINANCE(C181, ""price"", WORKDAY(TODAY(), -40), TODAY()), 1, FALSE)), ""select Col2 where Col2 is not null limit 22 label Col2 ''"", 0)), """")"),"")</f>
        <v/>
      </c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8"/>
      <c r="AO181" s="28"/>
      <c r="AP181" s="29"/>
      <c r="AQ181" s="29" t="str">
        <f t="shared" ref="AQ181:BL181" si="184">T181/T$2</f>
        <v>#N/A</v>
      </c>
      <c r="AR181" s="29" t="str">
        <f t="shared" si="184"/>
        <v>#DIV/0!</v>
      </c>
      <c r="AS181" s="29" t="str">
        <f t="shared" si="184"/>
        <v>#DIV/0!</v>
      </c>
      <c r="AT181" s="29" t="str">
        <f t="shared" si="184"/>
        <v>#DIV/0!</v>
      </c>
      <c r="AU181" s="29" t="str">
        <f t="shared" si="184"/>
        <v>#DIV/0!</v>
      </c>
      <c r="AV181" s="29" t="str">
        <f t="shared" si="184"/>
        <v>#DIV/0!</v>
      </c>
      <c r="AW181" s="29" t="str">
        <f t="shared" si="184"/>
        <v>#DIV/0!</v>
      </c>
      <c r="AX181" s="29" t="str">
        <f t="shared" si="184"/>
        <v>#DIV/0!</v>
      </c>
      <c r="AY181" s="29" t="str">
        <f t="shared" si="184"/>
        <v>#DIV/0!</v>
      </c>
      <c r="AZ181" s="29" t="str">
        <f t="shared" si="184"/>
        <v>#DIV/0!</v>
      </c>
      <c r="BA181" s="29" t="str">
        <f t="shared" si="184"/>
        <v>#DIV/0!</v>
      </c>
      <c r="BB181" s="29" t="str">
        <f t="shared" si="184"/>
        <v>#DIV/0!</v>
      </c>
      <c r="BC181" s="29" t="str">
        <f t="shared" si="184"/>
        <v>#DIV/0!</v>
      </c>
      <c r="BD181" s="29" t="str">
        <f t="shared" si="184"/>
        <v>#DIV/0!</v>
      </c>
      <c r="BE181" s="29" t="str">
        <f t="shared" si="184"/>
        <v>#DIV/0!</v>
      </c>
      <c r="BF181" s="29" t="str">
        <f t="shared" si="184"/>
        <v>#DIV/0!</v>
      </c>
      <c r="BG181" s="29" t="str">
        <f t="shared" si="184"/>
        <v>#DIV/0!</v>
      </c>
      <c r="BH181" s="29" t="str">
        <f t="shared" si="184"/>
        <v>#DIV/0!</v>
      </c>
      <c r="BI181" s="29" t="str">
        <f t="shared" si="184"/>
        <v>#DIV/0!</v>
      </c>
      <c r="BJ181" s="29" t="str">
        <f t="shared" si="184"/>
        <v>#DIV/0!</v>
      </c>
      <c r="BK181" s="29" t="str">
        <f t="shared" si="184"/>
        <v>#DIV/0!</v>
      </c>
      <c r="BL181" s="29" t="str">
        <f t="shared" si="184"/>
        <v>#DIV/0!</v>
      </c>
      <c r="BM181" s="29" t="str">
        <f t="shared" si="3"/>
        <v>#DIV/0!</v>
      </c>
    </row>
    <row r="182">
      <c r="A182" s="16" t="str">
        <f>IFERROR(__xludf.DUMMYFUNCTION("IFERROR(SPARKLINE(SORT(MAP(TRANSPOSE(AQ182:BL182), LAMBDA(val, IF(ISNUMBER(val), PERCENTRANK(AQ182:BL182, val)+0.01, 0))), SEQUENCE(COLUMNS(AQ182:BL182)), FALSE), {""charttype"",""column""; ""color"",""chartreuse""; ""ymin"", 0; ""ymax"", 1.01; ""highcolo"&amp;"r"", ""darkgreen""; ""lowcolor"", ""red""}), """")"),"")</f>
        <v/>
      </c>
      <c r="B182" s="17" t="str">
        <f t="shared" si="4"/>
        <v/>
      </c>
      <c r="C182" s="1" t="s">
        <v>879</v>
      </c>
      <c r="D182" s="34" t="str">
        <f>IFERROR(__xludf.DUMMYFUNCTION("IFERROR(GOOGLEFINANCE(C182, ""NAME""))"),"Kemper Corp")</f>
        <v>Kemper Corp</v>
      </c>
      <c r="E182" s="30" t="s">
        <v>82</v>
      </c>
      <c r="F182" s="33" t="str">
        <f>IFERROR(__xludf.DUMMYFUNCTION("( (GOOGLEFINANCE(C182, ""price"") - Q182) / Q182 ) / (R182 / 100)"),"Loading...")</f>
        <v>Loading...</v>
      </c>
      <c r="G182" s="20" t="str">
        <f>IFERROR(__xludf.DUMMYFUNCTION("AVERAGE(ARRAYFORMULA(100 * (QUERY(GOOGLEFINANCE(C182, ""high"", TODAY()-40, TODAY()), ""SELECT Col2 WHERE Col2 IS NOT NULL ORDER BY Col1 DESC LIMIT 20"", 0) / QUERY(GOOGLEFINANCE(C182, ""low"", TODAY()-40, TODAY()), ""SELECT Col2 WHERE Col2 IS NOT NULL OR"&amp;"DER BY Col1 DESC LIMIT 20"", 0) - 1)))"),"#N/A")</f>
        <v>#N/A</v>
      </c>
      <c r="H182" s="35" t="str">
        <f t="shared" si="6"/>
        <v/>
      </c>
      <c r="I182" s="36" t="str">
        <f t="shared" si="7"/>
        <v/>
      </c>
      <c r="J182" s="37" t="str">
        <f>IFERROR(__xludf.DUMMYFUNCTION("IFERROR(
  IF(C182="""",, 
    IFERROR(
      GOOGLEFINANCE(C182, ""price"") * GOOGLEFINANCE(C182, ""volumeavg""), 
      GOOGLEFINANCE(C182, ""price"") * AVERAGE(QUERY(GOOGLEFINANCE(C182, ""volume"", TODAY()-40, TODAY()), ""SELECT Col2 WHERE Col2 IS NOT "&amp;"NULL ORDER BY Col1 DESC LIMIT 20"", 0))
    )
  ), 
"""")"),"")</f>
        <v/>
      </c>
      <c r="K182" s="21" t="str">
        <f>IFERROR(__xludf.DUMMYFUNCTION("IFERROR(GOOGLEFINANCE(C182, ""changepct"") / 100, """")"),"")</f>
        <v/>
      </c>
      <c r="L182" s="21" t="str">
        <f>IFERROR(__xludf.DUMMYFUNCTION("IFERROR((GOOGLEFINANCE(C182, ""price"") / INDEX(GOOGLEFINANCE(C182, ""price"", TODAY()-7, TODAY()), 2, 2)) - 1, """")"),"")</f>
        <v/>
      </c>
      <c r="M182" s="21" t="str">
        <f>IFERROR(__xludf.DUMMYFUNCTION("IFERROR((GOOGLEFINANCE(C182, ""price"") / INDEX(GOOGLEFINANCE(C182, ""price"", EDATE(TODAY(), -1), TODAY()), 2, 2)) - 1, """")"),"")</f>
        <v/>
      </c>
      <c r="N182" s="21" t="str">
        <f>IFERROR(__xludf.DUMMYFUNCTION("IFERROR((GOOGLEFINANCE(C182, ""price"") / INDEX(GOOGLEFINANCE(C182, ""price"", EDATE(TODAY(), -3), TODAY()), 2, 2)) - 1, """")"),"")</f>
        <v/>
      </c>
      <c r="O182" s="21" t="str">
        <f>IFERROR(__xludf.DUMMYFUNCTION("IFERROR((GOOGLEFINANCE(C182, ""price"") / INDEX(GOOGLEFINANCE(C182, ""price"", EDATE(TODAY(), -6), TODAY()), 2, 2)) - 1, """")"),"")</f>
        <v/>
      </c>
      <c r="P182" s="21" t="str">
        <f>IFERROR(__xludf.DUMMYFUNCTION("IFERROR((GOOGLEFINANCE(C182, ""price"") / INDEX(GOOGLEFINANCE(C182, ""price"", EDATE(TODAY(), -12), TODAY()), 2, 2)) - 1, """")"),"")</f>
        <v/>
      </c>
      <c r="Q182" s="6" t="str">
        <f>IFERROR(__xludf.DUMMYFUNCTION("AVERAGE(QUERY(GOOGLEFINANCE(C182, ""price"", TODAY()-80, TODAY()), ""SELECT Col2 WHERE Col2 IS NOT NULL ORDER BY Col1 DESC LIMIT 50"", 0))"),"#N/A")</f>
        <v>#N/A</v>
      </c>
      <c r="R182" s="24" t="str">
        <f>IFERROR(__xludf.DUMMYFUNCTION("IFERROR(
  LET(
    data, QUERY(GOOGLEFINANCE(C182,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GOOGLEFINANCE(C182, ""price"")) * 100,
    IF(calc=0, G182, calc)
  ), 
G182)"),"#N/A")</f>
        <v>#N/A</v>
      </c>
      <c r="S182" s="8" t="s">
        <v>15</v>
      </c>
      <c r="T182" s="26" t="str">
        <f>IFERROR(__xludf.DUMMYFUNCTION("IFERROR(TRANSPOSE(QUERY(IFERROR(SORT(GOOGLEFINANCE(C182, ""price"", WORKDAY(TODAY(), -40), TODAY()), 1, FALSE)), ""select Col2 where Col2 is not null limit 22 label Col2 ''"", 0)), """")"),"")</f>
        <v/>
      </c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8"/>
      <c r="AO182" s="28"/>
      <c r="AP182" s="29"/>
      <c r="AQ182" s="29" t="str">
        <f t="shared" ref="AQ182:BL182" si="185">T182/T$2</f>
        <v>#N/A</v>
      </c>
      <c r="AR182" s="29" t="str">
        <f t="shared" si="185"/>
        <v>#DIV/0!</v>
      </c>
      <c r="AS182" s="29" t="str">
        <f t="shared" si="185"/>
        <v>#DIV/0!</v>
      </c>
      <c r="AT182" s="29" t="str">
        <f t="shared" si="185"/>
        <v>#DIV/0!</v>
      </c>
      <c r="AU182" s="29" t="str">
        <f t="shared" si="185"/>
        <v>#DIV/0!</v>
      </c>
      <c r="AV182" s="29" t="str">
        <f t="shared" si="185"/>
        <v>#DIV/0!</v>
      </c>
      <c r="AW182" s="29" t="str">
        <f t="shared" si="185"/>
        <v>#DIV/0!</v>
      </c>
      <c r="AX182" s="29" t="str">
        <f t="shared" si="185"/>
        <v>#DIV/0!</v>
      </c>
      <c r="AY182" s="29" t="str">
        <f t="shared" si="185"/>
        <v>#DIV/0!</v>
      </c>
      <c r="AZ182" s="29" t="str">
        <f t="shared" si="185"/>
        <v>#DIV/0!</v>
      </c>
      <c r="BA182" s="29" t="str">
        <f t="shared" si="185"/>
        <v>#DIV/0!</v>
      </c>
      <c r="BB182" s="29" t="str">
        <f t="shared" si="185"/>
        <v>#DIV/0!</v>
      </c>
      <c r="BC182" s="29" t="str">
        <f t="shared" si="185"/>
        <v>#DIV/0!</v>
      </c>
      <c r="BD182" s="29" t="str">
        <f t="shared" si="185"/>
        <v>#DIV/0!</v>
      </c>
      <c r="BE182" s="29" t="str">
        <f t="shared" si="185"/>
        <v>#DIV/0!</v>
      </c>
      <c r="BF182" s="29" t="str">
        <f t="shared" si="185"/>
        <v>#DIV/0!</v>
      </c>
      <c r="BG182" s="29" t="str">
        <f t="shared" si="185"/>
        <v>#DIV/0!</v>
      </c>
      <c r="BH182" s="29" t="str">
        <f t="shared" si="185"/>
        <v>#DIV/0!</v>
      </c>
      <c r="BI182" s="29" t="str">
        <f t="shared" si="185"/>
        <v>#DIV/0!</v>
      </c>
      <c r="BJ182" s="29" t="str">
        <f t="shared" si="185"/>
        <v>#DIV/0!</v>
      </c>
      <c r="BK182" s="29" t="str">
        <f t="shared" si="185"/>
        <v>#DIV/0!</v>
      </c>
      <c r="BL182" s="29" t="str">
        <f t="shared" si="185"/>
        <v>#DIV/0!</v>
      </c>
      <c r="BM182" s="29" t="str">
        <f t="shared" si="3"/>
        <v>#DIV/0!</v>
      </c>
    </row>
    <row r="183">
      <c r="A183" s="16" t="str">
        <f>IFERROR(__xludf.DUMMYFUNCTION("IFERROR(SPARKLINE(SORT(MAP(TRANSPOSE(AQ183:BL183), LAMBDA(val, IF(ISNUMBER(val), PERCENTRANK(AQ183:BL183, val)+0.01, 0))), SEQUENCE(COLUMNS(AQ183:BL183)), FALSE), {""charttype"",""column""; ""color"",""chartreuse""; ""ymin"", 0; ""ymax"", 1.01; ""highcolo"&amp;"r"", ""darkgreen""; ""lowcolor"", ""red""}), """")"),"")</f>
        <v/>
      </c>
      <c r="B183" s="17" t="str">
        <f t="shared" si="4"/>
        <v/>
      </c>
      <c r="C183" s="1" t="s">
        <v>885</v>
      </c>
      <c r="D183" s="34" t="str">
        <f>IFERROR(__xludf.DUMMYFUNCTION("IFERROR(GOOGLEFINANCE(C183, ""NAME""))"),"Sun Life Financial Inc")</f>
        <v>Sun Life Financial Inc</v>
      </c>
      <c r="E183" s="30" t="s">
        <v>434</v>
      </c>
      <c r="F183" s="33" t="str">
        <f>IFERROR(__xludf.DUMMYFUNCTION("( (GOOGLEFINANCE(C183, ""price"") - Q183) / Q183 ) / (R183 / 100)"),"Loading...")</f>
        <v>Loading...</v>
      </c>
      <c r="G183" s="20" t="str">
        <f>IFERROR(__xludf.DUMMYFUNCTION("AVERAGE(ARRAYFORMULA(100 * (QUERY(GOOGLEFINANCE(C183, ""high"", TODAY()-40, TODAY()), ""SELECT Col2 WHERE Col2 IS NOT NULL ORDER BY Col1 DESC LIMIT 20"", 0) / QUERY(GOOGLEFINANCE(C183, ""low"", TODAY()-40, TODAY()), ""SELECT Col2 WHERE Col2 IS NOT NULL OR"&amp;"DER BY Col1 DESC LIMIT 20"", 0) - 1)))"),"#N/A")</f>
        <v>#N/A</v>
      </c>
      <c r="H183" s="35" t="str">
        <f t="shared" si="6"/>
        <v/>
      </c>
      <c r="I183" s="36" t="str">
        <f t="shared" si="7"/>
        <v/>
      </c>
      <c r="J183" s="37" t="str">
        <f>IFERROR(__xludf.DUMMYFUNCTION("IFERROR(
  IF(C183="""",, 
    IFERROR(
      GOOGLEFINANCE(C183, ""price"") * GOOGLEFINANCE(C183, ""volumeavg""), 
      GOOGLEFINANCE(C183, ""price"") * AVERAGE(QUERY(GOOGLEFINANCE(C183, ""volume"", TODAY()-40, TODAY()), ""SELECT Col2 WHERE Col2 IS NOT "&amp;"NULL ORDER BY Col1 DESC LIMIT 20"", 0))
    )
  ), 
"""")"),"")</f>
        <v/>
      </c>
      <c r="K183" s="21" t="str">
        <f>IFERROR(__xludf.DUMMYFUNCTION("IFERROR(GOOGLEFINANCE(C183, ""changepct"") / 100, """")"),"")</f>
        <v/>
      </c>
      <c r="L183" s="21" t="str">
        <f>IFERROR(__xludf.DUMMYFUNCTION("IFERROR((GOOGLEFINANCE(C183, ""price"") / INDEX(GOOGLEFINANCE(C183, ""price"", TODAY()-7, TODAY()), 2, 2)) - 1, """")"),"")</f>
        <v/>
      </c>
      <c r="M183" s="21" t="str">
        <f>IFERROR(__xludf.DUMMYFUNCTION("IFERROR((GOOGLEFINANCE(C183, ""price"") / INDEX(GOOGLEFINANCE(C183, ""price"", EDATE(TODAY(), -1), TODAY()), 2, 2)) - 1, """")"),"")</f>
        <v/>
      </c>
      <c r="N183" s="21" t="str">
        <f>IFERROR(__xludf.DUMMYFUNCTION("IFERROR((GOOGLEFINANCE(C183, ""price"") / INDEX(GOOGLEFINANCE(C183, ""price"", EDATE(TODAY(), -3), TODAY()), 2, 2)) - 1, """")"),"")</f>
        <v/>
      </c>
      <c r="O183" s="21" t="str">
        <f>IFERROR(__xludf.DUMMYFUNCTION("IFERROR((GOOGLEFINANCE(C183, ""price"") / INDEX(GOOGLEFINANCE(C183, ""price"", EDATE(TODAY(), -6), TODAY()), 2, 2)) - 1, """")"),"")</f>
        <v/>
      </c>
      <c r="P183" s="21" t="str">
        <f>IFERROR(__xludf.DUMMYFUNCTION("IFERROR((GOOGLEFINANCE(C183, ""price"") / INDEX(GOOGLEFINANCE(C183, ""price"", EDATE(TODAY(), -12), TODAY()), 2, 2)) - 1, """")"),"")</f>
        <v/>
      </c>
      <c r="Q183" s="6" t="str">
        <f>IFERROR(__xludf.DUMMYFUNCTION("AVERAGE(QUERY(GOOGLEFINANCE(C183, ""price"", TODAY()-80, TODAY()), ""SELECT Col2 WHERE Col2 IS NOT NULL ORDER BY Col1 DESC LIMIT 50"", 0))"),"#N/A")</f>
        <v>#N/A</v>
      </c>
      <c r="R183" s="24" t="str">
        <f>IFERROR(__xludf.DUMMYFUNCTION("IFERROR(
  LET(
    data, QUERY(GOOGLEFINANCE(C183,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GOOGLEFINANCE(C183, ""price"")) * 100,
    IF(calc=0, G183, calc)
  ), 
G183)"),"#N/A")</f>
        <v>#N/A</v>
      </c>
      <c r="S183" s="8" t="s">
        <v>15</v>
      </c>
      <c r="T183" s="26" t="str">
        <f>IFERROR(__xludf.DUMMYFUNCTION("IFERROR(TRANSPOSE(QUERY(IFERROR(SORT(GOOGLEFINANCE(C183, ""price"", WORKDAY(TODAY(), -40), TODAY()), 1, FALSE)), ""select Col2 where Col2 is not null limit 22 label Col2 ''"", 0)), """")"),"")</f>
        <v/>
      </c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8"/>
      <c r="AO183" s="28"/>
      <c r="AP183" s="29"/>
      <c r="AQ183" s="29" t="str">
        <f t="shared" ref="AQ183:BL183" si="186">T183/T$2</f>
        <v>#N/A</v>
      </c>
      <c r="AR183" s="29" t="str">
        <f t="shared" si="186"/>
        <v>#DIV/0!</v>
      </c>
      <c r="AS183" s="29" t="str">
        <f t="shared" si="186"/>
        <v>#DIV/0!</v>
      </c>
      <c r="AT183" s="29" t="str">
        <f t="shared" si="186"/>
        <v>#DIV/0!</v>
      </c>
      <c r="AU183" s="29" t="str">
        <f t="shared" si="186"/>
        <v>#DIV/0!</v>
      </c>
      <c r="AV183" s="29" t="str">
        <f t="shared" si="186"/>
        <v>#DIV/0!</v>
      </c>
      <c r="AW183" s="29" t="str">
        <f t="shared" si="186"/>
        <v>#DIV/0!</v>
      </c>
      <c r="AX183" s="29" t="str">
        <f t="shared" si="186"/>
        <v>#DIV/0!</v>
      </c>
      <c r="AY183" s="29" t="str">
        <f t="shared" si="186"/>
        <v>#DIV/0!</v>
      </c>
      <c r="AZ183" s="29" t="str">
        <f t="shared" si="186"/>
        <v>#DIV/0!</v>
      </c>
      <c r="BA183" s="29" t="str">
        <f t="shared" si="186"/>
        <v>#DIV/0!</v>
      </c>
      <c r="BB183" s="29" t="str">
        <f t="shared" si="186"/>
        <v>#DIV/0!</v>
      </c>
      <c r="BC183" s="29" t="str">
        <f t="shared" si="186"/>
        <v>#DIV/0!</v>
      </c>
      <c r="BD183" s="29" t="str">
        <f t="shared" si="186"/>
        <v>#DIV/0!</v>
      </c>
      <c r="BE183" s="29" t="str">
        <f t="shared" si="186"/>
        <v>#DIV/0!</v>
      </c>
      <c r="BF183" s="29" t="str">
        <f t="shared" si="186"/>
        <v>#DIV/0!</v>
      </c>
      <c r="BG183" s="29" t="str">
        <f t="shared" si="186"/>
        <v>#DIV/0!</v>
      </c>
      <c r="BH183" s="29" t="str">
        <f t="shared" si="186"/>
        <v>#DIV/0!</v>
      </c>
      <c r="BI183" s="29" t="str">
        <f t="shared" si="186"/>
        <v>#DIV/0!</v>
      </c>
      <c r="BJ183" s="29" t="str">
        <f t="shared" si="186"/>
        <v>#DIV/0!</v>
      </c>
      <c r="BK183" s="29" t="str">
        <f t="shared" si="186"/>
        <v>#DIV/0!</v>
      </c>
      <c r="BL183" s="29" t="str">
        <f t="shared" si="186"/>
        <v>#DIV/0!</v>
      </c>
      <c r="BM183" s="29" t="str">
        <f t="shared" si="3"/>
        <v>#DIV/0!</v>
      </c>
    </row>
    <row r="184">
      <c r="A184" s="16" t="str">
        <f>IFERROR(__xludf.DUMMYFUNCTION("IFERROR(SPARKLINE(SORT(MAP(TRANSPOSE(AQ184:BL184), LAMBDA(val, IF(ISNUMBER(val), PERCENTRANK(AQ184:BL184, val)+0.01, 0))), SEQUENCE(COLUMNS(AQ184:BL184)), FALSE), {""charttype"",""column""; ""color"",""chartreuse""; ""ymin"", 0; ""ymax"", 1.01; ""highcolo"&amp;"r"", ""darkgreen""; ""lowcolor"", ""red""}), """")"),"")</f>
        <v/>
      </c>
      <c r="B184" s="17" t="str">
        <f t="shared" si="4"/>
        <v/>
      </c>
      <c r="C184" s="1" t="s">
        <v>890</v>
      </c>
      <c r="D184" s="34" t="str">
        <f>IFERROR(__xludf.DUMMYFUNCTION("IFERROR(GOOGLEFINANCE(C184, ""NAME""))"),"American Exceptionalism Acqustn Corp A")</f>
        <v>American Exceptionalism Acqustn Corp A</v>
      </c>
      <c r="E184" s="30" t="s">
        <v>161</v>
      </c>
      <c r="F184" s="33" t="str">
        <f>IFERROR(__xludf.DUMMYFUNCTION("( (GOOGLEFINANCE(C184, ""price"") - Q184) / Q184 ) / (R184 / 100)"),"Loading...")</f>
        <v>Loading...</v>
      </c>
      <c r="G184" s="20" t="str">
        <f>IFERROR(__xludf.DUMMYFUNCTION("AVERAGE(ARRAYFORMULA(100 * (QUERY(GOOGLEFINANCE(C184, ""high"", TODAY()-40, TODAY()), ""SELECT Col2 WHERE Col2 IS NOT NULL ORDER BY Col1 DESC LIMIT 20"", 0) / QUERY(GOOGLEFINANCE(C184, ""low"", TODAY()-40, TODAY()), ""SELECT Col2 WHERE Col2 IS NOT NULL OR"&amp;"DER BY Col1 DESC LIMIT 20"", 0) - 1)))"),"#N/A")</f>
        <v>#N/A</v>
      </c>
      <c r="H184" s="35" t="str">
        <f t="shared" si="6"/>
        <v/>
      </c>
      <c r="I184" s="36" t="str">
        <f t="shared" si="7"/>
        <v/>
      </c>
      <c r="J184" s="37" t="str">
        <f>IFERROR(__xludf.DUMMYFUNCTION("IFERROR(
  IF(C184="""",, 
    IFERROR(
      GOOGLEFINANCE(C184, ""price"") * GOOGLEFINANCE(C184, ""volumeavg""), 
      GOOGLEFINANCE(C184, ""price"") * AVERAGE(QUERY(GOOGLEFINANCE(C184, ""volume"", TODAY()-40, TODAY()), ""SELECT Col2 WHERE Col2 IS NOT "&amp;"NULL ORDER BY Col1 DESC LIMIT 20"", 0))
    )
  ), 
"""")"),"")</f>
        <v/>
      </c>
      <c r="K184" s="21" t="str">
        <f>IFERROR(__xludf.DUMMYFUNCTION("IFERROR(GOOGLEFINANCE(C184, ""changepct"") / 100, """")"),"")</f>
        <v/>
      </c>
      <c r="L184" s="21" t="str">
        <f>IFERROR(__xludf.DUMMYFUNCTION("IFERROR((GOOGLEFINANCE(C184, ""price"") / INDEX(GOOGLEFINANCE(C184, ""price"", TODAY()-7, TODAY()), 2, 2)) - 1, """")"),"")</f>
        <v/>
      </c>
      <c r="M184" s="21" t="str">
        <f>IFERROR(__xludf.DUMMYFUNCTION("IFERROR((GOOGLEFINANCE(C184, ""price"") / INDEX(GOOGLEFINANCE(C184, ""price"", EDATE(TODAY(), -1), TODAY()), 2, 2)) - 1, """")"),"")</f>
        <v/>
      </c>
      <c r="N184" s="21" t="str">
        <f>IFERROR(__xludf.DUMMYFUNCTION("IFERROR((GOOGLEFINANCE(C184, ""price"") / INDEX(GOOGLEFINANCE(C184, ""price"", EDATE(TODAY(), -3), TODAY()), 2, 2)) - 1, """")"),"")</f>
        <v/>
      </c>
      <c r="O184" s="21" t="str">
        <f>IFERROR(__xludf.DUMMYFUNCTION("IFERROR((GOOGLEFINANCE(C184, ""price"") / INDEX(GOOGLEFINANCE(C184, ""price"", EDATE(TODAY(), -6), TODAY()), 2, 2)) - 1, """")"),"")</f>
        <v/>
      </c>
      <c r="P184" s="21" t="str">
        <f>IFERROR(__xludf.DUMMYFUNCTION("IFERROR((GOOGLEFINANCE(C184, ""price"") / INDEX(GOOGLEFINANCE(C184, ""price"", EDATE(TODAY(), -12), TODAY()), 2, 2)) - 1, """")"),"")</f>
        <v/>
      </c>
      <c r="Q184" s="6" t="str">
        <f>IFERROR(__xludf.DUMMYFUNCTION("AVERAGE(QUERY(GOOGLEFINANCE(C184, ""price"", TODAY()-80, TODAY()), ""SELECT Col2 WHERE Col2 IS NOT NULL ORDER BY Col1 DESC LIMIT 50"", 0))"),"#N/A")</f>
        <v>#N/A</v>
      </c>
      <c r="R184" s="24" t="str">
        <f>IFERROR(__xludf.DUMMYFUNCTION("IFERROR(
  LET(
    data, QUERY(GOOGLEFINANCE(C184,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GOOGLEFINANCE(C184, ""price"")) * 100,
    IF(calc=0, G184, calc)
  ), 
G184)"),"#N/A")</f>
        <v>#N/A</v>
      </c>
      <c r="S184" s="8" t="s">
        <v>15</v>
      </c>
      <c r="T184" s="26" t="str">
        <f>IFERROR(__xludf.DUMMYFUNCTION("IFERROR(TRANSPOSE(QUERY(IFERROR(SORT(GOOGLEFINANCE(C184, ""price"", WORKDAY(TODAY(), -40), TODAY()), 1, FALSE)), ""select Col2 where Col2 is not null limit 22 label Col2 ''"", 0)), """")"),"")</f>
        <v/>
      </c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8"/>
      <c r="AO184" s="28"/>
      <c r="AP184" s="29"/>
      <c r="AQ184" s="29" t="str">
        <f t="shared" ref="AQ184:BL184" si="187">T184/T$2</f>
        <v>#N/A</v>
      </c>
      <c r="AR184" s="29" t="str">
        <f t="shared" si="187"/>
        <v>#DIV/0!</v>
      </c>
      <c r="AS184" s="29" t="str">
        <f t="shared" si="187"/>
        <v>#DIV/0!</v>
      </c>
      <c r="AT184" s="29" t="str">
        <f t="shared" si="187"/>
        <v>#DIV/0!</v>
      </c>
      <c r="AU184" s="29" t="str">
        <f t="shared" si="187"/>
        <v>#DIV/0!</v>
      </c>
      <c r="AV184" s="29" t="str">
        <f t="shared" si="187"/>
        <v>#DIV/0!</v>
      </c>
      <c r="AW184" s="29" t="str">
        <f t="shared" si="187"/>
        <v>#DIV/0!</v>
      </c>
      <c r="AX184" s="29" t="str">
        <f t="shared" si="187"/>
        <v>#DIV/0!</v>
      </c>
      <c r="AY184" s="29" t="str">
        <f t="shared" si="187"/>
        <v>#DIV/0!</v>
      </c>
      <c r="AZ184" s="29" t="str">
        <f t="shared" si="187"/>
        <v>#DIV/0!</v>
      </c>
      <c r="BA184" s="29" t="str">
        <f t="shared" si="187"/>
        <v>#DIV/0!</v>
      </c>
      <c r="BB184" s="29" t="str">
        <f t="shared" si="187"/>
        <v>#DIV/0!</v>
      </c>
      <c r="BC184" s="29" t="str">
        <f t="shared" si="187"/>
        <v>#DIV/0!</v>
      </c>
      <c r="BD184" s="29" t="str">
        <f t="shared" si="187"/>
        <v>#DIV/0!</v>
      </c>
      <c r="BE184" s="29" t="str">
        <f t="shared" si="187"/>
        <v>#DIV/0!</v>
      </c>
      <c r="BF184" s="29" t="str">
        <f t="shared" si="187"/>
        <v>#DIV/0!</v>
      </c>
      <c r="BG184" s="29" t="str">
        <f t="shared" si="187"/>
        <v>#DIV/0!</v>
      </c>
      <c r="BH184" s="29" t="str">
        <f t="shared" si="187"/>
        <v>#DIV/0!</v>
      </c>
      <c r="BI184" s="29" t="str">
        <f t="shared" si="187"/>
        <v>#DIV/0!</v>
      </c>
      <c r="BJ184" s="29" t="str">
        <f t="shared" si="187"/>
        <v>#DIV/0!</v>
      </c>
      <c r="BK184" s="29" t="str">
        <f t="shared" si="187"/>
        <v>#DIV/0!</v>
      </c>
      <c r="BL184" s="29" t="str">
        <f t="shared" si="187"/>
        <v>#DIV/0!</v>
      </c>
      <c r="BM184" s="29" t="str">
        <f t="shared" si="3"/>
        <v>#DIV/0!</v>
      </c>
    </row>
    <row r="185">
      <c r="A185" s="16" t="str">
        <f>IFERROR(__xludf.DUMMYFUNCTION("IFERROR(SPARKLINE(SORT(MAP(TRANSPOSE(AQ185:BL185), LAMBDA(val, IF(ISNUMBER(val), PERCENTRANK(AQ185:BL185, val)+0.01, 0))), SEQUENCE(COLUMNS(AQ185:BL185)), FALSE), {""charttype"",""column""; ""color"",""chartreuse""; ""ymin"", 0; ""ymax"", 1.01; ""highcolo"&amp;"r"", ""darkgreen""; ""lowcolor"", ""red""}), """")"),"")</f>
        <v/>
      </c>
      <c r="B185" s="17" t="str">
        <f t="shared" si="4"/>
        <v/>
      </c>
      <c r="C185" s="1" t="s">
        <v>895</v>
      </c>
      <c r="D185" s="34" t="str">
        <f>IFERROR(__xludf.DUMMYFUNCTION("IFERROR(GOOGLEFINANCE(C185, ""NAME""))"),"Crawford &amp; Co Class A")</f>
        <v>Crawford &amp; Co Class A</v>
      </c>
      <c r="E185" s="30" t="s">
        <v>311</v>
      </c>
      <c r="F185" s="33" t="str">
        <f>IFERROR(__xludf.DUMMYFUNCTION("( (GOOGLEFINANCE(C185, ""price"") - Q185) / Q185 ) / (R185 / 100)"),"Loading...")</f>
        <v>Loading...</v>
      </c>
      <c r="G185" s="20" t="str">
        <f>IFERROR(__xludf.DUMMYFUNCTION("AVERAGE(ARRAYFORMULA(100 * (QUERY(GOOGLEFINANCE(C185, ""high"", TODAY()-40, TODAY()), ""SELECT Col2 WHERE Col2 IS NOT NULL ORDER BY Col1 DESC LIMIT 20"", 0) / QUERY(GOOGLEFINANCE(C185, ""low"", TODAY()-40, TODAY()), ""SELECT Col2 WHERE Col2 IS NOT NULL OR"&amp;"DER BY Col1 DESC LIMIT 20"", 0) - 1)))"),"#N/A")</f>
        <v>#N/A</v>
      </c>
      <c r="H185" s="35" t="str">
        <f t="shared" si="6"/>
        <v/>
      </c>
      <c r="I185" s="36" t="str">
        <f t="shared" si="7"/>
        <v/>
      </c>
      <c r="J185" s="37" t="str">
        <f>IFERROR(__xludf.DUMMYFUNCTION("IFERROR(
  IF(C185="""",, 
    IFERROR(
      GOOGLEFINANCE(C185, ""price"") * GOOGLEFINANCE(C185, ""volumeavg""), 
      GOOGLEFINANCE(C185, ""price"") * AVERAGE(QUERY(GOOGLEFINANCE(C185, ""volume"", TODAY()-40, TODAY()), ""SELECT Col2 WHERE Col2 IS NOT "&amp;"NULL ORDER BY Col1 DESC LIMIT 20"", 0))
    )
  ), 
"""")"),"")</f>
        <v/>
      </c>
      <c r="K185" s="21" t="str">
        <f>IFERROR(__xludf.DUMMYFUNCTION("IFERROR(GOOGLEFINANCE(C185, ""changepct"") / 100, """")"),"")</f>
        <v/>
      </c>
      <c r="L185" s="21" t="str">
        <f>IFERROR(__xludf.DUMMYFUNCTION("IFERROR((GOOGLEFINANCE(C185, ""price"") / INDEX(GOOGLEFINANCE(C185, ""price"", TODAY()-7, TODAY()), 2, 2)) - 1, """")"),"")</f>
        <v/>
      </c>
      <c r="M185" s="21" t="str">
        <f>IFERROR(__xludf.DUMMYFUNCTION("IFERROR((GOOGLEFINANCE(C185, ""price"") / INDEX(GOOGLEFINANCE(C185, ""price"", EDATE(TODAY(), -1), TODAY()), 2, 2)) - 1, """")"),"")</f>
        <v/>
      </c>
      <c r="N185" s="21" t="str">
        <f>IFERROR(__xludf.DUMMYFUNCTION("IFERROR((GOOGLEFINANCE(C185, ""price"") / INDEX(GOOGLEFINANCE(C185, ""price"", EDATE(TODAY(), -3), TODAY()), 2, 2)) - 1, """")"),"")</f>
        <v/>
      </c>
      <c r="O185" s="21" t="str">
        <f>IFERROR(__xludf.DUMMYFUNCTION("IFERROR((GOOGLEFINANCE(C185, ""price"") / INDEX(GOOGLEFINANCE(C185, ""price"", EDATE(TODAY(), -6), TODAY()), 2, 2)) - 1, """")"),"")</f>
        <v/>
      </c>
      <c r="P185" s="21" t="str">
        <f>IFERROR(__xludf.DUMMYFUNCTION("IFERROR((GOOGLEFINANCE(C185, ""price"") / INDEX(GOOGLEFINANCE(C185, ""price"", EDATE(TODAY(), -12), TODAY()), 2, 2)) - 1, """")"),"")</f>
        <v/>
      </c>
      <c r="Q185" s="6" t="str">
        <f>IFERROR(__xludf.DUMMYFUNCTION("AVERAGE(QUERY(GOOGLEFINANCE(C185, ""price"", TODAY()-80, TODAY()), ""SELECT Col2 WHERE Col2 IS NOT NULL ORDER BY Col1 DESC LIMIT 50"", 0))"),"#N/A")</f>
        <v>#N/A</v>
      </c>
      <c r="R185" s="24" t="str">
        <f>IFERROR(__xludf.DUMMYFUNCTION("IFERROR(
  LET(
    data, QUERY(GOOGLEFINANCE(C185,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GOOGLEFINANCE(C185, ""price"")) * 100,
    IF(calc=0, G185, calc)
  ), 
G185)"),"#N/A")</f>
        <v>#N/A</v>
      </c>
      <c r="S185" s="8" t="s">
        <v>15</v>
      </c>
      <c r="T185" s="26" t="str">
        <f>IFERROR(__xludf.DUMMYFUNCTION("IFERROR(TRANSPOSE(QUERY(IFERROR(SORT(GOOGLEFINANCE(C185, ""price"", WORKDAY(TODAY(), -40), TODAY()), 1, FALSE)), ""select Col2 where Col2 is not null limit 22 label Col2 ''"", 0)), """")"),"")</f>
        <v/>
      </c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8"/>
      <c r="AO185" s="28"/>
      <c r="AP185" s="29"/>
      <c r="AQ185" s="29" t="str">
        <f t="shared" ref="AQ185:BL185" si="188">T185/T$2</f>
        <v>#N/A</v>
      </c>
      <c r="AR185" s="29" t="str">
        <f t="shared" si="188"/>
        <v>#DIV/0!</v>
      </c>
      <c r="AS185" s="29" t="str">
        <f t="shared" si="188"/>
        <v>#DIV/0!</v>
      </c>
      <c r="AT185" s="29" t="str">
        <f t="shared" si="188"/>
        <v>#DIV/0!</v>
      </c>
      <c r="AU185" s="29" t="str">
        <f t="shared" si="188"/>
        <v>#DIV/0!</v>
      </c>
      <c r="AV185" s="29" t="str">
        <f t="shared" si="188"/>
        <v>#DIV/0!</v>
      </c>
      <c r="AW185" s="29" t="str">
        <f t="shared" si="188"/>
        <v>#DIV/0!</v>
      </c>
      <c r="AX185" s="29" t="str">
        <f t="shared" si="188"/>
        <v>#DIV/0!</v>
      </c>
      <c r="AY185" s="29" t="str">
        <f t="shared" si="188"/>
        <v>#DIV/0!</v>
      </c>
      <c r="AZ185" s="29" t="str">
        <f t="shared" si="188"/>
        <v>#DIV/0!</v>
      </c>
      <c r="BA185" s="29" t="str">
        <f t="shared" si="188"/>
        <v>#DIV/0!</v>
      </c>
      <c r="BB185" s="29" t="str">
        <f t="shared" si="188"/>
        <v>#DIV/0!</v>
      </c>
      <c r="BC185" s="29" t="str">
        <f t="shared" si="188"/>
        <v>#DIV/0!</v>
      </c>
      <c r="BD185" s="29" t="str">
        <f t="shared" si="188"/>
        <v>#DIV/0!</v>
      </c>
      <c r="BE185" s="29" t="str">
        <f t="shared" si="188"/>
        <v>#DIV/0!</v>
      </c>
      <c r="BF185" s="29" t="str">
        <f t="shared" si="188"/>
        <v>#DIV/0!</v>
      </c>
      <c r="BG185" s="29" t="str">
        <f t="shared" si="188"/>
        <v>#DIV/0!</v>
      </c>
      <c r="BH185" s="29" t="str">
        <f t="shared" si="188"/>
        <v>#DIV/0!</v>
      </c>
      <c r="BI185" s="29" t="str">
        <f t="shared" si="188"/>
        <v>#DIV/0!</v>
      </c>
      <c r="BJ185" s="29" t="str">
        <f t="shared" si="188"/>
        <v>#DIV/0!</v>
      </c>
      <c r="BK185" s="29" t="str">
        <f t="shared" si="188"/>
        <v>#DIV/0!</v>
      </c>
      <c r="BL185" s="29" t="str">
        <f t="shared" si="188"/>
        <v>#DIV/0!</v>
      </c>
      <c r="BM185" s="29" t="str">
        <f t="shared" si="3"/>
        <v>#DIV/0!</v>
      </c>
    </row>
    <row r="186">
      <c r="A186" s="16" t="str">
        <f>IFERROR(__xludf.DUMMYFUNCTION("IFERROR(SPARKLINE(SORT(MAP(TRANSPOSE(AQ186:BL186), LAMBDA(val, IF(ISNUMBER(val), PERCENTRANK(AQ186:BL186, val)+0.01, 0))), SEQUENCE(COLUMNS(AQ186:BL186)), FALSE), {""charttype"",""column""; ""color"",""chartreuse""; ""ymin"", 0; ""ymax"", 1.01; ""highcolo"&amp;"r"", ""darkgreen""; ""lowcolor"", ""red""}), """")"),"")</f>
        <v/>
      </c>
      <c r="B186" s="17" t="str">
        <f t="shared" si="4"/>
        <v/>
      </c>
      <c r="C186" s="1" t="s">
        <v>899</v>
      </c>
      <c r="D186" s="34" t="str">
        <f>IFERROR(__xludf.DUMMYFUNCTION("IFERROR(GOOGLEFINANCE(C186, ""NAME""))"),"")</f>
        <v/>
      </c>
      <c r="E186" s="30" t="s">
        <v>161</v>
      </c>
      <c r="F186" s="33" t="str">
        <f>IFERROR(__xludf.DUMMYFUNCTION("( (GOOGLEFINANCE(C186, ""price"") - Q186) / Q186 ) / (R186 / 100)"),"Loading...")</f>
        <v>Loading...</v>
      </c>
      <c r="G186" s="20" t="str">
        <f>IFERROR(__xludf.DUMMYFUNCTION("AVERAGE(ARRAYFORMULA(100 * (QUERY(GOOGLEFINANCE(C186, ""high"", TODAY()-40, TODAY()), ""SELECT Col2 WHERE Col2 IS NOT NULL ORDER BY Col1 DESC LIMIT 20"", 0) / QUERY(GOOGLEFINANCE(C186, ""low"", TODAY()-40, TODAY()), ""SELECT Col2 WHERE Col2 IS NOT NULL OR"&amp;"DER BY Col1 DESC LIMIT 20"", 0) - 1)))"),"#N/A")</f>
        <v>#N/A</v>
      </c>
      <c r="H186" s="35" t="str">
        <f t="shared" si="6"/>
        <v/>
      </c>
      <c r="I186" s="36" t="str">
        <f t="shared" si="7"/>
        <v/>
      </c>
      <c r="J186" s="37" t="str">
        <f>IFERROR(__xludf.DUMMYFUNCTION("IFERROR(
  IF(C186="""",, 
    IFERROR(
      GOOGLEFINANCE(C186, ""price"") * GOOGLEFINANCE(C186, ""volumeavg""), 
      GOOGLEFINANCE(C186, ""price"") * AVERAGE(QUERY(GOOGLEFINANCE(C186, ""volume"", TODAY()-40, TODAY()), ""SELECT Col2 WHERE Col2 IS NOT "&amp;"NULL ORDER BY Col1 DESC LIMIT 20"", 0))
    )
  ), 
"""")"),"")</f>
        <v/>
      </c>
      <c r="K186" s="21" t="str">
        <f>IFERROR(__xludf.DUMMYFUNCTION("IFERROR(GOOGLEFINANCE(C186, ""changepct"") / 100, """")"),"")</f>
        <v/>
      </c>
      <c r="L186" s="21" t="str">
        <f>IFERROR(__xludf.DUMMYFUNCTION("IFERROR((GOOGLEFINANCE(C186, ""price"") / INDEX(GOOGLEFINANCE(C186, ""price"", TODAY()-7, TODAY()), 2, 2)) - 1, """")"),"")</f>
        <v/>
      </c>
      <c r="M186" s="21" t="str">
        <f>IFERROR(__xludf.DUMMYFUNCTION("IFERROR((GOOGLEFINANCE(C186, ""price"") / INDEX(GOOGLEFINANCE(C186, ""price"", EDATE(TODAY(), -1), TODAY()), 2, 2)) - 1, """")"),"")</f>
        <v/>
      </c>
      <c r="N186" s="21" t="str">
        <f>IFERROR(__xludf.DUMMYFUNCTION("IFERROR((GOOGLEFINANCE(C186, ""price"") / INDEX(GOOGLEFINANCE(C186, ""price"", EDATE(TODAY(), -3), TODAY()), 2, 2)) - 1, """")"),"")</f>
        <v/>
      </c>
      <c r="O186" s="21" t="str">
        <f>IFERROR(__xludf.DUMMYFUNCTION("IFERROR((GOOGLEFINANCE(C186, ""price"") / INDEX(GOOGLEFINANCE(C186, ""price"", EDATE(TODAY(), -6), TODAY()), 2, 2)) - 1, """")"),"")</f>
        <v/>
      </c>
      <c r="P186" s="21" t="str">
        <f>IFERROR(__xludf.DUMMYFUNCTION("IFERROR((GOOGLEFINANCE(C186, ""price"") / INDEX(GOOGLEFINANCE(C186, ""price"", EDATE(TODAY(), -12), TODAY()), 2, 2)) - 1, """")"),"")</f>
        <v/>
      </c>
      <c r="Q186" s="6" t="str">
        <f>IFERROR(__xludf.DUMMYFUNCTION("AVERAGE(QUERY(GOOGLEFINANCE(C186, ""price"", TODAY()-80, TODAY()), ""SELECT Col2 WHERE Col2 IS NOT NULL ORDER BY Col1 DESC LIMIT 50"", 0))"),"#N/A")</f>
        <v>#N/A</v>
      </c>
      <c r="R186" s="24" t="str">
        <f>IFERROR(__xludf.DUMMYFUNCTION("IFERROR(
  LET(
    data, QUERY(GOOGLEFINANCE(C186,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GOOGLEFINANCE(C186, ""price"")) * 100,
    IF(calc=0, G186, calc)
  ), 
G186)"),"#N/A")</f>
        <v>#N/A</v>
      </c>
      <c r="S186" s="8" t="s">
        <v>15</v>
      </c>
      <c r="T186" s="26" t="str">
        <f>IFERROR(__xludf.DUMMYFUNCTION("IFERROR(TRANSPOSE(QUERY(IFERROR(SORT(GOOGLEFINANCE(C186, ""price"", WORKDAY(TODAY(), -40), TODAY()), 1, FALSE)), ""select Col2 where Col2 is not null limit 22 label Col2 ''"", 0)), """")"),"")</f>
        <v/>
      </c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8"/>
      <c r="AO186" s="28"/>
      <c r="AP186" s="29"/>
      <c r="AQ186" s="29" t="str">
        <f t="shared" ref="AQ186:BL186" si="189">T186/T$2</f>
        <v>#N/A</v>
      </c>
      <c r="AR186" s="29" t="str">
        <f t="shared" si="189"/>
        <v>#DIV/0!</v>
      </c>
      <c r="AS186" s="29" t="str">
        <f t="shared" si="189"/>
        <v>#DIV/0!</v>
      </c>
      <c r="AT186" s="29" t="str">
        <f t="shared" si="189"/>
        <v>#DIV/0!</v>
      </c>
      <c r="AU186" s="29" t="str">
        <f t="shared" si="189"/>
        <v>#DIV/0!</v>
      </c>
      <c r="AV186" s="29" t="str">
        <f t="shared" si="189"/>
        <v>#DIV/0!</v>
      </c>
      <c r="AW186" s="29" t="str">
        <f t="shared" si="189"/>
        <v>#DIV/0!</v>
      </c>
      <c r="AX186" s="29" t="str">
        <f t="shared" si="189"/>
        <v>#DIV/0!</v>
      </c>
      <c r="AY186" s="29" t="str">
        <f t="shared" si="189"/>
        <v>#DIV/0!</v>
      </c>
      <c r="AZ186" s="29" t="str">
        <f t="shared" si="189"/>
        <v>#DIV/0!</v>
      </c>
      <c r="BA186" s="29" t="str">
        <f t="shared" si="189"/>
        <v>#DIV/0!</v>
      </c>
      <c r="BB186" s="29" t="str">
        <f t="shared" si="189"/>
        <v>#DIV/0!</v>
      </c>
      <c r="BC186" s="29" t="str">
        <f t="shared" si="189"/>
        <v>#DIV/0!</v>
      </c>
      <c r="BD186" s="29" t="str">
        <f t="shared" si="189"/>
        <v>#DIV/0!</v>
      </c>
      <c r="BE186" s="29" t="str">
        <f t="shared" si="189"/>
        <v>#DIV/0!</v>
      </c>
      <c r="BF186" s="29" t="str">
        <f t="shared" si="189"/>
        <v>#DIV/0!</v>
      </c>
      <c r="BG186" s="29" t="str">
        <f t="shared" si="189"/>
        <v>#DIV/0!</v>
      </c>
      <c r="BH186" s="29" t="str">
        <f t="shared" si="189"/>
        <v>#DIV/0!</v>
      </c>
      <c r="BI186" s="29" t="str">
        <f t="shared" si="189"/>
        <v>#DIV/0!</v>
      </c>
      <c r="BJ186" s="29" t="str">
        <f t="shared" si="189"/>
        <v>#DIV/0!</v>
      </c>
      <c r="BK186" s="29" t="str">
        <f t="shared" si="189"/>
        <v>#DIV/0!</v>
      </c>
      <c r="BL186" s="29" t="str">
        <f t="shared" si="189"/>
        <v>#DIV/0!</v>
      </c>
      <c r="BM186" s="29" t="str">
        <f t="shared" si="3"/>
        <v>#DIV/0!</v>
      </c>
    </row>
    <row r="187">
      <c r="A187" s="16" t="str">
        <f>IFERROR(__xludf.DUMMYFUNCTION("IFERROR(SPARKLINE(SORT(MAP(TRANSPOSE(AQ187:BL187), LAMBDA(val, IF(ISNUMBER(val), PERCENTRANK(AQ187:BL187, val)+0.01, 0))), SEQUENCE(COLUMNS(AQ187:BL187)), FALSE), {""charttype"",""column""; ""color"",""chartreuse""; ""ymin"", 0; ""ymax"", 1.01; ""highcolo"&amp;"r"", ""darkgreen""; ""lowcolor"", ""red""}), """")"),"")</f>
        <v/>
      </c>
      <c r="B187" s="17" t="str">
        <f t="shared" si="4"/>
        <v/>
      </c>
      <c r="C187" s="1" t="s">
        <v>904</v>
      </c>
      <c r="D187" s="34" t="str">
        <f>IFERROR(__xludf.DUMMYFUNCTION("IFERROR(GOOGLEFINANCE(C187, ""NAME""))"),"Citizens Financial Services Inc")</f>
        <v>Citizens Financial Services Inc</v>
      </c>
      <c r="E187" s="30" t="s">
        <v>268</v>
      </c>
      <c r="F187" s="33" t="str">
        <f>IFERROR(__xludf.DUMMYFUNCTION("( (GOOGLEFINANCE(C187, ""price"") - Q187) / Q187 ) / (R187 / 100)"),"Loading...")</f>
        <v>Loading...</v>
      </c>
      <c r="G187" s="20" t="str">
        <f>IFERROR(__xludf.DUMMYFUNCTION("AVERAGE(ARRAYFORMULA(100 * (QUERY(GOOGLEFINANCE(C187, ""high"", TODAY()-40, TODAY()), ""SELECT Col2 WHERE Col2 IS NOT NULL ORDER BY Col1 DESC LIMIT 20"", 0) / QUERY(GOOGLEFINANCE(C187, ""low"", TODAY()-40, TODAY()), ""SELECT Col2 WHERE Col2 IS NOT NULL OR"&amp;"DER BY Col1 DESC LIMIT 20"", 0) - 1)))"),"#N/A")</f>
        <v>#N/A</v>
      </c>
      <c r="H187" s="35" t="str">
        <f t="shared" si="6"/>
        <v/>
      </c>
      <c r="I187" s="36" t="str">
        <f t="shared" si="7"/>
        <v/>
      </c>
      <c r="J187" s="37" t="str">
        <f>IFERROR(__xludf.DUMMYFUNCTION("IFERROR(
  IF(C187="""",, 
    IFERROR(
      GOOGLEFINANCE(C187, ""price"") * GOOGLEFINANCE(C187, ""volumeavg""), 
      GOOGLEFINANCE(C187, ""price"") * AVERAGE(QUERY(GOOGLEFINANCE(C187, ""volume"", TODAY()-40, TODAY()), ""SELECT Col2 WHERE Col2 IS NOT "&amp;"NULL ORDER BY Col1 DESC LIMIT 20"", 0))
    )
  ), 
"""")"),"")</f>
        <v/>
      </c>
      <c r="K187" s="21" t="str">
        <f>IFERROR(__xludf.DUMMYFUNCTION("IFERROR(GOOGLEFINANCE(C187, ""changepct"") / 100, """")"),"")</f>
        <v/>
      </c>
      <c r="L187" s="21" t="str">
        <f>IFERROR(__xludf.DUMMYFUNCTION("IFERROR((GOOGLEFINANCE(C187, ""price"") / INDEX(GOOGLEFINANCE(C187, ""price"", TODAY()-7, TODAY()), 2, 2)) - 1, """")"),"")</f>
        <v/>
      </c>
      <c r="M187" s="21" t="str">
        <f>IFERROR(__xludf.DUMMYFUNCTION("IFERROR((GOOGLEFINANCE(C187, ""price"") / INDEX(GOOGLEFINANCE(C187, ""price"", EDATE(TODAY(), -1), TODAY()), 2, 2)) - 1, """")"),"")</f>
        <v/>
      </c>
      <c r="N187" s="21" t="str">
        <f>IFERROR(__xludf.DUMMYFUNCTION("IFERROR((GOOGLEFINANCE(C187, ""price"") / INDEX(GOOGLEFINANCE(C187, ""price"", EDATE(TODAY(), -3), TODAY()), 2, 2)) - 1, """")"),"")</f>
        <v/>
      </c>
      <c r="O187" s="21" t="str">
        <f>IFERROR(__xludf.DUMMYFUNCTION("IFERROR((GOOGLEFINANCE(C187, ""price"") / INDEX(GOOGLEFINANCE(C187, ""price"", EDATE(TODAY(), -6), TODAY()), 2, 2)) - 1, """")"),"")</f>
        <v/>
      </c>
      <c r="P187" s="21" t="str">
        <f>IFERROR(__xludf.DUMMYFUNCTION("IFERROR((GOOGLEFINANCE(C187, ""price"") / INDEX(GOOGLEFINANCE(C187, ""price"", EDATE(TODAY(), -12), TODAY()), 2, 2)) - 1, """")"),"")</f>
        <v/>
      </c>
      <c r="Q187" s="6" t="str">
        <f>IFERROR(__xludf.DUMMYFUNCTION("AVERAGE(QUERY(GOOGLEFINANCE(C187, ""price"", TODAY()-80, TODAY()), ""SELECT Col2 WHERE Col2 IS NOT NULL ORDER BY Col1 DESC LIMIT 50"", 0))"),"#N/A")</f>
        <v>#N/A</v>
      </c>
      <c r="R187" s="24" t="str">
        <f>IFERROR(__xludf.DUMMYFUNCTION("IFERROR(
  LET(
    data, QUERY(GOOGLEFINANCE(C187,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GOOGLEFINANCE(C187, ""price"")) * 100,
    IF(calc=0, G187, calc)
  ), 
G187)"),"#N/A")</f>
        <v>#N/A</v>
      </c>
      <c r="S187" s="8" t="s">
        <v>15</v>
      </c>
      <c r="T187" s="26" t="str">
        <f>IFERROR(__xludf.DUMMYFUNCTION("IFERROR(TRANSPOSE(QUERY(IFERROR(SORT(GOOGLEFINANCE(C187, ""price"", WORKDAY(TODAY(), -40), TODAY()), 1, FALSE)), ""select Col2 where Col2 is not null limit 22 label Col2 ''"", 0)), """")"),"")</f>
        <v/>
      </c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8"/>
      <c r="AO187" s="28"/>
      <c r="AP187" s="29"/>
      <c r="AQ187" s="29" t="str">
        <f t="shared" ref="AQ187:BL187" si="190">T187/T$2</f>
        <v>#N/A</v>
      </c>
      <c r="AR187" s="29" t="str">
        <f t="shared" si="190"/>
        <v>#DIV/0!</v>
      </c>
      <c r="AS187" s="29" t="str">
        <f t="shared" si="190"/>
        <v>#DIV/0!</v>
      </c>
      <c r="AT187" s="29" t="str">
        <f t="shared" si="190"/>
        <v>#DIV/0!</v>
      </c>
      <c r="AU187" s="29" t="str">
        <f t="shared" si="190"/>
        <v>#DIV/0!</v>
      </c>
      <c r="AV187" s="29" t="str">
        <f t="shared" si="190"/>
        <v>#DIV/0!</v>
      </c>
      <c r="AW187" s="29" t="str">
        <f t="shared" si="190"/>
        <v>#DIV/0!</v>
      </c>
      <c r="AX187" s="29" t="str">
        <f t="shared" si="190"/>
        <v>#DIV/0!</v>
      </c>
      <c r="AY187" s="29" t="str">
        <f t="shared" si="190"/>
        <v>#DIV/0!</v>
      </c>
      <c r="AZ187" s="29" t="str">
        <f t="shared" si="190"/>
        <v>#DIV/0!</v>
      </c>
      <c r="BA187" s="29" t="str">
        <f t="shared" si="190"/>
        <v>#DIV/0!</v>
      </c>
      <c r="BB187" s="29" t="str">
        <f t="shared" si="190"/>
        <v>#DIV/0!</v>
      </c>
      <c r="BC187" s="29" t="str">
        <f t="shared" si="190"/>
        <v>#DIV/0!</v>
      </c>
      <c r="BD187" s="29" t="str">
        <f t="shared" si="190"/>
        <v>#DIV/0!</v>
      </c>
      <c r="BE187" s="29" t="str">
        <f t="shared" si="190"/>
        <v>#DIV/0!</v>
      </c>
      <c r="BF187" s="29" t="str">
        <f t="shared" si="190"/>
        <v>#DIV/0!</v>
      </c>
      <c r="BG187" s="29" t="str">
        <f t="shared" si="190"/>
        <v>#DIV/0!</v>
      </c>
      <c r="BH187" s="29" t="str">
        <f t="shared" si="190"/>
        <v>#DIV/0!</v>
      </c>
      <c r="BI187" s="29" t="str">
        <f t="shared" si="190"/>
        <v>#DIV/0!</v>
      </c>
      <c r="BJ187" s="29" t="str">
        <f t="shared" si="190"/>
        <v>#DIV/0!</v>
      </c>
      <c r="BK187" s="29" t="str">
        <f t="shared" si="190"/>
        <v>#DIV/0!</v>
      </c>
      <c r="BL187" s="29" t="str">
        <f t="shared" si="190"/>
        <v>#DIV/0!</v>
      </c>
      <c r="BM187" s="29" t="str">
        <f t="shared" si="3"/>
        <v>#DIV/0!</v>
      </c>
    </row>
    <row r="188">
      <c r="A188" s="16" t="str">
        <f>IFERROR(__xludf.DUMMYFUNCTION("IFERROR(SPARKLINE(SORT(MAP(TRANSPOSE(AQ188:BL188), LAMBDA(val, IF(ISNUMBER(val), PERCENTRANK(AQ188:BL188, val)+0.01, 0))), SEQUENCE(COLUMNS(AQ188:BL188)), FALSE), {""charttype"",""column""; ""color"",""chartreuse""; ""ymin"", 0; ""ymax"", 1.01; ""highcolo"&amp;"r"", ""darkgreen""; ""lowcolor"", ""red""}), """")"),"")</f>
        <v/>
      </c>
      <c r="B188" s="17" t="str">
        <f t="shared" si="4"/>
        <v/>
      </c>
      <c r="C188" s="1" t="s">
        <v>909</v>
      </c>
      <c r="D188" s="34" t="str">
        <f>IFERROR(__xludf.DUMMYFUNCTION("IFERROR(GOOGLEFINANCE(C188, ""NAME""))"),"WaFd Inc")</f>
        <v>WaFd Inc</v>
      </c>
      <c r="E188" s="30" t="s">
        <v>268</v>
      </c>
      <c r="F188" s="33" t="str">
        <f>IFERROR(__xludf.DUMMYFUNCTION("( (GOOGLEFINANCE(C188, ""price"") - Q188) / Q188 ) / (R188 / 100)"),"Loading...")</f>
        <v>Loading...</v>
      </c>
      <c r="G188" s="20" t="str">
        <f>IFERROR(__xludf.DUMMYFUNCTION("AVERAGE(ARRAYFORMULA(100 * (QUERY(GOOGLEFINANCE(C188, ""high"", TODAY()-40, TODAY()), ""SELECT Col2 WHERE Col2 IS NOT NULL ORDER BY Col1 DESC LIMIT 20"", 0) / QUERY(GOOGLEFINANCE(C188, ""low"", TODAY()-40, TODAY()), ""SELECT Col2 WHERE Col2 IS NOT NULL OR"&amp;"DER BY Col1 DESC LIMIT 20"", 0) - 1)))"),"#N/A")</f>
        <v>#N/A</v>
      </c>
      <c r="H188" s="35" t="str">
        <f t="shared" si="6"/>
        <v/>
      </c>
      <c r="I188" s="36" t="str">
        <f t="shared" si="7"/>
        <v/>
      </c>
      <c r="J188" s="37" t="str">
        <f>IFERROR(__xludf.DUMMYFUNCTION("IFERROR(
  IF(C188="""",, 
    IFERROR(
      GOOGLEFINANCE(C188, ""price"") * GOOGLEFINANCE(C188, ""volumeavg""), 
      GOOGLEFINANCE(C188, ""price"") * AVERAGE(QUERY(GOOGLEFINANCE(C188, ""volume"", TODAY()-40, TODAY()), ""SELECT Col2 WHERE Col2 IS NOT "&amp;"NULL ORDER BY Col1 DESC LIMIT 20"", 0))
    )
  ), 
"""")"),"")</f>
        <v/>
      </c>
      <c r="K188" s="21" t="str">
        <f>IFERROR(__xludf.DUMMYFUNCTION("IFERROR(GOOGLEFINANCE(C188, ""changepct"") / 100, """")"),"")</f>
        <v/>
      </c>
      <c r="L188" s="21" t="str">
        <f>IFERROR(__xludf.DUMMYFUNCTION("IFERROR((GOOGLEFINANCE(C188, ""price"") / INDEX(GOOGLEFINANCE(C188, ""price"", TODAY()-7, TODAY()), 2, 2)) - 1, """")"),"")</f>
        <v/>
      </c>
      <c r="M188" s="21" t="str">
        <f>IFERROR(__xludf.DUMMYFUNCTION("IFERROR((GOOGLEFINANCE(C188, ""price"") / INDEX(GOOGLEFINANCE(C188, ""price"", EDATE(TODAY(), -1), TODAY()), 2, 2)) - 1, """")"),"")</f>
        <v/>
      </c>
      <c r="N188" s="21" t="str">
        <f>IFERROR(__xludf.DUMMYFUNCTION("IFERROR((GOOGLEFINANCE(C188, ""price"") / INDEX(GOOGLEFINANCE(C188, ""price"", EDATE(TODAY(), -3), TODAY()), 2, 2)) - 1, """")"),"")</f>
        <v/>
      </c>
      <c r="O188" s="21" t="str">
        <f>IFERROR(__xludf.DUMMYFUNCTION("IFERROR((GOOGLEFINANCE(C188, ""price"") / INDEX(GOOGLEFINANCE(C188, ""price"", EDATE(TODAY(), -6), TODAY()), 2, 2)) - 1, """")"),"")</f>
        <v/>
      </c>
      <c r="P188" s="21" t="str">
        <f>IFERROR(__xludf.DUMMYFUNCTION("IFERROR((GOOGLEFINANCE(C188, ""price"") / INDEX(GOOGLEFINANCE(C188, ""price"", EDATE(TODAY(), -12), TODAY()), 2, 2)) - 1, """")"),"")</f>
        <v/>
      </c>
      <c r="Q188" s="6" t="str">
        <f>IFERROR(__xludf.DUMMYFUNCTION("AVERAGE(QUERY(GOOGLEFINANCE(C188, ""price"", TODAY()-80, TODAY()), ""SELECT Col2 WHERE Col2 IS NOT NULL ORDER BY Col1 DESC LIMIT 50"", 0))"),"#N/A")</f>
        <v>#N/A</v>
      </c>
      <c r="R188" s="24" t="str">
        <f>IFERROR(__xludf.DUMMYFUNCTION("IFERROR(
  LET(
    data, QUERY(GOOGLEFINANCE(C188,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GOOGLEFINANCE(C188, ""price"")) * 100,
    IF(calc=0, G188, calc)
  ), 
G188)"),"#N/A")</f>
        <v>#N/A</v>
      </c>
      <c r="S188" s="8" t="s">
        <v>15</v>
      </c>
      <c r="T188" s="26" t="str">
        <f>IFERROR(__xludf.DUMMYFUNCTION("IFERROR(TRANSPOSE(QUERY(IFERROR(SORT(GOOGLEFINANCE(C188, ""price"", WORKDAY(TODAY(), -40), TODAY()), 1, FALSE)), ""select Col2 where Col2 is not null limit 22 label Col2 ''"", 0)), """")"),"")</f>
        <v/>
      </c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8"/>
      <c r="AO188" s="28"/>
      <c r="AP188" s="29"/>
      <c r="AQ188" s="29" t="str">
        <f t="shared" ref="AQ188:BL188" si="191">T188/T$2</f>
        <v>#N/A</v>
      </c>
      <c r="AR188" s="29" t="str">
        <f t="shared" si="191"/>
        <v>#DIV/0!</v>
      </c>
      <c r="AS188" s="29" t="str">
        <f t="shared" si="191"/>
        <v>#DIV/0!</v>
      </c>
      <c r="AT188" s="29" t="str">
        <f t="shared" si="191"/>
        <v>#DIV/0!</v>
      </c>
      <c r="AU188" s="29" t="str">
        <f t="shared" si="191"/>
        <v>#DIV/0!</v>
      </c>
      <c r="AV188" s="29" t="str">
        <f t="shared" si="191"/>
        <v>#DIV/0!</v>
      </c>
      <c r="AW188" s="29" t="str">
        <f t="shared" si="191"/>
        <v>#DIV/0!</v>
      </c>
      <c r="AX188" s="29" t="str">
        <f t="shared" si="191"/>
        <v>#DIV/0!</v>
      </c>
      <c r="AY188" s="29" t="str">
        <f t="shared" si="191"/>
        <v>#DIV/0!</v>
      </c>
      <c r="AZ188" s="29" t="str">
        <f t="shared" si="191"/>
        <v>#DIV/0!</v>
      </c>
      <c r="BA188" s="29" t="str">
        <f t="shared" si="191"/>
        <v>#DIV/0!</v>
      </c>
      <c r="BB188" s="29" t="str">
        <f t="shared" si="191"/>
        <v>#DIV/0!</v>
      </c>
      <c r="BC188" s="29" t="str">
        <f t="shared" si="191"/>
        <v>#DIV/0!</v>
      </c>
      <c r="BD188" s="29" t="str">
        <f t="shared" si="191"/>
        <v>#DIV/0!</v>
      </c>
      <c r="BE188" s="29" t="str">
        <f t="shared" si="191"/>
        <v>#DIV/0!</v>
      </c>
      <c r="BF188" s="29" t="str">
        <f t="shared" si="191"/>
        <v>#DIV/0!</v>
      </c>
      <c r="BG188" s="29" t="str">
        <f t="shared" si="191"/>
        <v>#DIV/0!</v>
      </c>
      <c r="BH188" s="29" t="str">
        <f t="shared" si="191"/>
        <v>#DIV/0!</v>
      </c>
      <c r="BI188" s="29" t="str">
        <f t="shared" si="191"/>
        <v>#DIV/0!</v>
      </c>
      <c r="BJ188" s="29" t="str">
        <f t="shared" si="191"/>
        <v>#DIV/0!</v>
      </c>
      <c r="BK188" s="29" t="str">
        <f t="shared" si="191"/>
        <v>#DIV/0!</v>
      </c>
      <c r="BL188" s="29" t="str">
        <f t="shared" si="191"/>
        <v>#DIV/0!</v>
      </c>
      <c r="BM188" s="29" t="str">
        <f t="shared" si="3"/>
        <v>#DIV/0!</v>
      </c>
    </row>
    <row r="189">
      <c r="A189" s="16" t="str">
        <f>IFERROR(__xludf.DUMMYFUNCTION("IFERROR(SPARKLINE(SORT(MAP(TRANSPOSE(AQ189:BL189), LAMBDA(val, IF(ISNUMBER(val), PERCENTRANK(AQ189:BL189, val)+0.01, 0))), SEQUENCE(COLUMNS(AQ189:BL189)), FALSE), {""charttype"",""column""; ""color"",""chartreuse""; ""ymin"", 0; ""ymax"", 1.01; ""highcolo"&amp;"r"", ""darkgreen""; ""lowcolor"", ""red""}), """")"),"")</f>
        <v/>
      </c>
      <c r="B189" s="17" t="str">
        <f t="shared" si="4"/>
        <v/>
      </c>
      <c r="C189" s="1" t="s">
        <v>913</v>
      </c>
      <c r="D189" s="34" t="str">
        <f>IFERROR(__xludf.DUMMYFUNCTION("IFERROR(GOOGLEFINANCE(C189, ""NAME""))"),"Lazard Inc")</f>
        <v>Lazard Inc</v>
      </c>
      <c r="E189" s="30" t="s">
        <v>77</v>
      </c>
      <c r="F189" s="33" t="str">
        <f>IFERROR(__xludf.DUMMYFUNCTION("( (GOOGLEFINANCE(C189, ""price"") - Q189) / Q189 ) / (R189 / 100)"),"Loading...")</f>
        <v>Loading...</v>
      </c>
      <c r="G189" s="20" t="str">
        <f>IFERROR(__xludf.DUMMYFUNCTION("AVERAGE(ARRAYFORMULA(100 * (QUERY(GOOGLEFINANCE(C189, ""high"", TODAY()-40, TODAY()), ""SELECT Col2 WHERE Col2 IS NOT NULL ORDER BY Col1 DESC LIMIT 20"", 0) / QUERY(GOOGLEFINANCE(C189, ""low"", TODAY()-40, TODAY()), ""SELECT Col2 WHERE Col2 IS NOT NULL OR"&amp;"DER BY Col1 DESC LIMIT 20"", 0) - 1)))"),"#N/A")</f>
        <v>#N/A</v>
      </c>
      <c r="H189" s="35" t="str">
        <f t="shared" si="6"/>
        <v/>
      </c>
      <c r="I189" s="36" t="str">
        <f t="shared" si="7"/>
        <v/>
      </c>
      <c r="J189" s="37" t="str">
        <f>IFERROR(__xludf.DUMMYFUNCTION("IFERROR(
  IF(C189="""",, 
    IFERROR(
      GOOGLEFINANCE(C189, ""price"") * GOOGLEFINANCE(C189, ""volumeavg""), 
      GOOGLEFINANCE(C189, ""price"") * AVERAGE(QUERY(GOOGLEFINANCE(C189, ""volume"", TODAY()-40, TODAY()), ""SELECT Col2 WHERE Col2 IS NOT "&amp;"NULL ORDER BY Col1 DESC LIMIT 20"", 0))
    )
  ), 
"""")"),"")</f>
        <v/>
      </c>
      <c r="K189" s="21" t="str">
        <f>IFERROR(__xludf.DUMMYFUNCTION("IFERROR(GOOGLEFINANCE(C189, ""changepct"") / 100, """")"),"")</f>
        <v/>
      </c>
      <c r="L189" s="21" t="str">
        <f>IFERROR(__xludf.DUMMYFUNCTION("IFERROR((GOOGLEFINANCE(C189, ""price"") / INDEX(GOOGLEFINANCE(C189, ""price"", TODAY()-7, TODAY()), 2, 2)) - 1, """")"),"")</f>
        <v/>
      </c>
      <c r="M189" s="21" t="str">
        <f>IFERROR(__xludf.DUMMYFUNCTION("IFERROR((GOOGLEFINANCE(C189, ""price"") / INDEX(GOOGLEFINANCE(C189, ""price"", EDATE(TODAY(), -1), TODAY()), 2, 2)) - 1, """")"),"")</f>
        <v/>
      </c>
      <c r="N189" s="21" t="str">
        <f>IFERROR(__xludf.DUMMYFUNCTION("IFERROR((GOOGLEFINANCE(C189, ""price"") / INDEX(GOOGLEFINANCE(C189, ""price"", EDATE(TODAY(), -3), TODAY()), 2, 2)) - 1, """")"),"")</f>
        <v/>
      </c>
      <c r="O189" s="21" t="str">
        <f>IFERROR(__xludf.DUMMYFUNCTION("IFERROR((GOOGLEFINANCE(C189, ""price"") / INDEX(GOOGLEFINANCE(C189, ""price"", EDATE(TODAY(), -6), TODAY()), 2, 2)) - 1, """")"),"")</f>
        <v/>
      </c>
      <c r="P189" s="21" t="str">
        <f>IFERROR(__xludf.DUMMYFUNCTION("IFERROR((GOOGLEFINANCE(C189, ""price"") / INDEX(GOOGLEFINANCE(C189, ""price"", EDATE(TODAY(), -12), TODAY()), 2, 2)) - 1, """")"),"")</f>
        <v/>
      </c>
      <c r="Q189" s="6" t="str">
        <f>IFERROR(__xludf.DUMMYFUNCTION("AVERAGE(QUERY(GOOGLEFINANCE(C189, ""price"", TODAY()-80, TODAY()), ""SELECT Col2 WHERE Col2 IS NOT NULL ORDER BY Col1 DESC LIMIT 50"", 0))"),"#N/A")</f>
        <v>#N/A</v>
      </c>
      <c r="R189" s="24" t="str">
        <f>IFERROR(__xludf.DUMMYFUNCTION("IFERROR(
  LET(
    data, QUERY(GOOGLEFINANCE(C189,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GOOGLEFINANCE(C189, ""price"")) * 100,
    IF(calc=0, G189, calc)
  ), 
G189)"),"#N/A")</f>
        <v>#N/A</v>
      </c>
      <c r="S189" s="8" t="s">
        <v>15</v>
      </c>
      <c r="T189" s="26" t="str">
        <f>IFERROR(__xludf.DUMMYFUNCTION("IFERROR(TRANSPOSE(QUERY(IFERROR(SORT(GOOGLEFINANCE(C189, ""price"", WORKDAY(TODAY(), -40), TODAY()), 1, FALSE)), ""select Col2 where Col2 is not null limit 22 label Col2 ''"", 0)), """")"),"")</f>
        <v/>
      </c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8"/>
      <c r="AO189" s="28"/>
      <c r="AP189" s="29"/>
      <c r="AQ189" s="29" t="str">
        <f t="shared" ref="AQ189:BL189" si="192">T189/T$2</f>
        <v>#N/A</v>
      </c>
      <c r="AR189" s="29" t="str">
        <f t="shared" si="192"/>
        <v>#DIV/0!</v>
      </c>
      <c r="AS189" s="29" t="str">
        <f t="shared" si="192"/>
        <v>#DIV/0!</v>
      </c>
      <c r="AT189" s="29" t="str">
        <f t="shared" si="192"/>
        <v>#DIV/0!</v>
      </c>
      <c r="AU189" s="29" t="str">
        <f t="shared" si="192"/>
        <v>#DIV/0!</v>
      </c>
      <c r="AV189" s="29" t="str">
        <f t="shared" si="192"/>
        <v>#DIV/0!</v>
      </c>
      <c r="AW189" s="29" t="str">
        <f t="shared" si="192"/>
        <v>#DIV/0!</v>
      </c>
      <c r="AX189" s="29" t="str">
        <f t="shared" si="192"/>
        <v>#DIV/0!</v>
      </c>
      <c r="AY189" s="29" t="str">
        <f t="shared" si="192"/>
        <v>#DIV/0!</v>
      </c>
      <c r="AZ189" s="29" t="str">
        <f t="shared" si="192"/>
        <v>#DIV/0!</v>
      </c>
      <c r="BA189" s="29" t="str">
        <f t="shared" si="192"/>
        <v>#DIV/0!</v>
      </c>
      <c r="BB189" s="29" t="str">
        <f t="shared" si="192"/>
        <v>#DIV/0!</v>
      </c>
      <c r="BC189" s="29" t="str">
        <f t="shared" si="192"/>
        <v>#DIV/0!</v>
      </c>
      <c r="BD189" s="29" t="str">
        <f t="shared" si="192"/>
        <v>#DIV/0!</v>
      </c>
      <c r="BE189" s="29" t="str">
        <f t="shared" si="192"/>
        <v>#DIV/0!</v>
      </c>
      <c r="BF189" s="29" t="str">
        <f t="shared" si="192"/>
        <v>#DIV/0!</v>
      </c>
      <c r="BG189" s="29" t="str">
        <f t="shared" si="192"/>
        <v>#DIV/0!</v>
      </c>
      <c r="BH189" s="29" t="str">
        <f t="shared" si="192"/>
        <v>#DIV/0!</v>
      </c>
      <c r="BI189" s="29" t="str">
        <f t="shared" si="192"/>
        <v>#DIV/0!</v>
      </c>
      <c r="BJ189" s="29" t="str">
        <f t="shared" si="192"/>
        <v>#DIV/0!</v>
      </c>
      <c r="BK189" s="29" t="str">
        <f t="shared" si="192"/>
        <v>#DIV/0!</v>
      </c>
      <c r="BL189" s="29" t="str">
        <f t="shared" si="192"/>
        <v>#DIV/0!</v>
      </c>
      <c r="BM189" s="29" t="str">
        <f t="shared" si="3"/>
        <v>#DIV/0!</v>
      </c>
    </row>
    <row r="190">
      <c r="A190" s="16" t="str">
        <f>IFERROR(__xludf.DUMMYFUNCTION("IFERROR(SPARKLINE(SORT(MAP(TRANSPOSE(AQ190:BL190), LAMBDA(val, IF(ISNUMBER(val), PERCENTRANK(AQ190:BL190, val)+0.01, 0))), SEQUENCE(COLUMNS(AQ190:BL190)), FALSE), {""charttype"",""column""; ""color"",""chartreuse""; ""ymin"", 0; ""ymax"", 1.01; ""highcolo"&amp;"r"", ""darkgreen""; ""lowcolor"", ""red""}), """")"),"")</f>
        <v/>
      </c>
      <c r="B190" s="17" t="str">
        <f t="shared" si="4"/>
        <v/>
      </c>
      <c r="C190" s="1" t="s">
        <v>919</v>
      </c>
      <c r="D190" s="34" t="str">
        <f>IFERROR(__xludf.DUMMYFUNCTION("IFERROR(GOOGLEFINANCE(C190, ""NAME""))"),"Banco Macro SA ADR Class B")</f>
        <v>Banco Macro SA ADR Class B</v>
      </c>
      <c r="E190" s="30" t="s">
        <v>268</v>
      </c>
      <c r="F190" s="33" t="str">
        <f>IFERROR(__xludf.DUMMYFUNCTION("( (GOOGLEFINANCE(C190, ""price"") - Q190) / Q190 ) / (R190 / 100)"),"Loading...")</f>
        <v>Loading...</v>
      </c>
      <c r="G190" s="20" t="str">
        <f>IFERROR(__xludf.DUMMYFUNCTION("AVERAGE(ARRAYFORMULA(100 * (QUERY(GOOGLEFINANCE(C190, ""high"", TODAY()-40, TODAY()), ""SELECT Col2 WHERE Col2 IS NOT NULL ORDER BY Col1 DESC LIMIT 20"", 0) / QUERY(GOOGLEFINANCE(C190, ""low"", TODAY()-40, TODAY()), ""SELECT Col2 WHERE Col2 IS NOT NULL OR"&amp;"DER BY Col1 DESC LIMIT 20"", 0) - 1)))"),"#N/A")</f>
        <v>#N/A</v>
      </c>
      <c r="H190" s="35" t="str">
        <f t="shared" si="6"/>
        <v/>
      </c>
      <c r="I190" s="36" t="str">
        <f t="shared" si="7"/>
        <v/>
      </c>
      <c r="J190" s="37" t="str">
        <f>IFERROR(__xludf.DUMMYFUNCTION("IFERROR(
  IF(C190="""",, 
    IFERROR(
      GOOGLEFINANCE(C190, ""price"") * GOOGLEFINANCE(C190, ""volumeavg""), 
      GOOGLEFINANCE(C190, ""price"") * AVERAGE(QUERY(GOOGLEFINANCE(C190, ""volume"", TODAY()-40, TODAY()), ""SELECT Col2 WHERE Col2 IS NOT "&amp;"NULL ORDER BY Col1 DESC LIMIT 20"", 0))
    )
  ), 
"""")"),"")</f>
        <v/>
      </c>
      <c r="K190" s="21" t="str">
        <f>IFERROR(__xludf.DUMMYFUNCTION("IFERROR(GOOGLEFINANCE(C190, ""changepct"") / 100, """")"),"")</f>
        <v/>
      </c>
      <c r="L190" s="21" t="str">
        <f>IFERROR(__xludf.DUMMYFUNCTION("IFERROR((GOOGLEFINANCE(C190, ""price"") / INDEX(GOOGLEFINANCE(C190, ""price"", TODAY()-7, TODAY()), 2, 2)) - 1, """")"),"")</f>
        <v/>
      </c>
      <c r="M190" s="21" t="str">
        <f>IFERROR(__xludf.DUMMYFUNCTION("IFERROR((GOOGLEFINANCE(C190, ""price"") / INDEX(GOOGLEFINANCE(C190, ""price"", EDATE(TODAY(), -1), TODAY()), 2, 2)) - 1, """")"),"")</f>
        <v/>
      </c>
      <c r="N190" s="21" t="str">
        <f>IFERROR(__xludf.DUMMYFUNCTION("IFERROR((GOOGLEFINANCE(C190, ""price"") / INDEX(GOOGLEFINANCE(C190, ""price"", EDATE(TODAY(), -3), TODAY()), 2, 2)) - 1, """")"),"")</f>
        <v/>
      </c>
      <c r="O190" s="21" t="str">
        <f>IFERROR(__xludf.DUMMYFUNCTION("IFERROR((GOOGLEFINANCE(C190, ""price"") / INDEX(GOOGLEFINANCE(C190, ""price"", EDATE(TODAY(), -6), TODAY()), 2, 2)) - 1, """")"),"")</f>
        <v/>
      </c>
      <c r="P190" s="21" t="str">
        <f>IFERROR(__xludf.DUMMYFUNCTION("IFERROR((GOOGLEFINANCE(C190, ""price"") / INDEX(GOOGLEFINANCE(C190, ""price"", EDATE(TODAY(), -12), TODAY()), 2, 2)) - 1, """")"),"")</f>
        <v/>
      </c>
      <c r="Q190" s="6" t="str">
        <f>IFERROR(__xludf.DUMMYFUNCTION("AVERAGE(QUERY(GOOGLEFINANCE(C190, ""price"", TODAY()-80, TODAY()), ""SELECT Col2 WHERE Col2 IS NOT NULL ORDER BY Col1 DESC LIMIT 50"", 0))"),"#N/A")</f>
        <v>#N/A</v>
      </c>
      <c r="R190" s="24" t="str">
        <f>IFERROR(__xludf.DUMMYFUNCTION("IFERROR(
  LET(
    data, QUERY(GOOGLEFINANCE(C190,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GOOGLEFINANCE(C190, ""price"")) * 100,
    IF(calc=0, G190, calc)
  ), 
G190)"),"#N/A")</f>
        <v>#N/A</v>
      </c>
      <c r="S190" s="8" t="s">
        <v>15</v>
      </c>
      <c r="T190" s="26" t="str">
        <f>IFERROR(__xludf.DUMMYFUNCTION("IFERROR(TRANSPOSE(QUERY(IFERROR(SORT(GOOGLEFINANCE(C190, ""price"", WORKDAY(TODAY(), -40), TODAY()), 1, FALSE)), ""select Col2 where Col2 is not null limit 22 label Col2 ''"", 0)), """")"),"")</f>
        <v/>
      </c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8"/>
      <c r="AO190" s="28"/>
      <c r="AP190" s="29"/>
      <c r="AQ190" s="29" t="str">
        <f t="shared" ref="AQ190:BL190" si="193">T190/T$2</f>
        <v>#N/A</v>
      </c>
      <c r="AR190" s="29" t="str">
        <f t="shared" si="193"/>
        <v>#DIV/0!</v>
      </c>
      <c r="AS190" s="29" t="str">
        <f t="shared" si="193"/>
        <v>#DIV/0!</v>
      </c>
      <c r="AT190" s="29" t="str">
        <f t="shared" si="193"/>
        <v>#DIV/0!</v>
      </c>
      <c r="AU190" s="29" t="str">
        <f t="shared" si="193"/>
        <v>#DIV/0!</v>
      </c>
      <c r="AV190" s="29" t="str">
        <f t="shared" si="193"/>
        <v>#DIV/0!</v>
      </c>
      <c r="AW190" s="29" t="str">
        <f t="shared" si="193"/>
        <v>#DIV/0!</v>
      </c>
      <c r="AX190" s="29" t="str">
        <f t="shared" si="193"/>
        <v>#DIV/0!</v>
      </c>
      <c r="AY190" s="29" t="str">
        <f t="shared" si="193"/>
        <v>#DIV/0!</v>
      </c>
      <c r="AZ190" s="29" t="str">
        <f t="shared" si="193"/>
        <v>#DIV/0!</v>
      </c>
      <c r="BA190" s="29" t="str">
        <f t="shared" si="193"/>
        <v>#DIV/0!</v>
      </c>
      <c r="BB190" s="29" t="str">
        <f t="shared" si="193"/>
        <v>#DIV/0!</v>
      </c>
      <c r="BC190" s="29" t="str">
        <f t="shared" si="193"/>
        <v>#DIV/0!</v>
      </c>
      <c r="BD190" s="29" t="str">
        <f t="shared" si="193"/>
        <v>#DIV/0!</v>
      </c>
      <c r="BE190" s="29" t="str">
        <f t="shared" si="193"/>
        <v>#DIV/0!</v>
      </c>
      <c r="BF190" s="29" t="str">
        <f t="shared" si="193"/>
        <v>#DIV/0!</v>
      </c>
      <c r="BG190" s="29" t="str">
        <f t="shared" si="193"/>
        <v>#DIV/0!</v>
      </c>
      <c r="BH190" s="29" t="str">
        <f t="shared" si="193"/>
        <v>#DIV/0!</v>
      </c>
      <c r="BI190" s="29" t="str">
        <f t="shared" si="193"/>
        <v>#DIV/0!</v>
      </c>
      <c r="BJ190" s="29" t="str">
        <f t="shared" si="193"/>
        <v>#DIV/0!</v>
      </c>
      <c r="BK190" s="29" t="str">
        <f t="shared" si="193"/>
        <v>#DIV/0!</v>
      </c>
      <c r="BL190" s="29" t="str">
        <f t="shared" si="193"/>
        <v>#DIV/0!</v>
      </c>
      <c r="BM190" s="29" t="str">
        <f t="shared" si="3"/>
        <v>#DIV/0!</v>
      </c>
    </row>
    <row r="191">
      <c r="A191" s="16" t="str">
        <f>IFERROR(__xludf.DUMMYFUNCTION("IFERROR(SPARKLINE(SORT(MAP(TRANSPOSE(AQ191:BL191), LAMBDA(val, IF(ISNUMBER(val), PERCENTRANK(AQ191:BL191, val)+0.01, 0))), SEQUENCE(COLUMNS(AQ191:BL191)), FALSE), {""charttype"",""column""; ""color"",""chartreuse""; ""ymin"", 0; ""ymax"", 1.01; ""highcolo"&amp;"r"", ""darkgreen""; ""lowcolor"", ""red""}), """")"),"")</f>
        <v/>
      </c>
      <c r="B191" s="17" t="str">
        <f t="shared" si="4"/>
        <v/>
      </c>
      <c r="C191" s="1" t="s">
        <v>924</v>
      </c>
      <c r="D191" s="34" t="str">
        <f>IFERROR(__xludf.DUMMYFUNCTION("IFERROR(GOOGLEFINANCE(C191, ""NAME""))"),"Skyward Specialty Insurance Group Inc")</f>
        <v>Skyward Specialty Insurance Group Inc</v>
      </c>
      <c r="E191" s="30" t="s">
        <v>82</v>
      </c>
      <c r="F191" s="33" t="str">
        <f>IFERROR(__xludf.DUMMYFUNCTION("( (GOOGLEFINANCE(C191, ""price"") - Q191) / Q191 ) / (R191 / 100)"),"Loading...")</f>
        <v>Loading...</v>
      </c>
      <c r="G191" s="20" t="str">
        <f>IFERROR(__xludf.DUMMYFUNCTION("AVERAGE(ARRAYFORMULA(100 * (QUERY(GOOGLEFINANCE(C191, ""high"", TODAY()-40, TODAY()), ""SELECT Col2 WHERE Col2 IS NOT NULL ORDER BY Col1 DESC LIMIT 20"", 0) / QUERY(GOOGLEFINANCE(C191, ""low"", TODAY()-40, TODAY()), ""SELECT Col2 WHERE Col2 IS NOT NULL OR"&amp;"DER BY Col1 DESC LIMIT 20"", 0) - 1)))"),"#N/A")</f>
        <v>#N/A</v>
      </c>
      <c r="H191" s="35" t="str">
        <f t="shared" si="6"/>
        <v/>
      </c>
      <c r="I191" s="36" t="str">
        <f t="shared" si="7"/>
        <v/>
      </c>
      <c r="J191" s="37" t="str">
        <f>IFERROR(__xludf.DUMMYFUNCTION("IFERROR(
  IF(C191="""",, 
    IFERROR(
      GOOGLEFINANCE(C191, ""price"") * GOOGLEFINANCE(C191, ""volumeavg""), 
      GOOGLEFINANCE(C191, ""price"") * AVERAGE(QUERY(GOOGLEFINANCE(C191, ""volume"", TODAY()-40, TODAY()), ""SELECT Col2 WHERE Col2 IS NOT "&amp;"NULL ORDER BY Col1 DESC LIMIT 20"", 0))
    )
  ), 
"""")"),"")</f>
        <v/>
      </c>
      <c r="K191" s="21" t="str">
        <f>IFERROR(__xludf.DUMMYFUNCTION("IFERROR(GOOGLEFINANCE(C191, ""changepct"") / 100, """")"),"")</f>
        <v/>
      </c>
      <c r="L191" s="21" t="str">
        <f>IFERROR(__xludf.DUMMYFUNCTION("IFERROR((GOOGLEFINANCE(C191, ""price"") / INDEX(GOOGLEFINANCE(C191, ""price"", TODAY()-7, TODAY()), 2, 2)) - 1, """")"),"")</f>
        <v/>
      </c>
      <c r="M191" s="21" t="str">
        <f>IFERROR(__xludf.DUMMYFUNCTION("IFERROR((GOOGLEFINANCE(C191, ""price"") / INDEX(GOOGLEFINANCE(C191, ""price"", EDATE(TODAY(), -1), TODAY()), 2, 2)) - 1, """")"),"")</f>
        <v/>
      </c>
      <c r="N191" s="21" t="str">
        <f>IFERROR(__xludf.DUMMYFUNCTION("IFERROR((GOOGLEFINANCE(C191, ""price"") / INDEX(GOOGLEFINANCE(C191, ""price"", EDATE(TODAY(), -3), TODAY()), 2, 2)) - 1, """")"),"")</f>
        <v/>
      </c>
      <c r="O191" s="21" t="str">
        <f>IFERROR(__xludf.DUMMYFUNCTION("IFERROR((GOOGLEFINANCE(C191, ""price"") / INDEX(GOOGLEFINANCE(C191, ""price"", EDATE(TODAY(), -6), TODAY()), 2, 2)) - 1, """")"),"")</f>
        <v/>
      </c>
      <c r="P191" s="21" t="str">
        <f>IFERROR(__xludf.DUMMYFUNCTION("IFERROR((GOOGLEFINANCE(C191, ""price"") / INDEX(GOOGLEFINANCE(C191, ""price"", EDATE(TODAY(), -12), TODAY()), 2, 2)) - 1, """")"),"")</f>
        <v/>
      </c>
      <c r="Q191" s="6" t="str">
        <f>IFERROR(__xludf.DUMMYFUNCTION("AVERAGE(QUERY(GOOGLEFINANCE(C191, ""price"", TODAY()-80, TODAY()), ""SELECT Col2 WHERE Col2 IS NOT NULL ORDER BY Col1 DESC LIMIT 50"", 0))"),"#N/A")</f>
        <v>#N/A</v>
      </c>
      <c r="R191" s="24" t="str">
        <f>IFERROR(__xludf.DUMMYFUNCTION("IFERROR(
  LET(
    data, QUERY(GOOGLEFINANCE(C191,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GOOGLEFINANCE(C191, ""price"")) * 100,
    IF(calc=0, G191, calc)
  ), 
G191)"),"#N/A")</f>
        <v>#N/A</v>
      </c>
      <c r="S191" s="8" t="s">
        <v>15</v>
      </c>
      <c r="T191" s="26" t="str">
        <f>IFERROR(__xludf.DUMMYFUNCTION("IFERROR(TRANSPOSE(QUERY(IFERROR(SORT(GOOGLEFINANCE(C191, ""price"", WORKDAY(TODAY(), -40), TODAY()), 1, FALSE)), ""select Col2 where Col2 is not null limit 22 label Col2 ''"", 0)), """")"),"")</f>
        <v/>
      </c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8"/>
      <c r="AO191" s="28"/>
      <c r="AP191" s="29"/>
      <c r="AQ191" s="29" t="str">
        <f t="shared" ref="AQ191:BL191" si="194">T191/T$2</f>
        <v>#N/A</v>
      </c>
      <c r="AR191" s="29" t="str">
        <f t="shared" si="194"/>
        <v>#DIV/0!</v>
      </c>
      <c r="AS191" s="29" t="str">
        <f t="shared" si="194"/>
        <v>#DIV/0!</v>
      </c>
      <c r="AT191" s="29" t="str">
        <f t="shared" si="194"/>
        <v>#DIV/0!</v>
      </c>
      <c r="AU191" s="29" t="str">
        <f t="shared" si="194"/>
        <v>#DIV/0!</v>
      </c>
      <c r="AV191" s="29" t="str">
        <f t="shared" si="194"/>
        <v>#DIV/0!</v>
      </c>
      <c r="AW191" s="29" t="str">
        <f t="shared" si="194"/>
        <v>#DIV/0!</v>
      </c>
      <c r="AX191" s="29" t="str">
        <f t="shared" si="194"/>
        <v>#DIV/0!</v>
      </c>
      <c r="AY191" s="29" t="str">
        <f t="shared" si="194"/>
        <v>#DIV/0!</v>
      </c>
      <c r="AZ191" s="29" t="str">
        <f t="shared" si="194"/>
        <v>#DIV/0!</v>
      </c>
      <c r="BA191" s="29" t="str">
        <f t="shared" si="194"/>
        <v>#DIV/0!</v>
      </c>
      <c r="BB191" s="29" t="str">
        <f t="shared" si="194"/>
        <v>#DIV/0!</v>
      </c>
      <c r="BC191" s="29" t="str">
        <f t="shared" si="194"/>
        <v>#DIV/0!</v>
      </c>
      <c r="BD191" s="29" t="str">
        <f t="shared" si="194"/>
        <v>#DIV/0!</v>
      </c>
      <c r="BE191" s="29" t="str">
        <f t="shared" si="194"/>
        <v>#DIV/0!</v>
      </c>
      <c r="BF191" s="29" t="str">
        <f t="shared" si="194"/>
        <v>#DIV/0!</v>
      </c>
      <c r="BG191" s="29" t="str">
        <f t="shared" si="194"/>
        <v>#DIV/0!</v>
      </c>
      <c r="BH191" s="29" t="str">
        <f t="shared" si="194"/>
        <v>#DIV/0!</v>
      </c>
      <c r="BI191" s="29" t="str">
        <f t="shared" si="194"/>
        <v>#DIV/0!</v>
      </c>
      <c r="BJ191" s="29" t="str">
        <f t="shared" si="194"/>
        <v>#DIV/0!</v>
      </c>
      <c r="BK191" s="29" t="str">
        <f t="shared" si="194"/>
        <v>#DIV/0!</v>
      </c>
      <c r="BL191" s="29" t="str">
        <f t="shared" si="194"/>
        <v>#DIV/0!</v>
      </c>
      <c r="BM191" s="29" t="str">
        <f t="shared" si="3"/>
        <v>#DIV/0!</v>
      </c>
    </row>
    <row r="192">
      <c r="A192" s="16" t="str">
        <f>IFERROR(__xludf.DUMMYFUNCTION("IFERROR(SPARKLINE(SORT(MAP(TRANSPOSE(AQ192:BL192), LAMBDA(val, IF(ISNUMBER(val), PERCENTRANK(AQ192:BL192, val)+0.01, 0))), SEQUENCE(COLUMNS(AQ192:BL192)), FALSE), {""charttype"",""column""; ""color"",""chartreuse""; ""ymin"", 0; ""ymax"", 1.01; ""highcolo"&amp;"r"", ""darkgreen""; ""lowcolor"", ""red""}), """")"),"")</f>
        <v/>
      </c>
      <c r="B192" s="17" t="str">
        <f t="shared" si="4"/>
        <v/>
      </c>
      <c r="C192" s="1" t="s">
        <v>929</v>
      </c>
      <c r="D192" s="34" t="str">
        <f>IFERROR(__xludf.DUMMYFUNCTION("IFERROR(GOOGLEFINANCE(C192, ""NAME""))"),"Prudential PLC")</f>
        <v>Prudential PLC</v>
      </c>
      <c r="E192" s="30" t="s">
        <v>231</v>
      </c>
      <c r="F192" s="33" t="str">
        <f>IFERROR(__xludf.DUMMYFUNCTION("( (GOOGLEFINANCE(C192, ""price"") - Q192) / Q192 ) / (R192 / 100)"),"Loading...")</f>
        <v>Loading...</v>
      </c>
      <c r="G192" s="20" t="str">
        <f>IFERROR(__xludf.DUMMYFUNCTION("AVERAGE(ARRAYFORMULA(100 * (QUERY(GOOGLEFINANCE(C192, ""high"", TODAY()-40, TODAY()), ""SELECT Col2 WHERE Col2 IS NOT NULL ORDER BY Col1 DESC LIMIT 20"", 0) / QUERY(GOOGLEFINANCE(C192, ""low"", TODAY()-40, TODAY()), ""SELECT Col2 WHERE Col2 IS NOT NULL OR"&amp;"DER BY Col1 DESC LIMIT 20"", 0) - 1)))"),"#N/A")</f>
        <v>#N/A</v>
      </c>
      <c r="H192" s="35" t="str">
        <f t="shared" si="6"/>
        <v/>
      </c>
      <c r="I192" s="36" t="str">
        <f t="shared" si="7"/>
        <v/>
      </c>
      <c r="J192" s="37" t="str">
        <f>IFERROR(__xludf.DUMMYFUNCTION("IFERROR(
  IF(C192="""",, 
    IFERROR(
      GOOGLEFINANCE(C192, ""price"") * GOOGLEFINANCE(C192, ""volumeavg""), 
      GOOGLEFINANCE(C192, ""price"") * AVERAGE(QUERY(GOOGLEFINANCE(C192, ""volume"", TODAY()-40, TODAY()), ""SELECT Col2 WHERE Col2 IS NOT "&amp;"NULL ORDER BY Col1 DESC LIMIT 20"", 0))
    )
  ), 
"""")"),"")</f>
        <v/>
      </c>
      <c r="K192" s="21" t="str">
        <f>IFERROR(__xludf.DUMMYFUNCTION("IFERROR(GOOGLEFINANCE(C192, ""changepct"") / 100, """")"),"")</f>
        <v/>
      </c>
      <c r="L192" s="21" t="str">
        <f>IFERROR(__xludf.DUMMYFUNCTION("IFERROR((GOOGLEFINANCE(C192, ""price"") / INDEX(GOOGLEFINANCE(C192, ""price"", TODAY()-7, TODAY()), 2, 2)) - 1, """")"),"")</f>
        <v/>
      </c>
      <c r="M192" s="21" t="str">
        <f>IFERROR(__xludf.DUMMYFUNCTION("IFERROR((GOOGLEFINANCE(C192, ""price"") / INDEX(GOOGLEFINANCE(C192, ""price"", EDATE(TODAY(), -1), TODAY()), 2, 2)) - 1, """")"),"")</f>
        <v/>
      </c>
      <c r="N192" s="21" t="str">
        <f>IFERROR(__xludf.DUMMYFUNCTION("IFERROR((GOOGLEFINANCE(C192, ""price"") / INDEX(GOOGLEFINANCE(C192, ""price"", EDATE(TODAY(), -3), TODAY()), 2, 2)) - 1, """")"),"")</f>
        <v/>
      </c>
      <c r="O192" s="21" t="str">
        <f>IFERROR(__xludf.DUMMYFUNCTION("IFERROR((GOOGLEFINANCE(C192, ""price"") / INDEX(GOOGLEFINANCE(C192, ""price"", EDATE(TODAY(), -6), TODAY()), 2, 2)) - 1, """")"),"")</f>
        <v/>
      </c>
      <c r="P192" s="21" t="str">
        <f>IFERROR(__xludf.DUMMYFUNCTION("IFERROR((GOOGLEFINANCE(C192, ""price"") / INDEX(GOOGLEFINANCE(C192, ""price"", EDATE(TODAY(), -12), TODAY()), 2, 2)) - 1, """")"),"")</f>
        <v/>
      </c>
      <c r="Q192" s="6" t="str">
        <f>IFERROR(__xludf.DUMMYFUNCTION("AVERAGE(QUERY(GOOGLEFINANCE(C192, ""price"", TODAY()-80, TODAY()), ""SELECT Col2 WHERE Col2 IS NOT NULL ORDER BY Col1 DESC LIMIT 50"", 0))"),"#N/A")</f>
        <v>#N/A</v>
      </c>
      <c r="R192" s="24" t="str">
        <f>IFERROR(__xludf.DUMMYFUNCTION("IFERROR(
  LET(
    data, QUERY(GOOGLEFINANCE(C192,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GOOGLEFINANCE(C192, ""price"")) * 100,
    IF(calc=0, G192, calc)
  ), 
G192)"),"#N/A")</f>
        <v>#N/A</v>
      </c>
      <c r="S192" s="8" t="s">
        <v>15</v>
      </c>
      <c r="T192" s="26" t="str">
        <f>IFERROR(__xludf.DUMMYFUNCTION("IFERROR(TRANSPOSE(QUERY(IFERROR(SORT(GOOGLEFINANCE(C192, ""price"", WORKDAY(TODAY(), -40), TODAY()), 1, FALSE)), ""select Col2 where Col2 is not null limit 22 label Col2 ''"", 0)), """")"),"")</f>
        <v/>
      </c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8"/>
      <c r="AO192" s="28"/>
      <c r="AP192" s="29"/>
      <c r="AQ192" s="29" t="str">
        <f t="shared" ref="AQ192:BL192" si="195">T192/T$2</f>
        <v>#N/A</v>
      </c>
      <c r="AR192" s="29" t="str">
        <f t="shared" si="195"/>
        <v>#DIV/0!</v>
      </c>
      <c r="AS192" s="29" t="str">
        <f t="shared" si="195"/>
        <v>#DIV/0!</v>
      </c>
      <c r="AT192" s="29" t="str">
        <f t="shared" si="195"/>
        <v>#DIV/0!</v>
      </c>
      <c r="AU192" s="29" t="str">
        <f t="shared" si="195"/>
        <v>#DIV/0!</v>
      </c>
      <c r="AV192" s="29" t="str">
        <f t="shared" si="195"/>
        <v>#DIV/0!</v>
      </c>
      <c r="AW192" s="29" t="str">
        <f t="shared" si="195"/>
        <v>#DIV/0!</v>
      </c>
      <c r="AX192" s="29" t="str">
        <f t="shared" si="195"/>
        <v>#DIV/0!</v>
      </c>
      <c r="AY192" s="29" t="str">
        <f t="shared" si="195"/>
        <v>#DIV/0!</v>
      </c>
      <c r="AZ192" s="29" t="str">
        <f t="shared" si="195"/>
        <v>#DIV/0!</v>
      </c>
      <c r="BA192" s="29" t="str">
        <f t="shared" si="195"/>
        <v>#DIV/0!</v>
      </c>
      <c r="BB192" s="29" t="str">
        <f t="shared" si="195"/>
        <v>#DIV/0!</v>
      </c>
      <c r="BC192" s="29" t="str">
        <f t="shared" si="195"/>
        <v>#DIV/0!</v>
      </c>
      <c r="BD192" s="29" t="str">
        <f t="shared" si="195"/>
        <v>#DIV/0!</v>
      </c>
      <c r="BE192" s="29" t="str">
        <f t="shared" si="195"/>
        <v>#DIV/0!</v>
      </c>
      <c r="BF192" s="29" t="str">
        <f t="shared" si="195"/>
        <v>#DIV/0!</v>
      </c>
      <c r="BG192" s="29" t="str">
        <f t="shared" si="195"/>
        <v>#DIV/0!</v>
      </c>
      <c r="BH192" s="29" t="str">
        <f t="shared" si="195"/>
        <v>#DIV/0!</v>
      </c>
      <c r="BI192" s="29" t="str">
        <f t="shared" si="195"/>
        <v>#DIV/0!</v>
      </c>
      <c r="BJ192" s="29" t="str">
        <f t="shared" si="195"/>
        <v>#DIV/0!</v>
      </c>
      <c r="BK192" s="29" t="str">
        <f t="shared" si="195"/>
        <v>#DIV/0!</v>
      </c>
      <c r="BL192" s="29" t="str">
        <f t="shared" si="195"/>
        <v>#DIV/0!</v>
      </c>
      <c r="BM192" s="29" t="str">
        <f t="shared" si="3"/>
        <v>#DIV/0!</v>
      </c>
    </row>
    <row r="193">
      <c r="A193" s="16" t="str">
        <f>IFERROR(__xludf.DUMMYFUNCTION("IFERROR(SPARKLINE(SORT(MAP(TRANSPOSE(AQ193:BL193), LAMBDA(val, IF(ISNUMBER(val), PERCENTRANK(AQ193:BL193, val)+0.01, 0))), SEQUENCE(COLUMNS(AQ193:BL193)), FALSE), {""charttype"",""column""; ""color"",""chartreuse""; ""ymin"", 0; ""ymax"", 1.01; ""highcolo"&amp;"r"", ""darkgreen""; ""lowcolor"", ""red""}), """")"),"")</f>
        <v/>
      </c>
      <c r="B193" s="17" t="str">
        <f t="shared" si="4"/>
        <v/>
      </c>
      <c r="C193" s="1" t="s">
        <v>934</v>
      </c>
      <c r="D193" s="34" t="str">
        <f>IFERROR(__xludf.DUMMYFUNCTION("IFERROR(GOOGLEFINANCE(C193, ""NAME""))"),"Old Second Bancorp, Inc")</f>
        <v>Old Second Bancorp, Inc</v>
      </c>
      <c r="E193" s="30" t="s">
        <v>268</v>
      </c>
      <c r="F193" s="38" t="str">
        <f>IFERROR(__xludf.DUMMYFUNCTION("( (GOOGLEFINANCE(C193, ""price"") - Q193) / Q193 ) / (R193 / 100)"),"Loading...")</f>
        <v>Loading...</v>
      </c>
      <c r="G193" s="20" t="str">
        <f>IFERROR(__xludf.DUMMYFUNCTION("AVERAGE(ARRAYFORMULA(100 * (QUERY(GOOGLEFINANCE(C193, ""high"", TODAY()-40, TODAY()), ""SELECT Col2 WHERE Col2 IS NOT NULL ORDER BY Col1 DESC LIMIT 20"", 0) / QUERY(GOOGLEFINANCE(C193, ""low"", TODAY()-40, TODAY()), ""SELECT Col2 WHERE Col2 IS NOT NULL OR"&amp;"DER BY Col1 DESC LIMIT 20"", 0) - 1)))"),"#N/A")</f>
        <v>#N/A</v>
      </c>
      <c r="H193" s="35" t="str">
        <f t="shared" si="6"/>
        <v/>
      </c>
      <c r="I193" s="36" t="str">
        <f t="shared" si="7"/>
        <v/>
      </c>
      <c r="J193" s="37" t="str">
        <f>IFERROR(__xludf.DUMMYFUNCTION("IFERROR(
  IF(C193="""",, 
    IFERROR(
      GOOGLEFINANCE(C193, ""price"") * GOOGLEFINANCE(C193, ""volumeavg""), 
      GOOGLEFINANCE(C193, ""price"") * AVERAGE(QUERY(GOOGLEFINANCE(C193, ""volume"", TODAY()-40, TODAY()), ""SELECT Col2 WHERE Col2 IS NOT "&amp;"NULL ORDER BY Col1 DESC LIMIT 20"", 0))
    )
  ), 
"""")"),"")</f>
        <v/>
      </c>
      <c r="K193" s="21" t="str">
        <f>IFERROR(__xludf.DUMMYFUNCTION("IFERROR(GOOGLEFINANCE(C193, ""changepct"") / 100, """")"),"")</f>
        <v/>
      </c>
      <c r="L193" s="21" t="str">
        <f>IFERROR(__xludf.DUMMYFUNCTION("IFERROR((GOOGLEFINANCE(C193, ""price"") / INDEX(GOOGLEFINANCE(C193, ""price"", TODAY()-7, TODAY()), 2, 2)) - 1, """")"),"")</f>
        <v/>
      </c>
      <c r="M193" s="21" t="str">
        <f>IFERROR(__xludf.DUMMYFUNCTION("IFERROR((GOOGLEFINANCE(C193, ""price"") / INDEX(GOOGLEFINANCE(C193, ""price"", EDATE(TODAY(), -1), TODAY()), 2, 2)) - 1, """")"),"")</f>
        <v/>
      </c>
      <c r="N193" s="21" t="str">
        <f>IFERROR(__xludf.DUMMYFUNCTION("IFERROR((GOOGLEFINANCE(C193, ""price"") / INDEX(GOOGLEFINANCE(C193, ""price"", EDATE(TODAY(), -3), TODAY()), 2, 2)) - 1, """")"),"")</f>
        <v/>
      </c>
      <c r="O193" s="21" t="str">
        <f>IFERROR(__xludf.DUMMYFUNCTION("IFERROR((GOOGLEFINANCE(C193, ""price"") / INDEX(GOOGLEFINANCE(C193, ""price"", EDATE(TODAY(), -6), TODAY()), 2, 2)) - 1, """")"),"")</f>
        <v/>
      </c>
      <c r="P193" s="21" t="str">
        <f>IFERROR(__xludf.DUMMYFUNCTION("IFERROR((GOOGLEFINANCE(C193, ""price"") / INDEX(GOOGLEFINANCE(C193, ""price"", EDATE(TODAY(), -12), TODAY()), 2, 2)) - 1, """")"),"")</f>
        <v/>
      </c>
      <c r="Q193" s="6" t="str">
        <f>IFERROR(__xludf.DUMMYFUNCTION("AVERAGE(QUERY(GOOGLEFINANCE(C193, ""price"", TODAY()-80, TODAY()), ""SELECT Col2 WHERE Col2 IS NOT NULL ORDER BY Col1 DESC LIMIT 50"", 0))"),"#N/A")</f>
        <v>#N/A</v>
      </c>
      <c r="R193" s="24" t="str">
        <f>IFERROR(__xludf.DUMMYFUNCTION("IFERROR(
  LET(
    data, QUERY(GOOGLEFINANCE(C193,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GOOGLEFINANCE(C193, ""price"")) * 100,
    IF(calc=0, G193, calc)
  ), 
G193)"),"#N/A")</f>
        <v>#N/A</v>
      </c>
      <c r="S193" s="8" t="s">
        <v>15</v>
      </c>
      <c r="T193" s="26" t="str">
        <f>IFERROR(__xludf.DUMMYFUNCTION("IFERROR(TRANSPOSE(QUERY(IFERROR(SORT(GOOGLEFINANCE(C193, ""price"", WORKDAY(TODAY(), -40), TODAY()), 1, FALSE)), ""select Col2 where Col2 is not null limit 22 label Col2 ''"", 0)), """")"),"")</f>
        <v/>
      </c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8"/>
      <c r="AO193" s="28"/>
      <c r="AP193" s="29"/>
      <c r="AQ193" s="29" t="str">
        <f t="shared" ref="AQ193:BL193" si="196">T193/T$2</f>
        <v>#N/A</v>
      </c>
      <c r="AR193" s="29" t="str">
        <f t="shared" si="196"/>
        <v>#DIV/0!</v>
      </c>
      <c r="AS193" s="29" t="str">
        <f t="shared" si="196"/>
        <v>#DIV/0!</v>
      </c>
      <c r="AT193" s="29" t="str">
        <f t="shared" si="196"/>
        <v>#DIV/0!</v>
      </c>
      <c r="AU193" s="29" t="str">
        <f t="shared" si="196"/>
        <v>#DIV/0!</v>
      </c>
      <c r="AV193" s="29" t="str">
        <f t="shared" si="196"/>
        <v>#DIV/0!</v>
      </c>
      <c r="AW193" s="29" t="str">
        <f t="shared" si="196"/>
        <v>#DIV/0!</v>
      </c>
      <c r="AX193" s="29" t="str">
        <f t="shared" si="196"/>
        <v>#DIV/0!</v>
      </c>
      <c r="AY193" s="29" t="str">
        <f t="shared" si="196"/>
        <v>#DIV/0!</v>
      </c>
      <c r="AZ193" s="29" t="str">
        <f t="shared" si="196"/>
        <v>#DIV/0!</v>
      </c>
      <c r="BA193" s="29" t="str">
        <f t="shared" si="196"/>
        <v>#DIV/0!</v>
      </c>
      <c r="BB193" s="29" t="str">
        <f t="shared" si="196"/>
        <v>#DIV/0!</v>
      </c>
      <c r="BC193" s="29" t="str">
        <f t="shared" si="196"/>
        <v>#DIV/0!</v>
      </c>
      <c r="BD193" s="29" t="str">
        <f t="shared" si="196"/>
        <v>#DIV/0!</v>
      </c>
      <c r="BE193" s="29" t="str">
        <f t="shared" si="196"/>
        <v>#DIV/0!</v>
      </c>
      <c r="BF193" s="29" t="str">
        <f t="shared" si="196"/>
        <v>#DIV/0!</v>
      </c>
      <c r="BG193" s="29" t="str">
        <f t="shared" si="196"/>
        <v>#DIV/0!</v>
      </c>
      <c r="BH193" s="29" t="str">
        <f t="shared" si="196"/>
        <v>#DIV/0!</v>
      </c>
      <c r="BI193" s="29" t="str">
        <f t="shared" si="196"/>
        <v>#DIV/0!</v>
      </c>
      <c r="BJ193" s="29" t="str">
        <f t="shared" si="196"/>
        <v>#DIV/0!</v>
      </c>
      <c r="BK193" s="29" t="str">
        <f t="shared" si="196"/>
        <v>#DIV/0!</v>
      </c>
      <c r="BL193" s="29" t="str">
        <f t="shared" si="196"/>
        <v>#DIV/0!</v>
      </c>
      <c r="BM193" s="29" t="str">
        <f t="shared" si="3"/>
        <v>#DIV/0!</v>
      </c>
    </row>
    <row r="194">
      <c r="A194" s="16" t="str">
        <f>IFERROR(__xludf.DUMMYFUNCTION("IFERROR(SPARKLINE(SORT(MAP(TRANSPOSE(AQ194:BL194), LAMBDA(val, IF(ISNUMBER(val), PERCENTRANK(AQ194:BL194, val)+0.01, 0))), SEQUENCE(COLUMNS(AQ194:BL194)), FALSE), {""charttype"",""column""; ""color"",""chartreuse""; ""ymin"", 0; ""ymax"", 1.01; ""highcolo"&amp;"r"", ""darkgreen""; ""lowcolor"", ""red""}), """")"),"")</f>
        <v/>
      </c>
      <c r="B194" s="17" t="str">
        <f t="shared" si="4"/>
        <v/>
      </c>
      <c r="C194" s="1" t="s">
        <v>939</v>
      </c>
      <c r="D194" s="34" t="str">
        <f>IFERROR(__xludf.DUMMYFUNCTION("IFERROR(GOOGLEFINANCE(C194, ""NAME""))"),"American Integrity Insurance Group Inc")</f>
        <v>American Integrity Insurance Group Inc</v>
      </c>
      <c r="E194" s="30" t="s">
        <v>82</v>
      </c>
      <c r="F194" s="33" t="str">
        <f>IFERROR(__xludf.DUMMYFUNCTION("( (GOOGLEFINANCE(C194, ""price"") - Q194) / Q194 ) / (R194 / 100)"),"Loading...")</f>
        <v>Loading...</v>
      </c>
      <c r="G194" s="20" t="str">
        <f>IFERROR(__xludf.DUMMYFUNCTION("AVERAGE(ARRAYFORMULA(100 * (QUERY(GOOGLEFINANCE(C194, ""high"", TODAY()-40, TODAY()), ""SELECT Col2 WHERE Col2 IS NOT NULL ORDER BY Col1 DESC LIMIT 20"", 0) / QUERY(GOOGLEFINANCE(C194, ""low"", TODAY()-40, TODAY()), ""SELECT Col2 WHERE Col2 IS NOT NULL OR"&amp;"DER BY Col1 DESC LIMIT 20"", 0) - 1)))"),"#N/A")</f>
        <v>#N/A</v>
      </c>
      <c r="H194" s="35" t="str">
        <f t="shared" si="6"/>
        <v/>
      </c>
      <c r="I194" s="36" t="str">
        <f t="shared" si="7"/>
        <v/>
      </c>
      <c r="J194" s="37" t="str">
        <f>IFERROR(__xludf.DUMMYFUNCTION("IFERROR(
  IF(C194="""",, 
    IFERROR(
      GOOGLEFINANCE(C194, ""price"") * GOOGLEFINANCE(C194, ""volumeavg""), 
      GOOGLEFINANCE(C194, ""price"") * AVERAGE(QUERY(GOOGLEFINANCE(C194, ""volume"", TODAY()-40, TODAY()), ""SELECT Col2 WHERE Col2 IS NOT "&amp;"NULL ORDER BY Col1 DESC LIMIT 20"", 0))
    )
  ), 
"""")"),"")</f>
        <v/>
      </c>
      <c r="K194" s="21" t="str">
        <f>IFERROR(__xludf.DUMMYFUNCTION("IFERROR(GOOGLEFINANCE(C194, ""changepct"") / 100, """")"),"")</f>
        <v/>
      </c>
      <c r="L194" s="21" t="str">
        <f>IFERROR(__xludf.DUMMYFUNCTION("IFERROR((GOOGLEFINANCE(C194, ""price"") / INDEX(GOOGLEFINANCE(C194, ""price"", TODAY()-7, TODAY()), 2, 2)) - 1, """")"),"")</f>
        <v/>
      </c>
      <c r="M194" s="21" t="str">
        <f>IFERROR(__xludf.DUMMYFUNCTION("IFERROR((GOOGLEFINANCE(C194, ""price"") / INDEX(GOOGLEFINANCE(C194, ""price"", EDATE(TODAY(), -1), TODAY()), 2, 2)) - 1, """")"),"")</f>
        <v/>
      </c>
      <c r="N194" s="21" t="str">
        <f>IFERROR(__xludf.DUMMYFUNCTION("IFERROR((GOOGLEFINANCE(C194, ""price"") / INDEX(GOOGLEFINANCE(C194, ""price"", EDATE(TODAY(), -3), TODAY()), 2, 2)) - 1, """")"),"")</f>
        <v/>
      </c>
      <c r="O194" s="21" t="str">
        <f>IFERROR(__xludf.DUMMYFUNCTION("IFERROR((GOOGLEFINANCE(C194, ""price"") / INDEX(GOOGLEFINANCE(C194, ""price"", EDATE(TODAY(), -6), TODAY()), 2, 2)) - 1, """")"),"")</f>
        <v/>
      </c>
      <c r="P194" s="21" t="str">
        <f>IFERROR(__xludf.DUMMYFUNCTION("IFERROR((GOOGLEFINANCE(C194, ""price"") / INDEX(GOOGLEFINANCE(C194, ""price"", EDATE(TODAY(), -12), TODAY()), 2, 2)) - 1, """")"),"")</f>
        <v/>
      </c>
      <c r="Q194" s="6" t="str">
        <f>IFERROR(__xludf.DUMMYFUNCTION("AVERAGE(QUERY(GOOGLEFINANCE(C194, ""price"", TODAY()-80, TODAY()), ""SELECT Col2 WHERE Col2 IS NOT NULL ORDER BY Col1 DESC LIMIT 50"", 0))"),"#N/A")</f>
        <v>#N/A</v>
      </c>
      <c r="R194" s="24" t="str">
        <f>IFERROR(__xludf.DUMMYFUNCTION("IFERROR(
  LET(
    data, QUERY(GOOGLEFINANCE(C194,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GOOGLEFINANCE(C194, ""price"")) * 100,
    IF(calc=0, G194, calc)
  ), 
G194)"),"#N/A")</f>
        <v>#N/A</v>
      </c>
      <c r="S194" s="8" t="s">
        <v>15</v>
      </c>
      <c r="T194" s="26" t="str">
        <f>IFERROR(__xludf.DUMMYFUNCTION("IFERROR(TRANSPOSE(QUERY(IFERROR(SORT(GOOGLEFINANCE(C194, ""price"", WORKDAY(TODAY(), -40), TODAY()), 1, FALSE)), ""select Col2 where Col2 is not null limit 22 label Col2 ''"", 0)), """")"),"")</f>
        <v/>
      </c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8"/>
      <c r="AO194" s="28"/>
      <c r="AP194" s="29"/>
      <c r="AQ194" s="29" t="str">
        <f t="shared" ref="AQ194:BL194" si="197">T194/T$2</f>
        <v>#N/A</v>
      </c>
      <c r="AR194" s="29" t="str">
        <f t="shared" si="197"/>
        <v>#DIV/0!</v>
      </c>
      <c r="AS194" s="29" t="str">
        <f t="shared" si="197"/>
        <v>#DIV/0!</v>
      </c>
      <c r="AT194" s="29" t="str">
        <f t="shared" si="197"/>
        <v>#DIV/0!</v>
      </c>
      <c r="AU194" s="29" t="str">
        <f t="shared" si="197"/>
        <v>#DIV/0!</v>
      </c>
      <c r="AV194" s="29" t="str">
        <f t="shared" si="197"/>
        <v>#DIV/0!</v>
      </c>
      <c r="AW194" s="29" t="str">
        <f t="shared" si="197"/>
        <v>#DIV/0!</v>
      </c>
      <c r="AX194" s="29" t="str">
        <f t="shared" si="197"/>
        <v>#DIV/0!</v>
      </c>
      <c r="AY194" s="29" t="str">
        <f t="shared" si="197"/>
        <v>#DIV/0!</v>
      </c>
      <c r="AZ194" s="29" t="str">
        <f t="shared" si="197"/>
        <v>#DIV/0!</v>
      </c>
      <c r="BA194" s="29" t="str">
        <f t="shared" si="197"/>
        <v>#DIV/0!</v>
      </c>
      <c r="BB194" s="29" t="str">
        <f t="shared" si="197"/>
        <v>#DIV/0!</v>
      </c>
      <c r="BC194" s="29" t="str">
        <f t="shared" si="197"/>
        <v>#DIV/0!</v>
      </c>
      <c r="BD194" s="29" t="str">
        <f t="shared" si="197"/>
        <v>#DIV/0!</v>
      </c>
      <c r="BE194" s="29" t="str">
        <f t="shared" si="197"/>
        <v>#DIV/0!</v>
      </c>
      <c r="BF194" s="29" t="str">
        <f t="shared" si="197"/>
        <v>#DIV/0!</v>
      </c>
      <c r="BG194" s="29" t="str">
        <f t="shared" si="197"/>
        <v>#DIV/0!</v>
      </c>
      <c r="BH194" s="29" t="str">
        <f t="shared" si="197"/>
        <v>#DIV/0!</v>
      </c>
      <c r="BI194" s="29" t="str">
        <f t="shared" si="197"/>
        <v>#DIV/0!</v>
      </c>
      <c r="BJ194" s="29" t="str">
        <f t="shared" si="197"/>
        <v>#DIV/0!</v>
      </c>
      <c r="BK194" s="29" t="str">
        <f t="shared" si="197"/>
        <v>#DIV/0!</v>
      </c>
      <c r="BL194" s="29" t="str">
        <f t="shared" si="197"/>
        <v>#DIV/0!</v>
      </c>
      <c r="BM194" s="29" t="str">
        <f t="shared" si="3"/>
        <v>#DIV/0!</v>
      </c>
    </row>
    <row r="195">
      <c r="A195" s="16" t="str">
        <f>IFERROR(__xludf.DUMMYFUNCTION("IFERROR(SPARKLINE(SORT(MAP(TRANSPOSE(AQ195:BL195), LAMBDA(val, IF(ISNUMBER(val), PERCENTRANK(AQ195:BL195, val)+0.01, 0))), SEQUENCE(COLUMNS(AQ195:BL195)), FALSE), {""charttype"",""column""; ""color"",""chartreuse""; ""ymin"", 0; ""ymax"", 1.01; ""highcolo"&amp;"r"", ""darkgreen""; ""lowcolor"", ""red""}), """")"),"")</f>
        <v/>
      </c>
      <c r="B195" s="17" t="str">
        <f t="shared" si="4"/>
        <v/>
      </c>
      <c r="C195" s="1" t="s">
        <v>943</v>
      </c>
      <c r="D195" s="34" t="str">
        <f>IFERROR(__xludf.DUMMYFUNCTION("IFERROR(GOOGLEFINANCE(C195, ""NAME""))"),"BROOKFIELD ASSET MANAGEMENT LTD")</f>
        <v>BROOKFIELD ASSET MANAGEMENT LTD</v>
      </c>
      <c r="E195" s="30" t="s">
        <v>64</v>
      </c>
      <c r="F195" s="33" t="str">
        <f>IFERROR(__xludf.DUMMYFUNCTION("( (GOOGLEFINANCE(C195, ""price"") - Q195) / Q195 ) / (R195 / 100)"),"Loading...")</f>
        <v>Loading...</v>
      </c>
      <c r="G195" s="20" t="str">
        <f>IFERROR(__xludf.DUMMYFUNCTION("AVERAGE(ARRAYFORMULA(100 * (QUERY(GOOGLEFINANCE(C195, ""high"", TODAY()-40, TODAY()), ""SELECT Col2 WHERE Col2 IS NOT NULL ORDER BY Col1 DESC LIMIT 20"", 0) / QUERY(GOOGLEFINANCE(C195, ""low"", TODAY()-40, TODAY()), ""SELECT Col2 WHERE Col2 IS NOT NULL OR"&amp;"DER BY Col1 DESC LIMIT 20"", 0) - 1)))"),"#N/A")</f>
        <v>#N/A</v>
      </c>
      <c r="H195" s="35" t="str">
        <f t="shared" si="6"/>
        <v/>
      </c>
      <c r="I195" s="36" t="str">
        <f t="shared" si="7"/>
        <v/>
      </c>
      <c r="J195" s="37" t="str">
        <f>IFERROR(__xludf.DUMMYFUNCTION("IFERROR(
  IF(C195="""",, 
    IFERROR(
      GOOGLEFINANCE(C195, ""price"") * GOOGLEFINANCE(C195, ""volumeavg""), 
      GOOGLEFINANCE(C195, ""price"") * AVERAGE(QUERY(GOOGLEFINANCE(C195, ""volume"", TODAY()-40, TODAY()), ""SELECT Col2 WHERE Col2 IS NOT "&amp;"NULL ORDER BY Col1 DESC LIMIT 20"", 0))
    )
  ), 
"""")"),"")</f>
        <v/>
      </c>
      <c r="K195" s="21" t="str">
        <f>IFERROR(__xludf.DUMMYFUNCTION("IFERROR(GOOGLEFINANCE(C195, ""changepct"") / 100, """")"),"")</f>
        <v/>
      </c>
      <c r="L195" s="21" t="str">
        <f>IFERROR(__xludf.DUMMYFUNCTION("IFERROR((GOOGLEFINANCE(C195, ""price"") / INDEX(GOOGLEFINANCE(C195, ""price"", TODAY()-7, TODAY()), 2, 2)) - 1, """")"),"")</f>
        <v/>
      </c>
      <c r="M195" s="21" t="str">
        <f>IFERROR(__xludf.DUMMYFUNCTION("IFERROR((GOOGLEFINANCE(C195, ""price"") / INDEX(GOOGLEFINANCE(C195, ""price"", EDATE(TODAY(), -1), TODAY()), 2, 2)) - 1, """")"),"")</f>
        <v/>
      </c>
      <c r="N195" s="21" t="str">
        <f>IFERROR(__xludf.DUMMYFUNCTION("IFERROR((GOOGLEFINANCE(C195, ""price"") / INDEX(GOOGLEFINANCE(C195, ""price"", EDATE(TODAY(), -3), TODAY()), 2, 2)) - 1, """")"),"")</f>
        <v/>
      </c>
      <c r="O195" s="21" t="str">
        <f>IFERROR(__xludf.DUMMYFUNCTION("IFERROR((GOOGLEFINANCE(C195, ""price"") / INDEX(GOOGLEFINANCE(C195, ""price"", EDATE(TODAY(), -6), TODAY()), 2, 2)) - 1, """")"),"")</f>
        <v/>
      </c>
      <c r="P195" s="21" t="str">
        <f>IFERROR(__xludf.DUMMYFUNCTION("IFERROR((GOOGLEFINANCE(C195, ""price"") / INDEX(GOOGLEFINANCE(C195, ""price"", EDATE(TODAY(), -12), TODAY()), 2, 2)) - 1, """")"),"")</f>
        <v/>
      </c>
      <c r="Q195" s="6" t="str">
        <f>IFERROR(__xludf.DUMMYFUNCTION("AVERAGE(QUERY(GOOGLEFINANCE(C195, ""price"", TODAY()-80, TODAY()), ""SELECT Col2 WHERE Col2 IS NOT NULL ORDER BY Col1 DESC LIMIT 50"", 0))"),"#N/A")</f>
        <v>#N/A</v>
      </c>
      <c r="R195" s="24" t="str">
        <f>IFERROR(__xludf.DUMMYFUNCTION("IFERROR(
  LET(
    data, QUERY(GOOGLEFINANCE(C195,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GOOGLEFINANCE(C195, ""price"")) * 100,
    IF(calc=0, G195, calc)
  ), 
G195)"),"#N/A")</f>
        <v>#N/A</v>
      </c>
      <c r="S195" s="8" t="s">
        <v>15</v>
      </c>
      <c r="T195" s="26" t="str">
        <f>IFERROR(__xludf.DUMMYFUNCTION("IFERROR(TRANSPOSE(QUERY(IFERROR(SORT(GOOGLEFINANCE(C195, ""price"", WORKDAY(TODAY(), -40), TODAY()), 1, FALSE)), ""select Col2 where Col2 is not null limit 22 label Col2 ''"", 0)), """")"),"")</f>
        <v/>
      </c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8"/>
      <c r="AO195" s="28"/>
      <c r="AP195" s="29"/>
      <c r="AQ195" s="29" t="str">
        <f t="shared" ref="AQ195:BL195" si="198">T195/T$2</f>
        <v>#N/A</v>
      </c>
      <c r="AR195" s="29" t="str">
        <f t="shared" si="198"/>
        <v>#DIV/0!</v>
      </c>
      <c r="AS195" s="29" t="str">
        <f t="shared" si="198"/>
        <v>#DIV/0!</v>
      </c>
      <c r="AT195" s="29" t="str">
        <f t="shared" si="198"/>
        <v>#DIV/0!</v>
      </c>
      <c r="AU195" s="29" t="str">
        <f t="shared" si="198"/>
        <v>#DIV/0!</v>
      </c>
      <c r="AV195" s="29" t="str">
        <f t="shared" si="198"/>
        <v>#DIV/0!</v>
      </c>
      <c r="AW195" s="29" t="str">
        <f t="shared" si="198"/>
        <v>#DIV/0!</v>
      </c>
      <c r="AX195" s="29" t="str">
        <f t="shared" si="198"/>
        <v>#DIV/0!</v>
      </c>
      <c r="AY195" s="29" t="str">
        <f t="shared" si="198"/>
        <v>#DIV/0!</v>
      </c>
      <c r="AZ195" s="29" t="str">
        <f t="shared" si="198"/>
        <v>#DIV/0!</v>
      </c>
      <c r="BA195" s="29" t="str">
        <f t="shared" si="198"/>
        <v>#DIV/0!</v>
      </c>
      <c r="BB195" s="29" t="str">
        <f t="shared" si="198"/>
        <v>#DIV/0!</v>
      </c>
      <c r="BC195" s="29" t="str">
        <f t="shared" si="198"/>
        <v>#DIV/0!</v>
      </c>
      <c r="BD195" s="29" t="str">
        <f t="shared" si="198"/>
        <v>#DIV/0!</v>
      </c>
      <c r="BE195" s="29" t="str">
        <f t="shared" si="198"/>
        <v>#DIV/0!</v>
      </c>
      <c r="BF195" s="29" t="str">
        <f t="shared" si="198"/>
        <v>#DIV/0!</v>
      </c>
      <c r="BG195" s="29" t="str">
        <f t="shared" si="198"/>
        <v>#DIV/0!</v>
      </c>
      <c r="BH195" s="29" t="str">
        <f t="shared" si="198"/>
        <v>#DIV/0!</v>
      </c>
      <c r="BI195" s="29" t="str">
        <f t="shared" si="198"/>
        <v>#DIV/0!</v>
      </c>
      <c r="BJ195" s="29" t="str">
        <f t="shared" si="198"/>
        <v>#DIV/0!</v>
      </c>
      <c r="BK195" s="29" t="str">
        <f t="shared" si="198"/>
        <v>#DIV/0!</v>
      </c>
      <c r="BL195" s="29" t="str">
        <f t="shared" si="198"/>
        <v>#DIV/0!</v>
      </c>
      <c r="BM195" s="29" t="str">
        <f t="shared" si="3"/>
        <v>#DIV/0!</v>
      </c>
    </row>
    <row r="196">
      <c r="A196" s="16" t="str">
        <f>IFERROR(__xludf.DUMMYFUNCTION("IFERROR(SPARKLINE(SORT(MAP(TRANSPOSE(AQ196:BL196), LAMBDA(val, IF(ISNUMBER(val), PERCENTRANK(AQ196:BL196, val)+0.01, 0))), SEQUENCE(COLUMNS(AQ196:BL196)), FALSE), {""charttype"",""column""; ""color"",""chartreuse""; ""ymin"", 0; ""ymax"", 1.01; ""highcolo"&amp;"r"", ""darkgreen""; ""lowcolor"", ""red""}), """")"),"")</f>
        <v/>
      </c>
      <c r="B196" s="17" t="str">
        <f t="shared" si="4"/>
        <v/>
      </c>
      <c r="C196" s="1" t="s">
        <v>946</v>
      </c>
      <c r="D196" s="34" t="str">
        <f>IFERROR(__xludf.DUMMYFUNCTION("IFERROR(GOOGLEFINANCE(C196, ""NAME""))"),"USCB Financial Holdings Inc")</f>
        <v>USCB Financial Holdings Inc</v>
      </c>
      <c r="E196" s="30" t="s">
        <v>268</v>
      </c>
      <c r="F196" s="33" t="str">
        <f>IFERROR(__xludf.DUMMYFUNCTION("( (GOOGLEFINANCE(C196, ""price"") - Q196) / Q196 ) / (R196 / 100)"),"Loading...")</f>
        <v>Loading...</v>
      </c>
      <c r="G196" s="20" t="str">
        <f>IFERROR(__xludf.DUMMYFUNCTION("AVERAGE(ARRAYFORMULA(100 * (QUERY(GOOGLEFINANCE(C196, ""high"", TODAY()-40, TODAY()), ""SELECT Col2 WHERE Col2 IS NOT NULL ORDER BY Col1 DESC LIMIT 20"", 0) / QUERY(GOOGLEFINANCE(C196, ""low"", TODAY()-40, TODAY()), ""SELECT Col2 WHERE Col2 IS NOT NULL OR"&amp;"DER BY Col1 DESC LIMIT 20"", 0) - 1)))"),"#N/A")</f>
        <v>#N/A</v>
      </c>
      <c r="H196" s="35" t="str">
        <f t="shared" si="6"/>
        <v/>
      </c>
      <c r="I196" s="36" t="str">
        <f t="shared" si="7"/>
        <v/>
      </c>
      <c r="J196" s="37" t="str">
        <f>IFERROR(__xludf.DUMMYFUNCTION("IFERROR(
  IF(C196="""",, 
    IFERROR(
      GOOGLEFINANCE(C196, ""price"") * GOOGLEFINANCE(C196, ""volumeavg""), 
      GOOGLEFINANCE(C196, ""price"") * AVERAGE(QUERY(GOOGLEFINANCE(C196, ""volume"", TODAY()-40, TODAY()), ""SELECT Col2 WHERE Col2 IS NOT "&amp;"NULL ORDER BY Col1 DESC LIMIT 20"", 0))
    )
  ), 
"""")"),"")</f>
        <v/>
      </c>
      <c r="K196" s="21" t="str">
        <f>IFERROR(__xludf.DUMMYFUNCTION("IFERROR(GOOGLEFINANCE(C196, ""changepct"") / 100, """")"),"")</f>
        <v/>
      </c>
      <c r="L196" s="21" t="str">
        <f>IFERROR(__xludf.DUMMYFUNCTION("IFERROR((GOOGLEFINANCE(C196, ""price"") / INDEX(GOOGLEFINANCE(C196, ""price"", TODAY()-7, TODAY()), 2, 2)) - 1, """")"),"")</f>
        <v/>
      </c>
      <c r="M196" s="21" t="str">
        <f>IFERROR(__xludf.DUMMYFUNCTION("IFERROR((GOOGLEFINANCE(C196, ""price"") / INDEX(GOOGLEFINANCE(C196, ""price"", EDATE(TODAY(), -1), TODAY()), 2, 2)) - 1, """")"),"")</f>
        <v/>
      </c>
      <c r="N196" s="21" t="str">
        <f>IFERROR(__xludf.DUMMYFUNCTION("IFERROR((GOOGLEFINANCE(C196, ""price"") / INDEX(GOOGLEFINANCE(C196, ""price"", EDATE(TODAY(), -3), TODAY()), 2, 2)) - 1, """")"),"")</f>
        <v/>
      </c>
      <c r="O196" s="21" t="str">
        <f>IFERROR(__xludf.DUMMYFUNCTION("IFERROR((GOOGLEFINANCE(C196, ""price"") / INDEX(GOOGLEFINANCE(C196, ""price"", EDATE(TODAY(), -6), TODAY()), 2, 2)) - 1, """")"),"")</f>
        <v/>
      </c>
      <c r="P196" s="21" t="str">
        <f>IFERROR(__xludf.DUMMYFUNCTION("IFERROR((GOOGLEFINANCE(C196, ""price"") / INDEX(GOOGLEFINANCE(C196, ""price"", EDATE(TODAY(), -12), TODAY()), 2, 2)) - 1, """")"),"")</f>
        <v/>
      </c>
      <c r="Q196" s="6" t="str">
        <f>IFERROR(__xludf.DUMMYFUNCTION("AVERAGE(QUERY(GOOGLEFINANCE(C196, ""price"", TODAY()-80, TODAY()), ""SELECT Col2 WHERE Col2 IS NOT NULL ORDER BY Col1 DESC LIMIT 50"", 0))"),"#N/A")</f>
        <v>#N/A</v>
      </c>
      <c r="R196" s="24" t="str">
        <f>IFERROR(__xludf.DUMMYFUNCTION("IFERROR(
  LET(
    data, QUERY(GOOGLEFINANCE(C196,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GOOGLEFINANCE(C196, ""price"")) * 100,
    IF(calc=0, G196, calc)
  ), 
G196)"),"#N/A")</f>
        <v>#N/A</v>
      </c>
      <c r="S196" s="8" t="s">
        <v>15</v>
      </c>
      <c r="T196" s="26" t="str">
        <f>IFERROR(__xludf.DUMMYFUNCTION("IFERROR(TRANSPOSE(QUERY(IFERROR(SORT(GOOGLEFINANCE(C196, ""price"", WORKDAY(TODAY(), -40), TODAY()), 1, FALSE)), ""select Col2 where Col2 is not null limit 22 label Col2 ''"", 0)), """")"),"")</f>
        <v/>
      </c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8"/>
      <c r="AO196" s="28"/>
      <c r="AP196" s="29"/>
      <c r="AQ196" s="29" t="str">
        <f t="shared" ref="AQ196:BL196" si="199">T196/T$2</f>
        <v>#N/A</v>
      </c>
      <c r="AR196" s="29" t="str">
        <f t="shared" si="199"/>
        <v>#DIV/0!</v>
      </c>
      <c r="AS196" s="29" t="str">
        <f t="shared" si="199"/>
        <v>#DIV/0!</v>
      </c>
      <c r="AT196" s="29" t="str">
        <f t="shared" si="199"/>
        <v>#DIV/0!</v>
      </c>
      <c r="AU196" s="29" t="str">
        <f t="shared" si="199"/>
        <v>#DIV/0!</v>
      </c>
      <c r="AV196" s="29" t="str">
        <f t="shared" si="199"/>
        <v>#DIV/0!</v>
      </c>
      <c r="AW196" s="29" t="str">
        <f t="shared" si="199"/>
        <v>#DIV/0!</v>
      </c>
      <c r="AX196" s="29" t="str">
        <f t="shared" si="199"/>
        <v>#DIV/0!</v>
      </c>
      <c r="AY196" s="29" t="str">
        <f t="shared" si="199"/>
        <v>#DIV/0!</v>
      </c>
      <c r="AZ196" s="29" t="str">
        <f t="shared" si="199"/>
        <v>#DIV/0!</v>
      </c>
      <c r="BA196" s="29" t="str">
        <f t="shared" si="199"/>
        <v>#DIV/0!</v>
      </c>
      <c r="BB196" s="29" t="str">
        <f t="shared" si="199"/>
        <v>#DIV/0!</v>
      </c>
      <c r="BC196" s="29" t="str">
        <f t="shared" si="199"/>
        <v>#DIV/0!</v>
      </c>
      <c r="BD196" s="29" t="str">
        <f t="shared" si="199"/>
        <v>#DIV/0!</v>
      </c>
      <c r="BE196" s="29" t="str">
        <f t="shared" si="199"/>
        <v>#DIV/0!</v>
      </c>
      <c r="BF196" s="29" t="str">
        <f t="shared" si="199"/>
        <v>#DIV/0!</v>
      </c>
      <c r="BG196" s="29" t="str">
        <f t="shared" si="199"/>
        <v>#DIV/0!</v>
      </c>
      <c r="BH196" s="29" t="str">
        <f t="shared" si="199"/>
        <v>#DIV/0!</v>
      </c>
      <c r="BI196" s="29" t="str">
        <f t="shared" si="199"/>
        <v>#DIV/0!</v>
      </c>
      <c r="BJ196" s="29" t="str">
        <f t="shared" si="199"/>
        <v>#DIV/0!</v>
      </c>
      <c r="BK196" s="29" t="str">
        <f t="shared" si="199"/>
        <v>#DIV/0!</v>
      </c>
      <c r="BL196" s="29" t="str">
        <f t="shared" si="199"/>
        <v>#DIV/0!</v>
      </c>
      <c r="BM196" s="29" t="str">
        <f t="shared" si="3"/>
        <v>#DIV/0!</v>
      </c>
    </row>
    <row r="197">
      <c r="A197" s="16" t="str">
        <f>IFERROR(__xludf.DUMMYFUNCTION("IFERROR(SPARKLINE(SORT(MAP(TRANSPOSE(AQ197:BL197), LAMBDA(val, IF(ISNUMBER(val), PERCENTRANK(AQ197:BL197, val)+0.01, 0))), SEQUENCE(COLUMNS(AQ197:BL197)), FALSE), {""charttype"",""column""; ""color"",""chartreuse""; ""ymin"", 0; ""ymax"", 1.01; ""highcolo"&amp;"r"", ""darkgreen""; ""lowcolor"", ""red""}), """")"),"")</f>
        <v/>
      </c>
      <c r="B197" s="17" t="str">
        <f t="shared" si="4"/>
        <v/>
      </c>
      <c r="C197" s="1" t="s">
        <v>949</v>
      </c>
      <c r="D197" s="34" t="str">
        <f>IFERROR(__xludf.DUMMYFUNCTION("IFERROR(GOOGLEFINANCE(C197, ""NAME""))"),"Northwest Bancshares Inc")</f>
        <v>Northwest Bancshares Inc</v>
      </c>
      <c r="E197" s="30" t="s">
        <v>268</v>
      </c>
      <c r="F197" s="33" t="str">
        <f>IFERROR(__xludf.DUMMYFUNCTION("( (GOOGLEFINANCE(C197, ""price"") - Q197) / Q197 ) / (R197 / 100)"),"Loading...")</f>
        <v>Loading...</v>
      </c>
      <c r="G197" s="20" t="str">
        <f>IFERROR(__xludf.DUMMYFUNCTION("AVERAGE(ARRAYFORMULA(100 * (QUERY(GOOGLEFINANCE(C197, ""high"", TODAY()-40, TODAY()), ""SELECT Col2 WHERE Col2 IS NOT NULL ORDER BY Col1 DESC LIMIT 20"", 0) / QUERY(GOOGLEFINANCE(C197, ""low"", TODAY()-40, TODAY()), ""SELECT Col2 WHERE Col2 IS NOT NULL OR"&amp;"DER BY Col1 DESC LIMIT 20"", 0) - 1)))"),"#N/A")</f>
        <v>#N/A</v>
      </c>
      <c r="H197" s="35" t="str">
        <f t="shared" si="6"/>
        <v/>
      </c>
      <c r="I197" s="36" t="str">
        <f t="shared" si="7"/>
        <v/>
      </c>
      <c r="J197" s="37" t="str">
        <f>IFERROR(__xludf.DUMMYFUNCTION("IFERROR(
  IF(C197="""",, 
    IFERROR(
      GOOGLEFINANCE(C197, ""price"") * GOOGLEFINANCE(C197, ""volumeavg""), 
      GOOGLEFINANCE(C197, ""price"") * AVERAGE(QUERY(GOOGLEFINANCE(C197, ""volume"", TODAY()-40, TODAY()), ""SELECT Col2 WHERE Col2 IS NOT "&amp;"NULL ORDER BY Col1 DESC LIMIT 20"", 0))
    )
  ), 
"""")"),"")</f>
        <v/>
      </c>
      <c r="K197" s="21" t="str">
        <f>IFERROR(__xludf.DUMMYFUNCTION("IFERROR(GOOGLEFINANCE(C197, ""changepct"") / 100, """")"),"")</f>
        <v/>
      </c>
      <c r="L197" s="21" t="str">
        <f>IFERROR(__xludf.DUMMYFUNCTION("IFERROR((GOOGLEFINANCE(C197, ""price"") / INDEX(GOOGLEFINANCE(C197, ""price"", TODAY()-7, TODAY()), 2, 2)) - 1, """")"),"")</f>
        <v/>
      </c>
      <c r="M197" s="21" t="str">
        <f>IFERROR(__xludf.DUMMYFUNCTION("IFERROR((GOOGLEFINANCE(C197, ""price"") / INDEX(GOOGLEFINANCE(C197, ""price"", EDATE(TODAY(), -1), TODAY()), 2, 2)) - 1, """")"),"")</f>
        <v/>
      </c>
      <c r="N197" s="21" t="str">
        <f>IFERROR(__xludf.DUMMYFUNCTION("IFERROR((GOOGLEFINANCE(C197, ""price"") / INDEX(GOOGLEFINANCE(C197, ""price"", EDATE(TODAY(), -3), TODAY()), 2, 2)) - 1, """")"),"")</f>
        <v/>
      </c>
      <c r="O197" s="21" t="str">
        <f>IFERROR(__xludf.DUMMYFUNCTION("IFERROR((GOOGLEFINANCE(C197, ""price"") / INDEX(GOOGLEFINANCE(C197, ""price"", EDATE(TODAY(), -6), TODAY()), 2, 2)) - 1, """")"),"")</f>
        <v/>
      </c>
      <c r="P197" s="21" t="str">
        <f>IFERROR(__xludf.DUMMYFUNCTION("IFERROR((GOOGLEFINANCE(C197, ""price"") / INDEX(GOOGLEFINANCE(C197, ""price"", EDATE(TODAY(), -12), TODAY()), 2, 2)) - 1, """")"),"")</f>
        <v/>
      </c>
      <c r="Q197" s="6" t="str">
        <f>IFERROR(__xludf.DUMMYFUNCTION("AVERAGE(QUERY(GOOGLEFINANCE(C197, ""price"", TODAY()-80, TODAY()), ""SELECT Col2 WHERE Col2 IS NOT NULL ORDER BY Col1 DESC LIMIT 50"", 0))"),"#N/A")</f>
        <v>#N/A</v>
      </c>
      <c r="R197" s="24" t="str">
        <f>IFERROR(__xludf.DUMMYFUNCTION("IFERROR(
  LET(
    data, QUERY(GOOGLEFINANCE(C197,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GOOGLEFINANCE(C197, ""price"")) * 100,
    IF(calc=0, G197, calc)
  ), 
G197)"),"#N/A")</f>
        <v>#N/A</v>
      </c>
      <c r="S197" s="8" t="s">
        <v>15</v>
      </c>
      <c r="T197" s="26" t="str">
        <f>IFERROR(__xludf.DUMMYFUNCTION("IFERROR(TRANSPOSE(QUERY(IFERROR(SORT(GOOGLEFINANCE(C197, ""price"", WORKDAY(TODAY(), -40), TODAY()), 1, FALSE)), ""select Col2 where Col2 is not null limit 22 label Col2 ''"", 0)), """")"),"")</f>
        <v/>
      </c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8"/>
      <c r="AO197" s="28"/>
      <c r="AP197" s="29"/>
      <c r="AQ197" s="29" t="str">
        <f t="shared" ref="AQ197:BL197" si="200">T197/T$2</f>
        <v>#N/A</v>
      </c>
      <c r="AR197" s="29" t="str">
        <f t="shared" si="200"/>
        <v>#DIV/0!</v>
      </c>
      <c r="AS197" s="29" t="str">
        <f t="shared" si="200"/>
        <v>#DIV/0!</v>
      </c>
      <c r="AT197" s="29" t="str">
        <f t="shared" si="200"/>
        <v>#DIV/0!</v>
      </c>
      <c r="AU197" s="29" t="str">
        <f t="shared" si="200"/>
        <v>#DIV/0!</v>
      </c>
      <c r="AV197" s="29" t="str">
        <f t="shared" si="200"/>
        <v>#DIV/0!</v>
      </c>
      <c r="AW197" s="29" t="str">
        <f t="shared" si="200"/>
        <v>#DIV/0!</v>
      </c>
      <c r="AX197" s="29" t="str">
        <f t="shared" si="200"/>
        <v>#DIV/0!</v>
      </c>
      <c r="AY197" s="29" t="str">
        <f t="shared" si="200"/>
        <v>#DIV/0!</v>
      </c>
      <c r="AZ197" s="29" t="str">
        <f t="shared" si="200"/>
        <v>#DIV/0!</v>
      </c>
      <c r="BA197" s="29" t="str">
        <f t="shared" si="200"/>
        <v>#DIV/0!</v>
      </c>
      <c r="BB197" s="29" t="str">
        <f t="shared" si="200"/>
        <v>#DIV/0!</v>
      </c>
      <c r="BC197" s="29" t="str">
        <f t="shared" si="200"/>
        <v>#DIV/0!</v>
      </c>
      <c r="BD197" s="29" t="str">
        <f t="shared" si="200"/>
        <v>#DIV/0!</v>
      </c>
      <c r="BE197" s="29" t="str">
        <f t="shared" si="200"/>
        <v>#DIV/0!</v>
      </c>
      <c r="BF197" s="29" t="str">
        <f t="shared" si="200"/>
        <v>#DIV/0!</v>
      </c>
      <c r="BG197" s="29" t="str">
        <f t="shared" si="200"/>
        <v>#DIV/0!</v>
      </c>
      <c r="BH197" s="29" t="str">
        <f t="shared" si="200"/>
        <v>#DIV/0!</v>
      </c>
      <c r="BI197" s="29" t="str">
        <f t="shared" si="200"/>
        <v>#DIV/0!</v>
      </c>
      <c r="BJ197" s="29" t="str">
        <f t="shared" si="200"/>
        <v>#DIV/0!</v>
      </c>
      <c r="BK197" s="29" t="str">
        <f t="shared" si="200"/>
        <v>#DIV/0!</v>
      </c>
      <c r="BL197" s="29" t="str">
        <f t="shared" si="200"/>
        <v>#DIV/0!</v>
      </c>
      <c r="BM197" s="29" t="str">
        <f t="shared" si="3"/>
        <v>#DIV/0!</v>
      </c>
    </row>
    <row r="198">
      <c r="A198" s="16" t="str">
        <f>IFERROR(__xludf.DUMMYFUNCTION("IFERROR(SPARKLINE(SORT(MAP(TRANSPOSE(AQ198:BL198), LAMBDA(val, IF(ISNUMBER(val), PERCENTRANK(AQ198:BL198, val)+0.01, 0))), SEQUENCE(COLUMNS(AQ198:BL198)), FALSE), {""charttype"",""column""; ""color"",""chartreuse""; ""ymin"", 0; ""ymax"", 1.01; ""highcolo"&amp;"r"", ""darkgreen""; ""lowcolor"", ""red""}), """")"),"")</f>
        <v/>
      </c>
      <c r="B198" s="17" t="str">
        <f t="shared" si="4"/>
        <v/>
      </c>
      <c r="C198" s="1" t="s">
        <v>952</v>
      </c>
      <c r="D198" s="34" t="str">
        <f>IFERROR(__xludf.DUMMYFUNCTION("IFERROR(GOOGLEFINANCE(C198, ""NAME""))"),"Investors Title Co")</f>
        <v>Investors Title Co</v>
      </c>
      <c r="E198" s="30" t="s">
        <v>276</v>
      </c>
      <c r="F198" s="33" t="str">
        <f>IFERROR(__xludf.DUMMYFUNCTION("( (GOOGLEFINANCE(C198, ""price"") - Q198) / Q198 ) / (R198 / 100)"),"Loading...")</f>
        <v>Loading...</v>
      </c>
      <c r="G198" s="20" t="str">
        <f>IFERROR(__xludf.DUMMYFUNCTION("AVERAGE(ARRAYFORMULA(100 * (QUERY(GOOGLEFINANCE(C198, ""high"", TODAY()-40, TODAY()), ""SELECT Col2 WHERE Col2 IS NOT NULL ORDER BY Col1 DESC LIMIT 20"", 0) / QUERY(GOOGLEFINANCE(C198, ""low"", TODAY()-40, TODAY()), ""SELECT Col2 WHERE Col2 IS NOT NULL OR"&amp;"DER BY Col1 DESC LIMIT 20"", 0) - 1)))"),"#N/A")</f>
        <v>#N/A</v>
      </c>
      <c r="H198" s="35" t="str">
        <f t="shared" si="6"/>
        <v/>
      </c>
      <c r="I198" s="36" t="str">
        <f t="shared" si="7"/>
        <v/>
      </c>
      <c r="J198" s="37" t="str">
        <f>IFERROR(__xludf.DUMMYFUNCTION("IFERROR(
  IF(C198="""",, 
    IFERROR(
      GOOGLEFINANCE(C198, ""price"") * GOOGLEFINANCE(C198, ""volumeavg""), 
      GOOGLEFINANCE(C198, ""price"") * AVERAGE(QUERY(GOOGLEFINANCE(C198, ""volume"", TODAY()-40, TODAY()), ""SELECT Col2 WHERE Col2 IS NOT "&amp;"NULL ORDER BY Col1 DESC LIMIT 20"", 0))
    )
  ), 
"""")"),"")</f>
        <v/>
      </c>
      <c r="K198" s="21" t="str">
        <f>IFERROR(__xludf.DUMMYFUNCTION("IFERROR(GOOGLEFINANCE(C198, ""changepct"") / 100, """")"),"")</f>
        <v/>
      </c>
      <c r="L198" s="21" t="str">
        <f>IFERROR(__xludf.DUMMYFUNCTION("IFERROR((GOOGLEFINANCE(C198, ""price"") / INDEX(GOOGLEFINANCE(C198, ""price"", TODAY()-7, TODAY()), 2, 2)) - 1, """")"),"")</f>
        <v/>
      </c>
      <c r="M198" s="21" t="str">
        <f>IFERROR(__xludf.DUMMYFUNCTION("IFERROR((GOOGLEFINANCE(C198, ""price"") / INDEX(GOOGLEFINANCE(C198, ""price"", EDATE(TODAY(), -1), TODAY()), 2, 2)) - 1, """")"),"")</f>
        <v/>
      </c>
      <c r="N198" s="21" t="str">
        <f>IFERROR(__xludf.DUMMYFUNCTION("IFERROR((GOOGLEFINANCE(C198, ""price"") / INDEX(GOOGLEFINANCE(C198, ""price"", EDATE(TODAY(), -3), TODAY()), 2, 2)) - 1, """")"),"")</f>
        <v/>
      </c>
      <c r="O198" s="21" t="str">
        <f>IFERROR(__xludf.DUMMYFUNCTION("IFERROR((GOOGLEFINANCE(C198, ""price"") / INDEX(GOOGLEFINANCE(C198, ""price"", EDATE(TODAY(), -6), TODAY()), 2, 2)) - 1, """")"),"")</f>
        <v/>
      </c>
      <c r="P198" s="21" t="str">
        <f>IFERROR(__xludf.DUMMYFUNCTION("IFERROR((GOOGLEFINANCE(C198, ""price"") / INDEX(GOOGLEFINANCE(C198, ""price"", EDATE(TODAY(), -12), TODAY()), 2, 2)) - 1, """")"),"")</f>
        <v/>
      </c>
      <c r="Q198" s="6" t="str">
        <f>IFERROR(__xludf.DUMMYFUNCTION("AVERAGE(QUERY(GOOGLEFINANCE(C198, ""price"", TODAY()-80, TODAY()), ""SELECT Col2 WHERE Col2 IS NOT NULL ORDER BY Col1 DESC LIMIT 50"", 0))"),"#N/A")</f>
        <v>#N/A</v>
      </c>
      <c r="R198" s="24" t="str">
        <f>IFERROR(__xludf.DUMMYFUNCTION("IFERROR(
  LET(
    data, QUERY(GOOGLEFINANCE(C198,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GOOGLEFINANCE(C198, ""price"")) * 100,
    IF(calc=0, G198, calc)
  ), 
G198)"),"#N/A")</f>
        <v>#N/A</v>
      </c>
      <c r="S198" s="8" t="s">
        <v>15</v>
      </c>
      <c r="T198" s="26" t="str">
        <f>IFERROR(__xludf.DUMMYFUNCTION("IFERROR(TRANSPOSE(QUERY(IFERROR(SORT(GOOGLEFINANCE(C198, ""price"", WORKDAY(TODAY(), -40), TODAY()), 1, FALSE)), ""select Col2 where Col2 is not null limit 22 label Col2 ''"", 0)), """")"),"")</f>
        <v/>
      </c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8"/>
      <c r="AO198" s="28"/>
      <c r="AP198" s="29"/>
      <c r="AQ198" s="29" t="str">
        <f t="shared" ref="AQ198:BL198" si="201">T198/T$2</f>
        <v>#N/A</v>
      </c>
      <c r="AR198" s="29" t="str">
        <f t="shared" si="201"/>
        <v>#DIV/0!</v>
      </c>
      <c r="AS198" s="29" t="str">
        <f t="shared" si="201"/>
        <v>#DIV/0!</v>
      </c>
      <c r="AT198" s="29" t="str">
        <f t="shared" si="201"/>
        <v>#DIV/0!</v>
      </c>
      <c r="AU198" s="29" t="str">
        <f t="shared" si="201"/>
        <v>#DIV/0!</v>
      </c>
      <c r="AV198" s="29" t="str">
        <f t="shared" si="201"/>
        <v>#DIV/0!</v>
      </c>
      <c r="AW198" s="29" t="str">
        <f t="shared" si="201"/>
        <v>#DIV/0!</v>
      </c>
      <c r="AX198" s="29" t="str">
        <f t="shared" si="201"/>
        <v>#DIV/0!</v>
      </c>
      <c r="AY198" s="29" t="str">
        <f t="shared" si="201"/>
        <v>#DIV/0!</v>
      </c>
      <c r="AZ198" s="29" t="str">
        <f t="shared" si="201"/>
        <v>#DIV/0!</v>
      </c>
      <c r="BA198" s="29" t="str">
        <f t="shared" si="201"/>
        <v>#DIV/0!</v>
      </c>
      <c r="BB198" s="29" t="str">
        <f t="shared" si="201"/>
        <v>#DIV/0!</v>
      </c>
      <c r="BC198" s="29" t="str">
        <f t="shared" si="201"/>
        <v>#DIV/0!</v>
      </c>
      <c r="BD198" s="29" t="str">
        <f t="shared" si="201"/>
        <v>#DIV/0!</v>
      </c>
      <c r="BE198" s="29" t="str">
        <f t="shared" si="201"/>
        <v>#DIV/0!</v>
      </c>
      <c r="BF198" s="29" t="str">
        <f t="shared" si="201"/>
        <v>#DIV/0!</v>
      </c>
      <c r="BG198" s="29" t="str">
        <f t="shared" si="201"/>
        <v>#DIV/0!</v>
      </c>
      <c r="BH198" s="29" t="str">
        <f t="shared" si="201"/>
        <v>#DIV/0!</v>
      </c>
      <c r="BI198" s="29" t="str">
        <f t="shared" si="201"/>
        <v>#DIV/0!</v>
      </c>
      <c r="BJ198" s="29" t="str">
        <f t="shared" si="201"/>
        <v>#DIV/0!</v>
      </c>
      <c r="BK198" s="29" t="str">
        <f t="shared" si="201"/>
        <v>#DIV/0!</v>
      </c>
      <c r="BL198" s="29" t="str">
        <f t="shared" si="201"/>
        <v>#DIV/0!</v>
      </c>
      <c r="BM198" s="29" t="str">
        <f t="shared" si="3"/>
        <v>#DIV/0!</v>
      </c>
    </row>
    <row r="199">
      <c r="A199" s="16" t="str">
        <f>IFERROR(__xludf.DUMMYFUNCTION("IFERROR(SPARKLINE(SORT(MAP(TRANSPOSE(AQ199:BL199), LAMBDA(val, IF(ISNUMBER(val), PERCENTRANK(AQ199:BL199, val)+0.01, 0))), SEQUENCE(COLUMNS(AQ199:BL199)), FALSE), {""charttype"",""column""; ""color"",""chartreuse""; ""ymin"", 0; ""ymax"", 1.01; ""highcolo"&amp;"r"", ""darkgreen""; ""lowcolor"", ""red""}), """")"),"")</f>
        <v/>
      </c>
      <c r="B199" s="17" t="str">
        <f t="shared" si="4"/>
        <v/>
      </c>
      <c r="C199" s="1" t="s">
        <v>956</v>
      </c>
      <c r="D199" s="34" t="str">
        <f>IFERROR(__xludf.DUMMYFUNCTION("IFERROR(GOOGLEFINANCE(C199, ""NAME""))"),"Brookfield Business Holdings Corp")</f>
        <v>Brookfield Business Holdings Corp</v>
      </c>
      <c r="E199" s="30" t="s">
        <v>64</v>
      </c>
      <c r="F199" s="33" t="str">
        <f>IFERROR(__xludf.DUMMYFUNCTION("( (GOOGLEFINANCE(C199, ""price"") - Q199) / Q199 ) / (R199 / 100)"),"Loading...")</f>
        <v>Loading...</v>
      </c>
      <c r="G199" s="20" t="str">
        <f>IFERROR(__xludf.DUMMYFUNCTION("AVERAGE(ARRAYFORMULA(100 * (QUERY(GOOGLEFINANCE(C199, ""high"", TODAY()-40, TODAY()), ""SELECT Col2 WHERE Col2 IS NOT NULL ORDER BY Col1 DESC LIMIT 20"", 0) / QUERY(GOOGLEFINANCE(C199, ""low"", TODAY()-40, TODAY()), ""SELECT Col2 WHERE Col2 IS NOT NULL OR"&amp;"DER BY Col1 DESC LIMIT 20"", 0) - 1)))"),"#N/A")</f>
        <v>#N/A</v>
      </c>
      <c r="H199" s="35" t="str">
        <f t="shared" si="6"/>
        <v/>
      </c>
      <c r="I199" s="36" t="str">
        <f t="shared" si="7"/>
        <v/>
      </c>
      <c r="J199" s="37" t="str">
        <f>IFERROR(__xludf.DUMMYFUNCTION("IFERROR(
  IF(C199="""",, 
    IFERROR(
      GOOGLEFINANCE(C199, ""price"") * GOOGLEFINANCE(C199, ""volumeavg""), 
      GOOGLEFINANCE(C199, ""price"") * AVERAGE(QUERY(GOOGLEFINANCE(C199, ""volume"", TODAY()-40, TODAY()), ""SELECT Col2 WHERE Col2 IS NOT "&amp;"NULL ORDER BY Col1 DESC LIMIT 20"", 0))
    )
  ), 
"""")"),"")</f>
        <v/>
      </c>
      <c r="K199" s="21" t="str">
        <f>IFERROR(__xludf.DUMMYFUNCTION("IFERROR(GOOGLEFINANCE(C199, ""changepct"") / 100, """")"),"")</f>
        <v/>
      </c>
      <c r="L199" s="21" t="str">
        <f>IFERROR(__xludf.DUMMYFUNCTION("IFERROR((GOOGLEFINANCE(C199, ""price"") / INDEX(GOOGLEFINANCE(C199, ""price"", TODAY()-7, TODAY()), 2, 2)) - 1, """")"),"")</f>
        <v/>
      </c>
      <c r="M199" s="21" t="str">
        <f>IFERROR(__xludf.DUMMYFUNCTION("IFERROR((GOOGLEFINANCE(C199, ""price"") / INDEX(GOOGLEFINANCE(C199, ""price"", EDATE(TODAY(), -1), TODAY()), 2, 2)) - 1, """")"),"")</f>
        <v/>
      </c>
      <c r="N199" s="21" t="str">
        <f>IFERROR(__xludf.DUMMYFUNCTION("IFERROR((GOOGLEFINANCE(C199, ""price"") / INDEX(GOOGLEFINANCE(C199, ""price"", EDATE(TODAY(), -3), TODAY()), 2, 2)) - 1, """")"),"")</f>
        <v/>
      </c>
      <c r="O199" s="21" t="str">
        <f>IFERROR(__xludf.DUMMYFUNCTION("IFERROR((GOOGLEFINANCE(C199, ""price"") / INDEX(GOOGLEFINANCE(C199, ""price"", EDATE(TODAY(), -6), TODAY()), 2, 2)) - 1, """")"),"")</f>
        <v/>
      </c>
      <c r="P199" s="21" t="str">
        <f>IFERROR(__xludf.DUMMYFUNCTION("IFERROR((GOOGLEFINANCE(C199, ""price"") / INDEX(GOOGLEFINANCE(C199, ""price"", EDATE(TODAY(), -12), TODAY()), 2, 2)) - 1, """")"),"")</f>
        <v/>
      </c>
      <c r="Q199" s="6" t="str">
        <f>IFERROR(__xludf.DUMMYFUNCTION("AVERAGE(QUERY(GOOGLEFINANCE(C199, ""price"", TODAY()-80, TODAY()), ""SELECT Col2 WHERE Col2 IS NOT NULL ORDER BY Col1 DESC LIMIT 50"", 0))"),"#N/A")</f>
        <v>#N/A</v>
      </c>
      <c r="R199" s="24" t="str">
        <f>IFERROR(__xludf.DUMMYFUNCTION("IFERROR(
  LET(
    data, QUERY(GOOGLEFINANCE(C199,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GOOGLEFINANCE(C199, ""price"")) * 100,
    IF(calc=0, G199, calc)
  ), 
G199)"),"#N/A")</f>
        <v>#N/A</v>
      </c>
      <c r="S199" s="8" t="s">
        <v>15</v>
      </c>
      <c r="T199" s="26" t="str">
        <f>IFERROR(__xludf.DUMMYFUNCTION("IFERROR(TRANSPOSE(QUERY(IFERROR(SORT(GOOGLEFINANCE(C199, ""price"", WORKDAY(TODAY(), -40), TODAY()), 1, FALSE)), ""select Col2 where Col2 is not null limit 22 label Col2 ''"", 0)), """")"),"")</f>
        <v/>
      </c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8"/>
      <c r="AO199" s="28"/>
      <c r="AP199" s="29"/>
      <c r="AQ199" s="29" t="str">
        <f t="shared" ref="AQ199:BL199" si="202">T199/T$2</f>
        <v>#N/A</v>
      </c>
      <c r="AR199" s="29" t="str">
        <f t="shared" si="202"/>
        <v>#DIV/0!</v>
      </c>
      <c r="AS199" s="29" t="str">
        <f t="shared" si="202"/>
        <v>#DIV/0!</v>
      </c>
      <c r="AT199" s="29" t="str">
        <f t="shared" si="202"/>
        <v>#DIV/0!</v>
      </c>
      <c r="AU199" s="29" t="str">
        <f t="shared" si="202"/>
        <v>#DIV/0!</v>
      </c>
      <c r="AV199" s="29" t="str">
        <f t="shared" si="202"/>
        <v>#DIV/0!</v>
      </c>
      <c r="AW199" s="29" t="str">
        <f t="shared" si="202"/>
        <v>#DIV/0!</v>
      </c>
      <c r="AX199" s="29" t="str">
        <f t="shared" si="202"/>
        <v>#DIV/0!</v>
      </c>
      <c r="AY199" s="29" t="str">
        <f t="shared" si="202"/>
        <v>#DIV/0!</v>
      </c>
      <c r="AZ199" s="29" t="str">
        <f t="shared" si="202"/>
        <v>#DIV/0!</v>
      </c>
      <c r="BA199" s="29" t="str">
        <f t="shared" si="202"/>
        <v>#DIV/0!</v>
      </c>
      <c r="BB199" s="29" t="str">
        <f t="shared" si="202"/>
        <v>#DIV/0!</v>
      </c>
      <c r="BC199" s="29" t="str">
        <f t="shared" si="202"/>
        <v>#DIV/0!</v>
      </c>
      <c r="BD199" s="29" t="str">
        <f t="shared" si="202"/>
        <v>#DIV/0!</v>
      </c>
      <c r="BE199" s="29" t="str">
        <f t="shared" si="202"/>
        <v>#DIV/0!</v>
      </c>
      <c r="BF199" s="29" t="str">
        <f t="shared" si="202"/>
        <v>#DIV/0!</v>
      </c>
      <c r="BG199" s="29" t="str">
        <f t="shared" si="202"/>
        <v>#DIV/0!</v>
      </c>
      <c r="BH199" s="29" t="str">
        <f t="shared" si="202"/>
        <v>#DIV/0!</v>
      </c>
      <c r="BI199" s="29" t="str">
        <f t="shared" si="202"/>
        <v>#DIV/0!</v>
      </c>
      <c r="BJ199" s="29" t="str">
        <f t="shared" si="202"/>
        <v>#DIV/0!</v>
      </c>
      <c r="BK199" s="29" t="str">
        <f t="shared" si="202"/>
        <v>#DIV/0!</v>
      </c>
      <c r="BL199" s="29" t="str">
        <f t="shared" si="202"/>
        <v>#DIV/0!</v>
      </c>
      <c r="BM199" s="29" t="str">
        <f t="shared" si="3"/>
        <v>#DIV/0!</v>
      </c>
    </row>
    <row r="200">
      <c r="A200" s="16" t="str">
        <f>IFERROR(__xludf.DUMMYFUNCTION("IFERROR(SPARKLINE(SORT(MAP(TRANSPOSE(AQ200:BL200), LAMBDA(val, IF(ISNUMBER(val), PERCENTRANK(AQ200:BL200, val)+0.01, 0))), SEQUENCE(COLUMNS(AQ200:BL200)), FALSE), {""charttype"",""column""; ""color"",""chartreuse""; ""ymin"", 0; ""ymax"", 1.01; ""highcolo"&amp;"r"", ""darkgreen""; ""lowcolor"", ""red""}), """")"),"")</f>
        <v/>
      </c>
      <c r="B200" s="17" t="str">
        <f t="shared" si="4"/>
        <v/>
      </c>
      <c r="C200" s="1" t="s">
        <v>960</v>
      </c>
      <c r="D200" s="34" t="str">
        <f>IFERROR(__xludf.DUMMYFUNCTION("IFERROR(GOOGLEFINANCE(C200, ""NAME""))"),"The Toronto-Dominion Bank")</f>
        <v>The Toronto-Dominion Bank</v>
      </c>
      <c r="E200" s="30" t="s">
        <v>236</v>
      </c>
      <c r="F200" s="33" t="str">
        <f>IFERROR(__xludf.DUMMYFUNCTION("( (GOOGLEFINANCE(C200, ""price"") - Q200) / Q200 ) / (R200 / 100)"),"Loading...")</f>
        <v>Loading...</v>
      </c>
      <c r="G200" s="20" t="str">
        <f>IFERROR(__xludf.DUMMYFUNCTION("AVERAGE(ARRAYFORMULA(100 * (QUERY(GOOGLEFINANCE(C200, ""high"", TODAY()-40, TODAY()), ""SELECT Col2 WHERE Col2 IS NOT NULL ORDER BY Col1 DESC LIMIT 20"", 0) / QUERY(GOOGLEFINANCE(C200, ""low"", TODAY()-40, TODAY()), ""SELECT Col2 WHERE Col2 IS NOT NULL OR"&amp;"DER BY Col1 DESC LIMIT 20"", 0) - 1)))"),"#N/A")</f>
        <v>#N/A</v>
      </c>
      <c r="H200" s="35" t="str">
        <f t="shared" si="6"/>
        <v/>
      </c>
      <c r="I200" s="36" t="str">
        <f t="shared" si="7"/>
        <v/>
      </c>
      <c r="J200" s="37" t="str">
        <f>IFERROR(__xludf.DUMMYFUNCTION("IFERROR(
  IF(C200="""",, 
    IFERROR(
      GOOGLEFINANCE(C200, ""price"") * GOOGLEFINANCE(C200, ""volumeavg""), 
      GOOGLEFINANCE(C200, ""price"") * AVERAGE(QUERY(GOOGLEFINANCE(C200, ""volume"", TODAY()-40, TODAY()), ""SELECT Col2 WHERE Col2 IS NOT "&amp;"NULL ORDER BY Col1 DESC LIMIT 20"", 0))
    )
  ), 
"""")"),"")</f>
        <v/>
      </c>
      <c r="K200" s="21" t="str">
        <f>IFERROR(__xludf.DUMMYFUNCTION("IFERROR(GOOGLEFINANCE(C200, ""changepct"") / 100, """")"),"")</f>
        <v/>
      </c>
      <c r="L200" s="21" t="str">
        <f>IFERROR(__xludf.DUMMYFUNCTION("IFERROR((GOOGLEFINANCE(C200, ""price"") / INDEX(GOOGLEFINANCE(C200, ""price"", TODAY()-7, TODAY()), 2, 2)) - 1, """")"),"")</f>
        <v/>
      </c>
      <c r="M200" s="21" t="str">
        <f>IFERROR(__xludf.DUMMYFUNCTION("IFERROR((GOOGLEFINANCE(C200, ""price"") / INDEX(GOOGLEFINANCE(C200, ""price"", EDATE(TODAY(), -1), TODAY()), 2, 2)) - 1, """")"),"")</f>
        <v/>
      </c>
      <c r="N200" s="21" t="str">
        <f>IFERROR(__xludf.DUMMYFUNCTION("IFERROR((GOOGLEFINANCE(C200, ""price"") / INDEX(GOOGLEFINANCE(C200, ""price"", EDATE(TODAY(), -3), TODAY()), 2, 2)) - 1, """")"),"")</f>
        <v/>
      </c>
      <c r="O200" s="21" t="str">
        <f>IFERROR(__xludf.DUMMYFUNCTION("IFERROR((GOOGLEFINANCE(C200, ""price"") / INDEX(GOOGLEFINANCE(C200, ""price"", EDATE(TODAY(), -6), TODAY()), 2, 2)) - 1, """")"),"")</f>
        <v/>
      </c>
      <c r="P200" s="21" t="str">
        <f>IFERROR(__xludf.DUMMYFUNCTION("IFERROR((GOOGLEFINANCE(C200, ""price"") / INDEX(GOOGLEFINANCE(C200, ""price"", EDATE(TODAY(), -12), TODAY()), 2, 2)) - 1, """")"),"")</f>
        <v/>
      </c>
      <c r="Q200" s="6" t="str">
        <f>IFERROR(__xludf.DUMMYFUNCTION("AVERAGE(QUERY(GOOGLEFINANCE(C200, ""price"", TODAY()-80, TODAY()), ""SELECT Col2 WHERE Col2 IS NOT NULL ORDER BY Col1 DESC LIMIT 50"", 0))"),"#N/A")</f>
        <v>#N/A</v>
      </c>
      <c r="R200" s="24" t="str">
        <f>IFERROR(__xludf.DUMMYFUNCTION("IFERROR(
  LET(
    data, QUERY(GOOGLEFINANCE(C200,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GOOGLEFINANCE(C200, ""price"")) * 100,
    IF(calc=0, G200, calc)
  ), 
G200)"),"#N/A")</f>
        <v>#N/A</v>
      </c>
      <c r="S200" s="8" t="s">
        <v>15</v>
      </c>
      <c r="T200" s="26" t="str">
        <f>IFERROR(__xludf.DUMMYFUNCTION("IFERROR(TRANSPOSE(QUERY(IFERROR(SORT(GOOGLEFINANCE(C200, ""price"", WORKDAY(TODAY(), -40), TODAY()), 1, FALSE)), ""select Col2 where Col2 is not null limit 22 label Col2 ''"", 0)), """")"),"")</f>
        <v/>
      </c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8"/>
      <c r="AO200" s="28"/>
      <c r="AP200" s="29"/>
      <c r="AQ200" s="29" t="str">
        <f t="shared" ref="AQ200:BL200" si="203">T200/T$2</f>
        <v>#N/A</v>
      </c>
      <c r="AR200" s="29" t="str">
        <f t="shared" si="203"/>
        <v>#DIV/0!</v>
      </c>
      <c r="AS200" s="29" t="str">
        <f t="shared" si="203"/>
        <v>#DIV/0!</v>
      </c>
      <c r="AT200" s="29" t="str">
        <f t="shared" si="203"/>
        <v>#DIV/0!</v>
      </c>
      <c r="AU200" s="29" t="str">
        <f t="shared" si="203"/>
        <v>#DIV/0!</v>
      </c>
      <c r="AV200" s="29" t="str">
        <f t="shared" si="203"/>
        <v>#DIV/0!</v>
      </c>
      <c r="AW200" s="29" t="str">
        <f t="shared" si="203"/>
        <v>#DIV/0!</v>
      </c>
      <c r="AX200" s="29" t="str">
        <f t="shared" si="203"/>
        <v>#DIV/0!</v>
      </c>
      <c r="AY200" s="29" t="str">
        <f t="shared" si="203"/>
        <v>#DIV/0!</v>
      </c>
      <c r="AZ200" s="29" t="str">
        <f t="shared" si="203"/>
        <v>#DIV/0!</v>
      </c>
      <c r="BA200" s="29" t="str">
        <f t="shared" si="203"/>
        <v>#DIV/0!</v>
      </c>
      <c r="BB200" s="29" t="str">
        <f t="shared" si="203"/>
        <v>#DIV/0!</v>
      </c>
      <c r="BC200" s="29" t="str">
        <f t="shared" si="203"/>
        <v>#DIV/0!</v>
      </c>
      <c r="BD200" s="29" t="str">
        <f t="shared" si="203"/>
        <v>#DIV/0!</v>
      </c>
      <c r="BE200" s="29" t="str">
        <f t="shared" si="203"/>
        <v>#DIV/0!</v>
      </c>
      <c r="BF200" s="29" t="str">
        <f t="shared" si="203"/>
        <v>#DIV/0!</v>
      </c>
      <c r="BG200" s="29" t="str">
        <f t="shared" si="203"/>
        <v>#DIV/0!</v>
      </c>
      <c r="BH200" s="29" t="str">
        <f t="shared" si="203"/>
        <v>#DIV/0!</v>
      </c>
      <c r="BI200" s="29" t="str">
        <f t="shared" si="203"/>
        <v>#DIV/0!</v>
      </c>
      <c r="BJ200" s="29" t="str">
        <f t="shared" si="203"/>
        <v>#DIV/0!</v>
      </c>
      <c r="BK200" s="29" t="str">
        <f t="shared" si="203"/>
        <v>#DIV/0!</v>
      </c>
      <c r="BL200" s="29" t="str">
        <f t="shared" si="203"/>
        <v>#DIV/0!</v>
      </c>
      <c r="BM200" s="29" t="str">
        <f t="shared" si="3"/>
        <v>#DIV/0!</v>
      </c>
    </row>
    <row r="201">
      <c r="A201" s="16" t="str">
        <f>IFERROR(__xludf.DUMMYFUNCTION("IFERROR(SPARKLINE(SORT(MAP(TRANSPOSE(AQ201:BL201), LAMBDA(val, IF(ISNUMBER(val), PERCENTRANK(AQ201:BL201, val)+0.01, 0))), SEQUENCE(COLUMNS(AQ201:BL201)), FALSE), {""charttype"",""column""; ""color"",""chartreuse""; ""ymin"", 0; ""ymax"", 1.01; ""highcolo"&amp;"r"", ""darkgreen""; ""lowcolor"", ""red""}), """")"),"")</f>
        <v/>
      </c>
      <c r="B201" s="17" t="str">
        <f t="shared" si="4"/>
        <v/>
      </c>
      <c r="C201" s="1" t="s">
        <v>965</v>
      </c>
      <c r="D201" s="34" t="str">
        <f>IFERROR(__xludf.DUMMYFUNCTION("IFERROR(GOOGLEFINANCE(C201, ""NAME""))"),"Heritage Insurance Holdings Inc")</f>
        <v>Heritage Insurance Holdings Inc</v>
      </c>
      <c r="E201" s="30" t="s">
        <v>82</v>
      </c>
      <c r="F201" s="38" t="str">
        <f>IFERROR(__xludf.DUMMYFUNCTION("( (GOOGLEFINANCE(C201, ""price"") - Q201) / Q201 ) / (R201 / 100)"),"Loading...")</f>
        <v>Loading...</v>
      </c>
      <c r="G201" s="20" t="str">
        <f>IFERROR(__xludf.DUMMYFUNCTION("AVERAGE(ARRAYFORMULA(100 * (QUERY(GOOGLEFINANCE(C201, ""high"", TODAY()-40, TODAY()), ""SELECT Col2 WHERE Col2 IS NOT NULL ORDER BY Col1 DESC LIMIT 20"", 0) / QUERY(GOOGLEFINANCE(C201, ""low"", TODAY()-40, TODAY()), ""SELECT Col2 WHERE Col2 IS NOT NULL OR"&amp;"DER BY Col1 DESC LIMIT 20"", 0) - 1)))"),"#N/A")</f>
        <v>#N/A</v>
      </c>
      <c r="H201" s="35" t="str">
        <f t="shared" si="6"/>
        <v/>
      </c>
      <c r="I201" s="36" t="str">
        <f t="shared" si="7"/>
        <v/>
      </c>
      <c r="J201" s="37" t="str">
        <f>IFERROR(__xludf.DUMMYFUNCTION("IFERROR(
  IF(C201="""",, 
    IFERROR(
      GOOGLEFINANCE(C201, ""price"") * GOOGLEFINANCE(C201, ""volumeavg""), 
      GOOGLEFINANCE(C201, ""price"") * AVERAGE(QUERY(GOOGLEFINANCE(C201, ""volume"", TODAY()-40, TODAY()), ""SELECT Col2 WHERE Col2 IS NOT "&amp;"NULL ORDER BY Col1 DESC LIMIT 20"", 0))
    )
  ), 
"""")"),"")</f>
        <v/>
      </c>
      <c r="K201" s="21" t="str">
        <f>IFERROR(__xludf.DUMMYFUNCTION("IFERROR(GOOGLEFINANCE(C201, ""changepct"") / 100, """")"),"")</f>
        <v/>
      </c>
      <c r="L201" s="21" t="str">
        <f>IFERROR(__xludf.DUMMYFUNCTION("IFERROR((GOOGLEFINANCE(C201, ""price"") / INDEX(GOOGLEFINANCE(C201, ""price"", TODAY()-7, TODAY()), 2, 2)) - 1, """")"),"")</f>
        <v/>
      </c>
      <c r="M201" s="21" t="str">
        <f>IFERROR(__xludf.DUMMYFUNCTION("IFERROR((GOOGLEFINANCE(C201, ""price"") / INDEX(GOOGLEFINANCE(C201, ""price"", EDATE(TODAY(), -1), TODAY()), 2, 2)) - 1, """")"),"")</f>
        <v/>
      </c>
      <c r="N201" s="21" t="str">
        <f>IFERROR(__xludf.DUMMYFUNCTION("IFERROR((GOOGLEFINANCE(C201, ""price"") / INDEX(GOOGLEFINANCE(C201, ""price"", EDATE(TODAY(), -3), TODAY()), 2, 2)) - 1, """")"),"")</f>
        <v/>
      </c>
      <c r="O201" s="21" t="str">
        <f>IFERROR(__xludf.DUMMYFUNCTION("IFERROR((GOOGLEFINANCE(C201, ""price"") / INDEX(GOOGLEFINANCE(C201, ""price"", EDATE(TODAY(), -6), TODAY()), 2, 2)) - 1, """")"),"")</f>
        <v/>
      </c>
      <c r="P201" s="21" t="str">
        <f>IFERROR(__xludf.DUMMYFUNCTION("IFERROR((GOOGLEFINANCE(C201, ""price"") / INDEX(GOOGLEFINANCE(C201, ""price"", EDATE(TODAY(), -12), TODAY()), 2, 2)) - 1, """")"),"")</f>
        <v/>
      </c>
      <c r="Q201" s="6" t="str">
        <f>IFERROR(__xludf.DUMMYFUNCTION("AVERAGE(QUERY(GOOGLEFINANCE(C201, ""price"", TODAY()-80, TODAY()), ""SELECT Col2 WHERE Col2 IS NOT NULL ORDER BY Col1 DESC LIMIT 50"", 0))"),"#N/A")</f>
        <v>#N/A</v>
      </c>
      <c r="R201" s="24" t="str">
        <f>IFERROR(__xludf.DUMMYFUNCTION("IFERROR(
  LET(
    data, QUERY(GOOGLEFINANCE(C201,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GOOGLEFINANCE(C201, ""price"")) * 100,
    IF(calc=0, G201, calc)
  ), 
G201)"),"#N/A")</f>
        <v>#N/A</v>
      </c>
      <c r="S201" s="8" t="s">
        <v>15</v>
      </c>
      <c r="T201" s="26" t="str">
        <f>IFERROR(__xludf.DUMMYFUNCTION("IFERROR(TRANSPOSE(QUERY(IFERROR(SORT(GOOGLEFINANCE(C201, ""price"", WORKDAY(TODAY(), -40), TODAY()), 1, FALSE)), ""select Col2 where Col2 is not null limit 22 label Col2 ''"", 0)), """")"),"")</f>
        <v/>
      </c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8"/>
      <c r="AO201" s="28"/>
      <c r="AP201" s="29"/>
      <c r="AQ201" s="29" t="str">
        <f t="shared" ref="AQ201:BL201" si="204">T201/T$2</f>
        <v>#N/A</v>
      </c>
      <c r="AR201" s="29" t="str">
        <f t="shared" si="204"/>
        <v>#DIV/0!</v>
      </c>
      <c r="AS201" s="29" t="str">
        <f t="shared" si="204"/>
        <v>#DIV/0!</v>
      </c>
      <c r="AT201" s="29" t="str">
        <f t="shared" si="204"/>
        <v>#DIV/0!</v>
      </c>
      <c r="AU201" s="29" t="str">
        <f t="shared" si="204"/>
        <v>#DIV/0!</v>
      </c>
      <c r="AV201" s="29" t="str">
        <f t="shared" si="204"/>
        <v>#DIV/0!</v>
      </c>
      <c r="AW201" s="29" t="str">
        <f t="shared" si="204"/>
        <v>#DIV/0!</v>
      </c>
      <c r="AX201" s="29" t="str">
        <f t="shared" si="204"/>
        <v>#DIV/0!</v>
      </c>
      <c r="AY201" s="29" t="str">
        <f t="shared" si="204"/>
        <v>#DIV/0!</v>
      </c>
      <c r="AZ201" s="29" t="str">
        <f t="shared" si="204"/>
        <v>#DIV/0!</v>
      </c>
      <c r="BA201" s="29" t="str">
        <f t="shared" si="204"/>
        <v>#DIV/0!</v>
      </c>
      <c r="BB201" s="29" t="str">
        <f t="shared" si="204"/>
        <v>#DIV/0!</v>
      </c>
      <c r="BC201" s="29" t="str">
        <f t="shared" si="204"/>
        <v>#DIV/0!</v>
      </c>
      <c r="BD201" s="29" t="str">
        <f t="shared" si="204"/>
        <v>#DIV/0!</v>
      </c>
      <c r="BE201" s="29" t="str">
        <f t="shared" si="204"/>
        <v>#DIV/0!</v>
      </c>
      <c r="BF201" s="29" t="str">
        <f t="shared" si="204"/>
        <v>#DIV/0!</v>
      </c>
      <c r="BG201" s="29" t="str">
        <f t="shared" si="204"/>
        <v>#DIV/0!</v>
      </c>
      <c r="BH201" s="29" t="str">
        <f t="shared" si="204"/>
        <v>#DIV/0!</v>
      </c>
      <c r="BI201" s="29" t="str">
        <f t="shared" si="204"/>
        <v>#DIV/0!</v>
      </c>
      <c r="BJ201" s="29" t="str">
        <f t="shared" si="204"/>
        <v>#DIV/0!</v>
      </c>
      <c r="BK201" s="29" t="str">
        <f t="shared" si="204"/>
        <v>#DIV/0!</v>
      </c>
      <c r="BL201" s="29" t="str">
        <f t="shared" si="204"/>
        <v>#DIV/0!</v>
      </c>
      <c r="BM201" s="29" t="str">
        <f t="shared" si="3"/>
        <v>#DIV/0!</v>
      </c>
    </row>
    <row r="202">
      <c r="A202" s="16" t="str">
        <f>IFERROR(__xludf.DUMMYFUNCTION("IFERROR(SPARKLINE(SORT(MAP(TRANSPOSE(AQ202:BL202), LAMBDA(val, IF(ISNUMBER(val), PERCENTRANK(AQ202:BL202, val)+0.01, 0))), SEQUENCE(COLUMNS(AQ202:BL202)), FALSE), {""charttype"",""column""; ""color"",""chartreuse""; ""ymin"", 0; ""ymax"", 1.01; ""highcolo"&amp;"r"", ""darkgreen""; ""lowcolor"", ""red""}), """")"),"")</f>
        <v/>
      </c>
      <c r="B202" s="17" t="str">
        <f t="shared" si="4"/>
        <v/>
      </c>
      <c r="C202" s="1" t="s">
        <v>969</v>
      </c>
      <c r="D202" s="34" t="str">
        <f>IFERROR(__xludf.DUMMYFUNCTION("IFERROR(GOOGLEFINANCE(C202, ""NAME""))"),"Metlife Inc")</f>
        <v>Metlife Inc</v>
      </c>
      <c r="E202" s="30" t="s">
        <v>231</v>
      </c>
      <c r="F202" s="33" t="str">
        <f>IFERROR(__xludf.DUMMYFUNCTION("( (GOOGLEFINANCE(C202, ""price"") - Q202) / Q202 ) / (R202 / 100)"),"Loading...")</f>
        <v>Loading...</v>
      </c>
      <c r="G202" s="20" t="str">
        <f>IFERROR(__xludf.DUMMYFUNCTION("AVERAGE(ARRAYFORMULA(100 * (QUERY(GOOGLEFINANCE(C202, ""high"", TODAY()-40, TODAY()), ""SELECT Col2 WHERE Col2 IS NOT NULL ORDER BY Col1 DESC LIMIT 20"", 0) / QUERY(GOOGLEFINANCE(C202, ""low"", TODAY()-40, TODAY()), ""SELECT Col2 WHERE Col2 IS NOT NULL OR"&amp;"DER BY Col1 DESC LIMIT 20"", 0) - 1)))"),"#N/A")</f>
        <v>#N/A</v>
      </c>
      <c r="H202" s="35" t="str">
        <f t="shared" si="6"/>
        <v/>
      </c>
      <c r="I202" s="36" t="str">
        <f t="shared" si="7"/>
        <v/>
      </c>
      <c r="J202" s="37" t="str">
        <f>IFERROR(__xludf.DUMMYFUNCTION("IFERROR(
  IF(C202="""",, 
    IFERROR(
      GOOGLEFINANCE(C202, ""price"") * GOOGLEFINANCE(C202, ""volumeavg""), 
      GOOGLEFINANCE(C202, ""price"") * AVERAGE(QUERY(GOOGLEFINANCE(C202, ""volume"", TODAY()-40, TODAY()), ""SELECT Col2 WHERE Col2 IS NOT "&amp;"NULL ORDER BY Col1 DESC LIMIT 20"", 0))
    )
  ), 
"""")"),"")</f>
        <v/>
      </c>
      <c r="K202" s="21" t="str">
        <f>IFERROR(__xludf.DUMMYFUNCTION("IFERROR(GOOGLEFINANCE(C202, ""changepct"") / 100, """")"),"")</f>
        <v/>
      </c>
      <c r="L202" s="21" t="str">
        <f>IFERROR(__xludf.DUMMYFUNCTION("IFERROR((GOOGLEFINANCE(C202, ""price"") / INDEX(GOOGLEFINANCE(C202, ""price"", TODAY()-7, TODAY()), 2, 2)) - 1, """")"),"")</f>
        <v/>
      </c>
      <c r="M202" s="21" t="str">
        <f>IFERROR(__xludf.DUMMYFUNCTION("IFERROR((GOOGLEFINANCE(C202, ""price"") / INDEX(GOOGLEFINANCE(C202, ""price"", EDATE(TODAY(), -1), TODAY()), 2, 2)) - 1, """")"),"")</f>
        <v/>
      </c>
      <c r="N202" s="21" t="str">
        <f>IFERROR(__xludf.DUMMYFUNCTION("IFERROR((GOOGLEFINANCE(C202, ""price"") / INDEX(GOOGLEFINANCE(C202, ""price"", EDATE(TODAY(), -3), TODAY()), 2, 2)) - 1, """")"),"")</f>
        <v/>
      </c>
      <c r="O202" s="21" t="str">
        <f>IFERROR(__xludf.DUMMYFUNCTION("IFERROR((GOOGLEFINANCE(C202, ""price"") / INDEX(GOOGLEFINANCE(C202, ""price"", EDATE(TODAY(), -6), TODAY()), 2, 2)) - 1, """")"),"")</f>
        <v/>
      </c>
      <c r="P202" s="21" t="str">
        <f>IFERROR(__xludf.DUMMYFUNCTION("IFERROR((GOOGLEFINANCE(C202, ""price"") / INDEX(GOOGLEFINANCE(C202, ""price"", EDATE(TODAY(), -12), TODAY()), 2, 2)) - 1, """")"),"")</f>
        <v/>
      </c>
      <c r="Q202" s="6" t="str">
        <f>IFERROR(__xludf.DUMMYFUNCTION("AVERAGE(QUERY(GOOGLEFINANCE(C202, ""price"", TODAY()-80, TODAY()), ""SELECT Col2 WHERE Col2 IS NOT NULL ORDER BY Col1 DESC LIMIT 50"", 0))"),"#N/A")</f>
        <v>#N/A</v>
      </c>
      <c r="R202" s="24" t="str">
        <f>IFERROR(__xludf.DUMMYFUNCTION("IFERROR(
  LET(
    data, QUERY(GOOGLEFINANCE(C202,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GOOGLEFINANCE(C202, ""price"")) * 100,
    IF(calc=0, G202, calc)
  ), 
G202)"),"#N/A")</f>
        <v>#N/A</v>
      </c>
      <c r="S202" s="8" t="s">
        <v>15</v>
      </c>
      <c r="T202" s="26" t="str">
        <f>IFERROR(__xludf.DUMMYFUNCTION("IFERROR(TRANSPOSE(QUERY(IFERROR(SORT(GOOGLEFINANCE(C202, ""price"", WORKDAY(TODAY(), -40), TODAY()), 1, FALSE)), ""select Col2 where Col2 is not null limit 22 label Col2 ''"", 0)), """")"),"")</f>
        <v/>
      </c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8"/>
      <c r="AO202" s="28"/>
      <c r="AP202" s="29"/>
      <c r="AQ202" s="29" t="str">
        <f t="shared" ref="AQ202:BL202" si="205">T202/T$2</f>
        <v>#N/A</v>
      </c>
      <c r="AR202" s="29" t="str">
        <f t="shared" si="205"/>
        <v>#DIV/0!</v>
      </c>
      <c r="AS202" s="29" t="str">
        <f t="shared" si="205"/>
        <v>#DIV/0!</v>
      </c>
      <c r="AT202" s="29" t="str">
        <f t="shared" si="205"/>
        <v>#DIV/0!</v>
      </c>
      <c r="AU202" s="29" t="str">
        <f t="shared" si="205"/>
        <v>#DIV/0!</v>
      </c>
      <c r="AV202" s="29" t="str">
        <f t="shared" si="205"/>
        <v>#DIV/0!</v>
      </c>
      <c r="AW202" s="29" t="str">
        <f t="shared" si="205"/>
        <v>#DIV/0!</v>
      </c>
      <c r="AX202" s="29" t="str">
        <f t="shared" si="205"/>
        <v>#DIV/0!</v>
      </c>
      <c r="AY202" s="29" t="str">
        <f t="shared" si="205"/>
        <v>#DIV/0!</v>
      </c>
      <c r="AZ202" s="29" t="str">
        <f t="shared" si="205"/>
        <v>#DIV/0!</v>
      </c>
      <c r="BA202" s="29" t="str">
        <f t="shared" si="205"/>
        <v>#DIV/0!</v>
      </c>
      <c r="BB202" s="29" t="str">
        <f t="shared" si="205"/>
        <v>#DIV/0!</v>
      </c>
      <c r="BC202" s="29" t="str">
        <f t="shared" si="205"/>
        <v>#DIV/0!</v>
      </c>
      <c r="BD202" s="29" t="str">
        <f t="shared" si="205"/>
        <v>#DIV/0!</v>
      </c>
      <c r="BE202" s="29" t="str">
        <f t="shared" si="205"/>
        <v>#DIV/0!</v>
      </c>
      <c r="BF202" s="29" t="str">
        <f t="shared" si="205"/>
        <v>#DIV/0!</v>
      </c>
      <c r="BG202" s="29" t="str">
        <f t="shared" si="205"/>
        <v>#DIV/0!</v>
      </c>
      <c r="BH202" s="29" t="str">
        <f t="shared" si="205"/>
        <v>#DIV/0!</v>
      </c>
      <c r="BI202" s="29" t="str">
        <f t="shared" si="205"/>
        <v>#DIV/0!</v>
      </c>
      <c r="BJ202" s="29" t="str">
        <f t="shared" si="205"/>
        <v>#DIV/0!</v>
      </c>
      <c r="BK202" s="29" t="str">
        <f t="shared" si="205"/>
        <v>#DIV/0!</v>
      </c>
      <c r="BL202" s="29" t="str">
        <f t="shared" si="205"/>
        <v>#DIV/0!</v>
      </c>
      <c r="BM202" s="29" t="str">
        <f t="shared" si="3"/>
        <v>#DIV/0!</v>
      </c>
    </row>
    <row r="203">
      <c r="A203" s="16" t="str">
        <f>IFERROR(__xludf.DUMMYFUNCTION("IFERROR(SPARKLINE(SORT(MAP(TRANSPOSE(AQ203:BL203), LAMBDA(val, IF(ISNUMBER(val), PERCENTRANK(AQ203:BL203, val)+0.01, 0))), SEQUENCE(COLUMNS(AQ203:BL203)), FALSE), {""charttype"",""column""; ""color"",""chartreuse""; ""ymin"", 0; ""ymax"", 1.01; ""highcolo"&amp;"r"", ""darkgreen""; ""lowcolor"", ""red""}), """")"),"")</f>
        <v/>
      </c>
      <c r="B203" s="17" t="str">
        <f t="shared" si="4"/>
        <v/>
      </c>
      <c r="C203" s="1" t="s">
        <v>972</v>
      </c>
      <c r="D203" s="34" t="str">
        <f>IFERROR(__xludf.DUMMYFUNCTION("IFERROR(GOOGLEFINANCE(C203, ""NAME""))"),"JPMorgan Chase &amp; Co.")</f>
        <v>JPMorgan Chase &amp; Co.</v>
      </c>
      <c r="E203" s="30" t="s">
        <v>236</v>
      </c>
      <c r="F203" s="33" t="str">
        <f>IFERROR(__xludf.DUMMYFUNCTION("( (GOOGLEFINANCE(C203, ""price"") - Q203) / Q203 ) / (R203 / 100)"),"Loading...")</f>
        <v>Loading...</v>
      </c>
      <c r="G203" s="20" t="str">
        <f>IFERROR(__xludf.DUMMYFUNCTION("AVERAGE(ARRAYFORMULA(100 * (QUERY(GOOGLEFINANCE(C203, ""high"", TODAY()-40, TODAY()), ""SELECT Col2 WHERE Col2 IS NOT NULL ORDER BY Col1 DESC LIMIT 20"", 0) / QUERY(GOOGLEFINANCE(C203, ""low"", TODAY()-40, TODAY()), ""SELECT Col2 WHERE Col2 IS NOT NULL OR"&amp;"DER BY Col1 DESC LIMIT 20"", 0) - 1)))"),"#N/A")</f>
        <v>#N/A</v>
      </c>
      <c r="H203" s="35" t="str">
        <f t="shared" si="6"/>
        <v/>
      </c>
      <c r="I203" s="36" t="str">
        <f t="shared" si="7"/>
        <v/>
      </c>
      <c r="J203" s="37" t="str">
        <f>IFERROR(__xludf.DUMMYFUNCTION("IFERROR(
  IF(C203="""",, 
    IFERROR(
      GOOGLEFINANCE(C203, ""price"") * GOOGLEFINANCE(C203, ""volumeavg""), 
      GOOGLEFINANCE(C203, ""price"") * AVERAGE(QUERY(GOOGLEFINANCE(C203, ""volume"", TODAY()-40, TODAY()), ""SELECT Col2 WHERE Col2 IS NOT "&amp;"NULL ORDER BY Col1 DESC LIMIT 20"", 0))
    )
  ), 
"""")"),"")</f>
        <v/>
      </c>
      <c r="K203" s="21" t="str">
        <f>IFERROR(__xludf.DUMMYFUNCTION("IFERROR(GOOGLEFINANCE(C203, ""changepct"") / 100, """")"),"")</f>
        <v/>
      </c>
      <c r="L203" s="21" t="str">
        <f>IFERROR(__xludf.DUMMYFUNCTION("IFERROR((GOOGLEFINANCE(C203, ""price"") / INDEX(GOOGLEFINANCE(C203, ""price"", TODAY()-7, TODAY()), 2, 2)) - 1, """")"),"")</f>
        <v/>
      </c>
      <c r="M203" s="21" t="str">
        <f>IFERROR(__xludf.DUMMYFUNCTION("IFERROR((GOOGLEFINANCE(C203, ""price"") / INDEX(GOOGLEFINANCE(C203, ""price"", EDATE(TODAY(), -1), TODAY()), 2, 2)) - 1, """")"),"")</f>
        <v/>
      </c>
      <c r="N203" s="21" t="str">
        <f>IFERROR(__xludf.DUMMYFUNCTION("IFERROR((GOOGLEFINANCE(C203, ""price"") / INDEX(GOOGLEFINANCE(C203, ""price"", EDATE(TODAY(), -3), TODAY()), 2, 2)) - 1, """")"),"")</f>
        <v/>
      </c>
      <c r="O203" s="21" t="str">
        <f>IFERROR(__xludf.DUMMYFUNCTION("IFERROR((GOOGLEFINANCE(C203, ""price"") / INDEX(GOOGLEFINANCE(C203, ""price"", EDATE(TODAY(), -6), TODAY()), 2, 2)) - 1, """")"),"")</f>
        <v/>
      </c>
      <c r="P203" s="21" t="str">
        <f>IFERROR(__xludf.DUMMYFUNCTION("IFERROR((GOOGLEFINANCE(C203, ""price"") / INDEX(GOOGLEFINANCE(C203, ""price"", EDATE(TODAY(), -12), TODAY()), 2, 2)) - 1, """")"),"")</f>
        <v/>
      </c>
      <c r="Q203" s="6" t="str">
        <f>IFERROR(__xludf.DUMMYFUNCTION("AVERAGE(QUERY(GOOGLEFINANCE(C203, ""price"", TODAY()-80, TODAY()), ""SELECT Col2 WHERE Col2 IS NOT NULL ORDER BY Col1 DESC LIMIT 50"", 0))"),"#N/A")</f>
        <v>#N/A</v>
      </c>
      <c r="R203" s="24" t="str">
        <f>IFERROR(__xludf.DUMMYFUNCTION("IFERROR(
  LET(
    data, QUERY(GOOGLEFINANCE(C203,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GOOGLEFINANCE(C203, ""price"")) * 100,
    IF(calc=0, G203, calc)
  ), 
G203)"),"#N/A")</f>
        <v>#N/A</v>
      </c>
      <c r="S203" s="8" t="s">
        <v>15</v>
      </c>
      <c r="T203" s="26" t="str">
        <f>IFERROR(__xludf.DUMMYFUNCTION("IFERROR(TRANSPOSE(QUERY(IFERROR(SORT(GOOGLEFINANCE(C203, ""price"", WORKDAY(TODAY(), -40), TODAY()), 1, FALSE)), ""select Col2 where Col2 is not null limit 22 label Col2 ''"", 0)), """")"),"")</f>
        <v/>
      </c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8"/>
      <c r="AO203" s="28"/>
      <c r="AP203" s="29"/>
      <c r="AQ203" s="29" t="str">
        <f t="shared" ref="AQ203:BL203" si="206">T203/T$2</f>
        <v>#N/A</v>
      </c>
      <c r="AR203" s="29" t="str">
        <f t="shared" si="206"/>
        <v>#DIV/0!</v>
      </c>
      <c r="AS203" s="29" t="str">
        <f t="shared" si="206"/>
        <v>#DIV/0!</v>
      </c>
      <c r="AT203" s="29" t="str">
        <f t="shared" si="206"/>
        <v>#DIV/0!</v>
      </c>
      <c r="AU203" s="29" t="str">
        <f t="shared" si="206"/>
        <v>#DIV/0!</v>
      </c>
      <c r="AV203" s="29" t="str">
        <f t="shared" si="206"/>
        <v>#DIV/0!</v>
      </c>
      <c r="AW203" s="29" t="str">
        <f t="shared" si="206"/>
        <v>#DIV/0!</v>
      </c>
      <c r="AX203" s="29" t="str">
        <f t="shared" si="206"/>
        <v>#DIV/0!</v>
      </c>
      <c r="AY203" s="29" t="str">
        <f t="shared" si="206"/>
        <v>#DIV/0!</v>
      </c>
      <c r="AZ203" s="29" t="str">
        <f t="shared" si="206"/>
        <v>#DIV/0!</v>
      </c>
      <c r="BA203" s="29" t="str">
        <f t="shared" si="206"/>
        <v>#DIV/0!</v>
      </c>
      <c r="BB203" s="29" t="str">
        <f t="shared" si="206"/>
        <v>#DIV/0!</v>
      </c>
      <c r="BC203" s="29" t="str">
        <f t="shared" si="206"/>
        <v>#DIV/0!</v>
      </c>
      <c r="BD203" s="29" t="str">
        <f t="shared" si="206"/>
        <v>#DIV/0!</v>
      </c>
      <c r="BE203" s="29" t="str">
        <f t="shared" si="206"/>
        <v>#DIV/0!</v>
      </c>
      <c r="BF203" s="29" t="str">
        <f t="shared" si="206"/>
        <v>#DIV/0!</v>
      </c>
      <c r="BG203" s="29" t="str">
        <f t="shared" si="206"/>
        <v>#DIV/0!</v>
      </c>
      <c r="BH203" s="29" t="str">
        <f t="shared" si="206"/>
        <v>#DIV/0!</v>
      </c>
      <c r="BI203" s="29" t="str">
        <f t="shared" si="206"/>
        <v>#DIV/0!</v>
      </c>
      <c r="BJ203" s="29" t="str">
        <f t="shared" si="206"/>
        <v>#DIV/0!</v>
      </c>
      <c r="BK203" s="29" t="str">
        <f t="shared" si="206"/>
        <v>#DIV/0!</v>
      </c>
      <c r="BL203" s="29" t="str">
        <f t="shared" si="206"/>
        <v>#DIV/0!</v>
      </c>
      <c r="BM203" s="29" t="str">
        <f t="shared" si="3"/>
        <v>#DIV/0!</v>
      </c>
    </row>
    <row r="204">
      <c r="A204" s="16" t="str">
        <f>IFERROR(__xludf.DUMMYFUNCTION("IFERROR(SPARKLINE(SORT(MAP(TRANSPOSE(AQ204:BL204), LAMBDA(val, IF(ISNUMBER(val), PERCENTRANK(AQ204:BL204, val)+0.01, 0))), SEQUENCE(COLUMNS(AQ204:BL204)), FALSE), {""charttype"",""column""; ""color"",""chartreuse""; ""ymin"", 0; ""ymax"", 1.01; ""highcolo"&amp;"r"", ""darkgreen""; ""lowcolor"", ""red""}), """")"),"")</f>
        <v/>
      </c>
      <c r="B204" s="17" t="str">
        <f t="shared" si="4"/>
        <v/>
      </c>
      <c r="C204" s="1" t="s">
        <v>975</v>
      </c>
      <c r="D204" s="34" t="str">
        <f>IFERROR(__xludf.DUMMYFUNCTION("IFERROR(GOOGLEFINANCE(C204, ""NAME""))"),"Charles Schwab Corporation Common Stock")</f>
        <v>Charles Schwab Corporation Common Stock</v>
      </c>
      <c r="E204" s="30" t="s">
        <v>77</v>
      </c>
      <c r="F204" s="33" t="str">
        <f>IFERROR(__xludf.DUMMYFUNCTION("( (GOOGLEFINANCE(C204, ""price"") - Q204) / Q204 ) / (R204 / 100)"),"Loading...")</f>
        <v>Loading...</v>
      </c>
      <c r="G204" s="20" t="str">
        <f>IFERROR(__xludf.DUMMYFUNCTION("AVERAGE(ARRAYFORMULA(100 * (QUERY(GOOGLEFINANCE(C204, ""high"", TODAY()-40, TODAY()), ""SELECT Col2 WHERE Col2 IS NOT NULL ORDER BY Col1 DESC LIMIT 20"", 0) / QUERY(GOOGLEFINANCE(C204, ""low"", TODAY()-40, TODAY()), ""SELECT Col2 WHERE Col2 IS NOT NULL OR"&amp;"DER BY Col1 DESC LIMIT 20"", 0) - 1)))"),"#N/A")</f>
        <v>#N/A</v>
      </c>
      <c r="H204" s="35" t="str">
        <f t="shared" si="6"/>
        <v/>
      </c>
      <c r="I204" s="36" t="str">
        <f t="shared" si="7"/>
        <v/>
      </c>
      <c r="J204" s="37" t="str">
        <f>IFERROR(__xludf.DUMMYFUNCTION("IFERROR(
  IF(C204="""",, 
    IFERROR(
      GOOGLEFINANCE(C204, ""price"") * GOOGLEFINANCE(C204, ""volumeavg""), 
      GOOGLEFINANCE(C204, ""price"") * AVERAGE(QUERY(GOOGLEFINANCE(C204, ""volume"", TODAY()-40, TODAY()), ""SELECT Col2 WHERE Col2 IS NOT "&amp;"NULL ORDER BY Col1 DESC LIMIT 20"", 0))
    )
  ), 
"""")"),"")</f>
        <v/>
      </c>
      <c r="K204" s="21" t="str">
        <f>IFERROR(__xludf.DUMMYFUNCTION("IFERROR(GOOGLEFINANCE(C204, ""changepct"") / 100, """")"),"")</f>
        <v/>
      </c>
      <c r="L204" s="21" t="str">
        <f>IFERROR(__xludf.DUMMYFUNCTION("IFERROR((GOOGLEFINANCE(C204, ""price"") / INDEX(GOOGLEFINANCE(C204, ""price"", TODAY()-7, TODAY()), 2, 2)) - 1, """")"),"")</f>
        <v/>
      </c>
      <c r="M204" s="21" t="str">
        <f>IFERROR(__xludf.DUMMYFUNCTION("IFERROR((GOOGLEFINANCE(C204, ""price"") / INDEX(GOOGLEFINANCE(C204, ""price"", EDATE(TODAY(), -1), TODAY()), 2, 2)) - 1, """")"),"")</f>
        <v/>
      </c>
      <c r="N204" s="21" t="str">
        <f>IFERROR(__xludf.DUMMYFUNCTION("IFERROR((GOOGLEFINANCE(C204, ""price"") / INDEX(GOOGLEFINANCE(C204, ""price"", EDATE(TODAY(), -3), TODAY()), 2, 2)) - 1, """")"),"")</f>
        <v/>
      </c>
      <c r="O204" s="21" t="str">
        <f>IFERROR(__xludf.DUMMYFUNCTION("IFERROR((GOOGLEFINANCE(C204, ""price"") / INDEX(GOOGLEFINANCE(C204, ""price"", EDATE(TODAY(), -6), TODAY()), 2, 2)) - 1, """")"),"")</f>
        <v/>
      </c>
      <c r="P204" s="21" t="str">
        <f>IFERROR(__xludf.DUMMYFUNCTION("IFERROR((GOOGLEFINANCE(C204, ""price"") / INDEX(GOOGLEFINANCE(C204, ""price"", EDATE(TODAY(), -12), TODAY()), 2, 2)) - 1, """")"),"")</f>
        <v/>
      </c>
      <c r="Q204" s="6" t="str">
        <f>IFERROR(__xludf.DUMMYFUNCTION("AVERAGE(QUERY(GOOGLEFINANCE(C204, ""price"", TODAY()-80, TODAY()), ""SELECT Col2 WHERE Col2 IS NOT NULL ORDER BY Col1 DESC LIMIT 50"", 0))"),"#N/A")</f>
        <v>#N/A</v>
      </c>
      <c r="R204" s="24" t="str">
        <f>IFERROR(__xludf.DUMMYFUNCTION("IFERROR(
  LET(
    data, QUERY(GOOGLEFINANCE(C204,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GOOGLEFINANCE(C204, ""price"")) * 100,
    IF(calc=0, G204, calc)
  ), 
G204)"),"#N/A")</f>
        <v>#N/A</v>
      </c>
      <c r="S204" s="8" t="s">
        <v>15</v>
      </c>
      <c r="T204" s="26" t="str">
        <f>IFERROR(__xludf.DUMMYFUNCTION("IFERROR(TRANSPOSE(QUERY(IFERROR(SORT(GOOGLEFINANCE(C204, ""price"", WORKDAY(TODAY(), -40), TODAY()), 1, FALSE)), ""select Col2 where Col2 is not null limit 22 label Col2 ''"", 0)), """")"),"")</f>
        <v/>
      </c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8"/>
      <c r="AO204" s="28"/>
      <c r="AP204" s="29"/>
      <c r="AQ204" s="29" t="str">
        <f t="shared" ref="AQ204:BL204" si="207">T204/T$2</f>
        <v>#N/A</v>
      </c>
      <c r="AR204" s="29" t="str">
        <f t="shared" si="207"/>
        <v>#DIV/0!</v>
      </c>
      <c r="AS204" s="29" t="str">
        <f t="shared" si="207"/>
        <v>#DIV/0!</v>
      </c>
      <c r="AT204" s="29" t="str">
        <f t="shared" si="207"/>
        <v>#DIV/0!</v>
      </c>
      <c r="AU204" s="29" t="str">
        <f t="shared" si="207"/>
        <v>#DIV/0!</v>
      </c>
      <c r="AV204" s="29" t="str">
        <f t="shared" si="207"/>
        <v>#DIV/0!</v>
      </c>
      <c r="AW204" s="29" t="str">
        <f t="shared" si="207"/>
        <v>#DIV/0!</v>
      </c>
      <c r="AX204" s="29" t="str">
        <f t="shared" si="207"/>
        <v>#DIV/0!</v>
      </c>
      <c r="AY204" s="29" t="str">
        <f t="shared" si="207"/>
        <v>#DIV/0!</v>
      </c>
      <c r="AZ204" s="29" t="str">
        <f t="shared" si="207"/>
        <v>#DIV/0!</v>
      </c>
      <c r="BA204" s="29" t="str">
        <f t="shared" si="207"/>
        <v>#DIV/0!</v>
      </c>
      <c r="BB204" s="29" t="str">
        <f t="shared" si="207"/>
        <v>#DIV/0!</v>
      </c>
      <c r="BC204" s="29" t="str">
        <f t="shared" si="207"/>
        <v>#DIV/0!</v>
      </c>
      <c r="BD204" s="29" t="str">
        <f t="shared" si="207"/>
        <v>#DIV/0!</v>
      </c>
      <c r="BE204" s="29" t="str">
        <f t="shared" si="207"/>
        <v>#DIV/0!</v>
      </c>
      <c r="BF204" s="29" t="str">
        <f t="shared" si="207"/>
        <v>#DIV/0!</v>
      </c>
      <c r="BG204" s="29" t="str">
        <f t="shared" si="207"/>
        <v>#DIV/0!</v>
      </c>
      <c r="BH204" s="29" t="str">
        <f t="shared" si="207"/>
        <v>#DIV/0!</v>
      </c>
      <c r="BI204" s="29" t="str">
        <f t="shared" si="207"/>
        <v>#DIV/0!</v>
      </c>
      <c r="BJ204" s="29" t="str">
        <f t="shared" si="207"/>
        <v>#DIV/0!</v>
      </c>
      <c r="BK204" s="29" t="str">
        <f t="shared" si="207"/>
        <v>#DIV/0!</v>
      </c>
      <c r="BL204" s="29" t="str">
        <f t="shared" si="207"/>
        <v>#DIV/0!</v>
      </c>
      <c r="BM204" s="29" t="str">
        <f t="shared" si="3"/>
        <v>#DIV/0!</v>
      </c>
    </row>
    <row r="205">
      <c r="A205" s="16" t="str">
        <f>IFERROR(__xludf.DUMMYFUNCTION("IFERROR(SPARKLINE(SORT(MAP(TRANSPOSE(AQ205:BL205), LAMBDA(val, IF(ISNUMBER(val), PERCENTRANK(AQ205:BL205, val)+0.01, 0))), SEQUENCE(COLUMNS(AQ205:BL205)), FALSE), {""charttype"",""column""; ""color"",""chartreuse""; ""ymin"", 0; ""ymax"", 1.01; ""highcolo"&amp;"r"", ""darkgreen""; ""lowcolor"", ""red""}), """")"),"")</f>
        <v/>
      </c>
      <c r="B205" s="17" t="str">
        <f t="shared" si="4"/>
        <v/>
      </c>
      <c r="C205" s="1" t="s">
        <v>979</v>
      </c>
      <c r="D205" s="34" t="str">
        <f>IFERROR(__xludf.DUMMYFUNCTION("IFERROR(GOOGLEFINANCE(C205, ""NAME""))"),"Nasdaq Inc")</f>
        <v>Nasdaq Inc</v>
      </c>
      <c r="E205" s="30" t="s">
        <v>54</v>
      </c>
      <c r="F205" s="33" t="str">
        <f>IFERROR(__xludf.DUMMYFUNCTION("( (GOOGLEFINANCE(C205, ""price"") - Q205) / Q205 ) / (R205 / 100)"),"Loading...")</f>
        <v>Loading...</v>
      </c>
      <c r="G205" s="20" t="str">
        <f>IFERROR(__xludf.DUMMYFUNCTION("AVERAGE(ARRAYFORMULA(100 * (QUERY(GOOGLEFINANCE(C205, ""high"", TODAY()-40, TODAY()), ""SELECT Col2 WHERE Col2 IS NOT NULL ORDER BY Col1 DESC LIMIT 20"", 0) / QUERY(GOOGLEFINANCE(C205, ""low"", TODAY()-40, TODAY()), ""SELECT Col2 WHERE Col2 IS NOT NULL OR"&amp;"DER BY Col1 DESC LIMIT 20"", 0) - 1)))"),"#N/A")</f>
        <v>#N/A</v>
      </c>
      <c r="H205" s="35" t="str">
        <f t="shared" si="6"/>
        <v/>
      </c>
      <c r="I205" s="36" t="str">
        <f t="shared" si="7"/>
        <v/>
      </c>
      <c r="J205" s="37" t="str">
        <f>IFERROR(__xludf.DUMMYFUNCTION("IFERROR(
  IF(C205="""",, 
    IFERROR(
      GOOGLEFINANCE(C205, ""price"") * GOOGLEFINANCE(C205, ""volumeavg""), 
      GOOGLEFINANCE(C205, ""price"") * AVERAGE(QUERY(GOOGLEFINANCE(C205, ""volume"", TODAY()-40, TODAY()), ""SELECT Col2 WHERE Col2 IS NOT "&amp;"NULL ORDER BY Col1 DESC LIMIT 20"", 0))
    )
  ), 
"""")"),"")</f>
        <v/>
      </c>
      <c r="K205" s="21" t="str">
        <f>IFERROR(__xludf.DUMMYFUNCTION("IFERROR(GOOGLEFINANCE(C205, ""changepct"") / 100, """")"),"")</f>
        <v/>
      </c>
      <c r="L205" s="21" t="str">
        <f>IFERROR(__xludf.DUMMYFUNCTION("IFERROR((GOOGLEFINANCE(C205, ""price"") / INDEX(GOOGLEFINANCE(C205, ""price"", TODAY()-7, TODAY()), 2, 2)) - 1, """")"),"")</f>
        <v/>
      </c>
      <c r="M205" s="21" t="str">
        <f>IFERROR(__xludf.DUMMYFUNCTION("IFERROR((GOOGLEFINANCE(C205, ""price"") / INDEX(GOOGLEFINANCE(C205, ""price"", EDATE(TODAY(), -1), TODAY()), 2, 2)) - 1, """")"),"")</f>
        <v/>
      </c>
      <c r="N205" s="21" t="str">
        <f>IFERROR(__xludf.DUMMYFUNCTION("IFERROR((GOOGLEFINANCE(C205, ""price"") / INDEX(GOOGLEFINANCE(C205, ""price"", EDATE(TODAY(), -3), TODAY()), 2, 2)) - 1, """")"),"")</f>
        <v/>
      </c>
      <c r="O205" s="21" t="str">
        <f>IFERROR(__xludf.DUMMYFUNCTION("IFERROR((GOOGLEFINANCE(C205, ""price"") / INDEX(GOOGLEFINANCE(C205, ""price"", EDATE(TODAY(), -6), TODAY()), 2, 2)) - 1, """")"),"")</f>
        <v/>
      </c>
      <c r="P205" s="21" t="str">
        <f>IFERROR(__xludf.DUMMYFUNCTION("IFERROR((GOOGLEFINANCE(C205, ""price"") / INDEX(GOOGLEFINANCE(C205, ""price"", EDATE(TODAY(), -12), TODAY()), 2, 2)) - 1, """")"),"")</f>
        <v/>
      </c>
      <c r="Q205" s="6" t="str">
        <f>IFERROR(__xludf.DUMMYFUNCTION("AVERAGE(QUERY(GOOGLEFINANCE(C205, ""price"", TODAY()-80, TODAY()), ""SELECT Col2 WHERE Col2 IS NOT NULL ORDER BY Col1 DESC LIMIT 50"", 0))"),"#N/A")</f>
        <v>#N/A</v>
      </c>
      <c r="R205" s="24" t="str">
        <f>IFERROR(__xludf.DUMMYFUNCTION("IFERROR(
  LET(
    data, QUERY(GOOGLEFINANCE(C205,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GOOGLEFINANCE(C205, ""price"")) * 100,
    IF(calc=0, G205, calc)
  ), 
G205)"),"#N/A")</f>
        <v>#N/A</v>
      </c>
      <c r="S205" s="8" t="s">
        <v>15</v>
      </c>
      <c r="T205" s="26" t="str">
        <f>IFERROR(__xludf.DUMMYFUNCTION("IFERROR(TRANSPOSE(QUERY(IFERROR(SORT(GOOGLEFINANCE(C205, ""price"", WORKDAY(TODAY(), -40), TODAY()), 1, FALSE)), ""select Col2 where Col2 is not null limit 22 label Col2 ''"", 0)), """")"),"")</f>
        <v/>
      </c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8"/>
      <c r="AO205" s="28"/>
      <c r="AP205" s="29"/>
      <c r="AQ205" s="29" t="str">
        <f t="shared" ref="AQ205:BL205" si="208">T205/T$2</f>
        <v>#N/A</v>
      </c>
      <c r="AR205" s="29" t="str">
        <f t="shared" si="208"/>
        <v>#DIV/0!</v>
      </c>
      <c r="AS205" s="29" t="str">
        <f t="shared" si="208"/>
        <v>#DIV/0!</v>
      </c>
      <c r="AT205" s="29" t="str">
        <f t="shared" si="208"/>
        <v>#DIV/0!</v>
      </c>
      <c r="AU205" s="29" t="str">
        <f t="shared" si="208"/>
        <v>#DIV/0!</v>
      </c>
      <c r="AV205" s="29" t="str">
        <f t="shared" si="208"/>
        <v>#DIV/0!</v>
      </c>
      <c r="AW205" s="29" t="str">
        <f t="shared" si="208"/>
        <v>#DIV/0!</v>
      </c>
      <c r="AX205" s="29" t="str">
        <f t="shared" si="208"/>
        <v>#DIV/0!</v>
      </c>
      <c r="AY205" s="29" t="str">
        <f t="shared" si="208"/>
        <v>#DIV/0!</v>
      </c>
      <c r="AZ205" s="29" t="str">
        <f t="shared" si="208"/>
        <v>#DIV/0!</v>
      </c>
      <c r="BA205" s="29" t="str">
        <f t="shared" si="208"/>
        <v>#DIV/0!</v>
      </c>
      <c r="BB205" s="29" t="str">
        <f t="shared" si="208"/>
        <v>#DIV/0!</v>
      </c>
      <c r="BC205" s="29" t="str">
        <f t="shared" si="208"/>
        <v>#DIV/0!</v>
      </c>
      <c r="BD205" s="29" t="str">
        <f t="shared" si="208"/>
        <v>#DIV/0!</v>
      </c>
      <c r="BE205" s="29" t="str">
        <f t="shared" si="208"/>
        <v>#DIV/0!</v>
      </c>
      <c r="BF205" s="29" t="str">
        <f t="shared" si="208"/>
        <v>#DIV/0!</v>
      </c>
      <c r="BG205" s="29" t="str">
        <f t="shared" si="208"/>
        <v>#DIV/0!</v>
      </c>
      <c r="BH205" s="29" t="str">
        <f t="shared" si="208"/>
        <v>#DIV/0!</v>
      </c>
      <c r="BI205" s="29" t="str">
        <f t="shared" si="208"/>
        <v>#DIV/0!</v>
      </c>
      <c r="BJ205" s="29" t="str">
        <f t="shared" si="208"/>
        <v>#DIV/0!</v>
      </c>
      <c r="BK205" s="29" t="str">
        <f t="shared" si="208"/>
        <v>#DIV/0!</v>
      </c>
      <c r="BL205" s="29" t="str">
        <f t="shared" si="208"/>
        <v>#DIV/0!</v>
      </c>
      <c r="BM205" s="29" t="str">
        <f t="shared" si="3"/>
        <v>#DIV/0!</v>
      </c>
    </row>
    <row r="206">
      <c r="A206" s="16" t="str">
        <f>IFERROR(__xludf.DUMMYFUNCTION("IFERROR(SPARKLINE(SORT(MAP(TRANSPOSE(AQ206:BL206), LAMBDA(val, IF(ISNUMBER(val), PERCENTRANK(AQ206:BL206, val)+0.01, 0))), SEQUENCE(COLUMNS(AQ206:BL206)), FALSE), {""charttype"",""column""; ""color"",""chartreuse""; ""ymin"", 0; ""ymax"", 1.01; ""highcolo"&amp;"r"", ""darkgreen""; ""lowcolor"", ""red""}), """")"),"")</f>
        <v/>
      </c>
      <c r="B206" s="17" t="str">
        <f t="shared" si="4"/>
        <v/>
      </c>
      <c r="C206" s="1" t="s">
        <v>982</v>
      </c>
      <c r="D206" s="34" t="str">
        <f>IFERROR(__xludf.DUMMYFUNCTION("IFERROR(GOOGLEFINANCE(C206, ""NAME""))"),"HCI Group Inc")</f>
        <v>HCI Group Inc</v>
      </c>
      <c r="E206" s="30" t="s">
        <v>82</v>
      </c>
      <c r="F206" s="33" t="str">
        <f>IFERROR(__xludf.DUMMYFUNCTION("( (GOOGLEFINANCE(C206, ""price"") - Q206) / Q206 ) / (R206 / 100)"),"Loading...")</f>
        <v>Loading...</v>
      </c>
      <c r="G206" s="20" t="str">
        <f>IFERROR(__xludf.DUMMYFUNCTION("AVERAGE(ARRAYFORMULA(100 * (QUERY(GOOGLEFINANCE(C206, ""high"", TODAY()-40, TODAY()), ""SELECT Col2 WHERE Col2 IS NOT NULL ORDER BY Col1 DESC LIMIT 20"", 0) / QUERY(GOOGLEFINANCE(C206, ""low"", TODAY()-40, TODAY()), ""SELECT Col2 WHERE Col2 IS NOT NULL OR"&amp;"DER BY Col1 DESC LIMIT 20"", 0) - 1)))"),"#N/A")</f>
        <v>#N/A</v>
      </c>
      <c r="H206" s="35" t="str">
        <f t="shared" si="6"/>
        <v/>
      </c>
      <c r="I206" s="36" t="str">
        <f t="shared" si="7"/>
        <v/>
      </c>
      <c r="J206" s="37" t="str">
        <f>IFERROR(__xludf.DUMMYFUNCTION("IFERROR(
  IF(C206="""",, 
    IFERROR(
      GOOGLEFINANCE(C206, ""price"") * GOOGLEFINANCE(C206, ""volumeavg""), 
      GOOGLEFINANCE(C206, ""price"") * AVERAGE(QUERY(GOOGLEFINANCE(C206, ""volume"", TODAY()-40, TODAY()), ""SELECT Col2 WHERE Col2 IS NOT "&amp;"NULL ORDER BY Col1 DESC LIMIT 20"", 0))
    )
  ), 
"""")"),"")</f>
        <v/>
      </c>
      <c r="K206" s="21" t="str">
        <f>IFERROR(__xludf.DUMMYFUNCTION("IFERROR(GOOGLEFINANCE(C206, ""changepct"") / 100, """")"),"")</f>
        <v/>
      </c>
      <c r="L206" s="21" t="str">
        <f>IFERROR(__xludf.DUMMYFUNCTION("IFERROR((GOOGLEFINANCE(C206, ""price"") / INDEX(GOOGLEFINANCE(C206, ""price"", TODAY()-7, TODAY()), 2, 2)) - 1, """")"),"")</f>
        <v/>
      </c>
      <c r="M206" s="21" t="str">
        <f>IFERROR(__xludf.DUMMYFUNCTION("IFERROR((GOOGLEFINANCE(C206, ""price"") / INDEX(GOOGLEFINANCE(C206, ""price"", EDATE(TODAY(), -1), TODAY()), 2, 2)) - 1, """")"),"")</f>
        <v/>
      </c>
      <c r="N206" s="21" t="str">
        <f>IFERROR(__xludf.DUMMYFUNCTION("IFERROR((GOOGLEFINANCE(C206, ""price"") / INDEX(GOOGLEFINANCE(C206, ""price"", EDATE(TODAY(), -3), TODAY()), 2, 2)) - 1, """")"),"")</f>
        <v/>
      </c>
      <c r="O206" s="21" t="str">
        <f>IFERROR(__xludf.DUMMYFUNCTION("IFERROR((GOOGLEFINANCE(C206, ""price"") / INDEX(GOOGLEFINANCE(C206, ""price"", EDATE(TODAY(), -6), TODAY()), 2, 2)) - 1, """")"),"")</f>
        <v/>
      </c>
      <c r="P206" s="21" t="str">
        <f>IFERROR(__xludf.DUMMYFUNCTION("IFERROR((GOOGLEFINANCE(C206, ""price"") / INDEX(GOOGLEFINANCE(C206, ""price"", EDATE(TODAY(), -12), TODAY()), 2, 2)) - 1, """")"),"")</f>
        <v/>
      </c>
      <c r="Q206" s="6" t="str">
        <f>IFERROR(__xludf.DUMMYFUNCTION("AVERAGE(QUERY(GOOGLEFINANCE(C206, ""price"", TODAY()-80, TODAY()), ""SELECT Col2 WHERE Col2 IS NOT NULL ORDER BY Col1 DESC LIMIT 50"", 0))"),"#N/A")</f>
        <v>#N/A</v>
      </c>
      <c r="R206" s="24" t="str">
        <f>IFERROR(__xludf.DUMMYFUNCTION("IFERROR(
  LET(
    data, QUERY(GOOGLEFINANCE(C206,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GOOGLEFINANCE(C206, ""price"")) * 100,
    IF(calc=0, G206, calc)
  ), 
G206)"),"#N/A")</f>
        <v>#N/A</v>
      </c>
      <c r="S206" s="8" t="s">
        <v>15</v>
      </c>
      <c r="T206" s="26" t="str">
        <f>IFERROR(__xludf.DUMMYFUNCTION("IFERROR(TRANSPOSE(QUERY(IFERROR(SORT(GOOGLEFINANCE(C206, ""price"", WORKDAY(TODAY(), -40), TODAY()), 1, FALSE)), ""select Col2 where Col2 is not null limit 22 label Col2 ''"", 0)), """")"),"")</f>
        <v/>
      </c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8"/>
      <c r="AO206" s="28"/>
      <c r="AP206" s="29"/>
      <c r="AQ206" s="29" t="str">
        <f t="shared" ref="AQ206:BL206" si="209">T206/T$2</f>
        <v>#N/A</v>
      </c>
      <c r="AR206" s="29" t="str">
        <f t="shared" si="209"/>
        <v>#DIV/0!</v>
      </c>
      <c r="AS206" s="29" t="str">
        <f t="shared" si="209"/>
        <v>#DIV/0!</v>
      </c>
      <c r="AT206" s="29" t="str">
        <f t="shared" si="209"/>
        <v>#DIV/0!</v>
      </c>
      <c r="AU206" s="29" t="str">
        <f t="shared" si="209"/>
        <v>#DIV/0!</v>
      </c>
      <c r="AV206" s="29" t="str">
        <f t="shared" si="209"/>
        <v>#DIV/0!</v>
      </c>
      <c r="AW206" s="29" t="str">
        <f t="shared" si="209"/>
        <v>#DIV/0!</v>
      </c>
      <c r="AX206" s="29" t="str">
        <f t="shared" si="209"/>
        <v>#DIV/0!</v>
      </c>
      <c r="AY206" s="29" t="str">
        <f t="shared" si="209"/>
        <v>#DIV/0!</v>
      </c>
      <c r="AZ206" s="29" t="str">
        <f t="shared" si="209"/>
        <v>#DIV/0!</v>
      </c>
      <c r="BA206" s="29" t="str">
        <f t="shared" si="209"/>
        <v>#DIV/0!</v>
      </c>
      <c r="BB206" s="29" t="str">
        <f t="shared" si="209"/>
        <v>#DIV/0!</v>
      </c>
      <c r="BC206" s="29" t="str">
        <f t="shared" si="209"/>
        <v>#DIV/0!</v>
      </c>
      <c r="BD206" s="29" t="str">
        <f t="shared" si="209"/>
        <v>#DIV/0!</v>
      </c>
      <c r="BE206" s="29" t="str">
        <f t="shared" si="209"/>
        <v>#DIV/0!</v>
      </c>
      <c r="BF206" s="29" t="str">
        <f t="shared" si="209"/>
        <v>#DIV/0!</v>
      </c>
      <c r="BG206" s="29" t="str">
        <f t="shared" si="209"/>
        <v>#DIV/0!</v>
      </c>
      <c r="BH206" s="29" t="str">
        <f t="shared" si="209"/>
        <v>#DIV/0!</v>
      </c>
      <c r="BI206" s="29" t="str">
        <f t="shared" si="209"/>
        <v>#DIV/0!</v>
      </c>
      <c r="BJ206" s="29" t="str">
        <f t="shared" si="209"/>
        <v>#DIV/0!</v>
      </c>
      <c r="BK206" s="29" t="str">
        <f t="shared" si="209"/>
        <v>#DIV/0!</v>
      </c>
      <c r="BL206" s="29" t="str">
        <f t="shared" si="209"/>
        <v>#DIV/0!</v>
      </c>
      <c r="BM206" s="29" t="str">
        <f t="shared" si="3"/>
        <v>#DIV/0!</v>
      </c>
    </row>
    <row r="207">
      <c r="A207" s="16" t="str">
        <f>IFERROR(__xludf.DUMMYFUNCTION("IFERROR(SPARKLINE(SORT(MAP(TRANSPOSE(AQ207:BL207), LAMBDA(val, IF(ISNUMBER(val), PERCENTRANK(AQ207:BL207, val)+0.01, 0))), SEQUENCE(COLUMNS(AQ207:BL207)), FALSE), {""charttype"",""column""; ""color"",""chartreuse""; ""ymin"", 0; ""ymax"", 1.01; ""highcolo"&amp;"r"", ""darkgreen""; ""lowcolor"", ""red""}), """")"),"")</f>
        <v/>
      </c>
      <c r="B207" s="17" t="str">
        <f t="shared" si="4"/>
        <v/>
      </c>
      <c r="C207" s="1" t="s">
        <v>987</v>
      </c>
      <c r="D207" s="34" t="str">
        <f>IFERROR(__xludf.DUMMYFUNCTION("IFERROR(GOOGLEFINANCE(C207, ""NAME""))"),"Churchill Capital XI Units")</f>
        <v>Churchill Capital XI Units</v>
      </c>
      <c r="E207" s="30" t="s">
        <v>161</v>
      </c>
      <c r="F207" s="33" t="str">
        <f>IFERROR(__xludf.DUMMYFUNCTION("( (GOOGLEFINANCE(C207, ""price"") - Q207) / Q207 ) / (R207 / 100)"),"Loading...")</f>
        <v>Loading...</v>
      </c>
      <c r="G207" s="20" t="str">
        <f>IFERROR(__xludf.DUMMYFUNCTION("AVERAGE(ARRAYFORMULA(100 * (QUERY(GOOGLEFINANCE(C207, ""high"", TODAY()-40, TODAY()), ""SELECT Col2 WHERE Col2 IS NOT NULL ORDER BY Col1 DESC LIMIT 20"", 0) / QUERY(GOOGLEFINANCE(C207, ""low"", TODAY()-40, TODAY()), ""SELECT Col2 WHERE Col2 IS NOT NULL OR"&amp;"DER BY Col1 DESC LIMIT 20"", 0) - 1)))"),"#N/A")</f>
        <v>#N/A</v>
      </c>
      <c r="H207" s="35" t="str">
        <f t="shared" si="6"/>
        <v/>
      </c>
      <c r="I207" s="36" t="str">
        <f t="shared" si="7"/>
        <v/>
      </c>
      <c r="J207" s="37" t="str">
        <f>IFERROR(__xludf.DUMMYFUNCTION("IFERROR(
  IF(C207="""",, 
    IFERROR(
      GOOGLEFINANCE(C207, ""price"") * GOOGLEFINANCE(C207, ""volumeavg""), 
      GOOGLEFINANCE(C207, ""price"") * AVERAGE(QUERY(GOOGLEFINANCE(C207, ""volume"", TODAY()-40, TODAY()), ""SELECT Col2 WHERE Col2 IS NOT "&amp;"NULL ORDER BY Col1 DESC LIMIT 20"", 0))
    )
  ), 
"""")"),"")</f>
        <v/>
      </c>
      <c r="K207" s="21" t="str">
        <f>IFERROR(__xludf.DUMMYFUNCTION("IFERROR(GOOGLEFINANCE(C207, ""changepct"") / 100, """")"),"")</f>
        <v/>
      </c>
      <c r="L207" s="21" t="str">
        <f>IFERROR(__xludf.DUMMYFUNCTION("IFERROR((GOOGLEFINANCE(C207, ""price"") / INDEX(GOOGLEFINANCE(C207, ""price"", TODAY()-7, TODAY()), 2, 2)) - 1, """")"),"")</f>
        <v/>
      </c>
      <c r="M207" s="21" t="str">
        <f>IFERROR(__xludf.DUMMYFUNCTION("IFERROR((GOOGLEFINANCE(C207, ""price"") / INDEX(GOOGLEFINANCE(C207, ""price"", EDATE(TODAY(), -1), TODAY()), 2, 2)) - 1, """")"),"")</f>
        <v/>
      </c>
      <c r="N207" s="21" t="str">
        <f>IFERROR(__xludf.DUMMYFUNCTION("IFERROR((GOOGLEFINANCE(C207, ""price"") / INDEX(GOOGLEFINANCE(C207, ""price"", EDATE(TODAY(), -3), TODAY()), 2, 2)) - 1, """")"),"")</f>
        <v/>
      </c>
      <c r="O207" s="21" t="str">
        <f>IFERROR(__xludf.DUMMYFUNCTION("IFERROR((GOOGLEFINANCE(C207, ""price"") / INDEX(GOOGLEFINANCE(C207, ""price"", EDATE(TODAY(), -6), TODAY()), 2, 2)) - 1, """")"),"")</f>
        <v/>
      </c>
      <c r="P207" s="21" t="str">
        <f>IFERROR(__xludf.DUMMYFUNCTION("IFERROR((GOOGLEFINANCE(C207, ""price"") / INDEX(GOOGLEFINANCE(C207, ""price"", EDATE(TODAY(), -12), TODAY()), 2, 2)) - 1, """")"),"")</f>
        <v/>
      </c>
      <c r="Q207" s="6" t="str">
        <f>IFERROR(__xludf.DUMMYFUNCTION("AVERAGE(QUERY(GOOGLEFINANCE(C207, ""price"", TODAY()-80, TODAY()), ""SELECT Col2 WHERE Col2 IS NOT NULL ORDER BY Col1 DESC LIMIT 50"", 0))"),"#N/A")</f>
        <v>#N/A</v>
      </c>
      <c r="R207" s="24" t="str">
        <f>IFERROR(__xludf.DUMMYFUNCTION("IFERROR(
  LET(
    data, QUERY(GOOGLEFINANCE(C207,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GOOGLEFINANCE(C207, ""price"")) * 100,
    IF(calc=0, G207, calc)
  ), 
G207)"),"#N/A")</f>
        <v>#N/A</v>
      </c>
      <c r="S207" s="8" t="s">
        <v>15</v>
      </c>
      <c r="T207" s="26" t="str">
        <f>IFERROR(__xludf.DUMMYFUNCTION("IFERROR(TRANSPOSE(QUERY(IFERROR(SORT(GOOGLEFINANCE(C207, ""price"", WORKDAY(TODAY(), -40), TODAY()), 1, FALSE)), ""select Col2 where Col2 is not null limit 22 label Col2 ''"", 0)), """")"),"")</f>
        <v/>
      </c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8"/>
      <c r="AO207" s="28"/>
      <c r="AP207" s="29"/>
      <c r="AQ207" s="29" t="str">
        <f t="shared" ref="AQ207:BL207" si="210">T207/T$2</f>
        <v>#N/A</v>
      </c>
      <c r="AR207" s="29" t="str">
        <f t="shared" si="210"/>
        <v>#DIV/0!</v>
      </c>
      <c r="AS207" s="29" t="str">
        <f t="shared" si="210"/>
        <v>#DIV/0!</v>
      </c>
      <c r="AT207" s="29" t="str">
        <f t="shared" si="210"/>
        <v>#DIV/0!</v>
      </c>
      <c r="AU207" s="29" t="str">
        <f t="shared" si="210"/>
        <v>#DIV/0!</v>
      </c>
      <c r="AV207" s="29" t="str">
        <f t="shared" si="210"/>
        <v>#DIV/0!</v>
      </c>
      <c r="AW207" s="29" t="str">
        <f t="shared" si="210"/>
        <v>#DIV/0!</v>
      </c>
      <c r="AX207" s="29" t="str">
        <f t="shared" si="210"/>
        <v>#DIV/0!</v>
      </c>
      <c r="AY207" s="29" t="str">
        <f t="shared" si="210"/>
        <v>#DIV/0!</v>
      </c>
      <c r="AZ207" s="29" t="str">
        <f t="shared" si="210"/>
        <v>#DIV/0!</v>
      </c>
      <c r="BA207" s="29" t="str">
        <f t="shared" si="210"/>
        <v>#DIV/0!</v>
      </c>
      <c r="BB207" s="29" t="str">
        <f t="shared" si="210"/>
        <v>#DIV/0!</v>
      </c>
      <c r="BC207" s="29" t="str">
        <f t="shared" si="210"/>
        <v>#DIV/0!</v>
      </c>
      <c r="BD207" s="29" t="str">
        <f t="shared" si="210"/>
        <v>#DIV/0!</v>
      </c>
      <c r="BE207" s="29" t="str">
        <f t="shared" si="210"/>
        <v>#DIV/0!</v>
      </c>
      <c r="BF207" s="29" t="str">
        <f t="shared" si="210"/>
        <v>#DIV/0!</v>
      </c>
      <c r="BG207" s="29" t="str">
        <f t="shared" si="210"/>
        <v>#DIV/0!</v>
      </c>
      <c r="BH207" s="29" t="str">
        <f t="shared" si="210"/>
        <v>#DIV/0!</v>
      </c>
      <c r="BI207" s="29" t="str">
        <f t="shared" si="210"/>
        <v>#DIV/0!</v>
      </c>
      <c r="BJ207" s="29" t="str">
        <f t="shared" si="210"/>
        <v>#DIV/0!</v>
      </c>
      <c r="BK207" s="29" t="str">
        <f t="shared" si="210"/>
        <v>#DIV/0!</v>
      </c>
      <c r="BL207" s="29" t="str">
        <f t="shared" si="210"/>
        <v>#DIV/0!</v>
      </c>
      <c r="BM207" s="29" t="str">
        <f t="shared" si="3"/>
        <v>#DIV/0!</v>
      </c>
    </row>
    <row r="208">
      <c r="A208" s="16" t="str">
        <f>IFERROR(__xludf.DUMMYFUNCTION("IFERROR(SPARKLINE(SORT(MAP(TRANSPOSE(AQ208:BL208), LAMBDA(val, IF(ISNUMBER(val), PERCENTRANK(AQ208:BL208, val)+0.01, 0))), SEQUENCE(COLUMNS(AQ208:BL208)), FALSE), {""charttype"",""column""; ""color"",""chartreuse""; ""ymin"", 0; ""ymax"", 1.01; ""highcolo"&amp;"r"", ""darkgreen""; ""lowcolor"", ""red""}), """")"),"")</f>
        <v/>
      </c>
      <c r="B208" s="17" t="str">
        <f t="shared" si="4"/>
        <v/>
      </c>
      <c r="C208" s="1" t="s">
        <v>991</v>
      </c>
      <c r="D208" s="34" t="str">
        <f>IFERROR(__xludf.DUMMYFUNCTION("IFERROR(GOOGLEFINANCE(C208, ""NAME""))"),"Citigroup Inc.")</f>
        <v>Citigroup Inc.</v>
      </c>
      <c r="E208" s="30" t="s">
        <v>236</v>
      </c>
      <c r="F208" s="33" t="str">
        <f>IFERROR(__xludf.DUMMYFUNCTION("( (GOOGLEFINANCE(C208, ""price"") - Q208) / Q208 ) / (R208 / 100)"),"Loading...")</f>
        <v>Loading...</v>
      </c>
      <c r="G208" s="20" t="str">
        <f>IFERROR(__xludf.DUMMYFUNCTION("AVERAGE(ARRAYFORMULA(100 * (QUERY(GOOGLEFINANCE(C208, ""high"", TODAY()-40, TODAY()), ""SELECT Col2 WHERE Col2 IS NOT NULL ORDER BY Col1 DESC LIMIT 20"", 0) / QUERY(GOOGLEFINANCE(C208, ""low"", TODAY()-40, TODAY()), ""SELECT Col2 WHERE Col2 IS NOT NULL OR"&amp;"DER BY Col1 DESC LIMIT 20"", 0) - 1)))"),"#N/A")</f>
        <v>#N/A</v>
      </c>
      <c r="H208" s="35" t="str">
        <f t="shared" si="6"/>
        <v/>
      </c>
      <c r="I208" s="36" t="str">
        <f t="shared" si="7"/>
        <v/>
      </c>
      <c r="J208" s="37" t="str">
        <f>IFERROR(__xludf.DUMMYFUNCTION("IFERROR(
  IF(C208="""",, 
    IFERROR(
      GOOGLEFINANCE(C208, ""price"") * GOOGLEFINANCE(C208, ""volumeavg""), 
      GOOGLEFINANCE(C208, ""price"") * AVERAGE(QUERY(GOOGLEFINANCE(C208, ""volume"", TODAY()-40, TODAY()), ""SELECT Col2 WHERE Col2 IS NOT "&amp;"NULL ORDER BY Col1 DESC LIMIT 20"", 0))
    )
  ), 
"""")"),"")</f>
        <v/>
      </c>
      <c r="K208" s="21" t="str">
        <f>IFERROR(__xludf.DUMMYFUNCTION("IFERROR(GOOGLEFINANCE(C208, ""changepct"") / 100, """")"),"")</f>
        <v/>
      </c>
      <c r="L208" s="21" t="str">
        <f>IFERROR(__xludf.DUMMYFUNCTION("IFERROR((GOOGLEFINANCE(C208, ""price"") / INDEX(GOOGLEFINANCE(C208, ""price"", TODAY()-7, TODAY()), 2, 2)) - 1, """")"),"")</f>
        <v/>
      </c>
      <c r="M208" s="21" t="str">
        <f>IFERROR(__xludf.DUMMYFUNCTION("IFERROR((GOOGLEFINANCE(C208, ""price"") / INDEX(GOOGLEFINANCE(C208, ""price"", EDATE(TODAY(), -1), TODAY()), 2, 2)) - 1, """")"),"")</f>
        <v/>
      </c>
      <c r="N208" s="21" t="str">
        <f>IFERROR(__xludf.DUMMYFUNCTION("IFERROR((GOOGLEFINANCE(C208, ""price"") / INDEX(GOOGLEFINANCE(C208, ""price"", EDATE(TODAY(), -3), TODAY()), 2, 2)) - 1, """")"),"")</f>
        <v/>
      </c>
      <c r="O208" s="21" t="str">
        <f>IFERROR(__xludf.DUMMYFUNCTION("IFERROR((GOOGLEFINANCE(C208, ""price"") / INDEX(GOOGLEFINANCE(C208, ""price"", EDATE(TODAY(), -6), TODAY()), 2, 2)) - 1, """")"),"")</f>
        <v/>
      </c>
      <c r="P208" s="21" t="str">
        <f>IFERROR(__xludf.DUMMYFUNCTION("IFERROR((GOOGLEFINANCE(C208, ""price"") / INDEX(GOOGLEFINANCE(C208, ""price"", EDATE(TODAY(), -12), TODAY()), 2, 2)) - 1, """")"),"")</f>
        <v/>
      </c>
      <c r="Q208" s="6" t="str">
        <f>IFERROR(__xludf.DUMMYFUNCTION("AVERAGE(QUERY(GOOGLEFINANCE(C208, ""price"", TODAY()-80, TODAY()), ""SELECT Col2 WHERE Col2 IS NOT NULL ORDER BY Col1 DESC LIMIT 50"", 0))"),"#N/A")</f>
        <v>#N/A</v>
      </c>
      <c r="R208" s="24" t="str">
        <f>IFERROR(__xludf.DUMMYFUNCTION("IFERROR(
  LET(
    data, QUERY(GOOGLEFINANCE(C208,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GOOGLEFINANCE(C208, ""price"")) * 100,
    IF(calc=0, G208, calc)
  ), 
G208)"),"#N/A")</f>
        <v>#N/A</v>
      </c>
      <c r="S208" s="8" t="s">
        <v>15</v>
      </c>
      <c r="T208" s="26" t="str">
        <f>IFERROR(__xludf.DUMMYFUNCTION("IFERROR(TRANSPOSE(QUERY(IFERROR(SORT(GOOGLEFINANCE(C208, ""price"", WORKDAY(TODAY(), -40), TODAY()), 1, FALSE)), ""select Col2 where Col2 is not null limit 22 label Col2 ''"", 0)), """")"),"")</f>
        <v/>
      </c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8"/>
      <c r="AO208" s="28"/>
      <c r="AP208" s="29"/>
      <c r="AQ208" s="29" t="str">
        <f t="shared" ref="AQ208:BL208" si="211">T208/T$2</f>
        <v>#N/A</v>
      </c>
      <c r="AR208" s="29" t="str">
        <f t="shared" si="211"/>
        <v>#DIV/0!</v>
      </c>
      <c r="AS208" s="29" t="str">
        <f t="shared" si="211"/>
        <v>#DIV/0!</v>
      </c>
      <c r="AT208" s="29" t="str">
        <f t="shared" si="211"/>
        <v>#DIV/0!</v>
      </c>
      <c r="AU208" s="29" t="str">
        <f t="shared" si="211"/>
        <v>#DIV/0!</v>
      </c>
      <c r="AV208" s="29" t="str">
        <f t="shared" si="211"/>
        <v>#DIV/0!</v>
      </c>
      <c r="AW208" s="29" t="str">
        <f t="shared" si="211"/>
        <v>#DIV/0!</v>
      </c>
      <c r="AX208" s="29" t="str">
        <f t="shared" si="211"/>
        <v>#DIV/0!</v>
      </c>
      <c r="AY208" s="29" t="str">
        <f t="shared" si="211"/>
        <v>#DIV/0!</v>
      </c>
      <c r="AZ208" s="29" t="str">
        <f t="shared" si="211"/>
        <v>#DIV/0!</v>
      </c>
      <c r="BA208" s="29" t="str">
        <f t="shared" si="211"/>
        <v>#DIV/0!</v>
      </c>
      <c r="BB208" s="29" t="str">
        <f t="shared" si="211"/>
        <v>#DIV/0!</v>
      </c>
      <c r="BC208" s="29" t="str">
        <f t="shared" si="211"/>
        <v>#DIV/0!</v>
      </c>
      <c r="BD208" s="29" t="str">
        <f t="shared" si="211"/>
        <v>#DIV/0!</v>
      </c>
      <c r="BE208" s="29" t="str">
        <f t="shared" si="211"/>
        <v>#DIV/0!</v>
      </c>
      <c r="BF208" s="29" t="str">
        <f t="shared" si="211"/>
        <v>#DIV/0!</v>
      </c>
      <c r="BG208" s="29" t="str">
        <f t="shared" si="211"/>
        <v>#DIV/0!</v>
      </c>
      <c r="BH208" s="29" t="str">
        <f t="shared" si="211"/>
        <v>#DIV/0!</v>
      </c>
      <c r="BI208" s="29" t="str">
        <f t="shared" si="211"/>
        <v>#DIV/0!</v>
      </c>
      <c r="BJ208" s="29" t="str">
        <f t="shared" si="211"/>
        <v>#DIV/0!</v>
      </c>
      <c r="BK208" s="29" t="str">
        <f t="shared" si="211"/>
        <v>#DIV/0!</v>
      </c>
      <c r="BL208" s="29" t="str">
        <f t="shared" si="211"/>
        <v>#DIV/0!</v>
      </c>
      <c r="BM208" s="29" t="str">
        <f t="shared" si="3"/>
        <v>#DIV/0!</v>
      </c>
    </row>
    <row r="209">
      <c r="A209" s="16" t="str">
        <f>IFERROR(__xludf.DUMMYFUNCTION("IFERROR(SPARKLINE(SORT(MAP(TRANSPOSE(AQ209:BL209), LAMBDA(val, IF(ISNUMBER(val), PERCENTRANK(AQ209:BL209, val)+0.01, 0))), SEQUENCE(COLUMNS(AQ209:BL209)), FALSE), {""charttype"",""column""; ""color"",""chartreuse""; ""ymin"", 0; ""ymax"", 1.01; ""highcolo"&amp;"r"", ""darkgreen""; ""lowcolor"", ""red""}), """")"),"")</f>
        <v/>
      </c>
      <c r="B209" s="17" t="str">
        <f t="shared" si="4"/>
        <v/>
      </c>
      <c r="C209" s="1" t="s">
        <v>995</v>
      </c>
      <c r="D209" s="34" t="str">
        <f>IFERROR(__xludf.DUMMYFUNCTION("IFERROR(GOOGLEFINANCE(C209, ""NAME""))"),"PayPal Holdings Inc")</f>
        <v>PayPal Holdings Inc</v>
      </c>
      <c r="E209" s="30" t="s">
        <v>145</v>
      </c>
      <c r="F209" s="33" t="str">
        <f>IFERROR(__xludf.DUMMYFUNCTION("( (GOOGLEFINANCE(C209, ""price"") - Q209) / Q209 ) / (R209 / 100)"),"Loading...")</f>
        <v>Loading...</v>
      </c>
      <c r="G209" s="20" t="str">
        <f>IFERROR(__xludf.DUMMYFUNCTION("AVERAGE(ARRAYFORMULA(100 * (QUERY(GOOGLEFINANCE(C209, ""high"", TODAY()-40, TODAY()), ""SELECT Col2 WHERE Col2 IS NOT NULL ORDER BY Col1 DESC LIMIT 20"", 0) / QUERY(GOOGLEFINANCE(C209, ""low"", TODAY()-40, TODAY()), ""SELECT Col2 WHERE Col2 IS NOT NULL OR"&amp;"DER BY Col1 DESC LIMIT 20"", 0) - 1)))"),"#N/A")</f>
        <v>#N/A</v>
      </c>
      <c r="H209" s="35" t="str">
        <f t="shared" si="6"/>
        <v/>
      </c>
      <c r="I209" s="36" t="str">
        <f t="shared" si="7"/>
        <v/>
      </c>
      <c r="J209" s="37" t="str">
        <f>IFERROR(__xludf.DUMMYFUNCTION("IFERROR(
  IF(C209="""",, 
    IFERROR(
      GOOGLEFINANCE(C209, ""price"") * GOOGLEFINANCE(C209, ""volumeavg""), 
      GOOGLEFINANCE(C209, ""price"") * AVERAGE(QUERY(GOOGLEFINANCE(C209, ""volume"", TODAY()-40, TODAY()), ""SELECT Col2 WHERE Col2 IS NOT "&amp;"NULL ORDER BY Col1 DESC LIMIT 20"", 0))
    )
  ), 
"""")"),"")</f>
        <v/>
      </c>
      <c r="K209" s="21" t="str">
        <f>IFERROR(__xludf.DUMMYFUNCTION("IFERROR(GOOGLEFINANCE(C209, ""changepct"") / 100, """")"),"")</f>
        <v/>
      </c>
      <c r="L209" s="21" t="str">
        <f>IFERROR(__xludf.DUMMYFUNCTION("IFERROR((GOOGLEFINANCE(C209, ""price"") / INDEX(GOOGLEFINANCE(C209, ""price"", TODAY()-7, TODAY()), 2, 2)) - 1, """")"),"")</f>
        <v/>
      </c>
      <c r="M209" s="21" t="str">
        <f>IFERROR(__xludf.DUMMYFUNCTION("IFERROR((GOOGLEFINANCE(C209, ""price"") / INDEX(GOOGLEFINANCE(C209, ""price"", EDATE(TODAY(), -1), TODAY()), 2, 2)) - 1, """")"),"")</f>
        <v/>
      </c>
      <c r="N209" s="21" t="str">
        <f>IFERROR(__xludf.DUMMYFUNCTION("IFERROR((GOOGLEFINANCE(C209, ""price"") / INDEX(GOOGLEFINANCE(C209, ""price"", EDATE(TODAY(), -3), TODAY()), 2, 2)) - 1, """")"),"")</f>
        <v/>
      </c>
      <c r="O209" s="21" t="str">
        <f>IFERROR(__xludf.DUMMYFUNCTION("IFERROR((GOOGLEFINANCE(C209, ""price"") / INDEX(GOOGLEFINANCE(C209, ""price"", EDATE(TODAY(), -6), TODAY()), 2, 2)) - 1, """")"),"")</f>
        <v/>
      </c>
      <c r="P209" s="21" t="str">
        <f>IFERROR(__xludf.DUMMYFUNCTION("IFERROR((GOOGLEFINANCE(C209, ""price"") / INDEX(GOOGLEFINANCE(C209, ""price"", EDATE(TODAY(), -12), TODAY()), 2, 2)) - 1, """")"),"")</f>
        <v/>
      </c>
      <c r="Q209" s="6" t="str">
        <f>IFERROR(__xludf.DUMMYFUNCTION("AVERAGE(QUERY(GOOGLEFINANCE(C209, ""price"", TODAY()-80, TODAY()), ""SELECT Col2 WHERE Col2 IS NOT NULL ORDER BY Col1 DESC LIMIT 50"", 0))"),"#N/A")</f>
        <v>#N/A</v>
      </c>
      <c r="R209" s="24" t="str">
        <f>IFERROR(__xludf.DUMMYFUNCTION("IFERROR(
  LET(
    data, QUERY(GOOGLEFINANCE(C209,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GOOGLEFINANCE(C209, ""price"")) * 100,
    IF(calc=0, G209, calc)
  ), 
G209)"),"#N/A")</f>
        <v>#N/A</v>
      </c>
      <c r="S209" s="8" t="s">
        <v>15</v>
      </c>
      <c r="T209" s="26" t="str">
        <f>IFERROR(__xludf.DUMMYFUNCTION("IFERROR(TRANSPOSE(QUERY(IFERROR(SORT(GOOGLEFINANCE(C209, ""price"", WORKDAY(TODAY(), -40), TODAY()), 1, FALSE)), ""select Col2 where Col2 is not null limit 22 label Col2 ''"", 0)), """")"),"")</f>
        <v/>
      </c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8"/>
      <c r="AO209" s="28"/>
      <c r="AP209" s="29"/>
      <c r="AQ209" s="29" t="str">
        <f t="shared" ref="AQ209:BL209" si="212">T209/T$2</f>
        <v>#N/A</v>
      </c>
      <c r="AR209" s="29" t="str">
        <f t="shared" si="212"/>
        <v>#DIV/0!</v>
      </c>
      <c r="AS209" s="29" t="str">
        <f t="shared" si="212"/>
        <v>#DIV/0!</v>
      </c>
      <c r="AT209" s="29" t="str">
        <f t="shared" si="212"/>
        <v>#DIV/0!</v>
      </c>
      <c r="AU209" s="29" t="str">
        <f t="shared" si="212"/>
        <v>#DIV/0!</v>
      </c>
      <c r="AV209" s="29" t="str">
        <f t="shared" si="212"/>
        <v>#DIV/0!</v>
      </c>
      <c r="AW209" s="29" t="str">
        <f t="shared" si="212"/>
        <v>#DIV/0!</v>
      </c>
      <c r="AX209" s="29" t="str">
        <f t="shared" si="212"/>
        <v>#DIV/0!</v>
      </c>
      <c r="AY209" s="29" t="str">
        <f t="shared" si="212"/>
        <v>#DIV/0!</v>
      </c>
      <c r="AZ209" s="29" t="str">
        <f t="shared" si="212"/>
        <v>#DIV/0!</v>
      </c>
      <c r="BA209" s="29" t="str">
        <f t="shared" si="212"/>
        <v>#DIV/0!</v>
      </c>
      <c r="BB209" s="29" t="str">
        <f t="shared" si="212"/>
        <v>#DIV/0!</v>
      </c>
      <c r="BC209" s="29" t="str">
        <f t="shared" si="212"/>
        <v>#DIV/0!</v>
      </c>
      <c r="BD209" s="29" t="str">
        <f t="shared" si="212"/>
        <v>#DIV/0!</v>
      </c>
      <c r="BE209" s="29" t="str">
        <f t="shared" si="212"/>
        <v>#DIV/0!</v>
      </c>
      <c r="BF209" s="29" t="str">
        <f t="shared" si="212"/>
        <v>#DIV/0!</v>
      </c>
      <c r="BG209" s="29" t="str">
        <f t="shared" si="212"/>
        <v>#DIV/0!</v>
      </c>
      <c r="BH209" s="29" t="str">
        <f t="shared" si="212"/>
        <v>#DIV/0!</v>
      </c>
      <c r="BI209" s="29" t="str">
        <f t="shared" si="212"/>
        <v>#DIV/0!</v>
      </c>
      <c r="BJ209" s="29" t="str">
        <f t="shared" si="212"/>
        <v>#DIV/0!</v>
      </c>
      <c r="BK209" s="29" t="str">
        <f t="shared" si="212"/>
        <v>#DIV/0!</v>
      </c>
      <c r="BL209" s="29" t="str">
        <f t="shared" si="212"/>
        <v>#DIV/0!</v>
      </c>
      <c r="BM209" s="29" t="str">
        <f t="shared" si="3"/>
        <v>#DIV/0!</v>
      </c>
    </row>
    <row r="210">
      <c r="A210" s="16" t="str">
        <f>IFERROR(__xludf.DUMMYFUNCTION("IFERROR(SPARKLINE(SORT(MAP(TRANSPOSE(AQ210:BL210), LAMBDA(val, IF(ISNUMBER(val), PERCENTRANK(AQ210:BL210, val)+0.01, 0))), SEQUENCE(COLUMNS(AQ210:BL210)), FALSE), {""charttype"",""column""; ""color"",""chartreuse""; ""ymin"", 0; ""ymax"", 1.01; ""highcolo"&amp;"r"", ""darkgreen""; ""lowcolor"", ""red""}), """")"),"")</f>
        <v/>
      </c>
      <c r="B210" s="17" t="str">
        <f t="shared" si="4"/>
        <v/>
      </c>
      <c r="C210" s="1" t="s">
        <v>999</v>
      </c>
      <c r="D210" s="34" t="str">
        <f>IFERROR(__xludf.DUMMYFUNCTION("IFERROR(GOOGLEFINANCE(C210, ""NAME""))"),"CME Group Inc")</f>
        <v>CME Group Inc</v>
      </c>
      <c r="E210" s="30" t="s">
        <v>54</v>
      </c>
      <c r="F210" s="33" t="str">
        <f>IFERROR(__xludf.DUMMYFUNCTION("( (GOOGLEFINANCE(C210, ""price"") - Q210) / Q210 ) / (R210 / 100)"),"Loading...")</f>
        <v>Loading...</v>
      </c>
      <c r="G210" s="20" t="str">
        <f>IFERROR(__xludf.DUMMYFUNCTION("AVERAGE(ARRAYFORMULA(100 * (QUERY(GOOGLEFINANCE(C210, ""high"", TODAY()-40, TODAY()), ""SELECT Col2 WHERE Col2 IS NOT NULL ORDER BY Col1 DESC LIMIT 20"", 0) / QUERY(GOOGLEFINANCE(C210, ""low"", TODAY()-40, TODAY()), ""SELECT Col2 WHERE Col2 IS NOT NULL OR"&amp;"DER BY Col1 DESC LIMIT 20"", 0) - 1)))"),"#N/A")</f>
        <v>#N/A</v>
      </c>
      <c r="H210" s="35" t="str">
        <f t="shared" si="6"/>
        <v/>
      </c>
      <c r="I210" s="36" t="str">
        <f t="shared" si="7"/>
        <v/>
      </c>
      <c r="J210" s="37" t="str">
        <f>IFERROR(__xludf.DUMMYFUNCTION("IFERROR(
  IF(C210="""",, 
    IFERROR(
      GOOGLEFINANCE(C210, ""price"") * GOOGLEFINANCE(C210, ""volumeavg""), 
      GOOGLEFINANCE(C210, ""price"") * AVERAGE(QUERY(GOOGLEFINANCE(C210, ""volume"", TODAY()-40, TODAY()), ""SELECT Col2 WHERE Col2 IS NOT "&amp;"NULL ORDER BY Col1 DESC LIMIT 20"", 0))
    )
  ), 
"""")"),"")</f>
        <v/>
      </c>
      <c r="K210" s="21" t="str">
        <f>IFERROR(__xludf.DUMMYFUNCTION("IFERROR(GOOGLEFINANCE(C210, ""changepct"") / 100, """")"),"")</f>
        <v/>
      </c>
      <c r="L210" s="21" t="str">
        <f>IFERROR(__xludf.DUMMYFUNCTION("IFERROR((GOOGLEFINANCE(C210, ""price"") / INDEX(GOOGLEFINANCE(C210, ""price"", TODAY()-7, TODAY()), 2, 2)) - 1, """")"),"")</f>
        <v/>
      </c>
      <c r="M210" s="21" t="str">
        <f>IFERROR(__xludf.DUMMYFUNCTION("IFERROR((GOOGLEFINANCE(C210, ""price"") / INDEX(GOOGLEFINANCE(C210, ""price"", EDATE(TODAY(), -1), TODAY()), 2, 2)) - 1, """")"),"")</f>
        <v/>
      </c>
      <c r="N210" s="21" t="str">
        <f>IFERROR(__xludf.DUMMYFUNCTION("IFERROR((GOOGLEFINANCE(C210, ""price"") / INDEX(GOOGLEFINANCE(C210, ""price"", EDATE(TODAY(), -3), TODAY()), 2, 2)) - 1, """")"),"")</f>
        <v/>
      </c>
      <c r="O210" s="21" t="str">
        <f>IFERROR(__xludf.DUMMYFUNCTION("IFERROR((GOOGLEFINANCE(C210, ""price"") / INDEX(GOOGLEFINANCE(C210, ""price"", EDATE(TODAY(), -6), TODAY()), 2, 2)) - 1, """")"),"")</f>
        <v/>
      </c>
      <c r="P210" s="21" t="str">
        <f>IFERROR(__xludf.DUMMYFUNCTION("IFERROR((GOOGLEFINANCE(C210, ""price"") / INDEX(GOOGLEFINANCE(C210, ""price"", EDATE(TODAY(), -12), TODAY()), 2, 2)) - 1, """")"),"")</f>
        <v/>
      </c>
      <c r="Q210" s="6" t="str">
        <f>IFERROR(__xludf.DUMMYFUNCTION("AVERAGE(QUERY(GOOGLEFINANCE(C210, ""price"", TODAY()-80, TODAY()), ""SELECT Col2 WHERE Col2 IS NOT NULL ORDER BY Col1 DESC LIMIT 50"", 0))"),"#N/A")</f>
        <v>#N/A</v>
      </c>
      <c r="R210" s="24" t="str">
        <f>IFERROR(__xludf.DUMMYFUNCTION("IFERROR(
  LET(
    data, QUERY(GOOGLEFINANCE(C210,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GOOGLEFINANCE(C210, ""price"")) * 100,
    IF(calc=0, G210, calc)
  ), 
G210)"),"#N/A")</f>
        <v>#N/A</v>
      </c>
      <c r="S210" s="8" t="s">
        <v>15</v>
      </c>
      <c r="T210" s="26" t="str">
        <f>IFERROR(__xludf.DUMMYFUNCTION("IFERROR(TRANSPOSE(QUERY(IFERROR(SORT(GOOGLEFINANCE(C210, ""price"", WORKDAY(TODAY(), -40), TODAY()), 1, FALSE)), ""select Col2 where Col2 is not null limit 22 label Col2 ''"", 0)), """")"),"")</f>
        <v/>
      </c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8"/>
      <c r="AO210" s="28"/>
      <c r="AP210" s="29"/>
      <c r="AQ210" s="29" t="str">
        <f t="shared" ref="AQ210:BL210" si="213">T210/T$2</f>
        <v>#N/A</v>
      </c>
      <c r="AR210" s="29" t="str">
        <f t="shared" si="213"/>
        <v>#DIV/0!</v>
      </c>
      <c r="AS210" s="29" t="str">
        <f t="shared" si="213"/>
        <v>#DIV/0!</v>
      </c>
      <c r="AT210" s="29" t="str">
        <f t="shared" si="213"/>
        <v>#DIV/0!</v>
      </c>
      <c r="AU210" s="29" t="str">
        <f t="shared" si="213"/>
        <v>#DIV/0!</v>
      </c>
      <c r="AV210" s="29" t="str">
        <f t="shared" si="213"/>
        <v>#DIV/0!</v>
      </c>
      <c r="AW210" s="29" t="str">
        <f t="shared" si="213"/>
        <v>#DIV/0!</v>
      </c>
      <c r="AX210" s="29" t="str">
        <f t="shared" si="213"/>
        <v>#DIV/0!</v>
      </c>
      <c r="AY210" s="29" t="str">
        <f t="shared" si="213"/>
        <v>#DIV/0!</v>
      </c>
      <c r="AZ210" s="29" t="str">
        <f t="shared" si="213"/>
        <v>#DIV/0!</v>
      </c>
      <c r="BA210" s="29" t="str">
        <f t="shared" si="213"/>
        <v>#DIV/0!</v>
      </c>
      <c r="BB210" s="29" t="str">
        <f t="shared" si="213"/>
        <v>#DIV/0!</v>
      </c>
      <c r="BC210" s="29" t="str">
        <f t="shared" si="213"/>
        <v>#DIV/0!</v>
      </c>
      <c r="BD210" s="29" t="str">
        <f t="shared" si="213"/>
        <v>#DIV/0!</v>
      </c>
      <c r="BE210" s="29" t="str">
        <f t="shared" si="213"/>
        <v>#DIV/0!</v>
      </c>
      <c r="BF210" s="29" t="str">
        <f t="shared" si="213"/>
        <v>#DIV/0!</v>
      </c>
      <c r="BG210" s="29" t="str">
        <f t="shared" si="213"/>
        <v>#DIV/0!</v>
      </c>
      <c r="BH210" s="29" t="str">
        <f t="shared" si="213"/>
        <v>#DIV/0!</v>
      </c>
      <c r="BI210" s="29" t="str">
        <f t="shared" si="213"/>
        <v>#DIV/0!</v>
      </c>
      <c r="BJ210" s="29" t="str">
        <f t="shared" si="213"/>
        <v>#DIV/0!</v>
      </c>
      <c r="BK210" s="29" t="str">
        <f t="shared" si="213"/>
        <v>#DIV/0!</v>
      </c>
      <c r="BL210" s="29" t="str">
        <f t="shared" si="213"/>
        <v>#DIV/0!</v>
      </c>
      <c r="BM210" s="29" t="str">
        <f t="shared" si="3"/>
        <v>#DIV/0!</v>
      </c>
    </row>
    <row r="211">
      <c r="A211" s="16" t="str">
        <f>IFERROR(__xludf.DUMMYFUNCTION("IFERROR(SPARKLINE(SORT(MAP(TRANSPOSE(AQ211:BL211), LAMBDA(val, IF(ISNUMBER(val), PERCENTRANK(AQ211:BL211, val)+0.01, 0))), SEQUENCE(COLUMNS(AQ211:BL211)), FALSE), {""charttype"",""column""; ""color"",""chartreuse""; ""ymin"", 0; ""ymax"", 1.01; ""highcolo"&amp;"r"", ""darkgreen""; ""lowcolor"", ""red""}), """")"),"")</f>
        <v/>
      </c>
      <c r="B211" s="17" t="str">
        <f t="shared" si="4"/>
        <v/>
      </c>
      <c r="C211" s="1" t="s">
        <v>1004</v>
      </c>
      <c r="D211" s="34" t="str">
        <f>IFERROR(__xludf.DUMMYFUNCTION("IFERROR(GOOGLEFINANCE(C211, ""NAME""))"),"S&amp;P Global Inc")</f>
        <v>S&amp;P Global Inc</v>
      </c>
      <c r="E211" s="30" t="s">
        <v>54</v>
      </c>
      <c r="F211" s="33" t="str">
        <f>IFERROR(__xludf.DUMMYFUNCTION("( (GOOGLEFINANCE(C211, ""price"") - Q211) / Q211 ) / (R211 / 100)"),"Loading...")</f>
        <v>Loading...</v>
      </c>
      <c r="G211" s="20" t="str">
        <f>IFERROR(__xludf.DUMMYFUNCTION("AVERAGE(ARRAYFORMULA(100 * (QUERY(GOOGLEFINANCE(C211, ""high"", TODAY()-40, TODAY()), ""SELECT Col2 WHERE Col2 IS NOT NULL ORDER BY Col1 DESC LIMIT 20"", 0) / QUERY(GOOGLEFINANCE(C211, ""low"", TODAY()-40, TODAY()), ""SELECT Col2 WHERE Col2 IS NOT NULL OR"&amp;"DER BY Col1 DESC LIMIT 20"", 0) - 1)))"),"#N/A")</f>
        <v>#N/A</v>
      </c>
      <c r="H211" s="35" t="str">
        <f t="shared" si="6"/>
        <v/>
      </c>
      <c r="I211" s="36" t="str">
        <f t="shared" si="7"/>
        <v/>
      </c>
      <c r="J211" s="37" t="str">
        <f>IFERROR(__xludf.DUMMYFUNCTION("IFERROR(
  IF(C211="""",, 
    IFERROR(
      GOOGLEFINANCE(C211, ""price"") * GOOGLEFINANCE(C211, ""volumeavg""), 
      GOOGLEFINANCE(C211, ""price"") * AVERAGE(QUERY(GOOGLEFINANCE(C211, ""volume"", TODAY()-40, TODAY()), ""SELECT Col2 WHERE Col2 IS NOT "&amp;"NULL ORDER BY Col1 DESC LIMIT 20"", 0))
    )
  ), 
"""")"),"")</f>
        <v/>
      </c>
      <c r="K211" s="21" t="str">
        <f>IFERROR(__xludf.DUMMYFUNCTION("IFERROR(GOOGLEFINANCE(C211, ""changepct"") / 100, """")"),"")</f>
        <v/>
      </c>
      <c r="L211" s="21" t="str">
        <f>IFERROR(__xludf.DUMMYFUNCTION("IFERROR((GOOGLEFINANCE(C211, ""price"") / INDEX(GOOGLEFINANCE(C211, ""price"", TODAY()-7, TODAY()), 2, 2)) - 1, """")"),"")</f>
        <v/>
      </c>
      <c r="M211" s="21" t="str">
        <f>IFERROR(__xludf.DUMMYFUNCTION("IFERROR((GOOGLEFINANCE(C211, ""price"") / INDEX(GOOGLEFINANCE(C211, ""price"", EDATE(TODAY(), -1), TODAY()), 2, 2)) - 1, """")"),"")</f>
        <v/>
      </c>
      <c r="N211" s="21" t="str">
        <f>IFERROR(__xludf.DUMMYFUNCTION("IFERROR((GOOGLEFINANCE(C211, ""price"") / INDEX(GOOGLEFINANCE(C211, ""price"", EDATE(TODAY(), -3), TODAY()), 2, 2)) - 1, """")"),"")</f>
        <v/>
      </c>
      <c r="O211" s="21" t="str">
        <f>IFERROR(__xludf.DUMMYFUNCTION("IFERROR((GOOGLEFINANCE(C211, ""price"") / INDEX(GOOGLEFINANCE(C211, ""price"", EDATE(TODAY(), -6), TODAY()), 2, 2)) - 1, """")"),"")</f>
        <v/>
      </c>
      <c r="P211" s="21" t="str">
        <f>IFERROR(__xludf.DUMMYFUNCTION("IFERROR((GOOGLEFINANCE(C211, ""price"") / INDEX(GOOGLEFINANCE(C211, ""price"", EDATE(TODAY(), -12), TODAY()), 2, 2)) - 1, """")"),"")</f>
        <v/>
      </c>
      <c r="Q211" s="6" t="str">
        <f>IFERROR(__xludf.DUMMYFUNCTION("AVERAGE(QUERY(GOOGLEFINANCE(C211, ""price"", TODAY()-80, TODAY()), ""SELECT Col2 WHERE Col2 IS NOT NULL ORDER BY Col1 DESC LIMIT 50"", 0))"),"#N/A")</f>
        <v>#N/A</v>
      </c>
      <c r="R211" s="24" t="str">
        <f>IFERROR(__xludf.DUMMYFUNCTION("IFERROR(
  LET(
    data, QUERY(GOOGLEFINANCE(C211,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GOOGLEFINANCE(C211, ""price"")) * 100,
    IF(calc=0, G211, calc)
  ), 
G211)"),"#N/A")</f>
        <v>#N/A</v>
      </c>
      <c r="S211" s="8" t="s">
        <v>15</v>
      </c>
      <c r="T211" s="26" t="str">
        <f>IFERROR(__xludf.DUMMYFUNCTION("IFERROR(TRANSPOSE(QUERY(IFERROR(SORT(GOOGLEFINANCE(C211, ""price"", WORKDAY(TODAY(), -40), TODAY()), 1, FALSE)), ""select Col2 where Col2 is not null limit 22 label Col2 ''"", 0)), """")"),"")</f>
        <v/>
      </c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8"/>
      <c r="AO211" s="28"/>
      <c r="AP211" s="29"/>
      <c r="AQ211" s="29" t="str">
        <f t="shared" ref="AQ211:BL211" si="214">T211/T$2</f>
        <v>#N/A</v>
      </c>
      <c r="AR211" s="29" t="str">
        <f t="shared" si="214"/>
        <v>#DIV/0!</v>
      </c>
      <c r="AS211" s="29" t="str">
        <f t="shared" si="214"/>
        <v>#DIV/0!</v>
      </c>
      <c r="AT211" s="29" t="str">
        <f t="shared" si="214"/>
        <v>#DIV/0!</v>
      </c>
      <c r="AU211" s="29" t="str">
        <f t="shared" si="214"/>
        <v>#DIV/0!</v>
      </c>
      <c r="AV211" s="29" t="str">
        <f t="shared" si="214"/>
        <v>#DIV/0!</v>
      </c>
      <c r="AW211" s="29" t="str">
        <f t="shared" si="214"/>
        <v>#DIV/0!</v>
      </c>
      <c r="AX211" s="29" t="str">
        <f t="shared" si="214"/>
        <v>#DIV/0!</v>
      </c>
      <c r="AY211" s="29" t="str">
        <f t="shared" si="214"/>
        <v>#DIV/0!</v>
      </c>
      <c r="AZ211" s="29" t="str">
        <f t="shared" si="214"/>
        <v>#DIV/0!</v>
      </c>
      <c r="BA211" s="29" t="str">
        <f t="shared" si="214"/>
        <v>#DIV/0!</v>
      </c>
      <c r="BB211" s="29" t="str">
        <f t="shared" si="214"/>
        <v>#DIV/0!</v>
      </c>
      <c r="BC211" s="29" t="str">
        <f t="shared" si="214"/>
        <v>#DIV/0!</v>
      </c>
      <c r="BD211" s="29" t="str">
        <f t="shared" si="214"/>
        <v>#DIV/0!</v>
      </c>
      <c r="BE211" s="29" t="str">
        <f t="shared" si="214"/>
        <v>#DIV/0!</v>
      </c>
      <c r="BF211" s="29" t="str">
        <f t="shared" si="214"/>
        <v>#DIV/0!</v>
      </c>
      <c r="BG211" s="29" t="str">
        <f t="shared" si="214"/>
        <v>#DIV/0!</v>
      </c>
      <c r="BH211" s="29" t="str">
        <f t="shared" si="214"/>
        <v>#DIV/0!</v>
      </c>
      <c r="BI211" s="29" t="str">
        <f t="shared" si="214"/>
        <v>#DIV/0!</v>
      </c>
      <c r="BJ211" s="29" t="str">
        <f t="shared" si="214"/>
        <v>#DIV/0!</v>
      </c>
      <c r="BK211" s="29" t="str">
        <f t="shared" si="214"/>
        <v>#DIV/0!</v>
      </c>
      <c r="BL211" s="29" t="str">
        <f t="shared" si="214"/>
        <v>#DIV/0!</v>
      </c>
      <c r="BM211" s="29" t="str">
        <f t="shared" si="3"/>
        <v>#DIV/0!</v>
      </c>
    </row>
    <row r="212">
      <c r="A212" s="16" t="str">
        <f>IFERROR(__xludf.DUMMYFUNCTION("IFERROR(SPARKLINE(SORT(MAP(TRANSPOSE(AQ212:BL212), LAMBDA(val, IF(ISNUMBER(val), PERCENTRANK(AQ212:BL212, val)+0.01, 0))), SEQUENCE(COLUMNS(AQ212:BL212)), FALSE), {""charttype"",""column""; ""color"",""chartreuse""; ""ymin"", 0; ""ymax"", 1.01; ""highcolo"&amp;"r"", ""darkgreen""; ""lowcolor"", ""red""}), """")"),"")</f>
        <v/>
      </c>
      <c r="B212" s="17" t="str">
        <f t="shared" si="4"/>
        <v/>
      </c>
      <c r="C212" s="1" t="s">
        <v>1008</v>
      </c>
      <c r="D212" s="34" t="str">
        <f>IFERROR(__xludf.DUMMYFUNCTION("IFERROR(GOOGLEFINANCE(C212, ""NAME""))"),"Arch Capital Group Ltd")</f>
        <v>Arch Capital Group Ltd</v>
      </c>
      <c r="E212" s="30" t="s">
        <v>434</v>
      </c>
      <c r="F212" s="33" t="str">
        <f>IFERROR(__xludf.DUMMYFUNCTION("( (GOOGLEFINANCE(C212, ""price"") - Q212) / Q212 ) / (R212 / 100)"),"Loading...")</f>
        <v>Loading...</v>
      </c>
      <c r="G212" s="20" t="str">
        <f>IFERROR(__xludf.DUMMYFUNCTION("AVERAGE(ARRAYFORMULA(100 * (QUERY(GOOGLEFINANCE(C212, ""high"", TODAY()-40, TODAY()), ""SELECT Col2 WHERE Col2 IS NOT NULL ORDER BY Col1 DESC LIMIT 20"", 0) / QUERY(GOOGLEFINANCE(C212, ""low"", TODAY()-40, TODAY()), ""SELECT Col2 WHERE Col2 IS NOT NULL OR"&amp;"DER BY Col1 DESC LIMIT 20"", 0) - 1)))"),"#N/A")</f>
        <v>#N/A</v>
      </c>
      <c r="H212" s="35" t="str">
        <f t="shared" si="6"/>
        <v/>
      </c>
      <c r="I212" s="36" t="str">
        <f t="shared" si="7"/>
        <v/>
      </c>
      <c r="J212" s="37" t="str">
        <f>IFERROR(__xludf.DUMMYFUNCTION("IFERROR(
  IF(C212="""",, 
    IFERROR(
      GOOGLEFINANCE(C212, ""price"") * GOOGLEFINANCE(C212, ""volumeavg""), 
      GOOGLEFINANCE(C212, ""price"") * AVERAGE(QUERY(GOOGLEFINANCE(C212, ""volume"", TODAY()-40, TODAY()), ""SELECT Col2 WHERE Col2 IS NOT "&amp;"NULL ORDER BY Col1 DESC LIMIT 20"", 0))
    )
  ), 
"""")"),"")</f>
        <v/>
      </c>
      <c r="K212" s="21" t="str">
        <f>IFERROR(__xludf.DUMMYFUNCTION("IFERROR(GOOGLEFINANCE(C212, ""changepct"") / 100, """")"),"")</f>
        <v/>
      </c>
      <c r="L212" s="21" t="str">
        <f>IFERROR(__xludf.DUMMYFUNCTION("IFERROR((GOOGLEFINANCE(C212, ""price"") / INDEX(GOOGLEFINANCE(C212, ""price"", TODAY()-7, TODAY()), 2, 2)) - 1, """")"),"")</f>
        <v/>
      </c>
      <c r="M212" s="21" t="str">
        <f>IFERROR(__xludf.DUMMYFUNCTION("IFERROR((GOOGLEFINANCE(C212, ""price"") / INDEX(GOOGLEFINANCE(C212, ""price"", EDATE(TODAY(), -1), TODAY()), 2, 2)) - 1, """")"),"")</f>
        <v/>
      </c>
      <c r="N212" s="21" t="str">
        <f>IFERROR(__xludf.DUMMYFUNCTION("IFERROR((GOOGLEFINANCE(C212, ""price"") / INDEX(GOOGLEFINANCE(C212, ""price"", EDATE(TODAY(), -3), TODAY()), 2, 2)) - 1, """")"),"")</f>
        <v/>
      </c>
      <c r="O212" s="21" t="str">
        <f>IFERROR(__xludf.DUMMYFUNCTION("IFERROR((GOOGLEFINANCE(C212, ""price"") / INDEX(GOOGLEFINANCE(C212, ""price"", EDATE(TODAY(), -6), TODAY()), 2, 2)) - 1, """")"),"")</f>
        <v/>
      </c>
      <c r="P212" s="21" t="str">
        <f>IFERROR(__xludf.DUMMYFUNCTION("IFERROR((GOOGLEFINANCE(C212, ""price"") / INDEX(GOOGLEFINANCE(C212, ""price"", EDATE(TODAY(), -12), TODAY()), 2, 2)) - 1, """")"),"")</f>
        <v/>
      </c>
      <c r="Q212" s="6" t="str">
        <f>IFERROR(__xludf.DUMMYFUNCTION("AVERAGE(QUERY(GOOGLEFINANCE(C212, ""price"", TODAY()-80, TODAY()), ""SELECT Col2 WHERE Col2 IS NOT NULL ORDER BY Col1 DESC LIMIT 50"", 0))"),"#N/A")</f>
        <v>#N/A</v>
      </c>
      <c r="R212" s="24" t="str">
        <f>IFERROR(__xludf.DUMMYFUNCTION("IFERROR(
  LET(
    data, QUERY(GOOGLEFINANCE(C212,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GOOGLEFINANCE(C212, ""price"")) * 100,
    IF(calc=0, G212, calc)
  ), 
G212)"),"#N/A")</f>
        <v>#N/A</v>
      </c>
      <c r="S212" s="8" t="s">
        <v>15</v>
      </c>
      <c r="T212" s="26" t="str">
        <f>IFERROR(__xludf.DUMMYFUNCTION("IFERROR(TRANSPOSE(QUERY(IFERROR(SORT(GOOGLEFINANCE(C212, ""price"", WORKDAY(TODAY(), -40), TODAY()), 1, FALSE)), ""select Col2 where Col2 is not null limit 22 label Col2 ''"", 0)), """")"),"")</f>
        <v/>
      </c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8"/>
      <c r="AO212" s="28"/>
      <c r="AP212" s="29"/>
      <c r="AQ212" s="29" t="str">
        <f t="shared" ref="AQ212:BL212" si="215">T212/T$2</f>
        <v>#N/A</v>
      </c>
      <c r="AR212" s="29" t="str">
        <f t="shared" si="215"/>
        <v>#DIV/0!</v>
      </c>
      <c r="AS212" s="29" t="str">
        <f t="shared" si="215"/>
        <v>#DIV/0!</v>
      </c>
      <c r="AT212" s="29" t="str">
        <f t="shared" si="215"/>
        <v>#DIV/0!</v>
      </c>
      <c r="AU212" s="29" t="str">
        <f t="shared" si="215"/>
        <v>#DIV/0!</v>
      </c>
      <c r="AV212" s="29" t="str">
        <f t="shared" si="215"/>
        <v>#DIV/0!</v>
      </c>
      <c r="AW212" s="29" t="str">
        <f t="shared" si="215"/>
        <v>#DIV/0!</v>
      </c>
      <c r="AX212" s="29" t="str">
        <f t="shared" si="215"/>
        <v>#DIV/0!</v>
      </c>
      <c r="AY212" s="29" t="str">
        <f t="shared" si="215"/>
        <v>#DIV/0!</v>
      </c>
      <c r="AZ212" s="29" t="str">
        <f t="shared" si="215"/>
        <v>#DIV/0!</v>
      </c>
      <c r="BA212" s="29" t="str">
        <f t="shared" si="215"/>
        <v>#DIV/0!</v>
      </c>
      <c r="BB212" s="29" t="str">
        <f t="shared" si="215"/>
        <v>#DIV/0!</v>
      </c>
      <c r="BC212" s="29" t="str">
        <f t="shared" si="215"/>
        <v>#DIV/0!</v>
      </c>
      <c r="BD212" s="29" t="str">
        <f t="shared" si="215"/>
        <v>#DIV/0!</v>
      </c>
      <c r="BE212" s="29" t="str">
        <f t="shared" si="215"/>
        <v>#DIV/0!</v>
      </c>
      <c r="BF212" s="29" t="str">
        <f t="shared" si="215"/>
        <v>#DIV/0!</v>
      </c>
      <c r="BG212" s="29" t="str">
        <f t="shared" si="215"/>
        <v>#DIV/0!</v>
      </c>
      <c r="BH212" s="29" t="str">
        <f t="shared" si="215"/>
        <v>#DIV/0!</v>
      </c>
      <c r="BI212" s="29" t="str">
        <f t="shared" si="215"/>
        <v>#DIV/0!</v>
      </c>
      <c r="BJ212" s="29" t="str">
        <f t="shared" si="215"/>
        <v>#DIV/0!</v>
      </c>
      <c r="BK212" s="29" t="str">
        <f t="shared" si="215"/>
        <v>#DIV/0!</v>
      </c>
      <c r="BL212" s="29" t="str">
        <f t="shared" si="215"/>
        <v>#DIV/0!</v>
      </c>
      <c r="BM212" s="29" t="str">
        <f t="shared" si="3"/>
        <v>#DIV/0!</v>
      </c>
    </row>
    <row r="213">
      <c r="A213" s="16" t="str">
        <f>IFERROR(__xludf.DUMMYFUNCTION("IFERROR(SPARKLINE(SORT(MAP(TRANSPOSE(AQ213:BL213), LAMBDA(val, IF(ISNUMBER(val), PERCENTRANK(AQ213:BL213, val)+0.01, 0))), SEQUENCE(COLUMNS(AQ213:BL213)), FALSE), {""charttype"",""column""; ""color"",""chartreuse""; ""ymin"", 0; ""ymax"", 1.01; ""highcolo"&amp;"r"", ""darkgreen""; ""lowcolor"", ""red""}), """")"),"")</f>
        <v/>
      </c>
      <c r="B213" s="17" t="str">
        <f t="shared" si="4"/>
        <v/>
      </c>
      <c r="C213" s="1" t="s">
        <v>1013</v>
      </c>
      <c r="D213" s="34" t="str">
        <f>IFERROR(__xludf.DUMMYFUNCTION("IFERROR(GOOGLEFINANCE(C213, ""NAME""))"),"Hartford Insurance Group Inc")</f>
        <v>Hartford Insurance Group Inc</v>
      </c>
      <c r="E213" s="30" t="s">
        <v>434</v>
      </c>
      <c r="F213" s="33" t="str">
        <f>IFERROR(__xludf.DUMMYFUNCTION("( (GOOGLEFINANCE(C213, ""price"") - Q213) / Q213 ) / (R213 / 100)"),"Loading...")</f>
        <v>Loading...</v>
      </c>
      <c r="G213" s="20" t="str">
        <f>IFERROR(__xludf.DUMMYFUNCTION("AVERAGE(ARRAYFORMULA(100 * (QUERY(GOOGLEFINANCE(C213, ""high"", TODAY()-40, TODAY()), ""SELECT Col2 WHERE Col2 IS NOT NULL ORDER BY Col1 DESC LIMIT 20"", 0) / QUERY(GOOGLEFINANCE(C213, ""low"", TODAY()-40, TODAY()), ""SELECT Col2 WHERE Col2 IS NOT NULL OR"&amp;"DER BY Col1 DESC LIMIT 20"", 0) - 1)))"),"#N/A")</f>
        <v>#N/A</v>
      </c>
      <c r="H213" s="35" t="str">
        <f t="shared" si="6"/>
        <v/>
      </c>
      <c r="I213" s="36" t="str">
        <f t="shared" si="7"/>
        <v/>
      </c>
      <c r="J213" s="37" t="str">
        <f>IFERROR(__xludf.DUMMYFUNCTION("IFERROR(
  IF(C213="""",, 
    IFERROR(
      GOOGLEFINANCE(C213, ""price"") * GOOGLEFINANCE(C213, ""volumeavg""), 
      GOOGLEFINANCE(C213, ""price"") * AVERAGE(QUERY(GOOGLEFINANCE(C213, ""volume"", TODAY()-40, TODAY()), ""SELECT Col2 WHERE Col2 IS NOT "&amp;"NULL ORDER BY Col1 DESC LIMIT 20"", 0))
    )
  ), 
"""")"),"")</f>
        <v/>
      </c>
      <c r="K213" s="21" t="str">
        <f>IFERROR(__xludf.DUMMYFUNCTION("IFERROR(GOOGLEFINANCE(C213, ""changepct"") / 100, """")"),"")</f>
        <v/>
      </c>
      <c r="L213" s="21" t="str">
        <f>IFERROR(__xludf.DUMMYFUNCTION("IFERROR((GOOGLEFINANCE(C213, ""price"") / INDEX(GOOGLEFINANCE(C213, ""price"", TODAY()-7, TODAY()), 2, 2)) - 1, """")"),"")</f>
        <v/>
      </c>
      <c r="M213" s="21" t="str">
        <f>IFERROR(__xludf.DUMMYFUNCTION("IFERROR((GOOGLEFINANCE(C213, ""price"") / INDEX(GOOGLEFINANCE(C213, ""price"", EDATE(TODAY(), -1), TODAY()), 2, 2)) - 1, """")"),"")</f>
        <v/>
      </c>
      <c r="N213" s="21" t="str">
        <f>IFERROR(__xludf.DUMMYFUNCTION("IFERROR((GOOGLEFINANCE(C213, ""price"") / INDEX(GOOGLEFINANCE(C213, ""price"", EDATE(TODAY(), -3), TODAY()), 2, 2)) - 1, """")"),"")</f>
        <v/>
      </c>
      <c r="O213" s="21" t="str">
        <f>IFERROR(__xludf.DUMMYFUNCTION("IFERROR((GOOGLEFINANCE(C213, ""price"") / INDEX(GOOGLEFINANCE(C213, ""price"", EDATE(TODAY(), -6), TODAY()), 2, 2)) - 1, """")"),"")</f>
        <v/>
      </c>
      <c r="P213" s="21" t="str">
        <f>IFERROR(__xludf.DUMMYFUNCTION("IFERROR((GOOGLEFINANCE(C213, ""price"") / INDEX(GOOGLEFINANCE(C213, ""price"", EDATE(TODAY(), -12), TODAY()), 2, 2)) - 1, """")"),"")</f>
        <v/>
      </c>
      <c r="Q213" s="6" t="str">
        <f>IFERROR(__xludf.DUMMYFUNCTION("AVERAGE(QUERY(GOOGLEFINANCE(C213, ""price"", TODAY()-80, TODAY()), ""SELECT Col2 WHERE Col2 IS NOT NULL ORDER BY Col1 DESC LIMIT 50"", 0))"),"#N/A")</f>
        <v>#N/A</v>
      </c>
      <c r="R213" s="24" t="str">
        <f>IFERROR(__xludf.DUMMYFUNCTION("IFERROR(
  LET(
    data, QUERY(GOOGLEFINANCE(C213,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GOOGLEFINANCE(C213, ""price"")) * 100,
    IF(calc=0, G213, calc)
  ), 
G213)"),"#N/A")</f>
        <v>#N/A</v>
      </c>
      <c r="S213" s="8" t="s">
        <v>15</v>
      </c>
      <c r="T213" s="26" t="str">
        <f>IFERROR(__xludf.DUMMYFUNCTION("IFERROR(TRANSPOSE(QUERY(IFERROR(SORT(GOOGLEFINANCE(C213, ""price"", WORKDAY(TODAY(), -40), TODAY()), 1, FALSE)), ""select Col2 where Col2 is not null limit 22 label Col2 ''"", 0)), """")"),"")</f>
        <v/>
      </c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8"/>
      <c r="AO213" s="28"/>
      <c r="AP213" s="29"/>
      <c r="AQ213" s="29" t="str">
        <f t="shared" ref="AQ213:BL213" si="216">T213/T$2</f>
        <v>#N/A</v>
      </c>
      <c r="AR213" s="29" t="str">
        <f t="shared" si="216"/>
        <v>#DIV/0!</v>
      </c>
      <c r="AS213" s="29" t="str">
        <f t="shared" si="216"/>
        <v>#DIV/0!</v>
      </c>
      <c r="AT213" s="29" t="str">
        <f t="shared" si="216"/>
        <v>#DIV/0!</v>
      </c>
      <c r="AU213" s="29" t="str">
        <f t="shared" si="216"/>
        <v>#DIV/0!</v>
      </c>
      <c r="AV213" s="29" t="str">
        <f t="shared" si="216"/>
        <v>#DIV/0!</v>
      </c>
      <c r="AW213" s="29" t="str">
        <f t="shared" si="216"/>
        <v>#DIV/0!</v>
      </c>
      <c r="AX213" s="29" t="str">
        <f t="shared" si="216"/>
        <v>#DIV/0!</v>
      </c>
      <c r="AY213" s="29" t="str">
        <f t="shared" si="216"/>
        <v>#DIV/0!</v>
      </c>
      <c r="AZ213" s="29" t="str">
        <f t="shared" si="216"/>
        <v>#DIV/0!</v>
      </c>
      <c r="BA213" s="29" t="str">
        <f t="shared" si="216"/>
        <v>#DIV/0!</v>
      </c>
      <c r="BB213" s="29" t="str">
        <f t="shared" si="216"/>
        <v>#DIV/0!</v>
      </c>
      <c r="BC213" s="29" t="str">
        <f t="shared" si="216"/>
        <v>#DIV/0!</v>
      </c>
      <c r="BD213" s="29" t="str">
        <f t="shared" si="216"/>
        <v>#DIV/0!</v>
      </c>
      <c r="BE213" s="29" t="str">
        <f t="shared" si="216"/>
        <v>#DIV/0!</v>
      </c>
      <c r="BF213" s="29" t="str">
        <f t="shared" si="216"/>
        <v>#DIV/0!</v>
      </c>
      <c r="BG213" s="29" t="str">
        <f t="shared" si="216"/>
        <v>#DIV/0!</v>
      </c>
      <c r="BH213" s="29" t="str">
        <f t="shared" si="216"/>
        <v>#DIV/0!</v>
      </c>
      <c r="BI213" s="29" t="str">
        <f t="shared" si="216"/>
        <v>#DIV/0!</v>
      </c>
      <c r="BJ213" s="29" t="str">
        <f t="shared" si="216"/>
        <v>#DIV/0!</v>
      </c>
      <c r="BK213" s="29" t="str">
        <f t="shared" si="216"/>
        <v>#DIV/0!</v>
      </c>
      <c r="BL213" s="29" t="str">
        <f t="shared" si="216"/>
        <v>#DIV/0!</v>
      </c>
      <c r="BM213" s="29" t="str">
        <f t="shared" si="3"/>
        <v>#DIV/0!</v>
      </c>
    </row>
    <row r="214">
      <c r="A214" s="16" t="str">
        <f>IFERROR(__xludf.DUMMYFUNCTION("IFERROR(SPARKLINE(SORT(MAP(TRANSPOSE(AQ214:BL214), LAMBDA(val, IF(ISNUMBER(val), PERCENTRANK(AQ214:BL214, val)+0.01, 0))), SEQUENCE(COLUMNS(AQ214:BL214)), FALSE), {""charttype"",""column""; ""color"",""chartreuse""; ""ymin"", 0; ""ymax"", 1.01; ""highcolo"&amp;"r"", ""darkgreen""; ""lowcolor"", ""red""}), """")"),"")</f>
        <v/>
      </c>
      <c r="B214" s="17" t="str">
        <f t="shared" si="4"/>
        <v/>
      </c>
      <c r="C214" s="1" t="s">
        <v>1017</v>
      </c>
      <c r="D214" s="34" t="str">
        <f>IFERROR(__xludf.DUMMYFUNCTION("IFERROR(GOOGLEFINANCE(C214, ""NAME""))"),"Chubb Limited")</f>
        <v>Chubb Limited</v>
      </c>
      <c r="E214" s="30" t="s">
        <v>82</v>
      </c>
      <c r="F214" s="33" t="str">
        <f>IFERROR(__xludf.DUMMYFUNCTION("( (GOOGLEFINANCE(C214, ""price"") - Q214) / Q214 ) / (R214 / 100)"),"Loading...")</f>
        <v>Loading...</v>
      </c>
      <c r="G214" s="20" t="str">
        <f>IFERROR(__xludf.DUMMYFUNCTION("AVERAGE(ARRAYFORMULA(100 * (QUERY(GOOGLEFINANCE(C214, ""high"", TODAY()-40, TODAY()), ""SELECT Col2 WHERE Col2 IS NOT NULL ORDER BY Col1 DESC LIMIT 20"", 0) / QUERY(GOOGLEFINANCE(C214, ""low"", TODAY()-40, TODAY()), ""SELECT Col2 WHERE Col2 IS NOT NULL OR"&amp;"DER BY Col1 DESC LIMIT 20"", 0) - 1)))"),"#N/A")</f>
        <v>#N/A</v>
      </c>
      <c r="H214" s="35" t="str">
        <f t="shared" si="6"/>
        <v/>
      </c>
      <c r="I214" s="36" t="str">
        <f t="shared" si="7"/>
        <v/>
      </c>
      <c r="J214" s="37" t="str">
        <f>IFERROR(__xludf.DUMMYFUNCTION("IFERROR(
  IF(C214="""",, 
    IFERROR(
      GOOGLEFINANCE(C214, ""price"") * GOOGLEFINANCE(C214, ""volumeavg""), 
      GOOGLEFINANCE(C214, ""price"") * AVERAGE(QUERY(GOOGLEFINANCE(C214, ""volume"", TODAY()-40, TODAY()), ""SELECT Col2 WHERE Col2 IS NOT "&amp;"NULL ORDER BY Col1 DESC LIMIT 20"", 0))
    )
  ), 
"""")"),"")</f>
        <v/>
      </c>
      <c r="K214" s="21" t="str">
        <f>IFERROR(__xludf.DUMMYFUNCTION("IFERROR(GOOGLEFINANCE(C214, ""changepct"") / 100, """")"),"")</f>
        <v/>
      </c>
      <c r="L214" s="21" t="str">
        <f>IFERROR(__xludf.DUMMYFUNCTION("IFERROR((GOOGLEFINANCE(C214, ""price"") / INDEX(GOOGLEFINANCE(C214, ""price"", TODAY()-7, TODAY()), 2, 2)) - 1, """")"),"")</f>
        <v/>
      </c>
      <c r="M214" s="21" t="str">
        <f>IFERROR(__xludf.DUMMYFUNCTION("IFERROR((GOOGLEFINANCE(C214, ""price"") / INDEX(GOOGLEFINANCE(C214, ""price"", EDATE(TODAY(), -1), TODAY()), 2, 2)) - 1, """")"),"")</f>
        <v/>
      </c>
      <c r="N214" s="21" t="str">
        <f>IFERROR(__xludf.DUMMYFUNCTION("IFERROR((GOOGLEFINANCE(C214, ""price"") / INDEX(GOOGLEFINANCE(C214, ""price"", EDATE(TODAY(), -3), TODAY()), 2, 2)) - 1, """")"),"")</f>
        <v/>
      </c>
      <c r="O214" s="21" t="str">
        <f>IFERROR(__xludf.DUMMYFUNCTION("IFERROR((GOOGLEFINANCE(C214, ""price"") / INDEX(GOOGLEFINANCE(C214, ""price"", EDATE(TODAY(), -6), TODAY()), 2, 2)) - 1, """")"),"")</f>
        <v/>
      </c>
      <c r="P214" s="21" t="str">
        <f>IFERROR(__xludf.DUMMYFUNCTION("IFERROR((GOOGLEFINANCE(C214, ""price"") / INDEX(GOOGLEFINANCE(C214, ""price"", EDATE(TODAY(), -12), TODAY()), 2, 2)) - 1, """")"),"")</f>
        <v/>
      </c>
      <c r="Q214" s="6" t="str">
        <f>IFERROR(__xludf.DUMMYFUNCTION("AVERAGE(QUERY(GOOGLEFINANCE(C214, ""price"", TODAY()-80, TODAY()), ""SELECT Col2 WHERE Col2 IS NOT NULL ORDER BY Col1 DESC LIMIT 50"", 0))"),"#N/A")</f>
        <v>#N/A</v>
      </c>
      <c r="R214" s="24" t="str">
        <f>IFERROR(__xludf.DUMMYFUNCTION("IFERROR(
  LET(
    data, QUERY(GOOGLEFINANCE(C214,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GOOGLEFINANCE(C214, ""price"")) * 100,
    IF(calc=0, G214, calc)
  ), 
G214)"),"#N/A")</f>
        <v>#N/A</v>
      </c>
      <c r="S214" s="8" t="s">
        <v>15</v>
      </c>
      <c r="T214" s="26" t="str">
        <f>IFERROR(__xludf.DUMMYFUNCTION("IFERROR(TRANSPOSE(QUERY(IFERROR(SORT(GOOGLEFINANCE(C214, ""price"", WORKDAY(TODAY(), -40), TODAY()), 1, FALSE)), ""select Col2 where Col2 is not null limit 22 label Col2 ''"", 0)), """")"),"")</f>
        <v/>
      </c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8"/>
      <c r="AO214" s="28"/>
      <c r="AP214" s="29"/>
      <c r="AQ214" s="29" t="str">
        <f t="shared" ref="AQ214:BL214" si="217">T214/T$2</f>
        <v>#N/A</v>
      </c>
      <c r="AR214" s="29" t="str">
        <f t="shared" si="217"/>
        <v>#DIV/0!</v>
      </c>
      <c r="AS214" s="29" t="str">
        <f t="shared" si="217"/>
        <v>#DIV/0!</v>
      </c>
      <c r="AT214" s="29" t="str">
        <f t="shared" si="217"/>
        <v>#DIV/0!</v>
      </c>
      <c r="AU214" s="29" t="str">
        <f t="shared" si="217"/>
        <v>#DIV/0!</v>
      </c>
      <c r="AV214" s="29" t="str">
        <f t="shared" si="217"/>
        <v>#DIV/0!</v>
      </c>
      <c r="AW214" s="29" t="str">
        <f t="shared" si="217"/>
        <v>#DIV/0!</v>
      </c>
      <c r="AX214" s="29" t="str">
        <f t="shared" si="217"/>
        <v>#DIV/0!</v>
      </c>
      <c r="AY214" s="29" t="str">
        <f t="shared" si="217"/>
        <v>#DIV/0!</v>
      </c>
      <c r="AZ214" s="29" t="str">
        <f t="shared" si="217"/>
        <v>#DIV/0!</v>
      </c>
      <c r="BA214" s="29" t="str">
        <f t="shared" si="217"/>
        <v>#DIV/0!</v>
      </c>
      <c r="BB214" s="29" t="str">
        <f t="shared" si="217"/>
        <v>#DIV/0!</v>
      </c>
      <c r="BC214" s="29" t="str">
        <f t="shared" si="217"/>
        <v>#DIV/0!</v>
      </c>
      <c r="BD214" s="29" t="str">
        <f t="shared" si="217"/>
        <v>#DIV/0!</v>
      </c>
      <c r="BE214" s="29" t="str">
        <f t="shared" si="217"/>
        <v>#DIV/0!</v>
      </c>
      <c r="BF214" s="29" t="str">
        <f t="shared" si="217"/>
        <v>#DIV/0!</v>
      </c>
      <c r="BG214" s="29" t="str">
        <f t="shared" si="217"/>
        <v>#DIV/0!</v>
      </c>
      <c r="BH214" s="29" t="str">
        <f t="shared" si="217"/>
        <v>#DIV/0!</v>
      </c>
      <c r="BI214" s="29" t="str">
        <f t="shared" si="217"/>
        <v>#DIV/0!</v>
      </c>
      <c r="BJ214" s="29" t="str">
        <f t="shared" si="217"/>
        <v>#DIV/0!</v>
      </c>
      <c r="BK214" s="29" t="str">
        <f t="shared" si="217"/>
        <v>#DIV/0!</v>
      </c>
      <c r="BL214" s="29" t="str">
        <f t="shared" si="217"/>
        <v>#DIV/0!</v>
      </c>
      <c r="BM214" s="29" t="str">
        <f t="shared" si="3"/>
        <v>#DIV/0!</v>
      </c>
    </row>
    <row r="215">
      <c r="A215" s="16" t="str">
        <f>IFERROR(__xludf.DUMMYFUNCTION("IFERROR(SPARKLINE(SORT(MAP(TRANSPOSE(AQ215:BL215), LAMBDA(val, IF(ISNUMBER(val), PERCENTRANK(AQ215:BL215, val)+0.01, 0))), SEQUENCE(COLUMNS(AQ215:BL215)), FALSE), {""charttype"",""column""; ""color"",""chartreuse""; ""ymin"", 0; ""ymax"", 1.01; ""highcolo"&amp;"r"", ""darkgreen""; ""lowcolor"", ""red""}), """")"),"")</f>
        <v/>
      </c>
      <c r="B215" s="17" t="str">
        <f t="shared" si="4"/>
        <v/>
      </c>
      <c r="C215" s="1" t="s">
        <v>1022</v>
      </c>
      <c r="D215" s="34" t="str">
        <f>IFERROR(__xludf.DUMMYFUNCTION("IFERROR(GOOGLEFINANCE(C215, ""NAME""))"),"James River Group Holdings Inc")</f>
        <v>James River Group Holdings Inc</v>
      </c>
      <c r="E215" s="30" t="s">
        <v>276</v>
      </c>
      <c r="F215" s="33" t="str">
        <f>IFERROR(__xludf.DUMMYFUNCTION("( (GOOGLEFINANCE(C215, ""price"") - Q215) / Q215 ) / (R215 / 100)"),"Loading...")</f>
        <v>Loading...</v>
      </c>
      <c r="G215" s="20" t="str">
        <f>IFERROR(__xludf.DUMMYFUNCTION("AVERAGE(ARRAYFORMULA(100 * (QUERY(GOOGLEFINANCE(C215, ""high"", TODAY()-40, TODAY()), ""SELECT Col2 WHERE Col2 IS NOT NULL ORDER BY Col1 DESC LIMIT 20"", 0) / QUERY(GOOGLEFINANCE(C215, ""low"", TODAY()-40, TODAY()), ""SELECT Col2 WHERE Col2 IS NOT NULL OR"&amp;"DER BY Col1 DESC LIMIT 20"", 0) - 1)))"),"#N/A")</f>
        <v>#N/A</v>
      </c>
      <c r="H215" s="35" t="str">
        <f t="shared" si="6"/>
        <v/>
      </c>
      <c r="I215" s="36" t="str">
        <f t="shared" si="7"/>
        <v/>
      </c>
      <c r="J215" s="37" t="str">
        <f>IFERROR(__xludf.DUMMYFUNCTION("IFERROR(
  IF(C215="""",, 
    IFERROR(
      GOOGLEFINANCE(C215, ""price"") * GOOGLEFINANCE(C215, ""volumeavg""), 
      GOOGLEFINANCE(C215, ""price"") * AVERAGE(QUERY(GOOGLEFINANCE(C215, ""volume"", TODAY()-40, TODAY()), ""SELECT Col2 WHERE Col2 IS NOT "&amp;"NULL ORDER BY Col1 DESC LIMIT 20"", 0))
    )
  ), 
"""")"),"")</f>
        <v/>
      </c>
      <c r="K215" s="21" t="str">
        <f>IFERROR(__xludf.DUMMYFUNCTION("IFERROR(GOOGLEFINANCE(C215, ""changepct"") / 100, """")"),"")</f>
        <v/>
      </c>
      <c r="L215" s="21" t="str">
        <f>IFERROR(__xludf.DUMMYFUNCTION("IFERROR((GOOGLEFINANCE(C215, ""price"") / INDEX(GOOGLEFINANCE(C215, ""price"", TODAY()-7, TODAY()), 2, 2)) - 1, """")"),"")</f>
        <v/>
      </c>
      <c r="M215" s="21" t="str">
        <f>IFERROR(__xludf.DUMMYFUNCTION("IFERROR((GOOGLEFINANCE(C215, ""price"") / INDEX(GOOGLEFINANCE(C215, ""price"", EDATE(TODAY(), -1), TODAY()), 2, 2)) - 1, """")"),"")</f>
        <v/>
      </c>
      <c r="N215" s="21" t="str">
        <f>IFERROR(__xludf.DUMMYFUNCTION("IFERROR((GOOGLEFINANCE(C215, ""price"") / INDEX(GOOGLEFINANCE(C215, ""price"", EDATE(TODAY(), -3), TODAY()), 2, 2)) - 1, """")"),"")</f>
        <v/>
      </c>
      <c r="O215" s="21" t="str">
        <f>IFERROR(__xludf.DUMMYFUNCTION("IFERROR((GOOGLEFINANCE(C215, ""price"") / INDEX(GOOGLEFINANCE(C215, ""price"", EDATE(TODAY(), -6), TODAY()), 2, 2)) - 1, """")"),"")</f>
        <v/>
      </c>
      <c r="P215" s="21" t="str">
        <f>IFERROR(__xludf.DUMMYFUNCTION("IFERROR((GOOGLEFINANCE(C215, ""price"") / INDEX(GOOGLEFINANCE(C215, ""price"", EDATE(TODAY(), -12), TODAY()), 2, 2)) - 1, """")"),"")</f>
        <v/>
      </c>
      <c r="Q215" s="6" t="str">
        <f>IFERROR(__xludf.DUMMYFUNCTION("AVERAGE(QUERY(GOOGLEFINANCE(C215, ""price"", TODAY()-80, TODAY()), ""SELECT Col2 WHERE Col2 IS NOT NULL ORDER BY Col1 DESC LIMIT 50"", 0))"),"#N/A")</f>
        <v>#N/A</v>
      </c>
      <c r="R215" s="24" t="str">
        <f>IFERROR(__xludf.DUMMYFUNCTION("IFERROR(
  LET(
    data, QUERY(GOOGLEFINANCE(C215,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GOOGLEFINANCE(C215, ""price"")) * 100,
    IF(calc=0, G215, calc)
  ), 
G215)"),"#N/A")</f>
        <v>#N/A</v>
      </c>
      <c r="S215" s="8" t="s">
        <v>15</v>
      </c>
      <c r="T215" s="26" t="str">
        <f>IFERROR(__xludf.DUMMYFUNCTION("IFERROR(TRANSPOSE(QUERY(IFERROR(SORT(GOOGLEFINANCE(C215, ""price"", WORKDAY(TODAY(), -40), TODAY()), 1, FALSE)), ""select Col2 where Col2 is not null limit 22 label Col2 ''"", 0)), """")"),"")</f>
        <v/>
      </c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8"/>
      <c r="AO215" s="28"/>
      <c r="AP215" s="29"/>
      <c r="AQ215" s="29" t="str">
        <f t="shared" ref="AQ215:BL215" si="218">T215/T$2</f>
        <v>#N/A</v>
      </c>
      <c r="AR215" s="29" t="str">
        <f t="shared" si="218"/>
        <v>#DIV/0!</v>
      </c>
      <c r="AS215" s="29" t="str">
        <f t="shared" si="218"/>
        <v>#DIV/0!</v>
      </c>
      <c r="AT215" s="29" t="str">
        <f t="shared" si="218"/>
        <v>#DIV/0!</v>
      </c>
      <c r="AU215" s="29" t="str">
        <f t="shared" si="218"/>
        <v>#DIV/0!</v>
      </c>
      <c r="AV215" s="29" t="str">
        <f t="shared" si="218"/>
        <v>#DIV/0!</v>
      </c>
      <c r="AW215" s="29" t="str">
        <f t="shared" si="218"/>
        <v>#DIV/0!</v>
      </c>
      <c r="AX215" s="29" t="str">
        <f t="shared" si="218"/>
        <v>#DIV/0!</v>
      </c>
      <c r="AY215" s="29" t="str">
        <f t="shared" si="218"/>
        <v>#DIV/0!</v>
      </c>
      <c r="AZ215" s="29" t="str">
        <f t="shared" si="218"/>
        <v>#DIV/0!</v>
      </c>
      <c r="BA215" s="29" t="str">
        <f t="shared" si="218"/>
        <v>#DIV/0!</v>
      </c>
      <c r="BB215" s="29" t="str">
        <f t="shared" si="218"/>
        <v>#DIV/0!</v>
      </c>
      <c r="BC215" s="29" t="str">
        <f t="shared" si="218"/>
        <v>#DIV/0!</v>
      </c>
      <c r="BD215" s="29" t="str">
        <f t="shared" si="218"/>
        <v>#DIV/0!</v>
      </c>
      <c r="BE215" s="29" t="str">
        <f t="shared" si="218"/>
        <v>#DIV/0!</v>
      </c>
      <c r="BF215" s="29" t="str">
        <f t="shared" si="218"/>
        <v>#DIV/0!</v>
      </c>
      <c r="BG215" s="29" t="str">
        <f t="shared" si="218"/>
        <v>#DIV/0!</v>
      </c>
      <c r="BH215" s="29" t="str">
        <f t="shared" si="218"/>
        <v>#DIV/0!</v>
      </c>
      <c r="BI215" s="29" t="str">
        <f t="shared" si="218"/>
        <v>#DIV/0!</v>
      </c>
      <c r="BJ215" s="29" t="str">
        <f t="shared" si="218"/>
        <v>#DIV/0!</v>
      </c>
      <c r="BK215" s="29" t="str">
        <f t="shared" si="218"/>
        <v>#DIV/0!</v>
      </c>
      <c r="BL215" s="29" t="str">
        <f t="shared" si="218"/>
        <v>#DIV/0!</v>
      </c>
      <c r="BM215" s="29" t="str">
        <f t="shared" si="3"/>
        <v>#DIV/0!</v>
      </c>
    </row>
    <row r="216">
      <c r="A216" s="16" t="str">
        <f>IFERROR(__xludf.DUMMYFUNCTION("IFERROR(SPARKLINE(SORT(MAP(TRANSPOSE(AQ216:BL216), LAMBDA(val, IF(ISNUMBER(val), PERCENTRANK(AQ216:BL216, val)+0.01, 0))), SEQUENCE(COLUMNS(AQ216:BL216)), FALSE), {""charttype"",""column""; ""color"",""chartreuse""; ""ymin"", 0; ""ymax"", 1.01; ""highcolo"&amp;"r"", ""darkgreen""; ""lowcolor"", ""red""}), """")"),"")</f>
        <v/>
      </c>
      <c r="B216" s="17" t="str">
        <f t="shared" si="4"/>
        <v/>
      </c>
      <c r="C216" s="1" t="s">
        <v>1028</v>
      </c>
      <c r="D216" s="34" t="str">
        <f>IFERROR(__xludf.DUMMYFUNCTION("IFERROR(GOOGLEFINANCE(C216, ""NAME""))"),"Marsh &amp; McLennan Companies Inc")</f>
        <v>Marsh &amp; McLennan Companies Inc</v>
      </c>
      <c r="E216" s="30" t="s">
        <v>311</v>
      </c>
      <c r="F216" s="33" t="str">
        <f>IFERROR(__xludf.DUMMYFUNCTION("( (GOOGLEFINANCE(C216, ""price"") - Q216) / Q216 ) / (R216 / 100)"),"Loading...")</f>
        <v>Loading...</v>
      </c>
      <c r="G216" s="20" t="str">
        <f>IFERROR(__xludf.DUMMYFUNCTION("AVERAGE(ARRAYFORMULA(100 * (QUERY(GOOGLEFINANCE(C216, ""high"", TODAY()-40, TODAY()), ""SELECT Col2 WHERE Col2 IS NOT NULL ORDER BY Col1 DESC LIMIT 20"", 0) / QUERY(GOOGLEFINANCE(C216, ""low"", TODAY()-40, TODAY()), ""SELECT Col2 WHERE Col2 IS NOT NULL OR"&amp;"DER BY Col1 DESC LIMIT 20"", 0) - 1)))"),"#N/A")</f>
        <v>#N/A</v>
      </c>
      <c r="H216" s="35" t="str">
        <f t="shared" si="6"/>
        <v/>
      </c>
      <c r="I216" s="36" t="str">
        <f t="shared" si="7"/>
        <v/>
      </c>
      <c r="J216" s="37" t="str">
        <f>IFERROR(__xludf.DUMMYFUNCTION("IFERROR(
  IF(C216="""",, 
    IFERROR(
      GOOGLEFINANCE(C216, ""price"") * GOOGLEFINANCE(C216, ""volumeavg""), 
      GOOGLEFINANCE(C216, ""price"") * AVERAGE(QUERY(GOOGLEFINANCE(C216, ""volume"", TODAY()-40, TODAY()), ""SELECT Col2 WHERE Col2 IS NOT "&amp;"NULL ORDER BY Col1 DESC LIMIT 20"", 0))
    )
  ), 
"""")"),"")</f>
        <v/>
      </c>
      <c r="K216" s="21" t="str">
        <f>IFERROR(__xludf.DUMMYFUNCTION("IFERROR(GOOGLEFINANCE(C216, ""changepct"") / 100, """")"),"")</f>
        <v/>
      </c>
      <c r="L216" s="21" t="str">
        <f>IFERROR(__xludf.DUMMYFUNCTION("IFERROR((GOOGLEFINANCE(C216, ""price"") / INDEX(GOOGLEFINANCE(C216, ""price"", TODAY()-7, TODAY()), 2, 2)) - 1, """")"),"")</f>
        <v/>
      </c>
      <c r="M216" s="21" t="str">
        <f>IFERROR(__xludf.DUMMYFUNCTION("IFERROR((GOOGLEFINANCE(C216, ""price"") / INDEX(GOOGLEFINANCE(C216, ""price"", EDATE(TODAY(), -1), TODAY()), 2, 2)) - 1, """")"),"")</f>
        <v/>
      </c>
      <c r="N216" s="21" t="str">
        <f>IFERROR(__xludf.DUMMYFUNCTION("IFERROR((GOOGLEFINANCE(C216, ""price"") / INDEX(GOOGLEFINANCE(C216, ""price"", EDATE(TODAY(), -3), TODAY()), 2, 2)) - 1, """")"),"")</f>
        <v/>
      </c>
      <c r="O216" s="21" t="str">
        <f>IFERROR(__xludf.DUMMYFUNCTION("IFERROR((GOOGLEFINANCE(C216, ""price"") / INDEX(GOOGLEFINANCE(C216, ""price"", EDATE(TODAY(), -6), TODAY()), 2, 2)) - 1, """")"),"")</f>
        <v/>
      </c>
      <c r="P216" s="21" t="str">
        <f>IFERROR(__xludf.DUMMYFUNCTION("IFERROR((GOOGLEFINANCE(C216, ""price"") / INDEX(GOOGLEFINANCE(C216, ""price"", EDATE(TODAY(), -12), TODAY()), 2, 2)) - 1, """")"),"")</f>
        <v/>
      </c>
      <c r="Q216" s="6" t="str">
        <f>IFERROR(__xludf.DUMMYFUNCTION("AVERAGE(QUERY(GOOGLEFINANCE(C216, ""price"", TODAY()-80, TODAY()), ""SELECT Col2 WHERE Col2 IS NOT NULL ORDER BY Col1 DESC LIMIT 50"", 0))"),"#N/A")</f>
        <v>#N/A</v>
      </c>
      <c r="R216" s="24" t="str">
        <f>IFERROR(__xludf.DUMMYFUNCTION("IFERROR(
  LET(
    data, QUERY(GOOGLEFINANCE(C216,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GOOGLEFINANCE(C216, ""price"")) * 100,
    IF(calc=0, G216, calc)
  ), 
G216)"),"#N/A")</f>
        <v>#N/A</v>
      </c>
      <c r="S216" s="8" t="s">
        <v>15</v>
      </c>
      <c r="T216" s="26" t="str">
        <f>IFERROR(__xludf.DUMMYFUNCTION("IFERROR(TRANSPOSE(QUERY(IFERROR(SORT(GOOGLEFINANCE(C216, ""price"", WORKDAY(TODAY(), -40), TODAY()), 1, FALSE)), ""select Col2 where Col2 is not null limit 22 label Col2 ''"", 0)), """")"),"")</f>
        <v/>
      </c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8"/>
      <c r="AO216" s="28"/>
      <c r="AP216" s="29"/>
      <c r="AQ216" s="29" t="str">
        <f t="shared" ref="AQ216:BL216" si="219">T216/T$2</f>
        <v>#N/A</v>
      </c>
      <c r="AR216" s="29" t="str">
        <f t="shared" si="219"/>
        <v>#DIV/0!</v>
      </c>
      <c r="AS216" s="29" t="str">
        <f t="shared" si="219"/>
        <v>#DIV/0!</v>
      </c>
      <c r="AT216" s="29" t="str">
        <f t="shared" si="219"/>
        <v>#DIV/0!</v>
      </c>
      <c r="AU216" s="29" t="str">
        <f t="shared" si="219"/>
        <v>#DIV/0!</v>
      </c>
      <c r="AV216" s="29" t="str">
        <f t="shared" si="219"/>
        <v>#DIV/0!</v>
      </c>
      <c r="AW216" s="29" t="str">
        <f t="shared" si="219"/>
        <v>#DIV/0!</v>
      </c>
      <c r="AX216" s="29" t="str">
        <f t="shared" si="219"/>
        <v>#DIV/0!</v>
      </c>
      <c r="AY216" s="29" t="str">
        <f t="shared" si="219"/>
        <v>#DIV/0!</v>
      </c>
      <c r="AZ216" s="29" t="str">
        <f t="shared" si="219"/>
        <v>#DIV/0!</v>
      </c>
      <c r="BA216" s="29" t="str">
        <f t="shared" si="219"/>
        <v>#DIV/0!</v>
      </c>
      <c r="BB216" s="29" t="str">
        <f t="shared" si="219"/>
        <v>#DIV/0!</v>
      </c>
      <c r="BC216" s="29" t="str">
        <f t="shared" si="219"/>
        <v>#DIV/0!</v>
      </c>
      <c r="BD216" s="29" t="str">
        <f t="shared" si="219"/>
        <v>#DIV/0!</v>
      </c>
      <c r="BE216" s="29" t="str">
        <f t="shared" si="219"/>
        <v>#DIV/0!</v>
      </c>
      <c r="BF216" s="29" t="str">
        <f t="shared" si="219"/>
        <v>#DIV/0!</v>
      </c>
      <c r="BG216" s="29" t="str">
        <f t="shared" si="219"/>
        <v>#DIV/0!</v>
      </c>
      <c r="BH216" s="29" t="str">
        <f t="shared" si="219"/>
        <v>#DIV/0!</v>
      </c>
      <c r="BI216" s="29" t="str">
        <f t="shared" si="219"/>
        <v>#DIV/0!</v>
      </c>
      <c r="BJ216" s="29" t="str">
        <f t="shared" si="219"/>
        <v>#DIV/0!</v>
      </c>
      <c r="BK216" s="29" t="str">
        <f t="shared" si="219"/>
        <v>#DIV/0!</v>
      </c>
      <c r="BL216" s="29" t="str">
        <f t="shared" si="219"/>
        <v>#DIV/0!</v>
      </c>
      <c r="BM216" s="29" t="str">
        <f t="shared" si="3"/>
        <v>#DIV/0!</v>
      </c>
    </row>
    <row r="217">
      <c r="A217" s="16" t="str">
        <f>IFERROR(__xludf.DUMMYFUNCTION("IFERROR(SPARKLINE(SORT(MAP(TRANSPOSE(AQ217:BL217), LAMBDA(val, IF(ISNUMBER(val), PERCENTRANK(AQ217:BL217, val)+0.01, 0))), SEQUENCE(COLUMNS(AQ217:BL217)), FALSE), {""charttype"",""column""; ""color"",""chartreuse""; ""ymin"", 0; ""ymax"", 1.01; ""highcolo"&amp;"r"", ""darkgreen""; ""lowcolor"", ""red""}), """")"),"")</f>
        <v/>
      </c>
      <c r="B217" s="17" t="str">
        <f t="shared" si="4"/>
        <v/>
      </c>
      <c r="C217" s="1" t="s">
        <v>1032</v>
      </c>
      <c r="D217" s="34" t="str">
        <f>IFERROR(__xludf.DUMMYFUNCTION("IFERROR(GOOGLEFINANCE(C217, ""NAME""))"),"Armada Acquisition Corp II")</f>
        <v>Armada Acquisition Corp II</v>
      </c>
      <c r="E217" s="30" t="s">
        <v>161</v>
      </c>
      <c r="F217" s="33" t="str">
        <f>IFERROR(__xludf.DUMMYFUNCTION("( (GOOGLEFINANCE(C217, ""price"") - Q217) / Q217 ) / (R217 / 100)"),"Loading...")</f>
        <v>Loading...</v>
      </c>
      <c r="G217" s="20" t="str">
        <f>IFERROR(__xludf.DUMMYFUNCTION("AVERAGE(ARRAYFORMULA(100 * (QUERY(GOOGLEFINANCE(C217, ""high"", TODAY()-40, TODAY()), ""SELECT Col2 WHERE Col2 IS NOT NULL ORDER BY Col1 DESC LIMIT 20"", 0) / QUERY(GOOGLEFINANCE(C217, ""low"", TODAY()-40, TODAY()), ""SELECT Col2 WHERE Col2 IS NOT NULL OR"&amp;"DER BY Col1 DESC LIMIT 20"", 0) - 1)))"),"#N/A")</f>
        <v>#N/A</v>
      </c>
      <c r="H217" s="35" t="str">
        <f t="shared" si="6"/>
        <v/>
      </c>
      <c r="I217" s="36" t="str">
        <f t="shared" si="7"/>
        <v/>
      </c>
      <c r="J217" s="37" t="str">
        <f>IFERROR(__xludf.DUMMYFUNCTION("IFERROR(
  IF(C217="""",, 
    IFERROR(
      GOOGLEFINANCE(C217, ""price"") * GOOGLEFINANCE(C217, ""volumeavg""), 
      GOOGLEFINANCE(C217, ""price"") * AVERAGE(QUERY(GOOGLEFINANCE(C217, ""volume"", TODAY()-40, TODAY()), ""SELECT Col2 WHERE Col2 IS NOT "&amp;"NULL ORDER BY Col1 DESC LIMIT 20"", 0))
    )
  ), 
"""")"),"")</f>
        <v/>
      </c>
      <c r="K217" s="21" t="str">
        <f>IFERROR(__xludf.DUMMYFUNCTION("IFERROR(GOOGLEFINANCE(C217, ""changepct"") / 100, """")"),"")</f>
        <v/>
      </c>
      <c r="L217" s="21" t="str">
        <f>IFERROR(__xludf.DUMMYFUNCTION("IFERROR((GOOGLEFINANCE(C217, ""price"") / INDEX(GOOGLEFINANCE(C217, ""price"", TODAY()-7, TODAY()), 2, 2)) - 1, """")"),"")</f>
        <v/>
      </c>
      <c r="M217" s="21" t="str">
        <f>IFERROR(__xludf.DUMMYFUNCTION("IFERROR((GOOGLEFINANCE(C217, ""price"") / INDEX(GOOGLEFINANCE(C217, ""price"", EDATE(TODAY(), -1), TODAY()), 2, 2)) - 1, """")"),"")</f>
        <v/>
      </c>
      <c r="N217" s="21" t="str">
        <f>IFERROR(__xludf.DUMMYFUNCTION("IFERROR((GOOGLEFINANCE(C217, ""price"") / INDEX(GOOGLEFINANCE(C217, ""price"", EDATE(TODAY(), -3), TODAY()), 2, 2)) - 1, """")"),"")</f>
        <v/>
      </c>
      <c r="O217" s="21" t="str">
        <f>IFERROR(__xludf.DUMMYFUNCTION("IFERROR((GOOGLEFINANCE(C217, ""price"") / INDEX(GOOGLEFINANCE(C217, ""price"", EDATE(TODAY(), -6), TODAY()), 2, 2)) - 1, """")"),"")</f>
        <v/>
      </c>
      <c r="P217" s="21" t="str">
        <f>IFERROR(__xludf.DUMMYFUNCTION("IFERROR((GOOGLEFINANCE(C217, ""price"") / INDEX(GOOGLEFINANCE(C217, ""price"", EDATE(TODAY(), -12), TODAY()), 2, 2)) - 1, """")"),"")</f>
        <v/>
      </c>
      <c r="Q217" s="6" t="str">
        <f>IFERROR(__xludf.DUMMYFUNCTION("AVERAGE(QUERY(GOOGLEFINANCE(C217, ""price"", TODAY()-80, TODAY()), ""SELECT Col2 WHERE Col2 IS NOT NULL ORDER BY Col1 DESC LIMIT 50"", 0))"),"#N/A")</f>
        <v>#N/A</v>
      </c>
      <c r="R217" s="24" t="str">
        <f>IFERROR(__xludf.DUMMYFUNCTION("IFERROR(
  LET(
    data, QUERY(GOOGLEFINANCE(C217,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GOOGLEFINANCE(C217, ""price"")) * 100,
    IF(calc=0, G217, calc)
  ), 
G217)"),"#N/A")</f>
        <v>#N/A</v>
      </c>
      <c r="S217" s="8" t="s">
        <v>15</v>
      </c>
      <c r="T217" s="26" t="str">
        <f>IFERROR(__xludf.DUMMYFUNCTION("IFERROR(TRANSPOSE(QUERY(IFERROR(SORT(GOOGLEFINANCE(C217, ""price"", WORKDAY(TODAY(), -40), TODAY()), 1, FALSE)), ""select Col2 where Col2 is not null limit 22 label Col2 ''"", 0)), """")"),"")</f>
        <v/>
      </c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8"/>
      <c r="AO217" s="28"/>
      <c r="AP217" s="29"/>
      <c r="AQ217" s="29" t="str">
        <f t="shared" ref="AQ217:BL217" si="220">T217/T$2</f>
        <v>#N/A</v>
      </c>
      <c r="AR217" s="29" t="str">
        <f t="shared" si="220"/>
        <v>#DIV/0!</v>
      </c>
      <c r="AS217" s="29" t="str">
        <f t="shared" si="220"/>
        <v>#DIV/0!</v>
      </c>
      <c r="AT217" s="29" t="str">
        <f t="shared" si="220"/>
        <v>#DIV/0!</v>
      </c>
      <c r="AU217" s="29" t="str">
        <f t="shared" si="220"/>
        <v>#DIV/0!</v>
      </c>
      <c r="AV217" s="29" t="str">
        <f t="shared" si="220"/>
        <v>#DIV/0!</v>
      </c>
      <c r="AW217" s="29" t="str">
        <f t="shared" si="220"/>
        <v>#DIV/0!</v>
      </c>
      <c r="AX217" s="29" t="str">
        <f t="shared" si="220"/>
        <v>#DIV/0!</v>
      </c>
      <c r="AY217" s="29" t="str">
        <f t="shared" si="220"/>
        <v>#DIV/0!</v>
      </c>
      <c r="AZ217" s="29" t="str">
        <f t="shared" si="220"/>
        <v>#DIV/0!</v>
      </c>
      <c r="BA217" s="29" t="str">
        <f t="shared" si="220"/>
        <v>#DIV/0!</v>
      </c>
      <c r="BB217" s="29" t="str">
        <f t="shared" si="220"/>
        <v>#DIV/0!</v>
      </c>
      <c r="BC217" s="29" t="str">
        <f t="shared" si="220"/>
        <v>#DIV/0!</v>
      </c>
      <c r="BD217" s="29" t="str">
        <f t="shared" si="220"/>
        <v>#DIV/0!</v>
      </c>
      <c r="BE217" s="29" t="str">
        <f t="shared" si="220"/>
        <v>#DIV/0!</v>
      </c>
      <c r="BF217" s="29" t="str">
        <f t="shared" si="220"/>
        <v>#DIV/0!</v>
      </c>
      <c r="BG217" s="29" t="str">
        <f t="shared" si="220"/>
        <v>#DIV/0!</v>
      </c>
      <c r="BH217" s="29" t="str">
        <f t="shared" si="220"/>
        <v>#DIV/0!</v>
      </c>
      <c r="BI217" s="29" t="str">
        <f t="shared" si="220"/>
        <v>#DIV/0!</v>
      </c>
      <c r="BJ217" s="29" t="str">
        <f t="shared" si="220"/>
        <v>#DIV/0!</v>
      </c>
      <c r="BK217" s="29" t="str">
        <f t="shared" si="220"/>
        <v>#DIV/0!</v>
      </c>
      <c r="BL217" s="29" t="str">
        <f t="shared" si="220"/>
        <v>#DIV/0!</v>
      </c>
      <c r="BM217" s="29" t="str">
        <f t="shared" si="3"/>
        <v>#DIV/0!</v>
      </c>
    </row>
    <row r="218">
      <c r="A218" s="16" t="str">
        <f>IFERROR(__xludf.DUMMYFUNCTION("IFERROR(SPARKLINE(SORT(MAP(TRANSPOSE(AQ218:BL218), LAMBDA(val, IF(ISNUMBER(val), PERCENTRANK(AQ218:BL218, val)+0.01, 0))), SEQUENCE(COLUMNS(AQ218:BL218)), FALSE), {""charttype"",""column""; ""color"",""chartreuse""; ""ymin"", 0; ""ymax"", 1.01; ""highcolo"&amp;"r"", ""darkgreen""; ""lowcolor"", ""red""}), """")"),"")</f>
        <v/>
      </c>
      <c r="B218" s="17" t="str">
        <f t="shared" si="4"/>
        <v/>
      </c>
      <c r="C218" s="1" t="s">
        <v>1037</v>
      </c>
      <c r="D218" s="34" t="str">
        <f>IFERROR(__xludf.DUMMYFUNCTION("IFERROR(GOOGLEFINANCE(C218, ""NAME""))"),"")</f>
        <v/>
      </c>
      <c r="E218" s="30" t="s">
        <v>161</v>
      </c>
      <c r="F218" s="33" t="str">
        <f>IFERROR(__xludf.DUMMYFUNCTION("( (GOOGLEFINANCE(C218, ""price"") - Q218) / Q218 ) / (R218 / 100)"),"Loading...")</f>
        <v>Loading...</v>
      </c>
      <c r="G218" s="20" t="str">
        <f>IFERROR(__xludf.DUMMYFUNCTION("AVERAGE(ARRAYFORMULA(100 * (QUERY(GOOGLEFINANCE(C218, ""high"", TODAY()-40, TODAY()), ""SELECT Col2 WHERE Col2 IS NOT NULL ORDER BY Col1 DESC LIMIT 20"", 0) / QUERY(GOOGLEFINANCE(C218, ""low"", TODAY()-40, TODAY()), ""SELECT Col2 WHERE Col2 IS NOT NULL OR"&amp;"DER BY Col1 DESC LIMIT 20"", 0) - 1)))"),"#N/A")</f>
        <v>#N/A</v>
      </c>
      <c r="H218" s="35" t="str">
        <f t="shared" si="6"/>
        <v/>
      </c>
      <c r="I218" s="36" t="str">
        <f t="shared" si="7"/>
        <v/>
      </c>
      <c r="J218" s="37" t="str">
        <f>IFERROR(__xludf.DUMMYFUNCTION("IFERROR(
  IF(C218="""",, 
    IFERROR(
      GOOGLEFINANCE(C218, ""price"") * GOOGLEFINANCE(C218, ""volumeavg""), 
      GOOGLEFINANCE(C218, ""price"") * AVERAGE(QUERY(GOOGLEFINANCE(C218, ""volume"", TODAY()-40, TODAY()), ""SELECT Col2 WHERE Col2 IS NOT "&amp;"NULL ORDER BY Col1 DESC LIMIT 20"", 0))
    )
  ), 
"""")"),"")</f>
        <v/>
      </c>
      <c r="K218" s="21" t="str">
        <f>IFERROR(__xludf.DUMMYFUNCTION("IFERROR(GOOGLEFINANCE(C218, ""changepct"") / 100, """")"),"")</f>
        <v/>
      </c>
      <c r="L218" s="21" t="str">
        <f>IFERROR(__xludf.DUMMYFUNCTION("IFERROR((GOOGLEFINANCE(C218, ""price"") / INDEX(GOOGLEFINANCE(C218, ""price"", TODAY()-7, TODAY()), 2, 2)) - 1, """")"),"")</f>
        <v/>
      </c>
      <c r="M218" s="21" t="str">
        <f>IFERROR(__xludf.DUMMYFUNCTION("IFERROR((GOOGLEFINANCE(C218, ""price"") / INDEX(GOOGLEFINANCE(C218, ""price"", EDATE(TODAY(), -1), TODAY()), 2, 2)) - 1, """")"),"")</f>
        <v/>
      </c>
      <c r="N218" s="21" t="str">
        <f>IFERROR(__xludf.DUMMYFUNCTION("IFERROR((GOOGLEFINANCE(C218, ""price"") / INDEX(GOOGLEFINANCE(C218, ""price"", EDATE(TODAY(), -3), TODAY()), 2, 2)) - 1, """")"),"")</f>
        <v/>
      </c>
      <c r="O218" s="21" t="str">
        <f>IFERROR(__xludf.DUMMYFUNCTION("IFERROR((GOOGLEFINANCE(C218, ""price"") / INDEX(GOOGLEFINANCE(C218, ""price"", EDATE(TODAY(), -6), TODAY()), 2, 2)) - 1, """")"),"")</f>
        <v/>
      </c>
      <c r="P218" s="21" t="str">
        <f>IFERROR(__xludf.DUMMYFUNCTION("IFERROR((GOOGLEFINANCE(C218, ""price"") / INDEX(GOOGLEFINANCE(C218, ""price"", EDATE(TODAY(), -12), TODAY()), 2, 2)) - 1, """")"),"")</f>
        <v/>
      </c>
      <c r="Q218" s="6" t="str">
        <f>IFERROR(__xludf.DUMMYFUNCTION("AVERAGE(QUERY(GOOGLEFINANCE(C218, ""price"", TODAY()-80, TODAY()), ""SELECT Col2 WHERE Col2 IS NOT NULL ORDER BY Col1 DESC LIMIT 50"", 0))"),"#N/A")</f>
        <v>#N/A</v>
      </c>
      <c r="R218" s="24" t="str">
        <f>IFERROR(__xludf.DUMMYFUNCTION("IFERROR(
  LET(
    data, QUERY(GOOGLEFINANCE(C218,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GOOGLEFINANCE(C218, ""price"")) * 100,
    IF(calc=0, G218, calc)
  ), 
G218)"),"#N/A")</f>
        <v>#N/A</v>
      </c>
      <c r="S218" s="8" t="s">
        <v>15</v>
      </c>
      <c r="T218" s="26" t="str">
        <f>IFERROR(__xludf.DUMMYFUNCTION("IFERROR(TRANSPOSE(QUERY(IFERROR(SORT(GOOGLEFINANCE(C218, ""price"", WORKDAY(TODAY(), -40), TODAY()), 1, FALSE)), ""select Col2 where Col2 is not null limit 22 label Col2 ''"", 0)), """")"),"")</f>
        <v/>
      </c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8"/>
      <c r="AO218" s="28"/>
      <c r="AP218" s="29"/>
      <c r="AQ218" s="29" t="str">
        <f t="shared" ref="AQ218:BL218" si="221">T218/T$2</f>
        <v>#N/A</v>
      </c>
      <c r="AR218" s="29" t="str">
        <f t="shared" si="221"/>
        <v>#DIV/0!</v>
      </c>
      <c r="AS218" s="29" t="str">
        <f t="shared" si="221"/>
        <v>#DIV/0!</v>
      </c>
      <c r="AT218" s="29" t="str">
        <f t="shared" si="221"/>
        <v>#DIV/0!</v>
      </c>
      <c r="AU218" s="29" t="str">
        <f t="shared" si="221"/>
        <v>#DIV/0!</v>
      </c>
      <c r="AV218" s="29" t="str">
        <f t="shared" si="221"/>
        <v>#DIV/0!</v>
      </c>
      <c r="AW218" s="29" t="str">
        <f t="shared" si="221"/>
        <v>#DIV/0!</v>
      </c>
      <c r="AX218" s="29" t="str">
        <f t="shared" si="221"/>
        <v>#DIV/0!</v>
      </c>
      <c r="AY218" s="29" t="str">
        <f t="shared" si="221"/>
        <v>#DIV/0!</v>
      </c>
      <c r="AZ218" s="29" t="str">
        <f t="shared" si="221"/>
        <v>#DIV/0!</v>
      </c>
      <c r="BA218" s="29" t="str">
        <f t="shared" si="221"/>
        <v>#DIV/0!</v>
      </c>
      <c r="BB218" s="29" t="str">
        <f t="shared" si="221"/>
        <v>#DIV/0!</v>
      </c>
      <c r="BC218" s="29" t="str">
        <f t="shared" si="221"/>
        <v>#DIV/0!</v>
      </c>
      <c r="BD218" s="29" t="str">
        <f t="shared" si="221"/>
        <v>#DIV/0!</v>
      </c>
      <c r="BE218" s="29" t="str">
        <f t="shared" si="221"/>
        <v>#DIV/0!</v>
      </c>
      <c r="BF218" s="29" t="str">
        <f t="shared" si="221"/>
        <v>#DIV/0!</v>
      </c>
      <c r="BG218" s="29" t="str">
        <f t="shared" si="221"/>
        <v>#DIV/0!</v>
      </c>
      <c r="BH218" s="29" t="str">
        <f t="shared" si="221"/>
        <v>#DIV/0!</v>
      </c>
      <c r="BI218" s="29" t="str">
        <f t="shared" si="221"/>
        <v>#DIV/0!</v>
      </c>
      <c r="BJ218" s="29" t="str">
        <f t="shared" si="221"/>
        <v>#DIV/0!</v>
      </c>
      <c r="BK218" s="29" t="str">
        <f t="shared" si="221"/>
        <v>#DIV/0!</v>
      </c>
      <c r="BL218" s="29" t="str">
        <f t="shared" si="221"/>
        <v>#DIV/0!</v>
      </c>
      <c r="BM218" s="29" t="str">
        <f t="shared" si="3"/>
        <v>#DIV/0!</v>
      </c>
    </row>
    <row r="219">
      <c r="A219" s="16" t="str">
        <f>IFERROR(__xludf.DUMMYFUNCTION("IFERROR(SPARKLINE(SORT(MAP(TRANSPOSE(AQ219:BL219), LAMBDA(val, IF(ISNUMBER(val), PERCENTRANK(AQ219:BL219, val)+0.01, 0))), SEQUENCE(COLUMNS(AQ219:BL219)), FALSE), {""charttype"",""column""; ""color"",""chartreuse""; ""ymin"", 0; ""ymax"", 1.01; ""highcolo"&amp;"r"", ""darkgreen""; ""lowcolor"", ""red""}), """")"),"")</f>
        <v/>
      </c>
      <c r="B219" s="17" t="str">
        <f t="shared" si="4"/>
        <v/>
      </c>
      <c r="C219" s="1" t="s">
        <v>1041</v>
      </c>
      <c r="D219" s="34" t="str">
        <f>IFERROR(__xludf.DUMMYFUNCTION("IFERROR(GOOGLEFINANCE(C219, ""NAME""))"),"M3-Brigade Acquisition VI Corp")</f>
        <v>M3-Brigade Acquisition VI Corp</v>
      </c>
      <c r="E219" s="30" t="s">
        <v>161</v>
      </c>
      <c r="F219" s="33" t="str">
        <f>IFERROR(__xludf.DUMMYFUNCTION("( (GOOGLEFINANCE(C219, ""price"") - Q219) / Q219 ) / (R219 / 100)"),"Loading...")</f>
        <v>Loading...</v>
      </c>
      <c r="G219" s="20" t="str">
        <f>IFERROR(__xludf.DUMMYFUNCTION("AVERAGE(ARRAYFORMULA(100 * (QUERY(GOOGLEFINANCE(C219, ""high"", TODAY()-40, TODAY()), ""SELECT Col2 WHERE Col2 IS NOT NULL ORDER BY Col1 DESC LIMIT 20"", 0) / QUERY(GOOGLEFINANCE(C219, ""low"", TODAY()-40, TODAY()), ""SELECT Col2 WHERE Col2 IS NOT NULL OR"&amp;"DER BY Col1 DESC LIMIT 20"", 0) - 1)))"),"#N/A")</f>
        <v>#N/A</v>
      </c>
      <c r="H219" s="35" t="str">
        <f t="shared" si="6"/>
        <v/>
      </c>
      <c r="I219" s="36" t="str">
        <f t="shared" si="7"/>
        <v/>
      </c>
      <c r="J219" s="37" t="str">
        <f>IFERROR(__xludf.DUMMYFUNCTION("IFERROR(
  IF(C219="""",, 
    IFERROR(
      GOOGLEFINANCE(C219, ""price"") * GOOGLEFINANCE(C219, ""volumeavg""), 
      GOOGLEFINANCE(C219, ""price"") * AVERAGE(QUERY(GOOGLEFINANCE(C219, ""volume"", TODAY()-40, TODAY()), ""SELECT Col2 WHERE Col2 IS NOT "&amp;"NULL ORDER BY Col1 DESC LIMIT 20"", 0))
    )
  ), 
"""")"),"")</f>
        <v/>
      </c>
      <c r="K219" s="21" t="str">
        <f>IFERROR(__xludf.DUMMYFUNCTION("IFERROR(GOOGLEFINANCE(C219, ""changepct"") / 100, """")"),"")</f>
        <v/>
      </c>
      <c r="L219" s="21" t="str">
        <f>IFERROR(__xludf.DUMMYFUNCTION("IFERROR((GOOGLEFINANCE(C219, ""price"") / INDEX(GOOGLEFINANCE(C219, ""price"", TODAY()-7, TODAY()), 2, 2)) - 1, """")"),"")</f>
        <v/>
      </c>
      <c r="M219" s="21" t="str">
        <f>IFERROR(__xludf.DUMMYFUNCTION("IFERROR((GOOGLEFINANCE(C219, ""price"") / INDEX(GOOGLEFINANCE(C219, ""price"", EDATE(TODAY(), -1), TODAY()), 2, 2)) - 1, """")"),"")</f>
        <v/>
      </c>
      <c r="N219" s="21" t="str">
        <f>IFERROR(__xludf.DUMMYFUNCTION("IFERROR((GOOGLEFINANCE(C219, ""price"") / INDEX(GOOGLEFINANCE(C219, ""price"", EDATE(TODAY(), -3), TODAY()), 2, 2)) - 1, """")"),"")</f>
        <v/>
      </c>
      <c r="O219" s="21" t="str">
        <f>IFERROR(__xludf.DUMMYFUNCTION("IFERROR((GOOGLEFINANCE(C219, ""price"") / INDEX(GOOGLEFINANCE(C219, ""price"", EDATE(TODAY(), -6), TODAY()), 2, 2)) - 1, """")"),"")</f>
        <v/>
      </c>
      <c r="P219" s="21" t="str">
        <f>IFERROR(__xludf.DUMMYFUNCTION("IFERROR((GOOGLEFINANCE(C219, ""price"") / INDEX(GOOGLEFINANCE(C219, ""price"", EDATE(TODAY(), -12), TODAY()), 2, 2)) - 1, """")"),"")</f>
        <v/>
      </c>
      <c r="Q219" s="6" t="str">
        <f>IFERROR(__xludf.DUMMYFUNCTION("AVERAGE(QUERY(GOOGLEFINANCE(C219, ""price"", TODAY()-80, TODAY()), ""SELECT Col2 WHERE Col2 IS NOT NULL ORDER BY Col1 DESC LIMIT 50"", 0))"),"#N/A")</f>
        <v>#N/A</v>
      </c>
      <c r="R219" s="24" t="str">
        <f>IFERROR(__xludf.DUMMYFUNCTION("IFERROR(
  LET(
    data, QUERY(GOOGLEFINANCE(C219,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GOOGLEFINANCE(C219, ""price"")) * 100,
    IF(calc=0, G219, calc)
  ), 
G219)"),"#N/A")</f>
        <v>#N/A</v>
      </c>
      <c r="S219" s="8" t="s">
        <v>15</v>
      </c>
      <c r="T219" s="26" t="str">
        <f>IFERROR(__xludf.DUMMYFUNCTION("IFERROR(TRANSPOSE(QUERY(IFERROR(SORT(GOOGLEFINANCE(C219, ""price"", WORKDAY(TODAY(), -40), TODAY()), 1, FALSE)), ""select Col2 where Col2 is not null limit 22 label Col2 ''"", 0)), """")"),"")</f>
        <v/>
      </c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8"/>
      <c r="AO219" s="28"/>
      <c r="AP219" s="29"/>
      <c r="AQ219" s="29" t="str">
        <f t="shared" ref="AQ219:BL219" si="222">T219/T$2</f>
        <v>#N/A</v>
      </c>
      <c r="AR219" s="29" t="str">
        <f t="shared" si="222"/>
        <v>#DIV/0!</v>
      </c>
      <c r="AS219" s="29" t="str">
        <f t="shared" si="222"/>
        <v>#DIV/0!</v>
      </c>
      <c r="AT219" s="29" t="str">
        <f t="shared" si="222"/>
        <v>#DIV/0!</v>
      </c>
      <c r="AU219" s="29" t="str">
        <f t="shared" si="222"/>
        <v>#DIV/0!</v>
      </c>
      <c r="AV219" s="29" t="str">
        <f t="shared" si="222"/>
        <v>#DIV/0!</v>
      </c>
      <c r="AW219" s="29" t="str">
        <f t="shared" si="222"/>
        <v>#DIV/0!</v>
      </c>
      <c r="AX219" s="29" t="str">
        <f t="shared" si="222"/>
        <v>#DIV/0!</v>
      </c>
      <c r="AY219" s="29" t="str">
        <f t="shared" si="222"/>
        <v>#DIV/0!</v>
      </c>
      <c r="AZ219" s="29" t="str">
        <f t="shared" si="222"/>
        <v>#DIV/0!</v>
      </c>
      <c r="BA219" s="29" t="str">
        <f t="shared" si="222"/>
        <v>#DIV/0!</v>
      </c>
      <c r="BB219" s="29" t="str">
        <f t="shared" si="222"/>
        <v>#DIV/0!</v>
      </c>
      <c r="BC219" s="29" t="str">
        <f t="shared" si="222"/>
        <v>#DIV/0!</v>
      </c>
      <c r="BD219" s="29" t="str">
        <f t="shared" si="222"/>
        <v>#DIV/0!</v>
      </c>
      <c r="BE219" s="29" t="str">
        <f t="shared" si="222"/>
        <v>#DIV/0!</v>
      </c>
      <c r="BF219" s="29" t="str">
        <f t="shared" si="222"/>
        <v>#DIV/0!</v>
      </c>
      <c r="BG219" s="29" t="str">
        <f t="shared" si="222"/>
        <v>#DIV/0!</v>
      </c>
      <c r="BH219" s="29" t="str">
        <f t="shared" si="222"/>
        <v>#DIV/0!</v>
      </c>
      <c r="BI219" s="29" t="str">
        <f t="shared" si="222"/>
        <v>#DIV/0!</v>
      </c>
      <c r="BJ219" s="29" t="str">
        <f t="shared" si="222"/>
        <v>#DIV/0!</v>
      </c>
      <c r="BK219" s="29" t="str">
        <f t="shared" si="222"/>
        <v>#DIV/0!</v>
      </c>
      <c r="BL219" s="29" t="str">
        <f t="shared" si="222"/>
        <v>#DIV/0!</v>
      </c>
      <c r="BM219" s="29" t="str">
        <f t="shared" si="3"/>
        <v>#DIV/0!</v>
      </c>
    </row>
    <row r="220">
      <c r="A220" s="16" t="str">
        <f>IFERROR(__xludf.DUMMYFUNCTION("IFERROR(SPARKLINE(SORT(MAP(TRANSPOSE(AQ220:BL220), LAMBDA(val, IF(ISNUMBER(val), PERCENTRANK(AQ220:BL220, val)+0.01, 0))), SEQUENCE(COLUMNS(AQ220:BL220)), FALSE), {""charttype"",""column""; ""color"",""chartreuse""; ""ymin"", 0; ""ymax"", 1.01; ""highcolo"&amp;"r"", ""darkgreen""; ""lowcolor"", ""red""}), """")"),"")</f>
        <v/>
      </c>
      <c r="B220" s="17" t="str">
        <f t="shared" si="4"/>
        <v/>
      </c>
      <c r="C220" s="1" t="s">
        <v>1048</v>
      </c>
      <c r="D220" s="34" t="str">
        <f>IFERROR(__xludf.DUMMYFUNCTION("IFERROR(GOOGLEFINANCE(C220, ""NAME""))"),"GP-Act III Acquisition Corp")</f>
        <v>GP-Act III Acquisition Corp</v>
      </c>
      <c r="E220" s="30" t="s">
        <v>161</v>
      </c>
      <c r="F220" s="33" t="str">
        <f>IFERROR(__xludf.DUMMYFUNCTION("( (GOOGLEFINANCE(C220, ""price"") - Q220) / Q220 ) / (R220 / 100)"),"Loading...")</f>
        <v>Loading...</v>
      </c>
      <c r="G220" s="20" t="str">
        <f>IFERROR(__xludf.DUMMYFUNCTION("AVERAGE(ARRAYFORMULA(100 * (QUERY(GOOGLEFINANCE(C220, ""high"", TODAY()-40, TODAY()), ""SELECT Col2 WHERE Col2 IS NOT NULL ORDER BY Col1 DESC LIMIT 20"", 0) / QUERY(GOOGLEFINANCE(C220, ""low"", TODAY()-40, TODAY()), ""SELECT Col2 WHERE Col2 IS NOT NULL OR"&amp;"DER BY Col1 DESC LIMIT 20"", 0) - 1)))"),"#N/A")</f>
        <v>#N/A</v>
      </c>
      <c r="H220" s="35" t="str">
        <f t="shared" si="6"/>
        <v/>
      </c>
      <c r="I220" s="36" t="str">
        <f t="shared" si="7"/>
        <v/>
      </c>
      <c r="J220" s="37" t="str">
        <f>IFERROR(__xludf.DUMMYFUNCTION("IFERROR(
  IF(C220="""",, 
    IFERROR(
      GOOGLEFINANCE(C220, ""price"") * GOOGLEFINANCE(C220, ""volumeavg""), 
      GOOGLEFINANCE(C220, ""price"") * AVERAGE(QUERY(GOOGLEFINANCE(C220, ""volume"", TODAY()-40, TODAY()), ""SELECT Col2 WHERE Col2 IS NOT "&amp;"NULL ORDER BY Col1 DESC LIMIT 20"", 0))
    )
  ), 
"""")"),"")</f>
        <v/>
      </c>
      <c r="K220" s="21" t="str">
        <f>IFERROR(__xludf.DUMMYFUNCTION("IFERROR(GOOGLEFINANCE(C220, ""changepct"") / 100, """")"),"")</f>
        <v/>
      </c>
      <c r="L220" s="21" t="str">
        <f>IFERROR(__xludf.DUMMYFUNCTION("IFERROR((GOOGLEFINANCE(C220, ""price"") / INDEX(GOOGLEFINANCE(C220, ""price"", TODAY()-7, TODAY()), 2, 2)) - 1, """")"),"")</f>
        <v/>
      </c>
      <c r="M220" s="21" t="str">
        <f>IFERROR(__xludf.DUMMYFUNCTION("IFERROR((GOOGLEFINANCE(C220, ""price"") / INDEX(GOOGLEFINANCE(C220, ""price"", EDATE(TODAY(), -1), TODAY()), 2, 2)) - 1, """")"),"")</f>
        <v/>
      </c>
      <c r="N220" s="21" t="str">
        <f>IFERROR(__xludf.DUMMYFUNCTION("IFERROR((GOOGLEFINANCE(C220, ""price"") / INDEX(GOOGLEFINANCE(C220, ""price"", EDATE(TODAY(), -3), TODAY()), 2, 2)) - 1, """")"),"")</f>
        <v/>
      </c>
      <c r="O220" s="21" t="str">
        <f>IFERROR(__xludf.DUMMYFUNCTION("IFERROR((GOOGLEFINANCE(C220, ""price"") / INDEX(GOOGLEFINANCE(C220, ""price"", EDATE(TODAY(), -6), TODAY()), 2, 2)) - 1, """")"),"")</f>
        <v/>
      </c>
      <c r="P220" s="21" t="str">
        <f>IFERROR(__xludf.DUMMYFUNCTION("IFERROR((GOOGLEFINANCE(C220, ""price"") / INDEX(GOOGLEFINANCE(C220, ""price"", EDATE(TODAY(), -12), TODAY()), 2, 2)) - 1, """")"),"")</f>
        <v/>
      </c>
      <c r="Q220" s="6" t="str">
        <f>IFERROR(__xludf.DUMMYFUNCTION("AVERAGE(QUERY(GOOGLEFINANCE(C220, ""price"", TODAY()-80, TODAY()), ""SELECT Col2 WHERE Col2 IS NOT NULL ORDER BY Col1 DESC LIMIT 50"", 0))"),"#N/A")</f>
        <v>#N/A</v>
      </c>
      <c r="R220" s="24" t="str">
        <f>IFERROR(__xludf.DUMMYFUNCTION("IFERROR(
  LET(
    data, QUERY(GOOGLEFINANCE(C220,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GOOGLEFINANCE(C220, ""price"")) * 100,
    IF(calc=0, G220, calc)
  ), 
G220)"),"#N/A")</f>
        <v>#N/A</v>
      </c>
      <c r="S220" s="8" t="s">
        <v>15</v>
      </c>
      <c r="T220" s="26" t="str">
        <f>IFERROR(__xludf.DUMMYFUNCTION("IFERROR(TRANSPOSE(QUERY(IFERROR(SORT(GOOGLEFINANCE(C220, ""price"", WORKDAY(TODAY(), -40), TODAY()), 1, FALSE)), ""select Col2 where Col2 is not null limit 22 label Col2 ''"", 0)), """")"),"")</f>
        <v/>
      </c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8"/>
      <c r="AO220" s="28"/>
      <c r="AP220" s="29"/>
      <c r="AQ220" s="29" t="str">
        <f t="shared" ref="AQ220:BL220" si="223">T220/T$2</f>
        <v>#N/A</v>
      </c>
      <c r="AR220" s="29" t="str">
        <f t="shared" si="223"/>
        <v>#DIV/0!</v>
      </c>
      <c r="AS220" s="29" t="str">
        <f t="shared" si="223"/>
        <v>#DIV/0!</v>
      </c>
      <c r="AT220" s="29" t="str">
        <f t="shared" si="223"/>
        <v>#DIV/0!</v>
      </c>
      <c r="AU220" s="29" t="str">
        <f t="shared" si="223"/>
        <v>#DIV/0!</v>
      </c>
      <c r="AV220" s="29" t="str">
        <f t="shared" si="223"/>
        <v>#DIV/0!</v>
      </c>
      <c r="AW220" s="29" t="str">
        <f t="shared" si="223"/>
        <v>#DIV/0!</v>
      </c>
      <c r="AX220" s="29" t="str">
        <f t="shared" si="223"/>
        <v>#DIV/0!</v>
      </c>
      <c r="AY220" s="29" t="str">
        <f t="shared" si="223"/>
        <v>#DIV/0!</v>
      </c>
      <c r="AZ220" s="29" t="str">
        <f t="shared" si="223"/>
        <v>#DIV/0!</v>
      </c>
      <c r="BA220" s="29" t="str">
        <f t="shared" si="223"/>
        <v>#DIV/0!</v>
      </c>
      <c r="BB220" s="29" t="str">
        <f t="shared" si="223"/>
        <v>#DIV/0!</v>
      </c>
      <c r="BC220" s="29" t="str">
        <f t="shared" si="223"/>
        <v>#DIV/0!</v>
      </c>
      <c r="BD220" s="29" t="str">
        <f t="shared" si="223"/>
        <v>#DIV/0!</v>
      </c>
      <c r="BE220" s="29" t="str">
        <f t="shared" si="223"/>
        <v>#DIV/0!</v>
      </c>
      <c r="BF220" s="29" t="str">
        <f t="shared" si="223"/>
        <v>#DIV/0!</v>
      </c>
      <c r="BG220" s="29" t="str">
        <f t="shared" si="223"/>
        <v>#DIV/0!</v>
      </c>
      <c r="BH220" s="29" t="str">
        <f t="shared" si="223"/>
        <v>#DIV/0!</v>
      </c>
      <c r="BI220" s="29" t="str">
        <f t="shared" si="223"/>
        <v>#DIV/0!</v>
      </c>
      <c r="BJ220" s="29" t="str">
        <f t="shared" si="223"/>
        <v>#DIV/0!</v>
      </c>
      <c r="BK220" s="29" t="str">
        <f t="shared" si="223"/>
        <v>#DIV/0!</v>
      </c>
      <c r="BL220" s="29" t="str">
        <f t="shared" si="223"/>
        <v>#DIV/0!</v>
      </c>
      <c r="BM220" s="29" t="str">
        <f t="shared" si="3"/>
        <v>#DIV/0!</v>
      </c>
    </row>
    <row r="221">
      <c r="A221" s="16" t="str">
        <f>IFERROR(__xludf.DUMMYFUNCTION("IFERROR(SPARKLINE(SORT(MAP(TRANSPOSE(AQ221:BL221), LAMBDA(val, IF(ISNUMBER(val), PERCENTRANK(AQ221:BL221, val)+0.01, 0))), SEQUENCE(COLUMNS(AQ221:BL221)), FALSE), {""charttype"",""column""; ""color"",""chartreuse""; ""ymin"", 0; ""ymax"", 1.01; ""highcolo"&amp;"r"", ""darkgreen""; ""lowcolor"", ""red""}), """")"),"")</f>
        <v/>
      </c>
      <c r="B221" s="17" t="str">
        <f t="shared" si="4"/>
        <v/>
      </c>
      <c r="C221" s="1" t="s">
        <v>1053</v>
      </c>
      <c r="D221" s="34" t="str">
        <f>IFERROR(__xludf.DUMMYFUNCTION("IFERROR(GOOGLEFINANCE(C221, ""NAME""))"),"ProCap Acquisition Corp")</f>
        <v>ProCap Acquisition Corp</v>
      </c>
      <c r="E221" s="30" t="s">
        <v>161</v>
      </c>
      <c r="F221" s="33" t="str">
        <f>IFERROR(__xludf.DUMMYFUNCTION("( (GOOGLEFINANCE(C221, ""price"") - Q221) / Q221 ) / (R221 / 100)"),"Loading...")</f>
        <v>Loading...</v>
      </c>
      <c r="G221" s="20" t="str">
        <f>IFERROR(__xludf.DUMMYFUNCTION("AVERAGE(ARRAYFORMULA(100 * (QUERY(GOOGLEFINANCE(C221, ""high"", TODAY()-40, TODAY()), ""SELECT Col2 WHERE Col2 IS NOT NULL ORDER BY Col1 DESC LIMIT 20"", 0) / QUERY(GOOGLEFINANCE(C221, ""low"", TODAY()-40, TODAY()), ""SELECT Col2 WHERE Col2 IS NOT NULL OR"&amp;"DER BY Col1 DESC LIMIT 20"", 0) - 1)))"),"#N/A")</f>
        <v>#N/A</v>
      </c>
      <c r="H221" s="35" t="str">
        <f t="shared" si="6"/>
        <v/>
      </c>
      <c r="I221" s="36" t="str">
        <f t="shared" si="7"/>
        <v/>
      </c>
      <c r="J221" s="37" t="str">
        <f>IFERROR(__xludf.DUMMYFUNCTION("IFERROR(
  IF(C221="""",, 
    IFERROR(
      GOOGLEFINANCE(C221, ""price"") * GOOGLEFINANCE(C221, ""volumeavg""), 
      GOOGLEFINANCE(C221, ""price"") * AVERAGE(QUERY(GOOGLEFINANCE(C221, ""volume"", TODAY()-40, TODAY()), ""SELECT Col2 WHERE Col2 IS NOT "&amp;"NULL ORDER BY Col1 DESC LIMIT 20"", 0))
    )
  ), 
"""")"),"")</f>
        <v/>
      </c>
      <c r="K221" s="21" t="str">
        <f>IFERROR(__xludf.DUMMYFUNCTION("IFERROR(GOOGLEFINANCE(C221, ""changepct"") / 100, """")"),"")</f>
        <v/>
      </c>
      <c r="L221" s="21" t="str">
        <f>IFERROR(__xludf.DUMMYFUNCTION("IFERROR((GOOGLEFINANCE(C221, ""price"") / INDEX(GOOGLEFINANCE(C221, ""price"", TODAY()-7, TODAY()), 2, 2)) - 1, """")"),"")</f>
        <v/>
      </c>
      <c r="M221" s="21" t="str">
        <f>IFERROR(__xludf.DUMMYFUNCTION("IFERROR((GOOGLEFINANCE(C221, ""price"") / INDEX(GOOGLEFINANCE(C221, ""price"", EDATE(TODAY(), -1), TODAY()), 2, 2)) - 1, """")"),"")</f>
        <v/>
      </c>
      <c r="N221" s="21" t="str">
        <f>IFERROR(__xludf.DUMMYFUNCTION("IFERROR((GOOGLEFINANCE(C221, ""price"") / INDEX(GOOGLEFINANCE(C221, ""price"", EDATE(TODAY(), -3), TODAY()), 2, 2)) - 1, """")"),"")</f>
        <v/>
      </c>
      <c r="O221" s="21" t="str">
        <f>IFERROR(__xludf.DUMMYFUNCTION("IFERROR((GOOGLEFINANCE(C221, ""price"") / INDEX(GOOGLEFINANCE(C221, ""price"", EDATE(TODAY(), -6), TODAY()), 2, 2)) - 1, """")"),"")</f>
        <v/>
      </c>
      <c r="P221" s="21" t="str">
        <f>IFERROR(__xludf.DUMMYFUNCTION("IFERROR((GOOGLEFINANCE(C221, ""price"") / INDEX(GOOGLEFINANCE(C221, ""price"", EDATE(TODAY(), -12), TODAY()), 2, 2)) - 1, """")"),"")</f>
        <v/>
      </c>
      <c r="Q221" s="6" t="str">
        <f>IFERROR(__xludf.DUMMYFUNCTION("AVERAGE(QUERY(GOOGLEFINANCE(C221, ""price"", TODAY()-80, TODAY()), ""SELECT Col2 WHERE Col2 IS NOT NULL ORDER BY Col1 DESC LIMIT 50"", 0))"),"#N/A")</f>
        <v>#N/A</v>
      </c>
      <c r="R221" s="24" t="str">
        <f>IFERROR(__xludf.DUMMYFUNCTION("IFERROR(
  LET(
    data, QUERY(GOOGLEFINANCE(C221,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GOOGLEFINANCE(C221, ""price"")) * 100,
    IF(calc=0, G221, calc)
  ), 
G221)"),"#N/A")</f>
        <v>#N/A</v>
      </c>
      <c r="S221" s="8" t="s">
        <v>15</v>
      </c>
      <c r="T221" s="26" t="str">
        <f>IFERROR(__xludf.DUMMYFUNCTION("IFERROR(TRANSPOSE(QUERY(IFERROR(SORT(GOOGLEFINANCE(C221, ""price"", WORKDAY(TODAY(), -40), TODAY()), 1, FALSE)), ""select Col2 where Col2 is not null limit 22 label Col2 ''"", 0)), """")"),"")</f>
        <v/>
      </c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8"/>
      <c r="AO221" s="28"/>
      <c r="AP221" s="29"/>
      <c r="AQ221" s="29" t="str">
        <f t="shared" ref="AQ221:BL221" si="224">T221/T$2</f>
        <v>#N/A</v>
      </c>
      <c r="AR221" s="29" t="str">
        <f t="shared" si="224"/>
        <v>#DIV/0!</v>
      </c>
      <c r="AS221" s="29" t="str">
        <f t="shared" si="224"/>
        <v>#DIV/0!</v>
      </c>
      <c r="AT221" s="29" t="str">
        <f t="shared" si="224"/>
        <v>#DIV/0!</v>
      </c>
      <c r="AU221" s="29" t="str">
        <f t="shared" si="224"/>
        <v>#DIV/0!</v>
      </c>
      <c r="AV221" s="29" t="str">
        <f t="shared" si="224"/>
        <v>#DIV/0!</v>
      </c>
      <c r="AW221" s="29" t="str">
        <f t="shared" si="224"/>
        <v>#DIV/0!</v>
      </c>
      <c r="AX221" s="29" t="str">
        <f t="shared" si="224"/>
        <v>#DIV/0!</v>
      </c>
      <c r="AY221" s="29" t="str">
        <f t="shared" si="224"/>
        <v>#DIV/0!</v>
      </c>
      <c r="AZ221" s="29" t="str">
        <f t="shared" si="224"/>
        <v>#DIV/0!</v>
      </c>
      <c r="BA221" s="29" t="str">
        <f t="shared" si="224"/>
        <v>#DIV/0!</v>
      </c>
      <c r="BB221" s="29" t="str">
        <f t="shared" si="224"/>
        <v>#DIV/0!</v>
      </c>
      <c r="BC221" s="29" t="str">
        <f t="shared" si="224"/>
        <v>#DIV/0!</v>
      </c>
      <c r="BD221" s="29" t="str">
        <f t="shared" si="224"/>
        <v>#DIV/0!</v>
      </c>
      <c r="BE221" s="29" t="str">
        <f t="shared" si="224"/>
        <v>#DIV/0!</v>
      </c>
      <c r="BF221" s="29" t="str">
        <f t="shared" si="224"/>
        <v>#DIV/0!</v>
      </c>
      <c r="BG221" s="29" t="str">
        <f t="shared" si="224"/>
        <v>#DIV/0!</v>
      </c>
      <c r="BH221" s="29" t="str">
        <f t="shared" si="224"/>
        <v>#DIV/0!</v>
      </c>
      <c r="BI221" s="29" t="str">
        <f t="shared" si="224"/>
        <v>#DIV/0!</v>
      </c>
      <c r="BJ221" s="29" t="str">
        <f t="shared" si="224"/>
        <v>#DIV/0!</v>
      </c>
      <c r="BK221" s="29" t="str">
        <f t="shared" si="224"/>
        <v>#DIV/0!</v>
      </c>
      <c r="BL221" s="29" t="str">
        <f t="shared" si="224"/>
        <v>#DIV/0!</v>
      </c>
      <c r="BM221" s="29" t="str">
        <f t="shared" si="3"/>
        <v>#DIV/0!</v>
      </c>
    </row>
    <row r="222">
      <c r="A222" s="16" t="str">
        <f>IFERROR(__xludf.DUMMYFUNCTION("IFERROR(SPARKLINE(SORT(MAP(TRANSPOSE(AQ222:BL222), LAMBDA(val, IF(ISNUMBER(val), PERCENTRANK(AQ222:BL222, val)+0.01, 0))), SEQUENCE(COLUMNS(AQ222:BL222)), FALSE), {""charttype"",""column""; ""color"",""chartreuse""; ""ymin"", 0; ""ymax"", 1.01; ""highcolo"&amp;"r"", ""darkgreen""; ""lowcolor"", ""red""}), """")"),"")</f>
        <v/>
      </c>
      <c r="B222" s="17" t="str">
        <f t="shared" si="4"/>
        <v/>
      </c>
      <c r="C222" s="1" t="s">
        <v>1058</v>
      </c>
      <c r="D222" s="34" t="str">
        <f>IFERROR(__xludf.DUMMYFUNCTION("IFERROR(GOOGLEFINANCE(C222, ""NAME""))"),"Andretti Acquisition Corp. II")</f>
        <v>Andretti Acquisition Corp. II</v>
      </c>
      <c r="E222" s="30" t="s">
        <v>161</v>
      </c>
      <c r="F222" s="33" t="str">
        <f>IFERROR(__xludf.DUMMYFUNCTION("( (GOOGLEFINANCE(C222, ""price"") - Q222) / Q222 ) / (R222 / 100)"),"Loading...")</f>
        <v>Loading...</v>
      </c>
      <c r="G222" s="20" t="str">
        <f>IFERROR(__xludf.DUMMYFUNCTION("AVERAGE(ARRAYFORMULA(100 * (QUERY(GOOGLEFINANCE(C222, ""high"", TODAY()-40, TODAY()), ""SELECT Col2 WHERE Col2 IS NOT NULL ORDER BY Col1 DESC LIMIT 20"", 0) / QUERY(GOOGLEFINANCE(C222, ""low"", TODAY()-40, TODAY()), ""SELECT Col2 WHERE Col2 IS NOT NULL OR"&amp;"DER BY Col1 DESC LIMIT 20"", 0) - 1)))"),"#N/A")</f>
        <v>#N/A</v>
      </c>
      <c r="H222" s="35" t="str">
        <f t="shared" si="6"/>
        <v/>
      </c>
      <c r="I222" s="36" t="str">
        <f t="shared" si="7"/>
        <v/>
      </c>
      <c r="J222" s="37" t="str">
        <f>IFERROR(__xludf.DUMMYFUNCTION("IFERROR(
  IF(C222="""",, 
    IFERROR(
      GOOGLEFINANCE(C222, ""price"") * GOOGLEFINANCE(C222, ""volumeavg""), 
      GOOGLEFINANCE(C222, ""price"") * AVERAGE(QUERY(GOOGLEFINANCE(C222, ""volume"", TODAY()-40, TODAY()), ""SELECT Col2 WHERE Col2 IS NOT "&amp;"NULL ORDER BY Col1 DESC LIMIT 20"", 0))
    )
  ), 
"""")"),"")</f>
        <v/>
      </c>
      <c r="K222" s="21" t="str">
        <f>IFERROR(__xludf.DUMMYFUNCTION("IFERROR(GOOGLEFINANCE(C222, ""changepct"") / 100, """")"),"")</f>
        <v/>
      </c>
      <c r="L222" s="21" t="str">
        <f>IFERROR(__xludf.DUMMYFUNCTION("IFERROR((GOOGLEFINANCE(C222, ""price"") / INDEX(GOOGLEFINANCE(C222, ""price"", TODAY()-7, TODAY()), 2, 2)) - 1, """")"),"")</f>
        <v/>
      </c>
      <c r="M222" s="21" t="str">
        <f>IFERROR(__xludf.DUMMYFUNCTION("IFERROR((GOOGLEFINANCE(C222, ""price"") / INDEX(GOOGLEFINANCE(C222, ""price"", EDATE(TODAY(), -1), TODAY()), 2, 2)) - 1, """")"),"")</f>
        <v/>
      </c>
      <c r="N222" s="21" t="str">
        <f>IFERROR(__xludf.DUMMYFUNCTION("IFERROR((GOOGLEFINANCE(C222, ""price"") / INDEX(GOOGLEFINANCE(C222, ""price"", EDATE(TODAY(), -3), TODAY()), 2, 2)) - 1, """")"),"")</f>
        <v/>
      </c>
      <c r="O222" s="21" t="str">
        <f>IFERROR(__xludf.DUMMYFUNCTION("IFERROR((GOOGLEFINANCE(C222, ""price"") / INDEX(GOOGLEFINANCE(C222, ""price"", EDATE(TODAY(), -6), TODAY()), 2, 2)) - 1, """")"),"")</f>
        <v/>
      </c>
      <c r="P222" s="21" t="str">
        <f>IFERROR(__xludf.DUMMYFUNCTION("IFERROR((GOOGLEFINANCE(C222, ""price"") / INDEX(GOOGLEFINANCE(C222, ""price"", EDATE(TODAY(), -12), TODAY()), 2, 2)) - 1, """")"),"")</f>
        <v/>
      </c>
      <c r="Q222" s="6" t="str">
        <f>IFERROR(__xludf.DUMMYFUNCTION("AVERAGE(QUERY(GOOGLEFINANCE(C222, ""price"", TODAY()-80, TODAY()), ""SELECT Col2 WHERE Col2 IS NOT NULL ORDER BY Col1 DESC LIMIT 50"", 0))"),"#N/A")</f>
        <v>#N/A</v>
      </c>
      <c r="R222" s="24" t="str">
        <f>IFERROR(__xludf.DUMMYFUNCTION("IFERROR(
  LET(
    data, QUERY(GOOGLEFINANCE(C222,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GOOGLEFINANCE(C222, ""price"")) * 100,
    IF(calc=0, G222, calc)
  ), 
G222)"),"#N/A")</f>
        <v>#N/A</v>
      </c>
      <c r="S222" s="8" t="s">
        <v>15</v>
      </c>
      <c r="T222" s="26" t="str">
        <f>IFERROR(__xludf.DUMMYFUNCTION("IFERROR(TRANSPOSE(QUERY(IFERROR(SORT(GOOGLEFINANCE(C222, ""price"", WORKDAY(TODAY(), -40), TODAY()), 1, FALSE)), ""select Col2 where Col2 is not null limit 22 label Col2 ''"", 0)), """")"),"")</f>
        <v/>
      </c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8"/>
      <c r="AO222" s="28"/>
      <c r="AP222" s="29"/>
      <c r="AQ222" s="29" t="str">
        <f t="shared" ref="AQ222:BL222" si="225">T222/T$2</f>
        <v>#N/A</v>
      </c>
      <c r="AR222" s="29" t="str">
        <f t="shared" si="225"/>
        <v>#DIV/0!</v>
      </c>
      <c r="AS222" s="29" t="str">
        <f t="shared" si="225"/>
        <v>#DIV/0!</v>
      </c>
      <c r="AT222" s="29" t="str">
        <f t="shared" si="225"/>
        <v>#DIV/0!</v>
      </c>
      <c r="AU222" s="29" t="str">
        <f t="shared" si="225"/>
        <v>#DIV/0!</v>
      </c>
      <c r="AV222" s="29" t="str">
        <f t="shared" si="225"/>
        <v>#DIV/0!</v>
      </c>
      <c r="AW222" s="29" t="str">
        <f t="shared" si="225"/>
        <v>#DIV/0!</v>
      </c>
      <c r="AX222" s="29" t="str">
        <f t="shared" si="225"/>
        <v>#DIV/0!</v>
      </c>
      <c r="AY222" s="29" t="str">
        <f t="shared" si="225"/>
        <v>#DIV/0!</v>
      </c>
      <c r="AZ222" s="29" t="str">
        <f t="shared" si="225"/>
        <v>#DIV/0!</v>
      </c>
      <c r="BA222" s="29" t="str">
        <f t="shared" si="225"/>
        <v>#DIV/0!</v>
      </c>
      <c r="BB222" s="29" t="str">
        <f t="shared" si="225"/>
        <v>#DIV/0!</v>
      </c>
      <c r="BC222" s="29" t="str">
        <f t="shared" si="225"/>
        <v>#DIV/0!</v>
      </c>
      <c r="BD222" s="29" t="str">
        <f t="shared" si="225"/>
        <v>#DIV/0!</v>
      </c>
      <c r="BE222" s="29" t="str">
        <f t="shared" si="225"/>
        <v>#DIV/0!</v>
      </c>
      <c r="BF222" s="29" t="str">
        <f t="shared" si="225"/>
        <v>#DIV/0!</v>
      </c>
      <c r="BG222" s="29" t="str">
        <f t="shared" si="225"/>
        <v>#DIV/0!</v>
      </c>
      <c r="BH222" s="29" t="str">
        <f t="shared" si="225"/>
        <v>#DIV/0!</v>
      </c>
      <c r="BI222" s="29" t="str">
        <f t="shared" si="225"/>
        <v>#DIV/0!</v>
      </c>
      <c r="BJ222" s="29" t="str">
        <f t="shared" si="225"/>
        <v>#DIV/0!</v>
      </c>
      <c r="BK222" s="29" t="str">
        <f t="shared" si="225"/>
        <v>#DIV/0!</v>
      </c>
      <c r="BL222" s="29" t="str">
        <f t="shared" si="225"/>
        <v>#DIV/0!</v>
      </c>
      <c r="BM222" s="29" t="str">
        <f t="shared" si="3"/>
        <v>#DIV/0!</v>
      </c>
    </row>
    <row r="223">
      <c r="A223" s="16" t="str">
        <f>IFERROR(__xludf.DUMMYFUNCTION("IFERROR(SPARKLINE(SORT(MAP(TRANSPOSE(AQ223:BL223), LAMBDA(val, IF(ISNUMBER(val), PERCENTRANK(AQ223:BL223, val)+0.01, 0))), SEQUENCE(COLUMNS(AQ223:BL223)), FALSE), {""charttype"",""column""; ""color"",""chartreuse""; ""ymin"", 0; ""ymax"", 1.01; ""highcolo"&amp;"r"", ""darkgreen""; ""lowcolor"", ""red""}), """")"),"")</f>
        <v/>
      </c>
      <c r="B223" s="17" t="str">
        <f t="shared" si="4"/>
        <v/>
      </c>
      <c r="C223" s="1" t="s">
        <v>1061</v>
      </c>
      <c r="D223" s="34" t="str">
        <f>IFERROR(__xludf.DUMMYFUNCTION("IFERROR(GOOGLEFINANCE(C223, ""NAME""))"),"Republic Digital Acquisition Co")</f>
        <v>Republic Digital Acquisition Co</v>
      </c>
      <c r="E223" s="30" t="s">
        <v>161</v>
      </c>
      <c r="F223" s="33" t="str">
        <f>IFERROR(__xludf.DUMMYFUNCTION("( (GOOGLEFINANCE(C223, ""price"") - Q223) / Q223 ) / (R223 / 100)"),"Loading...")</f>
        <v>Loading...</v>
      </c>
      <c r="G223" s="20" t="str">
        <f>IFERROR(__xludf.DUMMYFUNCTION("AVERAGE(ARRAYFORMULA(100 * (QUERY(GOOGLEFINANCE(C223, ""high"", TODAY()-40, TODAY()), ""SELECT Col2 WHERE Col2 IS NOT NULL ORDER BY Col1 DESC LIMIT 20"", 0) / QUERY(GOOGLEFINANCE(C223, ""low"", TODAY()-40, TODAY()), ""SELECT Col2 WHERE Col2 IS NOT NULL OR"&amp;"DER BY Col1 DESC LIMIT 20"", 0) - 1)))"),"#N/A")</f>
        <v>#N/A</v>
      </c>
      <c r="H223" s="35" t="str">
        <f t="shared" si="6"/>
        <v/>
      </c>
      <c r="I223" s="36" t="str">
        <f t="shared" si="7"/>
        <v/>
      </c>
      <c r="J223" s="37" t="str">
        <f>IFERROR(__xludf.DUMMYFUNCTION("IFERROR(
  IF(C223="""",, 
    IFERROR(
      GOOGLEFINANCE(C223, ""price"") * GOOGLEFINANCE(C223, ""volumeavg""), 
      GOOGLEFINANCE(C223, ""price"") * AVERAGE(QUERY(GOOGLEFINANCE(C223, ""volume"", TODAY()-40, TODAY()), ""SELECT Col2 WHERE Col2 IS NOT "&amp;"NULL ORDER BY Col1 DESC LIMIT 20"", 0))
    )
  ), 
"""")"),"")</f>
        <v/>
      </c>
      <c r="K223" s="21" t="str">
        <f>IFERROR(__xludf.DUMMYFUNCTION("IFERROR(GOOGLEFINANCE(C223, ""changepct"") / 100, """")"),"")</f>
        <v/>
      </c>
      <c r="L223" s="21" t="str">
        <f>IFERROR(__xludf.DUMMYFUNCTION("IFERROR((GOOGLEFINANCE(C223, ""price"") / INDEX(GOOGLEFINANCE(C223, ""price"", TODAY()-7, TODAY()), 2, 2)) - 1, """")"),"")</f>
        <v/>
      </c>
      <c r="M223" s="21" t="str">
        <f>IFERROR(__xludf.DUMMYFUNCTION("IFERROR((GOOGLEFINANCE(C223, ""price"") / INDEX(GOOGLEFINANCE(C223, ""price"", EDATE(TODAY(), -1), TODAY()), 2, 2)) - 1, """")"),"")</f>
        <v/>
      </c>
      <c r="N223" s="21" t="str">
        <f>IFERROR(__xludf.DUMMYFUNCTION("IFERROR((GOOGLEFINANCE(C223, ""price"") / INDEX(GOOGLEFINANCE(C223, ""price"", EDATE(TODAY(), -3), TODAY()), 2, 2)) - 1, """")"),"")</f>
        <v/>
      </c>
      <c r="O223" s="21" t="str">
        <f>IFERROR(__xludf.DUMMYFUNCTION("IFERROR((GOOGLEFINANCE(C223, ""price"") / INDEX(GOOGLEFINANCE(C223, ""price"", EDATE(TODAY(), -6), TODAY()), 2, 2)) - 1, """")"),"")</f>
        <v/>
      </c>
      <c r="P223" s="21" t="str">
        <f>IFERROR(__xludf.DUMMYFUNCTION("IFERROR((GOOGLEFINANCE(C223, ""price"") / INDEX(GOOGLEFINANCE(C223, ""price"", EDATE(TODAY(), -12), TODAY()), 2, 2)) - 1, """")"),"")</f>
        <v/>
      </c>
      <c r="Q223" s="6" t="str">
        <f>IFERROR(__xludf.DUMMYFUNCTION("AVERAGE(QUERY(GOOGLEFINANCE(C223, ""price"", TODAY()-80, TODAY()), ""SELECT Col2 WHERE Col2 IS NOT NULL ORDER BY Col1 DESC LIMIT 50"", 0))"),"#N/A")</f>
        <v>#N/A</v>
      </c>
      <c r="R223" s="24" t="str">
        <f>IFERROR(__xludf.DUMMYFUNCTION("IFERROR(
  LET(
    data, QUERY(GOOGLEFINANCE(C223,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GOOGLEFINANCE(C223, ""price"")) * 100,
    IF(calc=0, G223, calc)
  ), 
G223)"),"#N/A")</f>
        <v>#N/A</v>
      </c>
      <c r="S223" s="8" t="s">
        <v>15</v>
      </c>
      <c r="T223" s="26" t="str">
        <f>IFERROR(__xludf.DUMMYFUNCTION("IFERROR(TRANSPOSE(QUERY(IFERROR(SORT(GOOGLEFINANCE(C223, ""price"", WORKDAY(TODAY(), -40), TODAY()), 1, FALSE)), ""select Col2 where Col2 is not null limit 22 label Col2 ''"", 0)), """")"),"")</f>
        <v/>
      </c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8"/>
      <c r="AO223" s="28"/>
      <c r="AP223" s="29"/>
      <c r="AQ223" s="29" t="str">
        <f t="shared" ref="AQ223:BL223" si="226">T223/T$2</f>
        <v>#N/A</v>
      </c>
      <c r="AR223" s="29" t="str">
        <f t="shared" si="226"/>
        <v>#DIV/0!</v>
      </c>
      <c r="AS223" s="29" t="str">
        <f t="shared" si="226"/>
        <v>#DIV/0!</v>
      </c>
      <c r="AT223" s="29" t="str">
        <f t="shared" si="226"/>
        <v>#DIV/0!</v>
      </c>
      <c r="AU223" s="29" t="str">
        <f t="shared" si="226"/>
        <v>#DIV/0!</v>
      </c>
      <c r="AV223" s="29" t="str">
        <f t="shared" si="226"/>
        <v>#DIV/0!</v>
      </c>
      <c r="AW223" s="29" t="str">
        <f t="shared" si="226"/>
        <v>#DIV/0!</v>
      </c>
      <c r="AX223" s="29" t="str">
        <f t="shared" si="226"/>
        <v>#DIV/0!</v>
      </c>
      <c r="AY223" s="29" t="str">
        <f t="shared" si="226"/>
        <v>#DIV/0!</v>
      </c>
      <c r="AZ223" s="29" t="str">
        <f t="shared" si="226"/>
        <v>#DIV/0!</v>
      </c>
      <c r="BA223" s="29" t="str">
        <f t="shared" si="226"/>
        <v>#DIV/0!</v>
      </c>
      <c r="BB223" s="29" t="str">
        <f t="shared" si="226"/>
        <v>#DIV/0!</v>
      </c>
      <c r="BC223" s="29" t="str">
        <f t="shared" si="226"/>
        <v>#DIV/0!</v>
      </c>
      <c r="BD223" s="29" t="str">
        <f t="shared" si="226"/>
        <v>#DIV/0!</v>
      </c>
      <c r="BE223" s="29" t="str">
        <f t="shared" si="226"/>
        <v>#DIV/0!</v>
      </c>
      <c r="BF223" s="29" t="str">
        <f t="shared" si="226"/>
        <v>#DIV/0!</v>
      </c>
      <c r="BG223" s="29" t="str">
        <f t="shared" si="226"/>
        <v>#DIV/0!</v>
      </c>
      <c r="BH223" s="29" t="str">
        <f t="shared" si="226"/>
        <v>#DIV/0!</v>
      </c>
      <c r="BI223" s="29" t="str">
        <f t="shared" si="226"/>
        <v>#DIV/0!</v>
      </c>
      <c r="BJ223" s="29" t="str">
        <f t="shared" si="226"/>
        <v>#DIV/0!</v>
      </c>
      <c r="BK223" s="29" t="str">
        <f t="shared" si="226"/>
        <v>#DIV/0!</v>
      </c>
      <c r="BL223" s="29" t="str">
        <f t="shared" si="226"/>
        <v>#DIV/0!</v>
      </c>
      <c r="BM223" s="29" t="str">
        <f t="shared" si="3"/>
        <v>#DIV/0!</v>
      </c>
    </row>
    <row r="224">
      <c r="A224" s="16" t="str">
        <f>IFERROR(__xludf.DUMMYFUNCTION("IFERROR(SPARKLINE(SORT(MAP(TRANSPOSE(AQ224:BL224), LAMBDA(val, IF(ISNUMBER(val), PERCENTRANK(AQ224:BL224, val)+0.01, 0))), SEQUENCE(COLUMNS(AQ224:BL224)), FALSE), {""charttype"",""column""; ""color"",""chartreuse""; ""ymin"", 0; ""ymax"", 1.01; ""highcolo"&amp;"r"", ""darkgreen""; ""lowcolor"", ""red""}), """")"),"")</f>
        <v/>
      </c>
      <c r="B224" s="17" t="str">
        <f t="shared" si="4"/>
        <v/>
      </c>
      <c r="C224" s="1" t="s">
        <v>1066</v>
      </c>
      <c r="D224" s="34" t="str">
        <f>IFERROR(__xludf.DUMMYFUNCTION("IFERROR(GOOGLEFINANCE(C224, ""NAME""))"),"BTC Development Corp")</f>
        <v>BTC Development Corp</v>
      </c>
      <c r="E224" s="30" t="s">
        <v>161</v>
      </c>
      <c r="F224" s="38" t="str">
        <f>IFERROR(__xludf.DUMMYFUNCTION("( (GOOGLEFINANCE(C224, ""price"") - Q224) / Q224 ) / (R224 / 100)"),"Loading...")</f>
        <v>Loading...</v>
      </c>
      <c r="G224" s="20" t="str">
        <f>IFERROR(__xludf.DUMMYFUNCTION("AVERAGE(ARRAYFORMULA(100 * (QUERY(GOOGLEFINANCE(C224, ""high"", TODAY()-40, TODAY()), ""SELECT Col2 WHERE Col2 IS NOT NULL ORDER BY Col1 DESC LIMIT 20"", 0) / QUERY(GOOGLEFINANCE(C224, ""low"", TODAY()-40, TODAY()), ""SELECT Col2 WHERE Col2 IS NOT NULL OR"&amp;"DER BY Col1 DESC LIMIT 20"", 0) - 1)))"),"#N/A")</f>
        <v>#N/A</v>
      </c>
      <c r="H224" s="35" t="str">
        <f t="shared" si="6"/>
        <v/>
      </c>
      <c r="I224" s="36" t="str">
        <f t="shared" si="7"/>
        <v/>
      </c>
      <c r="J224" s="37" t="str">
        <f>IFERROR(__xludf.DUMMYFUNCTION("IFERROR(
  IF(C224="""",, 
    IFERROR(
      GOOGLEFINANCE(C224, ""price"") * GOOGLEFINANCE(C224, ""volumeavg""), 
      GOOGLEFINANCE(C224, ""price"") * AVERAGE(QUERY(GOOGLEFINANCE(C224, ""volume"", TODAY()-40, TODAY()), ""SELECT Col2 WHERE Col2 IS NOT "&amp;"NULL ORDER BY Col1 DESC LIMIT 20"", 0))
    )
  ), 
"""")"),"")</f>
        <v/>
      </c>
      <c r="K224" s="21" t="str">
        <f>IFERROR(__xludf.DUMMYFUNCTION("IFERROR(GOOGLEFINANCE(C224, ""changepct"") / 100, """")"),"")</f>
        <v/>
      </c>
      <c r="L224" s="21" t="str">
        <f>IFERROR(__xludf.DUMMYFUNCTION("IFERROR((GOOGLEFINANCE(C224, ""price"") / INDEX(GOOGLEFINANCE(C224, ""price"", TODAY()-7, TODAY()), 2, 2)) - 1, """")"),"")</f>
        <v/>
      </c>
      <c r="M224" s="21" t="str">
        <f>IFERROR(__xludf.DUMMYFUNCTION("IFERROR((GOOGLEFINANCE(C224, ""price"") / INDEX(GOOGLEFINANCE(C224, ""price"", EDATE(TODAY(), -1), TODAY()), 2, 2)) - 1, """")"),"")</f>
        <v/>
      </c>
      <c r="N224" s="21" t="str">
        <f>IFERROR(__xludf.DUMMYFUNCTION("IFERROR((GOOGLEFINANCE(C224, ""price"") / INDEX(GOOGLEFINANCE(C224, ""price"", EDATE(TODAY(), -3), TODAY()), 2, 2)) - 1, """")"),"")</f>
        <v/>
      </c>
      <c r="O224" s="21" t="str">
        <f>IFERROR(__xludf.DUMMYFUNCTION("IFERROR((GOOGLEFINANCE(C224, ""price"") / INDEX(GOOGLEFINANCE(C224, ""price"", EDATE(TODAY(), -6), TODAY()), 2, 2)) - 1, """")"),"")</f>
        <v/>
      </c>
      <c r="P224" s="21" t="str">
        <f>IFERROR(__xludf.DUMMYFUNCTION("IFERROR((GOOGLEFINANCE(C224, ""price"") / INDEX(GOOGLEFINANCE(C224, ""price"", EDATE(TODAY(), -12), TODAY()), 2, 2)) - 1, """")"),"")</f>
        <v/>
      </c>
      <c r="Q224" s="6" t="str">
        <f>IFERROR(__xludf.DUMMYFUNCTION("AVERAGE(QUERY(GOOGLEFINANCE(C224, ""price"", TODAY()-80, TODAY()), ""SELECT Col2 WHERE Col2 IS NOT NULL ORDER BY Col1 DESC LIMIT 50"", 0))"),"#N/A")</f>
        <v>#N/A</v>
      </c>
      <c r="R224" s="24" t="str">
        <f>IFERROR(__xludf.DUMMYFUNCTION("IFERROR(
  LET(
    data, QUERY(GOOGLEFINANCE(C224,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GOOGLEFINANCE(C224, ""price"")) * 100,
    IF(calc=0, G224, calc)
  ), 
G224)"),"#N/A")</f>
        <v>#N/A</v>
      </c>
      <c r="S224" s="8" t="s">
        <v>15</v>
      </c>
      <c r="T224" s="26" t="str">
        <f>IFERROR(__xludf.DUMMYFUNCTION("IFERROR(TRANSPOSE(QUERY(IFERROR(SORT(GOOGLEFINANCE(C224, ""price"", WORKDAY(TODAY(), -40), TODAY()), 1, FALSE)), ""select Col2 where Col2 is not null limit 22 label Col2 ''"", 0)), """")"),"")</f>
        <v/>
      </c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8"/>
      <c r="AO224" s="28"/>
      <c r="AP224" s="29"/>
      <c r="AQ224" s="29" t="str">
        <f t="shared" ref="AQ224:BL224" si="227">T224/T$2</f>
        <v>#N/A</v>
      </c>
      <c r="AR224" s="29" t="str">
        <f t="shared" si="227"/>
        <v>#DIV/0!</v>
      </c>
      <c r="AS224" s="29" t="str">
        <f t="shared" si="227"/>
        <v>#DIV/0!</v>
      </c>
      <c r="AT224" s="29" t="str">
        <f t="shared" si="227"/>
        <v>#DIV/0!</v>
      </c>
      <c r="AU224" s="29" t="str">
        <f t="shared" si="227"/>
        <v>#DIV/0!</v>
      </c>
      <c r="AV224" s="29" t="str">
        <f t="shared" si="227"/>
        <v>#DIV/0!</v>
      </c>
      <c r="AW224" s="29" t="str">
        <f t="shared" si="227"/>
        <v>#DIV/0!</v>
      </c>
      <c r="AX224" s="29" t="str">
        <f t="shared" si="227"/>
        <v>#DIV/0!</v>
      </c>
      <c r="AY224" s="29" t="str">
        <f t="shared" si="227"/>
        <v>#DIV/0!</v>
      </c>
      <c r="AZ224" s="29" t="str">
        <f t="shared" si="227"/>
        <v>#DIV/0!</v>
      </c>
      <c r="BA224" s="29" t="str">
        <f t="shared" si="227"/>
        <v>#DIV/0!</v>
      </c>
      <c r="BB224" s="29" t="str">
        <f t="shared" si="227"/>
        <v>#DIV/0!</v>
      </c>
      <c r="BC224" s="29" t="str">
        <f t="shared" si="227"/>
        <v>#DIV/0!</v>
      </c>
      <c r="BD224" s="29" t="str">
        <f t="shared" si="227"/>
        <v>#DIV/0!</v>
      </c>
      <c r="BE224" s="29" t="str">
        <f t="shared" si="227"/>
        <v>#DIV/0!</v>
      </c>
      <c r="BF224" s="29" t="str">
        <f t="shared" si="227"/>
        <v>#DIV/0!</v>
      </c>
      <c r="BG224" s="29" t="str">
        <f t="shared" si="227"/>
        <v>#DIV/0!</v>
      </c>
      <c r="BH224" s="29" t="str">
        <f t="shared" si="227"/>
        <v>#DIV/0!</v>
      </c>
      <c r="BI224" s="29" t="str">
        <f t="shared" si="227"/>
        <v>#DIV/0!</v>
      </c>
      <c r="BJ224" s="29" t="str">
        <f t="shared" si="227"/>
        <v>#DIV/0!</v>
      </c>
      <c r="BK224" s="29" t="str">
        <f t="shared" si="227"/>
        <v>#DIV/0!</v>
      </c>
      <c r="BL224" s="29" t="str">
        <f t="shared" si="227"/>
        <v>#DIV/0!</v>
      </c>
      <c r="BM224" s="29" t="str">
        <f t="shared" si="3"/>
        <v>#DIV/0!</v>
      </c>
    </row>
    <row r="225">
      <c r="A225" s="16" t="str">
        <f>IFERROR(__xludf.DUMMYFUNCTION("IFERROR(SPARKLINE(SORT(MAP(TRANSPOSE(AQ225:BL225), LAMBDA(val, IF(ISNUMBER(val), PERCENTRANK(AQ225:BL225, val)+0.01, 0))), SEQUENCE(COLUMNS(AQ225:BL225)), FALSE), {""charttype"",""column""; ""color"",""chartreuse""; ""ymin"", 0; ""ymax"", 1.01; ""highcolo"&amp;"r"", ""darkgreen""; ""lowcolor"", ""red""}), """")"),"")</f>
        <v/>
      </c>
      <c r="B225" s="17" t="str">
        <f t="shared" si="4"/>
        <v/>
      </c>
      <c r="C225" s="1" t="s">
        <v>1070</v>
      </c>
      <c r="D225" s="34" t="str">
        <f>IFERROR(__xludf.DUMMYFUNCTION("IFERROR(GOOGLEFINANCE(C225, ""NAME""))"),"")</f>
        <v/>
      </c>
      <c r="E225" s="30" t="s">
        <v>161</v>
      </c>
      <c r="F225" s="33" t="str">
        <f>IFERROR(__xludf.DUMMYFUNCTION("( (GOOGLEFINANCE(C225, ""price"") - Q225) / Q225 ) / (R225 / 100)"),"Loading...")</f>
        <v>Loading...</v>
      </c>
      <c r="G225" s="20" t="str">
        <f>IFERROR(__xludf.DUMMYFUNCTION("AVERAGE(ARRAYFORMULA(100 * (QUERY(GOOGLEFINANCE(C225, ""high"", TODAY()-40, TODAY()), ""SELECT Col2 WHERE Col2 IS NOT NULL ORDER BY Col1 DESC LIMIT 20"", 0) / QUERY(GOOGLEFINANCE(C225, ""low"", TODAY()-40, TODAY()), ""SELECT Col2 WHERE Col2 IS NOT NULL OR"&amp;"DER BY Col1 DESC LIMIT 20"", 0) - 1)))"),"#N/A")</f>
        <v>#N/A</v>
      </c>
      <c r="H225" s="35" t="str">
        <f t="shared" si="6"/>
        <v/>
      </c>
      <c r="I225" s="36" t="str">
        <f t="shared" si="7"/>
        <v/>
      </c>
      <c r="J225" s="37" t="str">
        <f>IFERROR(__xludf.DUMMYFUNCTION("IFERROR(
  IF(C225="""",, 
    IFERROR(
      GOOGLEFINANCE(C225, ""price"") * GOOGLEFINANCE(C225, ""volumeavg""), 
      GOOGLEFINANCE(C225, ""price"") * AVERAGE(QUERY(GOOGLEFINANCE(C225, ""volume"", TODAY()-40, TODAY()), ""SELECT Col2 WHERE Col2 IS NOT "&amp;"NULL ORDER BY Col1 DESC LIMIT 20"", 0))
    )
  ), 
"""")"),"")</f>
        <v/>
      </c>
      <c r="K225" s="21" t="str">
        <f>IFERROR(__xludf.DUMMYFUNCTION("IFERROR(GOOGLEFINANCE(C225, ""changepct"") / 100, """")"),"")</f>
        <v/>
      </c>
      <c r="L225" s="21" t="str">
        <f>IFERROR(__xludf.DUMMYFUNCTION("IFERROR((GOOGLEFINANCE(C225, ""price"") / INDEX(GOOGLEFINANCE(C225, ""price"", TODAY()-7, TODAY()), 2, 2)) - 1, """")"),"")</f>
        <v/>
      </c>
      <c r="M225" s="21" t="str">
        <f>IFERROR(__xludf.DUMMYFUNCTION("IFERROR((GOOGLEFINANCE(C225, ""price"") / INDEX(GOOGLEFINANCE(C225, ""price"", EDATE(TODAY(), -1), TODAY()), 2, 2)) - 1, """")"),"")</f>
        <v/>
      </c>
      <c r="N225" s="21" t="str">
        <f>IFERROR(__xludf.DUMMYFUNCTION("IFERROR((GOOGLEFINANCE(C225, ""price"") / INDEX(GOOGLEFINANCE(C225, ""price"", EDATE(TODAY(), -3), TODAY()), 2, 2)) - 1, """")"),"")</f>
        <v/>
      </c>
      <c r="O225" s="21" t="str">
        <f>IFERROR(__xludf.DUMMYFUNCTION("IFERROR((GOOGLEFINANCE(C225, ""price"") / INDEX(GOOGLEFINANCE(C225, ""price"", EDATE(TODAY(), -6), TODAY()), 2, 2)) - 1, """")"),"")</f>
        <v/>
      </c>
      <c r="P225" s="21" t="str">
        <f>IFERROR(__xludf.DUMMYFUNCTION("IFERROR((GOOGLEFINANCE(C225, ""price"") / INDEX(GOOGLEFINANCE(C225, ""price"", EDATE(TODAY(), -12), TODAY()), 2, 2)) - 1, """")"),"")</f>
        <v/>
      </c>
      <c r="Q225" s="6" t="str">
        <f>IFERROR(__xludf.DUMMYFUNCTION("AVERAGE(QUERY(GOOGLEFINANCE(C225, ""price"", TODAY()-80, TODAY()), ""SELECT Col2 WHERE Col2 IS NOT NULL ORDER BY Col1 DESC LIMIT 50"", 0))"),"#N/A")</f>
        <v>#N/A</v>
      </c>
      <c r="R225" s="24" t="str">
        <f>IFERROR(__xludf.DUMMYFUNCTION("IFERROR(
  LET(
    data, QUERY(GOOGLEFINANCE(C225,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GOOGLEFINANCE(C225, ""price"")) * 100,
    IF(calc=0, G225, calc)
  ), 
G225)"),"#N/A")</f>
        <v>#N/A</v>
      </c>
      <c r="S225" s="8" t="s">
        <v>15</v>
      </c>
      <c r="T225" s="26" t="str">
        <f>IFERROR(__xludf.DUMMYFUNCTION("IFERROR(TRANSPOSE(QUERY(IFERROR(SORT(GOOGLEFINANCE(C225, ""price"", WORKDAY(TODAY(), -40), TODAY()), 1, FALSE)), ""select Col2 where Col2 is not null limit 22 label Col2 ''"", 0)), """")"),"")</f>
        <v/>
      </c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8"/>
      <c r="AO225" s="28"/>
      <c r="AP225" s="29"/>
      <c r="AQ225" s="29" t="str">
        <f t="shared" ref="AQ225:BL225" si="228">T225/T$2</f>
        <v>#N/A</v>
      </c>
      <c r="AR225" s="29" t="str">
        <f t="shared" si="228"/>
        <v>#DIV/0!</v>
      </c>
      <c r="AS225" s="29" t="str">
        <f t="shared" si="228"/>
        <v>#DIV/0!</v>
      </c>
      <c r="AT225" s="29" t="str">
        <f t="shared" si="228"/>
        <v>#DIV/0!</v>
      </c>
      <c r="AU225" s="29" t="str">
        <f t="shared" si="228"/>
        <v>#DIV/0!</v>
      </c>
      <c r="AV225" s="29" t="str">
        <f t="shared" si="228"/>
        <v>#DIV/0!</v>
      </c>
      <c r="AW225" s="29" t="str">
        <f t="shared" si="228"/>
        <v>#DIV/0!</v>
      </c>
      <c r="AX225" s="29" t="str">
        <f t="shared" si="228"/>
        <v>#DIV/0!</v>
      </c>
      <c r="AY225" s="29" t="str">
        <f t="shared" si="228"/>
        <v>#DIV/0!</v>
      </c>
      <c r="AZ225" s="29" t="str">
        <f t="shared" si="228"/>
        <v>#DIV/0!</v>
      </c>
      <c r="BA225" s="29" t="str">
        <f t="shared" si="228"/>
        <v>#DIV/0!</v>
      </c>
      <c r="BB225" s="29" t="str">
        <f t="shared" si="228"/>
        <v>#DIV/0!</v>
      </c>
      <c r="BC225" s="29" t="str">
        <f t="shared" si="228"/>
        <v>#DIV/0!</v>
      </c>
      <c r="BD225" s="29" t="str">
        <f t="shared" si="228"/>
        <v>#DIV/0!</v>
      </c>
      <c r="BE225" s="29" t="str">
        <f t="shared" si="228"/>
        <v>#DIV/0!</v>
      </c>
      <c r="BF225" s="29" t="str">
        <f t="shared" si="228"/>
        <v>#DIV/0!</v>
      </c>
      <c r="BG225" s="29" t="str">
        <f t="shared" si="228"/>
        <v>#DIV/0!</v>
      </c>
      <c r="BH225" s="29" t="str">
        <f t="shared" si="228"/>
        <v>#DIV/0!</v>
      </c>
      <c r="BI225" s="29" t="str">
        <f t="shared" si="228"/>
        <v>#DIV/0!</v>
      </c>
      <c r="BJ225" s="29" t="str">
        <f t="shared" si="228"/>
        <v>#DIV/0!</v>
      </c>
      <c r="BK225" s="29" t="str">
        <f t="shared" si="228"/>
        <v>#DIV/0!</v>
      </c>
      <c r="BL225" s="29" t="str">
        <f t="shared" si="228"/>
        <v>#DIV/0!</v>
      </c>
      <c r="BM225" s="29" t="str">
        <f t="shared" si="3"/>
        <v>#DIV/0!</v>
      </c>
    </row>
    <row r="226">
      <c r="A226" s="16" t="str">
        <f>IFERROR(__xludf.DUMMYFUNCTION("IFERROR(SPARKLINE(SORT(MAP(TRANSPOSE(AQ226:BL226), LAMBDA(val, IF(ISNUMBER(val), PERCENTRANK(AQ226:BL226, val)+0.01, 0))), SEQUENCE(COLUMNS(AQ226:BL226)), FALSE), {""charttype"",""column""; ""color"",""chartreuse""; ""ymin"", 0; ""ymax"", 1.01; ""highcolo"&amp;"r"", ""darkgreen""; ""lowcolor"", ""red""}), """")"),"")</f>
        <v/>
      </c>
      <c r="B226" s="17" t="str">
        <f t="shared" si="4"/>
        <v/>
      </c>
      <c r="C226" s="1" t="s">
        <v>1076</v>
      </c>
      <c r="D226" s="34" t="str">
        <f>IFERROR(__xludf.DUMMYFUNCTION("IFERROR(GOOGLEFINANCE(C226, ""NAME""))"),"Drugs Made In America Acqustn II Corp")</f>
        <v>Drugs Made In America Acqustn II Corp</v>
      </c>
      <c r="E226" s="30" t="s">
        <v>161</v>
      </c>
      <c r="F226" s="33" t="str">
        <f>IFERROR(__xludf.DUMMYFUNCTION("( (GOOGLEFINANCE(C226, ""price"") - Q226) / Q226 ) / (R226 / 100)"),"Loading...")</f>
        <v>Loading...</v>
      </c>
      <c r="G226" s="20" t="str">
        <f>IFERROR(__xludf.DUMMYFUNCTION("AVERAGE(ARRAYFORMULA(100 * (QUERY(GOOGLEFINANCE(C226, ""high"", TODAY()-40, TODAY()), ""SELECT Col2 WHERE Col2 IS NOT NULL ORDER BY Col1 DESC LIMIT 20"", 0) / QUERY(GOOGLEFINANCE(C226, ""low"", TODAY()-40, TODAY()), ""SELECT Col2 WHERE Col2 IS NOT NULL OR"&amp;"DER BY Col1 DESC LIMIT 20"", 0) - 1)))"),"#N/A")</f>
        <v>#N/A</v>
      </c>
      <c r="H226" s="35" t="str">
        <f t="shared" si="6"/>
        <v/>
      </c>
      <c r="I226" s="36" t="str">
        <f t="shared" si="7"/>
        <v/>
      </c>
      <c r="J226" s="37" t="str">
        <f>IFERROR(__xludf.DUMMYFUNCTION("IFERROR(
  IF(C226="""",, 
    IFERROR(
      GOOGLEFINANCE(C226, ""price"") * GOOGLEFINANCE(C226, ""volumeavg""), 
      GOOGLEFINANCE(C226, ""price"") * AVERAGE(QUERY(GOOGLEFINANCE(C226, ""volume"", TODAY()-40, TODAY()), ""SELECT Col2 WHERE Col2 IS NOT "&amp;"NULL ORDER BY Col1 DESC LIMIT 20"", 0))
    )
  ), 
"""")"),"")</f>
        <v/>
      </c>
      <c r="K226" s="21" t="str">
        <f>IFERROR(__xludf.DUMMYFUNCTION("IFERROR(GOOGLEFINANCE(C226, ""changepct"") / 100, """")"),"")</f>
        <v/>
      </c>
      <c r="L226" s="21" t="str">
        <f>IFERROR(__xludf.DUMMYFUNCTION("IFERROR((GOOGLEFINANCE(C226, ""price"") / INDEX(GOOGLEFINANCE(C226, ""price"", TODAY()-7, TODAY()), 2, 2)) - 1, """")"),"")</f>
        <v/>
      </c>
      <c r="M226" s="21" t="str">
        <f>IFERROR(__xludf.DUMMYFUNCTION("IFERROR((GOOGLEFINANCE(C226, ""price"") / INDEX(GOOGLEFINANCE(C226, ""price"", EDATE(TODAY(), -1), TODAY()), 2, 2)) - 1, """")"),"")</f>
        <v/>
      </c>
      <c r="N226" s="21" t="str">
        <f>IFERROR(__xludf.DUMMYFUNCTION("IFERROR((GOOGLEFINANCE(C226, ""price"") / INDEX(GOOGLEFINANCE(C226, ""price"", EDATE(TODAY(), -3), TODAY()), 2, 2)) - 1, """")"),"")</f>
        <v/>
      </c>
      <c r="O226" s="21" t="str">
        <f>IFERROR(__xludf.DUMMYFUNCTION("IFERROR((GOOGLEFINANCE(C226, ""price"") / INDEX(GOOGLEFINANCE(C226, ""price"", EDATE(TODAY(), -6), TODAY()), 2, 2)) - 1, """")"),"")</f>
        <v/>
      </c>
      <c r="P226" s="21" t="str">
        <f>IFERROR(__xludf.DUMMYFUNCTION("IFERROR((GOOGLEFINANCE(C226, ""price"") / INDEX(GOOGLEFINANCE(C226, ""price"", EDATE(TODAY(), -12), TODAY()), 2, 2)) - 1, """")"),"")</f>
        <v/>
      </c>
      <c r="Q226" s="6" t="str">
        <f>IFERROR(__xludf.DUMMYFUNCTION("AVERAGE(QUERY(GOOGLEFINANCE(C226, ""price"", TODAY()-80, TODAY()), ""SELECT Col2 WHERE Col2 IS NOT NULL ORDER BY Col1 DESC LIMIT 50"", 0))"),"#N/A")</f>
        <v>#N/A</v>
      </c>
      <c r="R226" s="24" t="str">
        <f>IFERROR(__xludf.DUMMYFUNCTION("IFERROR(
  LET(
    data, QUERY(GOOGLEFINANCE(C226,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GOOGLEFINANCE(C226, ""price"")) * 100,
    IF(calc=0, G226, calc)
  ), 
G226)"),"#N/A")</f>
        <v>#N/A</v>
      </c>
      <c r="S226" s="8" t="s">
        <v>15</v>
      </c>
      <c r="T226" s="26" t="str">
        <f>IFERROR(__xludf.DUMMYFUNCTION("IFERROR(TRANSPOSE(QUERY(IFERROR(SORT(GOOGLEFINANCE(C226, ""price"", WORKDAY(TODAY(), -40), TODAY()), 1, FALSE)), ""select Col2 where Col2 is not null limit 22 label Col2 ''"", 0)), """")"),"")</f>
        <v/>
      </c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8"/>
      <c r="AO226" s="28"/>
      <c r="AP226" s="29"/>
      <c r="AQ226" s="29" t="str">
        <f t="shared" ref="AQ226:BL226" si="229">T226/T$2</f>
        <v>#N/A</v>
      </c>
      <c r="AR226" s="29" t="str">
        <f t="shared" si="229"/>
        <v>#DIV/0!</v>
      </c>
      <c r="AS226" s="29" t="str">
        <f t="shared" si="229"/>
        <v>#DIV/0!</v>
      </c>
      <c r="AT226" s="29" t="str">
        <f t="shared" si="229"/>
        <v>#DIV/0!</v>
      </c>
      <c r="AU226" s="29" t="str">
        <f t="shared" si="229"/>
        <v>#DIV/0!</v>
      </c>
      <c r="AV226" s="29" t="str">
        <f t="shared" si="229"/>
        <v>#DIV/0!</v>
      </c>
      <c r="AW226" s="29" t="str">
        <f t="shared" si="229"/>
        <v>#DIV/0!</v>
      </c>
      <c r="AX226" s="29" t="str">
        <f t="shared" si="229"/>
        <v>#DIV/0!</v>
      </c>
      <c r="AY226" s="29" t="str">
        <f t="shared" si="229"/>
        <v>#DIV/0!</v>
      </c>
      <c r="AZ226" s="29" t="str">
        <f t="shared" si="229"/>
        <v>#DIV/0!</v>
      </c>
      <c r="BA226" s="29" t="str">
        <f t="shared" si="229"/>
        <v>#DIV/0!</v>
      </c>
      <c r="BB226" s="29" t="str">
        <f t="shared" si="229"/>
        <v>#DIV/0!</v>
      </c>
      <c r="BC226" s="29" t="str">
        <f t="shared" si="229"/>
        <v>#DIV/0!</v>
      </c>
      <c r="BD226" s="29" t="str">
        <f t="shared" si="229"/>
        <v>#DIV/0!</v>
      </c>
      <c r="BE226" s="29" t="str">
        <f t="shared" si="229"/>
        <v>#DIV/0!</v>
      </c>
      <c r="BF226" s="29" t="str">
        <f t="shared" si="229"/>
        <v>#DIV/0!</v>
      </c>
      <c r="BG226" s="29" t="str">
        <f t="shared" si="229"/>
        <v>#DIV/0!</v>
      </c>
      <c r="BH226" s="29" t="str">
        <f t="shared" si="229"/>
        <v>#DIV/0!</v>
      </c>
      <c r="BI226" s="29" t="str">
        <f t="shared" si="229"/>
        <v>#DIV/0!</v>
      </c>
      <c r="BJ226" s="29" t="str">
        <f t="shared" si="229"/>
        <v>#DIV/0!</v>
      </c>
      <c r="BK226" s="29" t="str">
        <f t="shared" si="229"/>
        <v>#DIV/0!</v>
      </c>
      <c r="BL226" s="29" t="str">
        <f t="shared" si="229"/>
        <v>#DIV/0!</v>
      </c>
      <c r="BM226" s="29" t="str">
        <f t="shared" si="3"/>
        <v>#DIV/0!</v>
      </c>
    </row>
    <row r="227">
      <c r="A227" s="16" t="str">
        <f>IFERROR(__xludf.DUMMYFUNCTION("IFERROR(SPARKLINE(SORT(MAP(TRANSPOSE(AQ227:BL227), LAMBDA(val, IF(ISNUMBER(val), PERCENTRANK(AQ227:BL227, val)+0.01, 0))), SEQUENCE(COLUMNS(AQ227:BL227)), FALSE), {""charttype"",""column""; ""color"",""chartreuse""; ""ymin"", 0; ""ymax"", 1.01; ""highcolo"&amp;"r"", ""darkgreen""; ""lowcolor"", ""red""}), """")"),"")</f>
        <v/>
      </c>
      <c r="B227" s="17" t="str">
        <f t="shared" si="4"/>
        <v/>
      </c>
      <c r="C227" s="1" t="s">
        <v>1081</v>
      </c>
      <c r="D227" s="34" t="str">
        <f>IFERROR(__xludf.DUMMYFUNCTION("IFERROR(GOOGLEFINANCE(C227, ""NAME""))"),"Kochav Defense Acquisition Corp")</f>
        <v>Kochav Defense Acquisition Corp</v>
      </c>
      <c r="E227" s="30" t="s">
        <v>161</v>
      </c>
      <c r="F227" s="33" t="str">
        <f>IFERROR(__xludf.DUMMYFUNCTION("( (GOOGLEFINANCE(C227, ""price"") - Q227) / Q227 ) / (R227 / 100)"),"Loading...")</f>
        <v>Loading...</v>
      </c>
      <c r="G227" s="20" t="str">
        <f>IFERROR(__xludf.DUMMYFUNCTION("AVERAGE(ARRAYFORMULA(100 * (QUERY(GOOGLEFINANCE(C227, ""high"", TODAY()-40, TODAY()), ""SELECT Col2 WHERE Col2 IS NOT NULL ORDER BY Col1 DESC LIMIT 20"", 0) / QUERY(GOOGLEFINANCE(C227, ""low"", TODAY()-40, TODAY()), ""SELECT Col2 WHERE Col2 IS NOT NULL OR"&amp;"DER BY Col1 DESC LIMIT 20"", 0) - 1)))"),"#N/A")</f>
        <v>#N/A</v>
      </c>
      <c r="H227" s="35" t="str">
        <f t="shared" si="6"/>
        <v/>
      </c>
      <c r="I227" s="36" t="str">
        <f t="shared" si="7"/>
        <v/>
      </c>
      <c r="J227" s="37" t="str">
        <f>IFERROR(__xludf.DUMMYFUNCTION("IFERROR(
  IF(C227="""",, 
    IFERROR(
      GOOGLEFINANCE(C227, ""price"") * GOOGLEFINANCE(C227, ""volumeavg""), 
      GOOGLEFINANCE(C227, ""price"") * AVERAGE(QUERY(GOOGLEFINANCE(C227, ""volume"", TODAY()-40, TODAY()), ""SELECT Col2 WHERE Col2 IS NOT "&amp;"NULL ORDER BY Col1 DESC LIMIT 20"", 0))
    )
  ), 
"""")"),"")</f>
        <v/>
      </c>
      <c r="K227" s="21" t="str">
        <f>IFERROR(__xludf.DUMMYFUNCTION("IFERROR(GOOGLEFINANCE(C227, ""changepct"") / 100, """")"),"")</f>
        <v/>
      </c>
      <c r="L227" s="21" t="str">
        <f>IFERROR(__xludf.DUMMYFUNCTION("IFERROR((GOOGLEFINANCE(C227, ""price"") / INDEX(GOOGLEFINANCE(C227, ""price"", TODAY()-7, TODAY()), 2, 2)) - 1, """")"),"")</f>
        <v/>
      </c>
      <c r="M227" s="21" t="str">
        <f>IFERROR(__xludf.DUMMYFUNCTION("IFERROR((GOOGLEFINANCE(C227, ""price"") / INDEX(GOOGLEFINANCE(C227, ""price"", EDATE(TODAY(), -1), TODAY()), 2, 2)) - 1, """")"),"")</f>
        <v/>
      </c>
      <c r="N227" s="21" t="str">
        <f>IFERROR(__xludf.DUMMYFUNCTION("IFERROR((GOOGLEFINANCE(C227, ""price"") / INDEX(GOOGLEFINANCE(C227, ""price"", EDATE(TODAY(), -3), TODAY()), 2, 2)) - 1, """")"),"")</f>
        <v/>
      </c>
      <c r="O227" s="21" t="str">
        <f>IFERROR(__xludf.DUMMYFUNCTION("IFERROR((GOOGLEFINANCE(C227, ""price"") / INDEX(GOOGLEFINANCE(C227, ""price"", EDATE(TODAY(), -6), TODAY()), 2, 2)) - 1, """")"),"")</f>
        <v/>
      </c>
      <c r="P227" s="21" t="str">
        <f>IFERROR(__xludf.DUMMYFUNCTION("IFERROR((GOOGLEFINANCE(C227, ""price"") / INDEX(GOOGLEFINANCE(C227, ""price"", EDATE(TODAY(), -12), TODAY()), 2, 2)) - 1, """")"),"")</f>
        <v/>
      </c>
      <c r="Q227" s="6" t="str">
        <f>IFERROR(__xludf.DUMMYFUNCTION("AVERAGE(QUERY(GOOGLEFINANCE(C227, ""price"", TODAY()-80, TODAY()), ""SELECT Col2 WHERE Col2 IS NOT NULL ORDER BY Col1 DESC LIMIT 50"", 0))"),"#N/A")</f>
        <v>#N/A</v>
      </c>
      <c r="R227" s="24" t="str">
        <f>IFERROR(__xludf.DUMMYFUNCTION("IFERROR(
  LET(
    data, QUERY(GOOGLEFINANCE(C227,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GOOGLEFINANCE(C227, ""price"")) * 100,
    IF(calc=0, G227, calc)
  ), 
G227)"),"#N/A")</f>
        <v>#N/A</v>
      </c>
      <c r="S227" s="8" t="s">
        <v>15</v>
      </c>
      <c r="T227" s="26" t="str">
        <f>IFERROR(__xludf.DUMMYFUNCTION("IFERROR(TRANSPOSE(QUERY(IFERROR(SORT(GOOGLEFINANCE(C227, ""price"", WORKDAY(TODAY(), -40), TODAY()), 1, FALSE)), ""select Col2 where Col2 is not null limit 22 label Col2 ''"", 0)), """")"),"")</f>
        <v/>
      </c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8"/>
      <c r="AO227" s="28"/>
      <c r="AP227" s="29"/>
      <c r="AQ227" s="29" t="str">
        <f t="shared" ref="AQ227:BL227" si="230">T227/T$2</f>
        <v>#N/A</v>
      </c>
      <c r="AR227" s="29" t="str">
        <f t="shared" si="230"/>
        <v>#DIV/0!</v>
      </c>
      <c r="AS227" s="29" t="str">
        <f t="shared" si="230"/>
        <v>#DIV/0!</v>
      </c>
      <c r="AT227" s="29" t="str">
        <f t="shared" si="230"/>
        <v>#DIV/0!</v>
      </c>
      <c r="AU227" s="29" t="str">
        <f t="shared" si="230"/>
        <v>#DIV/0!</v>
      </c>
      <c r="AV227" s="29" t="str">
        <f t="shared" si="230"/>
        <v>#DIV/0!</v>
      </c>
      <c r="AW227" s="29" t="str">
        <f t="shared" si="230"/>
        <v>#DIV/0!</v>
      </c>
      <c r="AX227" s="29" t="str">
        <f t="shared" si="230"/>
        <v>#DIV/0!</v>
      </c>
      <c r="AY227" s="29" t="str">
        <f t="shared" si="230"/>
        <v>#DIV/0!</v>
      </c>
      <c r="AZ227" s="29" t="str">
        <f t="shared" si="230"/>
        <v>#DIV/0!</v>
      </c>
      <c r="BA227" s="29" t="str">
        <f t="shared" si="230"/>
        <v>#DIV/0!</v>
      </c>
      <c r="BB227" s="29" t="str">
        <f t="shared" si="230"/>
        <v>#DIV/0!</v>
      </c>
      <c r="BC227" s="29" t="str">
        <f t="shared" si="230"/>
        <v>#DIV/0!</v>
      </c>
      <c r="BD227" s="29" t="str">
        <f t="shared" si="230"/>
        <v>#DIV/0!</v>
      </c>
      <c r="BE227" s="29" t="str">
        <f t="shared" si="230"/>
        <v>#DIV/0!</v>
      </c>
      <c r="BF227" s="29" t="str">
        <f t="shared" si="230"/>
        <v>#DIV/0!</v>
      </c>
      <c r="BG227" s="29" t="str">
        <f t="shared" si="230"/>
        <v>#DIV/0!</v>
      </c>
      <c r="BH227" s="29" t="str">
        <f t="shared" si="230"/>
        <v>#DIV/0!</v>
      </c>
      <c r="BI227" s="29" t="str">
        <f t="shared" si="230"/>
        <v>#DIV/0!</v>
      </c>
      <c r="BJ227" s="29" t="str">
        <f t="shared" si="230"/>
        <v>#DIV/0!</v>
      </c>
      <c r="BK227" s="29" t="str">
        <f t="shared" si="230"/>
        <v>#DIV/0!</v>
      </c>
      <c r="BL227" s="29" t="str">
        <f t="shared" si="230"/>
        <v>#DIV/0!</v>
      </c>
      <c r="BM227" s="29" t="str">
        <f t="shared" si="3"/>
        <v>#DIV/0!</v>
      </c>
    </row>
    <row r="228">
      <c r="A228" s="16" t="str">
        <f>IFERROR(__xludf.DUMMYFUNCTION("IFERROR(SPARKLINE(SORT(MAP(TRANSPOSE(AQ228:BL228), LAMBDA(val, IF(ISNUMBER(val), PERCENTRANK(AQ228:BL228, val)+0.01, 0))), SEQUENCE(COLUMNS(AQ228:BL228)), FALSE), {""charttype"",""column""; ""color"",""chartreuse""; ""ymin"", 0; ""ymax"", 1.01; ""highcolo"&amp;"r"", ""darkgreen""; ""lowcolor"", ""red""}), """")"),"")</f>
        <v/>
      </c>
      <c r="B228" s="17" t="str">
        <f t="shared" si="4"/>
        <v/>
      </c>
      <c r="C228" s="1" t="s">
        <v>1085</v>
      </c>
      <c r="D228" s="34" t="str">
        <f>IFERROR(__xludf.DUMMYFUNCTION("IFERROR(GOOGLEFINANCE(C228, ""NAME""))"),"K&amp;F Growth Acquisition II Corp")</f>
        <v>K&amp;F Growth Acquisition II Corp</v>
      </c>
      <c r="E228" s="30" t="s">
        <v>161</v>
      </c>
      <c r="F228" s="33" t="str">
        <f>IFERROR(__xludf.DUMMYFUNCTION("( (GOOGLEFINANCE(C228, ""price"") - Q228) / Q228 ) / (R228 / 100)"),"Loading...")</f>
        <v>Loading...</v>
      </c>
      <c r="G228" s="20" t="str">
        <f>IFERROR(__xludf.DUMMYFUNCTION("AVERAGE(ARRAYFORMULA(100 * (QUERY(GOOGLEFINANCE(C228, ""high"", TODAY()-40, TODAY()), ""SELECT Col2 WHERE Col2 IS NOT NULL ORDER BY Col1 DESC LIMIT 20"", 0) / QUERY(GOOGLEFINANCE(C228, ""low"", TODAY()-40, TODAY()), ""SELECT Col2 WHERE Col2 IS NOT NULL OR"&amp;"DER BY Col1 DESC LIMIT 20"", 0) - 1)))"),"#N/A")</f>
        <v>#N/A</v>
      </c>
      <c r="H228" s="35" t="str">
        <f t="shared" si="6"/>
        <v/>
      </c>
      <c r="I228" s="36" t="str">
        <f t="shared" si="7"/>
        <v/>
      </c>
      <c r="J228" s="37" t="str">
        <f>IFERROR(__xludf.DUMMYFUNCTION("IFERROR(
  IF(C228="""",, 
    IFERROR(
      GOOGLEFINANCE(C228, ""price"") * GOOGLEFINANCE(C228, ""volumeavg""), 
      GOOGLEFINANCE(C228, ""price"") * AVERAGE(QUERY(GOOGLEFINANCE(C228, ""volume"", TODAY()-40, TODAY()), ""SELECT Col2 WHERE Col2 IS NOT "&amp;"NULL ORDER BY Col1 DESC LIMIT 20"", 0))
    )
  ), 
"""")"),"")</f>
        <v/>
      </c>
      <c r="K228" s="21" t="str">
        <f>IFERROR(__xludf.DUMMYFUNCTION("IFERROR(GOOGLEFINANCE(C228, ""changepct"") / 100, """")"),"")</f>
        <v/>
      </c>
      <c r="L228" s="21" t="str">
        <f>IFERROR(__xludf.DUMMYFUNCTION("IFERROR((GOOGLEFINANCE(C228, ""price"") / INDEX(GOOGLEFINANCE(C228, ""price"", TODAY()-7, TODAY()), 2, 2)) - 1, """")"),"")</f>
        <v/>
      </c>
      <c r="M228" s="21" t="str">
        <f>IFERROR(__xludf.DUMMYFUNCTION("IFERROR((GOOGLEFINANCE(C228, ""price"") / INDEX(GOOGLEFINANCE(C228, ""price"", EDATE(TODAY(), -1), TODAY()), 2, 2)) - 1, """")"),"")</f>
        <v/>
      </c>
      <c r="N228" s="21" t="str">
        <f>IFERROR(__xludf.DUMMYFUNCTION("IFERROR((GOOGLEFINANCE(C228, ""price"") / INDEX(GOOGLEFINANCE(C228, ""price"", EDATE(TODAY(), -3), TODAY()), 2, 2)) - 1, """")"),"")</f>
        <v/>
      </c>
      <c r="O228" s="21" t="str">
        <f>IFERROR(__xludf.DUMMYFUNCTION("IFERROR((GOOGLEFINANCE(C228, ""price"") / INDEX(GOOGLEFINANCE(C228, ""price"", EDATE(TODAY(), -6), TODAY()), 2, 2)) - 1, """")"),"")</f>
        <v/>
      </c>
      <c r="P228" s="21" t="str">
        <f>IFERROR(__xludf.DUMMYFUNCTION("IFERROR((GOOGLEFINANCE(C228, ""price"") / INDEX(GOOGLEFINANCE(C228, ""price"", EDATE(TODAY(), -12), TODAY()), 2, 2)) - 1, """")"),"")</f>
        <v/>
      </c>
      <c r="Q228" s="6" t="str">
        <f>IFERROR(__xludf.DUMMYFUNCTION("AVERAGE(QUERY(GOOGLEFINANCE(C228, ""price"", TODAY()-80, TODAY()), ""SELECT Col2 WHERE Col2 IS NOT NULL ORDER BY Col1 DESC LIMIT 50"", 0))"),"#N/A")</f>
        <v>#N/A</v>
      </c>
      <c r="R228" s="24" t="str">
        <f>IFERROR(__xludf.DUMMYFUNCTION("IFERROR(
  LET(
    data, QUERY(GOOGLEFINANCE(C228,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GOOGLEFINANCE(C228, ""price"")) * 100,
    IF(calc=0, G228, calc)
  ), 
G228)"),"#N/A")</f>
        <v>#N/A</v>
      </c>
      <c r="S228" s="8" t="s">
        <v>15</v>
      </c>
      <c r="T228" s="26" t="str">
        <f>IFERROR(__xludf.DUMMYFUNCTION("IFERROR(TRANSPOSE(QUERY(IFERROR(SORT(GOOGLEFINANCE(C228, ""price"", WORKDAY(TODAY(), -40), TODAY()), 1, FALSE)), ""select Col2 where Col2 is not null limit 22 label Col2 ''"", 0)), """")"),"")</f>
        <v/>
      </c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8"/>
      <c r="AO228" s="28"/>
      <c r="AP228" s="29"/>
      <c r="AQ228" s="29" t="str">
        <f t="shared" ref="AQ228:BL228" si="231">T228/T$2</f>
        <v>#N/A</v>
      </c>
      <c r="AR228" s="29" t="str">
        <f t="shared" si="231"/>
        <v>#DIV/0!</v>
      </c>
      <c r="AS228" s="29" t="str">
        <f t="shared" si="231"/>
        <v>#DIV/0!</v>
      </c>
      <c r="AT228" s="29" t="str">
        <f t="shared" si="231"/>
        <v>#DIV/0!</v>
      </c>
      <c r="AU228" s="29" t="str">
        <f t="shared" si="231"/>
        <v>#DIV/0!</v>
      </c>
      <c r="AV228" s="29" t="str">
        <f t="shared" si="231"/>
        <v>#DIV/0!</v>
      </c>
      <c r="AW228" s="29" t="str">
        <f t="shared" si="231"/>
        <v>#DIV/0!</v>
      </c>
      <c r="AX228" s="29" t="str">
        <f t="shared" si="231"/>
        <v>#DIV/0!</v>
      </c>
      <c r="AY228" s="29" t="str">
        <f t="shared" si="231"/>
        <v>#DIV/0!</v>
      </c>
      <c r="AZ228" s="29" t="str">
        <f t="shared" si="231"/>
        <v>#DIV/0!</v>
      </c>
      <c r="BA228" s="29" t="str">
        <f t="shared" si="231"/>
        <v>#DIV/0!</v>
      </c>
      <c r="BB228" s="29" t="str">
        <f t="shared" si="231"/>
        <v>#DIV/0!</v>
      </c>
      <c r="BC228" s="29" t="str">
        <f t="shared" si="231"/>
        <v>#DIV/0!</v>
      </c>
      <c r="BD228" s="29" t="str">
        <f t="shared" si="231"/>
        <v>#DIV/0!</v>
      </c>
      <c r="BE228" s="29" t="str">
        <f t="shared" si="231"/>
        <v>#DIV/0!</v>
      </c>
      <c r="BF228" s="29" t="str">
        <f t="shared" si="231"/>
        <v>#DIV/0!</v>
      </c>
      <c r="BG228" s="29" t="str">
        <f t="shared" si="231"/>
        <v>#DIV/0!</v>
      </c>
      <c r="BH228" s="29" t="str">
        <f t="shared" si="231"/>
        <v>#DIV/0!</v>
      </c>
      <c r="BI228" s="29" t="str">
        <f t="shared" si="231"/>
        <v>#DIV/0!</v>
      </c>
      <c r="BJ228" s="29" t="str">
        <f t="shared" si="231"/>
        <v>#DIV/0!</v>
      </c>
      <c r="BK228" s="29" t="str">
        <f t="shared" si="231"/>
        <v>#DIV/0!</v>
      </c>
      <c r="BL228" s="29" t="str">
        <f t="shared" si="231"/>
        <v>#DIV/0!</v>
      </c>
      <c r="BM228" s="29" t="str">
        <f t="shared" si="3"/>
        <v>#DIV/0!</v>
      </c>
    </row>
    <row r="229">
      <c r="A229" s="16" t="str">
        <f>IFERROR(__xludf.DUMMYFUNCTION("IFERROR(SPARKLINE(SORT(MAP(TRANSPOSE(AQ229:BL229), LAMBDA(val, IF(ISNUMBER(val), PERCENTRANK(AQ229:BL229, val)+0.01, 0))), SEQUENCE(COLUMNS(AQ229:BL229)), FALSE), {""charttype"",""column""; ""color"",""chartreuse""; ""ymin"", 0; ""ymax"", 1.01; ""highcolo"&amp;"r"", ""darkgreen""; ""lowcolor"", ""red""}), """")"),"")</f>
        <v/>
      </c>
      <c r="B229" s="17" t="str">
        <f t="shared" si="4"/>
        <v/>
      </c>
      <c r="C229" s="1" t="s">
        <v>1090</v>
      </c>
      <c r="D229" s="34" t="str">
        <f>IFERROR(__xludf.DUMMYFUNCTION("IFERROR(GOOGLEFINANCE(C229, ""NAME""))"),"Piper Sandler Companies")</f>
        <v>Piper Sandler Companies</v>
      </c>
      <c r="E229" s="30" t="s">
        <v>77</v>
      </c>
      <c r="F229" s="33" t="str">
        <f>IFERROR(__xludf.DUMMYFUNCTION("( (GOOGLEFINANCE(C229, ""price"") - Q229) / Q229 ) / (R229 / 100)"),"Loading...")</f>
        <v>Loading...</v>
      </c>
      <c r="G229" s="20" t="str">
        <f>IFERROR(__xludf.DUMMYFUNCTION("AVERAGE(ARRAYFORMULA(100 * (QUERY(GOOGLEFINANCE(C229, ""high"", TODAY()-40, TODAY()), ""SELECT Col2 WHERE Col2 IS NOT NULL ORDER BY Col1 DESC LIMIT 20"", 0) / QUERY(GOOGLEFINANCE(C229, ""low"", TODAY()-40, TODAY()), ""SELECT Col2 WHERE Col2 IS NOT NULL OR"&amp;"DER BY Col1 DESC LIMIT 20"", 0) - 1)))"),"#N/A")</f>
        <v>#N/A</v>
      </c>
      <c r="H229" s="35" t="str">
        <f t="shared" si="6"/>
        <v/>
      </c>
      <c r="I229" s="36" t="str">
        <f t="shared" si="7"/>
        <v/>
      </c>
      <c r="J229" s="37" t="str">
        <f>IFERROR(__xludf.DUMMYFUNCTION("IFERROR(
  IF(C229="""",, 
    IFERROR(
      GOOGLEFINANCE(C229, ""price"") * GOOGLEFINANCE(C229, ""volumeavg""), 
      GOOGLEFINANCE(C229, ""price"") * AVERAGE(QUERY(GOOGLEFINANCE(C229, ""volume"", TODAY()-40, TODAY()), ""SELECT Col2 WHERE Col2 IS NOT "&amp;"NULL ORDER BY Col1 DESC LIMIT 20"", 0))
    )
  ), 
"""")"),"")</f>
        <v/>
      </c>
      <c r="K229" s="21" t="str">
        <f>IFERROR(__xludf.DUMMYFUNCTION("IFERROR(GOOGLEFINANCE(C229, ""changepct"") / 100, """")"),"")</f>
        <v/>
      </c>
      <c r="L229" s="21" t="str">
        <f>IFERROR(__xludf.DUMMYFUNCTION("IFERROR((GOOGLEFINANCE(C229, ""price"") / INDEX(GOOGLEFINANCE(C229, ""price"", TODAY()-7, TODAY()), 2, 2)) - 1, """")"),"")</f>
        <v/>
      </c>
      <c r="M229" s="21" t="str">
        <f>IFERROR(__xludf.DUMMYFUNCTION("IFERROR((GOOGLEFINANCE(C229, ""price"") / INDEX(GOOGLEFINANCE(C229, ""price"", EDATE(TODAY(), -1), TODAY()), 2, 2)) - 1, """")"),"")</f>
        <v/>
      </c>
      <c r="N229" s="21" t="str">
        <f>IFERROR(__xludf.DUMMYFUNCTION("IFERROR((GOOGLEFINANCE(C229, ""price"") / INDEX(GOOGLEFINANCE(C229, ""price"", EDATE(TODAY(), -3), TODAY()), 2, 2)) - 1, """")"),"")</f>
        <v/>
      </c>
      <c r="O229" s="21" t="str">
        <f>IFERROR(__xludf.DUMMYFUNCTION("IFERROR((GOOGLEFINANCE(C229, ""price"") / INDEX(GOOGLEFINANCE(C229, ""price"", EDATE(TODAY(), -6), TODAY()), 2, 2)) - 1, """")"),"")</f>
        <v/>
      </c>
      <c r="P229" s="21" t="str">
        <f>IFERROR(__xludf.DUMMYFUNCTION("IFERROR((GOOGLEFINANCE(C229, ""price"") / INDEX(GOOGLEFINANCE(C229, ""price"", EDATE(TODAY(), -12), TODAY()), 2, 2)) - 1, """")"),"")</f>
        <v/>
      </c>
      <c r="Q229" s="6" t="str">
        <f>IFERROR(__xludf.DUMMYFUNCTION("AVERAGE(QUERY(GOOGLEFINANCE(C229, ""price"", TODAY()-80, TODAY()), ""SELECT Col2 WHERE Col2 IS NOT NULL ORDER BY Col1 DESC LIMIT 50"", 0))"),"#N/A")</f>
        <v>#N/A</v>
      </c>
      <c r="R229" s="24" t="str">
        <f>IFERROR(__xludf.DUMMYFUNCTION("IFERROR(
  LET(
    data, QUERY(GOOGLEFINANCE(C229,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GOOGLEFINANCE(C229, ""price"")) * 100,
    IF(calc=0, G229, calc)
  ), 
G229)"),"#N/A")</f>
        <v>#N/A</v>
      </c>
      <c r="S229" s="8" t="s">
        <v>15</v>
      </c>
      <c r="T229" s="26" t="str">
        <f>IFERROR(__xludf.DUMMYFUNCTION("IFERROR(TRANSPOSE(QUERY(IFERROR(SORT(GOOGLEFINANCE(C229, ""price"", WORKDAY(TODAY(), -40), TODAY()), 1, FALSE)), ""select Col2 where Col2 is not null limit 22 label Col2 ''"", 0)), """")"),"")</f>
        <v/>
      </c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8"/>
      <c r="AO229" s="28"/>
      <c r="AP229" s="29"/>
      <c r="AQ229" s="29" t="str">
        <f t="shared" ref="AQ229:BL229" si="232">T229/T$2</f>
        <v>#N/A</v>
      </c>
      <c r="AR229" s="29" t="str">
        <f t="shared" si="232"/>
        <v>#DIV/0!</v>
      </c>
      <c r="AS229" s="29" t="str">
        <f t="shared" si="232"/>
        <v>#DIV/0!</v>
      </c>
      <c r="AT229" s="29" t="str">
        <f t="shared" si="232"/>
        <v>#DIV/0!</v>
      </c>
      <c r="AU229" s="29" t="str">
        <f t="shared" si="232"/>
        <v>#DIV/0!</v>
      </c>
      <c r="AV229" s="29" t="str">
        <f t="shared" si="232"/>
        <v>#DIV/0!</v>
      </c>
      <c r="AW229" s="29" t="str">
        <f t="shared" si="232"/>
        <v>#DIV/0!</v>
      </c>
      <c r="AX229" s="29" t="str">
        <f t="shared" si="232"/>
        <v>#DIV/0!</v>
      </c>
      <c r="AY229" s="29" t="str">
        <f t="shared" si="232"/>
        <v>#DIV/0!</v>
      </c>
      <c r="AZ229" s="29" t="str">
        <f t="shared" si="232"/>
        <v>#DIV/0!</v>
      </c>
      <c r="BA229" s="29" t="str">
        <f t="shared" si="232"/>
        <v>#DIV/0!</v>
      </c>
      <c r="BB229" s="29" t="str">
        <f t="shared" si="232"/>
        <v>#DIV/0!</v>
      </c>
      <c r="BC229" s="29" t="str">
        <f t="shared" si="232"/>
        <v>#DIV/0!</v>
      </c>
      <c r="BD229" s="29" t="str">
        <f t="shared" si="232"/>
        <v>#DIV/0!</v>
      </c>
      <c r="BE229" s="29" t="str">
        <f t="shared" si="232"/>
        <v>#DIV/0!</v>
      </c>
      <c r="BF229" s="29" t="str">
        <f t="shared" si="232"/>
        <v>#DIV/0!</v>
      </c>
      <c r="BG229" s="29" t="str">
        <f t="shared" si="232"/>
        <v>#DIV/0!</v>
      </c>
      <c r="BH229" s="29" t="str">
        <f t="shared" si="232"/>
        <v>#DIV/0!</v>
      </c>
      <c r="BI229" s="29" t="str">
        <f t="shared" si="232"/>
        <v>#DIV/0!</v>
      </c>
      <c r="BJ229" s="29" t="str">
        <f t="shared" si="232"/>
        <v>#DIV/0!</v>
      </c>
      <c r="BK229" s="29" t="str">
        <f t="shared" si="232"/>
        <v>#DIV/0!</v>
      </c>
      <c r="BL229" s="29" t="str">
        <f t="shared" si="232"/>
        <v>#DIV/0!</v>
      </c>
      <c r="BM229" s="29" t="str">
        <f t="shared" si="3"/>
        <v>#DIV/0!</v>
      </c>
    </row>
    <row r="230">
      <c r="A230" s="16" t="str">
        <f>IFERROR(__xludf.DUMMYFUNCTION("IFERROR(SPARKLINE(SORT(MAP(TRANSPOSE(AQ230:BL230), LAMBDA(val, IF(ISNUMBER(val), PERCENTRANK(AQ230:BL230, val)+0.01, 0))), SEQUENCE(COLUMNS(AQ230:BL230)), FALSE), {""charttype"",""column""; ""color"",""chartreuse""; ""ymin"", 0; ""ymax"", 1.01; ""highcolo"&amp;"r"", ""darkgreen""; ""lowcolor"", ""red""}), """")"),"")</f>
        <v/>
      </c>
      <c r="B230" s="17" t="str">
        <f t="shared" si="4"/>
        <v/>
      </c>
      <c r="C230" s="1" t="s">
        <v>1094</v>
      </c>
      <c r="D230" s="34" t="str">
        <f>IFERROR(__xludf.DUMMYFUNCTION("IFERROR(GOOGLEFINANCE(C230, ""NAME""))"),"Amerisafe Inc")</f>
        <v>Amerisafe Inc</v>
      </c>
      <c r="E230" s="30" t="s">
        <v>276</v>
      </c>
      <c r="F230" s="33" t="str">
        <f>IFERROR(__xludf.DUMMYFUNCTION("( (GOOGLEFINANCE(C230, ""price"") - Q230) / Q230 ) / (R230 / 100)"),"Loading...")</f>
        <v>Loading...</v>
      </c>
      <c r="G230" s="20" t="str">
        <f>IFERROR(__xludf.DUMMYFUNCTION("AVERAGE(ARRAYFORMULA(100 * (QUERY(GOOGLEFINANCE(C230, ""high"", TODAY()-40, TODAY()), ""SELECT Col2 WHERE Col2 IS NOT NULL ORDER BY Col1 DESC LIMIT 20"", 0) / QUERY(GOOGLEFINANCE(C230, ""low"", TODAY()-40, TODAY()), ""SELECT Col2 WHERE Col2 IS NOT NULL OR"&amp;"DER BY Col1 DESC LIMIT 20"", 0) - 1)))"),"#N/A")</f>
        <v>#N/A</v>
      </c>
      <c r="H230" s="35" t="str">
        <f t="shared" si="6"/>
        <v/>
      </c>
      <c r="I230" s="36" t="str">
        <f t="shared" si="7"/>
        <v/>
      </c>
      <c r="J230" s="37" t="str">
        <f>IFERROR(__xludf.DUMMYFUNCTION("IFERROR(
  IF(C230="""",, 
    IFERROR(
      GOOGLEFINANCE(C230, ""price"") * GOOGLEFINANCE(C230, ""volumeavg""), 
      GOOGLEFINANCE(C230, ""price"") * AVERAGE(QUERY(GOOGLEFINANCE(C230, ""volume"", TODAY()-40, TODAY()), ""SELECT Col2 WHERE Col2 IS NOT "&amp;"NULL ORDER BY Col1 DESC LIMIT 20"", 0))
    )
  ), 
"""")"),"")</f>
        <v/>
      </c>
      <c r="K230" s="21" t="str">
        <f>IFERROR(__xludf.DUMMYFUNCTION("IFERROR(GOOGLEFINANCE(C230, ""changepct"") / 100, """")"),"")</f>
        <v/>
      </c>
      <c r="L230" s="21" t="str">
        <f>IFERROR(__xludf.DUMMYFUNCTION("IFERROR((GOOGLEFINANCE(C230, ""price"") / INDEX(GOOGLEFINANCE(C230, ""price"", TODAY()-7, TODAY()), 2, 2)) - 1, """")"),"")</f>
        <v/>
      </c>
      <c r="M230" s="21" t="str">
        <f>IFERROR(__xludf.DUMMYFUNCTION("IFERROR((GOOGLEFINANCE(C230, ""price"") / INDEX(GOOGLEFINANCE(C230, ""price"", EDATE(TODAY(), -1), TODAY()), 2, 2)) - 1, """")"),"")</f>
        <v/>
      </c>
      <c r="N230" s="21" t="str">
        <f>IFERROR(__xludf.DUMMYFUNCTION("IFERROR((GOOGLEFINANCE(C230, ""price"") / INDEX(GOOGLEFINANCE(C230, ""price"", EDATE(TODAY(), -3), TODAY()), 2, 2)) - 1, """")"),"")</f>
        <v/>
      </c>
      <c r="O230" s="21" t="str">
        <f>IFERROR(__xludf.DUMMYFUNCTION("IFERROR((GOOGLEFINANCE(C230, ""price"") / INDEX(GOOGLEFINANCE(C230, ""price"", EDATE(TODAY(), -6), TODAY()), 2, 2)) - 1, """")"),"")</f>
        <v/>
      </c>
      <c r="P230" s="21" t="str">
        <f>IFERROR(__xludf.DUMMYFUNCTION("IFERROR((GOOGLEFINANCE(C230, ""price"") / INDEX(GOOGLEFINANCE(C230, ""price"", EDATE(TODAY(), -12), TODAY()), 2, 2)) - 1, """")"),"")</f>
        <v/>
      </c>
      <c r="Q230" s="6" t="str">
        <f>IFERROR(__xludf.DUMMYFUNCTION("AVERAGE(QUERY(GOOGLEFINANCE(C230, ""price"", TODAY()-80, TODAY()), ""SELECT Col2 WHERE Col2 IS NOT NULL ORDER BY Col1 DESC LIMIT 50"", 0))"),"#N/A")</f>
        <v>#N/A</v>
      </c>
      <c r="R230" s="24" t="str">
        <f>IFERROR(__xludf.DUMMYFUNCTION("IFERROR(
  LET(
    data, QUERY(GOOGLEFINANCE(C230,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GOOGLEFINANCE(C230, ""price"")) * 100,
    IF(calc=0, G230, calc)
  ), 
G230)"),"#N/A")</f>
        <v>#N/A</v>
      </c>
      <c r="S230" s="8" t="s">
        <v>15</v>
      </c>
      <c r="T230" s="26" t="str">
        <f>IFERROR(__xludf.DUMMYFUNCTION("IFERROR(TRANSPOSE(QUERY(IFERROR(SORT(GOOGLEFINANCE(C230, ""price"", WORKDAY(TODAY(), -40), TODAY()), 1, FALSE)), ""select Col2 where Col2 is not null limit 22 label Col2 ''"", 0)), """")"),"")</f>
        <v/>
      </c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8"/>
      <c r="AO230" s="28"/>
      <c r="AP230" s="29"/>
      <c r="AQ230" s="29" t="str">
        <f t="shared" ref="AQ230:BL230" si="233">T230/T$2</f>
        <v>#N/A</v>
      </c>
      <c r="AR230" s="29" t="str">
        <f t="shared" si="233"/>
        <v>#DIV/0!</v>
      </c>
      <c r="AS230" s="29" t="str">
        <f t="shared" si="233"/>
        <v>#DIV/0!</v>
      </c>
      <c r="AT230" s="29" t="str">
        <f t="shared" si="233"/>
        <v>#DIV/0!</v>
      </c>
      <c r="AU230" s="29" t="str">
        <f t="shared" si="233"/>
        <v>#DIV/0!</v>
      </c>
      <c r="AV230" s="29" t="str">
        <f t="shared" si="233"/>
        <v>#DIV/0!</v>
      </c>
      <c r="AW230" s="29" t="str">
        <f t="shared" si="233"/>
        <v>#DIV/0!</v>
      </c>
      <c r="AX230" s="29" t="str">
        <f t="shared" si="233"/>
        <v>#DIV/0!</v>
      </c>
      <c r="AY230" s="29" t="str">
        <f t="shared" si="233"/>
        <v>#DIV/0!</v>
      </c>
      <c r="AZ230" s="29" t="str">
        <f t="shared" si="233"/>
        <v>#DIV/0!</v>
      </c>
      <c r="BA230" s="29" t="str">
        <f t="shared" si="233"/>
        <v>#DIV/0!</v>
      </c>
      <c r="BB230" s="29" t="str">
        <f t="shared" si="233"/>
        <v>#DIV/0!</v>
      </c>
      <c r="BC230" s="29" t="str">
        <f t="shared" si="233"/>
        <v>#DIV/0!</v>
      </c>
      <c r="BD230" s="29" t="str">
        <f t="shared" si="233"/>
        <v>#DIV/0!</v>
      </c>
      <c r="BE230" s="29" t="str">
        <f t="shared" si="233"/>
        <v>#DIV/0!</v>
      </c>
      <c r="BF230" s="29" t="str">
        <f t="shared" si="233"/>
        <v>#DIV/0!</v>
      </c>
      <c r="BG230" s="29" t="str">
        <f t="shared" si="233"/>
        <v>#DIV/0!</v>
      </c>
      <c r="BH230" s="29" t="str">
        <f t="shared" si="233"/>
        <v>#DIV/0!</v>
      </c>
      <c r="BI230" s="29" t="str">
        <f t="shared" si="233"/>
        <v>#DIV/0!</v>
      </c>
      <c r="BJ230" s="29" t="str">
        <f t="shared" si="233"/>
        <v>#DIV/0!</v>
      </c>
      <c r="BK230" s="29" t="str">
        <f t="shared" si="233"/>
        <v>#DIV/0!</v>
      </c>
      <c r="BL230" s="29" t="str">
        <f t="shared" si="233"/>
        <v>#DIV/0!</v>
      </c>
      <c r="BM230" s="29" t="str">
        <f t="shared" si="3"/>
        <v>#DIV/0!</v>
      </c>
    </row>
    <row r="231">
      <c r="A231" s="16" t="str">
        <f>IFERROR(__xludf.DUMMYFUNCTION("IFERROR(SPARKLINE(SORT(MAP(TRANSPOSE(AQ231:BL231), LAMBDA(val, IF(ISNUMBER(val), PERCENTRANK(AQ231:BL231, val)+0.01, 0))), SEQUENCE(COLUMNS(AQ231:BL231)), FALSE), {""charttype"",""column""; ""color"",""chartreuse""; ""ymin"", 0; ""ymax"", 1.01; ""highcolo"&amp;"r"", ""darkgreen""; ""lowcolor"", ""red""}), """")"),"")</f>
        <v/>
      </c>
      <c r="B231" s="17" t="str">
        <f t="shared" si="4"/>
        <v/>
      </c>
      <c r="C231" s="1" t="s">
        <v>1099</v>
      </c>
      <c r="D231" s="34" t="str">
        <f>IFERROR(__xludf.DUMMYFUNCTION("IFERROR(GOOGLEFINANCE(C231, ""NAME""))"),"Aldel Financial II Inc")</f>
        <v>Aldel Financial II Inc</v>
      </c>
      <c r="E231" s="30" t="s">
        <v>161</v>
      </c>
      <c r="F231" s="33" t="str">
        <f>IFERROR(__xludf.DUMMYFUNCTION("( (GOOGLEFINANCE(C231, ""price"") - Q231) / Q231 ) / (R231 / 100)"),"Loading...")</f>
        <v>Loading...</v>
      </c>
      <c r="G231" s="20" t="str">
        <f>IFERROR(__xludf.DUMMYFUNCTION("AVERAGE(ARRAYFORMULA(100 * (QUERY(GOOGLEFINANCE(C231, ""high"", TODAY()-40, TODAY()), ""SELECT Col2 WHERE Col2 IS NOT NULL ORDER BY Col1 DESC LIMIT 20"", 0) / QUERY(GOOGLEFINANCE(C231, ""low"", TODAY()-40, TODAY()), ""SELECT Col2 WHERE Col2 IS NOT NULL OR"&amp;"DER BY Col1 DESC LIMIT 20"", 0) - 1)))"),"#N/A")</f>
        <v>#N/A</v>
      </c>
      <c r="H231" s="35" t="str">
        <f t="shared" si="6"/>
        <v/>
      </c>
      <c r="I231" s="36" t="str">
        <f t="shared" si="7"/>
        <v/>
      </c>
      <c r="J231" s="37" t="str">
        <f>IFERROR(__xludf.DUMMYFUNCTION("IFERROR(
  IF(C231="""",, 
    IFERROR(
      GOOGLEFINANCE(C231, ""price"") * GOOGLEFINANCE(C231, ""volumeavg""), 
      GOOGLEFINANCE(C231, ""price"") * AVERAGE(QUERY(GOOGLEFINANCE(C231, ""volume"", TODAY()-40, TODAY()), ""SELECT Col2 WHERE Col2 IS NOT "&amp;"NULL ORDER BY Col1 DESC LIMIT 20"", 0))
    )
  ), 
"""")"),"")</f>
        <v/>
      </c>
      <c r="K231" s="21" t="str">
        <f>IFERROR(__xludf.DUMMYFUNCTION("IFERROR(GOOGLEFINANCE(C231, ""changepct"") / 100, """")"),"")</f>
        <v/>
      </c>
      <c r="L231" s="21" t="str">
        <f>IFERROR(__xludf.DUMMYFUNCTION("IFERROR((GOOGLEFINANCE(C231, ""price"") / INDEX(GOOGLEFINANCE(C231, ""price"", TODAY()-7, TODAY()), 2, 2)) - 1, """")"),"")</f>
        <v/>
      </c>
      <c r="M231" s="21" t="str">
        <f>IFERROR(__xludf.DUMMYFUNCTION("IFERROR((GOOGLEFINANCE(C231, ""price"") / INDEX(GOOGLEFINANCE(C231, ""price"", EDATE(TODAY(), -1), TODAY()), 2, 2)) - 1, """")"),"")</f>
        <v/>
      </c>
      <c r="N231" s="21" t="str">
        <f>IFERROR(__xludf.DUMMYFUNCTION("IFERROR((GOOGLEFINANCE(C231, ""price"") / INDEX(GOOGLEFINANCE(C231, ""price"", EDATE(TODAY(), -3), TODAY()), 2, 2)) - 1, """")"),"")</f>
        <v/>
      </c>
      <c r="O231" s="21" t="str">
        <f>IFERROR(__xludf.DUMMYFUNCTION("IFERROR((GOOGLEFINANCE(C231, ""price"") / INDEX(GOOGLEFINANCE(C231, ""price"", EDATE(TODAY(), -6), TODAY()), 2, 2)) - 1, """")"),"")</f>
        <v/>
      </c>
      <c r="P231" s="21" t="str">
        <f>IFERROR(__xludf.DUMMYFUNCTION("IFERROR((GOOGLEFINANCE(C231, ""price"") / INDEX(GOOGLEFINANCE(C231, ""price"", EDATE(TODAY(), -12), TODAY()), 2, 2)) - 1, """")"),"")</f>
        <v/>
      </c>
      <c r="Q231" s="6" t="str">
        <f>IFERROR(__xludf.DUMMYFUNCTION("AVERAGE(QUERY(GOOGLEFINANCE(C231, ""price"", TODAY()-80, TODAY()), ""SELECT Col2 WHERE Col2 IS NOT NULL ORDER BY Col1 DESC LIMIT 50"", 0))"),"#N/A")</f>
        <v>#N/A</v>
      </c>
      <c r="R231" s="24" t="str">
        <f>IFERROR(__xludf.DUMMYFUNCTION("IFERROR(
  LET(
    data, QUERY(GOOGLEFINANCE(C231,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GOOGLEFINANCE(C231, ""price"")) * 100,
    IF(calc=0, G231, calc)
  ), 
G231)"),"#N/A")</f>
        <v>#N/A</v>
      </c>
      <c r="S231" s="8" t="s">
        <v>15</v>
      </c>
      <c r="T231" s="26" t="str">
        <f>IFERROR(__xludf.DUMMYFUNCTION("IFERROR(TRANSPOSE(QUERY(IFERROR(SORT(GOOGLEFINANCE(C231, ""price"", WORKDAY(TODAY(), -40), TODAY()), 1, FALSE)), ""select Col2 where Col2 is not null limit 22 label Col2 ''"", 0)), """")"),"")</f>
        <v/>
      </c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8"/>
      <c r="AO231" s="28"/>
      <c r="AP231" s="29"/>
      <c r="AQ231" s="29" t="str">
        <f t="shared" ref="AQ231:BL231" si="234">T231/T$2</f>
        <v>#N/A</v>
      </c>
      <c r="AR231" s="29" t="str">
        <f t="shared" si="234"/>
        <v>#DIV/0!</v>
      </c>
      <c r="AS231" s="29" t="str">
        <f t="shared" si="234"/>
        <v>#DIV/0!</v>
      </c>
      <c r="AT231" s="29" t="str">
        <f t="shared" si="234"/>
        <v>#DIV/0!</v>
      </c>
      <c r="AU231" s="29" t="str">
        <f t="shared" si="234"/>
        <v>#DIV/0!</v>
      </c>
      <c r="AV231" s="29" t="str">
        <f t="shared" si="234"/>
        <v>#DIV/0!</v>
      </c>
      <c r="AW231" s="29" t="str">
        <f t="shared" si="234"/>
        <v>#DIV/0!</v>
      </c>
      <c r="AX231" s="29" t="str">
        <f t="shared" si="234"/>
        <v>#DIV/0!</v>
      </c>
      <c r="AY231" s="29" t="str">
        <f t="shared" si="234"/>
        <v>#DIV/0!</v>
      </c>
      <c r="AZ231" s="29" t="str">
        <f t="shared" si="234"/>
        <v>#DIV/0!</v>
      </c>
      <c r="BA231" s="29" t="str">
        <f t="shared" si="234"/>
        <v>#DIV/0!</v>
      </c>
      <c r="BB231" s="29" t="str">
        <f t="shared" si="234"/>
        <v>#DIV/0!</v>
      </c>
      <c r="BC231" s="29" t="str">
        <f t="shared" si="234"/>
        <v>#DIV/0!</v>
      </c>
      <c r="BD231" s="29" t="str">
        <f t="shared" si="234"/>
        <v>#DIV/0!</v>
      </c>
      <c r="BE231" s="29" t="str">
        <f t="shared" si="234"/>
        <v>#DIV/0!</v>
      </c>
      <c r="BF231" s="29" t="str">
        <f t="shared" si="234"/>
        <v>#DIV/0!</v>
      </c>
      <c r="BG231" s="29" t="str">
        <f t="shared" si="234"/>
        <v>#DIV/0!</v>
      </c>
      <c r="BH231" s="29" t="str">
        <f t="shared" si="234"/>
        <v>#DIV/0!</v>
      </c>
      <c r="BI231" s="29" t="str">
        <f t="shared" si="234"/>
        <v>#DIV/0!</v>
      </c>
      <c r="BJ231" s="29" t="str">
        <f t="shared" si="234"/>
        <v>#DIV/0!</v>
      </c>
      <c r="BK231" s="29" t="str">
        <f t="shared" si="234"/>
        <v>#DIV/0!</v>
      </c>
      <c r="BL231" s="29" t="str">
        <f t="shared" si="234"/>
        <v>#DIV/0!</v>
      </c>
      <c r="BM231" s="29" t="str">
        <f t="shared" si="3"/>
        <v>#DIV/0!</v>
      </c>
    </row>
    <row r="232">
      <c r="A232" s="16" t="str">
        <f>IFERROR(__xludf.DUMMYFUNCTION("IFERROR(SPARKLINE(SORT(MAP(TRANSPOSE(AQ232:BL232), LAMBDA(val, IF(ISNUMBER(val), PERCENTRANK(AQ232:BL232, val)+0.01, 0))), SEQUENCE(COLUMNS(AQ232:BL232)), FALSE), {""charttype"",""column""; ""color"",""chartreuse""; ""ymin"", 0; ""ymax"", 1.01; ""highcolo"&amp;"r"", ""darkgreen""; ""lowcolor"", ""red""}), """")"),"")</f>
        <v/>
      </c>
      <c r="B232" s="17" t="str">
        <f t="shared" si="4"/>
        <v/>
      </c>
      <c r="C232" s="1" t="s">
        <v>1104</v>
      </c>
      <c r="D232" s="34" t="str">
        <f>IFERROR(__xludf.DUMMYFUNCTION("IFERROR(GOOGLEFINANCE(C232, ""NAME""))"),"")</f>
        <v/>
      </c>
      <c r="E232" s="30" t="s">
        <v>268</v>
      </c>
      <c r="F232" s="33" t="str">
        <f>IFERROR(__xludf.DUMMYFUNCTION("( (GOOGLEFINANCE(C232, ""price"") - Q232) / Q232 ) / (R232 / 100)"),"Loading...")</f>
        <v>Loading...</v>
      </c>
      <c r="G232" s="20" t="str">
        <f>IFERROR(__xludf.DUMMYFUNCTION("AVERAGE(ARRAYFORMULA(100 * (QUERY(GOOGLEFINANCE(C232, ""high"", TODAY()-40, TODAY()), ""SELECT Col2 WHERE Col2 IS NOT NULL ORDER BY Col1 DESC LIMIT 20"", 0) / QUERY(GOOGLEFINANCE(C232, ""low"", TODAY()-40, TODAY()), ""SELECT Col2 WHERE Col2 IS NOT NULL OR"&amp;"DER BY Col1 DESC LIMIT 20"", 0) - 1)))"),"#N/A")</f>
        <v>#N/A</v>
      </c>
      <c r="H232" s="35" t="str">
        <f t="shared" si="6"/>
        <v/>
      </c>
      <c r="I232" s="36" t="str">
        <f t="shared" si="7"/>
        <v/>
      </c>
      <c r="J232" s="37" t="str">
        <f>IFERROR(__xludf.DUMMYFUNCTION("IFERROR(
  IF(C232="""",, 
    IFERROR(
      GOOGLEFINANCE(C232, ""price"") * GOOGLEFINANCE(C232, ""volumeavg""), 
      GOOGLEFINANCE(C232, ""price"") * AVERAGE(QUERY(GOOGLEFINANCE(C232, ""volume"", TODAY()-40, TODAY()), ""SELECT Col2 WHERE Col2 IS NOT "&amp;"NULL ORDER BY Col1 DESC LIMIT 20"", 0))
    )
  ), 
"""")"),"")</f>
        <v/>
      </c>
      <c r="K232" s="21" t="str">
        <f>IFERROR(__xludf.DUMMYFUNCTION("IFERROR(GOOGLEFINANCE(C232, ""changepct"") / 100, """")"),"")</f>
        <v/>
      </c>
      <c r="L232" s="21" t="str">
        <f>IFERROR(__xludf.DUMMYFUNCTION("IFERROR((GOOGLEFINANCE(C232, ""price"") / INDEX(GOOGLEFINANCE(C232, ""price"", TODAY()-7, TODAY()), 2, 2)) - 1, """")"),"")</f>
        <v/>
      </c>
      <c r="M232" s="21" t="str">
        <f>IFERROR(__xludf.DUMMYFUNCTION("IFERROR((GOOGLEFINANCE(C232, ""price"") / INDEX(GOOGLEFINANCE(C232, ""price"", EDATE(TODAY(), -1), TODAY()), 2, 2)) - 1, """")"),"")</f>
        <v/>
      </c>
      <c r="N232" s="21" t="str">
        <f>IFERROR(__xludf.DUMMYFUNCTION("IFERROR((GOOGLEFINANCE(C232, ""price"") / INDEX(GOOGLEFINANCE(C232, ""price"", EDATE(TODAY(), -3), TODAY()), 2, 2)) - 1, """")"),"")</f>
        <v/>
      </c>
      <c r="O232" s="21" t="str">
        <f>IFERROR(__xludf.DUMMYFUNCTION("IFERROR((GOOGLEFINANCE(C232, ""price"") / INDEX(GOOGLEFINANCE(C232, ""price"", EDATE(TODAY(), -6), TODAY()), 2, 2)) - 1, """")"),"")</f>
        <v/>
      </c>
      <c r="P232" s="21" t="str">
        <f>IFERROR(__xludf.DUMMYFUNCTION("IFERROR((GOOGLEFINANCE(C232, ""price"") / INDEX(GOOGLEFINANCE(C232, ""price"", EDATE(TODAY(), -12), TODAY()), 2, 2)) - 1, """")"),"")</f>
        <v/>
      </c>
      <c r="Q232" s="6" t="str">
        <f>IFERROR(__xludf.DUMMYFUNCTION("AVERAGE(QUERY(GOOGLEFINANCE(C232, ""price"", TODAY()-80, TODAY()), ""SELECT Col2 WHERE Col2 IS NOT NULL ORDER BY Col1 DESC LIMIT 50"", 0))"),"#N/A")</f>
        <v>#N/A</v>
      </c>
      <c r="R232" s="24" t="str">
        <f>IFERROR(__xludf.DUMMYFUNCTION("IFERROR(
  LET(
    data, QUERY(GOOGLEFINANCE(C232,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GOOGLEFINANCE(C232, ""price"")) * 100,
    IF(calc=0, G232, calc)
  ), 
G232)"),"#N/A")</f>
        <v>#N/A</v>
      </c>
      <c r="S232" s="8" t="s">
        <v>15</v>
      </c>
      <c r="T232" s="26" t="str">
        <f>IFERROR(__xludf.DUMMYFUNCTION("IFERROR(TRANSPOSE(QUERY(IFERROR(SORT(GOOGLEFINANCE(C232, ""price"", WORKDAY(TODAY(), -40), TODAY()), 1, FALSE)), ""select Col2 where Col2 is not null limit 22 label Col2 ''"", 0)), """")"),"")</f>
        <v/>
      </c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8"/>
      <c r="AO232" s="28"/>
      <c r="AP232" s="29"/>
      <c r="AQ232" s="29" t="str">
        <f t="shared" ref="AQ232:BL232" si="235">T232/T$2</f>
        <v>#N/A</v>
      </c>
      <c r="AR232" s="29" t="str">
        <f t="shared" si="235"/>
        <v>#DIV/0!</v>
      </c>
      <c r="AS232" s="29" t="str">
        <f t="shared" si="235"/>
        <v>#DIV/0!</v>
      </c>
      <c r="AT232" s="29" t="str">
        <f t="shared" si="235"/>
        <v>#DIV/0!</v>
      </c>
      <c r="AU232" s="29" t="str">
        <f t="shared" si="235"/>
        <v>#DIV/0!</v>
      </c>
      <c r="AV232" s="29" t="str">
        <f t="shared" si="235"/>
        <v>#DIV/0!</v>
      </c>
      <c r="AW232" s="29" t="str">
        <f t="shared" si="235"/>
        <v>#DIV/0!</v>
      </c>
      <c r="AX232" s="29" t="str">
        <f t="shared" si="235"/>
        <v>#DIV/0!</v>
      </c>
      <c r="AY232" s="29" t="str">
        <f t="shared" si="235"/>
        <v>#DIV/0!</v>
      </c>
      <c r="AZ232" s="29" t="str">
        <f t="shared" si="235"/>
        <v>#DIV/0!</v>
      </c>
      <c r="BA232" s="29" t="str">
        <f t="shared" si="235"/>
        <v>#DIV/0!</v>
      </c>
      <c r="BB232" s="29" t="str">
        <f t="shared" si="235"/>
        <v>#DIV/0!</v>
      </c>
      <c r="BC232" s="29" t="str">
        <f t="shared" si="235"/>
        <v>#DIV/0!</v>
      </c>
      <c r="BD232" s="29" t="str">
        <f t="shared" si="235"/>
        <v>#DIV/0!</v>
      </c>
      <c r="BE232" s="29" t="str">
        <f t="shared" si="235"/>
        <v>#DIV/0!</v>
      </c>
      <c r="BF232" s="29" t="str">
        <f t="shared" si="235"/>
        <v>#DIV/0!</v>
      </c>
      <c r="BG232" s="29" t="str">
        <f t="shared" si="235"/>
        <v>#DIV/0!</v>
      </c>
      <c r="BH232" s="29" t="str">
        <f t="shared" si="235"/>
        <v>#DIV/0!</v>
      </c>
      <c r="BI232" s="29" t="str">
        <f t="shared" si="235"/>
        <v>#DIV/0!</v>
      </c>
      <c r="BJ232" s="29" t="str">
        <f t="shared" si="235"/>
        <v>#DIV/0!</v>
      </c>
      <c r="BK232" s="29" t="str">
        <f t="shared" si="235"/>
        <v>#DIV/0!</v>
      </c>
      <c r="BL232" s="29" t="str">
        <f t="shared" si="235"/>
        <v>#DIV/0!</v>
      </c>
      <c r="BM232" s="29" t="str">
        <f t="shared" si="3"/>
        <v>#DIV/0!</v>
      </c>
    </row>
    <row r="233">
      <c r="A233" s="16" t="str">
        <f>IFERROR(__xludf.DUMMYFUNCTION("IFERROR(SPARKLINE(SORT(MAP(TRANSPOSE(AQ233:BL233), LAMBDA(val, IF(ISNUMBER(val), PERCENTRANK(AQ233:BL233, val)+0.01, 0))), SEQUENCE(COLUMNS(AQ233:BL233)), FALSE), {""charttype"",""column""; ""color"",""chartreuse""; ""ymin"", 0; ""ymax"", 1.01; ""highcolo"&amp;"r"", ""darkgreen""; ""lowcolor"", ""red""}), """")"),"")</f>
        <v/>
      </c>
      <c r="B233" s="17" t="str">
        <f t="shared" si="4"/>
        <v/>
      </c>
      <c r="C233" s="1" t="s">
        <v>1107</v>
      </c>
      <c r="D233" s="34" t="str">
        <f>IFERROR(__xludf.DUMMYFUNCTION("IFERROR(GOOGLEFINANCE(C233, ""NAME""))"),"Slide Insurance Holdings Inc")</f>
        <v>Slide Insurance Holdings Inc</v>
      </c>
      <c r="E233" s="30" t="s">
        <v>82</v>
      </c>
      <c r="F233" s="33" t="str">
        <f>IFERROR(__xludf.DUMMYFUNCTION("( (GOOGLEFINANCE(C233, ""price"") - Q233) / Q233 ) / (R233 / 100)"),"Loading...")</f>
        <v>Loading...</v>
      </c>
      <c r="G233" s="20" t="str">
        <f>IFERROR(__xludf.DUMMYFUNCTION("AVERAGE(ARRAYFORMULA(100 * (QUERY(GOOGLEFINANCE(C233, ""high"", TODAY()-40, TODAY()), ""SELECT Col2 WHERE Col2 IS NOT NULL ORDER BY Col1 DESC LIMIT 20"", 0) / QUERY(GOOGLEFINANCE(C233, ""low"", TODAY()-40, TODAY()), ""SELECT Col2 WHERE Col2 IS NOT NULL OR"&amp;"DER BY Col1 DESC LIMIT 20"", 0) - 1)))"),"#N/A")</f>
        <v>#N/A</v>
      </c>
      <c r="H233" s="35" t="str">
        <f t="shared" si="6"/>
        <v/>
      </c>
      <c r="I233" s="36" t="str">
        <f t="shared" si="7"/>
        <v/>
      </c>
      <c r="J233" s="37" t="str">
        <f>IFERROR(__xludf.DUMMYFUNCTION("IFERROR(
  IF(C233="""",, 
    IFERROR(
      GOOGLEFINANCE(C233, ""price"") * GOOGLEFINANCE(C233, ""volumeavg""), 
      GOOGLEFINANCE(C233, ""price"") * AVERAGE(QUERY(GOOGLEFINANCE(C233, ""volume"", TODAY()-40, TODAY()), ""SELECT Col2 WHERE Col2 IS NOT "&amp;"NULL ORDER BY Col1 DESC LIMIT 20"", 0))
    )
  ), 
"""")"),"")</f>
        <v/>
      </c>
      <c r="K233" s="21" t="str">
        <f>IFERROR(__xludf.DUMMYFUNCTION("IFERROR(GOOGLEFINANCE(C233, ""changepct"") / 100, """")"),"")</f>
        <v/>
      </c>
      <c r="L233" s="21" t="str">
        <f>IFERROR(__xludf.DUMMYFUNCTION("IFERROR((GOOGLEFINANCE(C233, ""price"") / INDEX(GOOGLEFINANCE(C233, ""price"", TODAY()-7, TODAY()), 2, 2)) - 1, """")"),"")</f>
        <v/>
      </c>
      <c r="M233" s="21" t="str">
        <f>IFERROR(__xludf.DUMMYFUNCTION("IFERROR((GOOGLEFINANCE(C233, ""price"") / INDEX(GOOGLEFINANCE(C233, ""price"", EDATE(TODAY(), -1), TODAY()), 2, 2)) - 1, """")"),"")</f>
        <v/>
      </c>
      <c r="N233" s="21" t="str">
        <f>IFERROR(__xludf.DUMMYFUNCTION("IFERROR((GOOGLEFINANCE(C233, ""price"") / INDEX(GOOGLEFINANCE(C233, ""price"", EDATE(TODAY(), -3), TODAY()), 2, 2)) - 1, """")"),"")</f>
        <v/>
      </c>
      <c r="O233" s="21" t="str">
        <f>IFERROR(__xludf.DUMMYFUNCTION("IFERROR((GOOGLEFINANCE(C233, ""price"") / INDEX(GOOGLEFINANCE(C233, ""price"", EDATE(TODAY(), -6), TODAY()), 2, 2)) - 1, """")"),"")</f>
        <v/>
      </c>
      <c r="P233" s="21" t="str">
        <f>IFERROR(__xludf.DUMMYFUNCTION("IFERROR((GOOGLEFINANCE(C233, ""price"") / INDEX(GOOGLEFINANCE(C233, ""price"", EDATE(TODAY(), -12), TODAY()), 2, 2)) - 1, """")"),"")</f>
        <v/>
      </c>
      <c r="Q233" s="6" t="str">
        <f>IFERROR(__xludf.DUMMYFUNCTION("AVERAGE(QUERY(GOOGLEFINANCE(C233, ""price"", TODAY()-80, TODAY()), ""SELECT Col2 WHERE Col2 IS NOT NULL ORDER BY Col1 DESC LIMIT 50"", 0))"),"#N/A")</f>
        <v>#N/A</v>
      </c>
      <c r="R233" s="24" t="str">
        <f>IFERROR(__xludf.DUMMYFUNCTION("IFERROR(
  LET(
    data, QUERY(GOOGLEFINANCE(C233,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GOOGLEFINANCE(C233, ""price"")) * 100,
    IF(calc=0, G233, calc)
  ), 
G233)"),"#N/A")</f>
        <v>#N/A</v>
      </c>
      <c r="S233" s="8" t="s">
        <v>15</v>
      </c>
      <c r="T233" s="26" t="str">
        <f>IFERROR(__xludf.DUMMYFUNCTION("IFERROR(TRANSPOSE(QUERY(IFERROR(SORT(GOOGLEFINANCE(C233, ""price"", WORKDAY(TODAY(), -40), TODAY()), 1, FALSE)), ""select Col2 where Col2 is not null limit 22 label Col2 ''"", 0)), """")"),"")</f>
        <v/>
      </c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8"/>
      <c r="AO233" s="28"/>
      <c r="AP233" s="29"/>
      <c r="AQ233" s="29" t="str">
        <f t="shared" ref="AQ233:BL233" si="236">T233/T$2</f>
        <v>#N/A</v>
      </c>
      <c r="AR233" s="29" t="str">
        <f t="shared" si="236"/>
        <v>#DIV/0!</v>
      </c>
      <c r="AS233" s="29" t="str">
        <f t="shared" si="236"/>
        <v>#DIV/0!</v>
      </c>
      <c r="AT233" s="29" t="str">
        <f t="shared" si="236"/>
        <v>#DIV/0!</v>
      </c>
      <c r="AU233" s="29" t="str">
        <f t="shared" si="236"/>
        <v>#DIV/0!</v>
      </c>
      <c r="AV233" s="29" t="str">
        <f t="shared" si="236"/>
        <v>#DIV/0!</v>
      </c>
      <c r="AW233" s="29" t="str">
        <f t="shared" si="236"/>
        <v>#DIV/0!</v>
      </c>
      <c r="AX233" s="29" t="str">
        <f t="shared" si="236"/>
        <v>#DIV/0!</v>
      </c>
      <c r="AY233" s="29" t="str">
        <f t="shared" si="236"/>
        <v>#DIV/0!</v>
      </c>
      <c r="AZ233" s="29" t="str">
        <f t="shared" si="236"/>
        <v>#DIV/0!</v>
      </c>
      <c r="BA233" s="29" t="str">
        <f t="shared" si="236"/>
        <v>#DIV/0!</v>
      </c>
      <c r="BB233" s="29" t="str">
        <f t="shared" si="236"/>
        <v>#DIV/0!</v>
      </c>
      <c r="BC233" s="29" t="str">
        <f t="shared" si="236"/>
        <v>#DIV/0!</v>
      </c>
      <c r="BD233" s="29" t="str">
        <f t="shared" si="236"/>
        <v>#DIV/0!</v>
      </c>
      <c r="BE233" s="29" t="str">
        <f t="shared" si="236"/>
        <v>#DIV/0!</v>
      </c>
      <c r="BF233" s="29" t="str">
        <f t="shared" si="236"/>
        <v>#DIV/0!</v>
      </c>
      <c r="BG233" s="29" t="str">
        <f t="shared" si="236"/>
        <v>#DIV/0!</v>
      </c>
      <c r="BH233" s="29" t="str">
        <f t="shared" si="236"/>
        <v>#DIV/0!</v>
      </c>
      <c r="BI233" s="29" t="str">
        <f t="shared" si="236"/>
        <v>#DIV/0!</v>
      </c>
      <c r="BJ233" s="29" t="str">
        <f t="shared" si="236"/>
        <v>#DIV/0!</v>
      </c>
      <c r="BK233" s="29" t="str">
        <f t="shared" si="236"/>
        <v>#DIV/0!</v>
      </c>
      <c r="BL233" s="29" t="str">
        <f t="shared" si="236"/>
        <v>#DIV/0!</v>
      </c>
      <c r="BM233" s="29" t="str">
        <f t="shared" si="3"/>
        <v>#DIV/0!</v>
      </c>
    </row>
    <row r="234">
      <c r="A234" s="16" t="str">
        <f>IFERROR(__xludf.DUMMYFUNCTION("IFERROR(SPARKLINE(SORT(MAP(TRANSPOSE(AQ234:BL234), LAMBDA(val, IF(ISNUMBER(val), PERCENTRANK(AQ234:BL234, val)+0.01, 0))), SEQUENCE(COLUMNS(AQ234:BL234)), FALSE), {""charttype"",""column""; ""color"",""chartreuse""; ""ymin"", 0; ""ymax"", 1.01; ""highcolo"&amp;"r"", ""darkgreen""; ""lowcolor"", ""red""}), """")"),"")</f>
        <v/>
      </c>
      <c r="B234" s="17" t="str">
        <f t="shared" si="4"/>
        <v/>
      </c>
      <c r="C234" s="1" t="s">
        <v>1111</v>
      </c>
      <c r="D234" s="34" t="str">
        <f>IFERROR(__xludf.DUMMYFUNCTION("IFERROR(GOOGLEFINANCE(C234, ""NAME""))"),"Allstate Corp")</f>
        <v>Allstate Corp</v>
      </c>
      <c r="E234" s="30" t="s">
        <v>82</v>
      </c>
      <c r="F234" s="33" t="str">
        <f>IFERROR(__xludf.DUMMYFUNCTION("( (GOOGLEFINANCE(C234, ""price"") - Q234) / Q234 ) / (R234 / 100)"),"Loading...")</f>
        <v>Loading...</v>
      </c>
      <c r="G234" s="20" t="str">
        <f>IFERROR(__xludf.DUMMYFUNCTION("AVERAGE(ARRAYFORMULA(100 * (QUERY(GOOGLEFINANCE(C234, ""high"", TODAY()-40, TODAY()), ""SELECT Col2 WHERE Col2 IS NOT NULL ORDER BY Col1 DESC LIMIT 20"", 0) / QUERY(GOOGLEFINANCE(C234, ""low"", TODAY()-40, TODAY()), ""SELECT Col2 WHERE Col2 IS NOT NULL OR"&amp;"DER BY Col1 DESC LIMIT 20"", 0) - 1)))"),"#N/A")</f>
        <v>#N/A</v>
      </c>
      <c r="H234" s="35" t="str">
        <f t="shared" si="6"/>
        <v/>
      </c>
      <c r="I234" s="36" t="str">
        <f t="shared" si="7"/>
        <v/>
      </c>
      <c r="J234" s="37" t="str">
        <f>IFERROR(__xludf.DUMMYFUNCTION("IFERROR(
  IF(C234="""",, 
    IFERROR(
      GOOGLEFINANCE(C234, ""price"") * GOOGLEFINANCE(C234, ""volumeavg""), 
      GOOGLEFINANCE(C234, ""price"") * AVERAGE(QUERY(GOOGLEFINANCE(C234, ""volume"", TODAY()-40, TODAY()), ""SELECT Col2 WHERE Col2 IS NOT "&amp;"NULL ORDER BY Col1 DESC LIMIT 20"", 0))
    )
  ), 
"""")"),"")</f>
        <v/>
      </c>
      <c r="K234" s="21" t="str">
        <f>IFERROR(__xludf.DUMMYFUNCTION("IFERROR(GOOGLEFINANCE(C234, ""changepct"") / 100, """")"),"")</f>
        <v/>
      </c>
      <c r="L234" s="21" t="str">
        <f>IFERROR(__xludf.DUMMYFUNCTION("IFERROR((GOOGLEFINANCE(C234, ""price"") / INDEX(GOOGLEFINANCE(C234, ""price"", TODAY()-7, TODAY()), 2, 2)) - 1, """")"),"")</f>
        <v/>
      </c>
      <c r="M234" s="21" t="str">
        <f>IFERROR(__xludf.DUMMYFUNCTION("IFERROR((GOOGLEFINANCE(C234, ""price"") / INDEX(GOOGLEFINANCE(C234, ""price"", EDATE(TODAY(), -1), TODAY()), 2, 2)) - 1, """")"),"")</f>
        <v/>
      </c>
      <c r="N234" s="21" t="str">
        <f>IFERROR(__xludf.DUMMYFUNCTION("IFERROR((GOOGLEFINANCE(C234, ""price"") / INDEX(GOOGLEFINANCE(C234, ""price"", EDATE(TODAY(), -3), TODAY()), 2, 2)) - 1, """")"),"")</f>
        <v/>
      </c>
      <c r="O234" s="21" t="str">
        <f>IFERROR(__xludf.DUMMYFUNCTION("IFERROR((GOOGLEFINANCE(C234, ""price"") / INDEX(GOOGLEFINANCE(C234, ""price"", EDATE(TODAY(), -6), TODAY()), 2, 2)) - 1, """")"),"")</f>
        <v/>
      </c>
      <c r="P234" s="21" t="str">
        <f>IFERROR(__xludf.DUMMYFUNCTION("IFERROR((GOOGLEFINANCE(C234, ""price"") / INDEX(GOOGLEFINANCE(C234, ""price"", EDATE(TODAY(), -12), TODAY()), 2, 2)) - 1, """")"),"")</f>
        <v/>
      </c>
      <c r="Q234" s="6" t="str">
        <f>IFERROR(__xludf.DUMMYFUNCTION("AVERAGE(QUERY(GOOGLEFINANCE(C234, ""price"", TODAY()-80, TODAY()), ""SELECT Col2 WHERE Col2 IS NOT NULL ORDER BY Col1 DESC LIMIT 50"", 0))"),"#N/A")</f>
        <v>#N/A</v>
      </c>
      <c r="R234" s="24" t="str">
        <f>IFERROR(__xludf.DUMMYFUNCTION("IFERROR(
  LET(
    data, QUERY(GOOGLEFINANCE(C234,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GOOGLEFINANCE(C234, ""price"")) * 100,
    IF(calc=0, G234, calc)
  ), 
G234)"),"#N/A")</f>
        <v>#N/A</v>
      </c>
      <c r="S234" s="8" t="s">
        <v>15</v>
      </c>
      <c r="T234" s="26" t="str">
        <f>IFERROR(__xludf.DUMMYFUNCTION("IFERROR(TRANSPOSE(QUERY(IFERROR(SORT(GOOGLEFINANCE(C234, ""price"", WORKDAY(TODAY(), -40), TODAY()), 1, FALSE)), ""select Col2 where Col2 is not null limit 22 label Col2 ''"", 0)), """")"),"")</f>
        <v/>
      </c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8"/>
      <c r="AO234" s="28"/>
      <c r="AP234" s="29"/>
      <c r="AQ234" s="29" t="str">
        <f t="shared" ref="AQ234:BL234" si="237">T234/T$2</f>
        <v>#N/A</v>
      </c>
      <c r="AR234" s="29" t="str">
        <f t="shared" si="237"/>
        <v>#DIV/0!</v>
      </c>
      <c r="AS234" s="29" t="str">
        <f t="shared" si="237"/>
        <v>#DIV/0!</v>
      </c>
      <c r="AT234" s="29" t="str">
        <f t="shared" si="237"/>
        <v>#DIV/0!</v>
      </c>
      <c r="AU234" s="29" t="str">
        <f t="shared" si="237"/>
        <v>#DIV/0!</v>
      </c>
      <c r="AV234" s="29" t="str">
        <f t="shared" si="237"/>
        <v>#DIV/0!</v>
      </c>
      <c r="AW234" s="29" t="str">
        <f t="shared" si="237"/>
        <v>#DIV/0!</v>
      </c>
      <c r="AX234" s="29" t="str">
        <f t="shared" si="237"/>
        <v>#DIV/0!</v>
      </c>
      <c r="AY234" s="29" t="str">
        <f t="shared" si="237"/>
        <v>#DIV/0!</v>
      </c>
      <c r="AZ234" s="29" t="str">
        <f t="shared" si="237"/>
        <v>#DIV/0!</v>
      </c>
      <c r="BA234" s="29" t="str">
        <f t="shared" si="237"/>
        <v>#DIV/0!</v>
      </c>
      <c r="BB234" s="29" t="str">
        <f t="shared" si="237"/>
        <v>#DIV/0!</v>
      </c>
      <c r="BC234" s="29" t="str">
        <f t="shared" si="237"/>
        <v>#DIV/0!</v>
      </c>
      <c r="BD234" s="29" t="str">
        <f t="shared" si="237"/>
        <v>#DIV/0!</v>
      </c>
      <c r="BE234" s="29" t="str">
        <f t="shared" si="237"/>
        <v>#DIV/0!</v>
      </c>
      <c r="BF234" s="29" t="str">
        <f t="shared" si="237"/>
        <v>#DIV/0!</v>
      </c>
      <c r="BG234" s="29" t="str">
        <f t="shared" si="237"/>
        <v>#DIV/0!</v>
      </c>
      <c r="BH234" s="29" t="str">
        <f t="shared" si="237"/>
        <v>#DIV/0!</v>
      </c>
      <c r="BI234" s="29" t="str">
        <f t="shared" si="237"/>
        <v>#DIV/0!</v>
      </c>
      <c r="BJ234" s="29" t="str">
        <f t="shared" si="237"/>
        <v>#DIV/0!</v>
      </c>
      <c r="BK234" s="29" t="str">
        <f t="shared" si="237"/>
        <v>#DIV/0!</v>
      </c>
      <c r="BL234" s="29" t="str">
        <f t="shared" si="237"/>
        <v>#DIV/0!</v>
      </c>
      <c r="BM234" s="29" t="str">
        <f t="shared" si="3"/>
        <v>#DIV/0!</v>
      </c>
    </row>
    <row r="235">
      <c r="A235" s="16" t="str">
        <f>IFERROR(__xludf.DUMMYFUNCTION("IFERROR(SPARKLINE(SORT(MAP(TRANSPOSE(AQ235:BL235), LAMBDA(val, IF(ISNUMBER(val), PERCENTRANK(AQ235:BL235, val)+0.01, 0))), SEQUENCE(COLUMNS(AQ235:BL235)), FALSE), {""charttype"",""column""; ""color"",""chartreuse""; ""ymin"", 0; ""ymax"", 1.01; ""highcolo"&amp;"r"", ""darkgreen""; ""lowcolor"", ""red""}), """")"),"")</f>
        <v/>
      </c>
      <c r="B235" s="17" t="str">
        <f t="shared" si="4"/>
        <v/>
      </c>
      <c r="C235" s="1" t="s">
        <v>1115</v>
      </c>
      <c r="D235" s="34" t="str">
        <f>IFERROR(__xludf.DUMMYFUNCTION("IFERROR(GOOGLEFINANCE(C235, ""NAME""))"),"Centurion Acquisition Corp Class A")</f>
        <v>Centurion Acquisition Corp Class A</v>
      </c>
      <c r="E235" s="30" t="s">
        <v>161</v>
      </c>
      <c r="F235" s="33" t="str">
        <f>IFERROR(__xludf.DUMMYFUNCTION("( (GOOGLEFINANCE(C235, ""price"") - Q235) / Q235 ) / (R235 / 100)"),"Loading...")</f>
        <v>Loading...</v>
      </c>
      <c r="G235" s="20" t="str">
        <f>IFERROR(__xludf.DUMMYFUNCTION("AVERAGE(ARRAYFORMULA(100 * (QUERY(GOOGLEFINANCE(C235, ""high"", TODAY()-40, TODAY()), ""SELECT Col2 WHERE Col2 IS NOT NULL ORDER BY Col1 DESC LIMIT 20"", 0) / QUERY(GOOGLEFINANCE(C235, ""low"", TODAY()-40, TODAY()), ""SELECT Col2 WHERE Col2 IS NOT NULL OR"&amp;"DER BY Col1 DESC LIMIT 20"", 0) - 1)))"),"#N/A")</f>
        <v>#N/A</v>
      </c>
      <c r="H235" s="35" t="str">
        <f t="shared" si="6"/>
        <v/>
      </c>
      <c r="I235" s="36" t="str">
        <f t="shared" si="7"/>
        <v/>
      </c>
      <c r="J235" s="37" t="str">
        <f>IFERROR(__xludf.DUMMYFUNCTION("IFERROR(
  IF(C235="""",, 
    IFERROR(
      GOOGLEFINANCE(C235, ""price"") * GOOGLEFINANCE(C235, ""volumeavg""), 
      GOOGLEFINANCE(C235, ""price"") * AVERAGE(QUERY(GOOGLEFINANCE(C235, ""volume"", TODAY()-40, TODAY()), ""SELECT Col2 WHERE Col2 IS NOT "&amp;"NULL ORDER BY Col1 DESC LIMIT 20"", 0))
    )
  ), 
"""")"),"")</f>
        <v/>
      </c>
      <c r="K235" s="21" t="str">
        <f>IFERROR(__xludf.DUMMYFUNCTION("IFERROR(GOOGLEFINANCE(C235, ""changepct"") / 100, """")"),"")</f>
        <v/>
      </c>
      <c r="L235" s="21" t="str">
        <f>IFERROR(__xludf.DUMMYFUNCTION("IFERROR((GOOGLEFINANCE(C235, ""price"") / INDEX(GOOGLEFINANCE(C235, ""price"", TODAY()-7, TODAY()), 2, 2)) - 1, """")"),"")</f>
        <v/>
      </c>
      <c r="M235" s="21" t="str">
        <f>IFERROR(__xludf.DUMMYFUNCTION("IFERROR((GOOGLEFINANCE(C235, ""price"") / INDEX(GOOGLEFINANCE(C235, ""price"", EDATE(TODAY(), -1), TODAY()), 2, 2)) - 1, """")"),"")</f>
        <v/>
      </c>
      <c r="N235" s="21" t="str">
        <f>IFERROR(__xludf.DUMMYFUNCTION("IFERROR((GOOGLEFINANCE(C235, ""price"") / INDEX(GOOGLEFINANCE(C235, ""price"", EDATE(TODAY(), -3), TODAY()), 2, 2)) - 1, """")"),"")</f>
        <v/>
      </c>
      <c r="O235" s="21" t="str">
        <f>IFERROR(__xludf.DUMMYFUNCTION("IFERROR((GOOGLEFINANCE(C235, ""price"") / INDEX(GOOGLEFINANCE(C235, ""price"", EDATE(TODAY(), -6), TODAY()), 2, 2)) - 1, """")"),"")</f>
        <v/>
      </c>
      <c r="P235" s="21" t="str">
        <f>IFERROR(__xludf.DUMMYFUNCTION("IFERROR((GOOGLEFINANCE(C235, ""price"") / INDEX(GOOGLEFINANCE(C235, ""price"", EDATE(TODAY(), -12), TODAY()), 2, 2)) - 1, """")"),"")</f>
        <v/>
      </c>
      <c r="Q235" s="6" t="str">
        <f>IFERROR(__xludf.DUMMYFUNCTION("AVERAGE(QUERY(GOOGLEFINANCE(C235, ""price"", TODAY()-80, TODAY()), ""SELECT Col2 WHERE Col2 IS NOT NULL ORDER BY Col1 DESC LIMIT 50"", 0))"),"#N/A")</f>
        <v>#N/A</v>
      </c>
      <c r="R235" s="24" t="str">
        <f>IFERROR(__xludf.DUMMYFUNCTION("IFERROR(
  LET(
    data, QUERY(GOOGLEFINANCE(C235,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GOOGLEFINANCE(C235, ""price"")) * 100,
    IF(calc=0, G235, calc)
  ), 
G235)"),"#N/A")</f>
        <v>#N/A</v>
      </c>
      <c r="S235" s="8" t="s">
        <v>15</v>
      </c>
      <c r="T235" s="26" t="str">
        <f>IFERROR(__xludf.DUMMYFUNCTION("IFERROR(TRANSPOSE(QUERY(IFERROR(SORT(GOOGLEFINANCE(C235, ""price"", WORKDAY(TODAY(), -40), TODAY()), 1, FALSE)), ""select Col2 where Col2 is not null limit 22 label Col2 ''"", 0)), """")"),"")</f>
        <v/>
      </c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8"/>
      <c r="AO235" s="28"/>
      <c r="AP235" s="29"/>
      <c r="AQ235" s="29" t="str">
        <f t="shared" ref="AQ235:BL235" si="238">T235/T$2</f>
        <v>#N/A</v>
      </c>
      <c r="AR235" s="29" t="str">
        <f t="shared" si="238"/>
        <v>#DIV/0!</v>
      </c>
      <c r="AS235" s="29" t="str">
        <f t="shared" si="238"/>
        <v>#DIV/0!</v>
      </c>
      <c r="AT235" s="29" t="str">
        <f t="shared" si="238"/>
        <v>#DIV/0!</v>
      </c>
      <c r="AU235" s="29" t="str">
        <f t="shared" si="238"/>
        <v>#DIV/0!</v>
      </c>
      <c r="AV235" s="29" t="str">
        <f t="shared" si="238"/>
        <v>#DIV/0!</v>
      </c>
      <c r="AW235" s="29" t="str">
        <f t="shared" si="238"/>
        <v>#DIV/0!</v>
      </c>
      <c r="AX235" s="29" t="str">
        <f t="shared" si="238"/>
        <v>#DIV/0!</v>
      </c>
      <c r="AY235" s="29" t="str">
        <f t="shared" si="238"/>
        <v>#DIV/0!</v>
      </c>
      <c r="AZ235" s="29" t="str">
        <f t="shared" si="238"/>
        <v>#DIV/0!</v>
      </c>
      <c r="BA235" s="29" t="str">
        <f t="shared" si="238"/>
        <v>#DIV/0!</v>
      </c>
      <c r="BB235" s="29" t="str">
        <f t="shared" si="238"/>
        <v>#DIV/0!</v>
      </c>
      <c r="BC235" s="29" t="str">
        <f t="shared" si="238"/>
        <v>#DIV/0!</v>
      </c>
      <c r="BD235" s="29" t="str">
        <f t="shared" si="238"/>
        <v>#DIV/0!</v>
      </c>
      <c r="BE235" s="29" t="str">
        <f t="shared" si="238"/>
        <v>#DIV/0!</v>
      </c>
      <c r="BF235" s="29" t="str">
        <f t="shared" si="238"/>
        <v>#DIV/0!</v>
      </c>
      <c r="BG235" s="29" t="str">
        <f t="shared" si="238"/>
        <v>#DIV/0!</v>
      </c>
      <c r="BH235" s="29" t="str">
        <f t="shared" si="238"/>
        <v>#DIV/0!</v>
      </c>
      <c r="BI235" s="29" t="str">
        <f t="shared" si="238"/>
        <v>#DIV/0!</v>
      </c>
      <c r="BJ235" s="29" t="str">
        <f t="shared" si="238"/>
        <v>#DIV/0!</v>
      </c>
      <c r="BK235" s="29" t="str">
        <f t="shared" si="238"/>
        <v>#DIV/0!</v>
      </c>
      <c r="BL235" s="29" t="str">
        <f t="shared" si="238"/>
        <v>#DIV/0!</v>
      </c>
      <c r="BM235" s="29" t="str">
        <f t="shared" si="3"/>
        <v>#DIV/0!</v>
      </c>
    </row>
    <row r="236">
      <c r="A236" s="16" t="str">
        <f>IFERROR(__xludf.DUMMYFUNCTION("IFERROR(SPARKLINE(SORT(MAP(TRANSPOSE(AQ236:BL236), LAMBDA(val, IF(ISNUMBER(val), PERCENTRANK(AQ236:BL236, val)+0.01, 0))), SEQUENCE(COLUMNS(AQ236:BL236)), FALSE), {""charttype"",""column""; ""color"",""chartreuse""; ""ymin"", 0; ""ymax"", 1.01; ""highcolo"&amp;"r"", ""darkgreen""; ""lowcolor"", ""red""}), """")"),"")</f>
        <v/>
      </c>
      <c r="B236" s="17" t="str">
        <f t="shared" si="4"/>
        <v/>
      </c>
      <c r="C236" s="1" t="s">
        <v>1117</v>
      </c>
      <c r="D236" s="34" t="str">
        <f>IFERROR(__xludf.DUMMYFUNCTION("IFERROR(GOOGLEFINANCE(C236, ""NAME""))"),"Meshflow Acquisition Units")</f>
        <v>Meshflow Acquisition Units</v>
      </c>
      <c r="E236" s="30" t="s">
        <v>161</v>
      </c>
      <c r="F236" s="38" t="str">
        <f>IFERROR(__xludf.DUMMYFUNCTION("( (GOOGLEFINANCE(C236, ""price"") - Q236) / Q236 ) / (R236 / 100)"),"Loading...")</f>
        <v>Loading...</v>
      </c>
      <c r="G236" s="20" t="str">
        <f>IFERROR(__xludf.DUMMYFUNCTION("AVERAGE(ARRAYFORMULA(100 * (QUERY(GOOGLEFINANCE(C236, ""high"", TODAY()-40, TODAY()), ""SELECT Col2 WHERE Col2 IS NOT NULL ORDER BY Col1 DESC LIMIT 20"", 0) / QUERY(GOOGLEFINANCE(C236, ""low"", TODAY()-40, TODAY()), ""SELECT Col2 WHERE Col2 IS NOT NULL OR"&amp;"DER BY Col1 DESC LIMIT 20"", 0) - 1)))"),"#N/A")</f>
        <v>#N/A</v>
      </c>
      <c r="H236" s="35" t="str">
        <f t="shared" si="6"/>
        <v/>
      </c>
      <c r="I236" s="36" t="str">
        <f t="shared" si="7"/>
        <v/>
      </c>
      <c r="J236" s="37" t="str">
        <f>IFERROR(__xludf.DUMMYFUNCTION("IFERROR(
  IF(C236="""",, 
    IFERROR(
      GOOGLEFINANCE(C236, ""price"") * GOOGLEFINANCE(C236, ""volumeavg""), 
      GOOGLEFINANCE(C236, ""price"") * AVERAGE(QUERY(GOOGLEFINANCE(C236, ""volume"", TODAY()-40, TODAY()), ""SELECT Col2 WHERE Col2 IS NOT "&amp;"NULL ORDER BY Col1 DESC LIMIT 20"", 0))
    )
  ), 
"""")"),"")</f>
        <v/>
      </c>
      <c r="K236" s="21" t="str">
        <f>IFERROR(__xludf.DUMMYFUNCTION("IFERROR(GOOGLEFINANCE(C236, ""changepct"") / 100, """")"),"")</f>
        <v/>
      </c>
      <c r="L236" s="21" t="str">
        <f>IFERROR(__xludf.DUMMYFUNCTION("IFERROR((GOOGLEFINANCE(C236, ""price"") / INDEX(GOOGLEFINANCE(C236, ""price"", TODAY()-7, TODAY()), 2, 2)) - 1, """")"),"")</f>
        <v/>
      </c>
      <c r="M236" s="21" t="str">
        <f>IFERROR(__xludf.DUMMYFUNCTION("IFERROR((GOOGLEFINANCE(C236, ""price"") / INDEX(GOOGLEFINANCE(C236, ""price"", EDATE(TODAY(), -1), TODAY()), 2, 2)) - 1, """")"),"")</f>
        <v/>
      </c>
      <c r="N236" s="21" t="str">
        <f>IFERROR(__xludf.DUMMYFUNCTION("IFERROR((GOOGLEFINANCE(C236, ""price"") / INDEX(GOOGLEFINANCE(C236, ""price"", EDATE(TODAY(), -3), TODAY()), 2, 2)) - 1, """")"),"")</f>
        <v/>
      </c>
      <c r="O236" s="21" t="str">
        <f>IFERROR(__xludf.DUMMYFUNCTION("IFERROR((GOOGLEFINANCE(C236, ""price"") / INDEX(GOOGLEFINANCE(C236, ""price"", EDATE(TODAY(), -6), TODAY()), 2, 2)) - 1, """")"),"")</f>
        <v/>
      </c>
      <c r="P236" s="21" t="str">
        <f>IFERROR(__xludf.DUMMYFUNCTION("IFERROR((GOOGLEFINANCE(C236, ""price"") / INDEX(GOOGLEFINANCE(C236, ""price"", EDATE(TODAY(), -12), TODAY()), 2, 2)) - 1, """")"),"")</f>
        <v/>
      </c>
      <c r="Q236" s="6" t="str">
        <f>IFERROR(__xludf.DUMMYFUNCTION("AVERAGE(QUERY(GOOGLEFINANCE(C236, ""price"", TODAY()-80, TODAY()), ""SELECT Col2 WHERE Col2 IS NOT NULL ORDER BY Col1 DESC LIMIT 50"", 0))"),"#N/A")</f>
        <v>#N/A</v>
      </c>
      <c r="R236" s="24" t="str">
        <f>IFERROR(__xludf.DUMMYFUNCTION("IFERROR(
  LET(
    data, QUERY(GOOGLEFINANCE(C236,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GOOGLEFINANCE(C236, ""price"")) * 100,
    IF(calc=0, G236, calc)
  ), 
G236)"),"#N/A")</f>
        <v>#N/A</v>
      </c>
      <c r="S236" s="8" t="s">
        <v>15</v>
      </c>
      <c r="T236" s="26" t="str">
        <f>IFERROR(__xludf.DUMMYFUNCTION("IFERROR(TRANSPOSE(QUERY(IFERROR(SORT(GOOGLEFINANCE(C236, ""price"", WORKDAY(TODAY(), -40), TODAY()), 1, FALSE)), ""select Col2 where Col2 is not null limit 22 label Col2 ''"", 0)), """")"),"")</f>
        <v/>
      </c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8"/>
      <c r="AO236" s="28"/>
      <c r="AP236" s="29"/>
      <c r="AQ236" s="29" t="str">
        <f t="shared" ref="AQ236:BL236" si="239">T236/T$2</f>
        <v>#N/A</v>
      </c>
      <c r="AR236" s="29" t="str">
        <f t="shared" si="239"/>
        <v>#DIV/0!</v>
      </c>
      <c r="AS236" s="29" t="str">
        <f t="shared" si="239"/>
        <v>#DIV/0!</v>
      </c>
      <c r="AT236" s="29" t="str">
        <f t="shared" si="239"/>
        <v>#DIV/0!</v>
      </c>
      <c r="AU236" s="29" t="str">
        <f t="shared" si="239"/>
        <v>#DIV/0!</v>
      </c>
      <c r="AV236" s="29" t="str">
        <f t="shared" si="239"/>
        <v>#DIV/0!</v>
      </c>
      <c r="AW236" s="29" t="str">
        <f t="shared" si="239"/>
        <v>#DIV/0!</v>
      </c>
      <c r="AX236" s="29" t="str">
        <f t="shared" si="239"/>
        <v>#DIV/0!</v>
      </c>
      <c r="AY236" s="29" t="str">
        <f t="shared" si="239"/>
        <v>#DIV/0!</v>
      </c>
      <c r="AZ236" s="29" t="str">
        <f t="shared" si="239"/>
        <v>#DIV/0!</v>
      </c>
      <c r="BA236" s="29" t="str">
        <f t="shared" si="239"/>
        <v>#DIV/0!</v>
      </c>
      <c r="BB236" s="29" t="str">
        <f t="shared" si="239"/>
        <v>#DIV/0!</v>
      </c>
      <c r="BC236" s="29" t="str">
        <f t="shared" si="239"/>
        <v>#DIV/0!</v>
      </c>
      <c r="BD236" s="29" t="str">
        <f t="shared" si="239"/>
        <v>#DIV/0!</v>
      </c>
      <c r="BE236" s="29" t="str">
        <f t="shared" si="239"/>
        <v>#DIV/0!</v>
      </c>
      <c r="BF236" s="29" t="str">
        <f t="shared" si="239"/>
        <v>#DIV/0!</v>
      </c>
      <c r="BG236" s="29" t="str">
        <f t="shared" si="239"/>
        <v>#DIV/0!</v>
      </c>
      <c r="BH236" s="29" t="str">
        <f t="shared" si="239"/>
        <v>#DIV/0!</v>
      </c>
      <c r="BI236" s="29" t="str">
        <f t="shared" si="239"/>
        <v>#DIV/0!</v>
      </c>
      <c r="BJ236" s="29" t="str">
        <f t="shared" si="239"/>
        <v>#DIV/0!</v>
      </c>
      <c r="BK236" s="29" t="str">
        <f t="shared" si="239"/>
        <v>#DIV/0!</v>
      </c>
      <c r="BL236" s="29" t="str">
        <f t="shared" si="239"/>
        <v>#DIV/0!</v>
      </c>
      <c r="BM236" s="29" t="str">
        <f t="shared" si="3"/>
        <v>#DIV/0!</v>
      </c>
    </row>
    <row r="237">
      <c r="A237" s="16" t="str">
        <f>IFERROR(__xludf.DUMMYFUNCTION("IFERROR(SPARKLINE(SORT(MAP(TRANSPOSE(AQ237:BL237), LAMBDA(val, IF(ISNUMBER(val), PERCENTRANK(AQ237:BL237, val)+0.01, 0))), SEQUENCE(COLUMNS(AQ237:BL237)), FALSE), {""charttype"",""column""; ""color"",""chartreuse""; ""ymin"", 0; ""ymax"", 1.01; ""highcolo"&amp;"r"", ""darkgreen""; ""lowcolor"", ""red""}), """")"),"")</f>
        <v/>
      </c>
      <c r="B237" s="17" t="str">
        <f t="shared" si="4"/>
        <v/>
      </c>
      <c r="C237" s="1" t="s">
        <v>1121</v>
      </c>
      <c r="D237" s="34" t="str">
        <f>IFERROR(__xludf.DUMMYFUNCTION("IFERROR(GOOGLEFINANCE(C237, ""NAME""))"),"Republic Bancorp Inc")</f>
        <v>Republic Bancorp Inc</v>
      </c>
      <c r="E237" s="30" t="s">
        <v>268</v>
      </c>
      <c r="F237" s="33" t="str">
        <f>IFERROR(__xludf.DUMMYFUNCTION("( (GOOGLEFINANCE(C237, ""price"") - Q237) / Q237 ) / (R237 / 100)"),"Loading...")</f>
        <v>Loading...</v>
      </c>
      <c r="G237" s="20" t="str">
        <f>IFERROR(__xludf.DUMMYFUNCTION("AVERAGE(ARRAYFORMULA(100 * (QUERY(GOOGLEFINANCE(C237, ""high"", TODAY()-40, TODAY()), ""SELECT Col2 WHERE Col2 IS NOT NULL ORDER BY Col1 DESC LIMIT 20"", 0) / QUERY(GOOGLEFINANCE(C237, ""low"", TODAY()-40, TODAY()), ""SELECT Col2 WHERE Col2 IS NOT NULL OR"&amp;"DER BY Col1 DESC LIMIT 20"", 0) - 1)))"),"#N/A")</f>
        <v>#N/A</v>
      </c>
      <c r="H237" s="35" t="str">
        <f t="shared" si="6"/>
        <v/>
      </c>
      <c r="I237" s="36" t="str">
        <f t="shared" si="7"/>
        <v/>
      </c>
      <c r="J237" s="37" t="str">
        <f>IFERROR(__xludf.DUMMYFUNCTION("IFERROR(
  IF(C237="""",, 
    IFERROR(
      GOOGLEFINANCE(C237, ""price"") * GOOGLEFINANCE(C237, ""volumeavg""), 
      GOOGLEFINANCE(C237, ""price"") * AVERAGE(QUERY(GOOGLEFINANCE(C237, ""volume"", TODAY()-40, TODAY()), ""SELECT Col2 WHERE Col2 IS NOT "&amp;"NULL ORDER BY Col1 DESC LIMIT 20"", 0))
    )
  ), 
"""")"),"")</f>
        <v/>
      </c>
      <c r="K237" s="21" t="str">
        <f>IFERROR(__xludf.DUMMYFUNCTION("IFERROR(GOOGLEFINANCE(C237, ""changepct"") / 100, """")"),"")</f>
        <v/>
      </c>
      <c r="L237" s="21" t="str">
        <f>IFERROR(__xludf.DUMMYFUNCTION("IFERROR((GOOGLEFINANCE(C237, ""price"") / INDEX(GOOGLEFINANCE(C237, ""price"", TODAY()-7, TODAY()), 2, 2)) - 1, """")"),"")</f>
        <v/>
      </c>
      <c r="M237" s="21" t="str">
        <f>IFERROR(__xludf.DUMMYFUNCTION("IFERROR((GOOGLEFINANCE(C237, ""price"") / INDEX(GOOGLEFINANCE(C237, ""price"", EDATE(TODAY(), -1), TODAY()), 2, 2)) - 1, """")"),"")</f>
        <v/>
      </c>
      <c r="N237" s="21" t="str">
        <f>IFERROR(__xludf.DUMMYFUNCTION("IFERROR((GOOGLEFINANCE(C237, ""price"") / INDEX(GOOGLEFINANCE(C237, ""price"", EDATE(TODAY(), -3), TODAY()), 2, 2)) - 1, """")"),"")</f>
        <v/>
      </c>
      <c r="O237" s="21" t="str">
        <f>IFERROR(__xludf.DUMMYFUNCTION("IFERROR((GOOGLEFINANCE(C237, ""price"") / INDEX(GOOGLEFINANCE(C237, ""price"", EDATE(TODAY(), -6), TODAY()), 2, 2)) - 1, """")"),"")</f>
        <v/>
      </c>
      <c r="P237" s="21" t="str">
        <f>IFERROR(__xludf.DUMMYFUNCTION("IFERROR((GOOGLEFINANCE(C237, ""price"") / INDEX(GOOGLEFINANCE(C237, ""price"", EDATE(TODAY(), -12), TODAY()), 2, 2)) - 1, """")"),"")</f>
        <v/>
      </c>
      <c r="Q237" s="6" t="str">
        <f>IFERROR(__xludf.DUMMYFUNCTION("AVERAGE(QUERY(GOOGLEFINANCE(C237, ""price"", TODAY()-80, TODAY()), ""SELECT Col2 WHERE Col2 IS NOT NULL ORDER BY Col1 DESC LIMIT 50"", 0))"),"#N/A")</f>
        <v>#N/A</v>
      </c>
      <c r="R237" s="24" t="str">
        <f>IFERROR(__xludf.DUMMYFUNCTION("IFERROR(
  LET(
    data, QUERY(GOOGLEFINANCE(C237,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GOOGLEFINANCE(C237, ""price"")) * 100,
    IF(calc=0, G237, calc)
  ), 
G237)"),"#N/A")</f>
        <v>#N/A</v>
      </c>
      <c r="S237" s="8" t="s">
        <v>15</v>
      </c>
      <c r="T237" s="26" t="str">
        <f>IFERROR(__xludf.DUMMYFUNCTION("IFERROR(TRANSPOSE(QUERY(IFERROR(SORT(GOOGLEFINANCE(C237, ""price"", WORKDAY(TODAY(), -40), TODAY()), 1, FALSE)), ""select Col2 where Col2 is not null limit 22 label Col2 ''"", 0)), """")"),"")</f>
        <v/>
      </c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8"/>
      <c r="AO237" s="28"/>
      <c r="AP237" s="29"/>
      <c r="AQ237" s="29" t="str">
        <f t="shared" ref="AQ237:BL237" si="240">T237/T$2</f>
        <v>#N/A</v>
      </c>
      <c r="AR237" s="29" t="str">
        <f t="shared" si="240"/>
        <v>#DIV/0!</v>
      </c>
      <c r="AS237" s="29" t="str">
        <f t="shared" si="240"/>
        <v>#DIV/0!</v>
      </c>
      <c r="AT237" s="29" t="str">
        <f t="shared" si="240"/>
        <v>#DIV/0!</v>
      </c>
      <c r="AU237" s="29" t="str">
        <f t="shared" si="240"/>
        <v>#DIV/0!</v>
      </c>
      <c r="AV237" s="29" t="str">
        <f t="shared" si="240"/>
        <v>#DIV/0!</v>
      </c>
      <c r="AW237" s="29" t="str">
        <f t="shared" si="240"/>
        <v>#DIV/0!</v>
      </c>
      <c r="AX237" s="29" t="str">
        <f t="shared" si="240"/>
        <v>#DIV/0!</v>
      </c>
      <c r="AY237" s="29" t="str">
        <f t="shared" si="240"/>
        <v>#DIV/0!</v>
      </c>
      <c r="AZ237" s="29" t="str">
        <f t="shared" si="240"/>
        <v>#DIV/0!</v>
      </c>
      <c r="BA237" s="29" t="str">
        <f t="shared" si="240"/>
        <v>#DIV/0!</v>
      </c>
      <c r="BB237" s="29" t="str">
        <f t="shared" si="240"/>
        <v>#DIV/0!</v>
      </c>
      <c r="BC237" s="29" t="str">
        <f t="shared" si="240"/>
        <v>#DIV/0!</v>
      </c>
      <c r="BD237" s="29" t="str">
        <f t="shared" si="240"/>
        <v>#DIV/0!</v>
      </c>
      <c r="BE237" s="29" t="str">
        <f t="shared" si="240"/>
        <v>#DIV/0!</v>
      </c>
      <c r="BF237" s="29" t="str">
        <f t="shared" si="240"/>
        <v>#DIV/0!</v>
      </c>
      <c r="BG237" s="29" t="str">
        <f t="shared" si="240"/>
        <v>#DIV/0!</v>
      </c>
      <c r="BH237" s="29" t="str">
        <f t="shared" si="240"/>
        <v>#DIV/0!</v>
      </c>
      <c r="BI237" s="29" t="str">
        <f t="shared" si="240"/>
        <v>#DIV/0!</v>
      </c>
      <c r="BJ237" s="29" t="str">
        <f t="shared" si="240"/>
        <v>#DIV/0!</v>
      </c>
      <c r="BK237" s="29" t="str">
        <f t="shared" si="240"/>
        <v>#DIV/0!</v>
      </c>
      <c r="BL237" s="29" t="str">
        <f t="shared" si="240"/>
        <v>#DIV/0!</v>
      </c>
      <c r="BM237" s="29" t="str">
        <f t="shared" si="3"/>
        <v>#DIV/0!</v>
      </c>
    </row>
    <row r="238">
      <c r="A238" s="16" t="str">
        <f>IFERROR(__xludf.DUMMYFUNCTION("IFERROR(SPARKLINE(SORT(MAP(TRANSPOSE(AQ238:BL238), LAMBDA(val, IF(ISNUMBER(val), PERCENTRANK(AQ238:BL238, val)+0.01, 0))), SEQUENCE(COLUMNS(AQ238:BL238)), FALSE), {""charttype"",""column""; ""color"",""chartreuse""; ""ymin"", 0; ""ymax"", 1.01; ""highcolo"&amp;"r"", ""darkgreen""; ""lowcolor"", ""red""}), """")"),"")</f>
        <v/>
      </c>
      <c r="B238" s="17" t="str">
        <f t="shared" si="4"/>
        <v/>
      </c>
      <c r="C238" s="1" t="s">
        <v>1124</v>
      </c>
      <c r="D238" s="34" t="str">
        <f>IFERROR(__xludf.DUMMYFUNCTION("IFERROR(GOOGLEFINANCE(C238, ""NAME""))"),"HSBC Holdings PLC")</f>
        <v>HSBC Holdings PLC</v>
      </c>
      <c r="E238" s="30" t="s">
        <v>236</v>
      </c>
      <c r="F238" s="33" t="str">
        <f>IFERROR(__xludf.DUMMYFUNCTION("( (GOOGLEFINANCE(C238, ""price"") - Q238) / Q238 ) / (R238 / 100)"),"Loading...")</f>
        <v>Loading...</v>
      </c>
      <c r="G238" s="20" t="str">
        <f>IFERROR(__xludf.DUMMYFUNCTION("AVERAGE(ARRAYFORMULA(100 * (QUERY(GOOGLEFINANCE(C238, ""high"", TODAY()-40, TODAY()), ""SELECT Col2 WHERE Col2 IS NOT NULL ORDER BY Col1 DESC LIMIT 20"", 0) / QUERY(GOOGLEFINANCE(C238, ""low"", TODAY()-40, TODAY()), ""SELECT Col2 WHERE Col2 IS NOT NULL OR"&amp;"DER BY Col1 DESC LIMIT 20"", 0) - 1)))"),"#N/A")</f>
        <v>#N/A</v>
      </c>
      <c r="H238" s="35" t="str">
        <f t="shared" si="6"/>
        <v/>
      </c>
      <c r="I238" s="36" t="str">
        <f t="shared" si="7"/>
        <v/>
      </c>
      <c r="J238" s="37" t="str">
        <f>IFERROR(__xludf.DUMMYFUNCTION("IFERROR(
  IF(C238="""",, 
    IFERROR(
      GOOGLEFINANCE(C238, ""price"") * GOOGLEFINANCE(C238, ""volumeavg""), 
      GOOGLEFINANCE(C238, ""price"") * AVERAGE(QUERY(GOOGLEFINANCE(C238, ""volume"", TODAY()-40, TODAY()), ""SELECT Col2 WHERE Col2 IS NOT "&amp;"NULL ORDER BY Col1 DESC LIMIT 20"", 0))
    )
  ), 
"""")"),"")</f>
        <v/>
      </c>
      <c r="K238" s="21" t="str">
        <f>IFERROR(__xludf.DUMMYFUNCTION("IFERROR(GOOGLEFINANCE(C238, ""changepct"") / 100, """")"),"")</f>
        <v/>
      </c>
      <c r="L238" s="21" t="str">
        <f>IFERROR(__xludf.DUMMYFUNCTION("IFERROR((GOOGLEFINANCE(C238, ""price"") / INDEX(GOOGLEFINANCE(C238, ""price"", TODAY()-7, TODAY()), 2, 2)) - 1, """")"),"")</f>
        <v/>
      </c>
      <c r="M238" s="21" t="str">
        <f>IFERROR(__xludf.DUMMYFUNCTION("IFERROR((GOOGLEFINANCE(C238, ""price"") / INDEX(GOOGLEFINANCE(C238, ""price"", EDATE(TODAY(), -1), TODAY()), 2, 2)) - 1, """")"),"")</f>
        <v/>
      </c>
      <c r="N238" s="21" t="str">
        <f>IFERROR(__xludf.DUMMYFUNCTION("IFERROR((GOOGLEFINANCE(C238, ""price"") / INDEX(GOOGLEFINANCE(C238, ""price"", EDATE(TODAY(), -3), TODAY()), 2, 2)) - 1, """")"),"")</f>
        <v/>
      </c>
      <c r="O238" s="21" t="str">
        <f>IFERROR(__xludf.DUMMYFUNCTION("IFERROR((GOOGLEFINANCE(C238, ""price"") / INDEX(GOOGLEFINANCE(C238, ""price"", EDATE(TODAY(), -6), TODAY()), 2, 2)) - 1, """")"),"")</f>
        <v/>
      </c>
      <c r="P238" s="21" t="str">
        <f>IFERROR(__xludf.DUMMYFUNCTION("IFERROR((GOOGLEFINANCE(C238, ""price"") / INDEX(GOOGLEFINANCE(C238, ""price"", EDATE(TODAY(), -12), TODAY()), 2, 2)) - 1, """")"),"")</f>
        <v/>
      </c>
      <c r="Q238" s="6" t="str">
        <f>IFERROR(__xludf.DUMMYFUNCTION("AVERAGE(QUERY(GOOGLEFINANCE(C238, ""price"", TODAY()-80, TODAY()), ""SELECT Col2 WHERE Col2 IS NOT NULL ORDER BY Col1 DESC LIMIT 50"", 0))"),"#N/A")</f>
        <v>#N/A</v>
      </c>
      <c r="R238" s="24" t="str">
        <f>IFERROR(__xludf.DUMMYFUNCTION("IFERROR(
  LET(
    data, QUERY(GOOGLEFINANCE(C238,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GOOGLEFINANCE(C238, ""price"")) * 100,
    IF(calc=0, G238, calc)
  ), 
G238)"),"#N/A")</f>
        <v>#N/A</v>
      </c>
      <c r="S238" s="8" t="s">
        <v>15</v>
      </c>
      <c r="T238" s="26" t="str">
        <f>IFERROR(__xludf.DUMMYFUNCTION("IFERROR(TRANSPOSE(QUERY(IFERROR(SORT(GOOGLEFINANCE(C238, ""price"", WORKDAY(TODAY(), -40), TODAY()), 1, FALSE)), ""select Col2 where Col2 is not null limit 22 label Col2 ''"", 0)), """")"),"")</f>
        <v/>
      </c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8"/>
      <c r="AO238" s="28"/>
      <c r="AP238" s="29"/>
      <c r="AQ238" s="29" t="str">
        <f t="shared" ref="AQ238:BL238" si="241">T238/T$2</f>
        <v>#N/A</v>
      </c>
      <c r="AR238" s="29" t="str">
        <f t="shared" si="241"/>
        <v>#DIV/0!</v>
      </c>
      <c r="AS238" s="29" t="str">
        <f t="shared" si="241"/>
        <v>#DIV/0!</v>
      </c>
      <c r="AT238" s="29" t="str">
        <f t="shared" si="241"/>
        <v>#DIV/0!</v>
      </c>
      <c r="AU238" s="29" t="str">
        <f t="shared" si="241"/>
        <v>#DIV/0!</v>
      </c>
      <c r="AV238" s="29" t="str">
        <f t="shared" si="241"/>
        <v>#DIV/0!</v>
      </c>
      <c r="AW238" s="29" t="str">
        <f t="shared" si="241"/>
        <v>#DIV/0!</v>
      </c>
      <c r="AX238" s="29" t="str">
        <f t="shared" si="241"/>
        <v>#DIV/0!</v>
      </c>
      <c r="AY238" s="29" t="str">
        <f t="shared" si="241"/>
        <v>#DIV/0!</v>
      </c>
      <c r="AZ238" s="29" t="str">
        <f t="shared" si="241"/>
        <v>#DIV/0!</v>
      </c>
      <c r="BA238" s="29" t="str">
        <f t="shared" si="241"/>
        <v>#DIV/0!</v>
      </c>
      <c r="BB238" s="29" t="str">
        <f t="shared" si="241"/>
        <v>#DIV/0!</v>
      </c>
      <c r="BC238" s="29" t="str">
        <f t="shared" si="241"/>
        <v>#DIV/0!</v>
      </c>
      <c r="BD238" s="29" t="str">
        <f t="shared" si="241"/>
        <v>#DIV/0!</v>
      </c>
      <c r="BE238" s="29" t="str">
        <f t="shared" si="241"/>
        <v>#DIV/0!</v>
      </c>
      <c r="BF238" s="29" t="str">
        <f t="shared" si="241"/>
        <v>#DIV/0!</v>
      </c>
      <c r="BG238" s="29" t="str">
        <f t="shared" si="241"/>
        <v>#DIV/0!</v>
      </c>
      <c r="BH238" s="29" t="str">
        <f t="shared" si="241"/>
        <v>#DIV/0!</v>
      </c>
      <c r="BI238" s="29" t="str">
        <f t="shared" si="241"/>
        <v>#DIV/0!</v>
      </c>
      <c r="BJ238" s="29" t="str">
        <f t="shared" si="241"/>
        <v>#DIV/0!</v>
      </c>
      <c r="BK238" s="29" t="str">
        <f t="shared" si="241"/>
        <v>#DIV/0!</v>
      </c>
      <c r="BL238" s="29" t="str">
        <f t="shared" si="241"/>
        <v>#DIV/0!</v>
      </c>
      <c r="BM238" s="29" t="str">
        <f t="shared" si="3"/>
        <v>#DIV/0!</v>
      </c>
    </row>
    <row r="239">
      <c r="A239" s="16" t="str">
        <f>IFERROR(__xludf.DUMMYFUNCTION("IFERROR(SPARKLINE(SORT(MAP(TRANSPOSE(AQ239:BL239), LAMBDA(val, IF(ISNUMBER(val), PERCENTRANK(AQ239:BL239, val)+0.01, 0))), SEQUENCE(COLUMNS(AQ239:BL239)), FALSE), {""charttype"",""column""; ""color"",""chartreuse""; ""ymin"", 0; ""ymax"", 1.01; ""highcolo"&amp;"r"", ""darkgreen""; ""lowcolor"", ""red""}), """")"),"")</f>
        <v/>
      </c>
      <c r="B239" s="17" t="str">
        <f t="shared" si="4"/>
        <v/>
      </c>
      <c r="C239" s="1" t="s">
        <v>1129</v>
      </c>
      <c r="D239" s="34" t="str">
        <f>IFERROR(__xludf.DUMMYFUNCTION("IFERROR(GOOGLEFINANCE(C239, ""NAME""))"),"Houlihan Lokey Inc")</f>
        <v>Houlihan Lokey Inc</v>
      </c>
      <c r="E239" s="30" t="s">
        <v>77</v>
      </c>
      <c r="F239" s="33" t="str">
        <f>IFERROR(__xludf.DUMMYFUNCTION("( (GOOGLEFINANCE(C239, ""price"") - Q239) / Q239 ) / (R239 / 100)"),"Loading...")</f>
        <v>Loading...</v>
      </c>
      <c r="G239" s="20" t="str">
        <f>IFERROR(__xludf.DUMMYFUNCTION("AVERAGE(ARRAYFORMULA(100 * (QUERY(GOOGLEFINANCE(C239, ""high"", TODAY()-40, TODAY()), ""SELECT Col2 WHERE Col2 IS NOT NULL ORDER BY Col1 DESC LIMIT 20"", 0) / QUERY(GOOGLEFINANCE(C239, ""low"", TODAY()-40, TODAY()), ""SELECT Col2 WHERE Col2 IS NOT NULL OR"&amp;"DER BY Col1 DESC LIMIT 20"", 0) - 1)))"),"#N/A")</f>
        <v>#N/A</v>
      </c>
      <c r="H239" s="35" t="str">
        <f t="shared" si="6"/>
        <v/>
      </c>
      <c r="I239" s="36" t="str">
        <f t="shared" si="7"/>
        <v/>
      </c>
      <c r="J239" s="37" t="str">
        <f>IFERROR(__xludf.DUMMYFUNCTION("IFERROR(
  IF(C239="""",, 
    IFERROR(
      GOOGLEFINANCE(C239, ""price"") * GOOGLEFINANCE(C239, ""volumeavg""), 
      GOOGLEFINANCE(C239, ""price"") * AVERAGE(QUERY(GOOGLEFINANCE(C239, ""volume"", TODAY()-40, TODAY()), ""SELECT Col2 WHERE Col2 IS NOT "&amp;"NULL ORDER BY Col1 DESC LIMIT 20"", 0))
    )
  ), 
"""")"),"")</f>
        <v/>
      </c>
      <c r="K239" s="21" t="str">
        <f>IFERROR(__xludf.DUMMYFUNCTION("IFERROR(GOOGLEFINANCE(C239, ""changepct"") / 100, """")"),"")</f>
        <v/>
      </c>
      <c r="L239" s="21" t="str">
        <f>IFERROR(__xludf.DUMMYFUNCTION("IFERROR((GOOGLEFINANCE(C239, ""price"") / INDEX(GOOGLEFINANCE(C239, ""price"", TODAY()-7, TODAY()), 2, 2)) - 1, """")"),"")</f>
        <v/>
      </c>
      <c r="M239" s="21" t="str">
        <f>IFERROR(__xludf.DUMMYFUNCTION("IFERROR((GOOGLEFINANCE(C239, ""price"") / INDEX(GOOGLEFINANCE(C239, ""price"", EDATE(TODAY(), -1), TODAY()), 2, 2)) - 1, """")"),"")</f>
        <v/>
      </c>
      <c r="N239" s="21" t="str">
        <f>IFERROR(__xludf.DUMMYFUNCTION("IFERROR((GOOGLEFINANCE(C239, ""price"") / INDEX(GOOGLEFINANCE(C239, ""price"", EDATE(TODAY(), -3), TODAY()), 2, 2)) - 1, """")"),"")</f>
        <v/>
      </c>
      <c r="O239" s="21" t="str">
        <f>IFERROR(__xludf.DUMMYFUNCTION("IFERROR((GOOGLEFINANCE(C239, ""price"") / INDEX(GOOGLEFINANCE(C239, ""price"", EDATE(TODAY(), -6), TODAY()), 2, 2)) - 1, """")"),"")</f>
        <v/>
      </c>
      <c r="P239" s="21" t="str">
        <f>IFERROR(__xludf.DUMMYFUNCTION("IFERROR((GOOGLEFINANCE(C239, ""price"") / INDEX(GOOGLEFINANCE(C239, ""price"", EDATE(TODAY(), -12), TODAY()), 2, 2)) - 1, """")"),"")</f>
        <v/>
      </c>
      <c r="Q239" s="6" t="str">
        <f>IFERROR(__xludf.DUMMYFUNCTION("AVERAGE(QUERY(GOOGLEFINANCE(C239, ""price"", TODAY()-80, TODAY()), ""SELECT Col2 WHERE Col2 IS NOT NULL ORDER BY Col1 DESC LIMIT 50"", 0))"),"#N/A")</f>
        <v>#N/A</v>
      </c>
      <c r="R239" s="24" t="str">
        <f>IFERROR(__xludf.DUMMYFUNCTION("IFERROR(
  LET(
    data, QUERY(GOOGLEFINANCE(C239,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GOOGLEFINANCE(C239, ""price"")) * 100,
    IF(calc=0, G239, calc)
  ), 
G239)"),"#N/A")</f>
        <v>#N/A</v>
      </c>
      <c r="S239" s="8" t="s">
        <v>15</v>
      </c>
      <c r="T239" s="26" t="str">
        <f>IFERROR(__xludf.DUMMYFUNCTION("IFERROR(TRANSPOSE(QUERY(IFERROR(SORT(GOOGLEFINANCE(C239, ""price"", WORKDAY(TODAY(), -40), TODAY()), 1, FALSE)), ""select Col2 where Col2 is not null limit 22 label Col2 ''"", 0)), """")"),"")</f>
        <v/>
      </c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8"/>
      <c r="AO239" s="28"/>
      <c r="AP239" s="29"/>
      <c r="AQ239" s="29" t="str">
        <f t="shared" ref="AQ239:BL239" si="242">T239/T$2</f>
        <v>#N/A</v>
      </c>
      <c r="AR239" s="29" t="str">
        <f t="shared" si="242"/>
        <v>#DIV/0!</v>
      </c>
      <c r="AS239" s="29" t="str">
        <f t="shared" si="242"/>
        <v>#DIV/0!</v>
      </c>
      <c r="AT239" s="29" t="str">
        <f t="shared" si="242"/>
        <v>#DIV/0!</v>
      </c>
      <c r="AU239" s="29" t="str">
        <f t="shared" si="242"/>
        <v>#DIV/0!</v>
      </c>
      <c r="AV239" s="29" t="str">
        <f t="shared" si="242"/>
        <v>#DIV/0!</v>
      </c>
      <c r="AW239" s="29" t="str">
        <f t="shared" si="242"/>
        <v>#DIV/0!</v>
      </c>
      <c r="AX239" s="29" t="str">
        <f t="shared" si="242"/>
        <v>#DIV/0!</v>
      </c>
      <c r="AY239" s="29" t="str">
        <f t="shared" si="242"/>
        <v>#DIV/0!</v>
      </c>
      <c r="AZ239" s="29" t="str">
        <f t="shared" si="242"/>
        <v>#DIV/0!</v>
      </c>
      <c r="BA239" s="29" t="str">
        <f t="shared" si="242"/>
        <v>#DIV/0!</v>
      </c>
      <c r="BB239" s="29" t="str">
        <f t="shared" si="242"/>
        <v>#DIV/0!</v>
      </c>
      <c r="BC239" s="29" t="str">
        <f t="shared" si="242"/>
        <v>#DIV/0!</v>
      </c>
      <c r="BD239" s="29" t="str">
        <f t="shared" si="242"/>
        <v>#DIV/0!</v>
      </c>
      <c r="BE239" s="29" t="str">
        <f t="shared" si="242"/>
        <v>#DIV/0!</v>
      </c>
      <c r="BF239" s="29" t="str">
        <f t="shared" si="242"/>
        <v>#DIV/0!</v>
      </c>
      <c r="BG239" s="29" t="str">
        <f t="shared" si="242"/>
        <v>#DIV/0!</v>
      </c>
      <c r="BH239" s="29" t="str">
        <f t="shared" si="242"/>
        <v>#DIV/0!</v>
      </c>
      <c r="BI239" s="29" t="str">
        <f t="shared" si="242"/>
        <v>#DIV/0!</v>
      </c>
      <c r="BJ239" s="29" t="str">
        <f t="shared" si="242"/>
        <v>#DIV/0!</v>
      </c>
      <c r="BK239" s="29" t="str">
        <f t="shared" si="242"/>
        <v>#DIV/0!</v>
      </c>
      <c r="BL239" s="29" t="str">
        <f t="shared" si="242"/>
        <v>#DIV/0!</v>
      </c>
      <c r="BM239" s="29" t="str">
        <f t="shared" si="3"/>
        <v>#DIV/0!</v>
      </c>
    </row>
    <row r="240">
      <c r="A240" s="16" t="str">
        <f>IFERROR(__xludf.DUMMYFUNCTION("IFERROR(SPARKLINE(SORT(MAP(TRANSPOSE(AQ240:BL240), LAMBDA(val, IF(ISNUMBER(val), PERCENTRANK(AQ240:BL240, val)+0.01, 0))), SEQUENCE(COLUMNS(AQ240:BL240)), FALSE), {""charttype"",""column""; ""color"",""chartreuse""; ""ymin"", 0; ""ymax"", 1.01; ""highcolo"&amp;"r"", ""darkgreen""; ""lowcolor"", ""red""}), """")"),"")</f>
        <v/>
      </c>
      <c r="B240" s="17" t="str">
        <f t="shared" si="4"/>
        <v/>
      </c>
      <c r="C240" s="1" t="s">
        <v>1135</v>
      </c>
      <c r="D240" s="34" t="str">
        <f>IFERROR(__xludf.DUMMYFUNCTION("IFERROR(GOOGLEFINANCE(C240, ""NAME""))"),"PennyMac Financial Services Inc")</f>
        <v>PennyMac Financial Services Inc</v>
      </c>
      <c r="E240" s="30" t="s">
        <v>119</v>
      </c>
      <c r="F240" s="33" t="str">
        <f>IFERROR(__xludf.DUMMYFUNCTION("( (GOOGLEFINANCE(C240, ""price"") - Q240) / Q240 ) / (R240 / 100)"),"Loading...")</f>
        <v>Loading...</v>
      </c>
      <c r="G240" s="20" t="str">
        <f>IFERROR(__xludf.DUMMYFUNCTION("AVERAGE(ARRAYFORMULA(100 * (QUERY(GOOGLEFINANCE(C240, ""high"", TODAY()-40, TODAY()), ""SELECT Col2 WHERE Col2 IS NOT NULL ORDER BY Col1 DESC LIMIT 20"", 0) / QUERY(GOOGLEFINANCE(C240, ""low"", TODAY()-40, TODAY()), ""SELECT Col2 WHERE Col2 IS NOT NULL OR"&amp;"DER BY Col1 DESC LIMIT 20"", 0) - 1)))"),"#N/A")</f>
        <v>#N/A</v>
      </c>
      <c r="H240" s="35" t="str">
        <f t="shared" si="6"/>
        <v/>
      </c>
      <c r="I240" s="36" t="str">
        <f t="shared" si="7"/>
        <v/>
      </c>
      <c r="J240" s="37" t="str">
        <f>IFERROR(__xludf.DUMMYFUNCTION("IFERROR(
  IF(C240="""",, 
    IFERROR(
      GOOGLEFINANCE(C240, ""price"") * GOOGLEFINANCE(C240, ""volumeavg""), 
      GOOGLEFINANCE(C240, ""price"") * AVERAGE(QUERY(GOOGLEFINANCE(C240, ""volume"", TODAY()-40, TODAY()), ""SELECT Col2 WHERE Col2 IS NOT "&amp;"NULL ORDER BY Col1 DESC LIMIT 20"", 0))
    )
  ), 
"""")"),"")</f>
        <v/>
      </c>
      <c r="K240" s="21" t="str">
        <f>IFERROR(__xludf.DUMMYFUNCTION("IFERROR(GOOGLEFINANCE(C240, ""changepct"") / 100, """")"),"")</f>
        <v/>
      </c>
      <c r="L240" s="21" t="str">
        <f>IFERROR(__xludf.DUMMYFUNCTION("IFERROR((GOOGLEFINANCE(C240, ""price"") / INDEX(GOOGLEFINANCE(C240, ""price"", TODAY()-7, TODAY()), 2, 2)) - 1, """")"),"")</f>
        <v/>
      </c>
      <c r="M240" s="21" t="str">
        <f>IFERROR(__xludf.DUMMYFUNCTION("IFERROR((GOOGLEFINANCE(C240, ""price"") / INDEX(GOOGLEFINANCE(C240, ""price"", EDATE(TODAY(), -1), TODAY()), 2, 2)) - 1, """")"),"")</f>
        <v/>
      </c>
      <c r="N240" s="21" t="str">
        <f>IFERROR(__xludf.DUMMYFUNCTION("IFERROR((GOOGLEFINANCE(C240, ""price"") / INDEX(GOOGLEFINANCE(C240, ""price"", EDATE(TODAY(), -3), TODAY()), 2, 2)) - 1, """")"),"")</f>
        <v/>
      </c>
      <c r="O240" s="21" t="str">
        <f>IFERROR(__xludf.DUMMYFUNCTION("IFERROR((GOOGLEFINANCE(C240, ""price"") / INDEX(GOOGLEFINANCE(C240, ""price"", EDATE(TODAY(), -6), TODAY()), 2, 2)) - 1, """")"),"")</f>
        <v/>
      </c>
      <c r="P240" s="21" t="str">
        <f>IFERROR(__xludf.DUMMYFUNCTION("IFERROR((GOOGLEFINANCE(C240, ""price"") / INDEX(GOOGLEFINANCE(C240, ""price"", EDATE(TODAY(), -12), TODAY()), 2, 2)) - 1, """")"),"")</f>
        <v/>
      </c>
      <c r="Q240" s="6" t="str">
        <f>IFERROR(__xludf.DUMMYFUNCTION("AVERAGE(QUERY(GOOGLEFINANCE(C240, ""price"", TODAY()-80, TODAY()), ""SELECT Col2 WHERE Col2 IS NOT NULL ORDER BY Col1 DESC LIMIT 50"", 0))"),"#N/A")</f>
        <v>#N/A</v>
      </c>
      <c r="R240" s="24" t="str">
        <f>IFERROR(__xludf.DUMMYFUNCTION("IFERROR(
  LET(
    data, QUERY(GOOGLEFINANCE(C240,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GOOGLEFINANCE(C240, ""price"")) * 100,
    IF(calc=0, G240, calc)
  ), 
G240)"),"#N/A")</f>
        <v>#N/A</v>
      </c>
      <c r="S240" s="8" t="s">
        <v>15</v>
      </c>
      <c r="T240" s="26" t="str">
        <f>IFERROR(__xludf.DUMMYFUNCTION("IFERROR(TRANSPOSE(QUERY(IFERROR(SORT(GOOGLEFINANCE(C240, ""price"", WORKDAY(TODAY(), -40), TODAY()), 1, FALSE)), ""select Col2 where Col2 is not null limit 22 label Col2 ''"", 0)), """")"),"")</f>
        <v/>
      </c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8"/>
      <c r="AO240" s="28"/>
      <c r="AP240" s="29"/>
      <c r="AQ240" s="29" t="str">
        <f t="shared" ref="AQ240:BL240" si="243">T240/T$2</f>
        <v>#N/A</v>
      </c>
      <c r="AR240" s="29" t="str">
        <f t="shared" si="243"/>
        <v>#DIV/0!</v>
      </c>
      <c r="AS240" s="29" t="str">
        <f t="shared" si="243"/>
        <v>#DIV/0!</v>
      </c>
      <c r="AT240" s="29" t="str">
        <f t="shared" si="243"/>
        <v>#DIV/0!</v>
      </c>
      <c r="AU240" s="29" t="str">
        <f t="shared" si="243"/>
        <v>#DIV/0!</v>
      </c>
      <c r="AV240" s="29" t="str">
        <f t="shared" si="243"/>
        <v>#DIV/0!</v>
      </c>
      <c r="AW240" s="29" t="str">
        <f t="shared" si="243"/>
        <v>#DIV/0!</v>
      </c>
      <c r="AX240" s="29" t="str">
        <f t="shared" si="243"/>
        <v>#DIV/0!</v>
      </c>
      <c r="AY240" s="29" t="str">
        <f t="shared" si="243"/>
        <v>#DIV/0!</v>
      </c>
      <c r="AZ240" s="29" t="str">
        <f t="shared" si="243"/>
        <v>#DIV/0!</v>
      </c>
      <c r="BA240" s="29" t="str">
        <f t="shared" si="243"/>
        <v>#DIV/0!</v>
      </c>
      <c r="BB240" s="29" t="str">
        <f t="shared" si="243"/>
        <v>#DIV/0!</v>
      </c>
      <c r="BC240" s="29" t="str">
        <f t="shared" si="243"/>
        <v>#DIV/0!</v>
      </c>
      <c r="BD240" s="29" t="str">
        <f t="shared" si="243"/>
        <v>#DIV/0!</v>
      </c>
      <c r="BE240" s="29" t="str">
        <f t="shared" si="243"/>
        <v>#DIV/0!</v>
      </c>
      <c r="BF240" s="29" t="str">
        <f t="shared" si="243"/>
        <v>#DIV/0!</v>
      </c>
      <c r="BG240" s="29" t="str">
        <f t="shared" si="243"/>
        <v>#DIV/0!</v>
      </c>
      <c r="BH240" s="29" t="str">
        <f t="shared" si="243"/>
        <v>#DIV/0!</v>
      </c>
      <c r="BI240" s="29" t="str">
        <f t="shared" si="243"/>
        <v>#DIV/0!</v>
      </c>
      <c r="BJ240" s="29" t="str">
        <f t="shared" si="243"/>
        <v>#DIV/0!</v>
      </c>
      <c r="BK240" s="29" t="str">
        <f t="shared" si="243"/>
        <v>#DIV/0!</v>
      </c>
      <c r="BL240" s="29" t="str">
        <f t="shared" si="243"/>
        <v>#DIV/0!</v>
      </c>
      <c r="BM240" s="29" t="str">
        <f t="shared" si="3"/>
        <v>#DIV/0!</v>
      </c>
    </row>
    <row r="241">
      <c r="A241" s="16" t="str">
        <f>IFERROR(__xludf.DUMMYFUNCTION("IFERROR(SPARKLINE(SORT(MAP(TRANSPOSE(AQ241:BL241), LAMBDA(val, IF(ISNUMBER(val), PERCENTRANK(AQ241:BL241, val)+0.01, 0))), SEQUENCE(COLUMNS(AQ241:BL241)), FALSE), {""charttype"",""column""; ""color"",""chartreuse""; ""ymin"", 0; ""ymax"", 1.01; ""highcolo"&amp;"r"", ""darkgreen""; ""lowcolor"", ""red""}), """")"),"")</f>
        <v/>
      </c>
      <c r="B241" s="17" t="str">
        <f t="shared" si="4"/>
        <v/>
      </c>
      <c r="C241" s="1" t="s">
        <v>1139</v>
      </c>
      <c r="D241" s="34" t="str">
        <f>IFERROR(__xludf.DUMMYFUNCTION("IFERROR(GOOGLEFINANCE(C241, ""NAME""))"),"PJT Partners Inc")</f>
        <v>PJT Partners Inc</v>
      </c>
      <c r="E241" s="30" t="s">
        <v>77</v>
      </c>
      <c r="F241" s="33" t="str">
        <f>IFERROR(__xludf.DUMMYFUNCTION("( (GOOGLEFINANCE(C241, ""price"") - Q241) / Q241 ) / (R241 / 100)"),"Loading...")</f>
        <v>Loading...</v>
      </c>
      <c r="G241" s="20" t="str">
        <f>IFERROR(__xludf.DUMMYFUNCTION("AVERAGE(ARRAYFORMULA(100 * (QUERY(GOOGLEFINANCE(C241, ""high"", TODAY()-40, TODAY()), ""SELECT Col2 WHERE Col2 IS NOT NULL ORDER BY Col1 DESC LIMIT 20"", 0) / QUERY(GOOGLEFINANCE(C241, ""low"", TODAY()-40, TODAY()), ""SELECT Col2 WHERE Col2 IS NOT NULL OR"&amp;"DER BY Col1 DESC LIMIT 20"", 0) - 1)))"),"#N/A")</f>
        <v>#N/A</v>
      </c>
      <c r="H241" s="35" t="str">
        <f t="shared" si="6"/>
        <v/>
      </c>
      <c r="I241" s="36" t="str">
        <f t="shared" si="7"/>
        <v/>
      </c>
      <c r="J241" s="37" t="str">
        <f>IFERROR(__xludf.DUMMYFUNCTION("IFERROR(
  IF(C241="""",, 
    IFERROR(
      GOOGLEFINANCE(C241, ""price"") * GOOGLEFINANCE(C241, ""volumeavg""), 
      GOOGLEFINANCE(C241, ""price"") * AVERAGE(QUERY(GOOGLEFINANCE(C241, ""volume"", TODAY()-40, TODAY()), ""SELECT Col2 WHERE Col2 IS NOT "&amp;"NULL ORDER BY Col1 DESC LIMIT 20"", 0))
    )
  ), 
"""")"),"")</f>
        <v/>
      </c>
      <c r="K241" s="21" t="str">
        <f>IFERROR(__xludf.DUMMYFUNCTION("IFERROR(GOOGLEFINANCE(C241, ""changepct"") / 100, """")"),"")</f>
        <v/>
      </c>
      <c r="L241" s="21" t="str">
        <f>IFERROR(__xludf.DUMMYFUNCTION("IFERROR((GOOGLEFINANCE(C241, ""price"") / INDEX(GOOGLEFINANCE(C241, ""price"", TODAY()-7, TODAY()), 2, 2)) - 1, """")"),"")</f>
        <v/>
      </c>
      <c r="M241" s="21" t="str">
        <f>IFERROR(__xludf.DUMMYFUNCTION("IFERROR((GOOGLEFINANCE(C241, ""price"") / INDEX(GOOGLEFINANCE(C241, ""price"", EDATE(TODAY(), -1), TODAY()), 2, 2)) - 1, """")"),"")</f>
        <v/>
      </c>
      <c r="N241" s="21" t="str">
        <f>IFERROR(__xludf.DUMMYFUNCTION("IFERROR((GOOGLEFINANCE(C241, ""price"") / INDEX(GOOGLEFINANCE(C241, ""price"", EDATE(TODAY(), -3), TODAY()), 2, 2)) - 1, """")"),"")</f>
        <v/>
      </c>
      <c r="O241" s="21" t="str">
        <f>IFERROR(__xludf.DUMMYFUNCTION("IFERROR((GOOGLEFINANCE(C241, ""price"") / INDEX(GOOGLEFINANCE(C241, ""price"", EDATE(TODAY(), -6), TODAY()), 2, 2)) - 1, """")"),"")</f>
        <v/>
      </c>
      <c r="P241" s="21" t="str">
        <f>IFERROR(__xludf.DUMMYFUNCTION("IFERROR((GOOGLEFINANCE(C241, ""price"") / INDEX(GOOGLEFINANCE(C241, ""price"", EDATE(TODAY(), -12), TODAY()), 2, 2)) - 1, """")"),"")</f>
        <v/>
      </c>
      <c r="Q241" s="6" t="str">
        <f>IFERROR(__xludf.DUMMYFUNCTION("AVERAGE(QUERY(GOOGLEFINANCE(C241, ""price"", TODAY()-80, TODAY()), ""SELECT Col2 WHERE Col2 IS NOT NULL ORDER BY Col1 DESC LIMIT 50"", 0))"),"#N/A")</f>
        <v>#N/A</v>
      </c>
      <c r="R241" s="24" t="str">
        <f>IFERROR(__xludf.DUMMYFUNCTION("IFERROR(
  LET(
    data, QUERY(GOOGLEFINANCE(C241,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GOOGLEFINANCE(C241, ""price"")) * 100,
    IF(calc=0, G241, calc)
  ), 
G241)"),"#N/A")</f>
        <v>#N/A</v>
      </c>
      <c r="S241" s="8" t="s">
        <v>15</v>
      </c>
      <c r="T241" s="26" t="str">
        <f>IFERROR(__xludf.DUMMYFUNCTION("IFERROR(TRANSPOSE(QUERY(IFERROR(SORT(GOOGLEFINANCE(C241, ""price"", WORKDAY(TODAY(), -40), TODAY()), 1, FALSE)), ""select Col2 where Col2 is not null limit 22 label Col2 ''"", 0)), """")"),"")</f>
        <v/>
      </c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8"/>
      <c r="AO241" s="28"/>
      <c r="AP241" s="29"/>
      <c r="AQ241" s="29" t="str">
        <f t="shared" ref="AQ241:BL241" si="244">T241/T$2</f>
        <v>#N/A</v>
      </c>
      <c r="AR241" s="29" t="str">
        <f t="shared" si="244"/>
        <v>#DIV/0!</v>
      </c>
      <c r="AS241" s="29" t="str">
        <f t="shared" si="244"/>
        <v>#DIV/0!</v>
      </c>
      <c r="AT241" s="29" t="str">
        <f t="shared" si="244"/>
        <v>#DIV/0!</v>
      </c>
      <c r="AU241" s="29" t="str">
        <f t="shared" si="244"/>
        <v>#DIV/0!</v>
      </c>
      <c r="AV241" s="29" t="str">
        <f t="shared" si="244"/>
        <v>#DIV/0!</v>
      </c>
      <c r="AW241" s="29" t="str">
        <f t="shared" si="244"/>
        <v>#DIV/0!</v>
      </c>
      <c r="AX241" s="29" t="str">
        <f t="shared" si="244"/>
        <v>#DIV/0!</v>
      </c>
      <c r="AY241" s="29" t="str">
        <f t="shared" si="244"/>
        <v>#DIV/0!</v>
      </c>
      <c r="AZ241" s="29" t="str">
        <f t="shared" si="244"/>
        <v>#DIV/0!</v>
      </c>
      <c r="BA241" s="29" t="str">
        <f t="shared" si="244"/>
        <v>#DIV/0!</v>
      </c>
      <c r="BB241" s="29" t="str">
        <f t="shared" si="244"/>
        <v>#DIV/0!</v>
      </c>
      <c r="BC241" s="29" t="str">
        <f t="shared" si="244"/>
        <v>#DIV/0!</v>
      </c>
      <c r="BD241" s="29" t="str">
        <f t="shared" si="244"/>
        <v>#DIV/0!</v>
      </c>
      <c r="BE241" s="29" t="str">
        <f t="shared" si="244"/>
        <v>#DIV/0!</v>
      </c>
      <c r="BF241" s="29" t="str">
        <f t="shared" si="244"/>
        <v>#DIV/0!</v>
      </c>
      <c r="BG241" s="29" t="str">
        <f t="shared" si="244"/>
        <v>#DIV/0!</v>
      </c>
      <c r="BH241" s="29" t="str">
        <f t="shared" si="244"/>
        <v>#DIV/0!</v>
      </c>
      <c r="BI241" s="29" t="str">
        <f t="shared" si="244"/>
        <v>#DIV/0!</v>
      </c>
      <c r="BJ241" s="29" t="str">
        <f t="shared" si="244"/>
        <v>#DIV/0!</v>
      </c>
      <c r="BK241" s="29" t="str">
        <f t="shared" si="244"/>
        <v>#DIV/0!</v>
      </c>
      <c r="BL241" s="29" t="str">
        <f t="shared" si="244"/>
        <v>#DIV/0!</v>
      </c>
      <c r="BM241" s="29" t="str">
        <f t="shared" si="3"/>
        <v>#DIV/0!</v>
      </c>
    </row>
    <row r="242">
      <c r="A242" s="16" t="str">
        <f>IFERROR(__xludf.DUMMYFUNCTION("IFERROR(SPARKLINE(SORT(MAP(TRANSPOSE(AQ242:BL242), LAMBDA(val, IF(ISNUMBER(val), PERCENTRANK(AQ242:BL242, val)+0.01, 0))), SEQUENCE(COLUMNS(AQ242:BL242)), FALSE), {""charttype"",""column""; ""color"",""chartreuse""; ""ymin"", 0; ""ymax"", 1.01; ""highcolo"&amp;"r"", ""darkgreen""; ""lowcolor"", ""red""}), """")"),"")</f>
        <v/>
      </c>
      <c r="B242" s="17" t="str">
        <f t="shared" si="4"/>
        <v/>
      </c>
      <c r="C242" s="1" t="s">
        <v>1143</v>
      </c>
      <c r="D242" s="34" t="str">
        <f>IFERROR(__xludf.DUMMYFUNCTION("IFERROR(GOOGLEFINANCE(C242, ""NAME""))"),"SIM Acquisition Corp. I")</f>
        <v>SIM Acquisition Corp. I</v>
      </c>
      <c r="E242" s="30" t="s">
        <v>161</v>
      </c>
      <c r="F242" s="33" t="str">
        <f>IFERROR(__xludf.DUMMYFUNCTION("( (GOOGLEFINANCE(C242, ""price"") - Q242) / Q242 ) / (R242 / 100)"),"Loading...")</f>
        <v>Loading...</v>
      </c>
      <c r="G242" s="20" t="str">
        <f>IFERROR(__xludf.DUMMYFUNCTION("AVERAGE(ARRAYFORMULA(100 * (QUERY(GOOGLEFINANCE(C242, ""high"", TODAY()-40, TODAY()), ""SELECT Col2 WHERE Col2 IS NOT NULL ORDER BY Col1 DESC LIMIT 20"", 0) / QUERY(GOOGLEFINANCE(C242, ""low"", TODAY()-40, TODAY()), ""SELECT Col2 WHERE Col2 IS NOT NULL OR"&amp;"DER BY Col1 DESC LIMIT 20"", 0) - 1)))"),"#N/A")</f>
        <v>#N/A</v>
      </c>
      <c r="H242" s="35" t="str">
        <f t="shared" si="6"/>
        <v/>
      </c>
      <c r="I242" s="36" t="str">
        <f t="shared" si="7"/>
        <v/>
      </c>
      <c r="J242" s="37" t="str">
        <f>IFERROR(__xludf.DUMMYFUNCTION("IFERROR(
  IF(C242="""",, 
    IFERROR(
      GOOGLEFINANCE(C242, ""price"") * GOOGLEFINANCE(C242, ""volumeavg""), 
      GOOGLEFINANCE(C242, ""price"") * AVERAGE(QUERY(GOOGLEFINANCE(C242, ""volume"", TODAY()-40, TODAY()), ""SELECT Col2 WHERE Col2 IS NOT "&amp;"NULL ORDER BY Col1 DESC LIMIT 20"", 0))
    )
  ), 
"""")"),"")</f>
        <v/>
      </c>
      <c r="K242" s="21" t="str">
        <f>IFERROR(__xludf.DUMMYFUNCTION("IFERROR(GOOGLEFINANCE(C242, ""changepct"") / 100, """")"),"")</f>
        <v/>
      </c>
      <c r="L242" s="21" t="str">
        <f>IFERROR(__xludf.DUMMYFUNCTION("IFERROR((GOOGLEFINANCE(C242, ""price"") / INDEX(GOOGLEFINANCE(C242, ""price"", TODAY()-7, TODAY()), 2, 2)) - 1, """")"),"")</f>
        <v/>
      </c>
      <c r="M242" s="21" t="str">
        <f>IFERROR(__xludf.DUMMYFUNCTION("IFERROR((GOOGLEFINANCE(C242, ""price"") / INDEX(GOOGLEFINANCE(C242, ""price"", EDATE(TODAY(), -1), TODAY()), 2, 2)) - 1, """")"),"")</f>
        <v/>
      </c>
      <c r="N242" s="21" t="str">
        <f>IFERROR(__xludf.DUMMYFUNCTION("IFERROR((GOOGLEFINANCE(C242, ""price"") / INDEX(GOOGLEFINANCE(C242, ""price"", EDATE(TODAY(), -3), TODAY()), 2, 2)) - 1, """")"),"")</f>
        <v/>
      </c>
      <c r="O242" s="21" t="str">
        <f>IFERROR(__xludf.DUMMYFUNCTION("IFERROR((GOOGLEFINANCE(C242, ""price"") / INDEX(GOOGLEFINANCE(C242, ""price"", EDATE(TODAY(), -6), TODAY()), 2, 2)) - 1, """")"),"")</f>
        <v/>
      </c>
      <c r="P242" s="21" t="str">
        <f>IFERROR(__xludf.DUMMYFUNCTION("IFERROR((GOOGLEFINANCE(C242, ""price"") / INDEX(GOOGLEFINANCE(C242, ""price"", EDATE(TODAY(), -12), TODAY()), 2, 2)) - 1, """")"),"")</f>
        <v/>
      </c>
      <c r="Q242" s="6" t="str">
        <f>IFERROR(__xludf.DUMMYFUNCTION("AVERAGE(QUERY(GOOGLEFINANCE(C242, ""price"", TODAY()-80, TODAY()), ""SELECT Col2 WHERE Col2 IS NOT NULL ORDER BY Col1 DESC LIMIT 50"", 0))"),"#N/A")</f>
        <v>#N/A</v>
      </c>
      <c r="R242" s="24" t="str">
        <f>IFERROR(__xludf.DUMMYFUNCTION("IFERROR(
  LET(
    data, QUERY(GOOGLEFINANCE(C242,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GOOGLEFINANCE(C242, ""price"")) * 100,
    IF(calc=0, G242, calc)
  ), 
G242)"),"#N/A")</f>
        <v>#N/A</v>
      </c>
      <c r="S242" s="8" t="s">
        <v>15</v>
      </c>
      <c r="T242" s="26" t="str">
        <f>IFERROR(__xludf.DUMMYFUNCTION("IFERROR(TRANSPOSE(QUERY(IFERROR(SORT(GOOGLEFINANCE(C242, ""price"", WORKDAY(TODAY(), -40), TODAY()), 1, FALSE)), ""select Col2 where Col2 is not null limit 22 label Col2 ''"", 0)), """")"),"")</f>
        <v/>
      </c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8"/>
      <c r="AO242" s="28"/>
      <c r="AP242" s="29"/>
      <c r="AQ242" s="29" t="str">
        <f t="shared" ref="AQ242:BL242" si="245">T242/T$2</f>
        <v>#N/A</v>
      </c>
      <c r="AR242" s="29" t="str">
        <f t="shared" si="245"/>
        <v>#DIV/0!</v>
      </c>
      <c r="AS242" s="29" t="str">
        <f t="shared" si="245"/>
        <v>#DIV/0!</v>
      </c>
      <c r="AT242" s="29" t="str">
        <f t="shared" si="245"/>
        <v>#DIV/0!</v>
      </c>
      <c r="AU242" s="29" t="str">
        <f t="shared" si="245"/>
        <v>#DIV/0!</v>
      </c>
      <c r="AV242" s="29" t="str">
        <f t="shared" si="245"/>
        <v>#DIV/0!</v>
      </c>
      <c r="AW242" s="29" t="str">
        <f t="shared" si="245"/>
        <v>#DIV/0!</v>
      </c>
      <c r="AX242" s="29" t="str">
        <f t="shared" si="245"/>
        <v>#DIV/0!</v>
      </c>
      <c r="AY242" s="29" t="str">
        <f t="shared" si="245"/>
        <v>#DIV/0!</v>
      </c>
      <c r="AZ242" s="29" t="str">
        <f t="shared" si="245"/>
        <v>#DIV/0!</v>
      </c>
      <c r="BA242" s="29" t="str">
        <f t="shared" si="245"/>
        <v>#DIV/0!</v>
      </c>
      <c r="BB242" s="29" t="str">
        <f t="shared" si="245"/>
        <v>#DIV/0!</v>
      </c>
      <c r="BC242" s="29" t="str">
        <f t="shared" si="245"/>
        <v>#DIV/0!</v>
      </c>
      <c r="BD242" s="29" t="str">
        <f t="shared" si="245"/>
        <v>#DIV/0!</v>
      </c>
      <c r="BE242" s="29" t="str">
        <f t="shared" si="245"/>
        <v>#DIV/0!</v>
      </c>
      <c r="BF242" s="29" t="str">
        <f t="shared" si="245"/>
        <v>#DIV/0!</v>
      </c>
      <c r="BG242" s="29" t="str">
        <f t="shared" si="245"/>
        <v>#DIV/0!</v>
      </c>
      <c r="BH242" s="29" t="str">
        <f t="shared" si="245"/>
        <v>#DIV/0!</v>
      </c>
      <c r="BI242" s="29" t="str">
        <f t="shared" si="245"/>
        <v>#DIV/0!</v>
      </c>
      <c r="BJ242" s="29" t="str">
        <f t="shared" si="245"/>
        <v>#DIV/0!</v>
      </c>
      <c r="BK242" s="29" t="str">
        <f t="shared" si="245"/>
        <v>#DIV/0!</v>
      </c>
      <c r="BL242" s="29" t="str">
        <f t="shared" si="245"/>
        <v>#DIV/0!</v>
      </c>
      <c r="BM242" s="29" t="str">
        <f t="shared" si="3"/>
        <v>#DIV/0!</v>
      </c>
    </row>
    <row r="243">
      <c r="A243" s="16" t="str">
        <f>IFERROR(__xludf.DUMMYFUNCTION("IFERROR(SPARKLINE(SORT(MAP(TRANSPOSE(AQ243:BL243), LAMBDA(val, IF(ISNUMBER(val), PERCENTRANK(AQ243:BL243, val)+0.01, 0))), SEQUENCE(COLUMNS(AQ243:BL243)), FALSE), {""charttype"",""column""; ""color"",""chartreuse""; ""ymin"", 0; ""ymax"", 1.01; ""highcolo"&amp;"r"", ""darkgreen""; ""lowcolor"", ""red""}), """")"),"")</f>
        <v/>
      </c>
      <c r="B243" s="17" t="str">
        <f t="shared" si="4"/>
        <v/>
      </c>
      <c r="C243" s="1" t="s">
        <v>1147</v>
      </c>
      <c r="D243" s="34" t="str">
        <f>IFERROR(__xludf.DUMMYFUNCTION("IFERROR(GOOGLEFINANCE(C243, ""NAME""))"),"Brookfield Corp")</f>
        <v>Brookfield Corp</v>
      </c>
      <c r="E243" s="30" t="s">
        <v>64</v>
      </c>
      <c r="F243" s="33" t="str">
        <f>IFERROR(__xludf.DUMMYFUNCTION("( (GOOGLEFINANCE(C243, ""price"") - Q243) / Q243 ) / (R243 / 100)"),"Loading...")</f>
        <v>Loading...</v>
      </c>
      <c r="G243" s="20" t="str">
        <f>IFERROR(__xludf.DUMMYFUNCTION("AVERAGE(ARRAYFORMULA(100 * (QUERY(GOOGLEFINANCE(C243, ""high"", TODAY()-40, TODAY()), ""SELECT Col2 WHERE Col2 IS NOT NULL ORDER BY Col1 DESC LIMIT 20"", 0) / QUERY(GOOGLEFINANCE(C243, ""low"", TODAY()-40, TODAY()), ""SELECT Col2 WHERE Col2 IS NOT NULL OR"&amp;"DER BY Col1 DESC LIMIT 20"", 0) - 1)))"),"#N/A")</f>
        <v>#N/A</v>
      </c>
      <c r="H243" s="35" t="str">
        <f t="shared" si="6"/>
        <v/>
      </c>
      <c r="I243" s="36" t="str">
        <f t="shared" si="7"/>
        <v/>
      </c>
      <c r="J243" s="37" t="str">
        <f>IFERROR(__xludf.DUMMYFUNCTION("IFERROR(
  IF(C243="""",, 
    IFERROR(
      GOOGLEFINANCE(C243, ""price"") * GOOGLEFINANCE(C243, ""volumeavg""), 
      GOOGLEFINANCE(C243, ""price"") * AVERAGE(QUERY(GOOGLEFINANCE(C243, ""volume"", TODAY()-40, TODAY()), ""SELECT Col2 WHERE Col2 IS NOT "&amp;"NULL ORDER BY Col1 DESC LIMIT 20"", 0))
    )
  ), 
"""")"),"")</f>
        <v/>
      </c>
      <c r="K243" s="21" t="str">
        <f>IFERROR(__xludf.DUMMYFUNCTION("IFERROR(GOOGLEFINANCE(C243, ""changepct"") / 100, """")"),"")</f>
        <v/>
      </c>
      <c r="L243" s="21" t="str">
        <f>IFERROR(__xludf.DUMMYFUNCTION("IFERROR((GOOGLEFINANCE(C243, ""price"") / INDEX(GOOGLEFINANCE(C243, ""price"", TODAY()-7, TODAY()), 2, 2)) - 1, """")"),"")</f>
        <v/>
      </c>
      <c r="M243" s="21" t="str">
        <f>IFERROR(__xludf.DUMMYFUNCTION("IFERROR((GOOGLEFINANCE(C243, ""price"") / INDEX(GOOGLEFINANCE(C243, ""price"", EDATE(TODAY(), -1), TODAY()), 2, 2)) - 1, """")"),"")</f>
        <v/>
      </c>
      <c r="N243" s="21" t="str">
        <f>IFERROR(__xludf.DUMMYFUNCTION("IFERROR((GOOGLEFINANCE(C243, ""price"") / INDEX(GOOGLEFINANCE(C243, ""price"", EDATE(TODAY(), -3), TODAY()), 2, 2)) - 1, """")"),"")</f>
        <v/>
      </c>
      <c r="O243" s="21" t="str">
        <f>IFERROR(__xludf.DUMMYFUNCTION("IFERROR((GOOGLEFINANCE(C243, ""price"") / INDEX(GOOGLEFINANCE(C243, ""price"", EDATE(TODAY(), -6), TODAY()), 2, 2)) - 1, """")"),"")</f>
        <v/>
      </c>
      <c r="P243" s="21" t="str">
        <f>IFERROR(__xludf.DUMMYFUNCTION("IFERROR((GOOGLEFINANCE(C243, ""price"") / INDEX(GOOGLEFINANCE(C243, ""price"", EDATE(TODAY(), -12), TODAY()), 2, 2)) - 1, """")"),"")</f>
        <v/>
      </c>
      <c r="Q243" s="6" t="str">
        <f>IFERROR(__xludf.DUMMYFUNCTION("AVERAGE(QUERY(GOOGLEFINANCE(C243, ""price"", TODAY()-80, TODAY()), ""SELECT Col2 WHERE Col2 IS NOT NULL ORDER BY Col1 DESC LIMIT 50"", 0))"),"#N/A")</f>
        <v>#N/A</v>
      </c>
      <c r="R243" s="24" t="str">
        <f>IFERROR(__xludf.DUMMYFUNCTION("IFERROR(
  LET(
    data, QUERY(GOOGLEFINANCE(C243,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GOOGLEFINANCE(C243, ""price"")) * 100,
    IF(calc=0, G243, calc)
  ), 
G243)"),"#N/A")</f>
        <v>#N/A</v>
      </c>
      <c r="S243" s="8" t="s">
        <v>15</v>
      </c>
      <c r="T243" s="26" t="str">
        <f>IFERROR(__xludf.DUMMYFUNCTION("IFERROR(TRANSPOSE(QUERY(IFERROR(SORT(GOOGLEFINANCE(C243, ""price"", WORKDAY(TODAY(), -40), TODAY()), 1, FALSE)), ""select Col2 where Col2 is not null limit 22 label Col2 ''"", 0)), """")"),"")</f>
        <v/>
      </c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8"/>
      <c r="AO243" s="28"/>
      <c r="AP243" s="29"/>
      <c r="AQ243" s="29" t="str">
        <f t="shared" ref="AQ243:BL243" si="246">T243/T$2</f>
        <v>#N/A</v>
      </c>
      <c r="AR243" s="29" t="str">
        <f t="shared" si="246"/>
        <v>#DIV/0!</v>
      </c>
      <c r="AS243" s="29" t="str">
        <f t="shared" si="246"/>
        <v>#DIV/0!</v>
      </c>
      <c r="AT243" s="29" t="str">
        <f t="shared" si="246"/>
        <v>#DIV/0!</v>
      </c>
      <c r="AU243" s="29" t="str">
        <f t="shared" si="246"/>
        <v>#DIV/0!</v>
      </c>
      <c r="AV243" s="29" t="str">
        <f t="shared" si="246"/>
        <v>#DIV/0!</v>
      </c>
      <c r="AW243" s="29" t="str">
        <f t="shared" si="246"/>
        <v>#DIV/0!</v>
      </c>
      <c r="AX243" s="29" t="str">
        <f t="shared" si="246"/>
        <v>#DIV/0!</v>
      </c>
      <c r="AY243" s="29" t="str">
        <f t="shared" si="246"/>
        <v>#DIV/0!</v>
      </c>
      <c r="AZ243" s="29" t="str">
        <f t="shared" si="246"/>
        <v>#DIV/0!</v>
      </c>
      <c r="BA243" s="29" t="str">
        <f t="shared" si="246"/>
        <v>#DIV/0!</v>
      </c>
      <c r="BB243" s="29" t="str">
        <f t="shared" si="246"/>
        <v>#DIV/0!</v>
      </c>
      <c r="BC243" s="29" t="str">
        <f t="shared" si="246"/>
        <v>#DIV/0!</v>
      </c>
      <c r="BD243" s="29" t="str">
        <f t="shared" si="246"/>
        <v>#DIV/0!</v>
      </c>
      <c r="BE243" s="29" t="str">
        <f t="shared" si="246"/>
        <v>#DIV/0!</v>
      </c>
      <c r="BF243" s="29" t="str">
        <f t="shared" si="246"/>
        <v>#DIV/0!</v>
      </c>
      <c r="BG243" s="29" t="str">
        <f t="shared" si="246"/>
        <v>#DIV/0!</v>
      </c>
      <c r="BH243" s="29" t="str">
        <f t="shared" si="246"/>
        <v>#DIV/0!</v>
      </c>
      <c r="BI243" s="29" t="str">
        <f t="shared" si="246"/>
        <v>#DIV/0!</v>
      </c>
      <c r="BJ243" s="29" t="str">
        <f t="shared" si="246"/>
        <v>#DIV/0!</v>
      </c>
      <c r="BK243" s="29" t="str">
        <f t="shared" si="246"/>
        <v>#DIV/0!</v>
      </c>
      <c r="BL243" s="29" t="str">
        <f t="shared" si="246"/>
        <v>#DIV/0!</v>
      </c>
      <c r="BM243" s="29" t="str">
        <f t="shared" si="3"/>
        <v>#DIV/0!</v>
      </c>
    </row>
    <row r="244">
      <c r="A244" s="16" t="str">
        <f>IFERROR(__xludf.DUMMYFUNCTION("IFERROR(SPARKLINE(SORT(MAP(TRANSPOSE(AQ244:BL244), LAMBDA(val, IF(ISNUMBER(val), PERCENTRANK(AQ244:BL244, val)+0.01, 0))), SEQUENCE(COLUMNS(AQ244:BL244)), FALSE), {""charttype"",""column""; ""color"",""chartreuse""; ""ymin"", 0; ""ymax"", 1.01; ""highcolo"&amp;"r"", ""darkgreen""; ""lowcolor"", ""red""}), """")"),"")</f>
        <v/>
      </c>
      <c r="B244" s="17" t="str">
        <f t="shared" si="4"/>
        <v/>
      </c>
      <c r="C244" s="1" t="s">
        <v>1153</v>
      </c>
      <c r="D244" s="34" t="str">
        <f>IFERROR(__xludf.DUMMYFUNCTION("IFERROR(GOOGLEFINANCE(C244, ""NAME""))"),"Yiren Digital Ltd - ADR")</f>
        <v>Yiren Digital Ltd - ADR</v>
      </c>
      <c r="E244" s="30" t="s">
        <v>145</v>
      </c>
      <c r="F244" s="33" t="str">
        <f>IFERROR(__xludf.DUMMYFUNCTION("( (GOOGLEFINANCE(C244, ""price"") - Q244) / Q244 ) / (R244 / 100)"),"Loading...")</f>
        <v>Loading...</v>
      </c>
      <c r="G244" s="20" t="str">
        <f>IFERROR(__xludf.DUMMYFUNCTION("AVERAGE(ARRAYFORMULA(100 * (QUERY(GOOGLEFINANCE(C244, ""high"", TODAY()-40, TODAY()), ""SELECT Col2 WHERE Col2 IS NOT NULL ORDER BY Col1 DESC LIMIT 20"", 0) / QUERY(GOOGLEFINANCE(C244, ""low"", TODAY()-40, TODAY()), ""SELECT Col2 WHERE Col2 IS NOT NULL OR"&amp;"DER BY Col1 DESC LIMIT 20"", 0) - 1)))"),"#N/A")</f>
        <v>#N/A</v>
      </c>
      <c r="H244" s="35" t="str">
        <f t="shared" si="6"/>
        <v/>
      </c>
      <c r="I244" s="36" t="str">
        <f t="shared" si="7"/>
        <v/>
      </c>
      <c r="J244" s="37" t="str">
        <f>IFERROR(__xludf.DUMMYFUNCTION("IFERROR(
  IF(C244="""",, 
    IFERROR(
      GOOGLEFINANCE(C244, ""price"") * GOOGLEFINANCE(C244, ""volumeavg""), 
      GOOGLEFINANCE(C244, ""price"") * AVERAGE(QUERY(GOOGLEFINANCE(C244, ""volume"", TODAY()-40, TODAY()), ""SELECT Col2 WHERE Col2 IS NOT "&amp;"NULL ORDER BY Col1 DESC LIMIT 20"", 0))
    )
  ), 
"""")"),"")</f>
        <v/>
      </c>
      <c r="K244" s="21" t="str">
        <f>IFERROR(__xludf.DUMMYFUNCTION("IFERROR(GOOGLEFINANCE(C244, ""changepct"") / 100, """")"),"")</f>
        <v/>
      </c>
      <c r="L244" s="21" t="str">
        <f>IFERROR(__xludf.DUMMYFUNCTION("IFERROR((GOOGLEFINANCE(C244, ""price"") / INDEX(GOOGLEFINANCE(C244, ""price"", TODAY()-7, TODAY()), 2, 2)) - 1, """")"),"")</f>
        <v/>
      </c>
      <c r="M244" s="21" t="str">
        <f>IFERROR(__xludf.DUMMYFUNCTION("IFERROR((GOOGLEFINANCE(C244, ""price"") / INDEX(GOOGLEFINANCE(C244, ""price"", EDATE(TODAY(), -1), TODAY()), 2, 2)) - 1, """")"),"")</f>
        <v/>
      </c>
      <c r="N244" s="21" t="str">
        <f>IFERROR(__xludf.DUMMYFUNCTION("IFERROR((GOOGLEFINANCE(C244, ""price"") / INDEX(GOOGLEFINANCE(C244, ""price"", EDATE(TODAY(), -3), TODAY()), 2, 2)) - 1, """")"),"")</f>
        <v/>
      </c>
      <c r="O244" s="21" t="str">
        <f>IFERROR(__xludf.DUMMYFUNCTION("IFERROR((GOOGLEFINANCE(C244, ""price"") / INDEX(GOOGLEFINANCE(C244, ""price"", EDATE(TODAY(), -6), TODAY()), 2, 2)) - 1, """")"),"")</f>
        <v/>
      </c>
      <c r="P244" s="21" t="str">
        <f>IFERROR(__xludf.DUMMYFUNCTION("IFERROR((GOOGLEFINANCE(C244, ""price"") / INDEX(GOOGLEFINANCE(C244, ""price"", EDATE(TODAY(), -12), TODAY()), 2, 2)) - 1, """")"),"")</f>
        <v/>
      </c>
      <c r="Q244" s="6" t="str">
        <f>IFERROR(__xludf.DUMMYFUNCTION("AVERAGE(QUERY(GOOGLEFINANCE(C244, ""price"", TODAY()-80, TODAY()), ""SELECT Col2 WHERE Col2 IS NOT NULL ORDER BY Col1 DESC LIMIT 50"", 0))"),"#N/A")</f>
        <v>#N/A</v>
      </c>
      <c r="R244" s="24" t="str">
        <f>IFERROR(__xludf.DUMMYFUNCTION("IFERROR(
  LET(
    data, QUERY(GOOGLEFINANCE(C244,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GOOGLEFINANCE(C244, ""price"")) * 100,
    IF(calc=0, G244, calc)
  ), 
G244)"),"#N/A")</f>
        <v>#N/A</v>
      </c>
      <c r="S244" s="8" t="s">
        <v>15</v>
      </c>
      <c r="T244" s="26" t="str">
        <f>IFERROR(__xludf.DUMMYFUNCTION("IFERROR(TRANSPOSE(QUERY(IFERROR(SORT(GOOGLEFINANCE(C244, ""price"", WORKDAY(TODAY(), -40), TODAY()), 1, FALSE)), ""select Col2 where Col2 is not null limit 22 label Col2 ''"", 0)), """")"),"")</f>
        <v/>
      </c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8"/>
      <c r="AO244" s="28"/>
      <c r="AP244" s="29"/>
      <c r="AQ244" s="29" t="str">
        <f t="shared" ref="AQ244:BL244" si="247">T244/T$2</f>
        <v>#N/A</v>
      </c>
      <c r="AR244" s="29" t="str">
        <f t="shared" si="247"/>
        <v>#DIV/0!</v>
      </c>
      <c r="AS244" s="29" t="str">
        <f t="shared" si="247"/>
        <v>#DIV/0!</v>
      </c>
      <c r="AT244" s="29" t="str">
        <f t="shared" si="247"/>
        <v>#DIV/0!</v>
      </c>
      <c r="AU244" s="29" t="str">
        <f t="shared" si="247"/>
        <v>#DIV/0!</v>
      </c>
      <c r="AV244" s="29" t="str">
        <f t="shared" si="247"/>
        <v>#DIV/0!</v>
      </c>
      <c r="AW244" s="29" t="str">
        <f t="shared" si="247"/>
        <v>#DIV/0!</v>
      </c>
      <c r="AX244" s="29" t="str">
        <f t="shared" si="247"/>
        <v>#DIV/0!</v>
      </c>
      <c r="AY244" s="29" t="str">
        <f t="shared" si="247"/>
        <v>#DIV/0!</v>
      </c>
      <c r="AZ244" s="29" t="str">
        <f t="shared" si="247"/>
        <v>#DIV/0!</v>
      </c>
      <c r="BA244" s="29" t="str">
        <f t="shared" si="247"/>
        <v>#DIV/0!</v>
      </c>
      <c r="BB244" s="29" t="str">
        <f t="shared" si="247"/>
        <v>#DIV/0!</v>
      </c>
      <c r="BC244" s="29" t="str">
        <f t="shared" si="247"/>
        <v>#DIV/0!</v>
      </c>
      <c r="BD244" s="29" t="str">
        <f t="shared" si="247"/>
        <v>#DIV/0!</v>
      </c>
      <c r="BE244" s="29" t="str">
        <f t="shared" si="247"/>
        <v>#DIV/0!</v>
      </c>
      <c r="BF244" s="29" t="str">
        <f t="shared" si="247"/>
        <v>#DIV/0!</v>
      </c>
      <c r="BG244" s="29" t="str">
        <f t="shared" si="247"/>
        <v>#DIV/0!</v>
      </c>
      <c r="BH244" s="29" t="str">
        <f t="shared" si="247"/>
        <v>#DIV/0!</v>
      </c>
      <c r="BI244" s="29" t="str">
        <f t="shared" si="247"/>
        <v>#DIV/0!</v>
      </c>
      <c r="BJ244" s="29" t="str">
        <f t="shared" si="247"/>
        <v>#DIV/0!</v>
      </c>
      <c r="BK244" s="29" t="str">
        <f t="shared" si="247"/>
        <v>#DIV/0!</v>
      </c>
      <c r="BL244" s="29" t="str">
        <f t="shared" si="247"/>
        <v>#DIV/0!</v>
      </c>
      <c r="BM244" s="29" t="str">
        <f t="shared" si="3"/>
        <v>#DIV/0!</v>
      </c>
    </row>
    <row r="245">
      <c r="A245" s="16" t="str">
        <f>IFERROR(__xludf.DUMMYFUNCTION("IFERROR(SPARKLINE(SORT(MAP(TRANSPOSE(AQ245:BL245), LAMBDA(val, IF(ISNUMBER(val), PERCENTRANK(AQ245:BL245, val)+0.01, 0))), SEQUENCE(COLUMNS(AQ245:BL245)), FALSE), {""charttype"",""column""; ""color"",""chartreuse""; ""ymin"", 0; ""ymax"", 1.01; ""highcolo"&amp;"r"", ""darkgreen""; ""lowcolor"", ""red""}), """")"),"")</f>
        <v/>
      </c>
      <c r="B245" s="17" t="str">
        <f t="shared" si="4"/>
        <v/>
      </c>
      <c r="C245" s="1" t="s">
        <v>1156</v>
      </c>
      <c r="D245" s="34" t="str">
        <f>IFERROR(__xludf.DUMMYFUNCTION("IFERROR(GOOGLEFINANCE(C245, ""NAME""))"),"Streamex Corp")</f>
        <v>Streamex Corp</v>
      </c>
      <c r="E245" s="30" t="s">
        <v>77</v>
      </c>
      <c r="F245" s="33" t="str">
        <f>IFERROR(__xludf.DUMMYFUNCTION("( (GOOGLEFINANCE(C245, ""price"") - Q245) / Q245 ) / (R245 / 100)"),"Loading...")</f>
        <v>Loading...</v>
      </c>
      <c r="G245" s="20" t="str">
        <f>IFERROR(__xludf.DUMMYFUNCTION("AVERAGE(ARRAYFORMULA(100 * (QUERY(GOOGLEFINANCE(C245, ""high"", TODAY()-40, TODAY()), ""SELECT Col2 WHERE Col2 IS NOT NULL ORDER BY Col1 DESC LIMIT 20"", 0) / QUERY(GOOGLEFINANCE(C245, ""low"", TODAY()-40, TODAY()), ""SELECT Col2 WHERE Col2 IS NOT NULL OR"&amp;"DER BY Col1 DESC LIMIT 20"", 0) - 1)))"),"#N/A")</f>
        <v>#N/A</v>
      </c>
      <c r="H245" s="35" t="str">
        <f t="shared" si="6"/>
        <v/>
      </c>
      <c r="I245" s="36" t="str">
        <f t="shared" si="7"/>
        <v/>
      </c>
      <c r="J245" s="37" t="str">
        <f>IFERROR(__xludf.DUMMYFUNCTION("IFERROR(
  IF(C245="""",, 
    IFERROR(
      GOOGLEFINANCE(C245, ""price"") * GOOGLEFINANCE(C245, ""volumeavg""), 
      GOOGLEFINANCE(C245, ""price"") * AVERAGE(QUERY(GOOGLEFINANCE(C245, ""volume"", TODAY()-40, TODAY()), ""SELECT Col2 WHERE Col2 IS NOT "&amp;"NULL ORDER BY Col1 DESC LIMIT 20"", 0))
    )
  ), 
"""")"),"")</f>
        <v/>
      </c>
      <c r="K245" s="21" t="str">
        <f>IFERROR(__xludf.DUMMYFUNCTION("IFERROR(GOOGLEFINANCE(C245, ""changepct"") / 100, """")"),"")</f>
        <v/>
      </c>
      <c r="L245" s="21" t="str">
        <f>IFERROR(__xludf.DUMMYFUNCTION("IFERROR((GOOGLEFINANCE(C245, ""price"") / INDEX(GOOGLEFINANCE(C245, ""price"", TODAY()-7, TODAY()), 2, 2)) - 1, """")"),"")</f>
        <v/>
      </c>
      <c r="M245" s="21" t="str">
        <f>IFERROR(__xludf.DUMMYFUNCTION("IFERROR((GOOGLEFINANCE(C245, ""price"") / INDEX(GOOGLEFINANCE(C245, ""price"", EDATE(TODAY(), -1), TODAY()), 2, 2)) - 1, """")"),"")</f>
        <v/>
      </c>
      <c r="N245" s="21" t="str">
        <f>IFERROR(__xludf.DUMMYFUNCTION("IFERROR((GOOGLEFINANCE(C245, ""price"") / INDEX(GOOGLEFINANCE(C245, ""price"", EDATE(TODAY(), -3), TODAY()), 2, 2)) - 1, """")"),"")</f>
        <v/>
      </c>
      <c r="O245" s="21" t="str">
        <f>IFERROR(__xludf.DUMMYFUNCTION("IFERROR((GOOGLEFINANCE(C245, ""price"") / INDEX(GOOGLEFINANCE(C245, ""price"", EDATE(TODAY(), -6), TODAY()), 2, 2)) - 1, """")"),"")</f>
        <v/>
      </c>
      <c r="P245" s="21" t="str">
        <f>IFERROR(__xludf.DUMMYFUNCTION("IFERROR((GOOGLEFINANCE(C245, ""price"") / INDEX(GOOGLEFINANCE(C245, ""price"", EDATE(TODAY(), -12), TODAY()), 2, 2)) - 1, """")"),"")</f>
        <v/>
      </c>
      <c r="Q245" s="6" t="str">
        <f>IFERROR(__xludf.DUMMYFUNCTION("AVERAGE(QUERY(GOOGLEFINANCE(C245, ""price"", TODAY()-80, TODAY()), ""SELECT Col2 WHERE Col2 IS NOT NULL ORDER BY Col1 DESC LIMIT 50"", 0))"),"#N/A")</f>
        <v>#N/A</v>
      </c>
      <c r="R245" s="24" t="str">
        <f>IFERROR(__xludf.DUMMYFUNCTION("IFERROR(
  LET(
    data, QUERY(GOOGLEFINANCE(C245,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GOOGLEFINANCE(C245, ""price"")) * 100,
    IF(calc=0, G245, calc)
  ), 
G245)"),"#N/A")</f>
        <v>#N/A</v>
      </c>
      <c r="S245" s="8" t="s">
        <v>15</v>
      </c>
      <c r="T245" s="26" t="str">
        <f>IFERROR(__xludf.DUMMYFUNCTION("IFERROR(TRANSPOSE(QUERY(IFERROR(SORT(GOOGLEFINANCE(C245, ""price"", WORKDAY(TODAY(), -40), TODAY()), 1, FALSE)), ""select Col2 where Col2 is not null limit 22 label Col2 ''"", 0)), """")"),"")</f>
        <v/>
      </c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8"/>
      <c r="AO245" s="28"/>
      <c r="AP245" s="29"/>
      <c r="AQ245" s="29" t="str">
        <f t="shared" ref="AQ245:BL245" si="248">T245/T$2</f>
        <v>#N/A</v>
      </c>
      <c r="AR245" s="29" t="str">
        <f t="shared" si="248"/>
        <v>#DIV/0!</v>
      </c>
      <c r="AS245" s="29" t="str">
        <f t="shared" si="248"/>
        <v>#DIV/0!</v>
      </c>
      <c r="AT245" s="29" t="str">
        <f t="shared" si="248"/>
        <v>#DIV/0!</v>
      </c>
      <c r="AU245" s="29" t="str">
        <f t="shared" si="248"/>
        <v>#DIV/0!</v>
      </c>
      <c r="AV245" s="29" t="str">
        <f t="shared" si="248"/>
        <v>#DIV/0!</v>
      </c>
      <c r="AW245" s="29" t="str">
        <f t="shared" si="248"/>
        <v>#DIV/0!</v>
      </c>
      <c r="AX245" s="29" t="str">
        <f t="shared" si="248"/>
        <v>#DIV/0!</v>
      </c>
      <c r="AY245" s="29" t="str">
        <f t="shared" si="248"/>
        <v>#DIV/0!</v>
      </c>
      <c r="AZ245" s="29" t="str">
        <f t="shared" si="248"/>
        <v>#DIV/0!</v>
      </c>
      <c r="BA245" s="29" t="str">
        <f t="shared" si="248"/>
        <v>#DIV/0!</v>
      </c>
      <c r="BB245" s="29" t="str">
        <f t="shared" si="248"/>
        <v>#DIV/0!</v>
      </c>
      <c r="BC245" s="29" t="str">
        <f t="shared" si="248"/>
        <v>#DIV/0!</v>
      </c>
      <c r="BD245" s="29" t="str">
        <f t="shared" si="248"/>
        <v>#DIV/0!</v>
      </c>
      <c r="BE245" s="29" t="str">
        <f t="shared" si="248"/>
        <v>#DIV/0!</v>
      </c>
      <c r="BF245" s="29" t="str">
        <f t="shared" si="248"/>
        <v>#DIV/0!</v>
      </c>
      <c r="BG245" s="29" t="str">
        <f t="shared" si="248"/>
        <v>#DIV/0!</v>
      </c>
      <c r="BH245" s="29" t="str">
        <f t="shared" si="248"/>
        <v>#DIV/0!</v>
      </c>
      <c r="BI245" s="29" t="str">
        <f t="shared" si="248"/>
        <v>#DIV/0!</v>
      </c>
      <c r="BJ245" s="29" t="str">
        <f t="shared" si="248"/>
        <v>#DIV/0!</v>
      </c>
      <c r="BK245" s="29" t="str">
        <f t="shared" si="248"/>
        <v>#DIV/0!</v>
      </c>
      <c r="BL245" s="29" t="str">
        <f t="shared" si="248"/>
        <v>#DIV/0!</v>
      </c>
      <c r="BM245" s="29" t="str">
        <f t="shared" si="3"/>
        <v>#DIV/0!</v>
      </c>
    </row>
    <row r="246">
      <c r="A246" s="16" t="str">
        <f>IFERROR(__xludf.DUMMYFUNCTION("IFERROR(SPARKLINE(SORT(MAP(TRANSPOSE(AQ246:BL246), LAMBDA(val, IF(ISNUMBER(val), PERCENTRANK(AQ246:BL246, val)+0.01, 0))), SEQUENCE(COLUMNS(AQ246:BL246)), FALSE), {""charttype"",""column""; ""color"",""chartreuse""; ""ymin"", 0; ""ymax"", 1.01; ""highcolo"&amp;"r"", ""darkgreen""; ""lowcolor"", ""red""}), """")"),"")</f>
        <v/>
      </c>
      <c r="B246" s="17" t="str">
        <f t="shared" si="4"/>
        <v/>
      </c>
      <c r="C246" s="1" t="s">
        <v>1159</v>
      </c>
      <c r="D246" s="34" t="str">
        <f>IFERROR(__xludf.DUMMYFUNCTION("IFERROR(GOOGLEFINANCE(C246, ""NAME""))"),"American Bitcoin Corp")</f>
        <v>American Bitcoin Corp</v>
      </c>
      <c r="E246" s="30" t="s">
        <v>77</v>
      </c>
      <c r="F246" s="33" t="str">
        <f>IFERROR(__xludf.DUMMYFUNCTION("( (GOOGLEFINANCE(C246, ""price"") - Q246) / Q246 ) / (R246 / 100)"),"Loading...")</f>
        <v>Loading...</v>
      </c>
      <c r="G246" s="20" t="str">
        <f>IFERROR(__xludf.DUMMYFUNCTION("AVERAGE(ARRAYFORMULA(100 * (QUERY(GOOGLEFINANCE(C246, ""high"", TODAY()-40, TODAY()), ""SELECT Col2 WHERE Col2 IS NOT NULL ORDER BY Col1 DESC LIMIT 20"", 0) / QUERY(GOOGLEFINANCE(C246, ""low"", TODAY()-40, TODAY()), ""SELECT Col2 WHERE Col2 IS NOT NULL OR"&amp;"DER BY Col1 DESC LIMIT 20"", 0) - 1)))"),"#N/A")</f>
        <v>#N/A</v>
      </c>
      <c r="H246" s="35" t="str">
        <f t="shared" si="6"/>
        <v/>
      </c>
      <c r="I246" s="36" t="str">
        <f t="shared" si="7"/>
        <v/>
      </c>
      <c r="J246" s="37" t="str">
        <f>IFERROR(__xludf.DUMMYFUNCTION("IFERROR(
  IF(C246="""",, 
    IFERROR(
      GOOGLEFINANCE(C246, ""price"") * GOOGLEFINANCE(C246, ""volumeavg""), 
      GOOGLEFINANCE(C246, ""price"") * AVERAGE(QUERY(GOOGLEFINANCE(C246, ""volume"", TODAY()-40, TODAY()), ""SELECT Col2 WHERE Col2 IS NOT "&amp;"NULL ORDER BY Col1 DESC LIMIT 20"", 0))
    )
  ), 
"""")"),"")</f>
        <v/>
      </c>
      <c r="K246" s="21" t="str">
        <f>IFERROR(__xludf.DUMMYFUNCTION("IFERROR(GOOGLEFINANCE(C246, ""changepct"") / 100, """")"),"")</f>
        <v/>
      </c>
      <c r="L246" s="21" t="str">
        <f>IFERROR(__xludf.DUMMYFUNCTION("IFERROR((GOOGLEFINANCE(C246, ""price"") / INDEX(GOOGLEFINANCE(C246, ""price"", TODAY()-7, TODAY()), 2, 2)) - 1, """")"),"")</f>
        <v/>
      </c>
      <c r="M246" s="21" t="str">
        <f>IFERROR(__xludf.DUMMYFUNCTION("IFERROR((GOOGLEFINANCE(C246, ""price"") / INDEX(GOOGLEFINANCE(C246, ""price"", EDATE(TODAY(), -1), TODAY()), 2, 2)) - 1, """")"),"")</f>
        <v/>
      </c>
      <c r="N246" s="21" t="str">
        <f>IFERROR(__xludf.DUMMYFUNCTION("IFERROR((GOOGLEFINANCE(C246, ""price"") / INDEX(GOOGLEFINANCE(C246, ""price"", EDATE(TODAY(), -3), TODAY()), 2, 2)) - 1, """")"),"")</f>
        <v/>
      </c>
      <c r="O246" s="21" t="str">
        <f>IFERROR(__xludf.DUMMYFUNCTION("IFERROR((GOOGLEFINANCE(C246, ""price"") / INDEX(GOOGLEFINANCE(C246, ""price"", EDATE(TODAY(), -6), TODAY()), 2, 2)) - 1, """")"),"")</f>
        <v/>
      </c>
      <c r="P246" s="21" t="str">
        <f>IFERROR(__xludf.DUMMYFUNCTION("IFERROR((GOOGLEFINANCE(C246, ""price"") / INDEX(GOOGLEFINANCE(C246, ""price"", EDATE(TODAY(), -12), TODAY()), 2, 2)) - 1, """")"),"")</f>
        <v/>
      </c>
      <c r="Q246" s="6" t="str">
        <f>IFERROR(__xludf.DUMMYFUNCTION("AVERAGE(QUERY(GOOGLEFINANCE(C246, ""price"", TODAY()-80, TODAY()), ""SELECT Col2 WHERE Col2 IS NOT NULL ORDER BY Col1 DESC LIMIT 50"", 0))"),"#N/A")</f>
        <v>#N/A</v>
      </c>
      <c r="R246" s="24" t="str">
        <f>IFERROR(__xludf.DUMMYFUNCTION("IFERROR(
  LET(
    data, QUERY(GOOGLEFINANCE(C246,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GOOGLEFINANCE(C246, ""price"")) * 100,
    IF(calc=0, G246, calc)
  ), 
G246)"),"#N/A")</f>
        <v>#N/A</v>
      </c>
      <c r="S246" s="8" t="s">
        <v>15</v>
      </c>
      <c r="T246" s="26" t="str">
        <f>IFERROR(__xludf.DUMMYFUNCTION("IFERROR(TRANSPOSE(QUERY(IFERROR(SORT(GOOGLEFINANCE(C246, ""price"", WORKDAY(TODAY(), -40), TODAY()), 1, FALSE)), ""select Col2 where Col2 is not null limit 22 label Col2 ''"", 0)), """")"),"")</f>
        <v/>
      </c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8"/>
      <c r="AO246" s="28"/>
      <c r="AP246" s="29"/>
      <c r="AQ246" s="29" t="str">
        <f t="shared" ref="AQ246:BL246" si="249">T246/T$2</f>
        <v>#N/A</v>
      </c>
      <c r="AR246" s="29" t="str">
        <f t="shared" si="249"/>
        <v>#DIV/0!</v>
      </c>
      <c r="AS246" s="29" t="str">
        <f t="shared" si="249"/>
        <v>#DIV/0!</v>
      </c>
      <c r="AT246" s="29" t="str">
        <f t="shared" si="249"/>
        <v>#DIV/0!</v>
      </c>
      <c r="AU246" s="29" t="str">
        <f t="shared" si="249"/>
        <v>#DIV/0!</v>
      </c>
      <c r="AV246" s="29" t="str">
        <f t="shared" si="249"/>
        <v>#DIV/0!</v>
      </c>
      <c r="AW246" s="29" t="str">
        <f t="shared" si="249"/>
        <v>#DIV/0!</v>
      </c>
      <c r="AX246" s="29" t="str">
        <f t="shared" si="249"/>
        <v>#DIV/0!</v>
      </c>
      <c r="AY246" s="29" t="str">
        <f t="shared" si="249"/>
        <v>#DIV/0!</v>
      </c>
      <c r="AZ246" s="29" t="str">
        <f t="shared" si="249"/>
        <v>#DIV/0!</v>
      </c>
      <c r="BA246" s="29" t="str">
        <f t="shared" si="249"/>
        <v>#DIV/0!</v>
      </c>
      <c r="BB246" s="29" t="str">
        <f t="shared" si="249"/>
        <v>#DIV/0!</v>
      </c>
      <c r="BC246" s="29" t="str">
        <f t="shared" si="249"/>
        <v>#DIV/0!</v>
      </c>
      <c r="BD246" s="29" t="str">
        <f t="shared" si="249"/>
        <v>#DIV/0!</v>
      </c>
      <c r="BE246" s="29" t="str">
        <f t="shared" si="249"/>
        <v>#DIV/0!</v>
      </c>
      <c r="BF246" s="29" t="str">
        <f t="shared" si="249"/>
        <v>#DIV/0!</v>
      </c>
      <c r="BG246" s="29" t="str">
        <f t="shared" si="249"/>
        <v>#DIV/0!</v>
      </c>
      <c r="BH246" s="29" t="str">
        <f t="shared" si="249"/>
        <v>#DIV/0!</v>
      </c>
      <c r="BI246" s="29" t="str">
        <f t="shared" si="249"/>
        <v>#DIV/0!</v>
      </c>
      <c r="BJ246" s="29" t="str">
        <f t="shared" si="249"/>
        <v>#DIV/0!</v>
      </c>
      <c r="BK246" s="29" t="str">
        <f t="shared" si="249"/>
        <v>#DIV/0!</v>
      </c>
      <c r="BL246" s="29" t="str">
        <f t="shared" si="249"/>
        <v>#DIV/0!</v>
      </c>
      <c r="BM246" s="29" t="str">
        <f t="shared" si="3"/>
        <v>#DIV/0!</v>
      </c>
    </row>
    <row r="247">
      <c r="A247" s="16" t="str">
        <f>IFERROR(__xludf.DUMMYFUNCTION("IFERROR(SPARKLINE(SORT(MAP(TRANSPOSE(AQ247:BL247), LAMBDA(val, IF(ISNUMBER(val), PERCENTRANK(AQ247:BL247, val)+0.01, 0))), SEQUENCE(COLUMNS(AQ247:BL247)), FALSE), {""charttype"",""column""; ""color"",""chartreuse""; ""ymin"", 0; ""ymax"", 1.01; ""highcolo"&amp;"r"", ""darkgreen""; ""lowcolor"", ""red""}), """")"),"")</f>
        <v/>
      </c>
      <c r="B247" s="17" t="str">
        <f t="shared" si="4"/>
        <v/>
      </c>
      <c r="C247" s="1" t="s">
        <v>1165</v>
      </c>
      <c r="D247" s="34" t="str">
        <f>IFERROR(__xludf.DUMMYFUNCTION("IFERROR(GOOGLEFINANCE(C247, ""NAME""))"),"Dime Commercial Bancshares Inc")</f>
        <v>Dime Commercial Bancshares Inc</v>
      </c>
      <c r="E247" s="30" t="s">
        <v>268</v>
      </c>
      <c r="F247" s="33" t="str">
        <f>IFERROR(__xludf.DUMMYFUNCTION("( (GOOGLEFINANCE(C247, ""price"") - Q247) / Q247 ) / (R247 / 100)"),"Loading...")</f>
        <v>Loading...</v>
      </c>
      <c r="G247" s="20" t="str">
        <f>IFERROR(__xludf.DUMMYFUNCTION("AVERAGE(ARRAYFORMULA(100 * (QUERY(GOOGLEFINANCE(C247, ""high"", TODAY()-40, TODAY()), ""SELECT Col2 WHERE Col2 IS NOT NULL ORDER BY Col1 DESC LIMIT 20"", 0) / QUERY(GOOGLEFINANCE(C247, ""low"", TODAY()-40, TODAY()), ""SELECT Col2 WHERE Col2 IS NOT NULL OR"&amp;"DER BY Col1 DESC LIMIT 20"", 0) - 1)))"),"#N/A")</f>
        <v>#N/A</v>
      </c>
      <c r="H247" s="35" t="str">
        <f t="shared" si="6"/>
        <v/>
      </c>
      <c r="I247" s="36" t="str">
        <f t="shared" si="7"/>
        <v/>
      </c>
      <c r="J247" s="37" t="str">
        <f>IFERROR(__xludf.DUMMYFUNCTION("IFERROR(
  IF(C247="""",, 
    IFERROR(
      GOOGLEFINANCE(C247, ""price"") * GOOGLEFINANCE(C247, ""volumeavg""), 
      GOOGLEFINANCE(C247, ""price"") * AVERAGE(QUERY(GOOGLEFINANCE(C247, ""volume"", TODAY()-40, TODAY()), ""SELECT Col2 WHERE Col2 IS NOT "&amp;"NULL ORDER BY Col1 DESC LIMIT 20"", 0))
    )
  ), 
"""")"),"")</f>
        <v/>
      </c>
      <c r="K247" s="21" t="str">
        <f>IFERROR(__xludf.DUMMYFUNCTION("IFERROR(GOOGLEFINANCE(C247, ""changepct"") / 100, """")"),"")</f>
        <v/>
      </c>
      <c r="L247" s="21" t="str">
        <f>IFERROR(__xludf.DUMMYFUNCTION("IFERROR((GOOGLEFINANCE(C247, ""price"") / INDEX(GOOGLEFINANCE(C247, ""price"", TODAY()-7, TODAY()), 2, 2)) - 1, """")"),"")</f>
        <v/>
      </c>
      <c r="M247" s="21" t="str">
        <f>IFERROR(__xludf.DUMMYFUNCTION("IFERROR((GOOGLEFINANCE(C247, ""price"") / INDEX(GOOGLEFINANCE(C247, ""price"", EDATE(TODAY(), -1), TODAY()), 2, 2)) - 1, """")"),"")</f>
        <v/>
      </c>
      <c r="N247" s="21" t="str">
        <f>IFERROR(__xludf.DUMMYFUNCTION("IFERROR((GOOGLEFINANCE(C247, ""price"") / INDEX(GOOGLEFINANCE(C247, ""price"", EDATE(TODAY(), -3), TODAY()), 2, 2)) - 1, """")"),"")</f>
        <v/>
      </c>
      <c r="O247" s="21" t="str">
        <f>IFERROR(__xludf.DUMMYFUNCTION("IFERROR((GOOGLEFINANCE(C247, ""price"") / INDEX(GOOGLEFINANCE(C247, ""price"", EDATE(TODAY(), -6), TODAY()), 2, 2)) - 1, """")"),"")</f>
        <v/>
      </c>
      <c r="P247" s="21" t="str">
        <f>IFERROR(__xludf.DUMMYFUNCTION("IFERROR((GOOGLEFINANCE(C247, ""price"") / INDEX(GOOGLEFINANCE(C247, ""price"", EDATE(TODAY(), -12), TODAY()), 2, 2)) - 1, """")"),"")</f>
        <v/>
      </c>
      <c r="Q247" s="6" t="str">
        <f>IFERROR(__xludf.DUMMYFUNCTION("AVERAGE(QUERY(GOOGLEFINANCE(C247, ""price"", TODAY()-80, TODAY()), ""SELECT Col2 WHERE Col2 IS NOT NULL ORDER BY Col1 DESC LIMIT 50"", 0))"),"#N/A")</f>
        <v>#N/A</v>
      </c>
      <c r="R247" s="24" t="str">
        <f>IFERROR(__xludf.DUMMYFUNCTION("IFERROR(
  LET(
    data, QUERY(GOOGLEFINANCE(C247,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GOOGLEFINANCE(C247, ""price"")) * 100,
    IF(calc=0, G247, calc)
  ), 
G247)"),"#N/A")</f>
        <v>#N/A</v>
      </c>
      <c r="S247" s="8" t="s">
        <v>15</v>
      </c>
      <c r="T247" s="26" t="str">
        <f>IFERROR(__xludf.DUMMYFUNCTION("IFERROR(TRANSPOSE(QUERY(IFERROR(SORT(GOOGLEFINANCE(C247, ""price"", WORKDAY(TODAY(), -40), TODAY()), 1, FALSE)), ""select Col2 where Col2 is not null limit 22 label Col2 ''"", 0)), """")"),"")</f>
        <v/>
      </c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8"/>
      <c r="AO247" s="28"/>
      <c r="AP247" s="29"/>
      <c r="AQ247" s="29" t="str">
        <f t="shared" ref="AQ247:BL247" si="250">T247/T$2</f>
        <v>#N/A</v>
      </c>
      <c r="AR247" s="29" t="str">
        <f t="shared" si="250"/>
        <v>#DIV/0!</v>
      </c>
      <c r="AS247" s="29" t="str">
        <f t="shared" si="250"/>
        <v>#DIV/0!</v>
      </c>
      <c r="AT247" s="29" t="str">
        <f t="shared" si="250"/>
        <v>#DIV/0!</v>
      </c>
      <c r="AU247" s="29" t="str">
        <f t="shared" si="250"/>
        <v>#DIV/0!</v>
      </c>
      <c r="AV247" s="29" t="str">
        <f t="shared" si="250"/>
        <v>#DIV/0!</v>
      </c>
      <c r="AW247" s="29" t="str">
        <f t="shared" si="250"/>
        <v>#DIV/0!</v>
      </c>
      <c r="AX247" s="29" t="str">
        <f t="shared" si="250"/>
        <v>#DIV/0!</v>
      </c>
      <c r="AY247" s="29" t="str">
        <f t="shared" si="250"/>
        <v>#DIV/0!</v>
      </c>
      <c r="AZ247" s="29" t="str">
        <f t="shared" si="250"/>
        <v>#DIV/0!</v>
      </c>
      <c r="BA247" s="29" t="str">
        <f t="shared" si="250"/>
        <v>#DIV/0!</v>
      </c>
      <c r="BB247" s="29" t="str">
        <f t="shared" si="250"/>
        <v>#DIV/0!</v>
      </c>
      <c r="BC247" s="29" t="str">
        <f t="shared" si="250"/>
        <v>#DIV/0!</v>
      </c>
      <c r="BD247" s="29" t="str">
        <f t="shared" si="250"/>
        <v>#DIV/0!</v>
      </c>
      <c r="BE247" s="29" t="str">
        <f t="shared" si="250"/>
        <v>#DIV/0!</v>
      </c>
      <c r="BF247" s="29" t="str">
        <f t="shared" si="250"/>
        <v>#DIV/0!</v>
      </c>
      <c r="BG247" s="29" t="str">
        <f t="shared" si="250"/>
        <v>#DIV/0!</v>
      </c>
      <c r="BH247" s="29" t="str">
        <f t="shared" si="250"/>
        <v>#DIV/0!</v>
      </c>
      <c r="BI247" s="29" t="str">
        <f t="shared" si="250"/>
        <v>#DIV/0!</v>
      </c>
      <c r="BJ247" s="29" t="str">
        <f t="shared" si="250"/>
        <v>#DIV/0!</v>
      </c>
      <c r="BK247" s="29" t="str">
        <f t="shared" si="250"/>
        <v>#DIV/0!</v>
      </c>
      <c r="BL247" s="29" t="str">
        <f t="shared" si="250"/>
        <v>#DIV/0!</v>
      </c>
      <c r="BM247" s="29" t="str">
        <f t="shared" si="3"/>
        <v>#DIV/0!</v>
      </c>
    </row>
    <row r="248">
      <c r="A248" s="16" t="str">
        <f>IFERROR(__xludf.DUMMYFUNCTION("IFERROR(SPARKLINE(SORT(MAP(TRANSPOSE(AQ248:BL248), LAMBDA(val, IF(ISNUMBER(val), PERCENTRANK(AQ248:BL248, val)+0.01, 0))), SEQUENCE(COLUMNS(AQ248:BL248)), FALSE), {""charttype"",""column""; ""color"",""chartreuse""; ""ymin"", 0; ""ymax"", 1.01; ""highcolo"&amp;"r"", ""darkgreen""; ""lowcolor"", ""red""}), """")"),"")</f>
        <v/>
      </c>
      <c r="B248" s="17" t="str">
        <f t="shared" si="4"/>
        <v/>
      </c>
      <c r="C248" s="1" t="s">
        <v>1170</v>
      </c>
      <c r="D248" s="34" t="str">
        <f>IFERROR(__xludf.DUMMYFUNCTION("IFERROR(GOOGLEFINANCE(C248, ""NAME""))"),"Lufax Holding Ltd - ADR")</f>
        <v>Lufax Holding Ltd - ADR</v>
      </c>
      <c r="E248" s="30" t="s">
        <v>145</v>
      </c>
      <c r="F248" s="33" t="str">
        <f>IFERROR(__xludf.DUMMYFUNCTION("( (GOOGLEFINANCE(C248, ""price"") - Q248) / Q248 ) / (R248 / 100)"),"Loading...")</f>
        <v>Loading...</v>
      </c>
      <c r="G248" s="20" t="str">
        <f>IFERROR(__xludf.DUMMYFUNCTION("AVERAGE(ARRAYFORMULA(100 * (QUERY(GOOGLEFINANCE(C248, ""high"", TODAY()-40, TODAY()), ""SELECT Col2 WHERE Col2 IS NOT NULL ORDER BY Col1 DESC LIMIT 20"", 0) / QUERY(GOOGLEFINANCE(C248, ""low"", TODAY()-40, TODAY()), ""SELECT Col2 WHERE Col2 IS NOT NULL OR"&amp;"DER BY Col1 DESC LIMIT 20"", 0) - 1)))"),"#N/A")</f>
        <v>#N/A</v>
      </c>
      <c r="H248" s="35" t="str">
        <f t="shared" si="6"/>
        <v/>
      </c>
      <c r="I248" s="36" t="str">
        <f t="shared" si="7"/>
        <v/>
      </c>
      <c r="J248" s="37" t="str">
        <f>IFERROR(__xludf.DUMMYFUNCTION("IFERROR(
  IF(C248="""",, 
    IFERROR(
      GOOGLEFINANCE(C248, ""price"") * GOOGLEFINANCE(C248, ""volumeavg""), 
      GOOGLEFINANCE(C248, ""price"") * AVERAGE(QUERY(GOOGLEFINANCE(C248, ""volume"", TODAY()-40, TODAY()), ""SELECT Col2 WHERE Col2 IS NOT "&amp;"NULL ORDER BY Col1 DESC LIMIT 20"", 0))
    )
  ), 
"""")"),"")</f>
        <v/>
      </c>
      <c r="K248" s="21" t="str">
        <f>IFERROR(__xludf.DUMMYFUNCTION("IFERROR(GOOGLEFINANCE(C248, ""changepct"") / 100, """")"),"")</f>
        <v/>
      </c>
      <c r="L248" s="21" t="str">
        <f>IFERROR(__xludf.DUMMYFUNCTION("IFERROR((GOOGLEFINANCE(C248, ""price"") / INDEX(GOOGLEFINANCE(C248, ""price"", TODAY()-7, TODAY()), 2, 2)) - 1, """")"),"")</f>
        <v/>
      </c>
      <c r="M248" s="21" t="str">
        <f>IFERROR(__xludf.DUMMYFUNCTION("IFERROR((GOOGLEFINANCE(C248, ""price"") / INDEX(GOOGLEFINANCE(C248, ""price"", EDATE(TODAY(), -1), TODAY()), 2, 2)) - 1, """")"),"")</f>
        <v/>
      </c>
      <c r="N248" s="21" t="str">
        <f>IFERROR(__xludf.DUMMYFUNCTION("IFERROR((GOOGLEFINANCE(C248, ""price"") / INDEX(GOOGLEFINANCE(C248, ""price"", EDATE(TODAY(), -3), TODAY()), 2, 2)) - 1, """")"),"")</f>
        <v/>
      </c>
      <c r="O248" s="21" t="str">
        <f>IFERROR(__xludf.DUMMYFUNCTION("IFERROR((GOOGLEFINANCE(C248, ""price"") / INDEX(GOOGLEFINANCE(C248, ""price"", EDATE(TODAY(), -6), TODAY()), 2, 2)) - 1, """")"),"")</f>
        <v/>
      </c>
      <c r="P248" s="21" t="str">
        <f>IFERROR(__xludf.DUMMYFUNCTION("IFERROR((GOOGLEFINANCE(C248, ""price"") / INDEX(GOOGLEFINANCE(C248, ""price"", EDATE(TODAY(), -12), TODAY()), 2, 2)) - 1, """")"),"")</f>
        <v/>
      </c>
      <c r="Q248" s="6" t="str">
        <f>IFERROR(__xludf.DUMMYFUNCTION("AVERAGE(QUERY(GOOGLEFINANCE(C248, ""price"", TODAY()-80, TODAY()), ""SELECT Col2 WHERE Col2 IS NOT NULL ORDER BY Col1 DESC LIMIT 50"", 0))"),"#N/A")</f>
        <v>#N/A</v>
      </c>
      <c r="R248" s="24" t="str">
        <f>IFERROR(__xludf.DUMMYFUNCTION("IFERROR(
  LET(
    data, QUERY(GOOGLEFINANCE(C248,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GOOGLEFINANCE(C248, ""price"")) * 100,
    IF(calc=0, G248, calc)
  ), 
G248)"),"#N/A")</f>
        <v>#N/A</v>
      </c>
      <c r="S248" s="8" t="s">
        <v>15</v>
      </c>
      <c r="T248" s="26" t="str">
        <f>IFERROR(__xludf.DUMMYFUNCTION("IFERROR(TRANSPOSE(QUERY(IFERROR(SORT(GOOGLEFINANCE(C248, ""price"", WORKDAY(TODAY(), -40), TODAY()), 1, FALSE)), ""select Col2 where Col2 is not null limit 22 label Col2 ''"", 0)), """")"),"")</f>
        <v/>
      </c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8"/>
      <c r="AO248" s="28"/>
      <c r="AP248" s="29"/>
      <c r="AQ248" s="29" t="str">
        <f t="shared" ref="AQ248:BL248" si="251">T248/T$2</f>
        <v>#N/A</v>
      </c>
      <c r="AR248" s="29" t="str">
        <f t="shared" si="251"/>
        <v>#DIV/0!</v>
      </c>
      <c r="AS248" s="29" t="str">
        <f t="shared" si="251"/>
        <v>#DIV/0!</v>
      </c>
      <c r="AT248" s="29" t="str">
        <f t="shared" si="251"/>
        <v>#DIV/0!</v>
      </c>
      <c r="AU248" s="29" t="str">
        <f t="shared" si="251"/>
        <v>#DIV/0!</v>
      </c>
      <c r="AV248" s="29" t="str">
        <f t="shared" si="251"/>
        <v>#DIV/0!</v>
      </c>
      <c r="AW248" s="29" t="str">
        <f t="shared" si="251"/>
        <v>#DIV/0!</v>
      </c>
      <c r="AX248" s="29" t="str">
        <f t="shared" si="251"/>
        <v>#DIV/0!</v>
      </c>
      <c r="AY248" s="29" t="str">
        <f t="shared" si="251"/>
        <v>#DIV/0!</v>
      </c>
      <c r="AZ248" s="29" t="str">
        <f t="shared" si="251"/>
        <v>#DIV/0!</v>
      </c>
      <c r="BA248" s="29" t="str">
        <f t="shared" si="251"/>
        <v>#DIV/0!</v>
      </c>
      <c r="BB248" s="29" t="str">
        <f t="shared" si="251"/>
        <v>#DIV/0!</v>
      </c>
      <c r="BC248" s="29" t="str">
        <f t="shared" si="251"/>
        <v>#DIV/0!</v>
      </c>
      <c r="BD248" s="29" t="str">
        <f t="shared" si="251"/>
        <v>#DIV/0!</v>
      </c>
      <c r="BE248" s="29" t="str">
        <f t="shared" si="251"/>
        <v>#DIV/0!</v>
      </c>
      <c r="BF248" s="29" t="str">
        <f t="shared" si="251"/>
        <v>#DIV/0!</v>
      </c>
      <c r="BG248" s="29" t="str">
        <f t="shared" si="251"/>
        <v>#DIV/0!</v>
      </c>
      <c r="BH248" s="29" t="str">
        <f t="shared" si="251"/>
        <v>#DIV/0!</v>
      </c>
      <c r="BI248" s="29" t="str">
        <f t="shared" si="251"/>
        <v>#DIV/0!</v>
      </c>
      <c r="BJ248" s="29" t="str">
        <f t="shared" si="251"/>
        <v>#DIV/0!</v>
      </c>
      <c r="BK248" s="29" t="str">
        <f t="shared" si="251"/>
        <v>#DIV/0!</v>
      </c>
      <c r="BL248" s="29" t="str">
        <f t="shared" si="251"/>
        <v>#DIV/0!</v>
      </c>
      <c r="BM248" s="29" t="str">
        <f t="shared" si="3"/>
        <v>#DIV/0!</v>
      </c>
    </row>
    <row r="249">
      <c r="A249" s="16" t="str">
        <f>IFERROR(__xludf.DUMMYFUNCTION("IFERROR(SPARKLINE(SORT(MAP(TRANSPOSE(AQ249:BL249), LAMBDA(val, IF(ISNUMBER(val), PERCENTRANK(AQ249:BL249, val)+0.01, 0))), SEQUENCE(COLUMNS(AQ249:BL249)), FALSE), {""charttype"",""column""; ""color"",""chartreuse""; ""ymin"", 0; ""ymax"", 1.01; ""highcolo"&amp;"r"", ""darkgreen""; ""lowcolor"", ""red""}), """")"),"")</f>
        <v/>
      </c>
      <c r="B249" s="17" t="str">
        <f t="shared" si="4"/>
        <v/>
      </c>
      <c r="C249" s="1" t="s">
        <v>1175</v>
      </c>
      <c r="D249" s="34" t="str">
        <f>IFERROR(__xludf.DUMMYFUNCTION("IFERROR(GOOGLEFINANCE(C249, ""NAME""))"),"ConnectOne Bancorp Inc")</f>
        <v>ConnectOne Bancorp Inc</v>
      </c>
      <c r="E249" s="30" t="s">
        <v>268</v>
      </c>
      <c r="F249" s="33" t="str">
        <f>IFERROR(__xludf.DUMMYFUNCTION("( (GOOGLEFINANCE(C249, ""price"") - Q249) / Q249 ) / (R249 / 100)"),"Loading...")</f>
        <v>Loading...</v>
      </c>
      <c r="G249" s="20" t="str">
        <f>IFERROR(__xludf.DUMMYFUNCTION("AVERAGE(ARRAYFORMULA(100 * (QUERY(GOOGLEFINANCE(C249, ""high"", TODAY()-40, TODAY()), ""SELECT Col2 WHERE Col2 IS NOT NULL ORDER BY Col1 DESC LIMIT 20"", 0) / QUERY(GOOGLEFINANCE(C249, ""low"", TODAY()-40, TODAY()), ""SELECT Col2 WHERE Col2 IS NOT NULL OR"&amp;"DER BY Col1 DESC LIMIT 20"", 0) - 1)))"),"#N/A")</f>
        <v>#N/A</v>
      </c>
      <c r="H249" s="35" t="str">
        <f t="shared" si="6"/>
        <v/>
      </c>
      <c r="I249" s="36" t="str">
        <f t="shared" si="7"/>
        <v/>
      </c>
      <c r="J249" s="37" t="str">
        <f>IFERROR(__xludf.DUMMYFUNCTION("IFERROR(
  IF(C249="""",, 
    IFERROR(
      GOOGLEFINANCE(C249, ""price"") * GOOGLEFINANCE(C249, ""volumeavg""), 
      GOOGLEFINANCE(C249, ""price"") * AVERAGE(QUERY(GOOGLEFINANCE(C249, ""volume"", TODAY()-40, TODAY()), ""SELECT Col2 WHERE Col2 IS NOT "&amp;"NULL ORDER BY Col1 DESC LIMIT 20"", 0))
    )
  ), 
"""")"),"")</f>
        <v/>
      </c>
      <c r="K249" s="21" t="str">
        <f>IFERROR(__xludf.DUMMYFUNCTION("IFERROR(GOOGLEFINANCE(C249, ""changepct"") / 100, """")"),"")</f>
        <v/>
      </c>
      <c r="L249" s="21" t="str">
        <f>IFERROR(__xludf.DUMMYFUNCTION("IFERROR((GOOGLEFINANCE(C249, ""price"") / INDEX(GOOGLEFINANCE(C249, ""price"", TODAY()-7, TODAY()), 2, 2)) - 1, """")"),"")</f>
        <v/>
      </c>
      <c r="M249" s="21" t="str">
        <f>IFERROR(__xludf.DUMMYFUNCTION("IFERROR((GOOGLEFINANCE(C249, ""price"") / INDEX(GOOGLEFINANCE(C249, ""price"", EDATE(TODAY(), -1), TODAY()), 2, 2)) - 1, """")"),"")</f>
        <v/>
      </c>
      <c r="N249" s="21" t="str">
        <f>IFERROR(__xludf.DUMMYFUNCTION("IFERROR((GOOGLEFINANCE(C249, ""price"") / INDEX(GOOGLEFINANCE(C249, ""price"", EDATE(TODAY(), -3), TODAY()), 2, 2)) - 1, """")"),"")</f>
        <v/>
      </c>
      <c r="O249" s="21" t="str">
        <f>IFERROR(__xludf.DUMMYFUNCTION("IFERROR((GOOGLEFINANCE(C249, ""price"") / INDEX(GOOGLEFINANCE(C249, ""price"", EDATE(TODAY(), -6), TODAY()), 2, 2)) - 1, """")"),"")</f>
        <v/>
      </c>
      <c r="P249" s="21" t="str">
        <f>IFERROR(__xludf.DUMMYFUNCTION("IFERROR((GOOGLEFINANCE(C249, ""price"") / INDEX(GOOGLEFINANCE(C249, ""price"", EDATE(TODAY(), -12), TODAY()), 2, 2)) - 1, """")"),"")</f>
        <v/>
      </c>
      <c r="Q249" s="6" t="str">
        <f>IFERROR(__xludf.DUMMYFUNCTION("AVERAGE(QUERY(GOOGLEFINANCE(C249, ""price"", TODAY()-80, TODAY()), ""SELECT Col2 WHERE Col2 IS NOT NULL ORDER BY Col1 DESC LIMIT 50"", 0))"),"#N/A")</f>
        <v>#N/A</v>
      </c>
      <c r="R249" s="24" t="str">
        <f>IFERROR(__xludf.DUMMYFUNCTION("IFERROR(
  LET(
    data, QUERY(GOOGLEFINANCE(C249,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GOOGLEFINANCE(C249, ""price"")) * 100,
    IF(calc=0, G249, calc)
  ), 
G249)"),"#N/A")</f>
        <v>#N/A</v>
      </c>
      <c r="S249" s="8" t="s">
        <v>15</v>
      </c>
      <c r="T249" s="26" t="str">
        <f>IFERROR(__xludf.DUMMYFUNCTION("IFERROR(TRANSPOSE(QUERY(IFERROR(SORT(GOOGLEFINANCE(C249, ""price"", WORKDAY(TODAY(), -40), TODAY()), 1, FALSE)), ""select Col2 where Col2 is not null limit 22 label Col2 ''"", 0)), """")"),"")</f>
        <v/>
      </c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8"/>
      <c r="AO249" s="28"/>
      <c r="AP249" s="29"/>
      <c r="AQ249" s="29" t="str">
        <f t="shared" ref="AQ249:BL249" si="252">T249/T$2</f>
        <v>#N/A</v>
      </c>
      <c r="AR249" s="29" t="str">
        <f t="shared" si="252"/>
        <v>#DIV/0!</v>
      </c>
      <c r="AS249" s="29" t="str">
        <f t="shared" si="252"/>
        <v>#DIV/0!</v>
      </c>
      <c r="AT249" s="29" t="str">
        <f t="shared" si="252"/>
        <v>#DIV/0!</v>
      </c>
      <c r="AU249" s="29" t="str">
        <f t="shared" si="252"/>
        <v>#DIV/0!</v>
      </c>
      <c r="AV249" s="29" t="str">
        <f t="shared" si="252"/>
        <v>#DIV/0!</v>
      </c>
      <c r="AW249" s="29" t="str">
        <f t="shared" si="252"/>
        <v>#DIV/0!</v>
      </c>
      <c r="AX249" s="29" t="str">
        <f t="shared" si="252"/>
        <v>#DIV/0!</v>
      </c>
      <c r="AY249" s="29" t="str">
        <f t="shared" si="252"/>
        <v>#DIV/0!</v>
      </c>
      <c r="AZ249" s="29" t="str">
        <f t="shared" si="252"/>
        <v>#DIV/0!</v>
      </c>
      <c r="BA249" s="29" t="str">
        <f t="shared" si="252"/>
        <v>#DIV/0!</v>
      </c>
      <c r="BB249" s="29" t="str">
        <f t="shared" si="252"/>
        <v>#DIV/0!</v>
      </c>
      <c r="BC249" s="29" t="str">
        <f t="shared" si="252"/>
        <v>#DIV/0!</v>
      </c>
      <c r="BD249" s="29" t="str">
        <f t="shared" si="252"/>
        <v>#DIV/0!</v>
      </c>
      <c r="BE249" s="29" t="str">
        <f t="shared" si="252"/>
        <v>#DIV/0!</v>
      </c>
      <c r="BF249" s="29" t="str">
        <f t="shared" si="252"/>
        <v>#DIV/0!</v>
      </c>
      <c r="BG249" s="29" t="str">
        <f t="shared" si="252"/>
        <v>#DIV/0!</v>
      </c>
      <c r="BH249" s="29" t="str">
        <f t="shared" si="252"/>
        <v>#DIV/0!</v>
      </c>
      <c r="BI249" s="29" t="str">
        <f t="shared" si="252"/>
        <v>#DIV/0!</v>
      </c>
      <c r="BJ249" s="29" t="str">
        <f t="shared" si="252"/>
        <v>#DIV/0!</v>
      </c>
      <c r="BK249" s="29" t="str">
        <f t="shared" si="252"/>
        <v>#DIV/0!</v>
      </c>
      <c r="BL249" s="29" t="str">
        <f t="shared" si="252"/>
        <v>#DIV/0!</v>
      </c>
      <c r="BM249" s="29" t="str">
        <f t="shared" si="3"/>
        <v>#DIV/0!</v>
      </c>
    </row>
    <row r="250">
      <c r="A250" s="16" t="str">
        <f>IFERROR(__xludf.DUMMYFUNCTION("IFERROR(SPARKLINE(SORT(MAP(TRANSPOSE(AQ250:BL250), LAMBDA(val, IF(ISNUMBER(val), PERCENTRANK(AQ250:BL250, val)+0.01, 0))), SEQUENCE(COLUMNS(AQ250:BL250)), FALSE), {""charttype"",""column""; ""color"",""chartreuse""; ""ymin"", 0; ""ymax"", 1.01; ""highcolo"&amp;"r"", ""darkgreen""; ""lowcolor"", ""red""}), """")"),"")</f>
        <v/>
      </c>
      <c r="B250" s="17" t="str">
        <f t="shared" si="4"/>
        <v/>
      </c>
      <c r="C250" s="1" t="s">
        <v>1177</v>
      </c>
      <c r="D250" s="34" t="str">
        <f>IFERROR(__xludf.DUMMYFUNCTION("IFERROR(GOOGLEFINANCE(C250, ""NAME""))"),"Old National Bancorp")</f>
        <v>Old National Bancorp</v>
      </c>
      <c r="E250" s="30" t="s">
        <v>268</v>
      </c>
      <c r="F250" s="33" t="str">
        <f>IFERROR(__xludf.DUMMYFUNCTION("( (GOOGLEFINANCE(C250, ""price"") - Q250) / Q250 ) / (R250 / 100)"),"Loading...")</f>
        <v>Loading...</v>
      </c>
      <c r="G250" s="20" t="str">
        <f>IFERROR(__xludf.DUMMYFUNCTION("AVERAGE(ARRAYFORMULA(100 * (QUERY(GOOGLEFINANCE(C250, ""high"", TODAY()-40, TODAY()), ""SELECT Col2 WHERE Col2 IS NOT NULL ORDER BY Col1 DESC LIMIT 20"", 0) / QUERY(GOOGLEFINANCE(C250, ""low"", TODAY()-40, TODAY()), ""SELECT Col2 WHERE Col2 IS NOT NULL OR"&amp;"DER BY Col1 DESC LIMIT 20"", 0) - 1)))"),"#N/A")</f>
        <v>#N/A</v>
      </c>
      <c r="H250" s="35" t="str">
        <f t="shared" si="6"/>
        <v/>
      </c>
      <c r="I250" s="36" t="str">
        <f t="shared" si="7"/>
        <v/>
      </c>
      <c r="J250" s="37" t="str">
        <f>IFERROR(__xludf.DUMMYFUNCTION("IFERROR(
  IF(C250="""",, 
    IFERROR(
      GOOGLEFINANCE(C250, ""price"") * GOOGLEFINANCE(C250, ""volumeavg""), 
      GOOGLEFINANCE(C250, ""price"") * AVERAGE(QUERY(GOOGLEFINANCE(C250, ""volume"", TODAY()-40, TODAY()), ""SELECT Col2 WHERE Col2 IS NOT "&amp;"NULL ORDER BY Col1 DESC LIMIT 20"", 0))
    )
  ), 
"""")"),"")</f>
        <v/>
      </c>
      <c r="K250" s="21" t="str">
        <f>IFERROR(__xludf.DUMMYFUNCTION("IFERROR(GOOGLEFINANCE(C250, ""changepct"") / 100, """")"),"")</f>
        <v/>
      </c>
      <c r="L250" s="21" t="str">
        <f>IFERROR(__xludf.DUMMYFUNCTION("IFERROR((GOOGLEFINANCE(C250, ""price"") / INDEX(GOOGLEFINANCE(C250, ""price"", TODAY()-7, TODAY()), 2, 2)) - 1, """")"),"")</f>
        <v/>
      </c>
      <c r="M250" s="21" t="str">
        <f>IFERROR(__xludf.DUMMYFUNCTION("IFERROR((GOOGLEFINANCE(C250, ""price"") / INDEX(GOOGLEFINANCE(C250, ""price"", EDATE(TODAY(), -1), TODAY()), 2, 2)) - 1, """")"),"")</f>
        <v/>
      </c>
      <c r="N250" s="21" t="str">
        <f>IFERROR(__xludf.DUMMYFUNCTION("IFERROR((GOOGLEFINANCE(C250, ""price"") / INDEX(GOOGLEFINANCE(C250, ""price"", EDATE(TODAY(), -3), TODAY()), 2, 2)) - 1, """")"),"")</f>
        <v/>
      </c>
      <c r="O250" s="21" t="str">
        <f>IFERROR(__xludf.DUMMYFUNCTION("IFERROR((GOOGLEFINANCE(C250, ""price"") / INDEX(GOOGLEFINANCE(C250, ""price"", EDATE(TODAY(), -6), TODAY()), 2, 2)) - 1, """")"),"")</f>
        <v/>
      </c>
      <c r="P250" s="21" t="str">
        <f>IFERROR(__xludf.DUMMYFUNCTION("IFERROR((GOOGLEFINANCE(C250, ""price"") / INDEX(GOOGLEFINANCE(C250, ""price"", EDATE(TODAY(), -12), TODAY()), 2, 2)) - 1, """")"),"")</f>
        <v/>
      </c>
      <c r="Q250" s="6" t="str">
        <f>IFERROR(__xludf.DUMMYFUNCTION("AVERAGE(QUERY(GOOGLEFINANCE(C250, ""price"", TODAY()-80, TODAY()), ""SELECT Col2 WHERE Col2 IS NOT NULL ORDER BY Col1 DESC LIMIT 50"", 0))"),"#N/A")</f>
        <v>#N/A</v>
      </c>
      <c r="R250" s="24" t="str">
        <f>IFERROR(__xludf.DUMMYFUNCTION("IFERROR(
  LET(
    data, QUERY(GOOGLEFINANCE(C250,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GOOGLEFINANCE(C250, ""price"")) * 100,
    IF(calc=0, G250, calc)
  ), 
G250)"),"#N/A")</f>
        <v>#N/A</v>
      </c>
      <c r="S250" s="8" t="s">
        <v>15</v>
      </c>
      <c r="T250" s="26" t="str">
        <f>IFERROR(__xludf.DUMMYFUNCTION("IFERROR(TRANSPOSE(QUERY(IFERROR(SORT(GOOGLEFINANCE(C250, ""price"", WORKDAY(TODAY(), -40), TODAY()), 1, FALSE)), ""select Col2 where Col2 is not null limit 22 label Col2 ''"", 0)), """")"),"")</f>
        <v/>
      </c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8"/>
      <c r="AO250" s="28"/>
      <c r="AP250" s="29"/>
      <c r="AQ250" s="29" t="str">
        <f t="shared" ref="AQ250:BL250" si="253">T250/T$2</f>
        <v>#N/A</v>
      </c>
      <c r="AR250" s="29" t="str">
        <f t="shared" si="253"/>
        <v>#DIV/0!</v>
      </c>
      <c r="AS250" s="29" t="str">
        <f t="shared" si="253"/>
        <v>#DIV/0!</v>
      </c>
      <c r="AT250" s="29" t="str">
        <f t="shared" si="253"/>
        <v>#DIV/0!</v>
      </c>
      <c r="AU250" s="29" t="str">
        <f t="shared" si="253"/>
        <v>#DIV/0!</v>
      </c>
      <c r="AV250" s="29" t="str">
        <f t="shared" si="253"/>
        <v>#DIV/0!</v>
      </c>
      <c r="AW250" s="29" t="str">
        <f t="shared" si="253"/>
        <v>#DIV/0!</v>
      </c>
      <c r="AX250" s="29" t="str">
        <f t="shared" si="253"/>
        <v>#DIV/0!</v>
      </c>
      <c r="AY250" s="29" t="str">
        <f t="shared" si="253"/>
        <v>#DIV/0!</v>
      </c>
      <c r="AZ250" s="29" t="str">
        <f t="shared" si="253"/>
        <v>#DIV/0!</v>
      </c>
      <c r="BA250" s="29" t="str">
        <f t="shared" si="253"/>
        <v>#DIV/0!</v>
      </c>
      <c r="BB250" s="29" t="str">
        <f t="shared" si="253"/>
        <v>#DIV/0!</v>
      </c>
      <c r="BC250" s="29" t="str">
        <f t="shared" si="253"/>
        <v>#DIV/0!</v>
      </c>
      <c r="BD250" s="29" t="str">
        <f t="shared" si="253"/>
        <v>#DIV/0!</v>
      </c>
      <c r="BE250" s="29" t="str">
        <f t="shared" si="253"/>
        <v>#DIV/0!</v>
      </c>
      <c r="BF250" s="29" t="str">
        <f t="shared" si="253"/>
        <v>#DIV/0!</v>
      </c>
      <c r="BG250" s="29" t="str">
        <f t="shared" si="253"/>
        <v>#DIV/0!</v>
      </c>
      <c r="BH250" s="29" t="str">
        <f t="shared" si="253"/>
        <v>#DIV/0!</v>
      </c>
      <c r="BI250" s="29" t="str">
        <f t="shared" si="253"/>
        <v>#DIV/0!</v>
      </c>
      <c r="BJ250" s="29" t="str">
        <f t="shared" si="253"/>
        <v>#DIV/0!</v>
      </c>
      <c r="BK250" s="29" t="str">
        <f t="shared" si="253"/>
        <v>#DIV/0!</v>
      </c>
      <c r="BL250" s="29" t="str">
        <f t="shared" si="253"/>
        <v>#DIV/0!</v>
      </c>
      <c r="BM250" s="29" t="str">
        <f t="shared" si="3"/>
        <v>#DIV/0!</v>
      </c>
    </row>
    <row r="251">
      <c r="A251" s="16" t="str">
        <f>IFERROR(__xludf.DUMMYFUNCTION("IFERROR(SPARKLINE(SORT(MAP(TRANSPOSE(AQ251:BL251), LAMBDA(val, IF(ISNUMBER(val), PERCENTRANK(AQ251:BL251, val)+0.01, 0))), SEQUENCE(COLUMNS(AQ251:BL251)), FALSE), {""charttype"",""column""; ""color"",""chartreuse""; ""ymin"", 0; ""ymax"", 1.01; ""highcolo"&amp;"r"", ""darkgreen""; ""lowcolor"", ""red""}), """")"),"")</f>
        <v/>
      </c>
      <c r="B251" s="17" t="str">
        <f t="shared" si="4"/>
        <v/>
      </c>
      <c r="C251" s="1" t="s">
        <v>1181</v>
      </c>
      <c r="D251" s="34" t="str">
        <f>IFERROR(__xludf.DUMMYFUNCTION("IFERROR(GOOGLEFINANCE(C251, ""NAME""))"),"Finance of America Companies Inc")</f>
        <v>Finance of America Companies Inc</v>
      </c>
      <c r="E251" s="30" t="s">
        <v>145</v>
      </c>
      <c r="F251" s="33" t="str">
        <f>IFERROR(__xludf.DUMMYFUNCTION("( (GOOGLEFINANCE(C251, ""price"") - Q251) / Q251 ) / (R251 / 100)"),"Loading...")</f>
        <v>Loading...</v>
      </c>
      <c r="G251" s="20" t="str">
        <f>IFERROR(__xludf.DUMMYFUNCTION("AVERAGE(ARRAYFORMULA(100 * (QUERY(GOOGLEFINANCE(C251, ""high"", TODAY()-40, TODAY()), ""SELECT Col2 WHERE Col2 IS NOT NULL ORDER BY Col1 DESC LIMIT 20"", 0) / QUERY(GOOGLEFINANCE(C251, ""low"", TODAY()-40, TODAY()), ""SELECT Col2 WHERE Col2 IS NOT NULL OR"&amp;"DER BY Col1 DESC LIMIT 20"", 0) - 1)))"),"#N/A")</f>
        <v>#N/A</v>
      </c>
      <c r="H251" s="35" t="str">
        <f t="shared" si="6"/>
        <v/>
      </c>
      <c r="I251" s="36" t="str">
        <f t="shared" si="7"/>
        <v/>
      </c>
      <c r="J251" s="37" t="str">
        <f>IFERROR(__xludf.DUMMYFUNCTION("IFERROR(
  IF(C251="""",, 
    IFERROR(
      GOOGLEFINANCE(C251, ""price"") * GOOGLEFINANCE(C251, ""volumeavg""), 
      GOOGLEFINANCE(C251, ""price"") * AVERAGE(QUERY(GOOGLEFINANCE(C251, ""volume"", TODAY()-40, TODAY()), ""SELECT Col2 WHERE Col2 IS NOT "&amp;"NULL ORDER BY Col1 DESC LIMIT 20"", 0))
    )
  ), 
"""")"),"")</f>
        <v/>
      </c>
      <c r="K251" s="21" t="str">
        <f>IFERROR(__xludf.DUMMYFUNCTION("IFERROR(GOOGLEFINANCE(C251, ""changepct"") / 100, """")"),"")</f>
        <v/>
      </c>
      <c r="L251" s="21" t="str">
        <f>IFERROR(__xludf.DUMMYFUNCTION("IFERROR((GOOGLEFINANCE(C251, ""price"") / INDEX(GOOGLEFINANCE(C251, ""price"", TODAY()-7, TODAY()), 2, 2)) - 1, """")"),"")</f>
        <v/>
      </c>
      <c r="M251" s="21" t="str">
        <f>IFERROR(__xludf.DUMMYFUNCTION("IFERROR((GOOGLEFINANCE(C251, ""price"") / INDEX(GOOGLEFINANCE(C251, ""price"", EDATE(TODAY(), -1), TODAY()), 2, 2)) - 1, """")"),"")</f>
        <v/>
      </c>
      <c r="N251" s="21" t="str">
        <f>IFERROR(__xludf.DUMMYFUNCTION("IFERROR((GOOGLEFINANCE(C251, ""price"") / INDEX(GOOGLEFINANCE(C251, ""price"", EDATE(TODAY(), -3), TODAY()), 2, 2)) - 1, """")"),"")</f>
        <v/>
      </c>
      <c r="O251" s="21" t="str">
        <f>IFERROR(__xludf.DUMMYFUNCTION("IFERROR((GOOGLEFINANCE(C251, ""price"") / INDEX(GOOGLEFINANCE(C251, ""price"", EDATE(TODAY(), -6), TODAY()), 2, 2)) - 1, """")"),"")</f>
        <v/>
      </c>
      <c r="P251" s="21" t="str">
        <f>IFERROR(__xludf.DUMMYFUNCTION("IFERROR((GOOGLEFINANCE(C251, ""price"") / INDEX(GOOGLEFINANCE(C251, ""price"", EDATE(TODAY(), -12), TODAY()), 2, 2)) - 1, """")"),"")</f>
        <v/>
      </c>
      <c r="Q251" s="6" t="str">
        <f>IFERROR(__xludf.DUMMYFUNCTION("AVERAGE(QUERY(GOOGLEFINANCE(C251, ""price"", TODAY()-80, TODAY()), ""SELECT Col2 WHERE Col2 IS NOT NULL ORDER BY Col1 DESC LIMIT 50"", 0))"),"#N/A")</f>
        <v>#N/A</v>
      </c>
      <c r="R251" s="24" t="str">
        <f>IFERROR(__xludf.DUMMYFUNCTION("IFERROR(
  LET(
    data, QUERY(GOOGLEFINANCE(C251,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GOOGLEFINANCE(C251, ""price"")) * 100,
    IF(calc=0, G251, calc)
  ), 
G251)"),"#N/A")</f>
        <v>#N/A</v>
      </c>
      <c r="S251" s="8" t="s">
        <v>15</v>
      </c>
      <c r="T251" s="26" t="str">
        <f>IFERROR(__xludf.DUMMYFUNCTION("IFERROR(TRANSPOSE(QUERY(IFERROR(SORT(GOOGLEFINANCE(C251, ""price"", WORKDAY(TODAY(), -40), TODAY()), 1, FALSE)), ""select Col2 where Col2 is not null limit 22 label Col2 ''"", 0)), """")"),"")</f>
        <v/>
      </c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8"/>
      <c r="AO251" s="28"/>
      <c r="AP251" s="29"/>
      <c r="AQ251" s="29" t="str">
        <f t="shared" ref="AQ251:BL251" si="254">T251/T$2</f>
        <v>#N/A</v>
      </c>
      <c r="AR251" s="29" t="str">
        <f t="shared" si="254"/>
        <v>#DIV/0!</v>
      </c>
      <c r="AS251" s="29" t="str">
        <f t="shared" si="254"/>
        <v>#DIV/0!</v>
      </c>
      <c r="AT251" s="29" t="str">
        <f t="shared" si="254"/>
        <v>#DIV/0!</v>
      </c>
      <c r="AU251" s="29" t="str">
        <f t="shared" si="254"/>
        <v>#DIV/0!</v>
      </c>
      <c r="AV251" s="29" t="str">
        <f t="shared" si="254"/>
        <v>#DIV/0!</v>
      </c>
      <c r="AW251" s="29" t="str">
        <f t="shared" si="254"/>
        <v>#DIV/0!</v>
      </c>
      <c r="AX251" s="29" t="str">
        <f t="shared" si="254"/>
        <v>#DIV/0!</v>
      </c>
      <c r="AY251" s="29" t="str">
        <f t="shared" si="254"/>
        <v>#DIV/0!</v>
      </c>
      <c r="AZ251" s="29" t="str">
        <f t="shared" si="254"/>
        <v>#DIV/0!</v>
      </c>
      <c r="BA251" s="29" t="str">
        <f t="shared" si="254"/>
        <v>#DIV/0!</v>
      </c>
      <c r="BB251" s="29" t="str">
        <f t="shared" si="254"/>
        <v>#DIV/0!</v>
      </c>
      <c r="BC251" s="29" t="str">
        <f t="shared" si="254"/>
        <v>#DIV/0!</v>
      </c>
      <c r="BD251" s="29" t="str">
        <f t="shared" si="254"/>
        <v>#DIV/0!</v>
      </c>
      <c r="BE251" s="29" t="str">
        <f t="shared" si="254"/>
        <v>#DIV/0!</v>
      </c>
      <c r="BF251" s="29" t="str">
        <f t="shared" si="254"/>
        <v>#DIV/0!</v>
      </c>
      <c r="BG251" s="29" t="str">
        <f t="shared" si="254"/>
        <v>#DIV/0!</v>
      </c>
      <c r="BH251" s="29" t="str">
        <f t="shared" si="254"/>
        <v>#DIV/0!</v>
      </c>
      <c r="BI251" s="29" t="str">
        <f t="shared" si="254"/>
        <v>#DIV/0!</v>
      </c>
      <c r="BJ251" s="29" t="str">
        <f t="shared" si="254"/>
        <v>#DIV/0!</v>
      </c>
      <c r="BK251" s="29" t="str">
        <f t="shared" si="254"/>
        <v>#DIV/0!</v>
      </c>
      <c r="BL251" s="29" t="str">
        <f t="shared" si="254"/>
        <v>#DIV/0!</v>
      </c>
      <c r="BM251" s="29" t="str">
        <f t="shared" si="3"/>
        <v>#DIV/0!</v>
      </c>
    </row>
    <row r="252">
      <c r="A252" s="16" t="str">
        <f>IFERROR(__xludf.DUMMYFUNCTION("IFERROR(SPARKLINE(SORT(MAP(TRANSPOSE(AQ252:BL252), LAMBDA(val, IF(ISNUMBER(val), PERCENTRANK(AQ252:BL252, val)+0.01, 0))), SEQUENCE(COLUMNS(AQ252:BL252)), FALSE), {""charttype"",""column""; ""color"",""chartreuse""; ""ymin"", 0; ""ymax"", 1.01; ""highcolo"&amp;"r"", ""darkgreen""; ""lowcolor"", ""red""}), """")"),"")</f>
        <v/>
      </c>
      <c r="B252" s="17" t="str">
        <f t="shared" si="4"/>
        <v/>
      </c>
      <c r="C252" s="1" t="s">
        <v>1184</v>
      </c>
      <c r="D252" s="34" t="str">
        <f>IFERROR(__xludf.DUMMYFUNCTION("IFERROR(GOOGLEFINANCE(C252, ""NAME""))"),"Choiceone Financial Services Inc")</f>
        <v>Choiceone Financial Services Inc</v>
      </c>
      <c r="E252" s="30" t="s">
        <v>268</v>
      </c>
      <c r="F252" s="33" t="str">
        <f>IFERROR(__xludf.DUMMYFUNCTION("( (GOOGLEFINANCE(C252, ""price"") - Q252) / Q252 ) / (R252 / 100)"),"Loading...")</f>
        <v>Loading...</v>
      </c>
      <c r="G252" s="20" t="str">
        <f>IFERROR(__xludf.DUMMYFUNCTION("AVERAGE(ARRAYFORMULA(100 * (QUERY(GOOGLEFINANCE(C252, ""high"", TODAY()-40, TODAY()), ""SELECT Col2 WHERE Col2 IS NOT NULL ORDER BY Col1 DESC LIMIT 20"", 0) / QUERY(GOOGLEFINANCE(C252, ""low"", TODAY()-40, TODAY()), ""SELECT Col2 WHERE Col2 IS NOT NULL OR"&amp;"DER BY Col1 DESC LIMIT 20"", 0) - 1)))"),"#N/A")</f>
        <v>#N/A</v>
      </c>
      <c r="H252" s="35" t="str">
        <f t="shared" si="6"/>
        <v/>
      </c>
      <c r="I252" s="36" t="str">
        <f t="shared" si="7"/>
        <v/>
      </c>
      <c r="J252" s="37" t="str">
        <f>IFERROR(__xludf.DUMMYFUNCTION("IFERROR(
  IF(C252="""",, 
    IFERROR(
      GOOGLEFINANCE(C252, ""price"") * GOOGLEFINANCE(C252, ""volumeavg""), 
      GOOGLEFINANCE(C252, ""price"") * AVERAGE(QUERY(GOOGLEFINANCE(C252, ""volume"", TODAY()-40, TODAY()), ""SELECT Col2 WHERE Col2 IS NOT "&amp;"NULL ORDER BY Col1 DESC LIMIT 20"", 0))
    )
  ), 
"""")"),"")</f>
        <v/>
      </c>
      <c r="K252" s="21" t="str">
        <f>IFERROR(__xludf.DUMMYFUNCTION("IFERROR(GOOGLEFINANCE(C252, ""changepct"") / 100, """")"),"")</f>
        <v/>
      </c>
      <c r="L252" s="21" t="str">
        <f>IFERROR(__xludf.DUMMYFUNCTION("IFERROR((GOOGLEFINANCE(C252, ""price"") / INDEX(GOOGLEFINANCE(C252, ""price"", TODAY()-7, TODAY()), 2, 2)) - 1, """")"),"")</f>
        <v/>
      </c>
      <c r="M252" s="21" t="str">
        <f>IFERROR(__xludf.DUMMYFUNCTION("IFERROR((GOOGLEFINANCE(C252, ""price"") / INDEX(GOOGLEFINANCE(C252, ""price"", EDATE(TODAY(), -1), TODAY()), 2, 2)) - 1, """")"),"")</f>
        <v/>
      </c>
      <c r="N252" s="21" t="str">
        <f>IFERROR(__xludf.DUMMYFUNCTION("IFERROR((GOOGLEFINANCE(C252, ""price"") / INDEX(GOOGLEFINANCE(C252, ""price"", EDATE(TODAY(), -3), TODAY()), 2, 2)) - 1, """")"),"")</f>
        <v/>
      </c>
      <c r="O252" s="21" t="str">
        <f>IFERROR(__xludf.DUMMYFUNCTION("IFERROR((GOOGLEFINANCE(C252, ""price"") / INDEX(GOOGLEFINANCE(C252, ""price"", EDATE(TODAY(), -6), TODAY()), 2, 2)) - 1, """")"),"")</f>
        <v/>
      </c>
      <c r="P252" s="21" t="str">
        <f>IFERROR(__xludf.DUMMYFUNCTION("IFERROR((GOOGLEFINANCE(C252, ""price"") / INDEX(GOOGLEFINANCE(C252, ""price"", EDATE(TODAY(), -12), TODAY()), 2, 2)) - 1, """")"),"")</f>
        <v/>
      </c>
      <c r="Q252" s="6" t="str">
        <f>IFERROR(__xludf.DUMMYFUNCTION("AVERAGE(QUERY(GOOGLEFINANCE(C252, ""price"", TODAY()-80, TODAY()), ""SELECT Col2 WHERE Col2 IS NOT NULL ORDER BY Col1 DESC LIMIT 50"", 0))"),"#N/A")</f>
        <v>#N/A</v>
      </c>
      <c r="R252" s="24" t="str">
        <f>IFERROR(__xludf.DUMMYFUNCTION("IFERROR(
  LET(
    data, QUERY(GOOGLEFINANCE(C252,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GOOGLEFINANCE(C252, ""price"")) * 100,
    IF(calc=0, G252, calc)
  ), 
G252)"),"#N/A")</f>
        <v>#N/A</v>
      </c>
      <c r="S252" s="8" t="s">
        <v>15</v>
      </c>
      <c r="T252" s="26" t="str">
        <f>IFERROR(__xludf.DUMMYFUNCTION("IFERROR(TRANSPOSE(QUERY(IFERROR(SORT(GOOGLEFINANCE(C252, ""price"", WORKDAY(TODAY(), -40), TODAY()), 1, FALSE)), ""select Col2 where Col2 is not null limit 22 label Col2 ''"", 0)), """")"),"")</f>
        <v/>
      </c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8"/>
      <c r="AO252" s="28"/>
      <c r="AP252" s="29"/>
      <c r="AQ252" s="29" t="str">
        <f t="shared" ref="AQ252:BL252" si="255">T252/T$2</f>
        <v>#N/A</v>
      </c>
      <c r="AR252" s="29" t="str">
        <f t="shared" si="255"/>
        <v>#DIV/0!</v>
      </c>
      <c r="AS252" s="29" t="str">
        <f t="shared" si="255"/>
        <v>#DIV/0!</v>
      </c>
      <c r="AT252" s="29" t="str">
        <f t="shared" si="255"/>
        <v>#DIV/0!</v>
      </c>
      <c r="AU252" s="29" t="str">
        <f t="shared" si="255"/>
        <v>#DIV/0!</v>
      </c>
      <c r="AV252" s="29" t="str">
        <f t="shared" si="255"/>
        <v>#DIV/0!</v>
      </c>
      <c r="AW252" s="29" t="str">
        <f t="shared" si="255"/>
        <v>#DIV/0!</v>
      </c>
      <c r="AX252" s="29" t="str">
        <f t="shared" si="255"/>
        <v>#DIV/0!</v>
      </c>
      <c r="AY252" s="29" t="str">
        <f t="shared" si="255"/>
        <v>#DIV/0!</v>
      </c>
      <c r="AZ252" s="29" t="str">
        <f t="shared" si="255"/>
        <v>#DIV/0!</v>
      </c>
      <c r="BA252" s="29" t="str">
        <f t="shared" si="255"/>
        <v>#DIV/0!</v>
      </c>
      <c r="BB252" s="29" t="str">
        <f t="shared" si="255"/>
        <v>#DIV/0!</v>
      </c>
      <c r="BC252" s="29" t="str">
        <f t="shared" si="255"/>
        <v>#DIV/0!</v>
      </c>
      <c r="BD252" s="29" t="str">
        <f t="shared" si="255"/>
        <v>#DIV/0!</v>
      </c>
      <c r="BE252" s="29" t="str">
        <f t="shared" si="255"/>
        <v>#DIV/0!</v>
      </c>
      <c r="BF252" s="29" t="str">
        <f t="shared" si="255"/>
        <v>#DIV/0!</v>
      </c>
      <c r="BG252" s="29" t="str">
        <f t="shared" si="255"/>
        <v>#DIV/0!</v>
      </c>
      <c r="BH252" s="29" t="str">
        <f t="shared" si="255"/>
        <v>#DIV/0!</v>
      </c>
      <c r="BI252" s="29" t="str">
        <f t="shared" si="255"/>
        <v>#DIV/0!</v>
      </c>
      <c r="BJ252" s="29" t="str">
        <f t="shared" si="255"/>
        <v>#DIV/0!</v>
      </c>
      <c r="BK252" s="29" t="str">
        <f t="shared" si="255"/>
        <v>#DIV/0!</v>
      </c>
      <c r="BL252" s="29" t="str">
        <f t="shared" si="255"/>
        <v>#DIV/0!</v>
      </c>
      <c r="BM252" s="29" t="str">
        <f t="shared" si="3"/>
        <v>#DIV/0!</v>
      </c>
    </row>
    <row r="253">
      <c r="A253" s="16" t="str">
        <f>IFERROR(__xludf.DUMMYFUNCTION("IFERROR(SPARKLINE(SORT(MAP(TRANSPOSE(AQ253:BL253), LAMBDA(val, IF(ISNUMBER(val), PERCENTRANK(AQ253:BL253, val)+0.01, 0))), SEQUENCE(COLUMNS(AQ253:BL253)), FALSE), {""charttype"",""column""; ""color"",""chartreuse""; ""ymin"", 0; ""ymax"", 1.01; ""highcolo"&amp;"r"", ""darkgreen""; ""lowcolor"", ""red""}), """")"),"")</f>
        <v/>
      </c>
      <c r="B253" s="17" t="str">
        <f t="shared" si="4"/>
        <v/>
      </c>
      <c r="C253" s="1" t="s">
        <v>1188</v>
      </c>
      <c r="D253" s="34" t="str">
        <f>IFERROR(__xludf.DUMMYFUNCTION("IFERROR(GOOGLEFINANCE(C253, ""NAME""))"),"California Bancorp")</f>
        <v>California Bancorp</v>
      </c>
      <c r="E253" s="30" t="s">
        <v>268</v>
      </c>
      <c r="F253" s="33" t="str">
        <f>IFERROR(__xludf.DUMMYFUNCTION("( (GOOGLEFINANCE(C253, ""price"") - Q253) / Q253 ) / (R253 / 100)"),"Loading...")</f>
        <v>Loading...</v>
      </c>
      <c r="G253" s="20" t="str">
        <f>IFERROR(__xludf.DUMMYFUNCTION("AVERAGE(ARRAYFORMULA(100 * (QUERY(GOOGLEFINANCE(C253, ""high"", TODAY()-40, TODAY()), ""SELECT Col2 WHERE Col2 IS NOT NULL ORDER BY Col1 DESC LIMIT 20"", 0) / QUERY(GOOGLEFINANCE(C253, ""low"", TODAY()-40, TODAY()), ""SELECT Col2 WHERE Col2 IS NOT NULL OR"&amp;"DER BY Col1 DESC LIMIT 20"", 0) - 1)))"),"#N/A")</f>
        <v>#N/A</v>
      </c>
      <c r="H253" s="35" t="str">
        <f t="shared" si="6"/>
        <v/>
      </c>
      <c r="I253" s="36" t="str">
        <f t="shared" si="7"/>
        <v/>
      </c>
      <c r="J253" s="37" t="str">
        <f>IFERROR(__xludf.DUMMYFUNCTION("IFERROR(
  IF(C253="""",, 
    IFERROR(
      GOOGLEFINANCE(C253, ""price"") * GOOGLEFINANCE(C253, ""volumeavg""), 
      GOOGLEFINANCE(C253, ""price"") * AVERAGE(QUERY(GOOGLEFINANCE(C253, ""volume"", TODAY()-40, TODAY()), ""SELECT Col2 WHERE Col2 IS NOT "&amp;"NULL ORDER BY Col1 DESC LIMIT 20"", 0))
    )
  ), 
"""")"),"")</f>
        <v/>
      </c>
      <c r="K253" s="21" t="str">
        <f>IFERROR(__xludf.DUMMYFUNCTION("IFERROR(GOOGLEFINANCE(C253, ""changepct"") / 100, """")"),"")</f>
        <v/>
      </c>
      <c r="L253" s="21" t="str">
        <f>IFERROR(__xludf.DUMMYFUNCTION("IFERROR((GOOGLEFINANCE(C253, ""price"") / INDEX(GOOGLEFINANCE(C253, ""price"", TODAY()-7, TODAY()), 2, 2)) - 1, """")"),"")</f>
        <v/>
      </c>
      <c r="M253" s="21" t="str">
        <f>IFERROR(__xludf.DUMMYFUNCTION("IFERROR((GOOGLEFINANCE(C253, ""price"") / INDEX(GOOGLEFINANCE(C253, ""price"", EDATE(TODAY(), -1), TODAY()), 2, 2)) - 1, """")"),"")</f>
        <v/>
      </c>
      <c r="N253" s="21" t="str">
        <f>IFERROR(__xludf.DUMMYFUNCTION("IFERROR((GOOGLEFINANCE(C253, ""price"") / INDEX(GOOGLEFINANCE(C253, ""price"", EDATE(TODAY(), -3), TODAY()), 2, 2)) - 1, """")"),"")</f>
        <v/>
      </c>
      <c r="O253" s="21" t="str">
        <f>IFERROR(__xludf.DUMMYFUNCTION("IFERROR((GOOGLEFINANCE(C253, ""price"") / INDEX(GOOGLEFINANCE(C253, ""price"", EDATE(TODAY(), -6), TODAY()), 2, 2)) - 1, """")"),"")</f>
        <v/>
      </c>
      <c r="P253" s="21" t="str">
        <f>IFERROR(__xludf.DUMMYFUNCTION("IFERROR((GOOGLEFINANCE(C253, ""price"") / INDEX(GOOGLEFINANCE(C253, ""price"", EDATE(TODAY(), -12), TODAY()), 2, 2)) - 1, """")"),"")</f>
        <v/>
      </c>
      <c r="Q253" s="6" t="str">
        <f>IFERROR(__xludf.DUMMYFUNCTION("AVERAGE(QUERY(GOOGLEFINANCE(C253, ""price"", TODAY()-80, TODAY()), ""SELECT Col2 WHERE Col2 IS NOT NULL ORDER BY Col1 DESC LIMIT 50"", 0))"),"#N/A")</f>
        <v>#N/A</v>
      </c>
      <c r="R253" s="24" t="str">
        <f>IFERROR(__xludf.DUMMYFUNCTION("IFERROR(
  LET(
    data, QUERY(GOOGLEFINANCE(C253,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GOOGLEFINANCE(C253, ""price"")) * 100,
    IF(calc=0, G253, calc)
  ), 
G253)"),"#N/A")</f>
        <v>#N/A</v>
      </c>
      <c r="S253" s="8" t="s">
        <v>15</v>
      </c>
      <c r="T253" s="26" t="str">
        <f>IFERROR(__xludf.DUMMYFUNCTION("IFERROR(TRANSPOSE(QUERY(IFERROR(SORT(GOOGLEFINANCE(C253, ""price"", WORKDAY(TODAY(), -40), TODAY()), 1, FALSE)), ""select Col2 where Col2 is not null limit 22 label Col2 ''"", 0)), """")"),"")</f>
        <v/>
      </c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8"/>
      <c r="AO253" s="28"/>
      <c r="AP253" s="29"/>
      <c r="AQ253" s="29" t="str">
        <f t="shared" ref="AQ253:BL253" si="256">T253/T$2</f>
        <v>#N/A</v>
      </c>
      <c r="AR253" s="29" t="str">
        <f t="shared" si="256"/>
        <v>#DIV/0!</v>
      </c>
      <c r="AS253" s="29" t="str">
        <f t="shared" si="256"/>
        <v>#DIV/0!</v>
      </c>
      <c r="AT253" s="29" t="str">
        <f t="shared" si="256"/>
        <v>#DIV/0!</v>
      </c>
      <c r="AU253" s="29" t="str">
        <f t="shared" si="256"/>
        <v>#DIV/0!</v>
      </c>
      <c r="AV253" s="29" t="str">
        <f t="shared" si="256"/>
        <v>#DIV/0!</v>
      </c>
      <c r="AW253" s="29" t="str">
        <f t="shared" si="256"/>
        <v>#DIV/0!</v>
      </c>
      <c r="AX253" s="29" t="str">
        <f t="shared" si="256"/>
        <v>#DIV/0!</v>
      </c>
      <c r="AY253" s="29" t="str">
        <f t="shared" si="256"/>
        <v>#DIV/0!</v>
      </c>
      <c r="AZ253" s="29" t="str">
        <f t="shared" si="256"/>
        <v>#DIV/0!</v>
      </c>
      <c r="BA253" s="29" t="str">
        <f t="shared" si="256"/>
        <v>#DIV/0!</v>
      </c>
      <c r="BB253" s="29" t="str">
        <f t="shared" si="256"/>
        <v>#DIV/0!</v>
      </c>
      <c r="BC253" s="29" t="str">
        <f t="shared" si="256"/>
        <v>#DIV/0!</v>
      </c>
      <c r="BD253" s="29" t="str">
        <f t="shared" si="256"/>
        <v>#DIV/0!</v>
      </c>
      <c r="BE253" s="29" t="str">
        <f t="shared" si="256"/>
        <v>#DIV/0!</v>
      </c>
      <c r="BF253" s="29" t="str">
        <f t="shared" si="256"/>
        <v>#DIV/0!</v>
      </c>
      <c r="BG253" s="29" t="str">
        <f t="shared" si="256"/>
        <v>#DIV/0!</v>
      </c>
      <c r="BH253" s="29" t="str">
        <f t="shared" si="256"/>
        <v>#DIV/0!</v>
      </c>
      <c r="BI253" s="29" t="str">
        <f t="shared" si="256"/>
        <v>#DIV/0!</v>
      </c>
      <c r="BJ253" s="29" t="str">
        <f t="shared" si="256"/>
        <v>#DIV/0!</v>
      </c>
      <c r="BK253" s="29" t="str">
        <f t="shared" si="256"/>
        <v>#DIV/0!</v>
      </c>
      <c r="BL253" s="29" t="str">
        <f t="shared" si="256"/>
        <v>#DIV/0!</v>
      </c>
      <c r="BM253" s="29" t="str">
        <f t="shared" si="3"/>
        <v>#DIV/0!</v>
      </c>
    </row>
    <row r="254">
      <c r="A254" s="16" t="str">
        <f>IFERROR(__xludf.DUMMYFUNCTION("IFERROR(SPARKLINE(SORT(MAP(TRANSPOSE(AQ254:BL254), LAMBDA(val, IF(ISNUMBER(val), PERCENTRANK(AQ254:BL254, val)+0.01, 0))), SEQUENCE(COLUMNS(AQ254:BL254)), FALSE), {""charttype"",""column""; ""color"",""chartreuse""; ""ymin"", 0; ""ymax"", 1.01; ""highcolo"&amp;"r"", ""darkgreen""; ""lowcolor"", ""red""}), """")"),"")</f>
        <v/>
      </c>
      <c r="B254" s="17" t="str">
        <f t="shared" si="4"/>
        <v/>
      </c>
      <c r="C254" s="1" t="s">
        <v>1191</v>
      </c>
      <c r="D254" s="34" t="str">
        <f>IFERROR(__xludf.DUMMYFUNCTION("IFERROR(GOOGLEFINANCE(C254, ""NAME""))"),"Credicorp Ltd")</f>
        <v>Credicorp Ltd</v>
      </c>
      <c r="E254" s="30" t="s">
        <v>268</v>
      </c>
      <c r="F254" s="33" t="str">
        <f>IFERROR(__xludf.DUMMYFUNCTION("( (GOOGLEFINANCE(C254, ""price"") - Q254) / Q254 ) / (R254 / 100)"),"Loading...")</f>
        <v>Loading...</v>
      </c>
      <c r="G254" s="20" t="str">
        <f>IFERROR(__xludf.DUMMYFUNCTION("AVERAGE(ARRAYFORMULA(100 * (QUERY(GOOGLEFINANCE(C254, ""high"", TODAY()-40, TODAY()), ""SELECT Col2 WHERE Col2 IS NOT NULL ORDER BY Col1 DESC LIMIT 20"", 0) / QUERY(GOOGLEFINANCE(C254, ""low"", TODAY()-40, TODAY()), ""SELECT Col2 WHERE Col2 IS NOT NULL OR"&amp;"DER BY Col1 DESC LIMIT 20"", 0) - 1)))"),"#N/A")</f>
        <v>#N/A</v>
      </c>
      <c r="H254" s="35" t="str">
        <f t="shared" si="6"/>
        <v/>
      </c>
      <c r="I254" s="36" t="str">
        <f t="shared" si="7"/>
        <v/>
      </c>
      <c r="J254" s="37" t="str">
        <f>IFERROR(__xludf.DUMMYFUNCTION("IFERROR(
  IF(C254="""",, 
    IFERROR(
      GOOGLEFINANCE(C254, ""price"") * GOOGLEFINANCE(C254, ""volumeavg""), 
      GOOGLEFINANCE(C254, ""price"") * AVERAGE(QUERY(GOOGLEFINANCE(C254, ""volume"", TODAY()-40, TODAY()), ""SELECT Col2 WHERE Col2 IS NOT "&amp;"NULL ORDER BY Col1 DESC LIMIT 20"", 0))
    )
  ), 
"""")"),"")</f>
        <v/>
      </c>
      <c r="K254" s="21" t="str">
        <f>IFERROR(__xludf.DUMMYFUNCTION("IFERROR(GOOGLEFINANCE(C254, ""changepct"") / 100, """")"),"")</f>
        <v/>
      </c>
      <c r="L254" s="21" t="str">
        <f>IFERROR(__xludf.DUMMYFUNCTION("IFERROR((GOOGLEFINANCE(C254, ""price"") / INDEX(GOOGLEFINANCE(C254, ""price"", TODAY()-7, TODAY()), 2, 2)) - 1, """")"),"")</f>
        <v/>
      </c>
      <c r="M254" s="21" t="str">
        <f>IFERROR(__xludf.DUMMYFUNCTION("IFERROR((GOOGLEFINANCE(C254, ""price"") / INDEX(GOOGLEFINANCE(C254, ""price"", EDATE(TODAY(), -1), TODAY()), 2, 2)) - 1, """")"),"")</f>
        <v/>
      </c>
      <c r="N254" s="21" t="str">
        <f>IFERROR(__xludf.DUMMYFUNCTION("IFERROR((GOOGLEFINANCE(C254, ""price"") / INDEX(GOOGLEFINANCE(C254, ""price"", EDATE(TODAY(), -3), TODAY()), 2, 2)) - 1, """")"),"")</f>
        <v/>
      </c>
      <c r="O254" s="21" t="str">
        <f>IFERROR(__xludf.DUMMYFUNCTION("IFERROR((GOOGLEFINANCE(C254, ""price"") / INDEX(GOOGLEFINANCE(C254, ""price"", EDATE(TODAY(), -6), TODAY()), 2, 2)) - 1, """")"),"")</f>
        <v/>
      </c>
      <c r="P254" s="21" t="str">
        <f>IFERROR(__xludf.DUMMYFUNCTION("IFERROR((GOOGLEFINANCE(C254, ""price"") / INDEX(GOOGLEFINANCE(C254, ""price"", EDATE(TODAY(), -12), TODAY()), 2, 2)) - 1, """")"),"")</f>
        <v/>
      </c>
      <c r="Q254" s="6" t="str">
        <f>IFERROR(__xludf.DUMMYFUNCTION("AVERAGE(QUERY(GOOGLEFINANCE(C254, ""price"", TODAY()-80, TODAY()), ""SELECT Col2 WHERE Col2 IS NOT NULL ORDER BY Col1 DESC LIMIT 50"", 0))"),"#N/A")</f>
        <v>#N/A</v>
      </c>
      <c r="R254" s="24" t="str">
        <f>IFERROR(__xludf.DUMMYFUNCTION("IFERROR(
  LET(
    data, QUERY(GOOGLEFINANCE(C254,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GOOGLEFINANCE(C254, ""price"")) * 100,
    IF(calc=0, G254, calc)
  ), 
G254)"),"#N/A")</f>
        <v>#N/A</v>
      </c>
      <c r="S254" s="8" t="s">
        <v>15</v>
      </c>
      <c r="T254" s="26" t="str">
        <f>IFERROR(__xludf.DUMMYFUNCTION("IFERROR(TRANSPOSE(QUERY(IFERROR(SORT(GOOGLEFINANCE(C254, ""price"", WORKDAY(TODAY(), -40), TODAY()), 1, FALSE)), ""select Col2 where Col2 is not null limit 22 label Col2 ''"", 0)), """")"),"")</f>
        <v/>
      </c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8"/>
      <c r="AO254" s="28"/>
      <c r="AP254" s="29"/>
      <c r="AQ254" s="29" t="str">
        <f t="shared" ref="AQ254:BL254" si="257">T254/T$2</f>
        <v>#N/A</v>
      </c>
      <c r="AR254" s="29" t="str">
        <f t="shared" si="257"/>
        <v>#DIV/0!</v>
      </c>
      <c r="AS254" s="29" t="str">
        <f t="shared" si="257"/>
        <v>#DIV/0!</v>
      </c>
      <c r="AT254" s="29" t="str">
        <f t="shared" si="257"/>
        <v>#DIV/0!</v>
      </c>
      <c r="AU254" s="29" t="str">
        <f t="shared" si="257"/>
        <v>#DIV/0!</v>
      </c>
      <c r="AV254" s="29" t="str">
        <f t="shared" si="257"/>
        <v>#DIV/0!</v>
      </c>
      <c r="AW254" s="29" t="str">
        <f t="shared" si="257"/>
        <v>#DIV/0!</v>
      </c>
      <c r="AX254" s="29" t="str">
        <f t="shared" si="257"/>
        <v>#DIV/0!</v>
      </c>
      <c r="AY254" s="29" t="str">
        <f t="shared" si="257"/>
        <v>#DIV/0!</v>
      </c>
      <c r="AZ254" s="29" t="str">
        <f t="shared" si="257"/>
        <v>#DIV/0!</v>
      </c>
      <c r="BA254" s="29" t="str">
        <f t="shared" si="257"/>
        <v>#DIV/0!</v>
      </c>
      <c r="BB254" s="29" t="str">
        <f t="shared" si="257"/>
        <v>#DIV/0!</v>
      </c>
      <c r="BC254" s="29" t="str">
        <f t="shared" si="257"/>
        <v>#DIV/0!</v>
      </c>
      <c r="BD254" s="29" t="str">
        <f t="shared" si="257"/>
        <v>#DIV/0!</v>
      </c>
      <c r="BE254" s="29" t="str">
        <f t="shared" si="257"/>
        <v>#DIV/0!</v>
      </c>
      <c r="BF254" s="29" t="str">
        <f t="shared" si="257"/>
        <v>#DIV/0!</v>
      </c>
      <c r="BG254" s="29" t="str">
        <f t="shared" si="257"/>
        <v>#DIV/0!</v>
      </c>
      <c r="BH254" s="29" t="str">
        <f t="shared" si="257"/>
        <v>#DIV/0!</v>
      </c>
      <c r="BI254" s="29" t="str">
        <f t="shared" si="257"/>
        <v>#DIV/0!</v>
      </c>
      <c r="BJ254" s="29" t="str">
        <f t="shared" si="257"/>
        <v>#DIV/0!</v>
      </c>
      <c r="BK254" s="29" t="str">
        <f t="shared" si="257"/>
        <v>#DIV/0!</v>
      </c>
      <c r="BL254" s="29" t="str">
        <f t="shared" si="257"/>
        <v>#DIV/0!</v>
      </c>
      <c r="BM254" s="29" t="str">
        <f t="shared" si="3"/>
        <v>#DIV/0!</v>
      </c>
    </row>
    <row r="255">
      <c r="A255" s="16" t="str">
        <f>IFERROR(__xludf.DUMMYFUNCTION("IFERROR(SPARKLINE(SORT(MAP(TRANSPOSE(AQ255:BL255), LAMBDA(val, IF(ISNUMBER(val), PERCENTRANK(AQ255:BL255, val)+0.01, 0))), SEQUENCE(COLUMNS(AQ255:BL255)), FALSE), {""charttype"",""column""; ""color"",""chartreuse""; ""ymin"", 0; ""ymax"", 1.01; ""highcolo"&amp;"r"", ""darkgreen""; ""lowcolor"", ""red""}), """")"),"")</f>
        <v/>
      </c>
      <c r="B255" s="17" t="str">
        <f t="shared" si="4"/>
        <v/>
      </c>
      <c r="C255" s="1" t="s">
        <v>1196</v>
      </c>
      <c r="D255" s="34" t="str">
        <f>IFERROR(__xludf.DUMMYFUNCTION("IFERROR(GOOGLEFINANCE(C255, ""NAME""))"),"Enterprise Financial Services Corp")</f>
        <v>Enterprise Financial Services Corp</v>
      </c>
      <c r="E255" s="30" t="s">
        <v>268</v>
      </c>
      <c r="F255" s="33" t="str">
        <f>IFERROR(__xludf.DUMMYFUNCTION("( (GOOGLEFINANCE(C255, ""price"") - Q255) / Q255 ) / (R255 / 100)"),"Loading...")</f>
        <v>Loading...</v>
      </c>
      <c r="G255" s="20" t="str">
        <f>IFERROR(__xludf.DUMMYFUNCTION("AVERAGE(ARRAYFORMULA(100 * (QUERY(GOOGLEFINANCE(C255, ""high"", TODAY()-40, TODAY()), ""SELECT Col2 WHERE Col2 IS NOT NULL ORDER BY Col1 DESC LIMIT 20"", 0) / QUERY(GOOGLEFINANCE(C255, ""low"", TODAY()-40, TODAY()), ""SELECT Col2 WHERE Col2 IS NOT NULL OR"&amp;"DER BY Col1 DESC LIMIT 20"", 0) - 1)))"),"#N/A")</f>
        <v>#N/A</v>
      </c>
      <c r="H255" s="35" t="str">
        <f t="shared" si="6"/>
        <v/>
      </c>
      <c r="I255" s="36" t="str">
        <f t="shared" si="7"/>
        <v/>
      </c>
      <c r="J255" s="37" t="str">
        <f>IFERROR(__xludf.DUMMYFUNCTION("IFERROR(
  IF(C255="""",, 
    IFERROR(
      GOOGLEFINANCE(C255, ""price"") * GOOGLEFINANCE(C255, ""volumeavg""), 
      GOOGLEFINANCE(C255, ""price"") * AVERAGE(QUERY(GOOGLEFINANCE(C255, ""volume"", TODAY()-40, TODAY()), ""SELECT Col2 WHERE Col2 IS NOT "&amp;"NULL ORDER BY Col1 DESC LIMIT 20"", 0))
    )
  ), 
"""")"),"")</f>
        <v/>
      </c>
      <c r="K255" s="21" t="str">
        <f>IFERROR(__xludf.DUMMYFUNCTION("IFERROR(GOOGLEFINANCE(C255, ""changepct"") / 100, """")"),"")</f>
        <v/>
      </c>
      <c r="L255" s="21" t="str">
        <f>IFERROR(__xludf.DUMMYFUNCTION("IFERROR((GOOGLEFINANCE(C255, ""price"") / INDEX(GOOGLEFINANCE(C255, ""price"", TODAY()-7, TODAY()), 2, 2)) - 1, """")"),"")</f>
        <v/>
      </c>
      <c r="M255" s="21" t="str">
        <f>IFERROR(__xludf.DUMMYFUNCTION("IFERROR((GOOGLEFINANCE(C255, ""price"") / INDEX(GOOGLEFINANCE(C255, ""price"", EDATE(TODAY(), -1), TODAY()), 2, 2)) - 1, """")"),"")</f>
        <v/>
      </c>
      <c r="N255" s="21" t="str">
        <f>IFERROR(__xludf.DUMMYFUNCTION("IFERROR((GOOGLEFINANCE(C255, ""price"") / INDEX(GOOGLEFINANCE(C255, ""price"", EDATE(TODAY(), -3), TODAY()), 2, 2)) - 1, """")"),"")</f>
        <v/>
      </c>
      <c r="O255" s="21" t="str">
        <f>IFERROR(__xludf.DUMMYFUNCTION("IFERROR((GOOGLEFINANCE(C255, ""price"") / INDEX(GOOGLEFINANCE(C255, ""price"", EDATE(TODAY(), -6), TODAY()), 2, 2)) - 1, """")"),"")</f>
        <v/>
      </c>
      <c r="P255" s="21" t="str">
        <f>IFERROR(__xludf.DUMMYFUNCTION("IFERROR((GOOGLEFINANCE(C255, ""price"") / INDEX(GOOGLEFINANCE(C255, ""price"", EDATE(TODAY(), -12), TODAY()), 2, 2)) - 1, """")"),"")</f>
        <v/>
      </c>
      <c r="Q255" s="6" t="str">
        <f>IFERROR(__xludf.DUMMYFUNCTION("AVERAGE(QUERY(GOOGLEFINANCE(C255, ""price"", TODAY()-80, TODAY()), ""SELECT Col2 WHERE Col2 IS NOT NULL ORDER BY Col1 DESC LIMIT 50"", 0))"),"#N/A")</f>
        <v>#N/A</v>
      </c>
      <c r="R255" s="24" t="str">
        <f>IFERROR(__xludf.DUMMYFUNCTION("IFERROR(
  LET(
    data, QUERY(GOOGLEFINANCE(C255,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GOOGLEFINANCE(C255, ""price"")) * 100,
    IF(calc=0, G255, calc)
  ), 
G255)"),"#N/A")</f>
        <v>#N/A</v>
      </c>
      <c r="S255" s="8" t="s">
        <v>15</v>
      </c>
      <c r="T255" s="26" t="str">
        <f>IFERROR(__xludf.DUMMYFUNCTION("IFERROR(TRANSPOSE(QUERY(IFERROR(SORT(GOOGLEFINANCE(C255, ""price"", WORKDAY(TODAY(), -40), TODAY()), 1, FALSE)), ""select Col2 where Col2 is not null limit 22 label Col2 ''"", 0)), """")"),"")</f>
        <v/>
      </c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8"/>
      <c r="AO255" s="28"/>
      <c r="AP255" s="29"/>
      <c r="AQ255" s="29" t="str">
        <f t="shared" ref="AQ255:BL255" si="258">T255/T$2</f>
        <v>#N/A</v>
      </c>
      <c r="AR255" s="29" t="str">
        <f t="shared" si="258"/>
        <v>#DIV/0!</v>
      </c>
      <c r="AS255" s="29" t="str">
        <f t="shared" si="258"/>
        <v>#DIV/0!</v>
      </c>
      <c r="AT255" s="29" t="str">
        <f t="shared" si="258"/>
        <v>#DIV/0!</v>
      </c>
      <c r="AU255" s="29" t="str">
        <f t="shared" si="258"/>
        <v>#DIV/0!</v>
      </c>
      <c r="AV255" s="29" t="str">
        <f t="shared" si="258"/>
        <v>#DIV/0!</v>
      </c>
      <c r="AW255" s="29" t="str">
        <f t="shared" si="258"/>
        <v>#DIV/0!</v>
      </c>
      <c r="AX255" s="29" t="str">
        <f t="shared" si="258"/>
        <v>#DIV/0!</v>
      </c>
      <c r="AY255" s="29" t="str">
        <f t="shared" si="258"/>
        <v>#DIV/0!</v>
      </c>
      <c r="AZ255" s="29" t="str">
        <f t="shared" si="258"/>
        <v>#DIV/0!</v>
      </c>
      <c r="BA255" s="29" t="str">
        <f t="shared" si="258"/>
        <v>#DIV/0!</v>
      </c>
      <c r="BB255" s="29" t="str">
        <f t="shared" si="258"/>
        <v>#DIV/0!</v>
      </c>
      <c r="BC255" s="29" t="str">
        <f t="shared" si="258"/>
        <v>#DIV/0!</v>
      </c>
      <c r="BD255" s="29" t="str">
        <f t="shared" si="258"/>
        <v>#DIV/0!</v>
      </c>
      <c r="BE255" s="29" t="str">
        <f t="shared" si="258"/>
        <v>#DIV/0!</v>
      </c>
      <c r="BF255" s="29" t="str">
        <f t="shared" si="258"/>
        <v>#DIV/0!</v>
      </c>
      <c r="BG255" s="29" t="str">
        <f t="shared" si="258"/>
        <v>#DIV/0!</v>
      </c>
      <c r="BH255" s="29" t="str">
        <f t="shared" si="258"/>
        <v>#DIV/0!</v>
      </c>
      <c r="BI255" s="29" t="str">
        <f t="shared" si="258"/>
        <v>#DIV/0!</v>
      </c>
      <c r="BJ255" s="29" t="str">
        <f t="shared" si="258"/>
        <v>#DIV/0!</v>
      </c>
      <c r="BK255" s="29" t="str">
        <f t="shared" si="258"/>
        <v>#DIV/0!</v>
      </c>
      <c r="BL255" s="29" t="str">
        <f t="shared" si="258"/>
        <v>#DIV/0!</v>
      </c>
      <c r="BM255" s="29" t="str">
        <f t="shared" si="3"/>
        <v>#DIV/0!</v>
      </c>
    </row>
    <row r="256">
      <c r="A256" s="16" t="str">
        <f>IFERROR(__xludf.DUMMYFUNCTION("IFERROR(SPARKLINE(SORT(MAP(TRANSPOSE(AQ256:BL256), LAMBDA(val, IF(ISNUMBER(val), PERCENTRANK(AQ256:BL256, val)+0.01, 0))), SEQUENCE(COLUMNS(AQ256:BL256)), FALSE), {""charttype"",""column""; ""color"",""chartreuse""; ""ymin"", 0; ""ymax"", 1.01; ""highcolo"&amp;"r"", ""darkgreen""; ""lowcolor"", ""red""}), """")"),"")</f>
        <v/>
      </c>
      <c r="B256" s="17" t="str">
        <f t="shared" si="4"/>
        <v/>
      </c>
      <c r="C256" s="1" t="s">
        <v>1201</v>
      </c>
      <c r="D256" s="34" t="str">
        <f>IFERROR(__xludf.DUMMYFUNCTION("IFERROR(GOOGLEFINANCE(C256, ""NAME""))"),"Bain Capital Specialty Finance Inc")</f>
        <v>Bain Capital Specialty Finance Inc</v>
      </c>
      <c r="E256" s="30" t="s">
        <v>64</v>
      </c>
      <c r="F256" s="33" t="str">
        <f>IFERROR(__xludf.DUMMYFUNCTION("( (GOOGLEFINANCE(C256, ""price"") - Q256) / Q256 ) / (R256 / 100)"),"Loading...")</f>
        <v>Loading...</v>
      </c>
      <c r="G256" s="20" t="str">
        <f>IFERROR(__xludf.DUMMYFUNCTION("AVERAGE(ARRAYFORMULA(100 * (QUERY(GOOGLEFINANCE(C256, ""high"", TODAY()-40, TODAY()), ""SELECT Col2 WHERE Col2 IS NOT NULL ORDER BY Col1 DESC LIMIT 20"", 0) / QUERY(GOOGLEFINANCE(C256, ""low"", TODAY()-40, TODAY()), ""SELECT Col2 WHERE Col2 IS NOT NULL OR"&amp;"DER BY Col1 DESC LIMIT 20"", 0) - 1)))"),"#N/A")</f>
        <v>#N/A</v>
      </c>
      <c r="H256" s="35" t="str">
        <f t="shared" si="6"/>
        <v/>
      </c>
      <c r="I256" s="36" t="str">
        <f t="shared" si="7"/>
        <v/>
      </c>
      <c r="J256" s="37" t="str">
        <f>IFERROR(__xludf.DUMMYFUNCTION("IFERROR(
  IF(C256="""",, 
    IFERROR(
      GOOGLEFINANCE(C256, ""price"") * GOOGLEFINANCE(C256, ""volumeavg""), 
      GOOGLEFINANCE(C256, ""price"") * AVERAGE(QUERY(GOOGLEFINANCE(C256, ""volume"", TODAY()-40, TODAY()), ""SELECT Col2 WHERE Col2 IS NOT "&amp;"NULL ORDER BY Col1 DESC LIMIT 20"", 0))
    )
  ), 
"""")"),"")</f>
        <v/>
      </c>
      <c r="K256" s="21" t="str">
        <f>IFERROR(__xludf.DUMMYFUNCTION("IFERROR(GOOGLEFINANCE(C256, ""changepct"") / 100, """")"),"")</f>
        <v/>
      </c>
      <c r="L256" s="21" t="str">
        <f>IFERROR(__xludf.DUMMYFUNCTION("IFERROR((GOOGLEFINANCE(C256, ""price"") / INDEX(GOOGLEFINANCE(C256, ""price"", TODAY()-7, TODAY()), 2, 2)) - 1, """")"),"")</f>
        <v/>
      </c>
      <c r="M256" s="21" t="str">
        <f>IFERROR(__xludf.DUMMYFUNCTION("IFERROR((GOOGLEFINANCE(C256, ""price"") / INDEX(GOOGLEFINANCE(C256, ""price"", EDATE(TODAY(), -1), TODAY()), 2, 2)) - 1, """")"),"")</f>
        <v/>
      </c>
      <c r="N256" s="21" t="str">
        <f>IFERROR(__xludf.DUMMYFUNCTION("IFERROR((GOOGLEFINANCE(C256, ""price"") / INDEX(GOOGLEFINANCE(C256, ""price"", EDATE(TODAY(), -3), TODAY()), 2, 2)) - 1, """")"),"")</f>
        <v/>
      </c>
      <c r="O256" s="21" t="str">
        <f>IFERROR(__xludf.DUMMYFUNCTION("IFERROR((GOOGLEFINANCE(C256, ""price"") / INDEX(GOOGLEFINANCE(C256, ""price"", EDATE(TODAY(), -6), TODAY()), 2, 2)) - 1, """")"),"")</f>
        <v/>
      </c>
      <c r="P256" s="21" t="str">
        <f>IFERROR(__xludf.DUMMYFUNCTION("IFERROR((GOOGLEFINANCE(C256, ""price"") / INDEX(GOOGLEFINANCE(C256, ""price"", EDATE(TODAY(), -12), TODAY()), 2, 2)) - 1, """")"),"")</f>
        <v/>
      </c>
      <c r="Q256" s="6" t="str">
        <f>IFERROR(__xludf.DUMMYFUNCTION("AVERAGE(QUERY(GOOGLEFINANCE(C256, ""price"", TODAY()-80, TODAY()), ""SELECT Col2 WHERE Col2 IS NOT NULL ORDER BY Col1 DESC LIMIT 50"", 0))"),"#N/A")</f>
        <v>#N/A</v>
      </c>
      <c r="R256" s="24" t="str">
        <f>IFERROR(__xludf.DUMMYFUNCTION("IFERROR(
  LET(
    data, QUERY(GOOGLEFINANCE(C256,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GOOGLEFINANCE(C256, ""price"")) * 100,
    IF(calc=0, G256, calc)
  ), 
G256)"),"#N/A")</f>
        <v>#N/A</v>
      </c>
      <c r="S256" s="8" t="s">
        <v>15</v>
      </c>
      <c r="T256" s="26" t="str">
        <f>IFERROR(__xludf.DUMMYFUNCTION("IFERROR(TRANSPOSE(QUERY(IFERROR(SORT(GOOGLEFINANCE(C256, ""price"", WORKDAY(TODAY(), -40), TODAY()), 1, FALSE)), ""select Col2 where Col2 is not null limit 22 label Col2 ''"", 0)), """")"),"")</f>
        <v/>
      </c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8"/>
      <c r="AO256" s="28"/>
      <c r="AP256" s="29"/>
      <c r="AQ256" s="29" t="str">
        <f t="shared" ref="AQ256:BL256" si="259">T256/T$2</f>
        <v>#N/A</v>
      </c>
      <c r="AR256" s="29" t="str">
        <f t="shared" si="259"/>
        <v>#DIV/0!</v>
      </c>
      <c r="AS256" s="29" t="str">
        <f t="shared" si="259"/>
        <v>#DIV/0!</v>
      </c>
      <c r="AT256" s="29" t="str">
        <f t="shared" si="259"/>
        <v>#DIV/0!</v>
      </c>
      <c r="AU256" s="29" t="str">
        <f t="shared" si="259"/>
        <v>#DIV/0!</v>
      </c>
      <c r="AV256" s="29" t="str">
        <f t="shared" si="259"/>
        <v>#DIV/0!</v>
      </c>
      <c r="AW256" s="29" t="str">
        <f t="shared" si="259"/>
        <v>#DIV/0!</v>
      </c>
      <c r="AX256" s="29" t="str">
        <f t="shared" si="259"/>
        <v>#DIV/0!</v>
      </c>
      <c r="AY256" s="29" t="str">
        <f t="shared" si="259"/>
        <v>#DIV/0!</v>
      </c>
      <c r="AZ256" s="29" t="str">
        <f t="shared" si="259"/>
        <v>#DIV/0!</v>
      </c>
      <c r="BA256" s="29" t="str">
        <f t="shared" si="259"/>
        <v>#DIV/0!</v>
      </c>
      <c r="BB256" s="29" t="str">
        <f t="shared" si="259"/>
        <v>#DIV/0!</v>
      </c>
      <c r="BC256" s="29" t="str">
        <f t="shared" si="259"/>
        <v>#DIV/0!</v>
      </c>
      <c r="BD256" s="29" t="str">
        <f t="shared" si="259"/>
        <v>#DIV/0!</v>
      </c>
      <c r="BE256" s="29" t="str">
        <f t="shared" si="259"/>
        <v>#DIV/0!</v>
      </c>
      <c r="BF256" s="29" t="str">
        <f t="shared" si="259"/>
        <v>#DIV/0!</v>
      </c>
      <c r="BG256" s="29" t="str">
        <f t="shared" si="259"/>
        <v>#DIV/0!</v>
      </c>
      <c r="BH256" s="29" t="str">
        <f t="shared" si="259"/>
        <v>#DIV/0!</v>
      </c>
      <c r="BI256" s="29" t="str">
        <f t="shared" si="259"/>
        <v>#DIV/0!</v>
      </c>
      <c r="BJ256" s="29" t="str">
        <f t="shared" si="259"/>
        <v>#DIV/0!</v>
      </c>
      <c r="BK256" s="29" t="str">
        <f t="shared" si="259"/>
        <v>#DIV/0!</v>
      </c>
      <c r="BL256" s="29" t="str">
        <f t="shared" si="259"/>
        <v>#DIV/0!</v>
      </c>
      <c r="BM256" s="29" t="str">
        <f t="shared" si="3"/>
        <v>#DIV/0!</v>
      </c>
    </row>
    <row r="257">
      <c r="A257" s="16" t="str">
        <f>IFERROR(__xludf.DUMMYFUNCTION("IFERROR(SPARKLINE(SORT(MAP(TRANSPOSE(AQ257:BL257), LAMBDA(val, IF(ISNUMBER(val), PERCENTRANK(AQ257:BL257, val)+0.01, 0))), SEQUENCE(COLUMNS(AQ257:BL257)), FALSE), {""charttype"",""column""; ""color"",""chartreuse""; ""ymin"", 0; ""ymax"", 1.01; ""highcolo"&amp;"r"", ""darkgreen""; ""lowcolor"", ""red""}), """")"),"")</f>
        <v/>
      </c>
      <c r="B257" s="17" t="str">
        <f t="shared" si="4"/>
        <v/>
      </c>
      <c r="C257" s="1" t="s">
        <v>1207</v>
      </c>
      <c r="D257" s="34" t="str">
        <f>IFERROR(__xludf.DUMMYFUNCTION("IFERROR(GOOGLEFINANCE(C257, ""NAME""))"),"Ally Financial Inc")</f>
        <v>Ally Financial Inc</v>
      </c>
      <c r="E257" s="30" t="s">
        <v>145</v>
      </c>
      <c r="F257" s="33" t="str">
        <f>IFERROR(__xludf.DUMMYFUNCTION("( (GOOGLEFINANCE(C257, ""price"") - Q257) / Q257 ) / (R257 / 100)"),"Loading...")</f>
        <v>Loading...</v>
      </c>
      <c r="G257" s="20" t="str">
        <f>IFERROR(__xludf.DUMMYFUNCTION("AVERAGE(ARRAYFORMULA(100 * (QUERY(GOOGLEFINANCE(C257, ""high"", TODAY()-40, TODAY()), ""SELECT Col2 WHERE Col2 IS NOT NULL ORDER BY Col1 DESC LIMIT 20"", 0) / QUERY(GOOGLEFINANCE(C257, ""low"", TODAY()-40, TODAY()), ""SELECT Col2 WHERE Col2 IS NOT NULL OR"&amp;"DER BY Col1 DESC LIMIT 20"", 0) - 1)))"),"#N/A")</f>
        <v>#N/A</v>
      </c>
      <c r="H257" s="35" t="str">
        <f t="shared" si="6"/>
        <v/>
      </c>
      <c r="I257" s="36" t="str">
        <f t="shared" si="7"/>
        <v/>
      </c>
      <c r="J257" s="37" t="str">
        <f>IFERROR(__xludf.DUMMYFUNCTION("IFERROR(
  IF(C257="""",, 
    IFERROR(
      GOOGLEFINANCE(C257, ""price"") * GOOGLEFINANCE(C257, ""volumeavg""), 
      GOOGLEFINANCE(C257, ""price"") * AVERAGE(QUERY(GOOGLEFINANCE(C257, ""volume"", TODAY()-40, TODAY()), ""SELECT Col2 WHERE Col2 IS NOT "&amp;"NULL ORDER BY Col1 DESC LIMIT 20"", 0))
    )
  ), 
"""")"),"")</f>
        <v/>
      </c>
      <c r="K257" s="21" t="str">
        <f>IFERROR(__xludf.DUMMYFUNCTION("IFERROR(GOOGLEFINANCE(C257, ""changepct"") / 100, """")"),"")</f>
        <v/>
      </c>
      <c r="L257" s="21" t="str">
        <f>IFERROR(__xludf.DUMMYFUNCTION("IFERROR((GOOGLEFINANCE(C257, ""price"") / INDEX(GOOGLEFINANCE(C257, ""price"", TODAY()-7, TODAY()), 2, 2)) - 1, """")"),"")</f>
        <v/>
      </c>
      <c r="M257" s="21" t="str">
        <f>IFERROR(__xludf.DUMMYFUNCTION("IFERROR((GOOGLEFINANCE(C257, ""price"") / INDEX(GOOGLEFINANCE(C257, ""price"", EDATE(TODAY(), -1), TODAY()), 2, 2)) - 1, """")"),"")</f>
        <v/>
      </c>
      <c r="N257" s="21" t="str">
        <f>IFERROR(__xludf.DUMMYFUNCTION("IFERROR((GOOGLEFINANCE(C257, ""price"") / INDEX(GOOGLEFINANCE(C257, ""price"", EDATE(TODAY(), -3), TODAY()), 2, 2)) - 1, """")"),"")</f>
        <v/>
      </c>
      <c r="O257" s="21" t="str">
        <f>IFERROR(__xludf.DUMMYFUNCTION("IFERROR((GOOGLEFINANCE(C257, ""price"") / INDEX(GOOGLEFINANCE(C257, ""price"", EDATE(TODAY(), -6), TODAY()), 2, 2)) - 1, """")"),"")</f>
        <v/>
      </c>
      <c r="P257" s="21" t="str">
        <f>IFERROR(__xludf.DUMMYFUNCTION("IFERROR((GOOGLEFINANCE(C257, ""price"") / INDEX(GOOGLEFINANCE(C257, ""price"", EDATE(TODAY(), -12), TODAY()), 2, 2)) - 1, """")"),"")</f>
        <v/>
      </c>
      <c r="Q257" s="6" t="str">
        <f>IFERROR(__xludf.DUMMYFUNCTION("AVERAGE(QUERY(GOOGLEFINANCE(C257, ""price"", TODAY()-80, TODAY()), ""SELECT Col2 WHERE Col2 IS NOT NULL ORDER BY Col1 DESC LIMIT 50"", 0))"),"#N/A")</f>
        <v>#N/A</v>
      </c>
      <c r="R257" s="24" t="str">
        <f>IFERROR(__xludf.DUMMYFUNCTION("IFERROR(
  LET(
    data, QUERY(GOOGLEFINANCE(C257,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GOOGLEFINANCE(C257, ""price"")) * 100,
    IF(calc=0, G257, calc)
  ), 
G257)"),"#N/A")</f>
        <v>#N/A</v>
      </c>
      <c r="S257" s="8" t="s">
        <v>15</v>
      </c>
      <c r="T257" s="26" t="str">
        <f>IFERROR(__xludf.DUMMYFUNCTION("IFERROR(TRANSPOSE(QUERY(IFERROR(SORT(GOOGLEFINANCE(C257, ""price"", WORKDAY(TODAY(), -40), TODAY()), 1, FALSE)), ""select Col2 where Col2 is not null limit 22 label Col2 ''"", 0)), """")"),"")</f>
        <v/>
      </c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8"/>
      <c r="AO257" s="28"/>
      <c r="AP257" s="29"/>
      <c r="AQ257" s="29" t="str">
        <f t="shared" ref="AQ257:BL257" si="260">T257/T$2</f>
        <v>#N/A</v>
      </c>
      <c r="AR257" s="29" t="str">
        <f t="shared" si="260"/>
        <v>#DIV/0!</v>
      </c>
      <c r="AS257" s="29" t="str">
        <f t="shared" si="260"/>
        <v>#DIV/0!</v>
      </c>
      <c r="AT257" s="29" t="str">
        <f t="shared" si="260"/>
        <v>#DIV/0!</v>
      </c>
      <c r="AU257" s="29" t="str">
        <f t="shared" si="260"/>
        <v>#DIV/0!</v>
      </c>
      <c r="AV257" s="29" t="str">
        <f t="shared" si="260"/>
        <v>#DIV/0!</v>
      </c>
      <c r="AW257" s="29" t="str">
        <f t="shared" si="260"/>
        <v>#DIV/0!</v>
      </c>
      <c r="AX257" s="29" t="str">
        <f t="shared" si="260"/>
        <v>#DIV/0!</v>
      </c>
      <c r="AY257" s="29" t="str">
        <f t="shared" si="260"/>
        <v>#DIV/0!</v>
      </c>
      <c r="AZ257" s="29" t="str">
        <f t="shared" si="260"/>
        <v>#DIV/0!</v>
      </c>
      <c r="BA257" s="29" t="str">
        <f t="shared" si="260"/>
        <v>#DIV/0!</v>
      </c>
      <c r="BB257" s="29" t="str">
        <f t="shared" si="260"/>
        <v>#DIV/0!</v>
      </c>
      <c r="BC257" s="29" t="str">
        <f t="shared" si="260"/>
        <v>#DIV/0!</v>
      </c>
      <c r="BD257" s="29" t="str">
        <f t="shared" si="260"/>
        <v>#DIV/0!</v>
      </c>
      <c r="BE257" s="29" t="str">
        <f t="shared" si="260"/>
        <v>#DIV/0!</v>
      </c>
      <c r="BF257" s="29" t="str">
        <f t="shared" si="260"/>
        <v>#DIV/0!</v>
      </c>
      <c r="BG257" s="29" t="str">
        <f t="shared" si="260"/>
        <v>#DIV/0!</v>
      </c>
      <c r="BH257" s="29" t="str">
        <f t="shared" si="260"/>
        <v>#DIV/0!</v>
      </c>
      <c r="BI257" s="29" t="str">
        <f t="shared" si="260"/>
        <v>#DIV/0!</v>
      </c>
      <c r="BJ257" s="29" t="str">
        <f t="shared" si="260"/>
        <v>#DIV/0!</v>
      </c>
      <c r="BK257" s="29" t="str">
        <f t="shared" si="260"/>
        <v>#DIV/0!</v>
      </c>
      <c r="BL257" s="29" t="str">
        <f t="shared" si="260"/>
        <v>#DIV/0!</v>
      </c>
      <c r="BM257" s="29" t="str">
        <f t="shared" si="3"/>
        <v>#DIV/0!</v>
      </c>
    </row>
    <row r="258">
      <c r="A258" s="16" t="str">
        <f>IFERROR(__xludf.DUMMYFUNCTION("IFERROR(SPARKLINE(SORT(MAP(TRANSPOSE(AQ258:BL258), LAMBDA(val, IF(ISNUMBER(val), PERCENTRANK(AQ258:BL258, val)+0.01, 0))), SEQUENCE(COLUMNS(AQ258:BL258)), FALSE), {""charttype"",""column""; ""color"",""chartreuse""; ""ymin"", 0; ""ymax"", 1.01; ""highcolo"&amp;"r"", ""darkgreen""; ""lowcolor"", ""red""}), """")"),"")</f>
        <v/>
      </c>
      <c r="B258" s="17" t="str">
        <f t="shared" si="4"/>
        <v/>
      </c>
      <c r="C258" s="1" t="s">
        <v>1211</v>
      </c>
      <c r="D258" s="34" t="str">
        <f>IFERROR(__xludf.DUMMYFUNCTION("IFERROR(GOOGLEFINANCE(C258, ""NAME""))"),"Third Coast Bancshares Inc")</f>
        <v>Third Coast Bancshares Inc</v>
      </c>
      <c r="E258" s="30" t="s">
        <v>268</v>
      </c>
      <c r="F258" s="33" t="str">
        <f>IFERROR(__xludf.DUMMYFUNCTION("( (GOOGLEFINANCE(C258, ""price"") - Q258) / Q258 ) / (R258 / 100)"),"Loading...")</f>
        <v>Loading...</v>
      </c>
      <c r="G258" s="20" t="str">
        <f>IFERROR(__xludf.DUMMYFUNCTION("AVERAGE(ARRAYFORMULA(100 * (QUERY(GOOGLEFINANCE(C258, ""high"", TODAY()-40, TODAY()), ""SELECT Col2 WHERE Col2 IS NOT NULL ORDER BY Col1 DESC LIMIT 20"", 0) / QUERY(GOOGLEFINANCE(C258, ""low"", TODAY()-40, TODAY()), ""SELECT Col2 WHERE Col2 IS NOT NULL OR"&amp;"DER BY Col1 DESC LIMIT 20"", 0) - 1)))"),"#N/A")</f>
        <v>#N/A</v>
      </c>
      <c r="H258" s="35" t="str">
        <f t="shared" si="6"/>
        <v/>
      </c>
      <c r="I258" s="36" t="str">
        <f t="shared" si="7"/>
        <v/>
      </c>
      <c r="J258" s="37" t="str">
        <f>IFERROR(__xludf.DUMMYFUNCTION("IFERROR(
  IF(C258="""",, 
    IFERROR(
      GOOGLEFINANCE(C258, ""price"") * GOOGLEFINANCE(C258, ""volumeavg""), 
      GOOGLEFINANCE(C258, ""price"") * AVERAGE(QUERY(GOOGLEFINANCE(C258, ""volume"", TODAY()-40, TODAY()), ""SELECT Col2 WHERE Col2 IS NOT "&amp;"NULL ORDER BY Col1 DESC LIMIT 20"", 0))
    )
  ), 
"""")"),"")</f>
        <v/>
      </c>
      <c r="K258" s="21" t="str">
        <f>IFERROR(__xludf.DUMMYFUNCTION("IFERROR(GOOGLEFINANCE(C258, ""changepct"") / 100, """")"),"")</f>
        <v/>
      </c>
      <c r="L258" s="21" t="str">
        <f>IFERROR(__xludf.DUMMYFUNCTION("IFERROR((GOOGLEFINANCE(C258, ""price"") / INDEX(GOOGLEFINANCE(C258, ""price"", TODAY()-7, TODAY()), 2, 2)) - 1, """")"),"")</f>
        <v/>
      </c>
      <c r="M258" s="21" t="str">
        <f>IFERROR(__xludf.DUMMYFUNCTION("IFERROR((GOOGLEFINANCE(C258, ""price"") / INDEX(GOOGLEFINANCE(C258, ""price"", EDATE(TODAY(), -1), TODAY()), 2, 2)) - 1, """")"),"")</f>
        <v/>
      </c>
      <c r="N258" s="21" t="str">
        <f>IFERROR(__xludf.DUMMYFUNCTION("IFERROR((GOOGLEFINANCE(C258, ""price"") / INDEX(GOOGLEFINANCE(C258, ""price"", EDATE(TODAY(), -3), TODAY()), 2, 2)) - 1, """")"),"")</f>
        <v/>
      </c>
      <c r="O258" s="21" t="str">
        <f>IFERROR(__xludf.DUMMYFUNCTION("IFERROR((GOOGLEFINANCE(C258, ""price"") / INDEX(GOOGLEFINANCE(C258, ""price"", EDATE(TODAY(), -6), TODAY()), 2, 2)) - 1, """")"),"")</f>
        <v/>
      </c>
      <c r="P258" s="21" t="str">
        <f>IFERROR(__xludf.DUMMYFUNCTION("IFERROR((GOOGLEFINANCE(C258, ""price"") / INDEX(GOOGLEFINANCE(C258, ""price"", EDATE(TODAY(), -12), TODAY()), 2, 2)) - 1, """")"),"")</f>
        <v/>
      </c>
      <c r="Q258" s="6" t="str">
        <f>IFERROR(__xludf.DUMMYFUNCTION("AVERAGE(QUERY(GOOGLEFINANCE(C258, ""price"", TODAY()-80, TODAY()), ""SELECT Col2 WHERE Col2 IS NOT NULL ORDER BY Col1 DESC LIMIT 50"", 0))"),"#N/A")</f>
        <v>#N/A</v>
      </c>
      <c r="R258" s="24" t="str">
        <f>IFERROR(__xludf.DUMMYFUNCTION("IFERROR(
  LET(
    data, QUERY(GOOGLEFINANCE(C258,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GOOGLEFINANCE(C258, ""price"")) * 100,
    IF(calc=0, G258, calc)
  ), 
G258)"),"#N/A")</f>
        <v>#N/A</v>
      </c>
      <c r="S258" s="8" t="s">
        <v>15</v>
      </c>
      <c r="T258" s="26" t="str">
        <f>IFERROR(__xludf.DUMMYFUNCTION("IFERROR(TRANSPOSE(QUERY(IFERROR(SORT(GOOGLEFINANCE(C258, ""price"", WORKDAY(TODAY(), -40), TODAY()), 1, FALSE)), ""select Col2 where Col2 is not null limit 22 label Col2 ''"", 0)), """")"),"")</f>
        <v/>
      </c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8"/>
      <c r="AO258" s="28"/>
      <c r="AP258" s="29"/>
      <c r="AQ258" s="29" t="str">
        <f t="shared" ref="AQ258:BL258" si="261">T258/T$2</f>
        <v>#N/A</v>
      </c>
      <c r="AR258" s="29" t="str">
        <f t="shared" si="261"/>
        <v>#DIV/0!</v>
      </c>
      <c r="AS258" s="29" t="str">
        <f t="shared" si="261"/>
        <v>#DIV/0!</v>
      </c>
      <c r="AT258" s="29" t="str">
        <f t="shared" si="261"/>
        <v>#DIV/0!</v>
      </c>
      <c r="AU258" s="29" t="str">
        <f t="shared" si="261"/>
        <v>#DIV/0!</v>
      </c>
      <c r="AV258" s="29" t="str">
        <f t="shared" si="261"/>
        <v>#DIV/0!</v>
      </c>
      <c r="AW258" s="29" t="str">
        <f t="shared" si="261"/>
        <v>#DIV/0!</v>
      </c>
      <c r="AX258" s="29" t="str">
        <f t="shared" si="261"/>
        <v>#DIV/0!</v>
      </c>
      <c r="AY258" s="29" t="str">
        <f t="shared" si="261"/>
        <v>#DIV/0!</v>
      </c>
      <c r="AZ258" s="29" t="str">
        <f t="shared" si="261"/>
        <v>#DIV/0!</v>
      </c>
      <c r="BA258" s="29" t="str">
        <f t="shared" si="261"/>
        <v>#DIV/0!</v>
      </c>
      <c r="BB258" s="29" t="str">
        <f t="shared" si="261"/>
        <v>#DIV/0!</v>
      </c>
      <c r="BC258" s="29" t="str">
        <f t="shared" si="261"/>
        <v>#DIV/0!</v>
      </c>
      <c r="BD258" s="29" t="str">
        <f t="shared" si="261"/>
        <v>#DIV/0!</v>
      </c>
      <c r="BE258" s="29" t="str">
        <f t="shared" si="261"/>
        <v>#DIV/0!</v>
      </c>
      <c r="BF258" s="29" t="str">
        <f t="shared" si="261"/>
        <v>#DIV/0!</v>
      </c>
      <c r="BG258" s="29" t="str">
        <f t="shared" si="261"/>
        <v>#DIV/0!</v>
      </c>
      <c r="BH258" s="29" t="str">
        <f t="shared" si="261"/>
        <v>#DIV/0!</v>
      </c>
      <c r="BI258" s="29" t="str">
        <f t="shared" si="261"/>
        <v>#DIV/0!</v>
      </c>
      <c r="BJ258" s="29" t="str">
        <f t="shared" si="261"/>
        <v>#DIV/0!</v>
      </c>
      <c r="BK258" s="29" t="str">
        <f t="shared" si="261"/>
        <v>#DIV/0!</v>
      </c>
      <c r="BL258" s="29" t="str">
        <f t="shared" si="261"/>
        <v>#DIV/0!</v>
      </c>
      <c r="BM258" s="29" t="str">
        <f t="shared" si="3"/>
        <v>#DIV/0!</v>
      </c>
    </row>
    <row r="259">
      <c r="A259" s="16" t="str">
        <f>IFERROR(__xludf.DUMMYFUNCTION("IFERROR(SPARKLINE(SORT(MAP(TRANSPOSE(AQ259:BL259), LAMBDA(val, IF(ISNUMBER(val), PERCENTRANK(AQ259:BL259, val)+0.01, 0))), SEQUENCE(COLUMNS(AQ259:BL259)), FALSE), {""charttype"",""column""; ""color"",""chartreuse""; ""ymin"", 0; ""ymax"", 1.01; ""highcolo"&amp;"r"", ""darkgreen""; ""lowcolor"", ""red""}), """")"),"")</f>
        <v/>
      </c>
      <c r="B259" s="17" t="str">
        <f t="shared" si="4"/>
        <v/>
      </c>
      <c r="C259" s="1" t="s">
        <v>1214</v>
      </c>
      <c r="D259" s="34" t="str">
        <f>IFERROR(__xludf.DUMMYFUNCTION("IFERROR(GOOGLEFINANCE(C259, ""NAME""))"),"Western Alliance Bancorporation")</f>
        <v>Western Alliance Bancorporation</v>
      </c>
      <c r="E259" s="30" t="s">
        <v>268</v>
      </c>
      <c r="F259" s="33" t="str">
        <f>IFERROR(__xludf.DUMMYFUNCTION("( (GOOGLEFINANCE(C259, ""price"") - Q259) / Q259 ) / (R259 / 100)"),"Loading...")</f>
        <v>Loading...</v>
      </c>
      <c r="G259" s="20" t="str">
        <f>IFERROR(__xludf.DUMMYFUNCTION("AVERAGE(ARRAYFORMULA(100 * (QUERY(GOOGLEFINANCE(C259, ""high"", TODAY()-40, TODAY()), ""SELECT Col2 WHERE Col2 IS NOT NULL ORDER BY Col1 DESC LIMIT 20"", 0) / QUERY(GOOGLEFINANCE(C259, ""low"", TODAY()-40, TODAY()), ""SELECT Col2 WHERE Col2 IS NOT NULL OR"&amp;"DER BY Col1 DESC LIMIT 20"", 0) - 1)))"),"#N/A")</f>
        <v>#N/A</v>
      </c>
      <c r="H259" s="35" t="str">
        <f t="shared" si="6"/>
        <v/>
      </c>
      <c r="I259" s="36" t="str">
        <f t="shared" si="7"/>
        <v/>
      </c>
      <c r="J259" s="37" t="str">
        <f>IFERROR(__xludf.DUMMYFUNCTION("IFERROR(
  IF(C259="""",, 
    IFERROR(
      GOOGLEFINANCE(C259, ""price"") * GOOGLEFINANCE(C259, ""volumeavg""), 
      GOOGLEFINANCE(C259, ""price"") * AVERAGE(QUERY(GOOGLEFINANCE(C259, ""volume"", TODAY()-40, TODAY()), ""SELECT Col2 WHERE Col2 IS NOT "&amp;"NULL ORDER BY Col1 DESC LIMIT 20"", 0))
    )
  ), 
"""")"),"")</f>
        <v/>
      </c>
      <c r="K259" s="21" t="str">
        <f>IFERROR(__xludf.DUMMYFUNCTION("IFERROR(GOOGLEFINANCE(C259, ""changepct"") / 100, """")"),"")</f>
        <v/>
      </c>
      <c r="L259" s="21" t="str">
        <f>IFERROR(__xludf.DUMMYFUNCTION("IFERROR((GOOGLEFINANCE(C259, ""price"") / INDEX(GOOGLEFINANCE(C259, ""price"", TODAY()-7, TODAY()), 2, 2)) - 1, """")"),"")</f>
        <v/>
      </c>
      <c r="M259" s="21" t="str">
        <f>IFERROR(__xludf.DUMMYFUNCTION("IFERROR((GOOGLEFINANCE(C259, ""price"") / INDEX(GOOGLEFINANCE(C259, ""price"", EDATE(TODAY(), -1), TODAY()), 2, 2)) - 1, """")"),"")</f>
        <v/>
      </c>
      <c r="N259" s="21" t="str">
        <f>IFERROR(__xludf.DUMMYFUNCTION("IFERROR((GOOGLEFINANCE(C259, ""price"") / INDEX(GOOGLEFINANCE(C259, ""price"", EDATE(TODAY(), -3), TODAY()), 2, 2)) - 1, """")"),"")</f>
        <v/>
      </c>
      <c r="O259" s="21" t="str">
        <f>IFERROR(__xludf.DUMMYFUNCTION("IFERROR((GOOGLEFINANCE(C259, ""price"") / INDEX(GOOGLEFINANCE(C259, ""price"", EDATE(TODAY(), -6), TODAY()), 2, 2)) - 1, """")"),"")</f>
        <v/>
      </c>
      <c r="P259" s="21" t="str">
        <f>IFERROR(__xludf.DUMMYFUNCTION("IFERROR((GOOGLEFINANCE(C259, ""price"") / INDEX(GOOGLEFINANCE(C259, ""price"", EDATE(TODAY(), -12), TODAY()), 2, 2)) - 1, """")"),"")</f>
        <v/>
      </c>
      <c r="Q259" s="6" t="str">
        <f>IFERROR(__xludf.DUMMYFUNCTION("AVERAGE(QUERY(GOOGLEFINANCE(C259, ""price"", TODAY()-80, TODAY()), ""SELECT Col2 WHERE Col2 IS NOT NULL ORDER BY Col1 DESC LIMIT 50"", 0))"),"#N/A")</f>
        <v>#N/A</v>
      </c>
      <c r="R259" s="24" t="str">
        <f>IFERROR(__xludf.DUMMYFUNCTION("IFERROR(
  LET(
    data, QUERY(GOOGLEFINANCE(C259,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GOOGLEFINANCE(C259, ""price"")) * 100,
    IF(calc=0, G259, calc)
  ), 
G259)"),"#N/A")</f>
        <v>#N/A</v>
      </c>
      <c r="S259" s="8" t="s">
        <v>15</v>
      </c>
      <c r="T259" s="26" t="str">
        <f>IFERROR(__xludf.DUMMYFUNCTION("IFERROR(TRANSPOSE(QUERY(IFERROR(SORT(GOOGLEFINANCE(C259, ""price"", WORKDAY(TODAY(), -40), TODAY()), 1, FALSE)), ""select Col2 where Col2 is not null limit 22 label Col2 ''"", 0)), """")"),"")</f>
        <v/>
      </c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8"/>
      <c r="AO259" s="28"/>
      <c r="AP259" s="29"/>
      <c r="AQ259" s="29" t="str">
        <f t="shared" ref="AQ259:BL259" si="262">T259/T$2</f>
        <v>#N/A</v>
      </c>
      <c r="AR259" s="29" t="str">
        <f t="shared" si="262"/>
        <v>#DIV/0!</v>
      </c>
      <c r="AS259" s="29" t="str">
        <f t="shared" si="262"/>
        <v>#DIV/0!</v>
      </c>
      <c r="AT259" s="29" t="str">
        <f t="shared" si="262"/>
        <v>#DIV/0!</v>
      </c>
      <c r="AU259" s="29" t="str">
        <f t="shared" si="262"/>
        <v>#DIV/0!</v>
      </c>
      <c r="AV259" s="29" t="str">
        <f t="shared" si="262"/>
        <v>#DIV/0!</v>
      </c>
      <c r="AW259" s="29" t="str">
        <f t="shared" si="262"/>
        <v>#DIV/0!</v>
      </c>
      <c r="AX259" s="29" t="str">
        <f t="shared" si="262"/>
        <v>#DIV/0!</v>
      </c>
      <c r="AY259" s="29" t="str">
        <f t="shared" si="262"/>
        <v>#DIV/0!</v>
      </c>
      <c r="AZ259" s="29" t="str">
        <f t="shared" si="262"/>
        <v>#DIV/0!</v>
      </c>
      <c r="BA259" s="29" t="str">
        <f t="shared" si="262"/>
        <v>#DIV/0!</v>
      </c>
      <c r="BB259" s="29" t="str">
        <f t="shared" si="262"/>
        <v>#DIV/0!</v>
      </c>
      <c r="BC259" s="29" t="str">
        <f t="shared" si="262"/>
        <v>#DIV/0!</v>
      </c>
      <c r="BD259" s="29" t="str">
        <f t="shared" si="262"/>
        <v>#DIV/0!</v>
      </c>
      <c r="BE259" s="29" t="str">
        <f t="shared" si="262"/>
        <v>#DIV/0!</v>
      </c>
      <c r="BF259" s="29" t="str">
        <f t="shared" si="262"/>
        <v>#DIV/0!</v>
      </c>
      <c r="BG259" s="29" t="str">
        <f t="shared" si="262"/>
        <v>#DIV/0!</v>
      </c>
      <c r="BH259" s="29" t="str">
        <f t="shared" si="262"/>
        <v>#DIV/0!</v>
      </c>
      <c r="BI259" s="29" t="str">
        <f t="shared" si="262"/>
        <v>#DIV/0!</v>
      </c>
      <c r="BJ259" s="29" t="str">
        <f t="shared" si="262"/>
        <v>#DIV/0!</v>
      </c>
      <c r="BK259" s="29" t="str">
        <f t="shared" si="262"/>
        <v>#DIV/0!</v>
      </c>
      <c r="BL259" s="29" t="str">
        <f t="shared" si="262"/>
        <v>#DIV/0!</v>
      </c>
      <c r="BM259" s="29" t="str">
        <f t="shared" si="3"/>
        <v>#DIV/0!</v>
      </c>
    </row>
    <row r="260">
      <c r="A260" s="16" t="str">
        <f>IFERROR(__xludf.DUMMYFUNCTION("IFERROR(SPARKLINE(SORT(MAP(TRANSPOSE(AQ260:BL260), LAMBDA(val, IF(ISNUMBER(val), PERCENTRANK(AQ260:BL260, val)+0.01, 0))), SEQUENCE(COLUMNS(AQ260:BL260)), FALSE), {""charttype"",""column""; ""color"",""chartreuse""; ""ymin"", 0; ""ymax"", 1.01; ""highcolo"&amp;"r"", ""darkgreen""; ""lowcolor"", ""red""}), """")"),"")</f>
        <v/>
      </c>
      <c r="B260" s="17" t="str">
        <f t="shared" si="4"/>
        <v/>
      </c>
      <c r="C260" s="1" t="s">
        <v>1218</v>
      </c>
      <c r="D260" s="34" t="str">
        <f>IFERROR(__xludf.DUMMYFUNCTION("IFERROR(GOOGLEFINANCE(C260, ""NAME""))"),"Southern Missouri Bancorp Inc")</f>
        <v>Southern Missouri Bancorp Inc</v>
      </c>
      <c r="E260" s="30" t="s">
        <v>268</v>
      </c>
      <c r="F260" s="33" t="str">
        <f>IFERROR(__xludf.DUMMYFUNCTION("( (GOOGLEFINANCE(C260, ""price"") - Q260) / Q260 ) / (R260 / 100)"),"Loading...")</f>
        <v>Loading...</v>
      </c>
      <c r="G260" s="20" t="str">
        <f>IFERROR(__xludf.DUMMYFUNCTION("AVERAGE(ARRAYFORMULA(100 * (QUERY(GOOGLEFINANCE(C260, ""high"", TODAY()-40, TODAY()), ""SELECT Col2 WHERE Col2 IS NOT NULL ORDER BY Col1 DESC LIMIT 20"", 0) / QUERY(GOOGLEFINANCE(C260, ""low"", TODAY()-40, TODAY()), ""SELECT Col2 WHERE Col2 IS NOT NULL OR"&amp;"DER BY Col1 DESC LIMIT 20"", 0) - 1)))"),"#N/A")</f>
        <v>#N/A</v>
      </c>
      <c r="H260" s="35" t="str">
        <f t="shared" si="6"/>
        <v/>
      </c>
      <c r="I260" s="36" t="str">
        <f t="shared" si="7"/>
        <v/>
      </c>
      <c r="J260" s="37" t="str">
        <f>IFERROR(__xludf.DUMMYFUNCTION("IFERROR(
  IF(C260="""",, 
    IFERROR(
      GOOGLEFINANCE(C260, ""price"") * GOOGLEFINANCE(C260, ""volumeavg""), 
      GOOGLEFINANCE(C260, ""price"") * AVERAGE(QUERY(GOOGLEFINANCE(C260, ""volume"", TODAY()-40, TODAY()), ""SELECT Col2 WHERE Col2 IS NOT "&amp;"NULL ORDER BY Col1 DESC LIMIT 20"", 0))
    )
  ), 
"""")"),"")</f>
        <v/>
      </c>
      <c r="K260" s="21" t="str">
        <f>IFERROR(__xludf.DUMMYFUNCTION("IFERROR(GOOGLEFINANCE(C260, ""changepct"") / 100, """")"),"")</f>
        <v/>
      </c>
      <c r="L260" s="21" t="str">
        <f>IFERROR(__xludf.DUMMYFUNCTION("IFERROR((GOOGLEFINANCE(C260, ""price"") / INDEX(GOOGLEFINANCE(C260, ""price"", TODAY()-7, TODAY()), 2, 2)) - 1, """")"),"")</f>
        <v/>
      </c>
      <c r="M260" s="21" t="str">
        <f>IFERROR(__xludf.DUMMYFUNCTION("IFERROR((GOOGLEFINANCE(C260, ""price"") / INDEX(GOOGLEFINANCE(C260, ""price"", EDATE(TODAY(), -1), TODAY()), 2, 2)) - 1, """")"),"")</f>
        <v/>
      </c>
      <c r="N260" s="21" t="str">
        <f>IFERROR(__xludf.DUMMYFUNCTION("IFERROR((GOOGLEFINANCE(C260, ""price"") / INDEX(GOOGLEFINANCE(C260, ""price"", EDATE(TODAY(), -3), TODAY()), 2, 2)) - 1, """")"),"")</f>
        <v/>
      </c>
      <c r="O260" s="21" t="str">
        <f>IFERROR(__xludf.DUMMYFUNCTION("IFERROR((GOOGLEFINANCE(C260, ""price"") / INDEX(GOOGLEFINANCE(C260, ""price"", EDATE(TODAY(), -6), TODAY()), 2, 2)) - 1, """")"),"")</f>
        <v/>
      </c>
      <c r="P260" s="21" t="str">
        <f>IFERROR(__xludf.DUMMYFUNCTION("IFERROR((GOOGLEFINANCE(C260, ""price"") / INDEX(GOOGLEFINANCE(C260, ""price"", EDATE(TODAY(), -12), TODAY()), 2, 2)) - 1, """")"),"")</f>
        <v/>
      </c>
      <c r="Q260" s="6" t="str">
        <f>IFERROR(__xludf.DUMMYFUNCTION("AVERAGE(QUERY(GOOGLEFINANCE(C260, ""price"", TODAY()-80, TODAY()), ""SELECT Col2 WHERE Col2 IS NOT NULL ORDER BY Col1 DESC LIMIT 50"", 0))"),"#N/A")</f>
        <v>#N/A</v>
      </c>
      <c r="R260" s="24" t="str">
        <f>IFERROR(__xludf.DUMMYFUNCTION("IFERROR(
  LET(
    data, QUERY(GOOGLEFINANCE(C260,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GOOGLEFINANCE(C260, ""price"")) * 100,
    IF(calc=0, G260, calc)
  ), 
G260)"),"#N/A")</f>
        <v>#N/A</v>
      </c>
      <c r="S260" s="8" t="s">
        <v>15</v>
      </c>
      <c r="T260" s="26" t="str">
        <f>IFERROR(__xludf.DUMMYFUNCTION("IFERROR(TRANSPOSE(QUERY(IFERROR(SORT(GOOGLEFINANCE(C260, ""price"", WORKDAY(TODAY(), -40), TODAY()), 1, FALSE)), ""select Col2 where Col2 is not null limit 22 label Col2 ''"", 0)), """")"),"")</f>
        <v/>
      </c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8"/>
      <c r="AO260" s="28"/>
      <c r="AP260" s="29"/>
      <c r="AQ260" s="29" t="str">
        <f t="shared" ref="AQ260:BL260" si="263">T260/T$2</f>
        <v>#N/A</v>
      </c>
      <c r="AR260" s="29" t="str">
        <f t="shared" si="263"/>
        <v>#DIV/0!</v>
      </c>
      <c r="AS260" s="29" t="str">
        <f t="shared" si="263"/>
        <v>#DIV/0!</v>
      </c>
      <c r="AT260" s="29" t="str">
        <f t="shared" si="263"/>
        <v>#DIV/0!</v>
      </c>
      <c r="AU260" s="29" t="str">
        <f t="shared" si="263"/>
        <v>#DIV/0!</v>
      </c>
      <c r="AV260" s="29" t="str">
        <f t="shared" si="263"/>
        <v>#DIV/0!</v>
      </c>
      <c r="AW260" s="29" t="str">
        <f t="shared" si="263"/>
        <v>#DIV/0!</v>
      </c>
      <c r="AX260" s="29" t="str">
        <f t="shared" si="263"/>
        <v>#DIV/0!</v>
      </c>
      <c r="AY260" s="29" t="str">
        <f t="shared" si="263"/>
        <v>#DIV/0!</v>
      </c>
      <c r="AZ260" s="29" t="str">
        <f t="shared" si="263"/>
        <v>#DIV/0!</v>
      </c>
      <c r="BA260" s="29" t="str">
        <f t="shared" si="263"/>
        <v>#DIV/0!</v>
      </c>
      <c r="BB260" s="29" t="str">
        <f t="shared" si="263"/>
        <v>#DIV/0!</v>
      </c>
      <c r="BC260" s="29" t="str">
        <f t="shared" si="263"/>
        <v>#DIV/0!</v>
      </c>
      <c r="BD260" s="29" t="str">
        <f t="shared" si="263"/>
        <v>#DIV/0!</v>
      </c>
      <c r="BE260" s="29" t="str">
        <f t="shared" si="263"/>
        <v>#DIV/0!</v>
      </c>
      <c r="BF260" s="29" t="str">
        <f t="shared" si="263"/>
        <v>#DIV/0!</v>
      </c>
      <c r="BG260" s="29" t="str">
        <f t="shared" si="263"/>
        <v>#DIV/0!</v>
      </c>
      <c r="BH260" s="29" t="str">
        <f t="shared" si="263"/>
        <v>#DIV/0!</v>
      </c>
      <c r="BI260" s="29" t="str">
        <f t="shared" si="263"/>
        <v>#DIV/0!</v>
      </c>
      <c r="BJ260" s="29" t="str">
        <f t="shared" si="263"/>
        <v>#DIV/0!</v>
      </c>
      <c r="BK260" s="29" t="str">
        <f t="shared" si="263"/>
        <v>#DIV/0!</v>
      </c>
      <c r="BL260" s="29" t="str">
        <f t="shared" si="263"/>
        <v>#DIV/0!</v>
      </c>
      <c r="BM260" s="29" t="str">
        <f t="shared" si="3"/>
        <v>#DIV/0!</v>
      </c>
    </row>
    <row r="261">
      <c r="A261" s="16" t="str">
        <f>IFERROR(__xludf.DUMMYFUNCTION("IFERROR(SPARKLINE(SORT(MAP(TRANSPOSE(AQ261:BL261), LAMBDA(val, IF(ISNUMBER(val), PERCENTRANK(AQ261:BL261, val)+0.01, 0))), SEQUENCE(COLUMNS(AQ261:BL261)), FALSE), {""charttype"",""column""; ""color"",""chartreuse""; ""ymin"", 0; ""ymax"", 1.01; ""highcolo"&amp;"r"", ""darkgreen""; ""lowcolor"", ""red""}), """")"),"")</f>
        <v/>
      </c>
      <c r="B261" s="17" t="str">
        <f t="shared" si="4"/>
        <v/>
      </c>
      <c r="C261" s="1" t="s">
        <v>1222</v>
      </c>
      <c r="D261" s="34" t="str">
        <f>IFERROR(__xludf.DUMMYFUNCTION("IFERROR(GOOGLEFINANCE(C261, ""NAME""))"),"Byline Bancorp Inc")</f>
        <v>Byline Bancorp Inc</v>
      </c>
      <c r="E261" s="30" t="s">
        <v>268</v>
      </c>
      <c r="F261" s="33" t="str">
        <f>IFERROR(__xludf.DUMMYFUNCTION("( (GOOGLEFINANCE(C261, ""price"") - Q261) / Q261 ) / (R261 / 100)"),"Loading...")</f>
        <v>Loading...</v>
      </c>
      <c r="G261" s="20" t="str">
        <f>IFERROR(__xludf.DUMMYFUNCTION("AVERAGE(ARRAYFORMULA(100 * (QUERY(GOOGLEFINANCE(C261, ""high"", TODAY()-40, TODAY()), ""SELECT Col2 WHERE Col2 IS NOT NULL ORDER BY Col1 DESC LIMIT 20"", 0) / QUERY(GOOGLEFINANCE(C261, ""low"", TODAY()-40, TODAY()), ""SELECT Col2 WHERE Col2 IS NOT NULL OR"&amp;"DER BY Col1 DESC LIMIT 20"", 0) - 1)))"),"#N/A")</f>
        <v>#N/A</v>
      </c>
      <c r="H261" s="35" t="str">
        <f t="shared" si="6"/>
        <v/>
      </c>
      <c r="I261" s="36" t="str">
        <f t="shared" si="7"/>
        <v/>
      </c>
      <c r="J261" s="37" t="str">
        <f>IFERROR(__xludf.DUMMYFUNCTION("IFERROR(
  IF(C261="""",, 
    IFERROR(
      GOOGLEFINANCE(C261, ""price"") * GOOGLEFINANCE(C261, ""volumeavg""), 
      GOOGLEFINANCE(C261, ""price"") * AVERAGE(QUERY(GOOGLEFINANCE(C261, ""volume"", TODAY()-40, TODAY()), ""SELECT Col2 WHERE Col2 IS NOT "&amp;"NULL ORDER BY Col1 DESC LIMIT 20"", 0))
    )
  ), 
"""")"),"")</f>
        <v/>
      </c>
      <c r="K261" s="21" t="str">
        <f>IFERROR(__xludf.DUMMYFUNCTION("IFERROR(GOOGLEFINANCE(C261, ""changepct"") / 100, """")"),"")</f>
        <v/>
      </c>
      <c r="L261" s="21" t="str">
        <f>IFERROR(__xludf.DUMMYFUNCTION("IFERROR((GOOGLEFINANCE(C261, ""price"") / INDEX(GOOGLEFINANCE(C261, ""price"", TODAY()-7, TODAY()), 2, 2)) - 1, """")"),"")</f>
        <v/>
      </c>
      <c r="M261" s="21" t="str">
        <f>IFERROR(__xludf.DUMMYFUNCTION("IFERROR((GOOGLEFINANCE(C261, ""price"") / INDEX(GOOGLEFINANCE(C261, ""price"", EDATE(TODAY(), -1), TODAY()), 2, 2)) - 1, """")"),"")</f>
        <v/>
      </c>
      <c r="N261" s="21" t="str">
        <f>IFERROR(__xludf.DUMMYFUNCTION("IFERROR((GOOGLEFINANCE(C261, ""price"") / INDEX(GOOGLEFINANCE(C261, ""price"", EDATE(TODAY(), -3), TODAY()), 2, 2)) - 1, """")"),"")</f>
        <v/>
      </c>
      <c r="O261" s="21" t="str">
        <f>IFERROR(__xludf.DUMMYFUNCTION("IFERROR((GOOGLEFINANCE(C261, ""price"") / INDEX(GOOGLEFINANCE(C261, ""price"", EDATE(TODAY(), -6), TODAY()), 2, 2)) - 1, """")"),"")</f>
        <v/>
      </c>
      <c r="P261" s="21" t="str">
        <f>IFERROR(__xludf.DUMMYFUNCTION("IFERROR((GOOGLEFINANCE(C261, ""price"") / INDEX(GOOGLEFINANCE(C261, ""price"", EDATE(TODAY(), -12), TODAY()), 2, 2)) - 1, """")"),"")</f>
        <v/>
      </c>
      <c r="Q261" s="6" t="str">
        <f>IFERROR(__xludf.DUMMYFUNCTION("AVERAGE(QUERY(GOOGLEFINANCE(C261, ""price"", TODAY()-80, TODAY()), ""SELECT Col2 WHERE Col2 IS NOT NULL ORDER BY Col1 DESC LIMIT 50"", 0))"),"#N/A")</f>
        <v>#N/A</v>
      </c>
      <c r="R261" s="24" t="str">
        <f>IFERROR(__xludf.DUMMYFUNCTION("IFERROR(
  LET(
    data, QUERY(GOOGLEFINANCE(C261,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GOOGLEFINANCE(C261, ""price"")) * 100,
    IF(calc=0, G261, calc)
  ), 
G261)"),"#N/A")</f>
        <v>#N/A</v>
      </c>
      <c r="S261" s="8" t="s">
        <v>15</v>
      </c>
      <c r="T261" s="26" t="str">
        <f>IFERROR(__xludf.DUMMYFUNCTION("IFERROR(TRANSPOSE(QUERY(IFERROR(SORT(GOOGLEFINANCE(C261, ""price"", WORKDAY(TODAY(), -40), TODAY()), 1, FALSE)), ""select Col2 where Col2 is not null limit 22 label Col2 ''"", 0)), """")"),"")</f>
        <v/>
      </c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8"/>
      <c r="AO261" s="28"/>
      <c r="AP261" s="29"/>
      <c r="AQ261" s="29" t="str">
        <f t="shared" ref="AQ261:BL261" si="264">T261/T$2</f>
        <v>#N/A</v>
      </c>
      <c r="AR261" s="29" t="str">
        <f t="shared" si="264"/>
        <v>#DIV/0!</v>
      </c>
      <c r="AS261" s="29" t="str">
        <f t="shared" si="264"/>
        <v>#DIV/0!</v>
      </c>
      <c r="AT261" s="29" t="str">
        <f t="shared" si="264"/>
        <v>#DIV/0!</v>
      </c>
      <c r="AU261" s="29" t="str">
        <f t="shared" si="264"/>
        <v>#DIV/0!</v>
      </c>
      <c r="AV261" s="29" t="str">
        <f t="shared" si="264"/>
        <v>#DIV/0!</v>
      </c>
      <c r="AW261" s="29" t="str">
        <f t="shared" si="264"/>
        <v>#DIV/0!</v>
      </c>
      <c r="AX261" s="29" t="str">
        <f t="shared" si="264"/>
        <v>#DIV/0!</v>
      </c>
      <c r="AY261" s="29" t="str">
        <f t="shared" si="264"/>
        <v>#DIV/0!</v>
      </c>
      <c r="AZ261" s="29" t="str">
        <f t="shared" si="264"/>
        <v>#DIV/0!</v>
      </c>
      <c r="BA261" s="29" t="str">
        <f t="shared" si="264"/>
        <v>#DIV/0!</v>
      </c>
      <c r="BB261" s="29" t="str">
        <f t="shared" si="264"/>
        <v>#DIV/0!</v>
      </c>
      <c r="BC261" s="29" t="str">
        <f t="shared" si="264"/>
        <v>#DIV/0!</v>
      </c>
      <c r="BD261" s="29" t="str">
        <f t="shared" si="264"/>
        <v>#DIV/0!</v>
      </c>
      <c r="BE261" s="29" t="str">
        <f t="shared" si="264"/>
        <v>#DIV/0!</v>
      </c>
      <c r="BF261" s="29" t="str">
        <f t="shared" si="264"/>
        <v>#DIV/0!</v>
      </c>
      <c r="BG261" s="29" t="str">
        <f t="shared" si="264"/>
        <v>#DIV/0!</v>
      </c>
      <c r="BH261" s="29" t="str">
        <f t="shared" si="264"/>
        <v>#DIV/0!</v>
      </c>
      <c r="BI261" s="29" t="str">
        <f t="shared" si="264"/>
        <v>#DIV/0!</v>
      </c>
      <c r="BJ261" s="29" t="str">
        <f t="shared" si="264"/>
        <v>#DIV/0!</v>
      </c>
      <c r="BK261" s="29" t="str">
        <f t="shared" si="264"/>
        <v>#DIV/0!</v>
      </c>
      <c r="BL261" s="29" t="str">
        <f t="shared" si="264"/>
        <v>#DIV/0!</v>
      </c>
      <c r="BM261" s="29" t="str">
        <f t="shared" si="3"/>
        <v>#DIV/0!</v>
      </c>
    </row>
    <row r="262">
      <c r="A262" s="16" t="str">
        <f>IFERROR(__xludf.DUMMYFUNCTION("IFERROR(SPARKLINE(SORT(MAP(TRANSPOSE(AQ262:BL262), LAMBDA(val, IF(ISNUMBER(val), PERCENTRANK(AQ262:BL262, val)+0.01, 0))), SEQUENCE(COLUMNS(AQ262:BL262)), FALSE), {""charttype"",""column""; ""color"",""chartreuse""; ""ymin"", 0; ""ymax"", 1.01; ""highcolo"&amp;"r"", ""darkgreen""; ""lowcolor"", ""red""}), """")"),"")</f>
        <v/>
      </c>
      <c r="B262" s="17" t="str">
        <f t="shared" si="4"/>
        <v/>
      </c>
      <c r="C262" s="1" t="s">
        <v>1228</v>
      </c>
      <c r="D262" s="34" t="str">
        <f>IFERROR(__xludf.DUMMYFUNCTION("IFERROR(GOOGLEFINANCE(C262, ""NAME""))"),"Red River Bancshares Inc")</f>
        <v>Red River Bancshares Inc</v>
      </c>
      <c r="E262" s="30" t="s">
        <v>268</v>
      </c>
      <c r="F262" s="33" t="str">
        <f>IFERROR(__xludf.DUMMYFUNCTION("( (GOOGLEFINANCE(C262, ""price"") - Q262) / Q262 ) / (R262 / 100)"),"Loading...")</f>
        <v>Loading...</v>
      </c>
      <c r="G262" s="20" t="str">
        <f>IFERROR(__xludf.DUMMYFUNCTION("AVERAGE(ARRAYFORMULA(100 * (QUERY(GOOGLEFINANCE(C262, ""high"", TODAY()-40, TODAY()), ""SELECT Col2 WHERE Col2 IS NOT NULL ORDER BY Col1 DESC LIMIT 20"", 0) / QUERY(GOOGLEFINANCE(C262, ""low"", TODAY()-40, TODAY()), ""SELECT Col2 WHERE Col2 IS NOT NULL OR"&amp;"DER BY Col1 DESC LIMIT 20"", 0) - 1)))"),"#N/A")</f>
        <v>#N/A</v>
      </c>
      <c r="H262" s="35" t="str">
        <f t="shared" si="6"/>
        <v/>
      </c>
      <c r="I262" s="36" t="str">
        <f t="shared" si="7"/>
        <v/>
      </c>
      <c r="J262" s="37" t="str">
        <f>IFERROR(__xludf.DUMMYFUNCTION("IFERROR(
  IF(C262="""",, 
    IFERROR(
      GOOGLEFINANCE(C262, ""price"") * GOOGLEFINANCE(C262, ""volumeavg""), 
      GOOGLEFINANCE(C262, ""price"") * AVERAGE(QUERY(GOOGLEFINANCE(C262, ""volume"", TODAY()-40, TODAY()), ""SELECT Col2 WHERE Col2 IS NOT "&amp;"NULL ORDER BY Col1 DESC LIMIT 20"", 0))
    )
  ), 
"""")"),"")</f>
        <v/>
      </c>
      <c r="K262" s="21" t="str">
        <f>IFERROR(__xludf.DUMMYFUNCTION("IFERROR(GOOGLEFINANCE(C262, ""changepct"") / 100, """")"),"")</f>
        <v/>
      </c>
      <c r="L262" s="21" t="str">
        <f>IFERROR(__xludf.DUMMYFUNCTION("IFERROR((GOOGLEFINANCE(C262, ""price"") / INDEX(GOOGLEFINANCE(C262, ""price"", TODAY()-7, TODAY()), 2, 2)) - 1, """")"),"")</f>
        <v/>
      </c>
      <c r="M262" s="21" t="str">
        <f>IFERROR(__xludf.DUMMYFUNCTION("IFERROR((GOOGLEFINANCE(C262, ""price"") / INDEX(GOOGLEFINANCE(C262, ""price"", EDATE(TODAY(), -1), TODAY()), 2, 2)) - 1, """")"),"")</f>
        <v/>
      </c>
      <c r="N262" s="21" t="str">
        <f>IFERROR(__xludf.DUMMYFUNCTION("IFERROR((GOOGLEFINANCE(C262, ""price"") / INDEX(GOOGLEFINANCE(C262, ""price"", EDATE(TODAY(), -3), TODAY()), 2, 2)) - 1, """")"),"")</f>
        <v/>
      </c>
      <c r="O262" s="21" t="str">
        <f>IFERROR(__xludf.DUMMYFUNCTION("IFERROR((GOOGLEFINANCE(C262, ""price"") / INDEX(GOOGLEFINANCE(C262, ""price"", EDATE(TODAY(), -6), TODAY()), 2, 2)) - 1, """")"),"")</f>
        <v/>
      </c>
      <c r="P262" s="21" t="str">
        <f>IFERROR(__xludf.DUMMYFUNCTION("IFERROR((GOOGLEFINANCE(C262, ""price"") / INDEX(GOOGLEFINANCE(C262, ""price"", EDATE(TODAY(), -12), TODAY()), 2, 2)) - 1, """")"),"")</f>
        <v/>
      </c>
      <c r="Q262" s="6" t="str">
        <f>IFERROR(__xludf.DUMMYFUNCTION("AVERAGE(QUERY(GOOGLEFINANCE(C262, ""price"", TODAY()-80, TODAY()), ""SELECT Col2 WHERE Col2 IS NOT NULL ORDER BY Col1 DESC LIMIT 50"", 0))"),"#N/A")</f>
        <v>#N/A</v>
      </c>
      <c r="R262" s="24" t="str">
        <f>IFERROR(__xludf.DUMMYFUNCTION("IFERROR(
  LET(
    data, QUERY(GOOGLEFINANCE(C262,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GOOGLEFINANCE(C262, ""price"")) * 100,
    IF(calc=0, G262, calc)
  ), 
G262)"),"#N/A")</f>
        <v>#N/A</v>
      </c>
      <c r="S262" s="8" t="s">
        <v>15</v>
      </c>
      <c r="T262" s="26" t="str">
        <f>IFERROR(__xludf.DUMMYFUNCTION("IFERROR(TRANSPOSE(QUERY(IFERROR(SORT(GOOGLEFINANCE(C262, ""price"", WORKDAY(TODAY(), -40), TODAY()), 1, FALSE)), ""select Col2 where Col2 is not null limit 22 label Col2 ''"", 0)), """")"),"")</f>
        <v/>
      </c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8"/>
      <c r="AO262" s="28"/>
      <c r="AP262" s="29"/>
      <c r="AQ262" s="29" t="str">
        <f t="shared" ref="AQ262:BL262" si="265">T262/T$2</f>
        <v>#N/A</v>
      </c>
      <c r="AR262" s="29" t="str">
        <f t="shared" si="265"/>
        <v>#DIV/0!</v>
      </c>
      <c r="AS262" s="29" t="str">
        <f t="shared" si="265"/>
        <v>#DIV/0!</v>
      </c>
      <c r="AT262" s="29" t="str">
        <f t="shared" si="265"/>
        <v>#DIV/0!</v>
      </c>
      <c r="AU262" s="29" t="str">
        <f t="shared" si="265"/>
        <v>#DIV/0!</v>
      </c>
      <c r="AV262" s="29" t="str">
        <f t="shared" si="265"/>
        <v>#DIV/0!</v>
      </c>
      <c r="AW262" s="29" t="str">
        <f t="shared" si="265"/>
        <v>#DIV/0!</v>
      </c>
      <c r="AX262" s="29" t="str">
        <f t="shared" si="265"/>
        <v>#DIV/0!</v>
      </c>
      <c r="AY262" s="29" t="str">
        <f t="shared" si="265"/>
        <v>#DIV/0!</v>
      </c>
      <c r="AZ262" s="29" t="str">
        <f t="shared" si="265"/>
        <v>#DIV/0!</v>
      </c>
      <c r="BA262" s="29" t="str">
        <f t="shared" si="265"/>
        <v>#DIV/0!</v>
      </c>
      <c r="BB262" s="29" t="str">
        <f t="shared" si="265"/>
        <v>#DIV/0!</v>
      </c>
      <c r="BC262" s="29" t="str">
        <f t="shared" si="265"/>
        <v>#DIV/0!</v>
      </c>
      <c r="BD262" s="29" t="str">
        <f t="shared" si="265"/>
        <v>#DIV/0!</v>
      </c>
      <c r="BE262" s="29" t="str">
        <f t="shared" si="265"/>
        <v>#DIV/0!</v>
      </c>
      <c r="BF262" s="29" t="str">
        <f t="shared" si="265"/>
        <v>#DIV/0!</v>
      </c>
      <c r="BG262" s="29" t="str">
        <f t="shared" si="265"/>
        <v>#DIV/0!</v>
      </c>
      <c r="BH262" s="29" t="str">
        <f t="shared" si="265"/>
        <v>#DIV/0!</v>
      </c>
      <c r="BI262" s="29" t="str">
        <f t="shared" si="265"/>
        <v>#DIV/0!</v>
      </c>
      <c r="BJ262" s="29" t="str">
        <f t="shared" si="265"/>
        <v>#DIV/0!</v>
      </c>
      <c r="BK262" s="29" t="str">
        <f t="shared" si="265"/>
        <v>#DIV/0!</v>
      </c>
      <c r="BL262" s="29" t="str">
        <f t="shared" si="265"/>
        <v>#DIV/0!</v>
      </c>
      <c r="BM262" s="29" t="str">
        <f t="shared" si="3"/>
        <v>#DIV/0!</v>
      </c>
    </row>
    <row r="263">
      <c r="A263" s="16" t="str">
        <f>IFERROR(__xludf.DUMMYFUNCTION("IFERROR(SPARKLINE(SORT(MAP(TRANSPOSE(AQ263:BL263), LAMBDA(val, IF(ISNUMBER(val), PERCENTRANK(AQ263:BL263, val)+0.01, 0))), SEQUENCE(COLUMNS(AQ263:BL263)), FALSE), {""charttype"",""column""; ""color"",""chartreuse""; ""ymin"", 0; ""ymax"", 1.01; ""highcolo"&amp;"r"", ""darkgreen""; ""lowcolor"", ""red""}), """")"),"")</f>
        <v/>
      </c>
      <c r="B263" s="17" t="str">
        <f t="shared" si="4"/>
        <v/>
      </c>
      <c r="C263" s="1" t="s">
        <v>1233</v>
      </c>
      <c r="D263" s="34" t="str">
        <f>IFERROR(__xludf.DUMMYFUNCTION("IFERROR(GOOGLEFINANCE(C263, ""NAME""))"),"Mechanics Bancorp")</f>
        <v>Mechanics Bancorp</v>
      </c>
      <c r="E263" s="30" t="s">
        <v>268</v>
      </c>
      <c r="F263" s="33" t="str">
        <f>IFERROR(__xludf.DUMMYFUNCTION("( (GOOGLEFINANCE(C263, ""price"") - Q263) / Q263 ) / (R263 / 100)"),"Loading...")</f>
        <v>Loading...</v>
      </c>
      <c r="G263" s="20" t="str">
        <f>IFERROR(__xludf.DUMMYFUNCTION("AVERAGE(ARRAYFORMULA(100 * (QUERY(GOOGLEFINANCE(C263, ""high"", TODAY()-40, TODAY()), ""SELECT Col2 WHERE Col2 IS NOT NULL ORDER BY Col1 DESC LIMIT 20"", 0) / QUERY(GOOGLEFINANCE(C263, ""low"", TODAY()-40, TODAY()), ""SELECT Col2 WHERE Col2 IS NOT NULL OR"&amp;"DER BY Col1 DESC LIMIT 20"", 0) - 1)))"),"#N/A")</f>
        <v>#N/A</v>
      </c>
      <c r="H263" s="35" t="str">
        <f t="shared" si="6"/>
        <v/>
      </c>
      <c r="I263" s="36" t="str">
        <f t="shared" si="7"/>
        <v/>
      </c>
      <c r="J263" s="37" t="str">
        <f>IFERROR(__xludf.DUMMYFUNCTION("IFERROR(
  IF(C263="""",, 
    IFERROR(
      GOOGLEFINANCE(C263, ""price"") * GOOGLEFINANCE(C263, ""volumeavg""), 
      GOOGLEFINANCE(C263, ""price"") * AVERAGE(QUERY(GOOGLEFINANCE(C263, ""volume"", TODAY()-40, TODAY()), ""SELECT Col2 WHERE Col2 IS NOT "&amp;"NULL ORDER BY Col1 DESC LIMIT 20"", 0))
    )
  ), 
"""")"),"")</f>
        <v/>
      </c>
      <c r="K263" s="21" t="str">
        <f>IFERROR(__xludf.DUMMYFUNCTION("IFERROR(GOOGLEFINANCE(C263, ""changepct"") / 100, """")"),"")</f>
        <v/>
      </c>
      <c r="L263" s="21" t="str">
        <f>IFERROR(__xludf.DUMMYFUNCTION("IFERROR((GOOGLEFINANCE(C263, ""price"") / INDEX(GOOGLEFINANCE(C263, ""price"", TODAY()-7, TODAY()), 2, 2)) - 1, """")"),"")</f>
        <v/>
      </c>
      <c r="M263" s="21" t="str">
        <f>IFERROR(__xludf.DUMMYFUNCTION("IFERROR((GOOGLEFINANCE(C263, ""price"") / INDEX(GOOGLEFINANCE(C263, ""price"", EDATE(TODAY(), -1), TODAY()), 2, 2)) - 1, """")"),"")</f>
        <v/>
      </c>
      <c r="N263" s="21" t="str">
        <f>IFERROR(__xludf.DUMMYFUNCTION("IFERROR((GOOGLEFINANCE(C263, ""price"") / INDEX(GOOGLEFINANCE(C263, ""price"", EDATE(TODAY(), -3), TODAY()), 2, 2)) - 1, """")"),"")</f>
        <v/>
      </c>
      <c r="O263" s="21" t="str">
        <f>IFERROR(__xludf.DUMMYFUNCTION("IFERROR((GOOGLEFINANCE(C263, ""price"") / INDEX(GOOGLEFINANCE(C263, ""price"", EDATE(TODAY(), -6), TODAY()), 2, 2)) - 1, """")"),"")</f>
        <v/>
      </c>
      <c r="P263" s="21" t="str">
        <f>IFERROR(__xludf.DUMMYFUNCTION("IFERROR((GOOGLEFINANCE(C263, ""price"") / INDEX(GOOGLEFINANCE(C263, ""price"", EDATE(TODAY(), -12), TODAY()), 2, 2)) - 1, """")"),"")</f>
        <v/>
      </c>
      <c r="Q263" s="6" t="str">
        <f>IFERROR(__xludf.DUMMYFUNCTION("AVERAGE(QUERY(GOOGLEFINANCE(C263, ""price"", TODAY()-80, TODAY()), ""SELECT Col2 WHERE Col2 IS NOT NULL ORDER BY Col1 DESC LIMIT 50"", 0))"),"#N/A")</f>
        <v>#N/A</v>
      </c>
      <c r="R263" s="24" t="str">
        <f>IFERROR(__xludf.DUMMYFUNCTION("IFERROR(
  LET(
    data, QUERY(GOOGLEFINANCE(C263,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GOOGLEFINANCE(C263, ""price"")) * 100,
    IF(calc=0, G263, calc)
  ), 
G263)"),"#N/A")</f>
        <v>#N/A</v>
      </c>
      <c r="S263" s="8" t="s">
        <v>15</v>
      </c>
      <c r="T263" s="26" t="str">
        <f>IFERROR(__xludf.DUMMYFUNCTION("IFERROR(TRANSPOSE(QUERY(IFERROR(SORT(GOOGLEFINANCE(C263, ""price"", WORKDAY(TODAY(), -40), TODAY()), 1, FALSE)), ""select Col2 where Col2 is not null limit 22 label Col2 ''"", 0)), """")"),"")</f>
        <v/>
      </c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8"/>
      <c r="AO263" s="28"/>
      <c r="AP263" s="29"/>
      <c r="AQ263" s="29" t="str">
        <f t="shared" ref="AQ263:BL263" si="266">T263/T$2</f>
        <v>#N/A</v>
      </c>
      <c r="AR263" s="29" t="str">
        <f t="shared" si="266"/>
        <v>#DIV/0!</v>
      </c>
      <c r="AS263" s="29" t="str">
        <f t="shared" si="266"/>
        <v>#DIV/0!</v>
      </c>
      <c r="AT263" s="29" t="str">
        <f t="shared" si="266"/>
        <v>#DIV/0!</v>
      </c>
      <c r="AU263" s="29" t="str">
        <f t="shared" si="266"/>
        <v>#DIV/0!</v>
      </c>
      <c r="AV263" s="29" t="str">
        <f t="shared" si="266"/>
        <v>#DIV/0!</v>
      </c>
      <c r="AW263" s="29" t="str">
        <f t="shared" si="266"/>
        <v>#DIV/0!</v>
      </c>
      <c r="AX263" s="29" t="str">
        <f t="shared" si="266"/>
        <v>#DIV/0!</v>
      </c>
      <c r="AY263" s="29" t="str">
        <f t="shared" si="266"/>
        <v>#DIV/0!</v>
      </c>
      <c r="AZ263" s="29" t="str">
        <f t="shared" si="266"/>
        <v>#DIV/0!</v>
      </c>
      <c r="BA263" s="29" t="str">
        <f t="shared" si="266"/>
        <v>#DIV/0!</v>
      </c>
      <c r="BB263" s="29" t="str">
        <f t="shared" si="266"/>
        <v>#DIV/0!</v>
      </c>
      <c r="BC263" s="29" t="str">
        <f t="shared" si="266"/>
        <v>#DIV/0!</v>
      </c>
      <c r="BD263" s="29" t="str">
        <f t="shared" si="266"/>
        <v>#DIV/0!</v>
      </c>
      <c r="BE263" s="29" t="str">
        <f t="shared" si="266"/>
        <v>#DIV/0!</v>
      </c>
      <c r="BF263" s="29" t="str">
        <f t="shared" si="266"/>
        <v>#DIV/0!</v>
      </c>
      <c r="BG263" s="29" t="str">
        <f t="shared" si="266"/>
        <v>#DIV/0!</v>
      </c>
      <c r="BH263" s="29" t="str">
        <f t="shared" si="266"/>
        <v>#DIV/0!</v>
      </c>
      <c r="BI263" s="29" t="str">
        <f t="shared" si="266"/>
        <v>#DIV/0!</v>
      </c>
      <c r="BJ263" s="29" t="str">
        <f t="shared" si="266"/>
        <v>#DIV/0!</v>
      </c>
      <c r="BK263" s="29" t="str">
        <f t="shared" si="266"/>
        <v>#DIV/0!</v>
      </c>
      <c r="BL263" s="29" t="str">
        <f t="shared" si="266"/>
        <v>#DIV/0!</v>
      </c>
      <c r="BM263" s="29" t="str">
        <f t="shared" si="3"/>
        <v>#DIV/0!</v>
      </c>
    </row>
    <row r="264">
      <c r="A264" s="16" t="str">
        <f>IFERROR(__xludf.DUMMYFUNCTION("IFERROR(SPARKLINE(SORT(MAP(TRANSPOSE(AQ264:BL264), LAMBDA(val, IF(ISNUMBER(val), PERCENTRANK(AQ264:BL264, val)+0.01, 0))), SEQUENCE(COLUMNS(AQ264:BL264)), FALSE), {""charttype"",""column""; ""color"",""chartreuse""; ""ymin"", 0; ""ymax"", 1.01; ""highcolo"&amp;"r"", ""darkgreen""; ""lowcolor"", ""red""}), """")"),"")</f>
        <v/>
      </c>
      <c r="B264" s="17" t="str">
        <f t="shared" si="4"/>
        <v/>
      </c>
      <c r="C264" s="1" t="s">
        <v>1239</v>
      </c>
      <c r="D264" s="34" t="str">
        <f>IFERROR(__xludf.DUMMYFUNCTION("IFERROR(GOOGLEFINANCE(C264, ""NAME""))"),"Plumas Bancorp")</f>
        <v>Plumas Bancorp</v>
      </c>
      <c r="E264" s="30" t="s">
        <v>268</v>
      </c>
      <c r="F264" s="33" t="str">
        <f>IFERROR(__xludf.DUMMYFUNCTION("( (GOOGLEFINANCE(C264, ""price"") - Q264) / Q264 ) / (R264 / 100)"),"Loading...")</f>
        <v>Loading...</v>
      </c>
      <c r="G264" s="20" t="str">
        <f>IFERROR(__xludf.DUMMYFUNCTION("AVERAGE(ARRAYFORMULA(100 * (QUERY(GOOGLEFINANCE(C264, ""high"", TODAY()-40, TODAY()), ""SELECT Col2 WHERE Col2 IS NOT NULL ORDER BY Col1 DESC LIMIT 20"", 0) / QUERY(GOOGLEFINANCE(C264, ""low"", TODAY()-40, TODAY()), ""SELECT Col2 WHERE Col2 IS NOT NULL OR"&amp;"DER BY Col1 DESC LIMIT 20"", 0) - 1)))"),"#N/A")</f>
        <v>#N/A</v>
      </c>
      <c r="H264" s="35" t="str">
        <f t="shared" si="6"/>
        <v/>
      </c>
      <c r="I264" s="36" t="str">
        <f t="shared" si="7"/>
        <v/>
      </c>
      <c r="J264" s="37" t="str">
        <f>IFERROR(__xludf.DUMMYFUNCTION("IFERROR(
  IF(C264="""",, 
    IFERROR(
      GOOGLEFINANCE(C264, ""price"") * GOOGLEFINANCE(C264, ""volumeavg""), 
      GOOGLEFINANCE(C264, ""price"") * AVERAGE(QUERY(GOOGLEFINANCE(C264, ""volume"", TODAY()-40, TODAY()), ""SELECT Col2 WHERE Col2 IS NOT "&amp;"NULL ORDER BY Col1 DESC LIMIT 20"", 0))
    )
  ), 
"""")"),"")</f>
        <v/>
      </c>
      <c r="K264" s="21" t="str">
        <f>IFERROR(__xludf.DUMMYFUNCTION("IFERROR(GOOGLEFINANCE(C264, ""changepct"") / 100, """")"),"")</f>
        <v/>
      </c>
      <c r="L264" s="21" t="str">
        <f>IFERROR(__xludf.DUMMYFUNCTION("IFERROR((GOOGLEFINANCE(C264, ""price"") / INDEX(GOOGLEFINANCE(C264, ""price"", TODAY()-7, TODAY()), 2, 2)) - 1, """")"),"")</f>
        <v/>
      </c>
      <c r="M264" s="21" t="str">
        <f>IFERROR(__xludf.DUMMYFUNCTION("IFERROR((GOOGLEFINANCE(C264, ""price"") / INDEX(GOOGLEFINANCE(C264, ""price"", EDATE(TODAY(), -1), TODAY()), 2, 2)) - 1, """")"),"")</f>
        <v/>
      </c>
      <c r="N264" s="21" t="str">
        <f>IFERROR(__xludf.DUMMYFUNCTION("IFERROR((GOOGLEFINANCE(C264, ""price"") / INDEX(GOOGLEFINANCE(C264, ""price"", EDATE(TODAY(), -3), TODAY()), 2, 2)) - 1, """")"),"")</f>
        <v/>
      </c>
      <c r="O264" s="21" t="str">
        <f>IFERROR(__xludf.DUMMYFUNCTION("IFERROR((GOOGLEFINANCE(C264, ""price"") / INDEX(GOOGLEFINANCE(C264, ""price"", EDATE(TODAY(), -6), TODAY()), 2, 2)) - 1, """")"),"")</f>
        <v/>
      </c>
      <c r="P264" s="21" t="str">
        <f>IFERROR(__xludf.DUMMYFUNCTION("IFERROR((GOOGLEFINANCE(C264, ""price"") / INDEX(GOOGLEFINANCE(C264, ""price"", EDATE(TODAY(), -12), TODAY()), 2, 2)) - 1, """")"),"")</f>
        <v/>
      </c>
      <c r="Q264" s="6" t="str">
        <f>IFERROR(__xludf.DUMMYFUNCTION("AVERAGE(QUERY(GOOGLEFINANCE(C264, ""price"", TODAY()-80, TODAY()), ""SELECT Col2 WHERE Col2 IS NOT NULL ORDER BY Col1 DESC LIMIT 50"", 0))"),"#N/A")</f>
        <v>#N/A</v>
      </c>
      <c r="R264" s="24" t="str">
        <f>IFERROR(__xludf.DUMMYFUNCTION("IFERROR(
  LET(
    data, QUERY(GOOGLEFINANCE(C264,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GOOGLEFINANCE(C264, ""price"")) * 100,
    IF(calc=0, G264, calc)
  ), 
G264)"),"#N/A")</f>
        <v>#N/A</v>
      </c>
      <c r="S264" s="8" t="s">
        <v>15</v>
      </c>
      <c r="T264" s="26" t="str">
        <f>IFERROR(__xludf.DUMMYFUNCTION("IFERROR(TRANSPOSE(QUERY(IFERROR(SORT(GOOGLEFINANCE(C264, ""price"", WORKDAY(TODAY(), -40), TODAY()), 1, FALSE)), ""select Col2 where Col2 is not null limit 22 label Col2 ''"", 0)), """")"),"")</f>
        <v/>
      </c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8"/>
      <c r="AO264" s="28"/>
      <c r="AP264" s="29"/>
      <c r="AQ264" s="29" t="str">
        <f t="shared" ref="AQ264:BL264" si="267">T264/T$2</f>
        <v>#N/A</v>
      </c>
      <c r="AR264" s="29" t="str">
        <f t="shared" si="267"/>
        <v>#DIV/0!</v>
      </c>
      <c r="AS264" s="29" t="str">
        <f t="shared" si="267"/>
        <v>#DIV/0!</v>
      </c>
      <c r="AT264" s="29" t="str">
        <f t="shared" si="267"/>
        <v>#DIV/0!</v>
      </c>
      <c r="AU264" s="29" t="str">
        <f t="shared" si="267"/>
        <v>#DIV/0!</v>
      </c>
      <c r="AV264" s="29" t="str">
        <f t="shared" si="267"/>
        <v>#DIV/0!</v>
      </c>
      <c r="AW264" s="29" t="str">
        <f t="shared" si="267"/>
        <v>#DIV/0!</v>
      </c>
      <c r="AX264" s="29" t="str">
        <f t="shared" si="267"/>
        <v>#DIV/0!</v>
      </c>
      <c r="AY264" s="29" t="str">
        <f t="shared" si="267"/>
        <v>#DIV/0!</v>
      </c>
      <c r="AZ264" s="29" t="str">
        <f t="shared" si="267"/>
        <v>#DIV/0!</v>
      </c>
      <c r="BA264" s="29" t="str">
        <f t="shared" si="267"/>
        <v>#DIV/0!</v>
      </c>
      <c r="BB264" s="29" t="str">
        <f t="shared" si="267"/>
        <v>#DIV/0!</v>
      </c>
      <c r="BC264" s="29" t="str">
        <f t="shared" si="267"/>
        <v>#DIV/0!</v>
      </c>
      <c r="BD264" s="29" t="str">
        <f t="shared" si="267"/>
        <v>#DIV/0!</v>
      </c>
      <c r="BE264" s="29" t="str">
        <f t="shared" si="267"/>
        <v>#DIV/0!</v>
      </c>
      <c r="BF264" s="29" t="str">
        <f t="shared" si="267"/>
        <v>#DIV/0!</v>
      </c>
      <c r="BG264" s="29" t="str">
        <f t="shared" si="267"/>
        <v>#DIV/0!</v>
      </c>
      <c r="BH264" s="29" t="str">
        <f t="shared" si="267"/>
        <v>#DIV/0!</v>
      </c>
      <c r="BI264" s="29" t="str">
        <f t="shared" si="267"/>
        <v>#DIV/0!</v>
      </c>
      <c r="BJ264" s="29" t="str">
        <f t="shared" si="267"/>
        <v>#DIV/0!</v>
      </c>
      <c r="BK264" s="29" t="str">
        <f t="shared" si="267"/>
        <v>#DIV/0!</v>
      </c>
      <c r="BL264" s="29" t="str">
        <f t="shared" si="267"/>
        <v>#DIV/0!</v>
      </c>
      <c r="BM264" s="29" t="str">
        <f t="shared" si="3"/>
        <v>#DIV/0!</v>
      </c>
    </row>
    <row r="265">
      <c r="A265" s="16" t="str">
        <f>IFERROR(__xludf.DUMMYFUNCTION("IFERROR(SPARKLINE(SORT(MAP(TRANSPOSE(AQ265:BL265), LAMBDA(val, IF(ISNUMBER(val), PERCENTRANK(AQ265:BL265, val)+0.01, 0))), SEQUENCE(COLUMNS(AQ265:BL265)), FALSE), {""charttype"",""column""; ""color"",""chartreuse""; ""ymin"", 0; ""ymax"", 1.01; ""highcolo"&amp;"r"", ""darkgreen""; ""lowcolor"", ""red""}), """")"),"")</f>
        <v/>
      </c>
      <c r="B265" s="17" t="str">
        <f t="shared" si="4"/>
        <v/>
      </c>
      <c r="C265" s="1" t="s">
        <v>1244</v>
      </c>
      <c r="D265" s="34" t="str">
        <f>IFERROR(__xludf.DUMMYFUNCTION("IFERROR(GOOGLEFINANCE(C265, ""NAME""))"),"")</f>
        <v/>
      </c>
      <c r="E265" s="30" t="s">
        <v>64</v>
      </c>
      <c r="F265" s="33" t="str">
        <f>IFERROR(__xludf.DUMMYFUNCTION("( (GOOGLEFINANCE(C265, ""price"") - Q265) / Q265 ) / (R265 / 100)"),"Loading...")</f>
        <v>Loading...</v>
      </c>
      <c r="G265" s="20" t="str">
        <f>IFERROR(__xludf.DUMMYFUNCTION("AVERAGE(ARRAYFORMULA(100 * (QUERY(GOOGLEFINANCE(C265, ""high"", TODAY()-40, TODAY()), ""SELECT Col2 WHERE Col2 IS NOT NULL ORDER BY Col1 DESC LIMIT 20"", 0) / QUERY(GOOGLEFINANCE(C265, ""low"", TODAY()-40, TODAY()), ""SELECT Col2 WHERE Col2 IS NOT NULL OR"&amp;"DER BY Col1 DESC LIMIT 20"", 0) - 1)))"),"#N/A")</f>
        <v>#N/A</v>
      </c>
      <c r="H265" s="35" t="str">
        <f t="shared" si="6"/>
        <v/>
      </c>
      <c r="I265" s="36" t="str">
        <f t="shared" si="7"/>
        <v/>
      </c>
      <c r="J265" s="37" t="str">
        <f>IFERROR(__xludf.DUMMYFUNCTION("IFERROR(
  IF(C265="""",, 
    IFERROR(
      GOOGLEFINANCE(C265, ""price"") * GOOGLEFINANCE(C265, ""volumeavg""), 
      GOOGLEFINANCE(C265, ""price"") * AVERAGE(QUERY(GOOGLEFINANCE(C265, ""volume"", TODAY()-40, TODAY()), ""SELECT Col2 WHERE Col2 IS NOT "&amp;"NULL ORDER BY Col1 DESC LIMIT 20"", 0))
    )
  ), 
"""")"),"")</f>
        <v/>
      </c>
      <c r="K265" s="21" t="str">
        <f>IFERROR(__xludf.DUMMYFUNCTION("IFERROR(GOOGLEFINANCE(C265, ""changepct"") / 100, """")"),"")</f>
        <v/>
      </c>
      <c r="L265" s="21" t="str">
        <f>IFERROR(__xludf.DUMMYFUNCTION("IFERROR((GOOGLEFINANCE(C265, ""price"") / INDEX(GOOGLEFINANCE(C265, ""price"", TODAY()-7, TODAY()), 2, 2)) - 1, """")"),"")</f>
        <v/>
      </c>
      <c r="M265" s="21" t="str">
        <f>IFERROR(__xludf.DUMMYFUNCTION("IFERROR((GOOGLEFINANCE(C265, ""price"") / INDEX(GOOGLEFINANCE(C265, ""price"", EDATE(TODAY(), -1), TODAY()), 2, 2)) - 1, """")"),"")</f>
        <v/>
      </c>
      <c r="N265" s="21" t="str">
        <f>IFERROR(__xludf.DUMMYFUNCTION("IFERROR((GOOGLEFINANCE(C265, ""price"") / INDEX(GOOGLEFINANCE(C265, ""price"", EDATE(TODAY(), -3), TODAY()), 2, 2)) - 1, """")"),"")</f>
        <v/>
      </c>
      <c r="O265" s="21" t="str">
        <f>IFERROR(__xludf.DUMMYFUNCTION("IFERROR((GOOGLEFINANCE(C265, ""price"") / INDEX(GOOGLEFINANCE(C265, ""price"", EDATE(TODAY(), -6), TODAY()), 2, 2)) - 1, """")"),"")</f>
        <v/>
      </c>
      <c r="P265" s="21" t="str">
        <f>IFERROR(__xludf.DUMMYFUNCTION("IFERROR((GOOGLEFINANCE(C265, ""price"") / INDEX(GOOGLEFINANCE(C265, ""price"", EDATE(TODAY(), -12), TODAY()), 2, 2)) - 1, """")"),"")</f>
        <v/>
      </c>
      <c r="Q265" s="6" t="str">
        <f>IFERROR(__xludf.DUMMYFUNCTION("AVERAGE(QUERY(GOOGLEFINANCE(C265, ""price"", TODAY()-80, TODAY()), ""SELECT Col2 WHERE Col2 IS NOT NULL ORDER BY Col1 DESC LIMIT 50"", 0))"),"#N/A")</f>
        <v>#N/A</v>
      </c>
      <c r="R265" s="24" t="str">
        <f>IFERROR(__xludf.DUMMYFUNCTION("IFERROR(
  LET(
    data, QUERY(GOOGLEFINANCE(C265,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GOOGLEFINANCE(C265, ""price"")) * 100,
    IF(calc=0, G265, calc)
  ), 
G265)"),"#N/A")</f>
        <v>#N/A</v>
      </c>
      <c r="S265" s="8" t="s">
        <v>15</v>
      </c>
      <c r="T265" s="26" t="str">
        <f>IFERROR(__xludf.DUMMYFUNCTION("IFERROR(TRANSPOSE(QUERY(IFERROR(SORT(GOOGLEFINANCE(C265, ""price"", WORKDAY(TODAY(), -40), TODAY()), 1, FALSE)), ""select Col2 where Col2 is not null limit 22 label Col2 ''"", 0)), """")"),"")</f>
        <v/>
      </c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8"/>
      <c r="AO265" s="28"/>
      <c r="AP265" s="29"/>
      <c r="AQ265" s="29" t="str">
        <f t="shared" ref="AQ265:BL265" si="268">T265/T$2</f>
        <v>#N/A</v>
      </c>
      <c r="AR265" s="29" t="str">
        <f t="shared" si="268"/>
        <v>#DIV/0!</v>
      </c>
      <c r="AS265" s="29" t="str">
        <f t="shared" si="268"/>
        <v>#DIV/0!</v>
      </c>
      <c r="AT265" s="29" t="str">
        <f t="shared" si="268"/>
        <v>#DIV/0!</v>
      </c>
      <c r="AU265" s="29" t="str">
        <f t="shared" si="268"/>
        <v>#DIV/0!</v>
      </c>
      <c r="AV265" s="29" t="str">
        <f t="shared" si="268"/>
        <v>#DIV/0!</v>
      </c>
      <c r="AW265" s="29" t="str">
        <f t="shared" si="268"/>
        <v>#DIV/0!</v>
      </c>
      <c r="AX265" s="29" t="str">
        <f t="shared" si="268"/>
        <v>#DIV/0!</v>
      </c>
      <c r="AY265" s="29" t="str">
        <f t="shared" si="268"/>
        <v>#DIV/0!</v>
      </c>
      <c r="AZ265" s="29" t="str">
        <f t="shared" si="268"/>
        <v>#DIV/0!</v>
      </c>
      <c r="BA265" s="29" t="str">
        <f t="shared" si="268"/>
        <v>#DIV/0!</v>
      </c>
      <c r="BB265" s="29" t="str">
        <f t="shared" si="268"/>
        <v>#DIV/0!</v>
      </c>
      <c r="BC265" s="29" t="str">
        <f t="shared" si="268"/>
        <v>#DIV/0!</v>
      </c>
      <c r="BD265" s="29" t="str">
        <f t="shared" si="268"/>
        <v>#DIV/0!</v>
      </c>
      <c r="BE265" s="29" t="str">
        <f t="shared" si="268"/>
        <v>#DIV/0!</v>
      </c>
      <c r="BF265" s="29" t="str">
        <f t="shared" si="268"/>
        <v>#DIV/0!</v>
      </c>
      <c r="BG265" s="29" t="str">
        <f t="shared" si="268"/>
        <v>#DIV/0!</v>
      </c>
      <c r="BH265" s="29" t="str">
        <f t="shared" si="268"/>
        <v>#DIV/0!</v>
      </c>
      <c r="BI265" s="29" t="str">
        <f t="shared" si="268"/>
        <v>#DIV/0!</v>
      </c>
      <c r="BJ265" s="29" t="str">
        <f t="shared" si="268"/>
        <v>#DIV/0!</v>
      </c>
      <c r="BK265" s="29" t="str">
        <f t="shared" si="268"/>
        <v>#DIV/0!</v>
      </c>
      <c r="BL265" s="29" t="str">
        <f t="shared" si="268"/>
        <v>#DIV/0!</v>
      </c>
      <c r="BM265" s="29" t="str">
        <f t="shared" si="3"/>
        <v>#DIV/0!</v>
      </c>
    </row>
    <row r="266">
      <c r="A266" s="16" t="str">
        <f>IFERROR(__xludf.DUMMYFUNCTION("IFERROR(SPARKLINE(SORT(MAP(TRANSPOSE(AQ266:BL266), LAMBDA(val, IF(ISNUMBER(val), PERCENTRANK(AQ266:BL266, val)+0.01, 0))), SEQUENCE(COLUMNS(AQ266:BL266)), FALSE), {""charttype"",""column""; ""color"",""chartreuse""; ""ymin"", 0; ""ymax"", 1.01; ""highcolo"&amp;"r"", ""darkgreen""; ""lowcolor"", ""red""}), """")"),"")</f>
        <v/>
      </c>
      <c r="B266" s="17" t="str">
        <f t="shared" si="4"/>
        <v/>
      </c>
      <c r="C266" s="1" t="s">
        <v>1247</v>
      </c>
      <c r="D266" s="34" t="str">
        <f>IFERROR(__xludf.DUMMYFUNCTION("IFERROR(GOOGLEFINANCE(C266, ""NAME""))"),"FS KKR Capital Corp")</f>
        <v>FS KKR Capital Corp</v>
      </c>
      <c r="E266" s="30" t="s">
        <v>64</v>
      </c>
      <c r="F266" s="33" t="str">
        <f>IFERROR(__xludf.DUMMYFUNCTION("( (GOOGLEFINANCE(C266, ""price"") - Q266) / Q266 ) / (R266 / 100)"),"Loading...")</f>
        <v>Loading...</v>
      </c>
      <c r="G266" s="20" t="str">
        <f>IFERROR(__xludf.DUMMYFUNCTION("AVERAGE(ARRAYFORMULA(100 * (QUERY(GOOGLEFINANCE(C266, ""high"", TODAY()-40, TODAY()), ""SELECT Col2 WHERE Col2 IS NOT NULL ORDER BY Col1 DESC LIMIT 20"", 0) / QUERY(GOOGLEFINANCE(C266, ""low"", TODAY()-40, TODAY()), ""SELECT Col2 WHERE Col2 IS NOT NULL OR"&amp;"DER BY Col1 DESC LIMIT 20"", 0) - 1)))"),"#N/A")</f>
        <v>#N/A</v>
      </c>
      <c r="H266" s="35" t="str">
        <f t="shared" si="6"/>
        <v/>
      </c>
      <c r="I266" s="36" t="str">
        <f t="shared" si="7"/>
        <v/>
      </c>
      <c r="J266" s="37" t="str">
        <f>IFERROR(__xludf.DUMMYFUNCTION("IFERROR(
  IF(C266="""",, 
    IFERROR(
      GOOGLEFINANCE(C266, ""price"") * GOOGLEFINANCE(C266, ""volumeavg""), 
      GOOGLEFINANCE(C266, ""price"") * AVERAGE(QUERY(GOOGLEFINANCE(C266, ""volume"", TODAY()-40, TODAY()), ""SELECT Col2 WHERE Col2 IS NOT "&amp;"NULL ORDER BY Col1 DESC LIMIT 20"", 0))
    )
  ), 
"""")"),"")</f>
        <v/>
      </c>
      <c r="K266" s="21" t="str">
        <f>IFERROR(__xludf.DUMMYFUNCTION("IFERROR(GOOGLEFINANCE(C266, ""changepct"") / 100, """")"),"")</f>
        <v/>
      </c>
      <c r="L266" s="21" t="str">
        <f>IFERROR(__xludf.DUMMYFUNCTION("IFERROR((GOOGLEFINANCE(C266, ""price"") / INDEX(GOOGLEFINANCE(C266, ""price"", TODAY()-7, TODAY()), 2, 2)) - 1, """")"),"")</f>
        <v/>
      </c>
      <c r="M266" s="21" t="str">
        <f>IFERROR(__xludf.DUMMYFUNCTION("IFERROR((GOOGLEFINANCE(C266, ""price"") / INDEX(GOOGLEFINANCE(C266, ""price"", EDATE(TODAY(), -1), TODAY()), 2, 2)) - 1, """")"),"")</f>
        <v/>
      </c>
      <c r="N266" s="21" t="str">
        <f>IFERROR(__xludf.DUMMYFUNCTION("IFERROR((GOOGLEFINANCE(C266, ""price"") / INDEX(GOOGLEFINANCE(C266, ""price"", EDATE(TODAY(), -3), TODAY()), 2, 2)) - 1, """")"),"")</f>
        <v/>
      </c>
      <c r="O266" s="21" t="str">
        <f>IFERROR(__xludf.DUMMYFUNCTION("IFERROR((GOOGLEFINANCE(C266, ""price"") / INDEX(GOOGLEFINANCE(C266, ""price"", EDATE(TODAY(), -6), TODAY()), 2, 2)) - 1, """")"),"")</f>
        <v/>
      </c>
      <c r="P266" s="21" t="str">
        <f>IFERROR(__xludf.DUMMYFUNCTION("IFERROR((GOOGLEFINANCE(C266, ""price"") / INDEX(GOOGLEFINANCE(C266, ""price"", EDATE(TODAY(), -12), TODAY()), 2, 2)) - 1, """")"),"")</f>
        <v/>
      </c>
      <c r="Q266" s="6" t="str">
        <f>IFERROR(__xludf.DUMMYFUNCTION("AVERAGE(QUERY(GOOGLEFINANCE(C266, ""price"", TODAY()-80, TODAY()), ""SELECT Col2 WHERE Col2 IS NOT NULL ORDER BY Col1 DESC LIMIT 50"", 0))"),"#N/A")</f>
        <v>#N/A</v>
      </c>
      <c r="R266" s="24" t="str">
        <f>IFERROR(__xludf.DUMMYFUNCTION("IFERROR(
  LET(
    data, QUERY(GOOGLEFINANCE(C266,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GOOGLEFINANCE(C266, ""price"")) * 100,
    IF(calc=0, G266, calc)
  ), 
G266)"),"#N/A")</f>
        <v>#N/A</v>
      </c>
      <c r="S266" s="8" t="s">
        <v>15</v>
      </c>
      <c r="T266" s="26" t="str">
        <f>IFERROR(__xludf.DUMMYFUNCTION("IFERROR(TRANSPOSE(QUERY(IFERROR(SORT(GOOGLEFINANCE(C266, ""price"", WORKDAY(TODAY(), -40), TODAY()), 1, FALSE)), ""select Col2 where Col2 is not null limit 22 label Col2 ''"", 0)), """")"),"")</f>
        <v/>
      </c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8"/>
      <c r="AO266" s="28"/>
      <c r="AP266" s="29"/>
      <c r="AQ266" s="29" t="str">
        <f t="shared" ref="AQ266:BL266" si="269">T266/T$2</f>
        <v>#N/A</v>
      </c>
      <c r="AR266" s="29" t="str">
        <f t="shared" si="269"/>
        <v>#DIV/0!</v>
      </c>
      <c r="AS266" s="29" t="str">
        <f t="shared" si="269"/>
        <v>#DIV/0!</v>
      </c>
      <c r="AT266" s="29" t="str">
        <f t="shared" si="269"/>
        <v>#DIV/0!</v>
      </c>
      <c r="AU266" s="29" t="str">
        <f t="shared" si="269"/>
        <v>#DIV/0!</v>
      </c>
      <c r="AV266" s="29" t="str">
        <f t="shared" si="269"/>
        <v>#DIV/0!</v>
      </c>
      <c r="AW266" s="29" t="str">
        <f t="shared" si="269"/>
        <v>#DIV/0!</v>
      </c>
      <c r="AX266" s="29" t="str">
        <f t="shared" si="269"/>
        <v>#DIV/0!</v>
      </c>
      <c r="AY266" s="29" t="str">
        <f t="shared" si="269"/>
        <v>#DIV/0!</v>
      </c>
      <c r="AZ266" s="29" t="str">
        <f t="shared" si="269"/>
        <v>#DIV/0!</v>
      </c>
      <c r="BA266" s="29" t="str">
        <f t="shared" si="269"/>
        <v>#DIV/0!</v>
      </c>
      <c r="BB266" s="29" t="str">
        <f t="shared" si="269"/>
        <v>#DIV/0!</v>
      </c>
      <c r="BC266" s="29" t="str">
        <f t="shared" si="269"/>
        <v>#DIV/0!</v>
      </c>
      <c r="BD266" s="29" t="str">
        <f t="shared" si="269"/>
        <v>#DIV/0!</v>
      </c>
      <c r="BE266" s="29" t="str">
        <f t="shared" si="269"/>
        <v>#DIV/0!</v>
      </c>
      <c r="BF266" s="29" t="str">
        <f t="shared" si="269"/>
        <v>#DIV/0!</v>
      </c>
      <c r="BG266" s="29" t="str">
        <f t="shared" si="269"/>
        <v>#DIV/0!</v>
      </c>
      <c r="BH266" s="29" t="str">
        <f t="shared" si="269"/>
        <v>#DIV/0!</v>
      </c>
      <c r="BI266" s="29" t="str">
        <f t="shared" si="269"/>
        <v>#DIV/0!</v>
      </c>
      <c r="BJ266" s="29" t="str">
        <f t="shared" si="269"/>
        <v>#DIV/0!</v>
      </c>
      <c r="BK266" s="29" t="str">
        <f t="shared" si="269"/>
        <v>#DIV/0!</v>
      </c>
      <c r="BL266" s="29" t="str">
        <f t="shared" si="269"/>
        <v>#DIV/0!</v>
      </c>
      <c r="BM266" s="29" t="str">
        <f t="shared" si="3"/>
        <v>#DIV/0!</v>
      </c>
    </row>
    <row r="267">
      <c r="A267" s="16" t="str">
        <f>IFERROR(__xludf.DUMMYFUNCTION("IFERROR(SPARKLINE(SORT(MAP(TRANSPOSE(AQ267:BL267), LAMBDA(val, IF(ISNUMBER(val), PERCENTRANK(AQ267:BL267, val)+0.01, 0))), SEQUENCE(COLUMNS(AQ267:BL267)), FALSE), {""charttype"",""column""; ""color"",""chartreuse""; ""ymin"", 0; ""ymax"", 1.01; ""highcolo"&amp;"r"", ""darkgreen""; ""lowcolor"", ""red""}), """")"),"")</f>
        <v/>
      </c>
      <c r="B267" s="17" t="str">
        <f t="shared" si="4"/>
        <v/>
      </c>
      <c r="C267" s="1" t="s">
        <v>1252</v>
      </c>
      <c r="D267" s="34" t="str">
        <f>IFERROR(__xludf.DUMMYFUNCTION("IFERROR(GOOGLEFINANCE(C267, ""NAME""))"),"Associated Banc-Corp")</f>
        <v>Associated Banc-Corp</v>
      </c>
      <c r="E267" s="30" t="s">
        <v>268</v>
      </c>
      <c r="F267" s="33" t="str">
        <f>IFERROR(__xludf.DUMMYFUNCTION("( (GOOGLEFINANCE(C267, ""price"") - Q267) / Q267 ) / (R267 / 100)"),"Loading...")</f>
        <v>Loading...</v>
      </c>
      <c r="G267" s="20" t="str">
        <f>IFERROR(__xludf.DUMMYFUNCTION("AVERAGE(ARRAYFORMULA(100 * (QUERY(GOOGLEFINANCE(C267, ""high"", TODAY()-40, TODAY()), ""SELECT Col2 WHERE Col2 IS NOT NULL ORDER BY Col1 DESC LIMIT 20"", 0) / QUERY(GOOGLEFINANCE(C267, ""low"", TODAY()-40, TODAY()), ""SELECT Col2 WHERE Col2 IS NOT NULL OR"&amp;"DER BY Col1 DESC LIMIT 20"", 0) - 1)))"),"#N/A")</f>
        <v>#N/A</v>
      </c>
      <c r="H267" s="35" t="str">
        <f t="shared" si="6"/>
        <v/>
      </c>
      <c r="I267" s="36" t="str">
        <f t="shared" si="7"/>
        <v/>
      </c>
      <c r="J267" s="37" t="str">
        <f>IFERROR(__xludf.DUMMYFUNCTION("IFERROR(
  IF(C267="""",, 
    IFERROR(
      GOOGLEFINANCE(C267, ""price"") * GOOGLEFINANCE(C267, ""volumeavg""), 
      GOOGLEFINANCE(C267, ""price"") * AVERAGE(QUERY(GOOGLEFINANCE(C267, ""volume"", TODAY()-40, TODAY()), ""SELECT Col2 WHERE Col2 IS NOT "&amp;"NULL ORDER BY Col1 DESC LIMIT 20"", 0))
    )
  ), 
"""")"),"")</f>
        <v/>
      </c>
      <c r="K267" s="21" t="str">
        <f>IFERROR(__xludf.DUMMYFUNCTION("IFERROR(GOOGLEFINANCE(C267, ""changepct"") / 100, """")"),"")</f>
        <v/>
      </c>
      <c r="L267" s="21" t="str">
        <f>IFERROR(__xludf.DUMMYFUNCTION("IFERROR((GOOGLEFINANCE(C267, ""price"") / INDEX(GOOGLEFINANCE(C267, ""price"", TODAY()-7, TODAY()), 2, 2)) - 1, """")"),"")</f>
        <v/>
      </c>
      <c r="M267" s="21" t="str">
        <f>IFERROR(__xludf.DUMMYFUNCTION("IFERROR((GOOGLEFINANCE(C267, ""price"") / INDEX(GOOGLEFINANCE(C267, ""price"", EDATE(TODAY(), -1), TODAY()), 2, 2)) - 1, """")"),"")</f>
        <v/>
      </c>
      <c r="N267" s="21" t="str">
        <f>IFERROR(__xludf.DUMMYFUNCTION("IFERROR((GOOGLEFINANCE(C267, ""price"") / INDEX(GOOGLEFINANCE(C267, ""price"", EDATE(TODAY(), -3), TODAY()), 2, 2)) - 1, """")"),"")</f>
        <v/>
      </c>
      <c r="O267" s="21" t="str">
        <f>IFERROR(__xludf.DUMMYFUNCTION("IFERROR((GOOGLEFINANCE(C267, ""price"") / INDEX(GOOGLEFINANCE(C267, ""price"", EDATE(TODAY(), -6), TODAY()), 2, 2)) - 1, """")"),"")</f>
        <v/>
      </c>
      <c r="P267" s="21" t="str">
        <f>IFERROR(__xludf.DUMMYFUNCTION("IFERROR((GOOGLEFINANCE(C267, ""price"") / INDEX(GOOGLEFINANCE(C267, ""price"", EDATE(TODAY(), -12), TODAY()), 2, 2)) - 1, """")"),"")</f>
        <v/>
      </c>
      <c r="Q267" s="6" t="str">
        <f>IFERROR(__xludf.DUMMYFUNCTION("AVERAGE(QUERY(GOOGLEFINANCE(C267, ""price"", TODAY()-80, TODAY()), ""SELECT Col2 WHERE Col2 IS NOT NULL ORDER BY Col1 DESC LIMIT 50"", 0))"),"#N/A")</f>
        <v>#N/A</v>
      </c>
      <c r="R267" s="24" t="str">
        <f>IFERROR(__xludf.DUMMYFUNCTION("IFERROR(
  LET(
    data, QUERY(GOOGLEFINANCE(C267,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GOOGLEFINANCE(C267, ""price"")) * 100,
    IF(calc=0, G267, calc)
  ), 
G267)"),"#N/A")</f>
        <v>#N/A</v>
      </c>
      <c r="S267" s="8" t="s">
        <v>15</v>
      </c>
      <c r="T267" s="26" t="str">
        <f>IFERROR(__xludf.DUMMYFUNCTION("IFERROR(TRANSPOSE(QUERY(IFERROR(SORT(GOOGLEFINANCE(C267, ""price"", WORKDAY(TODAY(), -40), TODAY()), 1, FALSE)), ""select Col2 where Col2 is not null limit 22 label Col2 ''"", 0)), """")"),"")</f>
        <v/>
      </c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8"/>
      <c r="AO267" s="28"/>
      <c r="AP267" s="29"/>
      <c r="AQ267" s="29" t="str">
        <f t="shared" ref="AQ267:BL267" si="270">T267/T$2</f>
        <v>#N/A</v>
      </c>
      <c r="AR267" s="29" t="str">
        <f t="shared" si="270"/>
        <v>#DIV/0!</v>
      </c>
      <c r="AS267" s="29" t="str">
        <f t="shared" si="270"/>
        <v>#DIV/0!</v>
      </c>
      <c r="AT267" s="29" t="str">
        <f t="shared" si="270"/>
        <v>#DIV/0!</v>
      </c>
      <c r="AU267" s="29" t="str">
        <f t="shared" si="270"/>
        <v>#DIV/0!</v>
      </c>
      <c r="AV267" s="29" t="str">
        <f t="shared" si="270"/>
        <v>#DIV/0!</v>
      </c>
      <c r="AW267" s="29" t="str">
        <f t="shared" si="270"/>
        <v>#DIV/0!</v>
      </c>
      <c r="AX267" s="29" t="str">
        <f t="shared" si="270"/>
        <v>#DIV/0!</v>
      </c>
      <c r="AY267" s="29" t="str">
        <f t="shared" si="270"/>
        <v>#DIV/0!</v>
      </c>
      <c r="AZ267" s="29" t="str">
        <f t="shared" si="270"/>
        <v>#DIV/0!</v>
      </c>
      <c r="BA267" s="29" t="str">
        <f t="shared" si="270"/>
        <v>#DIV/0!</v>
      </c>
      <c r="BB267" s="29" t="str">
        <f t="shared" si="270"/>
        <v>#DIV/0!</v>
      </c>
      <c r="BC267" s="29" t="str">
        <f t="shared" si="270"/>
        <v>#DIV/0!</v>
      </c>
      <c r="BD267" s="29" t="str">
        <f t="shared" si="270"/>
        <v>#DIV/0!</v>
      </c>
      <c r="BE267" s="29" t="str">
        <f t="shared" si="270"/>
        <v>#DIV/0!</v>
      </c>
      <c r="BF267" s="29" t="str">
        <f t="shared" si="270"/>
        <v>#DIV/0!</v>
      </c>
      <c r="BG267" s="29" t="str">
        <f t="shared" si="270"/>
        <v>#DIV/0!</v>
      </c>
      <c r="BH267" s="29" t="str">
        <f t="shared" si="270"/>
        <v>#DIV/0!</v>
      </c>
      <c r="BI267" s="29" t="str">
        <f t="shared" si="270"/>
        <v>#DIV/0!</v>
      </c>
      <c r="BJ267" s="29" t="str">
        <f t="shared" si="270"/>
        <v>#DIV/0!</v>
      </c>
      <c r="BK267" s="29" t="str">
        <f t="shared" si="270"/>
        <v>#DIV/0!</v>
      </c>
      <c r="BL267" s="29" t="str">
        <f t="shared" si="270"/>
        <v>#DIV/0!</v>
      </c>
      <c r="BM267" s="29" t="str">
        <f t="shared" si="3"/>
        <v>#DIV/0!</v>
      </c>
    </row>
    <row r="268">
      <c r="A268" s="16" t="str">
        <f>IFERROR(__xludf.DUMMYFUNCTION("IFERROR(SPARKLINE(SORT(MAP(TRANSPOSE(AQ268:BL268), LAMBDA(val, IF(ISNUMBER(val), PERCENTRANK(AQ268:BL268, val)+0.01, 0))), SEQUENCE(COLUMNS(AQ268:BL268)), FALSE), {""charttype"",""column""; ""color"",""chartreuse""; ""ymin"", 0; ""ymax"", 1.01; ""highcolo"&amp;"r"", ""darkgreen""; ""lowcolor"", ""red""}), """")"),"")</f>
        <v/>
      </c>
      <c r="B268" s="17" t="str">
        <f t="shared" si="4"/>
        <v/>
      </c>
      <c r="C268" s="1" t="s">
        <v>1259</v>
      </c>
      <c r="D268" s="34" t="str">
        <f>IFERROR(__xludf.DUMMYFUNCTION("IFERROR(GOOGLEFINANCE(C268, ""NAME""))"),"Blackstone Inc")</f>
        <v>Blackstone Inc</v>
      </c>
      <c r="E268" s="30" t="s">
        <v>64</v>
      </c>
      <c r="F268" s="33" t="str">
        <f>IFERROR(__xludf.DUMMYFUNCTION("( (GOOGLEFINANCE(C268, ""price"") - Q268) / Q268 ) / (R268 / 100)"),"Loading...")</f>
        <v>Loading...</v>
      </c>
      <c r="G268" s="20" t="str">
        <f>IFERROR(__xludf.DUMMYFUNCTION("AVERAGE(ARRAYFORMULA(100 * (QUERY(GOOGLEFINANCE(C268, ""high"", TODAY()-40, TODAY()), ""SELECT Col2 WHERE Col2 IS NOT NULL ORDER BY Col1 DESC LIMIT 20"", 0) / QUERY(GOOGLEFINANCE(C268, ""low"", TODAY()-40, TODAY()), ""SELECT Col2 WHERE Col2 IS NOT NULL OR"&amp;"DER BY Col1 DESC LIMIT 20"", 0) - 1)))"),"#N/A")</f>
        <v>#N/A</v>
      </c>
      <c r="H268" s="35" t="str">
        <f t="shared" si="6"/>
        <v/>
      </c>
      <c r="I268" s="36" t="str">
        <f t="shared" si="7"/>
        <v/>
      </c>
      <c r="J268" s="37" t="str">
        <f>IFERROR(__xludf.DUMMYFUNCTION("IFERROR(
  IF(C268="""",, 
    IFERROR(
      GOOGLEFINANCE(C268, ""price"") * GOOGLEFINANCE(C268, ""volumeavg""), 
      GOOGLEFINANCE(C268, ""price"") * AVERAGE(QUERY(GOOGLEFINANCE(C268, ""volume"", TODAY()-40, TODAY()), ""SELECT Col2 WHERE Col2 IS NOT "&amp;"NULL ORDER BY Col1 DESC LIMIT 20"", 0))
    )
  ), 
"""")"),"")</f>
        <v/>
      </c>
      <c r="K268" s="21" t="str">
        <f>IFERROR(__xludf.DUMMYFUNCTION("IFERROR(GOOGLEFINANCE(C268, ""changepct"") / 100, """")"),"")</f>
        <v/>
      </c>
      <c r="L268" s="21" t="str">
        <f>IFERROR(__xludf.DUMMYFUNCTION("IFERROR((GOOGLEFINANCE(C268, ""price"") / INDEX(GOOGLEFINANCE(C268, ""price"", TODAY()-7, TODAY()), 2, 2)) - 1, """")"),"")</f>
        <v/>
      </c>
      <c r="M268" s="21" t="str">
        <f>IFERROR(__xludf.DUMMYFUNCTION("IFERROR((GOOGLEFINANCE(C268, ""price"") / INDEX(GOOGLEFINANCE(C268, ""price"", EDATE(TODAY(), -1), TODAY()), 2, 2)) - 1, """")"),"")</f>
        <v/>
      </c>
      <c r="N268" s="21" t="str">
        <f>IFERROR(__xludf.DUMMYFUNCTION("IFERROR((GOOGLEFINANCE(C268, ""price"") / INDEX(GOOGLEFINANCE(C268, ""price"", EDATE(TODAY(), -3), TODAY()), 2, 2)) - 1, """")"),"")</f>
        <v/>
      </c>
      <c r="O268" s="21" t="str">
        <f>IFERROR(__xludf.DUMMYFUNCTION("IFERROR((GOOGLEFINANCE(C268, ""price"") / INDEX(GOOGLEFINANCE(C268, ""price"", EDATE(TODAY(), -6), TODAY()), 2, 2)) - 1, """")"),"")</f>
        <v/>
      </c>
      <c r="P268" s="21" t="str">
        <f>IFERROR(__xludf.DUMMYFUNCTION("IFERROR((GOOGLEFINANCE(C268, ""price"") / INDEX(GOOGLEFINANCE(C268, ""price"", EDATE(TODAY(), -12), TODAY()), 2, 2)) - 1, """")"),"")</f>
        <v/>
      </c>
      <c r="Q268" s="6" t="str">
        <f>IFERROR(__xludf.DUMMYFUNCTION("AVERAGE(QUERY(GOOGLEFINANCE(C268, ""price"", TODAY()-80, TODAY()), ""SELECT Col2 WHERE Col2 IS NOT NULL ORDER BY Col1 DESC LIMIT 50"", 0))"),"#N/A")</f>
        <v>#N/A</v>
      </c>
      <c r="R268" s="24" t="str">
        <f>IFERROR(__xludf.DUMMYFUNCTION("IFERROR(
  LET(
    data, QUERY(GOOGLEFINANCE(C268,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GOOGLEFINANCE(C268, ""price"")) * 100,
    IF(calc=0, G268, calc)
  ), 
G268)"),"#N/A")</f>
        <v>#N/A</v>
      </c>
      <c r="S268" s="8" t="s">
        <v>15</v>
      </c>
      <c r="T268" s="26" t="str">
        <f>IFERROR(__xludf.DUMMYFUNCTION("IFERROR(TRANSPOSE(QUERY(IFERROR(SORT(GOOGLEFINANCE(C268, ""price"", WORKDAY(TODAY(), -40), TODAY()), 1, FALSE)), ""select Col2 where Col2 is not null limit 22 label Col2 ''"", 0)), """")"),"")</f>
        <v/>
      </c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8"/>
      <c r="AO268" s="28"/>
      <c r="AP268" s="29"/>
      <c r="AQ268" s="29" t="str">
        <f t="shared" ref="AQ268:BL268" si="271">T268/T$2</f>
        <v>#N/A</v>
      </c>
      <c r="AR268" s="29" t="str">
        <f t="shared" si="271"/>
        <v>#DIV/0!</v>
      </c>
      <c r="AS268" s="29" t="str">
        <f t="shared" si="271"/>
        <v>#DIV/0!</v>
      </c>
      <c r="AT268" s="29" t="str">
        <f t="shared" si="271"/>
        <v>#DIV/0!</v>
      </c>
      <c r="AU268" s="29" t="str">
        <f t="shared" si="271"/>
        <v>#DIV/0!</v>
      </c>
      <c r="AV268" s="29" t="str">
        <f t="shared" si="271"/>
        <v>#DIV/0!</v>
      </c>
      <c r="AW268" s="29" t="str">
        <f t="shared" si="271"/>
        <v>#DIV/0!</v>
      </c>
      <c r="AX268" s="29" t="str">
        <f t="shared" si="271"/>
        <v>#DIV/0!</v>
      </c>
      <c r="AY268" s="29" t="str">
        <f t="shared" si="271"/>
        <v>#DIV/0!</v>
      </c>
      <c r="AZ268" s="29" t="str">
        <f t="shared" si="271"/>
        <v>#DIV/0!</v>
      </c>
      <c r="BA268" s="29" t="str">
        <f t="shared" si="271"/>
        <v>#DIV/0!</v>
      </c>
      <c r="BB268" s="29" t="str">
        <f t="shared" si="271"/>
        <v>#DIV/0!</v>
      </c>
      <c r="BC268" s="29" t="str">
        <f t="shared" si="271"/>
        <v>#DIV/0!</v>
      </c>
      <c r="BD268" s="29" t="str">
        <f t="shared" si="271"/>
        <v>#DIV/0!</v>
      </c>
      <c r="BE268" s="29" t="str">
        <f t="shared" si="271"/>
        <v>#DIV/0!</v>
      </c>
      <c r="BF268" s="29" t="str">
        <f t="shared" si="271"/>
        <v>#DIV/0!</v>
      </c>
      <c r="BG268" s="29" t="str">
        <f t="shared" si="271"/>
        <v>#DIV/0!</v>
      </c>
      <c r="BH268" s="29" t="str">
        <f t="shared" si="271"/>
        <v>#DIV/0!</v>
      </c>
      <c r="BI268" s="29" t="str">
        <f t="shared" si="271"/>
        <v>#DIV/0!</v>
      </c>
      <c r="BJ268" s="29" t="str">
        <f t="shared" si="271"/>
        <v>#DIV/0!</v>
      </c>
      <c r="BK268" s="29" t="str">
        <f t="shared" si="271"/>
        <v>#DIV/0!</v>
      </c>
      <c r="BL268" s="29" t="str">
        <f t="shared" si="271"/>
        <v>#DIV/0!</v>
      </c>
      <c r="BM268" s="29" t="str">
        <f t="shared" si="3"/>
        <v>#DIV/0!</v>
      </c>
    </row>
    <row r="269">
      <c r="A269" s="16" t="str">
        <f>IFERROR(__xludf.DUMMYFUNCTION("IFERROR(SPARKLINE(SORT(MAP(TRANSPOSE(AQ269:BL269), LAMBDA(val, IF(ISNUMBER(val), PERCENTRANK(AQ269:BL269, val)+0.01, 0))), SEQUENCE(COLUMNS(AQ269:BL269)), FALSE), {""charttype"",""column""; ""color"",""chartreuse""; ""ymin"", 0; ""ymax"", 1.01; ""highcolo"&amp;"r"", ""darkgreen""; ""lowcolor"", ""red""}), """")"),"")</f>
        <v/>
      </c>
      <c r="B269" s="17" t="str">
        <f t="shared" si="4"/>
        <v/>
      </c>
      <c r="C269" s="1" t="s">
        <v>1263</v>
      </c>
      <c r="D269" s="34" t="str">
        <f>IFERROR(__xludf.DUMMYFUNCTION("IFERROR(GOOGLEFINANCE(C269, ""NAME""))"),"Metropolitan Bank Holding Corp")</f>
        <v>Metropolitan Bank Holding Corp</v>
      </c>
      <c r="E269" s="30" t="s">
        <v>268</v>
      </c>
      <c r="F269" s="33" t="str">
        <f>IFERROR(__xludf.DUMMYFUNCTION("( (GOOGLEFINANCE(C269, ""price"") - Q269) / Q269 ) / (R269 / 100)"),"Loading...")</f>
        <v>Loading...</v>
      </c>
      <c r="G269" s="20" t="str">
        <f>IFERROR(__xludf.DUMMYFUNCTION("AVERAGE(ARRAYFORMULA(100 * (QUERY(GOOGLEFINANCE(C269, ""high"", TODAY()-40, TODAY()), ""SELECT Col2 WHERE Col2 IS NOT NULL ORDER BY Col1 DESC LIMIT 20"", 0) / QUERY(GOOGLEFINANCE(C269, ""low"", TODAY()-40, TODAY()), ""SELECT Col2 WHERE Col2 IS NOT NULL OR"&amp;"DER BY Col1 DESC LIMIT 20"", 0) - 1)))"),"#N/A")</f>
        <v>#N/A</v>
      </c>
      <c r="H269" s="35" t="str">
        <f t="shared" si="6"/>
        <v/>
      </c>
      <c r="I269" s="36" t="str">
        <f t="shared" si="7"/>
        <v/>
      </c>
      <c r="J269" s="37" t="str">
        <f>IFERROR(__xludf.DUMMYFUNCTION("IFERROR(
  IF(C269="""",, 
    IFERROR(
      GOOGLEFINANCE(C269, ""price"") * GOOGLEFINANCE(C269, ""volumeavg""), 
      GOOGLEFINANCE(C269, ""price"") * AVERAGE(QUERY(GOOGLEFINANCE(C269, ""volume"", TODAY()-40, TODAY()), ""SELECT Col2 WHERE Col2 IS NOT "&amp;"NULL ORDER BY Col1 DESC LIMIT 20"", 0))
    )
  ), 
"""")"),"")</f>
        <v/>
      </c>
      <c r="K269" s="21" t="str">
        <f>IFERROR(__xludf.DUMMYFUNCTION("IFERROR(GOOGLEFINANCE(C269, ""changepct"") / 100, """")"),"")</f>
        <v/>
      </c>
      <c r="L269" s="21" t="str">
        <f>IFERROR(__xludf.DUMMYFUNCTION("IFERROR((GOOGLEFINANCE(C269, ""price"") / INDEX(GOOGLEFINANCE(C269, ""price"", TODAY()-7, TODAY()), 2, 2)) - 1, """")"),"")</f>
        <v/>
      </c>
      <c r="M269" s="21" t="str">
        <f>IFERROR(__xludf.DUMMYFUNCTION("IFERROR((GOOGLEFINANCE(C269, ""price"") / INDEX(GOOGLEFINANCE(C269, ""price"", EDATE(TODAY(), -1), TODAY()), 2, 2)) - 1, """")"),"")</f>
        <v/>
      </c>
      <c r="N269" s="21" t="str">
        <f>IFERROR(__xludf.DUMMYFUNCTION("IFERROR((GOOGLEFINANCE(C269, ""price"") / INDEX(GOOGLEFINANCE(C269, ""price"", EDATE(TODAY(), -3), TODAY()), 2, 2)) - 1, """")"),"")</f>
        <v/>
      </c>
      <c r="O269" s="21" t="str">
        <f>IFERROR(__xludf.DUMMYFUNCTION("IFERROR((GOOGLEFINANCE(C269, ""price"") / INDEX(GOOGLEFINANCE(C269, ""price"", EDATE(TODAY(), -6), TODAY()), 2, 2)) - 1, """")"),"")</f>
        <v/>
      </c>
      <c r="P269" s="21" t="str">
        <f>IFERROR(__xludf.DUMMYFUNCTION("IFERROR((GOOGLEFINANCE(C269, ""price"") / INDEX(GOOGLEFINANCE(C269, ""price"", EDATE(TODAY(), -12), TODAY()), 2, 2)) - 1, """")"),"")</f>
        <v/>
      </c>
      <c r="Q269" s="6" t="str">
        <f>IFERROR(__xludf.DUMMYFUNCTION("AVERAGE(QUERY(GOOGLEFINANCE(C269, ""price"", TODAY()-80, TODAY()), ""SELECT Col2 WHERE Col2 IS NOT NULL ORDER BY Col1 DESC LIMIT 50"", 0))"),"#N/A")</f>
        <v>#N/A</v>
      </c>
      <c r="R269" s="24" t="str">
        <f>IFERROR(__xludf.DUMMYFUNCTION("IFERROR(
  LET(
    data, QUERY(GOOGLEFINANCE(C269,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GOOGLEFINANCE(C269, ""price"")) * 100,
    IF(calc=0, G269, calc)
  ), 
G269)"),"#N/A")</f>
        <v>#N/A</v>
      </c>
      <c r="S269" s="8" t="s">
        <v>15</v>
      </c>
      <c r="T269" s="26" t="str">
        <f>IFERROR(__xludf.DUMMYFUNCTION("IFERROR(TRANSPOSE(QUERY(IFERROR(SORT(GOOGLEFINANCE(C269, ""price"", WORKDAY(TODAY(), -40), TODAY()), 1, FALSE)), ""select Col2 where Col2 is not null limit 22 label Col2 ''"", 0)), """")"),"")</f>
        <v/>
      </c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8"/>
      <c r="AO269" s="28"/>
      <c r="AP269" s="29"/>
      <c r="AQ269" s="29" t="str">
        <f t="shared" ref="AQ269:BL269" si="272">T269/T$2</f>
        <v>#N/A</v>
      </c>
      <c r="AR269" s="29" t="str">
        <f t="shared" si="272"/>
        <v>#DIV/0!</v>
      </c>
      <c r="AS269" s="29" t="str">
        <f t="shared" si="272"/>
        <v>#DIV/0!</v>
      </c>
      <c r="AT269" s="29" t="str">
        <f t="shared" si="272"/>
        <v>#DIV/0!</v>
      </c>
      <c r="AU269" s="29" t="str">
        <f t="shared" si="272"/>
        <v>#DIV/0!</v>
      </c>
      <c r="AV269" s="29" t="str">
        <f t="shared" si="272"/>
        <v>#DIV/0!</v>
      </c>
      <c r="AW269" s="29" t="str">
        <f t="shared" si="272"/>
        <v>#DIV/0!</v>
      </c>
      <c r="AX269" s="29" t="str">
        <f t="shared" si="272"/>
        <v>#DIV/0!</v>
      </c>
      <c r="AY269" s="29" t="str">
        <f t="shared" si="272"/>
        <v>#DIV/0!</v>
      </c>
      <c r="AZ269" s="29" t="str">
        <f t="shared" si="272"/>
        <v>#DIV/0!</v>
      </c>
      <c r="BA269" s="29" t="str">
        <f t="shared" si="272"/>
        <v>#DIV/0!</v>
      </c>
      <c r="BB269" s="29" t="str">
        <f t="shared" si="272"/>
        <v>#DIV/0!</v>
      </c>
      <c r="BC269" s="29" t="str">
        <f t="shared" si="272"/>
        <v>#DIV/0!</v>
      </c>
      <c r="BD269" s="29" t="str">
        <f t="shared" si="272"/>
        <v>#DIV/0!</v>
      </c>
      <c r="BE269" s="29" t="str">
        <f t="shared" si="272"/>
        <v>#DIV/0!</v>
      </c>
      <c r="BF269" s="29" t="str">
        <f t="shared" si="272"/>
        <v>#DIV/0!</v>
      </c>
      <c r="BG269" s="29" t="str">
        <f t="shared" si="272"/>
        <v>#DIV/0!</v>
      </c>
      <c r="BH269" s="29" t="str">
        <f t="shared" si="272"/>
        <v>#DIV/0!</v>
      </c>
      <c r="BI269" s="29" t="str">
        <f t="shared" si="272"/>
        <v>#DIV/0!</v>
      </c>
      <c r="BJ269" s="29" t="str">
        <f t="shared" si="272"/>
        <v>#DIV/0!</v>
      </c>
      <c r="BK269" s="29" t="str">
        <f t="shared" si="272"/>
        <v>#DIV/0!</v>
      </c>
      <c r="BL269" s="29" t="str">
        <f t="shared" si="272"/>
        <v>#DIV/0!</v>
      </c>
      <c r="BM269" s="29" t="str">
        <f t="shared" si="3"/>
        <v>#DIV/0!</v>
      </c>
    </row>
    <row r="270">
      <c r="A270" s="16" t="str">
        <f>IFERROR(__xludf.DUMMYFUNCTION("IFERROR(SPARKLINE(SORT(MAP(TRANSPOSE(AQ270:BL270), LAMBDA(val, IF(ISNUMBER(val), PERCENTRANK(AQ270:BL270, val)+0.01, 0))), SEQUENCE(COLUMNS(AQ270:BL270)), FALSE), {""charttype"",""column""; ""color"",""chartreuse""; ""ymin"", 0; ""ymax"", 1.01; ""highcolo"&amp;"r"", ""darkgreen""; ""lowcolor"", ""red""}), """")"),"")</f>
        <v/>
      </c>
      <c r="B270" s="17" t="str">
        <f t="shared" si="4"/>
        <v/>
      </c>
      <c r="C270" s="1" t="s">
        <v>1268</v>
      </c>
      <c r="D270" s="34" t="str">
        <f>IFERROR(__xludf.DUMMYFUNCTION("IFERROR(GOOGLEFINANCE(C270, ""NAME""))"),"Origin Bancorp Inc")</f>
        <v>Origin Bancorp Inc</v>
      </c>
      <c r="E270" s="30" t="s">
        <v>268</v>
      </c>
      <c r="F270" s="33" t="str">
        <f>IFERROR(__xludf.DUMMYFUNCTION("( (GOOGLEFINANCE(C270, ""price"") - Q270) / Q270 ) / (R270 / 100)"),"Loading...")</f>
        <v>Loading...</v>
      </c>
      <c r="G270" s="20" t="str">
        <f>IFERROR(__xludf.DUMMYFUNCTION("AVERAGE(ARRAYFORMULA(100 * (QUERY(GOOGLEFINANCE(C270, ""high"", TODAY()-40, TODAY()), ""SELECT Col2 WHERE Col2 IS NOT NULL ORDER BY Col1 DESC LIMIT 20"", 0) / QUERY(GOOGLEFINANCE(C270, ""low"", TODAY()-40, TODAY()), ""SELECT Col2 WHERE Col2 IS NOT NULL OR"&amp;"DER BY Col1 DESC LIMIT 20"", 0) - 1)))"),"#N/A")</f>
        <v>#N/A</v>
      </c>
      <c r="H270" s="35" t="str">
        <f t="shared" si="6"/>
        <v/>
      </c>
      <c r="I270" s="36" t="str">
        <f t="shared" si="7"/>
        <v/>
      </c>
      <c r="J270" s="37" t="str">
        <f>IFERROR(__xludf.DUMMYFUNCTION("IFERROR(
  IF(C270="""",, 
    IFERROR(
      GOOGLEFINANCE(C270, ""price"") * GOOGLEFINANCE(C270, ""volumeavg""), 
      GOOGLEFINANCE(C270, ""price"") * AVERAGE(QUERY(GOOGLEFINANCE(C270, ""volume"", TODAY()-40, TODAY()), ""SELECT Col2 WHERE Col2 IS NOT "&amp;"NULL ORDER BY Col1 DESC LIMIT 20"", 0))
    )
  ), 
"""")"),"")</f>
        <v/>
      </c>
      <c r="K270" s="21" t="str">
        <f>IFERROR(__xludf.DUMMYFUNCTION("IFERROR(GOOGLEFINANCE(C270, ""changepct"") / 100, """")"),"")</f>
        <v/>
      </c>
      <c r="L270" s="21" t="str">
        <f>IFERROR(__xludf.DUMMYFUNCTION("IFERROR((GOOGLEFINANCE(C270, ""price"") / INDEX(GOOGLEFINANCE(C270, ""price"", TODAY()-7, TODAY()), 2, 2)) - 1, """")"),"")</f>
        <v/>
      </c>
      <c r="M270" s="21" t="str">
        <f>IFERROR(__xludf.DUMMYFUNCTION("IFERROR((GOOGLEFINANCE(C270, ""price"") / INDEX(GOOGLEFINANCE(C270, ""price"", EDATE(TODAY(), -1), TODAY()), 2, 2)) - 1, """")"),"")</f>
        <v/>
      </c>
      <c r="N270" s="21" t="str">
        <f>IFERROR(__xludf.DUMMYFUNCTION("IFERROR((GOOGLEFINANCE(C270, ""price"") / INDEX(GOOGLEFINANCE(C270, ""price"", EDATE(TODAY(), -3), TODAY()), 2, 2)) - 1, """")"),"")</f>
        <v/>
      </c>
      <c r="O270" s="21" t="str">
        <f>IFERROR(__xludf.DUMMYFUNCTION("IFERROR((GOOGLEFINANCE(C270, ""price"") / INDEX(GOOGLEFINANCE(C270, ""price"", EDATE(TODAY(), -6), TODAY()), 2, 2)) - 1, """")"),"")</f>
        <v/>
      </c>
      <c r="P270" s="21" t="str">
        <f>IFERROR(__xludf.DUMMYFUNCTION("IFERROR((GOOGLEFINANCE(C270, ""price"") / INDEX(GOOGLEFINANCE(C270, ""price"", EDATE(TODAY(), -12), TODAY()), 2, 2)) - 1, """")"),"")</f>
        <v/>
      </c>
      <c r="Q270" s="6" t="str">
        <f>IFERROR(__xludf.DUMMYFUNCTION("AVERAGE(QUERY(GOOGLEFINANCE(C270, ""price"", TODAY()-80, TODAY()), ""SELECT Col2 WHERE Col2 IS NOT NULL ORDER BY Col1 DESC LIMIT 50"", 0))"),"#N/A")</f>
        <v>#N/A</v>
      </c>
      <c r="R270" s="24" t="str">
        <f>IFERROR(__xludf.DUMMYFUNCTION("IFERROR(
  LET(
    data, QUERY(GOOGLEFINANCE(C270,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GOOGLEFINANCE(C270, ""price"")) * 100,
    IF(calc=0, G270, calc)
  ), 
G270)"),"#N/A")</f>
        <v>#N/A</v>
      </c>
      <c r="S270" s="8" t="s">
        <v>15</v>
      </c>
      <c r="T270" s="26" t="str">
        <f>IFERROR(__xludf.DUMMYFUNCTION("IFERROR(TRANSPOSE(QUERY(IFERROR(SORT(GOOGLEFINANCE(C270, ""price"", WORKDAY(TODAY(), -40), TODAY()), 1, FALSE)), ""select Col2 where Col2 is not null limit 22 label Col2 ''"", 0)), """")"),"")</f>
        <v/>
      </c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8"/>
      <c r="AO270" s="28"/>
      <c r="AP270" s="29"/>
      <c r="AQ270" s="29" t="str">
        <f t="shared" ref="AQ270:BL270" si="273">T270/T$2</f>
        <v>#N/A</v>
      </c>
      <c r="AR270" s="29" t="str">
        <f t="shared" si="273"/>
        <v>#DIV/0!</v>
      </c>
      <c r="AS270" s="29" t="str">
        <f t="shared" si="273"/>
        <v>#DIV/0!</v>
      </c>
      <c r="AT270" s="29" t="str">
        <f t="shared" si="273"/>
        <v>#DIV/0!</v>
      </c>
      <c r="AU270" s="29" t="str">
        <f t="shared" si="273"/>
        <v>#DIV/0!</v>
      </c>
      <c r="AV270" s="29" t="str">
        <f t="shared" si="273"/>
        <v>#DIV/0!</v>
      </c>
      <c r="AW270" s="29" t="str">
        <f t="shared" si="273"/>
        <v>#DIV/0!</v>
      </c>
      <c r="AX270" s="29" t="str">
        <f t="shared" si="273"/>
        <v>#DIV/0!</v>
      </c>
      <c r="AY270" s="29" t="str">
        <f t="shared" si="273"/>
        <v>#DIV/0!</v>
      </c>
      <c r="AZ270" s="29" t="str">
        <f t="shared" si="273"/>
        <v>#DIV/0!</v>
      </c>
      <c r="BA270" s="29" t="str">
        <f t="shared" si="273"/>
        <v>#DIV/0!</v>
      </c>
      <c r="BB270" s="29" t="str">
        <f t="shared" si="273"/>
        <v>#DIV/0!</v>
      </c>
      <c r="BC270" s="29" t="str">
        <f t="shared" si="273"/>
        <v>#DIV/0!</v>
      </c>
      <c r="BD270" s="29" t="str">
        <f t="shared" si="273"/>
        <v>#DIV/0!</v>
      </c>
      <c r="BE270" s="29" t="str">
        <f t="shared" si="273"/>
        <v>#DIV/0!</v>
      </c>
      <c r="BF270" s="29" t="str">
        <f t="shared" si="273"/>
        <v>#DIV/0!</v>
      </c>
      <c r="BG270" s="29" t="str">
        <f t="shared" si="273"/>
        <v>#DIV/0!</v>
      </c>
      <c r="BH270" s="29" t="str">
        <f t="shared" si="273"/>
        <v>#DIV/0!</v>
      </c>
      <c r="BI270" s="29" t="str">
        <f t="shared" si="273"/>
        <v>#DIV/0!</v>
      </c>
      <c r="BJ270" s="29" t="str">
        <f t="shared" si="273"/>
        <v>#DIV/0!</v>
      </c>
      <c r="BK270" s="29" t="str">
        <f t="shared" si="273"/>
        <v>#DIV/0!</v>
      </c>
      <c r="BL270" s="29" t="str">
        <f t="shared" si="273"/>
        <v>#DIV/0!</v>
      </c>
      <c r="BM270" s="29" t="str">
        <f t="shared" si="3"/>
        <v>#DIV/0!</v>
      </c>
    </row>
    <row r="271">
      <c r="A271" s="16" t="str">
        <f>IFERROR(__xludf.DUMMYFUNCTION("IFERROR(SPARKLINE(SORT(MAP(TRANSPOSE(AQ271:BL271), LAMBDA(val, IF(ISNUMBER(val), PERCENTRANK(AQ271:BL271, val)+0.01, 0))), SEQUENCE(COLUMNS(AQ271:BL271)), FALSE), {""charttype"",""column""; ""color"",""chartreuse""; ""ymin"", 0; ""ymax"", 1.01; ""highcolo"&amp;"r"", ""darkgreen""; ""lowcolor"", ""red""}), """")"),"")</f>
        <v/>
      </c>
      <c r="B271" s="17" t="str">
        <f t="shared" si="4"/>
        <v/>
      </c>
      <c r="C271" s="1" t="s">
        <v>1274</v>
      </c>
      <c r="D271" s="34" t="str">
        <f>IFERROR(__xludf.DUMMYFUNCTION("IFERROR(GOOGLEFINANCE(C271, ""NAME""))"),"Bank of Marin Bancorp")</f>
        <v>Bank of Marin Bancorp</v>
      </c>
      <c r="E271" s="30" t="s">
        <v>268</v>
      </c>
      <c r="F271" s="33" t="str">
        <f>IFERROR(__xludf.DUMMYFUNCTION("( (GOOGLEFINANCE(C271, ""price"") - Q271) / Q271 ) / (R271 / 100)"),"Loading...")</f>
        <v>Loading...</v>
      </c>
      <c r="G271" s="20" t="str">
        <f>IFERROR(__xludf.DUMMYFUNCTION("AVERAGE(ARRAYFORMULA(100 * (QUERY(GOOGLEFINANCE(C271, ""high"", TODAY()-40, TODAY()), ""SELECT Col2 WHERE Col2 IS NOT NULL ORDER BY Col1 DESC LIMIT 20"", 0) / QUERY(GOOGLEFINANCE(C271, ""low"", TODAY()-40, TODAY()), ""SELECT Col2 WHERE Col2 IS NOT NULL OR"&amp;"DER BY Col1 DESC LIMIT 20"", 0) - 1)))"),"#N/A")</f>
        <v>#N/A</v>
      </c>
      <c r="H271" s="35" t="str">
        <f t="shared" si="6"/>
        <v/>
      </c>
      <c r="I271" s="36" t="str">
        <f t="shared" si="7"/>
        <v/>
      </c>
      <c r="J271" s="37" t="str">
        <f>IFERROR(__xludf.DUMMYFUNCTION("IFERROR(
  IF(C271="""",, 
    IFERROR(
      GOOGLEFINANCE(C271, ""price"") * GOOGLEFINANCE(C271, ""volumeavg""), 
      GOOGLEFINANCE(C271, ""price"") * AVERAGE(QUERY(GOOGLEFINANCE(C271, ""volume"", TODAY()-40, TODAY()), ""SELECT Col2 WHERE Col2 IS NOT "&amp;"NULL ORDER BY Col1 DESC LIMIT 20"", 0))
    )
  ), 
"""")"),"")</f>
        <v/>
      </c>
      <c r="K271" s="21" t="str">
        <f>IFERROR(__xludf.DUMMYFUNCTION("IFERROR(GOOGLEFINANCE(C271, ""changepct"") / 100, """")"),"")</f>
        <v/>
      </c>
      <c r="L271" s="21" t="str">
        <f>IFERROR(__xludf.DUMMYFUNCTION("IFERROR((GOOGLEFINANCE(C271, ""price"") / INDEX(GOOGLEFINANCE(C271, ""price"", TODAY()-7, TODAY()), 2, 2)) - 1, """")"),"")</f>
        <v/>
      </c>
      <c r="M271" s="21" t="str">
        <f>IFERROR(__xludf.DUMMYFUNCTION("IFERROR((GOOGLEFINANCE(C271, ""price"") / INDEX(GOOGLEFINANCE(C271, ""price"", EDATE(TODAY(), -1), TODAY()), 2, 2)) - 1, """")"),"")</f>
        <v/>
      </c>
      <c r="N271" s="21" t="str">
        <f>IFERROR(__xludf.DUMMYFUNCTION("IFERROR((GOOGLEFINANCE(C271, ""price"") / INDEX(GOOGLEFINANCE(C271, ""price"", EDATE(TODAY(), -3), TODAY()), 2, 2)) - 1, """")"),"")</f>
        <v/>
      </c>
      <c r="O271" s="21" t="str">
        <f>IFERROR(__xludf.DUMMYFUNCTION("IFERROR((GOOGLEFINANCE(C271, ""price"") / INDEX(GOOGLEFINANCE(C271, ""price"", EDATE(TODAY(), -6), TODAY()), 2, 2)) - 1, """")"),"")</f>
        <v/>
      </c>
      <c r="P271" s="21" t="str">
        <f>IFERROR(__xludf.DUMMYFUNCTION("IFERROR((GOOGLEFINANCE(C271, ""price"") / INDEX(GOOGLEFINANCE(C271, ""price"", EDATE(TODAY(), -12), TODAY()), 2, 2)) - 1, """")"),"")</f>
        <v/>
      </c>
      <c r="Q271" s="6" t="str">
        <f>IFERROR(__xludf.DUMMYFUNCTION("AVERAGE(QUERY(GOOGLEFINANCE(C271, ""price"", TODAY()-80, TODAY()), ""SELECT Col2 WHERE Col2 IS NOT NULL ORDER BY Col1 DESC LIMIT 50"", 0))"),"#N/A")</f>
        <v>#N/A</v>
      </c>
      <c r="R271" s="24" t="str">
        <f>IFERROR(__xludf.DUMMYFUNCTION("IFERROR(
  LET(
    data, QUERY(GOOGLEFINANCE(C271,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GOOGLEFINANCE(C271, ""price"")) * 100,
    IF(calc=0, G271, calc)
  ), 
G271)"),"#N/A")</f>
        <v>#N/A</v>
      </c>
      <c r="S271" s="8" t="s">
        <v>15</v>
      </c>
      <c r="T271" s="26" t="str">
        <f>IFERROR(__xludf.DUMMYFUNCTION("IFERROR(TRANSPOSE(QUERY(IFERROR(SORT(GOOGLEFINANCE(C271, ""price"", WORKDAY(TODAY(), -40), TODAY()), 1, FALSE)), ""select Col2 where Col2 is not null limit 22 label Col2 ''"", 0)), """")"),"")</f>
        <v/>
      </c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8"/>
      <c r="AO271" s="28"/>
      <c r="AP271" s="29"/>
      <c r="AQ271" s="29" t="str">
        <f t="shared" ref="AQ271:BL271" si="274">T271/T$2</f>
        <v>#N/A</v>
      </c>
      <c r="AR271" s="29" t="str">
        <f t="shared" si="274"/>
        <v>#DIV/0!</v>
      </c>
      <c r="AS271" s="29" t="str">
        <f t="shared" si="274"/>
        <v>#DIV/0!</v>
      </c>
      <c r="AT271" s="29" t="str">
        <f t="shared" si="274"/>
        <v>#DIV/0!</v>
      </c>
      <c r="AU271" s="29" t="str">
        <f t="shared" si="274"/>
        <v>#DIV/0!</v>
      </c>
      <c r="AV271" s="29" t="str">
        <f t="shared" si="274"/>
        <v>#DIV/0!</v>
      </c>
      <c r="AW271" s="29" t="str">
        <f t="shared" si="274"/>
        <v>#DIV/0!</v>
      </c>
      <c r="AX271" s="29" t="str">
        <f t="shared" si="274"/>
        <v>#DIV/0!</v>
      </c>
      <c r="AY271" s="29" t="str">
        <f t="shared" si="274"/>
        <v>#DIV/0!</v>
      </c>
      <c r="AZ271" s="29" t="str">
        <f t="shared" si="274"/>
        <v>#DIV/0!</v>
      </c>
      <c r="BA271" s="29" t="str">
        <f t="shared" si="274"/>
        <v>#DIV/0!</v>
      </c>
      <c r="BB271" s="29" t="str">
        <f t="shared" si="274"/>
        <v>#DIV/0!</v>
      </c>
      <c r="BC271" s="29" t="str">
        <f t="shared" si="274"/>
        <v>#DIV/0!</v>
      </c>
      <c r="BD271" s="29" t="str">
        <f t="shared" si="274"/>
        <v>#DIV/0!</v>
      </c>
      <c r="BE271" s="29" t="str">
        <f t="shared" si="274"/>
        <v>#DIV/0!</v>
      </c>
      <c r="BF271" s="29" t="str">
        <f t="shared" si="274"/>
        <v>#DIV/0!</v>
      </c>
      <c r="BG271" s="29" t="str">
        <f t="shared" si="274"/>
        <v>#DIV/0!</v>
      </c>
      <c r="BH271" s="29" t="str">
        <f t="shared" si="274"/>
        <v>#DIV/0!</v>
      </c>
      <c r="BI271" s="29" t="str">
        <f t="shared" si="274"/>
        <v>#DIV/0!</v>
      </c>
      <c r="BJ271" s="29" t="str">
        <f t="shared" si="274"/>
        <v>#DIV/0!</v>
      </c>
      <c r="BK271" s="29" t="str">
        <f t="shared" si="274"/>
        <v>#DIV/0!</v>
      </c>
      <c r="BL271" s="29" t="str">
        <f t="shared" si="274"/>
        <v>#DIV/0!</v>
      </c>
      <c r="BM271" s="29" t="str">
        <f t="shared" si="3"/>
        <v>#DIV/0!</v>
      </c>
    </row>
    <row r="272">
      <c r="A272" s="16" t="str">
        <f>IFERROR(__xludf.DUMMYFUNCTION("IFERROR(SPARKLINE(SORT(MAP(TRANSPOSE(AQ272:BL272), LAMBDA(val, IF(ISNUMBER(val), PERCENTRANK(AQ272:BL272, val)+0.01, 0))), SEQUENCE(COLUMNS(AQ272:BL272)), FALSE), {""charttype"",""column""; ""color"",""chartreuse""; ""ymin"", 0; ""ymax"", 1.01; ""highcolo"&amp;"r"", ""darkgreen""; ""lowcolor"", ""red""}), """")"),"")</f>
        <v/>
      </c>
      <c r="B272" s="17" t="str">
        <f t="shared" si="4"/>
        <v/>
      </c>
      <c r="C272" s="1" t="s">
        <v>1281</v>
      </c>
      <c r="D272" s="34" t="str">
        <f>IFERROR(__xludf.DUMMYFUNCTION("IFERROR(GOOGLEFINANCE(C272, ""NAME""))"),"Blackstone Secured Lending Fund")</f>
        <v>Blackstone Secured Lending Fund</v>
      </c>
      <c r="E272" s="30" t="s">
        <v>64</v>
      </c>
      <c r="F272" s="33" t="str">
        <f>IFERROR(__xludf.DUMMYFUNCTION("( (GOOGLEFINANCE(C272, ""price"") - Q272) / Q272 ) / (R272 / 100)"),"Loading...")</f>
        <v>Loading...</v>
      </c>
      <c r="G272" s="20" t="str">
        <f>IFERROR(__xludf.DUMMYFUNCTION("AVERAGE(ARRAYFORMULA(100 * (QUERY(GOOGLEFINANCE(C272, ""high"", TODAY()-40, TODAY()), ""SELECT Col2 WHERE Col2 IS NOT NULL ORDER BY Col1 DESC LIMIT 20"", 0) / QUERY(GOOGLEFINANCE(C272, ""low"", TODAY()-40, TODAY()), ""SELECT Col2 WHERE Col2 IS NOT NULL OR"&amp;"DER BY Col1 DESC LIMIT 20"", 0) - 1)))"),"#N/A")</f>
        <v>#N/A</v>
      </c>
      <c r="H272" s="35" t="str">
        <f t="shared" si="6"/>
        <v/>
      </c>
      <c r="I272" s="36" t="str">
        <f t="shared" si="7"/>
        <v/>
      </c>
      <c r="J272" s="37" t="str">
        <f>IFERROR(__xludf.DUMMYFUNCTION("IFERROR(
  IF(C272="""",, 
    IFERROR(
      GOOGLEFINANCE(C272, ""price"") * GOOGLEFINANCE(C272, ""volumeavg""), 
      GOOGLEFINANCE(C272, ""price"") * AVERAGE(QUERY(GOOGLEFINANCE(C272, ""volume"", TODAY()-40, TODAY()), ""SELECT Col2 WHERE Col2 IS NOT "&amp;"NULL ORDER BY Col1 DESC LIMIT 20"", 0))
    )
  ), 
"""")"),"")</f>
        <v/>
      </c>
      <c r="K272" s="21" t="str">
        <f>IFERROR(__xludf.DUMMYFUNCTION("IFERROR(GOOGLEFINANCE(C272, ""changepct"") / 100, """")"),"")</f>
        <v/>
      </c>
      <c r="L272" s="21" t="str">
        <f>IFERROR(__xludf.DUMMYFUNCTION("IFERROR((GOOGLEFINANCE(C272, ""price"") / INDEX(GOOGLEFINANCE(C272, ""price"", TODAY()-7, TODAY()), 2, 2)) - 1, """")"),"")</f>
        <v/>
      </c>
      <c r="M272" s="21" t="str">
        <f>IFERROR(__xludf.DUMMYFUNCTION("IFERROR((GOOGLEFINANCE(C272, ""price"") / INDEX(GOOGLEFINANCE(C272, ""price"", EDATE(TODAY(), -1), TODAY()), 2, 2)) - 1, """")"),"")</f>
        <v/>
      </c>
      <c r="N272" s="21" t="str">
        <f>IFERROR(__xludf.DUMMYFUNCTION("IFERROR((GOOGLEFINANCE(C272, ""price"") / INDEX(GOOGLEFINANCE(C272, ""price"", EDATE(TODAY(), -3), TODAY()), 2, 2)) - 1, """")"),"")</f>
        <v/>
      </c>
      <c r="O272" s="21" t="str">
        <f>IFERROR(__xludf.DUMMYFUNCTION("IFERROR((GOOGLEFINANCE(C272, ""price"") / INDEX(GOOGLEFINANCE(C272, ""price"", EDATE(TODAY(), -6), TODAY()), 2, 2)) - 1, """")"),"")</f>
        <v/>
      </c>
      <c r="P272" s="21" t="str">
        <f>IFERROR(__xludf.DUMMYFUNCTION("IFERROR((GOOGLEFINANCE(C272, ""price"") / INDEX(GOOGLEFINANCE(C272, ""price"", EDATE(TODAY(), -12), TODAY()), 2, 2)) - 1, """")"),"")</f>
        <v/>
      </c>
      <c r="Q272" s="6" t="str">
        <f>IFERROR(__xludf.DUMMYFUNCTION("AVERAGE(QUERY(GOOGLEFINANCE(C272, ""price"", TODAY()-80, TODAY()), ""SELECT Col2 WHERE Col2 IS NOT NULL ORDER BY Col1 DESC LIMIT 50"", 0))"),"#N/A")</f>
        <v>#N/A</v>
      </c>
      <c r="R272" s="24" t="str">
        <f>IFERROR(__xludf.DUMMYFUNCTION("IFERROR(
  LET(
    data, QUERY(GOOGLEFINANCE(C272,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GOOGLEFINANCE(C272, ""price"")) * 100,
    IF(calc=0, G272, calc)
  ), 
G272)"),"#N/A")</f>
        <v>#N/A</v>
      </c>
      <c r="S272" s="8" t="s">
        <v>15</v>
      </c>
      <c r="T272" s="26" t="str">
        <f>IFERROR(__xludf.DUMMYFUNCTION("IFERROR(TRANSPOSE(QUERY(IFERROR(SORT(GOOGLEFINANCE(C272, ""price"", WORKDAY(TODAY(), -40), TODAY()), 1, FALSE)), ""select Col2 where Col2 is not null limit 22 label Col2 ''"", 0)), """")"),"")</f>
        <v/>
      </c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8"/>
      <c r="AO272" s="28"/>
      <c r="AP272" s="29"/>
      <c r="AQ272" s="29" t="str">
        <f t="shared" ref="AQ272:BL272" si="275">T272/T$2</f>
        <v>#N/A</v>
      </c>
      <c r="AR272" s="29" t="str">
        <f t="shared" si="275"/>
        <v>#DIV/0!</v>
      </c>
      <c r="AS272" s="29" t="str">
        <f t="shared" si="275"/>
        <v>#DIV/0!</v>
      </c>
      <c r="AT272" s="29" t="str">
        <f t="shared" si="275"/>
        <v>#DIV/0!</v>
      </c>
      <c r="AU272" s="29" t="str">
        <f t="shared" si="275"/>
        <v>#DIV/0!</v>
      </c>
      <c r="AV272" s="29" t="str">
        <f t="shared" si="275"/>
        <v>#DIV/0!</v>
      </c>
      <c r="AW272" s="29" t="str">
        <f t="shared" si="275"/>
        <v>#DIV/0!</v>
      </c>
      <c r="AX272" s="29" t="str">
        <f t="shared" si="275"/>
        <v>#DIV/0!</v>
      </c>
      <c r="AY272" s="29" t="str">
        <f t="shared" si="275"/>
        <v>#DIV/0!</v>
      </c>
      <c r="AZ272" s="29" t="str">
        <f t="shared" si="275"/>
        <v>#DIV/0!</v>
      </c>
      <c r="BA272" s="29" t="str">
        <f t="shared" si="275"/>
        <v>#DIV/0!</v>
      </c>
      <c r="BB272" s="29" t="str">
        <f t="shared" si="275"/>
        <v>#DIV/0!</v>
      </c>
      <c r="BC272" s="29" t="str">
        <f t="shared" si="275"/>
        <v>#DIV/0!</v>
      </c>
      <c r="BD272" s="29" t="str">
        <f t="shared" si="275"/>
        <v>#DIV/0!</v>
      </c>
      <c r="BE272" s="29" t="str">
        <f t="shared" si="275"/>
        <v>#DIV/0!</v>
      </c>
      <c r="BF272" s="29" t="str">
        <f t="shared" si="275"/>
        <v>#DIV/0!</v>
      </c>
      <c r="BG272" s="29" t="str">
        <f t="shared" si="275"/>
        <v>#DIV/0!</v>
      </c>
      <c r="BH272" s="29" t="str">
        <f t="shared" si="275"/>
        <v>#DIV/0!</v>
      </c>
      <c r="BI272" s="29" t="str">
        <f t="shared" si="275"/>
        <v>#DIV/0!</v>
      </c>
      <c r="BJ272" s="29" t="str">
        <f t="shared" si="275"/>
        <v>#DIV/0!</v>
      </c>
      <c r="BK272" s="29" t="str">
        <f t="shared" si="275"/>
        <v>#DIV/0!</v>
      </c>
      <c r="BL272" s="29" t="str">
        <f t="shared" si="275"/>
        <v>#DIV/0!</v>
      </c>
      <c r="BM272" s="29" t="str">
        <f t="shared" si="3"/>
        <v>#DIV/0!</v>
      </c>
    </row>
    <row r="273">
      <c r="A273" s="16" t="str">
        <f>IFERROR(__xludf.DUMMYFUNCTION("IFERROR(SPARKLINE(SORT(MAP(TRANSPOSE(AQ273:BL273), LAMBDA(val, IF(ISNUMBER(val), PERCENTRANK(AQ273:BL273, val)+0.01, 0))), SEQUENCE(COLUMNS(AQ273:BL273)), FALSE), {""charttype"",""column""; ""color"",""chartreuse""; ""ymin"", 0; ""ymax"", 1.01; ""highcolo"&amp;"r"", ""darkgreen""; ""lowcolor"", ""red""}), """")"),"")</f>
        <v/>
      </c>
      <c r="B273" s="17" t="str">
        <f t="shared" si="4"/>
        <v/>
      </c>
      <c r="C273" s="1" t="s">
        <v>1286</v>
      </c>
      <c r="D273" s="34" t="str">
        <f>IFERROR(__xludf.DUMMYFUNCTION("IFERROR(GOOGLEFINANCE(C273, ""NAME""))"),"Camden National Corp")</f>
        <v>Camden National Corp</v>
      </c>
      <c r="E273" s="30" t="s">
        <v>268</v>
      </c>
      <c r="F273" s="33" t="str">
        <f>IFERROR(__xludf.DUMMYFUNCTION("( (GOOGLEFINANCE(C273, ""price"") - Q273) / Q273 ) / (R273 / 100)"),"Loading...")</f>
        <v>Loading...</v>
      </c>
      <c r="G273" s="20" t="str">
        <f>IFERROR(__xludf.DUMMYFUNCTION("AVERAGE(ARRAYFORMULA(100 * (QUERY(GOOGLEFINANCE(C273, ""high"", TODAY()-40, TODAY()), ""SELECT Col2 WHERE Col2 IS NOT NULL ORDER BY Col1 DESC LIMIT 20"", 0) / QUERY(GOOGLEFINANCE(C273, ""low"", TODAY()-40, TODAY()), ""SELECT Col2 WHERE Col2 IS NOT NULL OR"&amp;"DER BY Col1 DESC LIMIT 20"", 0) - 1)))"),"#N/A")</f>
        <v>#N/A</v>
      </c>
      <c r="H273" s="35" t="str">
        <f t="shared" si="6"/>
        <v/>
      </c>
      <c r="I273" s="36" t="str">
        <f t="shared" si="7"/>
        <v/>
      </c>
      <c r="J273" s="37" t="str">
        <f>IFERROR(__xludf.DUMMYFUNCTION("IFERROR(
  IF(C273="""",, 
    IFERROR(
      GOOGLEFINANCE(C273, ""price"") * GOOGLEFINANCE(C273, ""volumeavg""), 
      GOOGLEFINANCE(C273, ""price"") * AVERAGE(QUERY(GOOGLEFINANCE(C273, ""volume"", TODAY()-40, TODAY()), ""SELECT Col2 WHERE Col2 IS NOT "&amp;"NULL ORDER BY Col1 DESC LIMIT 20"", 0))
    )
  ), 
"""")"),"")</f>
        <v/>
      </c>
      <c r="K273" s="21" t="str">
        <f>IFERROR(__xludf.DUMMYFUNCTION("IFERROR(GOOGLEFINANCE(C273, ""changepct"") / 100, """")"),"")</f>
        <v/>
      </c>
      <c r="L273" s="21" t="str">
        <f>IFERROR(__xludf.DUMMYFUNCTION("IFERROR((GOOGLEFINANCE(C273, ""price"") / INDEX(GOOGLEFINANCE(C273, ""price"", TODAY()-7, TODAY()), 2, 2)) - 1, """")"),"")</f>
        <v/>
      </c>
      <c r="M273" s="21" t="str">
        <f>IFERROR(__xludf.DUMMYFUNCTION("IFERROR((GOOGLEFINANCE(C273, ""price"") / INDEX(GOOGLEFINANCE(C273, ""price"", EDATE(TODAY(), -1), TODAY()), 2, 2)) - 1, """")"),"")</f>
        <v/>
      </c>
      <c r="N273" s="21" t="str">
        <f>IFERROR(__xludf.DUMMYFUNCTION("IFERROR((GOOGLEFINANCE(C273, ""price"") / INDEX(GOOGLEFINANCE(C273, ""price"", EDATE(TODAY(), -3), TODAY()), 2, 2)) - 1, """")"),"")</f>
        <v/>
      </c>
      <c r="O273" s="21" t="str">
        <f>IFERROR(__xludf.DUMMYFUNCTION("IFERROR((GOOGLEFINANCE(C273, ""price"") / INDEX(GOOGLEFINANCE(C273, ""price"", EDATE(TODAY(), -6), TODAY()), 2, 2)) - 1, """")"),"")</f>
        <v/>
      </c>
      <c r="P273" s="21" t="str">
        <f>IFERROR(__xludf.DUMMYFUNCTION("IFERROR((GOOGLEFINANCE(C273, ""price"") / INDEX(GOOGLEFINANCE(C273, ""price"", EDATE(TODAY(), -12), TODAY()), 2, 2)) - 1, """")"),"")</f>
        <v/>
      </c>
      <c r="Q273" s="6" t="str">
        <f>IFERROR(__xludf.DUMMYFUNCTION("AVERAGE(QUERY(GOOGLEFINANCE(C273, ""price"", TODAY()-80, TODAY()), ""SELECT Col2 WHERE Col2 IS NOT NULL ORDER BY Col1 DESC LIMIT 50"", 0))"),"#N/A")</f>
        <v>#N/A</v>
      </c>
      <c r="R273" s="24" t="str">
        <f>IFERROR(__xludf.DUMMYFUNCTION("IFERROR(
  LET(
    data, QUERY(GOOGLEFINANCE(C273,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GOOGLEFINANCE(C273, ""price"")) * 100,
    IF(calc=0, G273, calc)
  ), 
G273)"),"#N/A")</f>
        <v>#N/A</v>
      </c>
      <c r="S273" s="8" t="s">
        <v>15</v>
      </c>
      <c r="T273" s="26" t="str">
        <f>IFERROR(__xludf.DUMMYFUNCTION("IFERROR(TRANSPOSE(QUERY(IFERROR(SORT(GOOGLEFINANCE(C273, ""price"", WORKDAY(TODAY(), -40), TODAY()), 1, FALSE)), ""select Col2 where Col2 is not null limit 22 label Col2 ''"", 0)), """")"),"")</f>
        <v/>
      </c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8"/>
      <c r="AO273" s="28"/>
      <c r="AP273" s="29"/>
      <c r="AQ273" s="29" t="str">
        <f t="shared" ref="AQ273:BL273" si="276">T273/T$2</f>
        <v>#N/A</v>
      </c>
      <c r="AR273" s="29" t="str">
        <f t="shared" si="276"/>
        <v>#DIV/0!</v>
      </c>
      <c r="AS273" s="29" t="str">
        <f t="shared" si="276"/>
        <v>#DIV/0!</v>
      </c>
      <c r="AT273" s="29" t="str">
        <f t="shared" si="276"/>
        <v>#DIV/0!</v>
      </c>
      <c r="AU273" s="29" t="str">
        <f t="shared" si="276"/>
        <v>#DIV/0!</v>
      </c>
      <c r="AV273" s="29" t="str">
        <f t="shared" si="276"/>
        <v>#DIV/0!</v>
      </c>
      <c r="AW273" s="29" t="str">
        <f t="shared" si="276"/>
        <v>#DIV/0!</v>
      </c>
      <c r="AX273" s="29" t="str">
        <f t="shared" si="276"/>
        <v>#DIV/0!</v>
      </c>
      <c r="AY273" s="29" t="str">
        <f t="shared" si="276"/>
        <v>#DIV/0!</v>
      </c>
      <c r="AZ273" s="29" t="str">
        <f t="shared" si="276"/>
        <v>#DIV/0!</v>
      </c>
      <c r="BA273" s="29" t="str">
        <f t="shared" si="276"/>
        <v>#DIV/0!</v>
      </c>
      <c r="BB273" s="29" t="str">
        <f t="shared" si="276"/>
        <v>#DIV/0!</v>
      </c>
      <c r="BC273" s="29" t="str">
        <f t="shared" si="276"/>
        <v>#DIV/0!</v>
      </c>
      <c r="BD273" s="29" t="str">
        <f t="shared" si="276"/>
        <v>#DIV/0!</v>
      </c>
      <c r="BE273" s="29" t="str">
        <f t="shared" si="276"/>
        <v>#DIV/0!</v>
      </c>
      <c r="BF273" s="29" t="str">
        <f t="shared" si="276"/>
        <v>#DIV/0!</v>
      </c>
      <c r="BG273" s="29" t="str">
        <f t="shared" si="276"/>
        <v>#DIV/0!</v>
      </c>
      <c r="BH273" s="29" t="str">
        <f t="shared" si="276"/>
        <v>#DIV/0!</v>
      </c>
      <c r="BI273" s="29" t="str">
        <f t="shared" si="276"/>
        <v>#DIV/0!</v>
      </c>
      <c r="BJ273" s="29" t="str">
        <f t="shared" si="276"/>
        <v>#DIV/0!</v>
      </c>
      <c r="BK273" s="29" t="str">
        <f t="shared" si="276"/>
        <v>#DIV/0!</v>
      </c>
      <c r="BL273" s="29" t="str">
        <f t="shared" si="276"/>
        <v>#DIV/0!</v>
      </c>
      <c r="BM273" s="29" t="str">
        <f t="shared" si="3"/>
        <v>#DIV/0!</v>
      </c>
    </row>
    <row r="274">
      <c r="A274" s="16" t="str">
        <f>IFERROR(__xludf.DUMMYFUNCTION("IFERROR(SPARKLINE(SORT(MAP(TRANSPOSE(AQ274:BL274), LAMBDA(val, IF(ISNUMBER(val), PERCENTRANK(AQ274:BL274, val)+0.01, 0))), SEQUENCE(COLUMNS(AQ274:BL274)), FALSE), {""charttype"",""column""; ""color"",""chartreuse""; ""ymin"", 0; ""ymax"", 1.01; ""highcolo"&amp;"r"", ""darkgreen""; ""lowcolor"", ""red""}), """")"),"")</f>
        <v/>
      </c>
      <c r="B274" s="17" t="str">
        <f t="shared" si="4"/>
        <v/>
      </c>
      <c r="C274" s="1" t="s">
        <v>1291</v>
      </c>
      <c r="D274" s="34" t="str">
        <f>IFERROR(__xludf.DUMMYFUNCTION("IFERROR(GOOGLEFINANCE(C274, ""NAME""))"),"Willis Towers Watson PLC")</f>
        <v>Willis Towers Watson PLC</v>
      </c>
      <c r="E274" s="30" t="s">
        <v>311</v>
      </c>
      <c r="F274" s="33" t="str">
        <f>IFERROR(__xludf.DUMMYFUNCTION("( (GOOGLEFINANCE(C274, ""price"") - Q274) / Q274 ) / (R274 / 100)"),"Loading...")</f>
        <v>Loading...</v>
      </c>
      <c r="G274" s="20" t="str">
        <f>IFERROR(__xludf.DUMMYFUNCTION("AVERAGE(ARRAYFORMULA(100 * (QUERY(GOOGLEFINANCE(C274, ""high"", TODAY()-40, TODAY()), ""SELECT Col2 WHERE Col2 IS NOT NULL ORDER BY Col1 DESC LIMIT 20"", 0) / QUERY(GOOGLEFINANCE(C274, ""low"", TODAY()-40, TODAY()), ""SELECT Col2 WHERE Col2 IS NOT NULL OR"&amp;"DER BY Col1 DESC LIMIT 20"", 0) - 1)))"),"#N/A")</f>
        <v>#N/A</v>
      </c>
      <c r="H274" s="35" t="str">
        <f t="shared" si="6"/>
        <v/>
      </c>
      <c r="I274" s="36" t="str">
        <f t="shared" si="7"/>
        <v/>
      </c>
      <c r="J274" s="37" t="str">
        <f>IFERROR(__xludf.DUMMYFUNCTION("IFERROR(
  IF(C274="""",, 
    IFERROR(
      GOOGLEFINANCE(C274, ""price"") * GOOGLEFINANCE(C274, ""volumeavg""), 
      GOOGLEFINANCE(C274, ""price"") * AVERAGE(QUERY(GOOGLEFINANCE(C274, ""volume"", TODAY()-40, TODAY()), ""SELECT Col2 WHERE Col2 IS NOT "&amp;"NULL ORDER BY Col1 DESC LIMIT 20"", 0))
    )
  ), 
"""")"),"")</f>
        <v/>
      </c>
      <c r="K274" s="21" t="str">
        <f>IFERROR(__xludf.DUMMYFUNCTION("IFERROR(GOOGLEFINANCE(C274, ""changepct"") / 100, """")"),"")</f>
        <v/>
      </c>
      <c r="L274" s="21" t="str">
        <f>IFERROR(__xludf.DUMMYFUNCTION("IFERROR((GOOGLEFINANCE(C274, ""price"") / INDEX(GOOGLEFINANCE(C274, ""price"", TODAY()-7, TODAY()), 2, 2)) - 1, """")"),"")</f>
        <v/>
      </c>
      <c r="M274" s="21" t="str">
        <f>IFERROR(__xludf.DUMMYFUNCTION("IFERROR((GOOGLEFINANCE(C274, ""price"") / INDEX(GOOGLEFINANCE(C274, ""price"", EDATE(TODAY(), -1), TODAY()), 2, 2)) - 1, """")"),"")</f>
        <v/>
      </c>
      <c r="N274" s="21" t="str">
        <f>IFERROR(__xludf.DUMMYFUNCTION("IFERROR((GOOGLEFINANCE(C274, ""price"") / INDEX(GOOGLEFINANCE(C274, ""price"", EDATE(TODAY(), -3), TODAY()), 2, 2)) - 1, """")"),"")</f>
        <v/>
      </c>
      <c r="O274" s="21" t="str">
        <f>IFERROR(__xludf.DUMMYFUNCTION("IFERROR((GOOGLEFINANCE(C274, ""price"") / INDEX(GOOGLEFINANCE(C274, ""price"", EDATE(TODAY(), -6), TODAY()), 2, 2)) - 1, """")"),"")</f>
        <v/>
      </c>
      <c r="P274" s="21" t="str">
        <f>IFERROR(__xludf.DUMMYFUNCTION("IFERROR((GOOGLEFINANCE(C274, ""price"") / INDEX(GOOGLEFINANCE(C274, ""price"", EDATE(TODAY(), -12), TODAY()), 2, 2)) - 1, """")"),"")</f>
        <v/>
      </c>
      <c r="Q274" s="6" t="str">
        <f>IFERROR(__xludf.DUMMYFUNCTION("AVERAGE(QUERY(GOOGLEFINANCE(C274, ""price"", TODAY()-80, TODAY()), ""SELECT Col2 WHERE Col2 IS NOT NULL ORDER BY Col1 DESC LIMIT 50"", 0))"),"#N/A")</f>
        <v>#N/A</v>
      </c>
      <c r="R274" s="24" t="str">
        <f>IFERROR(__xludf.DUMMYFUNCTION("IFERROR(
  LET(
    data, QUERY(GOOGLEFINANCE(C274,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GOOGLEFINANCE(C274, ""price"")) * 100,
    IF(calc=0, G274, calc)
  ), 
G274)"),"#N/A")</f>
        <v>#N/A</v>
      </c>
      <c r="S274" s="8" t="s">
        <v>15</v>
      </c>
      <c r="T274" s="26" t="str">
        <f>IFERROR(__xludf.DUMMYFUNCTION("IFERROR(TRANSPOSE(QUERY(IFERROR(SORT(GOOGLEFINANCE(C274, ""price"", WORKDAY(TODAY(), -40), TODAY()), 1, FALSE)), ""select Col2 where Col2 is not null limit 22 label Col2 ''"", 0)), """")"),"")</f>
        <v/>
      </c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8"/>
      <c r="AO274" s="28"/>
      <c r="AP274" s="29"/>
      <c r="AQ274" s="29" t="str">
        <f t="shared" ref="AQ274:BL274" si="277">T274/T$2</f>
        <v>#N/A</v>
      </c>
      <c r="AR274" s="29" t="str">
        <f t="shared" si="277"/>
        <v>#DIV/0!</v>
      </c>
      <c r="AS274" s="29" t="str">
        <f t="shared" si="277"/>
        <v>#DIV/0!</v>
      </c>
      <c r="AT274" s="29" t="str">
        <f t="shared" si="277"/>
        <v>#DIV/0!</v>
      </c>
      <c r="AU274" s="29" t="str">
        <f t="shared" si="277"/>
        <v>#DIV/0!</v>
      </c>
      <c r="AV274" s="29" t="str">
        <f t="shared" si="277"/>
        <v>#DIV/0!</v>
      </c>
      <c r="AW274" s="29" t="str">
        <f t="shared" si="277"/>
        <v>#DIV/0!</v>
      </c>
      <c r="AX274" s="29" t="str">
        <f t="shared" si="277"/>
        <v>#DIV/0!</v>
      </c>
      <c r="AY274" s="29" t="str">
        <f t="shared" si="277"/>
        <v>#DIV/0!</v>
      </c>
      <c r="AZ274" s="29" t="str">
        <f t="shared" si="277"/>
        <v>#DIV/0!</v>
      </c>
      <c r="BA274" s="29" t="str">
        <f t="shared" si="277"/>
        <v>#DIV/0!</v>
      </c>
      <c r="BB274" s="29" t="str">
        <f t="shared" si="277"/>
        <v>#DIV/0!</v>
      </c>
      <c r="BC274" s="29" t="str">
        <f t="shared" si="277"/>
        <v>#DIV/0!</v>
      </c>
      <c r="BD274" s="29" t="str">
        <f t="shared" si="277"/>
        <v>#DIV/0!</v>
      </c>
      <c r="BE274" s="29" t="str">
        <f t="shared" si="277"/>
        <v>#DIV/0!</v>
      </c>
      <c r="BF274" s="29" t="str">
        <f t="shared" si="277"/>
        <v>#DIV/0!</v>
      </c>
      <c r="BG274" s="29" t="str">
        <f t="shared" si="277"/>
        <v>#DIV/0!</v>
      </c>
      <c r="BH274" s="29" t="str">
        <f t="shared" si="277"/>
        <v>#DIV/0!</v>
      </c>
      <c r="BI274" s="29" t="str">
        <f t="shared" si="277"/>
        <v>#DIV/0!</v>
      </c>
      <c r="BJ274" s="29" t="str">
        <f t="shared" si="277"/>
        <v>#DIV/0!</v>
      </c>
      <c r="BK274" s="29" t="str">
        <f t="shared" si="277"/>
        <v>#DIV/0!</v>
      </c>
      <c r="BL274" s="29" t="str">
        <f t="shared" si="277"/>
        <v>#DIV/0!</v>
      </c>
      <c r="BM274" s="29" t="str">
        <f t="shared" si="3"/>
        <v>#DIV/0!</v>
      </c>
    </row>
    <row r="275">
      <c r="A275" s="16" t="str">
        <f>IFERROR(__xludf.DUMMYFUNCTION("IFERROR(SPARKLINE(SORT(MAP(TRANSPOSE(AQ275:BL275), LAMBDA(val, IF(ISNUMBER(val), PERCENTRANK(AQ275:BL275, val)+0.01, 0))), SEQUENCE(COLUMNS(AQ275:BL275)), FALSE), {""charttype"",""column""; ""color"",""chartreuse""; ""ymin"", 0; ""ymax"", 1.01; ""highcolo"&amp;"r"", ""darkgreen""; ""lowcolor"", ""red""}), """")"),"")</f>
        <v/>
      </c>
      <c r="B275" s="17" t="str">
        <f t="shared" si="4"/>
        <v/>
      </c>
      <c r="C275" s="1" t="s">
        <v>1294</v>
      </c>
      <c r="D275" s="34" t="str">
        <f>IFERROR(__xludf.DUMMYFUNCTION("IFERROR(GOOGLEFINANCE(C275, ""NAME""))"),"")</f>
        <v/>
      </c>
      <c r="E275" s="30" t="s">
        <v>161</v>
      </c>
      <c r="F275" s="33" t="str">
        <f>IFERROR(__xludf.DUMMYFUNCTION("( (GOOGLEFINANCE(C275, ""price"") - Q275) / Q275 ) / (R275 / 100)"),"Loading...")</f>
        <v>Loading...</v>
      </c>
      <c r="G275" s="20" t="str">
        <f>IFERROR(__xludf.DUMMYFUNCTION("AVERAGE(ARRAYFORMULA(100 * (QUERY(GOOGLEFINANCE(C275, ""high"", TODAY()-40, TODAY()), ""SELECT Col2 WHERE Col2 IS NOT NULL ORDER BY Col1 DESC LIMIT 20"", 0) / QUERY(GOOGLEFINANCE(C275, ""low"", TODAY()-40, TODAY()), ""SELECT Col2 WHERE Col2 IS NOT NULL OR"&amp;"DER BY Col1 DESC LIMIT 20"", 0) - 1)))"),"#N/A")</f>
        <v>#N/A</v>
      </c>
      <c r="H275" s="35" t="str">
        <f t="shared" si="6"/>
        <v/>
      </c>
      <c r="I275" s="36" t="str">
        <f t="shared" si="7"/>
        <v/>
      </c>
      <c r="J275" s="37" t="str">
        <f>IFERROR(__xludf.DUMMYFUNCTION("IFERROR(
  IF(C275="""",, 
    IFERROR(
      GOOGLEFINANCE(C275, ""price"") * GOOGLEFINANCE(C275, ""volumeavg""), 
      GOOGLEFINANCE(C275, ""price"") * AVERAGE(QUERY(GOOGLEFINANCE(C275, ""volume"", TODAY()-40, TODAY()), ""SELECT Col2 WHERE Col2 IS NOT "&amp;"NULL ORDER BY Col1 DESC LIMIT 20"", 0))
    )
  ), 
"""")"),"")</f>
        <v/>
      </c>
      <c r="K275" s="21" t="str">
        <f>IFERROR(__xludf.DUMMYFUNCTION("IFERROR(GOOGLEFINANCE(C275, ""changepct"") / 100, """")"),"")</f>
        <v/>
      </c>
      <c r="L275" s="21" t="str">
        <f>IFERROR(__xludf.DUMMYFUNCTION("IFERROR((GOOGLEFINANCE(C275, ""price"") / INDEX(GOOGLEFINANCE(C275, ""price"", TODAY()-7, TODAY()), 2, 2)) - 1, """")"),"")</f>
        <v/>
      </c>
      <c r="M275" s="21" t="str">
        <f>IFERROR(__xludf.DUMMYFUNCTION("IFERROR((GOOGLEFINANCE(C275, ""price"") / INDEX(GOOGLEFINANCE(C275, ""price"", EDATE(TODAY(), -1), TODAY()), 2, 2)) - 1, """")"),"")</f>
        <v/>
      </c>
      <c r="N275" s="21" t="str">
        <f>IFERROR(__xludf.DUMMYFUNCTION("IFERROR((GOOGLEFINANCE(C275, ""price"") / INDEX(GOOGLEFINANCE(C275, ""price"", EDATE(TODAY(), -3), TODAY()), 2, 2)) - 1, """")"),"")</f>
        <v/>
      </c>
      <c r="O275" s="21" t="str">
        <f>IFERROR(__xludf.DUMMYFUNCTION("IFERROR((GOOGLEFINANCE(C275, ""price"") / INDEX(GOOGLEFINANCE(C275, ""price"", EDATE(TODAY(), -6), TODAY()), 2, 2)) - 1, """")"),"")</f>
        <v/>
      </c>
      <c r="P275" s="21" t="str">
        <f>IFERROR(__xludf.DUMMYFUNCTION("IFERROR((GOOGLEFINANCE(C275, ""price"") / INDEX(GOOGLEFINANCE(C275, ""price"", EDATE(TODAY(), -12), TODAY()), 2, 2)) - 1, """")"),"")</f>
        <v/>
      </c>
      <c r="Q275" s="6" t="str">
        <f>IFERROR(__xludf.DUMMYFUNCTION("AVERAGE(QUERY(GOOGLEFINANCE(C275, ""price"", TODAY()-80, TODAY()), ""SELECT Col2 WHERE Col2 IS NOT NULL ORDER BY Col1 DESC LIMIT 50"", 0))"),"#N/A")</f>
        <v>#N/A</v>
      </c>
      <c r="R275" s="24" t="str">
        <f>IFERROR(__xludf.DUMMYFUNCTION("IFERROR(
  LET(
    data, QUERY(GOOGLEFINANCE(C275,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GOOGLEFINANCE(C275, ""price"")) * 100,
    IF(calc=0, G275, calc)
  ), 
G275)"),"#N/A")</f>
        <v>#N/A</v>
      </c>
      <c r="S275" s="8" t="s">
        <v>15</v>
      </c>
      <c r="T275" s="26" t="str">
        <f>IFERROR(__xludf.DUMMYFUNCTION("IFERROR(TRANSPOSE(QUERY(IFERROR(SORT(GOOGLEFINANCE(C275, ""price"", WORKDAY(TODAY(), -40), TODAY()), 1, FALSE)), ""select Col2 where Col2 is not null limit 22 label Col2 ''"", 0)), """")"),"")</f>
        <v/>
      </c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8"/>
      <c r="AO275" s="28"/>
      <c r="AP275" s="29"/>
      <c r="AQ275" s="29" t="str">
        <f t="shared" ref="AQ275:BL275" si="278">T275/T$2</f>
        <v>#N/A</v>
      </c>
      <c r="AR275" s="29" t="str">
        <f t="shared" si="278"/>
        <v>#DIV/0!</v>
      </c>
      <c r="AS275" s="29" t="str">
        <f t="shared" si="278"/>
        <v>#DIV/0!</v>
      </c>
      <c r="AT275" s="29" t="str">
        <f t="shared" si="278"/>
        <v>#DIV/0!</v>
      </c>
      <c r="AU275" s="29" t="str">
        <f t="shared" si="278"/>
        <v>#DIV/0!</v>
      </c>
      <c r="AV275" s="29" t="str">
        <f t="shared" si="278"/>
        <v>#DIV/0!</v>
      </c>
      <c r="AW275" s="29" t="str">
        <f t="shared" si="278"/>
        <v>#DIV/0!</v>
      </c>
      <c r="AX275" s="29" t="str">
        <f t="shared" si="278"/>
        <v>#DIV/0!</v>
      </c>
      <c r="AY275" s="29" t="str">
        <f t="shared" si="278"/>
        <v>#DIV/0!</v>
      </c>
      <c r="AZ275" s="29" t="str">
        <f t="shared" si="278"/>
        <v>#DIV/0!</v>
      </c>
      <c r="BA275" s="29" t="str">
        <f t="shared" si="278"/>
        <v>#DIV/0!</v>
      </c>
      <c r="BB275" s="29" t="str">
        <f t="shared" si="278"/>
        <v>#DIV/0!</v>
      </c>
      <c r="BC275" s="29" t="str">
        <f t="shared" si="278"/>
        <v>#DIV/0!</v>
      </c>
      <c r="BD275" s="29" t="str">
        <f t="shared" si="278"/>
        <v>#DIV/0!</v>
      </c>
      <c r="BE275" s="29" t="str">
        <f t="shared" si="278"/>
        <v>#DIV/0!</v>
      </c>
      <c r="BF275" s="29" t="str">
        <f t="shared" si="278"/>
        <v>#DIV/0!</v>
      </c>
      <c r="BG275" s="29" t="str">
        <f t="shared" si="278"/>
        <v>#DIV/0!</v>
      </c>
      <c r="BH275" s="29" t="str">
        <f t="shared" si="278"/>
        <v>#DIV/0!</v>
      </c>
      <c r="BI275" s="29" t="str">
        <f t="shared" si="278"/>
        <v>#DIV/0!</v>
      </c>
      <c r="BJ275" s="29" t="str">
        <f t="shared" si="278"/>
        <v>#DIV/0!</v>
      </c>
      <c r="BK275" s="29" t="str">
        <f t="shared" si="278"/>
        <v>#DIV/0!</v>
      </c>
      <c r="BL275" s="29" t="str">
        <f t="shared" si="278"/>
        <v>#DIV/0!</v>
      </c>
      <c r="BM275" s="29" t="str">
        <f t="shared" si="3"/>
        <v>#DIV/0!</v>
      </c>
    </row>
    <row r="276">
      <c r="A276" s="16" t="str">
        <f>IFERROR(__xludf.DUMMYFUNCTION("IFERROR(SPARKLINE(SORT(MAP(TRANSPOSE(AQ276:BL276), LAMBDA(val, IF(ISNUMBER(val), PERCENTRANK(AQ276:BL276, val)+0.01, 0))), SEQUENCE(COLUMNS(AQ276:BL276)), FALSE), {""charttype"",""column""; ""color"",""chartreuse""; ""ymin"", 0; ""ymax"", 1.01; ""highcolo"&amp;"r"", ""darkgreen""; ""lowcolor"", ""red""}), """")"),"")</f>
        <v/>
      </c>
      <c r="B276" s="17" t="str">
        <f t="shared" si="4"/>
        <v/>
      </c>
      <c r="C276" s="1" t="s">
        <v>1299</v>
      </c>
      <c r="D276" s="34" t="str">
        <f>IFERROR(__xludf.DUMMYFUNCTION("IFERROR(GOOGLEFINANCE(C276, ""NAME""))"),"HA Sustainable Infrastructure Capitl Inc")</f>
        <v>HA Sustainable Infrastructure Capitl Inc</v>
      </c>
      <c r="E276" s="30" t="s">
        <v>64</v>
      </c>
      <c r="F276" s="33" t="str">
        <f>IFERROR(__xludf.DUMMYFUNCTION("( (GOOGLEFINANCE(C276, ""price"") - Q276) / Q276 ) / (R276 / 100)"),"Loading...")</f>
        <v>Loading...</v>
      </c>
      <c r="G276" s="20" t="str">
        <f>IFERROR(__xludf.DUMMYFUNCTION("AVERAGE(ARRAYFORMULA(100 * (QUERY(GOOGLEFINANCE(C276, ""high"", TODAY()-40, TODAY()), ""SELECT Col2 WHERE Col2 IS NOT NULL ORDER BY Col1 DESC LIMIT 20"", 0) / QUERY(GOOGLEFINANCE(C276, ""low"", TODAY()-40, TODAY()), ""SELECT Col2 WHERE Col2 IS NOT NULL OR"&amp;"DER BY Col1 DESC LIMIT 20"", 0) - 1)))"),"#N/A")</f>
        <v>#N/A</v>
      </c>
      <c r="H276" s="35" t="str">
        <f t="shared" si="6"/>
        <v/>
      </c>
      <c r="I276" s="36" t="str">
        <f t="shared" si="7"/>
        <v/>
      </c>
      <c r="J276" s="37" t="str">
        <f>IFERROR(__xludf.DUMMYFUNCTION("IFERROR(
  IF(C276="""",, 
    IFERROR(
      GOOGLEFINANCE(C276, ""price"") * GOOGLEFINANCE(C276, ""volumeavg""), 
      GOOGLEFINANCE(C276, ""price"") * AVERAGE(QUERY(GOOGLEFINANCE(C276, ""volume"", TODAY()-40, TODAY()), ""SELECT Col2 WHERE Col2 IS NOT "&amp;"NULL ORDER BY Col1 DESC LIMIT 20"", 0))
    )
  ), 
"""")"),"")</f>
        <v/>
      </c>
      <c r="K276" s="21" t="str">
        <f>IFERROR(__xludf.DUMMYFUNCTION("IFERROR(GOOGLEFINANCE(C276, ""changepct"") / 100, """")"),"")</f>
        <v/>
      </c>
      <c r="L276" s="21" t="str">
        <f>IFERROR(__xludf.DUMMYFUNCTION("IFERROR((GOOGLEFINANCE(C276, ""price"") / INDEX(GOOGLEFINANCE(C276, ""price"", TODAY()-7, TODAY()), 2, 2)) - 1, """")"),"")</f>
        <v/>
      </c>
      <c r="M276" s="21" t="str">
        <f>IFERROR(__xludf.DUMMYFUNCTION("IFERROR((GOOGLEFINANCE(C276, ""price"") / INDEX(GOOGLEFINANCE(C276, ""price"", EDATE(TODAY(), -1), TODAY()), 2, 2)) - 1, """")"),"")</f>
        <v/>
      </c>
      <c r="N276" s="21" t="str">
        <f>IFERROR(__xludf.DUMMYFUNCTION("IFERROR((GOOGLEFINANCE(C276, ""price"") / INDEX(GOOGLEFINANCE(C276, ""price"", EDATE(TODAY(), -3), TODAY()), 2, 2)) - 1, """")"),"")</f>
        <v/>
      </c>
      <c r="O276" s="21" t="str">
        <f>IFERROR(__xludf.DUMMYFUNCTION("IFERROR((GOOGLEFINANCE(C276, ""price"") / INDEX(GOOGLEFINANCE(C276, ""price"", EDATE(TODAY(), -6), TODAY()), 2, 2)) - 1, """")"),"")</f>
        <v/>
      </c>
      <c r="P276" s="21" t="str">
        <f>IFERROR(__xludf.DUMMYFUNCTION("IFERROR((GOOGLEFINANCE(C276, ""price"") / INDEX(GOOGLEFINANCE(C276, ""price"", EDATE(TODAY(), -12), TODAY()), 2, 2)) - 1, """")"),"")</f>
        <v/>
      </c>
      <c r="Q276" s="6" t="str">
        <f>IFERROR(__xludf.DUMMYFUNCTION("AVERAGE(QUERY(GOOGLEFINANCE(C276, ""price"", TODAY()-80, TODAY()), ""SELECT Col2 WHERE Col2 IS NOT NULL ORDER BY Col1 DESC LIMIT 50"", 0))"),"#N/A")</f>
        <v>#N/A</v>
      </c>
      <c r="R276" s="24" t="str">
        <f>IFERROR(__xludf.DUMMYFUNCTION("IFERROR(
  LET(
    data, QUERY(GOOGLEFINANCE(C276,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GOOGLEFINANCE(C276, ""price"")) * 100,
    IF(calc=0, G276, calc)
  ), 
G276)"),"#N/A")</f>
        <v>#N/A</v>
      </c>
      <c r="S276" s="8" t="s">
        <v>15</v>
      </c>
      <c r="T276" s="26" t="str">
        <f>IFERROR(__xludf.DUMMYFUNCTION("IFERROR(TRANSPOSE(QUERY(IFERROR(SORT(GOOGLEFINANCE(C276, ""price"", WORKDAY(TODAY(), -40), TODAY()), 1, FALSE)), ""select Col2 where Col2 is not null limit 22 label Col2 ''"", 0)), """")"),"")</f>
        <v/>
      </c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8"/>
      <c r="AO276" s="28"/>
      <c r="AP276" s="29"/>
      <c r="AQ276" s="29" t="str">
        <f t="shared" ref="AQ276:BL276" si="279">T276/T$2</f>
        <v>#N/A</v>
      </c>
      <c r="AR276" s="29" t="str">
        <f t="shared" si="279"/>
        <v>#DIV/0!</v>
      </c>
      <c r="AS276" s="29" t="str">
        <f t="shared" si="279"/>
        <v>#DIV/0!</v>
      </c>
      <c r="AT276" s="29" t="str">
        <f t="shared" si="279"/>
        <v>#DIV/0!</v>
      </c>
      <c r="AU276" s="29" t="str">
        <f t="shared" si="279"/>
        <v>#DIV/0!</v>
      </c>
      <c r="AV276" s="29" t="str">
        <f t="shared" si="279"/>
        <v>#DIV/0!</v>
      </c>
      <c r="AW276" s="29" t="str">
        <f t="shared" si="279"/>
        <v>#DIV/0!</v>
      </c>
      <c r="AX276" s="29" t="str">
        <f t="shared" si="279"/>
        <v>#DIV/0!</v>
      </c>
      <c r="AY276" s="29" t="str">
        <f t="shared" si="279"/>
        <v>#DIV/0!</v>
      </c>
      <c r="AZ276" s="29" t="str">
        <f t="shared" si="279"/>
        <v>#DIV/0!</v>
      </c>
      <c r="BA276" s="29" t="str">
        <f t="shared" si="279"/>
        <v>#DIV/0!</v>
      </c>
      <c r="BB276" s="29" t="str">
        <f t="shared" si="279"/>
        <v>#DIV/0!</v>
      </c>
      <c r="BC276" s="29" t="str">
        <f t="shared" si="279"/>
        <v>#DIV/0!</v>
      </c>
      <c r="BD276" s="29" t="str">
        <f t="shared" si="279"/>
        <v>#DIV/0!</v>
      </c>
      <c r="BE276" s="29" t="str">
        <f t="shared" si="279"/>
        <v>#DIV/0!</v>
      </c>
      <c r="BF276" s="29" t="str">
        <f t="shared" si="279"/>
        <v>#DIV/0!</v>
      </c>
      <c r="BG276" s="29" t="str">
        <f t="shared" si="279"/>
        <v>#DIV/0!</v>
      </c>
      <c r="BH276" s="29" t="str">
        <f t="shared" si="279"/>
        <v>#DIV/0!</v>
      </c>
      <c r="BI276" s="29" t="str">
        <f t="shared" si="279"/>
        <v>#DIV/0!</v>
      </c>
      <c r="BJ276" s="29" t="str">
        <f t="shared" si="279"/>
        <v>#DIV/0!</v>
      </c>
      <c r="BK276" s="29" t="str">
        <f t="shared" si="279"/>
        <v>#DIV/0!</v>
      </c>
      <c r="BL276" s="29" t="str">
        <f t="shared" si="279"/>
        <v>#DIV/0!</v>
      </c>
      <c r="BM276" s="29" t="str">
        <f t="shared" si="3"/>
        <v>#DIV/0!</v>
      </c>
    </row>
    <row r="277">
      <c r="A277" s="16" t="str">
        <f>IFERROR(__xludf.DUMMYFUNCTION("IFERROR(SPARKLINE(SORT(MAP(TRANSPOSE(AQ277:BL277), LAMBDA(val, IF(ISNUMBER(val), PERCENTRANK(AQ277:BL277, val)+0.01, 0))), SEQUENCE(COLUMNS(AQ277:BL277)), FALSE), {""charttype"",""column""; ""color"",""chartreuse""; ""ymin"", 0; ""ymax"", 1.01; ""highcolo"&amp;"r"", ""darkgreen""; ""lowcolor"", ""red""}), """")"),"")</f>
        <v/>
      </c>
      <c r="B277" s="17" t="str">
        <f t="shared" si="4"/>
        <v/>
      </c>
      <c r="C277" s="1" t="s">
        <v>1302</v>
      </c>
      <c r="D277" s="34" t="str">
        <f>IFERROR(__xludf.DUMMYFUNCTION("IFERROR(GOOGLEFINANCE(C277, ""NAME""))"),"Goldman Sachs BDC Inc")</f>
        <v>Goldman Sachs BDC Inc</v>
      </c>
      <c r="E277" s="30" t="s">
        <v>64</v>
      </c>
      <c r="F277" s="33" t="str">
        <f>IFERROR(__xludf.DUMMYFUNCTION("( (GOOGLEFINANCE(C277, ""price"") - Q277) / Q277 ) / (R277 / 100)"),"Loading...")</f>
        <v>Loading...</v>
      </c>
      <c r="G277" s="20" t="str">
        <f>IFERROR(__xludf.DUMMYFUNCTION("AVERAGE(ARRAYFORMULA(100 * (QUERY(GOOGLEFINANCE(C277, ""high"", TODAY()-40, TODAY()), ""SELECT Col2 WHERE Col2 IS NOT NULL ORDER BY Col1 DESC LIMIT 20"", 0) / QUERY(GOOGLEFINANCE(C277, ""low"", TODAY()-40, TODAY()), ""SELECT Col2 WHERE Col2 IS NOT NULL OR"&amp;"DER BY Col1 DESC LIMIT 20"", 0) - 1)))"),"#N/A")</f>
        <v>#N/A</v>
      </c>
      <c r="H277" s="35" t="str">
        <f t="shared" si="6"/>
        <v/>
      </c>
      <c r="I277" s="36" t="str">
        <f t="shared" si="7"/>
        <v/>
      </c>
      <c r="J277" s="37" t="str">
        <f>IFERROR(__xludf.DUMMYFUNCTION("IFERROR(
  IF(C277="""",, 
    IFERROR(
      GOOGLEFINANCE(C277, ""price"") * GOOGLEFINANCE(C277, ""volumeavg""), 
      GOOGLEFINANCE(C277, ""price"") * AVERAGE(QUERY(GOOGLEFINANCE(C277, ""volume"", TODAY()-40, TODAY()), ""SELECT Col2 WHERE Col2 IS NOT "&amp;"NULL ORDER BY Col1 DESC LIMIT 20"", 0))
    )
  ), 
"""")"),"")</f>
        <v/>
      </c>
      <c r="K277" s="21" t="str">
        <f>IFERROR(__xludf.DUMMYFUNCTION("IFERROR(GOOGLEFINANCE(C277, ""changepct"") / 100, """")"),"")</f>
        <v/>
      </c>
      <c r="L277" s="21" t="str">
        <f>IFERROR(__xludf.DUMMYFUNCTION("IFERROR((GOOGLEFINANCE(C277, ""price"") / INDEX(GOOGLEFINANCE(C277, ""price"", TODAY()-7, TODAY()), 2, 2)) - 1, """")"),"")</f>
        <v/>
      </c>
      <c r="M277" s="21" t="str">
        <f>IFERROR(__xludf.DUMMYFUNCTION("IFERROR((GOOGLEFINANCE(C277, ""price"") / INDEX(GOOGLEFINANCE(C277, ""price"", EDATE(TODAY(), -1), TODAY()), 2, 2)) - 1, """")"),"")</f>
        <v/>
      </c>
      <c r="N277" s="21" t="str">
        <f>IFERROR(__xludf.DUMMYFUNCTION("IFERROR((GOOGLEFINANCE(C277, ""price"") / INDEX(GOOGLEFINANCE(C277, ""price"", EDATE(TODAY(), -3), TODAY()), 2, 2)) - 1, """")"),"")</f>
        <v/>
      </c>
      <c r="O277" s="21" t="str">
        <f>IFERROR(__xludf.DUMMYFUNCTION("IFERROR((GOOGLEFINANCE(C277, ""price"") / INDEX(GOOGLEFINANCE(C277, ""price"", EDATE(TODAY(), -6), TODAY()), 2, 2)) - 1, """")"),"")</f>
        <v/>
      </c>
      <c r="P277" s="21" t="str">
        <f>IFERROR(__xludf.DUMMYFUNCTION("IFERROR((GOOGLEFINANCE(C277, ""price"") / INDEX(GOOGLEFINANCE(C277, ""price"", EDATE(TODAY(), -12), TODAY()), 2, 2)) - 1, """")"),"")</f>
        <v/>
      </c>
      <c r="Q277" s="6" t="str">
        <f>IFERROR(__xludf.DUMMYFUNCTION("AVERAGE(QUERY(GOOGLEFINANCE(C277, ""price"", TODAY()-80, TODAY()), ""SELECT Col2 WHERE Col2 IS NOT NULL ORDER BY Col1 DESC LIMIT 50"", 0))"),"#N/A")</f>
        <v>#N/A</v>
      </c>
      <c r="R277" s="24" t="str">
        <f>IFERROR(__xludf.DUMMYFUNCTION("IFERROR(
  LET(
    data, QUERY(GOOGLEFINANCE(C277,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GOOGLEFINANCE(C277, ""price"")) * 100,
    IF(calc=0, G277, calc)
  ), 
G277)"),"#N/A")</f>
        <v>#N/A</v>
      </c>
      <c r="S277" s="8" t="s">
        <v>15</v>
      </c>
      <c r="T277" s="26" t="str">
        <f>IFERROR(__xludf.DUMMYFUNCTION("IFERROR(TRANSPOSE(QUERY(IFERROR(SORT(GOOGLEFINANCE(C277, ""price"", WORKDAY(TODAY(), -40), TODAY()), 1, FALSE)), ""select Col2 where Col2 is not null limit 22 label Col2 ''"", 0)), """")"),"")</f>
        <v/>
      </c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8"/>
      <c r="AO277" s="28"/>
      <c r="AP277" s="29"/>
      <c r="AQ277" s="29" t="str">
        <f t="shared" ref="AQ277:BL277" si="280">T277/T$2</f>
        <v>#N/A</v>
      </c>
      <c r="AR277" s="29" t="str">
        <f t="shared" si="280"/>
        <v>#DIV/0!</v>
      </c>
      <c r="AS277" s="29" t="str">
        <f t="shared" si="280"/>
        <v>#DIV/0!</v>
      </c>
      <c r="AT277" s="29" t="str">
        <f t="shared" si="280"/>
        <v>#DIV/0!</v>
      </c>
      <c r="AU277" s="29" t="str">
        <f t="shared" si="280"/>
        <v>#DIV/0!</v>
      </c>
      <c r="AV277" s="29" t="str">
        <f t="shared" si="280"/>
        <v>#DIV/0!</v>
      </c>
      <c r="AW277" s="29" t="str">
        <f t="shared" si="280"/>
        <v>#DIV/0!</v>
      </c>
      <c r="AX277" s="29" t="str">
        <f t="shared" si="280"/>
        <v>#DIV/0!</v>
      </c>
      <c r="AY277" s="29" t="str">
        <f t="shared" si="280"/>
        <v>#DIV/0!</v>
      </c>
      <c r="AZ277" s="29" t="str">
        <f t="shared" si="280"/>
        <v>#DIV/0!</v>
      </c>
      <c r="BA277" s="29" t="str">
        <f t="shared" si="280"/>
        <v>#DIV/0!</v>
      </c>
      <c r="BB277" s="29" t="str">
        <f t="shared" si="280"/>
        <v>#DIV/0!</v>
      </c>
      <c r="BC277" s="29" t="str">
        <f t="shared" si="280"/>
        <v>#DIV/0!</v>
      </c>
      <c r="BD277" s="29" t="str">
        <f t="shared" si="280"/>
        <v>#DIV/0!</v>
      </c>
      <c r="BE277" s="29" t="str">
        <f t="shared" si="280"/>
        <v>#DIV/0!</v>
      </c>
      <c r="BF277" s="29" t="str">
        <f t="shared" si="280"/>
        <v>#DIV/0!</v>
      </c>
      <c r="BG277" s="29" t="str">
        <f t="shared" si="280"/>
        <v>#DIV/0!</v>
      </c>
      <c r="BH277" s="29" t="str">
        <f t="shared" si="280"/>
        <v>#DIV/0!</v>
      </c>
      <c r="BI277" s="29" t="str">
        <f t="shared" si="280"/>
        <v>#DIV/0!</v>
      </c>
      <c r="BJ277" s="29" t="str">
        <f t="shared" si="280"/>
        <v>#DIV/0!</v>
      </c>
      <c r="BK277" s="29" t="str">
        <f t="shared" si="280"/>
        <v>#DIV/0!</v>
      </c>
      <c r="BL277" s="29" t="str">
        <f t="shared" si="280"/>
        <v>#DIV/0!</v>
      </c>
      <c r="BM277" s="29" t="str">
        <f t="shared" si="3"/>
        <v>#DIV/0!</v>
      </c>
    </row>
    <row r="278">
      <c r="A278" s="16" t="str">
        <f>IFERROR(__xludf.DUMMYFUNCTION("IFERROR(SPARKLINE(SORT(MAP(TRANSPOSE(AQ278:BL278), LAMBDA(val, IF(ISNUMBER(val), PERCENTRANK(AQ278:BL278, val)+0.01, 0))), SEQUENCE(COLUMNS(AQ278:BL278)), FALSE), {""charttype"",""column""; ""color"",""chartreuse""; ""ymin"", 0; ""ymax"", 1.01; ""highcolo"&amp;"r"", ""darkgreen""; ""lowcolor"", ""red""}), """")"),"")</f>
        <v/>
      </c>
      <c r="B278" s="17" t="str">
        <f t="shared" si="4"/>
        <v/>
      </c>
      <c r="C278" s="1" t="s">
        <v>1307</v>
      </c>
      <c r="D278" s="34" t="str">
        <f>IFERROR(__xludf.DUMMYFUNCTION("IFERROR(GOOGLEFINANCE(C278, ""NAME""))"),"Main Street Capital Corp")</f>
        <v>Main Street Capital Corp</v>
      </c>
      <c r="E278" s="30" t="s">
        <v>64</v>
      </c>
      <c r="F278" s="33" t="str">
        <f>IFERROR(__xludf.DUMMYFUNCTION("( (GOOGLEFINANCE(C278, ""price"") - Q278) / Q278 ) / (R278 / 100)"),"Loading...")</f>
        <v>Loading...</v>
      </c>
      <c r="G278" s="20" t="str">
        <f>IFERROR(__xludf.DUMMYFUNCTION("AVERAGE(ARRAYFORMULA(100 * (QUERY(GOOGLEFINANCE(C278, ""high"", TODAY()-40, TODAY()), ""SELECT Col2 WHERE Col2 IS NOT NULL ORDER BY Col1 DESC LIMIT 20"", 0) / QUERY(GOOGLEFINANCE(C278, ""low"", TODAY()-40, TODAY()), ""SELECT Col2 WHERE Col2 IS NOT NULL OR"&amp;"DER BY Col1 DESC LIMIT 20"", 0) - 1)))"),"#N/A")</f>
        <v>#N/A</v>
      </c>
      <c r="H278" s="35" t="str">
        <f t="shared" si="6"/>
        <v/>
      </c>
      <c r="I278" s="36" t="str">
        <f t="shared" si="7"/>
        <v/>
      </c>
      <c r="J278" s="37" t="str">
        <f>IFERROR(__xludf.DUMMYFUNCTION("IFERROR(
  IF(C278="""",, 
    IFERROR(
      GOOGLEFINANCE(C278, ""price"") * GOOGLEFINANCE(C278, ""volumeavg""), 
      GOOGLEFINANCE(C278, ""price"") * AVERAGE(QUERY(GOOGLEFINANCE(C278, ""volume"", TODAY()-40, TODAY()), ""SELECT Col2 WHERE Col2 IS NOT "&amp;"NULL ORDER BY Col1 DESC LIMIT 20"", 0))
    )
  ), 
"""")"),"")</f>
        <v/>
      </c>
      <c r="K278" s="21" t="str">
        <f>IFERROR(__xludf.DUMMYFUNCTION("IFERROR(GOOGLEFINANCE(C278, ""changepct"") / 100, """")"),"")</f>
        <v/>
      </c>
      <c r="L278" s="21" t="str">
        <f>IFERROR(__xludf.DUMMYFUNCTION("IFERROR((GOOGLEFINANCE(C278, ""price"") / INDEX(GOOGLEFINANCE(C278, ""price"", TODAY()-7, TODAY()), 2, 2)) - 1, """")"),"")</f>
        <v/>
      </c>
      <c r="M278" s="21" t="str">
        <f>IFERROR(__xludf.DUMMYFUNCTION("IFERROR((GOOGLEFINANCE(C278, ""price"") / INDEX(GOOGLEFINANCE(C278, ""price"", EDATE(TODAY(), -1), TODAY()), 2, 2)) - 1, """")"),"")</f>
        <v/>
      </c>
      <c r="N278" s="21" t="str">
        <f>IFERROR(__xludf.DUMMYFUNCTION("IFERROR((GOOGLEFINANCE(C278, ""price"") / INDEX(GOOGLEFINANCE(C278, ""price"", EDATE(TODAY(), -3), TODAY()), 2, 2)) - 1, """")"),"")</f>
        <v/>
      </c>
      <c r="O278" s="21" t="str">
        <f>IFERROR(__xludf.DUMMYFUNCTION("IFERROR((GOOGLEFINANCE(C278, ""price"") / INDEX(GOOGLEFINANCE(C278, ""price"", EDATE(TODAY(), -6), TODAY()), 2, 2)) - 1, """")"),"")</f>
        <v/>
      </c>
      <c r="P278" s="21" t="str">
        <f>IFERROR(__xludf.DUMMYFUNCTION("IFERROR((GOOGLEFINANCE(C278, ""price"") / INDEX(GOOGLEFINANCE(C278, ""price"", EDATE(TODAY(), -12), TODAY()), 2, 2)) - 1, """")"),"")</f>
        <v/>
      </c>
      <c r="Q278" s="6" t="str">
        <f>IFERROR(__xludf.DUMMYFUNCTION("AVERAGE(QUERY(GOOGLEFINANCE(C278, ""price"", TODAY()-80, TODAY()), ""SELECT Col2 WHERE Col2 IS NOT NULL ORDER BY Col1 DESC LIMIT 50"", 0))"),"#N/A")</f>
        <v>#N/A</v>
      </c>
      <c r="R278" s="24" t="str">
        <f>IFERROR(__xludf.DUMMYFUNCTION("IFERROR(
  LET(
    data, QUERY(GOOGLEFINANCE(C278,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GOOGLEFINANCE(C278, ""price"")) * 100,
    IF(calc=0, G278, calc)
  ), 
G278)"),"#N/A")</f>
        <v>#N/A</v>
      </c>
      <c r="S278" s="8" t="s">
        <v>15</v>
      </c>
      <c r="T278" s="26" t="str">
        <f>IFERROR(__xludf.DUMMYFUNCTION("IFERROR(TRANSPOSE(QUERY(IFERROR(SORT(GOOGLEFINANCE(C278, ""price"", WORKDAY(TODAY(), -40), TODAY()), 1, FALSE)), ""select Col2 where Col2 is not null limit 22 label Col2 ''"", 0)), """")"),"")</f>
        <v/>
      </c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8"/>
      <c r="AO278" s="28"/>
      <c r="AP278" s="29"/>
      <c r="AQ278" s="29" t="str">
        <f t="shared" ref="AQ278:BL278" si="281">T278/T$2</f>
        <v>#N/A</v>
      </c>
      <c r="AR278" s="29" t="str">
        <f t="shared" si="281"/>
        <v>#DIV/0!</v>
      </c>
      <c r="AS278" s="29" t="str">
        <f t="shared" si="281"/>
        <v>#DIV/0!</v>
      </c>
      <c r="AT278" s="29" t="str">
        <f t="shared" si="281"/>
        <v>#DIV/0!</v>
      </c>
      <c r="AU278" s="29" t="str">
        <f t="shared" si="281"/>
        <v>#DIV/0!</v>
      </c>
      <c r="AV278" s="29" t="str">
        <f t="shared" si="281"/>
        <v>#DIV/0!</v>
      </c>
      <c r="AW278" s="29" t="str">
        <f t="shared" si="281"/>
        <v>#DIV/0!</v>
      </c>
      <c r="AX278" s="29" t="str">
        <f t="shared" si="281"/>
        <v>#DIV/0!</v>
      </c>
      <c r="AY278" s="29" t="str">
        <f t="shared" si="281"/>
        <v>#DIV/0!</v>
      </c>
      <c r="AZ278" s="29" t="str">
        <f t="shared" si="281"/>
        <v>#DIV/0!</v>
      </c>
      <c r="BA278" s="29" t="str">
        <f t="shared" si="281"/>
        <v>#DIV/0!</v>
      </c>
      <c r="BB278" s="29" t="str">
        <f t="shared" si="281"/>
        <v>#DIV/0!</v>
      </c>
      <c r="BC278" s="29" t="str">
        <f t="shared" si="281"/>
        <v>#DIV/0!</v>
      </c>
      <c r="BD278" s="29" t="str">
        <f t="shared" si="281"/>
        <v>#DIV/0!</v>
      </c>
      <c r="BE278" s="29" t="str">
        <f t="shared" si="281"/>
        <v>#DIV/0!</v>
      </c>
      <c r="BF278" s="29" t="str">
        <f t="shared" si="281"/>
        <v>#DIV/0!</v>
      </c>
      <c r="BG278" s="29" t="str">
        <f t="shared" si="281"/>
        <v>#DIV/0!</v>
      </c>
      <c r="BH278" s="29" t="str">
        <f t="shared" si="281"/>
        <v>#DIV/0!</v>
      </c>
      <c r="BI278" s="29" t="str">
        <f t="shared" si="281"/>
        <v>#DIV/0!</v>
      </c>
      <c r="BJ278" s="29" t="str">
        <f t="shared" si="281"/>
        <v>#DIV/0!</v>
      </c>
      <c r="BK278" s="29" t="str">
        <f t="shared" si="281"/>
        <v>#DIV/0!</v>
      </c>
      <c r="BL278" s="29" t="str">
        <f t="shared" si="281"/>
        <v>#DIV/0!</v>
      </c>
      <c r="BM278" s="29" t="str">
        <f t="shared" si="3"/>
        <v>#DIV/0!</v>
      </c>
    </row>
    <row r="279">
      <c r="A279" s="16" t="str">
        <f>IFERROR(__xludf.DUMMYFUNCTION("IFERROR(SPARKLINE(SORT(MAP(TRANSPOSE(AQ279:BL279), LAMBDA(val, IF(ISNUMBER(val), PERCENTRANK(AQ279:BL279, val)+0.01, 0))), SEQUENCE(COLUMNS(AQ279:BL279)), FALSE), {""charttype"",""column""; ""color"",""chartreuse""; ""ymin"", 0; ""ymax"", 1.01; ""highcolo"&amp;"r"", ""darkgreen""; ""lowcolor"", ""red""}), """")"),"")</f>
        <v/>
      </c>
      <c r="B279" s="17" t="str">
        <f t="shared" si="4"/>
        <v/>
      </c>
      <c r="C279" s="1" t="s">
        <v>1320</v>
      </c>
      <c r="D279" s="34" t="str">
        <f>IFERROR(__xludf.DUMMYFUNCTION("IFERROR(GOOGLEFINANCE(C279, ""NAME""))"),"PennantPark Investment Corp.")</f>
        <v>PennantPark Investment Corp.</v>
      </c>
      <c r="E279" s="30" t="s">
        <v>64</v>
      </c>
      <c r="F279" s="33" t="str">
        <f>IFERROR(__xludf.DUMMYFUNCTION("( (GOOGLEFINANCE(C279, ""price"") - Q279) / Q279 ) / (R279 / 100)"),"Loading...")</f>
        <v>Loading...</v>
      </c>
      <c r="G279" s="20" t="str">
        <f>IFERROR(__xludf.DUMMYFUNCTION("AVERAGE(ARRAYFORMULA(100 * (QUERY(GOOGLEFINANCE(C279, ""high"", TODAY()-40, TODAY()), ""SELECT Col2 WHERE Col2 IS NOT NULL ORDER BY Col1 DESC LIMIT 20"", 0) / QUERY(GOOGLEFINANCE(C279, ""low"", TODAY()-40, TODAY()), ""SELECT Col2 WHERE Col2 IS NOT NULL OR"&amp;"DER BY Col1 DESC LIMIT 20"", 0) - 1)))"),"#N/A")</f>
        <v>#N/A</v>
      </c>
      <c r="H279" s="35" t="str">
        <f t="shared" si="6"/>
        <v/>
      </c>
      <c r="I279" s="36" t="str">
        <f t="shared" si="7"/>
        <v/>
      </c>
      <c r="J279" s="37" t="str">
        <f>IFERROR(__xludf.DUMMYFUNCTION("IFERROR(
  IF(C279="""",, 
    IFERROR(
      GOOGLEFINANCE(C279, ""price"") * GOOGLEFINANCE(C279, ""volumeavg""), 
      GOOGLEFINANCE(C279, ""price"") * AVERAGE(QUERY(GOOGLEFINANCE(C279, ""volume"", TODAY()-40, TODAY()), ""SELECT Col2 WHERE Col2 IS NOT "&amp;"NULL ORDER BY Col1 DESC LIMIT 20"", 0))
    )
  ), 
"""")"),"")</f>
        <v/>
      </c>
      <c r="K279" s="21" t="str">
        <f>IFERROR(__xludf.DUMMYFUNCTION("IFERROR(GOOGLEFINANCE(C279, ""changepct"") / 100, """")"),"")</f>
        <v/>
      </c>
      <c r="L279" s="21" t="str">
        <f>IFERROR(__xludf.DUMMYFUNCTION("IFERROR((GOOGLEFINANCE(C279, ""price"") / INDEX(GOOGLEFINANCE(C279, ""price"", TODAY()-7, TODAY()), 2, 2)) - 1, """")"),"")</f>
        <v/>
      </c>
      <c r="M279" s="21" t="str">
        <f>IFERROR(__xludf.DUMMYFUNCTION("IFERROR((GOOGLEFINANCE(C279, ""price"") / INDEX(GOOGLEFINANCE(C279, ""price"", EDATE(TODAY(), -1), TODAY()), 2, 2)) - 1, """")"),"")</f>
        <v/>
      </c>
      <c r="N279" s="21" t="str">
        <f>IFERROR(__xludf.DUMMYFUNCTION("IFERROR((GOOGLEFINANCE(C279, ""price"") / INDEX(GOOGLEFINANCE(C279, ""price"", EDATE(TODAY(), -3), TODAY()), 2, 2)) - 1, """")"),"")</f>
        <v/>
      </c>
      <c r="O279" s="21" t="str">
        <f>IFERROR(__xludf.DUMMYFUNCTION("IFERROR((GOOGLEFINANCE(C279, ""price"") / INDEX(GOOGLEFINANCE(C279, ""price"", EDATE(TODAY(), -6), TODAY()), 2, 2)) - 1, """")"),"")</f>
        <v/>
      </c>
      <c r="P279" s="21" t="str">
        <f>IFERROR(__xludf.DUMMYFUNCTION("IFERROR((GOOGLEFINANCE(C279, ""price"") / INDEX(GOOGLEFINANCE(C279, ""price"", EDATE(TODAY(), -12), TODAY()), 2, 2)) - 1, """")"),"")</f>
        <v/>
      </c>
      <c r="Q279" s="6" t="str">
        <f>IFERROR(__xludf.DUMMYFUNCTION("AVERAGE(QUERY(GOOGLEFINANCE(C279, ""price"", TODAY()-80, TODAY()), ""SELECT Col2 WHERE Col2 IS NOT NULL ORDER BY Col1 DESC LIMIT 50"", 0))"),"#N/A")</f>
        <v>#N/A</v>
      </c>
      <c r="R279" s="24" t="str">
        <f>IFERROR(__xludf.DUMMYFUNCTION("IFERROR(
  LET(
    data, QUERY(GOOGLEFINANCE(C279,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GOOGLEFINANCE(C279, ""price"")) * 100,
    IF(calc=0, G279, calc)
  ), 
G279)"),"#N/A")</f>
        <v>#N/A</v>
      </c>
      <c r="S279" s="8" t="s">
        <v>15</v>
      </c>
      <c r="T279" s="26" t="str">
        <f>IFERROR(__xludf.DUMMYFUNCTION("IFERROR(TRANSPOSE(QUERY(IFERROR(SORT(GOOGLEFINANCE(C279, ""price"", WORKDAY(TODAY(), -40), TODAY()), 1, FALSE)), ""select Col2 where Col2 is not null limit 22 label Col2 ''"", 0)), """")"),"")</f>
        <v/>
      </c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8"/>
      <c r="AO279" s="28"/>
      <c r="AP279" s="29"/>
      <c r="AQ279" s="29" t="str">
        <f t="shared" ref="AQ279:BL279" si="282">T279/T$2</f>
        <v>#N/A</v>
      </c>
      <c r="AR279" s="29" t="str">
        <f t="shared" si="282"/>
        <v>#DIV/0!</v>
      </c>
      <c r="AS279" s="29" t="str">
        <f t="shared" si="282"/>
        <v>#DIV/0!</v>
      </c>
      <c r="AT279" s="29" t="str">
        <f t="shared" si="282"/>
        <v>#DIV/0!</v>
      </c>
      <c r="AU279" s="29" t="str">
        <f t="shared" si="282"/>
        <v>#DIV/0!</v>
      </c>
      <c r="AV279" s="29" t="str">
        <f t="shared" si="282"/>
        <v>#DIV/0!</v>
      </c>
      <c r="AW279" s="29" t="str">
        <f t="shared" si="282"/>
        <v>#DIV/0!</v>
      </c>
      <c r="AX279" s="29" t="str">
        <f t="shared" si="282"/>
        <v>#DIV/0!</v>
      </c>
      <c r="AY279" s="29" t="str">
        <f t="shared" si="282"/>
        <v>#DIV/0!</v>
      </c>
      <c r="AZ279" s="29" t="str">
        <f t="shared" si="282"/>
        <v>#DIV/0!</v>
      </c>
      <c r="BA279" s="29" t="str">
        <f t="shared" si="282"/>
        <v>#DIV/0!</v>
      </c>
      <c r="BB279" s="29" t="str">
        <f t="shared" si="282"/>
        <v>#DIV/0!</v>
      </c>
      <c r="BC279" s="29" t="str">
        <f t="shared" si="282"/>
        <v>#DIV/0!</v>
      </c>
      <c r="BD279" s="29" t="str">
        <f t="shared" si="282"/>
        <v>#DIV/0!</v>
      </c>
      <c r="BE279" s="29" t="str">
        <f t="shared" si="282"/>
        <v>#DIV/0!</v>
      </c>
      <c r="BF279" s="29" t="str">
        <f t="shared" si="282"/>
        <v>#DIV/0!</v>
      </c>
      <c r="BG279" s="29" t="str">
        <f t="shared" si="282"/>
        <v>#DIV/0!</v>
      </c>
      <c r="BH279" s="29" t="str">
        <f t="shared" si="282"/>
        <v>#DIV/0!</v>
      </c>
      <c r="BI279" s="29" t="str">
        <f t="shared" si="282"/>
        <v>#DIV/0!</v>
      </c>
      <c r="BJ279" s="29" t="str">
        <f t="shared" si="282"/>
        <v>#DIV/0!</v>
      </c>
      <c r="BK279" s="29" t="str">
        <f t="shared" si="282"/>
        <v>#DIV/0!</v>
      </c>
      <c r="BL279" s="29" t="str">
        <f t="shared" si="282"/>
        <v>#DIV/0!</v>
      </c>
      <c r="BM279" s="29" t="str">
        <f t="shared" si="3"/>
        <v>#DIV/0!</v>
      </c>
    </row>
    <row r="280">
      <c r="A280" s="16" t="str">
        <f>IFERROR(__xludf.DUMMYFUNCTION("IFERROR(SPARKLINE(SORT(MAP(TRANSPOSE(AQ280:BL280), LAMBDA(val, IF(ISNUMBER(val), PERCENTRANK(AQ280:BL280, val)+0.01, 0))), SEQUENCE(COLUMNS(AQ280:BL280)), FALSE), {""charttype"",""column""; ""color"",""chartreuse""; ""ymin"", 0; ""ymax"", 1.01; ""highcolo"&amp;"r"", ""darkgreen""; ""lowcolor"", ""red""}), """")"),"")</f>
        <v/>
      </c>
      <c r="B280" s="17" t="str">
        <f t="shared" si="4"/>
        <v/>
      </c>
      <c r="C280" s="1" t="s">
        <v>1324</v>
      </c>
      <c r="D280" s="34" t="str">
        <f>IFERROR(__xludf.DUMMYFUNCTION("IFERROR(GOOGLEFINANCE(C280, ""NAME""))"),"Exzeo Group Inc")</f>
        <v>Exzeo Group Inc</v>
      </c>
      <c r="E280" s="30" t="s">
        <v>434</v>
      </c>
      <c r="F280" s="33" t="str">
        <f>IFERROR(__xludf.DUMMYFUNCTION("( (GOOGLEFINANCE(C280, ""price"") - Q280) / Q280 ) / (R280 / 100)"),"Loading...")</f>
        <v>Loading...</v>
      </c>
      <c r="G280" s="20" t="str">
        <f>IFERROR(__xludf.DUMMYFUNCTION("AVERAGE(ARRAYFORMULA(100 * (QUERY(GOOGLEFINANCE(C280, ""high"", TODAY()-40, TODAY()), ""SELECT Col2 WHERE Col2 IS NOT NULL ORDER BY Col1 DESC LIMIT 20"", 0) / QUERY(GOOGLEFINANCE(C280, ""low"", TODAY()-40, TODAY()), ""SELECT Col2 WHERE Col2 IS NOT NULL OR"&amp;"DER BY Col1 DESC LIMIT 20"", 0) - 1)))"),"#N/A")</f>
        <v>#N/A</v>
      </c>
      <c r="H280" s="35" t="str">
        <f t="shared" si="6"/>
        <v/>
      </c>
      <c r="I280" s="36" t="str">
        <f t="shared" si="7"/>
        <v/>
      </c>
      <c r="J280" s="37" t="str">
        <f>IFERROR(__xludf.DUMMYFUNCTION("IFERROR(
  IF(C280="""",, 
    IFERROR(
      GOOGLEFINANCE(C280, ""price"") * GOOGLEFINANCE(C280, ""volumeavg""), 
      GOOGLEFINANCE(C280, ""price"") * AVERAGE(QUERY(GOOGLEFINANCE(C280, ""volume"", TODAY()-40, TODAY()), ""SELECT Col2 WHERE Col2 IS NOT "&amp;"NULL ORDER BY Col1 DESC LIMIT 20"", 0))
    )
  ), 
"""")"),"")</f>
        <v/>
      </c>
      <c r="K280" s="21" t="str">
        <f>IFERROR(__xludf.DUMMYFUNCTION("IFERROR(GOOGLEFINANCE(C280, ""changepct"") / 100, """")"),"")</f>
        <v/>
      </c>
      <c r="L280" s="21" t="str">
        <f>IFERROR(__xludf.DUMMYFUNCTION("IFERROR((GOOGLEFINANCE(C280, ""price"") / INDEX(GOOGLEFINANCE(C280, ""price"", TODAY()-7, TODAY()), 2, 2)) - 1, """")"),"")</f>
        <v/>
      </c>
      <c r="M280" s="21" t="str">
        <f>IFERROR(__xludf.DUMMYFUNCTION("IFERROR((GOOGLEFINANCE(C280, ""price"") / INDEX(GOOGLEFINANCE(C280, ""price"", EDATE(TODAY(), -1), TODAY()), 2, 2)) - 1, """")"),"")</f>
        <v/>
      </c>
      <c r="N280" s="21" t="str">
        <f>IFERROR(__xludf.DUMMYFUNCTION("IFERROR((GOOGLEFINANCE(C280, ""price"") / INDEX(GOOGLEFINANCE(C280, ""price"", EDATE(TODAY(), -3), TODAY()), 2, 2)) - 1, """")"),"")</f>
        <v/>
      </c>
      <c r="O280" s="21" t="str">
        <f>IFERROR(__xludf.DUMMYFUNCTION("IFERROR((GOOGLEFINANCE(C280, ""price"") / INDEX(GOOGLEFINANCE(C280, ""price"", EDATE(TODAY(), -6), TODAY()), 2, 2)) - 1, """")"),"")</f>
        <v/>
      </c>
      <c r="P280" s="21" t="str">
        <f>IFERROR(__xludf.DUMMYFUNCTION("IFERROR((GOOGLEFINANCE(C280, ""price"") / INDEX(GOOGLEFINANCE(C280, ""price"", EDATE(TODAY(), -12), TODAY()), 2, 2)) - 1, """")"),"")</f>
        <v/>
      </c>
      <c r="Q280" s="6" t="str">
        <f>IFERROR(__xludf.DUMMYFUNCTION("AVERAGE(QUERY(GOOGLEFINANCE(C280, ""price"", TODAY()-80, TODAY()), ""SELECT Col2 WHERE Col2 IS NOT NULL ORDER BY Col1 DESC LIMIT 50"", 0))"),"#N/A")</f>
        <v>#N/A</v>
      </c>
      <c r="R280" s="24" t="str">
        <f>IFERROR(__xludf.DUMMYFUNCTION("IFERROR(
  LET(
    data, QUERY(GOOGLEFINANCE(C280,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GOOGLEFINANCE(C280, ""price"")) * 100,
    IF(calc=0, G280, calc)
  ), 
G280)"),"#N/A")</f>
        <v>#N/A</v>
      </c>
      <c r="S280" s="8" t="s">
        <v>15</v>
      </c>
      <c r="T280" s="26" t="str">
        <f>IFERROR(__xludf.DUMMYFUNCTION("IFERROR(TRANSPOSE(QUERY(IFERROR(SORT(GOOGLEFINANCE(C280, ""price"", WORKDAY(TODAY(), -40), TODAY()), 1, FALSE)), ""select Col2 where Col2 is not null limit 22 label Col2 ''"", 0)), """")"),"")</f>
        <v/>
      </c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8"/>
      <c r="AO280" s="28"/>
      <c r="AP280" s="29"/>
      <c r="AQ280" s="29" t="str">
        <f t="shared" ref="AQ280:BL280" si="283">T280/T$2</f>
        <v>#N/A</v>
      </c>
      <c r="AR280" s="29" t="str">
        <f t="shared" si="283"/>
        <v>#DIV/0!</v>
      </c>
      <c r="AS280" s="29" t="str">
        <f t="shared" si="283"/>
        <v>#DIV/0!</v>
      </c>
      <c r="AT280" s="29" t="str">
        <f t="shared" si="283"/>
        <v>#DIV/0!</v>
      </c>
      <c r="AU280" s="29" t="str">
        <f t="shared" si="283"/>
        <v>#DIV/0!</v>
      </c>
      <c r="AV280" s="29" t="str">
        <f t="shared" si="283"/>
        <v>#DIV/0!</v>
      </c>
      <c r="AW280" s="29" t="str">
        <f t="shared" si="283"/>
        <v>#DIV/0!</v>
      </c>
      <c r="AX280" s="29" t="str">
        <f t="shared" si="283"/>
        <v>#DIV/0!</v>
      </c>
      <c r="AY280" s="29" t="str">
        <f t="shared" si="283"/>
        <v>#DIV/0!</v>
      </c>
      <c r="AZ280" s="29" t="str">
        <f t="shared" si="283"/>
        <v>#DIV/0!</v>
      </c>
      <c r="BA280" s="29" t="str">
        <f t="shared" si="283"/>
        <v>#DIV/0!</v>
      </c>
      <c r="BB280" s="29" t="str">
        <f t="shared" si="283"/>
        <v>#DIV/0!</v>
      </c>
      <c r="BC280" s="29" t="str">
        <f t="shared" si="283"/>
        <v>#DIV/0!</v>
      </c>
      <c r="BD280" s="29" t="str">
        <f t="shared" si="283"/>
        <v>#DIV/0!</v>
      </c>
      <c r="BE280" s="29" t="str">
        <f t="shared" si="283"/>
        <v>#DIV/0!</v>
      </c>
      <c r="BF280" s="29" t="str">
        <f t="shared" si="283"/>
        <v>#DIV/0!</v>
      </c>
      <c r="BG280" s="29" t="str">
        <f t="shared" si="283"/>
        <v>#DIV/0!</v>
      </c>
      <c r="BH280" s="29" t="str">
        <f t="shared" si="283"/>
        <v>#DIV/0!</v>
      </c>
      <c r="BI280" s="29" t="str">
        <f t="shared" si="283"/>
        <v>#DIV/0!</v>
      </c>
      <c r="BJ280" s="29" t="str">
        <f t="shared" si="283"/>
        <v>#DIV/0!</v>
      </c>
      <c r="BK280" s="29" t="str">
        <f t="shared" si="283"/>
        <v>#DIV/0!</v>
      </c>
      <c r="BL280" s="29" t="str">
        <f t="shared" si="283"/>
        <v>#DIV/0!</v>
      </c>
      <c r="BM280" s="29" t="str">
        <f t="shared" si="3"/>
        <v>#DIV/0!</v>
      </c>
    </row>
    <row r="281">
      <c r="A281" s="16" t="str">
        <f>IFERROR(__xludf.DUMMYFUNCTION("IFERROR(SPARKLINE(SORT(MAP(TRANSPOSE(AQ281:BL281), LAMBDA(val, IF(ISNUMBER(val), PERCENTRANK(AQ281:BL281, val)+0.01, 0))), SEQUENCE(COLUMNS(AQ281:BL281)), FALSE), {""charttype"",""column""; ""color"",""chartreuse""; ""ymin"", 0; ""ymax"", 1.01; ""highcolo"&amp;"r"", ""darkgreen""; ""lowcolor"", ""red""}), """")"),"")</f>
        <v/>
      </c>
      <c r="B281" s="17" t="str">
        <f t="shared" si="4"/>
        <v/>
      </c>
      <c r="C281" s="1" t="s">
        <v>1330</v>
      </c>
      <c r="D281" s="34" t="str">
        <f>IFERROR(__xludf.DUMMYFUNCTION("IFERROR(GOOGLEFINANCE(C281, ""NAME""))"),"Barings BDC Inc")</f>
        <v>Barings BDC Inc</v>
      </c>
      <c r="E281" s="30" t="s">
        <v>64</v>
      </c>
      <c r="F281" s="33" t="str">
        <f>IFERROR(__xludf.DUMMYFUNCTION("( (GOOGLEFINANCE(C281, ""price"") - Q281) / Q281 ) / (R281 / 100)"),"Loading...")</f>
        <v>Loading...</v>
      </c>
      <c r="G281" s="20" t="str">
        <f>IFERROR(__xludf.DUMMYFUNCTION("AVERAGE(ARRAYFORMULA(100 * (QUERY(GOOGLEFINANCE(C281, ""high"", TODAY()-40, TODAY()), ""SELECT Col2 WHERE Col2 IS NOT NULL ORDER BY Col1 DESC LIMIT 20"", 0) / QUERY(GOOGLEFINANCE(C281, ""low"", TODAY()-40, TODAY()), ""SELECT Col2 WHERE Col2 IS NOT NULL OR"&amp;"DER BY Col1 DESC LIMIT 20"", 0) - 1)))"),"#N/A")</f>
        <v>#N/A</v>
      </c>
      <c r="H281" s="35" t="str">
        <f t="shared" si="6"/>
        <v/>
      </c>
      <c r="I281" s="36" t="str">
        <f t="shared" si="7"/>
        <v/>
      </c>
      <c r="J281" s="37" t="str">
        <f>IFERROR(__xludf.DUMMYFUNCTION("IFERROR(
  IF(C281="""",, 
    IFERROR(
      GOOGLEFINANCE(C281, ""price"") * GOOGLEFINANCE(C281, ""volumeavg""), 
      GOOGLEFINANCE(C281, ""price"") * AVERAGE(QUERY(GOOGLEFINANCE(C281, ""volume"", TODAY()-40, TODAY()), ""SELECT Col2 WHERE Col2 IS NOT "&amp;"NULL ORDER BY Col1 DESC LIMIT 20"", 0))
    )
  ), 
"""")"),"")</f>
        <v/>
      </c>
      <c r="K281" s="21" t="str">
        <f>IFERROR(__xludf.DUMMYFUNCTION("IFERROR(GOOGLEFINANCE(C281, ""changepct"") / 100, """")"),"")</f>
        <v/>
      </c>
      <c r="L281" s="21" t="str">
        <f>IFERROR(__xludf.DUMMYFUNCTION("IFERROR((GOOGLEFINANCE(C281, ""price"") / INDEX(GOOGLEFINANCE(C281, ""price"", TODAY()-7, TODAY()), 2, 2)) - 1, """")"),"")</f>
        <v/>
      </c>
      <c r="M281" s="21" t="str">
        <f>IFERROR(__xludf.DUMMYFUNCTION("IFERROR((GOOGLEFINANCE(C281, ""price"") / INDEX(GOOGLEFINANCE(C281, ""price"", EDATE(TODAY(), -1), TODAY()), 2, 2)) - 1, """")"),"")</f>
        <v/>
      </c>
      <c r="N281" s="21" t="str">
        <f>IFERROR(__xludf.DUMMYFUNCTION("IFERROR((GOOGLEFINANCE(C281, ""price"") / INDEX(GOOGLEFINANCE(C281, ""price"", EDATE(TODAY(), -3), TODAY()), 2, 2)) - 1, """")"),"")</f>
        <v/>
      </c>
      <c r="O281" s="21" t="str">
        <f>IFERROR(__xludf.DUMMYFUNCTION("IFERROR((GOOGLEFINANCE(C281, ""price"") / INDEX(GOOGLEFINANCE(C281, ""price"", EDATE(TODAY(), -6), TODAY()), 2, 2)) - 1, """")"),"")</f>
        <v/>
      </c>
      <c r="P281" s="21" t="str">
        <f>IFERROR(__xludf.DUMMYFUNCTION("IFERROR((GOOGLEFINANCE(C281, ""price"") / INDEX(GOOGLEFINANCE(C281, ""price"", EDATE(TODAY(), -12), TODAY()), 2, 2)) - 1, """")"),"")</f>
        <v/>
      </c>
      <c r="Q281" s="6" t="str">
        <f>IFERROR(__xludf.DUMMYFUNCTION("AVERAGE(QUERY(GOOGLEFINANCE(C281, ""price"", TODAY()-80, TODAY()), ""SELECT Col2 WHERE Col2 IS NOT NULL ORDER BY Col1 DESC LIMIT 50"", 0))"),"#N/A")</f>
        <v>#N/A</v>
      </c>
      <c r="R281" s="24" t="str">
        <f>IFERROR(__xludf.DUMMYFUNCTION("IFERROR(
  LET(
    data, QUERY(GOOGLEFINANCE(C281,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GOOGLEFINANCE(C281, ""price"")) * 100,
    IF(calc=0, G281, calc)
  ), 
G281)"),"#N/A")</f>
        <v>#N/A</v>
      </c>
      <c r="S281" s="8" t="s">
        <v>15</v>
      </c>
      <c r="T281" s="26" t="str">
        <f>IFERROR(__xludf.DUMMYFUNCTION("IFERROR(TRANSPOSE(QUERY(IFERROR(SORT(GOOGLEFINANCE(C281, ""price"", WORKDAY(TODAY(), -40), TODAY()), 1, FALSE)), ""select Col2 where Col2 is not null limit 22 label Col2 ''"", 0)), """")"),"")</f>
        <v/>
      </c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8"/>
      <c r="AO281" s="28"/>
      <c r="AP281" s="29"/>
      <c r="AQ281" s="29" t="str">
        <f t="shared" ref="AQ281:BL281" si="284">T281/T$2</f>
        <v>#N/A</v>
      </c>
      <c r="AR281" s="29" t="str">
        <f t="shared" si="284"/>
        <v>#DIV/0!</v>
      </c>
      <c r="AS281" s="29" t="str">
        <f t="shared" si="284"/>
        <v>#DIV/0!</v>
      </c>
      <c r="AT281" s="29" t="str">
        <f t="shared" si="284"/>
        <v>#DIV/0!</v>
      </c>
      <c r="AU281" s="29" t="str">
        <f t="shared" si="284"/>
        <v>#DIV/0!</v>
      </c>
      <c r="AV281" s="29" t="str">
        <f t="shared" si="284"/>
        <v>#DIV/0!</v>
      </c>
      <c r="AW281" s="29" t="str">
        <f t="shared" si="284"/>
        <v>#DIV/0!</v>
      </c>
      <c r="AX281" s="29" t="str">
        <f t="shared" si="284"/>
        <v>#DIV/0!</v>
      </c>
      <c r="AY281" s="29" t="str">
        <f t="shared" si="284"/>
        <v>#DIV/0!</v>
      </c>
      <c r="AZ281" s="29" t="str">
        <f t="shared" si="284"/>
        <v>#DIV/0!</v>
      </c>
      <c r="BA281" s="29" t="str">
        <f t="shared" si="284"/>
        <v>#DIV/0!</v>
      </c>
      <c r="BB281" s="29" t="str">
        <f t="shared" si="284"/>
        <v>#DIV/0!</v>
      </c>
      <c r="BC281" s="29" t="str">
        <f t="shared" si="284"/>
        <v>#DIV/0!</v>
      </c>
      <c r="BD281" s="29" t="str">
        <f t="shared" si="284"/>
        <v>#DIV/0!</v>
      </c>
      <c r="BE281" s="29" t="str">
        <f t="shared" si="284"/>
        <v>#DIV/0!</v>
      </c>
      <c r="BF281" s="29" t="str">
        <f t="shared" si="284"/>
        <v>#DIV/0!</v>
      </c>
      <c r="BG281" s="29" t="str">
        <f t="shared" si="284"/>
        <v>#DIV/0!</v>
      </c>
      <c r="BH281" s="29" t="str">
        <f t="shared" si="284"/>
        <v>#DIV/0!</v>
      </c>
      <c r="BI281" s="29" t="str">
        <f t="shared" si="284"/>
        <v>#DIV/0!</v>
      </c>
      <c r="BJ281" s="29" t="str">
        <f t="shared" si="284"/>
        <v>#DIV/0!</v>
      </c>
      <c r="BK281" s="29" t="str">
        <f t="shared" si="284"/>
        <v>#DIV/0!</v>
      </c>
      <c r="BL281" s="29" t="str">
        <f t="shared" si="284"/>
        <v>#DIV/0!</v>
      </c>
      <c r="BM281" s="29" t="str">
        <f t="shared" si="3"/>
        <v>#DIV/0!</v>
      </c>
    </row>
    <row r="282">
      <c r="A282" s="16" t="str">
        <f>IFERROR(__xludf.DUMMYFUNCTION("IFERROR(SPARKLINE(SORT(MAP(TRANSPOSE(AQ282:BL282), LAMBDA(val, IF(ISNUMBER(val), PERCENTRANK(AQ282:BL282, val)+0.01, 0))), SEQUENCE(COLUMNS(AQ282:BL282)), FALSE), {""charttype"",""column""; ""color"",""chartreuse""; ""ymin"", 0; ""ymax"", 1.01; ""highcolo"&amp;"r"", ""darkgreen""; ""lowcolor"", ""red""}), """")"),"")</f>
        <v/>
      </c>
      <c r="B282" s="17" t="str">
        <f t="shared" si="4"/>
        <v/>
      </c>
      <c r="C282" s="1" t="s">
        <v>1334</v>
      </c>
      <c r="D282" s="34" t="str">
        <f>IFERROR(__xludf.DUMMYFUNCTION("IFERROR(GOOGLEFINANCE(C282, ""NAME""))"),"The Bank of Nova Scotia")</f>
        <v>The Bank of Nova Scotia</v>
      </c>
      <c r="E282" s="30" t="s">
        <v>236</v>
      </c>
      <c r="F282" s="33" t="str">
        <f>IFERROR(__xludf.DUMMYFUNCTION("( (GOOGLEFINANCE(C282, ""price"") - Q282) / Q282 ) / (R282 / 100)"),"Loading...")</f>
        <v>Loading...</v>
      </c>
      <c r="G282" s="20" t="str">
        <f>IFERROR(__xludf.DUMMYFUNCTION("AVERAGE(ARRAYFORMULA(100 * (QUERY(GOOGLEFINANCE(C282, ""high"", TODAY()-40, TODAY()), ""SELECT Col2 WHERE Col2 IS NOT NULL ORDER BY Col1 DESC LIMIT 20"", 0) / QUERY(GOOGLEFINANCE(C282, ""low"", TODAY()-40, TODAY()), ""SELECT Col2 WHERE Col2 IS NOT NULL OR"&amp;"DER BY Col1 DESC LIMIT 20"", 0) - 1)))"),"#N/A")</f>
        <v>#N/A</v>
      </c>
      <c r="H282" s="35" t="str">
        <f t="shared" si="6"/>
        <v/>
      </c>
      <c r="I282" s="36" t="str">
        <f t="shared" si="7"/>
        <v/>
      </c>
      <c r="J282" s="37" t="str">
        <f>IFERROR(__xludf.DUMMYFUNCTION("IFERROR(
  IF(C282="""",, 
    IFERROR(
      GOOGLEFINANCE(C282, ""price"") * GOOGLEFINANCE(C282, ""volumeavg""), 
      GOOGLEFINANCE(C282, ""price"") * AVERAGE(QUERY(GOOGLEFINANCE(C282, ""volume"", TODAY()-40, TODAY()), ""SELECT Col2 WHERE Col2 IS NOT "&amp;"NULL ORDER BY Col1 DESC LIMIT 20"", 0))
    )
  ), 
"""")"),"")</f>
        <v/>
      </c>
      <c r="K282" s="21" t="str">
        <f>IFERROR(__xludf.DUMMYFUNCTION("IFERROR(GOOGLEFINANCE(C282, ""changepct"") / 100, """")"),"")</f>
        <v/>
      </c>
      <c r="L282" s="21" t="str">
        <f>IFERROR(__xludf.DUMMYFUNCTION("IFERROR((GOOGLEFINANCE(C282, ""price"") / INDEX(GOOGLEFINANCE(C282, ""price"", TODAY()-7, TODAY()), 2, 2)) - 1, """")"),"")</f>
        <v/>
      </c>
      <c r="M282" s="21" t="str">
        <f>IFERROR(__xludf.DUMMYFUNCTION("IFERROR((GOOGLEFINANCE(C282, ""price"") / INDEX(GOOGLEFINANCE(C282, ""price"", EDATE(TODAY(), -1), TODAY()), 2, 2)) - 1, """")"),"")</f>
        <v/>
      </c>
      <c r="N282" s="21" t="str">
        <f>IFERROR(__xludf.DUMMYFUNCTION("IFERROR((GOOGLEFINANCE(C282, ""price"") / INDEX(GOOGLEFINANCE(C282, ""price"", EDATE(TODAY(), -3), TODAY()), 2, 2)) - 1, """")"),"")</f>
        <v/>
      </c>
      <c r="O282" s="21" t="str">
        <f>IFERROR(__xludf.DUMMYFUNCTION("IFERROR((GOOGLEFINANCE(C282, ""price"") / INDEX(GOOGLEFINANCE(C282, ""price"", EDATE(TODAY(), -6), TODAY()), 2, 2)) - 1, """")"),"")</f>
        <v/>
      </c>
      <c r="P282" s="21" t="str">
        <f>IFERROR(__xludf.DUMMYFUNCTION("IFERROR((GOOGLEFINANCE(C282, ""price"") / INDEX(GOOGLEFINANCE(C282, ""price"", EDATE(TODAY(), -12), TODAY()), 2, 2)) - 1, """")"),"")</f>
        <v/>
      </c>
      <c r="Q282" s="6" t="str">
        <f>IFERROR(__xludf.DUMMYFUNCTION("AVERAGE(QUERY(GOOGLEFINANCE(C282, ""price"", TODAY()-80, TODAY()), ""SELECT Col2 WHERE Col2 IS NOT NULL ORDER BY Col1 DESC LIMIT 50"", 0))"),"#N/A")</f>
        <v>#N/A</v>
      </c>
      <c r="R282" s="24" t="str">
        <f>IFERROR(__xludf.DUMMYFUNCTION("IFERROR(
  LET(
    data, QUERY(GOOGLEFINANCE(C282,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GOOGLEFINANCE(C282, ""price"")) * 100,
    IF(calc=0, G282, calc)
  ), 
G282)"),"#N/A")</f>
        <v>#N/A</v>
      </c>
      <c r="S282" s="8" t="s">
        <v>15</v>
      </c>
      <c r="T282" s="26" t="str">
        <f>IFERROR(__xludf.DUMMYFUNCTION("IFERROR(TRANSPOSE(QUERY(IFERROR(SORT(GOOGLEFINANCE(C282, ""price"", WORKDAY(TODAY(), -40), TODAY()), 1, FALSE)), ""select Col2 where Col2 is not null limit 22 label Col2 ''"", 0)), """")"),"")</f>
        <v/>
      </c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8"/>
      <c r="AO282" s="28"/>
      <c r="AP282" s="29"/>
      <c r="AQ282" s="29" t="str">
        <f t="shared" ref="AQ282:BL282" si="285">T282/T$2</f>
        <v>#N/A</v>
      </c>
      <c r="AR282" s="29" t="str">
        <f t="shared" si="285"/>
        <v>#DIV/0!</v>
      </c>
      <c r="AS282" s="29" t="str">
        <f t="shared" si="285"/>
        <v>#DIV/0!</v>
      </c>
      <c r="AT282" s="29" t="str">
        <f t="shared" si="285"/>
        <v>#DIV/0!</v>
      </c>
      <c r="AU282" s="29" t="str">
        <f t="shared" si="285"/>
        <v>#DIV/0!</v>
      </c>
      <c r="AV282" s="29" t="str">
        <f t="shared" si="285"/>
        <v>#DIV/0!</v>
      </c>
      <c r="AW282" s="29" t="str">
        <f t="shared" si="285"/>
        <v>#DIV/0!</v>
      </c>
      <c r="AX282" s="29" t="str">
        <f t="shared" si="285"/>
        <v>#DIV/0!</v>
      </c>
      <c r="AY282" s="29" t="str">
        <f t="shared" si="285"/>
        <v>#DIV/0!</v>
      </c>
      <c r="AZ282" s="29" t="str">
        <f t="shared" si="285"/>
        <v>#DIV/0!</v>
      </c>
      <c r="BA282" s="29" t="str">
        <f t="shared" si="285"/>
        <v>#DIV/0!</v>
      </c>
      <c r="BB282" s="29" t="str">
        <f t="shared" si="285"/>
        <v>#DIV/0!</v>
      </c>
      <c r="BC282" s="29" t="str">
        <f t="shared" si="285"/>
        <v>#DIV/0!</v>
      </c>
      <c r="BD282" s="29" t="str">
        <f t="shared" si="285"/>
        <v>#DIV/0!</v>
      </c>
      <c r="BE282" s="29" t="str">
        <f t="shared" si="285"/>
        <v>#DIV/0!</v>
      </c>
      <c r="BF282" s="29" t="str">
        <f t="shared" si="285"/>
        <v>#DIV/0!</v>
      </c>
      <c r="BG282" s="29" t="str">
        <f t="shared" si="285"/>
        <v>#DIV/0!</v>
      </c>
      <c r="BH282" s="29" t="str">
        <f t="shared" si="285"/>
        <v>#DIV/0!</v>
      </c>
      <c r="BI282" s="29" t="str">
        <f t="shared" si="285"/>
        <v>#DIV/0!</v>
      </c>
      <c r="BJ282" s="29" t="str">
        <f t="shared" si="285"/>
        <v>#DIV/0!</v>
      </c>
      <c r="BK282" s="29" t="str">
        <f t="shared" si="285"/>
        <v>#DIV/0!</v>
      </c>
      <c r="BL282" s="29" t="str">
        <f t="shared" si="285"/>
        <v>#DIV/0!</v>
      </c>
      <c r="BM282" s="29" t="str">
        <f t="shared" si="3"/>
        <v>#DIV/0!</v>
      </c>
    </row>
    <row r="283">
      <c r="A283" s="16" t="str">
        <f>IFERROR(__xludf.DUMMYFUNCTION("IFERROR(SPARKLINE(SORT(MAP(TRANSPOSE(AQ283:BL283), LAMBDA(val, IF(ISNUMBER(val), PERCENTRANK(AQ283:BL283, val)+0.01, 0))), SEQUENCE(COLUMNS(AQ283:BL283)), FALSE), {""charttype"",""column""; ""color"",""chartreuse""; ""ymin"", 0; ""ymax"", 1.01; ""highcolo"&amp;"r"", ""darkgreen""; ""lowcolor"", ""red""}), """")"),"")</f>
        <v/>
      </c>
      <c r="B283" s="17" t="str">
        <f t="shared" si="4"/>
        <v/>
      </c>
      <c r="C283" s="1" t="s">
        <v>1338</v>
      </c>
      <c r="D283" s="34" t="str">
        <f>IFERROR(__xludf.DUMMYFUNCTION("IFERROR(GOOGLEFINANCE(C283, ""NAME""))"),"Blue Owl Capital Corp")</f>
        <v>Blue Owl Capital Corp</v>
      </c>
      <c r="E283" s="30" t="s">
        <v>64</v>
      </c>
      <c r="F283" s="33" t="str">
        <f>IFERROR(__xludf.DUMMYFUNCTION("( (GOOGLEFINANCE(C283, ""price"") - Q283) / Q283 ) / (R283 / 100)"),"Loading...")</f>
        <v>Loading...</v>
      </c>
      <c r="G283" s="20" t="str">
        <f>IFERROR(__xludf.DUMMYFUNCTION("AVERAGE(ARRAYFORMULA(100 * (QUERY(GOOGLEFINANCE(C283, ""high"", TODAY()-40, TODAY()), ""SELECT Col2 WHERE Col2 IS NOT NULL ORDER BY Col1 DESC LIMIT 20"", 0) / QUERY(GOOGLEFINANCE(C283, ""low"", TODAY()-40, TODAY()), ""SELECT Col2 WHERE Col2 IS NOT NULL OR"&amp;"DER BY Col1 DESC LIMIT 20"", 0) - 1)))"),"#N/A")</f>
        <v>#N/A</v>
      </c>
      <c r="H283" s="35" t="str">
        <f t="shared" si="6"/>
        <v/>
      </c>
      <c r="I283" s="36" t="str">
        <f t="shared" si="7"/>
        <v/>
      </c>
      <c r="J283" s="37" t="str">
        <f>IFERROR(__xludf.DUMMYFUNCTION("IFERROR(
  IF(C283="""",, 
    IFERROR(
      GOOGLEFINANCE(C283, ""price"") * GOOGLEFINANCE(C283, ""volumeavg""), 
      GOOGLEFINANCE(C283, ""price"") * AVERAGE(QUERY(GOOGLEFINANCE(C283, ""volume"", TODAY()-40, TODAY()), ""SELECT Col2 WHERE Col2 IS NOT "&amp;"NULL ORDER BY Col1 DESC LIMIT 20"", 0))
    )
  ), 
"""")"),"")</f>
        <v/>
      </c>
      <c r="K283" s="21" t="str">
        <f>IFERROR(__xludf.DUMMYFUNCTION("IFERROR(GOOGLEFINANCE(C283, ""changepct"") / 100, """")"),"")</f>
        <v/>
      </c>
      <c r="L283" s="21" t="str">
        <f>IFERROR(__xludf.DUMMYFUNCTION("IFERROR((GOOGLEFINANCE(C283, ""price"") / INDEX(GOOGLEFINANCE(C283, ""price"", TODAY()-7, TODAY()), 2, 2)) - 1, """")"),"")</f>
        <v/>
      </c>
      <c r="M283" s="21" t="str">
        <f>IFERROR(__xludf.DUMMYFUNCTION("IFERROR((GOOGLEFINANCE(C283, ""price"") / INDEX(GOOGLEFINANCE(C283, ""price"", EDATE(TODAY(), -1), TODAY()), 2, 2)) - 1, """")"),"")</f>
        <v/>
      </c>
      <c r="N283" s="21" t="str">
        <f>IFERROR(__xludf.DUMMYFUNCTION("IFERROR((GOOGLEFINANCE(C283, ""price"") / INDEX(GOOGLEFINANCE(C283, ""price"", EDATE(TODAY(), -3), TODAY()), 2, 2)) - 1, """")"),"")</f>
        <v/>
      </c>
      <c r="O283" s="21" t="str">
        <f>IFERROR(__xludf.DUMMYFUNCTION("IFERROR((GOOGLEFINANCE(C283, ""price"") / INDEX(GOOGLEFINANCE(C283, ""price"", EDATE(TODAY(), -6), TODAY()), 2, 2)) - 1, """")"),"")</f>
        <v/>
      </c>
      <c r="P283" s="21" t="str">
        <f>IFERROR(__xludf.DUMMYFUNCTION("IFERROR((GOOGLEFINANCE(C283, ""price"") / INDEX(GOOGLEFINANCE(C283, ""price"", EDATE(TODAY(), -12), TODAY()), 2, 2)) - 1, """")"),"")</f>
        <v/>
      </c>
      <c r="Q283" s="6" t="str">
        <f>IFERROR(__xludf.DUMMYFUNCTION("AVERAGE(QUERY(GOOGLEFINANCE(C283, ""price"", TODAY()-80, TODAY()), ""SELECT Col2 WHERE Col2 IS NOT NULL ORDER BY Col1 DESC LIMIT 50"", 0))"),"#N/A")</f>
        <v>#N/A</v>
      </c>
      <c r="R283" s="24" t="str">
        <f>IFERROR(__xludf.DUMMYFUNCTION("IFERROR(
  LET(
    data, QUERY(GOOGLEFINANCE(C283,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GOOGLEFINANCE(C283, ""price"")) * 100,
    IF(calc=0, G283, calc)
  ), 
G283)"),"#N/A")</f>
        <v>#N/A</v>
      </c>
      <c r="S283" s="8" t="s">
        <v>15</v>
      </c>
      <c r="T283" s="26" t="str">
        <f>IFERROR(__xludf.DUMMYFUNCTION("IFERROR(TRANSPOSE(QUERY(IFERROR(SORT(GOOGLEFINANCE(C283, ""price"", WORKDAY(TODAY(), -40), TODAY()), 1, FALSE)), ""select Col2 where Col2 is not null limit 22 label Col2 ''"", 0)), """")"),"")</f>
        <v/>
      </c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8"/>
      <c r="AO283" s="28"/>
      <c r="AP283" s="29"/>
      <c r="AQ283" s="29" t="str">
        <f t="shared" ref="AQ283:BL283" si="286">T283/T$2</f>
        <v>#N/A</v>
      </c>
      <c r="AR283" s="29" t="str">
        <f t="shared" si="286"/>
        <v>#DIV/0!</v>
      </c>
      <c r="AS283" s="29" t="str">
        <f t="shared" si="286"/>
        <v>#DIV/0!</v>
      </c>
      <c r="AT283" s="29" t="str">
        <f t="shared" si="286"/>
        <v>#DIV/0!</v>
      </c>
      <c r="AU283" s="29" t="str">
        <f t="shared" si="286"/>
        <v>#DIV/0!</v>
      </c>
      <c r="AV283" s="29" t="str">
        <f t="shared" si="286"/>
        <v>#DIV/0!</v>
      </c>
      <c r="AW283" s="29" t="str">
        <f t="shared" si="286"/>
        <v>#DIV/0!</v>
      </c>
      <c r="AX283" s="29" t="str">
        <f t="shared" si="286"/>
        <v>#DIV/0!</v>
      </c>
      <c r="AY283" s="29" t="str">
        <f t="shared" si="286"/>
        <v>#DIV/0!</v>
      </c>
      <c r="AZ283" s="29" t="str">
        <f t="shared" si="286"/>
        <v>#DIV/0!</v>
      </c>
      <c r="BA283" s="29" t="str">
        <f t="shared" si="286"/>
        <v>#DIV/0!</v>
      </c>
      <c r="BB283" s="29" t="str">
        <f t="shared" si="286"/>
        <v>#DIV/0!</v>
      </c>
      <c r="BC283" s="29" t="str">
        <f t="shared" si="286"/>
        <v>#DIV/0!</v>
      </c>
      <c r="BD283" s="29" t="str">
        <f t="shared" si="286"/>
        <v>#DIV/0!</v>
      </c>
      <c r="BE283" s="29" t="str">
        <f t="shared" si="286"/>
        <v>#DIV/0!</v>
      </c>
      <c r="BF283" s="29" t="str">
        <f t="shared" si="286"/>
        <v>#DIV/0!</v>
      </c>
      <c r="BG283" s="29" t="str">
        <f t="shared" si="286"/>
        <v>#DIV/0!</v>
      </c>
      <c r="BH283" s="29" t="str">
        <f t="shared" si="286"/>
        <v>#DIV/0!</v>
      </c>
      <c r="BI283" s="29" t="str">
        <f t="shared" si="286"/>
        <v>#DIV/0!</v>
      </c>
      <c r="BJ283" s="29" t="str">
        <f t="shared" si="286"/>
        <v>#DIV/0!</v>
      </c>
      <c r="BK283" s="29" t="str">
        <f t="shared" si="286"/>
        <v>#DIV/0!</v>
      </c>
      <c r="BL283" s="29" t="str">
        <f t="shared" si="286"/>
        <v>#DIV/0!</v>
      </c>
      <c r="BM283" s="29" t="str">
        <f t="shared" si="3"/>
        <v>#DIV/0!</v>
      </c>
    </row>
    <row r="284">
      <c r="A284" s="16" t="str">
        <f>IFERROR(__xludf.DUMMYFUNCTION("IFERROR(SPARKLINE(SORT(MAP(TRANSPOSE(AQ284:BL284), LAMBDA(val, IF(ISNUMBER(val), PERCENTRANK(AQ284:BL284, val)+0.01, 0))), SEQUENCE(COLUMNS(AQ284:BL284)), FALSE), {""charttype"",""column""; ""color"",""chartreuse""; ""ymin"", 0; ""ymax"", 1.01; ""highcolo"&amp;"r"", ""darkgreen""; ""lowcolor"", ""red""}), """")"),"")</f>
        <v/>
      </c>
      <c r="B284" s="17" t="str">
        <f t="shared" si="4"/>
        <v/>
      </c>
      <c r="C284" s="1" t="s">
        <v>1343</v>
      </c>
      <c r="D284" s="34" t="str">
        <f>IFERROR(__xludf.DUMMYFUNCTION("IFERROR(GOOGLEFINANCE(C284, ""NAME""))"),"Raymond James Financial Inc")</f>
        <v>Raymond James Financial Inc</v>
      </c>
      <c r="E284" s="30" t="s">
        <v>64</v>
      </c>
      <c r="F284" s="33" t="str">
        <f>IFERROR(__xludf.DUMMYFUNCTION("( (GOOGLEFINANCE(C284, ""price"") - Q284) / Q284 ) / (R284 / 100)"),"Loading...")</f>
        <v>Loading...</v>
      </c>
      <c r="G284" s="20" t="str">
        <f>IFERROR(__xludf.DUMMYFUNCTION("AVERAGE(ARRAYFORMULA(100 * (QUERY(GOOGLEFINANCE(C284, ""high"", TODAY()-40, TODAY()), ""SELECT Col2 WHERE Col2 IS NOT NULL ORDER BY Col1 DESC LIMIT 20"", 0) / QUERY(GOOGLEFINANCE(C284, ""low"", TODAY()-40, TODAY()), ""SELECT Col2 WHERE Col2 IS NOT NULL OR"&amp;"DER BY Col1 DESC LIMIT 20"", 0) - 1)))"),"#N/A")</f>
        <v>#N/A</v>
      </c>
      <c r="H284" s="35" t="str">
        <f t="shared" si="6"/>
        <v/>
      </c>
      <c r="I284" s="36" t="str">
        <f t="shared" si="7"/>
        <v/>
      </c>
      <c r="J284" s="37" t="str">
        <f>IFERROR(__xludf.DUMMYFUNCTION("IFERROR(
  IF(C284="""",, 
    IFERROR(
      GOOGLEFINANCE(C284, ""price"") * GOOGLEFINANCE(C284, ""volumeavg""), 
      GOOGLEFINANCE(C284, ""price"") * AVERAGE(QUERY(GOOGLEFINANCE(C284, ""volume"", TODAY()-40, TODAY()), ""SELECT Col2 WHERE Col2 IS NOT "&amp;"NULL ORDER BY Col1 DESC LIMIT 20"", 0))
    )
  ), 
"""")"),"")</f>
        <v/>
      </c>
      <c r="K284" s="21" t="str">
        <f>IFERROR(__xludf.DUMMYFUNCTION("IFERROR(GOOGLEFINANCE(C284, ""changepct"") / 100, """")"),"")</f>
        <v/>
      </c>
      <c r="L284" s="21" t="str">
        <f>IFERROR(__xludf.DUMMYFUNCTION("IFERROR((GOOGLEFINANCE(C284, ""price"") / INDEX(GOOGLEFINANCE(C284, ""price"", TODAY()-7, TODAY()), 2, 2)) - 1, """")"),"")</f>
        <v/>
      </c>
      <c r="M284" s="21" t="str">
        <f>IFERROR(__xludf.DUMMYFUNCTION("IFERROR((GOOGLEFINANCE(C284, ""price"") / INDEX(GOOGLEFINANCE(C284, ""price"", EDATE(TODAY(), -1), TODAY()), 2, 2)) - 1, """")"),"")</f>
        <v/>
      </c>
      <c r="N284" s="21" t="str">
        <f>IFERROR(__xludf.DUMMYFUNCTION("IFERROR((GOOGLEFINANCE(C284, ""price"") / INDEX(GOOGLEFINANCE(C284, ""price"", EDATE(TODAY(), -3), TODAY()), 2, 2)) - 1, """")"),"")</f>
        <v/>
      </c>
      <c r="O284" s="21" t="str">
        <f>IFERROR(__xludf.DUMMYFUNCTION("IFERROR((GOOGLEFINANCE(C284, ""price"") / INDEX(GOOGLEFINANCE(C284, ""price"", EDATE(TODAY(), -6), TODAY()), 2, 2)) - 1, """")"),"")</f>
        <v/>
      </c>
      <c r="P284" s="21" t="str">
        <f>IFERROR(__xludf.DUMMYFUNCTION("IFERROR((GOOGLEFINANCE(C284, ""price"") / INDEX(GOOGLEFINANCE(C284, ""price"", EDATE(TODAY(), -12), TODAY()), 2, 2)) - 1, """")"),"")</f>
        <v/>
      </c>
      <c r="Q284" s="6" t="str">
        <f>IFERROR(__xludf.DUMMYFUNCTION("AVERAGE(QUERY(GOOGLEFINANCE(C284, ""price"", TODAY()-80, TODAY()), ""SELECT Col2 WHERE Col2 IS NOT NULL ORDER BY Col1 DESC LIMIT 50"", 0))"),"#N/A")</f>
        <v>#N/A</v>
      </c>
      <c r="R284" s="24" t="str">
        <f>IFERROR(__xludf.DUMMYFUNCTION("IFERROR(
  LET(
    data, QUERY(GOOGLEFINANCE(C284,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GOOGLEFINANCE(C284, ""price"")) * 100,
    IF(calc=0, G284, calc)
  ), 
G284)"),"#N/A")</f>
        <v>#N/A</v>
      </c>
      <c r="S284" s="8" t="s">
        <v>15</v>
      </c>
      <c r="T284" s="26" t="str">
        <f>IFERROR(__xludf.DUMMYFUNCTION("IFERROR(TRANSPOSE(QUERY(IFERROR(SORT(GOOGLEFINANCE(C284, ""price"", WORKDAY(TODAY(), -40), TODAY()), 1, FALSE)), ""select Col2 where Col2 is not null limit 22 label Col2 ''"", 0)), """")"),"")</f>
        <v/>
      </c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8"/>
      <c r="AO284" s="28"/>
      <c r="AP284" s="29"/>
      <c r="AQ284" s="29" t="str">
        <f t="shared" ref="AQ284:BL284" si="287">T284/T$2</f>
        <v>#N/A</v>
      </c>
      <c r="AR284" s="29" t="str">
        <f t="shared" si="287"/>
        <v>#DIV/0!</v>
      </c>
      <c r="AS284" s="29" t="str">
        <f t="shared" si="287"/>
        <v>#DIV/0!</v>
      </c>
      <c r="AT284" s="29" t="str">
        <f t="shared" si="287"/>
        <v>#DIV/0!</v>
      </c>
      <c r="AU284" s="29" t="str">
        <f t="shared" si="287"/>
        <v>#DIV/0!</v>
      </c>
      <c r="AV284" s="29" t="str">
        <f t="shared" si="287"/>
        <v>#DIV/0!</v>
      </c>
      <c r="AW284" s="29" t="str">
        <f t="shared" si="287"/>
        <v>#DIV/0!</v>
      </c>
      <c r="AX284" s="29" t="str">
        <f t="shared" si="287"/>
        <v>#DIV/0!</v>
      </c>
      <c r="AY284" s="29" t="str">
        <f t="shared" si="287"/>
        <v>#DIV/0!</v>
      </c>
      <c r="AZ284" s="29" t="str">
        <f t="shared" si="287"/>
        <v>#DIV/0!</v>
      </c>
      <c r="BA284" s="29" t="str">
        <f t="shared" si="287"/>
        <v>#DIV/0!</v>
      </c>
      <c r="BB284" s="29" t="str">
        <f t="shared" si="287"/>
        <v>#DIV/0!</v>
      </c>
      <c r="BC284" s="29" t="str">
        <f t="shared" si="287"/>
        <v>#DIV/0!</v>
      </c>
      <c r="BD284" s="29" t="str">
        <f t="shared" si="287"/>
        <v>#DIV/0!</v>
      </c>
      <c r="BE284" s="29" t="str">
        <f t="shared" si="287"/>
        <v>#DIV/0!</v>
      </c>
      <c r="BF284" s="29" t="str">
        <f t="shared" si="287"/>
        <v>#DIV/0!</v>
      </c>
      <c r="BG284" s="29" t="str">
        <f t="shared" si="287"/>
        <v>#DIV/0!</v>
      </c>
      <c r="BH284" s="29" t="str">
        <f t="shared" si="287"/>
        <v>#DIV/0!</v>
      </c>
      <c r="BI284" s="29" t="str">
        <f t="shared" si="287"/>
        <v>#DIV/0!</v>
      </c>
      <c r="BJ284" s="29" t="str">
        <f t="shared" si="287"/>
        <v>#DIV/0!</v>
      </c>
      <c r="BK284" s="29" t="str">
        <f t="shared" si="287"/>
        <v>#DIV/0!</v>
      </c>
      <c r="BL284" s="29" t="str">
        <f t="shared" si="287"/>
        <v>#DIV/0!</v>
      </c>
      <c r="BM284" s="29" t="str">
        <f t="shared" si="3"/>
        <v>#DIV/0!</v>
      </c>
    </row>
    <row r="285">
      <c r="A285" s="16" t="str">
        <f>IFERROR(__xludf.DUMMYFUNCTION("IFERROR(SPARKLINE(SORT(MAP(TRANSPOSE(AQ285:BL285), LAMBDA(val, IF(ISNUMBER(val), PERCENTRANK(AQ285:BL285, val)+0.01, 0))), SEQUENCE(COLUMNS(AQ285:BL285)), FALSE), {""charttype"",""column""; ""color"",""chartreuse""; ""ymin"", 0; ""ymax"", 1.01; ""highcolo"&amp;"r"", ""darkgreen""; ""lowcolor"", ""red""}), """")"),"")</f>
        <v/>
      </c>
      <c r="B285" s="17" t="str">
        <f t="shared" si="4"/>
        <v/>
      </c>
      <c r="C285" s="1" t="s">
        <v>1348</v>
      </c>
      <c r="D285" s="34" t="str">
        <f>IFERROR(__xludf.DUMMYFUNCTION("IFERROR(GOOGLEFINANCE(C285, ""NAME""))"),"Nuveen Churchill Direct Lending Corp")</f>
        <v>Nuveen Churchill Direct Lending Corp</v>
      </c>
      <c r="E285" s="30" t="s">
        <v>64</v>
      </c>
      <c r="F285" s="33" t="str">
        <f>IFERROR(__xludf.DUMMYFUNCTION("( (GOOGLEFINANCE(C285, ""price"") - Q285) / Q285 ) / (R285 / 100)"),"Loading...")</f>
        <v>Loading...</v>
      </c>
      <c r="G285" s="20" t="str">
        <f>IFERROR(__xludf.DUMMYFUNCTION("AVERAGE(ARRAYFORMULA(100 * (QUERY(GOOGLEFINANCE(C285, ""high"", TODAY()-40, TODAY()), ""SELECT Col2 WHERE Col2 IS NOT NULL ORDER BY Col1 DESC LIMIT 20"", 0) / QUERY(GOOGLEFINANCE(C285, ""low"", TODAY()-40, TODAY()), ""SELECT Col2 WHERE Col2 IS NOT NULL OR"&amp;"DER BY Col1 DESC LIMIT 20"", 0) - 1)))"),"#N/A")</f>
        <v>#N/A</v>
      </c>
      <c r="H285" s="35" t="str">
        <f t="shared" si="6"/>
        <v/>
      </c>
      <c r="I285" s="36" t="str">
        <f t="shared" si="7"/>
        <v/>
      </c>
      <c r="J285" s="37" t="str">
        <f>IFERROR(__xludf.DUMMYFUNCTION("IFERROR(
  IF(C285="""",, 
    IFERROR(
      GOOGLEFINANCE(C285, ""price"") * GOOGLEFINANCE(C285, ""volumeavg""), 
      GOOGLEFINANCE(C285, ""price"") * AVERAGE(QUERY(GOOGLEFINANCE(C285, ""volume"", TODAY()-40, TODAY()), ""SELECT Col2 WHERE Col2 IS NOT "&amp;"NULL ORDER BY Col1 DESC LIMIT 20"", 0))
    )
  ), 
"""")"),"")</f>
        <v/>
      </c>
      <c r="K285" s="21" t="str">
        <f>IFERROR(__xludf.DUMMYFUNCTION("IFERROR(GOOGLEFINANCE(C285, ""changepct"") / 100, """")"),"")</f>
        <v/>
      </c>
      <c r="L285" s="21" t="str">
        <f>IFERROR(__xludf.DUMMYFUNCTION("IFERROR((GOOGLEFINANCE(C285, ""price"") / INDEX(GOOGLEFINANCE(C285, ""price"", TODAY()-7, TODAY()), 2, 2)) - 1, """")"),"")</f>
        <v/>
      </c>
      <c r="M285" s="21" t="str">
        <f>IFERROR(__xludf.DUMMYFUNCTION("IFERROR((GOOGLEFINANCE(C285, ""price"") / INDEX(GOOGLEFINANCE(C285, ""price"", EDATE(TODAY(), -1), TODAY()), 2, 2)) - 1, """")"),"")</f>
        <v/>
      </c>
      <c r="N285" s="21" t="str">
        <f>IFERROR(__xludf.DUMMYFUNCTION("IFERROR((GOOGLEFINANCE(C285, ""price"") / INDEX(GOOGLEFINANCE(C285, ""price"", EDATE(TODAY(), -3), TODAY()), 2, 2)) - 1, """")"),"")</f>
        <v/>
      </c>
      <c r="O285" s="21" t="str">
        <f>IFERROR(__xludf.DUMMYFUNCTION("IFERROR((GOOGLEFINANCE(C285, ""price"") / INDEX(GOOGLEFINANCE(C285, ""price"", EDATE(TODAY(), -6), TODAY()), 2, 2)) - 1, """")"),"")</f>
        <v/>
      </c>
      <c r="P285" s="21" t="str">
        <f>IFERROR(__xludf.DUMMYFUNCTION("IFERROR((GOOGLEFINANCE(C285, ""price"") / INDEX(GOOGLEFINANCE(C285, ""price"", EDATE(TODAY(), -12), TODAY()), 2, 2)) - 1, """")"),"")</f>
        <v/>
      </c>
      <c r="Q285" s="6" t="str">
        <f>IFERROR(__xludf.DUMMYFUNCTION("AVERAGE(QUERY(GOOGLEFINANCE(C285, ""price"", TODAY()-80, TODAY()), ""SELECT Col2 WHERE Col2 IS NOT NULL ORDER BY Col1 DESC LIMIT 50"", 0))"),"#N/A")</f>
        <v>#N/A</v>
      </c>
      <c r="R285" s="24" t="str">
        <f>IFERROR(__xludf.DUMMYFUNCTION("IFERROR(
  LET(
    data, QUERY(GOOGLEFINANCE(C285,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GOOGLEFINANCE(C285, ""price"")) * 100,
    IF(calc=0, G285, calc)
  ), 
G285)"),"#N/A")</f>
        <v>#N/A</v>
      </c>
      <c r="S285" s="8" t="s">
        <v>15</v>
      </c>
      <c r="T285" s="26" t="str">
        <f>IFERROR(__xludf.DUMMYFUNCTION("IFERROR(TRANSPOSE(QUERY(IFERROR(SORT(GOOGLEFINANCE(C285, ""price"", WORKDAY(TODAY(), -40), TODAY()), 1, FALSE)), ""select Col2 where Col2 is not null limit 22 label Col2 ''"", 0)), """")"),"")</f>
        <v/>
      </c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8"/>
      <c r="AO285" s="28"/>
      <c r="AP285" s="29"/>
      <c r="AQ285" s="29" t="str">
        <f t="shared" ref="AQ285:BL285" si="288">T285/T$2</f>
        <v>#N/A</v>
      </c>
      <c r="AR285" s="29" t="str">
        <f t="shared" si="288"/>
        <v>#DIV/0!</v>
      </c>
      <c r="AS285" s="29" t="str">
        <f t="shared" si="288"/>
        <v>#DIV/0!</v>
      </c>
      <c r="AT285" s="29" t="str">
        <f t="shared" si="288"/>
        <v>#DIV/0!</v>
      </c>
      <c r="AU285" s="29" t="str">
        <f t="shared" si="288"/>
        <v>#DIV/0!</v>
      </c>
      <c r="AV285" s="29" t="str">
        <f t="shared" si="288"/>
        <v>#DIV/0!</v>
      </c>
      <c r="AW285" s="29" t="str">
        <f t="shared" si="288"/>
        <v>#DIV/0!</v>
      </c>
      <c r="AX285" s="29" t="str">
        <f t="shared" si="288"/>
        <v>#DIV/0!</v>
      </c>
      <c r="AY285" s="29" t="str">
        <f t="shared" si="288"/>
        <v>#DIV/0!</v>
      </c>
      <c r="AZ285" s="29" t="str">
        <f t="shared" si="288"/>
        <v>#DIV/0!</v>
      </c>
      <c r="BA285" s="29" t="str">
        <f t="shared" si="288"/>
        <v>#DIV/0!</v>
      </c>
      <c r="BB285" s="29" t="str">
        <f t="shared" si="288"/>
        <v>#DIV/0!</v>
      </c>
      <c r="BC285" s="29" t="str">
        <f t="shared" si="288"/>
        <v>#DIV/0!</v>
      </c>
      <c r="BD285" s="29" t="str">
        <f t="shared" si="288"/>
        <v>#DIV/0!</v>
      </c>
      <c r="BE285" s="29" t="str">
        <f t="shared" si="288"/>
        <v>#DIV/0!</v>
      </c>
      <c r="BF285" s="29" t="str">
        <f t="shared" si="288"/>
        <v>#DIV/0!</v>
      </c>
      <c r="BG285" s="29" t="str">
        <f t="shared" si="288"/>
        <v>#DIV/0!</v>
      </c>
      <c r="BH285" s="29" t="str">
        <f t="shared" si="288"/>
        <v>#DIV/0!</v>
      </c>
      <c r="BI285" s="29" t="str">
        <f t="shared" si="288"/>
        <v>#DIV/0!</v>
      </c>
      <c r="BJ285" s="29" t="str">
        <f t="shared" si="288"/>
        <v>#DIV/0!</v>
      </c>
      <c r="BK285" s="29" t="str">
        <f t="shared" si="288"/>
        <v>#DIV/0!</v>
      </c>
      <c r="BL285" s="29" t="str">
        <f t="shared" si="288"/>
        <v>#DIV/0!</v>
      </c>
      <c r="BM285" s="29" t="str">
        <f t="shared" si="3"/>
        <v>#DIV/0!</v>
      </c>
    </row>
    <row r="286">
      <c r="A286" s="16" t="str">
        <f>IFERROR(__xludf.DUMMYFUNCTION("IFERROR(SPARKLINE(SORT(MAP(TRANSPOSE(AQ286:BL286), LAMBDA(val, IF(ISNUMBER(val), PERCENTRANK(AQ286:BL286, val)+0.01, 0))), SEQUENCE(COLUMNS(AQ286:BL286)), FALSE), {""charttype"",""column""; ""color"",""chartreuse""; ""ymin"", 0; ""ymax"", 1.01; ""highcolo"&amp;"r"", ""darkgreen""; ""lowcolor"", ""red""}), """")"),"")</f>
        <v/>
      </c>
      <c r="B286" s="17" t="str">
        <f t="shared" si="4"/>
        <v/>
      </c>
      <c r="C286" s="1" t="s">
        <v>1355</v>
      </c>
      <c r="D286" s="34" t="str">
        <f>IFERROR(__xludf.DUMMYFUNCTION("IFERROR(GOOGLEFINANCE(C286, ""NAME""))"),"MidCap Financial Investment Corp")</f>
        <v>MidCap Financial Investment Corp</v>
      </c>
      <c r="E286" s="30" t="s">
        <v>64</v>
      </c>
      <c r="F286" s="33" t="str">
        <f>IFERROR(__xludf.DUMMYFUNCTION("( (GOOGLEFINANCE(C286, ""price"") - Q286) / Q286 ) / (R286 / 100)"),"Loading...")</f>
        <v>Loading...</v>
      </c>
      <c r="G286" s="20" t="str">
        <f>IFERROR(__xludf.DUMMYFUNCTION("AVERAGE(ARRAYFORMULA(100 * (QUERY(GOOGLEFINANCE(C286, ""high"", TODAY()-40, TODAY()), ""SELECT Col2 WHERE Col2 IS NOT NULL ORDER BY Col1 DESC LIMIT 20"", 0) / QUERY(GOOGLEFINANCE(C286, ""low"", TODAY()-40, TODAY()), ""SELECT Col2 WHERE Col2 IS NOT NULL OR"&amp;"DER BY Col1 DESC LIMIT 20"", 0) - 1)))"),"#N/A")</f>
        <v>#N/A</v>
      </c>
      <c r="H286" s="35" t="str">
        <f t="shared" si="6"/>
        <v/>
      </c>
      <c r="I286" s="36" t="str">
        <f t="shared" si="7"/>
        <v/>
      </c>
      <c r="J286" s="37" t="str">
        <f>IFERROR(__xludf.DUMMYFUNCTION("IFERROR(
  IF(C286="""",, 
    IFERROR(
      GOOGLEFINANCE(C286, ""price"") * GOOGLEFINANCE(C286, ""volumeavg""), 
      GOOGLEFINANCE(C286, ""price"") * AVERAGE(QUERY(GOOGLEFINANCE(C286, ""volume"", TODAY()-40, TODAY()), ""SELECT Col2 WHERE Col2 IS NOT "&amp;"NULL ORDER BY Col1 DESC LIMIT 20"", 0))
    )
  ), 
"""")"),"")</f>
        <v/>
      </c>
      <c r="K286" s="21" t="str">
        <f>IFERROR(__xludf.DUMMYFUNCTION("IFERROR(GOOGLEFINANCE(C286, ""changepct"") / 100, """")"),"")</f>
        <v/>
      </c>
      <c r="L286" s="21" t="str">
        <f>IFERROR(__xludf.DUMMYFUNCTION("IFERROR((GOOGLEFINANCE(C286, ""price"") / INDEX(GOOGLEFINANCE(C286, ""price"", TODAY()-7, TODAY()), 2, 2)) - 1, """")"),"")</f>
        <v/>
      </c>
      <c r="M286" s="21" t="str">
        <f>IFERROR(__xludf.DUMMYFUNCTION("IFERROR((GOOGLEFINANCE(C286, ""price"") / INDEX(GOOGLEFINANCE(C286, ""price"", EDATE(TODAY(), -1), TODAY()), 2, 2)) - 1, """")"),"")</f>
        <v/>
      </c>
      <c r="N286" s="21" t="str">
        <f>IFERROR(__xludf.DUMMYFUNCTION("IFERROR((GOOGLEFINANCE(C286, ""price"") / INDEX(GOOGLEFINANCE(C286, ""price"", EDATE(TODAY(), -3), TODAY()), 2, 2)) - 1, """")"),"")</f>
        <v/>
      </c>
      <c r="O286" s="21" t="str">
        <f>IFERROR(__xludf.DUMMYFUNCTION("IFERROR((GOOGLEFINANCE(C286, ""price"") / INDEX(GOOGLEFINANCE(C286, ""price"", EDATE(TODAY(), -6), TODAY()), 2, 2)) - 1, """")"),"")</f>
        <v/>
      </c>
      <c r="P286" s="21" t="str">
        <f>IFERROR(__xludf.DUMMYFUNCTION("IFERROR((GOOGLEFINANCE(C286, ""price"") / INDEX(GOOGLEFINANCE(C286, ""price"", EDATE(TODAY(), -12), TODAY()), 2, 2)) - 1, """")"),"")</f>
        <v/>
      </c>
      <c r="Q286" s="6" t="str">
        <f>IFERROR(__xludf.DUMMYFUNCTION("AVERAGE(QUERY(GOOGLEFINANCE(C286, ""price"", TODAY()-80, TODAY()), ""SELECT Col2 WHERE Col2 IS NOT NULL ORDER BY Col1 DESC LIMIT 50"", 0))"),"#N/A")</f>
        <v>#N/A</v>
      </c>
      <c r="R286" s="24" t="str">
        <f>IFERROR(__xludf.DUMMYFUNCTION("IFERROR(
  LET(
    data, QUERY(GOOGLEFINANCE(C286,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GOOGLEFINANCE(C286, ""price"")) * 100,
    IF(calc=0, G286, calc)
  ), 
G286)"),"#N/A")</f>
        <v>#N/A</v>
      </c>
      <c r="S286" s="8" t="s">
        <v>15</v>
      </c>
      <c r="T286" s="26" t="str">
        <f>IFERROR(__xludf.DUMMYFUNCTION("IFERROR(TRANSPOSE(QUERY(IFERROR(SORT(GOOGLEFINANCE(C286, ""price"", WORKDAY(TODAY(), -40), TODAY()), 1, FALSE)), ""select Col2 where Col2 is not null limit 22 label Col2 ''"", 0)), """")"),"")</f>
        <v/>
      </c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8"/>
      <c r="AO286" s="28"/>
      <c r="AP286" s="29"/>
      <c r="AQ286" s="29" t="str">
        <f t="shared" ref="AQ286:BL286" si="289">T286/T$2</f>
        <v>#N/A</v>
      </c>
      <c r="AR286" s="29" t="str">
        <f t="shared" si="289"/>
        <v>#DIV/0!</v>
      </c>
      <c r="AS286" s="29" t="str">
        <f t="shared" si="289"/>
        <v>#DIV/0!</v>
      </c>
      <c r="AT286" s="29" t="str">
        <f t="shared" si="289"/>
        <v>#DIV/0!</v>
      </c>
      <c r="AU286" s="29" t="str">
        <f t="shared" si="289"/>
        <v>#DIV/0!</v>
      </c>
      <c r="AV286" s="29" t="str">
        <f t="shared" si="289"/>
        <v>#DIV/0!</v>
      </c>
      <c r="AW286" s="29" t="str">
        <f t="shared" si="289"/>
        <v>#DIV/0!</v>
      </c>
      <c r="AX286" s="29" t="str">
        <f t="shared" si="289"/>
        <v>#DIV/0!</v>
      </c>
      <c r="AY286" s="29" t="str">
        <f t="shared" si="289"/>
        <v>#DIV/0!</v>
      </c>
      <c r="AZ286" s="29" t="str">
        <f t="shared" si="289"/>
        <v>#DIV/0!</v>
      </c>
      <c r="BA286" s="29" t="str">
        <f t="shared" si="289"/>
        <v>#DIV/0!</v>
      </c>
      <c r="BB286" s="29" t="str">
        <f t="shared" si="289"/>
        <v>#DIV/0!</v>
      </c>
      <c r="BC286" s="29" t="str">
        <f t="shared" si="289"/>
        <v>#DIV/0!</v>
      </c>
      <c r="BD286" s="29" t="str">
        <f t="shared" si="289"/>
        <v>#DIV/0!</v>
      </c>
      <c r="BE286" s="29" t="str">
        <f t="shared" si="289"/>
        <v>#DIV/0!</v>
      </c>
      <c r="BF286" s="29" t="str">
        <f t="shared" si="289"/>
        <v>#DIV/0!</v>
      </c>
      <c r="BG286" s="29" t="str">
        <f t="shared" si="289"/>
        <v>#DIV/0!</v>
      </c>
      <c r="BH286" s="29" t="str">
        <f t="shared" si="289"/>
        <v>#DIV/0!</v>
      </c>
      <c r="BI286" s="29" t="str">
        <f t="shared" si="289"/>
        <v>#DIV/0!</v>
      </c>
      <c r="BJ286" s="29" t="str">
        <f t="shared" si="289"/>
        <v>#DIV/0!</v>
      </c>
      <c r="BK286" s="29" t="str">
        <f t="shared" si="289"/>
        <v>#DIV/0!</v>
      </c>
      <c r="BL286" s="29" t="str">
        <f t="shared" si="289"/>
        <v>#DIV/0!</v>
      </c>
      <c r="BM286" s="29" t="str">
        <f t="shared" si="3"/>
        <v>#DIV/0!</v>
      </c>
    </row>
    <row r="287">
      <c r="A287" s="16" t="str">
        <f>IFERROR(__xludf.DUMMYFUNCTION("IFERROR(SPARKLINE(SORT(MAP(TRANSPOSE(AQ287:BL287), LAMBDA(val, IF(ISNUMBER(val), PERCENTRANK(AQ287:BL287, val)+0.01, 0))), SEQUENCE(COLUMNS(AQ287:BL287)), FALSE), {""charttype"",""column""; ""color"",""chartreuse""; ""ymin"", 0; ""ymax"", 1.01; ""highcolo"&amp;"r"", ""darkgreen""; ""lowcolor"", ""red""}), """")"),"")</f>
        <v/>
      </c>
      <c r="B287" s="17" t="str">
        <f t="shared" si="4"/>
        <v/>
      </c>
      <c r="C287" s="1" t="s">
        <v>1359</v>
      </c>
      <c r="D287" s="34" t="str">
        <f>IFERROR(__xludf.DUMMYFUNCTION("IFERROR(GOOGLEFINANCE(C287, ""NAME""))"),"Pinnacle Financial Partners Inc Tenness")</f>
        <v>Pinnacle Financial Partners Inc Tenness</v>
      </c>
      <c r="E287" s="30" t="s">
        <v>268</v>
      </c>
      <c r="F287" s="33" t="str">
        <f>IFERROR(__xludf.DUMMYFUNCTION("( (GOOGLEFINANCE(C287, ""price"") - Q287) / Q287 ) / (R287 / 100)"),"Loading...")</f>
        <v>Loading...</v>
      </c>
      <c r="G287" s="20" t="str">
        <f>IFERROR(__xludf.DUMMYFUNCTION("AVERAGE(ARRAYFORMULA(100 * (QUERY(GOOGLEFINANCE(C287, ""high"", TODAY()-40, TODAY()), ""SELECT Col2 WHERE Col2 IS NOT NULL ORDER BY Col1 DESC LIMIT 20"", 0) / QUERY(GOOGLEFINANCE(C287, ""low"", TODAY()-40, TODAY()), ""SELECT Col2 WHERE Col2 IS NOT NULL OR"&amp;"DER BY Col1 DESC LIMIT 20"", 0) - 1)))"),"#N/A")</f>
        <v>#N/A</v>
      </c>
      <c r="H287" s="35" t="str">
        <f t="shared" si="6"/>
        <v/>
      </c>
      <c r="I287" s="36" t="str">
        <f t="shared" si="7"/>
        <v/>
      </c>
      <c r="J287" s="37" t="str">
        <f>IFERROR(__xludf.DUMMYFUNCTION("IFERROR(
  IF(C287="""",, 
    IFERROR(
      GOOGLEFINANCE(C287, ""price"") * GOOGLEFINANCE(C287, ""volumeavg""), 
      GOOGLEFINANCE(C287, ""price"") * AVERAGE(QUERY(GOOGLEFINANCE(C287, ""volume"", TODAY()-40, TODAY()), ""SELECT Col2 WHERE Col2 IS NOT "&amp;"NULL ORDER BY Col1 DESC LIMIT 20"", 0))
    )
  ), 
"""")"),"")</f>
        <v/>
      </c>
      <c r="K287" s="21" t="str">
        <f>IFERROR(__xludf.DUMMYFUNCTION("IFERROR(GOOGLEFINANCE(C287, ""changepct"") / 100, """")"),"")</f>
        <v/>
      </c>
      <c r="L287" s="21" t="str">
        <f>IFERROR(__xludf.DUMMYFUNCTION("IFERROR((GOOGLEFINANCE(C287, ""price"") / INDEX(GOOGLEFINANCE(C287, ""price"", TODAY()-7, TODAY()), 2, 2)) - 1, """")"),"")</f>
        <v/>
      </c>
      <c r="M287" s="21" t="str">
        <f>IFERROR(__xludf.DUMMYFUNCTION("IFERROR((GOOGLEFINANCE(C287, ""price"") / INDEX(GOOGLEFINANCE(C287, ""price"", EDATE(TODAY(), -1), TODAY()), 2, 2)) - 1, """")"),"")</f>
        <v/>
      </c>
      <c r="N287" s="21" t="str">
        <f>IFERROR(__xludf.DUMMYFUNCTION("IFERROR((GOOGLEFINANCE(C287, ""price"") / INDEX(GOOGLEFINANCE(C287, ""price"", EDATE(TODAY(), -3), TODAY()), 2, 2)) - 1, """")"),"")</f>
        <v/>
      </c>
      <c r="O287" s="21" t="str">
        <f>IFERROR(__xludf.DUMMYFUNCTION("IFERROR((GOOGLEFINANCE(C287, ""price"") / INDEX(GOOGLEFINANCE(C287, ""price"", EDATE(TODAY(), -6), TODAY()), 2, 2)) - 1, """")"),"")</f>
        <v/>
      </c>
      <c r="P287" s="21" t="str">
        <f>IFERROR(__xludf.DUMMYFUNCTION("IFERROR((GOOGLEFINANCE(C287, ""price"") / INDEX(GOOGLEFINANCE(C287, ""price"", EDATE(TODAY(), -12), TODAY()), 2, 2)) - 1, """")"),"")</f>
        <v/>
      </c>
      <c r="Q287" s="6" t="str">
        <f>IFERROR(__xludf.DUMMYFUNCTION("AVERAGE(QUERY(GOOGLEFINANCE(C287, ""price"", TODAY()-80, TODAY()), ""SELECT Col2 WHERE Col2 IS NOT NULL ORDER BY Col1 DESC LIMIT 50"", 0))"),"#N/A")</f>
        <v>#N/A</v>
      </c>
      <c r="R287" s="24" t="str">
        <f>IFERROR(__xludf.DUMMYFUNCTION("IFERROR(
  LET(
    data, QUERY(GOOGLEFINANCE(C287,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GOOGLEFINANCE(C287, ""price"")) * 100,
    IF(calc=0, G287, calc)
  ), 
G287)"),"#N/A")</f>
        <v>#N/A</v>
      </c>
      <c r="S287" s="8" t="s">
        <v>15</v>
      </c>
      <c r="T287" s="26" t="str">
        <f>IFERROR(__xludf.DUMMYFUNCTION("IFERROR(TRANSPOSE(QUERY(IFERROR(SORT(GOOGLEFINANCE(C287, ""price"", WORKDAY(TODAY(), -40), TODAY()), 1, FALSE)), ""select Col2 where Col2 is not null limit 22 label Col2 ''"", 0)), """")"),"")</f>
        <v/>
      </c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8"/>
      <c r="AO287" s="28"/>
      <c r="AP287" s="29"/>
      <c r="AQ287" s="29" t="str">
        <f t="shared" ref="AQ287:BL287" si="290">T287/T$2</f>
        <v>#N/A</v>
      </c>
      <c r="AR287" s="29" t="str">
        <f t="shared" si="290"/>
        <v>#DIV/0!</v>
      </c>
      <c r="AS287" s="29" t="str">
        <f t="shared" si="290"/>
        <v>#DIV/0!</v>
      </c>
      <c r="AT287" s="29" t="str">
        <f t="shared" si="290"/>
        <v>#DIV/0!</v>
      </c>
      <c r="AU287" s="29" t="str">
        <f t="shared" si="290"/>
        <v>#DIV/0!</v>
      </c>
      <c r="AV287" s="29" t="str">
        <f t="shared" si="290"/>
        <v>#DIV/0!</v>
      </c>
      <c r="AW287" s="29" t="str">
        <f t="shared" si="290"/>
        <v>#DIV/0!</v>
      </c>
      <c r="AX287" s="29" t="str">
        <f t="shared" si="290"/>
        <v>#DIV/0!</v>
      </c>
      <c r="AY287" s="29" t="str">
        <f t="shared" si="290"/>
        <v>#DIV/0!</v>
      </c>
      <c r="AZ287" s="29" t="str">
        <f t="shared" si="290"/>
        <v>#DIV/0!</v>
      </c>
      <c r="BA287" s="29" t="str">
        <f t="shared" si="290"/>
        <v>#DIV/0!</v>
      </c>
      <c r="BB287" s="29" t="str">
        <f t="shared" si="290"/>
        <v>#DIV/0!</v>
      </c>
      <c r="BC287" s="29" t="str">
        <f t="shared" si="290"/>
        <v>#DIV/0!</v>
      </c>
      <c r="BD287" s="29" t="str">
        <f t="shared" si="290"/>
        <v>#DIV/0!</v>
      </c>
      <c r="BE287" s="29" t="str">
        <f t="shared" si="290"/>
        <v>#DIV/0!</v>
      </c>
      <c r="BF287" s="29" t="str">
        <f t="shared" si="290"/>
        <v>#DIV/0!</v>
      </c>
      <c r="BG287" s="29" t="str">
        <f t="shared" si="290"/>
        <v>#DIV/0!</v>
      </c>
      <c r="BH287" s="29" t="str">
        <f t="shared" si="290"/>
        <v>#DIV/0!</v>
      </c>
      <c r="BI287" s="29" t="str">
        <f t="shared" si="290"/>
        <v>#DIV/0!</v>
      </c>
      <c r="BJ287" s="29" t="str">
        <f t="shared" si="290"/>
        <v>#DIV/0!</v>
      </c>
      <c r="BK287" s="29" t="str">
        <f t="shared" si="290"/>
        <v>#DIV/0!</v>
      </c>
      <c r="BL287" s="29" t="str">
        <f t="shared" si="290"/>
        <v>#DIV/0!</v>
      </c>
      <c r="BM287" s="29" t="str">
        <f t="shared" si="3"/>
        <v>#DIV/0!</v>
      </c>
    </row>
    <row r="288">
      <c r="A288" s="16" t="str">
        <f>IFERROR(__xludf.DUMMYFUNCTION("IFERROR(SPARKLINE(SORT(MAP(TRANSPOSE(AQ288:BL288), LAMBDA(val, IF(ISNUMBER(val), PERCENTRANK(AQ288:BL288, val)+0.01, 0))), SEQUENCE(COLUMNS(AQ288:BL288)), FALSE), {""charttype"",""column""; ""color"",""chartreuse""; ""ymin"", 0; ""ymax"", 1.01; ""highcolo"&amp;"r"", ""darkgreen""; ""lowcolor"", ""red""}), """")"),"")</f>
        <v/>
      </c>
      <c r="B288" s="17" t="str">
        <f t="shared" si="4"/>
        <v/>
      </c>
      <c r="C288" s="1" t="s">
        <v>1363</v>
      </c>
      <c r="D288" s="34" t="str">
        <f>IFERROR(__xludf.DUMMYFUNCTION("IFERROR(GOOGLEFINANCE(C288, ""NAME""))"),"Nomura Holdings Inc")</f>
        <v>Nomura Holdings Inc</v>
      </c>
      <c r="E288" s="30" t="s">
        <v>77</v>
      </c>
      <c r="F288" s="33" t="str">
        <f>IFERROR(__xludf.DUMMYFUNCTION("( (GOOGLEFINANCE(C288, ""price"") - Q288) / Q288 ) / (R288 / 100)"),"Loading...")</f>
        <v>Loading...</v>
      </c>
      <c r="G288" s="20" t="str">
        <f>IFERROR(__xludf.DUMMYFUNCTION("AVERAGE(ARRAYFORMULA(100 * (QUERY(GOOGLEFINANCE(C288, ""high"", TODAY()-40, TODAY()), ""SELECT Col2 WHERE Col2 IS NOT NULL ORDER BY Col1 DESC LIMIT 20"", 0) / QUERY(GOOGLEFINANCE(C288, ""low"", TODAY()-40, TODAY()), ""SELECT Col2 WHERE Col2 IS NOT NULL OR"&amp;"DER BY Col1 DESC LIMIT 20"", 0) - 1)))"),"#N/A")</f>
        <v>#N/A</v>
      </c>
      <c r="H288" s="35" t="str">
        <f t="shared" si="6"/>
        <v/>
      </c>
      <c r="I288" s="36" t="str">
        <f t="shared" si="7"/>
        <v/>
      </c>
      <c r="J288" s="37" t="str">
        <f>IFERROR(__xludf.DUMMYFUNCTION("IFERROR(
  IF(C288="""",, 
    IFERROR(
      GOOGLEFINANCE(C288, ""price"") * GOOGLEFINANCE(C288, ""volumeavg""), 
      GOOGLEFINANCE(C288, ""price"") * AVERAGE(QUERY(GOOGLEFINANCE(C288, ""volume"", TODAY()-40, TODAY()), ""SELECT Col2 WHERE Col2 IS NOT "&amp;"NULL ORDER BY Col1 DESC LIMIT 20"", 0))
    )
  ), 
"""")"),"")</f>
        <v/>
      </c>
      <c r="K288" s="21" t="str">
        <f>IFERROR(__xludf.DUMMYFUNCTION("IFERROR(GOOGLEFINANCE(C288, ""changepct"") / 100, """")"),"")</f>
        <v/>
      </c>
      <c r="L288" s="21" t="str">
        <f>IFERROR(__xludf.DUMMYFUNCTION("IFERROR((GOOGLEFINANCE(C288, ""price"") / INDEX(GOOGLEFINANCE(C288, ""price"", TODAY()-7, TODAY()), 2, 2)) - 1, """")"),"")</f>
        <v/>
      </c>
      <c r="M288" s="21" t="str">
        <f>IFERROR(__xludf.DUMMYFUNCTION("IFERROR((GOOGLEFINANCE(C288, ""price"") / INDEX(GOOGLEFINANCE(C288, ""price"", EDATE(TODAY(), -1), TODAY()), 2, 2)) - 1, """")"),"")</f>
        <v/>
      </c>
      <c r="N288" s="21" t="str">
        <f>IFERROR(__xludf.DUMMYFUNCTION("IFERROR((GOOGLEFINANCE(C288, ""price"") / INDEX(GOOGLEFINANCE(C288, ""price"", EDATE(TODAY(), -3), TODAY()), 2, 2)) - 1, """")"),"")</f>
        <v/>
      </c>
      <c r="O288" s="21" t="str">
        <f>IFERROR(__xludf.DUMMYFUNCTION("IFERROR((GOOGLEFINANCE(C288, ""price"") / INDEX(GOOGLEFINANCE(C288, ""price"", EDATE(TODAY(), -6), TODAY()), 2, 2)) - 1, """")"),"")</f>
        <v/>
      </c>
      <c r="P288" s="21" t="str">
        <f>IFERROR(__xludf.DUMMYFUNCTION("IFERROR((GOOGLEFINANCE(C288, ""price"") / INDEX(GOOGLEFINANCE(C288, ""price"", EDATE(TODAY(), -12), TODAY()), 2, 2)) - 1, """")"),"")</f>
        <v/>
      </c>
      <c r="Q288" s="6" t="str">
        <f>IFERROR(__xludf.DUMMYFUNCTION("AVERAGE(QUERY(GOOGLEFINANCE(C288, ""price"", TODAY()-80, TODAY()), ""SELECT Col2 WHERE Col2 IS NOT NULL ORDER BY Col1 DESC LIMIT 50"", 0))"),"#N/A")</f>
        <v>#N/A</v>
      </c>
      <c r="R288" s="24" t="str">
        <f>IFERROR(__xludf.DUMMYFUNCTION("IFERROR(
  LET(
    data, QUERY(GOOGLEFINANCE(C288,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GOOGLEFINANCE(C288, ""price"")) * 100,
    IF(calc=0, G288, calc)
  ), 
G288)"),"#N/A")</f>
        <v>#N/A</v>
      </c>
      <c r="S288" s="8" t="s">
        <v>15</v>
      </c>
      <c r="T288" s="26" t="str">
        <f>IFERROR(__xludf.DUMMYFUNCTION("IFERROR(TRANSPOSE(QUERY(IFERROR(SORT(GOOGLEFINANCE(C288, ""price"", WORKDAY(TODAY(), -40), TODAY()), 1, FALSE)), ""select Col2 where Col2 is not null limit 22 label Col2 ''"", 0)), """")"),"")</f>
        <v/>
      </c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8"/>
      <c r="AO288" s="28"/>
      <c r="AP288" s="29"/>
      <c r="AQ288" s="29" t="str">
        <f t="shared" ref="AQ288:BL288" si="291">T288/T$2</f>
        <v>#N/A</v>
      </c>
      <c r="AR288" s="29" t="str">
        <f t="shared" si="291"/>
        <v>#DIV/0!</v>
      </c>
      <c r="AS288" s="29" t="str">
        <f t="shared" si="291"/>
        <v>#DIV/0!</v>
      </c>
      <c r="AT288" s="29" t="str">
        <f t="shared" si="291"/>
        <v>#DIV/0!</v>
      </c>
      <c r="AU288" s="29" t="str">
        <f t="shared" si="291"/>
        <v>#DIV/0!</v>
      </c>
      <c r="AV288" s="29" t="str">
        <f t="shared" si="291"/>
        <v>#DIV/0!</v>
      </c>
      <c r="AW288" s="29" t="str">
        <f t="shared" si="291"/>
        <v>#DIV/0!</v>
      </c>
      <c r="AX288" s="29" t="str">
        <f t="shared" si="291"/>
        <v>#DIV/0!</v>
      </c>
      <c r="AY288" s="29" t="str">
        <f t="shared" si="291"/>
        <v>#DIV/0!</v>
      </c>
      <c r="AZ288" s="29" t="str">
        <f t="shared" si="291"/>
        <v>#DIV/0!</v>
      </c>
      <c r="BA288" s="29" t="str">
        <f t="shared" si="291"/>
        <v>#DIV/0!</v>
      </c>
      <c r="BB288" s="29" t="str">
        <f t="shared" si="291"/>
        <v>#DIV/0!</v>
      </c>
      <c r="BC288" s="29" t="str">
        <f t="shared" si="291"/>
        <v>#DIV/0!</v>
      </c>
      <c r="BD288" s="29" t="str">
        <f t="shared" si="291"/>
        <v>#DIV/0!</v>
      </c>
      <c r="BE288" s="29" t="str">
        <f t="shared" si="291"/>
        <v>#DIV/0!</v>
      </c>
      <c r="BF288" s="29" t="str">
        <f t="shared" si="291"/>
        <v>#DIV/0!</v>
      </c>
      <c r="BG288" s="29" t="str">
        <f t="shared" si="291"/>
        <v>#DIV/0!</v>
      </c>
      <c r="BH288" s="29" t="str">
        <f t="shared" si="291"/>
        <v>#DIV/0!</v>
      </c>
      <c r="BI288" s="29" t="str">
        <f t="shared" si="291"/>
        <v>#DIV/0!</v>
      </c>
      <c r="BJ288" s="29" t="str">
        <f t="shared" si="291"/>
        <v>#DIV/0!</v>
      </c>
      <c r="BK288" s="29" t="str">
        <f t="shared" si="291"/>
        <v>#DIV/0!</v>
      </c>
      <c r="BL288" s="29" t="str">
        <f t="shared" si="291"/>
        <v>#DIV/0!</v>
      </c>
      <c r="BM288" s="29" t="str">
        <f t="shared" si="3"/>
        <v>#DIV/0!</v>
      </c>
    </row>
    <row r="289">
      <c r="A289" s="16" t="str">
        <f>IFERROR(__xludf.DUMMYFUNCTION("IFERROR(SPARKLINE(SORT(MAP(TRANSPOSE(AQ289:BL289), LAMBDA(val, IF(ISNUMBER(val), PERCENTRANK(AQ289:BL289, val)+0.01, 0))), SEQUENCE(COLUMNS(AQ289:BL289)), FALSE), {""charttype"",""column""; ""color"",""chartreuse""; ""ymin"", 0; ""ymax"", 1.01; ""highcolo"&amp;"r"", ""darkgreen""; ""lowcolor"", ""red""}), """")"),"")</f>
        <v/>
      </c>
      <c r="B289" s="17" t="str">
        <f t="shared" si="4"/>
        <v/>
      </c>
      <c r="C289" s="1" t="s">
        <v>1366</v>
      </c>
      <c r="D289" s="34" t="str">
        <f>IFERROR(__xludf.DUMMYFUNCTION("IFERROR(GOOGLEFINANCE(C289, ""NAME""))"),"Esquire Financial Holdings Inc")</f>
        <v>Esquire Financial Holdings Inc</v>
      </c>
      <c r="E289" s="30" t="s">
        <v>268</v>
      </c>
      <c r="F289" s="33" t="str">
        <f>IFERROR(__xludf.DUMMYFUNCTION("( (GOOGLEFINANCE(C289, ""price"") - Q289) / Q289 ) / (R289 / 100)"),"Loading...")</f>
        <v>Loading...</v>
      </c>
      <c r="G289" s="20" t="str">
        <f>IFERROR(__xludf.DUMMYFUNCTION("AVERAGE(ARRAYFORMULA(100 * (QUERY(GOOGLEFINANCE(C289, ""high"", TODAY()-40, TODAY()), ""SELECT Col2 WHERE Col2 IS NOT NULL ORDER BY Col1 DESC LIMIT 20"", 0) / QUERY(GOOGLEFINANCE(C289, ""low"", TODAY()-40, TODAY()), ""SELECT Col2 WHERE Col2 IS NOT NULL OR"&amp;"DER BY Col1 DESC LIMIT 20"", 0) - 1)))"),"#N/A")</f>
        <v>#N/A</v>
      </c>
      <c r="H289" s="35" t="str">
        <f t="shared" si="6"/>
        <v/>
      </c>
      <c r="I289" s="36" t="str">
        <f t="shared" si="7"/>
        <v/>
      </c>
      <c r="J289" s="37" t="str">
        <f>IFERROR(__xludf.DUMMYFUNCTION("IFERROR(
  IF(C289="""",, 
    IFERROR(
      GOOGLEFINANCE(C289, ""price"") * GOOGLEFINANCE(C289, ""volumeavg""), 
      GOOGLEFINANCE(C289, ""price"") * AVERAGE(QUERY(GOOGLEFINANCE(C289, ""volume"", TODAY()-40, TODAY()), ""SELECT Col2 WHERE Col2 IS NOT "&amp;"NULL ORDER BY Col1 DESC LIMIT 20"", 0))
    )
  ), 
"""")"),"")</f>
        <v/>
      </c>
      <c r="K289" s="21" t="str">
        <f>IFERROR(__xludf.DUMMYFUNCTION("IFERROR(GOOGLEFINANCE(C289, ""changepct"") / 100, """")"),"")</f>
        <v/>
      </c>
      <c r="L289" s="21" t="str">
        <f>IFERROR(__xludf.DUMMYFUNCTION("IFERROR((GOOGLEFINANCE(C289, ""price"") / INDEX(GOOGLEFINANCE(C289, ""price"", TODAY()-7, TODAY()), 2, 2)) - 1, """")"),"")</f>
        <v/>
      </c>
      <c r="M289" s="21" t="str">
        <f>IFERROR(__xludf.DUMMYFUNCTION("IFERROR((GOOGLEFINANCE(C289, ""price"") / INDEX(GOOGLEFINANCE(C289, ""price"", EDATE(TODAY(), -1), TODAY()), 2, 2)) - 1, """")"),"")</f>
        <v/>
      </c>
      <c r="N289" s="21" t="str">
        <f>IFERROR(__xludf.DUMMYFUNCTION("IFERROR((GOOGLEFINANCE(C289, ""price"") / INDEX(GOOGLEFINANCE(C289, ""price"", EDATE(TODAY(), -3), TODAY()), 2, 2)) - 1, """")"),"")</f>
        <v/>
      </c>
      <c r="O289" s="21" t="str">
        <f>IFERROR(__xludf.DUMMYFUNCTION("IFERROR((GOOGLEFINANCE(C289, ""price"") / INDEX(GOOGLEFINANCE(C289, ""price"", EDATE(TODAY(), -6), TODAY()), 2, 2)) - 1, """")"),"")</f>
        <v/>
      </c>
      <c r="P289" s="21" t="str">
        <f>IFERROR(__xludf.DUMMYFUNCTION("IFERROR((GOOGLEFINANCE(C289, ""price"") / INDEX(GOOGLEFINANCE(C289, ""price"", EDATE(TODAY(), -12), TODAY()), 2, 2)) - 1, """")"),"")</f>
        <v/>
      </c>
      <c r="Q289" s="6" t="str">
        <f>IFERROR(__xludf.DUMMYFUNCTION("AVERAGE(QUERY(GOOGLEFINANCE(C289, ""price"", TODAY()-80, TODAY()), ""SELECT Col2 WHERE Col2 IS NOT NULL ORDER BY Col1 DESC LIMIT 50"", 0))"),"#N/A")</f>
        <v>#N/A</v>
      </c>
      <c r="R289" s="24" t="str">
        <f>IFERROR(__xludf.DUMMYFUNCTION("IFERROR(
  LET(
    data, QUERY(GOOGLEFINANCE(C289,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GOOGLEFINANCE(C289, ""price"")) * 100,
    IF(calc=0, G289, calc)
  ), 
G289)"),"#N/A")</f>
        <v>#N/A</v>
      </c>
      <c r="S289" s="8" t="s">
        <v>15</v>
      </c>
      <c r="T289" s="26" t="str">
        <f>IFERROR(__xludf.DUMMYFUNCTION("IFERROR(TRANSPOSE(QUERY(IFERROR(SORT(GOOGLEFINANCE(C289, ""price"", WORKDAY(TODAY(), -40), TODAY()), 1, FALSE)), ""select Col2 where Col2 is not null limit 22 label Col2 ''"", 0)), """")"),"")</f>
        <v/>
      </c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8"/>
      <c r="AO289" s="28"/>
      <c r="AP289" s="29"/>
      <c r="AQ289" s="29" t="str">
        <f t="shared" ref="AQ289:BL289" si="292">T289/T$2</f>
        <v>#N/A</v>
      </c>
      <c r="AR289" s="29" t="str">
        <f t="shared" si="292"/>
        <v>#DIV/0!</v>
      </c>
      <c r="AS289" s="29" t="str">
        <f t="shared" si="292"/>
        <v>#DIV/0!</v>
      </c>
      <c r="AT289" s="29" t="str">
        <f t="shared" si="292"/>
        <v>#DIV/0!</v>
      </c>
      <c r="AU289" s="29" t="str">
        <f t="shared" si="292"/>
        <v>#DIV/0!</v>
      </c>
      <c r="AV289" s="29" t="str">
        <f t="shared" si="292"/>
        <v>#DIV/0!</v>
      </c>
      <c r="AW289" s="29" t="str">
        <f t="shared" si="292"/>
        <v>#DIV/0!</v>
      </c>
      <c r="AX289" s="29" t="str">
        <f t="shared" si="292"/>
        <v>#DIV/0!</v>
      </c>
      <c r="AY289" s="29" t="str">
        <f t="shared" si="292"/>
        <v>#DIV/0!</v>
      </c>
      <c r="AZ289" s="29" t="str">
        <f t="shared" si="292"/>
        <v>#DIV/0!</v>
      </c>
      <c r="BA289" s="29" t="str">
        <f t="shared" si="292"/>
        <v>#DIV/0!</v>
      </c>
      <c r="BB289" s="29" t="str">
        <f t="shared" si="292"/>
        <v>#DIV/0!</v>
      </c>
      <c r="BC289" s="29" t="str">
        <f t="shared" si="292"/>
        <v>#DIV/0!</v>
      </c>
      <c r="BD289" s="29" t="str">
        <f t="shared" si="292"/>
        <v>#DIV/0!</v>
      </c>
      <c r="BE289" s="29" t="str">
        <f t="shared" si="292"/>
        <v>#DIV/0!</v>
      </c>
      <c r="BF289" s="29" t="str">
        <f t="shared" si="292"/>
        <v>#DIV/0!</v>
      </c>
      <c r="BG289" s="29" t="str">
        <f t="shared" si="292"/>
        <v>#DIV/0!</v>
      </c>
      <c r="BH289" s="29" t="str">
        <f t="shared" si="292"/>
        <v>#DIV/0!</v>
      </c>
      <c r="BI289" s="29" t="str">
        <f t="shared" si="292"/>
        <v>#DIV/0!</v>
      </c>
      <c r="BJ289" s="29" t="str">
        <f t="shared" si="292"/>
        <v>#DIV/0!</v>
      </c>
      <c r="BK289" s="29" t="str">
        <f t="shared" si="292"/>
        <v>#DIV/0!</v>
      </c>
      <c r="BL289" s="29" t="str">
        <f t="shared" si="292"/>
        <v>#DIV/0!</v>
      </c>
      <c r="BM289" s="29" t="str">
        <f t="shared" si="3"/>
        <v>#DIV/0!</v>
      </c>
    </row>
    <row r="290">
      <c r="A290" s="16" t="str">
        <f>IFERROR(__xludf.DUMMYFUNCTION("IFERROR(SPARKLINE(SORT(MAP(TRANSPOSE(AQ290:BL290), LAMBDA(val, IF(ISNUMBER(val), PERCENTRANK(AQ290:BL290, val)+0.01, 0))), SEQUENCE(COLUMNS(AQ290:BL290)), FALSE), {""charttype"",""column""; ""color"",""chartreuse""; ""ymin"", 0; ""ymax"", 1.01; ""highcolo"&amp;"r"", ""darkgreen""; ""lowcolor"", ""red""}), """")"),"")</f>
        <v/>
      </c>
      <c r="B290" s="17" t="str">
        <f t="shared" si="4"/>
        <v/>
      </c>
      <c r="C290" s="1" t="s">
        <v>1372</v>
      </c>
      <c r="D290" s="34" t="str">
        <f>IFERROR(__xludf.DUMMYFUNCTION("IFERROR(GOOGLEFINANCE(C290, ""NAME""))"),"FNB Corp")</f>
        <v>FNB Corp</v>
      </c>
      <c r="E290" s="30" t="s">
        <v>268</v>
      </c>
      <c r="F290" s="33" t="str">
        <f>IFERROR(__xludf.DUMMYFUNCTION("( (GOOGLEFINANCE(C290, ""price"") - Q290) / Q290 ) / (R290 / 100)"),"Loading...")</f>
        <v>Loading...</v>
      </c>
      <c r="G290" s="20" t="str">
        <f>IFERROR(__xludf.DUMMYFUNCTION("AVERAGE(ARRAYFORMULA(100 * (QUERY(GOOGLEFINANCE(C290, ""high"", TODAY()-40, TODAY()), ""SELECT Col2 WHERE Col2 IS NOT NULL ORDER BY Col1 DESC LIMIT 20"", 0) / QUERY(GOOGLEFINANCE(C290, ""low"", TODAY()-40, TODAY()), ""SELECT Col2 WHERE Col2 IS NOT NULL OR"&amp;"DER BY Col1 DESC LIMIT 20"", 0) - 1)))"),"#N/A")</f>
        <v>#N/A</v>
      </c>
      <c r="H290" s="35" t="str">
        <f t="shared" si="6"/>
        <v/>
      </c>
      <c r="I290" s="36" t="str">
        <f t="shared" si="7"/>
        <v/>
      </c>
      <c r="J290" s="37" t="str">
        <f>IFERROR(__xludf.DUMMYFUNCTION("IFERROR(
  IF(C290="""",, 
    IFERROR(
      GOOGLEFINANCE(C290, ""price"") * GOOGLEFINANCE(C290, ""volumeavg""), 
      GOOGLEFINANCE(C290, ""price"") * AVERAGE(QUERY(GOOGLEFINANCE(C290, ""volume"", TODAY()-40, TODAY()), ""SELECT Col2 WHERE Col2 IS NOT "&amp;"NULL ORDER BY Col1 DESC LIMIT 20"", 0))
    )
  ), 
"""")"),"")</f>
        <v/>
      </c>
      <c r="K290" s="21" t="str">
        <f>IFERROR(__xludf.DUMMYFUNCTION("IFERROR(GOOGLEFINANCE(C290, ""changepct"") / 100, """")"),"")</f>
        <v/>
      </c>
      <c r="L290" s="21" t="str">
        <f>IFERROR(__xludf.DUMMYFUNCTION("IFERROR((GOOGLEFINANCE(C290, ""price"") / INDEX(GOOGLEFINANCE(C290, ""price"", TODAY()-7, TODAY()), 2, 2)) - 1, """")"),"")</f>
        <v/>
      </c>
      <c r="M290" s="21" t="str">
        <f>IFERROR(__xludf.DUMMYFUNCTION("IFERROR((GOOGLEFINANCE(C290, ""price"") / INDEX(GOOGLEFINANCE(C290, ""price"", EDATE(TODAY(), -1), TODAY()), 2, 2)) - 1, """")"),"")</f>
        <v/>
      </c>
      <c r="N290" s="21" t="str">
        <f>IFERROR(__xludf.DUMMYFUNCTION("IFERROR((GOOGLEFINANCE(C290, ""price"") / INDEX(GOOGLEFINANCE(C290, ""price"", EDATE(TODAY(), -3), TODAY()), 2, 2)) - 1, """")"),"")</f>
        <v/>
      </c>
      <c r="O290" s="21" t="str">
        <f>IFERROR(__xludf.DUMMYFUNCTION("IFERROR((GOOGLEFINANCE(C290, ""price"") / INDEX(GOOGLEFINANCE(C290, ""price"", EDATE(TODAY(), -6), TODAY()), 2, 2)) - 1, """")"),"")</f>
        <v/>
      </c>
      <c r="P290" s="21" t="str">
        <f>IFERROR(__xludf.DUMMYFUNCTION("IFERROR((GOOGLEFINANCE(C290, ""price"") / INDEX(GOOGLEFINANCE(C290, ""price"", EDATE(TODAY(), -12), TODAY()), 2, 2)) - 1, """")"),"")</f>
        <v/>
      </c>
      <c r="Q290" s="6" t="str">
        <f>IFERROR(__xludf.DUMMYFUNCTION("AVERAGE(QUERY(GOOGLEFINANCE(C290, ""price"", TODAY()-80, TODAY()), ""SELECT Col2 WHERE Col2 IS NOT NULL ORDER BY Col1 DESC LIMIT 50"", 0))"),"#N/A")</f>
        <v>#N/A</v>
      </c>
      <c r="R290" s="24" t="str">
        <f>IFERROR(__xludf.DUMMYFUNCTION("IFERROR(
  LET(
    data, QUERY(GOOGLEFINANCE(C290,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GOOGLEFINANCE(C290, ""price"")) * 100,
    IF(calc=0, G290, calc)
  ), 
G290)"),"#N/A")</f>
        <v>#N/A</v>
      </c>
      <c r="S290" s="8" t="s">
        <v>15</v>
      </c>
      <c r="T290" s="26" t="str">
        <f>IFERROR(__xludf.DUMMYFUNCTION("IFERROR(TRANSPOSE(QUERY(IFERROR(SORT(GOOGLEFINANCE(C290, ""price"", WORKDAY(TODAY(), -40), TODAY()), 1, FALSE)), ""select Col2 where Col2 is not null limit 22 label Col2 ''"", 0)), """")"),"")</f>
        <v/>
      </c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8"/>
      <c r="AO290" s="28"/>
      <c r="AP290" s="29"/>
      <c r="AQ290" s="29" t="str">
        <f t="shared" ref="AQ290:BL290" si="293">T290/T$2</f>
        <v>#N/A</v>
      </c>
      <c r="AR290" s="29" t="str">
        <f t="shared" si="293"/>
        <v>#DIV/0!</v>
      </c>
      <c r="AS290" s="29" t="str">
        <f t="shared" si="293"/>
        <v>#DIV/0!</v>
      </c>
      <c r="AT290" s="29" t="str">
        <f t="shared" si="293"/>
        <v>#DIV/0!</v>
      </c>
      <c r="AU290" s="29" t="str">
        <f t="shared" si="293"/>
        <v>#DIV/0!</v>
      </c>
      <c r="AV290" s="29" t="str">
        <f t="shared" si="293"/>
        <v>#DIV/0!</v>
      </c>
      <c r="AW290" s="29" t="str">
        <f t="shared" si="293"/>
        <v>#DIV/0!</v>
      </c>
      <c r="AX290" s="29" t="str">
        <f t="shared" si="293"/>
        <v>#DIV/0!</v>
      </c>
      <c r="AY290" s="29" t="str">
        <f t="shared" si="293"/>
        <v>#DIV/0!</v>
      </c>
      <c r="AZ290" s="29" t="str">
        <f t="shared" si="293"/>
        <v>#DIV/0!</v>
      </c>
      <c r="BA290" s="29" t="str">
        <f t="shared" si="293"/>
        <v>#DIV/0!</v>
      </c>
      <c r="BB290" s="29" t="str">
        <f t="shared" si="293"/>
        <v>#DIV/0!</v>
      </c>
      <c r="BC290" s="29" t="str">
        <f t="shared" si="293"/>
        <v>#DIV/0!</v>
      </c>
      <c r="BD290" s="29" t="str">
        <f t="shared" si="293"/>
        <v>#DIV/0!</v>
      </c>
      <c r="BE290" s="29" t="str">
        <f t="shared" si="293"/>
        <v>#DIV/0!</v>
      </c>
      <c r="BF290" s="29" t="str">
        <f t="shared" si="293"/>
        <v>#DIV/0!</v>
      </c>
      <c r="BG290" s="29" t="str">
        <f t="shared" si="293"/>
        <v>#DIV/0!</v>
      </c>
      <c r="BH290" s="29" t="str">
        <f t="shared" si="293"/>
        <v>#DIV/0!</v>
      </c>
      <c r="BI290" s="29" t="str">
        <f t="shared" si="293"/>
        <v>#DIV/0!</v>
      </c>
      <c r="BJ290" s="29" t="str">
        <f t="shared" si="293"/>
        <v>#DIV/0!</v>
      </c>
      <c r="BK290" s="29" t="str">
        <f t="shared" si="293"/>
        <v>#DIV/0!</v>
      </c>
      <c r="BL290" s="29" t="str">
        <f t="shared" si="293"/>
        <v>#DIV/0!</v>
      </c>
      <c r="BM290" s="29" t="str">
        <f t="shared" si="3"/>
        <v>#DIV/0!</v>
      </c>
    </row>
    <row r="291">
      <c r="A291" s="16" t="str">
        <f>IFERROR(__xludf.DUMMYFUNCTION("IFERROR(SPARKLINE(SORT(MAP(TRANSPOSE(AQ291:BL291), LAMBDA(val, IF(ISNUMBER(val), PERCENTRANK(AQ291:BL291, val)+0.01, 0))), SEQUENCE(COLUMNS(AQ291:BL291)), FALSE), {""charttype"",""column""; ""color"",""chartreuse""; ""ymin"", 0; ""ymax"", 1.01; ""highcolo"&amp;"r"", ""darkgreen""; ""lowcolor"", ""red""}), """")"),"")</f>
        <v/>
      </c>
      <c r="B291" s="17" t="str">
        <f t="shared" si="4"/>
        <v/>
      </c>
      <c r="C291" s="1" t="s">
        <v>1377</v>
      </c>
      <c r="D291" s="34" t="str">
        <f>IFERROR(__xludf.DUMMYFUNCTION("IFERROR(GOOGLEFINANCE(C291, ""NAME""))"),"New Mountain Finance Corp.")</f>
        <v>New Mountain Finance Corp.</v>
      </c>
      <c r="E291" s="30" t="s">
        <v>64</v>
      </c>
      <c r="F291" s="33" t="str">
        <f>IFERROR(__xludf.DUMMYFUNCTION("( (GOOGLEFINANCE(C291, ""price"") - Q291) / Q291 ) / (R291 / 100)"),"Loading...")</f>
        <v>Loading...</v>
      </c>
      <c r="G291" s="20" t="str">
        <f>IFERROR(__xludf.DUMMYFUNCTION("AVERAGE(ARRAYFORMULA(100 * (QUERY(GOOGLEFINANCE(C291, ""high"", TODAY()-40, TODAY()), ""SELECT Col2 WHERE Col2 IS NOT NULL ORDER BY Col1 DESC LIMIT 20"", 0) / QUERY(GOOGLEFINANCE(C291, ""low"", TODAY()-40, TODAY()), ""SELECT Col2 WHERE Col2 IS NOT NULL OR"&amp;"DER BY Col1 DESC LIMIT 20"", 0) - 1)))"),"#N/A")</f>
        <v>#N/A</v>
      </c>
      <c r="H291" s="35" t="str">
        <f t="shared" si="6"/>
        <v/>
      </c>
      <c r="I291" s="36" t="str">
        <f t="shared" si="7"/>
        <v/>
      </c>
      <c r="J291" s="37" t="str">
        <f>IFERROR(__xludf.DUMMYFUNCTION("IFERROR(
  IF(C291="""",, 
    IFERROR(
      GOOGLEFINANCE(C291, ""price"") * GOOGLEFINANCE(C291, ""volumeavg""), 
      GOOGLEFINANCE(C291, ""price"") * AVERAGE(QUERY(GOOGLEFINANCE(C291, ""volume"", TODAY()-40, TODAY()), ""SELECT Col2 WHERE Col2 IS NOT "&amp;"NULL ORDER BY Col1 DESC LIMIT 20"", 0))
    )
  ), 
"""")"),"")</f>
        <v/>
      </c>
      <c r="K291" s="21" t="str">
        <f>IFERROR(__xludf.DUMMYFUNCTION("IFERROR(GOOGLEFINANCE(C291, ""changepct"") / 100, """")"),"")</f>
        <v/>
      </c>
      <c r="L291" s="21" t="str">
        <f>IFERROR(__xludf.DUMMYFUNCTION("IFERROR((GOOGLEFINANCE(C291, ""price"") / INDEX(GOOGLEFINANCE(C291, ""price"", TODAY()-7, TODAY()), 2, 2)) - 1, """")"),"")</f>
        <v/>
      </c>
      <c r="M291" s="21" t="str">
        <f>IFERROR(__xludf.DUMMYFUNCTION("IFERROR((GOOGLEFINANCE(C291, ""price"") / INDEX(GOOGLEFINANCE(C291, ""price"", EDATE(TODAY(), -1), TODAY()), 2, 2)) - 1, """")"),"")</f>
        <v/>
      </c>
      <c r="N291" s="21" t="str">
        <f>IFERROR(__xludf.DUMMYFUNCTION("IFERROR((GOOGLEFINANCE(C291, ""price"") / INDEX(GOOGLEFINANCE(C291, ""price"", EDATE(TODAY(), -3), TODAY()), 2, 2)) - 1, """")"),"")</f>
        <v/>
      </c>
      <c r="O291" s="21" t="str">
        <f>IFERROR(__xludf.DUMMYFUNCTION("IFERROR((GOOGLEFINANCE(C291, ""price"") / INDEX(GOOGLEFINANCE(C291, ""price"", EDATE(TODAY(), -6), TODAY()), 2, 2)) - 1, """")"),"")</f>
        <v/>
      </c>
      <c r="P291" s="21" t="str">
        <f>IFERROR(__xludf.DUMMYFUNCTION("IFERROR((GOOGLEFINANCE(C291, ""price"") / INDEX(GOOGLEFINANCE(C291, ""price"", EDATE(TODAY(), -12), TODAY()), 2, 2)) - 1, """")"),"")</f>
        <v/>
      </c>
      <c r="Q291" s="6" t="str">
        <f>IFERROR(__xludf.DUMMYFUNCTION("AVERAGE(QUERY(GOOGLEFINANCE(C291, ""price"", TODAY()-80, TODAY()), ""SELECT Col2 WHERE Col2 IS NOT NULL ORDER BY Col1 DESC LIMIT 50"", 0))"),"#N/A")</f>
        <v>#N/A</v>
      </c>
      <c r="R291" s="24" t="str">
        <f>IFERROR(__xludf.DUMMYFUNCTION("IFERROR(
  LET(
    data, QUERY(GOOGLEFINANCE(C291,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GOOGLEFINANCE(C291, ""price"")) * 100,
    IF(calc=0, G291, calc)
  ), 
G291)"),"#N/A")</f>
        <v>#N/A</v>
      </c>
      <c r="S291" s="8" t="s">
        <v>15</v>
      </c>
      <c r="T291" s="26" t="str">
        <f>IFERROR(__xludf.DUMMYFUNCTION("IFERROR(TRANSPOSE(QUERY(IFERROR(SORT(GOOGLEFINANCE(C291, ""price"", WORKDAY(TODAY(), -40), TODAY()), 1, FALSE)), ""select Col2 where Col2 is not null limit 22 label Col2 ''"", 0)), """")"),"")</f>
        <v/>
      </c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8"/>
      <c r="AO291" s="28"/>
      <c r="AP291" s="29"/>
      <c r="AQ291" s="29" t="str">
        <f t="shared" ref="AQ291:BL291" si="294">T291/T$2</f>
        <v>#N/A</v>
      </c>
      <c r="AR291" s="29" t="str">
        <f t="shared" si="294"/>
        <v>#DIV/0!</v>
      </c>
      <c r="AS291" s="29" t="str">
        <f t="shared" si="294"/>
        <v>#DIV/0!</v>
      </c>
      <c r="AT291" s="29" t="str">
        <f t="shared" si="294"/>
        <v>#DIV/0!</v>
      </c>
      <c r="AU291" s="29" t="str">
        <f t="shared" si="294"/>
        <v>#DIV/0!</v>
      </c>
      <c r="AV291" s="29" t="str">
        <f t="shared" si="294"/>
        <v>#DIV/0!</v>
      </c>
      <c r="AW291" s="29" t="str">
        <f t="shared" si="294"/>
        <v>#DIV/0!</v>
      </c>
      <c r="AX291" s="29" t="str">
        <f t="shared" si="294"/>
        <v>#DIV/0!</v>
      </c>
      <c r="AY291" s="29" t="str">
        <f t="shared" si="294"/>
        <v>#DIV/0!</v>
      </c>
      <c r="AZ291" s="29" t="str">
        <f t="shared" si="294"/>
        <v>#DIV/0!</v>
      </c>
      <c r="BA291" s="29" t="str">
        <f t="shared" si="294"/>
        <v>#DIV/0!</v>
      </c>
      <c r="BB291" s="29" t="str">
        <f t="shared" si="294"/>
        <v>#DIV/0!</v>
      </c>
      <c r="BC291" s="29" t="str">
        <f t="shared" si="294"/>
        <v>#DIV/0!</v>
      </c>
      <c r="BD291" s="29" t="str">
        <f t="shared" si="294"/>
        <v>#DIV/0!</v>
      </c>
      <c r="BE291" s="29" t="str">
        <f t="shared" si="294"/>
        <v>#DIV/0!</v>
      </c>
      <c r="BF291" s="29" t="str">
        <f t="shared" si="294"/>
        <v>#DIV/0!</v>
      </c>
      <c r="BG291" s="29" t="str">
        <f t="shared" si="294"/>
        <v>#DIV/0!</v>
      </c>
      <c r="BH291" s="29" t="str">
        <f t="shared" si="294"/>
        <v>#DIV/0!</v>
      </c>
      <c r="BI291" s="29" t="str">
        <f t="shared" si="294"/>
        <v>#DIV/0!</v>
      </c>
      <c r="BJ291" s="29" t="str">
        <f t="shared" si="294"/>
        <v>#DIV/0!</v>
      </c>
      <c r="BK291" s="29" t="str">
        <f t="shared" si="294"/>
        <v>#DIV/0!</v>
      </c>
      <c r="BL291" s="29" t="str">
        <f t="shared" si="294"/>
        <v>#DIV/0!</v>
      </c>
      <c r="BM291" s="29" t="str">
        <f t="shared" si="3"/>
        <v>#DIV/0!</v>
      </c>
    </row>
    <row r="292">
      <c r="A292" s="16" t="str">
        <f>IFERROR(__xludf.DUMMYFUNCTION("IFERROR(SPARKLINE(SORT(MAP(TRANSPOSE(AQ292:BL292), LAMBDA(val, IF(ISNUMBER(val), PERCENTRANK(AQ292:BL292, val)+0.01, 0))), SEQUENCE(COLUMNS(AQ292:BL292)), FALSE), {""charttype"",""column""; ""color"",""chartreuse""; ""ymin"", 0; ""ymax"", 1.01; ""highcolo"&amp;"r"", ""darkgreen""; ""lowcolor"", ""red""}), """")"),"")</f>
        <v/>
      </c>
      <c r="B292" s="17" t="str">
        <f t="shared" si="4"/>
        <v/>
      </c>
      <c r="C292" s="1" t="s">
        <v>1381</v>
      </c>
      <c r="D292" s="34" t="str">
        <f>IFERROR(__xludf.DUMMYFUNCTION("IFERROR(GOOGLEFINANCE(C292, ""NAME""))"),"Shore Bancshares Inc")</f>
        <v>Shore Bancshares Inc</v>
      </c>
      <c r="E292" s="30" t="s">
        <v>268</v>
      </c>
      <c r="F292" s="33" t="str">
        <f>IFERROR(__xludf.DUMMYFUNCTION("( (GOOGLEFINANCE(C292, ""price"") - Q292) / Q292 ) / (R292 / 100)"),"Loading...")</f>
        <v>Loading...</v>
      </c>
      <c r="G292" s="20" t="str">
        <f>IFERROR(__xludf.DUMMYFUNCTION("AVERAGE(ARRAYFORMULA(100 * (QUERY(GOOGLEFINANCE(C292, ""high"", TODAY()-40, TODAY()), ""SELECT Col2 WHERE Col2 IS NOT NULL ORDER BY Col1 DESC LIMIT 20"", 0) / QUERY(GOOGLEFINANCE(C292, ""low"", TODAY()-40, TODAY()), ""SELECT Col2 WHERE Col2 IS NOT NULL OR"&amp;"DER BY Col1 DESC LIMIT 20"", 0) - 1)))"),"#N/A")</f>
        <v>#N/A</v>
      </c>
      <c r="H292" s="35" t="str">
        <f t="shared" si="6"/>
        <v/>
      </c>
      <c r="I292" s="36" t="str">
        <f t="shared" si="7"/>
        <v/>
      </c>
      <c r="J292" s="37" t="str">
        <f>IFERROR(__xludf.DUMMYFUNCTION("IFERROR(
  IF(C292="""",, 
    IFERROR(
      GOOGLEFINANCE(C292, ""price"") * GOOGLEFINANCE(C292, ""volumeavg""), 
      GOOGLEFINANCE(C292, ""price"") * AVERAGE(QUERY(GOOGLEFINANCE(C292, ""volume"", TODAY()-40, TODAY()), ""SELECT Col2 WHERE Col2 IS NOT "&amp;"NULL ORDER BY Col1 DESC LIMIT 20"", 0))
    )
  ), 
"""")"),"")</f>
        <v/>
      </c>
      <c r="K292" s="21" t="str">
        <f>IFERROR(__xludf.DUMMYFUNCTION("IFERROR(GOOGLEFINANCE(C292, ""changepct"") / 100, """")"),"")</f>
        <v/>
      </c>
      <c r="L292" s="21" t="str">
        <f>IFERROR(__xludf.DUMMYFUNCTION("IFERROR((GOOGLEFINANCE(C292, ""price"") / INDEX(GOOGLEFINANCE(C292, ""price"", TODAY()-7, TODAY()), 2, 2)) - 1, """")"),"")</f>
        <v/>
      </c>
      <c r="M292" s="21" t="str">
        <f>IFERROR(__xludf.DUMMYFUNCTION("IFERROR((GOOGLEFINANCE(C292, ""price"") / INDEX(GOOGLEFINANCE(C292, ""price"", EDATE(TODAY(), -1), TODAY()), 2, 2)) - 1, """")"),"")</f>
        <v/>
      </c>
      <c r="N292" s="21" t="str">
        <f>IFERROR(__xludf.DUMMYFUNCTION("IFERROR((GOOGLEFINANCE(C292, ""price"") / INDEX(GOOGLEFINANCE(C292, ""price"", EDATE(TODAY(), -3), TODAY()), 2, 2)) - 1, """")"),"")</f>
        <v/>
      </c>
      <c r="O292" s="21" t="str">
        <f>IFERROR(__xludf.DUMMYFUNCTION("IFERROR((GOOGLEFINANCE(C292, ""price"") / INDEX(GOOGLEFINANCE(C292, ""price"", EDATE(TODAY(), -6), TODAY()), 2, 2)) - 1, """")"),"")</f>
        <v/>
      </c>
      <c r="P292" s="21" t="str">
        <f>IFERROR(__xludf.DUMMYFUNCTION("IFERROR((GOOGLEFINANCE(C292, ""price"") / INDEX(GOOGLEFINANCE(C292, ""price"", EDATE(TODAY(), -12), TODAY()), 2, 2)) - 1, """")"),"")</f>
        <v/>
      </c>
      <c r="Q292" s="6" t="str">
        <f>IFERROR(__xludf.DUMMYFUNCTION("AVERAGE(QUERY(GOOGLEFINANCE(C292, ""price"", TODAY()-80, TODAY()), ""SELECT Col2 WHERE Col2 IS NOT NULL ORDER BY Col1 DESC LIMIT 50"", 0))"),"#N/A")</f>
        <v>#N/A</v>
      </c>
      <c r="R292" s="24" t="str">
        <f>IFERROR(__xludf.DUMMYFUNCTION("IFERROR(
  LET(
    data, QUERY(GOOGLEFINANCE(C292,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GOOGLEFINANCE(C292, ""price"")) * 100,
    IF(calc=0, G292, calc)
  ), 
G292)"),"#N/A")</f>
        <v>#N/A</v>
      </c>
      <c r="S292" s="8" t="s">
        <v>15</v>
      </c>
      <c r="T292" s="26" t="str">
        <f>IFERROR(__xludf.DUMMYFUNCTION("IFERROR(TRANSPOSE(QUERY(IFERROR(SORT(GOOGLEFINANCE(C292, ""price"", WORKDAY(TODAY(), -40), TODAY()), 1, FALSE)), ""select Col2 where Col2 is not null limit 22 label Col2 ''"", 0)), """")"),"")</f>
        <v/>
      </c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8"/>
      <c r="AO292" s="28"/>
      <c r="AP292" s="29"/>
      <c r="AQ292" s="29" t="str">
        <f t="shared" ref="AQ292:BL292" si="295">T292/T$2</f>
        <v>#N/A</v>
      </c>
      <c r="AR292" s="29" t="str">
        <f t="shared" si="295"/>
        <v>#DIV/0!</v>
      </c>
      <c r="AS292" s="29" t="str">
        <f t="shared" si="295"/>
        <v>#DIV/0!</v>
      </c>
      <c r="AT292" s="29" t="str">
        <f t="shared" si="295"/>
        <v>#DIV/0!</v>
      </c>
      <c r="AU292" s="29" t="str">
        <f t="shared" si="295"/>
        <v>#DIV/0!</v>
      </c>
      <c r="AV292" s="29" t="str">
        <f t="shared" si="295"/>
        <v>#DIV/0!</v>
      </c>
      <c r="AW292" s="29" t="str">
        <f t="shared" si="295"/>
        <v>#DIV/0!</v>
      </c>
      <c r="AX292" s="29" t="str">
        <f t="shared" si="295"/>
        <v>#DIV/0!</v>
      </c>
      <c r="AY292" s="29" t="str">
        <f t="shared" si="295"/>
        <v>#DIV/0!</v>
      </c>
      <c r="AZ292" s="29" t="str">
        <f t="shared" si="295"/>
        <v>#DIV/0!</v>
      </c>
      <c r="BA292" s="29" t="str">
        <f t="shared" si="295"/>
        <v>#DIV/0!</v>
      </c>
      <c r="BB292" s="29" t="str">
        <f t="shared" si="295"/>
        <v>#DIV/0!</v>
      </c>
      <c r="BC292" s="29" t="str">
        <f t="shared" si="295"/>
        <v>#DIV/0!</v>
      </c>
      <c r="BD292" s="29" t="str">
        <f t="shared" si="295"/>
        <v>#DIV/0!</v>
      </c>
      <c r="BE292" s="29" t="str">
        <f t="shared" si="295"/>
        <v>#DIV/0!</v>
      </c>
      <c r="BF292" s="29" t="str">
        <f t="shared" si="295"/>
        <v>#DIV/0!</v>
      </c>
      <c r="BG292" s="29" t="str">
        <f t="shared" si="295"/>
        <v>#DIV/0!</v>
      </c>
      <c r="BH292" s="29" t="str">
        <f t="shared" si="295"/>
        <v>#DIV/0!</v>
      </c>
      <c r="BI292" s="29" t="str">
        <f t="shared" si="295"/>
        <v>#DIV/0!</v>
      </c>
      <c r="BJ292" s="29" t="str">
        <f t="shared" si="295"/>
        <v>#DIV/0!</v>
      </c>
      <c r="BK292" s="29" t="str">
        <f t="shared" si="295"/>
        <v>#DIV/0!</v>
      </c>
      <c r="BL292" s="29" t="str">
        <f t="shared" si="295"/>
        <v>#DIV/0!</v>
      </c>
      <c r="BM292" s="29" t="str">
        <f t="shared" si="3"/>
        <v>#DIV/0!</v>
      </c>
    </row>
    <row r="293">
      <c r="A293" s="16" t="str">
        <f>IFERROR(__xludf.DUMMYFUNCTION("IFERROR(SPARKLINE(SORT(MAP(TRANSPOSE(AQ293:BL293), LAMBDA(val, IF(ISNUMBER(val), PERCENTRANK(AQ293:BL293, val)+0.01, 0))), SEQUENCE(COLUMNS(AQ293:BL293)), FALSE), {""charttype"",""column""; ""color"",""chartreuse""; ""ymin"", 0; ""ymax"", 1.01; ""highcolo"&amp;"r"", ""darkgreen""; ""lowcolor"", ""red""}), """")"),"")</f>
        <v/>
      </c>
      <c r="B293" s="17" t="str">
        <f t="shared" si="4"/>
        <v/>
      </c>
      <c r="C293" s="1" t="s">
        <v>1385</v>
      </c>
      <c r="D293" s="34" t="str">
        <f>IFERROR(__xludf.DUMMYFUNCTION("IFERROR(GOOGLEFINANCE(C293, ""NAME""))"),"Inter &amp; Co Inc")</f>
        <v>Inter &amp; Co Inc</v>
      </c>
      <c r="E293" s="30" t="s">
        <v>268</v>
      </c>
      <c r="F293" s="33" t="str">
        <f>IFERROR(__xludf.DUMMYFUNCTION("( (GOOGLEFINANCE(C293, ""price"") - Q293) / Q293 ) / (R293 / 100)"),"Loading...")</f>
        <v>Loading...</v>
      </c>
      <c r="G293" s="20" t="str">
        <f>IFERROR(__xludf.DUMMYFUNCTION("AVERAGE(ARRAYFORMULA(100 * (QUERY(GOOGLEFINANCE(C293, ""high"", TODAY()-40, TODAY()), ""SELECT Col2 WHERE Col2 IS NOT NULL ORDER BY Col1 DESC LIMIT 20"", 0) / QUERY(GOOGLEFINANCE(C293, ""low"", TODAY()-40, TODAY()), ""SELECT Col2 WHERE Col2 IS NOT NULL OR"&amp;"DER BY Col1 DESC LIMIT 20"", 0) - 1)))"),"#N/A")</f>
        <v>#N/A</v>
      </c>
      <c r="H293" s="35" t="str">
        <f t="shared" si="6"/>
        <v/>
      </c>
      <c r="I293" s="36" t="str">
        <f t="shared" si="7"/>
        <v/>
      </c>
      <c r="J293" s="37" t="str">
        <f>IFERROR(__xludf.DUMMYFUNCTION("IFERROR(
  IF(C293="""",, 
    IFERROR(
      GOOGLEFINANCE(C293, ""price"") * GOOGLEFINANCE(C293, ""volumeavg""), 
      GOOGLEFINANCE(C293, ""price"") * AVERAGE(QUERY(GOOGLEFINANCE(C293, ""volume"", TODAY()-40, TODAY()), ""SELECT Col2 WHERE Col2 IS NOT "&amp;"NULL ORDER BY Col1 DESC LIMIT 20"", 0))
    )
  ), 
"""")"),"")</f>
        <v/>
      </c>
      <c r="K293" s="21" t="str">
        <f>IFERROR(__xludf.DUMMYFUNCTION("IFERROR(GOOGLEFINANCE(C293, ""changepct"") / 100, """")"),"")</f>
        <v/>
      </c>
      <c r="L293" s="21" t="str">
        <f>IFERROR(__xludf.DUMMYFUNCTION("IFERROR((GOOGLEFINANCE(C293, ""price"") / INDEX(GOOGLEFINANCE(C293, ""price"", TODAY()-7, TODAY()), 2, 2)) - 1, """")"),"")</f>
        <v/>
      </c>
      <c r="M293" s="21" t="str">
        <f>IFERROR(__xludf.DUMMYFUNCTION("IFERROR((GOOGLEFINANCE(C293, ""price"") / INDEX(GOOGLEFINANCE(C293, ""price"", EDATE(TODAY(), -1), TODAY()), 2, 2)) - 1, """")"),"")</f>
        <v/>
      </c>
      <c r="N293" s="21" t="str">
        <f>IFERROR(__xludf.DUMMYFUNCTION("IFERROR((GOOGLEFINANCE(C293, ""price"") / INDEX(GOOGLEFINANCE(C293, ""price"", EDATE(TODAY(), -3), TODAY()), 2, 2)) - 1, """")"),"")</f>
        <v/>
      </c>
      <c r="O293" s="21" t="str">
        <f>IFERROR(__xludf.DUMMYFUNCTION("IFERROR((GOOGLEFINANCE(C293, ""price"") / INDEX(GOOGLEFINANCE(C293, ""price"", EDATE(TODAY(), -6), TODAY()), 2, 2)) - 1, """")"),"")</f>
        <v/>
      </c>
      <c r="P293" s="21" t="str">
        <f>IFERROR(__xludf.DUMMYFUNCTION("IFERROR((GOOGLEFINANCE(C293, ""price"") / INDEX(GOOGLEFINANCE(C293, ""price"", EDATE(TODAY(), -12), TODAY()), 2, 2)) - 1, """")"),"")</f>
        <v/>
      </c>
      <c r="Q293" s="6" t="str">
        <f>IFERROR(__xludf.DUMMYFUNCTION("AVERAGE(QUERY(GOOGLEFINANCE(C293, ""price"", TODAY()-80, TODAY()), ""SELECT Col2 WHERE Col2 IS NOT NULL ORDER BY Col1 DESC LIMIT 50"", 0))"),"#N/A")</f>
        <v>#N/A</v>
      </c>
      <c r="R293" s="24" t="str">
        <f>IFERROR(__xludf.DUMMYFUNCTION("IFERROR(
  LET(
    data, QUERY(GOOGLEFINANCE(C293,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GOOGLEFINANCE(C293, ""price"")) * 100,
    IF(calc=0, G293, calc)
  ), 
G293)"),"#N/A")</f>
        <v>#N/A</v>
      </c>
      <c r="S293" s="8" t="s">
        <v>15</v>
      </c>
      <c r="T293" s="26" t="str">
        <f>IFERROR(__xludf.DUMMYFUNCTION("IFERROR(TRANSPOSE(QUERY(IFERROR(SORT(GOOGLEFINANCE(C293, ""price"", WORKDAY(TODAY(), -40), TODAY()), 1, FALSE)), ""select Col2 where Col2 is not null limit 22 label Col2 ''"", 0)), """")"),"")</f>
        <v/>
      </c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8"/>
      <c r="AO293" s="28"/>
      <c r="AP293" s="29"/>
      <c r="AQ293" s="29" t="str">
        <f t="shared" ref="AQ293:BL293" si="296">T293/T$2</f>
        <v>#N/A</v>
      </c>
      <c r="AR293" s="29" t="str">
        <f t="shared" si="296"/>
        <v>#DIV/0!</v>
      </c>
      <c r="AS293" s="29" t="str">
        <f t="shared" si="296"/>
        <v>#DIV/0!</v>
      </c>
      <c r="AT293" s="29" t="str">
        <f t="shared" si="296"/>
        <v>#DIV/0!</v>
      </c>
      <c r="AU293" s="29" t="str">
        <f t="shared" si="296"/>
        <v>#DIV/0!</v>
      </c>
      <c r="AV293" s="29" t="str">
        <f t="shared" si="296"/>
        <v>#DIV/0!</v>
      </c>
      <c r="AW293" s="29" t="str">
        <f t="shared" si="296"/>
        <v>#DIV/0!</v>
      </c>
      <c r="AX293" s="29" t="str">
        <f t="shared" si="296"/>
        <v>#DIV/0!</v>
      </c>
      <c r="AY293" s="29" t="str">
        <f t="shared" si="296"/>
        <v>#DIV/0!</v>
      </c>
      <c r="AZ293" s="29" t="str">
        <f t="shared" si="296"/>
        <v>#DIV/0!</v>
      </c>
      <c r="BA293" s="29" t="str">
        <f t="shared" si="296"/>
        <v>#DIV/0!</v>
      </c>
      <c r="BB293" s="29" t="str">
        <f t="shared" si="296"/>
        <v>#DIV/0!</v>
      </c>
      <c r="BC293" s="29" t="str">
        <f t="shared" si="296"/>
        <v>#DIV/0!</v>
      </c>
      <c r="BD293" s="29" t="str">
        <f t="shared" si="296"/>
        <v>#DIV/0!</v>
      </c>
      <c r="BE293" s="29" t="str">
        <f t="shared" si="296"/>
        <v>#DIV/0!</v>
      </c>
      <c r="BF293" s="29" t="str">
        <f t="shared" si="296"/>
        <v>#DIV/0!</v>
      </c>
      <c r="BG293" s="29" t="str">
        <f t="shared" si="296"/>
        <v>#DIV/0!</v>
      </c>
      <c r="BH293" s="29" t="str">
        <f t="shared" si="296"/>
        <v>#DIV/0!</v>
      </c>
      <c r="BI293" s="29" t="str">
        <f t="shared" si="296"/>
        <v>#DIV/0!</v>
      </c>
      <c r="BJ293" s="29" t="str">
        <f t="shared" si="296"/>
        <v>#DIV/0!</v>
      </c>
      <c r="BK293" s="29" t="str">
        <f t="shared" si="296"/>
        <v>#DIV/0!</v>
      </c>
      <c r="BL293" s="29" t="str">
        <f t="shared" si="296"/>
        <v>#DIV/0!</v>
      </c>
      <c r="BM293" s="29" t="str">
        <f t="shared" si="3"/>
        <v>#DIV/0!</v>
      </c>
    </row>
    <row r="294">
      <c r="A294" s="16" t="str">
        <f>IFERROR(__xludf.DUMMYFUNCTION("IFERROR(SPARKLINE(SORT(MAP(TRANSPOSE(AQ294:BL294), LAMBDA(val, IF(ISNUMBER(val), PERCENTRANK(AQ294:BL294, val)+0.01, 0))), SEQUENCE(COLUMNS(AQ294:BL294)), FALSE), {""charttype"",""column""; ""color"",""chartreuse""; ""ymin"", 0; ""ymax"", 1.01; ""highcolo"&amp;"r"", ""darkgreen""; ""lowcolor"", ""red""}), """")"),"")</f>
        <v/>
      </c>
      <c r="B294" s="17" t="str">
        <f t="shared" si="4"/>
        <v/>
      </c>
      <c r="C294" s="1" t="s">
        <v>1391</v>
      </c>
      <c r="D294" s="34" t="str">
        <f>IFERROR(__xludf.DUMMYFUNCTION("IFERROR(GOOGLEFINANCE(C294, ""NAME""))"),"American International Group Inc")</f>
        <v>American International Group Inc</v>
      </c>
      <c r="E294" s="30" t="s">
        <v>434</v>
      </c>
      <c r="F294" s="33" t="str">
        <f>IFERROR(__xludf.DUMMYFUNCTION("( (GOOGLEFINANCE(C294, ""price"") - Q294) / Q294 ) / (R294 / 100)"),"Loading...")</f>
        <v>Loading...</v>
      </c>
      <c r="G294" s="20" t="str">
        <f>IFERROR(__xludf.DUMMYFUNCTION("AVERAGE(ARRAYFORMULA(100 * (QUERY(GOOGLEFINANCE(C294, ""high"", TODAY()-40, TODAY()), ""SELECT Col2 WHERE Col2 IS NOT NULL ORDER BY Col1 DESC LIMIT 20"", 0) / QUERY(GOOGLEFINANCE(C294, ""low"", TODAY()-40, TODAY()), ""SELECT Col2 WHERE Col2 IS NOT NULL OR"&amp;"DER BY Col1 DESC LIMIT 20"", 0) - 1)))"),"#N/A")</f>
        <v>#N/A</v>
      </c>
      <c r="H294" s="35" t="str">
        <f t="shared" si="6"/>
        <v/>
      </c>
      <c r="I294" s="36" t="str">
        <f t="shared" si="7"/>
        <v/>
      </c>
      <c r="J294" s="37" t="str">
        <f>IFERROR(__xludf.DUMMYFUNCTION("IFERROR(
  IF(C294="""",, 
    IFERROR(
      GOOGLEFINANCE(C294, ""price"") * GOOGLEFINANCE(C294, ""volumeavg""), 
      GOOGLEFINANCE(C294, ""price"") * AVERAGE(QUERY(GOOGLEFINANCE(C294, ""volume"", TODAY()-40, TODAY()), ""SELECT Col2 WHERE Col2 IS NOT "&amp;"NULL ORDER BY Col1 DESC LIMIT 20"", 0))
    )
  ), 
"""")"),"")</f>
        <v/>
      </c>
      <c r="K294" s="21" t="str">
        <f>IFERROR(__xludf.DUMMYFUNCTION("IFERROR(GOOGLEFINANCE(C294, ""changepct"") / 100, """")"),"")</f>
        <v/>
      </c>
      <c r="L294" s="21" t="str">
        <f>IFERROR(__xludf.DUMMYFUNCTION("IFERROR((GOOGLEFINANCE(C294, ""price"") / INDEX(GOOGLEFINANCE(C294, ""price"", TODAY()-7, TODAY()), 2, 2)) - 1, """")"),"")</f>
        <v/>
      </c>
      <c r="M294" s="21" t="str">
        <f>IFERROR(__xludf.DUMMYFUNCTION("IFERROR((GOOGLEFINANCE(C294, ""price"") / INDEX(GOOGLEFINANCE(C294, ""price"", EDATE(TODAY(), -1), TODAY()), 2, 2)) - 1, """")"),"")</f>
        <v/>
      </c>
      <c r="N294" s="21" t="str">
        <f>IFERROR(__xludf.DUMMYFUNCTION("IFERROR((GOOGLEFINANCE(C294, ""price"") / INDEX(GOOGLEFINANCE(C294, ""price"", EDATE(TODAY(), -3), TODAY()), 2, 2)) - 1, """")"),"")</f>
        <v/>
      </c>
      <c r="O294" s="21" t="str">
        <f>IFERROR(__xludf.DUMMYFUNCTION("IFERROR((GOOGLEFINANCE(C294, ""price"") / INDEX(GOOGLEFINANCE(C294, ""price"", EDATE(TODAY(), -6), TODAY()), 2, 2)) - 1, """")"),"")</f>
        <v/>
      </c>
      <c r="P294" s="21" t="str">
        <f>IFERROR(__xludf.DUMMYFUNCTION("IFERROR((GOOGLEFINANCE(C294, ""price"") / INDEX(GOOGLEFINANCE(C294, ""price"", EDATE(TODAY(), -12), TODAY()), 2, 2)) - 1, """")"),"")</f>
        <v/>
      </c>
      <c r="Q294" s="6" t="str">
        <f>IFERROR(__xludf.DUMMYFUNCTION("AVERAGE(QUERY(GOOGLEFINANCE(C294, ""price"", TODAY()-80, TODAY()), ""SELECT Col2 WHERE Col2 IS NOT NULL ORDER BY Col1 DESC LIMIT 50"", 0))"),"#N/A")</f>
        <v>#N/A</v>
      </c>
      <c r="R294" s="24" t="str">
        <f>IFERROR(__xludf.DUMMYFUNCTION("IFERROR(
  LET(
    data, QUERY(GOOGLEFINANCE(C294,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GOOGLEFINANCE(C294, ""price"")) * 100,
    IF(calc=0, G294, calc)
  ), 
G294)"),"#N/A")</f>
        <v>#N/A</v>
      </c>
      <c r="S294" s="8" t="s">
        <v>15</v>
      </c>
      <c r="T294" s="26" t="str">
        <f>IFERROR(__xludf.DUMMYFUNCTION("IFERROR(TRANSPOSE(QUERY(IFERROR(SORT(GOOGLEFINANCE(C294, ""price"", WORKDAY(TODAY(), -40), TODAY()), 1, FALSE)), ""select Col2 where Col2 is not null limit 22 label Col2 ''"", 0)), """")"),"")</f>
        <v/>
      </c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8"/>
      <c r="AO294" s="28"/>
      <c r="AP294" s="29"/>
      <c r="AQ294" s="29" t="str">
        <f t="shared" ref="AQ294:BL294" si="297">T294/T$2</f>
        <v>#N/A</v>
      </c>
      <c r="AR294" s="29" t="str">
        <f t="shared" si="297"/>
        <v>#DIV/0!</v>
      </c>
      <c r="AS294" s="29" t="str">
        <f t="shared" si="297"/>
        <v>#DIV/0!</v>
      </c>
      <c r="AT294" s="29" t="str">
        <f t="shared" si="297"/>
        <v>#DIV/0!</v>
      </c>
      <c r="AU294" s="29" t="str">
        <f t="shared" si="297"/>
        <v>#DIV/0!</v>
      </c>
      <c r="AV294" s="29" t="str">
        <f t="shared" si="297"/>
        <v>#DIV/0!</v>
      </c>
      <c r="AW294" s="29" t="str">
        <f t="shared" si="297"/>
        <v>#DIV/0!</v>
      </c>
      <c r="AX294" s="29" t="str">
        <f t="shared" si="297"/>
        <v>#DIV/0!</v>
      </c>
      <c r="AY294" s="29" t="str">
        <f t="shared" si="297"/>
        <v>#DIV/0!</v>
      </c>
      <c r="AZ294" s="29" t="str">
        <f t="shared" si="297"/>
        <v>#DIV/0!</v>
      </c>
      <c r="BA294" s="29" t="str">
        <f t="shared" si="297"/>
        <v>#DIV/0!</v>
      </c>
      <c r="BB294" s="29" t="str">
        <f t="shared" si="297"/>
        <v>#DIV/0!</v>
      </c>
      <c r="BC294" s="29" t="str">
        <f t="shared" si="297"/>
        <v>#DIV/0!</v>
      </c>
      <c r="BD294" s="29" t="str">
        <f t="shared" si="297"/>
        <v>#DIV/0!</v>
      </c>
      <c r="BE294" s="29" t="str">
        <f t="shared" si="297"/>
        <v>#DIV/0!</v>
      </c>
      <c r="BF294" s="29" t="str">
        <f t="shared" si="297"/>
        <v>#DIV/0!</v>
      </c>
      <c r="BG294" s="29" t="str">
        <f t="shared" si="297"/>
        <v>#DIV/0!</v>
      </c>
      <c r="BH294" s="29" t="str">
        <f t="shared" si="297"/>
        <v>#DIV/0!</v>
      </c>
      <c r="BI294" s="29" t="str">
        <f t="shared" si="297"/>
        <v>#DIV/0!</v>
      </c>
      <c r="BJ294" s="29" t="str">
        <f t="shared" si="297"/>
        <v>#DIV/0!</v>
      </c>
      <c r="BK294" s="29" t="str">
        <f t="shared" si="297"/>
        <v>#DIV/0!</v>
      </c>
      <c r="BL294" s="29" t="str">
        <f t="shared" si="297"/>
        <v>#DIV/0!</v>
      </c>
      <c r="BM294" s="29" t="str">
        <f t="shared" si="3"/>
        <v>#DIV/0!</v>
      </c>
    </row>
    <row r="295">
      <c r="A295" s="16" t="str">
        <f>IFERROR(__xludf.DUMMYFUNCTION("IFERROR(SPARKLINE(SORT(MAP(TRANSPOSE(AQ295:BL295), LAMBDA(val, IF(ISNUMBER(val), PERCENTRANK(AQ295:BL295, val)+0.01, 0))), SEQUENCE(COLUMNS(AQ295:BL295)), FALSE), {""charttype"",""column""; ""color"",""chartreuse""; ""ymin"", 0; ""ymax"", 1.01; ""highcolo"&amp;"r"", ""darkgreen""; ""lowcolor"", ""red""}), """")"),"")</f>
        <v/>
      </c>
      <c r="B295" s="17" t="str">
        <f t="shared" si="4"/>
        <v/>
      </c>
      <c r="C295" s="1" t="s">
        <v>1394</v>
      </c>
      <c r="D295" s="34" t="str">
        <f>IFERROR(__xludf.DUMMYFUNCTION("IFERROR(GOOGLEFINANCE(C295, ""NAME""))"),"Lincoln National Corp")</f>
        <v>Lincoln National Corp</v>
      </c>
      <c r="E295" s="30" t="s">
        <v>231</v>
      </c>
      <c r="F295" s="33" t="str">
        <f>IFERROR(__xludf.DUMMYFUNCTION("( (GOOGLEFINANCE(C295, ""price"") - Q295) / Q295 ) / (R295 / 100)"),"Loading...")</f>
        <v>Loading...</v>
      </c>
      <c r="G295" s="20" t="str">
        <f>IFERROR(__xludf.DUMMYFUNCTION("AVERAGE(ARRAYFORMULA(100 * (QUERY(GOOGLEFINANCE(C295, ""high"", TODAY()-40, TODAY()), ""SELECT Col2 WHERE Col2 IS NOT NULL ORDER BY Col1 DESC LIMIT 20"", 0) / QUERY(GOOGLEFINANCE(C295, ""low"", TODAY()-40, TODAY()), ""SELECT Col2 WHERE Col2 IS NOT NULL OR"&amp;"DER BY Col1 DESC LIMIT 20"", 0) - 1)))"),"#N/A")</f>
        <v>#N/A</v>
      </c>
      <c r="H295" s="35" t="str">
        <f t="shared" si="6"/>
        <v/>
      </c>
      <c r="I295" s="36" t="str">
        <f t="shared" si="7"/>
        <v/>
      </c>
      <c r="J295" s="37" t="str">
        <f>IFERROR(__xludf.DUMMYFUNCTION("IFERROR(
  IF(C295="""",, 
    IFERROR(
      GOOGLEFINANCE(C295, ""price"") * GOOGLEFINANCE(C295, ""volumeavg""), 
      GOOGLEFINANCE(C295, ""price"") * AVERAGE(QUERY(GOOGLEFINANCE(C295, ""volume"", TODAY()-40, TODAY()), ""SELECT Col2 WHERE Col2 IS NOT "&amp;"NULL ORDER BY Col1 DESC LIMIT 20"", 0))
    )
  ), 
"""")"),"")</f>
        <v/>
      </c>
      <c r="K295" s="21" t="str">
        <f>IFERROR(__xludf.DUMMYFUNCTION("IFERROR(GOOGLEFINANCE(C295, ""changepct"") / 100, """")"),"")</f>
        <v/>
      </c>
      <c r="L295" s="21" t="str">
        <f>IFERROR(__xludf.DUMMYFUNCTION("IFERROR((GOOGLEFINANCE(C295, ""price"") / INDEX(GOOGLEFINANCE(C295, ""price"", TODAY()-7, TODAY()), 2, 2)) - 1, """")"),"")</f>
        <v/>
      </c>
      <c r="M295" s="21" t="str">
        <f>IFERROR(__xludf.DUMMYFUNCTION("IFERROR((GOOGLEFINANCE(C295, ""price"") / INDEX(GOOGLEFINANCE(C295, ""price"", EDATE(TODAY(), -1), TODAY()), 2, 2)) - 1, """")"),"")</f>
        <v/>
      </c>
      <c r="N295" s="21" t="str">
        <f>IFERROR(__xludf.DUMMYFUNCTION("IFERROR((GOOGLEFINANCE(C295, ""price"") / INDEX(GOOGLEFINANCE(C295, ""price"", EDATE(TODAY(), -3), TODAY()), 2, 2)) - 1, """")"),"")</f>
        <v/>
      </c>
      <c r="O295" s="21" t="str">
        <f>IFERROR(__xludf.DUMMYFUNCTION("IFERROR((GOOGLEFINANCE(C295, ""price"") / INDEX(GOOGLEFINANCE(C295, ""price"", EDATE(TODAY(), -6), TODAY()), 2, 2)) - 1, """")"),"")</f>
        <v/>
      </c>
      <c r="P295" s="21" t="str">
        <f>IFERROR(__xludf.DUMMYFUNCTION("IFERROR((GOOGLEFINANCE(C295, ""price"") / INDEX(GOOGLEFINANCE(C295, ""price"", EDATE(TODAY(), -12), TODAY()), 2, 2)) - 1, """")"),"")</f>
        <v/>
      </c>
      <c r="Q295" s="6" t="str">
        <f>IFERROR(__xludf.DUMMYFUNCTION("AVERAGE(QUERY(GOOGLEFINANCE(C295, ""price"", TODAY()-80, TODAY()), ""SELECT Col2 WHERE Col2 IS NOT NULL ORDER BY Col1 DESC LIMIT 50"", 0))"),"#N/A")</f>
        <v>#N/A</v>
      </c>
      <c r="R295" s="24" t="str">
        <f>IFERROR(__xludf.DUMMYFUNCTION("IFERROR(
  LET(
    data, QUERY(GOOGLEFINANCE(C295,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GOOGLEFINANCE(C295, ""price"")) * 100,
    IF(calc=0, G295, calc)
  ), 
G295)"),"#N/A")</f>
        <v>#N/A</v>
      </c>
      <c r="S295" s="8" t="s">
        <v>15</v>
      </c>
      <c r="T295" s="26" t="str">
        <f>IFERROR(__xludf.DUMMYFUNCTION("IFERROR(TRANSPOSE(QUERY(IFERROR(SORT(GOOGLEFINANCE(C295, ""price"", WORKDAY(TODAY(), -40), TODAY()), 1, FALSE)), ""select Col2 where Col2 is not null limit 22 label Col2 ''"", 0)), """")"),"")</f>
        <v/>
      </c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8"/>
      <c r="AO295" s="28"/>
      <c r="AP295" s="29"/>
      <c r="AQ295" s="29" t="str">
        <f t="shared" ref="AQ295:BL295" si="298">T295/T$2</f>
        <v>#N/A</v>
      </c>
      <c r="AR295" s="29" t="str">
        <f t="shared" si="298"/>
        <v>#DIV/0!</v>
      </c>
      <c r="AS295" s="29" t="str">
        <f t="shared" si="298"/>
        <v>#DIV/0!</v>
      </c>
      <c r="AT295" s="29" t="str">
        <f t="shared" si="298"/>
        <v>#DIV/0!</v>
      </c>
      <c r="AU295" s="29" t="str">
        <f t="shared" si="298"/>
        <v>#DIV/0!</v>
      </c>
      <c r="AV295" s="29" t="str">
        <f t="shared" si="298"/>
        <v>#DIV/0!</v>
      </c>
      <c r="AW295" s="29" t="str">
        <f t="shared" si="298"/>
        <v>#DIV/0!</v>
      </c>
      <c r="AX295" s="29" t="str">
        <f t="shared" si="298"/>
        <v>#DIV/0!</v>
      </c>
      <c r="AY295" s="29" t="str">
        <f t="shared" si="298"/>
        <v>#DIV/0!</v>
      </c>
      <c r="AZ295" s="29" t="str">
        <f t="shared" si="298"/>
        <v>#DIV/0!</v>
      </c>
      <c r="BA295" s="29" t="str">
        <f t="shared" si="298"/>
        <v>#DIV/0!</v>
      </c>
      <c r="BB295" s="29" t="str">
        <f t="shared" si="298"/>
        <v>#DIV/0!</v>
      </c>
      <c r="BC295" s="29" t="str">
        <f t="shared" si="298"/>
        <v>#DIV/0!</v>
      </c>
      <c r="BD295" s="29" t="str">
        <f t="shared" si="298"/>
        <v>#DIV/0!</v>
      </c>
      <c r="BE295" s="29" t="str">
        <f t="shared" si="298"/>
        <v>#DIV/0!</v>
      </c>
      <c r="BF295" s="29" t="str">
        <f t="shared" si="298"/>
        <v>#DIV/0!</v>
      </c>
      <c r="BG295" s="29" t="str">
        <f t="shared" si="298"/>
        <v>#DIV/0!</v>
      </c>
      <c r="BH295" s="29" t="str">
        <f t="shared" si="298"/>
        <v>#DIV/0!</v>
      </c>
      <c r="BI295" s="29" t="str">
        <f t="shared" si="298"/>
        <v>#DIV/0!</v>
      </c>
      <c r="BJ295" s="29" t="str">
        <f t="shared" si="298"/>
        <v>#DIV/0!</v>
      </c>
      <c r="BK295" s="29" t="str">
        <f t="shared" si="298"/>
        <v>#DIV/0!</v>
      </c>
      <c r="BL295" s="29" t="str">
        <f t="shared" si="298"/>
        <v>#DIV/0!</v>
      </c>
      <c r="BM295" s="29" t="str">
        <f t="shared" si="3"/>
        <v>#DIV/0!</v>
      </c>
    </row>
    <row r="296">
      <c r="A296" s="16" t="str">
        <f>IFERROR(__xludf.DUMMYFUNCTION("IFERROR(SPARKLINE(SORT(MAP(TRANSPOSE(AQ296:BL296), LAMBDA(val, IF(ISNUMBER(val), PERCENTRANK(AQ296:BL296, val)+0.01, 0))), SEQUENCE(COLUMNS(AQ296:BL296)), FALSE), {""charttype"",""column""; ""color"",""chartreuse""; ""ymin"", 0; ""ymax"", 1.01; ""highcolo"&amp;"r"", ""darkgreen""; ""lowcolor"", ""red""}), """")"),"")</f>
        <v/>
      </c>
      <c r="B296" s="17" t="str">
        <f t="shared" si="4"/>
        <v/>
      </c>
      <c r="C296" s="1" t="s">
        <v>1398</v>
      </c>
      <c r="D296" s="34" t="str">
        <f>IFERROR(__xludf.DUMMYFUNCTION("IFERROR(GOOGLEFINANCE(C296, ""NAME""))"),"Alliancebernstein Holding LP")</f>
        <v>Alliancebernstein Holding LP</v>
      </c>
      <c r="E296" s="30" t="s">
        <v>64</v>
      </c>
      <c r="F296" s="33" t="str">
        <f>IFERROR(__xludf.DUMMYFUNCTION("( (GOOGLEFINANCE(C296, ""price"") - Q296) / Q296 ) / (R296 / 100)"),"Loading...")</f>
        <v>Loading...</v>
      </c>
      <c r="G296" s="20" t="str">
        <f>IFERROR(__xludf.DUMMYFUNCTION("AVERAGE(ARRAYFORMULA(100 * (QUERY(GOOGLEFINANCE(C296, ""high"", TODAY()-40, TODAY()), ""SELECT Col2 WHERE Col2 IS NOT NULL ORDER BY Col1 DESC LIMIT 20"", 0) / QUERY(GOOGLEFINANCE(C296, ""low"", TODAY()-40, TODAY()), ""SELECT Col2 WHERE Col2 IS NOT NULL OR"&amp;"DER BY Col1 DESC LIMIT 20"", 0) - 1)))"),"#N/A")</f>
        <v>#N/A</v>
      </c>
      <c r="H296" s="35" t="str">
        <f t="shared" si="6"/>
        <v/>
      </c>
      <c r="I296" s="36" t="str">
        <f t="shared" si="7"/>
        <v/>
      </c>
      <c r="J296" s="37" t="str">
        <f>IFERROR(__xludf.DUMMYFUNCTION("IFERROR(
  IF(C296="""",, 
    IFERROR(
      GOOGLEFINANCE(C296, ""price"") * GOOGLEFINANCE(C296, ""volumeavg""), 
      GOOGLEFINANCE(C296, ""price"") * AVERAGE(QUERY(GOOGLEFINANCE(C296, ""volume"", TODAY()-40, TODAY()), ""SELECT Col2 WHERE Col2 IS NOT "&amp;"NULL ORDER BY Col1 DESC LIMIT 20"", 0))
    )
  ), 
"""")"),"")</f>
        <v/>
      </c>
      <c r="K296" s="21" t="str">
        <f>IFERROR(__xludf.DUMMYFUNCTION("IFERROR(GOOGLEFINANCE(C296, ""changepct"") / 100, """")"),"")</f>
        <v/>
      </c>
      <c r="L296" s="21" t="str">
        <f>IFERROR(__xludf.DUMMYFUNCTION("IFERROR((GOOGLEFINANCE(C296, ""price"") / INDEX(GOOGLEFINANCE(C296, ""price"", TODAY()-7, TODAY()), 2, 2)) - 1, """")"),"")</f>
        <v/>
      </c>
      <c r="M296" s="21" t="str">
        <f>IFERROR(__xludf.DUMMYFUNCTION("IFERROR((GOOGLEFINANCE(C296, ""price"") / INDEX(GOOGLEFINANCE(C296, ""price"", EDATE(TODAY(), -1), TODAY()), 2, 2)) - 1, """")"),"")</f>
        <v/>
      </c>
      <c r="N296" s="21" t="str">
        <f>IFERROR(__xludf.DUMMYFUNCTION("IFERROR((GOOGLEFINANCE(C296, ""price"") / INDEX(GOOGLEFINANCE(C296, ""price"", EDATE(TODAY(), -3), TODAY()), 2, 2)) - 1, """")"),"")</f>
        <v/>
      </c>
      <c r="O296" s="21" t="str">
        <f>IFERROR(__xludf.DUMMYFUNCTION("IFERROR((GOOGLEFINANCE(C296, ""price"") / INDEX(GOOGLEFINANCE(C296, ""price"", EDATE(TODAY(), -6), TODAY()), 2, 2)) - 1, """")"),"")</f>
        <v/>
      </c>
      <c r="P296" s="21" t="str">
        <f>IFERROR(__xludf.DUMMYFUNCTION("IFERROR((GOOGLEFINANCE(C296, ""price"") / INDEX(GOOGLEFINANCE(C296, ""price"", EDATE(TODAY(), -12), TODAY()), 2, 2)) - 1, """")"),"")</f>
        <v/>
      </c>
      <c r="Q296" s="6" t="str">
        <f>IFERROR(__xludf.DUMMYFUNCTION("AVERAGE(QUERY(GOOGLEFINANCE(C296, ""price"", TODAY()-80, TODAY()), ""SELECT Col2 WHERE Col2 IS NOT NULL ORDER BY Col1 DESC LIMIT 50"", 0))"),"#N/A")</f>
        <v>#N/A</v>
      </c>
      <c r="R296" s="24" t="str">
        <f>IFERROR(__xludf.DUMMYFUNCTION("IFERROR(
  LET(
    data, QUERY(GOOGLEFINANCE(C296,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GOOGLEFINANCE(C296, ""price"")) * 100,
    IF(calc=0, G296, calc)
  ), 
G296)"),"#N/A")</f>
        <v>#N/A</v>
      </c>
      <c r="S296" s="8" t="s">
        <v>15</v>
      </c>
      <c r="T296" s="26" t="str">
        <f>IFERROR(__xludf.DUMMYFUNCTION("IFERROR(TRANSPOSE(QUERY(IFERROR(SORT(GOOGLEFINANCE(C296, ""price"", WORKDAY(TODAY(), -40), TODAY()), 1, FALSE)), ""select Col2 where Col2 is not null limit 22 label Col2 ''"", 0)), """")"),"")</f>
        <v/>
      </c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8"/>
      <c r="AO296" s="28"/>
      <c r="AP296" s="29"/>
      <c r="AQ296" s="29" t="str">
        <f t="shared" ref="AQ296:BL296" si="299">T296/T$2</f>
        <v>#N/A</v>
      </c>
      <c r="AR296" s="29" t="str">
        <f t="shared" si="299"/>
        <v>#DIV/0!</v>
      </c>
      <c r="AS296" s="29" t="str">
        <f t="shared" si="299"/>
        <v>#DIV/0!</v>
      </c>
      <c r="AT296" s="29" t="str">
        <f t="shared" si="299"/>
        <v>#DIV/0!</v>
      </c>
      <c r="AU296" s="29" t="str">
        <f t="shared" si="299"/>
        <v>#DIV/0!</v>
      </c>
      <c r="AV296" s="29" t="str">
        <f t="shared" si="299"/>
        <v>#DIV/0!</v>
      </c>
      <c r="AW296" s="29" t="str">
        <f t="shared" si="299"/>
        <v>#DIV/0!</v>
      </c>
      <c r="AX296" s="29" t="str">
        <f t="shared" si="299"/>
        <v>#DIV/0!</v>
      </c>
      <c r="AY296" s="29" t="str">
        <f t="shared" si="299"/>
        <v>#DIV/0!</v>
      </c>
      <c r="AZ296" s="29" t="str">
        <f t="shared" si="299"/>
        <v>#DIV/0!</v>
      </c>
      <c r="BA296" s="29" t="str">
        <f t="shared" si="299"/>
        <v>#DIV/0!</v>
      </c>
      <c r="BB296" s="29" t="str">
        <f t="shared" si="299"/>
        <v>#DIV/0!</v>
      </c>
      <c r="BC296" s="29" t="str">
        <f t="shared" si="299"/>
        <v>#DIV/0!</v>
      </c>
      <c r="BD296" s="29" t="str">
        <f t="shared" si="299"/>
        <v>#DIV/0!</v>
      </c>
      <c r="BE296" s="29" t="str">
        <f t="shared" si="299"/>
        <v>#DIV/0!</v>
      </c>
      <c r="BF296" s="29" t="str">
        <f t="shared" si="299"/>
        <v>#DIV/0!</v>
      </c>
      <c r="BG296" s="29" t="str">
        <f t="shared" si="299"/>
        <v>#DIV/0!</v>
      </c>
      <c r="BH296" s="29" t="str">
        <f t="shared" si="299"/>
        <v>#DIV/0!</v>
      </c>
      <c r="BI296" s="29" t="str">
        <f t="shared" si="299"/>
        <v>#DIV/0!</v>
      </c>
      <c r="BJ296" s="29" t="str">
        <f t="shared" si="299"/>
        <v>#DIV/0!</v>
      </c>
      <c r="BK296" s="29" t="str">
        <f t="shared" si="299"/>
        <v>#DIV/0!</v>
      </c>
      <c r="BL296" s="29" t="str">
        <f t="shared" si="299"/>
        <v>#DIV/0!</v>
      </c>
      <c r="BM296" s="29" t="str">
        <f t="shared" si="3"/>
        <v>#DIV/0!</v>
      </c>
    </row>
    <row r="297">
      <c r="A297" s="16" t="str">
        <f>IFERROR(__xludf.DUMMYFUNCTION("IFERROR(SPARKLINE(SORT(MAP(TRANSPOSE(AQ297:BL297), LAMBDA(val, IF(ISNUMBER(val), PERCENTRANK(AQ297:BL297, val)+0.01, 0))), SEQUENCE(COLUMNS(AQ297:BL297)), FALSE), {""charttype"",""column""; ""color"",""chartreuse""; ""ymin"", 0; ""ymax"", 1.01; ""highcolo"&amp;"r"", ""darkgreen""; ""lowcolor"", ""red""}), """")"),"")</f>
        <v/>
      </c>
      <c r="B297" s="17" t="str">
        <f t="shared" si="4"/>
        <v/>
      </c>
      <c r="C297" s="1" t="s">
        <v>1402</v>
      </c>
      <c r="D297" s="34" t="str">
        <f>IFERROR(__xludf.DUMMYFUNCTION("IFERROR(GOOGLEFINANCE(C297, ""NAME""))"),"Commerce Bancshares Inc")</f>
        <v>Commerce Bancshares Inc</v>
      </c>
      <c r="E297" s="30" t="s">
        <v>268</v>
      </c>
      <c r="F297" s="33" t="str">
        <f>IFERROR(__xludf.DUMMYFUNCTION("( (GOOGLEFINANCE(C297, ""price"") - Q297) / Q297 ) / (R297 / 100)"),"Loading...")</f>
        <v>Loading...</v>
      </c>
      <c r="G297" s="20" t="str">
        <f>IFERROR(__xludf.DUMMYFUNCTION("AVERAGE(ARRAYFORMULA(100 * (QUERY(GOOGLEFINANCE(C297, ""high"", TODAY()-40, TODAY()), ""SELECT Col2 WHERE Col2 IS NOT NULL ORDER BY Col1 DESC LIMIT 20"", 0) / QUERY(GOOGLEFINANCE(C297, ""low"", TODAY()-40, TODAY()), ""SELECT Col2 WHERE Col2 IS NOT NULL OR"&amp;"DER BY Col1 DESC LIMIT 20"", 0) - 1)))"),"#N/A")</f>
        <v>#N/A</v>
      </c>
      <c r="H297" s="35" t="str">
        <f t="shared" si="6"/>
        <v/>
      </c>
      <c r="I297" s="36" t="str">
        <f t="shared" si="7"/>
        <v/>
      </c>
      <c r="J297" s="37" t="str">
        <f>IFERROR(__xludf.DUMMYFUNCTION("IFERROR(
  IF(C297="""",, 
    IFERROR(
      GOOGLEFINANCE(C297, ""price"") * GOOGLEFINANCE(C297, ""volumeavg""), 
      GOOGLEFINANCE(C297, ""price"") * AVERAGE(QUERY(GOOGLEFINANCE(C297, ""volume"", TODAY()-40, TODAY()), ""SELECT Col2 WHERE Col2 IS NOT "&amp;"NULL ORDER BY Col1 DESC LIMIT 20"", 0))
    )
  ), 
"""")"),"")</f>
        <v/>
      </c>
      <c r="K297" s="21" t="str">
        <f>IFERROR(__xludf.DUMMYFUNCTION("IFERROR(GOOGLEFINANCE(C297, ""changepct"") / 100, """")"),"")</f>
        <v/>
      </c>
      <c r="L297" s="21" t="str">
        <f>IFERROR(__xludf.DUMMYFUNCTION("IFERROR((GOOGLEFINANCE(C297, ""price"") / INDEX(GOOGLEFINANCE(C297, ""price"", TODAY()-7, TODAY()), 2, 2)) - 1, """")"),"")</f>
        <v/>
      </c>
      <c r="M297" s="21" t="str">
        <f>IFERROR(__xludf.DUMMYFUNCTION("IFERROR((GOOGLEFINANCE(C297, ""price"") / INDEX(GOOGLEFINANCE(C297, ""price"", EDATE(TODAY(), -1), TODAY()), 2, 2)) - 1, """")"),"")</f>
        <v/>
      </c>
      <c r="N297" s="21" t="str">
        <f>IFERROR(__xludf.DUMMYFUNCTION("IFERROR((GOOGLEFINANCE(C297, ""price"") / INDEX(GOOGLEFINANCE(C297, ""price"", EDATE(TODAY(), -3), TODAY()), 2, 2)) - 1, """")"),"")</f>
        <v/>
      </c>
      <c r="O297" s="21" t="str">
        <f>IFERROR(__xludf.DUMMYFUNCTION("IFERROR((GOOGLEFINANCE(C297, ""price"") / INDEX(GOOGLEFINANCE(C297, ""price"", EDATE(TODAY(), -6), TODAY()), 2, 2)) - 1, """")"),"")</f>
        <v/>
      </c>
      <c r="P297" s="21" t="str">
        <f>IFERROR(__xludf.DUMMYFUNCTION("IFERROR((GOOGLEFINANCE(C297, ""price"") / INDEX(GOOGLEFINANCE(C297, ""price"", EDATE(TODAY(), -12), TODAY()), 2, 2)) - 1, """")"),"")</f>
        <v/>
      </c>
      <c r="Q297" s="6" t="str">
        <f>IFERROR(__xludf.DUMMYFUNCTION("AVERAGE(QUERY(GOOGLEFINANCE(C297, ""price"", TODAY()-80, TODAY()), ""SELECT Col2 WHERE Col2 IS NOT NULL ORDER BY Col1 DESC LIMIT 50"", 0))"),"#N/A")</f>
        <v>#N/A</v>
      </c>
      <c r="R297" s="24" t="str">
        <f>IFERROR(__xludf.DUMMYFUNCTION("IFERROR(
  LET(
    data, QUERY(GOOGLEFINANCE(C297,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GOOGLEFINANCE(C297, ""price"")) * 100,
    IF(calc=0, G297, calc)
  ), 
G297)"),"#N/A")</f>
        <v>#N/A</v>
      </c>
      <c r="S297" s="8" t="s">
        <v>15</v>
      </c>
      <c r="T297" s="26" t="str">
        <f>IFERROR(__xludf.DUMMYFUNCTION("IFERROR(TRANSPOSE(QUERY(IFERROR(SORT(GOOGLEFINANCE(C297, ""price"", WORKDAY(TODAY(), -40), TODAY()), 1, FALSE)), ""select Col2 where Col2 is not null limit 22 label Col2 ''"", 0)), """")"),"")</f>
        <v/>
      </c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8"/>
      <c r="AO297" s="28"/>
      <c r="AP297" s="29"/>
      <c r="AQ297" s="29" t="str">
        <f t="shared" ref="AQ297:BL297" si="300">T297/T$2</f>
        <v>#N/A</v>
      </c>
      <c r="AR297" s="29" t="str">
        <f t="shared" si="300"/>
        <v>#DIV/0!</v>
      </c>
      <c r="AS297" s="29" t="str">
        <f t="shared" si="300"/>
        <v>#DIV/0!</v>
      </c>
      <c r="AT297" s="29" t="str">
        <f t="shared" si="300"/>
        <v>#DIV/0!</v>
      </c>
      <c r="AU297" s="29" t="str">
        <f t="shared" si="300"/>
        <v>#DIV/0!</v>
      </c>
      <c r="AV297" s="29" t="str">
        <f t="shared" si="300"/>
        <v>#DIV/0!</v>
      </c>
      <c r="AW297" s="29" t="str">
        <f t="shared" si="300"/>
        <v>#DIV/0!</v>
      </c>
      <c r="AX297" s="29" t="str">
        <f t="shared" si="300"/>
        <v>#DIV/0!</v>
      </c>
      <c r="AY297" s="29" t="str">
        <f t="shared" si="300"/>
        <v>#DIV/0!</v>
      </c>
      <c r="AZ297" s="29" t="str">
        <f t="shared" si="300"/>
        <v>#DIV/0!</v>
      </c>
      <c r="BA297" s="29" t="str">
        <f t="shared" si="300"/>
        <v>#DIV/0!</v>
      </c>
      <c r="BB297" s="29" t="str">
        <f t="shared" si="300"/>
        <v>#DIV/0!</v>
      </c>
      <c r="BC297" s="29" t="str">
        <f t="shared" si="300"/>
        <v>#DIV/0!</v>
      </c>
      <c r="BD297" s="29" t="str">
        <f t="shared" si="300"/>
        <v>#DIV/0!</v>
      </c>
      <c r="BE297" s="29" t="str">
        <f t="shared" si="300"/>
        <v>#DIV/0!</v>
      </c>
      <c r="BF297" s="29" t="str">
        <f t="shared" si="300"/>
        <v>#DIV/0!</v>
      </c>
      <c r="BG297" s="29" t="str">
        <f t="shared" si="300"/>
        <v>#DIV/0!</v>
      </c>
      <c r="BH297" s="29" t="str">
        <f t="shared" si="300"/>
        <v>#DIV/0!</v>
      </c>
      <c r="BI297" s="29" t="str">
        <f t="shared" si="300"/>
        <v>#DIV/0!</v>
      </c>
      <c r="BJ297" s="29" t="str">
        <f t="shared" si="300"/>
        <v>#DIV/0!</v>
      </c>
      <c r="BK297" s="29" t="str">
        <f t="shared" si="300"/>
        <v>#DIV/0!</v>
      </c>
      <c r="BL297" s="29" t="str">
        <f t="shared" si="300"/>
        <v>#DIV/0!</v>
      </c>
      <c r="BM297" s="29" t="str">
        <f t="shared" si="3"/>
        <v>#DIV/0!</v>
      </c>
    </row>
    <row r="298">
      <c r="A298" s="16" t="str">
        <f>IFERROR(__xludf.DUMMYFUNCTION("IFERROR(SPARKLINE(SORT(MAP(TRANSPOSE(AQ298:BL298), LAMBDA(val, IF(ISNUMBER(val), PERCENTRANK(AQ298:BL298, val)+0.01, 0))), SEQUENCE(COLUMNS(AQ298:BL298)), FALSE), {""charttype"",""column""; ""color"",""chartreuse""; ""ymin"", 0; ""ymax"", 1.01; ""highcolo"&amp;"r"", ""darkgreen""; ""lowcolor"", ""red""}), """")"),"")</f>
        <v/>
      </c>
      <c r="B298" s="17" t="str">
        <f t="shared" si="4"/>
        <v/>
      </c>
      <c r="C298" s="1" t="s">
        <v>1405</v>
      </c>
      <c r="D298" s="34" t="str">
        <f>IFERROR(__xludf.DUMMYFUNCTION("IFERROR(GOOGLEFINANCE(C298, ""NAME""))"),"Zions Bancorporation, National Associatn")</f>
        <v>Zions Bancorporation, National Associatn</v>
      </c>
      <c r="E298" s="30" t="s">
        <v>268</v>
      </c>
      <c r="F298" s="33" t="str">
        <f>IFERROR(__xludf.DUMMYFUNCTION("( (GOOGLEFINANCE(C298, ""price"") - Q298) / Q298 ) / (R298 / 100)"),"Loading...")</f>
        <v>Loading...</v>
      </c>
      <c r="G298" s="20" t="str">
        <f>IFERROR(__xludf.DUMMYFUNCTION("AVERAGE(ARRAYFORMULA(100 * (QUERY(GOOGLEFINANCE(C298, ""high"", TODAY()-40, TODAY()), ""SELECT Col2 WHERE Col2 IS NOT NULL ORDER BY Col1 DESC LIMIT 20"", 0) / QUERY(GOOGLEFINANCE(C298, ""low"", TODAY()-40, TODAY()), ""SELECT Col2 WHERE Col2 IS NOT NULL OR"&amp;"DER BY Col1 DESC LIMIT 20"", 0) - 1)))"),"#N/A")</f>
        <v>#N/A</v>
      </c>
      <c r="H298" s="35" t="str">
        <f t="shared" si="6"/>
        <v/>
      </c>
      <c r="I298" s="36" t="str">
        <f t="shared" si="7"/>
        <v/>
      </c>
      <c r="J298" s="37" t="str">
        <f>IFERROR(__xludf.DUMMYFUNCTION("IFERROR(
  IF(C298="""",, 
    IFERROR(
      GOOGLEFINANCE(C298, ""price"") * GOOGLEFINANCE(C298, ""volumeavg""), 
      GOOGLEFINANCE(C298, ""price"") * AVERAGE(QUERY(GOOGLEFINANCE(C298, ""volume"", TODAY()-40, TODAY()), ""SELECT Col2 WHERE Col2 IS NOT "&amp;"NULL ORDER BY Col1 DESC LIMIT 20"", 0))
    )
  ), 
"""")"),"")</f>
        <v/>
      </c>
      <c r="K298" s="21" t="str">
        <f>IFERROR(__xludf.DUMMYFUNCTION("IFERROR(GOOGLEFINANCE(C298, ""changepct"") / 100, """")"),"")</f>
        <v/>
      </c>
      <c r="L298" s="21" t="str">
        <f>IFERROR(__xludf.DUMMYFUNCTION("IFERROR((GOOGLEFINANCE(C298, ""price"") / INDEX(GOOGLEFINANCE(C298, ""price"", TODAY()-7, TODAY()), 2, 2)) - 1, """")"),"")</f>
        <v/>
      </c>
      <c r="M298" s="21" t="str">
        <f>IFERROR(__xludf.DUMMYFUNCTION("IFERROR((GOOGLEFINANCE(C298, ""price"") / INDEX(GOOGLEFINANCE(C298, ""price"", EDATE(TODAY(), -1), TODAY()), 2, 2)) - 1, """")"),"")</f>
        <v/>
      </c>
      <c r="N298" s="21" t="str">
        <f>IFERROR(__xludf.DUMMYFUNCTION("IFERROR((GOOGLEFINANCE(C298, ""price"") / INDEX(GOOGLEFINANCE(C298, ""price"", EDATE(TODAY(), -3), TODAY()), 2, 2)) - 1, """")"),"")</f>
        <v/>
      </c>
      <c r="O298" s="21" t="str">
        <f>IFERROR(__xludf.DUMMYFUNCTION("IFERROR((GOOGLEFINANCE(C298, ""price"") / INDEX(GOOGLEFINANCE(C298, ""price"", EDATE(TODAY(), -6), TODAY()), 2, 2)) - 1, """")"),"")</f>
        <v/>
      </c>
      <c r="P298" s="21" t="str">
        <f>IFERROR(__xludf.DUMMYFUNCTION("IFERROR((GOOGLEFINANCE(C298, ""price"") / INDEX(GOOGLEFINANCE(C298, ""price"", EDATE(TODAY(), -12), TODAY()), 2, 2)) - 1, """")"),"")</f>
        <v/>
      </c>
      <c r="Q298" s="6" t="str">
        <f>IFERROR(__xludf.DUMMYFUNCTION("AVERAGE(QUERY(GOOGLEFINANCE(C298, ""price"", TODAY()-80, TODAY()), ""SELECT Col2 WHERE Col2 IS NOT NULL ORDER BY Col1 DESC LIMIT 50"", 0))"),"#N/A")</f>
        <v>#N/A</v>
      </c>
      <c r="R298" s="24" t="str">
        <f>IFERROR(__xludf.DUMMYFUNCTION("IFERROR(
  LET(
    data, QUERY(GOOGLEFINANCE(C298,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GOOGLEFINANCE(C298, ""price"")) * 100,
    IF(calc=0, G298, calc)
  ), 
G298)"),"#N/A")</f>
        <v>#N/A</v>
      </c>
      <c r="S298" s="8" t="s">
        <v>15</v>
      </c>
      <c r="T298" s="26" t="str">
        <f>IFERROR(__xludf.DUMMYFUNCTION("IFERROR(TRANSPOSE(QUERY(IFERROR(SORT(GOOGLEFINANCE(C298, ""price"", WORKDAY(TODAY(), -40), TODAY()), 1, FALSE)), ""select Col2 where Col2 is not null limit 22 label Col2 ''"", 0)), """")"),"")</f>
        <v/>
      </c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8"/>
      <c r="AO298" s="28"/>
      <c r="AP298" s="29"/>
      <c r="AQ298" s="29" t="str">
        <f t="shared" ref="AQ298:BL298" si="301">T298/T$2</f>
        <v>#N/A</v>
      </c>
      <c r="AR298" s="29" t="str">
        <f t="shared" si="301"/>
        <v>#DIV/0!</v>
      </c>
      <c r="AS298" s="29" t="str">
        <f t="shared" si="301"/>
        <v>#DIV/0!</v>
      </c>
      <c r="AT298" s="29" t="str">
        <f t="shared" si="301"/>
        <v>#DIV/0!</v>
      </c>
      <c r="AU298" s="29" t="str">
        <f t="shared" si="301"/>
        <v>#DIV/0!</v>
      </c>
      <c r="AV298" s="29" t="str">
        <f t="shared" si="301"/>
        <v>#DIV/0!</v>
      </c>
      <c r="AW298" s="29" t="str">
        <f t="shared" si="301"/>
        <v>#DIV/0!</v>
      </c>
      <c r="AX298" s="29" t="str">
        <f t="shared" si="301"/>
        <v>#DIV/0!</v>
      </c>
      <c r="AY298" s="29" t="str">
        <f t="shared" si="301"/>
        <v>#DIV/0!</v>
      </c>
      <c r="AZ298" s="29" t="str">
        <f t="shared" si="301"/>
        <v>#DIV/0!</v>
      </c>
      <c r="BA298" s="29" t="str">
        <f t="shared" si="301"/>
        <v>#DIV/0!</v>
      </c>
      <c r="BB298" s="29" t="str">
        <f t="shared" si="301"/>
        <v>#DIV/0!</v>
      </c>
      <c r="BC298" s="29" t="str">
        <f t="shared" si="301"/>
        <v>#DIV/0!</v>
      </c>
      <c r="BD298" s="29" t="str">
        <f t="shared" si="301"/>
        <v>#DIV/0!</v>
      </c>
      <c r="BE298" s="29" t="str">
        <f t="shared" si="301"/>
        <v>#DIV/0!</v>
      </c>
      <c r="BF298" s="29" t="str">
        <f t="shared" si="301"/>
        <v>#DIV/0!</v>
      </c>
      <c r="BG298" s="29" t="str">
        <f t="shared" si="301"/>
        <v>#DIV/0!</v>
      </c>
      <c r="BH298" s="29" t="str">
        <f t="shared" si="301"/>
        <v>#DIV/0!</v>
      </c>
      <c r="BI298" s="29" t="str">
        <f t="shared" si="301"/>
        <v>#DIV/0!</v>
      </c>
      <c r="BJ298" s="29" t="str">
        <f t="shared" si="301"/>
        <v>#DIV/0!</v>
      </c>
      <c r="BK298" s="29" t="str">
        <f t="shared" si="301"/>
        <v>#DIV/0!</v>
      </c>
      <c r="BL298" s="29" t="str">
        <f t="shared" si="301"/>
        <v>#DIV/0!</v>
      </c>
      <c r="BM298" s="29" t="str">
        <f t="shared" si="3"/>
        <v>#DIV/0!</v>
      </c>
    </row>
    <row r="299">
      <c r="A299" s="16" t="str">
        <f>IFERROR(__xludf.DUMMYFUNCTION("IFERROR(SPARKLINE(SORT(MAP(TRANSPOSE(AQ299:BL299), LAMBDA(val, IF(ISNUMBER(val), PERCENTRANK(AQ299:BL299, val)+0.01, 0))), SEQUENCE(COLUMNS(AQ299:BL299)), FALSE), {""charttype"",""column""; ""color"",""chartreuse""; ""ymin"", 0; ""ymax"", 1.01; ""highcolo"&amp;"r"", ""darkgreen""; ""lowcolor"", ""red""}), """")"),"")</f>
        <v/>
      </c>
      <c r="B299" s="17" t="str">
        <f t="shared" si="4"/>
        <v/>
      </c>
      <c r="C299" s="1" t="s">
        <v>1408</v>
      </c>
      <c r="D299" s="34" t="str">
        <f>IFERROR(__xludf.DUMMYFUNCTION("IFERROR(GOOGLEFINANCE(C299, ""NAME""))"),"Reinsurance Group of America Inc")</f>
        <v>Reinsurance Group of America Inc</v>
      </c>
      <c r="E299" s="30" t="s">
        <v>1409</v>
      </c>
      <c r="F299" s="38" t="str">
        <f>IFERROR(__xludf.DUMMYFUNCTION("( (GOOGLEFINANCE(C299, ""price"") - Q299) / Q299 ) / (R299 / 100)"),"Loading...")</f>
        <v>Loading...</v>
      </c>
      <c r="G299" s="20" t="str">
        <f>IFERROR(__xludf.DUMMYFUNCTION("AVERAGE(ARRAYFORMULA(100 * (QUERY(GOOGLEFINANCE(C299, ""high"", TODAY()-40, TODAY()), ""SELECT Col2 WHERE Col2 IS NOT NULL ORDER BY Col1 DESC LIMIT 20"", 0) / QUERY(GOOGLEFINANCE(C299, ""low"", TODAY()-40, TODAY()), ""SELECT Col2 WHERE Col2 IS NOT NULL OR"&amp;"DER BY Col1 DESC LIMIT 20"", 0) - 1)))"),"#N/A")</f>
        <v>#N/A</v>
      </c>
      <c r="H299" s="35" t="str">
        <f t="shared" si="6"/>
        <v/>
      </c>
      <c r="I299" s="36" t="str">
        <f t="shared" si="7"/>
        <v/>
      </c>
      <c r="J299" s="37" t="str">
        <f>IFERROR(__xludf.DUMMYFUNCTION("IFERROR(
  IF(C299="""",, 
    IFERROR(
      GOOGLEFINANCE(C299, ""price"") * GOOGLEFINANCE(C299, ""volumeavg""), 
      GOOGLEFINANCE(C299, ""price"") * AVERAGE(QUERY(GOOGLEFINANCE(C299, ""volume"", TODAY()-40, TODAY()), ""SELECT Col2 WHERE Col2 IS NOT "&amp;"NULL ORDER BY Col1 DESC LIMIT 20"", 0))
    )
  ), 
"""")"),"")</f>
        <v/>
      </c>
      <c r="K299" s="21" t="str">
        <f>IFERROR(__xludf.DUMMYFUNCTION("IFERROR(GOOGLEFINANCE(C299, ""changepct"") / 100, """")"),"")</f>
        <v/>
      </c>
      <c r="L299" s="21" t="str">
        <f>IFERROR(__xludf.DUMMYFUNCTION("IFERROR((GOOGLEFINANCE(C299, ""price"") / INDEX(GOOGLEFINANCE(C299, ""price"", TODAY()-7, TODAY()), 2, 2)) - 1, """")"),"")</f>
        <v/>
      </c>
      <c r="M299" s="21" t="str">
        <f>IFERROR(__xludf.DUMMYFUNCTION("IFERROR((GOOGLEFINANCE(C299, ""price"") / INDEX(GOOGLEFINANCE(C299, ""price"", EDATE(TODAY(), -1), TODAY()), 2, 2)) - 1, """")"),"")</f>
        <v/>
      </c>
      <c r="N299" s="21" t="str">
        <f>IFERROR(__xludf.DUMMYFUNCTION("IFERROR((GOOGLEFINANCE(C299, ""price"") / INDEX(GOOGLEFINANCE(C299, ""price"", EDATE(TODAY(), -3), TODAY()), 2, 2)) - 1, """")"),"")</f>
        <v/>
      </c>
      <c r="O299" s="21" t="str">
        <f>IFERROR(__xludf.DUMMYFUNCTION("IFERROR((GOOGLEFINANCE(C299, ""price"") / INDEX(GOOGLEFINANCE(C299, ""price"", EDATE(TODAY(), -6), TODAY()), 2, 2)) - 1, """")"),"")</f>
        <v/>
      </c>
      <c r="P299" s="21" t="str">
        <f>IFERROR(__xludf.DUMMYFUNCTION("IFERROR((GOOGLEFINANCE(C299, ""price"") / INDEX(GOOGLEFINANCE(C299, ""price"", EDATE(TODAY(), -12), TODAY()), 2, 2)) - 1, """")"),"")</f>
        <v/>
      </c>
      <c r="Q299" s="6" t="str">
        <f>IFERROR(__xludf.DUMMYFUNCTION("AVERAGE(QUERY(GOOGLEFINANCE(C299, ""price"", TODAY()-80, TODAY()), ""SELECT Col2 WHERE Col2 IS NOT NULL ORDER BY Col1 DESC LIMIT 50"", 0))"),"#N/A")</f>
        <v>#N/A</v>
      </c>
      <c r="R299" s="24" t="str">
        <f>IFERROR(__xludf.DUMMYFUNCTION("IFERROR(
  LET(
    data, QUERY(GOOGLEFINANCE(C299,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GOOGLEFINANCE(C299, ""price"")) * 100,
    IF(calc=0, G299, calc)
  ), 
G299)"),"#N/A")</f>
        <v>#N/A</v>
      </c>
      <c r="S299" s="8" t="s">
        <v>15</v>
      </c>
      <c r="T299" s="26" t="str">
        <f>IFERROR(__xludf.DUMMYFUNCTION("IFERROR(TRANSPOSE(QUERY(IFERROR(SORT(GOOGLEFINANCE(C299, ""price"", WORKDAY(TODAY(), -40), TODAY()), 1, FALSE)), ""select Col2 where Col2 is not null limit 22 label Col2 ''"", 0)), """")"),"")</f>
        <v/>
      </c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8"/>
      <c r="AO299" s="28"/>
      <c r="AP299" s="29"/>
      <c r="AQ299" s="29" t="str">
        <f t="shared" ref="AQ299:BL299" si="302">T299/T$2</f>
        <v>#N/A</v>
      </c>
      <c r="AR299" s="29" t="str">
        <f t="shared" si="302"/>
        <v>#DIV/0!</v>
      </c>
      <c r="AS299" s="29" t="str">
        <f t="shared" si="302"/>
        <v>#DIV/0!</v>
      </c>
      <c r="AT299" s="29" t="str">
        <f t="shared" si="302"/>
        <v>#DIV/0!</v>
      </c>
      <c r="AU299" s="29" t="str">
        <f t="shared" si="302"/>
        <v>#DIV/0!</v>
      </c>
      <c r="AV299" s="29" t="str">
        <f t="shared" si="302"/>
        <v>#DIV/0!</v>
      </c>
      <c r="AW299" s="29" t="str">
        <f t="shared" si="302"/>
        <v>#DIV/0!</v>
      </c>
      <c r="AX299" s="29" t="str">
        <f t="shared" si="302"/>
        <v>#DIV/0!</v>
      </c>
      <c r="AY299" s="29" t="str">
        <f t="shared" si="302"/>
        <v>#DIV/0!</v>
      </c>
      <c r="AZ299" s="29" t="str">
        <f t="shared" si="302"/>
        <v>#DIV/0!</v>
      </c>
      <c r="BA299" s="29" t="str">
        <f t="shared" si="302"/>
        <v>#DIV/0!</v>
      </c>
      <c r="BB299" s="29" t="str">
        <f t="shared" si="302"/>
        <v>#DIV/0!</v>
      </c>
      <c r="BC299" s="29" t="str">
        <f t="shared" si="302"/>
        <v>#DIV/0!</v>
      </c>
      <c r="BD299" s="29" t="str">
        <f t="shared" si="302"/>
        <v>#DIV/0!</v>
      </c>
      <c r="BE299" s="29" t="str">
        <f t="shared" si="302"/>
        <v>#DIV/0!</v>
      </c>
      <c r="BF299" s="29" t="str">
        <f t="shared" si="302"/>
        <v>#DIV/0!</v>
      </c>
      <c r="BG299" s="29" t="str">
        <f t="shared" si="302"/>
        <v>#DIV/0!</v>
      </c>
      <c r="BH299" s="29" t="str">
        <f t="shared" si="302"/>
        <v>#DIV/0!</v>
      </c>
      <c r="BI299" s="29" t="str">
        <f t="shared" si="302"/>
        <v>#DIV/0!</v>
      </c>
      <c r="BJ299" s="29" t="str">
        <f t="shared" si="302"/>
        <v>#DIV/0!</v>
      </c>
      <c r="BK299" s="29" t="str">
        <f t="shared" si="302"/>
        <v>#DIV/0!</v>
      </c>
      <c r="BL299" s="29" t="str">
        <f t="shared" si="302"/>
        <v>#DIV/0!</v>
      </c>
      <c r="BM299" s="29" t="str">
        <f t="shared" si="3"/>
        <v>#DIV/0!</v>
      </c>
    </row>
    <row r="300">
      <c r="A300" s="16" t="str">
        <f>IFERROR(__xludf.DUMMYFUNCTION("IFERROR(SPARKLINE(SORT(MAP(TRANSPOSE(AQ300:BL300), LAMBDA(val, IF(ISNUMBER(val), PERCENTRANK(AQ300:BL300, val)+0.01, 0))), SEQUENCE(COLUMNS(AQ300:BL300)), FALSE), {""charttype"",""column""; ""color"",""chartreuse""; ""ymin"", 0; ""ymax"", 1.01; ""highcolo"&amp;"r"", ""darkgreen""; ""lowcolor"", ""red""}), """")"),"")</f>
        <v/>
      </c>
      <c r="B300" s="17" t="str">
        <f t="shared" si="4"/>
        <v/>
      </c>
      <c r="C300" s="1" t="s">
        <v>1413</v>
      </c>
      <c r="D300" s="34" t="str">
        <f>IFERROR(__xludf.DUMMYFUNCTION("IFERROR(GOOGLEFINANCE(C300, ""NAME""))"),"Bank of America Corporation")</f>
        <v>Bank of America Corporation</v>
      </c>
      <c r="E300" s="30" t="s">
        <v>236</v>
      </c>
      <c r="F300" s="33" t="str">
        <f>IFERROR(__xludf.DUMMYFUNCTION("( (GOOGLEFINANCE(C300, ""price"") - Q300) / Q300 ) / (R300 / 100)"),"Loading...")</f>
        <v>Loading...</v>
      </c>
      <c r="G300" s="20" t="str">
        <f>IFERROR(__xludf.DUMMYFUNCTION("AVERAGE(ARRAYFORMULA(100 * (QUERY(GOOGLEFINANCE(C300, ""high"", TODAY()-40, TODAY()), ""SELECT Col2 WHERE Col2 IS NOT NULL ORDER BY Col1 DESC LIMIT 20"", 0) / QUERY(GOOGLEFINANCE(C300, ""low"", TODAY()-40, TODAY()), ""SELECT Col2 WHERE Col2 IS NOT NULL OR"&amp;"DER BY Col1 DESC LIMIT 20"", 0) - 1)))"),"#N/A")</f>
        <v>#N/A</v>
      </c>
      <c r="H300" s="35" t="str">
        <f t="shared" si="6"/>
        <v/>
      </c>
      <c r="I300" s="36" t="str">
        <f t="shared" si="7"/>
        <v/>
      </c>
      <c r="J300" s="37" t="str">
        <f>IFERROR(__xludf.DUMMYFUNCTION("IFERROR(
  IF(C300="""",, 
    IFERROR(
      GOOGLEFINANCE(C300, ""price"") * GOOGLEFINANCE(C300, ""volumeavg""), 
      GOOGLEFINANCE(C300, ""price"") * AVERAGE(QUERY(GOOGLEFINANCE(C300, ""volume"", TODAY()-40, TODAY()), ""SELECT Col2 WHERE Col2 IS NOT "&amp;"NULL ORDER BY Col1 DESC LIMIT 20"", 0))
    )
  ), 
"""")"),"")</f>
        <v/>
      </c>
      <c r="K300" s="21" t="str">
        <f>IFERROR(__xludf.DUMMYFUNCTION("IFERROR(GOOGLEFINANCE(C300, ""changepct"") / 100, """")"),"")</f>
        <v/>
      </c>
      <c r="L300" s="21" t="str">
        <f>IFERROR(__xludf.DUMMYFUNCTION("IFERROR((GOOGLEFINANCE(C300, ""price"") / INDEX(GOOGLEFINANCE(C300, ""price"", TODAY()-7, TODAY()), 2, 2)) - 1, """")"),"")</f>
        <v/>
      </c>
      <c r="M300" s="21" t="str">
        <f>IFERROR(__xludf.DUMMYFUNCTION("IFERROR((GOOGLEFINANCE(C300, ""price"") / INDEX(GOOGLEFINANCE(C300, ""price"", EDATE(TODAY(), -1), TODAY()), 2, 2)) - 1, """")"),"")</f>
        <v/>
      </c>
      <c r="N300" s="21" t="str">
        <f>IFERROR(__xludf.DUMMYFUNCTION("IFERROR((GOOGLEFINANCE(C300, ""price"") / INDEX(GOOGLEFINANCE(C300, ""price"", EDATE(TODAY(), -3), TODAY()), 2, 2)) - 1, """")"),"")</f>
        <v/>
      </c>
      <c r="O300" s="21" t="str">
        <f>IFERROR(__xludf.DUMMYFUNCTION("IFERROR((GOOGLEFINANCE(C300, ""price"") / INDEX(GOOGLEFINANCE(C300, ""price"", EDATE(TODAY(), -6), TODAY()), 2, 2)) - 1, """")"),"")</f>
        <v/>
      </c>
      <c r="P300" s="21" t="str">
        <f>IFERROR(__xludf.DUMMYFUNCTION("IFERROR((GOOGLEFINANCE(C300, ""price"") / INDEX(GOOGLEFINANCE(C300, ""price"", EDATE(TODAY(), -12), TODAY()), 2, 2)) - 1, """")"),"")</f>
        <v/>
      </c>
      <c r="Q300" s="6" t="str">
        <f>IFERROR(__xludf.DUMMYFUNCTION("AVERAGE(QUERY(GOOGLEFINANCE(C300, ""price"", TODAY()-80, TODAY()), ""SELECT Col2 WHERE Col2 IS NOT NULL ORDER BY Col1 DESC LIMIT 50"", 0))"),"#N/A")</f>
        <v>#N/A</v>
      </c>
      <c r="R300" s="24" t="str">
        <f>IFERROR(__xludf.DUMMYFUNCTION("IFERROR(
  LET(
    data, QUERY(GOOGLEFINANCE(C300,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GOOGLEFINANCE(C300, ""price"")) * 100,
    IF(calc=0, G300, calc)
  ), 
G300)"),"#N/A")</f>
        <v>#N/A</v>
      </c>
      <c r="S300" s="8" t="s">
        <v>15</v>
      </c>
      <c r="T300" s="26" t="str">
        <f>IFERROR(__xludf.DUMMYFUNCTION("IFERROR(TRANSPOSE(QUERY(IFERROR(SORT(GOOGLEFINANCE(C300, ""price"", WORKDAY(TODAY(), -40), TODAY()), 1, FALSE)), ""select Col2 where Col2 is not null limit 22 label Col2 ''"", 0)), """")"),"")</f>
        <v/>
      </c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8"/>
      <c r="AO300" s="28"/>
      <c r="AP300" s="29"/>
      <c r="AQ300" s="29" t="str">
        <f t="shared" ref="AQ300:BL300" si="303">T300/T$2</f>
        <v>#N/A</v>
      </c>
      <c r="AR300" s="29" t="str">
        <f t="shared" si="303"/>
        <v>#DIV/0!</v>
      </c>
      <c r="AS300" s="29" t="str">
        <f t="shared" si="303"/>
        <v>#DIV/0!</v>
      </c>
      <c r="AT300" s="29" t="str">
        <f t="shared" si="303"/>
        <v>#DIV/0!</v>
      </c>
      <c r="AU300" s="29" t="str">
        <f t="shared" si="303"/>
        <v>#DIV/0!</v>
      </c>
      <c r="AV300" s="29" t="str">
        <f t="shared" si="303"/>
        <v>#DIV/0!</v>
      </c>
      <c r="AW300" s="29" t="str">
        <f t="shared" si="303"/>
        <v>#DIV/0!</v>
      </c>
      <c r="AX300" s="29" t="str">
        <f t="shared" si="303"/>
        <v>#DIV/0!</v>
      </c>
      <c r="AY300" s="29" t="str">
        <f t="shared" si="303"/>
        <v>#DIV/0!</v>
      </c>
      <c r="AZ300" s="29" t="str">
        <f t="shared" si="303"/>
        <v>#DIV/0!</v>
      </c>
      <c r="BA300" s="29" t="str">
        <f t="shared" si="303"/>
        <v>#DIV/0!</v>
      </c>
      <c r="BB300" s="29" t="str">
        <f t="shared" si="303"/>
        <v>#DIV/0!</v>
      </c>
      <c r="BC300" s="29" t="str">
        <f t="shared" si="303"/>
        <v>#DIV/0!</v>
      </c>
      <c r="BD300" s="29" t="str">
        <f t="shared" si="303"/>
        <v>#DIV/0!</v>
      </c>
      <c r="BE300" s="29" t="str">
        <f t="shared" si="303"/>
        <v>#DIV/0!</v>
      </c>
      <c r="BF300" s="29" t="str">
        <f t="shared" si="303"/>
        <v>#DIV/0!</v>
      </c>
      <c r="BG300" s="29" t="str">
        <f t="shared" si="303"/>
        <v>#DIV/0!</v>
      </c>
      <c r="BH300" s="29" t="str">
        <f t="shared" si="303"/>
        <v>#DIV/0!</v>
      </c>
      <c r="BI300" s="29" t="str">
        <f t="shared" si="303"/>
        <v>#DIV/0!</v>
      </c>
      <c r="BJ300" s="29" t="str">
        <f t="shared" si="303"/>
        <v>#DIV/0!</v>
      </c>
      <c r="BK300" s="29" t="str">
        <f t="shared" si="303"/>
        <v>#DIV/0!</v>
      </c>
      <c r="BL300" s="29" t="str">
        <f t="shared" si="303"/>
        <v>#DIV/0!</v>
      </c>
      <c r="BM300" s="29" t="str">
        <f t="shared" si="3"/>
        <v>#DIV/0!</v>
      </c>
    </row>
    <row r="301">
      <c r="A301" s="16" t="str">
        <f>IFERROR(__xludf.DUMMYFUNCTION("IFERROR(SPARKLINE(SORT(MAP(TRANSPOSE(AQ301:BL301), LAMBDA(val, IF(ISNUMBER(val), PERCENTRANK(AQ301:BL301, val)+0.01, 0))), SEQUENCE(COLUMNS(AQ301:BL301)), FALSE), {""charttype"",""column""; ""color"",""chartreuse""; ""ymin"", 0; ""ymax"", 1.01; ""highcolo"&amp;"r"", ""darkgreen""; ""lowcolor"", ""red""}), """")"),"")</f>
        <v/>
      </c>
      <c r="B301" s="17" t="str">
        <f t="shared" si="4"/>
        <v/>
      </c>
      <c r="C301" s="1" t="s">
        <v>1417</v>
      </c>
      <c r="D301" s="34" t="str">
        <f>IFERROR(__xludf.DUMMYFUNCTION("IFERROR(GOOGLEFINANCE(C301, ""NAME""))"),"Mercantile Bank Corp")</f>
        <v>Mercantile Bank Corp</v>
      </c>
      <c r="E301" s="30" t="s">
        <v>268</v>
      </c>
      <c r="F301" s="33" t="str">
        <f>IFERROR(__xludf.DUMMYFUNCTION("( (GOOGLEFINANCE(C301, ""price"") - Q301) / Q301 ) / (R301 / 100)"),"Loading...")</f>
        <v>Loading...</v>
      </c>
      <c r="G301" s="20" t="str">
        <f>IFERROR(__xludf.DUMMYFUNCTION("AVERAGE(ARRAYFORMULA(100 * (QUERY(GOOGLEFINANCE(C301, ""high"", TODAY()-40, TODAY()), ""SELECT Col2 WHERE Col2 IS NOT NULL ORDER BY Col1 DESC LIMIT 20"", 0) / QUERY(GOOGLEFINANCE(C301, ""low"", TODAY()-40, TODAY()), ""SELECT Col2 WHERE Col2 IS NOT NULL OR"&amp;"DER BY Col1 DESC LIMIT 20"", 0) - 1)))"),"#N/A")</f>
        <v>#N/A</v>
      </c>
      <c r="H301" s="35" t="str">
        <f t="shared" si="6"/>
        <v/>
      </c>
      <c r="I301" s="36" t="str">
        <f t="shared" si="7"/>
        <v/>
      </c>
      <c r="J301" s="37" t="str">
        <f>IFERROR(__xludf.DUMMYFUNCTION("IFERROR(
  IF(C301="""",, 
    IFERROR(
      GOOGLEFINANCE(C301, ""price"") * GOOGLEFINANCE(C301, ""volumeavg""), 
      GOOGLEFINANCE(C301, ""price"") * AVERAGE(QUERY(GOOGLEFINANCE(C301, ""volume"", TODAY()-40, TODAY()), ""SELECT Col2 WHERE Col2 IS NOT "&amp;"NULL ORDER BY Col1 DESC LIMIT 20"", 0))
    )
  ), 
"""")"),"")</f>
        <v/>
      </c>
      <c r="K301" s="21" t="str">
        <f>IFERROR(__xludf.DUMMYFUNCTION("IFERROR(GOOGLEFINANCE(C301, ""changepct"") / 100, """")"),"")</f>
        <v/>
      </c>
      <c r="L301" s="21" t="str">
        <f>IFERROR(__xludf.DUMMYFUNCTION("IFERROR((GOOGLEFINANCE(C301, ""price"") / INDEX(GOOGLEFINANCE(C301, ""price"", TODAY()-7, TODAY()), 2, 2)) - 1, """")"),"")</f>
        <v/>
      </c>
      <c r="M301" s="21" t="str">
        <f>IFERROR(__xludf.DUMMYFUNCTION("IFERROR((GOOGLEFINANCE(C301, ""price"") / INDEX(GOOGLEFINANCE(C301, ""price"", EDATE(TODAY(), -1), TODAY()), 2, 2)) - 1, """")"),"")</f>
        <v/>
      </c>
      <c r="N301" s="21" t="str">
        <f>IFERROR(__xludf.DUMMYFUNCTION("IFERROR((GOOGLEFINANCE(C301, ""price"") / INDEX(GOOGLEFINANCE(C301, ""price"", EDATE(TODAY(), -3), TODAY()), 2, 2)) - 1, """")"),"")</f>
        <v/>
      </c>
      <c r="O301" s="21" t="str">
        <f>IFERROR(__xludf.DUMMYFUNCTION("IFERROR((GOOGLEFINANCE(C301, ""price"") / INDEX(GOOGLEFINANCE(C301, ""price"", EDATE(TODAY(), -6), TODAY()), 2, 2)) - 1, """")"),"")</f>
        <v/>
      </c>
      <c r="P301" s="21" t="str">
        <f>IFERROR(__xludf.DUMMYFUNCTION("IFERROR((GOOGLEFINANCE(C301, ""price"") / INDEX(GOOGLEFINANCE(C301, ""price"", EDATE(TODAY(), -12), TODAY()), 2, 2)) - 1, """")"),"")</f>
        <v/>
      </c>
      <c r="Q301" s="6" t="str">
        <f>IFERROR(__xludf.DUMMYFUNCTION("AVERAGE(QUERY(GOOGLEFINANCE(C301, ""price"", TODAY()-80, TODAY()), ""SELECT Col2 WHERE Col2 IS NOT NULL ORDER BY Col1 DESC LIMIT 50"", 0))"),"#N/A")</f>
        <v>#N/A</v>
      </c>
      <c r="R301" s="24" t="str">
        <f>IFERROR(__xludf.DUMMYFUNCTION("IFERROR(
  LET(
    data, QUERY(GOOGLEFINANCE(C301,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GOOGLEFINANCE(C301, ""price"")) * 100,
    IF(calc=0, G301, calc)
  ), 
G301)"),"#N/A")</f>
        <v>#N/A</v>
      </c>
      <c r="S301" s="8" t="s">
        <v>15</v>
      </c>
      <c r="T301" s="26" t="str">
        <f>IFERROR(__xludf.DUMMYFUNCTION("IFERROR(TRANSPOSE(QUERY(IFERROR(SORT(GOOGLEFINANCE(C301, ""price"", WORKDAY(TODAY(), -40), TODAY()), 1, FALSE)), ""select Col2 where Col2 is not null limit 22 label Col2 ''"", 0)), """")"),"")</f>
        <v/>
      </c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8"/>
      <c r="AO301" s="28"/>
      <c r="AP301" s="29"/>
      <c r="AQ301" s="29" t="str">
        <f t="shared" ref="AQ301:BL301" si="304">T301/T$2</f>
        <v>#N/A</v>
      </c>
      <c r="AR301" s="29" t="str">
        <f t="shared" si="304"/>
        <v>#DIV/0!</v>
      </c>
      <c r="AS301" s="29" t="str">
        <f t="shared" si="304"/>
        <v>#DIV/0!</v>
      </c>
      <c r="AT301" s="29" t="str">
        <f t="shared" si="304"/>
        <v>#DIV/0!</v>
      </c>
      <c r="AU301" s="29" t="str">
        <f t="shared" si="304"/>
        <v>#DIV/0!</v>
      </c>
      <c r="AV301" s="29" t="str">
        <f t="shared" si="304"/>
        <v>#DIV/0!</v>
      </c>
      <c r="AW301" s="29" t="str">
        <f t="shared" si="304"/>
        <v>#DIV/0!</v>
      </c>
      <c r="AX301" s="29" t="str">
        <f t="shared" si="304"/>
        <v>#DIV/0!</v>
      </c>
      <c r="AY301" s="29" t="str">
        <f t="shared" si="304"/>
        <v>#DIV/0!</v>
      </c>
      <c r="AZ301" s="29" t="str">
        <f t="shared" si="304"/>
        <v>#DIV/0!</v>
      </c>
      <c r="BA301" s="29" t="str">
        <f t="shared" si="304"/>
        <v>#DIV/0!</v>
      </c>
      <c r="BB301" s="29" t="str">
        <f t="shared" si="304"/>
        <v>#DIV/0!</v>
      </c>
      <c r="BC301" s="29" t="str">
        <f t="shared" si="304"/>
        <v>#DIV/0!</v>
      </c>
      <c r="BD301" s="29" t="str">
        <f t="shared" si="304"/>
        <v>#DIV/0!</v>
      </c>
      <c r="BE301" s="29" t="str">
        <f t="shared" si="304"/>
        <v>#DIV/0!</v>
      </c>
      <c r="BF301" s="29" t="str">
        <f t="shared" si="304"/>
        <v>#DIV/0!</v>
      </c>
      <c r="BG301" s="29" t="str">
        <f t="shared" si="304"/>
        <v>#DIV/0!</v>
      </c>
      <c r="BH301" s="29" t="str">
        <f t="shared" si="304"/>
        <v>#DIV/0!</v>
      </c>
      <c r="BI301" s="29" t="str">
        <f t="shared" si="304"/>
        <v>#DIV/0!</v>
      </c>
      <c r="BJ301" s="29" t="str">
        <f t="shared" si="304"/>
        <v>#DIV/0!</v>
      </c>
      <c r="BK301" s="29" t="str">
        <f t="shared" si="304"/>
        <v>#DIV/0!</v>
      </c>
      <c r="BL301" s="29" t="str">
        <f t="shared" si="304"/>
        <v>#DIV/0!</v>
      </c>
      <c r="BM301" s="29" t="str">
        <f t="shared" si="3"/>
        <v>#DIV/0!</v>
      </c>
    </row>
    <row r="302">
      <c r="A302" s="16" t="str">
        <f>IFERROR(__xludf.DUMMYFUNCTION("IFERROR(SPARKLINE(SORT(MAP(TRANSPOSE(AQ302:BL302), LAMBDA(val, IF(ISNUMBER(val), PERCENTRANK(AQ302:BL302, val)+0.01, 0))), SEQUENCE(COLUMNS(AQ302:BL302)), FALSE), {""charttype"",""column""; ""color"",""chartreuse""; ""ymin"", 0; ""ymax"", 1.01; ""highcolo"&amp;"r"", ""darkgreen""; ""lowcolor"", ""red""}), """")"),"")</f>
        <v/>
      </c>
      <c r="B302" s="17" t="str">
        <f t="shared" si="4"/>
        <v/>
      </c>
      <c r="C302" s="1" t="s">
        <v>1421</v>
      </c>
      <c r="D302" s="34" t="str">
        <f>IFERROR(__xludf.DUMMYFUNCTION("IFERROR(GOOGLEFINANCE(C302, ""NAME""))"),"Bar Harbor Bankshares")</f>
        <v>Bar Harbor Bankshares</v>
      </c>
      <c r="E302" s="30" t="s">
        <v>268</v>
      </c>
      <c r="F302" s="33" t="str">
        <f>IFERROR(__xludf.DUMMYFUNCTION("( (GOOGLEFINANCE(C302, ""price"") - Q302) / Q302 ) / (R302 / 100)"),"Loading...")</f>
        <v>Loading...</v>
      </c>
      <c r="G302" s="20" t="str">
        <f>IFERROR(__xludf.DUMMYFUNCTION("AVERAGE(ARRAYFORMULA(100 * (QUERY(GOOGLEFINANCE(C302, ""high"", TODAY()-40, TODAY()), ""SELECT Col2 WHERE Col2 IS NOT NULL ORDER BY Col1 DESC LIMIT 20"", 0) / QUERY(GOOGLEFINANCE(C302, ""low"", TODAY()-40, TODAY()), ""SELECT Col2 WHERE Col2 IS NOT NULL OR"&amp;"DER BY Col1 DESC LIMIT 20"", 0) - 1)))"),"#N/A")</f>
        <v>#N/A</v>
      </c>
      <c r="H302" s="35" t="str">
        <f t="shared" si="6"/>
        <v/>
      </c>
      <c r="I302" s="36" t="str">
        <f t="shared" si="7"/>
        <v/>
      </c>
      <c r="J302" s="37" t="str">
        <f>IFERROR(__xludf.DUMMYFUNCTION("IFERROR(
  IF(C302="""",, 
    IFERROR(
      GOOGLEFINANCE(C302, ""price"") * GOOGLEFINANCE(C302, ""volumeavg""), 
      GOOGLEFINANCE(C302, ""price"") * AVERAGE(QUERY(GOOGLEFINANCE(C302, ""volume"", TODAY()-40, TODAY()), ""SELECT Col2 WHERE Col2 IS NOT "&amp;"NULL ORDER BY Col1 DESC LIMIT 20"", 0))
    )
  ), 
"""")"),"")</f>
        <v/>
      </c>
      <c r="K302" s="21" t="str">
        <f>IFERROR(__xludf.DUMMYFUNCTION("IFERROR(GOOGLEFINANCE(C302, ""changepct"") / 100, """")"),"")</f>
        <v/>
      </c>
      <c r="L302" s="21" t="str">
        <f>IFERROR(__xludf.DUMMYFUNCTION("IFERROR((GOOGLEFINANCE(C302, ""price"") / INDEX(GOOGLEFINANCE(C302, ""price"", TODAY()-7, TODAY()), 2, 2)) - 1, """")"),"")</f>
        <v/>
      </c>
      <c r="M302" s="21" t="str">
        <f>IFERROR(__xludf.DUMMYFUNCTION("IFERROR((GOOGLEFINANCE(C302, ""price"") / INDEX(GOOGLEFINANCE(C302, ""price"", EDATE(TODAY(), -1), TODAY()), 2, 2)) - 1, """")"),"")</f>
        <v/>
      </c>
      <c r="N302" s="21" t="str">
        <f>IFERROR(__xludf.DUMMYFUNCTION("IFERROR((GOOGLEFINANCE(C302, ""price"") / INDEX(GOOGLEFINANCE(C302, ""price"", EDATE(TODAY(), -3), TODAY()), 2, 2)) - 1, """")"),"")</f>
        <v/>
      </c>
      <c r="O302" s="21" t="str">
        <f>IFERROR(__xludf.DUMMYFUNCTION("IFERROR((GOOGLEFINANCE(C302, ""price"") / INDEX(GOOGLEFINANCE(C302, ""price"", EDATE(TODAY(), -6), TODAY()), 2, 2)) - 1, """")"),"")</f>
        <v/>
      </c>
      <c r="P302" s="21" t="str">
        <f>IFERROR(__xludf.DUMMYFUNCTION("IFERROR((GOOGLEFINANCE(C302, ""price"") / INDEX(GOOGLEFINANCE(C302, ""price"", EDATE(TODAY(), -12), TODAY()), 2, 2)) - 1, """")"),"")</f>
        <v/>
      </c>
      <c r="Q302" s="6" t="str">
        <f>IFERROR(__xludf.DUMMYFUNCTION("AVERAGE(QUERY(GOOGLEFINANCE(C302, ""price"", TODAY()-80, TODAY()), ""SELECT Col2 WHERE Col2 IS NOT NULL ORDER BY Col1 DESC LIMIT 50"", 0))"),"#N/A")</f>
        <v>#N/A</v>
      </c>
      <c r="R302" s="24" t="str">
        <f>IFERROR(__xludf.DUMMYFUNCTION("IFERROR(
  LET(
    data, QUERY(GOOGLEFINANCE(C302,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GOOGLEFINANCE(C302, ""price"")) * 100,
    IF(calc=0, G302, calc)
  ), 
G302)"),"#N/A")</f>
        <v>#N/A</v>
      </c>
      <c r="S302" s="8" t="s">
        <v>15</v>
      </c>
      <c r="T302" s="26" t="str">
        <f>IFERROR(__xludf.DUMMYFUNCTION("IFERROR(TRANSPOSE(QUERY(IFERROR(SORT(GOOGLEFINANCE(C302, ""price"", WORKDAY(TODAY(), -40), TODAY()), 1, FALSE)), ""select Col2 where Col2 is not null limit 22 label Col2 ''"", 0)), """")"),"")</f>
        <v/>
      </c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8"/>
      <c r="AO302" s="28"/>
      <c r="AP302" s="29"/>
      <c r="AQ302" s="29" t="str">
        <f t="shared" ref="AQ302:BL302" si="305">T302/T$2</f>
        <v>#N/A</v>
      </c>
      <c r="AR302" s="29" t="str">
        <f t="shared" si="305"/>
        <v>#DIV/0!</v>
      </c>
      <c r="AS302" s="29" t="str">
        <f t="shared" si="305"/>
        <v>#DIV/0!</v>
      </c>
      <c r="AT302" s="29" t="str">
        <f t="shared" si="305"/>
        <v>#DIV/0!</v>
      </c>
      <c r="AU302" s="29" t="str">
        <f t="shared" si="305"/>
        <v>#DIV/0!</v>
      </c>
      <c r="AV302" s="29" t="str">
        <f t="shared" si="305"/>
        <v>#DIV/0!</v>
      </c>
      <c r="AW302" s="29" t="str">
        <f t="shared" si="305"/>
        <v>#DIV/0!</v>
      </c>
      <c r="AX302" s="29" t="str">
        <f t="shared" si="305"/>
        <v>#DIV/0!</v>
      </c>
      <c r="AY302" s="29" t="str">
        <f t="shared" si="305"/>
        <v>#DIV/0!</v>
      </c>
      <c r="AZ302" s="29" t="str">
        <f t="shared" si="305"/>
        <v>#DIV/0!</v>
      </c>
      <c r="BA302" s="29" t="str">
        <f t="shared" si="305"/>
        <v>#DIV/0!</v>
      </c>
      <c r="BB302" s="29" t="str">
        <f t="shared" si="305"/>
        <v>#DIV/0!</v>
      </c>
      <c r="BC302" s="29" t="str">
        <f t="shared" si="305"/>
        <v>#DIV/0!</v>
      </c>
      <c r="BD302" s="29" t="str">
        <f t="shared" si="305"/>
        <v>#DIV/0!</v>
      </c>
      <c r="BE302" s="29" t="str">
        <f t="shared" si="305"/>
        <v>#DIV/0!</v>
      </c>
      <c r="BF302" s="29" t="str">
        <f t="shared" si="305"/>
        <v>#DIV/0!</v>
      </c>
      <c r="BG302" s="29" t="str">
        <f t="shared" si="305"/>
        <v>#DIV/0!</v>
      </c>
      <c r="BH302" s="29" t="str">
        <f t="shared" si="305"/>
        <v>#DIV/0!</v>
      </c>
      <c r="BI302" s="29" t="str">
        <f t="shared" si="305"/>
        <v>#DIV/0!</v>
      </c>
      <c r="BJ302" s="29" t="str">
        <f t="shared" si="305"/>
        <v>#DIV/0!</v>
      </c>
      <c r="BK302" s="29" t="str">
        <f t="shared" si="305"/>
        <v>#DIV/0!</v>
      </c>
      <c r="BL302" s="29" t="str">
        <f t="shared" si="305"/>
        <v>#DIV/0!</v>
      </c>
      <c r="BM302" s="29" t="str">
        <f t="shared" si="3"/>
        <v>#DIV/0!</v>
      </c>
    </row>
    <row r="303">
      <c r="A303" s="16" t="str">
        <f>IFERROR(__xludf.DUMMYFUNCTION("IFERROR(SPARKLINE(SORT(MAP(TRANSPOSE(AQ303:BL303), LAMBDA(val, IF(ISNUMBER(val), PERCENTRANK(AQ303:BL303, val)+0.01, 0))), SEQUENCE(COLUMNS(AQ303:BL303)), FALSE), {""charttype"",""column""; ""color"",""chartreuse""; ""ymin"", 0; ""ymax"", 1.01; ""highcolo"&amp;"r"", ""darkgreen""; ""lowcolor"", ""red""}), """")"),"")</f>
        <v/>
      </c>
      <c r="B303" s="17" t="str">
        <f t="shared" si="4"/>
        <v/>
      </c>
      <c r="C303" s="1" t="s">
        <v>1427</v>
      </c>
      <c r="D303" s="34" t="str">
        <f>IFERROR(__xludf.DUMMYFUNCTION("IFERROR(GOOGLEFINANCE(C303, ""NAME""))"),"United Community Banks Inc")</f>
        <v>United Community Banks Inc</v>
      </c>
      <c r="E303" s="30" t="s">
        <v>268</v>
      </c>
      <c r="F303" s="33" t="str">
        <f>IFERROR(__xludf.DUMMYFUNCTION("( (GOOGLEFINANCE(C303, ""price"") - Q303) / Q303 ) / (R303 / 100)"),"Loading...")</f>
        <v>Loading...</v>
      </c>
      <c r="G303" s="20" t="str">
        <f>IFERROR(__xludf.DUMMYFUNCTION("AVERAGE(ARRAYFORMULA(100 * (QUERY(GOOGLEFINANCE(C303, ""high"", TODAY()-40, TODAY()), ""SELECT Col2 WHERE Col2 IS NOT NULL ORDER BY Col1 DESC LIMIT 20"", 0) / QUERY(GOOGLEFINANCE(C303, ""low"", TODAY()-40, TODAY()), ""SELECT Col2 WHERE Col2 IS NOT NULL OR"&amp;"DER BY Col1 DESC LIMIT 20"", 0) - 1)))"),"#N/A")</f>
        <v>#N/A</v>
      </c>
      <c r="H303" s="35" t="str">
        <f t="shared" si="6"/>
        <v/>
      </c>
      <c r="I303" s="36" t="str">
        <f t="shared" si="7"/>
        <v/>
      </c>
      <c r="J303" s="37" t="str">
        <f>IFERROR(__xludf.DUMMYFUNCTION("IFERROR(
  IF(C303="""",, 
    IFERROR(
      GOOGLEFINANCE(C303, ""price"") * GOOGLEFINANCE(C303, ""volumeavg""), 
      GOOGLEFINANCE(C303, ""price"") * AVERAGE(QUERY(GOOGLEFINANCE(C303, ""volume"", TODAY()-40, TODAY()), ""SELECT Col2 WHERE Col2 IS NOT "&amp;"NULL ORDER BY Col1 DESC LIMIT 20"", 0))
    )
  ), 
"""")"),"")</f>
        <v/>
      </c>
      <c r="K303" s="21" t="str">
        <f>IFERROR(__xludf.DUMMYFUNCTION("IFERROR(GOOGLEFINANCE(C303, ""changepct"") / 100, """")"),"")</f>
        <v/>
      </c>
      <c r="L303" s="21" t="str">
        <f>IFERROR(__xludf.DUMMYFUNCTION("IFERROR((GOOGLEFINANCE(C303, ""price"") / INDEX(GOOGLEFINANCE(C303, ""price"", TODAY()-7, TODAY()), 2, 2)) - 1, """")"),"")</f>
        <v/>
      </c>
      <c r="M303" s="21" t="str">
        <f>IFERROR(__xludf.DUMMYFUNCTION("IFERROR((GOOGLEFINANCE(C303, ""price"") / INDEX(GOOGLEFINANCE(C303, ""price"", EDATE(TODAY(), -1), TODAY()), 2, 2)) - 1, """")"),"")</f>
        <v/>
      </c>
      <c r="N303" s="21" t="str">
        <f>IFERROR(__xludf.DUMMYFUNCTION("IFERROR((GOOGLEFINANCE(C303, ""price"") / INDEX(GOOGLEFINANCE(C303, ""price"", EDATE(TODAY(), -3), TODAY()), 2, 2)) - 1, """")"),"")</f>
        <v/>
      </c>
      <c r="O303" s="21" t="str">
        <f>IFERROR(__xludf.DUMMYFUNCTION("IFERROR((GOOGLEFINANCE(C303, ""price"") / INDEX(GOOGLEFINANCE(C303, ""price"", EDATE(TODAY(), -6), TODAY()), 2, 2)) - 1, """")"),"")</f>
        <v/>
      </c>
      <c r="P303" s="21" t="str">
        <f>IFERROR(__xludf.DUMMYFUNCTION("IFERROR((GOOGLEFINANCE(C303, ""price"") / INDEX(GOOGLEFINANCE(C303, ""price"", EDATE(TODAY(), -12), TODAY()), 2, 2)) - 1, """")"),"")</f>
        <v/>
      </c>
      <c r="Q303" s="6" t="str">
        <f>IFERROR(__xludf.DUMMYFUNCTION("AVERAGE(QUERY(GOOGLEFINANCE(C303, ""price"", TODAY()-80, TODAY()), ""SELECT Col2 WHERE Col2 IS NOT NULL ORDER BY Col1 DESC LIMIT 50"", 0))"),"#N/A")</f>
        <v>#N/A</v>
      </c>
      <c r="R303" s="24" t="str">
        <f>IFERROR(__xludf.DUMMYFUNCTION("IFERROR(
  LET(
    data, QUERY(GOOGLEFINANCE(C303,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GOOGLEFINANCE(C303, ""price"")) * 100,
    IF(calc=0, G303, calc)
  ), 
G303)"),"#N/A")</f>
        <v>#N/A</v>
      </c>
      <c r="S303" s="8" t="s">
        <v>15</v>
      </c>
      <c r="T303" s="26" t="str">
        <f>IFERROR(__xludf.DUMMYFUNCTION("IFERROR(TRANSPOSE(QUERY(IFERROR(SORT(GOOGLEFINANCE(C303, ""price"", WORKDAY(TODAY(), -40), TODAY()), 1, FALSE)), ""select Col2 where Col2 is not null limit 22 label Col2 ''"", 0)), """")"),"")</f>
        <v/>
      </c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8"/>
      <c r="AO303" s="28"/>
      <c r="AP303" s="29"/>
      <c r="AQ303" s="29" t="str">
        <f t="shared" ref="AQ303:BL303" si="306">T303/T$2</f>
        <v>#N/A</v>
      </c>
      <c r="AR303" s="29" t="str">
        <f t="shared" si="306"/>
        <v>#DIV/0!</v>
      </c>
      <c r="AS303" s="29" t="str">
        <f t="shared" si="306"/>
        <v>#DIV/0!</v>
      </c>
      <c r="AT303" s="29" t="str">
        <f t="shared" si="306"/>
        <v>#DIV/0!</v>
      </c>
      <c r="AU303" s="29" t="str">
        <f t="shared" si="306"/>
        <v>#DIV/0!</v>
      </c>
      <c r="AV303" s="29" t="str">
        <f t="shared" si="306"/>
        <v>#DIV/0!</v>
      </c>
      <c r="AW303" s="29" t="str">
        <f t="shared" si="306"/>
        <v>#DIV/0!</v>
      </c>
      <c r="AX303" s="29" t="str">
        <f t="shared" si="306"/>
        <v>#DIV/0!</v>
      </c>
      <c r="AY303" s="29" t="str">
        <f t="shared" si="306"/>
        <v>#DIV/0!</v>
      </c>
      <c r="AZ303" s="29" t="str">
        <f t="shared" si="306"/>
        <v>#DIV/0!</v>
      </c>
      <c r="BA303" s="29" t="str">
        <f t="shared" si="306"/>
        <v>#DIV/0!</v>
      </c>
      <c r="BB303" s="29" t="str">
        <f t="shared" si="306"/>
        <v>#DIV/0!</v>
      </c>
      <c r="BC303" s="29" t="str">
        <f t="shared" si="306"/>
        <v>#DIV/0!</v>
      </c>
      <c r="BD303" s="29" t="str">
        <f t="shared" si="306"/>
        <v>#DIV/0!</v>
      </c>
      <c r="BE303" s="29" t="str">
        <f t="shared" si="306"/>
        <v>#DIV/0!</v>
      </c>
      <c r="BF303" s="29" t="str">
        <f t="shared" si="306"/>
        <v>#DIV/0!</v>
      </c>
      <c r="BG303" s="29" t="str">
        <f t="shared" si="306"/>
        <v>#DIV/0!</v>
      </c>
      <c r="BH303" s="29" t="str">
        <f t="shared" si="306"/>
        <v>#DIV/0!</v>
      </c>
      <c r="BI303" s="29" t="str">
        <f t="shared" si="306"/>
        <v>#DIV/0!</v>
      </c>
      <c r="BJ303" s="29" t="str">
        <f t="shared" si="306"/>
        <v>#DIV/0!</v>
      </c>
      <c r="BK303" s="29" t="str">
        <f t="shared" si="306"/>
        <v>#DIV/0!</v>
      </c>
      <c r="BL303" s="29" t="str">
        <f t="shared" si="306"/>
        <v>#DIV/0!</v>
      </c>
      <c r="BM303" s="29" t="str">
        <f t="shared" si="3"/>
        <v>#DIV/0!</v>
      </c>
    </row>
    <row r="304">
      <c r="A304" s="16" t="str">
        <f>IFERROR(__xludf.DUMMYFUNCTION("IFERROR(SPARKLINE(SORT(MAP(TRANSPOSE(AQ304:BL304), LAMBDA(val, IF(ISNUMBER(val), PERCENTRANK(AQ304:BL304, val)+0.01, 0))), SEQUENCE(COLUMNS(AQ304:BL304)), FALSE), {""charttype"",""column""; ""color"",""chartreuse""; ""ymin"", 0; ""ymax"", 1.01; ""highcolo"&amp;"r"", ""darkgreen""; ""lowcolor"", ""red""}), """")"),"")</f>
        <v/>
      </c>
      <c r="B304" s="17" t="str">
        <f t="shared" si="4"/>
        <v/>
      </c>
      <c r="C304" s="1" t="s">
        <v>1432</v>
      </c>
      <c r="D304" s="34" t="str">
        <f>IFERROR(__xludf.DUMMYFUNCTION("IFERROR(GOOGLEFINANCE(C304, ""NAME""))"),"FS Bancorp Inc")</f>
        <v>FS Bancorp Inc</v>
      </c>
      <c r="E304" s="30" t="s">
        <v>268</v>
      </c>
      <c r="F304" s="38" t="str">
        <f>IFERROR(__xludf.DUMMYFUNCTION("( (GOOGLEFINANCE(C304, ""price"") - Q304) / Q304 ) / (R304 / 100)"),"Loading...")</f>
        <v>Loading...</v>
      </c>
      <c r="G304" s="20" t="str">
        <f>IFERROR(__xludf.DUMMYFUNCTION("AVERAGE(ARRAYFORMULA(100 * (QUERY(GOOGLEFINANCE(C304, ""high"", TODAY()-40, TODAY()), ""SELECT Col2 WHERE Col2 IS NOT NULL ORDER BY Col1 DESC LIMIT 20"", 0) / QUERY(GOOGLEFINANCE(C304, ""low"", TODAY()-40, TODAY()), ""SELECT Col2 WHERE Col2 IS NOT NULL OR"&amp;"DER BY Col1 DESC LIMIT 20"", 0) - 1)))"),"#N/A")</f>
        <v>#N/A</v>
      </c>
      <c r="H304" s="35" t="str">
        <f t="shared" si="6"/>
        <v/>
      </c>
      <c r="I304" s="36" t="str">
        <f t="shared" si="7"/>
        <v/>
      </c>
      <c r="J304" s="37" t="str">
        <f>IFERROR(__xludf.DUMMYFUNCTION("IFERROR(
  IF(C304="""",, 
    IFERROR(
      GOOGLEFINANCE(C304, ""price"") * GOOGLEFINANCE(C304, ""volumeavg""), 
      GOOGLEFINANCE(C304, ""price"") * AVERAGE(QUERY(GOOGLEFINANCE(C304, ""volume"", TODAY()-40, TODAY()), ""SELECT Col2 WHERE Col2 IS NOT "&amp;"NULL ORDER BY Col1 DESC LIMIT 20"", 0))
    )
  ), 
"""")"),"")</f>
        <v/>
      </c>
      <c r="K304" s="21" t="str">
        <f>IFERROR(__xludf.DUMMYFUNCTION("IFERROR(GOOGLEFINANCE(C304, ""changepct"") / 100, """")"),"")</f>
        <v/>
      </c>
      <c r="L304" s="21" t="str">
        <f>IFERROR(__xludf.DUMMYFUNCTION("IFERROR((GOOGLEFINANCE(C304, ""price"") / INDEX(GOOGLEFINANCE(C304, ""price"", TODAY()-7, TODAY()), 2, 2)) - 1, """")"),"")</f>
        <v/>
      </c>
      <c r="M304" s="21" t="str">
        <f>IFERROR(__xludf.DUMMYFUNCTION("IFERROR((GOOGLEFINANCE(C304, ""price"") / INDEX(GOOGLEFINANCE(C304, ""price"", EDATE(TODAY(), -1), TODAY()), 2, 2)) - 1, """")"),"")</f>
        <v/>
      </c>
      <c r="N304" s="21" t="str">
        <f>IFERROR(__xludf.DUMMYFUNCTION("IFERROR((GOOGLEFINANCE(C304, ""price"") / INDEX(GOOGLEFINANCE(C304, ""price"", EDATE(TODAY(), -3), TODAY()), 2, 2)) - 1, """")"),"")</f>
        <v/>
      </c>
      <c r="O304" s="21" t="str">
        <f>IFERROR(__xludf.DUMMYFUNCTION("IFERROR((GOOGLEFINANCE(C304, ""price"") / INDEX(GOOGLEFINANCE(C304, ""price"", EDATE(TODAY(), -6), TODAY()), 2, 2)) - 1, """")"),"")</f>
        <v/>
      </c>
      <c r="P304" s="21" t="str">
        <f>IFERROR(__xludf.DUMMYFUNCTION("IFERROR((GOOGLEFINANCE(C304, ""price"") / INDEX(GOOGLEFINANCE(C304, ""price"", EDATE(TODAY(), -12), TODAY()), 2, 2)) - 1, """")"),"")</f>
        <v/>
      </c>
      <c r="Q304" s="6" t="str">
        <f>IFERROR(__xludf.DUMMYFUNCTION("AVERAGE(QUERY(GOOGLEFINANCE(C304, ""price"", TODAY()-80, TODAY()), ""SELECT Col2 WHERE Col2 IS NOT NULL ORDER BY Col1 DESC LIMIT 50"", 0))"),"#N/A")</f>
        <v>#N/A</v>
      </c>
      <c r="R304" s="24" t="str">
        <f>IFERROR(__xludf.DUMMYFUNCTION("IFERROR(
  LET(
    data, QUERY(GOOGLEFINANCE(C304,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GOOGLEFINANCE(C304, ""price"")) * 100,
    IF(calc=0, G304, calc)
  ), 
G304)"),"#N/A")</f>
        <v>#N/A</v>
      </c>
      <c r="S304" s="8" t="s">
        <v>15</v>
      </c>
      <c r="T304" s="26" t="str">
        <f>IFERROR(__xludf.DUMMYFUNCTION("IFERROR(TRANSPOSE(QUERY(IFERROR(SORT(GOOGLEFINANCE(C304, ""price"", WORKDAY(TODAY(), -40), TODAY()), 1, FALSE)), ""select Col2 where Col2 is not null limit 22 label Col2 ''"", 0)), """")"),"")</f>
        <v/>
      </c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8"/>
      <c r="AO304" s="28"/>
      <c r="AP304" s="29"/>
      <c r="AQ304" s="29" t="str">
        <f t="shared" ref="AQ304:BL304" si="307">T304/T$2</f>
        <v>#N/A</v>
      </c>
      <c r="AR304" s="29" t="str">
        <f t="shared" si="307"/>
        <v>#DIV/0!</v>
      </c>
      <c r="AS304" s="29" t="str">
        <f t="shared" si="307"/>
        <v>#DIV/0!</v>
      </c>
      <c r="AT304" s="29" t="str">
        <f t="shared" si="307"/>
        <v>#DIV/0!</v>
      </c>
      <c r="AU304" s="29" t="str">
        <f t="shared" si="307"/>
        <v>#DIV/0!</v>
      </c>
      <c r="AV304" s="29" t="str">
        <f t="shared" si="307"/>
        <v>#DIV/0!</v>
      </c>
      <c r="AW304" s="29" t="str">
        <f t="shared" si="307"/>
        <v>#DIV/0!</v>
      </c>
      <c r="AX304" s="29" t="str">
        <f t="shared" si="307"/>
        <v>#DIV/0!</v>
      </c>
      <c r="AY304" s="29" t="str">
        <f t="shared" si="307"/>
        <v>#DIV/0!</v>
      </c>
      <c r="AZ304" s="29" t="str">
        <f t="shared" si="307"/>
        <v>#DIV/0!</v>
      </c>
      <c r="BA304" s="29" t="str">
        <f t="shared" si="307"/>
        <v>#DIV/0!</v>
      </c>
      <c r="BB304" s="29" t="str">
        <f t="shared" si="307"/>
        <v>#DIV/0!</v>
      </c>
      <c r="BC304" s="29" t="str">
        <f t="shared" si="307"/>
        <v>#DIV/0!</v>
      </c>
      <c r="BD304" s="29" t="str">
        <f t="shared" si="307"/>
        <v>#DIV/0!</v>
      </c>
      <c r="BE304" s="29" t="str">
        <f t="shared" si="307"/>
        <v>#DIV/0!</v>
      </c>
      <c r="BF304" s="29" t="str">
        <f t="shared" si="307"/>
        <v>#DIV/0!</v>
      </c>
      <c r="BG304" s="29" t="str">
        <f t="shared" si="307"/>
        <v>#DIV/0!</v>
      </c>
      <c r="BH304" s="29" t="str">
        <f t="shared" si="307"/>
        <v>#DIV/0!</v>
      </c>
      <c r="BI304" s="29" t="str">
        <f t="shared" si="307"/>
        <v>#DIV/0!</v>
      </c>
      <c r="BJ304" s="29" t="str">
        <f t="shared" si="307"/>
        <v>#DIV/0!</v>
      </c>
      <c r="BK304" s="29" t="str">
        <f t="shared" si="307"/>
        <v>#DIV/0!</v>
      </c>
      <c r="BL304" s="29" t="str">
        <f t="shared" si="307"/>
        <v>#DIV/0!</v>
      </c>
      <c r="BM304" s="29" t="str">
        <f t="shared" si="3"/>
        <v>#DIV/0!</v>
      </c>
    </row>
    <row r="305">
      <c r="A305" s="16" t="str">
        <f>IFERROR(__xludf.DUMMYFUNCTION("IFERROR(SPARKLINE(SORT(MAP(TRANSPOSE(AQ305:BL305), LAMBDA(val, IF(ISNUMBER(val), PERCENTRANK(AQ305:BL305, val)+0.01, 0))), SEQUENCE(COLUMNS(AQ305:BL305)), FALSE), {""charttype"",""column""; ""color"",""chartreuse""; ""ymin"", 0; ""ymax"", 1.01; ""highcolo"&amp;"r"", ""darkgreen""; ""lowcolor"", ""red""}), """")"),"")</f>
        <v/>
      </c>
      <c r="B305" s="17" t="str">
        <f t="shared" si="4"/>
        <v/>
      </c>
      <c r="C305" s="1" t="s">
        <v>1436</v>
      </c>
      <c r="D305" s="34" t="str">
        <f>IFERROR(__xludf.DUMMYFUNCTION("IFERROR(GOOGLEFINANCE(C305, ""NAME""))"),"KeyCorp")</f>
        <v>KeyCorp</v>
      </c>
      <c r="E305" s="30" t="s">
        <v>268</v>
      </c>
      <c r="F305" s="33" t="str">
        <f>IFERROR(__xludf.DUMMYFUNCTION("( (GOOGLEFINANCE(C305, ""price"") - Q305) / Q305 ) / (R305 / 100)"),"Loading...")</f>
        <v>Loading...</v>
      </c>
      <c r="G305" s="20" t="str">
        <f>IFERROR(__xludf.DUMMYFUNCTION("AVERAGE(ARRAYFORMULA(100 * (QUERY(GOOGLEFINANCE(C305, ""high"", TODAY()-40, TODAY()), ""SELECT Col2 WHERE Col2 IS NOT NULL ORDER BY Col1 DESC LIMIT 20"", 0) / QUERY(GOOGLEFINANCE(C305, ""low"", TODAY()-40, TODAY()), ""SELECT Col2 WHERE Col2 IS NOT NULL OR"&amp;"DER BY Col1 DESC LIMIT 20"", 0) - 1)))"),"#N/A")</f>
        <v>#N/A</v>
      </c>
      <c r="H305" s="35" t="str">
        <f t="shared" si="6"/>
        <v/>
      </c>
      <c r="I305" s="36" t="str">
        <f t="shared" si="7"/>
        <v/>
      </c>
      <c r="J305" s="37" t="str">
        <f>IFERROR(__xludf.DUMMYFUNCTION("IFERROR(
  IF(C305="""",, 
    IFERROR(
      GOOGLEFINANCE(C305, ""price"") * GOOGLEFINANCE(C305, ""volumeavg""), 
      GOOGLEFINANCE(C305, ""price"") * AVERAGE(QUERY(GOOGLEFINANCE(C305, ""volume"", TODAY()-40, TODAY()), ""SELECT Col2 WHERE Col2 IS NOT "&amp;"NULL ORDER BY Col1 DESC LIMIT 20"", 0))
    )
  ), 
"""")"),"")</f>
        <v/>
      </c>
      <c r="K305" s="21" t="str">
        <f>IFERROR(__xludf.DUMMYFUNCTION("IFERROR(GOOGLEFINANCE(C305, ""changepct"") / 100, """")"),"")</f>
        <v/>
      </c>
      <c r="L305" s="21" t="str">
        <f>IFERROR(__xludf.DUMMYFUNCTION("IFERROR((GOOGLEFINANCE(C305, ""price"") / INDEX(GOOGLEFINANCE(C305, ""price"", TODAY()-7, TODAY()), 2, 2)) - 1, """")"),"")</f>
        <v/>
      </c>
      <c r="M305" s="21" t="str">
        <f>IFERROR(__xludf.DUMMYFUNCTION("IFERROR((GOOGLEFINANCE(C305, ""price"") / INDEX(GOOGLEFINANCE(C305, ""price"", EDATE(TODAY(), -1), TODAY()), 2, 2)) - 1, """")"),"")</f>
        <v/>
      </c>
      <c r="N305" s="21" t="str">
        <f>IFERROR(__xludf.DUMMYFUNCTION("IFERROR((GOOGLEFINANCE(C305, ""price"") / INDEX(GOOGLEFINANCE(C305, ""price"", EDATE(TODAY(), -3), TODAY()), 2, 2)) - 1, """")"),"")</f>
        <v/>
      </c>
      <c r="O305" s="21" t="str">
        <f>IFERROR(__xludf.DUMMYFUNCTION("IFERROR((GOOGLEFINANCE(C305, ""price"") / INDEX(GOOGLEFINANCE(C305, ""price"", EDATE(TODAY(), -6), TODAY()), 2, 2)) - 1, """")"),"")</f>
        <v/>
      </c>
      <c r="P305" s="21" t="str">
        <f>IFERROR(__xludf.DUMMYFUNCTION("IFERROR((GOOGLEFINANCE(C305, ""price"") / INDEX(GOOGLEFINANCE(C305, ""price"", EDATE(TODAY(), -12), TODAY()), 2, 2)) - 1, """")"),"")</f>
        <v/>
      </c>
      <c r="Q305" s="6" t="str">
        <f>IFERROR(__xludf.DUMMYFUNCTION("AVERAGE(QUERY(GOOGLEFINANCE(C305, ""price"", TODAY()-80, TODAY()), ""SELECT Col2 WHERE Col2 IS NOT NULL ORDER BY Col1 DESC LIMIT 50"", 0))"),"#N/A")</f>
        <v>#N/A</v>
      </c>
      <c r="R305" s="24" t="str">
        <f>IFERROR(__xludf.DUMMYFUNCTION("IFERROR(
  LET(
    data, QUERY(GOOGLEFINANCE(C305,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GOOGLEFINANCE(C305, ""price"")) * 100,
    IF(calc=0, G305, calc)
  ), 
G305)"),"#N/A")</f>
        <v>#N/A</v>
      </c>
      <c r="S305" s="8" t="s">
        <v>15</v>
      </c>
      <c r="T305" s="26" t="str">
        <f>IFERROR(__xludf.DUMMYFUNCTION("IFERROR(TRANSPOSE(QUERY(IFERROR(SORT(GOOGLEFINANCE(C305, ""price"", WORKDAY(TODAY(), -40), TODAY()), 1, FALSE)), ""select Col2 where Col2 is not null limit 22 label Col2 ''"", 0)), """")"),"")</f>
        <v/>
      </c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8"/>
      <c r="AO305" s="28"/>
      <c r="AP305" s="29"/>
      <c r="AQ305" s="29" t="str">
        <f t="shared" ref="AQ305:BL305" si="308">T305/T$2</f>
        <v>#N/A</v>
      </c>
      <c r="AR305" s="29" t="str">
        <f t="shared" si="308"/>
        <v>#DIV/0!</v>
      </c>
      <c r="AS305" s="29" t="str">
        <f t="shared" si="308"/>
        <v>#DIV/0!</v>
      </c>
      <c r="AT305" s="29" t="str">
        <f t="shared" si="308"/>
        <v>#DIV/0!</v>
      </c>
      <c r="AU305" s="29" t="str">
        <f t="shared" si="308"/>
        <v>#DIV/0!</v>
      </c>
      <c r="AV305" s="29" t="str">
        <f t="shared" si="308"/>
        <v>#DIV/0!</v>
      </c>
      <c r="AW305" s="29" t="str">
        <f t="shared" si="308"/>
        <v>#DIV/0!</v>
      </c>
      <c r="AX305" s="29" t="str">
        <f t="shared" si="308"/>
        <v>#DIV/0!</v>
      </c>
      <c r="AY305" s="29" t="str">
        <f t="shared" si="308"/>
        <v>#DIV/0!</v>
      </c>
      <c r="AZ305" s="29" t="str">
        <f t="shared" si="308"/>
        <v>#DIV/0!</v>
      </c>
      <c r="BA305" s="29" t="str">
        <f t="shared" si="308"/>
        <v>#DIV/0!</v>
      </c>
      <c r="BB305" s="29" t="str">
        <f t="shared" si="308"/>
        <v>#DIV/0!</v>
      </c>
      <c r="BC305" s="29" t="str">
        <f t="shared" si="308"/>
        <v>#DIV/0!</v>
      </c>
      <c r="BD305" s="29" t="str">
        <f t="shared" si="308"/>
        <v>#DIV/0!</v>
      </c>
      <c r="BE305" s="29" t="str">
        <f t="shared" si="308"/>
        <v>#DIV/0!</v>
      </c>
      <c r="BF305" s="29" t="str">
        <f t="shared" si="308"/>
        <v>#DIV/0!</v>
      </c>
      <c r="BG305" s="29" t="str">
        <f t="shared" si="308"/>
        <v>#DIV/0!</v>
      </c>
      <c r="BH305" s="29" t="str">
        <f t="shared" si="308"/>
        <v>#DIV/0!</v>
      </c>
      <c r="BI305" s="29" t="str">
        <f t="shared" si="308"/>
        <v>#DIV/0!</v>
      </c>
      <c r="BJ305" s="29" t="str">
        <f t="shared" si="308"/>
        <v>#DIV/0!</v>
      </c>
      <c r="BK305" s="29" t="str">
        <f t="shared" si="308"/>
        <v>#DIV/0!</v>
      </c>
      <c r="BL305" s="29" t="str">
        <f t="shared" si="308"/>
        <v>#DIV/0!</v>
      </c>
      <c r="BM305" s="29" t="str">
        <f t="shared" si="3"/>
        <v>#DIV/0!</v>
      </c>
    </row>
    <row r="306">
      <c r="A306" s="16" t="str">
        <f>IFERROR(__xludf.DUMMYFUNCTION("IFERROR(SPARKLINE(SORT(MAP(TRANSPOSE(AQ306:BL306), LAMBDA(val, IF(ISNUMBER(val), PERCENTRANK(AQ306:BL306, val)+0.01, 0))), SEQUENCE(COLUMNS(AQ306:BL306)), FALSE), {""charttype"",""column""; ""color"",""chartreuse""; ""ymin"", 0; ""ymax"", 1.01; ""highcolo"&amp;"r"", ""darkgreen""; ""lowcolor"", ""red""}), """")"),"")</f>
        <v/>
      </c>
      <c r="B306" s="17" t="str">
        <f t="shared" si="4"/>
        <v/>
      </c>
      <c r="C306" s="1" t="s">
        <v>1440</v>
      </c>
      <c r="D306" s="34" t="str">
        <f>IFERROR(__xludf.DUMMYFUNCTION("IFERROR(GOOGLEFINANCE(C306, ""NAME""))"),"Grupo Cibest SA ADR")</f>
        <v>Grupo Cibest SA ADR</v>
      </c>
      <c r="E306" s="30" t="s">
        <v>268</v>
      </c>
      <c r="F306" s="33" t="str">
        <f>IFERROR(__xludf.DUMMYFUNCTION("( (GOOGLEFINANCE(C306, ""price"") - Q306) / Q306 ) / (R306 / 100)"),"Loading...")</f>
        <v>Loading...</v>
      </c>
      <c r="G306" s="20" t="str">
        <f>IFERROR(__xludf.DUMMYFUNCTION("AVERAGE(ARRAYFORMULA(100 * (QUERY(GOOGLEFINANCE(C306, ""high"", TODAY()-40, TODAY()), ""SELECT Col2 WHERE Col2 IS NOT NULL ORDER BY Col1 DESC LIMIT 20"", 0) / QUERY(GOOGLEFINANCE(C306, ""low"", TODAY()-40, TODAY()), ""SELECT Col2 WHERE Col2 IS NOT NULL OR"&amp;"DER BY Col1 DESC LIMIT 20"", 0) - 1)))"),"#N/A")</f>
        <v>#N/A</v>
      </c>
      <c r="H306" s="35" t="str">
        <f t="shared" si="6"/>
        <v/>
      </c>
      <c r="I306" s="36" t="str">
        <f t="shared" si="7"/>
        <v/>
      </c>
      <c r="J306" s="37" t="str">
        <f>IFERROR(__xludf.DUMMYFUNCTION("IFERROR(
  IF(C306="""",, 
    IFERROR(
      GOOGLEFINANCE(C306, ""price"") * GOOGLEFINANCE(C306, ""volumeavg""), 
      GOOGLEFINANCE(C306, ""price"") * AVERAGE(QUERY(GOOGLEFINANCE(C306, ""volume"", TODAY()-40, TODAY()), ""SELECT Col2 WHERE Col2 IS NOT "&amp;"NULL ORDER BY Col1 DESC LIMIT 20"", 0))
    )
  ), 
"""")"),"")</f>
        <v/>
      </c>
      <c r="K306" s="21" t="str">
        <f>IFERROR(__xludf.DUMMYFUNCTION("IFERROR(GOOGLEFINANCE(C306, ""changepct"") / 100, """")"),"")</f>
        <v/>
      </c>
      <c r="L306" s="21" t="str">
        <f>IFERROR(__xludf.DUMMYFUNCTION("IFERROR((GOOGLEFINANCE(C306, ""price"") / INDEX(GOOGLEFINANCE(C306, ""price"", TODAY()-7, TODAY()), 2, 2)) - 1, """")"),"")</f>
        <v/>
      </c>
      <c r="M306" s="21" t="str">
        <f>IFERROR(__xludf.DUMMYFUNCTION("IFERROR((GOOGLEFINANCE(C306, ""price"") / INDEX(GOOGLEFINANCE(C306, ""price"", EDATE(TODAY(), -1), TODAY()), 2, 2)) - 1, """")"),"")</f>
        <v/>
      </c>
      <c r="N306" s="21" t="str">
        <f>IFERROR(__xludf.DUMMYFUNCTION("IFERROR((GOOGLEFINANCE(C306, ""price"") / INDEX(GOOGLEFINANCE(C306, ""price"", EDATE(TODAY(), -3), TODAY()), 2, 2)) - 1, """")"),"")</f>
        <v/>
      </c>
      <c r="O306" s="21" t="str">
        <f>IFERROR(__xludf.DUMMYFUNCTION("IFERROR((GOOGLEFINANCE(C306, ""price"") / INDEX(GOOGLEFINANCE(C306, ""price"", EDATE(TODAY(), -6), TODAY()), 2, 2)) - 1, """")"),"")</f>
        <v/>
      </c>
      <c r="P306" s="21" t="str">
        <f>IFERROR(__xludf.DUMMYFUNCTION("IFERROR((GOOGLEFINANCE(C306, ""price"") / INDEX(GOOGLEFINANCE(C306, ""price"", EDATE(TODAY(), -12), TODAY()), 2, 2)) - 1, """")"),"")</f>
        <v/>
      </c>
      <c r="Q306" s="6" t="str">
        <f>IFERROR(__xludf.DUMMYFUNCTION("AVERAGE(QUERY(GOOGLEFINANCE(C306, ""price"", TODAY()-80, TODAY()), ""SELECT Col2 WHERE Col2 IS NOT NULL ORDER BY Col1 DESC LIMIT 50"", 0))"),"#N/A")</f>
        <v>#N/A</v>
      </c>
      <c r="R306" s="24" t="str">
        <f>IFERROR(__xludf.DUMMYFUNCTION("IFERROR(
  LET(
    data, QUERY(GOOGLEFINANCE(C306,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GOOGLEFINANCE(C306, ""price"")) * 100,
    IF(calc=0, G306, calc)
  ), 
G306)"),"#N/A")</f>
        <v>#N/A</v>
      </c>
      <c r="S306" s="8" t="s">
        <v>15</v>
      </c>
      <c r="T306" s="26" t="str">
        <f>IFERROR(__xludf.DUMMYFUNCTION("IFERROR(TRANSPOSE(QUERY(IFERROR(SORT(GOOGLEFINANCE(C306, ""price"", WORKDAY(TODAY(), -40), TODAY()), 1, FALSE)), ""select Col2 where Col2 is not null limit 22 label Col2 ''"", 0)), """")"),"")</f>
        <v/>
      </c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8"/>
      <c r="AO306" s="28"/>
      <c r="AP306" s="29"/>
      <c r="AQ306" s="29" t="str">
        <f t="shared" ref="AQ306:BL306" si="309">T306/T$2</f>
        <v>#N/A</v>
      </c>
      <c r="AR306" s="29" t="str">
        <f t="shared" si="309"/>
        <v>#DIV/0!</v>
      </c>
      <c r="AS306" s="29" t="str">
        <f t="shared" si="309"/>
        <v>#DIV/0!</v>
      </c>
      <c r="AT306" s="29" t="str">
        <f t="shared" si="309"/>
        <v>#DIV/0!</v>
      </c>
      <c r="AU306" s="29" t="str">
        <f t="shared" si="309"/>
        <v>#DIV/0!</v>
      </c>
      <c r="AV306" s="29" t="str">
        <f t="shared" si="309"/>
        <v>#DIV/0!</v>
      </c>
      <c r="AW306" s="29" t="str">
        <f t="shared" si="309"/>
        <v>#DIV/0!</v>
      </c>
      <c r="AX306" s="29" t="str">
        <f t="shared" si="309"/>
        <v>#DIV/0!</v>
      </c>
      <c r="AY306" s="29" t="str">
        <f t="shared" si="309"/>
        <v>#DIV/0!</v>
      </c>
      <c r="AZ306" s="29" t="str">
        <f t="shared" si="309"/>
        <v>#DIV/0!</v>
      </c>
      <c r="BA306" s="29" t="str">
        <f t="shared" si="309"/>
        <v>#DIV/0!</v>
      </c>
      <c r="BB306" s="29" t="str">
        <f t="shared" si="309"/>
        <v>#DIV/0!</v>
      </c>
      <c r="BC306" s="29" t="str">
        <f t="shared" si="309"/>
        <v>#DIV/0!</v>
      </c>
      <c r="BD306" s="29" t="str">
        <f t="shared" si="309"/>
        <v>#DIV/0!</v>
      </c>
      <c r="BE306" s="29" t="str">
        <f t="shared" si="309"/>
        <v>#DIV/0!</v>
      </c>
      <c r="BF306" s="29" t="str">
        <f t="shared" si="309"/>
        <v>#DIV/0!</v>
      </c>
      <c r="BG306" s="29" t="str">
        <f t="shared" si="309"/>
        <v>#DIV/0!</v>
      </c>
      <c r="BH306" s="29" t="str">
        <f t="shared" si="309"/>
        <v>#DIV/0!</v>
      </c>
      <c r="BI306" s="29" t="str">
        <f t="shared" si="309"/>
        <v>#DIV/0!</v>
      </c>
      <c r="BJ306" s="29" t="str">
        <f t="shared" si="309"/>
        <v>#DIV/0!</v>
      </c>
      <c r="BK306" s="29" t="str">
        <f t="shared" si="309"/>
        <v>#DIV/0!</v>
      </c>
      <c r="BL306" s="29" t="str">
        <f t="shared" si="309"/>
        <v>#DIV/0!</v>
      </c>
      <c r="BM306" s="29" t="str">
        <f t="shared" si="3"/>
        <v>#DIV/0!</v>
      </c>
    </row>
    <row r="307">
      <c r="A307" s="16" t="str">
        <f>IFERROR(__xludf.DUMMYFUNCTION("IFERROR(SPARKLINE(SORT(MAP(TRANSPOSE(AQ307:BL307), LAMBDA(val, IF(ISNUMBER(val), PERCENTRANK(AQ307:BL307, val)+0.01, 0))), SEQUENCE(COLUMNS(AQ307:BL307)), FALSE), {""charttype"",""column""; ""color"",""chartreuse""; ""ymin"", 0; ""ymax"", 1.01; ""highcolo"&amp;"r"", ""darkgreen""; ""lowcolor"", ""red""}), """")"),"")</f>
        <v/>
      </c>
      <c r="B307" s="17" t="str">
        <f t="shared" si="4"/>
        <v/>
      </c>
      <c r="C307" s="1" t="s">
        <v>1446</v>
      </c>
      <c r="D307" s="34" t="str">
        <f>IFERROR(__xludf.DUMMYFUNCTION("IFERROR(GOOGLEFINANCE(C307, ""NAME""))"),"Banco Santander Chile")</f>
        <v>Banco Santander Chile</v>
      </c>
      <c r="E307" s="30" t="s">
        <v>268</v>
      </c>
      <c r="F307" s="33" t="str">
        <f>IFERROR(__xludf.DUMMYFUNCTION("( (GOOGLEFINANCE(C307, ""price"") - Q307) / Q307 ) / (R307 / 100)"),"Loading...")</f>
        <v>Loading...</v>
      </c>
      <c r="G307" s="20" t="str">
        <f>IFERROR(__xludf.DUMMYFUNCTION("AVERAGE(ARRAYFORMULA(100 * (QUERY(GOOGLEFINANCE(C307, ""high"", TODAY()-40, TODAY()), ""SELECT Col2 WHERE Col2 IS NOT NULL ORDER BY Col1 DESC LIMIT 20"", 0) / QUERY(GOOGLEFINANCE(C307, ""low"", TODAY()-40, TODAY()), ""SELECT Col2 WHERE Col2 IS NOT NULL OR"&amp;"DER BY Col1 DESC LIMIT 20"", 0) - 1)))"),"#N/A")</f>
        <v>#N/A</v>
      </c>
      <c r="H307" s="35" t="str">
        <f t="shared" si="6"/>
        <v/>
      </c>
      <c r="I307" s="36" t="str">
        <f t="shared" si="7"/>
        <v/>
      </c>
      <c r="J307" s="37" t="str">
        <f>IFERROR(__xludf.DUMMYFUNCTION("IFERROR(
  IF(C307="""",, 
    IFERROR(
      GOOGLEFINANCE(C307, ""price"") * GOOGLEFINANCE(C307, ""volumeavg""), 
      GOOGLEFINANCE(C307, ""price"") * AVERAGE(QUERY(GOOGLEFINANCE(C307, ""volume"", TODAY()-40, TODAY()), ""SELECT Col2 WHERE Col2 IS NOT "&amp;"NULL ORDER BY Col1 DESC LIMIT 20"", 0))
    )
  ), 
"""")"),"")</f>
        <v/>
      </c>
      <c r="K307" s="21" t="str">
        <f>IFERROR(__xludf.DUMMYFUNCTION("IFERROR(GOOGLEFINANCE(C307, ""changepct"") / 100, """")"),"")</f>
        <v/>
      </c>
      <c r="L307" s="21" t="str">
        <f>IFERROR(__xludf.DUMMYFUNCTION("IFERROR((GOOGLEFINANCE(C307, ""price"") / INDEX(GOOGLEFINANCE(C307, ""price"", TODAY()-7, TODAY()), 2, 2)) - 1, """")"),"")</f>
        <v/>
      </c>
      <c r="M307" s="21" t="str">
        <f>IFERROR(__xludf.DUMMYFUNCTION("IFERROR((GOOGLEFINANCE(C307, ""price"") / INDEX(GOOGLEFINANCE(C307, ""price"", EDATE(TODAY(), -1), TODAY()), 2, 2)) - 1, """")"),"")</f>
        <v/>
      </c>
      <c r="N307" s="21" t="str">
        <f>IFERROR(__xludf.DUMMYFUNCTION("IFERROR((GOOGLEFINANCE(C307, ""price"") / INDEX(GOOGLEFINANCE(C307, ""price"", EDATE(TODAY(), -3), TODAY()), 2, 2)) - 1, """")"),"")</f>
        <v/>
      </c>
      <c r="O307" s="21" t="str">
        <f>IFERROR(__xludf.DUMMYFUNCTION("IFERROR((GOOGLEFINANCE(C307, ""price"") / INDEX(GOOGLEFINANCE(C307, ""price"", EDATE(TODAY(), -6), TODAY()), 2, 2)) - 1, """")"),"")</f>
        <v/>
      </c>
      <c r="P307" s="21" t="str">
        <f>IFERROR(__xludf.DUMMYFUNCTION("IFERROR((GOOGLEFINANCE(C307, ""price"") / INDEX(GOOGLEFINANCE(C307, ""price"", EDATE(TODAY(), -12), TODAY()), 2, 2)) - 1, """")"),"")</f>
        <v/>
      </c>
      <c r="Q307" s="6" t="str">
        <f>IFERROR(__xludf.DUMMYFUNCTION("AVERAGE(QUERY(GOOGLEFINANCE(C307, ""price"", TODAY()-80, TODAY()), ""SELECT Col2 WHERE Col2 IS NOT NULL ORDER BY Col1 DESC LIMIT 50"", 0))"),"#N/A")</f>
        <v>#N/A</v>
      </c>
      <c r="R307" s="24" t="str">
        <f>IFERROR(__xludf.DUMMYFUNCTION("IFERROR(
  LET(
    data, QUERY(GOOGLEFINANCE(C307,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GOOGLEFINANCE(C307, ""price"")) * 100,
    IF(calc=0, G307, calc)
  ), 
G307)"),"#N/A")</f>
        <v>#N/A</v>
      </c>
      <c r="S307" s="8" t="s">
        <v>15</v>
      </c>
      <c r="T307" s="26" t="str">
        <f>IFERROR(__xludf.DUMMYFUNCTION("IFERROR(TRANSPOSE(QUERY(IFERROR(SORT(GOOGLEFINANCE(C307, ""price"", WORKDAY(TODAY(), -40), TODAY()), 1, FALSE)), ""select Col2 where Col2 is not null limit 22 label Col2 ''"", 0)), """")"),"")</f>
        <v/>
      </c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8"/>
      <c r="AO307" s="28"/>
      <c r="AP307" s="29"/>
      <c r="AQ307" s="29" t="str">
        <f t="shared" ref="AQ307:BL307" si="310">T307/T$2</f>
        <v>#N/A</v>
      </c>
      <c r="AR307" s="29" t="str">
        <f t="shared" si="310"/>
        <v>#DIV/0!</v>
      </c>
      <c r="AS307" s="29" t="str">
        <f t="shared" si="310"/>
        <v>#DIV/0!</v>
      </c>
      <c r="AT307" s="29" t="str">
        <f t="shared" si="310"/>
        <v>#DIV/0!</v>
      </c>
      <c r="AU307" s="29" t="str">
        <f t="shared" si="310"/>
        <v>#DIV/0!</v>
      </c>
      <c r="AV307" s="29" t="str">
        <f t="shared" si="310"/>
        <v>#DIV/0!</v>
      </c>
      <c r="AW307" s="29" t="str">
        <f t="shared" si="310"/>
        <v>#DIV/0!</v>
      </c>
      <c r="AX307" s="29" t="str">
        <f t="shared" si="310"/>
        <v>#DIV/0!</v>
      </c>
      <c r="AY307" s="29" t="str">
        <f t="shared" si="310"/>
        <v>#DIV/0!</v>
      </c>
      <c r="AZ307" s="29" t="str">
        <f t="shared" si="310"/>
        <v>#DIV/0!</v>
      </c>
      <c r="BA307" s="29" t="str">
        <f t="shared" si="310"/>
        <v>#DIV/0!</v>
      </c>
      <c r="BB307" s="29" t="str">
        <f t="shared" si="310"/>
        <v>#DIV/0!</v>
      </c>
      <c r="BC307" s="29" t="str">
        <f t="shared" si="310"/>
        <v>#DIV/0!</v>
      </c>
      <c r="BD307" s="29" t="str">
        <f t="shared" si="310"/>
        <v>#DIV/0!</v>
      </c>
      <c r="BE307" s="29" t="str">
        <f t="shared" si="310"/>
        <v>#DIV/0!</v>
      </c>
      <c r="BF307" s="29" t="str">
        <f t="shared" si="310"/>
        <v>#DIV/0!</v>
      </c>
      <c r="BG307" s="29" t="str">
        <f t="shared" si="310"/>
        <v>#DIV/0!</v>
      </c>
      <c r="BH307" s="29" t="str">
        <f t="shared" si="310"/>
        <v>#DIV/0!</v>
      </c>
      <c r="BI307" s="29" t="str">
        <f t="shared" si="310"/>
        <v>#DIV/0!</v>
      </c>
      <c r="BJ307" s="29" t="str">
        <f t="shared" si="310"/>
        <v>#DIV/0!</v>
      </c>
      <c r="BK307" s="29" t="str">
        <f t="shared" si="310"/>
        <v>#DIV/0!</v>
      </c>
      <c r="BL307" s="29" t="str">
        <f t="shared" si="310"/>
        <v>#DIV/0!</v>
      </c>
      <c r="BM307" s="29" t="str">
        <f t="shared" si="3"/>
        <v>#DIV/0!</v>
      </c>
    </row>
    <row r="308">
      <c r="A308" s="16" t="str">
        <f>IFERROR(__xludf.DUMMYFUNCTION("IFERROR(SPARKLINE(SORT(MAP(TRANSPOSE(AQ308:BL308), LAMBDA(val, IF(ISNUMBER(val), PERCENTRANK(AQ308:BL308, val)+0.01, 0))), SEQUENCE(COLUMNS(AQ308:BL308)), FALSE), {""charttype"",""column""; ""color"",""chartreuse""; ""ymin"", 0; ""ymax"", 1.01; ""highcolo"&amp;"r"", ""darkgreen""; ""lowcolor"", ""red""}), """")"),"")</f>
        <v/>
      </c>
      <c r="B308" s="17" t="str">
        <f t="shared" si="4"/>
        <v/>
      </c>
      <c r="C308" s="1" t="s">
        <v>1451</v>
      </c>
      <c r="D308" s="34" t="str">
        <f>IFERROR(__xludf.DUMMYFUNCTION("IFERROR(GOOGLEFINANCE(C308, ""NAME""))"),"Banco de Chile")</f>
        <v>Banco de Chile</v>
      </c>
      <c r="E308" s="30" t="s">
        <v>268</v>
      </c>
      <c r="F308" s="33" t="str">
        <f>IFERROR(__xludf.DUMMYFUNCTION("( (GOOGLEFINANCE(C308, ""price"") - Q308) / Q308 ) / (R308 / 100)"),"Loading...")</f>
        <v>Loading...</v>
      </c>
      <c r="G308" s="20" t="str">
        <f>IFERROR(__xludf.DUMMYFUNCTION("AVERAGE(ARRAYFORMULA(100 * (QUERY(GOOGLEFINANCE(C308, ""high"", TODAY()-40, TODAY()), ""SELECT Col2 WHERE Col2 IS NOT NULL ORDER BY Col1 DESC LIMIT 20"", 0) / QUERY(GOOGLEFINANCE(C308, ""low"", TODAY()-40, TODAY()), ""SELECT Col2 WHERE Col2 IS NOT NULL OR"&amp;"DER BY Col1 DESC LIMIT 20"", 0) - 1)))"),"#N/A")</f>
        <v>#N/A</v>
      </c>
      <c r="H308" s="35" t="str">
        <f t="shared" si="6"/>
        <v/>
      </c>
      <c r="I308" s="36" t="str">
        <f t="shared" si="7"/>
        <v/>
      </c>
      <c r="J308" s="37" t="str">
        <f>IFERROR(__xludf.DUMMYFUNCTION("IFERROR(
  IF(C308="""",, 
    IFERROR(
      GOOGLEFINANCE(C308, ""price"") * GOOGLEFINANCE(C308, ""volumeavg""), 
      GOOGLEFINANCE(C308, ""price"") * AVERAGE(QUERY(GOOGLEFINANCE(C308, ""volume"", TODAY()-40, TODAY()), ""SELECT Col2 WHERE Col2 IS NOT "&amp;"NULL ORDER BY Col1 DESC LIMIT 20"", 0))
    )
  ), 
"""")"),"")</f>
        <v/>
      </c>
      <c r="K308" s="21" t="str">
        <f>IFERROR(__xludf.DUMMYFUNCTION("IFERROR(GOOGLEFINANCE(C308, ""changepct"") / 100, """")"),"")</f>
        <v/>
      </c>
      <c r="L308" s="21" t="str">
        <f>IFERROR(__xludf.DUMMYFUNCTION("IFERROR((GOOGLEFINANCE(C308, ""price"") / INDEX(GOOGLEFINANCE(C308, ""price"", TODAY()-7, TODAY()), 2, 2)) - 1, """")"),"")</f>
        <v/>
      </c>
      <c r="M308" s="21" t="str">
        <f>IFERROR(__xludf.DUMMYFUNCTION("IFERROR((GOOGLEFINANCE(C308, ""price"") / INDEX(GOOGLEFINANCE(C308, ""price"", EDATE(TODAY(), -1), TODAY()), 2, 2)) - 1, """")"),"")</f>
        <v/>
      </c>
      <c r="N308" s="21" t="str">
        <f>IFERROR(__xludf.DUMMYFUNCTION("IFERROR((GOOGLEFINANCE(C308, ""price"") / INDEX(GOOGLEFINANCE(C308, ""price"", EDATE(TODAY(), -3), TODAY()), 2, 2)) - 1, """")"),"")</f>
        <v/>
      </c>
      <c r="O308" s="21" t="str">
        <f>IFERROR(__xludf.DUMMYFUNCTION("IFERROR((GOOGLEFINANCE(C308, ""price"") / INDEX(GOOGLEFINANCE(C308, ""price"", EDATE(TODAY(), -6), TODAY()), 2, 2)) - 1, """")"),"")</f>
        <v/>
      </c>
      <c r="P308" s="21" t="str">
        <f>IFERROR(__xludf.DUMMYFUNCTION("IFERROR((GOOGLEFINANCE(C308, ""price"") / INDEX(GOOGLEFINANCE(C308, ""price"", EDATE(TODAY(), -12), TODAY()), 2, 2)) - 1, """")"),"")</f>
        <v/>
      </c>
      <c r="Q308" s="6" t="str">
        <f>IFERROR(__xludf.DUMMYFUNCTION("AVERAGE(QUERY(GOOGLEFINANCE(C308, ""price"", TODAY()-80, TODAY()), ""SELECT Col2 WHERE Col2 IS NOT NULL ORDER BY Col1 DESC LIMIT 50"", 0))"),"#N/A")</f>
        <v>#N/A</v>
      </c>
      <c r="R308" s="24" t="str">
        <f>IFERROR(__xludf.DUMMYFUNCTION("IFERROR(
  LET(
    data, QUERY(GOOGLEFINANCE(C308,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GOOGLEFINANCE(C308, ""price"")) * 100,
    IF(calc=0, G308, calc)
  ), 
G308)"),"#N/A")</f>
        <v>#N/A</v>
      </c>
      <c r="S308" s="8" t="s">
        <v>15</v>
      </c>
      <c r="T308" s="26" t="str">
        <f>IFERROR(__xludf.DUMMYFUNCTION("IFERROR(TRANSPOSE(QUERY(IFERROR(SORT(GOOGLEFINANCE(C308, ""price"", WORKDAY(TODAY(), -40), TODAY()), 1, FALSE)), ""select Col2 where Col2 is not null limit 22 label Col2 ''"", 0)), """")"),"")</f>
        <v/>
      </c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8"/>
      <c r="AO308" s="28"/>
      <c r="AP308" s="29"/>
      <c r="AQ308" s="29" t="str">
        <f t="shared" ref="AQ308:BL308" si="311">T308/T$2</f>
        <v>#N/A</v>
      </c>
      <c r="AR308" s="29" t="str">
        <f t="shared" si="311"/>
        <v>#DIV/0!</v>
      </c>
      <c r="AS308" s="29" t="str">
        <f t="shared" si="311"/>
        <v>#DIV/0!</v>
      </c>
      <c r="AT308" s="29" t="str">
        <f t="shared" si="311"/>
        <v>#DIV/0!</v>
      </c>
      <c r="AU308" s="29" t="str">
        <f t="shared" si="311"/>
        <v>#DIV/0!</v>
      </c>
      <c r="AV308" s="29" t="str">
        <f t="shared" si="311"/>
        <v>#DIV/0!</v>
      </c>
      <c r="AW308" s="29" t="str">
        <f t="shared" si="311"/>
        <v>#DIV/0!</v>
      </c>
      <c r="AX308" s="29" t="str">
        <f t="shared" si="311"/>
        <v>#DIV/0!</v>
      </c>
      <c r="AY308" s="29" t="str">
        <f t="shared" si="311"/>
        <v>#DIV/0!</v>
      </c>
      <c r="AZ308" s="29" t="str">
        <f t="shared" si="311"/>
        <v>#DIV/0!</v>
      </c>
      <c r="BA308" s="29" t="str">
        <f t="shared" si="311"/>
        <v>#DIV/0!</v>
      </c>
      <c r="BB308" s="29" t="str">
        <f t="shared" si="311"/>
        <v>#DIV/0!</v>
      </c>
      <c r="BC308" s="29" t="str">
        <f t="shared" si="311"/>
        <v>#DIV/0!</v>
      </c>
      <c r="BD308" s="29" t="str">
        <f t="shared" si="311"/>
        <v>#DIV/0!</v>
      </c>
      <c r="BE308" s="29" t="str">
        <f t="shared" si="311"/>
        <v>#DIV/0!</v>
      </c>
      <c r="BF308" s="29" t="str">
        <f t="shared" si="311"/>
        <v>#DIV/0!</v>
      </c>
      <c r="BG308" s="29" t="str">
        <f t="shared" si="311"/>
        <v>#DIV/0!</v>
      </c>
      <c r="BH308" s="29" t="str">
        <f t="shared" si="311"/>
        <v>#DIV/0!</v>
      </c>
      <c r="BI308" s="29" t="str">
        <f t="shared" si="311"/>
        <v>#DIV/0!</v>
      </c>
      <c r="BJ308" s="29" t="str">
        <f t="shared" si="311"/>
        <v>#DIV/0!</v>
      </c>
      <c r="BK308" s="29" t="str">
        <f t="shared" si="311"/>
        <v>#DIV/0!</v>
      </c>
      <c r="BL308" s="29" t="str">
        <f t="shared" si="311"/>
        <v>#DIV/0!</v>
      </c>
      <c r="BM308" s="29" t="str">
        <f t="shared" si="3"/>
        <v>#DIV/0!</v>
      </c>
    </row>
    <row r="309">
      <c r="A309" s="16" t="str">
        <f>IFERROR(__xludf.DUMMYFUNCTION("IFERROR(SPARKLINE(SORT(MAP(TRANSPOSE(AQ309:BL309), LAMBDA(val, IF(ISNUMBER(val), PERCENTRANK(AQ309:BL309, val)+0.01, 0))), SEQUENCE(COLUMNS(AQ309:BL309)), FALSE), {""charttype"",""column""; ""color"",""chartreuse""; ""ymin"", 0; ""ymax"", 1.01; ""highcolo"&amp;"r"", ""darkgreen""; ""lowcolor"", ""red""}), """")"),"")</f>
        <v/>
      </c>
      <c r="B309" s="17" t="str">
        <f t="shared" si="4"/>
        <v/>
      </c>
      <c r="C309" s="1" t="s">
        <v>1457</v>
      </c>
      <c r="D309" s="34" t="str">
        <f>IFERROR(__xludf.DUMMYFUNCTION("IFERROR(GOOGLEFINANCE(C309, ""NAME""))"),"SoFi Technologies Inc")</f>
        <v>SoFi Technologies Inc</v>
      </c>
      <c r="E309" s="30" t="s">
        <v>145</v>
      </c>
      <c r="F309" s="33" t="str">
        <f>IFERROR(__xludf.DUMMYFUNCTION("( (GOOGLEFINANCE(C309, ""price"") - Q309) / Q309 ) / (R309 / 100)"),"Loading...")</f>
        <v>Loading...</v>
      </c>
      <c r="G309" s="20" t="str">
        <f>IFERROR(__xludf.DUMMYFUNCTION("AVERAGE(ARRAYFORMULA(100 * (QUERY(GOOGLEFINANCE(C309, ""high"", TODAY()-40, TODAY()), ""SELECT Col2 WHERE Col2 IS NOT NULL ORDER BY Col1 DESC LIMIT 20"", 0) / QUERY(GOOGLEFINANCE(C309, ""low"", TODAY()-40, TODAY()), ""SELECT Col2 WHERE Col2 IS NOT NULL OR"&amp;"DER BY Col1 DESC LIMIT 20"", 0) - 1)))"),"#N/A")</f>
        <v>#N/A</v>
      </c>
      <c r="H309" s="35" t="str">
        <f t="shared" si="6"/>
        <v/>
      </c>
      <c r="I309" s="36" t="str">
        <f t="shared" si="7"/>
        <v/>
      </c>
      <c r="J309" s="37" t="str">
        <f>IFERROR(__xludf.DUMMYFUNCTION("IFERROR(
  IF(C309="""",, 
    IFERROR(
      GOOGLEFINANCE(C309, ""price"") * GOOGLEFINANCE(C309, ""volumeavg""), 
      GOOGLEFINANCE(C309, ""price"") * AVERAGE(QUERY(GOOGLEFINANCE(C309, ""volume"", TODAY()-40, TODAY()), ""SELECT Col2 WHERE Col2 IS NOT "&amp;"NULL ORDER BY Col1 DESC LIMIT 20"", 0))
    )
  ), 
"""")"),"")</f>
        <v/>
      </c>
      <c r="K309" s="21" t="str">
        <f>IFERROR(__xludf.DUMMYFUNCTION("IFERROR(GOOGLEFINANCE(C309, ""changepct"") / 100, """")"),"")</f>
        <v/>
      </c>
      <c r="L309" s="21" t="str">
        <f>IFERROR(__xludf.DUMMYFUNCTION("IFERROR((GOOGLEFINANCE(C309, ""price"") / INDEX(GOOGLEFINANCE(C309, ""price"", TODAY()-7, TODAY()), 2, 2)) - 1, """")"),"")</f>
        <v/>
      </c>
      <c r="M309" s="21" t="str">
        <f>IFERROR(__xludf.DUMMYFUNCTION("IFERROR((GOOGLEFINANCE(C309, ""price"") / INDEX(GOOGLEFINANCE(C309, ""price"", EDATE(TODAY(), -1), TODAY()), 2, 2)) - 1, """")"),"")</f>
        <v/>
      </c>
      <c r="N309" s="21" t="str">
        <f>IFERROR(__xludf.DUMMYFUNCTION("IFERROR((GOOGLEFINANCE(C309, ""price"") / INDEX(GOOGLEFINANCE(C309, ""price"", EDATE(TODAY(), -3), TODAY()), 2, 2)) - 1, """")"),"")</f>
        <v/>
      </c>
      <c r="O309" s="21" t="str">
        <f>IFERROR(__xludf.DUMMYFUNCTION("IFERROR((GOOGLEFINANCE(C309, ""price"") / INDEX(GOOGLEFINANCE(C309, ""price"", EDATE(TODAY(), -6), TODAY()), 2, 2)) - 1, """")"),"")</f>
        <v/>
      </c>
      <c r="P309" s="21" t="str">
        <f>IFERROR(__xludf.DUMMYFUNCTION("IFERROR((GOOGLEFINANCE(C309, ""price"") / INDEX(GOOGLEFINANCE(C309, ""price"", EDATE(TODAY(), -12), TODAY()), 2, 2)) - 1, """")"),"")</f>
        <v/>
      </c>
      <c r="Q309" s="6" t="str">
        <f>IFERROR(__xludf.DUMMYFUNCTION("AVERAGE(QUERY(GOOGLEFINANCE(C309, ""price"", TODAY()-80, TODAY()), ""SELECT Col2 WHERE Col2 IS NOT NULL ORDER BY Col1 DESC LIMIT 50"", 0))"),"#N/A")</f>
        <v>#N/A</v>
      </c>
      <c r="R309" s="24" t="str">
        <f>IFERROR(__xludf.DUMMYFUNCTION("IFERROR(
  LET(
    data, QUERY(GOOGLEFINANCE(C309,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GOOGLEFINANCE(C309, ""price"")) * 100,
    IF(calc=0, G309, calc)
  ), 
G309)"),"#N/A")</f>
        <v>#N/A</v>
      </c>
      <c r="S309" s="8" t="s">
        <v>15</v>
      </c>
      <c r="T309" s="26" t="str">
        <f>IFERROR(__xludf.DUMMYFUNCTION("IFERROR(TRANSPOSE(QUERY(IFERROR(SORT(GOOGLEFINANCE(C309, ""price"", WORKDAY(TODAY(), -40), TODAY()), 1, FALSE)), ""select Col2 where Col2 is not null limit 22 label Col2 ''"", 0)), """")"),"")</f>
        <v/>
      </c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8"/>
      <c r="AO309" s="28"/>
      <c r="AP309" s="29"/>
      <c r="AQ309" s="29" t="str">
        <f t="shared" ref="AQ309:BL309" si="312">T309/T$2</f>
        <v>#N/A</v>
      </c>
      <c r="AR309" s="29" t="str">
        <f t="shared" si="312"/>
        <v>#DIV/0!</v>
      </c>
      <c r="AS309" s="29" t="str">
        <f t="shared" si="312"/>
        <v>#DIV/0!</v>
      </c>
      <c r="AT309" s="29" t="str">
        <f t="shared" si="312"/>
        <v>#DIV/0!</v>
      </c>
      <c r="AU309" s="29" t="str">
        <f t="shared" si="312"/>
        <v>#DIV/0!</v>
      </c>
      <c r="AV309" s="29" t="str">
        <f t="shared" si="312"/>
        <v>#DIV/0!</v>
      </c>
      <c r="AW309" s="29" t="str">
        <f t="shared" si="312"/>
        <v>#DIV/0!</v>
      </c>
      <c r="AX309" s="29" t="str">
        <f t="shared" si="312"/>
        <v>#DIV/0!</v>
      </c>
      <c r="AY309" s="29" t="str">
        <f t="shared" si="312"/>
        <v>#DIV/0!</v>
      </c>
      <c r="AZ309" s="29" t="str">
        <f t="shared" si="312"/>
        <v>#DIV/0!</v>
      </c>
      <c r="BA309" s="29" t="str">
        <f t="shared" si="312"/>
        <v>#DIV/0!</v>
      </c>
      <c r="BB309" s="29" t="str">
        <f t="shared" si="312"/>
        <v>#DIV/0!</v>
      </c>
      <c r="BC309" s="29" t="str">
        <f t="shared" si="312"/>
        <v>#DIV/0!</v>
      </c>
      <c r="BD309" s="29" t="str">
        <f t="shared" si="312"/>
        <v>#DIV/0!</v>
      </c>
      <c r="BE309" s="29" t="str">
        <f t="shared" si="312"/>
        <v>#DIV/0!</v>
      </c>
      <c r="BF309" s="29" t="str">
        <f t="shared" si="312"/>
        <v>#DIV/0!</v>
      </c>
      <c r="BG309" s="29" t="str">
        <f t="shared" si="312"/>
        <v>#DIV/0!</v>
      </c>
      <c r="BH309" s="29" t="str">
        <f t="shared" si="312"/>
        <v>#DIV/0!</v>
      </c>
      <c r="BI309" s="29" t="str">
        <f t="shared" si="312"/>
        <v>#DIV/0!</v>
      </c>
      <c r="BJ309" s="29" t="str">
        <f t="shared" si="312"/>
        <v>#DIV/0!</v>
      </c>
      <c r="BK309" s="29" t="str">
        <f t="shared" si="312"/>
        <v>#DIV/0!</v>
      </c>
      <c r="BL309" s="29" t="str">
        <f t="shared" si="312"/>
        <v>#DIV/0!</v>
      </c>
      <c r="BM309" s="29" t="str">
        <f t="shared" si="3"/>
        <v>#DIV/0!</v>
      </c>
    </row>
    <row r="310">
      <c r="A310" s="16" t="str">
        <f>IFERROR(__xludf.DUMMYFUNCTION("IFERROR(SPARKLINE(SORT(MAP(TRANSPOSE(AQ310:BL310), LAMBDA(val, IF(ISNUMBER(val), PERCENTRANK(AQ310:BL310, val)+0.01, 0))), SEQUENCE(COLUMNS(AQ310:BL310)), FALSE), {""charttype"",""column""; ""color"",""chartreuse""; ""ymin"", 0; ""ymax"", 1.01; ""highcolo"&amp;"r"", ""darkgreen""; ""lowcolor"", ""red""}), """")"),"")</f>
        <v/>
      </c>
      <c r="B310" s="17" t="str">
        <f t="shared" si="4"/>
        <v/>
      </c>
      <c r="C310" s="1" t="s">
        <v>1462</v>
      </c>
      <c r="D310" s="34" t="str">
        <f>IFERROR(__xludf.DUMMYFUNCTION("IFERROR(GOOGLEFINANCE(C310, ""NAME""))"),"Navient Corp")</f>
        <v>Navient Corp</v>
      </c>
      <c r="E310" s="30" t="s">
        <v>145</v>
      </c>
      <c r="F310" s="33" t="str">
        <f>IFERROR(__xludf.DUMMYFUNCTION("( (GOOGLEFINANCE(C310, ""price"") - Q310) / Q310 ) / (R310 / 100)"),"Loading...")</f>
        <v>Loading...</v>
      </c>
      <c r="G310" s="20" t="str">
        <f>IFERROR(__xludf.DUMMYFUNCTION("AVERAGE(ARRAYFORMULA(100 * (QUERY(GOOGLEFINANCE(C310, ""high"", TODAY()-40, TODAY()), ""SELECT Col2 WHERE Col2 IS NOT NULL ORDER BY Col1 DESC LIMIT 20"", 0) / QUERY(GOOGLEFINANCE(C310, ""low"", TODAY()-40, TODAY()), ""SELECT Col2 WHERE Col2 IS NOT NULL OR"&amp;"DER BY Col1 DESC LIMIT 20"", 0) - 1)))"),"#N/A")</f>
        <v>#N/A</v>
      </c>
      <c r="H310" s="35" t="str">
        <f t="shared" si="6"/>
        <v/>
      </c>
      <c r="I310" s="36" t="str">
        <f t="shared" si="7"/>
        <v/>
      </c>
      <c r="J310" s="37" t="str">
        <f>IFERROR(__xludf.DUMMYFUNCTION("IFERROR(
  IF(C310="""",, 
    IFERROR(
      GOOGLEFINANCE(C310, ""price"") * GOOGLEFINANCE(C310, ""volumeavg""), 
      GOOGLEFINANCE(C310, ""price"") * AVERAGE(QUERY(GOOGLEFINANCE(C310, ""volume"", TODAY()-40, TODAY()), ""SELECT Col2 WHERE Col2 IS NOT "&amp;"NULL ORDER BY Col1 DESC LIMIT 20"", 0))
    )
  ), 
"""")"),"")</f>
        <v/>
      </c>
      <c r="K310" s="21" t="str">
        <f>IFERROR(__xludf.DUMMYFUNCTION("IFERROR(GOOGLEFINANCE(C310, ""changepct"") / 100, """")"),"")</f>
        <v/>
      </c>
      <c r="L310" s="21" t="str">
        <f>IFERROR(__xludf.DUMMYFUNCTION("IFERROR((GOOGLEFINANCE(C310, ""price"") / INDEX(GOOGLEFINANCE(C310, ""price"", TODAY()-7, TODAY()), 2, 2)) - 1, """")"),"")</f>
        <v/>
      </c>
      <c r="M310" s="21" t="str">
        <f>IFERROR(__xludf.DUMMYFUNCTION("IFERROR((GOOGLEFINANCE(C310, ""price"") / INDEX(GOOGLEFINANCE(C310, ""price"", EDATE(TODAY(), -1), TODAY()), 2, 2)) - 1, """")"),"")</f>
        <v/>
      </c>
      <c r="N310" s="21" t="str">
        <f>IFERROR(__xludf.DUMMYFUNCTION("IFERROR((GOOGLEFINANCE(C310, ""price"") / INDEX(GOOGLEFINANCE(C310, ""price"", EDATE(TODAY(), -3), TODAY()), 2, 2)) - 1, """")"),"")</f>
        <v/>
      </c>
      <c r="O310" s="21" t="str">
        <f>IFERROR(__xludf.DUMMYFUNCTION("IFERROR((GOOGLEFINANCE(C310, ""price"") / INDEX(GOOGLEFINANCE(C310, ""price"", EDATE(TODAY(), -6), TODAY()), 2, 2)) - 1, """")"),"")</f>
        <v/>
      </c>
      <c r="P310" s="21" t="str">
        <f>IFERROR(__xludf.DUMMYFUNCTION("IFERROR((GOOGLEFINANCE(C310, ""price"") / INDEX(GOOGLEFINANCE(C310, ""price"", EDATE(TODAY(), -12), TODAY()), 2, 2)) - 1, """")"),"")</f>
        <v/>
      </c>
      <c r="Q310" s="6" t="str">
        <f>IFERROR(__xludf.DUMMYFUNCTION("AVERAGE(QUERY(GOOGLEFINANCE(C310, ""price"", TODAY()-80, TODAY()), ""SELECT Col2 WHERE Col2 IS NOT NULL ORDER BY Col1 DESC LIMIT 50"", 0))"),"#N/A")</f>
        <v>#N/A</v>
      </c>
      <c r="R310" s="24" t="str">
        <f>IFERROR(__xludf.DUMMYFUNCTION("IFERROR(
  LET(
    data, QUERY(GOOGLEFINANCE(C310,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GOOGLEFINANCE(C310, ""price"")) * 100,
    IF(calc=0, G310, calc)
  ), 
G310)"),"#N/A")</f>
        <v>#N/A</v>
      </c>
      <c r="S310" s="8" t="s">
        <v>15</v>
      </c>
      <c r="T310" s="26" t="str">
        <f>IFERROR(__xludf.DUMMYFUNCTION("IFERROR(TRANSPOSE(QUERY(IFERROR(SORT(GOOGLEFINANCE(C310, ""price"", WORKDAY(TODAY(), -40), TODAY()), 1, FALSE)), ""select Col2 where Col2 is not null limit 22 label Col2 ''"", 0)), """")"),"")</f>
        <v/>
      </c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8"/>
      <c r="AO310" s="28"/>
      <c r="AP310" s="29"/>
      <c r="AQ310" s="29" t="str">
        <f t="shared" ref="AQ310:BL310" si="313">T310/T$2</f>
        <v>#N/A</v>
      </c>
      <c r="AR310" s="29" t="str">
        <f t="shared" si="313"/>
        <v>#DIV/0!</v>
      </c>
      <c r="AS310" s="29" t="str">
        <f t="shared" si="313"/>
        <v>#DIV/0!</v>
      </c>
      <c r="AT310" s="29" t="str">
        <f t="shared" si="313"/>
        <v>#DIV/0!</v>
      </c>
      <c r="AU310" s="29" t="str">
        <f t="shared" si="313"/>
        <v>#DIV/0!</v>
      </c>
      <c r="AV310" s="29" t="str">
        <f t="shared" si="313"/>
        <v>#DIV/0!</v>
      </c>
      <c r="AW310" s="29" t="str">
        <f t="shared" si="313"/>
        <v>#DIV/0!</v>
      </c>
      <c r="AX310" s="29" t="str">
        <f t="shared" si="313"/>
        <v>#DIV/0!</v>
      </c>
      <c r="AY310" s="29" t="str">
        <f t="shared" si="313"/>
        <v>#DIV/0!</v>
      </c>
      <c r="AZ310" s="29" t="str">
        <f t="shared" si="313"/>
        <v>#DIV/0!</v>
      </c>
      <c r="BA310" s="29" t="str">
        <f t="shared" si="313"/>
        <v>#DIV/0!</v>
      </c>
      <c r="BB310" s="29" t="str">
        <f t="shared" si="313"/>
        <v>#DIV/0!</v>
      </c>
      <c r="BC310" s="29" t="str">
        <f t="shared" si="313"/>
        <v>#DIV/0!</v>
      </c>
      <c r="BD310" s="29" t="str">
        <f t="shared" si="313"/>
        <v>#DIV/0!</v>
      </c>
      <c r="BE310" s="29" t="str">
        <f t="shared" si="313"/>
        <v>#DIV/0!</v>
      </c>
      <c r="BF310" s="29" t="str">
        <f t="shared" si="313"/>
        <v>#DIV/0!</v>
      </c>
      <c r="BG310" s="29" t="str">
        <f t="shared" si="313"/>
        <v>#DIV/0!</v>
      </c>
      <c r="BH310" s="29" t="str">
        <f t="shared" si="313"/>
        <v>#DIV/0!</v>
      </c>
      <c r="BI310" s="29" t="str">
        <f t="shared" si="313"/>
        <v>#DIV/0!</v>
      </c>
      <c r="BJ310" s="29" t="str">
        <f t="shared" si="313"/>
        <v>#DIV/0!</v>
      </c>
      <c r="BK310" s="29" t="str">
        <f t="shared" si="313"/>
        <v>#DIV/0!</v>
      </c>
      <c r="BL310" s="29" t="str">
        <f t="shared" si="313"/>
        <v>#DIV/0!</v>
      </c>
      <c r="BM310" s="29" t="str">
        <f t="shared" si="3"/>
        <v>#DIV/0!</v>
      </c>
    </row>
    <row r="311">
      <c r="A311" s="16" t="str">
        <f>IFERROR(__xludf.DUMMYFUNCTION("IFERROR(SPARKLINE(SORT(MAP(TRANSPOSE(AQ311:BL311), LAMBDA(val, IF(ISNUMBER(val), PERCENTRANK(AQ311:BL311, val)+0.01, 0))), SEQUENCE(COLUMNS(AQ311:BL311)), FALSE), {""charttype"",""column""; ""color"",""chartreuse""; ""ymin"", 0; ""ymax"", 1.01; ""highcolo"&amp;"r"", ""darkgreen""; ""lowcolor"", ""red""}), """")"),"")</f>
        <v/>
      </c>
      <c r="B311" s="17" t="str">
        <f t="shared" si="4"/>
        <v/>
      </c>
      <c r="C311" s="1" t="s">
        <v>1466</v>
      </c>
      <c r="D311" s="34" t="str">
        <f>IFERROR(__xludf.DUMMYFUNCTION("IFERROR(GOOGLEFINANCE(C311, ""NAME""))"),"Oaktree Specialty Lending Corp")</f>
        <v>Oaktree Specialty Lending Corp</v>
      </c>
      <c r="E311" s="30" t="s">
        <v>64</v>
      </c>
      <c r="F311" s="33" t="str">
        <f>IFERROR(__xludf.DUMMYFUNCTION("( (GOOGLEFINANCE(C311, ""price"") - Q311) / Q311 ) / (R311 / 100)"),"Loading...")</f>
        <v>Loading...</v>
      </c>
      <c r="G311" s="20" t="str">
        <f>IFERROR(__xludf.DUMMYFUNCTION("AVERAGE(ARRAYFORMULA(100 * (QUERY(GOOGLEFINANCE(C311, ""high"", TODAY()-40, TODAY()), ""SELECT Col2 WHERE Col2 IS NOT NULL ORDER BY Col1 DESC LIMIT 20"", 0) / QUERY(GOOGLEFINANCE(C311, ""low"", TODAY()-40, TODAY()), ""SELECT Col2 WHERE Col2 IS NOT NULL OR"&amp;"DER BY Col1 DESC LIMIT 20"", 0) - 1)))"),"#N/A")</f>
        <v>#N/A</v>
      </c>
      <c r="H311" s="35" t="str">
        <f t="shared" si="6"/>
        <v/>
      </c>
      <c r="I311" s="36" t="str">
        <f t="shared" si="7"/>
        <v/>
      </c>
      <c r="J311" s="37" t="str">
        <f>IFERROR(__xludf.DUMMYFUNCTION("IFERROR(
  IF(C311="""",, 
    IFERROR(
      GOOGLEFINANCE(C311, ""price"") * GOOGLEFINANCE(C311, ""volumeavg""), 
      GOOGLEFINANCE(C311, ""price"") * AVERAGE(QUERY(GOOGLEFINANCE(C311, ""volume"", TODAY()-40, TODAY()), ""SELECT Col2 WHERE Col2 IS NOT "&amp;"NULL ORDER BY Col1 DESC LIMIT 20"", 0))
    )
  ), 
"""")"),"")</f>
        <v/>
      </c>
      <c r="K311" s="21" t="str">
        <f>IFERROR(__xludf.DUMMYFUNCTION("IFERROR(GOOGLEFINANCE(C311, ""changepct"") / 100, """")"),"")</f>
        <v/>
      </c>
      <c r="L311" s="21" t="str">
        <f>IFERROR(__xludf.DUMMYFUNCTION("IFERROR((GOOGLEFINANCE(C311, ""price"") / INDEX(GOOGLEFINANCE(C311, ""price"", TODAY()-7, TODAY()), 2, 2)) - 1, """")"),"")</f>
        <v/>
      </c>
      <c r="M311" s="21" t="str">
        <f>IFERROR(__xludf.DUMMYFUNCTION("IFERROR((GOOGLEFINANCE(C311, ""price"") / INDEX(GOOGLEFINANCE(C311, ""price"", EDATE(TODAY(), -1), TODAY()), 2, 2)) - 1, """")"),"")</f>
        <v/>
      </c>
      <c r="N311" s="21" t="str">
        <f>IFERROR(__xludf.DUMMYFUNCTION("IFERROR((GOOGLEFINANCE(C311, ""price"") / INDEX(GOOGLEFINANCE(C311, ""price"", EDATE(TODAY(), -3), TODAY()), 2, 2)) - 1, """")"),"")</f>
        <v/>
      </c>
      <c r="O311" s="21" t="str">
        <f>IFERROR(__xludf.DUMMYFUNCTION("IFERROR((GOOGLEFINANCE(C311, ""price"") / INDEX(GOOGLEFINANCE(C311, ""price"", EDATE(TODAY(), -6), TODAY()), 2, 2)) - 1, """")"),"")</f>
        <v/>
      </c>
      <c r="P311" s="21" t="str">
        <f>IFERROR(__xludf.DUMMYFUNCTION("IFERROR((GOOGLEFINANCE(C311, ""price"") / INDEX(GOOGLEFINANCE(C311, ""price"", EDATE(TODAY(), -12), TODAY()), 2, 2)) - 1, """")"),"")</f>
        <v/>
      </c>
      <c r="Q311" s="6" t="str">
        <f>IFERROR(__xludf.DUMMYFUNCTION("AVERAGE(QUERY(GOOGLEFINANCE(C311, ""price"", TODAY()-80, TODAY()), ""SELECT Col2 WHERE Col2 IS NOT NULL ORDER BY Col1 DESC LIMIT 50"", 0))"),"#N/A")</f>
        <v>#N/A</v>
      </c>
      <c r="R311" s="24" t="str">
        <f>IFERROR(__xludf.DUMMYFUNCTION("IFERROR(
  LET(
    data, QUERY(GOOGLEFINANCE(C311,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GOOGLEFINANCE(C311, ""price"")) * 100,
    IF(calc=0, G311, calc)
  ), 
G311)"),"#N/A")</f>
        <v>#N/A</v>
      </c>
      <c r="S311" s="8" t="s">
        <v>15</v>
      </c>
      <c r="T311" s="26" t="str">
        <f>IFERROR(__xludf.DUMMYFUNCTION("IFERROR(TRANSPOSE(QUERY(IFERROR(SORT(GOOGLEFINANCE(C311, ""price"", WORKDAY(TODAY(), -40), TODAY()), 1, FALSE)), ""select Col2 where Col2 is not null limit 22 label Col2 ''"", 0)), """")"),"")</f>
        <v/>
      </c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8"/>
      <c r="AO311" s="28"/>
      <c r="AP311" s="29"/>
      <c r="AQ311" s="29" t="str">
        <f t="shared" ref="AQ311:BL311" si="314">T311/T$2</f>
        <v>#N/A</v>
      </c>
      <c r="AR311" s="29" t="str">
        <f t="shared" si="314"/>
        <v>#DIV/0!</v>
      </c>
      <c r="AS311" s="29" t="str">
        <f t="shared" si="314"/>
        <v>#DIV/0!</v>
      </c>
      <c r="AT311" s="29" t="str">
        <f t="shared" si="314"/>
        <v>#DIV/0!</v>
      </c>
      <c r="AU311" s="29" t="str">
        <f t="shared" si="314"/>
        <v>#DIV/0!</v>
      </c>
      <c r="AV311" s="29" t="str">
        <f t="shared" si="314"/>
        <v>#DIV/0!</v>
      </c>
      <c r="AW311" s="29" t="str">
        <f t="shared" si="314"/>
        <v>#DIV/0!</v>
      </c>
      <c r="AX311" s="29" t="str">
        <f t="shared" si="314"/>
        <v>#DIV/0!</v>
      </c>
      <c r="AY311" s="29" t="str">
        <f t="shared" si="314"/>
        <v>#DIV/0!</v>
      </c>
      <c r="AZ311" s="29" t="str">
        <f t="shared" si="314"/>
        <v>#DIV/0!</v>
      </c>
      <c r="BA311" s="29" t="str">
        <f t="shared" si="314"/>
        <v>#DIV/0!</v>
      </c>
      <c r="BB311" s="29" t="str">
        <f t="shared" si="314"/>
        <v>#DIV/0!</v>
      </c>
      <c r="BC311" s="29" t="str">
        <f t="shared" si="314"/>
        <v>#DIV/0!</v>
      </c>
      <c r="BD311" s="29" t="str">
        <f t="shared" si="314"/>
        <v>#DIV/0!</v>
      </c>
      <c r="BE311" s="29" t="str">
        <f t="shared" si="314"/>
        <v>#DIV/0!</v>
      </c>
      <c r="BF311" s="29" t="str">
        <f t="shared" si="314"/>
        <v>#DIV/0!</v>
      </c>
      <c r="BG311" s="29" t="str">
        <f t="shared" si="314"/>
        <v>#DIV/0!</v>
      </c>
      <c r="BH311" s="29" t="str">
        <f t="shared" si="314"/>
        <v>#DIV/0!</v>
      </c>
      <c r="BI311" s="29" t="str">
        <f t="shared" si="314"/>
        <v>#DIV/0!</v>
      </c>
      <c r="BJ311" s="29" t="str">
        <f t="shared" si="314"/>
        <v>#DIV/0!</v>
      </c>
      <c r="BK311" s="29" t="str">
        <f t="shared" si="314"/>
        <v>#DIV/0!</v>
      </c>
      <c r="BL311" s="29" t="str">
        <f t="shared" si="314"/>
        <v>#DIV/0!</v>
      </c>
      <c r="BM311" s="29" t="str">
        <f t="shared" si="3"/>
        <v>#DIV/0!</v>
      </c>
    </row>
    <row r="312">
      <c r="A312" s="16" t="str">
        <f>IFERROR(__xludf.DUMMYFUNCTION("IFERROR(SPARKLINE(SORT(MAP(TRANSPOSE(AQ312:BL312), LAMBDA(val, IF(ISNUMBER(val), PERCENTRANK(AQ312:BL312, val)+0.01, 0))), SEQUENCE(COLUMNS(AQ312:BL312)), FALSE), {""charttype"",""column""; ""color"",""chartreuse""; ""ymin"", 0; ""ymax"", 1.01; ""highcolo"&amp;"r"", ""darkgreen""; ""lowcolor"", ""red""}), """")"),"")</f>
        <v/>
      </c>
      <c r="B312" s="17" t="str">
        <f t="shared" si="4"/>
        <v/>
      </c>
      <c r="C312" s="1" t="s">
        <v>1469</v>
      </c>
      <c r="D312" s="34" t="str">
        <f>IFERROR(__xludf.DUMMYFUNCTION("IFERROR(GOOGLEFINANCE(C312, ""NAME""))"),"Ares Capital Corporation")</f>
        <v>Ares Capital Corporation</v>
      </c>
      <c r="E312" s="30" t="s">
        <v>64</v>
      </c>
      <c r="F312" s="33" t="str">
        <f>IFERROR(__xludf.DUMMYFUNCTION("( (GOOGLEFINANCE(C312, ""price"") - Q312) / Q312 ) / (R312 / 100)"),"Loading...")</f>
        <v>Loading...</v>
      </c>
      <c r="G312" s="20" t="str">
        <f>IFERROR(__xludf.DUMMYFUNCTION("AVERAGE(ARRAYFORMULA(100 * (QUERY(GOOGLEFINANCE(C312, ""high"", TODAY()-40, TODAY()), ""SELECT Col2 WHERE Col2 IS NOT NULL ORDER BY Col1 DESC LIMIT 20"", 0) / QUERY(GOOGLEFINANCE(C312, ""low"", TODAY()-40, TODAY()), ""SELECT Col2 WHERE Col2 IS NOT NULL OR"&amp;"DER BY Col1 DESC LIMIT 20"", 0) - 1)))"),"#N/A")</f>
        <v>#N/A</v>
      </c>
      <c r="H312" s="35" t="str">
        <f t="shared" si="6"/>
        <v/>
      </c>
      <c r="I312" s="36" t="str">
        <f t="shared" si="7"/>
        <v/>
      </c>
      <c r="J312" s="37" t="str">
        <f>IFERROR(__xludf.DUMMYFUNCTION("IFERROR(
  IF(C312="""",, 
    IFERROR(
      GOOGLEFINANCE(C312, ""price"") * GOOGLEFINANCE(C312, ""volumeavg""), 
      GOOGLEFINANCE(C312, ""price"") * AVERAGE(QUERY(GOOGLEFINANCE(C312, ""volume"", TODAY()-40, TODAY()), ""SELECT Col2 WHERE Col2 IS NOT "&amp;"NULL ORDER BY Col1 DESC LIMIT 20"", 0))
    )
  ), 
"""")"),"")</f>
        <v/>
      </c>
      <c r="K312" s="21" t="str">
        <f>IFERROR(__xludf.DUMMYFUNCTION("IFERROR(GOOGLEFINANCE(C312, ""changepct"") / 100, """")"),"")</f>
        <v/>
      </c>
      <c r="L312" s="21" t="str">
        <f>IFERROR(__xludf.DUMMYFUNCTION("IFERROR((GOOGLEFINANCE(C312, ""price"") / INDEX(GOOGLEFINANCE(C312, ""price"", TODAY()-7, TODAY()), 2, 2)) - 1, """")"),"")</f>
        <v/>
      </c>
      <c r="M312" s="21" t="str">
        <f>IFERROR(__xludf.DUMMYFUNCTION("IFERROR((GOOGLEFINANCE(C312, ""price"") / INDEX(GOOGLEFINANCE(C312, ""price"", EDATE(TODAY(), -1), TODAY()), 2, 2)) - 1, """")"),"")</f>
        <v/>
      </c>
      <c r="N312" s="21" t="str">
        <f>IFERROR(__xludf.DUMMYFUNCTION("IFERROR((GOOGLEFINANCE(C312, ""price"") / INDEX(GOOGLEFINANCE(C312, ""price"", EDATE(TODAY(), -3), TODAY()), 2, 2)) - 1, """")"),"")</f>
        <v/>
      </c>
      <c r="O312" s="21" t="str">
        <f>IFERROR(__xludf.DUMMYFUNCTION("IFERROR((GOOGLEFINANCE(C312, ""price"") / INDEX(GOOGLEFINANCE(C312, ""price"", EDATE(TODAY(), -6), TODAY()), 2, 2)) - 1, """")"),"")</f>
        <v/>
      </c>
      <c r="P312" s="21" t="str">
        <f>IFERROR(__xludf.DUMMYFUNCTION("IFERROR((GOOGLEFINANCE(C312, ""price"") / INDEX(GOOGLEFINANCE(C312, ""price"", EDATE(TODAY(), -12), TODAY()), 2, 2)) - 1, """")"),"")</f>
        <v/>
      </c>
      <c r="Q312" s="6" t="str">
        <f>IFERROR(__xludf.DUMMYFUNCTION("AVERAGE(QUERY(GOOGLEFINANCE(C312, ""price"", TODAY()-80, TODAY()), ""SELECT Col2 WHERE Col2 IS NOT NULL ORDER BY Col1 DESC LIMIT 50"", 0))"),"#N/A")</f>
        <v>#N/A</v>
      </c>
      <c r="R312" s="24" t="str">
        <f>IFERROR(__xludf.DUMMYFUNCTION("IFERROR(
  LET(
    data, QUERY(GOOGLEFINANCE(C312,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GOOGLEFINANCE(C312, ""price"")) * 100,
    IF(calc=0, G312, calc)
  ), 
G312)"),"#N/A")</f>
        <v>#N/A</v>
      </c>
      <c r="S312" s="8" t="s">
        <v>15</v>
      </c>
      <c r="T312" s="26" t="str">
        <f>IFERROR(__xludf.DUMMYFUNCTION("IFERROR(TRANSPOSE(QUERY(IFERROR(SORT(GOOGLEFINANCE(C312, ""price"", WORKDAY(TODAY(), -40), TODAY()), 1, FALSE)), ""select Col2 where Col2 is not null limit 22 label Col2 ''"", 0)), """")"),"")</f>
        <v/>
      </c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8"/>
      <c r="AO312" s="28"/>
      <c r="AP312" s="29"/>
      <c r="AQ312" s="29" t="str">
        <f t="shared" ref="AQ312:BL312" si="315">T312/T$2</f>
        <v>#N/A</v>
      </c>
      <c r="AR312" s="29" t="str">
        <f t="shared" si="315"/>
        <v>#DIV/0!</v>
      </c>
      <c r="AS312" s="29" t="str">
        <f t="shared" si="315"/>
        <v>#DIV/0!</v>
      </c>
      <c r="AT312" s="29" t="str">
        <f t="shared" si="315"/>
        <v>#DIV/0!</v>
      </c>
      <c r="AU312" s="29" t="str">
        <f t="shared" si="315"/>
        <v>#DIV/0!</v>
      </c>
      <c r="AV312" s="29" t="str">
        <f t="shared" si="315"/>
        <v>#DIV/0!</v>
      </c>
      <c r="AW312" s="29" t="str">
        <f t="shared" si="315"/>
        <v>#DIV/0!</v>
      </c>
      <c r="AX312" s="29" t="str">
        <f t="shared" si="315"/>
        <v>#DIV/0!</v>
      </c>
      <c r="AY312" s="29" t="str">
        <f t="shared" si="315"/>
        <v>#DIV/0!</v>
      </c>
      <c r="AZ312" s="29" t="str">
        <f t="shared" si="315"/>
        <v>#DIV/0!</v>
      </c>
      <c r="BA312" s="29" t="str">
        <f t="shared" si="315"/>
        <v>#DIV/0!</v>
      </c>
      <c r="BB312" s="29" t="str">
        <f t="shared" si="315"/>
        <v>#DIV/0!</v>
      </c>
      <c r="BC312" s="29" t="str">
        <f t="shared" si="315"/>
        <v>#DIV/0!</v>
      </c>
      <c r="BD312" s="29" t="str">
        <f t="shared" si="315"/>
        <v>#DIV/0!</v>
      </c>
      <c r="BE312" s="29" t="str">
        <f t="shared" si="315"/>
        <v>#DIV/0!</v>
      </c>
      <c r="BF312" s="29" t="str">
        <f t="shared" si="315"/>
        <v>#DIV/0!</v>
      </c>
      <c r="BG312" s="29" t="str">
        <f t="shared" si="315"/>
        <v>#DIV/0!</v>
      </c>
      <c r="BH312" s="29" t="str">
        <f t="shared" si="315"/>
        <v>#DIV/0!</v>
      </c>
      <c r="BI312" s="29" t="str">
        <f t="shared" si="315"/>
        <v>#DIV/0!</v>
      </c>
      <c r="BJ312" s="29" t="str">
        <f t="shared" si="315"/>
        <v>#DIV/0!</v>
      </c>
      <c r="BK312" s="29" t="str">
        <f t="shared" si="315"/>
        <v>#DIV/0!</v>
      </c>
      <c r="BL312" s="29" t="str">
        <f t="shared" si="315"/>
        <v>#DIV/0!</v>
      </c>
      <c r="BM312" s="29" t="str">
        <f t="shared" si="3"/>
        <v>#DIV/0!</v>
      </c>
    </row>
    <row r="313">
      <c r="A313" s="16" t="str">
        <f>IFERROR(__xludf.DUMMYFUNCTION("IFERROR(SPARKLINE(SORT(MAP(TRANSPOSE(AQ313:BL313), LAMBDA(val, IF(ISNUMBER(val), PERCENTRANK(AQ313:BL313, val)+0.01, 0))), SEQUENCE(COLUMNS(AQ313:BL313)), FALSE), {""charttype"",""column""; ""color"",""chartreuse""; ""ymin"", 0; ""ymax"", 1.01; ""highcolo"&amp;"r"", ""darkgreen""; ""lowcolor"", ""red""}), """")"),"")</f>
        <v/>
      </c>
      <c r="B313" s="17" t="str">
        <f t="shared" si="4"/>
        <v/>
      </c>
      <c r="C313" s="1" t="s">
        <v>1473</v>
      </c>
      <c r="D313" s="34" t="str">
        <f>IFERROR(__xludf.DUMMYFUNCTION("IFERROR(GOOGLEFINANCE(C313, ""NAME""))"),"Capital Southwest Corp")</f>
        <v>Capital Southwest Corp</v>
      </c>
      <c r="E313" s="30" t="s">
        <v>64</v>
      </c>
      <c r="F313" s="33" t="str">
        <f>IFERROR(__xludf.DUMMYFUNCTION("( (GOOGLEFINANCE(C313, ""price"") - Q313) / Q313 ) / (R313 / 100)"),"Loading...")</f>
        <v>Loading...</v>
      </c>
      <c r="G313" s="20" t="str">
        <f>IFERROR(__xludf.DUMMYFUNCTION("AVERAGE(ARRAYFORMULA(100 * (QUERY(GOOGLEFINANCE(C313, ""high"", TODAY()-40, TODAY()), ""SELECT Col2 WHERE Col2 IS NOT NULL ORDER BY Col1 DESC LIMIT 20"", 0) / QUERY(GOOGLEFINANCE(C313, ""low"", TODAY()-40, TODAY()), ""SELECT Col2 WHERE Col2 IS NOT NULL OR"&amp;"DER BY Col1 DESC LIMIT 20"", 0) - 1)))"),"#N/A")</f>
        <v>#N/A</v>
      </c>
      <c r="H313" s="35" t="str">
        <f t="shared" si="6"/>
        <v/>
      </c>
      <c r="I313" s="36" t="str">
        <f t="shared" si="7"/>
        <v/>
      </c>
      <c r="J313" s="37" t="str">
        <f>IFERROR(__xludf.DUMMYFUNCTION("IFERROR(
  IF(C313="""",, 
    IFERROR(
      GOOGLEFINANCE(C313, ""price"") * GOOGLEFINANCE(C313, ""volumeavg""), 
      GOOGLEFINANCE(C313, ""price"") * AVERAGE(QUERY(GOOGLEFINANCE(C313, ""volume"", TODAY()-40, TODAY()), ""SELECT Col2 WHERE Col2 IS NOT "&amp;"NULL ORDER BY Col1 DESC LIMIT 20"", 0))
    )
  ), 
"""")"),"")</f>
        <v/>
      </c>
      <c r="K313" s="21" t="str">
        <f>IFERROR(__xludf.DUMMYFUNCTION("IFERROR(GOOGLEFINANCE(C313, ""changepct"") / 100, """")"),"")</f>
        <v/>
      </c>
      <c r="L313" s="21" t="str">
        <f>IFERROR(__xludf.DUMMYFUNCTION("IFERROR((GOOGLEFINANCE(C313, ""price"") / INDEX(GOOGLEFINANCE(C313, ""price"", TODAY()-7, TODAY()), 2, 2)) - 1, """")"),"")</f>
        <v/>
      </c>
      <c r="M313" s="21" t="str">
        <f>IFERROR(__xludf.DUMMYFUNCTION("IFERROR((GOOGLEFINANCE(C313, ""price"") / INDEX(GOOGLEFINANCE(C313, ""price"", EDATE(TODAY(), -1), TODAY()), 2, 2)) - 1, """")"),"")</f>
        <v/>
      </c>
      <c r="N313" s="21" t="str">
        <f>IFERROR(__xludf.DUMMYFUNCTION("IFERROR((GOOGLEFINANCE(C313, ""price"") / INDEX(GOOGLEFINANCE(C313, ""price"", EDATE(TODAY(), -3), TODAY()), 2, 2)) - 1, """")"),"")</f>
        <v/>
      </c>
      <c r="O313" s="21" t="str">
        <f>IFERROR(__xludf.DUMMYFUNCTION("IFERROR((GOOGLEFINANCE(C313, ""price"") / INDEX(GOOGLEFINANCE(C313, ""price"", EDATE(TODAY(), -6), TODAY()), 2, 2)) - 1, """")"),"")</f>
        <v/>
      </c>
      <c r="P313" s="21" t="str">
        <f>IFERROR(__xludf.DUMMYFUNCTION("IFERROR((GOOGLEFINANCE(C313, ""price"") / INDEX(GOOGLEFINANCE(C313, ""price"", EDATE(TODAY(), -12), TODAY()), 2, 2)) - 1, """")"),"")</f>
        <v/>
      </c>
      <c r="Q313" s="6" t="str">
        <f>IFERROR(__xludf.DUMMYFUNCTION("AVERAGE(QUERY(GOOGLEFINANCE(C313, ""price"", TODAY()-80, TODAY()), ""SELECT Col2 WHERE Col2 IS NOT NULL ORDER BY Col1 DESC LIMIT 50"", 0))"),"#N/A")</f>
        <v>#N/A</v>
      </c>
      <c r="R313" s="24" t="str">
        <f>IFERROR(__xludf.DUMMYFUNCTION("IFERROR(
  LET(
    data, QUERY(GOOGLEFINANCE(C313,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GOOGLEFINANCE(C313, ""price"")) * 100,
    IF(calc=0, G313, calc)
  ), 
G313)"),"#N/A")</f>
        <v>#N/A</v>
      </c>
      <c r="S313" s="8" t="s">
        <v>15</v>
      </c>
      <c r="T313" s="26" t="str">
        <f>IFERROR(__xludf.DUMMYFUNCTION("IFERROR(TRANSPOSE(QUERY(IFERROR(SORT(GOOGLEFINANCE(C313, ""price"", WORKDAY(TODAY(), -40), TODAY()), 1, FALSE)), ""select Col2 where Col2 is not null limit 22 label Col2 ''"", 0)), """")"),"")</f>
        <v/>
      </c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8"/>
      <c r="AO313" s="28"/>
      <c r="AP313" s="29"/>
      <c r="AQ313" s="29" t="str">
        <f t="shared" ref="AQ313:BL313" si="316">T313/T$2</f>
        <v>#N/A</v>
      </c>
      <c r="AR313" s="29" t="str">
        <f t="shared" si="316"/>
        <v>#DIV/0!</v>
      </c>
      <c r="AS313" s="29" t="str">
        <f t="shared" si="316"/>
        <v>#DIV/0!</v>
      </c>
      <c r="AT313" s="29" t="str">
        <f t="shared" si="316"/>
        <v>#DIV/0!</v>
      </c>
      <c r="AU313" s="29" t="str">
        <f t="shared" si="316"/>
        <v>#DIV/0!</v>
      </c>
      <c r="AV313" s="29" t="str">
        <f t="shared" si="316"/>
        <v>#DIV/0!</v>
      </c>
      <c r="AW313" s="29" t="str">
        <f t="shared" si="316"/>
        <v>#DIV/0!</v>
      </c>
      <c r="AX313" s="29" t="str">
        <f t="shared" si="316"/>
        <v>#DIV/0!</v>
      </c>
      <c r="AY313" s="29" t="str">
        <f t="shared" si="316"/>
        <v>#DIV/0!</v>
      </c>
      <c r="AZ313" s="29" t="str">
        <f t="shared" si="316"/>
        <v>#DIV/0!</v>
      </c>
      <c r="BA313" s="29" t="str">
        <f t="shared" si="316"/>
        <v>#DIV/0!</v>
      </c>
      <c r="BB313" s="29" t="str">
        <f t="shared" si="316"/>
        <v>#DIV/0!</v>
      </c>
      <c r="BC313" s="29" t="str">
        <f t="shared" si="316"/>
        <v>#DIV/0!</v>
      </c>
      <c r="BD313" s="29" t="str">
        <f t="shared" si="316"/>
        <v>#DIV/0!</v>
      </c>
      <c r="BE313" s="29" t="str">
        <f t="shared" si="316"/>
        <v>#DIV/0!</v>
      </c>
      <c r="BF313" s="29" t="str">
        <f t="shared" si="316"/>
        <v>#DIV/0!</v>
      </c>
      <c r="BG313" s="29" t="str">
        <f t="shared" si="316"/>
        <v>#DIV/0!</v>
      </c>
      <c r="BH313" s="29" t="str">
        <f t="shared" si="316"/>
        <v>#DIV/0!</v>
      </c>
      <c r="BI313" s="29" t="str">
        <f t="shared" si="316"/>
        <v>#DIV/0!</v>
      </c>
      <c r="BJ313" s="29" t="str">
        <f t="shared" si="316"/>
        <v>#DIV/0!</v>
      </c>
      <c r="BK313" s="29" t="str">
        <f t="shared" si="316"/>
        <v>#DIV/0!</v>
      </c>
      <c r="BL313" s="29" t="str">
        <f t="shared" si="316"/>
        <v>#DIV/0!</v>
      </c>
      <c r="BM313" s="29" t="str">
        <f t="shared" si="3"/>
        <v>#DIV/0!</v>
      </c>
    </row>
    <row r="314">
      <c r="A314" s="16" t="str">
        <f>IFERROR(__xludf.DUMMYFUNCTION("IFERROR(SPARKLINE(SORT(MAP(TRANSPOSE(AQ314:BL314), LAMBDA(val, IF(ISNUMBER(val), PERCENTRANK(AQ314:BL314, val)+0.01, 0))), SEQUENCE(COLUMNS(AQ314:BL314)), FALSE), {""charttype"",""column""; ""color"",""chartreuse""; ""ymin"", 0; ""ymax"", 1.01; ""highcolo"&amp;"r"", ""darkgreen""; ""lowcolor"", ""red""}), """")"),"")</f>
        <v/>
      </c>
      <c r="B314" s="17" t="str">
        <f t="shared" si="4"/>
        <v/>
      </c>
      <c r="C314" s="1" t="s">
        <v>1477</v>
      </c>
      <c r="D314" s="34" t="str">
        <f>IFERROR(__xludf.DUMMYFUNCTION("IFERROR(GOOGLEFINANCE(C314, ""NAME""))"),"WesBanco Inc")</f>
        <v>WesBanco Inc</v>
      </c>
      <c r="E314" s="30" t="s">
        <v>268</v>
      </c>
      <c r="F314" s="33" t="str">
        <f>IFERROR(__xludf.DUMMYFUNCTION("( (GOOGLEFINANCE(C314, ""price"") - Q314) / Q314 ) / (R314 / 100)"),"Loading...")</f>
        <v>Loading...</v>
      </c>
      <c r="G314" s="20" t="str">
        <f>IFERROR(__xludf.DUMMYFUNCTION("AVERAGE(ARRAYFORMULA(100 * (QUERY(GOOGLEFINANCE(C314, ""high"", TODAY()-40, TODAY()), ""SELECT Col2 WHERE Col2 IS NOT NULL ORDER BY Col1 DESC LIMIT 20"", 0) / QUERY(GOOGLEFINANCE(C314, ""low"", TODAY()-40, TODAY()), ""SELECT Col2 WHERE Col2 IS NOT NULL OR"&amp;"DER BY Col1 DESC LIMIT 20"", 0) - 1)))"),"#N/A")</f>
        <v>#N/A</v>
      </c>
      <c r="H314" s="35" t="str">
        <f t="shared" si="6"/>
        <v/>
      </c>
      <c r="I314" s="36" t="str">
        <f t="shared" si="7"/>
        <v/>
      </c>
      <c r="J314" s="37" t="str">
        <f>IFERROR(__xludf.DUMMYFUNCTION("IFERROR(
  IF(C314="""",, 
    IFERROR(
      GOOGLEFINANCE(C314, ""price"") * GOOGLEFINANCE(C314, ""volumeavg""), 
      GOOGLEFINANCE(C314, ""price"") * AVERAGE(QUERY(GOOGLEFINANCE(C314, ""volume"", TODAY()-40, TODAY()), ""SELECT Col2 WHERE Col2 IS NOT "&amp;"NULL ORDER BY Col1 DESC LIMIT 20"", 0))
    )
  ), 
"""")"),"")</f>
        <v/>
      </c>
      <c r="K314" s="21" t="str">
        <f>IFERROR(__xludf.DUMMYFUNCTION("IFERROR(GOOGLEFINANCE(C314, ""changepct"") / 100, """")"),"")</f>
        <v/>
      </c>
      <c r="L314" s="21" t="str">
        <f>IFERROR(__xludf.DUMMYFUNCTION("IFERROR((GOOGLEFINANCE(C314, ""price"") / INDEX(GOOGLEFINANCE(C314, ""price"", TODAY()-7, TODAY()), 2, 2)) - 1, """")"),"")</f>
        <v/>
      </c>
      <c r="M314" s="21" t="str">
        <f>IFERROR(__xludf.DUMMYFUNCTION("IFERROR((GOOGLEFINANCE(C314, ""price"") / INDEX(GOOGLEFINANCE(C314, ""price"", EDATE(TODAY(), -1), TODAY()), 2, 2)) - 1, """")"),"")</f>
        <v/>
      </c>
      <c r="N314" s="21" t="str">
        <f>IFERROR(__xludf.DUMMYFUNCTION("IFERROR((GOOGLEFINANCE(C314, ""price"") / INDEX(GOOGLEFINANCE(C314, ""price"", EDATE(TODAY(), -3), TODAY()), 2, 2)) - 1, """")"),"")</f>
        <v/>
      </c>
      <c r="O314" s="21" t="str">
        <f>IFERROR(__xludf.DUMMYFUNCTION("IFERROR((GOOGLEFINANCE(C314, ""price"") / INDEX(GOOGLEFINANCE(C314, ""price"", EDATE(TODAY(), -6), TODAY()), 2, 2)) - 1, """")"),"")</f>
        <v/>
      </c>
      <c r="P314" s="21" t="str">
        <f>IFERROR(__xludf.DUMMYFUNCTION("IFERROR((GOOGLEFINANCE(C314, ""price"") / INDEX(GOOGLEFINANCE(C314, ""price"", EDATE(TODAY(), -12), TODAY()), 2, 2)) - 1, """")"),"")</f>
        <v/>
      </c>
      <c r="Q314" s="6" t="str">
        <f>IFERROR(__xludf.DUMMYFUNCTION("AVERAGE(QUERY(GOOGLEFINANCE(C314, ""price"", TODAY()-80, TODAY()), ""SELECT Col2 WHERE Col2 IS NOT NULL ORDER BY Col1 DESC LIMIT 50"", 0))"),"#N/A")</f>
        <v>#N/A</v>
      </c>
      <c r="R314" s="24" t="str">
        <f>IFERROR(__xludf.DUMMYFUNCTION("IFERROR(
  LET(
    data, QUERY(GOOGLEFINANCE(C314,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GOOGLEFINANCE(C314, ""price"")) * 100,
    IF(calc=0, G314, calc)
  ), 
G314)"),"#N/A")</f>
        <v>#N/A</v>
      </c>
      <c r="S314" s="8" t="s">
        <v>15</v>
      </c>
      <c r="T314" s="26" t="str">
        <f>IFERROR(__xludf.DUMMYFUNCTION("IFERROR(TRANSPOSE(QUERY(IFERROR(SORT(GOOGLEFINANCE(C314, ""price"", WORKDAY(TODAY(), -40), TODAY()), 1, FALSE)), ""select Col2 where Col2 is not null limit 22 label Col2 ''"", 0)), """")"),"")</f>
        <v/>
      </c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8"/>
      <c r="AO314" s="28"/>
      <c r="AP314" s="29"/>
      <c r="AQ314" s="29" t="str">
        <f t="shared" ref="AQ314:BL314" si="317">T314/T$2</f>
        <v>#N/A</v>
      </c>
      <c r="AR314" s="29" t="str">
        <f t="shared" si="317"/>
        <v>#DIV/0!</v>
      </c>
      <c r="AS314" s="29" t="str">
        <f t="shared" si="317"/>
        <v>#DIV/0!</v>
      </c>
      <c r="AT314" s="29" t="str">
        <f t="shared" si="317"/>
        <v>#DIV/0!</v>
      </c>
      <c r="AU314" s="29" t="str">
        <f t="shared" si="317"/>
        <v>#DIV/0!</v>
      </c>
      <c r="AV314" s="29" t="str">
        <f t="shared" si="317"/>
        <v>#DIV/0!</v>
      </c>
      <c r="AW314" s="29" t="str">
        <f t="shared" si="317"/>
        <v>#DIV/0!</v>
      </c>
      <c r="AX314" s="29" t="str">
        <f t="shared" si="317"/>
        <v>#DIV/0!</v>
      </c>
      <c r="AY314" s="29" t="str">
        <f t="shared" si="317"/>
        <v>#DIV/0!</v>
      </c>
      <c r="AZ314" s="29" t="str">
        <f t="shared" si="317"/>
        <v>#DIV/0!</v>
      </c>
      <c r="BA314" s="29" t="str">
        <f t="shared" si="317"/>
        <v>#DIV/0!</v>
      </c>
      <c r="BB314" s="29" t="str">
        <f t="shared" si="317"/>
        <v>#DIV/0!</v>
      </c>
      <c r="BC314" s="29" t="str">
        <f t="shared" si="317"/>
        <v>#DIV/0!</v>
      </c>
      <c r="BD314" s="29" t="str">
        <f t="shared" si="317"/>
        <v>#DIV/0!</v>
      </c>
      <c r="BE314" s="29" t="str">
        <f t="shared" si="317"/>
        <v>#DIV/0!</v>
      </c>
      <c r="BF314" s="29" t="str">
        <f t="shared" si="317"/>
        <v>#DIV/0!</v>
      </c>
      <c r="BG314" s="29" t="str">
        <f t="shared" si="317"/>
        <v>#DIV/0!</v>
      </c>
      <c r="BH314" s="29" t="str">
        <f t="shared" si="317"/>
        <v>#DIV/0!</v>
      </c>
      <c r="BI314" s="29" t="str">
        <f t="shared" si="317"/>
        <v>#DIV/0!</v>
      </c>
      <c r="BJ314" s="29" t="str">
        <f t="shared" si="317"/>
        <v>#DIV/0!</v>
      </c>
      <c r="BK314" s="29" t="str">
        <f t="shared" si="317"/>
        <v>#DIV/0!</v>
      </c>
      <c r="BL314" s="29" t="str">
        <f t="shared" si="317"/>
        <v>#DIV/0!</v>
      </c>
      <c r="BM314" s="29" t="str">
        <f t="shared" si="3"/>
        <v>#DIV/0!</v>
      </c>
    </row>
    <row r="315">
      <c r="A315" s="16" t="str">
        <f>IFERROR(__xludf.DUMMYFUNCTION("IFERROR(SPARKLINE(SORT(MAP(TRANSPOSE(AQ315:BL315), LAMBDA(val, IF(ISNUMBER(val), PERCENTRANK(AQ315:BL315, val)+0.01, 0))), SEQUENCE(COLUMNS(AQ315:BL315)), FALSE), {""charttype"",""column""; ""color"",""chartreuse""; ""ymin"", 0; ""ymax"", 1.01; ""highcolo"&amp;"r"", ""darkgreen""; ""lowcolor"", ""red""}), """")"),"")</f>
        <v/>
      </c>
      <c r="B315" s="17" t="str">
        <f t="shared" si="4"/>
        <v/>
      </c>
      <c r="C315" s="1" t="s">
        <v>1483</v>
      </c>
      <c r="D315" s="34" t="str">
        <f>IFERROR(__xludf.DUMMYFUNCTION("IFERROR(GOOGLEFINANCE(C315, ""NAME""))"),"S&amp;T Bancorp Inc")</f>
        <v>S&amp;T Bancorp Inc</v>
      </c>
      <c r="E315" s="30" t="s">
        <v>268</v>
      </c>
      <c r="F315" s="33" t="str">
        <f>IFERROR(__xludf.DUMMYFUNCTION("( (GOOGLEFINANCE(C315, ""price"") - Q315) / Q315 ) / (R315 / 100)"),"Loading...")</f>
        <v>Loading...</v>
      </c>
      <c r="G315" s="20" t="str">
        <f>IFERROR(__xludf.DUMMYFUNCTION("AVERAGE(ARRAYFORMULA(100 * (QUERY(GOOGLEFINANCE(C315, ""high"", TODAY()-40, TODAY()), ""SELECT Col2 WHERE Col2 IS NOT NULL ORDER BY Col1 DESC LIMIT 20"", 0) / QUERY(GOOGLEFINANCE(C315, ""low"", TODAY()-40, TODAY()), ""SELECT Col2 WHERE Col2 IS NOT NULL OR"&amp;"DER BY Col1 DESC LIMIT 20"", 0) - 1)))"),"#N/A")</f>
        <v>#N/A</v>
      </c>
      <c r="H315" s="35" t="str">
        <f t="shared" si="6"/>
        <v/>
      </c>
      <c r="I315" s="36" t="str">
        <f t="shared" si="7"/>
        <v/>
      </c>
      <c r="J315" s="37" t="str">
        <f>IFERROR(__xludf.DUMMYFUNCTION("IFERROR(
  IF(C315="""",, 
    IFERROR(
      GOOGLEFINANCE(C315, ""price"") * GOOGLEFINANCE(C315, ""volumeavg""), 
      GOOGLEFINANCE(C315, ""price"") * AVERAGE(QUERY(GOOGLEFINANCE(C315, ""volume"", TODAY()-40, TODAY()), ""SELECT Col2 WHERE Col2 IS NOT "&amp;"NULL ORDER BY Col1 DESC LIMIT 20"", 0))
    )
  ), 
"""")"),"")</f>
        <v/>
      </c>
      <c r="K315" s="21" t="str">
        <f>IFERROR(__xludf.DUMMYFUNCTION("IFERROR(GOOGLEFINANCE(C315, ""changepct"") / 100, """")"),"")</f>
        <v/>
      </c>
      <c r="L315" s="21" t="str">
        <f>IFERROR(__xludf.DUMMYFUNCTION("IFERROR((GOOGLEFINANCE(C315, ""price"") / INDEX(GOOGLEFINANCE(C315, ""price"", TODAY()-7, TODAY()), 2, 2)) - 1, """")"),"")</f>
        <v/>
      </c>
      <c r="M315" s="21" t="str">
        <f>IFERROR(__xludf.DUMMYFUNCTION("IFERROR((GOOGLEFINANCE(C315, ""price"") / INDEX(GOOGLEFINANCE(C315, ""price"", EDATE(TODAY(), -1), TODAY()), 2, 2)) - 1, """")"),"")</f>
        <v/>
      </c>
      <c r="N315" s="21" t="str">
        <f>IFERROR(__xludf.DUMMYFUNCTION("IFERROR((GOOGLEFINANCE(C315, ""price"") / INDEX(GOOGLEFINANCE(C315, ""price"", EDATE(TODAY(), -3), TODAY()), 2, 2)) - 1, """")"),"")</f>
        <v/>
      </c>
      <c r="O315" s="21" t="str">
        <f>IFERROR(__xludf.DUMMYFUNCTION("IFERROR((GOOGLEFINANCE(C315, ""price"") / INDEX(GOOGLEFINANCE(C315, ""price"", EDATE(TODAY(), -6), TODAY()), 2, 2)) - 1, """")"),"")</f>
        <v/>
      </c>
      <c r="P315" s="21" t="str">
        <f>IFERROR(__xludf.DUMMYFUNCTION("IFERROR((GOOGLEFINANCE(C315, ""price"") / INDEX(GOOGLEFINANCE(C315, ""price"", EDATE(TODAY(), -12), TODAY()), 2, 2)) - 1, """")"),"")</f>
        <v/>
      </c>
      <c r="Q315" s="6" t="str">
        <f>IFERROR(__xludf.DUMMYFUNCTION("AVERAGE(QUERY(GOOGLEFINANCE(C315, ""price"", TODAY()-80, TODAY()), ""SELECT Col2 WHERE Col2 IS NOT NULL ORDER BY Col1 DESC LIMIT 50"", 0))"),"#N/A")</f>
        <v>#N/A</v>
      </c>
      <c r="R315" s="24" t="str">
        <f>IFERROR(__xludf.DUMMYFUNCTION("IFERROR(
  LET(
    data, QUERY(GOOGLEFINANCE(C315,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GOOGLEFINANCE(C315, ""price"")) * 100,
    IF(calc=0, G315, calc)
  ), 
G315)"),"#N/A")</f>
        <v>#N/A</v>
      </c>
      <c r="S315" s="8" t="s">
        <v>15</v>
      </c>
      <c r="T315" s="26" t="str">
        <f>IFERROR(__xludf.DUMMYFUNCTION("IFERROR(TRANSPOSE(QUERY(IFERROR(SORT(GOOGLEFINANCE(C315, ""price"", WORKDAY(TODAY(), -40), TODAY()), 1, FALSE)), ""select Col2 where Col2 is not null limit 22 label Col2 ''"", 0)), """")"),"")</f>
        <v/>
      </c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8"/>
      <c r="AO315" s="28"/>
      <c r="AP315" s="29"/>
      <c r="AQ315" s="29" t="str">
        <f t="shared" ref="AQ315:BL315" si="318">T315/T$2</f>
        <v>#N/A</v>
      </c>
      <c r="AR315" s="29" t="str">
        <f t="shared" si="318"/>
        <v>#DIV/0!</v>
      </c>
      <c r="AS315" s="29" t="str">
        <f t="shared" si="318"/>
        <v>#DIV/0!</v>
      </c>
      <c r="AT315" s="29" t="str">
        <f t="shared" si="318"/>
        <v>#DIV/0!</v>
      </c>
      <c r="AU315" s="29" t="str">
        <f t="shared" si="318"/>
        <v>#DIV/0!</v>
      </c>
      <c r="AV315" s="29" t="str">
        <f t="shared" si="318"/>
        <v>#DIV/0!</v>
      </c>
      <c r="AW315" s="29" t="str">
        <f t="shared" si="318"/>
        <v>#DIV/0!</v>
      </c>
      <c r="AX315" s="29" t="str">
        <f t="shared" si="318"/>
        <v>#DIV/0!</v>
      </c>
      <c r="AY315" s="29" t="str">
        <f t="shared" si="318"/>
        <v>#DIV/0!</v>
      </c>
      <c r="AZ315" s="29" t="str">
        <f t="shared" si="318"/>
        <v>#DIV/0!</v>
      </c>
      <c r="BA315" s="29" t="str">
        <f t="shared" si="318"/>
        <v>#DIV/0!</v>
      </c>
      <c r="BB315" s="29" t="str">
        <f t="shared" si="318"/>
        <v>#DIV/0!</v>
      </c>
      <c r="BC315" s="29" t="str">
        <f t="shared" si="318"/>
        <v>#DIV/0!</v>
      </c>
      <c r="BD315" s="29" t="str">
        <f t="shared" si="318"/>
        <v>#DIV/0!</v>
      </c>
      <c r="BE315" s="29" t="str">
        <f t="shared" si="318"/>
        <v>#DIV/0!</v>
      </c>
      <c r="BF315" s="29" t="str">
        <f t="shared" si="318"/>
        <v>#DIV/0!</v>
      </c>
      <c r="BG315" s="29" t="str">
        <f t="shared" si="318"/>
        <v>#DIV/0!</v>
      </c>
      <c r="BH315" s="29" t="str">
        <f t="shared" si="318"/>
        <v>#DIV/0!</v>
      </c>
      <c r="BI315" s="29" t="str">
        <f t="shared" si="318"/>
        <v>#DIV/0!</v>
      </c>
      <c r="BJ315" s="29" t="str">
        <f t="shared" si="318"/>
        <v>#DIV/0!</v>
      </c>
      <c r="BK315" s="29" t="str">
        <f t="shared" si="318"/>
        <v>#DIV/0!</v>
      </c>
      <c r="BL315" s="29" t="str">
        <f t="shared" si="318"/>
        <v>#DIV/0!</v>
      </c>
      <c r="BM315" s="29" t="str">
        <f t="shared" si="3"/>
        <v>#DIV/0!</v>
      </c>
    </row>
    <row r="316">
      <c r="A316" s="16" t="str">
        <f>IFERROR(__xludf.DUMMYFUNCTION("IFERROR(SPARKLINE(SORT(MAP(TRANSPOSE(AQ316:BL316), LAMBDA(val, IF(ISNUMBER(val), PERCENTRANK(AQ316:BL316, val)+0.01, 0))), SEQUENCE(COLUMNS(AQ316:BL316)), FALSE), {""charttype"",""column""; ""color"",""chartreuse""; ""ymin"", 0; ""ymax"", 1.01; ""highcolo"&amp;"r"", ""darkgreen""; ""lowcolor"", ""red""}), """")"),"")</f>
        <v/>
      </c>
      <c r="B316" s="17" t="str">
        <f t="shared" si="4"/>
        <v/>
      </c>
      <c r="C316" s="1" t="s">
        <v>1487</v>
      </c>
      <c r="D316" s="34" t="str">
        <f>IFERROR(__xludf.DUMMYFUNCTION("IFERROR(GOOGLEFINANCE(C316, ""NAME""))"),"Hometrust Bancshares Inc")</f>
        <v>Hometrust Bancshares Inc</v>
      </c>
      <c r="E316" s="30" t="s">
        <v>268</v>
      </c>
      <c r="F316" s="33" t="str">
        <f>IFERROR(__xludf.DUMMYFUNCTION("( (GOOGLEFINANCE(C316, ""price"") - Q316) / Q316 ) / (R316 / 100)"),"Loading...")</f>
        <v>Loading...</v>
      </c>
      <c r="G316" s="20" t="str">
        <f>IFERROR(__xludf.DUMMYFUNCTION("AVERAGE(ARRAYFORMULA(100 * (QUERY(GOOGLEFINANCE(C316, ""high"", TODAY()-40, TODAY()), ""SELECT Col2 WHERE Col2 IS NOT NULL ORDER BY Col1 DESC LIMIT 20"", 0) / QUERY(GOOGLEFINANCE(C316, ""low"", TODAY()-40, TODAY()), ""SELECT Col2 WHERE Col2 IS NOT NULL OR"&amp;"DER BY Col1 DESC LIMIT 20"", 0) - 1)))"),"#N/A")</f>
        <v>#N/A</v>
      </c>
      <c r="H316" s="35" t="str">
        <f t="shared" si="6"/>
        <v/>
      </c>
      <c r="I316" s="36" t="str">
        <f t="shared" si="7"/>
        <v/>
      </c>
      <c r="J316" s="37" t="str">
        <f>IFERROR(__xludf.DUMMYFUNCTION("IFERROR(
  IF(C316="""",, 
    IFERROR(
      GOOGLEFINANCE(C316, ""price"") * GOOGLEFINANCE(C316, ""volumeavg""), 
      GOOGLEFINANCE(C316, ""price"") * AVERAGE(QUERY(GOOGLEFINANCE(C316, ""volume"", TODAY()-40, TODAY()), ""SELECT Col2 WHERE Col2 IS NOT "&amp;"NULL ORDER BY Col1 DESC LIMIT 20"", 0))
    )
  ), 
"""")"),"")</f>
        <v/>
      </c>
      <c r="K316" s="21" t="str">
        <f>IFERROR(__xludf.DUMMYFUNCTION("IFERROR(GOOGLEFINANCE(C316, ""changepct"") / 100, """")"),"")</f>
        <v/>
      </c>
      <c r="L316" s="21" t="str">
        <f>IFERROR(__xludf.DUMMYFUNCTION("IFERROR((GOOGLEFINANCE(C316, ""price"") / INDEX(GOOGLEFINANCE(C316, ""price"", TODAY()-7, TODAY()), 2, 2)) - 1, """")"),"")</f>
        <v/>
      </c>
      <c r="M316" s="21" t="str">
        <f>IFERROR(__xludf.DUMMYFUNCTION("IFERROR((GOOGLEFINANCE(C316, ""price"") / INDEX(GOOGLEFINANCE(C316, ""price"", EDATE(TODAY(), -1), TODAY()), 2, 2)) - 1, """")"),"")</f>
        <v/>
      </c>
      <c r="N316" s="21" t="str">
        <f>IFERROR(__xludf.DUMMYFUNCTION("IFERROR((GOOGLEFINANCE(C316, ""price"") / INDEX(GOOGLEFINANCE(C316, ""price"", EDATE(TODAY(), -3), TODAY()), 2, 2)) - 1, """")"),"")</f>
        <v/>
      </c>
      <c r="O316" s="21" t="str">
        <f>IFERROR(__xludf.DUMMYFUNCTION("IFERROR((GOOGLEFINANCE(C316, ""price"") / INDEX(GOOGLEFINANCE(C316, ""price"", EDATE(TODAY(), -6), TODAY()), 2, 2)) - 1, """")"),"")</f>
        <v/>
      </c>
      <c r="P316" s="21" t="str">
        <f>IFERROR(__xludf.DUMMYFUNCTION("IFERROR((GOOGLEFINANCE(C316, ""price"") / INDEX(GOOGLEFINANCE(C316, ""price"", EDATE(TODAY(), -12), TODAY()), 2, 2)) - 1, """")"),"")</f>
        <v/>
      </c>
      <c r="Q316" s="6" t="str">
        <f>IFERROR(__xludf.DUMMYFUNCTION("AVERAGE(QUERY(GOOGLEFINANCE(C316, ""price"", TODAY()-80, TODAY()), ""SELECT Col2 WHERE Col2 IS NOT NULL ORDER BY Col1 DESC LIMIT 50"", 0))"),"#N/A")</f>
        <v>#N/A</v>
      </c>
      <c r="R316" s="24" t="str">
        <f>IFERROR(__xludf.DUMMYFUNCTION("IFERROR(
  LET(
    data, QUERY(GOOGLEFINANCE(C316,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GOOGLEFINANCE(C316, ""price"")) * 100,
    IF(calc=0, G316, calc)
  ), 
G316)"),"#N/A")</f>
        <v>#N/A</v>
      </c>
      <c r="S316" s="8" t="s">
        <v>15</v>
      </c>
      <c r="T316" s="26" t="str">
        <f>IFERROR(__xludf.DUMMYFUNCTION("IFERROR(TRANSPOSE(QUERY(IFERROR(SORT(GOOGLEFINANCE(C316, ""price"", WORKDAY(TODAY(), -40), TODAY()), 1, FALSE)), ""select Col2 where Col2 is not null limit 22 label Col2 ''"", 0)), """")"),"")</f>
        <v/>
      </c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8"/>
      <c r="AO316" s="28"/>
      <c r="AP316" s="29"/>
      <c r="AQ316" s="29" t="str">
        <f t="shared" ref="AQ316:BL316" si="319">T316/T$2</f>
        <v>#N/A</v>
      </c>
      <c r="AR316" s="29" t="str">
        <f t="shared" si="319"/>
        <v>#DIV/0!</v>
      </c>
      <c r="AS316" s="29" t="str">
        <f t="shared" si="319"/>
        <v>#DIV/0!</v>
      </c>
      <c r="AT316" s="29" t="str">
        <f t="shared" si="319"/>
        <v>#DIV/0!</v>
      </c>
      <c r="AU316" s="29" t="str">
        <f t="shared" si="319"/>
        <v>#DIV/0!</v>
      </c>
      <c r="AV316" s="29" t="str">
        <f t="shared" si="319"/>
        <v>#DIV/0!</v>
      </c>
      <c r="AW316" s="29" t="str">
        <f t="shared" si="319"/>
        <v>#DIV/0!</v>
      </c>
      <c r="AX316" s="29" t="str">
        <f t="shared" si="319"/>
        <v>#DIV/0!</v>
      </c>
      <c r="AY316" s="29" t="str">
        <f t="shared" si="319"/>
        <v>#DIV/0!</v>
      </c>
      <c r="AZ316" s="29" t="str">
        <f t="shared" si="319"/>
        <v>#DIV/0!</v>
      </c>
      <c r="BA316" s="29" t="str">
        <f t="shared" si="319"/>
        <v>#DIV/0!</v>
      </c>
      <c r="BB316" s="29" t="str">
        <f t="shared" si="319"/>
        <v>#DIV/0!</v>
      </c>
      <c r="BC316" s="29" t="str">
        <f t="shared" si="319"/>
        <v>#DIV/0!</v>
      </c>
      <c r="BD316" s="29" t="str">
        <f t="shared" si="319"/>
        <v>#DIV/0!</v>
      </c>
      <c r="BE316" s="29" t="str">
        <f t="shared" si="319"/>
        <v>#DIV/0!</v>
      </c>
      <c r="BF316" s="29" t="str">
        <f t="shared" si="319"/>
        <v>#DIV/0!</v>
      </c>
      <c r="BG316" s="29" t="str">
        <f t="shared" si="319"/>
        <v>#DIV/0!</v>
      </c>
      <c r="BH316" s="29" t="str">
        <f t="shared" si="319"/>
        <v>#DIV/0!</v>
      </c>
      <c r="BI316" s="29" t="str">
        <f t="shared" si="319"/>
        <v>#DIV/0!</v>
      </c>
      <c r="BJ316" s="29" t="str">
        <f t="shared" si="319"/>
        <v>#DIV/0!</v>
      </c>
      <c r="BK316" s="29" t="str">
        <f t="shared" si="319"/>
        <v>#DIV/0!</v>
      </c>
      <c r="BL316" s="29" t="str">
        <f t="shared" si="319"/>
        <v>#DIV/0!</v>
      </c>
      <c r="BM316" s="29" t="str">
        <f t="shared" si="3"/>
        <v>#DIV/0!</v>
      </c>
    </row>
    <row r="317">
      <c r="A317" s="16" t="str">
        <f>IFERROR(__xludf.DUMMYFUNCTION("IFERROR(SPARKLINE(SORT(MAP(TRANSPOSE(AQ317:BL317), LAMBDA(val, IF(ISNUMBER(val), PERCENTRANK(AQ317:BL317, val)+0.01, 0))), SEQUENCE(COLUMNS(AQ317:BL317)), FALSE), {""charttype"",""column""; ""color"",""chartreuse""; ""ymin"", 0; ""ymax"", 1.01; ""highcolo"&amp;"r"", ""darkgreen""; ""lowcolor"", ""red""}), """")"),"")</f>
        <v/>
      </c>
      <c r="B317" s="17" t="str">
        <f t="shared" si="4"/>
        <v/>
      </c>
      <c r="C317" s="1" t="s">
        <v>1492</v>
      </c>
      <c r="D317" s="34" t="str">
        <f>IFERROR(__xludf.DUMMYFUNCTION("IFERROR(GOOGLEFINANCE(C317, ""NAME""))"),"Fulton Financial Corp")</f>
        <v>Fulton Financial Corp</v>
      </c>
      <c r="E317" s="30" t="s">
        <v>268</v>
      </c>
      <c r="F317" s="33" t="str">
        <f>IFERROR(__xludf.DUMMYFUNCTION("( (GOOGLEFINANCE(C317, ""price"") - Q317) / Q317 ) / (R317 / 100)"),"Loading...")</f>
        <v>Loading...</v>
      </c>
      <c r="G317" s="20" t="str">
        <f>IFERROR(__xludf.DUMMYFUNCTION("AVERAGE(ARRAYFORMULA(100 * (QUERY(GOOGLEFINANCE(C317, ""high"", TODAY()-40, TODAY()), ""SELECT Col2 WHERE Col2 IS NOT NULL ORDER BY Col1 DESC LIMIT 20"", 0) / QUERY(GOOGLEFINANCE(C317, ""low"", TODAY()-40, TODAY()), ""SELECT Col2 WHERE Col2 IS NOT NULL OR"&amp;"DER BY Col1 DESC LIMIT 20"", 0) - 1)))"),"#N/A")</f>
        <v>#N/A</v>
      </c>
      <c r="H317" s="35" t="str">
        <f t="shared" si="6"/>
        <v/>
      </c>
      <c r="I317" s="36" t="str">
        <f t="shared" si="7"/>
        <v/>
      </c>
      <c r="J317" s="37" t="str">
        <f>IFERROR(__xludf.DUMMYFUNCTION("IFERROR(
  IF(C317="""",, 
    IFERROR(
      GOOGLEFINANCE(C317, ""price"") * GOOGLEFINANCE(C317, ""volumeavg""), 
      GOOGLEFINANCE(C317, ""price"") * AVERAGE(QUERY(GOOGLEFINANCE(C317, ""volume"", TODAY()-40, TODAY()), ""SELECT Col2 WHERE Col2 IS NOT "&amp;"NULL ORDER BY Col1 DESC LIMIT 20"", 0))
    )
  ), 
"""")"),"")</f>
        <v/>
      </c>
      <c r="K317" s="21" t="str">
        <f>IFERROR(__xludf.DUMMYFUNCTION("IFERROR(GOOGLEFINANCE(C317, ""changepct"") / 100, """")"),"")</f>
        <v/>
      </c>
      <c r="L317" s="21" t="str">
        <f>IFERROR(__xludf.DUMMYFUNCTION("IFERROR((GOOGLEFINANCE(C317, ""price"") / INDEX(GOOGLEFINANCE(C317, ""price"", TODAY()-7, TODAY()), 2, 2)) - 1, """")"),"")</f>
        <v/>
      </c>
      <c r="M317" s="21" t="str">
        <f>IFERROR(__xludf.DUMMYFUNCTION("IFERROR((GOOGLEFINANCE(C317, ""price"") / INDEX(GOOGLEFINANCE(C317, ""price"", EDATE(TODAY(), -1), TODAY()), 2, 2)) - 1, """")"),"")</f>
        <v/>
      </c>
      <c r="N317" s="21" t="str">
        <f>IFERROR(__xludf.DUMMYFUNCTION("IFERROR((GOOGLEFINANCE(C317, ""price"") / INDEX(GOOGLEFINANCE(C317, ""price"", EDATE(TODAY(), -3), TODAY()), 2, 2)) - 1, """")"),"")</f>
        <v/>
      </c>
      <c r="O317" s="21" t="str">
        <f>IFERROR(__xludf.DUMMYFUNCTION("IFERROR((GOOGLEFINANCE(C317, ""price"") / INDEX(GOOGLEFINANCE(C317, ""price"", EDATE(TODAY(), -6), TODAY()), 2, 2)) - 1, """")"),"")</f>
        <v/>
      </c>
      <c r="P317" s="21" t="str">
        <f>IFERROR(__xludf.DUMMYFUNCTION("IFERROR((GOOGLEFINANCE(C317, ""price"") / INDEX(GOOGLEFINANCE(C317, ""price"", EDATE(TODAY(), -12), TODAY()), 2, 2)) - 1, """")"),"")</f>
        <v/>
      </c>
      <c r="Q317" s="6" t="str">
        <f>IFERROR(__xludf.DUMMYFUNCTION("AVERAGE(QUERY(GOOGLEFINANCE(C317, ""price"", TODAY()-80, TODAY()), ""SELECT Col2 WHERE Col2 IS NOT NULL ORDER BY Col1 DESC LIMIT 50"", 0))"),"#N/A")</f>
        <v>#N/A</v>
      </c>
      <c r="R317" s="24" t="str">
        <f>IFERROR(__xludf.DUMMYFUNCTION("IFERROR(
  LET(
    data, QUERY(GOOGLEFINANCE(C317,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GOOGLEFINANCE(C317, ""price"")) * 100,
    IF(calc=0, G317, calc)
  ), 
G317)"),"#N/A")</f>
        <v>#N/A</v>
      </c>
      <c r="S317" s="8" t="s">
        <v>15</v>
      </c>
      <c r="T317" s="26" t="str">
        <f>IFERROR(__xludf.DUMMYFUNCTION("IFERROR(TRANSPOSE(QUERY(IFERROR(SORT(GOOGLEFINANCE(C317, ""price"", WORKDAY(TODAY(), -40), TODAY()), 1, FALSE)), ""select Col2 where Col2 is not null limit 22 label Col2 ''"", 0)), """")"),"")</f>
        <v/>
      </c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8"/>
      <c r="AO317" s="28"/>
      <c r="AP317" s="29"/>
      <c r="AQ317" s="29" t="str">
        <f t="shared" ref="AQ317:BL317" si="320">T317/T$2</f>
        <v>#N/A</v>
      </c>
      <c r="AR317" s="29" t="str">
        <f t="shared" si="320"/>
        <v>#DIV/0!</v>
      </c>
      <c r="AS317" s="29" t="str">
        <f t="shared" si="320"/>
        <v>#DIV/0!</v>
      </c>
      <c r="AT317" s="29" t="str">
        <f t="shared" si="320"/>
        <v>#DIV/0!</v>
      </c>
      <c r="AU317" s="29" t="str">
        <f t="shared" si="320"/>
        <v>#DIV/0!</v>
      </c>
      <c r="AV317" s="29" t="str">
        <f t="shared" si="320"/>
        <v>#DIV/0!</v>
      </c>
      <c r="AW317" s="29" t="str">
        <f t="shared" si="320"/>
        <v>#DIV/0!</v>
      </c>
      <c r="AX317" s="29" t="str">
        <f t="shared" si="320"/>
        <v>#DIV/0!</v>
      </c>
      <c r="AY317" s="29" t="str">
        <f t="shared" si="320"/>
        <v>#DIV/0!</v>
      </c>
      <c r="AZ317" s="29" t="str">
        <f t="shared" si="320"/>
        <v>#DIV/0!</v>
      </c>
      <c r="BA317" s="29" t="str">
        <f t="shared" si="320"/>
        <v>#DIV/0!</v>
      </c>
      <c r="BB317" s="29" t="str">
        <f t="shared" si="320"/>
        <v>#DIV/0!</v>
      </c>
      <c r="BC317" s="29" t="str">
        <f t="shared" si="320"/>
        <v>#DIV/0!</v>
      </c>
      <c r="BD317" s="29" t="str">
        <f t="shared" si="320"/>
        <v>#DIV/0!</v>
      </c>
      <c r="BE317" s="29" t="str">
        <f t="shared" si="320"/>
        <v>#DIV/0!</v>
      </c>
      <c r="BF317" s="29" t="str">
        <f t="shared" si="320"/>
        <v>#DIV/0!</v>
      </c>
      <c r="BG317" s="29" t="str">
        <f t="shared" si="320"/>
        <v>#DIV/0!</v>
      </c>
      <c r="BH317" s="29" t="str">
        <f t="shared" si="320"/>
        <v>#DIV/0!</v>
      </c>
      <c r="BI317" s="29" t="str">
        <f t="shared" si="320"/>
        <v>#DIV/0!</v>
      </c>
      <c r="BJ317" s="29" t="str">
        <f t="shared" si="320"/>
        <v>#DIV/0!</v>
      </c>
      <c r="BK317" s="29" t="str">
        <f t="shared" si="320"/>
        <v>#DIV/0!</v>
      </c>
      <c r="BL317" s="29" t="str">
        <f t="shared" si="320"/>
        <v>#DIV/0!</v>
      </c>
      <c r="BM317" s="29" t="str">
        <f t="shared" si="3"/>
        <v>#DIV/0!</v>
      </c>
    </row>
    <row r="318">
      <c r="A318" s="16" t="str">
        <f>IFERROR(__xludf.DUMMYFUNCTION("IFERROR(SPARKLINE(SORT(MAP(TRANSPOSE(AQ318:BL318), LAMBDA(val, IF(ISNUMBER(val), PERCENTRANK(AQ318:BL318, val)+0.01, 0))), SEQUENCE(COLUMNS(AQ318:BL318)), FALSE), {""charttype"",""column""; ""color"",""chartreuse""; ""ymin"", 0; ""ymax"", 1.01; ""highcolo"&amp;"r"", ""darkgreen""; ""lowcolor"", ""red""}), """")"),"")</f>
        <v/>
      </c>
      <c r="B318" s="17" t="str">
        <f t="shared" si="4"/>
        <v/>
      </c>
      <c r="C318" s="1" t="s">
        <v>1497</v>
      </c>
      <c r="D318" s="34" t="str">
        <f>IFERROR(__xludf.DUMMYFUNCTION("IFERROR(GOOGLEFINANCE(C318, ""NAME""))"),"First Citizens BancShares Inc (Delaware) Class A")</f>
        <v>First Citizens BancShares Inc (Delaware) Class A</v>
      </c>
      <c r="E318" s="30" t="s">
        <v>268</v>
      </c>
      <c r="F318" s="33" t="str">
        <f>IFERROR(__xludf.DUMMYFUNCTION("( (GOOGLEFINANCE(C318, ""price"") - Q318) / Q318 ) / (R318 / 100)"),"Loading...")</f>
        <v>Loading...</v>
      </c>
      <c r="G318" s="20" t="str">
        <f>IFERROR(__xludf.DUMMYFUNCTION("AVERAGE(ARRAYFORMULA(100 * (QUERY(GOOGLEFINANCE(C318, ""high"", TODAY()-40, TODAY()), ""SELECT Col2 WHERE Col2 IS NOT NULL ORDER BY Col1 DESC LIMIT 20"", 0) / QUERY(GOOGLEFINANCE(C318, ""low"", TODAY()-40, TODAY()), ""SELECT Col2 WHERE Col2 IS NOT NULL OR"&amp;"DER BY Col1 DESC LIMIT 20"", 0) - 1)))"),"#N/A")</f>
        <v>#N/A</v>
      </c>
      <c r="H318" s="35" t="str">
        <f t="shared" si="6"/>
        <v/>
      </c>
      <c r="I318" s="36" t="str">
        <f t="shared" si="7"/>
        <v/>
      </c>
      <c r="J318" s="37" t="str">
        <f>IFERROR(__xludf.DUMMYFUNCTION("IFERROR(
  IF(C318="""",, 
    IFERROR(
      GOOGLEFINANCE(C318, ""price"") * GOOGLEFINANCE(C318, ""volumeavg""), 
      GOOGLEFINANCE(C318, ""price"") * AVERAGE(QUERY(GOOGLEFINANCE(C318, ""volume"", TODAY()-40, TODAY()), ""SELECT Col2 WHERE Col2 IS NOT "&amp;"NULL ORDER BY Col1 DESC LIMIT 20"", 0))
    )
  ), 
"""")"),"")</f>
        <v/>
      </c>
      <c r="K318" s="21" t="str">
        <f>IFERROR(__xludf.DUMMYFUNCTION("IFERROR(GOOGLEFINANCE(C318, ""changepct"") / 100, """")"),"")</f>
        <v/>
      </c>
      <c r="L318" s="21" t="str">
        <f>IFERROR(__xludf.DUMMYFUNCTION("IFERROR((GOOGLEFINANCE(C318, ""price"") / INDEX(GOOGLEFINANCE(C318, ""price"", TODAY()-7, TODAY()), 2, 2)) - 1, """")"),"")</f>
        <v/>
      </c>
      <c r="M318" s="21" t="str">
        <f>IFERROR(__xludf.DUMMYFUNCTION("IFERROR((GOOGLEFINANCE(C318, ""price"") / INDEX(GOOGLEFINANCE(C318, ""price"", EDATE(TODAY(), -1), TODAY()), 2, 2)) - 1, """")"),"")</f>
        <v/>
      </c>
      <c r="N318" s="21" t="str">
        <f>IFERROR(__xludf.DUMMYFUNCTION("IFERROR((GOOGLEFINANCE(C318, ""price"") / INDEX(GOOGLEFINANCE(C318, ""price"", EDATE(TODAY(), -3), TODAY()), 2, 2)) - 1, """")"),"")</f>
        <v/>
      </c>
      <c r="O318" s="21" t="str">
        <f>IFERROR(__xludf.DUMMYFUNCTION("IFERROR((GOOGLEFINANCE(C318, ""price"") / INDEX(GOOGLEFINANCE(C318, ""price"", EDATE(TODAY(), -6), TODAY()), 2, 2)) - 1, """")"),"")</f>
        <v/>
      </c>
      <c r="P318" s="21" t="str">
        <f>IFERROR(__xludf.DUMMYFUNCTION("IFERROR((GOOGLEFINANCE(C318, ""price"") / INDEX(GOOGLEFINANCE(C318, ""price"", EDATE(TODAY(), -12), TODAY()), 2, 2)) - 1, """")"),"")</f>
        <v/>
      </c>
      <c r="Q318" s="6" t="str">
        <f>IFERROR(__xludf.DUMMYFUNCTION("AVERAGE(QUERY(GOOGLEFINANCE(C318, ""price"", TODAY()-80, TODAY()), ""SELECT Col2 WHERE Col2 IS NOT NULL ORDER BY Col1 DESC LIMIT 50"", 0))"),"#N/A")</f>
        <v>#N/A</v>
      </c>
      <c r="R318" s="24" t="str">
        <f>IFERROR(__xludf.DUMMYFUNCTION("IFERROR(
  LET(
    data, QUERY(GOOGLEFINANCE(C318,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GOOGLEFINANCE(C318, ""price"")) * 100,
    IF(calc=0, G318, calc)
  ), 
G318)"),"#N/A")</f>
        <v>#N/A</v>
      </c>
      <c r="S318" s="8" t="s">
        <v>15</v>
      </c>
      <c r="T318" s="26" t="str">
        <f>IFERROR(__xludf.DUMMYFUNCTION("IFERROR(TRANSPOSE(QUERY(IFERROR(SORT(GOOGLEFINANCE(C318, ""price"", WORKDAY(TODAY(), -40), TODAY()), 1, FALSE)), ""select Col2 where Col2 is not null limit 22 label Col2 ''"", 0)), """")"),"")</f>
        <v/>
      </c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8"/>
      <c r="AO318" s="28"/>
      <c r="AP318" s="29"/>
      <c r="AQ318" s="29" t="str">
        <f t="shared" ref="AQ318:BL318" si="321">T318/T$2</f>
        <v>#N/A</v>
      </c>
      <c r="AR318" s="29" t="str">
        <f t="shared" si="321"/>
        <v>#DIV/0!</v>
      </c>
      <c r="AS318" s="29" t="str">
        <f t="shared" si="321"/>
        <v>#DIV/0!</v>
      </c>
      <c r="AT318" s="29" t="str">
        <f t="shared" si="321"/>
        <v>#DIV/0!</v>
      </c>
      <c r="AU318" s="29" t="str">
        <f t="shared" si="321"/>
        <v>#DIV/0!</v>
      </c>
      <c r="AV318" s="29" t="str">
        <f t="shared" si="321"/>
        <v>#DIV/0!</v>
      </c>
      <c r="AW318" s="29" t="str">
        <f t="shared" si="321"/>
        <v>#DIV/0!</v>
      </c>
      <c r="AX318" s="29" t="str">
        <f t="shared" si="321"/>
        <v>#DIV/0!</v>
      </c>
      <c r="AY318" s="29" t="str">
        <f t="shared" si="321"/>
        <v>#DIV/0!</v>
      </c>
      <c r="AZ318" s="29" t="str">
        <f t="shared" si="321"/>
        <v>#DIV/0!</v>
      </c>
      <c r="BA318" s="29" t="str">
        <f t="shared" si="321"/>
        <v>#DIV/0!</v>
      </c>
      <c r="BB318" s="29" t="str">
        <f t="shared" si="321"/>
        <v>#DIV/0!</v>
      </c>
      <c r="BC318" s="29" t="str">
        <f t="shared" si="321"/>
        <v>#DIV/0!</v>
      </c>
      <c r="BD318" s="29" t="str">
        <f t="shared" si="321"/>
        <v>#DIV/0!</v>
      </c>
      <c r="BE318" s="29" t="str">
        <f t="shared" si="321"/>
        <v>#DIV/0!</v>
      </c>
      <c r="BF318" s="29" t="str">
        <f t="shared" si="321"/>
        <v>#DIV/0!</v>
      </c>
      <c r="BG318" s="29" t="str">
        <f t="shared" si="321"/>
        <v>#DIV/0!</v>
      </c>
      <c r="BH318" s="29" t="str">
        <f t="shared" si="321"/>
        <v>#DIV/0!</v>
      </c>
      <c r="BI318" s="29" t="str">
        <f t="shared" si="321"/>
        <v>#DIV/0!</v>
      </c>
      <c r="BJ318" s="29" t="str">
        <f t="shared" si="321"/>
        <v>#DIV/0!</v>
      </c>
      <c r="BK318" s="29" t="str">
        <f t="shared" si="321"/>
        <v>#DIV/0!</v>
      </c>
      <c r="BL318" s="29" t="str">
        <f t="shared" si="321"/>
        <v>#DIV/0!</v>
      </c>
      <c r="BM318" s="29" t="str">
        <f t="shared" si="3"/>
        <v>#DIV/0!</v>
      </c>
    </row>
    <row r="319">
      <c r="A319" s="16" t="str">
        <f>IFERROR(__xludf.DUMMYFUNCTION("IFERROR(SPARKLINE(SORT(MAP(TRANSPOSE(AQ319:BL319), LAMBDA(val, IF(ISNUMBER(val), PERCENTRANK(AQ319:BL319, val)+0.01, 0))), SEQUENCE(COLUMNS(AQ319:BL319)), FALSE), {""charttype"",""column""; ""color"",""chartreuse""; ""ymin"", 0; ""ymax"", 1.01; ""highcolo"&amp;"r"", ""darkgreen""; ""lowcolor"", ""red""}), """")"),"")</f>
        <v/>
      </c>
      <c r="B319" s="17" t="str">
        <f t="shared" si="4"/>
        <v/>
      </c>
      <c r="C319" s="1" t="s">
        <v>1503</v>
      </c>
      <c r="D319" s="34" t="str">
        <f>IFERROR(__xludf.DUMMYFUNCTION("IFERROR(GOOGLEFINANCE(C319, ""NAME""))"),"First Merchants Corp")</f>
        <v>First Merchants Corp</v>
      </c>
      <c r="E319" s="30" t="s">
        <v>268</v>
      </c>
      <c r="F319" s="33" t="str">
        <f>IFERROR(__xludf.DUMMYFUNCTION("( (GOOGLEFINANCE(C319, ""price"") - Q319) / Q319 ) / (R319 / 100)"),"Loading...")</f>
        <v>Loading...</v>
      </c>
      <c r="G319" s="20" t="str">
        <f>IFERROR(__xludf.DUMMYFUNCTION("AVERAGE(ARRAYFORMULA(100 * (QUERY(GOOGLEFINANCE(C319, ""high"", TODAY()-40, TODAY()), ""SELECT Col2 WHERE Col2 IS NOT NULL ORDER BY Col1 DESC LIMIT 20"", 0) / QUERY(GOOGLEFINANCE(C319, ""low"", TODAY()-40, TODAY()), ""SELECT Col2 WHERE Col2 IS NOT NULL OR"&amp;"DER BY Col1 DESC LIMIT 20"", 0) - 1)))"),"#N/A")</f>
        <v>#N/A</v>
      </c>
      <c r="H319" s="35" t="str">
        <f t="shared" si="6"/>
        <v/>
      </c>
      <c r="I319" s="36" t="str">
        <f t="shared" si="7"/>
        <v/>
      </c>
      <c r="J319" s="37" t="str">
        <f>IFERROR(__xludf.DUMMYFUNCTION("IFERROR(
  IF(C319="""",, 
    IFERROR(
      GOOGLEFINANCE(C319, ""price"") * GOOGLEFINANCE(C319, ""volumeavg""), 
      GOOGLEFINANCE(C319, ""price"") * AVERAGE(QUERY(GOOGLEFINANCE(C319, ""volume"", TODAY()-40, TODAY()), ""SELECT Col2 WHERE Col2 IS NOT "&amp;"NULL ORDER BY Col1 DESC LIMIT 20"", 0))
    )
  ), 
"""")"),"")</f>
        <v/>
      </c>
      <c r="K319" s="21" t="str">
        <f>IFERROR(__xludf.DUMMYFUNCTION("IFERROR(GOOGLEFINANCE(C319, ""changepct"") / 100, """")"),"")</f>
        <v/>
      </c>
      <c r="L319" s="21" t="str">
        <f>IFERROR(__xludf.DUMMYFUNCTION("IFERROR((GOOGLEFINANCE(C319, ""price"") / INDEX(GOOGLEFINANCE(C319, ""price"", TODAY()-7, TODAY()), 2, 2)) - 1, """")"),"")</f>
        <v/>
      </c>
      <c r="M319" s="21" t="str">
        <f>IFERROR(__xludf.DUMMYFUNCTION("IFERROR((GOOGLEFINANCE(C319, ""price"") / INDEX(GOOGLEFINANCE(C319, ""price"", EDATE(TODAY(), -1), TODAY()), 2, 2)) - 1, """")"),"")</f>
        <v/>
      </c>
      <c r="N319" s="21" t="str">
        <f>IFERROR(__xludf.DUMMYFUNCTION("IFERROR((GOOGLEFINANCE(C319, ""price"") / INDEX(GOOGLEFINANCE(C319, ""price"", EDATE(TODAY(), -3), TODAY()), 2, 2)) - 1, """")"),"")</f>
        <v/>
      </c>
      <c r="O319" s="21" t="str">
        <f>IFERROR(__xludf.DUMMYFUNCTION("IFERROR((GOOGLEFINANCE(C319, ""price"") / INDEX(GOOGLEFINANCE(C319, ""price"", EDATE(TODAY(), -6), TODAY()), 2, 2)) - 1, """")"),"")</f>
        <v/>
      </c>
      <c r="P319" s="21" t="str">
        <f>IFERROR(__xludf.DUMMYFUNCTION("IFERROR((GOOGLEFINANCE(C319, ""price"") / INDEX(GOOGLEFINANCE(C319, ""price"", EDATE(TODAY(), -12), TODAY()), 2, 2)) - 1, """")"),"")</f>
        <v/>
      </c>
      <c r="Q319" s="6" t="str">
        <f>IFERROR(__xludf.DUMMYFUNCTION("AVERAGE(QUERY(GOOGLEFINANCE(C319, ""price"", TODAY()-80, TODAY()), ""SELECT Col2 WHERE Col2 IS NOT NULL ORDER BY Col1 DESC LIMIT 50"", 0))"),"#N/A")</f>
        <v>#N/A</v>
      </c>
      <c r="R319" s="24" t="str">
        <f>IFERROR(__xludf.DUMMYFUNCTION("IFERROR(
  LET(
    data, QUERY(GOOGLEFINANCE(C319,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GOOGLEFINANCE(C319, ""price"")) * 100,
    IF(calc=0, G319, calc)
  ), 
G319)"),"#N/A")</f>
        <v>#N/A</v>
      </c>
      <c r="S319" s="8" t="s">
        <v>15</v>
      </c>
      <c r="T319" s="26" t="str">
        <f>IFERROR(__xludf.DUMMYFUNCTION("IFERROR(TRANSPOSE(QUERY(IFERROR(SORT(GOOGLEFINANCE(C319, ""price"", WORKDAY(TODAY(), -40), TODAY()), 1, FALSE)), ""select Col2 where Col2 is not null limit 22 label Col2 ''"", 0)), """")"),"")</f>
        <v/>
      </c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8"/>
      <c r="AO319" s="28"/>
      <c r="AP319" s="29"/>
      <c r="AQ319" s="29" t="str">
        <f t="shared" ref="AQ319:BL319" si="322">T319/T$2</f>
        <v>#N/A</v>
      </c>
      <c r="AR319" s="29" t="str">
        <f t="shared" si="322"/>
        <v>#DIV/0!</v>
      </c>
      <c r="AS319" s="29" t="str">
        <f t="shared" si="322"/>
        <v>#DIV/0!</v>
      </c>
      <c r="AT319" s="29" t="str">
        <f t="shared" si="322"/>
        <v>#DIV/0!</v>
      </c>
      <c r="AU319" s="29" t="str">
        <f t="shared" si="322"/>
        <v>#DIV/0!</v>
      </c>
      <c r="AV319" s="29" t="str">
        <f t="shared" si="322"/>
        <v>#DIV/0!</v>
      </c>
      <c r="AW319" s="29" t="str">
        <f t="shared" si="322"/>
        <v>#DIV/0!</v>
      </c>
      <c r="AX319" s="29" t="str">
        <f t="shared" si="322"/>
        <v>#DIV/0!</v>
      </c>
      <c r="AY319" s="29" t="str">
        <f t="shared" si="322"/>
        <v>#DIV/0!</v>
      </c>
      <c r="AZ319" s="29" t="str">
        <f t="shared" si="322"/>
        <v>#DIV/0!</v>
      </c>
      <c r="BA319" s="29" t="str">
        <f t="shared" si="322"/>
        <v>#DIV/0!</v>
      </c>
      <c r="BB319" s="29" t="str">
        <f t="shared" si="322"/>
        <v>#DIV/0!</v>
      </c>
      <c r="BC319" s="29" t="str">
        <f t="shared" si="322"/>
        <v>#DIV/0!</v>
      </c>
      <c r="BD319" s="29" t="str">
        <f t="shared" si="322"/>
        <v>#DIV/0!</v>
      </c>
      <c r="BE319" s="29" t="str">
        <f t="shared" si="322"/>
        <v>#DIV/0!</v>
      </c>
      <c r="BF319" s="29" t="str">
        <f t="shared" si="322"/>
        <v>#DIV/0!</v>
      </c>
      <c r="BG319" s="29" t="str">
        <f t="shared" si="322"/>
        <v>#DIV/0!</v>
      </c>
      <c r="BH319" s="29" t="str">
        <f t="shared" si="322"/>
        <v>#DIV/0!</v>
      </c>
      <c r="BI319" s="29" t="str">
        <f t="shared" si="322"/>
        <v>#DIV/0!</v>
      </c>
      <c r="BJ319" s="29" t="str">
        <f t="shared" si="322"/>
        <v>#DIV/0!</v>
      </c>
      <c r="BK319" s="29" t="str">
        <f t="shared" si="322"/>
        <v>#DIV/0!</v>
      </c>
      <c r="BL319" s="29" t="str">
        <f t="shared" si="322"/>
        <v>#DIV/0!</v>
      </c>
      <c r="BM319" s="29" t="str">
        <f t="shared" si="3"/>
        <v>#DIV/0!</v>
      </c>
    </row>
    <row r="320">
      <c r="A320" s="16" t="str">
        <f>IFERROR(__xludf.DUMMYFUNCTION("IFERROR(SPARKLINE(SORT(MAP(TRANSPOSE(AQ320:BL320), LAMBDA(val, IF(ISNUMBER(val), PERCENTRANK(AQ320:BL320, val)+0.01, 0))), SEQUENCE(COLUMNS(AQ320:BL320)), FALSE), {""charttype"",""column""; ""color"",""chartreuse""; ""ymin"", 0; ""ymax"", 1.01; ""highcolo"&amp;"r"", ""darkgreen""; ""lowcolor"", ""red""}), """")"),"")</f>
        <v/>
      </c>
      <c r="B320" s="17" t="str">
        <f t="shared" si="4"/>
        <v/>
      </c>
      <c r="C320" s="1" t="s">
        <v>1506</v>
      </c>
      <c r="D320" s="34" t="str">
        <f>IFERROR(__xludf.DUMMYFUNCTION("IFERROR(GOOGLEFINANCE(C320, ""NAME""))"),"Seacoast Banking Corporation of Florida")</f>
        <v>Seacoast Banking Corporation of Florida</v>
      </c>
      <c r="E320" s="30" t="s">
        <v>268</v>
      </c>
      <c r="F320" s="33" t="str">
        <f>IFERROR(__xludf.DUMMYFUNCTION("( (GOOGLEFINANCE(C320, ""price"") - Q320) / Q320 ) / (R320 / 100)"),"Loading...")</f>
        <v>Loading...</v>
      </c>
      <c r="G320" s="20" t="str">
        <f>IFERROR(__xludf.DUMMYFUNCTION("AVERAGE(ARRAYFORMULA(100 * (QUERY(GOOGLEFINANCE(C320, ""high"", TODAY()-40, TODAY()), ""SELECT Col2 WHERE Col2 IS NOT NULL ORDER BY Col1 DESC LIMIT 20"", 0) / QUERY(GOOGLEFINANCE(C320, ""low"", TODAY()-40, TODAY()), ""SELECT Col2 WHERE Col2 IS NOT NULL OR"&amp;"DER BY Col1 DESC LIMIT 20"", 0) - 1)))"),"#N/A")</f>
        <v>#N/A</v>
      </c>
      <c r="H320" s="35" t="str">
        <f t="shared" si="6"/>
        <v/>
      </c>
      <c r="I320" s="36" t="str">
        <f t="shared" si="7"/>
        <v/>
      </c>
      <c r="J320" s="37" t="str">
        <f>IFERROR(__xludf.DUMMYFUNCTION("IFERROR(
  IF(C320="""",, 
    IFERROR(
      GOOGLEFINANCE(C320, ""price"") * GOOGLEFINANCE(C320, ""volumeavg""), 
      GOOGLEFINANCE(C320, ""price"") * AVERAGE(QUERY(GOOGLEFINANCE(C320, ""volume"", TODAY()-40, TODAY()), ""SELECT Col2 WHERE Col2 IS NOT "&amp;"NULL ORDER BY Col1 DESC LIMIT 20"", 0))
    )
  ), 
"""")"),"")</f>
        <v/>
      </c>
      <c r="K320" s="21" t="str">
        <f>IFERROR(__xludf.DUMMYFUNCTION("IFERROR(GOOGLEFINANCE(C320, ""changepct"") / 100, """")"),"")</f>
        <v/>
      </c>
      <c r="L320" s="21" t="str">
        <f>IFERROR(__xludf.DUMMYFUNCTION("IFERROR((GOOGLEFINANCE(C320, ""price"") / INDEX(GOOGLEFINANCE(C320, ""price"", TODAY()-7, TODAY()), 2, 2)) - 1, """")"),"")</f>
        <v/>
      </c>
      <c r="M320" s="21" t="str">
        <f>IFERROR(__xludf.DUMMYFUNCTION("IFERROR((GOOGLEFINANCE(C320, ""price"") / INDEX(GOOGLEFINANCE(C320, ""price"", EDATE(TODAY(), -1), TODAY()), 2, 2)) - 1, """")"),"")</f>
        <v/>
      </c>
      <c r="N320" s="21" t="str">
        <f>IFERROR(__xludf.DUMMYFUNCTION("IFERROR((GOOGLEFINANCE(C320, ""price"") / INDEX(GOOGLEFINANCE(C320, ""price"", EDATE(TODAY(), -3), TODAY()), 2, 2)) - 1, """")"),"")</f>
        <v/>
      </c>
      <c r="O320" s="21" t="str">
        <f>IFERROR(__xludf.DUMMYFUNCTION("IFERROR((GOOGLEFINANCE(C320, ""price"") / INDEX(GOOGLEFINANCE(C320, ""price"", EDATE(TODAY(), -6), TODAY()), 2, 2)) - 1, """")"),"")</f>
        <v/>
      </c>
      <c r="P320" s="21" t="str">
        <f>IFERROR(__xludf.DUMMYFUNCTION("IFERROR((GOOGLEFINANCE(C320, ""price"") / INDEX(GOOGLEFINANCE(C320, ""price"", EDATE(TODAY(), -12), TODAY()), 2, 2)) - 1, """")"),"")</f>
        <v/>
      </c>
      <c r="Q320" s="6" t="str">
        <f>IFERROR(__xludf.DUMMYFUNCTION("AVERAGE(QUERY(GOOGLEFINANCE(C320, ""price"", TODAY()-80, TODAY()), ""SELECT Col2 WHERE Col2 IS NOT NULL ORDER BY Col1 DESC LIMIT 50"", 0))"),"#N/A")</f>
        <v>#N/A</v>
      </c>
      <c r="R320" s="24" t="str">
        <f>IFERROR(__xludf.DUMMYFUNCTION("IFERROR(
  LET(
    data, QUERY(GOOGLEFINANCE(C320,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GOOGLEFINANCE(C320, ""price"")) * 100,
    IF(calc=0, G320, calc)
  ), 
G320)"),"#N/A")</f>
        <v>#N/A</v>
      </c>
      <c r="S320" s="8" t="s">
        <v>15</v>
      </c>
      <c r="T320" s="26" t="str">
        <f>IFERROR(__xludf.DUMMYFUNCTION("IFERROR(TRANSPOSE(QUERY(IFERROR(SORT(GOOGLEFINANCE(C320, ""price"", WORKDAY(TODAY(), -40), TODAY()), 1, FALSE)), ""select Col2 where Col2 is not null limit 22 label Col2 ''"", 0)), """")"),"")</f>
        <v/>
      </c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8"/>
      <c r="AO320" s="28"/>
      <c r="AP320" s="29"/>
      <c r="AQ320" s="29" t="str">
        <f t="shared" ref="AQ320:BL320" si="323">T320/T$2</f>
        <v>#N/A</v>
      </c>
      <c r="AR320" s="29" t="str">
        <f t="shared" si="323"/>
        <v>#DIV/0!</v>
      </c>
      <c r="AS320" s="29" t="str">
        <f t="shared" si="323"/>
        <v>#DIV/0!</v>
      </c>
      <c r="AT320" s="29" t="str">
        <f t="shared" si="323"/>
        <v>#DIV/0!</v>
      </c>
      <c r="AU320" s="29" t="str">
        <f t="shared" si="323"/>
        <v>#DIV/0!</v>
      </c>
      <c r="AV320" s="29" t="str">
        <f t="shared" si="323"/>
        <v>#DIV/0!</v>
      </c>
      <c r="AW320" s="29" t="str">
        <f t="shared" si="323"/>
        <v>#DIV/0!</v>
      </c>
      <c r="AX320" s="29" t="str">
        <f t="shared" si="323"/>
        <v>#DIV/0!</v>
      </c>
      <c r="AY320" s="29" t="str">
        <f t="shared" si="323"/>
        <v>#DIV/0!</v>
      </c>
      <c r="AZ320" s="29" t="str">
        <f t="shared" si="323"/>
        <v>#DIV/0!</v>
      </c>
      <c r="BA320" s="29" t="str">
        <f t="shared" si="323"/>
        <v>#DIV/0!</v>
      </c>
      <c r="BB320" s="29" t="str">
        <f t="shared" si="323"/>
        <v>#DIV/0!</v>
      </c>
      <c r="BC320" s="29" t="str">
        <f t="shared" si="323"/>
        <v>#DIV/0!</v>
      </c>
      <c r="BD320" s="29" t="str">
        <f t="shared" si="323"/>
        <v>#DIV/0!</v>
      </c>
      <c r="BE320" s="29" t="str">
        <f t="shared" si="323"/>
        <v>#DIV/0!</v>
      </c>
      <c r="BF320" s="29" t="str">
        <f t="shared" si="323"/>
        <v>#DIV/0!</v>
      </c>
      <c r="BG320" s="29" t="str">
        <f t="shared" si="323"/>
        <v>#DIV/0!</v>
      </c>
      <c r="BH320" s="29" t="str">
        <f t="shared" si="323"/>
        <v>#DIV/0!</v>
      </c>
      <c r="BI320" s="29" t="str">
        <f t="shared" si="323"/>
        <v>#DIV/0!</v>
      </c>
      <c r="BJ320" s="29" t="str">
        <f t="shared" si="323"/>
        <v>#DIV/0!</v>
      </c>
      <c r="BK320" s="29" t="str">
        <f t="shared" si="323"/>
        <v>#DIV/0!</v>
      </c>
      <c r="BL320" s="29" t="str">
        <f t="shared" si="323"/>
        <v>#DIV/0!</v>
      </c>
      <c r="BM320" s="29" t="str">
        <f t="shared" si="3"/>
        <v>#DIV/0!</v>
      </c>
    </row>
    <row r="321">
      <c r="A321" s="16" t="str">
        <f>IFERROR(__xludf.DUMMYFUNCTION("IFERROR(SPARKLINE(SORT(MAP(TRANSPOSE(AQ321:BL321), LAMBDA(val, IF(ISNUMBER(val), PERCENTRANK(AQ321:BL321, val)+0.01, 0))), SEQUENCE(COLUMNS(AQ321:BL321)), FALSE), {""charttype"",""column""; ""color"",""chartreuse""; ""ymin"", 0; ""ymax"", 1.01; ""highcolo"&amp;"r"", ""darkgreen""; ""lowcolor"", ""red""}), """")"),"")</f>
        <v/>
      </c>
      <c r="B321" s="17" t="str">
        <f t="shared" si="4"/>
        <v/>
      </c>
      <c r="C321" s="1" t="s">
        <v>1511</v>
      </c>
      <c r="D321" s="34" t="str">
        <f>IFERROR(__xludf.DUMMYFUNCTION("IFERROR(GOOGLEFINANCE(C321, ""NAME""))"),"Fifth Third Bancorp")</f>
        <v>Fifth Third Bancorp</v>
      </c>
      <c r="E321" s="30" t="s">
        <v>268</v>
      </c>
      <c r="F321" s="33" t="str">
        <f>IFERROR(__xludf.DUMMYFUNCTION("( (GOOGLEFINANCE(C321, ""price"") - Q321) / Q321 ) / (R321 / 100)"),"Loading...")</f>
        <v>Loading...</v>
      </c>
      <c r="G321" s="20" t="str">
        <f>IFERROR(__xludf.DUMMYFUNCTION("AVERAGE(ARRAYFORMULA(100 * (QUERY(GOOGLEFINANCE(C321, ""high"", TODAY()-40, TODAY()), ""SELECT Col2 WHERE Col2 IS NOT NULL ORDER BY Col1 DESC LIMIT 20"", 0) / QUERY(GOOGLEFINANCE(C321, ""low"", TODAY()-40, TODAY()), ""SELECT Col2 WHERE Col2 IS NOT NULL OR"&amp;"DER BY Col1 DESC LIMIT 20"", 0) - 1)))"),"#N/A")</f>
        <v>#N/A</v>
      </c>
      <c r="H321" s="35" t="str">
        <f t="shared" si="6"/>
        <v/>
      </c>
      <c r="I321" s="36" t="str">
        <f t="shared" si="7"/>
        <v/>
      </c>
      <c r="J321" s="37" t="str">
        <f>IFERROR(__xludf.DUMMYFUNCTION("IFERROR(
  IF(C321="""",, 
    IFERROR(
      GOOGLEFINANCE(C321, ""price"") * GOOGLEFINANCE(C321, ""volumeavg""), 
      GOOGLEFINANCE(C321, ""price"") * AVERAGE(QUERY(GOOGLEFINANCE(C321, ""volume"", TODAY()-40, TODAY()), ""SELECT Col2 WHERE Col2 IS NOT "&amp;"NULL ORDER BY Col1 DESC LIMIT 20"", 0))
    )
  ), 
"""")"),"")</f>
        <v/>
      </c>
      <c r="K321" s="21" t="str">
        <f>IFERROR(__xludf.DUMMYFUNCTION("IFERROR(GOOGLEFINANCE(C321, ""changepct"") / 100, """")"),"")</f>
        <v/>
      </c>
      <c r="L321" s="21" t="str">
        <f>IFERROR(__xludf.DUMMYFUNCTION("IFERROR((GOOGLEFINANCE(C321, ""price"") / INDEX(GOOGLEFINANCE(C321, ""price"", TODAY()-7, TODAY()), 2, 2)) - 1, """")"),"")</f>
        <v/>
      </c>
      <c r="M321" s="21" t="str">
        <f>IFERROR(__xludf.DUMMYFUNCTION("IFERROR((GOOGLEFINANCE(C321, ""price"") / INDEX(GOOGLEFINANCE(C321, ""price"", EDATE(TODAY(), -1), TODAY()), 2, 2)) - 1, """")"),"")</f>
        <v/>
      </c>
      <c r="N321" s="21" t="str">
        <f>IFERROR(__xludf.DUMMYFUNCTION("IFERROR((GOOGLEFINANCE(C321, ""price"") / INDEX(GOOGLEFINANCE(C321, ""price"", EDATE(TODAY(), -3), TODAY()), 2, 2)) - 1, """")"),"")</f>
        <v/>
      </c>
      <c r="O321" s="21" t="str">
        <f>IFERROR(__xludf.DUMMYFUNCTION("IFERROR((GOOGLEFINANCE(C321, ""price"") / INDEX(GOOGLEFINANCE(C321, ""price"", EDATE(TODAY(), -6), TODAY()), 2, 2)) - 1, """")"),"")</f>
        <v/>
      </c>
      <c r="P321" s="21" t="str">
        <f>IFERROR(__xludf.DUMMYFUNCTION("IFERROR((GOOGLEFINANCE(C321, ""price"") / INDEX(GOOGLEFINANCE(C321, ""price"", EDATE(TODAY(), -12), TODAY()), 2, 2)) - 1, """")"),"")</f>
        <v/>
      </c>
      <c r="Q321" s="6" t="str">
        <f>IFERROR(__xludf.DUMMYFUNCTION("AVERAGE(QUERY(GOOGLEFINANCE(C321, ""price"", TODAY()-80, TODAY()), ""SELECT Col2 WHERE Col2 IS NOT NULL ORDER BY Col1 DESC LIMIT 50"", 0))"),"#N/A")</f>
        <v>#N/A</v>
      </c>
      <c r="R321" s="24" t="str">
        <f>IFERROR(__xludf.DUMMYFUNCTION("IFERROR(
  LET(
    data, QUERY(GOOGLEFINANCE(C321,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GOOGLEFINANCE(C321, ""price"")) * 100,
    IF(calc=0, G321, calc)
  ), 
G321)"),"#N/A")</f>
        <v>#N/A</v>
      </c>
      <c r="S321" s="8" t="s">
        <v>15</v>
      </c>
      <c r="T321" s="26" t="str">
        <f>IFERROR(__xludf.DUMMYFUNCTION("IFERROR(TRANSPOSE(QUERY(IFERROR(SORT(GOOGLEFINANCE(C321, ""price"", WORKDAY(TODAY(), -40), TODAY()), 1, FALSE)), ""select Col2 where Col2 is not null limit 22 label Col2 ''"", 0)), """")"),"")</f>
        <v/>
      </c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8"/>
      <c r="AO321" s="28"/>
      <c r="AP321" s="29"/>
      <c r="AQ321" s="29" t="str">
        <f t="shared" ref="AQ321:BL321" si="324">T321/T$2</f>
        <v>#N/A</v>
      </c>
      <c r="AR321" s="29" t="str">
        <f t="shared" si="324"/>
        <v>#DIV/0!</v>
      </c>
      <c r="AS321" s="29" t="str">
        <f t="shared" si="324"/>
        <v>#DIV/0!</v>
      </c>
      <c r="AT321" s="29" t="str">
        <f t="shared" si="324"/>
        <v>#DIV/0!</v>
      </c>
      <c r="AU321" s="29" t="str">
        <f t="shared" si="324"/>
        <v>#DIV/0!</v>
      </c>
      <c r="AV321" s="29" t="str">
        <f t="shared" si="324"/>
        <v>#DIV/0!</v>
      </c>
      <c r="AW321" s="29" t="str">
        <f t="shared" si="324"/>
        <v>#DIV/0!</v>
      </c>
      <c r="AX321" s="29" t="str">
        <f t="shared" si="324"/>
        <v>#DIV/0!</v>
      </c>
      <c r="AY321" s="29" t="str">
        <f t="shared" si="324"/>
        <v>#DIV/0!</v>
      </c>
      <c r="AZ321" s="29" t="str">
        <f t="shared" si="324"/>
        <v>#DIV/0!</v>
      </c>
      <c r="BA321" s="29" t="str">
        <f t="shared" si="324"/>
        <v>#DIV/0!</v>
      </c>
      <c r="BB321" s="29" t="str">
        <f t="shared" si="324"/>
        <v>#DIV/0!</v>
      </c>
      <c r="BC321" s="29" t="str">
        <f t="shared" si="324"/>
        <v>#DIV/0!</v>
      </c>
      <c r="BD321" s="29" t="str">
        <f t="shared" si="324"/>
        <v>#DIV/0!</v>
      </c>
      <c r="BE321" s="29" t="str">
        <f t="shared" si="324"/>
        <v>#DIV/0!</v>
      </c>
      <c r="BF321" s="29" t="str">
        <f t="shared" si="324"/>
        <v>#DIV/0!</v>
      </c>
      <c r="BG321" s="29" t="str">
        <f t="shared" si="324"/>
        <v>#DIV/0!</v>
      </c>
      <c r="BH321" s="29" t="str">
        <f t="shared" si="324"/>
        <v>#DIV/0!</v>
      </c>
      <c r="BI321" s="29" t="str">
        <f t="shared" si="324"/>
        <v>#DIV/0!</v>
      </c>
      <c r="BJ321" s="29" t="str">
        <f t="shared" si="324"/>
        <v>#DIV/0!</v>
      </c>
      <c r="BK321" s="29" t="str">
        <f t="shared" si="324"/>
        <v>#DIV/0!</v>
      </c>
      <c r="BL321" s="29" t="str">
        <f t="shared" si="324"/>
        <v>#DIV/0!</v>
      </c>
      <c r="BM321" s="29" t="str">
        <f t="shared" si="3"/>
        <v>#DIV/0!</v>
      </c>
    </row>
    <row r="322">
      <c r="A322" s="16" t="str">
        <f>IFERROR(__xludf.DUMMYFUNCTION("IFERROR(SPARKLINE(SORT(MAP(TRANSPOSE(AQ322:BL322), LAMBDA(val, IF(ISNUMBER(val), PERCENTRANK(AQ322:BL322, val)+0.01, 0))), SEQUENCE(COLUMNS(AQ322:BL322)), FALSE), {""charttype"",""column""; ""color"",""chartreuse""; ""ymin"", 0; ""ymax"", 1.01; ""highcolo"&amp;"r"", ""darkgreen""; ""lowcolor"", ""red""}), """")"),"")</f>
        <v/>
      </c>
      <c r="B322" s="17" t="str">
        <f t="shared" si="4"/>
        <v/>
      </c>
      <c r="C322" s="1" t="s">
        <v>1517</v>
      </c>
      <c r="D322" s="34" t="str">
        <f>IFERROR(__xludf.DUMMYFUNCTION("IFERROR(GOOGLEFINANCE(C322, ""NAME""))"),"Banco Bradesco SA")</f>
        <v>Banco Bradesco SA</v>
      </c>
      <c r="E322" s="30" t="s">
        <v>268</v>
      </c>
      <c r="F322" s="38" t="str">
        <f>IFERROR(__xludf.DUMMYFUNCTION("( (GOOGLEFINANCE(C322, ""price"") - Q322) / Q322 ) / (R322 / 100)"),"Loading...")</f>
        <v>Loading...</v>
      </c>
      <c r="G322" s="20" t="str">
        <f>IFERROR(__xludf.DUMMYFUNCTION("AVERAGE(ARRAYFORMULA(100 * (QUERY(GOOGLEFINANCE(C322, ""high"", TODAY()-40, TODAY()), ""SELECT Col2 WHERE Col2 IS NOT NULL ORDER BY Col1 DESC LIMIT 20"", 0) / QUERY(GOOGLEFINANCE(C322, ""low"", TODAY()-40, TODAY()), ""SELECT Col2 WHERE Col2 IS NOT NULL OR"&amp;"DER BY Col1 DESC LIMIT 20"", 0) - 1)))"),"#N/A")</f>
        <v>#N/A</v>
      </c>
      <c r="H322" s="35" t="str">
        <f t="shared" si="6"/>
        <v/>
      </c>
      <c r="I322" s="36" t="str">
        <f t="shared" si="7"/>
        <v/>
      </c>
      <c r="J322" s="37" t="str">
        <f>IFERROR(__xludf.DUMMYFUNCTION("IFERROR(
  IF(C322="""",, 
    IFERROR(
      GOOGLEFINANCE(C322, ""price"") * GOOGLEFINANCE(C322, ""volumeavg""), 
      GOOGLEFINANCE(C322, ""price"") * AVERAGE(QUERY(GOOGLEFINANCE(C322, ""volume"", TODAY()-40, TODAY()), ""SELECT Col2 WHERE Col2 IS NOT "&amp;"NULL ORDER BY Col1 DESC LIMIT 20"", 0))
    )
  ), 
"""")"),"")</f>
        <v/>
      </c>
      <c r="K322" s="21" t="str">
        <f>IFERROR(__xludf.DUMMYFUNCTION("IFERROR(GOOGLEFINANCE(C322, ""changepct"") / 100, """")"),"")</f>
        <v/>
      </c>
      <c r="L322" s="21" t="str">
        <f>IFERROR(__xludf.DUMMYFUNCTION("IFERROR((GOOGLEFINANCE(C322, ""price"") / INDEX(GOOGLEFINANCE(C322, ""price"", TODAY()-7, TODAY()), 2, 2)) - 1, """")"),"")</f>
        <v/>
      </c>
      <c r="M322" s="21" t="str">
        <f>IFERROR(__xludf.DUMMYFUNCTION("IFERROR((GOOGLEFINANCE(C322, ""price"") / INDEX(GOOGLEFINANCE(C322, ""price"", EDATE(TODAY(), -1), TODAY()), 2, 2)) - 1, """")"),"")</f>
        <v/>
      </c>
      <c r="N322" s="21" t="str">
        <f>IFERROR(__xludf.DUMMYFUNCTION("IFERROR((GOOGLEFINANCE(C322, ""price"") / INDEX(GOOGLEFINANCE(C322, ""price"", EDATE(TODAY(), -3), TODAY()), 2, 2)) - 1, """")"),"")</f>
        <v/>
      </c>
      <c r="O322" s="21" t="str">
        <f>IFERROR(__xludf.DUMMYFUNCTION("IFERROR((GOOGLEFINANCE(C322, ""price"") / INDEX(GOOGLEFINANCE(C322, ""price"", EDATE(TODAY(), -6), TODAY()), 2, 2)) - 1, """")"),"")</f>
        <v/>
      </c>
      <c r="P322" s="21" t="str">
        <f>IFERROR(__xludf.DUMMYFUNCTION("IFERROR((GOOGLEFINANCE(C322, ""price"") / INDEX(GOOGLEFINANCE(C322, ""price"", EDATE(TODAY(), -12), TODAY()), 2, 2)) - 1, """")"),"")</f>
        <v/>
      </c>
      <c r="Q322" s="6" t="str">
        <f>IFERROR(__xludf.DUMMYFUNCTION("AVERAGE(QUERY(GOOGLEFINANCE(C322, ""price"", TODAY()-80, TODAY()), ""SELECT Col2 WHERE Col2 IS NOT NULL ORDER BY Col1 DESC LIMIT 50"", 0))"),"#N/A")</f>
        <v>#N/A</v>
      </c>
      <c r="R322" s="24" t="str">
        <f>IFERROR(__xludf.DUMMYFUNCTION("IFERROR(
  LET(
    data, QUERY(GOOGLEFINANCE(C322,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GOOGLEFINANCE(C322, ""price"")) * 100,
    IF(calc=0, G322, calc)
  ), 
G322)"),"#N/A")</f>
        <v>#N/A</v>
      </c>
      <c r="S322" s="8" t="s">
        <v>15</v>
      </c>
      <c r="T322" s="26" t="str">
        <f>IFERROR(__xludf.DUMMYFUNCTION("IFERROR(TRANSPOSE(QUERY(IFERROR(SORT(GOOGLEFINANCE(C322, ""price"", WORKDAY(TODAY(), -40), TODAY()), 1, FALSE)), ""select Col2 where Col2 is not null limit 22 label Col2 ''"", 0)), """")"),"")</f>
        <v/>
      </c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8"/>
      <c r="AO322" s="28"/>
      <c r="AP322" s="29"/>
      <c r="AQ322" s="29" t="str">
        <f t="shared" ref="AQ322:BL322" si="325">T322/T$2</f>
        <v>#N/A</v>
      </c>
      <c r="AR322" s="29" t="str">
        <f t="shared" si="325"/>
        <v>#DIV/0!</v>
      </c>
      <c r="AS322" s="29" t="str">
        <f t="shared" si="325"/>
        <v>#DIV/0!</v>
      </c>
      <c r="AT322" s="29" t="str">
        <f t="shared" si="325"/>
        <v>#DIV/0!</v>
      </c>
      <c r="AU322" s="29" t="str">
        <f t="shared" si="325"/>
        <v>#DIV/0!</v>
      </c>
      <c r="AV322" s="29" t="str">
        <f t="shared" si="325"/>
        <v>#DIV/0!</v>
      </c>
      <c r="AW322" s="29" t="str">
        <f t="shared" si="325"/>
        <v>#DIV/0!</v>
      </c>
      <c r="AX322" s="29" t="str">
        <f t="shared" si="325"/>
        <v>#DIV/0!</v>
      </c>
      <c r="AY322" s="29" t="str">
        <f t="shared" si="325"/>
        <v>#DIV/0!</v>
      </c>
      <c r="AZ322" s="29" t="str">
        <f t="shared" si="325"/>
        <v>#DIV/0!</v>
      </c>
      <c r="BA322" s="29" t="str">
        <f t="shared" si="325"/>
        <v>#DIV/0!</v>
      </c>
      <c r="BB322" s="29" t="str">
        <f t="shared" si="325"/>
        <v>#DIV/0!</v>
      </c>
      <c r="BC322" s="29" t="str">
        <f t="shared" si="325"/>
        <v>#DIV/0!</v>
      </c>
      <c r="BD322" s="29" t="str">
        <f t="shared" si="325"/>
        <v>#DIV/0!</v>
      </c>
      <c r="BE322" s="29" t="str">
        <f t="shared" si="325"/>
        <v>#DIV/0!</v>
      </c>
      <c r="BF322" s="29" t="str">
        <f t="shared" si="325"/>
        <v>#DIV/0!</v>
      </c>
      <c r="BG322" s="29" t="str">
        <f t="shared" si="325"/>
        <v>#DIV/0!</v>
      </c>
      <c r="BH322" s="29" t="str">
        <f t="shared" si="325"/>
        <v>#DIV/0!</v>
      </c>
      <c r="BI322" s="29" t="str">
        <f t="shared" si="325"/>
        <v>#DIV/0!</v>
      </c>
      <c r="BJ322" s="29" t="str">
        <f t="shared" si="325"/>
        <v>#DIV/0!</v>
      </c>
      <c r="BK322" s="29" t="str">
        <f t="shared" si="325"/>
        <v>#DIV/0!</v>
      </c>
      <c r="BL322" s="29" t="str">
        <f t="shared" si="325"/>
        <v>#DIV/0!</v>
      </c>
      <c r="BM322" s="29" t="str">
        <f t="shared" si="3"/>
        <v>#DIV/0!</v>
      </c>
    </row>
    <row r="323">
      <c r="A323" s="16" t="str">
        <f>IFERROR(__xludf.DUMMYFUNCTION("IFERROR(SPARKLINE(SORT(MAP(TRANSPOSE(AQ323:BL323), LAMBDA(val, IF(ISNUMBER(val), PERCENTRANK(AQ323:BL323, val)+0.01, 0))), SEQUENCE(COLUMNS(AQ323:BL323)), FALSE), {""charttype"",""column""; ""color"",""chartreuse""; ""ymin"", 0; ""ymax"", 1.01; ""highcolo"&amp;"r"", ""darkgreen""; ""lowcolor"", ""red""}), """")"),"")</f>
        <v/>
      </c>
      <c r="B323" s="17" t="str">
        <f t="shared" si="4"/>
        <v/>
      </c>
      <c r="C323" s="1" t="s">
        <v>1521</v>
      </c>
      <c r="D323" s="34" t="str">
        <f>IFERROR(__xludf.DUMMYFUNCTION("IFERROR(GOOGLEFINANCE(C323, ""NAME""))"),"LPL Financial Holdings Inc")</f>
        <v>LPL Financial Holdings Inc</v>
      </c>
      <c r="E323" s="30" t="s">
        <v>77</v>
      </c>
      <c r="F323" s="33" t="str">
        <f>IFERROR(__xludf.DUMMYFUNCTION("( (GOOGLEFINANCE(C323, ""price"") - Q323) / Q323 ) / (R323 / 100)"),"Loading...")</f>
        <v>Loading...</v>
      </c>
      <c r="G323" s="20" t="str">
        <f>IFERROR(__xludf.DUMMYFUNCTION("AVERAGE(ARRAYFORMULA(100 * (QUERY(GOOGLEFINANCE(C323, ""high"", TODAY()-40, TODAY()), ""SELECT Col2 WHERE Col2 IS NOT NULL ORDER BY Col1 DESC LIMIT 20"", 0) / QUERY(GOOGLEFINANCE(C323, ""low"", TODAY()-40, TODAY()), ""SELECT Col2 WHERE Col2 IS NOT NULL OR"&amp;"DER BY Col1 DESC LIMIT 20"", 0) - 1)))"),"#N/A")</f>
        <v>#N/A</v>
      </c>
      <c r="H323" s="35" t="str">
        <f t="shared" si="6"/>
        <v/>
      </c>
      <c r="I323" s="36" t="str">
        <f t="shared" si="7"/>
        <v/>
      </c>
      <c r="J323" s="37" t="str">
        <f>IFERROR(__xludf.DUMMYFUNCTION("IFERROR(
  IF(C323="""",, 
    IFERROR(
      GOOGLEFINANCE(C323, ""price"") * GOOGLEFINANCE(C323, ""volumeavg""), 
      GOOGLEFINANCE(C323, ""price"") * AVERAGE(QUERY(GOOGLEFINANCE(C323, ""volume"", TODAY()-40, TODAY()), ""SELECT Col2 WHERE Col2 IS NOT "&amp;"NULL ORDER BY Col1 DESC LIMIT 20"", 0))
    )
  ), 
"""")"),"")</f>
        <v/>
      </c>
      <c r="K323" s="21" t="str">
        <f>IFERROR(__xludf.DUMMYFUNCTION("IFERROR(GOOGLEFINANCE(C323, ""changepct"") / 100, """")"),"")</f>
        <v/>
      </c>
      <c r="L323" s="21" t="str">
        <f>IFERROR(__xludf.DUMMYFUNCTION("IFERROR((GOOGLEFINANCE(C323, ""price"") / INDEX(GOOGLEFINANCE(C323, ""price"", TODAY()-7, TODAY()), 2, 2)) - 1, """")"),"")</f>
        <v/>
      </c>
      <c r="M323" s="21" t="str">
        <f>IFERROR(__xludf.DUMMYFUNCTION("IFERROR((GOOGLEFINANCE(C323, ""price"") / INDEX(GOOGLEFINANCE(C323, ""price"", EDATE(TODAY(), -1), TODAY()), 2, 2)) - 1, """")"),"")</f>
        <v/>
      </c>
      <c r="N323" s="21" t="str">
        <f>IFERROR(__xludf.DUMMYFUNCTION("IFERROR((GOOGLEFINANCE(C323, ""price"") / INDEX(GOOGLEFINANCE(C323, ""price"", EDATE(TODAY(), -3), TODAY()), 2, 2)) - 1, """")"),"")</f>
        <v/>
      </c>
      <c r="O323" s="21" t="str">
        <f>IFERROR(__xludf.DUMMYFUNCTION("IFERROR((GOOGLEFINANCE(C323, ""price"") / INDEX(GOOGLEFINANCE(C323, ""price"", EDATE(TODAY(), -6), TODAY()), 2, 2)) - 1, """")"),"")</f>
        <v/>
      </c>
      <c r="P323" s="21" t="str">
        <f>IFERROR(__xludf.DUMMYFUNCTION("IFERROR((GOOGLEFINANCE(C323, ""price"") / INDEX(GOOGLEFINANCE(C323, ""price"", EDATE(TODAY(), -12), TODAY()), 2, 2)) - 1, """")"),"")</f>
        <v/>
      </c>
      <c r="Q323" s="6" t="str">
        <f>IFERROR(__xludf.DUMMYFUNCTION("AVERAGE(QUERY(GOOGLEFINANCE(C323, ""price"", TODAY()-80, TODAY()), ""SELECT Col2 WHERE Col2 IS NOT NULL ORDER BY Col1 DESC LIMIT 50"", 0))"),"#N/A")</f>
        <v>#N/A</v>
      </c>
      <c r="R323" s="24" t="str">
        <f>IFERROR(__xludf.DUMMYFUNCTION("IFERROR(
  LET(
    data, QUERY(GOOGLEFINANCE(C323,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GOOGLEFINANCE(C323, ""price"")) * 100,
    IF(calc=0, G323, calc)
  ), 
G323)"),"#N/A")</f>
        <v>#N/A</v>
      </c>
      <c r="S323" s="8" t="s">
        <v>15</v>
      </c>
      <c r="T323" s="26" t="str">
        <f>IFERROR(__xludf.DUMMYFUNCTION("IFERROR(TRANSPOSE(QUERY(IFERROR(SORT(GOOGLEFINANCE(C323, ""price"", WORKDAY(TODAY(), -40), TODAY()), 1, FALSE)), ""select Col2 where Col2 is not null limit 22 label Col2 ''"", 0)), """")"),"")</f>
        <v/>
      </c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8"/>
      <c r="AO323" s="28"/>
      <c r="AP323" s="29"/>
      <c r="AQ323" s="29" t="str">
        <f t="shared" ref="AQ323:BL323" si="326">T323/T$2</f>
        <v>#N/A</v>
      </c>
      <c r="AR323" s="29" t="str">
        <f t="shared" si="326"/>
        <v>#DIV/0!</v>
      </c>
      <c r="AS323" s="29" t="str">
        <f t="shared" si="326"/>
        <v>#DIV/0!</v>
      </c>
      <c r="AT323" s="29" t="str">
        <f t="shared" si="326"/>
        <v>#DIV/0!</v>
      </c>
      <c r="AU323" s="29" t="str">
        <f t="shared" si="326"/>
        <v>#DIV/0!</v>
      </c>
      <c r="AV323" s="29" t="str">
        <f t="shared" si="326"/>
        <v>#DIV/0!</v>
      </c>
      <c r="AW323" s="29" t="str">
        <f t="shared" si="326"/>
        <v>#DIV/0!</v>
      </c>
      <c r="AX323" s="29" t="str">
        <f t="shared" si="326"/>
        <v>#DIV/0!</v>
      </c>
      <c r="AY323" s="29" t="str">
        <f t="shared" si="326"/>
        <v>#DIV/0!</v>
      </c>
      <c r="AZ323" s="29" t="str">
        <f t="shared" si="326"/>
        <v>#DIV/0!</v>
      </c>
      <c r="BA323" s="29" t="str">
        <f t="shared" si="326"/>
        <v>#DIV/0!</v>
      </c>
      <c r="BB323" s="29" t="str">
        <f t="shared" si="326"/>
        <v>#DIV/0!</v>
      </c>
      <c r="BC323" s="29" t="str">
        <f t="shared" si="326"/>
        <v>#DIV/0!</v>
      </c>
      <c r="BD323" s="29" t="str">
        <f t="shared" si="326"/>
        <v>#DIV/0!</v>
      </c>
      <c r="BE323" s="29" t="str">
        <f t="shared" si="326"/>
        <v>#DIV/0!</v>
      </c>
      <c r="BF323" s="29" t="str">
        <f t="shared" si="326"/>
        <v>#DIV/0!</v>
      </c>
      <c r="BG323" s="29" t="str">
        <f t="shared" si="326"/>
        <v>#DIV/0!</v>
      </c>
      <c r="BH323" s="29" t="str">
        <f t="shared" si="326"/>
        <v>#DIV/0!</v>
      </c>
      <c r="BI323" s="29" t="str">
        <f t="shared" si="326"/>
        <v>#DIV/0!</v>
      </c>
      <c r="BJ323" s="29" t="str">
        <f t="shared" si="326"/>
        <v>#DIV/0!</v>
      </c>
      <c r="BK323" s="29" t="str">
        <f t="shared" si="326"/>
        <v>#DIV/0!</v>
      </c>
      <c r="BL323" s="29" t="str">
        <f t="shared" si="326"/>
        <v>#DIV/0!</v>
      </c>
      <c r="BM323" s="29" t="str">
        <f t="shared" si="3"/>
        <v>#DIV/0!</v>
      </c>
    </row>
    <row r="324">
      <c r="A324" s="16" t="str">
        <f>IFERROR(__xludf.DUMMYFUNCTION("IFERROR(SPARKLINE(SORT(MAP(TRANSPOSE(AQ324:BL324), LAMBDA(val, IF(ISNUMBER(val), PERCENTRANK(AQ324:BL324, val)+0.01, 0))), SEQUENCE(COLUMNS(AQ324:BL324)), FALSE), {""charttype"",""column""; ""color"",""chartreuse""; ""ymin"", 0; ""ymax"", 1.01; ""highcolo"&amp;"r"", ""darkgreen""; ""lowcolor"", ""red""}), """")"),"")</f>
        <v/>
      </c>
      <c r="B324" s="17" t="str">
        <f t="shared" si="4"/>
        <v/>
      </c>
      <c r="C324" s="1" t="s">
        <v>1525</v>
      </c>
      <c r="D324" s="34" t="str">
        <f>IFERROR(__xludf.DUMMYFUNCTION("IFERROR(GOOGLEFINANCE(C324, ""NAME""))"),"Capital One Financial Corp")</f>
        <v>Capital One Financial Corp</v>
      </c>
      <c r="E324" s="30" t="s">
        <v>145</v>
      </c>
      <c r="F324" s="33" t="str">
        <f>IFERROR(__xludf.DUMMYFUNCTION("( (GOOGLEFINANCE(C324, ""price"") - Q324) / Q324 ) / (R324 / 100)"),"Loading...")</f>
        <v>Loading...</v>
      </c>
      <c r="G324" s="20" t="str">
        <f>IFERROR(__xludf.DUMMYFUNCTION("AVERAGE(ARRAYFORMULA(100 * (QUERY(GOOGLEFINANCE(C324, ""high"", TODAY()-40, TODAY()), ""SELECT Col2 WHERE Col2 IS NOT NULL ORDER BY Col1 DESC LIMIT 20"", 0) / QUERY(GOOGLEFINANCE(C324, ""low"", TODAY()-40, TODAY()), ""SELECT Col2 WHERE Col2 IS NOT NULL OR"&amp;"DER BY Col1 DESC LIMIT 20"", 0) - 1)))"),"#N/A")</f>
        <v>#N/A</v>
      </c>
      <c r="H324" s="35" t="str">
        <f t="shared" si="6"/>
        <v/>
      </c>
      <c r="I324" s="36" t="str">
        <f t="shared" si="7"/>
        <v/>
      </c>
      <c r="J324" s="37" t="str">
        <f>IFERROR(__xludf.DUMMYFUNCTION("IFERROR(
  IF(C324="""",, 
    IFERROR(
      GOOGLEFINANCE(C324, ""price"") * GOOGLEFINANCE(C324, ""volumeavg""), 
      GOOGLEFINANCE(C324, ""price"") * AVERAGE(QUERY(GOOGLEFINANCE(C324, ""volume"", TODAY()-40, TODAY()), ""SELECT Col2 WHERE Col2 IS NOT "&amp;"NULL ORDER BY Col1 DESC LIMIT 20"", 0))
    )
  ), 
"""")"),"")</f>
        <v/>
      </c>
      <c r="K324" s="21" t="str">
        <f>IFERROR(__xludf.DUMMYFUNCTION("IFERROR(GOOGLEFINANCE(C324, ""changepct"") / 100, """")"),"")</f>
        <v/>
      </c>
      <c r="L324" s="21" t="str">
        <f>IFERROR(__xludf.DUMMYFUNCTION("IFERROR((GOOGLEFINANCE(C324, ""price"") / INDEX(GOOGLEFINANCE(C324, ""price"", TODAY()-7, TODAY()), 2, 2)) - 1, """")"),"")</f>
        <v/>
      </c>
      <c r="M324" s="21" t="str">
        <f>IFERROR(__xludf.DUMMYFUNCTION("IFERROR((GOOGLEFINANCE(C324, ""price"") / INDEX(GOOGLEFINANCE(C324, ""price"", EDATE(TODAY(), -1), TODAY()), 2, 2)) - 1, """")"),"")</f>
        <v/>
      </c>
      <c r="N324" s="21" t="str">
        <f>IFERROR(__xludf.DUMMYFUNCTION("IFERROR((GOOGLEFINANCE(C324, ""price"") / INDEX(GOOGLEFINANCE(C324, ""price"", EDATE(TODAY(), -3), TODAY()), 2, 2)) - 1, """")"),"")</f>
        <v/>
      </c>
      <c r="O324" s="21" t="str">
        <f>IFERROR(__xludf.DUMMYFUNCTION("IFERROR((GOOGLEFINANCE(C324, ""price"") / INDEX(GOOGLEFINANCE(C324, ""price"", EDATE(TODAY(), -6), TODAY()), 2, 2)) - 1, """")"),"")</f>
        <v/>
      </c>
      <c r="P324" s="21" t="str">
        <f>IFERROR(__xludf.DUMMYFUNCTION("IFERROR((GOOGLEFINANCE(C324, ""price"") / INDEX(GOOGLEFINANCE(C324, ""price"", EDATE(TODAY(), -12), TODAY()), 2, 2)) - 1, """")"),"")</f>
        <v/>
      </c>
      <c r="Q324" s="6" t="str">
        <f>IFERROR(__xludf.DUMMYFUNCTION("AVERAGE(QUERY(GOOGLEFINANCE(C324, ""price"", TODAY()-80, TODAY()), ""SELECT Col2 WHERE Col2 IS NOT NULL ORDER BY Col1 DESC LIMIT 50"", 0))"),"#N/A")</f>
        <v>#N/A</v>
      </c>
      <c r="R324" s="24" t="str">
        <f>IFERROR(__xludf.DUMMYFUNCTION("IFERROR(
  LET(
    data, QUERY(GOOGLEFINANCE(C324,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GOOGLEFINANCE(C324, ""price"")) * 100,
    IF(calc=0, G324, calc)
  ), 
G324)"),"#N/A")</f>
        <v>#N/A</v>
      </c>
      <c r="S324" s="8" t="s">
        <v>15</v>
      </c>
      <c r="T324" s="26" t="str">
        <f>IFERROR(__xludf.DUMMYFUNCTION("IFERROR(TRANSPOSE(QUERY(IFERROR(SORT(GOOGLEFINANCE(C324, ""price"", WORKDAY(TODAY(), -40), TODAY()), 1, FALSE)), ""select Col2 where Col2 is not null limit 22 label Col2 ''"", 0)), """")"),"")</f>
        <v/>
      </c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8"/>
      <c r="AO324" s="28"/>
      <c r="AP324" s="29"/>
      <c r="AQ324" s="29" t="str">
        <f t="shared" ref="AQ324:BL324" si="327">T324/T$2</f>
        <v>#N/A</v>
      </c>
      <c r="AR324" s="29" t="str">
        <f t="shared" si="327"/>
        <v>#DIV/0!</v>
      </c>
      <c r="AS324" s="29" t="str">
        <f t="shared" si="327"/>
        <v>#DIV/0!</v>
      </c>
      <c r="AT324" s="29" t="str">
        <f t="shared" si="327"/>
        <v>#DIV/0!</v>
      </c>
      <c r="AU324" s="29" t="str">
        <f t="shared" si="327"/>
        <v>#DIV/0!</v>
      </c>
      <c r="AV324" s="29" t="str">
        <f t="shared" si="327"/>
        <v>#DIV/0!</v>
      </c>
      <c r="AW324" s="29" t="str">
        <f t="shared" si="327"/>
        <v>#DIV/0!</v>
      </c>
      <c r="AX324" s="29" t="str">
        <f t="shared" si="327"/>
        <v>#DIV/0!</v>
      </c>
      <c r="AY324" s="29" t="str">
        <f t="shared" si="327"/>
        <v>#DIV/0!</v>
      </c>
      <c r="AZ324" s="29" t="str">
        <f t="shared" si="327"/>
        <v>#DIV/0!</v>
      </c>
      <c r="BA324" s="29" t="str">
        <f t="shared" si="327"/>
        <v>#DIV/0!</v>
      </c>
      <c r="BB324" s="29" t="str">
        <f t="shared" si="327"/>
        <v>#DIV/0!</v>
      </c>
      <c r="BC324" s="29" t="str">
        <f t="shared" si="327"/>
        <v>#DIV/0!</v>
      </c>
      <c r="BD324" s="29" t="str">
        <f t="shared" si="327"/>
        <v>#DIV/0!</v>
      </c>
      <c r="BE324" s="29" t="str">
        <f t="shared" si="327"/>
        <v>#DIV/0!</v>
      </c>
      <c r="BF324" s="29" t="str">
        <f t="shared" si="327"/>
        <v>#DIV/0!</v>
      </c>
      <c r="BG324" s="29" t="str">
        <f t="shared" si="327"/>
        <v>#DIV/0!</v>
      </c>
      <c r="BH324" s="29" t="str">
        <f t="shared" si="327"/>
        <v>#DIV/0!</v>
      </c>
      <c r="BI324" s="29" t="str">
        <f t="shared" si="327"/>
        <v>#DIV/0!</v>
      </c>
      <c r="BJ324" s="29" t="str">
        <f t="shared" si="327"/>
        <v>#DIV/0!</v>
      </c>
      <c r="BK324" s="29" t="str">
        <f t="shared" si="327"/>
        <v>#DIV/0!</v>
      </c>
      <c r="BL324" s="29" t="str">
        <f t="shared" si="327"/>
        <v>#DIV/0!</v>
      </c>
      <c r="BM324" s="29" t="str">
        <f t="shared" si="3"/>
        <v>#DIV/0!</v>
      </c>
    </row>
    <row r="325">
      <c r="A325" s="16" t="str">
        <f>IFERROR(__xludf.DUMMYFUNCTION("IFERROR(SPARKLINE(SORT(MAP(TRANSPOSE(AQ325:BL325), LAMBDA(val, IF(ISNUMBER(val), PERCENTRANK(AQ325:BL325, val)+0.01, 0))), SEQUENCE(COLUMNS(AQ325:BL325)), FALSE), {""charttype"",""column""; ""color"",""chartreuse""; ""ymin"", 0; ""ymax"", 1.01; ""highcolo"&amp;"r"", ""darkgreen""; ""lowcolor"", ""red""}), """")"),"")</f>
        <v/>
      </c>
      <c r="B325" s="17" t="str">
        <f t="shared" si="4"/>
        <v/>
      </c>
      <c r="C325" s="1" t="s">
        <v>1529</v>
      </c>
      <c r="D325" s="34" t="str">
        <f>IFERROR(__xludf.DUMMYFUNCTION("IFERROR(GOOGLEFINANCE(C325, ""NAME""))"),"Synchrony Financial")</f>
        <v>Synchrony Financial</v>
      </c>
      <c r="E325" s="30" t="s">
        <v>145</v>
      </c>
      <c r="F325" s="38" t="str">
        <f>IFERROR(__xludf.DUMMYFUNCTION("( (GOOGLEFINANCE(C325, ""price"") - Q325) / Q325 ) / (R325 / 100)"),"Loading...")</f>
        <v>Loading...</v>
      </c>
      <c r="G325" s="20" t="str">
        <f>IFERROR(__xludf.DUMMYFUNCTION("AVERAGE(ARRAYFORMULA(100 * (QUERY(GOOGLEFINANCE(C325, ""high"", TODAY()-40, TODAY()), ""SELECT Col2 WHERE Col2 IS NOT NULL ORDER BY Col1 DESC LIMIT 20"", 0) / QUERY(GOOGLEFINANCE(C325, ""low"", TODAY()-40, TODAY()), ""SELECT Col2 WHERE Col2 IS NOT NULL OR"&amp;"DER BY Col1 DESC LIMIT 20"", 0) - 1)))"),"#N/A")</f>
        <v>#N/A</v>
      </c>
      <c r="H325" s="35" t="str">
        <f t="shared" si="6"/>
        <v/>
      </c>
      <c r="I325" s="36" t="str">
        <f t="shared" si="7"/>
        <v/>
      </c>
      <c r="J325" s="37" t="str">
        <f>IFERROR(__xludf.DUMMYFUNCTION("IFERROR(
  IF(C325="""",, 
    IFERROR(
      GOOGLEFINANCE(C325, ""price"") * GOOGLEFINANCE(C325, ""volumeavg""), 
      GOOGLEFINANCE(C325, ""price"") * AVERAGE(QUERY(GOOGLEFINANCE(C325, ""volume"", TODAY()-40, TODAY()), ""SELECT Col2 WHERE Col2 IS NOT "&amp;"NULL ORDER BY Col1 DESC LIMIT 20"", 0))
    )
  ), 
"""")"),"")</f>
        <v/>
      </c>
      <c r="K325" s="21" t="str">
        <f>IFERROR(__xludf.DUMMYFUNCTION("IFERROR(GOOGLEFINANCE(C325, ""changepct"") / 100, """")"),"")</f>
        <v/>
      </c>
      <c r="L325" s="21" t="str">
        <f>IFERROR(__xludf.DUMMYFUNCTION("IFERROR((GOOGLEFINANCE(C325, ""price"") / INDEX(GOOGLEFINANCE(C325, ""price"", TODAY()-7, TODAY()), 2, 2)) - 1, """")"),"")</f>
        <v/>
      </c>
      <c r="M325" s="21" t="str">
        <f>IFERROR(__xludf.DUMMYFUNCTION("IFERROR((GOOGLEFINANCE(C325, ""price"") / INDEX(GOOGLEFINANCE(C325, ""price"", EDATE(TODAY(), -1), TODAY()), 2, 2)) - 1, """")"),"")</f>
        <v/>
      </c>
      <c r="N325" s="21" t="str">
        <f>IFERROR(__xludf.DUMMYFUNCTION("IFERROR((GOOGLEFINANCE(C325, ""price"") / INDEX(GOOGLEFINANCE(C325, ""price"", EDATE(TODAY(), -3), TODAY()), 2, 2)) - 1, """")"),"")</f>
        <v/>
      </c>
      <c r="O325" s="21" t="str">
        <f>IFERROR(__xludf.DUMMYFUNCTION("IFERROR((GOOGLEFINANCE(C325, ""price"") / INDEX(GOOGLEFINANCE(C325, ""price"", EDATE(TODAY(), -6), TODAY()), 2, 2)) - 1, """")"),"")</f>
        <v/>
      </c>
      <c r="P325" s="21" t="str">
        <f>IFERROR(__xludf.DUMMYFUNCTION("IFERROR((GOOGLEFINANCE(C325, ""price"") / INDEX(GOOGLEFINANCE(C325, ""price"", EDATE(TODAY(), -12), TODAY()), 2, 2)) - 1, """")"),"")</f>
        <v/>
      </c>
      <c r="Q325" s="6" t="str">
        <f>IFERROR(__xludf.DUMMYFUNCTION("AVERAGE(QUERY(GOOGLEFINANCE(C325, ""price"", TODAY()-80, TODAY()), ""SELECT Col2 WHERE Col2 IS NOT NULL ORDER BY Col1 DESC LIMIT 50"", 0))"),"#N/A")</f>
        <v>#N/A</v>
      </c>
      <c r="R325" s="24" t="str">
        <f>IFERROR(__xludf.DUMMYFUNCTION("IFERROR(
  LET(
    data, QUERY(GOOGLEFINANCE(C325,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GOOGLEFINANCE(C325, ""price"")) * 100,
    IF(calc=0, G325, calc)
  ), 
G325)"),"#N/A")</f>
        <v>#N/A</v>
      </c>
      <c r="S325" s="8" t="s">
        <v>15</v>
      </c>
      <c r="T325" s="26" t="str">
        <f>IFERROR(__xludf.DUMMYFUNCTION("IFERROR(TRANSPOSE(QUERY(IFERROR(SORT(GOOGLEFINANCE(C325, ""price"", WORKDAY(TODAY(), -40), TODAY()), 1, FALSE)), ""select Col2 where Col2 is not null limit 22 label Col2 ''"", 0)), """")"),"")</f>
        <v/>
      </c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8"/>
      <c r="AO325" s="28"/>
      <c r="AP325" s="29"/>
      <c r="AQ325" s="29" t="str">
        <f t="shared" ref="AQ325:BL325" si="328">T325/T$2</f>
        <v>#N/A</v>
      </c>
      <c r="AR325" s="29" t="str">
        <f t="shared" si="328"/>
        <v>#DIV/0!</v>
      </c>
      <c r="AS325" s="29" t="str">
        <f t="shared" si="328"/>
        <v>#DIV/0!</v>
      </c>
      <c r="AT325" s="29" t="str">
        <f t="shared" si="328"/>
        <v>#DIV/0!</v>
      </c>
      <c r="AU325" s="29" t="str">
        <f t="shared" si="328"/>
        <v>#DIV/0!</v>
      </c>
      <c r="AV325" s="29" t="str">
        <f t="shared" si="328"/>
        <v>#DIV/0!</v>
      </c>
      <c r="AW325" s="29" t="str">
        <f t="shared" si="328"/>
        <v>#DIV/0!</v>
      </c>
      <c r="AX325" s="29" t="str">
        <f t="shared" si="328"/>
        <v>#DIV/0!</v>
      </c>
      <c r="AY325" s="29" t="str">
        <f t="shared" si="328"/>
        <v>#DIV/0!</v>
      </c>
      <c r="AZ325" s="29" t="str">
        <f t="shared" si="328"/>
        <v>#DIV/0!</v>
      </c>
      <c r="BA325" s="29" t="str">
        <f t="shared" si="328"/>
        <v>#DIV/0!</v>
      </c>
      <c r="BB325" s="29" t="str">
        <f t="shared" si="328"/>
        <v>#DIV/0!</v>
      </c>
      <c r="BC325" s="29" t="str">
        <f t="shared" si="328"/>
        <v>#DIV/0!</v>
      </c>
      <c r="BD325" s="29" t="str">
        <f t="shared" si="328"/>
        <v>#DIV/0!</v>
      </c>
      <c r="BE325" s="29" t="str">
        <f t="shared" si="328"/>
        <v>#DIV/0!</v>
      </c>
      <c r="BF325" s="29" t="str">
        <f t="shared" si="328"/>
        <v>#DIV/0!</v>
      </c>
      <c r="BG325" s="29" t="str">
        <f t="shared" si="328"/>
        <v>#DIV/0!</v>
      </c>
      <c r="BH325" s="29" t="str">
        <f t="shared" si="328"/>
        <v>#DIV/0!</v>
      </c>
      <c r="BI325" s="29" t="str">
        <f t="shared" si="328"/>
        <v>#DIV/0!</v>
      </c>
      <c r="BJ325" s="29" t="str">
        <f t="shared" si="328"/>
        <v>#DIV/0!</v>
      </c>
      <c r="BK325" s="29" t="str">
        <f t="shared" si="328"/>
        <v>#DIV/0!</v>
      </c>
      <c r="BL325" s="29" t="str">
        <f t="shared" si="328"/>
        <v>#DIV/0!</v>
      </c>
      <c r="BM325" s="29" t="str">
        <f t="shared" si="3"/>
        <v>#DIV/0!</v>
      </c>
    </row>
    <row r="326">
      <c r="A326" s="16" t="str">
        <f>IFERROR(__xludf.DUMMYFUNCTION("IFERROR(SPARKLINE(SORT(MAP(TRANSPOSE(AQ326:BL326), LAMBDA(val, IF(ISNUMBER(val), PERCENTRANK(AQ326:BL326, val)+0.01, 0))), SEQUENCE(COLUMNS(AQ326:BL326)), FALSE), {""charttype"",""column""; ""color"",""chartreuse""; ""ymin"", 0; ""ymax"", 1.01; ""highcolo"&amp;"r"", ""darkgreen""; ""lowcolor"", ""red""}), """")"),"")</f>
        <v/>
      </c>
      <c r="B326" s="17" t="str">
        <f t="shared" si="4"/>
        <v/>
      </c>
      <c r="C326" s="1" t="s">
        <v>1534</v>
      </c>
      <c r="D326" s="34" t="str">
        <f>IFERROR(__xludf.DUMMYFUNCTION("IFERROR(GOOGLEFINANCE(C326, ""NAME""))"),"American Express Co")</f>
        <v>American Express Co</v>
      </c>
      <c r="E326" s="30" t="s">
        <v>145</v>
      </c>
      <c r="F326" s="33" t="str">
        <f>IFERROR(__xludf.DUMMYFUNCTION("( (GOOGLEFINANCE(C326, ""price"") - Q326) / Q326 ) / (R326 / 100)"),"Loading...")</f>
        <v>Loading...</v>
      </c>
      <c r="G326" s="20" t="str">
        <f>IFERROR(__xludf.DUMMYFUNCTION("AVERAGE(ARRAYFORMULA(100 * (QUERY(GOOGLEFINANCE(C326, ""high"", TODAY()-40, TODAY()), ""SELECT Col2 WHERE Col2 IS NOT NULL ORDER BY Col1 DESC LIMIT 20"", 0) / QUERY(GOOGLEFINANCE(C326, ""low"", TODAY()-40, TODAY()), ""SELECT Col2 WHERE Col2 IS NOT NULL OR"&amp;"DER BY Col1 DESC LIMIT 20"", 0) - 1)))"),"#N/A")</f>
        <v>#N/A</v>
      </c>
      <c r="H326" s="35" t="str">
        <f t="shared" si="6"/>
        <v/>
      </c>
      <c r="I326" s="36" t="str">
        <f t="shared" si="7"/>
        <v/>
      </c>
      <c r="J326" s="37" t="str">
        <f>IFERROR(__xludf.DUMMYFUNCTION("IFERROR(
  IF(C326="""",, 
    IFERROR(
      GOOGLEFINANCE(C326, ""price"") * GOOGLEFINANCE(C326, ""volumeavg""), 
      GOOGLEFINANCE(C326, ""price"") * AVERAGE(QUERY(GOOGLEFINANCE(C326, ""volume"", TODAY()-40, TODAY()), ""SELECT Col2 WHERE Col2 IS NOT "&amp;"NULL ORDER BY Col1 DESC LIMIT 20"", 0))
    )
  ), 
"""")"),"")</f>
        <v/>
      </c>
      <c r="K326" s="21" t="str">
        <f>IFERROR(__xludf.DUMMYFUNCTION("IFERROR(GOOGLEFINANCE(C326, ""changepct"") / 100, """")"),"")</f>
        <v/>
      </c>
      <c r="L326" s="21" t="str">
        <f>IFERROR(__xludf.DUMMYFUNCTION("IFERROR((GOOGLEFINANCE(C326, ""price"") / INDEX(GOOGLEFINANCE(C326, ""price"", TODAY()-7, TODAY()), 2, 2)) - 1, """")"),"")</f>
        <v/>
      </c>
      <c r="M326" s="21" t="str">
        <f>IFERROR(__xludf.DUMMYFUNCTION("IFERROR((GOOGLEFINANCE(C326, ""price"") / INDEX(GOOGLEFINANCE(C326, ""price"", EDATE(TODAY(), -1), TODAY()), 2, 2)) - 1, """")"),"")</f>
        <v/>
      </c>
      <c r="N326" s="21" t="str">
        <f>IFERROR(__xludf.DUMMYFUNCTION("IFERROR((GOOGLEFINANCE(C326, ""price"") / INDEX(GOOGLEFINANCE(C326, ""price"", EDATE(TODAY(), -3), TODAY()), 2, 2)) - 1, """")"),"")</f>
        <v/>
      </c>
      <c r="O326" s="21" t="str">
        <f>IFERROR(__xludf.DUMMYFUNCTION("IFERROR((GOOGLEFINANCE(C326, ""price"") / INDEX(GOOGLEFINANCE(C326, ""price"", EDATE(TODAY(), -6), TODAY()), 2, 2)) - 1, """")"),"")</f>
        <v/>
      </c>
      <c r="P326" s="21" t="str">
        <f>IFERROR(__xludf.DUMMYFUNCTION("IFERROR((GOOGLEFINANCE(C326, ""price"") / INDEX(GOOGLEFINANCE(C326, ""price"", EDATE(TODAY(), -12), TODAY()), 2, 2)) - 1, """")"),"")</f>
        <v/>
      </c>
      <c r="Q326" s="6" t="str">
        <f>IFERROR(__xludf.DUMMYFUNCTION("AVERAGE(QUERY(GOOGLEFINANCE(C326, ""price"", TODAY()-80, TODAY()), ""SELECT Col2 WHERE Col2 IS NOT NULL ORDER BY Col1 DESC LIMIT 50"", 0))"),"#N/A")</f>
        <v>#N/A</v>
      </c>
      <c r="R326" s="24" t="str">
        <f>IFERROR(__xludf.DUMMYFUNCTION("IFERROR(
  LET(
    data, QUERY(GOOGLEFINANCE(C326,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GOOGLEFINANCE(C326, ""price"")) * 100,
    IF(calc=0, G326, calc)
  ), 
G326)"),"#N/A")</f>
        <v>#N/A</v>
      </c>
      <c r="S326" s="8" t="s">
        <v>15</v>
      </c>
      <c r="T326" s="26" t="str">
        <f>IFERROR(__xludf.DUMMYFUNCTION("IFERROR(TRANSPOSE(QUERY(IFERROR(SORT(GOOGLEFINANCE(C326, ""price"", WORKDAY(TODAY(), -40), TODAY()), 1, FALSE)), ""select Col2 where Col2 is not null limit 22 label Col2 ''"", 0)), """")"),"")</f>
        <v/>
      </c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8"/>
      <c r="AO326" s="28"/>
      <c r="AP326" s="29"/>
      <c r="AQ326" s="29" t="str">
        <f t="shared" ref="AQ326:BL326" si="329">T326/T$2</f>
        <v>#N/A</v>
      </c>
      <c r="AR326" s="29" t="str">
        <f t="shared" si="329"/>
        <v>#DIV/0!</v>
      </c>
      <c r="AS326" s="29" t="str">
        <f t="shared" si="329"/>
        <v>#DIV/0!</v>
      </c>
      <c r="AT326" s="29" t="str">
        <f t="shared" si="329"/>
        <v>#DIV/0!</v>
      </c>
      <c r="AU326" s="29" t="str">
        <f t="shared" si="329"/>
        <v>#DIV/0!</v>
      </c>
      <c r="AV326" s="29" t="str">
        <f t="shared" si="329"/>
        <v>#DIV/0!</v>
      </c>
      <c r="AW326" s="29" t="str">
        <f t="shared" si="329"/>
        <v>#DIV/0!</v>
      </c>
      <c r="AX326" s="29" t="str">
        <f t="shared" si="329"/>
        <v>#DIV/0!</v>
      </c>
      <c r="AY326" s="29" t="str">
        <f t="shared" si="329"/>
        <v>#DIV/0!</v>
      </c>
      <c r="AZ326" s="29" t="str">
        <f t="shared" si="329"/>
        <v>#DIV/0!</v>
      </c>
      <c r="BA326" s="29" t="str">
        <f t="shared" si="329"/>
        <v>#DIV/0!</v>
      </c>
      <c r="BB326" s="29" t="str">
        <f t="shared" si="329"/>
        <v>#DIV/0!</v>
      </c>
      <c r="BC326" s="29" t="str">
        <f t="shared" si="329"/>
        <v>#DIV/0!</v>
      </c>
      <c r="BD326" s="29" t="str">
        <f t="shared" si="329"/>
        <v>#DIV/0!</v>
      </c>
      <c r="BE326" s="29" t="str">
        <f t="shared" si="329"/>
        <v>#DIV/0!</v>
      </c>
      <c r="BF326" s="29" t="str">
        <f t="shared" si="329"/>
        <v>#DIV/0!</v>
      </c>
      <c r="BG326" s="29" t="str">
        <f t="shared" si="329"/>
        <v>#DIV/0!</v>
      </c>
      <c r="BH326" s="29" t="str">
        <f t="shared" si="329"/>
        <v>#DIV/0!</v>
      </c>
      <c r="BI326" s="29" t="str">
        <f t="shared" si="329"/>
        <v>#DIV/0!</v>
      </c>
      <c r="BJ326" s="29" t="str">
        <f t="shared" si="329"/>
        <v>#DIV/0!</v>
      </c>
      <c r="BK326" s="29" t="str">
        <f t="shared" si="329"/>
        <v>#DIV/0!</v>
      </c>
      <c r="BL326" s="29" t="str">
        <f t="shared" si="329"/>
        <v>#DIV/0!</v>
      </c>
      <c r="BM326" s="29" t="str">
        <f t="shared" si="3"/>
        <v>#DIV/0!</v>
      </c>
    </row>
    <row r="327">
      <c r="A327" s="16" t="str">
        <f>IFERROR(__xludf.DUMMYFUNCTION("IFERROR(SPARKLINE(SORT(MAP(TRANSPOSE(AQ327:BL327), LAMBDA(val, IF(ISNUMBER(val), PERCENTRANK(AQ327:BL327, val)+0.01, 0))), SEQUENCE(COLUMNS(AQ327:BL327)), FALSE), {""charttype"",""column""; ""color"",""chartreuse""; ""ymin"", 0; ""ymax"", 1.01; ""highcolo"&amp;"r"", ""darkgreen""; ""lowcolor"", ""red""}), """")"),"")</f>
        <v/>
      </c>
      <c r="B327" s="17" t="str">
        <f t="shared" si="4"/>
        <v/>
      </c>
      <c r="C327" s="1" t="s">
        <v>1539</v>
      </c>
      <c r="D327" s="34" t="str">
        <f>IFERROR(__xludf.DUMMYFUNCTION("IFERROR(GOOGLEFINANCE(C327, ""NAME""))"),"SLM Corp")</f>
        <v>SLM Corp</v>
      </c>
      <c r="E327" s="30" t="s">
        <v>145</v>
      </c>
      <c r="F327" s="33" t="str">
        <f>IFERROR(__xludf.DUMMYFUNCTION("( (GOOGLEFINANCE(C327, ""price"") - Q327) / Q327 ) / (R327 / 100)"),"Loading...")</f>
        <v>Loading...</v>
      </c>
      <c r="G327" s="20" t="str">
        <f>IFERROR(__xludf.DUMMYFUNCTION("AVERAGE(ARRAYFORMULA(100 * (QUERY(GOOGLEFINANCE(C327, ""high"", TODAY()-40, TODAY()), ""SELECT Col2 WHERE Col2 IS NOT NULL ORDER BY Col1 DESC LIMIT 20"", 0) / QUERY(GOOGLEFINANCE(C327, ""low"", TODAY()-40, TODAY()), ""SELECT Col2 WHERE Col2 IS NOT NULL OR"&amp;"DER BY Col1 DESC LIMIT 20"", 0) - 1)))"),"#N/A")</f>
        <v>#N/A</v>
      </c>
      <c r="H327" s="35" t="str">
        <f t="shared" si="6"/>
        <v/>
      </c>
      <c r="I327" s="36" t="str">
        <f t="shared" si="7"/>
        <v/>
      </c>
      <c r="J327" s="37" t="str">
        <f>IFERROR(__xludf.DUMMYFUNCTION("IFERROR(
  IF(C327="""",, 
    IFERROR(
      GOOGLEFINANCE(C327, ""price"") * GOOGLEFINANCE(C327, ""volumeavg""), 
      GOOGLEFINANCE(C327, ""price"") * AVERAGE(QUERY(GOOGLEFINANCE(C327, ""volume"", TODAY()-40, TODAY()), ""SELECT Col2 WHERE Col2 IS NOT "&amp;"NULL ORDER BY Col1 DESC LIMIT 20"", 0))
    )
  ), 
"""")"),"")</f>
        <v/>
      </c>
      <c r="K327" s="21" t="str">
        <f>IFERROR(__xludf.DUMMYFUNCTION("IFERROR(GOOGLEFINANCE(C327, ""changepct"") / 100, """")"),"")</f>
        <v/>
      </c>
      <c r="L327" s="21" t="str">
        <f>IFERROR(__xludf.DUMMYFUNCTION("IFERROR((GOOGLEFINANCE(C327, ""price"") / INDEX(GOOGLEFINANCE(C327, ""price"", TODAY()-7, TODAY()), 2, 2)) - 1, """")"),"")</f>
        <v/>
      </c>
      <c r="M327" s="21" t="str">
        <f>IFERROR(__xludf.DUMMYFUNCTION("IFERROR((GOOGLEFINANCE(C327, ""price"") / INDEX(GOOGLEFINANCE(C327, ""price"", EDATE(TODAY(), -1), TODAY()), 2, 2)) - 1, """")"),"")</f>
        <v/>
      </c>
      <c r="N327" s="21" t="str">
        <f>IFERROR(__xludf.DUMMYFUNCTION("IFERROR((GOOGLEFINANCE(C327, ""price"") / INDEX(GOOGLEFINANCE(C327, ""price"", EDATE(TODAY(), -3), TODAY()), 2, 2)) - 1, """")"),"")</f>
        <v/>
      </c>
      <c r="O327" s="21" t="str">
        <f>IFERROR(__xludf.DUMMYFUNCTION("IFERROR((GOOGLEFINANCE(C327, ""price"") / INDEX(GOOGLEFINANCE(C327, ""price"", EDATE(TODAY(), -6), TODAY()), 2, 2)) - 1, """")"),"")</f>
        <v/>
      </c>
      <c r="P327" s="21" t="str">
        <f>IFERROR(__xludf.DUMMYFUNCTION("IFERROR((GOOGLEFINANCE(C327, ""price"") / INDEX(GOOGLEFINANCE(C327, ""price"", EDATE(TODAY(), -12), TODAY()), 2, 2)) - 1, """")"),"")</f>
        <v/>
      </c>
      <c r="Q327" s="6" t="str">
        <f>IFERROR(__xludf.DUMMYFUNCTION("AVERAGE(QUERY(GOOGLEFINANCE(C327, ""price"", TODAY()-80, TODAY()), ""SELECT Col2 WHERE Col2 IS NOT NULL ORDER BY Col1 DESC LIMIT 50"", 0))"),"#N/A")</f>
        <v>#N/A</v>
      </c>
      <c r="R327" s="24" t="str">
        <f>IFERROR(__xludf.DUMMYFUNCTION("IFERROR(
  LET(
    data, QUERY(GOOGLEFINANCE(C327,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GOOGLEFINANCE(C327, ""price"")) * 100,
    IF(calc=0, G327, calc)
  ), 
G327)"),"#N/A")</f>
        <v>#N/A</v>
      </c>
      <c r="S327" s="8" t="s">
        <v>15</v>
      </c>
      <c r="T327" s="26" t="str">
        <f>IFERROR(__xludf.DUMMYFUNCTION("IFERROR(TRANSPOSE(QUERY(IFERROR(SORT(GOOGLEFINANCE(C327, ""price"", WORKDAY(TODAY(), -40), TODAY()), 1, FALSE)), ""select Col2 where Col2 is not null limit 22 label Col2 ''"", 0)), """")"),"")</f>
        <v/>
      </c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8"/>
      <c r="AO327" s="28"/>
      <c r="AP327" s="29"/>
      <c r="AQ327" s="29" t="str">
        <f t="shared" ref="AQ327:BL327" si="330">T327/T$2</f>
        <v>#N/A</v>
      </c>
      <c r="AR327" s="29" t="str">
        <f t="shared" si="330"/>
        <v>#DIV/0!</v>
      </c>
      <c r="AS327" s="29" t="str">
        <f t="shared" si="330"/>
        <v>#DIV/0!</v>
      </c>
      <c r="AT327" s="29" t="str">
        <f t="shared" si="330"/>
        <v>#DIV/0!</v>
      </c>
      <c r="AU327" s="29" t="str">
        <f t="shared" si="330"/>
        <v>#DIV/0!</v>
      </c>
      <c r="AV327" s="29" t="str">
        <f t="shared" si="330"/>
        <v>#DIV/0!</v>
      </c>
      <c r="AW327" s="29" t="str">
        <f t="shared" si="330"/>
        <v>#DIV/0!</v>
      </c>
      <c r="AX327" s="29" t="str">
        <f t="shared" si="330"/>
        <v>#DIV/0!</v>
      </c>
      <c r="AY327" s="29" t="str">
        <f t="shared" si="330"/>
        <v>#DIV/0!</v>
      </c>
      <c r="AZ327" s="29" t="str">
        <f t="shared" si="330"/>
        <v>#DIV/0!</v>
      </c>
      <c r="BA327" s="29" t="str">
        <f t="shared" si="330"/>
        <v>#DIV/0!</v>
      </c>
      <c r="BB327" s="29" t="str">
        <f t="shared" si="330"/>
        <v>#DIV/0!</v>
      </c>
      <c r="BC327" s="29" t="str">
        <f t="shared" si="330"/>
        <v>#DIV/0!</v>
      </c>
      <c r="BD327" s="29" t="str">
        <f t="shared" si="330"/>
        <v>#DIV/0!</v>
      </c>
      <c r="BE327" s="29" t="str">
        <f t="shared" si="330"/>
        <v>#DIV/0!</v>
      </c>
      <c r="BF327" s="29" t="str">
        <f t="shared" si="330"/>
        <v>#DIV/0!</v>
      </c>
      <c r="BG327" s="29" t="str">
        <f t="shared" si="330"/>
        <v>#DIV/0!</v>
      </c>
      <c r="BH327" s="29" t="str">
        <f t="shared" si="330"/>
        <v>#DIV/0!</v>
      </c>
      <c r="BI327" s="29" t="str">
        <f t="shared" si="330"/>
        <v>#DIV/0!</v>
      </c>
      <c r="BJ327" s="29" t="str">
        <f t="shared" si="330"/>
        <v>#DIV/0!</v>
      </c>
      <c r="BK327" s="29" t="str">
        <f t="shared" si="330"/>
        <v>#DIV/0!</v>
      </c>
      <c r="BL327" s="29" t="str">
        <f t="shared" si="330"/>
        <v>#DIV/0!</v>
      </c>
      <c r="BM327" s="29" t="str">
        <f t="shared" si="3"/>
        <v>#DIV/0!</v>
      </c>
    </row>
    <row r="328">
      <c r="A328" s="16" t="str">
        <f>IFERROR(__xludf.DUMMYFUNCTION("IFERROR(SPARKLINE(SORT(MAP(TRANSPOSE(AQ328:BL328), LAMBDA(val, IF(ISNUMBER(val), PERCENTRANK(AQ328:BL328, val)+0.01, 0))), SEQUENCE(COLUMNS(AQ328:BL328)), FALSE), {""charttype"",""column""; ""color"",""chartreuse""; ""ymin"", 0; ""ymax"", 1.01; ""highcolo"&amp;"r"", ""darkgreen""; ""lowcolor"", ""red""}), """")"),"")</f>
        <v/>
      </c>
      <c r="B328" s="17" t="str">
        <f t="shared" si="4"/>
        <v/>
      </c>
      <c r="C328" s="1" t="s">
        <v>1544</v>
      </c>
      <c r="D328" s="34" t="str">
        <f>IFERROR(__xludf.DUMMYFUNCTION("IFERROR(GOOGLEFINANCE(C328, ""NAME""))"),"Lendingtree Inc")</f>
        <v>Lendingtree Inc</v>
      </c>
      <c r="E328" s="30" t="s">
        <v>97</v>
      </c>
      <c r="F328" s="33" t="str">
        <f>IFERROR(__xludf.DUMMYFUNCTION("( (GOOGLEFINANCE(C328, ""price"") - Q328) / Q328 ) / (R328 / 100)"),"Loading...")</f>
        <v>Loading...</v>
      </c>
      <c r="G328" s="20" t="str">
        <f>IFERROR(__xludf.DUMMYFUNCTION("AVERAGE(ARRAYFORMULA(100 * (QUERY(GOOGLEFINANCE(C328, ""high"", TODAY()-40, TODAY()), ""SELECT Col2 WHERE Col2 IS NOT NULL ORDER BY Col1 DESC LIMIT 20"", 0) / QUERY(GOOGLEFINANCE(C328, ""low"", TODAY()-40, TODAY()), ""SELECT Col2 WHERE Col2 IS NOT NULL OR"&amp;"DER BY Col1 DESC LIMIT 20"", 0) - 1)))"),"#N/A")</f>
        <v>#N/A</v>
      </c>
      <c r="H328" s="35" t="str">
        <f t="shared" si="6"/>
        <v/>
      </c>
      <c r="I328" s="36" t="str">
        <f t="shared" si="7"/>
        <v/>
      </c>
      <c r="J328" s="37" t="str">
        <f>IFERROR(__xludf.DUMMYFUNCTION("IFERROR(
  IF(C328="""",, 
    IFERROR(
      GOOGLEFINANCE(C328, ""price"") * GOOGLEFINANCE(C328, ""volumeavg""), 
      GOOGLEFINANCE(C328, ""price"") * AVERAGE(QUERY(GOOGLEFINANCE(C328, ""volume"", TODAY()-40, TODAY()), ""SELECT Col2 WHERE Col2 IS NOT "&amp;"NULL ORDER BY Col1 DESC LIMIT 20"", 0))
    )
  ), 
"""")"),"")</f>
        <v/>
      </c>
      <c r="K328" s="21" t="str">
        <f>IFERROR(__xludf.DUMMYFUNCTION("IFERROR(GOOGLEFINANCE(C328, ""changepct"") / 100, """")"),"")</f>
        <v/>
      </c>
      <c r="L328" s="21" t="str">
        <f>IFERROR(__xludf.DUMMYFUNCTION("IFERROR((GOOGLEFINANCE(C328, ""price"") / INDEX(GOOGLEFINANCE(C328, ""price"", TODAY()-7, TODAY()), 2, 2)) - 1, """")"),"")</f>
        <v/>
      </c>
      <c r="M328" s="21" t="str">
        <f>IFERROR(__xludf.DUMMYFUNCTION("IFERROR((GOOGLEFINANCE(C328, ""price"") / INDEX(GOOGLEFINANCE(C328, ""price"", EDATE(TODAY(), -1), TODAY()), 2, 2)) - 1, """")"),"")</f>
        <v/>
      </c>
      <c r="N328" s="21" t="str">
        <f>IFERROR(__xludf.DUMMYFUNCTION("IFERROR((GOOGLEFINANCE(C328, ""price"") / INDEX(GOOGLEFINANCE(C328, ""price"", EDATE(TODAY(), -3), TODAY()), 2, 2)) - 1, """")"),"")</f>
        <v/>
      </c>
      <c r="O328" s="21" t="str">
        <f>IFERROR(__xludf.DUMMYFUNCTION("IFERROR((GOOGLEFINANCE(C328, ""price"") / INDEX(GOOGLEFINANCE(C328, ""price"", EDATE(TODAY(), -6), TODAY()), 2, 2)) - 1, """")"),"")</f>
        <v/>
      </c>
      <c r="P328" s="21" t="str">
        <f>IFERROR(__xludf.DUMMYFUNCTION("IFERROR((GOOGLEFINANCE(C328, ""price"") / INDEX(GOOGLEFINANCE(C328, ""price"", EDATE(TODAY(), -12), TODAY()), 2, 2)) - 1, """")"),"")</f>
        <v/>
      </c>
      <c r="Q328" s="6" t="str">
        <f>IFERROR(__xludf.DUMMYFUNCTION("AVERAGE(QUERY(GOOGLEFINANCE(C328, ""price"", TODAY()-80, TODAY()), ""SELECT Col2 WHERE Col2 IS NOT NULL ORDER BY Col1 DESC LIMIT 50"", 0))"),"#N/A")</f>
        <v>#N/A</v>
      </c>
      <c r="R328" s="24" t="str">
        <f>IFERROR(__xludf.DUMMYFUNCTION("IFERROR(
  LET(
    data, QUERY(GOOGLEFINANCE(C328,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GOOGLEFINANCE(C328, ""price"")) * 100,
    IF(calc=0, G328, calc)
  ), 
G328)"),"#N/A")</f>
        <v>#N/A</v>
      </c>
      <c r="S328" s="8" t="s">
        <v>15</v>
      </c>
      <c r="T328" s="26" t="str">
        <f>IFERROR(__xludf.DUMMYFUNCTION("IFERROR(TRANSPOSE(QUERY(IFERROR(SORT(GOOGLEFINANCE(C328, ""price"", WORKDAY(TODAY(), -40), TODAY()), 1, FALSE)), ""select Col2 where Col2 is not null limit 22 label Col2 ''"", 0)), """")"),"")</f>
        <v/>
      </c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8"/>
      <c r="AO328" s="28"/>
      <c r="AP328" s="29"/>
      <c r="AQ328" s="29" t="str">
        <f t="shared" ref="AQ328:BL328" si="331">T328/T$2</f>
        <v>#N/A</v>
      </c>
      <c r="AR328" s="29" t="str">
        <f t="shared" si="331"/>
        <v>#DIV/0!</v>
      </c>
      <c r="AS328" s="29" t="str">
        <f t="shared" si="331"/>
        <v>#DIV/0!</v>
      </c>
      <c r="AT328" s="29" t="str">
        <f t="shared" si="331"/>
        <v>#DIV/0!</v>
      </c>
      <c r="AU328" s="29" t="str">
        <f t="shared" si="331"/>
        <v>#DIV/0!</v>
      </c>
      <c r="AV328" s="29" t="str">
        <f t="shared" si="331"/>
        <v>#DIV/0!</v>
      </c>
      <c r="AW328" s="29" t="str">
        <f t="shared" si="331"/>
        <v>#DIV/0!</v>
      </c>
      <c r="AX328" s="29" t="str">
        <f t="shared" si="331"/>
        <v>#DIV/0!</v>
      </c>
      <c r="AY328" s="29" t="str">
        <f t="shared" si="331"/>
        <v>#DIV/0!</v>
      </c>
      <c r="AZ328" s="29" t="str">
        <f t="shared" si="331"/>
        <v>#DIV/0!</v>
      </c>
      <c r="BA328" s="29" t="str">
        <f t="shared" si="331"/>
        <v>#DIV/0!</v>
      </c>
      <c r="BB328" s="29" t="str">
        <f t="shared" si="331"/>
        <v>#DIV/0!</v>
      </c>
      <c r="BC328" s="29" t="str">
        <f t="shared" si="331"/>
        <v>#DIV/0!</v>
      </c>
      <c r="BD328" s="29" t="str">
        <f t="shared" si="331"/>
        <v>#DIV/0!</v>
      </c>
      <c r="BE328" s="29" t="str">
        <f t="shared" si="331"/>
        <v>#DIV/0!</v>
      </c>
      <c r="BF328" s="29" t="str">
        <f t="shared" si="331"/>
        <v>#DIV/0!</v>
      </c>
      <c r="BG328" s="29" t="str">
        <f t="shared" si="331"/>
        <v>#DIV/0!</v>
      </c>
      <c r="BH328" s="29" t="str">
        <f t="shared" si="331"/>
        <v>#DIV/0!</v>
      </c>
      <c r="BI328" s="29" t="str">
        <f t="shared" si="331"/>
        <v>#DIV/0!</v>
      </c>
      <c r="BJ328" s="29" t="str">
        <f t="shared" si="331"/>
        <v>#DIV/0!</v>
      </c>
      <c r="BK328" s="29" t="str">
        <f t="shared" si="331"/>
        <v>#DIV/0!</v>
      </c>
      <c r="BL328" s="29" t="str">
        <f t="shared" si="331"/>
        <v>#DIV/0!</v>
      </c>
      <c r="BM328" s="29" t="str">
        <f t="shared" si="3"/>
        <v>#DIV/0!</v>
      </c>
    </row>
    <row r="329">
      <c r="A329" s="16" t="str">
        <f>IFERROR(__xludf.DUMMYFUNCTION("IFERROR(SPARKLINE(SORT(MAP(TRANSPOSE(AQ329:BL329), LAMBDA(val, IF(ISNUMBER(val), PERCENTRANK(AQ329:BL329, val)+0.01, 0))), SEQUENCE(COLUMNS(AQ329:BL329)), FALSE), {""charttype"",""column""; ""color"",""chartreuse""; ""ymin"", 0; ""ymax"", 1.01; ""highcolo"&amp;"r"", ""darkgreen""; ""lowcolor"", ""red""}), """")"),"")</f>
        <v/>
      </c>
      <c r="B329" s="17" t="str">
        <f t="shared" si="4"/>
        <v/>
      </c>
      <c r="C329" s="1" t="s">
        <v>1549</v>
      </c>
      <c r="D329" s="34" t="str">
        <f>IFERROR(__xludf.DUMMYFUNCTION("IFERROR(GOOGLEFINANCE(C329, ""NAME""))"),"Primerica, Inc.")</f>
        <v>Primerica, Inc.</v>
      </c>
      <c r="E329" s="30" t="s">
        <v>231</v>
      </c>
      <c r="F329" s="33" t="str">
        <f>IFERROR(__xludf.DUMMYFUNCTION("( (GOOGLEFINANCE(C329, ""price"") - Q329) / Q329 ) / (R329 / 100)"),"Loading...")</f>
        <v>Loading...</v>
      </c>
      <c r="G329" s="20" t="str">
        <f>IFERROR(__xludf.DUMMYFUNCTION("AVERAGE(ARRAYFORMULA(100 * (QUERY(GOOGLEFINANCE(C329, ""high"", TODAY()-40, TODAY()), ""SELECT Col2 WHERE Col2 IS NOT NULL ORDER BY Col1 DESC LIMIT 20"", 0) / QUERY(GOOGLEFINANCE(C329, ""low"", TODAY()-40, TODAY()), ""SELECT Col2 WHERE Col2 IS NOT NULL OR"&amp;"DER BY Col1 DESC LIMIT 20"", 0) - 1)))"),"#N/A")</f>
        <v>#N/A</v>
      </c>
      <c r="H329" s="35" t="str">
        <f t="shared" si="6"/>
        <v/>
      </c>
      <c r="I329" s="36" t="str">
        <f t="shared" si="7"/>
        <v/>
      </c>
      <c r="J329" s="37" t="str">
        <f>IFERROR(__xludf.DUMMYFUNCTION("IFERROR(
  IF(C329="""",, 
    IFERROR(
      GOOGLEFINANCE(C329, ""price"") * GOOGLEFINANCE(C329, ""volumeavg""), 
      GOOGLEFINANCE(C329, ""price"") * AVERAGE(QUERY(GOOGLEFINANCE(C329, ""volume"", TODAY()-40, TODAY()), ""SELECT Col2 WHERE Col2 IS NOT "&amp;"NULL ORDER BY Col1 DESC LIMIT 20"", 0))
    )
  ), 
"""")"),"")</f>
        <v/>
      </c>
      <c r="K329" s="21" t="str">
        <f>IFERROR(__xludf.DUMMYFUNCTION("IFERROR(GOOGLEFINANCE(C329, ""changepct"") / 100, """")"),"")</f>
        <v/>
      </c>
      <c r="L329" s="21" t="str">
        <f>IFERROR(__xludf.DUMMYFUNCTION("IFERROR((GOOGLEFINANCE(C329, ""price"") / INDEX(GOOGLEFINANCE(C329, ""price"", TODAY()-7, TODAY()), 2, 2)) - 1, """")"),"")</f>
        <v/>
      </c>
      <c r="M329" s="21" t="str">
        <f>IFERROR(__xludf.DUMMYFUNCTION("IFERROR((GOOGLEFINANCE(C329, ""price"") / INDEX(GOOGLEFINANCE(C329, ""price"", EDATE(TODAY(), -1), TODAY()), 2, 2)) - 1, """")"),"")</f>
        <v/>
      </c>
      <c r="N329" s="21" t="str">
        <f>IFERROR(__xludf.DUMMYFUNCTION("IFERROR((GOOGLEFINANCE(C329, ""price"") / INDEX(GOOGLEFINANCE(C329, ""price"", EDATE(TODAY(), -3), TODAY()), 2, 2)) - 1, """")"),"")</f>
        <v/>
      </c>
      <c r="O329" s="21" t="str">
        <f>IFERROR(__xludf.DUMMYFUNCTION("IFERROR((GOOGLEFINANCE(C329, ""price"") / INDEX(GOOGLEFINANCE(C329, ""price"", EDATE(TODAY(), -6), TODAY()), 2, 2)) - 1, """")"),"")</f>
        <v/>
      </c>
      <c r="P329" s="21" t="str">
        <f>IFERROR(__xludf.DUMMYFUNCTION("IFERROR((GOOGLEFINANCE(C329, ""price"") / INDEX(GOOGLEFINANCE(C329, ""price"", EDATE(TODAY(), -12), TODAY()), 2, 2)) - 1, """")"),"")</f>
        <v/>
      </c>
      <c r="Q329" s="6" t="str">
        <f>IFERROR(__xludf.DUMMYFUNCTION("AVERAGE(QUERY(GOOGLEFINANCE(C329, ""price"", TODAY()-80, TODAY()), ""SELECT Col2 WHERE Col2 IS NOT NULL ORDER BY Col1 DESC LIMIT 50"", 0))"),"#N/A")</f>
        <v>#N/A</v>
      </c>
      <c r="R329" s="24" t="str">
        <f>IFERROR(__xludf.DUMMYFUNCTION("IFERROR(
  LET(
    data, QUERY(GOOGLEFINANCE(C329,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GOOGLEFINANCE(C329, ""price"")) * 100,
    IF(calc=0, G329, calc)
  ), 
G329)"),"#N/A")</f>
        <v>#N/A</v>
      </c>
      <c r="S329" s="8" t="s">
        <v>15</v>
      </c>
      <c r="T329" s="26" t="str">
        <f>IFERROR(__xludf.DUMMYFUNCTION("IFERROR(TRANSPOSE(QUERY(IFERROR(SORT(GOOGLEFINANCE(C329, ""price"", WORKDAY(TODAY(), -40), TODAY()), 1, FALSE)), ""select Col2 where Col2 is not null limit 22 label Col2 ''"", 0)), """")"),"")</f>
        <v/>
      </c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8"/>
      <c r="AO329" s="28"/>
      <c r="AP329" s="29"/>
      <c r="AQ329" s="29" t="str">
        <f t="shared" ref="AQ329:BL329" si="332">T329/T$2</f>
        <v>#N/A</v>
      </c>
      <c r="AR329" s="29" t="str">
        <f t="shared" si="332"/>
        <v>#DIV/0!</v>
      </c>
      <c r="AS329" s="29" t="str">
        <f t="shared" si="332"/>
        <v>#DIV/0!</v>
      </c>
      <c r="AT329" s="29" t="str">
        <f t="shared" si="332"/>
        <v>#DIV/0!</v>
      </c>
      <c r="AU329" s="29" t="str">
        <f t="shared" si="332"/>
        <v>#DIV/0!</v>
      </c>
      <c r="AV329" s="29" t="str">
        <f t="shared" si="332"/>
        <v>#DIV/0!</v>
      </c>
      <c r="AW329" s="29" t="str">
        <f t="shared" si="332"/>
        <v>#DIV/0!</v>
      </c>
      <c r="AX329" s="29" t="str">
        <f t="shared" si="332"/>
        <v>#DIV/0!</v>
      </c>
      <c r="AY329" s="29" t="str">
        <f t="shared" si="332"/>
        <v>#DIV/0!</v>
      </c>
      <c r="AZ329" s="29" t="str">
        <f t="shared" si="332"/>
        <v>#DIV/0!</v>
      </c>
      <c r="BA329" s="29" t="str">
        <f t="shared" si="332"/>
        <v>#DIV/0!</v>
      </c>
      <c r="BB329" s="29" t="str">
        <f t="shared" si="332"/>
        <v>#DIV/0!</v>
      </c>
      <c r="BC329" s="29" t="str">
        <f t="shared" si="332"/>
        <v>#DIV/0!</v>
      </c>
      <c r="BD329" s="29" t="str">
        <f t="shared" si="332"/>
        <v>#DIV/0!</v>
      </c>
      <c r="BE329" s="29" t="str">
        <f t="shared" si="332"/>
        <v>#DIV/0!</v>
      </c>
      <c r="BF329" s="29" t="str">
        <f t="shared" si="332"/>
        <v>#DIV/0!</v>
      </c>
      <c r="BG329" s="29" t="str">
        <f t="shared" si="332"/>
        <v>#DIV/0!</v>
      </c>
      <c r="BH329" s="29" t="str">
        <f t="shared" si="332"/>
        <v>#DIV/0!</v>
      </c>
      <c r="BI329" s="29" t="str">
        <f t="shared" si="332"/>
        <v>#DIV/0!</v>
      </c>
      <c r="BJ329" s="29" t="str">
        <f t="shared" si="332"/>
        <v>#DIV/0!</v>
      </c>
      <c r="BK329" s="29" t="str">
        <f t="shared" si="332"/>
        <v>#DIV/0!</v>
      </c>
      <c r="BL329" s="29" t="str">
        <f t="shared" si="332"/>
        <v>#DIV/0!</v>
      </c>
      <c r="BM329" s="29" t="str">
        <f t="shared" si="3"/>
        <v>#DIV/0!</v>
      </c>
    </row>
    <row r="330">
      <c r="A330" s="16" t="str">
        <f>IFERROR(__xludf.DUMMYFUNCTION("IFERROR(SPARKLINE(SORT(MAP(TRANSPOSE(AQ330:BL330), LAMBDA(val, IF(ISNUMBER(val), PERCENTRANK(AQ330:BL330, val)+0.01, 0))), SEQUENCE(COLUMNS(AQ330:BL330)), FALSE), {""charttype"",""column""; ""color"",""chartreuse""; ""ymin"", 0; ""ymax"", 1.01; ""highcolo"&amp;"r"", ""darkgreen""; ""lowcolor"", ""red""}), """")"),"")</f>
        <v/>
      </c>
      <c r="B330" s="17" t="str">
        <f t="shared" si="4"/>
        <v/>
      </c>
      <c r="C330" s="1" t="s">
        <v>1553</v>
      </c>
      <c r="D330" s="34" t="str">
        <f>IFERROR(__xludf.DUMMYFUNCTION("IFERROR(GOOGLEFINANCE(C330, ""NAME""))"),"Velocity Financial Inc")</f>
        <v>Velocity Financial Inc</v>
      </c>
      <c r="E330" s="30" t="s">
        <v>119</v>
      </c>
      <c r="F330" s="33" t="str">
        <f>IFERROR(__xludf.DUMMYFUNCTION("( (GOOGLEFINANCE(C330, ""price"") - Q330) / Q330 ) / (R330 / 100)"),"Loading...")</f>
        <v>Loading...</v>
      </c>
      <c r="G330" s="20" t="str">
        <f>IFERROR(__xludf.DUMMYFUNCTION("AVERAGE(ARRAYFORMULA(100 * (QUERY(GOOGLEFINANCE(C330, ""high"", TODAY()-40, TODAY()), ""SELECT Col2 WHERE Col2 IS NOT NULL ORDER BY Col1 DESC LIMIT 20"", 0) / QUERY(GOOGLEFINANCE(C330, ""low"", TODAY()-40, TODAY()), ""SELECT Col2 WHERE Col2 IS NOT NULL OR"&amp;"DER BY Col1 DESC LIMIT 20"", 0) - 1)))"),"#N/A")</f>
        <v>#N/A</v>
      </c>
      <c r="H330" s="35" t="str">
        <f t="shared" si="6"/>
        <v/>
      </c>
      <c r="I330" s="36" t="str">
        <f t="shared" si="7"/>
        <v/>
      </c>
      <c r="J330" s="37" t="str">
        <f>IFERROR(__xludf.DUMMYFUNCTION("IFERROR(
  IF(C330="""",, 
    IFERROR(
      GOOGLEFINANCE(C330, ""price"") * GOOGLEFINANCE(C330, ""volumeavg""), 
      GOOGLEFINANCE(C330, ""price"") * AVERAGE(QUERY(GOOGLEFINANCE(C330, ""volume"", TODAY()-40, TODAY()), ""SELECT Col2 WHERE Col2 IS NOT "&amp;"NULL ORDER BY Col1 DESC LIMIT 20"", 0))
    )
  ), 
"""")"),"")</f>
        <v/>
      </c>
      <c r="K330" s="21" t="str">
        <f>IFERROR(__xludf.DUMMYFUNCTION("IFERROR(GOOGLEFINANCE(C330, ""changepct"") / 100, """")"),"")</f>
        <v/>
      </c>
      <c r="L330" s="21" t="str">
        <f>IFERROR(__xludf.DUMMYFUNCTION("IFERROR((GOOGLEFINANCE(C330, ""price"") / INDEX(GOOGLEFINANCE(C330, ""price"", TODAY()-7, TODAY()), 2, 2)) - 1, """")"),"")</f>
        <v/>
      </c>
      <c r="M330" s="21" t="str">
        <f>IFERROR(__xludf.DUMMYFUNCTION("IFERROR((GOOGLEFINANCE(C330, ""price"") / INDEX(GOOGLEFINANCE(C330, ""price"", EDATE(TODAY(), -1), TODAY()), 2, 2)) - 1, """")"),"")</f>
        <v/>
      </c>
      <c r="N330" s="21" t="str">
        <f>IFERROR(__xludf.DUMMYFUNCTION("IFERROR((GOOGLEFINANCE(C330, ""price"") / INDEX(GOOGLEFINANCE(C330, ""price"", EDATE(TODAY(), -3), TODAY()), 2, 2)) - 1, """")"),"")</f>
        <v/>
      </c>
      <c r="O330" s="21" t="str">
        <f>IFERROR(__xludf.DUMMYFUNCTION("IFERROR((GOOGLEFINANCE(C330, ""price"") / INDEX(GOOGLEFINANCE(C330, ""price"", EDATE(TODAY(), -6), TODAY()), 2, 2)) - 1, """")"),"")</f>
        <v/>
      </c>
      <c r="P330" s="21" t="str">
        <f>IFERROR(__xludf.DUMMYFUNCTION("IFERROR((GOOGLEFINANCE(C330, ""price"") / INDEX(GOOGLEFINANCE(C330, ""price"", EDATE(TODAY(), -12), TODAY()), 2, 2)) - 1, """")"),"")</f>
        <v/>
      </c>
      <c r="Q330" s="6" t="str">
        <f>IFERROR(__xludf.DUMMYFUNCTION("AVERAGE(QUERY(GOOGLEFINANCE(C330, ""price"", TODAY()-80, TODAY()), ""SELECT Col2 WHERE Col2 IS NOT NULL ORDER BY Col1 DESC LIMIT 50"", 0))"),"#N/A")</f>
        <v>#N/A</v>
      </c>
      <c r="R330" s="24" t="str">
        <f>IFERROR(__xludf.DUMMYFUNCTION("IFERROR(
  LET(
    data, QUERY(GOOGLEFINANCE(C330,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GOOGLEFINANCE(C330, ""price"")) * 100,
    IF(calc=0, G330, calc)
  ), 
G330)"),"#N/A")</f>
        <v>#N/A</v>
      </c>
      <c r="S330" s="8" t="s">
        <v>15</v>
      </c>
      <c r="T330" s="26" t="str">
        <f>IFERROR(__xludf.DUMMYFUNCTION("IFERROR(TRANSPOSE(QUERY(IFERROR(SORT(GOOGLEFINANCE(C330, ""price"", WORKDAY(TODAY(), -40), TODAY()), 1, FALSE)), ""select Col2 where Col2 is not null limit 22 label Col2 ''"", 0)), """")"),"")</f>
        <v/>
      </c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8"/>
      <c r="AO330" s="28"/>
      <c r="AP330" s="29"/>
      <c r="AQ330" s="29" t="str">
        <f t="shared" ref="AQ330:BL330" si="333">T330/T$2</f>
        <v>#N/A</v>
      </c>
      <c r="AR330" s="29" t="str">
        <f t="shared" si="333"/>
        <v>#DIV/0!</v>
      </c>
      <c r="AS330" s="29" t="str">
        <f t="shared" si="333"/>
        <v>#DIV/0!</v>
      </c>
      <c r="AT330" s="29" t="str">
        <f t="shared" si="333"/>
        <v>#DIV/0!</v>
      </c>
      <c r="AU330" s="29" t="str">
        <f t="shared" si="333"/>
        <v>#DIV/0!</v>
      </c>
      <c r="AV330" s="29" t="str">
        <f t="shared" si="333"/>
        <v>#DIV/0!</v>
      </c>
      <c r="AW330" s="29" t="str">
        <f t="shared" si="333"/>
        <v>#DIV/0!</v>
      </c>
      <c r="AX330" s="29" t="str">
        <f t="shared" si="333"/>
        <v>#DIV/0!</v>
      </c>
      <c r="AY330" s="29" t="str">
        <f t="shared" si="333"/>
        <v>#DIV/0!</v>
      </c>
      <c r="AZ330" s="29" t="str">
        <f t="shared" si="333"/>
        <v>#DIV/0!</v>
      </c>
      <c r="BA330" s="29" t="str">
        <f t="shared" si="333"/>
        <v>#DIV/0!</v>
      </c>
      <c r="BB330" s="29" t="str">
        <f t="shared" si="333"/>
        <v>#DIV/0!</v>
      </c>
      <c r="BC330" s="29" t="str">
        <f t="shared" si="333"/>
        <v>#DIV/0!</v>
      </c>
      <c r="BD330" s="29" t="str">
        <f t="shared" si="333"/>
        <v>#DIV/0!</v>
      </c>
      <c r="BE330" s="29" t="str">
        <f t="shared" si="333"/>
        <v>#DIV/0!</v>
      </c>
      <c r="BF330" s="29" t="str">
        <f t="shared" si="333"/>
        <v>#DIV/0!</v>
      </c>
      <c r="BG330" s="29" t="str">
        <f t="shared" si="333"/>
        <v>#DIV/0!</v>
      </c>
      <c r="BH330" s="29" t="str">
        <f t="shared" si="333"/>
        <v>#DIV/0!</v>
      </c>
      <c r="BI330" s="29" t="str">
        <f t="shared" si="333"/>
        <v>#DIV/0!</v>
      </c>
      <c r="BJ330" s="29" t="str">
        <f t="shared" si="333"/>
        <v>#DIV/0!</v>
      </c>
      <c r="BK330" s="29" t="str">
        <f t="shared" si="333"/>
        <v>#DIV/0!</v>
      </c>
      <c r="BL330" s="29" t="str">
        <f t="shared" si="333"/>
        <v>#DIV/0!</v>
      </c>
      <c r="BM330" s="29" t="str">
        <f t="shared" si="3"/>
        <v>#DIV/0!</v>
      </c>
    </row>
    <row r="331">
      <c r="A331" s="16" t="str">
        <f>IFERROR(__xludf.DUMMYFUNCTION("IFERROR(SPARKLINE(SORT(MAP(TRANSPOSE(AQ331:BL331), LAMBDA(val, IF(ISNUMBER(val), PERCENTRANK(AQ331:BL331, val)+0.01, 0))), SEQUENCE(COLUMNS(AQ331:BL331)), FALSE), {""charttype"",""column""; ""color"",""chartreuse""; ""ymin"", 0; ""ymax"", 1.01; ""highcolo"&amp;"r"", ""darkgreen""; ""lowcolor"", ""red""}), """")"),"")</f>
        <v/>
      </c>
      <c r="B331" s="17" t="str">
        <f t="shared" si="4"/>
        <v/>
      </c>
      <c r="C331" s="1" t="s">
        <v>1561</v>
      </c>
      <c r="D331" s="34" t="str">
        <f>IFERROR(__xludf.DUMMYFUNCTION("IFERROR(GOOGLEFINANCE(C331, ""NAME""))"),"Saratoga Investment Corp")</f>
        <v>Saratoga Investment Corp</v>
      </c>
      <c r="E331" s="30" t="s">
        <v>64</v>
      </c>
      <c r="F331" s="33" t="str">
        <f>IFERROR(__xludf.DUMMYFUNCTION("( (GOOGLEFINANCE(C331, ""price"") - Q331) / Q331 ) / (R331 / 100)"),"Loading...")</f>
        <v>Loading...</v>
      </c>
      <c r="G331" s="20" t="str">
        <f>IFERROR(__xludf.DUMMYFUNCTION("AVERAGE(ARRAYFORMULA(100 * (QUERY(GOOGLEFINANCE(C331, ""high"", TODAY()-40, TODAY()), ""SELECT Col2 WHERE Col2 IS NOT NULL ORDER BY Col1 DESC LIMIT 20"", 0) / QUERY(GOOGLEFINANCE(C331, ""low"", TODAY()-40, TODAY()), ""SELECT Col2 WHERE Col2 IS NOT NULL OR"&amp;"DER BY Col1 DESC LIMIT 20"", 0) - 1)))"),"#N/A")</f>
        <v>#N/A</v>
      </c>
      <c r="H331" s="35" t="str">
        <f t="shared" si="6"/>
        <v/>
      </c>
      <c r="I331" s="36" t="str">
        <f t="shared" si="7"/>
        <v/>
      </c>
      <c r="J331" s="37" t="str">
        <f>IFERROR(__xludf.DUMMYFUNCTION("IFERROR(
  IF(C331="""",, 
    IFERROR(
      GOOGLEFINANCE(C331, ""price"") * GOOGLEFINANCE(C331, ""volumeavg""), 
      GOOGLEFINANCE(C331, ""price"") * AVERAGE(QUERY(GOOGLEFINANCE(C331, ""volume"", TODAY()-40, TODAY()), ""SELECT Col2 WHERE Col2 IS NOT "&amp;"NULL ORDER BY Col1 DESC LIMIT 20"", 0))
    )
  ), 
"""")"),"")</f>
        <v/>
      </c>
      <c r="K331" s="21" t="str">
        <f>IFERROR(__xludf.DUMMYFUNCTION("IFERROR(GOOGLEFINANCE(C331, ""changepct"") / 100, """")"),"")</f>
        <v/>
      </c>
      <c r="L331" s="21" t="str">
        <f>IFERROR(__xludf.DUMMYFUNCTION("IFERROR((GOOGLEFINANCE(C331, ""price"") / INDEX(GOOGLEFINANCE(C331, ""price"", TODAY()-7, TODAY()), 2, 2)) - 1, """")"),"")</f>
        <v/>
      </c>
      <c r="M331" s="21" t="str">
        <f>IFERROR(__xludf.DUMMYFUNCTION("IFERROR((GOOGLEFINANCE(C331, ""price"") / INDEX(GOOGLEFINANCE(C331, ""price"", EDATE(TODAY(), -1), TODAY()), 2, 2)) - 1, """")"),"")</f>
        <v/>
      </c>
      <c r="N331" s="21" t="str">
        <f>IFERROR(__xludf.DUMMYFUNCTION("IFERROR((GOOGLEFINANCE(C331, ""price"") / INDEX(GOOGLEFINANCE(C331, ""price"", EDATE(TODAY(), -3), TODAY()), 2, 2)) - 1, """")"),"")</f>
        <v/>
      </c>
      <c r="O331" s="21" t="str">
        <f>IFERROR(__xludf.DUMMYFUNCTION("IFERROR((GOOGLEFINANCE(C331, ""price"") / INDEX(GOOGLEFINANCE(C331, ""price"", EDATE(TODAY(), -6), TODAY()), 2, 2)) - 1, """")"),"")</f>
        <v/>
      </c>
      <c r="P331" s="21" t="str">
        <f>IFERROR(__xludf.DUMMYFUNCTION("IFERROR((GOOGLEFINANCE(C331, ""price"") / INDEX(GOOGLEFINANCE(C331, ""price"", EDATE(TODAY(), -12), TODAY()), 2, 2)) - 1, """")"),"")</f>
        <v/>
      </c>
      <c r="Q331" s="6" t="str">
        <f>IFERROR(__xludf.DUMMYFUNCTION("AVERAGE(QUERY(GOOGLEFINANCE(C331, ""price"", TODAY()-80, TODAY()), ""SELECT Col2 WHERE Col2 IS NOT NULL ORDER BY Col1 DESC LIMIT 50"", 0))"),"#N/A")</f>
        <v>#N/A</v>
      </c>
      <c r="R331" s="24" t="str">
        <f>IFERROR(__xludf.DUMMYFUNCTION("IFERROR(
  LET(
    data, QUERY(GOOGLEFINANCE(C331,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GOOGLEFINANCE(C331, ""price"")) * 100,
    IF(calc=0, G331, calc)
  ), 
G331)"),"#N/A")</f>
        <v>#N/A</v>
      </c>
      <c r="S331" s="8" t="s">
        <v>15</v>
      </c>
      <c r="T331" s="26" t="str">
        <f>IFERROR(__xludf.DUMMYFUNCTION("IFERROR(TRANSPOSE(QUERY(IFERROR(SORT(GOOGLEFINANCE(C331, ""price"", WORKDAY(TODAY(), -40), TODAY()), 1, FALSE)), ""select Col2 where Col2 is not null limit 22 label Col2 ''"", 0)), """")"),"")</f>
        <v/>
      </c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8"/>
      <c r="AO331" s="28"/>
      <c r="AP331" s="29"/>
      <c r="AQ331" s="29" t="str">
        <f t="shared" ref="AQ331:BL331" si="334">T331/T$2</f>
        <v>#N/A</v>
      </c>
      <c r="AR331" s="29" t="str">
        <f t="shared" si="334"/>
        <v>#DIV/0!</v>
      </c>
      <c r="AS331" s="29" t="str">
        <f t="shared" si="334"/>
        <v>#DIV/0!</v>
      </c>
      <c r="AT331" s="29" t="str">
        <f t="shared" si="334"/>
        <v>#DIV/0!</v>
      </c>
      <c r="AU331" s="29" t="str">
        <f t="shared" si="334"/>
        <v>#DIV/0!</v>
      </c>
      <c r="AV331" s="29" t="str">
        <f t="shared" si="334"/>
        <v>#DIV/0!</v>
      </c>
      <c r="AW331" s="29" t="str">
        <f t="shared" si="334"/>
        <v>#DIV/0!</v>
      </c>
      <c r="AX331" s="29" t="str">
        <f t="shared" si="334"/>
        <v>#DIV/0!</v>
      </c>
      <c r="AY331" s="29" t="str">
        <f t="shared" si="334"/>
        <v>#DIV/0!</v>
      </c>
      <c r="AZ331" s="29" t="str">
        <f t="shared" si="334"/>
        <v>#DIV/0!</v>
      </c>
      <c r="BA331" s="29" t="str">
        <f t="shared" si="334"/>
        <v>#DIV/0!</v>
      </c>
      <c r="BB331" s="29" t="str">
        <f t="shared" si="334"/>
        <v>#DIV/0!</v>
      </c>
      <c r="BC331" s="29" t="str">
        <f t="shared" si="334"/>
        <v>#DIV/0!</v>
      </c>
      <c r="BD331" s="29" t="str">
        <f t="shared" si="334"/>
        <v>#DIV/0!</v>
      </c>
      <c r="BE331" s="29" t="str">
        <f t="shared" si="334"/>
        <v>#DIV/0!</v>
      </c>
      <c r="BF331" s="29" t="str">
        <f t="shared" si="334"/>
        <v>#DIV/0!</v>
      </c>
      <c r="BG331" s="29" t="str">
        <f t="shared" si="334"/>
        <v>#DIV/0!</v>
      </c>
      <c r="BH331" s="29" t="str">
        <f t="shared" si="334"/>
        <v>#DIV/0!</v>
      </c>
      <c r="BI331" s="29" t="str">
        <f t="shared" si="334"/>
        <v>#DIV/0!</v>
      </c>
      <c r="BJ331" s="29" t="str">
        <f t="shared" si="334"/>
        <v>#DIV/0!</v>
      </c>
      <c r="BK331" s="29" t="str">
        <f t="shared" si="334"/>
        <v>#DIV/0!</v>
      </c>
      <c r="BL331" s="29" t="str">
        <f t="shared" si="334"/>
        <v>#DIV/0!</v>
      </c>
      <c r="BM331" s="29" t="str">
        <f t="shared" si="3"/>
        <v>#DIV/0!</v>
      </c>
    </row>
    <row r="332">
      <c r="A332" s="16" t="str">
        <f>IFERROR(__xludf.DUMMYFUNCTION("IFERROR(SPARKLINE(SORT(MAP(TRANSPOSE(AQ332:BL332), LAMBDA(val, IF(ISNUMBER(val), PERCENTRANK(AQ332:BL332, val)+0.01, 0))), SEQUENCE(COLUMNS(AQ332:BL332)), FALSE), {""charttype"",""column""; ""color"",""chartreuse""; ""ymin"", 0; ""ymax"", 1.01; ""highcolo"&amp;"r"", ""darkgreen""; ""lowcolor"", ""red""}), """")"),"")</f>
        <v/>
      </c>
      <c r="B332" s="17" t="str">
        <f t="shared" si="4"/>
        <v/>
      </c>
      <c r="C332" s="1" t="s">
        <v>1562</v>
      </c>
      <c r="D332" s="34" t="str">
        <f>IFERROR(__xludf.DUMMYFUNCTION("IFERROR(GOOGLEFINANCE(C332, ""NAME""))"),"Golub Capital BDC Inc")</f>
        <v>Golub Capital BDC Inc</v>
      </c>
      <c r="E332" s="30" t="s">
        <v>64</v>
      </c>
      <c r="F332" s="33" t="str">
        <f>IFERROR(__xludf.DUMMYFUNCTION("( (GOOGLEFINANCE(C332, ""price"") - Q332) / Q332 ) / (R332 / 100)"),"Loading...")</f>
        <v>Loading...</v>
      </c>
      <c r="G332" s="20" t="str">
        <f>IFERROR(__xludf.DUMMYFUNCTION("AVERAGE(ARRAYFORMULA(100 * (QUERY(GOOGLEFINANCE(C332, ""high"", TODAY()-40, TODAY()), ""SELECT Col2 WHERE Col2 IS NOT NULL ORDER BY Col1 DESC LIMIT 20"", 0) / QUERY(GOOGLEFINANCE(C332, ""low"", TODAY()-40, TODAY()), ""SELECT Col2 WHERE Col2 IS NOT NULL OR"&amp;"DER BY Col1 DESC LIMIT 20"", 0) - 1)))"),"#N/A")</f>
        <v>#N/A</v>
      </c>
      <c r="H332" s="35" t="str">
        <f t="shared" si="6"/>
        <v/>
      </c>
      <c r="I332" s="36" t="str">
        <f t="shared" si="7"/>
        <v/>
      </c>
      <c r="J332" s="37" t="str">
        <f>IFERROR(__xludf.DUMMYFUNCTION("IFERROR(
  IF(C332="""",, 
    IFERROR(
      GOOGLEFINANCE(C332, ""price"") * GOOGLEFINANCE(C332, ""volumeavg""), 
      GOOGLEFINANCE(C332, ""price"") * AVERAGE(QUERY(GOOGLEFINANCE(C332, ""volume"", TODAY()-40, TODAY()), ""SELECT Col2 WHERE Col2 IS NOT "&amp;"NULL ORDER BY Col1 DESC LIMIT 20"", 0))
    )
  ), 
"""")"),"")</f>
        <v/>
      </c>
      <c r="K332" s="21" t="str">
        <f>IFERROR(__xludf.DUMMYFUNCTION("IFERROR(GOOGLEFINANCE(C332, ""changepct"") / 100, """")"),"")</f>
        <v/>
      </c>
      <c r="L332" s="21" t="str">
        <f>IFERROR(__xludf.DUMMYFUNCTION("IFERROR((GOOGLEFINANCE(C332, ""price"") / INDEX(GOOGLEFINANCE(C332, ""price"", TODAY()-7, TODAY()), 2, 2)) - 1, """")"),"")</f>
        <v/>
      </c>
      <c r="M332" s="21" t="str">
        <f>IFERROR(__xludf.DUMMYFUNCTION("IFERROR((GOOGLEFINANCE(C332, ""price"") / INDEX(GOOGLEFINANCE(C332, ""price"", EDATE(TODAY(), -1), TODAY()), 2, 2)) - 1, """")"),"")</f>
        <v/>
      </c>
      <c r="N332" s="21" t="str">
        <f>IFERROR(__xludf.DUMMYFUNCTION("IFERROR((GOOGLEFINANCE(C332, ""price"") / INDEX(GOOGLEFINANCE(C332, ""price"", EDATE(TODAY(), -3), TODAY()), 2, 2)) - 1, """")"),"")</f>
        <v/>
      </c>
      <c r="O332" s="21" t="str">
        <f>IFERROR(__xludf.DUMMYFUNCTION("IFERROR((GOOGLEFINANCE(C332, ""price"") / INDEX(GOOGLEFINANCE(C332, ""price"", EDATE(TODAY(), -6), TODAY()), 2, 2)) - 1, """")"),"")</f>
        <v/>
      </c>
      <c r="P332" s="21" t="str">
        <f>IFERROR(__xludf.DUMMYFUNCTION("IFERROR((GOOGLEFINANCE(C332, ""price"") / INDEX(GOOGLEFINANCE(C332, ""price"", EDATE(TODAY(), -12), TODAY()), 2, 2)) - 1, """")"),"")</f>
        <v/>
      </c>
      <c r="Q332" s="6" t="str">
        <f>IFERROR(__xludf.DUMMYFUNCTION("AVERAGE(QUERY(GOOGLEFINANCE(C332, ""price"", TODAY()-80, TODAY()), ""SELECT Col2 WHERE Col2 IS NOT NULL ORDER BY Col1 DESC LIMIT 50"", 0))"),"#N/A")</f>
        <v>#N/A</v>
      </c>
      <c r="R332" s="24" t="str">
        <f>IFERROR(__xludf.DUMMYFUNCTION("IFERROR(
  LET(
    data, QUERY(GOOGLEFINANCE(C332,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GOOGLEFINANCE(C332, ""price"")) * 100,
    IF(calc=0, G332, calc)
  ), 
G332)"),"#N/A")</f>
        <v>#N/A</v>
      </c>
      <c r="S332" s="8" t="s">
        <v>15</v>
      </c>
      <c r="T332" s="26" t="str">
        <f>IFERROR(__xludf.DUMMYFUNCTION("IFERROR(TRANSPOSE(QUERY(IFERROR(SORT(GOOGLEFINANCE(C332, ""price"", WORKDAY(TODAY(), -40), TODAY()), 1, FALSE)), ""select Col2 where Col2 is not null limit 22 label Col2 ''"", 0)), """")"),"")</f>
        <v/>
      </c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8"/>
      <c r="AO332" s="28"/>
      <c r="AP332" s="29"/>
      <c r="AQ332" s="29" t="str">
        <f t="shared" ref="AQ332:BL332" si="335">T332/T$2</f>
        <v>#N/A</v>
      </c>
      <c r="AR332" s="29" t="str">
        <f t="shared" si="335"/>
        <v>#DIV/0!</v>
      </c>
      <c r="AS332" s="29" t="str">
        <f t="shared" si="335"/>
        <v>#DIV/0!</v>
      </c>
      <c r="AT332" s="29" t="str">
        <f t="shared" si="335"/>
        <v>#DIV/0!</v>
      </c>
      <c r="AU332" s="29" t="str">
        <f t="shared" si="335"/>
        <v>#DIV/0!</v>
      </c>
      <c r="AV332" s="29" t="str">
        <f t="shared" si="335"/>
        <v>#DIV/0!</v>
      </c>
      <c r="AW332" s="29" t="str">
        <f t="shared" si="335"/>
        <v>#DIV/0!</v>
      </c>
      <c r="AX332" s="29" t="str">
        <f t="shared" si="335"/>
        <v>#DIV/0!</v>
      </c>
      <c r="AY332" s="29" t="str">
        <f t="shared" si="335"/>
        <v>#DIV/0!</v>
      </c>
      <c r="AZ332" s="29" t="str">
        <f t="shared" si="335"/>
        <v>#DIV/0!</v>
      </c>
      <c r="BA332" s="29" t="str">
        <f t="shared" si="335"/>
        <v>#DIV/0!</v>
      </c>
      <c r="BB332" s="29" t="str">
        <f t="shared" si="335"/>
        <v>#DIV/0!</v>
      </c>
      <c r="BC332" s="29" t="str">
        <f t="shared" si="335"/>
        <v>#DIV/0!</v>
      </c>
      <c r="BD332" s="29" t="str">
        <f t="shared" si="335"/>
        <v>#DIV/0!</v>
      </c>
      <c r="BE332" s="29" t="str">
        <f t="shared" si="335"/>
        <v>#DIV/0!</v>
      </c>
      <c r="BF332" s="29" t="str">
        <f t="shared" si="335"/>
        <v>#DIV/0!</v>
      </c>
      <c r="BG332" s="29" t="str">
        <f t="shared" si="335"/>
        <v>#DIV/0!</v>
      </c>
      <c r="BH332" s="29" t="str">
        <f t="shared" si="335"/>
        <v>#DIV/0!</v>
      </c>
      <c r="BI332" s="29" t="str">
        <f t="shared" si="335"/>
        <v>#DIV/0!</v>
      </c>
      <c r="BJ332" s="29" t="str">
        <f t="shared" si="335"/>
        <v>#DIV/0!</v>
      </c>
      <c r="BK332" s="29" t="str">
        <f t="shared" si="335"/>
        <v>#DIV/0!</v>
      </c>
      <c r="BL332" s="29" t="str">
        <f t="shared" si="335"/>
        <v>#DIV/0!</v>
      </c>
      <c r="BM332" s="29" t="str">
        <f t="shared" si="3"/>
        <v>#DIV/0!</v>
      </c>
    </row>
    <row r="333">
      <c r="A333" s="16" t="str">
        <f>IFERROR(__xludf.DUMMYFUNCTION("IFERROR(SPARKLINE(SORT(MAP(TRANSPOSE(AQ333:BL333), LAMBDA(val, IF(ISNUMBER(val), PERCENTRANK(AQ333:BL333, val)+0.01, 0))), SEQUENCE(COLUMNS(AQ333:BL333)), FALSE), {""charttype"",""column""; ""color"",""chartreuse""; ""ymin"", 0; ""ymax"", 1.01; ""highcolo"&amp;"r"", ""darkgreen""; ""lowcolor"", ""red""}), """")"),"")</f>
        <v/>
      </c>
      <c r="B333" s="17" t="str">
        <f t="shared" si="4"/>
        <v/>
      </c>
      <c r="C333" s="1" t="s">
        <v>1566</v>
      </c>
      <c r="D333" s="34" t="str">
        <f>IFERROR(__xludf.DUMMYFUNCTION("IFERROR(GOOGLEFINANCE(C333, ""NAME""))"),"")</f>
        <v/>
      </c>
      <c r="E333" s="30" t="s">
        <v>64</v>
      </c>
      <c r="F333" s="33" t="str">
        <f>IFERROR(__xludf.DUMMYFUNCTION("( (GOOGLEFINANCE(C333, ""price"") - Q333) / Q333 ) / (R333 / 100)"),"Loading...")</f>
        <v>Loading...</v>
      </c>
      <c r="G333" s="20" t="str">
        <f>IFERROR(__xludf.DUMMYFUNCTION("AVERAGE(ARRAYFORMULA(100 * (QUERY(GOOGLEFINANCE(C333, ""high"", TODAY()-40, TODAY()), ""SELECT Col2 WHERE Col2 IS NOT NULL ORDER BY Col1 DESC LIMIT 20"", 0) / QUERY(GOOGLEFINANCE(C333, ""low"", TODAY()-40, TODAY()), ""SELECT Col2 WHERE Col2 IS NOT NULL OR"&amp;"DER BY Col1 DESC LIMIT 20"", 0) - 1)))"),"#N/A")</f>
        <v>#N/A</v>
      </c>
      <c r="H333" s="35" t="str">
        <f t="shared" si="6"/>
        <v/>
      </c>
      <c r="I333" s="36" t="str">
        <f t="shared" si="7"/>
        <v/>
      </c>
      <c r="J333" s="37" t="str">
        <f>IFERROR(__xludf.DUMMYFUNCTION("IFERROR(
  IF(C333="""",, 
    IFERROR(
      GOOGLEFINANCE(C333, ""price"") * GOOGLEFINANCE(C333, ""volumeavg""), 
      GOOGLEFINANCE(C333, ""price"") * AVERAGE(QUERY(GOOGLEFINANCE(C333, ""volume"", TODAY()-40, TODAY()), ""SELECT Col2 WHERE Col2 IS NOT "&amp;"NULL ORDER BY Col1 DESC LIMIT 20"", 0))
    )
  ), 
"""")"),"")</f>
        <v/>
      </c>
      <c r="K333" s="21" t="str">
        <f>IFERROR(__xludf.DUMMYFUNCTION("IFERROR(GOOGLEFINANCE(C333, ""changepct"") / 100, """")"),"")</f>
        <v/>
      </c>
      <c r="L333" s="21" t="str">
        <f>IFERROR(__xludf.DUMMYFUNCTION("IFERROR((GOOGLEFINANCE(C333, ""price"") / INDEX(GOOGLEFINANCE(C333, ""price"", TODAY()-7, TODAY()), 2, 2)) - 1, """")"),"")</f>
        <v/>
      </c>
      <c r="M333" s="21" t="str">
        <f>IFERROR(__xludf.DUMMYFUNCTION("IFERROR((GOOGLEFINANCE(C333, ""price"") / INDEX(GOOGLEFINANCE(C333, ""price"", EDATE(TODAY(), -1), TODAY()), 2, 2)) - 1, """")"),"")</f>
        <v/>
      </c>
      <c r="N333" s="21" t="str">
        <f>IFERROR(__xludf.DUMMYFUNCTION("IFERROR((GOOGLEFINANCE(C333, ""price"") / INDEX(GOOGLEFINANCE(C333, ""price"", EDATE(TODAY(), -3), TODAY()), 2, 2)) - 1, """")"),"")</f>
        <v/>
      </c>
      <c r="O333" s="21" t="str">
        <f>IFERROR(__xludf.DUMMYFUNCTION("IFERROR((GOOGLEFINANCE(C333, ""price"") / INDEX(GOOGLEFINANCE(C333, ""price"", EDATE(TODAY(), -6), TODAY()), 2, 2)) - 1, """")"),"")</f>
        <v/>
      </c>
      <c r="P333" s="21" t="str">
        <f>IFERROR(__xludf.DUMMYFUNCTION("IFERROR((GOOGLEFINANCE(C333, ""price"") / INDEX(GOOGLEFINANCE(C333, ""price"", EDATE(TODAY(), -12), TODAY()), 2, 2)) - 1, """")"),"")</f>
        <v/>
      </c>
      <c r="Q333" s="6" t="str">
        <f>IFERROR(__xludf.DUMMYFUNCTION("AVERAGE(QUERY(GOOGLEFINANCE(C333, ""price"", TODAY()-80, TODAY()), ""SELECT Col2 WHERE Col2 IS NOT NULL ORDER BY Col1 DESC LIMIT 50"", 0))"),"#N/A")</f>
        <v>#N/A</v>
      </c>
      <c r="R333" s="24" t="str">
        <f>IFERROR(__xludf.DUMMYFUNCTION("IFERROR(
  LET(
    data, QUERY(GOOGLEFINANCE(C333,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GOOGLEFINANCE(C333, ""price"")) * 100,
    IF(calc=0, G333, calc)
  ), 
G333)"),"#N/A")</f>
        <v>#N/A</v>
      </c>
      <c r="S333" s="8" t="s">
        <v>15</v>
      </c>
      <c r="T333" s="26" t="str">
        <f>IFERROR(__xludf.DUMMYFUNCTION("IFERROR(TRANSPOSE(QUERY(IFERROR(SORT(GOOGLEFINANCE(C333, ""price"", WORKDAY(TODAY(), -40), TODAY()), 1, FALSE)), ""select Col2 where Col2 is not null limit 22 label Col2 ''"", 0)), """")"),"")</f>
        <v/>
      </c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8"/>
      <c r="AO333" s="28"/>
      <c r="AP333" s="29"/>
      <c r="AQ333" s="29" t="str">
        <f t="shared" ref="AQ333:BL333" si="336">T333/T$2</f>
        <v>#N/A</v>
      </c>
      <c r="AR333" s="29" t="str">
        <f t="shared" si="336"/>
        <v>#DIV/0!</v>
      </c>
      <c r="AS333" s="29" t="str">
        <f t="shared" si="336"/>
        <v>#DIV/0!</v>
      </c>
      <c r="AT333" s="29" t="str">
        <f t="shared" si="336"/>
        <v>#DIV/0!</v>
      </c>
      <c r="AU333" s="29" t="str">
        <f t="shared" si="336"/>
        <v>#DIV/0!</v>
      </c>
      <c r="AV333" s="29" t="str">
        <f t="shared" si="336"/>
        <v>#DIV/0!</v>
      </c>
      <c r="AW333" s="29" t="str">
        <f t="shared" si="336"/>
        <v>#DIV/0!</v>
      </c>
      <c r="AX333" s="29" t="str">
        <f t="shared" si="336"/>
        <v>#DIV/0!</v>
      </c>
      <c r="AY333" s="29" t="str">
        <f t="shared" si="336"/>
        <v>#DIV/0!</v>
      </c>
      <c r="AZ333" s="29" t="str">
        <f t="shared" si="336"/>
        <v>#DIV/0!</v>
      </c>
      <c r="BA333" s="29" t="str">
        <f t="shared" si="336"/>
        <v>#DIV/0!</v>
      </c>
      <c r="BB333" s="29" t="str">
        <f t="shared" si="336"/>
        <v>#DIV/0!</v>
      </c>
      <c r="BC333" s="29" t="str">
        <f t="shared" si="336"/>
        <v>#DIV/0!</v>
      </c>
      <c r="BD333" s="29" t="str">
        <f t="shared" si="336"/>
        <v>#DIV/0!</v>
      </c>
      <c r="BE333" s="29" t="str">
        <f t="shared" si="336"/>
        <v>#DIV/0!</v>
      </c>
      <c r="BF333" s="29" t="str">
        <f t="shared" si="336"/>
        <v>#DIV/0!</v>
      </c>
      <c r="BG333" s="29" t="str">
        <f t="shared" si="336"/>
        <v>#DIV/0!</v>
      </c>
      <c r="BH333" s="29" t="str">
        <f t="shared" si="336"/>
        <v>#DIV/0!</v>
      </c>
      <c r="BI333" s="29" t="str">
        <f t="shared" si="336"/>
        <v>#DIV/0!</v>
      </c>
      <c r="BJ333" s="29" t="str">
        <f t="shared" si="336"/>
        <v>#DIV/0!</v>
      </c>
      <c r="BK333" s="29" t="str">
        <f t="shared" si="336"/>
        <v>#DIV/0!</v>
      </c>
      <c r="BL333" s="29" t="str">
        <f t="shared" si="336"/>
        <v>#DIV/0!</v>
      </c>
      <c r="BM333" s="29" t="str">
        <f t="shared" si="3"/>
        <v>#DIV/0!</v>
      </c>
    </row>
    <row r="334">
      <c r="A334" s="16" t="str">
        <f>IFERROR(__xludf.DUMMYFUNCTION("IFERROR(SPARKLINE(SORT(MAP(TRANSPOSE(AQ334:BL334), LAMBDA(val, IF(ISNUMBER(val), PERCENTRANK(AQ334:BL334, val)+0.01, 0))), SEQUENCE(COLUMNS(AQ334:BL334)), FALSE), {""charttype"",""column""; ""color"",""chartreuse""; ""ymin"", 0; ""ymax"", 1.01; ""highcolo"&amp;"r"", ""darkgreen""; ""lowcolor"", ""red""}), """")"),"")</f>
        <v/>
      </c>
      <c r="B334" s="17" t="str">
        <f t="shared" si="4"/>
        <v/>
      </c>
      <c r="C334" s="1" t="s">
        <v>1570</v>
      </c>
      <c r="D334" s="34" t="str">
        <f>IFERROR(__xludf.DUMMYFUNCTION("IFERROR(GOOGLEFINANCE(C334, ""NAME""))"),"DigitalBridge")</f>
        <v>DigitalBridge</v>
      </c>
      <c r="E334" s="30" t="s">
        <v>64</v>
      </c>
      <c r="F334" s="38" t="str">
        <f>IFERROR(__xludf.DUMMYFUNCTION("( (GOOGLEFINANCE(C334, ""price"") - Q334) / Q334 ) / (R334 / 100)"),"Loading...")</f>
        <v>Loading...</v>
      </c>
      <c r="G334" s="20" t="str">
        <f>IFERROR(__xludf.DUMMYFUNCTION("AVERAGE(ARRAYFORMULA(100 * (QUERY(GOOGLEFINANCE(C334, ""high"", TODAY()-40, TODAY()), ""SELECT Col2 WHERE Col2 IS NOT NULL ORDER BY Col1 DESC LIMIT 20"", 0) / QUERY(GOOGLEFINANCE(C334, ""low"", TODAY()-40, TODAY()), ""SELECT Col2 WHERE Col2 IS NOT NULL OR"&amp;"DER BY Col1 DESC LIMIT 20"", 0) - 1)))"),"#N/A")</f>
        <v>#N/A</v>
      </c>
      <c r="H334" s="35" t="str">
        <f t="shared" si="6"/>
        <v/>
      </c>
      <c r="I334" s="36" t="str">
        <f t="shared" si="7"/>
        <v/>
      </c>
      <c r="J334" s="37" t="str">
        <f>IFERROR(__xludf.DUMMYFUNCTION("IFERROR(
  IF(C334="""",, 
    IFERROR(
      GOOGLEFINANCE(C334, ""price"") * GOOGLEFINANCE(C334, ""volumeavg""), 
      GOOGLEFINANCE(C334, ""price"") * AVERAGE(QUERY(GOOGLEFINANCE(C334, ""volume"", TODAY()-40, TODAY()), ""SELECT Col2 WHERE Col2 IS NOT "&amp;"NULL ORDER BY Col1 DESC LIMIT 20"", 0))
    )
  ), 
"""")"),"")</f>
        <v/>
      </c>
      <c r="K334" s="21" t="str">
        <f>IFERROR(__xludf.DUMMYFUNCTION("IFERROR(GOOGLEFINANCE(C334, ""changepct"") / 100, """")"),"")</f>
        <v/>
      </c>
      <c r="L334" s="21" t="str">
        <f>IFERROR(__xludf.DUMMYFUNCTION("IFERROR((GOOGLEFINANCE(C334, ""price"") / INDEX(GOOGLEFINANCE(C334, ""price"", TODAY()-7, TODAY()), 2, 2)) - 1, """")"),"")</f>
        <v/>
      </c>
      <c r="M334" s="21" t="str">
        <f>IFERROR(__xludf.DUMMYFUNCTION("IFERROR((GOOGLEFINANCE(C334, ""price"") / INDEX(GOOGLEFINANCE(C334, ""price"", EDATE(TODAY(), -1), TODAY()), 2, 2)) - 1, """")"),"")</f>
        <v/>
      </c>
      <c r="N334" s="21" t="str">
        <f>IFERROR(__xludf.DUMMYFUNCTION("IFERROR((GOOGLEFINANCE(C334, ""price"") / INDEX(GOOGLEFINANCE(C334, ""price"", EDATE(TODAY(), -3), TODAY()), 2, 2)) - 1, """")"),"")</f>
        <v/>
      </c>
      <c r="O334" s="21" t="str">
        <f>IFERROR(__xludf.DUMMYFUNCTION("IFERROR((GOOGLEFINANCE(C334, ""price"") / INDEX(GOOGLEFINANCE(C334, ""price"", EDATE(TODAY(), -6), TODAY()), 2, 2)) - 1, """")"),"")</f>
        <v/>
      </c>
      <c r="P334" s="21" t="str">
        <f>IFERROR(__xludf.DUMMYFUNCTION("IFERROR((GOOGLEFINANCE(C334, ""price"") / INDEX(GOOGLEFINANCE(C334, ""price"", EDATE(TODAY(), -12), TODAY()), 2, 2)) - 1, """")"),"")</f>
        <v/>
      </c>
      <c r="Q334" s="6" t="str">
        <f>IFERROR(__xludf.DUMMYFUNCTION("AVERAGE(QUERY(GOOGLEFINANCE(C334, ""price"", TODAY()-80, TODAY()), ""SELECT Col2 WHERE Col2 IS NOT NULL ORDER BY Col1 DESC LIMIT 50"", 0))"),"#N/A")</f>
        <v>#N/A</v>
      </c>
      <c r="R334" s="24" t="str">
        <f>IFERROR(__xludf.DUMMYFUNCTION("IFERROR(
  LET(
    data, QUERY(GOOGLEFINANCE(C334,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GOOGLEFINANCE(C334, ""price"")) * 100,
    IF(calc=0, G334, calc)
  ), 
G334)"),"#N/A")</f>
        <v>#N/A</v>
      </c>
      <c r="S334" s="8" t="s">
        <v>15</v>
      </c>
      <c r="T334" s="26" t="str">
        <f>IFERROR(__xludf.DUMMYFUNCTION("IFERROR(TRANSPOSE(QUERY(IFERROR(SORT(GOOGLEFINANCE(C334, ""price"", WORKDAY(TODAY(), -40), TODAY()), 1, FALSE)), ""select Col2 where Col2 is not null limit 22 label Col2 ''"", 0)), """")"),"")</f>
        <v/>
      </c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8"/>
      <c r="AO334" s="28"/>
      <c r="AP334" s="29"/>
      <c r="AQ334" s="29" t="str">
        <f t="shared" ref="AQ334:BL334" si="337">T334/T$2</f>
        <v>#N/A</v>
      </c>
      <c r="AR334" s="29" t="str">
        <f t="shared" si="337"/>
        <v>#DIV/0!</v>
      </c>
      <c r="AS334" s="29" t="str">
        <f t="shared" si="337"/>
        <v>#DIV/0!</v>
      </c>
      <c r="AT334" s="29" t="str">
        <f t="shared" si="337"/>
        <v>#DIV/0!</v>
      </c>
      <c r="AU334" s="29" t="str">
        <f t="shared" si="337"/>
        <v>#DIV/0!</v>
      </c>
      <c r="AV334" s="29" t="str">
        <f t="shared" si="337"/>
        <v>#DIV/0!</v>
      </c>
      <c r="AW334" s="29" t="str">
        <f t="shared" si="337"/>
        <v>#DIV/0!</v>
      </c>
      <c r="AX334" s="29" t="str">
        <f t="shared" si="337"/>
        <v>#DIV/0!</v>
      </c>
      <c r="AY334" s="29" t="str">
        <f t="shared" si="337"/>
        <v>#DIV/0!</v>
      </c>
      <c r="AZ334" s="29" t="str">
        <f t="shared" si="337"/>
        <v>#DIV/0!</v>
      </c>
      <c r="BA334" s="29" t="str">
        <f t="shared" si="337"/>
        <v>#DIV/0!</v>
      </c>
      <c r="BB334" s="29" t="str">
        <f t="shared" si="337"/>
        <v>#DIV/0!</v>
      </c>
      <c r="BC334" s="29" t="str">
        <f t="shared" si="337"/>
        <v>#DIV/0!</v>
      </c>
      <c r="BD334" s="29" t="str">
        <f t="shared" si="337"/>
        <v>#DIV/0!</v>
      </c>
      <c r="BE334" s="29" t="str">
        <f t="shared" si="337"/>
        <v>#DIV/0!</v>
      </c>
      <c r="BF334" s="29" t="str">
        <f t="shared" si="337"/>
        <v>#DIV/0!</v>
      </c>
      <c r="BG334" s="29" t="str">
        <f t="shared" si="337"/>
        <v>#DIV/0!</v>
      </c>
      <c r="BH334" s="29" t="str">
        <f t="shared" si="337"/>
        <v>#DIV/0!</v>
      </c>
      <c r="BI334" s="29" t="str">
        <f t="shared" si="337"/>
        <v>#DIV/0!</v>
      </c>
      <c r="BJ334" s="29" t="str">
        <f t="shared" si="337"/>
        <v>#DIV/0!</v>
      </c>
      <c r="BK334" s="29" t="str">
        <f t="shared" si="337"/>
        <v>#DIV/0!</v>
      </c>
      <c r="BL334" s="29" t="str">
        <f t="shared" si="337"/>
        <v>#DIV/0!</v>
      </c>
      <c r="BM334" s="29" t="str">
        <f t="shared" si="3"/>
        <v>#DIV/0!</v>
      </c>
    </row>
    <row r="335">
      <c r="A335" s="16" t="str">
        <f>IFERROR(__xludf.DUMMYFUNCTION("IFERROR(SPARKLINE(SORT(MAP(TRANSPOSE(AQ335:BL335), LAMBDA(val, IF(ISNUMBER(val), PERCENTRANK(AQ335:BL335, val)+0.01, 0))), SEQUENCE(COLUMNS(AQ335:BL335)), FALSE), {""charttype"",""column""; ""color"",""chartreuse""; ""ymin"", 0; ""ymax"", 1.01; ""highcolo"&amp;"r"", ""darkgreen""; ""lowcolor"", ""red""}), """")"),"")</f>
        <v/>
      </c>
      <c r="B335" s="17" t="str">
        <f t="shared" si="4"/>
        <v/>
      </c>
      <c r="C335" s="1" t="s">
        <v>1576</v>
      </c>
      <c r="D335" s="34" t="str">
        <f>IFERROR(__xludf.DUMMYFUNCTION("IFERROR(GOOGLEFINANCE(C335, ""NAME""))"),"Wells Fargo &amp; Company")</f>
        <v>Wells Fargo &amp; Company</v>
      </c>
      <c r="E335" s="30" t="s">
        <v>236</v>
      </c>
      <c r="F335" s="33" t="str">
        <f>IFERROR(__xludf.DUMMYFUNCTION("( (GOOGLEFINANCE(C335, ""price"") - Q335) / Q335 ) / (R335 / 100)"),"Loading...")</f>
        <v>Loading...</v>
      </c>
      <c r="G335" s="20" t="str">
        <f>IFERROR(__xludf.DUMMYFUNCTION("AVERAGE(ARRAYFORMULA(100 * (QUERY(GOOGLEFINANCE(C335, ""high"", TODAY()-40, TODAY()), ""SELECT Col2 WHERE Col2 IS NOT NULL ORDER BY Col1 DESC LIMIT 20"", 0) / QUERY(GOOGLEFINANCE(C335, ""low"", TODAY()-40, TODAY()), ""SELECT Col2 WHERE Col2 IS NOT NULL OR"&amp;"DER BY Col1 DESC LIMIT 20"", 0) - 1)))"),"#N/A")</f>
        <v>#N/A</v>
      </c>
      <c r="H335" s="35" t="str">
        <f t="shared" si="6"/>
        <v/>
      </c>
      <c r="I335" s="36" t="str">
        <f t="shared" si="7"/>
        <v/>
      </c>
      <c r="J335" s="37" t="str">
        <f>IFERROR(__xludf.DUMMYFUNCTION("IFERROR(
  IF(C335="""",, 
    IFERROR(
      GOOGLEFINANCE(C335, ""price"") * GOOGLEFINANCE(C335, ""volumeavg""), 
      GOOGLEFINANCE(C335, ""price"") * AVERAGE(QUERY(GOOGLEFINANCE(C335, ""volume"", TODAY()-40, TODAY()), ""SELECT Col2 WHERE Col2 IS NOT "&amp;"NULL ORDER BY Col1 DESC LIMIT 20"", 0))
    )
  ), 
"""")"),"")</f>
        <v/>
      </c>
      <c r="K335" s="21" t="str">
        <f>IFERROR(__xludf.DUMMYFUNCTION("IFERROR(GOOGLEFINANCE(C335, ""changepct"") / 100, """")"),"")</f>
        <v/>
      </c>
      <c r="L335" s="21" t="str">
        <f>IFERROR(__xludf.DUMMYFUNCTION("IFERROR((GOOGLEFINANCE(C335, ""price"") / INDEX(GOOGLEFINANCE(C335, ""price"", TODAY()-7, TODAY()), 2, 2)) - 1, """")"),"")</f>
        <v/>
      </c>
      <c r="M335" s="21" t="str">
        <f>IFERROR(__xludf.DUMMYFUNCTION("IFERROR((GOOGLEFINANCE(C335, ""price"") / INDEX(GOOGLEFINANCE(C335, ""price"", EDATE(TODAY(), -1), TODAY()), 2, 2)) - 1, """")"),"")</f>
        <v/>
      </c>
      <c r="N335" s="21" t="str">
        <f>IFERROR(__xludf.DUMMYFUNCTION("IFERROR((GOOGLEFINANCE(C335, ""price"") / INDEX(GOOGLEFINANCE(C335, ""price"", EDATE(TODAY(), -3), TODAY()), 2, 2)) - 1, """")"),"")</f>
        <v/>
      </c>
      <c r="O335" s="21" t="str">
        <f>IFERROR(__xludf.DUMMYFUNCTION("IFERROR((GOOGLEFINANCE(C335, ""price"") / INDEX(GOOGLEFINANCE(C335, ""price"", EDATE(TODAY(), -6), TODAY()), 2, 2)) - 1, """")"),"")</f>
        <v/>
      </c>
      <c r="P335" s="21" t="str">
        <f>IFERROR(__xludf.DUMMYFUNCTION("IFERROR((GOOGLEFINANCE(C335, ""price"") / INDEX(GOOGLEFINANCE(C335, ""price"", EDATE(TODAY(), -12), TODAY()), 2, 2)) - 1, """")"),"")</f>
        <v/>
      </c>
      <c r="Q335" s="6" t="str">
        <f>IFERROR(__xludf.DUMMYFUNCTION("AVERAGE(QUERY(GOOGLEFINANCE(C335, ""price"", TODAY()-80, TODAY()), ""SELECT Col2 WHERE Col2 IS NOT NULL ORDER BY Col1 DESC LIMIT 50"", 0))"),"#N/A")</f>
        <v>#N/A</v>
      </c>
      <c r="R335" s="24" t="str">
        <f>IFERROR(__xludf.DUMMYFUNCTION("IFERROR(
  LET(
    data, QUERY(GOOGLEFINANCE(C335,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GOOGLEFINANCE(C335, ""price"")) * 100,
    IF(calc=0, G335, calc)
  ), 
G335)"),"#N/A")</f>
        <v>#N/A</v>
      </c>
      <c r="S335" s="8" t="s">
        <v>15</v>
      </c>
      <c r="T335" s="26" t="str">
        <f>IFERROR(__xludf.DUMMYFUNCTION("IFERROR(TRANSPOSE(QUERY(IFERROR(SORT(GOOGLEFINANCE(C335, ""price"", WORKDAY(TODAY(), -40), TODAY()), 1, FALSE)), ""select Col2 where Col2 is not null limit 22 label Col2 ''"", 0)), """")"),"")</f>
        <v/>
      </c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8"/>
      <c r="AO335" s="28"/>
      <c r="AP335" s="29"/>
      <c r="AQ335" s="29" t="str">
        <f t="shared" ref="AQ335:BL335" si="338">T335/T$2</f>
        <v>#N/A</v>
      </c>
      <c r="AR335" s="29" t="str">
        <f t="shared" si="338"/>
        <v>#DIV/0!</v>
      </c>
      <c r="AS335" s="29" t="str">
        <f t="shared" si="338"/>
        <v>#DIV/0!</v>
      </c>
      <c r="AT335" s="29" t="str">
        <f t="shared" si="338"/>
        <v>#DIV/0!</v>
      </c>
      <c r="AU335" s="29" t="str">
        <f t="shared" si="338"/>
        <v>#DIV/0!</v>
      </c>
      <c r="AV335" s="29" t="str">
        <f t="shared" si="338"/>
        <v>#DIV/0!</v>
      </c>
      <c r="AW335" s="29" t="str">
        <f t="shared" si="338"/>
        <v>#DIV/0!</v>
      </c>
      <c r="AX335" s="29" t="str">
        <f t="shared" si="338"/>
        <v>#DIV/0!</v>
      </c>
      <c r="AY335" s="29" t="str">
        <f t="shared" si="338"/>
        <v>#DIV/0!</v>
      </c>
      <c r="AZ335" s="29" t="str">
        <f t="shared" si="338"/>
        <v>#DIV/0!</v>
      </c>
      <c r="BA335" s="29" t="str">
        <f t="shared" si="338"/>
        <v>#DIV/0!</v>
      </c>
      <c r="BB335" s="29" t="str">
        <f t="shared" si="338"/>
        <v>#DIV/0!</v>
      </c>
      <c r="BC335" s="29" t="str">
        <f t="shared" si="338"/>
        <v>#DIV/0!</v>
      </c>
      <c r="BD335" s="29" t="str">
        <f t="shared" si="338"/>
        <v>#DIV/0!</v>
      </c>
      <c r="BE335" s="29" t="str">
        <f t="shared" si="338"/>
        <v>#DIV/0!</v>
      </c>
      <c r="BF335" s="29" t="str">
        <f t="shared" si="338"/>
        <v>#DIV/0!</v>
      </c>
      <c r="BG335" s="29" t="str">
        <f t="shared" si="338"/>
        <v>#DIV/0!</v>
      </c>
      <c r="BH335" s="29" t="str">
        <f t="shared" si="338"/>
        <v>#DIV/0!</v>
      </c>
      <c r="BI335" s="29" t="str">
        <f t="shared" si="338"/>
        <v>#DIV/0!</v>
      </c>
      <c r="BJ335" s="29" t="str">
        <f t="shared" si="338"/>
        <v>#DIV/0!</v>
      </c>
      <c r="BK335" s="29" t="str">
        <f t="shared" si="338"/>
        <v>#DIV/0!</v>
      </c>
      <c r="BL335" s="29" t="str">
        <f t="shared" si="338"/>
        <v>#DIV/0!</v>
      </c>
      <c r="BM335" s="29" t="str">
        <f t="shared" si="3"/>
        <v>#DIV/0!</v>
      </c>
    </row>
    <row r="336">
      <c r="A336" s="16" t="str">
        <f>IFERROR(__xludf.DUMMYFUNCTION("IFERROR(SPARKLINE(SORT(MAP(TRANSPOSE(AQ336:BL336), LAMBDA(val, IF(ISNUMBER(val), PERCENTRANK(AQ336:BL336, val)+0.01, 0))), SEQUENCE(COLUMNS(AQ336:BL336)), FALSE), {""charttype"",""column""; ""color"",""chartreuse""; ""ymin"", 0; ""ymax"", 1.01; ""highcolo"&amp;"r"", ""darkgreen""; ""lowcolor"", ""red""}), """")"),"")</f>
        <v/>
      </c>
      <c r="B336" s="17" t="str">
        <f t="shared" si="4"/>
        <v/>
      </c>
      <c r="C336" s="1" t="s">
        <v>1580</v>
      </c>
      <c r="D336" s="34" t="str">
        <f>IFERROR(__xludf.DUMMYFUNCTION("IFERROR(GOOGLEFINANCE(C336, ""NAME""))"),"")</f>
        <v/>
      </c>
      <c r="E336" s="30" t="s">
        <v>268</v>
      </c>
      <c r="F336" s="33" t="str">
        <f>IFERROR(__xludf.DUMMYFUNCTION("( (GOOGLEFINANCE(C336, ""price"") - Q336) / Q336 ) / (R336 / 100)"),"Loading...")</f>
        <v>Loading...</v>
      </c>
      <c r="G336" s="20" t="str">
        <f>IFERROR(__xludf.DUMMYFUNCTION("AVERAGE(ARRAYFORMULA(100 * (QUERY(GOOGLEFINANCE(C336, ""high"", TODAY()-40, TODAY()), ""SELECT Col2 WHERE Col2 IS NOT NULL ORDER BY Col1 DESC LIMIT 20"", 0) / QUERY(GOOGLEFINANCE(C336, ""low"", TODAY()-40, TODAY()), ""SELECT Col2 WHERE Col2 IS NOT NULL OR"&amp;"DER BY Col1 DESC LIMIT 20"", 0) - 1)))"),"#N/A")</f>
        <v>#N/A</v>
      </c>
      <c r="H336" s="35" t="str">
        <f t="shared" si="6"/>
        <v/>
      </c>
      <c r="I336" s="36" t="str">
        <f t="shared" si="7"/>
        <v/>
      </c>
      <c r="J336" s="37" t="str">
        <f>IFERROR(__xludf.DUMMYFUNCTION("IFERROR(
  IF(C336="""",, 
    IFERROR(
      GOOGLEFINANCE(C336, ""price"") * GOOGLEFINANCE(C336, ""volumeavg""), 
      GOOGLEFINANCE(C336, ""price"") * AVERAGE(QUERY(GOOGLEFINANCE(C336, ""volume"", TODAY()-40, TODAY()), ""SELECT Col2 WHERE Col2 IS NOT "&amp;"NULL ORDER BY Col1 DESC LIMIT 20"", 0))
    )
  ), 
"""")"),"")</f>
        <v/>
      </c>
      <c r="K336" s="21" t="str">
        <f>IFERROR(__xludf.DUMMYFUNCTION("IFERROR(GOOGLEFINANCE(C336, ""changepct"") / 100, """")"),"")</f>
        <v/>
      </c>
      <c r="L336" s="21" t="str">
        <f>IFERROR(__xludf.DUMMYFUNCTION("IFERROR((GOOGLEFINANCE(C336, ""price"") / INDEX(GOOGLEFINANCE(C336, ""price"", TODAY()-7, TODAY()), 2, 2)) - 1, """")"),"")</f>
        <v/>
      </c>
      <c r="M336" s="21" t="str">
        <f>IFERROR(__xludf.DUMMYFUNCTION("IFERROR((GOOGLEFINANCE(C336, ""price"") / INDEX(GOOGLEFINANCE(C336, ""price"", EDATE(TODAY(), -1), TODAY()), 2, 2)) - 1, """")"),"")</f>
        <v/>
      </c>
      <c r="N336" s="21" t="str">
        <f>IFERROR(__xludf.DUMMYFUNCTION("IFERROR((GOOGLEFINANCE(C336, ""price"") / INDEX(GOOGLEFINANCE(C336, ""price"", EDATE(TODAY(), -3), TODAY()), 2, 2)) - 1, """")"),"")</f>
        <v/>
      </c>
      <c r="O336" s="21" t="str">
        <f>IFERROR(__xludf.DUMMYFUNCTION("IFERROR((GOOGLEFINANCE(C336, ""price"") / INDEX(GOOGLEFINANCE(C336, ""price"", EDATE(TODAY(), -6), TODAY()), 2, 2)) - 1, """")"),"")</f>
        <v/>
      </c>
      <c r="P336" s="21" t="str">
        <f>IFERROR(__xludf.DUMMYFUNCTION("IFERROR((GOOGLEFINANCE(C336, ""price"") / INDEX(GOOGLEFINANCE(C336, ""price"", EDATE(TODAY(), -12), TODAY()), 2, 2)) - 1, """")"),"")</f>
        <v/>
      </c>
      <c r="Q336" s="6" t="str">
        <f>IFERROR(__xludf.DUMMYFUNCTION("AVERAGE(QUERY(GOOGLEFINANCE(C336, ""price"", TODAY()-80, TODAY()), ""SELECT Col2 WHERE Col2 IS NOT NULL ORDER BY Col1 DESC LIMIT 50"", 0))"),"#N/A")</f>
        <v>#N/A</v>
      </c>
      <c r="R336" s="24" t="str">
        <f>IFERROR(__xludf.DUMMYFUNCTION("IFERROR(
  LET(
    data, QUERY(GOOGLEFINANCE(C336,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GOOGLEFINANCE(C336, ""price"")) * 100,
    IF(calc=0, G336, calc)
  ), 
G336)"),"#N/A")</f>
        <v>#N/A</v>
      </c>
      <c r="S336" s="8" t="s">
        <v>15</v>
      </c>
      <c r="T336" s="26" t="str">
        <f>IFERROR(__xludf.DUMMYFUNCTION("IFERROR(TRANSPOSE(QUERY(IFERROR(SORT(GOOGLEFINANCE(C336, ""price"", WORKDAY(TODAY(), -40), TODAY()), 1, FALSE)), ""select Col2 where Col2 is not null limit 22 label Col2 ''"", 0)), """")"),"")</f>
        <v/>
      </c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8"/>
      <c r="AO336" s="28"/>
      <c r="AP336" s="29"/>
      <c r="AQ336" s="29" t="str">
        <f t="shared" ref="AQ336:BL336" si="339">T336/T$2</f>
        <v>#N/A</v>
      </c>
      <c r="AR336" s="29" t="str">
        <f t="shared" si="339"/>
        <v>#DIV/0!</v>
      </c>
      <c r="AS336" s="29" t="str">
        <f t="shared" si="339"/>
        <v>#DIV/0!</v>
      </c>
      <c r="AT336" s="29" t="str">
        <f t="shared" si="339"/>
        <v>#DIV/0!</v>
      </c>
      <c r="AU336" s="29" t="str">
        <f t="shared" si="339"/>
        <v>#DIV/0!</v>
      </c>
      <c r="AV336" s="29" t="str">
        <f t="shared" si="339"/>
        <v>#DIV/0!</v>
      </c>
      <c r="AW336" s="29" t="str">
        <f t="shared" si="339"/>
        <v>#DIV/0!</v>
      </c>
      <c r="AX336" s="29" t="str">
        <f t="shared" si="339"/>
        <v>#DIV/0!</v>
      </c>
      <c r="AY336" s="29" t="str">
        <f t="shared" si="339"/>
        <v>#DIV/0!</v>
      </c>
      <c r="AZ336" s="29" t="str">
        <f t="shared" si="339"/>
        <v>#DIV/0!</v>
      </c>
      <c r="BA336" s="29" t="str">
        <f t="shared" si="339"/>
        <v>#DIV/0!</v>
      </c>
      <c r="BB336" s="29" t="str">
        <f t="shared" si="339"/>
        <v>#DIV/0!</v>
      </c>
      <c r="BC336" s="29" t="str">
        <f t="shared" si="339"/>
        <v>#DIV/0!</v>
      </c>
      <c r="BD336" s="29" t="str">
        <f t="shared" si="339"/>
        <v>#DIV/0!</v>
      </c>
      <c r="BE336" s="29" t="str">
        <f t="shared" si="339"/>
        <v>#DIV/0!</v>
      </c>
      <c r="BF336" s="29" t="str">
        <f t="shared" si="339"/>
        <v>#DIV/0!</v>
      </c>
      <c r="BG336" s="29" t="str">
        <f t="shared" si="339"/>
        <v>#DIV/0!</v>
      </c>
      <c r="BH336" s="29" t="str">
        <f t="shared" si="339"/>
        <v>#DIV/0!</v>
      </c>
      <c r="BI336" s="29" t="str">
        <f t="shared" si="339"/>
        <v>#DIV/0!</v>
      </c>
      <c r="BJ336" s="29" t="str">
        <f t="shared" si="339"/>
        <v>#DIV/0!</v>
      </c>
      <c r="BK336" s="29" t="str">
        <f t="shared" si="339"/>
        <v>#DIV/0!</v>
      </c>
      <c r="BL336" s="29" t="str">
        <f t="shared" si="339"/>
        <v>#DIV/0!</v>
      </c>
      <c r="BM336" s="29" t="str">
        <f t="shared" si="3"/>
        <v>#DIV/0!</v>
      </c>
    </row>
    <row r="337">
      <c r="A337" s="16" t="str">
        <f>IFERROR(__xludf.DUMMYFUNCTION("IFERROR(SPARKLINE(SORT(MAP(TRANSPOSE(AQ337:BL337), LAMBDA(val, IF(ISNUMBER(val), PERCENTRANK(AQ337:BL337, val)+0.01, 0))), SEQUENCE(COLUMNS(AQ337:BL337)), FALSE), {""charttype"",""column""; ""color"",""chartreuse""; ""ymin"", 0; ""ymax"", 1.01; ""highcolo"&amp;"r"", ""darkgreen""; ""lowcolor"", ""red""}), """")"),"")</f>
        <v/>
      </c>
      <c r="B337" s="17" t="str">
        <f t="shared" si="4"/>
        <v/>
      </c>
      <c r="C337" s="1" t="s">
        <v>1584</v>
      </c>
      <c r="D337" s="34" t="str">
        <f>IFERROR(__xludf.DUMMYFUNCTION("IFERROR(GOOGLEFINANCE(C337, ""NAME""))"),"Community Financial System Inc")</f>
        <v>Community Financial System Inc</v>
      </c>
      <c r="E337" s="30" t="s">
        <v>268</v>
      </c>
      <c r="F337" s="33" t="str">
        <f>IFERROR(__xludf.DUMMYFUNCTION("( (GOOGLEFINANCE(C337, ""price"") - Q337) / Q337 ) / (R337 / 100)"),"Loading...")</f>
        <v>Loading...</v>
      </c>
      <c r="G337" s="20" t="str">
        <f>IFERROR(__xludf.DUMMYFUNCTION("AVERAGE(ARRAYFORMULA(100 * (QUERY(GOOGLEFINANCE(C337, ""high"", TODAY()-40, TODAY()), ""SELECT Col2 WHERE Col2 IS NOT NULL ORDER BY Col1 DESC LIMIT 20"", 0) / QUERY(GOOGLEFINANCE(C337, ""low"", TODAY()-40, TODAY()), ""SELECT Col2 WHERE Col2 IS NOT NULL OR"&amp;"DER BY Col1 DESC LIMIT 20"", 0) - 1)))"),"#N/A")</f>
        <v>#N/A</v>
      </c>
      <c r="H337" s="35" t="str">
        <f t="shared" si="6"/>
        <v/>
      </c>
      <c r="I337" s="36" t="str">
        <f t="shared" si="7"/>
        <v/>
      </c>
      <c r="J337" s="37" t="str">
        <f>IFERROR(__xludf.DUMMYFUNCTION("IFERROR(
  IF(C337="""",, 
    IFERROR(
      GOOGLEFINANCE(C337, ""price"") * GOOGLEFINANCE(C337, ""volumeavg""), 
      GOOGLEFINANCE(C337, ""price"") * AVERAGE(QUERY(GOOGLEFINANCE(C337, ""volume"", TODAY()-40, TODAY()), ""SELECT Col2 WHERE Col2 IS NOT "&amp;"NULL ORDER BY Col1 DESC LIMIT 20"", 0))
    )
  ), 
"""")"),"")</f>
        <v/>
      </c>
      <c r="K337" s="21" t="str">
        <f>IFERROR(__xludf.DUMMYFUNCTION("IFERROR(GOOGLEFINANCE(C337, ""changepct"") / 100, """")"),"")</f>
        <v/>
      </c>
      <c r="L337" s="21" t="str">
        <f>IFERROR(__xludf.DUMMYFUNCTION("IFERROR((GOOGLEFINANCE(C337, ""price"") / INDEX(GOOGLEFINANCE(C337, ""price"", TODAY()-7, TODAY()), 2, 2)) - 1, """")"),"")</f>
        <v/>
      </c>
      <c r="M337" s="21" t="str">
        <f>IFERROR(__xludf.DUMMYFUNCTION("IFERROR((GOOGLEFINANCE(C337, ""price"") / INDEX(GOOGLEFINANCE(C337, ""price"", EDATE(TODAY(), -1), TODAY()), 2, 2)) - 1, """")"),"")</f>
        <v/>
      </c>
      <c r="N337" s="21" t="str">
        <f>IFERROR(__xludf.DUMMYFUNCTION("IFERROR((GOOGLEFINANCE(C337, ""price"") / INDEX(GOOGLEFINANCE(C337, ""price"", EDATE(TODAY(), -3), TODAY()), 2, 2)) - 1, """")"),"")</f>
        <v/>
      </c>
      <c r="O337" s="21" t="str">
        <f>IFERROR(__xludf.DUMMYFUNCTION("IFERROR((GOOGLEFINANCE(C337, ""price"") / INDEX(GOOGLEFINANCE(C337, ""price"", EDATE(TODAY(), -6), TODAY()), 2, 2)) - 1, """")"),"")</f>
        <v/>
      </c>
      <c r="P337" s="21" t="str">
        <f>IFERROR(__xludf.DUMMYFUNCTION("IFERROR((GOOGLEFINANCE(C337, ""price"") / INDEX(GOOGLEFINANCE(C337, ""price"", EDATE(TODAY(), -12), TODAY()), 2, 2)) - 1, """")"),"")</f>
        <v/>
      </c>
      <c r="Q337" s="6" t="str">
        <f>IFERROR(__xludf.DUMMYFUNCTION("AVERAGE(QUERY(GOOGLEFINANCE(C337, ""price"", TODAY()-80, TODAY()), ""SELECT Col2 WHERE Col2 IS NOT NULL ORDER BY Col1 DESC LIMIT 50"", 0))"),"#N/A")</f>
        <v>#N/A</v>
      </c>
      <c r="R337" s="24" t="str">
        <f>IFERROR(__xludf.DUMMYFUNCTION("IFERROR(
  LET(
    data, QUERY(GOOGLEFINANCE(C337,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GOOGLEFINANCE(C337, ""price"")) * 100,
    IF(calc=0, G337, calc)
  ), 
G337)"),"#N/A")</f>
        <v>#N/A</v>
      </c>
      <c r="S337" s="8" t="s">
        <v>15</v>
      </c>
      <c r="T337" s="26" t="str">
        <f>IFERROR(__xludf.DUMMYFUNCTION("IFERROR(TRANSPOSE(QUERY(IFERROR(SORT(GOOGLEFINANCE(C337, ""price"", WORKDAY(TODAY(), -40), TODAY()), 1, FALSE)), ""select Col2 where Col2 is not null limit 22 label Col2 ''"", 0)), """")"),"")</f>
        <v/>
      </c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8"/>
      <c r="AO337" s="28"/>
      <c r="AP337" s="29"/>
      <c r="AQ337" s="29" t="str">
        <f t="shared" ref="AQ337:BL337" si="340">T337/T$2</f>
        <v>#N/A</v>
      </c>
      <c r="AR337" s="29" t="str">
        <f t="shared" si="340"/>
        <v>#DIV/0!</v>
      </c>
      <c r="AS337" s="29" t="str">
        <f t="shared" si="340"/>
        <v>#DIV/0!</v>
      </c>
      <c r="AT337" s="29" t="str">
        <f t="shared" si="340"/>
        <v>#DIV/0!</v>
      </c>
      <c r="AU337" s="29" t="str">
        <f t="shared" si="340"/>
        <v>#DIV/0!</v>
      </c>
      <c r="AV337" s="29" t="str">
        <f t="shared" si="340"/>
        <v>#DIV/0!</v>
      </c>
      <c r="AW337" s="29" t="str">
        <f t="shared" si="340"/>
        <v>#DIV/0!</v>
      </c>
      <c r="AX337" s="29" t="str">
        <f t="shared" si="340"/>
        <v>#DIV/0!</v>
      </c>
      <c r="AY337" s="29" t="str">
        <f t="shared" si="340"/>
        <v>#DIV/0!</v>
      </c>
      <c r="AZ337" s="29" t="str">
        <f t="shared" si="340"/>
        <v>#DIV/0!</v>
      </c>
      <c r="BA337" s="29" t="str">
        <f t="shared" si="340"/>
        <v>#DIV/0!</v>
      </c>
      <c r="BB337" s="29" t="str">
        <f t="shared" si="340"/>
        <v>#DIV/0!</v>
      </c>
      <c r="BC337" s="29" t="str">
        <f t="shared" si="340"/>
        <v>#DIV/0!</v>
      </c>
      <c r="BD337" s="29" t="str">
        <f t="shared" si="340"/>
        <v>#DIV/0!</v>
      </c>
      <c r="BE337" s="29" t="str">
        <f t="shared" si="340"/>
        <v>#DIV/0!</v>
      </c>
      <c r="BF337" s="29" t="str">
        <f t="shared" si="340"/>
        <v>#DIV/0!</v>
      </c>
      <c r="BG337" s="29" t="str">
        <f t="shared" si="340"/>
        <v>#DIV/0!</v>
      </c>
      <c r="BH337" s="29" t="str">
        <f t="shared" si="340"/>
        <v>#DIV/0!</v>
      </c>
      <c r="BI337" s="29" t="str">
        <f t="shared" si="340"/>
        <v>#DIV/0!</v>
      </c>
      <c r="BJ337" s="29" t="str">
        <f t="shared" si="340"/>
        <v>#DIV/0!</v>
      </c>
      <c r="BK337" s="29" t="str">
        <f t="shared" si="340"/>
        <v>#DIV/0!</v>
      </c>
      <c r="BL337" s="29" t="str">
        <f t="shared" si="340"/>
        <v>#DIV/0!</v>
      </c>
      <c r="BM337" s="29" t="str">
        <f t="shared" si="3"/>
        <v>#DIV/0!</v>
      </c>
    </row>
    <row r="338">
      <c r="A338" s="16" t="str">
        <f>IFERROR(__xludf.DUMMYFUNCTION("IFERROR(SPARKLINE(SORT(MAP(TRANSPOSE(AQ338:BL338), LAMBDA(val, IF(ISNUMBER(val), PERCENTRANK(AQ338:BL338, val)+0.01, 0))), SEQUENCE(COLUMNS(AQ338:BL338)), FALSE), {""charttype"",""column""; ""color"",""chartreuse""; ""ymin"", 0; ""ymax"", 1.01; ""highcolo"&amp;"r"", ""darkgreen""; ""lowcolor"", ""red""}), """")"),"")</f>
        <v/>
      </c>
      <c r="B338" s="17" t="str">
        <f t="shared" si="4"/>
        <v/>
      </c>
      <c r="C338" s="1" t="s">
        <v>1587</v>
      </c>
      <c r="D338" s="34" t="str">
        <f>IFERROR(__xludf.DUMMYFUNCTION("IFERROR(GOOGLEFINANCE(C338, ""NAME""))"),"Coastalsouth Bancshares Inc")</f>
        <v>Coastalsouth Bancshares Inc</v>
      </c>
      <c r="E338" s="30" t="s">
        <v>268</v>
      </c>
      <c r="F338" s="33" t="str">
        <f>IFERROR(__xludf.DUMMYFUNCTION("( (GOOGLEFINANCE(C338, ""price"") - Q338) / Q338 ) / (R338 / 100)"),"Loading...")</f>
        <v>Loading...</v>
      </c>
      <c r="G338" s="20" t="str">
        <f>IFERROR(__xludf.DUMMYFUNCTION("AVERAGE(ARRAYFORMULA(100 * (QUERY(GOOGLEFINANCE(C338, ""high"", TODAY()-40, TODAY()), ""SELECT Col2 WHERE Col2 IS NOT NULL ORDER BY Col1 DESC LIMIT 20"", 0) / QUERY(GOOGLEFINANCE(C338, ""low"", TODAY()-40, TODAY()), ""SELECT Col2 WHERE Col2 IS NOT NULL OR"&amp;"DER BY Col1 DESC LIMIT 20"", 0) - 1)))"),"#N/A")</f>
        <v>#N/A</v>
      </c>
      <c r="H338" s="35" t="str">
        <f t="shared" si="6"/>
        <v/>
      </c>
      <c r="I338" s="36" t="str">
        <f t="shared" si="7"/>
        <v/>
      </c>
      <c r="J338" s="37" t="str">
        <f>IFERROR(__xludf.DUMMYFUNCTION("IFERROR(
  IF(C338="""",, 
    IFERROR(
      GOOGLEFINANCE(C338, ""price"") * GOOGLEFINANCE(C338, ""volumeavg""), 
      GOOGLEFINANCE(C338, ""price"") * AVERAGE(QUERY(GOOGLEFINANCE(C338, ""volume"", TODAY()-40, TODAY()), ""SELECT Col2 WHERE Col2 IS NOT "&amp;"NULL ORDER BY Col1 DESC LIMIT 20"", 0))
    )
  ), 
"""")"),"")</f>
        <v/>
      </c>
      <c r="K338" s="21" t="str">
        <f>IFERROR(__xludf.DUMMYFUNCTION("IFERROR(GOOGLEFINANCE(C338, ""changepct"") / 100, """")"),"")</f>
        <v/>
      </c>
      <c r="L338" s="21" t="str">
        <f>IFERROR(__xludf.DUMMYFUNCTION("IFERROR((GOOGLEFINANCE(C338, ""price"") / INDEX(GOOGLEFINANCE(C338, ""price"", TODAY()-7, TODAY()), 2, 2)) - 1, """")"),"")</f>
        <v/>
      </c>
      <c r="M338" s="21" t="str">
        <f>IFERROR(__xludf.DUMMYFUNCTION("IFERROR((GOOGLEFINANCE(C338, ""price"") / INDEX(GOOGLEFINANCE(C338, ""price"", EDATE(TODAY(), -1), TODAY()), 2, 2)) - 1, """")"),"")</f>
        <v/>
      </c>
      <c r="N338" s="21" t="str">
        <f>IFERROR(__xludf.DUMMYFUNCTION("IFERROR((GOOGLEFINANCE(C338, ""price"") / INDEX(GOOGLEFINANCE(C338, ""price"", EDATE(TODAY(), -3), TODAY()), 2, 2)) - 1, """")"),"")</f>
        <v/>
      </c>
      <c r="O338" s="21" t="str">
        <f>IFERROR(__xludf.DUMMYFUNCTION("IFERROR((GOOGLEFINANCE(C338, ""price"") / INDEX(GOOGLEFINANCE(C338, ""price"", EDATE(TODAY(), -6), TODAY()), 2, 2)) - 1, """")"),"")</f>
        <v/>
      </c>
      <c r="P338" s="21" t="str">
        <f>IFERROR(__xludf.DUMMYFUNCTION("IFERROR((GOOGLEFINANCE(C338, ""price"") / INDEX(GOOGLEFINANCE(C338, ""price"", EDATE(TODAY(), -12), TODAY()), 2, 2)) - 1, """")"),"")</f>
        <v/>
      </c>
      <c r="Q338" s="6" t="str">
        <f>IFERROR(__xludf.DUMMYFUNCTION("AVERAGE(QUERY(GOOGLEFINANCE(C338, ""price"", TODAY()-80, TODAY()), ""SELECT Col2 WHERE Col2 IS NOT NULL ORDER BY Col1 DESC LIMIT 50"", 0))"),"#N/A")</f>
        <v>#N/A</v>
      </c>
      <c r="R338" s="24" t="str">
        <f>IFERROR(__xludf.DUMMYFUNCTION("IFERROR(
  LET(
    data, QUERY(GOOGLEFINANCE(C338,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GOOGLEFINANCE(C338, ""price"")) * 100,
    IF(calc=0, G338, calc)
  ), 
G338)"),"#N/A")</f>
        <v>#N/A</v>
      </c>
      <c r="S338" s="8" t="s">
        <v>15</v>
      </c>
      <c r="T338" s="26" t="str">
        <f>IFERROR(__xludf.DUMMYFUNCTION("IFERROR(TRANSPOSE(QUERY(IFERROR(SORT(GOOGLEFINANCE(C338, ""price"", WORKDAY(TODAY(), -40), TODAY()), 1, FALSE)), ""select Col2 where Col2 is not null limit 22 label Col2 ''"", 0)), """")"),"")</f>
        <v/>
      </c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8"/>
      <c r="AO338" s="28"/>
      <c r="AP338" s="29"/>
      <c r="AQ338" s="29" t="str">
        <f t="shared" ref="AQ338:BL338" si="341">T338/T$2</f>
        <v>#N/A</v>
      </c>
      <c r="AR338" s="29" t="str">
        <f t="shared" si="341"/>
        <v>#DIV/0!</v>
      </c>
      <c r="AS338" s="29" t="str">
        <f t="shared" si="341"/>
        <v>#DIV/0!</v>
      </c>
      <c r="AT338" s="29" t="str">
        <f t="shared" si="341"/>
        <v>#DIV/0!</v>
      </c>
      <c r="AU338" s="29" t="str">
        <f t="shared" si="341"/>
        <v>#DIV/0!</v>
      </c>
      <c r="AV338" s="29" t="str">
        <f t="shared" si="341"/>
        <v>#DIV/0!</v>
      </c>
      <c r="AW338" s="29" t="str">
        <f t="shared" si="341"/>
        <v>#DIV/0!</v>
      </c>
      <c r="AX338" s="29" t="str">
        <f t="shared" si="341"/>
        <v>#DIV/0!</v>
      </c>
      <c r="AY338" s="29" t="str">
        <f t="shared" si="341"/>
        <v>#DIV/0!</v>
      </c>
      <c r="AZ338" s="29" t="str">
        <f t="shared" si="341"/>
        <v>#DIV/0!</v>
      </c>
      <c r="BA338" s="29" t="str">
        <f t="shared" si="341"/>
        <v>#DIV/0!</v>
      </c>
      <c r="BB338" s="29" t="str">
        <f t="shared" si="341"/>
        <v>#DIV/0!</v>
      </c>
      <c r="BC338" s="29" t="str">
        <f t="shared" si="341"/>
        <v>#DIV/0!</v>
      </c>
      <c r="BD338" s="29" t="str">
        <f t="shared" si="341"/>
        <v>#DIV/0!</v>
      </c>
      <c r="BE338" s="29" t="str">
        <f t="shared" si="341"/>
        <v>#DIV/0!</v>
      </c>
      <c r="BF338" s="29" t="str">
        <f t="shared" si="341"/>
        <v>#DIV/0!</v>
      </c>
      <c r="BG338" s="29" t="str">
        <f t="shared" si="341"/>
        <v>#DIV/0!</v>
      </c>
      <c r="BH338" s="29" t="str">
        <f t="shared" si="341"/>
        <v>#DIV/0!</v>
      </c>
      <c r="BI338" s="29" t="str">
        <f t="shared" si="341"/>
        <v>#DIV/0!</v>
      </c>
      <c r="BJ338" s="29" t="str">
        <f t="shared" si="341"/>
        <v>#DIV/0!</v>
      </c>
      <c r="BK338" s="29" t="str">
        <f t="shared" si="341"/>
        <v>#DIV/0!</v>
      </c>
      <c r="BL338" s="29" t="str">
        <f t="shared" si="341"/>
        <v>#DIV/0!</v>
      </c>
      <c r="BM338" s="29" t="str">
        <f t="shared" si="3"/>
        <v>#DIV/0!</v>
      </c>
    </row>
    <row r="339">
      <c r="A339" s="16" t="str">
        <f>IFERROR(__xludf.DUMMYFUNCTION("IFERROR(SPARKLINE(SORT(MAP(TRANSPOSE(AQ339:BL339), LAMBDA(val, IF(ISNUMBER(val), PERCENTRANK(AQ339:BL339, val)+0.01, 0))), SEQUENCE(COLUMNS(AQ339:BL339)), FALSE), {""charttype"",""column""; ""color"",""chartreuse""; ""ymin"", 0; ""ymax"", 1.01; ""highcolo"&amp;"r"", ""darkgreen""; ""lowcolor"", ""red""}), """")"),"")</f>
        <v/>
      </c>
      <c r="B339" s="17" t="str">
        <f t="shared" si="4"/>
        <v/>
      </c>
      <c r="C339" s="1" t="s">
        <v>1593</v>
      </c>
      <c r="D339" s="34" t="str">
        <f>IFERROR(__xludf.DUMMYFUNCTION("IFERROR(GOOGLEFINANCE(C339, ""NAME""))"),"United Bankshares Inc")</f>
        <v>United Bankshares Inc</v>
      </c>
      <c r="E339" s="30" t="s">
        <v>268</v>
      </c>
      <c r="F339" s="33" t="str">
        <f>IFERROR(__xludf.DUMMYFUNCTION("( (GOOGLEFINANCE(C339, ""price"") - Q339) / Q339 ) / (R339 / 100)"),"Loading...")</f>
        <v>Loading...</v>
      </c>
      <c r="G339" s="20" t="str">
        <f>IFERROR(__xludf.DUMMYFUNCTION("AVERAGE(ARRAYFORMULA(100 * (QUERY(GOOGLEFINANCE(C339, ""high"", TODAY()-40, TODAY()), ""SELECT Col2 WHERE Col2 IS NOT NULL ORDER BY Col1 DESC LIMIT 20"", 0) / QUERY(GOOGLEFINANCE(C339, ""low"", TODAY()-40, TODAY()), ""SELECT Col2 WHERE Col2 IS NOT NULL OR"&amp;"DER BY Col1 DESC LIMIT 20"", 0) - 1)))"),"#N/A")</f>
        <v>#N/A</v>
      </c>
      <c r="H339" s="35" t="str">
        <f t="shared" si="6"/>
        <v/>
      </c>
      <c r="I339" s="36" t="str">
        <f t="shared" si="7"/>
        <v/>
      </c>
      <c r="J339" s="37" t="str">
        <f>IFERROR(__xludf.DUMMYFUNCTION("IFERROR(
  IF(C339="""",, 
    IFERROR(
      GOOGLEFINANCE(C339, ""price"") * GOOGLEFINANCE(C339, ""volumeavg""), 
      GOOGLEFINANCE(C339, ""price"") * AVERAGE(QUERY(GOOGLEFINANCE(C339, ""volume"", TODAY()-40, TODAY()), ""SELECT Col2 WHERE Col2 IS NOT "&amp;"NULL ORDER BY Col1 DESC LIMIT 20"", 0))
    )
  ), 
"""")"),"")</f>
        <v/>
      </c>
      <c r="K339" s="21" t="str">
        <f>IFERROR(__xludf.DUMMYFUNCTION("IFERROR(GOOGLEFINANCE(C339, ""changepct"") / 100, """")"),"")</f>
        <v/>
      </c>
      <c r="L339" s="21" t="str">
        <f>IFERROR(__xludf.DUMMYFUNCTION("IFERROR((GOOGLEFINANCE(C339, ""price"") / INDEX(GOOGLEFINANCE(C339, ""price"", TODAY()-7, TODAY()), 2, 2)) - 1, """")"),"")</f>
        <v/>
      </c>
      <c r="M339" s="21" t="str">
        <f>IFERROR(__xludf.DUMMYFUNCTION("IFERROR((GOOGLEFINANCE(C339, ""price"") / INDEX(GOOGLEFINANCE(C339, ""price"", EDATE(TODAY(), -1), TODAY()), 2, 2)) - 1, """")"),"")</f>
        <v/>
      </c>
      <c r="N339" s="21" t="str">
        <f>IFERROR(__xludf.DUMMYFUNCTION("IFERROR((GOOGLEFINANCE(C339, ""price"") / INDEX(GOOGLEFINANCE(C339, ""price"", EDATE(TODAY(), -3), TODAY()), 2, 2)) - 1, """")"),"")</f>
        <v/>
      </c>
      <c r="O339" s="21" t="str">
        <f>IFERROR(__xludf.DUMMYFUNCTION("IFERROR((GOOGLEFINANCE(C339, ""price"") / INDEX(GOOGLEFINANCE(C339, ""price"", EDATE(TODAY(), -6), TODAY()), 2, 2)) - 1, """")"),"")</f>
        <v/>
      </c>
      <c r="P339" s="21" t="str">
        <f>IFERROR(__xludf.DUMMYFUNCTION("IFERROR((GOOGLEFINANCE(C339, ""price"") / INDEX(GOOGLEFINANCE(C339, ""price"", EDATE(TODAY(), -12), TODAY()), 2, 2)) - 1, """")"),"")</f>
        <v/>
      </c>
      <c r="Q339" s="6" t="str">
        <f>IFERROR(__xludf.DUMMYFUNCTION("AVERAGE(QUERY(GOOGLEFINANCE(C339, ""price"", TODAY()-80, TODAY()), ""SELECT Col2 WHERE Col2 IS NOT NULL ORDER BY Col1 DESC LIMIT 50"", 0))"),"#N/A")</f>
        <v>#N/A</v>
      </c>
      <c r="R339" s="24" t="str">
        <f>IFERROR(__xludf.DUMMYFUNCTION("IFERROR(
  LET(
    data, QUERY(GOOGLEFINANCE(C339,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GOOGLEFINANCE(C339, ""price"")) * 100,
    IF(calc=0, G339, calc)
  ), 
G339)"),"#N/A")</f>
        <v>#N/A</v>
      </c>
      <c r="S339" s="8" t="s">
        <v>15</v>
      </c>
      <c r="T339" s="26" t="str">
        <f>IFERROR(__xludf.DUMMYFUNCTION("IFERROR(TRANSPOSE(QUERY(IFERROR(SORT(GOOGLEFINANCE(C339, ""price"", WORKDAY(TODAY(), -40), TODAY()), 1, FALSE)), ""select Col2 where Col2 is not null limit 22 label Col2 ''"", 0)), """")"),"")</f>
        <v/>
      </c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8"/>
      <c r="AO339" s="28"/>
      <c r="AP339" s="29"/>
      <c r="AQ339" s="29" t="str">
        <f t="shared" ref="AQ339:BL339" si="342">T339/T$2</f>
        <v>#N/A</v>
      </c>
      <c r="AR339" s="29" t="str">
        <f t="shared" si="342"/>
        <v>#DIV/0!</v>
      </c>
      <c r="AS339" s="29" t="str">
        <f t="shared" si="342"/>
        <v>#DIV/0!</v>
      </c>
      <c r="AT339" s="29" t="str">
        <f t="shared" si="342"/>
        <v>#DIV/0!</v>
      </c>
      <c r="AU339" s="29" t="str">
        <f t="shared" si="342"/>
        <v>#DIV/0!</v>
      </c>
      <c r="AV339" s="29" t="str">
        <f t="shared" si="342"/>
        <v>#DIV/0!</v>
      </c>
      <c r="AW339" s="29" t="str">
        <f t="shared" si="342"/>
        <v>#DIV/0!</v>
      </c>
      <c r="AX339" s="29" t="str">
        <f t="shared" si="342"/>
        <v>#DIV/0!</v>
      </c>
      <c r="AY339" s="29" t="str">
        <f t="shared" si="342"/>
        <v>#DIV/0!</v>
      </c>
      <c r="AZ339" s="29" t="str">
        <f t="shared" si="342"/>
        <v>#DIV/0!</v>
      </c>
      <c r="BA339" s="29" t="str">
        <f t="shared" si="342"/>
        <v>#DIV/0!</v>
      </c>
      <c r="BB339" s="29" t="str">
        <f t="shared" si="342"/>
        <v>#DIV/0!</v>
      </c>
      <c r="BC339" s="29" t="str">
        <f t="shared" si="342"/>
        <v>#DIV/0!</v>
      </c>
      <c r="BD339" s="29" t="str">
        <f t="shared" si="342"/>
        <v>#DIV/0!</v>
      </c>
      <c r="BE339" s="29" t="str">
        <f t="shared" si="342"/>
        <v>#DIV/0!</v>
      </c>
      <c r="BF339" s="29" t="str">
        <f t="shared" si="342"/>
        <v>#DIV/0!</v>
      </c>
      <c r="BG339" s="29" t="str">
        <f t="shared" si="342"/>
        <v>#DIV/0!</v>
      </c>
      <c r="BH339" s="29" t="str">
        <f t="shared" si="342"/>
        <v>#DIV/0!</v>
      </c>
      <c r="BI339" s="29" t="str">
        <f t="shared" si="342"/>
        <v>#DIV/0!</v>
      </c>
      <c r="BJ339" s="29" t="str">
        <f t="shared" si="342"/>
        <v>#DIV/0!</v>
      </c>
      <c r="BK339" s="29" t="str">
        <f t="shared" si="342"/>
        <v>#DIV/0!</v>
      </c>
      <c r="BL339" s="29" t="str">
        <f t="shared" si="342"/>
        <v>#DIV/0!</v>
      </c>
      <c r="BM339" s="29" t="str">
        <f t="shared" si="3"/>
        <v>#DIV/0!</v>
      </c>
    </row>
    <row r="340">
      <c r="A340" s="16" t="str">
        <f>IFERROR(__xludf.DUMMYFUNCTION("IFERROR(SPARKLINE(SORT(MAP(TRANSPOSE(AQ340:BL340), LAMBDA(val, IF(ISNUMBER(val), PERCENTRANK(AQ340:BL340, val)+0.01, 0))), SEQUENCE(COLUMNS(AQ340:BL340)), FALSE), {""charttype"",""column""; ""color"",""chartreuse""; ""ymin"", 0; ""ymax"", 1.01; ""highcolo"&amp;"r"", ""darkgreen""; ""lowcolor"", ""red""}), """")"),"")</f>
        <v/>
      </c>
      <c r="B340" s="17" t="str">
        <f t="shared" si="4"/>
        <v/>
      </c>
      <c r="C340" s="1" t="s">
        <v>1600</v>
      </c>
      <c r="D340" s="34" t="str">
        <f>IFERROR(__xludf.DUMMYFUNCTION("IFERROR(GOOGLEFINANCE(C340, ""NAME""))"),"Home Bancshares Inc")</f>
        <v>Home Bancshares Inc</v>
      </c>
      <c r="E340" s="30" t="s">
        <v>268</v>
      </c>
      <c r="F340" s="33" t="str">
        <f>IFERROR(__xludf.DUMMYFUNCTION("( (GOOGLEFINANCE(C340, ""price"") - Q340) / Q340 ) / (R340 / 100)"),"Loading...")</f>
        <v>Loading...</v>
      </c>
      <c r="G340" s="20" t="str">
        <f>IFERROR(__xludf.DUMMYFUNCTION("AVERAGE(ARRAYFORMULA(100 * (QUERY(GOOGLEFINANCE(C340, ""high"", TODAY()-40, TODAY()), ""SELECT Col2 WHERE Col2 IS NOT NULL ORDER BY Col1 DESC LIMIT 20"", 0) / QUERY(GOOGLEFINANCE(C340, ""low"", TODAY()-40, TODAY()), ""SELECT Col2 WHERE Col2 IS NOT NULL OR"&amp;"DER BY Col1 DESC LIMIT 20"", 0) - 1)))"),"#N/A")</f>
        <v>#N/A</v>
      </c>
      <c r="H340" s="35" t="str">
        <f t="shared" si="6"/>
        <v/>
      </c>
      <c r="I340" s="36" t="str">
        <f t="shared" si="7"/>
        <v/>
      </c>
      <c r="J340" s="37" t="str">
        <f>IFERROR(__xludf.DUMMYFUNCTION("IFERROR(
  IF(C340="""",, 
    IFERROR(
      GOOGLEFINANCE(C340, ""price"") * GOOGLEFINANCE(C340, ""volumeavg""), 
      GOOGLEFINANCE(C340, ""price"") * AVERAGE(QUERY(GOOGLEFINANCE(C340, ""volume"", TODAY()-40, TODAY()), ""SELECT Col2 WHERE Col2 IS NOT "&amp;"NULL ORDER BY Col1 DESC LIMIT 20"", 0))
    )
  ), 
"""")"),"")</f>
        <v/>
      </c>
      <c r="K340" s="21" t="str">
        <f>IFERROR(__xludf.DUMMYFUNCTION("IFERROR(GOOGLEFINANCE(C340, ""changepct"") / 100, """")"),"")</f>
        <v/>
      </c>
      <c r="L340" s="21" t="str">
        <f>IFERROR(__xludf.DUMMYFUNCTION("IFERROR((GOOGLEFINANCE(C340, ""price"") / INDEX(GOOGLEFINANCE(C340, ""price"", TODAY()-7, TODAY()), 2, 2)) - 1, """")"),"")</f>
        <v/>
      </c>
      <c r="M340" s="21" t="str">
        <f>IFERROR(__xludf.DUMMYFUNCTION("IFERROR((GOOGLEFINANCE(C340, ""price"") / INDEX(GOOGLEFINANCE(C340, ""price"", EDATE(TODAY(), -1), TODAY()), 2, 2)) - 1, """")"),"")</f>
        <v/>
      </c>
      <c r="N340" s="21" t="str">
        <f>IFERROR(__xludf.DUMMYFUNCTION("IFERROR((GOOGLEFINANCE(C340, ""price"") / INDEX(GOOGLEFINANCE(C340, ""price"", EDATE(TODAY(), -3), TODAY()), 2, 2)) - 1, """")"),"")</f>
        <v/>
      </c>
      <c r="O340" s="21" t="str">
        <f>IFERROR(__xludf.DUMMYFUNCTION("IFERROR((GOOGLEFINANCE(C340, ""price"") / INDEX(GOOGLEFINANCE(C340, ""price"", EDATE(TODAY(), -6), TODAY()), 2, 2)) - 1, """")"),"")</f>
        <v/>
      </c>
      <c r="P340" s="21" t="str">
        <f>IFERROR(__xludf.DUMMYFUNCTION("IFERROR((GOOGLEFINANCE(C340, ""price"") / INDEX(GOOGLEFINANCE(C340, ""price"", EDATE(TODAY(), -12), TODAY()), 2, 2)) - 1, """")"),"")</f>
        <v/>
      </c>
      <c r="Q340" s="6" t="str">
        <f>IFERROR(__xludf.DUMMYFUNCTION("AVERAGE(QUERY(GOOGLEFINANCE(C340, ""price"", TODAY()-80, TODAY()), ""SELECT Col2 WHERE Col2 IS NOT NULL ORDER BY Col1 DESC LIMIT 50"", 0))"),"#N/A")</f>
        <v>#N/A</v>
      </c>
      <c r="R340" s="24" t="str">
        <f>IFERROR(__xludf.DUMMYFUNCTION("IFERROR(
  LET(
    data, QUERY(GOOGLEFINANCE(C340,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GOOGLEFINANCE(C340, ""price"")) * 100,
    IF(calc=0, G340, calc)
  ), 
G340)"),"#N/A")</f>
        <v>#N/A</v>
      </c>
      <c r="S340" s="8" t="s">
        <v>15</v>
      </c>
      <c r="T340" s="26" t="str">
        <f>IFERROR(__xludf.DUMMYFUNCTION("IFERROR(TRANSPOSE(QUERY(IFERROR(SORT(GOOGLEFINANCE(C340, ""price"", WORKDAY(TODAY(), -40), TODAY()), 1, FALSE)), ""select Col2 where Col2 is not null limit 22 label Col2 ''"", 0)), """")"),"")</f>
        <v/>
      </c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8"/>
      <c r="AO340" s="28"/>
      <c r="AP340" s="29"/>
      <c r="AQ340" s="29" t="str">
        <f t="shared" ref="AQ340:BL340" si="343">T340/T$2</f>
        <v>#N/A</v>
      </c>
      <c r="AR340" s="29" t="str">
        <f t="shared" si="343"/>
        <v>#DIV/0!</v>
      </c>
      <c r="AS340" s="29" t="str">
        <f t="shared" si="343"/>
        <v>#DIV/0!</v>
      </c>
      <c r="AT340" s="29" t="str">
        <f t="shared" si="343"/>
        <v>#DIV/0!</v>
      </c>
      <c r="AU340" s="29" t="str">
        <f t="shared" si="343"/>
        <v>#DIV/0!</v>
      </c>
      <c r="AV340" s="29" t="str">
        <f t="shared" si="343"/>
        <v>#DIV/0!</v>
      </c>
      <c r="AW340" s="29" t="str">
        <f t="shared" si="343"/>
        <v>#DIV/0!</v>
      </c>
      <c r="AX340" s="29" t="str">
        <f t="shared" si="343"/>
        <v>#DIV/0!</v>
      </c>
      <c r="AY340" s="29" t="str">
        <f t="shared" si="343"/>
        <v>#DIV/0!</v>
      </c>
      <c r="AZ340" s="29" t="str">
        <f t="shared" si="343"/>
        <v>#DIV/0!</v>
      </c>
      <c r="BA340" s="29" t="str">
        <f t="shared" si="343"/>
        <v>#DIV/0!</v>
      </c>
      <c r="BB340" s="29" t="str">
        <f t="shared" si="343"/>
        <v>#DIV/0!</v>
      </c>
      <c r="BC340" s="29" t="str">
        <f t="shared" si="343"/>
        <v>#DIV/0!</v>
      </c>
      <c r="BD340" s="29" t="str">
        <f t="shared" si="343"/>
        <v>#DIV/0!</v>
      </c>
      <c r="BE340" s="29" t="str">
        <f t="shared" si="343"/>
        <v>#DIV/0!</v>
      </c>
      <c r="BF340" s="29" t="str">
        <f t="shared" si="343"/>
        <v>#DIV/0!</v>
      </c>
      <c r="BG340" s="29" t="str">
        <f t="shared" si="343"/>
        <v>#DIV/0!</v>
      </c>
      <c r="BH340" s="29" t="str">
        <f t="shared" si="343"/>
        <v>#DIV/0!</v>
      </c>
      <c r="BI340" s="29" t="str">
        <f t="shared" si="343"/>
        <v>#DIV/0!</v>
      </c>
      <c r="BJ340" s="29" t="str">
        <f t="shared" si="343"/>
        <v>#DIV/0!</v>
      </c>
      <c r="BK340" s="29" t="str">
        <f t="shared" si="343"/>
        <v>#DIV/0!</v>
      </c>
      <c r="BL340" s="29" t="str">
        <f t="shared" si="343"/>
        <v>#DIV/0!</v>
      </c>
      <c r="BM340" s="29" t="str">
        <f t="shared" si="3"/>
        <v>#DIV/0!</v>
      </c>
    </row>
    <row r="341">
      <c r="A341" s="16" t="str">
        <f>IFERROR(__xludf.DUMMYFUNCTION("IFERROR(SPARKLINE(SORT(MAP(TRANSPOSE(AQ341:BL341), LAMBDA(val, IF(ISNUMBER(val), PERCENTRANK(AQ341:BL341, val)+0.01, 0))), SEQUENCE(COLUMNS(AQ341:BL341)), FALSE), {""charttype"",""column""; ""color"",""chartreuse""; ""ymin"", 0; ""ymax"", 1.01; ""highcolo"&amp;"r"", ""darkgreen""; ""lowcolor"", ""red""}), """")"),"")</f>
        <v/>
      </c>
      <c r="B341" s="17" t="str">
        <f t="shared" si="4"/>
        <v/>
      </c>
      <c r="C341" s="1" t="s">
        <v>1604</v>
      </c>
      <c r="D341" s="34" t="str">
        <f>IFERROR(__xludf.DUMMYFUNCTION("IFERROR(GOOGLEFINANCE(C341, ""NAME""))"),"US Bancorp")</f>
        <v>US Bancorp</v>
      </c>
      <c r="E341" s="30" t="s">
        <v>268</v>
      </c>
      <c r="F341" s="33" t="str">
        <f>IFERROR(__xludf.DUMMYFUNCTION("( (GOOGLEFINANCE(C341, ""price"") - Q341) / Q341 ) / (R341 / 100)"),"Loading...")</f>
        <v>Loading...</v>
      </c>
      <c r="G341" s="20" t="str">
        <f>IFERROR(__xludf.DUMMYFUNCTION("AVERAGE(ARRAYFORMULA(100 * (QUERY(GOOGLEFINANCE(C341, ""high"", TODAY()-40, TODAY()), ""SELECT Col2 WHERE Col2 IS NOT NULL ORDER BY Col1 DESC LIMIT 20"", 0) / QUERY(GOOGLEFINANCE(C341, ""low"", TODAY()-40, TODAY()), ""SELECT Col2 WHERE Col2 IS NOT NULL OR"&amp;"DER BY Col1 DESC LIMIT 20"", 0) - 1)))"),"#N/A")</f>
        <v>#N/A</v>
      </c>
      <c r="H341" s="35" t="str">
        <f t="shared" si="6"/>
        <v/>
      </c>
      <c r="I341" s="36" t="str">
        <f t="shared" si="7"/>
        <v/>
      </c>
      <c r="J341" s="37" t="str">
        <f>IFERROR(__xludf.DUMMYFUNCTION("IFERROR(
  IF(C341="""",, 
    IFERROR(
      GOOGLEFINANCE(C341, ""price"") * GOOGLEFINANCE(C341, ""volumeavg""), 
      GOOGLEFINANCE(C341, ""price"") * AVERAGE(QUERY(GOOGLEFINANCE(C341, ""volume"", TODAY()-40, TODAY()), ""SELECT Col2 WHERE Col2 IS NOT "&amp;"NULL ORDER BY Col1 DESC LIMIT 20"", 0))
    )
  ), 
"""")"),"")</f>
        <v/>
      </c>
      <c r="K341" s="21" t="str">
        <f>IFERROR(__xludf.DUMMYFUNCTION("IFERROR(GOOGLEFINANCE(C341, ""changepct"") / 100, """")"),"")</f>
        <v/>
      </c>
      <c r="L341" s="21" t="str">
        <f>IFERROR(__xludf.DUMMYFUNCTION("IFERROR((GOOGLEFINANCE(C341, ""price"") / INDEX(GOOGLEFINANCE(C341, ""price"", TODAY()-7, TODAY()), 2, 2)) - 1, """")"),"")</f>
        <v/>
      </c>
      <c r="M341" s="21" t="str">
        <f>IFERROR(__xludf.DUMMYFUNCTION("IFERROR((GOOGLEFINANCE(C341, ""price"") / INDEX(GOOGLEFINANCE(C341, ""price"", EDATE(TODAY(), -1), TODAY()), 2, 2)) - 1, """")"),"")</f>
        <v/>
      </c>
      <c r="N341" s="21" t="str">
        <f>IFERROR(__xludf.DUMMYFUNCTION("IFERROR((GOOGLEFINANCE(C341, ""price"") / INDEX(GOOGLEFINANCE(C341, ""price"", EDATE(TODAY(), -3), TODAY()), 2, 2)) - 1, """")"),"")</f>
        <v/>
      </c>
      <c r="O341" s="21" t="str">
        <f>IFERROR(__xludf.DUMMYFUNCTION("IFERROR((GOOGLEFINANCE(C341, ""price"") / INDEX(GOOGLEFINANCE(C341, ""price"", EDATE(TODAY(), -6), TODAY()), 2, 2)) - 1, """")"),"")</f>
        <v/>
      </c>
      <c r="P341" s="21" t="str">
        <f>IFERROR(__xludf.DUMMYFUNCTION("IFERROR((GOOGLEFINANCE(C341, ""price"") / INDEX(GOOGLEFINANCE(C341, ""price"", EDATE(TODAY(), -12), TODAY()), 2, 2)) - 1, """")"),"")</f>
        <v/>
      </c>
      <c r="Q341" s="6" t="str">
        <f>IFERROR(__xludf.DUMMYFUNCTION("AVERAGE(QUERY(GOOGLEFINANCE(C341, ""price"", TODAY()-80, TODAY()), ""SELECT Col2 WHERE Col2 IS NOT NULL ORDER BY Col1 DESC LIMIT 50"", 0))"),"#N/A")</f>
        <v>#N/A</v>
      </c>
      <c r="R341" s="24" t="str">
        <f>IFERROR(__xludf.DUMMYFUNCTION("IFERROR(
  LET(
    data, QUERY(GOOGLEFINANCE(C341,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GOOGLEFINANCE(C341, ""price"")) * 100,
    IF(calc=0, G341, calc)
  ), 
G341)"),"#N/A")</f>
        <v>#N/A</v>
      </c>
      <c r="S341" s="8" t="s">
        <v>15</v>
      </c>
      <c r="T341" s="26" t="str">
        <f>IFERROR(__xludf.DUMMYFUNCTION("IFERROR(TRANSPOSE(QUERY(IFERROR(SORT(GOOGLEFINANCE(C341, ""price"", WORKDAY(TODAY(), -40), TODAY()), 1, FALSE)), ""select Col2 where Col2 is not null limit 22 label Col2 ''"", 0)), """")"),"")</f>
        <v/>
      </c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8"/>
      <c r="AO341" s="28"/>
      <c r="AP341" s="29"/>
      <c r="AQ341" s="29" t="str">
        <f t="shared" ref="AQ341:BL341" si="344">T341/T$2</f>
        <v>#N/A</v>
      </c>
      <c r="AR341" s="29" t="str">
        <f t="shared" si="344"/>
        <v>#DIV/0!</v>
      </c>
      <c r="AS341" s="29" t="str">
        <f t="shared" si="344"/>
        <v>#DIV/0!</v>
      </c>
      <c r="AT341" s="29" t="str">
        <f t="shared" si="344"/>
        <v>#DIV/0!</v>
      </c>
      <c r="AU341" s="29" t="str">
        <f t="shared" si="344"/>
        <v>#DIV/0!</v>
      </c>
      <c r="AV341" s="29" t="str">
        <f t="shared" si="344"/>
        <v>#DIV/0!</v>
      </c>
      <c r="AW341" s="29" t="str">
        <f t="shared" si="344"/>
        <v>#DIV/0!</v>
      </c>
      <c r="AX341" s="29" t="str">
        <f t="shared" si="344"/>
        <v>#DIV/0!</v>
      </c>
      <c r="AY341" s="29" t="str">
        <f t="shared" si="344"/>
        <v>#DIV/0!</v>
      </c>
      <c r="AZ341" s="29" t="str">
        <f t="shared" si="344"/>
        <v>#DIV/0!</v>
      </c>
      <c r="BA341" s="29" t="str">
        <f t="shared" si="344"/>
        <v>#DIV/0!</v>
      </c>
      <c r="BB341" s="29" t="str">
        <f t="shared" si="344"/>
        <v>#DIV/0!</v>
      </c>
      <c r="BC341" s="29" t="str">
        <f t="shared" si="344"/>
        <v>#DIV/0!</v>
      </c>
      <c r="BD341" s="29" t="str">
        <f t="shared" si="344"/>
        <v>#DIV/0!</v>
      </c>
      <c r="BE341" s="29" t="str">
        <f t="shared" si="344"/>
        <v>#DIV/0!</v>
      </c>
      <c r="BF341" s="29" t="str">
        <f t="shared" si="344"/>
        <v>#DIV/0!</v>
      </c>
      <c r="BG341" s="29" t="str">
        <f t="shared" si="344"/>
        <v>#DIV/0!</v>
      </c>
      <c r="BH341" s="29" t="str">
        <f t="shared" si="344"/>
        <v>#DIV/0!</v>
      </c>
      <c r="BI341" s="29" t="str">
        <f t="shared" si="344"/>
        <v>#DIV/0!</v>
      </c>
      <c r="BJ341" s="29" t="str">
        <f t="shared" si="344"/>
        <v>#DIV/0!</v>
      </c>
      <c r="BK341" s="29" t="str">
        <f t="shared" si="344"/>
        <v>#DIV/0!</v>
      </c>
      <c r="BL341" s="29" t="str">
        <f t="shared" si="344"/>
        <v>#DIV/0!</v>
      </c>
      <c r="BM341" s="29" t="str">
        <f t="shared" si="3"/>
        <v>#DIV/0!</v>
      </c>
    </row>
    <row r="342">
      <c r="A342" s="16" t="str">
        <f>IFERROR(__xludf.DUMMYFUNCTION("IFERROR(SPARKLINE(SORT(MAP(TRANSPOSE(AQ342:BL342), LAMBDA(val, IF(ISNUMBER(val), PERCENTRANK(AQ342:BL342, val)+0.01, 0))), SEQUENCE(COLUMNS(AQ342:BL342)), FALSE), {""charttype"",""column""; ""color"",""chartreuse""; ""ymin"", 0; ""ymax"", 1.01; ""highcolo"&amp;"r"", ""darkgreen""; ""lowcolor"", ""red""}), """")"),"")</f>
        <v/>
      </c>
      <c r="B342" s="17" t="str">
        <f t="shared" si="4"/>
        <v/>
      </c>
      <c r="C342" s="1" t="s">
        <v>1608</v>
      </c>
      <c r="D342" s="34" t="str">
        <f>IFERROR(__xludf.DUMMYFUNCTION("IFERROR(GOOGLEFINANCE(C342, ""NAME""))"),"Independent Bank Corp (Massachusetts)")</f>
        <v>Independent Bank Corp (Massachusetts)</v>
      </c>
      <c r="E342" s="30" t="s">
        <v>268</v>
      </c>
      <c r="F342" s="33" t="str">
        <f>IFERROR(__xludf.DUMMYFUNCTION("( (GOOGLEFINANCE(C342, ""price"") - Q342) / Q342 ) / (R342 / 100)"),"Loading...")</f>
        <v>Loading...</v>
      </c>
      <c r="G342" s="20" t="str">
        <f>IFERROR(__xludf.DUMMYFUNCTION("AVERAGE(ARRAYFORMULA(100 * (QUERY(GOOGLEFINANCE(C342, ""high"", TODAY()-40, TODAY()), ""SELECT Col2 WHERE Col2 IS NOT NULL ORDER BY Col1 DESC LIMIT 20"", 0) / QUERY(GOOGLEFINANCE(C342, ""low"", TODAY()-40, TODAY()), ""SELECT Col2 WHERE Col2 IS NOT NULL OR"&amp;"DER BY Col1 DESC LIMIT 20"", 0) - 1)))"),"#N/A")</f>
        <v>#N/A</v>
      </c>
      <c r="H342" s="35" t="str">
        <f t="shared" si="6"/>
        <v/>
      </c>
      <c r="I342" s="36" t="str">
        <f t="shared" si="7"/>
        <v/>
      </c>
      <c r="J342" s="37" t="str">
        <f>IFERROR(__xludf.DUMMYFUNCTION("IFERROR(
  IF(C342="""",, 
    IFERROR(
      GOOGLEFINANCE(C342, ""price"") * GOOGLEFINANCE(C342, ""volumeavg""), 
      GOOGLEFINANCE(C342, ""price"") * AVERAGE(QUERY(GOOGLEFINANCE(C342, ""volume"", TODAY()-40, TODAY()), ""SELECT Col2 WHERE Col2 IS NOT "&amp;"NULL ORDER BY Col1 DESC LIMIT 20"", 0))
    )
  ), 
"""")"),"")</f>
        <v/>
      </c>
      <c r="K342" s="21" t="str">
        <f>IFERROR(__xludf.DUMMYFUNCTION("IFERROR(GOOGLEFINANCE(C342, ""changepct"") / 100, """")"),"")</f>
        <v/>
      </c>
      <c r="L342" s="21" t="str">
        <f>IFERROR(__xludf.DUMMYFUNCTION("IFERROR((GOOGLEFINANCE(C342, ""price"") / INDEX(GOOGLEFINANCE(C342, ""price"", TODAY()-7, TODAY()), 2, 2)) - 1, """")"),"")</f>
        <v/>
      </c>
      <c r="M342" s="21" t="str">
        <f>IFERROR(__xludf.DUMMYFUNCTION("IFERROR((GOOGLEFINANCE(C342, ""price"") / INDEX(GOOGLEFINANCE(C342, ""price"", EDATE(TODAY(), -1), TODAY()), 2, 2)) - 1, """")"),"")</f>
        <v/>
      </c>
      <c r="N342" s="21" t="str">
        <f>IFERROR(__xludf.DUMMYFUNCTION("IFERROR((GOOGLEFINANCE(C342, ""price"") / INDEX(GOOGLEFINANCE(C342, ""price"", EDATE(TODAY(), -3), TODAY()), 2, 2)) - 1, """")"),"")</f>
        <v/>
      </c>
      <c r="O342" s="21" t="str">
        <f>IFERROR(__xludf.DUMMYFUNCTION("IFERROR((GOOGLEFINANCE(C342, ""price"") / INDEX(GOOGLEFINANCE(C342, ""price"", EDATE(TODAY(), -6), TODAY()), 2, 2)) - 1, """")"),"")</f>
        <v/>
      </c>
      <c r="P342" s="21" t="str">
        <f>IFERROR(__xludf.DUMMYFUNCTION("IFERROR((GOOGLEFINANCE(C342, ""price"") / INDEX(GOOGLEFINANCE(C342, ""price"", EDATE(TODAY(), -12), TODAY()), 2, 2)) - 1, """")"),"")</f>
        <v/>
      </c>
      <c r="Q342" s="6" t="str">
        <f>IFERROR(__xludf.DUMMYFUNCTION("AVERAGE(QUERY(GOOGLEFINANCE(C342, ""price"", TODAY()-80, TODAY()), ""SELECT Col2 WHERE Col2 IS NOT NULL ORDER BY Col1 DESC LIMIT 50"", 0))"),"#N/A")</f>
        <v>#N/A</v>
      </c>
      <c r="R342" s="24" t="str">
        <f>IFERROR(__xludf.DUMMYFUNCTION("IFERROR(
  LET(
    data, QUERY(GOOGLEFINANCE(C342,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GOOGLEFINANCE(C342, ""price"")) * 100,
    IF(calc=0, G342, calc)
  ), 
G342)"),"#N/A")</f>
        <v>#N/A</v>
      </c>
      <c r="S342" s="8" t="s">
        <v>15</v>
      </c>
      <c r="T342" s="26" t="str">
        <f>IFERROR(__xludf.DUMMYFUNCTION("IFERROR(TRANSPOSE(QUERY(IFERROR(SORT(GOOGLEFINANCE(C342, ""price"", WORKDAY(TODAY(), -40), TODAY()), 1, FALSE)), ""select Col2 where Col2 is not null limit 22 label Col2 ''"", 0)), """")"),"")</f>
        <v/>
      </c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8"/>
      <c r="AO342" s="28"/>
      <c r="AP342" s="29"/>
      <c r="AQ342" s="29" t="str">
        <f t="shared" ref="AQ342:BL342" si="345">T342/T$2</f>
        <v>#N/A</v>
      </c>
      <c r="AR342" s="29" t="str">
        <f t="shared" si="345"/>
        <v>#DIV/0!</v>
      </c>
      <c r="AS342" s="29" t="str">
        <f t="shared" si="345"/>
        <v>#DIV/0!</v>
      </c>
      <c r="AT342" s="29" t="str">
        <f t="shared" si="345"/>
        <v>#DIV/0!</v>
      </c>
      <c r="AU342" s="29" t="str">
        <f t="shared" si="345"/>
        <v>#DIV/0!</v>
      </c>
      <c r="AV342" s="29" t="str">
        <f t="shared" si="345"/>
        <v>#DIV/0!</v>
      </c>
      <c r="AW342" s="29" t="str">
        <f t="shared" si="345"/>
        <v>#DIV/0!</v>
      </c>
      <c r="AX342" s="29" t="str">
        <f t="shared" si="345"/>
        <v>#DIV/0!</v>
      </c>
      <c r="AY342" s="29" t="str">
        <f t="shared" si="345"/>
        <v>#DIV/0!</v>
      </c>
      <c r="AZ342" s="29" t="str">
        <f t="shared" si="345"/>
        <v>#DIV/0!</v>
      </c>
      <c r="BA342" s="29" t="str">
        <f t="shared" si="345"/>
        <v>#DIV/0!</v>
      </c>
      <c r="BB342" s="29" t="str">
        <f t="shared" si="345"/>
        <v>#DIV/0!</v>
      </c>
      <c r="BC342" s="29" t="str">
        <f t="shared" si="345"/>
        <v>#DIV/0!</v>
      </c>
      <c r="BD342" s="29" t="str">
        <f t="shared" si="345"/>
        <v>#DIV/0!</v>
      </c>
      <c r="BE342" s="29" t="str">
        <f t="shared" si="345"/>
        <v>#DIV/0!</v>
      </c>
      <c r="BF342" s="29" t="str">
        <f t="shared" si="345"/>
        <v>#DIV/0!</v>
      </c>
      <c r="BG342" s="29" t="str">
        <f t="shared" si="345"/>
        <v>#DIV/0!</v>
      </c>
      <c r="BH342" s="29" t="str">
        <f t="shared" si="345"/>
        <v>#DIV/0!</v>
      </c>
      <c r="BI342" s="29" t="str">
        <f t="shared" si="345"/>
        <v>#DIV/0!</v>
      </c>
      <c r="BJ342" s="29" t="str">
        <f t="shared" si="345"/>
        <v>#DIV/0!</v>
      </c>
      <c r="BK342" s="29" t="str">
        <f t="shared" si="345"/>
        <v>#DIV/0!</v>
      </c>
      <c r="BL342" s="29" t="str">
        <f t="shared" si="345"/>
        <v>#DIV/0!</v>
      </c>
      <c r="BM342" s="29" t="str">
        <f t="shared" si="3"/>
        <v>#DIV/0!</v>
      </c>
    </row>
    <row r="343">
      <c r="A343" s="16" t="str">
        <f>IFERROR(__xludf.DUMMYFUNCTION("IFERROR(SPARKLINE(SORT(MAP(TRANSPOSE(AQ343:BL343), LAMBDA(val, IF(ISNUMBER(val), PERCENTRANK(AQ343:BL343, val)+0.01, 0))), SEQUENCE(COLUMNS(AQ343:BL343)), FALSE), {""charttype"",""column""; ""color"",""chartreuse""; ""ymin"", 0; ""ymax"", 1.01; ""highcolo"&amp;"r"", ""darkgreen""; ""lowcolor"", ""red""}), """")"),"")</f>
        <v/>
      </c>
      <c r="B343" s="17" t="str">
        <f t="shared" si="4"/>
        <v/>
      </c>
      <c r="C343" s="1" t="s">
        <v>1612</v>
      </c>
      <c r="D343" s="34" t="str">
        <f>IFERROR(__xludf.DUMMYFUNCTION("IFERROR(GOOGLEFINANCE(C343, ""NAME""))"),"M&amp;T Bank Corporation")</f>
        <v>M&amp;T Bank Corporation</v>
      </c>
      <c r="E343" s="30" t="s">
        <v>268</v>
      </c>
      <c r="F343" s="33" t="str">
        <f>IFERROR(__xludf.DUMMYFUNCTION("( (GOOGLEFINANCE(C343, ""price"") - Q343) / Q343 ) / (R343 / 100)"),"Loading...")</f>
        <v>Loading...</v>
      </c>
      <c r="G343" s="20" t="str">
        <f>IFERROR(__xludf.DUMMYFUNCTION("AVERAGE(ARRAYFORMULA(100 * (QUERY(GOOGLEFINANCE(C343, ""high"", TODAY()-40, TODAY()), ""SELECT Col2 WHERE Col2 IS NOT NULL ORDER BY Col1 DESC LIMIT 20"", 0) / QUERY(GOOGLEFINANCE(C343, ""low"", TODAY()-40, TODAY()), ""SELECT Col2 WHERE Col2 IS NOT NULL OR"&amp;"DER BY Col1 DESC LIMIT 20"", 0) - 1)))"),"#N/A")</f>
        <v>#N/A</v>
      </c>
      <c r="H343" s="35" t="str">
        <f t="shared" si="6"/>
        <v/>
      </c>
      <c r="I343" s="36" t="str">
        <f t="shared" si="7"/>
        <v/>
      </c>
      <c r="J343" s="37" t="str">
        <f>IFERROR(__xludf.DUMMYFUNCTION("IFERROR(
  IF(C343="""",, 
    IFERROR(
      GOOGLEFINANCE(C343, ""price"") * GOOGLEFINANCE(C343, ""volumeavg""), 
      GOOGLEFINANCE(C343, ""price"") * AVERAGE(QUERY(GOOGLEFINANCE(C343, ""volume"", TODAY()-40, TODAY()), ""SELECT Col2 WHERE Col2 IS NOT "&amp;"NULL ORDER BY Col1 DESC LIMIT 20"", 0))
    )
  ), 
"""")"),"")</f>
        <v/>
      </c>
      <c r="K343" s="21" t="str">
        <f>IFERROR(__xludf.DUMMYFUNCTION("IFERROR(GOOGLEFINANCE(C343, ""changepct"") / 100, """")"),"")</f>
        <v/>
      </c>
      <c r="L343" s="21" t="str">
        <f>IFERROR(__xludf.DUMMYFUNCTION("IFERROR((GOOGLEFINANCE(C343, ""price"") / INDEX(GOOGLEFINANCE(C343, ""price"", TODAY()-7, TODAY()), 2, 2)) - 1, """")"),"")</f>
        <v/>
      </c>
      <c r="M343" s="21" t="str">
        <f>IFERROR(__xludf.DUMMYFUNCTION("IFERROR((GOOGLEFINANCE(C343, ""price"") / INDEX(GOOGLEFINANCE(C343, ""price"", EDATE(TODAY(), -1), TODAY()), 2, 2)) - 1, """")"),"")</f>
        <v/>
      </c>
      <c r="N343" s="21" t="str">
        <f>IFERROR(__xludf.DUMMYFUNCTION("IFERROR((GOOGLEFINANCE(C343, ""price"") / INDEX(GOOGLEFINANCE(C343, ""price"", EDATE(TODAY(), -3), TODAY()), 2, 2)) - 1, """")"),"")</f>
        <v/>
      </c>
      <c r="O343" s="21" t="str">
        <f>IFERROR(__xludf.DUMMYFUNCTION("IFERROR((GOOGLEFINANCE(C343, ""price"") / INDEX(GOOGLEFINANCE(C343, ""price"", EDATE(TODAY(), -6), TODAY()), 2, 2)) - 1, """")"),"")</f>
        <v/>
      </c>
      <c r="P343" s="21" t="str">
        <f>IFERROR(__xludf.DUMMYFUNCTION("IFERROR((GOOGLEFINANCE(C343, ""price"") / INDEX(GOOGLEFINANCE(C343, ""price"", EDATE(TODAY(), -12), TODAY()), 2, 2)) - 1, """")"),"")</f>
        <v/>
      </c>
      <c r="Q343" s="6" t="str">
        <f>IFERROR(__xludf.DUMMYFUNCTION("AVERAGE(QUERY(GOOGLEFINANCE(C343, ""price"", TODAY()-80, TODAY()), ""SELECT Col2 WHERE Col2 IS NOT NULL ORDER BY Col1 DESC LIMIT 50"", 0))"),"#N/A")</f>
        <v>#N/A</v>
      </c>
      <c r="R343" s="24" t="str">
        <f>IFERROR(__xludf.DUMMYFUNCTION("IFERROR(
  LET(
    data, QUERY(GOOGLEFINANCE(C343,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GOOGLEFINANCE(C343, ""price"")) * 100,
    IF(calc=0, G343, calc)
  ), 
G343)"),"#N/A")</f>
        <v>#N/A</v>
      </c>
      <c r="S343" s="8" t="s">
        <v>15</v>
      </c>
      <c r="T343" s="26" t="str">
        <f>IFERROR(__xludf.DUMMYFUNCTION("IFERROR(TRANSPOSE(QUERY(IFERROR(SORT(GOOGLEFINANCE(C343, ""price"", WORKDAY(TODAY(), -40), TODAY()), 1, FALSE)), ""select Col2 where Col2 is not null limit 22 label Col2 ''"", 0)), """")"),"")</f>
        <v/>
      </c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8"/>
      <c r="AO343" s="28"/>
      <c r="AP343" s="29"/>
      <c r="AQ343" s="29" t="str">
        <f t="shared" ref="AQ343:BL343" si="346">T343/T$2</f>
        <v>#N/A</v>
      </c>
      <c r="AR343" s="29" t="str">
        <f t="shared" si="346"/>
        <v>#DIV/0!</v>
      </c>
      <c r="AS343" s="29" t="str">
        <f t="shared" si="346"/>
        <v>#DIV/0!</v>
      </c>
      <c r="AT343" s="29" t="str">
        <f t="shared" si="346"/>
        <v>#DIV/0!</v>
      </c>
      <c r="AU343" s="29" t="str">
        <f t="shared" si="346"/>
        <v>#DIV/0!</v>
      </c>
      <c r="AV343" s="29" t="str">
        <f t="shared" si="346"/>
        <v>#DIV/0!</v>
      </c>
      <c r="AW343" s="29" t="str">
        <f t="shared" si="346"/>
        <v>#DIV/0!</v>
      </c>
      <c r="AX343" s="29" t="str">
        <f t="shared" si="346"/>
        <v>#DIV/0!</v>
      </c>
      <c r="AY343" s="29" t="str">
        <f t="shared" si="346"/>
        <v>#DIV/0!</v>
      </c>
      <c r="AZ343" s="29" t="str">
        <f t="shared" si="346"/>
        <v>#DIV/0!</v>
      </c>
      <c r="BA343" s="29" t="str">
        <f t="shared" si="346"/>
        <v>#DIV/0!</v>
      </c>
      <c r="BB343" s="29" t="str">
        <f t="shared" si="346"/>
        <v>#DIV/0!</v>
      </c>
      <c r="BC343" s="29" t="str">
        <f t="shared" si="346"/>
        <v>#DIV/0!</v>
      </c>
      <c r="BD343" s="29" t="str">
        <f t="shared" si="346"/>
        <v>#DIV/0!</v>
      </c>
      <c r="BE343" s="29" t="str">
        <f t="shared" si="346"/>
        <v>#DIV/0!</v>
      </c>
      <c r="BF343" s="29" t="str">
        <f t="shared" si="346"/>
        <v>#DIV/0!</v>
      </c>
      <c r="BG343" s="29" t="str">
        <f t="shared" si="346"/>
        <v>#DIV/0!</v>
      </c>
      <c r="BH343" s="29" t="str">
        <f t="shared" si="346"/>
        <v>#DIV/0!</v>
      </c>
      <c r="BI343" s="29" t="str">
        <f t="shared" si="346"/>
        <v>#DIV/0!</v>
      </c>
      <c r="BJ343" s="29" t="str">
        <f t="shared" si="346"/>
        <v>#DIV/0!</v>
      </c>
      <c r="BK343" s="29" t="str">
        <f t="shared" si="346"/>
        <v>#DIV/0!</v>
      </c>
      <c r="BL343" s="29" t="str">
        <f t="shared" si="346"/>
        <v>#DIV/0!</v>
      </c>
      <c r="BM343" s="29" t="str">
        <f t="shared" si="3"/>
        <v>#DIV/0!</v>
      </c>
    </row>
    <row r="344">
      <c r="A344" s="16" t="str">
        <f>IFERROR(__xludf.DUMMYFUNCTION("IFERROR(SPARKLINE(SORT(MAP(TRANSPOSE(AQ344:BL344), LAMBDA(val, IF(ISNUMBER(val), PERCENTRANK(AQ344:BL344, val)+0.01, 0))), SEQUENCE(COLUMNS(AQ344:BL344)), FALSE), {""charttype"",""column""; ""color"",""chartreuse""; ""ymin"", 0; ""ymax"", 1.01; ""highcolo"&amp;"r"", ""darkgreen""; ""lowcolor"", ""red""}), """")"),"")</f>
        <v/>
      </c>
      <c r="B344" s="17" t="str">
        <f t="shared" si="4"/>
        <v/>
      </c>
      <c r="C344" s="1" t="s">
        <v>1616</v>
      </c>
      <c r="D344" s="34" t="str">
        <f>IFERROR(__xludf.DUMMYFUNCTION("IFERROR(GOOGLEFINANCE(C344, ""NAME""))"),"PNC Financial Services Group Inc")</f>
        <v>PNC Financial Services Group Inc</v>
      </c>
      <c r="E344" s="30" t="s">
        <v>268</v>
      </c>
      <c r="F344" s="33" t="str">
        <f>IFERROR(__xludf.DUMMYFUNCTION("( (GOOGLEFINANCE(C344, ""price"") - Q344) / Q344 ) / (R344 / 100)"),"Loading...")</f>
        <v>Loading...</v>
      </c>
      <c r="G344" s="20" t="str">
        <f>IFERROR(__xludf.DUMMYFUNCTION("AVERAGE(ARRAYFORMULA(100 * (QUERY(GOOGLEFINANCE(C344, ""high"", TODAY()-40, TODAY()), ""SELECT Col2 WHERE Col2 IS NOT NULL ORDER BY Col1 DESC LIMIT 20"", 0) / QUERY(GOOGLEFINANCE(C344, ""low"", TODAY()-40, TODAY()), ""SELECT Col2 WHERE Col2 IS NOT NULL OR"&amp;"DER BY Col1 DESC LIMIT 20"", 0) - 1)))"),"#N/A")</f>
        <v>#N/A</v>
      </c>
      <c r="H344" s="35" t="str">
        <f t="shared" si="6"/>
        <v/>
      </c>
      <c r="I344" s="36" t="str">
        <f t="shared" si="7"/>
        <v/>
      </c>
      <c r="J344" s="37" t="str">
        <f>IFERROR(__xludf.DUMMYFUNCTION("IFERROR(
  IF(C344="""",, 
    IFERROR(
      GOOGLEFINANCE(C344, ""price"") * GOOGLEFINANCE(C344, ""volumeavg""), 
      GOOGLEFINANCE(C344, ""price"") * AVERAGE(QUERY(GOOGLEFINANCE(C344, ""volume"", TODAY()-40, TODAY()), ""SELECT Col2 WHERE Col2 IS NOT "&amp;"NULL ORDER BY Col1 DESC LIMIT 20"", 0))
    )
  ), 
"""")"),"")</f>
        <v/>
      </c>
      <c r="K344" s="21" t="str">
        <f>IFERROR(__xludf.DUMMYFUNCTION("IFERROR(GOOGLEFINANCE(C344, ""changepct"") / 100, """")"),"")</f>
        <v/>
      </c>
      <c r="L344" s="21" t="str">
        <f>IFERROR(__xludf.DUMMYFUNCTION("IFERROR((GOOGLEFINANCE(C344, ""price"") / INDEX(GOOGLEFINANCE(C344, ""price"", TODAY()-7, TODAY()), 2, 2)) - 1, """")"),"")</f>
        <v/>
      </c>
      <c r="M344" s="21" t="str">
        <f>IFERROR(__xludf.DUMMYFUNCTION("IFERROR((GOOGLEFINANCE(C344, ""price"") / INDEX(GOOGLEFINANCE(C344, ""price"", EDATE(TODAY(), -1), TODAY()), 2, 2)) - 1, """")"),"")</f>
        <v/>
      </c>
      <c r="N344" s="21" t="str">
        <f>IFERROR(__xludf.DUMMYFUNCTION("IFERROR((GOOGLEFINANCE(C344, ""price"") / INDEX(GOOGLEFINANCE(C344, ""price"", EDATE(TODAY(), -3), TODAY()), 2, 2)) - 1, """")"),"")</f>
        <v/>
      </c>
      <c r="O344" s="21" t="str">
        <f>IFERROR(__xludf.DUMMYFUNCTION("IFERROR((GOOGLEFINANCE(C344, ""price"") / INDEX(GOOGLEFINANCE(C344, ""price"", EDATE(TODAY(), -6), TODAY()), 2, 2)) - 1, """")"),"")</f>
        <v/>
      </c>
      <c r="P344" s="21" t="str">
        <f>IFERROR(__xludf.DUMMYFUNCTION("IFERROR((GOOGLEFINANCE(C344, ""price"") / INDEX(GOOGLEFINANCE(C344, ""price"", EDATE(TODAY(), -12), TODAY()), 2, 2)) - 1, """")"),"")</f>
        <v/>
      </c>
      <c r="Q344" s="6" t="str">
        <f>IFERROR(__xludf.DUMMYFUNCTION("AVERAGE(QUERY(GOOGLEFINANCE(C344, ""price"", TODAY()-80, TODAY()), ""SELECT Col2 WHERE Col2 IS NOT NULL ORDER BY Col1 DESC LIMIT 50"", 0))"),"#N/A")</f>
        <v>#N/A</v>
      </c>
      <c r="R344" s="24" t="str">
        <f>IFERROR(__xludf.DUMMYFUNCTION("IFERROR(
  LET(
    data, QUERY(GOOGLEFINANCE(C344,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GOOGLEFINANCE(C344, ""price"")) * 100,
    IF(calc=0, G344, calc)
  ), 
G344)"),"#N/A")</f>
        <v>#N/A</v>
      </c>
      <c r="S344" s="8" t="s">
        <v>15</v>
      </c>
      <c r="T344" s="26" t="str">
        <f>IFERROR(__xludf.DUMMYFUNCTION("IFERROR(TRANSPOSE(QUERY(IFERROR(SORT(GOOGLEFINANCE(C344, ""price"", WORKDAY(TODAY(), -40), TODAY()), 1, FALSE)), ""select Col2 where Col2 is not null limit 22 label Col2 ''"", 0)), """")"),"")</f>
        <v/>
      </c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8"/>
      <c r="AO344" s="28"/>
      <c r="AP344" s="29"/>
      <c r="AQ344" s="29" t="str">
        <f t="shared" ref="AQ344:BL344" si="347">T344/T$2</f>
        <v>#N/A</v>
      </c>
      <c r="AR344" s="29" t="str">
        <f t="shared" si="347"/>
        <v>#DIV/0!</v>
      </c>
      <c r="AS344" s="29" t="str">
        <f t="shared" si="347"/>
        <v>#DIV/0!</v>
      </c>
      <c r="AT344" s="29" t="str">
        <f t="shared" si="347"/>
        <v>#DIV/0!</v>
      </c>
      <c r="AU344" s="29" t="str">
        <f t="shared" si="347"/>
        <v>#DIV/0!</v>
      </c>
      <c r="AV344" s="29" t="str">
        <f t="shared" si="347"/>
        <v>#DIV/0!</v>
      </c>
      <c r="AW344" s="29" t="str">
        <f t="shared" si="347"/>
        <v>#DIV/0!</v>
      </c>
      <c r="AX344" s="29" t="str">
        <f t="shared" si="347"/>
        <v>#DIV/0!</v>
      </c>
      <c r="AY344" s="29" t="str">
        <f t="shared" si="347"/>
        <v>#DIV/0!</v>
      </c>
      <c r="AZ344" s="29" t="str">
        <f t="shared" si="347"/>
        <v>#DIV/0!</v>
      </c>
      <c r="BA344" s="29" t="str">
        <f t="shared" si="347"/>
        <v>#DIV/0!</v>
      </c>
      <c r="BB344" s="29" t="str">
        <f t="shared" si="347"/>
        <v>#DIV/0!</v>
      </c>
      <c r="BC344" s="29" t="str">
        <f t="shared" si="347"/>
        <v>#DIV/0!</v>
      </c>
      <c r="BD344" s="29" t="str">
        <f t="shared" si="347"/>
        <v>#DIV/0!</v>
      </c>
      <c r="BE344" s="29" t="str">
        <f t="shared" si="347"/>
        <v>#DIV/0!</v>
      </c>
      <c r="BF344" s="29" t="str">
        <f t="shared" si="347"/>
        <v>#DIV/0!</v>
      </c>
      <c r="BG344" s="29" t="str">
        <f t="shared" si="347"/>
        <v>#DIV/0!</v>
      </c>
      <c r="BH344" s="29" t="str">
        <f t="shared" si="347"/>
        <v>#DIV/0!</v>
      </c>
      <c r="BI344" s="29" t="str">
        <f t="shared" si="347"/>
        <v>#DIV/0!</v>
      </c>
      <c r="BJ344" s="29" t="str">
        <f t="shared" si="347"/>
        <v>#DIV/0!</v>
      </c>
      <c r="BK344" s="29" t="str">
        <f t="shared" si="347"/>
        <v>#DIV/0!</v>
      </c>
      <c r="BL344" s="29" t="str">
        <f t="shared" si="347"/>
        <v>#DIV/0!</v>
      </c>
      <c r="BM344" s="29" t="str">
        <f t="shared" si="3"/>
        <v>#DIV/0!</v>
      </c>
    </row>
    <row r="345">
      <c r="A345" s="16" t="str">
        <f>IFERROR(__xludf.DUMMYFUNCTION("IFERROR(SPARKLINE(SORT(MAP(TRANSPOSE(AQ345:BL345), LAMBDA(val, IF(ISNUMBER(val), PERCENTRANK(AQ345:BL345, val)+0.01, 0))), SEQUENCE(COLUMNS(AQ345:BL345)), FALSE), {""charttype"",""column""; ""color"",""chartreuse""; ""ymin"", 0; ""ymax"", 1.01; ""highcolo"&amp;"r"", ""darkgreen""; ""lowcolor"", ""red""}), """")"),"")</f>
        <v/>
      </c>
      <c r="B345" s="17" t="str">
        <f t="shared" si="4"/>
        <v/>
      </c>
      <c r="C345" s="1" t="s">
        <v>1620</v>
      </c>
      <c r="D345" s="34" t="str">
        <f>IFERROR(__xludf.DUMMYFUNCTION("IFERROR(GOOGLEFINANCE(C345, ""NAME""))"),"Regions Financial Corp")</f>
        <v>Regions Financial Corp</v>
      </c>
      <c r="E345" s="30" t="s">
        <v>268</v>
      </c>
      <c r="F345" s="33" t="str">
        <f>IFERROR(__xludf.DUMMYFUNCTION("( (GOOGLEFINANCE(C345, ""price"") - Q345) / Q345 ) / (R345 / 100)"),"Loading...")</f>
        <v>Loading...</v>
      </c>
      <c r="G345" s="20" t="str">
        <f>IFERROR(__xludf.DUMMYFUNCTION("AVERAGE(ARRAYFORMULA(100 * (QUERY(GOOGLEFINANCE(C345, ""high"", TODAY()-40, TODAY()), ""SELECT Col2 WHERE Col2 IS NOT NULL ORDER BY Col1 DESC LIMIT 20"", 0) / QUERY(GOOGLEFINANCE(C345, ""low"", TODAY()-40, TODAY()), ""SELECT Col2 WHERE Col2 IS NOT NULL OR"&amp;"DER BY Col1 DESC LIMIT 20"", 0) - 1)))"),"#N/A")</f>
        <v>#N/A</v>
      </c>
      <c r="H345" s="35" t="str">
        <f t="shared" si="6"/>
        <v/>
      </c>
      <c r="I345" s="36" t="str">
        <f t="shared" si="7"/>
        <v/>
      </c>
      <c r="J345" s="37" t="str">
        <f>IFERROR(__xludf.DUMMYFUNCTION("IFERROR(
  IF(C345="""",, 
    IFERROR(
      GOOGLEFINANCE(C345, ""price"") * GOOGLEFINANCE(C345, ""volumeavg""), 
      GOOGLEFINANCE(C345, ""price"") * AVERAGE(QUERY(GOOGLEFINANCE(C345, ""volume"", TODAY()-40, TODAY()), ""SELECT Col2 WHERE Col2 IS NOT "&amp;"NULL ORDER BY Col1 DESC LIMIT 20"", 0))
    )
  ), 
"""")"),"")</f>
        <v/>
      </c>
      <c r="K345" s="21" t="str">
        <f>IFERROR(__xludf.DUMMYFUNCTION("IFERROR(GOOGLEFINANCE(C345, ""changepct"") / 100, """")"),"")</f>
        <v/>
      </c>
      <c r="L345" s="21" t="str">
        <f>IFERROR(__xludf.DUMMYFUNCTION("IFERROR((GOOGLEFINANCE(C345, ""price"") / INDEX(GOOGLEFINANCE(C345, ""price"", TODAY()-7, TODAY()), 2, 2)) - 1, """")"),"")</f>
        <v/>
      </c>
      <c r="M345" s="21" t="str">
        <f>IFERROR(__xludf.DUMMYFUNCTION("IFERROR((GOOGLEFINANCE(C345, ""price"") / INDEX(GOOGLEFINANCE(C345, ""price"", EDATE(TODAY(), -1), TODAY()), 2, 2)) - 1, """")"),"")</f>
        <v/>
      </c>
      <c r="N345" s="21" t="str">
        <f>IFERROR(__xludf.DUMMYFUNCTION("IFERROR((GOOGLEFINANCE(C345, ""price"") / INDEX(GOOGLEFINANCE(C345, ""price"", EDATE(TODAY(), -3), TODAY()), 2, 2)) - 1, """")"),"")</f>
        <v/>
      </c>
      <c r="O345" s="21" t="str">
        <f>IFERROR(__xludf.DUMMYFUNCTION("IFERROR((GOOGLEFINANCE(C345, ""price"") / INDEX(GOOGLEFINANCE(C345, ""price"", EDATE(TODAY(), -6), TODAY()), 2, 2)) - 1, """")"),"")</f>
        <v/>
      </c>
      <c r="P345" s="21" t="str">
        <f>IFERROR(__xludf.DUMMYFUNCTION("IFERROR((GOOGLEFINANCE(C345, ""price"") / INDEX(GOOGLEFINANCE(C345, ""price"", EDATE(TODAY(), -12), TODAY()), 2, 2)) - 1, """")"),"")</f>
        <v/>
      </c>
      <c r="Q345" s="6" t="str">
        <f>IFERROR(__xludf.DUMMYFUNCTION("AVERAGE(QUERY(GOOGLEFINANCE(C345, ""price"", TODAY()-80, TODAY()), ""SELECT Col2 WHERE Col2 IS NOT NULL ORDER BY Col1 DESC LIMIT 50"", 0))"),"#N/A")</f>
        <v>#N/A</v>
      </c>
      <c r="R345" s="24" t="str">
        <f>IFERROR(__xludf.DUMMYFUNCTION("IFERROR(
  LET(
    data, QUERY(GOOGLEFINANCE(C345,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GOOGLEFINANCE(C345, ""price"")) * 100,
    IF(calc=0, G345, calc)
  ), 
G345)"),"#N/A")</f>
        <v>#N/A</v>
      </c>
      <c r="S345" s="8" t="s">
        <v>15</v>
      </c>
      <c r="T345" s="26" t="str">
        <f>IFERROR(__xludf.DUMMYFUNCTION("IFERROR(TRANSPOSE(QUERY(IFERROR(SORT(GOOGLEFINANCE(C345, ""price"", WORKDAY(TODAY(), -40), TODAY()), 1, FALSE)), ""select Col2 where Col2 is not null limit 22 label Col2 ''"", 0)), """")"),"")</f>
        <v/>
      </c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8"/>
      <c r="AO345" s="28"/>
      <c r="AP345" s="29"/>
      <c r="AQ345" s="29" t="str">
        <f t="shared" ref="AQ345:BL345" si="348">T345/T$2</f>
        <v>#N/A</v>
      </c>
      <c r="AR345" s="29" t="str">
        <f t="shared" si="348"/>
        <v>#DIV/0!</v>
      </c>
      <c r="AS345" s="29" t="str">
        <f t="shared" si="348"/>
        <v>#DIV/0!</v>
      </c>
      <c r="AT345" s="29" t="str">
        <f t="shared" si="348"/>
        <v>#DIV/0!</v>
      </c>
      <c r="AU345" s="29" t="str">
        <f t="shared" si="348"/>
        <v>#DIV/0!</v>
      </c>
      <c r="AV345" s="29" t="str">
        <f t="shared" si="348"/>
        <v>#DIV/0!</v>
      </c>
      <c r="AW345" s="29" t="str">
        <f t="shared" si="348"/>
        <v>#DIV/0!</v>
      </c>
      <c r="AX345" s="29" t="str">
        <f t="shared" si="348"/>
        <v>#DIV/0!</v>
      </c>
      <c r="AY345" s="29" t="str">
        <f t="shared" si="348"/>
        <v>#DIV/0!</v>
      </c>
      <c r="AZ345" s="29" t="str">
        <f t="shared" si="348"/>
        <v>#DIV/0!</v>
      </c>
      <c r="BA345" s="29" t="str">
        <f t="shared" si="348"/>
        <v>#DIV/0!</v>
      </c>
      <c r="BB345" s="29" t="str">
        <f t="shared" si="348"/>
        <v>#DIV/0!</v>
      </c>
      <c r="BC345" s="29" t="str">
        <f t="shared" si="348"/>
        <v>#DIV/0!</v>
      </c>
      <c r="BD345" s="29" t="str">
        <f t="shared" si="348"/>
        <v>#DIV/0!</v>
      </c>
      <c r="BE345" s="29" t="str">
        <f t="shared" si="348"/>
        <v>#DIV/0!</v>
      </c>
      <c r="BF345" s="29" t="str">
        <f t="shared" si="348"/>
        <v>#DIV/0!</v>
      </c>
      <c r="BG345" s="29" t="str">
        <f t="shared" si="348"/>
        <v>#DIV/0!</v>
      </c>
      <c r="BH345" s="29" t="str">
        <f t="shared" si="348"/>
        <v>#DIV/0!</v>
      </c>
      <c r="BI345" s="29" t="str">
        <f t="shared" si="348"/>
        <v>#DIV/0!</v>
      </c>
      <c r="BJ345" s="29" t="str">
        <f t="shared" si="348"/>
        <v>#DIV/0!</v>
      </c>
      <c r="BK345" s="29" t="str">
        <f t="shared" si="348"/>
        <v>#DIV/0!</v>
      </c>
      <c r="BL345" s="29" t="str">
        <f t="shared" si="348"/>
        <v>#DIV/0!</v>
      </c>
      <c r="BM345" s="29" t="str">
        <f t="shared" si="3"/>
        <v>#DIV/0!</v>
      </c>
    </row>
    <row r="346">
      <c r="A346" s="16" t="str">
        <f>IFERROR(__xludf.DUMMYFUNCTION("IFERROR(SPARKLINE(SORT(MAP(TRANSPOSE(AQ346:BL346), LAMBDA(val, IF(ISNUMBER(val), PERCENTRANK(AQ346:BL346, val)+0.01, 0))), SEQUENCE(COLUMNS(AQ346:BL346)), FALSE), {""charttype"",""column""; ""color"",""chartreuse""; ""ymin"", 0; ""ymax"", 1.01; ""highcolo"&amp;"r"", ""darkgreen""; ""lowcolor"", ""red""}), """")"),"")</f>
        <v/>
      </c>
      <c r="B346" s="17" t="str">
        <f t="shared" si="4"/>
        <v/>
      </c>
      <c r="C346" s="1" t="s">
        <v>1624</v>
      </c>
      <c r="D346" s="34" t="str">
        <f>IFERROR(__xludf.DUMMYFUNCTION("IFERROR(GOOGLEFINANCE(C346, ""NAME""))"),"Cullen/Frost Bankers Inc")</f>
        <v>Cullen/Frost Bankers Inc</v>
      </c>
      <c r="E346" s="30" t="s">
        <v>268</v>
      </c>
      <c r="F346" s="33" t="str">
        <f>IFERROR(__xludf.DUMMYFUNCTION("( (GOOGLEFINANCE(C346, ""price"") - Q346) / Q346 ) / (R346 / 100)"),"Loading...")</f>
        <v>Loading...</v>
      </c>
      <c r="G346" s="20" t="str">
        <f>IFERROR(__xludf.DUMMYFUNCTION("AVERAGE(ARRAYFORMULA(100 * (QUERY(GOOGLEFINANCE(C346, ""high"", TODAY()-40, TODAY()), ""SELECT Col2 WHERE Col2 IS NOT NULL ORDER BY Col1 DESC LIMIT 20"", 0) / QUERY(GOOGLEFINANCE(C346, ""low"", TODAY()-40, TODAY()), ""SELECT Col2 WHERE Col2 IS NOT NULL OR"&amp;"DER BY Col1 DESC LIMIT 20"", 0) - 1)))"),"#N/A")</f>
        <v>#N/A</v>
      </c>
      <c r="H346" s="35" t="str">
        <f t="shared" si="6"/>
        <v/>
      </c>
      <c r="I346" s="36" t="str">
        <f t="shared" si="7"/>
        <v/>
      </c>
      <c r="J346" s="37" t="str">
        <f>IFERROR(__xludf.DUMMYFUNCTION("IFERROR(
  IF(C346="""",, 
    IFERROR(
      GOOGLEFINANCE(C346, ""price"") * GOOGLEFINANCE(C346, ""volumeavg""), 
      GOOGLEFINANCE(C346, ""price"") * AVERAGE(QUERY(GOOGLEFINANCE(C346, ""volume"", TODAY()-40, TODAY()), ""SELECT Col2 WHERE Col2 IS NOT "&amp;"NULL ORDER BY Col1 DESC LIMIT 20"", 0))
    )
  ), 
"""")"),"")</f>
        <v/>
      </c>
      <c r="K346" s="21" t="str">
        <f>IFERROR(__xludf.DUMMYFUNCTION("IFERROR(GOOGLEFINANCE(C346, ""changepct"") / 100, """")"),"")</f>
        <v/>
      </c>
      <c r="L346" s="21" t="str">
        <f>IFERROR(__xludf.DUMMYFUNCTION("IFERROR((GOOGLEFINANCE(C346, ""price"") / INDEX(GOOGLEFINANCE(C346, ""price"", TODAY()-7, TODAY()), 2, 2)) - 1, """")"),"")</f>
        <v/>
      </c>
      <c r="M346" s="21" t="str">
        <f>IFERROR(__xludf.DUMMYFUNCTION("IFERROR((GOOGLEFINANCE(C346, ""price"") / INDEX(GOOGLEFINANCE(C346, ""price"", EDATE(TODAY(), -1), TODAY()), 2, 2)) - 1, """")"),"")</f>
        <v/>
      </c>
      <c r="N346" s="21" t="str">
        <f>IFERROR(__xludf.DUMMYFUNCTION("IFERROR((GOOGLEFINANCE(C346, ""price"") / INDEX(GOOGLEFINANCE(C346, ""price"", EDATE(TODAY(), -3), TODAY()), 2, 2)) - 1, """")"),"")</f>
        <v/>
      </c>
      <c r="O346" s="21" t="str">
        <f>IFERROR(__xludf.DUMMYFUNCTION("IFERROR((GOOGLEFINANCE(C346, ""price"") / INDEX(GOOGLEFINANCE(C346, ""price"", EDATE(TODAY(), -6), TODAY()), 2, 2)) - 1, """")"),"")</f>
        <v/>
      </c>
      <c r="P346" s="21" t="str">
        <f>IFERROR(__xludf.DUMMYFUNCTION("IFERROR((GOOGLEFINANCE(C346, ""price"") / INDEX(GOOGLEFINANCE(C346, ""price"", EDATE(TODAY(), -12), TODAY()), 2, 2)) - 1, """")"),"")</f>
        <v/>
      </c>
      <c r="Q346" s="6" t="str">
        <f>IFERROR(__xludf.DUMMYFUNCTION("AVERAGE(QUERY(GOOGLEFINANCE(C346, ""price"", TODAY()-80, TODAY()), ""SELECT Col2 WHERE Col2 IS NOT NULL ORDER BY Col1 DESC LIMIT 50"", 0))"),"#N/A")</f>
        <v>#N/A</v>
      </c>
      <c r="R346" s="24" t="str">
        <f>IFERROR(__xludf.DUMMYFUNCTION("IFERROR(
  LET(
    data, QUERY(GOOGLEFINANCE(C346,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GOOGLEFINANCE(C346, ""price"")) * 100,
    IF(calc=0, G346, calc)
  ), 
G346)"),"#N/A")</f>
        <v>#N/A</v>
      </c>
      <c r="S346" s="8" t="s">
        <v>15</v>
      </c>
      <c r="T346" s="26" t="str">
        <f>IFERROR(__xludf.DUMMYFUNCTION("IFERROR(TRANSPOSE(QUERY(IFERROR(SORT(GOOGLEFINANCE(C346, ""price"", WORKDAY(TODAY(), -40), TODAY()), 1, FALSE)), ""select Col2 where Col2 is not null limit 22 label Col2 ''"", 0)), """")"),"")</f>
        <v/>
      </c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8"/>
      <c r="AO346" s="28"/>
      <c r="AP346" s="29"/>
      <c r="AQ346" s="29" t="str">
        <f t="shared" ref="AQ346:BL346" si="349">T346/T$2</f>
        <v>#N/A</v>
      </c>
      <c r="AR346" s="29" t="str">
        <f t="shared" si="349"/>
        <v>#DIV/0!</v>
      </c>
      <c r="AS346" s="29" t="str">
        <f t="shared" si="349"/>
        <v>#DIV/0!</v>
      </c>
      <c r="AT346" s="29" t="str">
        <f t="shared" si="349"/>
        <v>#DIV/0!</v>
      </c>
      <c r="AU346" s="29" t="str">
        <f t="shared" si="349"/>
        <v>#DIV/0!</v>
      </c>
      <c r="AV346" s="29" t="str">
        <f t="shared" si="349"/>
        <v>#DIV/0!</v>
      </c>
      <c r="AW346" s="29" t="str">
        <f t="shared" si="349"/>
        <v>#DIV/0!</v>
      </c>
      <c r="AX346" s="29" t="str">
        <f t="shared" si="349"/>
        <v>#DIV/0!</v>
      </c>
      <c r="AY346" s="29" t="str">
        <f t="shared" si="349"/>
        <v>#DIV/0!</v>
      </c>
      <c r="AZ346" s="29" t="str">
        <f t="shared" si="349"/>
        <v>#DIV/0!</v>
      </c>
      <c r="BA346" s="29" t="str">
        <f t="shared" si="349"/>
        <v>#DIV/0!</v>
      </c>
      <c r="BB346" s="29" t="str">
        <f t="shared" si="349"/>
        <v>#DIV/0!</v>
      </c>
      <c r="BC346" s="29" t="str">
        <f t="shared" si="349"/>
        <v>#DIV/0!</v>
      </c>
      <c r="BD346" s="29" t="str">
        <f t="shared" si="349"/>
        <v>#DIV/0!</v>
      </c>
      <c r="BE346" s="29" t="str">
        <f t="shared" si="349"/>
        <v>#DIV/0!</v>
      </c>
      <c r="BF346" s="29" t="str">
        <f t="shared" si="349"/>
        <v>#DIV/0!</v>
      </c>
      <c r="BG346" s="29" t="str">
        <f t="shared" si="349"/>
        <v>#DIV/0!</v>
      </c>
      <c r="BH346" s="29" t="str">
        <f t="shared" si="349"/>
        <v>#DIV/0!</v>
      </c>
      <c r="BI346" s="29" t="str">
        <f t="shared" si="349"/>
        <v>#DIV/0!</v>
      </c>
      <c r="BJ346" s="29" t="str">
        <f t="shared" si="349"/>
        <v>#DIV/0!</v>
      </c>
      <c r="BK346" s="29" t="str">
        <f t="shared" si="349"/>
        <v>#DIV/0!</v>
      </c>
      <c r="BL346" s="29" t="str">
        <f t="shared" si="349"/>
        <v>#DIV/0!</v>
      </c>
      <c r="BM346" s="29" t="str">
        <f t="shared" si="3"/>
        <v>#DIV/0!</v>
      </c>
    </row>
    <row r="347">
      <c r="A347" s="16" t="str">
        <f>IFERROR(__xludf.DUMMYFUNCTION("IFERROR(SPARKLINE(SORT(MAP(TRANSPOSE(AQ347:BL347), LAMBDA(val, IF(ISNUMBER(val), PERCENTRANK(AQ347:BL347, val)+0.01, 0))), SEQUENCE(COLUMNS(AQ347:BL347)), FALSE), {""charttype"",""column""; ""color"",""chartreuse""; ""ymin"", 0; ""ymax"", 1.01; ""highcolo"&amp;"r"", ""darkgreen""; ""lowcolor"", ""red""}), """")"),"")</f>
        <v/>
      </c>
      <c r="B347" s="17" t="str">
        <f t="shared" si="4"/>
        <v/>
      </c>
      <c r="C347" s="1" t="s">
        <v>1628</v>
      </c>
      <c r="D347" s="34" t="str">
        <f>IFERROR(__xludf.DUMMYFUNCTION("IFERROR(GOOGLEFINANCE(C347, ""NAME""))"),"Brighthouse Financial Inc")</f>
        <v>Brighthouse Financial Inc</v>
      </c>
      <c r="E347" s="30" t="s">
        <v>231</v>
      </c>
      <c r="F347" s="33" t="str">
        <f>IFERROR(__xludf.DUMMYFUNCTION("( (GOOGLEFINANCE(C347, ""price"") - Q347) / Q347 ) / (R347 / 100)"),"Loading...")</f>
        <v>Loading...</v>
      </c>
      <c r="G347" s="20" t="str">
        <f>IFERROR(__xludf.DUMMYFUNCTION("AVERAGE(ARRAYFORMULA(100 * (QUERY(GOOGLEFINANCE(C347, ""high"", TODAY()-40, TODAY()), ""SELECT Col2 WHERE Col2 IS NOT NULL ORDER BY Col1 DESC LIMIT 20"", 0) / QUERY(GOOGLEFINANCE(C347, ""low"", TODAY()-40, TODAY()), ""SELECT Col2 WHERE Col2 IS NOT NULL OR"&amp;"DER BY Col1 DESC LIMIT 20"", 0) - 1)))"),"#N/A")</f>
        <v>#N/A</v>
      </c>
      <c r="H347" s="35" t="str">
        <f t="shared" si="6"/>
        <v/>
      </c>
      <c r="I347" s="36" t="str">
        <f t="shared" si="7"/>
        <v/>
      </c>
      <c r="J347" s="37" t="str">
        <f>IFERROR(__xludf.DUMMYFUNCTION("IFERROR(
  IF(C347="""",, 
    IFERROR(
      GOOGLEFINANCE(C347, ""price"") * GOOGLEFINANCE(C347, ""volumeavg""), 
      GOOGLEFINANCE(C347, ""price"") * AVERAGE(QUERY(GOOGLEFINANCE(C347, ""volume"", TODAY()-40, TODAY()), ""SELECT Col2 WHERE Col2 IS NOT "&amp;"NULL ORDER BY Col1 DESC LIMIT 20"", 0))
    )
  ), 
"""")"),"")</f>
        <v/>
      </c>
      <c r="K347" s="21" t="str">
        <f>IFERROR(__xludf.DUMMYFUNCTION("IFERROR(GOOGLEFINANCE(C347, ""changepct"") / 100, """")"),"")</f>
        <v/>
      </c>
      <c r="L347" s="21" t="str">
        <f>IFERROR(__xludf.DUMMYFUNCTION("IFERROR((GOOGLEFINANCE(C347, ""price"") / INDEX(GOOGLEFINANCE(C347, ""price"", TODAY()-7, TODAY()), 2, 2)) - 1, """")"),"")</f>
        <v/>
      </c>
      <c r="M347" s="21" t="str">
        <f>IFERROR(__xludf.DUMMYFUNCTION("IFERROR((GOOGLEFINANCE(C347, ""price"") / INDEX(GOOGLEFINANCE(C347, ""price"", EDATE(TODAY(), -1), TODAY()), 2, 2)) - 1, """")"),"")</f>
        <v/>
      </c>
      <c r="N347" s="21" t="str">
        <f>IFERROR(__xludf.DUMMYFUNCTION("IFERROR((GOOGLEFINANCE(C347, ""price"") / INDEX(GOOGLEFINANCE(C347, ""price"", EDATE(TODAY(), -3), TODAY()), 2, 2)) - 1, """")"),"")</f>
        <v/>
      </c>
      <c r="O347" s="21" t="str">
        <f>IFERROR(__xludf.DUMMYFUNCTION("IFERROR((GOOGLEFINANCE(C347, ""price"") / INDEX(GOOGLEFINANCE(C347, ""price"", EDATE(TODAY(), -6), TODAY()), 2, 2)) - 1, """")"),"")</f>
        <v/>
      </c>
      <c r="P347" s="21" t="str">
        <f>IFERROR(__xludf.DUMMYFUNCTION("IFERROR((GOOGLEFINANCE(C347, ""price"") / INDEX(GOOGLEFINANCE(C347, ""price"", EDATE(TODAY(), -12), TODAY()), 2, 2)) - 1, """")"),"")</f>
        <v/>
      </c>
      <c r="Q347" s="6" t="str">
        <f>IFERROR(__xludf.DUMMYFUNCTION("AVERAGE(QUERY(GOOGLEFINANCE(C347, ""price"", TODAY()-80, TODAY()), ""SELECT Col2 WHERE Col2 IS NOT NULL ORDER BY Col1 DESC LIMIT 50"", 0))"),"#N/A")</f>
        <v>#N/A</v>
      </c>
      <c r="R347" s="24" t="str">
        <f>IFERROR(__xludf.DUMMYFUNCTION("IFERROR(
  LET(
    data, QUERY(GOOGLEFINANCE(C347,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GOOGLEFINANCE(C347, ""price"")) * 100,
    IF(calc=0, G347, calc)
  ), 
G347)"),"#N/A")</f>
        <v>#N/A</v>
      </c>
      <c r="S347" s="8" t="s">
        <v>15</v>
      </c>
      <c r="T347" s="26" t="str">
        <f>IFERROR(__xludf.DUMMYFUNCTION("IFERROR(TRANSPOSE(QUERY(IFERROR(SORT(GOOGLEFINANCE(C347, ""price"", WORKDAY(TODAY(), -40), TODAY()), 1, FALSE)), ""select Col2 where Col2 is not null limit 22 label Col2 ''"", 0)), """")"),"")</f>
        <v/>
      </c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8"/>
      <c r="AO347" s="28"/>
      <c r="AP347" s="29"/>
      <c r="AQ347" s="29" t="str">
        <f t="shared" ref="AQ347:BL347" si="350">T347/T$2</f>
        <v>#N/A</v>
      </c>
      <c r="AR347" s="29" t="str">
        <f t="shared" si="350"/>
        <v>#DIV/0!</v>
      </c>
      <c r="AS347" s="29" t="str">
        <f t="shared" si="350"/>
        <v>#DIV/0!</v>
      </c>
      <c r="AT347" s="29" t="str">
        <f t="shared" si="350"/>
        <v>#DIV/0!</v>
      </c>
      <c r="AU347" s="29" t="str">
        <f t="shared" si="350"/>
        <v>#DIV/0!</v>
      </c>
      <c r="AV347" s="29" t="str">
        <f t="shared" si="350"/>
        <v>#DIV/0!</v>
      </c>
      <c r="AW347" s="29" t="str">
        <f t="shared" si="350"/>
        <v>#DIV/0!</v>
      </c>
      <c r="AX347" s="29" t="str">
        <f t="shared" si="350"/>
        <v>#DIV/0!</v>
      </c>
      <c r="AY347" s="29" t="str">
        <f t="shared" si="350"/>
        <v>#DIV/0!</v>
      </c>
      <c r="AZ347" s="29" t="str">
        <f t="shared" si="350"/>
        <v>#DIV/0!</v>
      </c>
      <c r="BA347" s="29" t="str">
        <f t="shared" si="350"/>
        <v>#DIV/0!</v>
      </c>
      <c r="BB347" s="29" t="str">
        <f t="shared" si="350"/>
        <v>#DIV/0!</v>
      </c>
      <c r="BC347" s="29" t="str">
        <f t="shared" si="350"/>
        <v>#DIV/0!</v>
      </c>
      <c r="BD347" s="29" t="str">
        <f t="shared" si="350"/>
        <v>#DIV/0!</v>
      </c>
      <c r="BE347" s="29" t="str">
        <f t="shared" si="350"/>
        <v>#DIV/0!</v>
      </c>
      <c r="BF347" s="29" t="str">
        <f t="shared" si="350"/>
        <v>#DIV/0!</v>
      </c>
      <c r="BG347" s="29" t="str">
        <f t="shared" si="350"/>
        <v>#DIV/0!</v>
      </c>
      <c r="BH347" s="29" t="str">
        <f t="shared" si="350"/>
        <v>#DIV/0!</v>
      </c>
      <c r="BI347" s="29" t="str">
        <f t="shared" si="350"/>
        <v>#DIV/0!</v>
      </c>
      <c r="BJ347" s="29" t="str">
        <f t="shared" si="350"/>
        <v>#DIV/0!</v>
      </c>
      <c r="BK347" s="29" t="str">
        <f t="shared" si="350"/>
        <v>#DIV/0!</v>
      </c>
      <c r="BL347" s="29" t="str">
        <f t="shared" si="350"/>
        <v>#DIV/0!</v>
      </c>
      <c r="BM347" s="29" t="str">
        <f t="shared" si="3"/>
        <v>#DIV/0!</v>
      </c>
    </row>
    <row r="348">
      <c r="A348" s="16" t="str">
        <f>IFERROR(__xludf.DUMMYFUNCTION("IFERROR(SPARKLINE(SORT(MAP(TRANSPOSE(AQ348:BL348), LAMBDA(val, IF(ISNUMBER(val), PERCENTRANK(AQ348:BL348, val)+0.01, 0))), SEQUENCE(COLUMNS(AQ348:BL348)), FALSE), {""charttype"",""column""; ""color"",""chartreuse""; ""ymin"", 0; ""ymax"", 1.01; ""highcolo"&amp;"r"", ""darkgreen""; ""lowcolor"", ""red""}), """")"),"")</f>
        <v/>
      </c>
      <c r="B348" s="17" t="str">
        <f t="shared" si="4"/>
        <v/>
      </c>
      <c r="C348" s="1" t="s">
        <v>1632</v>
      </c>
      <c r="D348" s="34" t="str">
        <f>IFERROR(__xludf.DUMMYFUNCTION("IFERROR(GOOGLEFINANCE(C348, ""NAME""))"),"Horace Mann Educators Corp")</f>
        <v>Horace Mann Educators Corp</v>
      </c>
      <c r="E348" s="30" t="s">
        <v>82</v>
      </c>
      <c r="F348" s="33" t="str">
        <f>IFERROR(__xludf.DUMMYFUNCTION("( (GOOGLEFINANCE(C348, ""price"") - Q348) / Q348 ) / (R348 / 100)"),"Loading...")</f>
        <v>Loading...</v>
      </c>
      <c r="G348" s="20" t="str">
        <f>IFERROR(__xludf.DUMMYFUNCTION("AVERAGE(ARRAYFORMULA(100 * (QUERY(GOOGLEFINANCE(C348, ""high"", TODAY()-40, TODAY()), ""SELECT Col2 WHERE Col2 IS NOT NULL ORDER BY Col1 DESC LIMIT 20"", 0) / QUERY(GOOGLEFINANCE(C348, ""low"", TODAY()-40, TODAY()), ""SELECT Col2 WHERE Col2 IS NOT NULL OR"&amp;"DER BY Col1 DESC LIMIT 20"", 0) - 1)))"),"#N/A")</f>
        <v>#N/A</v>
      </c>
      <c r="H348" s="35" t="str">
        <f t="shared" si="6"/>
        <v/>
      </c>
      <c r="I348" s="36" t="str">
        <f t="shared" si="7"/>
        <v/>
      </c>
      <c r="J348" s="37" t="str">
        <f>IFERROR(__xludf.DUMMYFUNCTION("IFERROR(
  IF(C348="""",, 
    IFERROR(
      GOOGLEFINANCE(C348, ""price"") * GOOGLEFINANCE(C348, ""volumeavg""), 
      GOOGLEFINANCE(C348, ""price"") * AVERAGE(QUERY(GOOGLEFINANCE(C348, ""volume"", TODAY()-40, TODAY()), ""SELECT Col2 WHERE Col2 IS NOT "&amp;"NULL ORDER BY Col1 DESC LIMIT 20"", 0))
    )
  ), 
"""")"),"")</f>
        <v/>
      </c>
      <c r="K348" s="21" t="str">
        <f>IFERROR(__xludf.DUMMYFUNCTION("IFERROR(GOOGLEFINANCE(C348, ""changepct"") / 100, """")"),"")</f>
        <v/>
      </c>
      <c r="L348" s="21" t="str">
        <f>IFERROR(__xludf.DUMMYFUNCTION("IFERROR((GOOGLEFINANCE(C348, ""price"") / INDEX(GOOGLEFINANCE(C348, ""price"", TODAY()-7, TODAY()), 2, 2)) - 1, """")"),"")</f>
        <v/>
      </c>
      <c r="M348" s="21" t="str">
        <f>IFERROR(__xludf.DUMMYFUNCTION("IFERROR((GOOGLEFINANCE(C348, ""price"") / INDEX(GOOGLEFINANCE(C348, ""price"", EDATE(TODAY(), -1), TODAY()), 2, 2)) - 1, """")"),"")</f>
        <v/>
      </c>
      <c r="N348" s="21" t="str">
        <f>IFERROR(__xludf.DUMMYFUNCTION("IFERROR((GOOGLEFINANCE(C348, ""price"") / INDEX(GOOGLEFINANCE(C348, ""price"", EDATE(TODAY(), -3), TODAY()), 2, 2)) - 1, """")"),"")</f>
        <v/>
      </c>
      <c r="O348" s="21" t="str">
        <f>IFERROR(__xludf.DUMMYFUNCTION("IFERROR((GOOGLEFINANCE(C348, ""price"") / INDEX(GOOGLEFINANCE(C348, ""price"", EDATE(TODAY(), -6), TODAY()), 2, 2)) - 1, """")"),"")</f>
        <v/>
      </c>
      <c r="P348" s="21" t="str">
        <f>IFERROR(__xludf.DUMMYFUNCTION("IFERROR((GOOGLEFINANCE(C348, ""price"") / INDEX(GOOGLEFINANCE(C348, ""price"", EDATE(TODAY(), -12), TODAY()), 2, 2)) - 1, """")"),"")</f>
        <v/>
      </c>
      <c r="Q348" s="6" t="str">
        <f>IFERROR(__xludf.DUMMYFUNCTION("AVERAGE(QUERY(GOOGLEFINANCE(C348, ""price"", TODAY()-80, TODAY()), ""SELECT Col2 WHERE Col2 IS NOT NULL ORDER BY Col1 DESC LIMIT 50"", 0))"),"#N/A")</f>
        <v>#N/A</v>
      </c>
      <c r="R348" s="24" t="str">
        <f>IFERROR(__xludf.DUMMYFUNCTION("IFERROR(
  LET(
    data, QUERY(GOOGLEFINANCE(C348,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GOOGLEFINANCE(C348, ""price"")) * 100,
    IF(calc=0, G348, calc)
  ), 
G348)"),"#N/A")</f>
        <v>#N/A</v>
      </c>
      <c r="S348" s="8" t="s">
        <v>15</v>
      </c>
      <c r="T348" s="26" t="str">
        <f>IFERROR(__xludf.DUMMYFUNCTION("IFERROR(TRANSPOSE(QUERY(IFERROR(SORT(GOOGLEFINANCE(C348, ""price"", WORKDAY(TODAY(), -40), TODAY()), 1, FALSE)), ""select Col2 where Col2 is not null limit 22 label Col2 ''"", 0)), """")"),"")</f>
        <v/>
      </c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8"/>
      <c r="AO348" s="28"/>
      <c r="AP348" s="29"/>
      <c r="AQ348" s="29" t="str">
        <f t="shared" ref="AQ348:BL348" si="351">T348/T$2</f>
        <v>#N/A</v>
      </c>
      <c r="AR348" s="29" t="str">
        <f t="shared" si="351"/>
        <v>#DIV/0!</v>
      </c>
      <c r="AS348" s="29" t="str">
        <f t="shared" si="351"/>
        <v>#DIV/0!</v>
      </c>
      <c r="AT348" s="29" t="str">
        <f t="shared" si="351"/>
        <v>#DIV/0!</v>
      </c>
      <c r="AU348" s="29" t="str">
        <f t="shared" si="351"/>
        <v>#DIV/0!</v>
      </c>
      <c r="AV348" s="29" t="str">
        <f t="shared" si="351"/>
        <v>#DIV/0!</v>
      </c>
      <c r="AW348" s="29" t="str">
        <f t="shared" si="351"/>
        <v>#DIV/0!</v>
      </c>
      <c r="AX348" s="29" t="str">
        <f t="shared" si="351"/>
        <v>#DIV/0!</v>
      </c>
      <c r="AY348" s="29" t="str">
        <f t="shared" si="351"/>
        <v>#DIV/0!</v>
      </c>
      <c r="AZ348" s="29" t="str">
        <f t="shared" si="351"/>
        <v>#DIV/0!</v>
      </c>
      <c r="BA348" s="29" t="str">
        <f t="shared" si="351"/>
        <v>#DIV/0!</v>
      </c>
      <c r="BB348" s="29" t="str">
        <f t="shared" si="351"/>
        <v>#DIV/0!</v>
      </c>
      <c r="BC348" s="29" t="str">
        <f t="shared" si="351"/>
        <v>#DIV/0!</v>
      </c>
      <c r="BD348" s="29" t="str">
        <f t="shared" si="351"/>
        <v>#DIV/0!</v>
      </c>
      <c r="BE348" s="29" t="str">
        <f t="shared" si="351"/>
        <v>#DIV/0!</v>
      </c>
      <c r="BF348" s="29" t="str">
        <f t="shared" si="351"/>
        <v>#DIV/0!</v>
      </c>
      <c r="BG348" s="29" t="str">
        <f t="shared" si="351"/>
        <v>#DIV/0!</v>
      </c>
      <c r="BH348" s="29" t="str">
        <f t="shared" si="351"/>
        <v>#DIV/0!</v>
      </c>
      <c r="BI348" s="29" t="str">
        <f t="shared" si="351"/>
        <v>#DIV/0!</v>
      </c>
      <c r="BJ348" s="29" t="str">
        <f t="shared" si="351"/>
        <v>#DIV/0!</v>
      </c>
      <c r="BK348" s="29" t="str">
        <f t="shared" si="351"/>
        <v>#DIV/0!</v>
      </c>
      <c r="BL348" s="29" t="str">
        <f t="shared" si="351"/>
        <v>#DIV/0!</v>
      </c>
      <c r="BM348" s="29" t="str">
        <f t="shared" si="3"/>
        <v>#DIV/0!</v>
      </c>
    </row>
    <row r="349">
      <c r="A349" s="16" t="str">
        <f>IFERROR(__xludf.DUMMYFUNCTION("IFERROR(SPARKLINE(SORT(MAP(TRANSPOSE(AQ349:BL349), LAMBDA(val, IF(ISNUMBER(val), PERCENTRANK(AQ349:BL349, val)+0.01, 0))), SEQUENCE(COLUMNS(AQ349:BL349)), FALSE), {""charttype"",""column""; ""color"",""chartreuse""; ""ymin"", 0; ""ymax"", 1.01; ""highcolo"&amp;"r"", ""darkgreen""; ""lowcolor"", ""red""}), """")"),"")</f>
        <v/>
      </c>
      <c r="B349" s="17" t="str">
        <f t="shared" si="4"/>
        <v/>
      </c>
      <c r="C349" s="1" t="s">
        <v>1636</v>
      </c>
      <c r="D349" s="34" t="str">
        <f>IFERROR(__xludf.DUMMYFUNCTION("IFERROR(GOOGLEFINANCE(C349, ""NAME""))"),"Travelers Companies Inc")</f>
        <v>Travelers Companies Inc</v>
      </c>
      <c r="E349" s="30" t="s">
        <v>82</v>
      </c>
      <c r="F349" s="33" t="str">
        <f>IFERROR(__xludf.DUMMYFUNCTION("( (GOOGLEFINANCE(C349, ""price"") - Q349) / Q349 ) / (R349 / 100)"),"Loading...")</f>
        <v>Loading...</v>
      </c>
      <c r="G349" s="20" t="str">
        <f>IFERROR(__xludf.DUMMYFUNCTION("AVERAGE(ARRAYFORMULA(100 * (QUERY(GOOGLEFINANCE(C349, ""high"", TODAY()-40, TODAY()), ""SELECT Col2 WHERE Col2 IS NOT NULL ORDER BY Col1 DESC LIMIT 20"", 0) / QUERY(GOOGLEFINANCE(C349, ""low"", TODAY()-40, TODAY()), ""SELECT Col2 WHERE Col2 IS NOT NULL OR"&amp;"DER BY Col1 DESC LIMIT 20"", 0) - 1)))"),"#N/A")</f>
        <v>#N/A</v>
      </c>
      <c r="H349" s="35" t="str">
        <f t="shared" si="6"/>
        <v/>
      </c>
      <c r="I349" s="36" t="str">
        <f t="shared" si="7"/>
        <v/>
      </c>
      <c r="J349" s="37" t="str">
        <f>IFERROR(__xludf.DUMMYFUNCTION("IFERROR(
  IF(C349="""",, 
    IFERROR(
      GOOGLEFINANCE(C349, ""price"") * GOOGLEFINANCE(C349, ""volumeavg""), 
      GOOGLEFINANCE(C349, ""price"") * AVERAGE(QUERY(GOOGLEFINANCE(C349, ""volume"", TODAY()-40, TODAY()), ""SELECT Col2 WHERE Col2 IS NOT "&amp;"NULL ORDER BY Col1 DESC LIMIT 20"", 0))
    )
  ), 
"""")"),"")</f>
        <v/>
      </c>
      <c r="K349" s="21" t="str">
        <f>IFERROR(__xludf.DUMMYFUNCTION("IFERROR(GOOGLEFINANCE(C349, ""changepct"") / 100, """")"),"")</f>
        <v/>
      </c>
      <c r="L349" s="21" t="str">
        <f>IFERROR(__xludf.DUMMYFUNCTION("IFERROR((GOOGLEFINANCE(C349, ""price"") / INDEX(GOOGLEFINANCE(C349, ""price"", TODAY()-7, TODAY()), 2, 2)) - 1, """")"),"")</f>
        <v/>
      </c>
      <c r="M349" s="21" t="str">
        <f>IFERROR(__xludf.DUMMYFUNCTION("IFERROR((GOOGLEFINANCE(C349, ""price"") / INDEX(GOOGLEFINANCE(C349, ""price"", EDATE(TODAY(), -1), TODAY()), 2, 2)) - 1, """")"),"")</f>
        <v/>
      </c>
      <c r="N349" s="21" t="str">
        <f>IFERROR(__xludf.DUMMYFUNCTION("IFERROR((GOOGLEFINANCE(C349, ""price"") / INDEX(GOOGLEFINANCE(C349, ""price"", EDATE(TODAY(), -3), TODAY()), 2, 2)) - 1, """")"),"")</f>
        <v/>
      </c>
      <c r="O349" s="21" t="str">
        <f>IFERROR(__xludf.DUMMYFUNCTION("IFERROR((GOOGLEFINANCE(C349, ""price"") / INDEX(GOOGLEFINANCE(C349, ""price"", EDATE(TODAY(), -6), TODAY()), 2, 2)) - 1, """")"),"")</f>
        <v/>
      </c>
      <c r="P349" s="21" t="str">
        <f>IFERROR(__xludf.DUMMYFUNCTION("IFERROR((GOOGLEFINANCE(C349, ""price"") / INDEX(GOOGLEFINANCE(C349, ""price"", EDATE(TODAY(), -12), TODAY()), 2, 2)) - 1, """")"),"")</f>
        <v/>
      </c>
      <c r="Q349" s="6" t="str">
        <f>IFERROR(__xludf.DUMMYFUNCTION("AVERAGE(QUERY(GOOGLEFINANCE(C349, ""price"", TODAY()-80, TODAY()), ""SELECT Col2 WHERE Col2 IS NOT NULL ORDER BY Col1 DESC LIMIT 50"", 0))"),"#N/A")</f>
        <v>#N/A</v>
      </c>
      <c r="R349" s="24" t="str">
        <f>IFERROR(__xludf.DUMMYFUNCTION("IFERROR(
  LET(
    data, QUERY(GOOGLEFINANCE(C349,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GOOGLEFINANCE(C349, ""price"")) * 100,
    IF(calc=0, G349, calc)
  ), 
G349)"),"#N/A")</f>
        <v>#N/A</v>
      </c>
      <c r="S349" s="8" t="s">
        <v>15</v>
      </c>
      <c r="T349" s="26" t="str">
        <f>IFERROR(__xludf.DUMMYFUNCTION("IFERROR(TRANSPOSE(QUERY(IFERROR(SORT(GOOGLEFINANCE(C349, ""price"", WORKDAY(TODAY(), -40), TODAY()), 1, FALSE)), ""select Col2 where Col2 is not null limit 22 label Col2 ''"", 0)), """")"),"")</f>
        <v/>
      </c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8"/>
      <c r="AO349" s="28"/>
      <c r="AP349" s="29"/>
      <c r="AQ349" s="29" t="str">
        <f t="shared" ref="AQ349:BL349" si="352">T349/T$2</f>
        <v>#N/A</v>
      </c>
      <c r="AR349" s="29" t="str">
        <f t="shared" si="352"/>
        <v>#DIV/0!</v>
      </c>
      <c r="AS349" s="29" t="str">
        <f t="shared" si="352"/>
        <v>#DIV/0!</v>
      </c>
      <c r="AT349" s="29" t="str">
        <f t="shared" si="352"/>
        <v>#DIV/0!</v>
      </c>
      <c r="AU349" s="29" t="str">
        <f t="shared" si="352"/>
        <v>#DIV/0!</v>
      </c>
      <c r="AV349" s="29" t="str">
        <f t="shared" si="352"/>
        <v>#DIV/0!</v>
      </c>
      <c r="AW349" s="29" t="str">
        <f t="shared" si="352"/>
        <v>#DIV/0!</v>
      </c>
      <c r="AX349" s="29" t="str">
        <f t="shared" si="352"/>
        <v>#DIV/0!</v>
      </c>
      <c r="AY349" s="29" t="str">
        <f t="shared" si="352"/>
        <v>#DIV/0!</v>
      </c>
      <c r="AZ349" s="29" t="str">
        <f t="shared" si="352"/>
        <v>#DIV/0!</v>
      </c>
      <c r="BA349" s="29" t="str">
        <f t="shared" si="352"/>
        <v>#DIV/0!</v>
      </c>
      <c r="BB349" s="29" t="str">
        <f t="shared" si="352"/>
        <v>#DIV/0!</v>
      </c>
      <c r="BC349" s="29" t="str">
        <f t="shared" si="352"/>
        <v>#DIV/0!</v>
      </c>
      <c r="BD349" s="29" t="str">
        <f t="shared" si="352"/>
        <v>#DIV/0!</v>
      </c>
      <c r="BE349" s="29" t="str">
        <f t="shared" si="352"/>
        <v>#DIV/0!</v>
      </c>
      <c r="BF349" s="29" t="str">
        <f t="shared" si="352"/>
        <v>#DIV/0!</v>
      </c>
      <c r="BG349" s="29" t="str">
        <f t="shared" si="352"/>
        <v>#DIV/0!</v>
      </c>
      <c r="BH349" s="29" t="str">
        <f t="shared" si="352"/>
        <v>#DIV/0!</v>
      </c>
      <c r="BI349" s="29" t="str">
        <f t="shared" si="352"/>
        <v>#DIV/0!</v>
      </c>
      <c r="BJ349" s="29" t="str">
        <f t="shared" si="352"/>
        <v>#DIV/0!</v>
      </c>
      <c r="BK349" s="29" t="str">
        <f t="shared" si="352"/>
        <v>#DIV/0!</v>
      </c>
      <c r="BL349" s="29" t="str">
        <f t="shared" si="352"/>
        <v>#DIV/0!</v>
      </c>
      <c r="BM349" s="29" t="str">
        <f t="shared" si="3"/>
        <v>#DIV/0!</v>
      </c>
    </row>
    <row r="350">
      <c r="A350" s="16" t="str">
        <f>IFERROR(__xludf.DUMMYFUNCTION("IFERROR(SPARKLINE(SORT(MAP(TRANSPOSE(AQ350:BL350), LAMBDA(val, IF(ISNUMBER(val), PERCENTRANK(AQ350:BL350, val)+0.01, 0))), SEQUENCE(COLUMNS(AQ350:BL350)), FALSE), {""charttype"",""column""; ""color"",""chartreuse""; ""ymin"", 0; ""ymax"", 1.01; ""highcolo"&amp;"r"", ""darkgreen""; ""lowcolor"", ""red""}), """")"),"")</f>
        <v/>
      </c>
      <c r="B350" s="17" t="str">
        <f t="shared" si="4"/>
        <v/>
      </c>
      <c r="C350" s="1" t="s">
        <v>1640</v>
      </c>
      <c r="D350" s="34" t="str">
        <f>IFERROR(__xludf.DUMMYFUNCTION("IFERROR(GOOGLEFINANCE(C350, ""NAME""))"),"Purpose Diversified Real Asset ETF")</f>
        <v>Purpose Diversified Real Asset ETF</v>
      </c>
      <c r="E350" s="30" t="s">
        <v>82</v>
      </c>
      <c r="F350" s="33" t="str">
        <f>IFERROR(__xludf.DUMMYFUNCTION("( (GOOGLEFINANCE(C350, ""price"") - Q350) / Q350 ) / (R350 / 100)"),"Loading...")</f>
        <v>Loading...</v>
      </c>
      <c r="G350" s="20" t="str">
        <f>IFERROR(__xludf.DUMMYFUNCTION("AVERAGE(ARRAYFORMULA(100 * (QUERY(GOOGLEFINANCE(C350, ""high"", TODAY()-40, TODAY()), ""SELECT Col2 WHERE Col2 IS NOT NULL ORDER BY Col1 DESC LIMIT 20"", 0) / QUERY(GOOGLEFINANCE(C350, ""low"", TODAY()-40, TODAY()), ""SELECT Col2 WHERE Col2 IS NOT NULL OR"&amp;"DER BY Col1 DESC LIMIT 20"", 0) - 1)))"),"#N/A")</f>
        <v>#N/A</v>
      </c>
      <c r="H350" s="35" t="str">
        <f t="shared" si="6"/>
        <v/>
      </c>
      <c r="I350" s="36" t="str">
        <f t="shared" si="7"/>
        <v/>
      </c>
      <c r="J350" s="37" t="str">
        <f>IFERROR(__xludf.DUMMYFUNCTION("IFERROR(
  IF(C350="""",, 
    IFERROR(
      GOOGLEFINANCE(C350, ""price"") * GOOGLEFINANCE(C350, ""volumeavg""), 
      GOOGLEFINANCE(C350, ""price"") * AVERAGE(QUERY(GOOGLEFINANCE(C350, ""volume"", TODAY()-40, TODAY()), ""SELECT Col2 WHERE Col2 IS NOT "&amp;"NULL ORDER BY Col1 DESC LIMIT 20"", 0))
    )
  ), 
"""")"),"")</f>
        <v/>
      </c>
      <c r="K350" s="21" t="str">
        <f>IFERROR(__xludf.DUMMYFUNCTION("IFERROR(GOOGLEFINANCE(C350, ""changepct"") / 100, """")"),"")</f>
        <v/>
      </c>
      <c r="L350" s="21" t="str">
        <f>IFERROR(__xludf.DUMMYFUNCTION("IFERROR((GOOGLEFINANCE(C350, ""price"") / INDEX(GOOGLEFINANCE(C350, ""price"", TODAY()-7, TODAY()), 2, 2)) - 1, """")"),"")</f>
        <v/>
      </c>
      <c r="M350" s="21" t="str">
        <f>IFERROR(__xludf.DUMMYFUNCTION("IFERROR((GOOGLEFINANCE(C350, ""price"") / INDEX(GOOGLEFINANCE(C350, ""price"", EDATE(TODAY(), -1), TODAY()), 2, 2)) - 1, """")"),"")</f>
        <v/>
      </c>
      <c r="N350" s="21" t="str">
        <f>IFERROR(__xludf.DUMMYFUNCTION("IFERROR((GOOGLEFINANCE(C350, ""price"") / INDEX(GOOGLEFINANCE(C350, ""price"", EDATE(TODAY(), -3), TODAY()), 2, 2)) - 1, """")"),"")</f>
        <v/>
      </c>
      <c r="O350" s="21" t="str">
        <f>IFERROR(__xludf.DUMMYFUNCTION("IFERROR((GOOGLEFINANCE(C350, ""price"") / INDEX(GOOGLEFINANCE(C350, ""price"", EDATE(TODAY(), -6), TODAY()), 2, 2)) - 1, """")"),"")</f>
        <v/>
      </c>
      <c r="P350" s="21" t="str">
        <f>IFERROR(__xludf.DUMMYFUNCTION("IFERROR((GOOGLEFINANCE(C350, ""price"") / INDEX(GOOGLEFINANCE(C350, ""price"", EDATE(TODAY(), -12), TODAY()), 2, 2)) - 1, """")"),"")</f>
        <v/>
      </c>
      <c r="Q350" s="6" t="str">
        <f>IFERROR(__xludf.DUMMYFUNCTION("AVERAGE(QUERY(GOOGLEFINANCE(C350, ""price"", TODAY()-80, TODAY()), ""SELECT Col2 WHERE Col2 IS NOT NULL ORDER BY Col1 DESC LIMIT 50"", 0))"),"#N/A")</f>
        <v>#N/A</v>
      </c>
      <c r="R350" s="24" t="str">
        <f>IFERROR(__xludf.DUMMYFUNCTION("IFERROR(
  LET(
    data, QUERY(GOOGLEFINANCE(C350,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GOOGLEFINANCE(C350, ""price"")) * 100,
    IF(calc=0, G350, calc)
  ), 
G350)"),"#N/A")</f>
        <v>#N/A</v>
      </c>
      <c r="S350" s="8" t="s">
        <v>15</v>
      </c>
      <c r="T350" s="26" t="str">
        <f>IFERROR(__xludf.DUMMYFUNCTION("IFERROR(TRANSPOSE(QUERY(IFERROR(SORT(GOOGLEFINANCE(C350, ""price"", WORKDAY(TODAY(), -40), TODAY()), 1, FALSE)), ""select Col2 where Col2 is not null limit 22 label Col2 ''"", 0)), """")"),"")</f>
        <v/>
      </c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8"/>
      <c r="AO350" s="28"/>
      <c r="AP350" s="29"/>
      <c r="AQ350" s="29" t="str">
        <f t="shared" ref="AQ350:BL350" si="353">T350/T$2</f>
        <v>#N/A</v>
      </c>
      <c r="AR350" s="29" t="str">
        <f t="shared" si="353"/>
        <v>#DIV/0!</v>
      </c>
      <c r="AS350" s="29" t="str">
        <f t="shared" si="353"/>
        <v>#DIV/0!</v>
      </c>
      <c r="AT350" s="29" t="str">
        <f t="shared" si="353"/>
        <v>#DIV/0!</v>
      </c>
      <c r="AU350" s="29" t="str">
        <f t="shared" si="353"/>
        <v>#DIV/0!</v>
      </c>
      <c r="AV350" s="29" t="str">
        <f t="shared" si="353"/>
        <v>#DIV/0!</v>
      </c>
      <c r="AW350" s="29" t="str">
        <f t="shared" si="353"/>
        <v>#DIV/0!</v>
      </c>
      <c r="AX350" s="29" t="str">
        <f t="shared" si="353"/>
        <v>#DIV/0!</v>
      </c>
      <c r="AY350" s="29" t="str">
        <f t="shared" si="353"/>
        <v>#DIV/0!</v>
      </c>
      <c r="AZ350" s="29" t="str">
        <f t="shared" si="353"/>
        <v>#DIV/0!</v>
      </c>
      <c r="BA350" s="29" t="str">
        <f t="shared" si="353"/>
        <v>#DIV/0!</v>
      </c>
      <c r="BB350" s="29" t="str">
        <f t="shared" si="353"/>
        <v>#DIV/0!</v>
      </c>
      <c r="BC350" s="29" t="str">
        <f t="shared" si="353"/>
        <v>#DIV/0!</v>
      </c>
      <c r="BD350" s="29" t="str">
        <f t="shared" si="353"/>
        <v>#DIV/0!</v>
      </c>
      <c r="BE350" s="29" t="str">
        <f t="shared" si="353"/>
        <v>#DIV/0!</v>
      </c>
      <c r="BF350" s="29" t="str">
        <f t="shared" si="353"/>
        <v>#DIV/0!</v>
      </c>
      <c r="BG350" s="29" t="str">
        <f t="shared" si="353"/>
        <v>#DIV/0!</v>
      </c>
      <c r="BH350" s="29" t="str">
        <f t="shared" si="353"/>
        <v>#DIV/0!</v>
      </c>
      <c r="BI350" s="29" t="str">
        <f t="shared" si="353"/>
        <v>#DIV/0!</v>
      </c>
      <c r="BJ350" s="29" t="str">
        <f t="shared" si="353"/>
        <v>#DIV/0!</v>
      </c>
      <c r="BK350" s="29" t="str">
        <f t="shared" si="353"/>
        <v>#DIV/0!</v>
      </c>
      <c r="BL350" s="29" t="str">
        <f t="shared" si="353"/>
        <v>#DIV/0!</v>
      </c>
      <c r="BM350" s="29" t="str">
        <f t="shared" si="3"/>
        <v>#DIV/0!</v>
      </c>
    </row>
    <row r="351">
      <c r="A351" s="16" t="str">
        <f>IFERROR(__xludf.DUMMYFUNCTION("IFERROR(SPARKLINE(SORT(MAP(TRANSPOSE(AQ351:BL351), LAMBDA(val, IF(ISNUMBER(val), PERCENTRANK(AQ351:BL351, val)+0.01, 0))), SEQUENCE(COLUMNS(AQ351:BL351)), FALSE), {""charttype"",""column""; ""color"",""chartreuse""; ""ymin"", 0; ""ymax"", 1.01; ""highcolo"&amp;"r"", ""darkgreen""; ""lowcolor"", ""red""}), """")"),"")</f>
        <v/>
      </c>
      <c r="B351" s="17" t="str">
        <f t="shared" si="4"/>
        <v/>
      </c>
      <c r="C351" s="1" t="s">
        <v>1646</v>
      </c>
      <c r="D351" s="34" t="str">
        <f>IFERROR(__xludf.DUMMYFUNCTION("IFERROR(GOOGLEFINANCE(C351, ""NAME""))"),"Cna Financial Corp")</f>
        <v>Cna Financial Corp</v>
      </c>
      <c r="E351" s="30" t="s">
        <v>82</v>
      </c>
      <c r="F351" s="33" t="str">
        <f>IFERROR(__xludf.DUMMYFUNCTION("( (GOOGLEFINANCE(C351, ""price"") - Q351) / Q351 ) / (R351 / 100)"),"Loading...")</f>
        <v>Loading...</v>
      </c>
      <c r="G351" s="20" t="str">
        <f>IFERROR(__xludf.DUMMYFUNCTION("AVERAGE(ARRAYFORMULA(100 * (QUERY(GOOGLEFINANCE(C351, ""high"", TODAY()-40, TODAY()), ""SELECT Col2 WHERE Col2 IS NOT NULL ORDER BY Col1 DESC LIMIT 20"", 0) / QUERY(GOOGLEFINANCE(C351, ""low"", TODAY()-40, TODAY()), ""SELECT Col2 WHERE Col2 IS NOT NULL OR"&amp;"DER BY Col1 DESC LIMIT 20"", 0) - 1)))"),"#N/A")</f>
        <v>#N/A</v>
      </c>
      <c r="H351" s="35" t="str">
        <f t="shared" si="6"/>
        <v/>
      </c>
      <c r="I351" s="36" t="str">
        <f t="shared" si="7"/>
        <v/>
      </c>
      <c r="J351" s="37" t="str">
        <f>IFERROR(__xludf.DUMMYFUNCTION("IFERROR(
  IF(C351="""",, 
    IFERROR(
      GOOGLEFINANCE(C351, ""price"") * GOOGLEFINANCE(C351, ""volumeavg""), 
      GOOGLEFINANCE(C351, ""price"") * AVERAGE(QUERY(GOOGLEFINANCE(C351, ""volume"", TODAY()-40, TODAY()), ""SELECT Col2 WHERE Col2 IS NOT "&amp;"NULL ORDER BY Col1 DESC LIMIT 20"", 0))
    )
  ), 
"""")"),"")</f>
        <v/>
      </c>
      <c r="K351" s="21" t="str">
        <f>IFERROR(__xludf.DUMMYFUNCTION("IFERROR(GOOGLEFINANCE(C351, ""changepct"") / 100, """")"),"")</f>
        <v/>
      </c>
      <c r="L351" s="21" t="str">
        <f>IFERROR(__xludf.DUMMYFUNCTION("IFERROR((GOOGLEFINANCE(C351, ""price"") / INDEX(GOOGLEFINANCE(C351, ""price"", TODAY()-7, TODAY()), 2, 2)) - 1, """")"),"")</f>
        <v/>
      </c>
      <c r="M351" s="21" t="str">
        <f>IFERROR(__xludf.DUMMYFUNCTION("IFERROR((GOOGLEFINANCE(C351, ""price"") / INDEX(GOOGLEFINANCE(C351, ""price"", EDATE(TODAY(), -1), TODAY()), 2, 2)) - 1, """")"),"")</f>
        <v/>
      </c>
      <c r="N351" s="21" t="str">
        <f>IFERROR(__xludf.DUMMYFUNCTION("IFERROR((GOOGLEFINANCE(C351, ""price"") / INDEX(GOOGLEFINANCE(C351, ""price"", EDATE(TODAY(), -3), TODAY()), 2, 2)) - 1, """")"),"")</f>
        <v/>
      </c>
      <c r="O351" s="21" t="str">
        <f>IFERROR(__xludf.DUMMYFUNCTION("IFERROR((GOOGLEFINANCE(C351, ""price"") / INDEX(GOOGLEFINANCE(C351, ""price"", EDATE(TODAY(), -6), TODAY()), 2, 2)) - 1, """")"),"")</f>
        <v/>
      </c>
      <c r="P351" s="21" t="str">
        <f>IFERROR(__xludf.DUMMYFUNCTION("IFERROR((GOOGLEFINANCE(C351, ""price"") / INDEX(GOOGLEFINANCE(C351, ""price"", EDATE(TODAY(), -12), TODAY()), 2, 2)) - 1, """")"),"")</f>
        <v/>
      </c>
      <c r="Q351" s="6" t="str">
        <f>IFERROR(__xludf.DUMMYFUNCTION("AVERAGE(QUERY(GOOGLEFINANCE(C351, ""price"", TODAY()-80, TODAY()), ""SELECT Col2 WHERE Col2 IS NOT NULL ORDER BY Col1 DESC LIMIT 50"", 0))"),"#N/A")</f>
        <v>#N/A</v>
      </c>
      <c r="R351" s="24" t="str">
        <f>IFERROR(__xludf.DUMMYFUNCTION("IFERROR(
  LET(
    data, QUERY(GOOGLEFINANCE(C351,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GOOGLEFINANCE(C351, ""price"")) * 100,
    IF(calc=0, G351, calc)
  ), 
G351)"),"#N/A")</f>
        <v>#N/A</v>
      </c>
      <c r="S351" s="8" t="s">
        <v>15</v>
      </c>
      <c r="T351" s="26" t="str">
        <f>IFERROR(__xludf.DUMMYFUNCTION("IFERROR(TRANSPOSE(QUERY(IFERROR(SORT(GOOGLEFINANCE(C351, ""price"", WORKDAY(TODAY(), -40), TODAY()), 1, FALSE)), ""select Col2 where Col2 is not null limit 22 label Col2 ''"", 0)), """")"),"")</f>
        <v/>
      </c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8"/>
      <c r="AO351" s="28"/>
      <c r="AP351" s="29"/>
      <c r="AQ351" s="29" t="str">
        <f t="shared" ref="AQ351:BL351" si="354">T351/T$2</f>
        <v>#N/A</v>
      </c>
      <c r="AR351" s="29" t="str">
        <f t="shared" si="354"/>
        <v>#DIV/0!</v>
      </c>
      <c r="AS351" s="29" t="str">
        <f t="shared" si="354"/>
        <v>#DIV/0!</v>
      </c>
      <c r="AT351" s="29" t="str">
        <f t="shared" si="354"/>
        <v>#DIV/0!</v>
      </c>
      <c r="AU351" s="29" t="str">
        <f t="shared" si="354"/>
        <v>#DIV/0!</v>
      </c>
      <c r="AV351" s="29" t="str">
        <f t="shared" si="354"/>
        <v>#DIV/0!</v>
      </c>
      <c r="AW351" s="29" t="str">
        <f t="shared" si="354"/>
        <v>#DIV/0!</v>
      </c>
      <c r="AX351" s="29" t="str">
        <f t="shared" si="354"/>
        <v>#DIV/0!</v>
      </c>
      <c r="AY351" s="29" t="str">
        <f t="shared" si="354"/>
        <v>#DIV/0!</v>
      </c>
      <c r="AZ351" s="29" t="str">
        <f t="shared" si="354"/>
        <v>#DIV/0!</v>
      </c>
      <c r="BA351" s="29" t="str">
        <f t="shared" si="354"/>
        <v>#DIV/0!</v>
      </c>
      <c r="BB351" s="29" t="str">
        <f t="shared" si="354"/>
        <v>#DIV/0!</v>
      </c>
      <c r="BC351" s="29" t="str">
        <f t="shared" si="354"/>
        <v>#DIV/0!</v>
      </c>
      <c r="BD351" s="29" t="str">
        <f t="shared" si="354"/>
        <v>#DIV/0!</v>
      </c>
      <c r="BE351" s="29" t="str">
        <f t="shared" si="354"/>
        <v>#DIV/0!</v>
      </c>
      <c r="BF351" s="29" t="str">
        <f t="shared" si="354"/>
        <v>#DIV/0!</v>
      </c>
      <c r="BG351" s="29" t="str">
        <f t="shared" si="354"/>
        <v>#DIV/0!</v>
      </c>
      <c r="BH351" s="29" t="str">
        <f t="shared" si="354"/>
        <v>#DIV/0!</v>
      </c>
      <c r="BI351" s="29" t="str">
        <f t="shared" si="354"/>
        <v>#DIV/0!</v>
      </c>
      <c r="BJ351" s="29" t="str">
        <f t="shared" si="354"/>
        <v>#DIV/0!</v>
      </c>
      <c r="BK351" s="29" t="str">
        <f t="shared" si="354"/>
        <v>#DIV/0!</v>
      </c>
      <c r="BL351" s="29" t="str">
        <f t="shared" si="354"/>
        <v>#DIV/0!</v>
      </c>
      <c r="BM351" s="29" t="str">
        <f t="shared" si="3"/>
        <v>#DIV/0!</v>
      </c>
    </row>
    <row r="352">
      <c r="A352" s="16" t="str">
        <f>IFERROR(__xludf.DUMMYFUNCTION("IFERROR(SPARKLINE(SORT(MAP(TRANSPOSE(AQ352:BL352), LAMBDA(val, IF(ISNUMBER(val), PERCENTRANK(AQ352:BL352, val)+0.01, 0))), SEQUENCE(COLUMNS(AQ352:BL352)), FALSE), {""charttype"",""column""; ""color"",""chartreuse""; ""ymin"", 0; ""ymax"", 1.01; ""highcolo"&amp;"r"", ""darkgreen""; ""lowcolor"", ""red""}), """")"),"")</f>
        <v/>
      </c>
      <c r="B352" s="17" t="str">
        <f t="shared" si="4"/>
        <v/>
      </c>
      <c r="C352" s="1" t="s">
        <v>1651</v>
      </c>
      <c r="D352" s="34" t="str">
        <f>IFERROR(__xludf.DUMMYFUNCTION("IFERROR(GOOGLEFINANCE(C352, ""NAME""))"),"RLI Corp")</f>
        <v>RLI Corp</v>
      </c>
      <c r="E352" s="30" t="s">
        <v>82</v>
      </c>
      <c r="F352" s="33" t="str">
        <f>IFERROR(__xludf.DUMMYFUNCTION("( (GOOGLEFINANCE(C352, ""price"") - Q352) / Q352 ) / (R352 / 100)"),"Loading...")</f>
        <v>Loading...</v>
      </c>
      <c r="G352" s="20" t="str">
        <f>IFERROR(__xludf.DUMMYFUNCTION("AVERAGE(ARRAYFORMULA(100 * (QUERY(GOOGLEFINANCE(C352, ""high"", TODAY()-40, TODAY()), ""SELECT Col2 WHERE Col2 IS NOT NULL ORDER BY Col1 DESC LIMIT 20"", 0) / QUERY(GOOGLEFINANCE(C352, ""low"", TODAY()-40, TODAY()), ""SELECT Col2 WHERE Col2 IS NOT NULL OR"&amp;"DER BY Col1 DESC LIMIT 20"", 0) - 1)))"),"#N/A")</f>
        <v>#N/A</v>
      </c>
      <c r="H352" s="35" t="str">
        <f t="shared" si="6"/>
        <v/>
      </c>
      <c r="I352" s="36" t="str">
        <f t="shared" si="7"/>
        <v/>
      </c>
      <c r="J352" s="37" t="str">
        <f>IFERROR(__xludf.DUMMYFUNCTION("IFERROR(
  IF(C352="""",, 
    IFERROR(
      GOOGLEFINANCE(C352, ""price"") * GOOGLEFINANCE(C352, ""volumeavg""), 
      GOOGLEFINANCE(C352, ""price"") * AVERAGE(QUERY(GOOGLEFINANCE(C352, ""volume"", TODAY()-40, TODAY()), ""SELECT Col2 WHERE Col2 IS NOT "&amp;"NULL ORDER BY Col1 DESC LIMIT 20"", 0))
    )
  ), 
"""")"),"")</f>
        <v/>
      </c>
      <c r="K352" s="21" t="str">
        <f>IFERROR(__xludf.DUMMYFUNCTION("IFERROR(GOOGLEFINANCE(C352, ""changepct"") / 100, """")"),"")</f>
        <v/>
      </c>
      <c r="L352" s="21" t="str">
        <f>IFERROR(__xludf.DUMMYFUNCTION("IFERROR((GOOGLEFINANCE(C352, ""price"") / INDEX(GOOGLEFINANCE(C352, ""price"", TODAY()-7, TODAY()), 2, 2)) - 1, """")"),"")</f>
        <v/>
      </c>
      <c r="M352" s="21" t="str">
        <f>IFERROR(__xludf.DUMMYFUNCTION("IFERROR((GOOGLEFINANCE(C352, ""price"") / INDEX(GOOGLEFINANCE(C352, ""price"", EDATE(TODAY(), -1), TODAY()), 2, 2)) - 1, """")"),"")</f>
        <v/>
      </c>
      <c r="N352" s="21" t="str">
        <f>IFERROR(__xludf.DUMMYFUNCTION("IFERROR((GOOGLEFINANCE(C352, ""price"") / INDEX(GOOGLEFINANCE(C352, ""price"", EDATE(TODAY(), -3), TODAY()), 2, 2)) - 1, """")"),"")</f>
        <v/>
      </c>
      <c r="O352" s="21" t="str">
        <f>IFERROR(__xludf.DUMMYFUNCTION("IFERROR((GOOGLEFINANCE(C352, ""price"") / INDEX(GOOGLEFINANCE(C352, ""price"", EDATE(TODAY(), -6), TODAY()), 2, 2)) - 1, """")"),"")</f>
        <v/>
      </c>
      <c r="P352" s="21" t="str">
        <f>IFERROR(__xludf.DUMMYFUNCTION("IFERROR((GOOGLEFINANCE(C352, ""price"") / INDEX(GOOGLEFINANCE(C352, ""price"", EDATE(TODAY(), -12), TODAY()), 2, 2)) - 1, """")"),"")</f>
        <v/>
      </c>
      <c r="Q352" s="6" t="str">
        <f>IFERROR(__xludf.DUMMYFUNCTION("AVERAGE(QUERY(GOOGLEFINANCE(C352, ""price"", TODAY()-80, TODAY()), ""SELECT Col2 WHERE Col2 IS NOT NULL ORDER BY Col1 DESC LIMIT 50"", 0))"),"#N/A")</f>
        <v>#N/A</v>
      </c>
      <c r="R352" s="24" t="str">
        <f>IFERROR(__xludf.DUMMYFUNCTION("IFERROR(
  LET(
    data, QUERY(GOOGLEFINANCE(C352,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GOOGLEFINANCE(C352, ""price"")) * 100,
    IF(calc=0, G352, calc)
  ), 
G352)"),"#N/A")</f>
        <v>#N/A</v>
      </c>
      <c r="S352" s="8" t="s">
        <v>15</v>
      </c>
      <c r="T352" s="26" t="str">
        <f>IFERROR(__xludf.DUMMYFUNCTION("IFERROR(TRANSPOSE(QUERY(IFERROR(SORT(GOOGLEFINANCE(C352, ""price"", WORKDAY(TODAY(), -40), TODAY()), 1, FALSE)), ""select Col2 where Col2 is not null limit 22 label Col2 ''"", 0)), """")"),"")</f>
        <v/>
      </c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8"/>
      <c r="AO352" s="28"/>
      <c r="AP352" s="29"/>
      <c r="AQ352" s="29" t="str">
        <f t="shared" ref="AQ352:BL352" si="355">T352/T$2</f>
        <v>#N/A</v>
      </c>
      <c r="AR352" s="29" t="str">
        <f t="shared" si="355"/>
        <v>#DIV/0!</v>
      </c>
      <c r="AS352" s="29" t="str">
        <f t="shared" si="355"/>
        <v>#DIV/0!</v>
      </c>
      <c r="AT352" s="29" t="str">
        <f t="shared" si="355"/>
        <v>#DIV/0!</v>
      </c>
      <c r="AU352" s="29" t="str">
        <f t="shared" si="355"/>
        <v>#DIV/0!</v>
      </c>
      <c r="AV352" s="29" t="str">
        <f t="shared" si="355"/>
        <v>#DIV/0!</v>
      </c>
      <c r="AW352" s="29" t="str">
        <f t="shared" si="355"/>
        <v>#DIV/0!</v>
      </c>
      <c r="AX352" s="29" t="str">
        <f t="shared" si="355"/>
        <v>#DIV/0!</v>
      </c>
      <c r="AY352" s="29" t="str">
        <f t="shared" si="355"/>
        <v>#DIV/0!</v>
      </c>
      <c r="AZ352" s="29" t="str">
        <f t="shared" si="355"/>
        <v>#DIV/0!</v>
      </c>
      <c r="BA352" s="29" t="str">
        <f t="shared" si="355"/>
        <v>#DIV/0!</v>
      </c>
      <c r="BB352" s="29" t="str">
        <f t="shared" si="355"/>
        <v>#DIV/0!</v>
      </c>
      <c r="BC352" s="29" t="str">
        <f t="shared" si="355"/>
        <v>#DIV/0!</v>
      </c>
      <c r="BD352" s="29" t="str">
        <f t="shared" si="355"/>
        <v>#DIV/0!</v>
      </c>
      <c r="BE352" s="29" t="str">
        <f t="shared" si="355"/>
        <v>#DIV/0!</v>
      </c>
      <c r="BF352" s="29" t="str">
        <f t="shared" si="355"/>
        <v>#DIV/0!</v>
      </c>
      <c r="BG352" s="29" t="str">
        <f t="shared" si="355"/>
        <v>#DIV/0!</v>
      </c>
      <c r="BH352" s="29" t="str">
        <f t="shared" si="355"/>
        <v>#DIV/0!</v>
      </c>
      <c r="BI352" s="29" t="str">
        <f t="shared" si="355"/>
        <v>#DIV/0!</v>
      </c>
      <c r="BJ352" s="29" t="str">
        <f t="shared" si="355"/>
        <v>#DIV/0!</v>
      </c>
      <c r="BK352" s="29" t="str">
        <f t="shared" si="355"/>
        <v>#DIV/0!</v>
      </c>
      <c r="BL352" s="29" t="str">
        <f t="shared" si="355"/>
        <v>#DIV/0!</v>
      </c>
      <c r="BM352" s="29" t="str">
        <f t="shared" si="3"/>
        <v>#DIV/0!</v>
      </c>
    </row>
    <row r="353">
      <c r="A353" s="16" t="str">
        <f>IFERROR(__xludf.DUMMYFUNCTION("IFERROR(SPARKLINE(SORT(MAP(TRANSPOSE(AQ353:BL353), LAMBDA(val, IF(ISNUMBER(val), PERCENTRANK(AQ353:BL353, val)+0.01, 0))), SEQUENCE(COLUMNS(AQ353:BL353)), FALSE), {""charttype"",""column""; ""color"",""chartreuse""; ""ymin"", 0; ""ymax"", 1.01; ""highcolo"&amp;"r"", ""darkgreen""; ""lowcolor"", ""red""}), """")"),"")</f>
        <v/>
      </c>
      <c r="B353" s="17" t="str">
        <f t="shared" si="4"/>
        <v/>
      </c>
      <c r="C353" s="1" t="s">
        <v>1654</v>
      </c>
      <c r="D353" s="34" t="str">
        <f>IFERROR(__xludf.DUMMYFUNCTION("IFERROR(GOOGLEFINANCE(C353, ""NAME""))"),"Loews Corp")</f>
        <v>Loews Corp</v>
      </c>
      <c r="E353" s="30" t="s">
        <v>82</v>
      </c>
      <c r="F353" s="33" t="str">
        <f>IFERROR(__xludf.DUMMYFUNCTION("( (GOOGLEFINANCE(C353, ""price"") - Q353) / Q353 ) / (R353 / 100)"),"Loading...")</f>
        <v>Loading...</v>
      </c>
      <c r="G353" s="20" t="str">
        <f>IFERROR(__xludf.DUMMYFUNCTION("AVERAGE(ARRAYFORMULA(100 * (QUERY(GOOGLEFINANCE(C353, ""high"", TODAY()-40, TODAY()), ""SELECT Col2 WHERE Col2 IS NOT NULL ORDER BY Col1 DESC LIMIT 20"", 0) / QUERY(GOOGLEFINANCE(C353, ""low"", TODAY()-40, TODAY()), ""SELECT Col2 WHERE Col2 IS NOT NULL OR"&amp;"DER BY Col1 DESC LIMIT 20"", 0) - 1)))"),"#N/A")</f>
        <v>#N/A</v>
      </c>
      <c r="H353" s="35" t="str">
        <f t="shared" si="6"/>
        <v/>
      </c>
      <c r="I353" s="36" t="str">
        <f t="shared" si="7"/>
        <v/>
      </c>
      <c r="J353" s="37" t="str">
        <f>IFERROR(__xludf.DUMMYFUNCTION("IFERROR(
  IF(C353="""",, 
    IFERROR(
      GOOGLEFINANCE(C353, ""price"") * GOOGLEFINANCE(C353, ""volumeavg""), 
      GOOGLEFINANCE(C353, ""price"") * AVERAGE(QUERY(GOOGLEFINANCE(C353, ""volume"", TODAY()-40, TODAY()), ""SELECT Col2 WHERE Col2 IS NOT "&amp;"NULL ORDER BY Col1 DESC LIMIT 20"", 0))
    )
  ), 
"""")"),"")</f>
        <v/>
      </c>
      <c r="K353" s="21" t="str">
        <f>IFERROR(__xludf.DUMMYFUNCTION("IFERROR(GOOGLEFINANCE(C353, ""changepct"") / 100, """")"),"")</f>
        <v/>
      </c>
      <c r="L353" s="21" t="str">
        <f>IFERROR(__xludf.DUMMYFUNCTION("IFERROR((GOOGLEFINANCE(C353, ""price"") / INDEX(GOOGLEFINANCE(C353, ""price"", TODAY()-7, TODAY()), 2, 2)) - 1, """")"),"")</f>
        <v/>
      </c>
      <c r="M353" s="21" t="str">
        <f>IFERROR(__xludf.DUMMYFUNCTION("IFERROR((GOOGLEFINANCE(C353, ""price"") / INDEX(GOOGLEFINANCE(C353, ""price"", EDATE(TODAY(), -1), TODAY()), 2, 2)) - 1, """")"),"")</f>
        <v/>
      </c>
      <c r="N353" s="21" t="str">
        <f>IFERROR(__xludf.DUMMYFUNCTION("IFERROR((GOOGLEFINANCE(C353, ""price"") / INDEX(GOOGLEFINANCE(C353, ""price"", EDATE(TODAY(), -3), TODAY()), 2, 2)) - 1, """")"),"")</f>
        <v/>
      </c>
      <c r="O353" s="21" t="str">
        <f>IFERROR(__xludf.DUMMYFUNCTION("IFERROR((GOOGLEFINANCE(C353, ""price"") / INDEX(GOOGLEFINANCE(C353, ""price"", EDATE(TODAY(), -6), TODAY()), 2, 2)) - 1, """")"),"")</f>
        <v/>
      </c>
      <c r="P353" s="21" t="str">
        <f>IFERROR(__xludf.DUMMYFUNCTION("IFERROR((GOOGLEFINANCE(C353, ""price"") / INDEX(GOOGLEFINANCE(C353, ""price"", EDATE(TODAY(), -12), TODAY()), 2, 2)) - 1, """")"),"")</f>
        <v/>
      </c>
      <c r="Q353" s="6" t="str">
        <f>IFERROR(__xludf.DUMMYFUNCTION("AVERAGE(QUERY(GOOGLEFINANCE(C353, ""price"", TODAY()-80, TODAY()), ""SELECT Col2 WHERE Col2 IS NOT NULL ORDER BY Col1 DESC LIMIT 50"", 0))"),"#N/A")</f>
        <v>#N/A</v>
      </c>
      <c r="R353" s="24" t="str">
        <f>IFERROR(__xludf.DUMMYFUNCTION("IFERROR(
  LET(
    data, QUERY(GOOGLEFINANCE(C353,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GOOGLEFINANCE(C353, ""price"")) * 100,
    IF(calc=0, G353, calc)
  ), 
G353)"),"#N/A")</f>
        <v>#N/A</v>
      </c>
      <c r="S353" s="8" t="s">
        <v>15</v>
      </c>
      <c r="T353" s="26" t="str">
        <f>IFERROR(__xludf.DUMMYFUNCTION("IFERROR(TRANSPOSE(QUERY(IFERROR(SORT(GOOGLEFINANCE(C353, ""price"", WORKDAY(TODAY(), -40), TODAY()), 1, FALSE)), ""select Col2 where Col2 is not null limit 22 label Col2 ''"", 0)), """")"),"")</f>
        <v/>
      </c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8"/>
      <c r="AO353" s="28"/>
      <c r="AP353" s="29"/>
      <c r="AQ353" s="29" t="str">
        <f t="shared" ref="AQ353:BL353" si="356">T353/T$2</f>
        <v>#N/A</v>
      </c>
      <c r="AR353" s="29" t="str">
        <f t="shared" si="356"/>
        <v>#DIV/0!</v>
      </c>
      <c r="AS353" s="29" t="str">
        <f t="shared" si="356"/>
        <v>#DIV/0!</v>
      </c>
      <c r="AT353" s="29" t="str">
        <f t="shared" si="356"/>
        <v>#DIV/0!</v>
      </c>
      <c r="AU353" s="29" t="str">
        <f t="shared" si="356"/>
        <v>#DIV/0!</v>
      </c>
      <c r="AV353" s="29" t="str">
        <f t="shared" si="356"/>
        <v>#DIV/0!</v>
      </c>
      <c r="AW353" s="29" t="str">
        <f t="shared" si="356"/>
        <v>#DIV/0!</v>
      </c>
      <c r="AX353" s="29" t="str">
        <f t="shared" si="356"/>
        <v>#DIV/0!</v>
      </c>
      <c r="AY353" s="29" t="str">
        <f t="shared" si="356"/>
        <v>#DIV/0!</v>
      </c>
      <c r="AZ353" s="29" t="str">
        <f t="shared" si="356"/>
        <v>#DIV/0!</v>
      </c>
      <c r="BA353" s="29" t="str">
        <f t="shared" si="356"/>
        <v>#DIV/0!</v>
      </c>
      <c r="BB353" s="29" t="str">
        <f t="shared" si="356"/>
        <v>#DIV/0!</v>
      </c>
      <c r="BC353" s="29" t="str">
        <f t="shared" si="356"/>
        <v>#DIV/0!</v>
      </c>
      <c r="BD353" s="29" t="str">
        <f t="shared" si="356"/>
        <v>#DIV/0!</v>
      </c>
      <c r="BE353" s="29" t="str">
        <f t="shared" si="356"/>
        <v>#DIV/0!</v>
      </c>
      <c r="BF353" s="29" t="str">
        <f t="shared" si="356"/>
        <v>#DIV/0!</v>
      </c>
      <c r="BG353" s="29" t="str">
        <f t="shared" si="356"/>
        <v>#DIV/0!</v>
      </c>
      <c r="BH353" s="29" t="str">
        <f t="shared" si="356"/>
        <v>#DIV/0!</v>
      </c>
      <c r="BI353" s="29" t="str">
        <f t="shared" si="356"/>
        <v>#DIV/0!</v>
      </c>
      <c r="BJ353" s="29" t="str">
        <f t="shared" si="356"/>
        <v>#DIV/0!</v>
      </c>
      <c r="BK353" s="29" t="str">
        <f t="shared" si="356"/>
        <v>#DIV/0!</v>
      </c>
      <c r="BL353" s="29" t="str">
        <f t="shared" si="356"/>
        <v>#DIV/0!</v>
      </c>
      <c r="BM353" s="29" t="str">
        <f t="shared" si="3"/>
        <v>#DIV/0!</v>
      </c>
    </row>
    <row r="354">
      <c r="A354" s="16" t="str">
        <f>IFERROR(__xludf.DUMMYFUNCTION("IFERROR(SPARKLINE(SORT(MAP(TRANSPOSE(AQ354:BL354), LAMBDA(val, IF(ISNUMBER(val), PERCENTRANK(AQ354:BL354, val)+0.01, 0))), SEQUENCE(COLUMNS(AQ354:BL354)), FALSE), {""charttype"",""column""; ""color"",""chartreuse""; ""ymin"", 0; ""ymax"", 1.01; ""highcolo"&amp;"r"", ""darkgreen""; ""lowcolor"", ""red""}), """")"),"")</f>
        <v/>
      </c>
      <c r="B354" s="17" t="str">
        <f t="shared" si="4"/>
        <v/>
      </c>
      <c r="C354" s="1" t="s">
        <v>1658</v>
      </c>
      <c r="D354" s="34" t="str">
        <f>IFERROR(__xludf.DUMMYFUNCTION("IFERROR(GOOGLEFINANCE(C354, ""NAME""))"),"Old Republic International Corp")</f>
        <v>Old Republic International Corp</v>
      </c>
      <c r="E354" s="30" t="s">
        <v>82</v>
      </c>
      <c r="F354" s="33" t="str">
        <f>IFERROR(__xludf.DUMMYFUNCTION("( (GOOGLEFINANCE(C354, ""price"") - Q354) / Q354 ) / (R354 / 100)"),"Loading...")</f>
        <v>Loading...</v>
      </c>
      <c r="G354" s="20" t="str">
        <f>IFERROR(__xludf.DUMMYFUNCTION("AVERAGE(ARRAYFORMULA(100 * (QUERY(GOOGLEFINANCE(C354, ""high"", TODAY()-40, TODAY()), ""SELECT Col2 WHERE Col2 IS NOT NULL ORDER BY Col1 DESC LIMIT 20"", 0) / QUERY(GOOGLEFINANCE(C354, ""low"", TODAY()-40, TODAY()), ""SELECT Col2 WHERE Col2 IS NOT NULL OR"&amp;"DER BY Col1 DESC LIMIT 20"", 0) - 1)))"),"#N/A")</f>
        <v>#N/A</v>
      </c>
      <c r="H354" s="35" t="str">
        <f t="shared" si="6"/>
        <v/>
      </c>
      <c r="I354" s="36" t="str">
        <f t="shared" si="7"/>
        <v/>
      </c>
      <c r="J354" s="37" t="str">
        <f>IFERROR(__xludf.DUMMYFUNCTION("IFERROR(
  IF(C354="""",, 
    IFERROR(
      GOOGLEFINANCE(C354, ""price"") * GOOGLEFINANCE(C354, ""volumeavg""), 
      GOOGLEFINANCE(C354, ""price"") * AVERAGE(QUERY(GOOGLEFINANCE(C354, ""volume"", TODAY()-40, TODAY()), ""SELECT Col2 WHERE Col2 IS NOT "&amp;"NULL ORDER BY Col1 DESC LIMIT 20"", 0))
    )
  ), 
"""")"),"")</f>
        <v/>
      </c>
      <c r="K354" s="21" t="str">
        <f>IFERROR(__xludf.DUMMYFUNCTION("IFERROR(GOOGLEFINANCE(C354, ""changepct"") / 100, """")"),"")</f>
        <v/>
      </c>
      <c r="L354" s="21" t="str">
        <f>IFERROR(__xludf.DUMMYFUNCTION("IFERROR((GOOGLEFINANCE(C354, ""price"") / INDEX(GOOGLEFINANCE(C354, ""price"", TODAY()-7, TODAY()), 2, 2)) - 1, """")"),"")</f>
        <v/>
      </c>
      <c r="M354" s="21" t="str">
        <f>IFERROR(__xludf.DUMMYFUNCTION("IFERROR((GOOGLEFINANCE(C354, ""price"") / INDEX(GOOGLEFINANCE(C354, ""price"", EDATE(TODAY(), -1), TODAY()), 2, 2)) - 1, """")"),"")</f>
        <v/>
      </c>
      <c r="N354" s="21" t="str">
        <f>IFERROR(__xludf.DUMMYFUNCTION("IFERROR((GOOGLEFINANCE(C354, ""price"") / INDEX(GOOGLEFINANCE(C354, ""price"", EDATE(TODAY(), -3), TODAY()), 2, 2)) - 1, """")"),"")</f>
        <v/>
      </c>
      <c r="O354" s="21" t="str">
        <f>IFERROR(__xludf.DUMMYFUNCTION("IFERROR((GOOGLEFINANCE(C354, ""price"") / INDEX(GOOGLEFINANCE(C354, ""price"", EDATE(TODAY(), -6), TODAY()), 2, 2)) - 1, """")"),"")</f>
        <v/>
      </c>
      <c r="P354" s="21" t="str">
        <f>IFERROR(__xludf.DUMMYFUNCTION("IFERROR((GOOGLEFINANCE(C354, ""price"") / INDEX(GOOGLEFINANCE(C354, ""price"", EDATE(TODAY(), -12), TODAY()), 2, 2)) - 1, """")"),"")</f>
        <v/>
      </c>
      <c r="Q354" s="6" t="str">
        <f>IFERROR(__xludf.DUMMYFUNCTION("AVERAGE(QUERY(GOOGLEFINANCE(C354, ""price"", TODAY()-80, TODAY()), ""SELECT Col2 WHERE Col2 IS NOT NULL ORDER BY Col1 DESC LIMIT 50"", 0))"),"#N/A")</f>
        <v>#N/A</v>
      </c>
      <c r="R354" s="24" t="str">
        <f>IFERROR(__xludf.DUMMYFUNCTION("IFERROR(
  LET(
    data, QUERY(GOOGLEFINANCE(C354,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GOOGLEFINANCE(C354, ""price"")) * 100,
    IF(calc=0, G354, calc)
  ), 
G354)"),"#N/A")</f>
        <v>#N/A</v>
      </c>
      <c r="S354" s="8" t="s">
        <v>15</v>
      </c>
      <c r="T354" s="26" t="str">
        <f>IFERROR(__xludf.DUMMYFUNCTION("IFERROR(TRANSPOSE(QUERY(IFERROR(SORT(GOOGLEFINANCE(C354, ""price"", WORKDAY(TODAY(), -40), TODAY()), 1, FALSE)), ""select Col2 where Col2 is not null limit 22 label Col2 ''"", 0)), """")"),"")</f>
        <v/>
      </c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8"/>
      <c r="AO354" s="28"/>
      <c r="AP354" s="29"/>
      <c r="AQ354" s="29" t="str">
        <f t="shared" ref="AQ354:BL354" si="357">T354/T$2</f>
        <v>#N/A</v>
      </c>
      <c r="AR354" s="29" t="str">
        <f t="shared" si="357"/>
        <v>#DIV/0!</v>
      </c>
      <c r="AS354" s="29" t="str">
        <f t="shared" si="357"/>
        <v>#DIV/0!</v>
      </c>
      <c r="AT354" s="29" t="str">
        <f t="shared" si="357"/>
        <v>#DIV/0!</v>
      </c>
      <c r="AU354" s="29" t="str">
        <f t="shared" si="357"/>
        <v>#DIV/0!</v>
      </c>
      <c r="AV354" s="29" t="str">
        <f t="shared" si="357"/>
        <v>#DIV/0!</v>
      </c>
      <c r="AW354" s="29" t="str">
        <f t="shared" si="357"/>
        <v>#DIV/0!</v>
      </c>
      <c r="AX354" s="29" t="str">
        <f t="shared" si="357"/>
        <v>#DIV/0!</v>
      </c>
      <c r="AY354" s="29" t="str">
        <f t="shared" si="357"/>
        <v>#DIV/0!</v>
      </c>
      <c r="AZ354" s="29" t="str">
        <f t="shared" si="357"/>
        <v>#DIV/0!</v>
      </c>
      <c r="BA354" s="29" t="str">
        <f t="shared" si="357"/>
        <v>#DIV/0!</v>
      </c>
      <c r="BB354" s="29" t="str">
        <f t="shared" si="357"/>
        <v>#DIV/0!</v>
      </c>
      <c r="BC354" s="29" t="str">
        <f t="shared" si="357"/>
        <v>#DIV/0!</v>
      </c>
      <c r="BD354" s="29" t="str">
        <f t="shared" si="357"/>
        <v>#DIV/0!</v>
      </c>
      <c r="BE354" s="29" t="str">
        <f t="shared" si="357"/>
        <v>#DIV/0!</v>
      </c>
      <c r="BF354" s="29" t="str">
        <f t="shared" si="357"/>
        <v>#DIV/0!</v>
      </c>
      <c r="BG354" s="29" t="str">
        <f t="shared" si="357"/>
        <v>#DIV/0!</v>
      </c>
      <c r="BH354" s="29" t="str">
        <f t="shared" si="357"/>
        <v>#DIV/0!</v>
      </c>
      <c r="BI354" s="29" t="str">
        <f t="shared" si="357"/>
        <v>#DIV/0!</v>
      </c>
      <c r="BJ354" s="29" t="str">
        <f t="shared" si="357"/>
        <v>#DIV/0!</v>
      </c>
      <c r="BK354" s="29" t="str">
        <f t="shared" si="357"/>
        <v>#DIV/0!</v>
      </c>
      <c r="BL354" s="29" t="str">
        <f t="shared" si="357"/>
        <v>#DIV/0!</v>
      </c>
      <c r="BM354" s="29" t="str">
        <f t="shared" si="3"/>
        <v>#DIV/0!</v>
      </c>
    </row>
    <row r="355">
      <c r="A355" s="16" t="str">
        <f>IFERROR(__xludf.DUMMYFUNCTION("IFERROR(SPARKLINE(SORT(MAP(TRANSPOSE(AQ355:BL355), LAMBDA(val, IF(ISNUMBER(val), PERCENTRANK(AQ355:BL355, val)+0.01, 0))), SEQUENCE(COLUMNS(AQ355:BL355)), FALSE), {""charttype"",""column""; ""color"",""chartreuse""; ""ymin"", 0; ""ymax"", 1.01; ""highcolo"&amp;"r"", ""darkgreen""; ""lowcolor"", ""red""}), """")"),"")</f>
        <v/>
      </c>
      <c r="B355" s="17" t="str">
        <f t="shared" si="4"/>
        <v/>
      </c>
      <c r="C355" s="1" t="s">
        <v>1662</v>
      </c>
      <c r="D355" s="34" t="str">
        <f>IFERROR(__xludf.DUMMYFUNCTION("IFERROR(GOOGLEFINANCE(C355, ""NAME""))"),"Kinsale Capital Group Inc")</f>
        <v>Kinsale Capital Group Inc</v>
      </c>
      <c r="E355" s="30" t="s">
        <v>82</v>
      </c>
      <c r="F355" s="33" t="str">
        <f>IFERROR(__xludf.DUMMYFUNCTION("( (GOOGLEFINANCE(C355, ""price"") - Q355) / Q355 ) / (R355 / 100)"),"Loading...")</f>
        <v>Loading...</v>
      </c>
      <c r="G355" s="20" t="str">
        <f>IFERROR(__xludf.DUMMYFUNCTION("AVERAGE(ARRAYFORMULA(100 * (QUERY(GOOGLEFINANCE(C355, ""high"", TODAY()-40, TODAY()), ""SELECT Col2 WHERE Col2 IS NOT NULL ORDER BY Col1 DESC LIMIT 20"", 0) / QUERY(GOOGLEFINANCE(C355, ""low"", TODAY()-40, TODAY()), ""SELECT Col2 WHERE Col2 IS NOT NULL OR"&amp;"DER BY Col1 DESC LIMIT 20"", 0) - 1)))"),"#N/A")</f>
        <v>#N/A</v>
      </c>
      <c r="H355" s="35" t="str">
        <f t="shared" si="6"/>
        <v/>
      </c>
      <c r="I355" s="36" t="str">
        <f t="shared" si="7"/>
        <v/>
      </c>
      <c r="J355" s="37" t="str">
        <f>IFERROR(__xludf.DUMMYFUNCTION("IFERROR(
  IF(C355="""",, 
    IFERROR(
      GOOGLEFINANCE(C355, ""price"") * GOOGLEFINANCE(C355, ""volumeavg""), 
      GOOGLEFINANCE(C355, ""price"") * AVERAGE(QUERY(GOOGLEFINANCE(C355, ""volume"", TODAY()-40, TODAY()), ""SELECT Col2 WHERE Col2 IS NOT "&amp;"NULL ORDER BY Col1 DESC LIMIT 20"", 0))
    )
  ), 
"""")"),"")</f>
        <v/>
      </c>
      <c r="K355" s="21" t="str">
        <f>IFERROR(__xludf.DUMMYFUNCTION("IFERROR(GOOGLEFINANCE(C355, ""changepct"") / 100, """")"),"")</f>
        <v/>
      </c>
      <c r="L355" s="21" t="str">
        <f>IFERROR(__xludf.DUMMYFUNCTION("IFERROR((GOOGLEFINANCE(C355, ""price"") / INDEX(GOOGLEFINANCE(C355, ""price"", TODAY()-7, TODAY()), 2, 2)) - 1, """")"),"")</f>
        <v/>
      </c>
      <c r="M355" s="21" t="str">
        <f>IFERROR(__xludf.DUMMYFUNCTION("IFERROR((GOOGLEFINANCE(C355, ""price"") / INDEX(GOOGLEFINANCE(C355, ""price"", EDATE(TODAY(), -1), TODAY()), 2, 2)) - 1, """")"),"")</f>
        <v/>
      </c>
      <c r="N355" s="21" t="str">
        <f>IFERROR(__xludf.DUMMYFUNCTION("IFERROR((GOOGLEFINANCE(C355, ""price"") / INDEX(GOOGLEFINANCE(C355, ""price"", EDATE(TODAY(), -3), TODAY()), 2, 2)) - 1, """")"),"")</f>
        <v/>
      </c>
      <c r="O355" s="21" t="str">
        <f>IFERROR(__xludf.DUMMYFUNCTION("IFERROR((GOOGLEFINANCE(C355, ""price"") / INDEX(GOOGLEFINANCE(C355, ""price"", EDATE(TODAY(), -6), TODAY()), 2, 2)) - 1, """")"),"")</f>
        <v/>
      </c>
      <c r="P355" s="21" t="str">
        <f>IFERROR(__xludf.DUMMYFUNCTION("IFERROR((GOOGLEFINANCE(C355, ""price"") / INDEX(GOOGLEFINANCE(C355, ""price"", EDATE(TODAY(), -12), TODAY()), 2, 2)) - 1, """")"),"")</f>
        <v/>
      </c>
      <c r="Q355" s="6" t="str">
        <f>IFERROR(__xludf.DUMMYFUNCTION("AVERAGE(QUERY(GOOGLEFINANCE(C355, ""price"", TODAY()-80, TODAY()), ""SELECT Col2 WHERE Col2 IS NOT NULL ORDER BY Col1 DESC LIMIT 50"", 0))"),"#N/A")</f>
        <v>#N/A</v>
      </c>
      <c r="R355" s="24" t="str">
        <f>IFERROR(__xludf.DUMMYFUNCTION("IFERROR(
  LET(
    data, QUERY(GOOGLEFINANCE(C355,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GOOGLEFINANCE(C355, ""price"")) * 100,
    IF(calc=0, G355, calc)
  ), 
G355)"),"#N/A")</f>
        <v>#N/A</v>
      </c>
      <c r="S355" s="8" t="s">
        <v>15</v>
      </c>
      <c r="T355" s="26" t="str">
        <f>IFERROR(__xludf.DUMMYFUNCTION("IFERROR(TRANSPOSE(QUERY(IFERROR(SORT(GOOGLEFINANCE(C355, ""price"", WORKDAY(TODAY(), -40), TODAY()), 1, FALSE)), ""select Col2 where Col2 is not null limit 22 label Col2 ''"", 0)), """")"),"")</f>
        <v/>
      </c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8"/>
      <c r="AO355" s="28"/>
      <c r="AP355" s="29"/>
      <c r="AQ355" s="29" t="str">
        <f t="shared" ref="AQ355:BL355" si="358">T355/T$2</f>
        <v>#N/A</v>
      </c>
      <c r="AR355" s="29" t="str">
        <f t="shared" si="358"/>
        <v>#DIV/0!</v>
      </c>
      <c r="AS355" s="29" t="str">
        <f t="shared" si="358"/>
        <v>#DIV/0!</v>
      </c>
      <c r="AT355" s="29" t="str">
        <f t="shared" si="358"/>
        <v>#DIV/0!</v>
      </c>
      <c r="AU355" s="29" t="str">
        <f t="shared" si="358"/>
        <v>#DIV/0!</v>
      </c>
      <c r="AV355" s="29" t="str">
        <f t="shared" si="358"/>
        <v>#DIV/0!</v>
      </c>
      <c r="AW355" s="29" t="str">
        <f t="shared" si="358"/>
        <v>#DIV/0!</v>
      </c>
      <c r="AX355" s="29" t="str">
        <f t="shared" si="358"/>
        <v>#DIV/0!</v>
      </c>
      <c r="AY355" s="29" t="str">
        <f t="shared" si="358"/>
        <v>#DIV/0!</v>
      </c>
      <c r="AZ355" s="29" t="str">
        <f t="shared" si="358"/>
        <v>#DIV/0!</v>
      </c>
      <c r="BA355" s="29" t="str">
        <f t="shared" si="358"/>
        <v>#DIV/0!</v>
      </c>
      <c r="BB355" s="29" t="str">
        <f t="shared" si="358"/>
        <v>#DIV/0!</v>
      </c>
      <c r="BC355" s="29" t="str">
        <f t="shared" si="358"/>
        <v>#DIV/0!</v>
      </c>
      <c r="BD355" s="29" t="str">
        <f t="shared" si="358"/>
        <v>#DIV/0!</v>
      </c>
      <c r="BE355" s="29" t="str">
        <f t="shared" si="358"/>
        <v>#DIV/0!</v>
      </c>
      <c r="BF355" s="29" t="str">
        <f t="shared" si="358"/>
        <v>#DIV/0!</v>
      </c>
      <c r="BG355" s="29" t="str">
        <f t="shared" si="358"/>
        <v>#DIV/0!</v>
      </c>
      <c r="BH355" s="29" t="str">
        <f t="shared" si="358"/>
        <v>#DIV/0!</v>
      </c>
      <c r="BI355" s="29" t="str">
        <f t="shared" si="358"/>
        <v>#DIV/0!</v>
      </c>
      <c r="BJ355" s="29" t="str">
        <f t="shared" si="358"/>
        <v>#DIV/0!</v>
      </c>
      <c r="BK355" s="29" t="str">
        <f t="shared" si="358"/>
        <v>#DIV/0!</v>
      </c>
      <c r="BL355" s="29" t="str">
        <f t="shared" si="358"/>
        <v>#DIV/0!</v>
      </c>
      <c r="BM355" s="29" t="str">
        <f t="shared" si="3"/>
        <v>#DIV/0!</v>
      </c>
    </row>
    <row r="356">
      <c r="A356" s="16" t="str">
        <f>IFERROR(__xludf.DUMMYFUNCTION("IFERROR(SPARKLINE(SORT(MAP(TRANSPOSE(AQ356:BL356), LAMBDA(val, IF(ISNUMBER(val), PERCENTRANK(AQ356:BL356, val)+0.01, 0))), SEQUENCE(COLUMNS(AQ356:BL356)), FALSE), {""charttype"",""column""; ""color"",""chartreuse""; ""ymin"", 0; ""ymax"", 1.01; ""highcolo"&amp;"r"", ""darkgreen""; ""lowcolor"", ""red""}), """")"),"")</f>
        <v/>
      </c>
      <c r="B356" s="17" t="str">
        <f t="shared" si="4"/>
        <v/>
      </c>
      <c r="C356" s="1" t="s">
        <v>1666</v>
      </c>
      <c r="D356" s="34" t="str">
        <f>IFERROR(__xludf.DUMMYFUNCTION("IFERROR(GOOGLEFINANCE(C356, ""NAME""))"),"Everest Group Ltd")</f>
        <v>Everest Group Ltd</v>
      </c>
      <c r="E356" s="30" t="s">
        <v>1409</v>
      </c>
      <c r="F356" s="33" t="str">
        <f>IFERROR(__xludf.DUMMYFUNCTION("( (GOOGLEFINANCE(C356, ""price"") - Q356) / Q356 ) / (R356 / 100)"),"Loading...")</f>
        <v>Loading...</v>
      </c>
      <c r="G356" s="20" t="str">
        <f>IFERROR(__xludf.DUMMYFUNCTION("AVERAGE(ARRAYFORMULA(100 * (QUERY(GOOGLEFINANCE(C356, ""high"", TODAY()-40, TODAY()), ""SELECT Col2 WHERE Col2 IS NOT NULL ORDER BY Col1 DESC LIMIT 20"", 0) / QUERY(GOOGLEFINANCE(C356, ""low"", TODAY()-40, TODAY()), ""SELECT Col2 WHERE Col2 IS NOT NULL OR"&amp;"DER BY Col1 DESC LIMIT 20"", 0) - 1)))"),"#N/A")</f>
        <v>#N/A</v>
      </c>
      <c r="H356" s="35" t="str">
        <f t="shared" si="6"/>
        <v/>
      </c>
      <c r="I356" s="36" t="str">
        <f t="shared" si="7"/>
        <v/>
      </c>
      <c r="J356" s="37" t="str">
        <f>IFERROR(__xludf.DUMMYFUNCTION("IFERROR(
  IF(C356="""",, 
    IFERROR(
      GOOGLEFINANCE(C356, ""price"") * GOOGLEFINANCE(C356, ""volumeavg""), 
      GOOGLEFINANCE(C356, ""price"") * AVERAGE(QUERY(GOOGLEFINANCE(C356, ""volume"", TODAY()-40, TODAY()), ""SELECT Col2 WHERE Col2 IS NOT "&amp;"NULL ORDER BY Col1 DESC LIMIT 20"", 0))
    )
  ), 
"""")"),"")</f>
        <v/>
      </c>
      <c r="K356" s="21" t="str">
        <f>IFERROR(__xludf.DUMMYFUNCTION("IFERROR(GOOGLEFINANCE(C356, ""changepct"") / 100, """")"),"")</f>
        <v/>
      </c>
      <c r="L356" s="21" t="str">
        <f>IFERROR(__xludf.DUMMYFUNCTION("IFERROR((GOOGLEFINANCE(C356, ""price"") / INDEX(GOOGLEFINANCE(C356, ""price"", TODAY()-7, TODAY()), 2, 2)) - 1, """")"),"")</f>
        <v/>
      </c>
      <c r="M356" s="21" t="str">
        <f>IFERROR(__xludf.DUMMYFUNCTION("IFERROR((GOOGLEFINANCE(C356, ""price"") / INDEX(GOOGLEFINANCE(C356, ""price"", EDATE(TODAY(), -1), TODAY()), 2, 2)) - 1, """")"),"")</f>
        <v/>
      </c>
      <c r="N356" s="21" t="str">
        <f>IFERROR(__xludf.DUMMYFUNCTION("IFERROR((GOOGLEFINANCE(C356, ""price"") / INDEX(GOOGLEFINANCE(C356, ""price"", EDATE(TODAY(), -3), TODAY()), 2, 2)) - 1, """")"),"")</f>
        <v/>
      </c>
      <c r="O356" s="21" t="str">
        <f>IFERROR(__xludf.DUMMYFUNCTION("IFERROR((GOOGLEFINANCE(C356, ""price"") / INDEX(GOOGLEFINANCE(C356, ""price"", EDATE(TODAY(), -6), TODAY()), 2, 2)) - 1, """")"),"")</f>
        <v/>
      </c>
      <c r="P356" s="21" t="str">
        <f>IFERROR(__xludf.DUMMYFUNCTION("IFERROR((GOOGLEFINANCE(C356, ""price"") / INDEX(GOOGLEFINANCE(C356, ""price"", EDATE(TODAY(), -12), TODAY()), 2, 2)) - 1, """")"),"")</f>
        <v/>
      </c>
      <c r="Q356" s="6" t="str">
        <f>IFERROR(__xludf.DUMMYFUNCTION("AVERAGE(QUERY(GOOGLEFINANCE(C356, ""price"", TODAY()-80, TODAY()), ""SELECT Col2 WHERE Col2 IS NOT NULL ORDER BY Col1 DESC LIMIT 50"", 0))"),"#N/A")</f>
        <v>#N/A</v>
      </c>
      <c r="R356" s="24" t="str">
        <f>IFERROR(__xludf.DUMMYFUNCTION("IFERROR(
  LET(
    data, QUERY(GOOGLEFINANCE(C356,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GOOGLEFINANCE(C356, ""price"")) * 100,
    IF(calc=0, G356, calc)
  ), 
G356)"),"#N/A")</f>
        <v>#N/A</v>
      </c>
      <c r="S356" s="8" t="s">
        <v>15</v>
      </c>
      <c r="T356" s="26" t="str">
        <f>IFERROR(__xludf.DUMMYFUNCTION("IFERROR(TRANSPOSE(QUERY(IFERROR(SORT(GOOGLEFINANCE(C356, ""price"", WORKDAY(TODAY(), -40), TODAY()), 1, FALSE)), ""select Col2 where Col2 is not null limit 22 label Col2 ''"", 0)), """")"),"")</f>
        <v/>
      </c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8"/>
      <c r="AO356" s="28"/>
      <c r="AP356" s="29"/>
      <c r="AQ356" s="29" t="str">
        <f t="shared" ref="AQ356:BL356" si="359">T356/T$2</f>
        <v>#N/A</v>
      </c>
      <c r="AR356" s="29" t="str">
        <f t="shared" si="359"/>
        <v>#DIV/0!</v>
      </c>
      <c r="AS356" s="29" t="str">
        <f t="shared" si="359"/>
        <v>#DIV/0!</v>
      </c>
      <c r="AT356" s="29" t="str">
        <f t="shared" si="359"/>
        <v>#DIV/0!</v>
      </c>
      <c r="AU356" s="29" t="str">
        <f t="shared" si="359"/>
        <v>#DIV/0!</v>
      </c>
      <c r="AV356" s="29" t="str">
        <f t="shared" si="359"/>
        <v>#DIV/0!</v>
      </c>
      <c r="AW356" s="29" t="str">
        <f t="shared" si="359"/>
        <v>#DIV/0!</v>
      </c>
      <c r="AX356" s="29" t="str">
        <f t="shared" si="359"/>
        <v>#DIV/0!</v>
      </c>
      <c r="AY356" s="29" t="str">
        <f t="shared" si="359"/>
        <v>#DIV/0!</v>
      </c>
      <c r="AZ356" s="29" t="str">
        <f t="shared" si="359"/>
        <v>#DIV/0!</v>
      </c>
      <c r="BA356" s="29" t="str">
        <f t="shared" si="359"/>
        <v>#DIV/0!</v>
      </c>
      <c r="BB356" s="29" t="str">
        <f t="shared" si="359"/>
        <v>#DIV/0!</v>
      </c>
      <c r="BC356" s="29" t="str">
        <f t="shared" si="359"/>
        <v>#DIV/0!</v>
      </c>
      <c r="BD356" s="29" t="str">
        <f t="shared" si="359"/>
        <v>#DIV/0!</v>
      </c>
      <c r="BE356" s="29" t="str">
        <f t="shared" si="359"/>
        <v>#DIV/0!</v>
      </c>
      <c r="BF356" s="29" t="str">
        <f t="shared" si="359"/>
        <v>#DIV/0!</v>
      </c>
      <c r="BG356" s="29" t="str">
        <f t="shared" si="359"/>
        <v>#DIV/0!</v>
      </c>
      <c r="BH356" s="29" t="str">
        <f t="shared" si="359"/>
        <v>#DIV/0!</v>
      </c>
      <c r="BI356" s="29" t="str">
        <f t="shared" si="359"/>
        <v>#DIV/0!</v>
      </c>
      <c r="BJ356" s="29" t="str">
        <f t="shared" si="359"/>
        <v>#DIV/0!</v>
      </c>
      <c r="BK356" s="29" t="str">
        <f t="shared" si="359"/>
        <v>#DIV/0!</v>
      </c>
      <c r="BL356" s="29" t="str">
        <f t="shared" si="359"/>
        <v>#DIV/0!</v>
      </c>
      <c r="BM356" s="29" t="str">
        <f t="shared" si="3"/>
        <v>#DIV/0!</v>
      </c>
    </row>
    <row r="357">
      <c r="A357" s="16" t="str">
        <f>IFERROR(__xludf.DUMMYFUNCTION("IFERROR(SPARKLINE(SORT(MAP(TRANSPOSE(AQ357:BL357), LAMBDA(val, IF(ISNUMBER(val), PERCENTRANK(AQ357:BL357, val)+0.01, 0))), SEQUENCE(COLUMNS(AQ357:BL357)), FALSE), {""charttype"",""column""; ""color"",""chartreuse""; ""ymin"", 0; ""ymax"", 1.01; ""highcolo"&amp;"r"", ""darkgreen""; ""lowcolor"", ""red""}), """")"),"")</f>
        <v/>
      </c>
      <c r="B357" s="17" t="str">
        <f t="shared" si="4"/>
        <v/>
      </c>
      <c r="C357" s="1" t="s">
        <v>1670</v>
      </c>
      <c r="D357" s="34" t="str">
        <f>IFERROR(__xludf.DUMMYFUNCTION("IFERROR(GOOGLEFINANCE(C357, ""NAME""))"),"Renaissancere Holdings Ltd")</f>
        <v>Renaissancere Holdings Ltd</v>
      </c>
      <c r="E357" s="30" t="s">
        <v>1409</v>
      </c>
      <c r="F357" s="33" t="str">
        <f>IFERROR(__xludf.DUMMYFUNCTION("( (GOOGLEFINANCE(C357, ""price"") - Q357) / Q357 ) / (R357 / 100)"),"Loading...")</f>
        <v>Loading...</v>
      </c>
      <c r="G357" s="20" t="str">
        <f>IFERROR(__xludf.DUMMYFUNCTION("AVERAGE(ARRAYFORMULA(100 * (QUERY(GOOGLEFINANCE(C357, ""high"", TODAY()-40, TODAY()), ""SELECT Col2 WHERE Col2 IS NOT NULL ORDER BY Col1 DESC LIMIT 20"", 0) / QUERY(GOOGLEFINANCE(C357, ""low"", TODAY()-40, TODAY()), ""SELECT Col2 WHERE Col2 IS NOT NULL OR"&amp;"DER BY Col1 DESC LIMIT 20"", 0) - 1)))"),"#N/A")</f>
        <v>#N/A</v>
      </c>
      <c r="H357" s="35" t="str">
        <f t="shared" si="6"/>
        <v/>
      </c>
      <c r="I357" s="36" t="str">
        <f t="shared" si="7"/>
        <v/>
      </c>
      <c r="J357" s="37" t="str">
        <f>IFERROR(__xludf.DUMMYFUNCTION("IFERROR(
  IF(C357="""",, 
    IFERROR(
      GOOGLEFINANCE(C357, ""price"") * GOOGLEFINANCE(C357, ""volumeavg""), 
      GOOGLEFINANCE(C357, ""price"") * AVERAGE(QUERY(GOOGLEFINANCE(C357, ""volume"", TODAY()-40, TODAY()), ""SELECT Col2 WHERE Col2 IS NOT "&amp;"NULL ORDER BY Col1 DESC LIMIT 20"", 0))
    )
  ), 
"""")"),"")</f>
        <v/>
      </c>
      <c r="K357" s="21" t="str">
        <f>IFERROR(__xludf.DUMMYFUNCTION("IFERROR(GOOGLEFINANCE(C357, ""changepct"") / 100, """")"),"")</f>
        <v/>
      </c>
      <c r="L357" s="21" t="str">
        <f>IFERROR(__xludf.DUMMYFUNCTION("IFERROR((GOOGLEFINANCE(C357, ""price"") / INDEX(GOOGLEFINANCE(C357, ""price"", TODAY()-7, TODAY()), 2, 2)) - 1, """")"),"")</f>
        <v/>
      </c>
      <c r="M357" s="21" t="str">
        <f>IFERROR(__xludf.DUMMYFUNCTION("IFERROR((GOOGLEFINANCE(C357, ""price"") / INDEX(GOOGLEFINANCE(C357, ""price"", EDATE(TODAY(), -1), TODAY()), 2, 2)) - 1, """")"),"")</f>
        <v/>
      </c>
      <c r="N357" s="21" t="str">
        <f>IFERROR(__xludf.DUMMYFUNCTION("IFERROR((GOOGLEFINANCE(C357, ""price"") / INDEX(GOOGLEFINANCE(C357, ""price"", EDATE(TODAY(), -3), TODAY()), 2, 2)) - 1, """")"),"")</f>
        <v/>
      </c>
      <c r="O357" s="21" t="str">
        <f>IFERROR(__xludf.DUMMYFUNCTION("IFERROR((GOOGLEFINANCE(C357, ""price"") / INDEX(GOOGLEFINANCE(C357, ""price"", EDATE(TODAY(), -6), TODAY()), 2, 2)) - 1, """")"),"")</f>
        <v/>
      </c>
      <c r="P357" s="21" t="str">
        <f>IFERROR(__xludf.DUMMYFUNCTION("IFERROR((GOOGLEFINANCE(C357, ""price"") / INDEX(GOOGLEFINANCE(C357, ""price"", EDATE(TODAY(), -12), TODAY()), 2, 2)) - 1, """")"),"")</f>
        <v/>
      </c>
      <c r="Q357" s="6" t="str">
        <f>IFERROR(__xludf.DUMMYFUNCTION("AVERAGE(QUERY(GOOGLEFINANCE(C357, ""price"", TODAY()-80, TODAY()), ""SELECT Col2 WHERE Col2 IS NOT NULL ORDER BY Col1 DESC LIMIT 50"", 0))"),"#N/A")</f>
        <v>#N/A</v>
      </c>
      <c r="R357" s="24" t="str">
        <f>IFERROR(__xludf.DUMMYFUNCTION("IFERROR(
  LET(
    data, QUERY(GOOGLEFINANCE(C357,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GOOGLEFINANCE(C357, ""price"")) * 100,
    IF(calc=0, G357, calc)
  ), 
G357)"),"#N/A")</f>
        <v>#N/A</v>
      </c>
      <c r="S357" s="8" t="s">
        <v>15</v>
      </c>
      <c r="T357" s="26" t="str">
        <f>IFERROR(__xludf.DUMMYFUNCTION("IFERROR(TRANSPOSE(QUERY(IFERROR(SORT(GOOGLEFINANCE(C357, ""price"", WORKDAY(TODAY(), -40), TODAY()), 1, FALSE)), ""select Col2 where Col2 is not null limit 22 label Col2 ''"", 0)), """")"),"")</f>
        <v/>
      </c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8"/>
      <c r="AO357" s="28"/>
      <c r="AP357" s="29"/>
      <c r="AQ357" s="29" t="str">
        <f t="shared" ref="AQ357:BL357" si="360">T357/T$2</f>
        <v>#N/A</v>
      </c>
      <c r="AR357" s="29" t="str">
        <f t="shared" si="360"/>
        <v>#DIV/0!</v>
      </c>
      <c r="AS357" s="29" t="str">
        <f t="shared" si="360"/>
        <v>#DIV/0!</v>
      </c>
      <c r="AT357" s="29" t="str">
        <f t="shared" si="360"/>
        <v>#DIV/0!</v>
      </c>
      <c r="AU357" s="29" t="str">
        <f t="shared" si="360"/>
        <v>#DIV/0!</v>
      </c>
      <c r="AV357" s="29" t="str">
        <f t="shared" si="360"/>
        <v>#DIV/0!</v>
      </c>
      <c r="AW357" s="29" t="str">
        <f t="shared" si="360"/>
        <v>#DIV/0!</v>
      </c>
      <c r="AX357" s="29" t="str">
        <f t="shared" si="360"/>
        <v>#DIV/0!</v>
      </c>
      <c r="AY357" s="29" t="str">
        <f t="shared" si="360"/>
        <v>#DIV/0!</v>
      </c>
      <c r="AZ357" s="29" t="str">
        <f t="shared" si="360"/>
        <v>#DIV/0!</v>
      </c>
      <c r="BA357" s="29" t="str">
        <f t="shared" si="360"/>
        <v>#DIV/0!</v>
      </c>
      <c r="BB357" s="29" t="str">
        <f t="shared" si="360"/>
        <v>#DIV/0!</v>
      </c>
      <c r="BC357" s="29" t="str">
        <f t="shared" si="360"/>
        <v>#DIV/0!</v>
      </c>
      <c r="BD357" s="29" t="str">
        <f t="shared" si="360"/>
        <v>#DIV/0!</v>
      </c>
      <c r="BE357" s="29" t="str">
        <f t="shared" si="360"/>
        <v>#DIV/0!</v>
      </c>
      <c r="BF357" s="29" t="str">
        <f t="shared" si="360"/>
        <v>#DIV/0!</v>
      </c>
      <c r="BG357" s="29" t="str">
        <f t="shared" si="360"/>
        <v>#DIV/0!</v>
      </c>
      <c r="BH357" s="29" t="str">
        <f t="shared" si="360"/>
        <v>#DIV/0!</v>
      </c>
      <c r="BI357" s="29" t="str">
        <f t="shared" si="360"/>
        <v>#DIV/0!</v>
      </c>
      <c r="BJ357" s="29" t="str">
        <f t="shared" si="360"/>
        <v>#DIV/0!</v>
      </c>
      <c r="BK357" s="29" t="str">
        <f t="shared" si="360"/>
        <v>#DIV/0!</v>
      </c>
      <c r="BL357" s="29" t="str">
        <f t="shared" si="360"/>
        <v>#DIV/0!</v>
      </c>
      <c r="BM357" s="29" t="str">
        <f t="shared" si="3"/>
        <v>#DIV/0!</v>
      </c>
    </row>
    <row r="358">
      <c r="A358" s="16" t="str">
        <f>IFERROR(__xludf.DUMMYFUNCTION("IFERROR(SPARKLINE(SORT(MAP(TRANSPOSE(AQ358:BL358), LAMBDA(val, IF(ISNUMBER(val), PERCENTRANK(AQ358:BL358, val)+0.01, 0))), SEQUENCE(COLUMNS(AQ358:BL358)), FALSE), {""charttype"",""column""; ""color"",""chartreuse""; ""ymin"", 0; ""ymax"", 1.01; ""highcolo"&amp;"r"", ""darkgreen""; ""lowcolor"", ""red""}), """")"),"")</f>
        <v/>
      </c>
      <c r="B358" s="17" t="str">
        <f t="shared" si="4"/>
        <v/>
      </c>
      <c r="C358" s="1" t="s">
        <v>1677</v>
      </c>
      <c r="D358" s="34" t="str">
        <f>IFERROR(__xludf.DUMMYFUNCTION("IFERROR(GOOGLEFINANCE(C358, ""NAME""))"),"AXIS Capital Holdings Ltd")</f>
        <v>AXIS Capital Holdings Ltd</v>
      </c>
      <c r="E358" s="30" t="s">
        <v>276</v>
      </c>
      <c r="F358" s="33" t="str">
        <f>IFERROR(__xludf.DUMMYFUNCTION("( (GOOGLEFINANCE(C358, ""price"") - Q358) / Q358 ) / (R358 / 100)"),"Loading...")</f>
        <v>Loading...</v>
      </c>
      <c r="G358" s="20" t="str">
        <f>IFERROR(__xludf.DUMMYFUNCTION("AVERAGE(ARRAYFORMULA(100 * (QUERY(GOOGLEFINANCE(C358, ""high"", TODAY()-40, TODAY()), ""SELECT Col2 WHERE Col2 IS NOT NULL ORDER BY Col1 DESC LIMIT 20"", 0) / QUERY(GOOGLEFINANCE(C358, ""low"", TODAY()-40, TODAY()), ""SELECT Col2 WHERE Col2 IS NOT NULL OR"&amp;"DER BY Col1 DESC LIMIT 20"", 0) - 1)))"),"#N/A")</f>
        <v>#N/A</v>
      </c>
      <c r="H358" s="35" t="str">
        <f t="shared" si="6"/>
        <v/>
      </c>
      <c r="I358" s="36" t="str">
        <f t="shared" si="7"/>
        <v/>
      </c>
      <c r="J358" s="37" t="str">
        <f>IFERROR(__xludf.DUMMYFUNCTION("IFERROR(
  IF(C358="""",, 
    IFERROR(
      GOOGLEFINANCE(C358, ""price"") * GOOGLEFINANCE(C358, ""volumeavg""), 
      GOOGLEFINANCE(C358, ""price"") * AVERAGE(QUERY(GOOGLEFINANCE(C358, ""volume"", TODAY()-40, TODAY()), ""SELECT Col2 WHERE Col2 IS NOT "&amp;"NULL ORDER BY Col1 DESC LIMIT 20"", 0))
    )
  ), 
"""")"),"")</f>
        <v/>
      </c>
      <c r="K358" s="21" t="str">
        <f>IFERROR(__xludf.DUMMYFUNCTION("IFERROR(GOOGLEFINANCE(C358, ""changepct"") / 100, """")"),"")</f>
        <v/>
      </c>
      <c r="L358" s="21" t="str">
        <f>IFERROR(__xludf.DUMMYFUNCTION("IFERROR((GOOGLEFINANCE(C358, ""price"") / INDEX(GOOGLEFINANCE(C358, ""price"", TODAY()-7, TODAY()), 2, 2)) - 1, """")"),"")</f>
        <v/>
      </c>
      <c r="M358" s="21" t="str">
        <f>IFERROR(__xludf.DUMMYFUNCTION("IFERROR((GOOGLEFINANCE(C358, ""price"") / INDEX(GOOGLEFINANCE(C358, ""price"", EDATE(TODAY(), -1), TODAY()), 2, 2)) - 1, """")"),"")</f>
        <v/>
      </c>
      <c r="N358" s="21" t="str">
        <f>IFERROR(__xludf.DUMMYFUNCTION("IFERROR((GOOGLEFINANCE(C358, ""price"") / INDEX(GOOGLEFINANCE(C358, ""price"", EDATE(TODAY(), -3), TODAY()), 2, 2)) - 1, """")"),"")</f>
        <v/>
      </c>
      <c r="O358" s="21" t="str">
        <f>IFERROR(__xludf.DUMMYFUNCTION("IFERROR((GOOGLEFINANCE(C358, ""price"") / INDEX(GOOGLEFINANCE(C358, ""price"", EDATE(TODAY(), -6), TODAY()), 2, 2)) - 1, """")"),"")</f>
        <v/>
      </c>
      <c r="P358" s="21" t="str">
        <f>IFERROR(__xludf.DUMMYFUNCTION("IFERROR((GOOGLEFINANCE(C358, ""price"") / INDEX(GOOGLEFINANCE(C358, ""price"", EDATE(TODAY(), -12), TODAY()), 2, 2)) - 1, """")"),"")</f>
        <v/>
      </c>
      <c r="Q358" s="6" t="str">
        <f>IFERROR(__xludf.DUMMYFUNCTION("AVERAGE(QUERY(GOOGLEFINANCE(C358, ""price"", TODAY()-80, TODAY()), ""SELECT Col2 WHERE Col2 IS NOT NULL ORDER BY Col1 DESC LIMIT 50"", 0))"),"#N/A")</f>
        <v>#N/A</v>
      </c>
      <c r="R358" s="24" t="str">
        <f>IFERROR(__xludf.DUMMYFUNCTION("IFERROR(
  LET(
    data, QUERY(GOOGLEFINANCE(C358,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GOOGLEFINANCE(C358, ""price"")) * 100,
    IF(calc=0, G358, calc)
  ), 
G358)"),"#N/A")</f>
        <v>#N/A</v>
      </c>
      <c r="S358" s="8" t="s">
        <v>15</v>
      </c>
      <c r="T358" s="26" t="str">
        <f>IFERROR(__xludf.DUMMYFUNCTION("IFERROR(TRANSPOSE(QUERY(IFERROR(SORT(GOOGLEFINANCE(C358, ""price"", WORKDAY(TODAY(), -40), TODAY()), 1, FALSE)), ""select Col2 where Col2 is not null limit 22 label Col2 ''"", 0)), """")"),"")</f>
        <v/>
      </c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8"/>
      <c r="AO358" s="28"/>
      <c r="AP358" s="29"/>
      <c r="AQ358" s="29" t="str">
        <f t="shared" ref="AQ358:BL358" si="361">T358/T$2</f>
        <v>#N/A</v>
      </c>
      <c r="AR358" s="29" t="str">
        <f t="shared" si="361"/>
        <v>#DIV/0!</v>
      </c>
      <c r="AS358" s="29" t="str">
        <f t="shared" si="361"/>
        <v>#DIV/0!</v>
      </c>
      <c r="AT358" s="29" t="str">
        <f t="shared" si="361"/>
        <v>#DIV/0!</v>
      </c>
      <c r="AU358" s="29" t="str">
        <f t="shared" si="361"/>
        <v>#DIV/0!</v>
      </c>
      <c r="AV358" s="29" t="str">
        <f t="shared" si="361"/>
        <v>#DIV/0!</v>
      </c>
      <c r="AW358" s="29" t="str">
        <f t="shared" si="361"/>
        <v>#DIV/0!</v>
      </c>
      <c r="AX358" s="29" t="str">
        <f t="shared" si="361"/>
        <v>#DIV/0!</v>
      </c>
      <c r="AY358" s="29" t="str">
        <f t="shared" si="361"/>
        <v>#DIV/0!</v>
      </c>
      <c r="AZ358" s="29" t="str">
        <f t="shared" si="361"/>
        <v>#DIV/0!</v>
      </c>
      <c r="BA358" s="29" t="str">
        <f t="shared" si="361"/>
        <v>#DIV/0!</v>
      </c>
      <c r="BB358" s="29" t="str">
        <f t="shared" si="361"/>
        <v>#DIV/0!</v>
      </c>
      <c r="BC358" s="29" t="str">
        <f t="shared" si="361"/>
        <v>#DIV/0!</v>
      </c>
      <c r="BD358" s="29" t="str">
        <f t="shared" si="361"/>
        <v>#DIV/0!</v>
      </c>
      <c r="BE358" s="29" t="str">
        <f t="shared" si="361"/>
        <v>#DIV/0!</v>
      </c>
      <c r="BF358" s="29" t="str">
        <f t="shared" si="361"/>
        <v>#DIV/0!</v>
      </c>
      <c r="BG358" s="29" t="str">
        <f t="shared" si="361"/>
        <v>#DIV/0!</v>
      </c>
      <c r="BH358" s="29" t="str">
        <f t="shared" si="361"/>
        <v>#DIV/0!</v>
      </c>
      <c r="BI358" s="29" t="str">
        <f t="shared" si="361"/>
        <v>#DIV/0!</v>
      </c>
      <c r="BJ358" s="29" t="str">
        <f t="shared" si="361"/>
        <v>#DIV/0!</v>
      </c>
      <c r="BK358" s="29" t="str">
        <f t="shared" si="361"/>
        <v>#DIV/0!</v>
      </c>
      <c r="BL358" s="29" t="str">
        <f t="shared" si="361"/>
        <v>#DIV/0!</v>
      </c>
      <c r="BM358" s="29" t="str">
        <f t="shared" si="3"/>
        <v>#DIV/0!</v>
      </c>
    </row>
    <row r="359">
      <c r="A359" s="16" t="str">
        <f>IFERROR(__xludf.DUMMYFUNCTION("IFERROR(SPARKLINE(SORT(MAP(TRANSPOSE(AQ359:BL359), LAMBDA(val, IF(ISNUMBER(val), PERCENTRANK(AQ359:BL359, val)+0.01, 0))), SEQUENCE(COLUMNS(AQ359:BL359)), FALSE), {""charttype"",""column""; ""color"",""chartreuse""; ""ymin"", 0; ""ymax"", 1.01; ""highcolo"&amp;"r"", ""darkgreen""; ""lowcolor"", ""red""}), """")"),"")</f>
        <v/>
      </c>
      <c r="B359" s="17" t="str">
        <f t="shared" si="4"/>
        <v/>
      </c>
      <c r="C359" s="1" t="s">
        <v>1681</v>
      </c>
      <c r="D359" s="34" t="str">
        <f>IFERROR(__xludf.DUMMYFUNCTION("IFERROR(GOOGLEFINANCE(C359, ""NAME""))"),"Assured Guaranty Ltd.")</f>
        <v>Assured Guaranty Ltd.</v>
      </c>
      <c r="E359" s="30" t="s">
        <v>276</v>
      </c>
      <c r="F359" s="33" t="str">
        <f>IFERROR(__xludf.DUMMYFUNCTION("( (GOOGLEFINANCE(C359, ""price"") - Q359) / Q359 ) / (R359 / 100)"),"Loading...")</f>
        <v>Loading...</v>
      </c>
      <c r="G359" s="20" t="str">
        <f>IFERROR(__xludf.DUMMYFUNCTION("AVERAGE(ARRAYFORMULA(100 * (QUERY(GOOGLEFINANCE(C359, ""high"", TODAY()-40, TODAY()), ""SELECT Col2 WHERE Col2 IS NOT NULL ORDER BY Col1 DESC LIMIT 20"", 0) / QUERY(GOOGLEFINANCE(C359, ""low"", TODAY()-40, TODAY()), ""SELECT Col2 WHERE Col2 IS NOT NULL OR"&amp;"DER BY Col1 DESC LIMIT 20"", 0) - 1)))"),"#N/A")</f>
        <v>#N/A</v>
      </c>
      <c r="H359" s="35" t="str">
        <f t="shared" si="6"/>
        <v/>
      </c>
      <c r="I359" s="36" t="str">
        <f t="shared" si="7"/>
        <v/>
      </c>
      <c r="J359" s="37" t="str">
        <f>IFERROR(__xludf.DUMMYFUNCTION("IFERROR(
  IF(C359="""",, 
    IFERROR(
      GOOGLEFINANCE(C359, ""price"") * GOOGLEFINANCE(C359, ""volumeavg""), 
      GOOGLEFINANCE(C359, ""price"") * AVERAGE(QUERY(GOOGLEFINANCE(C359, ""volume"", TODAY()-40, TODAY()), ""SELECT Col2 WHERE Col2 IS NOT "&amp;"NULL ORDER BY Col1 DESC LIMIT 20"", 0))
    )
  ), 
"""")"),"")</f>
        <v/>
      </c>
      <c r="K359" s="21" t="str">
        <f>IFERROR(__xludf.DUMMYFUNCTION("IFERROR(GOOGLEFINANCE(C359, ""changepct"") / 100, """")"),"")</f>
        <v/>
      </c>
      <c r="L359" s="21" t="str">
        <f>IFERROR(__xludf.DUMMYFUNCTION("IFERROR((GOOGLEFINANCE(C359, ""price"") / INDEX(GOOGLEFINANCE(C359, ""price"", TODAY()-7, TODAY()), 2, 2)) - 1, """")"),"")</f>
        <v/>
      </c>
      <c r="M359" s="21" t="str">
        <f>IFERROR(__xludf.DUMMYFUNCTION("IFERROR((GOOGLEFINANCE(C359, ""price"") / INDEX(GOOGLEFINANCE(C359, ""price"", EDATE(TODAY(), -1), TODAY()), 2, 2)) - 1, """")"),"")</f>
        <v/>
      </c>
      <c r="N359" s="21" t="str">
        <f>IFERROR(__xludf.DUMMYFUNCTION("IFERROR((GOOGLEFINANCE(C359, ""price"") / INDEX(GOOGLEFINANCE(C359, ""price"", EDATE(TODAY(), -3), TODAY()), 2, 2)) - 1, """")"),"")</f>
        <v/>
      </c>
      <c r="O359" s="21" t="str">
        <f>IFERROR(__xludf.DUMMYFUNCTION("IFERROR((GOOGLEFINANCE(C359, ""price"") / INDEX(GOOGLEFINANCE(C359, ""price"", EDATE(TODAY(), -6), TODAY()), 2, 2)) - 1, """")"),"")</f>
        <v/>
      </c>
      <c r="P359" s="21" t="str">
        <f>IFERROR(__xludf.DUMMYFUNCTION("IFERROR((GOOGLEFINANCE(C359, ""price"") / INDEX(GOOGLEFINANCE(C359, ""price"", EDATE(TODAY(), -12), TODAY()), 2, 2)) - 1, """")"),"")</f>
        <v/>
      </c>
      <c r="Q359" s="6" t="str">
        <f>IFERROR(__xludf.DUMMYFUNCTION("AVERAGE(QUERY(GOOGLEFINANCE(C359, ""price"", TODAY()-80, TODAY()), ""SELECT Col2 WHERE Col2 IS NOT NULL ORDER BY Col1 DESC LIMIT 50"", 0))"),"#N/A")</f>
        <v>#N/A</v>
      </c>
      <c r="R359" s="24" t="str">
        <f>IFERROR(__xludf.DUMMYFUNCTION("IFERROR(
  LET(
    data, QUERY(GOOGLEFINANCE(C359,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GOOGLEFINANCE(C359, ""price"")) * 100,
    IF(calc=0, G359, calc)
  ), 
G359)"),"#N/A")</f>
        <v>#N/A</v>
      </c>
      <c r="S359" s="8" t="s">
        <v>15</v>
      </c>
      <c r="T359" s="26" t="str">
        <f>IFERROR(__xludf.DUMMYFUNCTION("IFERROR(TRANSPOSE(QUERY(IFERROR(SORT(GOOGLEFINANCE(C359, ""price"", WORKDAY(TODAY(), -40), TODAY()), 1, FALSE)), ""select Col2 where Col2 is not null limit 22 label Col2 ''"", 0)), """")"),"")</f>
        <v/>
      </c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8"/>
      <c r="AO359" s="28"/>
      <c r="AP359" s="29"/>
      <c r="AQ359" s="29" t="str">
        <f t="shared" ref="AQ359:BL359" si="362">T359/T$2</f>
        <v>#N/A</v>
      </c>
      <c r="AR359" s="29" t="str">
        <f t="shared" si="362"/>
        <v>#DIV/0!</v>
      </c>
      <c r="AS359" s="29" t="str">
        <f t="shared" si="362"/>
        <v>#DIV/0!</v>
      </c>
      <c r="AT359" s="29" t="str">
        <f t="shared" si="362"/>
        <v>#DIV/0!</v>
      </c>
      <c r="AU359" s="29" t="str">
        <f t="shared" si="362"/>
        <v>#DIV/0!</v>
      </c>
      <c r="AV359" s="29" t="str">
        <f t="shared" si="362"/>
        <v>#DIV/0!</v>
      </c>
      <c r="AW359" s="29" t="str">
        <f t="shared" si="362"/>
        <v>#DIV/0!</v>
      </c>
      <c r="AX359" s="29" t="str">
        <f t="shared" si="362"/>
        <v>#DIV/0!</v>
      </c>
      <c r="AY359" s="29" t="str">
        <f t="shared" si="362"/>
        <v>#DIV/0!</v>
      </c>
      <c r="AZ359" s="29" t="str">
        <f t="shared" si="362"/>
        <v>#DIV/0!</v>
      </c>
      <c r="BA359" s="29" t="str">
        <f t="shared" si="362"/>
        <v>#DIV/0!</v>
      </c>
      <c r="BB359" s="29" t="str">
        <f t="shared" si="362"/>
        <v>#DIV/0!</v>
      </c>
      <c r="BC359" s="29" t="str">
        <f t="shared" si="362"/>
        <v>#DIV/0!</v>
      </c>
      <c r="BD359" s="29" t="str">
        <f t="shared" si="362"/>
        <v>#DIV/0!</v>
      </c>
      <c r="BE359" s="29" t="str">
        <f t="shared" si="362"/>
        <v>#DIV/0!</v>
      </c>
      <c r="BF359" s="29" t="str">
        <f t="shared" si="362"/>
        <v>#DIV/0!</v>
      </c>
      <c r="BG359" s="29" t="str">
        <f t="shared" si="362"/>
        <v>#DIV/0!</v>
      </c>
      <c r="BH359" s="29" t="str">
        <f t="shared" si="362"/>
        <v>#DIV/0!</v>
      </c>
      <c r="BI359" s="29" t="str">
        <f t="shared" si="362"/>
        <v>#DIV/0!</v>
      </c>
      <c r="BJ359" s="29" t="str">
        <f t="shared" si="362"/>
        <v>#DIV/0!</v>
      </c>
      <c r="BK359" s="29" t="str">
        <f t="shared" si="362"/>
        <v>#DIV/0!</v>
      </c>
      <c r="BL359" s="29" t="str">
        <f t="shared" si="362"/>
        <v>#DIV/0!</v>
      </c>
      <c r="BM359" s="29" t="str">
        <f t="shared" si="3"/>
        <v>#DIV/0!</v>
      </c>
    </row>
    <row r="360">
      <c r="A360" s="16" t="str">
        <f>IFERROR(__xludf.DUMMYFUNCTION("IFERROR(SPARKLINE(SORT(MAP(TRANSPOSE(AQ360:BL360), LAMBDA(val, IF(ISNUMBER(val), PERCENTRANK(AQ360:BL360, val)+0.01, 0))), SEQUENCE(COLUMNS(AQ360:BL360)), FALSE), {""charttype"",""column""; ""color"",""chartreuse""; ""ymin"", 0; ""ymax"", 1.01; ""highcolo"&amp;"r"", ""darkgreen""; ""lowcolor"", ""red""}), """")"),"")</f>
        <v/>
      </c>
      <c r="B360" s="17" t="str">
        <f t="shared" si="4"/>
        <v/>
      </c>
      <c r="C360" s="1" t="s">
        <v>1685</v>
      </c>
      <c r="D360" s="34" t="str">
        <f>IFERROR(__xludf.DUMMYFUNCTION("IFERROR(GOOGLEFINANCE(C360, ""NAME""))"),"Brown &amp; Brown Inc")</f>
        <v>Brown &amp; Brown Inc</v>
      </c>
      <c r="E360" s="30" t="s">
        <v>311</v>
      </c>
      <c r="F360" s="33" t="str">
        <f>IFERROR(__xludf.DUMMYFUNCTION("( (GOOGLEFINANCE(C360, ""price"") - Q360) / Q360 ) / (R360 / 100)"),"Loading...")</f>
        <v>Loading...</v>
      </c>
      <c r="G360" s="20" t="str">
        <f>IFERROR(__xludf.DUMMYFUNCTION("AVERAGE(ARRAYFORMULA(100 * (QUERY(GOOGLEFINANCE(C360, ""high"", TODAY()-40, TODAY()), ""SELECT Col2 WHERE Col2 IS NOT NULL ORDER BY Col1 DESC LIMIT 20"", 0) / QUERY(GOOGLEFINANCE(C360, ""low"", TODAY()-40, TODAY()), ""SELECT Col2 WHERE Col2 IS NOT NULL OR"&amp;"DER BY Col1 DESC LIMIT 20"", 0) - 1)))"),"#N/A")</f>
        <v>#N/A</v>
      </c>
      <c r="H360" s="35" t="str">
        <f t="shared" si="6"/>
        <v/>
      </c>
      <c r="I360" s="36" t="str">
        <f t="shared" si="7"/>
        <v/>
      </c>
      <c r="J360" s="37" t="str">
        <f>IFERROR(__xludf.DUMMYFUNCTION("IFERROR(
  IF(C360="""",, 
    IFERROR(
      GOOGLEFINANCE(C360, ""price"") * GOOGLEFINANCE(C360, ""volumeavg""), 
      GOOGLEFINANCE(C360, ""price"") * AVERAGE(QUERY(GOOGLEFINANCE(C360, ""volume"", TODAY()-40, TODAY()), ""SELECT Col2 WHERE Col2 IS NOT "&amp;"NULL ORDER BY Col1 DESC LIMIT 20"", 0))
    )
  ), 
"""")"),"")</f>
        <v/>
      </c>
      <c r="K360" s="21" t="str">
        <f>IFERROR(__xludf.DUMMYFUNCTION("IFERROR(GOOGLEFINANCE(C360, ""changepct"") / 100, """")"),"")</f>
        <v/>
      </c>
      <c r="L360" s="21" t="str">
        <f>IFERROR(__xludf.DUMMYFUNCTION("IFERROR((GOOGLEFINANCE(C360, ""price"") / INDEX(GOOGLEFINANCE(C360, ""price"", TODAY()-7, TODAY()), 2, 2)) - 1, """")"),"")</f>
        <v/>
      </c>
      <c r="M360" s="21" t="str">
        <f>IFERROR(__xludf.DUMMYFUNCTION("IFERROR((GOOGLEFINANCE(C360, ""price"") / INDEX(GOOGLEFINANCE(C360, ""price"", EDATE(TODAY(), -1), TODAY()), 2, 2)) - 1, """")"),"")</f>
        <v/>
      </c>
      <c r="N360" s="21" t="str">
        <f>IFERROR(__xludf.DUMMYFUNCTION("IFERROR((GOOGLEFINANCE(C360, ""price"") / INDEX(GOOGLEFINANCE(C360, ""price"", EDATE(TODAY(), -3), TODAY()), 2, 2)) - 1, """")"),"")</f>
        <v/>
      </c>
      <c r="O360" s="21" t="str">
        <f>IFERROR(__xludf.DUMMYFUNCTION("IFERROR((GOOGLEFINANCE(C360, ""price"") / INDEX(GOOGLEFINANCE(C360, ""price"", EDATE(TODAY(), -6), TODAY()), 2, 2)) - 1, """")"),"")</f>
        <v/>
      </c>
      <c r="P360" s="21" t="str">
        <f>IFERROR(__xludf.DUMMYFUNCTION("IFERROR((GOOGLEFINANCE(C360, ""price"") / INDEX(GOOGLEFINANCE(C360, ""price"", EDATE(TODAY(), -12), TODAY()), 2, 2)) - 1, """")"),"")</f>
        <v/>
      </c>
      <c r="Q360" s="6" t="str">
        <f>IFERROR(__xludf.DUMMYFUNCTION("AVERAGE(QUERY(GOOGLEFINANCE(C360, ""price"", TODAY()-80, TODAY()), ""SELECT Col2 WHERE Col2 IS NOT NULL ORDER BY Col1 DESC LIMIT 50"", 0))"),"#N/A")</f>
        <v>#N/A</v>
      </c>
      <c r="R360" s="24" t="str">
        <f>IFERROR(__xludf.DUMMYFUNCTION("IFERROR(
  LET(
    data, QUERY(GOOGLEFINANCE(C360,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GOOGLEFINANCE(C360, ""price"")) * 100,
    IF(calc=0, G360, calc)
  ), 
G360)"),"#N/A")</f>
        <v>#N/A</v>
      </c>
      <c r="S360" s="8" t="s">
        <v>15</v>
      </c>
      <c r="T360" s="26" t="str">
        <f>IFERROR(__xludf.DUMMYFUNCTION("IFERROR(TRANSPOSE(QUERY(IFERROR(SORT(GOOGLEFINANCE(C360, ""price"", WORKDAY(TODAY(), -40), TODAY()), 1, FALSE)), ""select Col2 where Col2 is not null limit 22 label Col2 ''"", 0)), """")"),"")</f>
        <v/>
      </c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8"/>
      <c r="AO360" s="28"/>
      <c r="AP360" s="29"/>
      <c r="AQ360" s="29" t="str">
        <f t="shared" ref="AQ360:BL360" si="363">T360/T$2</f>
        <v>#N/A</v>
      </c>
      <c r="AR360" s="29" t="str">
        <f t="shared" si="363"/>
        <v>#DIV/0!</v>
      </c>
      <c r="AS360" s="29" t="str">
        <f t="shared" si="363"/>
        <v>#DIV/0!</v>
      </c>
      <c r="AT360" s="29" t="str">
        <f t="shared" si="363"/>
        <v>#DIV/0!</v>
      </c>
      <c r="AU360" s="29" t="str">
        <f t="shared" si="363"/>
        <v>#DIV/0!</v>
      </c>
      <c r="AV360" s="29" t="str">
        <f t="shared" si="363"/>
        <v>#DIV/0!</v>
      </c>
      <c r="AW360" s="29" t="str">
        <f t="shared" si="363"/>
        <v>#DIV/0!</v>
      </c>
      <c r="AX360" s="29" t="str">
        <f t="shared" si="363"/>
        <v>#DIV/0!</v>
      </c>
      <c r="AY360" s="29" t="str">
        <f t="shared" si="363"/>
        <v>#DIV/0!</v>
      </c>
      <c r="AZ360" s="29" t="str">
        <f t="shared" si="363"/>
        <v>#DIV/0!</v>
      </c>
      <c r="BA360" s="29" t="str">
        <f t="shared" si="363"/>
        <v>#DIV/0!</v>
      </c>
      <c r="BB360" s="29" t="str">
        <f t="shared" si="363"/>
        <v>#DIV/0!</v>
      </c>
      <c r="BC360" s="29" t="str">
        <f t="shared" si="363"/>
        <v>#DIV/0!</v>
      </c>
      <c r="BD360" s="29" t="str">
        <f t="shared" si="363"/>
        <v>#DIV/0!</v>
      </c>
      <c r="BE360" s="29" t="str">
        <f t="shared" si="363"/>
        <v>#DIV/0!</v>
      </c>
      <c r="BF360" s="29" t="str">
        <f t="shared" si="363"/>
        <v>#DIV/0!</v>
      </c>
      <c r="BG360" s="29" t="str">
        <f t="shared" si="363"/>
        <v>#DIV/0!</v>
      </c>
      <c r="BH360" s="29" t="str">
        <f t="shared" si="363"/>
        <v>#DIV/0!</v>
      </c>
      <c r="BI360" s="29" t="str">
        <f t="shared" si="363"/>
        <v>#DIV/0!</v>
      </c>
      <c r="BJ360" s="29" t="str">
        <f t="shared" si="363"/>
        <v>#DIV/0!</v>
      </c>
      <c r="BK360" s="29" t="str">
        <f t="shared" si="363"/>
        <v>#DIV/0!</v>
      </c>
      <c r="BL360" s="29" t="str">
        <f t="shared" si="363"/>
        <v>#DIV/0!</v>
      </c>
      <c r="BM360" s="29" t="str">
        <f t="shared" si="3"/>
        <v>#DIV/0!</v>
      </c>
    </row>
    <row r="361">
      <c r="A361" s="16" t="str">
        <f>IFERROR(__xludf.DUMMYFUNCTION("IFERROR(SPARKLINE(SORT(MAP(TRANSPOSE(AQ361:BL361), LAMBDA(val, IF(ISNUMBER(val), PERCENTRANK(AQ361:BL361, val)+0.01, 0))), SEQUENCE(COLUMNS(AQ361:BL361)), FALSE), {""charttype"",""column""; ""color"",""chartreuse""; ""ymin"", 0; ""ymax"", 1.01; ""highcolo"&amp;"r"", ""darkgreen""; ""lowcolor"", ""red""}), """")"),"")</f>
        <v/>
      </c>
      <c r="B361" s="17" t="str">
        <f t="shared" si="4"/>
        <v/>
      </c>
      <c r="C361" s="1" t="s">
        <v>1688</v>
      </c>
      <c r="D361" s="34" t="str">
        <f>IFERROR(__xludf.DUMMYFUNCTION("IFERROR(GOOGLEFINANCE(C361, ""NAME""))"),"Drugs Made In America Acquisition Corp")</f>
        <v>Drugs Made In America Acquisition Corp</v>
      </c>
      <c r="E361" s="30" t="s">
        <v>161</v>
      </c>
      <c r="F361" s="33" t="str">
        <f>IFERROR(__xludf.DUMMYFUNCTION("( (GOOGLEFINANCE(C361, ""price"") - Q361) / Q361 ) / (R361 / 100)"),"Loading...")</f>
        <v>Loading...</v>
      </c>
      <c r="G361" s="20" t="str">
        <f>IFERROR(__xludf.DUMMYFUNCTION("AVERAGE(ARRAYFORMULA(100 * (QUERY(GOOGLEFINANCE(C361, ""high"", TODAY()-40, TODAY()), ""SELECT Col2 WHERE Col2 IS NOT NULL ORDER BY Col1 DESC LIMIT 20"", 0) / QUERY(GOOGLEFINANCE(C361, ""low"", TODAY()-40, TODAY()), ""SELECT Col2 WHERE Col2 IS NOT NULL OR"&amp;"DER BY Col1 DESC LIMIT 20"", 0) - 1)))"),"#N/A")</f>
        <v>#N/A</v>
      </c>
      <c r="H361" s="35" t="str">
        <f t="shared" si="6"/>
        <v/>
      </c>
      <c r="I361" s="36" t="str">
        <f t="shared" si="7"/>
        <v/>
      </c>
      <c r="J361" s="37" t="str">
        <f>IFERROR(__xludf.DUMMYFUNCTION("IFERROR(
  IF(C361="""",, 
    IFERROR(
      GOOGLEFINANCE(C361, ""price"") * GOOGLEFINANCE(C361, ""volumeavg""), 
      GOOGLEFINANCE(C361, ""price"") * AVERAGE(QUERY(GOOGLEFINANCE(C361, ""volume"", TODAY()-40, TODAY()), ""SELECT Col2 WHERE Col2 IS NOT "&amp;"NULL ORDER BY Col1 DESC LIMIT 20"", 0))
    )
  ), 
"""")"),"")</f>
        <v/>
      </c>
      <c r="K361" s="21" t="str">
        <f>IFERROR(__xludf.DUMMYFUNCTION("IFERROR(GOOGLEFINANCE(C361, ""changepct"") / 100, """")"),"")</f>
        <v/>
      </c>
      <c r="L361" s="21" t="str">
        <f>IFERROR(__xludf.DUMMYFUNCTION("IFERROR((GOOGLEFINANCE(C361, ""price"") / INDEX(GOOGLEFINANCE(C361, ""price"", TODAY()-7, TODAY()), 2, 2)) - 1, """")"),"")</f>
        <v/>
      </c>
      <c r="M361" s="21" t="str">
        <f>IFERROR(__xludf.DUMMYFUNCTION("IFERROR((GOOGLEFINANCE(C361, ""price"") / INDEX(GOOGLEFINANCE(C361, ""price"", EDATE(TODAY(), -1), TODAY()), 2, 2)) - 1, """")"),"")</f>
        <v/>
      </c>
      <c r="N361" s="21" t="str">
        <f>IFERROR(__xludf.DUMMYFUNCTION("IFERROR((GOOGLEFINANCE(C361, ""price"") / INDEX(GOOGLEFINANCE(C361, ""price"", EDATE(TODAY(), -3), TODAY()), 2, 2)) - 1, """")"),"")</f>
        <v/>
      </c>
      <c r="O361" s="21" t="str">
        <f>IFERROR(__xludf.DUMMYFUNCTION("IFERROR((GOOGLEFINANCE(C361, ""price"") / INDEX(GOOGLEFINANCE(C361, ""price"", EDATE(TODAY(), -6), TODAY()), 2, 2)) - 1, """")"),"")</f>
        <v/>
      </c>
      <c r="P361" s="21" t="str">
        <f>IFERROR(__xludf.DUMMYFUNCTION("IFERROR((GOOGLEFINANCE(C361, ""price"") / INDEX(GOOGLEFINANCE(C361, ""price"", EDATE(TODAY(), -12), TODAY()), 2, 2)) - 1, """")"),"")</f>
        <v/>
      </c>
      <c r="Q361" s="6" t="str">
        <f>IFERROR(__xludf.DUMMYFUNCTION("AVERAGE(QUERY(GOOGLEFINANCE(C361, ""price"", TODAY()-80, TODAY()), ""SELECT Col2 WHERE Col2 IS NOT NULL ORDER BY Col1 DESC LIMIT 50"", 0))"),"#N/A")</f>
        <v>#N/A</v>
      </c>
      <c r="R361" s="24" t="str">
        <f>IFERROR(__xludf.DUMMYFUNCTION("IFERROR(
  LET(
    data, QUERY(GOOGLEFINANCE(C361,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GOOGLEFINANCE(C361, ""price"")) * 100,
    IF(calc=0, G361, calc)
  ), 
G361)"),"#N/A")</f>
        <v>#N/A</v>
      </c>
      <c r="S361" s="8" t="s">
        <v>15</v>
      </c>
      <c r="T361" s="26" t="str">
        <f>IFERROR(__xludf.DUMMYFUNCTION("IFERROR(TRANSPOSE(QUERY(IFERROR(SORT(GOOGLEFINANCE(C361, ""price"", WORKDAY(TODAY(), -40), TODAY()), 1, FALSE)), ""select Col2 where Col2 is not null limit 22 label Col2 ''"", 0)), """")"),"")</f>
        <v/>
      </c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8"/>
      <c r="AO361" s="28"/>
      <c r="AP361" s="29"/>
      <c r="AQ361" s="29" t="str">
        <f t="shared" ref="AQ361:BL361" si="364">T361/T$2</f>
        <v>#N/A</v>
      </c>
      <c r="AR361" s="29" t="str">
        <f t="shared" si="364"/>
        <v>#DIV/0!</v>
      </c>
      <c r="AS361" s="29" t="str">
        <f t="shared" si="364"/>
        <v>#DIV/0!</v>
      </c>
      <c r="AT361" s="29" t="str">
        <f t="shared" si="364"/>
        <v>#DIV/0!</v>
      </c>
      <c r="AU361" s="29" t="str">
        <f t="shared" si="364"/>
        <v>#DIV/0!</v>
      </c>
      <c r="AV361" s="29" t="str">
        <f t="shared" si="364"/>
        <v>#DIV/0!</v>
      </c>
      <c r="AW361" s="29" t="str">
        <f t="shared" si="364"/>
        <v>#DIV/0!</v>
      </c>
      <c r="AX361" s="29" t="str">
        <f t="shared" si="364"/>
        <v>#DIV/0!</v>
      </c>
      <c r="AY361" s="29" t="str">
        <f t="shared" si="364"/>
        <v>#DIV/0!</v>
      </c>
      <c r="AZ361" s="29" t="str">
        <f t="shared" si="364"/>
        <v>#DIV/0!</v>
      </c>
      <c r="BA361" s="29" t="str">
        <f t="shared" si="364"/>
        <v>#DIV/0!</v>
      </c>
      <c r="BB361" s="29" t="str">
        <f t="shared" si="364"/>
        <v>#DIV/0!</v>
      </c>
      <c r="BC361" s="29" t="str">
        <f t="shared" si="364"/>
        <v>#DIV/0!</v>
      </c>
      <c r="BD361" s="29" t="str">
        <f t="shared" si="364"/>
        <v>#DIV/0!</v>
      </c>
      <c r="BE361" s="29" t="str">
        <f t="shared" si="364"/>
        <v>#DIV/0!</v>
      </c>
      <c r="BF361" s="29" t="str">
        <f t="shared" si="364"/>
        <v>#DIV/0!</v>
      </c>
      <c r="BG361" s="29" t="str">
        <f t="shared" si="364"/>
        <v>#DIV/0!</v>
      </c>
      <c r="BH361" s="29" t="str">
        <f t="shared" si="364"/>
        <v>#DIV/0!</v>
      </c>
      <c r="BI361" s="29" t="str">
        <f t="shared" si="364"/>
        <v>#DIV/0!</v>
      </c>
      <c r="BJ361" s="29" t="str">
        <f t="shared" si="364"/>
        <v>#DIV/0!</v>
      </c>
      <c r="BK361" s="29" t="str">
        <f t="shared" si="364"/>
        <v>#DIV/0!</v>
      </c>
      <c r="BL361" s="29" t="str">
        <f t="shared" si="364"/>
        <v>#DIV/0!</v>
      </c>
      <c r="BM361" s="29" t="str">
        <f t="shared" si="3"/>
        <v>#DIV/0!</v>
      </c>
    </row>
    <row r="362">
      <c r="A362" s="16" t="str">
        <f>IFERROR(__xludf.DUMMYFUNCTION("IFERROR(SPARKLINE(SORT(MAP(TRANSPOSE(AQ362:BL362), LAMBDA(val, IF(ISNUMBER(val), PERCENTRANK(AQ362:BL362, val)+0.01, 0))), SEQUENCE(COLUMNS(AQ362:BL362)), FALSE), {""charttype"",""column""; ""color"",""chartreuse""; ""ymin"", 0; ""ymax"", 1.01; ""highcolo"&amp;"r"", ""darkgreen""; ""lowcolor"", ""red""}), """")"),"")</f>
        <v/>
      </c>
      <c r="B362" s="17" t="str">
        <f t="shared" si="4"/>
        <v/>
      </c>
      <c r="C362" s="1" t="s">
        <v>1691</v>
      </c>
      <c r="D362" s="34" t="str">
        <f>IFERROR(__xludf.DUMMYFUNCTION("IFERROR(GOOGLEFINANCE(C362, ""NAME""))"),"Infinite Eagle Acquisition Units")</f>
        <v>Infinite Eagle Acquisition Units</v>
      </c>
      <c r="E362" s="30" t="s">
        <v>161</v>
      </c>
      <c r="F362" s="33" t="str">
        <f>IFERROR(__xludf.DUMMYFUNCTION("( (GOOGLEFINANCE(C362, ""price"") - Q362) / Q362 ) / (R362 / 100)"),"Loading...")</f>
        <v>Loading...</v>
      </c>
      <c r="G362" s="20" t="str">
        <f>IFERROR(__xludf.DUMMYFUNCTION("AVERAGE(ARRAYFORMULA(100 * (QUERY(GOOGLEFINANCE(C362, ""high"", TODAY()-40, TODAY()), ""SELECT Col2 WHERE Col2 IS NOT NULL ORDER BY Col1 DESC LIMIT 20"", 0) / QUERY(GOOGLEFINANCE(C362, ""low"", TODAY()-40, TODAY()), ""SELECT Col2 WHERE Col2 IS NOT NULL OR"&amp;"DER BY Col1 DESC LIMIT 20"", 0) - 1)))"),"#N/A")</f>
        <v>#N/A</v>
      </c>
      <c r="H362" s="35" t="str">
        <f t="shared" si="6"/>
        <v/>
      </c>
      <c r="I362" s="36" t="str">
        <f t="shared" si="7"/>
        <v/>
      </c>
      <c r="J362" s="37" t="str">
        <f>IFERROR(__xludf.DUMMYFUNCTION("IFERROR(
  IF(C362="""",, 
    IFERROR(
      GOOGLEFINANCE(C362, ""price"") * GOOGLEFINANCE(C362, ""volumeavg""), 
      GOOGLEFINANCE(C362, ""price"") * AVERAGE(QUERY(GOOGLEFINANCE(C362, ""volume"", TODAY()-40, TODAY()), ""SELECT Col2 WHERE Col2 IS NOT "&amp;"NULL ORDER BY Col1 DESC LIMIT 20"", 0))
    )
  ), 
"""")"),"")</f>
        <v/>
      </c>
      <c r="K362" s="21" t="str">
        <f>IFERROR(__xludf.DUMMYFUNCTION("IFERROR(GOOGLEFINANCE(C362, ""changepct"") / 100, """")"),"")</f>
        <v/>
      </c>
      <c r="L362" s="21" t="str">
        <f>IFERROR(__xludf.DUMMYFUNCTION("IFERROR((GOOGLEFINANCE(C362, ""price"") / INDEX(GOOGLEFINANCE(C362, ""price"", TODAY()-7, TODAY()), 2, 2)) - 1, """")"),"")</f>
        <v/>
      </c>
      <c r="M362" s="21" t="str">
        <f>IFERROR(__xludf.DUMMYFUNCTION("IFERROR((GOOGLEFINANCE(C362, ""price"") / INDEX(GOOGLEFINANCE(C362, ""price"", EDATE(TODAY(), -1), TODAY()), 2, 2)) - 1, """")"),"")</f>
        <v/>
      </c>
      <c r="N362" s="21" t="str">
        <f>IFERROR(__xludf.DUMMYFUNCTION("IFERROR((GOOGLEFINANCE(C362, ""price"") / INDEX(GOOGLEFINANCE(C362, ""price"", EDATE(TODAY(), -3), TODAY()), 2, 2)) - 1, """")"),"")</f>
        <v/>
      </c>
      <c r="O362" s="21" t="str">
        <f>IFERROR(__xludf.DUMMYFUNCTION("IFERROR((GOOGLEFINANCE(C362, ""price"") / INDEX(GOOGLEFINANCE(C362, ""price"", EDATE(TODAY(), -6), TODAY()), 2, 2)) - 1, """")"),"")</f>
        <v/>
      </c>
      <c r="P362" s="21" t="str">
        <f>IFERROR(__xludf.DUMMYFUNCTION("IFERROR((GOOGLEFINANCE(C362, ""price"") / INDEX(GOOGLEFINANCE(C362, ""price"", EDATE(TODAY(), -12), TODAY()), 2, 2)) - 1, """")"),"")</f>
        <v/>
      </c>
      <c r="Q362" s="6" t="str">
        <f>IFERROR(__xludf.DUMMYFUNCTION("AVERAGE(QUERY(GOOGLEFINANCE(C362, ""price"", TODAY()-80, TODAY()), ""SELECT Col2 WHERE Col2 IS NOT NULL ORDER BY Col1 DESC LIMIT 50"", 0))"),"#N/A")</f>
        <v>#N/A</v>
      </c>
      <c r="R362" s="24" t="str">
        <f>IFERROR(__xludf.DUMMYFUNCTION("IFERROR(
  LET(
    data, QUERY(GOOGLEFINANCE(C362,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GOOGLEFINANCE(C362, ""price"")) * 100,
    IF(calc=0, G362, calc)
  ), 
G362)"),"#N/A")</f>
        <v>#N/A</v>
      </c>
      <c r="S362" s="8" t="s">
        <v>15</v>
      </c>
      <c r="T362" s="26" t="str">
        <f>IFERROR(__xludf.DUMMYFUNCTION("IFERROR(TRANSPOSE(QUERY(IFERROR(SORT(GOOGLEFINANCE(C362, ""price"", WORKDAY(TODAY(), -40), TODAY()), 1, FALSE)), ""select Col2 where Col2 is not null limit 22 label Col2 ''"", 0)), """")"),"")</f>
        <v/>
      </c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8"/>
      <c r="AO362" s="28"/>
      <c r="AP362" s="29"/>
      <c r="AQ362" s="29" t="str">
        <f t="shared" ref="AQ362:BL362" si="365">T362/T$2</f>
        <v>#N/A</v>
      </c>
      <c r="AR362" s="29" t="str">
        <f t="shared" si="365"/>
        <v>#DIV/0!</v>
      </c>
      <c r="AS362" s="29" t="str">
        <f t="shared" si="365"/>
        <v>#DIV/0!</v>
      </c>
      <c r="AT362" s="29" t="str">
        <f t="shared" si="365"/>
        <v>#DIV/0!</v>
      </c>
      <c r="AU362" s="29" t="str">
        <f t="shared" si="365"/>
        <v>#DIV/0!</v>
      </c>
      <c r="AV362" s="29" t="str">
        <f t="shared" si="365"/>
        <v>#DIV/0!</v>
      </c>
      <c r="AW362" s="29" t="str">
        <f t="shared" si="365"/>
        <v>#DIV/0!</v>
      </c>
      <c r="AX362" s="29" t="str">
        <f t="shared" si="365"/>
        <v>#DIV/0!</v>
      </c>
      <c r="AY362" s="29" t="str">
        <f t="shared" si="365"/>
        <v>#DIV/0!</v>
      </c>
      <c r="AZ362" s="29" t="str">
        <f t="shared" si="365"/>
        <v>#DIV/0!</v>
      </c>
      <c r="BA362" s="29" t="str">
        <f t="shared" si="365"/>
        <v>#DIV/0!</v>
      </c>
      <c r="BB362" s="29" t="str">
        <f t="shared" si="365"/>
        <v>#DIV/0!</v>
      </c>
      <c r="BC362" s="29" t="str">
        <f t="shared" si="365"/>
        <v>#DIV/0!</v>
      </c>
      <c r="BD362" s="29" t="str">
        <f t="shared" si="365"/>
        <v>#DIV/0!</v>
      </c>
      <c r="BE362" s="29" t="str">
        <f t="shared" si="365"/>
        <v>#DIV/0!</v>
      </c>
      <c r="BF362" s="29" t="str">
        <f t="shared" si="365"/>
        <v>#DIV/0!</v>
      </c>
      <c r="BG362" s="29" t="str">
        <f t="shared" si="365"/>
        <v>#DIV/0!</v>
      </c>
      <c r="BH362" s="29" t="str">
        <f t="shared" si="365"/>
        <v>#DIV/0!</v>
      </c>
      <c r="BI362" s="29" t="str">
        <f t="shared" si="365"/>
        <v>#DIV/0!</v>
      </c>
      <c r="BJ362" s="29" t="str">
        <f t="shared" si="365"/>
        <v>#DIV/0!</v>
      </c>
      <c r="BK362" s="29" t="str">
        <f t="shared" si="365"/>
        <v>#DIV/0!</v>
      </c>
      <c r="BL362" s="29" t="str">
        <f t="shared" si="365"/>
        <v>#DIV/0!</v>
      </c>
      <c r="BM362" s="29" t="str">
        <f t="shared" si="3"/>
        <v>#DIV/0!</v>
      </c>
    </row>
    <row r="363">
      <c r="A363" s="16" t="str">
        <f>IFERROR(__xludf.DUMMYFUNCTION("IFERROR(SPARKLINE(SORT(MAP(TRANSPOSE(AQ363:BL363), LAMBDA(val, IF(ISNUMBER(val), PERCENTRANK(AQ363:BL363, val)+0.01, 0))), SEQUENCE(COLUMNS(AQ363:BL363)), FALSE), {""charttype"",""column""; ""color"",""chartreuse""; ""ymin"", 0; ""ymax"", 1.01; ""highcolo"&amp;"r"", ""darkgreen""; ""lowcolor"", ""red""}), """")"),"")</f>
        <v/>
      </c>
      <c r="B363" s="17" t="str">
        <f t="shared" si="4"/>
        <v/>
      </c>
      <c r="C363" s="1" t="s">
        <v>1696</v>
      </c>
      <c r="D363" s="34" t="str">
        <f>IFERROR(__xludf.DUMMYFUNCTION("IFERROR(GOOGLEFINANCE(C363, ""NAME""))"),"Cantor Equity Partners IV Inc")</f>
        <v>Cantor Equity Partners IV Inc</v>
      </c>
      <c r="E363" s="30" t="s">
        <v>161</v>
      </c>
      <c r="F363" s="33" t="str">
        <f>IFERROR(__xludf.DUMMYFUNCTION("( (GOOGLEFINANCE(C363, ""price"") - Q363) / Q363 ) / (R363 / 100)"),"Loading...")</f>
        <v>Loading...</v>
      </c>
      <c r="G363" s="20" t="str">
        <f>IFERROR(__xludf.DUMMYFUNCTION("AVERAGE(ARRAYFORMULA(100 * (QUERY(GOOGLEFINANCE(C363, ""high"", TODAY()-40, TODAY()), ""SELECT Col2 WHERE Col2 IS NOT NULL ORDER BY Col1 DESC LIMIT 20"", 0) / QUERY(GOOGLEFINANCE(C363, ""low"", TODAY()-40, TODAY()), ""SELECT Col2 WHERE Col2 IS NOT NULL OR"&amp;"DER BY Col1 DESC LIMIT 20"", 0) - 1)))"),"#N/A")</f>
        <v>#N/A</v>
      </c>
      <c r="H363" s="35" t="str">
        <f t="shared" si="6"/>
        <v/>
      </c>
      <c r="I363" s="36" t="str">
        <f t="shared" si="7"/>
        <v/>
      </c>
      <c r="J363" s="37" t="str">
        <f>IFERROR(__xludf.DUMMYFUNCTION("IFERROR(
  IF(C363="""",, 
    IFERROR(
      GOOGLEFINANCE(C363, ""price"") * GOOGLEFINANCE(C363, ""volumeavg""), 
      GOOGLEFINANCE(C363, ""price"") * AVERAGE(QUERY(GOOGLEFINANCE(C363, ""volume"", TODAY()-40, TODAY()), ""SELECT Col2 WHERE Col2 IS NOT "&amp;"NULL ORDER BY Col1 DESC LIMIT 20"", 0))
    )
  ), 
"""")"),"")</f>
        <v/>
      </c>
      <c r="K363" s="21" t="str">
        <f>IFERROR(__xludf.DUMMYFUNCTION("IFERROR(GOOGLEFINANCE(C363, ""changepct"") / 100, """")"),"")</f>
        <v/>
      </c>
      <c r="L363" s="21" t="str">
        <f>IFERROR(__xludf.DUMMYFUNCTION("IFERROR((GOOGLEFINANCE(C363, ""price"") / INDEX(GOOGLEFINANCE(C363, ""price"", TODAY()-7, TODAY()), 2, 2)) - 1, """")"),"")</f>
        <v/>
      </c>
      <c r="M363" s="21" t="str">
        <f>IFERROR(__xludf.DUMMYFUNCTION("IFERROR((GOOGLEFINANCE(C363, ""price"") / INDEX(GOOGLEFINANCE(C363, ""price"", EDATE(TODAY(), -1), TODAY()), 2, 2)) - 1, """")"),"")</f>
        <v/>
      </c>
      <c r="N363" s="21" t="str">
        <f>IFERROR(__xludf.DUMMYFUNCTION("IFERROR((GOOGLEFINANCE(C363, ""price"") / INDEX(GOOGLEFINANCE(C363, ""price"", EDATE(TODAY(), -3), TODAY()), 2, 2)) - 1, """")"),"")</f>
        <v/>
      </c>
      <c r="O363" s="21" t="str">
        <f>IFERROR(__xludf.DUMMYFUNCTION("IFERROR((GOOGLEFINANCE(C363, ""price"") / INDEX(GOOGLEFINANCE(C363, ""price"", EDATE(TODAY(), -6), TODAY()), 2, 2)) - 1, """")"),"")</f>
        <v/>
      </c>
      <c r="P363" s="21" t="str">
        <f>IFERROR(__xludf.DUMMYFUNCTION("IFERROR((GOOGLEFINANCE(C363, ""price"") / INDEX(GOOGLEFINANCE(C363, ""price"", EDATE(TODAY(), -12), TODAY()), 2, 2)) - 1, """")"),"")</f>
        <v/>
      </c>
      <c r="Q363" s="6" t="str">
        <f>IFERROR(__xludf.DUMMYFUNCTION("AVERAGE(QUERY(GOOGLEFINANCE(C363, ""price"", TODAY()-80, TODAY()), ""SELECT Col2 WHERE Col2 IS NOT NULL ORDER BY Col1 DESC LIMIT 50"", 0))"),"#N/A")</f>
        <v>#N/A</v>
      </c>
      <c r="R363" s="24" t="str">
        <f>IFERROR(__xludf.DUMMYFUNCTION("IFERROR(
  LET(
    data, QUERY(GOOGLEFINANCE(C363,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GOOGLEFINANCE(C363, ""price"")) * 100,
    IF(calc=0, G363, calc)
  ), 
G363)"),"#N/A")</f>
        <v>#N/A</v>
      </c>
      <c r="S363" s="8" t="s">
        <v>15</v>
      </c>
      <c r="T363" s="26" t="str">
        <f>IFERROR(__xludf.DUMMYFUNCTION("IFERROR(TRANSPOSE(QUERY(IFERROR(SORT(GOOGLEFINANCE(C363, ""price"", WORKDAY(TODAY(), -40), TODAY()), 1, FALSE)), ""select Col2 where Col2 is not null limit 22 label Col2 ''"", 0)), """")"),"")</f>
        <v/>
      </c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8"/>
      <c r="AO363" s="28"/>
      <c r="AP363" s="29"/>
      <c r="AQ363" s="29" t="str">
        <f t="shared" ref="AQ363:BL363" si="366">T363/T$2</f>
        <v>#N/A</v>
      </c>
      <c r="AR363" s="29" t="str">
        <f t="shared" si="366"/>
        <v>#DIV/0!</v>
      </c>
      <c r="AS363" s="29" t="str">
        <f t="shared" si="366"/>
        <v>#DIV/0!</v>
      </c>
      <c r="AT363" s="29" t="str">
        <f t="shared" si="366"/>
        <v>#DIV/0!</v>
      </c>
      <c r="AU363" s="29" t="str">
        <f t="shared" si="366"/>
        <v>#DIV/0!</v>
      </c>
      <c r="AV363" s="29" t="str">
        <f t="shared" si="366"/>
        <v>#DIV/0!</v>
      </c>
      <c r="AW363" s="29" t="str">
        <f t="shared" si="366"/>
        <v>#DIV/0!</v>
      </c>
      <c r="AX363" s="29" t="str">
        <f t="shared" si="366"/>
        <v>#DIV/0!</v>
      </c>
      <c r="AY363" s="29" t="str">
        <f t="shared" si="366"/>
        <v>#DIV/0!</v>
      </c>
      <c r="AZ363" s="29" t="str">
        <f t="shared" si="366"/>
        <v>#DIV/0!</v>
      </c>
      <c r="BA363" s="29" t="str">
        <f t="shared" si="366"/>
        <v>#DIV/0!</v>
      </c>
      <c r="BB363" s="29" t="str">
        <f t="shared" si="366"/>
        <v>#DIV/0!</v>
      </c>
      <c r="BC363" s="29" t="str">
        <f t="shared" si="366"/>
        <v>#DIV/0!</v>
      </c>
      <c r="BD363" s="29" t="str">
        <f t="shared" si="366"/>
        <v>#DIV/0!</v>
      </c>
      <c r="BE363" s="29" t="str">
        <f t="shared" si="366"/>
        <v>#DIV/0!</v>
      </c>
      <c r="BF363" s="29" t="str">
        <f t="shared" si="366"/>
        <v>#DIV/0!</v>
      </c>
      <c r="BG363" s="29" t="str">
        <f t="shared" si="366"/>
        <v>#DIV/0!</v>
      </c>
      <c r="BH363" s="29" t="str">
        <f t="shared" si="366"/>
        <v>#DIV/0!</v>
      </c>
      <c r="BI363" s="29" t="str">
        <f t="shared" si="366"/>
        <v>#DIV/0!</v>
      </c>
      <c r="BJ363" s="29" t="str">
        <f t="shared" si="366"/>
        <v>#DIV/0!</v>
      </c>
      <c r="BK363" s="29" t="str">
        <f t="shared" si="366"/>
        <v>#DIV/0!</v>
      </c>
      <c r="BL363" s="29" t="str">
        <f t="shared" si="366"/>
        <v>#DIV/0!</v>
      </c>
      <c r="BM363" s="29" t="str">
        <f t="shared" si="3"/>
        <v>#DIV/0!</v>
      </c>
    </row>
    <row r="364">
      <c r="A364" s="16" t="str">
        <f>IFERROR(__xludf.DUMMYFUNCTION("IFERROR(SPARKLINE(SORT(MAP(TRANSPOSE(AQ364:BL364), LAMBDA(val, IF(ISNUMBER(val), PERCENTRANK(AQ364:BL364, val)+0.01, 0))), SEQUENCE(COLUMNS(AQ364:BL364)), FALSE), {""charttype"",""column""; ""color"",""chartreuse""; ""ymin"", 0; ""ymax"", 1.01; ""highcolo"&amp;"r"", ""darkgreen""; ""lowcolor"", ""red""}), """")"),"")</f>
        <v/>
      </c>
      <c r="B364" s="17" t="str">
        <f t="shared" si="4"/>
        <v/>
      </c>
      <c r="C364" s="1" t="s">
        <v>1700</v>
      </c>
      <c r="D364" s="34" t="str">
        <f>IFERROR(__xludf.DUMMYFUNCTION("IFERROR(GOOGLEFINANCE(C364, ""NAME""))"),"Bain Capital GSS Investment Corp")</f>
        <v>Bain Capital GSS Investment Corp</v>
      </c>
      <c r="E364" s="30" t="s">
        <v>161</v>
      </c>
      <c r="F364" s="38" t="str">
        <f>IFERROR(__xludf.DUMMYFUNCTION("( (GOOGLEFINANCE(C364, ""price"") - Q364) / Q364 ) / (R364 / 100)"),"Loading...")</f>
        <v>Loading...</v>
      </c>
      <c r="G364" s="20" t="str">
        <f>IFERROR(__xludf.DUMMYFUNCTION("AVERAGE(ARRAYFORMULA(100 * (QUERY(GOOGLEFINANCE(C364, ""high"", TODAY()-40, TODAY()), ""SELECT Col2 WHERE Col2 IS NOT NULL ORDER BY Col1 DESC LIMIT 20"", 0) / QUERY(GOOGLEFINANCE(C364, ""low"", TODAY()-40, TODAY()), ""SELECT Col2 WHERE Col2 IS NOT NULL OR"&amp;"DER BY Col1 DESC LIMIT 20"", 0) - 1)))"),"#N/A")</f>
        <v>#N/A</v>
      </c>
      <c r="H364" s="35" t="str">
        <f t="shared" si="6"/>
        <v/>
      </c>
      <c r="I364" s="36" t="str">
        <f t="shared" si="7"/>
        <v/>
      </c>
      <c r="J364" s="37" t="str">
        <f>IFERROR(__xludf.DUMMYFUNCTION("IFERROR(
  IF(C364="""",, 
    IFERROR(
      GOOGLEFINANCE(C364, ""price"") * GOOGLEFINANCE(C364, ""volumeavg""), 
      GOOGLEFINANCE(C364, ""price"") * AVERAGE(QUERY(GOOGLEFINANCE(C364, ""volume"", TODAY()-40, TODAY()), ""SELECT Col2 WHERE Col2 IS NOT "&amp;"NULL ORDER BY Col1 DESC LIMIT 20"", 0))
    )
  ), 
"""")"),"")</f>
        <v/>
      </c>
      <c r="K364" s="21" t="str">
        <f>IFERROR(__xludf.DUMMYFUNCTION("IFERROR(GOOGLEFINANCE(C364, ""changepct"") / 100, """")"),"")</f>
        <v/>
      </c>
      <c r="L364" s="21" t="str">
        <f>IFERROR(__xludf.DUMMYFUNCTION("IFERROR((GOOGLEFINANCE(C364, ""price"") / INDEX(GOOGLEFINANCE(C364, ""price"", TODAY()-7, TODAY()), 2, 2)) - 1, """")"),"")</f>
        <v/>
      </c>
      <c r="M364" s="21" t="str">
        <f>IFERROR(__xludf.DUMMYFUNCTION("IFERROR((GOOGLEFINANCE(C364, ""price"") / INDEX(GOOGLEFINANCE(C364, ""price"", EDATE(TODAY(), -1), TODAY()), 2, 2)) - 1, """")"),"")</f>
        <v/>
      </c>
      <c r="N364" s="21" t="str">
        <f>IFERROR(__xludf.DUMMYFUNCTION("IFERROR((GOOGLEFINANCE(C364, ""price"") / INDEX(GOOGLEFINANCE(C364, ""price"", EDATE(TODAY(), -3), TODAY()), 2, 2)) - 1, """")"),"")</f>
        <v/>
      </c>
      <c r="O364" s="21" t="str">
        <f>IFERROR(__xludf.DUMMYFUNCTION("IFERROR((GOOGLEFINANCE(C364, ""price"") / INDEX(GOOGLEFINANCE(C364, ""price"", EDATE(TODAY(), -6), TODAY()), 2, 2)) - 1, """")"),"")</f>
        <v/>
      </c>
      <c r="P364" s="21" t="str">
        <f>IFERROR(__xludf.DUMMYFUNCTION("IFERROR((GOOGLEFINANCE(C364, ""price"") / INDEX(GOOGLEFINANCE(C364, ""price"", EDATE(TODAY(), -12), TODAY()), 2, 2)) - 1, """")"),"")</f>
        <v/>
      </c>
      <c r="Q364" s="6" t="str">
        <f>IFERROR(__xludf.DUMMYFUNCTION("AVERAGE(QUERY(GOOGLEFINANCE(C364, ""price"", TODAY()-80, TODAY()), ""SELECT Col2 WHERE Col2 IS NOT NULL ORDER BY Col1 DESC LIMIT 50"", 0))"),"#N/A")</f>
        <v>#N/A</v>
      </c>
      <c r="R364" s="24" t="str">
        <f>IFERROR(__xludf.DUMMYFUNCTION("IFERROR(
  LET(
    data, QUERY(GOOGLEFINANCE(C364,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GOOGLEFINANCE(C364, ""price"")) * 100,
    IF(calc=0, G364, calc)
  ), 
G364)"),"#N/A")</f>
        <v>#N/A</v>
      </c>
      <c r="S364" s="8" t="s">
        <v>15</v>
      </c>
      <c r="T364" s="26" t="str">
        <f>IFERROR(__xludf.DUMMYFUNCTION("IFERROR(TRANSPOSE(QUERY(IFERROR(SORT(GOOGLEFINANCE(C364, ""price"", WORKDAY(TODAY(), -40), TODAY()), 1, FALSE)), ""select Col2 where Col2 is not null limit 22 label Col2 ''"", 0)), """")"),"")</f>
        <v/>
      </c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8"/>
      <c r="AO364" s="28"/>
      <c r="AP364" s="29"/>
      <c r="AQ364" s="29" t="str">
        <f t="shared" ref="AQ364:BL364" si="367">T364/T$2</f>
        <v>#N/A</v>
      </c>
      <c r="AR364" s="29" t="str">
        <f t="shared" si="367"/>
        <v>#DIV/0!</v>
      </c>
      <c r="AS364" s="29" t="str">
        <f t="shared" si="367"/>
        <v>#DIV/0!</v>
      </c>
      <c r="AT364" s="29" t="str">
        <f t="shared" si="367"/>
        <v>#DIV/0!</v>
      </c>
      <c r="AU364" s="29" t="str">
        <f t="shared" si="367"/>
        <v>#DIV/0!</v>
      </c>
      <c r="AV364" s="29" t="str">
        <f t="shared" si="367"/>
        <v>#DIV/0!</v>
      </c>
      <c r="AW364" s="29" t="str">
        <f t="shared" si="367"/>
        <v>#DIV/0!</v>
      </c>
      <c r="AX364" s="29" t="str">
        <f t="shared" si="367"/>
        <v>#DIV/0!</v>
      </c>
      <c r="AY364" s="29" t="str">
        <f t="shared" si="367"/>
        <v>#DIV/0!</v>
      </c>
      <c r="AZ364" s="29" t="str">
        <f t="shared" si="367"/>
        <v>#DIV/0!</v>
      </c>
      <c r="BA364" s="29" t="str">
        <f t="shared" si="367"/>
        <v>#DIV/0!</v>
      </c>
      <c r="BB364" s="29" t="str">
        <f t="shared" si="367"/>
        <v>#DIV/0!</v>
      </c>
      <c r="BC364" s="29" t="str">
        <f t="shared" si="367"/>
        <v>#DIV/0!</v>
      </c>
      <c r="BD364" s="29" t="str">
        <f t="shared" si="367"/>
        <v>#DIV/0!</v>
      </c>
      <c r="BE364" s="29" t="str">
        <f t="shared" si="367"/>
        <v>#DIV/0!</v>
      </c>
      <c r="BF364" s="29" t="str">
        <f t="shared" si="367"/>
        <v>#DIV/0!</v>
      </c>
      <c r="BG364" s="29" t="str">
        <f t="shared" si="367"/>
        <v>#DIV/0!</v>
      </c>
      <c r="BH364" s="29" t="str">
        <f t="shared" si="367"/>
        <v>#DIV/0!</v>
      </c>
      <c r="BI364" s="29" t="str">
        <f t="shared" si="367"/>
        <v>#DIV/0!</v>
      </c>
      <c r="BJ364" s="29" t="str">
        <f t="shared" si="367"/>
        <v>#DIV/0!</v>
      </c>
      <c r="BK364" s="29" t="str">
        <f t="shared" si="367"/>
        <v>#DIV/0!</v>
      </c>
      <c r="BL364" s="29" t="str">
        <f t="shared" si="367"/>
        <v>#DIV/0!</v>
      </c>
      <c r="BM364" s="29" t="str">
        <f t="shared" si="3"/>
        <v>#DIV/0!</v>
      </c>
    </row>
    <row r="365">
      <c r="A365" s="16" t="str">
        <f>IFERROR(__xludf.DUMMYFUNCTION("IFERROR(SPARKLINE(SORT(MAP(TRANSPOSE(AQ365:BL365), LAMBDA(val, IF(ISNUMBER(val), PERCENTRANK(AQ365:BL365, val)+0.01, 0))), SEQUENCE(COLUMNS(AQ365:BL365)), FALSE), {""charttype"",""column""; ""color"",""chartreuse""; ""ymin"", 0; ""ymax"", 1.01; ""highcolo"&amp;"r"", ""darkgreen""; ""lowcolor"", ""red""}), """")"),"")</f>
        <v/>
      </c>
      <c r="B365" s="17" t="str">
        <f t="shared" si="4"/>
        <v/>
      </c>
      <c r="C365" s="1" t="s">
        <v>1704</v>
      </c>
      <c r="D365" s="34" t="str">
        <f>IFERROR(__xludf.DUMMYFUNCTION("IFERROR(GOOGLEFINANCE(C365, ""NAME""))"),"Lionheart Holdings")</f>
        <v>Lionheart Holdings</v>
      </c>
      <c r="E365" s="30" t="s">
        <v>161</v>
      </c>
      <c r="F365" s="33" t="str">
        <f>IFERROR(__xludf.DUMMYFUNCTION("( (GOOGLEFINANCE(C365, ""price"") - Q365) / Q365 ) / (R365 / 100)"),"Loading...")</f>
        <v>Loading...</v>
      </c>
      <c r="G365" s="20" t="str">
        <f>IFERROR(__xludf.DUMMYFUNCTION("AVERAGE(ARRAYFORMULA(100 * (QUERY(GOOGLEFINANCE(C365, ""high"", TODAY()-40, TODAY()), ""SELECT Col2 WHERE Col2 IS NOT NULL ORDER BY Col1 DESC LIMIT 20"", 0) / QUERY(GOOGLEFINANCE(C365, ""low"", TODAY()-40, TODAY()), ""SELECT Col2 WHERE Col2 IS NOT NULL OR"&amp;"DER BY Col1 DESC LIMIT 20"", 0) - 1)))"),"#N/A")</f>
        <v>#N/A</v>
      </c>
      <c r="H365" s="35" t="str">
        <f t="shared" si="6"/>
        <v/>
      </c>
      <c r="I365" s="36" t="str">
        <f t="shared" si="7"/>
        <v/>
      </c>
      <c r="J365" s="37" t="str">
        <f>IFERROR(__xludf.DUMMYFUNCTION("IFERROR(
  IF(C365="""",, 
    IFERROR(
      GOOGLEFINANCE(C365, ""price"") * GOOGLEFINANCE(C365, ""volumeavg""), 
      GOOGLEFINANCE(C365, ""price"") * AVERAGE(QUERY(GOOGLEFINANCE(C365, ""volume"", TODAY()-40, TODAY()), ""SELECT Col2 WHERE Col2 IS NOT "&amp;"NULL ORDER BY Col1 DESC LIMIT 20"", 0))
    )
  ), 
"""")"),"")</f>
        <v/>
      </c>
      <c r="K365" s="21" t="str">
        <f>IFERROR(__xludf.DUMMYFUNCTION("IFERROR(GOOGLEFINANCE(C365, ""changepct"") / 100, """")"),"")</f>
        <v/>
      </c>
      <c r="L365" s="21" t="str">
        <f>IFERROR(__xludf.DUMMYFUNCTION("IFERROR((GOOGLEFINANCE(C365, ""price"") / INDEX(GOOGLEFINANCE(C365, ""price"", TODAY()-7, TODAY()), 2, 2)) - 1, """")"),"")</f>
        <v/>
      </c>
      <c r="M365" s="21" t="str">
        <f>IFERROR(__xludf.DUMMYFUNCTION("IFERROR((GOOGLEFINANCE(C365, ""price"") / INDEX(GOOGLEFINANCE(C365, ""price"", EDATE(TODAY(), -1), TODAY()), 2, 2)) - 1, """")"),"")</f>
        <v/>
      </c>
      <c r="N365" s="21" t="str">
        <f>IFERROR(__xludf.DUMMYFUNCTION("IFERROR((GOOGLEFINANCE(C365, ""price"") / INDEX(GOOGLEFINANCE(C365, ""price"", EDATE(TODAY(), -3), TODAY()), 2, 2)) - 1, """")"),"")</f>
        <v/>
      </c>
      <c r="O365" s="21" t="str">
        <f>IFERROR(__xludf.DUMMYFUNCTION("IFERROR((GOOGLEFINANCE(C365, ""price"") / INDEX(GOOGLEFINANCE(C365, ""price"", EDATE(TODAY(), -6), TODAY()), 2, 2)) - 1, """")"),"")</f>
        <v/>
      </c>
      <c r="P365" s="21" t="str">
        <f>IFERROR(__xludf.DUMMYFUNCTION("IFERROR((GOOGLEFINANCE(C365, ""price"") / INDEX(GOOGLEFINANCE(C365, ""price"", EDATE(TODAY(), -12), TODAY()), 2, 2)) - 1, """")"),"")</f>
        <v/>
      </c>
      <c r="Q365" s="6" t="str">
        <f>IFERROR(__xludf.DUMMYFUNCTION("AVERAGE(QUERY(GOOGLEFINANCE(C365, ""price"", TODAY()-80, TODAY()), ""SELECT Col2 WHERE Col2 IS NOT NULL ORDER BY Col1 DESC LIMIT 50"", 0))"),"#N/A")</f>
        <v>#N/A</v>
      </c>
      <c r="R365" s="24" t="str">
        <f>IFERROR(__xludf.DUMMYFUNCTION("IFERROR(
  LET(
    data, QUERY(GOOGLEFINANCE(C365,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GOOGLEFINANCE(C365, ""price"")) * 100,
    IF(calc=0, G365, calc)
  ), 
G365)"),"#N/A")</f>
        <v>#N/A</v>
      </c>
      <c r="S365" s="8" t="s">
        <v>15</v>
      </c>
      <c r="T365" s="26" t="str">
        <f>IFERROR(__xludf.DUMMYFUNCTION("IFERROR(TRANSPOSE(QUERY(IFERROR(SORT(GOOGLEFINANCE(C365, ""price"", WORKDAY(TODAY(), -40), TODAY()), 1, FALSE)), ""select Col2 where Col2 is not null limit 22 label Col2 ''"", 0)), """")"),"")</f>
        <v/>
      </c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8"/>
      <c r="AO365" s="28"/>
      <c r="AP365" s="29"/>
      <c r="AQ365" s="29" t="str">
        <f t="shared" ref="AQ365:BL365" si="368">T365/T$2</f>
        <v>#N/A</v>
      </c>
      <c r="AR365" s="29" t="str">
        <f t="shared" si="368"/>
        <v>#DIV/0!</v>
      </c>
      <c r="AS365" s="29" t="str">
        <f t="shared" si="368"/>
        <v>#DIV/0!</v>
      </c>
      <c r="AT365" s="29" t="str">
        <f t="shared" si="368"/>
        <v>#DIV/0!</v>
      </c>
      <c r="AU365" s="29" t="str">
        <f t="shared" si="368"/>
        <v>#DIV/0!</v>
      </c>
      <c r="AV365" s="29" t="str">
        <f t="shared" si="368"/>
        <v>#DIV/0!</v>
      </c>
      <c r="AW365" s="29" t="str">
        <f t="shared" si="368"/>
        <v>#DIV/0!</v>
      </c>
      <c r="AX365" s="29" t="str">
        <f t="shared" si="368"/>
        <v>#DIV/0!</v>
      </c>
      <c r="AY365" s="29" t="str">
        <f t="shared" si="368"/>
        <v>#DIV/0!</v>
      </c>
      <c r="AZ365" s="29" t="str">
        <f t="shared" si="368"/>
        <v>#DIV/0!</v>
      </c>
      <c r="BA365" s="29" t="str">
        <f t="shared" si="368"/>
        <v>#DIV/0!</v>
      </c>
      <c r="BB365" s="29" t="str">
        <f t="shared" si="368"/>
        <v>#DIV/0!</v>
      </c>
      <c r="BC365" s="29" t="str">
        <f t="shared" si="368"/>
        <v>#DIV/0!</v>
      </c>
      <c r="BD365" s="29" t="str">
        <f t="shared" si="368"/>
        <v>#DIV/0!</v>
      </c>
      <c r="BE365" s="29" t="str">
        <f t="shared" si="368"/>
        <v>#DIV/0!</v>
      </c>
      <c r="BF365" s="29" t="str">
        <f t="shared" si="368"/>
        <v>#DIV/0!</v>
      </c>
      <c r="BG365" s="29" t="str">
        <f t="shared" si="368"/>
        <v>#DIV/0!</v>
      </c>
      <c r="BH365" s="29" t="str">
        <f t="shared" si="368"/>
        <v>#DIV/0!</v>
      </c>
      <c r="BI365" s="29" t="str">
        <f t="shared" si="368"/>
        <v>#DIV/0!</v>
      </c>
      <c r="BJ365" s="29" t="str">
        <f t="shared" si="368"/>
        <v>#DIV/0!</v>
      </c>
      <c r="BK365" s="29" t="str">
        <f t="shared" si="368"/>
        <v>#DIV/0!</v>
      </c>
      <c r="BL365" s="29" t="str">
        <f t="shared" si="368"/>
        <v>#DIV/0!</v>
      </c>
      <c r="BM365" s="29" t="str">
        <f t="shared" si="3"/>
        <v>#DIV/0!</v>
      </c>
    </row>
    <row r="366">
      <c r="A366" s="16" t="str">
        <f>IFERROR(__xludf.DUMMYFUNCTION("IFERROR(SPARKLINE(SORT(MAP(TRANSPOSE(AQ366:BL366), LAMBDA(val, IF(ISNUMBER(val), PERCENTRANK(AQ366:BL366, val)+0.01, 0))), SEQUENCE(COLUMNS(AQ366:BL366)), FALSE), {""charttype"",""column""; ""color"",""chartreuse""; ""ymin"", 0; ""ymax"", 1.01; ""highcolo"&amp;"r"", ""darkgreen""; ""lowcolor"", ""red""}), """")"),"")</f>
        <v/>
      </c>
      <c r="B366" s="17" t="str">
        <f t="shared" si="4"/>
        <v/>
      </c>
      <c r="C366" s="1" t="s">
        <v>1708</v>
      </c>
      <c r="D366" s="34" t="str">
        <f>IFERROR(__xludf.DUMMYFUNCTION("IFERROR(GOOGLEFINANCE(C366, ""NAME""))"),"FutureCrest Acquisition Corp")</f>
        <v>FutureCrest Acquisition Corp</v>
      </c>
      <c r="E366" s="30" t="s">
        <v>161</v>
      </c>
      <c r="F366" s="38" t="str">
        <f>IFERROR(__xludf.DUMMYFUNCTION("( (GOOGLEFINANCE(C366, ""price"") - Q366) / Q366 ) / (R366 / 100)"),"Loading...")</f>
        <v>Loading...</v>
      </c>
      <c r="G366" s="20" t="str">
        <f>IFERROR(__xludf.DUMMYFUNCTION("AVERAGE(ARRAYFORMULA(100 * (QUERY(GOOGLEFINANCE(C366, ""high"", TODAY()-40, TODAY()), ""SELECT Col2 WHERE Col2 IS NOT NULL ORDER BY Col1 DESC LIMIT 20"", 0) / QUERY(GOOGLEFINANCE(C366, ""low"", TODAY()-40, TODAY()), ""SELECT Col2 WHERE Col2 IS NOT NULL OR"&amp;"DER BY Col1 DESC LIMIT 20"", 0) - 1)))"),"#N/A")</f>
        <v>#N/A</v>
      </c>
      <c r="H366" s="35" t="str">
        <f t="shared" si="6"/>
        <v/>
      </c>
      <c r="I366" s="36" t="str">
        <f t="shared" si="7"/>
        <v/>
      </c>
      <c r="J366" s="37" t="str">
        <f>IFERROR(__xludf.DUMMYFUNCTION("IFERROR(
  IF(C366="""",, 
    IFERROR(
      GOOGLEFINANCE(C366, ""price"") * GOOGLEFINANCE(C366, ""volumeavg""), 
      GOOGLEFINANCE(C366, ""price"") * AVERAGE(QUERY(GOOGLEFINANCE(C366, ""volume"", TODAY()-40, TODAY()), ""SELECT Col2 WHERE Col2 IS NOT "&amp;"NULL ORDER BY Col1 DESC LIMIT 20"", 0))
    )
  ), 
"""")"),"")</f>
        <v/>
      </c>
      <c r="K366" s="21" t="str">
        <f>IFERROR(__xludf.DUMMYFUNCTION("IFERROR(GOOGLEFINANCE(C366, ""changepct"") / 100, """")"),"")</f>
        <v/>
      </c>
      <c r="L366" s="21" t="str">
        <f>IFERROR(__xludf.DUMMYFUNCTION("IFERROR((GOOGLEFINANCE(C366, ""price"") / INDEX(GOOGLEFINANCE(C366, ""price"", TODAY()-7, TODAY()), 2, 2)) - 1, """")"),"")</f>
        <v/>
      </c>
      <c r="M366" s="21" t="str">
        <f>IFERROR(__xludf.DUMMYFUNCTION("IFERROR((GOOGLEFINANCE(C366, ""price"") / INDEX(GOOGLEFINANCE(C366, ""price"", EDATE(TODAY(), -1), TODAY()), 2, 2)) - 1, """")"),"")</f>
        <v/>
      </c>
      <c r="N366" s="21" t="str">
        <f>IFERROR(__xludf.DUMMYFUNCTION("IFERROR((GOOGLEFINANCE(C366, ""price"") / INDEX(GOOGLEFINANCE(C366, ""price"", EDATE(TODAY(), -3), TODAY()), 2, 2)) - 1, """")"),"")</f>
        <v/>
      </c>
      <c r="O366" s="21" t="str">
        <f>IFERROR(__xludf.DUMMYFUNCTION("IFERROR((GOOGLEFINANCE(C366, ""price"") / INDEX(GOOGLEFINANCE(C366, ""price"", EDATE(TODAY(), -6), TODAY()), 2, 2)) - 1, """")"),"")</f>
        <v/>
      </c>
      <c r="P366" s="21" t="str">
        <f>IFERROR(__xludf.DUMMYFUNCTION("IFERROR((GOOGLEFINANCE(C366, ""price"") / INDEX(GOOGLEFINANCE(C366, ""price"", EDATE(TODAY(), -12), TODAY()), 2, 2)) - 1, """")"),"")</f>
        <v/>
      </c>
      <c r="Q366" s="6" t="str">
        <f>IFERROR(__xludf.DUMMYFUNCTION("AVERAGE(QUERY(GOOGLEFINANCE(C366, ""price"", TODAY()-80, TODAY()), ""SELECT Col2 WHERE Col2 IS NOT NULL ORDER BY Col1 DESC LIMIT 50"", 0))"),"#N/A")</f>
        <v>#N/A</v>
      </c>
      <c r="R366" s="24" t="str">
        <f>IFERROR(__xludf.DUMMYFUNCTION("IFERROR(
  LET(
    data, QUERY(GOOGLEFINANCE(C366,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GOOGLEFINANCE(C366, ""price"")) * 100,
    IF(calc=0, G366, calc)
  ), 
G366)"),"#N/A")</f>
        <v>#N/A</v>
      </c>
      <c r="S366" s="8" t="s">
        <v>15</v>
      </c>
      <c r="T366" s="26" t="str">
        <f>IFERROR(__xludf.DUMMYFUNCTION("IFERROR(TRANSPOSE(QUERY(IFERROR(SORT(GOOGLEFINANCE(C366, ""price"", WORKDAY(TODAY(), -40), TODAY()), 1, FALSE)), ""select Col2 where Col2 is not null limit 22 label Col2 ''"", 0)), """")"),"")</f>
        <v/>
      </c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8"/>
      <c r="AO366" s="28"/>
      <c r="AP366" s="29"/>
      <c r="AQ366" s="29" t="str">
        <f t="shared" ref="AQ366:BL366" si="369">T366/T$2</f>
        <v>#N/A</v>
      </c>
      <c r="AR366" s="29" t="str">
        <f t="shared" si="369"/>
        <v>#DIV/0!</v>
      </c>
      <c r="AS366" s="29" t="str">
        <f t="shared" si="369"/>
        <v>#DIV/0!</v>
      </c>
      <c r="AT366" s="29" t="str">
        <f t="shared" si="369"/>
        <v>#DIV/0!</v>
      </c>
      <c r="AU366" s="29" t="str">
        <f t="shared" si="369"/>
        <v>#DIV/0!</v>
      </c>
      <c r="AV366" s="29" t="str">
        <f t="shared" si="369"/>
        <v>#DIV/0!</v>
      </c>
      <c r="AW366" s="29" t="str">
        <f t="shared" si="369"/>
        <v>#DIV/0!</v>
      </c>
      <c r="AX366" s="29" t="str">
        <f t="shared" si="369"/>
        <v>#DIV/0!</v>
      </c>
      <c r="AY366" s="29" t="str">
        <f t="shared" si="369"/>
        <v>#DIV/0!</v>
      </c>
      <c r="AZ366" s="29" t="str">
        <f t="shared" si="369"/>
        <v>#DIV/0!</v>
      </c>
      <c r="BA366" s="29" t="str">
        <f t="shared" si="369"/>
        <v>#DIV/0!</v>
      </c>
      <c r="BB366" s="29" t="str">
        <f t="shared" si="369"/>
        <v>#DIV/0!</v>
      </c>
      <c r="BC366" s="29" t="str">
        <f t="shared" si="369"/>
        <v>#DIV/0!</v>
      </c>
      <c r="BD366" s="29" t="str">
        <f t="shared" si="369"/>
        <v>#DIV/0!</v>
      </c>
      <c r="BE366" s="29" t="str">
        <f t="shared" si="369"/>
        <v>#DIV/0!</v>
      </c>
      <c r="BF366" s="29" t="str">
        <f t="shared" si="369"/>
        <v>#DIV/0!</v>
      </c>
      <c r="BG366" s="29" t="str">
        <f t="shared" si="369"/>
        <v>#DIV/0!</v>
      </c>
      <c r="BH366" s="29" t="str">
        <f t="shared" si="369"/>
        <v>#DIV/0!</v>
      </c>
      <c r="BI366" s="29" t="str">
        <f t="shared" si="369"/>
        <v>#DIV/0!</v>
      </c>
      <c r="BJ366" s="29" t="str">
        <f t="shared" si="369"/>
        <v>#DIV/0!</v>
      </c>
      <c r="BK366" s="29" t="str">
        <f t="shared" si="369"/>
        <v>#DIV/0!</v>
      </c>
      <c r="BL366" s="29" t="str">
        <f t="shared" si="369"/>
        <v>#DIV/0!</v>
      </c>
      <c r="BM366" s="29" t="str">
        <f t="shared" si="3"/>
        <v>#DIV/0!</v>
      </c>
    </row>
    <row r="367">
      <c r="A367" s="16" t="str">
        <f>IFERROR(__xludf.DUMMYFUNCTION("IFERROR(SPARKLINE(SORT(MAP(TRANSPOSE(AQ367:BL367), LAMBDA(val, IF(ISNUMBER(val), PERCENTRANK(AQ367:BL367, val)+0.01, 0))), SEQUENCE(COLUMNS(AQ367:BL367)), FALSE), {""charttype"",""column""; ""color"",""chartreuse""; ""ymin"", 0; ""ymax"", 1.01; ""highcolo"&amp;"r"", ""darkgreen""; ""lowcolor"", ""red""}), """")"),"")</f>
        <v/>
      </c>
      <c r="B367" s="17" t="str">
        <f t="shared" si="4"/>
        <v/>
      </c>
      <c r="C367" s="1" t="s">
        <v>1712</v>
      </c>
      <c r="D367" s="34" t="str">
        <f>IFERROR(__xludf.DUMMYFUNCTION("IFERROR(GOOGLEFINANCE(C367, ""NAME""))"),"Roman Dbdr Acquisition Corp. II")</f>
        <v>Roman Dbdr Acquisition Corp. II</v>
      </c>
      <c r="E367" s="30" t="s">
        <v>161</v>
      </c>
      <c r="F367" s="33" t="str">
        <f>IFERROR(__xludf.DUMMYFUNCTION("( (GOOGLEFINANCE(C367, ""price"") - Q367) / Q367 ) / (R367 / 100)"),"Loading...")</f>
        <v>Loading...</v>
      </c>
      <c r="G367" s="20" t="str">
        <f>IFERROR(__xludf.DUMMYFUNCTION("AVERAGE(ARRAYFORMULA(100 * (QUERY(GOOGLEFINANCE(C367, ""high"", TODAY()-40, TODAY()), ""SELECT Col2 WHERE Col2 IS NOT NULL ORDER BY Col1 DESC LIMIT 20"", 0) / QUERY(GOOGLEFINANCE(C367, ""low"", TODAY()-40, TODAY()), ""SELECT Col2 WHERE Col2 IS NOT NULL OR"&amp;"DER BY Col1 DESC LIMIT 20"", 0) - 1)))"),"#N/A")</f>
        <v>#N/A</v>
      </c>
      <c r="H367" s="35" t="str">
        <f t="shared" si="6"/>
        <v/>
      </c>
      <c r="I367" s="36" t="str">
        <f t="shared" si="7"/>
        <v/>
      </c>
      <c r="J367" s="37" t="str">
        <f>IFERROR(__xludf.DUMMYFUNCTION("IFERROR(
  IF(C367="""",, 
    IFERROR(
      GOOGLEFINANCE(C367, ""price"") * GOOGLEFINANCE(C367, ""volumeavg""), 
      GOOGLEFINANCE(C367, ""price"") * AVERAGE(QUERY(GOOGLEFINANCE(C367, ""volume"", TODAY()-40, TODAY()), ""SELECT Col2 WHERE Col2 IS NOT "&amp;"NULL ORDER BY Col1 DESC LIMIT 20"", 0))
    )
  ), 
"""")"),"")</f>
        <v/>
      </c>
      <c r="K367" s="21" t="str">
        <f>IFERROR(__xludf.DUMMYFUNCTION("IFERROR(GOOGLEFINANCE(C367, ""changepct"") / 100, """")"),"")</f>
        <v/>
      </c>
      <c r="L367" s="21" t="str">
        <f>IFERROR(__xludf.DUMMYFUNCTION("IFERROR((GOOGLEFINANCE(C367, ""price"") / INDEX(GOOGLEFINANCE(C367, ""price"", TODAY()-7, TODAY()), 2, 2)) - 1, """")"),"")</f>
        <v/>
      </c>
      <c r="M367" s="21" t="str">
        <f>IFERROR(__xludf.DUMMYFUNCTION("IFERROR((GOOGLEFINANCE(C367, ""price"") / INDEX(GOOGLEFINANCE(C367, ""price"", EDATE(TODAY(), -1), TODAY()), 2, 2)) - 1, """")"),"")</f>
        <v/>
      </c>
      <c r="N367" s="21" t="str">
        <f>IFERROR(__xludf.DUMMYFUNCTION("IFERROR((GOOGLEFINANCE(C367, ""price"") / INDEX(GOOGLEFINANCE(C367, ""price"", EDATE(TODAY(), -3), TODAY()), 2, 2)) - 1, """")"),"")</f>
        <v/>
      </c>
      <c r="O367" s="21" t="str">
        <f>IFERROR(__xludf.DUMMYFUNCTION("IFERROR((GOOGLEFINANCE(C367, ""price"") / INDEX(GOOGLEFINANCE(C367, ""price"", EDATE(TODAY(), -6), TODAY()), 2, 2)) - 1, """")"),"")</f>
        <v/>
      </c>
      <c r="P367" s="21" t="str">
        <f>IFERROR(__xludf.DUMMYFUNCTION("IFERROR((GOOGLEFINANCE(C367, ""price"") / INDEX(GOOGLEFINANCE(C367, ""price"", EDATE(TODAY(), -12), TODAY()), 2, 2)) - 1, """")"),"")</f>
        <v/>
      </c>
      <c r="Q367" s="6" t="str">
        <f>IFERROR(__xludf.DUMMYFUNCTION("AVERAGE(QUERY(GOOGLEFINANCE(C367, ""price"", TODAY()-80, TODAY()), ""SELECT Col2 WHERE Col2 IS NOT NULL ORDER BY Col1 DESC LIMIT 50"", 0))"),"#N/A")</f>
        <v>#N/A</v>
      </c>
      <c r="R367" s="24" t="str">
        <f>IFERROR(__xludf.DUMMYFUNCTION("IFERROR(
  LET(
    data, QUERY(GOOGLEFINANCE(C367,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GOOGLEFINANCE(C367, ""price"")) * 100,
    IF(calc=0, G367, calc)
  ), 
G367)"),"#N/A")</f>
        <v>#N/A</v>
      </c>
      <c r="S367" s="8" t="s">
        <v>15</v>
      </c>
      <c r="T367" s="26" t="str">
        <f>IFERROR(__xludf.DUMMYFUNCTION("IFERROR(TRANSPOSE(QUERY(IFERROR(SORT(GOOGLEFINANCE(C367, ""price"", WORKDAY(TODAY(), -40), TODAY()), 1, FALSE)), ""select Col2 where Col2 is not null limit 22 label Col2 ''"", 0)), """")"),"")</f>
        <v/>
      </c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8"/>
      <c r="AO367" s="28"/>
      <c r="AP367" s="29"/>
      <c r="AQ367" s="29" t="str">
        <f t="shared" ref="AQ367:BL367" si="370">T367/T$2</f>
        <v>#N/A</v>
      </c>
      <c r="AR367" s="29" t="str">
        <f t="shared" si="370"/>
        <v>#DIV/0!</v>
      </c>
      <c r="AS367" s="29" t="str">
        <f t="shared" si="370"/>
        <v>#DIV/0!</v>
      </c>
      <c r="AT367" s="29" t="str">
        <f t="shared" si="370"/>
        <v>#DIV/0!</v>
      </c>
      <c r="AU367" s="29" t="str">
        <f t="shared" si="370"/>
        <v>#DIV/0!</v>
      </c>
      <c r="AV367" s="29" t="str">
        <f t="shared" si="370"/>
        <v>#DIV/0!</v>
      </c>
      <c r="AW367" s="29" t="str">
        <f t="shared" si="370"/>
        <v>#DIV/0!</v>
      </c>
      <c r="AX367" s="29" t="str">
        <f t="shared" si="370"/>
        <v>#DIV/0!</v>
      </c>
      <c r="AY367" s="29" t="str">
        <f t="shared" si="370"/>
        <v>#DIV/0!</v>
      </c>
      <c r="AZ367" s="29" t="str">
        <f t="shared" si="370"/>
        <v>#DIV/0!</v>
      </c>
      <c r="BA367" s="29" t="str">
        <f t="shared" si="370"/>
        <v>#DIV/0!</v>
      </c>
      <c r="BB367" s="29" t="str">
        <f t="shared" si="370"/>
        <v>#DIV/0!</v>
      </c>
      <c r="BC367" s="29" t="str">
        <f t="shared" si="370"/>
        <v>#DIV/0!</v>
      </c>
      <c r="BD367" s="29" t="str">
        <f t="shared" si="370"/>
        <v>#DIV/0!</v>
      </c>
      <c r="BE367" s="29" t="str">
        <f t="shared" si="370"/>
        <v>#DIV/0!</v>
      </c>
      <c r="BF367" s="29" t="str">
        <f t="shared" si="370"/>
        <v>#DIV/0!</v>
      </c>
      <c r="BG367" s="29" t="str">
        <f t="shared" si="370"/>
        <v>#DIV/0!</v>
      </c>
      <c r="BH367" s="29" t="str">
        <f t="shared" si="370"/>
        <v>#DIV/0!</v>
      </c>
      <c r="BI367" s="29" t="str">
        <f t="shared" si="370"/>
        <v>#DIV/0!</v>
      </c>
      <c r="BJ367" s="29" t="str">
        <f t="shared" si="370"/>
        <v>#DIV/0!</v>
      </c>
      <c r="BK367" s="29" t="str">
        <f t="shared" si="370"/>
        <v>#DIV/0!</v>
      </c>
      <c r="BL367" s="29" t="str">
        <f t="shared" si="370"/>
        <v>#DIV/0!</v>
      </c>
      <c r="BM367" s="29" t="str">
        <f t="shared" si="3"/>
        <v>#DIV/0!</v>
      </c>
    </row>
    <row r="368">
      <c r="A368" s="16" t="str">
        <f>IFERROR(__xludf.DUMMYFUNCTION("IFERROR(SPARKLINE(SORT(MAP(TRANSPOSE(AQ368:BL368), LAMBDA(val, IF(ISNUMBER(val), PERCENTRANK(AQ368:BL368, val)+0.01, 0))), SEQUENCE(COLUMNS(AQ368:BL368)), FALSE), {""charttype"",""column""; ""color"",""chartreuse""; ""ymin"", 0; ""ymax"", 1.01; ""highcolo"&amp;"r"", ""darkgreen""; ""lowcolor"", ""red""}), """")"),"")</f>
        <v/>
      </c>
      <c r="B368" s="17" t="str">
        <f t="shared" si="4"/>
        <v/>
      </c>
      <c r="C368" s="1" t="s">
        <v>1716</v>
      </c>
      <c r="D368" s="34" t="str">
        <f>IFERROR(__xludf.DUMMYFUNCTION("IFERROR(GOOGLEFINANCE(C368, ""NAME""))"),"Fifth Era Acquisition Corp I")</f>
        <v>Fifth Era Acquisition Corp I</v>
      </c>
      <c r="E368" s="30" t="s">
        <v>161</v>
      </c>
      <c r="F368" s="33" t="str">
        <f>IFERROR(__xludf.DUMMYFUNCTION("( (GOOGLEFINANCE(C368, ""price"") - Q368) / Q368 ) / (R368 / 100)"),"Loading...")</f>
        <v>Loading...</v>
      </c>
      <c r="G368" s="20" t="str">
        <f>IFERROR(__xludf.DUMMYFUNCTION("AVERAGE(ARRAYFORMULA(100 * (QUERY(GOOGLEFINANCE(C368, ""high"", TODAY()-40, TODAY()), ""SELECT Col2 WHERE Col2 IS NOT NULL ORDER BY Col1 DESC LIMIT 20"", 0) / QUERY(GOOGLEFINANCE(C368, ""low"", TODAY()-40, TODAY()), ""SELECT Col2 WHERE Col2 IS NOT NULL OR"&amp;"DER BY Col1 DESC LIMIT 20"", 0) - 1)))"),"#N/A")</f>
        <v>#N/A</v>
      </c>
      <c r="H368" s="35" t="str">
        <f t="shared" si="6"/>
        <v/>
      </c>
      <c r="I368" s="36" t="str">
        <f t="shared" si="7"/>
        <v/>
      </c>
      <c r="J368" s="37" t="str">
        <f>IFERROR(__xludf.DUMMYFUNCTION("IFERROR(
  IF(C368="""",, 
    IFERROR(
      GOOGLEFINANCE(C368, ""price"") * GOOGLEFINANCE(C368, ""volumeavg""), 
      GOOGLEFINANCE(C368, ""price"") * AVERAGE(QUERY(GOOGLEFINANCE(C368, ""volume"", TODAY()-40, TODAY()), ""SELECT Col2 WHERE Col2 IS NOT "&amp;"NULL ORDER BY Col1 DESC LIMIT 20"", 0))
    )
  ), 
"""")"),"")</f>
        <v/>
      </c>
      <c r="K368" s="21" t="str">
        <f>IFERROR(__xludf.DUMMYFUNCTION("IFERROR(GOOGLEFINANCE(C368, ""changepct"") / 100, """")"),"")</f>
        <v/>
      </c>
      <c r="L368" s="21" t="str">
        <f>IFERROR(__xludf.DUMMYFUNCTION("IFERROR((GOOGLEFINANCE(C368, ""price"") / INDEX(GOOGLEFINANCE(C368, ""price"", TODAY()-7, TODAY()), 2, 2)) - 1, """")"),"")</f>
        <v/>
      </c>
      <c r="M368" s="21" t="str">
        <f>IFERROR(__xludf.DUMMYFUNCTION("IFERROR((GOOGLEFINANCE(C368, ""price"") / INDEX(GOOGLEFINANCE(C368, ""price"", EDATE(TODAY(), -1), TODAY()), 2, 2)) - 1, """")"),"")</f>
        <v/>
      </c>
      <c r="N368" s="21" t="str">
        <f>IFERROR(__xludf.DUMMYFUNCTION("IFERROR((GOOGLEFINANCE(C368, ""price"") / INDEX(GOOGLEFINANCE(C368, ""price"", EDATE(TODAY(), -3), TODAY()), 2, 2)) - 1, """")"),"")</f>
        <v/>
      </c>
      <c r="O368" s="21" t="str">
        <f>IFERROR(__xludf.DUMMYFUNCTION("IFERROR((GOOGLEFINANCE(C368, ""price"") / INDEX(GOOGLEFINANCE(C368, ""price"", EDATE(TODAY(), -6), TODAY()), 2, 2)) - 1, """")"),"")</f>
        <v/>
      </c>
      <c r="P368" s="21" t="str">
        <f>IFERROR(__xludf.DUMMYFUNCTION("IFERROR((GOOGLEFINANCE(C368, ""price"") / INDEX(GOOGLEFINANCE(C368, ""price"", EDATE(TODAY(), -12), TODAY()), 2, 2)) - 1, """")"),"")</f>
        <v/>
      </c>
      <c r="Q368" s="6" t="str">
        <f>IFERROR(__xludf.DUMMYFUNCTION("AVERAGE(QUERY(GOOGLEFINANCE(C368, ""price"", TODAY()-80, TODAY()), ""SELECT Col2 WHERE Col2 IS NOT NULL ORDER BY Col1 DESC LIMIT 50"", 0))"),"#N/A")</f>
        <v>#N/A</v>
      </c>
      <c r="R368" s="24" t="str">
        <f>IFERROR(__xludf.DUMMYFUNCTION("IFERROR(
  LET(
    data, QUERY(GOOGLEFINANCE(C368,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GOOGLEFINANCE(C368, ""price"")) * 100,
    IF(calc=0, G368, calc)
  ), 
G368)"),"#N/A")</f>
        <v>#N/A</v>
      </c>
      <c r="S368" s="8" t="s">
        <v>15</v>
      </c>
      <c r="T368" s="26" t="str">
        <f>IFERROR(__xludf.DUMMYFUNCTION("IFERROR(TRANSPOSE(QUERY(IFERROR(SORT(GOOGLEFINANCE(C368, ""price"", WORKDAY(TODAY(), -40), TODAY()), 1, FALSE)), ""select Col2 where Col2 is not null limit 22 label Col2 ''"", 0)), """")"),"")</f>
        <v/>
      </c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8"/>
      <c r="AO368" s="28"/>
      <c r="AP368" s="29"/>
      <c r="AQ368" s="29" t="str">
        <f t="shared" ref="AQ368:BL368" si="371">T368/T$2</f>
        <v>#N/A</v>
      </c>
      <c r="AR368" s="29" t="str">
        <f t="shared" si="371"/>
        <v>#DIV/0!</v>
      </c>
      <c r="AS368" s="29" t="str">
        <f t="shared" si="371"/>
        <v>#DIV/0!</v>
      </c>
      <c r="AT368" s="29" t="str">
        <f t="shared" si="371"/>
        <v>#DIV/0!</v>
      </c>
      <c r="AU368" s="29" t="str">
        <f t="shared" si="371"/>
        <v>#DIV/0!</v>
      </c>
      <c r="AV368" s="29" t="str">
        <f t="shared" si="371"/>
        <v>#DIV/0!</v>
      </c>
      <c r="AW368" s="29" t="str">
        <f t="shared" si="371"/>
        <v>#DIV/0!</v>
      </c>
      <c r="AX368" s="29" t="str">
        <f t="shared" si="371"/>
        <v>#DIV/0!</v>
      </c>
      <c r="AY368" s="29" t="str">
        <f t="shared" si="371"/>
        <v>#DIV/0!</v>
      </c>
      <c r="AZ368" s="29" t="str">
        <f t="shared" si="371"/>
        <v>#DIV/0!</v>
      </c>
      <c r="BA368" s="29" t="str">
        <f t="shared" si="371"/>
        <v>#DIV/0!</v>
      </c>
      <c r="BB368" s="29" t="str">
        <f t="shared" si="371"/>
        <v>#DIV/0!</v>
      </c>
      <c r="BC368" s="29" t="str">
        <f t="shared" si="371"/>
        <v>#DIV/0!</v>
      </c>
      <c r="BD368" s="29" t="str">
        <f t="shared" si="371"/>
        <v>#DIV/0!</v>
      </c>
      <c r="BE368" s="29" t="str">
        <f t="shared" si="371"/>
        <v>#DIV/0!</v>
      </c>
      <c r="BF368" s="29" t="str">
        <f t="shared" si="371"/>
        <v>#DIV/0!</v>
      </c>
      <c r="BG368" s="29" t="str">
        <f t="shared" si="371"/>
        <v>#DIV/0!</v>
      </c>
      <c r="BH368" s="29" t="str">
        <f t="shared" si="371"/>
        <v>#DIV/0!</v>
      </c>
      <c r="BI368" s="29" t="str">
        <f t="shared" si="371"/>
        <v>#DIV/0!</v>
      </c>
      <c r="BJ368" s="29" t="str">
        <f t="shared" si="371"/>
        <v>#DIV/0!</v>
      </c>
      <c r="BK368" s="29" t="str">
        <f t="shared" si="371"/>
        <v>#DIV/0!</v>
      </c>
      <c r="BL368" s="29" t="str">
        <f t="shared" si="371"/>
        <v>#DIV/0!</v>
      </c>
      <c r="BM368" s="29" t="str">
        <f t="shared" si="3"/>
        <v>#DIV/0!</v>
      </c>
    </row>
    <row r="369">
      <c r="A369" s="16" t="str">
        <f>IFERROR(__xludf.DUMMYFUNCTION("IFERROR(SPARKLINE(SORT(MAP(TRANSPOSE(AQ369:BL369), LAMBDA(val, IF(ISNUMBER(val), PERCENTRANK(AQ369:BL369, val)+0.01, 0))), SEQUENCE(COLUMNS(AQ369:BL369)), FALSE), {""charttype"",""column""; ""color"",""chartreuse""; ""ymin"", 0; ""ymax"", 1.01; ""highcolo"&amp;"r"", ""darkgreen""; ""lowcolor"", ""red""}), """")"),"")</f>
        <v/>
      </c>
      <c r="B369" s="17" t="str">
        <f t="shared" si="4"/>
        <v/>
      </c>
      <c r="C369" s="1" t="s">
        <v>1721</v>
      </c>
      <c r="D369" s="34" t="str">
        <f>IFERROR(__xludf.DUMMYFUNCTION("IFERROR(GOOGLEFINANCE(C369, ""NAME""))"),"Perimeter Acquisition I Corp")</f>
        <v>Perimeter Acquisition I Corp</v>
      </c>
      <c r="E369" s="30" t="s">
        <v>161</v>
      </c>
      <c r="F369" s="38" t="str">
        <f>IFERROR(__xludf.DUMMYFUNCTION("( (GOOGLEFINANCE(C369, ""price"") - Q369) / Q369 ) / (R369 / 100)"),"Loading...")</f>
        <v>Loading...</v>
      </c>
      <c r="G369" s="20" t="str">
        <f>IFERROR(__xludf.DUMMYFUNCTION("AVERAGE(ARRAYFORMULA(100 * (QUERY(GOOGLEFINANCE(C369, ""high"", TODAY()-40, TODAY()), ""SELECT Col2 WHERE Col2 IS NOT NULL ORDER BY Col1 DESC LIMIT 20"", 0) / QUERY(GOOGLEFINANCE(C369, ""low"", TODAY()-40, TODAY()), ""SELECT Col2 WHERE Col2 IS NOT NULL OR"&amp;"DER BY Col1 DESC LIMIT 20"", 0) - 1)))"),"#N/A")</f>
        <v>#N/A</v>
      </c>
      <c r="H369" s="35" t="str">
        <f t="shared" si="6"/>
        <v/>
      </c>
      <c r="I369" s="36" t="str">
        <f t="shared" si="7"/>
        <v/>
      </c>
      <c r="J369" s="37" t="str">
        <f>IFERROR(__xludf.DUMMYFUNCTION("IFERROR(
  IF(C369="""",, 
    IFERROR(
      GOOGLEFINANCE(C369, ""price"") * GOOGLEFINANCE(C369, ""volumeavg""), 
      GOOGLEFINANCE(C369, ""price"") * AVERAGE(QUERY(GOOGLEFINANCE(C369, ""volume"", TODAY()-40, TODAY()), ""SELECT Col2 WHERE Col2 IS NOT "&amp;"NULL ORDER BY Col1 DESC LIMIT 20"", 0))
    )
  ), 
"""")"),"")</f>
        <v/>
      </c>
      <c r="K369" s="21" t="str">
        <f>IFERROR(__xludf.DUMMYFUNCTION("IFERROR(GOOGLEFINANCE(C369, ""changepct"") / 100, """")"),"")</f>
        <v/>
      </c>
      <c r="L369" s="21" t="str">
        <f>IFERROR(__xludf.DUMMYFUNCTION("IFERROR((GOOGLEFINANCE(C369, ""price"") / INDEX(GOOGLEFINANCE(C369, ""price"", TODAY()-7, TODAY()), 2, 2)) - 1, """")"),"")</f>
        <v/>
      </c>
      <c r="M369" s="21" t="str">
        <f>IFERROR(__xludf.DUMMYFUNCTION("IFERROR((GOOGLEFINANCE(C369, ""price"") / INDEX(GOOGLEFINANCE(C369, ""price"", EDATE(TODAY(), -1), TODAY()), 2, 2)) - 1, """")"),"")</f>
        <v/>
      </c>
      <c r="N369" s="21" t="str">
        <f>IFERROR(__xludf.DUMMYFUNCTION("IFERROR((GOOGLEFINANCE(C369, ""price"") / INDEX(GOOGLEFINANCE(C369, ""price"", EDATE(TODAY(), -3), TODAY()), 2, 2)) - 1, """")"),"")</f>
        <v/>
      </c>
      <c r="O369" s="21" t="str">
        <f>IFERROR(__xludf.DUMMYFUNCTION("IFERROR((GOOGLEFINANCE(C369, ""price"") / INDEX(GOOGLEFINANCE(C369, ""price"", EDATE(TODAY(), -6), TODAY()), 2, 2)) - 1, """")"),"")</f>
        <v/>
      </c>
      <c r="P369" s="21" t="str">
        <f>IFERROR(__xludf.DUMMYFUNCTION("IFERROR((GOOGLEFINANCE(C369, ""price"") / INDEX(GOOGLEFINANCE(C369, ""price"", EDATE(TODAY(), -12), TODAY()), 2, 2)) - 1, """")"),"")</f>
        <v/>
      </c>
      <c r="Q369" s="6" t="str">
        <f>IFERROR(__xludf.DUMMYFUNCTION("AVERAGE(QUERY(GOOGLEFINANCE(C369, ""price"", TODAY()-80, TODAY()), ""SELECT Col2 WHERE Col2 IS NOT NULL ORDER BY Col1 DESC LIMIT 50"", 0))"),"#N/A")</f>
        <v>#N/A</v>
      </c>
      <c r="R369" s="24" t="str">
        <f>IFERROR(__xludf.DUMMYFUNCTION("IFERROR(
  LET(
    data, QUERY(GOOGLEFINANCE(C369,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GOOGLEFINANCE(C369, ""price"")) * 100,
    IF(calc=0, G369, calc)
  ), 
G369)"),"#N/A")</f>
        <v>#N/A</v>
      </c>
      <c r="S369" s="8" t="s">
        <v>15</v>
      </c>
      <c r="T369" s="26" t="str">
        <f>IFERROR(__xludf.DUMMYFUNCTION("IFERROR(TRANSPOSE(QUERY(IFERROR(SORT(GOOGLEFINANCE(C369, ""price"", WORKDAY(TODAY(), -40), TODAY()), 1, FALSE)), ""select Col2 where Col2 is not null limit 22 label Col2 ''"", 0)), """")"),"")</f>
        <v/>
      </c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8"/>
      <c r="AO369" s="28"/>
      <c r="AP369" s="29"/>
      <c r="AQ369" s="29" t="str">
        <f t="shared" ref="AQ369:BL369" si="372">T369/T$2</f>
        <v>#N/A</v>
      </c>
      <c r="AR369" s="29" t="str">
        <f t="shared" si="372"/>
        <v>#DIV/0!</v>
      </c>
      <c r="AS369" s="29" t="str">
        <f t="shared" si="372"/>
        <v>#DIV/0!</v>
      </c>
      <c r="AT369" s="29" t="str">
        <f t="shared" si="372"/>
        <v>#DIV/0!</v>
      </c>
      <c r="AU369" s="29" t="str">
        <f t="shared" si="372"/>
        <v>#DIV/0!</v>
      </c>
      <c r="AV369" s="29" t="str">
        <f t="shared" si="372"/>
        <v>#DIV/0!</v>
      </c>
      <c r="AW369" s="29" t="str">
        <f t="shared" si="372"/>
        <v>#DIV/0!</v>
      </c>
      <c r="AX369" s="29" t="str">
        <f t="shared" si="372"/>
        <v>#DIV/0!</v>
      </c>
      <c r="AY369" s="29" t="str">
        <f t="shared" si="372"/>
        <v>#DIV/0!</v>
      </c>
      <c r="AZ369" s="29" t="str">
        <f t="shared" si="372"/>
        <v>#DIV/0!</v>
      </c>
      <c r="BA369" s="29" t="str">
        <f t="shared" si="372"/>
        <v>#DIV/0!</v>
      </c>
      <c r="BB369" s="29" t="str">
        <f t="shared" si="372"/>
        <v>#DIV/0!</v>
      </c>
      <c r="BC369" s="29" t="str">
        <f t="shared" si="372"/>
        <v>#DIV/0!</v>
      </c>
      <c r="BD369" s="29" t="str">
        <f t="shared" si="372"/>
        <v>#DIV/0!</v>
      </c>
      <c r="BE369" s="29" t="str">
        <f t="shared" si="372"/>
        <v>#DIV/0!</v>
      </c>
      <c r="BF369" s="29" t="str">
        <f t="shared" si="372"/>
        <v>#DIV/0!</v>
      </c>
      <c r="BG369" s="29" t="str">
        <f t="shared" si="372"/>
        <v>#DIV/0!</v>
      </c>
      <c r="BH369" s="29" t="str">
        <f t="shared" si="372"/>
        <v>#DIV/0!</v>
      </c>
      <c r="BI369" s="29" t="str">
        <f t="shared" si="372"/>
        <v>#DIV/0!</v>
      </c>
      <c r="BJ369" s="29" t="str">
        <f t="shared" si="372"/>
        <v>#DIV/0!</v>
      </c>
      <c r="BK369" s="29" t="str">
        <f t="shared" si="372"/>
        <v>#DIV/0!</v>
      </c>
      <c r="BL369" s="29" t="str">
        <f t="shared" si="372"/>
        <v>#DIV/0!</v>
      </c>
      <c r="BM369" s="29" t="str">
        <f t="shared" si="3"/>
        <v>#DIV/0!</v>
      </c>
    </row>
    <row r="370">
      <c r="A370" s="16" t="str">
        <f>IFERROR(__xludf.DUMMYFUNCTION("IFERROR(SPARKLINE(SORT(MAP(TRANSPOSE(AQ370:BL370), LAMBDA(val, IF(ISNUMBER(val), PERCENTRANK(AQ370:BL370, val)+0.01, 0))), SEQUENCE(COLUMNS(AQ370:BL370)), FALSE), {""charttype"",""column""; ""color"",""chartreuse""; ""ymin"", 0; ""ymax"", 1.01; ""highcolo"&amp;"r"", ""darkgreen""; ""lowcolor"", ""red""}), """")"),"")</f>
        <v/>
      </c>
      <c r="B370" s="17" t="str">
        <f t="shared" si="4"/>
        <v/>
      </c>
      <c r="C370" s="1" t="s">
        <v>1725</v>
      </c>
      <c r="D370" s="34" t="str">
        <f>IFERROR(__xludf.DUMMYFUNCTION("IFERROR(GOOGLEFINANCE(C370, ""NAME""))"),"CSLM dgl ASST Acquisition III Corp Ltd")</f>
        <v>CSLM dgl ASST Acquisition III Corp Ltd</v>
      </c>
      <c r="E370" s="30" t="s">
        <v>161</v>
      </c>
      <c r="F370" s="33" t="str">
        <f>IFERROR(__xludf.DUMMYFUNCTION("( (GOOGLEFINANCE(C370, ""price"") - Q370) / Q370 ) / (R370 / 100)"),"Loading...")</f>
        <v>Loading...</v>
      </c>
      <c r="G370" s="20" t="str">
        <f>IFERROR(__xludf.DUMMYFUNCTION("AVERAGE(ARRAYFORMULA(100 * (QUERY(GOOGLEFINANCE(C370, ""high"", TODAY()-40, TODAY()), ""SELECT Col2 WHERE Col2 IS NOT NULL ORDER BY Col1 DESC LIMIT 20"", 0) / QUERY(GOOGLEFINANCE(C370, ""low"", TODAY()-40, TODAY()), ""SELECT Col2 WHERE Col2 IS NOT NULL OR"&amp;"DER BY Col1 DESC LIMIT 20"", 0) - 1)))"),"#N/A")</f>
        <v>#N/A</v>
      </c>
      <c r="H370" s="35" t="str">
        <f t="shared" si="6"/>
        <v/>
      </c>
      <c r="I370" s="36" t="str">
        <f t="shared" si="7"/>
        <v/>
      </c>
      <c r="J370" s="37" t="str">
        <f>IFERROR(__xludf.DUMMYFUNCTION("IFERROR(
  IF(C370="""",, 
    IFERROR(
      GOOGLEFINANCE(C370, ""price"") * GOOGLEFINANCE(C370, ""volumeavg""), 
      GOOGLEFINANCE(C370, ""price"") * AVERAGE(QUERY(GOOGLEFINANCE(C370, ""volume"", TODAY()-40, TODAY()), ""SELECT Col2 WHERE Col2 IS NOT "&amp;"NULL ORDER BY Col1 DESC LIMIT 20"", 0))
    )
  ), 
"""")"),"")</f>
        <v/>
      </c>
      <c r="K370" s="21" t="str">
        <f>IFERROR(__xludf.DUMMYFUNCTION("IFERROR(GOOGLEFINANCE(C370, ""changepct"") / 100, """")"),"")</f>
        <v/>
      </c>
      <c r="L370" s="21" t="str">
        <f>IFERROR(__xludf.DUMMYFUNCTION("IFERROR((GOOGLEFINANCE(C370, ""price"") / INDEX(GOOGLEFINANCE(C370, ""price"", TODAY()-7, TODAY()), 2, 2)) - 1, """")"),"")</f>
        <v/>
      </c>
      <c r="M370" s="21" t="str">
        <f>IFERROR(__xludf.DUMMYFUNCTION("IFERROR((GOOGLEFINANCE(C370, ""price"") / INDEX(GOOGLEFINANCE(C370, ""price"", EDATE(TODAY(), -1), TODAY()), 2, 2)) - 1, """")"),"")</f>
        <v/>
      </c>
      <c r="N370" s="21" t="str">
        <f>IFERROR(__xludf.DUMMYFUNCTION("IFERROR((GOOGLEFINANCE(C370, ""price"") / INDEX(GOOGLEFINANCE(C370, ""price"", EDATE(TODAY(), -3), TODAY()), 2, 2)) - 1, """")"),"")</f>
        <v/>
      </c>
      <c r="O370" s="21" t="str">
        <f>IFERROR(__xludf.DUMMYFUNCTION("IFERROR((GOOGLEFINANCE(C370, ""price"") / INDEX(GOOGLEFINANCE(C370, ""price"", EDATE(TODAY(), -6), TODAY()), 2, 2)) - 1, """")"),"")</f>
        <v/>
      </c>
      <c r="P370" s="21" t="str">
        <f>IFERROR(__xludf.DUMMYFUNCTION("IFERROR((GOOGLEFINANCE(C370, ""price"") / INDEX(GOOGLEFINANCE(C370, ""price"", EDATE(TODAY(), -12), TODAY()), 2, 2)) - 1, """")"),"")</f>
        <v/>
      </c>
      <c r="Q370" s="6" t="str">
        <f>IFERROR(__xludf.DUMMYFUNCTION("AVERAGE(QUERY(GOOGLEFINANCE(C370, ""price"", TODAY()-80, TODAY()), ""SELECT Col2 WHERE Col2 IS NOT NULL ORDER BY Col1 DESC LIMIT 50"", 0))"),"#N/A")</f>
        <v>#N/A</v>
      </c>
      <c r="R370" s="24" t="str">
        <f>IFERROR(__xludf.DUMMYFUNCTION("IFERROR(
  LET(
    data, QUERY(GOOGLEFINANCE(C370,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GOOGLEFINANCE(C370, ""price"")) * 100,
    IF(calc=0, G370, calc)
  ), 
G370)"),"#N/A")</f>
        <v>#N/A</v>
      </c>
      <c r="S370" s="8" t="s">
        <v>15</v>
      </c>
      <c r="T370" s="26" t="str">
        <f>IFERROR(__xludf.DUMMYFUNCTION("IFERROR(TRANSPOSE(QUERY(IFERROR(SORT(GOOGLEFINANCE(C370, ""price"", WORKDAY(TODAY(), -40), TODAY()), 1, FALSE)), ""select Col2 where Col2 is not null limit 22 label Col2 ''"", 0)), """")"),"")</f>
        <v/>
      </c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8"/>
      <c r="AO370" s="28"/>
      <c r="AP370" s="29"/>
      <c r="AQ370" s="29" t="str">
        <f t="shared" ref="AQ370:BL370" si="373">T370/T$2</f>
        <v>#N/A</v>
      </c>
      <c r="AR370" s="29" t="str">
        <f t="shared" si="373"/>
        <v>#DIV/0!</v>
      </c>
      <c r="AS370" s="29" t="str">
        <f t="shared" si="373"/>
        <v>#DIV/0!</v>
      </c>
      <c r="AT370" s="29" t="str">
        <f t="shared" si="373"/>
        <v>#DIV/0!</v>
      </c>
      <c r="AU370" s="29" t="str">
        <f t="shared" si="373"/>
        <v>#DIV/0!</v>
      </c>
      <c r="AV370" s="29" t="str">
        <f t="shared" si="373"/>
        <v>#DIV/0!</v>
      </c>
      <c r="AW370" s="29" t="str">
        <f t="shared" si="373"/>
        <v>#DIV/0!</v>
      </c>
      <c r="AX370" s="29" t="str">
        <f t="shared" si="373"/>
        <v>#DIV/0!</v>
      </c>
      <c r="AY370" s="29" t="str">
        <f t="shared" si="373"/>
        <v>#DIV/0!</v>
      </c>
      <c r="AZ370" s="29" t="str">
        <f t="shared" si="373"/>
        <v>#DIV/0!</v>
      </c>
      <c r="BA370" s="29" t="str">
        <f t="shared" si="373"/>
        <v>#DIV/0!</v>
      </c>
      <c r="BB370" s="29" t="str">
        <f t="shared" si="373"/>
        <v>#DIV/0!</v>
      </c>
      <c r="BC370" s="29" t="str">
        <f t="shared" si="373"/>
        <v>#DIV/0!</v>
      </c>
      <c r="BD370" s="29" t="str">
        <f t="shared" si="373"/>
        <v>#DIV/0!</v>
      </c>
      <c r="BE370" s="29" t="str">
        <f t="shared" si="373"/>
        <v>#DIV/0!</v>
      </c>
      <c r="BF370" s="29" t="str">
        <f t="shared" si="373"/>
        <v>#DIV/0!</v>
      </c>
      <c r="BG370" s="29" t="str">
        <f t="shared" si="373"/>
        <v>#DIV/0!</v>
      </c>
      <c r="BH370" s="29" t="str">
        <f t="shared" si="373"/>
        <v>#DIV/0!</v>
      </c>
      <c r="BI370" s="29" t="str">
        <f t="shared" si="373"/>
        <v>#DIV/0!</v>
      </c>
      <c r="BJ370" s="29" t="str">
        <f t="shared" si="373"/>
        <v>#DIV/0!</v>
      </c>
      <c r="BK370" s="29" t="str">
        <f t="shared" si="373"/>
        <v>#DIV/0!</v>
      </c>
      <c r="BL370" s="29" t="str">
        <f t="shared" si="373"/>
        <v>#DIV/0!</v>
      </c>
      <c r="BM370" s="29" t="str">
        <f t="shared" si="3"/>
        <v>#DIV/0!</v>
      </c>
    </row>
    <row r="371">
      <c r="A371" s="16" t="str">
        <f>IFERROR(__xludf.DUMMYFUNCTION("IFERROR(SPARKLINE(SORT(MAP(TRANSPOSE(AQ371:BL371), LAMBDA(val, IF(ISNUMBER(val), PERCENTRANK(AQ371:BL371, val)+0.01, 0))), SEQUENCE(COLUMNS(AQ371:BL371)), FALSE), {""charttype"",""column""; ""color"",""chartreuse""; ""ymin"", 0; ""ymax"", 1.01; ""highcolo"&amp;"r"", ""darkgreen""; ""lowcolor"", ""red""}), """")"),"")</f>
        <v/>
      </c>
      <c r="B371" s="17" t="str">
        <f t="shared" si="4"/>
        <v/>
      </c>
      <c r="C371" s="1" t="s">
        <v>1728</v>
      </c>
      <c r="D371" s="34" t="str">
        <f>IFERROR(__xludf.DUMMYFUNCTION("IFERROR(GOOGLEFINANCE(C371, ""NAME""))"),"Aumega Metals Ltd")</f>
        <v>Aumega Metals Ltd</v>
      </c>
      <c r="E371" s="30" t="s">
        <v>161</v>
      </c>
      <c r="F371" s="33" t="str">
        <f>IFERROR(__xludf.DUMMYFUNCTION("( (GOOGLEFINANCE(C371, ""price"") - Q371) / Q371 ) / (R371 / 100)"),"Loading...")</f>
        <v>Loading...</v>
      </c>
      <c r="G371" s="20" t="str">
        <f>IFERROR(__xludf.DUMMYFUNCTION("AVERAGE(ARRAYFORMULA(100 * (QUERY(GOOGLEFINANCE(C371, ""high"", TODAY()-40, TODAY()), ""SELECT Col2 WHERE Col2 IS NOT NULL ORDER BY Col1 DESC LIMIT 20"", 0) / QUERY(GOOGLEFINANCE(C371, ""low"", TODAY()-40, TODAY()), ""SELECT Col2 WHERE Col2 IS NOT NULL OR"&amp;"DER BY Col1 DESC LIMIT 20"", 0) - 1)))"),"#N/A")</f>
        <v>#N/A</v>
      </c>
      <c r="H371" s="35" t="str">
        <f t="shared" si="6"/>
        <v/>
      </c>
      <c r="I371" s="36" t="str">
        <f t="shared" si="7"/>
        <v/>
      </c>
      <c r="J371" s="37" t="str">
        <f>IFERROR(__xludf.DUMMYFUNCTION("IFERROR(
  IF(C371="""",, 
    IFERROR(
      GOOGLEFINANCE(C371, ""price"") * GOOGLEFINANCE(C371, ""volumeavg""), 
      GOOGLEFINANCE(C371, ""price"") * AVERAGE(QUERY(GOOGLEFINANCE(C371, ""volume"", TODAY()-40, TODAY()), ""SELECT Col2 WHERE Col2 IS NOT "&amp;"NULL ORDER BY Col1 DESC LIMIT 20"", 0))
    )
  ), 
"""")"),"")</f>
        <v/>
      </c>
      <c r="K371" s="21" t="str">
        <f>IFERROR(__xludf.DUMMYFUNCTION("IFERROR(GOOGLEFINANCE(C371, ""changepct"") / 100, """")"),"")</f>
        <v/>
      </c>
      <c r="L371" s="21" t="str">
        <f>IFERROR(__xludf.DUMMYFUNCTION("IFERROR((GOOGLEFINANCE(C371, ""price"") / INDEX(GOOGLEFINANCE(C371, ""price"", TODAY()-7, TODAY()), 2, 2)) - 1, """")"),"")</f>
        <v/>
      </c>
      <c r="M371" s="21" t="str">
        <f>IFERROR(__xludf.DUMMYFUNCTION("IFERROR((GOOGLEFINANCE(C371, ""price"") / INDEX(GOOGLEFINANCE(C371, ""price"", EDATE(TODAY(), -1), TODAY()), 2, 2)) - 1, """")"),"")</f>
        <v/>
      </c>
      <c r="N371" s="21" t="str">
        <f>IFERROR(__xludf.DUMMYFUNCTION("IFERROR((GOOGLEFINANCE(C371, ""price"") / INDEX(GOOGLEFINANCE(C371, ""price"", EDATE(TODAY(), -3), TODAY()), 2, 2)) - 1, """")"),"")</f>
        <v/>
      </c>
      <c r="O371" s="21" t="str">
        <f>IFERROR(__xludf.DUMMYFUNCTION("IFERROR((GOOGLEFINANCE(C371, ""price"") / INDEX(GOOGLEFINANCE(C371, ""price"", EDATE(TODAY(), -6), TODAY()), 2, 2)) - 1, """")"),"")</f>
        <v/>
      </c>
      <c r="P371" s="21" t="str">
        <f>IFERROR(__xludf.DUMMYFUNCTION("IFERROR((GOOGLEFINANCE(C371, ""price"") / INDEX(GOOGLEFINANCE(C371, ""price"", EDATE(TODAY(), -12), TODAY()), 2, 2)) - 1, """")"),"")</f>
        <v/>
      </c>
      <c r="Q371" s="6" t="str">
        <f>IFERROR(__xludf.DUMMYFUNCTION("AVERAGE(QUERY(GOOGLEFINANCE(C371, ""price"", TODAY()-80, TODAY()), ""SELECT Col2 WHERE Col2 IS NOT NULL ORDER BY Col1 DESC LIMIT 50"", 0))"),"#N/A")</f>
        <v>#N/A</v>
      </c>
      <c r="R371" s="24" t="str">
        <f>IFERROR(__xludf.DUMMYFUNCTION("IFERROR(
  LET(
    data, QUERY(GOOGLEFINANCE(C371,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GOOGLEFINANCE(C371, ""price"")) * 100,
    IF(calc=0, G371, calc)
  ), 
G371)"),"#N/A")</f>
        <v>#N/A</v>
      </c>
      <c r="S371" s="8" t="s">
        <v>15</v>
      </c>
      <c r="T371" s="26" t="str">
        <f>IFERROR(__xludf.DUMMYFUNCTION("IFERROR(TRANSPOSE(QUERY(IFERROR(SORT(GOOGLEFINANCE(C371, ""price"", WORKDAY(TODAY(), -40), TODAY()), 1, FALSE)), ""select Col2 where Col2 is not null limit 22 label Col2 ''"", 0)), """")"),"")</f>
        <v/>
      </c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8"/>
      <c r="AO371" s="28"/>
      <c r="AP371" s="29"/>
      <c r="AQ371" s="29" t="str">
        <f t="shared" ref="AQ371:BL371" si="374">T371/T$2</f>
        <v>#N/A</v>
      </c>
      <c r="AR371" s="29" t="str">
        <f t="shared" si="374"/>
        <v>#DIV/0!</v>
      </c>
      <c r="AS371" s="29" t="str">
        <f t="shared" si="374"/>
        <v>#DIV/0!</v>
      </c>
      <c r="AT371" s="29" t="str">
        <f t="shared" si="374"/>
        <v>#DIV/0!</v>
      </c>
      <c r="AU371" s="29" t="str">
        <f t="shared" si="374"/>
        <v>#DIV/0!</v>
      </c>
      <c r="AV371" s="29" t="str">
        <f t="shared" si="374"/>
        <v>#DIV/0!</v>
      </c>
      <c r="AW371" s="29" t="str">
        <f t="shared" si="374"/>
        <v>#DIV/0!</v>
      </c>
      <c r="AX371" s="29" t="str">
        <f t="shared" si="374"/>
        <v>#DIV/0!</v>
      </c>
      <c r="AY371" s="29" t="str">
        <f t="shared" si="374"/>
        <v>#DIV/0!</v>
      </c>
      <c r="AZ371" s="29" t="str">
        <f t="shared" si="374"/>
        <v>#DIV/0!</v>
      </c>
      <c r="BA371" s="29" t="str">
        <f t="shared" si="374"/>
        <v>#DIV/0!</v>
      </c>
      <c r="BB371" s="29" t="str">
        <f t="shared" si="374"/>
        <v>#DIV/0!</v>
      </c>
      <c r="BC371" s="29" t="str">
        <f t="shared" si="374"/>
        <v>#DIV/0!</v>
      </c>
      <c r="BD371" s="29" t="str">
        <f t="shared" si="374"/>
        <v>#DIV/0!</v>
      </c>
      <c r="BE371" s="29" t="str">
        <f t="shared" si="374"/>
        <v>#DIV/0!</v>
      </c>
      <c r="BF371" s="29" t="str">
        <f t="shared" si="374"/>
        <v>#DIV/0!</v>
      </c>
      <c r="BG371" s="29" t="str">
        <f t="shared" si="374"/>
        <v>#DIV/0!</v>
      </c>
      <c r="BH371" s="29" t="str">
        <f t="shared" si="374"/>
        <v>#DIV/0!</v>
      </c>
      <c r="BI371" s="29" t="str">
        <f t="shared" si="374"/>
        <v>#DIV/0!</v>
      </c>
      <c r="BJ371" s="29" t="str">
        <f t="shared" si="374"/>
        <v>#DIV/0!</v>
      </c>
      <c r="BK371" s="29" t="str">
        <f t="shared" si="374"/>
        <v>#DIV/0!</v>
      </c>
      <c r="BL371" s="29" t="str">
        <f t="shared" si="374"/>
        <v>#DIV/0!</v>
      </c>
      <c r="BM371" s="29" t="str">
        <f t="shared" si="3"/>
        <v>#DIV/0!</v>
      </c>
    </row>
    <row r="372">
      <c r="A372" s="16" t="str">
        <f>IFERROR(__xludf.DUMMYFUNCTION("IFERROR(SPARKLINE(SORT(MAP(TRANSPOSE(AQ372:BL372), LAMBDA(val, IF(ISNUMBER(val), PERCENTRANK(AQ372:BL372, val)+0.01, 0))), SEQUENCE(COLUMNS(AQ372:BL372)), FALSE), {""charttype"",""column""; ""color"",""chartreuse""; ""ymin"", 0; ""ymax"", 1.01; ""highcolo"&amp;"r"", ""darkgreen""; ""lowcolor"", ""red""}), """")"),"")</f>
        <v/>
      </c>
      <c r="B372" s="17" t="str">
        <f t="shared" si="4"/>
        <v/>
      </c>
      <c r="C372" s="1" t="s">
        <v>1731</v>
      </c>
      <c r="D372" s="34" t="str">
        <f>IFERROR(__xludf.DUMMYFUNCTION("IFERROR(GOOGLEFINANCE(C372, ""NAME""))"),"Bold Eagle Acquisition Corp")</f>
        <v>Bold Eagle Acquisition Corp</v>
      </c>
      <c r="E372" s="30" t="s">
        <v>161</v>
      </c>
      <c r="F372" s="33" t="str">
        <f>IFERROR(__xludf.DUMMYFUNCTION("( (GOOGLEFINANCE(C372, ""price"") - Q372) / Q372 ) / (R372 / 100)"),"Loading...")</f>
        <v>Loading...</v>
      </c>
      <c r="G372" s="20" t="str">
        <f>IFERROR(__xludf.DUMMYFUNCTION("AVERAGE(ARRAYFORMULA(100 * (QUERY(GOOGLEFINANCE(C372, ""high"", TODAY()-40, TODAY()), ""SELECT Col2 WHERE Col2 IS NOT NULL ORDER BY Col1 DESC LIMIT 20"", 0) / QUERY(GOOGLEFINANCE(C372, ""low"", TODAY()-40, TODAY()), ""SELECT Col2 WHERE Col2 IS NOT NULL OR"&amp;"DER BY Col1 DESC LIMIT 20"", 0) - 1)))"),"#N/A")</f>
        <v>#N/A</v>
      </c>
      <c r="H372" s="35" t="str">
        <f t="shared" si="6"/>
        <v/>
      </c>
      <c r="I372" s="36" t="str">
        <f t="shared" si="7"/>
        <v/>
      </c>
      <c r="J372" s="37" t="str">
        <f>IFERROR(__xludf.DUMMYFUNCTION("IFERROR(
  IF(C372="""",, 
    IFERROR(
      GOOGLEFINANCE(C372, ""price"") * GOOGLEFINANCE(C372, ""volumeavg""), 
      GOOGLEFINANCE(C372, ""price"") * AVERAGE(QUERY(GOOGLEFINANCE(C372, ""volume"", TODAY()-40, TODAY()), ""SELECT Col2 WHERE Col2 IS NOT "&amp;"NULL ORDER BY Col1 DESC LIMIT 20"", 0))
    )
  ), 
"""")"),"")</f>
        <v/>
      </c>
      <c r="K372" s="21" t="str">
        <f>IFERROR(__xludf.DUMMYFUNCTION("IFERROR(GOOGLEFINANCE(C372, ""changepct"") / 100, """")"),"")</f>
        <v/>
      </c>
      <c r="L372" s="21" t="str">
        <f>IFERROR(__xludf.DUMMYFUNCTION("IFERROR((GOOGLEFINANCE(C372, ""price"") / INDEX(GOOGLEFINANCE(C372, ""price"", TODAY()-7, TODAY()), 2, 2)) - 1, """")"),"")</f>
        <v/>
      </c>
      <c r="M372" s="21" t="str">
        <f>IFERROR(__xludf.DUMMYFUNCTION("IFERROR((GOOGLEFINANCE(C372, ""price"") / INDEX(GOOGLEFINANCE(C372, ""price"", EDATE(TODAY(), -1), TODAY()), 2, 2)) - 1, """")"),"")</f>
        <v/>
      </c>
      <c r="N372" s="21" t="str">
        <f>IFERROR(__xludf.DUMMYFUNCTION("IFERROR((GOOGLEFINANCE(C372, ""price"") / INDEX(GOOGLEFINANCE(C372, ""price"", EDATE(TODAY(), -3), TODAY()), 2, 2)) - 1, """")"),"")</f>
        <v/>
      </c>
      <c r="O372" s="21" t="str">
        <f>IFERROR(__xludf.DUMMYFUNCTION("IFERROR((GOOGLEFINANCE(C372, ""price"") / INDEX(GOOGLEFINANCE(C372, ""price"", EDATE(TODAY(), -6), TODAY()), 2, 2)) - 1, """")"),"")</f>
        <v/>
      </c>
      <c r="P372" s="21" t="str">
        <f>IFERROR(__xludf.DUMMYFUNCTION("IFERROR((GOOGLEFINANCE(C372, ""price"") / INDEX(GOOGLEFINANCE(C372, ""price"", EDATE(TODAY(), -12), TODAY()), 2, 2)) - 1, """")"),"")</f>
        <v/>
      </c>
      <c r="Q372" s="6" t="str">
        <f>IFERROR(__xludf.DUMMYFUNCTION("AVERAGE(QUERY(GOOGLEFINANCE(C372, ""price"", TODAY()-80, TODAY()), ""SELECT Col2 WHERE Col2 IS NOT NULL ORDER BY Col1 DESC LIMIT 50"", 0))"),"#N/A")</f>
        <v>#N/A</v>
      </c>
      <c r="R372" s="24" t="str">
        <f>IFERROR(__xludf.DUMMYFUNCTION("IFERROR(
  LET(
    data, QUERY(GOOGLEFINANCE(C372,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GOOGLEFINANCE(C372, ""price"")) * 100,
    IF(calc=0, G372, calc)
  ), 
G372)"),"#N/A")</f>
        <v>#N/A</v>
      </c>
      <c r="S372" s="8" t="s">
        <v>15</v>
      </c>
      <c r="T372" s="26" t="str">
        <f>IFERROR(__xludf.DUMMYFUNCTION("IFERROR(TRANSPOSE(QUERY(IFERROR(SORT(GOOGLEFINANCE(C372, ""price"", WORKDAY(TODAY(), -40), TODAY()), 1, FALSE)), ""select Col2 where Col2 is not null limit 22 label Col2 ''"", 0)), """")"),"")</f>
        <v/>
      </c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8"/>
      <c r="AO372" s="28"/>
      <c r="AP372" s="29"/>
      <c r="AQ372" s="29" t="str">
        <f t="shared" ref="AQ372:BL372" si="375">T372/T$2</f>
        <v>#N/A</v>
      </c>
      <c r="AR372" s="29" t="str">
        <f t="shared" si="375"/>
        <v>#DIV/0!</v>
      </c>
      <c r="AS372" s="29" t="str">
        <f t="shared" si="375"/>
        <v>#DIV/0!</v>
      </c>
      <c r="AT372" s="29" t="str">
        <f t="shared" si="375"/>
        <v>#DIV/0!</v>
      </c>
      <c r="AU372" s="29" t="str">
        <f t="shared" si="375"/>
        <v>#DIV/0!</v>
      </c>
      <c r="AV372" s="29" t="str">
        <f t="shared" si="375"/>
        <v>#DIV/0!</v>
      </c>
      <c r="AW372" s="29" t="str">
        <f t="shared" si="375"/>
        <v>#DIV/0!</v>
      </c>
      <c r="AX372" s="29" t="str">
        <f t="shared" si="375"/>
        <v>#DIV/0!</v>
      </c>
      <c r="AY372" s="29" t="str">
        <f t="shared" si="375"/>
        <v>#DIV/0!</v>
      </c>
      <c r="AZ372" s="29" t="str">
        <f t="shared" si="375"/>
        <v>#DIV/0!</v>
      </c>
      <c r="BA372" s="29" t="str">
        <f t="shared" si="375"/>
        <v>#DIV/0!</v>
      </c>
      <c r="BB372" s="29" t="str">
        <f t="shared" si="375"/>
        <v>#DIV/0!</v>
      </c>
      <c r="BC372" s="29" t="str">
        <f t="shared" si="375"/>
        <v>#DIV/0!</v>
      </c>
      <c r="BD372" s="29" t="str">
        <f t="shared" si="375"/>
        <v>#DIV/0!</v>
      </c>
      <c r="BE372" s="29" t="str">
        <f t="shared" si="375"/>
        <v>#DIV/0!</v>
      </c>
      <c r="BF372" s="29" t="str">
        <f t="shared" si="375"/>
        <v>#DIV/0!</v>
      </c>
      <c r="BG372" s="29" t="str">
        <f t="shared" si="375"/>
        <v>#DIV/0!</v>
      </c>
      <c r="BH372" s="29" t="str">
        <f t="shared" si="375"/>
        <v>#DIV/0!</v>
      </c>
      <c r="BI372" s="29" t="str">
        <f t="shared" si="375"/>
        <v>#DIV/0!</v>
      </c>
      <c r="BJ372" s="29" t="str">
        <f t="shared" si="375"/>
        <v>#DIV/0!</v>
      </c>
      <c r="BK372" s="29" t="str">
        <f t="shared" si="375"/>
        <v>#DIV/0!</v>
      </c>
      <c r="BL372" s="29" t="str">
        <f t="shared" si="375"/>
        <v>#DIV/0!</v>
      </c>
      <c r="BM372" s="29" t="str">
        <f t="shared" si="3"/>
        <v>#DIV/0!</v>
      </c>
    </row>
    <row r="373">
      <c r="A373" s="16" t="str">
        <f>IFERROR(__xludf.DUMMYFUNCTION("IFERROR(SPARKLINE(SORT(MAP(TRANSPOSE(AQ373:BL373), LAMBDA(val, IF(ISNUMBER(val), PERCENTRANK(AQ373:BL373, val)+0.01, 0))), SEQUENCE(COLUMNS(AQ373:BL373)), FALSE), {""charttype"",""column""; ""color"",""chartreuse""; ""ymin"", 0; ""ymax"", 1.01; ""highcolo"&amp;"r"", ""darkgreen""; ""lowcolor"", ""red""}), """")"),"")</f>
        <v/>
      </c>
      <c r="B373" s="17" t="str">
        <f t="shared" si="4"/>
        <v/>
      </c>
      <c r="C373" s="1" t="s">
        <v>1735</v>
      </c>
      <c r="D373" s="34" t="str">
        <f>IFERROR(__xludf.DUMMYFUNCTION("IFERROR(GOOGLEFINANCE(C373, ""NAME""))"),"Bitcoin Infrastructure Acqstn Corp Ltd")</f>
        <v>Bitcoin Infrastructure Acqstn Corp Ltd</v>
      </c>
      <c r="E373" s="30" t="s">
        <v>161</v>
      </c>
      <c r="F373" s="33" t="str">
        <f>IFERROR(__xludf.DUMMYFUNCTION("( (GOOGLEFINANCE(C373, ""price"") - Q373) / Q373 ) / (R373 / 100)"),"Loading...")</f>
        <v>Loading...</v>
      </c>
      <c r="G373" s="20" t="str">
        <f>IFERROR(__xludf.DUMMYFUNCTION("AVERAGE(ARRAYFORMULA(100 * (QUERY(GOOGLEFINANCE(C373, ""high"", TODAY()-40, TODAY()), ""SELECT Col2 WHERE Col2 IS NOT NULL ORDER BY Col1 DESC LIMIT 20"", 0) / QUERY(GOOGLEFINANCE(C373, ""low"", TODAY()-40, TODAY()), ""SELECT Col2 WHERE Col2 IS NOT NULL OR"&amp;"DER BY Col1 DESC LIMIT 20"", 0) - 1)))"),"#N/A")</f>
        <v>#N/A</v>
      </c>
      <c r="H373" s="35" t="str">
        <f t="shared" si="6"/>
        <v/>
      </c>
      <c r="I373" s="36" t="str">
        <f t="shared" si="7"/>
        <v/>
      </c>
      <c r="J373" s="37" t="str">
        <f>IFERROR(__xludf.DUMMYFUNCTION("IFERROR(
  IF(C373="""",, 
    IFERROR(
      GOOGLEFINANCE(C373, ""price"") * GOOGLEFINANCE(C373, ""volumeavg""), 
      GOOGLEFINANCE(C373, ""price"") * AVERAGE(QUERY(GOOGLEFINANCE(C373, ""volume"", TODAY()-40, TODAY()), ""SELECT Col2 WHERE Col2 IS NOT "&amp;"NULL ORDER BY Col1 DESC LIMIT 20"", 0))
    )
  ), 
"""")"),"")</f>
        <v/>
      </c>
      <c r="K373" s="21" t="str">
        <f>IFERROR(__xludf.DUMMYFUNCTION("IFERROR(GOOGLEFINANCE(C373, ""changepct"") / 100, """")"),"")</f>
        <v/>
      </c>
      <c r="L373" s="21" t="str">
        <f>IFERROR(__xludf.DUMMYFUNCTION("IFERROR((GOOGLEFINANCE(C373, ""price"") / INDEX(GOOGLEFINANCE(C373, ""price"", TODAY()-7, TODAY()), 2, 2)) - 1, """")"),"")</f>
        <v/>
      </c>
      <c r="M373" s="21" t="str">
        <f>IFERROR(__xludf.DUMMYFUNCTION("IFERROR((GOOGLEFINANCE(C373, ""price"") / INDEX(GOOGLEFINANCE(C373, ""price"", EDATE(TODAY(), -1), TODAY()), 2, 2)) - 1, """")"),"")</f>
        <v/>
      </c>
      <c r="N373" s="21" t="str">
        <f>IFERROR(__xludf.DUMMYFUNCTION("IFERROR((GOOGLEFINANCE(C373, ""price"") / INDEX(GOOGLEFINANCE(C373, ""price"", EDATE(TODAY(), -3), TODAY()), 2, 2)) - 1, """")"),"")</f>
        <v/>
      </c>
      <c r="O373" s="21" t="str">
        <f>IFERROR(__xludf.DUMMYFUNCTION("IFERROR((GOOGLEFINANCE(C373, ""price"") / INDEX(GOOGLEFINANCE(C373, ""price"", EDATE(TODAY(), -6), TODAY()), 2, 2)) - 1, """")"),"")</f>
        <v/>
      </c>
      <c r="P373" s="21" t="str">
        <f>IFERROR(__xludf.DUMMYFUNCTION("IFERROR((GOOGLEFINANCE(C373, ""price"") / INDEX(GOOGLEFINANCE(C373, ""price"", EDATE(TODAY(), -12), TODAY()), 2, 2)) - 1, """")"),"")</f>
        <v/>
      </c>
      <c r="Q373" s="6" t="str">
        <f>IFERROR(__xludf.DUMMYFUNCTION("AVERAGE(QUERY(GOOGLEFINANCE(C373, ""price"", TODAY()-80, TODAY()), ""SELECT Col2 WHERE Col2 IS NOT NULL ORDER BY Col1 DESC LIMIT 50"", 0))"),"#N/A")</f>
        <v>#N/A</v>
      </c>
      <c r="R373" s="24" t="str">
        <f>IFERROR(__xludf.DUMMYFUNCTION("IFERROR(
  LET(
    data, QUERY(GOOGLEFINANCE(C373,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GOOGLEFINANCE(C373, ""price"")) * 100,
    IF(calc=0, G373, calc)
  ), 
G373)"),"#N/A")</f>
        <v>#N/A</v>
      </c>
      <c r="S373" s="8" t="s">
        <v>15</v>
      </c>
      <c r="T373" s="26" t="str">
        <f>IFERROR(__xludf.DUMMYFUNCTION("IFERROR(TRANSPOSE(QUERY(IFERROR(SORT(GOOGLEFINANCE(C373, ""price"", WORKDAY(TODAY(), -40), TODAY()), 1, FALSE)), ""select Col2 where Col2 is not null limit 22 label Col2 ''"", 0)), """")"),"")</f>
        <v/>
      </c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8"/>
      <c r="AO373" s="28"/>
      <c r="AP373" s="29"/>
      <c r="AQ373" s="29" t="str">
        <f t="shared" ref="AQ373:BL373" si="376">T373/T$2</f>
        <v>#N/A</v>
      </c>
      <c r="AR373" s="29" t="str">
        <f t="shared" si="376"/>
        <v>#DIV/0!</v>
      </c>
      <c r="AS373" s="29" t="str">
        <f t="shared" si="376"/>
        <v>#DIV/0!</v>
      </c>
      <c r="AT373" s="29" t="str">
        <f t="shared" si="376"/>
        <v>#DIV/0!</v>
      </c>
      <c r="AU373" s="29" t="str">
        <f t="shared" si="376"/>
        <v>#DIV/0!</v>
      </c>
      <c r="AV373" s="29" t="str">
        <f t="shared" si="376"/>
        <v>#DIV/0!</v>
      </c>
      <c r="AW373" s="29" t="str">
        <f t="shared" si="376"/>
        <v>#DIV/0!</v>
      </c>
      <c r="AX373" s="29" t="str">
        <f t="shared" si="376"/>
        <v>#DIV/0!</v>
      </c>
      <c r="AY373" s="29" t="str">
        <f t="shared" si="376"/>
        <v>#DIV/0!</v>
      </c>
      <c r="AZ373" s="29" t="str">
        <f t="shared" si="376"/>
        <v>#DIV/0!</v>
      </c>
      <c r="BA373" s="29" t="str">
        <f t="shared" si="376"/>
        <v>#DIV/0!</v>
      </c>
      <c r="BB373" s="29" t="str">
        <f t="shared" si="376"/>
        <v>#DIV/0!</v>
      </c>
      <c r="BC373" s="29" t="str">
        <f t="shared" si="376"/>
        <v>#DIV/0!</v>
      </c>
      <c r="BD373" s="29" t="str">
        <f t="shared" si="376"/>
        <v>#DIV/0!</v>
      </c>
      <c r="BE373" s="29" t="str">
        <f t="shared" si="376"/>
        <v>#DIV/0!</v>
      </c>
      <c r="BF373" s="29" t="str">
        <f t="shared" si="376"/>
        <v>#DIV/0!</v>
      </c>
      <c r="BG373" s="29" t="str">
        <f t="shared" si="376"/>
        <v>#DIV/0!</v>
      </c>
      <c r="BH373" s="29" t="str">
        <f t="shared" si="376"/>
        <v>#DIV/0!</v>
      </c>
      <c r="BI373" s="29" t="str">
        <f t="shared" si="376"/>
        <v>#DIV/0!</v>
      </c>
      <c r="BJ373" s="29" t="str">
        <f t="shared" si="376"/>
        <v>#DIV/0!</v>
      </c>
      <c r="BK373" s="29" t="str">
        <f t="shared" si="376"/>
        <v>#DIV/0!</v>
      </c>
      <c r="BL373" s="29" t="str">
        <f t="shared" si="376"/>
        <v>#DIV/0!</v>
      </c>
      <c r="BM373" s="29" t="str">
        <f t="shared" si="3"/>
        <v>#DIV/0!</v>
      </c>
    </row>
    <row r="374">
      <c r="A374" s="16" t="str">
        <f>IFERROR(__xludf.DUMMYFUNCTION("IFERROR(SPARKLINE(SORT(MAP(TRANSPOSE(AQ374:BL374), LAMBDA(val, IF(ISNUMBER(val), PERCENTRANK(AQ374:BL374, val)+0.01, 0))), SEQUENCE(COLUMNS(AQ374:BL374)), FALSE), {""charttype"",""column""; ""color"",""chartreuse""; ""ymin"", 0; ""ymax"", 1.01; ""highcolo"&amp;"r"", ""darkgreen""; ""lowcolor"", ""red""}), """")"),"")</f>
        <v/>
      </c>
      <c r="B374" s="17" t="str">
        <f t="shared" si="4"/>
        <v/>
      </c>
      <c r="C374" s="1" t="s">
        <v>1739</v>
      </c>
      <c r="D374" s="34" t="str">
        <f>IFERROR(__xludf.DUMMYFUNCTION("IFERROR(GOOGLEFINANCE(C374, ""NAME""))"),"Trailblazer Acquisition Corp")</f>
        <v>Trailblazer Acquisition Corp</v>
      </c>
      <c r="E374" s="30" t="s">
        <v>161</v>
      </c>
      <c r="F374" s="33" t="str">
        <f>IFERROR(__xludf.DUMMYFUNCTION("( (GOOGLEFINANCE(C374, ""price"") - Q374) / Q374 ) / (R374 / 100)"),"Loading...")</f>
        <v>Loading...</v>
      </c>
      <c r="G374" s="20" t="str">
        <f>IFERROR(__xludf.DUMMYFUNCTION("AVERAGE(ARRAYFORMULA(100 * (QUERY(GOOGLEFINANCE(C374, ""high"", TODAY()-40, TODAY()), ""SELECT Col2 WHERE Col2 IS NOT NULL ORDER BY Col1 DESC LIMIT 20"", 0) / QUERY(GOOGLEFINANCE(C374, ""low"", TODAY()-40, TODAY()), ""SELECT Col2 WHERE Col2 IS NOT NULL OR"&amp;"DER BY Col1 DESC LIMIT 20"", 0) - 1)))"),"#N/A")</f>
        <v>#N/A</v>
      </c>
      <c r="H374" s="35" t="str">
        <f t="shared" si="6"/>
        <v/>
      </c>
      <c r="I374" s="36" t="str">
        <f t="shared" si="7"/>
        <v/>
      </c>
      <c r="J374" s="37" t="str">
        <f>IFERROR(__xludf.DUMMYFUNCTION("IFERROR(
  IF(C374="""",, 
    IFERROR(
      GOOGLEFINANCE(C374, ""price"") * GOOGLEFINANCE(C374, ""volumeavg""), 
      GOOGLEFINANCE(C374, ""price"") * AVERAGE(QUERY(GOOGLEFINANCE(C374, ""volume"", TODAY()-40, TODAY()), ""SELECT Col2 WHERE Col2 IS NOT "&amp;"NULL ORDER BY Col1 DESC LIMIT 20"", 0))
    )
  ), 
"""")"),"")</f>
        <v/>
      </c>
      <c r="K374" s="21" t="str">
        <f>IFERROR(__xludf.DUMMYFUNCTION("IFERROR(GOOGLEFINANCE(C374, ""changepct"") / 100, """")"),"")</f>
        <v/>
      </c>
      <c r="L374" s="21" t="str">
        <f>IFERROR(__xludf.DUMMYFUNCTION("IFERROR((GOOGLEFINANCE(C374, ""price"") / INDEX(GOOGLEFINANCE(C374, ""price"", TODAY()-7, TODAY()), 2, 2)) - 1, """")"),"")</f>
        <v/>
      </c>
      <c r="M374" s="21" t="str">
        <f>IFERROR(__xludf.DUMMYFUNCTION("IFERROR((GOOGLEFINANCE(C374, ""price"") / INDEX(GOOGLEFINANCE(C374, ""price"", EDATE(TODAY(), -1), TODAY()), 2, 2)) - 1, """")"),"")</f>
        <v/>
      </c>
      <c r="N374" s="21" t="str">
        <f>IFERROR(__xludf.DUMMYFUNCTION("IFERROR((GOOGLEFINANCE(C374, ""price"") / INDEX(GOOGLEFINANCE(C374, ""price"", EDATE(TODAY(), -3), TODAY()), 2, 2)) - 1, """")"),"")</f>
        <v/>
      </c>
      <c r="O374" s="21" t="str">
        <f>IFERROR(__xludf.DUMMYFUNCTION("IFERROR((GOOGLEFINANCE(C374, ""price"") / INDEX(GOOGLEFINANCE(C374, ""price"", EDATE(TODAY(), -6), TODAY()), 2, 2)) - 1, """")"),"")</f>
        <v/>
      </c>
      <c r="P374" s="21" t="str">
        <f>IFERROR(__xludf.DUMMYFUNCTION("IFERROR((GOOGLEFINANCE(C374, ""price"") / INDEX(GOOGLEFINANCE(C374, ""price"", EDATE(TODAY(), -12), TODAY()), 2, 2)) - 1, """")"),"")</f>
        <v/>
      </c>
      <c r="Q374" s="6" t="str">
        <f>IFERROR(__xludf.DUMMYFUNCTION("AVERAGE(QUERY(GOOGLEFINANCE(C374, ""price"", TODAY()-80, TODAY()), ""SELECT Col2 WHERE Col2 IS NOT NULL ORDER BY Col1 DESC LIMIT 50"", 0))"),"#N/A")</f>
        <v>#N/A</v>
      </c>
      <c r="R374" s="24" t="str">
        <f>IFERROR(__xludf.DUMMYFUNCTION("IFERROR(
  LET(
    data, QUERY(GOOGLEFINANCE(C374,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GOOGLEFINANCE(C374, ""price"")) * 100,
    IF(calc=0, G374, calc)
  ), 
G374)"),"#N/A")</f>
        <v>#N/A</v>
      </c>
      <c r="S374" s="8" t="s">
        <v>15</v>
      </c>
      <c r="T374" s="26" t="str">
        <f>IFERROR(__xludf.DUMMYFUNCTION("IFERROR(TRANSPOSE(QUERY(IFERROR(SORT(GOOGLEFINANCE(C374, ""price"", WORKDAY(TODAY(), -40), TODAY()), 1, FALSE)), ""select Col2 where Col2 is not null limit 22 label Col2 ''"", 0)), """")"),"")</f>
        <v/>
      </c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8"/>
      <c r="AO374" s="28"/>
      <c r="AP374" s="29"/>
      <c r="AQ374" s="29" t="str">
        <f t="shared" ref="AQ374:BL374" si="377">T374/T$2</f>
        <v>#N/A</v>
      </c>
      <c r="AR374" s="29" t="str">
        <f t="shared" si="377"/>
        <v>#DIV/0!</v>
      </c>
      <c r="AS374" s="29" t="str">
        <f t="shared" si="377"/>
        <v>#DIV/0!</v>
      </c>
      <c r="AT374" s="29" t="str">
        <f t="shared" si="377"/>
        <v>#DIV/0!</v>
      </c>
      <c r="AU374" s="29" t="str">
        <f t="shared" si="377"/>
        <v>#DIV/0!</v>
      </c>
      <c r="AV374" s="29" t="str">
        <f t="shared" si="377"/>
        <v>#DIV/0!</v>
      </c>
      <c r="AW374" s="29" t="str">
        <f t="shared" si="377"/>
        <v>#DIV/0!</v>
      </c>
      <c r="AX374" s="29" t="str">
        <f t="shared" si="377"/>
        <v>#DIV/0!</v>
      </c>
      <c r="AY374" s="29" t="str">
        <f t="shared" si="377"/>
        <v>#DIV/0!</v>
      </c>
      <c r="AZ374" s="29" t="str">
        <f t="shared" si="377"/>
        <v>#DIV/0!</v>
      </c>
      <c r="BA374" s="29" t="str">
        <f t="shared" si="377"/>
        <v>#DIV/0!</v>
      </c>
      <c r="BB374" s="29" t="str">
        <f t="shared" si="377"/>
        <v>#DIV/0!</v>
      </c>
      <c r="BC374" s="29" t="str">
        <f t="shared" si="377"/>
        <v>#DIV/0!</v>
      </c>
      <c r="BD374" s="29" t="str">
        <f t="shared" si="377"/>
        <v>#DIV/0!</v>
      </c>
      <c r="BE374" s="29" t="str">
        <f t="shared" si="377"/>
        <v>#DIV/0!</v>
      </c>
      <c r="BF374" s="29" t="str">
        <f t="shared" si="377"/>
        <v>#DIV/0!</v>
      </c>
      <c r="BG374" s="29" t="str">
        <f t="shared" si="377"/>
        <v>#DIV/0!</v>
      </c>
      <c r="BH374" s="29" t="str">
        <f t="shared" si="377"/>
        <v>#DIV/0!</v>
      </c>
      <c r="BI374" s="29" t="str">
        <f t="shared" si="377"/>
        <v>#DIV/0!</v>
      </c>
      <c r="BJ374" s="29" t="str">
        <f t="shared" si="377"/>
        <v>#DIV/0!</v>
      </c>
      <c r="BK374" s="29" t="str">
        <f t="shared" si="377"/>
        <v>#DIV/0!</v>
      </c>
      <c r="BL374" s="29" t="str">
        <f t="shared" si="377"/>
        <v>#DIV/0!</v>
      </c>
      <c r="BM374" s="29" t="str">
        <f t="shared" si="3"/>
        <v>#DIV/0!</v>
      </c>
    </row>
    <row r="375">
      <c r="A375" s="16" t="str">
        <f>IFERROR(__xludf.DUMMYFUNCTION("IFERROR(SPARKLINE(SORT(MAP(TRANSPOSE(AQ375:BL375), LAMBDA(val, IF(ISNUMBER(val), PERCENTRANK(AQ375:BL375, val)+0.01, 0))), SEQUENCE(COLUMNS(AQ375:BL375)), FALSE), {""charttype"",""column""; ""color"",""chartreuse""; ""ymin"", 0; ""ymax"", 1.01; ""highcolo"&amp;"r"", ""darkgreen""; ""lowcolor"", ""red""}), """")"),"")</f>
        <v/>
      </c>
      <c r="B375" s="17" t="str">
        <f t="shared" si="4"/>
        <v/>
      </c>
      <c r="C375" s="1" t="s">
        <v>1744</v>
      </c>
      <c r="D375" s="34" t="str">
        <f>IFERROR(__xludf.DUMMYFUNCTION("IFERROR(GOOGLEFINANCE(C375, ""NAME""))"),"Cantor Equity Partners V Inc")</f>
        <v>Cantor Equity Partners V Inc</v>
      </c>
      <c r="E375" s="30" t="s">
        <v>161</v>
      </c>
      <c r="F375" s="33" t="str">
        <f>IFERROR(__xludf.DUMMYFUNCTION("( (GOOGLEFINANCE(C375, ""price"") - Q375) / Q375 ) / (R375 / 100)"),"Loading...")</f>
        <v>Loading...</v>
      </c>
      <c r="G375" s="20" t="str">
        <f>IFERROR(__xludf.DUMMYFUNCTION("AVERAGE(ARRAYFORMULA(100 * (QUERY(GOOGLEFINANCE(C375, ""high"", TODAY()-40, TODAY()), ""SELECT Col2 WHERE Col2 IS NOT NULL ORDER BY Col1 DESC LIMIT 20"", 0) / QUERY(GOOGLEFINANCE(C375, ""low"", TODAY()-40, TODAY()), ""SELECT Col2 WHERE Col2 IS NOT NULL OR"&amp;"DER BY Col1 DESC LIMIT 20"", 0) - 1)))"),"#N/A")</f>
        <v>#N/A</v>
      </c>
      <c r="H375" s="35" t="str">
        <f t="shared" si="6"/>
        <v/>
      </c>
      <c r="I375" s="36" t="str">
        <f t="shared" si="7"/>
        <v/>
      </c>
      <c r="J375" s="37" t="str">
        <f>IFERROR(__xludf.DUMMYFUNCTION("IFERROR(
  IF(C375="""",, 
    IFERROR(
      GOOGLEFINANCE(C375, ""price"") * GOOGLEFINANCE(C375, ""volumeavg""), 
      GOOGLEFINANCE(C375, ""price"") * AVERAGE(QUERY(GOOGLEFINANCE(C375, ""volume"", TODAY()-40, TODAY()), ""SELECT Col2 WHERE Col2 IS NOT "&amp;"NULL ORDER BY Col1 DESC LIMIT 20"", 0))
    )
  ), 
"""")"),"")</f>
        <v/>
      </c>
      <c r="K375" s="21" t="str">
        <f>IFERROR(__xludf.DUMMYFUNCTION("IFERROR(GOOGLEFINANCE(C375, ""changepct"") / 100, """")"),"")</f>
        <v/>
      </c>
      <c r="L375" s="21" t="str">
        <f>IFERROR(__xludf.DUMMYFUNCTION("IFERROR((GOOGLEFINANCE(C375, ""price"") / INDEX(GOOGLEFINANCE(C375, ""price"", TODAY()-7, TODAY()), 2, 2)) - 1, """")"),"")</f>
        <v/>
      </c>
      <c r="M375" s="21" t="str">
        <f>IFERROR(__xludf.DUMMYFUNCTION("IFERROR((GOOGLEFINANCE(C375, ""price"") / INDEX(GOOGLEFINANCE(C375, ""price"", EDATE(TODAY(), -1), TODAY()), 2, 2)) - 1, """")"),"")</f>
        <v/>
      </c>
      <c r="N375" s="21" t="str">
        <f>IFERROR(__xludf.DUMMYFUNCTION("IFERROR((GOOGLEFINANCE(C375, ""price"") / INDEX(GOOGLEFINANCE(C375, ""price"", EDATE(TODAY(), -3), TODAY()), 2, 2)) - 1, """")"),"")</f>
        <v/>
      </c>
      <c r="O375" s="21" t="str">
        <f>IFERROR(__xludf.DUMMYFUNCTION("IFERROR((GOOGLEFINANCE(C375, ""price"") / INDEX(GOOGLEFINANCE(C375, ""price"", EDATE(TODAY(), -6), TODAY()), 2, 2)) - 1, """")"),"")</f>
        <v/>
      </c>
      <c r="P375" s="21" t="str">
        <f>IFERROR(__xludf.DUMMYFUNCTION("IFERROR((GOOGLEFINANCE(C375, ""price"") / INDEX(GOOGLEFINANCE(C375, ""price"", EDATE(TODAY(), -12), TODAY()), 2, 2)) - 1, """")"),"")</f>
        <v/>
      </c>
      <c r="Q375" s="6" t="str">
        <f>IFERROR(__xludf.DUMMYFUNCTION("AVERAGE(QUERY(GOOGLEFINANCE(C375, ""price"", TODAY()-80, TODAY()), ""SELECT Col2 WHERE Col2 IS NOT NULL ORDER BY Col1 DESC LIMIT 50"", 0))"),"#N/A")</f>
        <v>#N/A</v>
      </c>
      <c r="R375" s="24" t="str">
        <f>IFERROR(__xludf.DUMMYFUNCTION("IFERROR(
  LET(
    data, QUERY(GOOGLEFINANCE(C375,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GOOGLEFINANCE(C375, ""price"")) * 100,
    IF(calc=0, G375, calc)
  ), 
G375)"),"#N/A")</f>
        <v>#N/A</v>
      </c>
      <c r="S375" s="8" t="s">
        <v>15</v>
      </c>
      <c r="T375" s="26" t="str">
        <f>IFERROR(__xludf.DUMMYFUNCTION("IFERROR(TRANSPOSE(QUERY(IFERROR(SORT(GOOGLEFINANCE(C375, ""price"", WORKDAY(TODAY(), -40), TODAY()), 1, FALSE)), ""select Col2 where Col2 is not null limit 22 label Col2 ''"", 0)), """")"),"")</f>
        <v/>
      </c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8"/>
      <c r="AO375" s="28"/>
      <c r="AP375" s="29"/>
      <c r="AQ375" s="29" t="str">
        <f t="shared" ref="AQ375:BL375" si="378">T375/T$2</f>
        <v>#N/A</v>
      </c>
      <c r="AR375" s="29" t="str">
        <f t="shared" si="378"/>
        <v>#DIV/0!</v>
      </c>
      <c r="AS375" s="29" t="str">
        <f t="shared" si="378"/>
        <v>#DIV/0!</v>
      </c>
      <c r="AT375" s="29" t="str">
        <f t="shared" si="378"/>
        <v>#DIV/0!</v>
      </c>
      <c r="AU375" s="29" t="str">
        <f t="shared" si="378"/>
        <v>#DIV/0!</v>
      </c>
      <c r="AV375" s="29" t="str">
        <f t="shared" si="378"/>
        <v>#DIV/0!</v>
      </c>
      <c r="AW375" s="29" t="str">
        <f t="shared" si="378"/>
        <v>#DIV/0!</v>
      </c>
      <c r="AX375" s="29" t="str">
        <f t="shared" si="378"/>
        <v>#DIV/0!</v>
      </c>
      <c r="AY375" s="29" t="str">
        <f t="shared" si="378"/>
        <v>#DIV/0!</v>
      </c>
      <c r="AZ375" s="29" t="str">
        <f t="shared" si="378"/>
        <v>#DIV/0!</v>
      </c>
      <c r="BA375" s="29" t="str">
        <f t="shared" si="378"/>
        <v>#DIV/0!</v>
      </c>
      <c r="BB375" s="29" t="str">
        <f t="shared" si="378"/>
        <v>#DIV/0!</v>
      </c>
      <c r="BC375" s="29" t="str">
        <f t="shared" si="378"/>
        <v>#DIV/0!</v>
      </c>
      <c r="BD375" s="29" t="str">
        <f t="shared" si="378"/>
        <v>#DIV/0!</v>
      </c>
      <c r="BE375" s="29" t="str">
        <f t="shared" si="378"/>
        <v>#DIV/0!</v>
      </c>
      <c r="BF375" s="29" t="str">
        <f t="shared" si="378"/>
        <v>#DIV/0!</v>
      </c>
      <c r="BG375" s="29" t="str">
        <f t="shared" si="378"/>
        <v>#DIV/0!</v>
      </c>
      <c r="BH375" s="29" t="str">
        <f t="shared" si="378"/>
        <v>#DIV/0!</v>
      </c>
      <c r="BI375" s="29" t="str">
        <f t="shared" si="378"/>
        <v>#DIV/0!</v>
      </c>
      <c r="BJ375" s="29" t="str">
        <f t="shared" si="378"/>
        <v>#DIV/0!</v>
      </c>
      <c r="BK375" s="29" t="str">
        <f t="shared" si="378"/>
        <v>#DIV/0!</v>
      </c>
      <c r="BL375" s="29" t="str">
        <f t="shared" si="378"/>
        <v>#DIV/0!</v>
      </c>
      <c r="BM375" s="29" t="str">
        <f t="shared" si="3"/>
        <v>#DIV/0!</v>
      </c>
    </row>
    <row r="376">
      <c r="A376" s="16" t="str">
        <f>IFERROR(__xludf.DUMMYFUNCTION("IFERROR(SPARKLINE(SORT(MAP(TRANSPOSE(AQ376:BL376), LAMBDA(val, IF(ISNUMBER(val), PERCENTRANK(AQ376:BL376, val)+0.01, 0))), SEQUENCE(COLUMNS(AQ376:BL376)), FALSE), {""charttype"",""column""; ""color"",""chartreuse""; ""ymin"", 0; ""ymax"", 1.01; ""highcolo"&amp;"r"", ""darkgreen""; ""lowcolor"", ""red""}), """")"),"")</f>
        <v/>
      </c>
      <c r="B376" s="17" t="str">
        <f t="shared" si="4"/>
        <v/>
      </c>
      <c r="C376" s="1" t="s">
        <v>1747</v>
      </c>
      <c r="D376" s="34" t="str">
        <f>IFERROR(__xludf.DUMMYFUNCTION("IFERROR(GOOGLEFINANCE(C376, ""NAME""))"),"Crane Harbor Acquisition Corp II")</f>
        <v>Crane Harbor Acquisition Corp II</v>
      </c>
      <c r="E376" s="30" t="s">
        <v>161</v>
      </c>
      <c r="F376" s="33" t="str">
        <f>IFERROR(__xludf.DUMMYFUNCTION("( (GOOGLEFINANCE(C376, ""price"") - Q376) / Q376 ) / (R376 / 100)"),"Loading...")</f>
        <v>Loading...</v>
      </c>
      <c r="G376" s="20" t="str">
        <f>IFERROR(__xludf.DUMMYFUNCTION("AVERAGE(ARRAYFORMULA(100 * (QUERY(GOOGLEFINANCE(C376, ""high"", TODAY()-40, TODAY()), ""SELECT Col2 WHERE Col2 IS NOT NULL ORDER BY Col1 DESC LIMIT 20"", 0) / QUERY(GOOGLEFINANCE(C376, ""low"", TODAY()-40, TODAY()), ""SELECT Col2 WHERE Col2 IS NOT NULL OR"&amp;"DER BY Col1 DESC LIMIT 20"", 0) - 1)))"),"#N/A")</f>
        <v>#N/A</v>
      </c>
      <c r="H376" s="35" t="str">
        <f t="shared" si="6"/>
        <v/>
      </c>
      <c r="I376" s="36" t="str">
        <f t="shared" si="7"/>
        <v/>
      </c>
      <c r="J376" s="37" t="str">
        <f>IFERROR(__xludf.DUMMYFUNCTION("IFERROR(
  IF(C376="""",, 
    IFERROR(
      GOOGLEFINANCE(C376, ""price"") * GOOGLEFINANCE(C376, ""volumeavg""), 
      GOOGLEFINANCE(C376, ""price"") * AVERAGE(QUERY(GOOGLEFINANCE(C376, ""volume"", TODAY()-40, TODAY()), ""SELECT Col2 WHERE Col2 IS NOT "&amp;"NULL ORDER BY Col1 DESC LIMIT 20"", 0))
    )
  ), 
"""")"),"")</f>
        <v/>
      </c>
      <c r="K376" s="21" t="str">
        <f>IFERROR(__xludf.DUMMYFUNCTION("IFERROR(GOOGLEFINANCE(C376, ""changepct"") / 100, """")"),"")</f>
        <v/>
      </c>
      <c r="L376" s="21" t="str">
        <f>IFERROR(__xludf.DUMMYFUNCTION("IFERROR((GOOGLEFINANCE(C376, ""price"") / INDEX(GOOGLEFINANCE(C376, ""price"", TODAY()-7, TODAY()), 2, 2)) - 1, """")"),"")</f>
        <v/>
      </c>
      <c r="M376" s="21" t="str">
        <f>IFERROR(__xludf.DUMMYFUNCTION("IFERROR((GOOGLEFINANCE(C376, ""price"") / INDEX(GOOGLEFINANCE(C376, ""price"", EDATE(TODAY(), -1), TODAY()), 2, 2)) - 1, """")"),"")</f>
        <v/>
      </c>
      <c r="N376" s="21" t="str">
        <f>IFERROR(__xludf.DUMMYFUNCTION("IFERROR((GOOGLEFINANCE(C376, ""price"") / INDEX(GOOGLEFINANCE(C376, ""price"", EDATE(TODAY(), -3), TODAY()), 2, 2)) - 1, """")"),"")</f>
        <v/>
      </c>
      <c r="O376" s="21" t="str">
        <f>IFERROR(__xludf.DUMMYFUNCTION("IFERROR((GOOGLEFINANCE(C376, ""price"") / INDEX(GOOGLEFINANCE(C376, ""price"", EDATE(TODAY(), -6), TODAY()), 2, 2)) - 1, """")"),"")</f>
        <v/>
      </c>
      <c r="P376" s="21" t="str">
        <f>IFERROR(__xludf.DUMMYFUNCTION("IFERROR((GOOGLEFINANCE(C376, ""price"") / INDEX(GOOGLEFINANCE(C376, ""price"", EDATE(TODAY(), -12), TODAY()), 2, 2)) - 1, """")"),"")</f>
        <v/>
      </c>
      <c r="Q376" s="6" t="str">
        <f>IFERROR(__xludf.DUMMYFUNCTION("AVERAGE(QUERY(GOOGLEFINANCE(C376, ""price"", TODAY()-80, TODAY()), ""SELECT Col2 WHERE Col2 IS NOT NULL ORDER BY Col1 DESC LIMIT 50"", 0))"),"#N/A")</f>
        <v>#N/A</v>
      </c>
      <c r="R376" s="24" t="str">
        <f>IFERROR(__xludf.DUMMYFUNCTION("IFERROR(
  LET(
    data, QUERY(GOOGLEFINANCE(C376,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GOOGLEFINANCE(C376, ""price"")) * 100,
    IF(calc=0, G376, calc)
  ), 
G376)"),"#N/A")</f>
        <v>#N/A</v>
      </c>
      <c r="S376" s="8" t="s">
        <v>15</v>
      </c>
      <c r="T376" s="26" t="str">
        <f>IFERROR(__xludf.DUMMYFUNCTION("IFERROR(TRANSPOSE(QUERY(IFERROR(SORT(GOOGLEFINANCE(C376, ""price"", WORKDAY(TODAY(), -40), TODAY()), 1, FALSE)), ""select Col2 where Col2 is not null limit 22 label Col2 ''"", 0)), """")"),"")</f>
        <v/>
      </c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8"/>
      <c r="AO376" s="28"/>
      <c r="AP376" s="29"/>
      <c r="AQ376" s="29" t="str">
        <f t="shared" ref="AQ376:BL376" si="379">T376/T$2</f>
        <v>#N/A</v>
      </c>
      <c r="AR376" s="29" t="str">
        <f t="shared" si="379"/>
        <v>#DIV/0!</v>
      </c>
      <c r="AS376" s="29" t="str">
        <f t="shared" si="379"/>
        <v>#DIV/0!</v>
      </c>
      <c r="AT376" s="29" t="str">
        <f t="shared" si="379"/>
        <v>#DIV/0!</v>
      </c>
      <c r="AU376" s="29" t="str">
        <f t="shared" si="379"/>
        <v>#DIV/0!</v>
      </c>
      <c r="AV376" s="29" t="str">
        <f t="shared" si="379"/>
        <v>#DIV/0!</v>
      </c>
      <c r="AW376" s="29" t="str">
        <f t="shared" si="379"/>
        <v>#DIV/0!</v>
      </c>
      <c r="AX376" s="29" t="str">
        <f t="shared" si="379"/>
        <v>#DIV/0!</v>
      </c>
      <c r="AY376" s="29" t="str">
        <f t="shared" si="379"/>
        <v>#DIV/0!</v>
      </c>
      <c r="AZ376" s="29" t="str">
        <f t="shared" si="379"/>
        <v>#DIV/0!</v>
      </c>
      <c r="BA376" s="29" t="str">
        <f t="shared" si="379"/>
        <v>#DIV/0!</v>
      </c>
      <c r="BB376" s="29" t="str">
        <f t="shared" si="379"/>
        <v>#DIV/0!</v>
      </c>
      <c r="BC376" s="29" t="str">
        <f t="shared" si="379"/>
        <v>#DIV/0!</v>
      </c>
      <c r="BD376" s="29" t="str">
        <f t="shared" si="379"/>
        <v>#DIV/0!</v>
      </c>
      <c r="BE376" s="29" t="str">
        <f t="shared" si="379"/>
        <v>#DIV/0!</v>
      </c>
      <c r="BF376" s="29" t="str">
        <f t="shared" si="379"/>
        <v>#DIV/0!</v>
      </c>
      <c r="BG376" s="29" t="str">
        <f t="shared" si="379"/>
        <v>#DIV/0!</v>
      </c>
      <c r="BH376" s="29" t="str">
        <f t="shared" si="379"/>
        <v>#DIV/0!</v>
      </c>
      <c r="BI376" s="29" t="str">
        <f t="shared" si="379"/>
        <v>#DIV/0!</v>
      </c>
      <c r="BJ376" s="29" t="str">
        <f t="shared" si="379"/>
        <v>#DIV/0!</v>
      </c>
      <c r="BK376" s="29" t="str">
        <f t="shared" si="379"/>
        <v>#DIV/0!</v>
      </c>
      <c r="BL376" s="29" t="str">
        <f t="shared" si="379"/>
        <v>#DIV/0!</v>
      </c>
      <c r="BM376" s="29" t="str">
        <f t="shared" si="3"/>
        <v>#DIV/0!</v>
      </c>
    </row>
    <row r="377">
      <c r="A377" s="16" t="str">
        <f>IFERROR(__xludf.DUMMYFUNCTION("IFERROR(SPARKLINE(SORT(MAP(TRANSPOSE(AQ377:BL377), LAMBDA(val, IF(ISNUMBER(val), PERCENTRANK(AQ377:BL377, val)+0.01, 0))), SEQUENCE(COLUMNS(AQ377:BL377)), FALSE), {""charttype"",""column""; ""color"",""chartreuse""; ""ymin"", 0; ""ymax"", 1.01; ""highcolo"&amp;"r"", ""darkgreen""; ""lowcolor"", ""red""}), """")"),"")</f>
        <v/>
      </c>
      <c r="B377" s="17" t="str">
        <f t="shared" si="4"/>
        <v/>
      </c>
      <c r="C377" s="1" t="s">
        <v>1752</v>
      </c>
      <c r="D377" s="34" t="str">
        <f>IFERROR(__xludf.DUMMYFUNCTION("IFERROR(GOOGLEFINANCE(C377, ""NAME""))"),"GigCapital8 Corp")</f>
        <v>GigCapital8 Corp</v>
      </c>
      <c r="E377" s="30" t="s">
        <v>161</v>
      </c>
      <c r="F377" s="33" t="str">
        <f>IFERROR(__xludf.DUMMYFUNCTION("( (GOOGLEFINANCE(C377, ""price"") - Q377) / Q377 ) / (R377 / 100)"),"Loading...")</f>
        <v>Loading...</v>
      </c>
      <c r="G377" s="20" t="str">
        <f>IFERROR(__xludf.DUMMYFUNCTION("AVERAGE(ARRAYFORMULA(100 * (QUERY(GOOGLEFINANCE(C377, ""high"", TODAY()-40, TODAY()), ""SELECT Col2 WHERE Col2 IS NOT NULL ORDER BY Col1 DESC LIMIT 20"", 0) / QUERY(GOOGLEFINANCE(C377, ""low"", TODAY()-40, TODAY()), ""SELECT Col2 WHERE Col2 IS NOT NULL OR"&amp;"DER BY Col1 DESC LIMIT 20"", 0) - 1)))"),"#N/A")</f>
        <v>#N/A</v>
      </c>
      <c r="H377" s="35" t="str">
        <f t="shared" si="6"/>
        <v/>
      </c>
      <c r="I377" s="36" t="str">
        <f t="shared" si="7"/>
        <v/>
      </c>
      <c r="J377" s="37" t="str">
        <f>IFERROR(__xludf.DUMMYFUNCTION("IFERROR(
  IF(C377="""",, 
    IFERROR(
      GOOGLEFINANCE(C377, ""price"") * GOOGLEFINANCE(C377, ""volumeavg""), 
      GOOGLEFINANCE(C377, ""price"") * AVERAGE(QUERY(GOOGLEFINANCE(C377, ""volume"", TODAY()-40, TODAY()), ""SELECT Col2 WHERE Col2 IS NOT "&amp;"NULL ORDER BY Col1 DESC LIMIT 20"", 0))
    )
  ), 
"""")"),"")</f>
        <v/>
      </c>
      <c r="K377" s="21" t="str">
        <f>IFERROR(__xludf.DUMMYFUNCTION("IFERROR(GOOGLEFINANCE(C377, ""changepct"") / 100, """")"),"")</f>
        <v/>
      </c>
      <c r="L377" s="21" t="str">
        <f>IFERROR(__xludf.DUMMYFUNCTION("IFERROR((GOOGLEFINANCE(C377, ""price"") / INDEX(GOOGLEFINANCE(C377, ""price"", TODAY()-7, TODAY()), 2, 2)) - 1, """")"),"")</f>
        <v/>
      </c>
      <c r="M377" s="21" t="str">
        <f>IFERROR(__xludf.DUMMYFUNCTION("IFERROR((GOOGLEFINANCE(C377, ""price"") / INDEX(GOOGLEFINANCE(C377, ""price"", EDATE(TODAY(), -1), TODAY()), 2, 2)) - 1, """")"),"")</f>
        <v/>
      </c>
      <c r="N377" s="21" t="str">
        <f>IFERROR(__xludf.DUMMYFUNCTION("IFERROR((GOOGLEFINANCE(C377, ""price"") / INDEX(GOOGLEFINANCE(C377, ""price"", EDATE(TODAY(), -3), TODAY()), 2, 2)) - 1, """")"),"")</f>
        <v/>
      </c>
      <c r="O377" s="21" t="str">
        <f>IFERROR(__xludf.DUMMYFUNCTION("IFERROR((GOOGLEFINANCE(C377, ""price"") / INDEX(GOOGLEFINANCE(C377, ""price"", EDATE(TODAY(), -6), TODAY()), 2, 2)) - 1, """")"),"")</f>
        <v/>
      </c>
      <c r="P377" s="21" t="str">
        <f>IFERROR(__xludf.DUMMYFUNCTION("IFERROR((GOOGLEFINANCE(C377, ""price"") / INDEX(GOOGLEFINANCE(C377, ""price"", EDATE(TODAY(), -12), TODAY()), 2, 2)) - 1, """")"),"")</f>
        <v/>
      </c>
      <c r="Q377" s="6" t="str">
        <f>IFERROR(__xludf.DUMMYFUNCTION("AVERAGE(QUERY(GOOGLEFINANCE(C377, ""price"", TODAY()-80, TODAY()), ""SELECT Col2 WHERE Col2 IS NOT NULL ORDER BY Col1 DESC LIMIT 50"", 0))"),"#N/A")</f>
        <v>#N/A</v>
      </c>
      <c r="R377" s="24" t="str">
        <f>IFERROR(__xludf.DUMMYFUNCTION("IFERROR(
  LET(
    data, QUERY(GOOGLEFINANCE(C377,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GOOGLEFINANCE(C377, ""price"")) * 100,
    IF(calc=0, G377, calc)
  ), 
G377)"),"#N/A")</f>
        <v>#N/A</v>
      </c>
      <c r="S377" s="8" t="s">
        <v>15</v>
      </c>
      <c r="T377" s="26" t="str">
        <f>IFERROR(__xludf.DUMMYFUNCTION("IFERROR(TRANSPOSE(QUERY(IFERROR(SORT(GOOGLEFINANCE(C377, ""price"", WORKDAY(TODAY(), -40), TODAY()), 1, FALSE)), ""select Col2 where Col2 is not null limit 22 label Col2 ''"", 0)), """")"),"")</f>
        <v/>
      </c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8"/>
      <c r="AO377" s="28"/>
      <c r="AP377" s="29"/>
      <c r="AQ377" s="29" t="str">
        <f t="shared" ref="AQ377:BL377" si="380">T377/T$2</f>
        <v>#N/A</v>
      </c>
      <c r="AR377" s="29" t="str">
        <f t="shared" si="380"/>
        <v>#DIV/0!</v>
      </c>
      <c r="AS377" s="29" t="str">
        <f t="shared" si="380"/>
        <v>#DIV/0!</v>
      </c>
      <c r="AT377" s="29" t="str">
        <f t="shared" si="380"/>
        <v>#DIV/0!</v>
      </c>
      <c r="AU377" s="29" t="str">
        <f t="shared" si="380"/>
        <v>#DIV/0!</v>
      </c>
      <c r="AV377" s="29" t="str">
        <f t="shared" si="380"/>
        <v>#DIV/0!</v>
      </c>
      <c r="AW377" s="29" t="str">
        <f t="shared" si="380"/>
        <v>#DIV/0!</v>
      </c>
      <c r="AX377" s="29" t="str">
        <f t="shared" si="380"/>
        <v>#DIV/0!</v>
      </c>
      <c r="AY377" s="29" t="str">
        <f t="shared" si="380"/>
        <v>#DIV/0!</v>
      </c>
      <c r="AZ377" s="29" t="str">
        <f t="shared" si="380"/>
        <v>#DIV/0!</v>
      </c>
      <c r="BA377" s="29" t="str">
        <f t="shared" si="380"/>
        <v>#DIV/0!</v>
      </c>
      <c r="BB377" s="29" t="str">
        <f t="shared" si="380"/>
        <v>#DIV/0!</v>
      </c>
      <c r="BC377" s="29" t="str">
        <f t="shared" si="380"/>
        <v>#DIV/0!</v>
      </c>
      <c r="BD377" s="29" t="str">
        <f t="shared" si="380"/>
        <v>#DIV/0!</v>
      </c>
      <c r="BE377" s="29" t="str">
        <f t="shared" si="380"/>
        <v>#DIV/0!</v>
      </c>
      <c r="BF377" s="29" t="str">
        <f t="shared" si="380"/>
        <v>#DIV/0!</v>
      </c>
      <c r="BG377" s="29" t="str">
        <f t="shared" si="380"/>
        <v>#DIV/0!</v>
      </c>
      <c r="BH377" s="29" t="str">
        <f t="shared" si="380"/>
        <v>#DIV/0!</v>
      </c>
      <c r="BI377" s="29" t="str">
        <f t="shared" si="380"/>
        <v>#DIV/0!</v>
      </c>
      <c r="BJ377" s="29" t="str">
        <f t="shared" si="380"/>
        <v>#DIV/0!</v>
      </c>
      <c r="BK377" s="29" t="str">
        <f t="shared" si="380"/>
        <v>#DIV/0!</v>
      </c>
      <c r="BL377" s="29" t="str">
        <f t="shared" si="380"/>
        <v>#DIV/0!</v>
      </c>
      <c r="BM377" s="29" t="str">
        <f t="shared" si="3"/>
        <v>#DIV/0!</v>
      </c>
    </row>
    <row r="378">
      <c r="A378" s="16" t="str">
        <f>IFERROR(__xludf.DUMMYFUNCTION("IFERROR(SPARKLINE(SORT(MAP(TRANSPOSE(AQ378:BL378), LAMBDA(val, IF(ISNUMBER(val), PERCENTRANK(AQ378:BL378, val)+0.01, 0))), SEQUENCE(COLUMNS(AQ378:BL378)), FALSE), {""charttype"",""column""; ""color"",""chartreuse""; ""ymin"", 0; ""ymax"", 1.01; ""highcolo"&amp;"r"", ""darkgreen""; ""lowcolor"", ""red""}), """")"),"")</f>
        <v/>
      </c>
      <c r="B378" s="17" t="str">
        <f t="shared" si="4"/>
        <v/>
      </c>
      <c r="C378" s="1" t="s">
        <v>1754</v>
      </c>
      <c r="D378" s="34" t="str">
        <f>IFERROR(__xludf.DUMMYFUNCTION("IFERROR(GOOGLEFINANCE(C378, ""NAME""))"),"")</f>
        <v/>
      </c>
      <c r="E378" s="30" t="s">
        <v>161</v>
      </c>
      <c r="F378" s="33" t="str">
        <f>IFERROR(__xludf.DUMMYFUNCTION("( (GOOGLEFINANCE(C378, ""price"") - Q378) / Q378 ) / (R378 / 100)"),"Loading...")</f>
        <v>Loading...</v>
      </c>
      <c r="G378" s="20" t="str">
        <f>IFERROR(__xludf.DUMMYFUNCTION("AVERAGE(ARRAYFORMULA(100 * (QUERY(GOOGLEFINANCE(C378, ""high"", TODAY()-40, TODAY()), ""SELECT Col2 WHERE Col2 IS NOT NULL ORDER BY Col1 DESC LIMIT 20"", 0) / QUERY(GOOGLEFINANCE(C378, ""low"", TODAY()-40, TODAY()), ""SELECT Col2 WHERE Col2 IS NOT NULL OR"&amp;"DER BY Col1 DESC LIMIT 20"", 0) - 1)))"),"#N/A")</f>
        <v>#N/A</v>
      </c>
      <c r="H378" s="35" t="str">
        <f t="shared" si="6"/>
        <v/>
      </c>
      <c r="I378" s="36" t="str">
        <f t="shared" si="7"/>
        <v/>
      </c>
      <c r="J378" s="37" t="str">
        <f>IFERROR(__xludf.DUMMYFUNCTION("IFERROR(
  IF(C378="""",, 
    IFERROR(
      GOOGLEFINANCE(C378, ""price"") * GOOGLEFINANCE(C378, ""volumeavg""), 
      GOOGLEFINANCE(C378, ""price"") * AVERAGE(QUERY(GOOGLEFINANCE(C378, ""volume"", TODAY()-40, TODAY()), ""SELECT Col2 WHERE Col2 IS NOT "&amp;"NULL ORDER BY Col1 DESC LIMIT 20"", 0))
    )
  ), 
"""")"),"")</f>
        <v/>
      </c>
      <c r="K378" s="21" t="str">
        <f>IFERROR(__xludf.DUMMYFUNCTION("IFERROR(GOOGLEFINANCE(C378, ""changepct"") / 100, """")"),"")</f>
        <v/>
      </c>
      <c r="L378" s="21" t="str">
        <f>IFERROR(__xludf.DUMMYFUNCTION("IFERROR((GOOGLEFINANCE(C378, ""price"") / INDEX(GOOGLEFINANCE(C378, ""price"", TODAY()-7, TODAY()), 2, 2)) - 1, """")"),"")</f>
        <v/>
      </c>
      <c r="M378" s="21" t="str">
        <f>IFERROR(__xludf.DUMMYFUNCTION("IFERROR((GOOGLEFINANCE(C378, ""price"") / INDEX(GOOGLEFINANCE(C378, ""price"", EDATE(TODAY(), -1), TODAY()), 2, 2)) - 1, """")"),"")</f>
        <v/>
      </c>
      <c r="N378" s="21" t="str">
        <f>IFERROR(__xludf.DUMMYFUNCTION("IFERROR((GOOGLEFINANCE(C378, ""price"") / INDEX(GOOGLEFINANCE(C378, ""price"", EDATE(TODAY(), -3), TODAY()), 2, 2)) - 1, """")"),"")</f>
        <v/>
      </c>
      <c r="O378" s="21" t="str">
        <f>IFERROR(__xludf.DUMMYFUNCTION("IFERROR((GOOGLEFINANCE(C378, ""price"") / INDEX(GOOGLEFINANCE(C378, ""price"", EDATE(TODAY(), -6), TODAY()), 2, 2)) - 1, """")"),"")</f>
        <v/>
      </c>
      <c r="P378" s="21" t="str">
        <f>IFERROR(__xludf.DUMMYFUNCTION("IFERROR((GOOGLEFINANCE(C378, ""price"") / INDEX(GOOGLEFINANCE(C378, ""price"", EDATE(TODAY(), -12), TODAY()), 2, 2)) - 1, """")"),"")</f>
        <v/>
      </c>
      <c r="Q378" s="6" t="str">
        <f>IFERROR(__xludf.DUMMYFUNCTION("AVERAGE(QUERY(GOOGLEFINANCE(C378, ""price"", TODAY()-80, TODAY()), ""SELECT Col2 WHERE Col2 IS NOT NULL ORDER BY Col1 DESC LIMIT 50"", 0))"),"#N/A")</f>
        <v>#N/A</v>
      </c>
      <c r="R378" s="24" t="str">
        <f>IFERROR(__xludf.DUMMYFUNCTION("IFERROR(
  LET(
    data, QUERY(GOOGLEFINANCE(C378,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GOOGLEFINANCE(C378, ""price"")) * 100,
    IF(calc=0, G378, calc)
  ), 
G378)"),"#N/A")</f>
        <v>#N/A</v>
      </c>
      <c r="S378" s="8" t="s">
        <v>15</v>
      </c>
      <c r="T378" s="26" t="str">
        <f>IFERROR(__xludf.DUMMYFUNCTION("IFERROR(TRANSPOSE(QUERY(IFERROR(SORT(GOOGLEFINANCE(C378, ""price"", WORKDAY(TODAY(), -40), TODAY()), 1, FALSE)), ""select Col2 where Col2 is not null limit 22 label Col2 ''"", 0)), """")"),"")</f>
        <v/>
      </c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8"/>
      <c r="AO378" s="28"/>
      <c r="AP378" s="29"/>
      <c r="AQ378" s="29" t="str">
        <f t="shared" ref="AQ378:BL378" si="381">T378/T$2</f>
        <v>#N/A</v>
      </c>
      <c r="AR378" s="29" t="str">
        <f t="shared" si="381"/>
        <v>#DIV/0!</v>
      </c>
      <c r="AS378" s="29" t="str">
        <f t="shared" si="381"/>
        <v>#DIV/0!</v>
      </c>
      <c r="AT378" s="29" t="str">
        <f t="shared" si="381"/>
        <v>#DIV/0!</v>
      </c>
      <c r="AU378" s="29" t="str">
        <f t="shared" si="381"/>
        <v>#DIV/0!</v>
      </c>
      <c r="AV378" s="29" t="str">
        <f t="shared" si="381"/>
        <v>#DIV/0!</v>
      </c>
      <c r="AW378" s="29" t="str">
        <f t="shared" si="381"/>
        <v>#DIV/0!</v>
      </c>
      <c r="AX378" s="29" t="str">
        <f t="shared" si="381"/>
        <v>#DIV/0!</v>
      </c>
      <c r="AY378" s="29" t="str">
        <f t="shared" si="381"/>
        <v>#DIV/0!</v>
      </c>
      <c r="AZ378" s="29" t="str">
        <f t="shared" si="381"/>
        <v>#DIV/0!</v>
      </c>
      <c r="BA378" s="29" t="str">
        <f t="shared" si="381"/>
        <v>#DIV/0!</v>
      </c>
      <c r="BB378" s="29" t="str">
        <f t="shared" si="381"/>
        <v>#DIV/0!</v>
      </c>
      <c r="BC378" s="29" t="str">
        <f t="shared" si="381"/>
        <v>#DIV/0!</v>
      </c>
      <c r="BD378" s="29" t="str">
        <f t="shared" si="381"/>
        <v>#DIV/0!</v>
      </c>
      <c r="BE378" s="29" t="str">
        <f t="shared" si="381"/>
        <v>#DIV/0!</v>
      </c>
      <c r="BF378" s="29" t="str">
        <f t="shared" si="381"/>
        <v>#DIV/0!</v>
      </c>
      <c r="BG378" s="29" t="str">
        <f t="shared" si="381"/>
        <v>#DIV/0!</v>
      </c>
      <c r="BH378" s="29" t="str">
        <f t="shared" si="381"/>
        <v>#DIV/0!</v>
      </c>
      <c r="BI378" s="29" t="str">
        <f t="shared" si="381"/>
        <v>#DIV/0!</v>
      </c>
      <c r="BJ378" s="29" t="str">
        <f t="shared" si="381"/>
        <v>#DIV/0!</v>
      </c>
      <c r="BK378" s="29" t="str">
        <f t="shared" si="381"/>
        <v>#DIV/0!</v>
      </c>
      <c r="BL378" s="29" t="str">
        <f t="shared" si="381"/>
        <v>#DIV/0!</v>
      </c>
      <c r="BM378" s="29" t="str">
        <f t="shared" si="3"/>
        <v>#DIV/0!</v>
      </c>
    </row>
    <row r="379">
      <c r="A379" s="16" t="str">
        <f>IFERROR(__xludf.DUMMYFUNCTION("IFERROR(SPARKLINE(SORT(MAP(TRANSPOSE(AQ379:BL379), LAMBDA(val, IF(ISNUMBER(val), PERCENTRANK(AQ379:BL379, val)+0.01, 0))), SEQUENCE(COLUMNS(AQ379:BL379)), FALSE), {""charttype"",""column""; ""color"",""chartreuse""; ""ymin"", 0; ""ymax"", 1.01; ""highcolo"&amp;"r"", ""darkgreen""; ""lowcolor"", ""red""}), """")"),"")</f>
        <v/>
      </c>
      <c r="B379" s="17" t="str">
        <f t="shared" si="4"/>
        <v/>
      </c>
      <c r="C379" s="1" t="s">
        <v>1758</v>
      </c>
      <c r="D379" s="34" t="str">
        <f>IFERROR(__xludf.DUMMYFUNCTION("IFERROR(GOOGLEFINANCE(C379, ""NAME""))"),"Gores Holdings X Inc")</f>
        <v>Gores Holdings X Inc</v>
      </c>
      <c r="E379" s="30" t="s">
        <v>161</v>
      </c>
      <c r="F379" s="33" t="str">
        <f>IFERROR(__xludf.DUMMYFUNCTION("( (GOOGLEFINANCE(C379, ""price"") - Q379) / Q379 ) / (R379 / 100)"),"Loading...")</f>
        <v>Loading...</v>
      </c>
      <c r="G379" s="20" t="str">
        <f>IFERROR(__xludf.DUMMYFUNCTION("AVERAGE(ARRAYFORMULA(100 * (QUERY(GOOGLEFINANCE(C379, ""high"", TODAY()-40, TODAY()), ""SELECT Col2 WHERE Col2 IS NOT NULL ORDER BY Col1 DESC LIMIT 20"", 0) / QUERY(GOOGLEFINANCE(C379, ""low"", TODAY()-40, TODAY()), ""SELECT Col2 WHERE Col2 IS NOT NULL OR"&amp;"DER BY Col1 DESC LIMIT 20"", 0) - 1)))"),"#N/A")</f>
        <v>#N/A</v>
      </c>
      <c r="H379" s="35" t="str">
        <f t="shared" si="6"/>
        <v/>
      </c>
      <c r="I379" s="36" t="str">
        <f t="shared" si="7"/>
        <v/>
      </c>
      <c r="J379" s="37" t="str">
        <f>IFERROR(__xludf.DUMMYFUNCTION("IFERROR(
  IF(C379="""",, 
    IFERROR(
      GOOGLEFINANCE(C379, ""price"") * GOOGLEFINANCE(C379, ""volumeavg""), 
      GOOGLEFINANCE(C379, ""price"") * AVERAGE(QUERY(GOOGLEFINANCE(C379, ""volume"", TODAY()-40, TODAY()), ""SELECT Col2 WHERE Col2 IS NOT "&amp;"NULL ORDER BY Col1 DESC LIMIT 20"", 0))
    )
  ), 
"""")"),"")</f>
        <v/>
      </c>
      <c r="K379" s="21" t="str">
        <f>IFERROR(__xludf.DUMMYFUNCTION("IFERROR(GOOGLEFINANCE(C379, ""changepct"") / 100, """")"),"")</f>
        <v/>
      </c>
      <c r="L379" s="21" t="str">
        <f>IFERROR(__xludf.DUMMYFUNCTION("IFERROR((GOOGLEFINANCE(C379, ""price"") / INDEX(GOOGLEFINANCE(C379, ""price"", TODAY()-7, TODAY()), 2, 2)) - 1, """")"),"")</f>
        <v/>
      </c>
      <c r="M379" s="21" t="str">
        <f>IFERROR(__xludf.DUMMYFUNCTION("IFERROR((GOOGLEFINANCE(C379, ""price"") / INDEX(GOOGLEFINANCE(C379, ""price"", EDATE(TODAY(), -1), TODAY()), 2, 2)) - 1, """")"),"")</f>
        <v/>
      </c>
      <c r="N379" s="21" t="str">
        <f>IFERROR(__xludf.DUMMYFUNCTION("IFERROR((GOOGLEFINANCE(C379, ""price"") / INDEX(GOOGLEFINANCE(C379, ""price"", EDATE(TODAY(), -3), TODAY()), 2, 2)) - 1, """")"),"")</f>
        <v/>
      </c>
      <c r="O379" s="21" t="str">
        <f>IFERROR(__xludf.DUMMYFUNCTION("IFERROR((GOOGLEFINANCE(C379, ""price"") / INDEX(GOOGLEFINANCE(C379, ""price"", EDATE(TODAY(), -6), TODAY()), 2, 2)) - 1, """")"),"")</f>
        <v/>
      </c>
      <c r="P379" s="21" t="str">
        <f>IFERROR(__xludf.DUMMYFUNCTION("IFERROR((GOOGLEFINANCE(C379, ""price"") / INDEX(GOOGLEFINANCE(C379, ""price"", EDATE(TODAY(), -12), TODAY()), 2, 2)) - 1, """")"),"")</f>
        <v/>
      </c>
      <c r="Q379" s="6" t="str">
        <f>IFERROR(__xludf.DUMMYFUNCTION("AVERAGE(QUERY(GOOGLEFINANCE(C379, ""price"", TODAY()-80, TODAY()), ""SELECT Col2 WHERE Col2 IS NOT NULL ORDER BY Col1 DESC LIMIT 50"", 0))"),"#N/A")</f>
        <v>#N/A</v>
      </c>
      <c r="R379" s="24" t="str">
        <f>IFERROR(__xludf.DUMMYFUNCTION("IFERROR(
  LET(
    data, QUERY(GOOGLEFINANCE(C379,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GOOGLEFINANCE(C379, ""price"")) * 100,
    IF(calc=0, G379, calc)
  ), 
G379)"),"#N/A")</f>
        <v>#N/A</v>
      </c>
      <c r="S379" s="8" t="s">
        <v>15</v>
      </c>
      <c r="T379" s="26" t="str">
        <f>IFERROR(__xludf.DUMMYFUNCTION("IFERROR(TRANSPOSE(QUERY(IFERROR(SORT(GOOGLEFINANCE(C379, ""price"", WORKDAY(TODAY(), -40), TODAY()), 1, FALSE)), ""select Col2 where Col2 is not null limit 22 label Col2 ''"", 0)), """")"),"")</f>
        <v/>
      </c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8"/>
      <c r="AO379" s="28"/>
      <c r="AP379" s="29"/>
      <c r="AQ379" s="29" t="str">
        <f t="shared" ref="AQ379:BL379" si="382">T379/T$2</f>
        <v>#N/A</v>
      </c>
      <c r="AR379" s="29" t="str">
        <f t="shared" si="382"/>
        <v>#DIV/0!</v>
      </c>
      <c r="AS379" s="29" t="str">
        <f t="shared" si="382"/>
        <v>#DIV/0!</v>
      </c>
      <c r="AT379" s="29" t="str">
        <f t="shared" si="382"/>
        <v>#DIV/0!</v>
      </c>
      <c r="AU379" s="29" t="str">
        <f t="shared" si="382"/>
        <v>#DIV/0!</v>
      </c>
      <c r="AV379" s="29" t="str">
        <f t="shared" si="382"/>
        <v>#DIV/0!</v>
      </c>
      <c r="AW379" s="29" t="str">
        <f t="shared" si="382"/>
        <v>#DIV/0!</v>
      </c>
      <c r="AX379" s="29" t="str">
        <f t="shared" si="382"/>
        <v>#DIV/0!</v>
      </c>
      <c r="AY379" s="29" t="str">
        <f t="shared" si="382"/>
        <v>#DIV/0!</v>
      </c>
      <c r="AZ379" s="29" t="str">
        <f t="shared" si="382"/>
        <v>#DIV/0!</v>
      </c>
      <c r="BA379" s="29" t="str">
        <f t="shared" si="382"/>
        <v>#DIV/0!</v>
      </c>
      <c r="BB379" s="29" t="str">
        <f t="shared" si="382"/>
        <v>#DIV/0!</v>
      </c>
      <c r="BC379" s="29" t="str">
        <f t="shared" si="382"/>
        <v>#DIV/0!</v>
      </c>
      <c r="BD379" s="29" t="str">
        <f t="shared" si="382"/>
        <v>#DIV/0!</v>
      </c>
      <c r="BE379" s="29" t="str">
        <f t="shared" si="382"/>
        <v>#DIV/0!</v>
      </c>
      <c r="BF379" s="29" t="str">
        <f t="shared" si="382"/>
        <v>#DIV/0!</v>
      </c>
      <c r="BG379" s="29" t="str">
        <f t="shared" si="382"/>
        <v>#DIV/0!</v>
      </c>
      <c r="BH379" s="29" t="str">
        <f t="shared" si="382"/>
        <v>#DIV/0!</v>
      </c>
      <c r="BI379" s="29" t="str">
        <f t="shared" si="382"/>
        <v>#DIV/0!</v>
      </c>
      <c r="BJ379" s="29" t="str">
        <f t="shared" si="382"/>
        <v>#DIV/0!</v>
      </c>
      <c r="BK379" s="29" t="str">
        <f t="shared" si="382"/>
        <v>#DIV/0!</v>
      </c>
      <c r="BL379" s="29" t="str">
        <f t="shared" si="382"/>
        <v>#DIV/0!</v>
      </c>
      <c r="BM379" s="29" t="str">
        <f t="shared" si="3"/>
        <v>#DIV/0!</v>
      </c>
    </row>
    <row r="380">
      <c r="A380" s="16" t="str">
        <f>IFERROR(__xludf.DUMMYFUNCTION("IFERROR(SPARKLINE(SORT(MAP(TRANSPOSE(AQ380:BL380), LAMBDA(val, IF(ISNUMBER(val), PERCENTRANK(AQ380:BL380, val)+0.01, 0))), SEQUENCE(COLUMNS(AQ380:BL380)), FALSE), {""charttype"",""column""; ""color"",""chartreuse""; ""ymin"", 0; ""ymax"", 1.01; ""highcolo"&amp;"r"", ""darkgreen""; ""lowcolor"", ""red""}), """")"),"")</f>
        <v/>
      </c>
      <c r="B380" s="17" t="str">
        <f t="shared" si="4"/>
        <v/>
      </c>
      <c r="C380" s="1" t="s">
        <v>1762</v>
      </c>
      <c r="D380" s="34" t="str">
        <f>IFERROR(__xludf.DUMMYFUNCTION("IFERROR(GOOGLEFINANCE(C380, ""NAME""))"),"HCM III Acquisition Corp")</f>
        <v>HCM III Acquisition Corp</v>
      </c>
      <c r="E380" s="30" t="s">
        <v>161</v>
      </c>
      <c r="F380" s="33" t="str">
        <f>IFERROR(__xludf.DUMMYFUNCTION("( (GOOGLEFINANCE(C380, ""price"") - Q380) / Q380 ) / (R380 / 100)"),"Loading...")</f>
        <v>Loading...</v>
      </c>
      <c r="G380" s="20" t="str">
        <f>IFERROR(__xludf.DUMMYFUNCTION("AVERAGE(ARRAYFORMULA(100 * (QUERY(GOOGLEFINANCE(C380, ""high"", TODAY()-40, TODAY()), ""SELECT Col2 WHERE Col2 IS NOT NULL ORDER BY Col1 DESC LIMIT 20"", 0) / QUERY(GOOGLEFINANCE(C380, ""low"", TODAY()-40, TODAY()), ""SELECT Col2 WHERE Col2 IS NOT NULL OR"&amp;"DER BY Col1 DESC LIMIT 20"", 0) - 1)))"),"#N/A")</f>
        <v>#N/A</v>
      </c>
      <c r="H380" s="35" t="str">
        <f t="shared" si="6"/>
        <v/>
      </c>
      <c r="I380" s="36" t="str">
        <f t="shared" si="7"/>
        <v/>
      </c>
      <c r="J380" s="37" t="str">
        <f>IFERROR(__xludf.DUMMYFUNCTION("IFERROR(
  IF(C380="""",, 
    IFERROR(
      GOOGLEFINANCE(C380, ""price"") * GOOGLEFINANCE(C380, ""volumeavg""), 
      GOOGLEFINANCE(C380, ""price"") * AVERAGE(QUERY(GOOGLEFINANCE(C380, ""volume"", TODAY()-40, TODAY()), ""SELECT Col2 WHERE Col2 IS NOT "&amp;"NULL ORDER BY Col1 DESC LIMIT 20"", 0))
    )
  ), 
"""")"),"")</f>
        <v/>
      </c>
      <c r="K380" s="21" t="str">
        <f>IFERROR(__xludf.DUMMYFUNCTION("IFERROR(GOOGLEFINANCE(C380, ""changepct"") / 100, """")"),"")</f>
        <v/>
      </c>
      <c r="L380" s="21" t="str">
        <f>IFERROR(__xludf.DUMMYFUNCTION("IFERROR((GOOGLEFINANCE(C380, ""price"") / INDEX(GOOGLEFINANCE(C380, ""price"", TODAY()-7, TODAY()), 2, 2)) - 1, """")"),"")</f>
        <v/>
      </c>
      <c r="M380" s="21" t="str">
        <f>IFERROR(__xludf.DUMMYFUNCTION("IFERROR((GOOGLEFINANCE(C380, ""price"") / INDEX(GOOGLEFINANCE(C380, ""price"", EDATE(TODAY(), -1), TODAY()), 2, 2)) - 1, """")"),"")</f>
        <v/>
      </c>
      <c r="N380" s="21" t="str">
        <f>IFERROR(__xludf.DUMMYFUNCTION("IFERROR((GOOGLEFINANCE(C380, ""price"") / INDEX(GOOGLEFINANCE(C380, ""price"", EDATE(TODAY(), -3), TODAY()), 2, 2)) - 1, """")"),"")</f>
        <v/>
      </c>
      <c r="O380" s="21" t="str">
        <f>IFERROR(__xludf.DUMMYFUNCTION("IFERROR((GOOGLEFINANCE(C380, ""price"") / INDEX(GOOGLEFINANCE(C380, ""price"", EDATE(TODAY(), -6), TODAY()), 2, 2)) - 1, """")"),"")</f>
        <v/>
      </c>
      <c r="P380" s="21" t="str">
        <f>IFERROR(__xludf.DUMMYFUNCTION("IFERROR((GOOGLEFINANCE(C380, ""price"") / INDEX(GOOGLEFINANCE(C380, ""price"", EDATE(TODAY(), -12), TODAY()), 2, 2)) - 1, """")"),"")</f>
        <v/>
      </c>
      <c r="Q380" s="6" t="str">
        <f>IFERROR(__xludf.DUMMYFUNCTION("AVERAGE(QUERY(GOOGLEFINANCE(C380, ""price"", TODAY()-80, TODAY()), ""SELECT Col2 WHERE Col2 IS NOT NULL ORDER BY Col1 DESC LIMIT 50"", 0))"),"#N/A")</f>
        <v>#N/A</v>
      </c>
      <c r="R380" s="24" t="str">
        <f>IFERROR(__xludf.DUMMYFUNCTION("IFERROR(
  LET(
    data, QUERY(GOOGLEFINANCE(C380,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GOOGLEFINANCE(C380, ""price"")) * 100,
    IF(calc=0, G380, calc)
  ), 
G380)"),"#N/A")</f>
        <v>#N/A</v>
      </c>
      <c r="S380" s="8" t="s">
        <v>15</v>
      </c>
      <c r="T380" s="26" t="str">
        <f>IFERROR(__xludf.DUMMYFUNCTION("IFERROR(TRANSPOSE(QUERY(IFERROR(SORT(GOOGLEFINANCE(C380, ""price"", WORKDAY(TODAY(), -40), TODAY()), 1, FALSE)), ""select Col2 where Col2 is not null limit 22 label Col2 ''"", 0)), """")"),"")</f>
        <v/>
      </c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8"/>
      <c r="AO380" s="28"/>
      <c r="AP380" s="29"/>
      <c r="AQ380" s="29" t="str">
        <f t="shared" ref="AQ380:BL380" si="383">T380/T$2</f>
        <v>#N/A</v>
      </c>
      <c r="AR380" s="29" t="str">
        <f t="shared" si="383"/>
        <v>#DIV/0!</v>
      </c>
      <c r="AS380" s="29" t="str">
        <f t="shared" si="383"/>
        <v>#DIV/0!</v>
      </c>
      <c r="AT380" s="29" t="str">
        <f t="shared" si="383"/>
        <v>#DIV/0!</v>
      </c>
      <c r="AU380" s="29" t="str">
        <f t="shared" si="383"/>
        <v>#DIV/0!</v>
      </c>
      <c r="AV380" s="29" t="str">
        <f t="shared" si="383"/>
        <v>#DIV/0!</v>
      </c>
      <c r="AW380" s="29" t="str">
        <f t="shared" si="383"/>
        <v>#DIV/0!</v>
      </c>
      <c r="AX380" s="29" t="str">
        <f t="shared" si="383"/>
        <v>#DIV/0!</v>
      </c>
      <c r="AY380" s="29" t="str">
        <f t="shared" si="383"/>
        <v>#DIV/0!</v>
      </c>
      <c r="AZ380" s="29" t="str">
        <f t="shared" si="383"/>
        <v>#DIV/0!</v>
      </c>
      <c r="BA380" s="29" t="str">
        <f t="shared" si="383"/>
        <v>#DIV/0!</v>
      </c>
      <c r="BB380" s="29" t="str">
        <f t="shared" si="383"/>
        <v>#DIV/0!</v>
      </c>
      <c r="BC380" s="29" t="str">
        <f t="shared" si="383"/>
        <v>#DIV/0!</v>
      </c>
      <c r="BD380" s="29" t="str">
        <f t="shared" si="383"/>
        <v>#DIV/0!</v>
      </c>
      <c r="BE380" s="29" t="str">
        <f t="shared" si="383"/>
        <v>#DIV/0!</v>
      </c>
      <c r="BF380" s="29" t="str">
        <f t="shared" si="383"/>
        <v>#DIV/0!</v>
      </c>
      <c r="BG380" s="29" t="str">
        <f t="shared" si="383"/>
        <v>#DIV/0!</v>
      </c>
      <c r="BH380" s="29" t="str">
        <f t="shared" si="383"/>
        <v>#DIV/0!</v>
      </c>
      <c r="BI380" s="29" t="str">
        <f t="shared" si="383"/>
        <v>#DIV/0!</v>
      </c>
      <c r="BJ380" s="29" t="str">
        <f t="shared" si="383"/>
        <v>#DIV/0!</v>
      </c>
      <c r="BK380" s="29" t="str">
        <f t="shared" si="383"/>
        <v>#DIV/0!</v>
      </c>
      <c r="BL380" s="29" t="str">
        <f t="shared" si="383"/>
        <v>#DIV/0!</v>
      </c>
      <c r="BM380" s="29" t="str">
        <f t="shared" si="3"/>
        <v>#DIV/0!</v>
      </c>
    </row>
    <row r="381">
      <c r="A381" s="16" t="str">
        <f>IFERROR(__xludf.DUMMYFUNCTION("IFERROR(SPARKLINE(SORT(MAP(TRANSPOSE(AQ381:BL381), LAMBDA(val, IF(ISNUMBER(val), PERCENTRANK(AQ381:BL381, val)+0.01, 0))), SEQUENCE(COLUMNS(AQ381:BL381)), FALSE), {""charttype"",""column""; ""color"",""chartreuse""; ""ymin"", 0; ""ymax"", 1.01; ""highcolo"&amp;"r"", ""darkgreen""; ""lowcolor"", ""red""}), """")"),"")</f>
        <v/>
      </c>
      <c r="B381" s="17" t="str">
        <f t="shared" si="4"/>
        <v/>
      </c>
      <c r="C381" s="1" t="s">
        <v>1767</v>
      </c>
      <c r="D381" s="34" t="str">
        <f>IFERROR(__xludf.DUMMYFUNCTION("IFERROR(GOOGLEFINANCE(C381, ""NAME""))"),"")</f>
        <v/>
      </c>
      <c r="E381" s="30" t="s">
        <v>161</v>
      </c>
      <c r="F381" s="33" t="str">
        <f>IFERROR(__xludf.DUMMYFUNCTION("( (GOOGLEFINANCE(C381, ""price"") - Q381) / Q381 ) / (R381 / 100)"),"Loading...")</f>
        <v>Loading...</v>
      </c>
      <c r="G381" s="20" t="str">
        <f>IFERROR(__xludf.DUMMYFUNCTION("AVERAGE(ARRAYFORMULA(100 * (QUERY(GOOGLEFINANCE(C381, ""high"", TODAY()-40, TODAY()), ""SELECT Col2 WHERE Col2 IS NOT NULL ORDER BY Col1 DESC LIMIT 20"", 0) / QUERY(GOOGLEFINANCE(C381, ""low"", TODAY()-40, TODAY()), ""SELECT Col2 WHERE Col2 IS NOT NULL OR"&amp;"DER BY Col1 DESC LIMIT 20"", 0) - 1)))"),"#N/A")</f>
        <v>#N/A</v>
      </c>
      <c r="H381" s="35" t="str">
        <f t="shared" si="6"/>
        <v/>
      </c>
      <c r="I381" s="36" t="str">
        <f t="shared" si="7"/>
        <v/>
      </c>
      <c r="J381" s="37" t="str">
        <f>IFERROR(__xludf.DUMMYFUNCTION("IFERROR(
  IF(C381="""",, 
    IFERROR(
      GOOGLEFINANCE(C381, ""price"") * GOOGLEFINANCE(C381, ""volumeavg""), 
      GOOGLEFINANCE(C381, ""price"") * AVERAGE(QUERY(GOOGLEFINANCE(C381, ""volume"", TODAY()-40, TODAY()), ""SELECT Col2 WHERE Col2 IS NOT "&amp;"NULL ORDER BY Col1 DESC LIMIT 20"", 0))
    )
  ), 
"""")"),"")</f>
        <v/>
      </c>
      <c r="K381" s="21" t="str">
        <f>IFERROR(__xludf.DUMMYFUNCTION("IFERROR(GOOGLEFINANCE(C381, ""changepct"") / 100, """")"),"")</f>
        <v/>
      </c>
      <c r="L381" s="21" t="str">
        <f>IFERROR(__xludf.DUMMYFUNCTION("IFERROR((GOOGLEFINANCE(C381, ""price"") / INDEX(GOOGLEFINANCE(C381, ""price"", TODAY()-7, TODAY()), 2, 2)) - 1, """")"),"")</f>
        <v/>
      </c>
      <c r="M381" s="21" t="str">
        <f>IFERROR(__xludf.DUMMYFUNCTION("IFERROR((GOOGLEFINANCE(C381, ""price"") / INDEX(GOOGLEFINANCE(C381, ""price"", EDATE(TODAY(), -1), TODAY()), 2, 2)) - 1, """")"),"")</f>
        <v/>
      </c>
      <c r="N381" s="21" t="str">
        <f>IFERROR(__xludf.DUMMYFUNCTION("IFERROR((GOOGLEFINANCE(C381, ""price"") / INDEX(GOOGLEFINANCE(C381, ""price"", EDATE(TODAY(), -3), TODAY()), 2, 2)) - 1, """")"),"")</f>
        <v/>
      </c>
      <c r="O381" s="21" t="str">
        <f>IFERROR(__xludf.DUMMYFUNCTION("IFERROR((GOOGLEFINANCE(C381, ""price"") / INDEX(GOOGLEFINANCE(C381, ""price"", EDATE(TODAY(), -6), TODAY()), 2, 2)) - 1, """")"),"")</f>
        <v/>
      </c>
      <c r="P381" s="21" t="str">
        <f>IFERROR(__xludf.DUMMYFUNCTION("IFERROR((GOOGLEFINANCE(C381, ""price"") / INDEX(GOOGLEFINANCE(C381, ""price"", EDATE(TODAY(), -12), TODAY()), 2, 2)) - 1, """")"),"")</f>
        <v/>
      </c>
      <c r="Q381" s="6" t="str">
        <f>IFERROR(__xludf.DUMMYFUNCTION("AVERAGE(QUERY(GOOGLEFINANCE(C381, ""price"", TODAY()-80, TODAY()), ""SELECT Col2 WHERE Col2 IS NOT NULL ORDER BY Col1 DESC LIMIT 50"", 0))"),"#N/A")</f>
        <v>#N/A</v>
      </c>
      <c r="R381" s="24" t="str">
        <f>IFERROR(__xludf.DUMMYFUNCTION("IFERROR(
  LET(
    data, QUERY(GOOGLEFINANCE(C381,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GOOGLEFINANCE(C381, ""price"")) * 100,
    IF(calc=0, G381, calc)
  ), 
G381)"),"#N/A")</f>
        <v>#N/A</v>
      </c>
      <c r="S381" s="8" t="s">
        <v>15</v>
      </c>
      <c r="T381" s="26" t="str">
        <f>IFERROR(__xludf.DUMMYFUNCTION("IFERROR(TRANSPOSE(QUERY(IFERROR(SORT(GOOGLEFINANCE(C381, ""price"", WORKDAY(TODAY(), -40), TODAY()), 1, FALSE)), ""select Col2 where Col2 is not null limit 22 label Col2 ''"", 0)), """")"),"")</f>
        <v/>
      </c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8"/>
      <c r="AO381" s="28"/>
      <c r="AP381" s="29"/>
      <c r="AQ381" s="29" t="str">
        <f t="shared" ref="AQ381:BL381" si="384">T381/T$2</f>
        <v>#N/A</v>
      </c>
      <c r="AR381" s="29" t="str">
        <f t="shared" si="384"/>
        <v>#DIV/0!</v>
      </c>
      <c r="AS381" s="29" t="str">
        <f t="shared" si="384"/>
        <v>#DIV/0!</v>
      </c>
      <c r="AT381" s="29" t="str">
        <f t="shared" si="384"/>
        <v>#DIV/0!</v>
      </c>
      <c r="AU381" s="29" t="str">
        <f t="shared" si="384"/>
        <v>#DIV/0!</v>
      </c>
      <c r="AV381" s="29" t="str">
        <f t="shared" si="384"/>
        <v>#DIV/0!</v>
      </c>
      <c r="AW381" s="29" t="str">
        <f t="shared" si="384"/>
        <v>#DIV/0!</v>
      </c>
      <c r="AX381" s="29" t="str">
        <f t="shared" si="384"/>
        <v>#DIV/0!</v>
      </c>
      <c r="AY381" s="29" t="str">
        <f t="shared" si="384"/>
        <v>#DIV/0!</v>
      </c>
      <c r="AZ381" s="29" t="str">
        <f t="shared" si="384"/>
        <v>#DIV/0!</v>
      </c>
      <c r="BA381" s="29" t="str">
        <f t="shared" si="384"/>
        <v>#DIV/0!</v>
      </c>
      <c r="BB381" s="29" t="str">
        <f t="shared" si="384"/>
        <v>#DIV/0!</v>
      </c>
      <c r="BC381" s="29" t="str">
        <f t="shared" si="384"/>
        <v>#DIV/0!</v>
      </c>
      <c r="BD381" s="29" t="str">
        <f t="shared" si="384"/>
        <v>#DIV/0!</v>
      </c>
      <c r="BE381" s="29" t="str">
        <f t="shared" si="384"/>
        <v>#DIV/0!</v>
      </c>
      <c r="BF381" s="29" t="str">
        <f t="shared" si="384"/>
        <v>#DIV/0!</v>
      </c>
      <c r="BG381" s="29" t="str">
        <f t="shared" si="384"/>
        <v>#DIV/0!</v>
      </c>
      <c r="BH381" s="29" t="str">
        <f t="shared" si="384"/>
        <v>#DIV/0!</v>
      </c>
      <c r="BI381" s="29" t="str">
        <f t="shared" si="384"/>
        <v>#DIV/0!</v>
      </c>
      <c r="BJ381" s="29" t="str">
        <f t="shared" si="384"/>
        <v>#DIV/0!</v>
      </c>
      <c r="BK381" s="29" t="str">
        <f t="shared" si="384"/>
        <v>#DIV/0!</v>
      </c>
      <c r="BL381" s="29" t="str">
        <f t="shared" si="384"/>
        <v>#DIV/0!</v>
      </c>
      <c r="BM381" s="29" t="str">
        <f t="shared" si="3"/>
        <v>#DIV/0!</v>
      </c>
    </row>
    <row r="382">
      <c r="A382" s="16" t="str">
        <f>IFERROR(__xludf.DUMMYFUNCTION("IFERROR(SPARKLINE(SORT(MAP(TRANSPOSE(AQ382:BL382), LAMBDA(val, IF(ISNUMBER(val), PERCENTRANK(AQ382:BL382, val)+0.01, 0))), SEQUENCE(COLUMNS(AQ382:BL382)), FALSE), {""charttype"",""column""; ""color"",""chartreuse""; ""ymin"", 0; ""ymax"", 1.01; ""highcolo"&amp;"r"", ""darkgreen""; ""lowcolor"", ""red""}), """")"),"")</f>
        <v/>
      </c>
      <c r="B382" s="17" t="str">
        <f t="shared" si="4"/>
        <v/>
      </c>
      <c r="C382" s="1" t="s">
        <v>1772</v>
      </c>
      <c r="D382" s="34" t="str">
        <f>IFERROR(__xludf.DUMMYFUNCTION("IFERROR(GOOGLEFINANCE(C382, ""NAME""))"),"Berto Acquisition Corp")</f>
        <v>Berto Acquisition Corp</v>
      </c>
      <c r="E382" s="30" t="s">
        <v>161</v>
      </c>
      <c r="F382" s="33" t="str">
        <f>IFERROR(__xludf.DUMMYFUNCTION("( (GOOGLEFINANCE(C382, ""price"") - Q382) / Q382 ) / (R382 / 100)"),"Loading...")</f>
        <v>Loading...</v>
      </c>
      <c r="G382" s="20" t="str">
        <f>IFERROR(__xludf.DUMMYFUNCTION("AVERAGE(ARRAYFORMULA(100 * (QUERY(GOOGLEFINANCE(C382, ""high"", TODAY()-40, TODAY()), ""SELECT Col2 WHERE Col2 IS NOT NULL ORDER BY Col1 DESC LIMIT 20"", 0) / QUERY(GOOGLEFINANCE(C382, ""low"", TODAY()-40, TODAY()), ""SELECT Col2 WHERE Col2 IS NOT NULL OR"&amp;"DER BY Col1 DESC LIMIT 20"", 0) - 1)))"),"#N/A")</f>
        <v>#N/A</v>
      </c>
      <c r="H382" s="35" t="str">
        <f t="shared" si="6"/>
        <v/>
      </c>
      <c r="I382" s="36" t="str">
        <f t="shared" si="7"/>
        <v/>
      </c>
      <c r="J382" s="37" t="str">
        <f>IFERROR(__xludf.DUMMYFUNCTION("IFERROR(
  IF(C382="""",, 
    IFERROR(
      GOOGLEFINANCE(C382, ""price"") * GOOGLEFINANCE(C382, ""volumeavg""), 
      GOOGLEFINANCE(C382, ""price"") * AVERAGE(QUERY(GOOGLEFINANCE(C382, ""volume"", TODAY()-40, TODAY()), ""SELECT Col2 WHERE Col2 IS NOT "&amp;"NULL ORDER BY Col1 DESC LIMIT 20"", 0))
    )
  ), 
"""")"),"")</f>
        <v/>
      </c>
      <c r="K382" s="21" t="str">
        <f>IFERROR(__xludf.DUMMYFUNCTION("IFERROR(GOOGLEFINANCE(C382, ""changepct"") / 100, """")"),"")</f>
        <v/>
      </c>
      <c r="L382" s="21" t="str">
        <f>IFERROR(__xludf.DUMMYFUNCTION("IFERROR((GOOGLEFINANCE(C382, ""price"") / INDEX(GOOGLEFINANCE(C382, ""price"", TODAY()-7, TODAY()), 2, 2)) - 1, """")"),"")</f>
        <v/>
      </c>
      <c r="M382" s="21" t="str">
        <f>IFERROR(__xludf.DUMMYFUNCTION("IFERROR((GOOGLEFINANCE(C382, ""price"") / INDEX(GOOGLEFINANCE(C382, ""price"", EDATE(TODAY(), -1), TODAY()), 2, 2)) - 1, """")"),"")</f>
        <v/>
      </c>
      <c r="N382" s="21" t="str">
        <f>IFERROR(__xludf.DUMMYFUNCTION("IFERROR((GOOGLEFINANCE(C382, ""price"") / INDEX(GOOGLEFINANCE(C382, ""price"", EDATE(TODAY(), -3), TODAY()), 2, 2)) - 1, """")"),"")</f>
        <v/>
      </c>
      <c r="O382" s="21" t="str">
        <f>IFERROR(__xludf.DUMMYFUNCTION("IFERROR((GOOGLEFINANCE(C382, ""price"") / INDEX(GOOGLEFINANCE(C382, ""price"", EDATE(TODAY(), -6), TODAY()), 2, 2)) - 1, """")"),"")</f>
        <v/>
      </c>
      <c r="P382" s="21" t="str">
        <f>IFERROR(__xludf.DUMMYFUNCTION("IFERROR((GOOGLEFINANCE(C382, ""price"") / INDEX(GOOGLEFINANCE(C382, ""price"", EDATE(TODAY(), -12), TODAY()), 2, 2)) - 1, """")"),"")</f>
        <v/>
      </c>
      <c r="Q382" s="6" t="str">
        <f>IFERROR(__xludf.DUMMYFUNCTION("AVERAGE(QUERY(GOOGLEFINANCE(C382, ""price"", TODAY()-80, TODAY()), ""SELECT Col2 WHERE Col2 IS NOT NULL ORDER BY Col1 DESC LIMIT 50"", 0))"),"#N/A")</f>
        <v>#N/A</v>
      </c>
      <c r="R382" s="24" t="str">
        <f>IFERROR(__xludf.DUMMYFUNCTION("IFERROR(
  LET(
    data, QUERY(GOOGLEFINANCE(C382,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GOOGLEFINANCE(C382, ""price"")) * 100,
    IF(calc=0, G382, calc)
  ), 
G382)"),"#N/A")</f>
        <v>#N/A</v>
      </c>
      <c r="S382" s="8" t="s">
        <v>15</v>
      </c>
      <c r="T382" s="26" t="str">
        <f>IFERROR(__xludf.DUMMYFUNCTION("IFERROR(TRANSPOSE(QUERY(IFERROR(SORT(GOOGLEFINANCE(C382, ""price"", WORKDAY(TODAY(), -40), TODAY()), 1, FALSE)), ""select Col2 where Col2 is not null limit 22 label Col2 ''"", 0)), """")"),"")</f>
        <v/>
      </c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8"/>
      <c r="AO382" s="28"/>
      <c r="AP382" s="29"/>
      <c r="AQ382" s="29" t="str">
        <f t="shared" ref="AQ382:BL382" si="385">T382/T$2</f>
        <v>#N/A</v>
      </c>
      <c r="AR382" s="29" t="str">
        <f t="shared" si="385"/>
        <v>#DIV/0!</v>
      </c>
      <c r="AS382" s="29" t="str">
        <f t="shared" si="385"/>
        <v>#DIV/0!</v>
      </c>
      <c r="AT382" s="29" t="str">
        <f t="shared" si="385"/>
        <v>#DIV/0!</v>
      </c>
      <c r="AU382" s="29" t="str">
        <f t="shared" si="385"/>
        <v>#DIV/0!</v>
      </c>
      <c r="AV382" s="29" t="str">
        <f t="shared" si="385"/>
        <v>#DIV/0!</v>
      </c>
      <c r="AW382" s="29" t="str">
        <f t="shared" si="385"/>
        <v>#DIV/0!</v>
      </c>
      <c r="AX382" s="29" t="str">
        <f t="shared" si="385"/>
        <v>#DIV/0!</v>
      </c>
      <c r="AY382" s="29" t="str">
        <f t="shared" si="385"/>
        <v>#DIV/0!</v>
      </c>
      <c r="AZ382" s="29" t="str">
        <f t="shared" si="385"/>
        <v>#DIV/0!</v>
      </c>
      <c r="BA382" s="29" t="str">
        <f t="shared" si="385"/>
        <v>#DIV/0!</v>
      </c>
      <c r="BB382" s="29" t="str">
        <f t="shared" si="385"/>
        <v>#DIV/0!</v>
      </c>
      <c r="BC382" s="29" t="str">
        <f t="shared" si="385"/>
        <v>#DIV/0!</v>
      </c>
      <c r="BD382" s="29" t="str">
        <f t="shared" si="385"/>
        <v>#DIV/0!</v>
      </c>
      <c r="BE382" s="29" t="str">
        <f t="shared" si="385"/>
        <v>#DIV/0!</v>
      </c>
      <c r="BF382" s="29" t="str">
        <f t="shared" si="385"/>
        <v>#DIV/0!</v>
      </c>
      <c r="BG382" s="29" t="str">
        <f t="shared" si="385"/>
        <v>#DIV/0!</v>
      </c>
      <c r="BH382" s="29" t="str">
        <f t="shared" si="385"/>
        <v>#DIV/0!</v>
      </c>
      <c r="BI382" s="29" t="str">
        <f t="shared" si="385"/>
        <v>#DIV/0!</v>
      </c>
      <c r="BJ382" s="29" t="str">
        <f t="shared" si="385"/>
        <v>#DIV/0!</v>
      </c>
      <c r="BK382" s="29" t="str">
        <f t="shared" si="385"/>
        <v>#DIV/0!</v>
      </c>
      <c r="BL382" s="29" t="str">
        <f t="shared" si="385"/>
        <v>#DIV/0!</v>
      </c>
      <c r="BM382" s="29" t="str">
        <f t="shared" si="3"/>
        <v>#DIV/0!</v>
      </c>
    </row>
    <row r="383">
      <c r="A383" s="16" t="str">
        <f>IFERROR(__xludf.DUMMYFUNCTION("IFERROR(SPARKLINE(SORT(MAP(TRANSPOSE(AQ383:BL383), LAMBDA(val, IF(ISNUMBER(val), PERCENTRANK(AQ383:BL383, val)+0.01, 0))), SEQUENCE(COLUMNS(AQ383:BL383)), FALSE), {""charttype"",""column""; ""color"",""chartreuse""; ""ymin"", 0; ""ymax"", 1.01; ""highcolo"&amp;"r"", ""darkgreen""; ""lowcolor"", ""red""}), """")"),"")</f>
        <v/>
      </c>
      <c r="B383" s="17" t="str">
        <f t="shared" si="4"/>
        <v/>
      </c>
      <c r="C383" s="1" t="s">
        <v>1776</v>
      </c>
      <c r="D383" s="34" t="str">
        <f>IFERROR(__xludf.DUMMYFUNCTION("IFERROR(GOOGLEFINANCE(C383, ""NAME""))"),"Wen Acquisition Corp")</f>
        <v>Wen Acquisition Corp</v>
      </c>
      <c r="E383" s="30" t="s">
        <v>161</v>
      </c>
      <c r="F383" s="33" t="str">
        <f>IFERROR(__xludf.DUMMYFUNCTION("( (GOOGLEFINANCE(C383, ""price"") - Q383) / Q383 ) / (R383 / 100)"),"Loading...")</f>
        <v>Loading...</v>
      </c>
      <c r="G383" s="20" t="str">
        <f>IFERROR(__xludf.DUMMYFUNCTION("AVERAGE(ARRAYFORMULA(100 * (QUERY(GOOGLEFINANCE(C383, ""high"", TODAY()-40, TODAY()), ""SELECT Col2 WHERE Col2 IS NOT NULL ORDER BY Col1 DESC LIMIT 20"", 0) / QUERY(GOOGLEFINANCE(C383, ""low"", TODAY()-40, TODAY()), ""SELECT Col2 WHERE Col2 IS NOT NULL OR"&amp;"DER BY Col1 DESC LIMIT 20"", 0) - 1)))"),"#N/A")</f>
        <v>#N/A</v>
      </c>
      <c r="H383" s="35" t="str">
        <f t="shared" si="6"/>
        <v/>
      </c>
      <c r="I383" s="36" t="str">
        <f t="shared" si="7"/>
        <v/>
      </c>
      <c r="J383" s="37" t="str">
        <f>IFERROR(__xludf.DUMMYFUNCTION("IFERROR(
  IF(C383="""",, 
    IFERROR(
      GOOGLEFINANCE(C383, ""price"") * GOOGLEFINANCE(C383, ""volumeavg""), 
      GOOGLEFINANCE(C383, ""price"") * AVERAGE(QUERY(GOOGLEFINANCE(C383, ""volume"", TODAY()-40, TODAY()), ""SELECT Col2 WHERE Col2 IS NOT "&amp;"NULL ORDER BY Col1 DESC LIMIT 20"", 0))
    )
  ), 
"""")"),"")</f>
        <v/>
      </c>
      <c r="K383" s="21" t="str">
        <f>IFERROR(__xludf.DUMMYFUNCTION("IFERROR(GOOGLEFINANCE(C383, ""changepct"") / 100, """")"),"")</f>
        <v/>
      </c>
      <c r="L383" s="21" t="str">
        <f>IFERROR(__xludf.DUMMYFUNCTION("IFERROR((GOOGLEFINANCE(C383, ""price"") / INDEX(GOOGLEFINANCE(C383, ""price"", TODAY()-7, TODAY()), 2, 2)) - 1, """")"),"")</f>
        <v/>
      </c>
      <c r="M383" s="21" t="str">
        <f>IFERROR(__xludf.DUMMYFUNCTION("IFERROR((GOOGLEFINANCE(C383, ""price"") / INDEX(GOOGLEFINANCE(C383, ""price"", EDATE(TODAY(), -1), TODAY()), 2, 2)) - 1, """")"),"")</f>
        <v/>
      </c>
      <c r="N383" s="21" t="str">
        <f>IFERROR(__xludf.DUMMYFUNCTION("IFERROR((GOOGLEFINANCE(C383, ""price"") / INDEX(GOOGLEFINANCE(C383, ""price"", EDATE(TODAY(), -3), TODAY()), 2, 2)) - 1, """")"),"")</f>
        <v/>
      </c>
      <c r="O383" s="21" t="str">
        <f>IFERROR(__xludf.DUMMYFUNCTION("IFERROR((GOOGLEFINANCE(C383, ""price"") / INDEX(GOOGLEFINANCE(C383, ""price"", EDATE(TODAY(), -6), TODAY()), 2, 2)) - 1, """")"),"")</f>
        <v/>
      </c>
      <c r="P383" s="21" t="str">
        <f>IFERROR(__xludf.DUMMYFUNCTION("IFERROR((GOOGLEFINANCE(C383, ""price"") / INDEX(GOOGLEFINANCE(C383, ""price"", EDATE(TODAY(), -12), TODAY()), 2, 2)) - 1, """")"),"")</f>
        <v/>
      </c>
      <c r="Q383" s="6" t="str">
        <f>IFERROR(__xludf.DUMMYFUNCTION("AVERAGE(QUERY(GOOGLEFINANCE(C383, ""price"", TODAY()-80, TODAY()), ""SELECT Col2 WHERE Col2 IS NOT NULL ORDER BY Col1 DESC LIMIT 50"", 0))"),"#N/A")</f>
        <v>#N/A</v>
      </c>
      <c r="R383" s="24" t="str">
        <f>IFERROR(__xludf.DUMMYFUNCTION("IFERROR(
  LET(
    data, QUERY(GOOGLEFINANCE(C383,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GOOGLEFINANCE(C383, ""price"")) * 100,
    IF(calc=0, G383, calc)
  ), 
G383)"),"#N/A")</f>
        <v>#N/A</v>
      </c>
      <c r="S383" s="8" t="s">
        <v>15</v>
      </c>
      <c r="T383" s="26" t="str">
        <f>IFERROR(__xludf.DUMMYFUNCTION("IFERROR(TRANSPOSE(QUERY(IFERROR(SORT(GOOGLEFINANCE(C383, ""price"", WORKDAY(TODAY(), -40), TODAY()), 1, FALSE)), ""select Col2 where Col2 is not null limit 22 label Col2 ''"", 0)), """")"),"")</f>
        <v/>
      </c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8"/>
      <c r="AO383" s="28"/>
      <c r="AP383" s="29"/>
      <c r="AQ383" s="29" t="str">
        <f t="shared" ref="AQ383:BL383" si="386">T383/T$2</f>
        <v>#N/A</v>
      </c>
      <c r="AR383" s="29" t="str">
        <f t="shared" si="386"/>
        <v>#DIV/0!</v>
      </c>
      <c r="AS383" s="29" t="str">
        <f t="shared" si="386"/>
        <v>#DIV/0!</v>
      </c>
      <c r="AT383" s="29" t="str">
        <f t="shared" si="386"/>
        <v>#DIV/0!</v>
      </c>
      <c r="AU383" s="29" t="str">
        <f t="shared" si="386"/>
        <v>#DIV/0!</v>
      </c>
      <c r="AV383" s="29" t="str">
        <f t="shared" si="386"/>
        <v>#DIV/0!</v>
      </c>
      <c r="AW383" s="29" t="str">
        <f t="shared" si="386"/>
        <v>#DIV/0!</v>
      </c>
      <c r="AX383" s="29" t="str">
        <f t="shared" si="386"/>
        <v>#DIV/0!</v>
      </c>
      <c r="AY383" s="29" t="str">
        <f t="shared" si="386"/>
        <v>#DIV/0!</v>
      </c>
      <c r="AZ383" s="29" t="str">
        <f t="shared" si="386"/>
        <v>#DIV/0!</v>
      </c>
      <c r="BA383" s="29" t="str">
        <f t="shared" si="386"/>
        <v>#DIV/0!</v>
      </c>
      <c r="BB383" s="29" t="str">
        <f t="shared" si="386"/>
        <v>#DIV/0!</v>
      </c>
      <c r="BC383" s="29" t="str">
        <f t="shared" si="386"/>
        <v>#DIV/0!</v>
      </c>
      <c r="BD383" s="29" t="str">
        <f t="shared" si="386"/>
        <v>#DIV/0!</v>
      </c>
      <c r="BE383" s="29" t="str">
        <f t="shared" si="386"/>
        <v>#DIV/0!</v>
      </c>
      <c r="BF383" s="29" t="str">
        <f t="shared" si="386"/>
        <v>#DIV/0!</v>
      </c>
      <c r="BG383" s="29" t="str">
        <f t="shared" si="386"/>
        <v>#DIV/0!</v>
      </c>
      <c r="BH383" s="29" t="str">
        <f t="shared" si="386"/>
        <v>#DIV/0!</v>
      </c>
      <c r="BI383" s="29" t="str">
        <f t="shared" si="386"/>
        <v>#DIV/0!</v>
      </c>
      <c r="BJ383" s="29" t="str">
        <f t="shared" si="386"/>
        <v>#DIV/0!</v>
      </c>
      <c r="BK383" s="29" t="str">
        <f t="shared" si="386"/>
        <v>#DIV/0!</v>
      </c>
      <c r="BL383" s="29" t="str">
        <f t="shared" si="386"/>
        <v>#DIV/0!</v>
      </c>
      <c r="BM383" s="29" t="str">
        <f t="shared" si="3"/>
        <v>#DIV/0!</v>
      </c>
    </row>
    <row r="384">
      <c r="A384" s="16" t="str">
        <f>IFERROR(__xludf.DUMMYFUNCTION("IFERROR(SPARKLINE(SORT(MAP(TRANSPOSE(AQ384:BL384), LAMBDA(val, IF(ISNUMBER(val), PERCENTRANK(AQ384:BL384, val)+0.01, 0))), SEQUENCE(COLUMNS(AQ384:BL384)), FALSE), {""charttype"",""column""; ""color"",""chartreuse""; ""ymin"", 0; ""ymax"", 1.01; ""highcolo"&amp;"r"", ""darkgreen""; ""lowcolor"", ""red""}), """")"),"")</f>
        <v/>
      </c>
      <c r="B384" s="17" t="str">
        <f t="shared" si="4"/>
        <v/>
      </c>
      <c r="C384" s="1" t="s">
        <v>1781</v>
      </c>
      <c r="D384" s="34" t="str">
        <f>IFERROR(__xludf.DUMMYFUNCTION("IFERROR(GOOGLEFINANCE(C384, ""NAME""))"),"Cohen Circle Acquisition Corp II")</f>
        <v>Cohen Circle Acquisition Corp II</v>
      </c>
      <c r="E384" s="30" t="s">
        <v>161</v>
      </c>
      <c r="F384" s="33" t="str">
        <f>IFERROR(__xludf.DUMMYFUNCTION("( (GOOGLEFINANCE(C384, ""price"") - Q384) / Q384 ) / (R384 / 100)"),"Loading...")</f>
        <v>Loading...</v>
      </c>
      <c r="G384" s="20" t="str">
        <f>IFERROR(__xludf.DUMMYFUNCTION("AVERAGE(ARRAYFORMULA(100 * (QUERY(GOOGLEFINANCE(C384, ""high"", TODAY()-40, TODAY()), ""SELECT Col2 WHERE Col2 IS NOT NULL ORDER BY Col1 DESC LIMIT 20"", 0) / QUERY(GOOGLEFINANCE(C384, ""low"", TODAY()-40, TODAY()), ""SELECT Col2 WHERE Col2 IS NOT NULL OR"&amp;"DER BY Col1 DESC LIMIT 20"", 0) - 1)))"),"#N/A")</f>
        <v>#N/A</v>
      </c>
      <c r="H384" s="35" t="str">
        <f t="shared" si="6"/>
        <v/>
      </c>
      <c r="I384" s="36" t="str">
        <f t="shared" si="7"/>
        <v/>
      </c>
      <c r="J384" s="37" t="str">
        <f>IFERROR(__xludf.DUMMYFUNCTION("IFERROR(
  IF(C384="""",, 
    IFERROR(
      GOOGLEFINANCE(C384, ""price"") * GOOGLEFINANCE(C384, ""volumeavg""), 
      GOOGLEFINANCE(C384, ""price"") * AVERAGE(QUERY(GOOGLEFINANCE(C384, ""volume"", TODAY()-40, TODAY()), ""SELECT Col2 WHERE Col2 IS NOT "&amp;"NULL ORDER BY Col1 DESC LIMIT 20"", 0))
    )
  ), 
"""")"),"")</f>
        <v/>
      </c>
      <c r="K384" s="21" t="str">
        <f>IFERROR(__xludf.DUMMYFUNCTION("IFERROR(GOOGLEFINANCE(C384, ""changepct"") / 100, """")"),"")</f>
        <v/>
      </c>
      <c r="L384" s="21" t="str">
        <f>IFERROR(__xludf.DUMMYFUNCTION("IFERROR((GOOGLEFINANCE(C384, ""price"") / INDEX(GOOGLEFINANCE(C384, ""price"", TODAY()-7, TODAY()), 2, 2)) - 1, """")"),"")</f>
        <v/>
      </c>
      <c r="M384" s="21" t="str">
        <f>IFERROR(__xludf.DUMMYFUNCTION("IFERROR((GOOGLEFINANCE(C384, ""price"") / INDEX(GOOGLEFINANCE(C384, ""price"", EDATE(TODAY(), -1), TODAY()), 2, 2)) - 1, """")"),"")</f>
        <v/>
      </c>
      <c r="N384" s="21" t="str">
        <f>IFERROR(__xludf.DUMMYFUNCTION("IFERROR((GOOGLEFINANCE(C384, ""price"") / INDEX(GOOGLEFINANCE(C384, ""price"", EDATE(TODAY(), -3), TODAY()), 2, 2)) - 1, """")"),"")</f>
        <v/>
      </c>
      <c r="O384" s="21" t="str">
        <f>IFERROR(__xludf.DUMMYFUNCTION("IFERROR((GOOGLEFINANCE(C384, ""price"") / INDEX(GOOGLEFINANCE(C384, ""price"", EDATE(TODAY(), -6), TODAY()), 2, 2)) - 1, """")"),"")</f>
        <v/>
      </c>
      <c r="P384" s="21" t="str">
        <f>IFERROR(__xludf.DUMMYFUNCTION("IFERROR((GOOGLEFINANCE(C384, ""price"") / INDEX(GOOGLEFINANCE(C384, ""price"", EDATE(TODAY(), -12), TODAY()), 2, 2)) - 1, """")"),"")</f>
        <v/>
      </c>
      <c r="Q384" s="6" t="str">
        <f>IFERROR(__xludf.DUMMYFUNCTION("AVERAGE(QUERY(GOOGLEFINANCE(C384, ""price"", TODAY()-80, TODAY()), ""SELECT Col2 WHERE Col2 IS NOT NULL ORDER BY Col1 DESC LIMIT 50"", 0))"),"#N/A")</f>
        <v>#N/A</v>
      </c>
      <c r="R384" s="24" t="str">
        <f>IFERROR(__xludf.DUMMYFUNCTION("IFERROR(
  LET(
    data, QUERY(GOOGLEFINANCE(C384,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GOOGLEFINANCE(C384, ""price"")) * 100,
    IF(calc=0, G384, calc)
  ), 
G384)"),"#N/A")</f>
        <v>#N/A</v>
      </c>
      <c r="S384" s="8" t="s">
        <v>15</v>
      </c>
      <c r="T384" s="26" t="str">
        <f>IFERROR(__xludf.DUMMYFUNCTION("IFERROR(TRANSPOSE(QUERY(IFERROR(SORT(GOOGLEFINANCE(C384, ""price"", WORKDAY(TODAY(), -40), TODAY()), 1, FALSE)), ""select Col2 where Col2 is not null limit 22 label Col2 ''"", 0)), """")"),"")</f>
        <v/>
      </c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8"/>
      <c r="AO384" s="28"/>
      <c r="AP384" s="29"/>
      <c r="AQ384" s="29" t="str">
        <f t="shared" ref="AQ384:BL384" si="387">T384/T$2</f>
        <v>#N/A</v>
      </c>
      <c r="AR384" s="29" t="str">
        <f t="shared" si="387"/>
        <v>#DIV/0!</v>
      </c>
      <c r="AS384" s="29" t="str">
        <f t="shared" si="387"/>
        <v>#DIV/0!</v>
      </c>
      <c r="AT384" s="29" t="str">
        <f t="shared" si="387"/>
        <v>#DIV/0!</v>
      </c>
      <c r="AU384" s="29" t="str">
        <f t="shared" si="387"/>
        <v>#DIV/0!</v>
      </c>
      <c r="AV384" s="29" t="str">
        <f t="shared" si="387"/>
        <v>#DIV/0!</v>
      </c>
      <c r="AW384" s="29" t="str">
        <f t="shared" si="387"/>
        <v>#DIV/0!</v>
      </c>
      <c r="AX384" s="29" t="str">
        <f t="shared" si="387"/>
        <v>#DIV/0!</v>
      </c>
      <c r="AY384" s="29" t="str">
        <f t="shared" si="387"/>
        <v>#DIV/0!</v>
      </c>
      <c r="AZ384" s="29" t="str">
        <f t="shared" si="387"/>
        <v>#DIV/0!</v>
      </c>
      <c r="BA384" s="29" t="str">
        <f t="shared" si="387"/>
        <v>#DIV/0!</v>
      </c>
      <c r="BB384" s="29" t="str">
        <f t="shared" si="387"/>
        <v>#DIV/0!</v>
      </c>
      <c r="BC384" s="29" t="str">
        <f t="shared" si="387"/>
        <v>#DIV/0!</v>
      </c>
      <c r="BD384" s="29" t="str">
        <f t="shared" si="387"/>
        <v>#DIV/0!</v>
      </c>
      <c r="BE384" s="29" t="str">
        <f t="shared" si="387"/>
        <v>#DIV/0!</v>
      </c>
      <c r="BF384" s="29" t="str">
        <f t="shared" si="387"/>
        <v>#DIV/0!</v>
      </c>
      <c r="BG384" s="29" t="str">
        <f t="shared" si="387"/>
        <v>#DIV/0!</v>
      </c>
      <c r="BH384" s="29" t="str">
        <f t="shared" si="387"/>
        <v>#DIV/0!</v>
      </c>
      <c r="BI384" s="29" t="str">
        <f t="shared" si="387"/>
        <v>#DIV/0!</v>
      </c>
      <c r="BJ384" s="29" t="str">
        <f t="shared" si="387"/>
        <v>#DIV/0!</v>
      </c>
      <c r="BK384" s="29" t="str">
        <f t="shared" si="387"/>
        <v>#DIV/0!</v>
      </c>
      <c r="BL384" s="29" t="str">
        <f t="shared" si="387"/>
        <v>#DIV/0!</v>
      </c>
      <c r="BM384" s="29" t="str">
        <f t="shared" si="3"/>
        <v>#DIV/0!</v>
      </c>
    </row>
    <row r="385">
      <c r="A385" s="16" t="str">
        <f>IFERROR(__xludf.DUMMYFUNCTION("IFERROR(SPARKLINE(SORT(MAP(TRANSPOSE(AQ385:BL385), LAMBDA(val, IF(ISNUMBER(val), PERCENTRANK(AQ385:BL385, val)+0.01, 0))), SEQUENCE(COLUMNS(AQ385:BL385)), FALSE), {""charttype"",""column""; ""color"",""chartreuse""; ""ymin"", 0; ""ymax"", 1.01; ""highcolo"&amp;"r"", ""darkgreen""; ""lowcolor"", ""red""}), """")"),"")</f>
        <v/>
      </c>
      <c r="B385" s="17" t="str">
        <f t="shared" si="4"/>
        <v/>
      </c>
      <c r="C385" s="1" t="s">
        <v>1786</v>
      </c>
      <c r="D385" s="34" t="str">
        <f>IFERROR(__xludf.DUMMYFUNCTION("IFERROR(GOOGLEFINANCE(C385, ""NAME""))"),"EQV Ventures Acquisition Ord Shs Class A")</f>
        <v>EQV Ventures Acquisition Ord Shs Class A</v>
      </c>
      <c r="E385" s="30" t="s">
        <v>161</v>
      </c>
      <c r="F385" s="38" t="str">
        <f>IFERROR(__xludf.DUMMYFUNCTION("( (GOOGLEFINANCE(C385, ""price"") - Q385) / Q385 ) / (R385 / 100)"),"Loading...")</f>
        <v>Loading...</v>
      </c>
      <c r="G385" s="20" t="str">
        <f>IFERROR(__xludf.DUMMYFUNCTION("AVERAGE(ARRAYFORMULA(100 * (QUERY(GOOGLEFINANCE(C385, ""high"", TODAY()-40, TODAY()), ""SELECT Col2 WHERE Col2 IS NOT NULL ORDER BY Col1 DESC LIMIT 20"", 0) / QUERY(GOOGLEFINANCE(C385, ""low"", TODAY()-40, TODAY()), ""SELECT Col2 WHERE Col2 IS NOT NULL OR"&amp;"DER BY Col1 DESC LIMIT 20"", 0) - 1)))"),"#N/A")</f>
        <v>#N/A</v>
      </c>
      <c r="H385" s="35" t="str">
        <f t="shared" si="6"/>
        <v/>
      </c>
      <c r="I385" s="36" t="str">
        <f t="shared" si="7"/>
        <v/>
      </c>
      <c r="J385" s="37" t="str">
        <f>IFERROR(__xludf.DUMMYFUNCTION("IFERROR(
  IF(C385="""",, 
    IFERROR(
      GOOGLEFINANCE(C385, ""price"") * GOOGLEFINANCE(C385, ""volumeavg""), 
      GOOGLEFINANCE(C385, ""price"") * AVERAGE(QUERY(GOOGLEFINANCE(C385, ""volume"", TODAY()-40, TODAY()), ""SELECT Col2 WHERE Col2 IS NOT "&amp;"NULL ORDER BY Col1 DESC LIMIT 20"", 0))
    )
  ), 
"""")"),"")</f>
        <v/>
      </c>
      <c r="K385" s="21" t="str">
        <f>IFERROR(__xludf.DUMMYFUNCTION("IFERROR(GOOGLEFINANCE(C385, ""changepct"") / 100, """")"),"")</f>
        <v/>
      </c>
      <c r="L385" s="21" t="str">
        <f>IFERROR(__xludf.DUMMYFUNCTION("IFERROR((GOOGLEFINANCE(C385, ""price"") / INDEX(GOOGLEFINANCE(C385, ""price"", TODAY()-7, TODAY()), 2, 2)) - 1, """")"),"")</f>
        <v/>
      </c>
      <c r="M385" s="21" t="str">
        <f>IFERROR(__xludf.DUMMYFUNCTION("IFERROR((GOOGLEFINANCE(C385, ""price"") / INDEX(GOOGLEFINANCE(C385, ""price"", EDATE(TODAY(), -1), TODAY()), 2, 2)) - 1, """")"),"")</f>
        <v/>
      </c>
      <c r="N385" s="21" t="str">
        <f>IFERROR(__xludf.DUMMYFUNCTION("IFERROR((GOOGLEFINANCE(C385, ""price"") / INDEX(GOOGLEFINANCE(C385, ""price"", EDATE(TODAY(), -3), TODAY()), 2, 2)) - 1, """")"),"")</f>
        <v/>
      </c>
      <c r="O385" s="21" t="str">
        <f>IFERROR(__xludf.DUMMYFUNCTION("IFERROR((GOOGLEFINANCE(C385, ""price"") / INDEX(GOOGLEFINANCE(C385, ""price"", EDATE(TODAY(), -6), TODAY()), 2, 2)) - 1, """")"),"")</f>
        <v/>
      </c>
      <c r="P385" s="21" t="str">
        <f>IFERROR(__xludf.DUMMYFUNCTION("IFERROR((GOOGLEFINANCE(C385, ""price"") / INDEX(GOOGLEFINANCE(C385, ""price"", EDATE(TODAY(), -12), TODAY()), 2, 2)) - 1, """")"),"")</f>
        <v/>
      </c>
      <c r="Q385" s="6" t="str">
        <f>IFERROR(__xludf.DUMMYFUNCTION("AVERAGE(QUERY(GOOGLEFINANCE(C385, ""price"", TODAY()-80, TODAY()), ""SELECT Col2 WHERE Col2 IS NOT NULL ORDER BY Col1 DESC LIMIT 50"", 0))"),"#N/A")</f>
        <v>#N/A</v>
      </c>
      <c r="R385" s="24" t="str">
        <f>IFERROR(__xludf.DUMMYFUNCTION("IFERROR(
  LET(
    data, QUERY(GOOGLEFINANCE(C385,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GOOGLEFINANCE(C385, ""price"")) * 100,
    IF(calc=0, G385, calc)
  ), 
G385)"),"#N/A")</f>
        <v>#N/A</v>
      </c>
      <c r="S385" s="8" t="s">
        <v>15</v>
      </c>
      <c r="T385" s="26" t="str">
        <f>IFERROR(__xludf.DUMMYFUNCTION("IFERROR(TRANSPOSE(QUERY(IFERROR(SORT(GOOGLEFINANCE(C385, ""price"", WORKDAY(TODAY(), -40), TODAY()), 1, FALSE)), ""select Col2 where Col2 is not null limit 22 label Col2 ''"", 0)), """")"),"")</f>
        <v/>
      </c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8"/>
      <c r="AO385" s="28"/>
      <c r="AP385" s="29"/>
      <c r="AQ385" s="29" t="str">
        <f t="shared" ref="AQ385:BL385" si="388">T385/T$2</f>
        <v>#N/A</v>
      </c>
      <c r="AR385" s="29" t="str">
        <f t="shared" si="388"/>
        <v>#DIV/0!</v>
      </c>
      <c r="AS385" s="29" t="str">
        <f t="shared" si="388"/>
        <v>#DIV/0!</v>
      </c>
      <c r="AT385" s="29" t="str">
        <f t="shared" si="388"/>
        <v>#DIV/0!</v>
      </c>
      <c r="AU385" s="29" t="str">
        <f t="shared" si="388"/>
        <v>#DIV/0!</v>
      </c>
      <c r="AV385" s="29" t="str">
        <f t="shared" si="388"/>
        <v>#DIV/0!</v>
      </c>
      <c r="AW385" s="29" t="str">
        <f t="shared" si="388"/>
        <v>#DIV/0!</v>
      </c>
      <c r="AX385" s="29" t="str">
        <f t="shared" si="388"/>
        <v>#DIV/0!</v>
      </c>
      <c r="AY385" s="29" t="str">
        <f t="shared" si="388"/>
        <v>#DIV/0!</v>
      </c>
      <c r="AZ385" s="29" t="str">
        <f t="shared" si="388"/>
        <v>#DIV/0!</v>
      </c>
      <c r="BA385" s="29" t="str">
        <f t="shared" si="388"/>
        <v>#DIV/0!</v>
      </c>
      <c r="BB385" s="29" t="str">
        <f t="shared" si="388"/>
        <v>#DIV/0!</v>
      </c>
      <c r="BC385" s="29" t="str">
        <f t="shared" si="388"/>
        <v>#DIV/0!</v>
      </c>
      <c r="BD385" s="29" t="str">
        <f t="shared" si="388"/>
        <v>#DIV/0!</v>
      </c>
      <c r="BE385" s="29" t="str">
        <f t="shared" si="388"/>
        <v>#DIV/0!</v>
      </c>
      <c r="BF385" s="29" t="str">
        <f t="shared" si="388"/>
        <v>#DIV/0!</v>
      </c>
      <c r="BG385" s="29" t="str">
        <f t="shared" si="388"/>
        <v>#DIV/0!</v>
      </c>
      <c r="BH385" s="29" t="str">
        <f t="shared" si="388"/>
        <v>#DIV/0!</v>
      </c>
      <c r="BI385" s="29" t="str">
        <f t="shared" si="388"/>
        <v>#DIV/0!</v>
      </c>
      <c r="BJ385" s="29" t="str">
        <f t="shared" si="388"/>
        <v>#DIV/0!</v>
      </c>
      <c r="BK385" s="29" t="str">
        <f t="shared" si="388"/>
        <v>#DIV/0!</v>
      </c>
      <c r="BL385" s="29" t="str">
        <f t="shared" si="388"/>
        <v>#DIV/0!</v>
      </c>
      <c r="BM385" s="29" t="str">
        <f t="shared" si="3"/>
        <v>#DIV/0!</v>
      </c>
    </row>
    <row r="386">
      <c r="A386" s="16" t="str">
        <f>IFERROR(__xludf.DUMMYFUNCTION("IFERROR(SPARKLINE(SORT(MAP(TRANSPOSE(AQ386:BL386), LAMBDA(val, IF(ISNUMBER(val), PERCENTRANK(AQ386:BL386, val)+0.01, 0))), SEQUENCE(COLUMNS(AQ386:BL386)), FALSE), {""charttype"",""column""; ""color"",""chartreuse""; ""ymin"", 0; ""ymax"", 1.01; ""highcolo"&amp;"r"", ""darkgreen""; ""lowcolor"", ""red""}), """")"),"")</f>
        <v/>
      </c>
      <c r="B386" s="17" t="str">
        <f t="shared" si="4"/>
        <v/>
      </c>
      <c r="C386" s="1" t="s">
        <v>1790</v>
      </c>
      <c r="D386" s="34" t="str">
        <f>IFERROR(__xludf.DUMMYFUNCTION("IFERROR(GOOGLEFINANCE(C386, ""NAME""))"),"Apex Treasury Corp")</f>
        <v>Apex Treasury Corp</v>
      </c>
      <c r="E386" s="30" t="s">
        <v>161</v>
      </c>
      <c r="F386" s="33" t="str">
        <f>IFERROR(__xludf.DUMMYFUNCTION("( (GOOGLEFINANCE(C386, ""price"") - Q386) / Q386 ) / (R386 / 100)"),"Loading...")</f>
        <v>Loading...</v>
      </c>
      <c r="G386" s="20" t="str">
        <f>IFERROR(__xludf.DUMMYFUNCTION("AVERAGE(ARRAYFORMULA(100 * (QUERY(GOOGLEFINANCE(C386, ""high"", TODAY()-40, TODAY()), ""SELECT Col2 WHERE Col2 IS NOT NULL ORDER BY Col1 DESC LIMIT 20"", 0) / QUERY(GOOGLEFINANCE(C386, ""low"", TODAY()-40, TODAY()), ""SELECT Col2 WHERE Col2 IS NOT NULL OR"&amp;"DER BY Col1 DESC LIMIT 20"", 0) - 1)))"),"#N/A")</f>
        <v>#N/A</v>
      </c>
      <c r="H386" s="35" t="str">
        <f t="shared" si="6"/>
        <v/>
      </c>
      <c r="I386" s="36" t="str">
        <f t="shared" si="7"/>
        <v/>
      </c>
      <c r="J386" s="37" t="str">
        <f>IFERROR(__xludf.DUMMYFUNCTION("IFERROR(
  IF(C386="""",, 
    IFERROR(
      GOOGLEFINANCE(C386, ""price"") * GOOGLEFINANCE(C386, ""volumeavg""), 
      GOOGLEFINANCE(C386, ""price"") * AVERAGE(QUERY(GOOGLEFINANCE(C386, ""volume"", TODAY()-40, TODAY()), ""SELECT Col2 WHERE Col2 IS NOT "&amp;"NULL ORDER BY Col1 DESC LIMIT 20"", 0))
    )
  ), 
"""")"),"")</f>
        <v/>
      </c>
      <c r="K386" s="21" t="str">
        <f>IFERROR(__xludf.DUMMYFUNCTION("IFERROR(GOOGLEFINANCE(C386, ""changepct"") / 100, """")"),"")</f>
        <v/>
      </c>
      <c r="L386" s="21" t="str">
        <f>IFERROR(__xludf.DUMMYFUNCTION("IFERROR((GOOGLEFINANCE(C386, ""price"") / INDEX(GOOGLEFINANCE(C386, ""price"", TODAY()-7, TODAY()), 2, 2)) - 1, """")"),"")</f>
        <v/>
      </c>
      <c r="M386" s="21" t="str">
        <f>IFERROR(__xludf.DUMMYFUNCTION("IFERROR((GOOGLEFINANCE(C386, ""price"") / INDEX(GOOGLEFINANCE(C386, ""price"", EDATE(TODAY(), -1), TODAY()), 2, 2)) - 1, """")"),"")</f>
        <v/>
      </c>
      <c r="N386" s="21" t="str">
        <f>IFERROR(__xludf.DUMMYFUNCTION("IFERROR((GOOGLEFINANCE(C386, ""price"") / INDEX(GOOGLEFINANCE(C386, ""price"", EDATE(TODAY(), -3), TODAY()), 2, 2)) - 1, """")"),"")</f>
        <v/>
      </c>
      <c r="O386" s="21" t="str">
        <f>IFERROR(__xludf.DUMMYFUNCTION("IFERROR((GOOGLEFINANCE(C386, ""price"") / INDEX(GOOGLEFINANCE(C386, ""price"", EDATE(TODAY(), -6), TODAY()), 2, 2)) - 1, """")"),"")</f>
        <v/>
      </c>
      <c r="P386" s="21" t="str">
        <f>IFERROR(__xludf.DUMMYFUNCTION("IFERROR((GOOGLEFINANCE(C386, ""price"") / INDEX(GOOGLEFINANCE(C386, ""price"", EDATE(TODAY(), -12), TODAY()), 2, 2)) - 1, """")"),"")</f>
        <v/>
      </c>
      <c r="Q386" s="6" t="str">
        <f>IFERROR(__xludf.DUMMYFUNCTION("AVERAGE(QUERY(GOOGLEFINANCE(C386, ""price"", TODAY()-80, TODAY()), ""SELECT Col2 WHERE Col2 IS NOT NULL ORDER BY Col1 DESC LIMIT 50"", 0))"),"#N/A")</f>
        <v>#N/A</v>
      </c>
      <c r="R386" s="24" t="str">
        <f>IFERROR(__xludf.DUMMYFUNCTION("IFERROR(
  LET(
    data, QUERY(GOOGLEFINANCE(C386,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GOOGLEFINANCE(C386, ""price"")) * 100,
    IF(calc=0, G386, calc)
  ), 
G386)"),"#N/A")</f>
        <v>#N/A</v>
      </c>
      <c r="S386" s="8" t="s">
        <v>15</v>
      </c>
      <c r="T386" s="26" t="str">
        <f>IFERROR(__xludf.DUMMYFUNCTION("IFERROR(TRANSPOSE(QUERY(IFERROR(SORT(GOOGLEFINANCE(C386, ""price"", WORKDAY(TODAY(), -40), TODAY()), 1, FALSE)), ""select Col2 where Col2 is not null limit 22 label Col2 ''"", 0)), """")"),"")</f>
        <v/>
      </c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8"/>
      <c r="AO386" s="28"/>
      <c r="AP386" s="29"/>
      <c r="AQ386" s="29" t="str">
        <f t="shared" ref="AQ386:BL386" si="389">T386/T$2</f>
        <v>#N/A</v>
      </c>
      <c r="AR386" s="29" t="str">
        <f t="shared" si="389"/>
        <v>#DIV/0!</v>
      </c>
      <c r="AS386" s="29" t="str">
        <f t="shared" si="389"/>
        <v>#DIV/0!</v>
      </c>
      <c r="AT386" s="29" t="str">
        <f t="shared" si="389"/>
        <v>#DIV/0!</v>
      </c>
      <c r="AU386" s="29" t="str">
        <f t="shared" si="389"/>
        <v>#DIV/0!</v>
      </c>
      <c r="AV386" s="29" t="str">
        <f t="shared" si="389"/>
        <v>#DIV/0!</v>
      </c>
      <c r="AW386" s="29" t="str">
        <f t="shared" si="389"/>
        <v>#DIV/0!</v>
      </c>
      <c r="AX386" s="29" t="str">
        <f t="shared" si="389"/>
        <v>#DIV/0!</v>
      </c>
      <c r="AY386" s="29" t="str">
        <f t="shared" si="389"/>
        <v>#DIV/0!</v>
      </c>
      <c r="AZ386" s="29" t="str">
        <f t="shared" si="389"/>
        <v>#DIV/0!</v>
      </c>
      <c r="BA386" s="29" t="str">
        <f t="shared" si="389"/>
        <v>#DIV/0!</v>
      </c>
      <c r="BB386" s="29" t="str">
        <f t="shared" si="389"/>
        <v>#DIV/0!</v>
      </c>
      <c r="BC386" s="29" t="str">
        <f t="shared" si="389"/>
        <v>#DIV/0!</v>
      </c>
      <c r="BD386" s="29" t="str">
        <f t="shared" si="389"/>
        <v>#DIV/0!</v>
      </c>
      <c r="BE386" s="29" t="str">
        <f t="shared" si="389"/>
        <v>#DIV/0!</v>
      </c>
      <c r="BF386" s="29" t="str">
        <f t="shared" si="389"/>
        <v>#DIV/0!</v>
      </c>
      <c r="BG386" s="29" t="str">
        <f t="shared" si="389"/>
        <v>#DIV/0!</v>
      </c>
      <c r="BH386" s="29" t="str">
        <f t="shared" si="389"/>
        <v>#DIV/0!</v>
      </c>
      <c r="BI386" s="29" t="str">
        <f t="shared" si="389"/>
        <v>#DIV/0!</v>
      </c>
      <c r="BJ386" s="29" t="str">
        <f t="shared" si="389"/>
        <v>#DIV/0!</v>
      </c>
      <c r="BK386" s="29" t="str">
        <f t="shared" si="389"/>
        <v>#DIV/0!</v>
      </c>
      <c r="BL386" s="29" t="str">
        <f t="shared" si="389"/>
        <v>#DIV/0!</v>
      </c>
      <c r="BM386" s="29" t="str">
        <f t="shared" si="3"/>
        <v>#DIV/0!</v>
      </c>
    </row>
    <row r="387">
      <c r="A387" s="16" t="str">
        <f>IFERROR(__xludf.DUMMYFUNCTION("IFERROR(SPARKLINE(SORT(MAP(TRANSPOSE(AQ387:BL387), LAMBDA(val, IF(ISNUMBER(val), PERCENTRANK(AQ387:BL387, val)+0.01, 0))), SEQUENCE(COLUMNS(AQ387:BL387)), FALSE), {""charttype"",""column""; ""color"",""chartreuse""; ""ymin"", 0; ""ymax"", 1.01; ""highcolo"&amp;"r"", ""darkgreen""; ""lowcolor"", ""red""}), """")"),"")</f>
        <v/>
      </c>
      <c r="B387" s="17" t="str">
        <f t="shared" si="4"/>
        <v/>
      </c>
      <c r="C387" s="1" t="s">
        <v>1794</v>
      </c>
      <c r="D387" s="34" t="str">
        <f>IFERROR(__xludf.DUMMYFUNCTION("IFERROR(GOOGLEFINANCE(C387, ""NAME""))"),"Range Capital Acquisition II Corp")</f>
        <v>Range Capital Acquisition II Corp</v>
      </c>
      <c r="E387" s="30" t="s">
        <v>161</v>
      </c>
      <c r="F387" s="33" t="str">
        <f>IFERROR(__xludf.DUMMYFUNCTION("( (GOOGLEFINANCE(C387, ""price"") - Q387) / Q387 ) / (R387 / 100)"),"Loading...")</f>
        <v>Loading...</v>
      </c>
      <c r="G387" s="20" t="str">
        <f>IFERROR(__xludf.DUMMYFUNCTION("AVERAGE(ARRAYFORMULA(100 * (QUERY(GOOGLEFINANCE(C387, ""high"", TODAY()-40, TODAY()), ""SELECT Col2 WHERE Col2 IS NOT NULL ORDER BY Col1 DESC LIMIT 20"", 0) / QUERY(GOOGLEFINANCE(C387, ""low"", TODAY()-40, TODAY()), ""SELECT Col2 WHERE Col2 IS NOT NULL OR"&amp;"DER BY Col1 DESC LIMIT 20"", 0) - 1)))"),"#N/A")</f>
        <v>#N/A</v>
      </c>
      <c r="H387" s="35" t="str">
        <f t="shared" si="6"/>
        <v/>
      </c>
      <c r="I387" s="36" t="str">
        <f t="shared" si="7"/>
        <v/>
      </c>
      <c r="J387" s="37" t="str">
        <f>IFERROR(__xludf.DUMMYFUNCTION("IFERROR(
  IF(C387="""",, 
    IFERROR(
      GOOGLEFINANCE(C387, ""price"") * GOOGLEFINANCE(C387, ""volumeavg""), 
      GOOGLEFINANCE(C387, ""price"") * AVERAGE(QUERY(GOOGLEFINANCE(C387, ""volume"", TODAY()-40, TODAY()), ""SELECT Col2 WHERE Col2 IS NOT "&amp;"NULL ORDER BY Col1 DESC LIMIT 20"", 0))
    )
  ), 
"""")"),"")</f>
        <v/>
      </c>
      <c r="K387" s="21" t="str">
        <f>IFERROR(__xludf.DUMMYFUNCTION("IFERROR(GOOGLEFINANCE(C387, ""changepct"") / 100, """")"),"")</f>
        <v/>
      </c>
      <c r="L387" s="21" t="str">
        <f>IFERROR(__xludf.DUMMYFUNCTION("IFERROR((GOOGLEFINANCE(C387, ""price"") / INDEX(GOOGLEFINANCE(C387, ""price"", TODAY()-7, TODAY()), 2, 2)) - 1, """")"),"")</f>
        <v/>
      </c>
      <c r="M387" s="21" t="str">
        <f>IFERROR(__xludf.DUMMYFUNCTION("IFERROR((GOOGLEFINANCE(C387, ""price"") / INDEX(GOOGLEFINANCE(C387, ""price"", EDATE(TODAY(), -1), TODAY()), 2, 2)) - 1, """")"),"")</f>
        <v/>
      </c>
      <c r="N387" s="21" t="str">
        <f>IFERROR(__xludf.DUMMYFUNCTION("IFERROR((GOOGLEFINANCE(C387, ""price"") / INDEX(GOOGLEFINANCE(C387, ""price"", EDATE(TODAY(), -3), TODAY()), 2, 2)) - 1, """")"),"")</f>
        <v/>
      </c>
      <c r="O387" s="21" t="str">
        <f>IFERROR(__xludf.DUMMYFUNCTION("IFERROR((GOOGLEFINANCE(C387, ""price"") / INDEX(GOOGLEFINANCE(C387, ""price"", EDATE(TODAY(), -6), TODAY()), 2, 2)) - 1, """")"),"")</f>
        <v/>
      </c>
      <c r="P387" s="21" t="str">
        <f>IFERROR(__xludf.DUMMYFUNCTION("IFERROR((GOOGLEFINANCE(C387, ""price"") / INDEX(GOOGLEFINANCE(C387, ""price"", EDATE(TODAY(), -12), TODAY()), 2, 2)) - 1, """")"),"")</f>
        <v/>
      </c>
      <c r="Q387" s="6" t="str">
        <f>IFERROR(__xludf.DUMMYFUNCTION("AVERAGE(QUERY(GOOGLEFINANCE(C387, ""price"", TODAY()-80, TODAY()), ""SELECT Col2 WHERE Col2 IS NOT NULL ORDER BY Col1 DESC LIMIT 50"", 0))"),"#N/A")</f>
        <v>#N/A</v>
      </c>
      <c r="R387" s="24" t="str">
        <f>IFERROR(__xludf.DUMMYFUNCTION("IFERROR(
  LET(
    data, QUERY(GOOGLEFINANCE(C387,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GOOGLEFINANCE(C387, ""price"")) * 100,
    IF(calc=0, G387, calc)
  ), 
G387)"),"#N/A")</f>
        <v>#N/A</v>
      </c>
      <c r="S387" s="8" t="s">
        <v>15</v>
      </c>
      <c r="T387" s="26" t="str">
        <f>IFERROR(__xludf.DUMMYFUNCTION("IFERROR(TRANSPOSE(QUERY(IFERROR(SORT(GOOGLEFINANCE(C387, ""price"", WORKDAY(TODAY(), -40), TODAY()), 1, FALSE)), ""select Col2 where Col2 is not null limit 22 label Col2 ''"", 0)), """")"),"")</f>
        <v/>
      </c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8"/>
      <c r="AO387" s="28"/>
      <c r="AP387" s="29"/>
      <c r="AQ387" s="29" t="str">
        <f t="shared" ref="AQ387:BL387" si="390">T387/T$2</f>
        <v>#N/A</v>
      </c>
      <c r="AR387" s="29" t="str">
        <f t="shared" si="390"/>
        <v>#DIV/0!</v>
      </c>
      <c r="AS387" s="29" t="str">
        <f t="shared" si="390"/>
        <v>#DIV/0!</v>
      </c>
      <c r="AT387" s="29" t="str">
        <f t="shared" si="390"/>
        <v>#DIV/0!</v>
      </c>
      <c r="AU387" s="29" t="str">
        <f t="shared" si="390"/>
        <v>#DIV/0!</v>
      </c>
      <c r="AV387" s="29" t="str">
        <f t="shared" si="390"/>
        <v>#DIV/0!</v>
      </c>
      <c r="AW387" s="29" t="str">
        <f t="shared" si="390"/>
        <v>#DIV/0!</v>
      </c>
      <c r="AX387" s="29" t="str">
        <f t="shared" si="390"/>
        <v>#DIV/0!</v>
      </c>
      <c r="AY387" s="29" t="str">
        <f t="shared" si="390"/>
        <v>#DIV/0!</v>
      </c>
      <c r="AZ387" s="29" t="str">
        <f t="shared" si="390"/>
        <v>#DIV/0!</v>
      </c>
      <c r="BA387" s="29" t="str">
        <f t="shared" si="390"/>
        <v>#DIV/0!</v>
      </c>
      <c r="BB387" s="29" t="str">
        <f t="shared" si="390"/>
        <v>#DIV/0!</v>
      </c>
      <c r="BC387" s="29" t="str">
        <f t="shared" si="390"/>
        <v>#DIV/0!</v>
      </c>
      <c r="BD387" s="29" t="str">
        <f t="shared" si="390"/>
        <v>#DIV/0!</v>
      </c>
      <c r="BE387" s="29" t="str">
        <f t="shared" si="390"/>
        <v>#DIV/0!</v>
      </c>
      <c r="BF387" s="29" t="str">
        <f t="shared" si="390"/>
        <v>#DIV/0!</v>
      </c>
      <c r="BG387" s="29" t="str">
        <f t="shared" si="390"/>
        <v>#DIV/0!</v>
      </c>
      <c r="BH387" s="29" t="str">
        <f t="shared" si="390"/>
        <v>#DIV/0!</v>
      </c>
      <c r="BI387" s="29" t="str">
        <f t="shared" si="390"/>
        <v>#DIV/0!</v>
      </c>
      <c r="BJ387" s="29" t="str">
        <f t="shared" si="390"/>
        <v>#DIV/0!</v>
      </c>
      <c r="BK387" s="29" t="str">
        <f t="shared" si="390"/>
        <v>#DIV/0!</v>
      </c>
      <c r="BL387" s="29" t="str">
        <f t="shared" si="390"/>
        <v>#DIV/0!</v>
      </c>
      <c r="BM387" s="29" t="str">
        <f t="shared" si="3"/>
        <v>#DIV/0!</v>
      </c>
    </row>
    <row r="388">
      <c r="A388" s="16" t="str">
        <f>IFERROR(__xludf.DUMMYFUNCTION("IFERROR(SPARKLINE(SORT(MAP(TRANSPOSE(AQ388:BL388), LAMBDA(val, IF(ISNUMBER(val), PERCENTRANK(AQ388:BL388, val)+0.01, 0))), SEQUENCE(COLUMNS(AQ388:BL388)), FALSE), {""charttype"",""column""; ""color"",""chartreuse""; ""ymin"", 0; ""ymax"", 1.01; ""highcolo"&amp;"r"", ""darkgreen""; ""lowcolor"", ""red""}), """")"),"")</f>
        <v/>
      </c>
      <c r="B388" s="17" t="str">
        <f t="shared" si="4"/>
        <v/>
      </c>
      <c r="C388" s="1" t="s">
        <v>1798</v>
      </c>
      <c r="D388" s="34" t="str">
        <f>IFERROR(__xludf.DUMMYFUNCTION("IFERROR(GOOGLEFINANCE(C388, ""NAME""))"),"Karbon Capital Partners Units")</f>
        <v>Karbon Capital Partners Units</v>
      </c>
      <c r="E388" s="30" t="s">
        <v>161</v>
      </c>
      <c r="F388" s="33" t="str">
        <f>IFERROR(__xludf.DUMMYFUNCTION("( (GOOGLEFINANCE(C388, ""price"") - Q388) / Q388 ) / (R388 / 100)"),"Loading...")</f>
        <v>Loading...</v>
      </c>
      <c r="G388" s="20" t="str">
        <f>IFERROR(__xludf.DUMMYFUNCTION("AVERAGE(ARRAYFORMULA(100 * (QUERY(GOOGLEFINANCE(C388, ""high"", TODAY()-40, TODAY()), ""SELECT Col2 WHERE Col2 IS NOT NULL ORDER BY Col1 DESC LIMIT 20"", 0) / QUERY(GOOGLEFINANCE(C388, ""low"", TODAY()-40, TODAY()), ""SELECT Col2 WHERE Col2 IS NOT NULL OR"&amp;"DER BY Col1 DESC LIMIT 20"", 0) - 1)))"),"#N/A")</f>
        <v>#N/A</v>
      </c>
      <c r="H388" s="35" t="str">
        <f t="shared" si="6"/>
        <v/>
      </c>
      <c r="I388" s="36" t="str">
        <f t="shared" si="7"/>
        <v/>
      </c>
      <c r="J388" s="37" t="str">
        <f>IFERROR(__xludf.DUMMYFUNCTION("IFERROR(
  IF(C388="""",, 
    IFERROR(
      GOOGLEFINANCE(C388, ""price"") * GOOGLEFINANCE(C388, ""volumeavg""), 
      GOOGLEFINANCE(C388, ""price"") * AVERAGE(QUERY(GOOGLEFINANCE(C388, ""volume"", TODAY()-40, TODAY()), ""SELECT Col2 WHERE Col2 IS NOT "&amp;"NULL ORDER BY Col1 DESC LIMIT 20"", 0))
    )
  ), 
"""")"),"")</f>
        <v/>
      </c>
      <c r="K388" s="21" t="str">
        <f>IFERROR(__xludf.DUMMYFUNCTION("IFERROR(GOOGLEFINANCE(C388, ""changepct"") / 100, """")"),"")</f>
        <v/>
      </c>
      <c r="L388" s="21" t="str">
        <f>IFERROR(__xludf.DUMMYFUNCTION("IFERROR((GOOGLEFINANCE(C388, ""price"") / INDEX(GOOGLEFINANCE(C388, ""price"", TODAY()-7, TODAY()), 2, 2)) - 1, """")"),"")</f>
        <v/>
      </c>
      <c r="M388" s="21" t="str">
        <f>IFERROR(__xludf.DUMMYFUNCTION("IFERROR((GOOGLEFINANCE(C388, ""price"") / INDEX(GOOGLEFINANCE(C388, ""price"", EDATE(TODAY(), -1), TODAY()), 2, 2)) - 1, """")"),"")</f>
        <v/>
      </c>
      <c r="N388" s="21" t="str">
        <f>IFERROR(__xludf.DUMMYFUNCTION("IFERROR((GOOGLEFINANCE(C388, ""price"") / INDEX(GOOGLEFINANCE(C388, ""price"", EDATE(TODAY(), -3), TODAY()), 2, 2)) - 1, """")"),"")</f>
        <v/>
      </c>
      <c r="O388" s="21" t="str">
        <f>IFERROR(__xludf.DUMMYFUNCTION("IFERROR((GOOGLEFINANCE(C388, ""price"") / INDEX(GOOGLEFINANCE(C388, ""price"", EDATE(TODAY(), -6), TODAY()), 2, 2)) - 1, """")"),"")</f>
        <v/>
      </c>
      <c r="P388" s="21" t="str">
        <f>IFERROR(__xludf.DUMMYFUNCTION("IFERROR((GOOGLEFINANCE(C388, ""price"") / INDEX(GOOGLEFINANCE(C388, ""price"", EDATE(TODAY(), -12), TODAY()), 2, 2)) - 1, """")"),"")</f>
        <v/>
      </c>
      <c r="Q388" s="6" t="str">
        <f>IFERROR(__xludf.DUMMYFUNCTION("AVERAGE(QUERY(GOOGLEFINANCE(C388, ""price"", TODAY()-80, TODAY()), ""SELECT Col2 WHERE Col2 IS NOT NULL ORDER BY Col1 DESC LIMIT 50"", 0))"),"#N/A")</f>
        <v>#N/A</v>
      </c>
      <c r="R388" s="24" t="str">
        <f>IFERROR(__xludf.DUMMYFUNCTION("IFERROR(
  LET(
    data, QUERY(GOOGLEFINANCE(C388,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GOOGLEFINANCE(C388, ""price"")) * 100,
    IF(calc=0, G388, calc)
  ), 
G388)"),"#N/A")</f>
        <v>#N/A</v>
      </c>
      <c r="S388" s="8" t="s">
        <v>15</v>
      </c>
      <c r="T388" s="26" t="str">
        <f>IFERROR(__xludf.DUMMYFUNCTION("IFERROR(TRANSPOSE(QUERY(IFERROR(SORT(GOOGLEFINANCE(C388, ""price"", WORKDAY(TODAY(), -40), TODAY()), 1, FALSE)), ""select Col2 where Col2 is not null limit 22 label Col2 ''"", 0)), """")"),"")</f>
        <v/>
      </c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8"/>
      <c r="AO388" s="28"/>
      <c r="AP388" s="29"/>
      <c r="AQ388" s="29" t="str">
        <f t="shared" ref="AQ388:BL388" si="391">T388/T$2</f>
        <v>#N/A</v>
      </c>
      <c r="AR388" s="29" t="str">
        <f t="shared" si="391"/>
        <v>#DIV/0!</v>
      </c>
      <c r="AS388" s="29" t="str">
        <f t="shared" si="391"/>
        <v>#DIV/0!</v>
      </c>
      <c r="AT388" s="29" t="str">
        <f t="shared" si="391"/>
        <v>#DIV/0!</v>
      </c>
      <c r="AU388" s="29" t="str">
        <f t="shared" si="391"/>
        <v>#DIV/0!</v>
      </c>
      <c r="AV388" s="29" t="str">
        <f t="shared" si="391"/>
        <v>#DIV/0!</v>
      </c>
      <c r="AW388" s="29" t="str">
        <f t="shared" si="391"/>
        <v>#DIV/0!</v>
      </c>
      <c r="AX388" s="29" t="str">
        <f t="shared" si="391"/>
        <v>#DIV/0!</v>
      </c>
      <c r="AY388" s="29" t="str">
        <f t="shared" si="391"/>
        <v>#DIV/0!</v>
      </c>
      <c r="AZ388" s="29" t="str">
        <f t="shared" si="391"/>
        <v>#DIV/0!</v>
      </c>
      <c r="BA388" s="29" t="str">
        <f t="shared" si="391"/>
        <v>#DIV/0!</v>
      </c>
      <c r="BB388" s="29" t="str">
        <f t="shared" si="391"/>
        <v>#DIV/0!</v>
      </c>
      <c r="BC388" s="29" t="str">
        <f t="shared" si="391"/>
        <v>#DIV/0!</v>
      </c>
      <c r="BD388" s="29" t="str">
        <f t="shared" si="391"/>
        <v>#DIV/0!</v>
      </c>
      <c r="BE388" s="29" t="str">
        <f t="shared" si="391"/>
        <v>#DIV/0!</v>
      </c>
      <c r="BF388" s="29" t="str">
        <f t="shared" si="391"/>
        <v>#DIV/0!</v>
      </c>
      <c r="BG388" s="29" t="str">
        <f t="shared" si="391"/>
        <v>#DIV/0!</v>
      </c>
      <c r="BH388" s="29" t="str">
        <f t="shared" si="391"/>
        <v>#DIV/0!</v>
      </c>
      <c r="BI388" s="29" t="str">
        <f t="shared" si="391"/>
        <v>#DIV/0!</v>
      </c>
      <c r="BJ388" s="29" t="str">
        <f t="shared" si="391"/>
        <v>#DIV/0!</v>
      </c>
      <c r="BK388" s="29" t="str">
        <f t="shared" si="391"/>
        <v>#DIV/0!</v>
      </c>
      <c r="BL388" s="29" t="str">
        <f t="shared" si="391"/>
        <v>#DIV/0!</v>
      </c>
      <c r="BM388" s="29" t="str">
        <f t="shared" si="3"/>
        <v>#DIV/0!</v>
      </c>
    </row>
    <row r="389">
      <c r="A389" s="16" t="str">
        <f>IFERROR(__xludf.DUMMYFUNCTION("IFERROR(SPARKLINE(SORT(MAP(TRANSPOSE(AQ389:BL389), LAMBDA(val, IF(ISNUMBER(val), PERCENTRANK(AQ389:BL389, val)+0.01, 0))), SEQUENCE(COLUMNS(AQ389:BL389)), FALSE), {""charttype"",""column""; ""color"",""chartreuse""; ""ymin"", 0; ""ymax"", 1.01; ""highcolo"&amp;"r"", ""darkgreen""; ""lowcolor"", ""red""}), """")"),"")</f>
        <v/>
      </c>
      <c r="B389" s="17" t="str">
        <f t="shared" si="4"/>
        <v/>
      </c>
      <c r="C389" s="1" t="s">
        <v>1802</v>
      </c>
      <c r="D389" s="34" t="str">
        <f>IFERROR(__xludf.DUMMYFUNCTION("IFERROR(GOOGLEFINANCE(C389, ""NAME""))"),"KKR &amp; Co Inc")</f>
        <v>KKR &amp; Co Inc</v>
      </c>
      <c r="E389" s="30" t="s">
        <v>64</v>
      </c>
      <c r="F389" s="33" t="str">
        <f>IFERROR(__xludf.DUMMYFUNCTION("( (GOOGLEFINANCE(C389, ""price"") - Q389) / Q389 ) / (R389 / 100)"),"Loading...")</f>
        <v>Loading...</v>
      </c>
      <c r="G389" s="20" t="str">
        <f>IFERROR(__xludf.DUMMYFUNCTION("AVERAGE(ARRAYFORMULA(100 * (QUERY(GOOGLEFINANCE(C389, ""high"", TODAY()-40, TODAY()), ""SELECT Col2 WHERE Col2 IS NOT NULL ORDER BY Col1 DESC LIMIT 20"", 0) / QUERY(GOOGLEFINANCE(C389, ""low"", TODAY()-40, TODAY()), ""SELECT Col2 WHERE Col2 IS NOT NULL OR"&amp;"DER BY Col1 DESC LIMIT 20"", 0) - 1)))"),"#N/A")</f>
        <v>#N/A</v>
      </c>
      <c r="H389" s="35" t="str">
        <f t="shared" si="6"/>
        <v/>
      </c>
      <c r="I389" s="36" t="str">
        <f t="shared" si="7"/>
        <v/>
      </c>
      <c r="J389" s="37" t="str">
        <f>IFERROR(__xludf.DUMMYFUNCTION("IFERROR(
  IF(C389="""",, 
    IFERROR(
      GOOGLEFINANCE(C389, ""price"") * GOOGLEFINANCE(C389, ""volumeavg""), 
      GOOGLEFINANCE(C389, ""price"") * AVERAGE(QUERY(GOOGLEFINANCE(C389, ""volume"", TODAY()-40, TODAY()), ""SELECT Col2 WHERE Col2 IS NOT "&amp;"NULL ORDER BY Col1 DESC LIMIT 20"", 0))
    )
  ), 
"""")"),"")</f>
        <v/>
      </c>
      <c r="K389" s="21" t="str">
        <f>IFERROR(__xludf.DUMMYFUNCTION("IFERROR(GOOGLEFINANCE(C389, ""changepct"") / 100, """")"),"")</f>
        <v/>
      </c>
      <c r="L389" s="21" t="str">
        <f>IFERROR(__xludf.DUMMYFUNCTION("IFERROR((GOOGLEFINANCE(C389, ""price"") / INDEX(GOOGLEFINANCE(C389, ""price"", TODAY()-7, TODAY()), 2, 2)) - 1, """")"),"")</f>
        <v/>
      </c>
      <c r="M389" s="21" t="str">
        <f>IFERROR(__xludf.DUMMYFUNCTION("IFERROR((GOOGLEFINANCE(C389, ""price"") / INDEX(GOOGLEFINANCE(C389, ""price"", EDATE(TODAY(), -1), TODAY()), 2, 2)) - 1, """")"),"")</f>
        <v/>
      </c>
      <c r="N389" s="21" t="str">
        <f>IFERROR(__xludf.DUMMYFUNCTION("IFERROR((GOOGLEFINANCE(C389, ""price"") / INDEX(GOOGLEFINANCE(C389, ""price"", EDATE(TODAY(), -3), TODAY()), 2, 2)) - 1, """")"),"")</f>
        <v/>
      </c>
      <c r="O389" s="21" t="str">
        <f>IFERROR(__xludf.DUMMYFUNCTION("IFERROR((GOOGLEFINANCE(C389, ""price"") / INDEX(GOOGLEFINANCE(C389, ""price"", EDATE(TODAY(), -6), TODAY()), 2, 2)) - 1, """")"),"")</f>
        <v/>
      </c>
      <c r="P389" s="21" t="str">
        <f>IFERROR(__xludf.DUMMYFUNCTION("IFERROR((GOOGLEFINANCE(C389, ""price"") / INDEX(GOOGLEFINANCE(C389, ""price"", EDATE(TODAY(), -12), TODAY()), 2, 2)) - 1, """")"),"")</f>
        <v/>
      </c>
      <c r="Q389" s="6" t="str">
        <f>IFERROR(__xludf.DUMMYFUNCTION("AVERAGE(QUERY(GOOGLEFINANCE(C389, ""price"", TODAY()-80, TODAY()), ""SELECT Col2 WHERE Col2 IS NOT NULL ORDER BY Col1 DESC LIMIT 50"", 0))"),"#N/A")</f>
        <v>#N/A</v>
      </c>
      <c r="R389" s="24" t="str">
        <f>IFERROR(__xludf.DUMMYFUNCTION("IFERROR(
  LET(
    data, QUERY(GOOGLEFINANCE(C389,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GOOGLEFINANCE(C389, ""price"")) * 100,
    IF(calc=0, G389, calc)
  ), 
G389)"),"#N/A")</f>
        <v>#N/A</v>
      </c>
      <c r="S389" s="8" t="s">
        <v>15</v>
      </c>
      <c r="T389" s="26" t="str">
        <f>IFERROR(__xludf.DUMMYFUNCTION("IFERROR(TRANSPOSE(QUERY(IFERROR(SORT(GOOGLEFINANCE(C389, ""price"", WORKDAY(TODAY(), -40), TODAY()), 1, FALSE)), ""select Col2 where Col2 is not null limit 22 label Col2 ''"", 0)), """")"),"")</f>
        <v/>
      </c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8"/>
      <c r="AO389" s="28"/>
      <c r="AP389" s="29"/>
      <c r="AQ389" s="29" t="str">
        <f t="shared" ref="AQ389:BL389" si="392">T389/T$2</f>
        <v>#N/A</v>
      </c>
      <c r="AR389" s="29" t="str">
        <f t="shared" si="392"/>
        <v>#DIV/0!</v>
      </c>
      <c r="AS389" s="29" t="str">
        <f t="shared" si="392"/>
        <v>#DIV/0!</v>
      </c>
      <c r="AT389" s="29" t="str">
        <f t="shared" si="392"/>
        <v>#DIV/0!</v>
      </c>
      <c r="AU389" s="29" t="str">
        <f t="shared" si="392"/>
        <v>#DIV/0!</v>
      </c>
      <c r="AV389" s="29" t="str">
        <f t="shared" si="392"/>
        <v>#DIV/0!</v>
      </c>
      <c r="AW389" s="29" t="str">
        <f t="shared" si="392"/>
        <v>#DIV/0!</v>
      </c>
      <c r="AX389" s="29" t="str">
        <f t="shared" si="392"/>
        <v>#DIV/0!</v>
      </c>
      <c r="AY389" s="29" t="str">
        <f t="shared" si="392"/>
        <v>#DIV/0!</v>
      </c>
      <c r="AZ389" s="29" t="str">
        <f t="shared" si="392"/>
        <v>#DIV/0!</v>
      </c>
      <c r="BA389" s="29" t="str">
        <f t="shared" si="392"/>
        <v>#DIV/0!</v>
      </c>
      <c r="BB389" s="29" t="str">
        <f t="shared" si="392"/>
        <v>#DIV/0!</v>
      </c>
      <c r="BC389" s="29" t="str">
        <f t="shared" si="392"/>
        <v>#DIV/0!</v>
      </c>
      <c r="BD389" s="29" t="str">
        <f t="shared" si="392"/>
        <v>#DIV/0!</v>
      </c>
      <c r="BE389" s="29" t="str">
        <f t="shared" si="392"/>
        <v>#DIV/0!</v>
      </c>
      <c r="BF389" s="29" t="str">
        <f t="shared" si="392"/>
        <v>#DIV/0!</v>
      </c>
      <c r="BG389" s="29" t="str">
        <f t="shared" si="392"/>
        <v>#DIV/0!</v>
      </c>
      <c r="BH389" s="29" t="str">
        <f t="shared" si="392"/>
        <v>#DIV/0!</v>
      </c>
      <c r="BI389" s="29" t="str">
        <f t="shared" si="392"/>
        <v>#DIV/0!</v>
      </c>
      <c r="BJ389" s="29" t="str">
        <f t="shared" si="392"/>
        <v>#DIV/0!</v>
      </c>
      <c r="BK389" s="29" t="str">
        <f t="shared" si="392"/>
        <v>#DIV/0!</v>
      </c>
      <c r="BL389" s="29" t="str">
        <f t="shared" si="392"/>
        <v>#DIV/0!</v>
      </c>
      <c r="BM389" s="29" t="str">
        <f t="shared" si="3"/>
        <v>#DIV/0!</v>
      </c>
    </row>
    <row r="390">
      <c r="A390" s="16" t="str">
        <f>IFERROR(__xludf.DUMMYFUNCTION("IFERROR(SPARKLINE(SORT(MAP(TRANSPOSE(AQ390:BL390), LAMBDA(val, IF(ISNUMBER(val), PERCENTRANK(AQ390:BL390, val)+0.01, 0))), SEQUENCE(COLUMNS(AQ390:BL390)), FALSE), {""charttype"",""column""; ""color"",""chartreuse""; ""ymin"", 0; ""ymax"", 1.01; ""highcolo"&amp;"r"", ""darkgreen""; ""lowcolor"", ""red""}), """")"),"")</f>
        <v/>
      </c>
      <c r="B390" s="17" t="str">
        <f t="shared" si="4"/>
        <v/>
      </c>
      <c r="C390" s="1" t="s">
        <v>1809</v>
      </c>
      <c r="D390" s="34" t="str">
        <f>IFERROR(__xludf.DUMMYFUNCTION("IFERROR(GOOGLEFINANCE(C390, ""NAME""))"),"Bgc Group Inc")</f>
        <v>Bgc Group Inc</v>
      </c>
      <c r="E390" s="30" t="s">
        <v>77</v>
      </c>
      <c r="F390" s="38" t="str">
        <f>IFERROR(__xludf.DUMMYFUNCTION("( (GOOGLEFINANCE(C390, ""price"") - Q390) / Q390 ) / (R390 / 100)"),"Loading...")</f>
        <v>Loading...</v>
      </c>
      <c r="G390" s="20" t="str">
        <f>IFERROR(__xludf.DUMMYFUNCTION("AVERAGE(ARRAYFORMULA(100 * (QUERY(GOOGLEFINANCE(C390, ""high"", TODAY()-40, TODAY()), ""SELECT Col2 WHERE Col2 IS NOT NULL ORDER BY Col1 DESC LIMIT 20"", 0) / QUERY(GOOGLEFINANCE(C390, ""low"", TODAY()-40, TODAY()), ""SELECT Col2 WHERE Col2 IS NOT NULL OR"&amp;"DER BY Col1 DESC LIMIT 20"", 0) - 1)))"),"#N/A")</f>
        <v>#N/A</v>
      </c>
      <c r="H390" s="35" t="str">
        <f t="shared" si="6"/>
        <v/>
      </c>
      <c r="I390" s="36" t="str">
        <f t="shared" si="7"/>
        <v/>
      </c>
      <c r="J390" s="37" t="str">
        <f>IFERROR(__xludf.DUMMYFUNCTION("IFERROR(
  IF(C390="""",, 
    IFERROR(
      GOOGLEFINANCE(C390, ""price"") * GOOGLEFINANCE(C390, ""volumeavg""), 
      GOOGLEFINANCE(C390, ""price"") * AVERAGE(QUERY(GOOGLEFINANCE(C390, ""volume"", TODAY()-40, TODAY()), ""SELECT Col2 WHERE Col2 IS NOT "&amp;"NULL ORDER BY Col1 DESC LIMIT 20"", 0))
    )
  ), 
"""")"),"")</f>
        <v/>
      </c>
      <c r="K390" s="21" t="str">
        <f>IFERROR(__xludf.DUMMYFUNCTION("IFERROR(GOOGLEFINANCE(C390, ""changepct"") / 100, """")"),"")</f>
        <v/>
      </c>
      <c r="L390" s="21" t="str">
        <f>IFERROR(__xludf.DUMMYFUNCTION("IFERROR((GOOGLEFINANCE(C390, ""price"") / INDEX(GOOGLEFINANCE(C390, ""price"", TODAY()-7, TODAY()), 2, 2)) - 1, """")"),"")</f>
        <v/>
      </c>
      <c r="M390" s="21" t="str">
        <f>IFERROR(__xludf.DUMMYFUNCTION("IFERROR((GOOGLEFINANCE(C390, ""price"") / INDEX(GOOGLEFINANCE(C390, ""price"", EDATE(TODAY(), -1), TODAY()), 2, 2)) - 1, """")"),"")</f>
        <v/>
      </c>
      <c r="N390" s="21" t="str">
        <f>IFERROR(__xludf.DUMMYFUNCTION("IFERROR((GOOGLEFINANCE(C390, ""price"") / INDEX(GOOGLEFINANCE(C390, ""price"", EDATE(TODAY(), -3), TODAY()), 2, 2)) - 1, """")"),"")</f>
        <v/>
      </c>
      <c r="O390" s="21" t="str">
        <f>IFERROR(__xludf.DUMMYFUNCTION("IFERROR((GOOGLEFINANCE(C390, ""price"") / INDEX(GOOGLEFINANCE(C390, ""price"", EDATE(TODAY(), -6), TODAY()), 2, 2)) - 1, """")"),"")</f>
        <v/>
      </c>
      <c r="P390" s="21" t="str">
        <f>IFERROR(__xludf.DUMMYFUNCTION("IFERROR((GOOGLEFINANCE(C390, ""price"") / INDEX(GOOGLEFINANCE(C390, ""price"", EDATE(TODAY(), -12), TODAY()), 2, 2)) - 1, """")"),"")</f>
        <v/>
      </c>
      <c r="Q390" s="6" t="str">
        <f>IFERROR(__xludf.DUMMYFUNCTION("AVERAGE(QUERY(GOOGLEFINANCE(C390, ""price"", TODAY()-80, TODAY()), ""SELECT Col2 WHERE Col2 IS NOT NULL ORDER BY Col1 DESC LIMIT 50"", 0))"),"#N/A")</f>
        <v>#N/A</v>
      </c>
      <c r="R390" s="24" t="str">
        <f>IFERROR(__xludf.DUMMYFUNCTION("IFERROR(
  LET(
    data, QUERY(GOOGLEFINANCE(C390,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GOOGLEFINANCE(C390, ""price"")) * 100,
    IF(calc=0, G390, calc)
  ), 
G390)"),"#N/A")</f>
        <v>#N/A</v>
      </c>
      <c r="S390" s="8" t="s">
        <v>15</v>
      </c>
      <c r="T390" s="26" t="str">
        <f>IFERROR(__xludf.DUMMYFUNCTION("IFERROR(TRANSPOSE(QUERY(IFERROR(SORT(GOOGLEFINANCE(C390, ""price"", WORKDAY(TODAY(), -40), TODAY()), 1, FALSE)), ""select Col2 where Col2 is not null limit 22 label Col2 ''"", 0)), """")"),"")</f>
        <v/>
      </c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8"/>
      <c r="AO390" s="28"/>
      <c r="AP390" s="29"/>
      <c r="AQ390" s="29" t="str">
        <f t="shared" ref="AQ390:BL390" si="393">T390/T$2</f>
        <v>#N/A</v>
      </c>
      <c r="AR390" s="29" t="str">
        <f t="shared" si="393"/>
        <v>#DIV/0!</v>
      </c>
      <c r="AS390" s="29" t="str">
        <f t="shared" si="393"/>
        <v>#DIV/0!</v>
      </c>
      <c r="AT390" s="29" t="str">
        <f t="shared" si="393"/>
        <v>#DIV/0!</v>
      </c>
      <c r="AU390" s="29" t="str">
        <f t="shared" si="393"/>
        <v>#DIV/0!</v>
      </c>
      <c r="AV390" s="29" t="str">
        <f t="shared" si="393"/>
        <v>#DIV/0!</v>
      </c>
      <c r="AW390" s="29" t="str">
        <f t="shared" si="393"/>
        <v>#DIV/0!</v>
      </c>
      <c r="AX390" s="29" t="str">
        <f t="shared" si="393"/>
        <v>#DIV/0!</v>
      </c>
      <c r="AY390" s="29" t="str">
        <f t="shared" si="393"/>
        <v>#DIV/0!</v>
      </c>
      <c r="AZ390" s="29" t="str">
        <f t="shared" si="393"/>
        <v>#DIV/0!</v>
      </c>
      <c r="BA390" s="29" t="str">
        <f t="shared" si="393"/>
        <v>#DIV/0!</v>
      </c>
      <c r="BB390" s="29" t="str">
        <f t="shared" si="393"/>
        <v>#DIV/0!</v>
      </c>
      <c r="BC390" s="29" t="str">
        <f t="shared" si="393"/>
        <v>#DIV/0!</v>
      </c>
      <c r="BD390" s="29" t="str">
        <f t="shared" si="393"/>
        <v>#DIV/0!</v>
      </c>
      <c r="BE390" s="29" t="str">
        <f t="shared" si="393"/>
        <v>#DIV/0!</v>
      </c>
      <c r="BF390" s="29" t="str">
        <f t="shared" si="393"/>
        <v>#DIV/0!</v>
      </c>
      <c r="BG390" s="29" t="str">
        <f t="shared" si="393"/>
        <v>#DIV/0!</v>
      </c>
      <c r="BH390" s="29" t="str">
        <f t="shared" si="393"/>
        <v>#DIV/0!</v>
      </c>
      <c r="BI390" s="29" t="str">
        <f t="shared" si="393"/>
        <v>#DIV/0!</v>
      </c>
      <c r="BJ390" s="29" t="str">
        <f t="shared" si="393"/>
        <v>#DIV/0!</v>
      </c>
      <c r="BK390" s="29" t="str">
        <f t="shared" si="393"/>
        <v>#DIV/0!</v>
      </c>
      <c r="BL390" s="29" t="str">
        <f t="shared" si="393"/>
        <v>#DIV/0!</v>
      </c>
      <c r="BM390" s="29" t="str">
        <f t="shared" si="3"/>
        <v>#DIV/0!</v>
      </c>
    </row>
    <row r="391">
      <c r="A391" s="16" t="str">
        <f>IFERROR(__xludf.DUMMYFUNCTION("IFERROR(SPARKLINE(SORT(MAP(TRANSPOSE(AQ391:BL391), LAMBDA(val, IF(ISNUMBER(val), PERCENTRANK(AQ391:BL391, val)+0.01, 0))), SEQUENCE(COLUMNS(AQ391:BL391)), FALSE), {""charttype"",""column""; ""color"",""chartreuse""; ""ymin"", 0; ""ymax"", 1.01; ""highcolo"&amp;"r"", ""darkgreen""; ""lowcolor"", ""red""}), """")"),"")</f>
        <v/>
      </c>
      <c r="B391" s="17" t="str">
        <f t="shared" si="4"/>
        <v/>
      </c>
      <c r="C391" s="1" t="s">
        <v>1813</v>
      </c>
      <c r="D391" s="34" t="str">
        <f>IFERROR(__xludf.DUMMYFUNCTION("IFERROR(GOOGLEFINANCE(C391, ""NAME""))"),"Banco Santander SA")</f>
        <v>Banco Santander SA</v>
      </c>
      <c r="E391" s="30" t="s">
        <v>236</v>
      </c>
      <c r="F391" s="33" t="str">
        <f>IFERROR(__xludf.DUMMYFUNCTION("( (GOOGLEFINANCE(C391, ""price"") - Q391) / Q391 ) / (R391 / 100)"),"Loading...")</f>
        <v>Loading...</v>
      </c>
      <c r="G391" s="20" t="str">
        <f>IFERROR(__xludf.DUMMYFUNCTION("AVERAGE(ARRAYFORMULA(100 * (QUERY(GOOGLEFINANCE(C391, ""high"", TODAY()-40, TODAY()), ""SELECT Col2 WHERE Col2 IS NOT NULL ORDER BY Col1 DESC LIMIT 20"", 0) / QUERY(GOOGLEFINANCE(C391, ""low"", TODAY()-40, TODAY()), ""SELECT Col2 WHERE Col2 IS NOT NULL OR"&amp;"DER BY Col1 DESC LIMIT 20"", 0) - 1)))"),"#N/A")</f>
        <v>#N/A</v>
      </c>
      <c r="H391" s="35" t="str">
        <f t="shared" si="6"/>
        <v/>
      </c>
      <c r="I391" s="36" t="str">
        <f t="shared" si="7"/>
        <v/>
      </c>
      <c r="J391" s="37" t="str">
        <f>IFERROR(__xludf.DUMMYFUNCTION("IFERROR(
  IF(C391="""",, 
    IFERROR(
      GOOGLEFINANCE(C391, ""price"") * GOOGLEFINANCE(C391, ""volumeavg""), 
      GOOGLEFINANCE(C391, ""price"") * AVERAGE(QUERY(GOOGLEFINANCE(C391, ""volume"", TODAY()-40, TODAY()), ""SELECT Col2 WHERE Col2 IS NOT "&amp;"NULL ORDER BY Col1 DESC LIMIT 20"", 0))
    )
  ), 
"""")"),"")</f>
        <v/>
      </c>
      <c r="K391" s="21" t="str">
        <f>IFERROR(__xludf.DUMMYFUNCTION("IFERROR(GOOGLEFINANCE(C391, ""changepct"") / 100, """")"),"")</f>
        <v/>
      </c>
      <c r="L391" s="21" t="str">
        <f>IFERROR(__xludf.DUMMYFUNCTION("IFERROR((GOOGLEFINANCE(C391, ""price"") / INDEX(GOOGLEFINANCE(C391, ""price"", TODAY()-7, TODAY()), 2, 2)) - 1, """")"),"")</f>
        <v/>
      </c>
      <c r="M391" s="21" t="str">
        <f>IFERROR(__xludf.DUMMYFUNCTION("IFERROR((GOOGLEFINANCE(C391, ""price"") / INDEX(GOOGLEFINANCE(C391, ""price"", EDATE(TODAY(), -1), TODAY()), 2, 2)) - 1, """")"),"")</f>
        <v/>
      </c>
      <c r="N391" s="21" t="str">
        <f>IFERROR(__xludf.DUMMYFUNCTION("IFERROR((GOOGLEFINANCE(C391, ""price"") / INDEX(GOOGLEFINANCE(C391, ""price"", EDATE(TODAY(), -3), TODAY()), 2, 2)) - 1, """")"),"")</f>
        <v/>
      </c>
      <c r="O391" s="21" t="str">
        <f>IFERROR(__xludf.DUMMYFUNCTION("IFERROR((GOOGLEFINANCE(C391, ""price"") / INDEX(GOOGLEFINANCE(C391, ""price"", EDATE(TODAY(), -6), TODAY()), 2, 2)) - 1, """")"),"")</f>
        <v/>
      </c>
      <c r="P391" s="21" t="str">
        <f>IFERROR(__xludf.DUMMYFUNCTION("IFERROR((GOOGLEFINANCE(C391, ""price"") / INDEX(GOOGLEFINANCE(C391, ""price"", EDATE(TODAY(), -12), TODAY()), 2, 2)) - 1, """")"),"")</f>
        <v/>
      </c>
      <c r="Q391" s="6" t="str">
        <f>IFERROR(__xludf.DUMMYFUNCTION("AVERAGE(QUERY(GOOGLEFINANCE(C391, ""price"", TODAY()-80, TODAY()), ""SELECT Col2 WHERE Col2 IS NOT NULL ORDER BY Col1 DESC LIMIT 50"", 0))"),"#N/A")</f>
        <v>#N/A</v>
      </c>
      <c r="R391" s="24" t="str">
        <f>IFERROR(__xludf.DUMMYFUNCTION("IFERROR(
  LET(
    data, QUERY(GOOGLEFINANCE(C391,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GOOGLEFINANCE(C391, ""price"")) * 100,
    IF(calc=0, G391, calc)
  ), 
G391)"),"#N/A")</f>
        <v>#N/A</v>
      </c>
      <c r="S391" s="8" t="s">
        <v>15</v>
      </c>
      <c r="T391" s="26" t="str">
        <f>IFERROR(__xludf.DUMMYFUNCTION("IFERROR(TRANSPOSE(QUERY(IFERROR(SORT(GOOGLEFINANCE(C391, ""price"", WORKDAY(TODAY(), -40), TODAY()), 1, FALSE)), ""select Col2 where Col2 is not null limit 22 label Col2 ''"", 0)), """")"),"")</f>
        <v/>
      </c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8"/>
      <c r="AO391" s="28"/>
      <c r="AP391" s="29"/>
      <c r="AQ391" s="29" t="str">
        <f t="shared" ref="AQ391:BL391" si="394">T391/T$2</f>
        <v>#N/A</v>
      </c>
      <c r="AR391" s="29" t="str">
        <f t="shared" si="394"/>
        <v>#DIV/0!</v>
      </c>
      <c r="AS391" s="29" t="str">
        <f t="shared" si="394"/>
        <v>#DIV/0!</v>
      </c>
      <c r="AT391" s="29" t="str">
        <f t="shared" si="394"/>
        <v>#DIV/0!</v>
      </c>
      <c r="AU391" s="29" t="str">
        <f t="shared" si="394"/>
        <v>#DIV/0!</v>
      </c>
      <c r="AV391" s="29" t="str">
        <f t="shared" si="394"/>
        <v>#DIV/0!</v>
      </c>
      <c r="AW391" s="29" t="str">
        <f t="shared" si="394"/>
        <v>#DIV/0!</v>
      </c>
      <c r="AX391" s="29" t="str">
        <f t="shared" si="394"/>
        <v>#DIV/0!</v>
      </c>
      <c r="AY391" s="29" t="str">
        <f t="shared" si="394"/>
        <v>#DIV/0!</v>
      </c>
      <c r="AZ391" s="29" t="str">
        <f t="shared" si="394"/>
        <v>#DIV/0!</v>
      </c>
      <c r="BA391" s="29" t="str">
        <f t="shared" si="394"/>
        <v>#DIV/0!</v>
      </c>
      <c r="BB391" s="29" t="str">
        <f t="shared" si="394"/>
        <v>#DIV/0!</v>
      </c>
      <c r="BC391" s="29" t="str">
        <f t="shared" si="394"/>
        <v>#DIV/0!</v>
      </c>
      <c r="BD391" s="29" t="str">
        <f t="shared" si="394"/>
        <v>#DIV/0!</v>
      </c>
      <c r="BE391" s="29" t="str">
        <f t="shared" si="394"/>
        <v>#DIV/0!</v>
      </c>
      <c r="BF391" s="29" t="str">
        <f t="shared" si="394"/>
        <v>#DIV/0!</v>
      </c>
      <c r="BG391" s="29" t="str">
        <f t="shared" si="394"/>
        <v>#DIV/0!</v>
      </c>
      <c r="BH391" s="29" t="str">
        <f t="shared" si="394"/>
        <v>#DIV/0!</v>
      </c>
      <c r="BI391" s="29" t="str">
        <f t="shared" si="394"/>
        <v>#DIV/0!</v>
      </c>
      <c r="BJ391" s="29" t="str">
        <f t="shared" si="394"/>
        <v>#DIV/0!</v>
      </c>
      <c r="BK391" s="29" t="str">
        <f t="shared" si="394"/>
        <v>#DIV/0!</v>
      </c>
      <c r="BL391" s="29" t="str">
        <f t="shared" si="394"/>
        <v>#DIV/0!</v>
      </c>
      <c r="BM391" s="29" t="str">
        <f t="shared" si="3"/>
        <v>#DIV/0!</v>
      </c>
    </row>
    <row r="392">
      <c r="A392" s="16" t="str">
        <f>IFERROR(__xludf.DUMMYFUNCTION("IFERROR(SPARKLINE(SORT(MAP(TRANSPOSE(AQ392:BL392), LAMBDA(val, IF(ISNUMBER(val), PERCENTRANK(AQ392:BL392, val)+0.01, 0))), SEQUENCE(COLUMNS(AQ392:BL392)), FALSE), {""charttype"",""column""; ""color"",""chartreuse""; ""ymin"", 0; ""ymax"", 1.01; ""highcolo"&amp;"r"", ""darkgreen""; ""lowcolor"", ""red""}), """")"),"")</f>
        <v/>
      </c>
      <c r="B392" s="17" t="str">
        <f t="shared" si="4"/>
        <v/>
      </c>
      <c r="C392" s="1" t="s">
        <v>1817</v>
      </c>
      <c r="D392" s="34" t="str">
        <f>IFERROR(__xludf.DUMMYFUNCTION("IFERROR(GOOGLEFINANCE(C392, ""NAME""))"),"Qfin Holdings Inc - ADR")</f>
        <v>Qfin Holdings Inc - ADR</v>
      </c>
      <c r="E392" s="30" t="s">
        <v>145</v>
      </c>
      <c r="F392" s="33" t="str">
        <f>IFERROR(__xludf.DUMMYFUNCTION("( (GOOGLEFINANCE(C392, ""price"") - Q392) / Q392 ) / (R392 / 100)"),"Loading...")</f>
        <v>Loading...</v>
      </c>
      <c r="G392" s="20" t="str">
        <f>IFERROR(__xludf.DUMMYFUNCTION("AVERAGE(ARRAYFORMULA(100 * (QUERY(GOOGLEFINANCE(C392, ""high"", TODAY()-40, TODAY()), ""SELECT Col2 WHERE Col2 IS NOT NULL ORDER BY Col1 DESC LIMIT 20"", 0) / QUERY(GOOGLEFINANCE(C392, ""low"", TODAY()-40, TODAY()), ""SELECT Col2 WHERE Col2 IS NOT NULL OR"&amp;"DER BY Col1 DESC LIMIT 20"", 0) - 1)))"),"#N/A")</f>
        <v>#N/A</v>
      </c>
      <c r="H392" s="35" t="str">
        <f t="shared" si="6"/>
        <v/>
      </c>
      <c r="I392" s="36" t="str">
        <f t="shared" si="7"/>
        <v/>
      </c>
      <c r="J392" s="37" t="str">
        <f>IFERROR(__xludf.DUMMYFUNCTION("IFERROR(
  IF(C392="""",, 
    IFERROR(
      GOOGLEFINANCE(C392, ""price"") * GOOGLEFINANCE(C392, ""volumeavg""), 
      GOOGLEFINANCE(C392, ""price"") * AVERAGE(QUERY(GOOGLEFINANCE(C392, ""volume"", TODAY()-40, TODAY()), ""SELECT Col2 WHERE Col2 IS NOT "&amp;"NULL ORDER BY Col1 DESC LIMIT 20"", 0))
    )
  ), 
"""")"),"")</f>
        <v/>
      </c>
      <c r="K392" s="21" t="str">
        <f>IFERROR(__xludf.DUMMYFUNCTION("IFERROR(GOOGLEFINANCE(C392, ""changepct"") / 100, """")"),"")</f>
        <v/>
      </c>
      <c r="L392" s="21" t="str">
        <f>IFERROR(__xludf.DUMMYFUNCTION("IFERROR((GOOGLEFINANCE(C392, ""price"") / INDEX(GOOGLEFINANCE(C392, ""price"", TODAY()-7, TODAY()), 2, 2)) - 1, """")"),"")</f>
        <v/>
      </c>
      <c r="M392" s="21" t="str">
        <f>IFERROR(__xludf.DUMMYFUNCTION("IFERROR((GOOGLEFINANCE(C392, ""price"") / INDEX(GOOGLEFINANCE(C392, ""price"", EDATE(TODAY(), -1), TODAY()), 2, 2)) - 1, """")"),"")</f>
        <v/>
      </c>
      <c r="N392" s="21" t="str">
        <f>IFERROR(__xludf.DUMMYFUNCTION("IFERROR((GOOGLEFINANCE(C392, ""price"") / INDEX(GOOGLEFINANCE(C392, ""price"", EDATE(TODAY(), -3), TODAY()), 2, 2)) - 1, """")"),"")</f>
        <v/>
      </c>
      <c r="O392" s="21" t="str">
        <f>IFERROR(__xludf.DUMMYFUNCTION("IFERROR((GOOGLEFINANCE(C392, ""price"") / INDEX(GOOGLEFINANCE(C392, ""price"", EDATE(TODAY(), -6), TODAY()), 2, 2)) - 1, """")"),"")</f>
        <v/>
      </c>
      <c r="P392" s="21" t="str">
        <f>IFERROR(__xludf.DUMMYFUNCTION("IFERROR((GOOGLEFINANCE(C392, ""price"") / INDEX(GOOGLEFINANCE(C392, ""price"", EDATE(TODAY(), -12), TODAY()), 2, 2)) - 1, """")"),"")</f>
        <v/>
      </c>
      <c r="Q392" s="6" t="str">
        <f>IFERROR(__xludf.DUMMYFUNCTION("AVERAGE(QUERY(GOOGLEFINANCE(C392, ""price"", TODAY()-80, TODAY()), ""SELECT Col2 WHERE Col2 IS NOT NULL ORDER BY Col1 DESC LIMIT 50"", 0))"),"#N/A")</f>
        <v>#N/A</v>
      </c>
      <c r="R392" s="24" t="str">
        <f>IFERROR(__xludf.DUMMYFUNCTION("IFERROR(
  LET(
    data, QUERY(GOOGLEFINANCE(C392,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GOOGLEFINANCE(C392, ""price"")) * 100,
    IF(calc=0, G392, calc)
  ), 
G392)"),"#N/A")</f>
        <v>#N/A</v>
      </c>
      <c r="S392" s="8" t="s">
        <v>15</v>
      </c>
      <c r="T392" s="26" t="str">
        <f>IFERROR(__xludf.DUMMYFUNCTION("IFERROR(TRANSPOSE(QUERY(IFERROR(SORT(GOOGLEFINANCE(C392, ""price"", WORKDAY(TODAY(), -40), TODAY()), 1, FALSE)), ""select Col2 where Col2 is not null limit 22 label Col2 ''"", 0)), """")"),"")</f>
        <v/>
      </c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8"/>
      <c r="AO392" s="28"/>
      <c r="AP392" s="29"/>
      <c r="AQ392" s="29" t="str">
        <f t="shared" ref="AQ392:BL392" si="395">T392/T$2</f>
        <v>#N/A</v>
      </c>
      <c r="AR392" s="29" t="str">
        <f t="shared" si="395"/>
        <v>#DIV/0!</v>
      </c>
      <c r="AS392" s="29" t="str">
        <f t="shared" si="395"/>
        <v>#DIV/0!</v>
      </c>
      <c r="AT392" s="29" t="str">
        <f t="shared" si="395"/>
        <v>#DIV/0!</v>
      </c>
      <c r="AU392" s="29" t="str">
        <f t="shared" si="395"/>
        <v>#DIV/0!</v>
      </c>
      <c r="AV392" s="29" t="str">
        <f t="shared" si="395"/>
        <v>#DIV/0!</v>
      </c>
      <c r="AW392" s="29" t="str">
        <f t="shared" si="395"/>
        <v>#DIV/0!</v>
      </c>
      <c r="AX392" s="29" t="str">
        <f t="shared" si="395"/>
        <v>#DIV/0!</v>
      </c>
      <c r="AY392" s="29" t="str">
        <f t="shared" si="395"/>
        <v>#DIV/0!</v>
      </c>
      <c r="AZ392" s="29" t="str">
        <f t="shared" si="395"/>
        <v>#DIV/0!</v>
      </c>
      <c r="BA392" s="29" t="str">
        <f t="shared" si="395"/>
        <v>#DIV/0!</v>
      </c>
      <c r="BB392" s="29" t="str">
        <f t="shared" si="395"/>
        <v>#DIV/0!</v>
      </c>
      <c r="BC392" s="29" t="str">
        <f t="shared" si="395"/>
        <v>#DIV/0!</v>
      </c>
      <c r="BD392" s="29" t="str">
        <f t="shared" si="395"/>
        <v>#DIV/0!</v>
      </c>
      <c r="BE392" s="29" t="str">
        <f t="shared" si="395"/>
        <v>#DIV/0!</v>
      </c>
      <c r="BF392" s="29" t="str">
        <f t="shared" si="395"/>
        <v>#DIV/0!</v>
      </c>
      <c r="BG392" s="29" t="str">
        <f t="shared" si="395"/>
        <v>#DIV/0!</v>
      </c>
      <c r="BH392" s="29" t="str">
        <f t="shared" si="395"/>
        <v>#DIV/0!</v>
      </c>
      <c r="BI392" s="29" t="str">
        <f t="shared" si="395"/>
        <v>#DIV/0!</v>
      </c>
      <c r="BJ392" s="29" t="str">
        <f t="shared" si="395"/>
        <v>#DIV/0!</v>
      </c>
      <c r="BK392" s="29" t="str">
        <f t="shared" si="395"/>
        <v>#DIV/0!</v>
      </c>
      <c r="BL392" s="29" t="str">
        <f t="shared" si="395"/>
        <v>#DIV/0!</v>
      </c>
      <c r="BM392" s="29" t="str">
        <f t="shared" si="3"/>
        <v>#DIV/0!</v>
      </c>
    </row>
    <row r="393">
      <c r="A393" s="16" t="str">
        <f>IFERROR(__xludf.DUMMYFUNCTION("IFERROR(SPARKLINE(SORT(MAP(TRANSPOSE(AQ393:BL393), LAMBDA(val, IF(ISNUMBER(val), PERCENTRANK(AQ393:BL393, val)+0.01, 0))), SEQUENCE(COLUMNS(AQ393:BL393)), FALSE), {""charttype"",""column""; ""color"",""chartreuse""; ""ymin"", 0; ""ymax"", 1.01; ""highcolo"&amp;"r"", ""darkgreen""; ""lowcolor"", ""red""}), """")"),"")</f>
        <v/>
      </c>
      <c r="B393" s="17" t="str">
        <f t="shared" si="4"/>
        <v/>
      </c>
      <c r="C393" s="1" t="s">
        <v>1821</v>
      </c>
      <c r="D393" s="34" t="str">
        <f>IFERROR(__xludf.DUMMYFUNCTION("IFERROR(GOOGLEFINANCE(C393, ""NAME""))"),"Morgan Stanley Direct Lending Fund")</f>
        <v>Morgan Stanley Direct Lending Fund</v>
      </c>
      <c r="E393" s="30" t="s">
        <v>64</v>
      </c>
      <c r="F393" s="33" t="str">
        <f>IFERROR(__xludf.DUMMYFUNCTION("( (GOOGLEFINANCE(C393, ""price"") - Q393) / Q393 ) / (R393 / 100)"),"Loading...")</f>
        <v>Loading...</v>
      </c>
      <c r="G393" s="20" t="str">
        <f>IFERROR(__xludf.DUMMYFUNCTION("AVERAGE(ARRAYFORMULA(100 * (QUERY(GOOGLEFINANCE(C393, ""high"", TODAY()-40, TODAY()), ""SELECT Col2 WHERE Col2 IS NOT NULL ORDER BY Col1 DESC LIMIT 20"", 0) / QUERY(GOOGLEFINANCE(C393, ""low"", TODAY()-40, TODAY()), ""SELECT Col2 WHERE Col2 IS NOT NULL OR"&amp;"DER BY Col1 DESC LIMIT 20"", 0) - 1)))"),"#N/A")</f>
        <v>#N/A</v>
      </c>
      <c r="H393" s="35" t="str">
        <f t="shared" si="6"/>
        <v/>
      </c>
      <c r="I393" s="36" t="str">
        <f t="shared" si="7"/>
        <v/>
      </c>
      <c r="J393" s="37" t="str">
        <f>IFERROR(__xludf.DUMMYFUNCTION("IFERROR(
  IF(C393="""",, 
    IFERROR(
      GOOGLEFINANCE(C393, ""price"") * GOOGLEFINANCE(C393, ""volumeavg""), 
      GOOGLEFINANCE(C393, ""price"") * AVERAGE(QUERY(GOOGLEFINANCE(C393, ""volume"", TODAY()-40, TODAY()), ""SELECT Col2 WHERE Col2 IS NOT "&amp;"NULL ORDER BY Col1 DESC LIMIT 20"", 0))
    )
  ), 
"""")"),"")</f>
        <v/>
      </c>
      <c r="K393" s="21" t="str">
        <f>IFERROR(__xludf.DUMMYFUNCTION("IFERROR(GOOGLEFINANCE(C393, ""changepct"") / 100, """")"),"")</f>
        <v/>
      </c>
      <c r="L393" s="21" t="str">
        <f>IFERROR(__xludf.DUMMYFUNCTION("IFERROR((GOOGLEFINANCE(C393, ""price"") / INDEX(GOOGLEFINANCE(C393, ""price"", TODAY()-7, TODAY()), 2, 2)) - 1, """")"),"")</f>
        <v/>
      </c>
      <c r="M393" s="21" t="str">
        <f>IFERROR(__xludf.DUMMYFUNCTION("IFERROR((GOOGLEFINANCE(C393, ""price"") / INDEX(GOOGLEFINANCE(C393, ""price"", EDATE(TODAY(), -1), TODAY()), 2, 2)) - 1, """")"),"")</f>
        <v/>
      </c>
      <c r="N393" s="21" t="str">
        <f>IFERROR(__xludf.DUMMYFUNCTION("IFERROR((GOOGLEFINANCE(C393, ""price"") / INDEX(GOOGLEFINANCE(C393, ""price"", EDATE(TODAY(), -3), TODAY()), 2, 2)) - 1, """")"),"")</f>
        <v/>
      </c>
      <c r="O393" s="21" t="str">
        <f>IFERROR(__xludf.DUMMYFUNCTION("IFERROR((GOOGLEFINANCE(C393, ""price"") / INDEX(GOOGLEFINANCE(C393, ""price"", EDATE(TODAY(), -6), TODAY()), 2, 2)) - 1, """")"),"")</f>
        <v/>
      </c>
      <c r="P393" s="21" t="str">
        <f>IFERROR(__xludf.DUMMYFUNCTION("IFERROR((GOOGLEFINANCE(C393, ""price"") / INDEX(GOOGLEFINANCE(C393, ""price"", EDATE(TODAY(), -12), TODAY()), 2, 2)) - 1, """")"),"")</f>
        <v/>
      </c>
      <c r="Q393" s="6" t="str">
        <f>IFERROR(__xludf.DUMMYFUNCTION("AVERAGE(QUERY(GOOGLEFINANCE(C393, ""price"", TODAY()-80, TODAY()), ""SELECT Col2 WHERE Col2 IS NOT NULL ORDER BY Col1 DESC LIMIT 50"", 0))"),"#N/A")</f>
        <v>#N/A</v>
      </c>
      <c r="R393" s="24" t="str">
        <f>IFERROR(__xludf.DUMMYFUNCTION("IFERROR(
  LET(
    data, QUERY(GOOGLEFINANCE(C393,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GOOGLEFINANCE(C393, ""price"")) * 100,
    IF(calc=0, G393, calc)
  ), 
G393)"),"#N/A")</f>
        <v>#N/A</v>
      </c>
      <c r="S393" s="8" t="s">
        <v>15</v>
      </c>
      <c r="T393" s="26" t="str">
        <f>IFERROR(__xludf.DUMMYFUNCTION("IFERROR(TRANSPOSE(QUERY(IFERROR(SORT(GOOGLEFINANCE(C393, ""price"", WORKDAY(TODAY(), -40), TODAY()), 1, FALSE)), ""select Col2 where Col2 is not null limit 22 label Col2 ''"", 0)), """")"),"")</f>
        <v/>
      </c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8"/>
      <c r="AO393" s="28"/>
      <c r="AP393" s="29"/>
      <c r="AQ393" s="29" t="str">
        <f t="shared" ref="AQ393:BL393" si="396">T393/T$2</f>
        <v>#N/A</v>
      </c>
      <c r="AR393" s="29" t="str">
        <f t="shared" si="396"/>
        <v>#DIV/0!</v>
      </c>
      <c r="AS393" s="29" t="str">
        <f t="shared" si="396"/>
        <v>#DIV/0!</v>
      </c>
      <c r="AT393" s="29" t="str">
        <f t="shared" si="396"/>
        <v>#DIV/0!</v>
      </c>
      <c r="AU393" s="29" t="str">
        <f t="shared" si="396"/>
        <v>#DIV/0!</v>
      </c>
      <c r="AV393" s="29" t="str">
        <f t="shared" si="396"/>
        <v>#DIV/0!</v>
      </c>
      <c r="AW393" s="29" t="str">
        <f t="shared" si="396"/>
        <v>#DIV/0!</v>
      </c>
      <c r="AX393" s="29" t="str">
        <f t="shared" si="396"/>
        <v>#DIV/0!</v>
      </c>
      <c r="AY393" s="29" t="str">
        <f t="shared" si="396"/>
        <v>#DIV/0!</v>
      </c>
      <c r="AZ393" s="29" t="str">
        <f t="shared" si="396"/>
        <v>#DIV/0!</v>
      </c>
      <c r="BA393" s="29" t="str">
        <f t="shared" si="396"/>
        <v>#DIV/0!</v>
      </c>
      <c r="BB393" s="29" t="str">
        <f t="shared" si="396"/>
        <v>#DIV/0!</v>
      </c>
      <c r="BC393" s="29" t="str">
        <f t="shared" si="396"/>
        <v>#DIV/0!</v>
      </c>
      <c r="BD393" s="29" t="str">
        <f t="shared" si="396"/>
        <v>#DIV/0!</v>
      </c>
      <c r="BE393" s="29" t="str">
        <f t="shared" si="396"/>
        <v>#DIV/0!</v>
      </c>
      <c r="BF393" s="29" t="str">
        <f t="shared" si="396"/>
        <v>#DIV/0!</v>
      </c>
      <c r="BG393" s="29" t="str">
        <f t="shared" si="396"/>
        <v>#DIV/0!</v>
      </c>
      <c r="BH393" s="29" t="str">
        <f t="shared" si="396"/>
        <v>#DIV/0!</v>
      </c>
      <c r="BI393" s="29" t="str">
        <f t="shared" si="396"/>
        <v>#DIV/0!</v>
      </c>
      <c r="BJ393" s="29" t="str">
        <f t="shared" si="396"/>
        <v>#DIV/0!</v>
      </c>
      <c r="BK393" s="29" t="str">
        <f t="shared" si="396"/>
        <v>#DIV/0!</v>
      </c>
      <c r="BL393" s="29" t="str">
        <f t="shared" si="396"/>
        <v>#DIV/0!</v>
      </c>
      <c r="BM393" s="29" t="str">
        <f t="shared" si="3"/>
        <v>#DIV/0!</v>
      </c>
    </row>
    <row r="394">
      <c r="A394" s="16" t="str">
        <f>IFERROR(__xludf.DUMMYFUNCTION("IFERROR(SPARKLINE(SORT(MAP(TRANSPOSE(AQ394:BL394), LAMBDA(val, IF(ISNUMBER(val), PERCENTRANK(AQ394:BL394, val)+0.01, 0))), SEQUENCE(COLUMNS(AQ394:BL394)), FALSE), {""charttype"",""column""; ""color"",""chartreuse""; ""ymin"", 0; ""ymax"", 1.01; ""highcolo"&amp;"r"", ""darkgreen""; ""lowcolor"", ""red""}), """")"),"")</f>
        <v/>
      </c>
      <c r="B394" s="17" t="str">
        <f t="shared" si="4"/>
        <v/>
      </c>
      <c r="C394" s="1" t="s">
        <v>1824</v>
      </c>
      <c r="D394" s="34" t="str">
        <f>IFERROR(__xludf.DUMMYFUNCTION("IFERROR(GOOGLEFINANCE(C394, ""NAME""))"),"NB Bancorp Inc")</f>
        <v>NB Bancorp Inc</v>
      </c>
      <c r="E394" s="30" t="s">
        <v>268</v>
      </c>
      <c r="F394" s="33" t="str">
        <f>IFERROR(__xludf.DUMMYFUNCTION("( (GOOGLEFINANCE(C394, ""price"") - Q394) / Q394 ) / (R394 / 100)"),"Loading...")</f>
        <v>Loading...</v>
      </c>
      <c r="G394" s="20" t="str">
        <f>IFERROR(__xludf.DUMMYFUNCTION("AVERAGE(ARRAYFORMULA(100 * (QUERY(GOOGLEFINANCE(C394, ""high"", TODAY()-40, TODAY()), ""SELECT Col2 WHERE Col2 IS NOT NULL ORDER BY Col1 DESC LIMIT 20"", 0) / QUERY(GOOGLEFINANCE(C394, ""low"", TODAY()-40, TODAY()), ""SELECT Col2 WHERE Col2 IS NOT NULL OR"&amp;"DER BY Col1 DESC LIMIT 20"", 0) - 1)))"),"#N/A")</f>
        <v>#N/A</v>
      </c>
      <c r="H394" s="35" t="str">
        <f t="shared" si="6"/>
        <v/>
      </c>
      <c r="I394" s="36" t="str">
        <f t="shared" si="7"/>
        <v/>
      </c>
      <c r="J394" s="37" t="str">
        <f>IFERROR(__xludf.DUMMYFUNCTION("IFERROR(
  IF(C394="""",, 
    IFERROR(
      GOOGLEFINANCE(C394, ""price"") * GOOGLEFINANCE(C394, ""volumeavg""), 
      GOOGLEFINANCE(C394, ""price"") * AVERAGE(QUERY(GOOGLEFINANCE(C394, ""volume"", TODAY()-40, TODAY()), ""SELECT Col2 WHERE Col2 IS NOT "&amp;"NULL ORDER BY Col1 DESC LIMIT 20"", 0))
    )
  ), 
"""")"),"")</f>
        <v/>
      </c>
      <c r="K394" s="21" t="str">
        <f>IFERROR(__xludf.DUMMYFUNCTION("IFERROR(GOOGLEFINANCE(C394, ""changepct"") / 100, """")"),"")</f>
        <v/>
      </c>
      <c r="L394" s="21" t="str">
        <f>IFERROR(__xludf.DUMMYFUNCTION("IFERROR((GOOGLEFINANCE(C394, ""price"") / INDEX(GOOGLEFINANCE(C394, ""price"", TODAY()-7, TODAY()), 2, 2)) - 1, """")"),"")</f>
        <v/>
      </c>
      <c r="M394" s="21" t="str">
        <f>IFERROR(__xludf.DUMMYFUNCTION("IFERROR((GOOGLEFINANCE(C394, ""price"") / INDEX(GOOGLEFINANCE(C394, ""price"", EDATE(TODAY(), -1), TODAY()), 2, 2)) - 1, """")"),"")</f>
        <v/>
      </c>
      <c r="N394" s="21" t="str">
        <f>IFERROR(__xludf.DUMMYFUNCTION("IFERROR((GOOGLEFINANCE(C394, ""price"") / INDEX(GOOGLEFINANCE(C394, ""price"", EDATE(TODAY(), -3), TODAY()), 2, 2)) - 1, """")"),"")</f>
        <v/>
      </c>
      <c r="O394" s="21" t="str">
        <f>IFERROR(__xludf.DUMMYFUNCTION("IFERROR((GOOGLEFINANCE(C394, ""price"") / INDEX(GOOGLEFINANCE(C394, ""price"", EDATE(TODAY(), -6), TODAY()), 2, 2)) - 1, """")"),"")</f>
        <v/>
      </c>
      <c r="P394" s="21" t="str">
        <f>IFERROR(__xludf.DUMMYFUNCTION("IFERROR((GOOGLEFINANCE(C394, ""price"") / INDEX(GOOGLEFINANCE(C394, ""price"", EDATE(TODAY(), -12), TODAY()), 2, 2)) - 1, """")"),"")</f>
        <v/>
      </c>
      <c r="Q394" s="6" t="str">
        <f>IFERROR(__xludf.DUMMYFUNCTION("AVERAGE(QUERY(GOOGLEFINANCE(C394, ""price"", TODAY()-80, TODAY()), ""SELECT Col2 WHERE Col2 IS NOT NULL ORDER BY Col1 DESC LIMIT 50"", 0))"),"#N/A")</f>
        <v>#N/A</v>
      </c>
      <c r="R394" s="24" t="str">
        <f>IFERROR(__xludf.DUMMYFUNCTION("IFERROR(
  LET(
    data, QUERY(GOOGLEFINANCE(C394,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GOOGLEFINANCE(C394, ""price"")) * 100,
    IF(calc=0, G394, calc)
  ), 
G394)"),"#N/A")</f>
        <v>#N/A</v>
      </c>
      <c r="S394" s="8" t="s">
        <v>15</v>
      </c>
      <c r="T394" s="26" t="str">
        <f>IFERROR(__xludf.DUMMYFUNCTION("IFERROR(TRANSPOSE(QUERY(IFERROR(SORT(GOOGLEFINANCE(C394, ""price"", WORKDAY(TODAY(), -40), TODAY()), 1, FALSE)), ""select Col2 where Col2 is not null limit 22 label Col2 ''"", 0)), """")"),"")</f>
        <v/>
      </c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8"/>
      <c r="AO394" s="28"/>
      <c r="AP394" s="29"/>
      <c r="AQ394" s="29" t="str">
        <f t="shared" ref="AQ394:BL394" si="397">T394/T$2</f>
        <v>#N/A</v>
      </c>
      <c r="AR394" s="29" t="str">
        <f t="shared" si="397"/>
        <v>#DIV/0!</v>
      </c>
      <c r="AS394" s="29" t="str">
        <f t="shared" si="397"/>
        <v>#DIV/0!</v>
      </c>
      <c r="AT394" s="29" t="str">
        <f t="shared" si="397"/>
        <v>#DIV/0!</v>
      </c>
      <c r="AU394" s="29" t="str">
        <f t="shared" si="397"/>
        <v>#DIV/0!</v>
      </c>
      <c r="AV394" s="29" t="str">
        <f t="shared" si="397"/>
        <v>#DIV/0!</v>
      </c>
      <c r="AW394" s="29" t="str">
        <f t="shared" si="397"/>
        <v>#DIV/0!</v>
      </c>
      <c r="AX394" s="29" t="str">
        <f t="shared" si="397"/>
        <v>#DIV/0!</v>
      </c>
      <c r="AY394" s="29" t="str">
        <f t="shared" si="397"/>
        <v>#DIV/0!</v>
      </c>
      <c r="AZ394" s="29" t="str">
        <f t="shared" si="397"/>
        <v>#DIV/0!</v>
      </c>
      <c r="BA394" s="29" t="str">
        <f t="shared" si="397"/>
        <v>#DIV/0!</v>
      </c>
      <c r="BB394" s="29" t="str">
        <f t="shared" si="397"/>
        <v>#DIV/0!</v>
      </c>
      <c r="BC394" s="29" t="str">
        <f t="shared" si="397"/>
        <v>#DIV/0!</v>
      </c>
      <c r="BD394" s="29" t="str">
        <f t="shared" si="397"/>
        <v>#DIV/0!</v>
      </c>
      <c r="BE394" s="29" t="str">
        <f t="shared" si="397"/>
        <v>#DIV/0!</v>
      </c>
      <c r="BF394" s="29" t="str">
        <f t="shared" si="397"/>
        <v>#DIV/0!</v>
      </c>
      <c r="BG394" s="29" t="str">
        <f t="shared" si="397"/>
        <v>#DIV/0!</v>
      </c>
      <c r="BH394" s="29" t="str">
        <f t="shared" si="397"/>
        <v>#DIV/0!</v>
      </c>
      <c r="BI394" s="29" t="str">
        <f t="shared" si="397"/>
        <v>#DIV/0!</v>
      </c>
      <c r="BJ394" s="29" t="str">
        <f t="shared" si="397"/>
        <v>#DIV/0!</v>
      </c>
      <c r="BK394" s="29" t="str">
        <f t="shared" si="397"/>
        <v>#DIV/0!</v>
      </c>
      <c r="BL394" s="29" t="str">
        <f t="shared" si="397"/>
        <v>#DIV/0!</v>
      </c>
      <c r="BM394" s="29" t="str">
        <f t="shared" si="3"/>
        <v>#DIV/0!</v>
      </c>
    </row>
    <row r="395">
      <c r="A395" s="16" t="str">
        <f>IFERROR(__xludf.DUMMYFUNCTION("IFERROR(SPARKLINE(SORT(MAP(TRANSPOSE(AQ395:BL395), LAMBDA(val, IF(ISNUMBER(val), PERCENTRANK(AQ395:BL395, val)+0.01, 0))), SEQUENCE(COLUMNS(AQ395:BL395)), FALSE), {""charttype"",""column""; ""color"",""chartreuse""; ""ymin"", 0; ""ymax"", 1.01; ""highcolo"&amp;"r"", ""darkgreen""; ""lowcolor"", ""red""}), """")"),"")</f>
        <v/>
      </c>
      <c r="B395" s="17" t="str">
        <f t="shared" si="4"/>
        <v/>
      </c>
      <c r="C395" s="1" t="s">
        <v>1828</v>
      </c>
      <c r="D395" s="34" t="str">
        <f>IFERROR(__xludf.DUMMYFUNCTION("IFERROR(GOOGLEFINANCE(C395, ""NAME""))"),"Launch One Acquisition Corp")</f>
        <v>Launch One Acquisition Corp</v>
      </c>
      <c r="E395" s="30" t="s">
        <v>161</v>
      </c>
      <c r="F395" s="33" t="str">
        <f>IFERROR(__xludf.DUMMYFUNCTION("( (GOOGLEFINANCE(C395, ""price"") - Q395) / Q395 ) / (R395 / 100)"),"Loading...")</f>
        <v>Loading...</v>
      </c>
      <c r="G395" s="20" t="str">
        <f>IFERROR(__xludf.DUMMYFUNCTION("AVERAGE(ARRAYFORMULA(100 * (QUERY(GOOGLEFINANCE(C395, ""high"", TODAY()-40, TODAY()), ""SELECT Col2 WHERE Col2 IS NOT NULL ORDER BY Col1 DESC LIMIT 20"", 0) / QUERY(GOOGLEFINANCE(C395, ""low"", TODAY()-40, TODAY()), ""SELECT Col2 WHERE Col2 IS NOT NULL OR"&amp;"DER BY Col1 DESC LIMIT 20"", 0) - 1)))"),"#N/A")</f>
        <v>#N/A</v>
      </c>
      <c r="H395" s="35" t="str">
        <f t="shared" si="6"/>
        <v/>
      </c>
      <c r="I395" s="36" t="str">
        <f t="shared" si="7"/>
        <v/>
      </c>
      <c r="J395" s="37" t="str">
        <f>IFERROR(__xludf.DUMMYFUNCTION("IFERROR(
  IF(C395="""",, 
    IFERROR(
      GOOGLEFINANCE(C395, ""price"") * GOOGLEFINANCE(C395, ""volumeavg""), 
      GOOGLEFINANCE(C395, ""price"") * AVERAGE(QUERY(GOOGLEFINANCE(C395, ""volume"", TODAY()-40, TODAY()), ""SELECT Col2 WHERE Col2 IS NOT "&amp;"NULL ORDER BY Col1 DESC LIMIT 20"", 0))
    )
  ), 
"""")"),"")</f>
        <v/>
      </c>
      <c r="K395" s="21" t="str">
        <f>IFERROR(__xludf.DUMMYFUNCTION("IFERROR(GOOGLEFINANCE(C395, ""changepct"") / 100, """")"),"")</f>
        <v/>
      </c>
      <c r="L395" s="21" t="str">
        <f>IFERROR(__xludf.DUMMYFUNCTION("IFERROR((GOOGLEFINANCE(C395, ""price"") / INDEX(GOOGLEFINANCE(C395, ""price"", TODAY()-7, TODAY()), 2, 2)) - 1, """")"),"")</f>
        <v/>
      </c>
      <c r="M395" s="21" t="str">
        <f>IFERROR(__xludf.DUMMYFUNCTION("IFERROR((GOOGLEFINANCE(C395, ""price"") / INDEX(GOOGLEFINANCE(C395, ""price"", EDATE(TODAY(), -1), TODAY()), 2, 2)) - 1, """")"),"")</f>
        <v/>
      </c>
      <c r="N395" s="21" t="str">
        <f>IFERROR(__xludf.DUMMYFUNCTION("IFERROR((GOOGLEFINANCE(C395, ""price"") / INDEX(GOOGLEFINANCE(C395, ""price"", EDATE(TODAY(), -3), TODAY()), 2, 2)) - 1, """")"),"")</f>
        <v/>
      </c>
      <c r="O395" s="21" t="str">
        <f>IFERROR(__xludf.DUMMYFUNCTION("IFERROR((GOOGLEFINANCE(C395, ""price"") / INDEX(GOOGLEFINANCE(C395, ""price"", EDATE(TODAY(), -6), TODAY()), 2, 2)) - 1, """")"),"")</f>
        <v/>
      </c>
      <c r="P395" s="21" t="str">
        <f>IFERROR(__xludf.DUMMYFUNCTION("IFERROR((GOOGLEFINANCE(C395, ""price"") / INDEX(GOOGLEFINANCE(C395, ""price"", EDATE(TODAY(), -12), TODAY()), 2, 2)) - 1, """")"),"")</f>
        <v/>
      </c>
      <c r="Q395" s="6" t="str">
        <f>IFERROR(__xludf.DUMMYFUNCTION("AVERAGE(QUERY(GOOGLEFINANCE(C395, ""price"", TODAY()-80, TODAY()), ""SELECT Col2 WHERE Col2 IS NOT NULL ORDER BY Col1 DESC LIMIT 50"", 0))"),"#N/A")</f>
        <v>#N/A</v>
      </c>
      <c r="R395" s="24" t="str">
        <f>IFERROR(__xludf.DUMMYFUNCTION("IFERROR(
  LET(
    data, QUERY(GOOGLEFINANCE(C395,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GOOGLEFINANCE(C395, ""price"")) * 100,
    IF(calc=0, G395, calc)
  ), 
G395)"),"#N/A")</f>
        <v>#N/A</v>
      </c>
      <c r="S395" s="8" t="s">
        <v>15</v>
      </c>
      <c r="T395" s="26" t="str">
        <f>IFERROR(__xludf.DUMMYFUNCTION("IFERROR(TRANSPOSE(QUERY(IFERROR(SORT(GOOGLEFINANCE(C395, ""price"", WORKDAY(TODAY(), -40), TODAY()), 1, FALSE)), ""select Col2 where Col2 is not null limit 22 label Col2 ''"", 0)), """")"),"")</f>
        <v/>
      </c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8"/>
      <c r="AO395" s="28"/>
      <c r="AP395" s="29"/>
      <c r="AQ395" s="29" t="str">
        <f t="shared" ref="AQ395:BL395" si="398">T395/T$2</f>
        <v>#N/A</v>
      </c>
      <c r="AR395" s="29" t="str">
        <f t="shared" si="398"/>
        <v>#DIV/0!</v>
      </c>
      <c r="AS395" s="29" t="str">
        <f t="shared" si="398"/>
        <v>#DIV/0!</v>
      </c>
      <c r="AT395" s="29" t="str">
        <f t="shared" si="398"/>
        <v>#DIV/0!</v>
      </c>
      <c r="AU395" s="29" t="str">
        <f t="shared" si="398"/>
        <v>#DIV/0!</v>
      </c>
      <c r="AV395" s="29" t="str">
        <f t="shared" si="398"/>
        <v>#DIV/0!</v>
      </c>
      <c r="AW395" s="29" t="str">
        <f t="shared" si="398"/>
        <v>#DIV/0!</v>
      </c>
      <c r="AX395" s="29" t="str">
        <f t="shared" si="398"/>
        <v>#DIV/0!</v>
      </c>
      <c r="AY395" s="29" t="str">
        <f t="shared" si="398"/>
        <v>#DIV/0!</v>
      </c>
      <c r="AZ395" s="29" t="str">
        <f t="shared" si="398"/>
        <v>#DIV/0!</v>
      </c>
      <c r="BA395" s="29" t="str">
        <f t="shared" si="398"/>
        <v>#DIV/0!</v>
      </c>
      <c r="BB395" s="29" t="str">
        <f t="shared" si="398"/>
        <v>#DIV/0!</v>
      </c>
      <c r="BC395" s="29" t="str">
        <f t="shared" si="398"/>
        <v>#DIV/0!</v>
      </c>
      <c r="BD395" s="29" t="str">
        <f t="shared" si="398"/>
        <v>#DIV/0!</v>
      </c>
      <c r="BE395" s="29" t="str">
        <f t="shared" si="398"/>
        <v>#DIV/0!</v>
      </c>
      <c r="BF395" s="29" t="str">
        <f t="shared" si="398"/>
        <v>#DIV/0!</v>
      </c>
      <c r="BG395" s="29" t="str">
        <f t="shared" si="398"/>
        <v>#DIV/0!</v>
      </c>
      <c r="BH395" s="29" t="str">
        <f t="shared" si="398"/>
        <v>#DIV/0!</v>
      </c>
      <c r="BI395" s="29" t="str">
        <f t="shared" si="398"/>
        <v>#DIV/0!</v>
      </c>
      <c r="BJ395" s="29" t="str">
        <f t="shared" si="398"/>
        <v>#DIV/0!</v>
      </c>
      <c r="BK395" s="29" t="str">
        <f t="shared" si="398"/>
        <v>#DIV/0!</v>
      </c>
      <c r="BL395" s="29" t="str">
        <f t="shared" si="398"/>
        <v>#DIV/0!</v>
      </c>
      <c r="BM395" s="29" t="str">
        <f t="shared" si="3"/>
        <v>#DIV/0!</v>
      </c>
    </row>
    <row r="396">
      <c r="A396" s="16" t="str">
        <f>IFERROR(__xludf.DUMMYFUNCTION("IFERROR(SPARKLINE(SORT(MAP(TRANSPOSE(AQ396:BL396), LAMBDA(val, IF(ISNUMBER(val), PERCENTRANK(AQ396:BL396, val)+0.01, 0))), SEQUENCE(COLUMNS(AQ396:BL396)), FALSE), {""charttype"",""column""; ""color"",""chartreuse""; ""ymin"", 0; ""ymax"", 1.01; ""highcolo"&amp;"r"", ""darkgreen""; ""lowcolor"", ""red""}), """")"),"")</f>
        <v/>
      </c>
      <c r="B396" s="17" t="str">
        <f t="shared" si="4"/>
        <v/>
      </c>
      <c r="C396" s="1" t="s">
        <v>1832</v>
      </c>
      <c r="D396" s="34" t="str">
        <f>IFERROR(__xludf.DUMMYFUNCTION("IFERROR(GOOGLEFINANCE(C396, ""NAME""))"),"Ponce Financial Group Inc")</f>
        <v>Ponce Financial Group Inc</v>
      </c>
      <c r="E396" s="30" t="s">
        <v>268</v>
      </c>
      <c r="F396" s="33" t="str">
        <f>IFERROR(__xludf.DUMMYFUNCTION("( (GOOGLEFINANCE(C396, ""price"") - Q396) / Q396 ) / (R396 / 100)"),"Loading...")</f>
        <v>Loading...</v>
      </c>
      <c r="G396" s="20" t="str">
        <f>IFERROR(__xludf.DUMMYFUNCTION("AVERAGE(ARRAYFORMULA(100 * (QUERY(GOOGLEFINANCE(C396, ""high"", TODAY()-40, TODAY()), ""SELECT Col2 WHERE Col2 IS NOT NULL ORDER BY Col1 DESC LIMIT 20"", 0) / QUERY(GOOGLEFINANCE(C396, ""low"", TODAY()-40, TODAY()), ""SELECT Col2 WHERE Col2 IS NOT NULL OR"&amp;"DER BY Col1 DESC LIMIT 20"", 0) - 1)))"),"#N/A")</f>
        <v>#N/A</v>
      </c>
      <c r="H396" s="35" t="str">
        <f t="shared" si="6"/>
        <v/>
      </c>
      <c r="I396" s="36" t="str">
        <f t="shared" si="7"/>
        <v/>
      </c>
      <c r="J396" s="37" t="str">
        <f>IFERROR(__xludf.DUMMYFUNCTION("IFERROR(
  IF(C396="""",, 
    IFERROR(
      GOOGLEFINANCE(C396, ""price"") * GOOGLEFINANCE(C396, ""volumeavg""), 
      GOOGLEFINANCE(C396, ""price"") * AVERAGE(QUERY(GOOGLEFINANCE(C396, ""volume"", TODAY()-40, TODAY()), ""SELECT Col2 WHERE Col2 IS NOT "&amp;"NULL ORDER BY Col1 DESC LIMIT 20"", 0))
    )
  ), 
"""")"),"")</f>
        <v/>
      </c>
      <c r="K396" s="21" t="str">
        <f>IFERROR(__xludf.DUMMYFUNCTION("IFERROR(GOOGLEFINANCE(C396, ""changepct"") / 100, """")"),"")</f>
        <v/>
      </c>
      <c r="L396" s="21" t="str">
        <f>IFERROR(__xludf.DUMMYFUNCTION("IFERROR((GOOGLEFINANCE(C396, ""price"") / INDEX(GOOGLEFINANCE(C396, ""price"", TODAY()-7, TODAY()), 2, 2)) - 1, """")"),"")</f>
        <v/>
      </c>
      <c r="M396" s="21" t="str">
        <f>IFERROR(__xludf.DUMMYFUNCTION("IFERROR((GOOGLEFINANCE(C396, ""price"") / INDEX(GOOGLEFINANCE(C396, ""price"", EDATE(TODAY(), -1), TODAY()), 2, 2)) - 1, """")"),"")</f>
        <v/>
      </c>
      <c r="N396" s="21" t="str">
        <f>IFERROR(__xludf.DUMMYFUNCTION("IFERROR((GOOGLEFINANCE(C396, ""price"") / INDEX(GOOGLEFINANCE(C396, ""price"", EDATE(TODAY(), -3), TODAY()), 2, 2)) - 1, """")"),"")</f>
        <v/>
      </c>
      <c r="O396" s="21" t="str">
        <f>IFERROR(__xludf.DUMMYFUNCTION("IFERROR((GOOGLEFINANCE(C396, ""price"") / INDEX(GOOGLEFINANCE(C396, ""price"", EDATE(TODAY(), -6), TODAY()), 2, 2)) - 1, """")"),"")</f>
        <v/>
      </c>
      <c r="P396" s="21" t="str">
        <f>IFERROR(__xludf.DUMMYFUNCTION("IFERROR((GOOGLEFINANCE(C396, ""price"") / INDEX(GOOGLEFINANCE(C396, ""price"", EDATE(TODAY(), -12), TODAY()), 2, 2)) - 1, """")"),"")</f>
        <v/>
      </c>
      <c r="Q396" s="6" t="str">
        <f>IFERROR(__xludf.DUMMYFUNCTION("AVERAGE(QUERY(GOOGLEFINANCE(C396, ""price"", TODAY()-80, TODAY()), ""SELECT Col2 WHERE Col2 IS NOT NULL ORDER BY Col1 DESC LIMIT 50"", 0))"),"#N/A")</f>
        <v>#N/A</v>
      </c>
      <c r="R396" s="24" t="str">
        <f>IFERROR(__xludf.DUMMYFUNCTION("IFERROR(
  LET(
    data, QUERY(GOOGLEFINANCE(C396,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GOOGLEFINANCE(C396, ""price"")) * 100,
    IF(calc=0, G396, calc)
  ), 
G396)"),"#N/A")</f>
        <v>#N/A</v>
      </c>
      <c r="S396" s="8" t="s">
        <v>15</v>
      </c>
      <c r="T396" s="26" t="str">
        <f>IFERROR(__xludf.DUMMYFUNCTION("IFERROR(TRANSPOSE(QUERY(IFERROR(SORT(GOOGLEFINANCE(C396, ""price"", WORKDAY(TODAY(), -40), TODAY()), 1, FALSE)), ""select Col2 where Col2 is not null limit 22 label Col2 ''"", 0)), """")"),"")</f>
        <v/>
      </c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8"/>
      <c r="AO396" s="28"/>
      <c r="AP396" s="29"/>
      <c r="AQ396" s="29" t="str">
        <f t="shared" ref="AQ396:BL396" si="399">T396/T$2</f>
        <v>#N/A</v>
      </c>
      <c r="AR396" s="29" t="str">
        <f t="shared" si="399"/>
        <v>#DIV/0!</v>
      </c>
      <c r="AS396" s="29" t="str">
        <f t="shared" si="399"/>
        <v>#DIV/0!</v>
      </c>
      <c r="AT396" s="29" t="str">
        <f t="shared" si="399"/>
        <v>#DIV/0!</v>
      </c>
      <c r="AU396" s="29" t="str">
        <f t="shared" si="399"/>
        <v>#DIV/0!</v>
      </c>
      <c r="AV396" s="29" t="str">
        <f t="shared" si="399"/>
        <v>#DIV/0!</v>
      </c>
      <c r="AW396" s="29" t="str">
        <f t="shared" si="399"/>
        <v>#DIV/0!</v>
      </c>
      <c r="AX396" s="29" t="str">
        <f t="shared" si="399"/>
        <v>#DIV/0!</v>
      </c>
      <c r="AY396" s="29" t="str">
        <f t="shared" si="399"/>
        <v>#DIV/0!</v>
      </c>
      <c r="AZ396" s="29" t="str">
        <f t="shared" si="399"/>
        <v>#DIV/0!</v>
      </c>
      <c r="BA396" s="29" t="str">
        <f t="shared" si="399"/>
        <v>#DIV/0!</v>
      </c>
      <c r="BB396" s="29" t="str">
        <f t="shared" si="399"/>
        <v>#DIV/0!</v>
      </c>
      <c r="BC396" s="29" t="str">
        <f t="shared" si="399"/>
        <v>#DIV/0!</v>
      </c>
      <c r="BD396" s="29" t="str">
        <f t="shared" si="399"/>
        <v>#DIV/0!</v>
      </c>
      <c r="BE396" s="29" t="str">
        <f t="shared" si="399"/>
        <v>#DIV/0!</v>
      </c>
      <c r="BF396" s="29" t="str">
        <f t="shared" si="399"/>
        <v>#DIV/0!</v>
      </c>
      <c r="BG396" s="29" t="str">
        <f t="shared" si="399"/>
        <v>#DIV/0!</v>
      </c>
      <c r="BH396" s="29" t="str">
        <f t="shared" si="399"/>
        <v>#DIV/0!</v>
      </c>
      <c r="BI396" s="29" t="str">
        <f t="shared" si="399"/>
        <v>#DIV/0!</v>
      </c>
      <c r="BJ396" s="29" t="str">
        <f t="shared" si="399"/>
        <v>#DIV/0!</v>
      </c>
      <c r="BK396" s="29" t="str">
        <f t="shared" si="399"/>
        <v>#DIV/0!</v>
      </c>
      <c r="BL396" s="29" t="str">
        <f t="shared" si="399"/>
        <v>#DIV/0!</v>
      </c>
      <c r="BM396" s="29" t="str">
        <f t="shared" si="3"/>
        <v>#DIV/0!</v>
      </c>
    </row>
    <row r="397">
      <c r="A397" s="16" t="str">
        <f>IFERROR(__xludf.DUMMYFUNCTION("IFERROR(SPARKLINE(SORT(MAP(TRANSPOSE(AQ397:BL397), LAMBDA(val, IF(ISNUMBER(val), PERCENTRANK(AQ397:BL397, val)+0.01, 0))), SEQUENCE(COLUMNS(AQ397:BL397)), FALSE), {""charttype"",""column""; ""color"",""chartreuse""; ""ymin"", 0; ""ymax"", 1.01; ""highcolo"&amp;"r"", ""darkgreen""; ""lowcolor"", ""red""}), """")"),"")</f>
        <v/>
      </c>
      <c r="B397" s="17" t="str">
        <f t="shared" si="4"/>
        <v/>
      </c>
      <c r="C397" s="1" t="s">
        <v>1836</v>
      </c>
      <c r="D397" s="34" t="str">
        <f>IFERROR(__xludf.DUMMYFUNCTION("IFERROR(GOOGLEFINANCE(C397, ""NAME""))"),"Evolution Global Acquisition Corp")</f>
        <v>Evolution Global Acquisition Corp</v>
      </c>
      <c r="E397" s="30" t="s">
        <v>161</v>
      </c>
      <c r="F397" s="33" t="str">
        <f>IFERROR(__xludf.DUMMYFUNCTION("( (GOOGLEFINANCE(C397, ""price"") - Q397) / Q397 ) / (R397 / 100)"),"Loading...")</f>
        <v>Loading...</v>
      </c>
      <c r="G397" s="20" t="str">
        <f>IFERROR(__xludf.DUMMYFUNCTION("AVERAGE(ARRAYFORMULA(100 * (QUERY(GOOGLEFINANCE(C397, ""high"", TODAY()-40, TODAY()), ""SELECT Col2 WHERE Col2 IS NOT NULL ORDER BY Col1 DESC LIMIT 20"", 0) / QUERY(GOOGLEFINANCE(C397, ""low"", TODAY()-40, TODAY()), ""SELECT Col2 WHERE Col2 IS NOT NULL OR"&amp;"DER BY Col1 DESC LIMIT 20"", 0) - 1)))"),"#N/A")</f>
        <v>#N/A</v>
      </c>
      <c r="H397" s="35" t="str">
        <f t="shared" si="6"/>
        <v/>
      </c>
      <c r="I397" s="36" t="str">
        <f t="shared" si="7"/>
        <v/>
      </c>
      <c r="J397" s="37" t="str">
        <f>IFERROR(__xludf.DUMMYFUNCTION("IFERROR(
  IF(C397="""",, 
    IFERROR(
      GOOGLEFINANCE(C397, ""price"") * GOOGLEFINANCE(C397, ""volumeavg""), 
      GOOGLEFINANCE(C397, ""price"") * AVERAGE(QUERY(GOOGLEFINANCE(C397, ""volume"", TODAY()-40, TODAY()), ""SELECT Col2 WHERE Col2 IS NOT "&amp;"NULL ORDER BY Col1 DESC LIMIT 20"", 0))
    )
  ), 
"""")"),"")</f>
        <v/>
      </c>
      <c r="K397" s="21" t="str">
        <f>IFERROR(__xludf.DUMMYFUNCTION("IFERROR(GOOGLEFINANCE(C397, ""changepct"") / 100, """")"),"")</f>
        <v/>
      </c>
      <c r="L397" s="21" t="str">
        <f>IFERROR(__xludf.DUMMYFUNCTION("IFERROR((GOOGLEFINANCE(C397, ""price"") / INDEX(GOOGLEFINANCE(C397, ""price"", TODAY()-7, TODAY()), 2, 2)) - 1, """")"),"")</f>
        <v/>
      </c>
      <c r="M397" s="21" t="str">
        <f>IFERROR(__xludf.DUMMYFUNCTION("IFERROR((GOOGLEFINANCE(C397, ""price"") / INDEX(GOOGLEFINANCE(C397, ""price"", EDATE(TODAY(), -1), TODAY()), 2, 2)) - 1, """")"),"")</f>
        <v/>
      </c>
      <c r="N397" s="21" t="str">
        <f>IFERROR(__xludf.DUMMYFUNCTION("IFERROR((GOOGLEFINANCE(C397, ""price"") / INDEX(GOOGLEFINANCE(C397, ""price"", EDATE(TODAY(), -3), TODAY()), 2, 2)) - 1, """")"),"")</f>
        <v/>
      </c>
      <c r="O397" s="21" t="str">
        <f>IFERROR(__xludf.DUMMYFUNCTION("IFERROR((GOOGLEFINANCE(C397, ""price"") / INDEX(GOOGLEFINANCE(C397, ""price"", EDATE(TODAY(), -6), TODAY()), 2, 2)) - 1, """")"),"")</f>
        <v/>
      </c>
      <c r="P397" s="21" t="str">
        <f>IFERROR(__xludf.DUMMYFUNCTION("IFERROR((GOOGLEFINANCE(C397, ""price"") / INDEX(GOOGLEFINANCE(C397, ""price"", EDATE(TODAY(), -12), TODAY()), 2, 2)) - 1, """")"),"")</f>
        <v/>
      </c>
      <c r="Q397" s="6" t="str">
        <f>IFERROR(__xludf.DUMMYFUNCTION("AVERAGE(QUERY(GOOGLEFINANCE(C397, ""price"", TODAY()-80, TODAY()), ""SELECT Col2 WHERE Col2 IS NOT NULL ORDER BY Col1 DESC LIMIT 50"", 0))"),"#N/A")</f>
        <v>#N/A</v>
      </c>
      <c r="R397" s="24" t="str">
        <f>IFERROR(__xludf.DUMMYFUNCTION("IFERROR(
  LET(
    data, QUERY(GOOGLEFINANCE(C397,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GOOGLEFINANCE(C397, ""price"")) * 100,
    IF(calc=0, G397, calc)
  ), 
G397)"),"#N/A")</f>
        <v>#N/A</v>
      </c>
      <c r="S397" s="8" t="s">
        <v>15</v>
      </c>
      <c r="T397" s="26" t="str">
        <f>IFERROR(__xludf.DUMMYFUNCTION("IFERROR(TRANSPOSE(QUERY(IFERROR(SORT(GOOGLEFINANCE(C397, ""price"", WORKDAY(TODAY(), -40), TODAY()), 1, FALSE)), ""select Col2 where Col2 is not null limit 22 label Col2 ''"", 0)), """")"),"")</f>
        <v/>
      </c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8"/>
      <c r="AO397" s="28"/>
      <c r="AP397" s="29"/>
      <c r="AQ397" s="29" t="str">
        <f t="shared" ref="AQ397:BL397" si="400">T397/T$2</f>
        <v>#N/A</v>
      </c>
      <c r="AR397" s="29" t="str">
        <f t="shared" si="400"/>
        <v>#DIV/0!</v>
      </c>
      <c r="AS397" s="29" t="str">
        <f t="shared" si="400"/>
        <v>#DIV/0!</v>
      </c>
      <c r="AT397" s="29" t="str">
        <f t="shared" si="400"/>
        <v>#DIV/0!</v>
      </c>
      <c r="AU397" s="29" t="str">
        <f t="shared" si="400"/>
        <v>#DIV/0!</v>
      </c>
      <c r="AV397" s="29" t="str">
        <f t="shared" si="400"/>
        <v>#DIV/0!</v>
      </c>
      <c r="AW397" s="29" t="str">
        <f t="shared" si="400"/>
        <v>#DIV/0!</v>
      </c>
      <c r="AX397" s="29" t="str">
        <f t="shared" si="400"/>
        <v>#DIV/0!</v>
      </c>
      <c r="AY397" s="29" t="str">
        <f t="shared" si="400"/>
        <v>#DIV/0!</v>
      </c>
      <c r="AZ397" s="29" t="str">
        <f t="shared" si="400"/>
        <v>#DIV/0!</v>
      </c>
      <c r="BA397" s="29" t="str">
        <f t="shared" si="400"/>
        <v>#DIV/0!</v>
      </c>
      <c r="BB397" s="29" t="str">
        <f t="shared" si="400"/>
        <v>#DIV/0!</v>
      </c>
      <c r="BC397" s="29" t="str">
        <f t="shared" si="400"/>
        <v>#DIV/0!</v>
      </c>
      <c r="BD397" s="29" t="str">
        <f t="shared" si="400"/>
        <v>#DIV/0!</v>
      </c>
      <c r="BE397" s="29" t="str">
        <f t="shared" si="400"/>
        <v>#DIV/0!</v>
      </c>
      <c r="BF397" s="29" t="str">
        <f t="shared" si="400"/>
        <v>#DIV/0!</v>
      </c>
      <c r="BG397" s="29" t="str">
        <f t="shared" si="400"/>
        <v>#DIV/0!</v>
      </c>
      <c r="BH397" s="29" t="str">
        <f t="shared" si="400"/>
        <v>#DIV/0!</v>
      </c>
      <c r="BI397" s="29" t="str">
        <f t="shared" si="400"/>
        <v>#DIV/0!</v>
      </c>
      <c r="BJ397" s="29" t="str">
        <f t="shared" si="400"/>
        <v>#DIV/0!</v>
      </c>
      <c r="BK397" s="29" t="str">
        <f t="shared" si="400"/>
        <v>#DIV/0!</v>
      </c>
      <c r="BL397" s="29" t="str">
        <f t="shared" si="400"/>
        <v>#DIV/0!</v>
      </c>
      <c r="BM397" s="29" t="str">
        <f t="shared" si="3"/>
        <v>#DIV/0!</v>
      </c>
    </row>
    <row r="398">
      <c r="A398" s="16" t="str">
        <f>IFERROR(__xludf.DUMMYFUNCTION("IFERROR(SPARKLINE(SORT(MAP(TRANSPOSE(AQ398:BL398), LAMBDA(val, IF(ISNUMBER(val), PERCENTRANK(AQ398:BL398, val)+0.01, 0))), SEQUENCE(COLUMNS(AQ398:BL398)), FALSE), {""charttype"",""column""; ""color"",""chartreuse""; ""ymin"", 0; ""ymax"", 1.01; ""highcolo"&amp;"r"", ""darkgreen""; ""lowcolor"", ""red""}), """")"),"")</f>
        <v/>
      </c>
      <c r="B398" s="17" t="str">
        <f t="shared" si="4"/>
        <v/>
      </c>
      <c r="C398" s="1" t="s">
        <v>1840</v>
      </c>
      <c r="D398" s="34" t="str">
        <f>IFERROR(__xludf.DUMMYFUNCTION("IFERROR(GOOGLEFINANCE(C398, ""NAME""))"),"Atlantic Union Bankshares Corp")</f>
        <v>Atlantic Union Bankshares Corp</v>
      </c>
      <c r="E398" s="30" t="s">
        <v>268</v>
      </c>
      <c r="F398" s="33" t="str">
        <f>IFERROR(__xludf.DUMMYFUNCTION("( (GOOGLEFINANCE(C398, ""price"") - Q398) / Q398 ) / (R398 / 100)"),"Loading...")</f>
        <v>Loading...</v>
      </c>
      <c r="G398" s="20" t="str">
        <f>IFERROR(__xludf.DUMMYFUNCTION("AVERAGE(ARRAYFORMULA(100 * (QUERY(GOOGLEFINANCE(C398, ""high"", TODAY()-40, TODAY()), ""SELECT Col2 WHERE Col2 IS NOT NULL ORDER BY Col1 DESC LIMIT 20"", 0) / QUERY(GOOGLEFINANCE(C398, ""low"", TODAY()-40, TODAY()), ""SELECT Col2 WHERE Col2 IS NOT NULL OR"&amp;"DER BY Col1 DESC LIMIT 20"", 0) - 1)))"),"#N/A")</f>
        <v>#N/A</v>
      </c>
      <c r="H398" s="35" t="str">
        <f t="shared" si="6"/>
        <v/>
      </c>
      <c r="I398" s="36" t="str">
        <f t="shared" si="7"/>
        <v/>
      </c>
      <c r="J398" s="37" t="str">
        <f>IFERROR(__xludf.DUMMYFUNCTION("IFERROR(
  IF(C398="""",, 
    IFERROR(
      GOOGLEFINANCE(C398, ""price"") * GOOGLEFINANCE(C398, ""volumeavg""), 
      GOOGLEFINANCE(C398, ""price"") * AVERAGE(QUERY(GOOGLEFINANCE(C398, ""volume"", TODAY()-40, TODAY()), ""SELECT Col2 WHERE Col2 IS NOT "&amp;"NULL ORDER BY Col1 DESC LIMIT 20"", 0))
    )
  ), 
"""")"),"")</f>
        <v/>
      </c>
      <c r="K398" s="21" t="str">
        <f>IFERROR(__xludf.DUMMYFUNCTION("IFERROR(GOOGLEFINANCE(C398, ""changepct"") / 100, """")"),"")</f>
        <v/>
      </c>
      <c r="L398" s="21" t="str">
        <f>IFERROR(__xludf.DUMMYFUNCTION("IFERROR((GOOGLEFINANCE(C398, ""price"") / INDEX(GOOGLEFINANCE(C398, ""price"", TODAY()-7, TODAY()), 2, 2)) - 1, """")"),"")</f>
        <v/>
      </c>
      <c r="M398" s="21" t="str">
        <f>IFERROR(__xludf.DUMMYFUNCTION("IFERROR((GOOGLEFINANCE(C398, ""price"") / INDEX(GOOGLEFINANCE(C398, ""price"", EDATE(TODAY(), -1), TODAY()), 2, 2)) - 1, """")"),"")</f>
        <v/>
      </c>
      <c r="N398" s="21" t="str">
        <f>IFERROR(__xludf.DUMMYFUNCTION("IFERROR((GOOGLEFINANCE(C398, ""price"") / INDEX(GOOGLEFINANCE(C398, ""price"", EDATE(TODAY(), -3), TODAY()), 2, 2)) - 1, """")"),"")</f>
        <v/>
      </c>
      <c r="O398" s="21" t="str">
        <f>IFERROR(__xludf.DUMMYFUNCTION("IFERROR((GOOGLEFINANCE(C398, ""price"") / INDEX(GOOGLEFINANCE(C398, ""price"", EDATE(TODAY(), -6), TODAY()), 2, 2)) - 1, """")"),"")</f>
        <v/>
      </c>
      <c r="P398" s="21" t="str">
        <f>IFERROR(__xludf.DUMMYFUNCTION("IFERROR((GOOGLEFINANCE(C398, ""price"") / INDEX(GOOGLEFINANCE(C398, ""price"", EDATE(TODAY(), -12), TODAY()), 2, 2)) - 1, """")"),"")</f>
        <v/>
      </c>
      <c r="Q398" s="6" t="str">
        <f>IFERROR(__xludf.DUMMYFUNCTION("AVERAGE(QUERY(GOOGLEFINANCE(C398, ""price"", TODAY()-80, TODAY()), ""SELECT Col2 WHERE Col2 IS NOT NULL ORDER BY Col1 DESC LIMIT 50"", 0))"),"#N/A")</f>
        <v>#N/A</v>
      </c>
      <c r="R398" s="24" t="str">
        <f>IFERROR(__xludf.DUMMYFUNCTION("IFERROR(
  LET(
    data, QUERY(GOOGLEFINANCE(C398,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GOOGLEFINANCE(C398, ""price"")) * 100,
    IF(calc=0, G398, calc)
  ), 
G398)"),"#N/A")</f>
        <v>#N/A</v>
      </c>
      <c r="S398" s="8" t="s">
        <v>15</v>
      </c>
      <c r="T398" s="26" t="str">
        <f>IFERROR(__xludf.DUMMYFUNCTION("IFERROR(TRANSPOSE(QUERY(IFERROR(SORT(GOOGLEFINANCE(C398, ""price"", WORKDAY(TODAY(), -40), TODAY()), 1, FALSE)), ""select Col2 where Col2 is not null limit 22 label Col2 ''"", 0)), """")"),"")</f>
        <v/>
      </c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8"/>
      <c r="AO398" s="28"/>
      <c r="AP398" s="29"/>
      <c r="AQ398" s="29" t="str">
        <f t="shared" ref="AQ398:BL398" si="401">T398/T$2</f>
        <v>#N/A</v>
      </c>
      <c r="AR398" s="29" t="str">
        <f t="shared" si="401"/>
        <v>#DIV/0!</v>
      </c>
      <c r="AS398" s="29" t="str">
        <f t="shared" si="401"/>
        <v>#DIV/0!</v>
      </c>
      <c r="AT398" s="29" t="str">
        <f t="shared" si="401"/>
        <v>#DIV/0!</v>
      </c>
      <c r="AU398" s="29" t="str">
        <f t="shared" si="401"/>
        <v>#DIV/0!</v>
      </c>
      <c r="AV398" s="29" t="str">
        <f t="shared" si="401"/>
        <v>#DIV/0!</v>
      </c>
      <c r="AW398" s="29" t="str">
        <f t="shared" si="401"/>
        <v>#DIV/0!</v>
      </c>
      <c r="AX398" s="29" t="str">
        <f t="shared" si="401"/>
        <v>#DIV/0!</v>
      </c>
      <c r="AY398" s="29" t="str">
        <f t="shared" si="401"/>
        <v>#DIV/0!</v>
      </c>
      <c r="AZ398" s="29" t="str">
        <f t="shared" si="401"/>
        <v>#DIV/0!</v>
      </c>
      <c r="BA398" s="29" t="str">
        <f t="shared" si="401"/>
        <v>#DIV/0!</v>
      </c>
      <c r="BB398" s="29" t="str">
        <f t="shared" si="401"/>
        <v>#DIV/0!</v>
      </c>
      <c r="BC398" s="29" t="str">
        <f t="shared" si="401"/>
        <v>#DIV/0!</v>
      </c>
      <c r="BD398" s="29" t="str">
        <f t="shared" si="401"/>
        <v>#DIV/0!</v>
      </c>
      <c r="BE398" s="29" t="str">
        <f t="shared" si="401"/>
        <v>#DIV/0!</v>
      </c>
      <c r="BF398" s="29" t="str">
        <f t="shared" si="401"/>
        <v>#DIV/0!</v>
      </c>
      <c r="BG398" s="29" t="str">
        <f t="shared" si="401"/>
        <v>#DIV/0!</v>
      </c>
      <c r="BH398" s="29" t="str">
        <f t="shared" si="401"/>
        <v>#DIV/0!</v>
      </c>
      <c r="BI398" s="29" t="str">
        <f t="shared" si="401"/>
        <v>#DIV/0!</v>
      </c>
      <c r="BJ398" s="29" t="str">
        <f t="shared" si="401"/>
        <v>#DIV/0!</v>
      </c>
      <c r="BK398" s="29" t="str">
        <f t="shared" si="401"/>
        <v>#DIV/0!</v>
      </c>
      <c r="BL398" s="29" t="str">
        <f t="shared" si="401"/>
        <v>#DIV/0!</v>
      </c>
      <c r="BM398" s="29" t="str">
        <f t="shared" si="3"/>
        <v>#DIV/0!</v>
      </c>
    </row>
    <row r="399">
      <c r="A399" s="16" t="str">
        <f>IFERROR(__xludf.DUMMYFUNCTION("IFERROR(SPARKLINE(SORT(MAP(TRANSPOSE(AQ399:BL399), LAMBDA(val, IF(ISNUMBER(val), PERCENTRANK(AQ399:BL399, val)+0.01, 0))), SEQUENCE(COLUMNS(AQ399:BL399)), FALSE), {""charttype"",""column""; ""color"",""chartreuse""; ""ymin"", 0; ""ymax"", 1.01; ""highcolo"&amp;"r"", ""darkgreen""; ""lowcolor"", ""red""}), """")"),"")</f>
        <v/>
      </c>
      <c r="B399" s="17" t="str">
        <f t="shared" si="4"/>
        <v/>
      </c>
      <c r="C399" s="1" t="s">
        <v>1846</v>
      </c>
      <c r="D399" s="34" t="str">
        <f>IFERROR(__xludf.DUMMYFUNCTION("IFERROR(GOOGLEFINANCE(C399, ""NAME""))"),"First Financial Bankshares Inc")</f>
        <v>First Financial Bankshares Inc</v>
      </c>
      <c r="E399" s="30" t="s">
        <v>268</v>
      </c>
      <c r="F399" s="33" t="str">
        <f>IFERROR(__xludf.DUMMYFUNCTION("( (GOOGLEFINANCE(C399, ""price"") - Q399) / Q399 ) / (R399 / 100)"),"Loading...")</f>
        <v>Loading...</v>
      </c>
      <c r="G399" s="20" t="str">
        <f>IFERROR(__xludf.DUMMYFUNCTION("AVERAGE(ARRAYFORMULA(100 * (QUERY(GOOGLEFINANCE(C399, ""high"", TODAY()-40, TODAY()), ""SELECT Col2 WHERE Col2 IS NOT NULL ORDER BY Col1 DESC LIMIT 20"", 0) / QUERY(GOOGLEFINANCE(C399, ""low"", TODAY()-40, TODAY()), ""SELECT Col2 WHERE Col2 IS NOT NULL OR"&amp;"DER BY Col1 DESC LIMIT 20"", 0) - 1)))"),"#N/A")</f>
        <v>#N/A</v>
      </c>
      <c r="H399" s="35" t="str">
        <f t="shared" si="6"/>
        <v/>
      </c>
      <c r="I399" s="36" t="str">
        <f t="shared" si="7"/>
        <v/>
      </c>
      <c r="J399" s="37" t="str">
        <f>IFERROR(__xludf.DUMMYFUNCTION("IFERROR(
  IF(C399="""",, 
    IFERROR(
      GOOGLEFINANCE(C399, ""price"") * GOOGLEFINANCE(C399, ""volumeavg""), 
      GOOGLEFINANCE(C399, ""price"") * AVERAGE(QUERY(GOOGLEFINANCE(C399, ""volume"", TODAY()-40, TODAY()), ""SELECT Col2 WHERE Col2 IS NOT "&amp;"NULL ORDER BY Col1 DESC LIMIT 20"", 0))
    )
  ), 
"""")"),"")</f>
        <v/>
      </c>
      <c r="K399" s="21" t="str">
        <f>IFERROR(__xludf.DUMMYFUNCTION("IFERROR(GOOGLEFINANCE(C399, ""changepct"") / 100, """")"),"")</f>
        <v/>
      </c>
      <c r="L399" s="21" t="str">
        <f>IFERROR(__xludf.DUMMYFUNCTION("IFERROR((GOOGLEFINANCE(C399, ""price"") / INDEX(GOOGLEFINANCE(C399, ""price"", TODAY()-7, TODAY()), 2, 2)) - 1, """")"),"")</f>
        <v/>
      </c>
      <c r="M399" s="21" t="str">
        <f>IFERROR(__xludf.DUMMYFUNCTION("IFERROR((GOOGLEFINANCE(C399, ""price"") / INDEX(GOOGLEFINANCE(C399, ""price"", EDATE(TODAY(), -1), TODAY()), 2, 2)) - 1, """")"),"")</f>
        <v/>
      </c>
      <c r="N399" s="21" t="str">
        <f>IFERROR(__xludf.DUMMYFUNCTION("IFERROR((GOOGLEFINANCE(C399, ""price"") / INDEX(GOOGLEFINANCE(C399, ""price"", EDATE(TODAY(), -3), TODAY()), 2, 2)) - 1, """")"),"")</f>
        <v/>
      </c>
      <c r="O399" s="21" t="str">
        <f>IFERROR(__xludf.DUMMYFUNCTION("IFERROR((GOOGLEFINANCE(C399, ""price"") / INDEX(GOOGLEFINANCE(C399, ""price"", EDATE(TODAY(), -6), TODAY()), 2, 2)) - 1, """")"),"")</f>
        <v/>
      </c>
      <c r="P399" s="21" t="str">
        <f>IFERROR(__xludf.DUMMYFUNCTION("IFERROR((GOOGLEFINANCE(C399, ""price"") / INDEX(GOOGLEFINANCE(C399, ""price"", EDATE(TODAY(), -12), TODAY()), 2, 2)) - 1, """")"),"")</f>
        <v/>
      </c>
      <c r="Q399" s="6" t="str">
        <f>IFERROR(__xludf.DUMMYFUNCTION("AVERAGE(QUERY(GOOGLEFINANCE(C399, ""price"", TODAY()-80, TODAY()), ""SELECT Col2 WHERE Col2 IS NOT NULL ORDER BY Col1 DESC LIMIT 50"", 0))"),"#N/A")</f>
        <v>#N/A</v>
      </c>
      <c r="R399" s="24" t="str">
        <f>IFERROR(__xludf.DUMMYFUNCTION("IFERROR(
  LET(
    data, QUERY(GOOGLEFINANCE(C399,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GOOGLEFINANCE(C399, ""price"")) * 100,
    IF(calc=0, G399, calc)
  ), 
G399)"),"#N/A")</f>
        <v>#N/A</v>
      </c>
      <c r="S399" s="8" t="s">
        <v>15</v>
      </c>
      <c r="T399" s="26" t="str">
        <f>IFERROR(__xludf.DUMMYFUNCTION("IFERROR(TRANSPOSE(QUERY(IFERROR(SORT(GOOGLEFINANCE(C399, ""price"", WORKDAY(TODAY(), -40), TODAY()), 1, FALSE)), ""select Col2 where Col2 is not null limit 22 label Col2 ''"", 0)), """")"),"")</f>
        <v/>
      </c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8"/>
      <c r="AO399" s="28"/>
      <c r="AP399" s="29"/>
      <c r="AQ399" s="29" t="str">
        <f t="shared" ref="AQ399:BL399" si="402">T399/T$2</f>
        <v>#N/A</v>
      </c>
      <c r="AR399" s="29" t="str">
        <f t="shared" si="402"/>
        <v>#DIV/0!</v>
      </c>
      <c r="AS399" s="29" t="str">
        <f t="shared" si="402"/>
        <v>#DIV/0!</v>
      </c>
      <c r="AT399" s="29" t="str">
        <f t="shared" si="402"/>
        <v>#DIV/0!</v>
      </c>
      <c r="AU399" s="29" t="str">
        <f t="shared" si="402"/>
        <v>#DIV/0!</v>
      </c>
      <c r="AV399" s="29" t="str">
        <f t="shared" si="402"/>
        <v>#DIV/0!</v>
      </c>
      <c r="AW399" s="29" t="str">
        <f t="shared" si="402"/>
        <v>#DIV/0!</v>
      </c>
      <c r="AX399" s="29" t="str">
        <f t="shared" si="402"/>
        <v>#DIV/0!</v>
      </c>
      <c r="AY399" s="29" t="str">
        <f t="shared" si="402"/>
        <v>#DIV/0!</v>
      </c>
      <c r="AZ399" s="29" t="str">
        <f t="shared" si="402"/>
        <v>#DIV/0!</v>
      </c>
      <c r="BA399" s="29" t="str">
        <f t="shared" si="402"/>
        <v>#DIV/0!</v>
      </c>
      <c r="BB399" s="29" t="str">
        <f t="shared" si="402"/>
        <v>#DIV/0!</v>
      </c>
      <c r="BC399" s="29" t="str">
        <f t="shared" si="402"/>
        <v>#DIV/0!</v>
      </c>
      <c r="BD399" s="29" t="str">
        <f t="shared" si="402"/>
        <v>#DIV/0!</v>
      </c>
      <c r="BE399" s="29" t="str">
        <f t="shared" si="402"/>
        <v>#DIV/0!</v>
      </c>
      <c r="BF399" s="29" t="str">
        <f t="shared" si="402"/>
        <v>#DIV/0!</v>
      </c>
      <c r="BG399" s="29" t="str">
        <f t="shared" si="402"/>
        <v>#DIV/0!</v>
      </c>
      <c r="BH399" s="29" t="str">
        <f t="shared" si="402"/>
        <v>#DIV/0!</v>
      </c>
      <c r="BI399" s="29" t="str">
        <f t="shared" si="402"/>
        <v>#DIV/0!</v>
      </c>
      <c r="BJ399" s="29" t="str">
        <f t="shared" si="402"/>
        <v>#DIV/0!</v>
      </c>
      <c r="BK399" s="29" t="str">
        <f t="shared" si="402"/>
        <v>#DIV/0!</v>
      </c>
      <c r="BL399" s="29" t="str">
        <f t="shared" si="402"/>
        <v>#DIV/0!</v>
      </c>
      <c r="BM399" s="29" t="str">
        <f t="shared" si="3"/>
        <v>#DIV/0!</v>
      </c>
    </row>
    <row r="400">
      <c r="A400" s="16" t="str">
        <f>IFERROR(__xludf.DUMMYFUNCTION("IFERROR(SPARKLINE(SORT(MAP(TRANSPOSE(AQ400:BL400), LAMBDA(val, IF(ISNUMBER(val), PERCENTRANK(AQ400:BL400, val)+0.01, 0))), SEQUENCE(COLUMNS(AQ400:BL400)), FALSE), {""charttype"",""column""; ""color"",""chartreuse""; ""ymin"", 0; ""ymax"", 1.01; ""highcolo"&amp;"r"", ""darkgreen""; ""lowcolor"", ""red""}), """")"),"")</f>
        <v/>
      </c>
      <c r="B400" s="17" t="str">
        <f t="shared" si="4"/>
        <v/>
      </c>
      <c r="C400" s="1" t="s">
        <v>1851</v>
      </c>
      <c r="D400" s="34" t="str">
        <f>IFERROR(__xludf.DUMMYFUNCTION("IFERROR(GOOGLEFINANCE(C400, ""NAME""))"),"Stifel Financial Corp")</f>
        <v>Stifel Financial Corp</v>
      </c>
      <c r="E400" s="30" t="s">
        <v>77</v>
      </c>
      <c r="F400" s="38" t="str">
        <f>IFERROR(__xludf.DUMMYFUNCTION("( (GOOGLEFINANCE(C400, ""price"") - Q400) / Q400 ) / (R400 / 100)"),"Loading...")</f>
        <v>Loading...</v>
      </c>
      <c r="G400" s="20" t="str">
        <f>IFERROR(__xludf.DUMMYFUNCTION("AVERAGE(ARRAYFORMULA(100 * (QUERY(GOOGLEFINANCE(C400, ""high"", TODAY()-40, TODAY()), ""SELECT Col2 WHERE Col2 IS NOT NULL ORDER BY Col1 DESC LIMIT 20"", 0) / QUERY(GOOGLEFINANCE(C400, ""low"", TODAY()-40, TODAY()), ""SELECT Col2 WHERE Col2 IS NOT NULL OR"&amp;"DER BY Col1 DESC LIMIT 20"", 0) - 1)))"),"#N/A")</f>
        <v>#N/A</v>
      </c>
      <c r="H400" s="35" t="str">
        <f t="shared" si="6"/>
        <v/>
      </c>
      <c r="I400" s="36" t="str">
        <f t="shared" si="7"/>
        <v/>
      </c>
      <c r="J400" s="37" t="str">
        <f>IFERROR(__xludf.DUMMYFUNCTION("IFERROR(
  IF(C400="""",, 
    IFERROR(
      GOOGLEFINANCE(C400, ""price"") * GOOGLEFINANCE(C400, ""volumeavg""), 
      GOOGLEFINANCE(C400, ""price"") * AVERAGE(QUERY(GOOGLEFINANCE(C400, ""volume"", TODAY()-40, TODAY()), ""SELECT Col2 WHERE Col2 IS NOT "&amp;"NULL ORDER BY Col1 DESC LIMIT 20"", 0))
    )
  ), 
"""")"),"")</f>
        <v/>
      </c>
      <c r="K400" s="21" t="str">
        <f>IFERROR(__xludf.DUMMYFUNCTION("IFERROR(GOOGLEFINANCE(C400, ""changepct"") / 100, """")"),"")</f>
        <v/>
      </c>
      <c r="L400" s="21" t="str">
        <f>IFERROR(__xludf.DUMMYFUNCTION("IFERROR((GOOGLEFINANCE(C400, ""price"") / INDEX(GOOGLEFINANCE(C400, ""price"", TODAY()-7, TODAY()), 2, 2)) - 1, """")"),"")</f>
        <v/>
      </c>
      <c r="M400" s="21" t="str">
        <f>IFERROR(__xludf.DUMMYFUNCTION("IFERROR((GOOGLEFINANCE(C400, ""price"") / INDEX(GOOGLEFINANCE(C400, ""price"", EDATE(TODAY(), -1), TODAY()), 2, 2)) - 1, """")"),"")</f>
        <v/>
      </c>
      <c r="N400" s="21" t="str">
        <f>IFERROR(__xludf.DUMMYFUNCTION("IFERROR((GOOGLEFINANCE(C400, ""price"") / INDEX(GOOGLEFINANCE(C400, ""price"", EDATE(TODAY(), -3), TODAY()), 2, 2)) - 1, """")"),"")</f>
        <v/>
      </c>
      <c r="O400" s="21" t="str">
        <f>IFERROR(__xludf.DUMMYFUNCTION("IFERROR((GOOGLEFINANCE(C400, ""price"") / INDEX(GOOGLEFINANCE(C400, ""price"", EDATE(TODAY(), -6), TODAY()), 2, 2)) - 1, """")"),"")</f>
        <v/>
      </c>
      <c r="P400" s="21" t="str">
        <f>IFERROR(__xludf.DUMMYFUNCTION("IFERROR((GOOGLEFINANCE(C400, ""price"") / INDEX(GOOGLEFINANCE(C400, ""price"", EDATE(TODAY(), -12), TODAY()), 2, 2)) - 1, """")"),"")</f>
        <v/>
      </c>
      <c r="Q400" s="6" t="str">
        <f>IFERROR(__xludf.DUMMYFUNCTION("AVERAGE(QUERY(GOOGLEFINANCE(C400, ""price"", TODAY()-80, TODAY()), ""SELECT Col2 WHERE Col2 IS NOT NULL ORDER BY Col1 DESC LIMIT 50"", 0))"),"#N/A")</f>
        <v>#N/A</v>
      </c>
      <c r="R400" s="24" t="str">
        <f>IFERROR(__xludf.DUMMYFUNCTION("IFERROR(
  LET(
    data, QUERY(GOOGLEFINANCE(C400,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GOOGLEFINANCE(C400, ""price"")) * 100,
    IF(calc=0, G400, calc)
  ), 
G400)"),"#N/A")</f>
        <v>#N/A</v>
      </c>
      <c r="S400" s="8" t="s">
        <v>15</v>
      </c>
      <c r="T400" s="26" t="str">
        <f>IFERROR(__xludf.DUMMYFUNCTION("IFERROR(TRANSPOSE(QUERY(IFERROR(SORT(GOOGLEFINANCE(C400, ""price"", WORKDAY(TODAY(), -40), TODAY()), 1, FALSE)), ""select Col2 where Col2 is not null limit 22 label Col2 ''"", 0)), """")"),"")</f>
        <v/>
      </c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8"/>
      <c r="AO400" s="28"/>
      <c r="AP400" s="29"/>
      <c r="AQ400" s="29" t="str">
        <f t="shared" ref="AQ400:BL400" si="403">T400/T$2</f>
        <v>#N/A</v>
      </c>
      <c r="AR400" s="29" t="str">
        <f t="shared" si="403"/>
        <v>#DIV/0!</v>
      </c>
      <c r="AS400" s="29" t="str">
        <f t="shared" si="403"/>
        <v>#DIV/0!</v>
      </c>
      <c r="AT400" s="29" t="str">
        <f t="shared" si="403"/>
        <v>#DIV/0!</v>
      </c>
      <c r="AU400" s="29" t="str">
        <f t="shared" si="403"/>
        <v>#DIV/0!</v>
      </c>
      <c r="AV400" s="29" t="str">
        <f t="shared" si="403"/>
        <v>#DIV/0!</v>
      </c>
      <c r="AW400" s="29" t="str">
        <f t="shared" si="403"/>
        <v>#DIV/0!</v>
      </c>
      <c r="AX400" s="29" t="str">
        <f t="shared" si="403"/>
        <v>#DIV/0!</v>
      </c>
      <c r="AY400" s="29" t="str">
        <f t="shared" si="403"/>
        <v>#DIV/0!</v>
      </c>
      <c r="AZ400" s="29" t="str">
        <f t="shared" si="403"/>
        <v>#DIV/0!</v>
      </c>
      <c r="BA400" s="29" t="str">
        <f t="shared" si="403"/>
        <v>#DIV/0!</v>
      </c>
      <c r="BB400" s="29" t="str">
        <f t="shared" si="403"/>
        <v>#DIV/0!</v>
      </c>
      <c r="BC400" s="29" t="str">
        <f t="shared" si="403"/>
        <v>#DIV/0!</v>
      </c>
      <c r="BD400" s="29" t="str">
        <f t="shared" si="403"/>
        <v>#DIV/0!</v>
      </c>
      <c r="BE400" s="29" t="str">
        <f t="shared" si="403"/>
        <v>#DIV/0!</v>
      </c>
      <c r="BF400" s="29" t="str">
        <f t="shared" si="403"/>
        <v>#DIV/0!</v>
      </c>
      <c r="BG400" s="29" t="str">
        <f t="shared" si="403"/>
        <v>#DIV/0!</v>
      </c>
      <c r="BH400" s="29" t="str">
        <f t="shared" si="403"/>
        <v>#DIV/0!</v>
      </c>
      <c r="BI400" s="29" t="str">
        <f t="shared" si="403"/>
        <v>#DIV/0!</v>
      </c>
      <c r="BJ400" s="29" t="str">
        <f t="shared" si="403"/>
        <v>#DIV/0!</v>
      </c>
      <c r="BK400" s="29" t="str">
        <f t="shared" si="403"/>
        <v>#DIV/0!</v>
      </c>
      <c r="BL400" s="29" t="str">
        <f t="shared" si="403"/>
        <v>#DIV/0!</v>
      </c>
      <c r="BM400" s="29" t="str">
        <f t="shared" si="3"/>
        <v>#DIV/0!</v>
      </c>
    </row>
    <row r="401">
      <c r="A401" s="16" t="str">
        <f>IFERROR(__xludf.DUMMYFUNCTION("IFERROR(SPARKLINE(SORT(MAP(TRANSPOSE(AQ401:BL401), LAMBDA(val, IF(ISNUMBER(val), PERCENTRANK(AQ401:BL401, val)+0.01, 0))), SEQUENCE(COLUMNS(AQ401:BL401)), FALSE), {""charttype"",""column""; ""color"",""chartreuse""; ""ymin"", 0; ""ymax"", 1.01; ""highcolo"&amp;"r"", ""darkgreen""; ""lowcolor"", ""red""}), """")"),"")</f>
        <v/>
      </c>
      <c r="B401" s="17" t="str">
        <f t="shared" si="4"/>
        <v/>
      </c>
      <c r="C401" s="1" t="s">
        <v>1855</v>
      </c>
      <c r="D401" s="34" t="str">
        <f>IFERROR(__xludf.DUMMYFUNCTION("IFERROR(GOOGLEFINANCE(C401, ""NAME""))"),"Southside Bancshares Inc")</f>
        <v>Southside Bancshares Inc</v>
      </c>
      <c r="E401" s="30" t="s">
        <v>268</v>
      </c>
      <c r="F401" s="38" t="str">
        <f>IFERROR(__xludf.DUMMYFUNCTION("( (GOOGLEFINANCE(C401, ""price"") - Q401) / Q401 ) / (R401 / 100)"),"Loading...")</f>
        <v>Loading...</v>
      </c>
      <c r="G401" s="20" t="str">
        <f>IFERROR(__xludf.DUMMYFUNCTION("AVERAGE(ARRAYFORMULA(100 * (QUERY(GOOGLEFINANCE(C401, ""high"", TODAY()-40, TODAY()), ""SELECT Col2 WHERE Col2 IS NOT NULL ORDER BY Col1 DESC LIMIT 20"", 0) / QUERY(GOOGLEFINANCE(C401, ""low"", TODAY()-40, TODAY()), ""SELECT Col2 WHERE Col2 IS NOT NULL OR"&amp;"DER BY Col1 DESC LIMIT 20"", 0) - 1)))"),"#N/A")</f>
        <v>#N/A</v>
      </c>
      <c r="H401" s="35" t="str">
        <f t="shared" si="6"/>
        <v/>
      </c>
      <c r="I401" s="36" t="str">
        <f t="shared" si="7"/>
        <v/>
      </c>
      <c r="J401" s="37" t="str">
        <f>IFERROR(__xludf.DUMMYFUNCTION("IFERROR(
  IF(C401="""",, 
    IFERROR(
      GOOGLEFINANCE(C401, ""price"") * GOOGLEFINANCE(C401, ""volumeavg""), 
      GOOGLEFINANCE(C401, ""price"") * AVERAGE(QUERY(GOOGLEFINANCE(C401, ""volume"", TODAY()-40, TODAY()), ""SELECT Col2 WHERE Col2 IS NOT "&amp;"NULL ORDER BY Col1 DESC LIMIT 20"", 0))
    )
  ), 
"""")"),"")</f>
        <v/>
      </c>
      <c r="K401" s="21" t="str">
        <f>IFERROR(__xludf.DUMMYFUNCTION("IFERROR(GOOGLEFINANCE(C401, ""changepct"") / 100, """")"),"")</f>
        <v/>
      </c>
      <c r="L401" s="21" t="str">
        <f>IFERROR(__xludf.DUMMYFUNCTION("IFERROR((GOOGLEFINANCE(C401, ""price"") / INDEX(GOOGLEFINANCE(C401, ""price"", TODAY()-7, TODAY()), 2, 2)) - 1, """")"),"")</f>
        <v/>
      </c>
      <c r="M401" s="21" t="str">
        <f>IFERROR(__xludf.DUMMYFUNCTION("IFERROR((GOOGLEFINANCE(C401, ""price"") / INDEX(GOOGLEFINANCE(C401, ""price"", EDATE(TODAY(), -1), TODAY()), 2, 2)) - 1, """")"),"")</f>
        <v/>
      </c>
      <c r="N401" s="21" t="str">
        <f>IFERROR(__xludf.DUMMYFUNCTION("IFERROR((GOOGLEFINANCE(C401, ""price"") / INDEX(GOOGLEFINANCE(C401, ""price"", EDATE(TODAY(), -3), TODAY()), 2, 2)) - 1, """")"),"")</f>
        <v/>
      </c>
      <c r="O401" s="21" t="str">
        <f>IFERROR(__xludf.DUMMYFUNCTION("IFERROR((GOOGLEFINANCE(C401, ""price"") / INDEX(GOOGLEFINANCE(C401, ""price"", EDATE(TODAY(), -6), TODAY()), 2, 2)) - 1, """")"),"")</f>
        <v/>
      </c>
      <c r="P401" s="21" t="str">
        <f>IFERROR(__xludf.DUMMYFUNCTION("IFERROR((GOOGLEFINANCE(C401, ""price"") / INDEX(GOOGLEFINANCE(C401, ""price"", EDATE(TODAY(), -12), TODAY()), 2, 2)) - 1, """")"),"")</f>
        <v/>
      </c>
      <c r="Q401" s="6" t="str">
        <f>IFERROR(__xludf.DUMMYFUNCTION("AVERAGE(QUERY(GOOGLEFINANCE(C401, ""price"", TODAY()-80, TODAY()), ""SELECT Col2 WHERE Col2 IS NOT NULL ORDER BY Col1 DESC LIMIT 50"", 0))"),"#N/A")</f>
        <v>#N/A</v>
      </c>
      <c r="R401" s="24" t="str">
        <f>IFERROR(__xludf.DUMMYFUNCTION("IFERROR(
  LET(
    data, QUERY(GOOGLEFINANCE(C401,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GOOGLEFINANCE(C401, ""price"")) * 100,
    IF(calc=0, G401, calc)
  ), 
G401)"),"#N/A")</f>
        <v>#N/A</v>
      </c>
      <c r="S401" s="8" t="s">
        <v>15</v>
      </c>
      <c r="T401" s="26" t="str">
        <f>IFERROR(__xludf.DUMMYFUNCTION("IFERROR(TRANSPOSE(QUERY(IFERROR(SORT(GOOGLEFINANCE(C401, ""price"", WORKDAY(TODAY(), -40), TODAY()), 1, FALSE)), ""select Col2 where Col2 is not null limit 22 label Col2 ''"", 0)), """")"),"")</f>
        <v/>
      </c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8"/>
      <c r="AO401" s="28"/>
      <c r="AP401" s="29"/>
      <c r="AQ401" s="29" t="str">
        <f t="shared" ref="AQ401:BL401" si="404">T401/T$2</f>
        <v>#N/A</v>
      </c>
      <c r="AR401" s="29" t="str">
        <f t="shared" si="404"/>
        <v>#DIV/0!</v>
      </c>
      <c r="AS401" s="29" t="str">
        <f t="shared" si="404"/>
        <v>#DIV/0!</v>
      </c>
      <c r="AT401" s="29" t="str">
        <f t="shared" si="404"/>
        <v>#DIV/0!</v>
      </c>
      <c r="AU401" s="29" t="str">
        <f t="shared" si="404"/>
        <v>#DIV/0!</v>
      </c>
      <c r="AV401" s="29" t="str">
        <f t="shared" si="404"/>
        <v>#DIV/0!</v>
      </c>
      <c r="AW401" s="29" t="str">
        <f t="shared" si="404"/>
        <v>#DIV/0!</v>
      </c>
      <c r="AX401" s="29" t="str">
        <f t="shared" si="404"/>
        <v>#DIV/0!</v>
      </c>
      <c r="AY401" s="29" t="str">
        <f t="shared" si="404"/>
        <v>#DIV/0!</v>
      </c>
      <c r="AZ401" s="29" t="str">
        <f t="shared" si="404"/>
        <v>#DIV/0!</v>
      </c>
      <c r="BA401" s="29" t="str">
        <f t="shared" si="404"/>
        <v>#DIV/0!</v>
      </c>
      <c r="BB401" s="29" t="str">
        <f t="shared" si="404"/>
        <v>#DIV/0!</v>
      </c>
      <c r="BC401" s="29" t="str">
        <f t="shared" si="404"/>
        <v>#DIV/0!</v>
      </c>
      <c r="BD401" s="29" t="str">
        <f t="shared" si="404"/>
        <v>#DIV/0!</v>
      </c>
      <c r="BE401" s="29" t="str">
        <f t="shared" si="404"/>
        <v>#DIV/0!</v>
      </c>
      <c r="BF401" s="29" t="str">
        <f t="shared" si="404"/>
        <v>#DIV/0!</v>
      </c>
      <c r="BG401" s="29" t="str">
        <f t="shared" si="404"/>
        <v>#DIV/0!</v>
      </c>
      <c r="BH401" s="29" t="str">
        <f t="shared" si="404"/>
        <v>#DIV/0!</v>
      </c>
      <c r="BI401" s="29" t="str">
        <f t="shared" si="404"/>
        <v>#DIV/0!</v>
      </c>
      <c r="BJ401" s="29" t="str">
        <f t="shared" si="404"/>
        <v>#DIV/0!</v>
      </c>
      <c r="BK401" s="29" t="str">
        <f t="shared" si="404"/>
        <v>#DIV/0!</v>
      </c>
      <c r="BL401" s="29" t="str">
        <f t="shared" si="404"/>
        <v>#DIV/0!</v>
      </c>
      <c r="BM401" s="29" t="str">
        <f t="shared" si="3"/>
        <v>#DIV/0!</v>
      </c>
    </row>
    <row r="402">
      <c r="A402" s="16" t="str">
        <f>IFERROR(__xludf.DUMMYFUNCTION("IFERROR(SPARKLINE(SORT(MAP(TRANSPOSE(AQ402:BL402), LAMBDA(val, IF(ISNUMBER(val), PERCENTRANK(AQ402:BL402, val)+0.01, 0))), SEQUENCE(COLUMNS(AQ402:BL402)), FALSE), {""charttype"",""column""; ""color"",""chartreuse""; ""ymin"", 0; ""ymax"", 1.01; ""highcolo"&amp;"r"", ""darkgreen""; ""lowcolor"", ""red""}), """")"),"")</f>
        <v/>
      </c>
      <c r="B402" s="17" t="str">
        <f t="shared" si="4"/>
        <v/>
      </c>
      <c r="C402" s="1" t="s">
        <v>1859</v>
      </c>
      <c r="D402" s="34" t="str">
        <f>IFERROR(__xludf.DUMMYFUNCTION("IFERROR(GOOGLEFINANCE(C402, ""NAME""))"),"ServisFirst Bancshares Inc")</f>
        <v>ServisFirst Bancshares Inc</v>
      </c>
      <c r="E402" s="30" t="s">
        <v>268</v>
      </c>
      <c r="F402" s="33" t="str">
        <f>IFERROR(__xludf.DUMMYFUNCTION("( (GOOGLEFINANCE(C402, ""price"") - Q402) / Q402 ) / (R402 / 100)"),"Loading...")</f>
        <v>Loading...</v>
      </c>
      <c r="G402" s="20" t="str">
        <f>IFERROR(__xludf.DUMMYFUNCTION("AVERAGE(ARRAYFORMULA(100 * (QUERY(GOOGLEFINANCE(C402, ""high"", TODAY()-40, TODAY()), ""SELECT Col2 WHERE Col2 IS NOT NULL ORDER BY Col1 DESC LIMIT 20"", 0) / QUERY(GOOGLEFINANCE(C402, ""low"", TODAY()-40, TODAY()), ""SELECT Col2 WHERE Col2 IS NOT NULL OR"&amp;"DER BY Col1 DESC LIMIT 20"", 0) - 1)))"),"#N/A")</f>
        <v>#N/A</v>
      </c>
      <c r="H402" s="35" t="str">
        <f t="shared" si="6"/>
        <v/>
      </c>
      <c r="I402" s="36" t="str">
        <f t="shared" si="7"/>
        <v/>
      </c>
      <c r="J402" s="37" t="str">
        <f>IFERROR(__xludf.DUMMYFUNCTION("IFERROR(
  IF(C402="""",, 
    IFERROR(
      GOOGLEFINANCE(C402, ""price"") * GOOGLEFINANCE(C402, ""volumeavg""), 
      GOOGLEFINANCE(C402, ""price"") * AVERAGE(QUERY(GOOGLEFINANCE(C402, ""volume"", TODAY()-40, TODAY()), ""SELECT Col2 WHERE Col2 IS NOT "&amp;"NULL ORDER BY Col1 DESC LIMIT 20"", 0))
    )
  ), 
"""")"),"")</f>
        <v/>
      </c>
      <c r="K402" s="21" t="str">
        <f>IFERROR(__xludf.DUMMYFUNCTION("IFERROR(GOOGLEFINANCE(C402, ""changepct"") / 100, """")"),"")</f>
        <v/>
      </c>
      <c r="L402" s="21" t="str">
        <f>IFERROR(__xludf.DUMMYFUNCTION("IFERROR((GOOGLEFINANCE(C402, ""price"") / INDEX(GOOGLEFINANCE(C402, ""price"", TODAY()-7, TODAY()), 2, 2)) - 1, """")"),"")</f>
        <v/>
      </c>
      <c r="M402" s="21" t="str">
        <f>IFERROR(__xludf.DUMMYFUNCTION("IFERROR((GOOGLEFINANCE(C402, ""price"") / INDEX(GOOGLEFINANCE(C402, ""price"", EDATE(TODAY(), -1), TODAY()), 2, 2)) - 1, """")"),"")</f>
        <v/>
      </c>
      <c r="N402" s="21" t="str">
        <f>IFERROR(__xludf.DUMMYFUNCTION("IFERROR((GOOGLEFINANCE(C402, ""price"") / INDEX(GOOGLEFINANCE(C402, ""price"", EDATE(TODAY(), -3), TODAY()), 2, 2)) - 1, """")"),"")</f>
        <v/>
      </c>
      <c r="O402" s="21" t="str">
        <f>IFERROR(__xludf.DUMMYFUNCTION("IFERROR((GOOGLEFINANCE(C402, ""price"") / INDEX(GOOGLEFINANCE(C402, ""price"", EDATE(TODAY(), -6), TODAY()), 2, 2)) - 1, """")"),"")</f>
        <v/>
      </c>
      <c r="P402" s="21" t="str">
        <f>IFERROR(__xludf.DUMMYFUNCTION("IFERROR((GOOGLEFINANCE(C402, ""price"") / INDEX(GOOGLEFINANCE(C402, ""price"", EDATE(TODAY(), -12), TODAY()), 2, 2)) - 1, """")"),"")</f>
        <v/>
      </c>
      <c r="Q402" s="6" t="str">
        <f>IFERROR(__xludf.DUMMYFUNCTION("AVERAGE(QUERY(GOOGLEFINANCE(C402, ""price"", TODAY()-80, TODAY()), ""SELECT Col2 WHERE Col2 IS NOT NULL ORDER BY Col1 DESC LIMIT 50"", 0))"),"#N/A")</f>
        <v>#N/A</v>
      </c>
      <c r="R402" s="24" t="str">
        <f>IFERROR(__xludf.DUMMYFUNCTION("IFERROR(
  LET(
    data, QUERY(GOOGLEFINANCE(C402,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GOOGLEFINANCE(C402, ""price"")) * 100,
    IF(calc=0, G402, calc)
  ), 
G402)"),"#N/A")</f>
        <v>#N/A</v>
      </c>
      <c r="S402" s="8" t="s">
        <v>15</v>
      </c>
      <c r="T402" s="26" t="str">
        <f>IFERROR(__xludf.DUMMYFUNCTION("IFERROR(TRANSPOSE(QUERY(IFERROR(SORT(GOOGLEFINANCE(C402, ""price"", WORKDAY(TODAY(), -40), TODAY()), 1, FALSE)), ""select Col2 where Col2 is not null limit 22 label Col2 ''"", 0)), """")"),"")</f>
        <v/>
      </c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8"/>
      <c r="AO402" s="28"/>
      <c r="AP402" s="29"/>
      <c r="AQ402" s="29" t="str">
        <f t="shared" ref="AQ402:BL402" si="405">T402/T$2</f>
        <v>#N/A</v>
      </c>
      <c r="AR402" s="29" t="str">
        <f t="shared" si="405"/>
        <v>#DIV/0!</v>
      </c>
      <c r="AS402" s="29" t="str">
        <f t="shared" si="405"/>
        <v>#DIV/0!</v>
      </c>
      <c r="AT402" s="29" t="str">
        <f t="shared" si="405"/>
        <v>#DIV/0!</v>
      </c>
      <c r="AU402" s="29" t="str">
        <f t="shared" si="405"/>
        <v>#DIV/0!</v>
      </c>
      <c r="AV402" s="29" t="str">
        <f t="shared" si="405"/>
        <v>#DIV/0!</v>
      </c>
      <c r="AW402" s="29" t="str">
        <f t="shared" si="405"/>
        <v>#DIV/0!</v>
      </c>
      <c r="AX402" s="29" t="str">
        <f t="shared" si="405"/>
        <v>#DIV/0!</v>
      </c>
      <c r="AY402" s="29" t="str">
        <f t="shared" si="405"/>
        <v>#DIV/0!</v>
      </c>
      <c r="AZ402" s="29" t="str">
        <f t="shared" si="405"/>
        <v>#DIV/0!</v>
      </c>
      <c r="BA402" s="29" t="str">
        <f t="shared" si="405"/>
        <v>#DIV/0!</v>
      </c>
      <c r="BB402" s="29" t="str">
        <f t="shared" si="405"/>
        <v>#DIV/0!</v>
      </c>
      <c r="BC402" s="29" t="str">
        <f t="shared" si="405"/>
        <v>#DIV/0!</v>
      </c>
      <c r="BD402" s="29" t="str">
        <f t="shared" si="405"/>
        <v>#DIV/0!</v>
      </c>
      <c r="BE402" s="29" t="str">
        <f t="shared" si="405"/>
        <v>#DIV/0!</v>
      </c>
      <c r="BF402" s="29" t="str">
        <f t="shared" si="405"/>
        <v>#DIV/0!</v>
      </c>
      <c r="BG402" s="29" t="str">
        <f t="shared" si="405"/>
        <v>#DIV/0!</v>
      </c>
      <c r="BH402" s="29" t="str">
        <f t="shared" si="405"/>
        <v>#DIV/0!</v>
      </c>
      <c r="BI402" s="29" t="str">
        <f t="shared" si="405"/>
        <v>#DIV/0!</v>
      </c>
      <c r="BJ402" s="29" t="str">
        <f t="shared" si="405"/>
        <v>#DIV/0!</v>
      </c>
      <c r="BK402" s="29" t="str">
        <f t="shared" si="405"/>
        <v>#DIV/0!</v>
      </c>
      <c r="BL402" s="29" t="str">
        <f t="shared" si="405"/>
        <v>#DIV/0!</v>
      </c>
      <c r="BM402" s="29" t="str">
        <f t="shared" si="3"/>
        <v>#DIV/0!</v>
      </c>
    </row>
    <row r="403">
      <c r="A403" s="16" t="str">
        <f>IFERROR(__xludf.DUMMYFUNCTION("IFERROR(SPARKLINE(SORT(MAP(TRANSPOSE(AQ403:BL403), LAMBDA(val, IF(ISNUMBER(val), PERCENTRANK(AQ403:BL403, val)+0.01, 0))), SEQUENCE(COLUMNS(AQ403:BL403)), FALSE), {""charttype"",""column""; ""color"",""chartreuse""; ""ymin"", 0; ""ymax"", 1.01; ""highcolo"&amp;"r"", ""darkgreen""; ""lowcolor"", ""red""}), """")"),"")</f>
        <v/>
      </c>
      <c r="B403" s="17" t="str">
        <f t="shared" si="4"/>
        <v/>
      </c>
      <c r="C403" s="1" t="s">
        <v>1863</v>
      </c>
      <c r="D403" s="34" t="str">
        <f>IFERROR(__xludf.DUMMYFUNCTION("IFERROR(GOOGLEFINANCE(C403, ""NAME""))"),"Sixth Street Specialty Lending Inc")</f>
        <v>Sixth Street Specialty Lending Inc</v>
      </c>
      <c r="E403" s="30" t="s">
        <v>64</v>
      </c>
      <c r="F403" s="33" t="str">
        <f>IFERROR(__xludf.DUMMYFUNCTION("( (GOOGLEFINANCE(C403, ""price"") - Q403) / Q403 ) / (R403 / 100)"),"Loading...")</f>
        <v>Loading...</v>
      </c>
      <c r="G403" s="20" t="str">
        <f>IFERROR(__xludf.DUMMYFUNCTION("AVERAGE(ARRAYFORMULA(100 * (QUERY(GOOGLEFINANCE(C403, ""high"", TODAY()-40, TODAY()), ""SELECT Col2 WHERE Col2 IS NOT NULL ORDER BY Col1 DESC LIMIT 20"", 0) / QUERY(GOOGLEFINANCE(C403, ""low"", TODAY()-40, TODAY()), ""SELECT Col2 WHERE Col2 IS NOT NULL OR"&amp;"DER BY Col1 DESC LIMIT 20"", 0) - 1)))"),"#N/A")</f>
        <v>#N/A</v>
      </c>
      <c r="H403" s="35" t="str">
        <f t="shared" si="6"/>
        <v/>
      </c>
      <c r="I403" s="36" t="str">
        <f t="shared" si="7"/>
        <v/>
      </c>
      <c r="J403" s="37" t="str">
        <f>IFERROR(__xludf.DUMMYFUNCTION("IFERROR(
  IF(C403="""",, 
    IFERROR(
      GOOGLEFINANCE(C403, ""price"") * GOOGLEFINANCE(C403, ""volumeavg""), 
      GOOGLEFINANCE(C403, ""price"") * AVERAGE(QUERY(GOOGLEFINANCE(C403, ""volume"", TODAY()-40, TODAY()), ""SELECT Col2 WHERE Col2 IS NOT "&amp;"NULL ORDER BY Col1 DESC LIMIT 20"", 0))
    )
  ), 
"""")"),"")</f>
        <v/>
      </c>
      <c r="K403" s="21" t="str">
        <f>IFERROR(__xludf.DUMMYFUNCTION("IFERROR(GOOGLEFINANCE(C403, ""changepct"") / 100, """")"),"")</f>
        <v/>
      </c>
      <c r="L403" s="21" t="str">
        <f>IFERROR(__xludf.DUMMYFUNCTION("IFERROR((GOOGLEFINANCE(C403, ""price"") / INDEX(GOOGLEFINANCE(C403, ""price"", TODAY()-7, TODAY()), 2, 2)) - 1, """")"),"")</f>
        <v/>
      </c>
      <c r="M403" s="21" t="str">
        <f>IFERROR(__xludf.DUMMYFUNCTION("IFERROR((GOOGLEFINANCE(C403, ""price"") / INDEX(GOOGLEFINANCE(C403, ""price"", EDATE(TODAY(), -1), TODAY()), 2, 2)) - 1, """")"),"")</f>
        <v/>
      </c>
      <c r="N403" s="21" t="str">
        <f>IFERROR(__xludf.DUMMYFUNCTION("IFERROR((GOOGLEFINANCE(C403, ""price"") / INDEX(GOOGLEFINANCE(C403, ""price"", EDATE(TODAY(), -3), TODAY()), 2, 2)) - 1, """")"),"")</f>
        <v/>
      </c>
      <c r="O403" s="21" t="str">
        <f>IFERROR(__xludf.DUMMYFUNCTION("IFERROR((GOOGLEFINANCE(C403, ""price"") / INDEX(GOOGLEFINANCE(C403, ""price"", EDATE(TODAY(), -6), TODAY()), 2, 2)) - 1, """")"),"")</f>
        <v/>
      </c>
      <c r="P403" s="21" t="str">
        <f>IFERROR(__xludf.DUMMYFUNCTION("IFERROR((GOOGLEFINANCE(C403, ""price"") / INDEX(GOOGLEFINANCE(C403, ""price"", EDATE(TODAY(), -12), TODAY()), 2, 2)) - 1, """")"),"")</f>
        <v/>
      </c>
      <c r="Q403" s="6" t="str">
        <f>IFERROR(__xludf.DUMMYFUNCTION("AVERAGE(QUERY(GOOGLEFINANCE(C403, ""price"", TODAY()-80, TODAY()), ""SELECT Col2 WHERE Col2 IS NOT NULL ORDER BY Col1 DESC LIMIT 50"", 0))"),"#N/A")</f>
        <v>#N/A</v>
      </c>
      <c r="R403" s="24" t="str">
        <f>IFERROR(__xludf.DUMMYFUNCTION("IFERROR(
  LET(
    data, QUERY(GOOGLEFINANCE(C403,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GOOGLEFINANCE(C403, ""price"")) * 100,
    IF(calc=0, G403, calc)
  ), 
G403)"),"#N/A")</f>
        <v>#N/A</v>
      </c>
      <c r="S403" s="8" t="s">
        <v>15</v>
      </c>
      <c r="T403" s="26" t="str">
        <f>IFERROR(__xludf.DUMMYFUNCTION("IFERROR(TRANSPOSE(QUERY(IFERROR(SORT(GOOGLEFINANCE(C403, ""price"", WORKDAY(TODAY(), -40), TODAY()), 1, FALSE)), ""select Col2 where Col2 is not null limit 22 label Col2 ''"", 0)), """")"),"")</f>
        <v/>
      </c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8"/>
      <c r="AO403" s="28"/>
      <c r="AP403" s="29"/>
      <c r="AQ403" s="29" t="str">
        <f t="shared" ref="AQ403:BL403" si="406">T403/T$2</f>
        <v>#N/A</v>
      </c>
      <c r="AR403" s="29" t="str">
        <f t="shared" si="406"/>
        <v>#DIV/0!</v>
      </c>
      <c r="AS403" s="29" t="str">
        <f t="shared" si="406"/>
        <v>#DIV/0!</v>
      </c>
      <c r="AT403" s="29" t="str">
        <f t="shared" si="406"/>
        <v>#DIV/0!</v>
      </c>
      <c r="AU403" s="29" t="str">
        <f t="shared" si="406"/>
        <v>#DIV/0!</v>
      </c>
      <c r="AV403" s="29" t="str">
        <f t="shared" si="406"/>
        <v>#DIV/0!</v>
      </c>
      <c r="AW403" s="29" t="str">
        <f t="shared" si="406"/>
        <v>#DIV/0!</v>
      </c>
      <c r="AX403" s="29" t="str">
        <f t="shared" si="406"/>
        <v>#DIV/0!</v>
      </c>
      <c r="AY403" s="29" t="str">
        <f t="shared" si="406"/>
        <v>#DIV/0!</v>
      </c>
      <c r="AZ403" s="29" t="str">
        <f t="shared" si="406"/>
        <v>#DIV/0!</v>
      </c>
      <c r="BA403" s="29" t="str">
        <f t="shared" si="406"/>
        <v>#DIV/0!</v>
      </c>
      <c r="BB403" s="29" t="str">
        <f t="shared" si="406"/>
        <v>#DIV/0!</v>
      </c>
      <c r="BC403" s="29" t="str">
        <f t="shared" si="406"/>
        <v>#DIV/0!</v>
      </c>
      <c r="BD403" s="29" t="str">
        <f t="shared" si="406"/>
        <v>#DIV/0!</v>
      </c>
      <c r="BE403" s="29" t="str">
        <f t="shared" si="406"/>
        <v>#DIV/0!</v>
      </c>
      <c r="BF403" s="29" t="str">
        <f t="shared" si="406"/>
        <v>#DIV/0!</v>
      </c>
      <c r="BG403" s="29" t="str">
        <f t="shared" si="406"/>
        <v>#DIV/0!</v>
      </c>
      <c r="BH403" s="29" t="str">
        <f t="shared" si="406"/>
        <v>#DIV/0!</v>
      </c>
      <c r="BI403" s="29" t="str">
        <f t="shared" si="406"/>
        <v>#DIV/0!</v>
      </c>
      <c r="BJ403" s="29" t="str">
        <f t="shared" si="406"/>
        <v>#DIV/0!</v>
      </c>
      <c r="BK403" s="29" t="str">
        <f t="shared" si="406"/>
        <v>#DIV/0!</v>
      </c>
      <c r="BL403" s="29" t="str">
        <f t="shared" si="406"/>
        <v>#DIV/0!</v>
      </c>
      <c r="BM403" s="29" t="str">
        <f t="shared" si="3"/>
        <v>#DIV/0!</v>
      </c>
    </row>
    <row r="404">
      <c r="A404" s="16" t="str">
        <f>IFERROR(__xludf.DUMMYFUNCTION("IFERROR(SPARKLINE(SORT(MAP(TRANSPOSE(AQ404:BL404), LAMBDA(val, IF(ISNUMBER(val), PERCENTRANK(AQ404:BL404, val)+0.01, 0))), SEQUENCE(COLUMNS(AQ404:BL404)), FALSE), {""charttype"",""column""; ""color"",""chartreuse""; ""ymin"", 0; ""ymax"", 1.01; ""highcolo"&amp;"r"", ""darkgreen""; ""lowcolor"", ""red""}), """")"),"")</f>
        <v/>
      </c>
      <c r="B404" s="17" t="str">
        <f t="shared" si="4"/>
        <v/>
      </c>
      <c r="C404" s="1" t="s">
        <v>1867</v>
      </c>
      <c r="D404" s="34" t="str">
        <f>IFERROR(__xludf.DUMMYFUNCTION("IFERROR(GOOGLEFINANCE(C404, ""NAME""))"),"City Holding Co")</f>
        <v>City Holding Co</v>
      </c>
      <c r="E404" s="30" t="s">
        <v>268</v>
      </c>
      <c r="F404" s="38" t="str">
        <f>IFERROR(__xludf.DUMMYFUNCTION("( (GOOGLEFINANCE(C404, ""price"") - Q404) / Q404 ) / (R404 / 100)"),"Loading...")</f>
        <v>Loading...</v>
      </c>
      <c r="G404" s="20" t="str">
        <f>IFERROR(__xludf.DUMMYFUNCTION("AVERAGE(ARRAYFORMULA(100 * (QUERY(GOOGLEFINANCE(C404, ""high"", TODAY()-40, TODAY()), ""SELECT Col2 WHERE Col2 IS NOT NULL ORDER BY Col1 DESC LIMIT 20"", 0) / QUERY(GOOGLEFINANCE(C404, ""low"", TODAY()-40, TODAY()), ""SELECT Col2 WHERE Col2 IS NOT NULL OR"&amp;"DER BY Col1 DESC LIMIT 20"", 0) - 1)))"),"#N/A")</f>
        <v>#N/A</v>
      </c>
      <c r="H404" s="35" t="str">
        <f t="shared" si="6"/>
        <v/>
      </c>
      <c r="I404" s="36" t="str">
        <f t="shared" si="7"/>
        <v/>
      </c>
      <c r="J404" s="37" t="str">
        <f>IFERROR(__xludf.DUMMYFUNCTION("IFERROR(
  IF(C404="""",, 
    IFERROR(
      GOOGLEFINANCE(C404, ""price"") * GOOGLEFINANCE(C404, ""volumeavg""), 
      GOOGLEFINANCE(C404, ""price"") * AVERAGE(QUERY(GOOGLEFINANCE(C404, ""volume"", TODAY()-40, TODAY()), ""SELECT Col2 WHERE Col2 IS NOT "&amp;"NULL ORDER BY Col1 DESC LIMIT 20"", 0))
    )
  ), 
"""")"),"")</f>
        <v/>
      </c>
      <c r="K404" s="21" t="str">
        <f>IFERROR(__xludf.DUMMYFUNCTION("IFERROR(GOOGLEFINANCE(C404, ""changepct"") / 100, """")"),"")</f>
        <v/>
      </c>
      <c r="L404" s="21" t="str">
        <f>IFERROR(__xludf.DUMMYFUNCTION("IFERROR((GOOGLEFINANCE(C404, ""price"") / INDEX(GOOGLEFINANCE(C404, ""price"", TODAY()-7, TODAY()), 2, 2)) - 1, """")"),"")</f>
        <v/>
      </c>
      <c r="M404" s="21" t="str">
        <f>IFERROR(__xludf.DUMMYFUNCTION("IFERROR((GOOGLEFINANCE(C404, ""price"") / INDEX(GOOGLEFINANCE(C404, ""price"", EDATE(TODAY(), -1), TODAY()), 2, 2)) - 1, """")"),"")</f>
        <v/>
      </c>
      <c r="N404" s="21" t="str">
        <f>IFERROR(__xludf.DUMMYFUNCTION("IFERROR((GOOGLEFINANCE(C404, ""price"") / INDEX(GOOGLEFINANCE(C404, ""price"", EDATE(TODAY(), -3), TODAY()), 2, 2)) - 1, """")"),"")</f>
        <v/>
      </c>
      <c r="O404" s="21" t="str">
        <f>IFERROR(__xludf.DUMMYFUNCTION("IFERROR((GOOGLEFINANCE(C404, ""price"") / INDEX(GOOGLEFINANCE(C404, ""price"", EDATE(TODAY(), -6), TODAY()), 2, 2)) - 1, """")"),"")</f>
        <v/>
      </c>
      <c r="P404" s="21" t="str">
        <f>IFERROR(__xludf.DUMMYFUNCTION("IFERROR((GOOGLEFINANCE(C404, ""price"") / INDEX(GOOGLEFINANCE(C404, ""price"", EDATE(TODAY(), -12), TODAY()), 2, 2)) - 1, """")"),"")</f>
        <v/>
      </c>
      <c r="Q404" s="6" t="str">
        <f>IFERROR(__xludf.DUMMYFUNCTION("AVERAGE(QUERY(GOOGLEFINANCE(C404, ""price"", TODAY()-80, TODAY()), ""SELECT Col2 WHERE Col2 IS NOT NULL ORDER BY Col1 DESC LIMIT 50"", 0))"),"#N/A")</f>
        <v>#N/A</v>
      </c>
      <c r="R404" s="24" t="str">
        <f>IFERROR(__xludf.DUMMYFUNCTION("IFERROR(
  LET(
    data, QUERY(GOOGLEFINANCE(C404,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GOOGLEFINANCE(C404, ""price"")) * 100,
    IF(calc=0, G404, calc)
  ), 
G404)"),"#N/A")</f>
        <v>#N/A</v>
      </c>
      <c r="S404" s="8" t="s">
        <v>15</v>
      </c>
      <c r="T404" s="26" t="str">
        <f>IFERROR(__xludf.DUMMYFUNCTION("IFERROR(TRANSPOSE(QUERY(IFERROR(SORT(GOOGLEFINANCE(C404, ""price"", WORKDAY(TODAY(), -40), TODAY()), 1, FALSE)), ""select Col2 where Col2 is not null limit 22 label Col2 ''"", 0)), """")"),"")</f>
        <v/>
      </c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8"/>
      <c r="AO404" s="28"/>
      <c r="AP404" s="29"/>
      <c r="AQ404" s="29" t="str">
        <f t="shared" ref="AQ404:BL404" si="407">T404/T$2</f>
        <v>#N/A</v>
      </c>
      <c r="AR404" s="29" t="str">
        <f t="shared" si="407"/>
        <v>#DIV/0!</v>
      </c>
      <c r="AS404" s="29" t="str">
        <f t="shared" si="407"/>
        <v>#DIV/0!</v>
      </c>
      <c r="AT404" s="29" t="str">
        <f t="shared" si="407"/>
        <v>#DIV/0!</v>
      </c>
      <c r="AU404" s="29" t="str">
        <f t="shared" si="407"/>
        <v>#DIV/0!</v>
      </c>
      <c r="AV404" s="29" t="str">
        <f t="shared" si="407"/>
        <v>#DIV/0!</v>
      </c>
      <c r="AW404" s="29" t="str">
        <f t="shared" si="407"/>
        <v>#DIV/0!</v>
      </c>
      <c r="AX404" s="29" t="str">
        <f t="shared" si="407"/>
        <v>#DIV/0!</v>
      </c>
      <c r="AY404" s="29" t="str">
        <f t="shared" si="407"/>
        <v>#DIV/0!</v>
      </c>
      <c r="AZ404" s="29" t="str">
        <f t="shared" si="407"/>
        <v>#DIV/0!</v>
      </c>
      <c r="BA404" s="29" t="str">
        <f t="shared" si="407"/>
        <v>#DIV/0!</v>
      </c>
      <c r="BB404" s="29" t="str">
        <f t="shared" si="407"/>
        <v>#DIV/0!</v>
      </c>
      <c r="BC404" s="29" t="str">
        <f t="shared" si="407"/>
        <v>#DIV/0!</v>
      </c>
      <c r="BD404" s="29" t="str">
        <f t="shared" si="407"/>
        <v>#DIV/0!</v>
      </c>
      <c r="BE404" s="29" t="str">
        <f t="shared" si="407"/>
        <v>#DIV/0!</v>
      </c>
      <c r="BF404" s="29" t="str">
        <f t="shared" si="407"/>
        <v>#DIV/0!</v>
      </c>
      <c r="BG404" s="29" t="str">
        <f t="shared" si="407"/>
        <v>#DIV/0!</v>
      </c>
      <c r="BH404" s="29" t="str">
        <f t="shared" si="407"/>
        <v>#DIV/0!</v>
      </c>
      <c r="BI404" s="29" t="str">
        <f t="shared" si="407"/>
        <v>#DIV/0!</v>
      </c>
      <c r="BJ404" s="29" t="str">
        <f t="shared" si="407"/>
        <v>#DIV/0!</v>
      </c>
      <c r="BK404" s="29" t="str">
        <f t="shared" si="407"/>
        <v>#DIV/0!</v>
      </c>
      <c r="BL404" s="29" t="str">
        <f t="shared" si="407"/>
        <v>#DIV/0!</v>
      </c>
      <c r="BM404" s="29" t="str">
        <f t="shared" si="3"/>
        <v>#DIV/0!</v>
      </c>
    </row>
    <row r="405">
      <c r="A405" s="16" t="str">
        <f>IFERROR(__xludf.DUMMYFUNCTION("IFERROR(SPARKLINE(SORT(MAP(TRANSPOSE(AQ405:BL405), LAMBDA(val, IF(ISNUMBER(val), PERCENTRANK(AQ405:BL405, val)+0.01, 0))), SEQUENCE(COLUMNS(AQ405:BL405)), FALSE), {""charttype"",""column""; ""color"",""chartreuse""; ""ymin"", 0; ""ymax"", 1.01; ""highcolo"&amp;"r"", ""darkgreen""; ""lowcolor"", ""red""}), """")"),"")</f>
        <v/>
      </c>
      <c r="B405" s="17" t="str">
        <f t="shared" si="4"/>
        <v/>
      </c>
      <c r="C405" s="1" t="s">
        <v>1872</v>
      </c>
      <c r="D405" s="34" t="str">
        <f>IFERROR(__xludf.DUMMYFUNCTION("IFERROR(GOOGLEFINANCE(C405, ""NAME""))"),"Tradeweb Markets Inc")</f>
        <v>Tradeweb Markets Inc</v>
      </c>
      <c r="E405" s="30" t="s">
        <v>77</v>
      </c>
      <c r="F405" s="33" t="str">
        <f>IFERROR(__xludf.DUMMYFUNCTION("( (GOOGLEFINANCE(C405, ""price"") - Q405) / Q405 ) / (R405 / 100)"),"Loading...")</f>
        <v>Loading...</v>
      </c>
      <c r="G405" s="20" t="str">
        <f>IFERROR(__xludf.DUMMYFUNCTION("AVERAGE(ARRAYFORMULA(100 * (QUERY(GOOGLEFINANCE(C405, ""high"", TODAY()-40, TODAY()), ""SELECT Col2 WHERE Col2 IS NOT NULL ORDER BY Col1 DESC LIMIT 20"", 0) / QUERY(GOOGLEFINANCE(C405, ""low"", TODAY()-40, TODAY()), ""SELECT Col2 WHERE Col2 IS NOT NULL OR"&amp;"DER BY Col1 DESC LIMIT 20"", 0) - 1)))"),"#N/A")</f>
        <v>#N/A</v>
      </c>
      <c r="H405" s="35" t="str">
        <f t="shared" si="6"/>
        <v/>
      </c>
      <c r="I405" s="36" t="str">
        <f t="shared" si="7"/>
        <v/>
      </c>
      <c r="J405" s="37" t="str">
        <f>IFERROR(__xludf.DUMMYFUNCTION("IFERROR(
  IF(C405="""",, 
    IFERROR(
      GOOGLEFINANCE(C405, ""price"") * GOOGLEFINANCE(C405, ""volumeavg""), 
      GOOGLEFINANCE(C405, ""price"") * AVERAGE(QUERY(GOOGLEFINANCE(C405, ""volume"", TODAY()-40, TODAY()), ""SELECT Col2 WHERE Col2 IS NOT "&amp;"NULL ORDER BY Col1 DESC LIMIT 20"", 0))
    )
  ), 
"""")"),"")</f>
        <v/>
      </c>
      <c r="K405" s="21" t="str">
        <f>IFERROR(__xludf.DUMMYFUNCTION("IFERROR(GOOGLEFINANCE(C405, ""changepct"") / 100, """")"),"")</f>
        <v/>
      </c>
      <c r="L405" s="21" t="str">
        <f>IFERROR(__xludf.DUMMYFUNCTION("IFERROR((GOOGLEFINANCE(C405, ""price"") / INDEX(GOOGLEFINANCE(C405, ""price"", TODAY()-7, TODAY()), 2, 2)) - 1, """")"),"")</f>
        <v/>
      </c>
      <c r="M405" s="21" t="str">
        <f>IFERROR(__xludf.DUMMYFUNCTION("IFERROR((GOOGLEFINANCE(C405, ""price"") / INDEX(GOOGLEFINANCE(C405, ""price"", EDATE(TODAY(), -1), TODAY()), 2, 2)) - 1, """")"),"")</f>
        <v/>
      </c>
      <c r="N405" s="21" t="str">
        <f>IFERROR(__xludf.DUMMYFUNCTION("IFERROR((GOOGLEFINANCE(C405, ""price"") / INDEX(GOOGLEFINANCE(C405, ""price"", EDATE(TODAY(), -3), TODAY()), 2, 2)) - 1, """")"),"")</f>
        <v/>
      </c>
      <c r="O405" s="21" t="str">
        <f>IFERROR(__xludf.DUMMYFUNCTION("IFERROR((GOOGLEFINANCE(C405, ""price"") / INDEX(GOOGLEFINANCE(C405, ""price"", EDATE(TODAY(), -6), TODAY()), 2, 2)) - 1, """")"),"")</f>
        <v/>
      </c>
      <c r="P405" s="21" t="str">
        <f>IFERROR(__xludf.DUMMYFUNCTION("IFERROR((GOOGLEFINANCE(C405, ""price"") / INDEX(GOOGLEFINANCE(C405, ""price"", EDATE(TODAY(), -12), TODAY()), 2, 2)) - 1, """")"),"")</f>
        <v/>
      </c>
      <c r="Q405" s="6" t="str">
        <f>IFERROR(__xludf.DUMMYFUNCTION("AVERAGE(QUERY(GOOGLEFINANCE(C405, ""price"", TODAY()-80, TODAY()), ""SELECT Col2 WHERE Col2 IS NOT NULL ORDER BY Col1 DESC LIMIT 50"", 0))"),"#N/A")</f>
        <v>#N/A</v>
      </c>
      <c r="R405" s="24" t="str">
        <f>IFERROR(__xludf.DUMMYFUNCTION("IFERROR(
  LET(
    data, QUERY(GOOGLEFINANCE(C405,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GOOGLEFINANCE(C405, ""price"")) * 100,
    IF(calc=0, G405, calc)
  ), 
G405)"),"#N/A")</f>
        <v>#N/A</v>
      </c>
      <c r="S405" s="8" t="s">
        <v>15</v>
      </c>
      <c r="T405" s="26" t="str">
        <f>IFERROR(__xludf.DUMMYFUNCTION("IFERROR(TRANSPOSE(QUERY(IFERROR(SORT(GOOGLEFINANCE(C405, ""price"", WORKDAY(TODAY(), -40), TODAY()), 1, FALSE)), ""select Col2 where Col2 is not null limit 22 label Col2 ''"", 0)), """")"),"")</f>
        <v/>
      </c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8"/>
      <c r="AO405" s="28"/>
      <c r="AP405" s="29"/>
      <c r="AQ405" s="29" t="str">
        <f t="shared" ref="AQ405:BL405" si="408">T405/T$2</f>
        <v>#N/A</v>
      </c>
      <c r="AR405" s="29" t="str">
        <f t="shared" si="408"/>
        <v>#DIV/0!</v>
      </c>
      <c r="AS405" s="29" t="str">
        <f t="shared" si="408"/>
        <v>#DIV/0!</v>
      </c>
      <c r="AT405" s="29" t="str">
        <f t="shared" si="408"/>
        <v>#DIV/0!</v>
      </c>
      <c r="AU405" s="29" t="str">
        <f t="shared" si="408"/>
        <v>#DIV/0!</v>
      </c>
      <c r="AV405" s="29" t="str">
        <f t="shared" si="408"/>
        <v>#DIV/0!</v>
      </c>
      <c r="AW405" s="29" t="str">
        <f t="shared" si="408"/>
        <v>#DIV/0!</v>
      </c>
      <c r="AX405" s="29" t="str">
        <f t="shared" si="408"/>
        <v>#DIV/0!</v>
      </c>
      <c r="AY405" s="29" t="str">
        <f t="shared" si="408"/>
        <v>#DIV/0!</v>
      </c>
      <c r="AZ405" s="29" t="str">
        <f t="shared" si="408"/>
        <v>#DIV/0!</v>
      </c>
      <c r="BA405" s="29" t="str">
        <f t="shared" si="408"/>
        <v>#DIV/0!</v>
      </c>
      <c r="BB405" s="29" t="str">
        <f t="shared" si="408"/>
        <v>#DIV/0!</v>
      </c>
      <c r="BC405" s="29" t="str">
        <f t="shared" si="408"/>
        <v>#DIV/0!</v>
      </c>
      <c r="BD405" s="29" t="str">
        <f t="shared" si="408"/>
        <v>#DIV/0!</v>
      </c>
      <c r="BE405" s="29" t="str">
        <f t="shared" si="408"/>
        <v>#DIV/0!</v>
      </c>
      <c r="BF405" s="29" t="str">
        <f t="shared" si="408"/>
        <v>#DIV/0!</v>
      </c>
      <c r="BG405" s="29" t="str">
        <f t="shared" si="408"/>
        <v>#DIV/0!</v>
      </c>
      <c r="BH405" s="29" t="str">
        <f t="shared" si="408"/>
        <v>#DIV/0!</v>
      </c>
      <c r="BI405" s="29" t="str">
        <f t="shared" si="408"/>
        <v>#DIV/0!</v>
      </c>
      <c r="BJ405" s="29" t="str">
        <f t="shared" si="408"/>
        <v>#DIV/0!</v>
      </c>
      <c r="BK405" s="29" t="str">
        <f t="shared" si="408"/>
        <v>#DIV/0!</v>
      </c>
      <c r="BL405" s="29" t="str">
        <f t="shared" si="408"/>
        <v>#DIV/0!</v>
      </c>
      <c r="BM405" s="29" t="str">
        <f t="shared" si="3"/>
        <v>#DIV/0!</v>
      </c>
    </row>
    <row r="406">
      <c r="A406" s="16" t="str">
        <f>IFERROR(__xludf.DUMMYFUNCTION("IFERROR(SPARKLINE(SORT(MAP(TRANSPOSE(AQ406:BL406), LAMBDA(val, IF(ISNUMBER(val), PERCENTRANK(AQ406:BL406, val)+0.01, 0))), SEQUENCE(COLUMNS(AQ406:BL406)), FALSE), {""charttype"",""column""; ""color"",""chartreuse""; ""ymin"", 0; ""ymax"", 1.01; ""highcolo"&amp;"r"", ""darkgreen""; ""lowcolor"", ""red""}), """")"),"")</f>
        <v/>
      </c>
      <c r="B406" s="17" t="str">
        <f t="shared" si="4"/>
        <v/>
      </c>
      <c r="C406" s="1" t="s">
        <v>1877</v>
      </c>
      <c r="D406" s="34" t="str">
        <f>IFERROR(__xludf.DUMMYFUNCTION("IFERROR(GOOGLEFINANCE(C406, ""NAME""))"),"Oppenheimer Holdings Inc")</f>
        <v>Oppenheimer Holdings Inc</v>
      </c>
      <c r="E406" s="30" t="s">
        <v>77</v>
      </c>
      <c r="F406" s="33" t="str">
        <f>IFERROR(__xludf.DUMMYFUNCTION("( (GOOGLEFINANCE(C406, ""price"") - Q406) / Q406 ) / (R406 / 100)"),"Loading...")</f>
        <v>Loading...</v>
      </c>
      <c r="G406" s="20" t="str">
        <f>IFERROR(__xludf.DUMMYFUNCTION("AVERAGE(ARRAYFORMULA(100 * (QUERY(GOOGLEFINANCE(C406, ""high"", TODAY()-40, TODAY()), ""SELECT Col2 WHERE Col2 IS NOT NULL ORDER BY Col1 DESC LIMIT 20"", 0) / QUERY(GOOGLEFINANCE(C406, ""low"", TODAY()-40, TODAY()), ""SELECT Col2 WHERE Col2 IS NOT NULL OR"&amp;"DER BY Col1 DESC LIMIT 20"", 0) - 1)))"),"#N/A")</f>
        <v>#N/A</v>
      </c>
      <c r="H406" s="35" t="str">
        <f t="shared" si="6"/>
        <v/>
      </c>
      <c r="I406" s="36" t="str">
        <f t="shared" si="7"/>
        <v/>
      </c>
      <c r="J406" s="37" t="str">
        <f>IFERROR(__xludf.DUMMYFUNCTION("IFERROR(
  IF(C406="""",, 
    IFERROR(
      GOOGLEFINANCE(C406, ""price"") * GOOGLEFINANCE(C406, ""volumeavg""), 
      GOOGLEFINANCE(C406, ""price"") * AVERAGE(QUERY(GOOGLEFINANCE(C406, ""volume"", TODAY()-40, TODAY()), ""SELECT Col2 WHERE Col2 IS NOT "&amp;"NULL ORDER BY Col1 DESC LIMIT 20"", 0))
    )
  ), 
"""")"),"")</f>
        <v/>
      </c>
      <c r="K406" s="21" t="str">
        <f>IFERROR(__xludf.DUMMYFUNCTION("IFERROR(GOOGLEFINANCE(C406, ""changepct"") / 100, """")"),"")</f>
        <v/>
      </c>
      <c r="L406" s="21" t="str">
        <f>IFERROR(__xludf.DUMMYFUNCTION("IFERROR((GOOGLEFINANCE(C406, ""price"") / INDEX(GOOGLEFINANCE(C406, ""price"", TODAY()-7, TODAY()), 2, 2)) - 1, """")"),"")</f>
        <v/>
      </c>
      <c r="M406" s="21" t="str">
        <f>IFERROR(__xludf.DUMMYFUNCTION("IFERROR((GOOGLEFINANCE(C406, ""price"") / INDEX(GOOGLEFINANCE(C406, ""price"", EDATE(TODAY(), -1), TODAY()), 2, 2)) - 1, """")"),"")</f>
        <v/>
      </c>
      <c r="N406" s="21" t="str">
        <f>IFERROR(__xludf.DUMMYFUNCTION("IFERROR((GOOGLEFINANCE(C406, ""price"") / INDEX(GOOGLEFINANCE(C406, ""price"", EDATE(TODAY(), -3), TODAY()), 2, 2)) - 1, """")"),"")</f>
        <v/>
      </c>
      <c r="O406" s="21" t="str">
        <f>IFERROR(__xludf.DUMMYFUNCTION("IFERROR((GOOGLEFINANCE(C406, ""price"") / INDEX(GOOGLEFINANCE(C406, ""price"", EDATE(TODAY(), -6), TODAY()), 2, 2)) - 1, """")"),"")</f>
        <v/>
      </c>
      <c r="P406" s="21" t="str">
        <f>IFERROR(__xludf.DUMMYFUNCTION("IFERROR((GOOGLEFINANCE(C406, ""price"") / INDEX(GOOGLEFINANCE(C406, ""price"", EDATE(TODAY(), -12), TODAY()), 2, 2)) - 1, """")"),"")</f>
        <v/>
      </c>
      <c r="Q406" s="6" t="str">
        <f>IFERROR(__xludf.DUMMYFUNCTION("AVERAGE(QUERY(GOOGLEFINANCE(C406, ""price"", TODAY()-80, TODAY()), ""SELECT Col2 WHERE Col2 IS NOT NULL ORDER BY Col1 DESC LIMIT 50"", 0))"),"#N/A")</f>
        <v>#N/A</v>
      </c>
      <c r="R406" s="24" t="str">
        <f>IFERROR(__xludf.DUMMYFUNCTION("IFERROR(
  LET(
    data, QUERY(GOOGLEFINANCE(C406,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GOOGLEFINANCE(C406, ""price"")) * 100,
    IF(calc=0, G406, calc)
  ), 
G406)"),"#N/A")</f>
        <v>#N/A</v>
      </c>
      <c r="S406" s="8" t="s">
        <v>15</v>
      </c>
      <c r="T406" s="26" t="str">
        <f>IFERROR(__xludf.DUMMYFUNCTION("IFERROR(TRANSPOSE(QUERY(IFERROR(SORT(GOOGLEFINANCE(C406, ""price"", WORKDAY(TODAY(), -40), TODAY()), 1, FALSE)), ""select Col2 where Col2 is not null limit 22 label Col2 ''"", 0)), """")"),"")</f>
        <v/>
      </c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8"/>
      <c r="AO406" s="28"/>
      <c r="AP406" s="29"/>
      <c r="AQ406" s="29" t="str">
        <f t="shared" ref="AQ406:BL406" si="409">T406/T$2</f>
        <v>#N/A</v>
      </c>
      <c r="AR406" s="29" t="str">
        <f t="shared" si="409"/>
        <v>#DIV/0!</v>
      </c>
      <c r="AS406" s="29" t="str">
        <f t="shared" si="409"/>
        <v>#DIV/0!</v>
      </c>
      <c r="AT406" s="29" t="str">
        <f t="shared" si="409"/>
        <v>#DIV/0!</v>
      </c>
      <c r="AU406" s="29" t="str">
        <f t="shared" si="409"/>
        <v>#DIV/0!</v>
      </c>
      <c r="AV406" s="29" t="str">
        <f t="shared" si="409"/>
        <v>#DIV/0!</v>
      </c>
      <c r="AW406" s="29" t="str">
        <f t="shared" si="409"/>
        <v>#DIV/0!</v>
      </c>
      <c r="AX406" s="29" t="str">
        <f t="shared" si="409"/>
        <v>#DIV/0!</v>
      </c>
      <c r="AY406" s="29" t="str">
        <f t="shared" si="409"/>
        <v>#DIV/0!</v>
      </c>
      <c r="AZ406" s="29" t="str">
        <f t="shared" si="409"/>
        <v>#DIV/0!</v>
      </c>
      <c r="BA406" s="29" t="str">
        <f t="shared" si="409"/>
        <v>#DIV/0!</v>
      </c>
      <c r="BB406" s="29" t="str">
        <f t="shared" si="409"/>
        <v>#DIV/0!</v>
      </c>
      <c r="BC406" s="29" t="str">
        <f t="shared" si="409"/>
        <v>#DIV/0!</v>
      </c>
      <c r="BD406" s="29" t="str">
        <f t="shared" si="409"/>
        <v>#DIV/0!</v>
      </c>
      <c r="BE406" s="29" t="str">
        <f t="shared" si="409"/>
        <v>#DIV/0!</v>
      </c>
      <c r="BF406" s="29" t="str">
        <f t="shared" si="409"/>
        <v>#DIV/0!</v>
      </c>
      <c r="BG406" s="29" t="str">
        <f t="shared" si="409"/>
        <v>#DIV/0!</v>
      </c>
      <c r="BH406" s="29" t="str">
        <f t="shared" si="409"/>
        <v>#DIV/0!</v>
      </c>
      <c r="BI406" s="29" t="str">
        <f t="shared" si="409"/>
        <v>#DIV/0!</v>
      </c>
      <c r="BJ406" s="29" t="str">
        <f t="shared" si="409"/>
        <v>#DIV/0!</v>
      </c>
      <c r="BK406" s="29" t="str">
        <f t="shared" si="409"/>
        <v>#DIV/0!</v>
      </c>
      <c r="BL406" s="29" t="str">
        <f t="shared" si="409"/>
        <v>#DIV/0!</v>
      </c>
      <c r="BM406" s="29" t="str">
        <f t="shared" si="3"/>
        <v>#DIV/0!</v>
      </c>
    </row>
    <row r="407">
      <c r="A407" s="16" t="str">
        <f>IFERROR(__xludf.DUMMYFUNCTION("IFERROR(SPARKLINE(SORT(MAP(TRANSPOSE(AQ407:BL407), LAMBDA(val, IF(ISNUMBER(val), PERCENTRANK(AQ407:BL407, val)+0.01, 0))), SEQUENCE(COLUMNS(AQ407:BL407)), FALSE), {""charttype"",""column""; ""color"",""chartreuse""; ""ymin"", 0; ""ymax"", 1.01; ""highcolo"&amp;"r"", ""darkgreen""; ""lowcolor"", ""red""}), """")"),"")</f>
        <v/>
      </c>
      <c r="B407" s="17" t="str">
        <f t="shared" si="4"/>
        <v/>
      </c>
      <c r="C407" s="1" t="s">
        <v>1881</v>
      </c>
      <c r="D407" s="34" t="str">
        <f>IFERROR(__xludf.DUMMYFUNCTION("IFERROR(GOOGLEFINANCE(C407, ""NAME""))"),"Launch Two Acquisition Ord Shs Class A")</f>
        <v>Launch Two Acquisition Ord Shs Class A</v>
      </c>
      <c r="E407" s="30" t="s">
        <v>161</v>
      </c>
      <c r="F407" s="33" t="str">
        <f>IFERROR(__xludf.DUMMYFUNCTION("( (GOOGLEFINANCE(C407, ""price"") - Q407) / Q407 ) / (R407 / 100)"),"Loading...")</f>
        <v>Loading...</v>
      </c>
      <c r="G407" s="20" t="str">
        <f>IFERROR(__xludf.DUMMYFUNCTION("AVERAGE(ARRAYFORMULA(100 * (QUERY(GOOGLEFINANCE(C407, ""high"", TODAY()-40, TODAY()), ""SELECT Col2 WHERE Col2 IS NOT NULL ORDER BY Col1 DESC LIMIT 20"", 0) / QUERY(GOOGLEFINANCE(C407, ""low"", TODAY()-40, TODAY()), ""SELECT Col2 WHERE Col2 IS NOT NULL OR"&amp;"DER BY Col1 DESC LIMIT 20"", 0) - 1)))"),"#N/A")</f>
        <v>#N/A</v>
      </c>
      <c r="H407" s="35" t="str">
        <f t="shared" si="6"/>
        <v/>
      </c>
      <c r="I407" s="36" t="str">
        <f t="shared" si="7"/>
        <v/>
      </c>
      <c r="J407" s="37" t="str">
        <f>IFERROR(__xludf.DUMMYFUNCTION("IFERROR(
  IF(C407="""",, 
    IFERROR(
      GOOGLEFINANCE(C407, ""price"") * GOOGLEFINANCE(C407, ""volumeavg""), 
      GOOGLEFINANCE(C407, ""price"") * AVERAGE(QUERY(GOOGLEFINANCE(C407, ""volume"", TODAY()-40, TODAY()), ""SELECT Col2 WHERE Col2 IS NOT "&amp;"NULL ORDER BY Col1 DESC LIMIT 20"", 0))
    )
  ), 
"""")"),"")</f>
        <v/>
      </c>
      <c r="K407" s="21" t="str">
        <f>IFERROR(__xludf.DUMMYFUNCTION("IFERROR(GOOGLEFINANCE(C407, ""changepct"") / 100, """")"),"")</f>
        <v/>
      </c>
      <c r="L407" s="21" t="str">
        <f>IFERROR(__xludf.DUMMYFUNCTION("IFERROR((GOOGLEFINANCE(C407, ""price"") / INDEX(GOOGLEFINANCE(C407, ""price"", TODAY()-7, TODAY()), 2, 2)) - 1, """")"),"")</f>
        <v/>
      </c>
      <c r="M407" s="21" t="str">
        <f>IFERROR(__xludf.DUMMYFUNCTION("IFERROR((GOOGLEFINANCE(C407, ""price"") / INDEX(GOOGLEFINANCE(C407, ""price"", EDATE(TODAY(), -1), TODAY()), 2, 2)) - 1, """")"),"")</f>
        <v/>
      </c>
      <c r="N407" s="21" t="str">
        <f>IFERROR(__xludf.DUMMYFUNCTION("IFERROR((GOOGLEFINANCE(C407, ""price"") / INDEX(GOOGLEFINANCE(C407, ""price"", EDATE(TODAY(), -3), TODAY()), 2, 2)) - 1, """")"),"")</f>
        <v/>
      </c>
      <c r="O407" s="21" t="str">
        <f>IFERROR(__xludf.DUMMYFUNCTION("IFERROR((GOOGLEFINANCE(C407, ""price"") / INDEX(GOOGLEFINANCE(C407, ""price"", EDATE(TODAY(), -6), TODAY()), 2, 2)) - 1, """")"),"")</f>
        <v/>
      </c>
      <c r="P407" s="21" t="str">
        <f>IFERROR(__xludf.DUMMYFUNCTION("IFERROR((GOOGLEFINANCE(C407, ""price"") / INDEX(GOOGLEFINANCE(C407, ""price"", EDATE(TODAY(), -12), TODAY()), 2, 2)) - 1, """")"),"")</f>
        <v/>
      </c>
      <c r="Q407" s="6" t="str">
        <f>IFERROR(__xludf.DUMMYFUNCTION("AVERAGE(QUERY(GOOGLEFINANCE(C407, ""price"", TODAY()-80, TODAY()), ""SELECT Col2 WHERE Col2 IS NOT NULL ORDER BY Col1 DESC LIMIT 50"", 0))"),"#N/A")</f>
        <v>#N/A</v>
      </c>
      <c r="R407" s="24" t="str">
        <f>IFERROR(__xludf.DUMMYFUNCTION("IFERROR(
  LET(
    data, QUERY(GOOGLEFINANCE(C407,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GOOGLEFINANCE(C407, ""price"")) * 100,
    IF(calc=0, G407, calc)
  ), 
G407)"),"#N/A")</f>
        <v>#N/A</v>
      </c>
      <c r="S407" s="8" t="s">
        <v>15</v>
      </c>
      <c r="T407" s="26" t="str">
        <f>IFERROR(__xludf.DUMMYFUNCTION("IFERROR(TRANSPOSE(QUERY(IFERROR(SORT(GOOGLEFINANCE(C407, ""price"", WORKDAY(TODAY(), -40), TODAY()), 1, FALSE)), ""select Col2 where Col2 is not null limit 22 label Col2 ''"", 0)), """")"),"")</f>
        <v/>
      </c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8"/>
      <c r="AO407" s="28"/>
      <c r="AP407" s="29"/>
      <c r="AQ407" s="29" t="str">
        <f t="shared" ref="AQ407:BL407" si="410">T407/T$2</f>
        <v>#N/A</v>
      </c>
      <c r="AR407" s="29" t="str">
        <f t="shared" si="410"/>
        <v>#DIV/0!</v>
      </c>
      <c r="AS407" s="29" t="str">
        <f t="shared" si="410"/>
        <v>#DIV/0!</v>
      </c>
      <c r="AT407" s="29" t="str">
        <f t="shared" si="410"/>
        <v>#DIV/0!</v>
      </c>
      <c r="AU407" s="29" t="str">
        <f t="shared" si="410"/>
        <v>#DIV/0!</v>
      </c>
      <c r="AV407" s="29" t="str">
        <f t="shared" si="410"/>
        <v>#DIV/0!</v>
      </c>
      <c r="AW407" s="29" t="str">
        <f t="shared" si="410"/>
        <v>#DIV/0!</v>
      </c>
      <c r="AX407" s="29" t="str">
        <f t="shared" si="410"/>
        <v>#DIV/0!</v>
      </c>
      <c r="AY407" s="29" t="str">
        <f t="shared" si="410"/>
        <v>#DIV/0!</v>
      </c>
      <c r="AZ407" s="29" t="str">
        <f t="shared" si="410"/>
        <v>#DIV/0!</v>
      </c>
      <c r="BA407" s="29" t="str">
        <f t="shared" si="410"/>
        <v>#DIV/0!</v>
      </c>
      <c r="BB407" s="29" t="str">
        <f t="shared" si="410"/>
        <v>#DIV/0!</v>
      </c>
      <c r="BC407" s="29" t="str">
        <f t="shared" si="410"/>
        <v>#DIV/0!</v>
      </c>
      <c r="BD407" s="29" t="str">
        <f t="shared" si="410"/>
        <v>#DIV/0!</v>
      </c>
      <c r="BE407" s="29" t="str">
        <f t="shared" si="410"/>
        <v>#DIV/0!</v>
      </c>
      <c r="BF407" s="29" t="str">
        <f t="shared" si="410"/>
        <v>#DIV/0!</v>
      </c>
      <c r="BG407" s="29" t="str">
        <f t="shared" si="410"/>
        <v>#DIV/0!</v>
      </c>
      <c r="BH407" s="29" t="str">
        <f t="shared" si="410"/>
        <v>#DIV/0!</v>
      </c>
      <c r="BI407" s="29" t="str">
        <f t="shared" si="410"/>
        <v>#DIV/0!</v>
      </c>
      <c r="BJ407" s="29" t="str">
        <f t="shared" si="410"/>
        <v>#DIV/0!</v>
      </c>
      <c r="BK407" s="29" t="str">
        <f t="shared" si="410"/>
        <v>#DIV/0!</v>
      </c>
      <c r="BL407" s="29" t="str">
        <f t="shared" si="410"/>
        <v>#DIV/0!</v>
      </c>
      <c r="BM407" s="29" t="str">
        <f t="shared" si="3"/>
        <v>#DIV/0!</v>
      </c>
    </row>
    <row r="408">
      <c r="A408" s="16" t="str">
        <f>IFERROR(__xludf.DUMMYFUNCTION("IFERROR(SPARKLINE(SORT(MAP(TRANSPOSE(AQ408:BL408), LAMBDA(val, IF(ISNUMBER(val), PERCENTRANK(AQ408:BL408, val)+0.01, 0))), SEQUENCE(COLUMNS(AQ408:BL408)), FALSE), {""charttype"",""column""; ""color"",""chartreuse""; ""ymin"", 0; ""ymax"", 1.01; ""highcolo"&amp;"r"", ""darkgreen""; ""lowcolor"", ""red""}), """")"),"")</f>
        <v/>
      </c>
      <c r="B408" s="17" t="str">
        <f t="shared" si="4"/>
        <v/>
      </c>
      <c r="C408" s="1" t="s">
        <v>1886</v>
      </c>
      <c r="D408" s="34" t="str">
        <f>IFERROR(__xludf.DUMMYFUNCTION("IFERROR(GOOGLEFINANCE(C408, ""NAME""))"),"Brookfield Wealth Solutions Ltd")</f>
        <v>Brookfield Wealth Solutions Ltd</v>
      </c>
      <c r="E408" s="30" t="s">
        <v>434</v>
      </c>
      <c r="F408" s="33" t="str">
        <f>IFERROR(__xludf.DUMMYFUNCTION("( (GOOGLEFINANCE(C408, ""price"") - Q408) / Q408 ) / (R408 / 100)"),"Loading...")</f>
        <v>Loading...</v>
      </c>
      <c r="G408" s="20" t="str">
        <f>IFERROR(__xludf.DUMMYFUNCTION("AVERAGE(ARRAYFORMULA(100 * (QUERY(GOOGLEFINANCE(C408, ""high"", TODAY()-40, TODAY()), ""SELECT Col2 WHERE Col2 IS NOT NULL ORDER BY Col1 DESC LIMIT 20"", 0) / QUERY(GOOGLEFINANCE(C408, ""low"", TODAY()-40, TODAY()), ""SELECT Col2 WHERE Col2 IS NOT NULL OR"&amp;"DER BY Col1 DESC LIMIT 20"", 0) - 1)))"),"#N/A")</f>
        <v>#N/A</v>
      </c>
      <c r="H408" s="35" t="str">
        <f t="shared" si="6"/>
        <v/>
      </c>
      <c r="I408" s="36" t="str">
        <f t="shared" si="7"/>
        <v/>
      </c>
      <c r="J408" s="37" t="str">
        <f>IFERROR(__xludf.DUMMYFUNCTION("IFERROR(
  IF(C408="""",, 
    IFERROR(
      GOOGLEFINANCE(C408, ""price"") * GOOGLEFINANCE(C408, ""volumeavg""), 
      GOOGLEFINANCE(C408, ""price"") * AVERAGE(QUERY(GOOGLEFINANCE(C408, ""volume"", TODAY()-40, TODAY()), ""SELECT Col2 WHERE Col2 IS NOT "&amp;"NULL ORDER BY Col1 DESC LIMIT 20"", 0))
    )
  ), 
"""")"),"")</f>
        <v/>
      </c>
      <c r="K408" s="21" t="str">
        <f>IFERROR(__xludf.DUMMYFUNCTION("IFERROR(GOOGLEFINANCE(C408, ""changepct"") / 100, """")"),"")</f>
        <v/>
      </c>
      <c r="L408" s="21" t="str">
        <f>IFERROR(__xludf.DUMMYFUNCTION("IFERROR((GOOGLEFINANCE(C408, ""price"") / INDEX(GOOGLEFINANCE(C408, ""price"", TODAY()-7, TODAY()), 2, 2)) - 1, """")"),"")</f>
        <v/>
      </c>
      <c r="M408" s="21" t="str">
        <f>IFERROR(__xludf.DUMMYFUNCTION("IFERROR((GOOGLEFINANCE(C408, ""price"") / INDEX(GOOGLEFINANCE(C408, ""price"", EDATE(TODAY(), -1), TODAY()), 2, 2)) - 1, """")"),"")</f>
        <v/>
      </c>
      <c r="N408" s="21" t="str">
        <f>IFERROR(__xludf.DUMMYFUNCTION("IFERROR((GOOGLEFINANCE(C408, ""price"") / INDEX(GOOGLEFINANCE(C408, ""price"", EDATE(TODAY(), -3), TODAY()), 2, 2)) - 1, """")"),"")</f>
        <v/>
      </c>
      <c r="O408" s="21" t="str">
        <f>IFERROR(__xludf.DUMMYFUNCTION("IFERROR((GOOGLEFINANCE(C408, ""price"") / INDEX(GOOGLEFINANCE(C408, ""price"", EDATE(TODAY(), -6), TODAY()), 2, 2)) - 1, """")"),"")</f>
        <v/>
      </c>
      <c r="P408" s="21" t="str">
        <f>IFERROR(__xludf.DUMMYFUNCTION("IFERROR((GOOGLEFINANCE(C408, ""price"") / INDEX(GOOGLEFINANCE(C408, ""price"", EDATE(TODAY(), -12), TODAY()), 2, 2)) - 1, """")"),"")</f>
        <v/>
      </c>
      <c r="Q408" s="6" t="str">
        <f>IFERROR(__xludf.DUMMYFUNCTION("AVERAGE(QUERY(GOOGLEFINANCE(C408, ""price"", TODAY()-80, TODAY()), ""SELECT Col2 WHERE Col2 IS NOT NULL ORDER BY Col1 DESC LIMIT 50"", 0))"),"#N/A")</f>
        <v>#N/A</v>
      </c>
      <c r="R408" s="24" t="str">
        <f>IFERROR(__xludf.DUMMYFUNCTION("IFERROR(
  LET(
    data, QUERY(GOOGLEFINANCE(C408,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GOOGLEFINANCE(C408, ""price"")) * 100,
    IF(calc=0, G408, calc)
  ), 
G408)"),"#N/A")</f>
        <v>#N/A</v>
      </c>
      <c r="S408" s="8" t="s">
        <v>15</v>
      </c>
      <c r="T408" s="26" t="str">
        <f>IFERROR(__xludf.DUMMYFUNCTION("IFERROR(TRANSPOSE(QUERY(IFERROR(SORT(GOOGLEFINANCE(C408, ""price"", WORKDAY(TODAY(), -40), TODAY()), 1, FALSE)), ""select Col2 where Col2 is not null limit 22 label Col2 ''"", 0)), """")"),"")</f>
        <v/>
      </c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8"/>
      <c r="AO408" s="28"/>
      <c r="AP408" s="29"/>
      <c r="AQ408" s="29" t="str">
        <f t="shared" ref="AQ408:BL408" si="411">T408/T$2</f>
        <v>#N/A</v>
      </c>
      <c r="AR408" s="29" t="str">
        <f t="shared" si="411"/>
        <v>#DIV/0!</v>
      </c>
      <c r="AS408" s="29" t="str">
        <f t="shared" si="411"/>
        <v>#DIV/0!</v>
      </c>
      <c r="AT408" s="29" t="str">
        <f t="shared" si="411"/>
        <v>#DIV/0!</v>
      </c>
      <c r="AU408" s="29" t="str">
        <f t="shared" si="411"/>
        <v>#DIV/0!</v>
      </c>
      <c r="AV408" s="29" t="str">
        <f t="shared" si="411"/>
        <v>#DIV/0!</v>
      </c>
      <c r="AW408" s="29" t="str">
        <f t="shared" si="411"/>
        <v>#DIV/0!</v>
      </c>
      <c r="AX408" s="29" t="str">
        <f t="shared" si="411"/>
        <v>#DIV/0!</v>
      </c>
      <c r="AY408" s="29" t="str">
        <f t="shared" si="411"/>
        <v>#DIV/0!</v>
      </c>
      <c r="AZ408" s="29" t="str">
        <f t="shared" si="411"/>
        <v>#DIV/0!</v>
      </c>
      <c r="BA408" s="29" t="str">
        <f t="shared" si="411"/>
        <v>#DIV/0!</v>
      </c>
      <c r="BB408" s="29" t="str">
        <f t="shared" si="411"/>
        <v>#DIV/0!</v>
      </c>
      <c r="BC408" s="29" t="str">
        <f t="shared" si="411"/>
        <v>#DIV/0!</v>
      </c>
      <c r="BD408" s="29" t="str">
        <f t="shared" si="411"/>
        <v>#DIV/0!</v>
      </c>
      <c r="BE408" s="29" t="str">
        <f t="shared" si="411"/>
        <v>#DIV/0!</v>
      </c>
      <c r="BF408" s="29" t="str">
        <f t="shared" si="411"/>
        <v>#DIV/0!</v>
      </c>
      <c r="BG408" s="29" t="str">
        <f t="shared" si="411"/>
        <v>#DIV/0!</v>
      </c>
      <c r="BH408" s="29" t="str">
        <f t="shared" si="411"/>
        <v>#DIV/0!</v>
      </c>
      <c r="BI408" s="29" t="str">
        <f t="shared" si="411"/>
        <v>#DIV/0!</v>
      </c>
      <c r="BJ408" s="29" t="str">
        <f t="shared" si="411"/>
        <v>#DIV/0!</v>
      </c>
      <c r="BK408" s="29" t="str">
        <f t="shared" si="411"/>
        <v>#DIV/0!</v>
      </c>
      <c r="BL408" s="29" t="str">
        <f t="shared" si="411"/>
        <v>#DIV/0!</v>
      </c>
      <c r="BM408" s="29" t="str">
        <f t="shared" si="3"/>
        <v>#DIV/0!</v>
      </c>
    </row>
    <row r="409">
      <c r="A409" s="16" t="str">
        <f>IFERROR(__xludf.DUMMYFUNCTION("IFERROR(SPARKLINE(SORT(MAP(TRANSPOSE(AQ409:BL409), LAMBDA(val, IF(ISNUMBER(val), PERCENTRANK(AQ409:BL409, val)+0.01, 0))), SEQUENCE(COLUMNS(AQ409:BL409)), FALSE), {""charttype"",""column""; ""color"",""chartreuse""; ""ymin"", 0; ""ymax"", 1.01; ""highcolo"&amp;"r"", ""darkgreen""; ""lowcolor"", ""red""}), """")"),"")</f>
        <v/>
      </c>
      <c r="B409" s="17" t="str">
        <f t="shared" si="4"/>
        <v/>
      </c>
      <c r="C409" s="1" t="s">
        <v>1890</v>
      </c>
      <c r="D409" s="34" t="str">
        <f>IFERROR(__xludf.DUMMYFUNCTION("IFERROR(GOOGLEFINANCE(C409, ""NAME""))"),"Hercules Capital Inc")</f>
        <v>Hercules Capital Inc</v>
      </c>
      <c r="E409" s="30" t="s">
        <v>64</v>
      </c>
      <c r="F409" s="38" t="str">
        <f>IFERROR(__xludf.DUMMYFUNCTION("( (GOOGLEFINANCE(C409, ""price"") - Q409) / Q409 ) / (R409 / 100)"),"Loading...")</f>
        <v>Loading...</v>
      </c>
      <c r="G409" s="20" t="str">
        <f>IFERROR(__xludf.DUMMYFUNCTION("AVERAGE(ARRAYFORMULA(100 * (QUERY(GOOGLEFINANCE(C409, ""high"", TODAY()-40, TODAY()), ""SELECT Col2 WHERE Col2 IS NOT NULL ORDER BY Col1 DESC LIMIT 20"", 0) / QUERY(GOOGLEFINANCE(C409, ""low"", TODAY()-40, TODAY()), ""SELECT Col2 WHERE Col2 IS NOT NULL OR"&amp;"DER BY Col1 DESC LIMIT 20"", 0) - 1)))"),"#N/A")</f>
        <v>#N/A</v>
      </c>
      <c r="H409" s="35" t="str">
        <f t="shared" si="6"/>
        <v/>
      </c>
      <c r="I409" s="36" t="str">
        <f t="shared" si="7"/>
        <v/>
      </c>
      <c r="J409" s="37" t="str">
        <f>IFERROR(__xludf.DUMMYFUNCTION("IFERROR(
  IF(C409="""",, 
    IFERROR(
      GOOGLEFINANCE(C409, ""price"") * GOOGLEFINANCE(C409, ""volumeavg""), 
      GOOGLEFINANCE(C409, ""price"") * AVERAGE(QUERY(GOOGLEFINANCE(C409, ""volume"", TODAY()-40, TODAY()), ""SELECT Col2 WHERE Col2 IS NOT "&amp;"NULL ORDER BY Col1 DESC LIMIT 20"", 0))
    )
  ), 
"""")"),"")</f>
        <v/>
      </c>
      <c r="K409" s="21" t="str">
        <f>IFERROR(__xludf.DUMMYFUNCTION("IFERROR(GOOGLEFINANCE(C409, ""changepct"") / 100, """")"),"")</f>
        <v/>
      </c>
      <c r="L409" s="21" t="str">
        <f>IFERROR(__xludf.DUMMYFUNCTION("IFERROR((GOOGLEFINANCE(C409, ""price"") / INDEX(GOOGLEFINANCE(C409, ""price"", TODAY()-7, TODAY()), 2, 2)) - 1, """")"),"")</f>
        <v/>
      </c>
      <c r="M409" s="21" t="str">
        <f>IFERROR(__xludf.DUMMYFUNCTION("IFERROR((GOOGLEFINANCE(C409, ""price"") / INDEX(GOOGLEFINANCE(C409, ""price"", EDATE(TODAY(), -1), TODAY()), 2, 2)) - 1, """")"),"")</f>
        <v/>
      </c>
      <c r="N409" s="21" t="str">
        <f>IFERROR(__xludf.DUMMYFUNCTION("IFERROR((GOOGLEFINANCE(C409, ""price"") / INDEX(GOOGLEFINANCE(C409, ""price"", EDATE(TODAY(), -3), TODAY()), 2, 2)) - 1, """")"),"")</f>
        <v/>
      </c>
      <c r="O409" s="21" t="str">
        <f>IFERROR(__xludf.DUMMYFUNCTION("IFERROR((GOOGLEFINANCE(C409, ""price"") / INDEX(GOOGLEFINANCE(C409, ""price"", EDATE(TODAY(), -6), TODAY()), 2, 2)) - 1, """")"),"")</f>
        <v/>
      </c>
      <c r="P409" s="21" t="str">
        <f>IFERROR(__xludf.DUMMYFUNCTION("IFERROR((GOOGLEFINANCE(C409, ""price"") / INDEX(GOOGLEFINANCE(C409, ""price"", EDATE(TODAY(), -12), TODAY()), 2, 2)) - 1, """")"),"")</f>
        <v/>
      </c>
      <c r="Q409" s="6" t="str">
        <f>IFERROR(__xludf.DUMMYFUNCTION("AVERAGE(QUERY(GOOGLEFINANCE(C409, ""price"", TODAY()-80, TODAY()), ""SELECT Col2 WHERE Col2 IS NOT NULL ORDER BY Col1 DESC LIMIT 50"", 0))"),"#N/A")</f>
        <v>#N/A</v>
      </c>
      <c r="R409" s="24" t="str">
        <f>IFERROR(__xludf.DUMMYFUNCTION("IFERROR(
  LET(
    data, QUERY(GOOGLEFINANCE(C409,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GOOGLEFINANCE(C409, ""price"")) * 100,
    IF(calc=0, G409, calc)
  ), 
G409)"),"#N/A")</f>
        <v>#N/A</v>
      </c>
      <c r="S409" s="8" t="s">
        <v>15</v>
      </c>
      <c r="T409" s="26" t="str">
        <f>IFERROR(__xludf.DUMMYFUNCTION("IFERROR(TRANSPOSE(QUERY(IFERROR(SORT(GOOGLEFINANCE(C409, ""price"", WORKDAY(TODAY(), -40), TODAY()), 1, FALSE)), ""select Col2 where Col2 is not null limit 22 label Col2 ''"", 0)), """")"),"")</f>
        <v/>
      </c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8"/>
      <c r="AO409" s="28"/>
      <c r="AP409" s="29"/>
      <c r="AQ409" s="29" t="str">
        <f t="shared" ref="AQ409:BL409" si="412">T409/T$2</f>
        <v>#N/A</v>
      </c>
      <c r="AR409" s="29" t="str">
        <f t="shared" si="412"/>
        <v>#DIV/0!</v>
      </c>
      <c r="AS409" s="29" t="str">
        <f t="shared" si="412"/>
        <v>#DIV/0!</v>
      </c>
      <c r="AT409" s="29" t="str">
        <f t="shared" si="412"/>
        <v>#DIV/0!</v>
      </c>
      <c r="AU409" s="29" t="str">
        <f t="shared" si="412"/>
        <v>#DIV/0!</v>
      </c>
      <c r="AV409" s="29" t="str">
        <f t="shared" si="412"/>
        <v>#DIV/0!</v>
      </c>
      <c r="AW409" s="29" t="str">
        <f t="shared" si="412"/>
        <v>#DIV/0!</v>
      </c>
      <c r="AX409" s="29" t="str">
        <f t="shared" si="412"/>
        <v>#DIV/0!</v>
      </c>
      <c r="AY409" s="29" t="str">
        <f t="shared" si="412"/>
        <v>#DIV/0!</v>
      </c>
      <c r="AZ409" s="29" t="str">
        <f t="shared" si="412"/>
        <v>#DIV/0!</v>
      </c>
      <c r="BA409" s="29" t="str">
        <f t="shared" si="412"/>
        <v>#DIV/0!</v>
      </c>
      <c r="BB409" s="29" t="str">
        <f t="shared" si="412"/>
        <v>#DIV/0!</v>
      </c>
      <c r="BC409" s="29" t="str">
        <f t="shared" si="412"/>
        <v>#DIV/0!</v>
      </c>
      <c r="BD409" s="29" t="str">
        <f t="shared" si="412"/>
        <v>#DIV/0!</v>
      </c>
      <c r="BE409" s="29" t="str">
        <f t="shared" si="412"/>
        <v>#DIV/0!</v>
      </c>
      <c r="BF409" s="29" t="str">
        <f t="shared" si="412"/>
        <v>#DIV/0!</v>
      </c>
      <c r="BG409" s="29" t="str">
        <f t="shared" si="412"/>
        <v>#DIV/0!</v>
      </c>
      <c r="BH409" s="29" t="str">
        <f t="shared" si="412"/>
        <v>#DIV/0!</v>
      </c>
      <c r="BI409" s="29" t="str">
        <f t="shared" si="412"/>
        <v>#DIV/0!</v>
      </c>
      <c r="BJ409" s="29" t="str">
        <f t="shared" si="412"/>
        <v>#DIV/0!</v>
      </c>
      <c r="BK409" s="29" t="str">
        <f t="shared" si="412"/>
        <v>#DIV/0!</v>
      </c>
      <c r="BL409" s="29" t="str">
        <f t="shared" si="412"/>
        <v>#DIV/0!</v>
      </c>
      <c r="BM409" s="29" t="str">
        <f t="shared" si="3"/>
        <v>#DIV/0!</v>
      </c>
    </row>
    <row r="410">
      <c r="A410" s="16" t="str">
        <f>IFERROR(__xludf.DUMMYFUNCTION("IFERROR(SPARKLINE(SORT(MAP(TRANSPOSE(AQ410:BL410), LAMBDA(val, IF(ISNUMBER(val), PERCENTRANK(AQ410:BL410, val)+0.01, 0))), SEQUENCE(COLUMNS(AQ410:BL410)), FALSE), {""charttype"",""column""; ""color"",""chartreuse""; ""ymin"", 0; ""ymax"", 1.01; ""highcolo"&amp;"r"", ""darkgreen""; ""lowcolor"", ""red""}), """")"),"")</f>
        <v/>
      </c>
      <c r="B410" s="17" t="str">
        <f t="shared" si="4"/>
        <v/>
      </c>
      <c r="C410" s="1" t="s">
        <v>1894</v>
      </c>
      <c r="D410" s="34" t="str">
        <f>IFERROR(__xludf.DUMMYFUNCTION("IFERROR(GOOGLEFINANCE(C410, ""NAME""))"),"Banco Bilbao Vizcaya Argentaria SA")</f>
        <v>Banco Bilbao Vizcaya Argentaria SA</v>
      </c>
      <c r="E410" s="30" t="s">
        <v>236</v>
      </c>
      <c r="F410" s="33" t="str">
        <f>IFERROR(__xludf.DUMMYFUNCTION("( (GOOGLEFINANCE(C410, ""price"") - Q410) / Q410 ) / (R410 / 100)"),"Loading...")</f>
        <v>Loading...</v>
      </c>
      <c r="G410" s="20" t="str">
        <f>IFERROR(__xludf.DUMMYFUNCTION("AVERAGE(ARRAYFORMULA(100 * (QUERY(GOOGLEFINANCE(C410, ""high"", TODAY()-40, TODAY()), ""SELECT Col2 WHERE Col2 IS NOT NULL ORDER BY Col1 DESC LIMIT 20"", 0) / QUERY(GOOGLEFINANCE(C410, ""low"", TODAY()-40, TODAY()), ""SELECT Col2 WHERE Col2 IS NOT NULL OR"&amp;"DER BY Col1 DESC LIMIT 20"", 0) - 1)))"),"#N/A")</f>
        <v>#N/A</v>
      </c>
      <c r="H410" s="35" t="str">
        <f t="shared" si="6"/>
        <v/>
      </c>
      <c r="I410" s="36" t="str">
        <f t="shared" si="7"/>
        <v/>
      </c>
      <c r="J410" s="37" t="str">
        <f>IFERROR(__xludf.DUMMYFUNCTION("IFERROR(
  IF(C410="""",, 
    IFERROR(
      GOOGLEFINANCE(C410, ""price"") * GOOGLEFINANCE(C410, ""volumeavg""), 
      GOOGLEFINANCE(C410, ""price"") * AVERAGE(QUERY(GOOGLEFINANCE(C410, ""volume"", TODAY()-40, TODAY()), ""SELECT Col2 WHERE Col2 IS NOT "&amp;"NULL ORDER BY Col1 DESC LIMIT 20"", 0))
    )
  ), 
"""")"),"")</f>
        <v/>
      </c>
      <c r="K410" s="21" t="str">
        <f>IFERROR(__xludf.DUMMYFUNCTION("IFERROR(GOOGLEFINANCE(C410, ""changepct"") / 100, """")"),"")</f>
        <v/>
      </c>
      <c r="L410" s="21" t="str">
        <f>IFERROR(__xludf.DUMMYFUNCTION("IFERROR((GOOGLEFINANCE(C410, ""price"") / INDEX(GOOGLEFINANCE(C410, ""price"", TODAY()-7, TODAY()), 2, 2)) - 1, """")"),"")</f>
        <v/>
      </c>
      <c r="M410" s="21" t="str">
        <f>IFERROR(__xludf.DUMMYFUNCTION("IFERROR((GOOGLEFINANCE(C410, ""price"") / INDEX(GOOGLEFINANCE(C410, ""price"", EDATE(TODAY(), -1), TODAY()), 2, 2)) - 1, """")"),"")</f>
        <v/>
      </c>
      <c r="N410" s="21" t="str">
        <f>IFERROR(__xludf.DUMMYFUNCTION("IFERROR((GOOGLEFINANCE(C410, ""price"") / INDEX(GOOGLEFINANCE(C410, ""price"", EDATE(TODAY(), -3), TODAY()), 2, 2)) - 1, """")"),"")</f>
        <v/>
      </c>
      <c r="O410" s="21" t="str">
        <f>IFERROR(__xludf.DUMMYFUNCTION("IFERROR((GOOGLEFINANCE(C410, ""price"") / INDEX(GOOGLEFINANCE(C410, ""price"", EDATE(TODAY(), -6), TODAY()), 2, 2)) - 1, """")"),"")</f>
        <v/>
      </c>
      <c r="P410" s="21" t="str">
        <f>IFERROR(__xludf.DUMMYFUNCTION("IFERROR((GOOGLEFINANCE(C410, ""price"") / INDEX(GOOGLEFINANCE(C410, ""price"", EDATE(TODAY(), -12), TODAY()), 2, 2)) - 1, """")"),"")</f>
        <v/>
      </c>
      <c r="Q410" s="6" t="str">
        <f>IFERROR(__xludf.DUMMYFUNCTION("AVERAGE(QUERY(GOOGLEFINANCE(C410, ""price"", TODAY()-80, TODAY()), ""SELECT Col2 WHERE Col2 IS NOT NULL ORDER BY Col1 DESC LIMIT 50"", 0))"),"#N/A")</f>
        <v>#N/A</v>
      </c>
      <c r="R410" s="24" t="str">
        <f>IFERROR(__xludf.DUMMYFUNCTION("IFERROR(
  LET(
    data, QUERY(GOOGLEFINANCE(C410,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GOOGLEFINANCE(C410, ""price"")) * 100,
    IF(calc=0, G410, calc)
  ), 
G410)"),"#N/A")</f>
        <v>#N/A</v>
      </c>
      <c r="S410" s="8" t="s">
        <v>15</v>
      </c>
      <c r="T410" s="26" t="str">
        <f>IFERROR(__xludf.DUMMYFUNCTION("IFERROR(TRANSPOSE(QUERY(IFERROR(SORT(GOOGLEFINANCE(C410, ""price"", WORKDAY(TODAY(), -40), TODAY()), 1, FALSE)), ""select Col2 where Col2 is not null limit 22 label Col2 ''"", 0)), """")"),"")</f>
        <v/>
      </c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8"/>
      <c r="AO410" s="28"/>
      <c r="AP410" s="29"/>
      <c r="AQ410" s="29" t="str">
        <f t="shared" ref="AQ410:BL410" si="413">T410/T$2</f>
        <v>#N/A</v>
      </c>
      <c r="AR410" s="29" t="str">
        <f t="shared" si="413"/>
        <v>#DIV/0!</v>
      </c>
      <c r="AS410" s="29" t="str">
        <f t="shared" si="413"/>
        <v>#DIV/0!</v>
      </c>
      <c r="AT410" s="29" t="str">
        <f t="shared" si="413"/>
        <v>#DIV/0!</v>
      </c>
      <c r="AU410" s="29" t="str">
        <f t="shared" si="413"/>
        <v>#DIV/0!</v>
      </c>
      <c r="AV410" s="29" t="str">
        <f t="shared" si="413"/>
        <v>#DIV/0!</v>
      </c>
      <c r="AW410" s="29" t="str">
        <f t="shared" si="413"/>
        <v>#DIV/0!</v>
      </c>
      <c r="AX410" s="29" t="str">
        <f t="shared" si="413"/>
        <v>#DIV/0!</v>
      </c>
      <c r="AY410" s="29" t="str">
        <f t="shared" si="413"/>
        <v>#DIV/0!</v>
      </c>
      <c r="AZ410" s="29" t="str">
        <f t="shared" si="413"/>
        <v>#DIV/0!</v>
      </c>
      <c r="BA410" s="29" t="str">
        <f t="shared" si="413"/>
        <v>#DIV/0!</v>
      </c>
      <c r="BB410" s="29" t="str">
        <f t="shared" si="413"/>
        <v>#DIV/0!</v>
      </c>
      <c r="BC410" s="29" t="str">
        <f t="shared" si="413"/>
        <v>#DIV/0!</v>
      </c>
      <c r="BD410" s="29" t="str">
        <f t="shared" si="413"/>
        <v>#DIV/0!</v>
      </c>
      <c r="BE410" s="29" t="str">
        <f t="shared" si="413"/>
        <v>#DIV/0!</v>
      </c>
      <c r="BF410" s="29" t="str">
        <f t="shared" si="413"/>
        <v>#DIV/0!</v>
      </c>
      <c r="BG410" s="29" t="str">
        <f t="shared" si="413"/>
        <v>#DIV/0!</v>
      </c>
      <c r="BH410" s="29" t="str">
        <f t="shared" si="413"/>
        <v>#DIV/0!</v>
      </c>
      <c r="BI410" s="29" t="str">
        <f t="shared" si="413"/>
        <v>#DIV/0!</v>
      </c>
      <c r="BJ410" s="29" t="str">
        <f t="shared" si="413"/>
        <v>#DIV/0!</v>
      </c>
      <c r="BK410" s="29" t="str">
        <f t="shared" si="413"/>
        <v>#DIV/0!</v>
      </c>
      <c r="BL410" s="29" t="str">
        <f t="shared" si="413"/>
        <v>#DIV/0!</v>
      </c>
      <c r="BM410" s="29" t="str">
        <f t="shared" si="3"/>
        <v>#DIV/0!</v>
      </c>
    </row>
    <row r="411">
      <c r="A411" s="16" t="str">
        <f>IFERROR(__xludf.DUMMYFUNCTION("IFERROR(SPARKLINE(SORT(MAP(TRANSPOSE(AQ411:BL411), LAMBDA(val, IF(ISNUMBER(val), PERCENTRANK(AQ411:BL411, val)+0.01, 0))), SEQUENCE(COLUMNS(AQ411:BL411)), FALSE), {""charttype"",""column""; ""color"",""chartreuse""; ""ymin"", 0; ""ymax"", 1.01; ""highcolo"&amp;"r"", ""darkgreen""; ""lowcolor"", ""red""}), """")"),"")</f>
        <v/>
      </c>
      <c r="B411" s="17" t="str">
        <f t="shared" si="4"/>
        <v/>
      </c>
      <c r="C411" s="1" t="s">
        <v>1898</v>
      </c>
      <c r="D411" s="34" t="str">
        <f>IFERROR(__xludf.DUMMYFUNCTION("IFERROR(GOOGLEFINANCE(C411, ""NAME""))"),"MSC Income Fund Inc")</f>
        <v>MSC Income Fund Inc</v>
      </c>
      <c r="E411" s="30" t="s">
        <v>64</v>
      </c>
      <c r="F411" s="33" t="str">
        <f>IFERROR(__xludf.DUMMYFUNCTION("( (GOOGLEFINANCE(C411, ""price"") - Q411) / Q411 ) / (R411 / 100)"),"Loading...")</f>
        <v>Loading...</v>
      </c>
      <c r="G411" s="20" t="str">
        <f>IFERROR(__xludf.DUMMYFUNCTION("AVERAGE(ARRAYFORMULA(100 * (QUERY(GOOGLEFINANCE(C411, ""high"", TODAY()-40, TODAY()), ""SELECT Col2 WHERE Col2 IS NOT NULL ORDER BY Col1 DESC LIMIT 20"", 0) / QUERY(GOOGLEFINANCE(C411, ""low"", TODAY()-40, TODAY()), ""SELECT Col2 WHERE Col2 IS NOT NULL OR"&amp;"DER BY Col1 DESC LIMIT 20"", 0) - 1)))"),"#N/A")</f>
        <v>#N/A</v>
      </c>
      <c r="H411" s="35" t="str">
        <f t="shared" si="6"/>
        <v/>
      </c>
      <c r="I411" s="36" t="str">
        <f t="shared" si="7"/>
        <v/>
      </c>
      <c r="J411" s="37" t="str">
        <f>IFERROR(__xludf.DUMMYFUNCTION("IFERROR(
  IF(C411="""",, 
    IFERROR(
      GOOGLEFINANCE(C411, ""price"") * GOOGLEFINANCE(C411, ""volumeavg""), 
      GOOGLEFINANCE(C411, ""price"") * AVERAGE(QUERY(GOOGLEFINANCE(C411, ""volume"", TODAY()-40, TODAY()), ""SELECT Col2 WHERE Col2 IS NOT "&amp;"NULL ORDER BY Col1 DESC LIMIT 20"", 0))
    )
  ), 
"""")"),"")</f>
        <v/>
      </c>
      <c r="K411" s="21" t="str">
        <f>IFERROR(__xludf.DUMMYFUNCTION("IFERROR(GOOGLEFINANCE(C411, ""changepct"") / 100, """")"),"")</f>
        <v/>
      </c>
      <c r="L411" s="21" t="str">
        <f>IFERROR(__xludf.DUMMYFUNCTION("IFERROR((GOOGLEFINANCE(C411, ""price"") / INDEX(GOOGLEFINANCE(C411, ""price"", TODAY()-7, TODAY()), 2, 2)) - 1, """")"),"")</f>
        <v/>
      </c>
      <c r="M411" s="21" t="str">
        <f>IFERROR(__xludf.DUMMYFUNCTION("IFERROR((GOOGLEFINANCE(C411, ""price"") / INDEX(GOOGLEFINANCE(C411, ""price"", EDATE(TODAY(), -1), TODAY()), 2, 2)) - 1, """")"),"")</f>
        <v/>
      </c>
      <c r="N411" s="21" t="str">
        <f>IFERROR(__xludf.DUMMYFUNCTION("IFERROR((GOOGLEFINANCE(C411, ""price"") / INDEX(GOOGLEFINANCE(C411, ""price"", EDATE(TODAY(), -3), TODAY()), 2, 2)) - 1, """")"),"")</f>
        <v/>
      </c>
      <c r="O411" s="21" t="str">
        <f>IFERROR(__xludf.DUMMYFUNCTION("IFERROR((GOOGLEFINANCE(C411, ""price"") / INDEX(GOOGLEFINANCE(C411, ""price"", EDATE(TODAY(), -6), TODAY()), 2, 2)) - 1, """")"),"")</f>
        <v/>
      </c>
      <c r="P411" s="21" t="str">
        <f>IFERROR(__xludf.DUMMYFUNCTION("IFERROR((GOOGLEFINANCE(C411, ""price"") / INDEX(GOOGLEFINANCE(C411, ""price"", EDATE(TODAY(), -12), TODAY()), 2, 2)) - 1, """")"),"")</f>
        <v/>
      </c>
      <c r="Q411" s="6" t="str">
        <f>IFERROR(__xludf.DUMMYFUNCTION("AVERAGE(QUERY(GOOGLEFINANCE(C411, ""price"", TODAY()-80, TODAY()), ""SELECT Col2 WHERE Col2 IS NOT NULL ORDER BY Col1 DESC LIMIT 50"", 0))"),"#N/A")</f>
        <v>#N/A</v>
      </c>
      <c r="R411" s="24" t="str">
        <f>IFERROR(__xludf.DUMMYFUNCTION("IFERROR(
  LET(
    data, QUERY(GOOGLEFINANCE(C411,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GOOGLEFINANCE(C411, ""price"")) * 100,
    IF(calc=0, G411, calc)
  ), 
G411)"),"#N/A")</f>
        <v>#N/A</v>
      </c>
      <c r="S411" s="8" t="s">
        <v>15</v>
      </c>
      <c r="T411" s="26" t="str">
        <f>IFERROR(__xludf.DUMMYFUNCTION("IFERROR(TRANSPOSE(QUERY(IFERROR(SORT(GOOGLEFINANCE(C411, ""price"", WORKDAY(TODAY(), -40), TODAY()), 1, FALSE)), ""select Col2 where Col2 is not null limit 22 label Col2 ''"", 0)), """")"),"")</f>
        <v/>
      </c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8"/>
      <c r="AO411" s="28"/>
      <c r="AP411" s="29"/>
      <c r="AQ411" s="29" t="str">
        <f t="shared" ref="AQ411:BL411" si="414">T411/T$2</f>
        <v>#N/A</v>
      </c>
      <c r="AR411" s="29" t="str">
        <f t="shared" si="414"/>
        <v>#DIV/0!</v>
      </c>
      <c r="AS411" s="29" t="str">
        <f t="shared" si="414"/>
        <v>#DIV/0!</v>
      </c>
      <c r="AT411" s="29" t="str">
        <f t="shared" si="414"/>
        <v>#DIV/0!</v>
      </c>
      <c r="AU411" s="29" t="str">
        <f t="shared" si="414"/>
        <v>#DIV/0!</v>
      </c>
      <c r="AV411" s="29" t="str">
        <f t="shared" si="414"/>
        <v>#DIV/0!</v>
      </c>
      <c r="AW411" s="29" t="str">
        <f t="shared" si="414"/>
        <v>#DIV/0!</v>
      </c>
      <c r="AX411" s="29" t="str">
        <f t="shared" si="414"/>
        <v>#DIV/0!</v>
      </c>
      <c r="AY411" s="29" t="str">
        <f t="shared" si="414"/>
        <v>#DIV/0!</v>
      </c>
      <c r="AZ411" s="29" t="str">
        <f t="shared" si="414"/>
        <v>#DIV/0!</v>
      </c>
      <c r="BA411" s="29" t="str">
        <f t="shared" si="414"/>
        <v>#DIV/0!</v>
      </c>
      <c r="BB411" s="29" t="str">
        <f t="shared" si="414"/>
        <v>#DIV/0!</v>
      </c>
      <c r="BC411" s="29" t="str">
        <f t="shared" si="414"/>
        <v>#DIV/0!</v>
      </c>
      <c r="BD411" s="29" t="str">
        <f t="shared" si="414"/>
        <v>#DIV/0!</v>
      </c>
      <c r="BE411" s="29" t="str">
        <f t="shared" si="414"/>
        <v>#DIV/0!</v>
      </c>
      <c r="BF411" s="29" t="str">
        <f t="shared" si="414"/>
        <v>#DIV/0!</v>
      </c>
      <c r="BG411" s="29" t="str">
        <f t="shared" si="414"/>
        <v>#DIV/0!</v>
      </c>
      <c r="BH411" s="29" t="str">
        <f t="shared" si="414"/>
        <v>#DIV/0!</v>
      </c>
      <c r="BI411" s="29" t="str">
        <f t="shared" si="414"/>
        <v>#DIV/0!</v>
      </c>
      <c r="BJ411" s="29" t="str">
        <f t="shared" si="414"/>
        <v>#DIV/0!</v>
      </c>
      <c r="BK411" s="29" t="str">
        <f t="shared" si="414"/>
        <v>#DIV/0!</v>
      </c>
      <c r="BL411" s="29" t="str">
        <f t="shared" si="414"/>
        <v>#DIV/0!</v>
      </c>
      <c r="BM411" s="29" t="str">
        <f t="shared" si="3"/>
        <v>#DIV/0!</v>
      </c>
    </row>
    <row r="412">
      <c r="A412" s="16" t="str">
        <f>IFERROR(__xludf.DUMMYFUNCTION("IFERROR(SPARKLINE(SORT(MAP(TRANSPOSE(AQ412:BL412), LAMBDA(val, IF(ISNUMBER(val), PERCENTRANK(AQ412:BL412, val)+0.01, 0))), SEQUENCE(COLUMNS(AQ412:BL412)), FALSE), {""charttype"",""column""; ""color"",""chartreuse""; ""ymin"", 0; ""ymax"", 1.01; ""highcolo"&amp;"r"", ""darkgreen""; ""lowcolor"", ""red""}), """")"),"")</f>
        <v/>
      </c>
      <c r="B412" s="17" t="str">
        <f t="shared" si="4"/>
        <v/>
      </c>
      <c r="C412" s="1" t="s">
        <v>1903</v>
      </c>
      <c r="D412" s="34" t="str">
        <f>IFERROR(__xludf.DUMMYFUNCTION("IFERROR(GOOGLEFINANCE(C412, ""NAME""))"),"Bridgewater Bancshares Inc")</f>
        <v>Bridgewater Bancshares Inc</v>
      </c>
      <c r="E412" s="30" t="s">
        <v>268</v>
      </c>
      <c r="F412" s="33" t="str">
        <f>IFERROR(__xludf.DUMMYFUNCTION("( (GOOGLEFINANCE(C412, ""price"") - Q412) / Q412 ) / (R412 / 100)"),"Loading...")</f>
        <v>Loading...</v>
      </c>
      <c r="G412" s="20" t="str">
        <f>IFERROR(__xludf.DUMMYFUNCTION("AVERAGE(ARRAYFORMULA(100 * (QUERY(GOOGLEFINANCE(C412, ""high"", TODAY()-40, TODAY()), ""SELECT Col2 WHERE Col2 IS NOT NULL ORDER BY Col1 DESC LIMIT 20"", 0) / QUERY(GOOGLEFINANCE(C412, ""low"", TODAY()-40, TODAY()), ""SELECT Col2 WHERE Col2 IS NOT NULL OR"&amp;"DER BY Col1 DESC LIMIT 20"", 0) - 1)))"),"#N/A")</f>
        <v>#N/A</v>
      </c>
      <c r="H412" s="35" t="str">
        <f t="shared" si="6"/>
        <v/>
      </c>
      <c r="I412" s="36" t="str">
        <f t="shared" si="7"/>
        <v/>
      </c>
      <c r="J412" s="37" t="str">
        <f>IFERROR(__xludf.DUMMYFUNCTION("IFERROR(
  IF(C412="""",, 
    IFERROR(
      GOOGLEFINANCE(C412, ""price"") * GOOGLEFINANCE(C412, ""volumeavg""), 
      GOOGLEFINANCE(C412, ""price"") * AVERAGE(QUERY(GOOGLEFINANCE(C412, ""volume"", TODAY()-40, TODAY()), ""SELECT Col2 WHERE Col2 IS NOT "&amp;"NULL ORDER BY Col1 DESC LIMIT 20"", 0))
    )
  ), 
"""")"),"")</f>
        <v/>
      </c>
      <c r="K412" s="21" t="str">
        <f>IFERROR(__xludf.DUMMYFUNCTION("IFERROR(GOOGLEFINANCE(C412, ""changepct"") / 100, """")"),"")</f>
        <v/>
      </c>
      <c r="L412" s="21" t="str">
        <f>IFERROR(__xludf.DUMMYFUNCTION("IFERROR((GOOGLEFINANCE(C412, ""price"") / INDEX(GOOGLEFINANCE(C412, ""price"", TODAY()-7, TODAY()), 2, 2)) - 1, """")"),"")</f>
        <v/>
      </c>
      <c r="M412" s="21" t="str">
        <f>IFERROR(__xludf.DUMMYFUNCTION("IFERROR((GOOGLEFINANCE(C412, ""price"") / INDEX(GOOGLEFINANCE(C412, ""price"", EDATE(TODAY(), -1), TODAY()), 2, 2)) - 1, """")"),"")</f>
        <v/>
      </c>
      <c r="N412" s="21" t="str">
        <f>IFERROR(__xludf.DUMMYFUNCTION("IFERROR((GOOGLEFINANCE(C412, ""price"") / INDEX(GOOGLEFINANCE(C412, ""price"", EDATE(TODAY(), -3), TODAY()), 2, 2)) - 1, """")"),"")</f>
        <v/>
      </c>
      <c r="O412" s="21" t="str">
        <f>IFERROR(__xludf.DUMMYFUNCTION("IFERROR((GOOGLEFINANCE(C412, ""price"") / INDEX(GOOGLEFINANCE(C412, ""price"", EDATE(TODAY(), -6), TODAY()), 2, 2)) - 1, """")"),"")</f>
        <v/>
      </c>
      <c r="P412" s="21" t="str">
        <f>IFERROR(__xludf.DUMMYFUNCTION("IFERROR((GOOGLEFINANCE(C412, ""price"") / INDEX(GOOGLEFINANCE(C412, ""price"", EDATE(TODAY(), -12), TODAY()), 2, 2)) - 1, """")"),"")</f>
        <v/>
      </c>
      <c r="Q412" s="6" t="str">
        <f>IFERROR(__xludf.DUMMYFUNCTION("AVERAGE(QUERY(GOOGLEFINANCE(C412, ""price"", TODAY()-80, TODAY()), ""SELECT Col2 WHERE Col2 IS NOT NULL ORDER BY Col1 DESC LIMIT 50"", 0))"),"#N/A")</f>
        <v>#N/A</v>
      </c>
      <c r="R412" s="24" t="str">
        <f>IFERROR(__xludf.DUMMYFUNCTION("IFERROR(
  LET(
    data, QUERY(GOOGLEFINANCE(C412,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GOOGLEFINANCE(C412, ""price"")) * 100,
    IF(calc=0, G412, calc)
  ), 
G412)"),"#N/A")</f>
        <v>#N/A</v>
      </c>
      <c r="S412" s="8" t="s">
        <v>15</v>
      </c>
      <c r="T412" s="26" t="str">
        <f>IFERROR(__xludf.DUMMYFUNCTION("IFERROR(TRANSPOSE(QUERY(IFERROR(SORT(GOOGLEFINANCE(C412, ""price"", WORKDAY(TODAY(), -40), TODAY()), 1, FALSE)), ""select Col2 where Col2 is not null limit 22 label Col2 ''"", 0)), """")"),"")</f>
        <v/>
      </c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8"/>
      <c r="AO412" s="28"/>
      <c r="AP412" s="29"/>
      <c r="AQ412" s="29" t="str">
        <f t="shared" ref="AQ412:BL412" si="415">T412/T$2</f>
        <v>#N/A</v>
      </c>
      <c r="AR412" s="29" t="str">
        <f t="shared" si="415"/>
        <v>#DIV/0!</v>
      </c>
      <c r="AS412" s="29" t="str">
        <f t="shared" si="415"/>
        <v>#DIV/0!</v>
      </c>
      <c r="AT412" s="29" t="str">
        <f t="shared" si="415"/>
        <v>#DIV/0!</v>
      </c>
      <c r="AU412" s="29" t="str">
        <f t="shared" si="415"/>
        <v>#DIV/0!</v>
      </c>
      <c r="AV412" s="29" t="str">
        <f t="shared" si="415"/>
        <v>#DIV/0!</v>
      </c>
      <c r="AW412" s="29" t="str">
        <f t="shared" si="415"/>
        <v>#DIV/0!</v>
      </c>
      <c r="AX412" s="29" t="str">
        <f t="shared" si="415"/>
        <v>#DIV/0!</v>
      </c>
      <c r="AY412" s="29" t="str">
        <f t="shared" si="415"/>
        <v>#DIV/0!</v>
      </c>
      <c r="AZ412" s="29" t="str">
        <f t="shared" si="415"/>
        <v>#DIV/0!</v>
      </c>
      <c r="BA412" s="29" t="str">
        <f t="shared" si="415"/>
        <v>#DIV/0!</v>
      </c>
      <c r="BB412" s="29" t="str">
        <f t="shared" si="415"/>
        <v>#DIV/0!</v>
      </c>
      <c r="BC412" s="29" t="str">
        <f t="shared" si="415"/>
        <v>#DIV/0!</v>
      </c>
      <c r="BD412" s="29" t="str">
        <f t="shared" si="415"/>
        <v>#DIV/0!</v>
      </c>
      <c r="BE412" s="29" t="str">
        <f t="shared" si="415"/>
        <v>#DIV/0!</v>
      </c>
      <c r="BF412" s="29" t="str">
        <f t="shared" si="415"/>
        <v>#DIV/0!</v>
      </c>
      <c r="BG412" s="29" t="str">
        <f t="shared" si="415"/>
        <v>#DIV/0!</v>
      </c>
      <c r="BH412" s="29" t="str">
        <f t="shared" si="415"/>
        <v>#DIV/0!</v>
      </c>
      <c r="BI412" s="29" t="str">
        <f t="shared" si="415"/>
        <v>#DIV/0!</v>
      </c>
      <c r="BJ412" s="29" t="str">
        <f t="shared" si="415"/>
        <v>#DIV/0!</v>
      </c>
      <c r="BK412" s="29" t="str">
        <f t="shared" si="415"/>
        <v>#DIV/0!</v>
      </c>
      <c r="BL412" s="29" t="str">
        <f t="shared" si="415"/>
        <v>#DIV/0!</v>
      </c>
      <c r="BM412" s="29" t="str">
        <f t="shared" si="3"/>
        <v>#DIV/0!</v>
      </c>
    </row>
    <row r="413">
      <c r="A413" s="16" t="str">
        <f>IFERROR(__xludf.DUMMYFUNCTION("IFERROR(SPARKLINE(SORT(MAP(TRANSPOSE(AQ413:BL413), LAMBDA(val, IF(ISNUMBER(val), PERCENTRANK(AQ413:BL413, val)+0.01, 0))), SEQUENCE(COLUMNS(AQ413:BL413)), FALSE), {""charttype"",""column""; ""color"",""chartreuse""; ""ymin"", 0; ""ymax"", 1.01; ""highcolo"&amp;"r"", ""darkgreen""; ""lowcolor"", ""red""}), """")"),"")</f>
        <v/>
      </c>
      <c r="B413" s="17" t="str">
        <f t="shared" si="4"/>
        <v/>
      </c>
      <c r="C413" s="1" t="s">
        <v>1907</v>
      </c>
      <c r="D413" s="34" t="str">
        <f>IFERROR(__xludf.DUMMYFUNCTION("IFERROR(GOOGLEFINANCE(C413, ""NAME""))"),"Hamilton Insurance Group Ltd")</f>
        <v>Hamilton Insurance Group Ltd</v>
      </c>
      <c r="E413" s="30" t="s">
        <v>1409</v>
      </c>
      <c r="F413" s="33" t="str">
        <f>IFERROR(__xludf.DUMMYFUNCTION("( (GOOGLEFINANCE(C413, ""price"") - Q413) / Q413 ) / (R413 / 100)"),"Loading...")</f>
        <v>Loading...</v>
      </c>
      <c r="G413" s="20" t="str">
        <f>IFERROR(__xludf.DUMMYFUNCTION("AVERAGE(ARRAYFORMULA(100 * (QUERY(GOOGLEFINANCE(C413, ""high"", TODAY()-40, TODAY()), ""SELECT Col2 WHERE Col2 IS NOT NULL ORDER BY Col1 DESC LIMIT 20"", 0) / QUERY(GOOGLEFINANCE(C413, ""low"", TODAY()-40, TODAY()), ""SELECT Col2 WHERE Col2 IS NOT NULL OR"&amp;"DER BY Col1 DESC LIMIT 20"", 0) - 1)))"),"#N/A")</f>
        <v>#N/A</v>
      </c>
      <c r="H413" s="35" t="str">
        <f t="shared" si="6"/>
        <v/>
      </c>
      <c r="I413" s="36" t="str">
        <f t="shared" si="7"/>
        <v/>
      </c>
      <c r="J413" s="37" t="str">
        <f>IFERROR(__xludf.DUMMYFUNCTION("IFERROR(
  IF(C413="""",, 
    IFERROR(
      GOOGLEFINANCE(C413, ""price"") * GOOGLEFINANCE(C413, ""volumeavg""), 
      GOOGLEFINANCE(C413, ""price"") * AVERAGE(QUERY(GOOGLEFINANCE(C413, ""volume"", TODAY()-40, TODAY()), ""SELECT Col2 WHERE Col2 IS NOT "&amp;"NULL ORDER BY Col1 DESC LIMIT 20"", 0))
    )
  ), 
"""")"),"")</f>
        <v/>
      </c>
      <c r="K413" s="21" t="str">
        <f>IFERROR(__xludf.DUMMYFUNCTION("IFERROR(GOOGLEFINANCE(C413, ""changepct"") / 100, """")"),"")</f>
        <v/>
      </c>
      <c r="L413" s="21" t="str">
        <f>IFERROR(__xludf.DUMMYFUNCTION("IFERROR((GOOGLEFINANCE(C413, ""price"") / INDEX(GOOGLEFINANCE(C413, ""price"", TODAY()-7, TODAY()), 2, 2)) - 1, """")"),"")</f>
        <v/>
      </c>
      <c r="M413" s="21" t="str">
        <f>IFERROR(__xludf.DUMMYFUNCTION("IFERROR((GOOGLEFINANCE(C413, ""price"") / INDEX(GOOGLEFINANCE(C413, ""price"", EDATE(TODAY(), -1), TODAY()), 2, 2)) - 1, """")"),"")</f>
        <v/>
      </c>
      <c r="N413" s="21" t="str">
        <f>IFERROR(__xludf.DUMMYFUNCTION("IFERROR((GOOGLEFINANCE(C413, ""price"") / INDEX(GOOGLEFINANCE(C413, ""price"", EDATE(TODAY(), -3), TODAY()), 2, 2)) - 1, """")"),"")</f>
        <v/>
      </c>
      <c r="O413" s="21" t="str">
        <f>IFERROR(__xludf.DUMMYFUNCTION("IFERROR((GOOGLEFINANCE(C413, ""price"") / INDEX(GOOGLEFINANCE(C413, ""price"", EDATE(TODAY(), -6), TODAY()), 2, 2)) - 1, """")"),"")</f>
        <v/>
      </c>
      <c r="P413" s="21" t="str">
        <f>IFERROR(__xludf.DUMMYFUNCTION("IFERROR((GOOGLEFINANCE(C413, ""price"") / INDEX(GOOGLEFINANCE(C413, ""price"", EDATE(TODAY(), -12), TODAY()), 2, 2)) - 1, """")"),"")</f>
        <v/>
      </c>
      <c r="Q413" s="6" t="str">
        <f>IFERROR(__xludf.DUMMYFUNCTION("AVERAGE(QUERY(GOOGLEFINANCE(C413, ""price"", TODAY()-80, TODAY()), ""SELECT Col2 WHERE Col2 IS NOT NULL ORDER BY Col1 DESC LIMIT 50"", 0))"),"#N/A")</f>
        <v>#N/A</v>
      </c>
      <c r="R413" s="24" t="str">
        <f>IFERROR(__xludf.DUMMYFUNCTION("IFERROR(
  LET(
    data, QUERY(GOOGLEFINANCE(C413,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GOOGLEFINANCE(C413, ""price"")) * 100,
    IF(calc=0, G413, calc)
  ), 
G413)"),"#N/A")</f>
        <v>#N/A</v>
      </c>
      <c r="S413" s="8" t="s">
        <v>15</v>
      </c>
      <c r="T413" s="26" t="str">
        <f>IFERROR(__xludf.DUMMYFUNCTION("IFERROR(TRANSPOSE(QUERY(IFERROR(SORT(GOOGLEFINANCE(C413, ""price"", WORKDAY(TODAY(), -40), TODAY()), 1, FALSE)), ""select Col2 where Col2 is not null limit 22 label Col2 ''"", 0)), """")"),"")</f>
        <v/>
      </c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8"/>
      <c r="AO413" s="28"/>
      <c r="AP413" s="29"/>
      <c r="AQ413" s="29" t="str">
        <f t="shared" ref="AQ413:BL413" si="416">T413/T$2</f>
        <v>#N/A</v>
      </c>
      <c r="AR413" s="29" t="str">
        <f t="shared" si="416"/>
        <v>#DIV/0!</v>
      </c>
      <c r="AS413" s="29" t="str">
        <f t="shared" si="416"/>
        <v>#DIV/0!</v>
      </c>
      <c r="AT413" s="29" t="str">
        <f t="shared" si="416"/>
        <v>#DIV/0!</v>
      </c>
      <c r="AU413" s="29" t="str">
        <f t="shared" si="416"/>
        <v>#DIV/0!</v>
      </c>
      <c r="AV413" s="29" t="str">
        <f t="shared" si="416"/>
        <v>#DIV/0!</v>
      </c>
      <c r="AW413" s="29" t="str">
        <f t="shared" si="416"/>
        <v>#DIV/0!</v>
      </c>
      <c r="AX413" s="29" t="str">
        <f t="shared" si="416"/>
        <v>#DIV/0!</v>
      </c>
      <c r="AY413" s="29" t="str">
        <f t="shared" si="416"/>
        <v>#DIV/0!</v>
      </c>
      <c r="AZ413" s="29" t="str">
        <f t="shared" si="416"/>
        <v>#DIV/0!</v>
      </c>
      <c r="BA413" s="29" t="str">
        <f t="shared" si="416"/>
        <v>#DIV/0!</v>
      </c>
      <c r="BB413" s="29" t="str">
        <f t="shared" si="416"/>
        <v>#DIV/0!</v>
      </c>
      <c r="BC413" s="29" t="str">
        <f t="shared" si="416"/>
        <v>#DIV/0!</v>
      </c>
      <c r="BD413" s="29" t="str">
        <f t="shared" si="416"/>
        <v>#DIV/0!</v>
      </c>
      <c r="BE413" s="29" t="str">
        <f t="shared" si="416"/>
        <v>#DIV/0!</v>
      </c>
      <c r="BF413" s="29" t="str">
        <f t="shared" si="416"/>
        <v>#DIV/0!</v>
      </c>
      <c r="BG413" s="29" t="str">
        <f t="shared" si="416"/>
        <v>#DIV/0!</v>
      </c>
      <c r="BH413" s="29" t="str">
        <f t="shared" si="416"/>
        <v>#DIV/0!</v>
      </c>
      <c r="BI413" s="29" t="str">
        <f t="shared" si="416"/>
        <v>#DIV/0!</v>
      </c>
      <c r="BJ413" s="29" t="str">
        <f t="shared" si="416"/>
        <v>#DIV/0!</v>
      </c>
      <c r="BK413" s="29" t="str">
        <f t="shared" si="416"/>
        <v>#DIV/0!</v>
      </c>
      <c r="BL413" s="29" t="str">
        <f t="shared" si="416"/>
        <v>#DIV/0!</v>
      </c>
      <c r="BM413" s="29" t="str">
        <f t="shared" si="3"/>
        <v>#DIV/0!</v>
      </c>
    </row>
    <row r="414">
      <c r="A414" s="16" t="str">
        <f>IFERROR(__xludf.DUMMYFUNCTION("IFERROR(SPARKLINE(SORT(MAP(TRANSPOSE(AQ414:BL414), LAMBDA(val, IF(ISNUMBER(val), PERCENTRANK(AQ414:BL414, val)+0.01, 0))), SEQUENCE(COLUMNS(AQ414:BL414)), FALSE), {""charttype"",""column""; ""color"",""chartreuse""; ""ymin"", 0; ""ymax"", 1.01; ""highcolo"&amp;"r"", ""darkgreen""; ""lowcolor"", ""red""}), """")"),"")</f>
        <v/>
      </c>
      <c r="B414" s="17" t="str">
        <f t="shared" si="4"/>
        <v/>
      </c>
      <c r="C414" s="1" t="s">
        <v>1911</v>
      </c>
      <c r="D414" s="34" t="str">
        <f>IFERROR(__xludf.DUMMYFUNCTION("IFERROR(GOOGLEFINANCE(C414, ""NAME""))"),"Factset Research Systems Inc")</f>
        <v>Factset Research Systems Inc</v>
      </c>
      <c r="E414" s="30" t="s">
        <v>54</v>
      </c>
      <c r="F414" s="33" t="str">
        <f>IFERROR(__xludf.DUMMYFUNCTION("( (GOOGLEFINANCE(C414, ""price"") - Q414) / Q414 ) / (R414 / 100)"),"Loading...")</f>
        <v>Loading...</v>
      </c>
      <c r="G414" s="20" t="str">
        <f>IFERROR(__xludf.DUMMYFUNCTION("AVERAGE(ARRAYFORMULA(100 * (QUERY(GOOGLEFINANCE(C414, ""high"", TODAY()-40, TODAY()), ""SELECT Col2 WHERE Col2 IS NOT NULL ORDER BY Col1 DESC LIMIT 20"", 0) / QUERY(GOOGLEFINANCE(C414, ""low"", TODAY()-40, TODAY()), ""SELECT Col2 WHERE Col2 IS NOT NULL OR"&amp;"DER BY Col1 DESC LIMIT 20"", 0) - 1)))"),"#N/A")</f>
        <v>#N/A</v>
      </c>
      <c r="H414" s="35" t="str">
        <f t="shared" si="6"/>
        <v/>
      </c>
      <c r="I414" s="36" t="str">
        <f t="shared" si="7"/>
        <v/>
      </c>
      <c r="J414" s="37" t="str">
        <f>IFERROR(__xludf.DUMMYFUNCTION("IFERROR(
  IF(C414="""",, 
    IFERROR(
      GOOGLEFINANCE(C414, ""price"") * GOOGLEFINANCE(C414, ""volumeavg""), 
      GOOGLEFINANCE(C414, ""price"") * AVERAGE(QUERY(GOOGLEFINANCE(C414, ""volume"", TODAY()-40, TODAY()), ""SELECT Col2 WHERE Col2 IS NOT "&amp;"NULL ORDER BY Col1 DESC LIMIT 20"", 0))
    )
  ), 
"""")"),"")</f>
        <v/>
      </c>
      <c r="K414" s="21" t="str">
        <f>IFERROR(__xludf.DUMMYFUNCTION("IFERROR(GOOGLEFINANCE(C414, ""changepct"") / 100, """")"),"")</f>
        <v/>
      </c>
      <c r="L414" s="21" t="str">
        <f>IFERROR(__xludf.DUMMYFUNCTION("IFERROR((GOOGLEFINANCE(C414, ""price"") / INDEX(GOOGLEFINANCE(C414, ""price"", TODAY()-7, TODAY()), 2, 2)) - 1, """")"),"")</f>
        <v/>
      </c>
      <c r="M414" s="21" t="str">
        <f>IFERROR(__xludf.DUMMYFUNCTION("IFERROR((GOOGLEFINANCE(C414, ""price"") / INDEX(GOOGLEFINANCE(C414, ""price"", EDATE(TODAY(), -1), TODAY()), 2, 2)) - 1, """")"),"")</f>
        <v/>
      </c>
      <c r="N414" s="21" t="str">
        <f>IFERROR(__xludf.DUMMYFUNCTION("IFERROR((GOOGLEFINANCE(C414, ""price"") / INDEX(GOOGLEFINANCE(C414, ""price"", EDATE(TODAY(), -3), TODAY()), 2, 2)) - 1, """")"),"")</f>
        <v/>
      </c>
      <c r="O414" s="21" t="str">
        <f>IFERROR(__xludf.DUMMYFUNCTION("IFERROR((GOOGLEFINANCE(C414, ""price"") / INDEX(GOOGLEFINANCE(C414, ""price"", EDATE(TODAY(), -6), TODAY()), 2, 2)) - 1, """")"),"")</f>
        <v/>
      </c>
      <c r="P414" s="21" t="str">
        <f>IFERROR(__xludf.DUMMYFUNCTION("IFERROR((GOOGLEFINANCE(C414, ""price"") / INDEX(GOOGLEFINANCE(C414, ""price"", EDATE(TODAY(), -12), TODAY()), 2, 2)) - 1, """")"),"")</f>
        <v/>
      </c>
      <c r="Q414" s="6" t="str">
        <f>IFERROR(__xludf.DUMMYFUNCTION("AVERAGE(QUERY(GOOGLEFINANCE(C414, ""price"", TODAY()-80, TODAY()), ""SELECT Col2 WHERE Col2 IS NOT NULL ORDER BY Col1 DESC LIMIT 50"", 0))"),"#N/A")</f>
        <v>#N/A</v>
      </c>
      <c r="R414" s="24" t="str">
        <f>IFERROR(__xludf.DUMMYFUNCTION("IFERROR(
  LET(
    data, QUERY(GOOGLEFINANCE(C414,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GOOGLEFINANCE(C414, ""price"")) * 100,
    IF(calc=0, G414, calc)
  ), 
G414)"),"#N/A")</f>
        <v>#N/A</v>
      </c>
      <c r="S414" s="8" t="s">
        <v>15</v>
      </c>
      <c r="T414" s="26" t="str">
        <f>IFERROR(__xludf.DUMMYFUNCTION("IFERROR(TRANSPOSE(QUERY(IFERROR(SORT(GOOGLEFINANCE(C414, ""price"", WORKDAY(TODAY(), -40), TODAY()), 1, FALSE)), ""select Col2 where Col2 is not null limit 22 label Col2 ''"", 0)), """")"),"")</f>
        <v/>
      </c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8"/>
      <c r="AO414" s="28"/>
      <c r="AP414" s="29"/>
      <c r="AQ414" s="29" t="str">
        <f t="shared" ref="AQ414:BL414" si="417">T414/T$2</f>
        <v>#N/A</v>
      </c>
      <c r="AR414" s="29" t="str">
        <f t="shared" si="417"/>
        <v>#DIV/0!</v>
      </c>
      <c r="AS414" s="29" t="str">
        <f t="shared" si="417"/>
        <v>#DIV/0!</v>
      </c>
      <c r="AT414" s="29" t="str">
        <f t="shared" si="417"/>
        <v>#DIV/0!</v>
      </c>
      <c r="AU414" s="29" t="str">
        <f t="shared" si="417"/>
        <v>#DIV/0!</v>
      </c>
      <c r="AV414" s="29" t="str">
        <f t="shared" si="417"/>
        <v>#DIV/0!</v>
      </c>
      <c r="AW414" s="29" t="str">
        <f t="shared" si="417"/>
        <v>#DIV/0!</v>
      </c>
      <c r="AX414" s="29" t="str">
        <f t="shared" si="417"/>
        <v>#DIV/0!</v>
      </c>
      <c r="AY414" s="29" t="str">
        <f t="shared" si="417"/>
        <v>#DIV/0!</v>
      </c>
      <c r="AZ414" s="29" t="str">
        <f t="shared" si="417"/>
        <v>#DIV/0!</v>
      </c>
      <c r="BA414" s="29" t="str">
        <f t="shared" si="417"/>
        <v>#DIV/0!</v>
      </c>
      <c r="BB414" s="29" t="str">
        <f t="shared" si="417"/>
        <v>#DIV/0!</v>
      </c>
      <c r="BC414" s="29" t="str">
        <f t="shared" si="417"/>
        <v>#DIV/0!</v>
      </c>
      <c r="BD414" s="29" t="str">
        <f t="shared" si="417"/>
        <v>#DIV/0!</v>
      </c>
      <c r="BE414" s="29" t="str">
        <f t="shared" si="417"/>
        <v>#DIV/0!</v>
      </c>
      <c r="BF414" s="29" t="str">
        <f t="shared" si="417"/>
        <v>#DIV/0!</v>
      </c>
      <c r="BG414" s="29" t="str">
        <f t="shared" si="417"/>
        <v>#DIV/0!</v>
      </c>
      <c r="BH414" s="29" t="str">
        <f t="shared" si="417"/>
        <v>#DIV/0!</v>
      </c>
      <c r="BI414" s="29" t="str">
        <f t="shared" si="417"/>
        <v>#DIV/0!</v>
      </c>
      <c r="BJ414" s="29" t="str">
        <f t="shared" si="417"/>
        <v>#DIV/0!</v>
      </c>
      <c r="BK414" s="29" t="str">
        <f t="shared" si="417"/>
        <v>#DIV/0!</v>
      </c>
      <c r="BL414" s="29" t="str">
        <f t="shared" si="417"/>
        <v>#DIV/0!</v>
      </c>
      <c r="BM414" s="29" t="str">
        <f t="shared" si="3"/>
        <v>#DIV/0!</v>
      </c>
    </row>
    <row r="415">
      <c r="A415" s="16" t="str">
        <f>IFERROR(__xludf.DUMMYFUNCTION("IFERROR(SPARKLINE(SORT(MAP(TRANSPOSE(AQ415:BL415), LAMBDA(val, IF(ISNUMBER(val), PERCENTRANK(AQ415:BL415, val)+0.01, 0))), SEQUENCE(COLUMNS(AQ415:BL415)), FALSE), {""charttype"",""column""; ""color"",""chartreuse""; ""ymin"", 0; ""ymax"", 1.01; ""highcolo"&amp;"r"", ""darkgreen""; ""lowcolor"", ""red""}), """")"),"")</f>
        <v/>
      </c>
      <c r="B415" s="17" t="str">
        <f t="shared" si="4"/>
        <v/>
      </c>
      <c r="C415" s="1" t="s">
        <v>1917</v>
      </c>
      <c r="D415" s="34" t="str">
        <f>IFERROR(__xludf.DUMMYFUNCTION("IFERROR(GOOGLEFINANCE(C415, ""NAME""))"),"Better Home &amp; Finance Holding Co")</f>
        <v>Better Home &amp; Finance Holding Co</v>
      </c>
      <c r="E415" s="30" t="s">
        <v>119</v>
      </c>
      <c r="F415" s="33" t="str">
        <f>IFERROR(__xludf.DUMMYFUNCTION("( (GOOGLEFINANCE(C415, ""price"") - Q415) / Q415 ) / (R415 / 100)"),"Loading...")</f>
        <v>Loading...</v>
      </c>
      <c r="G415" s="20" t="str">
        <f>IFERROR(__xludf.DUMMYFUNCTION("AVERAGE(ARRAYFORMULA(100 * (QUERY(GOOGLEFINANCE(C415, ""high"", TODAY()-40, TODAY()), ""SELECT Col2 WHERE Col2 IS NOT NULL ORDER BY Col1 DESC LIMIT 20"", 0) / QUERY(GOOGLEFINANCE(C415, ""low"", TODAY()-40, TODAY()), ""SELECT Col2 WHERE Col2 IS NOT NULL OR"&amp;"DER BY Col1 DESC LIMIT 20"", 0) - 1)))"),"#N/A")</f>
        <v>#N/A</v>
      </c>
      <c r="H415" s="35" t="str">
        <f t="shared" si="6"/>
        <v/>
      </c>
      <c r="I415" s="36" t="str">
        <f t="shared" si="7"/>
        <v/>
      </c>
      <c r="J415" s="37" t="str">
        <f>IFERROR(__xludf.DUMMYFUNCTION("IFERROR(
  IF(C415="""",, 
    IFERROR(
      GOOGLEFINANCE(C415, ""price"") * GOOGLEFINANCE(C415, ""volumeavg""), 
      GOOGLEFINANCE(C415, ""price"") * AVERAGE(QUERY(GOOGLEFINANCE(C415, ""volume"", TODAY()-40, TODAY()), ""SELECT Col2 WHERE Col2 IS NOT "&amp;"NULL ORDER BY Col1 DESC LIMIT 20"", 0))
    )
  ), 
"""")"),"")</f>
        <v/>
      </c>
      <c r="K415" s="21" t="str">
        <f>IFERROR(__xludf.DUMMYFUNCTION("IFERROR(GOOGLEFINANCE(C415, ""changepct"") / 100, """")"),"")</f>
        <v/>
      </c>
      <c r="L415" s="21" t="str">
        <f>IFERROR(__xludf.DUMMYFUNCTION("IFERROR((GOOGLEFINANCE(C415, ""price"") / INDEX(GOOGLEFINANCE(C415, ""price"", TODAY()-7, TODAY()), 2, 2)) - 1, """")"),"")</f>
        <v/>
      </c>
      <c r="M415" s="21" t="str">
        <f>IFERROR(__xludf.DUMMYFUNCTION("IFERROR((GOOGLEFINANCE(C415, ""price"") / INDEX(GOOGLEFINANCE(C415, ""price"", EDATE(TODAY(), -1), TODAY()), 2, 2)) - 1, """")"),"")</f>
        <v/>
      </c>
      <c r="N415" s="21" t="str">
        <f>IFERROR(__xludf.DUMMYFUNCTION("IFERROR((GOOGLEFINANCE(C415, ""price"") / INDEX(GOOGLEFINANCE(C415, ""price"", EDATE(TODAY(), -3), TODAY()), 2, 2)) - 1, """")"),"")</f>
        <v/>
      </c>
      <c r="O415" s="21" t="str">
        <f>IFERROR(__xludf.DUMMYFUNCTION("IFERROR((GOOGLEFINANCE(C415, ""price"") / INDEX(GOOGLEFINANCE(C415, ""price"", EDATE(TODAY(), -6), TODAY()), 2, 2)) - 1, """")"),"")</f>
        <v/>
      </c>
      <c r="P415" s="21" t="str">
        <f>IFERROR(__xludf.DUMMYFUNCTION("IFERROR((GOOGLEFINANCE(C415, ""price"") / INDEX(GOOGLEFINANCE(C415, ""price"", EDATE(TODAY(), -12), TODAY()), 2, 2)) - 1, """")"),"")</f>
        <v/>
      </c>
      <c r="Q415" s="6" t="str">
        <f>IFERROR(__xludf.DUMMYFUNCTION("AVERAGE(QUERY(GOOGLEFINANCE(C415, ""price"", TODAY()-80, TODAY()), ""SELECT Col2 WHERE Col2 IS NOT NULL ORDER BY Col1 DESC LIMIT 50"", 0))"),"#N/A")</f>
        <v>#N/A</v>
      </c>
      <c r="R415" s="24" t="str">
        <f>IFERROR(__xludf.DUMMYFUNCTION("IFERROR(
  LET(
    data, QUERY(GOOGLEFINANCE(C415,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GOOGLEFINANCE(C415, ""price"")) * 100,
    IF(calc=0, G415, calc)
  ), 
G415)"),"#N/A")</f>
        <v>#N/A</v>
      </c>
      <c r="S415" s="8" t="s">
        <v>15</v>
      </c>
      <c r="T415" s="26" t="str">
        <f>IFERROR(__xludf.DUMMYFUNCTION("IFERROR(TRANSPOSE(QUERY(IFERROR(SORT(GOOGLEFINANCE(C415, ""price"", WORKDAY(TODAY(), -40), TODAY()), 1, FALSE)), ""select Col2 where Col2 is not null limit 22 label Col2 ''"", 0)), """")"),"")</f>
        <v/>
      </c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8"/>
      <c r="AO415" s="28"/>
      <c r="AP415" s="29"/>
      <c r="AQ415" s="29" t="str">
        <f t="shared" ref="AQ415:BL415" si="418">T415/T$2</f>
        <v>#N/A</v>
      </c>
      <c r="AR415" s="29" t="str">
        <f t="shared" si="418"/>
        <v>#DIV/0!</v>
      </c>
      <c r="AS415" s="29" t="str">
        <f t="shared" si="418"/>
        <v>#DIV/0!</v>
      </c>
      <c r="AT415" s="29" t="str">
        <f t="shared" si="418"/>
        <v>#DIV/0!</v>
      </c>
      <c r="AU415" s="29" t="str">
        <f t="shared" si="418"/>
        <v>#DIV/0!</v>
      </c>
      <c r="AV415" s="29" t="str">
        <f t="shared" si="418"/>
        <v>#DIV/0!</v>
      </c>
      <c r="AW415" s="29" t="str">
        <f t="shared" si="418"/>
        <v>#DIV/0!</v>
      </c>
      <c r="AX415" s="29" t="str">
        <f t="shared" si="418"/>
        <v>#DIV/0!</v>
      </c>
      <c r="AY415" s="29" t="str">
        <f t="shared" si="418"/>
        <v>#DIV/0!</v>
      </c>
      <c r="AZ415" s="29" t="str">
        <f t="shared" si="418"/>
        <v>#DIV/0!</v>
      </c>
      <c r="BA415" s="29" t="str">
        <f t="shared" si="418"/>
        <v>#DIV/0!</v>
      </c>
      <c r="BB415" s="29" t="str">
        <f t="shared" si="418"/>
        <v>#DIV/0!</v>
      </c>
      <c r="BC415" s="29" t="str">
        <f t="shared" si="418"/>
        <v>#DIV/0!</v>
      </c>
      <c r="BD415" s="29" t="str">
        <f t="shared" si="418"/>
        <v>#DIV/0!</v>
      </c>
      <c r="BE415" s="29" t="str">
        <f t="shared" si="418"/>
        <v>#DIV/0!</v>
      </c>
      <c r="BF415" s="29" t="str">
        <f t="shared" si="418"/>
        <v>#DIV/0!</v>
      </c>
      <c r="BG415" s="29" t="str">
        <f t="shared" si="418"/>
        <v>#DIV/0!</v>
      </c>
      <c r="BH415" s="29" t="str">
        <f t="shared" si="418"/>
        <v>#DIV/0!</v>
      </c>
      <c r="BI415" s="29" t="str">
        <f t="shared" si="418"/>
        <v>#DIV/0!</v>
      </c>
      <c r="BJ415" s="29" t="str">
        <f t="shared" si="418"/>
        <v>#DIV/0!</v>
      </c>
      <c r="BK415" s="29" t="str">
        <f t="shared" si="418"/>
        <v>#DIV/0!</v>
      </c>
      <c r="BL415" s="29" t="str">
        <f t="shared" si="418"/>
        <v>#DIV/0!</v>
      </c>
      <c r="BM415" s="29" t="str">
        <f t="shared" si="3"/>
        <v>#DIV/0!</v>
      </c>
    </row>
    <row r="416">
      <c r="A416" s="16" t="str">
        <f>IFERROR(__xludf.DUMMYFUNCTION("IFERROR(SPARKLINE(SORT(MAP(TRANSPOSE(AQ416:BL416), LAMBDA(val, IF(ISNUMBER(val), PERCENTRANK(AQ416:BL416, val)+0.01, 0))), SEQUENCE(COLUMNS(AQ416:BL416)), FALSE), {""charttype"",""column""; ""color"",""chartreuse""; ""ymin"", 0; ""ymax"", 1.01; ""highcolo"&amp;"r"", ""darkgreen""; ""lowcolor"", ""red""}), """")"),"")</f>
        <v/>
      </c>
      <c r="B416" s="17" t="str">
        <f t="shared" si="4"/>
        <v/>
      </c>
      <c r="C416" s="1" t="s">
        <v>1921</v>
      </c>
      <c r="D416" s="34" t="str">
        <f>IFERROR(__xludf.DUMMYFUNCTION("IFERROR(GOOGLEFINANCE(C416, ""NAME""))"),"First Bancorp (North Carolina)")</f>
        <v>First Bancorp (North Carolina)</v>
      </c>
      <c r="E416" s="30" t="s">
        <v>268</v>
      </c>
      <c r="F416" s="33" t="str">
        <f>IFERROR(__xludf.DUMMYFUNCTION("( (GOOGLEFINANCE(C416, ""price"") - Q416) / Q416 ) / (R416 / 100)"),"Loading...")</f>
        <v>Loading...</v>
      </c>
      <c r="G416" s="20" t="str">
        <f>IFERROR(__xludf.DUMMYFUNCTION("AVERAGE(ARRAYFORMULA(100 * (QUERY(GOOGLEFINANCE(C416, ""high"", TODAY()-40, TODAY()), ""SELECT Col2 WHERE Col2 IS NOT NULL ORDER BY Col1 DESC LIMIT 20"", 0) / QUERY(GOOGLEFINANCE(C416, ""low"", TODAY()-40, TODAY()), ""SELECT Col2 WHERE Col2 IS NOT NULL OR"&amp;"DER BY Col1 DESC LIMIT 20"", 0) - 1)))"),"#N/A")</f>
        <v>#N/A</v>
      </c>
      <c r="H416" s="35" t="str">
        <f t="shared" si="6"/>
        <v/>
      </c>
      <c r="I416" s="36" t="str">
        <f t="shared" si="7"/>
        <v/>
      </c>
      <c r="J416" s="37" t="str">
        <f>IFERROR(__xludf.DUMMYFUNCTION("IFERROR(
  IF(C416="""",, 
    IFERROR(
      GOOGLEFINANCE(C416, ""price"") * GOOGLEFINANCE(C416, ""volumeavg""), 
      GOOGLEFINANCE(C416, ""price"") * AVERAGE(QUERY(GOOGLEFINANCE(C416, ""volume"", TODAY()-40, TODAY()), ""SELECT Col2 WHERE Col2 IS NOT "&amp;"NULL ORDER BY Col1 DESC LIMIT 20"", 0))
    )
  ), 
"""")"),"")</f>
        <v/>
      </c>
      <c r="K416" s="21" t="str">
        <f>IFERROR(__xludf.DUMMYFUNCTION("IFERROR(GOOGLEFINANCE(C416, ""changepct"") / 100, """")"),"")</f>
        <v/>
      </c>
      <c r="L416" s="21" t="str">
        <f>IFERROR(__xludf.DUMMYFUNCTION("IFERROR((GOOGLEFINANCE(C416, ""price"") / INDEX(GOOGLEFINANCE(C416, ""price"", TODAY()-7, TODAY()), 2, 2)) - 1, """")"),"")</f>
        <v/>
      </c>
      <c r="M416" s="21" t="str">
        <f>IFERROR(__xludf.DUMMYFUNCTION("IFERROR((GOOGLEFINANCE(C416, ""price"") / INDEX(GOOGLEFINANCE(C416, ""price"", EDATE(TODAY(), -1), TODAY()), 2, 2)) - 1, """")"),"")</f>
        <v/>
      </c>
      <c r="N416" s="21" t="str">
        <f>IFERROR(__xludf.DUMMYFUNCTION("IFERROR((GOOGLEFINANCE(C416, ""price"") / INDEX(GOOGLEFINANCE(C416, ""price"", EDATE(TODAY(), -3), TODAY()), 2, 2)) - 1, """")"),"")</f>
        <v/>
      </c>
      <c r="O416" s="21" t="str">
        <f>IFERROR(__xludf.DUMMYFUNCTION("IFERROR((GOOGLEFINANCE(C416, ""price"") / INDEX(GOOGLEFINANCE(C416, ""price"", EDATE(TODAY(), -6), TODAY()), 2, 2)) - 1, """")"),"")</f>
        <v/>
      </c>
      <c r="P416" s="21" t="str">
        <f>IFERROR(__xludf.DUMMYFUNCTION("IFERROR((GOOGLEFINANCE(C416, ""price"") / INDEX(GOOGLEFINANCE(C416, ""price"", EDATE(TODAY(), -12), TODAY()), 2, 2)) - 1, """")"),"")</f>
        <v/>
      </c>
      <c r="Q416" s="6" t="str">
        <f>IFERROR(__xludf.DUMMYFUNCTION("AVERAGE(QUERY(GOOGLEFINANCE(C416, ""price"", TODAY()-80, TODAY()), ""SELECT Col2 WHERE Col2 IS NOT NULL ORDER BY Col1 DESC LIMIT 50"", 0))"),"#N/A")</f>
        <v>#N/A</v>
      </c>
      <c r="R416" s="24" t="str">
        <f>IFERROR(__xludf.DUMMYFUNCTION("IFERROR(
  LET(
    data, QUERY(GOOGLEFINANCE(C416,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GOOGLEFINANCE(C416, ""price"")) * 100,
    IF(calc=0, G416, calc)
  ), 
G416)"),"#N/A")</f>
        <v>#N/A</v>
      </c>
      <c r="S416" s="8" t="s">
        <v>15</v>
      </c>
      <c r="T416" s="26" t="str">
        <f>IFERROR(__xludf.DUMMYFUNCTION("IFERROR(TRANSPOSE(QUERY(IFERROR(SORT(GOOGLEFINANCE(C416, ""price"", WORKDAY(TODAY(), -40), TODAY()), 1, FALSE)), ""select Col2 where Col2 is not null limit 22 label Col2 ''"", 0)), """")"),"")</f>
        <v/>
      </c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8"/>
      <c r="AO416" s="28"/>
      <c r="AP416" s="29"/>
      <c r="AQ416" s="29" t="str">
        <f t="shared" ref="AQ416:BL416" si="419">T416/T$2</f>
        <v>#N/A</v>
      </c>
      <c r="AR416" s="29" t="str">
        <f t="shared" si="419"/>
        <v>#DIV/0!</v>
      </c>
      <c r="AS416" s="29" t="str">
        <f t="shared" si="419"/>
        <v>#DIV/0!</v>
      </c>
      <c r="AT416" s="29" t="str">
        <f t="shared" si="419"/>
        <v>#DIV/0!</v>
      </c>
      <c r="AU416" s="29" t="str">
        <f t="shared" si="419"/>
        <v>#DIV/0!</v>
      </c>
      <c r="AV416" s="29" t="str">
        <f t="shared" si="419"/>
        <v>#DIV/0!</v>
      </c>
      <c r="AW416" s="29" t="str">
        <f t="shared" si="419"/>
        <v>#DIV/0!</v>
      </c>
      <c r="AX416" s="29" t="str">
        <f t="shared" si="419"/>
        <v>#DIV/0!</v>
      </c>
      <c r="AY416" s="29" t="str">
        <f t="shared" si="419"/>
        <v>#DIV/0!</v>
      </c>
      <c r="AZ416" s="29" t="str">
        <f t="shared" si="419"/>
        <v>#DIV/0!</v>
      </c>
      <c r="BA416" s="29" t="str">
        <f t="shared" si="419"/>
        <v>#DIV/0!</v>
      </c>
      <c r="BB416" s="29" t="str">
        <f t="shared" si="419"/>
        <v>#DIV/0!</v>
      </c>
      <c r="BC416" s="29" t="str">
        <f t="shared" si="419"/>
        <v>#DIV/0!</v>
      </c>
      <c r="BD416" s="29" t="str">
        <f t="shared" si="419"/>
        <v>#DIV/0!</v>
      </c>
      <c r="BE416" s="29" t="str">
        <f t="shared" si="419"/>
        <v>#DIV/0!</v>
      </c>
      <c r="BF416" s="29" t="str">
        <f t="shared" si="419"/>
        <v>#DIV/0!</v>
      </c>
      <c r="BG416" s="29" t="str">
        <f t="shared" si="419"/>
        <v>#DIV/0!</v>
      </c>
      <c r="BH416" s="29" t="str">
        <f t="shared" si="419"/>
        <v>#DIV/0!</v>
      </c>
      <c r="BI416" s="29" t="str">
        <f t="shared" si="419"/>
        <v>#DIV/0!</v>
      </c>
      <c r="BJ416" s="29" t="str">
        <f t="shared" si="419"/>
        <v>#DIV/0!</v>
      </c>
      <c r="BK416" s="29" t="str">
        <f t="shared" si="419"/>
        <v>#DIV/0!</v>
      </c>
      <c r="BL416" s="29" t="str">
        <f t="shared" si="419"/>
        <v>#DIV/0!</v>
      </c>
      <c r="BM416" s="29" t="str">
        <f t="shared" si="3"/>
        <v>#DIV/0!</v>
      </c>
    </row>
    <row r="417">
      <c r="A417" s="16" t="str">
        <f>IFERROR(__xludf.DUMMYFUNCTION("IFERROR(SPARKLINE(SORT(MAP(TRANSPOSE(AQ417:BL417), LAMBDA(val, IF(ISNUMBER(val), PERCENTRANK(AQ417:BL417, val)+0.01, 0))), SEQUENCE(COLUMNS(AQ417:BL417)), FALSE), {""charttype"",""column""; ""color"",""chartreuse""; ""ymin"", 0; ""ymax"", 1.01; ""highcolo"&amp;"r"", ""darkgreen""; ""lowcolor"", ""red""}), """")"),"")</f>
        <v/>
      </c>
      <c r="B417" s="17" t="str">
        <f t="shared" si="4"/>
        <v/>
      </c>
      <c r="C417" s="1" t="s">
        <v>1924</v>
      </c>
      <c r="D417" s="34" t="str">
        <f>IFERROR(__xludf.DUMMYFUNCTION("IFERROR(GOOGLEFINANCE(C417, ""NAME""))"),"TFS Financial Corp")</f>
        <v>TFS Financial Corp</v>
      </c>
      <c r="E417" s="30" t="s">
        <v>268</v>
      </c>
      <c r="F417" s="33" t="str">
        <f>IFERROR(__xludf.DUMMYFUNCTION("( (GOOGLEFINANCE(C417, ""price"") - Q417) / Q417 ) / (R417 / 100)"),"Loading...")</f>
        <v>Loading...</v>
      </c>
      <c r="G417" s="20" t="str">
        <f>IFERROR(__xludf.DUMMYFUNCTION("AVERAGE(ARRAYFORMULA(100 * (QUERY(GOOGLEFINANCE(C417, ""high"", TODAY()-40, TODAY()), ""SELECT Col2 WHERE Col2 IS NOT NULL ORDER BY Col1 DESC LIMIT 20"", 0) / QUERY(GOOGLEFINANCE(C417, ""low"", TODAY()-40, TODAY()), ""SELECT Col2 WHERE Col2 IS NOT NULL OR"&amp;"DER BY Col1 DESC LIMIT 20"", 0) - 1)))"),"#N/A")</f>
        <v>#N/A</v>
      </c>
      <c r="H417" s="35" t="str">
        <f t="shared" si="6"/>
        <v/>
      </c>
      <c r="I417" s="36" t="str">
        <f t="shared" si="7"/>
        <v/>
      </c>
      <c r="J417" s="37" t="str">
        <f>IFERROR(__xludf.DUMMYFUNCTION("IFERROR(
  IF(C417="""",, 
    IFERROR(
      GOOGLEFINANCE(C417, ""price"") * GOOGLEFINANCE(C417, ""volumeavg""), 
      GOOGLEFINANCE(C417, ""price"") * AVERAGE(QUERY(GOOGLEFINANCE(C417, ""volume"", TODAY()-40, TODAY()), ""SELECT Col2 WHERE Col2 IS NOT "&amp;"NULL ORDER BY Col1 DESC LIMIT 20"", 0))
    )
  ), 
"""")"),"")</f>
        <v/>
      </c>
      <c r="K417" s="21" t="str">
        <f>IFERROR(__xludf.DUMMYFUNCTION("IFERROR(GOOGLEFINANCE(C417, ""changepct"") / 100, """")"),"")</f>
        <v/>
      </c>
      <c r="L417" s="21" t="str">
        <f>IFERROR(__xludf.DUMMYFUNCTION("IFERROR((GOOGLEFINANCE(C417, ""price"") / INDEX(GOOGLEFINANCE(C417, ""price"", TODAY()-7, TODAY()), 2, 2)) - 1, """")"),"")</f>
        <v/>
      </c>
      <c r="M417" s="21" t="str">
        <f>IFERROR(__xludf.DUMMYFUNCTION("IFERROR((GOOGLEFINANCE(C417, ""price"") / INDEX(GOOGLEFINANCE(C417, ""price"", EDATE(TODAY(), -1), TODAY()), 2, 2)) - 1, """")"),"")</f>
        <v/>
      </c>
      <c r="N417" s="21" t="str">
        <f>IFERROR(__xludf.DUMMYFUNCTION("IFERROR((GOOGLEFINANCE(C417, ""price"") / INDEX(GOOGLEFINANCE(C417, ""price"", EDATE(TODAY(), -3), TODAY()), 2, 2)) - 1, """")"),"")</f>
        <v/>
      </c>
      <c r="O417" s="21" t="str">
        <f>IFERROR(__xludf.DUMMYFUNCTION("IFERROR((GOOGLEFINANCE(C417, ""price"") / INDEX(GOOGLEFINANCE(C417, ""price"", EDATE(TODAY(), -6), TODAY()), 2, 2)) - 1, """")"),"")</f>
        <v/>
      </c>
      <c r="P417" s="21" t="str">
        <f>IFERROR(__xludf.DUMMYFUNCTION("IFERROR((GOOGLEFINANCE(C417, ""price"") / INDEX(GOOGLEFINANCE(C417, ""price"", EDATE(TODAY(), -12), TODAY()), 2, 2)) - 1, """")"),"")</f>
        <v/>
      </c>
      <c r="Q417" s="6" t="str">
        <f>IFERROR(__xludf.DUMMYFUNCTION("AVERAGE(QUERY(GOOGLEFINANCE(C417, ""price"", TODAY()-80, TODAY()), ""SELECT Col2 WHERE Col2 IS NOT NULL ORDER BY Col1 DESC LIMIT 50"", 0))"),"#N/A")</f>
        <v>#N/A</v>
      </c>
      <c r="R417" s="24" t="str">
        <f>IFERROR(__xludf.DUMMYFUNCTION("IFERROR(
  LET(
    data, QUERY(GOOGLEFINANCE(C417,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GOOGLEFINANCE(C417, ""price"")) * 100,
    IF(calc=0, G417, calc)
  ), 
G417)"),"#N/A")</f>
        <v>#N/A</v>
      </c>
      <c r="S417" s="8" t="s">
        <v>15</v>
      </c>
      <c r="T417" s="26" t="str">
        <f>IFERROR(__xludf.DUMMYFUNCTION("IFERROR(TRANSPOSE(QUERY(IFERROR(SORT(GOOGLEFINANCE(C417, ""price"", WORKDAY(TODAY(), -40), TODAY()), 1, FALSE)), ""select Col2 where Col2 is not null limit 22 label Col2 ''"", 0)), """")"),"")</f>
        <v/>
      </c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8"/>
      <c r="AO417" s="28"/>
      <c r="AP417" s="29"/>
      <c r="AQ417" s="29" t="str">
        <f t="shared" ref="AQ417:BL417" si="420">T417/T$2</f>
        <v>#N/A</v>
      </c>
      <c r="AR417" s="29" t="str">
        <f t="shared" si="420"/>
        <v>#DIV/0!</v>
      </c>
      <c r="AS417" s="29" t="str">
        <f t="shared" si="420"/>
        <v>#DIV/0!</v>
      </c>
      <c r="AT417" s="29" t="str">
        <f t="shared" si="420"/>
        <v>#DIV/0!</v>
      </c>
      <c r="AU417" s="29" t="str">
        <f t="shared" si="420"/>
        <v>#DIV/0!</v>
      </c>
      <c r="AV417" s="29" t="str">
        <f t="shared" si="420"/>
        <v>#DIV/0!</v>
      </c>
      <c r="AW417" s="29" t="str">
        <f t="shared" si="420"/>
        <v>#DIV/0!</v>
      </c>
      <c r="AX417" s="29" t="str">
        <f t="shared" si="420"/>
        <v>#DIV/0!</v>
      </c>
      <c r="AY417" s="29" t="str">
        <f t="shared" si="420"/>
        <v>#DIV/0!</v>
      </c>
      <c r="AZ417" s="29" t="str">
        <f t="shared" si="420"/>
        <v>#DIV/0!</v>
      </c>
      <c r="BA417" s="29" t="str">
        <f t="shared" si="420"/>
        <v>#DIV/0!</v>
      </c>
      <c r="BB417" s="29" t="str">
        <f t="shared" si="420"/>
        <v>#DIV/0!</v>
      </c>
      <c r="BC417" s="29" t="str">
        <f t="shared" si="420"/>
        <v>#DIV/0!</v>
      </c>
      <c r="BD417" s="29" t="str">
        <f t="shared" si="420"/>
        <v>#DIV/0!</v>
      </c>
      <c r="BE417" s="29" t="str">
        <f t="shared" si="420"/>
        <v>#DIV/0!</v>
      </c>
      <c r="BF417" s="29" t="str">
        <f t="shared" si="420"/>
        <v>#DIV/0!</v>
      </c>
      <c r="BG417" s="29" t="str">
        <f t="shared" si="420"/>
        <v>#DIV/0!</v>
      </c>
      <c r="BH417" s="29" t="str">
        <f t="shared" si="420"/>
        <v>#DIV/0!</v>
      </c>
      <c r="BI417" s="29" t="str">
        <f t="shared" si="420"/>
        <v>#DIV/0!</v>
      </c>
      <c r="BJ417" s="29" t="str">
        <f t="shared" si="420"/>
        <v>#DIV/0!</v>
      </c>
      <c r="BK417" s="29" t="str">
        <f t="shared" si="420"/>
        <v>#DIV/0!</v>
      </c>
      <c r="BL417" s="29" t="str">
        <f t="shared" si="420"/>
        <v>#DIV/0!</v>
      </c>
      <c r="BM417" s="29" t="str">
        <f t="shared" si="3"/>
        <v>#DIV/0!</v>
      </c>
    </row>
    <row r="418">
      <c r="A418" s="16" t="str">
        <f>IFERROR(__xludf.DUMMYFUNCTION("IFERROR(SPARKLINE(SORT(MAP(TRANSPOSE(AQ418:BL418), LAMBDA(val, IF(ISNUMBER(val), PERCENTRANK(AQ418:BL418, val)+0.01, 0))), SEQUENCE(COLUMNS(AQ418:BL418)), FALSE), {""charttype"",""column""; ""color"",""chartreuse""; ""ymin"", 0; ""ymax"", 1.01; ""highcolo"&amp;"r"", ""darkgreen""; ""lowcolor"", ""red""}), """")"),"")</f>
        <v/>
      </c>
      <c r="B418" s="17" t="str">
        <f t="shared" si="4"/>
        <v/>
      </c>
      <c r="C418" s="1" t="s">
        <v>1928</v>
      </c>
      <c r="D418" s="34" t="str">
        <f>IFERROR(__xludf.DUMMYFUNCTION("IFERROR(GOOGLEFINANCE(C418, ""NAME""))"),"Blue Ridge Bankshares Inc")</f>
        <v>Blue Ridge Bankshares Inc</v>
      </c>
      <c r="E418" s="30" t="s">
        <v>268</v>
      </c>
      <c r="F418" s="33" t="str">
        <f>IFERROR(__xludf.DUMMYFUNCTION("( (GOOGLEFINANCE(C418, ""price"") - Q418) / Q418 ) / (R418 / 100)"),"Loading...")</f>
        <v>Loading...</v>
      </c>
      <c r="G418" s="20" t="str">
        <f>IFERROR(__xludf.DUMMYFUNCTION("AVERAGE(ARRAYFORMULA(100 * (QUERY(GOOGLEFINANCE(C418, ""high"", TODAY()-40, TODAY()), ""SELECT Col2 WHERE Col2 IS NOT NULL ORDER BY Col1 DESC LIMIT 20"", 0) / QUERY(GOOGLEFINANCE(C418, ""low"", TODAY()-40, TODAY()), ""SELECT Col2 WHERE Col2 IS NOT NULL OR"&amp;"DER BY Col1 DESC LIMIT 20"", 0) - 1)))"),"#N/A")</f>
        <v>#N/A</v>
      </c>
      <c r="H418" s="35" t="str">
        <f t="shared" si="6"/>
        <v/>
      </c>
      <c r="I418" s="36" t="str">
        <f t="shared" si="7"/>
        <v/>
      </c>
      <c r="J418" s="37" t="str">
        <f>IFERROR(__xludf.DUMMYFUNCTION("IFERROR(
  IF(C418="""",, 
    IFERROR(
      GOOGLEFINANCE(C418, ""price"") * GOOGLEFINANCE(C418, ""volumeavg""), 
      GOOGLEFINANCE(C418, ""price"") * AVERAGE(QUERY(GOOGLEFINANCE(C418, ""volume"", TODAY()-40, TODAY()), ""SELECT Col2 WHERE Col2 IS NOT "&amp;"NULL ORDER BY Col1 DESC LIMIT 20"", 0))
    )
  ), 
"""")"),"")</f>
        <v/>
      </c>
      <c r="K418" s="21" t="str">
        <f>IFERROR(__xludf.DUMMYFUNCTION("IFERROR(GOOGLEFINANCE(C418, ""changepct"") / 100, """")"),"")</f>
        <v/>
      </c>
      <c r="L418" s="21" t="str">
        <f>IFERROR(__xludf.DUMMYFUNCTION("IFERROR((GOOGLEFINANCE(C418, ""price"") / INDEX(GOOGLEFINANCE(C418, ""price"", TODAY()-7, TODAY()), 2, 2)) - 1, """")"),"")</f>
        <v/>
      </c>
      <c r="M418" s="21" t="str">
        <f>IFERROR(__xludf.DUMMYFUNCTION("IFERROR((GOOGLEFINANCE(C418, ""price"") / INDEX(GOOGLEFINANCE(C418, ""price"", EDATE(TODAY(), -1), TODAY()), 2, 2)) - 1, """")"),"")</f>
        <v/>
      </c>
      <c r="N418" s="21" t="str">
        <f>IFERROR(__xludf.DUMMYFUNCTION("IFERROR((GOOGLEFINANCE(C418, ""price"") / INDEX(GOOGLEFINANCE(C418, ""price"", EDATE(TODAY(), -3), TODAY()), 2, 2)) - 1, """")"),"")</f>
        <v/>
      </c>
      <c r="O418" s="21" t="str">
        <f>IFERROR(__xludf.DUMMYFUNCTION("IFERROR((GOOGLEFINANCE(C418, ""price"") / INDEX(GOOGLEFINANCE(C418, ""price"", EDATE(TODAY(), -6), TODAY()), 2, 2)) - 1, """")"),"")</f>
        <v/>
      </c>
      <c r="P418" s="21" t="str">
        <f>IFERROR(__xludf.DUMMYFUNCTION("IFERROR((GOOGLEFINANCE(C418, ""price"") / INDEX(GOOGLEFINANCE(C418, ""price"", EDATE(TODAY(), -12), TODAY()), 2, 2)) - 1, """")"),"")</f>
        <v/>
      </c>
      <c r="Q418" s="6" t="str">
        <f>IFERROR(__xludf.DUMMYFUNCTION("AVERAGE(QUERY(GOOGLEFINANCE(C418, ""price"", TODAY()-80, TODAY()), ""SELECT Col2 WHERE Col2 IS NOT NULL ORDER BY Col1 DESC LIMIT 50"", 0))"),"#N/A")</f>
        <v>#N/A</v>
      </c>
      <c r="R418" s="24" t="str">
        <f>IFERROR(__xludf.DUMMYFUNCTION("IFERROR(
  LET(
    data, QUERY(GOOGLEFINANCE(C418,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GOOGLEFINANCE(C418, ""price"")) * 100,
    IF(calc=0, G418, calc)
  ), 
G418)"),"#N/A")</f>
        <v>#N/A</v>
      </c>
      <c r="S418" s="8" t="s">
        <v>15</v>
      </c>
      <c r="T418" s="26" t="str">
        <f>IFERROR(__xludf.DUMMYFUNCTION("IFERROR(TRANSPOSE(QUERY(IFERROR(SORT(GOOGLEFINANCE(C418, ""price"", WORKDAY(TODAY(), -40), TODAY()), 1, FALSE)), ""select Col2 where Col2 is not null limit 22 label Col2 ''"", 0)), """")"),"")</f>
        <v/>
      </c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8"/>
      <c r="AO418" s="28"/>
      <c r="AP418" s="29"/>
      <c r="AQ418" s="29" t="str">
        <f t="shared" ref="AQ418:BL418" si="421">T418/T$2</f>
        <v>#N/A</v>
      </c>
      <c r="AR418" s="29" t="str">
        <f t="shared" si="421"/>
        <v>#DIV/0!</v>
      </c>
      <c r="AS418" s="29" t="str">
        <f t="shared" si="421"/>
        <v>#DIV/0!</v>
      </c>
      <c r="AT418" s="29" t="str">
        <f t="shared" si="421"/>
        <v>#DIV/0!</v>
      </c>
      <c r="AU418" s="29" t="str">
        <f t="shared" si="421"/>
        <v>#DIV/0!</v>
      </c>
      <c r="AV418" s="29" t="str">
        <f t="shared" si="421"/>
        <v>#DIV/0!</v>
      </c>
      <c r="AW418" s="29" t="str">
        <f t="shared" si="421"/>
        <v>#DIV/0!</v>
      </c>
      <c r="AX418" s="29" t="str">
        <f t="shared" si="421"/>
        <v>#DIV/0!</v>
      </c>
      <c r="AY418" s="29" t="str">
        <f t="shared" si="421"/>
        <v>#DIV/0!</v>
      </c>
      <c r="AZ418" s="29" t="str">
        <f t="shared" si="421"/>
        <v>#DIV/0!</v>
      </c>
      <c r="BA418" s="29" t="str">
        <f t="shared" si="421"/>
        <v>#DIV/0!</v>
      </c>
      <c r="BB418" s="29" t="str">
        <f t="shared" si="421"/>
        <v>#DIV/0!</v>
      </c>
      <c r="BC418" s="29" t="str">
        <f t="shared" si="421"/>
        <v>#DIV/0!</v>
      </c>
      <c r="BD418" s="29" t="str">
        <f t="shared" si="421"/>
        <v>#DIV/0!</v>
      </c>
      <c r="BE418" s="29" t="str">
        <f t="shared" si="421"/>
        <v>#DIV/0!</v>
      </c>
      <c r="BF418" s="29" t="str">
        <f t="shared" si="421"/>
        <v>#DIV/0!</v>
      </c>
      <c r="BG418" s="29" t="str">
        <f t="shared" si="421"/>
        <v>#DIV/0!</v>
      </c>
      <c r="BH418" s="29" t="str">
        <f t="shared" si="421"/>
        <v>#DIV/0!</v>
      </c>
      <c r="BI418" s="29" t="str">
        <f t="shared" si="421"/>
        <v>#DIV/0!</v>
      </c>
      <c r="BJ418" s="29" t="str">
        <f t="shared" si="421"/>
        <v>#DIV/0!</v>
      </c>
      <c r="BK418" s="29" t="str">
        <f t="shared" si="421"/>
        <v>#DIV/0!</v>
      </c>
      <c r="BL418" s="29" t="str">
        <f t="shared" si="421"/>
        <v>#DIV/0!</v>
      </c>
      <c r="BM418" s="29" t="str">
        <f t="shared" si="3"/>
        <v>#DIV/0!</v>
      </c>
    </row>
    <row r="419">
      <c r="A419" s="16" t="str">
        <f>IFERROR(__xludf.DUMMYFUNCTION("IFERROR(SPARKLINE(SORT(MAP(TRANSPOSE(AQ419:BL419), LAMBDA(val, IF(ISNUMBER(val), PERCENTRANK(AQ419:BL419, val)+0.01, 0))), SEQUENCE(COLUMNS(AQ419:BL419)), FALSE), {""charttype"",""column""; ""color"",""chartreuse""; ""ymin"", 0; ""ymax"", 1.01; ""highcolo"&amp;"r"", ""darkgreen""; ""lowcolor"", ""red""}), """")"),"")</f>
        <v/>
      </c>
      <c r="B419" s="17" t="str">
        <f t="shared" si="4"/>
        <v/>
      </c>
      <c r="C419" s="1" t="s">
        <v>1932</v>
      </c>
      <c r="D419" s="34" t="str">
        <f>IFERROR(__xludf.DUMMYFUNCTION("IFERROR(GOOGLEFINANCE(C419, ""NAME""))"),"Msci Inc")</f>
        <v>Msci Inc</v>
      </c>
      <c r="E419" s="30" t="s">
        <v>54</v>
      </c>
      <c r="F419" s="33" t="str">
        <f>IFERROR(__xludf.DUMMYFUNCTION("( (GOOGLEFINANCE(C419, ""price"") - Q419) / Q419 ) / (R419 / 100)"),"Loading...")</f>
        <v>Loading...</v>
      </c>
      <c r="G419" s="20" t="str">
        <f>IFERROR(__xludf.DUMMYFUNCTION("AVERAGE(ARRAYFORMULA(100 * (QUERY(GOOGLEFINANCE(C419, ""high"", TODAY()-40, TODAY()), ""SELECT Col2 WHERE Col2 IS NOT NULL ORDER BY Col1 DESC LIMIT 20"", 0) / QUERY(GOOGLEFINANCE(C419, ""low"", TODAY()-40, TODAY()), ""SELECT Col2 WHERE Col2 IS NOT NULL OR"&amp;"DER BY Col1 DESC LIMIT 20"", 0) - 1)))"),"#N/A")</f>
        <v>#N/A</v>
      </c>
      <c r="H419" s="35" t="str">
        <f t="shared" si="6"/>
        <v/>
      </c>
      <c r="I419" s="36" t="str">
        <f t="shared" si="7"/>
        <v/>
      </c>
      <c r="J419" s="37" t="str">
        <f>IFERROR(__xludf.DUMMYFUNCTION("IFERROR(
  IF(C419="""",, 
    IFERROR(
      GOOGLEFINANCE(C419, ""price"") * GOOGLEFINANCE(C419, ""volumeavg""), 
      GOOGLEFINANCE(C419, ""price"") * AVERAGE(QUERY(GOOGLEFINANCE(C419, ""volume"", TODAY()-40, TODAY()), ""SELECT Col2 WHERE Col2 IS NOT "&amp;"NULL ORDER BY Col1 DESC LIMIT 20"", 0))
    )
  ), 
"""")"),"")</f>
        <v/>
      </c>
      <c r="K419" s="21" t="str">
        <f>IFERROR(__xludf.DUMMYFUNCTION("IFERROR(GOOGLEFINANCE(C419, ""changepct"") / 100, """")"),"")</f>
        <v/>
      </c>
      <c r="L419" s="21" t="str">
        <f>IFERROR(__xludf.DUMMYFUNCTION("IFERROR((GOOGLEFINANCE(C419, ""price"") / INDEX(GOOGLEFINANCE(C419, ""price"", TODAY()-7, TODAY()), 2, 2)) - 1, """")"),"")</f>
        <v/>
      </c>
      <c r="M419" s="21" t="str">
        <f>IFERROR(__xludf.DUMMYFUNCTION("IFERROR((GOOGLEFINANCE(C419, ""price"") / INDEX(GOOGLEFINANCE(C419, ""price"", EDATE(TODAY(), -1), TODAY()), 2, 2)) - 1, """")"),"")</f>
        <v/>
      </c>
      <c r="N419" s="21" t="str">
        <f>IFERROR(__xludf.DUMMYFUNCTION("IFERROR((GOOGLEFINANCE(C419, ""price"") / INDEX(GOOGLEFINANCE(C419, ""price"", EDATE(TODAY(), -3), TODAY()), 2, 2)) - 1, """")"),"")</f>
        <v/>
      </c>
      <c r="O419" s="21" t="str">
        <f>IFERROR(__xludf.DUMMYFUNCTION("IFERROR((GOOGLEFINANCE(C419, ""price"") / INDEX(GOOGLEFINANCE(C419, ""price"", EDATE(TODAY(), -6), TODAY()), 2, 2)) - 1, """")"),"")</f>
        <v/>
      </c>
      <c r="P419" s="21" t="str">
        <f>IFERROR(__xludf.DUMMYFUNCTION("IFERROR((GOOGLEFINANCE(C419, ""price"") / INDEX(GOOGLEFINANCE(C419, ""price"", EDATE(TODAY(), -12), TODAY()), 2, 2)) - 1, """")"),"")</f>
        <v/>
      </c>
      <c r="Q419" s="6" t="str">
        <f>IFERROR(__xludf.DUMMYFUNCTION("AVERAGE(QUERY(GOOGLEFINANCE(C419, ""price"", TODAY()-80, TODAY()), ""SELECT Col2 WHERE Col2 IS NOT NULL ORDER BY Col1 DESC LIMIT 50"", 0))"),"#N/A")</f>
        <v>#N/A</v>
      </c>
      <c r="R419" s="24" t="str">
        <f>IFERROR(__xludf.DUMMYFUNCTION("IFERROR(
  LET(
    data, QUERY(GOOGLEFINANCE(C419,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GOOGLEFINANCE(C419, ""price"")) * 100,
    IF(calc=0, G419, calc)
  ), 
G419)"),"#N/A")</f>
        <v>#N/A</v>
      </c>
      <c r="S419" s="8" t="s">
        <v>15</v>
      </c>
      <c r="T419" s="26" t="str">
        <f>IFERROR(__xludf.DUMMYFUNCTION("IFERROR(TRANSPOSE(QUERY(IFERROR(SORT(GOOGLEFINANCE(C419, ""price"", WORKDAY(TODAY(), -40), TODAY()), 1, FALSE)), ""select Col2 where Col2 is not null limit 22 label Col2 ''"", 0)), """")"),"")</f>
        <v/>
      </c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8"/>
      <c r="AO419" s="28"/>
      <c r="AP419" s="29"/>
      <c r="AQ419" s="29" t="str">
        <f t="shared" ref="AQ419:BL419" si="422">T419/T$2</f>
        <v>#N/A</v>
      </c>
      <c r="AR419" s="29" t="str">
        <f t="shared" si="422"/>
        <v>#DIV/0!</v>
      </c>
      <c r="AS419" s="29" t="str">
        <f t="shared" si="422"/>
        <v>#DIV/0!</v>
      </c>
      <c r="AT419" s="29" t="str">
        <f t="shared" si="422"/>
        <v>#DIV/0!</v>
      </c>
      <c r="AU419" s="29" t="str">
        <f t="shared" si="422"/>
        <v>#DIV/0!</v>
      </c>
      <c r="AV419" s="29" t="str">
        <f t="shared" si="422"/>
        <v>#DIV/0!</v>
      </c>
      <c r="AW419" s="29" t="str">
        <f t="shared" si="422"/>
        <v>#DIV/0!</v>
      </c>
      <c r="AX419" s="29" t="str">
        <f t="shared" si="422"/>
        <v>#DIV/0!</v>
      </c>
      <c r="AY419" s="29" t="str">
        <f t="shared" si="422"/>
        <v>#DIV/0!</v>
      </c>
      <c r="AZ419" s="29" t="str">
        <f t="shared" si="422"/>
        <v>#DIV/0!</v>
      </c>
      <c r="BA419" s="29" t="str">
        <f t="shared" si="422"/>
        <v>#DIV/0!</v>
      </c>
      <c r="BB419" s="29" t="str">
        <f t="shared" si="422"/>
        <v>#DIV/0!</v>
      </c>
      <c r="BC419" s="29" t="str">
        <f t="shared" si="422"/>
        <v>#DIV/0!</v>
      </c>
      <c r="BD419" s="29" t="str">
        <f t="shared" si="422"/>
        <v>#DIV/0!</v>
      </c>
      <c r="BE419" s="29" t="str">
        <f t="shared" si="422"/>
        <v>#DIV/0!</v>
      </c>
      <c r="BF419" s="29" t="str">
        <f t="shared" si="422"/>
        <v>#DIV/0!</v>
      </c>
      <c r="BG419" s="29" t="str">
        <f t="shared" si="422"/>
        <v>#DIV/0!</v>
      </c>
      <c r="BH419" s="29" t="str">
        <f t="shared" si="422"/>
        <v>#DIV/0!</v>
      </c>
      <c r="BI419" s="29" t="str">
        <f t="shared" si="422"/>
        <v>#DIV/0!</v>
      </c>
      <c r="BJ419" s="29" t="str">
        <f t="shared" si="422"/>
        <v>#DIV/0!</v>
      </c>
      <c r="BK419" s="29" t="str">
        <f t="shared" si="422"/>
        <v>#DIV/0!</v>
      </c>
      <c r="BL419" s="29" t="str">
        <f t="shared" si="422"/>
        <v>#DIV/0!</v>
      </c>
      <c r="BM419" s="29" t="str">
        <f t="shared" si="3"/>
        <v>#DIV/0!</v>
      </c>
    </row>
    <row r="420">
      <c r="A420" s="16" t="str">
        <f>IFERROR(__xludf.DUMMYFUNCTION("IFERROR(SPARKLINE(SORT(MAP(TRANSPOSE(AQ420:BL420), LAMBDA(val, IF(ISNUMBER(val), PERCENTRANK(AQ420:BL420, val)+0.01, 0))), SEQUENCE(COLUMNS(AQ420:BL420)), FALSE), {""charttype"",""column""; ""color"",""chartreuse""; ""ymin"", 0; ""ymax"", 1.01; ""highcolo"&amp;"r"", ""darkgreen""; ""lowcolor"", ""red""}), """")"),"")</f>
        <v/>
      </c>
      <c r="B420" s="17" t="str">
        <f t="shared" si="4"/>
        <v/>
      </c>
      <c r="C420" s="1" t="s">
        <v>1936</v>
      </c>
      <c r="D420" s="34" t="str">
        <f>IFERROR(__xludf.DUMMYFUNCTION("IFERROR(GOOGLEFINANCE(C420, ""NAME""))"),"Crescent Capital BDC Inc")</f>
        <v>Crescent Capital BDC Inc</v>
      </c>
      <c r="E420" s="30" t="s">
        <v>64</v>
      </c>
      <c r="F420" s="33" t="str">
        <f>IFERROR(__xludf.DUMMYFUNCTION("( (GOOGLEFINANCE(C420, ""price"") - Q420) / Q420 ) / (R420 / 100)"),"Loading...")</f>
        <v>Loading...</v>
      </c>
      <c r="G420" s="20" t="str">
        <f>IFERROR(__xludf.DUMMYFUNCTION("AVERAGE(ARRAYFORMULA(100 * (QUERY(GOOGLEFINANCE(C420, ""high"", TODAY()-40, TODAY()), ""SELECT Col2 WHERE Col2 IS NOT NULL ORDER BY Col1 DESC LIMIT 20"", 0) / QUERY(GOOGLEFINANCE(C420, ""low"", TODAY()-40, TODAY()), ""SELECT Col2 WHERE Col2 IS NOT NULL OR"&amp;"DER BY Col1 DESC LIMIT 20"", 0) - 1)))"),"#N/A")</f>
        <v>#N/A</v>
      </c>
      <c r="H420" s="35" t="str">
        <f t="shared" si="6"/>
        <v/>
      </c>
      <c r="I420" s="36" t="str">
        <f t="shared" si="7"/>
        <v/>
      </c>
      <c r="J420" s="37" t="str">
        <f>IFERROR(__xludf.DUMMYFUNCTION("IFERROR(
  IF(C420="""",, 
    IFERROR(
      GOOGLEFINANCE(C420, ""price"") * GOOGLEFINANCE(C420, ""volumeavg""), 
      GOOGLEFINANCE(C420, ""price"") * AVERAGE(QUERY(GOOGLEFINANCE(C420, ""volume"", TODAY()-40, TODAY()), ""SELECT Col2 WHERE Col2 IS NOT "&amp;"NULL ORDER BY Col1 DESC LIMIT 20"", 0))
    )
  ), 
"""")"),"")</f>
        <v/>
      </c>
      <c r="K420" s="21" t="str">
        <f>IFERROR(__xludf.DUMMYFUNCTION("IFERROR(GOOGLEFINANCE(C420, ""changepct"") / 100, """")"),"")</f>
        <v/>
      </c>
      <c r="L420" s="21" t="str">
        <f>IFERROR(__xludf.DUMMYFUNCTION("IFERROR((GOOGLEFINANCE(C420, ""price"") / INDEX(GOOGLEFINANCE(C420, ""price"", TODAY()-7, TODAY()), 2, 2)) - 1, """")"),"")</f>
        <v/>
      </c>
      <c r="M420" s="21" t="str">
        <f>IFERROR(__xludf.DUMMYFUNCTION("IFERROR((GOOGLEFINANCE(C420, ""price"") / INDEX(GOOGLEFINANCE(C420, ""price"", EDATE(TODAY(), -1), TODAY()), 2, 2)) - 1, """")"),"")</f>
        <v/>
      </c>
      <c r="N420" s="21" t="str">
        <f>IFERROR(__xludf.DUMMYFUNCTION("IFERROR((GOOGLEFINANCE(C420, ""price"") / INDEX(GOOGLEFINANCE(C420, ""price"", EDATE(TODAY(), -3), TODAY()), 2, 2)) - 1, """")"),"")</f>
        <v/>
      </c>
      <c r="O420" s="21" t="str">
        <f>IFERROR(__xludf.DUMMYFUNCTION("IFERROR((GOOGLEFINANCE(C420, ""price"") / INDEX(GOOGLEFINANCE(C420, ""price"", EDATE(TODAY(), -6), TODAY()), 2, 2)) - 1, """")"),"")</f>
        <v/>
      </c>
      <c r="P420" s="21" t="str">
        <f>IFERROR(__xludf.DUMMYFUNCTION("IFERROR((GOOGLEFINANCE(C420, ""price"") / INDEX(GOOGLEFINANCE(C420, ""price"", EDATE(TODAY(), -12), TODAY()), 2, 2)) - 1, """")"),"")</f>
        <v/>
      </c>
      <c r="Q420" s="6" t="str">
        <f>IFERROR(__xludf.DUMMYFUNCTION("AVERAGE(QUERY(GOOGLEFINANCE(C420, ""price"", TODAY()-80, TODAY()), ""SELECT Col2 WHERE Col2 IS NOT NULL ORDER BY Col1 DESC LIMIT 50"", 0))"),"#N/A")</f>
        <v>#N/A</v>
      </c>
      <c r="R420" s="24" t="str">
        <f>IFERROR(__xludf.DUMMYFUNCTION("IFERROR(
  LET(
    data, QUERY(GOOGLEFINANCE(C420,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GOOGLEFINANCE(C420, ""price"")) * 100,
    IF(calc=0, G420, calc)
  ), 
G420)"),"#N/A")</f>
        <v>#N/A</v>
      </c>
      <c r="S420" s="8" t="s">
        <v>15</v>
      </c>
      <c r="T420" s="26" t="str">
        <f>IFERROR(__xludf.DUMMYFUNCTION("IFERROR(TRANSPOSE(QUERY(IFERROR(SORT(GOOGLEFINANCE(C420, ""price"", WORKDAY(TODAY(), -40), TODAY()), 1, FALSE)), ""select Col2 where Col2 is not null limit 22 label Col2 ''"", 0)), """")"),"")</f>
        <v/>
      </c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8"/>
      <c r="AO420" s="28"/>
      <c r="AP420" s="29"/>
      <c r="AQ420" s="29" t="str">
        <f t="shared" ref="AQ420:BL420" si="423">T420/T$2</f>
        <v>#N/A</v>
      </c>
      <c r="AR420" s="29" t="str">
        <f t="shared" si="423"/>
        <v>#DIV/0!</v>
      </c>
      <c r="AS420" s="29" t="str">
        <f t="shared" si="423"/>
        <v>#DIV/0!</v>
      </c>
      <c r="AT420" s="29" t="str">
        <f t="shared" si="423"/>
        <v>#DIV/0!</v>
      </c>
      <c r="AU420" s="29" t="str">
        <f t="shared" si="423"/>
        <v>#DIV/0!</v>
      </c>
      <c r="AV420" s="29" t="str">
        <f t="shared" si="423"/>
        <v>#DIV/0!</v>
      </c>
      <c r="AW420" s="29" t="str">
        <f t="shared" si="423"/>
        <v>#DIV/0!</v>
      </c>
      <c r="AX420" s="29" t="str">
        <f t="shared" si="423"/>
        <v>#DIV/0!</v>
      </c>
      <c r="AY420" s="29" t="str">
        <f t="shared" si="423"/>
        <v>#DIV/0!</v>
      </c>
      <c r="AZ420" s="29" t="str">
        <f t="shared" si="423"/>
        <v>#DIV/0!</v>
      </c>
      <c r="BA420" s="29" t="str">
        <f t="shared" si="423"/>
        <v>#DIV/0!</v>
      </c>
      <c r="BB420" s="29" t="str">
        <f t="shared" si="423"/>
        <v>#DIV/0!</v>
      </c>
      <c r="BC420" s="29" t="str">
        <f t="shared" si="423"/>
        <v>#DIV/0!</v>
      </c>
      <c r="BD420" s="29" t="str">
        <f t="shared" si="423"/>
        <v>#DIV/0!</v>
      </c>
      <c r="BE420" s="29" t="str">
        <f t="shared" si="423"/>
        <v>#DIV/0!</v>
      </c>
      <c r="BF420" s="29" t="str">
        <f t="shared" si="423"/>
        <v>#DIV/0!</v>
      </c>
      <c r="BG420" s="29" t="str">
        <f t="shared" si="423"/>
        <v>#DIV/0!</v>
      </c>
      <c r="BH420" s="29" t="str">
        <f t="shared" si="423"/>
        <v>#DIV/0!</v>
      </c>
      <c r="BI420" s="29" t="str">
        <f t="shared" si="423"/>
        <v>#DIV/0!</v>
      </c>
      <c r="BJ420" s="29" t="str">
        <f t="shared" si="423"/>
        <v>#DIV/0!</v>
      </c>
      <c r="BK420" s="29" t="str">
        <f t="shared" si="423"/>
        <v>#DIV/0!</v>
      </c>
      <c r="BL420" s="29" t="str">
        <f t="shared" si="423"/>
        <v>#DIV/0!</v>
      </c>
      <c r="BM420" s="29" t="str">
        <f t="shared" si="3"/>
        <v>#DIV/0!</v>
      </c>
    </row>
    <row r="421">
      <c r="A421" s="16" t="str">
        <f>IFERROR(__xludf.DUMMYFUNCTION("IFERROR(SPARKLINE(SORT(MAP(TRANSPOSE(AQ421:BL421), LAMBDA(val, IF(ISNUMBER(val), PERCENTRANK(AQ421:BL421, val)+0.01, 0))), SEQUENCE(COLUMNS(AQ421:BL421)), FALSE), {""charttype"",""column""; ""color"",""chartreuse""; ""ymin"", 0; ""ymax"", 1.01; ""highcolo"&amp;"r"", ""darkgreen""; ""lowcolor"", ""red""}), """")"),"")</f>
        <v/>
      </c>
      <c r="B421" s="17" t="str">
        <f t="shared" si="4"/>
        <v/>
      </c>
      <c r="C421" s="1" t="s">
        <v>1941</v>
      </c>
      <c r="D421" s="34" t="str">
        <f>IFERROR(__xludf.DUMMYFUNCTION("IFERROR(GOOGLEFINANCE(C421, ""NAME""))"),"Tompkins Financial Corp")</f>
        <v>Tompkins Financial Corp</v>
      </c>
      <c r="E421" s="30" t="s">
        <v>268</v>
      </c>
      <c r="F421" s="33" t="str">
        <f>IFERROR(__xludf.DUMMYFUNCTION("( (GOOGLEFINANCE(C421, ""price"") - Q421) / Q421 ) / (R421 / 100)"),"Loading...")</f>
        <v>Loading...</v>
      </c>
      <c r="G421" s="20" t="str">
        <f>IFERROR(__xludf.DUMMYFUNCTION("AVERAGE(ARRAYFORMULA(100 * (QUERY(GOOGLEFINANCE(C421, ""high"", TODAY()-40, TODAY()), ""SELECT Col2 WHERE Col2 IS NOT NULL ORDER BY Col1 DESC LIMIT 20"", 0) / QUERY(GOOGLEFINANCE(C421, ""low"", TODAY()-40, TODAY()), ""SELECT Col2 WHERE Col2 IS NOT NULL OR"&amp;"DER BY Col1 DESC LIMIT 20"", 0) - 1)))"),"#N/A")</f>
        <v>#N/A</v>
      </c>
      <c r="H421" s="35" t="str">
        <f t="shared" si="6"/>
        <v/>
      </c>
      <c r="I421" s="36" t="str">
        <f t="shared" si="7"/>
        <v/>
      </c>
      <c r="J421" s="37" t="str">
        <f>IFERROR(__xludf.DUMMYFUNCTION("IFERROR(
  IF(C421="""",, 
    IFERROR(
      GOOGLEFINANCE(C421, ""price"") * GOOGLEFINANCE(C421, ""volumeavg""), 
      GOOGLEFINANCE(C421, ""price"") * AVERAGE(QUERY(GOOGLEFINANCE(C421, ""volume"", TODAY()-40, TODAY()), ""SELECT Col2 WHERE Col2 IS NOT "&amp;"NULL ORDER BY Col1 DESC LIMIT 20"", 0))
    )
  ), 
"""")"),"")</f>
        <v/>
      </c>
      <c r="K421" s="21" t="str">
        <f>IFERROR(__xludf.DUMMYFUNCTION("IFERROR(GOOGLEFINANCE(C421, ""changepct"") / 100, """")"),"")</f>
        <v/>
      </c>
      <c r="L421" s="21" t="str">
        <f>IFERROR(__xludf.DUMMYFUNCTION("IFERROR((GOOGLEFINANCE(C421, ""price"") / INDEX(GOOGLEFINANCE(C421, ""price"", TODAY()-7, TODAY()), 2, 2)) - 1, """")"),"")</f>
        <v/>
      </c>
      <c r="M421" s="21" t="str">
        <f>IFERROR(__xludf.DUMMYFUNCTION("IFERROR((GOOGLEFINANCE(C421, ""price"") / INDEX(GOOGLEFINANCE(C421, ""price"", EDATE(TODAY(), -1), TODAY()), 2, 2)) - 1, """")"),"")</f>
        <v/>
      </c>
      <c r="N421" s="21" t="str">
        <f>IFERROR(__xludf.DUMMYFUNCTION("IFERROR((GOOGLEFINANCE(C421, ""price"") / INDEX(GOOGLEFINANCE(C421, ""price"", EDATE(TODAY(), -3), TODAY()), 2, 2)) - 1, """")"),"")</f>
        <v/>
      </c>
      <c r="O421" s="21" t="str">
        <f>IFERROR(__xludf.DUMMYFUNCTION("IFERROR((GOOGLEFINANCE(C421, ""price"") / INDEX(GOOGLEFINANCE(C421, ""price"", EDATE(TODAY(), -6), TODAY()), 2, 2)) - 1, """")"),"")</f>
        <v/>
      </c>
      <c r="P421" s="21" t="str">
        <f>IFERROR(__xludf.DUMMYFUNCTION("IFERROR((GOOGLEFINANCE(C421, ""price"") / INDEX(GOOGLEFINANCE(C421, ""price"", EDATE(TODAY(), -12), TODAY()), 2, 2)) - 1, """")"),"")</f>
        <v/>
      </c>
      <c r="Q421" s="6" t="str">
        <f>IFERROR(__xludf.DUMMYFUNCTION("AVERAGE(QUERY(GOOGLEFINANCE(C421, ""price"", TODAY()-80, TODAY()), ""SELECT Col2 WHERE Col2 IS NOT NULL ORDER BY Col1 DESC LIMIT 50"", 0))"),"#N/A")</f>
        <v>#N/A</v>
      </c>
      <c r="R421" s="24" t="str">
        <f>IFERROR(__xludf.DUMMYFUNCTION("IFERROR(
  LET(
    data, QUERY(GOOGLEFINANCE(C421,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GOOGLEFINANCE(C421, ""price"")) * 100,
    IF(calc=0, G421, calc)
  ), 
G421)"),"#N/A")</f>
        <v>#N/A</v>
      </c>
      <c r="S421" s="8" t="s">
        <v>15</v>
      </c>
      <c r="T421" s="26" t="str">
        <f>IFERROR(__xludf.DUMMYFUNCTION("IFERROR(TRANSPOSE(QUERY(IFERROR(SORT(GOOGLEFINANCE(C421, ""price"", WORKDAY(TODAY(), -40), TODAY()), 1, FALSE)), ""select Col2 where Col2 is not null limit 22 label Col2 ''"", 0)), """")"),"")</f>
        <v/>
      </c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8"/>
      <c r="AO421" s="28"/>
      <c r="AP421" s="29"/>
      <c r="AQ421" s="29" t="str">
        <f t="shared" ref="AQ421:BL421" si="424">T421/T$2</f>
        <v>#N/A</v>
      </c>
      <c r="AR421" s="29" t="str">
        <f t="shared" si="424"/>
        <v>#DIV/0!</v>
      </c>
      <c r="AS421" s="29" t="str">
        <f t="shared" si="424"/>
        <v>#DIV/0!</v>
      </c>
      <c r="AT421" s="29" t="str">
        <f t="shared" si="424"/>
        <v>#DIV/0!</v>
      </c>
      <c r="AU421" s="29" t="str">
        <f t="shared" si="424"/>
        <v>#DIV/0!</v>
      </c>
      <c r="AV421" s="29" t="str">
        <f t="shared" si="424"/>
        <v>#DIV/0!</v>
      </c>
      <c r="AW421" s="29" t="str">
        <f t="shared" si="424"/>
        <v>#DIV/0!</v>
      </c>
      <c r="AX421" s="29" t="str">
        <f t="shared" si="424"/>
        <v>#DIV/0!</v>
      </c>
      <c r="AY421" s="29" t="str">
        <f t="shared" si="424"/>
        <v>#DIV/0!</v>
      </c>
      <c r="AZ421" s="29" t="str">
        <f t="shared" si="424"/>
        <v>#DIV/0!</v>
      </c>
      <c r="BA421" s="29" t="str">
        <f t="shared" si="424"/>
        <v>#DIV/0!</v>
      </c>
      <c r="BB421" s="29" t="str">
        <f t="shared" si="424"/>
        <v>#DIV/0!</v>
      </c>
      <c r="BC421" s="29" t="str">
        <f t="shared" si="424"/>
        <v>#DIV/0!</v>
      </c>
      <c r="BD421" s="29" t="str">
        <f t="shared" si="424"/>
        <v>#DIV/0!</v>
      </c>
      <c r="BE421" s="29" t="str">
        <f t="shared" si="424"/>
        <v>#DIV/0!</v>
      </c>
      <c r="BF421" s="29" t="str">
        <f t="shared" si="424"/>
        <v>#DIV/0!</v>
      </c>
      <c r="BG421" s="29" t="str">
        <f t="shared" si="424"/>
        <v>#DIV/0!</v>
      </c>
      <c r="BH421" s="29" t="str">
        <f t="shared" si="424"/>
        <v>#DIV/0!</v>
      </c>
      <c r="BI421" s="29" t="str">
        <f t="shared" si="424"/>
        <v>#DIV/0!</v>
      </c>
      <c r="BJ421" s="29" t="str">
        <f t="shared" si="424"/>
        <v>#DIV/0!</v>
      </c>
      <c r="BK421" s="29" t="str">
        <f t="shared" si="424"/>
        <v>#DIV/0!</v>
      </c>
      <c r="BL421" s="29" t="str">
        <f t="shared" si="424"/>
        <v>#DIV/0!</v>
      </c>
      <c r="BM421" s="29" t="str">
        <f t="shared" si="3"/>
        <v>#DIV/0!</v>
      </c>
    </row>
    <row r="422">
      <c r="A422" s="16" t="str">
        <f>IFERROR(__xludf.DUMMYFUNCTION("IFERROR(SPARKLINE(SORT(MAP(TRANSPOSE(AQ422:BL422), LAMBDA(val, IF(ISNUMBER(val), PERCENTRANK(AQ422:BL422, val)+0.01, 0))), SEQUENCE(COLUMNS(AQ422:BL422)), FALSE), {""charttype"",""column""; ""color"",""chartreuse""; ""ymin"", 0; ""ymax"", 1.01; ""highcolo"&amp;"r"", ""darkgreen""; ""lowcolor"", ""red""}), """")"),"")</f>
        <v/>
      </c>
      <c r="B422" s="17" t="str">
        <f t="shared" si="4"/>
        <v/>
      </c>
      <c r="C422" s="1" t="s">
        <v>1945</v>
      </c>
      <c r="D422" s="34" t="str">
        <f>IFERROR(__xludf.DUMMYFUNCTION("IFERROR(GOOGLEFINANCE(C422, ""NAME""))"),"Kearny Financial Corp.")</f>
        <v>Kearny Financial Corp.</v>
      </c>
      <c r="E422" s="30" t="s">
        <v>268</v>
      </c>
      <c r="F422" s="33" t="str">
        <f>IFERROR(__xludf.DUMMYFUNCTION("( (GOOGLEFINANCE(C422, ""price"") - Q422) / Q422 ) / (R422 / 100)"),"Loading...")</f>
        <v>Loading...</v>
      </c>
      <c r="G422" s="20" t="str">
        <f>IFERROR(__xludf.DUMMYFUNCTION("AVERAGE(ARRAYFORMULA(100 * (QUERY(GOOGLEFINANCE(C422, ""high"", TODAY()-40, TODAY()), ""SELECT Col2 WHERE Col2 IS NOT NULL ORDER BY Col1 DESC LIMIT 20"", 0) / QUERY(GOOGLEFINANCE(C422, ""low"", TODAY()-40, TODAY()), ""SELECT Col2 WHERE Col2 IS NOT NULL OR"&amp;"DER BY Col1 DESC LIMIT 20"", 0) - 1)))"),"#N/A")</f>
        <v>#N/A</v>
      </c>
      <c r="H422" s="35" t="str">
        <f t="shared" si="6"/>
        <v/>
      </c>
      <c r="I422" s="36" t="str">
        <f t="shared" si="7"/>
        <v/>
      </c>
      <c r="J422" s="37" t="str">
        <f>IFERROR(__xludf.DUMMYFUNCTION("IFERROR(
  IF(C422="""",, 
    IFERROR(
      GOOGLEFINANCE(C422, ""price"") * GOOGLEFINANCE(C422, ""volumeavg""), 
      GOOGLEFINANCE(C422, ""price"") * AVERAGE(QUERY(GOOGLEFINANCE(C422, ""volume"", TODAY()-40, TODAY()), ""SELECT Col2 WHERE Col2 IS NOT "&amp;"NULL ORDER BY Col1 DESC LIMIT 20"", 0))
    )
  ), 
"""")"),"")</f>
        <v/>
      </c>
      <c r="K422" s="21" t="str">
        <f>IFERROR(__xludf.DUMMYFUNCTION("IFERROR(GOOGLEFINANCE(C422, ""changepct"") / 100, """")"),"")</f>
        <v/>
      </c>
      <c r="L422" s="21" t="str">
        <f>IFERROR(__xludf.DUMMYFUNCTION("IFERROR((GOOGLEFINANCE(C422, ""price"") / INDEX(GOOGLEFINANCE(C422, ""price"", TODAY()-7, TODAY()), 2, 2)) - 1, """")"),"")</f>
        <v/>
      </c>
      <c r="M422" s="21" t="str">
        <f>IFERROR(__xludf.DUMMYFUNCTION("IFERROR((GOOGLEFINANCE(C422, ""price"") / INDEX(GOOGLEFINANCE(C422, ""price"", EDATE(TODAY(), -1), TODAY()), 2, 2)) - 1, """")"),"")</f>
        <v/>
      </c>
      <c r="N422" s="21" t="str">
        <f>IFERROR(__xludf.DUMMYFUNCTION("IFERROR((GOOGLEFINANCE(C422, ""price"") / INDEX(GOOGLEFINANCE(C422, ""price"", EDATE(TODAY(), -3), TODAY()), 2, 2)) - 1, """")"),"")</f>
        <v/>
      </c>
      <c r="O422" s="21" t="str">
        <f>IFERROR(__xludf.DUMMYFUNCTION("IFERROR((GOOGLEFINANCE(C422, ""price"") / INDEX(GOOGLEFINANCE(C422, ""price"", EDATE(TODAY(), -6), TODAY()), 2, 2)) - 1, """")"),"")</f>
        <v/>
      </c>
      <c r="P422" s="21" t="str">
        <f>IFERROR(__xludf.DUMMYFUNCTION("IFERROR((GOOGLEFINANCE(C422, ""price"") / INDEX(GOOGLEFINANCE(C422, ""price"", EDATE(TODAY(), -12), TODAY()), 2, 2)) - 1, """")"),"")</f>
        <v/>
      </c>
      <c r="Q422" s="6" t="str">
        <f>IFERROR(__xludf.DUMMYFUNCTION("AVERAGE(QUERY(GOOGLEFINANCE(C422, ""price"", TODAY()-80, TODAY()), ""SELECT Col2 WHERE Col2 IS NOT NULL ORDER BY Col1 DESC LIMIT 50"", 0))"),"#N/A")</f>
        <v>#N/A</v>
      </c>
      <c r="R422" s="24" t="str">
        <f>IFERROR(__xludf.DUMMYFUNCTION("IFERROR(
  LET(
    data, QUERY(GOOGLEFINANCE(C422,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GOOGLEFINANCE(C422, ""price"")) * 100,
    IF(calc=0, G422, calc)
  ), 
G422)"),"#N/A")</f>
        <v>#N/A</v>
      </c>
      <c r="S422" s="8" t="s">
        <v>15</v>
      </c>
      <c r="T422" s="26" t="str">
        <f>IFERROR(__xludf.DUMMYFUNCTION("IFERROR(TRANSPOSE(QUERY(IFERROR(SORT(GOOGLEFINANCE(C422, ""price"", WORKDAY(TODAY(), -40), TODAY()), 1, FALSE)), ""select Col2 where Col2 is not null limit 22 label Col2 ''"", 0)), """")"),"")</f>
        <v/>
      </c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8"/>
      <c r="AO422" s="28"/>
      <c r="AP422" s="29"/>
      <c r="AQ422" s="29" t="str">
        <f t="shared" ref="AQ422:BL422" si="425">T422/T$2</f>
        <v>#N/A</v>
      </c>
      <c r="AR422" s="29" t="str">
        <f t="shared" si="425"/>
        <v>#DIV/0!</v>
      </c>
      <c r="AS422" s="29" t="str">
        <f t="shared" si="425"/>
        <v>#DIV/0!</v>
      </c>
      <c r="AT422" s="29" t="str">
        <f t="shared" si="425"/>
        <v>#DIV/0!</v>
      </c>
      <c r="AU422" s="29" t="str">
        <f t="shared" si="425"/>
        <v>#DIV/0!</v>
      </c>
      <c r="AV422" s="29" t="str">
        <f t="shared" si="425"/>
        <v>#DIV/0!</v>
      </c>
      <c r="AW422" s="29" t="str">
        <f t="shared" si="425"/>
        <v>#DIV/0!</v>
      </c>
      <c r="AX422" s="29" t="str">
        <f t="shared" si="425"/>
        <v>#DIV/0!</v>
      </c>
      <c r="AY422" s="29" t="str">
        <f t="shared" si="425"/>
        <v>#DIV/0!</v>
      </c>
      <c r="AZ422" s="29" t="str">
        <f t="shared" si="425"/>
        <v>#DIV/0!</v>
      </c>
      <c r="BA422" s="29" t="str">
        <f t="shared" si="425"/>
        <v>#DIV/0!</v>
      </c>
      <c r="BB422" s="29" t="str">
        <f t="shared" si="425"/>
        <v>#DIV/0!</v>
      </c>
      <c r="BC422" s="29" t="str">
        <f t="shared" si="425"/>
        <v>#DIV/0!</v>
      </c>
      <c r="BD422" s="29" t="str">
        <f t="shared" si="425"/>
        <v>#DIV/0!</v>
      </c>
      <c r="BE422" s="29" t="str">
        <f t="shared" si="425"/>
        <v>#DIV/0!</v>
      </c>
      <c r="BF422" s="29" t="str">
        <f t="shared" si="425"/>
        <v>#DIV/0!</v>
      </c>
      <c r="BG422" s="29" t="str">
        <f t="shared" si="425"/>
        <v>#DIV/0!</v>
      </c>
      <c r="BH422" s="29" t="str">
        <f t="shared" si="425"/>
        <v>#DIV/0!</v>
      </c>
      <c r="BI422" s="29" t="str">
        <f t="shared" si="425"/>
        <v>#DIV/0!</v>
      </c>
      <c r="BJ422" s="29" t="str">
        <f t="shared" si="425"/>
        <v>#DIV/0!</v>
      </c>
      <c r="BK422" s="29" t="str">
        <f t="shared" si="425"/>
        <v>#DIV/0!</v>
      </c>
      <c r="BL422" s="29" t="str">
        <f t="shared" si="425"/>
        <v>#DIV/0!</v>
      </c>
      <c r="BM422" s="29" t="str">
        <f t="shared" si="3"/>
        <v>#DIV/0!</v>
      </c>
    </row>
    <row r="423">
      <c r="A423" s="16" t="str">
        <f>IFERROR(__xludf.DUMMYFUNCTION("IFERROR(SPARKLINE(SORT(MAP(TRANSPOSE(AQ423:BL423), LAMBDA(val, IF(ISNUMBER(val), PERCENTRANK(AQ423:BL423, val)+0.01, 0))), SEQUENCE(COLUMNS(AQ423:BL423)), FALSE), {""charttype"",""column""; ""color"",""chartreuse""; ""ymin"", 0; ""ymax"", 1.01; ""highcolo"&amp;"r"", ""darkgreen""; ""lowcolor"", ""red""}), """")"),"")</f>
        <v/>
      </c>
      <c r="B423" s="17" t="str">
        <f t="shared" si="4"/>
        <v/>
      </c>
      <c r="C423" s="1" t="s">
        <v>1949</v>
      </c>
      <c r="D423" s="34" t="str">
        <f>IFERROR(__xludf.DUMMYFUNCTION("IFERROR(GOOGLEFINANCE(C423, ""NAME""))"),"Global Indemnity Group LLC")</f>
        <v>Global Indemnity Group LLC</v>
      </c>
      <c r="E423" s="30" t="s">
        <v>82</v>
      </c>
      <c r="F423" s="33" t="str">
        <f>IFERROR(__xludf.DUMMYFUNCTION("( (GOOGLEFINANCE(C423, ""price"") - Q423) / Q423 ) / (R423 / 100)"),"Loading...")</f>
        <v>Loading...</v>
      </c>
      <c r="G423" s="20" t="str">
        <f>IFERROR(__xludf.DUMMYFUNCTION("AVERAGE(ARRAYFORMULA(100 * (QUERY(GOOGLEFINANCE(C423, ""high"", TODAY()-40, TODAY()), ""SELECT Col2 WHERE Col2 IS NOT NULL ORDER BY Col1 DESC LIMIT 20"", 0) / QUERY(GOOGLEFINANCE(C423, ""low"", TODAY()-40, TODAY()), ""SELECT Col2 WHERE Col2 IS NOT NULL OR"&amp;"DER BY Col1 DESC LIMIT 20"", 0) - 1)))"),"#N/A")</f>
        <v>#N/A</v>
      </c>
      <c r="H423" s="35" t="str">
        <f t="shared" si="6"/>
        <v/>
      </c>
      <c r="I423" s="36" t="str">
        <f t="shared" si="7"/>
        <v/>
      </c>
      <c r="J423" s="37" t="str">
        <f>IFERROR(__xludf.DUMMYFUNCTION("IFERROR(
  IF(C423="""",, 
    IFERROR(
      GOOGLEFINANCE(C423, ""price"") * GOOGLEFINANCE(C423, ""volumeavg""), 
      GOOGLEFINANCE(C423, ""price"") * AVERAGE(QUERY(GOOGLEFINANCE(C423, ""volume"", TODAY()-40, TODAY()), ""SELECT Col2 WHERE Col2 IS NOT "&amp;"NULL ORDER BY Col1 DESC LIMIT 20"", 0))
    )
  ), 
"""")"),"")</f>
        <v/>
      </c>
      <c r="K423" s="21" t="str">
        <f>IFERROR(__xludf.DUMMYFUNCTION("IFERROR(GOOGLEFINANCE(C423, ""changepct"") / 100, """")"),"")</f>
        <v/>
      </c>
      <c r="L423" s="21" t="str">
        <f>IFERROR(__xludf.DUMMYFUNCTION("IFERROR((GOOGLEFINANCE(C423, ""price"") / INDEX(GOOGLEFINANCE(C423, ""price"", TODAY()-7, TODAY()), 2, 2)) - 1, """")"),"")</f>
        <v/>
      </c>
      <c r="M423" s="21" t="str">
        <f>IFERROR(__xludf.DUMMYFUNCTION("IFERROR((GOOGLEFINANCE(C423, ""price"") / INDEX(GOOGLEFINANCE(C423, ""price"", EDATE(TODAY(), -1), TODAY()), 2, 2)) - 1, """")"),"")</f>
        <v/>
      </c>
      <c r="N423" s="21" t="str">
        <f>IFERROR(__xludf.DUMMYFUNCTION("IFERROR((GOOGLEFINANCE(C423, ""price"") / INDEX(GOOGLEFINANCE(C423, ""price"", EDATE(TODAY(), -3), TODAY()), 2, 2)) - 1, """")"),"")</f>
        <v/>
      </c>
      <c r="O423" s="21" t="str">
        <f>IFERROR(__xludf.DUMMYFUNCTION("IFERROR((GOOGLEFINANCE(C423, ""price"") / INDEX(GOOGLEFINANCE(C423, ""price"", EDATE(TODAY(), -6), TODAY()), 2, 2)) - 1, """")"),"")</f>
        <v/>
      </c>
      <c r="P423" s="21" t="str">
        <f>IFERROR(__xludf.DUMMYFUNCTION("IFERROR((GOOGLEFINANCE(C423, ""price"") / INDEX(GOOGLEFINANCE(C423, ""price"", EDATE(TODAY(), -12), TODAY()), 2, 2)) - 1, """")"),"")</f>
        <v/>
      </c>
      <c r="Q423" s="6" t="str">
        <f>IFERROR(__xludf.DUMMYFUNCTION("AVERAGE(QUERY(GOOGLEFINANCE(C423, ""price"", TODAY()-80, TODAY()), ""SELECT Col2 WHERE Col2 IS NOT NULL ORDER BY Col1 DESC LIMIT 50"", 0))"),"#N/A")</f>
        <v>#N/A</v>
      </c>
      <c r="R423" s="24" t="str">
        <f>IFERROR(__xludf.DUMMYFUNCTION("IFERROR(
  LET(
    data, QUERY(GOOGLEFINANCE(C423,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GOOGLEFINANCE(C423, ""price"")) * 100,
    IF(calc=0, G423, calc)
  ), 
G423)"),"#N/A")</f>
        <v>#N/A</v>
      </c>
      <c r="S423" s="8" t="s">
        <v>15</v>
      </c>
      <c r="T423" s="26" t="str">
        <f>IFERROR(__xludf.DUMMYFUNCTION("IFERROR(TRANSPOSE(QUERY(IFERROR(SORT(GOOGLEFINANCE(C423, ""price"", WORKDAY(TODAY(), -40), TODAY()), 1, FALSE)), ""select Col2 where Col2 is not null limit 22 label Col2 ''"", 0)), """")"),"")</f>
        <v/>
      </c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8"/>
      <c r="AO423" s="28"/>
      <c r="AP423" s="29"/>
      <c r="AQ423" s="29" t="str">
        <f t="shared" ref="AQ423:BL423" si="426">T423/T$2</f>
        <v>#N/A</v>
      </c>
      <c r="AR423" s="29" t="str">
        <f t="shared" si="426"/>
        <v>#DIV/0!</v>
      </c>
      <c r="AS423" s="29" t="str">
        <f t="shared" si="426"/>
        <v>#DIV/0!</v>
      </c>
      <c r="AT423" s="29" t="str">
        <f t="shared" si="426"/>
        <v>#DIV/0!</v>
      </c>
      <c r="AU423" s="29" t="str">
        <f t="shared" si="426"/>
        <v>#DIV/0!</v>
      </c>
      <c r="AV423" s="29" t="str">
        <f t="shared" si="426"/>
        <v>#DIV/0!</v>
      </c>
      <c r="AW423" s="29" t="str">
        <f t="shared" si="426"/>
        <v>#DIV/0!</v>
      </c>
      <c r="AX423" s="29" t="str">
        <f t="shared" si="426"/>
        <v>#DIV/0!</v>
      </c>
      <c r="AY423" s="29" t="str">
        <f t="shared" si="426"/>
        <v>#DIV/0!</v>
      </c>
      <c r="AZ423" s="29" t="str">
        <f t="shared" si="426"/>
        <v>#DIV/0!</v>
      </c>
      <c r="BA423" s="29" t="str">
        <f t="shared" si="426"/>
        <v>#DIV/0!</v>
      </c>
      <c r="BB423" s="29" t="str">
        <f t="shared" si="426"/>
        <v>#DIV/0!</v>
      </c>
      <c r="BC423" s="29" t="str">
        <f t="shared" si="426"/>
        <v>#DIV/0!</v>
      </c>
      <c r="BD423" s="29" t="str">
        <f t="shared" si="426"/>
        <v>#DIV/0!</v>
      </c>
      <c r="BE423" s="29" t="str">
        <f t="shared" si="426"/>
        <v>#DIV/0!</v>
      </c>
      <c r="BF423" s="29" t="str">
        <f t="shared" si="426"/>
        <v>#DIV/0!</v>
      </c>
      <c r="BG423" s="29" t="str">
        <f t="shared" si="426"/>
        <v>#DIV/0!</v>
      </c>
      <c r="BH423" s="29" t="str">
        <f t="shared" si="426"/>
        <v>#DIV/0!</v>
      </c>
      <c r="BI423" s="29" t="str">
        <f t="shared" si="426"/>
        <v>#DIV/0!</v>
      </c>
      <c r="BJ423" s="29" t="str">
        <f t="shared" si="426"/>
        <v>#DIV/0!</v>
      </c>
      <c r="BK423" s="29" t="str">
        <f t="shared" si="426"/>
        <v>#DIV/0!</v>
      </c>
      <c r="BL423" s="29" t="str">
        <f t="shared" si="426"/>
        <v>#DIV/0!</v>
      </c>
      <c r="BM423" s="29" t="str">
        <f t="shared" si="3"/>
        <v>#DIV/0!</v>
      </c>
    </row>
    <row r="424">
      <c r="A424" s="16" t="str">
        <f>IFERROR(__xludf.DUMMYFUNCTION("IFERROR(SPARKLINE(SORT(MAP(TRANSPOSE(AQ424:BL424), LAMBDA(val, IF(ISNUMBER(val), PERCENTRANK(AQ424:BL424, val)+0.01, 0))), SEQUENCE(COLUMNS(AQ424:BL424)), FALSE), {""charttype"",""column""; ""color"",""chartreuse""; ""ymin"", 0; ""ymax"", 1.01; ""highcolo"&amp;"r"", ""darkgreen""; ""lowcolor"", ""red""}), """")"),"")</f>
        <v/>
      </c>
      <c r="B424" s="17" t="str">
        <f t="shared" si="4"/>
        <v/>
      </c>
      <c r="C424" s="1" t="s">
        <v>1953</v>
      </c>
      <c r="D424" s="34" t="str">
        <f>IFERROR(__xludf.DUMMYFUNCTION("IFERROR(GOOGLEFINANCE(C424, ""NAME""))"),"White Mountains Insurance Group Ltd")</f>
        <v>White Mountains Insurance Group Ltd</v>
      </c>
      <c r="E424" s="30" t="s">
        <v>82</v>
      </c>
      <c r="F424" s="33" t="str">
        <f>IFERROR(__xludf.DUMMYFUNCTION("( (GOOGLEFINANCE(C424, ""price"") - Q424) / Q424 ) / (R424 / 100)"),"Loading...")</f>
        <v>Loading...</v>
      </c>
      <c r="G424" s="20" t="str">
        <f>IFERROR(__xludf.DUMMYFUNCTION("AVERAGE(ARRAYFORMULA(100 * (QUERY(GOOGLEFINANCE(C424, ""high"", TODAY()-40, TODAY()), ""SELECT Col2 WHERE Col2 IS NOT NULL ORDER BY Col1 DESC LIMIT 20"", 0) / QUERY(GOOGLEFINANCE(C424, ""low"", TODAY()-40, TODAY()), ""SELECT Col2 WHERE Col2 IS NOT NULL OR"&amp;"DER BY Col1 DESC LIMIT 20"", 0) - 1)))"),"#N/A")</f>
        <v>#N/A</v>
      </c>
      <c r="H424" s="35" t="str">
        <f t="shared" si="6"/>
        <v/>
      </c>
      <c r="I424" s="36" t="str">
        <f t="shared" si="7"/>
        <v/>
      </c>
      <c r="J424" s="37" t="str">
        <f>IFERROR(__xludf.DUMMYFUNCTION("IFERROR(
  IF(C424="""",, 
    IFERROR(
      GOOGLEFINANCE(C424, ""price"") * GOOGLEFINANCE(C424, ""volumeavg""), 
      GOOGLEFINANCE(C424, ""price"") * AVERAGE(QUERY(GOOGLEFINANCE(C424, ""volume"", TODAY()-40, TODAY()), ""SELECT Col2 WHERE Col2 IS NOT "&amp;"NULL ORDER BY Col1 DESC LIMIT 20"", 0))
    )
  ), 
"""")"),"")</f>
        <v/>
      </c>
      <c r="K424" s="21" t="str">
        <f>IFERROR(__xludf.DUMMYFUNCTION("IFERROR(GOOGLEFINANCE(C424, ""changepct"") / 100, """")"),"")</f>
        <v/>
      </c>
      <c r="L424" s="21" t="str">
        <f>IFERROR(__xludf.DUMMYFUNCTION("IFERROR((GOOGLEFINANCE(C424, ""price"") / INDEX(GOOGLEFINANCE(C424, ""price"", TODAY()-7, TODAY()), 2, 2)) - 1, """")"),"")</f>
        <v/>
      </c>
      <c r="M424" s="21" t="str">
        <f>IFERROR(__xludf.DUMMYFUNCTION("IFERROR((GOOGLEFINANCE(C424, ""price"") / INDEX(GOOGLEFINANCE(C424, ""price"", EDATE(TODAY(), -1), TODAY()), 2, 2)) - 1, """")"),"")</f>
        <v/>
      </c>
      <c r="N424" s="21" t="str">
        <f>IFERROR(__xludf.DUMMYFUNCTION("IFERROR((GOOGLEFINANCE(C424, ""price"") / INDEX(GOOGLEFINANCE(C424, ""price"", EDATE(TODAY(), -3), TODAY()), 2, 2)) - 1, """")"),"")</f>
        <v/>
      </c>
      <c r="O424" s="21" t="str">
        <f>IFERROR(__xludf.DUMMYFUNCTION("IFERROR((GOOGLEFINANCE(C424, ""price"") / INDEX(GOOGLEFINANCE(C424, ""price"", EDATE(TODAY(), -6), TODAY()), 2, 2)) - 1, """")"),"")</f>
        <v/>
      </c>
      <c r="P424" s="21" t="str">
        <f>IFERROR(__xludf.DUMMYFUNCTION("IFERROR((GOOGLEFINANCE(C424, ""price"") / INDEX(GOOGLEFINANCE(C424, ""price"", EDATE(TODAY(), -12), TODAY()), 2, 2)) - 1, """")"),"")</f>
        <v/>
      </c>
      <c r="Q424" s="6" t="str">
        <f>IFERROR(__xludf.DUMMYFUNCTION("AVERAGE(QUERY(GOOGLEFINANCE(C424, ""price"", TODAY()-80, TODAY()), ""SELECT Col2 WHERE Col2 IS NOT NULL ORDER BY Col1 DESC LIMIT 50"", 0))"),"#N/A")</f>
        <v>#N/A</v>
      </c>
      <c r="R424" s="24" t="str">
        <f>IFERROR(__xludf.DUMMYFUNCTION("IFERROR(
  LET(
    data, QUERY(GOOGLEFINANCE(C424,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GOOGLEFINANCE(C424, ""price"")) * 100,
    IF(calc=0, G424, calc)
  ), 
G424)"),"#N/A")</f>
        <v>#N/A</v>
      </c>
      <c r="S424" s="8" t="s">
        <v>15</v>
      </c>
      <c r="T424" s="26" t="str">
        <f>IFERROR(__xludf.DUMMYFUNCTION("IFERROR(TRANSPOSE(QUERY(IFERROR(SORT(GOOGLEFINANCE(C424, ""price"", WORKDAY(TODAY(), -40), TODAY()), 1, FALSE)), ""select Col2 where Col2 is not null limit 22 label Col2 ''"", 0)), """")"),"")</f>
        <v/>
      </c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8"/>
      <c r="AO424" s="28"/>
      <c r="AP424" s="29"/>
      <c r="AQ424" s="29" t="str">
        <f t="shared" ref="AQ424:BL424" si="427">T424/T$2</f>
        <v>#N/A</v>
      </c>
      <c r="AR424" s="29" t="str">
        <f t="shared" si="427"/>
        <v>#DIV/0!</v>
      </c>
      <c r="AS424" s="29" t="str">
        <f t="shared" si="427"/>
        <v>#DIV/0!</v>
      </c>
      <c r="AT424" s="29" t="str">
        <f t="shared" si="427"/>
        <v>#DIV/0!</v>
      </c>
      <c r="AU424" s="29" t="str">
        <f t="shared" si="427"/>
        <v>#DIV/0!</v>
      </c>
      <c r="AV424" s="29" t="str">
        <f t="shared" si="427"/>
        <v>#DIV/0!</v>
      </c>
      <c r="AW424" s="29" t="str">
        <f t="shared" si="427"/>
        <v>#DIV/0!</v>
      </c>
      <c r="AX424" s="29" t="str">
        <f t="shared" si="427"/>
        <v>#DIV/0!</v>
      </c>
      <c r="AY424" s="29" t="str">
        <f t="shared" si="427"/>
        <v>#DIV/0!</v>
      </c>
      <c r="AZ424" s="29" t="str">
        <f t="shared" si="427"/>
        <v>#DIV/0!</v>
      </c>
      <c r="BA424" s="29" t="str">
        <f t="shared" si="427"/>
        <v>#DIV/0!</v>
      </c>
      <c r="BB424" s="29" t="str">
        <f t="shared" si="427"/>
        <v>#DIV/0!</v>
      </c>
      <c r="BC424" s="29" t="str">
        <f t="shared" si="427"/>
        <v>#DIV/0!</v>
      </c>
      <c r="BD424" s="29" t="str">
        <f t="shared" si="427"/>
        <v>#DIV/0!</v>
      </c>
      <c r="BE424" s="29" t="str">
        <f t="shared" si="427"/>
        <v>#DIV/0!</v>
      </c>
      <c r="BF424" s="29" t="str">
        <f t="shared" si="427"/>
        <v>#DIV/0!</v>
      </c>
      <c r="BG424" s="29" t="str">
        <f t="shared" si="427"/>
        <v>#DIV/0!</v>
      </c>
      <c r="BH424" s="29" t="str">
        <f t="shared" si="427"/>
        <v>#DIV/0!</v>
      </c>
      <c r="BI424" s="29" t="str">
        <f t="shared" si="427"/>
        <v>#DIV/0!</v>
      </c>
      <c r="BJ424" s="29" t="str">
        <f t="shared" si="427"/>
        <v>#DIV/0!</v>
      </c>
      <c r="BK424" s="29" t="str">
        <f t="shared" si="427"/>
        <v>#DIV/0!</v>
      </c>
      <c r="BL424" s="29" t="str">
        <f t="shared" si="427"/>
        <v>#DIV/0!</v>
      </c>
      <c r="BM424" s="29" t="str">
        <f t="shared" si="3"/>
        <v>#DIV/0!</v>
      </c>
    </row>
    <row r="425">
      <c r="A425" s="16" t="str">
        <f>IFERROR(__xludf.DUMMYFUNCTION("IFERROR(SPARKLINE(SORT(MAP(TRANSPOSE(AQ425:BL425), LAMBDA(val, IF(ISNUMBER(val), PERCENTRANK(AQ425:BL425, val)+0.01, 0))), SEQUENCE(COLUMNS(AQ425:BL425)), FALSE), {""charttype"",""column""; ""color"",""chartreuse""; ""ymin"", 0; ""ymax"", 1.01; ""highcolo"&amp;"r"", ""darkgreen""; ""lowcolor"", ""red""}), """")"),"")</f>
        <v/>
      </c>
      <c r="B425" s="17" t="str">
        <f t="shared" si="4"/>
        <v/>
      </c>
      <c r="C425" s="1" t="s">
        <v>1957</v>
      </c>
      <c r="D425" s="34" t="str">
        <f>IFERROR(__xludf.DUMMYFUNCTION("IFERROR(GOOGLEFINANCE(C425, ""NAME""))"),"Tiptree Inc")</f>
        <v>Tiptree Inc</v>
      </c>
      <c r="E425" s="30" t="s">
        <v>276</v>
      </c>
      <c r="F425" s="33" t="str">
        <f>IFERROR(__xludf.DUMMYFUNCTION("( (GOOGLEFINANCE(C425, ""price"") - Q425) / Q425 ) / (R425 / 100)"),"Loading...")</f>
        <v>Loading...</v>
      </c>
      <c r="G425" s="20" t="str">
        <f>IFERROR(__xludf.DUMMYFUNCTION("AVERAGE(ARRAYFORMULA(100 * (QUERY(GOOGLEFINANCE(C425, ""high"", TODAY()-40, TODAY()), ""SELECT Col2 WHERE Col2 IS NOT NULL ORDER BY Col1 DESC LIMIT 20"", 0) / QUERY(GOOGLEFINANCE(C425, ""low"", TODAY()-40, TODAY()), ""SELECT Col2 WHERE Col2 IS NOT NULL OR"&amp;"DER BY Col1 DESC LIMIT 20"", 0) - 1)))"),"#N/A")</f>
        <v>#N/A</v>
      </c>
      <c r="H425" s="35" t="str">
        <f t="shared" si="6"/>
        <v/>
      </c>
      <c r="I425" s="36" t="str">
        <f t="shared" si="7"/>
        <v/>
      </c>
      <c r="J425" s="37" t="str">
        <f>IFERROR(__xludf.DUMMYFUNCTION("IFERROR(
  IF(C425="""",, 
    IFERROR(
      GOOGLEFINANCE(C425, ""price"") * GOOGLEFINANCE(C425, ""volumeavg""), 
      GOOGLEFINANCE(C425, ""price"") * AVERAGE(QUERY(GOOGLEFINANCE(C425, ""volume"", TODAY()-40, TODAY()), ""SELECT Col2 WHERE Col2 IS NOT "&amp;"NULL ORDER BY Col1 DESC LIMIT 20"", 0))
    )
  ), 
"""")"),"")</f>
        <v/>
      </c>
      <c r="K425" s="21" t="str">
        <f>IFERROR(__xludf.DUMMYFUNCTION("IFERROR(GOOGLEFINANCE(C425, ""changepct"") / 100, """")"),"")</f>
        <v/>
      </c>
      <c r="L425" s="21" t="str">
        <f>IFERROR(__xludf.DUMMYFUNCTION("IFERROR((GOOGLEFINANCE(C425, ""price"") / INDEX(GOOGLEFINANCE(C425, ""price"", TODAY()-7, TODAY()), 2, 2)) - 1, """")"),"")</f>
        <v/>
      </c>
      <c r="M425" s="21" t="str">
        <f>IFERROR(__xludf.DUMMYFUNCTION("IFERROR((GOOGLEFINANCE(C425, ""price"") / INDEX(GOOGLEFINANCE(C425, ""price"", EDATE(TODAY(), -1), TODAY()), 2, 2)) - 1, """")"),"")</f>
        <v/>
      </c>
      <c r="N425" s="21" t="str">
        <f>IFERROR(__xludf.DUMMYFUNCTION("IFERROR((GOOGLEFINANCE(C425, ""price"") / INDEX(GOOGLEFINANCE(C425, ""price"", EDATE(TODAY(), -3), TODAY()), 2, 2)) - 1, """")"),"")</f>
        <v/>
      </c>
      <c r="O425" s="21" t="str">
        <f>IFERROR(__xludf.DUMMYFUNCTION("IFERROR((GOOGLEFINANCE(C425, ""price"") / INDEX(GOOGLEFINANCE(C425, ""price"", EDATE(TODAY(), -6), TODAY()), 2, 2)) - 1, """")"),"")</f>
        <v/>
      </c>
      <c r="P425" s="21" t="str">
        <f>IFERROR(__xludf.DUMMYFUNCTION("IFERROR((GOOGLEFINANCE(C425, ""price"") / INDEX(GOOGLEFINANCE(C425, ""price"", EDATE(TODAY(), -12), TODAY()), 2, 2)) - 1, """")"),"")</f>
        <v/>
      </c>
      <c r="Q425" s="6" t="str">
        <f>IFERROR(__xludf.DUMMYFUNCTION("AVERAGE(QUERY(GOOGLEFINANCE(C425, ""price"", TODAY()-80, TODAY()), ""SELECT Col2 WHERE Col2 IS NOT NULL ORDER BY Col1 DESC LIMIT 50"", 0))"),"#N/A")</f>
        <v>#N/A</v>
      </c>
      <c r="R425" s="24" t="str">
        <f>IFERROR(__xludf.DUMMYFUNCTION("IFERROR(
  LET(
    data, QUERY(GOOGLEFINANCE(C425,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GOOGLEFINANCE(C425, ""price"")) * 100,
    IF(calc=0, G425, calc)
  ), 
G425)"),"#N/A")</f>
        <v>#N/A</v>
      </c>
      <c r="S425" s="8" t="s">
        <v>15</v>
      </c>
      <c r="T425" s="26" t="str">
        <f>IFERROR(__xludf.DUMMYFUNCTION("IFERROR(TRANSPOSE(QUERY(IFERROR(SORT(GOOGLEFINANCE(C425, ""price"", WORKDAY(TODAY(), -40), TODAY()), 1, FALSE)), ""select Col2 where Col2 is not null limit 22 label Col2 ''"", 0)), """")"),"")</f>
        <v/>
      </c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8"/>
      <c r="AO425" s="28"/>
      <c r="AP425" s="29"/>
      <c r="AQ425" s="29" t="str">
        <f t="shared" ref="AQ425:BL425" si="428">T425/T$2</f>
        <v>#N/A</v>
      </c>
      <c r="AR425" s="29" t="str">
        <f t="shared" si="428"/>
        <v>#DIV/0!</v>
      </c>
      <c r="AS425" s="29" t="str">
        <f t="shared" si="428"/>
        <v>#DIV/0!</v>
      </c>
      <c r="AT425" s="29" t="str">
        <f t="shared" si="428"/>
        <v>#DIV/0!</v>
      </c>
      <c r="AU425" s="29" t="str">
        <f t="shared" si="428"/>
        <v>#DIV/0!</v>
      </c>
      <c r="AV425" s="29" t="str">
        <f t="shared" si="428"/>
        <v>#DIV/0!</v>
      </c>
      <c r="AW425" s="29" t="str">
        <f t="shared" si="428"/>
        <v>#DIV/0!</v>
      </c>
      <c r="AX425" s="29" t="str">
        <f t="shared" si="428"/>
        <v>#DIV/0!</v>
      </c>
      <c r="AY425" s="29" t="str">
        <f t="shared" si="428"/>
        <v>#DIV/0!</v>
      </c>
      <c r="AZ425" s="29" t="str">
        <f t="shared" si="428"/>
        <v>#DIV/0!</v>
      </c>
      <c r="BA425" s="29" t="str">
        <f t="shared" si="428"/>
        <v>#DIV/0!</v>
      </c>
      <c r="BB425" s="29" t="str">
        <f t="shared" si="428"/>
        <v>#DIV/0!</v>
      </c>
      <c r="BC425" s="29" t="str">
        <f t="shared" si="428"/>
        <v>#DIV/0!</v>
      </c>
      <c r="BD425" s="29" t="str">
        <f t="shared" si="428"/>
        <v>#DIV/0!</v>
      </c>
      <c r="BE425" s="29" t="str">
        <f t="shared" si="428"/>
        <v>#DIV/0!</v>
      </c>
      <c r="BF425" s="29" t="str">
        <f t="shared" si="428"/>
        <v>#DIV/0!</v>
      </c>
      <c r="BG425" s="29" t="str">
        <f t="shared" si="428"/>
        <v>#DIV/0!</v>
      </c>
      <c r="BH425" s="29" t="str">
        <f t="shared" si="428"/>
        <v>#DIV/0!</v>
      </c>
      <c r="BI425" s="29" t="str">
        <f t="shared" si="428"/>
        <v>#DIV/0!</v>
      </c>
      <c r="BJ425" s="29" t="str">
        <f t="shared" si="428"/>
        <v>#DIV/0!</v>
      </c>
      <c r="BK425" s="29" t="str">
        <f t="shared" si="428"/>
        <v>#DIV/0!</v>
      </c>
      <c r="BL425" s="29" t="str">
        <f t="shared" si="428"/>
        <v>#DIV/0!</v>
      </c>
      <c r="BM425" s="29" t="str">
        <f t="shared" si="3"/>
        <v>#DIV/0!</v>
      </c>
    </row>
    <row r="426">
      <c r="A426" s="16" t="str">
        <f>IFERROR(__xludf.DUMMYFUNCTION("IFERROR(SPARKLINE(SORT(MAP(TRANSPOSE(AQ426:BL426), LAMBDA(val, IF(ISNUMBER(val), PERCENTRANK(AQ426:BL426, val)+0.01, 0))), SEQUENCE(COLUMNS(AQ426:BL426)), FALSE), {""charttype"",""column""; ""color"",""chartreuse""; ""ymin"", 0; ""ymax"", 1.01; ""highcolo"&amp;"r"", ""darkgreen""; ""lowcolor"", ""red""}), """")"),"")</f>
        <v/>
      </c>
      <c r="B426" s="17" t="str">
        <f t="shared" si="4"/>
        <v/>
      </c>
      <c r="C426" s="1" t="s">
        <v>1961</v>
      </c>
      <c r="D426" s="34" t="str">
        <f>IFERROR(__xludf.DUMMYFUNCTION("IFERROR(GOOGLEFINANCE(C426, ""NAME""))"),"Rice Acquisition Corp 3")</f>
        <v>Rice Acquisition Corp 3</v>
      </c>
      <c r="E426" s="30" t="s">
        <v>161</v>
      </c>
      <c r="F426" s="33" t="str">
        <f>IFERROR(__xludf.DUMMYFUNCTION("( (GOOGLEFINANCE(C426, ""price"") - Q426) / Q426 ) / (R426 / 100)"),"Loading...")</f>
        <v>Loading...</v>
      </c>
      <c r="G426" s="20" t="str">
        <f>IFERROR(__xludf.DUMMYFUNCTION("AVERAGE(ARRAYFORMULA(100 * (QUERY(GOOGLEFINANCE(C426, ""high"", TODAY()-40, TODAY()), ""SELECT Col2 WHERE Col2 IS NOT NULL ORDER BY Col1 DESC LIMIT 20"", 0) / QUERY(GOOGLEFINANCE(C426, ""low"", TODAY()-40, TODAY()), ""SELECT Col2 WHERE Col2 IS NOT NULL OR"&amp;"DER BY Col1 DESC LIMIT 20"", 0) - 1)))"),"#N/A")</f>
        <v>#N/A</v>
      </c>
      <c r="H426" s="35" t="str">
        <f t="shared" si="6"/>
        <v/>
      </c>
      <c r="I426" s="36" t="str">
        <f t="shared" si="7"/>
        <v/>
      </c>
      <c r="J426" s="37" t="str">
        <f>IFERROR(__xludf.DUMMYFUNCTION("IFERROR(
  IF(C426="""",, 
    IFERROR(
      GOOGLEFINANCE(C426, ""price"") * GOOGLEFINANCE(C426, ""volumeavg""), 
      GOOGLEFINANCE(C426, ""price"") * AVERAGE(QUERY(GOOGLEFINANCE(C426, ""volume"", TODAY()-40, TODAY()), ""SELECT Col2 WHERE Col2 IS NOT "&amp;"NULL ORDER BY Col1 DESC LIMIT 20"", 0))
    )
  ), 
"""")"),"")</f>
        <v/>
      </c>
      <c r="K426" s="21" t="str">
        <f>IFERROR(__xludf.DUMMYFUNCTION("IFERROR(GOOGLEFINANCE(C426, ""changepct"") / 100, """")"),"")</f>
        <v/>
      </c>
      <c r="L426" s="21" t="str">
        <f>IFERROR(__xludf.DUMMYFUNCTION("IFERROR((GOOGLEFINANCE(C426, ""price"") / INDEX(GOOGLEFINANCE(C426, ""price"", TODAY()-7, TODAY()), 2, 2)) - 1, """")"),"")</f>
        <v/>
      </c>
      <c r="M426" s="21" t="str">
        <f>IFERROR(__xludf.DUMMYFUNCTION("IFERROR((GOOGLEFINANCE(C426, ""price"") / INDEX(GOOGLEFINANCE(C426, ""price"", EDATE(TODAY(), -1), TODAY()), 2, 2)) - 1, """")"),"")</f>
        <v/>
      </c>
      <c r="N426" s="21" t="str">
        <f>IFERROR(__xludf.DUMMYFUNCTION("IFERROR((GOOGLEFINANCE(C426, ""price"") / INDEX(GOOGLEFINANCE(C426, ""price"", EDATE(TODAY(), -3), TODAY()), 2, 2)) - 1, """")"),"")</f>
        <v/>
      </c>
      <c r="O426" s="21" t="str">
        <f>IFERROR(__xludf.DUMMYFUNCTION("IFERROR((GOOGLEFINANCE(C426, ""price"") / INDEX(GOOGLEFINANCE(C426, ""price"", EDATE(TODAY(), -6), TODAY()), 2, 2)) - 1, """")"),"")</f>
        <v/>
      </c>
      <c r="P426" s="21" t="str">
        <f>IFERROR(__xludf.DUMMYFUNCTION("IFERROR((GOOGLEFINANCE(C426, ""price"") / INDEX(GOOGLEFINANCE(C426, ""price"", EDATE(TODAY(), -12), TODAY()), 2, 2)) - 1, """")"),"")</f>
        <v/>
      </c>
      <c r="Q426" s="6" t="str">
        <f>IFERROR(__xludf.DUMMYFUNCTION("AVERAGE(QUERY(GOOGLEFINANCE(C426, ""price"", TODAY()-80, TODAY()), ""SELECT Col2 WHERE Col2 IS NOT NULL ORDER BY Col1 DESC LIMIT 50"", 0))"),"#N/A")</f>
        <v>#N/A</v>
      </c>
      <c r="R426" s="24" t="str">
        <f>IFERROR(__xludf.DUMMYFUNCTION("IFERROR(
  LET(
    data, QUERY(GOOGLEFINANCE(C426,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GOOGLEFINANCE(C426, ""price"")) * 100,
    IF(calc=0, G426, calc)
  ), 
G426)"),"#N/A")</f>
        <v>#N/A</v>
      </c>
      <c r="S426" s="8" t="s">
        <v>15</v>
      </c>
      <c r="T426" s="26" t="str">
        <f>IFERROR(__xludf.DUMMYFUNCTION("IFERROR(TRANSPOSE(QUERY(IFERROR(SORT(GOOGLEFINANCE(C426, ""price"", WORKDAY(TODAY(), -40), TODAY()), 1, FALSE)), ""select Col2 where Col2 is not null limit 22 label Col2 ''"", 0)), """")"),"")</f>
        <v/>
      </c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8"/>
      <c r="AO426" s="28"/>
      <c r="AP426" s="29"/>
      <c r="AQ426" s="29" t="str">
        <f t="shared" ref="AQ426:BL426" si="429">T426/T$2</f>
        <v>#N/A</v>
      </c>
      <c r="AR426" s="29" t="str">
        <f t="shared" si="429"/>
        <v>#DIV/0!</v>
      </c>
      <c r="AS426" s="29" t="str">
        <f t="shared" si="429"/>
        <v>#DIV/0!</v>
      </c>
      <c r="AT426" s="29" t="str">
        <f t="shared" si="429"/>
        <v>#DIV/0!</v>
      </c>
      <c r="AU426" s="29" t="str">
        <f t="shared" si="429"/>
        <v>#DIV/0!</v>
      </c>
      <c r="AV426" s="29" t="str">
        <f t="shared" si="429"/>
        <v>#DIV/0!</v>
      </c>
      <c r="AW426" s="29" t="str">
        <f t="shared" si="429"/>
        <v>#DIV/0!</v>
      </c>
      <c r="AX426" s="29" t="str">
        <f t="shared" si="429"/>
        <v>#DIV/0!</v>
      </c>
      <c r="AY426" s="29" t="str">
        <f t="shared" si="429"/>
        <v>#DIV/0!</v>
      </c>
      <c r="AZ426" s="29" t="str">
        <f t="shared" si="429"/>
        <v>#DIV/0!</v>
      </c>
      <c r="BA426" s="29" t="str">
        <f t="shared" si="429"/>
        <v>#DIV/0!</v>
      </c>
      <c r="BB426" s="29" t="str">
        <f t="shared" si="429"/>
        <v>#DIV/0!</v>
      </c>
      <c r="BC426" s="29" t="str">
        <f t="shared" si="429"/>
        <v>#DIV/0!</v>
      </c>
      <c r="BD426" s="29" t="str">
        <f t="shared" si="429"/>
        <v>#DIV/0!</v>
      </c>
      <c r="BE426" s="29" t="str">
        <f t="shared" si="429"/>
        <v>#DIV/0!</v>
      </c>
      <c r="BF426" s="29" t="str">
        <f t="shared" si="429"/>
        <v>#DIV/0!</v>
      </c>
      <c r="BG426" s="29" t="str">
        <f t="shared" si="429"/>
        <v>#DIV/0!</v>
      </c>
      <c r="BH426" s="29" t="str">
        <f t="shared" si="429"/>
        <v>#DIV/0!</v>
      </c>
      <c r="BI426" s="29" t="str">
        <f t="shared" si="429"/>
        <v>#DIV/0!</v>
      </c>
      <c r="BJ426" s="29" t="str">
        <f t="shared" si="429"/>
        <v>#DIV/0!</v>
      </c>
      <c r="BK426" s="29" t="str">
        <f t="shared" si="429"/>
        <v>#DIV/0!</v>
      </c>
      <c r="BL426" s="29" t="str">
        <f t="shared" si="429"/>
        <v>#DIV/0!</v>
      </c>
      <c r="BM426" s="29" t="str">
        <f t="shared" si="3"/>
        <v>#DIV/0!</v>
      </c>
    </row>
    <row r="427">
      <c r="A427" s="16" t="str">
        <f>IFERROR(__xludf.DUMMYFUNCTION("IFERROR(SPARKLINE(SORT(MAP(TRANSPOSE(AQ427:BL427), LAMBDA(val, IF(ISNUMBER(val), PERCENTRANK(AQ427:BL427, val)+0.01, 0))), SEQUENCE(COLUMNS(AQ427:BL427)), FALSE), {""charttype"",""column""; ""color"",""chartreuse""; ""ymin"", 0; ""ymax"", 1.01; ""highcolo"&amp;"r"", ""darkgreen""; ""lowcolor"", ""red""}), """")"),"")</f>
        <v/>
      </c>
      <c r="B427" s="17" t="str">
        <f t="shared" si="4"/>
        <v/>
      </c>
      <c r="C427" s="1" t="s">
        <v>1966</v>
      </c>
      <c r="D427" s="34" t="str">
        <f>IFERROR(__xludf.DUMMYFUNCTION("IFERROR(GOOGLEFINANCE(C427, ""NAME""))"),"Intercontinental Exchange Inc")</f>
        <v>Intercontinental Exchange Inc</v>
      </c>
      <c r="E427" s="30" t="s">
        <v>54</v>
      </c>
      <c r="F427" s="33" t="str">
        <f>IFERROR(__xludf.DUMMYFUNCTION("( (GOOGLEFINANCE(C427, ""price"") - Q427) / Q427 ) / (R427 / 100)"),"Loading...")</f>
        <v>Loading...</v>
      </c>
      <c r="G427" s="20" t="str">
        <f>IFERROR(__xludf.DUMMYFUNCTION("AVERAGE(ARRAYFORMULA(100 * (QUERY(GOOGLEFINANCE(C427, ""high"", TODAY()-40, TODAY()), ""SELECT Col2 WHERE Col2 IS NOT NULL ORDER BY Col1 DESC LIMIT 20"", 0) / QUERY(GOOGLEFINANCE(C427, ""low"", TODAY()-40, TODAY()), ""SELECT Col2 WHERE Col2 IS NOT NULL OR"&amp;"DER BY Col1 DESC LIMIT 20"", 0) - 1)))"),"#N/A")</f>
        <v>#N/A</v>
      </c>
      <c r="H427" s="35" t="str">
        <f t="shared" si="6"/>
        <v/>
      </c>
      <c r="I427" s="36" t="str">
        <f t="shared" si="7"/>
        <v/>
      </c>
      <c r="J427" s="37" t="str">
        <f>IFERROR(__xludf.DUMMYFUNCTION("IFERROR(
  IF(C427="""",, 
    IFERROR(
      GOOGLEFINANCE(C427, ""price"") * GOOGLEFINANCE(C427, ""volumeavg""), 
      GOOGLEFINANCE(C427, ""price"") * AVERAGE(QUERY(GOOGLEFINANCE(C427, ""volume"", TODAY()-40, TODAY()), ""SELECT Col2 WHERE Col2 IS NOT "&amp;"NULL ORDER BY Col1 DESC LIMIT 20"", 0))
    )
  ), 
"""")"),"")</f>
        <v/>
      </c>
      <c r="K427" s="21" t="str">
        <f>IFERROR(__xludf.DUMMYFUNCTION("IFERROR(GOOGLEFINANCE(C427, ""changepct"") / 100, """")"),"")</f>
        <v/>
      </c>
      <c r="L427" s="21" t="str">
        <f>IFERROR(__xludf.DUMMYFUNCTION("IFERROR((GOOGLEFINANCE(C427, ""price"") / INDEX(GOOGLEFINANCE(C427, ""price"", TODAY()-7, TODAY()), 2, 2)) - 1, """")"),"")</f>
        <v/>
      </c>
      <c r="M427" s="21" t="str">
        <f>IFERROR(__xludf.DUMMYFUNCTION("IFERROR((GOOGLEFINANCE(C427, ""price"") / INDEX(GOOGLEFINANCE(C427, ""price"", EDATE(TODAY(), -1), TODAY()), 2, 2)) - 1, """")"),"")</f>
        <v/>
      </c>
      <c r="N427" s="21" t="str">
        <f>IFERROR(__xludf.DUMMYFUNCTION("IFERROR((GOOGLEFINANCE(C427, ""price"") / INDEX(GOOGLEFINANCE(C427, ""price"", EDATE(TODAY(), -3), TODAY()), 2, 2)) - 1, """")"),"")</f>
        <v/>
      </c>
      <c r="O427" s="21" t="str">
        <f>IFERROR(__xludf.DUMMYFUNCTION("IFERROR((GOOGLEFINANCE(C427, ""price"") / INDEX(GOOGLEFINANCE(C427, ""price"", EDATE(TODAY(), -6), TODAY()), 2, 2)) - 1, """")"),"")</f>
        <v/>
      </c>
      <c r="P427" s="21" t="str">
        <f>IFERROR(__xludf.DUMMYFUNCTION("IFERROR((GOOGLEFINANCE(C427, ""price"") / INDEX(GOOGLEFINANCE(C427, ""price"", EDATE(TODAY(), -12), TODAY()), 2, 2)) - 1, """")"),"")</f>
        <v/>
      </c>
      <c r="Q427" s="6" t="str">
        <f>IFERROR(__xludf.DUMMYFUNCTION("AVERAGE(QUERY(GOOGLEFINANCE(C427, ""price"", TODAY()-80, TODAY()), ""SELECT Col2 WHERE Col2 IS NOT NULL ORDER BY Col1 DESC LIMIT 50"", 0))"),"#N/A")</f>
        <v>#N/A</v>
      </c>
      <c r="R427" s="24" t="str">
        <f>IFERROR(__xludf.DUMMYFUNCTION("IFERROR(
  LET(
    data, QUERY(GOOGLEFINANCE(C427,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GOOGLEFINANCE(C427, ""price"")) * 100,
    IF(calc=0, G427, calc)
  ), 
G427)"),"#N/A")</f>
        <v>#N/A</v>
      </c>
      <c r="S427" s="8" t="s">
        <v>15</v>
      </c>
      <c r="T427" s="26" t="str">
        <f>IFERROR(__xludf.DUMMYFUNCTION("IFERROR(TRANSPOSE(QUERY(IFERROR(SORT(GOOGLEFINANCE(C427, ""price"", WORKDAY(TODAY(), -40), TODAY()), 1, FALSE)), ""select Col2 where Col2 is not null limit 22 label Col2 ''"", 0)), """")"),"")</f>
        <v/>
      </c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8"/>
      <c r="AO427" s="28"/>
      <c r="AP427" s="29"/>
      <c r="AQ427" s="29" t="str">
        <f t="shared" ref="AQ427:BL427" si="430">T427/T$2</f>
        <v>#N/A</v>
      </c>
      <c r="AR427" s="29" t="str">
        <f t="shared" si="430"/>
        <v>#DIV/0!</v>
      </c>
      <c r="AS427" s="29" t="str">
        <f t="shared" si="430"/>
        <v>#DIV/0!</v>
      </c>
      <c r="AT427" s="29" t="str">
        <f t="shared" si="430"/>
        <v>#DIV/0!</v>
      </c>
      <c r="AU427" s="29" t="str">
        <f t="shared" si="430"/>
        <v>#DIV/0!</v>
      </c>
      <c r="AV427" s="29" t="str">
        <f t="shared" si="430"/>
        <v>#DIV/0!</v>
      </c>
      <c r="AW427" s="29" t="str">
        <f t="shared" si="430"/>
        <v>#DIV/0!</v>
      </c>
      <c r="AX427" s="29" t="str">
        <f t="shared" si="430"/>
        <v>#DIV/0!</v>
      </c>
      <c r="AY427" s="29" t="str">
        <f t="shared" si="430"/>
        <v>#DIV/0!</v>
      </c>
      <c r="AZ427" s="29" t="str">
        <f t="shared" si="430"/>
        <v>#DIV/0!</v>
      </c>
      <c r="BA427" s="29" t="str">
        <f t="shared" si="430"/>
        <v>#DIV/0!</v>
      </c>
      <c r="BB427" s="29" t="str">
        <f t="shared" si="430"/>
        <v>#DIV/0!</v>
      </c>
      <c r="BC427" s="29" t="str">
        <f t="shared" si="430"/>
        <v>#DIV/0!</v>
      </c>
      <c r="BD427" s="29" t="str">
        <f t="shared" si="430"/>
        <v>#DIV/0!</v>
      </c>
      <c r="BE427" s="29" t="str">
        <f t="shared" si="430"/>
        <v>#DIV/0!</v>
      </c>
      <c r="BF427" s="29" t="str">
        <f t="shared" si="430"/>
        <v>#DIV/0!</v>
      </c>
      <c r="BG427" s="29" t="str">
        <f t="shared" si="430"/>
        <v>#DIV/0!</v>
      </c>
      <c r="BH427" s="29" t="str">
        <f t="shared" si="430"/>
        <v>#DIV/0!</v>
      </c>
      <c r="BI427" s="29" t="str">
        <f t="shared" si="430"/>
        <v>#DIV/0!</v>
      </c>
      <c r="BJ427" s="29" t="str">
        <f t="shared" si="430"/>
        <v>#DIV/0!</v>
      </c>
      <c r="BK427" s="29" t="str">
        <f t="shared" si="430"/>
        <v>#DIV/0!</v>
      </c>
      <c r="BL427" s="29" t="str">
        <f t="shared" si="430"/>
        <v>#DIV/0!</v>
      </c>
      <c r="BM427" s="29" t="str">
        <f t="shared" si="3"/>
        <v>#DIV/0!</v>
      </c>
    </row>
    <row r="428">
      <c r="A428" s="16" t="str">
        <f>IFERROR(__xludf.DUMMYFUNCTION("IFERROR(SPARKLINE(SORT(MAP(TRANSPOSE(AQ428:BL428), LAMBDA(val, IF(ISNUMBER(val), PERCENTRANK(AQ428:BL428, val)+0.01, 0))), SEQUENCE(COLUMNS(AQ428:BL428)), FALSE), {""charttype"",""column""; ""color"",""chartreuse""; ""ymin"", 0; ""ymax"", 1.01; ""highcolo"&amp;"r"", ""darkgreen""; ""lowcolor"", ""red""}), """")"),"")</f>
        <v/>
      </c>
      <c r="B428" s="17" t="str">
        <f t="shared" si="4"/>
        <v/>
      </c>
      <c r="C428" s="1" t="s">
        <v>1971</v>
      </c>
      <c r="D428" s="34" t="str">
        <f>IFERROR(__xludf.DUMMYFUNCTION("IFERROR(GOOGLEFINANCE(C428, ""NAME""))"),"Moelis &amp; Co")</f>
        <v>Moelis &amp; Co</v>
      </c>
      <c r="E428" s="30" t="s">
        <v>77</v>
      </c>
      <c r="F428" s="33" t="str">
        <f>IFERROR(__xludf.DUMMYFUNCTION("( (GOOGLEFINANCE(C428, ""price"") - Q428) / Q428 ) / (R428 / 100)"),"Loading...")</f>
        <v>Loading...</v>
      </c>
      <c r="G428" s="20" t="str">
        <f>IFERROR(__xludf.DUMMYFUNCTION("AVERAGE(ARRAYFORMULA(100 * (QUERY(GOOGLEFINANCE(C428, ""high"", TODAY()-40, TODAY()), ""SELECT Col2 WHERE Col2 IS NOT NULL ORDER BY Col1 DESC LIMIT 20"", 0) / QUERY(GOOGLEFINANCE(C428, ""low"", TODAY()-40, TODAY()), ""SELECT Col2 WHERE Col2 IS NOT NULL OR"&amp;"DER BY Col1 DESC LIMIT 20"", 0) - 1)))"),"#N/A")</f>
        <v>#N/A</v>
      </c>
      <c r="H428" s="35" t="str">
        <f t="shared" si="6"/>
        <v/>
      </c>
      <c r="I428" s="36" t="str">
        <f t="shared" si="7"/>
        <v/>
      </c>
      <c r="J428" s="37" t="str">
        <f>IFERROR(__xludf.DUMMYFUNCTION("IFERROR(
  IF(C428="""",, 
    IFERROR(
      GOOGLEFINANCE(C428, ""price"") * GOOGLEFINANCE(C428, ""volumeavg""), 
      GOOGLEFINANCE(C428, ""price"") * AVERAGE(QUERY(GOOGLEFINANCE(C428, ""volume"", TODAY()-40, TODAY()), ""SELECT Col2 WHERE Col2 IS NOT "&amp;"NULL ORDER BY Col1 DESC LIMIT 20"", 0))
    )
  ), 
"""")"),"")</f>
        <v/>
      </c>
      <c r="K428" s="21" t="str">
        <f>IFERROR(__xludf.DUMMYFUNCTION("IFERROR(GOOGLEFINANCE(C428, ""changepct"") / 100, """")"),"")</f>
        <v/>
      </c>
      <c r="L428" s="21" t="str">
        <f>IFERROR(__xludf.DUMMYFUNCTION("IFERROR((GOOGLEFINANCE(C428, ""price"") / INDEX(GOOGLEFINANCE(C428, ""price"", TODAY()-7, TODAY()), 2, 2)) - 1, """")"),"")</f>
        <v/>
      </c>
      <c r="M428" s="21" t="str">
        <f>IFERROR(__xludf.DUMMYFUNCTION("IFERROR((GOOGLEFINANCE(C428, ""price"") / INDEX(GOOGLEFINANCE(C428, ""price"", EDATE(TODAY(), -1), TODAY()), 2, 2)) - 1, """")"),"")</f>
        <v/>
      </c>
      <c r="N428" s="21" t="str">
        <f>IFERROR(__xludf.DUMMYFUNCTION("IFERROR((GOOGLEFINANCE(C428, ""price"") / INDEX(GOOGLEFINANCE(C428, ""price"", EDATE(TODAY(), -3), TODAY()), 2, 2)) - 1, """")"),"")</f>
        <v/>
      </c>
      <c r="O428" s="21" t="str">
        <f>IFERROR(__xludf.DUMMYFUNCTION("IFERROR((GOOGLEFINANCE(C428, ""price"") / INDEX(GOOGLEFINANCE(C428, ""price"", EDATE(TODAY(), -6), TODAY()), 2, 2)) - 1, """")"),"")</f>
        <v/>
      </c>
      <c r="P428" s="21" t="str">
        <f>IFERROR(__xludf.DUMMYFUNCTION("IFERROR((GOOGLEFINANCE(C428, ""price"") / INDEX(GOOGLEFINANCE(C428, ""price"", EDATE(TODAY(), -12), TODAY()), 2, 2)) - 1, """")"),"")</f>
        <v/>
      </c>
      <c r="Q428" s="6" t="str">
        <f>IFERROR(__xludf.DUMMYFUNCTION("AVERAGE(QUERY(GOOGLEFINANCE(C428, ""price"", TODAY()-80, TODAY()), ""SELECT Col2 WHERE Col2 IS NOT NULL ORDER BY Col1 DESC LIMIT 50"", 0))"),"#N/A")</f>
        <v>#N/A</v>
      </c>
      <c r="R428" s="24" t="str">
        <f>IFERROR(__xludf.DUMMYFUNCTION("IFERROR(
  LET(
    data, QUERY(GOOGLEFINANCE(C428,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GOOGLEFINANCE(C428, ""price"")) * 100,
    IF(calc=0, G428, calc)
  ), 
G428)"),"#N/A")</f>
        <v>#N/A</v>
      </c>
      <c r="S428" s="8" t="s">
        <v>15</v>
      </c>
      <c r="T428" s="26" t="str">
        <f>IFERROR(__xludf.DUMMYFUNCTION("IFERROR(TRANSPOSE(QUERY(IFERROR(SORT(GOOGLEFINANCE(C428, ""price"", WORKDAY(TODAY(), -40), TODAY()), 1, FALSE)), ""select Col2 where Col2 is not null limit 22 label Col2 ''"", 0)), """")"),"")</f>
        <v/>
      </c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8"/>
      <c r="AO428" s="28"/>
      <c r="AP428" s="29"/>
      <c r="AQ428" s="29" t="str">
        <f t="shared" ref="AQ428:BL428" si="431">T428/T$2</f>
        <v>#N/A</v>
      </c>
      <c r="AR428" s="29" t="str">
        <f t="shared" si="431"/>
        <v>#DIV/0!</v>
      </c>
      <c r="AS428" s="29" t="str">
        <f t="shared" si="431"/>
        <v>#DIV/0!</v>
      </c>
      <c r="AT428" s="29" t="str">
        <f t="shared" si="431"/>
        <v>#DIV/0!</v>
      </c>
      <c r="AU428" s="29" t="str">
        <f t="shared" si="431"/>
        <v>#DIV/0!</v>
      </c>
      <c r="AV428" s="29" t="str">
        <f t="shared" si="431"/>
        <v>#DIV/0!</v>
      </c>
      <c r="AW428" s="29" t="str">
        <f t="shared" si="431"/>
        <v>#DIV/0!</v>
      </c>
      <c r="AX428" s="29" t="str">
        <f t="shared" si="431"/>
        <v>#DIV/0!</v>
      </c>
      <c r="AY428" s="29" t="str">
        <f t="shared" si="431"/>
        <v>#DIV/0!</v>
      </c>
      <c r="AZ428" s="29" t="str">
        <f t="shared" si="431"/>
        <v>#DIV/0!</v>
      </c>
      <c r="BA428" s="29" t="str">
        <f t="shared" si="431"/>
        <v>#DIV/0!</v>
      </c>
      <c r="BB428" s="29" t="str">
        <f t="shared" si="431"/>
        <v>#DIV/0!</v>
      </c>
      <c r="BC428" s="29" t="str">
        <f t="shared" si="431"/>
        <v>#DIV/0!</v>
      </c>
      <c r="BD428" s="29" t="str">
        <f t="shared" si="431"/>
        <v>#DIV/0!</v>
      </c>
      <c r="BE428" s="29" t="str">
        <f t="shared" si="431"/>
        <v>#DIV/0!</v>
      </c>
      <c r="BF428" s="29" t="str">
        <f t="shared" si="431"/>
        <v>#DIV/0!</v>
      </c>
      <c r="BG428" s="29" t="str">
        <f t="shared" si="431"/>
        <v>#DIV/0!</v>
      </c>
      <c r="BH428" s="29" t="str">
        <f t="shared" si="431"/>
        <v>#DIV/0!</v>
      </c>
      <c r="BI428" s="29" t="str">
        <f t="shared" si="431"/>
        <v>#DIV/0!</v>
      </c>
      <c r="BJ428" s="29" t="str">
        <f t="shared" si="431"/>
        <v>#DIV/0!</v>
      </c>
      <c r="BK428" s="29" t="str">
        <f t="shared" si="431"/>
        <v>#DIV/0!</v>
      </c>
      <c r="BL428" s="29" t="str">
        <f t="shared" si="431"/>
        <v>#DIV/0!</v>
      </c>
      <c r="BM428" s="29" t="str">
        <f t="shared" si="3"/>
        <v>#DIV/0!</v>
      </c>
    </row>
    <row r="429">
      <c r="A429" s="16" t="str">
        <f>IFERROR(__xludf.DUMMYFUNCTION("IFERROR(SPARKLINE(SORT(MAP(TRANSPOSE(AQ429:BL429), LAMBDA(val, IF(ISNUMBER(val), PERCENTRANK(AQ429:BL429, val)+0.01, 0))), SEQUENCE(COLUMNS(AQ429:BL429)), FALSE), {""charttype"",""column""; ""color"",""chartreuse""; ""ymin"", 0; ""ymax"", 1.01; ""highcolo"&amp;"r"", ""darkgreen""; ""lowcolor"", ""red""}), """")"),"")</f>
        <v/>
      </c>
      <c r="B429" s="17" t="str">
        <f t="shared" si="4"/>
        <v/>
      </c>
      <c r="C429" s="1" t="s">
        <v>1979</v>
      </c>
      <c r="D429" s="34" t="str">
        <f>IFERROR(__xludf.DUMMYFUNCTION("IFERROR(GOOGLEFINANCE(C429, ""NAME""))"),"Ategrity Specialty Insurance Cmpny Hldgs")</f>
        <v>Ategrity Specialty Insurance Cmpny Hldgs</v>
      </c>
      <c r="E429" s="30" t="s">
        <v>82</v>
      </c>
      <c r="F429" s="33" t="str">
        <f>IFERROR(__xludf.DUMMYFUNCTION("( (GOOGLEFINANCE(C429, ""price"") - Q429) / Q429 ) / (R429 / 100)"),"Loading...")</f>
        <v>Loading...</v>
      </c>
      <c r="G429" s="20" t="str">
        <f>IFERROR(__xludf.DUMMYFUNCTION("AVERAGE(ARRAYFORMULA(100 * (QUERY(GOOGLEFINANCE(C429, ""high"", TODAY()-40, TODAY()), ""SELECT Col2 WHERE Col2 IS NOT NULL ORDER BY Col1 DESC LIMIT 20"", 0) / QUERY(GOOGLEFINANCE(C429, ""low"", TODAY()-40, TODAY()), ""SELECT Col2 WHERE Col2 IS NOT NULL OR"&amp;"DER BY Col1 DESC LIMIT 20"", 0) - 1)))"),"#N/A")</f>
        <v>#N/A</v>
      </c>
      <c r="H429" s="35" t="str">
        <f t="shared" si="6"/>
        <v/>
      </c>
      <c r="I429" s="36" t="str">
        <f t="shared" si="7"/>
        <v/>
      </c>
      <c r="J429" s="37" t="str">
        <f>IFERROR(__xludf.DUMMYFUNCTION("IFERROR(
  IF(C429="""",, 
    IFERROR(
      GOOGLEFINANCE(C429, ""price"") * GOOGLEFINANCE(C429, ""volumeavg""), 
      GOOGLEFINANCE(C429, ""price"") * AVERAGE(QUERY(GOOGLEFINANCE(C429, ""volume"", TODAY()-40, TODAY()), ""SELECT Col2 WHERE Col2 IS NOT "&amp;"NULL ORDER BY Col1 DESC LIMIT 20"", 0))
    )
  ), 
"""")"),"")</f>
        <v/>
      </c>
      <c r="K429" s="21" t="str">
        <f>IFERROR(__xludf.DUMMYFUNCTION("IFERROR(GOOGLEFINANCE(C429, ""changepct"") / 100, """")"),"")</f>
        <v/>
      </c>
      <c r="L429" s="21" t="str">
        <f>IFERROR(__xludf.DUMMYFUNCTION("IFERROR((GOOGLEFINANCE(C429, ""price"") / INDEX(GOOGLEFINANCE(C429, ""price"", TODAY()-7, TODAY()), 2, 2)) - 1, """")"),"")</f>
        <v/>
      </c>
      <c r="M429" s="21" t="str">
        <f>IFERROR(__xludf.DUMMYFUNCTION("IFERROR((GOOGLEFINANCE(C429, ""price"") / INDEX(GOOGLEFINANCE(C429, ""price"", EDATE(TODAY(), -1), TODAY()), 2, 2)) - 1, """")"),"")</f>
        <v/>
      </c>
      <c r="N429" s="21" t="str">
        <f>IFERROR(__xludf.DUMMYFUNCTION("IFERROR((GOOGLEFINANCE(C429, ""price"") / INDEX(GOOGLEFINANCE(C429, ""price"", EDATE(TODAY(), -3), TODAY()), 2, 2)) - 1, """")"),"")</f>
        <v/>
      </c>
      <c r="O429" s="21" t="str">
        <f>IFERROR(__xludf.DUMMYFUNCTION("IFERROR((GOOGLEFINANCE(C429, ""price"") / INDEX(GOOGLEFINANCE(C429, ""price"", EDATE(TODAY(), -6), TODAY()), 2, 2)) - 1, """")"),"")</f>
        <v/>
      </c>
      <c r="P429" s="21" t="str">
        <f>IFERROR(__xludf.DUMMYFUNCTION("IFERROR((GOOGLEFINANCE(C429, ""price"") / INDEX(GOOGLEFINANCE(C429, ""price"", EDATE(TODAY(), -12), TODAY()), 2, 2)) - 1, """")"),"")</f>
        <v/>
      </c>
      <c r="Q429" s="6" t="str">
        <f>IFERROR(__xludf.DUMMYFUNCTION("AVERAGE(QUERY(GOOGLEFINANCE(C429, ""price"", TODAY()-80, TODAY()), ""SELECT Col2 WHERE Col2 IS NOT NULL ORDER BY Col1 DESC LIMIT 50"", 0))"),"#N/A")</f>
        <v>#N/A</v>
      </c>
      <c r="R429" s="24" t="str">
        <f>IFERROR(__xludf.DUMMYFUNCTION("IFERROR(
  LET(
    data, QUERY(GOOGLEFINANCE(C429,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GOOGLEFINANCE(C429, ""price"")) * 100,
    IF(calc=0, G429, calc)
  ), 
G429)"),"#N/A")</f>
        <v>#N/A</v>
      </c>
      <c r="S429" s="8" t="s">
        <v>15</v>
      </c>
      <c r="T429" s="26" t="str">
        <f>IFERROR(__xludf.DUMMYFUNCTION("IFERROR(TRANSPOSE(QUERY(IFERROR(SORT(GOOGLEFINANCE(C429, ""price"", WORKDAY(TODAY(), -40), TODAY()), 1, FALSE)), ""select Col2 where Col2 is not null limit 22 label Col2 ''"", 0)), """")"),"")</f>
        <v/>
      </c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8"/>
      <c r="AO429" s="28"/>
      <c r="AP429" s="29"/>
      <c r="AQ429" s="29" t="str">
        <f t="shared" ref="AQ429:BL429" si="432">T429/T$2</f>
        <v>#N/A</v>
      </c>
      <c r="AR429" s="29" t="str">
        <f t="shared" si="432"/>
        <v>#DIV/0!</v>
      </c>
      <c r="AS429" s="29" t="str">
        <f t="shared" si="432"/>
        <v>#DIV/0!</v>
      </c>
      <c r="AT429" s="29" t="str">
        <f t="shared" si="432"/>
        <v>#DIV/0!</v>
      </c>
      <c r="AU429" s="29" t="str">
        <f t="shared" si="432"/>
        <v>#DIV/0!</v>
      </c>
      <c r="AV429" s="29" t="str">
        <f t="shared" si="432"/>
        <v>#DIV/0!</v>
      </c>
      <c r="AW429" s="29" t="str">
        <f t="shared" si="432"/>
        <v>#DIV/0!</v>
      </c>
      <c r="AX429" s="29" t="str">
        <f t="shared" si="432"/>
        <v>#DIV/0!</v>
      </c>
      <c r="AY429" s="29" t="str">
        <f t="shared" si="432"/>
        <v>#DIV/0!</v>
      </c>
      <c r="AZ429" s="29" t="str">
        <f t="shared" si="432"/>
        <v>#DIV/0!</v>
      </c>
      <c r="BA429" s="29" t="str">
        <f t="shared" si="432"/>
        <v>#DIV/0!</v>
      </c>
      <c r="BB429" s="29" t="str">
        <f t="shared" si="432"/>
        <v>#DIV/0!</v>
      </c>
      <c r="BC429" s="29" t="str">
        <f t="shared" si="432"/>
        <v>#DIV/0!</v>
      </c>
      <c r="BD429" s="29" t="str">
        <f t="shared" si="432"/>
        <v>#DIV/0!</v>
      </c>
      <c r="BE429" s="29" t="str">
        <f t="shared" si="432"/>
        <v>#DIV/0!</v>
      </c>
      <c r="BF429" s="29" t="str">
        <f t="shared" si="432"/>
        <v>#DIV/0!</v>
      </c>
      <c r="BG429" s="29" t="str">
        <f t="shared" si="432"/>
        <v>#DIV/0!</v>
      </c>
      <c r="BH429" s="29" t="str">
        <f t="shared" si="432"/>
        <v>#DIV/0!</v>
      </c>
      <c r="BI429" s="29" t="str">
        <f t="shared" si="432"/>
        <v>#DIV/0!</v>
      </c>
      <c r="BJ429" s="29" t="str">
        <f t="shared" si="432"/>
        <v>#DIV/0!</v>
      </c>
      <c r="BK429" s="29" t="str">
        <f t="shared" si="432"/>
        <v>#DIV/0!</v>
      </c>
      <c r="BL429" s="29" t="str">
        <f t="shared" si="432"/>
        <v>#DIV/0!</v>
      </c>
      <c r="BM429" s="29" t="str">
        <f t="shared" si="3"/>
        <v>#DIV/0!</v>
      </c>
    </row>
    <row r="430">
      <c r="A430" s="16" t="str">
        <f>IFERROR(__xludf.DUMMYFUNCTION("IFERROR(SPARKLINE(SORT(MAP(TRANSPOSE(AQ430:BL430), LAMBDA(val, IF(ISNUMBER(val), PERCENTRANK(AQ430:BL430, val)+0.01, 0))), SEQUENCE(COLUMNS(AQ430:BL430)), FALSE), {""charttype"",""column""; ""color"",""chartreuse""; ""ymin"", 0; ""ymax"", 1.01; ""highcolo"&amp;"r"", ""darkgreen""; ""lowcolor"", ""red""}), """")"),"")</f>
        <v/>
      </c>
      <c r="B430" s="17" t="str">
        <f t="shared" si="4"/>
        <v/>
      </c>
      <c r="C430" s="1" t="s">
        <v>1984</v>
      </c>
      <c r="D430" s="34" t="str">
        <f>IFERROR(__xludf.DUMMYFUNCTION("IFERROR(GOOGLEFINANCE(C430, ""NAME""))"),"Virtus Investment Partners Inc")</f>
        <v>Virtus Investment Partners Inc</v>
      </c>
      <c r="E430" s="30" t="s">
        <v>64</v>
      </c>
      <c r="F430" s="33" t="str">
        <f>IFERROR(__xludf.DUMMYFUNCTION("( (GOOGLEFINANCE(C430, ""price"") - Q430) / Q430 ) / (R430 / 100)"),"Loading...")</f>
        <v>Loading...</v>
      </c>
      <c r="G430" s="20" t="str">
        <f>IFERROR(__xludf.DUMMYFUNCTION("AVERAGE(ARRAYFORMULA(100 * (QUERY(GOOGLEFINANCE(C430, ""high"", TODAY()-40, TODAY()), ""SELECT Col2 WHERE Col2 IS NOT NULL ORDER BY Col1 DESC LIMIT 20"", 0) / QUERY(GOOGLEFINANCE(C430, ""low"", TODAY()-40, TODAY()), ""SELECT Col2 WHERE Col2 IS NOT NULL OR"&amp;"DER BY Col1 DESC LIMIT 20"", 0) - 1)))"),"#N/A")</f>
        <v>#N/A</v>
      </c>
      <c r="H430" s="35" t="str">
        <f t="shared" si="6"/>
        <v/>
      </c>
      <c r="I430" s="36" t="str">
        <f t="shared" si="7"/>
        <v/>
      </c>
      <c r="J430" s="37" t="str">
        <f>IFERROR(__xludf.DUMMYFUNCTION("IFERROR(
  IF(C430="""",, 
    IFERROR(
      GOOGLEFINANCE(C430, ""price"") * GOOGLEFINANCE(C430, ""volumeavg""), 
      GOOGLEFINANCE(C430, ""price"") * AVERAGE(QUERY(GOOGLEFINANCE(C430, ""volume"", TODAY()-40, TODAY()), ""SELECT Col2 WHERE Col2 IS NOT "&amp;"NULL ORDER BY Col1 DESC LIMIT 20"", 0))
    )
  ), 
"""")"),"")</f>
        <v/>
      </c>
      <c r="K430" s="21" t="str">
        <f>IFERROR(__xludf.DUMMYFUNCTION("IFERROR(GOOGLEFINANCE(C430, ""changepct"") / 100, """")"),"")</f>
        <v/>
      </c>
      <c r="L430" s="21" t="str">
        <f>IFERROR(__xludf.DUMMYFUNCTION("IFERROR((GOOGLEFINANCE(C430, ""price"") / INDEX(GOOGLEFINANCE(C430, ""price"", TODAY()-7, TODAY()), 2, 2)) - 1, """")"),"")</f>
        <v/>
      </c>
      <c r="M430" s="21" t="str">
        <f>IFERROR(__xludf.DUMMYFUNCTION("IFERROR((GOOGLEFINANCE(C430, ""price"") / INDEX(GOOGLEFINANCE(C430, ""price"", EDATE(TODAY(), -1), TODAY()), 2, 2)) - 1, """")"),"")</f>
        <v/>
      </c>
      <c r="N430" s="21" t="str">
        <f>IFERROR(__xludf.DUMMYFUNCTION("IFERROR((GOOGLEFINANCE(C430, ""price"") / INDEX(GOOGLEFINANCE(C430, ""price"", EDATE(TODAY(), -3), TODAY()), 2, 2)) - 1, """")"),"")</f>
        <v/>
      </c>
      <c r="O430" s="21" t="str">
        <f>IFERROR(__xludf.DUMMYFUNCTION("IFERROR((GOOGLEFINANCE(C430, ""price"") / INDEX(GOOGLEFINANCE(C430, ""price"", EDATE(TODAY(), -6), TODAY()), 2, 2)) - 1, """")"),"")</f>
        <v/>
      </c>
      <c r="P430" s="21" t="str">
        <f>IFERROR(__xludf.DUMMYFUNCTION("IFERROR((GOOGLEFINANCE(C430, ""price"") / INDEX(GOOGLEFINANCE(C430, ""price"", EDATE(TODAY(), -12), TODAY()), 2, 2)) - 1, """")"),"")</f>
        <v/>
      </c>
      <c r="Q430" s="6" t="str">
        <f>IFERROR(__xludf.DUMMYFUNCTION("AVERAGE(QUERY(GOOGLEFINANCE(C430, ""price"", TODAY()-80, TODAY()), ""SELECT Col2 WHERE Col2 IS NOT NULL ORDER BY Col1 DESC LIMIT 50"", 0))"),"#N/A")</f>
        <v>#N/A</v>
      </c>
      <c r="R430" s="24" t="str">
        <f>IFERROR(__xludf.DUMMYFUNCTION("IFERROR(
  LET(
    data, QUERY(GOOGLEFINANCE(C430,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GOOGLEFINANCE(C430, ""price"")) * 100,
    IF(calc=0, G430, calc)
  ), 
G430)"),"#N/A")</f>
        <v>#N/A</v>
      </c>
      <c r="S430" s="8" t="s">
        <v>15</v>
      </c>
      <c r="T430" s="26" t="str">
        <f>IFERROR(__xludf.DUMMYFUNCTION("IFERROR(TRANSPOSE(QUERY(IFERROR(SORT(GOOGLEFINANCE(C430, ""price"", WORKDAY(TODAY(), -40), TODAY()), 1, FALSE)), ""select Col2 where Col2 is not null limit 22 label Col2 ''"", 0)), """")"),"")</f>
        <v/>
      </c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8"/>
      <c r="AO430" s="28"/>
      <c r="AP430" s="29"/>
      <c r="AQ430" s="29" t="str">
        <f t="shared" ref="AQ430:BL430" si="433">T430/T$2</f>
        <v>#N/A</v>
      </c>
      <c r="AR430" s="29" t="str">
        <f t="shared" si="433"/>
        <v>#DIV/0!</v>
      </c>
      <c r="AS430" s="29" t="str">
        <f t="shared" si="433"/>
        <v>#DIV/0!</v>
      </c>
      <c r="AT430" s="29" t="str">
        <f t="shared" si="433"/>
        <v>#DIV/0!</v>
      </c>
      <c r="AU430" s="29" t="str">
        <f t="shared" si="433"/>
        <v>#DIV/0!</v>
      </c>
      <c r="AV430" s="29" t="str">
        <f t="shared" si="433"/>
        <v>#DIV/0!</v>
      </c>
      <c r="AW430" s="29" t="str">
        <f t="shared" si="433"/>
        <v>#DIV/0!</v>
      </c>
      <c r="AX430" s="29" t="str">
        <f t="shared" si="433"/>
        <v>#DIV/0!</v>
      </c>
      <c r="AY430" s="29" t="str">
        <f t="shared" si="433"/>
        <v>#DIV/0!</v>
      </c>
      <c r="AZ430" s="29" t="str">
        <f t="shared" si="433"/>
        <v>#DIV/0!</v>
      </c>
      <c r="BA430" s="29" t="str">
        <f t="shared" si="433"/>
        <v>#DIV/0!</v>
      </c>
      <c r="BB430" s="29" t="str">
        <f t="shared" si="433"/>
        <v>#DIV/0!</v>
      </c>
      <c r="BC430" s="29" t="str">
        <f t="shared" si="433"/>
        <v>#DIV/0!</v>
      </c>
      <c r="BD430" s="29" t="str">
        <f t="shared" si="433"/>
        <v>#DIV/0!</v>
      </c>
      <c r="BE430" s="29" t="str">
        <f t="shared" si="433"/>
        <v>#DIV/0!</v>
      </c>
      <c r="BF430" s="29" t="str">
        <f t="shared" si="433"/>
        <v>#DIV/0!</v>
      </c>
      <c r="BG430" s="29" t="str">
        <f t="shared" si="433"/>
        <v>#DIV/0!</v>
      </c>
      <c r="BH430" s="29" t="str">
        <f t="shared" si="433"/>
        <v>#DIV/0!</v>
      </c>
      <c r="BI430" s="29" t="str">
        <f t="shared" si="433"/>
        <v>#DIV/0!</v>
      </c>
      <c r="BJ430" s="29" t="str">
        <f t="shared" si="433"/>
        <v>#DIV/0!</v>
      </c>
      <c r="BK430" s="29" t="str">
        <f t="shared" si="433"/>
        <v>#DIV/0!</v>
      </c>
      <c r="BL430" s="29" t="str">
        <f t="shared" si="433"/>
        <v>#DIV/0!</v>
      </c>
      <c r="BM430" s="29" t="str">
        <f t="shared" si="3"/>
        <v>#DIV/0!</v>
      </c>
    </row>
    <row r="431">
      <c r="A431" s="16" t="str">
        <f>IFERROR(__xludf.DUMMYFUNCTION("IFERROR(SPARKLINE(SORT(MAP(TRANSPOSE(AQ431:BL431), LAMBDA(val, IF(ISNUMBER(val), PERCENTRANK(AQ431:BL431, val)+0.01, 0))), SEQUENCE(COLUMNS(AQ431:BL431)), FALSE), {""charttype"",""column""; ""color"",""chartreuse""; ""ymin"", 0; ""ymax"", 1.01; ""highcolo"&amp;"r"", ""darkgreen""; ""lowcolor"", ""red""}), """")"),"")</f>
        <v/>
      </c>
      <c r="B431" s="17" t="str">
        <f t="shared" si="4"/>
        <v/>
      </c>
      <c r="C431" s="1" t="s">
        <v>1990</v>
      </c>
      <c r="D431" s="34" t="str">
        <f>IFERROR(__xludf.DUMMYFUNCTION("IFERROR(GOOGLEFINANCE(C431, ""NAME""))"),"Natwest Group PLC - ADR")</f>
        <v>Natwest Group PLC - ADR</v>
      </c>
      <c r="E431" s="30" t="s">
        <v>268</v>
      </c>
      <c r="F431" s="33" t="str">
        <f>IFERROR(__xludf.DUMMYFUNCTION("( (GOOGLEFINANCE(C431, ""price"") - Q431) / Q431 ) / (R431 / 100)"),"Loading...")</f>
        <v>Loading...</v>
      </c>
      <c r="G431" s="20" t="str">
        <f>IFERROR(__xludf.DUMMYFUNCTION("AVERAGE(ARRAYFORMULA(100 * (QUERY(GOOGLEFINANCE(C431, ""high"", TODAY()-40, TODAY()), ""SELECT Col2 WHERE Col2 IS NOT NULL ORDER BY Col1 DESC LIMIT 20"", 0) / QUERY(GOOGLEFINANCE(C431, ""low"", TODAY()-40, TODAY()), ""SELECT Col2 WHERE Col2 IS NOT NULL OR"&amp;"DER BY Col1 DESC LIMIT 20"", 0) - 1)))"),"#N/A")</f>
        <v>#N/A</v>
      </c>
      <c r="H431" s="35" t="str">
        <f t="shared" si="6"/>
        <v/>
      </c>
      <c r="I431" s="36" t="str">
        <f t="shared" si="7"/>
        <v/>
      </c>
      <c r="J431" s="37" t="str">
        <f>IFERROR(__xludf.DUMMYFUNCTION("IFERROR(
  IF(C431="""",, 
    IFERROR(
      GOOGLEFINANCE(C431, ""price"") * GOOGLEFINANCE(C431, ""volumeavg""), 
      GOOGLEFINANCE(C431, ""price"") * AVERAGE(QUERY(GOOGLEFINANCE(C431, ""volume"", TODAY()-40, TODAY()), ""SELECT Col2 WHERE Col2 IS NOT "&amp;"NULL ORDER BY Col1 DESC LIMIT 20"", 0))
    )
  ), 
"""")"),"")</f>
        <v/>
      </c>
      <c r="K431" s="21" t="str">
        <f>IFERROR(__xludf.DUMMYFUNCTION("IFERROR(GOOGLEFINANCE(C431, ""changepct"") / 100, """")"),"")</f>
        <v/>
      </c>
      <c r="L431" s="21" t="str">
        <f>IFERROR(__xludf.DUMMYFUNCTION("IFERROR((GOOGLEFINANCE(C431, ""price"") / INDEX(GOOGLEFINANCE(C431, ""price"", TODAY()-7, TODAY()), 2, 2)) - 1, """")"),"")</f>
        <v/>
      </c>
      <c r="M431" s="21" t="str">
        <f>IFERROR(__xludf.DUMMYFUNCTION("IFERROR((GOOGLEFINANCE(C431, ""price"") / INDEX(GOOGLEFINANCE(C431, ""price"", EDATE(TODAY(), -1), TODAY()), 2, 2)) - 1, """")"),"")</f>
        <v/>
      </c>
      <c r="N431" s="21" t="str">
        <f>IFERROR(__xludf.DUMMYFUNCTION("IFERROR((GOOGLEFINANCE(C431, ""price"") / INDEX(GOOGLEFINANCE(C431, ""price"", EDATE(TODAY(), -3), TODAY()), 2, 2)) - 1, """")"),"")</f>
        <v/>
      </c>
      <c r="O431" s="21" t="str">
        <f>IFERROR(__xludf.DUMMYFUNCTION("IFERROR((GOOGLEFINANCE(C431, ""price"") / INDEX(GOOGLEFINANCE(C431, ""price"", EDATE(TODAY(), -6), TODAY()), 2, 2)) - 1, """")"),"")</f>
        <v/>
      </c>
      <c r="P431" s="21" t="str">
        <f>IFERROR(__xludf.DUMMYFUNCTION("IFERROR((GOOGLEFINANCE(C431, ""price"") / INDEX(GOOGLEFINANCE(C431, ""price"", EDATE(TODAY(), -12), TODAY()), 2, 2)) - 1, """")"),"")</f>
        <v/>
      </c>
      <c r="Q431" s="6" t="str">
        <f>IFERROR(__xludf.DUMMYFUNCTION("AVERAGE(QUERY(GOOGLEFINANCE(C431, ""price"", TODAY()-80, TODAY()), ""SELECT Col2 WHERE Col2 IS NOT NULL ORDER BY Col1 DESC LIMIT 50"", 0))"),"#N/A")</f>
        <v>#N/A</v>
      </c>
      <c r="R431" s="24" t="str">
        <f>IFERROR(__xludf.DUMMYFUNCTION("IFERROR(
  LET(
    data, QUERY(GOOGLEFINANCE(C431,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GOOGLEFINANCE(C431, ""price"")) * 100,
    IF(calc=0, G431, calc)
  ), 
G431)"),"#N/A")</f>
        <v>#N/A</v>
      </c>
      <c r="S431" s="8" t="s">
        <v>15</v>
      </c>
      <c r="T431" s="26" t="str">
        <f>IFERROR(__xludf.DUMMYFUNCTION("IFERROR(TRANSPOSE(QUERY(IFERROR(SORT(GOOGLEFINANCE(C431, ""price"", WORKDAY(TODAY(), -40), TODAY()), 1, FALSE)), ""select Col2 where Col2 is not null limit 22 label Col2 ''"", 0)), """")"),"")</f>
        <v/>
      </c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8"/>
      <c r="AO431" s="28"/>
      <c r="AP431" s="29"/>
      <c r="AQ431" s="29" t="str">
        <f t="shared" ref="AQ431:BL431" si="434">T431/T$2</f>
        <v>#N/A</v>
      </c>
      <c r="AR431" s="29" t="str">
        <f t="shared" si="434"/>
        <v>#DIV/0!</v>
      </c>
      <c r="AS431" s="29" t="str">
        <f t="shared" si="434"/>
        <v>#DIV/0!</v>
      </c>
      <c r="AT431" s="29" t="str">
        <f t="shared" si="434"/>
        <v>#DIV/0!</v>
      </c>
      <c r="AU431" s="29" t="str">
        <f t="shared" si="434"/>
        <v>#DIV/0!</v>
      </c>
      <c r="AV431" s="29" t="str">
        <f t="shared" si="434"/>
        <v>#DIV/0!</v>
      </c>
      <c r="AW431" s="29" t="str">
        <f t="shared" si="434"/>
        <v>#DIV/0!</v>
      </c>
      <c r="AX431" s="29" t="str">
        <f t="shared" si="434"/>
        <v>#DIV/0!</v>
      </c>
      <c r="AY431" s="29" t="str">
        <f t="shared" si="434"/>
        <v>#DIV/0!</v>
      </c>
      <c r="AZ431" s="29" t="str">
        <f t="shared" si="434"/>
        <v>#DIV/0!</v>
      </c>
      <c r="BA431" s="29" t="str">
        <f t="shared" si="434"/>
        <v>#DIV/0!</v>
      </c>
      <c r="BB431" s="29" t="str">
        <f t="shared" si="434"/>
        <v>#DIV/0!</v>
      </c>
      <c r="BC431" s="29" t="str">
        <f t="shared" si="434"/>
        <v>#DIV/0!</v>
      </c>
      <c r="BD431" s="29" t="str">
        <f t="shared" si="434"/>
        <v>#DIV/0!</v>
      </c>
      <c r="BE431" s="29" t="str">
        <f t="shared" si="434"/>
        <v>#DIV/0!</v>
      </c>
      <c r="BF431" s="29" t="str">
        <f t="shared" si="434"/>
        <v>#DIV/0!</v>
      </c>
      <c r="BG431" s="29" t="str">
        <f t="shared" si="434"/>
        <v>#DIV/0!</v>
      </c>
      <c r="BH431" s="29" t="str">
        <f t="shared" si="434"/>
        <v>#DIV/0!</v>
      </c>
      <c r="BI431" s="29" t="str">
        <f t="shared" si="434"/>
        <v>#DIV/0!</v>
      </c>
      <c r="BJ431" s="29" t="str">
        <f t="shared" si="434"/>
        <v>#DIV/0!</v>
      </c>
      <c r="BK431" s="29" t="str">
        <f t="shared" si="434"/>
        <v>#DIV/0!</v>
      </c>
      <c r="BL431" s="29" t="str">
        <f t="shared" si="434"/>
        <v>#DIV/0!</v>
      </c>
      <c r="BM431" s="29" t="str">
        <f t="shared" si="3"/>
        <v>#DIV/0!</v>
      </c>
    </row>
    <row r="432">
      <c r="A432" s="16" t="str">
        <f>IFERROR(__xludf.DUMMYFUNCTION("IFERROR(SPARKLINE(SORT(MAP(TRANSPOSE(AQ432:BL432), LAMBDA(val, IF(ISNUMBER(val), PERCENTRANK(AQ432:BL432, val)+0.01, 0))), SEQUENCE(COLUMNS(AQ432:BL432)), FALSE), {""charttype"",""column""; ""color"",""chartreuse""; ""ymin"", 0; ""ymax"", 1.01; ""highcolo"&amp;"r"", ""darkgreen""; ""lowcolor"", ""red""}), """")"),"")</f>
        <v/>
      </c>
      <c r="B432" s="17" t="str">
        <f t="shared" si="4"/>
        <v/>
      </c>
      <c r="C432" s="1" t="s">
        <v>1994</v>
      </c>
      <c r="D432" s="34" t="str">
        <f>IFERROR(__xludf.DUMMYFUNCTION("IFERROR(GOOGLEFINANCE(C432, ""NAME""))"),"Norwood Financial Corp")</f>
        <v>Norwood Financial Corp</v>
      </c>
      <c r="E432" s="30" t="s">
        <v>268</v>
      </c>
      <c r="F432" s="33" t="str">
        <f>IFERROR(__xludf.DUMMYFUNCTION("( (GOOGLEFINANCE(C432, ""price"") - Q432) / Q432 ) / (R432 / 100)"),"Loading...")</f>
        <v>Loading...</v>
      </c>
      <c r="G432" s="20" t="str">
        <f>IFERROR(__xludf.DUMMYFUNCTION("AVERAGE(ARRAYFORMULA(100 * (QUERY(GOOGLEFINANCE(C432, ""high"", TODAY()-40, TODAY()), ""SELECT Col2 WHERE Col2 IS NOT NULL ORDER BY Col1 DESC LIMIT 20"", 0) / QUERY(GOOGLEFINANCE(C432, ""low"", TODAY()-40, TODAY()), ""SELECT Col2 WHERE Col2 IS NOT NULL OR"&amp;"DER BY Col1 DESC LIMIT 20"", 0) - 1)))"),"#N/A")</f>
        <v>#N/A</v>
      </c>
      <c r="H432" s="35" t="str">
        <f t="shared" si="6"/>
        <v/>
      </c>
      <c r="I432" s="36" t="str">
        <f t="shared" si="7"/>
        <v/>
      </c>
      <c r="J432" s="37" t="str">
        <f>IFERROR(__xludf.DUMMYFUNCTION("IFERROR(
  IF(C432="""",, 
    IFERROR(
      GOOGLEFINANCE(C432, ""price"") * GOOGLEFINANCE(C432, ""volumeavg""), 
      GOOGLEFINANCE(C432, ""price"") * AVERAGE(QUERY(GOOGLEFINANCE(C432, ""volume"", TODAY()-40, TODAY()), ""SELECT Col2 WHERE Col2 IS NOT "&amp;"NULL ORDER BY Col1 DESC LIMIT 20"", 0))
    )
  ), 
"""")"),"")</f>
        <v/>
      </c>
      <c r="K432" s="21" t="str">
        <f>IFERROR(__xludf.DUMMYFUNCTION("IFERROR(GOOGLEFINANCE(C432, ""changepct"") / 100, """")"),"")</f>
        <v/>
      </c>
      <c r="L432" s="21" t="str">
        <f>IFERROR(__xludf.DUMMYFUNCTION("IFERROR((GOOGLEFINANCE(C432, ""price"") / INDEX(GOOGLEFINANCE(C432, ""price"", TODAY()-7, TODAY()), 2, 2)) - 1, """")"),"")</f>
        <v/>
      </c>
      <c r="M432" s="21" t="str">
        <f>IFERROR(__xludf.DUMMYFUNCTION("IFERROR((GOOGLEFINANCE(C432, ""price"") / INDEX(GOOGLEFINANCE(C432, ""price"", EDATE(TODAY(), -1), TODAY()), 2, 2)) - 1, """")"),"")</f>
        <v/>
      </c>
      <c r="N432" s="21" t="str">
        <f>IFERROR(__xludf.DUMMYFUNCTION("IFERROR((GOOGLEFINANCE(C432, ""price"") / INDEX(GOOGLEFINANCE(C432, ""price"", EDATE(TODAY(), -3), TODAY()), 2, 2)) - 1, """")"),"")</f>
        <v/>
      </c>
      <c r="O432" s="21" t="str">
        <f>IFERROR(__xludf.DUMMYFUNCTION("IFERROR((GOOGLEFINANCE(C432, ""price"") / INDEX(GOOGLEFINANCE(C432, ""price"", EDATE(TODAY(), -6), TODAY()), 2, 2)) - 1, """")"),"")</f>
        <v/>
      </c>
      <c r="P432" s="21" t="str">
        <f>IFERROR(__xludf.DUMMYFUNCTION("IFERROR((GOOGLEFINANCE(C432, ""price"") / INDEX(GOOGLEFINANCE(C432, ""price"", EDATE(TODAY(), -12), TODAY()), 2, 2)) - 1, """")"),"")</f>
        <v/>
      </c>
      <c r="Q432" s="6" t="str">
        <f>IFERROR(__xludf.DUMMYFUNCTION("AVERAGE(QUERY(GOOGLEFINANCE(C432, ""price"", TODAY()-80, TODAY()), ""SELECT Col2 WHERE Col2 IS NOT NULL ORDER BY Col1 DESC LIMIT 50"", 0))"),"#N/A")</f>
        <v>#N/A</v>
      </c>
      <c r="R432" s="24" t="str">
        <f>IFERROR(__xludf.DUMMYFUNCTION("IFERROR(
  LET(
    data, QUERY(GOOGLEFINANCE(C432,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GOOGLEFINANCE(C432, ""price"")) * 100,
    IF(calc=0, G432, calc)
  ), 
G432)"),"#N/A")</f>
        <v>#N/A</v>
      </c>
      <c r="S432" s="8" t="s">
        <v>15</v>
      </c>
      <c r="T432" s="26" t="str">
        <f>IFERROR(__xludf.DUMMYFUNCTION("IFERROR(TRANSPOSE(QUERY(IFERROR(SORT(GOOGLEFINANCE(C432, ""price"", WORKDAY(TODAY(), -40), TODAY()), 1, FALSE)), ""select Col2 where Col2 is not null limit 22 label Col2 ''"", 0)), """")"),"")</f>
        <v/>
      </c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8"/>
      <c r="AO432" s="28"/>
      <c r="AP432" s="29"/>
      <c r="AQ432" s="29" t="str">
        <f t="shared" ref="AQ432:BL432" si="435">T432/T$2</f>
        <v>#N/A</v>
      </c>
      <c r="AR432" s="29" t="str">
        <f t="shared" si="435"/>
        <v>#DIV/0!</v>
      </c>
      <c r="AS432" s="29" t="str">
        <f t="shared" si="435"/>
        <v>#DIV/0!</v>
      </c>
      <c r="AT432" s="29" t="str">
        <f t="shared" si="435"/>
        <v>#DIV/0!</v>
      </c>
      <c r="AU432" s="29" t="str">
        <f t="shared" si="435"/>
        <v>#DIV/0!</v>
      </c>
      <c r="AV432" s="29" t="str">
        <f t="shared" si="435"/>
        <v>#DIV/0!</v>
      </c>
      <c r="AW432" s="29" t="str">
        <f t="shared" si="435"/>
        <v>#DIV/0!</v>
      </c>
      <c r="AX432" s="29" t="str">
        <f t="shared" si="435"/>
        <v>#DIV/0!</v>
      </c>
      <c r="AY432" s="29" t="str">
        <f t="shared" si="435"/>
        <v>#DIV/0!</v>
      </c>
      <c r="AZ432" s="29" t="str">
        <f t="shared" si="435"/>
        <v>#DIV/0!</v>
      </c>
      <c r="BA432" s="29" t="str">
        <f t="shared" si="435"/>
        <v>#DIV/0!</v>
      </c>
      <c r="BB432" s="29" t="str">
        <f t="shared" si="435"/>
        <v>#DIV/0!</v>
      </c>
      <c r="BC432" s="29" t="str">
        <f t="shared" si="435"/>
        <v>#DIV/0!</v>
      </c>
      <c r="BD432" s="29" t="str">
        <f t="shared" si="435"/>
        <v>#DIV/0!</v>
      </c>
      <c r="BE432" s="29" t="str">
        <f t="shared" si="435"/>
        <v>#DIV/0!</v>
      </c>
      <c r="BF432" s="29" t="str">
        <f t="shared" si="435"/>
        <v>#DIV/0!</v>
      </c>
      <c r="BG432" s="29" t="str">
        <f t="shared" si="435"/>
        <v>#DIV/0!</v>
      </c>
      <c r="BH432" s="29" t="str">
        <f t="shared" si="435"/>
        <v>#DIV/0!</v>
      </c>
      <c r="BI432" s="29" t="str">
        <f t="shared" si="435"/>
        <v>#DIV/0!</v>
      </c>
      <c r="BJ432" s="29" t="str">
        <f t="shared" si="435"/>
        <v>#DIV/0!</v>
      </c>
      <c r="BK432" s="29" t="str">
        <f t="shared" si="435"/>
        <v>#DIV/0!</v>
      </c>
      <c r="BL432" s="29" t="str">
        <f t="shared" si="435"/>
        <v>#DIV/0!</v>
      </c>
      <c r="BM432" s="29" t="str">
        <f t="shared" si="3"/>
        <v>#DIV/0!</v>
      </c>
    </row>
    <row r="433">
      <c r="A433" s="16" t="str">
        <f>IFERROR(__xludf.DUMMYFUNCTION("IFERROR(SPARKLINE(SORT(MAP(TRANSPOSE(AQ433:BL433), LAMBDA(val, IF(ISNUMBER(val), PERCENTRANK(AQ433:BL433, val)+0.01, 0))), SEQUENCE(COLUMNS(AQ433:BL433)), FALSE), {""charttype"",""column""; ""color"",""chartreuse""; ""ymin"", 0; ""ymax"", 1.01; ""highcolo"&amp;"r"", ""darkgreen""; ""lowcolor"", ""red""}), """")"),"")</f>
        <v/>
      </c>
      <c r="B433" s="17" t="str">
        <f t="shared" si="4"/>
        <v/>
      </c>
      <c r="C433" s="1" t="s">
        <v>1998</v>
      </c>
      <c r="D433" s="34" t="str">
        <f>IFERROR(__xludf.DUMMYFUNCTION("IFERROR(GOOGLEFINANCE(C433, ""NAME""))"),"Firstsun Capital Bancorp")</f>
        <v>Firstsun Capital Bancorp</v>
      </c>
      <c r="E433" s="30" t="s">
        <v>268</v>
      </c>
      <c r="F433" s="33" t="str">
        <f>IFERROR(__xludf.DUMMYFUNCTION("( (GOOGLEFINANCE(C433, ""price"") - Q433) / Q433 ) / (R433 / 100)"),"Loading...")</f>
        <v>Loading...</v>
      </c>
      <c r="G433" s="20" t="str">
        <f>IFERROR(__xludf.DUMMYFUNCTION("AVERAGE(ARRAYFORMULA(100 * (QUERY(GOOGLEFINANCE(C433, ""high"", TODAY()-40, TODAY()), ""SELECT Col2 WHERE Col2 IS NOT NULL ORDER BY Col1 DESC LIMIT 20"", 0) / QUERY(GOOGLEFINANCE(C433, ""low"", TODAY()-40, TODAY()), ""SELECT Col2 WHERE Col2 IS NOT NULL OR"&amp;"DER BY Col1 DESC LIMIT 20"", 0) - 1)))"),"#N/A")</f>
        <v>#N/A</v>
      </c>
      <c r="H433" s="35" t="str">
        <f t="shared" si="6"/>
        <v/>
      </c>
      <c r="I433" s="36" t="str">
        <f t="shared" si="7"/>
        <v/>
      </c>
      <c r="J433" s="37" t="str">
        <f>IFERROR(__xludf.DUMMYFUNCTION("IFERROR(
  IF(C433="""",, 
    IFERROR(
      GOOGLEFINANCE(C433, ""price"") * GOOGLEFINANCE(C433, ""volumeavg""), 
      GOOGLEFINANCE(C433, ""price"") * AVERAGE(QUERY(GOOGLEFINANCE(C433, ""volume"", TODAY()-40, TODAY()), ""SELECT Col2 WHERE Col2 IS NOT "&amp;"NULL ORDER BY Col1 DESC LIMIT 20"", 0))
    )
  ), 
"""")"),"")</f>
        <v/>
      </c>
      <c r="K433" s="21" t="str">
        <f>IFERROR(__xludf.DUMMYFUNCTION("IFERROR(GOOGLEFINANCE(C433, ""changepct"") / 100, """")"),"")</f>
        <v/>
      </c>
      <c r="L433" s="21" t="str">
        <f>IFERROR(__xludf.DUMMYFUNCTION("IFERROR((GOOGLEFINANCE(C433, ""price"") / INDEX(GOOGLEFINANCE(C433, ""price"", TODAY()-7, TODAY()), 2, 2)) - 1, """")"),"")</f>
        <v/>
      </c>
      <c r="M433" s="21" t="str">
        <f>IFERROR(__xludf.DUMMYFUNCTION("IFERROR((GOOGLEFINANCE(C433, ""price"") / INDEX(GOOGLEFINANCE(C433, ""price"", EDATE(TODAY(), -1), TODAY()), 2, 2)) - 1, """")"),"")</f>
        <v/>
      </c>
      <c r="N433" s="21" t="str">
        <f>IFERROR(__xludf.DUMMYFUNCTION("IFERROR((GOOGLEFINANCE(C433, ""price"") / INDEX(GOOGLEFINANCE(C433, ""price"", EDATE(TODAY(), -3), TODAY()), 2, 2)) - 1, """")"),"")</f>
        <v/>
      </c>
      <c r="O433" s="21" t="str">
        <f>IFERROR(__xludf.DUMMYFUNCTION("IFERROR((GOOGLEFINANCE(C433, ""price"") / INDEX(GOOGLEFINANCE(C433, ""price"", EDATE(TODAY(), -6), TODAY()), 2, 2)) - 1, """")"),"")</f>
        <v/>
      </c>
      <c r="P433" s="21" t="str">
        <f>IFERROR(__xludf.DUMMYFUNCTION("IFERROR((GOOGLEFINANCE(C433, ""price"") / INDEX(GOOGLEFINANCE(C433, ""price"", EDATE(TODAY(), -12), TODAY()), 2, 2)) - 1, """")"),"")</f>
        <v/>
      </c>
      <c r="Q433" s="6" t="str">
        <f>IFERROR(__xludf.DUMMYFUNCTION("AVERAGE(QUERY(GOOGLEFINANCE(C433, ""price"", TODAY()-80, TODAY()), ""SELECT Col2 WHERE Col2 IS NOT NULL ORDER BY Col1 DESC LIMIT 50"", 0))"),"#N/A")</f>
        <v>#N/A</v>
      </c>
      <c r="R433" s="24" t="str">
        <f>IFERROR(__xludf.DUMMYFUNCTION("IFERROR(
  LET(
    data, QUERY(GOOGLEFINANCE(C433,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GOOGLEFINANCE(C433, ""price"")) * 100,
    IF(calc=0, G433, calc)
  ), 
G433)"),"#N/A")</f>
        <v>#N/A</v>
      </c>
      <c r="S433" s="8" t="s">
        <v>15</v>
      </c>
      <c r="T433" s="26" t="str">
        <f>IFERROR(__xludf.DUMMYFUNCTION("IFERROR(TRANSPOSE(QUERY(IFERROR(SORT(GOOGLEFINANCE(C433, ""price"", WORKDAY(TODAY(), -40), TODAY()), 1, FALSE)), ""select Col2 where Col2 is not null limit 22 label Col2 ''"", 0)), """")"),"")</f>
        <v/>
      </c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8"/>
      <c r="AO433" s="28"/>
      <c r="AP433" s="29"/>
      <c r="AQ433" s="29" t="str">
        <f t="shared" ref="AQ433:BL433" si="436">T433/T$2</f>
        <v>#N/A</v>
      </c>
      <c r="AR433" s="29" t="str">
        <f t="shared" si="436"/>
        <v>#DIV/0!</v>
      </c>
      <c r="AS433" s="29" t="str">
        <f t="shared" si="436"/>
        <v>#DIV/0!</v>
      </c>
      <c r="AT433" s="29" t="str">
        <f t="shared" si="436"/>
        <v>#DIV/0!</v>
      </c>
      <c r="AU433" s="29" t="str">
        <f t="shared" si="436"/>
        <v>#DIV/0!</v>
      </c>
      <c r="AV433" s="29" t="str">
        <f t="shared" si="436"/>
        <v>#DIV/0!</v>
      </c>
      <c r="AW433" s="29" t="str">
        <f t="shared" si="436"/>
        <v>#DIV/0!</v>
      </c>
      <c r="AX433" s="29" t="str">
        <f t="shared" si="436"/>
        <v>#DIV/0!</v>
      </c>
      <c r="AY433" s="29" t="str">
        <f t="shared" si="436"/>
        <v>#DIV/0!</v>
      </c>
      <c r="AZ433" s="29" t="str">
        <f t="shared" si="436"/>
        <v>#DIV/0!</v>
      </c>
      <c r="BA433" s="29" t="str">
        <f t="shared" si="436"/>
        <v>#DIV/0!</v>
      </c>
      <c r="BB433" s="29" t="str">
        <f t="shared" si="436"/>
        <v>#DIV/0!</v>
      </c>
      <c r="BC433" s="29" t="str">
        <f t="shared" si="436"/>
        <v>#DIV/0!</v>
      </c>
      <c r="BD433" s="29" t="str">
        <f t="shared" si="436"/>
        <v>#DIV/0!</v>
      </c>
      <c r="BE433" s="29" t="str">
        <f t="shared" si="436"/>
        <v>#DIV/0!</v>
      </c>
      <c r="BF433" s="29" t="str">
        <f t="shared" si="436"/>
        <v>#DIV/0!</v>
      </c>
      <c r="BG433" s="29" t="str">
        <f t="shared" si="436"/>
        <v>#DIV/0!</v>
      </c>
      <c r="BH433" s="29" t="str">
        <f t="shared" si="436"/>
        <v>#DIV/0!</v>
      </c>
      <c r="BI433" s="29" t="str">
        <f t="shared" si="436"/>
        <v>#DIV/0!</v>
      </c>
      <c r="BJ433" s="29" t="str">
        <f t="shared" si="436"/>
        <v>#DIV/0!</v>
      </c>
      <c r="BK433" s="29" t="str">
        <f t="shared" si="436"/>
        <v>#DIV/0!</v>
      </c>
      <c r="BL433" s="29" t="str">
        <f t="shared" si="436"/>
        <v>#DIV/0!</v>
      </c>
      <c r="BM433" s="29" t="str">
        <f t="shared" si="3"/>
        <v>#DIV/0!</v>
      </c>
    </row>
    <row r="434">
      <c r="A434" s="16" t="str">
        <f>IFERROR(__xludf.DUMMYFUNCTION("IFERROR(SPARKLINE(SORT(MAP(TRANSPOSE(AQ434:BL434), LAMBDA(val, IF(ISNUMBER(val), PERCENTRANK(AQ434:BL434, val)+0.01, 0))), SEQUENCE(COLUMNS(AQ434:BL434)), FALSE), {""charttype"",""column""; ""color"",""chartreuse""; ""ymin"", 0; ""ymax"", 1.01; ""highcolo"&amp;"r"", ""darkgreen""; ""lowcolor"", ""red""}), """")"),"")</f>
        <v/>
      </c>
      <c r="B434" s="17" t="str">
        <f t="shared" si="4"/>
        <v/>
      </c>
      <c r="C434" s="1" t="s">
        <v>2003</v>
      </c>
      <c r="D434" s="34" t="str">
        <f>IFERROR(__xludf.DUMMYFUNCTION("IFERROR(GOOGLEFINANCE(C434, ""NAME""))"),"Morgan Stanley")</f>
        <v>Morgan Stanley</v>
      </c>
      <c r="E434" s="30" t="s">
        <v>77</v>
      </c>
      <c r="F434" s="33" t="str">
        <f>IFERROR(__xludf.DUMMYFUNCTION("( (GOOGLEFINANCE(C434, ""price"") - Q434) / Q434 ) / (R434 / 100)"),"Loading...")</f>
        <v>Loading...</v>
      </c>
      <c r="G434" s="20" t="str">
        <f>IFERROR(__xludf.DUMMYFUNCTION("AVERAGE(ARRAYFORMULA(100 * (QUERY(GOOGLEFINANCE(C434, ""high"", TODAY()-40, TODAY()), ""SELECT Col2 WHERE Col2 IS NOT NULL ORDER BY Col1 DESC LIMIT 20"", 0) / QUERY(GOOGLEFINANCE(C434, ""low"", TODAY()-40, TODAY()), ""SELECT Col2 WHERE Col2 IS NOT NULL OR"&amp;"DER BY Col1 DESC LIMIT 20"", 0) - 1)))"),"#N/A")</f>
        <v>#N/A</v>
      </c>
      <c r="H434" s="35" t="str">
        <f t="shared" si="6"/>
        <v/>
      </c>
      <c r="I434" s="36" t="str">
        <f t="shared" si="7"/>
        <v/>
      </c>
      <c r="J434" s="37" t="str">
        <f>IFERROR(__xludf.DUMMYFUNCTION("IFERROR(
  IF(C434="""",, 
    IFERROR(
      GOOGLEFINANCE(C434, ""price"") * GOOGLEFINANCE(C434, ""volumeavg""), 
      GOOGLEFINANCE(C434, ""price"") * AVERAGE(QUERY(GOOGLEFINANCE(C434, ""volume"", TODAY()-40, TODAY()), ""SELECT Col2 WHERE Col2 IS NOT "&amp;"NULL ORDER BY Col1 DESC LIMIT 20"", 0))
    )
  ), 
"""")"),"")</f>
        <v/>
      </c>
      <c r="K434" s="21" t="str">
        <f>IFERROR(__xludf.DUMMYFUNCTION("IFERROR(GOOGLEFINANCE(C434, ""changepct"") / 100, """")"),"")</f>
        <v/>
      </c>
      <c r="L434" s="21" t="str">
        <f>IFERROR(__xludf.DUMMYFUNCTION("IFERROR((GOOGLEFINANCE(C434, ""price"") / INDEX(GOOGLEFINANCE(C434, ""price"", TODAY()-7, TODAY()), 2, 2)) - 1, """")"),"")</f>
        <v/>
      </c>
      <c r="M434" s="21" t="str">
        <f>IFERROR(__xludf.DUMMYFUNCTION("IFERROR((GOOGLEFINANCE(C434, ""price"") / INDEX(GOOGLEFINANCE(C434, ""price"", EDATE(TODAY(), -1), TODAY()), 2, 2)) - 1, """")"),"")</f>
        <v/>
      </c>
      <c r="N434" s="21" t="str">
        <f>IFERROR(__xludf.DUMMYFUNCTION("IFERROR((GOOGLEFINANCE(C434, ""price"") / INDEX(GOOGLEFINANCE(C434, ""price"", EDATE(TODAY(), -3), TODAY()), 2, 2)) - 1, """")"),"")</f>
        <v/>
      </c>
      <c r="O434" s="21" t="str">
        <f>IFERROR(__xludf.DUMMYFUNCTION("IFERROR((GOOGLEFINANCE(C434, ""price"") / INDEX(GOOGLEFINANCE(C434, ""price"", EDATE(TODAY(), -6), TODAY()), 2, 2)) - 1, """")"),"")</f>
        <v/>
      </c>
      <c r="P434" s="21" t="str">
        <f>IFERROR(__xludf.DUMMYFUNCTION("IFERROR((GOOGLEFINANCE(C434, ""price"") / INDEX(GOOGLEFINANCE(C434, ""price"", EDATE(TODAY(), -12), TODAY()), 2, 2)) - 1, """")"),"")</f>
        <v/>
      </c>
      <c r="Q434" s="6" t="str">
        <f>IFERROR(__xludf.DUMMYFUNCTION("AVERAGE(QUERY(GOOGLEFINANCE(C434, ""price"", TODAY()-80, TODAY()), ""SELECT Col2 WHERE Col2 IS NOT NULL ORDER BY Col1 DESC LIMIT 50"", 0))"),"#N/A")</f>
        <v>#N/A</v>
      </c>
      <c r="R434" s="24" t="str">
        <f>IFERROR(__xludf.DUMMYFUNCTION("IFERROR(
  LET(
    data, QUERY(GOOGLEFINANCE(C434,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GOOGLEFINANCE(C434, ""price"")) * 100,
    IF(calc=0, G434, calc)
  ), 
G434)"),"#N/A")</f>
        <v>#N/A</v>
      </c>
      <c r="S434" s="8" t="s">
        <v>15</v>
      </c>
      <c r="T434" s="26" t="str">
        <f>IFERROR(__xludf.DUMMYFUNCTION("IFERROR(TRANSPOSE(QUERY(IFERROR(SORT(GOOGLEFINANCE(C434, ""price"", WORKDAY(TODAY(), -40), TODAY()), 1, FALSE)), ""select Col2 where Col2 is not null limit 22 label Col2 ''"", 0)), """")"),"")</f>
        <v/>
      </c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8"/>
      <c r="AO434" s="28"/>
      <c r="AP434" s="29"/>
      <c r="AQ434" s="29" t="str">
        <f t="shared" ref="AQ434:BL434" si="437">T434/T$2</f>
        <v>#N/A</v>
      </c>
      <c r="AR434" s="29" t="str">
        <f t="shared" si="437"/>
        <v>#DIV/0!</v>
      </c>
      <c r="AS434" s="29" t="str">
        <f t="shared" si="437"/>
        <v>#DIV/0!</v>
      </c>
      <c r="AT434" s="29" t="str">
        <f t="shared" si="437"/>
        <v>#DIV/0!</v>
      </c>
      <c r="AU434" s="29" t="str">
        <f t="shared" si="437"/>
        <v>#DIV/0!</v>
      </c>
      <c r="AV434" s="29" t="str">
        <f t="shared" si="437"/>
        <v>#DIV/0!</v>
      </c>
      <c r="AW434" s="29" t="str">
        <f t="shared" si="437"/>
        <v>#DIV/0!</v>
      </c>
      <c r="AX434" s="29" t="str">
        <f t="shared" si="437"/>
        <v>#DIV/0!</v>
      </c>
      <c r="AY434" s="29" t="str">
        <f t="shared" si="437"/>
        <v>#DIV/0!</v>
      </c>
      <c r="AZ434" s="29" t="str">
        <f t="shared" si="437"/>
        <v>#DIV/0!</v>
      </c>
      <c r="BA434" s="29" t="str">
        <f t="shared" si="437"/>
        <v>#DIV/0!</v>
      </c>
      <c r="BB434" s="29" t="str">
        <f t="shared" si="437"/>
        <v>#DIV/0!</v>
      </c>
      <c r="BC434" s="29" t="str">
        <f t="shared" si="437"/>
        <v>#DIV/0!</v>
      </c>
      <c r="BD434" s="29" t="str">
        <f t="shared" si="437"/>
        <v>#DIV/0!</v>
      </c>
      <c r="BE434" s="29" t="str">
        <f t="shared" si="437"/>
        <v>#DIV/0!</v>
      </c>
      <c r="BF434" s="29" t="str">
        <f t="shared" si="437"/>
        <v>#DIV/0!</v>
      </c>
      <c r="BG434" s="29" t="str">
        <f t="shared" si="437"/>
        <v>#DIV/0!</v>
      </c>
      <c r="BH434" s="29" t="str">
        <f t="shared" si="437"/>
        <v>#DIV/0!</v>
      </c>
      <c r="BI434" s="29" t="str">
        <f t="shared" si="437"/>
        <v>#DIV/0!</v>
      </c>
      <c r="BJ434" s="29" t="str">
        <f t="shared" si="437"/>
        <v>#DIV/0!</v>
      </c>
      <c r="BK434" s="29" t="str">
        <f t="shared" si="437"/>
        <v>#DIV/0!</v>
      </c>
      <c r="BL434" s="29" t="str">
        <f t="shared" si="437"/>
        <v>#DIV/0!</v>
      </c>
      <c r="BM434" s="29" t="str">
        <f t="shared" si="3"/>
        <v>#DIV/0!</v>
      </c>
    </row>
    <row r="435">
      <c r="A435" s="16" t="str">
        <f>IFERROR(__xludf.DUMMYFUNCTION("IFERROR(SPARKLINE(SORT(MAP(TRANSPOSE(AQ435:BL435), LAMBDA(val, IF(ISNUMBER(val), PERCENTRANK(AQ435:BL435, val)+0.01, 0))), SEQUENCE(COLUMNS(AQ435:BL435)), FALSE), {""charttype"",""column""; ""color"",""chartreuse""; ""ymin"", 0; ""ymax"", 1.01; ""highcolo"&amp;"r"", ""darkgreen""; ""lowcolor"", ""red""}), """")"),"")</f>
        <v/>
      </c>
      <c r="B435" s="17" t="str">
        <f t="shared" si="4"/>
        <v/>
      </c>
      <c r="C435" s="1" t="s">
        <v>2007</v>
      </c>
      <c r="D435" s="34" t="str">
        <f>IFERROR(__xludf.DUMMYFUNCTION("IFERROR(GOOGLEFINANCE(C435, ""NAME""))"),"Enact Holdings Inc")</f>
        <v>Enact Holdings Inc</v>
      </c>
      <c r="E435" s="30" t="s">
        <v>276</v>
      </c>
      <c r="F435" s="33" t="str">
        <f>IFERROR(__xludf.DUMMYFUNCTION("( (GOOGLEFINANCE(C435, ""price"") - Q435) / Q435 ) / (R435 / 100)"),"Loading...")</f>
        <v>Loading...</v>
      </c>
      <c r="G435" s="20" t="str">
        <f>IFERROR(__xludf.DUMMYFUNCTION("AVERAGE(ARRAYFORMULA(100 * (QUERY(GOOGLEFINANCE(C435, ""high"", TODAY()-40, TODAY()), ""SELECT Col2 WHERE Col2 IS NOT NULL ORDER BY Col1 DESC LIMIT 20"", 0) / QUERY(GOOGLEFINANCE(C435, ""low"", TODAY()-40, TODAY()), ""SELECT Col2 WHERE Col2 IS NOT NULL OR"&amp;"DER BY Col1 DESC LIMIT 20"", 0) - 1)))"),"#N/A")</f>
        <v>#N/A</v>
      </c>
      <c r="H435" s="35" t="str">
        <f t="shared" si="6"/>
        <v/>
      </c>
      <c r="I435" s="36" t="str">
        <f t="shared" si="7"/>
        <v/>
      </c>
      <c r="J435" s="37" t="str">
        <f>IFERROR(__xludf.DUMMYFUNCTION("IFERROR(
  IF(C435="""",, 
    IFERROR(
      GOOGLEFINANCE(C435, ""price"") * GOOGLEFINANCE(C435, ""volumeavg""), 
      GOOGLEFINANCE(C435, ""price"") * AVERAGE(QUERY(GOOGLEFINANCE(C435, ""volume"", TODAY()-40, TODAY()), ""SELECT Col2 WHERE Col2 IS NOT "&amp;"NULL ORDER BY Col1 DESC LIMIT 20"", 0))
    )
  ), 
"""")"),"")</f>
        <v/>
      </c>
      <c r="K435" s="21" t="str">
        <f>IFERROR(__xludf.DUMMYFUNCTION("IFERROR(GOOGLEFINANCE(C435, ""changepct"") / 100, """")"),"")</f>
        <v/>
      </c>
      <c r="L435" s="21" t="str">
        <f>IFERROR(__xludf.DUMMYFUNCTION("IFERROR((GOOGLEFINANCE(C435, ""price"") / INDEX(GOOGLEFINANCE(C435, ""price"", TODAY()-7, TODAY()), 2, 2)) - 1, """")"),"")</f>
        <v/>
      </c>
      <c r="M435" s="21" t="str">
        <f>IFERROR(__xludf.DUMMYFUNCTION("IFERROR((GOOGLEFINANCE(C435, ""price"") / INDEX(GOOGLEFINANCE(C435, ""price"", EDATE(TODAY(), -1), TODAY()), 2, 2)) - 1, """")"),"")</f>
        <v/>
      </c>
      <c r="N435" s="21" t="str">
        <f>IFERROR(__xludf.DUMMYFUNCTION("IFERROR((GOOGLEFINANCE(C435, ""price"") / INDEX(GOOGLEFINANCE(C435, ""price"", EDATE(TODAY(), -3), TODAY()), 2, 2)) - 1, """")"),"")</f>
        <v/>
      </c>
      <c r="O435" s="21" t="str">
        <f>IFERROR(__xludf.DUMMYFUNCTION("IFERROR((GOOGLEFINANCE(C435, ""price"") / INDEX(GOOGLEFINANCE(C435, ""price"", EDATE(TODAY(), -6), TODAY()), 2, 2)) - 1, """")"),"")</f>
        <v/>
      </c>
      <c r="P435" s="21" t="str">
        <f>IFERROR(__xludf.DUMMYFUNCTION("IFERROR((GOOGLEFINANCE(C435, ""price"") / INDEX(GOOGLEFINANCE(C435, ""price"", EDATE(TODAY(), -12), TODAY()), 2, 2)) - 1, """")"),"")</f>
        <v/>
      </c>
      <c r="Q435" s="6" t="str">
        <f>IFERROR(__xludf.DUMMYFUNCTION("AVERAGE(QUERY(GOOGLEFINANCE(C435, ""price"", TODAY()-80, TODAY()), ""SELECT Col2 WHERE Col2 IS NOT NULL ORDER BY Col1 DESC LIMIT 50"", 0))"),"#N/A")</f>
        <v>#N/A</v>
      </c>
      <c r="R435" s="24" t="str">
        <f>IFERROR(__xludf.DUMMYFUNCTION("IFERROR(
  LET(
    data, QUERY(GOOGLEFINANCE(C435,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GOOGLEFINANCE(C435, ""price"")) * 100,
    IF(calc=0, G435, calc)
  ), 
G435)"),"#N/A")</f>
        <v>#N/A</v>
      </c>
      <c r="S435" s="8" t="s">
        <v>15</v>
      </c>
      <c r="T435" s="26" t="str">
        <f>IFERROR(__xludf.DUMMYFUNCTION("IFERROR(TRANSPOSE(QUERY(IFERROR(SORT(GOOGLEFINANCE(C435, ""price"", WORKDAY(TODAY(), -40), TODAY()), 1, FALSE)), ""select Col2 where Col2 is not null limit 22 label Col2 ''"", 0)), """")"),"")</f>
        <v/>
      </c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8"/>
      <c r="AO435" s="28"/>
      <c r="AP435" s="29"/>
      <c r="AQ435" s="29" t="str">
        <f t="shared" ref="AQ435:BL435" si="438">T435/T$2</f>
        <v>#N/A</v>
      </c>
      <c r="AR435" s="29" t="str">
        <f t="shared" si="438"/>
        <v>#DIV/0!</v>
      </c>
      <c r="AS435" s="29" t="str">
        <f t="shared" si="438"/>
        <v>#DIV/0!</v>
      </c>
      <c r="AT435" s="29" t="str">
        <f t="shared" si="438"/>
        <v>#DIV/0!</v>
      </c>
      <c r="AU435" s="29" t="str">
        <f t="shared" si="438"/>
        <v>#DIV/0!</v>
      </c>
      <c r="AV435" s="29" t="str">
        <f t="shared" si="438"/>
        <v>#DIV/0!</v>
      </c>
      <c r="AW435" s="29" t="str">
        <f t="shared" si="438"/>
        <v>#DIV/0!</v>
      </c>
      <c r="AX435" s="29" t="str">
        <f t="shared" si="438"/>
        <v>#DIV/0!</v>
      </c>
      <c r="AY435" s="29" t="str">
        <f t="shared" si="438"/>
        <v>#DIV/0!</v>
      </c>
      <c r="AZ435" s="29" t="str">
        <f t="shared" si="438"/>
        <v>#DIV/0!</v>
      </c>
      <c r="BA435" s="29" t="str">
        <f t="shared" si="438"/>
        <v>#DIV/0!</v>
      </c>
      <c r="BB435" s="29" t="str">
        <f t="shared" si="438"/>
        <v>#DIV/0!</v>
      </c>
      <c r="BC435" s="29" t="str">
        <f t="shared" si="438"/>
        <v>#DIV/0!</v>
      </c>
      <c r="BD435" s="29" t="str">
        <f t="shared" si="438"/>
        <v>#DIV/0!</v>
      </c>
      <c r="BE435" s="29" t="str">
        <f t="shared" si="438"/>
        <v>#DIV/0!</v>
      </c>
      <c r="BF435" s="29" t="str">
        <f t="shared" si="438"/>
        <v>#DIV/0!</v>
      </c>
      <c r="BG435" s="29" t="str">
        <f t="shared" si="438"/>
        <v>#DIV/0!</v>
      </c>
      <c r="BH435" s="29" t="str">
        <f t="shared" si="438"/>
        <v>#DIV/0!</v>
      </c>
      <c r="BI435" s="29" t="str">
        <f t="shared" si="438"/>
        <v>#DIV/0!</v>
      </c>
      <c r="BJ435" s="29" t="str">
        <f t="shared" si="438"/>
        <v>#DIV/0!</v>
      </c>
      <c r="BK435" s="29" t="str">
        <f t="shared" si="438"/>
        <v>#DIV/0!</v>
      </c>
      <c r="BL435" s="29" t="str">
        <f t="shared" si="438"/>
        <v>#DIV/0!</v>
      </c>
      <c r="BM435" s="29" t="str">
        <f t="shared" si="3"/>
        <v>#DIV/0!</v>
      </c>
    </row>
    <row r="436">
      <c r="A436" s="16" t="str">
        <f>IFERROR(__xludf.DUMMYFUNCTION("IFERROR(SPARKLINE(SORT(MAP(TRANSPOSE(AQ436:BL436), LAMBDA(val, IF(ISNUMBER(val), PERCENTRANK(AQ436:BL436, val)+0.01, 0))), SEQUENCE(COLUMNS(AQ436:BL436)), FALSE), {""charttype"",""column""; ""color"",""chartreuse""; ""ymin"", 0; ""ymax"", 1.01; ""highcolo"&amp;"r"", ""darkgreen""; ""lowcolor"", ""red""}), """")"),"")</f>
        <v/>
      </c>
      <c r="B436" s="17" t="str">
        <f t="shared" si="4"/>
        <v/>
      </c>
      <c r="C436" s="1" t="s">
        <v>2011</v>
      </c>
      <c r="D436" s="34" t="str">
        <f>IFERROR(__xludf.DUMMYFUNCTION("IFERROR(GOOGLEFINANCE(C436, ""NAME""))"),"OFG Bancorp")</f>
        <v>OFG Bancorp</v>
      </c>
      <c r="E436" s="30" t="s">
        <v>268</v>
      </c>
      <c r="F436" s="33" t="str">
        <f>IFERROR(__xludf.DUMMYFUNCTION("( (GOOGLEFINANCE(C436, ""price"") - Q436) / Q436 ) / (R436 / 100)"),"Loading...")</f>
        <v>Loading...</v>
      </c>
      <c r="G436" s="20" t="str">
        <f>IFERROR(__xludf.DUMMYFUNCTION("AVERAGE(ARRAYFORMULA(100 * (QUERY(GOOGLEFINANCE(C436, ""high"", TODAY()-40, TODAY()), ""SELECT Col2 WHERE Col2 IS NOT NULL ORDER BY Col1 DESC LIMIT 20"", 0) / QUERY(GOOGLEFINANCE(C436, ""low"", TODAY()-40, TODAY()), ""SELECT Col2 WHERE Col2 IS NOT NULL OR"&amp;"DER BY Col1 DESC LIMIT 20"", 0) - 1)))"),"#N/A")</f>
        <v>#N/A</v>
      </c>
      <c r="H436" s="35" t="str">
        <f t="shared" si="6"/>
        <v/>
      </c>
      <c r="I436" s="36" t="str">
        <f t="shared" si="7"/>
        <v/>
      </c>
      <c r="J436" s="37" t="str">
        <f>IFERROR(__xludf.DUMMYFUNCTION("IFERROR(
  IF(C436="""",, 
    IFERROR(
      GOOGLEFINANCE(C436, ""price"") * GOOGLEFINANCE(C436, ""volumeavg""), 
      GOOGLEFINANCE(C436, ""price"") * AVERAGE(QUERY(GOOGLEFINANCE(C436, ""volume"", TODAY()-40, TODAY()), ""SELECT Col2 WHERE Col2 IS NOT "&amp;"NULL ORDER BY Col1 DESC LIMIT 20"", 0))
    )
  ), 
"""")"),"")</f>
        <v/>
      </c>
      <c r="K436" s="21" t="str">
        <f>IFERROR(__xludf.DUMMYFUNCTION("IFERROR(GOOGLEFINANCE(C436, ""changepct"") / 100, """")"),"")</f>
        <v/>
      </c>
      <c r="L436" s="21" t="str">
        <f>IFERROR(__xludf.DUMMYFUNCTION("IFERROR((GOOGLEFINANCE(C436, ""price"") / INDEX(GOOGLEFINANCE(C436, ""price"", TODAY()-7, TODAY()), 2, 2)) - 1, """")"),"")</f>
        <v/>
      </c>
      <c r="M436" s="21" t="str">
        <f>IFERROR(__xludf.DUMMYFUNCTION("IFERROR((GOOGLEFINANCE(C436, ""price"") / INDEX(GOOGLEFINANCE(C436, ""price"", EDATE(TODAY(), -1), TODAY()), 2, 2)) - 1, """")"),"")</f>
        <v/>
      </c>
      <c r="N436" s="21" t="str">
        <f>IFERROR(__xludf.DUMMYFUNCTION("IFERROR((GOOGLEFINANCE(C436, ""price"") / INDEX(GOOGLEFINANCE(C436, ""price"", EDATE(TODAY(), -3), TODAY()), 2, 2)) - 1, """")"),"")</f>
        <v/>
      </c>
      <c r="O436" s="21" t="str">
        <f>IFERROR(__xludf.DUMMYFUNCTION("IFERROR((GOOGLEFINANCE(C436, ""price"") / INDEX(GOOGLEFINANCE(C436, ""price"", EDATE(TODAY(), -6), TODAY()), 2, 2)) - 1, """")"),"")</f>
        <v/>
      </c>
      <c r="P436" s="21" t="str">
        <f>IFERROR(__xludf.DUMMYFUNCTION("IFERROR((GOOGLEFINANCE(C436, ""price"") / INDEX(GOOGLEFINANCE(C436, ""price"", EDATE(TODAY(), -12), TODAY()), 2, 2)) - 1, """")"),"")</f>
        <v/>
      </c>
      <c r="Q436" s="6" t="str">
        <f>IFERROR(__xludf.DUMMYFUNCTION("AVERAGE(QUERY(GOOGLEFINANCE(C436, ""price"", TODAY()-80, TODAY()), ""SELECT Col2 WHERE Col2 IS NOT NULL ORDER BY Col1 DESC LIMIT 50"", 0))"),"#N/A")</f>
        <v>#N/A</v>
      </c>
      <c r="R436" s="24" t="str">
        <f>IFERROR(__xludf.DUMMYFUNCTION("IFERROR(
  LET(
    data, QUERY(GOOGLEFINANCE(C436,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GOOGLEFINANCE(C436, ""price"")) * 100,
    IF(calc=0, G436, calc)
  ), 
G436)"),"#N/A")</f>
        <v>#N/A</v>
      </c>
      <c r="S436" s="8" t="s">
        <v>15</v>
      </c>
      <c r="T436" s="26" t="str">
        <f>IFERROR(__xludf.DUMMYFUNCTION("IFERROR(TRANSPOSE(QUERY(IFERROR(SORT(GOOGLEFINANCE(C436, ""price"", WORKDAY(TODAY(), -40), TODAY()), 1, FALSE)), ""select Col2 where Col2 is not null limit 22 label Col2 ''"", 0)), """")"),"")</f>
        <v/>
      </c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8"/>
      <c r="AO436" s="28"/>
      <c r="AP436" s="29"/>
      <c r="AQ436" s="29" t="str">
        <f t="shared" ref="AQ436:BL436" si="439">T436/T$2</f>
        <v>#N/A</v>
      </c>
      <c r="AR436" s="29" t="str">
        <f t="shared" si="439"/>
        <v>#DIV/0!</v>
      </c>
      <c r="AS436" s="29" t="str">
        <f t="shared" si="439"/>
        <v>#DIV/0!</v>
      </c>
      <c r="AT436" s="29" t="str">
        <f t="shared" si="439"/>
        <v>#DIV/0!</v>
      </c>
      <c r="AU436" s="29" t="str">
        <f t="shared" si="439"/>
        <v>#DIV/0!</v>
      </c>
      <c r="AV436" s="29" t="str">
        <f t="shared" si="439"/>
        <v>#DIV/0!</v>
      </c>
      <c r="AW436" s="29" t="str">
        <f t="shared" si="439"/>
        <v>#DIV/0!</v>
      </c>
      <c r="AX436" s="29" t="str">
        <f t="shared" si="439"/>
        <v>#DIV/0!</v>
      </c>
      <c r="AY436" s="29" t="str">
        <f t="shared" si="439"/>
        <v>#DIV/0!</v>
      </c>
      <c r="AZ436" s="29" t="str">
        <f t="shared" si="439"/>
        <v>#DIV/0!</v>
      </c>
      <c r="BA436" s="29" t="str">
        <f t="shared" si="439"/>
        <v>#DIV/0!</v>
      </c>
      <c r="BB436" s="29" t="str">
        <f t="shared" si="439"/>
        <v>#DIV/0!</v>
      </c>
      <c r="BC436" s="29" t="str">
        <f t="shared" si="439"/>
        <v>#DIV/0!</v>
      </c>
      <c r="BD436" s="29" t="str">
        <f t="shared" si="439"/>
        <v>#DIV/0!</v>
      </c>
      <c r="BE436" s="29" t="str">
        <f t="shared" si="439"/>
        <v>#DIV/0!</v>
      </c>
      <c r="BF436" s="29" t="str">
        <f t="shared" si="439"/>
        <v>#DIV/0!</v>
      </c>
      <c r="BG436" s="29" t="str">
        <f t="shared" si="439"/>
        <v>#DIV/0!</v>
      </c>
      <c r="BH436" s="29" t="str">
        <f t="shared" si="439"/>
        <v>#DIV/0!</v>
      </c>
      <c r="BI436" s="29" t="str">
        <f t="shared" si="439"/>
        <v>#DIV/0!</v>
      </c>
      <c r="BJ436" s="29" t="str">
        <f t="shared" si="439"/>
        <v>#DIV/0!</v>
      </c>
      <c r="BK436" s="29" t="str">
        <f t="shared" si="439"/>
        <v>#DIV/0!</v>
      </c>
      <c r="BL436" s="29" t="str">
        <f t="shared" si="439"/>
        <v>#DIV/0!</v>
      </c>
      <c r="BM436" s="29" t="str">
        <f t="shared" si="3"/>
        <v>#DIV/0!</v>
      </c>
    </row>
    <row r="437">
      <c r="A437" s="16" t="str">
        <f>IFERROR(__xludf.DUMMYFUNCTION("IFERROR(SPARKLINE(SORT(MAP(TRANSPOSE(AQ437:BL437), LAMBDA(val, IF(ISNUMBER(val), PERCENTRANK(AQ437:BL437, val)+0.01, 0))), SEQUENCE(COLUMNS(AQ437:BL437)), FALSE), {""charttype"",""column""; ""color"",""chartreuse""; ""ymin"", 0; ""ymax"", 1.01; ""highcolo"&amp;"r"", ""darkgreen""; ""lowcolor"", ""red""}), """")"),"")</f>
        <v/>
      </c>
      <c r="B437" s="17" t="str">
        <f t="shared" si="4"/>
        <v/>
      </c>
      <c r="C437" s="1" t="s">
        <v>2015</v>
      </c>
      <c r="D437" s="34" t="str">
        <f>IFERROR(__xludf.DUMMYFUNCTION("IFERROR(GOOGLEFINANCE(C437, ""NAME""))"),"Peoples Financial Services Corp")</f>
        <v>Peoples Financial Services Corp</v>
      </c>
      <c r="E437" s="30" t="s">
        <v>268</v>
      </c>
      <c r="F437" s="33" t="str">
        <f>IFERROR(__xludf.DUMMYFUNCTION("( (GOOGLEFINANCE(C437, ""price"") - Q437) / Q437 ) / (R437 / 100)"),"Loading...")</f>
        <v>Loading...</v>
      </c>
      <c r="G437" s="20" t="str">
        <f>IFERROR(__xludf.DUMMYFUNCTION("AVERAGE(ARRAYFORMULA(100 * (QUERY(GOOGLEFINANCE(C437, ""high"", TODAY()-40, TODAY()), ""SELECT Col2 WHERE Col2 IS NOT NULL ORDER BY Col1 DESC LIMIT 20"", 0) / QUERY(GOOGLEFINANCE(C437, ""low"", TODAY()-40, TODAY()), ""SELECT Col2 WHERE Col2 IS NOT NULL OR"&amp;"DER BY Col1 DESC LIMIT 20"", 0) - 1)))"),"#N/A")</f>
        <v>#N/A</v>
      </c>
      <c r="H437" s="35" t="str">
        <f t="shared" si="6"/>
        <v/>
      </c>
      <c r="I437" s="36" t="str">
        <f t="shared" si="7"/>
        <v/>
      </c>
      <c r="J437" s="37" t="str">
        <f>IFERROR(__xludf.DUMMYFUNCTION("IFERROR(
  IF(C437="""",, 
    IFERROR(
      GOOGLEFINANCE(C437, ""price"") * GOOGLEFINANCE(C437, ""volumeavg""), 
      GOOGLEFINANCE(C437, ""price"") * AVERAGE(QUERY(GOOGLEFINANCE(C437, ""volume"", TODAY()-40, TODAY()), ""SELECT Col2 WHERE Col2 IS NOT "&amp;"NULL ORDER BY Col1 DESC LIMIT 20"", 0))
    )
  ), 
"""")"),"")</f>
        <v/>
      </c>
      <c r="K437" s="21" t="str">
        <f>IFERROR(__xludf.DUMMYFUNCTION("IFERROR(GOOGLEFINANCE(C437, ""changepct"") / 100, """")"),"")</f>
        <v/>
      </c>
      <c r="L437" s="21" t="str">
        <f>IFERROR(__xludf.DUMMYFUNCTION("IFERROR((GOOGLEFINANCE(C437, ""price"") / INDEX(GOOGLEFINANCE(C437, ""price"", TODAY()-7, TODAY()), 2, 2)) - 1, """")"),"")</f>
        <v/>
      </c>
      <c r="M437" s="21" t="str">
        <f>IFERROR(__xludf.DUMMYFUNCTION("IFERROR((GOOGLEFINANCE(C437, ""price"") / INDEX(GOOGLEFINANCE(C437, ""price"", EDATE(TODAY(), -1), TODAY()), 2, 2)) - 1, """")"),"")</f>
        <v/>
      </c>
      <c r="N437" s="21" t="str">
        <f>IFERROR(__xludf.DUMMYFUNCTION("IFERROR((GOOGLEFINANCE(C437, ""price"") / INDEX(GOOGLEFINANCE(C437, ""price"", EDATE(TODAY(), -3), TODAY()), 2, 2)) - 1, """")"),"")</f>
        <v/>
      </c>
      <c r="O437" s="21" t="str">
        <f>IFERROR(__xludf.DUMMYFUNCTION("IFERROR((GOOGLEFINANCE(C437, ""price"") / INDEX(GOOGLEFINANCE(C437, ""price"", EDATE(TODAY(), -6), TODAY()), 2, 2)) - 1, """")"),"")</f>
        <v/>
      </c>
      <c r="P437" s="21" t="str">
        <f>IFERROR(__xludf.DUMMYFUNCTION("IFERROR((GOOGLEFINANCE(C437, ""price"") / INDEX(GOOGLEFINANCE(C437, ""price"", EDATE(TODAY(), -12), TODAY()), 2, 2)) - 1, """")"),"")</f>
        <v/>
      </c>
      <c r="Q437" s="6" t="str">
        <f>IFERROR(__xludf.DUMMYFUNCTION("AVERAGE(QUERY(GOOGLEFINANCE(C437, ""price"", TODAY()-80, TODAY()), ""SELECT Col2 WHERE Col2 IS NOT NULL ORDER BY Col1 DESC LIMIT 50"", 0))"),"#N/A")</f>
        <v>#N/A</v>
      </c>
      <c r="R437" s="24" t="str">
        <f>IFERROR(__xludf.DUMMYFUNCTION("IFERROR(
  LET(
    data, QUERY(GOOGLEFINANCE(C437,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GOOGLEFINANCE(C437, ""price"")) * 100,
    IF(calc=0, G437, calc)
  ), 
G437)"),"#N/A")</f>
        <v>#N/A</v>
      </c>
      <c r="S437" s="8" t="s">
        <v>15</v>
      </c>
      <c r="T437" s="26" t="str">
        <f>IFERROR(__xludf.DUMMYFUNCTION("IFERROR(TRANSPOSE(QUERY(IFERROR(SORT(GOOGLEFINANCE(C437, ""price"", WORKDAY(TODAY(), -40), TODAY()), 1, FALSE)), ""select Col2 where Col2 is not null limit 22 label Col2 ''"", 0)), """")"),"")</f>
        <v/>
      </c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8"/>
      <c r="AO437" s="28"/>
      <c r="AP437" s="29"/>
      <c r="AQ437" s="29" t="str">
        <f t="shared" ref="AQ437:BL437" si="440">T437/T$2</f>
        <v>#N/A</v>
      </c>
      <c r="AR437" s="29" t="str">
        <f t="shared" si="440"/>
        <v>#DIV/0!</v>
      </c>
      <c r="AS437" s="29" t="str">
        <f t="shared" si="440"/>
        <v>#DIV/0!</v>
      </c>
      <c r="AT437" s="29" t="str">
        <f t="shared" si="440"/>
        <v>#DIV/0!</v>
      </c>
      <c r="AU437" s="29" t="str">
        <f t="shared" si="440"/>
        <v>#DIV/0!</v>
      </c>
      <c r="AV437" s="29" t="str">
        <f t="shared" si="440"/>
        <v>#DIV/0!</v>
      </c>
      <c r="AW437" s="29" t="str">
        <f t="shared" si="440"/>
        <v>#DIV/0!</v>
      </c>
      <c r="AX437" s="29" t="str">
        <f t="shared" si="440"/>
        <v>#DIV/0!</v>
      </c>
      <c r="AY437" s="29" t="str">
        <f t="shared" si="440"/>
        <v>#DIV/0!</v>
      </c>
      <c r="AZ437" s="29" t="str">
        <f t="shared" si="440"/>
        <v>#DIV/0!</v>
      </c>
      <c r="BA437" s="29" t="str">
        <f t="shared" si="440"/>
        <v>#DIV/0!</v>
      </c>
      <c r="BB437" s="29" t="str">
        <f t="shared" si="440"/>
        <v>#DIV/0!</v>
      </c>
      <c r="BC437" s="29" t="str">
        <f t="shared" si="440"/>
        <v>#DIV/0!</v>
      </c>
      <c r="BD437" s="29" t="str">
        <f t="shared" si="440"/>
        <v>#DIV/0!</v>
      </c>
      <c r="BE437" s="29" t="str">
        <f t="shared" si="440"/>
        <v>#DIV/0!</v>
      </c>
      <c r="BF437" s="29" t="str">
        <f t="shared" si="440"/>
        <v>#DIV/0!</v>
      </c>
      <c r="BG437" s="29" t="str">
        <f t="shared" si="440"/>
        <v>#DIV/0!</v>
      </c>
      <c r="BH437" s="29" t="str">
        <f t="shared" si="440"/>
        <v>#DIV/0!</v>
      </c>
      <c r="BI437" s="29" t="str">
        <f t="shared" si="440"/>
        <v>#DIV/0!</v>
      </c>
      <c r="BJ437" s="29" t="str">
        <f t="shared" si="440"/>
        <v>#DIV/0!</v>
      </c>
      <c r="BK437" s="29" t="str">
        <f t="shared" si="440"/>
        <v>#DIV/0!</v>
      </c>
      <c r="BL437" s="29" t="str">
        <f t="shared" si="440"/>
        <v>#DIV/0!</v>
      </c>
      <c r="BM437" s="29" t="str">
        <f t="shared" si="3"/>
        <v>#DIV/0!</v>
      </c>
    </row>
    <row r="438">
      <c r="A438" s="16" t="str">
        <f>IFERROR(__xludf.DUMMYFUNCTION("IFERROR(SPARKLINE(SORT(MAP(TRANSPOSE(AQ438:BL438), LAMBDA(val, IF(ISNUMBER(val), PERCENTRANK(AQ438:BL438, val)+0.01, 0))), SEQUENCE(COLUMNS(AQ438:BL438)), FALSE), {""charttype"",""column""; ""color"",""chartreuse""; ""ymin"", 0; ""ymax"", 1.01; ""highcolo"&amp;"r"", ""darkgreen""; ""lowcolor"", ""red""}), """")"),"")</f>
        <v/>
      </c>
      <c r="B438" s="17" t="str">
        <f t="shared" si="4"/>
        <v/>
      </c>
      <c r="C438" s="1" t="s">
        <v>2019</v>
      </c>
      <c r="D438" s="34" t="str">
        <f>IFERROR(__xludf.DUMMYFUNCTION("IFERROR(GOOGLEFINANCE(C438, ""NAME""))"),"Bitmine Immersion Technologies Inc")</f>
        <v>Bitmine Immersion Technologies Inc</v>
      </c>
      <c r="E438" s="30" t="s">
        <v>77</v>
      </c>
      <c r="F438" s="33" t="str">
        <f>IFERROR(__xludf.DUMMYFUNCTION("( (GOOGLEFINANCE(C438, ""price"") - Q438) / Q438 ) / (R438 / 100)"),"Loading...")</f>
        <v>Loading...</v>
      </c>
      <c r="G438" s="20" t="str">
        <f>IFERROR(__xludf.DUMMYFUNCTION("AVERAGE(ARRAYFORMULA(100 * (QUERY(GOOGLEFINANCE(C438, ""high"", TODAY()-40, TODAY()), ""SELECT Col2 WHERE Col2 IS NOT NULL ORDER BY Col1 DESC LIMIT 20"", 0) / QUERY(GOOGLEFINANCE(C438, ""low"", TODAY()-40, TODAY()), ""SELECT Col2 WHERE Col2 IS NOT NULL OR"&amp;"DER BY Col1 DESC LIMIT 20"", 0) - 1)))"),"#N/A")</f>
        <v>#N/A</v>
      </c>
      <c r="H438" s="35" t="str">
        <f t="shared" si="6"/>
        <v/>
      </c>
      <c r="I438" s="36" t="str">
        <f t="shared" si="7"/>
        <v/>
      </c>
      <c r="J438" s="37" t="str">
        <f>IFERROR(__xludf.DUMMYFUNCTION("IFERROR(
  IF(C438="""",, 
    IFERROR(
      GOOGLEFINANCE(C438, ""price"") * GOOGLEFINANCE(C438, ""volumeavg""), 
      GOOGLEFINANCE(C438, ""price"") * AVERAGE(QUERY(GOOGLEFINANCE(C438, ""volume"", TODAY()-40, TODAY()), ""SELECT Col2 WHERE Col2 IS NOT "&amp;"NULL ORDER BY Col1 DESC LIMIT 20"", 0))
    )
  ), 
"""")"),"")</f>
        <v/>
      </c>
      <c r="K438" s="21" t="str">
        <f>IFERROR(__xludf.DUMMYFUNCTION("IFERROR(GOOGLEFINANCE(C438, ""changepct"") / 100, """")"),"")</f>
        <v/>
      </c>
      <c r="L438" s="21" t="str">
        <f>IFERROR(__xludf.DUMMYFUNCTION("IFERROR((GOOGLEFINANCE(C438, ""price"") / INDEX(GOOGLEFINANCE(C438, ""price"", TODAY()-7, TODAY()), 2, 2)) - 1, """")"),"")</f>
        <v/>
      </c>
      <c r="M438" s="21" t="str">
        <f>IFERROR(__xludf.DUMMYFUNCTION("IFERROR((GOOGLEFINANCE(C438, ""price"") / INDEX(GOOGLEFINANCE(C438, ""price"", EDATE(TODAY(), -1), TODAY()), 2, 2)) - 1, """")"),"")</f>
        <v/>
      </c>
      <c r="N438" s="21" t="str">
        <f>IFERROR(__xludf.DUMMYFUNCTION("IFERROR((GOOGLEFINANCE(C438, ""price"") / INDEX(GOOGLEFINANCE(C438, ""price"", EDATE(TODAY(), -3), TODAY()), 2, 2)) - 1, """")"),"")</f>
        <v/>
      </c>
      <c r="O438" s="21" t="str">
        <f>IFERROR(__xludf.DUMMYFUNCTION("IFERROR((GOOGLEFINANCE(C438, ""price"") / INDEX(GOOGLEFINANCE(C438, ""price"", EDATE(TODAY(), -6), TODAY()), 2, 2)) - 1, """")"),"")</f>
        <v/>
      </c>
      <c r="P438" s="21" t="str">
        <f>IFERROR(__xludf.DUMMYFUNCTION("IFERROR((GOOGLEFINANCE(C438, ""price"") / INDEX(GOOGLEFINANCE(C438, ""price"", EDATE(TODAY(), -12), TODAY()), 2, 2)) - 1, """")"),"")</f>
        <v/>
      </c>
      <c r="Q438" s="6" t="str">
        <f>IFERROR(__xludf.DUMMYFUNCTION("AVERAGE(QUERY(GOOGLEFINANCE(C438, ""price"", TODAY()-80, TODAY()), ""SELECT Col2 WHERE Col2 IS NOT NULL ORDER BY Col1 DESC LIMIT 50"", 0))"),"#N/A")</f>
        <v>#N/A</v>
      </c>
      <c r="R438" s="24" t="str">
        <f>IFERROR(__xludf.DUMMYFUNCTION("IFERROR(
  LET(
    data, QUERY(GOOGLEFINANCE(C438,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GOOGLEFINANCE(C438, ""price"")) * 100,
    IF(calc=0, G438, calc)
  ), 
G438)"),"#N/A")</f>
        <v>#N/A</v>
      </c>
      <c r="S438" s="8" t="s">
        <v>15</v>
      </c>
      <c r="T438" s="26" t="str">
        <f>IFERROR(__xludf.DUMMYFUNCTION("IFERROR(TRANSPOSE(QUERY(IFERROR(SORT(GOOGLEFINANCE(C438, ""price"", WORKDAY(TODAY(), -40), TODAY()), 1, FALSE)), ""select Col2 where Col2 is not null limit 22 label Col2 ''"", 0)), """")"),"")</f>
        <v/>
      </c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8"/>
      <c r="AO438" s="28"/>
      <c r="AP438" s="29"/>
      <c r="AQ438" s="29" t="str">
        <f t="shared" ref="AQ438:BL438" si="441">T438/T$2</f>
        <v>#N/A</v>
      </c>
      <c r="AR438" s="29" t="str">
        <f t="shared" si="441"/>
        <v>#DIV/0!</v>
      </c>
      <c r="AS438" s="29" t="str">
        <f t="shared" si="441"/>
        <v>#DIV/0!</v>
      </c>
      <c r="AT438" s="29" t="str">
        <f t="shared" si="441"/>
        <v>#DIV/0!</v>
      </c>
      <c r="AU438" s="29" t="str">
        <f t="shared" si="441"/>
        <v>#DIV/0!</v>
      </c>
      <c r="AV438" s="29" t="str">
        <f t="shared" si="441"/>
        <v>#DIV/0!</v>
      </c>
      <c r="AW438" s="29" t="str">
        <f t="shared" si="441"/>
        <v>#DIV/0!</v>
      </c>
      <c r="AX438" s="29" t="str">
        <f t="shared" si="441"/>
        <v>#DIV/0!</v>
      </c>
      <c r="AY438" s="29" t="str">
        <f t="shared" si="441"/>
        <v>#DIV/0!</v>
      </c>
      <c r="AZ438" s="29" t="str">
        <f t="shared" si="441"/>
        <v>#DIV/0!</v>
      </c>
      <c r="BA438" s="29" t="str">
        <f t="shared" si="441"/>
        <v>#DIV/0!</v>
      </c>
      <c r="BB438" s="29" t="str">
        <f t="shared" si="441"/>
        <v>#DIV/0!</v>
      </c>
      <c r="BC438" s="29" t="str">
        <f t="shared" si="441"/>
        <v>#DIV/0!</v>
      </c>
      <c r="BD438" s="29" t="str">
        <f t="shared" si="441"/>
        <v>#DIV/0!</v>
      </c>
      <c r="BE438" s="29" t="str">
        <f t="shared" si="441"/>
        <v>#DIV/0!</v>
      </c>
      <c r="BF438" s="29" t="str">
        <f t="shared" si="441"/>
        <v>#DIV/0!</v>
      </c>
      <c r="BG438" s="29" t="str">
        <f t="shared" si="441"/>
        <v>#DIV/0!</v>
      </c>
      <c r="BH438" s="29" t="str">
        <f t="shared" si="441"/>
        <v>#DIV/0!</v>
      </c>
      <c r="BI438" s="29" t="str">
        <f t="shared" si="441"/>
        <v>#DIV/0!</v>
      </c>
      <c r="BJ438" s="29" t="str">
        <f t="shared" si="441"/>
        <v>#DIV/0!</v>
      </c>
      <c r="BK438" s="29" t="str">
        <f t="shared" si="441"/>
        <v>#DIV/0!</v>
      </c>
      <c r="BL438" s="29" t="str">
        <f t="shared" si="441"/>
        <v>#DIV/0!</v>
      </c>
      <c r="BM438" s="29" t="str">
        <f t="shared" si="3"/>
        <v>#DIV/0!</v>
      </c>
    </row>
    <row r="439">
      <c r="A439" s="16" t="str">
        <f>IFERROR(__xludf.DUMMYFUNCTION("IFERROR(SPARKLINE(SORT(MAP(TRANSPOSE(AQ439:BL439), LAMBDA(val, IF(ISNUMBER(val), PERCENTRANK(AQ439:BL439, val)+0.01, 0))), SEQUENCE(COLUMNS(AQ439:BL439)), FALSE), {""charttype"",""column""; ""color"",""chartreuse""; ""ymin"", 0; ""ymax"", 1.01; ""highcolo"&amp;"r"", ""darkgreen""; ""lowcolor"", ""red""}), """")"),"")</f>
        <v/>
      </c>
      <c r="B439" s="17" t="str">
        <f t="shared" si="4"/>
        <v/>
      </c>
      <c r="C439" s="1" t="s">
        <v>2024</v>
      </c>
      <c r="D439" s="34" t="str">
        <f>IFERROR(__xludf.DUMMYFUNCTION("IFERROR(GOOGLEFINANCE(C439, ""NAME""))"),"NewtekOne Inc")</f>
        <v>NewtekOne Inc</v>
      </c>
      <c r="E439" s="30" t="s">
        <v>268</v>
      </c>
      <c r="F439" s="33" t="str">
        <f>IFERROR(__xludf.DUMMYFUNCTION("( (GOOGLEFINANCE(C439, ""price"") - Q439) / Q439 ) / (R439 / 100)"),"Loading...")</f>
        <v>Loading...</v>
      </c>
      <c r="G439" s="20" t="str">
        <f>IFERROR(__xludf.DUMMYFUNCTION("AVERAGE(ARRAYFORMULA(100 * (QUERY(GOOGLEFINANCE(C439, ""high"", TODAY()-40, TODAY()), ""SELECT Col2 WHERE Col2 IS NOT NULL ORDER BY Col1 DESC LIMIT 20"", 0) / QUERY(GOOGLEFINANCE(C439, ""low"", TODAY()-40, TODAY()), ""SELECT Col2 WHERE Col2 IS NOT NULL OR"&amp;"DER BY Col1 DESC LIMIT 20"", 0) - 1)))"),"#N/A")</f>
        <v>#N/A</v>
      </c>
      <c r="H439" s="35" t="str">
        <f t="shared" si="6"/>
        <v/>
      </c>
      <c r="I439" s="36" t="str">
        <f t="shared" si="7"/>
        <v/>
      </c>
      <c r="J439" s="37" t="str">
        <f>IFERROR(__xludf.DUMMYFUNCTION("IFERROR(
  IF(C439="""",, 
    IFERROR(
      GOOGLEFINANCE(C439, ""price"") * GOOGLEFINANCE(C439, ""volumeavg""), 
      GOOGLEFINANCE(C439, ""price"") * AVERAGE(QUERY(GOOGLEFINANCE(C439, ""volume"", TODAY()-40, TODAY()), ""SELECT Col2 WHERE Col2 IS NOT "&amp;"NULL ORDER BY Col1 DESC LIMIT 20"", 0))
    )
  ), 
"""")"),"")</f>
        <v/>
      </c>
      <c r="K439" s="21" t="str">
        <f>IFERROR(__xludf.DUMMYFUNCTION("IFERROR(GOOGLEFINANCE(C439, ""changepct"") / 100, """")"),"")</f>
        <v/>
      </c>
      <c r="L439" s="21" t="str">
        <f>IFERROR(__xludf.DUMMYFUNCTION("IFERROR((GOOGLEFINANCE(C439, ""price"") / INDEX(GOOGLEFINANCE(C439, ""price"", TODAY()-7, TODAY()), 2, 2)) - 1, """")"),"")</f>
        <v/>
      </c>
      <c r="M439" s="21" t="str">
        <f>IFERROR(__xludf.DUMMYFUNCTION("IFERROR((GOOGLEFINANCE(C439, ""price"") / INDEX(GOOGLEFINANCE(C439, ""price"", EDATE(TODAY(), -1), TODAY()), 2, 2)) - 1, """")"),"")</f>
        <v/>
      </c>
      <c r="N439" s="21" t="str">
        <f>IFERROR(__xludf.DUMMYFUNCTION("IFERROR((GOOGLEFINANCE(C439, ""price"") / INDEX(GOOGLEFINANCE(C439, ""price"", EDATE(TODAY(), -3), TODAY()), 2, 2)) - 1, """")"),"")</f>
        <v/>
      </c>
      <c r="O439" s="21" t="str">
        <f>IFERROR(__xludf.DUMMYFUNCTION("IFERROR((GOOGLEFINANCE(C439, ""price"") / INDEX(GOOGLEFINANCE(C439, ""price"", EDATE(TODAY(), -6), TODAY()), 2, 2)) - 1, """")"),"")</f>
        <v/>
      </c>
      <c r="P439" s="21" t="str">
        <f>IFERROR(__xludf.DUMMYFUNCTION("IFERROR((GOOGLEFINANCE(C439, ""price"") / INDEX(GOOGLEFINANCE(C439, ""price"", EDATE(TODAY(), -12), TODAY()), 2, 2)) - 1, """")"),"")</f>
        <v/>
      </c>
      <c r="Q439" s="6" t="str">
        <f>IFERROR(__xludf.DUMMYFUNCTION("AVERAGE(QUERY(GOOGLEFINANCE(C439, ""price"", TODAY()-80, TODAY()), ""SELECT Col2 WHERE Col2 IS NOT NULL ORDER BY Col1 DESC LIMIT 50"", 0))"),"#N/A")</f>
        <v>#N/A</v>
      </c>
      <c r="R439" s="24" t="str">
        <f>IFERROR(__xludf.DUMMYFUNCTION("IFERROR(
  LET(
    data, QUERY(GOOGLEFINANCE(C439,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GOOGLEFINANCE(C439, ""price"")) * 100,
    IF(calc=0, G439, calc)
  ), 
G439)"),"#N/A")</f>
        <v>#N/A</v>
      </c>
      <c r="S439" s="8" t="s">
        <v>15</v>
      </c>
      <c r="T439" s="26" t="str">
        <f>IFERROR(__xludf.DUMMYFUNCTION("IFERROR(TRANSPOSE(QUERY(IFERROR(SORT(GOOGLEFINANCE(C439, ""price"", WORKDAY(TODAY(), -40), TODAY()), 1, FALSE)), ""select Col2 where Col2 is not null limit 22 label Col2 ''"", 0)), """")"),"")</f>
        <v/>
      </c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8"/>
      <c r="AO439" s="28"/>
      <c r="AP439" s="29"/>
      <c r="AQ439" s="29" t="str">
        <f t="shared" ref="AQ439:BL439" si="442">T439/T$2</f>
        <v>#N/A</v>
      </c>
      <c r="AR439" s="29" t="str">
        <f t="shared" si="442"/>
        <v>#DIV/0!</v>
      </c>
      <c r="AS439" s="29" t="str">
        <f t="shared" si="442"/>
        <v>#DIV/0!</v>
      </c>
      <c r="AT439" s="29" t="str">
        <f t="shared" si="442"/>
        <v>#DIV/0!</v>
      </c>
      <c r="AU439" s="29" t="str">
        <f t="shared" si="442"/>
        <v>#DIV/0!</v>
      </c>
      <c r="AV439" s="29" t="str">
        <f t="shared" si="442"/>
        <v>#DIV/0!</v>
      </c>
      <c r="AW439" s="29" t="str">
        <f t="shared" si="442"/>
        <v>#DIV/0!</v>
      </c>
      <c r="AX439" s="29" t="str">
        <f t="shared" si="442"/>
        <v>#DIV/0!</v>
      </c>
      <c r="AY439" s="29" t="str">
        <f t="shared" si="442"/>
        <v>#DIV/0!</v>
      </c>
      <c r="AZ439" s="29" t="str">
        <f t="shared" si="442"/>
        <v>#DIV/0!</v>
      </c>
      <c r="BA439" s="29" t="str">
        <f t="shared" si="442"/>
        <v>#DIV/0!</v>
      </c>
      <c r="BB439" s="29" t="str">
        <f t="shared" si="442"/>
        <v>#DIV/0!</v>
      </c>
      <c r="BC439" s="29" t="str">
        <f t="shared" si="442"/>
        <v>#DIV/0!</v>
      </c>
      <c r="BD439" s="29" t="str">
        <f t="shared" si="442"/>
        <v>#DIV/0!</v>
      </c>
      <c r="BE439" s="29" t="str">
        <f t="shared" si="442"/>
        <v>#DIV/0!</v>
      </c>
      <c r="BF439" s="29" t="str">
        <f t="shared" si="442"/>
        <v>#DIV/0!</v>
      </c>
      <c r="BG439" s="29" t="str">
        <f t="shared" si="442"/>
        <v>#DIV/0!</v>
      </c>
      <c r="BH439" s="29" t="str">
        <f t="shared" si="442"/>
        <v>#DIV/0!</v>
      </c>
      <c r="BI439" s="29" t="str">
        <f t="shared" si="442"/>
        <v>#DIV/0!</v>
      </c>
      <c r="BJ439" s="29" t="str">
        <f t="shared" si="442"/>
        <v>#DIV/0!</v>
      </c>
      <c r="BK439" s="29" t="str">
        <f t="shared" si="442"/>
        <v>#DIV/0!</v>
      </c>
      <c r="BL439" s="29" t="str">
        <f t="shared" si="442"/>
        <v>#DIV/0!</v>
      </c>
      <c r="BM439" s="29" t="str">
        <f t="shared" si="3"/>
        <v>#DIV/0!</v>
      </c>
    </row>
    <row r="440">
      <c r="A440" s="16" t="str">
        <f>IFERROR(__xludf.DUMMYFUNCTION("IFERROR(SPARKLINE(SORT(MAP(TRANSPOSE(AQ440:BL440), LAMBDA(val, IF(ISNUMBER(val), PERCENTRANK(AQ440:BL440, val)+0.01, 0))), SEQUENCE(COLUMNS(AQ440:BL440)), FALSE), {""charttype"",""column""; ""color"",""chartreuse""; ""ymin"", 0; ""ymax"", 1.01; ""highcolo"&amp;"r"", ""darkgreen""; ""lowcolor"", ""red""}), """")"),"")</f>
        <v/>
      </c>
      <c r="B440" s="17" t="str">
        <f t="shared" si="4"/>
        <v/>
      </c>
      <c r="C440" s="1" t="s">
        <v>2030</v>
      </c>
      <c r="D440" s="34" t="str">
        <f>IFERROR(__xludf.DUMMYFUNCTION("IFERROR(GOOGLEFINANCE(C440, ""NAME""))"),"Orrstown Financial Services, Inc. Common Stock")</f>
        <v>Orrstown Financial Services, Inc. Common Stock</v>
      </c>
      <c r="E440" s="30" t="s">
        <v>268</v>
      </c>
      <c r="F440" s="33" t="str">
        <f>IFERROR(__xludf.DUMMYFUNCTION("( (GOOGLEFINANCE(C440, ""price"") - Q440) / Q440 ) / (R440 / 100)"),"Loading...")</f>
        <v>Loading...</v>
      </c>
      <c r="G440" s="20" t="str">
        <f>IFERROR(__xludf.DUMMYFUNCTION("AVERAGE(ARRAYFORMULA(100 * (QUERY(GOOGLEFINANCE(C440, ""high"", TODAY()-40, TODAY()), ""SELECT Col2 WHERE Col2 IS NOT NULL ORDER BY Col1 DESC LIMIT 20"", 0) / QUERY(GOOGLEFINANCE(C440, ""low"", TODAY()-40, TODAY()), ""SELECT Col2 WHERE Col2 IS NOT NULL OR"&amp;"DER BY Col1 DESC LIMIT 20"", 0) - 1)))"),"#N/A")</f>
        <v>#N/A</v>
      </c>
      <c r="H440" s="35" t="str">
        <f t="shared" si="6"/>
        <v/>
      </c>
      <c r="I440" s="36" t="str">
        <f t="shared" si="7"/>
        <v/>
      </c>
      <c r="J440" s="37" t="str">
        <f>IFERROR(__xludf.DUMMYFUNCTION("IFERROR(
  IF(C440="""",, 
    IFERROR(
      GOOGLEFINANCE(C440, ""price"") * GOOGLEFINANCE(C440, ""volumeavg""), 
      GOOGLEFINANCE(C440, ""price"") * AVERAGE(QUERY(GOOGLEFINANCE(C440, ""volume"", TODAY()-40, TODAY()), ""SELECT Col2 WHERE Col2 IS NOT "&amp;"NULL ORDER BY Col1 DESC LIMIT 20"", 0))
    )
  ), 
"""")"),"")</f>
        <v/>
      </c>
      <c r="K440" s="21" t="str">
        <f>IFERROR(__xludf.DUMMYFUNCTION("IFERROR(GOOGLEFINANCE(C440, ""changepct"") / 100, """")"),"")</f>
        <v/>
      </c>
      <c r="L440" s="21" t="str">
        <f>IFERROR(__xludf.DUMMYFUNCTION("IFERROR((GOOGLEFINANCE(C440, ""price"") / INDEX(GOOGLEFINANCE(C440, ""price"", TODAY()-7, TODAY()), 2, 2)) - 1, """")"),"")</f>
        <v/>
      </c>
      <c r="M440" s="21" t="str">
        <f>IFERROR(__xludf.DUMMYFUNCTION("IFERROR((GOOGLEFINANCE(C440, ""price"") / INDEX(GOOGLEFINANCE(C440, ""price"", EDATE(TODAY(), -1), TODAY()), 2, 2)) - 1, """")"),"")</f>
        <v/>
      </c>
      <c r="N440" s="21" t="str">
        <f>IFERROR(__xludf.DUMMYFUNCTION("IFERROR((GOOGLEFINANCE(C440, ""price"") / INDEX(GOOGLEFINANCE(C440, ""price"", EDATE(TODAY(), -3), TODAY()), 2, 2)) - 1, """")"),"")</f>
        <v/>
      </c>
      <c r="O440" s="21" t="str">
        <f>IFERROR(__xludf.DUMMYFUNCTION("IFERROR((GOOGLEFINANCE(C440, ""price"") / INDEX(GOOGLEFINANCE(C440, ""price"", EDATE(TODAY(), -6), TODAY()), 2, 2)) - 1, """")"),"")</f>
        <v/>
      </c>
      <c r="P440" s="21" t="str">
        <f>IFERROR(__xludf.DUMMYFUNCTION("IFERROR((GOOGLEFINANCE(C440, ""price"") / INDEX(GOOGLEFINANCE(C440, ""price"", EDATE(TODAY(), -12), TODAY()), 2, 2)) - 1, """")"),"")</f>
        <v/>
      </c>
      <c r="Q440" s="6" t="str">
        <f>IFERROR(__xludf.DUMMYFUNCTION("AVERAGE(QUERY(GOOGLEFINANCE(C440, ""price"", TODAY()-80, TODAY()), ""SELECT Col2 WHERE Col2 IS NOT NULL ORDER BY Col1 DESC LIMIT 50"", 0))"),"#N/A")</f>
        <v>#N/A</v>
      </c>
      <c r="R440" s="24" t="str">
        <f>IFERROR(__xludf.DUMMYFUNCTION("IFERROR(
  LET(
    data, QUERY(GOOGLEFINANCE(C440,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GOOGLEFINANCE(C440, ""price"")) * 100,
    IF(calc=0, G440, calc)
  ), 
G440)"),"#N/A")</f>
        <v>#N/A</v>
      </c>
      <c r="S440" s="8" t="s">
        <v>15</v>
      </c>
      <c r="T440" s="26" t="str">
        <f>IFERROR(__xludf.DUMMYFUNCTION("IFERROR(TRANSPOSE(QUERY(IFERROR(SORT(GOOGLEFINANCE(C440, ""price"", WORKDAY(TODAY(), -40), TODAY()), 1, FALSE)), ""select Col2 where Col2 is not null limit 22 label Col2 ''"", 0)), """")"),"")</f>
        <v/>
      </c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8"/>
      <c r="AO440" s="28"/>
      <c r="AP440" s="29"/>
      <c r="AQ440" s="29" t="str">
        <f t="shared" ref="AQ440:BL440" si="443">T440/T$2</f>
        <v>#N/A</v>
      </c>
      <c r="AR440" s="29" t="str">
        <f t="shared" si="443"/>
        <v>#DIV/0!</v>
      </c>
      <c r="AS440" s="29" t="str">
        <f t="shared" si="443"/>
        <v>#DIV/0!</v>
      </c>
      <c r="AT440" s="29" t="str">
        <f t="shared" si="443"/>
        <v>#DIV/0!</v>
      </c>
      <c r="AU440" s="29" t="str">
        <f t="shared" si="443"/>
        <v>#DIV/0!</v>
      </c>
      <c r="AV440" s="29" t="str">
        <f t="shared" si="443"/>
        <v>#DIV/0!</v>
      </c>
      <c r="AW440" s="29" t="str">
        <f t="shared" si="443"/>
        <v>#DIV/0!</v>
      </c>
      <c r="AX440" s="29" t="str">
        <f t="shared" si="443"/>
        <v>#DIV/0!</v>
      </c>
      <c r="AY440" s="29" t="str">
        <f t="shared" si="443"/>
        <v>#DIV/0!</v>
      </c>
      <c r="AZ440" s="29" t="str">
        <f t="shared" si="443"/>
        <v>#DIV/0!</v>
      </c>
      <c r="BA440" s="29" t="str">
        <f t="shared" si="443"/>
        <v>#DIV/0!</v>
      </c>
      <c r="BB440" s="29" t="str">
        <f t="shared" si="443"/>
        <v>#DIV/0!</v>
      </c>
      <c r="BC440" s="29" t="str">
        <f t="shared" si="443"/>
        <v>#DIV/0!</v>
      </c>
      <c r="BD440" s="29" t="str">
        <f t="shared" si="443"/>
        <v>#DIV/0!</v>
      </c>
      <c r="BE440" s="29" t="str">
        <f t="shared" si="443"/>
        <v>#DIV/0!</v>
      </c>
      <c r="BF440" s="29" t="str">
        <f t="shared" si="443"/>
        <v>#DIV/0!</v>
      </c>
      <c r="BG440" s="29" t="str">
        <f t="shared" si="443"/>
        <v>#DIV/0!</v>
      </c>
      <c r="BH440" s="29" t="str">
        <f t="shared" si="443"/>
        <v>#DIV/0!</v>
      </c>
      <c r="BI440" s="29" t="str">
        <f t="shared" si="443"/>
        <v>#DIV/0!</v>
      </c>
      <c r="BJ440" s="29" t="str">
        <f t="shared" si="443"/>
        <v>#DIV/0!</v>
      </c>
      <c r="BK440" s="29" t="str">
        <f t="shared" si="443"/>
        <v>#DIV/0!</v>
      </c>
      <c r="BL440" s="29" t="str">
        <f t="shared" si="443"/>
        <v>#DIV/0!</v>
      </c>
      <c r="BM440" s="29" t="str">
        <f t="shared" si="3"/>
        <v>#DIV/0!</v>
      </c>
    </row>
    <row r="441">
      <c r="A441" s="16" t="str">
        <f>IFERROR(__xludf.DUMMYFUNCTION("IFERROR(SPARKLINE(SORT(MAP(TRANSPOSE(AQ441:BL441), LAMBDA(val, IF(ISNUMBER(val), PERCENTRANK(AQ441:BL441, val)+0.01, 0))), SEQUENCE(COLUMNS(AQ441:BL441)), FALSE), {""charttype"",""column""; ""color"",""chartreuse""; ""ymin"", 0; ""ymax"", 1.01; ""highcolo"&amp;"r"", ""darkgreen""; ""lowcolor"", ""red""}), """")"),"")</f>
        <v/>
      </c>
      <c r="B441" s="17" t="str">
        <f t="shared" si="4"/>
        <v/>
      </c>
      <c r="C441" s="1" t="s">
        <v>2033</v>
      </c>
      <c r="D441" s="34" t="str">
        <f>IFERROR(__xludf.DUMMYFUNCTION("IFERROR(GOOGLEFINANCE(C441, ""NAME""))"),"Bank First Corp")</f>
        <v>Bank First Corp</v>
      </c>
      <c r="E441" s="30" t="s">
        <v>268</v>
      </c>
      <c r="F441" s="33" t="str">
        <f>IFERROR(__xludf.DUMMYFUNCTION("( (GOOGLEFINANCE(C441, ""price"") - Q441) / Q441 ) / (R441 / 100)"),"Loading...")</f>
        <v>Loading...</v>
      </c>
      <c r="G441" s="20" t="str">
        <f>IFERROR(__xludf.DUMMYFUNCTION("AVERAGE(ARRAYFORMULA(100 * (QUERY(GOOGLEFINANCE(C441, ""high"", TODAY()-40, TODAY()), ""SELECT Col2 WHERE Col2 IS NOT NULL ORDER BY Col1 DESC LIMIT 20"", 0) / QUERY(GOOGLEFINANCE(C441, ""low"", TODAY()-40, TODAY()), ""SELECT Col2 WHERE Col2 IS NOT NULL OR"&amp;"DER BY Col1 DESC LIMIT 20"", 0) - 1)))"),"#N/A")</f>
        <v>#N/A</v>
      </c>
      <c r="H441" s="35" t="str">
        <f t="shared" si="6"/>
        <v/>
      </c>
      <c r="I441" s="36" t="str">
        <f t="shared" si="7"/>
        <v/>
      </c>
      <c r="J441" s="37" t="str">
        <f>IFERROR(__xludf.DUMMYFUNCTION("IFERROR(
  IF(C441="""",, 
    IFERROR(
      GOOGLEFINANCE(C441, ""price"") * GOOGLEFINANCE(C441, ""volumeavg""), 
      GOOGLEFINANCE(C441, ""price"") * AVERAGE(QUERY(GOOGLEFINANCE(C441, ""volume"", TODAY()-40, TODAY()), ""SELECT Col2 WHERE Col2 IS NOT "&amp;"NULL ORDER BY Col1 DESC LIMIT 20"", 0))
    )
  ), 
"""")"),"")</f>
        <v/>
      </c>
      <c r="K441" s="21" t="str">
        <f>IFERROR(__xludf.DUMMYFUNCTION("IFERROR(GOOGLEFINANCE(C441, ""changepct"") / 100, """")"),"")</f>
        <v/>
      </c>
      <c r="L441" s="21" t="str">
        <f>IFERROR(__xludf.DUMMYFUNCTION("IFERROR((GOOGLEFINANCE(C441, ""price"") / INDEX(GOOGLEFINANCE(C441, ""price"", TODAY()-7, TODAY()), 2, 2)) - 1, """")"),"")</f>
        <v/>
      </c>
      <c r="M441" s="21" t="str">
        <f>IFERROR(__xludf.DUMMYFUNCTION("IFERROR((GOOGLEFINANCE(C441, ""price"") / INDEX(GOOGLEFINANCE(C441, ""price"", EDATE(TODAY(), -1), TODAY()), 2, 2)) - 1, """")"),"")</f>
        <v/>
      </c>
      <c r="N441" s="21" t="str">
        <f>IFERROR(__xludf.DUMMYFUNCTION("IFERROR((GOOGLEFINANCE(C441, ""price"") / INDEX(GOOGLEFINANCE(C441, ""price"", EDATE(TODAY(), -3), TODAY()), 2, 2)) - 1, """")"),"")</f>
        <v/>
      </c>
      <c r="O441" s="21" t="str">
        <f>IFERROR(__xludf.DUMMYFUNCTION("IFERROR((GOOGLEFINANCE(C441, ""price"") / INDEX(GOOGLEFINANCE(C441, ""price"", EDATE(TODAY(), -6), TODAY()), 2, 2)) - 1, """")"),"")</f>
        <v/>
      </c>
      <c r="P441" s="21" t="str">
        <f>IFERROR(__xludf.DUMMYFUNCTION("IFERROR((GOOGLEFINANCE(C441, ""price"") / INDEX(GOOGLEFINANCE(C441, ""price"", EDATE(TODAY(), -12), TODAY()), 2, 2)) - 1, """")"),"")</f>
        <v/>
      </c>
      <c r="Q441" s="6" t="str">
        <f>IFERROR(__xludf.DUMMYFUNCTION("AVERAGE(QUERY(GOOGLEFINANCE(C441, ""price"", TODAY()-80, TODAY()), ""SELECT Col2 WHERE Col2 IS NOT NULL ORDER BY Col1 DESC LIMIT 50"", 0))"),"#N/A")</f>
        <v>#N/A</v>
      </c>
      <c r="R441" s="24" t="str">
        <f>IFERROR(__xludf.DUMMYFUNCTION("IFERROR(
  LET(
    data, QUERY(GOOGLEFINANCE(C441,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GOOGLEFINANCE(C441, ""price"")) * 100,
    IF(calc=0, G441, calc)
  ), 
G441)"),"#N/A")</f>
        <v>#N/A</v>
      </c>
      <c r="S441" s="8" t="s">
        <v>15</v>
      </c>
      <c r="T441" s="26" t="str">
        <f>IFERROR(__xludf.DUMMYFUNCTION("IFERROR(TRANSPOSE(QUERY(IFERROR(SORT(GOOGLEFINANCE(C441, ""price"", WORKDAY(TODAY(), -40), TODAY()), 1, FALSE)), ""select Col2 where Col2 is not null limit 22 label Col2 ''"", 0)), """")"),"")</f>
        <v/>
      </c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8"/>
      <c r="AO441" s="28"/>
      <c r="AP441" s="29"/>
      <c r="AQ441" s="29" t="str">
        <f t="shared" ref="AQ441:BL441" si="444">T441/T$2</f>
        <v>#N/A</v>
      </c>
      <c r="AR441" s="29" t="str">
        <f t="shared" si="444"/>
        <v>#DIV/0!</v>
      </c>
      <c r="AS441" s="29" t="str">
        <f t="shared" si="444"/>
        <v>#DIV/0!</v>
      </c>
      <c r="AT441" s="29" t="str">
        <f t="shared" si="444"/>
        <v>#DIV/0!</v>
      </c>
      <c r="AU441" s="29" t="str">
        <f t="shared" si="444"/>
        <v>#DIV/0!</v>
      </c>
      <c r="AV441" s="29" t="str">
        <f t="shared" si="444"/>
        <v>#DIV/0!</v>
      </c>
      <c r="AW441" s="29" t="str">
        <f t="shared" si="444"/>
        <v>#DIV/0!</v>
      </c>
      <c r="AX441" s="29" t="str">
        <f t="shared" si="444"/>
        <v>#DIV/0!</v>
      </c>
      <c r="AY441" s="29" t="str">
        <f t="shared" si="444"/>
        <v>#DIV/0!</v>
      </c>
      <c r="AZ441" s="29" t="str">
        <f t="shared" si="444"/>
        <v>#DIV/0!</v>
      </c>
      <c r="BA441" s="29" t="str">
        <f t="shared" si="444"/>
        <v>#DIV/0!</v>
      </c>
      <c r="BB441" s="29" t="str">
        <f t="shared" si="444"/>
        <v>#DIV/0!</v>
      </c>
      <c r="BC441" s="29" t="str">
        <f t="shared" si="444"/>
        <v>#DIV/0!</v>
      </c>
      <c r="BD441" s="29" t="str">
        <f t="shared" si="444"/>
        <v>#DIV/0!</v>
      </c>
      <c r="BE441" s="29" t="str">
        <f t="shared" si="444"/>
        <v>#DIV/0!</v>
      </c>
      <c r="BF441" s="29" t="str">
        <f t="shared" si="444"/>
        <v>#DIV/0!</v>
      </c>
      <c r="BG441" s="29" t="str">
        <f t="shared" si="444"/>
        <v>#DIV/0!</v>
      </c>
      <c r="BH441" s="29" t="str">
        <f t="shared" si="444"/>
        <v>#DIV/0!</v>
      </c>
      <c r="BI441" s="29" t="str">
        <f t="shared" si="444"/>
        <v>#DIV/0!</v>
      </c>
      <c r="BJ441" s="29" t="str">
        <f t="shared" si="444"/>
        <v>#DIV/0!</v>
      </c>
      <c r="BK441" s="29" t="str">
        <f t="shared" si="444"/>
        <v>#DIV/0!</v>
      </c>
      <c r="BL441" s="29" t="str">
        <f t="shared" si="444"/>
        <v>#DIV/0!</v>
      </c>
      <c r="BM441" s="29" t="str">
        <f t="shared" si="3"/>
        <v>#DIV/0!</v>
      </c>
    </row>
    <row r="442">
      <c r="A442" s="16" t="str">
        <f>IFERROR(__xludf.DUMMYFUNCTION("IFERROR(SPARKLINE(SORT(MAP(TRANSPOSE(AQ442:BL442), LAMBDA(val, IF(ISNUMBER(val), PERCENTRANK(AQ442:BL442, val)+0.01, 0))), SEQUENCE(COLUMNS(AQ442:BL442)), FALSE), {""charttype"",""column""; ""color"",""chartreuse""; ""ymin"", 0; ""ymax"", 1.01; ""highcolo"&amp;"r"", ""darkgreen""; ""lowcolor"", ""red""}), """")"),"")</f>
        <v/>
      </c>
      <c r="B442" s="17" t="str">
        <f t="shared" si="4"/>
        <v/>
      </c>
      <c r="C442" s="1" t="s">
        <v>2037</v>
      </c>
      <c r="D442" s="34" t="str">
        <f>IFERROR(__xludf.DUMMYFUNCTION("IFERROR(GOOGLEFINANCE(C442, ""NAME""))"),"Farmers National Banc Corp")</f>
        <v>Farmers National Banc Corp</v>
      </c>
      <c r="E442" s="30" t="s">
        <v>268</v>
      </c>
      <c r="F442" s="33" t="str">
        <f>IFERROR(__xludf.DUMMYFUNCTION("( (GOOGLEFINANCE(C442, ""price"") - Q442) / Q442 ) / (R442 / 100)"),"Loading...")</f>
        <v>Loading...</v>
      </c>
      <c r="G442" s="20" t="str">
        <f>IFERROR(__xludf.DUMMYFUNCTION("AVERAGE(ARRAYFORMULA(100 * (QUERY(GOOGLEFINANCE(C442, ""high"", TODAY()-40, TODAY()), ""SELECT Col2 WHERE Col2 IS NOT NULL ORDER BY Col1 DESC LIMIT 20"", 0) / QUERY(GOOGLEFINANCE(C442, ""low"", TODAY()-40, TODAY()), ""SELECT Col2 WHERE Col2 IS NOT NULL OR"&amp;"DER BY Col1 DESC LIMIT 20"", 0) - 1)))"),"#N/A")</f>
        <v>#N/A</v>
      </c>
      <c r="H442" s="35" t="str">
        <f t="shared" si="6"/>
        <v/>
      </c>
      <c r="I442" s="36" t="str">
        <f t="shared" si="7"/>
        <v/>
      </c>
      <c r="J442" s="37" t="str">
        <f>IFERROR(__xludf.DUMMYFUNCTION("IFERROR(
  IF(C442="""",, 
    IFERROR(
      GOOGLEFINANCE(C442, ""price"") * GOOGLEFINANCE(C442, ""volumeavg""), 
      GOOGLEFINANCE(C442, ""price"") * AVERAGE(QUERY(GOOGLEFINANCE(C442, ""volume"", TODAY()-40, TODAY()), ""SELECT Col2 WHERE Col2 IS NOT "&amp;"NULL ORDER BY Col1 DESC LIMIT 20"", 0))
    )
  ), 
"""")"),"")</f>
        <v/>
      </c>
      <c r="K442" s="21" t="str">
        <f>IFERROR(__xludf.DUMMYFUNCTION("IFERROR(GOOGLEFINANCE(C442, ""changepct"") / 100, """")"),"")</f>
        <v/>
      </c>
      <c r="L442" s="21" t="str">
        <f>IFERROR(__xludf.DUMMYFUNCTION("IFERROR((GOOGLEFINANCE(C442, ""price"") / INDEX(GOOGLEFINANCE(C442, ""price"", TODAY()-7, TODAY()), 2, 2)) - 1, """")"),"")</f>
        <v/>
      </c>
      <c r="M442" s="21" t="str">
        <f>IFERROR(__xludf.DUMMYFUNCTION("IFERROR((GOOGLEFINANCE(C442, ""price"") / INDEX(GOOGLEFINANCE(C442, ""price"", EDATE(TODAY(), -1), TODAY()), 2, 2)) - 1, """")"),"")</f>
        <v/>
      </c>
      <c r="N442" s="21" t="str">
        <f>IFERROR(__xludf.DUMMYFUNCTION("IFERROR((GOOGLEFINANCE(C442, ""price"") / INDEX(GOOGLEFINANCE(C442, ""price"", EDATE(TODAY(), -3), TODAY()), 2, 2)) - 1, """")"),"")</f>
        <v/>
      </c>
      <c r="O442" s="21" t="str">
        <f>IFERROR(__xludf.DUMMYFUNCTION("IFERROR((GOOGLEFINANCE(C442, ""price"") / INDEX(GOOGLEFINANCE(C442, ""price"", EDATE(TODAY(), -6), TODAY()), 2, 2)) - 1, """")"),"")</f>
        <v/>
      </c>
      <c r="P442" s="21" t="str">
        <f>IFERROR(__xludf.DUMMYFUNCTION("IFERROR((GOOGLEFINANCE(C442, ""price"") / INDEX(GOOGLEFINANCE(C442, ""price"", EDATE(TODAY(), -12), TODAY()), 2, 2)) - 1, """")"),"")</f>
        <v/>
      </c>
      <c r="Q442" s="6" t="str">
        <f>IFERROR(__xludf.DUMMYFUNCTION("AVERAGE(QUERY(GOOGLEFINANCE(C442, ""price"", TODAY()-80, TODAY()), ""SELECT Col2 WHERE Col2 IS NOT NULL ORDER BY Col1 DESC LIMIT 50"", 0))"),"#N/A")</f>
        <v>#N/A</v>
      </c>
      <c r="R442" s="24" t="str">
        <f>IFERROR(__xludf.DUMMYFUNCTION("IFERROR(
  LET(
    data, QUERY(GOOGLEFINANCE(C442,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GOOGLEFINANCE(C442, ""price"")) * 100,
    IF(calc=0, G442, calc)
  ), 
G442)"),"#N/A")</f>
        <v>#N/A</v>
      </c>
      <c r="S442" s="8" t="s">
        <v>15</v>
      </c>
      <c r="T442" s="26" t="str">
        <f>IFERROR(__xludf.DUMMYFUNCTION("IFERROR(TRANSPOSE(QUERY(IFERROR(SORT(GOOGLEFINANCE(C442, ""price"", WORKDAY(TODAY(), -40), TODAY()), 1, FALSE)), ""select Col2 where Col2 is not null limit 22 label Col2 ''"", 0)), """")"),"")</f>
        <v/>
      </c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8"/>
      <c r="AO442" s="28"/>
      <c r="AP442" s="29"/>
      <c r="AQ442" s="29" t="str">
        <f t="shared" ref="AQ442:BL442" si="445">T442/T$2</f>
        <v>#N/A</v>
      </c>
      <c r="AR442" s="29" t="str">
        <f t="shared" si="445"/>
        <v>#DIV/0!</v>
      </c>
      <c r="AS442" s="29" t="str">
        <f t="shared" si="445"/>
        <v>#DIV/0!</v>
      </c>
      <c r="AT442" s="29" t="str">
        <f t="shared" si="445"/>
        <v>#DIV/0!</v>
      </c>
      <c r="AU442" s="29" t="str">
        <f t="shared" si="445"/>
        <v>#DIV/0!</v>
      </c>
      <c r="AV442" s="29" t="str">
        <f t="shared" si="445"/>
        <v>#DIV/0!</v>
      </c>
      <c r="AW442" s="29" t="str">
        <f t="shared" si="445"/>
        <v>#DIV/0!</v>
      </c>
      <c r="AX442" s="29" t="str">
        <f t="shared" si="445"/>
        <v>#DIV/0!</v>
      </c>
      <c r="AY442" s="29" t="str">
        <f t="shared" si="445"/>
        <v>#DIV/0!</v>
      </c>
      <c r="AZ442" s="29" t="str">
        <f t="shared" si="445"/>
        <v>#DIV/0!</v>
      </c>
      <c r="BA442" s="29" t="str">
        <f t="shared" si="445"/>
        <v>#DIV/0!</v>
      </c>
      <c r="BB442" s="29" t="str">
        <f t="shared" si="445"/>
        <v>#DIV/0!</v>
      </c>
      <c r="BC442" s="29" t="str">
        <f t="shared" si="445"/>
        <v>#DIV/0!</v>
      </c>
      <c r="BD442" s="29" t="str">
        <f t="shared" si="445"/>
        <v>#DIV/0!</v>
      </c>
      <c r="BE442" s="29" t="str">
        <f t="shared" si="445"/>
        <v>#DIV/0!</v>
      </c>
      <c r="BF442" s="29" t="str">
        <f t="shared" si="445"/>
        <v>#DIV/0!</v>
      </c>
      <c r="BG442" s="29" t="str">
        <f t="shared" si="445"/>
        <v>#DIV/0!</v>
      </c>
      <c r="BH442" s="29" t="str">
        <f t="shared" si="445"/>
        <v>#DIV/0!</v>
      </c>
      <c r="BI442" s="29" t="str">
        <f t="shared" si="445"/>
        <v>#DIV/0!</v>
      </c>
      <c r="BJ442" s="29" t="str">
        <f t="shared" si="445"/>
        <v>#DIV/0!</v>
      </c>
      <c r="BK442" s="29" t="str">
        <f t="shared" si="445"/>
        <v>#DIV/0!</v>
      </c>
      <c r="BL442" s="29" t="str">
        <f t="shared" si="445"/>
        <v>#DIV/0!</v>
      </c>
      <c r="BM442" s="29" t="str">
        <f t="shared" si="3"/>
        <v>#DIV/0!</v>
      </c>
    </row>
    <row r="443">
      <c r="A443" s="16" t="str">
        <f>IFERROR(__xludf.DUMMYFUNCTION("IFERROR(SPARKLINE(SORT(MAP(TRANSPOSE(AQ443:BL443), LAMBDA(val, IF(ISNUMBER(val), PERCENTRANK(AQ443:BL443, val)+0.01, 0))), SEQUENCE(COLUMNS(AQ443:BL443)), FALSE), {""charttype"",""column""; ""color"",""chartreuse""; ""ymin"", 0; ""ymax"", 1.01; ""highcolo"&amp;"r"", ""darkgreen""; ""lowcolor"", ""red""}), """")"),"")</f>
        <v/>
      </c>
      <c r="B443" s="17" t="str">
        <f t="shared" si="4"/>
        <v/>
      </c>
      <c r="C443" s="1" t="s">
        <v>2040</v>
      </c>
      <c r="D443" s="34" t="str">
        <f>IFERROR(__xludf.DUMMYFUNCTION("IFERROR(GOOGLEFINANCE(C443, ""NAME""))"),"KB Financial Group Inc")</f>
        <v>KB Financial Group Inc</v>
      </c>
      <c r="E443" s="30" t="s">
        <v>268</v>
      </c>
      <c r="F443" s="33" t="str">
        <f>IFERROR(__xludf.DUMMYFUNCTION("( (GOOGLEFINANCE(C443, ""price"") - Q443) / Q443 ) / (R443 / 100)"),"Loading...")</f>
        <v>Loading...</v>
      </c>
      <c r="G443" s="20" t="str">
        <f>IFERROR(__xludf.DUMMYFUNCTION("AVERAGE(ARRAYFORMULA(100 * (QUERY(GOOGLEFINANCE(C443, ""high"", TODAY()-40, TODAY()), ""SELECT Col2 WHERE Col2 IS NOT NULL ORDER BY Col1 DESC LIMIT 20"", 0) / QUERY(GOOGLEFINANCE(C443, ""low"", TODAY()-40, TODAY()), ""SELECT Col2 WHERE Col2 IS NOT NULL OR"&amp;"DER BY Col1 DESC LIMIT 20"", 0) - 1)))"),"#N/A")</f>
        <v>#N/A</v>
      </c>
      <c r="H443" s="35" t="str">
        <f t="shared" si="6"/>
        <v/>
      </c>
      <c r="I443" s="36" t="str">
        <f t="shared" si="7"/>
        <v/>
      </c>
      <c r="J443" s="37" t="str">
        <f>IFERROR(__xludf.DUMMYFUNCTION("IFERROR(
  IF(C443="""",, 
    IFERROR(
      GOOGLEFINANCE(C443, ""price"") * GOOGLEFINANCE(C443, ""volumeavg""), 
      GOOGLEFINANCE(C443, ""price"") * AVERAGE(QUERY(GOOGLEFINANCE(C443, ""volume"", TODAY()-40, TODAY()), ""SELECT Col2 WHERE Col2 IS NOT "&amp;"NULL ORDER BY Col1 DESC LIMIT 20"", 0))
    )
  ), 
"""")"),"")</f>
        <v/>
      </c>
      <c r="K443" s="21" t="str">
        <f>IFERROR(__xludf.DUMMYFUNCTION("IFERROR(GOOGLEFINANCE(C443, ""changepct"") / 100, """")"),"")</f>
        <v/>
      </c>
      <c r="L443" s="21" t="str">
        <f>IFERROR(__xludf.DUMMYFUNCTION("IFERROR((GOOGLEFINANCE(C443, ""price"") / INDEX(GOOGLEFINANCE(C443, ""price"", TODAY()-7, TODAY()), 2, 2)) - 1, """")"),"")</f>
        <v/>
      </c>
      <c r="M443" s="21" t="str">
        <f>IFERROR(__xludf.DUMMYFUNCTION("IFERROR((GOOGLEFINANCE(C443, ""price"") / INDEX(GOOGLEFINANCE(C443, ""price"", EDATE(TODAY(), -1), TODAY()), 2, 2)) - 1, """")"),"")</f>
        <v/>
      </c>
      <c r="N443" s="21" t="str">
        <f>IFERROR(__xludf.DUMMYFUNCTION("IFERROR((GOOGLEFINANCE(C443, ""price"") / INDEX(GOOGLEFINANCE(C443, ""price"", EDATE(TODAY(), -3), TODAY()), 2, 2)) - 1, """")"),"")</f>
        <v/>
      </c>
      <c r="O443" s="21" t="str">
        <f>IFERROR(__xludf.DUMMYFUNCTION("IFERROR((GOOGLEFINANCE(C443, ""price"") / INDEX(GOOGLEFINANCE(C443, ""price"", EDATE(TODAY(), -6), TODAY()), 2, 2)) - 1, """")"),"")</f>
        <v/>
      </c>
      <c r="P443" s="21" t="str">
        <f>IFERROR(__xludf.DUMMYFUNCTION("IFERROR((GOOGLEFINANCE(C443, ""price"") / INDEX(GOOGLEFINANCE(C443, ""price"", EDATE(TODAY(), -12), TODAY()), 2, 2)) - 1, """")"),"")</f>
        <v/>
      </c>
      <c r="Q443" s="6" t="str">
        <f>IFERROR(__xludf.DUMMYFUNCTION("AVERAGE(QUERY(GOOGLEFINANCE(C443, ""price"", TODAY()-80, TODAY()), ""SELECT Col2 WHERE Col2 IS NOT NULL ORDER BY Col1 DESC LIMIT 50"", 0))"),"#N/A")</f>
        <v>#N/A</v>
      </c>
      <c r="R443" s="24" t="str">
        <f>IFERROR(__xludf.DUMMYFUNCTION("IFERROR(
  LET(
    data, QUERY(GOOGLEFINANCE(C443,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GOOGLEFINANCE(C443, ""price"")) * 100,
    IF(calc=0, G443, calc)
  ), 
G443)"),"#N/A")</f>
        <v>#N/A</v>
      </c>
      <c r="S443" s="8" t="s">
        <v>15</v>
      </c>
      <c r="T443" s="26" t="str">
        <f>IFERROR(__xludf.DUMMYFUNCTION("IFERROR(TRANSPOSE(QUERY(IFERROR(SORT(GOOGLEFINANCE(C443, ""price"", WORKDAY(TODAY(), -40), TODAY()), 1, FALSE)), ""select Col2 where Col2 is not null limit 22 label Col2 ''"", 0)), """")"),"")</f>
        <v/>
      </c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8"/>
      <c r="AO443" s="28"/>
      <c r="AP443" s="29"/>
      <c r="AQ443" s="29" t="str">
        <f t="shared" ref="AQ443:BL443" si="446">T443/T$2</f>
        <v>#N/A</v>
      </c>
      <c r="AR443" s="29" t="str">
        <f t="shared" si="446"/>
        <v>#DIV/0!</v>
      </c>
      <c r="AS443" s="29" t="str">
        <f t="shared" si="446"/>
        <v>#DIV/0!</v>
      </c>
      <c r="AT443" s="29" t="str">
        <f t="shared" si="446"/>
        <v>#DIV/0!</v>
      </c>
      <c r="AU443" s="29" t="str">
        <f t="shared" si="446"/>
        <v>#DIV/0!</v>
      </c>
      <c r="AV443" s="29" t="str">
        <f t="shared" si="446"/>
        <v>#DIV/0!</v>
      </c>
      <c r="AW443" s="29" t="str">
        <f t="shared" si="446"/>
        <v>#DIV/0!</v>
      </c>
      <c r="AX443" s="29" t="str">
        <f t="shared" si="446"/>
        <v>#DIV/0!</v>
      </c>
      <c r="AY443" s="29" t="str">
        <f t="shared" si="446"/>
        <v>#DIV/0!</v>
      </c>
      <c r="AZ443" s="29" t="str">
        <f t="shared" si="446"/>
        <v>#DIV/0!</v>
      </c>
      <c r="BA443" s="29" t="str">
        <f t="shared" si="446"/>
        <v>#DIV/0!</v>
      </c>
      <c r="BB443" s="29" t="str">
        <f t="shared" si="446"/>
        <v>#DIV/0!</v>
      </c>
      <c r="BC443" s="29" t="str">
        <f t="shared" si="446"/>
        <v>#DIV/0!</v>
      </c>
      <c r="BD443" s="29" t="str">
        <f t="shared" si="446"/>
        <v>#DIV/0!</v>
      </c>
      <c r="BE443" s="29" t="str">
        <f t="shared" si="446"/>
        <v>#DIV/0!</v>
      </c>
      <c r="BF443" s="29" t="str">
        <f t="shared" si="446"/>
        <v>#DIV/0!</v>
      </c>
      <c r="BG443" s="29" t="str">
        <f t="shared" si="446"/>
        <v>#DIV/0!</v>
      </c>
      <c r="BH443" s="29" t="str">
        <f t="shared" si="446"/>
        <v>#DIV/0!</v>
      </c>
      <c r="BI443" s="29" t="str">
        <f t="shared" si="446"/>
        <v>#DIV/0!</v>
      </c>
      <c r="BJ443" s="29" t="str">
        <f t="shared" si="446"/>
        <v>#DIV/0!</v>
      </c>
      <c r="BK443" s="29" t="str">
        <f t="shared" si="446"/>
        <v>#DIV/0!</v>
      </c>
      <c r="BL443" s="29" t="str">
        <f t="shared" si="446"/>
        <v>#DIV/0!</v>
      </c>
      <c r="BM443" s="29" t="str">
        <f t="shared" si="3"/>
        <v>#DIV/0!</v>
      </c>
    </row>
    <row r="444">
      <c r="A444" s="16" t="str">
        <f>IFERROR(__xludf.DUMMYFUNCTION("IFERROR(SPARKLINE(SORT(MAP(TRANSPOSE(AQ444:BL444), LAMBDA(val, IF(ISNUMBER(val), PERCENTRANK(AQ444:BL444, val)+0.01, 0))), SEQUENCE(COLUMNS(AQ444:BL444)), FALSE), {""charttype"",""column""; ""color"",""chartreuse""; ""ymin"", 0; ""ymax"", 1.01; ""highcolo"&amp;"r"", ""darkgreen""; ""lowcolor"", ""red""}), """")"),"")</f>
        <v/>
      </c>
      <c r="B444" s="17" t="str">
        <f t="shared" si="4"/>
        <v/>
      </c>
      <c r="C444" s="1" t="s">
        <v>2044</v>
      </c>
      <c r="D444" s="34" t="str">
        <f>IFERROR(__xludf.DUMMYFUNCTION("IFERROR(GOOGLEFINANCE(C444, ""NAME""))"),"Farmers &amp; Merchants Bancorp, Inc. (OH) Common Stock")</f>
        <v>Farmers &amp; Merchants Bancorp, Inc. (OH) Common Stock</v>
      </c>
      <c r="E444" s="30" t="s">
        <v>268</v>
      </c>
      <c r="F444" s="33" t="str">
        <f>IFERROR(__xludf.DUMMYFUNCTION("( (GOOGLEFINANCE(C444, ""price"") - Q444) / Q444 ) / (R444 / 100)"),"Loading...")</f>
        <v>Loading...</v>
      </c>
      <c r="G444" s="20" t="str">
        <f>IFERROR(__xludf.DUMMYFUNCTION("AVERAGE(ARRAYFORMULA(100 * (QUERY(GOOGLEFINANCE(C444, ""high"", TODAY()-40, TODAY()), ""SELECT Col2 WHERE Col2 IS NOT NULL ORDER BY Col1 DESC LIMIT 20"", 0) / QUERY(GOOGLEFINANCE(C444, ""low"", TODAY()-40, TODAY()), ""SELECT Col2 WHERE Col2 IS NOT NULL OR"&amp;"DER BY Col1 DESC LIMIT 20"", 0) - 1)))"),"#N/A")</f>
        <v>#N/A</v>
      </c>
      <c r="H444" s="35" t="str">
        <f t="shared" si="6"/>
        <v/>
      </c>
      <c r="I444" s="36" t="str">
        <f t="shared" si="7"/>
        <v/>
      </c>
      <c r="J444" s="37" t="str">
        <f>IFERROR(__xludf.DUMMYFUNCTION("IFERROR(
  IF(C444="""",, 
    IFERROR(
      GOOGLEFINANCE(C444, ""price"") * GOOGLEFINANCE(C444, ""volumeavg""), 
      GOOGLEFINANCE(C444, ""price"") * AVERAGE(QUERY(GOOGLEFINANCE(C444, ""volume"", TODAY()-40, TODAY()), ""SELECT Col2 WHERE Col2 IS NOT "&amp;"NULL ORDER BY Col1 DESC LIMIT 20"", 0))
    )
  ), 
"""")"),"")</f>
        <v/>
      </c>
      <c r="K444" s="21" t="str">
        <f>IFERROR(__xludf.DUMMYFUNCTION("IFERROR(GOOGLEFINANCE(C444, ""changepct"") / 100, """")"),"")</f>
        <v/>
      </c>
      <c r="L444" s="21" t="str">
        <f>IFERROR(__xludf.DUMMYFUNCTION("IFERROR((GOOGLEFINANCE(C444, ""price"") / INDEX(GOOGLEFINANCE(C444, ""price"", TODAY()-7, TODAY()), 2, 2)) - 1, """")"),"")</f>
        <v/>
      </c>
      <c r="M444" s="21" t="str">
        <f>IFERROR(__xludf.DUMMYFUNCTION("IFERROR((GOOGLEFINANCE(C444, ""price"") / INDEX(GOOGLEFINANCE(C444, ""price"", EDATE(TODAY(), -1), TODAY()), 2, 2)) - 1, """")"),"")</f>
        <v/>
      </c>
      <c r="N444" s="21" t="str">
        <f>IFERROR(__xludf.DUMMYFUNCTION("IFERROR((GOOGLEFINANCE(C444, ""price"") / INDEX(GOOGLEFINANCE(C444, ""price"", EDATE(TODAY(), -3), TODAY()), 2, 2)) - 1, """")"),"")</f>
        <v/>
      </c>
      <c r="O444" s="21" t="str">
        <f>IFERROR(__xludf.DUMMYFUNCTION("IFERROR((GOOGLEFINANCE(C444, ""price"") / INDEX(GOOGLEFINANCE(C444, ""price"", EDATE(TODAY(), -6), TODAY()), 2, 2)) - 1, """")"),"")</f>
        <v/>
      </c>
      <c r="P444" s="21" t="str">
        <f>IFERROR(__xludf.DUMMYFUNCTION("IFERROR((GOOGLEFINANCE(C444, ""price"") / INDEX(GOOGLEFINANCE(C444, ""price"", EDATE(TODAY(), -12), TODAY()), 2, 2)) - 1, """")"),"")</f>
        <v/>
      </c>
      <c r="Q444" s="6" t="str">
        <f>IFERROR(__xludf.DUMMYFUNCTION("AVERAGE(QUERY(GOOGLEFINANCE(C444, ""price"", TODAY()-80, TODAY()), ""SELECT Col2 WHERE Col2 IS NOT NULL ORDER BY Col1 DESC LIMIT 50"", 0))"),"#N/A")</f>
        <v>#N/A</v>
      </c>
      <c r="R444" s="24" t="str">
        <f>IFERROR(__xludf.DUMMYFUNCTION("IFERROR(
  LET(
    data, QUERY(GOOGLEFINANCE(C444,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GOOGLEFINANCE(C444, ""price"")) * 100,
    IF(calc=0, G444, calc)
  ), 
G444)"),"#N/A")</f>
        <v>#N/A</v>
      </c>
      <c r="S444" s="8" t="s">
        <v>15</v>
      </c>
      <c r="T444" s="26" t="str">
        <f>IFERROR(__xludf.DUMMYFUNCTION("IFERROR(TRANSPOSE(QUERY(IFERROR(SORT(GOOGLEFINANCE(C444, ""price"", WORKDAY(TODAY(), -40), TODAY()), 1, FALSE)), ""select Col2 where Col2 is not null limit 22 label Col2 ''"", 0)), """")"),"")</f>
        <v/>
      </c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8"/>
      <c r="AO444" s="28"/>
      <c r="AP444" s="29"/>
      <c r="AQ444" s="29" t="str">
        <f t="shared" ref="AQ444:BL444" si="447">T444/T$2</f>
        <v>#N/A</v>
      </c>
      <c r="AR444" s="29" t="str">
        <f t="shared" si="447"/>
        <v>#DIV/0!</v>
      </c>
      <c r="AS444" s="29" t="str">
        <f t="shared" si="447"/>
        <v>#DIV/0!</v>
      </c>
      <c r="AT444" s="29" t="str">
        <f t="shared" si="447"/>
        <v>#DIV/0!</v>
      </c>
      <c r="AU444" s="29" t="str">
        <f t="shared" si="447"/>
        <v>#DIV/0!</v>
      </c>
      <c r="AV444" s="29" t="str">
        <f t="shared" si="447"/>
        <v>#DIV/0!</v>
      </c>
      <c r="AW444" s="29" t="str">
        <f t="shared" si="447"/>
        <v>#DIV/0!</v>
      </c>
      <c r="AX444" s="29" t="str">
        <f t="shared" si="447"/>
        <v>#DIV/0!</v>
      </c>
      <c r="AY444" s="29" t="str">
        <f t="shared" si="447"/>
        <v>#DIV/0!</v>
      </c>
      <c r="AZ444" s="29" t="str">
        <f t="shared" si="447"/>
        <v>#DIV/0!</v>
      </c>
      <c r="BA444" s="29" t="str">
        <f t="shared" si="447"/>
        <v>#DIV/0!</v>
      </c>
      <c r="BB444" s="29" t="str">
        <f t="shared" si="447"/>
        <v>#DIV/0!</v>
      </c>
      <c r="BC444" s="29" t="str">
        <f t="shared" si="447"/>
        <v>#DIV/0!</v>
      </c>
      <c r="BD444" s="29" t="str">
        <f t="shared" si="447"/>
        <v>#DIV/0!</v>
      </c>
      <c r="BE444" s="29" t="str">
        <f t="shared" si="447"/>
        <v>#DIV/0!</v>
      </c>
      <c r="BF444" s="29" t="str">
        <f t="shared" si="447"/>
        <v>#DIV/0!</v>
      </c>
      <c r="BG444" s="29" t="str">
        <f t="shared" si="447"/>
        <v>#DIV/0!</v>
      </c>
      <c r="BH444" s="29" t="str">
        <f t="shared" si="447"/>
        <v>#DIV/0!</v>
      </c>
      <c r="BI444" s="29" t="str">
        <f t="shared" si="447"/>
        <v>#DIV/0!</v>
      </c>
      <c r="BJ444" s="29" t="str">
        <f t="shared" si="447"/>
        <v>#DIV/0!</v>
      </c>
      <c r="BK444" s="29" t="str">
        <f t="shared" si="447"/>
        <v>#DIV/0!</v>
      </c>
      <c r="BL444" s="29" t="str">
        <f t="shared" si="447"/>
        <v>#DIV/0!</v>
      </c>
      <c r="BM444" s="29" t="str">
        <f t="shared" si="3"/>
        <v>#DIV/0!</v>
      </c>
    </row>
    <row r="445">
      <c r="A445" s="16" t="str">
        <f>IFERROR(__xludf.DUMMYFUNCTION("IFERROR(SPARKLINE(SORT(MAP(TRANSPOSE(AQ445:BL445), LAMBDA(val, IF(ISNUMBER(val), PERCENTRANK(AQ445:BL445, val)+0.01, 0))), SEQUENCE(COLUMNS(AQ445:BL445)), FALSE), {""charttype"",""column""; ""color"",""chartreuse""; ""ymin"", 0; ""ymax"", 1.01; ""highcolo"&amp;"r"", ""darkgreen""; ""lowcolor"", ""red""}), """")"),"")</f>
        <v/>
      </c>
      <c r="B445" s="17" t="str">
        <f t="shared" si="4"/>
        <v/>
      </c>
      <c r="C445" s="1" t="s">
        <v>2047</v>
      </c>
      <c r="D445" s="34" t="str">
        <f>IFERROR(__xludf.DUMMYFUNCTION("IFERROR(GOOGLEFINANCE(C445, ""NAME""))"),"Jackson Financial Inc")</f>
        <v>Jackson Financial Inc</v>
      </c>
      <c r="E445" s="30" t="s">
        <v>231</v>
      </c>
      <c r="F445" s="33" t="str">
        <f>IFERROR(__xludf.DUMMYFUNCTION("( (GOOGLEFINANCE(C445, ""price"") - Q445) / Q445 ) / (R445 / 100)"),"Loading...")</f>
        <v>Loading...</v>
      </c>
      <c r="G445" s="20" t="str">
        <f>IFERROR(__xludf.DUMMYFUNCTION("AVERAGE(ARRAYFORMULA(100 * (QUERY(GOOGLEFINANCE(C445, ""high"", TODAY()-40, TODAY()), ""SELECT Col2 WHERE Col2 IS NOT NULL ORDER BY Col1 DESC LIMIT 20"", 0) / QUERY(GOOGLEFINANCE(C445, ""low"", TODAY()-40, TODAY()), ""SELECT Col2 WHERE Col2 IS NOT NULL OR"&amp;"DER BY Col1 DESC LIMIT 20"", 0) - 1)))"),"#N/A")</f>
        <v>#N/A</v>
      </c>
      <c r="H445" s="35" t="str">
        <f t="shared" si="6"/>
        <v/>
      </c>
      <c r="I445" s="36" t="str">
        <f t="shared" si="7"/>
        <v/>
      </c>
      <c r="J445" s="37" t="str">
        <f>IFERROR(__xludf.DUMMYFUNCTION("IFERROR(
  IF(C445="""",, 
    IFERROR(
      GOOGLEFINANCE(C445, ""price"") * GOOGLEFINANCE(C445, ""volumeavg""), 
      GOOGLEFINANCE(C445, ""price"") * AVERAGE(QUERY(GOOGLEFINANCE(C445, ""volume"", TODAY()-40, TODAY()), ""SELECT Col2 WHERE Col2 IS NOT "&amp;"NULL ORDER BY Col1 DESC LIMIT 20"", 0))
    )
  ), 
"""")"),"")</f>
        <v/>
      </c>
      <c r="K445" s="21" t="str">
        <f>IFERROR(__xludf.DUMMYFUNCTION("IFERROR(GOOGLEFINANCE(C445, ""changepct"") / 100, """")"),"")</f>
        <v/>
      </c>
      <c r="L445" s="21" t="str">
        <f>IFERROR(__xludf.DUMMYFUNCTION("IFERROR((GOOGLEFINANCE(C445, ""price"") / INDEX(GOOGLEFINANCE(C445, ""price"", TODAY()-7, TODAY()), 2, 2)) - 1, """")"),"")</f>
        <v/>
      </c>
      <c r="M445" s="21" t="str">
        <f>IFERROR(__xludf.DUMMYFUNCTION("IFERROR((GOOGLEFINANCE(C445, ""price"") / INDEX(GOOGLEFINANCE(C445, ""price"", EDATE(TODAY(), -1), TODAY()), 2, 2)) - 1, """")"),"")</f>
        <v/>
      </c>
      <c r="N445" s="21" t="str">
        <f>IFERROR(__xludf.DUMMYFUNCTION("IFERROR((GOOGLEFINANCE(C445, ""price"") / INDEX(GOOGLEFINANCE(C445, ""price"", EDATE(TODAY(), -3), TODAY()), 2, 2)) - 1, """")"),"")</f>
        <v/>
      </c>
      <c r="O445" s="21" t="str">
        <f>IFERROR(__xludf.DUMMYFUNCTION("IFERROR((GOOGLEFINANCE(C445, ""price"") / INDEX(GOOGLEFINANCE(C445, ""price"", EDATE(TODAY(), -6), TODAY()), 2, 2)) - 1, """")"),"")</f>
        <v/>
      </c>
      <c r="P445" s="21" t="str">
        <f>IFERROR(__xludf.DUMMYFUNCTION("IFERROR((GOOGLEFINANCE(C445, ""price"") / INDEX(GOOGLEFINANCE(C445, ""price"", EDATE(TODAY(), -12), TODAY()), 2, 2)) - 1, """")"),"")</f>
        <v/>
      </c>
      <c r="Q445" s="6" t="str">
        <f>IFERROR(__xludf.DUMMYFUNCTION("AVERAGE(QUERY(GOOGLEFINANCE(C445, ""price"", TODAY()-80, TODAY()), ""SELECT Col2 WHERE Col2 IS NOT NULL ORDER BY Col1 DESC LIMIT 50"", 0))"),"#N/A")</f>
        <v>#N/A</v>
      </c>
      <c r="R445" s="24" t="str">
        <f>IFERROR(__xludf.DUMMYFUNCTION("IFERROR(
  LET(
    data, QUERY(GOOGLEFINANCE(C445,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GOOGLEFINANCE(C445, ""price"")) * 100,
    IF(calc=0, G445, calc)
  ), 
G445)"),"#N/A")</f>
        <v>#N/A</v>
      </c>
      <c r="S445" s="8" t="s">
        <v>15</v>
      </c>
      <c r="T445" s="26" t="str">
        <f>IFERROR(__xludf.DUMMYFUNCTION("IFERROR(TRANSPOSE(QUERY(IFERROR(SORT(GOOGLEFINANCE(C445, ""price"", WORKDAY(TODAY(), -40), TODAY()), 1, FALSE)), ""select Col2 where Col2 is not null limit 22 label Col2 ''"", 0)), """")"),"")</f>
        <v/>
      </c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8"/>
      <c r="AO445" s="28"/>
      <c r="AP445" s="29"/>
      <c r="AQ445" s="29" t="str">
        <f t="shared" ref="AQ445:BL445" si="448">T445/T$2</f>
        <v>#N/A</v>
      </c>
      <c r="AR445" s="29" t="str">
        <f t="shared" si="448"/>
        <v>#DIV/0!</v>
      </c>
      <c r="AS445" s="29" t="str">
        <f t="shared" si="448"/>
        <v>#DIV/0!</v>
      </c>
      <c r="AT445" s="29" t="str">
        <f t="shared" si="448"/>
        <v>#DIV/0!</v>
      </c>
      <c r="AU445" s="29" t="str">
        <f t="shared" si="448"/>
        <v>#DIV/0!</v>
      </c>
      <c r="AV445" s="29" t="str">
        <f t="shared" si="448"/>
        <v>#DIV/0!</v>
      </c>
      <c r="AW445" s="29" t="str">
        <f t="shared" si="448"/>
        <v>#DIV/0!</v>
      </c>
      <c r="AX445" s="29" t="str">
        <f t="shared" si="448"/>
        <v>#DIV/0!</v>
      </c>
      <c r="AY445" s="29" t="str">
        <f t="shared" si="448"/>
        <v>#DIV/0!</v>
      </c>
      <c r="AZ445" s="29" t="str">
        <f t="shared" si="448"/>
        <v>#DIV/0!</v>
      </c>
      <c r="BA445" s="29" t="str">
        <f t="shared" si="448"/>
        <v>#DIV/0!</v>
      </c>
      <c r="BB445" s="29" t="str">
        <f t="shared" si="448"/>
        <v>#DIV/0!</v>
      </c>
      <c r="BC445" s="29" t="str">
        <f t="shared" si="448"/>
        <v>#DIV/0!</v>
      </c>
      <c r="BD445" s="29" t="str">
        <f t="shared" si="448"/>
        <v>#DIV/0!</v>
      </c>
      <c r="BE445" s="29" t="str">
        <f t="shared" si="448"/>
        <v>#DIV/0!</v>
      </c>
      <c r="BF445" s="29" t="str">
        <f t="shared" si="448"/>
        <v>#DIV/0!</v>
      </c>
      <c r="BG445" s="29" t="str">
        <f t="shared" si="448"/>
        <v>#DIV/0!</v>
      </c>
      <c r="BH445" s="29" t="str">
        <f t="shared" si="448"/>
        <v>#DIV/0!</v>
      </c>
      <c r="BI445" s="29" t="str">
        <f t="shared" si="448"/>
        <v>#DIV/0!</v>
      </c>
      <c r="BJ445" s="29" t="str">
        <f t="shared" si="448"/>
        <v>#DIV/0!</v>
      </c>
      <c r="BK445" s="29" t="str">
        <f t="shared" si="448"/>
        <v>#DIV/0!</v>
      </c>
      <c r="BL445" s="29" t="str">
        <f t="shared" si="448"/>
        <v>#DIV/0!</v>
      </c>
      <c r="BM445" s="29" t="str">
        <f t="shared" si="3"/>
        <v>#DIV/0!</v>
      </c>
    </row>
    <row r="446">
      <c r="A446" s="16" t="str">
        <f>IFERROR(__xludf.DUMMYFUNCTION("IFERROR(SPARKLINE(SORT(MAP(TRANSPOSE(AQ446:BL446), LAMBDA(val, IF(ISNUMBER(val), PERCENTRANK(AQ446:BL446, val)+0.01, 0))), SEQUENCE(COLUMNS(AQ446:BL446)), FALSE), {""charttype"",""column""; ""color"",""chartreuse""; ""ymin"", 0; ""ymax"", 1.01; ""highcolo"&amp;"r"", ""darkgreen""; ""lowcolor"", ""red""}), """")"),"")</f>
        <v/>
      </c>
      <c r="B446" s="17" t="str">
        <f t="shared" si="4"/>
        <v/>
      </c>
      <c r="C446" s="1" t="s">
        <v>2050</v>
      </c>
      <c r="D446" s="34" t="str">
        <f>IFERROR(__xludf.DUMMYFUNCTION("IFERROR(GOOGLEFINANCE(C446, ""NAME""))"),"First Financial Corp")</f>
        <v>First Financial Corp</v>
      </c>
      <c r="E446" s="30" t="s">
        <v>268</v>
      </c>
      <c r="F446" s="33" t="str">
        <f>IFERROR(__xludf.DUMMYFUNCTION("( (GOOGLEFINANCE(C446, ""price"") - Q446) / Q446 ) / (R446 / 100)"),"Loading...")</f>
        <v>Loading...</v>
      </c>
      <c r="G446" s="20" t="str">
        <f>IFERROR(__xludf.DUMMYFUNCTION("AVERAGE(ARRAYFORMULA(100 * (QUERY(GOOGLEFINANCE(C446, ""high"", TODAY()-40, TODAY()), ""SELECT Col2 WHERE Col2 IS NOT NULL ORDER BY Col1 DESC LIMIT 20"", 0) / QUERY(GOOGLEFINANCE(C446, ""low"", TODAY()-40, TODAY()), ""SELECT Col2 WHERE Col2 IS NOT NULL OR"&amp;"DER BY Col1 DESC LIMIT 20"", 0) - 1)))"),"#N/A")</f>
        <v>#N/A</v>
      </c>
      <c r="H446" s="35" t="str">
        <f t="shared" si="6"/>
        <v/>
      </c>
      <c r="I446" s="36" t="str">
        <f t="shared" si="7"/>
        <v/>
      </c>
      <c r="J446" s="37" t="str">
        <f>IFERROR(__xludf.DUMMYFUNCTION("IFERROR(
  IF(C446="""",, 
    IFERROR(
      GOOGLEFINANCE(C446, ""price"") * GOOGLEFINANCE(C446, ""volumeavg""), 
      GOOGLEFINANCE(C446, ""price"") * AVERAGE(QUERY(GOOGLEFINANCE(C446, ""volume"", TODAY()-40, TODAY()), ""SELECT Col2 WHERE Col2 IS NOT "&amp;"NULL ORDER BY Col1 DESC LIMIT 20"", 0))
    )
  ), 
"""")"),"")</f>
        <v/>
      </c>
      <c r="K446" s="21" t="str">
        <f>IFERROR(__xludf.DUMMYFUNCTION("IFERROR(GOOGLEFINANCE(C446, ""changepct"") / 100, """")"),"")</f>
        <v/>
      </c>
      <c r="L446" s="21" t="str">
        <f>IFERROR(__xludf.DUMMYFUNCTION("IFERROR((GOOGLEFINANCE(C446, ""price"") / INDEX(GOOGLEFINANCE(C446, ""price"", TODAY()-7, TODAY()), 2, 2)) - 1, """")"),"")</f>
        <v/>
      </c>
      <c r="M446" s="21" t="str">
        <f>IFERROR(__xludf.DUMMYFUNCTION("IFERROR((GOOGLEFINANCE(C446, ""price"") / INDEX(GOOGLEFINANCE(C446, ""price"", EDATE(TODAY(), -1), TODAY()), 2, 2)) - 1, """")"),"")</f>
        <v/>
      </c>
      <c r="N446" s="21" t="str">
        <f>IFERROR(__xludf.DUMMYFUNCTION("IFERROR((GOOGLEFINANCE(C446, ""price"") / INDEX(GOOGLEFINANCE(C446, ""price"", EDATE(TODAY(), -3), TODAY()), 2, 2)) - 1, """")"),"")</f>
        <v/>
      </c>
      <c r="O446" s="21" t="str">
        <f>IFERROR(__xludf.DUMMYFUNCTION("IFERROR((GOOGLEFINANCE(C446, ""price"") / INDEX(GOOGLEFINANCE(C446, ""price"", EDATE(TODAY(), -6), TODAY()), 2, 2)) - 1, """")"),"")</f>
        <v/>
      </c>
      <c r="P446" s="21" t="str">
        <f>IFERROR(__xludf.DUMMYFUNCTION("IFERROR((GOOGLEFINANCE(C446, ""price"") / INDEX(GOOGLEFINANCE(C446, ""price"", EDATE(TODAY(), -12), TODAY()), 2, 2)) - 1, """")"),"")</f>
        <v/>
      </c>
      <c r="Q446" s="6" t="str">
        <f>IFERROR(__xludf.DUMMYFUNCTION("AVERAGE(QUERY(GOOGLEFINANCE(C446, ""price"", TODAY()-80, TODAY()), ""SELECT Col2 WHERE Col2 IS NOT NULL ORDER BY Col1 DESC LIMIT 50"", 0))"),"#N/A")</f>
        <v>#N/A</v>
      </c>
      <c r="R446" s="24" t="str">
        <f>IFERROR(__xludf.DUMMYFUNCTION("IFERROR(
  LET(
    data, QUERY(GOOGLEFINANCE(C446,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GOOGLEFINANCE(C446, ""price"")) * 100,
    IF(calc=0, G446, calc)
  ), 
G446)"),"#N/A")</f>
        <v>#N/A</v>
      </c>
      <c r="S446" s="8" t="s">
        <v>15</v>
      </c>
      <c r="T446" s="26" t="str">
        <f>IFERROR(__xludf.DUMMYFUNCTION("IFERROR(TRANSPOSE(QUERY(IFERROR(SORT(GOOGLEFINANCE(C446, ""price"", WORKDAY(TODAY(), -40), TODAY()), 1, FALSE)), ""select Col2 where Col2 is not null limit 22 label Col2 ''"", 0)), """")"),"")</f>
        <v/>
      </c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8"/>
      <c r="AO446" s="28"/>
      <c r="AP446" s="29"/>
      <c r="AQ446" s="29" t="str">
        <f t="shared" ref="AQ446:BL446" si="449">T446/T$2</f>
        <v>#N/A</v>
      </c>
      <c r="AR446" s="29" t="str">
        <f t="shared" si="449"/>
        <v>#DIV/0!</v>
      </c>
      <c r="AS446" s="29" t="str">
        <f t="shared" si="449"/>
        <v>#DIV/0!</v>
      </c>
      <c r="AT446" s="29" t="str">
        <f t="shared" si="449"/>
        <v>#DIV/0!</v>
      </c>
      <c r="AU446" s="29" t="str">
        <f t="shared" si="449"/>
        <v>#DIV/0!</v>
      </c>
      <c r="AV446" s="29" t="str">
        <f t="shared" si="449"/>
        <v>#DIV/0!</v>
      </c>
      <c r="AW446" s="29" t="str">
        <f t="shared" si="449"/>
        <v>#DIV/0!</v>
      </c>
      <c r="AX446" s="29" t="str">
        <f t="shared" si="449"/>
        <v>#DIV/0!</v>
      </c>
      <c r="AY446" s="29" t="str">
        <f t="shared" si="449"/>
        <v>#DIV/0!</v>
      </c>
      <c r="AZ446" s="29" t="str">
        <f t="shared" si="449"/>
        <v>#DIV/0!</v>
      </c>
      <c r="BA446" s="29" t="str">
        <f t="shared" si="449"/>
        <v>#DIV/0!</v>
      </c>
      <c r="BB446" s="29" t="str">
        <f t="shared" si="449"/>
        <v>#DIV/0!</v>
      </c>
      <c r="BC446" s="29" t="str">
        <f t="shared" si="449"/>
        <v>#DIV/0!</v>
      </c>
      <c r="BD446" s="29" t="str">
        <f t="shared" si="449"/>
        <v>#DIV/0!</v>
      </c>
      <c r="BE446" s="29" t="str">
        <f t="shared" si="449"/>
        <v>#DIV/0!</v>
      </c>
      <c r="BF446" s="29" t="str">
        <f t="shared" si="449"/>
        <v>#DIV/0!</v>
      </c>
      <c r="BG446" s="29" t="str">
        <f t="shared" si="449"/>
        <v>#DIV/0!</v>
      </c>
      <c r="BH446" s="29" t="str">
        <f t="shared" si="449"/>
        <v>#DIV/0!</v>
      </c>
      <c r="BI446" s="29" t="str">
        <f t="shared" si="449"/>
        <v>#DIV/0!</v>
      </c>
      <c r="BJ446" s="29" t="str">
        <f t="shared" si="449"/>
        <v>#DIV/0!</v>
      </c>
      <c r="BK446" s="29" t="str">
        <f t="shared" si="449"/>
        <v>#DIV/0!</v>
      </c>
      <c r="BL446" s="29" t="str">
        <f t="shared" si="449"/>
        <v>#DIV/0!</v>
      </c>
      <c r="BM446" s="29" t="str">
        <f t="shared" si="3"/>
        <v>#DIV/0!</v>
      </c>
    </row>
    <row r="447">
      <c r="A447" s="16" t="str">
        <f>IFERROR(__xludf.DUMMYFUNCTION("IFERROR(SPARKLINE(SORT(MAP(TRANSPOSE(AQ447:BL447), LAMBDA(val, IF(ISNUMBER(val), PERCENTRANK(AQ447:BL447, val)+0.01, 0))), SEQUENCE(COLUMNS(AQ447:BL447)), FALSE), {""charttype"",""column""; ""color"",""chartreuse""; ""ymin"", 0; ""ymax"", 1.01; ""highcolo"&amp;"r"", ""darkgreen""; ""lowcolor"", ""red""}), """")"),"")</f>
        <v/>
      </c>
      <c r="B447" s="17" t="str">
        <f t="shared" si="4"/>
        <v/>
      </c>
      <c r="C447" s="1" t="s">
        <v>2053</v>
      </c>
      <c r="D447" s="34" t="str">
        <f>IFERROR(__xludf.DUMMYFUNCTION("IFERROR(GOOGLEFINANCE(C447, ""NAME""))"),"Five Star Bancorp")</f>
        <v>Five Star Bancorp</v>
      </c>
      <c r="E447" s="30" t="s">
        <v>268</v>
      </c>
      <c r="F447" s="33" t="str">
        <f>IFERROR(__xludf.DUMMYFUNCTION("( (GOOGLEFINANCE(C447, ""price"") - Q447) / Q447 ) / (R447 / 100)"),"Loading...")</f>
        <v>Loading...</v>
      </c>
      <c r="G447" s="20" t="str">
        <f>IFERROR(__xludf.DUMMYFUNCTION("AVERAGE(ARRAYFORMULA(100 * (QUERY(GOOGLEFINANCE(C447, ""high"", TODAY()-40, TODAY()), ""SELECT Col2 WHERE Col2 IS NOT NULL ORDER BY Col1 DESC LIMIT 20"", 0) / QUERY(GOOGLEFINANCE(C447, ""low"", TODAY()-40, TODAY()), ""SELECT Col2 WHERE Col2 IS NOT NULL OR"&amp;"DER BY Col1 DESC LIMIT 20"", 0) - 1)))"),"#N/A")</f>
        <v>#N/A</v>
      </c>
      <c r="H447" s="35" t="str">
        <f t="shared" si="6"/>
        <v/>
      </c>
      <c r="I447" s="36" t="str">
        <f t="shared" si="7"/>
        <v/>
      </c>
      <c r="J447" s="37" t="str">
        <f>IFERROR(__xludf.DUMMYFUNCTION("IFERROR(
  IF(C447="""",, 
    IFERROR(
      GOOGLEFINANCE(C447, ""price"") * GOOGLEFINANCE(C447, ""volumeavg""), 
      GOOGLEFINANCE(C447, ""price"") * AVERAGE(QUERY(GOOGLEFINANCE(C447, ""volume"", TODAY()-40, TODAY()), ""SELECT Col2 WHERE Col2 IS NOT "&amp;"NULL ORDER BY Col1 DESC LIMIT 20"", 0))
    )
  ), 
"""")"),"")</f>
        <v/>
      </c>
      <c r="K447" s="21" t="str">
        <f>IFERROR(__xludf.DUMMYFUNCTION("IFERROR(GOOGLEFINANCE(C447, ""changepct"") / 100, """")"),"")</f>
        <v/>
      </c>
      <c r="L447" s="21" t="str">
        <f>IFERROR(__xludf.DUMMYFUNCTION("IFERROR((GOOGLEFINANCE(C447, ""price"") / INDEX(GOOGLEFINANCE(C447, ""price"", TODAY()-7, TODAY()), 2, 2)) - 1, """")"),"")</f>
        <v/>
      </c>
      <c r="M447" s="21" t="str">
        <f>IFERROR(__xludf.DUMMYFUNCTION("IFERROR((GOOGLEFINANCE(C447, ""price"") / INDEX(GOOGLEFINANCE(C447, ""price"", EDATE(TODAY(), -1), TODAY()), 2, 2)) - 1, """")"),"")</f>
        <v/>
      </c>
      <c r="N447" s="21" t="str">
        <f>IFERROR(__xludf.DUMMYFUNCTION("IFERROR((GOOGLEFINANCE(C447, ""price"") / INDEX(GOOGLEFINANCE(C447, ""price"", EDATE(TODAY(), -3), TODAY()), 2, 2)) - 1, """")"),"")</f>
        <v/>
      </c>
      <c r="O447" s="21" t="str">
        <f>IFERROR(__xludf.DUMMYFUNCTION("IFERROR((GOOGLEFINANCE(C447, ""price"") / INDEX(GOOGLEFINANCE(C447, ""price"", EDATE(TODAY(), -6), TODAY()), 2, 2)) - 1, """")"),"")</f>
        <v/>
      </c>
      <c r="P447" s="21" t="str">
        <f>IFERROR(__xludf.DUMMYFUNCTION("IFERROR((GOOGLEFINANCE(C447, ""price"") / INDEX(GOOGLEFINANCE(C447, ""price"", EDATE(TODAY(), -12), TODAY()), 2, 2)) - 1, """")"),"")</f>
        <v/>
      </c>
      <c r="Q447" s="6" t="str">
        <f>IFERROR(__xludf.DUMMYFUNCTION("AVERAGE(QUERY(GOOGLEFINANCE(C447, ""price"", TODAY()-80, TODAY()), ""SELECT Col2 WHERE Col2 IS NOT NULL ORDER BY Col1 DESC LIMIT 50"", 0))"),"#N/A")</f>
        <v>#N/A</v>
      </c>
      <c r="R447" s="24" t="str">
        <f>IFERROR(__xludf.DUMMYFUNCTION("IFERROR(
  LET(
    data, QUERY(GOOGLEFINANCE(C447,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GOOGLEFINANCE(C447, ""price"")) * 100,
    IF(calc=0, G447, calc)
  ), 
G447)"),"#N/A")</f>
        <v>#N/A</v>
      </c>
      <c r="S447" s="8" t="s">
        <v>15</v>
      </c>
      <c r="T447" s="26" t="str">
        <f>IFERROR(__xludf.DUMMYFUNCTION("IFERROR(TRANSPOSE(QUERY(IFERROR(SORT(GOOGLEFINANCE(C447, ""price"", WORKDAY(TODAY(), -40), TODAY()), 1, FALSE)), ""select Col2 where Col2 is not null limit 22 label Col2 ''"", 0)), """")"),"")</f>
        <v/>
      </c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8"/>
      <c r="AO447" s="28"/>
      <c r="AP447" s="29"/>
      <c r="AQ447" s="29" t="str">
        <f t="shared" ref="AQ447:BL447" si="450">T447/T$2</f>
        <v>#N/A</v>
      </c>
      <c r="AR447" s="29" t="str">
        <f t="shared" si="450"/>
        <v>#DIV/0!</v>
      </c>
      <c r="AS447" s="29" t="str">
        <f t="shared" si="450"/>
        <v>#DIV/0!</v>
      </c>
      <c r="AT447" s="29" t="str">
        <f t="shared" si="450"/>
        <v>#DIV/0!</v>
      </c>
      <c r="AU447" s="29" t="str">
        <f t="shared" si="450"/>
        <v>#DIV/0!</v>
      </c>
      <c r="AV447" s="29" t="str">
        <f t="shared" si="450"/>
        <v>#DIV/0!</v>
      </c>
      <c r="AW447" s="29" t="str">
        <f t="shared" si="450"/>
        <v>#DIV/0!</v>
      </c>
      <c r="AX447" s="29" t="str">
        <f t="shared" si="450"/>
        <v>#DIV/0!</v>
      </c>
      <c r="AY447" s="29" t="str">
        <f t="shared" si="450"/>
        <v>#DIV/0!</v>
      </c>
      <c r="AZ447" s="29" t="str">
        <f t="shared" si="450"/>
        <v>#DIV/0!</v>
      </c>
      <c r="BA447" s="29" t="str">
        <f t="shared" si="450"/>
        <v>#DIV/0!</v>
      </c>
      <c r="BB447" s="29" t="str">
        <f t="shared" si="450"/>
        <v>#DIV/0!</v>
      </c>
      <c r="BC447" s="29" t="str">
        <f t="shared" si="450"/>
        <v>#DIV/0!</v>
      </c>
      <c r="BD447" s="29" t="str">
        <f t="shared" si="450"/>
        <v>#DIV/0!</v>
      </c>
      <c r="BE447" s="29" t="str">
        <f t="shared" si="450"/>
        <v>#DIV/0!</v>
      </c>
      <c r="BF447" s="29" t="str">
        <f t="shared" si="450"/>
        <v>#DIV/0!</v>
      </c>
      <c r="BG447" s="29" t="str">
        <f t="shared" si="450"/>
        <v>#DIV/0!</v>
      </c>
      <c r="BH447" s="29" t="str">
        <f t="shared" si="450"/>
        <v>#DIV/0!</v>
      </c>
      <c r="BI447" s="29" t="str">
        <f t="shared" si="450"/>
        <v>#DIV/0!</v>
      </c>
      <c r="BJ447" s="29" t="str">
        <f t="shared" si="450"/>
        <v>#DIV/0!</v>
      </c>
      <c r="BK447" s="29" t="str">
        <f t="shared" si="450"/>
        <v>#DIV/0!</v>
      </c>
      <c r="BL447" s="29" t="str">
        <f t="shared" si="450"/>
        <v>#DIV/0!</v>
      </c>
      <c r="BM447" s="29" t="str">
        <f t="shared" si="3"/>
        <v>#DIV/0!</v>
      </c>
    </row>
    <row r="448">
      <c r="A448" s="16" t="str">
        <f>IFERROR(__xludf.DUMMYFUNCTION("IFERROR(SPARKLINE(SORT(MAP(TRANSPOSE(AQ448:BL448), LAMBDA(val, IF(ISNUMBER(val), PERCENTRANK(AQ448:BL448, val)+0.01, 0))), SEQUENCE(COLUMNS(AQ448:BL448)), FALSE), {""charttype"",""column""; ""color"",""chartreuse""; ""ymin"", 0; ""ymax"", 1.01; ""highcolo"&amp;"r"", ""darkgreen""; ""lowcolor"", ""red""}), """")"),"")</f>
        <v/>
      </c>
      <c r="B448" s="17" t="str">
        <f t="shared" si="4"/>
        <v/>
      </c>
      <c r="C448" s="1" t="s">
        <v>2057</v>
      </c>
      <c r="D448" s="34" t="str">
        <f>IFERROR(__xludf.DUMMYFUNCTION("IFERROR(GOOGLEFINANCE(C448, ""NAME""))"),"Gold.com Inc")</f>
        <v>Gold.com Inc</v>
      </c>
      <c r="E448" s="30" t="s">
        <v>77</v>
      </c>
      <c r="F448" s="33" t="str">
        <f>IFERROR(__xludf.DUMMYFUNCTION("( (GOOGLEFINANCE(C448, ""price"") - Q448) / Q448 ) / (R448 / 100)"),"Loading...")</f>
        <v>Loading...</v>
      </c>
      <c r="G448" s="20" t="str">
        <f>IFERROR(__xludf.DUMMYFUNCTION("AVERAGE(ARRAYFORMULA(100 * (QUERY(GOOGLEFINANCE(C448, ""high"", TODAY()-40, TODAY()), ""SELECT Col2 WHERE Col2 IS NOT NULL ORDER BY Col1 DESC LIMIT 20"", 0) / QUERY(GOOGLEFINANCE(C448, ""low"", TODAY()-40, TODAY()), ""SELECT Col2 WHERE Col2 IS NOT NULL OR"&amp;"DER BY Col1 DESC LIMIT 20"", 0) - 1)))"),"#N/A")</f>
        <v>#N/A</v>
      </c>
      <c r="H448" s="35" t="str">
        <f t="shared" si="6"/>
        <v/>
      </c>
      <c r="I448" s="36" t="str">
        <f t="shared" si="7"/>
        <v/>
      </c>
      <c r="J448" s="37" t="str">
        <f>IFERROR(__xludf.DUMMYFUNCTION("IFERROR(
  IF(C448="""",, 
    IFERROR(
      GOOGLEFINANCE(C448, ""price"") * GOOGLEFINANCE(C448, ""volumeavg""), 
      GOOGLEFINANCE(C448, ""price"") * AVERAGE(QUERY(GOOGLEFINANCE(C448, ""volume"", TODAY()-40, TODAY()), ""SELECT Col2 WHERE Col2 IS NOT "&amp;"NULL ORDER BY Col1 DESC LIMIT 20"", 0))
    )
  ), 
"""")"),"")</f>
        <v/>
      </c>
      <c r="K448" s="21" t="str">
        <f>IFERROR(__xludf.DUMMYFUNCTION("IFERROR(GOOGLEFINANCE(C448, ""changepct"") / 100, """")"),"")</f>
        <v/>
      </c>
      <c r="L448" s="21" t="str">
        <f>IFERROR(__xludf.DUMMYFUNCTION("IFERROR((GOOGLEFINANCE(C448, ""price"") / INDEX(GOOGLEFINANCE(C448, ""price"", TODAY()-7, TODAY()), 2, 2)) - 1, """")"),"")</f>
        <v/>
      </c>
      <c r="M448" s="21" t="str">
        <f>IFERROR(__xludf.DUMMYFUNCTION("IFERROR((GOOGLEFINANCE(C448, ""price"") / INDEX(GOOGLEFINANCE(C448, ""price"", EDATE(TODAY(), -1), TODAY()), 2, 2)) - 1, """")"),"")</f>
        <v/>
      </c>
      <c r="N448" s="21" t="str">
        <f>IFERROR(__xludf.DUMMYFUNCTION("IFERROR((GOOGLEFINANCE(C448, ""price"") / INDEX(GOOGLEFINANCE(C448, ""price"", EDATE(TODAY(), -3), TODAY()), 2, 2)) - 1, """")"),"")</f>
        <v/>
      </c>
      <c r="O448" s="21" t="str">
        <f>IFERROR(__xludf.DUMMYFUNCTION("IFERROR((GOOGLEFINANCE(C448, ""price"") / INDEX(GOOGLEFINANCE(C448, ""price"", EDATE(TODAY(), -6), TODAY()), 2, 2)) - 1, """")"),"")</f>
        <v/>
      </c>
      <c r="P448" s="21" t="str">
        <f>IFERROR(__xludf.DUMMYFUNCTION("IFERROR((GOOGLEFINANCE(C448, ""price"") / INDEX(GOOGLEFINANCE(C448, ""price"", EDATE(TODAY(), -12), TODAY()), 2, 2)) - 1, """")"),"")</f>
        <v/>
      </c>
      <c r="Q448" s="6" t="str">
        <f>IFERROR(__xludf.DUMMYFUNCTION("AVERAGE(QUERY(GOOGLEFINANCE(C448, ""price"", TODAY()-80, TODAY()), ""SELECT Col2 WHERE Col2 IS NOT NULL ORDER BY Col1 DESC LIMIT 50"", 0))"),"#N/A")</f>
        <v>#N/A</v>
      </c>
      <c r="R448" s="24" t="str">
        <f>IFERROR(__xludf.DUMMYFUNCTION("IFERROR(
  LET(
    data, QUERY(GOOGLEFINANCE(C448,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GOOGLEFINANCE(C448, ""price"")) * 100,
    IF(calc=0, G448, calc)
  ), 
G448)"),"#N/A")</f>
        <v>#N/A</v>
      </c>
      <c r="S448" s="8" t="s">
        <v>15</v>
      </c>
      <c r="T448" s="26" t="str">
        <f>IFERROR(__xludf.DUMMYFUNCTION("IFERROR(TRANSPOSE(QUERY(IFERROR(SORT(GOOGLEFINANCE(C448, ""price"", WORKDAY(TODAY(), -40), TODAY()), 1, FALSE)), ""select Col2 where Col2 is not null limit 22 label Col2 ''"", 0)), """")"),"")</f>
        <v/>
      </c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8"/>
      <c r="AO448" s="28"/>
      <c r="AP448" s="29"/>
      <c r="AQ448" s="29" t="str">
        <f t="shared" ref="AQ448:BL448" si="451">T448/T$2</f>
        <v>#N/A</v>
      </c>
      <c r="AR448" s="29" t="str">
        <f t="shared" si="451"/>
        <v>#DIV/0!</v>
      </c>
      <c r="AS448" s="29" t="str">
        <f t="shared" si="451"/>
        <v>#DIV/0!</v>
      </c>
      <c r="AT448" s="29" t="str">
        <f t="shared" si="451"/>
        <v>#DIV/0!</v>
      </c>
      <c r="AU448" s="29" t="str">
        <f t="shared" si="451"/>
        <v>#DIV/0!</v>
      </c>
      <c r="AV448" s="29" t="str">
        <f t="shared" si="451"/>
        <v>#DIV/0!</v>
      </c>
      <c r="AW448" s="29" t="str">
        <f t="shared" si="451"/>
        <v>#DIV/0!</v>
      </c>
      <c r="AX448" s="29" t="str">
        <f t="shared" si="451"/>
        <v>#DIV/0!</v>
      </c>
      <c r="AY448" s="29" t="str">
        <f t="shared" si="451"/>
        <v>#DIV/0!</v>
      </c>
      <c r="AZ448" s="29" t="str">
        <f t="shared" si="451"/>
        <v>#DIV/0!</v>
      </c>
      <c r="BA448" s="29" t="str">
        <f t="shared" si="451"/>
        <v>#DIV/0!</v>
      </c>
      <c r="BB448" s="29" t="str">
        <f t="shared" si="451"/>
        <v>#DIV/0!</v>
      </c>
      <c r="BC448" s="29" t="str">
        <f t="shared" si="451"/>
        <v>#DIV/0!</v>
      </c>
      <c r="BD448" s="29" t="str">
        <f t="shared" si="451"/>
        <v>#DIV/0!</v>
      </c>
      <c r="BE448" s="29" t="str">
        <f t="shared" si="451"/>
        <v>#DIV/0!</v>
      </c>
      <c r="BF448" s="29" t="str">
        <f t="shared" si="451"/>
        <v>#DIV/0!</v>
      </c>
      <c r="BG448" s="29" t="str">
        <f t="shared" si="451"/>
        <v>#DIV/0!</v>
      </c>
      <c r="BH448" s="29" t="str">
        <f t="shared" si="451"/>
        <v>#DIV/0!</v>
      </c>
      <c r="BI448" s="29" t="str">
        <f t="shared" si="451"/>
        <v>#DIV/0!</v>
      </c>
      <c r="BJ448" s="29" t="str">
        <f t="shared" si="451"/>
        <v>#DIV/0!</v>
      </c>
      <c r="BK448" s="29" t="str">
        <f t="shared" si="451"/>
        <v>#DIV/0!</v>
      </c>
      <c r="BL448" s="29" t="str">
        <f t="shared" si="451"/>
        <v>#DIV/0!</v>
      </c>
      <c r="BM448" s="29" t="str">
        <f t="shared" si="3"/>
        <v>#DIV/0!</v>
      </c>
    </row>
    <row r="449">
      <c r="A449" s="16" t="str">
        <f>IFERROR(__xludf.DUMMYFUNCTION("IFERROR(SPARKLINE(SORT(MAP(TRANSPOSE(AQ449:BL449), LAMBDA(val, IF(ISNUMBER(val), PERCENTRANK(AQ449:BL449, val)+0.01, 0))), SEQUENCE(COLUMNS(AQ449:BL449)), FALSE), {""charttype"",""column""; ""color"",""chartreuse""; ""ymin"", 0; ""ymax"", 1.01; ""highcolo"&amp;"r"", ""darkgreen""; ""lowcolor"", ""red""}), """")"),"")</f>
        <v/>
      </c>
      <c r="B449" s="17" t="str">
        <f t="shared" si="4"/>
        <v/>
      </c>
      <c r="C449" s="1" t="s">
        <v>2060</v>
      </c>
      <c r="D449" s="34" t="str">
        <f>IFERROR(__xludf.DUMMYFUNCTION("IFERROR(GOOGLEFINANCE(C449, ""NAME""))"),"Barclays PLC")</f>
        <v>Barclays PLC</v>
      </c>
      <c r="E449" s="30" t="s">
        <v>236</v>
      </c>
      <c r="F449" s="33" t="str">
        <f>IFERROR(__xludf.DUMMYFUNCTION("( (GOOGLEFINANCE(C449, ""price"") - Q449) / Q449 ) / (R449 / 100)"),"Loading...")</f>
        <v>Loading...</v>
      </c>
      <c r="G449" s="20" t="str">
        <f>IFERROR(__xludf.DUMMYFUNCTION("AVERAGE(ARRAYFORMULA(100 * (QUERY(GOOGLEFINANCE(C449, ""high"", TODAY()-40, TODAY()), ""SELECT Col2 WHERE Col2 IS NOT NULL ORDER BY Col1 DESC LIMIT 20"", 0) / QUERY(GOOGLEFINANCE(C449, ""low"", TODAY()-40, TODAY()), ""SELECT Col2 WHERE Col2 IS NOT NULL OR"&amp;"DER BY Col1 DESC LIMIT 20"", 0) - 1)))"),"#N/A")</f>
        <v>#N/A</v>
      </c>
      <c r="H449" s="35" t="str">
        <f t="shared" si="6"/>
        <v/>
      </c>
      <c r="I449" s="36" t="str">
        <f t="shared" si="7"/>
        <v/>
      </c>
      <c r="J449" s="37" t="str">
        <f>IFERROR(__xludf.DUMMYFUNCTION("IFERROR(
  IF(C449="""",, 
    IFERROR(
      GOOGLEFINANCE(C449, ""price"") * GOOGLEFINANCE(C449, ""volumeavg""), 
      GOOGLEFINANCE(C449, ""price"") * AVERAGE(QUERY(GOOGLEFINANCE(C449, ""volume"", TODAY()-40, TODAY()), ""SELECT Col2 WHERE Col2 IS NOT "&amp;"NULL ORDER BY Col1 DESC LIMIT 20"", 0))
    )
  ), 
"""")"),"")</f>
        <v/>
      </c>
      <c r="K449" s="21" t="str">
        <f>IFERROR(__xludf.DUMMYFUNCTION("IFERROR(GOOGLEFINANCE(C449, ""changepct"") / 100, """")"),"")</f>
        <v/>
      </c>
      <c r="L449" s="21" t="str">
        <f>IFERROR(__xludf.DUMMYFUNCTION("IFERROR((GOOGLEFINANCE(C449, ""price"") / INDEX(GOOGLEFINANCE(C449, ""price"", TODAY()-7, TODAY()), 2, 2)) - 1, """")"),"")</f>
        <v/>
      </c>
      <c r="M449" s="21" t="str">
        <f>IFERROR(__xludf.DUMMYFUNCTION("IFERROR((GOOGLEFINANCE(C449, ""price"") / INDEX(GOOGLEFINANCE(C449, ""price"", EDATE(TODAY(), -1), TODAY()), 2, 2)) - 1, """")"),"")</f>
        <v/>
      </c>
      <c r="N449" s="21" t="str">
        <f>IFERROR(__xludf.DUMMYFUNCTION("IFERROR((GOOGLEFINANCE(C449, ""price"") / INDEX(GOOGLEFINANCE(C449, ""price"", EDATE(TODAY(), -3), TODAY()), 2, 2)) - 1, """")"),"")</f>
        <v/>
      </c>
      <c r="O449" s="21" t="str">
        <f>IFERROR(__xludf.DUMMYFUNCTION("IFERROR((GOOGLEFINANCE(C449, ""price"") / INDEX(GOOGLEFINANCE(C449, ""price"", EDATE(TODAY(), -6), TODAY()), 2, 2)) - 1, """")"),"")</f>
        <v/>
      </c>
      <c r="P449" s="21" t="str">
        <f>IFERROR(__xludf.DUMMYFUNCTION("IFERROR((GOOGLEFINANCE(C449, ""price"") / INDEX(GOOGLEFINANCE(C449, ""price"", EDATE(TODAY(), -12), TODAY()), 2, 2)) - 1, """")"),"")</f>
        <v/>
      </c>
      <c r="Q449" s="6" t="str">
        <f>IFERROR(__xludf.DUMMYFUNCTION("AVERAGE(QUERY(GOOGLEFINANCE(C449, ""price"", TODAY()-80, TODAY()), ""SELECT Col2 WHERE Col2 IS NOT NULL ORDER BY Col1 DESC LIMIT 50"", 0))"),"#N/A")</f>
        <v>#N/A</v>
      </c>
      <c r="R449" s="24" t="str">
        <f>IFERROR(__xludf.DUMMYFUNCTION("IFERROR(
  LET(
    data, QUERY(GOOGLEFINANCE(C449,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GOOGLEFINANCE(C449, ""price"")) * 100,
    IF(calc=0, G449, calc)
  ), 
G449)"),"#N/A")</f>
        <v>#N/A</v>
      </c>
      <c r="S449" s="8" t="s">
        <v>15</v>
      </c>
      <c r="T449" s="26" t="str">
        <f>IFERROR(__xludf.DUMMYFUNCTION("IFERROR(TRANSPOSE(QUERY(IFERROR(SORT(GOOGLEFINANCE(C449, ""price"", WORKDAY(TODAY(), -40), TODAY()), 1, FALSE)), ""select Col2 where Col2 is not null limit 22 label Col2 ''"", 0)), """")"),"")</f>
        <v/>
      </c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8"/>
      <c r="AO449" s="28"/>
      <c r="AP449" s="29"/>
      <c r="AQ449" s="29" t="str">
        <f t="shared" ref="AQ449:BL449" si="452">T449/T$2</f>
        <v>#N/A</v>
      </c>
      <c r="AR449" s="29" t="str">
        <f t="shared" si="452"/>
        <v>#DIV/0!</v>
      </c>
      <c r="AS449" s="29" t="str">
        <f t="shared" si="452"/>
        <v>#DIV/0!</v>
      </c>
      <c r="AT449" s="29" t="str">
        <f t="shared" si="452"/>
        <v>#DIV/0!</v>
      </c>
      <c r="AU449" s="29" t="str">
        <f t="shared" si="452"/>
        <v>#DIV/0!</v>
      </c>
      <c r="AV449" s="29" t="str">
        <f t="shared" si="452"/>
        <v>#DIV/0!</v>
      </c>
      <c r="AW449" s="29" t="str">
        <f t="shared" si="452"/>
        <v>#DIV/0!</v>
      </c>
      <c r="AX449" s="29" t="str">
        <f t="shared" si="452"/>
        <v>#DIV/0!</v>
      </c>
      <c r="AY449" s="29" t="str">
        <f t="shared" si="452"/>
        <v>#DIV/0!</v>
      </c>
      <c r="AZ449" s="29" t="str">
        <f t="shared" si="452"/>
        <v>#DIV/0!</v>
      </c>
      <c r="BA449" s="29" t="str">
        <f t="shared" si="452"/>
        <v>#DIV/0!</v>
      </c>
      <c r="BB449" s="29" t="str">
        <f t="shared" si="452"/>
        <v>#DIV/0!</v>
      </c>
      <c r="BC449" s="29" t="str">
        <f t="shared" si="452"/>
        <v>#DIV/0!</v>
      </c>
      <c r="BD449" s="29" t="str">
        <f t="shared" si="452"/>
        <v>#DIV/0!</v>
      </c>
      <c r="BE449" s="29" t="str">
        <f t="shared" si="452"/>
        <v>#DIV/0!</v>
      </c>
      <c r="BF449" s="29" t="str">
        <f t="shared" si="452"/>
        <v>#DIV/0!</v>
      </c>
      <c r="BG449" s="29" t="str">
        <f t="shared" si="452"/>
        <v>#DIV/0!</v>
      </c>
      <c r="BH449" s="29" t="str">
        <f t="shared" si="452"/>
        <v>#DIV/0!</v>
      </c>
      <c r="BI449" s="29" t="str">
        <f t="shared" si="452"/>
        <v>#DIV/0!</v>
      </c>
      <c r="BJ449" s="29" t="str">
        <f t="shared" si="452"/>
        <v>#DIV/0!</v>
      </c>
      <c r="BK449" s="29" t="str">
        <f t="shared" si="452"/>
        <v>#DIV/0!</v>
      </c>
      <c r="BL449" s="29" t="str">
        <f t="shared" si="452"/>
        <v>#DIV/0!</v>
      </c>
      <c r="BM449" s="29" t="str">
        <f t="shared" si="3"/>
        <v>#DIV/0!</v>
      </c>
    </row>
    <row r="450">
      <c r="A450" s="16" t="str">
        <f>IFERROR(__xludf.DUMMYFUNCTION("IFERROR(SPARKLINE(SORT(MAP(TRANSPOSE(AQ450:BL450), LAMBDA(val, IF(ISNUMBER(val), PERCENTRANK(AQ450:BL450, val)+0.01, 0))), SEQUENCE(COLUMNS(AQ450:BL450)), FALSE), {""charttype"",""column""; ""color"",""chartreuse""; ""ymin"", 0; ""ymax"", 1.01; ""highcolo"&amp;"r"", ""darkgreen""; ""lowcolor"", ""red""}), """")"),"")</f>
        <v/>
      </c>
      <c r="B450" s="17" t="str">
        <f t="shared" si="4"/>
        <v/>
      </c>
      <c r="C450" s="1" t="s">
        <v>2066</v>
      </c>
      <c r="D450" s="34" t="str">
        <f>IFERROR(__xludf.DUMMYFUNCTION("IFERROR(GOOGLEFINANCE(C450, ""NAME""))"),"Great Southern Bancorp Inc")</f>
        <v>Great Southern Bancorp Inc</v>
      </c>
      <c r="E450" s="30" t="s">
        <v>268</v>
      </c>
      <c r="F450" s="33" t="str">
        <f>IFERROR(__xludf.DUMMYFUNCTION("( (GOOGLEFINANCE(C450, ""price"") - Q450) / Q450 ) / (R450 / 100)"),"Loading...")</f>
        <v>Loading...</v>
      </c>
      <c r="G450" s="20" t="str">
        <f>IFERROR(__xludf.DUMMYFUNCTION("AVERAGE(ARRAYFORMULA(100 * (QUERY(GOOGLEFINANCE(C450, ""high"", TODAY()-40, TODAY()), ""SELECT Col2 WHERE Col2 IS NOT NULL ORDER BY Col1 DESC LIMIT 20"", 0) / QUERY(GOOGLEFINANCE(C450, ""low"", TODAY()-40, TODAY()), ""SELECT Col2 WHERE Col2 IS NOT NULL OR"&amp;"DER BY Col1 DESC LIMIT 20"", 0) - 1)))"),"#N/A")</f>
        <v>#N/A</v>
      </c>
      <c r="H450" s="35" t="str">
        <f t="shared" si="6"/>
        <v/>
      </c>
      <c r="I450" s="36" t="str">
        <f t="shared" si="7"/>
        <v/>
      </c>
      <c r="J450" s="37" t="str">
        <f>IFERROR(__xludf.DUMMYFUNCTION("IFERROR(
  IF(C450="""",, 
    IFERROR(
      GOOGLEFINANCE(C450, ""price"") * GOOGLEFINANCE(C450, ""volumeavg""), 
      GOOGLEFINANCE(C450, ""price"") * AVERAGE(QUERY(GOOGLEFINANCE(C450, ""volume"", TODAY()-40, TODAY()), ""SELECT Col2 WHERE Col2 IS NOT "&amp;"NULL ORDER BY Col1 DESC LIMIT 20"", 0))
    )
  ), 
"""")"),"")</f>
        <v/>
      </c>
      <c r="K450" s="21" t="str">
        <f>IFERROR(__xludf.DUMMYFUNCTION("IFERROR(GOOGLEFINANCE(C450, ""changepct"") / 100, """")"),"")</f>
        <v/>
      </c>
      <c r="L450" s="21" t="str">
        <f>IFERROR(__xludf.DUMMYFUNCTION("IFERROR((GOOGLEFINANCE(C450, ""price"") / INDEX(GOOGLEFINANCE(C450, ""price"", TODAY()-7, TODAY()), 2, 2)) - 1, """")"),"")</f>
        <v/>
      </c>
      <c r="M450" s="21" t="str">
        <f>IFERROR(__xludf.DUMMYFUNCTION("IFERROR((GOOGLEFINANCE(C450, ""price"") / INDEX(GOOGLEFINANCE(C450, ""price"", EDATE(TODAY(), -1), TODAY()), 2, 2)) - 1, """")"),"")</f>
        <v/>
      </c>
      <c r="N450" s="21" t="str">
        <f>IFERROR(__xludf.DUMMYFUNCTION("IFERROR((GOOGLEFINANCE(C450, ""price"") / INDEX(GOOGLEFINANCE(C450, ""price"", EDATE(TODAY(), -3), TODAY()), 2, 2)) - 1, """")"),"")</f>
        <v/>
      </c>
      <c r="O450" s="21" t="str">
        <f>IFERROR(__xludf.DUMMYFUNCTION("IFERROR((GOOGLEFINANCE(C450, ""price"") / INDEX(GOOGLEFINANCE(C450, ""price"", EDATE(TODAY(), -6), TODAY()), 2, 2)) - 1, """")"),"")</f>
        <v/>
      </c>
      <c r="P450" s="21" t="str">
        <f>IFERROR(__xludf.DUMMYFUNCTION("IFERROR((GOOGLEFINANCE(C450, ""price"") / INDEX(GOOGLEFINANCE(C450, ""price"", EDATE(TODAY(), -12), TODAY()), 2, 2)) - 1, """")"),"")</f>
        <v/>
      </c>
      <c r="Q450" s="6" t="str">
        <f>IFERROR(__xludf.DUMMYFUNCTION("AVERAGE(QUERY(GOOGLEFINANCE(C450, ""price"", TODAY()-80, TODAY()), ""SELECT Col2 WHERE Col2 IS NOT NULL ORDER BY Col1 DESC LIMIT 50"", 0))"),"#N/A")</f>
        <v>#N/A</v>
      </c>
      <c r="R450" s="24" t="str">
        <f>IFERROR(__xludf.DUMMYFUNCTION("IFERROR(
  LET(
    data, QUERY(GOOGLEFINANCE(C450,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GOOGLEFINANCE(C450, ""price"")) * 100,
    IF(calc=0, G450, calc)
  ), 
G450)"),"#N/A")</f>
        <v>#N/A</v>
      </c>
      <c r="S450" s="8" t="s">
        <v>15</v>
      </c>
      <c r="T450" s="26" t="str">
        <f>IFERROR(__xludf.DUMMYFUNCTION("IFERROR(TRANSPOSE(QUERY(IFERROR(SORT(GOOGLEFINANCE(C450, ""price"", WORKDAY(TODAY(), -40), TODAY()), 1, FALSE)), ""select Col2 where Col2 is not null limit 22 label Col2 ''"", 0)), """")"),"")</f>
        <v/>
      </c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8"/>
      <c r="AO450" s="28"/>
      <c r="AP450" s="29"/>
      <c r="AQ450" s="29" t="str">
        <f t="shared" ref="AQ450:BL450" si="453">T450/T$2</f>
        <v>#N/A</v>
      </c>
      <c r="AR450" s="29" t="str">
        <f t="shared" si="453"/>
        <v>#DIV/0!</v>
      </c>
      <c r="AS450" s="29" t="str">
        <f t="shared" si="453"/>
        <v>#DIV/0!</v>
      </c>
      <c r="AT450" s="29" t="str">
        <f t="shared" si="453"/>
        <v>#DIV/0!</v>
      </c>
      <c r="AU450" s="29" t="str">
        <f t="shared" si="453"/>
        <v>#DIV/0!</v>
      </c>
      <c r="AV450" s="29" t="str">
        <f t="shared" si="453"/>
        <v>#DIV/0!</v>
      </c>
      <c r="AW450" s="29" t="str">
        <f t="shared" si="453"/>
        <v>#DIV/0!</v>
      </c>
      <c r="AX450" s="29" t="str">
        <f t="shared" si="453"/>
        <v>#DIV/0!</v>
      </c>
      <c r="AY450" s="29" t="str">
        <f t="shared" si="453"/>
        <v>#DIV/0!</v>
      </c>
      <c r="AZ450" s="29" t="str">
        <f t="shared" si="453"/>
        <v>#DIV/0!</v>
      </c>
      <c r="BA450" s="29" t="str">
        <f t="shared" si="453"/>
        <v>#DIV/0!</v>
      </c>
      <c r="BB450" s="29" t="str">
        <f t="shared" si="453"/>
        <v>#DIV/0!</v>
      </c>
      <c r="BC450" s="29" t="str">
        <f t="shared" si="453"/>
        <v>#DIV/0!</v>
      </c>
      <c r="BD450" s="29" t="str">
        <f t="shared" si="453"/>
        <v>#DIV/0!</v>
      </c>
      <c r="BE450" s="29" t="str">
        <f t="shared" si="453"/>
        <v>#DIV/0!</v>
      </c>
      <c r="BF450" s="29" t="str">
        <f t="shared" si="453"/>
        <v>#DIV/0!</v>
      </c>
      <c r="BG450" s="29" t="str">
        <f t="shared" si="453"/>
        <v>#DIV/0!</v>
      </c>
      <c r="BH450" s="29" t="str">
        <f t="shared" si="453"/>
        <v>#DIV/0!</v>
      </c>
      <c r="BI450" s="29" t="str">
        <f t="shared" si="453"/>
        <v>#DIV/0!</v>
      </c>
      <c r="BJ450" s="29" t="str">
        <f t="shared" si="453"/>
        <v>#DIV/0!</v>
      </c>
      <c r="BK450" s="29" t="str">
        <f t="shared" si="453"/>
        <v>#DIV/0!</v>
      </c>
      <c r="BL450" s="29" t="str">
        <f t="shared" si="453"/>
        <v>#DIV/0!</v>
      </c>
      <c r="BM450" s="29" t="str">
        <f t="shared" si="3"/>
        <v>#DIV/0!</v>
      </c>
    </row>
    <row r="451">
      <c r="A451" s="16" t="str">
        <f>IFERROR(__xludf.DUMMYFUNCTION("IFERROR(SPARKLINE(SORT(MAP(TRANSPOSE(AQ451:BL451), LAMBDA(val, IF(ISNUMBER(val), PERCENTRANK(AQ451:BL451, val)+0.01, 0))), SEQUENCE(COLUMNS(AQ451:BL451)), FALSE), {""charttype"",""column""; ""color"",""chartreuse""; ""ymin"", 0; ""ymax"", 1.01; ""highcolo"&amp;"r"", ""darkgreen""; ""lowcolor"", ""red""}), """")"),"")</f>
        <v/>
      </c>
      <c r="B451" s="17" t="str">
        <f t="shared" si="4"/>
        <v/>
      </c>
      <c r="C451" s="1" t="s">
        <v>2071</v>
      </c>
      <c r="D451" s="34" t="str">
        <f>IFERROR(__xludf.DUMMYFUNCTION("IFERROR(GOOGLEFINANCE(C451, ""NAME""))"),"Triumph Financial Inc")</f>
        <v>Triumph Financial Inc</v>
      </c>
      <c r="E451" s="30" t="s">
        <v>268</v>
      </c>
      <c r="F451" s="33" t="str">
        <f>IFERROR(__xludf.DUMMYFUNCTION("( (GOOGLEFINANCE(C451, ""price"") - Q451) / Q451 ) / (R451 / 100)"),"Loading...")</f>
        <v>Loading...</v>
      </c>
      <c r="G451" s="20" t="str">
        <f>IFERROR(__xludf.DUMMYFUNCTION("AVERAGE(ARRAYFORMULA(100 * (QUERY(GOOGLEFINANCE(C451, ""high"", TODAY()-40, TODAY()), ""SELECT Col2 WHERE Col2 IS NOT NULL ORDER BY Col1 DESC LIMIT 20"", 0) / QUERY(GOOGLEFINANCE(C451, ""low"", TODAY()-40, TODAY()), ""SELECT Col2 WHERE Col2 IS NOT NULL OR"&amp;"DER BY Col1 DESC LIMIT 20"", 0) - 1)))"),"#N/A")</f>
        <v>#N/A</v>
      </c>
      <c r="H451" s="35" t="str">
        <f t="shared" si="6"/>
        <v/>
      </c>
      <c r="I451" s="36" t="str">
        <f t="shared" si="7"/>
        <v/>
      </c>
      <c r="J451" s="37" t="str">
        <f>IFERROR(__xludf.DUMMYFUNCTION("IFERROR(
  IF(C451="""",, 
    IFERROR(
      GOOGLEFINANCE(C451, ""price"") * GOOGLEFINANCE(C451, ""volumeavg""), 
      GOOGLEFINANCE(C451, ""price"") * AVERAGE(QUERY(GOOGLEFINANCE(C451, ""volume"", TODAY()-40, TODAY()), ""SELECT Col2 WHERE Col2 IS NOT "&amp;"NULL ORDER BY Col1 DESC LIMIT 20"", 0))
    )
  ), 
"""")"),"")</f>
        <v/>
      </c>
      <c r="K451" s="21" t="str">
        <f>IFERROR(__xludf.DUMMYFUNCTION("IFERROR(GOOGLEFINANCE(C451, ""changepct"") / 100, """")"),"")</f>
        <v/>
      </c>
      <c r="L451" s="21" t="str">
        <f>IFERROR(__xludf.DUMMYFUNCTION("IFERROR((GOOGLEFINANCE(C451, ""price"") / INDEX(GOOGLEFINANCE(C451, ""price"", TODAY()-7, TODAY()), 2, 2)) - 1, """")"),"")</f>
        <v/>
      </c>
      <c r="M451" s="21" t="str">
        <f>IFERROR(__xludf.DUMMYFUNCTION("IFERROR((GOOGLEFINANCE(C451, ""price"") / INDEX(GOOGLEFINANCE(C451, ""price"", EDATE(TODAY(), -1), TODAY()), 2, 2)) - 1, """")"),"")</f>
        <v/>
      </c>
      <c r="N451" s="21" t="str">
        <f>IFERROR(__xludf.DUMMYFUNCTION("IFERROR((GOOGLEFINANCE(C451, ""price"") / INDEX(GOOGLEFINANCE(C451, ""price"", EDATE(TODAY(), -3), TODAY()), 2, 2)) - 1, """")"),"")</f>
        <v/>
      </c>
      <c r="O451" s="21" t="str">
        <f>IFERROR(__xludf.DUMMYFUNCTION("IFERROR((GOOGLEFINANCE(C451, ""price"") / INDEX(GOOGLEFINANCE(C451, ""price"", EDATE(TODAY(), -6), TODAY()), 2, 2)) - 1, """")"),"")</f>
        <v/>
      </c>
      <c r="P451" s="21" t="str">
        <f>IFERROR(__xludf.DUMMYFUNCTION("IFERROR((GOOGLEFINANCE(C451, ""price"") / INDEX(GOOGLEFINANCE(C451, ""price"", EDATE(TODAY(), -12), TODAY()), 2, 2)) - 1, """")"),"")</f>
        <v/>
      </c>
      <c r="Q451" s="6" t="str">
        <f>IFERROR(__xludf.DUMMYFUNCTION("AVERAGE(QUERY(GOOGLEFINANCE(C451, ""price"", TODAY()-80, TODAY()), ""SELECT Col2 WHERE Col2 IS NOT NULL ORDER BY Col1 DESC LIMIT 50"", 0))"),"#N/A")</f>
        <v>#N/A</v>
      </c>
      <c r="R451" s="24" t="str">
        <f>IFERROR(__xludf.DUMMYFUNCTION("IFERROR(
  LET(
    data, QUERY(GOOGLEFINANCE(C451,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GOOGLEFINANCE(C451, ""price"")) * 100,
    IF(calc=0, G451, calc)
  ), 
G451)"),"#N/A")</f>
        <v>#N/A</v>
      </c>
      <c r="S451" s="8" t="s">
        <v>15</v>
      </c>
      <c r="T451" s="26" t="str">
        <f>IFERROR(__xludf.DUMMYFUNCTION("IFERROR(TRANSPOSE(QUERY(IFERROR(SORT(GOOGLEFINANCE(C451, ""price"", WORKDAY(TODAY(), -40), TODAY()), 1, FALSE)), ""select Col2 where Col2 is not null limit 22 label Col2 ''"", 0)), """")"),"")</f>
        <v/>
      </c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8"/>
      <c r="AO451" s="28"/>
      <c r="AP451" s="29"/>
      <c r="AQ451" s="29" t="str">
        <f t="shared" ref="AQ451:BL451" si="454">T451/T$2</f>
        <v>#N/A</v>
      </c>
      <c r="AR451" s="29" t="str">
        <f t="shared" si="454"/>
        <v>#DIV/0!</v>
      </c>
      <c r="AS451" s="29" t="str">
        <f t="shared" si="454"/>
        <v>#DIV/0!</v>
      </c>
      <c r="AT451" s="29" t="str">
        <f t="shared" si="454"/>
        <v>#DIV/0!</v>
      </c>
      <c r="AU451" s="29" t="str">
        <f t="shared" si="454"/>
        <v>#DIV/0!</v>
      </c>
      <c r="AV451" s="29" t="str">
        <f t="shared" si="454"/>
        <v>#DIV/0!</v>
      </c>
      <c r="AW451" s="29" t="str">
        <f t="shared" si="454"/>
        <v>#DIV/0!</v>
      </c>
      <c r="AX451" s="29" t="str">
        <f t="shared" si="454"/>
        <v>#DIV/0!</v>
      </c>
      <c r="AY451" s="29" t="str">
        <f t="shared" si="454"/>
        <v>#DIV/0!</v>
      </c>
      <c r="AZ451" s="29" t="str">
        <f t="shared" si="454"/>
        <v>#DIV/0!</v>
      </c>
      <c r="BA451" s="29" t="str">
        <f t="shared" si="454"/>
        <v>#DIV/0!</v>
      </c>
      <c r="BB451" s="29" t="str">
        <f t="shared" si="454"/>
        <v>#DIV/0!</v>
      </c>
      <c r="BC451" s="29" t="str">
        <f t="shared" si="454"/>
        <v>#DIV/0!</v>
      </c>
      <c r="BD451" s="29" t="str">
        <f t="shared" si="454"/>
        <v>#DIV/0!</v>
      </c>
      <c r="BE451" s="29" t="str">
        <f t="shared" si="454"/>
        <v>#DIV/0!</v>
      </c>
      <c r="BF451" s="29" t="str">
        <f t="shared" si="454"/>
        <v>#DIV/0!</v>
      </c>
      <c r="BG451" s="29" t="str">
        <f t="shared" si="454"/>
        <v>#DIV/0!</v>
      </c>
      <c r="BH451" s="29" t="str">
        <f t="shared" si="454"/>
        <v>#DIV/0!</v>
      </c>
      <c r="BI451" s="29" t="str">
        <f t="shared" si="454"/>
        <v>#DIV/0!</v>
      </c>
      <c r="BJ451" s="29" t="str">
        <f t="shared" si="454"/>
        <v>#DIV/0!</v>
      </c>
      <c r="BK451" s="29" t="str">
        <f t="shared" si="454"/>
        <v>#DIV/0!</v>
      </c>
      <c r="BL451" s="29" t="str">
        <f t="shared" si="454"/>
        <v>#DIV/0!</v>
      </c>
      <c r="BM451" s="29" t="str">
        <f t="shared" si="3"/>
        <v>#DIV/0!</v>
      </c>
    </row>
    <row r="452">
      <c r="A452" s="16" t="str">
        <f>IFERROR(__xludf.DUMMYFUNCTION("IFERROR(SPARKLINE(SORT(MAP(TRANSPOSE(AQ452:BL452), LAMBDA(val, IF(ISNUMBER(val), PERCENTRANK(AQ452:BL452, val)+0.01, 0))), SEQUENCE(COLUMNS(AQ452:BL452)), FALSE), {""charttype"",""column""; ""color"",""chartreuse""; ""ymin"", 0; ""ymax"", 1.01; ""highcolo"&amp;"r"", ""darkgreen""; ""lowcolor"", ""red""}), """")"),"")</f>
        <v/>
      </c>
      <c r="B452" s="17" t="str">
        <f t="shared" si="4"/>
        <v/>
      </c>
      <c r="C452" s="1" t="s">
        <v>2078</v>
      </c>
      <c r="D452" s="34" t="str">
        <f>IFERROR(__xludf.DUMMYFUNCTION("IFERROR(GOOGLEFINANCE(C452, ""NAME""))"),"Hancock Whitney Corp")</f>
        <v>Hancock Whitney Corp</v>
      </c>
      <c r="E452" s="30" t="s">
        <v>268</v>
      </c>
      <c r="F452" s="33" t="str">
        <f>IFERROR(__xludf.DUMMYFUNCTION("( (GOOGLEFINANCE(C452, ""price"") - Q452) / Q452 ) / (R452 / 100)"),"Loading...")</f>
        <v>Loading...</v>
      </c>
      <c r="G452" s="20" t="str">
        <f>IFERROR(__xludf.DUMMYFUNCTION("AVERAGE(ARRAYFORMULA(100 * (QUERY(GOOGLEFINANCE(C452, ""high"", TODAY()-40, TODAY()), ""SELECT Col2 WHERE Col2 IS NOT NULL ORDER BY Col1 DESC LIMIT 20"", 0) / QUERY(GOOGLEFINANCE(C452, ""low"", TODAY()-40, TODAY()), ""SELECT Col2 WHERE Col2 IS NOT NULL OR"&amp;"DER BY Col1 DESC LIMIT 20"", 0) - 1)))"),"#N/A")</f>
        <v>#N/A</v>
      </c>
      <c r="H452" s="35" t="str">
        <f t="shared" si="6"/>
        <v/>
      </c>
      <c r="I452" s="36" t="str">
        <f t="shared" si="7"/>
        <v/>
      </c>
      <c r="J452" s="37" t="str">
        <f>IFERROR(__xludf.DUMMYFUNCTION("IFERROR(
  IF(C452="""",, 
    IFERROR(
      GOOGLEFINANCE(C452, ""price"") * GOOGLEFINANCE(C452, ""volumeavg""), 
      GOOGLEFINANCE(C452, ""price"") * AVERAGE(QUERY(GOOGLEFINANCE(C452, ""volume"", TODAY()-40, TODAY()), ""SELECT Col2 WHERE Col2 IS NOT "&amp;"NULL ORDER BY Col1 DESC LIMIT 20"", 0))
    )
  ), 
"""")"),"")</f>
        <v/>
      </c>
      <c r="K452" s="21" t="str">
        <f>IFERROR(__xludf.DUMMYFUNCTION("IFERROR(GOOGLEFINANCE(C452, ""changepct"") / 100, """")"),"")</f>
        <v/>
      </c>
      <c r="L452" s="21" t="str">
        <f>IFERROR(__xludf.DUMMYFUNCTION("IFERROR((GOOGLEFINANCE(C452, ""price"") / INDEX(GOOGLEFINANCE(C452, ""price"", TODAY()-7, TODAY()), 2, 2)) - 1, """")"),"")</f>
        <v/>
      </c>
      <c r="M452" s="21" t="str">
        <f>IFERROR(__xludf.DUMMYFUNCTION("IFERROR((GOOGLEFINANCE(C452, ""price"") / INDEX(GOOGLEFINANCE(C452, ""price"", EDATE(TODAY(), -1), TODAY()), 2, 2)) - 1, """")"),"")</f>
        <v/>
      </c>
      <c r="N452" s="21" t="str">
        <f>IFERROR(__xludf.DUMMYFUNCTION("IFERROR((GOOGLEFINANCE(C452, ""price"") / INDEX(GOOGLEFINANCE(C452, ""price"", EDATE(TODAY(), -3), TODAY()), 2, 2)) - 1, """")"),"")</f>
        <v/>
      </c>
      <c r="O452" s="21" t="str">
        <f>IFERROR(__xludf.DUMMYFUNCTION("IFERROR((GOOGLEFINANCE(C452, ""price"") / INDEX(GOOGLEFINANCE(C452, ""price"", EDATE(TODAY(), -6), TODAY()), 2, 2)) - 1, """")"),"")</f>
        <v/>
      </c>
      <c r="P452" s="21" t="str">
        <f>IFERROR(__xludf.DUMMYFUNCTION("IFERROR((GOOGLEFINANCE(C452, ""price"") / INDEX(GOOGLEFINANCE(C452, ""price"", EDATE(TODAY(), -12), TODAY()), 2, 2)) - 1, """")"),"")</f>
        <v/>
      </c>
      <c r="Q452" s="6" t="str">
        <f>IFERROR(__xludf.DUMMYFUNCTION("AVERAGE(QUERY(GOOGLEFINANCE(C452, ""price"", TODAY()-80, TODAY()), ""SELECT Col2 WHERE Col2 IS NOT NULL ORDER BY Col1 DESC LIMIT 50"", 0))"),"#N/A")</f>
        <v>#N/A</v>
      </c>
      <c r="R452" s="24" t="str">
        <f>IFERROR(__xludf.DUMMYFUNCTION("IFERROR(
  LET(
    data, QUERY(GOOGLEFINANCE(C452,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GOOGLEFINANCE(C452, ""price"")) * 100,
    IF(calc=0, G452, calc)
  ), 
G452)"),"#N/A")</f>
        <v>#N/A</v>
      </c>
      <c r="S452" s="8" t="s">
        <v>15</v>
      </c>
      <c r="T452" s="26" t="str">
        <f>IFERROR(__xludf.DUMMYFUNCTION("IFERROR(TRANSPOSE(QUERY(IFERROR(SORT(GOOGLEFINANCE(C452, ""price"", WORKDAY(TODAY(), -40), TODAY()), 1, FALSE)), ""select Col2 where Col2 is not null limit 22 label Col2 ''"", 0)), """")"),"")</f>
        <v/>
      </c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8"/>
      <c r="AO452" s="28"/>
      <c r="AP452" s="29"/>
      <c r="AQ452" s="29" t="str">
        <f t="shared" ref="AQ452:BL452" si="455">T452/T$2</f>
        <v>#N/A</v>
      </c>
      <c r="AR452" s="29" t="str">
        <f t="shared" si="455"/>
        <v>#DIV/0!</v>
      </c>
      <c r="AS452" s="29" t="str">
        <f t="shared" si="455"/>
        <v>#DIV/0!</v>
      </c>
      <c r="AT452" s="29" t="str">
        <f t="shared" si="455"/>
        <v>#DIV/0!</v>
      </c>
      <c r="AU452" s="29" t="str">
        <f t="shared" si="455"/>
        <v>#DIV/0!</v>
      </c>
      <c r="AV452" s="29" t="str">
        <f t="shared" si="455"/>
        <v>#DIV/0!</v>
      </c>
      <c r="AW452" s="29" t="str">
        <f t="shared" si="455"/>
        <v>#DIV/0!</v>
      </c>
      <c r="AX452" s="29" t="str">
        <f t="shared" si="455"/>
        <v>#DIV/0!</v>
      </c>
      <c r="AY452" s="29" t="str">
        <f t="shared" si="455"/>
        <v>#DIV/0!</v>
      </c>
      <c r="AZ452" s="29" t="str">
        <f t="shared" si="455"/>
        <v>#DIV/0!</v>
      </c>
      <c r="BA452" s="29" t="str">
        <f t="shared" si="455"/>
        <v>#DIV/0!</v>
      </c>
      <c r="BB452" s="29" t="str">
        <f t="shared" si="455"/>
        <v>#DIV/0!</v>
      </c>
      <c r="BC452" s="29" t="str">
        <f t="shared" si="455"/>
        <v>#DIV/0!</v>
      </c>
      <c r="BD452" s="29" t="str">
        <f t="shared" si="455"/>
        <v>#DIV/0!</v>
      </c>
      <c r="BE452" s="29" t="str">
        <f t="shared" si="455"/>
        <v>#DIV/0!</v>
      </c>
      <c r="BF452" s="29" t="str">
        <f t="shared" si="455"/>
        <v>#DIV/0!</v>
      </c>
      <c r="BG452" s="29" t="str">
        <f t="shared" si="455"/>
        <v>#DIV/0!</v>
      </c>
      <c r="BH452" s="29" t="str">
        <f t="shared" si="455"/>
        <v>#DIV/0!</v>
      </c>
      <c r="BI452" s="29" t="str">
        <f t="shared" si="455"/>
        <v>#DIV/0!</v>
      </c>
      <c r="BJ452" s="29" t="str">
        <f t="shared" si="455"/>
        <v>#DIV/0!</v>
      </c>
      <c r="BK452" s="29" t="str">
        <f t="shared" si="455"/>
        <v>#DIV/0!</v>
      </c>
      <c r="BL452" s="29" t="str">
        <f t="shared" si="455"/>
        <v>#DIV/0!</v>
      </c>
      <c r="BM452" s="29" t="str">
        <f t="shared" si="3"/>
        <v>#DIV/0!</v>
      </c>
    </row>
    <row r="453">
      <c r="A453" s="16" t="str">
        <f>IFERROR(__xludf.DUMMYFUNCTION("IFERROR(SPARKLINE(SORT(MAP(TRANSPOSE(AQ453:BL453), LAMBDA(val, IF(ISNUMBER(val), PERCENTRANK(AQ453:BL453, val)+0.01, 0))), SEQUENCE(COLUMNS(AQ453:BL453)), FALSE), {""charttype"",""column""; ""color"",""chartreuse""; ""ymin"", 0; ""ymax"", 1.01; ""highcolo"&amp;"r"", ""darkgreen""; ""lowcolor"", ""red""}), """")"),"")</f>
        <v/>
      </c>
      <c r="B453" s="17" t="str">
        <f t="shared" si="4"/>
        <v/>
      </c>
      <c r="C453" s="1" t="s">
        <v>2084</v>
      </c>
      <c r="D453" s="34" t="str">
        <f>IFERROR(__xludf.DUMMYFUNCTION("IFERROR(GOOGLEFINANCE(C453, ""NAME""))"),"NMI Holdings Inc")</f>
        <v>NMI Holdings Inc</v>
      </c>
      <c r="E453" s="30" t="s">
        <v>276</v>
      </c>
      <c r="F453" s="33" t="str">
        <f>IFERROR(__xludf.DUMMYFUNCTION("( (GOOGLEFINANCE(C453, ""price"") - Q453) / Q453 ) / (R453 / 100)"),"Loading...")</f>
        <v>Loading...</v>
      </c>
      <c r="G453" s="20" t="str">
        <f>IFERROR(__xludf.DUMMYFUNCTION("AVERAGE(ARRAYFORMULA(100 * (QUERY(GOOGLEFINANCE(C453, ""high"", TODAY()-40, TODAY()), ""SELECT Col2 WHERE Col2 IS NOT NULL ORDER BY Col1 DESC LIMIT 20"", 0) / QUERY(GOOGLEFINANCE(C453, ""low"", TODAY()-40, TODAY()), ""SELECT Col2 WHERE Col2 IS NOT NULL OR"&amp;"DER BY Col1 DESC LIMIT 20"", 0) - 1)))"),"#N/A")</f>
        <v>#N/A</v>
      </c>
      <c r="H453" s="35" t="str">
        <f t="shared" si="6"/>
        <v/>
      </c>
      <c r="I453" s="36" t="str">
        <f t="shared" si="7"/>
        <v/>
      </c>
      <c r="J453" s="37" t="str">
        <f>IFERROR(__xludf.DUMMYFUNCTION("IFERROR(
  IF(C453="""",, 
    IFERROR(
      GOOGLEFINANCE(C453, ""price"") * GOOGLEFINANCE(C453, ""volumeavg""), 
      GOOGLEFINANCE(C453, ""price"") * AVERAGE(QUERY(GOOGLEFINANCE(C453, ""volume"", TODAY()-40, TODAY()), ""SELECT Col2 WHERE Col2 IS NOT "&amp;"NULL ORDER BY Col1 DESC LIMIT 20"", 0))
    )
  ), 
"""")"),"")</f>
        <v/>
      </c>
      <c r="K453" s="21" t="str">
        <f>IFERROR(__xludf.DUMMYFUNCTION("IFERROR(GOOGLEFINANCE(C453, ""changepct"") / 100, """")"),"")</f>
        <v/>
      </c>
      <c r="L453" s="21" t="str">
        <f>IFERROR(__xludf.DUMMYFUNCTION("IFERROR((GOOGLEFINANCE(C453, ""price"") / INDEX(GOOGLEFINANCE(C453, ""price"", TODAY()-7, TODAY()), 2, 2)) - 1, """")"),"")</f>
        <v/>
      </c>
      <c r="M453" s="21" t="str">
        <f>IFERROR(__xludf.DUMMYFUNCTION("IFERROR((GOOGLEFINANCE(C453, ""price"") / INDEX(GOOGLEFINANCE(C453, ""price"", EDATE(TODAY(), -1), TODAY()), 2, 2)) - 1, """")"),"")</f>
        <v/>
      </c>
      <c r="N453" s="21" t="str">
        <f>IFERROR(__xludf.DUMMYFUNCTION("IFERROR((GOOGLEFINANCE(C453, ""price"") / INDEX(GOOGLEFINANCE(C453, ""price"", EDATE(TODAY(), -3), TODAY()), 2, 2)) - 1, """")"),"")</f>
        <v/>
      </c>
      <c r="O453" s="21" t="str">
        <f>IFERROR(__xludf.DUMMYFUNCTION("IFERROR((GOOGLEFINANCE(C453, ""price"") / INDEX(GOOGLEFINANCE(C453, ""price"", EDATE(TODAY(), -6), TODAY()), 2, 2)) - 1, """")"),"")</f>
        <v/>
      </c>
      <c r="P453" s="21" t="str">
        <f>IFERROR(__xludf.DUMMYFUNCTION("IFERROR((GOOGLEFINANCE(C453, ""price"") / INDEX(GOOGLEFINANCE(C453, ""price"", EDATE(TODAY(), -12), TODAY()), 2, 2)) - 1, """")"),"")</f>
        <v/>
      </c>
      <c r="Q453" s="6" t="str">
        <f>IFERROR(__xludf.DUMMYFUNCTION("AVERAGE(QUERY(GOOGLEFINANCE(C453, ""price"", TODAY()-80, TODAY()), ""SELECT Col2 WHERE Col2 IS NOT NULL ORDER BY Col1 DESC LIMIT 50"", 0))"),"#N/A")</f>
        <v>#N/A</v>
      </c>
      <c r="R453" s="24" t="str">
        <f>IFERROR(__xludf.DUMMYFUNCTION("IFERROR(
  LET(
    data, QUERY(GOOGLEFINANCE(C453,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GOOGLEFINANCE(C453, ""price"")) * 100,
    IF(calc=0, G453, calc)
  ), 
G453)"),"#N/A")</f>
        <v>#N/A</v>
      </c>
      <c r="S453" s="8" t="s">
        <v>15</v>
      </c>
      <c r="T453" s="26" t="str">
        <f>IFERROR(__xludf.DUMMYFUNCTION("IFERROR(TRANSPOSE(QUERY(IFERROR(SORT(GOOGLEFINANCE(C453, ""price"", WORKDAY(TODAY(), -40), TODAY()), 1, FALSE)), ""select Col2 where Col2 is not null limit 22 label Col2 ''"", 0)), """")"),"")</f>
        <v/>
      </c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8"/>
      <c r="AO453" s="28"/>
      <c r="AP453" s="29"/>
      <c r="AQ453" s="29" t="str">
        <f t="shared" ref="AQ453:BL453" si="456">T453/T$2</f>
        <v>#N/A</v>
      </c>
      <c r="AR453" s="29" t="str">
        <f t="shared" si="456"/>
        <v>#DIV/0!</v>
      </c>
      <c r="AS453" s="29" t="str">
        <f t="shared" si="456"/>
        <v>#DIV/0!</v>
      </c>
      <c r="AT453" s="29" t="str">
        <f t="shared" si="456"/>
        <v>#DIV/0!</v>
      </c>
      <c r="AU453" s="29" t="str">
        <f t="shared" si="456"/>
        <v>#DIV/0!</v>
      </c>
      <c r="AV453" s="29" t="str">
        <f t="shared" si="456"/>
        <v>#DIV/0!</v>
      </c>
      <c r="AW453" s="29" t="str">
        <f t="shared" si="456"/>
        <v>#DIV/0!</v>
      </c>
      <c r="AX453" s="29" t="str">
        <f t="shared" si="456"/>
        <v>#DIV/0!</v>
      </c>
      <c r="AY453" s="29" t="str">
        <f t="shared" si="456"/>
        <v>#DIV/0!</v>
      </c>
      <c r="AZ453" s="29" t="str">
        <f t="shared" si="456"/>
        <v>#DIV/0!</v>
      </c>
      <c r="BA453" s="29" t="str">
        <f t="shared" si="456"/>
        <v>#DIV/0!</v>
      </c>
      <c r="BB453" s="29" t="str">
        <f t="shared" si="456"/>
        <v>#DIV/0!</v>
      </c>
      <c r="BC453" s="29" t="str">
        <f t="shared" si="456"/>
        <v>#DIV/0!</v>
      </c>
      <c r="BD453" s="29" t="str">
        <f t="shared" si="456"/>
        <v>#DIV/0!</v>
      </c>
      <c r="BE453" s="29" t="str">
        <f t="shared" si="456"/>
        <v>#DIV/0!</v>
      </c>
      <c r="BF453" s="29" t="str">
        <f t="shared" si="456"/>
        <v>#DIV/0!</v>
      </c>
      <c r="BG453" s="29" t="str">
        <f t="shared" si="456"/>
        <v>#DIV/0!</v>
      </c>
      <c r="BH453" s="29" t="str">
        <f t="shared" si="456"/>
        <v>#DIV/0!</v>
      </c>
      <c r="BI453" s="29" t="str">
        <f t="shared" si="456"/>
        <v>#DIV/0!</v>
      </c>
      <c r="BJ453" s="29" t="str">
        <f t="shared" si="456"/>
        <v>#DIV/0!</v>
      </c>
      <c r="BK453" s="29" t="str">
        <f t="shared" si="456"/>
        <v>#DIV/0!</v>
      </c>
      <c r="BL453" s="29" t="str">
        <f t="shared" si="456"/>
        <v>#DIV/0!</v>
      </c>
      <c r="BM453" s="29" t="str">
        <f t="shared" si="3"/>
        <v>#DIV/0!</v>
      </c>
    </row>
    <row r="454">
      <c r="A454" s="16" t="str">
        <f>IFERROR(__xludf.DUMMYFUNCTION("IFERROR(SPARKLINE(SORT(MAP(TRANSPOSE(AQ454:BL454), LAMBDA(val, IF(ISNUMBER(val), PERCENTRANK(AQ454:BL454, val)+0.01, 0))), SEQUENCE(COLUMNS(AQ454:BL454)), FALSE), {""charttype"",""column""; ""color"",""chartreuse""; ""ymin"", 0; ""ymax"", 1.01; ""highcolo"&amp;"r"", ""darkgreen""; ""lowcolor"", ""red""}), """")"),"")</f>
        <v/>
      </c>
      <c r="B454" s="17" t="str">
        <f t="shared" si="4"/>
        <v/>
      </c>
      <c r="C454" s="1" t="s">
        <v>2087</v>
      </c>
      <c r="D454" s="34" t="str">
        <f>IFERROR(__xludf.DUMMYFUNCTION("IFERROR(GOOGLEFINANCE(C454, ""NAME""))"),"Horizon Bancorp Inc")</f>
        <v>Horizon Bancorp Inc</v>
      </c>
      <c r="E454" s="30" t="s">
        <v>268</v>
      </c>
      <c r="F454" s="33" t="str">
        <f>IFERROR(__xludf.DUMMYFUNCTION("( (GOOGLEFINANCE(C454, ""price"") - Q454) / Q454 ) / (R454 / 100)"),"Loading...")</f>
        <v>Loading...</v>
      </c>
      <c r="G454" s="20" t="str">
        <f>IFERROR(__xludf.DUMMYFUNCTION("AVERAGE(ARRAYFORMULA(100 * (QUERY(GOOGLEFINANCE(C454, ""high"", TODAY()-40, TODAY()), ""SELECT Col2 WHERE Col2 IS NOT NULL ORDER BY Col1 DESC LIMIT 20"", 0) / QUERY(GOOGLEFINANCE(C454, ""low"", TODAY()-40, TODAY()), ""SELECT Col2 WHERE Col2 IS NOT NULL OR"&amp;"DER BY Col1 DESC LIMIT 20"", 0) - 1)))"),"#N/A")</f>
        <v>#N/A</v>
      </c>
      <c r="H454" s="35" t="str">
        <f t="shared" si="6"/>
        <v/>
      </c>
      <c r="I454" s="36" t="str">
        <f t="shared" si="7"/>
        <v/>
      </c>
      <c r="J454" s="37" t="str">
        <f>IFERROR(__xludf.DUMMYFUNCTION("IFERROR(
  IF(C454="""",, 
    IFERROR(
      GOOGLEFINANCE(C454, ""price"") * GOOGLEFINANCE(C454, ""volumeavg""), 
      GOOGLEFINANCE(C454, ""price"") * AVERAGE(QUERY(GOOGLEFINANCE(C454, ""volume"", TODAY()-40, TODAY()), ""SELECT Col2 WHERE Col2 IS NOT "&amp;"NULL ORDER BY Col1 DESC LIMIT 20"", 0))
    )
  ), 
"""")"),"")</f>
        <v/>
      </c>
      <c r="K454" s="21" t="str">
        <f>IFERROR(__xludf.DUMMYFUNCTION("IFERROR(GOOGLEFINANCE(C454, ""changepct"") / 100, """")"),"")</f>
        <v/>
      </c>
      <c r="L454" s="21" t="str">
        <f>IFERROR(__xludf.DUMMYFUNCTION("IFERROR((GOOGLEFINANCE(C454, ""price"") / INDEX(GOOGLEFINANCE(C454, ""price"", TODAY()-7, TODAY()), 2, 2)) - 1, """")"),"")</f>
        <v/>
      </c>
      <c r="M454" s="21" t="str">
        <f>IFERROR(__xludf.DUMMYFUNCTION("IFERROR((GOOGLEFINANCE(C454, ""price"") / INDEX(GOOGLEFINANCE(C454, ""price"", EDATE(TODAY(), -1), TODAY()), 2, 2)) - 1, """")"),"")</f>
        <v/>
      </c>
      <c r="N454" s="21" t="str">
        <f>IFERROR(__xludf.DUMMYFUNCTION("IFERROR((GOOGLEFINANCE(C454, ""price"") / INDEX(GOOGLEFINANCE(C454, ""price"", EDATE(TODAY(), -3), TODAY()), 2, 2)) - 1, """")"),"")</f>
        <v/>
      </c>
      <c r="O454" s="21" t="str">
        <f>IFERROR(__xludf.DUMMYFUNCTION("IFERROR((GOOGLEFINANCE(C454, ""price"") / INDEX(GOOGLEFINANCE(C454, ""price"", EDATE(TODAY(), -6), TODAY()), 2, 2)) - 1, """")"),"")</f>
        <v/>
      </c>
      <c r="P454" s="21" t="str">
        <f>IFERROR(__xludf.DUMMYFUNCTION("IFERROR((GOOGLEFINANCE(C454, ""price"") / INDEX(GOOGLEFINANCE(C454, ""price"", EDATE(TODAY(), -12), TODAY()), 2, 2)) - 1, """")"),"")</f>
        <v/>
      </c>
      <c r="Q454" s="6" t="str">
        <f>IFERROR(__xludf.DUMMYFUNCTION("AVERAGE(QUERY(GOOGLEFINANCE(C454, ""price"", TODAY()-80, TODAY()), ""SELECT Col2 WHERE Col2 IS NOT NULL ORDER BY Col1 DESC LIMIT 50"", 0))"),"#N/A")</f>
        <v>#N/A</v>
      </c>
      <c r="R454" s="24" t="str">
        <f>IFERROR(__xludf.DUMMYFUNCTION("IFERROR(
  LET(
    data, QUERY(GOOGLEFINANCE(C454,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GOOGLEFINANCE(C454, ""price"")) * 100,
    IF(calc=0, G454, calc)
  ), 
G454)"),"#N/A")</f>
        <v>#N/A</v>
      </c>
      <c r="S454" s="8" t="s">
        <v>15</v>
      </c>
      <c r="T454" s="26" t="str">
        <f>IFERROR(__xludf.DUMMYFUNCTION("IFERROR(TRANSPOSE(QUERY(IFERROR(SORT(GOOGLEFINANCE(C454, ""price"", WORKDAY(TODAY(), -40), TODAY()), 1, FALSE)), ""select Col2 where Col2 is not null limit 22 label Col2 ''"", 0)), """")"),"")</f>
        <v/>
      </c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8"/>
      <c r="AO454" s="28"/>
      <c r="AP454" s="29"/>
      <c r="AQ454" s="29" t="str">
        <f t="shared" ref="AQ454:BL454" si="457">T454/T$2</f>
        <v>#N/A</v>
      </c>
      <c r="AR454" s="29" t="str">
        <f t="shared" si="457"/>
        <v>#DIV/0!</v>
      </c>
      <c r="AS454" s="29" t="str">
        <f t="shared" si="457"/>
        <v>#DIV/0!</v>
      </c>
      <c r="AT454" s="29" t="str">
        <f t="shared" si="457"/>
        <v>#DIV/0!</v>
      </c>
      <c r="AU454" s="29" t="str">
        <f t="shared" si="457"/>
        <v>#DIV/0!</v>
      </c>
      <c r="AV454" s="29" t="str">
        <f t="shared" si="457"/>
        <v>#DIV/0!</v>
      </c>
      <c r="AW454" s="29" t="str">
        <f t="shared" si="457"/>
        <v>#DIV/0!</v>
      </c>
      <c r="AX454" s="29" t="str">
        <f t="shared" si="457"/>
        <v>#DIV/0!</v>
      </c>
      <c r="AY454" s="29" t="str">
        <f t="shared" si="457"/>
        <v>#DIV/0!</v>
      </c>
      <c r="AZ454" s="29" t="str">
        <f t="shared" si="457"/>
        <v>#DIV/0!</v>
      </c>
      <c r="BA454" s="29" t="str">
        <f t="shared" si="457"/>
        <v>#DIV/0!</v>
      </c>
      <c r="BB454" s="29" t="str">
        <f t="shared" si="457"/>
        <v>#DIV/0!</v>
      </c>
      <c r="BC454" s="29" t="str">
        <f t="shared" si="457"/>
        <v>#DIV/0!</v>
      </c>
      <c r="BD454" s="29" t="str">
        <f t="shared" si="457"/>
        <v>#DIV/0!</v>
      </c>
      <c r="BE454" s="29" t="str">
        <f t="shared" si="457"/>
        <v>#DIV/0!</v>
      </c>
      <c r="BF454" s="29" t="str">
        <f t="shared" si="457"/>
        <v>#DIV/0!</v>
      </c>
      <c r="BG454" s="29" t="str">
        <f t="shared" si="457"/>
        <v>#DIV/0!</v>
      </c>
      <c r="BH454" s="29" t="str">
        <f t="shared" si="457"/>
        <v>#DIV/0!</v>
      </c>
      <c r="BI454" s="29" t="str">
        <f t="shared" si="457"/>
        <v>#DIV/0!</v>
      </c>
      <c r="BJ454" s="29" t="str">
        <f t="shared" si="457"/>
        <v>#DIV/0!</v>
      </c>
      <c r="BK454" s="29" t="str">
        <f t="shared" si="457"/>
        <v>#DIV/0!</v>
      </c>
      <c r="BL454" s="29" t="str">
        <f t="shared" si="457"/>
        <v>#DIV/0!</v>
      </c>
      <c r="BM454" s="29" t="str">
        <f t="shared" si="3"/>
        <v>#DIV/0!</v>
      </c>
    </row>
    <row r="455">
      <c r="A455" s="16" t="str">
        <f>IFERROR(__xludf.DUMMYFUNCTION("IFERROR(SPARKLINE(SORT(MAP(TRANSPOSE(AQ455:BL455), LAMBDA(val, IF(ISNUMBER(val), PERCENTRANK(AQ455:BL455, val)+0.01, 0))), SEQUENCE(COLUMNS(AQ455:BL455)), FALSE), {""charttype"",""column""; ""color"",""chartreuse""; ""ymin"", 0; ""ymax"", 1.01; ""highcolo"&amp;"r"", ""darkgreen""; ""lowcolor"", ""red""}), """")"),"")</f>
        <v/>
      </c>
      <c r="B455" s="17" t="str">
        <f t="shared" si="4"/>
        <v/>
      </c>
      <c r="C455" s="1" t="s">
        <v>2092</v>
      </c>
      <c r="D455" s="34" t="str">
        <f>IFERROR(__xludf.DUMMYFUNCTION("IFERROR(GOOGLEFINANCE(C455, ""NAME""))"),"Bankwell Financial Group Inc")</f>
        <v>Bankwell Financial Group Inc</v>
      </c>
      <c r="E455" s="30" t="s">
        <v>268</v>
      </c>
      <c r="F455" s="33" t="str">
        <f>IFERROR(__xludf.DUMMYFUNCTION("( (GOOGLEFINANCE(C455, ""price"") - Q455) / Q455 ) / (R455 / 100)"),"Loading...")</f>
        <v>Loading...</v>
      </c>
      <c r="G455" s="20" t="str">
        <f>IFERROR(__xludf.DUMMYFUNCTION("AVERAGE(ARRAYFORMULA(100 * (QUERY(GOOGLEFINANCE(C455, ""high"", TODAY()-40, TODAY()), ""SELECT Col2 WHERE Col2 IS NOT NULL ORDER BY Col1 DESC LIMIT 20"", 0) / QUERY(GOOGLEFINANCE(C455, ""low"", TODAY()-40, TODAY()), ""SELECT Col2 WHERE Col2 IS NOT NULL OR"&amp;"DER BY Col1 DESC LIMIT 20"", 0) - 1)))"),"#N/A")</f>
        <v>#N/A</v>
      </c>
      <c r="H455" s="35" t="str">
        <f t="shared" si="6"/>
        <v/>
      </c>
      <c r="I455" s="36" t="str">
        <f t="shared" si="7"/>
        <v/>
      </c>
      <c r="J455" s="37" t="str">
        <f>IFERROR(__xludf.DUMMYFUNCTION("IFERROR(
  IF(C455="""",, 
    IFERROR(
      GOOGLEFINANCE(C455, ""price"") * GOOGLEFINANCE(C455, ""volumeavg""), 
      GOOGLEFINANCE(C455, ""price"") * AVERAGE(QUERY(GOOGLEFINANCE(C455, ""volume"", TODAY()-40, TODAY()), ""SELECT Col2 WHERE Col2 IS NOT "&amp;"NULL ORDER BY Col1 DESC LIMIT 20"", 0))
    )
  ), 
"""")"),"")</f>
        <v/>
      </c>
      <c r="K455" s="21" t="str">
        <f>IFERROR(__xludf.DUMMYFUNCTION("IFERROR(GOOGLEFINANCE(C455, ""changepct"") / 100, """")"),"")</f>
        <v/>
      </c>
      <c r="L455" s="21" t="str">
        <f>IFERROR(__xludf.DUMMYFUNCTION("IFERROR((GOOGLEFINANCE(C455, ""price"") / INDEX(GOOGLEFINANCE(C455, ""price"", TODAY()-7, TODAY()), 2, 2)) - 1, """")"),"")</f>
        <v/>
      </c>
      <c r="M455" s="21" t="str">
        <f>IFERROR(__xludf.DUMMYFUNCTION("IFERROR((GOOGLEFINANCE(C455, ""price"") / INDEX(GOOGLEFINANCE(C455, ""price"", EDATE(TODAY(), -1), TODAY()), 2, 2)) - 1, """")"),"")</f>
        <v/>
      </c>
      <c r="N455" s="21" t="str">
        <f>IFERROR(__xludf.DUMMYFUNCTION("IFERROR((GOOGLEFINANCE(C455, ""price"") / INDEX(GOOGLEFINANCE(C455, ""price"", EDATE(TODAY(), -3), TODAY()), 2, 2)) - 1, """")"),"")</f>
        <v/>
      </c>
      <c r="O455" s="21" t="str">
        <f>IFERROR(__xludf.DUMMYFUNCTION("IFERROR((GOOGLEFINANCE(C455, ""price"") / INDEX(GOOGLEFINANCE(C455, ""price"", EDATE(TODAY(), -6), TODAY()), 2, 2)) - 1, """")"),"")</f>
        <v/>
      </c>
      <c r="P455" s="21" t="str">
        <f>IFERROR(__xludf.DUMMYFUNCTION("IFERROR((GOOGLEFINANCE(C455, ""price"") / INDEX(GOOGLEFINANCE(C455, ""price"", EDATE(TODAY(), -12), TODAY()), 2, 2)) - 1, """")"),"")</f>
        <v/>
      </c>
      <c r="Q455" s="6" t="str">
        <f>IFERROR(__xludf.DUMMYFUNCTION("AVERAGE(QUERY(GOOGLEFINANCE(C455, ""price"", TODAY()-80, TODAY()), ""SELECT Col2 WHERE Col2 IS NOT NULL ORDER BY Col1 DESC LIMIT 50"", 0))"),"#N/A")</f>
        <v>#N/A</v>
      </c>
      <c r="R455" s="24" t="str">
        <f>IFERROR(__xludf.DUMMYFUNCTION("IFERROR(
  LET(
    data, QUERY(GOOGLEFINANCE(C455,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GOOGLEFINANCE(C455, ""price"")) * 100,
    IF(calc=0, G455, calc)
  ), 
G455)"),"#N/A")</f>
        <v>#N/A</v>
      </c>
      <c r="S455" s="8" t="s">
        <v>15</v>
      </c>
      <c r="T455" s="26" t="str">
        <f>IFERROR(__xludf.DUMMYFUNCTION("IFERROR(TRANSPOSE(QUERY(IFERROR(SORT(GOOGLEFINANCE(C455, ""price"", WORKDAY(TODAY(), -40), TODAY()), 1, FALSE)), ""select Col2 where Col2 is not null limit 22 label Col2 ''"", 0)), """")"),"")</f>
        <v/>
      </c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8"/>
      <c r="AO455" s="28"/>
      <c r="AP455" s="29"/>
      <c r="AQ455" s="29" t="str">
        <f t="shared" ref="AQ455:BL455" si="458">T455/T$2</f>
        <v>#N/A</v>
      </c>
      <c r="AR455" s="29" t="str">
        <f t="shared" si="458"/>
        <v>#DIV/0!</v>
      </c>
      <c r="AS455" s="29" t="str">
        <f t="shared" si="458"/>
        <v>#DIV/0!</v>
      </c>
      <c r="AT455" s="29" t="str">
        <f t="shared" si="458"/>
        <v>#DIV/0!</v>
      </c>
      <c r="AU455" s="29" t="str">
        <f t="shared" si="458"/>
        <v>#DIV/0!</v>
      </c>
      <c r="AV455" s="29" t="str">
        <f t="shared" si="458"/>
        <v>#DIV/0!</v>
      </c>
      <c r="AW455" s="29" t="str">
        <f t="shared" si="458"/>
        <v>#DIV/0!</v>
      </c>
      <c r="AX455" s="29" t="str">
        <f t="shared" si="458"/>
        <v>#DIV/0!</v>
      </c>
      <c r="AY455" s="29" t="str">
        <f t="shared" si="458"/>
        <v>#DIV/0!</v>
      </c>
      <c r="AZ455" s="29" t="str">
        <f t="shared" si="458"/>
        <v>#DIV/0!</v>
      </c>
      <c r="BA455" s="29" t="str">
        <f t="shared" si="458"/>
        <v>#DIV/0!</v>
      </c>
      <c r="BB455" s="29" t="str">
        <f t="shared" si="458"/>
        <v>#DIV/0!</v>
      </c>
      <c r="BC455" s="29" t="str">
        <f t="shared" si="458"/>
        <v>#DIV/0!</v>
      </c>
      <c r="BD455" s="29" t="str">
        <f t="shared" si="458"/>
        <v>#DIV/0!</v>
      </c>
      <c r="BE455" s="29" t="str">
        <f t="shared" si="458"/>
        <v>#DIV/0!</v>
      </c>
      <c r="BF455" s="29" t="str">
        <f t="shared" si="458"/>
        <v>#DIV/0!</v>
      </c>
      <c r="BG455" s="29" t="str">
        <f t="shared" si="458"/>
        <v>#DIV/0!</v>
      </c>
      <c r="BH455" s="29" t="str">
        <f t="shared" si="458"/>
        <v>#DIV/0!</v>
      </c>
      <c r="BI455" s="29" t="str">
        <f t="shared" si="458"/>
        <v>#DIV/0!</v>
      </c>
      <c r="BJ455" s="29" t="str">
        <f t="shared" si="458"/>
        <v>#DIV/0!</v>
      </c>
      <c r="BK455" s="29" t="str">
        <f t="shared" si="458"/>
        <v>#DIV/0!</v>
      </c>
      <c r="BL455" s="29" t="str">
        <f t="shared" si="458"/>
        <v>#DIV/0!</v>
      </c>
      <c r="BM455" s="29" t="str">
        <f t="shared" si="3"/>
        <v>#DIV/0!</v>
      </c>
    </row>
    <row r="456">
      <c r="A456" s="16" t="str">
        <f>IFERROR(__xludf.DUMMYFUNCTION("IFERROR(SPARKLINE(SORT(MAP(TRANSPOSE(AQ456:BL456), LAMBDA(val, IF(ISNUMBER(val), PERCENTRANK(AQ456:BL456, val)+0.01, 0))), SEQUENCE(COLUMNS(AQ456:BL456)), FALSE), {""charttype"",""column""; ""color"",""chartreuse""; ""ymin"", 0; ""ymax"", 1.01; ""highcolo"&amp;"r"", ""darkgreen""; ""lowcolor"", ""red""}), """")"),"")</f>
        <v/>
      </c>
      <c r="B456" s="17" t="str">
        <f t="shared" si="4"/>
        <v/>
      </c>
      <c r="C456" s="1" t="s">
        <v>2097</v>
      </c>
      <c r="D456" s="34" t="str">
        <f>IFERROR(__xludf.DUMMYFUNCTION("IFERROR(GOOGLEFINANCE(C456, ""NAME""))"),"Artisan Partners Asset Management Inc")</f>
        <v>Artisan Partners Asset Management Inc</v>
      </c>
      <c r="E456" s="30" t="s">
        <v>64</v>
      </c>
      <c r="F456" s="33" t="str">
        <f>IFERROR(__xludf.DUMMYFUNCTION("( (GOOGLEFINANCE(C456, ""price"") - Q456) / Q456 ) / (R456 / 100)"),"Loading...")</f>
        <v>Loading...</v>
      </c>
      <c r="G456" s="20" t="str">
        <f>IFERROR(__xludf.DUMMYFUNCTION("AVERAGE(ARRAYFORMULA(100 * (QUERY(GOOGLEFINANCE(C456, ""high"", TODAY()-40, TODAY()), ""SELECT Col2 WHERE Col2 IS NOT NULL ORDER BY Col1 DESC LIMIT 20"", 0) / QUERY(GOOGLEFINANCE(C456, ""low"", TODAY()-40, TODAY()), ""SELECT Col2 WHERE Col2 IS NOT NULL OR"&amp;"DER BY Col1 DESC LIMIT 20"", 0) - 1)))"),"#N/A")</f>
        <v>#N/A</v>
      </c>
      <c r="H456" s="35" t="str">
        <f t="shared" si="6"/>
        <v/>
      </c>
      <c r="I456" s="36" t="str">
        <f t="shared" si="7"/>
        <v/>
      </c>
      <c r="J456" s="37" t="str">
        <f>IFERROR(__xludf.DUMMYFUNCTION("IFERROR(
  IF(C456="""",, 
    IFERROR(
      GOOGLEFINANCE(C456, ""price"") * GOOGLEFINANCE(C456, ""volumeavg""), 
      GOOGLEFINANCE(C456, ""price"") * AVERAGE(QUERY(GOOGLEFINANCE(C456, ""volume"", TODAY()-40, TODAY()), ""SELECT Col2 WHERE Col2 IS NOT "&amp;"NULL ORDER BY Col1 DESC LIMIT 20"", 0))
    )
  ), 
"""")"),"")</f>
        <v/>
      </c>
      <c r="K456" s="21" t="str">
        <f>IFERROR(__xludf.DUMMYFUNCTION("IFERROR(GOOGLEFINANCE(C456, ""changepct"") / 100, """")"),"")</f>
        <v/>
      </c>
      <c r="L456" s="21" t="str">
        <f>IFERROR(__xludf.DUMMYFUNCTION("IFERROR((GOOGLEFINANCE(C456, ""price"") / INDEX(GOOGLEFINANCE(C456, ""price"", TODAY()-7, TODAY()), 2, 2)) - 1, """")"),"")</f>
        <v/>
      </c>
      <c r="M456" s="21" t="str">
        <f>IFERROR(__xludf.DUMMYFUNCTION("IFERROR((GOOGLEFINANCE(C456, ""price"") / INDEX(GOOGLEFINANCE(C456, ""price"", EDATE(TODAY(), -1), TODAY()), 2, 2)) - 1, """")"),"")</f>
        <v/>
      </c>
      <c r="N456" s="21" t="str">
        <f>IFERROR(__xludf.DUMMYFUNCTION("IFERROR((GOOGLEFINANCE(C456, ""price"") / INDEX(GOOGLEFINANCE(C456, ""price"", EDATE(TODAY(), -3), TODAY()), 2, 2)) - 1, """")"),"")</f>
        <v/>
      </c>
      <c r="O456" s="21" t="str">
        <f>IFERROR(__xludf.DUMMYFUNCTION("IFERROR((GOOGLEFINANCE(C456, ""price"") / INDEX(GOOGLEFINANCE(C456, ""price"", EDATE(TODAY(), -6), TODAY()), 2, 2)) - 1, """")"),"")</f>
        <v/>
      </c>
      <c r="P456" s="21" t="str">
        <f>IFERROR(__xludf.DUMMYFUNCTION("IFERROR((GOOGLEFINANCE(C456, ""price"") / INDEX(GOOGLEFINANCE(C456, ""price"", EDATE(TODAY(), -12), TODAY()), 2, 2)) - 1, """")"),"")</f>
        <v/>
      </c>
      <c r="Q456" s="6" t="str">
        <f>IFERROR(__xludf.DUMMYFUNCTION("AVERAGE(QUERY(GOOGLEFINANCE(C456, ""price"", TODAY()-80, TODAY()), ""SELECT Col2 WHERE Col2 IS NOT NULL ORDER BY Col1 DESC LIMIT 50"", 0))"),"#N/A")</f>
        <v>#N/A</v>
      </c>
      <c r="R456" s="24" t="str">
        <f>IFERROR(__xludf.DUMMYFUNCTION("IFERROR(
  LET(
    data, QUERY(GOOGLEFINANCE(C456,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GOOGLEFINANCE(C456, ""price"")) * 100,
    IF(calc=0, G456, calc)
  ), 
G456)"),"#N/A")</f>
        <v>#N/A</v>
      </c>
      <c r="S456" s="8" t="s">
        <v>15</v>
      </c>
      <c r="T456" s="26" t="str">
        <f>IFERROR(__xludf.DUMMYFUNCTION("IFERROR(TRANSPOSE(QUERY(IFERROR(SORT(GOOGLEFINANCE(C456, ""price"", WORKDAY(TODAY(), -40), TODAY()), 1, FALSE)), ""select Col2 where Col2 is not null limit 22 label Col2 ''"", 0)), """")"),"")</f>
        <v/>
      </c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8"/>
      <c r="AO456" s="28"/>
      <c r="AP456" s="29"/>
      <c r="AQ456" s="29" t="str">
        <f t="shared" ref="AQ456:BL456" si="459">T456/T$2</f>
        <v>#N/A</v>
      </c>
      <c r="AR456" s="29" t="str">
        <f t="shared" si="459"/>
        <v>#DIV/0!</v>
      </c>
      <c r="AS456" s="29" t="str">
        <f t="shared" si="459"/>
        <v>#DIV/0!</v>
      </c>
      <c r="AT456" s="29" t="str">
        <f t="shared" si="459"/>
        <v>#DIV/0!</v>
      </c>
      <c r="AU456" s="29" t="str">
        <f t="shared" si="459"/>
        <v>#DIV/0!</v>
      </c>
      <c r="AV456" s="29" t="str">
        <f t="shared" si="459"/>
        <v>#DIV/0!</v>
      </c>
      <c r="AW456" s="29" t="str">
        <f t="shared" si="459"/>
        <v>#DIV/0!</v>
      </c>
      <c r="AX456" s="29" t="str">
        <f t="shared" si="459"/>
        <v>#DIV/0!</v>
      </c>
      <c r="AY456" s="29" t="str">
        <f t="shared" si="459"/>
        <v>#DIV/0!</v>
      </c>
      <c r="AZ456" s="29" t="str">
        <f t="shared" si="459"/>
        <v>#DIV/0!</v>
      </c>
      <c r="BA456" s="29" t="str">
        <f t="shared" si="459"/>
        <v>#DIV/0!</v>
      </c>
      <c r="BB456" s="29" t="str">
        <f t="shared" si="459"/>
        <v>#DIV/0!</v>
      </c>
      <c r="BC456" s="29" t="str">
        <f t="shared" si="459"/>
        <v>#DIV/0!</v>
      </c>
      <c r="BD456" s="29" t="str">
        <f t="shared" si="459"/>
        <v>#DIV/0!</v>
      </c>
      <c r="BE456" s="29" t="str">
        <f t="shared" si="459"/>
        <v>#DIV/0!</v>
      </c>
      <c r="BF456" s="29" t="str">
        <f t="shared" si="459"/>
        <v>#DIV/0!</v>
      </c>
      <c r="BG456" s="29" t="str">
        <f t="shared" si="459"/>
        <v>#DIV/0!</v>
      </c>
      <c r="BH456" s="29" t="str">
        <f t="shared" si="459"/>
        <v>#DIV/0!</v>
      </c>
      <c r="BI456" s="29" t="str">
        <f t="shared" si="459"/>
        <v>#DIV/0!</v>
      </c>
      <c r="BJ456" s="29" t="str">
        <f t="shared" si="459"/>
        <v>#DIV/0!</v>
      </c>
      <c r="BK456" s="29" t="str">
        <f t="shared" si="459"/>
        <v>#DIV/0!</v>
      </c>
      <c r="BL456" s="29" t="str">
        <f t="shared" si="459"/>
        <v>#DIV/0!</v>
      </c>
      <c r="BM456" s="29" t="str">
        <f t="shared" si="3"/>
        <v>#DIV/0!</v>
      </c>
    </row>
    <row r="457">
      <c r="A457" s="16" t="str">
        <f>IFERROR(__xludf.DUMMYFUNCTION("IFERROR(SPARKLINE(SORT(MAP(TRANSPOSE(AQ457:BL457), LAMBDA(val, IF(ISNUMBER(val), PERCENTRANK(AQ457:BL457, val)+0.01, 0))), SEQUENCE(COLUMNS(AQ457:BL457)), FALSE), {""charttype"",""column""; ""color"",""chartreuse""; ""ymin"", 0; ""ymax"", 1.01; ""highcolo"&amp;"r"", ""darkgreen""; ""lowcolor"", ""red""}), """")"),"")</f>
        <v/>
      </c>
      <c r="B457" s="17" t="str">
        <f t="shared" si="4"/>
        <v/>
      </c>
      <c r="C457" s="1" t="s">
        <v>2102</v>
      </c>
      <c r="D457" s="34" t="str">
        <f>IFERROR(__xludf.DUMMYFUNCTION("IFERROR(GOOGLEFINANCE(C457, ""NAME""))"),"Metrocity Bankshares Inc")</f>
        <v>Metrocity Bankshares Inc</v>
      </c>
      <c r="E457" s="30" t="s">
        <v>268</v>
      </c>
      <c r="F457" s="33" t="str">
        <f>IFERROR(__xludf.DUMMYFUNCTION("( (GOOGLEFINANCE(C457, ""price"") - Q457) / Q457 ) / (R457 / 100)"),"Loading...")</f>
        <v>Loading...</v>
      </c>
      <c r="G457" s="20" t="str">
        <f>IFERROR(__xludf.DUMMYFUNCTION("AVERAGE(ARRAYFORMULA(100 * (QUERY(GOOGLEFINANCE(C457, ""high"", TODAY()-40, TODAY()), ""SELECT Col2 WHERE Col2 IS NOT NULL ORDER BY Col1 DESC LIMIT 20"", 0) / QUERY(GOOGLEFINANCE(C457, ""low"", TODAY()-40, TODAY()), ""SELECT Col2 WHERE Col2 IS NOT NULL OR"&amp;"DER BY Col1 DESC LIMIT 20"", 0) - 1)))"),"#N/A")</f>
        <v>#N/A</v>
      </c>
      <c r="H457" s="35" t="str">
        <f t="shared" si="6"/>
        <v/>
      </c>
      <c r="I457" s="36" t="str">
        <f t="shared" si="7"/>
        <v/>
      </c>
      <c r="J457" s="37" t="str">
        <f>IFERROR(__xludf.DUMMYFUNCTION("IFERROR(
  IF(C457="""",, 
    IFERROR(
      GOOGLEFINANCE(C457, ""price"") * GOOGLEFINANCE(C457, ""volumeavg""), 
      GOOGLEFINANCE(C457, ""price"") * AVERAGE(QUERY(GOOGLEFINANCE(C457, ""volume"", TODAY()-40, TODAY()), ""SELECT Col2 WHERE Col2 IS NOT "&amp;"NULL ORDER BY Col1 DESC LIMIT 20"", 0))
    )
  ), 
"""")"),"")</f>
        <v/>
      </c>
      <c r="K457" s="21" t="str">
        <f>IFERROR(__xludf.DUMMYFUNCTION("IFERROR(GOOGLEFINANCE(C457, ""changepct"") / 100, """")"),"")</f>
        <v/>
      </c>
      <c r="L457" s="21" t="str">
        <f>IFERROR(__xludf.DUMMYFUNCTION("IFERROR((GOOGLEFINANCE(C457, ""price"") / INDEX(GOOGLEFINANCE(C457, ""price"", TODAY()-7, TODAY()), 2, 2)) - 1, """")"),"")</f>
        <v/>
      </c>
      <c r="M457" s="21" t="str">
        <f>IFERROR(__xludf.DUMMYFUNCTION("IFERROR((GOOGLEFINANCE(C457, ""price"") / INDEX(GOOGLEFINANCE(C457, ""price"", EDATE(TODAY(), -1), TODAY()), 2, 2)) - 1, """")"),"")</f>
        <v/>
      </c>
      <c r="N457" s="21" t="str">
        <f>IFERROR(__xludf.DUMMYFUNCTION("IFERROR((GOOGLEFINANCE(C457, ""price"") / INDEX(GOOGLEFINANCE(C457, ""price"", EDATE(TODAY(), -3), TODAY()), 2, 2)) - 1, """")"),"")</f>
        <v/>
      </c>
      <c r="O457" s="21" t="str">
        <f>IFERROR(__xludf.DUMMYFUNCTION("IFERROR((GOOGLEFINANCE(C457, ""price"") / INDEX(GOOGLEFINANCE(C457, ""price"", EDATE(TODAY(), -6), TODAY()), 2, 2)) - 1, """")"),"")</f>
        <v/>
      </c>
      <c r="P457" s="21" t="str">
        <f>IFERROR(__xludf.DUMMYFUNCTION("IFERROR((GOOGLEFINANCE(C457, ""price"") / INDEX(GOOGLEFINANCE(C457, ""price"", EDATE(TODAY(), -12), TODAY()), 2, 2)) - 1, """")"),"")</f>
        <v/>
      </c>
      <c r="Q457" s="6" t="str">
        <f>IFERROR(__xludf.DUMMYFUNCTION("AVERAGE(QUERY(GOOGLEFINANCE(C457, ""price"", TODAY()-80, TODAY()), ""SELECT Col2 WHERE Col2 IS NOT NULL ORDER BY Col1 DESC LIMIT 50"", 0))"),"#N/A")</f>
        <v>#N/A</v>
      </c>
      <c r="R457" s="24" t="str">
        <f>IFERROR(__xludf.DUMMYFUNCTION("IFERROR(
  LET(
    data, QUERY(GOOGLEFINANCE(C457,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GOOGLEFINANCE(C457, ""price"")) * 100,
    IF(calc=0, G457, calc)
  ), 
G457)"),"#N/A")</f>
        <v>#N/A</v>
      </c>
      <c r="S457" s="8" t="s">
        <v>15</v>
      </c>
      <c r="T457" s="26" t="str">
        <f>IFERROR(__xludf.DUMMYFUNCTION("IFERROR(TRANSPOSE(QUERY(IFERROR(SORT(GOOGLEFINANCE(C457, ""price"", WORKDAY(TODAY(), -40), TODAY()), 1, FALSE)), ""select Col2 where Col2 is not null limit 22 label Col2 ''"", 0)), """")"),"")</f>
        <v/>
      </c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8"/>
      <c r="AO457" s="28"/>
      <c r="AP457" s="29"/>
      <c r="AQ457" s="29" t="str">
        <f t="shared" ref="AQ457:BL457" si="460">T457/T$2</f>
        <v>#N/A</v>
      </c>
      <c r="AR457" s="29" t="str">
        <f t="shared" si="460"/>
        <v>#DIV/0!</v>
      </c>
      <c r="AS457" s="29" t="str">
        <f t="shared" si="460"/>
        <v>#DIV/0!</v>
      </c>
      <c r="AT457" s="29" t="str">
        <f t="shared" si="460"/>
        <v>#DIV/0!</v>
      </c>
      <c r="AU457" s="29" t="str">
        <f t="shared" si="460"/>
        <v>#DIV/0!</v>
      </c>
      <c r="AV457" s="29" t="str">
        <f t="shared" si="460"/>
        <v>#DIV/0!</v>
      </c>
      <c r="AW457" s="29" t="str">
        <f t="shared" si="460"/>
        <v>#DIV/0!</v>
      </c>
      <c r="AX457" s="29" t="str">
        <f t="shared" si="460"/>
        <v>#DIV/0!</v>
      </c>
      <c r="AY457" s="29" t="str">
        <f t="shared" si="460"/>
        <v>#DIV/0!</v>
      </c>
      <c r="AZ457" s="29" t="str">
        <f t="shared" si="460"/>
        <v>#DIV/0!</v>
      </c>
      <c r="BA457" s="29" t="str">
        <f t="shared" si="460"/>
        <v>#DIV/0!</v>
      </c>
      <c r="BB457" s="29" t="str">
        <f t="shared" si="460"/>
        <v>#DIV/0!</v>
      </c>
      <c r="BC457" s="29" t="str">
        <f t="shared" si="460"/>
        <v>#DIV/0!</v>
      </c>
      <c r="BD457" s="29" t="str">
        <f t="shared" si="460"/>
        <v>#DIV/0!</v>
      </c>
      <c r="BE457" s="29" t="str">
        <f t="shared" si="460"/>
        <v>#DIV/0!</v>
      </c>
      <c r="BF457" s="29" t="str">
        <f t="shared" si="460"/>
        <v>#DIV/0!</v>
      </c>
      <c r="BG457" s="29" t="str">
        <f t="shared" si="460"/>
        <v>#DIV/0!</v>
      </c>
      <c r="BH457" s="29" t="str">
        <f t="shared" si="460"/>
        <v>#DIV/0!</v>
      </c>
      <c r="BI457" s="29" t="str">
        <f t="shared" si="460"/>
        <v>#DIV/0!</v>
      </c>
      <c r="BJ457" s="29" t="str">
        <f t="shared" si="460"/>
        <v>#DIV/0!</v>
      </c>
      <c r="BK457" s="29" t="str">
        <f t="shared" si="460"/>
        <v>#DIV/0!</v>
      </c>
      <c r="BL457" s="29" t="str">
        <f t="shared" si="460"/>
        <v>#DIV/0!</v>
      </c>
      <c r="BM457" s="29" t="str">
        <f t="shared" si="3"/>
        <v>#DIV/0!</v>
      </c>
    </row>
    <row r="458">
      <c r="A458" s="16" t="str">
        <f>IFERROR(__xludf.DUMMYFUNCTION("IFERROR(SPARKLINE(SORT(MAP(TRANSPOSE(AQ458:BL458), LAMBDA(val, IF(ISNUMBER(val), PERCENTRANK(AQ458:BL458, val)+0.01, 0))), SEQUENCE(COLUMNS(AQ458:BL458)), FALSE), {""charttype"",""column""; ""color"",""chartreuse""; ""ymin"", 0; ""ymax"", 1.01; ""highcolo"&amp;"r"", ""darkgreen""; ""lowcolor"", ""red""}), """")"),"")</f>
        <v/>
      </c>
      <c r="B458" s="17" t="str">
        <f t="shared" si="4"/>
        <v/>
      </c>
      <c r="C458" s="1" t="s">
        <v>2107</v>
      </c>
      <c r="D458" s="34" t="str">
        <f>IFERROR(__xludf.DUMMYFUNCTION("IFERROR(GOOGLEFINANCE(C458, ""NAME""))"),"CNB Financial Corp")</f>
        <v>CNB Financial Corp</v>
      </c>
      <c r="E458" s="30" t="s">
        <v>268</v>
      </c>
      <c r="F458" s="33" t="str">
        <f>IFERROR(__xludf.DUMMYFUNCTION("( (GOOGLEFINANCE(C458, ""price"") - Q458) / Q458 ) / (R458 / 100)"),"Loading...")</f>
        <v>Loading...</v>
      </c>
      <c r="G458" s="20" t="str">
        <f>IFERROR(__xludf.DUMMYFUNCTION("AVERAGE(ARRAYFORMULA(100 * (QUERY(GOOGLEFINANCE(C458, ""high"", TODAY()-40, TODAY()), ""SELECT Col2 WHERE Col2 IS NOT NULL ORDER BY Col1 DESC LIMIT 20"", 0) / QUERY(GOOGLEFINANCE(C458, ""low"", TODAY()-40, TODAY()), ""SELECT Col2 WHERE Col2 IS NOT NULL OR"&amp;"DER BY Col1 DESC LIMIT 20"", 0) - 1)))"),"#N/A")</f>
        <v>#N/A</v>
      </c>
      <c r="H458" s="35" t="str">
        <f t="shared" si="6"/>
        <v/>
      </c>
      <c r="I458" s="36" t="str">
        <f t="shared" si="7"/>
        <v/>
      </c>
      <c r="J458" s="37" t="str">
        <f>IFERROR(__xludf.DUMMYFUNCTION("IFERROR(
  IF(C458="""",, 
    IFERROR(
      GOOGLEFINANCE(C458, ""price"") * GOOGLEFINANCE(C458, ""volumeavg""), 
      GOOGLEFINANCE(C458, ""price"") * AVERAGE(QUERY(GOOGLEFINANCE(C458, ""volume"", TODAY()-40, TODAY()), ""SELECT Col2 WHERE Col2 IS NOT "&amp;"NULL ORDER BY Col1 DESC LIMIT 20"", 0))
    )
  ), 
"""")"),"")</f>
        <v/>
      </c>
      <c r="K458" s="21" t="str">
        <f>IFERROR(__xludf.DUMMYFUNCTION("IFERROR(GOOGLEFINANCE(C458, ""changepct"") / 100, """")"),"")</f>
        <v/>
      </c>
      <c r="L458" s="21" t="str">
        <f>IFERROR(__xludf.DUMMYFUNCTION("IFERROR((GOOGLEFINANCE(C458, ""price"") / INDEX(GOOGLEFINANCE(C458, ""price"", TODAY()-7, TODAY()), 2, 2)) - 1, """")"),"")</f>
        <v/>
      </c>
      <c r="M458" s="21" t="str">
        <f>IFERROR(__xludf.DUMMYFUNCTION("IFERROR((GOOGLEFINANCE(C458, ""price"") / INDEX(GOOGLEFINANCE(C458, ""price"", EDATE(TODAY(), -1), TODAY()), 2, 2)) - 1, """")"),"")</f>
        <v/>
      </c>
      <c r="N458" s="21" t="str">
        <f>IFERROR(__xludf.DUMMYFUNCTION("IFERROR((GOOGLEFINANCE(C458, ""price"") / INDEX(GOOGLEFINANCE(C458, ""price"", EDATE(TODAY(), -3), TODAY()), 2, 2)) - 1, """")"),"")</f>
        <v/>
      </c>
      <c r="O458" s="21" t="str">
        <f>IFERROR(__xludf.DUMMYFUNCTION("IFERROR((GOOGLEFINANCE(C458, ""price"") / INDEX(GOOGLEFINANCE(C458, ""price"", EDATE(TODAY(), -6), TODAY()), 2, 2)) - 1, """")"),"")</f>
        <v/>
      </c>
      <c r="P458" s="21" t="str">
        <f>IFERROR(__xludf.DUMMYFUNCTION("IFERROR((GOOGLEFINANCE(C458, ""price"") / INDEX(GOOGLEFINANCE(C458, ""price"", EDATE(TODAY(), -12), TODAY()), 2, 2)) - 1, """")"),"")</f>
        <v/>
      </c>
      <c r="Q458" s="6" t="str">
        <f>IFERROR(__xludf.DUMMYFUNCTION("AVERAGE(QUERY(GOOGLEFINANCE(C458, ""price"", TODAY()-80, TODAY()), ""SELECT Col2 WHERE Col2 IS NOT NULL ORDER BY Col1 DESC LIMIT 50"", 0))"),"#N/A")</f>
        <v>#N/A</v>
      </c>
      <c r="R458" s="24" t="str">
        <f>IFERROR(__xludf.DUMMYFUNCTION("IFERROR(
  LET(
    data, QUERY(GOOGLEFINANCE(C458,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GOOGLEFINANCE(C458, ""price"")) * 100,
    IF(calc=0, G458, calc)
  ), 
G458)"),"#N/A")</f>
        <v>#N/A</v>
      </c>
      <c r="S458" s="8" t="s">
        <v>15</v>
      </c>
      <c r="T458" s="26" t="str">
        <f>IFERROR(__xludf.DUMMYFUNCTION("IFERROR(TRANSPOSE(QUERY(IFERROR(SORT(GOOGLEFINANCE(C458, ""price"", WORKDAY(TODAY(), -40), TODAY()), 1, FALSE)), ""select Col2 where Col2 is not null limit 22 label Col2 ''"", 0)), """")"),"")</f>
        <v/>
      </c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8"/>
      <c r="AO458" s="28"/>
      <c r="AP458" s="29"/>
      <c r="AQ458" s="29" t="str">
        <f t="shared" ref="AQ458:BL458" si="461">T458/T$2</f>
        <v>#N/A</v>
      </c>
      <c r="AR458" s="29" t="str">
        <f t="shared" si="461"/>
        <v>#DIV/0!</v>
      </c>
      <c r="AS458" s="29" t="str">
        <f t="shared" si="461"/>
        <v>#DIV/0!</v>
      </c>
      <c r="AT458" s="29" t="str">
        <f t="shared" si="461"/>
        <v>#DIV/0!</v>
      </c>
      <c r="AU458" s="29" t="str">
        <f t="shared" si="461"/>
        <v>#DIV/0!</v>
      </c>
      <c r="AV458" s="29" t="str">
        <f t="shared" si="461"/>
        <v>#DIV/0!</v>
      </c>
      <c r="AW458" s="29" t="str">
        <f t="shared" si="461"/>
        <v>#DIV/0!</v>
      </c>
      <c r="AX458" s="29" t="str">
        <f t="shared" si="461"/>
        <v>#DIV/0!</v>
      </c>
      <c r="AY458" s="29" t="str">
        <f t="shared" si="461"/>
        <v>#DIV/0!</v>
      </c>
      <c r="AZ458" s="29" t="str">
        <f t="shared" si="461"/>
        <v>#DIV/0!</v>
      </c>
      <c r="BA458" s="29" t="str">
        <f t="shared" si="461"/>
        <v>#DIV/0!</v>
      </c>
      <c r="BB458" s="29" t="str">
        <f t="shared" si="461"/>
        <v>#DIV/0!</v>
      </c>
      <c r="BC458" s="29" t="str">
        <f t="shared" si="461"/>
        <v>#DIV/0!</v>
      </c>
      <c r="BD458" s="29" t="str">
        <f t="shared" si="461"/>
        <v>#DIV/0!</v>
      </c>
      <c r="BE458" s="29" t="str">
        <f t="shared" si="461"/>
        <v>#DIV/0!</v>
      </c>
      <c r="BF458" s="29" t="str">
        <f t="shared" si="461"/>
        <v>#DIV/0!</v>
      </c>
      <c r="BG458" s="29" t="str">
        <f t="shared" si="461"/>
        <v>#DIV/0!</v>
      </c>
      <c r="BH458" s="29" t="str">
        <f t="shared" si="461"/>
        <v>#DIV/0!</v>
      </c>
      <c r="BI458" s="29" t="str">
        <f t="shared" si="461"/>
        <v>#DIV/0!</v>
      </c>
      <c r="BJ458" s="29" t="str">
        <f t="shared" si="461"/>
        <v>#DIV/0!</v>
      </c>
      <c r="BK458" s="29" t="str">
        <f t="shared" si="461"/>
        <v>#DIV/0!</v>
      </c>
      <c r="BL458" s="29" t="str">
        <f t="shared" si="461"/>
        <v>#DIV/0!</v>
      </c>
      <c r="BM458" s="29" t="str">
        <f t="shared" si="3"/>
        <v>#DIV/0!</v>
      </c>
    </row>
    <row r="459">
      <c r="A459" s="16" t="str">
        <f>IFERROR(__xludf.DUMMYFUNCTION("IFERROR(SPARKLINE(SORT(MAP(TRANSPOSE(AQ459:BL459), LAMBDA(val, IF(ISNUMBER(val), PERCENTRANK(AQ459:BL459, val)+0.01, 0))), SEQUENCE(COLUMNS(AQ459:BL459)), FALSE), {""charttype"",""column""; ""color"",""chartreuse""; ""ymin"", 0; ""ymax"", 1.01; ""highcolo"&amp;"r"", ""darkgreen""; ""lowcolor"", ""red""}), """")"),"")</f>
        <v/>
      </c>
      <c r="B459" s="17" t="str">
        <f t="shared" si="4"/>
        <v/>
      </c>
      <c r="C459" s="1" t="s">
        <v>2111</v>
      </c>
      <c r="D459" s="34" t="str">
        <f>IFERROR(__xludf.DUMMYFUNCTION("IFERROR(GOOGLEFINANCE(C459, ""NAME""))"),"Regional Management Corp")</f>
        <v>Regional Management Corp</v>
      </c>
      <c r="E459" s="30" t="s">
        <v>145</v>
      </c>
      <c r="F459" s="33" t="str">
        <f>IFERROR(__xludf.DUMMYFUNCTION("( (GOOGLEFINANCE(C459, ""price"") - Q459) / Q459 ) / (R459 / 100)"),"Loading...")</f>
        <v>Loading...</v>
      </c>
      <c r="G459" s="20" t="str">
        <f>IFERROR(__xludf.DUMMYFUNCTION("AVERAGE(ARRAYFORMULA(100 * (QUERY(GOOGLEFINANCE(C459, ""high"", TODAY()-40, TODAY()), ""SELECT Col2 WHERE Col2 IS NOT NULL ORDER BY Col1 DESC LIMIT 20"", 0) / QUERY(GOOGLEFINANCE(C459, ""low"", TODAY()-40, TODAY()), ""SELECT Col2 WHERE Col2 IS NOT NULL OR"&amp;"DER BY Col1 DESC LIMIT 20"", 0) - 1)))"),"#N/A")</f>
        <v>#N/A</v>
      </c>
      <c r="H459" s="35" t="str">
        <f t="shared" si="6"/>
        <v/>
      </c>
      <c r="I459" s="36" t="str">
        <f t="shared" si="7"/>
        <v/>
      </c>
      <c r="J459" s="37" t="str">
        <f>IFERROR(__xludf.DUMMYFUNCTION("IFERROR(
  IF(C459="""",, 
    IFERROR(
      GOOGLEFINANCE(C459, ""price"") * GOOGLEFINANCE(C459, ""volumeavg""), 
      GOOGLEFINANCE(C459, ""price"") * AVERAGE(QUERY(GOOGLEFINANCE(C459, ""volume"", TODAY()-40, TODAY()), ""SELECT Col2 WHERE Col2 IS NOT "&amp;"NULL ORDER BY Col1 DESC LIMIT 20"", 0))
    )
  ), 
"""")"),"")</f>
        <v/>
      </c>
      <c r="K459" s="21" t="str">
        <f>IFERROR(__xludf.DUMMYFUNCTION("IFERROR(GOOGLEFINANCE(C459, ""changepct"") / 100, """")"),"")</f>
        <v/>
      </c>
      <c r="L459" s="21" t="str">
        <f>IFERROR(__xludf.DUMMYFUNCTION("IFERROR((GOOGLEFINANCE(C459, ""price"") / INDEX(GOOGLEFINANCE(C459, ""price"", TODAY()-7, TODAY()), 2, 2)) - 1, """")"),"")</f>
        <v/>
      </c>
      <c r="M459" s="21" t="str">
        <f>IFERROR(__xludf.DUMMYFUNCTION("IFERROR((GOOGLEFINANCE(C459, ""price"") / INDEX(GOOGLEFINANCE(C459, ""price"", EDATE(TODAY(), -1), TODAY()), 2, 2)) - 1, """")"),"")</f>
        <v/>
      </c>
      <c r="N459" s="21" t="str">
        <f>IFERROR(__xludf.DUMMYFUNCTION("IFERROR((GOOGLEFINANCE(C459, ""price"") / INDEX(GOOGLEFINANCE(C459, ""price"", EDATE(TODAY(), -3), TODAY()), 2, 2)) - 1, """")"),"")</f>
        <v/>
      </c>
      <c r="O459" s="21" t="str">
        <f>IFERROR(__xludf.DUMMYFUNCTION("IFERROR((GOOGLEFINANCE(C459, ""price"") / INDEX(GOOGLEFINANCE(C459, ""price"", EDATE(TODAY(), -6), TODAY()), 2, 2)) - 1, """")"),"")</f>
        <v/>
      </c>
      <c r="P459" s="21" t="str">
        <f>IFERROR(__xludf.DUMMYFUNCTION("IFERROR((GOOGLEFINANCE(C459, ""price"") / INDEX(GOOGLEFINANCE(C459, ""price"", EDATE(TODAY(), -12), TODAY()), 2, 2)) - 1, """")"),"")</f>
        <v/>
      </c>
      <c r="Q459" s="6" t="str">
        <f>IFERROR(__xludf.DUMMYFUNCTION("AVERAGE(QUERY(GOOGLEFINANCE(C459, ""price"", TODAY()-80, TODAY()), ""SELECT Col2 WHERE Col2 IS NOT NULL ORDER BY Col1 DESC LIMIT 50"", 0))"),"#N/A")</f>
        <v>#N/A</v>
      </c>
      <c r="R459" s="24" t="str">
        <f>IFERROR(__xludf.DUMMYFUNCTION("IFERROR(
  LET(
    data, QUERY(GOOGLEFINANCE(C459,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GOOGLEFINANCE(C459, ""price"")) * 100,
    IF(calc=0, G459, calc)
  ), 
G459)"),"#N/A")</f>
        <v>#N/A</v>
      </c>
      <c r="S459" s="8" t="s">
        <v>15</v>
      </c>
      <c r="T459" s="26" t="str">
        <f>IFERROR(__xludf.DUMMYFUNCTION("IFERROR(TRANSPOSE(QUERY(IFERROR(SORT(GOOGLEFINANCE(C459, ""price"", WORKDAY(TODAY(), -40), TODAY()), 1, FALSE)), ""select Col2 where Col2 is not null limit 22 label Col2 ''"", 0)), """")"),"")</f>
        <v/>
      </c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8"/>
      <c r="AO459" s="28"/>
      <c r="AP459" s="29"/>
      <c r="AQ459" s="29" t="str">
        <f t="shared" ref="AQ459:BL459" si="462">T459/T$2</f>
        <v>#N/A</v>
      </c>
      <c r="AR459" s="29" t="str">
        <f t="shared" si="462"/>
        <v>#DIV/0!</v>
      </c>
      <c r="AS459" s="29" t="str">
        <f t="shared" si="462"/>
        <v>#DIV/0!</v>
      </c>
      <c r="AT459" s="29" t="str">
        <f t="shared" si="462"/>
        <v>#DIV/0!</v>
      </c>
      <c r="AU459" s="29" t="str">
        <f t="shared" si="462"/>
        <v>#DIV/0!</v>
      </c>
      <c r="AV459" s="29" t="str">
        <f t="shared" si="462"/>
        <v>#DIV/0!</v>
      </c>
      <c r="AW459" s="29" t="str">
        <f t="shared" si="462"/>
        <v>#DIV/0!</v>
      </c>
      <c r="AX459" s="29" t="str">
        <f t="shared" si="462"/>
        <v>#DIV/0!</v>
      </c>
      <c r="AY459" s="29" t="str">
        <f t="shared" si="462"/>
        <v>#DIV/0!</v>
      </c>
      <c r="AZ459" s="29" t="str">
        <f t="shared" si="462"/>
        <v>#DIV/0!</v>
      </c>
      <c r="BA459" s="29" t="str">
        <f t="shared" si="462"/>
        <v>#DIV/0!</v>
      </c>
      <c r="BB459" s="29" t="str">
        <f t="shared" si="462"/>
        <v>#DIV/0!</v>
      </c>
      <c r="BC459" s="29" t="str">
        <f t="shared" si="462"/>
        <v>#DIV/0!</v>
      </c>
      <c r="BD459" s="29" t="str">
        <f t="shared" si="462"/>
        <v>#DIV/0!</v>
      </c>
      <c r="BE459" s="29" t="str">
        <f t="shared" si="462"/>
        <v>#DIV/0!</v>
      </c>
      <c r="BF459" s="29" t="str">
        <f t="shared" si="462"/>
        <v>#DIV/0!</v>
      </c>
      <c r="BG459" s="29" t="str">
        <f t="shared" si="462"/>
        <v>#DIV/0!</v>
      </c>
      <c r="BH459" s="29" t="str">
        <f t="shared" si="462"/>
        <v>#DIV/0!</v>
      </c>
      <c r="BI459" s="29" t="str">
        <f t="shared" si="462"/>
        <v>#DIV/0!</v>
      </c>
      <c r="BJ459" s="29" t="str">
        <f t="shared" si="462"/>
        <v>#DIV/0!</v>
      </c>
      <c r="BK459" s="29" t="str">
        <f t="shared" si="462"/>
        <v>#DIV/0!</v>
      </c>
      <c r="BL459" s="29" t="str">
        <f t="shared" si="462"/>
        <v>#DIV/0!</v>
      </c>
      <c r="BM459" s="29" t="str">
        <f t="shared" si="3"/>
        <v>#DIV/0!</v>
      </c>
    </row>
    <row r="460">
      <c r="A460" s="16" t="str">
        <f>IFERROR(__xludf.DUMMYFUNCTION("IFERROR(SPARKLINE(SORT(MAP(TRANSPOSE(AQ460:BL460), LAMBDA(val, IF(ISNUMBER(val), PERCENTRANK(AQ460:BL460, val)+0.01, 0))), SEQUENCE(COLUMNS(AQ460:BL460)), FALSE), {""charttype"",""column""; ""color"",""chartreuse""; ""ymin"", 0; ""ymax"", 1.01; ""highcolo"&amp;"r"", ""darkgreen""; ""lowcolor"", ""red""}), """")"),"")</f>
        <v/>
      </c>
      <c r="B460" s="17" t="str">
        <f t="shared" si="4"/>
        <v/>
      </c>
      <c r="C460" s="1" t="s">
        <v>2116</v>
      </c>
      <c r="D460" s="34" t="str">
        <f>IFERROR(__xludf.DUMMYFUNCTION("IFERROR(GOOGLEFINANCE(C460, ""NAME""))"),"Avidbank Holdings Inc")</f>
        <v>Avidbank Holdings Inc</v>
      </c>
      <c r="E460" s="30" t="s">
        <v>268</v>
      </c>
      <c r="F460" s="33" t="str">
        <f>IFERROR(__xludf.DUMMYFUNCTION("( (GOOGLEFINANCE(C460, ""price"") - Q460) / Q460 ) / (R460 / 100)"),"Loading...")</f>
        <v>Loading...</v>
      </c>
      <c r="G460" s="20" t="str">
        <f>IFERROR(__xludf.DUMMYFUNCTION("AVERAGE(ARRAYFORMULA(100 * (QUERY(GOOGLEFINANCE(C460, ""high"", TODAY()-40, TODAY()), ""SELECT Col2 WHERE Col2 IS NOT NULL ORDER BY Col1 DESC LIMIT 20"", 0) / QUERY(GOOGLEFINANCE(C460, ""low"", TODAY()-40, TODAY()), ""SELECT Col2 WHERE Col2 IS NOT NULL OR"&amp;"DER BY Col1 DESC LIMIT 20"", 0) - 1)))"),"#N/A")</f>
        <v>#N/A</v>
      </c>
      <c r="H460" s="35" t="str">
        <f t="shared" si="6"/>
        <v/>
      </c>
      <c r="I460" s="36" t="str">
        <f t="shared" si="7"/>
        <v/>
      </c>
      <c r="J460" s="37" t="str">
        <f>IFERROR(__xludf.DUMMYFUNCTION("IFERROR(
  IF(C460="""",, 
    IFERROR(
      GOOGLEFINANCE(C460, ""price"") * GOOGLEFINANCE(C460, ""volumeavg""), 
      GOOGLEFINANCE(C460, ""price"") * AVERAGE(QUERY(GOOGLEFINANCE(C460, ""volume"", TODAY()-40, TODAY()), ""SELECT Col2 WHERE Col2 IS NOT "&amp;"NULL ORDER BY Col1 DESC LIMIT 20"", 0))
    )
  ), 
"""")"),"")</f>
        <v/>
      </c>
      <c r="K460" s="21" t="str">
        <f>IFERROR(__xludf.DUMMYFUNCTION("IFERROR(GOOGLEFINANCE(C460, ""changepct"") / 100, """")"),"")</f>
        <v/>
      </c>
      <c r="L460" s="21" t="str">
        <f>IFERROR(__xludf.DUMMYFUNCTION("IFERROR((GOOGLEFINANCE(C460, ""price"") / INDEX(GOOGLEFINANCE(C460, ""price"", TODAY()-7, TODAY()), 2, 2)) - 1, """")"),"")</f>
        <v/>
      </c>
      <c r="M460" s="21" t="str">
        <f>IFERROR(__xludf.DUMMYFUNCTION("IFERROR((GOOGLEFINANCE(C460, ""price"") / INDEX(GOOGLEFINANCE(C460, ""price"", EDATE(TODAY(), -1), TODAY()), 2, 2)) - 1, """")"),"")</f>
        <v/>
      </c>
      <c r="N460" s="21" t="str">
        <f>IFERROR(__xludf.DUMMYFUNCTION("IFERROR((GOOGLEFINANCE(C460, ""price"") / INDEX(GOOGLEFINANCE(C460, ""price"", EDATE(TODAY(), -3), TODAY()), 2, 2)) - 1, """")"),"")</f>
        <v/>
      </c>
      <c r="O460" s="21" t="str">
        <f>IFERROR(__xludf.DUMMYFUNCTION("IFERROR((GOOGLEFINANCE(C460, ""price"") / INDEX(GOOGLEFINANCE(C460, ""price"", EDATE(TODAY(), -6), TODAY()), 2, 2)) - 1, """")"),"")</f>
        <v/>
      </c>
      <c r="P460" s="21" t="str">
        <f>IFERROR(__xludf.DUMMYFUNCTION("IFERROR((GOOGLEFINANCE(C460, ""price"") / INDEX(GOOGLEFINANCE(C460, ""price"", EDATE(TODAY(), -12), TODAY()), 2, 2)) - 1, """")"),"")</f>
        <v/>
      </c>
      <c r="Q460" s="6" t="str">
        <f>IFERROR(__xludf.DUMMYFUNCTION("AVERAGE(QUERY(GOOGLEFINANCE(C460, ""price"", TODAY()-80, TODAY()), ""SELECT Col2 WHERE Col2 IS NOT NULL ORDER BY Col1 DESC LIMIT 50"", 0))"),"#N/A")</f>
        <v>#N/A</v>
      </c>
      <c r="R460" s="24" t="str">
        <f>IFERROR(__xludf.DUMMYFUNCTION("IFERROR(
  LET(
    data, QUERY(GOOGLEFINANCE(C460,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GOOGLEFINANCE(C460, ""price"")) * 100,
    IF(calc=0, G460, calc)
  ), 
G460)"),"#N/A")</f>
        <v>#N/A</v>
      </c>
      <c r="S460" s="8" t="s">
        <v>15</v>
      </c>
      <c r="T460" s="26" t="str">
        <f>IFERROR(__xludf.DUMMYFUNCTION("IFERROR(TRANSPOSE(QUERY(IFERROR(SORT(GOOGLEFINANCE(C460, ""price"", WORKDAY(TODAY(), -40), TODAY()), 1, FALSE)), ""select Col2 where Col2 is not null limit 22 label Col2 ''"", 0)), """")"),"")</f>
        <v/>
      </c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8"/>
      <c r="AO460" s="28"/>
      <c r="AP460" s="29"/>
      <c r="AQ460" s="29" t="str">
        <f t="shared" ref="AQ460:BL460" si="463">T460/T$2</f>
        <v>#N/A</v>
      </c>
      <c r="AR460" s="29" t="str">
        <f t="shared" si="463"/>
        <v>#DIV/0!</v>
      </c>
      <c r="AS460" s="29" t="str">
        <f t="shared" si="463"/>
        <v>#DIV/0!</v>
      </c>
      <c r="AT460" s="29" t="str">
        <f t="shared" si="463"/>
        <v>#DIV/0!</v>
      </c>
      <c r="AU460" s="29" t="str">
        <f t="shared" si="463"/>
        <v>#DIV/0!</v>
      </c>
      <c r="AV460" s="29" t="str">
        <f t="shared" si="463"/>
        <v>#DIV/0!</v>
      </c>
      <c r="AW460" s="29" t="str">
        <f t="shared" si="463"/>
        <v>#DIV/0!</v>
      </c>
      <c r="AX460" s="29" t="str">
        <f t="shared" si="463"/>
        <v>#DIV/0!</v>
      </c>
      <c r="AY460" s="29" t="str">
        <f t="shared" si="463"/>
        <v>#DIV/0!</v>
      </c>
      <c r="AZ460" s="29" t="str">
        <f t="shared" si="463"/>
        <v>#DIV/0!</v>
      </c>
      <c r="BA460" s="29" t="str">
        <f t="shared" si="463"/>
        <v>#DIV/0!</v>
      </c>
      <c r="BB460" s="29" t="str">
        <f t="shared" si="463"/>
        <v>#DIV/0!</v>
      </c>
      <c r="BC460" s="29" t="str">
        <f t="shared" si="463"/>
        <v>#DIV/0!</v>
      </c>
      <c r="BD460" s="29" t="str">
        <f t="shared" si="463"/>
        <v>#DIV/0!</v>
      </c>
      <c r="BE460" s="29" t="str">
        <f t="shared" si="463"/>
        <v>#DIV/0!</v>
      </c>
      <c r="BF460" s="29" t="str">
        <f t="shared" si="463"/>
        <v>#DIV/0!</v>
      </c>
      <c r="BG460" s="29" t="str">
        <f t="shared" si="463"/>
        <v>#DIV/0!</v>
      </c>
      <c r="BH460" s="29" t="str">
        <f t="shared" si="463"/>
        <v>#DIV/0!</v>
      </c>
      <c r="BI460" s="29" t="str">
        <f t="shared" si="463"/>
        <v>#DIV/0!</v>
      </c>
      <c r="BJ460" s="29" t="str">
        <f t="shared" si="463"/>
        <v>#DIV/0!</v>
      </c>
      <c r="BK460" s="29" t="str">
        <f t="shared" si="463"/>
        <v>#DIV/0!</v>
      </c>
      <c r="BL460" s="29" t="str">
        <f t="shared" si="463"/>
        <v>#DIV/0!</v>
      </c>
      <c r="BM460" s="29" t="str">
        <f t="shared" si="3"/>
        <v>#DIV/0!</v>
      </c>
    </row>
    <row r="461">
      <c r="A461" s="16" t="str">
        <f>IFERROR(__xludf.DUMMYFUNCTION("IFERROR(SPARKLINE(SORT(MAP(TRANSPOSE(AQ461:BL461), LAMBDA(val, IF(ISNUMBER(val), PERCENTRANK(AQ461:BL461, val)+0.01, 0))), SEQUENCE(COLUMNS(AQ461:BL461)), FALSE), {""charttype"",""column""; ""color"",""chartreuse""; ""ymin"", 0; ""ymax"", 1.01; ""highcolo"&amp;"r"", ""darkgreen""; ""lowcolor"", ""red""}), """")"),"")</f>
        <v/>
      </c>
      <c r="B461" s="17" t="str">
        <f t="shared" si="4"/>
        <v/>
      </c>
      <c r="C461" s="1" t="s">
        <v>2121</v>
      </c>
      <c r="D461" s="34" t="str">
        <f>IFERROR(__xludf.DUMMYFUNCTION("IFERROR(GOOGLEFINANCE(C461, ""NAME""))"),"Banc of California Inc")</f>
        <v>Banc of California Inc</v>
      </c>
      <c r="E461" s="30" t="s">
        <v>268</v>
      </c>
      <c r="F461" s="33" t="str">
        <f>IFERROR(__xludf.DUMMYFUNCTION("( (GOOGLEFINANCE(C461, ""price"") - Q461) / Q461 ) / (R461 / 100)"),"Loading...")</f>
        <v>Loading...</v>
      </c>
      <c r="G461" s="20" t="str">
        <f>IFERROR(__xludf.DUMMYFUNCTION("AVERAGE(ARRAYFORMULA(100 * (QUERY(GOOGLEFINANCE(C461, ""high"", TODAY()-40, TODAY()), ""SELECT Col2 WHERE Col2 IS NOT NULL ORDER BY Col1 DESC LIMIT 20"", 0) / QUERY(GOOGLEFINANCE(C461, ""low"", TODAY()-40, TODAY()), ""SELECT Col2 WHERE Col2 IS NOT NULL OR"&amp;"DER BY Col1 DESC LIMIT 20"", 0) - 1)))"),"#N/A")</f>
        <v>#N/A</v>
      </c>
      <c r="H461" s="35" t="str">
        <f t="shared" si="6"/>
        <v/>
      </c>
      <c r="I461" s="36" t="str">
        <f t="shared" si="7"/>
        <v/>
      </c>
      <c r="J461" s="37" t="str">
        <f>IFERROR(__xludf.DUMMYFUNCTION("IFERROR(
  IF(C461="""",, 
    IFERROR(
      GOOGLEFINANCE(C461, ""price"") * GOOGLEFINANCE(C461, ""volumeavg""), 
      GOOGLEFINANCE(C461, ""price"") * AVERAGE(QUERY(GOOGLEFINANCE(C461, ""volume"", TODAY()-40, TODAY()), ""SELECT Col2 WHERE Col2 IS NOT "&amp;"NULL ORDER BY Col1 DESC LIMIT 20"", 0))
    )
  ), 
"""")"),"")</f>
        <v/>
      </c>
      <c r="K461" s="21" t="str">
        <f>IFERROR(__xludf.DUMMYFUNCTION("IFERROR(GOOGLEFINANCE(C461, ""changepct"") / 100, """")"),"")</f>
        <v/>
      </c>
      <c r="L461" s="21" t="str">
        <f>IFERROR(__xludf.DUMMYFUNCTION("IFERROR((GOOGLEFINANCE(C461, ""price"") / INDEX(GOOGLEFINANCE(C461, ""price"", TODAY()-7, TODAY()), 2, 2)) - 1, """")"),"")</f>
        <v/>
      </c>
      <c r="M461" s="21" t="str">
        <f>IFERROR(__xludf.DUMMYFUNCTION("IFERROR((GOOGLEFINANCE(C461, ""price"") / INDEX(GOOGLEFINANCE(C461, ""price"", EDATE(TODAY(), -1), TODAY()), 2, 2)) - 1, """")"),"")</f>
        <v/>
      </c>
      <c r="N461" s="21" t="str">
        <f>IFERROR(__xludf.DUMMYFUNCTION("IFERROR((GOOGLEFINANCE(C461, ""price"") / INDEX(GOOGLEFINANCE(C461, ""price"", EDATE(TODAY(), -3), TODAY()), 2, 2)) - 1, """")"),"")</f>
        <v/>
      </c>
      <c r="O461" s="21" t="str">
        <f>IFERROR(__xludf.DUMMYFUNCTION("IFERROR((GOOGLEFINANCE(C461, ""price"") / INDEX(GOOGLEFINANCE(C461, ""price"", EDATE(TODAY(), -6), TODAY()), 2, 2)) - 1, """")"),"")</f>
        <v/>
      </c>
      <c r="P461" s="21" t="str">
        <f>IFERROR(__xludf.DUMMYFUNCTION("IFERROR((GOOGLEFINANCE(C461, ""price"") / INDEX(GOOGLEFINANCE(C461, ""price"", EDATE(TODAY(), -12), TODAY()), 2, 2)) - 1, """")"),"")</f>
        <v/>
      </c>
      <c r="Q461" s="6" t="str">
        <f>IFERROR(__xludf.DUMMYFUNCTION("AVERAGE(QUERY(GOOGLEFINANCE(C461, ""price"", TODAY()-80, TODAY()), ""SELECT Col2 WHERE Col2 IS NOT NULL ORDER BY Col1 DESC LIMIT 50"", 0))"),"#N/A")</f>
        <v>#N/A</v>
      </c>
      <c r="R461" s="24" t="str">
        <f>IFERROR(__xludf.DUMMYFUNCTION("IFERROR(
  LET(
    data, QUERY(GOOGLEFINANCE(C461,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GOOGLEFINANCE(C461, ""price"")) * 100,
    IF(calc=0, G461, calc)
  ), 
G461)"),"#N/A")</f>
        <v>#N/A</v>
      </c>
      <c r="S461" s="8" t="s">
        <v>15</v>
      </c>
      <c r="T461" s="26" t="str">
        <f>IFERROR(__xludf.DUMMYFUNCTION("IFERROR(TRANSPOSE(QUERY(IFERROR(SORT(GOOGLEFINANCE(C461, ""price"", WORKDAY(TODAY(), -40), TODAY()), 1, FALSE)), ""select Col2 where Col2 is not null limit 22 label Col2 ''"", 0)), """")"),"")</f>
        <v/>
      </c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8"/>
      <c r="AO461" s="28"/>
      <c r="AP461" s="29"/>
      <c r="AQ461" s="29" t="str">
        <f t="shared" ref="AQ461:BL461" si="464">T461/T$2</f>
        <v>#N/A</v>
      </c>
      <c r="AR461" s="29" t="str">
        <f t="shared" si="464"/>
        <v>#DIV/0!</v>
      </c>
      <c r="AS461" s="29" t="str">
        <f t="shared" si="464"/>
        <v>#DIV/0!</v>
      </c>
      <c r="AT461" s="29" t="str">
        <f t="shared" si="464"/>
        <v>#DIV/0!</v>
      </c>
      <c r="AU461" s="29" t="str">
        <f t="shared" si="464"/>
        <v>#DIV/0!</v>
      </c>
      <c r="AV461" s="29" t="str">
        <f t="shared" si="464"/>
        <v>#DIV/0!</v>
      </c>
      <c r="AW461" s="29" t="str">
        <f t="shared" si="464"/>
        <v>#DIV/0!</v>
      </c>
      <c r="AX461" s="29" t="str">
        <f t="shared" si="464"/>
        <v>#DIV/0!</v>
      </c>
      <c r="AY461" s="29" t="str">
        <f t="shared" si="464"/>
        <v>#DIV/0!</v>
      </c>
      <c r="AZ461" s="29" t="str">
        <f t="shared" si="464"/>
        <v>#DIV/0!</v>
      </c>
      <c r="BA461" s="29" t="str">
        <f t="shared" si="464"/>
        <v>#DIV/0!</v>
      </c>
      <c r="BB461" s="29" t="str">
        <f t="shared" si="464"/>
        <v>#DIV/0!</v>
      </c>
      <c r="BC461" s="29" t="str">
        <f t="shared" si="464"/>
        <v>#DIV/0!</v>
      </c>
      <c r="BD461" s="29" t="str">
        <f t="shared" si="464"/>
        <v>#DIV/0!</v>
      </c>
      <c r="BE461" s="29" t="str">
        <f t="shared" si="464"/>
        <v>#DIV/0!</v>
      </c>
      <c r="BF461" s="29" t="str">
        <f t="shared" si="464"/>
        <v>#DIV/0!</v>
      </c>
      <c r="BG461" s="29" t="str">
        <f t="shared" si="464"/>
        <v>#DIV/0!</v>
      </c>
      <c r="BH461" s="29" t="str">
        <f t="shared" si="464"/>
        <v>#DIV/0!</v>
      </c>
      <c r="BI461" s="29" t="str">
        <f t="shared" si="464"/>
        <v>#DIV/0!</v>
      </c>
      <c r="BJ461" s="29" t="str">
        <f t="shared" si="464"/>
        <v>#DIV/0!</v>
      </c>
      <c r="BK461" s="29" t="str">
        <f t="shared" si="464"/>
        <v>#DIV/0!</v>
      </c>
      <c r="BL461" s="29" t="str">
        <f t="shared" si="464"/>
        <v>#DIV/0!</v>
      </c>
      <c r="BM461" s="29" t="str">
        <f t="shared" si="3"/>
        <v>#DIV/0!</v>
      </c>
    </row>
    <row r="462">
      <c r="A462" s="16" t="str">
        <f>IFERROR(__xludf.DUMMYFUNCTION("IFERROR(SPARKLINE(SORT(MAP(TRANSPOSE(AQ462:BL462), LAMBDA(val, IF(ISNUMBER(val), PERCENTRANK(AQ462:BL462, val)+0.01, 0))), SEQUENCE(COLUMNS(AQ462:BL462)), FALSE), {""charttype"",""column""; ""color"",""chartreuse""; ""ymin"", 0; ""ymax"", 1.01; ""highcolo"&amp;"r"", ""darkgreen""; ""lowcolor"", ""red""}), """")"),"")</f>
        <v/>
      </c>
      <c r="B462" s="17" t="str">
        <f t="shared" si="4"/>
        <v/>
      </c>
      <c r="C462" s="1" t="s">
        <v>2125</v>
      </c>
      <c r="D462" s="34" t="str">
        <f>IFERROR(__xludf.DUMMYFUNCTION("IFERROR(GOOGLEFINANCE(C462, ""NAME""))"),"BankUnited Inc")</f>
        <v>BankUnited Inc</v>
      </c>
      <c r="E462" s="30" t="s">
        <v>268</v>
      </c>
      <c r="F462" s="38" t="str">
        <f>IFERROR(__xludf.DUMMYFUNCTION("( (GOOGLEFINANCE(C462, ""price"") - Q462) / Q462 ) / (R462 / 100)"),"Loading...")</f>
        <v>Loading...</v>
      </c>
      <c r="G462" s="20" t="str">
        <f>IFERROR(__xludf.DUMMYFUNCTION("AVERAGE(ARRAYFORMULA(100 * (QUERY(GOOGLEFINANCE(C462, ""high"", TODAY()-40, TODAY()), ""SELECT Col2 WHERE Col2 IS NOT NULL ORDER BY Col1 DESC LIMIT 20"", 0) / QUERY(GOOGLEFINANCE(C462, ""low"", TODAY()-40, TODAY()), ""SELECT Col2 WHERE Col2 IS NOT NULL OR"&amp;"DER BY Col1 DESC LIMIT 20"", 0) - 1)))"),"#N/A")</f>
        <v>#N/A</v>
      </c>
      <c r="H462" s="35" t="str">
        <f t="shared" si="6"/>
        <v/>
      </c>
      <c r="I462" s="36" t="str">
        <f t="shared" si="7"/>
        <v/>
      </c>
      <c r="J462" s="37" t="str">
        <f>IFERROR(__xludf.DUMMYFUNCTION("IFERROR(
  IF(C462="""",, 
    IFERROR(
      GOOGLEFINANCE(C462, ""price"") * GOOGLEFINANCE(C462, ""volumeavg""), 
      GOOGLEFINANCE(C462, ""price"") * AVERAGE(QUERY(GOOGLEFINANCE(C462, ""volume"", TODAY()-40, TODAY()), ""SELECT Col2 WHERE Col2 IS NOT "&amp;"NULL ORDER BY Col1 DESC LIMIT 20"", 0))
    )
  ), 
"""")"),"")</f>
        <v/>
      </c>
      <c r="K462" s="21" t="str">
        <f>IFERROR(__xludf.DUMMYFUNCTION("IFERROR(GOOGLEFINANCE(C462, ""changepct"") / 100, """")"),"")</f>
        <v/>
      </c>
      <c r="L462" s="21" t="str">
        <f>IFERROR(__xludf.DUMMYFUNCTION("IFERROR((GOOGLEFINANCE(C462, ""price"") / INDEX(GOOGLEFINANCE(C462, ""price"", TODAY()-7, TODAY()), 2, 2)) - 1, """")"),"")</f>
        <v/>
      </c>
      <c r="M462" s="21" t="str">
        <f>IFERROR(__xludf.DUMMYFUNCTION("IFERROR((GOOGLEFINANCE(C462, ""price"") / INDEX(GOOGLEFINANCE(C462, ""price"", EDATE(TODAY(), -1), TODAY()), 2, 2)) - 1, """")"),"")</f>
        <v/>
      </c>
      <c r="N462" s="21" t="str">
        <f>IFERROR(__xludf.DUMMYFUNCTION("IFERROR((GOOGLEFINANCE(C462, ""price"") / INDEX(GOOGLEFINANCE(C462, ""price"", EDATE(TODAY(), -3), TODAY()), 2, 2)) - 1, """")"),"")</f>
        <v/>
      </c>
      <c r="O462" s="21" t="str">
        <f>IFERROR(__xludf.DUMMYFUNCTION("IFERROR((GOOGLEFINANCE(C462, ""price"") / INDEX(GOOGLEFINANCE(C462, ""price"", EDATE(TODAY(), -6), TODAY()), 2, 2)) - 1, """")"),"")</f>
        <v/>
      </c>
      <c r="P462" s="21" t="str">
        <f>IFERROR(__xludf.DUMMYFUNCTION("IFERROR((GOOGLEFINANCE(C462, ""price"") / INDEX(GOOGLEFINANCE(C462, ""price"", EDATE(TODAY(), -12), TODAY()), 2, 2)) - 1, """")"),"")</f>
        <v/>
      </c>
      <c r="Q462" s="6" t="str">
        <f>IFERROR(__xludf.DUMMYFUNCTION("AVERAGE(QUERY(GOOGLEFINANCE(C462, ""price"", TODAY()-80, TODAY()), ""SELECT Col2 WHERE Col2 IS NOT NULL ORDER BY Col1 DESC LIMIT 50"", 0))"),"#N/A")</f>
        <v>#N/A</v>
      </c>
      <c r="R462" s="24" t="str">
        <f>IFERROR(__xludf.DUMMYFUNCTION("IFERROR(
  LET(
    data, QUERY(GOOGLEFINANCE(C462,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GOOGLEFINANCE(C462, ""price"")) * 100,
    IF(calc=0, G462, calc)
  ), 
G462)"),"#N/A")</f>
        <v>#N/A</v>
      </c>
      <c r="S462" s="8" t="s">
        <v>15</v>
      </c>
      <c r="T462" s="26" t="str">
        <f>IFERROR(__xludf.DUMMYFUNCTION("IFERROR(TRANSPOSE(QUERY(IFERROR(SORT(GOOGLEFINANCE(C462, ""price"", WORKDAY(TODAY(), -40), TODAY()), 1, FALSE)), ""select Col2 where Col2 is not null limit 22 label Col2 ''"", 0)), """")"),"")</f>
        <v/>
      </c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8"/>
      <c r="AO462" s="28"/>
      <c r="AP462" s="29"/>
      <c r="AQ462" s="29" t="str">
        <f t="shared" ref="AQ462:BL462" si="465">T462/T$2</f>
        <v>#N/A</v>
      </c>
      <c r="AR462" s="29" t="str">
        <f t="shared" si="465"/>
        <v>#DIV/0!</v>
      </c>
      <c r="AS462" s="29" t="str">
        <f t="shared" si="465"/>
        <v>#DIV/0!</v>
      </c>
      <c r="AT462" s="29" t="str">
        <f t="shared" si="465"/>
        <v>#DIV/0!</v>
      </c>
      <c r="AU462" s="29" t="str">
        <f t="shared" si="465"/>
        <v>#DIV/0!</v>
      </c>
      <c r="AV462" s="29" t="str">
        <f t="shared" si="465"/>
        <v>#DIV/0!</v>
      </c>
      <c r="AW462" s="29" t="str">
        <f t="shared" si="465"/>
        <v>#DIV/0!</v>
      </c>
      <c r="AX462" s="29" t="str">
        <f t="shared" si="465"/>
        <v>#DIV/0!</v>
      </c>
      <c r="AY462" s="29" t="str">
        <f t="shared" si="465"/>
        <v>#DIV/0!</v>
      </c>
      <c r="AZ462" s="29" t="str">
        <f t="shared" si="465"/>
        <v>#DIV/0!</v>
      </c>
      <c r="BA462" s="29" t="str">
        <f t="shared" si="465"/>
        <v>#DIV/0!</v>
      </c>
      <c r="BB462" s="29" t="str">
        <f t="shared" si="465"/>
        <v>#DIV/0!</v>
      </c>
      <c r="BC462" s="29" t="str">
        <f t="shared" si="465"/>
        <v>#DIV/0!</v>
      </c>
      <c r="BD462" s="29" t="str">
        <f t="shared" si="465"/>
        <v>#DIV/0!</v>
      </c>
      <c r="BE462" s="29" t="str">
        <f t="shared" si="465"/>
        <v>#DIV/0!</v>
      </c>
      <c r="BF462" s="29" t="str">
        <f t="shared" si="465"/>
        <v>#DIV/0!</v>
      </c>
      <c r="BG462" s="29" t="str">
        <f t="shared" si="465"/>
        <v>#DIV/0!</v>
      </c>
      <c r="BH462" s="29" t="str">
        <f t="shared" si="465"/>
        <v>#DIV/0!</v>
      </c>
      <c r="BI462" s="29" t="str">
        <f t="shared" si="465"/>
        <v>#DIV/0!</v>
      </c>
      <c r="BJ462" s="29" t="str">
        <f t="shared" si="465"/>
        <v>#DIV/0!</v>
      </c>
      <c r="BK462" s="29" t="str">
        <f t="shared" si="465"/>
        <v>#DIV/0!</v>
      </c>
      <c r="BL462" s="29" t="str">
        <f t="shared" si="465"/>
        <v>#DIV/0!</v>
      </c>
      <c r="BM462" s="29" t="str">
        <f t="shared" si="3"/>
        <v>#DIV/0!</v>
      </c>
    </row>
    <row r="463">
      <c r="A463" s="16" t="str">
        <f>IFERROR(__xludf.DUMMYFUNCTION("IFERROR(SPARKLINE(SORT(MAP(TRANSPOSE(AQ463:BL463), LAMBDA(val, IF(ISNUMBER(val), PERCENTRANK(AQ463:BL463, val)+0.01, 0))), SEQUENCE(COLUMNS(AQ463:BL463)), FALSE), {""charttype"",""column""; ""color"",""chartreuse""; ""ymin"", 0; ""ymax"", 1.01; ""highcolo"&amp;"r"", ""darkgreen""; ""lowcolor"", ""red""}), """")"),"")</f>
        <v/>
      </c>
      <c r="B463" s="17" t="str">
        <f t="shared" si="4"/>
        <v/>
      </c>
      <c r="C463" s="1" t="s">
        <v>2128</v>
      </c>
      <c r="D463" s="34" t="str">
        <f>IFERROR(__xludf.DUMMYFUNCTION("IFERROR(GOOGLEFINANCE(C463, ""NAME""))"),"Bank of Hawaii Corp")</f>
        <v>Bank of Hawaii Corp</v>
      </c>
      <c r="E463" s="30" t="s">
        <v>268</v>
      </c>
      <c r="F463" s="33" t="str">
        <f>IFERROR(__xludf.DUMMYFUNCTION("( (GOOGLEFINANCE(C463, ""price"") - Q463) / Q463 ) / (R463 / 100)"),"Loading...")</f>
        <v>Loading...</v>
      </c>
      <c r="G463" s="20" t="str">
        <f>IFERROR(__xludf.DUMMYFUNCTION("AVERAGE(ARRAYFORMULA(100 * (QUERY(GOOGLEFINANCE(C463, ""high"", TODAY()-40, TODAY()), ""SELECT Col2 WHERE Col2 IS NOT NULL ORDER BY Col1 DESC LIMIT 20"", 0) / QUERY(GOOGLEFINANCE(C463, ""low"", TODAY()-40, TODAY()), ""SELECT Col2 WHERE Col2 IS NOT NULL OR"&amp;"DER BY Col1 DESC LIMIT 20"", 0) - 1)))"),"#N/A")</f>
        <v>#N/A</v>
      </c>
      <c r="H463" s="35" t="str">
        <f t="shared" si="6"/>
        <v/>
      </c>
      <c r="I463" s="36" t="str">
        <f t="shared" si="7"/>
        <v/>
      </c>
      <c r="J463" s="37" t="str">
        <f>IFERROR(__xludf.DUMMYFUNCTION("IFERROR(
  IF(C463="""",, 
    IFERROR(
      GOOGLEFINANCE(C463, ""price"") * GOOGLEFINANCE(C463, ""volumeavg""), 
      GOOGLEFINANCE(C463, ""price"") * AVERAGE(QUERY(GOOGLEFINANCE(C463, ""volume"", TODAY()-40, TODAY()), ""SELECT Col2 WHERE Col2 IS NOT "&amp;"NULL ORDER BY Col1 DESC LIMIT 20"", 0))
    )
  ), 
"""")"),"")</f>
        <v/>
      </c>
      <c r="K463" s="21" t="str">
        <f>IFERROR(__xludf.DUMMYFUNCTION("IFERROR(GOOGLEFINANCE(C463, ""changepct"") / 100, """")"),"")</f>
        <v/>
      </c>
      <c r="L463" s="21" t="str">
        <f>IFERROR(__xludf.DUMMYFUNCTION("IFERROR((GOOGLEFINANCE(C463, ""price"") / INDEX(GOOGLEFINANCE(C463, ""price"", TODAY()-7, TODAY()), 2, 2)) - 1, """")"),"")</f>
        <v/>
      </c>
      <c r="M463" s="21" t="str">
        <f>IFERROR(__xludf.DUMMYFUNCTION("IFERROR((GOOGLEFINANCE(C463, ""price"") / INDEX(GOOGLEFINANCE(C463, ""price"", EDATE(TODAY(), -1), TODAY()), 2, 2)) - 1, """")"),"")</f>
        <v/>
      </c>
      <c r="N463" s="21" t="str">
        <f>IFERROR(__xludf.DUMMYFUNCTION("IFERROR((GOOGLEFINANCE(C463, ""price"") / INDEX(GOOGLEFINANCE(C463, ""price"", EDATE(TODAY(), -3), TODAY()), 2, 2)) - 1, """")"),"")</f>
        <v/>
      </c>
      <c r="O463" s="21" t="str">
        <f>IFERROR(__xludf.DUMMYFUNCTION("IFERROR((GOOGLEFINANCE(C463, ""price"") / INDEX(GOOGLEFINANCE(C463, ""price"", EDATE(TODAY(), -6), TODAY()), 2, 2)) - 1, """")"),"")</f>
        <v/>
      </c>
      <c r="P463" s="21" t="str">
        <f>IFERROR(__xludf.DUMMYFUNCTION("IFERROR((GOOGLEFINANCE(C463, ""price"") / INDEX(GOOGLEFINANCE(C463, ""price"", EDATE(TODAY(), -12), TODAY()), 2, 2)) - 1, """")"),"")</f>
        <v/>
      </c>
      <c r="Q463" s="6" t="str">
        <f>IFERROR(__xludf.DUMMYFUNCTION("AVERAGE(QUERY(GOOGLEFINANCE(C463, ""price"", TODAY()-80, TODAY()), ""SELECT Col2 WHERE Col2 IS NOT NULL ORDER BY Col1 DESC LIMIT 50"", 0))"),"#N/A")</f>
        <v>#N/A</v>
      </c>
      <c r="R463" s="24" t="str">
        <f>IFERROR(__xludf.DUMMYFUNCTION("IFERROR(
  LET(
    data, QUERY(GOOGLEFINANCE(C463,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GOOGLEFINANCE(C463, ""price"")) * 100,
    IF(calc=0, G463, calc)
  ), 
G463)"),"#N/A")</f>
        <v>#N/A</v>
      </c>
      <c r="S463" s="8" t="s">
        <v>15</v>
      </c>
      <c r="T463" s="26" t="str">
        <f>IFERROR(__xludf.DUMMYFUNCTION("IFERROR(TRANSPOSE(QUERY(IFERROR(SORT(GOOGLEFINANCE(C463, ""price"", WORKDAY(TODAY(), -40), TODAY()), 1, FALSE)), ""select Col2 where Col2 is not null limit 22 label Col2 ''"", 0)), """")"),"")</f>
        <v/>
      </c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8"/>
      <c r="AO463" s="28"/>
      <c r="AP463" s="29"/>
      <c r="AQ463" s="29" t="str">
        <f t="shared" ref="AQ463:BL463" si="466">T463/T$2</f>
        <v>#N/A</v>
      </c>
      <c r="AR463" s="29" t="str">
        <f t="shared" si="466"/>
        <v>#DIV/0!</v>
      </c>
      <c r="AS463" s="29" t="str">
        <f t="shared" si="466"/>
        <v>#DIV/0!</v>
      </c>
      <c r="AT463" s="29" t="str">
        <f t="shared" si="466"/>
        <v>#DIV/0!</v>
      </c>
      <c r="AU463" s="29" t="str">
        <f t="shared" si="466"/>
        <v>#DIV/0!</v>
      </c>
      <c r="AV463" s="29" t="str">
        <f t="shared" si="466"/>
        <v>#DIV/0!</v>
      </c>
      <c r="AW463" s="29" t="str">
        <f t="shared" si="466"/>
        <v>#DIV/0!</v>
      </c>
      <c r="AX463" s="29" t="str">
        <f t="shared" si="466"/>
        <v>#DIV/0!</v>
      </c>
      <c r="AY463" s="29" t="str">
        <f t="shared" si="466"/>
        <v>#DIV/0!</v>
      </c>
      <c r="AZ463" s="29" t="str">
        <f t="shared" si="466"/>
        <v>#DIV/0!</v>
      </c>
      <c r="BA463" s="29" t="str">
        <f t="shared" si="466"/>
        <v>#DIV/0!</v>
      </c>
      <c r="BB463" s="29" t="str">
        <f t="shared" si="466"/>
        <v>#DIV/0!</v>
      </c>
      <c r="BC463" s="29" t="str">
        <f t="shared" si="466"/>
        <v>#DIV/0!</v>
      </c>
      <c r="BD463" s="29" t="str">
        <f t="shared" si="466"/>
        <v>#DIV/0!</v>
      </c>
      <c r="BE463" s="29" t="str">
        <f t="shared" si="466"/>
        <v>#DIV/0!</v>
      </c>
      <c r="BF463" s="29" t="str">
        <f t="shared" si="466"/>
        <v>#DIV/0!</v>
      </c>
      <c r="BG463" s="29" t="str">
        <f t="shared" si="466"/>
        <v>#DIV/0!</v>
      </c>
      <c r="BH463" s="29" t="str">
        <f t="shared" si="466"/>
        <v>#DIV/0!</v>
      </c>
      <c r="BI463" s="29" t="str">
        <f t="shared" si="466"/>
        <v>#DIV/0!</v>
      </c>
      <c r="BJ463" s="29" t="str">
        <f t="shared" si="466"/>
        <v>#DIV/0!</v>
      </c>
      <c r="BK463" s="29" t="str">
        <f t="shared" si="466"/>
        <v>#DIV/0!</v>
      </c>
      <c r="BL463" s="29" t="str">
        <f t="shared" si="466"/>
        <v>#DIV/0!</v>
      </c>
      <c r="BM463" s="29" t="str">
        <f t="shared" si="3"/>
        <v>#DIV/0!</v>
      </c>
    </row>
    <row r="464">
      <c r="A464" s="16" t="str">
        <f>IFERROR(__xludf.DUMMYFUNCTION("IFERROR(SPARKLINE(SORT(MAP(TRANSPOSE(AQ464:BL464), LAMBDA(val, IF(ISNUMBER(val), PERCENTRANK(AQ464:BL464, val)+0.01, 0))), SEQUENCE(COLUMNS(AQ464:BL464)), FALSE), {""charttype"",""column""; ""color"",""chartreuse""; ""ymin"", 0; ""ymax"", 1.01; ""highcolo"&amp;"r"", ""darkgreen""; ""lowcolor"", ""red""}), """")"),"")</f>
        <v/>
      </c>
      <c r="B464" s="17" t="str">
        <f t="shared" si="4"/>
        <v/>
      </c>
      <c r="C464" s="1" t="s">
        <v>2133</v>
      </c>
      <c r="D464" s="34" t="str">
        <f>IFERROR(__xludf.DUMMYFUNCTION("IFERROR(GOOGLEFINANCE(C464, ""NAME""))"),"First Financial Bancorp")</f>
        <v>First Financial Bancorp</v>
      </c>
      <c r="E464" s="30" t="s">
        <v>268</v>
      </c>
      <c r="F464" s="33" t="str">
        <f>IFERROR(__xludf.DUMMYFUNCTION("( (GOOGLEFINANCE(C464, ""price"") - Q464) / Q464 ) / (R464 / 100)"),"Loading...")</f>
        <v>Loading...</v>
      </c>
      <c r="G464" s="20" t="str">
        <f>IFERROR(__xludf.DUMMYFUNCTION("AVERAGE(ARRAYFORMULA(100 * (QUERY(GOOGLEFINANCE(C464, ""high"", TODAY()-40, TODAY()), ""SELECT Col2 WHERE Col2 IS NOT NULL ORDER BY Col1 DESC LIMIT 20"", 0) / QUERY(GOOGLEFINANCE(C464, ""low"", TODAY()-40, TODAY()), ""SELECT Col2 WHERE Col2 IS NOT NULL OR"&amp;"DER BY Col1 DESC LIMIT 20"", 0) - 1)))"),"#N/A")</f>
        <v>#N/A</v>
      </c>
      <c r="H464" s="35" t="str">
        <f t="shared" si="6"/>
        <v/>
      </c>
      <c r="I464" s="36" t="str">
        <f t="shared" si="7"/>
        <v/>
      </c>
      <c r="J464" s="37" t="str">
        <f>IFERROR(__xludf.DUMMYFUNCTION("IFERROR(
  IF(C464="""",, 
    IFERROR(
      GOOGLEFINANCE(C464, ""price"") * GOOGLEFINANCE(C464, ""volumeavg""), 
      GOOGLEFINANCE(C464, ""price"") * AVERAGE(QUERY(GOOGLEFINANCE(C464, ""volume"", TODAY()-40, TODAY()), ""SELECT Col2 WHERE Col2 IS NOT "&amp;"NULL ORDER BY Col1 DESC LIMIT 20"", 0))
    )
  ), 
"""")"),"")</f>
        <v/>
      </c>
      <c r="K464" s="21" t="str">
        <f>IFERROR(__xludf.DUMMYFUNCTION("IFERROR(GOOGLEFINANCE(C464, ""changepct"") / 100, """")"),"")</f>
        <v/>
      </c>
      <c r="L464" s="21" t="str">
        <f>IFERROR(__xludf.DUMMYFUNCTION("IFERROR((GOOGLEFINANCE(C464, ""price"") / INDEX(GOOGLEFINANCE(C464, ""price"", TODAY()-7, TODAY()), 2, 2)) - 1, """")"),"")</f>
        <v/>
      </c>
      <c r="M464" s="21" t="str">
        <f>IFERROR(__xludf.DUMMYFUNCTION("IFERROR((GOOGLEFINANCE(C464, ""price"") / INDEX(GOOGLEFINANCE(C464, ""price"", EDATE(TODAY(), -1), TODAY()), 2, 2)) - 1, """")"),"")</f>
        <v/>
      </c>
      <c r="N464" s="21" t="str">
        <f>IFERROR(__xludf.DUMMYFUNCTION("IFERROR((GOOGLEFINANCE(C464, ""price"") / INDEX(GOOGLEFINANCE(C464, ""price"", EDATE(TODAY(), -3), TODAY()), 2, 2)) - 1, """")"),"")</f>
        <v/>
      </c>
      <c r="O464" s="21" t="str">
        <f>IFERROR(__xludf.DUMMYFUNCTION("IFERROR((GOOGLEFINANCE(C464, ""price"") / INDEX(GOOGLEFINANCE(C464, ""price"", EDATE(TODAY(), -6), TODAY()), 2, 2)) - 1, """")"),"")</f>
        <v/>
      </c>
      <c r="P464" s="21" t="str">
        <f>IFERROR(__xludf.DUMMYFUNCTION("IFERROR((GOOGLEFINANCE(C464, ""price"") / INDEX(GOOGLEFINANCE(C464, ""price"", EDATE(TODAY(), -12), TODAY()), 2, 2)) - 1, """")"),"")</f>
        <v/>
      </c>
      <c r="Q464" s="6" t="str">
        <f>IFERROR(__xludf.DUMMYFUNCTION("AVERAGE(QUERY(GOOGLEFINANCE(C464, ""price"", TODAY()-80, TODAY()), ""SELECT Col2 WHERE Col2 IS NOT NULL ORDER BY Col1 DESC LIMIT 50"", 0))"),"#N/A")</f>
        <v>#N/A</v>
      </c>
      <c r="R464" s="24" t="str">
        <f>IFERROR(__xludf.DUMMYFUNCTION("IFERROR(
  LET(
    data, QUERY(GOOGLEFINANCE(C464,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GOOGLEFINANCE(C464, ""price"")) * 100,
    IF(calc=0, G464, calc)
  ), 
G464)"),"#N/A")</f>
        <v>#N/A</v>
      </c>
      <c r="S464" s="8" t="s">
        <v>15</v>
      </c>
      <c r="T464" s="26" t="str">
        <f>IFERROR(__xludf.DUMMYFUNCTION("IFERROR(TRANSPOSE(QUERY(IFERROR(SORT(GOOGLEFINANCE(C464, ""price"", WORKDAY(TODAY(), -40), TODAY()), 1, FALSE)), ""select Col2 where Col2 is not null limit 22 label Col2 ''"", 0)), """")"),"")</f>
        <v/>
      </c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8"/>
      <c r="AO464" s="28"/>
      <c r="AP464" s="29"/>
      <c r="AQ464" s="29" t="str">
        <f t="shared" ref="AQ464:BL464" si="467">T464/T$2</f>
        <v>#N/A</v>
      </c>
      <c r="AR464" s="29" t="str">
        <f t="shared" si="467"/>
        <v>#DIV/0!</v>
      </c>
      <c r="AS464" s="29" t="str">
        <f t="shared" si="467"/>
        <v>#DIV/0!</v>
      </c>
      <c r="AT464" s="29" t="str">
        <f t="shared" si="467"/>
        <v>#DIV/0!</v>
      </c>
      <c r="AU464" s="29" t="str">
        <f t="shared" si="467"/>
        <v>#DIV/0!</v>
      </c>
      <c r="AV464" s="29" t="str">
        <f t="shared" si="467"/>
        <v>#DIV/0!</v>
      </c>
      <c r="AW464" s="29" t="str">
        <f t="shared" si="467"/>
        <v>#DIV/0!</v>
      </c>
      <c r="AX464" s="29" t="str">
        <f t="shared" si="467"/>
        <v>#DIV/0!</v>
      </c>
      <c r="AY464" s="29" t="str">
        <f t="shared" si="467"/>
        <v>#DIV/0!</v>
      </c>
      <c r="AZ464" s="29" t="str">
        <f t="shared" si="467"/>
        <v>#DIV/0!</v>
      </c>
      <c r="BA464" s="29" t="str">
        <f t="shared" si="467"/>
        <v>#DIV/0!</v>
      </c>
      <c r="BB464" s="29" t="str">
        <f t="shared" si="467"/>
        <v>#DIV/0!</v>
      </c>
      <c r="BC464" s="29" t="str">
        <f t="shared" si="467"/>
        <v>#DIV/0!</v>
      </c>
      <c r="BD464" s="29" t="str">
        <f t="shared" si="467"/>
        <v>#DIV/0!</v>
      </c>
      <c r="BE464" s="29" t="str">
        <f t="shared" si="467"/>
        <v>#DIV/0!</v>
      </c>
      <c r="BF464" s="29" t="str">
        <f t="shared" si="467"/>
        <v>#DIV/0!</v>
      </c>
      <c r="BG464" s="29" t="str">
        <f t="shared" si="467"/>
        <v>#DIV/0!</v>
      </c>
      <c r="BH464" s="29" t="str">
        <f t="shared" si="467"/>
        <v>#DIV/0!</v>
      </c>
      <c r="BI464" s="29" t="str">
        <f t="shared" si="467"/>
        <v>#DIV/0!</v>
      </c>
      <c r="BJ464" s="29" t="str">
        <f t="shared" si="467"/>
        <v>#DIV/0!</v>
      </c>
      <c r="BK464" s="29" t="str">
        <f t="shared" si="467"/>
        <v>#DIV/0!</v>
      </c>
      <c r="BL464" s="29" t="str">
        <f t="shared" si="467"/>
        <v>#DIV/0!</v>
      </c>
      <c r="BM464" s="29" t="str">
        <f t="shared" si="3"/>
        <v>#DIV/0!</v>
      </c>
    </row>
    <row r="465">
      <c r="A465" s="16" t="str">
        <f>IFERROR(__xludf.DUMMYFUNCTION("IFERROR(SPARKLINE(SORT(MAP(TRANSPOSE(AQ465:BL465), LAMBDA(val, IF(ISNUMBER(val), PERCENTRANK(AQ465:BL465, val)+0.01, 0))), SEQUENCE(COLUMNS(AQ465:BL465)), FALSE), {""charttype"",""column""; ""color"",""chartreuse""; ""ymin"", 0; ""ymax"", 1.01; ""highcolo"&amp;"r"", ""darkgreen""; ""lowcolor"", ""red""}), """")"),"")</f>
        <v/>
      </c>
      <c r="B465" s="17" t="str">
        <f t="shared" si="4"/>
        <v/>
      </c>
      <c r="C465" s="1" t="s">
        <v>2137</v>
      </c>
      <c r="D465" s="34" t="str">
        <f>IFERROR(__xludf.DUMMYFUNCTION("IFERROR(GOOGLEFINANCE(C465, ""NAME""))"),"First Mid-Illinois Bancshares, Inc. Common Stock")</f>
        <v>First Mid-Illinois Bancshares, Inc. Common Stock</v>
      </c>
      <c r="E465" s="30" t="s">
        <v>268</v>
      </c>
      <c r="F465" s="33" t="str">
        <f>IFERROR(__xludf.DUMMYFUNCTION("( (GOOGLEFINANCE(C465, ""price"") - Q465) / Q465 ) / (R465 / 100)"),"Loading...")</f>
        <v>Loading...</v>
      </c>
      <c r="G465" s="20" t="str">
        <f>IFERROR(__xludf.DUMMYFUNCTION("AVERAGE(ARRAYFORMULA(100 * (QUERY(GOOGLEFINANCE(C465, ""high"", TODAY()-40, TODAY()), ""SELECT Col2 WHERE Col2 IS NOT NULL ORDER BY Col1 DESC LIMIT 20"", 0) / QUERY(GOOGLEFINANCE(C465, ""low"", TODAY()-40, TODAY()), ""SELECT Col2 WHERE Col2 IS NOT NULL OR"&amp;"DER BY Col1 DESC LIMIT 20"", 0) - 1)))"),"#N/A")</f>
        <v>#N/A</v>
      </c>
      <c r="H465" s="35" t="str">
        <f t="shared" si="6"/>
        <v/>
      </c>
      <c r="I465" s="36" t="str">
        <f t="shared" si="7"/>
        <v/>
      </c>
      <c r="J465" s="37" t="str">
        <f>IFERROR(__xludf.DUMMYFUNCTION("IFERROR(
  IF(C465="""",, 
    IFERROR(
      GOOGLEFINANCE(C465, ""price"") * GOOGLEFINANCE(C465, ""volumeavg""), 
      GOOGLEFINANCE(C465, ""price"") * AVERAGE(QUERY(GOOGLEFINANCE(C465, ""volume"", TODAY()-40, TODAY()), ""SELECT Col2 WHERE Col2 IS NOT "&amp;"NULL ORDER BY Col1 DESC LIMIT 20"", 0))
    )
  ), 
"""")"),"")</f>
        <v/>
      </c>
      <c r="K465" s="21" t="str">
        <f>IFERROR(__xludf.DUMMYFUNCTION("IFERROR(GOOGLEFINANCE(C465, ""changepct"") / 100, """")"),"")</f>
        <v/>
      </c>
      <c r="L465" s="21" t="str">
        <f>IFERROR(__xludf.DUMMYFUNCTION("IFERROR((GOOGLEFINANCE(C465, ""price"") / INDEX(GOOGLEFINANCE(C465, ""price"", TODAY()-7, TODAY()), 2, 2)) - 1, """")"),"")</f>
        <v/>
      </c>
      <c r="M465" s="21" t="str">
        <f>IFERROR(__xludf.DUMMYFUNCTION("IFERROR((GOOGLEFINANCE(C465, ""price"") / INDEX(GOOGLEFINANCE(C465, ""price"", EDATE(TODAY(), -1), TODAY()), 2, 2)) - 1, """")"),"")</f>
        <v/>
      </c>
      <c r="N465" s="21" t="str">
        <f>IFERROR(__xludf.DUMMYFUNCTION("IFERROR((GOOGLEFINANCE(C465, ""price"") / INDEX(GOOGLEFINANCE(C465, ""price"", EDATE(TODAY(), -3), TODAY()), 2, 2)) - 1, """")"),"")</f>
        <v/>
      </c>
      <c r="O465" s="21" t="str">
        <f>IFERROR(__xludf.DUMMYFUNCTION("IFERROR((GOOGLEFINANCE(C465, ""price"") / INDEX(GOOGLEFINANCE(C465, ""price"", EDATE(TODAY(), -6), TODAY()), 2, 2)) - 1, """")"),"")</f>
        <v/>
      </c>
      <c r="P465" s="21" t="str">
        <f>IFERROR(__xludf.DUMMYFUNCTION("IFERROR((GOOGLEFINANCE(C465, ""price"") / INDEX(GOOGLEFINANCE(C465, ""price"", EDATE(TODAY(), -12), TODAY()), 2, 2)) - 1, """")"),"")</f>
        <v/>
      </c>
      <c r="Q465" s="6" t="str">
        <f>IFERROR(__xludf.DUMMYFUNCTION("AVERAGE(QUERY(GOOGLEFINANCE(C465, ""price"", TODAY()-80, TODAY()), ""SELECT Col2 WHERE Col2 IS NOT NULL ORDER BY Col1 DESC LIMIT 50"", 0))"),"#N/A")</f>
        <v>#N/A</v>
      </c>
      <c r="R465" s="24" t="str">
        <f>IFERROR(__xludf.DUMMYFUNCTION("IFERROR(
  LET(
    data, QUERY(GOOGLEFINANCE(C465,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GOOGLEFINANCE(C465, ""price"")) * 100,
    IF(calc=0, G465, calc)
  ), 
G465)"),"#N/A")</f>
        <v>#N/A</v>
      </c>
      <c r="S465" s="8" t="s">
        <v>15</v>
      </c>
      <c r="T465" s="26" t="str">
        <f>IFERROR(__xludf.DUMMYFUNCTION("IFERROR(TRANSPOSE(QUERY(IFERROR(SORT(GOOGLEFINANCE(C465, ""price"", WORKDAY(TODAY(), -40), TODAY()), 1, FALSE)), ""select Col2 where Col2 is not null limit 22 label Col2 ''"", 0)), """")"),"")</f>
        <v/>
      </c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8"/>
      <c r="AO465" s="28"/>
      <c r="AP465" s="29"/>
      <c r="AQ465" s="29" t="str">
        <f t="shared" ref="AQ465:BL465" si="468">T465/T$2</f>
        <v>#N/A</v>
      </c>
      <c r="AR465" s="29" t="str">
        <f t="shared" si="468"/>
        <v>#DIV/0!</v>
      </c>
      <c r="AS465" s="29" t="str">
        <f t="shared" si="468"/>
        <v>#DIV/0!</v>
      </c>
      <c r="AT465" s="29" t="str">
        <f t="shared" si="468"/>
        <v>#DIV/0!</v>
      </c>
      <c r="AU465" s="29" t="str">
        <f t="shared" si="468"/>
        <v>#DIV/0!</v>
      </c>
      <c r="AV465" s="29" t="str">
        <f t="shared" si="468"/>
        <v>#DIV/0!</v>
      </c>
      <c r="AW465" s="29" t="str">
        <f t="shared" si="468"/>
        <v>#DIV/0!</v>
      </c>
      <c r="AX465" s="29" t="str">
        <f t="shared" si="468"/>
        <v>#DIV/0!</v>
      </c>
      <c r="AY465" s="29" t="str">
        <f t="shared" si="468"/>
        <v>#DIV/0!</v>
      </c>
      <c r="AZ465" s="29" t="str">
        <f t="shared" si="468"/>
        <v>#DIV/0!</v>
      </c>
      <c r="BA465" s="29" t="str">
        <f t="shared" si="468"/>
        <v>#DIV/0!</v>
      </c>
      <c r="BB465" s="29" t="str">
        <f t="shared" si="468"/>
        <v>#DIV/0!</v>
      </c>
      <c r="BC465" s="29" t="str">
        <f t="shared" si="468"/>
        <v>#DIV/0!</v>
      </c>
      <c r="BD465" s="29" t="str">
        <f t="shared" si="468"/>
        <v>#DIV/0!</v>
      </c>
      <c r="BE465" s="29" t="str">
        <f t="shared" si="468"/>
        <v>#DIV/0!</v>
      </c>
      <c r="BF465" s="29" t="str">
        <f t="shared" si="468"/>
        <v>#DIV/0!</v>
      </c>
      <c r="BG465" s="29" t="str">
        <f t="shared" si="468"/>
        <v>#DIV/0!</v>
      </c>
      <c r="BH465" s="29" t="str">
        <f t="shared" si="468"/>
        <v>#DIV/0!</v>
      </c>
      <c r="BI465" s="29" t="str">
        <f t="shared" si="468"/>
        <v>#DIV/0!</v>
      </c>
      <c r="BJ465" s="29" t="str">
        <f t="shared" si="468"/>
        <v>#DIV/0!</v>
      </c>
      <c r="BK465" s="29" t="str">
        <f t="shared" si="468"/>
        <v>#DIV/0!</v>
      </c>
      <c r="BL465" s="29" t="str">
        <f t="shared" si="468"/>
        <v>#DIV/0!</v>
      </c>
      <c r="BM465" s="29" t="str">
        <f t="shared" si="3"/>
        <v>#DIV/0!</v>
      </c>
    </row>
    <row r="466">
      <c r="A466" s="16" t="str">
        <f>IFERROR(__xludf.DUMMYFUNCTION("IFERROR(SPARKLINE(SORT(MAP(TRANSPOSE(AQ466:BL466), LAMBDA(val, IF(ISNUMBER(val), PERCENTRANK(AQ466:BL466, val)+0.01, 0))), SEQUENCE(COLUMNS(AQ466:BL466)), FALSE), {""charttype"",""column""; ""color"",""chartreuse""; ""ymin"", 0; ""ymax"", 1.01; ""highcolo"&amp;"r"", ""darkgreen""; ""lowcolor"", ""red""}), """")"),"")</f>
        <v/>
      </c>
      <c r="B466" s="17" t="str">
        <f t="shared" si="4"/>
        <v/>
      </c>
      <c r="C466" s="1" t="s">
        <v>2141</v>
      </c>
      <c r="D466" s="34" t="str">
        <f>IFERROR(__xludf.DUMMYFUNCTION("IFERROR(GOOGLEFINANCE(C466, ""NAME""))"),"Siriuspoint Ltd")</f>
        <v>Siriuspoint Ltd</v>
      </c>
      <c r="E466" s="30" t="s">
        <v>1409</v>
      </c>
      <c r="F466" s="38" t="str">
        <f>IFERROR(__xludf.DUMMYFUNCTION("( (GOOGLEFINANCE(C466, ""price"") - Q466) / Q466 ) / (R466 / 100)"),"Loading...")</f>
        <v>Loading...</v>
      </c>
      <c r="G466" s="20" t="str">
        <f>IFERROR(__xludf.DUMMYFUNCTION("AVERAGE(ARRAYFORMULA(100 * (QUERY(GOOGLEFINANCE(C466, ""high"", TODAY()-40, TODAY()), ""SELECT Col2 WHERE Col2 IS NOT NULL ORDER BY Col1 DESC LIMIT 20"", 0) / QUERY(GOOGLEFINANCE(C466, ""low"", TODAY()-40, TODAY()), ""SELECT Col2 WHERE Col2 IS NOT NULL OR"&amp;"DER BY Col1 DESC LIMIT 20"", 0) - 1)))"),"#N/A")</f>
        <v>#N/A</v>
      </c>
      <c r="H466" s="35" t="str">
        <f t="shared" si="6"/>
        <v/>
      </c>
      <c r="I466" s="36" t="str">
        <f t="shared" si="7"/>
        <v/>
      </c>
      <c r="J466" s="37" t="str">
        <f>IFERROR(__xludf.DUMMYFUNCTION("IFERROR(
  IF(C466="""",, 
    IFERROR(
      GOOGLEFINANCE(C466, ""price"") * GOOGLEFINANCE(C466, ""volumeavg""), 
      GOOGLEFINANCE(C466, ""price"") * AVERAGE(QUERY(GOOGLEFINANCE(C466, ""volume"", TODAY()-40, TODAY()), ""SELECT Col2 WHERE Col2 IS NOT "&amp;"NULL ORDER BY Col1 DESC LIMIT 20"", 0))
    )
  ), 
"""")"),"")</f>
        <v/>
      </c>
      <c r="K466" s="21" t="str">
        <f>IFERROR(__xludf.DUMMYFUNCTION("IFERROR(GOOGLEFINANCE(C466, ""changepct"") / 100, """")"),"")</f>
        <v/>
      </c>
      <c r="L466" s="21" t="str">
        <f>IFERROR(__xludf.DUMMYFUNCTION("IFERROR((GOOGLEFINANCE(C466, ""price"") / INDEX(GOOGLEFINANCE(C466, ""price"", TODAY()-7, TODAY()), 2, 2)) - 1, """")"),"")</f>
        <v/>
      </c>
      <c r="M466" s="21" t="str">
        <f>IFERROR(__xludf.DUMMYFUNCTION("IFERROR((GOOGLEFINANCE(C466, ""price"") / INDEX(GOOGLEFINANCE(C466, ""price"", EDATE(TODAY(), -1), TODAY()), 2, 2)) - 1, """")"),"")</f>
        <v/>
      </c>
      <c r="N466" s="21" t="str">
        <f>IFERROR(__xludf.DUMMYFUNCTION("IFERROR((GOOGLEFINANCE(C466, ""price"") / INDEX(GOOGLEFINANCE(C466, ""price"", EDATE(TODAY(), -3), TODAY()), 2, 2)) - 1, """")"),"")</f>
        <v/>
      </c>
      <c r="O466" s="21" t="str">
        <f>IFERROR(__xludf.DUMMYFUNCTION("IFERROR((GOOGLEFINANCE(C466, ""price"") / INDEX(GOOGLEFINANCE(C466, ""price"", EDATE(TODAY(), -6), TODAY()), 2, 2)) - 1, """")"),"")</f>
        <v/>
      </c>
      <c r="P466" s="21" t="str">
        <f>IFERROR(__xludf.DUMMYFUNCTION("IFERROR((GOOGLEFINANCE(C466, ""price"") / INDEX(GOOGLEFINANCE(C466, ""price"", EDATE(TODAY(), -12), TODAY()), 2, 2)) - 1, """")"),"")</f>
        <v/>
      </c>
      <c r="Q466" s="6" t="str">
        <f>IFERROR(__xludf.DUMMYFUNCTION("AVERAGE(QUERY(GOOGLEFINANCE(C466, ""price"", TODAY()-80, TODAY()), ""SELECT Col2 WHERE Col2 IS NOT NULL ORDER BY Col1 DESC LIMIT 50"", 0))"),"#N/A")</f>
        <v>#N/A</v>
      </c>
      <c r="R466" s="24" t="str">
        <f>IFERROR(__xludf.DUMMYFUNCTION("IFERROR(
  LET(
    data, QUERY(GOOGLEFINANCE(C466,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GOOGLEFINANCE(C466, ""price"")) * 100,
    IF(calc=0, G466, calc)
  ), 
G466)"),"#N/A")</f>
        <v>#N/A</v>
      </c>
      <c r="S466" s="8" t="s">
        <v>15</v>
      </c>
      <c r="T466" s="26" t="str">
        <f>IFERROR(__xludf.DUMMYFUNCTION("IFERROR(TRANSPOSE(QUERY(IFERROR(SORT(GOOGLEFINANCE(C466, ""price"", WORKDAY(TODAY(), -40), TODAY()), 1, FALSE)), ""select Col2 where Col2 is not null limit 22 label Col2 ''"", 0)), """")"),"")</f>
        <v/>
      </c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8"/>
      <c r="AO466" s="28"/>
      <c r="AP466" s="29"/>
      <c r="AQ466" s="29" t="str">
        <f t="shared" ref="AQ466:BL466" si="469">T466/T$2</f>
        <v>#N/A</v>
      </c>
      <c r="AR466" s="29" t="str">
        <f t="shared" si="469"/>
        <v>#DIV/0!</v>
      </c>
      <c r="AS466" s="29" t="str">
        <f t="shared" si="469"/>
        <v>#DIV/0!</v>
      </c>
      <c r="AT466" s="29" t="str">
        <f t="shared" si="469"/>
        <v>#DIV/0!</v>
      </c>
      <c r="AU466" s="29" t="str">
        <f t="shared" si="469"/>
        <v>#DIV/0!</v>
      </c>
      <c r="AV466" s="29" t="str">
        <f t="shared" si="469"/>
        <v>#DIV/0!</v>
      </c>
      <c r="AW466" s="29" t="str">
        <f t="shared" si="469"/>
        <v>#DIV/0!</v>
      </c>
      <c r="AX466" s="29" t="str">
        <f t="shared" si="469"/>
        <v>#DIV/0!</v>
      </c>
      <c r="AY466" s="29" t="str">
        <f t="shared" si="469"/>
        <v>#DIV/0!</v>
      </c>
      <c r="AZ466" s="29" t="str">
        <f t="shared" si="469"/>
        <v>#DIV/0!</v>
      </c>
      <c r="BA466" s="29" t="str">
        <f t="shared" si="469"/>
        <v>#DIV/0!</v>
      </c>
      <c r="BB466" s="29" t="str">
        <f t="shared" si="469"/>
        <v>#DIV/0!</v>
      </c>
      <c r="BC466" s="29" t="str">
        <f t="shared" si="469"/>
        <v>#DIV/0!</v>
      </c>
      <c r="BD466" s="29" t="str">
        <f t="shared" si="469"/>
        <v>#DIV/0!</v>
      </c>
      <c r="BE466" s="29" t="str">
        <f t="shared" si="469"/>
        <v>#DIV/0!</v>
      </c>
      <c r="BF466" s="29" t="str">
        <f t="shared" si="469"/>
        <v>#DIV/0!</v>
      </c>
      <c r="BG466" s="29" t="str">
        <f t="shared" si="469"/>
        <v>#DIV/0!</v>
      </c>
      <c r="BH466" s="29" t="str">
        <f t="shared" si="469"/>
        <v>#DIV/0!</v>
      </c>
      <c r="BI466" s="29" t="str">
        <f t="shared" si="469"/>
        <v>#DIV/0!</v>
      </c>
      <c r="BJ466" s="29" t="str">
        <f t="shared" si="469"/>
        <v>#DIV/0!</v>
      </c>
      <c r="BK466" s="29" t="str">
        <f t="shared" si="469"/>
        <v>#DIV/0!</v>
      </c>
      <c r="BL466" s="29" t="str">
        <f t="shared" si="469"/>
        <v>#DIV/0!</v>
      </c>
      <c r="BM466" s="29" t="str">
        <f t="shared" si="3"/>
        <v>#DIV/0!</v>
      </c>
    </row>
    <row r="467">
      <c r="A467" s="16" t="str">
        <f>IFERROR(__xludf.DUMMYFUNCTION("IFERROR(SPARKLINE(SORT(MAP(TRANSPOSE(AQ467:BL467), LAMBDA(val, IF(ISNUMBER(val), PERCENTRANK(AQ467:BL467, val)+0.01, 0))), SEQUENCE(COLUMNS(AQ467:BL467)), FALSE), {""charttype"",""column""; ""color"",""chartreuse""; ""ymin"", 0; ""ymax"", 1.01; ""highcolo"&amp;"r"", ""darkgreen""; ""lowcolor"", ""red""}), """")"),"")</f>
        <v/>
      </c>
      <c r="B467" s="17" t="str">
        <f t="shared" si="4"/>
        <v/>
      </c>
      <c r="C467" s="1" t="s">
        <v>2146</v>
      </c>
      <c r="D467" s="34" t="str">
        <f>IFERROR(__xludf.DUMMYFUNCTION("IFERROR(GOOGLEFINANCE(C467, ""NAME""))"),"First Community Bankshares Inc")</f>
        <v>First Community Bankshares Inc</v>
      </c>
      <c r="E467" s="30" t="s">
        <v>268</v>
      </c>
      <c r="F467" s="33" t="str">
        <f>IFERROR(__xludf.DUMMYFUNCTION("( (GOOGLEFINANCE(C467, ""price"") - Q467) / Q467 ) / (R467 / 100)"),"Loading...")</f>
        <v>Loading...</v>
      </c>
      <c r="G467" s="20" t="str">
        <f>IFERROR(__xludf.DUMMYFUNCTION("AVERAGE(ARRAYFORMULA(100 * (QUERY(GOOGLEFINANCE(C467, ""high"", TODAY()-40, TODAY()), ""SELECT Col2 WHERE Col2 IS NOT NULL ORDER BY Col1 DESC LIMIT 20"", 0) / QUERY(GOOGLEFINANCE(C467, ""low"", TODAY()-40, TODAY()), ""SELECT Col2 WHERE Col2 IS NOT NULL OR"&amp;"DER BY Col1 DESC LIMIT 20"", 0) - 1)))"),"#N/A")</f>
        <v>#N/A</v>
      </c>
      <c r="H467" s="35" t="str">
        <f t="shared" si="6"/>
        <v/>
      </c>
      <c r="I467" s="36" t="str">
        <f t="shared" si="7"/>
        <v/>
      </c>
      <c r="J467" s="37" t="str">
        <f>IFERROR(__xludf.DUMMYFUNCTION("IFERROR(
  IF(C467="""",, 
    IFERROR(
      GOOGLEFINANCE(C467, ""price"") * GOOGLEFINANCE(C467, ""volumeavg""), 
      GOOGLEFINANCE(C467, ""price"") * AVERAGE(QUERY(GOOGLEFINANCE(C467, ""volume"", TODAY()-40, TODAY()), ""SELECT Col2 WHERE Col2 IS NOT "&amp;"NULL ORDER BY Col1 DESC LIMIT 20"", 0))
    )
  ), 
"""")"),"")</f>
        <v/>
      </c>
      <c r="K467" s="21" t="str">
        <f>IFERROR(__xludf.DUMMYFUNCTION("IFERROR(GOOGLEFINANCE(C467, ""changepct"") / 100, """")"),"")</f>
        <v/>
      </c>
      <c r="L467" s="21" t="str">
        <f>IFERROR(__xludf.DUMMYFUNCTION("IFERROR((GOOGLEFINANCE(C467, ""price"") / INDEX(GOOGLEFINANCE(C467, ""price"", TODAY()-7, TODAY()), 2, 2)) - 1, """")"),"")</f>
        <v/>
      </c>
      <c r="M467" s="21" t="str">
        <f>IFERROR(__xludf.DUMMYFUNCTION("IFERROR((GOOGLEFINANCE(C467, ""price"") / INDEX(GOOGLEFINANCE(C467, ""price"", EDATE(TODAY(), -1), TODAY()), 2, 2)) - 1, """")"),"")</f>
        <v/>
      </c>
      <c r="N467" s="21" t="str">
        <f>IFERROR(__xludf.DUMMYFUNCTION("IFERROR((GOOGLEFINANCE(C467, ""price"") / INDEX(GOOGLEFINANCE(C467, ""price"", EDATE(TODAY(), -3), TODAY()), 2, 2)) - 1, """")"),"")</f>
        <v/>
      </c>
      <c r="O467" s="21" t="str">
        <f>IFERROR(__xludf.DUMMYFUNCTION("IFERROR((GOOGLEFINANCE(C467, ""price"") / INDEX(GOOGLEFINANCE(C467, ""price"", EDATE(TODAY(), -6), TODAY()), 2, 2)) - 1, """")"),"")</f>
        <v/>
      </c>
      <c r="P467" s="21" t="str">
        <f>IFERROR(__xludf.DUMMYFUNCTION("IFERROR((GOOGLEFINANCE(C467, ""price"") / INDEX(GOOGLEFINANCE(C467, ""price"", EDATE(TODAY(), -12), TODAY()), 2, 2)) - 1, """")"),"")</f>
        <v/>
      </c>
      <c r="Q467" s="6" t="str">
        <f>IFERROR(__xludf.DUMMYFUNCTION("AVERAGE(QUERY(GOOGLEFINANCE(C467, ""price"", TODAY()-80, TODAY()), ""SELECT Col2 WHERE Col2 IS NOT NULL ORDER BY Col1 DESC LIMIT 50"", 0))"),"#N/A")</f>
        <v>#N/A</v>
      </c>
      <c r="R467" s="24" t="str">
        <f>IFERROR(__xludf.DUMMYFUNCTION("IFERROR(
  LET(
    data, QUERY(GOOGLEFINANCE(C467,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GOOGLEFINANCE(C467, ""price"")) * 100,
    IF(calc=0, G467, calc)
  ), 
G467)"),"#N/A")</f>
        <v>#N/A</v>
      </c>
      <c r="S467" s="8" t="s">
        <v>15</v>
      </c>
      <c r="T467" s="26" t="str">
        <f>IFERROR(__xludf.DUMMYFUNCTION("IFERROR(TRANSPOSE(QUERY(IFERROR(SORT(GOOGLEFINANCE(C467, ""price"", WORKDAY(TODAY(), -40), TODAY()), 1, FALSE)), ""select Col2 where Col2 is not null limit 22 label Col2 ''"", 0)), """")"),"")</f>
        <v/>
      </c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8"/>
      <c r="AO467" s="28"/>
      <c r="AP467" s="29"/>
      <c r="AQ467" s="29" t="str">
        <f t="shared" ref="AQ467:BL467" si="470">T467/T$2</f>
        <v>#N/A</v>
      </c>
      <c r="AR467" s="29" t="str">
        <f t="shared" si="470"/>
        <v>#DIV/0!</v>
      </c>
      <c r="AS467" s="29" t="str">
        <f t="shared" si="470"/>
        <v>#DIV/0!</v>
      </c>
      <c r="AT467" s="29" t="str">
        <f t="shared" si="470"/>
        <v>#DIV/0!</v>
      </c>
      <c r="AU467" s="29" t="str">
        <f t="shared" si="470"/>
        <v>#DIV/0!</v>
      </c>
      <c r="AV467" s="29" t="str">
        <f t="shared" si="470"/>
        <v>#DIV/0!</v>
      </c>
      <c r="AW467" s="29" t="str">
        <f t="shared" si="470"/>
        <v>#DIV/0!</v>
      </c>
      <c r="AX467" s="29" t="str">
        <f t="shared" si="470"/>
        <v>#DIV/0!</v>
      </c>
      <c r="AY467" s="29" t="str">
        <f t="shared" si="470"/>
        <v>#DIV/0!</v>
      </c>
      <c r="AZ467" s="29" t="str">
        <f t="shared" si="470"/>
        <v>#DIV/0!</v>
      </c>
      <c r="BA467" s="29" t="str">
        <f t="shared" si="470"/>
        <v>#DIV/0!</v>
      </c>
      <c r="BB467" s="29" t="str">
        <f t="shared" si="470"/>
        <v>#DIV/0!</v>
      </c>
      <c r="BC467" s="29" t="str">
        <f t="shared" si="470"/>
        <v>#DIV/0!</v>
      </c>
      <c r="BD467" s="29" t="str">
        <f t="shared" si="470"/>
        <v>#DIV/0!</v>
      </c>
      <c r="BE467" s="29" t="str">
        <f t="shared" si="470"/>
        <v>#DIV/0!</v>
      </c>
      <c r="BF467" s="29" t="str">
        <f t="shared" si="470"/>
        <v>#DIV/0!</v>
      </c>
      <c r="BG467" s="29" t="str">
        <f t="shared" si="470"/>
        <v>#DIV/0!</v>
      </c>
      <c r="BH467" s="29" t="str">
        <f t="shared" si="470"/>
        <v>#DIV/0!</v>
      </c>
      <c r="BI467" s="29" t="str">
        <f t="shared" si="470"/>
        <v>#DIV/0!</v>
      </c>
      <c r="BJ467" s="29" t="str">
        <f t="shared" si="470"/>
        <v>#DIV/0!</v>
      </c>
      <c r="BK467" s="29" t="str">
        <f t="shared" si="470"/>
        <v>#DIV/0!</v>
      </c>
      <c r="BL467" s="29" t="str">
        <f t="shared" si="470"/>
        <v>#DIV/0!</v>
      </c>
      <c r="BM467" s="29" t="str">
        <f t="shared" si="3"/>
        <v>#DIV/0!</v>
      </c>
    </row>
    <row r="468">
      <c r="A468" s="16" t="str">
        <f>IFERROR(__xludf.DUMMYFUNCTION("IFERROR(SPARKLINE(SORT(MAP(TRANSPOSE(AQ468:BL468), LAMBDA(val, IF(ISNUMBER(val), PERCENTRANK(AQ468:BL468, val)+0.01, 0))), SEQUENCE(COLUMNS(AQ468:BL468)), FALSE), {""charttype"",""column""; ""color"",""chartreuse""; ""ymin"", 0; ""ymax"", 1.01; ""highcolo"&amp;"r"", ""darkgreen""; ""lowcolor"", ""red""}), """")"),"")</f>
        <v/>
      </c>
      <c r="B468" s="17" t="str">
        <f t="shared" si="4"/>
        <v/>
      </c>
      <c r="C468" s="1" t="s">
        <v>2150</v>
      </c>
      <c r="D468" s="34" t="str">
        <f>IFERROR(__xludf.DUMMYFUNCTION("IFERROR(GOOGLEFINANCE(C468, ""NAME""))"),"Onity Group Inc")</f>
        <v>Onity Group Inc</v>
      </c>
      <c r="E468" s="30" t="s">
        <v>119</v>
      </c>
      <c r="F468" s="33" t="str">
        <f>IFERROR(__xludf.DUMMYFUNCTION("( (GOOGLEFINANCE(C468, ""price"") - Q468) / Q468 ) / (R468 / 100)"),"Loading...")</f>
        <v>Loading...</v>
      </c>
      <c r="G468" s="20" t="str">
        <f>IFERROR(__xludf.DUMMYFUNCTION("AVERAGE(ARRAYFORMULA(100 * (QUERY(GOOGLEFINANCE(C468, ""high"", TODAY()-40, TODAY()), ""SELECT Col2 WHERE Col2 IS NOT NULL ORDER BY Col1 DESC LIMIT 20"", 0) / QUERY(GOOGLEFINANCE(C468, ""low"", TODAY()-40, TODAY()), ""SELECT Col2 WHERE Col2 IS NOT NULL OR"&amp;"DER BY Col1 DESC LIMIT 20"", 0) - 1)))"),"#N/A")</f>
        <v>#N/A</v>
      </c>
      <c r="H468" s="35" t="str">
        <f t="shared" si="6"/>
        <v/>
      </c>
      <c r="I468" s="36" t="str">
        <f t="shared" si="7"/>
        <v/>
      </c>
      <c r="J468" s="37" t="str">
        <f>IFERROR(__xludf.DUMMYFUNCTION("IFERROR(
  IF(C468="""",, 
    IFERROR(
      GOOGLEFINANCE(C468, ""price"") * GOOGLEFINANCE(C468, ""volumeavg""), 
      GOOGLEFINANCE(C468, ""price"") * AVERAGE(QUERY(GOOGLEFINANCE(C468, ""volume"", TODAY()-40, TODAY()), ""SELECT Col2 WHERE Col2 IS NOT "&amp;"NULL ORDER BY Col1 DESC LIMIT 20"", 0))
    )
  ), 
"""")"),"")</f>
        <v/>
      </c>
      <c r="K468" s="21" t="str">
        <f>IFERROR(__xludf.DUMMYFUNCTION("IFERROR(GOOGLEFINANCE(C468, ""changepct"") / 100, """")"),"")</f>
        <v/>
      </c>
      <c r="L468" s="21" t="str">
        <f>IFERROR(__xludf.DUMMYFUNCTION("IFERROR((GOOGLEFINANCE(C468, ""price"") / INDEX(GOOGLEFINANCE(C468, ""price"", TODAY()-7, TODAY()), 2, 2)) - 1, """")"),"")</f>
        <v/>
      </c>
      <c r="M468" s="21" t="str">
        <f>IFERROR(__xludf.DUMMYFUNCTION("IFERROR((GOOGLEFINANCE(C468, ""price"") / INDEX(GOOGLEFINANCE(C468, ""price"", EDATE(TODAY(), -1), TODAY()), 2, 2)) - 1, """")"),"")</f>
        <v/>
      </c>
      <c r="N468" s="21" t="str">
        <f>IFERROR(__xludf.DUMMYFUNCTION("IFERROR((GOOGLEFINANCE(C468, ""price"") / INDEX(GOOGLEFINANCE(C468, ""price"", EDATE(TODAY(), -3), TODAY()), 2, 2)) - 1, """")"),"")</f>
        <v/>
      </c>
      <c r="O468" s="21" t="str">
        <f>IFERROR(__xludf.DUMMYFUNCTION("IFERROR((GOOGLEFINANCE(C468, ""price"") / INDEX(GOOGLEFINANCE(C468, ""price"", EDATE(TODAY(), -6), TODAY()), 2, 2)) - 1, """")"),"")</f>
        <v/>
      </c>
      <c r="P468" s="21" t="str">
        <f>IFERROR(__xludf.DUMMYFUNCTION("IFERROR((GOOGLEFINANCE(C468, ""price"") / INDEX(GOOGLEFINANCE(C468, ""price"", EDATE(TODAY(), -12), TODAY()), 2, 2)) - 1, """")"),"")</f>
        <v/>
      </c>
      <c r="Q468" s="6" t="str">
        <f>IFERROR(__xludf.DUMMYFUNCTION("AVERAGE(QUERY(GOOGLEFINANCE(C468, ""price"", TODAY()-80, TODAY()), ""SELECT Col2 WHERE Col2 IS NOT NULL ORDER BY Col1 DESC LIMIT 50"", 0))"),"#N/A")</f>
        <v>#N/A</v>
      </c>
      <c r="R468" s="24" t="str">
        <f>IFERROR(__xludf.DUMMYFUNCTION("IFERROR(
  LET(
    data, QUERY(GOOGLEFINANCE(C468,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GOOGLEFINANCE(C468, ""price"")) * 100,
    IF(calc=0, G468, calc)
  ), 
G468)"),"#N/A")</f>
        <v>#N/A</v>
      </c>
      <c r="S468" s="8" t="s">
        <v>15</v>
      </c>
      <c r="T468" s="26" t="str">
        <f>IFERROR(__xludf.DUMMYFUNCTION("IFERROR(TRANSPOSE(QUERY(IFERROR(SORT(GOOGLEFINANCE(C468, ""price"", WORKDAY(TODAY(), -40), TODAY()), 1, FALSE)), ""select Col2 where Col2 is not null limit 22 label Col2 ''"", 0)), """")"),"")</f>
        <v/>
      </c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8"/>
      <c r="AO468" s="28"/>
      <c r="AP468" s="29"/>
      <c r="AQ468" s="29" t="str">
        <f t="shared" ref="AQ468:BL468" si="471">T468/T$2</f>
        <v>#N/A</v>
      </c>
      <c r="AR468" s="29" t="str">
        <f t="shared" si="471"/>
        <v>#DIV/0!</v>
      </c>
      <c r="AS468" s="29" t="str">
        <f t="shared" si="471"/>
        <v>#DIV/0!</v>
      </c>
      <c r="AT468" s="29" t="str">
        <f t="shared" si="471"/>
        <v>#DIV/0!</v>
      </c>
      <c r="AU468" s="29" t="str">
        <f t="shared" si="471"/>
        <v>#DIV/0!</v>
      </c>
      <c r="AV468" s="29" t="str">
        <f t="shared" si="471"/>
        <v>#DIV/0!</v>
      </c>
      <c r="AW468" s="29" t="str">
        <f t="shared" si="471"/>
        <v>#DIV/0!</v>
      </c>
      <c r="AX468" s="29" t="str">
        <f t="shared" si="471"/>
        <v>#DIV/0!</v>
      </c>
      <c r="AY468" s="29" t="str">
        <f t="shared" si="471"/>
        <v>#DIV/0!</v>
      </c>
      <c r="AZ468" s="29" t="str">
        <f t="shared" si="471"/>
        <v>#DIV/0!</v>
      </c>
      <c r="BA468" s="29" t="str">
        <f t="shared" si="471"/>
        <v>#DIV/0!</v>
      </c>
      <c r="BB468" s="29" t="str">
        <f t="shared" si="471"/>
        <v>#DIV/0!</v>
      </c>
      <c r="BC468" s="29" t="str">
        <f t="shared" si="471"/>
        <v>#DIV/0!</v>
      </c>
      <c r="BD468" s="29" t="str">
        <f t="shared" si="471"/>
        <v>#DIV/0!</v>
      </c>
      <c r="BE468" s="29" t="str">
        <f t="shared" si="471"/>
        <v>#DIV/0!</v>
      </c>
      <c r="BF468" s="29" t="str">
        <f t="shared" si="471"/>
        <v>#DIV/0!</v>
      </c>
      <c r="BG468" s="29" t="str">
        <f t="shared" si="471"/>
        <v>#DIV/0!</v>
      </c>
      <c r="BH468" s="29" t="str">
        <f t="shared" si="471"/>
        <v>#DIV/0!</v>
      </c>
      <c r="BI468" s="29" t="str">
        <f t="shared" si="471"/>
        <v>#DIV/0!</v>
      </c>
      <c r="BJ468" s="29" t="str">
        <f t="shared" si="471"/>
        <v>#DIV/0!</v>
      </c>
      <c r="BK468" s="29" t="str">
        <f t="shared" si="471"/>
        <v>#DIV/0!</v>
      </c>
      <c r="BL468" s="29" t="str">
        <f t="shared" si="471"/>
        <v>#DIV/0!</v>
      </c>
      <c r="BM468" s="29" t="str">
        <f t="shared" si="3"/>
        <v>#DIV/0!</v>
      </c>
    </row>
    <row r="469">
      <c r="A469" s="16" t="str">
        <f>IFERROR(__xludf.DUMMYFUNCTION("IFERROR(SPARKLINE(SORT(MAP(TRANSPOSE(AQ469:BL469), LAMBDA(val, IF(ISNUMBER(val), PERCENTRANK(AQ469:BL469, val)+0.01, 0))), SEQUENCE(COLUMNS(AQ469:BL469)), FALSE), {""charttype"",""column""; ""color"",""chartreuse""; ""ymin"", 0; ""ymax"", 1.01; ""highcolo"&amp;"r"", ""darkgreen""; ""lowcolor"", ""red""}), """")"),"")</f>
        <v/>
      </c>
      <c r="B469" s="17" t="str">
        <f t="shared" si="4"/>
        <v/>
      </c>
      <c r="C469" s="1" t="s">
        <v>2154</v>
      </c>
      <c r="D469" s="34" t="str">
        <f>IFERROR(__xludf.DUMMYFUNCTION("IFERROR(GOOGLEFINANCE(C469, ""NAME""))"),"Primis Financial Corp")</f>
        <v>Primis Financial Corp</v>
      </c>
      <c r="E469" s="30" t="s">
        <v>268</v>
      </c>
      <c r="F469" s="33" t="str">
        <f>IFERROR(__xludf.DUMMYFUNCTION("( (GOOGLEFINANCE(C469, ""price"") - Q469) / Q469 ) / (R469 / 100)"),"Loading...")</f>
        <v>Loading...</v>
      </c>
      <c r="G469" s="20" t="str">
        <f>IFERROR(__xludf.DUMMYFUNCTION("AVERAGE(ARRAYFORMULA(100 * (QUERY(GOOGLEFINANCE(C469, ""high"", TODAY()-40, TODAY()), ""SELECT Col2 WHERE Col2 IS NOT NULL ORDER BY Col1 DESC LIMIT 20"", 0) / QUERY(GOOGLEFINANCE(C469, ""low"", TODAY()-40, TODAY()), ""SELECT Col2 WHERE Col2 IS NOT NULL OR"&amp;"DER BY Col1 DESC LIMIT 20"", 0) - 1)))"),"#N/A")</f>
        <v>#N/A</v>
      </c>
      <c r="H469" s="35" t="str">
        <f t="shared" si="6"/>
        <v/>
      </c>
      <c r="I469" s="36" t="str">
        <f t="shared" si="7"/>
        <v/>
      </c>
      <c r="J469" s="37" t="str">
        <f>IFERROR(__xludf.DUMMYFUNCTION("IFERROR(
  IF(C469="""",, 
    IFERROR(
      GOOGLEFINANCE(C469, ""price"") * GOOGLEFINANCE(C469, ""volumeavg""), 
      GOOGLEFINANCE(C469, ""price"") * AVERAGE(QUERY(GOOGLEFINANCE(C469, ""volume"", TODAY()-40, TODAY()), ""SELECT Col2 WHERE Col2 IS NOT "&amp;"NULL ORDER BY Col1 DESC LIMIT 20"", 0))
    )
  ), 
"""")"),"")</f>
        <v/>
      </c>
      <c r="K469" s="21" t="str">
        <f>IFERROR(__xludf.DUMMYFUNCTION("IFERROR(GOOGLEFINANCE(C469, ""changepct"") / 100, """")"),"")</f>
        <v/>
      </c>
      <c r="L469" s="21" t="str">
        <f>IFERROR(__xludf.DUMMYFUNCTION("IFERROR((GOOGLEFINANCE(C469, ""price"") / INDEX(GOOGLEFINANCE(C469, ""price"", TODAY()-7, TODAY()), 2, 2)) - 1, """")"),"")</f>
        <v/>
      </c>
      <c r="M469" s="21" t="str">
        <f>IFERROR(__xludf.DUMMYFUNCTION("IFERROR((GOOGLEFINANCE(C469, ""price"") / INDEX(GOOGLEFINANCE(C469, ""price"", EDATE(TODAY(), -1), TODAY()), 2, 2)) - 1, """")"),"")</f>
        <v/>
      </c>
      <c r="N469" s="21" t="str">
        <f>IFERROR(__xludf.DUMMYFUNCTION("IFERROR((GOOGLEFINANCE(C469, ""price"") / INDEX(GOOGLEFINANCE(C469, ""price"", EDATE(TODAY(), -3), TODAY()), 2, 2)) - 1, """")"),"")</f>
        <v/>
      </c>
      <c r="O469" s="21" t="str">
        <f>IFERROR(__xludf.DUMMYFUNCTION("IFERROR((GOOGLEFINANCE(C469, ""price"") / INDEX(GOOGLEFINANCE(C469, ""price"", EDATE(TODAY(), -6), TODAY()), 2, 2)) - 1, """")"),"")</f>
        <v/>
      </c>
      <c r="P469" s="21" t="str">
        <f>IFERROR(__xludf.DUMMYFUNCTION("IFERROR((GOOGLEFINANCE(C469, ""price"") / INDEX(GOOGLEFINANCE(C469, ""price"", EDATE(TODAY(), -12), TODAY()), 2, 2)) - 1, """")"),"")</f>
        <v/>
      </c>
      <c r="Q469" s="6" t="str">
        <f>IFERROR(__xludf.DUMMYFUNCTION("AVERAGE(QUERY(GOOGLEFINANCE(C469, ""price"", TODAY()-80, TODAY()), ""SELECT Col2 WHERE Col2 IS NOT NULL ORDER BY Col1 DESC LIMIT 50"", 0))"),"#N/A")</f>
        <v>#N/A</v>
      </c>
      <c r="R469" s="24" t="str">
        <f>IFERROR(__xludf.DUMMYFUNCTION("IFERROR(
  LET(
    data, QUERY(GOOGLEFINANCE(C469,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GOOGLEFINANCE(C469, ""price"")) * 100,
    IF(calc=0, G469, calc)
  ), 
G469)"),"#N/A")</f>
        <v>#N/A</v>
      </c>
      <c r="S469" s="8" t="s">
        <v>15</v>
      </c>
      <c r="T469" s="26" t="str">
        <f>IFERROR(__xludf.DUMMYFUNCTION("IFERROR(TRANSPOSE(QUERY(IFERROR(SORT(GOOGLEFINANCE(C469, ""price"", WORKDAY(TODAY(), -40), TODAY()), 1, FALSE)), ""select Col2 where Col2 is not null limit 22 label Col2 ''"", 0)), """")"),"")</f>
        <v/>
      </c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8"/>
      <c r="AO469" s="28"/>
      <c r="AP469" s="29"/>
      <c r="AQ469" s="29" t="str">
        <f t="shared" ref="AQ469:BL469" si="472">T469/T$2</f>
        <v>#N/A</v>
      </c>
      <c r="AR469" s="29" t="str">
        <f t="shared" si="472"/>
        <v>#DIV/0!</v>
      </c>
      <c r="AS469" s="29" t="str">
        <f t="shared" si="472"/>
        <v>#DIV/0!</v>
      </c>
      <c r="AT469" s="29" t="str">
        <f t="shared" si="472"/>
        <v>#DIV/0!</v>
      </c>
      <c r="AU469" s="29" t="str">
        <f t="shared" si="472"/>
        <v>#DIV/0!</v>
      </c>
      <c r="AV469" s="29" t="str">
        <f t="shared" si="472"/>
        <v>#DIV/0!</v>
      </c>
      <c r="AW469" s="29" t="str">
        <f t="shared" si="472"/>
        <v>#DIV/0!</v>
      </c>
      <c r="AX469" s="29" t="str">
        <f t="shared" si="472"/>
        <v>#DIV/0!</v>
      </c>
      <c r="AY469" s="29" t="str">
        <f t="shared" si="472"/>
        <v>#DIV/0!</v>
      </c>
      <c r="AZ469" s="29" t="str">
        <f t="shared" si="472"/>
        <v>#DIV/0!</v>
      </c>
      <c r="BA469" s="29" t="str">
        <f t="shared" si="472"/>
        <v>#DIV/0!</v>
      </c>
      <c r="BB469" s="29" t="str">
        <f t="shared" si="472"/>
        <v>#DIV/0!</v>
      </c>
      <c r="BC469" s="29" t="str">
        <f t="shared" si="472"/>
        <v>#DIV/0!</v>
      </c>
      <c r="BD469" s="29" t="str">
        <f t="shared" si="472"/>
        <v>#DIV/0!</v>
      </c>
      <c r="BE469" s="29" t="str">
        <f t="shared" si="472"/>
        <v>#DIV/0!</v>
      </c>
      <c r="BF469" s="29" t="str">
        <f t="shared" si="472"/>
        <v>#DIV/0!</v>
      </c>
      <c r="BG469" s="29" t="str">
        <f t="shared" si="472"/>
        <v>#DIV/0!</v>
      </c>
      <c r="BH469" s="29" t="str">
        <f t="shared" si="472"/>
        <v>#DIV/0!</v>
      </c>
      <c r="BI469" s="29" t="str">
        <f t="shared" si="472"/>
        <v>#DIV/0!</v>
      </c>
      <c r="BJ469" s="29" t="str">
        <f t="shared" si="472"/>
        <v>#DIV/0!</v>
      </c>
      <c r="BK469" s="29" t="str">
        <f t="shared" si="472"/>
        <v>#DIV/0!</v>
      </c>
      <c r="BL469" s="29" t="str">
        <f t="shared" si="472"/>
        <v>#DIV/0!</v>
      </c>
      <c r="BM469" s="29" t="str">
        <f t="shared" si="3"/>
        <v>#DIV/0!</v>
      </c>
    </row>
    <row r="470">
      <c r="A470" s="16" t="str">
        <f>IFERROR(__xludf.DUMMYFUNCTION("IFERROR(SPARKLINE(SORT(MAP(TRANSPOSE(AQ470:BL470), LAMBDA(val, IF(ISNUMBER(val), PERCENTRANK(AQ470:BL470, val)+0.01, 0))), SEQUENCE(COLUMNS(AQ470:BL470)), FALSE), {""charttype"",""column""; ""color"",""chartreuse""; ""ymin"", 0; ""ymax"", 1.01; ""highcolo"&amp;"r"", ""darkgreen""; ""lowcolor"", ""red""}), """")"),"")</f>
        <v/>
      </c>
      <c r="B470" s="17" t="str">
        <f t="shared" si="4"/>
        <v/>
      </c>
      <c r="C470" s="1" t="s">
        <v>2158</v>
      </c>
      <c r="D470" s="34" t="str">
        <f>IFERROR(__xludf.DUMMYFUNCTION("IFERROR(GOOGLEFINANCE(C470, ""NAME""))"),"First Bancorp")</f>
        <v>First Bancorp</v>
      </c>
      <c r="E470" s="30" t="s">
        <v>268</v>
      </c>
      <c r="F470" s="33" t="str">
        <f>IFERROR(__xludf.DUMMYFUNCTION("( (GOOGLEFINANCE(C470, ""price"") - Q470) / Q470 ) / (R470 / 100)"),"Loading...")</f>
        <v>Loading...</v>
      </c>
      <c r="G470" s="20" t="str">
        <f>IFERROR(__xludf.DUMMYFUNCTION("AVERAGE(ARRAYFORMULA(100 * (QUERY(GOOGLEFINANCE(C470, ""high"", TODAY()-40, TODAY()), ""SELECT Col2 WHERE Col2 IS NOT NULL ORDER BY Col1 DESC LIMIT 20"", 0) / QUERY(GOOGLEFINANCE(C470, ""low"", TODAY()-40, TODAY()), ""SELECT Col2 WHERE Col2 IS NOT NULL OR"&amp;"DER BY Col1 DESC LIMIT 20"", 0) - 1)))"),"#N/A")</f>
        <v>#N/A</v>
      </c>
      <c r="H470" s="35" t="str">
        <f t="shared" si="6"/>
        <v/>
      </c>
      <c r="I470" s="36" t="str">
        <f t="shared" si="7"/>
        <v/>
      </c>
      <c r="J470" s="37" t="str">
        <f>IFERROR(__xludf.DUMMYFUNCTION("IFERROR(
  IF(C470="""",, 
    IFERROR(
      GOOGLEFINANCE(C470, ""price"") * GOOGLEFINANCE(C470, ""volumeavg""), 
      GOOGLEFINANCE(C470, ""price"") * AVERAGE(QUERY(GOOGLEFINANCE(C470, ""volume"", TODAY()-40, TODAY()), ""SELECT Col2 WHERE Col2 IS NOT "&amp;"NULL ORDER BY Col1 DESC LIMIT 20"", 0))
    )
  ), 
"""")"),"")</f>
        <v/>
      </c>
      <c r="K470" s="21" t="str">
        <f>IFERROR(__xludf.DUMMYFUNCTION("IFERROR(GOOGLEFINANCE(C470, ""changepct"") / 100, """")"),"")</f>
        <v/>
      </c>
      <c r="L470" s="21" t="str">
        <f>IFERROR(__xludf.DUMMYFUNCTION("IFERROR((GOOGLEFINANCE(C470, ""price"") / INDEX(GOOGLEFINANCE(C470, ""price"", TODAY()-7, TODAY()), 2, 2)) - 1, """")"),"")</f>
        <v/>
      </c>
      <c r="M470" s="21" t="str">
        <f>IFERROR(__xludf.DUMMYFUNCTION("IFERROR((GOOGLEFINANCE(C470, ""price"") / INDEX(GOOGLEFINANCE(C470, ""price"", EDATE(TODAY(), -1), TODAY()), 2, 2)) - 1, """")"),"")</f>
        <v/>
      </c>
      <c r="N470" s="21" t="str">
        <f>IFERROR(__xludf.DUMMYFUNCTION("IFERROR((GOOGLEFINANCE(C470, ""price"") / INDEX(GOOGLEFINANCE(C470, ""price"", EDATE(TODAY(), -3), TODAY()), 2, 2)) - 1, """")"),"")</f>
        <v/>
      </c>
      <c r="O470" s="21" t="str">
        <f>IFERROR(__xludf.DUMMYFUNCTION("IFERROR((GOOGLEFINANCE(C470, ""price"") / INDEX(GOOGLEFINANCE(C470, ""price"", EDATE(TODAY(), -6), TODAY()), 2, 2)) - 1, """")"),"")</f>
        <v/>
      </c>
      <c r="P470" s="21" t="str">
        <f>IFERROR(__xludf.DUMMYFUNCTION("IFERROR((GOOGLEFINANCE(C470, ""price"") / INDEX(GOOGLEFINANCE(C470, ""price"", EDATE(TODAY(), -12), TODAY()), 2, 2)) - 1, """")"),"")</f>
        <v/>
      </c>
      <c r="Q470" s="6" t="str">
        <f>IFERROR(__xludf.DUMMYFUNCTION("AVERAGE(QUERY(GOOGLEFINANCE(C470, ""price"", TODAY()-80, TODAY()), ""SELECT Col2 WHERE Col2 IS NOT NULL ORDER BY Col1 DESC LIMIT 50"", 0))"),"#N/A")</f>
        <v>#N/A</v>
      </c>
      <c r="R470" s="24" t="str">
        <f>IFERROR(__xludf.DUMMYFUNCTION("IFERROR(
  LET(
    data, QUERY(GOOGLEFINANCE(C470,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GOOGLEFINANCE(C470, ""price"")) * 100,
    IF(calc=0, G470, calc)
  ), 
G470)"),"#N/A")</f>
        <v>#N/A</v>
      </c>
      <c r="S470" s="8" t="s">
        <v>15</v>
      </c>
      <c r="T470" s="26" t="str">
        <f>IFERROR(__xludf.DUMMYFUNCTION("IFERROR(TRANSPOSE(QUERY(IFERROR(SORT(GOOGLEFINANCE(C470, ""price"", WORKDAY(TODAY(), -40), TODAY()), 1, FALSE)), ""select Col2 where Col2 is not null limit 22 label Col2 ''"", 0)), """")"),"")</f>
        <v/>
      </c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8"/>
      <c r="AO470" s="28"/>
      <c r="AP470" s="29"/>
      <c r="AQ470" s="29" t="str">
        <f t="shared" ref="AQ470:BL470" si="473">T470/T$2</f>
        <v>#N/A</v>
      </c>
      <c r="AR470" s="29" t="str">
        <f t="shared" si="473"/>
        <v>#DIV/0!</v>
      </c>
      <c r="AS470" s="29" t="str">
        <f t="shared" si="473"/>
        <v>#DIV/0!</v>
      </c>
      <c r="AT470" s="29" t="str">
        <f t="shared" si="473"/>
        <v>#DIV/0!</v>
      </c>
      <c r="AU470" s="29" t="str">
        <f t="shared" si="473"/>
        <v>#DIV/0!</v>
      </c>
      <c r="AV470" s="29" t="str">
        <f t="shared" si="473"/>
        <v>#DIV/0!</v>
      </c>
      <c r="AW470" s="29" t="str">
        <f t="shared" si="473"/>
        <v>#DIV/0!</v>
      </c>
      <c r="AX470" s="29" t="str">
        <f t="shared" si="473"/>
        <v>#DIV/0!</v>
      </c>
      <c r="AY470" s="29" t="str">
        <f t="shared" si="473"/>
        <v>#DIV/0!</v>
      </c>
      <c r="AZ470" s="29" t="str">
        <f t="shared" si="473"/>
        <v>#DIV/0!</v>
      </c>
      <c r="BA470" s="29" t="str">
        <f t="shared" si="473"/>
        <v>#DIV/0!</v>
      </c>
      <c r="BB470" s="29" t="str">
        <f t="shared" si="473"/>
        <v>#DIV/0!</v>
      </c>
      <c r="BC470" s="29" t="str">
        <f t="shared" si="473"/>
        <v>#DIV/0!</v>
      </c>
      <c r="BD470" s="29" t="str">
        <f t="shared" si="473"/>
        <v>#DIV/0!</v>
      </c>
      <c r="BE470" s="29" t="str">
        <f t="shared" si="473"/>
        <v>#DIV/0!</v>
      </c>
      <c r="BF470" s="29" t="str">
        <f t="shared" si="473"/>
        <v>#DIV/0!</v>
      </c>
      <c r="BG470" s="29" t="str">
        <f t="shared" si="473"/>
        <v>#DIV/0!</v>
      </c>
      <c r="BH470" s="29" t="str">
        <f t="shared" si="473"/>
        <v>#DIV/0!</v>
      </c>
      <c r="BI470" s="29" t="str">
        <f t="shared" si="473"/>
        <v>#DIV/0!</v>
      </c>
      <c r="BJ470" s="29" t="str">
        <f t="shared" si="473"/>
        <v>#DIV/0!</v>
      </c>
      <c r="BK470" s="29" t="str">
        <f t="shared" si="473"/>
        <v>#DIV/0!</v>
      </c>
      <c r="BL470" s="29" t="str">
        <f t="shared" si="473"/>
        <v>#DIV/0!</v>
      </c>
      <c r="BM470" s="29" t="str">
        <f t="shared" si="3"/>
        <v>#DIV/0!</v>
      </c>
    </row>
    <row r="471">
      <c r="A471" s="16" t="str">
        <f>IFERROR(__xludf.DUMMYFUNCTION("IFERROR(SPARKLINE(SORT(MAP(TRANSPOSE(AQ471:BL471), LAMBDA(val, IF(ISNUMBER(val), PERCENTRANK(AQ471:BL471, val)+0.01, 0))), SEQUENCE(COLUMNS(AQ471:BL471)), FALSE), {""charttype"",""column""; ""color"",""chartreuse""; ""ymin"", 0; ""ymax"", 1.01; ""highcolo"&amp;"r"", ""darkgreen""; ""lowcolor"", ""red""}), """")"),"")</f>
        <v/>
      </c>
      <c r="B471" s="17" t="str">
        <f t="shared" si="4"/>
        <v/>
      </c>
      <c r="C471" s="1" t="s">
        <v>2162</v>
      </c>
      <c r="D471" s="34" t="str">
        <f>IFERROR(__xludf.DUMMYFUNCTION("IFERROR(GOOGLEFINANCE(C471, ""NAME""))"),"Fidelity National Financial Inc")</f>
        <v>Fidelity National Financial Inc</v>
      </c>
      <c r="E471" s="30" t="s">
        <v>276</v>
      </c>
      <c r="F471" s="33" t="str">
        <f>IFERROR(__xludf.DUMMYFUNCTION("( (GOOGLEFINANCE(C471, ""price"") - Q471) / Q471 ) / (R471 / 100)"),"Loading...")</f>
        <v>Loading...</v>
      </c>
      <c r="G471" s="20" t="str">
        <f>IFERROR(__xludf.DUMMYFUNCTION("AVERAGE(ARRAYFORMULA(100 * (QUERY(GOOGLEFINANCE(C471, ""high"", TODAY()-40, TODAY()), ""SELECT Col2 WHERE Col2 IS NOT NULL ORDER BY Col1 DESC LIMIT 20"", 0) / QUERY(GOOGLEFINANCE(C471, ""low"", TODAY()-40, TODAY()), ""SELECT Col2 WHERE Col2 IS NOT NULL OR"&amp;"DER BY Col1 DESC LIMIT 20"", 0) - 1)))"),"#N/A")</f>
        <v>#N/A</v>
      </c>
      <c r="H471" s="35" t="str">
        <f t="shared" si="6"/>
        <v/>
      </c>
      <c r="I471" s="36" t="str">
        <f t="shared" si="7"/>
        <v/>
      </c>
      <c r="J471" s="37" t="str">
        <f>IFERROR(__xludf.DUMMYFUNCTION("IFERROR(
  IF(C471="""",, 
    IFERROR(
      GOOGLEFINANCE(C471, ""price"") * GOOGLEFINANCE(C471, ""volumeavg""), 
      GOOGLEFINANCE(C471, ""price"") * AVERAGE(QUERY(GOOGLEFINANCE(C471, ""volume"", TODAY()-40, TODAY()), ""SELECT Col2 WHERE Col2 IS NOT "&amp;"NULL ORDER BY Col1 DESC LIMIT 20"", 0))
    )
  ), 
"""")"),"")</f>
        <v/>
      </c>
      <c r="K471" s="21" t="str">
        <f>IFERROR(__xludf.DUMMYFUNCTION("IFERROR(GOOGLEFINANCE(C471, ""changepct"") / 100, """")"),"")</f>
        <v/>
      </c>
      <c r="L471" s="21" t="str">
        <f>IFERROR(__xludf.DUMMYFUNCTION("IFERROR((GOOGLEFINANCE(C471, ""price"") / INDEX(GOOGLEFINANCE(C471, ""price"", TODAY()-7, TODAY()), 2, 2)) - 1, """")"),"")</f>
        <v/>
      </c>
      <c r="M471" s="21" t="str">
        <f>IFERROR(__xludf.DUMMYFUNCTION("IFERROR((GOOGLEFINANCE(C471, ""price"") / INDEX(GOOGLEFINANCE(C471, ""price"", EDATE(TODAY(), -1), TODAY()), 2, 2)) - 1, """")"),"")</f>
        <v/>
      </c>
      <c r="N471" s="21" t="str">
        <f>IFERROR(__xludf.DUMMYFUNCTION("IFERROR((GOOGLEFINANCE(C471, ""price"") / INDEX(GOOGLEFINANCE(C471, ""price"", EDATE(TODAY(), -3), TODAY()), 2, 2)) - 1, """")"),"")</f>
        <v/>
      </c>
      <c r="O471" s="21" t="str">
        <f>IFERROR(__xludf.DUMMYFUNCTION("IFERROR((GOOGLEFINANCE(C471, ""price"") / INDEX(GOOGLEFINANCE(C471, ""price"", EDATE(TODAY(), -6), TODAY()), 2, 2)) - 1, """")"),"")</f>
        <v/>
      </c>
      <c r="P471" s="21" t="str">
        <f>IFERROR(__xludf.DUMMYFUNCTION("IFERROR((GOOGLEFINANCE(C471, ""price"") / INDEX(GOOGLEFINANCE(C471, ""price"", EDATE(TODAY(), -12), TODAY()), 2, 2)) - 1, """")"),"")</f>
        <v/>
      </c>
      <c r="Q471" s="6" t="str">
        <f>IFERROR(__xludf.DUMMYFUNCTION("AVERAGE(QUERY(GOOGLEFINANCE(C471, ""price"", TODAY()-80, TODAY()), ""SELECT Col2 WHERE Col2 IS NOT NULL ORDER BY Col1 DESC LIMIT 50"", 0))"),"#N/A")</f>
        <v>#N/A</v>
      </c>
      <c r="R471" s="24" t="str">
        <f>IFERROR(__xludf.DUMMYFUNCTION("IFERROR(
  LET(
    data, QUERY(GOOGLEFINANCE(C471,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GOOGLEFINANCE(C471, ""price"")) * 100,
    IF(calc=0, G471, calc)
  ), 
G471)"),"#N/A")</f>
        <v>#N/A</v>
      </c>
      <c r="S471" s="8" t="s">
        <v>15</v>
      </c>
      <c r="T471" s="26" t="str">
        <f>IFERROR(__xludf.DUMMYFUNCTION("IFERROR(TRANSPOSE(QUERY(IFERROR(SORT(GOOGLEFINANCE(C471, ""price"", WORKDAY(TODAY(), -40), TODAY()), 1, FALSE)), ""select Col2 where Col2 is not null limit 22 label Col2 ''"", 0)), """")"),"")</f>
        <v/>
      </c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8"/>
      <c r="AO471" s="28"/>
      <c r="AP471" s="29"/>
      <c r="AQ471" s="29" t="str">
        <f t="shared" ref="AQ471:BL471" si="474">T471/T$2</f>
        <v>#N/A</v>
      </c>
      <c r="AR471" s="29" t="str">
        <f t="shared" si="474"/>
        <v>#DIV/0!</v>
      </c>
      <c r="AS471" s="29" t="str">
        <f t="shared" si="474"/>
        <v>#DIV/0!</v>
      </c>
      <c r="AT471" s="29" t="str">
        <f t="shared" si="474"/>
        <v>#DIV/0!</v>
      </c>
      <c r="AU471" s="29" t="str">
        <f t="shared" si="474"/>
        <v>#DIV/0!</v>
      </c>
      <c r="AV471" s="29" t="str">
        <f t="shared" si="474"/>
        <v>#DIV/0!</v>
      </c>
      <c r="AW471" s="29" t="str">
        <f t="shared" si="474"/>
        <v>#DIV/0!</v>
      </c>
      <c r="AX471" s="29" t="str">
        <f t="shared" si="474"/>
        <v>#DIV/0!</v>
      </c>
      <c r="AY471" s="29" t="str">
        <f t="shared" si="474"/>
        <v>#DIV/0!</v>
      </c>
      <c r="AZ471" s="29" t="str">
        <f t="shared" si="474"/>
        <v>#DIV/0!</v>
      </c>
      <c r="BA471" s="29" t="str">
        <f t="shared" si="474"/>
        <v>#DIV/0!</v>
      </c>
      <c r="BB471" s="29" t="str">
        <f t="shared" si="474"/>
        <v>#DIV/0!</v>
      </c>
      <c r="BC471" s="29" t="str">
        <f t="shared" si="474"/>
        <v>#DIV/0!</v>
      </c>
      <c r="BD471" s="29" t="str">
        <f t="shared" si="474"/>
        <v>#DIV/0!</v>
      </c>
      <c r="BE471" s="29" t="str">
        <f t="shared" si="474"/>
        <v>#DIV/0!</v>
      </c>
      <c r="BF471" s="29" t="str">
        <f t="shared" si="474"/>
        <v>#DIV/0!</v>
      </c>
      <c r="BG471" s="29" t="str">
        <f t="shared" si="474"/>
        <v>#DIV/0!</v>
      </c>
      <c r="BH471" s="29" t="str">
        <f t="shared" si="474"/>
        <v>#DIV/0!</v>
      </c>
      <c r="BI471" s="29" t="str">
        <f t="shared" si="474"/>
        <v>#DIV/0!</v>
      </c>
      <c r="BJ471" s="29" t="str">
        <f t="shared" si="474"/>
        <v>#DIV/0!</v>
      </c>
      <c r="BK471" s="29" t="str">
        <f t="shared" si="474"/>
        <v>#DIV/0!</v>
      </c>
      <c r="BL471" s="29" t="str">
        <f t="shared" si="474"/>
        <v>#DIV/0!</v>
      </c>
      <c r="BM471" s="29" t="str">
        <f t="shared" si="3"/>
        <v>#DIV/0!</v>
      </c>
    </row>
    <row r="472">
      <c r="A472" s="16" t="str">
        <f>IFERROR(__xludf.DUMMYFUNCTION("IFERROR(SPARKLINE(SORT(MAP(TRANSPOSE(AQ472:BL472), LAMBDA(val, IF(ISNUMBER(val), PERCENTRANK(AQ472:BL472, val)+0.01, 0))), SEQUENCE(COLUMNS(AQ472:BL472)), FALSE), {""charttype"",""column""; ""color"",""chartreuse""; ""ymin"", 0; ""ymax"", 1.01; ""highcolo"&amp;"r"", ""darkgreen""; ""lowcolor"", ""red""}), """")"),"")</f>
        <v/>
      </c>
      <c r="B472" s="17" t="str">
        <f t="shared" si="4"/>
        <v/>
      </c>
      <c r="C472" s="1" t="s">
        <v>2167</v>
      </c>
      <c r="D472" s="34" t="str">
        <f>IFERROR(__xludf.DUMMYFUNCTION("IFERROR(GOOGLEFINANCE(C472, ""NAME""))"),"Customers Bancorp Inc")</f>
        <v>Customers Bancorp Inc</v>
      </c>
      <c r="E472" s="30" t="s">
        <v>268</v>
      </c>
      <c r="F472" s="33" t="str">
        <f>IFERROR(__xludf.DUMMYFUNCTION("( (GOOGLEFINANCE(C472, ""price"") - Q472) / Q472 ) / (R472 / 100)"),"Loading...")</f>
        <v>Loading...</v>
      </c>
      <c r="G472" s="20" t="str">
        <f>IFERROR(__xludf.DUMMYFUNCTION("AVERAGE(ARRAYFORMULA(100 * (QUERY(GOOGLEFINANCE(C472, ""high"", TODAY()-40, TODAY()), ""SELECT Col2 WHERE Col2 IS NOT NULL ORDER BY Col1 DESC LIMIT 20"", 0) / QUERY(GOOGLEFINANCE(C472, ""low"", TODAY()-40, TODAY()), ""SELECT Col2 WHERE Col2 IS NOT NULL OR"&amp;"DER BY Col1 DESC LIMIT 20"", 0) - 1)))"),"#N/A")</f>
        <v>#N/A</v>
      </c>
      <c r="H472" s="35" t="str">
        <f t="shared" si="6"/>
        <v/>
      </c>
      <c r="I472" s="36" t="str">
        <f t="shared" si="7"/>
        <v/>
      </c>
      <c r="J472" s="37" t="str">
        <f>IFERROR(__xludf.DUMMYFUNCTION("IFERROR(
  IF(C472="""",, 
    IFERROR(
      GOOGLEFINANCE(C472, ""price"") * GOOGLEFINANCE(C472, ""volumeavg""), 
      GOOGLEFINANCE(C472, ""price"") * AVERAGE(QUERY(GOOGLEFINANCE(C472, ""volume"", TODAY()-40, TODAY()), ""SELECT Col2 WHERE Col2 IS NOT "&amp;"NULL ORDER BY Col1 DESC LIMIT 20"", 0))
    )
  ), 
"""")"),"")</f>
        <v/>
      </c>
      <c r="K472" s="21" t="str">
        <f>IFERROR(__xludf.DUMMYFUNCTION("IFERROR(GOOGLEFINANCE(C472, ""changepct"") / 100, """")"),"")</f>
        <v/>
      </c>
      <c r="L472" s="21" t="str">
        <f>IFERROR(__xludf.DUMMYFUNCTION("IFERROR((GOOGLEFINANCE(C472, ""price"") / INDEX(GOOGLEFINANCE(C472, ""price"", TODAY()-7, TODAY()), 2, 2)) - 1, """")"),"")</f>
        <v/>
      </c>
      <c r="M472" s="21" t="str">
        <f>IFERROR(__xludf.DUMMYFUNCTION("IFERROR((GOOGLEFINANCE(C472, ""price"") / INDEX(GOOGLEFINANCE(C472, ""price"", EDATE(TODAY(), -1), TODAY()), 2, 2)) - 1, """")"),"")</f>
        <v/>
      </c>
      <c r="N472" s="21" t="str">
        <f>IFERROR(__xludf.DUMMYFUNCTION("IFERROR((GOOGLEFINANCE(C472, ""price"") / INDEX(GOOGLEFINANCE(C472, ""price"", EDATE(TODAY(), -3), TODAY()), 2, 2)) - 1, """")"),"")</f>
        <v/>
      </c>
      <c r="O472" s="21" t="str">
        <f>IFERROR(__xludf.DUMMYFUNCTION("IFERROR((GOOGLEFINANCE(C472, ""price"") / INDEX(GOOGLEFINANCE(C472, ""price"", EDATE(TODAY(), -6), TODAY()), 2, 2)) - 1, """")"),"")</f>
        <v/>
      </c>
      <c r="P472" s="21" t="str">
        <f>IFERROR(__xludf.DUMMYFUNCTION("IFERROR((GOOGLEFINANCE(C472, ""price"") / INDEX(GOOGLEFINANCE(C472, ""price"", EDATE(TODAY(), -12), TODAY()), 2, 2)) - 1, """")"),"")</f>
        <v/>
      </c>
      <c r="Q472" s="6" t="str">
        <f>IFERROR(__xludf.DUMMYFUNCTION("AVERAGE(QUERY(GOOGLEFINANCE(C472, ""price"", TODAY()-80, TODAY()), ""SELECT Col2 WHERE Col2 IS NOT NULL ORDER BY Col1 DESC LIMIT 50"", 0))"),"#N/A")</f>
        <v>#N/A</v>
      </c>
      <c r="R472" s="24" t="str">
        <f>IFERROR(__xludf.DUMMYFUNCTION("IFERROR(
  LET(
    data, QUERY(GOOGLEFINANCE(C472,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GOOGLEFINANCE(C472, ""price"")) * 100,
    IF(calc=0, G472, calc)
  ), 
G472)"),"#N/A")</f>
        <v>#N/A</v>
      </c>
      <c r="S472" s="8" t="s">
        <v>15</v>
      </c>
      <c r="T472" s="26" t="str">
        <f>IFERROR(__xludf.DUMMYFUNCTION("IFERROR(TRANSPOSE(QUERY(IFERROR(SORT(GOOGLEFINANCE(C472, ""price"", WORKDAY(TODAY(), -40), TODAY()), 1, FALSE)), ""select Col2 where Col2 is not null limit 22 label Col2 ''"", 0)), """")"),"")</f>
        <v/>
      </c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8"/>
      <c r="AO472" s="28"/>
      <c r="AP472" s="29"/>
      <c r="AQ472" s="29" t="str">
        <f t="shared" ref="AQ472:BL472" si="475">T472/T$2</f>
        <v>#N/A</v>
      </c>
      <c r="AR472" s="29" t="str">
        <f t="shared" si="475"/>
        <v>#DIV/0!</v>
      </c>
      <c r="AS472" s="29" t="str">
        <f t="shared" si="475"/>
        <v>#DIV/0!</v>
      </c>
      <c r="AT472" s="29" t="str">
        <f t="shared" si="475"/>
        <v>#DIV/0!</v>
      </c>
      <c r="AU472" s="29" t="str">
        <f t="shared" si="475"/>
        <v>#DIV/0!</v>
      </c>
      <c r="AV472" s="29" t="str">
        <f t="shared" si="475"/>
        <v>#DIV/0!</v>
      </c>
      <c r="AW472" s="29" t="str">
        <f t="shared" si="475"/>
        <v>#DIV/0!</v>
      </c>
      <c r="AX472" s="29" t="str">
        <f t="shared" si="475"/>
        <v>#DIV/0!</v>
      </c>
      <c r="AY472" s="29" t="str">
        <f t="shared" si="475"/>
        <v>#DIV/0!</v>
      </c>
      <c r="AZ472" s="29" t="str">
        <f t="shared" si="475"/>
        <v>#DIV/0!</v>
      </c>
      <c r="BA472" s="29" t="str">
        <f t="shared" si="475"/>
        <v>#DIV/0!</v>
      </c>
      <c r="BB472" s="29" t="str">
        <f t="shared" si="475"/>
        <v>#DIV/0!</v>
      </c>
      <c r="BC472" s="29" t="str">
        <f t="shared" si="475"/>
        <v>#DIV/0!</v>
      </c>
      <c r="BD472" s="29" t="str">
        <f t="shared" si="475"/>
        <v>#DIV/0!</v>
      </c>
      <c r="BE472" s="29" t="str">
        <f t="shared" si="475"/>
        <v>#DIV/0!</v>
      </c>
      <c r="BF472" s="29" t="str">
        <f t="shared" si="475"/>
        <v>#DIV/0!</v>
      </c>
      <c r="BG472" s="29" t="str">
        <f t="shared" si="475"/>
        <v>#DIV/0!</v>
      </c>
      <c r="BH472" s="29" t="str">
        <f t="shared" si="475"/>
        <v>#DIV/0!</v>
      </c>
      <c r="BI472" s="29" t="str">
        <f t="shared" si="475"/>
        <v>#DIV/0!</v>
      </c>
      <c r="BJ472" s="29" t="str">
        <f t="shared" si="475"/>
        <v>#DIV/0!</v>
      </c>
      <c r="BK472" s="29" t="str">
        <f t="shared" si="475"/>
        <v>#DIV/0!</v>
      </c>
      <c r="BL472" s="29" t="str">
        <f t="shared" si="475"/>
        <v>#DIV/0!</v>
      </c>
      <c r="BM472" s="29" t="str">
        <f t="shared" si="3"/>
        <v>#DIV/0!</v>
      </c>
    </row>
    <row r="473">
      <c r="A473" s="16" t="str">
        <f>IFERROR(__xludf.DUMMYFUNCTION("IFERROR(SPARKLINE(SORT(MAP(TRANSPOSE(AQ473:BL473), LAMBDA(val, IF(ISNUMBER(val), PERCENTRANK(AQ473:BL473, val)+0.01, 0))), SEQUENCE(COLUMNS(AQ473:BL473)), FALSE), {""charttype"",""column""; ""color"",""chartreuse""; ""ymin"", 0; ""ymax"", 1.01; ""highcolo"&amp;"r"", ""darkgreen""; ""lowcolor"", ""red""}), """")"),"")</f>
        <v/>
      </c>
      <c r="B473" s="17" t="str">
        <f t="shared" si="4"/>
        <v/>
      </c>
      <c r="C473" s="1" t="s">
        <v>2171</v>
      </c>
      <c r="D473" s="34" t="str">
        <f>IFERROR(__xludf.DUMMYFUNCTION("IFERROR(GOOGLEFINANCE(C473, ""NAME""))"),"Amerant Bancorp Inc")</f>
        <v>Amerant Bancorp Inc</v>
      </c>
      <c r="E473" s="30" t="s">
        <v>268</v>
      </c>
      <c r="F473" s="33" t="str">
        <f>IFERROR(__xludf.DUMMYFUNCTION("( (GOOGLEFINANCE(C473, ""price"") - Q473) / Q473 ) / (R473 / 100)"),"Loading...")</f>
        <v>Loading...</v>
      </c>
      <c r="G473" s="20" t="str">
        <f>IFERROR(__xludf.DUMMYFUNCTION("AVERAGE(ARRAYFORMULA(100 * (QUERY(GOOGLEFINANCE(C473, ""high"", TODAY()-40, TODAY()), ""SELECT Col2 WHERE Col2 IS NOT NULL ORDER BY Col1 DESC LIMIT 20"", 0) / QUERY(GOOGLEFINANCE(C473, ""low"", TODAY()-40, TODAY()), ""SELECT Col2 WHERE Col2 IS NOT NULL OR"&amp;"DER BY Col1 DESC LIMIT 20"", 0) - 1)))"),"#N/A")</f>
        <v>#N/A</v>
      </c>
      <c r="H473" s="35" t="str">
        <f t="shared" si="6"/>
        <v/>
      </c>
      <c r="I473" s="36" t="str">
        <f t="shared" si="7"/>
        <v/>
      </c>
      <c r="J473" s="37" t="str">
        <f>IFERROR(__xludf.DUMMYFUNCTION("IFERROR(
  IF(C473="""",, 
    IFERROR(
      GOOGLEFINANCE(C473, ""price"") * GOOGLEFINANCE(C473, ""volumeavg""), 
      GOOGLEFINANCE(C473, ""price"") * AVERAGE(QUERY(GOOGLEFINANCE(C473, ""volume"", TODAY()-40, TODAY()), ""SELECT Col2 WHERE Col2 IS NOT "&amp;"NULL ORDER BY Col1 DESC LIMIT 20"", 0))
    )
  ), 
"""")"),"")</f>
        <v/>
      </c>
      <c r="K473" s="21" t="str">
        <f>IFERROR(__xludf.DUMMYFUNCTION("IFERROR(GOOGLEFINANCE(C473, ""changepct"") / 100, """")"),"")</f>
        <v/>
      </c>
      <c r="L473" s="21" t="str">
        <f>IFERROR(__xludf.DUMMYFUNCTION("IFERROR((GOOGLEFINANCE(C473, ""price"") / INDEX(GOOGLEFINANCE(C473, ""price"", TODAY()-7, TODAY()), 2, 2)) - 1, """")"),"")</f>
        <v/>
      </c>
      <c r="M473" s="21" t="str">
        <f>IFERROR(__xludf.DUMMYFUNCTION("IFERROR((GOOGLEFINANCE(C473, ""price"") / INDEX(GOOGLEFINANCE(C473, ""price"", EDATE(TODAY(), -1), TODAY()), 2, 2)) - 1, """")"),"")</f>
        <v/>
      </c>
      <c r="N473" s="21" t="str">
        <f>IFERROR(__xludf.DUMMYFUNCTION("IFERROR((GOOGLEFINANCE(C473, ""price"") / INDEX(GOOGLEFINANCE(C473, ""price"", EDATE(TODAY(), -3), TODAY()), 2, 2)) - 1, """")"),"")</f>
        <v/>
      </c>
      <c r="O473" s="21" t="str">
        <f>IFERROR(__xludf.DUMMYFUNCTION("IFERROR((GOOGLEFINANCE(C473, ""price"") / INDEX(GOOGLEFINANCE(C473, ""price"", EDATE(TODAY(), -6), TODAY()), 2, 2)) - 1, """")"),"")</f>
        <v/>
      </c>
      <c r="P473" s="21" t="str">
        <f>IFERROR(__xludf.DUMMYFUNCTION("IFERROR((GOOGLEFINANCE(C473, ""price"") / INDEX(GOOGLEFINANCE(C473, ""price"", EDATE(TODAY(), -12), TODAY()), 2, 2)) - 1, """")"),"")</f>
        <v/>
      </c>
      <c r="Q473" s="6" t="str">
        <f>IFERROR(__xludf.DUMMYFUNCTION("AVERAGE(QUERY(GOOGLEFINANCE(C473, ""price"", TODAY()-80, TODAY()), ""SELECT Col2 WHERE Col2 IS NOT NULL ORDER BY Col1 DESC LIMIT 50"", 0))"),"#N/A")</f>
        <v>#N/A</v>
      </c>
      <c r="R473" s="24" t="str">
        <f>IFERROR(__xludf.DUMMYFUNCTION("IFERROR(
  LET(
    data, QUERY(GOOGLEFINANCE(C473,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GOOGLEFINANCE(C473, ""price"")) * 100,
    IF(calc=0, G473, calc)
  ), 
G473)"),"#N/A")</f>
        <v>#N/A</v>
      </c>
      <c r="S473" s="8" t="s">
        <v>15</v>
      </c>
      <c r="T473" s="26" t="str">
        <f>IFERROR(__xludf.DUMMYFUNCTION("IFERROR(TRANSPOSE(QUERY(IFERROR(SORT(GOOGLEFINANCE(C473, ""price"", WORKDAY(TODAY(), -40), TODAY()), 1, FALSE)), ""select Col2 where Col2 is not null limit 22 label Col2 ''"", 0)), """")"),"")</f>
        <v/>
      </c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8"/>
      <c r="AO473" s="28"/>
      <c r="AP473" s="29"/>
      <c r="AQ473" s="29" t="str">
        <f t="shared" ref="AQ473:BL473" si="476">T473/T$2</f>
        <v>#N/A</v>
      </c>
      <c r="AR473" s="29" t="str">
        <f t="shared" si="476"/>
        <v>#DIV/0!</v>
      </c>
      <c r="AS473" s="29" t="str">
        <f t="shared" si="476"/>
        <v>#DIV/0!</v>
      </c>
      <c r="AT473" s="29" t="str">
        <f t="shared" si="476"/>
        <v>#DIV/0!</v>
      </c>
      <c r="AU473" s="29" t="str">
        <f t="shared" si="476"/>
        <v>#DIV/0!</v>
      </c>
      <c r="AV473" s="29" t="str">
        <f t="shared" si="476"/>
        <v>#DIV/0!</v>
      </c>
      <c r="AW473" s="29" t="str">
        <f t="shared" si="476"/>
        <v>#DIV/0!</v>
      </c>
      <c r="AX473" s="29" t="str">
        <f t="shared" si="476"/>
        <v>#DIV/0!</v>
      </c>
      <c r="AY473" s="29" t="str">
        <f t="shared" si="476"/>
        <v>#DIV/0!</v>
      </c>
      <c r="AZ473" s="29" t="str">
        <f t="shared" si="476"/>
        <v>#DIV/0!</v>
      </c>
      <c r="BA473" s="29" t="str">
        <f t="shared" si="476"/>
        <v>#DIV/0!</v>
      </c>
      <c r="BB473" s="29" t="str">
        <f t="shared" si="476"/>
        <v>#DIV/0!</v>
      </c>
      <c r="BC473" s="29" t="str">
        <f t="shared" si="476"/>
        <v>#DIV/0!</v>
      </c>
      <c r="BD473" s="29" t="str">
        <f t="shared" si="476"/>
        <v>#DIV/0!</v>
      </c>
      <c r="BE473" s="29" t="str">
        <f t="shared" si="476"/>
        <v>#DIV/0!</v>
      </c>
      <c r="BF473" s="29" t="str">
        <f t="shared" si="476"/>
        <v>#DIV/0!</v>
      </c>
      <c r="BG473" s="29" t="str">
        <f t="shared" si="476"/>
        <v>#DIV/0!</v>
      </c>
      <c r="BH473" s="29" t="str">
        <f t="shared" si="476"/>
        <v>#DIV/0!</v>
      </c>
      <c r="BI473" s="29" t="str">
        <f t="shared" si="476"/>
        <v>#DIV/0!</v>
      </c>
      <c r="BJ473" s="29" t="str">
        <f t="shared" si="476"/>
        <v>#DIV/0!</v>
      </c>
      <c r="BK473" s="29" t="str">
        <f t="shared" si="476"/>
        <v>#DIV/0!</v>
      </c>
      <c r="BL473" s="29" t="str">
        <f t="shared" si="476"/>
        <v>#DIV/0!</v>
      </c>
      <c r="BM473" s="29" t="str">
        <f t="shared" si="3"/>
        <v>#DIV/0!</v>
      </c>
    </row>
    <row r="474">
      <c r="A474" s="16" t="str">
        <f>IFERROR(__xludf.DUMMYFUNCTION("IFERROR(SPARKLINE(SORT(MAP(TRANSPOSE(AQ474:BL474), LAMBDA(val, IF(ISNUMBER(val), PERCENTRANK(AQ474:BL474, val)+0.01, 0))), SEQUENCE(COLUMNS(AQ474:BL474)), FALSE), {""charttype"",""column""; ""color"",""chartreuse""; ""ymin"", 0; ""ymax"", 1.01; ""highcolo"&amp;"r"", ""darkgreen""; ""lowcolor"", ""red""}), """")"),"")</f>
        <v/>
      </c>
      <c r="B474" s="17" t="str">
        <f t="shared" si="4"/>
        <v/>
      </c>
      <c r="C474" s="1" t="s">
        <v>2174</v>
      </c>
      <c r="D474" s="34" t="str">
        <f>IFERROR(__xludf.DUMMYFUNCTION("IFERROR(GOOGLEFINANCE(C474, ""NAME""))"),"Live Oak Bancshares Inc")</f>
        <v>Live Oak Bancshares Inc</v>
      </c>
      <c r="E474" s="30" t="s">
        <v>268</v>
      </c>
      <c r="F474" s="33" t="str">
        <f>IFERROR(__xludf.DUMMYFUNCTION("( (GOOGLEFINANCE(C474, ""price"") - Q474) / Q474 ) / (R474 / 100)"),"Loading...")</f>
        <v>Loading...</v>
      </c>
      <c r="G474" s="20" t="str">
        <f>IFERROR(__xludf.DUMMYFUNCTION("AVERAGE(ARRAYFORMULA(100 * (QUERY(GOOGLEFINANCE(C474, ""high"", TODAY()-40, TODAY()), ""SELECT Col2 WHERE Col2 IS NOT NULL ORDER BY Col1 DESC LIMIT 20"", 0) / QUERY(GOOGLEFINANCE(C474, ""low"", TODAY()-40, TODAY()), ""SELECT Col2 WHERE Col2 IS NOT NULL OR"&amp;"DER BY Col1 DESC LIMIT 20"", 0) - 1)))"),"#N/A")</f>
        <v>#N/A</v>
      </c>
      <c r="H474" s="35" t="str">
        <f t="shared" si="6"/>
        <v/>
      </c>
      <c r="I474" s="36" t="str">
        <f t="shared" si="7"/>
        <v/>
      </c>
      <c r="J474" s="37" t="str">
        <f>IFERROR(__xludf.DUMMYFUNCTION("IFERROR(
  IF(C474="""",, 
    IFERROR(
      GOOGLEFINANCE(C474, ""price"") * GOOGLEFINANCE(C474, ""volumeavg""), 
      GOOGLEFINANCE(C474, ""price"") * AVERAGE(QUERY(GOOGLEFINANCE(C474, ""volume"", TODAY()-40, TODAY()), ""SELECT Col2 WHERE Col2 IS NOT "&amp;"NULL ORDER BY Col1 DESC LIMIT 20"", 0))
    )
  ), 
"""")"),"")</f>
        <v/>
      </c>
      <c r="K474" s="21" t="str">
        <f>IFERROR(__xludf.DUMMYFUNCTION("IFERROR(GOOGLEFINANCE(C474, ""changepct"") / 100, """")"),"")</f>
        <v/>
      </c>
      <c r="L474" s="21" t="str">
        <f>IFERROR(__xludf.DUMMYFUNCTION("IFERROR((GOOGLEFINANCE(C474, ""price"") / INDEX(GOOGLEFINANCE(C474, ""price"", TODAY()-7, TODAY()), 2, 2)) - 1, """")"),"")</f>
        <v/>
      </c>
      <c r="M474" s="21" t="str">
        <f>IFERROR(__xludf.DUMMYFUNCTION("IFERROR((GOOGLEFINANCE(C474, ""price"") / INDEX(GOOGLEFINANCE(C474, ""price"", EDATE(TODAY(), -1), TODAY()), 2, 2)) - 1, """")"),"")</f>
        <v/>
      </c>
      <c r="N474" s="21" t="str">
        <f>IFERROR(__xludf.DUMMYFUNCTION("IFERROR((GOOGLEFINANCE(C474, ""price"") / INDEX(GOOGLEFINANCE(C474, ""price"", EDATE(TODAY(), -3), TODAY()), 2, 2)) - 1, """")"),"")</f>
        <v/>
      </c>
      <c r="O474" s="21" t="str">
        <f>IFERROR(__xludf.DUMMYFUNCTION("IFERROR((GOOGLEFINANCE(C474, ""price"") / INDEX(GOOGLEFINANCE(C474, ""price"", EDATE(TODAY(), -6), TODAY()), 2, 2)) - 1, """")"),"")</f>
        <v/>
      </c>
      <c r="P474" s="21" t="str">
        <f>IFERROR(__xludf.DUMMYFUNCTION("IFERROR((GOOGLEFINANCE(C474, ""price"") / INDEX(GOOGLEFINANCE(C474, ""price"", EDATE(TODAY(), -12), TODAY()), 2, 2)) - 1, """")"),"")</f>
        <v/>
      </c>
      <c r="Q474" s="6" t="str">
        <f>IFERROR(__xludf.DUMMYFUNCTION("AVERAGE(QUERY(GOOGLEFINANCE(C474, ""price"", TODAY()-80, TODAY()), ""SELECT Col2 WHERE Col2 IS NOT NULL ORDER BY Col1 DESC LIMIT 50"", 0))"),"#N/A")</f>
        <v>#N/A</v>
      </c>
      <c r="R474" s="24" t="str">
        <f>IFERROR(__xludf.DUMMYFUNCTION("IFERROR(
  LET(
    data, QUERY(GOOGLEFINANCE(C474,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GOOGLEFINANCE(C474, ""price"")) * 100,
    IF(calc=0, G474, calc)
  ), 
G474)"),"#N/A")</f>
        <v>#N/A</v>
      </c>
      <c r="S474" s="8" t="s">
        <v>15</v>
      </c>
      <c r="T474" s="26" t="str">
        <f>IFERROR(__xludf.DUMMYFUNCTION("IFERROR(TRANSPOSE(QUERY(IFERROR(SORT(GOOGLEFINANCE(C474, ""price"", WORKDAY(TODAY(), -40), TODAY()), 1, FALSE)), ""select Col2 where Col2 is not null limit 22 label Col2 ''"", 0)), """")"),"")</f>
        <v/>
      </c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8"/>
      <c r="AO474" s="28"/>
      <c r="AP474" s="29"/>
      <c r="AQ474" s="29" t="str">
        <f t="shared" ref="AQ474:BL474" si="477">T474/T$2</f>
        <v>#N/A</v>
      </c>
      <c r="AR474" s="29" t="str">
        <f t="shared" si="477"/>
        <v>#DIV/0!</v>
      </c>
      <c r="AS474" s="29" t="str">
        <f t="shared" si="477"/>
        <v>#DIV/0!</v>
      </c>
      <c r="AT474" s="29" t="str">
        <f t="shared" si="477"/>
        <v>#DIV/0!</v>
      </c>
      <c r="AU474" s="29" t="str">
        <f t="shared" si="477"/>
        <v>#DIV/0!</v>
      </c>
      <c r="AV474" s="29" t="str">
        <f t="shared" si="477"/>
        <v>#DIV/0!</v>
      </c>
      <c r="AW474" s="29" t="str">
        <f t="shared" si="477"/>
        <v>#DIV/0!</v>
      </c>
      <c r="AX474" s="29" t="str">
        <f t="shared" si="477"/>
        <v>#DIV/0!</v>
      </c>
      <c r="AY474" s="29" t="str">
        <f t="shared" si="477"/>
        <v>#DIV/0!</v>
      </c>
      <c r="AZ474" s="29" t="str">
        <f t="shared" si="477"/>
        <v>#DIV/0!</v>
      </c>
      <c r="BA474" s="29" t="str">
        <f t="shared" si="477"/>
        <v>#DIV/0!</v>
      </c>
      <c r="BB474" s="29" t="str">
        <f t="shared" si="477"/>
        <v>#DIV/0!</v>
      </c>
      <c r="BC474" s="29" t="str">
        <f t="shared" si="477"/>
        <v>#DIV/0!</v>
      </c>
      <c r="BD474" s="29" t="str">
        <f t="shared" si="477"/>
        <v>#DIV/0!</v>
      </c>
      <c r="BE474" s="29" t="str">
        <f t="shared" si="477"/>
        <v>#DIV/0!</v>
      </c>
      <c r="BF474" s="29" t="str">
        <f t="shared" si="477"/>
        <v>#DIV/0!</v>
      </c>
      <c r="BG474" s="29" t="str">
        <f t="shared" si="477"/>
        <v>#DIV/0!</v>
      </c>
      <c r="BH474" s="29" t="str">
        <f t="shared" si="477"/>
        <v>#DIV/0!</v>
      </c>
      <c r="BI474" s="29" t="str">
        <f t="shared" si="477"/>
        <v>#DIV/0!</v>
      </c>
      <c r="BJ474" s="29" t="str">
        <f t="shared" si="477"/>
        <v>#DIV/0!</v>
      </c>
      <c r="BK474" s="29" t="str">
        <f t="shared" si="477"/>
        <v>#DIV/0!</v>
      </c>
      <c r="BL474" s="29" t="str">
        <f t="shared" si="477"/>
        <v>#DIV/0!</v>
      </c>
      <c r="BM474" s="29" t="str">
        <f t="shared" si="3"/>
        <v>#DIV/0!</v>
      </c>
    </row>
    <row r="475">
      <c r="A475" s="16" t="str">
        <f>IFERROR(__xludf.DUMMYFUNCTION("IFERROR(SPARKLINE(SORT(MAP(TRANSPOSE(AQ475:BL475), LAMBDA(val, IF(ISNUMBER(val), PERCENTRANK(AQ475:BL475, val)+0.01, 0))), SEQUENCE(COLUMNS(AQ475:BL475)), FALSE), {""charttype"",""column""; ""color"",""chartreuse""; ""ymin"", 0; ""ymax"", 1.01; ""highcolo"&amp;"r"", ""darkgreen""; ""lowcolor"", ""red""}), """")"),"")</f>
        <v/>
      </c>
      <c r="B475" s="17" t="str">
        <f t="shared" si="4"/>
        <v/>
      </c>
      <c r="C475" s="1" t="s">
        <v>2179</v>
      </c>
      <c r="D475" s="34" t="str">
        <f>IFERROR(__xludf.DUMMYFUNCTION("IFERROR(GOOGLEFINANCE(C475, ""NAME""))"),"First Hawaiian, Inc.")</f>
        <v>First Hawaiian, Inc.</v>
      </c>
      <c r="E475" s="30" t="s">
        <v>268</v>
      </c>
      <c r="F475" s="33" t="str">
        <f>IFERROR(__xludf.DUMMYFUNCTION("( (GOOGLEFINANCE(C475, ""price"") - Q475) / Q475 ) / (R475 / 100)"),"Loading...")</f>
        <v>Loading...</v>
      </c>
      <c r="G475" s="20" t="str">
        <f>IFERROR(__xludf.DUMMYFUNCTION("AVERAGE(ARRAYFORMULA(100 * (QUERY(GOOGLEFINANCE(C475, ""high"", TODAY()-40, TODAY()), ""SELECT Col2 WHERE Col2 IS NOT NULL ORDER BY Col1 DESC LIMIT 20"", 0) / QUERY(GOOGLEFINANCE(C475, ""low"", TODAY()-40, TODAY()), ""SELECT Col2 WHERE Col2 IS NOT NULL OR"&amp;"DER BY Col1 DESC LIMIT 20"", 0) - 1)))"),"#N/A")</f>
        <v>#N/A</v>
      </c>
      <c r="H475" s="35" t="str">
        <f t="shared" si="6"/>
        <v/>
      </c>
      <c r="I475" s="36" t="str">
        <f t="shared" si="7"/>
        <v/>
      </c>
      <c r="J475" s="37" t="str">
        <f>IFERROR(__xludf.DUMMYFUNCTION("IFERROR(
  IF(C475="""",, 
    IFERROR(
      GOOGLEFINANCE(C475, ""price"") * GOOGLEFINANCE(C475, ""volumeavg""), 
      GOOGLEFINANCE(C475, ""price"") * AVERAGE(QUERY(GOOGLEFINANCE(C475, ""volume"", TODAY()-40, TODAY()), ""SELECT Col2 WHERE Col2 IS NOT "&amp;"NULL ORDER BY Col1 DESC LIMIT 20"", 0))
    )
  ), 
"""")"),"")</f>
        <v/>
      </c>
      <c r="K475" s="21" t="str">
        <f>IFERROR(__xludf.DUMMYFUNCTION("IFERROR(GOOGLEFINANCE(C475, ""changepct"") / 100, """")"),"")</f>
        <v/>
      </c>
      <c r="L475" s="21" t="str">
        <f>IFERROR(__xludf.DUMMYFUNCTION("IFERROR((GOOGLEFINANCE(C475, ""price"") / INDEX(GOOGLEFINANCE(C475, ""price"", TODAY()-7, TODAY()), 2, 2)) - 1, """")"),"")</f>
        <v/>
      </c>
      <c r="M475" s="21" t="str">
        <f>IFERROR(__xludf.DUMMYFUNCTION("IFERROR((GOOGLEFINANCE(C475, ""price"") / INDEX(GOOGLEFINANCE(C475, ""price"", EDATE(TODAY(), -1), TODAY()), 2, 2)) - 1, """")"),"")</f>
        <v/>
      </c>
      <c r="N475" s="21" t="str">
        <f>IFERROR(__xludf.DUMMYFUNCTION("IFERROR((GOOGLEFINANCE(C475, ""price"") / INDEX(GOOGLEFINANCE(C475, ""price"", EDATE(TODAY(), -3), TODAY()), 2, 2)) - 1, """")"),"")</f>
        <v/>
      </c>
      <c r="O475" s="21" t="str">
        <f>IFERROR(__xludf.DUMMYFUNCTION("IFERROR((GOOGLEFINANCE(C475, ""price"") / INDEX(GOOGLEFINANCE(C475, ""price"", EDATE(TODAY(), -6), TODAY()), 2, 2)) - 1, """")"),"")</f>
        <v/>
      </c>
      <c r="P475" s="21" t="str">
        <f>IFERROR(__xludf.DUMMYFUNCTION("IFERROR((GOOGLEFINANCE(C475, ""price"") / INDEX(GOOGLEFINANCE(C475, ""price"", EDATE(TODAY(), -12), TODAY()), 2, 2)) - 1, """")"),"")</f>
        <v/>
      </c>
      <c r="Q475" s="6" t="str">
        <f>IFERROR(__xludf.DUMMYFUNCTION("AVERAGE(QUERY(GOOGLEFINANCE(C475, ""price"", TODAY()-80, TODAY()), ""SELECT Col2 WHERE Col2 IS NOT NULL ORDER BY Col1 DESC LIMIT 50"", 0))"),"#N/A")</f>
        <v>#N/A</v>
      </c>
      <c r="R475" s="24" t="str">
        <f>IFERROR(__xludf.DUMMYFUNCTION("IFERROR(
  LET(
    data, QUERY(GOOGLEFINANCE(C475,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GOOGLEFINANCE(C475, ""price"")) * 100,
    IF(calc=0, G475, calc)
  ), 
G475)"),"#N/A")</f>
        <v>#N/A</v>
      </c>
      <c r="S475" s="8" t="s">
        <v>15</v>
      </c>
      <c r="T475" s="26" t="str">
        <f>IFERROR(__xludf.DUMMYFUNCTION("IFERROR(TRANSPOSE(QUERY(IFERROR(SORT(GOOGLEFINANCE(C475, ""price"", WORKDAY(TODAY(), -40), TODAY()), 1, FALSE)), ""select Col2 where Col2 is not null limit 22 label Col2 ''"", 0)), """")"),"")</f>
        <v/>
      </c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8"/>
      <c r="AO475" s="28"/>
      <c r="AP475" s="29"/>
      <c r="AQ475" s="29" t="str">
        <f t="shared" ref="AQ475:BL475" si="478">T475/T$2</f>
        <v>#N/A</v>
      </c>
      <c r="AR475" s="29" t="str">
        <f t="shared" si="478"/>
        <v>#DIV/0!</v>
      </c>
      <c r="AS475" s="29" t="str">
        <f t="shared" si="478"/>
        <v>#DIV/0!</v>
      </c>
      <c r="AT475" s="29" t="str">
        <f t="shared" si="478"/>
        <v>#DIV/0!</v>
      </c>
      <c r="AU475" s="29" t="str">
        <f t="shared" si="478"/>
        <v>#DIV/0!</v>
      </c>
      <c r="AV475" s="29" t="str">
        <f t="shared" si="478"/>
        <v>#DIV/0!</v>
      </c>
      <c r="AW475" s="29" t="str">
        <f t="shared" si="478"/>
        <v>#DIV/0!</v>
      </c>
      <c r="AX475" s="29" t="str">
        <f t="shared" si="478"/>
        <v>#DIV/0!</v>
      </c>
      <c r="AY475" s="29" t="str">
        <f t="shared" si="478"/>
        <v>#DIV/0!</v>
      </c>
      <c r="AZ475" s="29" t="str">
        <f t="shared" si="478"/>
        <v>#DIV/0!</v>
      </c>
      <c r="BA475" s="29" t="str">
        <f t="shared" si="478"/>
        <v>#DIV/0!</v>
      </c>
      <c r="BB475" s="29" t="str">
        <f t="shared" si="478"/>
        <v>#DIV/0!</v>
      </c>
      <c r="BC475" s="29" t="str">
        <f t="shared" si="478"/>
        <v>#DIV/0!</v>
      </c>
      <c r="BD475" s="29" t="str">
        <f t="shared" si="478"/>
        <v>#DIV/0!</v>
      </c>
      <c r="BE475" s="29" t="str">
        <f t="shared" si="478"/>
        <v>#DIV/0!</v>
      </c>
      <c r="BF475" s="29" t="str">
        <f t="shared" si="478"/>
        <v>#DIV/0!</v>
      </c>
      <c r="BG475" s="29" t="str">
        <f t="shared" si="478"/>
        <v>#DIV/0!</v>
      </c>
      <c r="BH475" s="29" t="str">
        <f t="shared" si="478"/>
        <v>#DIV/0!</v>
      </c>
      <c r="BI475" s="29" t="str">
        <f t="shared" si="478"/>
        <v>#DIV/0!</v>
      </c>
      <c r="BJ475" s="29" t="str">
        <f t="shared" si="478"/>
        <v>#DIV/0!</v>
      </c>
      <c r="BK475" s="29" t="str">
        <f t="shared" si="478"/>
        <v>#DIV/0!</v>
      </c>
      <c r="BL475" s="29" t="str">
        <f t="shared" si="478"/>
        <v>#DIV/0!</v>
      </c>
      <c r="BM475" s="29" t="str">
        <f t="shared" si="3"/>
        <v>#DIV/0!</v>
      </c>
    </row>
    <row r="476">
      <c r="A476" s="16" t="str">
        <f>IFERROR(__xludf.DUMMYFUNCTION("IFERROR(SPARKLINE(SORT(MAP(TRANSPOSE(AQ476:BL476), LAMBDA(val, IF(ISNUMBER(val), PERCENTRANK(AQ476:BL476, val)+0.01, 0))), SEQUENCE(COLUMNS(AQ476:BL476)), FALSE), {""charttype"",""column""; ""color"",""chartreuse""; ""ymin"", 0; ""ymax"", 1.01; ""highcolo"&amp;"r"", ""darkgreen""; ""lowcolor"", ""red""}), """")"),"")</f>
        <v/>
      </c>
      <c r="B476" s="17" t="str">
        <f t="shared" si="4"/>
        <v/>
      </c>
      <c r="C476" s="1" t="s">
        <v>2183</v>
      </c>
      <c r="D476" s="34" t="str">
        <f>IFERROR(__xludf.DUMMYFUNCTION("IFERROR(GOOGLEFINANCE(C476, ""NAME""))"),"Northrim BanCorp Inc")</f>
        <v>Northrim BanCorp Inc</v>
      </c>
      <c r="E476" s="30" t="s">
        <v>268</v>
      </c>
      <c r="F476" s="33" t="str">
        <f>IFERROR(__xludf.DUMMYFUNCTION("( (GOOGLEFINANCE(C476, ""price"") - Q476) / Q476 ) / (R476 / 100)"),"Loading...")</f>
        <v>Loading...</v>
      </c>
      <c r="G476" s="20" t="str">
        <f>IFERROR(__xludf.DUMMYFUNCTION("AVERAGE(ARRAYFORMULA(100 * (QUERY(GOOGLEFINANCE(C476, ""high"", TODAY()-40, TODAY()), ""SELECT Col2 WHERE Col2 IS NOT NULL ORDER BY Col1 DESC LIMIT 20"", 0) / QUERY(GOOGLEFINANCE(C476, ""low"", TODAY()-40, TODAY()), ""SELECT Col2 WHERE Col2 IS NOT NULL OR"&amp;"DER BY Col1 DESC LIMIT 20"", 0) - 1)))"),"#N/A")</f>
        <v>#N/A</v>
      </c>
      <c r="H476" s="35" t="str">
        <f t="shared" si="6"/>
        <v/>
      </c>
      <c r="I476" s="36" t="str">
        <f t="shared" si="7"/>
        <v/>
      </c>
      <c r="J476" s="37" t="str">
        <f>IFERROR(__xludf.DUMMYFUNCTION("IFERROR(
  IF(C476="""",, 
    IFERROR(
      GOOGLEFINANCE(C476, ""price"") * GOOGLEFINANCE(C476, ""volumeavg""), 
      GOOGLEFINANCE(C476, ""price"") * AVERAGE(QUERY(GOOGLEFINANCE(C476, ""volume"", TODAY()-40, TODAY()), ""SELECT Col2 WHERE Col2 IS NOT "&amp;"NULL ORDER BY Col1 DESC LIMIT 20"", 0))
    )
  ), 
"""")"),"")</f>
        <v/>
      </c>
      <c r="K476" s="21" t="str">
        <f>IFERROR(__xludf.DUMMYFUNCTION("IFERROR(GOOGLEFINANCE(C476, ""changepct"") / 100, """")"),"")</f>
        <v/>
      </c>
      <c r="L476" s="21" t="str">
        <f>IFERROR(__xludf.DUMMYFUNCTION("IFERROR((GOOGLEFINANCE(C476, ""price"") / INDEX(GOOGLEFINANCE(C476, ""price"", TODAY()-7, TODAY()), 2, 2)) - 1, """")"),"")</f>
        <v/>
      </c>
      <c r="M476" s="21" t="str">
        <f>IFERROR(__xludf.DUMMYFUNCTION("IFERROR((GOOGLEFINANCE(C476, ""price"") / INDEX(GOOGLEFINANCE(C476, ""price"", EDATE(TODAY(), -1), TODAY()), 2, 2)) - 1, """")"),"")</f>
        <v/>
      </c>
      <c r="N476" s="21" t="str">
        <f>IFERROR(__xludf.DUMMYFUNCTION("IFERROR((GOOGLEFINANCE(C476, ""price"") / INDEX(GOOGLEFINANCE(C476, ""price"", EDATE(TODAY(), -3), TODAY()), 2, 2)) - 1, """")"),"")</f>
        <v/>
      </c>
      <c r="O476" s="21" t="str">
        <f>IFERROR(__xludf.DUMMYFUNCTION("IFERROR((GOOGLEFINANCE(C476, ""price"") / INDEX(GOOGLEFINANCE(C476, ""price"", EDATE(TODAY(), -6), TODAY()), 2, 2)) - 1, """")"),"")</f>
        <v/>
      </c>
      <c r="P476" s="21" t="str">
        <f>IFERROR(__xludf.DUMMYFUNCTION("IFERROR((GOOGLEFINANCE(C476, ""price"") / INDEX(GOOGLEFINANCE(C476, ""price"", EDATE(TODAY(), -12), TODAY()), 2, 2)) - 1, """")"),"")</f>
        <v/>
      </c>
      <c r="Q476" s="6" t="str">
        <f>IFERROR(__xludf.DUMMYFUNCTION("AVERAGE(QUERY(GOOGLEFINANCE(C476, ""price"", TODAY()-80, TODAY()), ""SELECT Col2 WHERE Col2 IS NOT NULL ORDER BY Col1 DESC LIMIT 50"", 0))"),"#N/A")</f>
        <v>#N/A</v>
      </c>
      <c r="R476" s="24" t="str">
        <f>IFERROR(__xludf.DUMMYFUNCTION("IFERROR(
  LET(
    data, QUERY(GOOGLEFINANCE(C476,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GOOGLEFINANCE(C476, ""price"")) * 100,
    IF(calc=0, G476, calc)
  ), 
G476)"),"#N/A")</f>
        <v>#N/A</v>
      </c>
      <c r="S476" s="8" t="s">
        <v>15</v>
      </c>
      <c r="T476" s="26" t="str">
        <f>IFERROR(__xludf.DUMMYFUNCTION("IFERROR(TRANSPOSE(QUERY(IFERROR(SORT(GOOGLEFINANCE(C476, ""price"", WORKDAY(TODAY(), -40), TODAY()), 1, FALSE)), ""select Col2 where Col2 is not null limit 22 label Col2 ''"", 0)), """")"),"")</f>
        <v/>
      </c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8"/>
      <c r="AO476" s="28"/>
      <c r="AP476" s="29"/>
      <c r="AQ476" s="29" t="str">
        <f t="shared" ref="AQ476:BL476" si="479">T476/T$2</f>
        <v>#N/A</v>
      </c>
      <c r="AR476" s="29" t="str">
        <f t="shared" si="479"/>
        <v>#DIV/0!</v>
      </c>
      <c r="AS476" s="29" t="str">
        <f t="shared" si="479"/>
        <v>#DIV/0!</v>
      </c>
      <c r="AT476" s="29" t="str">
        <f t="shared" si="479"/>
        <v>#DIV/0!</v>
      </c>
      <c r="AU476" s="29" t="str">
        <f t="shared" si="479"/>
        <v>#DIV/0!</v>
      </c>
      <c r="AV476" s="29" t="str">
        <f t="shared" si="479"/>
        <v>#DIV/0!</v>
      </c>
      <c r="AW476" s="29" t="str">
        <f t="shared" si="479"/>
        <v>#DIV/0!</v>
      </c>
      <c r="AX476" s="29" t="str">
        <f t="shared" si="479"/>
        <v>#DIV/0!</v>
      </c>
      <c r="AY476" s="29" t="str">
        <f t="shared" si="479"/>
        <v>#DIV/0!</v>
      </c>
      <c r="AZ476" s="29" t="str">
        <f t="shared" si="479"/>
        <v>#DIV/0!</v>
      </c>
      <c r="BA476" s="29" t="str">
        <f t="shared" si="479"/>
        <v>#DIV/0!</v>
      </c>
      <c r="BB476" s="29" t="str">
        <f t="shared" si="479"/>
        <v>#DIV/0!</v>
      </c>
      <c r="BC476" s="29" t="str">
        <f t="shared" si="479"/>
        <v>#DIV/0!</v>
      </c>
      <c r="BD476" s="29" t="str">
        <f t="shared" si="479"/>
        <v>#DIV/0!</v>
      </c>
      <c r="BE476" s="29" t="str">
        <f t="shared" si="479"/>
        <v>#DIV/0!</v>
      </c>
      <c r="BF476" s="29" t="str">
        <f t="shared" si="479"/>
        <v>#DIV/0!</v>
      </c>
      <c r="BG476" s="29" t="str">
        <f t="shared" si="479"/>
        <v>#DIV/0!</v>
      </c>
      <c r="BH476" s="29" t="str">
        <f t="shared" si="479"/>
        <v>#DIV/0!</v>
      </c>
      <c r="BI476" s="29" t="str">
        <f t="shared" si="479"/>
        <v>#DIV/0!</v>
      </c>
      <c r="BJ476" s="29" t="str">
        <f t="shared" si="479"/>
        <v>#DIV/0!</v>
      </c>
      <c r="BK476" s="29" t="str">
        <f t="shared" si="479"/>
        <v>#DIV/0!</v>
      </c>
      <c r="BL476" s="29" t="str">
        <f t="shared" si="479"/>
        <v>#DIV/0!</v>
      </c>
      <c r="BM476" s="29" t="str">
        <f t="shared" si="3"/>
        <v>#DIV/0!</v>
      </c>
    </row>
    <row r="477">
      <c r="A477" s="16" t="str">
        <f>IFERROR(__xludf.DUMMYFUNCTION("IFERROR(SPARKLINE(SORT(MAP(TRANSPOSE(AQ477:BL477), LAMBDA(val, IF(ISNUMBER(val), PERCENTRANK(AQ477:BL477, val)+0.01, 0))), SEQUENCE(COLUMNS(AQ477:BL477)), FALSE), {""charttype"",""column""; ""color"",""chartreuse""; ""ymin"", 0; ""ymax"", 1.01; ""highcolo"&amp;"r"", ""darkgreen""; ""lowcolor"", ""red""}), """")"),"")</f>
        <v/>
      </c>
      <c r="B477" s="17" t="str">
        <f t="shared" si="4"/>
        <v/>
      </c>
      <c r="C477" s="1" t="s">
        <v>2188</v>
      </c>
      <c r="D477" s="34" t="str">
        <f>IFERROR(__xludf.DUMMYFUNCTION("IFERROR(GOOGLEFINANCE(C477, ""NAME""))"),"TowneBank")</f>
        <v>TowneBank</v>
      </c>
      <c r="E477" s="30" t="s">
        <v>268</v>
      </c>
      <c r="F477" s="33" t="str">
        <f>IFERROR(__xludf.DUMMYFUNCTION("( (GOOGLEFINANCE(C477, ""price"") - Q477) / Q477 ) / (R477 / 100)"),"Loading...")</f>
        <v>Loading...</v>
      </c>
      <c r="G477" s="20" t="str">
        <f>IFERROR(__xludf.DUMMYFUNCTION("AVERAGE(ARRAYFORMULA(100 * (QUERY(GOOGLEFINANCE(C477, ""high"", TODAY()-40, TODAY()), ""SELECT Col2 WHERE Col2 IS NOT NULL ORDER BY Col1 DESC LIMIT 20"", 0) / QUERY(GOOGLEFINANCE(C477, ""low"", TODAY()-40, TODAY()), ""SELECT Col2 WHERE Col2 IS NOT NULL OR"&amp;"DER BY Col1 DESC LIMIT 20"", 0) - 1)))"),"#N/A")</f>
        <v>#N/A</v>
      </c>
      <c r="H477" s="35" t="str">
        <f t="shared" si="6"/>
        <v/>
      </c>
      <c r="I477" s="36" t="str">
        <f t="shared" si="7"/>
        <v/>
      </c>
      <c r="J477" s="37" t="str">
        <f>IFERROR(__xludf.DUMMYFUNCTION("IFERROR(
  IF(C477="""",, 
    IFERROR(
      GOOGLEFINANCE(C477, ""price"") * GOOGLEFINANCE(C477, ""volumeavg""), 
      GOOGLEFINANCE(C477, ""price"") * AVERAGE(QUERY(GOOGLEFINANCE(C477, ""volume"", TODAY()-40, TODAY()), ""SELECT Col2 WHERE Col2 IS NOT "&amp;"NULL ORDER BY Col1 DESC LIMIT 20"", 0))
    )
  ), 
"""")"),"")</f>
        <v/>
      </c>
      <c r="K477" s="21" t="str">
        <f>IFERROR(__xludf.DUMMYFUNCTION("IFERROR(GOOGLEFINANCE(C477, ""changepct"") / 100, """")"),"")</f>
        <v/>
      </c>
      <c r="L477" s="21" t="str">
        <f>IFERROR(__xludf.DUMMYFUNCTION("IFERROR((GOOGLEFINANCE(C477, ""price"") / INDEX(GOOGLEFINANCE(C477, ""price"", TODAY()-7, TODAY()), 2, 2)) - 1, """")"),"")</f>
        <v/>
      </c>
      <c r="M477" s="21" t="str">
        <f>IFERROR(__xludf.DUMMYFUNCTION("IFERROR((GOOGLEFINANCE(C477, ""price"") / INDEX(GOOGLEFINANCE(C477, ""price"", EDATE(TODAY(), -1), TODAY()), 2, 2)) - 1, """")"),"")</f>
        <v/>
      </c>
      <c r="N477" s="21" t="str">
        <f>IFERROR(__xludf.DUMMYFUNCTION("IFERROR((GOOGLEFINANCE(C477, ""price"") / INDEX(GOOGLEFINANCE(C477, ""price"", EDATE(TODAY(), -3), TODAY()), 2, 2)) - 1, """")"),"")</f>
        <v/>
      </c>
      <c r="O477" s="21" t="str">
        <f>IFERROR(__xludf.DUMMYFUNCTION("IFERROR((GOOGLEFINANCE(C477, ""price"") / INDEX(GOOGLEFINANCE(C477, ""price"", EDATE(TODAY(), -6), TODAY()), 2, 2)) - 1, """")"),"")</f>
        <v/>
      </c>
      <c r="P477" s="21" t="str">
        <f>IFERROR(__xludf.DUMMYFUNCTION("IFERROR((GOOGLEFINANCE(C477, ""price"") / INDEX(GOOGLEFINANCE(C477, ""price"", EDATE(TODAY(), -12), TODAY()), 2, 2)) - 1, """")"),"")</f>
        <v/>
      </c>
      <c r="Q477" s="6" t="str">
        <f>IFERROR(__xludf.DUMMYFUNCTION("AVERAGE(QUERY(GOOGLEFINANCE(C477, ""price"", TODAY()-80, TODAY()), ""SELECT Col2 WHERE Col2 IS NOT NULL ORDER BY Col1 DESC LIMIT 50"", 0))"),"#N/A")</f>
        <v>#N/A</v>
      </c>
      <c r="R477" s="24" t="str">
        <f>IFERROR(__xludf.DUMMYFUNCTION("IFERROR(
  LET(
    data, QUERY(GOOGLEFINANCE(C477,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GOOGLEFINANCE(C477, ""price"")) * 100,
    IF(calc=0, G477, calc)
  ), 
G477)"),"#N/A")</f>
        <v>#N/A</v>
      </c>
      <c r="S477" s="8" t="s">
        <v>15</v>
      </c>
      <c r="T477" s="26" t="str">
        <f>IFERROR(__xludf.DUMMYFUNCTION("IFERROR(TRANSPOSE(QUERY(IFERROR(SORT(GOOGLEFINANCE(C477, ""price"", WORKDAY(TODAY(), -40), TODAY()), 1, FALSE)), ""select Col2 where Col2 is not null limit 22 label Col2 ''"", 0)), """")"),"")</f>
        <v/>
      </c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8"/>
      <c r="AO477" s="28"/>
      <c r="AP477" s="29"/>
      <c r="AQ477" s="29" t="str">
        <f t="shared" ref="AQ477:BL477" si="480">T477/T$2</f>
        <v>#N/A</v>
      </c>
      <c r="AR477" s="29" t="str">
        <f t="shared" si="480"/>
        <v>#DIV/0!</v>
      </c>
      <c r="AS477" s="29" t="str">
        <f t="shared" si="480"/>
        <v>#DIV/0!</v>
      </c>
      <c r="AT477" s="29" t="str">
        <f t="shared" si="480"/>
        <v>#DIV/0!</v>
      </c>
      <c r="AU477" s="29" t="str">
        <f t="shared" si="480"/>
        <v>#DIV/0!</v>
      </c>
      <c r="AV477" s="29" t="str">
        <f t="shared" si="480"/>
        <v>#DIV/0!</v>
      </c>
      <c r="AW477" s="29" t="str">
        <f t="shared" si="480"/>
        <v>#DIV/0!</v>
      </c>
      <c r="AX477" s="29" t="str">
        <f t="shared" si="480"/>
        <v>#DIV/0!</v>
      </c>
      <c r="AY477" s="29" t="str">
        <f t="shared" si="480"/>
        <v>#DIV/0!</v>
      </c>
      <c r="AZ477" s="29" t="str">
        <f t="shared" si="480"/>
        <v>#DIV/0!</v>
      </c>
      <c r="BA477" s="29" t="str">
        <f t="shared" si="480"/>
        <v>#DIV/0!</v>
      </c>
      <c r="BB477" s="29" t="str">
        <f t="shared" si="480"/>
        <v>#DIV/0!</v>
      </c>
      <c r="BC477" s="29" t="str">
        <f t="shared" si="480"/>
        <v>#DIV/0!</v>
      </c>
      <c r="BD477" s="29" t="str">
        <f t="shared" si="480"/>
        <v>#DIV/0!</v>
      </c>
      <c r="BE477" s="29" t="str">
        <f t="shared" si="480"/>
        <v>#DIV/0!</v>
      </c>
      <c r="BF477" s="29" t="str">
        <f t="shared" si="480"/>
        <v>#DIV/0!</v>
      </c>
      <c r="BG477" s="29" t="str">
        <f t="shared" si="480"/>
        <v>#DIV/0!</v>
      </c>
      <c r="BH477" s="29" t="str">
        <f t="shared" si="480"/>
        <v>#DIV/0!</v>
      </c>
      <c r="BI477" s="29" t="str">
        <f t="shared" si="480"/>
        <v>#DIV/0!</v>
      </c>
      <c r="BJ477" s="29" t="str">
        <f t="shared" si="480"/>
        <v>#DIV/0!</v>
      </c>
      <c r="BK477" s="29" t="str">
        <f t="shared" si="480"/>
        <v>#DIV/0!</v>
      </c>
      <c r="BL477" s="29" t="str">
        <f t="shared" si="480"/>
        <v>#DIV/0!</v>
      </c>
      <c r="BM477" s="29" t="str">
        <f t="shared" si="3"/>
        <v>#DIV/0!</v>
      </c>
    </row>
    <row r="478">
      <c r="A478" s="16" t="str">
        <f>IFERROR(__xludf.DUMMYFUNCTION("IFERROR(SPARKLINE(SORT(MAP(TRANSPOSE(AQ478:BL478), LAMBDA(val, IF(ISNUMBER(val), PERCENTRANK(AQ478:BL478, val)+0.01, 0))), SEQUENCE(COLUMNS(AQ478:BL478)), FALSE), {""charttype"",""column""; ""color"",""chartreuse""; ""ymin"", 0; ""ymax"", 1.01; ""highcolo"&amp;"r"", ""darkgreen""; ""lowcolor"", ""red""}), """")"),"")</f>
        <v/>
      </c>
      <c r="B478" s="17" t="str">
        <f t="shared" si="4"/>
        <v/>
      </c>
      <c r="C478" s="1" t="s">
        <v>2190</v>
      </c>
      <c r="D478" s="34" t="str">
        <f>IFERROR(__xludf.DUMMYFUNCTION("IFERROR(GOOGLEFINANCE(C478, ""NAME""))"),"Itau Unibanco Holding SA ADR")</f>
        <v>Itau Unibanco Holding SA ADR</v>
      </c>
      <c r="E478" s="30" t="s">
        <v>268</v>
      </c>
      <c r="F478" s="33" t="str">
        <f>IFERROR(__xludf.DUMMYFUNCTION("( (GOOGLEFINANCE(C478, ""price"") - Q478) / Q478 ) / (R478 / 100)"),"Loading...")</f>
        <v>Loading...</v>
      </c>
      <c r="G478" s="20" t="str">
        <f>IFERROR(__xludf.DUMMYFUNCTION("AVERAGE(ARRAYFORMULA(100 * (QUERY(GOOGLEFINANCE(C478, ""high"", TODAY()-40, TODAY()), ""SELECT Col2 WHERE Col2 IS NOT NULL ORDER BY Col1 DESC LIMIT 20"", 0) / QUERY(GOOGLEFINANCE(C478, ""low"", TODAY()-40, TODAY()), ""SELECT Col2 WHERE Col2 IS NOT NULL OR"&amp;"DER BY Col1 DESC LIMIT 20"", 0) - 1)))"),"#N/A")</f>
        <v>#N/A</v>
      </c>
      <c r="H478" s="35" t="str">
        <f t="shared" si="6"/>
        <v/>
      </c>
      <c r="I478" s="36" t="str">
        <f t="shared" si="7"/>
        <v/>
      </c>
      <c r="J478" s="37" t="str">
        <f>IFERROR(__xludf.DUMMYFUNCTION("IFERROR(
  IF(C478="""",, 
    IFERROR(
      GOOGLEFINANCE(C478, ""price"") * GOOGLEFINANCE(C478, ""volumeavg""), 
      GOOGLEFINANCE(C478, ""price"") * AVERAGE(QUERY(GOOGLEFINANCE(C478, ""volume"", TODAY()-40, TODAY()), ""SELECT Col2 WHERE Col2 IS NOT "&amp;"NULL ORDER BY Col1 DESC LIMIT 20"", 0))
    )
  ), 
"""")"),"")</f>
        <v/>
      </c>
      <c r="K478" s="21" t="str">
        <f>IFERROR(__xludf.DUMMYFUNCTION("IFERROR(GOOGLEFINANCE(C478, ""changepct"") / 100, """")"),"")</f>
        <v/>
      </c>
      <c r="L478" s="21" t="str">
        <f>IFERROR(__xludf.DUMMYFUNCTION("IFERROR((GOOGLEFINANCE(C478, ""price"") / INDEX(GOOGLEFINANCE(C478, ""price"", TODAY()-7, TODAY()), 2, 2)) - 1, """")"),"")</f>
        <v/>
      </c>
      <c r="M478" s="21" t="str">
        <f>IFERROR(__xludf.DUMMYFUNCTION("IFERROR((GOOGLEFINANCE(C478, ""price"") / INDEX(GOOGLEFINANCE(C478, ""price"", EDATE(TODAY(), -1), TODAY()), 2, 2)) - 1, """")"),"")</f>
        <v/>
      </c>
      <c r="N478" s="21" t="str">
        <f>IFERROR(__xludf.DUMMYFUNCTION("IFERROR((GOOGLEFINANCE(C478, ""price"") / INDEX(GOOGLEFINANCE(C478, ""price"", EDATE(TODAY(), -3), TODAY()), 2, 2)) - 1, """")"),"")</f>
        <v/>
      </c>
      <c r="O478" s="21" t="str">
        <f>IFERROR(__xludf.DUMMYFUNCTION("IFERROR((GOOGLEFINANCE(C478, ""price"") / INDEX(GOOGLEFINANCE(C478, ""price"", EDATE(TODAY(), -6), TODAY()), 2, 2)) - 1, """")"),"")</f>
        <v/>
      </c>
      <c r="P478" s="21" t="str">
        <f>IFERROR(__xludf.DUMMYFUNCTION("IFERROR((GOOGLEFINANCE(C478, ""price"") / INDEX(GOOGLEFINANCE(C478, ""price"", EDATE(TODAY(), -12), TODAY()), 2, 2)) - 1, """")"),"")</f>
        <v/>
      </c>
      <c r="Q478" s="6" t="str">
        <f>IFERROR(__xludf.DUMMYFUNCTION("AVERAGE(QUERY(GOOGLEFINANCE(C478, ""price"", TODAY()-80, TODAY()), ""SELECT Col2 WHERE Col2 IS NOT NULL ORDER BY Col1 DESC LIMIT 50"", 0))"),"#N/A")</f>
        <v>#N/A</v>
      </c>
      <c r="R478" s="24" t="str">
        <f>IFERROR(__xludf.DUMMYFUNCTION("IFERROR(
  LET(
    data, QUERY(GOOGLEFINANCE(C478,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GOOGLEFINANCE(C478, ""price"")) * 100,
    IF(calc=0, G478, calc)
  ), 
G478)"),"#N/A")</f>
        <v>#N/A</v>
      </c>
      <c r="S478" s="8" t="s">
        <v>15</v>
      </c>
      <c r="T478" s="26" t="str">
        <f>IFERROR(__xludf.DUMMYFUNCTION("IFERROR(TRANSPOSE(QUERY(IFERROR(SORT(GOOGLEFINANCE(C478, ""price"", WORKDAY(TODAY(), -40), TODAY()), 1, FALSE)), ""select Col2 where Col2 is not null limit 22 label Col2 ''"", 0)), """")"),"")</f>
        <v/>
      </c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8"/>
      <c r="AO478" s="28"/>
      <c r="AP478" s="29"/>
      <c r="AQ478" s="29" t="str">
        <f t="shared" ref="AQ478:BL478" si="481">T478/T$2</f>
        <v>#N/A</v>
      </c>
      <c r="AR478" s="29" t="str">
        <f t="shared" si="481"/>
        <v>#DIV/0!</v>
      </c>
      <c r="AS478" s="29" t="str">
        <f t="shared" si="481"/>
        <v>#DIV/0!</v>
      </c>
      <c r="AT478" s="29" t="str">
        <f t="shared" si="481"/>
        <v>#DIV/0!</v>
      </c>
      <c r="AU478" s="29" t="str">
        <f t="shared" si="481"/>
        <v>#DIV/0!</v>
      </c>
      <c r="AV478" s="29" t="str">
        <f t="shared" si="481"/>
        <v>#DIV/0!</v>
      </c>
      <c r="AW478" s="29" t="str">
        <f t="shared" si="481"/>
        <v>#DIV/0!</v>
      </c>
      <c r="AX478" s="29" t="str">
        <f t="shared" si="481"/>
        <v>#DIV/0!</v>
      </c>
      <c r="AY478" s="29" t="str">
        <f t="shared" si="481"/>
        <v>#DIV/0!</v>
      </c>
      <c r="AZ478" s="29" t="str">
        <f t="shared" si="481"/>
        <v>#DIV/0!</v>
      </c>
      <c r="BA478" s="29" t="str">
        <f t="shared" si="481"/>
        <v>#DIV/0!</v>
      </c>
      <c r="BB478" s="29" t="str">
        <f t="shared" si="481"/>
        <v>#DIV/0!</v>
      </c>
      <c r="BC478" s="29" t="str">
        <f t="shared" si="481"/>
        <v>#DIV/0!</v>
      </c>
      <c r="BD478" s="29" t="str">
        <f t="shared" si="481"/>
        <v>#DIV/0!</v>
      </c>
      <c r="BE478" s="29" t="str">
        <f t="shared" si="481"/>
        <v>#DIV/0!</v>
      </c>
      <c r="BF478" s="29" t="str">
        <f t="shared" si="481"/>
        <v>#DIV/0!</v>
      </c>
      <c r="BG478" s="29" t="str">
        <f t="shared" si="481"/>
        <v>#DIV/0!</v>
      </c>
      <c r="BH478" s="29" t="str">
        <f t="shared" si="481"/>
        <v>#DIV/0!</v>
      </c>
      <c r="BI478" s="29" t="str">
        <f t="shared" si="481"/>
        <v>#DIV/0!</v>
      </c>
      <c r="BJ478" s="29" t="str">
        <f t="shared" si="481"/>
        <v>#DIV/0!</v>
      </c>
      <c r="BK478" s="29" t="str">
        <f t="shared" si="481"/>
        <v>#DIV/0!</v>
      </c>
      <c r="BL478" s="29" t="str">
        <f t="shared" si="481"/>
        <v>#DIV/0!</v>
      </c>
      <c r="BM478" s="29" t="str">
        <f t="shared" si="3"/>
        <v>#DIV/0!</v>
      </c>
    </row>
    <row r="479">
      <c r="A479" s="16" t="str">
        <f>IFERROR(__xludf.DUMMYFUNCTION("IFERROR(SPARKLINE(SORT(MAP(TRANSPOSE(AQ479:BL479), LAMBDA(val, IF(ISNUMBER(val), PERCENTRANK(AQ479:BL479, val)+0.01, 0))), SEQUENCE(COLUMNS(AQ479:BL479)), FALSE), {""charttype"",""column""; ""color"",""chartreuse""; ""ymin"", 0; ""ymax"", 1.01; ""highcolo"&amp;"r"", ""darkgreen""; ""lowcolor"", ""red""}), """")"),"")</f>
        <v/>
      </c>
      <c r="B479" s="17" t="str">
        <f t="shared" si="4"/>
        <v/>
      </c>
      <c r="C479" s="1" t="s">
        <v>2195</v>
      </c>
      <c r="D479" s="34" t="str">
        <f>IFERROR(__xludf.DUMMYFUNCTION("IFERROR(GOOGLEFINANCE(C479, ""NAME""))"),"Upstart Holdings Inc")</f>
        <v>Upstart Holdings Inc</v>
      </c>
      <c r="E479" s="30" t="s">
        <v>145</v>
      </c>
      <c r="F479" s="33" t="str">
        <f>IFERROR(__xludf.DUMMYFUNCTION("( (GOOGLEFINANCE(C479, ""price"") - Q479) / Q479 ) / (R479 / 100)"),"Loading...")</f>
        <v>Loading...</v>
      </c>
      <c r="G479" s="20" t="str">
        <f>IFERROR(__xludf.DUMMYFUNCTION("AVERAGE(ARRAYFORMULA(100 * (QUERY(GOOGLEFINANCE(C479, ""high"", TODAY()-40, TODAY()), ""SELECT Col2 WHERE Col2 IS NOT NULL ORDER BY Col1 DESC LIMIT 20"", 0) / QUERY(GOOGLEFINANCE(C479, ""low"", TODAY()-40, TODAY()), ""SELECT Col2 WHERE Col2 IS NOT NULL OR"&amp;"DER BY Col1 DESC LIMIT 20"", 0) - 1)))"),"#N/A")</f>
        <v>#N/A</v>
      </c>
      <c r="H479" s="35" t="str">
        <f t="shared" si="6"/>
        <v/>
      </c>
      <c r="I479" s="36" t="str">
        <f t="shared" si="7"/>
        <v/>
      </c>
      <c r="J479" s="37" t="str">
        <f>IFERROR(__xludf.DUMMYFUNCTION("IFERROR(
  IF(C479="""",, 
    IFERROR(
      GOOGLEFINANCE(C479, ""price"") * GOOGLEFINANCE(C479, ""volumeavg""), 
      GOOGLEFINANCE(C479, ""price"") * AVERAGE(QUERY(GOOGLEFINANCE(C479, ""volume"", TODAY()-40, TODAY()), ""SELECT Col2 WHERE Col2 IS NOT "&amp;"NULL ORDER BY Col1 DESC LIMIT 20"", 0))
    )
  ), 
"""")"),"")</f>
        <v/>
      </c>
      <c r="K479" s="21" t="str">
        <f>IFERROR(__xludf.DUMMYFUNCTION("IFERROR(GOOGLEFINANCE(C479, ""changepct"") / 100, """")"),"")</f>
        <v/>
      </c>
      <c r="L479" s="21" t="str">
        <f>IFERROR(__xludf.DUMMYFUNCTION("IFERROR((GOOGLEFINANCE(C479, ""price"") / INDEX(GOOGLEFINANCE(C479, ""price"", TODAY()-7, TODAY()), 2, 2)) - 1, """")"),"")</f>
        <v/>
      </c>
      <c r="M479" s="21" t="str">
        <f>IFERROR(__xludf.DUMMYFUNCTION("IFERROR((GOOGLEFINANCE(C479, ""price"") / INDEX(GOOGLEFINANCE(C479, ""price"", EDATE(TODAY(), -1), TODAY()), 2, 2)) - 1, """")"),"")</f>
        <v/>
      </c>
      <c r="N479" s="21" t="str">
        <f>IFERROR(__xludf.DUMMYFUNCTION("IFERROR((GOOGLEFINANCE(C479, ""price"") / INDEX(GOOGLEFINANCE(C479, ""price"", EDATE(TODAY(), -3), TODAY()), 2, 2)) - 1, """")"),"")</f>
        <v/>
      </c>
      <c r="O479" s="21" t="str">
        <f>IFERROR(__xludf.DUMMYFUNCTION("IFERROR((GOOGLEFINANCE(C479, ""price"") / INDEX(GOOGLEFINANCE(C479, ""price"", EDATE(TODAY(), -6), TODAY()), 2, 2)) - 1, """")"),"")</f>
        <v/>
      </c>
      <c r="P479" s="21" t="str">
        <f>IFERROR(__xludf.DUMMYFUNCTION("IFERROR((GOOGLEFINANCE(C479, ""price"") / INDEX(GOOGLEFINANCE(C479, ""price"", EDATE(TODAY(), -12), TODAY()), 2, 2)) - 1, """")"),"")</f>
        <v/>
      </c>
      <c r="Q479" s="6" t="str">
        <f>IFERROR(__xludf.DUMMYFUNCTION("AVERAGE(QUERY(GOOGLEFINANCE(C479, ""price"", TODAY()-80, TODAY()), ""SELECT Col2 WHERE Col2 IS NOT NULL ORDER BY Col1 DESC LIMIT 50"", 0))"),"#N/A")</f>
        <v>#N/A</v>
      </c>
      <c r="R479" s="24" t="str">
        <f>IFERROR(__xludf.DUMMYFUNCTION("IFERROR(
  LET(
    data, QUERY(GOOGLEFINANCE(C479,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GOOGLEFINANCE(C479, ""price"")) * 100,
    IF(calc=0, G479, calc)
  ), 
G479)"),"#N/A")</f>
        <v>#N/A</v>
      </c>
      <c r="S479" s="8" t="s">
        <v>15</v>
      </c>
      <c r="T479" s="26" t="str">
        <f>IFERROR(__xludf.DUMMYFUNCTION("IFERROR(TRANSPOSE(QUERY(IFERROR(SORT(GOOGLEFINANCE(C479, ""price"", WORKDAY(TODAY(), -40), TODAY()), 1, FALSE)), ""select Col2 where Col2 is not null limit 22 label Col2 ''"", 0)), """")"),"")</f>
        <v/>
      </c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8"/>
      <c r="AO479" s="28"/>
      <c r="AP479" s="29"/>
      <c r="AQ479" s="29" t="str">
        <f t="shared" ref="AQ479:BL479" si="482">T479/T$2</f>
        <v>#N/A</v>
      </c>
      <c r="AR479" s="29" t="str">
        <f t="shared" si="482"/>
        <v>#DIV/0!</v>
      </c>
      <c r="AS479" s="29" t="str">
        <f t="shared" si="482"/>
        <v>#DIV/0!</v>
      </c>
      <c r="AT479" s="29" t="str">
        <f t="shared" si="482"/>
        <v>#DIV/0!</v>
      </c>
      <c r="AU479" s="29" t="str">
        <f t="shared" si="482"/>
        <v>#DIV/0!</v>
      </c>
      <c r="AV479" s="29" t="str">
        <f t="shared" si="482"/>
        <v>#DIV/0!</v>
      </c>
      <c r="AW479" s="29" t="str">
        <f t="shared" si="482"/>
        <v>#DIV/0!</v>
      </c>
      <c r="AX479" s="29" t="str">
        <f t="shared" si="482"/>
        <v>#DIV/0!</v>
      </c>
      <c r="AY479" s="29" t="str">
        <f t="shared" si="482"/>
        <v>#DIV/0!</v>
      </c>
      <c r="AZ479" s="29" t="str">
        <f t="shared" si="482"/>
        <v>#DIV/0!</v>
      </c>
      <c r="BA479" s="29" t="str">
        <f t="shared" si="482"/>
        <v>#DIV/0!</v>
      </c>
      <c r="BB479" s="29" t="str">
        <f t="shared" si="482"/>
        <v>#DIV/0!</v>
      </c>
      <c r="BC479" s="29" t="str">
        <f t="shared" si="482"/>
        <v>#DIV/0!</v>
      </c>
      <c r="BD479" s="29" t="str">
        <f t="shared" si="482"/>
        <v>#DIV/0!</v>
      </c>
      <c r="BE479" s="29" t="str">
        <f t="shared" si="482"/>
        <v>#DIV/0!</v>
      </c>
      <c r="BF479" s="29" t="str">
        <f t="shared" si="482"/>
        <v>#DIV/0!</v>
      </c>
      <c r="BG479" s="29" t="str">
        <f t="shared" si="482"/>
        <v>#DIV/0!</v>
      </c>
      <c r="BH479" s="29" t="str">
        <f t="shared" si="482"/>
        <v>#DIV/0!</v>
      </c>
      <c r="BI479" s="29" t="str">
        <f t="shared" si="482"/>
        <v>#DIV/0!</v>
      </c>
      <c r="BJ479" s="29" t="str">
        <f t="shared" si="482"/>
        <v>#DIV/0!</v>
      </c>
      <c r="BK479" s="29" t="str">
        <f t="shared" si="482"/>
        <v>#DIV/0!</v>
      </c>
      <c r="BL479" s="29" t="str">
        <f t="shared" si="482"/>
        <v>#DIV/0!</v>
      </c>
      <c r="BM479" s="29" t="str">
        <f t="shared" si="3"/>
        <v>#DIV/0!</v>
      </c>
    </row>
    <row r="480">
      <c r="A480" s="16" t="str">
        <f>IFERROR(__xludf.DUMMYFUNCTION("IFERROR(SPARKLINE(SORT(MAP(TRANSPOSE(AQ480:BL480), LAMBDA(val, IF(ISNUMBER(val), PERCENTRANK(AQ480:BL480, val)+0.01, 0))), SEQUENCE(COLUMNS(AQ480:BL480)), FALSE), {""charttype"",""column""; ""color"",""chartreuse""; ""ymin"", 0; ""ymax"", 1.01; ""highcolo"&amp;"r"", ""darkgreen""; ""lowcolor"", ""red""}), """")"),"")</f>
        <v/>
      </c>
      <c r="B480" s="17" t="str">
        <f t="shared" si="4"/>
        <v/>
      </c>
      <c r="C480" s="1" t="s">
        <v>2199</v>
      </c>
      <c r="D480" s="34" t="str">
        <f>IFERROR(__xludf.DUMMYFUNCTION("IFERROR(GOOGLEFINANCE(C480, ""NAME""))"),"Western Union Co")</f>
        <v>Western Union Co</v>
      </c>
      <c r="E480" s="30" t="s">
        <v>145</v>
      </c>
      <c r="F480" s="33" t="str">
        <f>IFERROR(__xludf.DUMMYFUNCTION("( (GOOGLEFINANCE(C480, ""price"") - Q480) / Q480 ) / (R480 / 100)"),"Loading...")</f>
        <v>Loading...</v>
      </c>
      <c r="G480" s="20" t="str">
        <f>IFERROR(__xludf.DUMMYFUNCTION("AVERAGE(ARRAYFORMULA(100 * (QUERY(GOOGLEFINANCE(C480, ""high"", TODAY()-40, TODAY()), ""SELECT Col2 WHERE Col2 IS NOT NULL ORDER BY Col1 DESC LIMIT 20"", 0) / QUERY(GOOGLEFINANCE(C480, ""low"", TODAY()-40, TODAY()), ""SELECT Col2 WHERE Col2 IS NOT NULL OR"&amp;"DER BY Col1 DESC LIMIT 20"", 0) - 1)))"),"#N/A")</f>
        <v>#N/A</v>
      </c>
      <c r="H480" s="35" t="str">
        <f t="shared" si="6"/>
        <v/>
      </c>
      <c r="I480" s="36" t="str">
        <f t="shared" si="7"/>
        <v/>
      </c>
      <c r="J480" s="37" t="str">
        <f>IFERROR(__xludf.DUMMYFUNCTION("IFERROR(
  IF(C480="""",, 
    IFERROR(
      GOOGLEFINANCE(C480, ""price"") * GOOGLEFINANCE(C480, ""volumeavg""), 
      GOOGLEFINANCE(C480, ""price"") * AVERAGE(QUERY(GOOGLEFINANCE(C480, ""volume"", TODAY()-40, TODAY()), ""SELECT Col2 WHERE Col2 IS NOT "&amp;"NULL ORDER BY Col1 DESC LIMIT 20"", 0))
    )
  ), 
"""")"),"")</f>
        <v/>
      </c>
      <c r="K480" s="21" t="str">
        <f>IFERROR(__xludf.DUMMYFUNCTION("IFERROR(GOOGLEFINANCE(C480, ""changepct"") / 100, """")"),"")</f>
        <v/>
      </c>
      <c r="L480" s="21" t="str">
        <f>IFERROR(__xludf.DUMMYFUNCTION("IFERROR((GOOGLEFINANCE(C480, ""price"") / INDEX(GOOGLEFINANCE(C480, ""price"", TODAY()-7, TODAY()), 2, 2)) - 1, """")"),"")</f>
        <v/>
      </c>
      <c r="M480" s="21" t="str">
        <f>IFERROR(__xludf.DUMMYFUNCTION("IFERROR((GOOGLEFINANCE(C480, ""price"") / INDEX(GOOGLEFINANCE(C480, ""price"", EDATE(TODAY(), -1), TODAY()), 2, 2)) - 1, """")"),"")</f>
        <v/>
      </c>
      <c r="N480" s="21" t="str">
        <f>IFERROR(__xludf.DUMMYFUNCTION("IFERROR((GOOGLEFINANCE(C480, ""price"") / INDEX(GOOGLEFINANCE(C480, ""price"", EDATE(TODAY(), -3), TODAY()), 2, 2)) - 1, """")"),"")</f>
        <v/>
      </c>
      <c r="O480" s="21" t="str">
        <f>IFERROR(__xludf.DUMMYFUNCTION("IFERROR((GOOGLEFINANCE(C480, ""price"") / INDEX(GOOGLEFINANCE(C480, ""price"", EDATE(TODAY(), -6), TODAY()), 2, 2)) - 1, """")"),"")</f>
        <v/>
      </c>
      <c r="P480" s="21" t="str">
        <f>IFERROR(__xludf.DUMMYFUNCTION("IFERROR((GOOGLEFINANCE(C480, ""price"") / INDEX(GOOGLEFINANCE(C480, ""price"", EDATE(TODAY(), -12), TODAY()), 2, 2)) - 1, """")"),"")</f>
        <v/>
      </c>
      <c r="Q480" s="6" t="str">
        <f>IFERROR(__xludf.DUMMYFUNCTION("AVERAGE(QUERY(GOOGLEFINANCE(C480, ""price"", TODAY()-80, TODAY()), ""SELECT Col2 WHERE Col2 IS NOT NULL ORDER BY Col1 DESC LIMIT 50"", 0))"),"#N/A")</f>
        <v>#N/A</v>
      </c>
      <c r="R480" s="24" t="str">
        <f>IFERROR(__xludf.DUMMYFUNCTION("IFERROR(
  LET(
    data, QUERY(GOOGLEFINANCE(C480,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GOOGLEFINANCE(C480, ""price"")) * 100,
    IF(calc=0, G480, calc)
  ), 
G480)"),"#N/A")</f>
        <v>#N/A</v>
      </c>
      <c r="S480" s="8" t="s">
        <v>15</v>
      </c>
      <c r="T480" s="26" t="str">
        <f>IFERROR(__xludf.DUMMYFUNCTION("IFERROR(TRANSPOSE(QUERY(IFERROR(SORT(GOOGLEFINANCE(C480, ""price"", WORKDAY(TODAY(), -40), TODAY()), 1, FALSE)), ""select Col2 where Col2 is not null limit 22 label Col2 ''"", 0)), """")"),"")</f>
        <v/>
      </c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8"/>
      <c r="AO480" s="28"/>
      <c r="AP480" s="29"/>
      <c r="AQ480" s="29" t="str">
        <f t="shared" ref="AQ480:BL480" si="483">T480/T$2</f>
        <v>#N/A</v>
      </c>
      <c r="AR480" s="29" t="str">
        <f t="shared" si="483"/>
        <v>#DIV/0!</v>
      </c>
      <c r="AS480" s="29" t="str">
        <f t="shared" si="483"/>
        <v>#DIV/0!</v>
      </c>
      <c r="AT480" s="29" t="str">
        <f t="shared" si="483"/>
        <v>#DIV/0!</v>
      </c>
      <c r="AU480" s="29" t="str">
        <f t="shared" si="483"/>
        <v>#DIV/0!</v>
      </c>
      <c r="AV480" s="29" t="str">
        <f t="shared" si="483"/>
        <v>#DIV/0!</v>
      </c>
      <c r="AW480" s="29" t="str">
        <f t="shared" si="483"/>
        <v>#DIV/0!</v>
      </c>
      <c r="AX480" s="29" t="str">
        <f t="shared" si="483"/>
        <v>#DIV/0!</v>
      </c>
      <c r="AY480" s="29" t="str">
        <f t="shared" si="483"/>
        <v>#DIV/0!</v>
      </c>
      <c r="AZ480" s="29" t="str">
        <f t="shared" si="483"/>
        <v>#DIV/0!</v>
      </c>
      <c r="BA480" s="29" t="str">
        <f t="shared" si="483"/>
        <v>#DIV/0!</v>
      </c>
      <c r="BB480" s="29" t="str">
        <f t="shared" si="483"/>
        <v>#DIV/0!</v>
      </c>
      <c r="BC480" s="29" t="str">
        <f t="shared" si="483"/>
        <v>#DIV/0!</v>
      </c>
      <c r="BD480" s="29" t="str">
        <f t="shared" si="483"/>
        <v>#DIV/0!</v>
      </c>
      <c r="BE480" s="29" t="str">
        <f t="shared" si="483"/>
        <v>#DIV/0!</v>
      </c>
      <c r="BF480" s="29" t="str">
        <f t="shared" si="483"/>
        <v>#DIV/0!</v>
      </c>
      <c r="BG480" s="29" t="str">
        <f t="shared" si="483"/>
        <v>#DIV/0!</v>
      </c>
      <c r="BH480" s="29" t="str">
        <f t="shared" si="483"/>
        <v>#DIV/0!</v>
      </c>
      <c r="BI480" s="29" t="str">
        <f t="shared" si="483"/>
        <v>#DIV/0!</v>
      </c>
      <c r="BJ480" s="29" t="str">
        <f t="shared" si="483"/>
        <v>#DIV/0!</v>
      </c>
      <c r="BK480" s="29" t="str">
        <f t="shared" si="483"/>
        <v>#DIV/0!</v>
      </c>
      <c r="BL480" s="29" t="str">
        <f t="shared" si="483"/>
        <v>#DIV/0!</v>
      </c>
      <c r="BM480" s="29" t="str">
        <f t="shared" si="3"/>
        <v>#DIV/0!</v>
      </c>
    </row>
    <row r="481">
      <c r="A481" s="16" t="str">
        <f>IFERROR(__xludf.DUMMYFUNCTION("IFERROR(SPARKLINE(SORT(MAP(TRANSPOSE(AQ481:BL481), LAMBDA(val, IF(ISNUMBER(val), PERCENTRANK(AQ481:BL481, val)+0.01, 0))), SEQUENCE(COLUMNS(AQ481:BL481)), FALSE), {""charttype"",""column""; ""color"",""chartreuse""; ""ymin"", 0; ""ymax"", 1.01; ""highcolo"&amp;"r"", ""darkgreen""; ""lowcolor"", ""red""}), """")"),"")</f>
        <v/>
      </c>
      <c r="B481" s="17" t="str">
        <f t="shared" si="4"/>
        <v/>
      </c>
      <c r="C481" s="1" t="s">
        <v>2203</v>
      </c>
      <c r="D481" s="34" t="str">
        <f>IFERROR(__xludf.DUMMYFUNCTION("IFERROR(GOOGLEFINANCE(C481, ""NAME""))"),"Palomar Holdings Inc")</f>
        <v>Palomar Holdings Inc</v>
      </c>
      <c r="E481" s="30" t="s">
        <v>82</v>
      </c>
      <c r="F481" s="33" t="str">
        <f>IFERROR(__xludf.DUMMYFUNCTION("( (GOOGLEFINANCE(C481, ""price"") - Q481) / Q481 ) / (R481 / 100)"),"Loading...")</f>
        <v>Loading...</v>
      </c>
      <c r="G481" s="20" t="str">
        <f>IFERROR(__xludf.DUMMYFUNCTION("AVERAGE(ARRAYFORMULA(100 * (QUERY(GOOGLEFINANCE(C481, ""high"", TODAY()-40, TODAY()), ""SELECT Col2 WHERE Col2 IS NOT NULL ORDER BY Col1 DESC LIMIT 20"", 0) / QUERY(GOOGLEFINANCE(C481, ""low"", TODAY()-40, TODAY()), ""SELECT Col2 WHERE Col2 IS NOT NULL OR"&amp;"DER BY Col1 DESC LIMIT 20"", 0) - 1)))"),"#N/A")</f>
        <v>#N/A</v>
      </c>
      <c r="H481" s="35" t="str">
        <f t="shared" si="6"/>
        <v/>
      </c>
      <c r="I481" s="36" t="str">
        <f t="shared" si="7"/>
        <v/>
      </c>
      <c r="J481" s="37" t="str">
        <f>IFERROR(__xludf.DUMMYFUNCTION("IFERROR(
  IF(C481="""",, 
    IFERROR(
      GOOGLEFINANCE(C481, ""price"") * GOOGLEFINANCE(C481, ""volumeavg""), 
      GOOGLEFINANCE(C481, ""price"") * AVERAGE(QUERY(GOOGLEFINANCE(C481, ""volume"", TODAY()-40, TODAY()), ""SELECT Col2 WHERE Col2 IS NOT "&amp;"NULL ORDER BY Col1 DESC LIMIT 20"", 0))
    )
  ), 
"""")"),"")</f>
        <v/>
      </c>
      <c r="K481" s="21" t="str">
        <f>IFERROR(__xludf.DUMMYFUNCTION("IFERROR(GOOGLEFINANCE(C481, ""changepct"") / 100, """")"),"")</f>
        <v/>
      </c>
      <c r="L481" s="21" t="str">
        <f>IFERROR(__xludf.DUMMYFUNCTION("IFERROR((GOOGLEFINANCE(C481, ""price"") / INDEX(GOOGLEFINANCE(C481, ""price"", TODAY()-7, TODAY()), 2, 2)) - 1, """")"),"")</f>
        <v/>
      </c>
      <c r="M481" s="21" t="str">
        <f>IFERROR(__xludf.DUMMYFUNCTION("IFERROR((GOOGLEFINANCE(C481, ""price"") / INDEX(GOOGLEFINANCE(C481, ""price"", EDATE(TODAY(), -1), TODAY()), 2, 2)) - 1, """")"),"")</f>
        <v/>
      </c>
      <c r="N481" s="21" t="str">
        <f>IFERROR(__xludf.DUMMYFUNCTION("IFERROR((GOOGLEFINANCE(C481, ""price"") / INDEX(GOOGLEFINANCE(C481, ""price"", EDATE(TODAY(), -3), TODAY()), 2, 2)) - 1, """")"),"")</f>
        <v/>
      </c>
      <c r="O481" s="21" t="str">
        <f>IFERROR(__xludf.DUMMYFUNCTION("IFERROR((GOOGLEFINANCE(C481, ""price"") / INDEX(GOOGLEFINANCE(C481, ""price"", EDATE(TODAY(), -6), TODAY()), 2, 2)) - 1, """")"),"")</f>
        <v/>
      </c>
      <c r="P481" s="21" t="str">
        <f>IFERROR(__xludf.DUMMYFUNCTION("IFERROR((GOOGLEFINANCE(C481, ""price"") / INDEX(GOOGLEFINANCE(C481, ""price"", EDATE(TODAY(), -12), TODAY()), 2, 2)) - 1, """")"),"")</f>
        <v/>
      </c>
      <c r="Q481" s="6" t="str">
        <f>IFERROR(__xludf.DUMMYFUNCTION("AVERAGE(QUERY(GOOGLEFINANCE(C481, ""price"", TODAY()-80, TODAY()), ""SELECT Col2 WHERE Col2 IS NOT NULL ORDER BY Col1 DESC LIMIT 50"", 0))"),"#N/A")</f>
        <v>#N/A</v>
      </c>
      <c r="R481" s="24" t="str">
        <f>IFERROR(__xludf.DUMMYFUNCTION("IFERROR(
  LET(
    data, QUERY(GOOGLEFINANCE(C481,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GOOGLEFINANCE(C481, ""price"")) * 100,
    IF(calc=0, G481, calc)
  ), 
G481)"),"#N/A")</f>
        <v>#N/A</v>
      </c>
      <c r="S481" s="8" t="s">
        <v>15</v>
      </c>
      <c r="T481" s="26" t="str">
        <f>IFERROR(__xludf.DUMMYFUNCTION("IFERROR(TRANSPOSE(QUERY(IFERROR(SORT(GOOGLEFINANCE(C481, ""price"", WORKDAY(TODAY(), -40), TODAY()), 1, FALSE)), ""select Col2 where Col2 is not null limit 22 label Col2 ''"", 0)), """")"),"")</f>
        <v/>
      </c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8"/>
      <c r="AO481" s="28"/>
      <c r="AP481" s="29"/>
      <c r="AQ481" s="29" t="str">
        <f t="shared" ref="AQ481:BL481" si="484">T481/T$2</f>
        <v>#N/A</v>
      </c>
      <c r="AR481" s="29" t="str">
        <f t="shared" si="484"/>
        <v>#DIV/0!</v>
      </c>
      <c r="AS481" s="29" t="str">
        <f t="shared" si="484"/>
        <v>#DIV/0!</v>
      </c>
      <c r="AT481" s="29" t="str">
        <f t="shared" si="484"/>
        <v>#DIV/0!</v>
      </c>
      <c r="AU481" s="29" t="str">
        <f t="shared" si="484"/>
        <v>#DIV/0!</v>
      </c>
      <c r="AV481" s="29" t="str">
        <f t="shared" si="484"/>
        <v>#DIV/0!</v>
      </c>
      <c r="AW481" s="29" t="str">
        <f t="shared" si="484"/>
        <v>#DIV/0!</v>
      </c>
      <c r="AX481" s="29" t="str">
        <f t="shared" si="484"/>
        <v>#DIV/0!</v>
      </c>
      <c r="AY481" s="29" t="str">
        <f t="shared" si="484"/>
        <v>#DIV/0!</v>
      </c>
      <c r="AZ481" s="29" t="str">
        <f t="shared" si="484"/>
        <v>#DIV/0!</v>
      </c>
      <c r="BA481" s="29" t="str">
        <f t="shared" si="484"/>
        <v>#DIV/0!</v>
      </c>
      <c r="BB481" s="29" t="str">
        <f t="shared" si="484"/>
        <v>#DIV/0!</v>
      </c>
      <c r="BC481" s="29" t="str">
        <f t="shared" si="484"/>
        <v>#DIV/0!</v>
      </c>
      <c r="BD481" s="29" t="str">
        <f t="shared" si="484"/>
        <v>#DIV/0!</v>
      </c>
      <c r="BE481" s="29" t="str">
        <f t="shared" si="484"/>
        <v>#DIV/0!</v>
      </c>
      <c r="BF481" s="29" t="str">
        <f t="shared" si="484"/>
        <v>#DIV/0!</v>
      </c>
      <c r="BG481" s="29" t="str">
        <f t="shared" si="484"/>
        <v>#DIV/0!</v>
      </c>
      <c r="BH481" s="29" t="str">
        <f t="shared" si="484"/>
        <v>#DIV/0!</v>
      </c>
      <c r="BI481" s="29" t="str">
        <f t="shared" si="484"/>
        <v>#DIV/0!</v>
      </c>
      <c r="BJ481" s="29" t="str">
        <f t="shared" si="484"/>
        <v>#DIV/0!</v>
      </c>
      <c r="BK481" s="29" t="str">
        <f t="shared" si="484"/>
        <v>#DIV/0!</v>
      </c>
      <c r="BL481" s="29" t="str">
        <f t="shared" si="484"/>
        <v>#DIV/0!</v>
      </c>
      <c r="BM481" s="29" t="str">
        <f t="shared" si="3"/>
        <v>#DIV/0!</v>
      </c>
    </row>
    <row r="482">
      <c r="A482" s="16" t="str">
        <f>IFERROR(__xludf.DUMMYFUNCTION("IFERROR(SPARKLINE(SORT(MAP(TRANSPOSE(AQ482:BL482), LAMBDA(val, IF(ISNUMBER(val), PERCENTRANK(AQ482:BL482, val)+0.01, 0))), SEQUENCE(COLUMNS(AQ482:BL482)), FALSE), {""charttype"",""column""; ""color"",""chartreuse""; ""ymin"", 0; ""ymax"", 1.01; ""highcolo"&amp;"r"", ""darkgreen""; ""lowcolor"", ""red""}), """")"),"")</f>
        <v/>
      </c>
      <c r="B482" s="17" t="str">
        <f t="shared" si="4"/>
        <v/>
      </c>
      <c r="C482" s="1" t="s">
        <v>2207</v>
      </c>
      <c r="D482" s="34" t="str">
        <f>IFERROR(__xludf.DUMMYFUNCTION("IFERROR(GOOGLEFINANCE(C482, ""NAME""))"),"Employers Holdings Inc")</f>
        <v>Employers Holdings Inc</v>
      </c>
      <c r="E482" s="30" t="s">
        <v>276</v>
      </c>
      <c r="F482" s="33" t="str">
        <f>IFERROR(__xludf.DUMMYFUNCTION("( (GOOGLEFINANCE(C482, ""price"") - Q482) / Q482 ) / (R482 / 100)"),"Loading...")</f>
        <v>Loading...</v>
      </c>
      <c r="G482" s="20" t="str">
        <f>IFERROR(__xludf.DUMMYFUNCTION("AVERAGE(ARRAYFORMULA(100 * (QUERY(GOOGLEFINANCE(C482, ""high"", TODAY()-40, TODAY()), ""SELECT Col2 WHERE Col2 IS NOT NULL ORDER BY Col1 DESC LIMIT 20"", 0) / QUERY(GOOGLEFINANCE(C482, ""low"", TODAY()-40, TODAY()), ""SELECT Col2 WHERE Col2 IS NOT NULL OR"&amp;"DER BY Col1 DESC LIMIT 20"", 0) - 1)))"),"#N/A")</f>
        <v>#N/A</v>
      </c>
      <c r="H482" s="35" t="str">
        <f t="shared" si="6"/>
        <v/>
      </c>
      <c r="I482" s="36" t="str">
        <f t="shared" si="7"/>
        <v/>
      </c>
      <c r="J482" s="37" t="str">
        <f>IFERROR(__xludf.DUMMYFUNCTION("IFERROR(
  IF(C482="""",, 
    IFERROR(
      GOOGLEFINANCE(C482, ""price"") * GOOGLEFINANCE(C482, ""volumeavg""), 
      GOOGLEFINANCE(C482, ""price"") * AVERAGE(QUERY(GOOGLEFINANCE(C482, ""volume"", TODAY()-40, TODAY()), ""SELECT Col2 WHERE Col2 IS NOT "&amp;"NULL ORDER BY Col1 DESC LIMIT 20"", 0))
    )
  ), 
"""")"),"")</f>
        <v/>
      </c>
      <c r="K482" s="21" t="str">
        <f>IFERROR(__xludf.DUMMYFUNCTION("IFERROR(GOOGLEFINANCE(C482, ""changepct"") / 100, """")"),"")</f>
        <v/>
      </c>
      <c r="L482" s="21" t="str">
        <f>IFERROR(__xludf.DUMMYFUNCTION("IFERROR((GOOGLEFINANCE(C482, ""price"") / INDEX(GOOGLEFINANCE(C482, ""price"", TODAY()-7, TODAY()), 2, 2)) - 1, """")"),"")</f>
        <v/>
      </c>
      <c r="M482" s="21" t="str">
        <f>IFERROR(__xludf.DUMMYFUNCTION("IFERROR((GOOGLEFINANCE(C482, ""price"") / INDEX(GOOGLEFINANCE(C482, ""price"", EDATE(TODAY(), -1), TODAY()), 2, 2)) - 1, """")"),"")</f>
        <v/>
      </c>
      <c r="N482" s="21" t="str">
        <f>IFERROR(__xludf.DUMMYFUNCTION("IFERROR((GOOGLEFINANCE(C482, ""price"") / INDEX(GOOGLEFINANCE(C482, ""price"", EDATE(TODAY(), -3), TODAY()), 2, 2)) - 1, """")"),"")</f>
        <v/>
      </c>
      <c r="O482" s="21" t="str">
        <f>IFERROR(__xludf.DUMMYFUNCTION("IFERROR((GOOGLEFINANCE(C482, ""price"") / INDEX(GOOGLEFINANCE(C482, ""price"", EDATE(TODAY(), -6), TODAY()), 2, 2)) - 1, """")"),"")</f>
        <v/>
      </c>
      <c r="P482" s="21" t="str">
        <f>IFERROR(__xludf.DUMMYFUNCTION("IFERROR((GOOGLEFINANCE(C482, ""price"") / INDEX(GOOGLEFINANCE(C482, ""price"", EDATE(TODAY(), -12), TODAY()), 2, 2)) - 1, """")"),"")</f>
        <v/>
      </c>
      <c r="Q482" s="6" t="str">
        <f>IFERROR(__xludf.DUMMYFUNCTION("AVERAGE(QUERY(GOOGLEFINANCE(C482, ""price"", TODAY()-80, TODAY()), ""SELECT Col2 WHERE Col2 IS NOT NULL ORDER BY Col1 DESC LIMIT 50"", 0))"),"#N/A")</f>
        <v>#N/A</v>
      </c>
      <c r="R482" s="24" t="str">
        <f>IFERROR(__xludf.DUMMYFUNCTION("IFERROR(
  LET(
    data, QUERY(GOOGLEFINANCE(C482,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GOOGLEFINANCE(C482, ""price"")) * 100,
    IF(calc=0, G482, calc)
  ), 
G482)"),"#N/A")</f>
        <v>#N/A</v>
      </c>
      <c r="S482" s="8" t="s">
        <v>15</v>
      </c>
      <c r="T482" s="26" t="str">
        <f>IFERROR(__xludf.DUMMYFUNCTION("IFERROR(TRANSPOSE(QUERY(IFERROR(SORT(GOOGLEFINANCE(C482, ""price"", WORKDAY(TODAY(), -40), TODAY()), 1, FALSE)), ""select Col2 where Col2 is not null limit 22 label Col2 ''"", 0)), """")"),"")</f>
        <v/>
      </c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8"/>
      <c r="AO482" s="28"/>
      <c r="AP482" s="29"/>
      <c r="AQ482" s="29" t="str">
        <f t="shared" ref="AQ482:BL482" si="485">T482/T$2</f>
        <v>#N/A</v>
      </c>
      <c r="AR482" s="29" t="str">
        <f t="shared" si="485"/>
        <v>#DIV/0!</v>
      </c>
      <c r="AS482" s="29" t="str">
        <f t="shared" si="485"/>
        <v>#DIV/0!</v>
      </c>
      <c r="AT482" s="29" t="str">
        <f t="shared" si="485"/>
        <v>#DIV/0!</v>
      </c>
      <c r="AU482" s="29" t="str">
        <f t="shared" si="485"/>
        <v>#DIV/0!</v>
      </c>
      <c r="AV482" s="29" t="str">
        <f t="shared" si="485"/>
        <v>#DIV/0!</v>
      </c>
      <c r="AW482" s="29" t="str">
        <f t="shared" si="485"/>
        <v>#DIV/0!</v>
      </c>
      <c r="AX482" s="29" t="str">
        <f t="shared" si="485"/>
        <v>#DIV/0!</v>
      </c>
      <c r="AY482" s="29" t="str">
        <f t="shared" si="485"/>
        <v>#DIV/0!</v>
      </c>
      <c r="AZ482" s="29" t="str">
        <f t="shared" si="485"/>
        <v>#DIV/0!</v>
      </c>
      <c r="BA482" s="29" t="str">
        <f t="shared" si="485"/>
        <v>#DIV/0!</v>
      </c>
      <c r="BB482" s="29" t="str">
        <f t="shared" si="485"/>
        <v>#DIV/0!</v>
      </c>
      <c r="BC482" s="29" t="str">
        <f t="shared" si="485"/>
        <v>#DIV/0!</v>
      </c>
      <c r="BD482" s="29" t="str">
        <f t="shared" si="485"/>
        <v>#DIV/0!</v>
      </c>
      <c r="BE482" s="29" t="str">
        <f t="shared" si="485"/>
        <v>#DIV/0!</v>
      </c>
      <c r="BF482" s="29" t="str">
        <f t="shared" si="485"/>
        <v>#DIV/0!</v>
      </c>
      <c r="BG482" s="29" t="str">
        <f t="shared" si="485"/>
        <v>#DIV/0!</v>
      </c>
      <c r="BH482" s="29" t="str">
        <f t="shared" si="485"/>
        <v>#DIV/0!</v>
      </c>
      <c r="BI482" s="29" t="str">
        <f t="shared" si="485"/>
        <v>#DIV/0!</v>
      </c>
      <c r="BJ482" s="29" t="str">
        <f t="shared" si="485"/>
        <v>#DIV/0!</v>
      </c>
      <c r="BK482" s="29" t="str">
        <f t="shared" si="485"/>
        <v>#DIV/0!</v>
      </c>
      <c r="BL482" s="29" t="str">
        <f t="shared" si="485"/>
        <v>#DIV/0!</v>
      </c>
      <c r="BM482" s="29" t="str">
        <f t="shared" si="3"/>
        <v>#DIV/0!</v>
      </c>
    </row>
    <row r="483">
      <c r="A483" s="16" t="str">
        <f>IFERROR(__xludf.DUMMYFUNCTION("IFERROR(SPARKLINE(SORT(MAP(TRANSPOSE(AQ483:BL483), LAMBDA(val, IF(ISNUMBER(val), PERCENTRANK(AQ483:BL483, val)+0.01, 0))), SEQUENCE(COLUMNS(AQ483:BL483)), FALSE), {""charttype"",""column""; ""color"",""chartreuse""; ""ymin"", 0; ""ymax"", 1.01; ""highcolo"&amp;"r"", ""darkgreen""; ""lowcolor"", ""red""}), """")"),"")</f>
        <v/>
      </c>
      <c r="B483" s="17" t="str">
        <f t="shared" si="4"/>
        <v/>
      </c>
      <c r="C483" s="1" t="s">
        <v>2211</v>
      </c>
      <c r="D483" s="34" t="str">
        <f>IFERROR(__xludf.DUMMYFUNCTION("IFERROR(GOOGLEFINANCE(C483, ""NAME""))"),"Arthur J. Gallagher &amp; Co.")</f>
        <v>Arthur J. Gallagher &amp; Co.</v>
      </c>
      <c r="E483" s="30" t="s">
        <v>311</v>
      </c>
      <c r="F483" s="33" t="str">
        <f>IFERROR(__xludf.DUMMYFUNCTION("( (GOOGLEFINANCE(C483, ""price"") - Q483) / Q483 ) / (R483 / 100)"),"Loading...")</f>
        <v>Loading...</v>
      </c>
      <c r="G483" s="20" t="str">
        <f>IFERROR(__xludf.DUMMYFUNCTION("AVERAGE(ARRAYFORMULA(100 * (QUERY(GOOGLEFINANCE(C483, ""high"", TODAY()-40, TODAY()), ""SELECT Col2 WHERE Col2 IS NOT NULL ORDER BY Col1 DESC LIMIT 20"", 0) / QUERY(GOOGLEFINANCE(C483, ""low"", TODAY()-40, TODAY()), ""SELECT Col2 WHERE Col2 IS NOT NULL OR"&amp;"DER BY Col1 DESC LIMIT 20"", 0) - 1)))"),"#N/A")</f>
        <v>#N/A</v>
      </c>
      <c r="H483" s="35" t="str">
        <f t="shared" si="6"/>
        <v/>
      </c>
      <c r="I483" s="36" t="str">
        <f t="shared" si="7"/>
        <v/>
      </c>
      <c r="J483" s="37" t="str">
        <f>IFERROR(__xludf.DUMMYFUNCTION("IFERROR(
  IF(C483="""",, 
    IFERROR(
      GOOGLEFINANCE(C483, ""price"") * GOOGLEFINANCE(C483, ""volumeavg""), 
      GOOGLEFINANCE(C483, ""price"") * AVERAGE(QUERY(GOOGLEFINANCE(C483, ""volume"", TODAY()-40, TODAY()), ""SELECT Col2 WHERE Col2 IS NOT "&amp;"NULL ORDER BY Col1 DESC LIMIT 20"", 0))
    )
  ), 
"""")"),"")</f>
        <v/>
      </c>
      <c r="K483" s="21" t="str">
        <f>IFERROR(__xludf.DUMMYFUNCTION("IFERROR(GOOGLEFINANCE(C483, ""changepct"") / 100, """")"),"")</f>
        <v/>
      </c>
      <c r="L483" s="21" t="str">
        <f>IFERROR(__xludf.DUMMYFUNCTION("IFERROR((GOOGLEFINANCE(C483, ""price"") / INDEX(GOOGLEFINANCE(C483, ""price"", TODAY()-7, TODAY()), 2, 2)) - 1, """")"),"")</f>
        <v/>
      </c>
      <c r="M483" s="21" t="str">
        <f>IFERROR(__xludf.DUMMYFUNCTION("IFERROR((GOOGLEFINANCE(C483, ""price"") / INDEX(GOOGLEFINANCE(C483, ""price"", EDATE(TODAY(), -1), TODAY()), 2, 2)) - 1, """")"),"")</f>
        <v/>
      </c>
      <c r="N483" s="21" t="str">
        <f>IFERROR(__xludf.DUMMYFUNCTION("IFERROR((GOOGLEFINANCE(C483, ""price"") / INDEX(GOOGLEFINANCE(C483, ""price"", EDATE(TODAY(), -3), TODAY()), 2, 2)) - 1, """")"),"")</f>
        <v/>
      </c>
      <c r="O483" s="21" t="str">
        <f>IFERROR(__xludf.DUMMYFUNCTION("IFERROR((GOOGLEFINANCE(C483, ""price"") / INDEX(GOOGLEFINANCE(C483, ""price"", EDATE(TODAY(), -6), TODAY()), 2, 2)) - 1, """")"),"")</f>
        <v/>
      </c>
      <c r="P483" s="21" t="str">
        <f>IFERROR(__xludf.DUMMYFUNCTION("IFERROR((GOOGLEFINANCE(C483, ""price"") / INDEX(GOOGLEFINANCE(C483, ""price"", EDATE(TODAY(), -12), TODAY()), 2, 2)) - 1, """")"),"")</f>
        <v/>
      </c>
      <c r="Q483" s="6" t="str">
        <f>IFERROR(__xludf.DUMMYFUNCTION("AVERAGE(QUERY(GOOGLEFINANCE(C483, ""price"", TODAY()-80, TODAY()), ""SELECT Col2 WHERE Col2 IS NOT NULL ORDER BY Col1 DESC LIMIT 50"", 0))"),"#N/A")</f>
        <v>#N/A</v>
      </c>
      <c r="R483" s="24" t="str">
        <f>IFERROR(__xludf.DUMMYFUNCTION("IFERROR(
  LET(
    data, QUERY(GOOGLEFINANCE(C483,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GOOGLEFINANCE(C483, ""price"")) * 100,
    IF(calc=0, G483, calc)
  ), 
G483)"),"#N/A")</f>
        <v>#N/A</v>
      </c>
      <c r="S483" s="8" t="s">
        <v>15</v>
      </c>
      <c r="T483" s="26" t="str">
        <f>IFERROR(__xludf.DUMMYFUNCTION("IFERROR(TRANSPOSE(QUERY(IFERROR(SORT(GOOGLEFINANCE(C483, ""price"", WORKDAY(TODAY(), -40), TODAY()), 1, FALSE)), ""select Col2 where Col2 is not null limit 22 label Col2 ''"", 0)), """")"),"")</f>
        <v/>
      </c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8"/>
      <c r="AO483" s="28"/>
      <c r="AP483" s="29"/>
      <c r="AQ483" s="29" t="str">
        <f t="shared" ref="AQ483:BL483" si="486">T483/T$2</f>
        <v>#N/A</v>
      </c>
      <c r="AR483" s="29" t="str">
        <f t="shared" si="486"/>
        <v>#DIV/0!</v>
      </c>
      <c r="AS483" s="29" t="str">
        <f t="shared" si="486"/>
        <v>#DIV/0!</v>
      </c>
      <c r="AT483" s="29" t="str">
        <f t="shared" si="486"/>
        <v>#DIV/0!</v>
      </c>
      <c r="AU483" s="29" t="str">
        <f t="shared" si="486"/>
        <v>#DIV/0!</v>
      </c>
      <c r="AV483" s="29" t="str">
        <f t="shared" si="486"/>
        <v>#DIV/0!</v>
      </c>
      <c r="AW483" s="29" t="str">
        <f t="shared" si="486"/>
        <v>#DIV/0!</v>
      </c>
      <c r="AX483" s="29" t="str">
        <f t="shared" si="486"/>
        <v>#DIV/0!</v>
      </c>
      <c r="AY483" s="29" t="str">
        <f t="shared" si="486"/>
        <v>#DIV/0!</v>
      </c>
      <c r="AZ483" s="29" t="str">
        <f t="shared" si="486"/>
        <v>#DIV/0!</v>
      </c>
      <c r="BA483" s="29" t="str">
        <f t="shared" si="486"/>
        <v>#DIV/0!</v>
      </c>
      <c r="BB483" s="29" t="str">
        <f t="shared" si="486"/>
        <v>#DIV/0!</v>
      </c>
      <c r="BC483" s="29" t="str">
        <f t="shared" si="486"/>
        <v>#DIV/0!</v>
      </c>
      <c r="BD483" s="29" t="str">
        <f t="shared" si="486"/>
        <v>#DIV/0!</v>
      </c>
      <c r="BE483" s="29" t="str">
        <f t="shared" si="486"/>
        <v>#DIV/0!</v>
      </c>
      <c r="BF483" s="29" t="str">
        <f t="shared" si="486"/>
        <v>#DIV/0!</v>
      </c>
      <c r="BG483" s="29" t="str">
        <f t="shared" si="486"/>
        <v>#DIV/0!</v>
      </c>
      <c r="BH483" s="29" t="str">
        <f t="shared" si="486"/>
        <v>#DIV/0!</v>
      </c>
      <c r="BI483" s="29" t="str">
        <f t="shared" si="486"/>
        <v>#DIV/0!</v>
      </c>
      <c r="BJ483" s="29" t="str">
        <f t="shared" si="486"/>
        <v>#DIV/0!</v>
      </c>
      <c r="BK483" s="29" t="str">
        <f t="shared" si="486"/>
        <v>#DIV/0!</v>
      </c>
      <c r="BL483" s="29" t="str">
        <f t="shared" si="486"/>
        <v>#DIV/0!</v>
      </c>
      <c r="BM483" s="29" t="str">
        <f t="shared" si="3"/>
        <v>#DIV/0!</v>
      </c>
    </row>
    <row r="484">
      <c r="A484" s="16" t="str">
        <f>IFERROR(__xludf.DUMMYFUNCTION("IFERROR(SPARKLINE(SORT(MAP(TRANSPOSE(AQ484:BL484), LAMBDA(val, IF(ISNUMBER(val), PERCENTRANK(AQ484:BL484, val)+0.01, 0))), SEQUENCE(COLUMNS(AQ484:BL484)), FALSE), {""charttype"",""column""; ""color"",""chartreuse""; ""ymin"", 0; ""ymax"", 1.01; ""highcolo"&amp;"r"", ""darkgreen""; ""lowcolor"", ""red""}), """")"),"")</f>
        <v/>
      </c>
      <c r="B484" s="17" t="str">
        <f t="shared" si="4"/>
        <v/>
      </c>
      <c r="C484" s="1" t="s">
        <v>2216</v>
      </c>
      <c r="D484" s="34" t="str">
        <f>IFERROR(__xludf.DUMMYFUNCTION("IFERROR(GOOGLEFINANCE(C484, ""NAME""))"),"Futu Holdings Ltd")</f>
        <v>Futu Holdings Ltd</v>
      </c>
      <c r="E484" s="30" t="s">
        <v>77</v>
      </c>
      <c r="F484" s="33" t="str">
        <f>IFERROR(__xludf.DUMMYFUNCTION("( (GOOGLEFINANCE(C484, ""price"") - Q484) / Q484 ) / (R484 / 100)"),"Loading...")</f>
        <v>Loading...</v>
      </c>
      <c r="G484" s="20" t="str">
        <f>IFERROR(__xludf.DUMMYFUNCTION("AVERAGE(ARRAYFORMULA(100 * (QUERY(GOOGLEFINANCE(C484, ""high"", TODAY()-40, TODAY()), ""SELECT Col2 WHERE Col2 IS NOT NULL ORDER BY Col1 DESC LIMIT 20"", 0) / QUERY(GOOGLEFINANCE(C484, ""low"", TODAY()-40, TODAY()), ""SELECT Col2 WHERE Col2 IS NOT NULL OR"&amp;"DER BY Col1 DESC LIMIT 20"", 0) - 1)))"),"#N/A")</f>
        <v>#N/A</v>
      </c>
      <c r="H484" s="35" t="str">
        <f t="shared" si="6"/>
        <v/>
      </c>
      <c r="I484" s="36" t="str">
        <f t="shared" si="7"/>
        <v/>
      </c>
      <c r="J484" s="37" t="str">
        <f>IFERROR(__xludf.DUMMYFUNCTION("IFERROR(
  IF(C484="""",, 
    IFERROR(
      GOOGLEFINANCE(C484, ""price"") * GOOGLEFINANCE(C484, ""volumeavg""), 
      GOOGLEFINANCE(C484, ""price"") * AVERAGE(QUERY(GOOGLEFINANCE(C484, ""volume"", TODAY()-40, TODAY()), ""SELECT Col2 WHERE Col2 IS NOT "&amp;"NULL ORDER BY Col1 DESC LIMIT 20"", 0))
    )
  ), 
"""")"),"")</f>
        <v/>
      </c>
      <c r="K484" s="21" t="str">
        <f>IFERROR(__xludf.DUMMYFUNCTION("IFERROR(GOOGLEFINANCE(C484, ""changepct"") / 100, """")"),"")</f>
        <v/>
      </c>
      <c r="L484" s="21" t="str">
        <f>IFERROR(__xludf.DUMMYFUNCTION("IFERROR((GOOGLEFINANCE(C484, ""price"") / INDEX(GOOGLEFINANCE(C484, ""price"", TODAY()-7, TODAY()), 2, 2)) - 1, """")"),"")</f>
        <v/>
      </c>
      <c r="M484" s="21" t="str">
        <f>IFERROR(__xludf.DUMMYFUNCTION("IFERROR((GOOGLEFINANCE(C484, ""price"") / INDEX(GOOGLEFINANCE(C484, ""price"", EDATE(TODAY(), -1), TODAY()), 2, 2)) - 1, """")"),"")</f>
        <v/>
      </c>
      <c r="N484" s="21" t="str">
        <f>IFERROR(__xludf.DUMMYFUNCTION("IFERROR((GOOGLEFINANCE(C484, ""price"") / INDEX(GOOGLEFINANCE(C484, ""price"", EDATE(TODAY(), -3), TODAY()), 2, 2)) - 1, """")"),"")</f>
        <v/>
      </c>
      <c r="O484" s="21" t="str">
        <f>IFERROR(__xludf.DUMMYFUNCTION("IFERROR((GOOGLEFINANCE(C484, ""price"") / INDEX(GOOGLEFINANCE(C484, ""price"", EDATE(TODAY(), -6), TODAY()), 2, 2)) - 1, """")"),"")</f>
        <v/>
      </c>
      <c r="P484" s="21" t="str">
        <f>IFERROR(__xludf.DUMMYFUNCTION("IFERROR((GOOGLEFINANCE(C484, ""price"") / INDEX(GOOGLEFINANCE(C484, ""price"", EDATE(TODAY(), -12), TODAY()), 2, 2)) - 1, """")"),"")</f>
        <v/>
      </c>
      <c r="Q484" s="6" t="str">
        <f>IFERROR(__xludf.DUMMYFUNCTION("AVERAGE(QUERY(GOOGLEFINANCE(C484, ""price"", TODAY()-80, TODAY()), ""SELECT Col2 WHERE Col2 IS NOT NULL ORDER BY Col1 DESC LIMIT 50"", 0))"),"#N/A")</f>
        <v>#N/A</v>
      </c>
      <c r="R484" s="24" t="str">
        <f>IFERROR(__xludf.DUMMYFUNCTION("IFERROR(
  LET(
    data, QUERY(GOOGLEFINANCE(C484,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GOOGLEFINANCE(C484, ""price"")) * 100,
    IF(calc=0, G484, calc)
  ), 
G484)"),"#N/A")</f>
        <v>#N/A</v>
      </c>
      <c r="S484" s="8" t="s">
        <v>15</v>
      </c>
      <c r="T484" s="26" t="str">
        <f>IFERROR(__xludf.DUMMYFUNCTION("IFERROR(TRANSPOSE(QUERY(IFERROR(SORT(GOOGLEFINANCE(C484, ""price"", WORKDAY(TODAY(), -40), TODAY()), 1, FALSE)), ""select Col2 where Col2 is not null limit 22 label Col2 ''"", 0)), """")"),"")</f>
        <v/>
      </c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8"/>
      <c r="AO484" s="28"/>
      <c r="AP484" s="29"/>
      <c r="AQ484" s="29" t="str">
        <f t="shared" ref="AQ484:BL484" si="487">T484/T$2</f>
        <v>#N/A</v>
      </c>
      <c r="AR484" s="29" t="str">
        <f t="shared" si="487"/>
        <v>#DIV/0!</v>
      </c>
      <c r="AS484" s="29" t="str">
        <f t="shared" si="487"/>
        <v>#DIV/0!</v>
      </c>
      <c r="AT484" s="29" t="str">
        <f t="shared" si="487"/>
        <v>#DIV/0!</v>
      </c>
      <c r="AU484" s="29" t="str">
        <f t="shared" si="487"/>
        <v>#DIV/0!</v>
      </c>
      <c r="AV484" s="29" t="str">
        <f t="shared" si="487"/>
        <v>#DIV/0!</v>
      </c>
      <c r="AW484" s="29" t="str">
        <f t="shared" si="487"/>
        <v>#DIV/0!</v>
      </c>
      <c r="AX484" s="29" t="str">
        <f t="shared" si="487"/>
        <v>#DIV/0!</v>
      </c>
      <c r="AY484" s="29" t="str">
        <f t="shared" si="487"/>
        <v>#DIV/0!</v>
      </c>
      <c r="AZ484" s="29" t="str">
        <f t="shared" si="487"/>
        <v>#DIV/0!</v>
      </c>
      <c r="BA484" s="29" t="str">
        <f t="shared" si="487"/>
        <v>#DIV/0!</v>
      </c>
      <c r="BB484" s="29" t="str">
        <f t="shared" si="487"/>
        <v>#DIV/0!</v>
      </c>
      <c r="BC484" s="29" t="str">
        <f t="shared" si="487"/>
        <v>#DIV/0!</v>
      </c>
      <c r="BD484" s="29" t="str">
        <f t="shared" si="487"/>
        <v>#DIV/0!</v>
      </c>
      <c r="BE484" s="29" t="str">
        <f t="shared" si="487"/>
        <v>#DIV/0!</v>
      </c>
      <c r="BF484" s="29" t="str">
        <f t="shared" si="487"/>
        <v>#DIV/0!</v>
      </c>
      <c r="BG484" s="29" t="str">
        <f t="shared" si="487"/>
        <v>#DIV/0!</v>
      </c>
      <c r="BH484" s="29" t="str">
        <f t="shared" si="487"/>
        <v>#DIV/0!</v>
      </c>
      <c r="BI484" s="29" t="str">
        <f t="shared" si="487"/>
        <v>#DIV/0!</v>
      </c>
      <c r="BJ484" s="29" t="str">
        <f t="shared" si="487"/>
        <v>#DIV/0!</v>
      </c>
      <c r="BK484" s="29" t="str">
        <f t="shared" si="487"/>
        <v>#DIV/0!</v>
      </c>
      <c r="BL484" s="29" t="str">
        <f t="shared" si="487"/>
        <v>#DIV/0!</v>
      </c>
      <c r="BM484" s="29" t="str">
        <f t="shared" si="3"/>
        <v>#DIV/0!</v>
      </c>
    </row>
    <row r="485">
      <c r="A485" s="16" t="str">
        <f>IFERROR(__xludf.DUMMYFUNCTION("IFERROR(SPARKLINE(SORT(MAP(TRANSPOSE(AQ485:BL485), LAMBDA(val, IF(ISNUMBER(val), PERCENTRANK(AQ485:BL485, val)+0.01, 0))), SEQUENCE(COLUMNS(AQ485:BL485)), FALSE), {""charttype"",""column""; ""color"",""chartreuse""; ""ymin"", 0; ""ymax"", 1.01; ""highcolo"&amp;"r"", ""darkgreen""; ""lowcolor"", ""red""}), """")"),"")</f>
        <v/>
      </c>
      <c r="B485" s="17" t="str">
        <f t="shared" si="4"/>
        <v/>
      </c>
      <c r="C485" s="1" t="s">
        <v>2219</v>
      </c>
      <c r="D485" s="34" t="str">
        <f>IFERROR(__xludf.DUMMYFUNCTION("IFERROR(GOOGLEFINANCE(C485, ""NAME""))"),"Cion Investment Corp")</f>
        <v>Cion Investment Corp</v>
      </c>
      <c r="E485" s="30" t="s">
        <v>64</v>
      </c>
      <c r="F485" s="33" t="str">
        <f>IFERROR(__xludf.DUMMYFUNCTION("( (GOOGLEFINANCE(C485, ""price"") - Q485) / Q485 ) / (R485 / 100)"),"Loading...")</f>
        <v>Loading...</v>
      </c>
      <c r="G485" s="20" t="str">
        <f>IFERROR(__xludf.DUMMYFUNCTION("AVERAGE(ARRAYFORMULA(100 * (QUERY(GOOGLEFINANCE(C485, ""high"", TODAY()-40, TODAY()), ""SELECT Col2 WHERE Col2 IS NOT NULL ORDER BY Col1 DESC LIMIT 20"", 0) / QUERY(GOOGLEFINANCE(C485, ""low"", TODAY()-40, TODAY()), ""SELECT Col2 WHERE Col2 IS NOT NULL OR"&amp;"DER BY Col1 DESC LIMIT 20"", 0) - 1)))"),"#N/A")</f>
        <v>#N/A</v>
      </c>
      <c r="H485" s="35" t="str">
        <f t="shared" si="6"/>
        <v/>
      </c>
      <c r="I485" s="36" t="str">
        <f t="shared" si="7"/>
        <v/>
      </c>
      <c r="J485" s="37" t="str">
        <f>IFERROR(__xludf.DUMMYFUNCTION("IFERROR(
  IF(C485="""",, 
    IFERROR(
      GOOGLEFINANCE(C485, ""price"") * GOOGLEFINANCE(C485, ""volumeavg""), 
      GOOGLEFINANCE(C485, ""price"") * AVERAGE(QUERY(GOOGLEFINANCE(C485, ""volume"", TODAY()-40, TODAY()), ""SELECT Col2 WHERE Col2 IS NOT "&amp;"NULL ORDER BY Col1 DESC LIMIT 20"", 0))
    )
  ), 
"""")"),"")</f>
        <v/>
      </c>
      <c r="K485" s="21" t="str">
        <f>IFERROR(__xludf.DUMMYFUNCTION("IFERROR(GOOGLEFINANCE(C485, ""changepct"") / 100, """")"),"")</f>
        <v/>
      </c>
      <c r="L485" s="21" t="str">
        <f>IFERROR(__xludf.DUMMYFUNCTION("IFERROR((GOOGLEFINANCE(C485, ""price"") / INDEX(GOOGLEFINANCE(C485, ""price"", TODAY()-7, TODAY()), 2, 2)) - 1, """")"),"")</f>
        <v/>
      </c>
      <c r="M485" s="21" t="str">
        <f>IFERROR(__xludf.DUMMYFUNCTION("IFERROR((GOOGLEFINANCE(C485, ""price"") / INDEX(GOOGLEFINANCE(C485, ""price"", EDATE(TODAY(), -1), TODAY()), 2, 2)) - 1, """")"),"")</f>
        <v/>
      </c>
      <c r="N485" s="21" t="str">
        <f>IFERROR(__xludf.DUMMYFUNCTION("IFERROR((GOOGLEFINANCE(C485, ""price"") / INDEX(GOOGLEFINANCE(C485, ""price"", EDATE(TODAY(), -3), TODAY()), 2, 2)) - 1, """")"),"")</f>
        <v/>
      </c>
      <c r="O485" s="21" t="str">
        <f>IFERROR(__xludf.DUMMYFUNCTION("IFERROR((GOOGLEFINANCE(C485, ""price"") / INDEX(GOOGLEFINANCE(C485, ""price"", EDATE(TODAY(), -6), TODAY()), 2, 2)) - 1, """")"),"")</f>
        <v/>
      </c>
      <c r="P485" s="21" t="str">
        <f>IFERROR(__xludf.DUMMYFUNCTION("IFERROR((GOOGLEFINANCE(C485, ""price"") / INDEX(GOOGLEFINANCE(C485, ""price"", EDATE(TODAY(), -12), TODAY()), 2, 2)) - 1, """")"),"")</f>
        <v/>
      </c>
      <c r="Q485" s="6" t="str">
        <f>IFERROR(__xludf.DUMMYFUNCTION("AVERAGE(QUERY(GOOGLEFINANCE(C485, ""price"", TODAY()-80, TODAY()), ""SELECT Col2 WHERE Col2 IS NOT NULL ORDER BY Col1 DESC LIMIT 50"", 0))"),"#N/A")</f>
        <v>#N/A</v>
      </c>
      <c r="R485" s="24" t="str">
        <f>IFERROR(__xludf.DUMMYFUNCTION("IFERROR(
  LET(
    data, QUERY(GOOGLEFINANCE(C485,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GOOGLEFINANCE(C485, ""price"")) * 100,
    IF(calc=0, G485, calc)
  ), 
G485)"),"#N/A")</f>
        <v>#N/A</v>
      </c>
      <c r="S485" s="8" t="s">
        <v>15</v>
      </c>
      <c r="T485" s="26" t="str">
        <f>IFERROR(__xludf.DUMMYFUNCTION("IFERROR(TRANSPOSE(QUERY(IFERROR(SORT(GOOGLEFINANCE(C485, ""price"", WORKDAY(TODAY(), -40), TODAY()), 1, FALSE)), ""select Col2 where Col2 is not null limit 22 label Col2 ''"", 0)), """")"),"")</f>
        <v/>
      </c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8"/>
      <c r="AO485" s="28"/>
      <c r="AP485" s="29"/>
      <c r="AQ485" s="29" t="str">
        <f t="shared" ref="AQ485:BL485" si="488">T485/T$2</f>
        <v>#N/A</v>
      </c>
      <c r="AR485" s="29" t="str">
        <f t="shared" si="488"/>
        <v>#DIV/0!</v>
      </c>
      <c r="AS485" s="29" t="str">
        <f t="shared" si="488"/>
        <v>#DIV/0!</v>
      </c>
      <c r="AT485" s="29" t="str">
        <f t="shared" si="488"/>
        <v>#DIV/0!</v>
      </c>
      <c r="AU485" s="29" t="str">
        <f t="shared" si="488"/>
        <v>#DIV/0!</v>
      </c>
      <c r="AV485" s="29" t="str">
        <f t="shared" si="488"/>
        <v>#DIV/0!</v>
      </c>
      <c r="AW485" s="29" t="str">
        <f t="shared" si="488"/>
        <v>#DIV/0!</v>
      </c>
      <c r="AX485" s="29" t="str">
        <f t="shared" si="488"/>
        <v>#DIV/0!</v>
      </c>
      <c r="AY485" s="29" t="str">
        <f t="shared" si="488"/>
        <v>#DIV/0!</v>
      </c>
      <c r="AZ485" s="29" t="str">
        <f t="shared" si="488"/>
        <v>#DIV/0!</v>
      </c>
      <c r="BA485" s="29" t="str">
        <f t="shared" si="488"/>
        <v>#DIV/0!</v>
      </c>
      <c r="BB485" s="29" t="str">
        <f t="shared" si="488"/>
        <v>#DIV/0!</v>
      </c>
      <c r="BC485" s="29" t="str">
        <f t="shared" si="488"/>
        <v>#DIV/0!</v>
      </c>
      <c r="BD485" s="29" t="str">
        <f t="shared" si="488"/>
        <v>#DIV/0!</v>
      </c>
      <c r="BE485" s="29" t="str">
        <f t="shared" si="488"/>
        <v>#DIV/0!</v>
      </c>
      <c r="BF485" s="29" t="str">
        <f t="shared" si="488"/>
        <v>#DIV/0!</v>
      </c>
      <c r="BG485" s="29" t="str">
        <f t="shared" si="488"/>
        <v>#DIV/0!</v>
      </c>
      <c r="BH485" s="29" t="str">
        <f t="shared" si="488"/>
        <v>#DIV/0!</v>
      </c>
      <c r="BI485" s="29" t="str">
        <f t="shared" si="488"/>
        <v>#DIV/0!</v>
      </c>
      <c r="BJ485" s="29" t="str">
        <f t="shared" si="488"/>
        <v>#DIV/0!</v>
      </c>
      <c r="BK485" s="29" t="str">
        <f t="shared" si="488"/>
        <v>#DIV/0!</v>
      </c>
      <c r="BL485" s="29" t="str">
        <f t="shared" si="488"/>
        <v>#DIV/0!</v>
      </c>
      <c r="BM485" s="29" t="str">
        <f t="shared" si="3"/>
        <v>#DIV/0!</v>
      </c>
    </row>
    <row r="486">
      <c r="A486" s="16" t="str">
        <f>IFERROR(__xludf.DUMMYFUNCTION("IFERROR(SPARKLINE(SORT(MAP(TRANSPOSE(AQ486:BL486), LAMBDA(val, IF(ISNUMBER(val), PERCENTRANK(AQ486:BL486, val)+0.01, 0))), SEQUENCE(COLUMNS(AQ486:BL486)), FALSE), {""charttype"",""column""; ""color"",""chartreuse""; ""ymin"", 0; ""ymax"", 1.01; ""highcolo"&amp;"r"", ""darkgreen""; ""lowcolor"", ""red""}), """")"),"")</f>
        <v/>
      </c>
      <c r="B486" s="17" t="str">
        <f t="shared" si="4"/>
        <v/>
      </c>
      <c r="C486" s="1" t="s">
        <v>2223</v>
      </c>
      <c r="D486" s="34" t="str">
        <f>IFERROR(__xludf.DUMMYFUNCTION("IFERROR(GOOGLEFINANCE(C486, ""NAME""))"),"Wintrust Financial Corp")</f>
        <v>Wintrust Financial Corp</v>
      </c>
      <c r="E486" s="30" t="s">
        <v>268</v>
      </c>
      <c r="F486" s="33" t="str">
        <f>IFERROR(__xludf.DUMMYFUNCTION("( (GOOGLEFINANCE(C486, ""price"") - Q486) / Q486 ) / (R486 / 100)"),"Loading...")</f>
        <v>Loading...</v>
      </c>
      <c r="G486" s="20" t="str">
        <f>IFERROR(__xludf.DUMMYFUNCTION("AVERAGE(ARRAYFORMULA(100 * (QUERY(GOOGLEFINANCE(C486, ""high"", TODAY()-40, TODAY()), ""SELECT Col2 WHERE Col2 IS NOT NULL ORDER BY Col1 DESC LIMIT 20"", 0) / QUERY(GOOGLEFINANCE(C486, ""low"", TODAY()-40, TODAY()), ""SELECT Col2 WHERE Col2 IS NOT NULL OR"&amp;"DER BY Col1 DESC LIMIT 20"", 0) - 1)))"),"#N/A")</f>
        <v>#N/A</v>
      </c>
      <c r="H486" s="35" t="str">
        <f t="shared" si="6"/>
        <v/>
      </c>
      <c r="I486" s="36" t="str">
        <f t="shared" si="7"/>
        <v/>
      </c>
      <c r="J486" s="37" t="str">
        <f>IFERROR(__xludf.DUMMYFUNCTION("IFERROR(
  IF(C486="""",, 
    IFERROR(
      GOOGLEFINANCE(C486, ""price"") * GOOGLEFINANCE(C486, ""volumeavg""), 
      GOOGLEFINANCE(C486, ""price"") * AVERAGE(QUERY(GOOGLEFINANCE(C486, ""volume"", TODAY()-40, TODAY()), ""SELECT Col2 WHERE Col2 IS NOT "&amp;"NULL ORDER BY Col1 DESC LIMIT 20"", 0))
    )
  ), 
"""")"),"")</f>
        <v/>
      </c>
      <c r="K486" s="21" t="str">
        <f>IFERROR(__xludf.DUMMYFUNCTION("IFERROR(GOOGLEFINANCE(C486, ""changepct"") / 100, """")"),"")</f>
        <v/>
      </c>
      <c r="L486" s="21" t="str">
        <f>IFERROR(__xludf.DUMMYFUNCTION("IFERROR((GOOGLEFINANCE(C486, ""price"") / INDEX(GOOGLEFINANCE(C486, ""price"", TODAY()-7, TODAY()), 2, 2)) - 1, """")"),"")</f>
        <v/>
      </c>
      <c r="M486" s="21" t="str">
        <f>IFERROR(__xludf.DUMMYFUNCTION("IFERROR((GOOGLEFINANCE(C486, ""price"") / INDEX(GOOGLEFINANCE(C486, ""price"", EDATE(TODAY(), -1), TODAY()), 2, 2)) - 1, """")"),"")</f>
        <v/>
      </c>
      <c r="N486" s="21" t="str">
        <f>IFERROR(__xludf.DUMMYFUNCTION("IFERROR((GOOGLEFINANCE(C486, ""price"") / INDEX(GOOGLEFINANCE(C486, ""price"", EDATE(TODAY(), -3), TODAY()), 2, 2)) - 1, """")"),"")</f>
        <v/>
      </c>
      <c r="O486" s="21" t="str">
        <f>IFERROR(__xludf.DUMMYFUNCTION("IFERROR((GOOGLEFINANCE(C486, ""price"") / INDEX(GOOGLEFINANCE(C486, ""price"", EDATE(TODAY(), -6), TODAY()), 2, 2)) - 1, """")"),"")</f>
        <v/>
      </c>
      <c r="P486" s="21" t="str">
        <f>IFERROR(__xludf.DUMMYFUNCTION("IFERROR((GOOGLEFINANCE(C486, ""price"") / INDEX(GOOGLEFINANCE(C486, ""price"", EDATE(TODAY(), -12), TODAY()), 2, 2)) - 1, """")"),"")</f>
        <v/>
      </c>
      <c r="Q486" s="6" t="str">
        <f>IFERROR(__xludf.DUMMYFUNCTION("AVERAGE(QUERY(GOOGLEFINANCE(C486, ""price"", TODAY()-80, TODAY()), ""SELECT Col2 WHERE Col2 IS NOT NULL ORDER BY Col1 DESC LIMIT 50"", 0))"),"#N/A")</f>
        <v>#N/A</v>
      </c>
      <c r="R486" s="24" t="str">
        <f>IFERROR(__xludf.DUMMYFUNCTION("IFERROR(
  LET(
    data, QUERY(GOOGLEFINANCE(C486,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GOOGLEFINANCE(C486, ""price"")) * 100,
    IF(calc=0, G486, calc)
  ), 
G486)"),"#N/A")</f>
        <v>#N/A</v>
      </c>
      <c r="S486" s="8" t="s">
        <v>15</v>
      </c>
      <c r="T486" s="26" t="str">
        <f>IFERROR(__xludf.DUMMYFUNCTION("IFERROR(TRANSPOSE(QUERY(IFERROR(SORT(GOOGLEFINANCE(C486, ""price"", WORKDAY(TODAY(), -40), TODAY()), 1, FALSE)), ""select Col2 where Col2 is not null limit 22 label Col2 ''"", 0)), """")"),"")</f>
        <v/>
      </c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8"/>
      <c r="AO486" s="28"/>
      <c r="AP486" s="29"/>
      <c r="AQ486" s="29" t="str">
        <f t="shared" ref="AQ486:BL486" si="489">T486/T$2</f>
        <v>#N/A</v>
      </c>
      <c r="AR486" s="29" t="str">
        <f t="shared" si="489"/>
        <v>#DIV/0!</v>
      </c>
      <c r="AS486" s="29" t="str">
        <f t="shared" si="489"/>
        <v>#DIV/0!</v>
      </c>
      <c r="AT486" s="29" t="str">
        <f t="shared" si="489"/>
        <v>#DIV/0!</v>
      </c>
      <c r="AU486" s="29" t="str">
        <f t="shared" si="489"/>
        <v>#DIV/0!</v>
      </c>
      <c r="AV486" s="29" t="str">
        <f t="shared" si="489"/>
        <v>#DIV/0!</v>
      </c>
      <c r="AW486" s="29" t="str">
        <f t="shared" si="489"/>
        <v>#DIV/0!</v>
      </c>
      <c r="AX486" s="29" t="str">
        <f t="shared" si="489"/>
        <v>#DIV/0!</v>
      </c>
      <c r="AY486" s="29" t="str">
        <f t="shared" si="489"/>
        <v>#DIV/0!</v>
      </c>
      <c r="AZ486" s="29" t="str">
        <f t="shared" si="489"/>
        <v>#DIV/0!</v>
      </c>
      <c r="BA486" s="29" t="str">
        <f t="shared" si="489"/>
        <v>#DIV/0!</v>
      </c>
      <c r="BB486" s="29" t="str">
        <f t="shared" si="489"/>
        <v>#DIV/0!</v>
      </c>
      <c r="BC486" s="29" t="str">
        <f t="shared" si="489"/>
        <v>#DIV/0!</v>
      </c>
      <c r="BD486" s="29" t="str">
        <f t="shared" si="489"/>
        <v>#DIV/0!</v>
      </c>
      <c r="BE486" s="29" t="str">
        <f t="shared" si="489"/>
        <v>#DIV/0!</v>
      </c>
      <c r="BF486" s="29" t="str">
        <f t="shared" si="489"/>
        <v>#DIV/0!</v>
      </c>
      <c r="BG486" s="29" t="str">
        <f t="shared" si="489"/>
        <v>#DIV/0!</v>
      </c>
      <c r="BH486" s="29" t="str">
        <f t="shared" si="489"/>
        <v>#DIV/0!</v>
      </c>
      <c r="BI486" s="29" t="str">
        <f t="shared" si="489"/>
        <v>#DIV/0!</v>
      </c>
      <c r="BJ486" s="29" t="str">
        <f t="shared" si="489"/>
        <v>#DIV/0!</v>
      </c>
      <c r="BK486" s="29" t="str">
        <f t="shared" si="489"/>
        <v>#DIV/0!</v>
      </c>
      <c r="BL486" s="29" t="str">
        <f t="shared" si="489"/>
        <v>#DIV/0!</v>
      </c>
      <c r="BM486" s="29" t="str">
        <f t="shared" si="3"/>
        <v>#DIV/0!</v>
      </c>
    </row>
    <row r="487">
      <c r="A487" s="16" t="str">
        <f>IFERROR(__xludf.DUMMYFUNCTION("IFERROR(SPARKLINE(SORT(MAP(TRANSPOSE(AQ487:BL487), LAMBDA(val, IF(ISNUMBER(val), PERCENTRANK(AQ487:BL487, val)+0.01, 0))), SEQUENCE(COLUMNS(AQ487:BL487)), FALSE), {""charttype"",""column""; ""color"",""chartreuse""; ""ymin"", 0; ""ymax"", 1.01; ""highcolo"&amp;"r"", ""darkgreen""; ""lowcolor"", ""red""}), """")"),"")</f>
        <v/>
      </c>
      <c r="B487" s="17" t="str">
        <f t="shared" si="4"/>
        <v/>
      </c>
      <c r="C487" s="1" t="s">
        <v>2226</v>
      </c>
      <c r="D487" s="34" t="str">
        <f>IFERROR(__xludf.DUMMYFUNCTION("IFERROR(GOOGLEFINANCE(C487, ""NAME""))"),"Ameris Bancorp")</f>
        <v>Ameris Bancorp</v>
      </c>
      <c r="E487" s="30" t="s">
        <v>268</v>
      </c>
      <c r="F487" s="33" t="str">
        <f>IFERROR(__xludf.DUMMYFUNCTION("( (GOOGLEFINANCE(C487, ""price"") - Q487) / Q487 ) / (R487 / 100)"),"Loading...")</f>
        <v>Loading...</v>
      </c>
      <c r="G487" s="20" t="str">
        <f>IFERROR(__xludf.DUMMYFUNCTION("AVERAGE(ARRAYFORMULA(100 * (QUERY(GOOGLEFINANCE(C487, ""high"", TODAY()-40, TODAY()), ""SELECT Col2 WHERE Col2 IS NOT NULL ORDER BY Col1 DESC LIMIT 20"", 0) / QUERY(GOOGLEFINANCE(C487, ""low"", TODAY()-40, TODAY()), ""SELECT Col2 WHERE Col2 IS NOT NULL OR"&amp;"DER BY Col1 DESC LIMIT 20"", 0) - 1)))"),"#N/A")</f>
        <v>#N/A</v>
      </c>
      <c r="H487" s="35" t="str">
        <f t="shared" si="6"/>
        <v/>
      </c>
      <c r="I487" s="36" t="str">
        <f t="shared" si="7"/>
        <v/>
      </c>
      <c r="J487" s="37" t="str">
        <f>IFERROR(__xludf.DUMMYFUNCTION("IFERROR(
  IF(C487="""",, 
    IFERROR(
      GOOGLEFINANCE(C487, ""price"") * GOOGLEFINANCE(C487, ""volumeavg""), 
      GOOGLEFINANCE(C487, ""price"") * AVERAGE(QUERY(GOOGLEFINANCE(C487, ""volume"", TODAY()-40, TODAY()), ""SELECT Col2 WHERE Col2 IS NOT "&amp;"NULL ORDER BY Col1 DESC LIMIT 20"", 0))
    )
  ), 
"""")"),"")</f>
        <v/>
      </c>
      <c r="K487" s="21" t="str">
        <f>IFERROR(__xludf.DUMMYFUNCTION("IFERROR(GOOGLEFINANCE(C487, ""changepct"") / 100, """")"),"")</f>
        <v/>
      </c>
      <c r="L487" s="21" t="str">
        <f>IFERROR(__xludf.DUMMYFUNCTION("IFERROR((GOOGLEFINANCE(C487, ""price"") / INDEX(GOOGLEFINANCE(C487, ""price"", TODAY()-7, TODAY()), 2, 2)) - 1, """")"),"")</f>
        <v/>
      </c>
      <c r="M487" s="21" t="str">
        <f>IFERROR(__xludf.DUMMYFUNCTION("IFERROR((GOOGLEFINANCE(C487, ""price"") / INDEX(GOOGLEFINANCE(C487, ""price"", EDATE(TODAY(), -1), TODAY()), 2, 2)) - 1, """")"),"")</f>
        <v/>
      </c>
      <c r="N487" s="21" t="str">
        <f>IFERROR(__xludf.DUMMYFUNCTION("IFERROR((GOOGLEFINANCE(C487, ""price"") / INDEX(GOOGLEFINANCE(C487, ""price"", EDATE(TODAY(), -3), TODAY()), 2, 2)) - 1, """")"),"")</f>
        <v/>
      </c>
      <c r="O487" s="21" t="str">
        <f>IFERROR(__xludf.DUMMYFUNCTION("IFERROR((GOOGLEFINANCE(C487, ""price"") / INDEX(GOOGLEFINANCE(C487, ""price"", EDATE(TODAY(), -6), TODAY()), 2, 2)) - 1, """")"),"")</f>
        <v/>
      </c>
      <c r="P487" s="21" t="str">
        <f>IFERROR(__xludf.DUMMYFUNCTION("IFERROR((GOOGLEFINANCE(C487, ""price"") / INDEX(GOOGLEFINANCE(C487, ""price"", EDATE(TODAY(), -12), TODAY()), 2, 2)) - 1, """")"),"")</f>
        <v/>
      </c>
      <c r="Q487" s="6" t="str">
        <f>IFERROR(__xludf.DUMMYFUNCTION("AVERAGE(QUERY(GOOGLEFINANCE(C487, ""price"", TODAY()-80, TODAY()), ""SELECT Col2 WHERE Col2 IS NOT NULL ORDER BY Col1 DESC LIMIT 50"", 0))"),"#N/A")</f>
        <v>#N/A</v>
      </c>
      <c r="R487" s="24" t="str">
        <f>IFERROR(__xludf.DUMMYFUNCTION("IFERROR(
  LET(
    data, QUERY(GOOGLEFINANCE(C487,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GOOGLEFINANCE(C487, ""price"")) * 100,
    IF(calc=0, G487, calc)
  ), 
G487)"),"#N/A")</f>
        <v>#N/A</v>
      </c>
      <c r="S487" s="8" t="s">
        <v>15</v>
      </c>
      <c r="T487" s="26" t="str">
        <f>IFERROR(__xludf.DUMMYFUNCTION("IFERROR(TRANSPOSE(QUERY(IFERROR(SORT(GOOGLEFINANCE(C487, ""price"", WORKDAY(TODAY(), -40), TODAY()), 1, FALSE)), ""select Col2 where Col2 is not null limit 22 label Col2 ''"", 0)), """")"),"")</f>
        <v/>
      </c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8"/>
      <c r="AO487" s="28"/>
      <c r="AP487" s="29"/>
      <c r="AQ487" s="29" t="str">
        <f t="shared" ref="AQ487:BL487" si="490">T487/T$2</f>
        <v>#N/A</v>
      </c>
      <c r="AR487" s="29" t="str">
        <f t="shared" si="490"/>
        <v>#DIV/0!</v>
      </c>
      <c r="AS487" s="29" t="str">
        <f t="shared" si="490"/>
        <v>#DIV/0!</v>
      </c>
      <c r="AT487" s="29" t="str">
        <f t="shared" si="490"/>
        <v>#DIV/0!</v>
      </c>
      <c r="AU487" s="29" t="str">
        <f t="shared" si="490"/>
        <v>#DIV/0!</v>
      </c>
      <c r="AV487" s="29" t="str">
        <f t="shared" si="490"/>
        <v>#DIV/0!</v>
      </c>
      <c r="AW487" s="29" t="str">
        <f t="shared" si="490"/>
        <v>#DIV/0!</v>
      </c>
      <c r="AX487" s="29" t="str">
        <f t="shared" si="490"/>
        <v>#DIV/0!</v>
      </c>
      <c r="AY487" s="29" t="str">
        <f t="shared" si="490"/>
        <v>#DIV/0!</v>
      </c>
      <c r="AZ487" s="29" t="str">
        <f t="shared" si="490"/>
        <v>#DIV/0!</v>
      </c>
      <c r="BA487" s="29" t="str">
        <f t="shared" si="490"/>
        <v>#DIV/0!</v>
      </c>
      <c r="BB487" s="29" t="str">
        <f t="shared" si="490"/>
        <v>#DIV/0!</v>
      </c>
      <c r="BC487" s="29" t="str">
        <f t="shared" si="490"/>
        <v>#DIV/0!</v>
      </c>
      <c r="BD487" s="29" t="str">
        <f t="shared" si="490"/>
        <v>#DIV/0!</v>
      </c>
      <c r="BE487" s="29" t="str">
        <f t="shared" si="490"/>
        <v>#DIV/0!</v>
      </c>
      <c r="BF487" s="29" t="str">
        <f t="shared" si="490"/>
        <v>#DIV/0!</v>
      </c>
      <c r="BG487" s="29" t="str">
        <f t="shared" si="490"/>
        <v>#DIV/0!</v>
      </c>
      <c r="BH487" s="29" t="str">
        <f t="shared" si="490"/>
        <v>#DIV/0!</v>
      </c>
      <c r="BI487" s="29" t="str">
        <f t="shared" si="490"/>
        <v>#DIV/0!</v>
      </c>
      <c r="BJ487" s="29" t="str">
        <f t="shared" si="490"/>
        <v>#DIV/0!</v>
      </c>
      <c r="BK487" s="29" t="str">
        <f t="shared" si="490"/>
        <v>#DIV/0!</v>
      </c>
      <c r="BL487" s="29" t="str">
        <f t="shared" si="490"/>
        <v>#DIV/0!</v>
      </c>
      <c r="BM487" s="29" t="str">
        <f t="shared" si="3"/>
        <v>#DIV/0!</v>
      </c>
    </row>
    <row r="488">
      <c r="A488" s="16" t="str">
        <f>IFERROR(__xludf.DUMMYFUNCTION("IFERROR(SPARKLINE(SORT(MAP(TRANSPOSE(AQ488:BL488), LAMBDA(val, IF(ISNUMBER(val), PERCENTRANK(AQ488:BL488, val)+0.01, 0))), SEQUENCE(COLUMNS(AQ488:BL488)), FALSE), {""charttype"",""column""; ""color"",""chartreuse""; ""ymin"", 0; ""ymax"", 1.01; ""highcolo"&amp;"r"", ""darkgreen""; ""lowcolor"", ""red""}), """")"),"")</f>
        <v/>
      </c>
      <c r="B488" s="17" t="str">
        <f t="shared" si="4"/>
        <v/>
      </c>
      <c r="C488" s="1" t="s">
        <v>2231</v>
      </c>
      <c r="D488" s="34" t="str">
        <f>IFERROR(__xludf.DUMMYFUNCTION("IFERROR(GOOGLEFINANCE(C488, ""NAME""))"),"Blue Owl Technology Finance Corp")</f>
        <v>Blue Owl Technology Finance Corp</v>
      </c>
      <c r="E488" s="30" t="s">
        <v>64</v>
      </c>
      <c r="F488" s="33" t="str">
        <f>IFERROR(__xludf.DUMMYFUNCTION("( (GOOGLEFINANCE(C488, ""price"") - Q488) / Q488 ) / (R488 / 100)"),"Loading...")</f>
        <v>Loading...</v>
      </c>
      <c r="G488" s="20" t="str">
        <f>IFERROR(__xludf.DUMMYFUNCTION("AVERAGE(ARRAYFORMULA(100 * (QUERY(GOOGLEFINANCE(C488, ""high"", TODAY()-40, TODAY()), ""SELECT Col2 WHERE Col2 IS NOT NULL ORDER BY Col1 DESC LIMIT 20"", 0) / QUERY(GOOGLEFINANCE(C488, ""low"", TODAY()-40, TODAY()), ""SELECT Col2 WHERE Col2 IS NOT NULL OR"&amp;"DER BY Col1 DESC LIMIT 20"", 0) - 1)))"),"#N/A")</f>
        <v>#N/A</v>
      </c>
      <c r="H488" s="35" t="str">
        <f t="shared" si="6"/>
        <v/>
      </c>
      <c r="I488" s="36" t="str">
        <f t="shared" si="7"/>
        <v/>
      </c>
      <c r="J488" s="37" t="str">
        <f>IFERROR(__xludf.DUMMYFUNCTION("IFERROR(
  IF(C488="""",, 
    IFERROR(
      GOOGLEFINANCE(C488, ""price"") * GOOGLEFINANCE(C488, ""volumeavg""), 
      GOOGLEFINANCE(C488, ""price"") * AVERAGE(QUERY(GOOGLEFINANCE(C488, ""volume"", TODAY()-40, TODAY()), ""SELECT Col2 WHERE Col2 IS NOT "&amp;"NULL ORDER BY Col1 DESC LIMIT 20"", 0))
    )
  ), 
"""")"),"")</f>
        <v/>
      </c>
      <c r="K488" s="21" t="str">
        <f>IFERROR(__xludf.DUMMYFUNCTION("IFERROR(GOOGLEFINANCE(C488, ""changepct"") / 100, """")"),"")</f>
        <v/>
      </c>
      <c r="L488" s="21" t="str">
        <f>IFERROR(__xludf.DUMMYFUNCTION("IFERROR((GOOGLEFINANCE(C488, ""price"") / INDEX(GOOGLEFINANCE(C488, ""price"", TODAY()-7, TODAY()), 2, 2)) - 1, """")"),"")</f>
        <v/>
      </c>
      <c r="M488" s="21" t="str">
        <f>IFERROR(__xludf.DUMMYFUNCTION("IFERROR((GOOGLEFINANCE(C488, ""price"") / INDEX(GOOGLEFINANCE(C488, ""price"", EDATE(TODAY(), -1), TODAY()), 2, 2)) - 1, """")"),"")</f>
        <v/>
      </c>
      <c r="N488" s="21" t="str">
        <f>IFERROR(__xludf.DUMMYFUNCTION("IFERROR((GOOGLEFINANCE(C488, ""price"") / INDEX(GOOGLEFINANCE(C488, ""price"", EDATE(TODAY(), -3), TODAY()), 2, 2)) - 1, """")"),"")</f>
        <v/>
      </c>
      <c r="O488" s="21" t="str">
        <f>IFERROR(__xludf.DUMMYFUNCTION("IFERROR((GOOGLEFINANCE(C488, ""price"") / INDEX(GOOGLEFINANCE(C488, ""price"", EDATE(TODAY(), -6), TODAY()), 2, 2)) - 1, """")"),"")</f>
        <v/>
      </c>
      <c r="P488" s="21" t="str">
        <f>IFERROR(__xludf.DUMMYFUNCTION("IFERROR((GOOGLEFINANCE(C488, ""price"") / INDEX(GOOGLEFINANCE(C488, ""price"", EDATE(TODAY(), -12), TODAY()), 2, 2)) - 1, """")"),"")</f>
        <v/>
      </c>
      <c r="Q488" s="6" t="str">
        <f>IFERROR(__xludf.DUMMYFUNCTION("AVERAGE(QUERY(GOOGLEFINANCE(C488, ""price"", TODAY()-80, TODAY()), ""SELECT Col2 WHERE Col2 IS NOT NULL ORDER BY Col1 DESC LIMIT 50"", 0))"),"#N/A")</f>
        <v>#N/A</v>
      </c>
      <c r="R488" s="24" t="str">
        <f>IFERROR(__xludf.DUMMYFUNCTION("IFERROR(
  LET(
    data, QUERY(GOOGLEFINANCE(C488,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GOOGLEFINANCE(C488, ""price"")) * 100,
    IF(calc=0, G488, calc)
  ), 
G488)"),"#N/A")</f>
        <v>#N/A</v>
      </c>
      <c r="S488" s="8" t="s">
        <v>15</v>
      </c>
      <c r="T488" s="26" t="str">
        <f>IFERROR(__xludf.DUMMYFUNCTION("IFERROR(TRANSPOSE(QUERY(IFERROR(SORT(GOOGLEFINANCE(C488, ""price"", WORKDAY(TODAY(), -40), TODAY()), 1, FALSE)), ""select Col2 where Col2 is not null limit 22 label Col2 ''"", 0)), """")"),"")</f>
        <v/>
      </c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8"/>
      <c r="AO488" s="28"/>
      <c r="AP488" s="29"/>
      <c r="AQ488" s="29" t="str">
        <f t="shared" ref="AQ488:BL488" si="491">T488/T$2</f>
        <v>#N/A</v>
      </c>
      <c r="AR488" s="29" t="str">
        <f t="shared" si="491"/>
        <v>#DIV/0!</v>
      </c>
      <c r="AS488" s="29" t="str">
        <f t="shared" si="491"/>
        <v>#DIV/0!</v>
      </c>
      <c r="AT488" s="29" t="str">
        <f t="shared" si="491"/>
        <v>#DIV/0!</v>
      </c>
      <c r="AU488" s="29" t="str">
        <f t="shared" si="491"/>
        <v>#DIV/0!</v>
      </c>
      <c r="AV488" s="29" t="str">
        <f t="shared" si="491"/>
        <v>#DIV/0!</v>
      </c>
      <c r="AW488" s="29" t="str">
        <f t="shared" si="491"/>
        <v>#DIV/0!</v>
      </c>
      <c r="AX488" s="29" t="str">
        <f t="shared" si="491"/>
        <v>#DIV/0!</v>
      </c>
      <c r="AY488" s="29" t="str">
        <f t="shared" si="491"/>
        <v>#DIV/0!</v>
      </c>
      <c r="AZ488" s="29" t="str">
        <f t="shared" si="491"/>
        <v>#DIV/0!</v>
      </c>
      <c r="BA488" s="29" t="str">
        <f t="shared" si="491"/>
        <v>#DIV/0!</v>
      </c>
      <c r="BB488" s="29" t="str">
        <f t="shared" si="491"/>
        <v>#DIV/0!</v>
      </c>
      <c r="BC488" s="29" t="str">
        <f t="shared" si="491"/>
        <v>#DIV/0!</v>
      </c>
      <c r="BD488" s="29" t="str">
        <f t="shared" si="491"/>
        <v>#DIV/0!</v>
      </c>
      <c r="BE488" s="29" t="str">
        <f t="shared" si="491"/>
        <v>#DIV/0!</v>
      </c>
      <c r="BF488" s="29" t="str">
        <f t="shared" si="491"/>
        <v>#DIV/0!</v>
      </c>
      <c r="BG488" s="29" t="str">
        <f t="shared" si="491"/>
        <v>#DIV/0!</v>
      </c>
      <c r="BH488" s="29" t="str">
        <f t="shared" si="491"/>
        <v>#DIV/0!</v>
      </c>
      <c r="BI488" s="29" t="str">
        <f t="shared" si="491"/>
        <v>#DIV/0!</v>
      </c>
      <c r="BJ488" s="29" t="str">
        <f t="shared" si="491"/>
        <v>#DIV/0!</v>
      </c>
      <c r="BK488" s="29" t="str">
        <f t="shared" si="491"/>
        <v>#DIV/0!</v>
      </c>
      <c r="BL488" s="29" t="str">
        <f t="shared" si="491"/>
        <v>#DIV/0!</v>
      </c>
      <c r="BM488" s="29" t="str">
        <f t="shared" si="3"/>
        <v>#DIV/0!</v>
      </c>
    </row>
    <row r="489">
      <c r="A489" s="16" t="str">
        <f>IFERROR(__xludf.DUMMYFUNCTION("IFERROR(SPARKLINE(SORT(MAP(TRANSPOSE(AQ489:BL489), LAMBDA(val, IF(ISNUMBER(val), PERCENTRANK(AQ489:BL489, val)+0.01, 0))), SEQUENCE(COLUMNS(AQ489:BL489)), FALSE), {""charttype"",""column""; ""color"",""chartreuse""; ""ymin"", 0; ""ymax"", 1.01; ""highcolo"&amp;"r"", ""darkgreen""; ""lowcolor"", ""red""}), """")"),"")</f>
        <v/>
      </c>
      <c r="B489" s="17" t="str">
        <f t="shared" si="4"/>
        <v/>
      </c>
      <c r="C489" s="1" t="s">
        <v>2235</v>
      </c>
      <c r="D489" s="34" t="str">
        <f>IFERROR(__xludf.DUMMYFUNCTION("IFERROR(GOOGLEFINANCE(C489, ""NAME""))"),"UP Fintech Holding Ltd")</f>
        <v>UP Fintech Holding Ltd</v>
      </c>
      <c r="E489" s="30" t="s">
        <v>77</v>
      </c>
      <c r="F489" s="33" t="str">
        <f>IFERROR(__xludf.DUMMYFUNCTION("( (GOOGLEFINANCE(C489, ""price"") - Q489) / Q489 ) / (R489 / 100)"),"Loading...")</f>
        <v>Loading...</v>
      </c>
      <c r="G489" s="20" t="str">
        <f>IFERROR(__xludf.DUMMYFUNCTION("AVERAGE(ARRAYFORMULA(100 * (QUERY(GOOGLEFINANCE(C489, ""high"", TODAY()-40, TODAY()), ""SELECT Col2 WHERE Col2 IS NOT NULL ORDER BY Col1 DESC LIMIT 20"", 0) / QUERY(GOOGLEFINANCE(C489, ""low"", TODAY()-40, TODAY()), ""SELECT Col2 WHERE Col2 IS NOT NULL OR"&amp;"DER BY Col1 DESC LIMIT 20"", 0) - 1)))"),"#N/A")</f>
        <v>#N/A</v>
      </c>
      <c r="H489" s="35" t="str">
        <f t="shared" si="6"/>
        <v/>
      </c>
      <c r="I489" s="36" t="str">
        <f t="shared" si="7"/>
        <v/>
      </c>
      <c r="J489" s="37" t="str">
        <f>IFERROR(__xludf.DUMMYFUNCTION("IFERROR(
  IF(C489="""",, 
    IFERROR(
      GOOGLEFINANCE(C489, ""price"") * GOOGLEFINANCE(C489, ""volumeavg""), 
      GOOGLEFINANCE(C489, ""price"") * AVERAGE(QUERY(GOOGLEFINANCE(C489, ""volume"", TODAY()-40, TODAY()), ""SELECT Col2 WHERE Col2 IS NOT "&amp;"NULL ORDER BY Col1 DESC LIMIT 20"", 0))
    )
  ), 
"""")"),"")</f>
        <v/>
      </c>
      <c r="K489" s="21" t="str">
        <f>IFERROR(__xludf.DUMMYFUNCTION("IFERROR(GOOGLEFINANCE(C489, ""changepct"") / 100, """")"),"")</f>
        <v/>
      </c>
      <c r="L489" s="21" t="str">
        <f>IFERROR(__xludf.DUMMYFUNCTION("IFERROR((GOOGLEFINANCE(C489, ""price"") / INDEX(GOOGLEFINANCE(C489, ""price"", TODAY()-7, TODAY()), 2, 2)) - 1, """")"),"")</f>
        <v/>
      </c>
      <c r="M489" s="21" t="str">
        <f>IFERROR(__xludf.DUMMYFUNCTION("IFERROR((GOOGLEFINANCE(C489, ""price"") / INDEX(GOOGLEFINANCE(C489, ""price"", EDATE(TODAY(), -1), TODAY()), 2, 2)) - 1, """")"),"")</f>
        <v/>
      </c>
      <c r="N489" s="21" t="str">
        <f>IFERROR(__xludf.DUMMYFUNCTION("IFERROR((GOOGLEFINANCE(C489, ""price"") / INDEX(GOOGLEFINANCE(C489, ""price"", EDATE(TODAY(), -3), TODAY()), 2, 2)) - 1, """")"),"")</f>
        <v/>
      </c>
      <c r="O489" s="21" t="str">
        <f>IFERROR(__xludf.DUMMYFUNCTION("IFERROR((GOOGLEFINANCE(C489, ""price"") / INDEX(GOOGLEFINANCE(C489, ""price"", EDATE(TODAY(), -6), TODAY()), 2, 2)) - 1, """")"),"")</f>
        <v/>
      </c>
      <c r="P489" s="21" t="str">
        <f>IFERROR(__xludf.DUMMYFUNCTION("IFERROR((GOOGLEFINANCE(C489, ""price"") / INDEX(GOOGLEFINANCE(C489, ""price"", EDATE(TODAY(), -12), TODAY()), 2, 2)) - 1, """")"),"")</f>
        <v/>
      </c>
      <c r="Q489" s="6" t="str">
        <f>IFERROR(__xludf.DUMMYFUNCTION("AVERAGE(QUERY(GOOGLEFINANCE(C489, ""price"", TODAY()-80, TODAY()), ""SELECT Col2 WHERE Col2 IS NOT NULL ORDER BY Col1 DESC LIMIT 50"", 0))"),"#N/A")</f>
        <v>#N/A</v>
      </c>
      <c r="R489" s="24" t="str">
        <f>IFERROR(__xludf.DUMMYFUNCTION("IFERROR(
  LET(
    data, QUERY(GOOGLEFINANCE(C489,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GOOGLEFINANCE(C489, ""price"")) * 100,
    IF(calc=0, G489, calc)
  ), 
G489)"),"#N/A")</f>
        <v>#N/A</v>
      </c>
      <c r="S489" s="8" t="s">
        <v>15</v>
      </c>
      <c r="T489" s="26" t="str">
        <f>IFERROR(__xludf.DUMMYFUNCTION("IFERROR(TRANSPOSE(QUERY(IFERROR(SORT(GOOGLEFINANCE(C489, ""price"", WORKDAY(TODAY(), -40), TODAY()), 1, FALSE)), ""select Col2 where Col2 is not null limit 22 label Col2 ''"", 0)), """")"),"")</f>
        <v/>
      </c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8"/>
      <c r="AO489" s="28"/>
      <c r="AP489" s="29"/>
      <c r="AQ489" s="29" t="str">
        <f t="shared" ref="AQ489:BL489" si="492">T489/T$2</f>
        <v>#N/A</v>
      </c>
      <c r="AR489" s="29" t="str">
        <f t="shared" si="492"/>
        <v>#DIV/0!</v>
      </c>
      <c r="AS489" s="29" t="str">
        <f t="shared" si="492"/>
        <v>#DIV/0!</v>
      </c>
      <c r="AT489" s="29" t="str">
        <f t="shared" si="492"/>
        <v>#DIV/0!</v>
      </c>
      <c r="AU489" s="29" t="str">
        <f t="shared" si="492"/>
        <v>#DIV/0!</v>
      </c>
      <c r="AV489" s="29" t="str">
        <f t="shared" si="492"/>
        <v>#DIV/0!</v>
      </c>
      <c r="AW489" s="29" t="str">
        <f t="shared" si="492"/>
        <v>#DIV/0!</v>
      </c>
      <c r="AX489" s="29" t="str">
        <f t="shared" si="492"/>
        <v>#DIV/0!</v>
      </c>
      <c r="AY489" s="29" t="str">
        <f t="shared" si="492"/>
        <v>#DIV/0!</v>
      </c>
      <c r="AZ489" s="29" t="str">
        <f t="shared" si="492"/>
        <v>#DIV/0!</v>
      </c>
      <c r="BA489" s="29" t="str">
        <f t="shared" si="492"/>
        <v>#DIV/0!</v>
      </c>
      <c r="BB489" s="29" t="str">
        <f t="shared" si="492"/>
        <v>#DIV/0!</v>
      </c>
      <c r="BC489" s="29" t="str">
        <f t="shared" si="492"/>
        <v>#DIV/0!</v>
      </c>
      <c r="BD489" s="29" t="str">
        <f t="shared" si="492"/>
        <v>#DIV/0!</v>
      </c>
      <c r="BE489" s="29" t="str">
        <f t="shared" si="492"/>
        <v>#DIV/0!</v>
      </c>
      <c r="BF489" s="29" t="str">
        <f t="shared" si="492"/>
        <v>#DIV/0!</v>
      </c>
      <c r="BG489" s="29" t="str">
        <f t="shared" si="492"/>
        <v>#DIV/0!</v>
      </c>
      <c r="BH489" s="29" t="str">
        <f t="shared" si="492"/>
        <v>#DIV/0!</v>
      </c>
      <c r="BI489" s="29" t="str">
        <f t="shared" si="492"/>
        <v>#DIV/0!</v>
      </c>
      <c r="BJ489" s="29" t="str">
        <f t="shared" si="492"/>
        <v>#DIV/0!</v>
      </c>
      <c r="BK489" s="29" t="str">
        <f t="shared" si="492"/>
        <v>#DIV/0!</v>
      </c>
      <c r="BL489" s="29" t="str">
        <f t="shared" si="492"/>
        <v>#DIV/0!</v>
      </c>
      <c r="BM489" s="29" t="str">
        <f t="shared" si="3"/>
        <v>#DIV/0!</v>
      </c>
    </row>
    <row r="490">
      <c r="A490" s="16" t="str">
        <f>IFERROR(__xludf.DUMMYFUNCTION("IFERROR(SPARKLINE(SORT(MAP(TRANSPOSE(AQ490:BL490), LAMBDA(val, IF(ISNUMBER(val), PERCENTRANK(AQ490:BL490, val)+0.01, 0))), SEQUENCE(COLUMNS(AQ490:BL490)), FALSE), {""charttype"",""column""; ""color"",""chartreuse""; ""ymin"", 0; ""ymax"", 1.01; ""highcolo"&amp;"r"", ""darkgreen""; ""lowcolor"", ""red""}), """")"),"")</f>
        <v/>
      </c>
      <c r="B490" s="17" t="str">
        <f t="shared" si="4"/>
        <v/>
      </c>
      <c r="C490" s="1" t="s">
        <v>2239</v>
      </c>
      <c r="D490" s="34" t="str">
        <f>IFERROR(__xludf.DUMMYFUNCTION("IFERROR(GOOGLEFINANCE(C490, ""NAME""))"),"Carlyle Secured Lending Inc")</f>
        <v>Carlyle Secured Lending Inc</v>
      </c>
      <c r="E490" s="30" t="s">
        <v>64</v>
      </c>
      <c r="F490" s="33" t="str">
        <f>IFERROR(__xludf.DUMMYFUNCTION("( (GOOGLEFINANCE(C490, ""price"") - Q490) / Q490 ) / (R490 / 100)"),"Loading...")</f>
        <v>Loading...</v>
      </c>
      <c r="G490" s="20" t="str">
        <f>IFERROR(__xludf.DUMMYFUNCTION("AVERAGE(ARRAYFORMULA(100 * (QUERY(GOOGLEFINANCE(C490, ""high"", TODAY()-40, TODAY()), ""SELECT Col2 WHERE Col2 IS NOT NULL ORDER BY Col1 DESC LIMIT 20"", 0) / QUERY(GOOGLEFINANCE(C490, ""low"", TODAY()-40, TODAY()), ""SELECT Col2 WHERE Col2 IS NOT NULL OR"&amp;"DER BY Col1 DESC LIMIT 20"", 0) - 1)))"),"#N/A")</f>
        <v>#N/A</v>
      </c>
      <c r="H490" s="35" t="str">
        <f t="shared" si="6"/>
        <v/>
      </c>
      <c r="I490" s="36" t="str">
        <f t="shared" si="7"/>
        <v/>
      </c>
      <c r="J490" s="37" t="str">
        <f>IFERROR(__xludf.DUMMYFUNCTION("IFERROR(
  IF(C490="""",, 
    IFERROR(
      GOOGLEFINANCE(C490, ""price"") * GOOGLEFINANCE(C490, ""volumeavg""), 
      GOOGLEFINANCE(C490, ""price"") * AVERAGE(QUERY(GOOGLEFINANCE(C490, ""volume"", TODAY()-40, TODAY()), ""SELECT Col2 WHERE Col2 IS NOT "&amp;"NULL ORDER BY Col1 DESC LIMIT 20"", 0))
    )
  ), 
"""")"),"")</f>
        <v/>
      </c>
      <c r="K490" s="21" t="str">
        <f>IFERROR(__xludf.DUMMYFUNCTION("IFERROR(GOOGLEFINANCE(C490, ""changepct"") / 100, """")"),"")</f>
        <v/>
      </c>
      <c r="L490" s="21" t="str">
        <f>IFERROR(__xludf.DUMMYFUNCTION("IFERROR((GOOGLEFINANCE(C490, ""price"") / INDEX(GOOGLEFINANCE(C490, ""price"", TODAY()-7, TODAY()), 2, 2)) - 1, """")"),"")</f>
        <v/>
      </c>
      <c r="M490" s="21" t="str">
        <f>IFERROR(__xludf.DUMMYFUNCTION("IFERROR((GOOGLEFINANCE(C490, ""price"") / INDEX(GOOGLEFINANCE(C490, ""price"", EDATE(TODAY(), -1), TODAY()), 2, 2)) - 1, """")"),"")</f>
        <v/>
      </c>
      <c r="N490" s="21" t="str">
        <f>IFERROR(__xludf.DUMMYFUNCTION("IFERROR((GOOGLEFINANCE(C490, ""price"") / INDEX(GOOGLEFINANCE(C490, ""price"", EDATE(TODAY(), -3), TODAY()), 2, 2)) - 1, """")"),"")</f>
        <v/>
      </c>
      <c r="O490" s="21" t="str">
        <f>IFERROR(__xludf.DUMMYFUNCTION("IFERROR((GOOGLEFINANCE(C490, ""price"") / INDEX(GOOGLEFINANCE(C490, ""price"", EDATE(TODAY(), -6), TODAY()), 2, 2)) - 1, """")"),"")</f>
        <v/>
      </c>
      <c r="P490" s="21" t="str">
        <f>IFERROR(__xludf.DUMMYFUNCTION("IFERROR((GOOGLEFINANCE(C490, ""price"") / INDEX(GOOGLEFINANCE(C490, ""price"", EDATE(TODAY(), -12), TODAY()), 2, 2)) - 1, """")"),"")</f>
        <v/>
      </c>
      <c r="Q490" s="6" t="str">
        <f>IFERROR(__xludf.DUMMYFUNCTION("AVERAGE(QUERY(GOOGLEFINANCE(C490, ""price"", TODAY()-80, TODAY()), ""SELECT Col2 WHERE Col2 IS NOT NULL ORDER BY Col1 DESC LIMIT 50"", 0))"),"#N/A")</f>
        <v>#N/A</v>
      </c>
      <c r="R490" s="24" t="str">
        <f>IFERROR(__xludf.DUMMYFUNCTION("IFERROR(
  LET(
    data, QUERY(GOOGLEFINANCE(C490,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GOOGLEFINANCE(C490, ""price"")) * 100,
    IF(calc=0, G490, calc)
  ), 
G490)"),"#N/A")</f>
        <v>#N/A</v>
      </c>
      <c r="S490" s="8" t="s">
        <v>15</v>
      </c>
      <c r="T490" s="26" t="str">
        <f>IFERROR(__xludf.DUMMYFUNCTION("IFERROR(TRANSPOSE(QUERY(IFERROR(SORT(GOOGLEFINANCE(C490, ""price"", WORKDAY(TODAY(), -40), TODAY()), 1, FALSE)), ""select Col2 where Col2 is not null limit 22 label Col2 ''"", 0)), """")"),"")</f>
        <v/>
      </c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8"/>
      <c r="AO490" s="28"/>
      <c r="AP490" s="29"/>
      <c r="AQ490" s="29" t="str">
        <f t="shared" ref="AQ490:BL490" si="493">T490/T$2</f>
        <v>#N/A</v>
      </c>
      <c r="AR490" s="29" t="str">
        <f t="shared" si="493"/>
        <v>#DIV/0!</v>
      </c>
      <c r="AS490" s="29" t="str">
        <f t="shared" si="493"/>
        <v>#DIV/0!</v>
      </c>
      <c r="AT490" s="29" t="str">
        <f t="shared" si="493"/>
        <v>#DIV/0!</v>
      </c>
      <c r="AU490" s="29" t="str">
        <f t="shared" si="493"/>
        <v>#DIV/0!</v>
      </c>
      <c r="AV490" s="29" t="str">
        <f t="shared" si="493"/>
        <v>#DIV/0!</v>
      </c>
      <c r="AW490" s="29" t="str">
        <f t="shared" si="493"/>
        <v>#DIV/0!</v>
      </c>
      <c r="AX490" s="29" t="str">
        <f t="shared" si="493"/>
        <v>#DIV/0!</v>
      </c>
      <c r="AY490" s="29" t="str">
        <f t="shared" si="493"/>
        <v>#DIV/0!</v>
      </c>
      <c r="AZ490" s="29" t="str">
        <f t="shared" si="493"/>
        <v>#DIV/0!</v>
      </c>
      <c r="BA490" s="29" t="str">
        <f t="shared" si="493"/>
        <v>#DIV/0!</v>
      </c>
      <c r="BB490" s="29" t="str">
        <f t="shared" si="493"/>
        <v>#DIV/0!</v>
      </c>
      <c r="BC490" s="29" t="str">
        <f t="shared" si="493"/>
        <v>#DIV/0!</v>
      </c>
      <c r="BD490" s="29" t="str">
        <f t="shared" si="493"/>
        <v>#DIV/0!</v>
      </c>
      <c r="BE490" s="29" t="str">
        <f t="shared" si="493"/>
        <v>#DIV/0!</v>
      </c>
      <c r="BF490" s="29" t="str">
        <f t="shared" si="493"/>
        <v>#DIV/0!</v>
      </c>
      <c r="BG490" s="29" t="str">
        <f t="shared" si="493"/>
        <v>#DIV/0!</v>
      </c>
      <c r="BH490" s="29" t="str">
        <f t="shared" si="493"/>
        <v>#DIV/0!</v>
      </c>
      <c r="BI490" s="29" t="str">
        <f t="shared" si="493"/>
        <v>#DIV/0!</v>
      </c>
      <c r="BJ490" s="29" t="str">
        <f t="shared" si="493"/>
        <v>#DIV/0!</v>
      </c>
      <c r="BK490" s="29" t="str">
        <f t="shared" si="493"/>
        <v>#DIV/0!</v>
      </c>
      <c r="BL490" s="29" t="str">
        <f t="shared" si="493"/>
        <v>#DIV/0!</v>
      </c>
      <c r="BM490" s="29" t="str">
        <f t="shared" si="3"/>
        <v>#DIV/0!</v>
      </c>
    </row>
    <row r="491">
      <c r="A491" s="16" t="str">
        <f>IFERROR(__xludf.DUMMYFUNCTION("IFERROR(SPARKLINE(SORT(MAP(TRANSPOSE(AQ491:BL491), LAMBDA(val, IF(ISNUMBER(val), PERCENTRANK(AQ491:BL491, val)+0.01, 0))), SEQUENCE(COLUMNS(AQ491:BL491)), FALSE), {""charttype"",""column""; ""color"",""chartreuse""; ""ymin"", 0; ""ymax"", 1.01; ""highcolo"&amp;"r"", ""darkgreen""; ""lowcolor"", ""red""}), """")"),"")</f>
        <v/>
      </c>
      <c r="B491" s="17" t="str">
        <f t="shared" si="4"/>
        <v/>
      </c>
      <c r="C491" s="1" t="s">
        <v>2243</v>
      </c>
      <c r="D491" s="34" t="str">
        <f>IFERROR(__xludf.DUMMYFUNCTION("IFERROR(GOOGLEFINANCE(C491, ""NAME""))"),"Bank of Montreal")</f>
        <v>Bank of Montreal</v>
      </c>
      <c r="E491" s="30" t="s">
        <v>236</v>
      </c>
      <c r="F491" s="33" t="str">
        <f>IFERROR(__xludf.DUMMYFUNCTION("( (GOOGLEFINANCE(C491, ""price"") - Q491) / Q491 ) / (R491 / 100)"),"Loading...")</f>
        <v>Loading...</v>
      </c>
      <c r="G491" s="20" t="str">
        <f>IFERROR(__xludf.DUMMYFUNCTION("AVERAGE(ARRAYFORMULA(100 * (QUERY(GOOGLEFINANCE(C491, ""high"", TODAY()-40, TODAY()), ""SELECT Col2 WHERE Col2 IS NOT NULL ORDER BY Col1 DESC LIMIT 20"", 0) / QUERY(GOOGLEFINANCE(C491, ""low"", TODAY()-40, TODAY()), ""SELECT Col2 WHERE Col2 IS NOT NULL OR"&amp;"DER BY Col1 DESC LIMIT 20"", 0) - 1)))"),"#N/A")</f>
        <v>#N/A</v>
      </c>
      <c r="H491" s="35" t="str">
        <f t="shared" si="6"/>
        <v/>
      </c>
      <c r="I491" s="36" t="str">
        <f t="shared" si="7"/>
        <v/>
      </c>
      <c r="J491" s="37" t="str">
        <f>IFERROR(__xludf.DUMMYFUNCTION("IFERROR(
  IF(C491="""",, 
    IFERROR(
      GOOGLEFINANCE(C491, ""price"") * GOOGLEFINANCE(C491, ""volumeavg""), 
      GOOGLEFINANCE(C491, ""price"") * AVERAGE(QUERY(GOOGLEFINANCE(C491, ""volume"", TODAY()-40, TODAY()), ""SELECT Col2 WHERE Col2 IS NOT "&amp;"NULL ORDER BY Col1 DESC LIMIT 20"", 0))
    )
  ), 
"""")"),"")</f>
        <v/>
      </c>
      <c r="K491" s="21" t="str">
        <f>IFERROR(__xludf.DUMMYFUNCTION("IFERROR(GOOGLEFINANCE(C491, ""changepct"") / 100, """")"),"")</f>
        <v/>
      </c>
      <c r="L491" s="21" t="str">
        <f>IFERROR(__xludf.DUMMYFUNCTION("IFERROR((GOOGLEFINANCE(C491, ""price"") / INDEX(GOOGLEFINANCE(C491, ""price"", TODAY()-7, TODAY()), 2, 2)) - 1, """")"),"")</f>
        <v/>
      </c>
      <c r="M491" s="21" t="str">
        <f>IFERROR(__xludf.DUMMYFUNCTION("IFERROR((GOOGLEFINANCE(C491, ""price"") / INDEX(GOOGLEFINANCE(C491, ""price"", EDATE(TODAY(), -1), TODAY()), 2, 2)) - 1, """")"),"")</f>
        <v/>
      </c>
      <c r="N491" s="21" t="str">
        <f>IFERROR(__xludf.DUMMYFUNCTION("IFERROR((GOOGLEFINANCE(C491, ""price"") / INDEX(GOOGLEFINANCE(C491, ""price"", EDATE(TODAY(), -3), TODAY()), 2, 2)) - 1, """")"),"")</f>
        <v/>
      </c>
      <c r="O491" s="21" t="str">
        <f>IFERROR(__xludf.DUMMYFUNCTION("IFERROR((GOOGLEFINANCE(C491, ""price"") / INDEX(GOOGLEFINANCE(C491, ""price"", EDATE(TODAY(), -6), TODAY()), 2, 2)) - 1, """")"),"")</f>
        <v/>
      </c>
      <c r="P491" s="21" t="str">
        <f>IFERROR(__xludf.DUMMYFUNCTION("IFERROR((GOOGLEFINANCE(C491, ""price"") / INDEX(GOOGLEFINANCE(C491, ""price"", EDATE(TODAY(), -12), TODAY()), 2, 2)) - 1, """")"),"")</f>
        <v/>
      </c>
      <c r="Q491" s="6" t="str">
        <f>IFERROR(__xludf.DUMMYFUNCTION("AVERAGE(QUERY(GOOGLEFINANCE(C491, ""price"", TODAY()-80, TODAY()), ""SELECT Col2 WHERE Col2 IS NOT NULL ORDER BY Col1 DESC LIMIT 50"", 0))"),"#N/A")</f>
        <v>#N/A</v>
      </c>
      <c r="R491" s="24" t="str">
        <f>IFERROR(__xludf.DUMMYFUNCTION("IFERROR(
  LET(
    data, QUERY(GOOGLEFINANCE(C491,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GOOGLEFINANCE(C491, ""price"")) * 100,
    IF(calc=0, G491, calc)
  ), 
G491)"),"#N/A")</f>
        <v>#N/A</v>
      </c>
      <c r="S491" s="8" t="s">
        <v>15</v>
      </c>
      <c r="T491" s="26" t="str">
        <f>IFERROR(__xludf.DUMMYFUNCTION("IFERROR(TRANSPOSE(QUERY(IFERROR(SORT(GOOGLEFINANCE(C491, ""price"", WORKDAY(TODAY(), -40), TODAY()), 1, FALSE)), ""select Col2 where Col2 is not null limit 22 label Col2 ''"", 0)), """")"),"")</f>
        <v/>
      </c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8"/>
      <c r="AO491" s="28"/>
      <c r="AP491" s="29"/>
      <c r="AQ491" s="29" t="str">
        <f t="shared" ref="AQ491:BL491" si="494">T491/T$2</f>
        <v>#N/A</v>
      </c>
      <c r="AR491" s="29" t="str">
        <f t="shared" si="494"/>
        <v>#DIV/0!</v>
      </c>
      <c r="AS491" s="29" t="str">
        <f t="shared" si="494"/>
        <v>#DIV/0!</v>
      </c>
      <c r="AT491" s="29" t="str">
        <f t="shared" si="494"/>
        <v>#DIV/0!</v>
      </c>
      <c r="AU491" s="29" t="str">
        <f t="shared" si="494"/>
        <v>#DIV/0!</v>
      </c>
      <c r="AV491" s="29" t="str">
        <f t="shared" si="494"/>
        <v>#DIV/0!</v>
      </c>
      <c r="AW491" s="29" t="str">
        <f t="shared" si="494"/>
        <v>#DIV/0!</v>
      </c>
      <c r="AX491" s="29" t="str">
        <f t="shared" si="494"/>
        <v>#DIV/0!</v>
      </c>
      <c r="AY491" s="29" t="str">
        <f t="shared" si="494"/>
        <v>#DIV/0!</v>
      </c>
      <c r="AZ491" s="29" t="str">
        <f t="shared" si="494"/>
        <v>#DIV/0!</v>
      </c>
      <c r="BA491" s="29" t="str">
        <f t="shared" si="494"/>
        <v>#DIV/0!</v>
      </c>
      <c r="BB491" s="29" t="str">
        <f t="shared" si="494"/>
        <v>#DIV/0!</v>
      </c>
      <c r="BC491" s="29" t="str">
        <f t="shared" si="494"/>
        <v>#DIV/0!</v>
      </c>
      <c r="BD491" s="29" t="str">
        <f t="shared" si="494"/>
        <v>#DIV/0!</v>
      </c>
      <c r="BE491" s="29" t="str">
        <f t="shared" si="494"/>
        <v>#DIV/0!</v>
      </c>
      <c r="BF491" s="29" t="str">
        <f t="shared" si="494"/>
        <v>#DIV/0!</v>
      </c>
      <c r="BG491" s="29" t="str">
        <f t="shared" si="494"/>
        <v>#DIV/0!</v>
      </c>
      <c r="BH491" s="29" t="str">
        <f t="shared" si="494"/>
        <v>#DIV/0!</v>
      </c>
      <c r="BI491" s="29" t="str">
        <f t="shared" si="494"/>
        <v>#DIV/0!</v>
      </c>
      <c r="BJ491" s="29" t="str">
        <f t="shared" si="494"/>
        <v>#DIV/0!</v>
      </c>
      <c r="BK491" s="29" t="str">
        <f t="shared" si="494"/>
        <v>#DIV/0!</v>
      </c>
      <c r="BL491" s="29" t="str">
        <f t="shared" si="494"/>
        <v>#DIV/0!</v>
      </c>
      <c r="BM491" s="29" t="str">
        <f t="shared" si="3"/>
        <v>#DIV/0!</v>
      </c>
    </row>
    <row r="492">
      <c r="A492" s="16" t="str">
        <f>IFERROR(__xludf.DUMMYFUNCTION("IFERROR(SPARKLINE(SORT(MAP(TRANSPOSE(AQ492:BL492), LAMBDA(val, IF(ISNUMBER(val), PERCENTRANK(AQ492:BL492, val)+0.01, 0))), SEQUENCE(COLUMNS(AQ492:BL492)), FALSE), {""charttype"",""column""; ""color"",""chartreuse""; ""ymin"", 0; ""ymax"", 1.01; ""highcolo"&amp;"r"", ""darkgreen""; ""lowcolor"", ""red""}), """")"),"")</f>
        <v/>
      </c>
      <c r="B492" s="17" t="str">
        <f t="shared" si="4"/>
        <v/>
      </c>
      <c r="C492" s="1" t="s">
        <v>2247</v>
      </c>
      <c r="D492" s="34" t="str">
        <f>IFERROR(__xludf.DUMMYFUNCTION("IFERROR(GOOGLEFINANCE(C492, ""NAME""))"),"Pra Group Inc")</f>
        <v>Pra Group Inc</v>
      </c>
      <c r="E492" s="30" t="s">
        <v>145</v>
      </c>
      <c r="F492" s="33" t="str">
        <f>IFERROR(__xludf.DUMMYFUNCTION("( (GOOGLEFINANCE(C492, ""price"") - Q492) / Q492 ) / (R492 / 100)"),"Loading...")</f>
        <v>Loading...</v>
      </c>
      <c r="G492" s="20" t="str">
        <f>IFERROR(__xludf.DUMMYFUNCTION("AVERAGE(ARRAYFORMULA(100 * (QUERY(GOOGLEFINANCE(C492, ""high"", TODAY()-40, TODAY()), ""SELECT Col2 WHERE Col2 IS NOT NULL ORDER BY Col1 DESC LIMIT 20"", 0) / QUERY(GOOGLEFINANCE(C492, ""low"", TODAY()-40, TODAY()), ""SELECT Col2 WHERE Col2 IS NOT NULL OR"&amp;"DER BY Col1 DESC LIMIT 20"", 0) - 1)))"),"#N/A")</f>
        <v>#N/A</v>
      </c>
      <c r="H492" s="35" t="str">
        <f t="shared" si="6"/>
        <v/>
      </c>
      <c r="I492" s="36" t="str">
        <f t="shared" si="7"/>
        <v/>
      </c>
      <c r="J492" s="37" t="str">
        <f>IFERROR(__xludf.DUMMYFUNCTION("IFERROR(
  IF(C492="""",, 
    IFERROR(
      GOOGLEFINANCE(C492, ""price"") * GOOGLEFINANCE(C492, ""volumeavg""), 
      GOOGLEFINANCE(C492, ""price"") * AVERAGE(QUERY(GOOGLEFINANCE(C492, ""volume"", TODAY()-40, TODAY()), ""SELECT Col2 WHERE Col2 IS NOT "&amp;"NULL ORDER BY Col1 DESC LIMIT 20"", 0))
    )
  ), 
"""")"),"")</f>
        <v/>
      </c>
      <c r="K492" s="21" t="str">
        <f>IFERROR(__xludf.DUMMYFUNCTION("IFERROR(GOOGLEFINANCE(C492, ""changepct"") / 100, """")"),"")</f>
        <v/>
      </c>
      <c r="L492" s="21" t="str">
        <f>IFERROR(__xludf.DUMMYFUNCTION("IFERROR((GOOGLEFINANCE(C492, ""price"") / INDEX(GOOGLEFINANCE(C492, ""price"", TODAY()-7, TODAY()), 2, 2)) - 1, """")"),"")</f>
        <v/>
      </c>
      <c r="M492" s="21" t="str">
        <f>IFERROR(__xludf.DUMMYFUNCTION("IFERROR((GOOGLEFINANCE(C492, ""price"") / INDEX(GOOGLEFINANCE(C492, ""price"", EDATE(TODAY(), -1), TODAY()), 2, 2)) - 1, """")"),"")</f>
        <v/>
      </c>
      <c r="N492" s="21" t="str">
        <f>IFERROR(__xludf.DUMMYFUNCTION("IFERROR((GOOGLEFINANCE(C492, ""price"") / INDEX(GOOGLEFINANCE(C492, ""price"", EDATE(TODAY(), -3), TODAY()), 2, 2)) - 1, """")"),"")</f>
        <v/>
      </c>
      <c r="O492" s="21" t="str">
        <f>IFERROR(__xludf.DUMMYFUNCTION("IFERROR((GOOGLEFINANCE(C492, ""price"") / INDEX(GOOGLEFINANCE(C492, ""price"", EDATE(TODAY(), -6), TODAY()), 2, 2)) - 1, """")"),"")</f>
        <v/>
      </c>
      <c r="P492" s="21" t="str">
        <f>IFERROR(__xludf.DUMMYFUNCTION("IFERROR((GOOGLEFINANCE(C492, ""price"") / INDEX(GOOGLEFINANCE(C492, ""price"", EDATE(TODAY(), -12), TODAY()), 2, 2)) - 1, """")"),"")</f>
        <v/>
      </c>
      <c r="Q492" s="6" t="str">
        <f>IFERROR(__xludf.DUMMYFUNCTION("AVERAGE(QUERY(GOOGLEFINANCE(C492, ""price"", TODAY()-80, TODAY()), ""SELECT Col2 WHERE Col2 IS NOT NULL ORDER BY Col1 DESC LIMIT 50"", 0))"),"#N/A")</f>
        <v>#N/A</v>
      </c>
      <c r="R492" s="24" t="str">
        <f>IFERROR(__xludf.DUMMYFUNCTION("IFERROR(
  LET(
    data, QUERY(GOOGLEFINANCE(C492,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GOOGLEFINANCE(C492, ""price"")) * 100,
    IF(calc=0, G492, calc)
  ), 
G492)"),"#N/A")</f>
        <v>#N/A</v>
      </c>
      <c r="S492" s="8" t="s">
        <v>15</v>
      </c>
      <c r="T492" s="26" t="str">
        <f>IFERROR(__xludf.DUMMYFUNCTION("IFERROR(TRANSPOSE(QUERY(IFERROR(SORT(GOOGLEFINANCE(C492, ""price"", WORKDAY(TODAY(), -40), TODAY()), 1, FALSE)), ""select Col2 where Col2 is not null limit 22 label Col2 ''"", 0)), """")"),"")</f>
        <v/>
      </c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8"/>
      <c r="AO492" s="28"/>
      <c r="AP492" s="29"/>
      <c r="AQ492" s="29" t="str">
        <f t="shared" ref="AQ492:BL492" si="495">T492/T$2</f>
        <v>#N/A</v>
      </c>
      <c r="AR492" s="29" t="str">
        <f t="shared" si="495"/>
        <v>#DIV/0!</v>
      </c>
      <c r="AS492" s="29" t="str">
        <f t="shared" si="495"/>
        <v>#DIV/0!</v>
      </c>
      <c r="AT492" s="29" t="str">
        <f t="shared" si="495"/>
        <v>#DIV/0!</v>
      </c>
      <c r="AU492" s="29" t="str">
        <f t="shared" si="495"/>
        <v>#DIV/0!</v>
      </c>
      <c r="AV492" s="29" t="str">
        <f t="shared" si="495"/>
        <v>#DIV/0!</v>
      </c>
      <c r="AW492" s="29" t="str">
        <f t="shared" si="495"/>
        <v>#DIV/0!</v>
      </c>
      <c r="AX492" s="29" t="str">
        <f t="shared" si="495"/>
        <v>#DIV/0!</v>
      </c>
      <c r="AY492" s="29" t="str">
        <f t="shared" si="495"/>
        <v>#DIV/0!</v>
      </c>
      <c r="AZ492" s="29" t="str">
        <f t="shared" si="495"/>
        <v>#DIV/0!</v>
      </c>
      <c r="BA492" s="29" t="str">
        <f t="shared" si="495"/>
        <v>#DIV/0!</v>
      </c>
      <c r="BB492" s="29" t="str">
        <f t="shared" si="495"/>
        <v>#DIV/0!</v>
      </c>
      <c r="BC492" s="29" t="str">
        <f t="shared" si="495"/>
        <v>#DIV/0!</v>
      </c>
      <c r="BD492" s="29" t="str">
        <f t="shared" si="495"/>
        <v>#DIV/0!</v>
      </c>
      <c r="BE492" s="29" t="str">
        <f t="shared" si="495"/>
        <v>#DIV/0!</v>
      </c>
      <c r="BF492" s="29" t="str">
        <f t="shared" si="495"/>
        <v>#DIV/0!</v>
      </c>
      <c r="BG492" s="29" t="str">
        <f t="shared" si="495"/>
        <v>#DIV/0!</v>
      </c>
      <c r="BH492" s="29" t="str">
        <f t="shared" si="495"/>
        <v>#DIV/0!</v>
      </c>
      <c r="BI492" s="29" t="str">
        <f t="shared" si="495"/>
        <v>#DIV/0!</v>
      </c>
      <c r="BJ492" s="29" t="str">
        <f t="shared" si="495"/>
        <v>#DIV/0!</v>
      </c>
      <c r="BK492" s="29" t="str">
        <f t="shared" si="495"/>
        <v>#DIV/0!</v>
      </c>
      <c r="BL492" s="29" t="str">
        <f t="shared" si="495"/>
        <v>#DIV/0!</v>
      </c>
      <c r="BM492" s="29" t="str">
        <f t="shared" si="3"/>
        <v>#DIV/0!</v>
      </c>
    </row>
    <row r="493">
      <c r="A493" s="16" t="str">
        <f>IFERROR(__xludf.DUMMYFUNCTION("IFERROR(SPARKLINE(SORT(MAP(TRANSPOSE(AQ493:BL493), LAMBDA(val, IF(ISNUMBER(val), PERCENTRANK(AQ493:BL493, val)+0.01, 0))), SEQUENCE(COLUMNS(AQ493:BL493)), FALSE), {""charttype"",""column""; ""color"",""chartreuse""; ""ymin"", 0; ""ymax"", 1.01; ""highcolo"&amp;"r"", ""darkgreen""; ""lowcolor"", ""red""}), """")"),"")</f>
        <v/>
      </c>
      <c r="B493" s="17" t="str">
        <f t="shared" si="4"/>
        <v/>
      </c>
      <c r="C493" s="1" t="s">
        <v>2251</v>
      </c>
      <c r="D493" s="34" t="str">
        <f>IFERROR(__xludf.DUMMYFUNCTION("IFERROR(GOOGLEFINANCE(C493, ""NAME""))"),"Bancorp Inc")</f>
        <v>Bancorp Inc</v>
      </c>
      <c r="E493" s="30" t="s">
        <v>268</v>
      </c>
      <c r="F493" s="38" t="str">
        <f>IFERROR(__xludf.DUMMYFUNCTION("( (GOOGLEFINANCE(C493, ""price"") - Q493) / Q493 ) / (R493 / 100)"),"Loading...")</f>
        <v>Loading...</v>
      </c>
      <c r="G493" s="20" t="str">
        <f>IFERROR(__xludf.DUMMYFUNCTION("AVERAGE(ARRAYFORMULA(100 * (QUERY(GOOGLEFINANCE(C493, ""high"", TODAY()-40, TODAY()), ""SELECT Col2 WHERE Col2 IS NOT NULL ORDER BY Col1 DESC LIMIT 20"", 0) / QUERY(GOOGLEFINANCE(C493, ""low"", TODAY()-40, TODAY()), ""SELECT Col2 WHERE Col2 IS NOT NULL OR"&amp;"DER BY Col1 DESC LIMIT 20"", 0) - 1)))"),"#N/A")</f>
        <v>#N/A</v>
      </c>
      <c r="H493" s="35" t="str">
        <f t="shared" si="6"/>
        <v/>
      </c>
      <c r="I493" s="36" t="str">
        <f t="shared" si="7"/>
        <v/>
      </c>
      <c r="J493" s="37" t="str">
        <f>IFERROR(__xludf.DUMMYFUNCTION("IFERROR(
  IF(C493="""",, 
    IFERROR(
      GOOGLEFINANCE(C493, ""price"") * GOOGLEFINANCE(C493, ""volumeavg""), 
      GOOGLEFINANCE(C493, ""price"") * AVERAGE(QUERY(GOOGLEFINANCE(C493, ""volume"", TODAY()-40, TODAY()), ""SELECT Col2 WHERE Col2 IS NOT "&amp;"NULL ORDER BY Col1 DESC LIMIT 20"", 0))
    )
  ), 
"""")"),"")</f>
        <v/>
      </c>
      <c r="K493" s="21" t="str">
        <f>IFERROR(__xludf.DUMMYFUNCTION("IFERROR(GOOGLEFINANCE(C493, ""changepct"") / 100, """")"),"")</f>
        <v/>
      </c>
      <c r="L493" s="21" t="str">
        <f>IFERROR(__xludf.DUMMYFUNCTION("IFERROR((GOOGLEFINANCE(C493, ""price"") / INDEX(GOOGLEFINANCE(C493, ""price"", TODAY()-7, TODAY()), 2, 2)) - 1, """")"),"")</f>
        <v/>
      </c>
      <c r="M493" s="21" t="str">
        <f>IFERROR(__xludf.DUMMYFUNCTION("IFERROR((GOOGLEFINANCE(C493, ""price"") / INDEX(GOOGLEFINANCE(C493, ""price"", EDATE(TODAY(), -1), TODAY()), 2, 2)) - 1, """")"),"")</f>
        <v/>
      </c>
      <c r="N493" s="21" t="str">
        <f>IFERROR(__xludf.DUMMYFUNCTION("IFERROR((GOOGLEFINANCE(C493, ""price"") / INDEX(GOOGLEFINANCE(C493, ""price"", EDATE(TODAY(), -3), TODAY()), 2, 2)) - 1, """")"),"")</f>
        <v/>
      </c>
      <c r="O493" s="21" t="str">
        <f>IFERROR(__xludf.DUMMYFUNCTION("IFERROR((GOOGLEFINANCE(C493, ""price"") / INDEX(GOOGLEFINANCE(C493, ""price"", EDATE(TODAY(), -6), TODAY()), 2, 2)) - 1, """")"),"")</f>
        <v/>
      </c>
      <c r="P493" s="21" t="str">
        <f>IFERROR(__xludf.DUMMYFUNCTION("IFERROR((GOOGLEFINANCE(C493, ""price"") / INDEX(GOOGLEFINANCE(C493, ""price"", EDATE(TODAY(), -12), TODAY()), 2, 2)) - 1, """")"),"")</f>
        <v/>
      </c>
      <c r="Q493" s="6" t="str">
        <f>IFERROR(__xludf.DUMMYFUNCTION("AVERAGE(QUERY(GOOGLEFINANCE(C493, ""price"", TODAY()-80, TODAY()), ""SELECT Col2 WHERE Col2 IS NOT NULL ORDER BY Col1 DESC LIMIT 50"", 0))"),"#N/A")</f>
        <v>#N/A</v>
      </c>
      <c r="R493" s="24" t="str">
        <f>IFERROR(__xludf.DUMMYFUNCTION("IFERROR(
  LET(
    data, QUERY(GOOGLEFINANCE(C493,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GOOGLEFINANCE(C493, ""price"")) * 100,
    IF(calc=0, G493, calc)
  ), 
G493)"),"#N/A")</f>
        <v>#N/A</v>
      </c>
      <c r="S493" s="8" t="s">
        <v>15</v>
      </c>
      <c r="T493" s="26" t="str">
        <f>IFERROR(__xludf.DUMMYFUNCTION("IFERROR(TRANSPOSE(QUERY(IFERROR(SORT(GOOGLEFINANCE(C493, ""price"", WORKDAY(TODAY(), -40), TODAY()), 1, FALSE)), ""select Col2 where Col2 is not null limit 22 label Col2 ''"", 0)), """")"),"")</f>
        <v/>
      </c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8"/>
      <c r="AO493" s="28"/>
      <c r="AP493" s="29"/>
      <c r="AQ493" s="29" t="str">
        <f t="shared" ref="AQ493:BL493" si="496">T493/T$2</f>
        <v>#N/A</v>
      </c>
      <c r="AR493" s="29" t="str">
        <f t="shared" si="496"/>
        <v>#DIV/0!</v>
      </c>
      <c r="AS493" s="29" t="str">
        <f t="shared" si="496"/>
        <v>#DIV/0!</v>
      </c>
      <c r="AT493" s="29" t="str">
        <f t="shared" si="496"/>
        <v>#DIV/0!</v>
      </c>
      <c r="AU493" s="29" t="str">
        <f t="shared" si="496"/>
        <v>#DIV/0!</v>
      </c>
      <c r="AV493" s="29" t="str">
        <f t="shared" si="496"/>
        <v>#DIV/0!</v>
      </c>
      <c r="AW493" s="29" t="str">
        <f t="shared" si="496"/>
        <v>#DIV/0!</v>
      </c>
      <c r="AX493" s="29" t="str">
        <f t="shared" si="496"/>
        <v>#DIV/0!</v>
      </c>
      <c r="AY493" s="29" t="str">
        <f t="shared" si="496"/>
        <v>#DIV/0!</v>
      </c>
      <c r="AZ493" s="29" t="str">
        <f t="shared" si="496"/>
        <v>#DIV/0!</v>
      </c>
      <c r="BA493" s="29" t="str">
        <f t="shared" si="496"/>
        <v>#DIV/0!</v>
      </c>
      <c r="BB493" s="29" t="str">
        <f t="shared" si="496"/>
        <v>#DIV/0!</v>
      </c>
      <c r="BC493" s="29" t="str">
        <f t="shared" si="496"/>
        <v>#DIV/0!</v>
      </c>
      <c r="BD493" s="29" t="str">
        <f t="shared" si="496"/>
        <v>#DIV/0!</v>
      </c>
      <c r="BE493" s="29" t="str">
        <f t="shared" si="496"/>
        <v>#DIV/0!</v>
      </c>
      <c r="BF493" s="29" t="str">
        <f t="shared" si="496"/>
        <v>#DIV/0!</v>
      </c>
      <c r="BG493" s="29" t="str">
        <f t="shared" si="496"/>
        <v>#DIV/0!</v>
      </c>
      <c r="BH493" s="29" t="str">
        <f t="shared" si="496"/>
        <v>#DIV/0!</v>
      </c>
      <c r="BI493" s="29" t="str">
        <f t="shared" si="496"/>
        <v>#DIV/0!</v>
      </c>
      <c r="BJ493" s="29" t="str">
        <f t="shared" si="496"/>
        <v>#DIV/0!</v>
      </c>
      <c r="BK493" s="29" t="str">
        <f t="shared" si="496"/>
        <v>#DIV/0!</v>
      </c>
      <c r="BL493" s="29" t="str">
        <f t="shared" si="496"/>
        <v>#DIV/0!</v>
      </c>
      <c r="BM493" s="29" t="str">
        <f t="shared" si="3"/>
        <v>#DIV/0!</v>
      </c>
    </row>
    <row r="494">
      <c r="A494" s="16" t="str">
        <f>IFERROR(__xludf.DUMMYFUNCTION("IFERROR(SPARKLINE(SORT(MAP(TRANSPOSE(AQ494:BL494), LAMBDA(val, IF(ISNUMBER(val), PERCENTRANK(AQ494:BL494, val)+0.01, 0))), SEQUENCE(COLUMNS(AQ494:BL494)), FALSE), {""charttype"",""column""; ""color"",""chartreuse""; ""ymin"", 0; ""ymax"", 1.01; ""highcolo"&amp;"r"", ""darkgreen""; ""lowcolor"", ""red""}), """")"),"")</f>
        <v/>
      </c>
      <c r="B494" s="17" t="str">
        <f t="shared" si="4"/>
        <v/>
      </c>
      <c r="C494" s="1" t="s">
        <v>2255</v>
      </c>
      <c r="D494" s="34" t="str">
        <f>IFERROR(__xludf.DUMMYFUNCTION("IFERROR(GOOGLEFINANCE(C494, ""NAME""))"),"Texas Capital Bancshares Inc")</f>
        <v>Texas Capital Bancshares Inc</v>
      </c>
      <c r="E494" s="30" t="s">
        <v>268</v>
      </c>
      <c r="F494" s="33" t="str">
        <f>IFERROR(__xludf.DUMMYFUNCTION("( (GOOGLEFINANCE(C494, ""price"") - Q494) / Q494 ) / (R494 / 100)"),"Loading...")</f>
        <v>Loading...</v>
      </c>
      <c r="G494" s="20" t="str">
        <f>IFERROR(__xludf.DUMMYFUNCTION("AVERAGE(ARRAYFORMULA(100 * (QUERY(GOOGLEFINANCE(C494, ""high"", TODAY()-40, TODAY()), ""SELECT Col2 WHERE Col2 IS NOT NULL ORDER BY Col1 DESC LIMIT 20"", 0) / QUERY(GOOGLEFINANCE(C494, ""low"", TODAY()-40, TODAY()), ""SELECT Col2 WHERE Col2 IS NOT NULL OR"&amp;"DER BY Col1 DESC LIMIT 20"", 0) - 1)))"),"#N/A")</f>
        <v>#N/A</v>
      </c>
      <c r="H494" s="35" t="str">
        <f t="shared" si="6"/>
        <v/>
      </c>
      <c r="I494" s="36" t="str">
        <f t="shared" si="7"/>
        <v/>
      </c>
      <c r="J494" s="37" t="str">
        <f>IFERROR(__xludf.DUMMYFUNCTION("IFERROR(
  IF(C494="""",, 
    IFERROR(
      GOOGLEFINANCE(C494, ""price"") * GOOGLEFINANCE(C494, ""volumeavg""), 
      GOOGLEFINANCE(C494, ""price"") * AVERAGE(QUERY(GOOGLEFINANCE(C494, ""volume"", TODAY()-40, TODAY()), ""SELECT Col2 WHERE Col2 IS NOT "&amp;"NULL ORDER BY Col1 DESC LIMIT 20"", 0))
    )
  ), 
"""")"),"")</f>
        <v/>
      </c>
      <c r="K494" s="21" t="str">
        <f>IFERROR(__xludf.DUMMYFUNCTION("IFERROR(GOOGLEFINANCE(C494, ""changepct"") / 100, """")"),"")</f>
        <v/>
      </c>
      <c r="L494" s="21" t="str">
        <f>IFERROR(__xludf.DUMMYFUNCTION("IFERROR((GOOGLEFINANCE(C494, ""price"") / INDEX(GOOGLEFINANCE(C494, ""price"", TODAY()-7, TODAY()), 2, 2)) - 1, """")"),"")</f>
        <v/>
      </c>
      <c r="M494" s="21" t="str">
        <f>IFERROR(__xludf.DUMMYFUNCTION("IFERROR((GOOGLEFINANCE(C494, ""price"") / INDEX(GOOGLEFINANCE(C494, ""price"", EDATE(TODAY(), -1), TODAY()), 2, 2)) - 1, """")"),"")</f>
        <v/>
      </c>
      <c r="N494" s="21" t="str">
        <f>IFERROR(__xludf.DUMMYFUNCTION("IFERROR((GOOGLEFINANCE(C494, ""price"") / INDEX(GOOGLEFINANCE(C494, ""price"", EDATE(TODAY(), -3), TODAY()), 2, 2)) - 1, """")"),"")</f>
        <v/>
      </c>
      <c r="O494" s="21" t="str">
        <f>IFERROR(__xludf.DUMMYFUNCTION("IFERROR((GOOGLEFINANCE(C494, ""price"") / INDEX(GOOGLEFINANCE(C494, ""price"", EDATE(TODAY(), -6), TODAY()), 2, 2)) - 1, """")"),"")</f>
        <v/>
      </c>
      <c r="P494" s="21" t="str">
        <f>IFERROR(__xludf.DUMMYFUNCTION("IFERROR((GOOGLEFINANCE(C494, ""price"") / INDEX(GOOGLEFINANCE(C494, ""price"", EDATE(TODAY(), -12), TODAY()), 2, 2)) - 1, """")"),"")</f>
        <v/>
      </c>
      <c r="Q494" s="6" t="str">
        <f>IFERROR(__xludf.DUMMYFUNCTION("AVERAGE(QUERY(GOOGLEFINANCE(C494, ""price"", TODAY()-80, TODAY()), ""SELECT Col2 WHERE Col2 IS NOT NULL ORDER BY Col1 DESC LIMIT 50"", 0))"),"#N/A")</f>
        <v>#N/A</v>
      </c>
      <c r="R494" s="24" t="str">
        <f>IFERROR(__xludf.DUMMYFUNCTION("IFERROR(
  LET(
    data, QUERY(GOOGLEFINANCE(C494,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GOOGLEFINANCE(C494, ""price"")) * 100,
    IF(calc=0, G494, calc)
  ), 
G494)"),"#N/A")</f>
        <v>#N/A</v>
      </c>
      <c r="S494" s="8" t="s">
        <v>15</v>
      </c>
      <c r="T494" s="26" t="str">
        <f>IFERROR(__xludf.DUMMYFUNCTION("IFERROR(TRANSPOSE(QUERY(IFERROR(SORT(GOOGLEFINANCE(C494, ""price"", WORKDAY(TODAY(), -40), TODAY()), 1, FALSE)), ""select Col2 where Col2 is not null limit 22 label Col2 ''"", 0)), """")"),"")</f>
        <v/>
      </c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8"/>
      <c r="AO494" s="28"/>
      <c r="AP494" s="29"/>
      <c r="AQ494" s="29" t="str">
        <f t="shared" ref="AQ494:BL494" si="497">T494/T$2</f>
        <v>#N/A</v>
      </c>
      <c r="AR494" s="29" t="str">
        <f t="shared" si="497"/>
        <v>#DIV/0!</v>
      </c>
      <c r="AS494" s="29" t="str">
        <f t="shared" si="497"/>
        <v>#DIV/0!</v>
      </c>
      <c r="AT494" s="29" t="str">
        <f t="shared" si="497"/>
        <v>#DIV/0!</v>
      </c>
      <c r="AU494" s="29" t="str">
        <f t="shared" si="497"/>
        <v>#DIV/0!</v>
      </c>
      <c r="AV494" s="29" t="str">
        <f t="shared" si="497"/>
        <v>#DIV/0!</v>
      </c>
      <c r="AW494" s="29" t="str">
        <f t="shared" si="497"/>
        <v>#DIV/0!</v>
      </c>
      <c r="AX494" s="29" t="str">
        <f t="shared" si="497"/>
        <v>#DIV/0!</v>
      </c>
      <c r="AY494" s="29" t="str">
        <f t="shared" si="497"/>
        <v>#DIV/0!</v>
      </c>
      <c r="AZ494" s="29" t="str">
        <f t="shared" si="497"/>
        <v>#DIV/0!</v>
      </c>
      <c r="BA494" s="29" t="str">
        <f t="shared" si="497"/>
        <v>#DIV/0!</v>
      </c>
      <c r="BB494" s="29" t="str">
        <f t="shared" si="497"/>
        <v>#DIV/0!</v>
      </c>
      <c r="BC494" s="29" t="str">
        <f t="shared" si="497"/>
        <v>#DIV/0!</v>
      </c>
      <c r="BD494" s="29" t="str">
        <f t="shared" si="497"/>
        <v>#DIV/0!</v>
      </c>
      <c r="BE494" s="29" t="str">
        <f t="shared" si="497"/>
        <v>#DIV/0!</v>
      </c>
      <c r="BF494" s="29" t="str">
        <f t="shared" si="497"/>
        <v>#DIV/0!</v>
      </c>
      <c r="BG494" s="29" t="str">
        <f t="shared" si="497"/>
        <v>#DIV/0!</v>
      </c>
      <c r="BH494" s="29" t="str">
        <f t="shared" si="497"/>
        <v>#DIV/0!</v>
      </c>
      <c r="BI494" s="29" t="str">
        <f t="shared" si="497"/>
        <v>#DIV/0!</v>
      </c>
      <c r="BJ494" s="29" t="str">
        <f t="shared" si="497"/>
        <v>#DIV/0!</v>
      </c>
      <c r="BK494" s="29" t="str">
        <f t="shared" si="497"/>
        <v>#DIV/0!</v>
      </c>
      <c r="BL494" s="29" t="str">
        <f t="shared" si="497"/>
        <v>#DIV/0!</v>
      </c>
      <c r="BM494" s="29" t="str">
        <f t="shared" si="3"/>
        <v>#DIV/0!</v>
      </c>
    </row>
    <row r="495">
      <c r="A495" s="16" t="str">
        <f>IFERROR(__xludf.DUMMYFUNCTION("IFERROR(SPARKLINE(SORT(MAP(TRANSPOSE(AQ495:BL495), LAMBDA(val, IF(ISNUMBER(val), PERCENTRANK(AQ495:BL495, val)+0.01, 0))), SEQUENCE(COLUMNS(AQ495:BL495)), FALSE), {""charttype"",""column""; ""color"",""chartreuse""; ""ymin"", 0; ""ymax"", 1.01; ""highcolo"&amp;"r"", ""darkgreen""; ""lowcolor"", ""red""}), """")"),"")</f>
        <v/>
      </c>
      <c r="B495" s="17" t="str">
        <f t="shared" si="4"/>
        <v/>
      </c>
      <c r="C495" s="1" t="s">
        <v>2259</v>
      </c>
      <c r="D495" s="34" t="str">
        <f>IFERROR(__xludf.DUMMYFUNCTION("IFERROR(GOOGLEFINANCE(C495, ""NAME""))"),"QCR Holdings Inc")</f>
        <v>QCR Holdings Inc</v>
      </c>
      <c r="E495" s="30" t="s">
        <v>268</v>
      </c>
      <c r="F495" s="38" t="str">
        <f>IFERROR(__xludf.DUMMYFUNCTION("( (GOOGLEFINANCE(C495, ""price"") - Q495) / Q495 ) / (R495 / 100)"),"Loading...")</f>
        <v>Loading...</v>
      </c>
      <c r="G495" s="20" t="str">
        <f>IFERROR(__xludf.DUMMYFUNCTION("AVERAGE(ARRAYFORMULA(100 * (QUERY(GOOGLEFINANCE(C495, ""high"", TODAY()-40, TODAY()), ""SELECT Col2 WHERE Col2 IS NOT NULL ORDER BY Col1 DESC LIMIT 20"", 0) / QUERY(GOOGLEFINANCE(C495, ""low"", TODAY()-40, TODAY()), ""SELECT Col2 WHERE Col2 IS NOT NULL OR"&amp;"DER BY Col1 DESC LIMIT 20"", 0) - 1)))"),"#N/A")</f>
        <v>#N/A</v>
      </c>
      <c r="H495" s="35" t="str">
        <f t="shared" si="6"/>
        <v/>
      </c>
      <c r="I495" s="36" t="str">
        <f t="shared" si="7"/>
        <v/>
      </c>
      <c r="J495" s="37" t="str">
        <f>IFERROR(__xludf.DUMMYFUNCTION("IFERROR(
  IF(C495="""",, 
    IFERROR(
      GOOGLEFINANCE(C495, ""price"") * GOOGLEFINANCE(C495, ""volumeavg""), 
      GOOGLEFINANCE(C495, ""price"") * AVERAGE(QUERY(GOOGLEFINANCE(C495, ""volume"", TODAY()-40, TODAY()), ""SELECT Col2 WHERE Col2 IS NOT "&amp;"NULL ORDER BY Col1 DESC LIMIT 20"", 0))
    )
  ), 
"""")"),"")</f>
        <v/>
      </c>
      <c r="K495" s="21" t="str">
        <f>IFERROR(__xludf.DUMMYFUNCTION("IFERROR(GOOGLEFINANCE(C495, ""changepct"") / 100, """")"),"")</f>
        <v/>
      </c>
      <c r="L495" s="21" t="str">
        <f>IFERROR(__xludf.DUMMYFUNCTION("IFERROR((GOOGLEFINANCE(C495, ""price"") / INDEX(GOOGLEFINANCE(C495, ""price"", TODAY()-7, TODAY()), 2, 2)) - 1, """")"),"")</f>
        <v/>
      </c>
      <c r="M495" s="21" t="str">
        <f>IFERROR(__xludf.DUMMYFUNCTION("IFERROR((GOOGLEFINANCE(C495, ""price"") / INDEX(GOOGLEFINANCE(C495, ""price"", EDATE(TODAY(), -1), TODAY()), 2, 2)) - 1, """")"),"")</f>
        <v/>
      </c>
      <c r="N495" s="21" t="str">
        <f>IFERROR(__xludf.DUMMYFUNCTION("IFERROR((GOOGLEFINANCE(C495, ""price"") / INDEX(GOOGLEFINANCE(C495, ""price"", EDATE(TODAY(), -3), TODAY()), 2, 2)) - 1, """")"),"")</f>
        <v/>
      </c>
      <c r="O495" s="21" t="str">
        <f>IFERROR(__xludf.DUMMYFUNCTION("IFERROR((GOOGLEFINANCE(C495, ""price"") / INDEX(GOOGLEFINANCE(C495, ""price"", EDATE(TODAY(), -6), TODAY()), 2, 2)) - 1, """")"),"")</f>
        <v/>
      </c>
      <c r="P495" s="21" t="str">
        <f>IFERROR(__xludf.DUMMYFUNCTION("IFERROR((GOOGLEFINANCE(C495, ""price"") / INDEX(GOOGLEFINANCE(C495, ""price"", EDATE(TODAY(), -12), TODAY()), 2, 2)) - 1, """")"),"")</f>
        <v/>
      </c>
      <c r="Q495" s="6" t="str">
        <f>IFERROR(__xludf.DUMMYFUNCTION("AVERAGE(QUERY(GOOGLEFINANCE(C495, ""price"", TODAY()-80, TODAY()), ""SELECT Col2 WHERE Col2 IS NOT NULL ORDER BY Col1 DESC LIMIT 50"", 0))"),"#N/A")</f>
        <v>#N/A</v>
      </c>
      <c r="R495" s="24" t="str">
        <f>IFERROR(__xludf.DUMMYFUNCTION("IFERROR(
  LET(
    data, QUERY(GOOGLEFINANCE(C495,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GOOGLEFINANCE(C495, ""price"")) * 100,
    IF(calc=0, G495, calc)
  ), 
G495)"),"#N/A")</f>
        <v>#N/A</v>
      </c>
      <c r="S495" s="8" t="s">
        <v>15</v>
      </c>
      <c r="T495" s="26" t="str">
        <f>IFERROR(__xludf.DUMMYFUNCTION("IFERROR(TRANSPOSE(QUERY(IFERROR(SORT(GOOGLEFINANCE(C495, ""price"", WORKDAY(TODAY(), -40), TODAY()), 1, FALSE)), ""select Col2 where Col2 is not null limit 22 label Col2 ''"", 0)), """")"),"")</f>
        <v/>
      </c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8"/>
      <c r="AO495" s="28"/>
      <c r="AP495" s="29"/>
      <c r="AQ495" s="29" t="str">
        <f t="shared" ref="AQ495:BL495" si="498">T495/T$2</f>
        <v>#N/A</v>
      </c>
      <c r="AR495" s="29" t="str">
        <f t="shared" si="498"/>
        <v>#DIV/0!</v>
      </c>
      <c r="AS495" s="29" t="str">
        <f t="shared" si="498"/>
        <v>#DIV/0!</v>
      </c>
      <c r="AT495" s="29" t="str">
        <f t="shared" si="498"/>
        <v>#DIV/0!</v>
      </c>
      <c r="AU495" s="29" t="str">
        <f t="shared" si="498"/>
        <v>#DIV/0!</v>
      </c>
      <c r="AV495" s="29" t="str">
        <f t="shared" si="498"/>
        <v>#DIV/0!</v>
      </c>
      <c r="AW495" s="29" t="str">
        <f t="shared" si="498"/>
        <v>#DIV/0!</v>
      </c>
      <c r="AX495" s="29" t="str">
        <f t="shared" si="498"/>
        <v>#DIV/0!</v>
      </c>
      <c r="AY495" s="29" t="str">
        <f t="shared" si="498"/>
        <v>#DIV/0!</v>
      </c>
      <c r="AZ495" s="29" t="str">
        <f t="shared" si="498"/>
        <v>#DIV/0!</v>
      </c>
      <c r="BA495" s="29" t="str">
        <f t="shared" si="498"/>
        <v>#DIV/0!</v>
      </c>
      <c r="BB495" s="29" t="str">
        <f t="shared" si="498"/>
        <v>#DIV/0!</v>
      </c>
      <c r="BC495" s="29" t="str">
        <f t="shared" si="498"/>
        <v>#DIV/0!</v>
      </c>
      <c r="BD495" s="29" t="str">
        <f t="shared" si="498"/>
        <v>#DIV/0!</v>
      </c>
      <c r="BE495" s="29" t="str">
        <f t="shared" si="498"/>
        <v>#DIV/0!</v>
      </c>
      <c r="BF495" s="29" t="str">
        <f t="shared" si="498"/>
        <v>#DIV/0!</v>
      </c>
      <c r="BG495" s="29" t="str">
        <f t="shared" si="498"/>
        <v>#DIV/0!</v>
      </c>
      <c r="BH495" s="29" t="str">
        <f t="shared" si="498"/>
        <v>#DIV/0!</v>
      </c>
      <c r="BI495" s="29" t="str">
        <f t="shared" si="498"/>
        <v>#DIV/0!</v>
      </c>
      <c r="BJ495" s="29" t="str">
        <f t="shared" si="498"/>
        <v>#DIV/0!</v>
      </c>
      <c r="BK495" s="29" t="str">
        <f t="shared" si="498"/>
        <v>#DIV/0!</v>
      </c>
      <c r="BL495" s="29" t="str">
        <f t="shared" si="498"/>
        <v>#DIV/0!</v>
      </c>
      <c r="BM495" s="29" t="str">
        <f t="shared" si="3"/>
        <v>#DIV/0!</v>
      </c>
    </row>
    <row r="496">
      <c r="A496" s="16" t="str">
        <f>IFERROR(__xludf.DUMMYFUNCTION("IFERROR(SPARKLINE(SORT(MAP(TRANSPOSE(AQ496:BL496), LAMBDA(val, IF(ISNUMBER(val), PERCENTRANK(AQ496:BL496, val)+0.01, 0))), SEQUENCE(COLUMNS(AQ496:BL496)), FALSE), {""charttype"",""column""; ""color"",""chartreuse""; ""ymin"", 0; ""ymax"", 1.01; ""highcolo"&amp;"r"", ""darkgreen""; ""lowcolor"", ""red""}), """")"),"")</f>
        <v/>
      </c>
      <c r="B496" s="17" t="str">
        <f t="shared" si="4"/>
        <v/>
      </c>
      <c r="C496" s="1" t="s">
        <v>2261</v>
      </c>
      <c r="D496" s="34" t="str">
        <f>IFERROR(__xludf.DUMMYFUNCTION("IFERROR(GOOGLEFINANCE(C496, ""NAME""))"),"Bladex Inc Class E")</f>
        <v>Bladex Inc Class E</v>
      </c>
      <c r="E496" s="30" t="s">
        <v>268</v>
      </c>
      <c r="F496" s="33" t="str">
        <f>IFERROR(__xludf.DUMMYFUNCTION("( (GOOGLEFINANCE(C496, ""price"") - Q496) / Q496 ) / (R496 / 100)"),"Loading...")</f>
        <v>Loading...</v>
      </c>
      <c r="G496" s="20" t="str">
        <f>IFERROR(__xludf.DUMMYFUNCTION("AVERAGE(ARRAYFORMULA(100 * (QUERY(GOOGLEFINANCE(C496, ""high"", TODAY()-40, TODAY()), ""SELECT Col2 WHERE Col2 IS NOT NULL ORDER BY Col1 DESC LIMIT 20"", 0) / QUERY(GOOGLEFINANCE(C496, ""low"", TODAY()-40, TODAY()), ""SELECT Col2 WHERE Col2 IS NOT NULL OR"&amp;"DER BY Col1 DESC LIMIT 20"", 0) - 1)))"),"#N/A")</f>
        <v>#N/A</v>
      </c>
      <c r="H496" s="35" t="str">
        <f t="shared" si="6"/>
        <v/>
      </c>
      <c r="I496" s="36" t="str">
        <f t="shared" si="7"/>
        <v/>
      </c>
      <c r="J496" s="37" t="str">
        <f>IFERROR(__xludf.DUMMYFUNCTION("IFERROR(
  IF(C496="""",, 
    IFERROR(
      GOOGLEFINANCE(C496, ""price"") * GOOGLEFINANCE(C496, ""volumeavg""), 
      GOOGLEFINANCE(C496, ""price"") * AVERAGE(QUERY(GOOGLEFINANCE(C496, ""volume"", TODAY()-40, TODAY()), ""SELECT Col2 WHERE Col2 IS NOT "&amp;"NULL ORDER BY Col1 DESC LIMIT 20"", 0))
    )
  ), 
"""")"),"")</f>
        <v/>
      </c>
      <c r="K496" s="21" t="str">
        <f>IFERROR(__xludf.DUMMYFUNCTION("IFERROR(GOOGLEFINANCE(C496, ""changepct"") / 100, """")"),"")</f>
        <v/>
      </c>
      <c r="L496" s="21" t="str">
        <f>IFERROR(__xludf.DUMMYFUNCTION("IFERROR((GOOGLEFINANCE(C496, ""price"") / INDEX(GOOGLEFINANCE(C496, ""price"", TODAY()-7, TODAY()), 2, 2)) - 1, """")"),"")</f>
        <v/>
      </c>
      <c r="M496" s="21" t="str">
        <f>IFERROR(__xludf.DUMMYFUNCTION("IFERROR((GOOGLEFINANCE(C496, ""price"") / INDEX(GOOGLEFINANCE(C496, ""price"", EDATE(TODAY(), -1), TODAY()), 2, 2)) - 1, """")"),"")</f>
        <v/>
      </c>
      <c r="N496" s="21" t="str">
        <f>IFERROR(__xludf.DUMMYFUNCTION("IFERROR((GOOGLEFINANCE(C496, ""price"") / INDEX(GOOGLEFINANCE(C496, ""price"", EDATE(TODAY(), -3), TODAY()), 2, 2)) - 1, """")"),"")</f>
        <v/>
      </c>
      <c r="O496" s="21" t="str">
        <f>IFERROR(__xludf.DUMMYFUNCTION("IFERROR((GOOGLEFINANCE(C496, ""price"") / INDEX(GOOGLEFINANCE(C496, ""price"", EDATE(TODAY(), -6), TODAY()), 2, 2)) - 1, """")"),"")</f>
        <v/>
      </c>
      <c r="P496" s="21" t="str">
        <f>IFERROR(__xludf.DUMMYFUNCTION("IFERROR((GOOGLEFINANCE(C496, ""price"") / INDEX(GOOGLEFINANCE(C496, ""price"", EDATE(TODAY(), -12), TODAY()), 2, 2)) - 1, """")"),"")</f>
        <v/>
      </c>
      <c r="Q496" s="6" t="str">
        <f>IFERROR(__xludf.DUMMYFUNCTION("AVERAGE(QUERY(GOOGLEFINANCE(C496, ""price"", TODAY()-80, TODAY()), ""SELECT Col2 WHERE Col2 IS NOT NULL ORDER BY Col1 DESC LIMIT 50"", 0))"),"#N/A")</f>
        <v>#N/A</v>
      </c>
      <c r="R496" s="24" t="str">
        <f>IFERROR(__xludf.DUMMYFUNCTION("IFERROR(
  LET(
    data, QUERY(GOOGLEFINANCE(C496,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GOOGLEFINANCE(C496, ""price"")) * 100,
    IF(calc=0, G496, calc)
  ), 
G496)"),"#N/A")</f>
        <v>#N/A</v>
      </c>
      <c r="S496" s="8" t="s">
        <v>15</v>
      </c>
      <c r="T496" s="26" t="str">
        <f>IFERROR(__xludf.DUMMYFUNCTION("IFERROR(TRANSPOSE(QUERY(IFERROR(SORT(GOOGLEFINANCE(C496, ""price"", WORKDAY(TODAY(), -40), TODAY()), 1, FALSE)), ""select Col2 where Col2 is not null limit 22 label Col2 ''"", 0)), """")"),"")</f>
        <v/>
      </c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8"/>
      <c r="AO496" s="28"/>
      <c r="AP496" s="29"/>
      <c r="AQ496" s="29" t="str">
        <f t="shared" ref="AQ496:BL496" si="499">T496/T$2</f>
        <v>#N/A</v>
      </c>
      <c r="AR496" s="29" t="str">
        <f t="shared" si="499"/>
        <v>#DIV/0!</v>
      </c>
      <c r="AS496" s="29" t="str">
        <f t="shared" si="499"/>
        <v>#DIV/0!</v>
      </c>
      <c r="AT496" s="29" t="str">
        <f t="shared" si="499"/>
        <v>#DIV/0!</v>
      </c>
      <c r="AU496" s="29" t="str">
        <f t="shared" si="499"/>
        <v>#DIV/0!</v>
      </c>
      <c r="AV496" s="29" t="str">
        <f t="shared" si="499"/>
        <v>#DIV/0!</v>
      </c>
      <c r="AW496" s="29" t="str">
        <f t="shared" si="499"/>
        <v>#DIV/0!</v>
      </c>
      <c r="AX496" s="29" t="str">
        <f t="shared" si="499"/>
        <v>#DIV/0!</v>
      </c>
      <c r="AY496" s="29" t="str">
        <f t="shared" si="499"/>
        <v>#DIV/0!</v>
      </c>
      <c r="AZ496" s="29" t="str">
        <f t="shared" si="499"/>
        <v>#DIV/0!</v>
      </c>
      <c r="BA496" s="29" t="str">
        <f t="shared" si="499"/>
        <v>#DIV/0!</v>
      </c>
      <c r="BB496" s="29" t="str">
        <f t="shared" si="499"/>
        <v>#DIV/0!</v>
      </c>
      <c r="BC496" s="29" t="str">
        <f t="shared" si="499"/>
        <v>#DIV/0!</v>
      </c>
      <c r="BD496" s="29" t="str">
        <f t="shared" si="499"/>
        <v>#DIV/0!</v>
      </c>
      <c r="BE496" s="29" t="str">
        <f t="shared" si="499"/>
        <v>#DIV/0!</v>
      </c>
      <c r="BF496" s="29" t="str">
        <f t="shared" si="499"/>
        <v>#DIV/0!</v>
      </c>
      <c r="BG496" s="29" t="str">
        <f t="shared" si="499"/>
        <v>#DIV/0!</v>
      </c>
      <c r="BH496" s="29" t="str">
        <f t="shared" si="499"/>
        <v>#DIV/0!</v>
      </c>
      <c r="BI496" s="29" t="str">
        <f t="shared" si="499"/>
        <v>#DIV/0!</v>
      </c>
      <c r="BJ496" s="29" t="str">
        <f t="shared" si="499"/>
        <v>#DIV/0!</v>
      </c>
      <c r="BK496" s="29" t="str">
        <f t="shared" si="499"/>
        <v>#DIV/0!</v>
      </c>
      <c r="BL496" s="29" t="str">
        <f t="shared" si="499"/>
        <v>#DIV/0!</v>
      </c>
      <c r="BM496" s="29" t="str">
        <f t="shared" si="3"/>
        <v>#DIV/0!</v>
      </c>
    </row>
    <row r="497">
      <c r="A497" s="16" t="str">
        <f>IFERROR(__xludf.DUMMYFUNCTION("IFERROR(SPARKLINE(SORT(MAP(TRANSPOSE(AQ497:BL497), LAMBDA(val, IF(ISNUMBER(val), PERCENTRANK(AQ497:BL497, val)+0.01, 0))), SEQUENCE(COLUMNS(AQ497:BL497)), FALSE), {""charttype"",""column""; ""color"",""chartreuse""; ""ymin"", 0; ""ymax"", 1.01; ""highcolo"&amp;"r"", ""darkgreen""; ""lowcolor"", ""red""}), """")"),"")</f>
        <v/>
      </c>
      <c r="B497" s="17" t="str">
        <f t="shared" si="4"/>
        <v/>
      </c>
      <c r="C497" s="1" t="s">
        <v>2265</v>
      </c>
      <c r="D497" s="34" t="str">
        <f>IFERROR(__xludf.DUMMYFUNCTION("IFERROR(GOOGLEFINANCE(C497, ""NAME""))"),"Glacier Bancorp Inc")</f>
        <v>Glacier Bancorp Inc</v>
      </c>
      <c r="E497" s="30" t="s">
        <v>268</v>
      </c>
      <c r="F497" s="33" t="str">
        <f>IFERROR(__xludf.DUMMYFUNCTION("( (GOOGLEFINANCE(C497, ""price"") - Q497) / Q497 ) / (R497 / 100)"),"Loading...")</f>
        <v>Loading...</v>
      </c>
      <c r="G497" s="20" t="str">
        <f>IFERROR(__xludf.DUMMYFUNCTION("AVERAGE(ARRAYFORMULA(100 * (QUERY(GOOGLEFINANCE(C497, ""high"", TODAY()-40, TODAY()), ""SELECT Col2 WHERE Col2 IS NOT NULL ORDER BY Col1 DESC LIMIT 20"", 0) / QUERY(GOOGLEFINANCE(C497, ""low"", TODAY()-40, TODAY()), ""SELECT Col2 WHERE Col2 IS NOT NULL OR"&amp;"DER BY Col1 DESC LIMIT 20"", 0) - 1)))"),"#N/A")</f>
        <v>#N/A</v>
      </c>
      <c r="H497" s="35" t="str">
        <f t="shared" si="6"/>
        <v/>
      </c>
      <c r="I497" s="36" t="str">
        <f t="shared" si="7"/>
        <v/>
      </c>
      <c r="J497" s="37" t="str">
        <f>IFERROR(__xludf.DUMMYFUNCTION("IFERROR(
  IF(C497="""",, 
    IFERROR(
      GOOGLEFINANCE(C497, ""price"") * GOOGLEFINANCE(C497, ""volumeavg""), 
      GOOGLEFINANCE(C497, ""price"") * AVERAGE(QUERY(GOOGLEFINANCE(C497, ""volume"", TODAY()-40, TODAY()), ""SELECT Col2 WHERE Col2 IS NOT "&amp;"NULL ORDER BY Col1 DESC LIMIT 20"", 0))
    )
  ), 
"""")"),"")</f>
        <v/>
      </c>
      <c r="K497" s="21" t="str">
        <f>IFERROR(__xludf.DUMMYFUNCTION("IFERROR(GOOGLEFINANCE(C497, ""changepct"") / 100, """")"),"")</f>
        <v/>
      </c>
      <c r="L497" s="21" t="str">
        <f>IFERROR(__xludf.DUMMYFUNCTION("IFERROR((GOOGLEFINANCE(C497, ""price"") / INDEX(GOOGLEFINANCE(C497, ""price"", TODAY()-7, TODAY()), 2, 2)) - 1, """")"),"")</f>
        <v/>
      </c>
      <c r="M497" s="21" t="str">
        <f>IFERROR(__xludf.DUMMYFUNCTION("IFERROR((GOOGLEFINANCE(C497, ""price"") / INDEX(GOOGLEFINANCE(C497, ""price"", EDATE(TODAY(), -1), TODAY()), 2, 2)) - 1, """")"),"")</f>
        <v/>
      </c>
      <c r="N497" s="21" t="str">
        <f>IFERROR(__xludf.DUMMYFUNCTION("IFERROR((GOOGLEFINANCE(C497, ""price"") / INDEX(GOOGLEFINANCE(C497, ""price"", EDATE(TODAY(), -3), TODAY()), 2, 2)) - 1, """")"),"")</f>
        <v/>
      </c>
      <c r="O497" s="21" t="str">
        <f>IFERROR(__xludf.DUMMYFUNCTION("IFERROR((GOOGLEFINANCE(C497, ""price"") / INDEX(GOOGLEFINANCE(C497, ""price"", EDATE(TODAY(), -6), TODAY()), 2, 2)) - 1, """")"),"")</f>
        <v/>
      </c>
      <c r="P497" s="21" t="str">
        <f>IFERROR(__xludf.DUMMYFUNCTION("IFERROR((GOOGLEFINANCE(C497, ""price"") / INDEX(GOOGLEFINANCE(C497, ""price"", EDATE(TODAY(), -12), TODAY()), 2, 2)) - 1, """")"),"")</f>
        <v/>
      </c>
      <c r="Q497" s="6" t="str">
        <f>IFERROR(__xludf.DUMMYFUNCTION("AVERAGE(QUERY(GOOGLEFINANCE(C497, ""price"", TODAY()-80, TODAY()), ""SELECT Col2 WHERE Col2 IS NOT NULL ORDER BY Col1 DESC LIMIT 50"", 0))"),"#N/A")</f>
        <v>#N/A</v>
      </c>
      <c r="R497" s="24" t="str">
        <f>IFERROR(__xludf.DUMMYFUNCTION("IFERROR(
  LET(
    data, QUERY(GOOGLEFINANCE(C497,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GOOGLEFINANCE(C497, ""price"")) * 100,
    IF(calc=0, G497, calc)
  ), 
G497)"),"#N/A")</f>
        <v>#N/A</v>
      </c>
      <c r="S497" s="8" t="s">
        <v>15</v>
      </c>
      <c r="T497" s="26" t="str">
        <f>IFERROR(__xludf.DUMMYFUNCTION("IFERROR(TRANSPOSE(QUERY(IFERROR(SORT(GOOGLEFINANCE(C497, ""price"", WORKDAY(TODAY(), -40), TODAY()), 1, FALSE)), ""select Col2 where Col2 is not null limit 22 label Col2 ''"", 0)), """")"),"")</f>
        <v/>
      </c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8"/>
      <c r="AO497" s="28"/>
      <c r="AP497" s="29"/>
      <c r="AQ497" s="29" t="str">
        <f t="shared" ref="AQ497:BL497" si="500">T497/T$2</f>
        <v>#N/A</v>
      </c>
      <c r="AR497" s="29" t="str">
        <f t="shared" si="500"/>
        <v>#DIV/0!</v>
      </c>
      <c r="AS497" s="29" t="str">
        <f t="shared" si="500"/>
        <v>#DIV/0!</v>
      </c>
      <c r="AT497" s="29" t="str">
        <f t="shared" si="500"/>
        <v>#DIV/0!</v>
      </c>
      <c r="AU497" s="29" t="str">
        <f t="shared" si="500"/>
        <v>#DIV/0!</v>
      </c>
      <c r="AV497" s="29" t="str">
        <f t="shared" si="500"/>
        <v>#DIV/0!</v>
      </c>
      <c r="AW497" s="29" t="str">
        <f t="shared" si="500"/>
        <v>#DIV/0!</v>
      </c>
      <c r="AX497" s="29" t="str">
        <f t="shared" si="500"/>
        <v>#DIV/0!</v>
      </c>
      <c r="AY497" s="29" t="str">
        <f t="shared" si="500"/>
        <v>#DIV/0!</v>
      </c>
      <c r="AZ497" s="29" t="str">
        <f t="shared" si="500"/>
        <v>#DIV/0!</v>
      </c>
      <c r="BA497" s="29" t="str">
        <f t="shared" si="500"/>
        <v>#DIV/0!</v>
      </c>
      <c r="BB497" s="29" t="str">
        <f t="shared" si="500"/>
        <v>#DIV/0!</v>
      </c>
      <c r="BC497" s="29" t="str">
        <f t="shared" si="500"/>
        <v>#DIV/0!</v>
      </c>
      <c r="BD497" s="29" t="str">
        <f t="shared" si="500"/>
        <v>#DIV/0!</v>
      </c>
      <c r="BE497" s="29" t="str">
        <f t="shared" si="500"/>
        <v>#DIV/0!</v>
      </c>
      <c r="BF497" s="29" t="str">
        <f t="shared" si="500"/>
        <v>#DIV/0!</v>
      </c>
      <c r="BG497" s="29" t="str">
        <f t="shared" si="500"/>
        <v>#DIV/0!</v>
      </c>
      <c r="BH497" s="29" t="str">
        <f t="shared" si="500"/>
        <v>#DIV/0!</v>
      </c>
      <c r="BI497" s="29" t="str">
        <f t="shared" si="500"/>
        <v>#DIV/0!</v>
      </c>
      <c r="BJ497" s="29" t="str">
        <f t="shared" si="500"/>
        <v>#DIV/0!</v>
      </c>
      <c r="BK497" s="29" t="str">
        <f t="shared" si="500"/>
        <v>#DIV/0!</v>
      </c>
      <c r="BL497" s="29" t="str">
        <f t="shared" si="500"/>
        <v>#DIV/0!</v>
      </c>
      <c r="BM497" s="29" t="str">
        <f t="shared" si="3"/>
        <v>#DIV/0!</v>
      </c>
    </row>
    <row r="498">
      <c r="A498" s="16" t="str">
        <f>IFERROR(__xludf.DUMMYFUNCTION("IFERROR(SPARKLINE(SORT(MAP(TRANSPOSE(AQ498:BL498), LAMBDA(val, IF(ISNUMBER(val), PERCENTRANK(AQ498:BL498, val)+0.01, 0))), SEQUENCE(COLUMNS(AQ498:BL498)), FALSE), {""charttype"",""column""; ""color"",""chartreuse""; ""ymin"", 0; ""ymax"", 1.01; ""highcolo"&amp;"r"", ""darkgreen""; ""lowcolor"", ""red""}), """")"),"")</f>
        <v/>
      </c>
      <c r="B498" s="17" t="str">
        <f t="shared" si="4"/>
        <v/>
      </c>
      <c r="C498" s="1" t="s">
        <v>2269</v>
      </c>
      <c r="D498" s="34" t="str">
        <f>IFERROR(__xludf.DUMMYFUNCTION("IFERROR(GOOGLEFINANCE(C498, ""NAME""))"),"Renasant Corp")</f>
        <v>Renasant Corp</v>
      </c>
      <c r="E498" s="30" t="s">
        <v>268</v>
      </c>
      <c r="F498" s="33" t="str">
        <f>IFERROR(__xludf.DUMMYFUNCTION("( (GOOGLEFINANCE(C498, ""price"") - Q498) / Q498 ) / (R498 / 100)"),"Loading...")</f>
        <v>Loading...</v>
      </c>
      <c r="G498" s="20" t="str">
        <f>IFERROR(__xludf.DUMMYFUNCTION("AVERAGE(ARRAYFORMULA(100 * (QUERY(GOOGLEFINANCE(C498, ""high"", TODAY()-40, TODAY()), ""SELECT Col2 WHERE Col2 IS NOT NULL ORDER BY Col1 DESC LIMIT 20"", 0) / QUERY(GOOGLEFINANCE(C498, ""low"", TODAY()-40, TODAY()), ""SELECT Col2 WHERE Col2 IS NOT NULL OR"&amp;"DER BY Col1 DESC LIMIT 20"", 0) - 1)))"),"#N/A")</f>
        <v>#N/A</v>
      </c>
      <c r="H498" s="35" t="str">
        <f t="shared" si="6"/>
        <v/>
      </c>
      <c r="I498" s="36" t="str">
        <f t="shared" si="7"/>
        <v/>
      </c>
      <c r="J498" s="37" t="str">
        <f>IFERROR(__xludf.DUMMYFUNCTION("IFERROR(
  IF(C498="""",, 
    IFERROR(
      GOOGLEFINANCE(C498, ""price"") * GOOGLEFINANCE(C498, ""volumeavg""), 
      GOOGLEFINANCE(C498, ""price"") * AVERAGE(QUERY(GOOGLEFINANCE(C498, ""volume"", TODAY()-40, TODAY()), ""SELECT Col2 WHERE Col2 IS NOT "&amp;"NULL ORDER BY Col1 DESC LIMIT 20"", 0))
    )
  ), 
"""")"),"")</f>
        <v/>
      </c>
      <c r="K498" s="21" t="str">
        <f>IFERROR(__xludf.DUMMYFUNCTION("IFERROR(GOOGLEFINANCE(C498, ""changepct"") / 100, """")"),"")</f>
        <v/>
      </c>
      <c r="L498" s="21" t="str">
        <f>IFERROR(__xludf.DUMMYFUNCTION("IFERROR((GOOGLEFINANCE(C498, ""price"") / INDEX(GOOGLEFINANCE(C498, ""price"", TODAY()-7, TODAY()), 2, 2)) - 1, """")"),"")</f>
        <v/>
      </c>
      <c r="M498" s="21" t="str">
        <f>IFERROR(__xludf.DUMMYFUNCTION("IFERROR((GOOGLEFINANCE(C498, ""price"") / INDEX(GOOGLEFINANCE(C498, ""price"", EDATE(TODAY(), -1), TODAY()), 2, 2)) - 1, """")"),"")</f>
        <v/>
      </c>
      <c r="N498" s="21" t="str">
        <f>IFERROR(__xludf.DUMMYFUNCTION("IFERROR((GOOGLEFINANCE(C498, ""price"") / INDEX(GOOGLEFINANCE(C498, ""price"", EDATE(TODAY(), -3), TODAY()), 2, 2)) - 1, """")"),"")</f>
        <v/>
      </c>
      <c r="O498" s="21" t="str">
        <f>IFERROR(__xludf.DUMMYFUNCTION("IFERROR((GOOGLEFINANCE(C498, ""price"") / INDEX(GOOGLEFINANCE(C498, ""price"", EDATE(TODAY(), -6), TODAY()), 2, 2)) - 1, """")"),"")</f>
        <v/>
      </c>
      <c r="P498" s="21" t="str">
        <f>IFERROR(__xludf.DUMMYFUNCTION("IFERROR((GOOGLEFINANCE(C498, ""price"") / INDEX(GOOGLEFINANCE(C498, ""price"", EDATE(TODAY(), -12), TODAY()), 2, 2)) - 1, """")"),"")</f>
        <v/>
      </c>
      <c r="Q498" s="6" t="str">
        <f>IFERROR(__xludf.DUMMYFUNCTION("AVERAGE(QUERY(GOOGLEFINANCE(C498, ""price"", TODAY()-80, TODAY()), ""SELECT Col2 WHERE Col2 IS NOT NULL ORDER BY Col1 DESC LIMIT 50"", 0))"),"#N/A")</f>
        <v>#N/A</v>
      </c>
      <c r="R498" s="24" t="str">
        <f>IFERROR(__xludf.DUMMYFUNCTION("IFERROR(
  LET(
    data, QUERY(GOOGLEFINANCE(C498,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GOOGLEFINANCE(C498, ""price"")) * 100,
    IF(calc=0, G498, calc)
  ), 
G498)"),"#N/A")</f>
        <v>#N/A</v>
      </c>
      <c r="S498" s="8" t="s">
        <v>15</v>
      </c>
      <c r="T498" s="26" t="str">
        <f>IFERROR(__xludf.DUMMYFUNCTION("IFERROR(TRANSPOSE(QUERY(IFERROR(SORT(GOOGLEFINANCE(C498, ""price"", WORKDAY(TODAY(), -40), TODAY()), 1, FALSE)), ""select Col2 where Col2 is not null limit 22 label Col2 ''"", 0)), """")"),"")</f>
        <v/>
      </c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  <c r="AN498" s="28"/>
      <c r="AO498" s="28"/>
      <c r="AP498" s="29"/>
      <c r="AQ498" s="29" t="str">
        <f t="shared" ref="AQ498:BL498" si="501">T498/T$2</f>
        <v>#N/A</v>
      </c>
      <c r="AR498" s="29" t="str">
        <f t="shared" si="501"/>
        <v>#DIV/0!</v>
      </c>
      <c r="AS498" s="29" t="str">
        <f t="shared" si="501"/>
        <v>#DIV/0!</v>
      </c>
      <c r="AT498" s="29" t="str">
        <f t="shared" si="501"/>
        <v>#DIV/0!</v>
      </c>
      <c r="AU498" s="29" t="str">
        <f t="shared" si="501"/>
        <v>#DIV/0!</v>
      </c>
      <c r="AV498" s="29" t="str">
        <f t="shared" si="501"/>
        <v>#DIV/0!</v>
      </c>
      <c r="AW498" s="29" t="str">
        <f t="shared" si="501"/>
        <v>#DIV/0!</v>
      </c>
      <c r="AX498" s="29" t="str">
        <f t="shared" si="501"/>
        <v>#DIV/0!</v>
      </c>
      <c r="AY498" s="29" t="str">
        <f t="shared" si="501"/>
        <v>#DIV/0!</v>
      </c>
      <c r="AZ498" s="29" t="str">
        <f t="shared" si="501"/>
        <v>#DIV/0!</v>
      </c>
      <c r="BA498" s="29" t="str">
        <f t="shared" si="501"/>
        <v>#DIV/0!</v>
      </c>
      <c r="BB498" s="29" t="str">
        <f t="shared" si="501"/>
        <v>#DIV/0!</v>
      </c>
      <c r="BC498" s="29" t="str">
        <f t="shared" si="501"/>
        <v>#DIV/0!</v>
      </c>
      <c r="BD498" s="29" t="str">
        <f t="shared" si="501"/>
        <v>#DIV/0!</v>
      </c>
      <c r="BE498" s="29" t="str">
        <f t="shared" si="501"/>
        <v>#DIV/0!</v>
      </c>
      <c r="BF498" s="29" t="str">
        <f t="shared" si="501"/>
        <v>#DIV/0!</v>
      </c>
      <c r="BG498" s="29" t="str">
        <f t="shared" si="501"/>
        <v>#DIV/0!</v>
      </c>
      <c r="BH498" s="29" t="str">
        <f t="shared" si="501"/>
        <v>#DIV/0!</v>
      </c>
      <c r="BI498" s="29" t="str">
        <f t="shared" si="501"/>
        <v>#DIV/0!</v>
      </c>
      <c r="BJ498" s="29" t="str">
        <f t="shared" si="501"/>
        <v>#DIV/0!</v>
      </c>
      <c r="BK498" s="29" t="str">
        <f t="shared" si="501"/>
        <v>#DIV/0!</v>
      </c>
      <c r="BL498" s="29" t="str">
        <f t="shared" si="501"/>
        <v>#DIV/0!</v>
      </c>
      <c r="BM498" s="29" t="str">
        <f t="shared" si="3"/>
        <v>#DIV/0!</v>
      </c>
    </row>
    <row r="499">
      <c r="A499" s="16" t="str">
        <f>IFERROR(__xludf.DUMMYFUNCTION("IFERROR(SPARKLINE(SORT(MAP(TRANSPOSE(AQ499:BL499), LAMBDA(val, IF(ISNUMBER(val), PERCENTRANK(AQ499:BL499, val)+0.01, 0))), SEQUENCE(COLUMNS(AQ499:BL499)), FALSE), {""charttype"",""column""; ""color"",""chartreuse""; ""ymin"", 0; ""ymax"", 1.01; ""highcolo"&amp;"r"", ""darkgreen""; ""lowcolor"", ""red""}), """")"),"")</f>
        <v/>
      </c>
      <c r="B499" s="17" t="str">
        <f t="shared" si="4"/>
        <v/>
      </c>
      <c r="C499" s="1" t="s">
        <v>2273</v>
      </c>
      <c r="D499" s="34" t="str">
        <f>IFERROR(__xludf.DUMMYFUNCTION("IFERROR(GOOGLEFINANCE(C499, ""NAME""))"),"Citizens Financial Group Inc")</f>
        <v>Citizens Financial Group Inc</v>
      </c>
      <c r="E499" s="30" t="s">
        <v>268</v>
      </c>
      <c r="F499" s="33" t="str">
        <f>IFERROR(__xludf.DUMMYFUNCTION("( (GOOGLEFINANCE(C499, ""price"") - Q499) / Q499 ) / (R499 / 100)"),"Loading...")</f>
        <v>Loading...</v>
      </c>
      <c r="G499" s="20" t="str">
        <f>IFERROR(__xludf.DUMMYFUNCTION("AVERAGE(ARRAYFORMULA(100 * (QUERY(GOOGLEFINANCE(C499, ""high"", TODAY()-40, TODAY()), ""SELECT Col2 WHERE Col2 IS NOT NULL ORDER BY Col1 DESC LIMIT 20"", 0) / QUERY(GOOGLEFINANCE(C499, ""low"", TODAY()-40, TODAY()), ""SELECT Col2 WHERE Col2 IS NOT NULL OR"&amp;"DER BY Col1 DESC LIMIT 20"", 0) - 1)))"),"#N/A")</f>
        <v>#N/A</v>
      </c>
      <c r="H499" s="35" t="str">
        <f t="shared" si="6"/>
        <v/>
      </c>
      <c r="I499" s="36" t="str">
        <f t="shared" si="7"/>
        <v/>
      </c>
      <c r="J499" s="37" t="str">
        <f>IFERROR(__xludf.DUMMYFUNCTION("IFERROR(
  IF(C499="""",, 
    IFERROR(
      GOOGLEFINANCE(C499, ""price"") * GOOGLEFINANCE(C499, ""volumeavg""), 
      GOOGLEFINANCE(C499, ""price"") * AVERAGE(QUERY(GOOGLEFINANCE(C499, ""volume"", TODAY()-40, TODAY()), ""SELECT Col2 WHERE Col2 IS NOT "&amp;"NULL ORDER BY Col1 DESC LIMIT 20"", 0))
    )
  ), 
"""")"),"")</f>
        <v/>
      </c>
      <c r="K499" s="21" t="str">
        <f>IFERROR(__xludf.DUMMYFUNCTION("IFERROR(GOOGLEFINANCE(C499, ""changepct"") / 100, """")"),"")</f>
        <v/>
      </c>
      <c r="L499" s="21" t="str">
        <f>IFERROR(__xludf.DUMMYFUNCTION("IFERROR((GOOGLEFINANCE(C499, ""price"") / INDEX(GOOGLEFINANCE(C499, ""price"", TODAY()-7, TODAY()), 2, 2)) - 1, """")"),"")</f>
        <v/>
      </c>
      <c r="M499" s="21" t="str">
        <f>IFERROR(__xludf.DUMMYFUNCTION("IFERROR((GOOGLEFINANCE(C499, ""price"") / INDEX(GOOGLEFINANCE(C499, ""price"", EDATE(TODAY(), -1), TODAY()), 2, 2)) - 1, """")"),"")</f>
        <v/>
      </c>
      <c r="N499" s="21" t="str">
        <f>IFERROR(__xludf.DUMMYFUNCTION("IFERROR((GOOGLEFINANCE(C499, ""price"") / INDEX(GOOGLEFINANCE(C499, ""price"", EDATE(TODAY(), -3), TODAY()), 2, 2)) - 1, """")"),"")</f>
        <v/>
      </c>
      <c r="O499" s="21" t="str">
        <f>IFERROR(__xludf.DUMMYFUNCTION("IFERROR((GOOGLEFINANCE(C499, ""price"") / INDEX(GOOGLEFINANCE(C499, ""price"", EDATE(TODAY(), -6), TODAY()), 2, 2)) - 1, """")"),"")</f>
        <v/>
      </c>
      <c r="P499" s="21" t="str">
        <f>IFERROR(__xludf.DUMMYFUNCTION("IFERROR((GOOGLEFINANCE(C499, ""price"") / INDEX(GOOGLEFINANCE(C499, ""price"", EDATE(TODAY(), -12), TODAY()), 2, 2)) - 1, """")"),"")</f>
        <v/>
      </c>
      <c r="Q499" s="6" t="str">
        <f>IFERROR(__xludf.DUMMYFUNCTION("AVERAGE(QUERY(GOOGLEFINANCE(C499, ""price"", TODAY()-80, TODAY()), ""SELECT Col2 WHERE Col2 IS NOT NULL ORDER BY Col1 DESC LIMIT 50"", 0))"),"#N/A")</f>
        <v>#N/A</v>
      </c>
      <c r="R499" s="24" t="str">
        <f>IFERROR(__xludf.DUMMYFUNCTION("IFERROR(
  LET(
    data, QUERY(GOOGLEFINANCE(C499,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GOOGLEFINANCE(C499, ""price"")) * 100,
    IF(calc=0, G499, calc)
  ), 
G499)"),"#N/A")</f>
        <v>#N/A</v>
      </c>
      <c r="S499" s="8" t="s">
        <v>15</v>
      </c>
      <c r="T499" s="26" t="str">
        <f>IFERROR(__xludf.DUMMYFUNCTION("IFERROR(TRANSPOSE(QUERY(IFERROR(SORT(GOOGLEFINANCE(C499, ""price"", WORKDAY(TODAY(), -40), TODAY()), 1, FALSE)), ""select Col2 where Col2 is not null limit 22 label Col2 ''"", 0)), """")"),"")</f>
        <v/>
      </c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8"/>
      <c r="AO499" s="28"/>
      <c r="AP499" s="29"/>
      <c r="AQ499" s="29" t="str">
        <f t="shared" ref="AQ499:BL499" si="502">T499/T$2</f>
        <v>#N/A</v>
      </c>
      <c r="AR499" s="29" t="str">
        <f t="shared" si="502"/>
        <v>#DIV/0!</v>
      </c>
      <c r="AS499" s="29" t="str">
        <f t="shared" si="502"/>
        <v>#DIV/0!</v>
      </c>
      <c r="AT499" s="29" t="str">
        <f t="shared" si="502"/>
        <v>#DIV/0!</v>
      </c>
      <c r="AU499" s="29" t="str">
        <f t="shared" si="502"/>
        <v>#DIV/0!</v>
      </c>
      <c r="AV499" s="29" t="str">
        <f t="shared" si="502"/>
        <v>#DIV/0!</v>
      </c>
      <c r="AW499" s="29" t="str">
        <f t="shared" si="502"/>
        <v>#DIV/0!</v>
      </c>
      <c r="AX499" s="29" t="str">
        <f t="shared" si="502"/>
        <v>#DIV/0!</v>
      </c>
      <c r="AY499" s="29" t="str">
        <f t="shared" si="502"/>
        <v>#DIV/0!</v>
      </c>
      <c r="AZ499" s="29" t="str">
        <f t="shared" si="502"/>
        <v>#DIV/0!</v>
      </c>
      <c r="BA499" s="29" t="str">
        <f t="shared" si="502"/>
        <v>#DIV/0!</v>
      </c>
      <c r="BB499" s="29" t="str">
        <f t="shared" si="502"/>
        <v>#DIV/0!</v>
      </c>
      <c r="BC499" s="29" t="str">
        <f t="shared" si="502"/>
        <v>#DIV/0!</v>
      </c>
      <c r="BD499" s="29" t="str">
        <f t="shared" si="502"/>
        <v>#DIV/0!</v>
      </c>
      <c r="BE499" s="29" t="str">
        <f t="shared" si="502"/>
        <v>#DIV/0!</v>
      </c>
      <c r="BF499" s="29" t="str">
        <f t="shared" si="502"/>
        <v>#DIV/0!</v>
      </c>
      <c r="BG499" s="29" t="str">
        <f t="shared" si="502"/>
        <v>#DIV/0!</v>
      </c>
      <c r="BH499" s="29" t="str">
        <f t="shared" si="502"/>
        <v>#DIV/0!</v>
      </c>
      <c r="BI499" s="29" t="str">
        <f t="shared" si="502"/>
        <v>#DIV/0!</v>
      </c>
      <c r="BJ499" s="29" t="str">
        <f t="shared" si="502"/>
        <v>#DIV/0!</v>
      </c>
      <c r="BK499" s="29" t="str">
        <f t="shared" si="502"/>
        <v>#DIV/0!</v>
      </c>
      <c r="BL499" s="29" t="str">
        <f t="shared" si="502"/>
        <v>#DIV/0!</v>
      </c>
      <c r="BM499" s="29" t="str">
        <f t="shared" si="3"/>
        <v>#DIV/0!</v>
      </c>
    </row>
    <row r="500">
      <c r="A500" s="16" t="str">
        <f>IFERROR(__xludf.DUMMYFUNCTION("IFERROR(SPARKLINE(SORT(MAP(TRANSPOSE(AQ500:BL500), LAMBDA(val, IF(ISNUMBER(val), PERCENTRANK(AQ500:BL500, val)+0.01, 0))), SEQUENCE(COLUMNS(AQ500:BL500)), FALSE), {""charttype"",""column""; ""color"",""chartreuse""; ""ymin"", 0; ""ymax"", 1.01; ""highcolo"&amp;"r"", ""darkgreen""; ""lowcolor"", ""red""}), """")"),"")</f>
        <v/>
      </c>
      <c r="B500" s="17" t="str">
        <f t="shared" si="4"/>
        <v/>
      </c>
      <c r="C500" s="1" t="s">
        <v>2278</v>
      </c>
      <c r="D500" s="34" t="str">
        <f>IFERROR(__xludf.DUMMYFUNCTION("IFERROR(GOOGLEFINANCE(C500, ""NAME""))"),"Banco Santander Brasil SA ADR")</f>
        <v>Banco Santander Brasil SA ADR</v>
      </c>
      <c r="E500" s="30" t="s">
        <v>268</v>
      </c>
      <c r="F500" s="33" t="str">
        <f>IFERROR(__xludf.DUMMYFUNCTION("( (GOOGLEFINANCE(C500, ""price"") - Q500) / Q500 ) / (R500 / 100)"),"Loading...")</f>
        <v>Loading...</v>
      </c>
      <c r="G500" s="20" t="str">
        <f>IFERROR(__xludf.DUMMYFUNCTION("AVERAGE(ARRAYFORMULA(100 * (QUERY(GOOGLEFINANCE(C500, ""high"", TODAY()-40, TODAY()), ""SELECT Col2 WHERE Col2 IS NOT NULL ORDER BY Col1 DESC LIMIT 20"", 0) / QUERY(GOOGLEFINANCE(C500, ""low"", TODAY()-40, TODAY()), ""SELECT Col2 WHERE Col2 IS NOT NULL OR"&amp;"DER BY Col1 DESC LIMIT 20"", 0) - 1)))"),"#N/A")</f>
        <v>#N/A</v>
      </c>
      <c r="H500" s="35" t="str">
        <f t="shared" si="6"/>
        <v/>
      </c>
      <c r="I500" s="36" t="str">
        <f t="shared" si="7"/>
        <v/>
      </c>
      <c r="J500" s="37" t="str">
        <f>IFERROR(__xludf.DUMMYFUNCTION("IFERROR(
  IF(C500="""",, 
    IFERROR(
      GOOGLEFINANCE(C500, ""price"") * GOOGLEFINANCE(C500, ""volumeavg""), 
      GOOGLEFINANCE(C500, ""price"") * AVERAGE(QUERY(GOOGLEFINANCE(C500, ""volume"", TODAY()-40, TODAY()), ""SELECT Col2 WHERE Col2 IS NOT "&amp;"NULL ORDER BY Col1 DESC LIMIT 20"", 0))
    )
  ), 
"""")"),"")</f>
        <v/>
      </c>
      <c r="K500" s="21" t="str">
        <f>IFERROR(__xludf.DUMMYFUNCTION("IFERROR(GOOGLEFINANCE(C500, ""changepct"") / 100, """")"),"")</f>
        <v/>
      </c>
      <c r="L500" s="21" t="str">
        <f>IFERROR(__xludf.DUMMYFUNCTION("IFERROR((GOOGLEFINANCE(C500, ""price"") / INDEX(GOOGLEFINANCE(C500, ""price"", TODAY()-7, TODAY()), 2, 2)) - 1, """")"),"")</f>
        <v/>
      </c>
      <c r="M500" s="21" t="str">
        <f>IFERROR(__xludf.DUMMYFUNCTION("IFERROR((GOOGLEFINANCE(C500, ""price"") / INDEX(GOOGLEFINANCE(C500, ""price"", EDATE(TODAY(), -1), TODAY()), 2, 2)) - 1, """")"),"")</f>
        <v/>
      </c>
      <c r="N500" s="21" t="str">
        <f>IFERROR(__xludf.DUMMYFUNCTION("IFERROR((GOOGLEFINANCE(C500, ""price"") / INDEX(GOOGLEFINANCE(C500, ""price"", EDATE(TODAY(), -3), TODAY()), 2, 2)) - 1, """")"),"")</f>
        <v/>
      </c>
      <c r="O500" s="21" t="str">
        <f>IFERROR(__xludf.DUMMYFUNCTION("IFERROR((GOOGLEFINANCE(C500, ""price"") / INDEX(GOOGLEFINANCE(C500, ""price"", EDATE(TODAY(), -6), TODAY()), 2, 2)) - 1, """")"),"")</f>
        <v/>
      </c>
      <c r="P500" s="21" t="str">
        <f>IFERROR(__xludf.DUMMYFUNCTION("IFERROR((GOOGLEFINANCE(C500, ""price"") / INDEX(GOOGLEFINANCE(C500, ""price"", EDATE(TODAY(), -12), TODAY()), 2, 2)) - 1, """")"),"")</f>
        <v/>
      </c>
      <c r="Q500" s="6" t="str">
        <f>IFERROR(__xludf.DUMMYFUNCTION("AVERAGE(QUERY(GOOGLEFINANCE(C500, ""price"", TODAY()-80, TODAY()), ""SELECT Col2 WHERE Col2 IS NOT NULL ORDER BY Col1 DESC LIMIT 50"", 0))"),"#N/A")</f>
        <v>#N/A</v>
      </c>
      <c r="R500" s="24" t="str">
        <f>IFERROR(__xludf.DUMMYFUNCTION("IFERROR(
  LET(
    data, QUERY(GOOGLEFINANCE(C500,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GOOGLEFINANCE(C500, ""price"")) * 100,
    IF(calc=0, G500, calc)
  ), 
G500)"),"#N/A")</f>
        <v>#N/A</v>
      </c>
      <c r="S500" s="8" t="s">
        <v>15</v>
      </c>
      <c r="T500" s="26" t="str">
        <f>IFERROR(__xludf.DUMMYFUNCTION("IFERROR(TRANSPOSE(QUERY(IFERROR(SORT(GOOGLEFINANCE(C500, ""price"", WORKDAY(TODAY(), -40), TODAY()), 1, FALSE)), ""select Col2 where Col2 is not null limit 22 label Col2 ''"", 0)), """")"),"")</f>
        <v/>
      </c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8"/>
      <c r="AO500" s="28"/>
      <c r="AP500" s="29"/>
      <c r="AQ500" s="29" t="str">
        <f t="shared" ref="AQ500:BL500" si="503">T500/T$2</f>
        <v>#N/A</v>
      </c>
      <c r="AR500" s="29" t="str">
        <f t="shared" si="503"/>
        <v>#DIV/0!</v>
      </c>
      <c r="AS500" s="29" t="str">
        <f t="shared" si="503"/>
        <v>#DIV/0!</v>
      </c>
      <c r="AT500" s="29" t="str">
        <f t="shared" si="503"/>
        <v>#DIV/0!</v>
      </c>
      <c r="AU500" s="29" t="str">
        <f t="shared" si="503"/>
        <v>#DIV/0!</v>
      </c>
      <c r="AV500" s="29" t="str">
        <f t="shared" si="503"/>
        <v>#DIV/0!</v>
      </c>
      <c r="AW500" s="29" t="str">
        <f t="shared" si="503"/>
        <v>#DIV/0!</v>
      </c>
      <c r="AX500" s="29" t="str">
        <f t="shared" si="503"/>
        <v>#DIV/0!</v>
      </c>
      <c r="AY500" s="29" t="str">
        <f t="shared" si="503"/>
        <v>#DIV/0!</v>
      </c>
      <c r="AZ500" s="29" t="str">
        <f t="shared" si="503"/>
        <v>#DIV/0!</v>
      </c>
      <c r="BA500" s="29" t="str">
        <f t="shared" si="503"/>
        <v>#DIV/0!</v>
      </c>
      <c r="BB500" s="29" t="str">
        <f t="shared" si="503"/>
        <v>#DIV/0!</v>
      </c>
      <c r="BC500" s="29" t="str">
        <f t="shared" si="503"/>
        <v>#DIV/0!</v>
      </c>
      <c r="BD500" s="29" t="str">
        <f t="shared" si="503"/>
        <v>#DIV/0!</v>
      </c>
      <c r="BE500" s="29" t="str">
        <f t="shared" si="503"/>
        <v>#DIV/0!</v>
      </c>
      <c r="BF500" s="29" t="str">
        <f t="shared" si="503"/>
        <v>#DIV/0!</v>
      </c>
      <c r="BG500" s="29" t="str">
        <f t="shared" si="503"/>
        <v>#DIV/0!</v>
      </c>
      <c r="BH500" s="29" t="str">
        <f t="shared" si="503"/>
        <v>#DIV/0!</v>
      </c>
      <c r="BI500" s="29" t="str">
        <f t="shared" si="503"/>
        <v>#DIV/0!</v>
      </c>
      <c r="BJ500" s="29" t="str">
        <f t="shared" si="503"/>
        <v>#DIV/0!</v>
      </c>
      <c r="BK500" s="29" t="str">
        <f t="shared" si="503"/>
        <v>#DIV/0!</v>
      </c>
      <c r="BL500" s="29" t="str">
        <f t="shared" si="503"/>
        <v>#DIV/0!</v>
      </c>
      <c r="BM500" s="29" t="str">
        <f t="shared" si="3"/>
        <v>#DIV/0!</v>
      </c>
    </row>
    <row r="501">
      <c r="A501" s="16" t="str">
        <f>IFERROR(__xludf.DUMMYFUNCTION("IFERROR(SPARKLINE(SORT(MAP(TRANSPOSE(AQ501:BL501), LAMBDA(val, IF(ISNUMBER(val), PERCENTRANK(AQ501:BL501, val)+0.01, 0))), SEQUENCE(COLUMNS(AQ501:BL501)), FALSE), {""charttype"",""column""; ""color"",""chartreuse""; ""ymin"", 0; ""ymax"", 1.01; ""highcolo"&amp;"r"", ""darkgreen""; ""lowcolor"", ""red""}), """")"),"")</f>
        <v/>
      </c>
      <c r="B501" s="17" t="str">
        <f t="shared" si="4"/>
        <v/>
      </c>
      <c r="C501" s="1" t="s">
        <v>2282</v>
      </c>
      <c r="D501" s="34" t="str">
        <f>IFERROR(__xludf.DUMMYFUNCTION("IFERROR(GOOGLEFINANCE(C501, ""NAME""))"),"Banner Corp")</f>
        <v>Banner Corp</v>
      </c>
      <c r="E501" s="30" t="s">
        <v>268</v>
      </c>
      <c r="F501" s="33" t="str">
        <f>IFERROR(__xludf.DUMMYFUNCTION("( (GOOGLEFINANCE(C501, ""price"") - Q501) / Q501 ) / (R501 / 100)"),"Loading...")</f>
        <v>Loading...</v>
      </c>
      <c r="G501" s="20" t="str">
        <f>IFERROR(__xludf.DUMMYFUNCTION("AVERAGE(ARRAYFORMULA(100 * (QUERY(GOOGLEFINANCE(C501, ""high"", TODAY()-40, TODAY()), ""SELECT Col2 WHERE Col2 IS NOT NULL ORDER BY Col1 DESC LIMIT 20"", 0) / QUERY(GOOGLEFINANCE(C501, ""low"", TODAY()-40, TODAY()), ""SELECT Col2 WHERE Col2 IS NOT NULL OR"&amp;"DER BY Col1 DESC LIMIT 20"", 0) - 1)))"),"#N/A")</f>
        <v>#N/A</v>
      </c>
      <c r="H501" s="35" t="str">
        <f t="shared" si="6"/>
        <v/>
      </c>
      <c r="I501" s="36" t="str">
        <f t="shared" si="7"/>
        <v/>
      </c>
      <c r="J501" s="37" t="str">
        <f>IFERROR(__xludf.DUMMYFUNCTION("IFERROR(
  IF(C501="""",, 
    IFERROR(
      GOOGLEFINANCE(C501, ""price"") * GOOGLEFINANCE(C501, ""volumeavg""), 
      GOOGLEFINANCE(C501, ""price"") * AVERAGE(QUERY(GOOGLEFINANCE(C501, ""volume"", TODAY()-40, TODAY()), ""SELECT Col2 WHERE Col2 IS NOT "&amp;"NULL ORDER BY Col1 DESC LIMIT 20"", 0))
    )
  ), 
"""")"),"")</f>
        <v/>
      </c>
      <c r="K501" s="21" t="str">
        <f>IFERROR(__xludf.DUMMYFUNCTION("IFERROR(GOOGLEFINANCE(C501, ""changepct"") / 100, """")"),"")</f>
        <v/>
      </c>
      <c r="L501" s="21" t="str">
        <f>IFERROR(__xludf.DUMMYFUNCTION("IFERROR((GOOGLEFINANCE(C501, ""price"") / INDEX(GOOGLEFINANCE(C501, ""price"", TODAY()-7, TODAY()), 2, 2)) - 1, """")"),"")</f>
        <v/>
      </c>
      <c r="M501" s="21" t="str">
        <f>IFERROR(__xludf.DUMMYFUNCTION("IFERROR((GOOGLEFINANCE(C501, ""price"") / INDEX(GOOGLEFINANCE(C501, ""price"", EDATE(TODAY(), -1), TODAY()), 2, 2)) - 1, """")"),"")</f>
        <v/>
      </c>
      <c r="N501" s="21" t="str">
        <f>IFERROR(__xludf.DUMMYFUNCTION("IFERROR((GOOGLEFINANCE(C501, ""price"") / INDEX(GOOGLEFINANCE(C501, ""price"", EDATE(TODAY(), -3), TODAY()), 2, 2)) - 1, """")"),"")</f>
        <v/>
      </c>
      <c r="O501" s="21" t="str">
        <f>IFERROR(__xludf.DUMMYFUNCTION("IFERROR((GOOGLEFINANCE(C501, ""price"") / INDEX(GOOGLEFINANCE(C501, ""price"", EDATE(TODAY(), -6), TODAY()), 2, 2)) - 1, """")"),"")</f>
        <v/>
      </c>
      <c r="P501" s="21" t="str">
        <f>IFERROR(__xludf.DUMMYFUNCTION("IFERROR((GOOGLEFINANCE(C501, ""price"") / INDEX(GOOGLEFINANCE(C501, ""price"", EDATE(TODAY(), -12), TODAY()), 2, 2)) - 1, """")"),"")</f>
        <v/>
      </c>
      <c r="Q501" s="6" t="str">
        <f>IFERROR(__xludf.DUMMYFUNCTION("AVERAGE(QUERY(GOOGLEFINANCE(C501, ""price"", TODAY()-80, TODAY()), ""SELECT Col2 WHERE Col2 IS NOT NULL ORDER BY Col1 DESC LIMIT 50"", 0))"),"#N/A")</f>
        <v>#N/A</v>
      </c>
      <c r="R501" s="24" t="str">
        <f>IFERROR(__xludf.DUMMYFUNCTION("IFERROR(
  LET(
    data, QUERY(GOOGLEFINANCE(C501,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GOOGLEFINANCE(C501, ""price"")) * 100,
    IF(calc=0, G501, calc)
  ), 
G501)"),"#N/A")</f>
        <v>#N/A</v>
      </c>
      <c r="S501" s="8" t="s">
        <v>15</v>
      </c>
      <c r="T501" s="26" t="str">
        <f>IFERROR(__xludf.DUMMYFUNCTION("IFERROR(TRANSPOSE(QUERY(IFERROR(SORT(GOOGLEFINANCE(C501, ""price"", WORKDAY(TODAY(), -40), TODAY()), 1, FALSE)), ""select Col2 where Col2 is not null limit 22 label Col2 ''"", 0)), """")"),"")</f>
        <v/>
      </c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28"/>
      <c r="AO501" s="28"/>
      <c r="AP501" s="29"/>
      <c r="AQ501" s="29" t="str">
        <f t="shared" ref="AQ501:BL501" si="504">T501/T$2</f>
        <v>#N/A</v>
      </c>
      <c r="AR501" s="29" t="str">
        <f t="shared" si="504"/>
        <v>#DIV/0!</v>
      </c>
      <c r="AS501" s="29" t="str">
        <f t="shared" si="504"/>
        <v>#DIV/0!</v>
      </c>
      <c r="AT501" s="29" t="str">
        <f t="shared" si="504"/>
        <v>#DIV/0!</v>
      </c>
      <c r="AU501" s="29" t="str">
        <f t="shared" si="504"/>
        <v>#DIV/0!</v>
      </c>
      <c r="AV501" s="29" t="str">
        <f t="shared" si="504"/>
        <v>#DIV/0!</v>
      </c>
      <c r="AW501" s="29" t="str">
        <f t="shared" si="504"/>
        <v>#DIV/0!</v>
      </c>
      <c r="AX501" s="29" t="str">
        <f t="shared" si="504"/>
        <v>#DIV/0!</v>
      </c>
      <c r="AY501" s="29" t="str">
        <f t="shared" si="504"/>
        <v>#DIV/0!</v>
      </c>
      <c r="AZ501" s="29" t="str">
        <f t="shared" si="504"/>
        <v>#DIV/0!</v>
      </c>
      <c r="BA501" s="29" t="str">
        <f t="shared" si="504"/>
        <v>#DIV/0!</v>
      </c>
      <c r="BB501" s="29" t="str">
        <f t="shared" si="504"/>
        <v>#DIV/0!</v>
      </c>
      <c r="BC501" s="29" t="str">
        <f t="shared" si="504"/>
        <v>#DIV/0!</v>
      </c>
      <c r="BD501" s="29" t="str">
        <f t="shared" si="504"/>
        <v>#DIV/0!</v>
      </c>
      <c r="BE501" s="29" t="str">
        <f t="shared" si="504"/>
        <v>#DIV/0!</v>
      </c>
      <c r="BF501" s="29" t="str">
        <f t="shared" si="504"/>
        <v>#DIV/0!</v>
      </c>
      <c r="BG501" s="29" t="str">
        <f t="shared" si="504"/>
        <v>#DIV/0!</v>
      </c>
      <c r="BH501" s="29" t="str">
        <f t="shared" si="504"/>
        <v>#DIV/0!</v>
      </c>
      <c r="BI501" s="29" t="str">
        <f t="shared" si="504"/>
        <v>#DIV/0!</v>
      </c>
      <c r="BJ501" s="29" t="str">
        <f t="shared" si="504"/>
        <v>#DIV/0!</v>
      </c>
      <c r="BK501" s="29" t="str">
        <f t="shared" si="504"/>
        <v>#DIV/0!</v>
      </c>
      <c r="BL501" s="29" t="str">
        <f t="shared" si="504"/>
        <v>#DIV/0!</v>
      </c>
      <c r="BM501" s="29" t="str">
        <f t="shared" si="3"/>
        <v>#DIV/0!</v>
      </c>
    </row>
    <row r="502">
      <c r="A502" s="16" t="str">
        <f>IFERROR(__xludf.DUMMYFUNCTION("IFERROR(SPARKLINE(SORT(MAP(TRANSPOSE(AQ502:BL502), LAMBDA(val, IF(ISNUMBER(val), PERCENTRANK(AQ502:BL502, val)+0.01, 0))), SEQUENCE(COLUMNS(AQ502:BL502)), FALSE), {""charttype"",""column""; ""color"",""chartreuse""; ""ymin"", 0; ""ymax"", 1.01; ""highcolo"&amp;"r"", ""darkgreen""; ""lowcolor"", ""red""}), """")"),"")</f>
        <v/>
      </c>
      <c r="B502" s="17" t="str">
        <f t="shared" si="4"/>
        <v/>
      </c>
      <c r="C502" s="1" t="s">
        <v>2285</v>
      </c>
      <c r="D502" s="34" t="str">
        <f>IFERROR(__xludf.DUMMYFUNCTION("IFERROR(GOOGLEFINANCE(C502, ""NAME""))"),"International General Insuranc Hldgs Ltd")</f>
        <v>International General Insuranc Hldgs Ltd</v>
      </c>
      <c r="E502" s="30" t="s">
        <v>434</v>
      </c>
      <c r="F502" s="33" t="str">
        <f>IFERROR(__xludf.DUMMYFUNCTION("( (GOOGLEFINANCE(C502, ""price"") - Q502) / Q502 ) / (R502 / 100)"),"Loading...")</f>
        <v>Loading...</v>
      </c>
      <c r="G502" s="20" t="str">
        <f>IFERROR(__xludf.DUMMYFUNCTION("AVERAGE(ARRAYFORMULA(100 * (QUERY(GOOGLEFINANCE(C502, ""high"", TODAY()-40, TODAY()), ""SELECT Col2 WHERE Col2 IS NOT NULL ORDER BY Col1 DESC LIMIT 20"", 0) / QUERY(GOOGLEFINANCE(C502, ""low"", TODAY()-40, TODAY()), ""SELECT Col2 WHERE Col2 IS NOT NULL OR"&amp;"DER BY Col1 DESC LIMIT 20"", 0) - 1)))"),"#N/A")</f>
        <v>#N/A</v>
      </c>
      <c r="H502" s="35" t="str">
        <f t="shared" si="6"/>
        <v/>
      </c>
      <c r="I502" s="36" t="str">
        <f t="shared" si="7"/>
        <v/>
      </c>
      <c r="J502" s="37" t="str">
        <f>IFERROR(__xludf.DUMMYFUNCTION("IFERROR(
  IF(C502="""",, 
    IFERROR(
      GOOGLEFINANCE(C502, ""price"") * GOOGLEFINANCE(C502, ""volumeavg""), 
      GOOGLEFINANCE(C502, ""price"") * AVERAGE(QUERY(GOOGLEFINANCE(C502, ""volume"", TODAY()-40, TODAY()), ""SELECT Col2 WHERE Col2 IS NOT "&amp;"NULL ORDER BY Col1 DESC LIMIT 20"", 0))
    )
  ), 
"""")"),"")</f>
        <v/>
      </c>
      <c r="K502" s="21" t="str">
        <f>IFERROR(__xludf.DUMMYFUNCTION("IFERROR(GOOGLEFINANCE(C502, ""changepct"") / 100, """")"),"")</f>
        <v/>
      </c>
      <c r="L502" s="21" t="str">
        <f>IFERROR(__xludf.DUMMYFUNCTION("IFERROR((GOOGLEFINANCE(C502, ""price"") / INDEX(GOOGLEFINANCE(C502, ""price"", TODAY()-7, TODAY()), 2, 2)) - 1, """")"),"")</f>
        <v/>
      </c>
      <c r="M502" s="21" t="str">
        <f>IFERROR(__xludf.DUMMYFUNCTION("IFERROR((GOOGLEFINANCE(C502, ""price"") / INDEX(GOOGLEFINANCE(C502, ""price"", EDATE(TODAY(), -1), TODAY()), 2, 2)) - 1, """")"),"")</f>
        <v/>
      </c>
      <c r="N502" s="21" t="str">
        <f>IFERROR(__xludf.DUMMYFUNCTION("IFERROR((GOOGLEFINANCE(C502, ""price"") / INDEX(GOOGLEFINANCE(C502, ""price"", EDATE(TODAY(), -3), TODAY()), 2, 2)) - 1, """")"),"")</f>
        <v/>
      </c>
      <c r="O502" s="21" t="str">
        <f>IFERROR(__xludf.DUMMYFUNCTION("IFERROR((GOOGLEFINANCE(C502, ""price"") / INDEX(GOOGLEFINANCE(C502, ""price"", EDATE(TODAY(), -6), TODAY()), 2, 2)) - 1, """")"),"")</f>
        <v/>
      </c>
      <c r="P502" s="21" t="str">
        <f>IFERROR(__xludf.DUMMYFUNCTION("IFERROR((GOOGLEFINANCE(C502, ""price"") / INDEX(GOOGLEFINANCE(C502, ""price"", EDATE(TODAY(), -12), TODAY()), 2, 2)) - 1, """")"),"")</f>
        <v/>
      </c>
      <c r="Q502" s="6" t="str">
        <f>IFERROR(__xludf.DUMMYFUNCTION("AVERAGE(QUERY(GOOGLEFINANCE(C502, ""price"", TODAY()-80, TODAY()), ""SELECT Col2 WHERE Col2 IS NOT NULL ORDER BY Col1 DESC LIMIT 50"", 0))"),"#N/A")</f>
        <v>#N/A</v>
      </c>
      <c r="R502" s="24" t="str">
        <f>IFERROR(__xludf.DUMMYFUNCTION("IFERROR(
  LET(
    data, QUERY(GOOGLEFINANCE(C502,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GOOGLEFINANCE(C502, ""price"")) * 100,
    IF(calc=0, G502, calc)
  ), 
G502)"),"#N/A")</f>
        <v>#N/A</v>
      </c>
      <c r="S502" s="8" t="s">
        <v>15</v>
      </c>
      <c r="T502" s="26" t="str">
        <f>IFERROR(__xludf.DUMMYFUNCTION("IFERROR(TRANSPOSE(QUERY(IFERROR(SORT(GOOGLEFINANCE(C502, ""price"", WORKDAY(TODAY(), -40), TODAY()), 1, FALSE)), ""select Col2 where Col2 is not null limit 22 label Col2 ''"", 0)), """")"),"")</f>
        <v/>
      </c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8"/>
      <c r="AO502" s="28"/>
      <c r="AP502" s="29"/>
      <c r="AQ502" s="29" t="str">
        <f t="shared" ref="AQ502:BL502" si="505">T502/T$2</f>
        <v>#N/A</v>
      </c>
      <c r="AR502" s="29" t="str">
        <f t="shared" si="505"/>
        <v>#DIV/0!</v>
      </c>
      <c r="AS502" s="29" t="str">
        <f t="shared" si="505"/>
        <v>#DIV/0!</v>
      </c>
      <c r="AT502" s="29" t="str">
        <f t="shared" si="505"/>
        <v>#DIV/0!</v>
      </c>
      <c r="AU502" s="29" t="str">
        <f t="shared" si="505"/>
        <v>#DIV/0!</v>
      </c>
      <c r="AV502" s="29" t="str">
        <f t="shared" si="505"/>
        <v>#DIV/0!</v>
      </c>
      <c r="AW502" s="29" t="str">
        <f t="shared" si="505"/>
        <v>#DIV/0!</v>
      </c>
      <c r="AX502" s="29" t="str">
        <f t="shared" si="505"/>
        <v>#DIV/0!</v>
      </c>
      <c r="AY502" s="29" t="str">
        <f t="shared" si="505"/>
        <v>#DIV/0!</v>
      </c>
      <c r="AZ502" s="29" t="str">
        <f t="shared" si="505"/>
        <v>#DIV/0!</v>
      </c>
      <c r="BA502" s="29" t="str">
        <f t="shared" si="505"/>
        <v>#DIV/0!</v>
      </c>
      <c r="BB502" s="29" t="str">
        <f t="shared" si="505"/>
        <v>#DIV/0!</v>
      </c>
      <c r="BC502" s="29" t="str">
        <f t="shared" si="505"/>
        <v>#DIV/0!</v>
      </c>
      <c r="BD502" s="29" t="str">
        <f t="shared" si="505"/>
        <v>#DIV/0!</v>
      </c>
      <c r="BE502" s="29" t="str">
        <f t="shared" si="505"/>
        <v>#DIV/0!</v>
      </c>
      <c r="BF502" s="29" t="str">
        <f t="shared" si="505"/>
        <v>#DIV/0!</v>
      </c>
      <c r="BG502" s="29" t="str">
        <f t="shared" si="505"/>
        <v>#DIV/0!</v>
      </c>
      <c r="BH502" s="29" t="str">
        <f t="shared" si="505"/>
        <v>#DIV/0!</v>
      </c>
      <c r="BI502" s="29" t="str">
        <f t="shared" si="505"/>
        <v>#DIV/0!</v>
      </c>
      <c r="BJ502" s="29" t="str">
        <f t="shared" si="505"/>
        <v>#DIV/0!</v>
      </c>
      <c r="BK502" s="29" t="str">
        <f t="shared" si="505"/>
        <v>#DIV/0!</v>
      </c>
      <c r="BL502" s="29" t="str">
        <f t="shared" si="505"/>
        <v>#DIV/0!</v>
      </c>
      <c r="BM502" s="29" t="str">
        <f t="shared" si="3"/>
        <v>#DIV/0!</v>
      </c>
    </row>
    <row r="503">
      <c r="A503" s="16" t="str">
        <f>IFERROR(__xludf.DUMMYFUNCTION("IFERROR(SPARKLINE(SORT(MAP(TRANSPOSE(AQ503:BL503), LAMBDA(val, IF(ISNUMBER(val), PERCENTRANK(AQ503:BL503, val)+0.01, 0))), SEQUENCE(COLUMNS(AQ503:BL503)), FALSE), {""charttype"",""column""; ""color"",""chartreuse""; ""ymin"", 0; ""ymax"", 1.01; ""highcolo"&amp;"r"", ""darkgreen""; ""lowcolor"", ""red""}), """")"),"")</f>
        <v/>
      </c>
      <c r="B503" s="17" t="str">
        <f t="shared" si="4"/>
        <v/>
      </c>
      <c r="C503" s="1" t="s">
        <v>2289</v>
      </c>
      <c r="D503" s="34" t="str">
        <f>IFERROR(__xludf.DUMMYFUNCTION("IFERROR(GOOGLEFINANCE(C503, ""NAME""))"),"Prospect Capital Corporation")</f>
        <v>Prospect Capital Corporation</v>
      </c>
      <c r="E503" s="30" t="s">
        <v>64</v>
      </c>
      <c r="F503" s="33" t="str">
        <f>IFERROR(__xludf.DUMMYFUNCTION("( (GOOGLEFINANCE(C503, ""price"") - Q503) / Q503 ) / (R503 / 100)"),"Loading...")</f>
        <v>Loading...</v>
      </c>
      <c r="G503" s="20" t="str">
        <f>IFERROR(__xludf.DUMMYFUNCTION("AVERAGE(ARRAYFORMULA(100 * (QUERY(GOOGLEFINANCE(C503, ""high"", TODAY()-40, TODAY()), ""SELECT Col2 WHERE Col2 IS NOT NULL ORDER BY Col1 DESC LIMIT 20"", 0) / QUERY(GOOGLEFINANCE(C503, ""low"", TODAY()-40, TODAY()), ""SELECT Col2 WHERE Col2 IS NOT NULL OR"&amp;"DER BY Col1 DESC LIMIT 20"", 0) - 1)))"),"#N/A")</f>
        <v>#N/A</v>
      </c>
      <c r="H503" s="35" t="str">
        <f t="shared" si="6"/>
        <v/>
      </c>
      <c r="I503" s="36" t="str">
        <f t="shared" si="7"/>
        <v/>
      </c>
      <c r="J503" s="37" t="str">
        <f>IFERROR(__xludf.DUMMYFUNCTION("IFERROR(
  IF(C503="""",, 
    IFERROR(
      GOOGLEFINANCE(C503, ""price"") * GOOGLEFINANCE(C503, ""volumeavg""), 
      GOOGLEFINANCE(C503, ""price"") * AVERAGE(QUERY(GOOGLEFINANCE(C503, ""volume"", TODAY()-40, TODAY()), ""SELECT Col2 WHERE Col2 IS NOT "&amp;"NULL ORDER BY Col1 DESC LIMIT 20"", 0))
    )
  ), 
"""")"),"")</f>
        <v/>
      </c>
      <c r="K503" s="21" t="str">
        <f>IFERROR(__xludf.DUMMYFUNCTION("IFERROR(GOOGLEFINANCE(C503, ""changepct"") / 100, """")"),"")</f>
        <v/>
      </c>
      <c r="L503" s="21" t="str">
        <f>IFERROR(__xludf.DUMMYFUNCTION("IFERROR((GOOGLEFINANCE(C503, ""price"") / INDEX(GOOGLEFINANCE(C503, ""price"", TODAY()-7, TODAY()), 2, 2)) - 1, """")"),"")</f>
        <v/>
      </c>
      <c r="M503" s="21" t="str">
        <f>IFERROR(__xludf.DUMMYFUNCTION("IFERROR((GOOGLEFINANCE(C503, ""price"") / INDEX(GOOGLEFINANCE(C503, ""price"", EDATE(TODAY(), -1), TODAY()), 2, 2)) - 1, """")"),"")</f>
        <v/>
      </c>
      <c r="N503" s="21" t="str">
        <f>IFERROR(__xludf.DUMMYFUNCTION("IFERROR((GOOGLEFINANCE(C503, ""price"") / INDEX(GOOGLEFINANCE(C503, ""price"", EDATE(TODAY(), -3), TODAY()), 2, 2)) - 1, """")"),"")</f>
        <v/>
      </c>
      <c r="O503" s="21" t="str">
        <f>IFERROR(__xludf.DUMMYFUNCTION("IFERROR((GOOGLEFINANCE(C503, ""price"") / INDEX(GOOGLEFINANCE(C503, ""price"", EDATE(TODAY(), -6), TODAY()), 2, 2)) - 1, """")"),"")</f>
        <v/>
      </c>
      <c r="P503" s="21" t="str">
        <f>IFERROR(__xludf.DUMMYFUNCTION("IFERROR((GOOGLEFINANCE(C503, ""price"") / INDEX(GOOGLEFINANCE(C503, ""price"", EDATE(TODAY(), -12), TODAY()), 2, 2)) - 1, """")"),"")</f>
        <v/>
      </c>
      <c r="Q503" s="6" t="str">
        <f>IFERROR(__xludf.DUMMYFUNCTION("AVERAGE(QUERY(GOOGLEFINANCE(C503, ""price"", TODAY()-80, TODAY()), ""SELECT Col2 WHERE Col2 IS NOT NULL ORDER BY Col1 DESC LIMIT 50"", 0))"),"#N/A")</f>
        <v>#N/A</v>
      </c>
      <c r="R503" s="24" t="str">
        <f>IFERROR(__xludf.DUMMYFUNCTION("IFERROR(
  LET(
    data, QUERY(GOOGLEFINANCE(C503,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GOOGLEFINANCE(C503, ""price"")) * 100,
    IF(calc=0, G503, calc)
  ), 
G503)"),"#N/A")</f>
        <v>#N/A</v>
      </c>
      <c r="S503" s="8" t="s">
        <v>15</v>
      </c>
      <c r="T503" s="26" t="str">
        <f>IFERROR(__xludf.DUMMYFUNCTION("IFERROR(TRANSPOSE(QUERY(IFERROR(SORT(GOOGLEFINANCE(C503, ""price"", WORKDAY(TODAY(), -40), TODAY()), 1, FALSE)), ""select Col2 where Col2 is not null limit 22 label Col2 ''"", 0)), """")"),"")</f>
        <v/>
      </c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8"/>
      <c r="AO503" s="28"/>
      <c r="AP503" s="29"/>
      <c r="AQ503" s="29" t="str">
        <f t="shared" ref="AQ503:BL503" si="506">T503/T$2</f>
        <v>#N/A</v>
      </c>
      <c r="AR503" s="29" t="str">
        <f t="shared" si="506"/>
        <v>#DIV/0!</v>
      </c>
      <c r="AS503" s="29" t="str">
        <f t="shared" si="506"/>
        <v>#DIV/0!</v>
      </c>
      <c r="AT503" s="29" t="str">
        <f t="shared" si="506"/>
        <v>#DIV/0!</v>
      </c>
      <c r="AU503" s="29" t="str">
        <f t="shared" si="506"/>
        <v>#DIV/0!</v>
      </c>
      <c r="AV503" s="29" t="str">
        <f t="shared" si="506"/>
        <v>#DIV/0!</v>
      </c>
      <c r="AW503" s="29" t="str">
        <f t="shared" si="506"/>
        <v>#DIV/0!</v>
      </c>
      <c r="AX503" s="29" t="str">
        <f t="shared" si="506"/>
        <v>#DIV/0!</v>
      </c>
      <c r="AY503" s="29" t="str">
        <f t="shared" si="506"/>
        <v>#DIV/0!</v>
      </c>
      <c r="AZ503" s="29" t="str">
        <f t="shared" si="506"/>
        <v>#DIV/0!</v>
      </c>
      <c r="BA503" s="29" t="str">
        <f t="shared" si="506"/>
        <v>#DIV/0!</v>
      </c>
      <c r="BB503" s="29" t="str">
        <f t="shared" si="506"/>
        <v>#DIV/0!</v>
      </c>
      <c r="BC503" s="29" t="str">
        <f t="shared" si="506"/>
        <v>#DIV/0!</v>
      </c>
      <c r="BD503" s="29" t="str">
        <f t="shared" si="506"/>
        <v>#DIV/0!</v>
      </c>
      <c r="BE503" s="29" t="str">
        <f t="shared" si="506"/>
        <v>#DIV/0!</v>
      </c>
      <c r="BF503" s="29" t="str">
        <f t="shared" si="506"/>
        <v>#DIV/0!</v>
      </c>
      <c r="BG503" s="29" t="str">
        <f t="shared" si="506"/>
        <v>#DIV/0!</v>
      </c>
      <c r="BH503" s="29" t="str">
        <f t="shared" si="506"/>
        <v>#DIV/0!</v>
      </c>
      <c r="BI503" s="29" t="str">
        <f t="shared" si="506"/>
        <v>#DIV/0!</v>
      </c>
      <c r="BJ503" s="29" t="str">
        <f t="shared" si="506"/>
        <v>#DIV/0!</v>
      </c>
      <c r="BK503" s="29" t="str">
        <f t="shared" si="506"/>
        <v>#DIV/0!</v>
      </c>
      <c r="BL503" s="29" t="str">
        <f t="shared" si="506"/>
        <v>#DIV/0!</v>
      </c>
      <c r="BM503" s="29" t="str">
        <f t="shared" si="3"/>
        <v>#DIV/0!</v>
      </c>
    </row>
    <row r="504">
      <c r="A504" s="16" t="str">
        <f>IFERROR(__xludf.DUMMYFUNCTION("IFERROR(SPARKLINE(SORT(MAP(TRANSPOSE(AQ504:BL504), LAMBDA(val, IF(ISNUMBER(val), PERCENTRANK(AQ504:BL504, val)+0.01, 0))), SEQUENCE(COLUMNS(AQ504:BL504)), FALSE), {""charttype"",""column""; ""color"",""chartreuse""; ""ymin"", 0; ""ymax"", 1.01; ""highcolo"&amp;"r"", ""darkgreen""; ""lowcolor"", ""red""}), """")"),"")</f>
        <v/>
      </c>
      <c r="B504" s="17" t="str">
        <f t="shared" si="4"/>
        <v/>
      </c>
      <c r="C504" s="1" t="s">
        <v>2293</v>
      </c>
      <c r="D504" s="34" t="str">
        <f>IFERROR(__xludf.DUMMYFUNCTION("IFERROR(GOOGLEFINANCE(C504, ""NAME""))"),"Simmons First National Corp")</f>
        <v>Simmons First National Corp</v>
      </c>
      <c r="E504" s="30" t="s">
        <v>268</v>
      </c>
      <c r="F504" s="33" t="str">
        <f>IFERROR(__xludf.DUMMYFUNCTION("( (GOOGLEFINANCE(C504, ""price"") - Q504) / Q504 ) / (R504 / 100)"),"Loading...")</f>
        <v>Loading...</v>
      </c>
      <c r="G504" s="20" t="str">
        <f>IFERROR(__xludf.DUMMYFUNCTION("AVERAGE(ARRAYFORMULA(100 * (QUERY(GOOGLEFINANCE(C504, ""high"", TODAY()-40, TODAY()), ""SELECT Col2 WHERE Col2 IS NOT NULL ORDER BY Col1 DESC LIMIT 20"", 0) / QUERY(GOOGLEFINANCE(C504, ""low"", TODAY()-40, TODAY()), ""SELECT Col2 WHERE Col2 IS NOT NULL OR"&amp;"DER BY Col1 DESC LIMIT 20"", 0) - 1)))"),"#N/A")</f>
        <v>#N/A</v>
      </c>
      <c r="H504" s="35" t="str">
        <f t="shared" si="6"/>
        <v/>
      </c>
      <c r="I504" s="36" t="str">
        <f t="shared" si="7"/>
        <v/>
      </c>
      <c r="J504" s="37" t="str">
        <f>IFERROR(__xludf.DUMMYFUNCTION("IFERROR(
  IF(C504="""",, 
    IFERROR(
      GOOGLEFINANCE(C504, ""price"") * GOOGLEFINANCE(C504, ""volumeavg""), 
      GOOGLEFINANCE(C504, ""price"") * AVERAGE(QUERY(GOOGLEFINANCE(C504, ""volume"", TODAY()-40, TODAY()), ""SELECT Col2 WHERE Col2 IS NOT "&amp;"NULL ORDER BY Col1 DESC LIMIT 20"", 0))
    )
  ), 
"""")"),"")</f>
        <v/>
      </c>
      <c r="K504" s="21" t="str">
        <f>IFERROR(__xludf.DUMMYFUNCTION("IFERROR(GOOGLEFINANCE(C504, ""changepct"") / 100, """")"),"")</f>
        <v/>
      </c>
      <c r="L504" s="21" t="str">
        <f>IFERROR(__xludf.DUMMYFUNCTION("IFERROR((GOOGLEFINANCE(C504, ""price"") / INDEX(GOOGLEFINANCE(C504, ""price"", TODAY()-7, TODAY()), 2, 2)) - 1, """")"),"")</f>
        <v/>
      </c>
      <c r="M504" s="21" t="str">
        <f>IFERROR(__xludf.DUMMYFUNCTION("IFERROR((GOOGLEFINANCE(C504, ""price"") / INDEX(GOOGLEFINANCE(C504, ""price"", EDATE(TODAY(), -1), TODAY()), 2, 2)) - 1, """")"),"")</f>
        <v/>
      </c>
      <c r="N504" s="21" t="str">
        <f>IFERROR(__xludf.DUMMYFUNCTION("IFERROR((GOOGLEFINANCE(C504, ""price"") / INDEX(GOOGLEFINANCE(C504, ""price"", EDATE(TODAY(), -3), TODAY()), 2, 2)) - 1, """")"),"")</f>
        <v/>
      </c>
      <c r="O504" s="21" t="str">
        <f>IFERROR(__xludf.DUMMYFUNCTION("IFERROR((GOOGLEFINANCE(C504, ""price"") / INDEX(GOOGLEFINANCE(C504, ""price"", EDATE(TODAY(), -6), TODAY()), 2, 2)) - 1, """")"),"")</f>
        <v/>
      </c>
      <c r="P504" s="21" t="str">
        <f>IFERROR(__xludf.DUMMYFUNCTION("IFERROR((GOOGLEFINANCE(C504, ""price"") / INDEX(GOOGLEFINANCE(C504, ""price"", EDATE(TODAY(), -12), TODAY()), 2, 2)) - 1, """")"),"")</f>
        <v/>
      </c>
      <c r="Q504" s="6" t="str">
        <f>IFERROR(__xludf.DUMMYFUNCTION("AVERAGE(QUERY(GOOGLEFINANCE(C504, ""price"", TODAY()-80, TODAY()), ""SELECT Col2 WHERE Col2 IS NOT NULL ORDER BY Col1 DESC LIMIT 50"", 0))"),"#N/A")</f>
        <v>#N/A</v>
      </c>
      <c r="R504" s="24" t="str">
        <f>IFERROR(__xludf.DUMMYFUNCTION("IFERROR(
  LET(
    data, QUERY(GOOGLEFINANCE(C504,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GOOGLEFINANCE(C504, ""price"")) * 100,
    IF(calc=0, G504, calc)
  ), 
G504)"),"#N/A")</f>
        <v>#N/A</v>
      </c>
      <c r="S504" s="8" t="s">
        <v>15</v>
      </c>
      <c r="T504" s="26" t="str">
        <f>IFERROR(__xludf.DUMMYFUNCTION("IFERROR(TRANSPOSE(QUERY(IFERROR(SORT(GOOGLEFINANCE(C504, ""price"", WORKDAY(TODAY(), -40), TODAY()), 1, FALSE)), ""select Col2 where Col2 is not null limit 22 label Col2 ''"", 0)), """")"),"")</f>
        <v/>
      </c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8"/>
      <c r="AO504" s="28"/>
      <c r="AP504" s="29"/>
      <c r="AQ504" s="29" t="str">
        <f t="shared" ref="AQ504:BL504" si="507">T504/T$2</f>
        <v>#N/A</v>
      </c>
      <c r="AR504" s="29" t="str">
        <f t="shared" si="507"/>
        <v>#DIV/0!</v>
      </c>
      <c r="AS504" s="29" t="str">
        <f t="shared" si="507"/>
        <v>#DIV/0!</v>
      </c>
      <c r="AT504" s="29" t="str">
        <f t="shared" si="507"/>
        <v>#DIV/0!</v>
      </c>
      <c r="AU504" s="29" t="str">
        <f t="shared" si="507"/>
        <v>#DIV/0!</v>
      </c>
      <c r="AV504" s="29" t="str">
        <f t="shared" si="507"/>
        <v>#DIV/0!</v>
      </c>
      <c r="AW504" s="29" t="str">
        <f t="shared" si="507"/>
        <v>#DIV/0!</v>
      </c>
      <c r="AX504" s="29" t="str">
        <f t="shared" si="507"/>
        <v>#DIV/0!</v>
      </c>
      <c r="AY504" s="29" t="str">
        <f t="shared" si="507"/>
        <v>#DIV/0!</v>
      </c>
      <c r="AZ504" s="29" t="str">
        <f t="shared" si="507"/>
        <v>#DIV/0!</v>
      </c>
      <c r="BA504" s="29" t="str">
        <f t="shared" si="507"/>
        <v>#DIV/0!</v>
      </c>
      <c r="BB504" s="29" t="str">
        <f t="shared" si="507"/>
        <v>#DIV/0!</v>
      </c>
      <c r="BC504" s="29" t="str">
        <f t="shared" si="507"/>
        <v>#DIV/0!</v>
      </c>
      <c r="BD504" s="29" t="str">
        <f t="shared" si="507"/>
        <v>#DIV/0!</v>
      </c>
      <c r="BE504" s="29" t="str">
        <f t="shared" si="507"/>
        <v>#DIV/0!</v>
      </c>
      <c r="BF504" s="29" t="str">
        <f t="shared" si="507"/>
        <v>#DIV/0!</v>
      </c>
      <c r="BG504" s="29" t="str">
        <f t="shared" si="507"/>
        <v>#DIV/0!</v>
      </c>
      <c r="BH504" s="29" t="str">
        <f t="shared" si="507"/>
        <v>#DIV/0!</v>
      </c>
      <c r="BI504" s="29" t="str">
        <f t="shared" si="507"/>
        <v>#DIV/0!</v>
      </c>
      <c r="BJ504" s="29" t="str">
        <f t="shared" si="507"/>
        <v>#DIV/0!</v>
      </c>
      <c r="BK504" s="29" t="str">
        <f t="shared" si="507"/>
        <v>#DIV/0!</v>
      </c>
      <c r="BL504" s="29" t="str">
        <f t="shared" si="507"/>
        <v>#DIV/0!</v>
      </c>
      <c r="BM504" s="29" t="str">
        <f t="shared" si="3"/>
        <v>#DIV/0!</v>
      </c>
    </row>
    <row r="505">
      <c r="A505" s="16" t="str">
        <f>IFERROR(__xludf.DUMMYFUNCTION("IFERROR(SPARKLINE(SORT(MAP(TRANSPOSE(AQ505:BL505), LAMBDA(val, IF(ISNUMBER(val), PERCENTRANK(AQ505:BL505, val)+0.01, 0))), SEQUENCE(COLUMNS(AQ505:BL505)), FALSE), {""charttype"",""column""; ""color"",""chartreuse""; ""ymin"", 0; ""ymax"", 1.01; ""highcolo"&amp;"r"", ""darkgreen""; ""lowcolor"", ""red""}), """")"),"")</f>
        <v/>
      </c>
      <c r="B505" s="17" t="str">
        <f t="shared" si="4"/>
        <v/>
      </c>
      <c r="C505" s="1" t="s">
        <v>2296</v>
      </c>
      <c r="D505" s="34" t="str">
        <f>IFERROR(__xludf.DUMMYFUNCTION("IFERROR(GOOGLEFINANCE(C505, ""NAME""))"),"Nu Holdings Ltd.")</f>
        <v>Nu Holdings Ltd.</v>
      </c>
      <c r="E505" s="30" t="s">
        <v>268</v>
      </c>
      <c r="F505" s="33" t="str">
        <f>IFERROR(__xludf.DUMMYFUNCTION("( (GOOGLEFINANCE(C505, ""price"") - Q505) / Q505 ) / (R505 / 100)"),"Loading...")</f>
        <v>Loading...</v>
      </c>
      <c r="G505" s="20" t="str">
        <f>IFERROR(__xludf.DUMMYFUNCTION("AVERAGE(ARRAYFORMULA(100 * (QUERY(GOOGLEFINANCE(C505, ""high"", TODAY()-40, TODAY()), ""SELECT Col2 WHERE Col2 IS NOT NULL ORDER BY Col1 DESC LIMIT 20"", 0) / QUERY(GOOGLEFINANCE(C505, ""low"", TODAY()-40, TODAY()), ""SELECT Col2 WHERE Col2 IS NOT NULL OR"&amp;"DER BY Col1 DESC LIMIT 20"", 0) - 1)))"),"#N/A")</f>
        <v>#N/A</v>
      </c>
      <c r="H505" s="35" t="str">
        <f t="shared" si="6"/>
        <v/>
      </c>
      <c r="I505" s="36" t="str">
        <f t="shared" si="7"/>
        <v/>
      </c>
      <c r="J505" s="37" t="str">
        <f>IFERROR(__xludf.DUMMYFUNCTION("IFERROR(
  IF(C505="""",, 
    IFERROR(
      GOOGLEFINANCE(C505, ""price"") * GOOGLEFINANCE(C505, ""volumeavg""), 
      GOOGLEFINANCE(C505, ""price"") * AVERAGE(QUERY(GOOGLEFINANCE(C505, ""volume"", TODAY()-40, TODAY()), ""SELECT Col2 WHERE Col2 IS NOT "&amp;"NULL ORDER BY Col1 DESC LIMIT 20"", 0))
    )
  ), 
"""")"),"")</f>
        <v/>
      </c>
      <c r="K505" s="21" t="str">
        <f>IFERROR(__xludf.DUMMYFUNCTION("IFERROR(GOOGLEFINANCE(C505, ""changepct"") / 100, """")"),"")</f>
        <v/>
      </c>
      <c r="L505" s="21" t="str">
        <f>IFERROR(__xludf.DUMMYFUNCTION("IFERROR((GOOGLEFINANCE(C505, ""price"") / INDEX(GOOGLEFINANCE(C505, ""price"", TODAY()-7, TODAY()), 2, 2)) - 1, """")"),"")</f>
        <v/>
      </c>
      <c r="M505" s="21" t="str">
        <f>IFERROR(__xludf.DUMMYFUNCTION("IFERROR((GOOGLEFINANCE(C505, ""price"") / INDEX(GOOGLEFINANCE(C505, ""price"", EDATE(TODAY(), -1), TODAY()), 2, 2)) - 1, """")"),"")</f>
        <v/>
      </c>
      <c r="N505" s="21" t="str">
        <f>IFERROR(__xludf.DUMMYFUNCTION("IFERROR((GOOGLEFINANCE(C505, ""price"") / INDEX(GOOGLEFINANCE(C505, ""price"", EDATE(TODAY(), -3), TODAY()), 2, 2)) - 1, """")"),"")</f>
        <v/>
      </c>
      <c r="O505" s="21" t="str">
        <f>IFERROR(__xludf.DUMMYFUNCTION("IFERROR((GOOGLEFINANCE(C505, ""price"") / INDEX(GOOGLEFINANCE(C505, ""price"", EDATE(TODAY(), -6), TODAY()), 2, 2)) - 1, """")"),"")</f>
        <v/>
      </c>
      <c r="P505" s="21" t="str">
        <f>IFERROR(__xludf.DUMMYFUNCTION("IFERROR((GOOGLEFINANCE(C505, ""price"") / INDEX(GOOGLEFINANCE(C505, ""price"", EDATE(TODAY(), -12), TODAY()), 2, 2)) - 1, """")"),"")</f>
        <v/>
      </c>
      <c r="Q505" s="6" t="str">
        <f>IFERROR(__xludf.DUMMYFUNCTION("AVERAGE(QUERY(GOOGLEFINANCE(C505, ""price"", TODAY()-80, TODAY()), ""SELECT Col2 WHERE Col2 IS NOT NULL ORDER BY Col1 DESC LIMIT 50"", 0))"),"#N/A")</f>
        <v>#N/A</v>
      </c>
      <c r="R505" s="24" t="str">
        <f>IFERROR(__xludf.DUMMYFUNCTION("IFERROR(
  LET(
    data, QUERY(GOOGLEFINANCE(C505,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GOOGLEFINANCE(C505, ""price"")) * 100,
    IF(calc=0, G505, calc)
  ), 
G505)"),"#N/A")</f>
        <v>#N/A</v>
      </c>
      <c r="S505" s="8" t="s">
        <v>15</v>
      </c>
      <c r="T505" s="26" t="str">
        <f>IFERROR(__xludf.DUMMYFUNCTION("IFERROR(TRANSPOSE(QUERY(IFERROR(SORT(GOOGLEFINANCE(C505, ""price"", WORKDAY(TODAY(), -40), TODAY()), 1, FALSE)), ""select Col2 where Col2 is not null limit 22 label Col2 ''"", 0)), """")"),"")</f>
        <v/>
      </c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8"/>
      <c r="AO505" s="28"/>
      <c r="AP505" s="29"/>
      <c r="AQ505" s="29" t="str">
        <f t="shared" ref="AQ505:BL505" si="508">T505/T$2</f>
        <v>#N/A</v>
      </c>
      <c r="AR505" s="29" t="str">
        <f t="shared" si="508"/>
        <v>#DIV/0!</v>
      </c>
      <c r="AS505" s="29" t="str">
        <f t="shared" si="508"/>
        <v>#DIV/0!</v>
      </c>
      <c r="AT505" s="29" t="str">
        <f t="shared" si="508"/>
        <v>#DIV/0!</v>
      </c>
      <c r="AU505" s="29" t="str">
        <f t="shared" si="508"/>
        <v>#DIV/0!</v>
      </c>
      <c r="AV505" s="29" t="str">
        <f t="shared" si="508"/>
        <v>#DIV/0!</v>
      </c>
      <c r="AW505" s="29" t="str">
        <f t="shared" si="508"/>
        <v>#DIV/0!</v>
      </c>
      <c r="AX505" s="29" t="str">
        <f t="shared" si="508"/>
        <v>#DIV/0!</v>
      </c>
      <c r="AY505" s="29" t="str">
        <f t="shared" si="508"/>
        <v>#DIV/0!</v>
      </c>
      <c r="AZ505" s="29" t="str">
        <f t="shared" si="508"/>
        <v>#DIV/0!</v>
      </c>
      <c r="BA505" s="29" t="str">
        <f t="shared" si="508"/>
        <v>#DIV/0!</v>
      </c>
      <c r="BB505" s="29" t="str">
        <f t="shared" si="508"/>
        <v>#DIV/0!</v>
      </c>
      <c r="BC505" s="29" t="str">
        <f t="shared" si="508"/>
        <v>#DIV/0!</v>
      </c>
      <c r="BD505" s="29" t="str">
        <f t="shared" si="508"/>
        <v>#DIV/0!</v>
      </c>
      <c r="BE505" s="29" t="str">
        <f t="shared" si="508"/>
        <v>#DIV/0!</v>
      </c>
      <c r="BF505" s="29" t="str">
        <f t="shared" si="508"/>
        <v>#DIV/0!</v>
      </c>
      <c r="BG505" s="29" t="str">
        <f t="shared" si="508"/>
        <v>#DIV/0!</v>
      </c>
      <c r="BH505" s="29" t="str">
        <f t="shared" si="508"/>
        <v>#DIV/0!</v>
      </c>
      <c r="BI505" s="29" t="str">
        <f t="shared" si="508"/>
        <v>#DIV/0!</v>
      </c>
      <c r="BJ505" s="29" t="str">
        <f t="shared" si="508"/>
        <v>#DIV/0!</v>
      </c>
      <c r="BK505" s="29" t="str">
        <f t="shared" si="508"/>
        <v>#DIV/0!</v>
      </c>
      <c r="BL505" s="29" t="str">
        <f t="shared" si="508"/>
        <v>#DIV/0!</v>
      </c>
      <c r="BM505" s="29" t="str">
        <f t="shared" si="3"/>
        <v>#DIV/0!</v>
      </c>
    </row>
    <row r="506">
      <c r="A506" s="16" t="str">
        <f>IFERROR(__xludf.DUMMYFUNCTION("IFERROR(SPARKLINE(SORT(MAP(TRANSPOSE(AQ506:BL506), LAMBDA(val, IF(ISNUMBER(val), PERCENTRANK(AQ506:BL506, val)+0.01, 0))), SEQUENCE(COLUMNS(AQ506:BL506)), FALSE), {""charttype"",""column""; ""color"",""chartreuse""; ""ymin"", 0; ""ymax"", 1.01; ""highcolo"&amp;"r"", ""darkgreen""; ""lowcolor"", ""red""}), """")"),"")</f>
        <v/>
      </c>
      <c r="B506" s="17" t="str">
        <f t="shared" si="4"/>
        <v/>
      </c>
      <c r="C506" s="1" t="s">
        <v>2300</v>
      </c>
      <c r="D506" s="34" t="str">
        <f>IFERROR(__xludf.DUMMYFUNCTION("IFERROR(GOOGLEFINANCE(C506, ""NAME""))"),"First Bancorp Inc")</f>
        <v>First Bancorp Inc</v>
      </c>
      <c r="E506" s="30" t="s">
        <v>268</v>
      </c>
      <c r="F506" s="33" t="str">
        <f>IFERROR(__xludf.DUMMYFUNCTION("( (GOOGLEFINANCE(C506, ""price"") - Q506) / Q506 ) / (R506 / 100)"),"Loading...")</f>
        <v>Loading...</v>
      </c>
      <c r="G506" s="20" t="str">
        <f>IFERROR(__xludf.DUMMYFUNCTION("AVERAGE(ARRAYFORMULA(100 * (QUERY(GOOGLEFINANCE(C506, ""high"", TODAY()-40, TODAY()), ""SELECT Col2 WHERE Col2 IS NOT NULL ORDER BY Col1 DESC LIMIT 20"", 0) / QUERY(GOOGLEFINANCE(C506, ""low"", TODAY()-40, TODAY()), ""SELECT Col2 WHERE Col2 IS NOT NULL OR"&amp;"DER BY Col1 DESC LIMIT 20"", 0) - 1)))"),"#N/A")</f>
        <v>#N/A</v>
      </c>
      <c r="H506" s="35" t="str">
        <f t="shared" si="6"/>
        <v/>
      </c>
      <c r="I506" s="36" t="str">
        <f t="shared" si="7"/>
        <v/>
      </c>
      <c r="J506" s="37" t="str">
        <f>IFERROR(__xludf.DUMMYFUNCTION("IFERROR(
  IF(C506="""",, 
    IFERROR(
      GOOGLEFINANCE(C506, ""price"") * GOOGLEFINANCE(C506, ""volumeavg""), 
      GOOGLEFINANCE(C506, ""price"") * AVERAGE(QUERY(GOOGLEFINANCE(C506, ""volume"", TODAY()-40, TODAY()), ""SELECT Col2 WHERE Col2 IS NOT "&amp;"NULL ORDER BY Col1 DESC LIMIT 20"", 0))
    )
  ), 
"""")"),"")</f>
        <v/>
      </c>
      <c r="K506" s="21" t="str">
        <f>IFERROR(__xludf.DUMMYFUNCTION("IFERROR(GOOGLEFINANCE(C506, ""changepct"") / 100, """")"),"")</f>
        <v/>
      </c>
      <c r="L506" s="21" t="str">
        <f>IFERROR(__xludf.DUMMYFUNCTION("IFERROR((GOOGLEFINANCE(C506, ""price"") / INDEX(GOOGLEFINANCE(C506, ""price"", TODAY()-7, TODAY()), 2, 2)) - 1, """")"),"")</f>
        <v/>
      </c>
      <c r="M506" s="21" t="str">
        <f>IFERROR(__xludf.DUMMYFUNCTION("IFERROR((GOOGLEFINANCE(C506, ""price"") / INDEX(GOOGLEFINANCE(C506, ""price"", EDATE(TODAY(), -1), TODAY()), 2, 2)) - 1, """")"),"")</f>
        <v/>
      </c>
      <c r="N506" s="21" t="str">
        <f>IFERROR(__xludf.DUMMYFUNCTION("IFERROR((GOOGLEFINANCE(C506, ""price"") / INDEX(GOOGLEFINANCE(C506, ""price"", EDATE(TODAY(), -3), TODAY()), 2, 2)) - 1, """")"),"")</f>
        <v/>
      </c>
      <c r="O506" s="21" t="str">
        <f>IFERROR(__xludf.DUMMYFUNCTION("IFERROR((GOOGLEFINANCE(C506, ""price"") / INDEX(GOOGLEFINANCE(C506, ""price"", EDATE(TODAY(), -6), TODAY()), 2, 2)) - 1, """")"),"")</f>
        <v/>
      </c>
      <c r="P506" s="21" t="str">
        <f>IFERROR(__xludf.DUMMYFUNCTION("IFERROR((GOOGLEFINANCE(C506, ""price"") / INDEX(GOOGLEFINANCE(C506, ""price"", EDATE(TODAY(), -12), TODAY()), 2, 2)) - 1, """")"),"")</f>
        <v/>
      </c>
      <c r="Q506" s="6" t="str">
        <f>IFERROR(__xludf.DUMMYFUNCTION("AVERAGE(QUERY(GOOGLEFINANCE(C506, ""price"", TODAY()-80, TODAY()), ""SELECT Col2 WHERE Col2 IS NOT NULL ORDER BY Col1 DESC LIMIT 50"", 0))"),"#N/A")</f>
        <v>#N/A</v>
      </c>
      <c r="R506" s="24" t="str">
        <f>IFERROR(__xludf.DUMMYFUNCTION("IFERROR(
  LET(
    data, QUERY(GOOGLEFINANCE(C506,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GOOGLEFINANCE(C506, ""price"")) * 100,
    IF(calc=0, G506, calc)
  ), 
G506)"),"#N/A")</f>
        <v>#N/A</v>
      </c>
      <c r="S506" s="8" t="s">
        <v>15</v>
      </c>
      <c r="T506" s="26" t="str">
        <f>IFERROR(__xludf.DUMMYFUNCTION("IFERROR(TRANSPOSE(QUERY(IFERROR(SORT(GOOGLEFINANCE(C506, ""price"", WORKDAY(TODAY(), -40), TODAY()), 1, FALSE)), ""select Col2 where Col2 is not null limit 22 label Col2 ''"", 0)), """")"),"")</f>
        <v/>
      </c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8"/>
      <c r="AO506" s="28"/>
      <c r="AP506" s="29"/>
      <c r="AQ506" s="29" t="str">
        <f t="shared" ref="AQ506:BL506" si="509">T506/T$2</f>
        <v>#N/A</v>
      </c>
      <c r="AR506" s="29" t="str">
        <f t="shared" si="509"/>
        <v>#DIV/0!</v>
      </c>
      <c r="AS506" s="29" t="str">
        <f t="shared" si="509"/>
        <v>#DIV/0!</v>
      </c>
      <c r="AT506" s="29" t="str">
        <f t="shared" si="509"/>
        <v>#DIV/0!</v>
      </c>
      <c r="AU506" s="29" t="str">
        <f t="shared" si="509"/>
        <v>#DIV/0!</v>
      </c>
      <c r="AV506" s="29" t="str">
        <f t="shared" si="509"/>
        <v>#DIV/0!</v>
      </c>
      <c r="AW506" s="29" t="str">
        <f t="shared" si="509"/>
        <v>#DIV/0!</v>
      </c>
      <c r="AX506" s="29" t="str">
        <f t="shared" si="509"/>
        <v>#DIV/0!</v>
      </c>
      <c r="AY506" s="29" t="str">
        <f t="shared" si="509"/>
        <v>#DIV/0!</v>
      </c>
      <c r="AZ506" s="29" t="str">
        <f t="shared" si="509"/>
        <v>#DIV/0!</v>
      </c>
      <c r="BA506" s="29" t="str">
        <f t="shared" si="509"/>
        <v>#DIV/0!</v>
      </c>
      <c r="BB506" s="29" t="str">
        <f t="shared" si="509"/>
        <v>#DIV/0!</v>
      </c>
      <c r="BC506" s="29" t="str">
        <f t="shared" si="509"/>
        <v>#DIV/0!</v>
      </c>
      <c r="BD506" s="29" t="str">
        <f t="shared" si="509"/>
        <v>#DIV/0!</v>
      </c>
      <c r="BE506" s="29" t="str">
        <f t="shared" si="509"/>
        <v>#DIV/0!</v>
      </c>
      <c r="BF506" s="29" t="str">
        <f t="shared" si="509"/>
        <v>#DIV/0!</v>
      </c>
      <c r="BG506" s="29" t="str">
        <f t="shared" si="509"/>
        <v>#DIV/0!</v>
      </c>
      <c r="BH506" s="29" t="str">
        <f t="shared" si="509"/>
        <v>#DIV/0!</v>
      </c>
      <c r="BI506" s="29" t="str">
        <f t="shared" si="509"/>
        <v>#DIV/0!</v>
      </c>
      <c r="BJ506" s="29" t="str">
        <f t="shared" si="509"/>
        <v>#DIV/0!</v>
      </c>
      <c r="BK506" s="29" t="str">
        <f t="shared" si="509"/>
        <v>#DIV/0!</v>
      </c>
      <c r="BL506" s="29" t="str">
        <f t="shared" si="509"/>
        <v>#DIV/0!</v>
      </c>
      <c r="BM506" s="29" t="str">
        <f t="shared" si="3"/>
        <v>#DIV/0!</v>
      </c>
    </row>
    <row r="507">
      <c r="A507" s="16" t="str">
        <f>IFERROR(__xludf.DUMMYFUNCTION("IFERROR(SPARKLINE(SORT(MAP(TRANSPOSE(AQ507:BL507), LAMBDA(val, IF(ISNUMBER(val), PERCENTRANK(AQ507:BL507, val)+0.01, 0))), SEQUENCE(COLUMNS(AQ507:BL507)), FALSE), {""charttype"",""column""; ""color"",""chartreuse""; ""ymin"", 0; ""ymax"", 1.01; ""highcolo"&amp;"r"", ""darkgreen""; ""lowcolor"", ""red""}), """")"),"")</f>
        <v/>
      </c>
      <c r="B507" s="17" t="str">
        <f t="shared" si="4"/>
        <v/>
      </c>
      <c r="C507" s="1" t="s">
        <v>2304</v>
      </c>
      <c r="D507" s="34" t="str">
        <f>IFERROR(__xludf.DUMMYFUNCTION("IFERROR(GOOGLEFINANCE(C507, ""NAME""))"),"Eagle Bancorp Inc")</f>
        <v>Eagle Bancorp Inc</v>
      </c>
      <c r="E507" s="30" t="s">
        <v>268</v>
      </c>
      <c r="F507" s="33" t="str">
        <f>IFERROR(__xludf.DUMMYFUNCTION("( (GOOGLEFINANCE(C507, ""price"") - Q507) / Q507 ) / (R507 / 100)"),"Loading...")</f>
        <v>Loading...</v>
      </c>
      <c r="G507" s="20" t="str">
        <f>IFERROR(__xludf.DUMMYFUNCTION("AVERAGE(ARRAYFORMULA(100 * (QUERY(GOOGLEFINANCE(C507, ""high"", TODAY()-40, TODAY()), ""SELECT Col2 WHERE Col2 IS NOT NULL ORDER BY Col1 DESC LIMIT 20"", 0) / QUERY(GOOGLEFINANCE(C507, ""low"", TODAY()-40, TODAY()), ""SELECT Col2 WHERE Col2 IS NOT NULL OR"&amp;"DER BY Col1 DESC LIMIT 20"", 0) - 1)))"),"#N/A")</f>
        <v>#N/A</v>
      </c>
      <c r="H507" s="35" t="str">
        <f t="shared" si="6"/>
        <v/>
      </c>
      <c r="I507" s="36" t="str">
        <f t="shared" si="7"/>
        <v/>
      </c>
      <c r="J507" s="37" t="str">
        <f>IFERROR(__xludf.DUMMYFUNCTION("IFERROR(
  IF(C507="""",, 
    IFERROR(
      GOOGLEFINANCE(C507, ""price"") * GOOGLEFINANCE(C507, ""volumeavg""), 
      GOOGLEFINANCE(C507, ""price"") * AVERAGE(QUERY(GOOGLEFINANCE(C507, ""volume"", TODAY()-40, TODAY()), ""SELECT Col2 WHERE Col2 IS NOT "&amp;"NULL ORDER BY Col1 DESC LIMIT 20"", 0))
    )
  ), 
"""")"),"")</f>
        <v/>
      </c>
      <c r="K507" s="21" t="str">
        <f>IFERROR(__xludf.DUMMYFUNCTION("IFERROR(GOOGLEFINANCE(C507, ""changepct"") / 100, """")"),"")</f>
        <v/>
      </c>
      <c r="L507" s="21" t="str">
        <f>IFERROR(__xludf.DUMMYFUNCTION("IFERROR((GOOGLEFINANCE(C507, ""price"") / INDEX(GOOGLEFINANCE(C507, ""price"", TODAY()-7, TODAY()), 2, 2)) - 1, """")"),"")</f>
        <v/>
      </c>
      <c r="M507" s="21" t="str">
        <f>IFERROR(__xludf.DUMMYFUNCTION("IFERROR((GOOGLEFINANCE(C507, ""price"") / INDEX(GOOGLEFINANCE(C507, ""price"", EDATE(TODAY(), -1), TODAY()), 2, 2)) - 1, """")"),"")</f>
        <v/>
      </c>
      <c r="N507" s="21" t="str">
        <f>IFERROR(__xludf.DUMMYFUNCTION("IFERROR((GOOGLEFINANCE(C507, ""price"") / INDEX(GOOGLEFINANCE(C507, ""price"", EDATE(TODAY(), -3), TODAY()), 2, 2)) - 1, """")"),"")</f>
        <v/>
      </c>
      <c r="O507" s="21" t="str">
        <f>IFERROR(__xludf.DUMMYFUNCTION("IFERROR((GOOGLEFINANCE(C507, ""price"") / INDEX(GOOGLEFINANCE(C507, ""price"", EDATE(TODAY(), -6), TODAY()), 2, 2)) - 1, """")"),"")</f>
        <v/>
      </c>
      <c r="P507" s="21" t="str">
        <f>IFERROR(__xludf.DUMMYFUNCTION("IFERROR((GOOGLEFINANCE(C507, ""price"") / INDEX(GOOGLEFINANCE(C507, ""price"", EDATE(TODAY(), -12), TODAY()), 2, 2)) - 1, """")"),"")</f>
        <v/>
      </c>
      <c r="Q507" s="6" t="str">
        <f>IFERROR(__xludf.DUMMYFUNCTION("AVERAGE(QUERY(GOOGLEFINANCE(C507, ""price"", TODAY()-80, TODAY()), ""SELECT Col2 WHERE Col2 IS NOT NULL ORDER BY Col1 DESC LIMIT 50"", 0))"),"#N/A")</f>
        <v>#N/A</v>
      </c>
      <c r="R507" s="24" t="str">
        <f>IFERROR(__xludf.DUMMYFUNCTION("IFERROR(
  LET(
    data, QUERY(GOOGLEFINANCE(C507,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GOOGLEFINANCE(C507, ""price"")) * 100,
    IF(calc=0, G507, calc)
  ), 
G507)"),"#N/A")</f>
        <v>#N/A</v>
      </c>
      <c r="S507" s="8" t="s">
        <v>15</v>
      </c>
      <c r="T507" s="26" t="str">
        <f>IFERROR(__xludf.DUMMYFUNCTION("IFERROR(TRANSPOSE(QUERY(IFERROR(SORT(GOOGLEFINANCE(C507, ""price"", WORKDAY(TODAY(), -40), TODAY()), 1, FALSE)), ""select Col2 where Col2 is not null limit 22 label Col2 ''"", 0)), """")"),"")</f>
        <v/>
      </c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8"/>
      <c r="AO507" s="28"/>
      <c r="AP507" s="29"/>
      <c r="AQ507" s="29" t="str">
        <f t="shared" ref="AQ507:BL507" si="510">T507/T$2</f>
        <v>#N/A</v>
      </c>
      <c r="AR507" s="29" t="str">
        <f t="shared" si="510"/>
        <v>#DIV/0!</v>
      </c>
      <c r="AS507" s="29" t="str">
        <f t="shared" si="510"/>
        <v>#DIV/0!</v>
      </c>
      <c r="AT507" s="29" t="str">
        <f t="shared" si="510"/>
        <v>#DIV/0!</v>
      </c>
      <c r="AU507" s="29" t="str">
        <f t="shared" si="510"/>
        <v>#DIV/0!</v>
      </c>
      <c r="AV507" s="29" t="str">
        <f t="shared" si="510"/>
        <v>#DIV/0!</v>
      </c>
      <c r="AW507" s="29" t="str">
        <f t="shared" si="510"/>
        <v>#DIV/0!</v>
      </c>
      <c r="AX507" s="29" t="str">
        <f t="shared" si="510"/>
        <v>#DIV/0!</v>
      </c>
      <c r="AY507" s="29" t="str">
        <f t="shared" si="510"/>
        <v>#DIV/0!</v>
      </c>
      <c r="AZ507" s="29" t="str">
        <f t="shared" si="510"/>
        <v>#DIV/0!</v>
      </c>
      <c r="BA507" s="29" t="str">
        <f t="shared" si="510"/>
        <v>#DIV/0!</v>
      </c>
      <c r="BB507" s="29" t="str">
        <f t="shared" si="510"/>
        <v>#DIV/0!</v>
      </c>
      <c r="BC507" s="29" t="str">
        <f t="shared" si="510"/>
        <v>#DIV/0!</v>
      </c>
      <c r="BD507" s="29" t="str">
        <f t="shared" si="510"/>
        <v>#DIV/0!</v>
      </c>
      <c r="BE507" s="29" t="str">
        <f t="shared" si="510"/>
        <v>#DIV/0!</v>
      </c>
      <c r="BF507" s="29" t="str">
        <f t="shared" si="510"/>
        <v>#DIV/0!</v>
      </c>
      <c r="BG507" s="29" t="str">
        <f t="shared" si="510"/>
        <v>#DIV/0!</v>
      </c>
      <c r="BH507" s="29" t="str">
        <f t="shared" si="510"/>
        <v>#DIV/0!</v>
      </c>
      <c r="BI507" s="29" t="str">
        <f t="shared" si="510"/>
        <v>#DIV/0!</v>
      </c>
      <c r="BJ507" s="29" t="str">
        <f t="shared" si="510"/>
        <v>#DIV/0!</v>
      </c>
      <c r="BK507" s="29" t="str">
        <f t="shared" si="510"/>
        <v>#DIV/0!</v>
      </c>
      <c r="BL507" s="29" t="str">
        <f t="shared" si="510"/>
        <v>#DIV/0!</v>
      </c>
      <c r="BM507" s="29" t="str">
        <f t="shared" si="3"/>
        <v>#DIV/0!</v>
      </c>
    </row>
    <row r="508">
      <c r="A508" s="16" t="str">
        <f>IFERROR(__xludf.DUMMYFUNCTION("IFERROR(SPARKLINE(SORT(MAP(TRANSPOSE(AQ508:BL508), LAMBDA(val, IF(ISNUMBER(val), PERCENTRANK(AQ508:BL508, val)+0.01, 0))), SEQUENCE(COLUMNS(AQ508:BL508)), FALSE), {""charttype"",""column""; ""color"",""chartreuse""; ""ymin"", 0; ""ymax"", 1.01; ""highcolo"&amp;"r"", ""darkgreen""; ""lowcolor"", ""red""}), """")"),"")</f>
        <v/>
      </c>
      <c r="B508" s="17" t="str">
        <f t="shared" si="4"/>
        <v/>
      </c>
      <c r="C508" s="1" t="s">
        <v>2307</v>
      </c>
      <c r="D508" s="34" t="str">
        <f>IFERROR(__xludf.DUMMYFUNCTION("IFERROR(GOOGLEFINANCE(C508, ""NAME""))"),"South Plains Financial Inc")</f>
        <v>South Plains Financial Inc</v>
      </c>
      <c r="E508" s="30" t="s">
        <v>268</v>
      </c>
      <c r="F508" s="33" t="str">
        <f>IFERROR(__xludf.DUMMYFUNCTION("( (GOOGLEFINANCE(C508, ""price"") - Q508) / Q508 ) / (R508 / 100)"),"Loading...")</f>
        <v>Loading...</v>
      </c>
      <c r="G508" s="20" t="str">
        <f>IFERROR(__xludf.DUMMYFUNCTION("AVERAGE(ARRAYFORMULA(100 * (QUERY(GOOGLEFINANCE(C508, ""high"", TODAY()-40, TODAY()), ""SELECT Col2 WHERE Col2 IS NOT NULL ORDER BY Col1 DESC LIMIT 20"", 0) / QUERY(GOOGLEFINANCE(C508, ""low"", TODAY()-40, TODAY()), ""SELECT Col2 WHERE Col2 IS NOT NULL OR"&amp;"DER BY Col1 DESC LIMIT 20"", 0) - 1)))"),"#N/A")</f>
        <v>#N/A</v>
      </c>
      <c r="H508" s="35" t="str">
        <f t="shared" si="6"/>
        <v/>
      </c>
      <c r="I508" s="36" t="str">
        <f t="shared" si="7"/>
        <v/>
      </c>
      <c r="J508" s="37" t="str">
        <f>IFERROR(__xludf.DUMMYFUNCTION("IFERROR(
  IF(C508="""",, 
    IFERROR(
      GOOGLEFINANCE(C508, ""price"") * GOOGLEFINANCE(C508, ""volumeavg""), 
      GOOGLEFINANCE(C508, ""price"") * AVERAGE(QUERY(GOOGLEFINANCE(C508, ""volume"", TODAY()-40, TODAY()), ""SELECT Col2 WHERE Col2 IS NOT "&amp;"NULL ORDER BY Col1 DESC LIMIT 20"", 0))
    )
  ), 
"""")"),"")</f>
        <v/>
      </c>
      <c r="K508" s="21" t="str">
        <f>IFERROR(__xludf.DUMMYFUNCTION("IFERROR(GOOGLEFINANCE(C508, ""changepct"") / 100, """")"),"")</f>
        <v/>
      </c>
      <c r="L508" s="21" t="str">
        <f>IFERROR(__xludf.DUMMYFUNCTION("IFERROR((GOOGLEFINANCE(C508, ""price"") / INDEX(GOOGLEFINANCE(C508, ""price"", TODAY()-7, TODAY()), 2, 2)) - 1, """")"),"")</f>
        <v/>
      </c>
      <c r="M508" s="21" t="str">
        <f>IFERROR(__xludf.DUMMYFUNCTION("IFERROR((GOOGLEFINANCE(C508, ""price"") / INDEX(GOOGLEFINANCE(C508, ""price"", EDATE(TODAY(), -1), TODAY()), 2, 2)) - 1, """")"),"")</f>
        <v/>
      </c>
      <c r="N508" s="21" t="str">
        <f>IFERROR(__xludf.DUMMYFUNCTION("IFERROR((GOOGLEFINANCE(C508, ""price"") / INDEX(GOOGLEFINANCE(C508, ""price"", EDATE(TODAY(), -3), TODAY()), 2, 2)) - 1, """")"),"")</f>
        <v/>
      </c>
      <c r="O508" s="21" t="str">
        <f>IFERROR(__xludf.DUMMYFUNCTION("IFERROR((GOOGLEFINANCE(C508, ""price"") / INDEX(GOOGLEFINANCE(C508, ""price"", EDATE(TODAY(), -6), TODAY()), 2, 2)) - 1, """")"),"")</f>
        <v/>
      </c>
      <c r="P508" s="21" t="str">
        <f>IFERROR(__xludf.DUMMYFUNCTION("IFERROR((GOOGLEFINANCE(C508, ""price"") / INDEX(GOOGLEFINANCE(C508, ""price"", EDATE(TODAY(), -12), TODAY()), 2, 2)) - 1, """")"),"")</f>
        <v/>
      </c>
      <c r="Q508" s="6" t="str">
        <f>IFERROR(__xludf.DUMMYFUNCTION("AVERAGE(QUERY(GOOGLEFINANCE(C508, ""price"", TODAY()-80, TODAY()), ""SELECT Col2 WHERE Col2 IS NOT NULL ORDER BY Col1 DESC LIMIT 50"", 0))"),"#N/A")</f>
        <v>#N/A</v>
      </c>
      <c r="R508" s="24" t="str">
        <f>IFERROR(__xludf.DUMMYFUNCTION("IFERROR(
  LET(
    data, QUERY(GOOGLEFINANCE(C508,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GOOGLEFINANCE(C508, ""price"")) * 100,
    IF(calc=0, G508, calc)
  ), 
G508)"),"#N/A")</f>
        <v>#N/A</v>
      </c>
      <c r="S508" s="8" t="s">
        <v>15</v>
      </c>
      <c r="T508" s="26" t="str">
        <f>IFERROR(__xludf.DUMMYFUNCTION("IFERROR(TRANSPOSE(QUERY(IFERROR(SORT(GOOGLEFINANCE(C508, ""price"", WORKDAY(TODAY(), -40), TODAY()), 1, FALSE)), ""select Col2 where Col2 is not null limit 22 label Col2 ''"", 0)), """")"),"")</f>
        <v/>
      </c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8"/>
      <c r="AO508" s="28"/>
      <c r="AP508" s="29"/>
      <c r="AQ508" s="29" t="str">
        <f t="shared" ref="AQ508:BL508" si="511">T508/T$2</f>
        <v>#N/A</v>
      </c>
      <c r="AR508" s="29" t="str">
        <f t="shared" si="511"/>
        <v>#DIV/0!</v>
      </c>
      <c r="AS508" s="29" t="str">
        <f t="shared" si="511"/>
        <v>#DIV/0!</v>
      </c>
      <c r="AT508" s="29" t="str">
        <f t="shared" si="511"/>
        <v>#DIV/0!</v>
      </c>
      <c r="AU508" s="29" t="str">
        <f t="shared" si="511"/>
        <v>#DIV/0!</v>
      </c>
      <c r="AV508" s="29" t="str">
        <f t="shared" si="511"/>
        <v>#DIV/0!</v>
      </c>
      <c r="AW508" s="29" t="str">
        <f t="shared" si="511"/>
        <v>#DIV/0!</v>
      </c>
      <c r="AX508" s="29" t="str">
        <f t="shared" si="511"/>
        <v>#DIV/0!</v>
      </c>
      <c r="AY508" s="29" t="str">
        <f t="shared" si="511"/>
        <v>#DIV/0!</v>
      </c>
      <c r="AZ508" s="29" t="str">
        <f t="shared" si="511"/>
        <v>#DIV/0!</v>
      </c>
      <c r="BA508" s="29" t="str">
        <f t="shared" si="511"/>
        <v>#DIV/0!</v>
      </c>
      <c r="BB508" s="29" t="str">
        <f t="shared" si="511"/>
        <v>#DIV/0!</v>
      </c>
      <c r="BC508" s="29" t="str">
        <f t="shared" si="511"/>
        <v>#DIV/0!</v>
      </c>
      <c r="BD508" s="29" t="str">
        <f t="shared" si="511"/>
        <v>#DIV/0!</v>
      </c>
      <c r="BE508" s="29" t="str">
        <f t="shared" si="511"/>
        <v>#DIV/0!</v>
      </c>
      <c r="BF508" s="29" t="str">
        <f t="shared" si="511"/>
        <v>#DIV/0!</v>
      </c>
      <c r="BG508" s="29" t="str">
        <f t="shared" si="511"/>
        <v>#DIV/0!</v>
      </c>
      <c r="BH508" s="29" t="str">
        <f t="shared" si="511"/>
        <v>#DIV/0!</v>
      </c>
      <c r="BI508" s="29" t="str">
        <f t="shared" si="511"/>
        <v>#DIV/0!</v>
      </c>
      <c r="BJ508" s="29" t="str">
        <f t="shared" si="511"/>
        <v>#DIV/0!</v>
      </c>
      <c r="BK508" s="29" t="str">
        <f t="shared" si="511"/>
        <v>#DIV/0!</v>
      </c>
      <c r="BL508" s="29" t="str">
        <f t="shared" si="511"/>
        <v>#DIV/0!</v>
      </c>
      <c r="BM508" s="29" t="str">
        <f t="shared" si="3"/>
        <v>#DIV/0!</v>
      </c>
    </row>
    <row r="509">
      <c r="A509" s="16" t="str">
        <f>IFERROR(__xludf.DUMMYFUNCTION("IFERROR(SPARKLINE(SORT(MAP(TRANSPOSE(AQ509:BL509), LAMBDA(val, IF(ISNUMBER(val), PERCENTRANK(AQ509:BL509, val)+0.01, 0))), SEQUENCE(COLUMNS(AQ509:BL509)), FALSE), {""charttype"",""column""; ""color"",""chartreuse""; ""ymin"", 0; ""ymax"", 1.01; ""highcolo"&amp;"r"", ""darkgreen""; ""lowcolor"", ""red""}), """")"),"")</f>
        <v/>
      </c>
      <c r="B509" s="17" t="str">
        <f t="shared" si="4"/>
        <v/>
      </c>
      <c r="C509" s="1" t="s">
        <v>2313</v>
      </c>
      <c r="D509" s="34" t="str">
        <f>IFERROR(__xludf.DUMMYFUNCTION("IFERROR(GOOGLEFINANCE(C509, ""NAME""))"),"BancFirst Corp")</f>
        <v>BancFirst Corp</v>
      </c>
      <c r="E509" s="30" t="s">
        <v>268</v>
      </c>
      <c r="F509" s="33" t="str">
        <f>IFERROR(__xludf.DUMMYFUNCTION("( (GOOGLEFINANCE(C509, ""price"") - Q509) / Q509 ) / (R509 / 100)"),"Loading...")</f>
        <v>Loading...</v>
      </c>
      <c r="G509" s="20" t="str">
        <f>IFERROR(__xludf.DUMMYFUNCTION("AVERAGE(ARRAYFORMULA(100 * (QUERY(GOOGLEFINANCE(C509, ""high"", TODAY()-40, TODAY()), ""SELECT Col2 WHERE Col2 IS NOT NULL ORDER BY Col1 DESC LIMIT 20"", 0) / QUERY(GOOGLEFINANCE(C509, ""low"", TODAY()-40, TODAY()), ""SELECT Col2 WHERE Col2 IS NOT NULL OR"&amp;"DER BY Col1 DESC LIMIT 20"", 0) - 1)))"),"#N/A")</f>
        <v>#N/A</v>
      </c>
      <c r="H509" s="35" t="str">
        <f t="shared" si="6"/>
        <v/>
      </c>
      <c r="I509" s="36" t="str">
        <f t="shared" si="7"/>
        <v/>
      </c>
      <c r="J509" s="37" t="str">
        <f>IFERROR(__xludf.DUMMYFUNCTION("IFERROR(
  IF(C509="""",, 
    IFERROR(
      GOOGLEFINANCE(C509, ""price"") * GOOGLEFINANCE(C509, ""volumeavg""), 
      GOOGLEFINANCE(C509, ""price"") * AVERAGE(QUERY(GOOGLEFINANCE(C509, ""volume"", TODAY()-40, TODAY()), ""SELECT Col2 WHERE Col2 IS NOT "&amp;"NULL ORDER BY Col1 DESC LIMIT 20"", 0))
    )
  ), 
"""")"),"")</f>
        <v/>
      </c>
      <c r="K509" s="21" t="str">
        <f>IFERROR(__xludf.DUMMYFUNCTION("IFERROR(GOOGLEFINANCE(C509, ""changepct"") / 100, """")"),"")</f>
        <v/>
      </c>
      <c r="L509" s="21" t="str">
        <f>IFERROR(__xludf.DUMMYFUNCTION("IFERROR((GOOGLEFINANCE(C509, ""price"") / INDEX(GOOGLEFINANCE(C509, ""price"", TODAY()-7, TODAY()), 2, 2)) - 1, """")"),"")</f>
        <v/>
      </c>
      <c r="M509" s="21" t="str">
        <f>IFERROR(__xludf.DUMMYFUNCTION("IFERROR((GOOGLEFINANCE(C509, ""price"") / INDEX(GOOGLEFINANCE(C509, ""price"", EDATE(TODAY(), -1), TODAY()), 2, 2)) - 1, """")"),"")</f>
        <v/>
      </c>
      <c r="N509" s="21" t="str">
        <f>IFERROR(__xludf.DUMMYFUNCTION("IFERROR((GOOGLEFINANCE(C509, ""price"") / INDEX(GOOGLEFINANCE(C509, ""price"", EDATE(TODAY(), -3), TODAY()), 2, 2)) - 1, """")"),"")</f>
        <v/>
      </c>
      <c r="O509" s="21" t="str">
        <f>IFERROR(__xludf.DUMMYFUNCTION("IFERROR((GOOGLEFINANCE(C509, ""price"") / INDEX(GOOGLEFINANCE(C509, ""price"", EDATE(TODAY(), -6), TODAY()), 2, 2)) - 1, """")"),"")</f>
        <v/>
      </c>
      <c r="P509" s="21" t="str">
        <f>IFERROR(__xludf.DUMMYFUNCTION("IFERROR((GOOGLEFINANCE(C509, ""price"") / INDEX(GOOGLEFINANCE(C509, ""price"", EDATE(TODAY(), -12), TODAY()), 2, 2)) - 1, """")"),"")</f>
        <v/>
      </c>
      <c r="Q509" s="6" t="str">
        <f>IFERROR(__xludf.DUMMYFUNCTION("AVERAGE(QUERY(GOOGLEFINANCE(C509, ""price"", TODAY()-80, TODAY()), ""SELECT Col2 WHERE Col2 IS NOT NULL ORDER BY Col1 DESC LIMIT 50"", 0))"),"#N/A")</f>
        <v>#N/A</v>
      </c>
      <c r="R509" s="24" t="str">
        <f>IFERROR(__xludf.DUMMYFUNCTION("IFERROR(
  LET(
    data, QUERY(GOOGLEFINANCE(C509,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GOOGLEFINANCE(C509, ""price"")) * 100,
    IF(calc=0, G509, calc)
  ), 
G509)"),"#N/A")</f>
        <v>#N/A</v>
      </c>
      <c r="S509" s="8" t="s">
        <v>15</v>
      </c>
      <c r="T509" s="26" t="str">
        <f>IFERROR(__xludf.DUMMYFUNCTION("IFERROR(TRANSPOSE(QUERY(IFERROR(SORT(GOOGLEFINANCE(C509, ""price"", WORKDAY(TODAY(), -40), TODAY()), 1, FALSE)), ""select Col2 where Col2 is not null limit 22 label Col2 ''"", 0)), """")"),"")</f>
        <v/>
      </c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8"/>
      <c r="AO509" s="28"/>
      <c r="AP509" s="29"/>
      <c r="AQ509" s="29" t="str">
        <f t="shared" ref="AQ509:BL509" si="512">T509/T$2</f>
        <v>#N/A</v>
      </c>
      <c r="AR509" s="29" t="str">
        <f t="shared" si="512"/>
        <v>#DIV/0!</v>
      </c>
      <c r="AS509" s="29" t="str">
        <f t="shared" si="512"/>
        <v>#DIV/0!</v>
      </c>
      <c r="AT509" s="29" t="str">
        <f t="shared" si="512"/>
        <v>#DIV/0!</v>
      </c>
      <c r="AU509" s="29" t="str">
        <f t="shared" si="512"/>
        <v>#DIV/0!</v>
      </c>
      <c r="AV509" s="29" t="str">
        <f t="shared" si="512"/>
        <v>#DIV/0!</v>
      </c>
      <c r="AW509" s="29" t="str">
        <f t="shared" si="512"/>
        <v>#DIV/0!</v>
      </c>
      <c r="AX509" s="29" t="str">
        <f t="shared" si="512"/>
        <v>#DIV/0!</v>
      </c>
      <c r="AY509" s="29" t="str">
        <f t="shared" si="512"/>
        <v>#DIV/0!</v>
      </c>
      <c r="AZ509" s="29" t="str">
        <f t="shared" si="512"/>
        <v>#DIV/0!</v>
      </c>
      <c r="BA509" s="29" t="str">
        <f t="shared" si="512"/>
        <v>#DIV/0!</v>
      </c>
      <c r="BB509" s="29" t="str">
        <f t="shared" si="512"/>
        <v>#DIV/0!</v>
      </c>
      <c r="BC509" s="29" t="str">
        <f t="shared" si="512"/>
        <v>#DIV/0!</v>
      </c>
      <c r="BD509" s="29" t="str">
        <f t="shared" si="512"/>
        <v>#DIV/0!</v>
      </c>
      <c r="BE509" s="29" t="str">
        <f t="shared" si="512"/>
        <v>#DIV/0!</v>
      </c>
      <c r="BF509" s="29" t="str">
        <f t="shared" si="512"/>
        <v>#DIV/0!</v>
      </c>
      <c r="BG509" s="29" t="str">
        <f t="shared" si="512"/>
        <v>#DIV/0!</v>
      </c>
      <c r="BH509" s="29" t="str">
        <f t="shared" si="512"/>
        <v>#DIV/0!</v>
      </c>
      <c r="BI509" s="29" t="str">
        <f t="shared" si="512"/>
        <v>#DIV/0!</v>
      </c>
      <c r="BJ509" s="29" t="str">
        <f t="shared" si="512"/>
        <v>#DIV/0!</v>
      </c>
      <c r="BK509" s="29" t="str">
        <f t="shared" si="512"/>
        <v>#DIV/0!</v>
      </c>
      <c r="BL509" s="29" t="str">
        <f t="shared" si="512"/>
        <v>#DIV/0!</v>
      </c>
      <c r="BM509" s="29" t="str">
        <f t="shared" si="3"/>
        <v>#DIV/0!</v>
      </c>
    </row>
    <row r="510">
      <c r="A510" s="16" t="str">
        <f>IFERROR(__xludf.DUMMYFUNCTION("IFERROR(SPARKLINE(SORT(MAP(TRANSPOSE(AQ510:BL510), LAMBDA(val, IF(ISNUMBER(val), PERCENTRANK(AQ510:BL510, val)+0.01, 0))), SEQUENCE(COLUMNS(AQ510:BL510)), FALSE), {""charttype"",""column""; ""color"",""chartreuse""; ""ymin"", 0; ""ymax"", 1.01; ""highcolo"&amp;"r"", ""darkgreen""; ""lowcolor"", ""red""}), """")"),"")</f>
        <v/>
      </c>
      <c r="B510" s="17" t="str">
        <f t="shared" si="4"/>
        <v/>
      </c>
      <c r="C510" s="1" t="s">
        <v>2317</v>
      </c>
      <c r="D510" s="34" t="str">
        <f>IFERROR(__xludf.DUMMYFUNCTION("IFERROR(GOOGLEFINANCE(C510, ""NAME""))"),"Hingham Institution for Savings")</f>
        <v>Hingham Institution for Savings</v>
      </c>
      <c r="E510" s="30" t="s">
        <v>268</v>
      </c>
      <c r="F510" s="33" t="str">
        <f>IFERROR(__xludf.DUMMYFUNCTION("( (GOOGLEFINANCE(C510, ""price"") - Q510) / Q510 ) / (R510 / 100)"),"Loading...")</f>
        <v>Loading...</v>
      </c>
      <c r="G510" s="20" t="str">
        <f>IFERROR(__xludf.DUMMYFUNCTION("AVERAGE(ARRAYFORMULA(100 * (QUERY(GOOGLEFINANCE(C510, ""high"", TODAY()-40, TODAY()), ""SELECT Col2 WHERE Col2 IS NOT NULL ORDER BY Col1 DESC LIMIT 20"", 0) / QUERY(GOOGLEFINANCE(C510, ""low"", TODAY()-40, TODAY()), ""SELECT Col2 WHERE Col2 IS NOT NULL OR"&amp;"DER BY Col1 DESC LIMIT 20"", 0) - 1)))"),"#N/A")</f>
        <v>#N/A</v>
      </c>
      <c r="H510" s="35" t="str">
        <f t="shared" si="6"/>
        <v/>
      </c>
      <c r="I510" s="36" t="str">
        <f t="shared" si="7"/>
        <v/>
      </c>
      <c r="J510" s="37" t="str">
        <f>IFERROR(__xludf.DUMMYFUNCTION("IFERROR(
  IF(C510="""",, 
    IFERROR(
      GOOGLEFINANCE(C510, ""price"") * GOOGLEFINANCE(C510, ""volumeavg""), 
      GOOGLEFINANCE(C510, ""price"") * AVERAGE(QUERY(GOOGLEFINANCE(C510, ""volume"", TODAY()-40, TODAY()), ""SELECT Col2 WHERE Col2 IS NOT "&amp;"NULL ORDER BY Col1 DESC LIMIT 20"", 0))
    )
  ), 
"""")"),"")</f>
        <v/>
      </c>
      <c r="K510" s="21" t="str">
        <f>IFERROR(__xludf.DUMMYFUNCTION("IFERROR(GOOGLEFINANCE(C510, ""changepct"") / 100, """")"),"")</f>
        <v/>
      </c>
      <c r="L510" s="21" t="str">
        <f>IFERROR(__xludf.DUMMYFUNCTION("IFERROR((GOOGLEFINANCE(C510, ""price"") / INDEX(GOOGLEFINANCE(C510, ""price"", TODAY()-7, TODAY()), 2, 2)) - 1, """")"),"")</f>
        <v/>
      </c>
      <c r="M510" s="21" t="str">
        <f>IFERROR(__xludf.DUMMYFUNCTION("IFERROR((GOOGLEFINANCE(C510, ""price"") / INDEX(GOOGLEFINANCE(C510, ""price"", EDATE(TODAY(), -1), TODAY()), 2, 2)) - 1, """")"),"")</f>
        <v/>
      </c>
      <c r="N510" s="21" t="str">
        <f>IFERROR(__xludf.DUMMYFUNCTION("IFERROR((GOOGLEFINANCE(C510, ""price"") / INDEX(GOOGLEFINANCE(C510, ""price"", EDATE(TODAY(), -3), TODAY()), 2, 2)) - 1, """")"),"")</f>
        <v/>
      </c>
      <c r="O510" s="21" t="str">
        <f>IFERROR(__xludf.DUMMYFUNCTION("IFERROR((GOOGLEFINANCE(C510, ""price"") / INDEX(GOOGLEFINANCE(C510, ""price"", EDATE(TODAY(), -6), TODAY()), 2, 2)) - 1, """")"),"")</f>
        <v/>
      </c>
      <c r="P510" s="21" t="str">
        <f>IFERROR(__xludf.DUMMYFUNCTION("IFERROR((GOOGLEFINANCE(C510, ""price"") / INDEX(GOOGLEFINANCE(C510, ""price"", EDATE(TODAY(), -12), TODAY()), 2, 2)) - 1, """")"),"")</f>
        <v/>
      </c>
      <c r="Q510" s="6" t="str">
        <f>IFERROR(__xludf.DUMMYFUNCTION("AVERAGE(QUERY(GOOGLEFINANCE(C510, ""price"", TODAY()-80, TODAY()), ""SELECT Col2 WHERE Col2 IS NOT NULL ORDER BY Col1 DESC LIMIT 50"", 0))"),"#N/A")</f>
        <v>#N/A</v>
      </c>
      <c r="R510" s="24" t="str">
        <f>IFERROR(__xludf.DUMMYFUNCTION("IFERROR(
  LET(
    data, QUERY(GOOGLEFINANCE(C510,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GOOGLEFINANCE(C510, ""price"")) * 100,
    IF(calc=0, G510, calc)
  ), 
G510)"),"#N/A")</f>
        <v>#N/A</v>
      </c>
      <c r="S510" s="8" t="s">
        <v>15</v>
      </c>
      <c r="T510" s="26" t="str">
        <f>IFERROR(__xludf.DUMMYFUNCTION("IFERROR(TRANSPOSE(QUERY(IFERROR(SORT(GOOGLEFINANCE(C510, ""price"", WORKDAY(TODAY(), -40), TODAY()), 1, FALSE)), ""select Col2 where Col2 is not null limit 22 label Col2 ''"", 0)), """")"),"")</f>
        <v/>
      </c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8"/>
      <c r="AO510" s="28"/>
      <c r="AP510" s="29"/>
      <c r="AQ510" s="29" t="str">
        <f t="shared" ref="AQ510:BL510" si="513">T510/T$2</f>
        <v>#N/A</v>
      </c>
      <c r="AR510" s="29" t="str">
        <f t="shared" si="513"/>
        <v>#DIV/0!</v>
      </c>
      <c r="AS510" s="29" t="str">
        <f t="shared" si="513"/>
        <v>#DIV/0!</v>
      </c>
      <c r="AT510" s="29" t="str">
        <f t="shared" si="513"/>
        <v>#DIV/0!</v>
      </c>
      <c r="AU510" s="29" t="str">
        <f t="shared" si="513"/>
        <v>#DIV/0!</v>
      </c>
      <c r="AV510" s="29" t="str">
        <f t="shared" si="513"/>
        <v>#DIV/0!</v>
      </c>
      <c r="AW510" s="29" t="str">
        <f t="shared" si="513"/>
        <v>#DIV/0!</v>
      </c>
      <c r="AX510" s="29" t="str">
        <f t="shared" si="513"/>
        <v>#DIV/0!</v>
      </c>
      <c r="AY510" s="29" t="str">
        <f t="shared" si="513"/>
        <v>#DIV/0!</v>
      </c>
      <c r="AZ510" s="29" t="str">
        <f t="shared" si="513"/>
        <v>#DIV/0!</v>
      </c>
      <c r="BA510" s="29" t="str">
        <f t="shared" si="513"/>
        <v>#DIV/0!</v>
      </c>
      <c r="BB510" s="29" t="str">
        <f t="shared" si="513"/>
        <v>#DIV/0!</v>
      </c>
      <c r="BC510" s="29" t="str">
        <f t="shared" si="513"/>
        <v>#DIV/0!</v>
      </c>
      <c r="BD510" s="29" t="str">
        <f t="shared" si="513"/>
        <v>#DIV/0!</v>
      </c>
      <c r="BE510" s="29" t="str">
        <f t="shared" si="513"/>
        <v>#DIV/0!</v>
      </c>
      <c r="BF510" s="29" t="str">
        <f t="shared" si="513"/>
        <v>#DIV/0!</v>
      </c>
      <c r="BG510" s="29" t="str">
        <f t="shared" si="513"/>
        <v>#DIV/0!</v>
      </c>
      <c r="BH510" s="29" t="str">
        <f t="shared" si="513"/>
        <v>#DIV/0!</v>
      </c>
      <c r="BI510" s="29" t="str">
        <f t="shared" si="513"/>
        <v>#DIV/0!</v>
      </c>
      <c r="BJ510" s="29" t="str">
        <f t="shared" si="513"/>
        <v>#DIV/0!</v>
      </c>
      <c r="BK510" s="29" t="str">
        <f t="shared" si="513"/>
        <v>#DIV/0!</v>
      </c>
      <c r="BL510" s="29" t="str">
        <f t="shared" si="513"/>
        <v>#DIV/0!</v>
      </c>
      <c r="BM510" s="29" t="str">
        <f t="shared" si="3"/>
        <v>#DIV/0!</v>
      </c>
    </row>
    <row r="511">
      <c r="A511" s="16" t="str">
        <f>IFERROR(__xludf.DUMMYFUNCTION("IFERROR(SPARKLINE(SORT(MAP(TRANSPOSE(AQ511:BL511), LAMBDA(val, IF(ISNUMBER(val), PERCENTRANK(AQ511:BL511, val)+0.01, 0))), SEQUENCE(COLUMNS(AQ511:BL511)), FALSE), {""charttype"",""column""; ""color"",""chartreuse""; ""ymin"", 0; ""ymax"", 1.01; ""highcolo"&amp;"r"", ""darkgreen""; ""lowcolor"", ""red""}), """")"),"")</f>
        <v/>
      </c>
      <c r="B511" s="17" t="str">
        <f t="shared" si="4"/>
        <v/>
      </c>
      <c r="C511" s="1" t="s">
        <v>2321</v>
      </c>
      <c r="D511" s="34" t="str">
        <f>IFERROR(__xludf.DUMMYFUNCTION("IFERROR(GOOGLEFINANCE(C511, ""NAME""))"),"CVB Financial Corp")</f>
        <v>CVB Financial Corp</v>
      </c>
      <c r="E511" s="30" t="s">
        <v>268</v>
      </c>
      <c r="F511" s="33" t="str">
        <f>IFERROR(__xludf.DUMMYFUNCTION("( (GOOGLEFINANCE(C511, ""price"") - Q511) / Q511 ) / (R511 / 100)"),"Loading...")</f>
        <v>Loading...</v>
      </c>
      <c r="G511" s="20" t="str">
        <f>IFERROR(__xludf.DUMMYFUNCTION("AVERAGE(ARRAYFORMULA(100 * (QUERY(GOOGLEFINANCE(C511, ""high"", TODAY()-40, TODAY()), ""SELECT Col2 WHERE Col2 IS NOT NULL ORDER BY Col1 DESC LIMIT 20"", 0) / QUERY(GOOGLEFINANCE(C511, ""low"", TODAY()-40, TODAY()), ""SELECT Col2 WHERE Col2 IS NOT NULL OR"&amp;"DER BY Col1 DESC LIMIT 20"", 0) - 1)))"),"#N/A")</f>
        <v>#N/A</v>
      </c>
      <c r="H511" s="35" t="str">
        <f t="shared" si="6"/>
        <v/>
      </c>
      <c r="I511" s="36" t="str">
        <f t="shared" si="7"/>
        <v/>
      </c>
      <c r="J511" s="37" t="str">
        <f>IFERROR(__xludf.DUMMYFUNCTION("IFERROR(
  IF(C511="""",, 
    IFERROR(
      GOOGLEFINANCE(C511, ""price"") * GOOGLEFINANCE(C511, ""volumeavg""), 
      GOOGLEFINANCE(C511, ""price"") * AVERAGE(QUERY(GOOGLEFINANCE(C511, ""volume"", TODAY()-40, TODAY()), ""SELECT Col2 WHERE Col2 IS NOT "&amp;"NULL ORDER BY Col1 DESC LIMIT 20"", 0))
    )
  ), 
"""")"),"")</f>
        <v/>
      </c>
      <c r="K511" s="21" t="str">
        <f>IFERROR(__xludf.DUMMYFUNCTION("IFERROR(GOOGLEFINANCE(C511, ""changepct"") / 100, """")"),"")</f>
        <v/>
      </c>
      <c r="L511" s="21" t="str">
        <f>IFERROR(__xludf.DUMMYFUNCTION("IFERROR((GOOGLEFINANCE(C511, ""price"") / INDEX(GOOGLEFINANCE(C511, ""price"", TODAY()-7, TODAY()), 2, 2)) - 1, """")"),"")</f>
        <v/>
      </c>
      <c r="M511" s="21" t="str">
        <f>IFERROR(__xludf.DUMMYFUNCTION("IFERROR((GOOGLEFINANCE(C511, ""price"") / INDEX(GOOGLEFINANCE(C511, ""price"", EDATE(TODAY(), -1), TODAY()), 2, 2)) - 1, """")"),"")</f>
        <v/>
      </c>
      <c r="N511" s="21" t="str">
        <f>IFERROR(__xludf.DUMMYFUNCTION("IFERROR((GOOGLEFINANCE(C511, ""price"") / INDEX(GOOGLEFINANCE(C511, ""price"", EDATE(TODAY(), -3), TODAY()), 2, 2)) - 1, """")"),"")</f>
        <v/>
      </c>
      <c r="O511" s="21" t="str">
        <f>IFERROR(__xludf.DUMMYFUNCTION("IFERROR((GOOGLEFINANCE(C511, ""price"") / INDEX(GOOGLEFINANCE(C511, ""price"", EDATE(TODAY(), -6), TODAY()), 2, 2)) - 1, """")"),"")</f>
        <v/>
      </c>
      <c r="P511" s="21" t="str">
        <f>IFERROR(__xludf.DUMMYFUNCTION("IFERROR((GOOGLEFINANCE(C511, ""price"") / INDEX(GOOGLEFINANCE(C511, ""price"", EDATE(TODAY(), -12), TODAY()), 2, 2)) - 1, """")"),"")</f>
        <v/>
      </c>
      <c r="Q511" s="6" t="str">
        <f>IFERROR(__xludf.DUMMYFUNCTION("AVERAGE(QUERY(GOOGLEFINANCE(C511, ""price"", TODAY()-80, TODAY()), ""SELECT Col2 WHERE Col2 IS NOT NULL ORDER BY Col1 DESC LIMIT 50"", 0))"),"#N/A")</f>
        <v>#N/A</v>
      </c>
      <c r="R511" s="24" t="str">
        <f>IFERROR(__xludf.DUMMYFUNCTION("IFERROR(
  LET(
    data, QUERY(GOOGLEFINANCE(C511,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GOOGLEFINANCE(C511, ""price"")) * 100,
    IF(calc=0, G511, calc)
  ), 
G511)"),"#N/A")</f>
        <v>#N/A</v>
      </c>
      <c r="S511" s="8" t="s">
        <v>15</v>
      </c>
      <c r="T511" s="26" t="str">
        <f>IFERROR(__xludf.DUMMYFUNCTION("IFERROR(TRANSPOSE(QUERY(IFERROR(SORT(GOOGLEFINANCE(C511, ""price"", WORKDAY(TODAY(), -40), TODAY()), 1, FALSE)), ""select Col2 where Col2 is not null limit 22 label Col2 ''"", 0)), """")"),"")</f>
        <v/>
      </c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8"/>
      <c r="AO511" s="28"/>
      <c r="AP511" s="29"/>
      <c r="AQ511" s="29" t="str">
        <f t="shared" ref="AQ511:BL511" si="514">T511/T$2</f>
        <v>#N/A</v>
      </c>
      <c r="AR511" s="29" t="str">
        <f t="shared" si="514"/>
        <v>#DIV/0!</v>
      </c>
      <c r="AS511" s="29" t="str">
        <f t="shared" si="514"/>
        <v>#DIV/0!</v>
      </c>
      <c r="AT511" s="29" t="str">
        <f t="shared" si="514"/>
        <v>#DIV/0!</v>
      </c>
      <c r="AU511" s="29" t="str">
        <f t="shared" si="514"/>
        <v>#DIV/0!</v>
      </c>
      <c r="AV511" s="29" t="str">
        <f t="shared" si="514"/>
        <v>#DIV/0!</v>
      </c>
      <c r="AW511" s="29" t="str">
        <f t="shared" si="514"/>
        <v>#DIV/0!</v>
      </c>
      <c r="AX511" s="29" t="str">
        <f t="shared" si="514"/>
        <v>#DIV/0!</v>
      </c>
      <c r="AY511" s="29" t="str">
        <f t="shared" si="514"/>
        <v>#DIV/0!</v>
      </c>
      <c r="AZ511" s="29" t="str">
        <f t="shared" si="514"/>
        <v>#DIV/0!</v>
      </c>
      <c r="BA511" s="29" t="str">
        <f t="shared" si="514"/>
        <v>#DIV/0!</v>
      </c>
      <c r="BB511" s="29" t="str">
        <f t="shared" si="514"/>
        <v>#DIV/0!</v>
      </c>
      <c r="BC511" s="29" t="str">
        <f t="shared" si="514"/>
        <v>#DIV/0!</v>
      </c>
      <c r="BD511" s="29" t="str">
        <f t="shared" si="514"/>
        <v>#DIV/0!</v>
      </c>
      <c r="BE511" s="29" t="str">
        <f t="shared" si="514"/>
        <v>#DIV/0!</v>
      </c>
      <c r="BF511" s="29" t="str">
        <f t="shared" si="514"/>
        <v>#DIV/0!</v>
      </c>
      <c r="BG511" s="29" t="str">
        <f t="shared" si="514"/>
        <v>#DIV/0!</v>
      </c>
      <c r="BH511" s="29" t="str">
        <f t="shared" si="514"/>
        <v>#DIV/0!</v>
      </c>
      <c r="BI511" s="29" t="str">
        <f t="shared" si="514"/>
        <v>#DIV/0!</v>
      </c>
      <c r="BJ511" s="29" t="str">
        <f t="shared" si="514"/>
        <v>#DIV/0!</v>
      </c>
      <c r="BK511" s="29" t="str">
        <f t="shared" si="514"/>
        <v>#DIV/0!</v>
      </c>
      <c r="BL511" s="29" t="str">
        <f t="shared" si="514"/>
        <v>#DIV/0!</v>
      </c>
      <c r="BM511" s="29" t="str">
        <f t="shared" si="3"/>
        <v>#DIV/0!</v>
      </c>
    </row>
    <row r="512">
      <c r="A512" s="16" t="str">
        <f>IFERROR(__xludf.DUMMYFUNCTION("IFERROR(SPARKLINE(SORT(MAP(TRANSPOSE(AQ512:BL512), LAMBDA(val, IF(ISNUMBER(val), PERCENTRANK(AQ512:BL512, val)+0.01, 0))), SEQUENCE(COLUMNS(AQ512:BL512)), FALSE), {""charttype"",""column""; ""color"",""chartreuse""; ""ymin"", 0; ""ymax"", 1.01; ""highcolo"&amp;"r"", ""darkgreen""; ""lowcolor"", ""red""}), """")"),"")</f>
        <v/>
      </c>
      <c r="B512" s="17" t="str">
        <f t="shared" si="4"/>
        <v/>
      </c>
      <c r="C512" s="1" t="s">
        <v>2325</v>
      </c>
      <c r="D512" s="34" t="str">
        <f>IFERROR(__xludf.DUMMYFUNCTION("IFERROR(GOOGLEFINANCE(C512, ""NAME""))"),"SouthState Bank Corp")</f>
        <v>SouthState Bank Corp</v>
      </c>
      <c r="E512" s="30" t="s">
        <v>268</v>
      </c>
      <c r="F512" s="38" t="str">
        <f>IFERROR(__xludf.DUMMYFUNCTION("( (GOOGLEFINANCE(C512, ""price"") - Q512) / Q512 ) / (R512 / 100)"),"Loading...")</f>
        <v>Loading...</v>
      </c>
      <c r="G512" s="20" t="str">
        <f>IFERROR(__xludf.DUMMYFUNCTION("AVERAGE(ARRAYFORMULA(100 * (QUERY(GOOGLEFINANCE(C512, ""high"", TODAY()-40, TODAY()), ""SELECT Col2 WHERE Col2 IS NOT NULL ORDER BY Col1 DESC LIMIT 20"", 0) / QUERY(GOOGLEFINANCE(C512, ""low"", TODAY()-40, TODAY()), ""SELECT Col2 WHERE Col2 IS NOT NULL OR"&amp;"DER BY Col1 DESC LIMIT 20"", 0) - 1)))"),"#N/A")</f>
        <v>#N/A</v>
      </c>
      <c r="H512" s="35" t="str">
        <f t="shared" si="6"/>
        <v/>
      </c>
      <c r="I512" s="36" t="str">
        <f t="shared" si="7"/>
        <v/>
      </c>
      <c r="J512" s="37" t="str">
        <f>IFERROR(__xludf.DUMMYFUNCTION("IFERROR(
  IF(C512="""",, 
    IFERROR(
      GOOGLEFINANCE(C512, ""price"") * GOOGLEFINANCE(C512, ""volumeavg""), 
      GOOGLEFINANCE(C512, ""price"") * AVERAGE(QUERY(GOOGLEFINANCE(C512, ""volume"", TODAY()-40, TODAY()), ""SELECT Col2 WHERE Col2 IS NOT "&amp;"NULL ORDER BY Col1 DESC LIMIT 20"", 0))
    )
  ), 
"""")"),"")</f>
        <v/>
      </c>
      <c r="K512" s="21" t="str">
        <f>IFERROR(__xludf.DUMMYFUNCTION("IFERROR(GOOGLEFINANCE(C512, ""changepct"") / 100, """")"),"")</f>
        <v/>
      </c>
      <c r="L512" s="21" t="str">
        <f>IFERROR(__xludf.DUMMYFUNCTION("IFERROR((GOOGLEFINANCE(C512, ""price"") / INDEX(GOOGLEFINANCE(C512, ""price"", TODAY()-7, TODAY()), 2, 2)) - 1, """")"),"")</f>
        <v/>
      </c>
      <c r="M512" s="21" t="str">
        <f>IFERROR(__xludf.DUMMYFUNCTION("IFERROR((GOOGLEFINANCE(C512, ""price"") / INDEX(GOOGLEFINANCE(C512, ""price"", EDATE(TODAY(), -1), TODAY()), 2, 2)) - 1, """")"),"")</f>
        <v/>
      </c>
      <c r="N512" s="21" t="str">
        <f>IFERROR(__xludf.DUMMYFUNCTION("IFERROR((GOOGLEFINANCE(C512, ""price"") / INDEX(GOOGLEFINANCE(C512, ""price"", EDATE(TODAY(), -3), TODAY()), 2, 2)) - 1, """")"),"")</f>
        <v/>
      </c>
      <c r="O512" s="21" t="str">
        <f>IFERROR(__xludf.DUMMYFUNCTION("IFERROR((GOOGLEFINANCE(C512, ""price"") / INDEX(GOOGLEFINANCE(C512, ""price"", EDATE(TODAY(), -6), TODAY()), 2, 2)) - 1, """")"),"")</f>
        <v/>
      </c>
      <c r="P512" s="21" t="str">
        <f>IFERROR(__xludf.DUMMYFUNCTION("IFERROR((GOOGLEFINANCE(C512, ""price"") / INDEX(GOOGLEFINANCE(C512, ""price"", EDATE(TODAY(), -12), TODAY()), 2, 2)) - 1, """")"),"")</f>
        <v/>
      </c>
      <c r="Q512" s="6" t="str">
        <f>IFERROR(__xludf.DUMMYFUNCTION("AVERAGE(QUERY(GOOGLEFINANCE(C512, ""price"", TODAY()-80, TODAY()), ""SELECT Col2 WHERE Col2 IS NOT NULL ORDER BY Col1 DESC LIMIT 50"", 0))"),"#N/A")</f>
        <v>#N/A</v>
      </c>
      <c r="R512" s="24" t="str">
        <f>IFERROR(__xludf.DUMMYFUNCTION("IFERROR(
  LET(
    data, QUERY(GOOGLEFINANCE(C512,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GOOGLEFINANCE(C512, ""price"")) * 100,
    IF(calc=0, G512, calc)
  ), 
G512)"),"#N/A")</f>
        <v>#N/A</v>
      </c>
      <c r="S512" s="8" t="s">
        <v>15</v>
      </c>
      <c r="T512" s="26" t="str">
        <f>IFERROR(__xludf.DUMMYFUNCTION("IFERROR(TRANSPOSE(QUERY(IFERROR(SORT(GOOGLEFINANCE(C512, ""price"", WORKDAY(TODAY(), -40), TODAY()), 1, FALSE)), ""select Col2 where Col2 is not null limit 22 label Col2 ''"", 0)), """")"),"")</f>
        <v/>
      </c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8"/>
      <c r="AO512" s="28"/>
      <c r="AP512" s="29"/>
      <c r="AQ512" s="29" t="str">
        <f t="shared" ref="AQ512:BL512" si="515">T512/T$2</f>
        <v>#N/A</v>
      </c>
      <c r="AR512" s="29" t="str">
        <f t="shared" si="515"/>
        <v>#DIV/0!</v>
      </c>
      <c r="AS512" s="29" t="str">
        <f t="shared" si="515"/>
        <v>#DIV/0!</v>
      </c>
      <c r="AT512" s="29" t="str">
        <f t="shared" si="515"/>
        <v>#DIV/0!</v>
      </c>
      <c r="AU512" s="29" t="str">
        <f t="shared" si="515"/>
        <v>#DIV/0!</v>
      </c>
      <c r="AV512" s="29" t="str">
        <f t="shared" si="515"/>
        <v>#DIV/0!</v>
      </c>
      <c r="AW512" s="29" t="str">
        <f t="shared" si="515"/>
        <v>#DIV/0!</v>
      </c>
      <c r="AX512" s="29" t="str">
        <f t="shared" si="515"/>
        <v>#DIV/0!</v>
      </c>
      <c r="AY512" s="29" t="str">
        <f t="shared" si="515"/>
        <v>#DIV/0!</v>
      </c>
      <c r="AZ512" s="29" t="str">
        <f t="shared" si="515"/>
        <v>#DIV/0!</v>
      </c>
      <c r="BA512" s="29" t="str">
        <f t="shared" si="515"/>
        <v>#DIV/0!</v>
      </c>
      <c r="BB512" s="29" t="str">
        <f t="shared" si="515"/>
        <v>#DIV/0!</v>
      </c>
      <c r="BC512" s="29" t="str">
        <f t="shared" si="515"/>
        <v>#DIV/0!</v>
      </c>
      <c r="BD512" s="29" t="str">
        <f t="shared" si="515"/>
        <v>#DIV/0!</v>
      </c>
      <c r="BE512" s="29" t="str">
        <f t="shared" si="515"/>
        <v>#DIV/0!</v>
      </c>
      <c r="BF512" s="29" t="str">
        <f t="shared" si="515"/>
        <v>#DIV/0!</v>
      </c>
      <c r="BG512" s="29" t="str">
        <f t="shared" si="515"/>
        <v>#DIV/0!</v>
      </c>
      <c r="BH512" s="29" t="str">
        <f t="shared" si="515"/>
        <v>#DIV/0!</v>
      </c>
      <c r="BI512" s="29" t="str">
        <f t="shared" si="515"/>
        <v>#DIV/0!</v>
      </c>
      <c r="BJ512" s="29" t="str">
        <f t="shared" si="515"/>
        <v>#DIV/0!</v>
      </c>
      <c r="BK512" s="29" t="str">
        <f t="shared" si="515"/>
        <v>#DIV/0!</v>
      </c>
      <c r="BL512" s="29" t="str">
        <f t="shared" si="515"/>
        <v>#DIV/0!</v>
      </c>
      <c r="BM512" s="29" t="str">
        <f t="shared" si="3"/>
        <v>#DIV/0!</v>
      </c>
    </row>
    <row r="513">
      <c r="A513" s="16" t="str">
        <f>IFERROR(__xludf.DUMMYFUNCTION("IFERROR(SPARKLINE(SORT(MAP(TRANSPOSE(AQ513:BL513), LAMBDA(val, IF(ISNUMBER(val), PERCENTRANK(AQ513:BL513, val)+0.01, 0))), SEQUENCE(COLUMNS(AQ513:BL513)), FALSE), {""charttype"",""column""; ""color"",""chartreuse""; ""ymin"", 0; ""ymax"", 1.01; ""highcolo"&amp;"r"", ""darkgreen""; ""lowcolor"", ""red""}), """")"),"")</f>
        <v/>
      </c>
      <c r="B513" s="17" t="str">
        <f t="shared" si="4"/>
        <v/>
      </c>
      <c r="C513" s="1" t="s">
        <v>2329</v>
      </c>
      <c r="D513" s="34" t="str">
        <f>IFERROR(__xludf.DUMMYFUNCTION("IFERROR(GOOGLEFINANCE(C513, ""NAME""))"),"Websolute SpA")</f>
        <v>Websolute SpA</v>
      </c>
      <c r="E513" s="30" t="s">
        <v>268</v>
      </c>
      <c r="F513" s="38" t="str">
        <f>IFERROR(__xludf.DUMMYFUNCTION("( (GOOGLEFINANCE(C513, ""price"") - Q513) / Q513 ) / (R513 / 100)"),"Loading...")</f>
        <v>Loading...</v>
      </c>
      <c r="G513" s="20" t="str">
        <f>IFERROR(__xludf.DUMMYFUNCTION("AVERAGE(ARRAYFORMULA(100 * (QUERY(GOOGLEFINANCE(C513, ""high"", TODAY()-40, TODAY()), ""SELECT Col2 WHERE Col2 IS NOT NULL ORDER BY Col1 DESC LIMIT 20"", 0) / QUERY(GOOGLEFINANCE(C513, ""low"", TODAY()-40, TODAY()), ""SELECT Col2 WHERE Col2 IS NOT NULL OR"&amp;"DER BY Col1 DESC LIMIT 20"", 0) - 1)))"),"#N/A")</f>
        <v>#N/A</v>
      </c>
      <c r="H513" s="35" t="str">
        <f t="shared" si="6"/>
        <v/>
      </c>
      <c r="I513" s="36" t="str">
        <f t="shared" si="7"/>
        <v/>
      </c>
      <c r="J513" s="37" t="str">
        <f>IFERROR(__xludf.DUMMYFUNCTION("IFERROR(
  IF(C513="""",, 
    IFERROR(
      GOOGLEFINANCE(C513, ""price"") * GOOGLEFINANCE(C513, ""volumeavg""), 
      GOOGLEFINANCE(C513, ""price"") * AVERAGE(QUERY(GOOGLEFINANCE(C513, ""volume"", TODAY()-40, TODAY()), ""SELECT Col2 WHERE Col2 IS NOT "&amp;"NULL ORDER BY Col1 DESC LIMIT 20"", 0))
    )
  ), 
"""")"),"")</f>
        <v/>
      </c>
      <c r="K513" s="21" t="str">
        <f>IFERROR(__xludf.DUMMYFUNCTION("IFERROR(GOOGLEFINANCE(C513, ""changepct"") / 100, """")"),"")</f>
        <v/>
      </c>
      <c r="L513" s="21" t="str">
        <f>IFERROR(__xludf.DUMMYFUNCTION("IFERROR((GOOGLEFINANCE(C513, ""price"") / INDEX(GOOGLEFINANCE(C513, ""price"", TODAY()-7, TODAY()), 2, 2)) - 1, """")"),"")</f>
        <v/>
      </c>
      <c r="M513" s="21" t="str">
        <f>IFERROR(__xludf.DUMMYFUNCTION("IFERROR((GOOGLEFINANCE(C513, ""price"") / INDEX(GOOGLEFINANCE(C513, ""price"", EDATE(TODAY(), -1), TODAY()), 2, 2)) - 1, """")"),"")</f>
        <v/>
      </c>
      <c r="N513" s="21" t="str">
        <f>IFERROR(__xludf.DUMMYFUNCTION("IFERROR((GOOGLEFINANCE(C513, ""price"") / INDEX(GOOGLEFINANCE(C513, ""price"", EDATE(TODAY(), -3), TODAY()), 2, 2)) - 1, """")"),"")</f>
        <v/>
      </c>
      <c r="O513" s="21" t="str">
        <f>IFERROR(__xludf.DUMMYFUNCTION("IFERROR((GOOGLEFINANCE(C513, ""price"") / INDEX(GOOGLEFINANCE(C513, ""price"", EDATE(TODAY(), -6), TODAY()), 2, 2)) - 1, """")"),"")</f>
        <v/>
      </c>
      <c r="P513" s="21" t="str">
        <f>IFERROR(__xludf.DUMMYFUNCTION("IFERROR((GOOGLEFINANCE(C513, ""price"") / INDEX(GOOGLEFINANCE(C513, ""price"", EDATE(TODAY(), -12), TODAY()), 2, 2)) - 1, """")"),"")</f>
        <v/>
      </c>
      <c r="Q513" s="6" t="str">
        <f>IFERROR(__xludf.DUMMYFUNCTION("AVERAGE(QUERY(GOOGLEFINANCE(C513, ""price"", TODAY()-80, TODAY()), ""SELECT Col2 WHERE Col2 IS NOT NULL ORDER BY Col1 DESC LIMIT 50"", 0))"),"#N/A")</f>
        <v>#N/A</v>
      </c>
      <c r="R513" s="24" t="str">
        <f>IFERROR(__xludf.DUMMYFUNCTION("IFERROR(
  LET(
    data, QUERY(GOOGLEFINANCE(C513,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GOOGLEFINANCE(C513, ""price"")) * 100,
    IF(calc=0, G513, calc)
  ), 
G513)"),"#N/A")</f>
        <v>#N/A</v>
      </c>
      <c r="S513" s="8" t="s">
        <v>15</v>
      </c>
      <c r="T513" s="26" t="str">
        <f>IFERROR(__xludf.DUMMYFUNCTION("IFERROR(TRANSPOSE(QUERY(IFERROR(SORT(GOOGLEFINANCE(C513, ""price"", WORKDAY(TODAY(), -40), TODAY()), 1, FALSE)), ""select Col2 where Col2 is not null limit 22 label Col2 ''"", 0)), """")"),"")</f>
        <v/>
      </c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8"/>
      <c r="AO513" s="28"/>
      <c r="AP513" s="29"/>
      <c r="AQ513" s="29" t="str">
        <f t="shared" ref="AQ513:BL513" si="516">T513/T$2</f>
        <v>#N/A</v>
      </c>
      <c r="AR513" s="29" t="str">
        <f t="shared" si="516"/>
        <v>#DIV/0!</v>
      </c>
      <c r="AS513" s="29" t="str">
        <f t="shared" si="516"/>
        <v>#DIV/0!</v>
      </c>
      <c r="AT513" s="29" t="str">
        <f t="shared" si="516"/>
        <v>#DIV/0!</v>
      </c>
      <c r="AU513" s="29" t="str">
        <f t="shared" si="516"/>
        <v>#DIV/0!</v>
      </c>
      <c r="AV513" s="29" t="str">
        <f t="shared" si="516"/>
        <v>#DIV/0!</v>
      </c>
      <c r="AW513" s="29" t="str">
        <f t="shared" si="516"/>
        <v>#DIV/0!</v>
      </c>
      <c r="AX513" s="29" t="str">
        <f t="shared" si="516"/>
        <v>#DIV/0!</v>
      </c>
      <c r="AY513" s="29" t="str">
        <f t="shared" si="516"/>
        <v>#DIV/0!</v>
      </c>
      <c r="AZ513" s="29" t="str">
        <f t="shared" si="516"/>
        <v>#DIV/0!</v>
      </c>
      <c r="BA513" s="29" t="str">
        <f t="shared" si="516"/>
        <v>#DIV/0!</v>
      </c>
      <c r="BB513" s="29" t="str">
        <f t="shared" si="516"/>
        <v>#DIV/0!</v>
      </c>
      <c r="BC513" s="29" t="str">
        <f t="shared" si="516"/>
        <v>#DIV/0!</v>
      </c>
      <c r="BD513" s="29" t="str">
        <f t="shared" si="516"/>
        <v>#DIV/0!</v>
      </c>
      <c r="BE513" s="29" t="str">
        <f t="shared" si="516"/>
        <v>#DIV/0!</v>
      </c>
      <c r="BF513" s="29" t="str">
        <f t="shared" si="516"/>
        <v>#DIV/0!</v>
      </c>
      <c r="BG513" s="29" t="str">
        <f t="shared" si="516"/>
        <v>#DIV/0!</v>
      </c>
      <c r="BH513" s="29" t="str">
        <f t="shared" si="516"/>
        <v>#DIV/0!</v>
      </c>
      <c r="BI513" s="29" t="str">
        <f t="shared" si="516"/>
        <v>#DIV/0!</v>
      </c>
      <c r="BJ513" s="29" t="str">
        <f t="shared" si="516"/>
        <v>#DIV/0!</v>
      </c>
      <c r="BK513" s="29" t="str">
        <f t="shared" si="516"/>
        <v>#DIV/0!</v>
      </c>
      <c r="BL513" s="29" t="str">
        <f t="shared" si="516"/>
        <v>#DIV/0!</v>
      </c>
      <c r="BM513" s="29" t="str">
        <f t="shared" si="3"/>
        <v>#DIV/0!</v>
      </c>
    </row>
    <row r="514">
      <c r="A514" s="16" t="str">
        <f>IFERROR(__xludf.DUMMYFUNCTION("IFERROR(SPARKLINE(SORT(MAP(TRANSPOSE(AQ514:BL514), LAMBDA(val, IF(ISNUMBER(val), PERCENTRANK(AQ514:BL514, val)+0.01, 0))), SEQUENCE(COLUMNS(AQ514:BL514)), FALSE), {""charttype"",""column""; ""color"",""chartreuse""; ""ymin"", 0; ""ymax"", 1.01; ""highcolo"&amp;"r"", ""darkgreen""; ""lowcolor"", ""red""}), """")"),"")</f>
        <v/>
      </c>
      <c r="B514" s="17" t="str">
        <f t="shared" si="4"/>
        <v/>
      </c>
      <c r="C514" s="1" t="s">
        <v>2333</v>
      </c>
      <c r="D514" s="34" t="str">
        <f>IFERROR(__xludf.DUMMYFUNCTION("IFERROR(GOOGLEFINANCE(C514, ""NAME""))"),"Huntington Bancshares Inc")</f>
        <v>Huntington Bancshares Inc</v>
      </c>
      <c r="E514" s="30" t="s">
        <v>268</v>
      </c>
      <c r="F514" s="33" t="str">
        <f>IFERROR(__xludf.DUMMYFUNCTION("( (GOOGLEFINANCE(C514, ""price"") - Q514) / Q514 ) / (R514 / 100)"),"Loading...")</f>
        <v>Loading...</v>
      </c>
      <c r="G514" s="20" t="str">
        <f>IFERROR(__xludf.DUMMYFUNCTION("AVERAGE(ARRAYFORMULA(100 * (QUERY(GOOGLEFINANCE(C514, ""high"", TODAY()-40, TODAY()), ""SELECT Col2 WHERE Col2 IS NOT NULL ORDER BY Col1 DESC LIMIT 20"", 0) / QUERY(GOOGLEFINANCE(C514, ""low"", TODAY()-40, TODAY()), ""SELECT Col2 WHERE Col2 IS NOT NULL OR"&amp;"DER BY Col1 DESC LIMIT 20"", 0) - 1)))"),"#N/A")</f>
        <v>#N/A</v>
      </c>
      <c r="H514" s="35" t="str">
        <f t="shared" si="6"/>
        <v/>
      </c>
      <c r="I514" s="36" t="str">
        <f t="shared" si="7"/>
        <v/>
      </c>
      <c r="J514" s="37" t="str">
        <f>IFERROR(__xludf.DUMMYFUNCTION("IFERROR(
  IF(C514="""",, 
    IFERROR(
      GOOGLEFINANCE(C514, ""price"") * GOOGLEFINANCE(C514, ""volumeavg""), 
      GOOGLEFINANCE(C514, ""price"") * AVERAGE(QUERY(GOOGLEFINANCE(C514, ""volume"", TODAY()-40, TODAY()), ""SELECT Col2 WHERE Col2 IS NOT "&amp;"NULL ORDER BY Col1 DESC LIMIT 20"", 0))
    )
  ), 
"""")"),"")</f>
        <v/>
      </c>
      <c r="K514" s="21" t="str">
        <f>IFERROR(__xludf.DUMMYFUNCTION("IFERROR(GOOGLEFINANCE(C514, ""changepct"") / 100, """")"),"")</f>
        <v/>
      </c>
      <c r="L514" s="21" t="str">
        <f>IFERROR(__xludf.DUMMYFUNCTION("IFERROR((GOOGLEFINANCE(C514, ""price"") / INDEX(GOOGLEFINANCE(C514, ""price"", TODAY()-7, TODAY()), 2, 2)) - 1, """")"),"")</f>
        <v/>
      </c>
      <c r="M514" s="21" t="str">
        <f>IFERROR(__xludf.DUMMYFUNCTION("IFERROR((GOOGLEFINANCE(C514, ""price"") / INDEX(GOOGLEFINANCE(C514, ""price"", EDATE(TODAY(), -1), TODAY()), 2, 2)) - 1, """")"),"")</f>
        <v/>
      </c>
      <c r="N514" s="21" t="str">
        <f>IFERROR(__xludf.DUMMYFUNCTION("IFERROR((GOOGLEFINANCE(C514, ""price"") / INDEX(GOOGLEFINANCE(C514, ""price"", EDATE(TODAY(), -3), TODAY()), 2, 2)) - 1, """")"),"")</f>
        <v/>
      </c>
      <c r="O514" s="21" t="str">
        <f>IFERROR(__xludf.DUMMYFUNCTION("IFERROR((GOOGLEFINANCE(C514, ""price"") / INDEX(GOOGLEFINANCE(C514, ""price"", EDATE(TODAY(), -6), TODAY()), 2, 2)) - 1, """")"),"")</f>
        <v/>
      </c>
      <c r="P514" s="21" t="str">
        <f>IFERROR(__xludf.DUMMYFUNCTION("IFERROR((GOOGLEFINANCE(C514, ""price"") / INDEX(GOOGLEFINANCE(C514, ""price"", EDATE(TODAY(), -12), TODAY()), 2, 2)) - 1, """")"),"")</f>
        <v/>
      </c>
      <c r="Q514" s="6" t="str">
        <f>IFERROR(__xludf.DUMMYFUNCTION("AVERAGE(QUERY(GOOGLEFINANCE(C514, ""price"", TODAY()-80, TODAY()), ""SELECT Col2 WHERE Col2 IS NOT NULL ORDER BY Col1 DESC LIMIT 50"", 0))"),"#N/A")</f>
        <v>#N/A</v>
      </c>
      <c r="R514" s="24" t="str">
        <f>IFERROR(__xludf.DUMMYFUNCTION("IFERROR(
  LET(
    data, QUERY(GOOGLEFINANCE(C514,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GOOGLEFINANCE(C514, ""price"")) * 100,
    IF(calc=0, G514, calc)
  ), 
G514)"),"#N/A")</f>
        <v>#N/A</v>
      </c>
      <c r="S514" s="8" t="s">
        <v>15</v>
      </c>
      <c r="T514" s="26" t="str">
        <f>IFERROR(__xludf.DUMMYFUNCTION("IFERROR(TRANSPOSE(QUERY(IFERROR(SORT(GOOGLEFINANCE(C514, ""price"", WORKDAY(TODAY(), -40), TODAY()), 1, FALSE)), ""select Col2 where Col2 is not null limit 22 label Col2 ''"", 0)), """")"),"")</f>
        <v/>
      </c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8"/>
      <c r="AO514" s="28"/>
      <c r="AP514" s="29"/>
      <c r="AQ514" s="29" t="str">
        <f t="shared" ref="AQ514:BL514" si="517">T514/T$2</f>
        <v>#N/A</v>
      </c>
      <c r="AR514" s="29" t="str">
        <f t="shared" si="517"/>
        <v>#DIV/0!</v>
      </c>
      <c r="AS514" s="29" t="str">
        <f t="shared" si="517"/>
        <v>#DIV/0!</v>
      </c>
      <c r="AT514" s="29" t="str">
        <f t="shared" si="517"/>
        <v>#DIV/0!</v>
      </c>
      <c r="AU514" s="29" t="str">
        <f t="shared" si="517"/>
        <v>#DIV/0!</v>
      </c>
      <c r="AV514" s="29" t="str">
        <f t="shared" si="517"/>
        <v>#DIV/0!</v>
      </c>
      <c r="AW514" s="29" t="str">
        <f t="shared" si="517"/>
        <v>#DIV/0!</v>
      </c>
      <c r="AX514" s="29" t="str">
        <f t="shared" si="517"/>
        <v>#DIV/0!</v>
      </c>
      <c r="AY514" s="29" t="str">
        <f t="shared" si="517"/>
        <v>#DIV/0!</v>
      </c>
      <c r="AZ514" s="29" t="str">
        <f t="shared" si="517"/>
        <v>#DIV/0!</v>
      </c>
      <c r="BA514" s="29" t="str">
        <f t="shared" si="517"/>
        <v>#DIV/0!</v>
      </c>
      <c r="BB514" s="29" t="str">
        <f t="shared" si="517"/>
        <v>#DIV/0!</v>
      </c>
      <c r="BC514" s="29" t="str">
        <f t="shared" si="517"/>
        <v>#DIV/0!</v>
      </c>
      <c r="BD514" s="29" t="str">
        <f t="shared" si="517"/>
        <v>#DIV/0!</v>
      </c>
      <c r="BE514" s="29" t="str">
        <f t="shared" si="517"/>
        <v>#DIV/0!</v>
      </c>
      <c r="BF514" s="29" t="str">
        <f t="shared" si="517"/>
        <v>#DIV/0!</v>
      </c>
      <c r="BG514" s="29" t="str">
        <f t="shared" si="517"/>
        <v>#DIV/0!</v>
      </c>
      <c r="BH514" s="29" t="str">
        <f t="shared" si="517"/>
        <v>#DIV/0!</v>
      </c>
      <c r="BI514" s="29" t="str">
        <f t="shared" si="517"/>
        <v>#DIV/0!</v>
      </c>
      <c r="BJ514" s="29" t="str">
        <f t="shared" si="517"/>
        <v>#DIV/0!</v>
      </c>
      <c r="BK514" s="29" t="str">
        <f t="shared" si="517"/>
        <v>#DIV/0!</v>
      </c>
      <c r="BL514" s="29" t="str">
        <f t="shared" si="517"/>
        <v>#DIV/0!</v>
      </c>
      <c r="BM514" s="29" t="str">
        <f t="shared" si="3"/>
        <v>#DIV/0!</v>
      </c>
    </row>
    <row r="515">
      <c r="A515" s="16" t="str">
        <f>IFERROR(__xludf.DUMMYFUNCTION("IFERROR(SPARKLINE(SORT(MAP(TRANSPOSE(AQ515:BL515), LAMBDA(val, IF(ISNUMBER(val), PERCENTRANK(AQ515:BL515, val)+0.01, 0))), SEQUENCE(COLUMNS(AQ515:BL515)), FALSE), {""charttype"",""column""; ""color"",""chartreuse""; ""ymin"", 0; ""ymax"", 1.01; ""highcolo"&amp;"r"", ""darkgreen""; ""lowcolor"", ""red""}), """")"),"")</f>
        <v/>
      </c>
      <c r="B515" s="17" t="str">
        <f t="shared" si="4"/>
        <v/>
      </c>
      <c r="C515" s="1" t="s">
        <v>2336</v>
      </c>
      <c r="D515" s="34" t="str">
        <f>IFERROR(__xludf.DUMMYFUNCTION("IFERROR(GOOGLEFINANCE(C515, ""NAME""))"),"Truist Financial Corporation")</f>
        <v>Truist Financial Corporation</v>
      </c>
      <c r="E515" s="30" t="s">
        <v>268</v>
      </c>
      <c r="F515" s="33" t="str">
        <f>IFERROR(__xludf.DUMMYFUNCTION("( (GOOGLEFINANCE(C515, ""price"") - Q515) / Q515 ) / (R515 / 100)"),"Loading...")</f>
        <v>Loading...</v>
      </c>
      <c r="G515" s="20" t="str">
        <f>IFERROR(__xludf.DUMMYFUNCTION("AVERAGE(ARRAYFORMULA(100 * (QUERY(GOOGLEFINANCE(C515, ""high"", TODAY()-40, TODAY()), ""SELECT Col2 WHERE Col2 IS NOT NULL ORDER BY Col1 DESC LIMIT 20"", 0) / QUERY(GOOGLEFINANCE(C515, ""low"", TODAY()-40, TODAY()), ""SELECT Col2 WHERE Col2 IS NOT NULL OR"&amp;"DER BY Col1 DESC LIMIT 20"", 0) - 1)))"),"#N/A")</f>
        <v>#N/A</v>
      </c>
      <c r="H515" s="35" t="str">
        <f t="shared" si="6"/>
        <v/>
      </c>
      <c r="I515" s="36" t="str">
        <f t="shared" si="7"/>
        <v/>
      </c>
      <c r="J515" s="37" t="str">
        <f>IFERROR(__xludf.DUMMYFUNCTION("IFERROR(
  IF(C515="""",, 
    IFERROR(
      GOOGLEFINANCE(C515, ""price"") * GOOGLEFINANCE(C515, ""volumeavg""), 
      GOOGLEFINANCE(C515, ""price"") * AVERAGE(QUERY(GOOGLEFINANCE(C515, ""volume"", TODAY()-40, TODAY()), ""SELECT Col2 WHERE Col2 IS NOT "&amp;"NULL ORDER BY Col1 DESC LIMIT 20"", 0))
    )
  ), 
"""")"),"")</f>
        <v/>
      </c>
      <c r="K515" s="21" t="str">
        <f>IFERROR(__xludf.DUMMYFUNCTION("IFERROR(GOOGLEFINANCE(C515, ""changepct"") / 100, """")"),"")</f>
        <v/>
      </c>
      <c r="L515" s="21" t="str">
        <f>IFERROR(__xludf.DUMMYFUNCTION("IFERROR((GOOGLEFINANCE(C515, ""price"") / INDEX(GOOGLEFINANCE(C515, ""price"", TODAY()-7, TODAY()), 2, 2)) - 1, """")"),"")</f>
        <v/>
      </c>
      <c r="M515" s="21" t="str">
        <f>IFERROR(__xludf.DUMMYFUNCTION("IFERROR((GOOGLEFINANCE(C515, ""price"") / INDEX(GOOGLEFINANCE(C515, ""price"", EDATE(TODAY(), -1), TODAY()), 2, 2)) - 1, """")"),"")</f>
        <v/>
      </c>
      <c r="N515" s="21" t="str">
        <f>IFERROR(__xludf.DUMMYFUNCTION("IFERROR((GOOGLEFINANCE(C515, ""price"") / INDEX(GOOGLEFINANCE(C515, ""price"", EDATE(TODAY(), -3), TODAY()), 2, 2)) - 1, """")"),"")</f>
        <v/>
      </c>
      <c r="O515" s="21" t="str">
        <f>IFERROR(__xludf.DUMMYFUNCTION("IFERROR((GOOGLEFINANCE(C515, ""price"") / INDEX(GOOGLEFINANCE(C515, ""price"", EDATE(TODAY(), -6), TODAY()), 2, 2)) - 1, """")"),"")</f>
        <v/>
      </c>
      <c r="P515" s="21" t="str">
        <f>IFERROR(__xludf.DUMMYFUNCTION("IFERROR((GOOGLEFINANCE(C515, ""price"") / INDEX(GOOGLEFINANCE(C515, ""price"", EDATE(TODAY(), -12), TODAY()), 2, 2)) - 1, """")"),"")</f>
        <v/>
      </c>
      <c r="Q515" s="6" t="str">
        <f>IFERROR(__xludf.DUMMYFUNCTION("AVERAGE(QUERY(GOOGLEFINANCE(C515, ""price"", TODAY()-80, TODAY()), ""SELECT Col2 WHERE Col2 IS NOT NULL ORDER BY Col1 DESC LIMIT 50"", 0))"),"#N/A")</f>
        <v>#N/A</v>
      </c>
      <c r="R515" s="24" t="str">
        <f>IFERROR(__xludf.DUMMYFUNCTION("IFERROR(
  LET(
    data, QUERY(GOOGLEFINANCE(C515,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GOOGLEFINANCE(C515, ""price"")) * 100,
    IF(calc=0, G515, calc)
  ), 
G515)"),"#N/A")</f>
        <v>#N/A</v>
      </c>
      <c r="S515" s="8" t="s">
        <v>15</v>
      </c>
      <c r="T515" s="26" t="str">
        <f>IFERROR(__xludf.DUMMYFUNCTION("IFERROR(TRANSPOSE(QUERY(IFERROR(SORT(GOOGLEFINANCE(C515, ""price"", WORKDAY(TODAY(), -40), TODAY()), 1, FALSE)), ""select Col2 where Col2 is not null limit 22 label Col2 ''"", 0)), """")"),"")</f>
        <v/>
      </c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8"/>
      <c r="AO515" s="28"/>
      <c r="AP515" s="29"/>
      <c r="AQ515" s="29" t="str">
        <f t="shared" ref="AQ515:BL515" si="518">T515/T$2</f>
        <v>#N/A</v>
      </c>
      <c r="AR515" s="29" t="str">
        <f t="shared" si="518"/>
        <v>#DIV/0!</v>
      </c>
      <c r="AS515" s="29" t="str">
        <f t="shared" si="518"/>
        <v>#DIV/0!</v>
      </c>
      <c r="AT515" s="29" t="str">
        <f t="shared" si="518"/>
        <v>#DIV/0!</v>
      </c>
      <c r="AU515" s="29" t="str">
        <f t="shared" si="518"/>
        <v>#DIV/0!</v>
      </c>
      <c r="AV515" s="29" t="str">
        <f t="shared" si="518"/>
        <v>#DIV/0!</v>
      </c>
      <c r="AW515" s="29" t="str">
        <f t="shared" si="518"/>
        <v>#DIV/0!</v>
      </c>
      <c r="AX515" s="29" t="str">
        <f t="shared" si="518"/>
        <v>#DIV/0!</v>
      </c>
      <c r="AY515" s="29" t="str">
        <f t="shared" si="518"/>
        <v>#DIV/0!</v>
      </c>
      <c r="AZ515" s="29" t="str">
        <f t="shared" si="518"/>
        <v>#DIV/0!</v>
      </c>
      <c r="BA515" s="29" t="str">
        <f t="shared" si="518"/>
        <v>#DIV/0!</v>
      </c>
      <c r="BB515" s="29" t="str">
        <f t="shared" si="518"/>
        <v>#DIV/0!</v>
      </c>
      <c r="BC515" s="29" t="str">
        <f t="shared" si="518"/>
        <v>#DIV/0!</v>
      </c>
      <c r="BD515" s="29" t="str">
        <f t="shared" si="518"/>
        <v>#DIV/0!</v>
      </c>
      <c r="BE515" s="29" t="str">
        <f t="shared" si="518"/>
        <v>#DIV/0!</v>
      </c>
      <c r="BF515" s="29" t="str">
        <f t="shared" si="518"/>
        <v>#DIV/0!</v>
      </c>
      <c r="BG515" s="29" t="str">
        <f t="shared" si="518"/>
        <v>#DIV/0!</v>
      </c>
      <c r="BH515" s="29" t="str">
        <f t="shared" si="518"/>
        <v>#DIV/0!</v>
      </c>
      <c r="BI515" s="29" t="str">
        <f t="shared" si="518"/>
        <v>#DIV/0!</v>
      </c>
      <c r="BJ515" s="29" t="str">
        <f t="shared" si="518"/>
        <v>#DIV/0!</v>
      </c>
      <c r="BK515" s="29" t="str">
        <f t="shared" si="518"/>
        <v>#DIV/0!</v>
      </c>
      <c r="BL515" s="29" t="str">
        <f t="shared" si="518"/>
        <v>#DIV/0!</v>
      </c>
      <c r="BM515" s="29" t="str">
        <f t="shared" si="3"/>
        <v>#DIV/0!</v>
      </c>
    </row>
    <row r="516">
      <c r="A516" s="16" t="str">
        <f>IFERROR(__xludf.DUMMYFUNCTION("IFERROR(SPARKLINE(SORT(MAP(TRANSPOSE(AQ516:BL516), LAMBDA(val, IF(ISNUMBER(val), PERCENTRANK(AQ516:BL516, val)+0.01, 0))), SEQUENCE(COLUMNS(AQ516:BL516)), FALSE), {""charttype"",""column""; ""color"",""chartreuse""; ""ymin"", 0; ""ymax"", 1.01; ""highcolo"&amp;"r"", ""darkgreen""; ""lowcolor"", ""red""}), """")"),"")</f>
        <v/>
      </c>
      <c r="B516" s="17" t="str">
        <f t="shared" si="4"/>
        <v/>
      </c>
      <c r="C516" s="1" t="s">
        <v>2340</v>
      </c>
      <c r="D516" s="34" t="str">
        <f>IFERROR(__xludf.DUMMYFUNCTION("IFERROR(GOOGLEFINANCE(C516, ""NAME""))"),"Hilltop Holdings Inc.")</f>
        <v>Hilltop Holdings Inc.</v>
      </c>
      <c r="E516" s="30" t="s">
        <v>97</v>
      </c>
      <c r="F516" s="33" t="str">
        <f>IFERROR(__xludf.DUMMYFUNCTION("( (GOOGLEFINANCE(C516, ""price"") - Q516) / Q516 ) / (R516 / 100)"),"Loading...")</f>
        <v>Loading...</v>
      </c>
      <c r="G516" s="20" t="str">
        <f>IFERROR(__xludf.DUMMYFUNCTION("AVERAGE(ARRAYFORMULA(100 * (QUERY(GOOGLEFINANCE(C516, ""high"", TODAY()-40, TODAY()), ""SELECT Col2 WHERE Col2 IS NOT NULL ORDER BY Col1 DESC LIMIT 20"", 0) / QUERY(GOOGLEFINANCE(C516, ""low"", TODAY()-40, TODAY()), ""SELECT Col2 WHERE Col2 IS NOT NULL OR"&amp;"DER BY Col1 DESC LIMIT 20"", 0) - 1)))"),"#N/A")</f>
        <v>#N/A</v>
      </c>
      <c r="H516" s="35" t="str">
        <f t="shared" si="6"/>
        <v/>
      </c>
      <c r="I516" s="36" t="str">
        <f t="shared" si="7"/>
        <v/>
      </c>
      <c r="J516" s="37" t="str">
        <f>IFERROR(__xludf.DUMMYFUNCTION("IFERROR(
  IF(C516="""",, 
    IFERROR(
      GOOGLEFINANCE(C516, ""price"") * GOOGLEFINANCE(C516, ""volumeavg""), 
      GOOGLEFINANCE(C516, ""price"") * AVERAGE(QUERY(GOOGLEFINANCE(C516, ""volume"", TODAY()-40, TODAY()), ""SELECT Col2 WHERE Col2 IS NOT "&amp;"NULL ORDER BY Col1 DESC LIMIT 20"", 0))
    )
  ), 
"""")"),"")</f>
        <v/>
      </c>
      <c r="K516" s="21" t="str">
        <f>IFERROR(__xludf.DUMMYFUNCTION("IFERROR(GOOGLEFINANCE(C516, ""changepct"") / 100, """")"),"")</f>
        <v/>
      </c>
      <c r="L516" s="21" t="str">
        <f>IFERROR(__xludf.DUMMYFUNCTION("IFERROR((GOOGLEFINANCE(C516, ""price"") / INDEX(GOOGLEFINANCE(C516, ""price"", TODAY()-7, TODAY()), 2, 2)) - 1, """")"),"")</f>
        <v/>
      </c>
      <c r="M516" s="21" t="str">
        <f>IFERROR(__xludf.DUMMYFUNCTION("IFERROR((GOOGLEFINANCE(C516, ""price"") / INDEX(GOOGLEFINANCE(C516, ""price"", EDATE(TODAY(), -1), TODAY()), 2, 2)) - 1, """")"),"")</f>
        <v/>
      </c>
      <c r="N516" s="21" t="str">
        <f>IFERROR(__xludf.DUMMYFUNCTION("IFERROR((GOOGLEFINANCE(C516, ""price"") / INDEX(GOOGLEFINANCE(C516, ""price"", EDATE(TODAY(), -3), TODAY()), 2, 2)) - 1, """")"),"")</f>
        <v/>
      </c>
      <c r="O516" s="21" t="str">
        <f>IFERROR(__xludf.DUMMYFUNCTION("IFERROR((GOOGLEFINANCE(C516, ""price"") / INDEX(GOOGLEFINANCE(C516, ""price"", EDATE(TODAY(), -6), TODAY()), 2, 2)) - 1, """")"),"")</f>
        <v/>
      </c>
      <c r="P516" s="21" t="str">
        <f>IFERROR(__xludf.DUMMYFUNCTION("IFERROR((GOOGLEFINANCE(C516, ""price"") / INDEX(GOOGLEFINANCE(C516, ""price"", EDATE(TODAY(), -12), TODAY()), 2, 2)) - 1, """")"),"")</f>
        <v/>
      </c>
      <c r="Q516" s="6" t="str">
        <f>IFERROR(__xludf.DUMMYFUNCTION("AVERAGE(QUERY(GOOGLEFINANCE(C516, ""price"", TODAY()-80, TODAY()), ""SELECT Col2 WHERE Col2 IS NOT NULL ORDER BY Col1 DESC LIMIT 50"", 0))"),"#N/A")</f>
        <v>#N/A</v>
      </c>
      <c r="R516" s="24" t="str">
        <f>IFERROR(__xludf.DUMMYFUNCTION("IFERROR(
  LET(
    data, QUERY(GOOGLEFINANCE(C516,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GOOGLEFINANCE(C516, ""price"")) * 100,
    IF(calc=0, G516, calc)
  ), 
G516)"),"#N/A")</f>
        <v>#N/A</v>
      </c>
      <c r="S516" s="8" t="s">
        <v>15</v>
      </c>
      <c r="T516" s="26" t="str">
        <f>IFERROR(__xludf.DUMMYFUNCTION("IFERROR(TRANSPOSE(QUERY(IFERROR(SORT(GOOGLEFINANCE(C516, ""price"", WORKDAY(TODAY(), -40), TODAY()), 1, FALSE)), ""select Col2 where Col2 is not null limit 22 label Col2 ''"", 0)), """")"),"")</f>
        <v/>
      </c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8"/>
      <c r="AO516" s="28"/>
      <c r="AP516" s="29"/>
      <c r="AQ516" s="29" t="str">
        <f t="shared" ref="AQ516:BL516" si="519">T516/T$2</f>
        <v>#N/A</v>
      </c>
      <c r="AR516" s="29" t="str">
        <f t="shared" si="519"/>
        <v>#DIV/0!</v>
      </c>
      <c r="AS516" s="29" t="str">
        <f t="shared" si="519"/>
        <v>#DIV/0!</v>
      </c>
      <c r="AT516" s="29" t="str">
        <f t="shared" si="519"/>
        <v>#DIV/0!</v>
      </c>
      <c r="AU516" s="29" t="str">
        <f t="shared" si="519"/>
        <v>#DIV/0!</v>
      </c>
      <c r="AV516" s="29" t="str">
        <f t="shared" si="519"/>
        <v>#DIV/0!</v>
      </c>
      <c r="AW516" s="29" t="str">
        <f t="shared" si="519"/>
        <v>#DIV/0!</v>
      </c>
      <c r="AX516" s="29" t="str">
        <f t="shared" si="519"/>
        <v>#DIV/0!</v>
      </c>
      <c r="AY516" s="29" t="str">
        <f t="shared" si="519"/>
        <v>#DIV/0!</v>
      </c>
      <c r="AZ516" s="29" t="str">
        <f t="shared" si="519"/>
        <v>#DIV/0!</v>
      </c>
      <c r="BA516" s="29" t="str">
        <f t="shared" si="519"/>
        <v>#DIV/0!</v>
      </c>
      <c r="BB516" s="29" t="str">
        <f t="shared" si="519"/>
        <v>#DIV/0!</v>
      </c>
      <c r="BC516" s="29" t="str">
        <f t="shared" si="519"/>
        <v>#DIV/0!</v>
      </c>
      <c r="BD516" s="29" t="str">
        <f t="shared" si="519"/>
        <v>#DIV/0!</v>
      </c>
      <c r="BE516" s="29" t="str">
        <f t="shared" si="519"/>
        <v>#DIV/0!</v>
      </c>
      <c r="BF516" s="29" t="str">
        <f t="shared" si="519"/>
        <v>#DIV/0!</v>
      </c>
      <c r="BG516" s="29" t="str">
        <f t="shared" si="519"/>
        <v>#DIV/0!</v>
      </c>
      <c r="BH516" s="29" t="str">
        <f t="shared" si="519"/>
        <v>#DIV/0!</v>
      </c>
      <c r="BI516" s="29" t="str">
        <f t="shared" si="519"/>
        <v>#DIV/0!</v>
      </c>
      <c r="BJ516" s="29" t="str">
        <f t="shared" si="519"/>
        <v>#DIV/0!</v>
      </c>
      <c r="BK516" s="29" t="str">
        <f t="shared" si="519"/>
        <v>#DIV/0!</v>
      </c>
      <c r="BL516" s="29" t="str">
        <f t="shared" si="519"/>
        <v>#DIV/0!</v>
      </c>
      <c r="BM516" s="29" t="str">
        <f t="shared" si="3"/>
        <v>#DIV/0!</v>
      </c>
    </row>
    <row r="517">
      <c r="A517" s="16" t="str">
        <f>IFERROR(__xludf.DUMMYFUNCTION("IFERROR(SPARKLINE(SORT(MAP(TRANSPOSE(AQ517:BL517), LAMBDA(val, IF(ISNUMBER(val), PERCENTRANK(AQ517:BL517, val)+0.01, 0))), SEQUENCE(COLUMNS(AQ517:BL517)), FALSE), {""charttype"",""column""; ""color"",""chartreuse""; ""ymin"", 0; ""ymax"", 1.01; ""highcolo"&amp;"r"", ""darkgreen""; ""lowcolor"", ""red""}), """")"),"")</f>
        <v/>
      </c>
      <c r="B517" s="17" t="str">
        <f t="shared" si="4"/>
        <v/>
      </c>
      <c r="C517" s="1" t="s">
        <v>2344</v>
      </c>
      <c r="D517" s="34" t="str">
        <f>IFERROR(__xludf.DUMMYFUNCTION("IFERROR(GOOGLEFINANCE(C517, ""NAME""))"),"Trupanion Inc")</f>
        <v>Trupanion Inc</v>
      </c>
      <c r="E517" s="30" t="s">
        <v>82</v>
      </c>
      <c r="F517" s="38" t="str">
        <f>IFERROR(__xludf.DUMMYFUNCTION("( (GOOGLEFINANCE(C517, ""price"") - Q517) / Q517 ) / (R517 / 100)"),"Loading...")</f>
        <v>Loading...</v>
      </c>
      <c r="G517" s="20" t="str">
        <f>IFERROR(__xludf.DUMMYFUNCTION("AVERAGE(ARRAYFORMULA(100 * (QUERY(GOOGLEFINANCE(C517, ""high"", TODAY()-40, TODAY()), ""SELECT Col2 WHERE Col2 IS NOT NULL ORDER BY Col1 DESC LIMIT 20"", 0) / QUERY(GOOGLEFINANCE(C517, ""low"", TODAY()-40, TODAY()), ""SELECT Col2 WHERE Col2 IS NOT NULL OR"&amp;"DER BY Col1 DESC LIMIT 20"", 0) - 1)))"),"#N/A")</f>
        <v>#N/A</v>
      </c>
      <c r="H517" s="35" t="str">
        <f t="shared" si="6"/>
        <v/>
      </c>
      <c r="I517" s="36" t="str">
        <f t="shared" si="7"/>
        <v/>
      </c>
      <c r="J517" s="37" t="str">
        <f>IFERROR(__xludf.DUMMYFUNCTION("IFERROR(
  IF(C517="""",, 
    IFERROR(
      GOOGLEFINANCE(C517, ""price"") * GOOGLEFINANCE(C517, ""volumeavg""), 
      GOOGLEFINANCE(C517, ""price"") * AVERAGE(QUERY(GOOGLEFINANCE(C517, ""volume"", TODAY()-40, TODAY()), ""SELECT Col2 WHERE Col2 IS NOT "&amp;"NULL ORDER BY Col1 DESC LIMIT 20"", 0))
    )
  ), 
"""")"),"")</f>
        <v/>
      </c>
      <c r="K517" s="21" t="str">
        <f>IFERROR(__xludf.DUMMYFUNCTION("IFERROR(GOOGLEFINANCE(C517, ""changepct"") / 100, """")"),"")</f>
        <v/>
      </c>
      <c r="L517" s="21" t="str">
        <f>IFERROR(__xludf.DUMMYFUNCTION("IFERROR((GOOGLEFINANCE(C517, ""price"") / INDEX(GOOGLEFINANCE(C517, ""price"", TODAY()-7, TODAY()), 2, 2)) - 1, """")"),"")</f>
        <v/>
      </c>
      <c r="M517" s="21" t="str">
        <f>IFERROR(__xludf.DUMMYFUNCTION("IFERROR((GOOGLEFINANCE(C517, ""price"") / INDEX(GOOGLEFINANCE(C517, ""price"", EDATE(TODAY(), -1), TODAY()), 2, 2)) - 1, """")"),"")</f>
        <v/>
      </c>
      <c r="N517" s="21" t="str">
        <f>IFERROR(__xludf.DUMMYFUNCTION("IFERROR((GOOGLEFINANCE(C517, ""price"") / INDEX(GOOGLEFINANCE(C517, ""price"", EDATE(TODAY(), -3), TODAY()), 2, 2)) - 1, """")"),"")</f>
        <v/>
      </c>
      <c r="O517" s="21" t="str">
        <f>IFERROR(__xludf.DUMMYFUNCTION("IFERROR((GOOGLEFINANCE(C517, ""price"") / INDEX(GOOGLEFINANCE(C517, ""price"", EDATE(TODAY(), -6), TODAY()), 2, 2)) - 1, """")"),"")</f>
        <v/>
      </c>
      <c r="P517" s="21" t="str">
        <f>IFERROR(__xludf.DUMMYFUNCTION("IFERROR((GOOGLEFINANCE(C517, ""price"") / INDEX(GOOGLEFINANCE(C517, ""price"", EDATE(TODAY(), -12), TODAY()), 2, 2)) - 1, """")"),"")</f>
        <v/>
      </c>
      <c r="Q517" s="6" t="str">
        <f>IFERROR(__xludf.DUMMYFUNCTION("AVERAGE(QUERY(GOOGLEFINANCE(C517, ""price"", TODAY()-80, TODAY()), ""SELECT Col2 WHERE Col2 IS NOT NULL ORDER BY Col1 DESC LIMIT 50"", 0))"),"#N/A")</f>
        <v>#N/A</v>
      </c>
      <c r="R517" s="24" t="str">
        <f>IFERROR(__xludf.DUMMYFUNCTION("IFERROR(
  LET(
    data, QUERY(GOOGLEFINANCE(C517,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GOOGLEFINANCE(C517, ""price"")) * 100,
    IF(calc=0, G517, calc)
  ), 
G517)"),"#N/A")</f>
        <v>#N/A</v>
      </c>
      <c r="S517" s="8" t="s">
        <v>15</v>
      </c>
      <c r="T517" s="26" t="str">
        <f>IFERROR(__xludf.DUMMYFUNCTION("IFERROR(TRANSPOSE(QUERY(IFERROR(SORT(GOOGLEFINANCE(C517, ""price"", WORKDAY(TODAY(), -40), TODAY()), 1, FALSE)), ""select Col2 where Col2 is not null limit 22 label Col2 ''"", 0)), """")"),"")</f>
        <v/>
      </c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8"/>
      <c r="AO517" s="28"/>
      <c r="AP517" s="29"/>
      <c r="AQ517" s="29" t="str">
        <f t="shared" ref="AQ517:BL517" si="520">T517/T$2</f>
        <v>#N/A</v>
      </c>
      <c r="AR517" s="29" t="str">
        <f t="shared" si="520"/>
        <v>#DIV/0!</v>
      </c>
      <c r="AS517" s="29" t="str">
        <f t="shared" si="520"/>
        <v>#DIV/0!</v>
      </c>
      <c r="AT517" s="29" t="str">
        <f t="shared" si="520"/>
        <v>#DIV/0!</v>
      </c>
      <c r="AU517" s="29" t="str">
        <f t="shared" si="520"/>
        <v>#DIV/0!</v>
      </c>
      <c r="AV517" s="29" t="str">
        <f t="shared" si="520"/>
        <v>#DIV/0!</v>
      </c>
      <c r="AW517" s="29" t="str">
        <f t="shared" si="520"/>
        <v>#DIV/0!</v>
      </c>
      <c r="AX517" s="29" t="str">
        <f t="shared" si="520"/>
        <v>#DIV/0!</v>
      </c>
      <c r="AY517" s="29" t="str">
        <f t="shared" si="520"/>
        <v>#DIV/0!</v>
      </c>
      <c r="AZ517" s="29" t="str">
        <f t="shared" si="520"/>
        <v>#DIV/0!</v>
      </c>
      <c r="BA517" s="29" t="str">
        <f t="shared" si="520"/>
        <v>#DIV/0!</v>
      </c>
      <c r="BB517" s="29" t="str">
        <f t="shared" si="520"/>
        <v>#DIV/0!</v>
      </c>
      <c r="BC517" s="29" t="str">
        <f t="shared" si="520"/>
        <v>#DIV/0!</v>
      </c>
      <c r="BD517" s="29" t="str">
        <f t="shared" si="520"/>
        <v>#DIV/0!</v>
      </c>
      <c r="BE517" s="29" t="str">
        <f t="shared" si="520"/>
        <v>#DIV/0!</v>
      </c>
      <c r="BF517" s="29" t="str">
        <f t="shared" si="520"/>
        <v>#DIV/0!</v>
      </c>
      <c r="BG517" s="29" t="str">
        <f t="shared" si="520"/>
        <v>#DIV/0!</v>
      </c>
      <c r="BH517" s="29" t="str">
        <f t="shared" si="520"/>
        <v>#DIV/0!</v>
      </c>
      <c r="BI517" s="29" t="str">
        <f t="shared" si="520"/>
        <v>#DIV/0!</v>
      </c>
      <c r="BJ517" s="29" t="str">
        <f t="shared" si="520"/>
        <v>#DIV/0!</v>
      </c>
      <c r="BK517" s="29" t="str">
        <f t="shared" si="520"/>
        <v>#DIV/0!</v>
      </c>
      <c r="BL517" s="29" t="str">
        <f t="shared" si="520"/>
        <v>#DIV/0!</v>
      </c>
      <c r="BM517" s="29" t="str">
        <f t="shared" si="3"/>
        <v>#DIV/0!</v>
      </c>
    </row>
    <row r="518">
      <c r="A518" s="16" t="str">
        <f>IFERROR(__xludf.DUMMYFUNCTION("IFERROR(SPARKLINE(SORT(MAP(TRANSPOSE(AQ518:BL518), LAMBDA(val, IF(ISNUMBER(val), PERCENTRANK(AQ518:BL518, val)+0.01, 0))), SEQUENCE(COLUMNS(AQ518:BL518)), FALSE), {""charttype"",""column""; ""color"",""chartreuse""; ""ymin"", 0; ""ymax"", 1.01; ""highcolo"&amp;"r"", ""darkgreen""; ""lowcolor"", ""red""}), """")"),"")</f>
        <v/>
      </c>
      <c r="B518" s="17" t="str">
        <f t="shared" si="4"/>
        <v/>
      </c>
      <c r="C518" s="1" t="s">
        <v>2348</v>
      </c>
      <c r="D518" s="34" t="str">
        <f>IFERROR(__xludf.DUMMYFUNCTION("IFERROR(GOOGLEFINANCE(C518, ""NAME""))"),"First Busey Corp")</f>
        <v>First Busey Corp</v>
      </c>
      <c r="E518" s="30" t="s">
        <v>268</v>
      </c>
      <c r="F518" s="38" t="str">
        <f>IFERROR(__xludf.DUMMYFUNCTION("( (GOOGLEFINANCE(C518, ""price"") - Q518) / Q518 ) / (R518 / 100)"),"Loading...")</f>
        <v>Loading...</v>
      </c>
      <c r="G518" s="20" t="str">
        <f>IFERROR(__xludf.DUMMYFUNCTION("AVERAGE(ARRAYFORMULA(100 * (QUERY(GOOGLEFINANCE(C518, ""high"", TODAY()-40, TODAY()), ""SELECT Col2 WHERE Col2 IS NOT NULL ORDER BY Col1 DESC LIMIT 20"", 0) / QUERY(GOOGLEFINANCE(C518, ""low"", TODAY()-40, TODAY()), ""SELECT Col2 WHERE Col2 IS NOT NULL OR"&amp;"DER BY Col1 DESC LIMIT 20"", 0) - 1)))"),"#N/A")</f>
        <v>#N/A</v>
      </c>
      <c r="H518" s="35" t="str">
        <f t="shared" si="6"/>
        <v/>
      </c>
      <c r="I518" s="36" t="str">
        <f t="shared" si="7"/>
        <v/>
      </c>
      <c r="J518" s="37" t="str">
        <f>IFERROR(__xludf.DUMMYFUNCTION("IFERROR(
  IF(C518="""",, 
    IFERROR(
      GOOGLEFINANCE(C518, ""price"") * GOOGLEFINANCE(C518, ""volumeavg""), 
      GOOGLEFINANCE(C518, ""price"") * AVERAGE(QUERY(GOOGLEFINANCE(C518, ""volume"", TODAY()-40, TODAY()), ""SELECT Col2 WHERE Col2 IS NOT "&amp;"NULL ORDER BY Col1 DESC LIMIT 20"", 0))
    )
  ), 
"""")"),"")</f>
        <v/>
      </c>
      <c r="K518" s="21" t="str">
        <f>IFERROR(__xludf.DUMMYFUNCTION("IFERROR(GOOGLEFINANCE(C518, ""changepct"") / 100, """")"),"")</f>
        <v/>
      </c>
      <c r="L518" s="21" t="str">
        <f>IFERROR(__xludf.DUMMYFUNCTION("IFERROR((GOOGLEFINANCE(C518, ""price"") / INDEX(GOOGLEFINANCE(C518, ""price"", TODAY()-7, TODAY()), 2, 2)) - 1, """")"),"")</f>
        <v/>
      </c>
      <c r="M518" s="21" t="str">
        <f>IFERROR(__xludf.DUMMYFUNCTION("IFERROR((GOOGLEFINANCE(C518, ""price"") / INDEX(GOOGLEFINANCE(C518, ""price"", EDATE(TODAY(), -1), TODAY()), 2, 2)) - 1, """")"),"")</f>
        <v/>
      </c>
      <c r="N518" s="21" t="str">
        <f>IFERROR(__xludf.DUMMYFUNCTION("IFERROR((GOOGLEFINANCE(C518, ""price"") / INDEX(GOOGLEFINANCE(C518, ""price"", EDATE(TODAY(), -3), TODAY()), 2, 2)) - 1, """")"),"")</f>
        <v/>
      </c>
      <c r="O518" s="21" t="str">
        <f>IFERROR(__xludf.DUMMYFUNCTION("IFERROR((GOOGLEFINANCE(C518, ""price"") / INDEX(GOOGLEFINANCE(C518, ""price"", EDATE(TODAY(), -6), TODAY()), 2, 2)) - 1, """")"),"")</f>
        <v/>
      </c>
      <c r="P518" s="21" t="str">
        <f>IFERROR(__xludf.DUMMYFUNCTION("IFERROR((GOOGLEFINANCE(C518, ""price"") / INDEX(GOOGLEFINANCE(C518, ""price"", EDATE(TODAY(), -12), TODAY()), 2, 2)) - 1, """")"),"")</f>
        <v/>
      </c>
      <c r="Q518" s="6" t="str">
        <f>IFERROR(__xludf.DUMMYFUNCTION("AVERAGE(QUERY(GOOGLEFINANCE(C518, ""price"", TODAY()-80, TODAY()), ""SELECT Col2 WHERE Col2 IS NOT NULL ORDER BY Col1 DESC LIMIT 50"", 0))"),"#N/A")</f>
        <v>#N/A</v>
      </c>
      <c r="R518" s="24" t="str">
        <f>IFERROR(__xludf.DUMMYFUNCTION("IFERROR(
  LET(
    data, QUERY(GOOGLEFINANCE(C518,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GOOGLEFINANCE(C518, ""price"")) * 100,
    IF(calc=0, G518, calc)
  ), 
G518)"),"#N/A")</f>
        <v>#N/A</v>
      </c>
      <c r="S518" s="8" t="s">
        <v>15</v>
      </c>
      <c r="T518" s="26" t="str">
        <f>IFERROR(__xludf.DUMMYFUNCTION("IFERROR(TRANSPOSE(QUERY(IFERROR(SORT(GOOGLEFINANCE(C518, ""price"", WORKDAY(TODAY(), -40), TODAY()), 1, FALSE)), ""select Col2 where Col2 is not null limit 22 label Col2 ''"", 0)), """")"),"")</f>
        <v/>
      </c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8"/>
      <c r="AO518" s="28"/>
      <c r="AP518" s="29"/>
      <c r="AQ518" s="29" t="str">
        <f t="shared" ref="AQ518:BL518" si="521">T518/T$2</f>
        <v>#N/A</v>
      </c>
      <c r="AR518" s="29" t="str">
        <f t="shared" si="521"/>
        <v>#DIV/0!</v>
      </c>
      <c r="AS518" s="29" t="str">
        <f t="shared" si="521"/>
        <v>#DIV/0!</v>
      </c>
      <c r="AT518" s="29" t="str">
        <f t="shared" si="521"/>
        <v>#DIV/0!</v>
      </c>
      <c r="AU518" s="29" t="str">
        <f t="shared" si="521"/>
        <v>#DIV/0!</v>
      </c>
      <c r="AV518" s="29" t="str">
        <f t="shared" si="521"/>
        <v>#DIV/0!</v>
      </c>
      <c r="AW518" s="29" t="str">
        <f t="shared" si="521"/>
        <v>#DIV/0!</v>
      </c>
      <c r="AX518" s="29" t="str">
        <f t="shared" si="521"/>
        <v>#DIV/0!</v>
      </c>
      <c r="AY518" s="29" t="str">
        <f t="shared" si="521"/>
        <v>#DIV/0!</v>
      </c>
      <c r="AZ518" s="29" t="str">
        <f t="shared" si="521"/>
        <v>#DIV/0!</v>
      </c>
      <c r="BA518" s="29" t="str">
        <f t="shared" si="521"/>
        <v>#DIV/0!</v>
      </c>
      <c r="BB518" s="29" t="str">
        <f t="shared" si="521"/>
        <v>#DIV/0!</v>
      </c>
      <c r="BC518" s="29" t="str">
        <f t="shared" si="521"/>
        <v>#DIV/0!</v>
      </c>
      <c r="BD518" s="29" t="str">
        <f t="shared" si="521"/>
        <v>#DIV/0!</v>
      </c>
      <c r="BE518" s="29" t="str">
        <f t="shared" si="521"/>
        <v>#DIV/0!</v>
      </c>
      <c r="BF518" s="29" t="str">
        <f t="shared" si="521"/>
        <v>#DIV/0!</v>
      </c>
      <c r="BG518" s="29" t="str">
        <f t="shared" si="521"/>
        <v>#DIV/0!</v>
      </c>
      <c r="BH518" s="29" t="str">
        <f t="shared" si="521"/>
        <v>#DIV/0!</v>
      </c>
      <c r="BI518" s="29" t="str">
        <f t="shared" si="521"/>
        <v>#DIV/0!</v>
      </c>
      <c r="BJ518" s="29" t="str">
        <f t="shared" si="521"/>
        <v>#DIV/0!</v>
      </c>
      <c r="BK518" s="29" t="str">
        <f t="shared" si="521"/>
        <v>#DIV/0!</v>
      </c>
      <c r="BL518" s="29" t="str">
        <f t="shared" si="521"/>
        <v>#DIV/0!</v>
      </c>
      <c r="BM518" s="29" t="str">
        <f t="shared" si="3"/>
        <v>#DIV/0!</v>
      </c>
    </row>
    <row r="519">
      <c r="A519" s="16" t="str">
        <f>IFERROR(__xludf.DUMMYFUNCTION("IFERROR(SPARKLINE(SORT(MAP(TRANSPOSE(AQ519:BL519), LAMBDA(val, IF(ISNUMBER(val), PERCENTRANK(AQ519:BL519, val)+0.01, 0))), SEQUENCE(COLUMNS(AQ519:BL519)), FALSE), {""charttype"",""column""; ""color"",""chartreuse""; ""ymin"", 0; ""ymax"", 1.01; ""highcolo"&amp;"r"", ""darkgreen""; ""lowcolor"", ""red""}), """")"),"")</f>
        <v/>
      </c>
      <c r="B519" s="17" t="str">
        <f t="shared" si="4"/>
        <v/>
      </c>
      <c r="C519" s="1" t="s">
        <v>2352</v>
      </c>
      <c r="D519" s="34" t="str">
        <f>IFERROR(__xludf.DUMMYFUNCTION("IFERROR(GOOGLEFINANCE(C519, ""NAME""))"),"Bank7 Corp")</f>
        <v>Bank7 Corp</v>
      </c>
      <c r="E519" s="30" t="s">
        <v>268</v>
      </c>
      <c r="F519" s="38" t="str">
        <f>IFERROR(__xludf.DUMMYFUNCTION("( (GOOGLEFINANCE(C519, ""price"") - Q519) / Q519 ) / (R519 / 100)"),"Loading...")</f>
        <v>Loading...</v>
      </c>
      <c r="G519" s="20" t="str">
        <f>IFERROR(__xludf.DUMMYFUNCTION("AVERAGE(ARRAYFORMULA(100 * (QUERY(GOOGLEFINANCE(C519, ""high"", TODAY()-40, TODAY()), ""SELECT Col2 WHERE Col2 IS NOT NULL ORDER BY Col1 DESC LIMIT 20"", 0) / QUERY(GOOGLEFINANCE(C519, ""low"", TODAY()-40, TODAY()), ""SELECT Col2 WHERE Col2 IS NOT NULL OR"&amp;"DER BY Col1 DESC LIMIT 20"", 0) - 1)))"),"#N/A")</f>
        <v>#N/A</v>
      </c>
      <c r="H519" s="35" t="str">
        <f t="shared" si="6"/>
        <v/>
      </c>
      <c r="I519" s="36" t="str">
        <f t="shared" si="7"/>
        <v/>
      </c>
      <c r="J519" s="37" t="str">
        <f>IFERROR(__xludf.DUMMYFUNCTION("IFERROR(
  IF(C519="""",, 
    IFERROR(
      GOOGLEFINANCE(C519, ""price"") * GOOGLEFINANCE(C519, ""volumeavg""), 
      GOOGLEFINANCE(C519, ""price"") * AVERAGE(QUERY(GOOGLEFINANCE(C519, ""volume"", TODAY()-40, TODAY()), ""SELECT Col2 WHERE Col2 IS NOT "&amp;"NULL ORDER BY Col1 DESC LIMIT 20"", 0))
    )
  ), 
"""")"),"")</f>
        <v/>
      </c>
      <c r="K519" s="21" t="str">
        <f>IFERROR(__xludf.DUMMYFUNCTION("IFERROR(GOOGLEFINANCE(C519, ""changepct"") / 100, """")"),"")</f>
        <v/>
      </c>
      <c r="L519" s="21" t="str">
        <f>IFERROR(__xludf.DUMMYFUNCTION("IFERROR((GOOGLEFINANCE(C519, ""price"") / INDEX(GOOGLEFINANCE(C519, ""price"", TODAY()-7, TODAY()), 2, 2)) - 1, """")"),"")</f>
        <v/>
      </c>
      <c r="M519" s="21" t="str">
        <f>IFERROR(__xludf.DUMMYFUNCTION("IFERROR((GOOGLEFINANCE(C519, ""price"") / INDEX(GOOGLEFINANCE(C519, ""price"", EDATE(TODAY(), -1), TODAY()), 2, 2)) - 1, """")"),"")</f>
        <v/>
      </c>
      <c r="N519" s="21" t="str">
        <f>IFERROR(__xludf.DUMMYFUNCTION("IFERROR((GOOGLEFINANCE(C519, ""price"") / INDEX(GOOGLEFINANCE(C519, ""price"", EDATE(TODAY(), -3), TODAY()), 2, 2)) - 1, """")"),"")</f>
        <v/>
      </c>
      <c r="O519" s="21" t="str">
        <f>IFERROR(__xludf.DUMMYFUNCTION("IFERROR((GOOGLEFINANCE(C519, ""price"") / INDEX(GOOGLEFINANCE(C519, ""price"", EDATE(TODAY(), -6), TODAY()), 2, 2)) - 1, """")"),"")</f>
        <v/>
      </c>
      <c r="P519" s="21" t="str">
        <f>IFERROR(__xludf.DUMMYFUNCTION("IFERROR((GOOGLEFINANCE(C519, ""price"") / INDEX(GOOGLEFINANCE(C519, ""price"", EDATE(TODAY(), -12), TODAY()), 2, 2)) - 1, """")"),"")</f>
        <v/>
      </c>
      <c r="Q519" s="6" t="str">
        <f>IFERROR(__xludf.DUMMYFUNCTION("AVERAGE(QUERY(GOOGLEFINANCE(C519, ""price"", TODAY()-80, TODAY()), ""SELECT Col2 WHERE Col2 IS NOT NULL ORDER BY Col1 DESC LIMIT 50"", 0))"),"#N/A")</f>
        <v>#N/A</v>
      </c>
      <c r="R519" s="24" t="str">
        <f>IFERROR(__xludf.DUMMYFUNCTION("IFERROR(
  LET(
    data, QUERY(GOOGLEFINANCE(C519,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GOOGLEFINANCE(C519, ""price"")) * 100,
    IF(calc=0, G519, calc)
  ), 
G519)"),"#N/A")</f>
        <v>#N/A</v>
      </c>
      <c r="S519" s="8" t="s">
        <v>15</v>
      </c>
      <c r="T519" s="26" t="str">
        <f>IFERROR(__xludf.DUMMYFUNCTION("IFERROR(TRANSPOSE(QUERY(IFERROR(SORT(GOOGLEFINANCE(C519, ""price"", WORKDAY(TODAY(), -40), TODAY()), 1, FALSE)), ""select Col2 where Col2 is not null limit 22 label Col2 ''"", 0)), """")"),"")</f>
        <v/>
      </c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8"/>
      <c r="AO519" s="28"/>
      <c r="AP519" s="29"/>
      <c r="AQ519" s="29" t="str">
        <f t="shared" ref="AQ519:BL519" si="522">T519/T$2</f>
        <v>#N/A</v>
      </c>
      <c r="AR519" s="29" t="str">
        <f t="shared" si="522"/>
        <v>#DIV/0!</v>
      </c>
      <c r="AS519" s="29" t="str">
        <f t="shared" si="522"/>
        <v>#DIV/0!</v>
      </c>
      <c r="AT519" s="29" t="str">
        <f t="shared" si="522"/>
        <v>#DIV/0!</v>
      </c>
      <c r="AU519" s="29" t="str">
        <f t="shared" si="522"/>
        <v>#DIV/0!</v>
      </c>
      <c r="AV519" s="29" t="str">
        <f t="shared" si="522"/>
        <v>#DIV/0!</v>
      </c>
      <c r="AW519" s="29" t="str">
        <f t="shared" si="522"/>
        <v>#DIV/0!</v>
      </c>
      <c r="AX519" s="29" t="str">
        <f t="shared" si="522"/>
        <v>#DIV/0!</v>
      </c>
      <c r="AY519" s="29" t="str">
        <f t="shared" si="522"/>
        <v>#DIV/0!</v>
      </c>
      <c r="AZ519" s="29" t="str">
        <f t="shared" si="522"/>
        <v>#DIV/0!</v>
      </c>
      <c r="BA519" s="29" t="str">
        <f t="shared" si="522"/>
        <v>#DIV/0!</v>
      </c>
      <c r="BB519" s="29" t="str">
        <f t="shared" si="522"/>
        <v>#DIV/0!</v>
      </c>
      <c r="BC519" s="29" t="str">
        <f t="shared" si="522"/>
        <v>#DIV/0!</v>
      </c>
      <c r="BD519" s="29" t="str">
        <f t="shared" si="522"/>
        <v>#DIV/0!</v>
      </c>
      <c r="BE519" s="29" t="str">
        <f t="shared" si="522"/>
        <v>#DIV/0!</v>
      </c>
      <c r="BF519" s="29" t="str">
        <f t="shared" si="522"/>
        <v>#DIV/0!</v>
      </c>
      <c r="BG519" s="29" t="str">
        <f t="shared" si="522"/>
        <v>#DIV/0!</v>
      </c>
      <c r="BH519" s="29" t="str">
        <f t="shared" si="522"/>
        <v>#DIV/0!</v>
      </c>
      <c r="BI519" s="29" t="str">
        <f t="shared" si="522"/>
        <v>#DIV/0!</v>
      </c>
      <c r="BJ519" s="29" t="str">
        <f t="shared" si="522"/>
        <v>#DIV/0!</v>
      </c>
      <c r="BK519" s="29" t="str">
        <f t="shared" si="522"/>
        <v>#DIV/0!</v>
      </c>
      <c r="BL519" s="29" t="str">
        <f t="shared" si="522"/>
        <v>#DIV/0!</v>
      </c>
      <c r="BM519" s="29" t="str">
        <f t="shared" si="3"/>
        <v>#DIV/0!</v>
      </c>
    </row>
    <row r="520">
      <c r="A520" s="16" t="str">
        <f>IFERROR(__xludf.DUMMYFUNCTION("IFERROR(SPARKLINE(SORT(MAP(TRANSPOSE(AQ520:BL520), LAMBDA(val, IF(ISNUMBER(val), PERCENTRANK(AQ520:BL520, val)+0.01, 0))), SEQUENCE(COLUMNS(AQ520:BL520)), FALSE), {""charttype"",""column""; ""color"",""chartreuse""; ""ymin"", 0; ""ymax"", 1.01; ""highcolo"&amp;"r"", ""darkgreen""; ""lowcolor"", ""red""}), """")"),"")</f>
        <v/>
      </c>
      <c r="B520" s="17" t="str">
        <f t="shared" si="4"/>
        <v/>
      </c>
      <c r="C520" s="1" t="s">
        <v>2356</v>
      </c>
      <c r="D520" s="34" t="str">
        <f>IFERROR(__xludf.DUMMYFUNCTION("IFERROR(GOOGLEFINANCE(C520, ""NAME""))"),"SmartFinancial Inc")</f>
        <v>SmartFinancial Inc</v>
      </c>
      <c r="E520" s="30" t="s">
        <v>268</v>
      </c>
      <c r="F520" s="38" t="str">
        <f>IFERROR(__xludf.DUMMYFUNCTION("( (GOOGLEFINANCE(C520, ""price"") - Q520) / Q520 ) / (R520 / 100)"),"Loading...")</f>
        <v>Loading...</v>
      </c>
      <c r="G520" s="20" t="str">
        <f>IFERROR(__xludf.DUMMYFUNCTION("AVERAGE(ARRAYFORMULA(100 * (QUERY(GOOGLEFINANCE(C520, ""high"", TODAY()-40, TODAY()), ""SELECT Col2 WHERE Col2 IS NOT NULL ORDER BY Col1 DESC LIMIT 20"", 0) / QUERY(GOOGLEFINANCE(C520, ""low"", TODAY()-40, TODAY()), ""SELECT Col2 WHERE Col2 IS NOT NULL OR"&amp;"DER BY Col1 DESC LIMIT 20"", 0) - 1)))"),"#N/A")</f>
        <v>#N/A</v>
      </c>
      <c r="H520" s="35" t="str">
        <f t="shared" si="6"/>
        <v/>
      </c>
      <c r="I520" s="36" t="str">
        <f t="shared" si="7"/>
        <v/>
      </c>
      <c r="J520" s="37" t="str">
        <f>IFERROR(__xludf.DUMMYFUNCTION("IFERROR(
  IF(C520="""",, 
    IFERROR(
      GOOGLEFINANCE(C520, ""price"") * GOOGLEFINANCE(C520, ""volumeavg""), 
      GOOGLEFINANCE(C520, ""price"") * AVERAGE(QUERY(GOOGLEFINANCE(C520, ""volume"", TODAY()-40, TODAY()), ""SELECT Col2 WHERE Col2 IS NOT "&amp;"NULL ORDER BY Col1 DESC LIMIT 20"", 0))
    )
  ), 
"""")"),"")</f>
        <v/>
      </c>
      <c r="K520" s="21" t="str">
        <f>IFERROR(__xludf.DUMMYFUNCTION("IFERROR(GOOGLEFINANCE(C520, ""changepct"") / 100, """")"),"")</f>
        <v/>
      </c>
      <c r="L520" s="21" t="str">
        <f>IFERROR(__xludf.DUMMYFUNCTION("IFERROR((GOOGLEFINANCE(C520, ""price"") / INDEX(GOOGLEFINANCE(C520, ""price"", TODAY()-7, TODAY()), 2, 2)) - 1, """")"),"")</f>
        <v/>
      </c>
      <c r="M520" s="21" t="str">
        <f>IFERROR(__xludf.DUMMYFUNCTION("IFERROR((GOOGLEFINANCE(C520, ""price"") / INDEX(GOOGLEFINANCE(C520, ""price"", EDATE(TODAY(), -1), TODAY()), 2, 2)) - 1, """")"),"")</f>
        <v/>
      </c>
      <c r="N520" s="21" t="str">
        <f>IFERROR(__xludf.DUMMYFUNCTION("IFERROR((GOOGLEFINANCE(C520, ""price"") / INDEX(GOOGLEFINANCE(C520, ""price"", EDATE(TODAY(), -3), TODAY()), 2, 2)) - 1, """")"),"")</f>
        <v/>
      </c>
      <c r="O520" s="21" t="str">
        <f>IFERROR(__xludf.DUMMYFUNCTION("IFERROR((GOOGLEFINANCE(C520, ""price"") / INDEX(GOOGLEFINANCE(C520, ""price"", EDATE(TODAY(), -6), TODAY()), 2, 2)) - 1, """")"),"")</f>
        <v/>
      </c>
      <c r="P520" s="21" t="str">
        <f>IFERROR(__xludf.DUMMYFUNCTION("IFERROR((GOOGLEFINANCE(C520, ""price"") / INDEX(GOOGLEFINANCE(C520, ""price"", EDATE(TODAY(), -12), TODAY()), 2, 2)) - 1, """")"),"")</f>
        <v/>
      </c>
      <c r="Q520" s="6" t="str">
        <f>IFERROR(__xludf.DUMMYFUNCTION("AVERAGE(QUERY(GOOGLEFINANCE(C520, ""price"", TODAY()-80, TODAY()), ""SELECT Col2 WHERE Col2 IS NOT NULL ORDER BY Col1 DESC LIMIT 50"", 0))"),"#N/A")</f>
        <v>#N/A</v>
      </c>
      <c r="R520" s="24" t="str">
        <f>IFERROR(__xludf.DUMMYFUNCTION("IFERROR(
  LET(
    data, QUERY(GOOGLEFINANCE(C520,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GOOGLEFINANCE(C520, ""price"")) * 100,
    IF(calc=0, G520, calc)
  ), 
G520)"),"#N/A")</f>
        <v>#N/A</v>
      </c>
      <c r="S520" s="8" t="s">
        <v>15</v>
      </c>
      <c r="T520" s="26" t="str">
        <f>IFERROR(__xludf.DUMMYFUNCTION("IFERROR(TRANSPOSE(QUERY(IFERROR(SORT(GOOGLEFINANCE(C520, ""price"", WORKDAY(TODAY(), -40), TODAY()), 1, FALSE)), ""select Col2 where Col2 is not null limit 22 label Col2 ''"", 0)), """")"),"")</f>
        <v/>
      </c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8"/>
      <c r="AO520" s="28"/>
      <c r="AP520" s="29"/>
      <c r="AQ520" s="29" t="str">
        <f t="shared" ref="AQ520:BL520" si="523">T520/T$2</f>
        <v>#N/A</v>
      </c>
      <c r="AR520" s="29" t="str">
        <f t="shared" si="523"/>
        <v>#DIV/0!</v>
      </c>
      <c r="AS520" s="29" t="str">
        <f t="shared" si="523"/>
        <v>#DIV/0!</v>
      </c>
      <c r="AT520" s="29" t="str">
        <f t="shared" si="523"/>
        <v>#DIV/0!</v>
      </c>
      <c r="AU520" s="29" t="str">
        <f t="shared" si="523"/>
        <v>#DIV/0!</v>
      </c>
      <c r="AV520" s="29" t="str">
        <f t="shared" si="523"/>
        <v>#DIV/0!</v>
      </c>
      <c r="AW520" s="29" t="str">
        <f t="shared" si="523"/>
        <v>#DIV/0!</v>
      </c>
      <c r="AX520" s="29" t="str">
        <f t="shared" si="523"/>
        <v>#DIV/0!</v>
      </c>
      <c r="AY520" s="29" t="str">
        <f t="shared" si="523"/>
        <v>#DIV/0!</v>
      </c>
      <c r="AZ520" s="29" t="str">
        <f t="shared" si="523"/>
        <v>#DIV/0!</v>
      </c>
      <c r="BA520" s="29" t="str">
        <f t="shared" si="523"/>
        <v>#DIV/0!</v>
      </c>
      <c r="BB520" s="29" t="str">
        <f t="shared" si="523"/>
        <v>#DIV/0!</v>
      </c>
      <c r="BC520" s="29" t="str">
        <f t="shared" si="523"/>
        <v>#DIV/0!</v>
      </c>
      <c r="BD520" s="29" t="str">
        <f t="shared" si="523"/>
        <v>#DIV/0!</v>
      </c>
      <c r="BE520" s="29" t="str">
        <f t="shared" si="523"/>
        <v>#DIV/0!</v>
      </c>
      <c r="BF520" s="29" t="str">
        <f t="shared" si="523"/>
        <v>#DIV/0!</v>
      </c>
      <c r="BG520" s="29" t="str">
        <f t="shared" si="523"/>
        <v>#DIV/0!</v>
      </c>
      <c r="BH520" s="29" t="str">
        <f t="shared" si="523"/>
        <v>#DIV/0!</v>
      </c>
      <c r="BI520" s="29" t="str">
        <f t="shared" si="523"/>
        <v>#DIV/0!</v>
      </c>
      <c r="BJ520" s="29" t="str">
        <f t="shared" si="523"/>
        <v>#DIV/0!</v>
      </c>
      <c r="BK520" s="29" t="str">
        <f t="shared" si="523"/>
        <v>#DIV/0!</v>
      </c>
      <c r="BL520" s="29" t="str">
        <f t="shared" si="523"/>
        <v>#DIV/0!</v>
      </c>
      <c r="BM520" s="29" t="str">
        <f t="shared" si="3"/>
        <v>#DIV/0!</v>
      </c>
    </row>
    <row r="521">
      <c r="A521" s="16" t="str">
        <f>IFERROR(__xludf.DUMMYFUNCTION("IFERROR(SPARKLINE(SORT(MAP(TRANSPOSE(AQ521:BL521), LAMBDA(val, IF(ISNUMBER(val), PERCENTRANK(AQ521:BL521, val)+0.01, 0))), SEQUENCE(COLUMNS(AQ521:BL521)), FALSE), {""charttype"",""column""; ""color"",""chartreuse""; ""ymin"", 0; ""ymax"", 1.01; ""highcolo"&amp;"r"", ""darkgreen""; ""lowcolor"", ""red""}), """")"),"")</f>
        <v/>
      </c>
      <c r="B521" s="17" t="str">
        <f t="shared" si="4"/>
        <v/>
      </c>
      <c r="C521" s="1" t="s">
        <v>2360</v>
      </c>
      <c r="D521" s="34" t="str">
        <f>IFERROR(__xludf.DUMMYFUNCTION("IFERROR(GOOGLEFINANCE(C521, ""NAME""))"),"National Bank Holdings Corp")</f>
        <v>National Bank Holdings Corp</v>
      </c>
      <c r="E521" s="30" t="s">
        <v>268</v>
      </c>
      <c r="F521" s="33" t="str">
        <f>IFERROR(__xludf.DUMMYFUNCTION("( (GOOGLEFINANCE(C521, ""price"") - Q521) / Q521 ) / (R521 / 100)"),"Loading...")</f>
        <v>Loading...</v>
      </c>
      <c r="G521" s="20" t="str">
        <f>IFERROR(__xludf.DUMMYFUNCTION("AVERAGE(ARRAYFORMULA(100 * (QUERY(GOOGLEFINANCE(C521, ""high"", TODAY()-40, TODAY()), ""SELECT Col2 WHERE Col2 IS NOT NULL ORDER BY Col1 DESC LIMIT 20"", 0) / QUERY(GOOGLEFINANCE(C521, ""low"", TODAY()-40, TODAY()), ""SELECT Col2 WHERE Col2 IS NOT NULL OR"&amp;"DER BY Col1 DESC LIMIT 20"", 0) - 1)))"),"#N/A")</f>
        <v>#N/A</v>
      </c>
      <c r="H521" s="35" t="str">
        <f t="shared" si="6"/>
        <v/>
      </c>
      <c r="I521" s="36" t="str">
        <f t="shared" si="7"/>
        <v/>
      </c>
      <c r="J521" s="37" t="str">
        <f>IFERROR(__xludf.DUMMYFUNCTION("IFERROR(
  IF(C521="""",, 
    IFERROR(
      GOOGLEFINANCE(C521, ""price"") * GOOGLEFINANCE(C521, ""volumeavg""), 
      GOOGLEFINANCE(C521, ""price"") * AVERAGE(QUERY(GOOGLEFINANCE(C521, ""volume"", TODAY()-40, TODAY()), ""SELECT Col2 WHERE Col2 IS NOT "&amp;"NULL ORDER BY Col1 DESC LIMIT 20"", 0))
    )
  ), 
"""")"),"")</f>
        <v/>
      </c>
      <c r="K521" s="21" t="str">
        <f>IFERROR(__xludf.DUMMYFUNCTION("IFERROR(GOOGLEFINANCE(C521, ""changepct"") / 100, """")"),"")</f>
        <v/>
      </c>
      <c r="L521" s="21" t="str">
        <f>IFERROR(__xludf.DUMMYFUNCTION("IFERROR((GOOGLEFINANCE(C521, ""price"") / INDEX(GOOGLEFINANCE(C521, ""price"", TODAY()-7, TODAY()), 2, 2)) - 1, """")"),"")</f>
        <v/>
      </c>
      <c r="M521" s="21" t="str">
        <f>IFERROR(__xludf.DUMMYFUNCTION("IFERROR((GOOGLEFINANCE(C521, ""price"") / INDEX(GOOGLEFINANCE(C521, ""price"", EDATE(TODAY(), -1), TODAY()), 2, 2)) - 1, """")"),"")</f>
        <v/>
      </c>
      <c r="N521" s="21" t="str">
        <f>IFERROR(__xludf.DUMMYFUNCTION("IFERROR((GOOGLEFINANCE(C521, ""price"") / INDEX(GOOGLEFINANCE(C521, ""price"", EDATE(TODAY(), -3), TODAY()), 2, 2)) - 1, """")"),"")</f>
        <v/>
      </c>
      <c r="O521" s="21" t="str">
        <f>IFERROR(__xludf.DUMMYFUNCTION("IFERROR((GOOGLEFINANCE(C521, ""price"") / INDEX(GOOGLEFINANCE(C521, ""price"", EDATE(TODAY(), -6), TODAY()), 2, 2)) - 1, """")"),"")</f>
        <v/>
      </c>
      <c r="P521" s="21" t="str">
        <f>IFERROR(__xludf.DUMMYFUNCTION("IFERROR((GOOGLEFINANCE(C521, ""price"") / INDEX(GOOGLEFINANCE(C521, ""price"", EDATE(TODAY(), -12), TODAY()), 2, 2)) - 1, """")"),"")</f>
        <v/>
      </c>
      <c r="Q521" s="6" t="str">
        <f>IFERROR(__xludf.DUMMYFUNCTION("AVERAGE(QUERY(GOOGLEFINANCE(C521, ""price"", TODAY()-80, TODAY()), ""SELECT Col2 WHERE Col2 IS NOT NULL ORDER BY Col1 DESC LIMIT 50"", 0))"),"#N/A")</f>
        <v>#N/A</v>
      </c>
      <c r="R521" s="24" t="str">
        <f>IFERROR(__xludf.DUMMYFUNCTION("IFERROR(
  LET(
    data, QUERY(GOOGLEFINANCE(C521,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GOOGLEFINANCE(C521, ""price"")) * 100,
    IF(calc=0, G521, calc)
  ), 
G521)"),"#N/A")</f>
        <v>#N/A</v>
      </c>
      <c r="S521" s="8" t="s">
        <v>15</v>
      </c>
      <c r="T521" s="26" t="str">
        <f>IFERROR(__xludf.DUMMYFUNCTION("IFERROR(TRANSPOSE(QUERY(IFERROR(SORT(GOOGLEFINANCE(C521, ""price"", WORKDAY(TODAY(), -40), TODAY()), 1, FALSE)), ""select Col2 where Col2 is not null limit 22 label Col2 ''"", 0)), """")"),"")</f>
        <v/>
      </c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8"/>
      <c r="AO521" s="28"/>
      <c r="AP521" s="29"/>
      <c r="AQ521" s="29" t="str">
        <f t="shared" ref="AQ521:BL521" si="524">T521/T$2</f>
        <v>#N/A</v>
      </c>
      <c r="AR521" s="29" t="str">
        <f t="shared" si="524"/>
        <v>#DIV/0!</v>
      </c>
      <c r="AS521" s="29" t="str">
        <f t="shared" si="524"/>
        <v>#DIV/0!</v>
      </c>
      <c r="AT521" s="29" t="str">
        <f t="shared" si="524"/>
        <v>#DIV/0!</v>
      </c>
      <c r="AU521" s="29" t="str">
        <f t="shared" si="524"/>
        <v>#DIV/0!</v>
      </c>
      <c r="AV521" s="29" t="str">
        <f t="shared" si="524"/>
        <v>#DIV/0!</v>
      </c>
      <c r="AW521" s="29" t="str">
        <f t="shared" si="524"/>
        <v>#DIV/0!</v>
      </c>
      <c r="AX521" s="29" t="str">
        <f t="shared" si="524"/>
        <v>#DIV/0!</v>
      </c>
      <c r="AY521" s="29" t="str">
        <f t="shared" si="524"/>
        <v>#DIV/0!</v>
      </c>
      <c r="AZ521" s="29" t="str">
        <f t="shared" si="524"/>
        <v>#DIV/0!</v>
      </c>
      <c r="BA521" s="29" t="str">
        <f t="shared" si="524"/>
        <v>#DIV/0!</v>
      </c>
      <c r="BB521" s="29" t="str">
        <f t="shared" si="524"/>
        <v>#DIV/0!</v>
      </c>
      <c r="BC521" s="29" t="str">
        <f t="shared" si="524"/>
        <v>#DIV/0!</v>
      </c>
      <c r="BD521" s="29" t="str">
        <f t="shared" si="524"/>
        <v>#DIV/0!</v>
      </c>
      <c r="BE521" s="29" t="str">
        <f t="shared" si="524"/>
        <v>#DIV/0!</v>
      </c>
      <c r="BF521" s="29" t="str">
        <f t="shared" si="524"/>
        <v>#DIV/0!</v>
      </c>
      <c r="BG521" s="29" t="str">
        <f t="shared" si="524"/>
        <v>#DIV/0!</v>
      </c>
      <c r="BH521" s="29" t="str">
        <f t="shared" si="524"/>
        <v>#DIV/0!</v>
      </c>
      <c r="BI521" s="29" t="str">
        <f t="shared" si="524"/>
        <v>#DIV/0!</v>
      </c>
      <c r="BJ521" s="29" t="str">
        <f t="shared" si="524"/>
        <v>#DIV/0!</v>
      </c>
      <c r="BK521" s="29" t="str">
        <f t="shared" si="524"/>
        <v>#DIV/0!</v>
      </c>
      <c r="BL521" s="29" t="str">
        <f t="shared" si="524"/>
        <v>#DIV/0!</v>
      </c>
      <c r="BM521" s="29" t="str">
        <f t="shared" si="3"/>
        <v>#DIV/0!</v>
      </c>
    </row>
    <row r="522">
      <c r="A522" s="16" t="str">
        <f>IFERROR(__xludf.DUMMYFUNCTION("IFERROR(SPARKLINE(SORT(MAP(TRANSPOSE(AQ522:BL522), LAMBDA(val, IF(ISNUMBER(val), PERCENTRANK(AQ522:BL522, val)+0.01, 0))), SEQUENCE(COLUMNS(AQ522:BL522)), FALSE), {""charttype"",""column""; ""color"",""chartreuse""; ""ymin"", 0; ""ymax"", 1.01; ""highcolo"&amp;"r"", ""darkgreen""; ""lowcolor"", ""red""}), """")"),"")</f>
        <v/>
      </c>
      <c r="B522" s="17" t="str">
        <f t="shared" si="4"/>
        <v/>
      </c>
      <c r="C522" s="1" t="s">
        <v>2365</v>
      </c>
      <c r="D522" s="34" t="str">
        <f>IFERROR(__xludf.DUMMYFUNCTION("IFERROR(GOOGLEFINANCE(C522, ""NAME""))"),"Parke Bancorp Inc")</f>
        <v>Parke Bancorp Inc</v>
      </c>
      <c r="E522" s="30" t="s">
        <v>268</v>
      </c>
      <c r="F522" s="33" t="str">
        <f>IFERROR(__xludf.DUMMYFUNCTION("( (GOOGLEFINANCE(C522, ""price"") - Q522) / Q522 ) / (R522 / 100)"),"Loading...")</f>
        <v>Loading...</v>
      </c>
      <c r="G522" s="20" t="str">
        <f>IFERROR(__xludf.DUMMYFUNCTION("AVERAGE(ARRAYFORMULA(100 * (QUERY(GOOGLEFINANCE(C522, ""high"", TODAY()-40, TODAY()), ""SELECT Col2 WHERE Col2 IS NOT NULL ORDER BY Col1 DESC LIMIT 20"", 0) / QUERY(GOOGLEFINANCE(C522, ""low"", TODAY()-40, TODAY()), ""SELECT Col2 WHERE Col2 IS NOT NULL OR"&amp;"DER BY Col1 DESC LIMIT 20"", 0) - 1)))"),"#N/A")</f>
        <v>#N/A</v>
      </c>
      <c r="H522" s="35" t="str">
        <f t="shared" si="6"/>
        <v/>
      </c>
      <c r="I522" s="36" t="str">
        <f t="shared" si="7"/>
        <v/>
      </c>
      <c r="J522" s="37" t="str">
        <f>IFERROR(__xludf.DUMMYFUNCTION("IFERROR(
  IF(C522="""",, 
    IFERROR(
      GOOGLEFINANCE(C522, ""price"") * GOOGLEFINANCE(C522, ""volumeavg""), 
      GOOGLEFINANCE(C522, ""price"") * AVERAGE(QUERY(GOOGLEFINANCE(C522, ""volume"", TODAY()-40, TODAY()), ""SELECT Col2 WHERE Col2 IS NOT "&amp;"NULL ORDER BY Col1 DESC LIMIT 20"", 0))
    )
  ), 
"""")"),"")</f>
        <v/>
      </c>
      <c r="K522" s="21" t="str">
        <f>IFERROR(__xludf.DUMMYFUNCTION("IFERROR(GOOGLEFINANCE(C522, ""changepct"") / 100, """")"),"")</f>
        <v/>
      </c>
      <c r="L522" s="21" t="str">
        <f>IFERROR(__xludf.DUMMYFUNCTION("IFERROR((GOOGLEFINANCE(C522, ""price"") / INDEX(GOOGLEFINANCE(C522, ""price"", TODAY()-7, TODAY()), 2, 2)) - 1, """")"),"")</f>
        <v/>
      </c>
      <c r="M522" s="21" t="str">
        <f>IFERROR(__xludf.DUMMYFUNCTION("IFERROR((GOOGLEFINANCE(C522, ""price"") / INDEX(GOOGLEFINANCE(C522, ""price"", EDATE(TODAY(), -1), TODAY()), 2, 2)) - 1, """")"),"")</f>
        <v/>
      </c>
      <c r="N522" s="21" t="str">
        <f>IFERROR(__xludf.DUMMYFUNCTION("IFERROR((GOOGLEFINANCE(C522, ""price"") / INDEX(GOOGLEFINANCE(C522, ""price"", EDATE(TODAY(), -3), TODAY()), 2, 2)) - 1, """")"),"")</f>
        <v/>
      </c>
      <c r="O522" s="21" t="str">
        <f>IFERROR(__xludf.DUMMYFUNCTION("IFERROR((GOOGLEFINANCE(C522, ""price"") / INDEX(GOOGLEFINANCE(C522, ""price"", EDATE(TODAY(), -6), TODAY()), 2, 2)) - 1, """")"),"")</f>
        <v/>
      </c>
      <c r="P522" s="21" t="str">
        <f>IFERROR(__xludf.DUMMYFUNCTION("IFERROR((GOOGLEFINANCE(C522, ""price"") / INDEX(GOOGLEFINANCE(C522, ""price"", EDATE(TODAY(), -12), TODAY()), 2, 2)) - 1, """")"),"")</f>
        <v/>
      </c>
      <c r="Q522" s="6" t="str">
        <f>IFERROR(__xludf.DUMMYFUNCTION("AVERAGE(QUERY(GOOGLEFINANCE(C522, ""price"", TODAY()-80, TODAY()), ""SELECT Col2 WHERE Col2 IS NOT NULL ORDER BY Col1 DESC LIMIT 50"", 0))"),"#N/A")</f>
        <v>#N/A</v>
      </c>
      <c r="R522" s="24" t="str">
        <f>IFERROR(__xludf.DUMMYFUNCTION("IFERROR(
  LET(
    data, QUERY(GOOGLEFINANCE(C522,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GOOGLEFINANCE(C522, ""price"")) * 100,
    IF(calc=0, G522, calc)
  ), 
G522)"),"#N/A")</f>
        <v>#N/A</v>
      </c>
      <c r="S522" s="8" t="s">
        <v>15</v>
      </c>
      <c r="T522" s="26" t="str">
        <f>IFERROR(__xludf.DUMMYFUNCTION("IFERROR(TRANSPOSE(QUERY(IFERROR(SORT(GOOGLEFINANCE(C522, ""price"", WORKDAY(TODAY(), -40), TODAY()), 1, FALSE)), ""select Col2 where Col2 is not null limit 22 label Col2 ''"", 0)), """")"),"")</f>
        <v/>
      </c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8"/>
      <c r="AO522" s="28"/>
      <c r="AP522" s="29"/>
      <c r="AQ522" s="29" t="str">
        <f t="shared" ref="AQ522:BL522" si="525">T522/T$2</f>
        <v>#N/A</v>
      </c>
      <c r="AR522" s="29" t="str">
        <f t="shared" si="525"/>
        <v>#DIV/0!</v>
      </c>
      <c r="AS522" s="29" t="str">
        <f t="shared" si="525"/>
        <v>#DIV/0!</v>
      </c>
      <c r="AT522" s="29" t="str">
        <f t="shared" si="525"/>
        <v>#DIV/0!</v>
      </c>
      <c r="AU522" s="29" t="str">
        <f t="shared" si="525"/>
        <v>#DIV/0!</v>
      </c>
      <c r="AV522" s="29" t="str">
        <f t="shared" si="525"/>
        <v>#DIV/0!</v>
      </c>
      <c r="AW522" s="29" t="str">
        <f t="shared" si="525"/>
        <v>#DIV/0!</v>
      </c>
      <c r="AX522" s="29" t="str">
        <f t="shared" si="525"/>
        <v>#DIV/0!</v>
      </c>
      <c r="AY522" s="29" t="str">
        <f t="shared" si="525"/>
        <v>#DIV/0!</v>
      </c>
      <c r="AZ522" s="29" t="str">
        <f t="shared" si="525"/>
        <v>#DIV/0!</v>
      </c>
      <c r="BA522" s="29" t="str">
        <f t="shared" si="525"/>
        <v>#DIV/0!</v>
      </c>
      <c r="BB522" s="29" t="str">
        <f t="shared" si="525"/>
        <v>#DIV/0!</v>
      </c>
      <c r="BC522" s="29" t="str">
        <f t="shared" si="525"/>
        <v>#DIV/0!</v>
      </c>
      <c r="BD522" s="29" t="str">
        <f t="shared" si="525"/>
        <v>#DIV/0!</v>
      </c>
      <c r="BE522" s="29" t="str">
        <f t="shared" si="525"/>
        <v>#DIV/0!</v>
      </c>
      <c r="BF522" s="29" t="str">
        <f t="shared" si="525"/>
        <v>#DIV/0!</v>
      </c>
      <c r="BG522" s="29" t="str">
        <f t="shared" si="525"/>
        <v>#DIV/0!</v>
      </c>
      <c r="BH522" s="29" t="str">
        <f t="shared" si="525"/>
        <v>#DIV/0!</v>
      </c>
      <c r="BI522" s="29" t="str">
        <f t="shared" si="525"/>
        <v>#DIV/0!</v>
      </c>
      <c r="BJ522" s="29" t="str">
        <f t="shared" si="525"/>
        <v>#DIV/0!</v>
      </c>
      <c r="BK522" s="29" t="str">
        <f t="shared" si="525"/>
        <v>#DIV/0!</v>
      </c>
      <c r="BL522" s="29" t="str">
        <f t="shared" si="525"/>
        <v>#DIV/0!</v>
      </c>
      <c r="BM522" s="29" t="str">
        <f t="shared" si="3"/>
        <v>#DIV/0!</v>
      </c>
    </row>
    <row r="523">
      <c r="A523" s="16" t="str">
        <f>IFERROR(__xludf.DUMMYFUNCTION("IFERROR(SPARKLINE(SORT(MAP(TRANSPOSE(AQ523:BL523), LAMBDA(val, IF(ISNUMBER(val), PERCENTRANK(AQ523:BL523, val)+0.01, 0))), SEQUENCE(COLUMNS(AQ523:BL523)), FALSE), {""charttype"",""column""; ""color"",""chartreuse""; ""ymin"", 0; ""ymax"", 1.01; ""highcolo"&amp;"r"", ""darkgreen""; ""lowcolor"", ""red""}), """")"),"")</f>
        <v/>
      </c>
      <c r="B523" s="17" t="str">
        <f t="shared" si="4"/>
        <v/>
      </c>
      <c r="C523" s="1" t="s">
        <v>2370</v>
      </c>
      <c r="D523" s="34" t="str">
        <f>IFERROR(__xludf.DUMMYFUNCTION("IFERROR(GOOGLEFINANCE(C523, ""NAME""))"),"German American Bancorp Inc")</f>
        <v>German American Bancorp Inc</v>
      </c>
      <c r="E523" s="30" t="s">
        <v>268</v>
      </c>
      <c r="F523" s="33" t="str">
        <f>IFERROR(__xludf.DUMMYFUNCTION("( (GOOGLEFINANCE(C523, ""price"") - Q523) / Q523 ) / (R523 / 100)"),"Loading...")</f>
        <v>Loading...</v>
      </c>
      <c r="G523" s="20" t="str">
        <f>IFERROR(__xludf.DUMMYFUNCTION("AVERAGE(ARRAYFORMULA(100 * (QUERY(GOOGLEFINANCE(C523, ""high"", TODAY()-40, TODAY()), ""SELECT Col2 WHERE Col2 IS NOT NULL ORDER BY Col1 DESC LIMIT 20"", 0) / QUERY(GOOGLEFINANCE(C523, ""low"", TODAY()-40, TODAY()), ""SELECT Col2 WHERE Col2 IS NOT NULL OR"&amp;"DER BY Col1 DESC LIMIT 20"", 0) - 1)))"),"#N/A")</f>
        <v>#N/A</v>
      </c>
      <c r="H523" s="35" t="str">
        <f t="shared" si="6"/>
        <v/>
      </c>
      <c r="I523" s="36" t="str">
        <f t="shared" si="7"/>
        <v/>
      </c>
      <c r="J523" s="37" t="str">
        <f>IFERROR(__xludf.DUMMYFUNCTION("IFERROR(
  IF(C523="""",, 
    IFERROR(
      GOOGLEFINANCE(C523, ""price"") * GOOGLEFINANCE(C523, ""volumeavg""), 
      GOOGLEFINANCE(C523, ""price"") * AVERAGE(QUERY(GOOGLEFINANCE(C523, ""volume"", TODAY()-40, TODAY()), ""SELECT Col2 WHERE Col2 IS NOT "&amp;"NULL ORDER BY Col1 DESC LIMIT 20"", 0))
    )
  ), 
"""")"),"")</f>
        <v/>
      </c>
      <c r="K523" s="21" t="str">
        <f>IFERROR(__xludf.DUMMYFUNCTION("IFERROR(GOOGLEFINANCE(C523, ""changepct"") / 100, """")"),"")</f>
        <v/>
      </c>
      <c r="L523" s="21" t="str">
        <f>IFERROR(__xludf.DUMMYFUNCTION("IFERROR((GOOGLEFINANCE(C523, ""price"") / INDEX(GOOGLEFINANCE(C523, ""price"", TODAY()-7, TODAY()), 2, 2)) - 1, """")"),"")</f>
        <v/>
      </c>
      <c r="M523" s="21" t="str">
        <f>IFERROR(__xludf.DUMMYFUNCTION("IFERROR((GOOGLEFINANCE(C523, ""price"") / INDEX(GOOGLEFINANCE(C523, ""price"", EDATE(TODAY(), -1), TODAY()), 2, 2)) - 1, """")"),"")</f>
        <v/>
      </c>
      <c r="N523" s="21" t="str">
        <f>IFERROR(__xludf.DUMMYFUNCTION("IFERROR((GOOGLEFINANCE(C523, ""price"") / INDEX(GOOGLEFINANCE(C523, ""price"", EDATE(TODAY(), -3), TODAY()), 2, 2)) - 1, """")"),"")</f>
        <v/>
      </c>
      <c r="O523" s="21" t="str">
        <f>IFERROR(__xludf.DUMMYFUNCTION("IFERROR((GOOGLEFINANCE(C523, ""price"") / INDEX(GOOGLEFINANCE(C523, ""price"", EDATE(TODAY(), -6), TODAY()), 2, 2)) - 1, """")"),"")</f>
        <v/>
      </c>
      <c r="P523" s="21" t="str">
        <f>IFERROR(__xludf.DUMMYFUNCTION("IFERROR((GOOGLEFINANCE(C523, ""price"") / INDEX(GOOGLEFINANCE(C523, ""price"", EDATE(TODAY(), -12), TODAY()), 2, 2)) - 1, """")"),"")</f>
        <v/>
      </c>
      <c r="Q523" s="6" t="str">
        <f>IFERROR(__xludf.DUMMYFUNCTION("AVERAGE(QUERY(GOOGLEFINANCE(C523, ""price"", TODAY()-80, TODAY()), ""SELECT Col2 WHERE Col2 IS NOT NULL ORDER BY Col1 DESC LIMIT 50"", 0))"),"#N/A")</f>
        <v>#N/A</v>
      </c>
      <c r="R523" s="24" t="str">
        <f>IFERROR(__xludf.DUMMYFUNCTION("IFERROR(
  LET(
    data, QUERY(GOOGLEFINANCE(C523,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GOOGLEFINANCE(C523, ""price"")) * 100,
    IF(calc=0, G523, calc)
  ), 
G523)"),"#N/A")</f>
        <v>#N/A</v>
      </c>
      <c r="S523" s="8" t="s">
        <v>15</v>
      </c>
      <c r="T523" s="26" t="str">
        <f>IFERROR(__xludf.DUMMYFUNCTION("IFERROR(TRANSPOSE(QUERY(IFERROR(SORT(GOOGLEFINANCE(C523, ""price"", WORKDAY(TODAY(), -40), TODAY()), 1, FALSE)), ""select Col2 where Col2 is not null limit 22 label Col2 ''"", 0)), """")"),"")</f>
        <v/>
      </c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8"/>
      <c r="AO523" s="28"/>
      <c r="AP523" s="29"/>
      <c r="AQ523" s="29" t="str">
        <f t="shared" ref="AQ523:BL523" si="526">T523/T$2</f>
        <v>#N/A</v>
      </c>
      <c r="AR523" s="29" t="str">
        <f t="shared" si="526"/>
        <v>#DIV/0!</v>
      </c>
      <c r="AS523" s="29" t="str">
        <f t="shared" si="526"/>
        <v>#DIV/0!</v>
      </c>
      <c r="AT523" s="29" t="str">
        <f t="shared" si="526"/>
        <v>#DIV/0!</v>
      </c>
      <c r="AU523" s="29" t="str">
        <f t="shared" si="526"/>
        <v>#DIV/0!</v>
      </c>
      <c r="AV523" s="29" t="str">
        <f t="shared" si="526"/>
        <v>#DIV/0!</v>
      </c>
      <c r="AW523" s="29" t="str">
        <f t="shared" si="526"/>
        <v>#DIV/0!</v>
      </c>
      <c r="AX523" s="29" t="str">
        <f t="shared" si="526"/>
        <v>#DIV/0!</v>
      </c>
      <c r="AY523" s="29" t="str">
        <f t="shared" si="526"/>
        <v>#DIV/0!</v>
      </c>
      <c r="AZ523" s="29" t="str">
        <f t="shared" si="526"/>
        <v>#DIV/0!</v>
      </c>
      <c r="BA523" s="29" t="str">
        <f t="shared" si="526"/>
        <v>#DIV/0!</v>
      </c>
      <c r="BB523" s="29" t="str">
        <f t="shared" si="526"/>
        <v>#DIV/0!</v>
      </c>
      <c r="BC523" s="29" t="str">
        <f t="shared" si="526"/>
        <v>#DIV/0!</v>
      </c>
      <c r="BD523" s="29" t="str">
        <f t="shared" si="526"/>
        <v>#DIV/0!</v>
      </c>
      <c r="BE523" s="29" t="str">
        <f t="shared" si="526"/>
        <v>#DIV/0!</v>
      </c>
      <c r="BF523" s="29" t="str">
        <f t="shared" si="526"/>
        <v>#DIV/0!</v>
      </c>
      <c r="BG523" s="29" t="str">
        <f t="shared" si="526"/>
        <v>#DIV/0!</v>
      </c>
      <c r="BH523" s="29" t="str">
        <f t="shared" si="526"/>
        <v>#DIV/0!</v>
      </c>
      <c r="BI523" s="29" t="str">
        <f t="shared" si="526"/>
        <v>#DIV/0!</v>
      </c>
      <c r="BJ523" s="29" t="str">
        <f t="shared" si="526"/>
        <v>#DIV/0!</v>
      </c>
      <c r="BK523" s="29" t="str">
        <f t="shared" si="526"/>
        <v>#DIV/0!</v>
      </c>
      <c r="BL523" s="29" t="str">
        <f t="shared" si="526"/>
        <v>#DIV/0!</v>
      </c>
      <c r="BM523" s="29" t="str">
        <f t="shared" si="3"/>
        <v>#DIV/0!</v>
      </c>
    </row>
    <row r="524">
      <c r="A524" s="16" t="str">
        <f>IFERROR(__xludf.DUMMYFUNCTION("IFERROR(SPARKLINE(SORT(MAP(TRANSPOSE(AQ524:BL524), LAMBDA(val, IF(ISNUMBER(val), PERCENTRANK(AQ524:BL524, val)+0.01, 0))), SEQUENCE(COLUMNS(AQ524:BL524)), FALSE), {""charttype"",""column""; ""color"",""chartreuse""; ""ymin"", 0; ""ymax"", 1.01; ""highcolo"&amp;"r"", ""darkgreen""; ""lowcolor"", ""red""}), """")"),"")</f>
        <v/>
      </c>
      <c r="B524" s="17" t="str">
        <f t="shared" si="4"/>
        <v/>
      </c>
      <c r="C524" s="1" t="s">
        <v>2374</v>
      </c>
      <c r="D524" s="34" t="str">
        <f>IFERROR(__xludf.DUMMYFUNCTION("IFERROR(GOOGLEFINANCE(C524, ""NAME""))"),"TriCo Bancshares")</f>
        <v>TriCo Bancshares</v>
      </c>
      <c r="E524" s="30" t="s">
        <v>268</v>
      </c>
      <c r="F524" s="33" t="str">
        <f>IFERROR(__xludf.DUMMYFUNCTION("( (GOOGLEFINANCE(C524, ""price"") - Q524) / Q524 ) / (R524 / 100)"),"Loading...")</f>
        <v>Loading...</v>
      </c>
      <c r="G524" s="20" t="str">
        <f>IFERROR(__xludf.DUMMYFUNCTION("AVERAGE(ARRAYFORMULA(100 * (QUERY(GOOGLEFINANCE(C524, ""high"", TODAY()-40, TODAY()), ""SELECT Col2 WHERE Col2 IS NOT NULL ORDER BY Col1 DESC LIMIT 20"", 0) / QUERY(GOOGLEFINANCE(C524, ""low"", TODAY()-40, TODAY()), ""SELECT Col2 WHERE Col2 IS NOT NULL OR"&amp;"DER BY Col1 DESC LIMIT 20"", 0) - 1)))"),"#N/A")</f>
        <v>#N/A</v>
      </c>
      <c r="H524" s="35" t="str">
        <f t="shared" si="6"/>
        <v/>
      </c>
      <c r="I524" s="36" t="str">
        <f t="shared" si="7"/>
        <v/>
      </c>
      <c r="J524" s="37" t="str">
        <f>IFERROR(__xludf.DUMMYFUNCTION("IFERROR(
  IF(C524="""",, 
    IFERROR(
      GOOGLEFINANCE(C524, ""price"") * GOOGLEFINANCE(C524, ""volumeavg""), 
      GOOGLEFINANCE(C524, ""price"") * AVERAGE(QUERY(GOOGLEFINANCE(C524, ""volume"", TODAY()-40, TODAY()), ""SELECT Col2 WHERE Col2 IS NOT "&amp;"NULL ORDER BY Col1 DESC LIMIT 20"", 0))
    )
  ), 
"""")"),"")</f>
        <v/>
      </c>
      <c r="K524" s="21" t="str">
        <f>IFERROR(__xludf.DUMMYFUNCTION("IFERROR(GOOGLEFINANCE(C524, ""changepct"") / 100, """")"),"")</f>
        <v/>
      </c>
      <c r="L524" s="21" t="str">
        <f>IFERROR(__xludf.DUMMYFUNCTION("IFERROR((GOOGLEFINANCE(C524, ""price"") / INDEX(GOOGLEFINANCE(C524, ""price"", TODAY()-7, TODAY()), 2, 2)) - 1, """")"),"")</f>
        <v/>
      </c>
      <c r="M524" s="21" t="str">
        <f>IFERROR(__xludf.DUMMYFUNCTION("IFERROR((GOOGLEFINANCE(C524, ""price"") / INDEX(GOOGLEFINANCE(C524, ""price"", EDATE(TODAY(), -1), TODAY()), 2, 2)) - 1, """")"),"")</f>
        <v/>
      </c>
      <c r="N524" s="21" t="str">
        <f>IFERROR(__xludf.DUMMYFUNCTION("IFERROR((GOOGLEFINANCE(C524, ""price"") / INDEX(GOOGLEFINANCE(C524, ""price"", EDATE(TODAY(), -3), TODAY()), 2, 2)) - 1, """")"),"")</f>
        <v/>
      </c>
      <c r="O524" s="21" t="str">
        <f>IFERROR(__xludf.DUMMYFUNCTION("IFERROR((GOOGLEFINANCE(C524, ""price"") / INDEX(GOOGLEFINANCE(C524, ""price"", EDATE(TODAY(), -6), TODAY()), 2, 2)) - 1, """")"),"")</f>
        <v/>
      </c>
      <c r="P524" s="21" t="str">
        <f>IFERROR(__xludf.DUMMYFUNCTION("IFERROR((GOOGLEFINANCE(C524, ""price"") / INDEX(GOOGLEFINANCE(C524, ""price"", EDATE(TODAY(), -12), TODAY()), 2, 2)) - 1, """")"),"")</f>
        <v/>
      </c>
      <c r="Q524" s="6" t="str">
        <f>IFERROR(__xludf.DUMMYFUNCTION("AVERAGE(QUERY(GOOGLEFINANCE(C524, ""price"", TODAY()-80, TODAY()), ""SELECT Col2 WHERE Col2 IS NOT NULL ORDER BY Col1 DESC LIMIT 50"", 0))"),"#N/A")</f>
        <v>#N/A</v>
      </c>
      <c r="R524" s="24" t="str">
        <f>IFERROR(__xludf.DUMMYFUNCTION("IFERROR(
  LET(
    data, QUERY(GOOGLEFINANCE(C524,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GOOGLEFINANCE(C524, ""price"")) * 100,
    IF(calc=0, G524, calc)
  ), 
G524)"),"#N/A")</f>
        <v>#N/A</v>
      </c>
      <c r="S524" s="8" t="s">
        <v>15</v>
      </c>
      <c r="T524" s="26" t="str">
        <f>IFERROR(__xludf.DUMMYFUNCTION("IFERROR(TRANSPOSE(QUERY(IFERROR(SORT(GOOGLEFINANCE(C524, ""price"", WORKDAY(TODAY(), -40), TODAY()), 1, FALSE)), ""select Col2 where Col2 is not null limit 22 label Col2 ''"", 0)), """")"),"")</f>
        <v/>
      </c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8"/>
      <c r="AO524" s="28"/>
      <c r="AP524" s="29"/>
      <c r="AQ524" s="29" t="str">
        <f t="shared" ref="AQ524:BL524" si="527">T524/T$2</f>
        <v>#N/A</v>
      </c>
      <c r="AR524" s="29" t="str">
        <f t="shared" si="527"/>
        <v>#DIV/0!</v>
      </c>
      <c r="AS524" s="29" t="str">
        <f t="shared" si="527"/>
        <v>#DIV/0!</v>
      </c>
      <c r="AT524" s="29" t="str">
        <f t="shared" si="527"/>
        <v>#DIV/0!</v>
      </c>
      <c r="AU524" s="29" t="str">
        <f t="shared" si="527"/>
        <v>#DIV/0!</v>
      </c>
      <c r="AV524" s="29" t="str">
        <f t="shared" si="527"/>
        <v>#DIV/0!</v>
      </c>
      <c r="AW524" s="29" t="str">
        <f t="shared" si="527"/>
        <v>#DIV/0!</v>
      </c>
      <c r="AX524" s="29" t="str">
        <f t="shared" si="527"/>
        <v>#DIV/0!</v>
      </c>
      <c r="AY524" s="29" t="str">
        <f t="shared" si="527"/>
        <v>#DIV/0!</v>
      </c>
      <c r="AZ524" s="29" t="str">
        <f t="shared" si="527"/>
        <v>#DIV/0!</v>
      </c>
      <c r="BA524" s="29" t="str">
        <f t="shared" si="527"/>
        <v>#DIV/0!</v>
      </c>
      <c r="BB524" s="29" t="str">
        <f t="shared" si="527"/>
        <v>#DIV/0!</v>
      </c>
      <c r="BC524" s="29" t="str">
        <f t="shared" si="527"/>
        <v>#DIV/0!</v>
      </c>
      <c r="BD524" s="29" t="str">
        <f t="shared" si="527"/>
        <v>#DIV/0!</v>
      </c>
      <c r="BE524" s="29" t="str">
        <f t="shared" si="527"/>
        <v>#DIV/0!</v>
      </c>
      <c r="BF524" s="29" t="str">
        <f t="shared" si="527"/>
        <v>#DIV/0!</v>
      </c>
      <c r="BG524" s="29" t="str">
        <f t="shared" si="527"/>
        <v>#DIV/0!</v>
      </c>
      <c r="BH524" s="29" t="str">
        <f t="shared" si="527"/>
        <v>#DIV/0!</v>
      </c>
      <c r="BI524" s="29" t="str">
        <f t="shared" si="527"/>
        <v>#DIV/0!</v>
      </c>
      <c r="BJ524" s="29" t="str">
        <f t="shared" si="527"/>
        <v>#DIV/0!</v>
      </c>
      <c r="BK524" s="29" t="str">
        <f t="shared" si="527"/>
        <v>#DIV/0!</v>
      </c>
      <c r="BL524" s="29" t="str">
        <f t="shared" si="527"/>
        <v>#DIV/0!</v>
      </c>
      <c r="BM524" s="29" t="str">
        <f t="shared" si="3"/>
        <v>#DIV/0!</v>
      </c>
    </row>
    <row r="525">
      <c r="A525" s="16" t="str">
        <f>IFERROR(__xludf.DUMMYFUNCTION("IFERROR(SPARKLINE(SORT(MAP(TRANSPOSE(AQ525:BL525), LAMBDA(val, IF(ISNUMBER(val), PERCENTRANK(AQ525:BL525, val)+0.01, 0))), SEQUENCE(COLUMNS(AQ525:BL525)), FALSE), {""charttype"",""column""; ""color"",""chartreuse""; ""ymin"", 0; ""ymax"", 1.01; ""highcolo"&amp;"r"", ""darkgreen""; ""lowcolor"", ""red""}), """")"),"")</f>
        <v/>
      </c>
      <c r="B525" s="17" t="str">
        <f t="shared" si="4"/>
        <v/>
      </c>
      <c r="C525" s="1" t="s">
        <v>2377</v>
      </c>
      <c r="D525" s="34" t="str">
        <f>IFERROR(__xludf.DUMMYFUNCTION("IFERROR(GOOGLEFINANCE(C525, ""NAME""))"),"Park National Corp")</f>
        <v>Park National Corp</v>
      </c>
      <c r="E525" s="30" t="s">
        <v>268</v>
      </c>
      <c r="F525" s="33" t="str">
        <f>IFERROR(__xludf.DUMMYFUNCTION("( (GOOGLEFINANCE(C525, ""price"") - Q525) / Q525 ) / (R525 / 100)"),"Loading...")</f>
        <v>Loading...</v>
      </c>
      <c r="G525" s="20" t="str">
        <f>IFERROR(__xludf.DUMMYFUNCTION("AVERAGE(ARRAYFORMULA(100 * (QUERY(GOOGLEFINANCE(C525, ""high"", TODAY()-40, TODAY()), ""SELECT Col2 WHERE Col2 IS NOT NULL ORDER BY Col1 DESC LIMIT 20"", 0) / QUERY(GOOGLEFINANCE(C525, ""low"", TODAY()-40, TODAY()), ""SELECT Col2 WHERE Col2 IS NOT NULL OR"&amp;"DER BY Col1 DESC LIMIT 20"", 0) - 1)))"),"#N/A")</f>
        <v>#N/A</v>
      </c>
      <c r="H525" s="35" t="str">
        <f t="shared" si="6"/>
        <v/>
      </c>
      <c r="I525" s="36" t="str">
        <f t="shared" si="7"/>
        <v/>
      </c>
      <c r="J525" s="37" t="str">
        <f>IFERROR(__xludf.DUMMYFUNCTION("IFERROR(
  IF(C525="""",, 
    IFERROR(
      GOOGLEFINANCE(C525, ""price"") * GOOGLEFINANCE(C525, ""volumeavg""), 
      GOOGLEFINANCE(C525, ""price"") * AVERAGE(QUERY(GOOGLEFINANCE(C525, ""volume"", TODAY()-40, TODAY()), ""SELECT Col2 WHERE Col2 IS NOT "&amp;"NULL ORDER BY Col1 DESC LIMIT 20"", 0))
    )
  ), 
"""")"),"")</f>
        <v/>
      </c>
      <c r="K525" s="21" t="str">
        <f>IFERROR(__xludf.DUMMYFUNCTION("IFERROR(GOOGLEFINANCE(C525, ""changepct"") / 100, """")"),"")</f>
        <v/>
      </c>
      <c r="L525" s="21" t="str">
        <f>IFERROR(__xludf.DUMMYFUNCTION("IFERROR((GOOGLEFINANCE(C525, ""price"") / INDEX(GOOGLEFINANCE(C525, ""price"", TODAY()-7, TODAY()), 2, 2)) - 1, """")"),"")</f>
        <v/>
      </c>
      <c r="M525" s="21" t="str">
        <f>IFERROR(__xludf.DUMMYFUNCTION("IFERROR((GOOGLEFINANCE(C525, ""price"") / INDEX(GOOGLEFINANCE(C525, ""price"", EDATE(TODAY(), -1), TODAY()), 2, 2)) - 1, """")"),"")</f>
        <v/>
      </c>
      <c r="N525" s="21" t="str">
        <f>IFERROR(__xludf.DUMMYFUNCTION("IFERROR((GOOGLEFINANCE(C525, ""price"") / INDEX(GOOGLEFINANCE(C525, ""price"", EDATE(TODAY(), -3), TODAY()), 2, 2)) - 1, """")"),"")</f>
        <v/>
      </c>
      <c r="O525" s="21" t="str">
        <f>IFERROR(__xludf.DUMMYFUNCTION("IFERROR((GOOGLEFINANCE(C525, ""price"") / INDEX(GOOGLEFINANCE(C525, ""price"", EDATE(TODAY(), -6), TODAY()), 2, 2)) - 1, """")"),"")</f>
        <v/>
      </c>
      <c r="P525" s="21" t="str">
        <f>IFERROR(__xludf.DUMMYFUNCTION("IFERROR((GOOGLEFINANCE(C525, ""price"") / INDEX(GOOGLEFINANCE(C525, ""price"", EDATE(TODAY(), -12), TODAY()), 2, 2)) - 1, """")"),"")</f>
        <v/>
      </c>
      <c r="Q525" s="6" t="str">
        <f>IFERROR(__xludf.DUMMYFUNCTION("AVERAGE(QUERY(GOOGLEFINANCE(C525, ""price"", TODAY()-80, TODAY()), ""SELECT Col2 WHERE Col2 IS NOT NULL ORDER BY Col1 DESC LIMIT 50"", 0))"),"#N/A")</f>
        <v>#N/A</v>
      </c>
      <c r="R525" s="24" t="str">
        <f>IFERROR(__xludf.DUMMYFUNCTION("IFERROR(
  LET(
    data, QUERY(GOOGLEFINANCE(C525,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GOOGLEFINANCE(C525, ""price"")) * 100,
    IF(calc=0, G525, calc)
  ), 
G525)"),"#N/A")</f>
        <v>#N/A</v>
      </c>
      <c r="S525" s="8" t="s">
        <v>15</v>
      </c>
      <c r="T525" s="26" t="str">
        <f>IFERROR(__xludf.DUMMYFUNCTION("IFERROR(TRANSPOSE(QUERY(IFERROR(SORT(GOOGLEFINANCE(C525, ""price"", WORKDAY(TODAY(), -40), TODAY()), 1, FALSE)), ""select Col2 where Col2 is not null limit 22 label Col2 ''"", 0)), """")"),"")</f>
        <v/>
      </c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8"/>
      <c r="AO525" s="28"/>
      <c r="AP525" s="29"/>
      <c r="AQ525" s="29" t="str">
        <f t="shared" ref="AQ525:BL525" si="528">T525/T$2</f>
        <v>#N/A</v>
      </c>
      <c r="AR525" s="29" t="str">
        <f t="shared" si="528"/>
        <v>#DIV/0!</v>
      </c>
      <c r="AS525" s="29" t="str">
        <f t="shared" si="528"/>
        <v>#DIV/0!</v>
      </c>
      <c r="AT525" s="29" t="str">
        <f t="shared" si="528"/>
        <v>#DIV/0!</v>
      </c>
      <c r="AU525" s="29" t="str">
        <f t="shared" si="528"/>
        <v>#DIV/0!</v>
      </c>
      <c r="AV525" s="29" t="str">
        <f t="shared" si="528"/>
        <v>#DIV/0!</v>
      </c>
      <c r="AW525" s="29" t="str">
        <f t="shared" si="528"/>
        <v>#DIV/0!</v>
      </c>
      <c r="AX525" s="29" t="str">
        <f t="shared" si="528"/>
        <v>#DIV/0!</v>
      </c>
      <c r="AY525" s="29" t="str">
        <f t="shared" si="528"/>
        <v>#DIV/0!</v>
      </c>
      <c r="AZ525" s="29" t="str">
        <f t="shared" si="528"/>
        <v>#DIV/0!</v>
      </c>
      <c r="BA525" s="29" t="str">
        <f t="shared" si="528"/>
        <v>#DIV/0!</v>
      </c>
      <c r="BB525" s="29" t="str">
        <f t="shared" si="528"/>
        <v>#DIV/0!</v>
      </c>
      <c r="BC525" s="29" t="str">
        <f t="shared" si="528"/>
        <v>#DIV/0!</v>
      </c>
      <c r="BD525" s="29" t="str">
        <f t="shared" si="528"/>
        <v>#DIV/0!</v>
      </c>
      <c r="BE525" s="29" t="str">
        <f t="shared" si="528"/>
        <v>#DIV/0!</v>
      </c>
      <c r="BF525" s="29" t="str">
        <f t="shared" si="528"/>
        <v>#DIV/0!</v>
      </c>
      <c r="BG525" s="29" t="str">
        <f t="shared" si="528"/>
        <v>#DIV/0!</v>
      </c>
      <c r="BH525" s="29" t="str">
        <f t="shared" si="528"/>
        <v>#DIV/0!</v>
      </c>
      <c r="BI525" s="29" t="str">
        <f t="shared" si="528"/>
        <v>#DIV/0!</v>
      </c>
      <c r="BJ525" s="29" t="str">
        <f t="shared" si="528"/>
        <v>#DIV/0!</v>
      </c>
      <c r="BK525" s="29" t="str">
        <f t="shared" si="528"/>
        <v>#DIV/0!</v>
      </c>
      <c r="BL525" s="29" t="str">
        <f t="shared" si="528"/>
        <v>#DIV/0!</v>
      </c>
      <c r="BM525" s="29" t="str">
        <f t="shared" si="3"/>
        <v>#DIV/0!</v>
      </c>
    </row>
    <row r="526">
      <c r="A526" s="16" t="str">
        <f>IFERROR(__xludf.DUMMYFUNCTION("IFERROR(SPARKLINE(SORT(MAP(TRANSPOSE(AQ526:BL526), LAMBDA(val, IF(ISNUMBER(val), PERCENTRANK(AQ526:BL526, val)+0.01, 0))), SEQUENCE(COLUMNS(AQ526:BL526)), FALSE), {""charttype"",""column""; ""color"",""chartreuse""; ""ymin"", 0; ""ymax"", 1.01; ""highcolo"&amp;"r"", ""darkgreen""; ""lowcolor"", ""red""}), """")"),"")</f>
        <v/>
      </c>
      <c r="B526" s="17" t="str">
        <f t="shared" si="4"/>
        <v/>
      </c>
      <c r="C526" s="1" t="s">
        <v>2381</v>
      </c>
      <c r="D526" s="34" t="str">
        <f>IFERROR(__xludf.DUMMYFUNCTION("IFERROR(GOOGLEFINANCE(C526, ""NAME""))"),"WSFS Financial Corp")</f>
        <v>WSFS Financial Corp</v>
      </c>
      <c r="E526" s="30" t="s">
        <v>268</v>
      </c>
      <c r="F526" s="33" t="str">
        <f>IFERROR(__xludf.DUMMYFUNCTION("( (GOOGLEFINANCE(C526, ""price"") - Q526) / Q526 ) / (R526 / 100)"),"Loading...")</f>
        <v>Loading...</v>
      </c>
      <c r="G526" s="20" t="str">
        <f>IFERROR(__xludf.DUMMYFUNCTION("AVERAGE(ARRAYFORMULA(100 * (QUERY(GOOGLEFINANCE(C526, ""high"", TODAY()-40, TODAY()), ""SELECT Col2 WHERE Col2 IS NOT NULL ORDER BY Col1 DESC LIMIT 20"", 0) / QUERY(GOOGLEFINANCE(C526, ""low"", TODAY()-40, TODAY()), ""SELECT Col2 WHERE Col2 IS NOT NULL OR"&amp;"DER BY Col1 DESC LIMIT 20"", 0) - 1)))"),"#N/A")</f>
        <v>#N/A</v>
      </c>
      <c r="H526" s="35" t="str">
        <f t="shared" si="6"/>
        <v/>
      </c>
      <c r="I526" s="36" t="str">
        <f t="shared" si="7"/>
        <v/>
      </c>
      <c r="J526" s="37" t="str">
        <f>IFERROR(__xludf.DUMMYFUNCTION("IFERROR(
  IF(C526="""",, 
    IFERROR(
      GOOGLEFINANCE(C526, ""price"") * GOOGLEFINANCE(C526, ""volumeavg""), 
      GOOGLEFINANCE(C526, ""price"") * AVERAGE(QUERY(GOOGLEFINANCE(C526, ""volume"", TODAY()-40, TODAY()), ""SELECT Col2 WHERE Col2 IS NOT "&amp;"NULL ORDER BY Col1 DESC LIMIT 20"", 0))
    )
  ), 
"""")"),"")</f>
        <v/>
      </c>
      <c r="K526" s="21" t="str">
        <f>IFERROR(__xludf.DUMMYFUNCTION("IFERROR(GOOGLEFINANCE(C526, ""changepct"") / 100, """")"),"")</f>
        <v/>
      </c>
      <c r="L526" s="21" t="str">
        <f>IFERROR(__xludf.DUMMYFUNCTION("IFERROR((GOOGLEFINANCE(C526, ""price"") / INDEX(GOOGLEFINANCE(C526, ""price"", TODAY()-7, TODAY()), 2, 2)) - 1, """")"),"")</f>
        <v/>
      </c>
      <c r="M526" s="21" t="str">
        <f>IFERROR(__xludf.DUMMYFUNCTION("IFERROR((GOOGLEFINANCE(C526, ""price"") / INDEX(GOOGLEFINANCE(C526, ""price"", EDATE(TODAY(), -1), TODAY()), 2, 2)) - 1, """")"),"")</f>
        <v/>
      </c>
      <c r="N526" s="21" t="str">
        <f>IFERROR(__xludf.DUMMYFUNCTION("IFERROR((GOOGLEFINANCE(C526, ""price"") / INDEX(GOOGLEFINANCE(C526, ""price"", EDATE(TODAY(), -3), TODAY()), 2, 2)) - 1, """")"),"")</f>
        <v/>
      </c>
      <c r="O526" s="21" t="str">
        <f>IFERROR(__xludf.DUMMYFUNCTION("IFERROR((GOOGLEFINANCE(C526, ""price"") / INDEX(GOOGLEFINANCE(C526, ""price"", EDATE(TODAY(), -6), TODAY()), 2, 2)) - 1, """")"),"")</f>
        <v/>
      </c>
      <c r="P526" s="21" t="str">
        <f>IFERROR(__xludf.DUMMYFUNCTION("IFERROR((GOOGLEFINANCE(C526, ""price"") / INDEX(GOOGLEFINANCE(C526, ""price"", EDATE(TODAY(), -12), TODAY()), 2, 2)) - 1, """")"),"")</f>
        <v/>
      </c>
      <c r="Q526" s="6" t="str">
        <f>IFERROR(__xludf.DUMMYFUNCTION("AVERAGE(QUERY(GOOGLEFINANCE(C526, ""price"", TODAY()-80, TODAY()), ""SELECT Col2 WHERE Col2 IS NOT NULL ORDER BY Col1 DESC LIMIT 50"", 0))"),"#N/A")</f>
        <v>#N/A</v>
      </c>
      <c r="R526" s="24" t="str">
        <f>IFERROR(__xludf.DUMMYFUNCTION("IFERROR(
  LET(
    data, QUERY(GOOGLEFINANCE(C526,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GOOGLEFINANCE(C526, ""price"")) * 100,
    IF(calc=0, G526, calc)
  ), 
G526)"),"#N/A")</f>
        <v>#N/A</v>
      </c>
      <c r="S526" s="8" t="s">
        <v>15</v>
      </c>
      <c r="T526" s="26" t="str">
        <f>IFERROR(__xludf.DUMMYFUNCTION("IFERROR(TRANSPOSE(QUERY(IFERROR(SORT(GOOGLEFINANCE(C526, ""price"", WORKDAY(TODAY(), -40), TODAY()), 1, FALSE)), ""select Col2 where Col2 is not null limit 22 label Col2 ''"", 0)), """")"),"")</f>
        <v/>
      </c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8"/>
      <c r="AO526" s="28"/>
      <c r="AP526" s="29"/>
      <c r="AQ526" s="29" t="str">
        <f t="shared" ref="AQ526:BL526" si="529">T526/T$2</f>
        <v>#N/A</v>
      </c>
      <c r="AR526" s="29" t="str">
        <f t="shared" si="529"/>
        <v>#DIV/0!</v>
      </c>
      <c r="AS526" s="29" t="str">
        <f t="shared" si="529"/>
        <v>#DIV/0!</v>
      </c>
      <c r="AT526" s="29" t="str">
        <f t="shared" si="529"/>
        <v>#DIV/0!</v>
      </c>
      <c r="AU526" s="29" t="str">
        <f t="shared" si="529"/>
        <v>#DIV/0!</v>
      </c>
      <c r="AV526" s="29" t="str">
        <f t="shared" si="529"/>
        <v>#DIV/0!</v>
      </c>
      <c r="AW526" s="29" t="str">
        <f t="shared" si="529"/>
        <v>#DIV/0!</v>
      </c>
      <c r="AX526" s="29" t="str">
        <f t="shared" si="529"/>
        <v>#DIV/0!</v>
      </c>
      <c r="AY526" s="29" t="str">
        <f t="shared" si="529"/>
        <v>#DIV/0!</v>
      </c>
      <c r="AZ526" s="29" t="str">
        <f t="shared" si="529"/>
        <v>#DIV/0!</v>
      </c>
      <c r="BA526" s="29" t="str">
        <f t="shared" si="529"/>
        <v>#DIV/0!</v>
      </c>
      <c r="BB526" s="29" t="str">
        <f t="shared" si="529"/>
        <v>#DIV/0!</v>
      </c>
      <c r="BC526" s="29" t="str">
        <f t="shared" si="529"/>
        <v>#DIV/0!</v>
      </c>
      <c r="BD526" s="29" t="str">
        <f t="shared" si="529"/>
        <v>#DIV/0!</v>
      </c>
      <c r="BE526" s="29" t="str">
        <f t="shared" si="529"/>
        <v>#DIV/0!</v>
      </c>
      <c r="BF526" s="29" t="str">
        <f t="shared" si="529"/>
        <v>#DIV/0!</v>
      </c>
      <c r="BG526" s="29" t="str">
        <f t="shared" si="529"/>
        <v>#DIV/0!</v>
      </c>
      <c r="BH526" s="29" t="str">
        <f t="shared" si="529"/>
        <v>#DIV/0!</v>
      </c>
      <c r="BI526" s="29" t="str">
        <f t="shared" si="529"/>
        <v>#DIV/0!</v>
      </c>
      <c r="BJ526" s="29" t="str">
        <f t="shared" si="529"/>
        <v>#DIV/0!</v>
      </c>
      <c r="BK526" s="29" t="str">
        <f t="shared" si="529"/>
        <v>#DIV/0!</v>
      </c>
      <c r="BL526" s="29" t="str">
        <f t="shared" si="529"/>
        <v>#DIV/0!</v>
      </c>
      <c r="BM526" s="29" t="str">
        <f t="shared" si="3"/>
        <v>#DIV/0!</v>
      </c>
    </row>
    <row r="527">
      <c r="A527" s="16" t="str">
        <f>IFERROR(__xludf.DUMMYFUNCTION("IFERROR(SPARKLINE(SORT(MAP(TRANSPOSE(AQ527:BL527), LAMBDA(val, IF(ISNUMBER(val), PERCENTRANK(AQ527:BL527, val)+0.01, 0))), SEQUENCE(COLUMNS(AQ527:BL527)), FALSE), {""charttype"",""column""; ""color"",""chartreuse""; ""ymin"", 0; ""ymax"", 1.01; ""highcolo"&amp;"r"", ""darkgreen""; ""lowcolor"", ""red""}), """")"),"")</f>
        <v/>
      </c>
      <c r="B527" s="17" t="str">
        <f t="shared" si="4"/>
        <v/>
      </c>
      <c r="C527" s="1" t="s">
        <v>2385</v>
      </c>
      <c r="D527" s="34" t="str">
        <f>IFERROR(__xludf.DUMMYFUNCTION("IFERROR(GOOGLEFINANCE(C527, ""NAME""))"),"Nicolet Bankshares, Inc")</f>
        <v>Nicolet Bankshares, Inc</v>
      </c>
      <c r="E527" s="30" t="s">
        <v>268</v>
      </c>
      <c r="F527" s="33" t="str">
        <f>IFERROR(__xludf.DUMMYFUNCTION("( (GOOGLEFINANCE(C527, ""price"") - Q527) / Q527 ) / (R527 / 100)"),"Loading...")</f>
        <v>Loading...</v>
      </c>
      <c r="G527" s="20" t="str">
        <f>IFERROR(__xludf.DUMMYFUNCTION("AVERAGE(ARRAYFORMULA(100 * (QUERY(GOOGLEFINANCE(C527, ""high"", TODAY()-40, TODAY()), ""SELECT Col2 WHERE Col2 IS NOT NULL ORDER BY Col1 DESC LIMIT 20"", 0) / QUERY(GOOGLEFINANCE(C527, ""low"", TODAY()-40, TODAY()), ""SELECT Col2 WHERE Col2 IS NOT NULL OR"&amp;"DER BY Col1 DESC LIMIT 20"", 0) - 1)))"),"#N/A")</f>
        <v>#N/A</v>
      </c>
      <c r="H527" s="35" t="str">
        <f t="shared" si="6"/>
        <v/>
      </c>
      <c r="I527" s="36" t="str">
        <f t="shared" si="7"/>
        <v/>
      </c>
      <c r="J527" s="37" t="str">
        <f>IFERROR(__xludf.DUMMYFUNCTION("IFERROR(
  IF(C527="""",, 
    IFERROR(
      GOOGLEFINANCE(C527, ""price"") * GOOGLEFINANCE(C527, ""volumeavg""), 
      GOOGLEFINANCE(C527, ""price"") * AVERAGE(QUERY(GOOGLEFINANCE(C527, ""volume"", TODAY()-40, TODAY()), ""SELECT Col2 WHERE Col2 IS NOT "&amp;"NULL ORDER BY Col1 DESC LIMIT 20"", 0))
    )
  ), 
"""")"),"")</f>
        <v/>
      </c>
      <c r="K527" s="21" t="str">
        <f>IFERROR(__xludf.DUMMYFUNCTION("IFERROR(GOOGLEFINANCE(C527, ""changepct"") / 100, """")"),"")</f>
        <v/>
      </c>
      <c r="L527" s="21" t="str">
        <f>IFERROR(__xludf.DUMMYFUNCTION("IFERROR((GOOGLEFINANCE(C527, ""price"") / INDEX(GOOGLEFINANCE(C527, ""price"", TODAY()-7, TODAY()), 2, 2)) - 1, """")"),"")</f>
        <v/>
      </c>
      <c r="M527" s="21" t="str">
        <f>IFERROR(__xludf.DUMMYFUNCTION("IFERROR((GOOGLEFINANCE(C527, ""price"") / INDEX(GOOGLEFINANCE(C527, ""price"", EDATE(TODAY(), -1), TODAY()), 2, 2)) - 1, """")"),"")</f>
        <v/>
      </c>
      <c r="N527" s="21" t="str">
        <f>IFERROR(__xludf.DUMMYFUNCTION("IFERROR((GOOGLEFINANCE(C527, ""price"") / INDEX(GOOGLEFINANCE(C527, ""price"", EDATE(TODAY(), -3), TODAY()), 2, 2)) - 1, """")"),"")</f>
        <v/>
      </c>
      <c r="O527" s="21" t="str">
        <f>IFERROR(__xludf.DUMMYFUNCTION("IFERROR((GOOGLEFINANCE(C527, ""price"") / INDEX(GOOGLEFINANCE(C527, ""price"", EDATE(TODAY(), -6), TODAY()), 2, 2)) - 1, """")"),"")</f>
        <v/>
      </c>
      <c r="P527" s="21" t="str">
        <f>IFERROR(__xludf.DUMMYFUNCTION("IFERROR((GOOGLEFINANCE(C527, ""price"") / INDEX(GOOGLEFINANCE(C527, ""price"", EDATE(TODAY(), -12), TODAY()), 2, 2)) - 1, """")"),"")</f>
        <v/>
      </c>
      <c r="Q527" s="6" t="str">
        <f>IFERROR(__xludf.DUMMYFUNCTION("AVERAGE(QUERY(GOOGLEFINANCE(C527, ""price"", TODAY()-80, TODAY()), ""SELECT Col2 WHERE Col2 IS NOT NULL ORDER BY Col1 DESC LIMIT 50"", 0))"),"#N/A")</f>
        <v>#N/A</v>
      </c>
      <c r="R527" s="24" t="str">
        <f>IFERROR(__xludf.DUMMYFUNCTION("IFERROR(
  LET(
    data, QUERY(GOOGLEFINANCE(C527,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GOOGLEFINANCE(C527, ""price"")) * 100,
    IF(calc=0, G527, calc)
  ), 
G527)"),"#N/A")</f>
        <v>#N/A</v>
      </c>
      <c r="S527" s="8" t="s">
        <v>15</v>
      </c>
      <c r="T527" s="26" t="str">
        <f>IFERROR(__xludf.DUMMYFUNCTION("IFERROR(TRANSPOSE(QUERY(IFERROR(SORT(GOOGLEFINANCE(C527, ""price"", WORKDAY(TODAY(), -40), TODAY()), 1, FALSE)), ""select Col2 where Col2 is not null limit 22 label Col2 ''"", 0)), """")"),"")</f>
        <v/>
      </c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8"/>
      <c r="AO527" s="28"/>
      <c r="AP527" s="29"/>
      <c r="AQ527" s="29" t="str">
        <f t="shared" ref="AQ527:BL527" si="530">T527/T$2</f>
        <v>#N/A</v>
      </c>
      <c r="AR527" s="29" t="str">
        <f t="shared" si="530"/>
        <v>#DIV/0!</v>
      </c>
      <c r="AS527" s="29" t="str">
        <f t="shared" si="530"/>
        <v>#DIV/0!</v>
      </c>
      <c r="AT527" s="29" t="str">
        <f t="shared" si="530"/>
        <v>#DIV/0!</v>
      </c>
      <c r="AU527" s="29" t="str">
        <f t="shared" si="530"/>
        <v>#DIV/0!</v>
      </c>
      <c r="AV527" s="29" t="str">
        <f t="shared" si="530"/>
        <v>#DIV/0!</v>
      </c>
      <c r="AW527" s="29" t="str">
        <f t="shared" si="530"/>
        <v>#DIV/0!</v>
      </c>
      <c r="AX527" s="29" t="str">
        <f t="shared" si="530"/>
        <v>#DIV/0!</v>
      </c>
      <c r="AY527" s="29" t="str">
        <f t="shared" si="530"/>
        <v>#DIV/0!</v>
      </c>
      <c r="AZ527" s="29" t="str">
        <f t="shared" si="530"/>
        <v>#DIV/0!</v>
      </c>
      <c r="BA527" s="29" t="str">
        <f t="shared" si="530"/>
        <v>#DIV/0!</v>
      </c>
      <c r="BB527" s="29" t="str">
        <f t="shared" si="530"/>
        <v>#DIV/0!</v>
      </c>
      <c r="BC527" s="29" t="str">
        <f t="shared" si="530"/>
        <v>#DIV/0!</v>
      </c>
      <c r="BD527" s="29" t="str">
        <f t="shared" si="530"/>
        <v>#DIV/0!</v>
      </c>
      <c r="BE527" s="29" t="str">
        <f t="shared" si="530"/>
        <v>#DIV/0!</v>
      </c>
      <c r="BF527" s="29" t="str">
        <f t="shared" si="530"/>
        <v>#DIV/0!</v>
      </c>
      <c r="BG527" s="29" t="str">
        <f t="shared" si="530"/>
        <v>#DIV/0!</v>
      </c>
      <c r="BH527" s="29" t="str">
        <f t="shared" si="530"/>
        <v>#DIV/0!</v>
      </c>
      <c r="BI527" s="29" t="str">
        <f t="shared" si="530"/>
        <v>#DIV/0!</v>
      </c>
      <c r="BJ527" s="29" t="str">
        <f t="shared" si="530"/>
        <v>#DIV/0!</v>
      </c>
      <c r="BK527" s="29" t="str">
        <f t="shared" si="530"/>
        <v>#DIV/0!</v>
      </c>
      <c r="BL527" s="29" t="str">
        <f t="shared" si="530"/>
        <v>#DIV/0!</v>
      </c>
      <c r="BM527" s="29" t="str">
        <f t="shared" si="3"/>
        <v>#DIV/0!</v>
      </c>
    </row>
    <row r="528">
      <c r="A528" s="16" t="str">
        <f>IFERROR(__xludf.DUMMYFUNCTION("IFERROR(SPARKLINE(SORT(MAP(TRANSPOSE(AQ528:BL528), LAMBDA(val, IF(ISNUMBER(val), PERCENTRANK(AQ528:BL528, val)+0.01, 0))), SEQUENCE(COLUMNS(AQ528:BL528)), FALSE), {""charttype"",""column""; ""color"",""chartreuse""; ""ymin"", 0; ""ymax"", 1.01; ""highcolo"&amp;"r"", ""darkgreen""; ""lowcolor"", ""red""}), """")"),"")</f>
        <v/>
      </c>
      <c r="B528" s="17" t="str">
        <f t="shared" si="4"/>
        <v/>
      </c>
      <c r="C528" s="1" t="s">
        <v>2389</v>
      </c>
      <c r="D528" s="34" t="str">
        <f>IFERROR(__xludf.DUMMYFUNCTION("IFERROR(GOOGLEFINANCE(C528, ""NAME""))"),"OceanFirst Financial Corp")</f>
        <v>OceanFirst Financial Corp</v>
      </c>
      <c r="E528" s="30" t="s">
        <v>268</v>
      </c>
      <c r="F528" s="33" t="str">
        <f>IFERROR(__xludf.DUMMYFUNCTION("( (GOOGLEFINANCE(C528, ""price"") - Q528) / Q528 ) / (R528 / 100)"),"Loading...")</f>
        <v>Loading...</v>
      </c>
      <c r="G528" s="20" t="str">
        <f>IFERROR(__xludf.DUMMYFUNCTION("AVERAGE(ARRAYFORMULA(100 * (QUERY(GOOGLEFINANCE(C528, ""high"", TODAY()-40, TODAY()), ""SELECT Col2 WHERE Col2 IS NOT NULL ORDER BY Col1 DESC LIMIT 20"", 0) / QUERY(GOOGLEFINANCE(C528, ""low"", TODAY()-40, TODAY()), ""SELECT Col2 WHERE Col2 IS NOT NULL OR"&amp;"DER BY Col1 DESC LIMIT 20"", 0) - 1)))"),"#N/A")</f>
        <v>#N/A</v>
      </c>
      <c r="H528" s="35" t="str">
        <f t="shared" si="6"/>
        <v/>
      </c>
      <c r="I528" s="36" t="str">
        <f t="shared" si="7"/>
        <v/>
      </c>
      <c r="J528" s="37" t="str">
        <f>IFERROR(__xludf.DUMMYFUNCTION("IFERROR(
  IF(C528="""",, 
    IFERROR(
      GOOGLEFINANCE(C528, ""price"") * GOOGLEFINANCE(C528, ""volumeavg""), 
      GOOGLEFINANCE(C528, ""price"") * AVERAGE(QUERY(GOOGLEFINANCE(C528, ""volume"", TODAY()-40, TODAY()), ""SELECT Col2 WHERE Col2 IS NOT "&amp;"NULL ORDER BY Col1 DESC LIMIT 20"", 0))
    )
  ), 
"""")"),"")</f>
        <v/>
      </c>
      <c r="K528" s="21" t="str">
        <f>IFERROR(__xludf.DUMMYFUNCTION("IFERROR(GOOGLEFINANCE(C528, ""changepct"") / 100, """")"),"")</f>
        <v/>
      </c>
      <c r="L528" s="21" t="str">
        <f>IFERROR(__xludf.DUMMYFUNCTION("IFERROR((GOOGLEFINANCE(C528, ""price"") / INDEX(GOOGLEFINANCE(C528, ""price"", TODAY()-7, TODAY()), 2, 2)) - 1, """")"),"")</f>
        <v/>
      </c>
      <c r="M528" s="21" t="str">
        <f>IFERROR(__xludf.DUMMYFUNCTION("IFERROR((GOOGLEFINANCE(C528, ""price"") / INDEX(GOOGLEFINANCE(C528, ""price"", EDATE(TODAY(), -1), TODAY()), 2, 2)) - 1, """")"),"")</f>
        <v/>
      </c>
      <c r="N528" s="21" t="str">
        <f>IFERROR(__xludf.DUMMYFUNCTION("IFERROR((GOOGLEFINANCE(C528, ""price"") / INDEX(GOOGLEFINANCE(C528, ""price"", EDATE(TODAY(), -3), TODAY()), 2, 2)) - 1, """")"),"")</f>
        <v/>
      </c>
      <c r="O528" s="21" t="str">
        <f>IFERROR(__xludf.DUMMYFUNCTION("IFERROR((GOOGLEFINANCE(C528, ""price"") / INDEX(GOOGLEFINANCE(C528, ""price"", EDATE(TODAY(), -6), TODAY()), 2, 2)) - 1, """")"),"")</f>
        <v/>
      </c>
      <c r="P528" s="21" t="str">
        <f>IFERROR(__xludf.DUMMYFUNCTION("IFERROR((GOOGLEFINANCE(C528, ""price"") / INDEX(GOOGLEFINANCE(C528, ""price"", EDATE(TODAY(), -12), TODAY()), 2, 2)) - 1, """")"),"")</f>
        <v/>
      </c>
      <c r="Q528" s="6" t="str">
        <f>IFERROR(__xludf.DUMMYFUNCTION("AVERAGE(QUERY(GOOGLEFINANCE(C528, ""price"", TODAY()-80, TODAY()), ""SELECT Col2 WHERE Col2 IS NOT NULL ORDER BY Col1 DESC LIMIT 50"", 0))"),"#N/A")</f>
        <v>#N/A</v>
      </c>
      <c r="R528" s="24" t="str">
        <f>IFERROR(__xludf.DUMMYFUNCTION("IFERROR(
  LET(
    data, QUERY(GOOGLEFINANCE(C528,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GOOGLEFINANCE(C528, ""price"")) * 100,
    IF(calc=0, G528, calc)
  ), 
G528)"),"#N/A")</f>
        <v>#N/A</v>
      </c>
      <c r="S528" s="8" t="s">
        <v>15</v>
      </c>
      <c r="T528" s="26" t="str">
        <f>IFERROR(__xludf.DUMMYFUNCTION("IFERROR(TRANSPOSE(QUERY(IFERROR(SORT(GOOGLEFINANCE(C528, ""price"", WORKDAY(TODAY(), -40), TODAY()), 1, FALSE)), ""select Col2 where Col2 is not null limit 22 label Col2 ''"", 0)), """")"),"")</f>
        <v/>
      </c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8"/>
      <c r="AO528" s="28"/>
      <c r="AP528" s="29"/>
      <c r="AQ528" s="29" t="str">
        <f t="shared" ref="AQ528:BL528" si="531">T528/T$2</f>
        <v>#N/A</v>
      </c>
      <c r="AR528" s="29" t="str">
        <f t="shared" si="531"/>
        <v>#DIV/0!</v>
      </c>
      <c r="AS528" s="29" t="str">
        <f t="shared" si="531"/>
        <v>#DIV/0!</v>
      </c>
      <c r="AT528" s="29" t="str">
        <f t="shared" si="531"/>
        <v>#DIV/0!</v>
      </c>
      <c r="AU528" s="29" t="str">
        <f t="shared" si="531"/>
        <v>#DIV/0!</v>
      </c>
      <c r="AV528" s="29" t="str">
        <f t="shared" si="531"/>
        <v>#DIV/0!</v>
      </c>
      <c r="AW528" s="29" t="str">
        <f t="shared" si="531"/>
        <v>#DIV/0!</v>
      </c>
      <c r="AX528" s="29" t="str">
        <f t="shared" si="531"/>
        <v>#DIV/0!</v>
      </c>
      <c r="AY528" s="29" t="str">
        <f t="shared" si="531"/>
        <v>#DIV/0!</v>
      </c>
      <c r="AZ528" s="29" t="str">
        <f t="shared" si="531"/>
        <v>#DIV/0!</v>
      </c>
      <c r="BA528" s="29" t="str">
        <f t="shared" si="531"/>
        <v>#DIV/0!</v>
      </c>
      <c r="BB528" s="29" t="str">
        <f t="shared" si="531"/>
        <v>#DIV/0!</v>
      </c>
      <c r="BC528" s="29" t="str">
        <f t="shared" si="531"/>
        <v>#DIV/0!</v>
      </c>
      <c r="BD528" s="29" t="str">
        <f t="shared" si="531"/>
        <v>#DIV/0!</v>
      </c>
      <c r="BE528" s="29" t="str">
        <f t="shared" si="531"/>
        <v>#DIV/0!</v>
      </c>
      <c r="BF528" s="29" t="str">
        <f t="shared" si="531"/>
        <v>#DIV/0!</v>
      </c>
      <c r="BG528" s="29" t="str">
        <f t="shared" si="531"/>
        <v>#DIV/0!</v>
      </c>
      <c r="BH528" s="29" t="str">
        <f t="shared" si="531"/>
        <v>#DIV/0!</v>
      </c>
      <c r="BI528" s="29" t="str">
        <f t="shared" si="531"/>
        <v>#DIV/0!</v>
      </c>
      <c r="BJ528" s="29" t="str">
        <f t="shared" si="531"/>
        <v>#DIV/0!</v>
      </c>
      <c r="BK528" s="29" t="str">
        <f t="shared" si="531"/>
        <v>#DIV/0!</v>
      </c>
      <c r="BL528" s="29" t="str">
        <f t="shared" si="531"/>
        <v>#DIV/0!</v>
      </c>
      <c r="BM528" s="29" t="str">
        <f t="shared" si="3"/>
        <v>#DIV/0!</v>
      </c>
    </row>
    <row r="529">
      <c r="A529" s="16" t="str">
        <f>IFERROR(__xludf.DUMMYFUNCTION("IFERROR(SPARKLINE(SORT(MAP(TRANSPOSE(AQ529:BL529), LAMBDA(val, IF(ISNUMBER(val), PERCENTRANK(AQ529:BL529, val)+0.01, 0))), SEQUENCE(COLUMNS(AQ529:BL529)), FALSE), {""charttype"",""column""; ""color"",""chartreuse""; ""ymin"", 0; ""ymax"", 1.01; ""highcolo"&amp;"r"", ""darkgreen""; ""lowcolor"", ""red""}), """")"),"")</f>
        <v/>
      </c>
      <c r="B529" s="17" t="str">
        <f t="shared" si="4"/>
        <v/>
      </c>
      <c r="C529" s="1" t="s">
        <v>2393</v>
      </c>
      <c r="D529" s="34" t="str">
        <f>IFERROR(__xludf.DUMMYFUNCTION("IFERROR(GOOGLEFINANCE(C529, ""NAME""))"),"Pathward Financial Inc")</f>
        <v>Pathward Financial Inc</v>
      </c>
      <c r="E529" s="30" t="s">
        <v>268</v>
      </c>
      <c r="F529" s="33" t="str">
        <f>IFERROR(__xludf.DUMMYFUNCTION("( (GOOGLEFINANCE(C529, ""price"") - Q529) / Q529 ) / (R529 / 100)"),"Loading...")</f>
        <v>Loading...</v>
      </c>
      <c r="G529" s="20" t="str">
        <f>IFERROR(__xludf.DUMMYFUNCTION("AVERAGE(ARRAYFORMULA(100 * (QUERY(GOOGLEFINANCE(C529, ""high"", TODAY()-40, TODAY()), ""SELECT Col2 WHERE Col2 IS NOT NULL ORDER BY Col1 DESC LIMIT 20"", 0) / QUERY(GOOGLEFINANCE(C529, ""low"", TODAY()-40, TODAY()), ""SELECT Col2 WHERE Col2 IS NOT NULL OR"&amp;"DER BY Col1 DESC LIMIT 20"", 0) - 1)))"),"#N/A")</f>
        <v>#N/A</v>
      </c>
      <c r="H529" s="35" t="str">
        <f t="shared" si="6"/>
        <v/>
      </c>
      <c r="I529" s="36" t="str">
        <f t="shared" si="7"/>
        <v/>
      </c>
      <c r="J529" s="37" t="str">
        <f>IFERROR(__xludf.DUMMYFUNCTION("IFERROR(
  IF(C529="""",, 
    IFERROR(
      GOOGLEFINANCE(C529, ""price"") * GOOGLEFINANCE(C529, ""volumeavg""), 
      GOOGLEFINANCE(C529, ""price"") * AVERAGE(QUERY(GOOGLEFINANCE(C529, ""volume"", TODAY()-40, TODAY()), ""SELECT Col2 WHERE Col2 IS NOT "&amp;"NULL ORDER BY Col1 DESC LIMIT 20"", 0))
    )
  ), 
"""")"),"")</f>
        <v/>
      </c>
      <c r="K529" s="21" t="str">
        <f>IFERROR(__xludf.DUMMYFUNCTION("IFERROR(GOOGLEFINANCE(C529, ""changepct"") / 100, """")"),"")</f>
        <v/>
      </c>
      <c r="L529" s="21" t="str">
        <f>IFERROR(__xludf.DUMMYFUNCTION("IFERROR((GOOGLEFINANCE(C529, ""price"") / INDEX(GOOGLEFINANCE(C529, ""price"", TODAY()-7, TODAY()), 2, 2)) - 1, """")"),"")</f>
        <v/>
      </c>
      <c r="M529" s="21" t="str">
        <f>IFERROR(__xludf.DUMMYFUNCTION("IFERROR((GOOGLEFINANCE(C529, ""price"") / INDEX(GOOGLEFINANCE(C529, ""price"", EDATE(TODAY(), -1), TODAY()), 2, 2)) - 1, """")"),"")</f>
        <v/>
      </c>
      <c r="N529" s="21" t="str">
        <f>IFERROR(__xludf.DUMMYFUNCTION("IFERROR((GOOGLEFINANCE(C529, ""price"") / INDEX(GOOGLEFINANCE(C529, ""price"", EDATE(TODAY(), -3), TODAY()), 2, 2)) - 1, """")"),"")</f>
        <v/>
      </c>
      <c r="O529" s="21" t="str">
        <f>IFERROR(__xludf.DUMMYFUNCTION("IFERROR((GOOGLEFINANCE(C529, ""price"") / INDEX(GOOGLEFINANCE(C529, ""price"", EDATE(TODAY(), -6), TODAY()), 2, 2)) - 1, """")"),"")</f>
        <v/>
      </c>
      <c r="P529" s="21" t="str">
        <f>IFERROR(__xludf.DUMMYFUNCTION("IFERROR((GOOGLEFINANCE(C529, ""price"") / INDEX(GOOGLEFINANCE(C529, ""price"", EDATE(TODAY(), -12), TODAY()), 2, 2)) - 1, """")"),"")</f>
        <v/>
      </c>
      <c r="Q529" s="6" t="str">
        <f>IFERROR(__xludf.DUMMYFUNCTION("AVERAGE(QUERY(GOOGLEFINANCE(C529, ""price"", TODAY()-80, TODAY()), ""SELECT Col2 WHERE Col2 IS NOT NULL ORDER BY Col1 DESC LIMIT 50"", 0))"),"#N/A")</f>
        <v>#N/A</v>
      </c>
      <c r="R529" s="24" t="str">
        <f>IFERROR(__xludf.DUMMYFUNCTION("IFERROR(
  LET(
    data, QUERY(GOOGLEFINANCE(C529,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GOOGLEFINANCE(C529, ""price"")) * 100,
    IF(calc=0, G529, calc)
  ), 
G529)"),"#N/A")</f>
        <v>#N/A</v>
      </c>
      <c r="S529" s="8" t="s">
        <v>15</v>
      </c>
      <c r="T529" s="26" t="str">
        <f>IFERROR(__xludf.DUMMYFUNCTION("IFERROR(TRANSPOSE(QUERY(IFERROR(SORT(GOOGLEFINANCE(C529, ""price"", WORKDAY(TODAY(), -40), TODAY()), 1, FALSE)), ""select Col2 where Col2 is not null limit 22 label Col2 ''"", 0)), """")"),"")</f>
        <v/>
      </c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8"/>
      <c r="AO529" s="28"/>
      <c r="AP529" s="29"/>
      <c r="AQ529" s="29" t="str">
        <f t="shared" ref="AQ529:BL529" si="532">T529/T$2</f>
        <v>#N/A</v>
      </c>
      <c r="AR529" s="29" t="str">
        <f t="shared" si="532"/>
        <v>#DIV/0!</v>
      </c>
      <c r="AS529" s="29" t="str">
        <f t="shared" si="532"/>
        <v>#DIV/0!</v>
      </c>
      <c r="AT529" s="29" t="str">
        <f t="shared" si="532"/>
        <v>#DIV/0!</v>
      </c>
      <c r="AU529" s="29" t="str">
        <f t="shared" si="532"/>
        <v>#DIV/0!</v>
      </c>
      <c r="AV529" s="29" t="str">
        <f t="shared" si="532"/>
        <v>#DIV/0!</v>
      </c>
      <c r="AW529" s="29" t="str">
        <f t="shared" si="532"/>
        <v>#DIV/0!</v>
      </c>
      <c r="AX529" s="29" t="str">
        <f t="shared" si="532"/>
        <v>#DIV/0!</v>
      </c>
      <c r="AY529" s="29" t="str">
        <f t="shared" si="532"/>
        <v>#DIV/0!</v>
      </c>
      <c r="AZ529" s="29" t="str">
        <f t="shared" si="532"/>
        <v>#DIV/0!</v>
      </c>
      <c r="BA529" s="29" t="str">
        <f t="shared" si="532"/>
        <v>#DIV/0!</v>
      </c>
      <c r="BB529" s="29" t="str">
        <f t="shared" si="532"/>
        <v>#DIV/0!</v>
      </c>
      <c r="BC529" s="29" t="str">
        <f t="shared" si="532"/>
        <v>#DIV/0!</v>
      </c>
      <c r="BD529" s="29" t="str">
        <f t="shared" si="532"/>
        <v>#DIV/0!</v>
      </c>
      <c r="BE529" s="29" t="str">
        <f t="shared" si="532"/>
        <v>#DIV/0!</v>
      </c>
      <c r="BF529" s="29" t="str">
        <f t="shared" si="532"/>
        <v>#DIV/0!</v>
      </c>
      <c r="BG529" s="29" t="str">
        <f t="shared" si="532"/>
        <v>#DIV/0!</v>
      </c>
      <c r="BH529" s="29" t="str">
        <f t="shared" si="532"/>
        <v>#DIV/0!</v>
      </c>
      <c r="BI529" s="29" t="str">
        <f t="shared" si="532"/>
        <v>#DIV/0!</v>
      </c>
      <c r="BJ529" s="29" t="str">
        <f t="shared" si="532"/>
        <v>#DIV/0!</v>
      </c>
      <c r="BK529" s="29" t="str">
        <f t="shared" si="532"/>
        <v>#DIV/0!</v>
      </c>
      <c r="BL529" s="29" t="str">
        <f t="shared" si="532"/>
        <v>#DIV/0!</v>
      </c>
      <c r="BM529" s="29" t="str">
        <f t="shared" si="3"/>
        <v>#DIV/0!</v>
      </c>
    </row>
    <row r="530">
      <c r="A530" s="16" t="str">
        <f>IFERROR(__xludf.DUMMYFUNCTION("IFERROR(SPARKLINE(SORT(MAP(TRANSPOSE(AQ530:BL530), LAMBDA(val, IF(ISNUMBER(val), PERCENTRANK(AQ530:BL530, val)+0.01, 0))), SEQUENCE(COLUMNS(AQ530:BL530)), FALSE), {""charttype"",""column""; ""color"",""chartreuse""; ""ymin"", 0; ""ymax"", 1.01; ""highcolo"&amp;"r"", ""darkgreen""; ""lowcolor"", ""red""}), """")"),"")</f>
        <v/>
      </c>
      <c r="B530" s="17" t="str">
        <f t="shared" si="4"/>
        <v/>
      </c>
      <c r="C530" s="1" t="s">
        <v>2397</v>
      </c>
      <c r="D530" s="34" t="str">
        <f>IFERROR(__xludf.DUMMYFUNCTION("IFERROR(GOOGLEFINANCE(C530, ""NAME""))"),"Prosperity Bancshares, Inc")</f>
        <v>Prosperity Bancshares, Inc</v>
      </c>
      <c r="E530" s="30" t="s">
        <v>268</v>
      </c>
      <c r="F530" s="33" t="str">
        <f>IFERROR(__xludf.DUMMYFUNCTION("( (GOOGLEFINANCE(C530, ""price"") - Q530) / Q530 ) / (R530 / 100)"),"Loading...")</f>
        <v>Loading...</v>
      </c>
      <c r="G530" s="20" t="str">
        <f>IFERROR(__xludf.DUMMYFUNCTION("AVERAGE(ARRAYFORMULA(100 * (QUERY(GOOGLEFINANCE(C530, ""high"", TODAY()-40, TODAY()), ""SELECT Col2 WHERE Col2 IS NOT NULL ORDER BY Col1 DESC LIMIT 20"", 0) / QUERY(GOOGLEFINANCE(C530, ""low"", TODAY()-40, TODAY()), ""SELECT Col2 WHERE Col2 IS NOT NULL OR"&amp;"DER BY Col1 DESC LIMIT 20"", 0) - 1)))"),"#N/A")</f>
        <v>#N/A</v>
      </c>
      <c r="H530" s="35" t="str">
        <f t="shared" si="6"/>
        <v/>
      </c>
      <c r="I530" s="36" t="str">
        <f t="shared" si="7"/>
        <v/>
      </c>
      <c r="J530" s="37" t="str">
        <f>IFERROR(__xludf.DUMMYFUNCTION("IFERROR(
  IF(C530="""",, 
    IFERROR(
      GOOGLEFINANCE(C530, ""price"") * GOOGLEFINANCE(C530, ""volumeavg""), 
      GOOGLEFINANCE(C530, ""price"") * AVERAGE(QUERY(GOOGLEFINANCE(C530, ""volume"", TODAY()-40, TODAY()), ""SELECT Col2 WHERE Col2 IS NOT "&amp;"NULL ORDER BY Col1 DESC LIMIT 20"", 0))
    )
  ), 
"""")"),"")</f>
        <v/>
      </c>
      <c r="K530" s="21" t="str">
        <f>IFERROR(__xludf.DUMMYFUNCTION("IFERROR(GOOGLEFINANCE(C530, ""changepct"") / 100, """")"),"")</f>
        <v/>
      </c>
      <c r="L530" s="21" t="str">
        <f>IFERROR(__xludf.DUMMYFUNCTION("IFERROR((GOOGLEFINANCE(C530, ""price"") / INDEX(GOOGLEFINANCE(C530, ""price"", TODAY()-7, TODAY()), 2, 2)) - 1, """")"),"")</f>
        <v/>
      </c>
      <c r="M530" s="21" t="str">
        <f>IFERROR(__xludf.DUMMYFUNCTION("IFERROR((GOOGLEFINANCE(C530, ""price"") / INDEX(GOOGLEFINANCE(C530, ""price"", EDATE(TODAY(), -1), TODAY()), 2, 2)) - 1, """")"),"")</f>
        <v/>
      </c>
      <c r="N530" s="21" t="str">
        <f>IFERROR(__xludf.DUMMYFUNCTION("IFERROR((GOOGLEFINANCE(C530, ""price"") / INDEX(GOOGLEFINANCE(C530, ""price"", EDATE(TODAY(), -3), TODAY()), 2, 2)) - 1, """")"),"")</f>
        <v/>
      </c>
      <c r="O530" s="21" t="str">
        <f>IFERROR(__xludf.DUMMYFUNCTION("IFERROR((GOOGLEFINANCE(C530, ""price"") / INDEX(GOOGLEFINANCE(C530, ""price"", EDATE(TODAY(), -6), TODAY()), 2, 2)) - 1, """")"),"")</f>
        <v/>
      </c>
      <c r="P530" s="21" t="str">
        <f>IFERROR(__xludf.DUMMYFUNCTION("IFERROR((GOOGLEFINANCE(C530, ""price"") / INDEX(GOOGLEFINANCE(C530, ""price"", EDATE(TODAY(), -12), TODAY()), 2, 2)) - 1, """")"),"")</f>
        <v/>
      </c>
      <c r="Q530" s="6" t="str">
        <f>IFERROR(__xludf.DUMMYFUNCTION("AVERAGE(QUERY(GOOGLEFINANCE(C530, ""price"", TODAY()-80, TODAY()), ""SELECT Col2 WHERE Col2 IS NOT NULL ORDER BY Col1 DESC LIMIT 50"", 0))"),"#N/A")</f>
        <v>#N/A</v>
      </c>
      <c r="R530" s="24" t="str">
        <f>IFERROR(__xludf.DUMMYFUNCTION("IFERROR(
  LET(
    data, QUERY(GOOGLEFINANCE(C530,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GOOGLEFINANCE(C530, ""price"")) * 100,
    IF(calc=0, G530, calc)
  ), 
G530)"),"#N/A")</f>
        <v>#N/A</v>
      </c>
      <c r="S530" s="8" t="s">
        <v>15</v>
      </c>
      <c r="T530" s="26" t="str">
        <f>IFERROR(__xludf.DUMMYFUNCTION("IFERROR(TRANSPOSE(QUERY(IFERROR(SORT(GOOGLEFINANCE(C530, ""price"", WORKDAY(TODAY(), -40), TODAY()), 1, FALSE)), ""select Col2 where Col2 is not null limit 22 label Col2 ''"", 0)), """")"),"")</f>
        <v/>
      </c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8"/>
      <c r="AO530" s="28"/>
      <c r="AP530" s="29"/>
      <c r="AQ530" s="29" t="str">
        <f t="shared" ref="AQ530:BL530" si="533">T530/T$2</f>
        <v>#N/A</v>
      </c>
      <c r="AR530" s="29" t="str">
        <f t="shared" si="533"/>
        <v>#DIV/0!</v>
      </c>
      <c r="AS530" s="29" t="str">
        <f t="shared" si="533"/>
        <v>#DIV/0!</v>
      </c>
      <c r="AT530" s="29" t="str">
        <f t="shared" si="533"/>
        <v>#DIV/0!</v>
      </c>
      <c r="AU530" s="29" t="str">
        <f t="shared" si="533"/>
        <v>#DIV/0!</v>
      </c>
      <c r="AV530" s="29" t="str">
        <f t="shared" si="533"/>
        <v>#DIV/0!</v>
      </c>
      <c r="AW530" s="29" t="str">
        <f t="shared" si="533"/>
        <v>#DIV/0!</v>
      </c>
      <c r="AX530" s="29" t="str">
        <f t="shared" si="533"/>
        <v>#DIV/0!</v>
      </c>
      <c r="AY530" s="29" t="str">
        <f t="shared" si="533"/>
        <v>#DIV/0!</v>
      </c>
      <c r="AZ530" s="29" t="str">
        <f t="shared" si="533"/>
        <v>#DIV/0!</v>
      </c>
      <c r="BA530" s="29" t="str">
        <f t="shared" si="533"/>
        <v>#DIV/0!</v>
      </c>
      <c r="BB530" s="29" t="str">
        <f t="shared" si="533"/>
        <v>#DIV/0!</v>
      </c>
      <c r="BC530" s="29" t="str">
        <f t="shared" si="533"/>
        <v>#DIV/0!</v>
      </c>
      <c r="BD530" s="29" t="str">
        <f t="shared" si="533"/>
        <v>#DIV/0!</v>
      </c>
      <c r="BE530" s="29" t="str">
        <f t="shared" si="533"/>
        <v>#DIV/0!</v>
      </c>
      <c r="BF530" s="29" t="str">
        <f t="shared" si="533"/>
        <v>#DIV/0!</v>
      </c>
      <c r="BG530" s="29" t="str">
        <f t="shared" si="533"/>
        <v>#DIV/0!</v>
      </c>
      <c r="BH530" s="29" t="str">
        <f t="shared" si="533"/>
        <v>#DIV/0!</v>
      </c>
      <c r="BI530" s="29" t="str">
        <f t="shared" si="533"/>
        <v>#DIV/0!</v>
      </c>
      <c r="BJ530" s="29" t="str">
        <f t="shared" si="533"/>
        <v>#DIV/0!</v>
      </c>
      <c r="BK530" s="29" t="str">
        <f t="shared" si="533"/>
        <v>#DIV/0!</v>
      </c>
      <c r="BL530" s="29" t="str">
        <f t="shared" si="533"/>
        <v>#DIV/0!</v>
      </c>
      <c r="BM530" s="29" t="str">
        <f t="shared" si="3"/>
        <v>#DIV/0!</v>
      </c>
    </row>
    <row r="531">
      <c r="A531" s="16" t="str">
        <f>IFERROR(__xludf.DUMMYFUNCTION("IFERROR(SPARKLINE(SORT(MAP(TRANSPOSE(AQ531:BL531), LAMBDA(val, IF(ISNUMBER(val), PERCENTRANK(AQ531:BL531, val)+0.01, 0))), SEQUENCE(COLUMNS(AQ531:BL531)), FALSE), {""charttype"",""column""; ""color"",""chartreuse""; ""ymin"", 0; ""ymax"", 1.01; ""highcolo"&amp;"r"", ""darkgreen""; ""lowcolor"", ""red""}), """")"),"")</f>
        <v/>
      </c>
      <c r="B531" s="17" t="str">
        <f t="shared" si="4"/>
        <v/>
      </c>
      <c r="C531" s="1" t="s">
        <v>2402</v>
      </c>
      <c r="D531" s="34" t="str">
        <f>IFERROR(__xludf.DUMMYFUNCTION("IFERROR(GOOGLEFINANCE(C531, ""NAME""))"),"OneMain Holdings Inc")</f>
        <v>OneMain Holdings Inc</v>
      </c>
      <c r="E531" s="30" t="s">
        <v>145</v>
      </c>
      <c r="F531" s="38" t="str">
        <f>IFERROR(__xludf.DUMMYFUNCTION("( (GOOGLEFINANCE(C531, ""price"") - Q531) / Q531 ) / (R531 / 100)"),"Loading...")</f>
        <v>Loading...</v>
      </c>
      <c r="G531" s="20" t="str">
        <f>IFERROR(__xludf.DUMMYFUNCTION("AVERAGE(ARRAYFORMULA(100 * (QUERY(GOOGLEFINANCE(C531, ""high"", TODAY()-40, TODAY()), ""SELECT Col2 WHERE Col2 IS NOT NULL ORDER BY Col1 DESC LIMIT 20"", 0) / QUERY(GOOGLEFINANCE(C531, ""low"", TODAY()-40, TODAY()), ""SELECT Col2 WHERE Col2 IS NOT NULL OR"&amp;"DER BY Col1 DESC LIMIT 20"", 0) - 1)))"),"#N/A")</f>
        <v>#N/A</v>
      </c>
      <c r="H531" s="35" t="str">
        <f t="shared" si="6"/>
        <v/>
      </c>
      <c r="I531" s="36" t="str">
        <f t="shared" si="7"/>
        <v/>
      </c>
      <c r="J531" s="37" t="str">
        <f>IFERROR(__xludf.DUMMYFUNCTION("IFERROR(
  IF(C531="""",, 
    IFERROR(
      GOOGLEFINANCE(C531, ""price"") * GOOGLEFINANCE(C531, ""volumeavg""), 
      GOOGLEFINANCE(C531, ""price"") * AVERAGE(QUERY(GOOGLEFINANCE(C531, ""volume"", TODAY()-40, TODAY()), ""SELECT Col2 WHERE Col2 IS NOT "&amp;"NULL ORDER BY Col1 DESC LIMIT 20"", 0))
    )
  ), 
"""")"),"")</f>
        <v/>
      </c>
      <c r="K531" s="21" t="str">
        <f>IFERROR(__xludf.DUMMYFUNCTION("IFERROR(GOOGLEFINANCE(C531, ""changepct"") / 100, """")"),"")</f>
        <v/>
      </c>
      <c r="L531" s="21" t="str">
        <f>IFERROR(__xludf.DUMMYFUNCTION("IFERROR((GOOGLEFINANCE(C531, ""price"") / INDEX(GOOGLEFINANCE(C531, ""price"", TODAY()-7, TODAY()), 2, 2)) - 1, """")"),"")</f>
        <v/>
      </c>
      <c r="M531" s="21" t="str">
        <f>IFERROR(__xludf.DUMMYFUNCTION("IFERROR((GOOGLEFINANCE(C531, ""price"") / INDEX(GOOGLEFINANCE(C531, ""price"", EDATE(TODAY(), -1), TODAY()), 2, 2)) - 1, """")"),"")</f>
        <v/>
      </c>
      <c r="N531" s="21" t="str">
        <f>IFERROR(__xludf.DUMMYFUNCTION("IFERROR((GOOGLEFINANCE(C531, ""price"") / INDEX(GOOGLEFINANCE(C531, ""price"", EDATE(TODAY(), -3), TODAY()), 2, 2)) - 1, """")"),"")</f>
        <v/>
      </c>
      <c r="O531" s="21" t="str">
        <f>IFERROR(__xludf.DUMMYFUNCTION("IFERROR((GOOGLEFINANCE(C531, ""price"") / INDEX(GOOGLEFINANCE(C531, ""price"", EDATE(TODAY(), -6), TODAY()), 2, 2)) - 1, """")"),"")</f>
        <v/>
      </c>
      <c r="P531" s="21" t="str">
        <f>IFERROR(__xludf.DUMMYFUNCTION("IFERROR((GOOGLEFINANCE(C531, ""price"") / INDEX(GOOGLEFINANCE(C531, ""price"", EDATE(TODAY(), -12), TODAY()), 2, 2)) - 1, """")"),"")</f>
        <v/>
      </c>
      <c r="Q531" s="6" t="str">
        <f>IFERROR(__xludf.DUMMYFUNCTION("AVERAGE(QUERY(GOOGLEFINANCE(C531, ""price"", TODAY()-80, TODAY()), ""SELECT Col2 WHERE Col2 IS NOT NULL ORDER BY Col1 DESC LIMIT 50"", 0))"),"#N/A")</f>
        <v>#N/A</v>
      </c>
      <c r="R531" s="24" t="str">
        <f>IFERROR(__xludf.DUMMYFUNCTION("IFERROR(
  LET(
    data, QUERY(GOOGLEFINANCE(C531,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GOOGLEFINANCE(C531, ""price"")) * 100,
    IF(calc=0, G531, calc)
  ), 
G531)"),"#N/A")</f>
        <v>#N/A</v>
      </c>
      <c r="S531" s="8" t="s">
        <v>15</v>
      </c>
      <c r="T531" s="26" t="str">
        <f>IFERROR(__xludf.DUMMYFUNCTION("IFERROR(TRANSPOSE(QUERY(IFERROR(SORT(GOOGLEFINANCE(C531, ""price"", WORKDAY(TODAY(), -40), TODAY()), 1, FALSE)), ""select Col2 where Col2 is not null limit 22 label Col2 ''"", 0)), """")"),"")</f>
        <v/>
      </c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8"/>
      <c r="AO531" s="28"/>
      <c r="AP531" s="29"/>
      <c r="AQ531" s="29" t="str">
        <f t="shared" ref="AQ531:BL531" si="534">T531/T$2</f>
        <v>#N/A</v>
      </c>
      <c r="AR531" s="29" t="str">
        <f t="shared" si="534"/>
        <v>#DIV/0!</v>
      </c>
      <c r="AS531" s="29" t="str">
        <f t="shared" si="534"/>
        <v>#DIV/0!</v>
      </c>
      <c r="AT531" s="29" t="str">
        <f t="shared" si="534"/>
        <v>#DIV/0!</v>
      </c>
      <c r="AU531" s="29" t="str">
        <f t="shared" si="534"/>
        <v>#DIV/0!</v>
      </c>
      <c r="AV531" s="29" t="str">
        <f t="shared" si="534"/>
        <v>#DIV/0!</v>
      </c>
      <c r="AW531" s="29" t="str">
        <f t="shared" si="534"/>
        <v>#DIV/0!</v>
      </c>
      <c r="AX531" s="29" t="str">
        <f t="shared" si="534"/>
        <v>#DIV/0!</v>
      </c>
      <c r="AY531" s="29" t="str">
        <f t="shared" si="534"/>
        <v>#DIV/0!</v>
      </c>
      <c r="AZ531" s="29" t="str">
        <f t="shared" si="534"/>
        <v>#DIV/0!</v>
      </c>
      <c r="BA531" s="29" t="str">
        <f t="shared" si="534"/>
        <v>#DIV/0!</v>
      </c>
      <c r="BB531" s="29" t="str">
        <f t="shared" si="534"/>
        <v>#DIV/0!</v>
      </c>
      <c r="BC531" s="29" t="str">
        <f t="shared" si="534"/>
        <v>#DIV/0!</v>
      </c>
      <c r="BD531" s="29" t="str">
        <f t="shared" si="534"/>
        <v>#DIV/0!</v>
      </c>
      <c r="BE531" s="29" t="str">
        <f t="shared" si="534"/>
        <v>#DIV/0!</v>
      </c>
      <c r="BF531" s="29" t="str">
        <f t="shared" si="534"/>
        <v>#DIV/0!</v>
      </c>
      <c r="BG531" s="29" t="str">
        <f t="shared" si="534"/>
        <v>#DIV/0!</v>
      </c>
      <c r="BH531" s="29" t="str">
        <f t="shared" si="534"/>
        <v>#DIV/0!</v>
      </c>
      <c r="BI531" s="29" t="str">
        <f t="shared" si="534"/>
        <v>#DIV/0!</v>
      </c>
      <c r="BJ531" s="29" t="str">
        <f t="shared" si="534"/>
        <v>#DIV/0!</v>
      </c>
      <c r="BK531" s="29" t="str">
        <f t="shared" si="534"/>
        <v>#DIV/0!</v>
      </c>
      <c r="BL531" s="29" t="str">
        <f t="shared" si="534"/>
        <v>#DIV/0!</v>
      </c>
      <c r="BM531" s="29" t="str">
        <f t="shared" si="3"/>
        <v>#DIV/0!</v>
      </c>
    </row>
    <row r="532">
      <c r="A532" s="16" t="str">
        <f>IFERROR(__xludf.DUMMYFUNCTION("IFERROR(SPARKLINE(SORT(MAP(TRANSPOSE(AQ532:BL532), LAMBDA(val, IF(ISNUMBER(val), PERCENTRANK(AQ532:BL532, val)+0.01, 0))), SEQUENCE(COLUMNS(AQ532:BL532)), FALSE), {""charttype"",""column""; ""color"",""chartreuse""; ""ymin"", 0; ""ymax"", 1.01; ""highcolo"&amp;"r"", ""darkgreen""; ""lowcolor"", ""red""}), """")"),"")</f>
        <v/>
      </c>
      <c r="B532" s="17" t="str">
        <f t="shared" si="4"/>
        <v/>
      </c>
      <c r="C532" s="1" t="s">
        <v>2406</v>
      </c>
      <c r="D532" s="34" t="str">
        <f>IFERROR(__xludf.DUMMYFUNCTION("IFERROR(GOOGLEFINANCE(C532, ""NAME""))"),"UWM Holdings Corp")</f>
        <v>UWM Holdings Corp</v>
      </c>
      <c r="E532" s="30" t="s">
        <v>119</v>
      </c>
      <c r="F532" s="33" t="str">
        <f>IFERROR(__xludf.DUMMYFUNCTION("( (GOOGLEFINANCE(C532, ""price"") - Q532) / Q532 ) / (R532 / 100)"),"Loading...")</f>
        <v>Loading...</v>
      </c>
      <c r="G532" s="20" t="str">
        <f>IFERROR(__xludf.DUMMYFUNCTION("AVERAGE(ARRAYFORMULA(100 * (QUERY(GOOGLEFINANCE(C532, ""high"", TODAY()-40, TODAY()), ""SELECT Col2 WHERE Col2 IS NOT NULL ORDER BY Col1 DESC LIMIT 20"", 0) / QUERY(GOOGLEFINANCE(C532, ""low"", TODAY()-40, TODAY()), ""SELECT Col2 WHERE Col2 IS NOT NULL OR"&amp;"DER BY Col1 DESC LIMIT 20"", 0) - 1)))"),"#N/A")</f>
        <v>#N/A</v>
      </c>
      <c r="H532" s="35" t="str">
        <f t="shared" si="6"/>
        <v/>
      </c>
      <c r="I532" s="36" t="str">
        <f t="shared" si="7"/>
        <v/>
      </c>
      <c r="J532" s="37" t="str">
        <f>IFERROR(__xludf.DUMMYFUNCTION("IFERROR(
  IF(C532="""",, 
    IFERROR(
      GOOGLEFINANCE(C532, ""price"") * GOOGLEFINANCE(C532, ""volumeavg""), 
      GOOGLEFINANCE(C532, ""price"") * AVERAGE(QUERY(GOOGLEFINANCE(C532, ""volume"", TODAY()-40, TODAY()), ""SELECT Col2 WHERE Col2 IS NOT "&amp;"NULL ORDER BY Col1 DESC LIMIT 20"", 0))
    )
  ), 
"""")"),"")</f>
        <v/>
      </c>
      <c r="K532" s="21" t="str">
        <f>IFERROR(__xludf.DUMMYFUNCTION("IFERROR(GOOGLEFINANCE(C532, ""changepct"") / 100, """")"),"")</f>
        <v/>
      </c>
      <c r="L532" s="21" t="str">
        <f>IFERROR(__xludf.DUMMYFUNCTION("IFERROR((GOOGLEFINANCE(C532, ""price"") / INDEX(GOOGLEFINANCE(C532, ""price"", TODAY()-7, TODAY()), 2, 2)) - 1, """")"),"")</f>
        <v/>
      </c>
      <c r="M532" s="21" t="str">
        <f>IFERROR(__xludf.DUMMYFUNCTION("IFERROR((GOOGLEFINANCE(C532, ""price"") / INDEX(GOOGLEFINANCE(C532, ""price"", EDATE(TODAY(), -1), TODAY()), 2, 2)) - 1, """")"),"")</f>
        <v/>
      </c>
      <c r="N532" s="21" t="str">
        <f>IFERROR(__xludf.DUMMYFUNCTION("IFERROR((GOOGLEFINANCE(C532, ""price"") / INDEX(GOOGLEFINANCE(C532, ""price"", EDATE(TODAY(), -3), TODAY()), 2, 2)) - 1, """")"),"")</f>
        <v/>
      </c>
      <c r="O532" s="21" t="str">
        <f>IFERROR(__xludf.DUMMYFUNCTION("IFERROR((GOOGLEFINANCE(C532, ""price"") / INDEX(GOOGLEFINANCE(C532, ""price"", EDATE(TODAY(), -6), TODAY()), 2, 2)) - 1, """")"),"")</f>
        <v/>
      </c>
      <c r="P532" s="21" t="str">
        <f>IFERROR(__xludf.DUMMYFUNCTION("IFERROR((GOOGLEFINANCE(C532, ""price"") / INDEX(GOOGLEFINANCE(C532, ""price"", EDATE(TODAY(), -12), TODAY()), 2, 2)) - 1, """")"),"")</f>
        <v/>
      </c>
      <c r="Q532" s="6" t="str">
        <f>IFERROR(__xludf.DUMMYFUNCTION("AVERAGE(QUERY(GOOGLEFINANCE(C532, ""price"", TODAY()-80, TODAY()), ""SELECT Col2 WHERE Col2 IS NOT NULL ORDER BY Col1 DESC LIMIT 50"", 0))"),"#N/A")</f>
        <v>#N/A</v>
      </c>
      <c r="R532" s="24" t="str">
        <f>IFERROR(__xludf.DUMMYFUNCTION("IFERROR(
  LET(
    data, QUERY(GOOGLEFINANCE(C532,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GOOGLEFINANCE(C532, ""price"")) * 100,
    IF(calc=0, G532, calc)
  ), 
G532)"),"#N/A")</f>
        <v>#N/A</v>
      </c>
      <c r="S532" s="8" t="s">
        <v>15</v>
      </c>
      <c r="T532" s="26" t="str">
        <f>IFERROR(__xludf.DUMMYFUNCTION("IFERROR(TRANSPOSE(QUERY(IFERROR(SORT(GOOGLEFINANCE(C532, ""price"", WORKDAY(TODAY(), -40), TODAY()), 1, FALSE)), ""select Col2 where Col2 is not null limit 22 label Col2 ''"", 0)), """")"),"")</f>
        <v/>
      </c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8"/>
      <c r="AO532" s="28"/>
      <c r="AP532" s="29"/>
      <c r="AQ532" s="29" t="str">
        <f t="shared" ref="AQ532:BL532" si="535">T532/T$2</f>
        <v>#N/A</v>
      </c>
      <c r="AR532" s="29" t="str">
        <f t="shared" si="535"/>
        <v>#DIV/0!</v>
      </c>
      <c r="AS532" s="29" t="str">
        <f t="shared" si="535"/>
        <v>#DIV/0!</v>
      </c>
      <c r="AT532" s="29" t="str">
        <f t="shared" si="535"/>
        <v>#DIV/0!</v>
      </c>
      <c r="AU532" s="29" t="str">
        <f t="shared" si="535"/>
        <v>#DIV/0!</v>
      </c>
      <c r="AV532" s="29" t="str">
        <f t="shared" si="535"/>
        <v>#DIV/0!</v>
      </c>
      <c r="AW532" s="29" t="str">
        <f t="shared" si="535"/>
        <v>#DIV/0!</v>
      </c>
      <c r="AX532" s="29" t="str">
        <f t="shared" si="535"/>
        <v>#DIV/0!</v>
      </c>
      <c r="AY532" s="29" t="str">
        <f t="shared" si="535"/>
        <v>#DIV/0!</v>
      </c>
      <c r="AZ532" s="29" t="str">
        <f t="shared" si="535"/>
        <v>#DIV/0!</v>
      </c>
      <c r="BA532" s="29" t="str">
        <f t="shared" si="535"/>
        <v>#DIV/0!</v>
      </c>
      <c r="BB532" s="29" t="str">
        <f t="shared" si="535"/>
        <v>#DIV/0!</v>
      </c>
      <c r="BC532" s="29" t="str">
        <f t="shared" si="535"/>
        <v>#DIV/0!</v>
      </c>
      <c r="BD532" s="29" t="str">
        <f t="shared" si="535"/>
        <v>#DIV/0!</v>
      </c>
      <c r="BE532" s="29" t="str">
        <f t="shared" si="535"/>
        <v>#DIV/0!</v>
      </c>
      <c r="BF532" s="29" t="str">
        <f t="shared" si="535"/>
        <v>#DIV/0!</v>
      </c>
      <c r="BG532" s="29" t="str">
        <f t="shared" si="535"/>
        <v>#DIV/0!</v>
      </c>
      <c r="BH532" s="29" t="str">
        <f t="shared" si="535"/>
        <v>#DIV/0!</v>
      </c>
      <c r="BI532" s="29" t="str">
        <f t="shared" si="535"/>
        <v>#DIV/0!</v>
      </c>
      <c r="BJ532" s="29" t="str">
        <f t="shared" si="535"/>
        <v>#DIV/0!</v>
      </c>
      <c r="BK532" s="29" t="str">
        <f t="shared" si="535"/>
        <v>#DIV/0!</v>
      </c>
      <c r="BL532" s="29" t="str">
        <f t="shared" si="535"/>
        <v>#DIV/0!</v>
      </c>
      <c r="BM532" s="29" t="str">
        <f t="shared" si="3"/>
        <v>#DIV/0!</v>
      </c>
    </row>
    <row r="533">
      <c r="A533" s="16" t="str">
        <f>IFERROR(__xludf.DUMMYFUNCTION("IFERROR(SPARKLINE(SORT(MAP(TRANSPOSE(AQ533:BL533), LAMBDA(val, IF(ISNUMBER(val), PERCENTRANK(AQ533:BL533, val)+0.01, 0))), SEQUENCE(COLUMNS(AQ533:BL533)), FALSE), {""charttype"",""column""; ""color"",""chartreuse""; ""ymin"", 0; ""ymax"", 1.01; ""highcolo"&amp;"r"", ""darkgreen""; ""lowcolor"", ""red""}), """")"),"")</f>
        <v/>
      </c>
      <c r="B533" s="17" t="str">
        <f t="shared" si="4"/>
        <v/>
      </c>
      <c r="C533" s="1" t="s">
        <v>2410</v>
      </c>
      <c r="D533" s="34" t="str">
        <f>IFERROR(__xludf.DUMMYFUNCTION("IFERROR(GOOGLEFINANCE(C533, ""NAME""))"),"Hamilton Lane Inc")</f>
        <v>Hamilton Lane Inc</v>
      </c>
      <c r="E533" s="30" t="s">
        <v>64</v>
      </c>
      <c r="F533" s="33" t="str">
        <f>IFERROR(__xludf.DUMMYFUNCTION("( (GOOGLEFINANCE(C533, ""price"") - Q533) / Q533 ) / (R533 / 100)"),"Loading...")</f>
        <v>Loading...</v>
      </c>
      <c r="G533" s="20" t="str">
        <f>IFERROR(__xludf.DUMMYFUNCTION("AVERAGE(ARRAYFORMULA(100 * (QUERY(GOOGLEFINANCE(C533, ""high"", TODAY()-40, TODAY()), ""SELECT Col2 WHERE Col2 IS NOT NULL ORDER BY Col1 DESC LIMIT 20"", 0) / QUERY(GOOGLEFINANCE(C533, ""low"", TODAY()-40, TODAY()), ""SELECT Col2 WHERE Col2 IS NOT NULL OR"&amp;"DER BY Col1 DESC LIMIT 20"", 0) - 1)))"),"#N/A")</f>
        <v>#N/A</v>
      </c>
      <c r="H533" s="35" t="str">
        <f t="shared" si="6"/>
        <v/>
      </c>
      <c r="I533" s="36" t="str">
        <f t="shared" si="7"/>
        <v/>
      </c>
      <c r="J533" s="37" t="str">
        <f>IFERROR(__xludf.DUMMYFUNCTION("IFERROR(
  IF(C533="""",, 
    IFERROR(
      GOOGLEFINANCE(C533, ""price"") * GOOGLEFINANCE(C533, ""volumeavg""), 
      GOOGLEFINANCE(C533, ""price"") * AVERAGE(QUERY(GOOGLEFINANCE(C533, ""volume"", TODAY()-40, TODAY()), ""SELECT Col2 WHERE Col2 IS NOT "&amp;"NULL ORDER BY Col1 DESC LIMIT 20"", 0))
    )
  ), 
"""")"),"")</f>
        <v/>
      </c>
      <c r="K533" s="21" t="str">
        <f>IFERROR(__xludf.DUMMYFUNCTION("IFERROR(GOOGLEFINANCE(C533, ""changepct"") / 100, """")"),"")</f>
        <v/>
      </c>
      <c r="L533" s="21" t="str">
        <f>IFERROR(__xludf.DUMMYFUNCTION("IFERROR((GOOGLEFINANCE(C533, ""price"") / INDEX(GOOGLEFINANCE(C533, ""price"", TODAY()-7, TODAY()), 2, 2)) - 1, """")"),"")</f>
        <v/>
      </c>
      <c r="M533" s="21" t="str">
        <f>IFERROR(__xludf.DUMMYFUNCTION("IFERROR((GOOGLEFINANCE(C533, ""price"") / INDEX(GOOGLEFINANCE(C533, ""price"", EDATE(TODAY(), -1), TODAY()), 2, 2)) - 1, """")"),"")</f>
        <v/>
      </c>
      <c r="N533" s="21" t="str">
        <f>IFERROR(__xludf.DUMMYFUNCTION("IFERROR((GOOGLEFINANCE(C533, ""price"") / INDEX(GOOGLEFINANCE(C533, ""price"", EDATE(TODAY(), -3), TODAY()), 2, 2)) - 1, """")"),"")</f>
        <v/>
      </c>
      <c r="O533" s="21" t="str">
        <f>IFERROR(__xludf.DUMMYFUNCTION("IFERROR((GOOGLEFINANCE(C533, ""price"") / INDEX(GOOGLEFINANCE(C533, ""price"", EDATE(TODAY(), -6), TODAY()), 2, 2)) - 1, """")"),"")</f>
        <v/>
      </c>
      <c r="P533" s="21" t="str">
        <f>IFERROR(__xludf.DUMMYFUNCTION("IFERROR((GOOGLEFINANCE(C533, ""price"") / INDEX(GOOGLEFINANCE(C533, ""price"", EDATE(TODAY(), -12), TODAY()), 2, 2)) - 1, """")"),"")</f>
        <v/>
      </c>
      <c r="Q533" s="6" t="str">
        <f>IFERROR(__xludf.DUMMYFUNCTION("AVERAGE(QUERY(GOOGLEFINANCE(C533, ""price"", TODAY()-80, TODAY()), ""SELECT Col2 WHERE Col2 IS NOT NULL ORDER BY Col1 DESC LIMIT 50"", 0))"),"#N/A")</f>
        <v>#N/A</v>
      </c>
      <c r="R533" s="24" t="str">
        <f>IFERROR(__xludf.DUMMYFUNCTION("IFERROR(
  LET(
    data, QUERY(GOOGLEFINANCE(C533,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GOOGLEFINANCE(C533, ""price"")) * 100,
    IF(calc=0, G533, calc)
  ), 
G533)"),"#N/A")</f>
        <v>#N/A</v>
      </c>
      <c r="S533" s="8" t="s">
        <v>15</v>
      </c>
      <c r="T533" s="26" t="str">
        <f>IFERROR(__xludf.DUMMYFUNCTION("IFERROR(TRANSPOSE(QUERY(IFERROR(SORT(GOOGLEFINANCE(C533, ""price"", WORKDAY(TODAY(), -40), TODAY()), 1, FALSE)), ""select Col2 where Col2 is not null limit 22 label Col2 ''"", 0)), """")"),"")</f>
        <v/>
      </c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8"/>
      <c r="AO533" s="28"/>
      <c r="AP533" s="29"/>
      <c r="AQ533" s="29" t="str">
        <f t="shared" ref="AQ533:BL533" si="536">T533/T$2</f>
        <v>#N/A</v>
      </c>
      <c r="AR533" s="29" t="str">
        <f t="shared" si="536"/>
        <v>#DIV/0!</v>
      </c>
      <c r="AS533" s="29" t="str">
        <f t="shared" si="536"/>
        <v>#DIV/0!</v>
      </c>
      <c r="AT533" s="29" t="str">
        <f t="shared" si="536"/>
        <v>#DIV/0!</v>
      </c>
      <c r="AU533" s="29" t="str">
        <f t="shared" si="536"/>
        <v>#DIV/0!</v>
      </c>
      <c r="AV533" s="29" t="str">
        <f t="shared" si="536"/>
        <v>#DIV/0!</v>
      </c>
      <c r="AW533" s="29" t="str">
        <f t="shared" si="536"/>
        <v>#DIV/0!</v>
      </c>
      <c r="AX533" s="29" t="str">
        <f t="shared" si="536"/>
        <v>#DIV/0!</v>
      </c>
      <c r="AY533" s="29" t="str">
        <f t="shared" si="536"/>
        <v>#DIV/0!</v>
      </c>
      <c r="AZ533" s="29" t="str">
        <f t="shared" si="536"/>
        <v>#DIV/0!</v>
      </c>
      <c r="BA533" s="29" t="str">
        <f t="shared" si="536"/>
        <v>#DIV/0!</v>
      </c>
      <c r="BB533" s="29" t="str">
        <f t="shared" si="536"/>
        <v>#DIV/0!</v>
      </c>
      <c r="BC533" s="29" t="str">
        <f t="shared" si="536"/>
        <v>#DIV/0!</v>
      </c>
      <c r="BD533" s="29" t="str">
        <f t="shared" si="536"/>
        <v>#DIV/0!</v>
      </c>
      <c r="BE533" s="29" t="str">
        <f t="shared" si="536"/>
        <v>#DIV/0!</v>
      </c>
      <c r="BF533" s="29" t="str">
        <f t="shared" si="536"/>
        <v>#DIV/0!</v>
      </c>
      <c r="BG533" s="29" t="str">
        <f t="shared" si="536"/>
        <v>#DIV/0!</v>
      </c>
      <c r="BH533" s="29" t="str">
        <f t="shared" si="536"/>
        <v>#DIV/0!</v>
      </c>
      <c r="BI533" s="29" t="str">
        <f t="shared" si="536"/>
        <v>#DIV/0!</v>
      </c>
      <c r="BJ533" s="29" t="str">
        <f t="shared" si="536"/>
        <v>#DIV/0!</v>
      </c>
      <c r="BK533" s="29" t="str">
        <f t="shared" si="536"/>
        <v>#DIV/0!</v>
      </c>
      <c r="BL533" s="29" t="str">
        <f t="shared" si="536"/>
        <v>#DIV/0!</v>
      </c>
      <c r="BM533" s="29" t="str">
        <f t="shared" si="3"/>
        <v>#DIV/0!</v>
      </c>
    </row>
    <row r="534">
      <c r="A534" s="16" t="str">
        <f>IFERROR(__xludf.DUMMYFUNCTION("IFERROR(SPARKLINE(SORT(MAP(TRANSPOSE(AQ534:BL534), LAMBDA(val, IF(ISNUMBER(val), PERCENTRANK(AQ534:BL534, val)+0.01, 0))), SEQUENCE(COLUMNS(AQ534:BL534)), FALSE), {""charttype"",""column""; ""color"",""chartreuse""; ""ymin"", 0; ""ymax"", 1.01; ""highcolo"&amp;"r"", ""darkgreen""; ""lowcolor"", ""red""}), """")"),"")</f>
        <v/>
      </c>
      <c r="B534" s="17" t="str">
        <f t="shared" si="4"/>
        <v/>
      </c>
      <c r="C534" s="1" t="s">
        <v>2414</v>
      </c>
      <c r="D534" s="34" t="str">
        <f>IFERROR(__xludf.DUMMYFUNCTION("IFERROR(GOOGLEFINANCE(C534, ""NAME""))"),"SLR Investment Corp")</f>
        <v>SLR Investment Corp</v>
      </c>
      <c r="E534" s="30" t="s">
        <v>64</v>
      </c>
      <c r="F534" s="33" t="str">
        <f>IFERROR(__xludf.DUMMYFUNCTION("( (GOOGLEFINANCE(C534, ""price"") - Q534) / Q534 ) / (R534 / 100)"),"Loading...")</f>
        <v>Loading...</v>
      </c>
      <c r="G534" s="20" t="str">
        <f>IFERROR(__xludf.DUMMYFUNCTION("AVERAGE(ARRAYFORMULA(100 * (QUERY(GOOGLEFINANCE(C534, ""high"", TODAY()-40, TODAY()), ""SELECT Col2 WHERE Col2 IS NOT NULL ORDER BY Col1 DESC LIMIT 20"", 0) / QUERY(GOOGLEFINANCE(C534, ""low"", TODAY()-40, TODAY()), ""SELECT Col2 WHERE Col2 IS NOT NULL OR"&amp;"DER BY Col1 DESC LIMIT 20"", 0) - 1)))"),"#N/A")</f>
        <v>#N/A</v>
      </c>
      <c r="H534" s="35" t="str">
        <f t="shared" si="6"/>
        <v/>
      </c>
      <c r="I534" s="36" t="str">
        <f t="shared" si="7"/>
        <v/>
      </c>
      <c r="J534" s="37" t="str">
        <f>IFERROR(__xludf.DUMMYFUNCTION("IFERROR(
  IF(C534="""",, 
    IFERROR(
      GOOGLEFINANCE(C534, ""price"") * GOOGLEFINANCE(C534, ""volumeavg""), 
      GOOGLEFINANCE(C534, ""price"") * AVERAGE(QUERY(GOOGLEFINANCE(C534, ""volume"", TODAY()-40, TODAY()), ""SELECT Col2 WHERE Col2 IS NOT "&amp;"NULL ORDER BY Col1 DESC LIMIT 20"", 0))
    )
  ), 
"""")"),"")</f>
        <v/>
      </c>
      <c r="K534" s="21" t="str">
        <f>IFERROR(__xludf.DUMMYFUNCTION("IFERROR(GOOGLEFINANCE(C534, ""changepct"") / 100, """")"),"")</f>
        <v/>
      </c>
      <c r="L534" s="21" t="str">
        <f>IFERROR(__xludf.DUMMYFUNCTION("IFERROR((GOOGLEFINANCE(C534, ""price"") / INDEX(GOOGLEFINANCE(C534, ""price"", TODAY()-7, TODAY()), 2, 2)) - 1, """")"),"")</f>
        <v/>
      </c>
      <c r="M534" s="21" t="str">
        <f>IFERROR(__xludf.DUMMYFUNCTION("IFERROR((GOOGLEFINANCE(C534, ""price"") / INDEX(GOOGLEFINANCE(C534, ""price"", EDATE(TODAY(), -1), TODAY()), 2, 2)) - 1, """")"),"")</f>
        <v/>
      </c>
      <c r="N534" s="21" t="str">
        <f>IFERROR(__xludf.DUMMYFUNCTION("IFERROR((GOOGLEFINANCE(C534, ""price"") / INDEX(GOOGLEFINANCE(C534, ""price"", EDATE(TODAY(), -3), TODAY()), 2, 2)) - 1, """")"),"")</f>
        <v/>
      </c>
      <c r="O534" s="21" t="str">
        <f>IFERROR(__xludf.DUMMYFUNCTION("IFERROR((GOOGLEFINANCE(C534, ""price"") / INDEX(GOOGLEFINANCE(C534, ""price"", EDATE(TODAY(), -6), TODAY()), 2, 2)) - 1, """")"),"")</f>
        <v/>
      </c>
      <c r="P534" s="21" t="str">
        <f>IFERROR(__xludf.DUMMYFUNCTION("IFERROR((GOOGLEFINANCE(C534, ""price"") / INDEX(GOOGLEFINANCE(C534, ""price"", EDATE(TODAY(), -12), TODAY()), 2, 2)) - 1, """")"),"")</f>
        <v/>
      </c>
      <c r="Q534" s="6" t="str">
        <f>IFERROR(__xludf.DUMMYFUNCTION("AVERAGE(QUERY(GOOGLEFINANCE(C534, ""price"", TODAY()-80, TODAY()), ""SELECT Col2 WHERE Col2 IS NOT NULL ORDER BY Col1 DESC LIMIT 50"", 0))"),"#N/A")</f>
        <v>#N/A</v>
      </c>
      <c r="R534" s="24" t="str">
        <f>IFERROR(__xludf.DUMMYFUNCTION("IFERROR(
  LET(
    data, QUERY(GOOGLEFINANCE(C534,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GOOGLEFINANCE(C534, ""price"")) * 100,
    IF(calc=0, G534, calc)
  ), 
G534)"),"#N/A")</f>
        <v>#N/A</v>
      </c>
      <c r="S534" s="8" t="s">
        <v>15</v>
      </c>
      <c r="T534" s="26" t="str">
        <f>IFERROR(__xludf.DUMMYFUNCTION("IFERROR(TRANSPOSE(QUERY(IFERROR(SORT(GOOGLEFINANCE(C534, ""price"", WORKDAY(TODAY(), -40), TODAY()), 1, FALSE)), ""select Col2 where Col2 is not null limit 22 label Col2 ''"", 0)), """")"),"")</f>
        <v/>
      </c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8"/>
      <c r="AO534" s="28"/>
      <c r="AP534" s="29"/>
      <c r="AQ534" s="29" t="str">
        <f t="shared" ref="AQ534:BL534" si="537">T534/T$2</f>
        <v>#N/A</v>
      </c>
      <c r="AR534" s="29" t="str">
        <f t="shared" si="537"/>
        <v>#DIV/0!</v>
      </c>
      <c r="AS534" s="29" t="str">
        <f t="shared" si="537"/>
        <v>#DIV/0!</v>
      </c>
      <c r="AT534" s="29" t="str">
        <f t="shared" si="537"/>
        <v>#DIV/0!</v>
      </c>
      <c r="AU534" s="29" t="str">
        <f t="shared" si="537"/>
        <v>#DIV/0!</v>
      </c>
      <c r="AV534" s="29" t="str">
        <f t="shared" si="537"/>
        <v>#DIV/0!</v>
      </c>
      <c r="AW534" s="29" t="str">
        <f t="shared" si="537"/>
        <v>#DIV/0!</v>
      </c>
      <c r="AX534" s="29" t="str">
        <f t="shared" si="537"/>
        <v>#DIV/0!</v>
      </c>
      <c r="AY534" s="29" t="str">
        <f t="shared" si="537"/>
        <v>#DIV/0!</v>
      </c>
      <c r="AZ534" s="29" t="str">
        <f t="shared" si="537"/>
        <v>#DIV/0!</v>
      </c>
      <c r="BA534" s="29" t="str">
        <f t="shared" si="537"/>
        <v>#DIV/0!</v>
      </c>
      <c r="BB534" s="29" t="str">
        <f t="shared" si="537"/>
        <v>#DIV/0!</v>
      </c>
      <c r="BC534" s="29" t="str">
        <f t="shared" si="537"/>
        <v>#DIV/0!</v>
      </c>
      <c r="BD534" s="29" t="str">
        <f t="shared" si="537"/>
        <v>#DIV/0!</v>
      </c>
      <c r="BE534" s="29" t="str">
        <f t="shared" si="537"/>
        <v>#DIV/0!</v>
      </c>
      <c r="BF534" s="29" t="str">
        <f t="shared" si="537"/>
        <v>#DIV/0!</v>
      </c>
      <c r="BG534" s="29" t="str">
        <f t="shared" si="537"/>
        <v>#DIV/0!</v>
      </c>
      <c r="BH534" s="29" t="str">
        <f t="shared" si="537"/>
        <v>#DIV/0!</v>
      </c>
      <c r="BI534" s="29" t="str">
        <f t="shared" si="537"/>
        <v>#DIV/0!</v>
      </c>
      <c r="BJ534" s="29" t="str">
        <f t="shared" si="537"/>
        <v>#DIV/0!</v>
      </c>
      <c r="BK534" s="29" t="str">
        <f t="shared" si="537"/>
        <v>#DIV/0!</v>
      </c>
      <c r="BL534" s="29" t="str">
        <f t="shared" si="537"/>
        <v>#DIV/0!</v>
      </c>
      <c r="BM534" s="29" t="str">
        <f t="shared" si="3"/>
        <v>#DIV/0!</v>
      </c>
    </row>
    <row r="535">
      <c r="A535" s="16" t="str">
        <f>IFERROR(__xludf.DUMMYFUNCTION("IFERROR(SPARKLINE(SORT(MAP(TRANSPOSE(AQ535:BL535), LAMBDA(val, IF(ISNUMBER(val), PERCENTRANK(AQ535:BL535, val)+0.01, 0))), SEQUENCE(COLUMNS(AQ535:BL535)), FALSE), {""charttype"",""column""; ""color"",""chartreuse""; ""ymin"", 0; ""ymax"", 1.01; ""highcolo"&amp;"r"", ""darkgreen""; ""lowcolor"", ""red""}), """")"),"")</f>
        <v/>
      </c>
      <c r="B535" s="17" t="str">
        <f t="shared" si="4"/>
        <v/>
      </c>
      <c r="C535" s="1" t="s">
        <v>2417</v>
      </c>
      <c r="D535" s="34" t="str">
        <f>IFERROR(__xludf.DUMMYFUNCTION("IFERROR(GOOGLEFINANCE(C535, ""NAME""))"),"Nuveen Dynamic Municipal Opportunities Fund")</f>
        <v>Nuveen Dynamic Municipal Opportunities Fund</v>
      </c>
      <c r="E535" s="30" t="s">
        <v>64</v>
      </c>
      <c r="F535" s="33" t="str">
        <f>IFERROR(__xludf.DUMMYFUNCTION("( (GOOGLEFINANCE(C535, ""price"") - Q535) / Q535 ) / (R535 / 100)"),"Loading...")</f>
        <v>Loading...</v>
      </c>
      <c r="G535" s="20" t="str">
        <f>IFERROR(__xludf.DUMMYFUNCTION("AVERAGE(ARRAYFORMULA(100 * (QUERY(GOOGLEFINANCE(C535, ""high"", TODAY()-40, TODAY()), ""SELECT Col2 WHERE Col2 IS NOT NULL ORDER BY Col1 DESC LIMIT 20"", 0) / QUERY(GOOGLEFINANCE(C535, ""low"", TODAY()-40, TODAY()), ""SELECT Col2 WHERE Col2 IS NOT NULL OR"&amp;"DER BY Col1 DESC LIMIT 20"", 0) - 1)))"),"#N/A")</f>
        <v>#N/A</v>
      </c>
      <c r="H535" s="35" t="str">
        <f t="shared" si="6"/>
        <v/>
      </c>
      <c r="I535" s="36" t="str">
        <f t="shared" si="7"/>
        <v/>
      </c>
      <c r="J535" s="37" t="str">
        <f>IFERROR(__xludf.DUMMYFUNCTION("IFERROR(
  IF(C535="""",, 
    IFERROR(
      GOOGLEFINANCE(C535, ""price"") * GOOGLEFINANCE(C535, ""volumeavg""), 
      GOOGLEFINANCE(C535, ""price"") * AVERAGE(QUERY(GOOGLEFINANCE(C535, ""volume"", TODAY()-40, TODAY()), ""SELECT Col2 WHERE Col2 IS NOT "&amp;"NULL ORDER BY Col1 DESC LIMIT 20"", 0))
    )
  ), 
"""")"),"")</f>
        <v/>
      </c>
      <c r="K535" s="21" t="str">
        <f>IFERROR(__xludf.DUMMYFUNCTION("IFERROR(GOOGLEFINANCE(C535, ""changepct"") / 100, """")"),"")</f>
        <v/>
      </c>
      <c r="L535" s="21" t="str">
        <f>IFERROR(__xludf.DUMMYFUNCTION("IFERROR((GOOGLEFINANCE(C535, ""price"") / INDEX(GOOGLEFINANCE(C535, ""price"", TODAY()-7, TODAY()), 2, 2)) - 1, """")"),"")</f>
        <v/>
      </c>
      <c r="M535" s="21" t="str">
        <f>IFERROR(__xludf.DUMMYFUNCTION("IFERROR((GOOGLEFINANCE(C535, ""price"") / INDEX(GOOGLEFINANCE(C535, ""price"", EDATE(TODAY(), -1), TODAY()), 2, 2)) - 1, """")"),"")</f>
        <v/>
      </c>
      <c r="N535" s="21" t="str">
        <f>IFERROR(__xludf.DUMMYFUNCTION("IFERROR((GOOGLEFINANCE(C535, ""price"") / INDEX(GOOGLEFINANCE(C535, ""price"", EDATE(TODAY(), -3), TODAY()), 2, 2)) - 1, """")"),"")</f>
        <v/>
      </c>
      <c r="O535" s="21" t="str">
        <f>IFERROR(__xludf.DUMMYFUNCTION("IFERROR((GOOGLEFINANCE(C535, ""price"") / INDEX(GOOGLEFINANCE(C535, ""price"", EDATE(TODAY(), -6), TODAY()), 2, 2)) - 1, """")"),"")</f>
        <v/>
      </c>
      <c r="P535" s="21" t="str">
        <f>IFERROR(__xludf.DUMMYFUNCTION("IFERROR((GOOGLEFINANCE(C535, ""price"") / INDEX(GOOGLEFINANCE(C535, ""price"", EDATE(TODAY(), -12), TODAY()), 2, 2)) - 1, """")"),"")</f>
        <v/>
      </c>
      <c r="Q535" s="6" t="str">
        <f>IFERROR(__xludf.DUMMYFUNCTION("AVERAGE(QUERY(GOOGLEFINANCE(C535, ""price"", TODAY()-80, TODAY()), ""SELECT Col2 WHERE Col2 IS NOT NULL ORDER BY Col1 DESC LIMIT 50"", 0))"),"#N/A")</f>
        <v>#N/A</v>
      </c>
      <c r="R535" s="24" t="str">
        <f>IFERROR(__xludf.DUMMYFUNCTION("IFERROR(
  LET(
    data, QUERY(GOOGLEFINANCE(C535,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GOOGLEFINANCE(C535, ""price"")) * 100,
    IF(calc=0, G535, calc)
  ), 
G535)"),"#N/A")</f>
        <v>#N/A</v>
      </c>
      <c r="S535" s="8" t="s">
        <v>15</v>
      </c>
      <c r="T535" s="26" t="str">
        <f>IFERROR(__xludf.DUMMYFUNCTION("IFERROR(TRANSPOSE(QUERY(IFERROR(SORT(GOOGLEFINANCE(C535, ""price"", WORKDAY(TODAY(), -40), TODAY()), 1, FALSE)), ""select Col2 where Col2 is not null limit 22 label Col2 ''"", 0)), """")"),"")</f>
        <v/>
      </c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8"/>
      <c r="AO535" s="28"/>
      <c r="AP535" s="29"/>
      <c r="AQ535" s="29" t="str">
        <f t="shared" ref="AQ535:BL535" si="538">T535/T$2</f>
        <v>#N/A</v>
      </c>
      <c r="AR535" s="29" t="str">
        <f t="shared" si="538"/>
        <v>#DIV/0!</v>
      </c>
      <c r="AS535" s="29" t="str">
        <f t="shared" si="538"/>
        <v>#DIV/0!</v>
      </c>
      <c r="AT535" s="29" t="str">
        <f t="shared" si="538"/>
        <v>#DIV/0!</v>
      </c>
      <c r="AU535" s="29" t="str">
        <f t="shared" si="538"/>
        <v>#DIV/0!</v>
      </c>
      <c r="AV535" s="29" t="str">
        <f t="shared" si="538"/>
        <v>#DIV/0!</v>
      </c>
      <c r="AW535" s="29" t="str">
        <f t="shared" si="538"/>
        <v>#DIV/0!</v>
      </c>
      <c r="AX535" s="29" t="str">
        <f t="shared" si="538"/>
        <v>#DIV/0!</v>
      </c>
      <c r="AY535" s="29" t="str">
        <f t="shared" si="538"/>
        <v>#DIV/0!</v>
      </c>
      <c r="AZ535" s="29" t="str">
        <f t="shared" si="538"/>
        <v>#DIV/0!</v>
      </c>
      <c r="BA535" s="29" t="str">
        <f t="shared" si="538"/>
        <v>#DIV/0!</v>
      </c>
      <c r="BB535" s="29" t="str">
        <f t="shared" si="538"/>
        <v>#DIV/0!</v>
      </c>
      <c r="BC535" s="29" t="str">
        <f t="shared" si="538"/>
        <v>#DIV/0!</v>
      </c>
      <c r="BD535" s="29" t="str">
        <f t="shared" si="538"/>
        <v>#DIV/0!</v>
      </c>
      <c r="BE535" s="29" t="str">
        <f t="shared" si="538"/>
        <v>#DIV/0!</v>
      </c>
      <c r="BF535" s="29" t="str">
        <f t="shared" si="538"/>
        <v>#DIV/0!</v>
      </c>
      <c r="BG535" s="29" t="str">
        <f t="shared" si="538"/>
        <v>#DIV/0!</v>
      </c>
      <c r="BH535" s="29" t="str">
        <f t="shared" si="538"/>
        <v>#DIV/0!</v>
      </c>
      <c r="BI535" s="29" t="str">
        <f t="shared" si="538"/>
        <v>#DIV/0!</v>
      </c>
      <c r="BJ535" s="29" t="str">
        <f t="shared" si="538"/>
        <v>#DIV/0!</v>
      </c>
      <c r="BK535" s="29" t="str">
        <f t="shared" si="538"/>
        <v>#DIV/0!</v>
      </c>
      <c r="BL535" s="29" t="str">
        <f t="shared" si="538"/>
        <v>#DIV/0!</v>
      </c>
      <c r="BM535" s="29" t="str">
        <f t="shared" si="3"/>
        <v>#DIV/0!</v>
      </c>
    </row>
    <row r="536">
      <c r="A536" s="16" t="str">
        <f>IFERROR(__xludf.DUMMYFUNCTION("IFERROR(SPARKLINE(SORT(MAP(TRANSPOSE(AQ536:BL536), LAMBDA(val, IF(ISNUMBER(val), PERCENTRANK(AQ536:BL536, val)+0.01, 0))), SEQUENCE(COLUMNS(AQ536:BL536)), FALSE), {""charttype"",""column""; ""color"",""chartreuse""; ""ymin"", 0; ""ymax"", 1.01; ""highcolo"&amp;"r"", ""darkgreen""; ""lowcolor"", ""red""}), """")"),"")</f>
        <v/>
      </c>
      <c r="B536" s="17" t="str">
        <f t="shared" si="4"/>
        <v/>
      </c>
      <c r="C536" s="1" t="s">
        <v>2421</v>
      </c>
      <c r="D536" s="34" t="str">
        <f>IFERROR(__xludf.DUMMYFUNCTION("IFERROR(GOOGLEFINANCE(C536, ""NAME""))"),"")</f>
        <v/>
      </c>
      <c r="E536" s="30" t="s">
        <v>64</v>
      </c>
      <c r="F536" s="33" t="str">
        <f>IFERROR(__xludf.DUMMYFUNCTION("( (GOOGLEFINANCE(C536, ""price"") - Q536) / Q536 ) / (R536 / 100)"),"Loading...")</f>
        <v>Loading...</v>
      </c>
      <c r="G536" s="20" t="str">
        <f>IFERROR(__xludf.DUMMYFUNCTION("AVERAGE(ARRAYFORMULA(100 * (QUERY(GOOGLEFINANCE(C536, ""high"", TODAY()-40, TODAY()), ""SELECT Col2 WHERE Col2 IS NOT NULL ORDER BY Col1 DESC LIMIT 20"", 0) / QUERY(GOOGLEFINANCE(C536, ""low"", TODAY()-40, TODAY()), ""SELECT Col2 WHERE Col2 IS NOT NULL OR"&amp;"DER BY Col1 DESC LIMIT 20"", 0) - 1)))"),"#N/A")</f>
        <v>#N/A</v>
      </c>
      <c r="H536" s="35" t="str">
        <f t="shared" si="6"/>
        <v/>
      </c>
      <c r="I536" s="36" t="str">
        <f t="shared" si="7"/>
        <v/>
      </c>
      <c r="J536" s="37" t="str">
        <f>IFERROR(__xludf.DUMMYFUNCTION("IFERROR(
  IF(C536="""",, 
    IFERROR(
      GOOGLEFINANCE(C536, ""price"") * GOOGLEFINANCE(C536, ""volumeavg""), 
      GOOGLEFINANCE(C536, ""price"") * AVERAGE(QUERY(GOOGLEFINANCE(C536, ""volume"", TODAY()-40, TODAY()), ""SELECT Col2 WHERE Col2 IS NOT "&amp;"NULL ORDER BY Col1 DESC LIMIT 20"", 0))
    )
  ), 
"""")"),"")</f>
        <v/>
      </c>
      <c r="K536" s="21" t="str">
        <f>IFERROR(__xludf.DUMMYFUNCTION("IFERROR(GOOGLEFINANCE(C536, ""changepct"") / 100, """")"),"")</f>
        <v/>
      </c>
      <c r="L536" s="21" t="str">
        <f>IFERROR(__xludf.DUMMYFUNCTION("IFERROR((GOOGLEFINANCE(C536, ""price"") / INDEX(GOOGLEFINANCE(C536, ""price"", TODAY()-7, TODAY()), 2, 2)) - 1, """")"),"")</f>
        <v/>
      </c>
      <c r="M536" s="21" t="str">
        <f>IFERROR(__xludf.DUMMYFUNCTION("IFERROR((GOOGLEFINANCE(C536, ""price"") / INDEX(GOOGLEFINANCE(C536, ""price"", EDATE(TODAY(), -1), TODAY()), 2, 2)) - 1, """")"),"")</f>
        <v/>
      </c>
      <c r="N536" s="21" t="str">
        <f>IFERROR(__xludf.DUMMYFUNCTION("IFERROR((GOOGLEFINANCE(C536, ""price"") / INDEX(GOOGLEFINANCE(C536, ""price"", EDATE(TODAY(), -3), TODAY()), 2, 2)) - 1, """")"),"")</f>
        <v/>
      </c>
      <c r="O536" s="21" t="str">
        <f>IFERROR(__xludf.DUMMYFUNCTION("IFERROR((GOOGLEFINANCE(C536, ""price"") / INDEX(GOOGLEFINANCE(C536, ""price"", EDATE(TODAY(), -6), TODAY()), 2, 2)) - 1, """")"),"")</f>
        <v/>
      </c>
      <c r="P536" s="21" t="str">
        <f>IFERROR(__xludf.DUMMYFUNCTION("IFERROR((GOOGLEFINANCE(C536, ""price"") / INDEX(GOOGLEFINANCE(C536, ""price"", EDATE(TODAY(), -12), TODAY()), 2, 2)) - 1, """")"),"")</f>
        <v/>
      </c>
      <c r="Q536" s="6" t="str">
        <f>IFERROR(__xludf.DUMMYFUNCTION("AVERAGE(QUERY(GOOGLEFINANCE(C536, ""price"", TODAY()-80, TODAY()), ""SELECT Col2 WHERE Col2 IS NOT NULL ORDER BY Col1 DESC LIMIT 50"", 0))"),"#N/A")</f>
        <v>#N/A</v>
      </c>
      <c r="R536" s="24" t="str">
        <f>IFERROR(__xludf.DUMMYFUNCTION("IFERROR(
  LET(
    data, QUERY(GOOGLEFINANCE(C536,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GOOGLEFINANCE(C536, ""price"")) * 100,
    IF(calc=0, G536, calc)
  ), 
G536)"),"#N/A")</f>
        <v>#N/A</v>
      </c>
      <c r="S536" s="8" t="s">
        <v>15</v>
      </c>
      <c r="T536" s="26" t="str">
        <f>IFERROR(__xludf.DUMMYFUNCTION("IFERROR(TRANSPOSE(QUERY(IFERROR(SORT(GOOGLEFINANCE(C536, ""price"", WORKDAY(TODAY(), -40), TODAY()), 1, FALSE)), ""select Col2 where Col2 is not null limit 22 label Col2 ''"", 0)), """")"),"")</f>
        <v/>
      </c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8"/>
      <c r="AO536" s="28"/>
      <c r="AP536" s="29"/>
      <c r="AQ536" s="29" t="str">
        <f t="shared" ref="AQ536:BL536" si="539">T536/T$2</f>
        <v>#N/A</v>
      </c>
      <c r="AR536" s="29" t="str">
        <f t="shared" si="539"/>
        <v>#DIV/0!</v>
      </c>
      <c r="AS536" s="29" t="str">
        <f t="shared" si="539"/>
        <v>#DIV/0!</v>
      </c>
      <c r="AT536" s="29" t="str">
        <f t="shared" si="539"/>
        <v>#DIV/0!</v>
      </c>
      <c r="AU536" s="29" t="str">
        <f t="shared" si="539"/>
        <v>#DIV/0!</v>
      </c>
      <c r="AV536" s="29" t="str">
        <f t="shared" si="539"/>
        <v>#DIV/0!</v>
      </c>
      <c r="AW536" s="29" t="str">
        <f t="shared" si="539"/>
        <v>#DIV/0!</v>
      </c>
      <c r="AX536" s="29" t="str">
        <f t="shared" si="539"/>
        <v>#DIV/0!</v>
      </c>
      <c r="AY536" s="29" t="str">
        <f t="shared" si="539"/>
        <v>#DIV/0!</v>
      </c>
      <c r="AZ536" s="29" t="str">
        <f t="shared" si="539"/>
        <v>#DIV/0!</v>
      </c>
      <c r="BA536" s="29" t="str">
        <f t="shared" si="539"/>
        <v>#DIV/0!</v>
      </c>
      <c r="BB536" s="29" t="str">
        <f t="shared" si="539"/>
        <v>#DIV/0!</v>
      </c>
      <c r="BC536" s="29" t="str">
        <f t="shared" si="539"/>
        <v>#DIV/0!</v>
      </c>
      <c r="BD536" s="29" t="str">
        <f t="shared" si="539"/>
        <v>#DIV/0!</v>
      </c>
      <c r="BE536" s="29" t="str">
        <f t="shared" si="539"/>
        <v>#DIV/0!</v>
      </c>
      <c r="BF536" s="29" t="str">
        <f t="shared" si="539"/>
        <v>#DIV/0!</v>
      </c>
      <c r="BG536" s="29" t="str">
        <f t="shared" si="539"/>
        <v>#DIV/0!</v>
      </c>
      <c r="BH536" s="29" t="str">
        <f t="shared" si="539"/>
        <v>#DIV/0!</v>
      </c>
      <c r="BI536" s="29" t="str">
        <f t="shared" si="539"/>
        <v>#DIV/0!</v>
      </c>
      <c r="BJ536" s="29" t="str">
        <f t="shared" si="539"/>
        <v>#DIV/0!</v>
      </c>
      <c r="BK536" s="29" t="str">
        <f t="shared" si="539"/>
        <v>#DIV/0!</v>
      </c>
      <c r="BL536" s="29" t="str">
        <f t="shared" si="539"/>
        <v>#DIV/0!</v>
      </c>
      <c r="BM536" s="29" t="str">
        <f t="shared" si="3"/>
        <v>#DIV/0!</v>
      </c>
    </row>
    <row r="537">
      <c r="A537" s="16" t="str">
        <f>IFERROR(__xludf.DUMMYFUNCTION("IFERROR(SPARKLINE(SORT(MAP(TRANSPOSE(AQ537:BL537), LAMBDA(val, IF(ISNUMBER(val), PERCENTRANK(AQ537:BL537, val)+0.01, 0))), SEQUENCE(COLUMNS(AQ537:BL537)), FALSE), {""charttype"",""column""; ""color"",""chartreuse""; ""ymin"", 0; ""ymax"", 1.01; ""highcolo"&amp;"r"", ""darkgreen""; ""lowcolor"", ""red""}), """")"),"")</f>
        <v/>
      </c>
      <c r="B537" s="17" t="str">
        <f t="shared" si="4"/>
        <v/>
      </c>
      <c r="C537" s="1" t="s">
        <v>2425</v>
      </c>
      <c r="D537" s="34" t="str">
        <f>IFERROR(__xludf.DUMMYFUNCTION("IFERROR(GOOGLEFINANCE(C537, ""NAME""))"),"Citizens &amp; Northern Corp")</f>
        <v>Citizens &amp; Northern Corp</v>
      </c>
      <c r="E537" s="30" t="s">
        <v>268</v>
      </c>
      <c r="F537" s="33" t="str">
        <f>IFERROR(__xludf.DUMMYFUNCTION("( (GOOGLEFINANCE(C537, ""price"") - Q537) / Q537 ) / (R537 / 100)"),"Loading...")</f>
        <v>Loading...</v>
      </c>
      <c r="G537" s="20" t="str">
        <f>IFERROR(__xludf.DUMMYFUNCTION("AVERAGE(ARRAYFORMULA(100 * (QUERY(GOOGLEFINANCE(C537, ""high"", TODAY()-40, TODAY()), ""SELECT Col2 WHERE Col2 IS NOT NULL ORDER BY Col1 DESC LIMIT 20"", 0) / QUERY(GOOGLEFINANCE(C537, ""low"", TODAY()-40, TODAY()), ""SELECT Col2 WHERE Col2 IS NOT NULL OR"&amp;"DER BY Col1 DESC LIMIT 20"", 0) - 1)))"),"#N/A")</f>
        <v>#N/A</v>
      </c>
      <c r="H537" s="35" t="str">
        <f t="shared" si="6"/>
        <v/>
      </c>
      <c r="I537" s="36" t="str">
        <f t="shared" si="7"/>
        <v/>
      </c>
      <c r="J537" s="37" t="str">
        <f>IFERROR(__xludf.DUMMYFUNCTION("IFERROR(
  IF(C537="""",, 
    IFERROR(
      GOOGLEFINANCE(C537, ""price"") * GOOGLEFINANCE(C537, ""volumeavg""), 
      GOOGLEFINANCE(C537, ""price"") * AVERAGE(QUERY(GOOGLEFINANCE(C537, ""volume"", TODAY()-40, TODAY()), ""SELECT Col2 WHERE Col2 IS NOT "&amp;"NULL ORDER BY Col1 DESC LIMIT 20"", 0))
    )
  ), 
"""")"),"")</f>
        <v/>
      </c>
      <c r="K537" s="21" t="str">
        <f>IFERROR(__xludf.DUMMYFUNCTION("IFERROR(GOOGLEFINANCE(C537, ""changepct"") / 100, """")"),"")</f>
        <v/>
      </c>
      <c r="L537" s="21" t="str">
        <f>IFERROR(__xludf.DUMMYFUNCTION("IFERROR((GOOGLEFINANCE(C537, ""price"") / INDEX(GOOGLEFINANCE(C537, ""price"", TODAY()-7, TODAY()), 2, 2)) - 1, """")"),"")</f>
        <v/>
      </c>
      <c r="M537" s="21" t="str">
        <f>IFERROR(__xludf.DUMMYFUNCTION("IFERROR((GOOGLEFINANCE(C537, ""price"") / INDEX(GOOGLEFINANCE(C537, ""price"", EDATE(TODAY(), -1), TODAY()), 2, 2)) - 1, """")"),"")</f>
        <v/>
      </c>
      <c r="N537" s="21" t="str">
        <f>IFERROR(__xludf.DUMMYFUNCTION("IFERROR((GOOGLEFINANCE(C537, ""price"") / INDEX(GOOGLEFINANCE(C537, ""price"", EDATE(TODAY(), -3), TODAY()), 2, 2)) - 1, """")"),"")</f>
        <v/>
      </c>
      <c r="O537" s="21" t="str">
        <f>IFERROR(__xludf.DUMMYFUNCTION("IFERROR((GOOGLEFINANCE(C537, ""price"") / INDEX(GOOGLEFINANCE(C537, ""price"", EDATE(TODAY(), -6), TODAY()), 2, 2)) - 1, """")"),"")</f>
        <v/>
      </c>
      <c r="P537" s="21" t="str">
        <f>IFERROR(__xludf.DUMMYFUNCTION("IFERROR((GOOGLEFINANCE(C537, ""price"") / INDEX(GOOGLEFINANCE(C537, ""price"", EDATE(TODAY(), -12), TODAY()), 2, 2)) - 1, """")"),"")</f>
        <v/>
      </c>
      <c r="Q537" s="6" t="str">
        <f>IFERROR(__xludf.DUMMYFUNCTION("AVERAGE(QUERY(GOOGLEFINANCE(C537, ""price"", TODAY()-80, TODAY()), ""SELECT Col2 WHERE Col2 IS NOT NULL ORDER BY Col1 DESC LIMIT 50"", 0))"),"#N/A")</f>
        <v>#N/A</v>
      </c>
      <c r="R537" s="24" t="str">
        <f>IFERROR(__xludf.DUMMYFUNCTION("IFERROR(
  LET(
    data, QUERY(GOOGLEFINANCE(C537,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GOOGLEFINANCE(C537, ""price"")) * 100,
    IF(calc=0, G537, calc)
  ), 
G537)"),"#N/A")</f>
        <v>#N/A</v>
      </c>
      <c r="S537" s="8" t="s">
        <v>15</v>
      </c>
      <c r="T537" s="26" t="str">
        <f>IFERROR(__xludf.DUMMYFUNCTION("IFERROR(TRANSPOSE(QUERY(IFERROR(SORT(GOOGLEFINANCE(C537, ""price"", WORKDAY(TODAY(), -40), TODAY()), 1, FALSE)), ""select Col2 where Col2 is not null limit 22 label Col2 ''"", 0)), """")"),"")</f>
        <v/>
      </c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8"/>
      <c r="AO537" s="28"/>
      <c r="AP537" s="29"/>
      <c r="AQ537" s="29" t="str">
        <f t="shared" ref="AQ537:BL537" si="540">T537/T$2</f>
        <v>#N/A</v>
      </c>
      <c r="AR537" s="29" t="str">
        <f t="shared" si="540"/>
        <v>#DIV/0!</v>
      </c>
      <c r="AS537" s="29" t="str">
        <f t="shared" si="540"/>
        <v>#DIV/0!</v>
      </c>
      <c r="AT537" s="29" t="str">
        <f t="shared" si="540"/>
        <v>#DIV/0!</v>
      </c>
      <c r="AU537" s="29" t="str">
        <f t="shared" si="540"/>
        <v>#DIV/0!</v>
      </c>
      <c r="AV537" s="29" t="str">
        <f t="shared" si="540"/>
        <v>#DIV/0!</v>
      </c>
      <c r="AW537" s="29" t="str">
        <f t="shared" si="540"/>
        <v>#DIV/0!</v>
      </c>
      <c r="AX537" s="29" t="str">
        <f t="shared" si="540"/>
        <v>#DIV/0!</v>
      </c>
      <c r="AY537" s="29" t="str">
        <f t="shared" si="540"/>
        <v>#DIV/0!</v>
      </c>
      <c r="AZ537" s="29" t="str">
        <f t="shared" si="540"/>
        <v>#DIV/0!</v>
      </c>
      <c r="BA537" s="29" t="str">
        <f t="shared" si="540"/>
        <v>#DIV/0!</v>
      </c>
      <c r="BB537" s="29" t="str">
        <f t="shared" si="540"/>
        <v>#DIV/0!</v>
      </c>
      <c r="BC537" s="29" t="str">
        <f t="shared" si="540"/>
        <v>#DIV/0!</v>
      </c>
      <c r="BD537" s="29" t="str">
        <f t="shared" si="540"/>
        <v>#DIV/0!</v>
      </c>
      <c r="BE537" s="29" t="str">
        <f t="shared" si="540"/>
        <v>#DIV/0!</v>
      </c>
      <c r="BF537" s="29" t="str">
        <f t="shared" si="540"/>
        <v>#DIV/0!</v>
      </c>
      <c r="BG537" s="29" t="str">
        <f t="shared" si="540"/>
        <v>#DIV/0!</v>
      </c>
      <c r="BH537" s="29" t="str">
        <f t="shared" si="540"/>
        <v>#DIV/0!</v>
      </c>
      <c r="BI537" s="29" t="str">
        <f t="shared" si="540"/>
        <v>#DIV/0!</v>
      </c>
      <c r="BJ537" s="29" t="str">
        <f t="shared" si="540"/>
        <v>#DIV/0!</v>
      </c>
      <c r="BK537" s="29" t="str">
        <f t="shared" si="540"/>
        <v>#DIV/0!</v>
      </c>
      <c r="BL537" s="29" t="str">
        <f t="shared" si="540"/>
        <v>#DIV/0!</v>
      </c>
      <c r="BM537" s="29" t="str">
        <f t="shared" si="3"/>
        <v>#DIV/0!</v>
      </c>
    </row>
    <row r="538">
      <c r="A538" s="16" t="str">
        <f>IFERROR(__xludf.DUMMYFUNCTION("IFERROR(SPARKLINE(SORT(MAP(TRANSPOSE(AQ538:BL538), LAMBDA(val, IF(ISNUMBER(val), PERCENTRANK(AQ538:BL538, val)+0.01, 0))), SEQUENCE(COLUMNS(AQ538:BL538)), FALSE), {""charttype"",""column""; ""color"",""chartreuse""; ""ymin"", 0; ""ymax"", 1.01; ""highcolo"&amp;"r"", ""darkgreen""; ""lowcolor"", ""red""}), """")"),"")</f>
        <v/>
      </c>
      <c r="B538" s="17" t="str">
        <f t="shared" si="4"/>
        <v/>
      </c>
      <c r="C538" s="1" t="s">
        <v>2429</v>
      </c>
      <c r="D538" s="34" t="str">
        <f>IFERROR(__xludf.DUMMYFUNCTION("IFERROR(GOOGLEFINANCE(C538, ""NAME""))"),"Equity BancShares Inc")</f>
        <v>Equity BancShares Inc</v>
      </c>
      <c r="E538" s="30" t="s">
        <v>268</v>
      </c>
      <c r="F538" s="33" t="str">
        <f>IFERROR(__xludf.DUMMYFUNCTION("( (GOOGLEFINANCE(C538, ""price"") - Q538) / Q538 ) / (R538 / 100)"),"Loading...")</f>
        <v>Loading...</v>
      </c>
      <c r="G538" s="20" t="str">
        <f>IFERROR(__xludf.DUMMYFUNCTION("AVERAGE(ARRAYFORMULA(100 * (QUERY(GOOGLEFINANCE(C538, ""high"", TODAY()-40, TODAY()), ""SELECT Col2 WHERE Col2 IS NOT NULL ORDER BY Col1 DESC LIMIT 20"", 0) / QUERY(GOOGLEFINANCE(C538, ""low"", TODAY()-40, TODAY()), ""SELECT Col2 WHERE Col2 IS NOT NULL OR"&amp;"DER BY Col1 DESC LIMIT 20"", 0) - 1)))"),"#N/A")</f>
        <v>#N/A</v>
      </c>
      <c r="H538" s="35" t="str">
        <f t="shared" si="6"/>
        <v/>
      </c>
      <c r="I538" s="36" t="str">
        <f t="shared" si="7"/>
        <v/>
      </c>
      <c r="J538" s="37" t="str">
        <f>IFERROR(__xludf.DUMMYFUNCTION("IFERROR(
  IF(C538="""",, 
    IFERROR(
      GOOGLEFINANCE(C538, ""price"") * GOOGLEFINANCE(C538, ""volumeavg""), 
      GOOGLEFINANCE(C538, ""price"") * AVERAGE(QUERY(GOOGLEFINANCE(C538, ""volume"", TODAY()-40, TODAY()), ""SELECT Col2 WHERE Col2 IS NOT "&amp;"NULL ORDER BY Col1 DESC LIMIT 20"", 0))
    )
  ), 
"""")"),"")</f>
        <v/>
      </c>
      <c r="K538" s="21" t="str">
        <f>IFERROR(__xludf.DUMMYFUNCTION("IFERROR(GOOGLEFINANCE(C538, ""changepct"") / 100, """")"),"")</f>
        <v/>
      </c>
      <c r="L538" s="21" t="str">
        <f>IFERROR(__xludf.DUMMYFUNCTION("IFERROR((GOOGLEFINANCE(C538, ""price"") / INDEX(GOOGLEFINANCE(C538, ""price"", TODAY()-7, TODAY()), 2, 2)) - 1, """")"),"")</f>
        <v/>
      </c>
      <c r="M538" s="21" t="str">
        <f>IFERROR(__xludf.DUMMYFUNCTION("IFERROR((GOOGLEFINANCE(C538, ""price"") / INDEX(GOOGLEFINANCE(C538, ""price"", EDATE(TODAY(), -1), TODAY()), 2, 2)) - 1, """")"),"")</f>
        <v/>
      </c>
      <c r="N538" s="21" t="str">
        <f>IFERROR(__xludf.DUMMYFUNCTION("IFERROR((GOOGLEFINANCE(C538, ""price"") / INDEX(GOOGLEFINANCE(C538, ""price"", EDATE(TODAY(), -3), TODAY()), 2, 2)) - 1, """")"),"")</f>
        <v/>
      </c>
      <c r="O538" s="21" t="str">
        <f>IFERROR(__xludf.DUMMYFUNCTION("IFERROR((GOOGLEFINANCE(C538, ""price"") / INDEX(GOOGLEFINANCE(C538, ""price"", EDATE(TODAY(), -6), TODAY()), 2, 2)) - 1, """")"),"")</f>
        <v/>
      </c>
      <c r="P538" s="21" t="str">
        <f>IFERROR(__xludf.DUMMYFUNCTION("IFERROR((GOOGLEFINANCE(C538, ""price"") / INDEX(GOOGLEFINANCE(C538, ""price"", EDATE(TODAY(), -12), TODAY()), 2, 2)) - 1, """")"),"")</f>
        <v/>
      </c>
      <c r="Q538" s="6" t="str">
        <f>IFERROR(__xludf.DUMMYFUNCTION("AVERAGE(QUERY(GOOGLEFINANCE(C538, ""price"", TODAY()-80, TODAY()), ""SELECT Col2 WHERE Col2 IS NOT NULL ORDER BY Col1 DESC LIMIT 50"", 0))"),"#N/A")</f>
        <v>#N/A</v>
      </c>
      <c r="R538" s="24" t="str">
        <f>IFERROR(__xludf.DUMMYFUNCTION("IFERROR(
  LET(
    data, QUERY(GOOGLEFINANCE(C538,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GOOGLEFINANCE(C538, ""price"")) * 100,
    IF(calc=0, G538, calc)
  ), 
G538)"),"#N/A")</f>
        <v>#N/A</v>
      </c>
      <c r="S538" s="8" t="s">
        <v>15</v>
      </c>
      <c r="T538" s="26" t="str">
        <f>IFERROR(__xludf.DUMMYFUNCTION("IFERROR(TRANSPOSE(QUERY(IFERROR(SORT(GOOGLEFINANCE(C538, ""price"", WORKDAY(TODAY(), -40), TODAY()), 1, FALSE)), ""select Col2 where Col2 is not null limit 22 label Col2 ''"", 0)), """")"),"")</f>
        <v/>
      </c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8"/>
      <c r="AO538" s="28"/>
      <c r="AP538" s="29"/>
      <c r="AQ538" s="29" t="str">
        <f t="shared" ref="AQ538:BL538" si="541">T538/T$2</f>
        <v>#N/A</v>
      </c>
      <c r="AR538" s="29" t="str">
        <f t="shared" si="541"/>
        <v>#DIV/0!</v>
      </c>
      <c r="AS538" s="29" t="str">
        <f t="shared" si="541"/>
        <v>#DIV/0!</v>
      </c>
      <c r="AT538" s="29" t="str">
        <f t="shared" si="541"/>
        <v>#DIV/0!</v>
      </c>
      <c r="AU538" s="29" t="str">
        <f t="shared" si="541"/>
        <v>#DIV/0!</v>
      </c>
      <c r="AV538" s="29" t="str">
        <f t="shared" si="541"/>
        <v>#DIV/0!</v>
      </c>
      <c r="AW538" s="29" t="str">
        <f t="shared" si="541"/>
        <v>#DIV/0!</v>
      </c>
      <c r="AX538" s="29" t="str">
        <f t="shared" si="541"/>
        <v>#DIV/0!</v>
      </c>
      <c r="AY538" s="29" t="str">
        <f t="shared" si="541"/>
        <v>#DIV/0!</v>
      </c>
      <c r="AZ538" s="29" t="str">
        <f t="shared" si="541"/>
        <v>#DIV/0!</v>
      </c>
      <c r="BA538" s="29" t="str">
        <f t="shared" si="541"/>
        <v>#DIV/0!</v>
      </c>
      <c r="BB538" s="29" t="str">
        <f t="shared" si="541"/>
        <v>#DIV/0!</v>
      </c>
      <c r="BC538" s="29" t="str">
        <f t="shared" si="541"/>
        <v>#DIV/0!</v>
      </c>
      <c r="BD538" s="29" t="str">
        <f t="shared" si="541"/>
        <v>#DIV/0!</v>
      </c>
      <c r="BE538" s="29" t="str">
        <f t="shared" si="541"/>
        <v>#DIV/0!</v>
      </c>
      <c r="BF538" s="29" t="str">
        <f t="shared" si="541"/>
        <v>#DIV/0!</v>
      </c>
      <c r="BG538" s="29" t="str">
        <f t="shared" si="541"/>
        <v>#DIV/0!</v>
      </c>
      <c r="BH538" s="29" t="str">
        <f t="shared" si="541"/>
        <v>#DIV/0!</v>
      </c>
      <c r="BI538" s="29" t="str">
        <f t="shared" si="541"/>
        <v>#DIV/0!</v>
      </c>
      <c r="BJ538" s="29" t="str">
        <f t="shared" si="541"/>
        <v>#DIV/0!</v>
      </c>
      <c r="BK538" s="29" t="str">
        <f t="shared" si="541"/>
        <v>#DIV/0!</v>
      </c>
      <c r="BL538" s="29" t="str">
        <f t="shared" si="541"/>
        <v>#DIV/0!</v>
      </c>
      <c r="BM538" s="29" t="str">
        <f t="shared" si="3"/>
        <v>#DIV/0!</v>
      </c>
    </row>
    <row r="539">
      <c r="A539" s="16" t="str">
        <f>IFERROR(__xludf.DUMMYFUNCTION("IFERROR(SPARKLINE(SORT(MAP(TRANSPOSE(AQ539:BL539), LAMBDA(val, IF(ISNUMBER(val), PERCENTRANK(AQ539:BL539, val)+0.01, 0))), SEQUENCE(COLUMNS(AQ539:BL539)), FALSE), {""charttype"",""column""; ""color"",""chartreuse""; ""ymin"", 0; ""ymax"", 1.01; ""highcolo"&amp;"r"", ""darkgreen""; ""lowcolor"", ""red""}), """")"),"")</f>
        <v/>
      </c>
      <c r="B539" s="17" t="str">
        <f t="shared" si="4"/>
        <v/>
      </c>
      <c r="C539" s="1" t="s">
        <v>2433</v>
      </c>
      <c r="D539" s="34" t="str">
        <f>IFERROR(__xludf.DUMMYFUNCTION("IFERROR(GOOGLEFINANCE(C539, ""NAME""))"),"Trustmark Corp")</f>
        <v>Trustmark Corp</v>
      </c>
      <c r="E539" s="30" t="s">
        <v>268</v>
      </c>
      <c r="F539" s="33" t="str">
        <f>IFERROR(__xludf.DUMMYFUNCTION("( (GOOGLEFINANCE(C539, ""price"") - Q539) / Q539 ) / (R539 / 100)"),"Loading...")</f>
        <v>Loading...</v>
      </c>
      <c r="G539" s="20" t="str">
        <f>IFERROR(__xludf.DUMMYFUNCTION("AVERAGE(ARRAYFORMULA(100 * (QUERY(GOOGLEFINANCE(C539, ""high"", TODAY()-40, TODAY()), ""SELECT Col2 WHERE Col2 IS NOT NULL ORDER BY Col1 DESC LIMIT 20"", 0) / QUERY(GOOGLEFINANCE(C539, ""low"", TODAY()-40, TODAY()), ""SELECT Col2 WHERE Col2 IS NOT NULL OR"&amp;"DER BY Col1 DESC LIMIT 20"", 0) - 1)))"),"#N/A")</f>
        <v>#N/A</v>
      </c>
      <c r="H539" s="35" t="str">
        <f t="shared" si="6"/>
        <v/>
      </c>
      <c r="I539" s="36" t="str">
        <f t="shared" si="7"/>
        <v/>
      </c>
      <c r="J539" s="37" t="str">
        <f>IFERROR(__xludf.DUMMYFUNCTION("IFERROR(
  IF(C539="""",, 
    IFERROR(
      GOOGLEFINANCE(C539, ""price"") * GOOGLEFINANCE(C539, ""volumeavg""), 
      GOOGLEFINANCE(C539, ""price"") * AVERAGE(QUERY(GOOGLEFINANCE(C539, ""volume"", TODAY()-40, TODAY()), ""SELECT Col2 WHERE Col2 IS NOT "&amp;"NULL ORDER BY Col1 DESC LIMIT 20"", 0))
    )
  ), 
"""")"),"")</f>
        <v/>
      </c>
      <c r="K539" s="21" t="str">
        <f>IFERROR(__xludf.DUMMYFUNCTION("IFERROR(GOOGLEFINANCE(C539, ""changepct"") / 100, """")"),"")</f>
        <v/>
      </c>
      <c r="L539" s="21" t="str">
        <f>IFERROR(__xludf.DUMMYFUNCTION("IFERROR((GOOGLEFINANCE(C539, ""price"") / INDEX(GOOGLEFINANCE(C539, ""price"", TODAY()-7, TODAY()), 2, 2)) - 1, """")"),"")</f>
        <v/>
      </c>
      <c r="M539" s="21" t="str">
        <f>IFERROR(__xludf.DUMMYFUNCTION("IFERROR((GOOGLEFINANCE(C539, ""price"") / INDEX(GOOGLEFINANCE(C539, ""price"", EDATE(TODAY(), -1), TODAY()), 2, 2)) - 1, """")"),"")</f>
        <v/>
      </c>
      <c r="N539" s="21" t="str">
        <f>IFERROR(__xludf.DUMMYFUNCTION("IFERROR((GOOGLEFINANCE(C539, ""price"") / INDEX(GOOGLEFINANCE(C539, ""price"", EDATE(TODAY(), -3), TODAY()), 2, 2)) - 1, """")"),"")</f>
        <v/>
      </c>
      <c r="O539" s="21" t="str">
        <f>IFERROR(__xludf.DUMMYFUNCTION("IFERROR((GOOGLEFINANCE(C539, ""price"") / INDEX(GOOGLEFINANCE(C539, ""price"", EDATE(TODAY(), -6), TODAY()), 2, 2)) - 1, """")"),"")</f>
        <v/>
      </c>
      <c r="P539" s="21" t="str">
        <f>IFERROR(__xludf.DUMMYFUNCTION("IFERROR((GOOGLEFINANCE(C539, ""price"") / INDEX(GOOGLEFINANCE(C539, ""price"", EDATE(TODAY(), -12), TODAY()), 2, 2)) - 1, """")"),"")</f>
        <v/>
      </c>
      <c r="Q539" s="6" t="str">
        <f>IFERROR(__xludf.DUMMYFUNCTION("AVERAGE(QUERY(GOOGLEFINANCE(C539, ""price"", TODAY()-80, TODAY()), ""SELECT Col2 WHERE Col2 IS NOT NULL ORDER BY Col1 DESC LIMIT 50"", 0))"),"#N/A")</f>
        <v>#N/A</v>
      </c>
      <c r="R539" s="24" t="str">
        <f>IFERROR(__xludf.DUMMYFUNCTION("IFERROR(
  LET(
    data, QUERY(GOOGLEFINANCE(C539,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GOOGLEFINANCE(C539, ""price"")) * 100,
    IF(calc=0, G539, calc)
  ), 
G539)"),"#N/A")</f>
        <v>#N/A</v>
      </c>
      <c r="S539" s="8" t="s">
        <v>15</v>
      </c>
      <c r="T539" s="26" t="str">
        <f>IFERROR(__xludf.DUMMYFUNCTION("IFERROR(TRANSPOSE(QUERY(IFERROR(SORT(GOOGLEFINANCE(C539, ""price"", WORKDAY(TODAY(), -40), TODAY()), 1, FALSE)), ""select Col2 where Col2 is not null limit 22 label Col2 ''"", 0)), """")"),"")</f>
        <v/>
      </c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8"/>
      <c r="AO539" s="28"/>
      <c r="AP539" s="29"/>
      <c r="AQ539" s="29" t="str">
        <f t="shared" ref="AQ539:BL539" si="542">T539/T$2</f>
        <v>#N/A</v>
      </c>
      <c r="AR539" s="29" t="str">
        <f t="shared" si="542"/>
        <v>#DIV/0!</v>
      </c>
      <c r="AS539" s="29" t="str">
        <f t="shared" si="542"/>
        <v>#DIV/0!</v>
      </c>
      <c r="AT539" s="29" t="str">
        <f t="shared" si="542"/>
        <v>#DIV/0!</v>
      </c>
      <c r="AU539" s="29" t="str">
        <f t="shared" si="542"/>
        <v>#DIV/0!</v>
      </c>
      <c r="AV539" s="29" t="str">
        <f t="shared" si="542"/>
        <v>#DIV/0!</v>
      </c>
      <c r="AW539" s="29" t="str">
        <f t="shared" si="542"/>
        <v>#DIV/0!</v>
      </c>
      <c r="AX539" s="29" t="str">
        <f t="shared" si="542"/>
        <v>#DIV/0!</v>
      </c>
      <c r="AY539" s="29" t="str">
        <f t="shared" si="542"/>
        <v>#DIV/0!</v>
      </c>
      <c r="AZ539" s="29" t="str">
        <f t="shared" si="542"/>
        <v>#DIV/0!</v>
      </c>
      <c r="BA539" s="29" t="str">
        <f t="shared" si="542"/>
        <v>#DIV/0!</v>
      </c>
      <c r="BB539" s="29" t="str">
        <f t="shared" si="542"/>
        <v>#DIV/0!</v>
      </c>
      <c r="BC539" s="29" t="str">
        <f t="shared" si="542"/>
        <v>#DIV/0!</v>
      </c>
      <c r="BD539" s="29" t="str">
        <f t="shared" si="542"/>
        <v>#DIV/0!</v>
      </c>
      <c r="BE539" s="29" t="str">
        <f t="shared" si="542"/>
        <v>#DIV/0!</v>
      </c>
      <c r="BF539" s="29" t="str">
        <f t="shared" si="542"/>
        <v>#DIV/0!</v>
      </c>
      <c r="BG539" s="29" t="str">
        <f t="shared" si="542"/>
        <v>#DIV/0!</v>
      </c>
      <c r="BH539" s="29" t="str">
        <f t="shared" si="542"/>
        <v>#DIV/0!</v>
      </c>
      <c r="BI539" s="29" t="str">
        <f t="shared" si="542"/>
        <v>#DIV/0!</v>
      </c>
      <c r="BJ539" s="29" t="str">
        <f t="shared" si="542"/>
        <v>#DIV/0!</v>
      </c>
      <c r="BK539" s="29" t="str">
        <f t="shared" si="542"/>
        <v>#DIV/0!</v>
      </c>
      <c r="BL539" s="29" t="str">
        <f t="shared" si="542"/>
        <v>#DIV/0!</v>
      </c>
      <c r="BM539" s="29" t="str">
        <f t="shared" si="3"/>
        <v>#DIV/0!</v>
      </c>
    </row>
    <row r="540">
      <c r="A540" s="16" t="str">
        <f>IFERROR(__xludf.DUMMYFUNCTION("IFERROR(SPARKLINE(SORT(MAP(TRANSPOSE(AQ540:BL540), LAMBDA(val, IF(ISNUMBER(val), PERCENTRANK(AQ540:BL540, val)+0.01, 0))), SEQUENCE(COLUMNS(AQ540:BL540)), FALSE), {""charttype"",""column""; ""color"",""chartreuse""; ""ymin"", 0; ""ymax"", 1.01; ""highcolo"&amp;"r"", ""darkgreen""; ""lowcolor"", ""red""}), """")"),"")</f>
        <v/>
      </c>
      <c r="B540" s="17" t="str">
        <f t="shared" si="4"/>
        <v/>
      </c>
      <c r="C540" s="1" t="s">
        <v>2438</v>
      </c>
      <c r="D540" s="34" t="str">
        <f>IFERROR(__xludf.DUMMYFUNCTION("IFERROR(GOOGLEFINANCE(C540, ""NAME""))"),"Hope Bancorp Inc")</f>
        <v>Hope Bancorp Inc</v>
      </c>
      <c r="E540" s="30" t="s">
        <v>268</v>
      </c>
      <c r="F540" s="33" t="str">
        <f>IFERROR(__xludf.DUMMYFUNCTION("( (GOOGLEFINANCE(C540, ""price"") - Q540) / Q540 ) / (R540 / 100)"),"Loading...")</f>
        <v>Loading...</v>
      </c>
      <c r="G540" s="20" t="str">
        <f>IFERROR(__xludf.DUMMYFUNCTION("AVERAGE(ARRAYFORMULA(100 * (QUERY(GOOGLEFINANCE(C540, ""high"", TODAY()-40, TODAY()), ""SELECT Col2 WHERE Col2 IS NOT NULL ORDER BY Col1 DESC LIMIT 20"", 0) / QUERY(GOOGLEFINANCE(C540, ""low"", TODAY()-40, TODAY()), ""SELECT Col2 WHERE Col2 IS NOT NULL OR"&amp;"DER BY Col1 DESC LIMIT 20"", 0) - 1)))"),"#N/A")</f>
        <v>#N/A</v>
      </c>
      <c r="H540" s="35" t="str">
        <f t="shared" si="6"/>
        <v/>
      </c>
      <c r="I540" s="36" t="str">
        <f t="shared" si="7"/>
        <v/>
      </c>
      <c r="J540" s="37" t="str">
        <f>IFERROR(__xludf.DUMMYFUNCTION("IFERROR(
  IF(C540="""",, 
    IFERROR(
      GOOGLEFINANCE(C540, ""price"") * GOOGLEFINANCE(C540, ""volumeavg""), 
      GOOGLEFINANCE(C540, ""price"") * AVERAGE(QUERY(GOOGLEFINANCE(C540, ""volume"", TODAY()-40, TODAY()), ""SELECT Col2 WHERE Col2 IS NOT "&amp;"NULL ORDER BY Col1 DESC LIMIT 20"", 0))
    )
  ), 
"""")"),"")</f>
        <v/>
      </c>
      <c r="K540" s="21" t="str">
        <f>IFERROR(__xludf.DUMMYFUNCTION("IFERROR(GOOGLEFINANCE(C540, ""changepct"") / 100, """")"),"")</f>
        <v/>
      </c>
      <c r="L540" s="21" t="str">
        <f>IFERROR(__xludf.DUMMYFUNCTION("IFERROR((GOOGLEFINANCE(C540, ""price"") / INDEX(GOOGLEFINANCE(C540, ""price"", TODAY()-7, TODAY()), 2, 2)) - 1, """")"),"")</f>
        <v/>
      </c>
      <c r="M540" s="21" t="str">
        <f>IFERROR(__xludf.DUMMYFUNCTION("IFERROR((GOOGLEFINANCE(C540, ""price"") / INDEX(GOOGLEFINANCE(C540, ""price"", EDATE(TODAY(), -1), TODAY()), 2, 2)) - 1, """")"),"")</f>
        <v/>
      </c>
      <c r="N540" s="21" t="str">
        <f>IFERROR(__xludf.DUMMYFUNCTION("IFERROR((GOOGLEFINANCE(C540, ""price"") / INDEX(GOOGLEFINANCE(C540, ""price"", EDATE(TODAY(), -3), TODAY()), 2, 2)) - 1, """")"),"")</f>
        <v/>
      </c>
      <c r="O540" s="21" t="str">
        <f>IFERROR(__xludf.DUMMYFUNCTION("IFERROR((GOOGLEFINANCE(C540, ""price"") / INDEX(GOOGLEFINANCE(C540, ""price"", EDATE(TODAY(), -6), TODAY()), 2, 2)) - 1, """")"),"")</f>
        <v/>
      </c>
      <c r="P540" s="21" t="str">
        <f>IFERROR(__xludf.DUMMYFUNCTION("IFERROR((GOOGLEFINANCE(C540, ""price"") / INDEX(GOOGLEFINANCE(C540, ""price"", EDATE(TODAY(), -12), TODAY()), 2, 2)) - 1, """")"),"")</f>
        <v/>
      </c>
      <c r="Q540" s="6" t="str">
        <f>IFERROR(__xludf.DUMMYFUNCTION("AVERAGE(QUERY(GOOGLEFINANCE(C540, ""price"", TODAY()-80, TODAY()), ""SELECT Col2 WHERE Col2 IS NOT NULL ORDER BY Col1 DESC LIMIT 50"", 0))"),"#N/A")</f>
        <v>#N/A</v>
      </c>
      <c r="R540" s="24" t="str">
        <f>IFERROR(__xludf.DUMMYFUNCTION("IFERROR(
  LET(
    data, QUERY(GOOGLEFINANCE(C540,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GOOGLEFINANCE(C540, ""price"")) * 100,
    IF(calc=0, G540, calc)
  ), 
G540)"),"#N/A")</f>
        <v>#N/A</v>
      </c>
      <c r="S540" s="8" t="s">
        <v>15</v>
      </c>
      <c r="T540" s="26" t="str">
        <f>IFERROR(__xludf.DUMMYFUNCTION("IFERROR(TRANSPOSE(QUERY(IFERROR(SORT(GOOGLEFINANCE(C540, ""price"", WORKDAY(TODAY(), -40), TODAY()), 1, FALSE)), ""select Col2 where Col2 is not null limit 22 label Col2 ''"", 0)), """")"),"")</f>
        <v/>
      </c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8"/>
      <c r="AO540" s="28"/>
      <c r="AP540" s="29"/>
      <c r="AQ540" s="29" t="str">
        <f t="shared" ref="AQ540:BL540" si="543">T540/T$2</f>
        <v>#N/A</v>
      </c>
      <c r="AR540" s="29" t="str">
        <f t="shared" si="543"/>
        <v>#DIV/0!</v>
      </c>
      <c r="AS540" s="29" t="str">
        <f t="shared" si="543"/>
        <v>#DIV/0!</v>
      </c>
      <c r="AT540" s="29" t="str">
        <f t="shared" si="543"/>
        <v>#DIV/0!</v>
      </c>
      <c r="AU540" s="29" t="str">
        <f t="shared" si="543"/>
        <v>#DIV/0!</v>
      </c>
      <c r="AV540" s="29" t="str">
        <f t="shared" si="543"/>
        <v>#DIV/0!</v>
      </c>
      <c r="AW540" s="29" t="str">
        <f t="shared" si="543"/>
        <v>#DIV/0!</v>
      </c>
      <c r="AX540" s="29" t="str">
        <f t="shared" si="543"/>
        <v>#DIV/0!</v>
      </c>
      <c r="AY540" s="29" t="str">
        <f t="shared" si="543"/>
        <v>#DIV/0!</v>
      </c>
      <c r="AZ540" s="29" t="str">
        <f t="shared" si="543"/>
        <v>#DIV/0!</v>
      </c>
      <c r="BA540" s="29" t="str">
        <f t="shared" si="543"/>
        <v>#DIV/0!</v>
      </c>
      <c r="BB540" s="29" t="str">
        <f t="shared" si="543"/>
        <v>#DIV/0!</v>
      </c>
      <c r="BC540" s="29" t="str">
        <f t="shared" si="543"/>
        <v>#DIV/0!</v>
      </c>
      <c r="BD540" s="29" t="str">
        <f t="shared" si="543"/>
        <v>#DIV/0!</v>
      </c>
      <c r="BE540" s="29" t="str">
        <f t="shared" si="543"/>
        <v>#DIV/0!</v>
      </c>
      <c r="BF540" s="29" t="str">
        <f t="shared" si="543"/>
        <v>#DIV/0!</v>
      </c>
      <c r="BG540" s="29" t="str">
        <f t="shared" si="543"/>
        <v>#DIV/0!</v>
      </c>
      <c r="BH540" s="29" t="str">
        <f t="shared" si="543"/>
        <v>#DIV/0!</v>
      </c>
      <c r="BI540" s="29" t="str">
        <f t="shared" si="543"/>
        <v>#DIV/0!</v>
      </c>
      <c r="BJ540" s="29" t="str">
        <f t="shared" si="543"/>
        <v>#DIV/0!</v>
      </c>
      <c r="BK540" s="29" t="str">
        <f t="shared" si="543"/>
        <v>#DIV/0!</v>
      </c>
      <c r="BL540" s="29" t="str">
        <f t="shared" si="543"/>
        <v>#DIV/0!</v>
      </c>
      <c r="BM540" s="29" t="str">
        <f t="shared" si="3"/>
        <v>#DIV/0!</v>
      </c>
    </row>
    <row r="541">
      <c r="A541" s="16" t="str">
        <f>IFERROR(__xludf.DUMMYFUNCTION("IFERROR(SPARKLINE(SORT(MAP(TRANSPOSE(AQ541:BL541), LAMBDA(val, IF(ISNUMBER(val), PERCENTRANK(AQ541:BL541, val)+0.01, 0))), SEQUENCE(COLUMNS(AQ541:BL541)), FALSE), {""charttype"",""column""; ""color"",""chartreuse""; ""ymin"", 0; ""ymax"", 1.01; ""highcolo"&amp;"r"", ""darkgreen""; ""lowcolor"", ""red""}), """")"),"")</f>
        <v/>
      </c>
      <c r="B541" s="17" t="str">
        <f t="shared" si="4"/>
        <v/>
      </c>
      <c r="C541" s="1" t="s">
        <v>2441</v>
      </c>
      <c r="D541" s="34" t="str">
        <f>IFERROR(__xludf.DUMMYFUNCTION("IFERROR(GOOGLEFINANCE(C541, ""NAME""))"),"Coastal Financial Corp (EVERETT)")</f>
        <v>Coastal Financial Corp (EVERETT)</v>
      </c>
      <c r="E541" s="30" t="s">
        <v>268</v>
      </c>
      <c r="F541" s="33" t="str">
        <f>IFERROR(__xludf.DUMMYFUNCTION("( (GOOGLEFINANCE(C541, ""price"") - Q541) / Q541 ) / (R541 / 100)"),"Loading...")</f>
        <v>Loading...</v>
      </c>
      <c r="G541" s="20" t="str">
        <f>IFERROR(__xludf.DUMMYFUNCTION("AVERAGE(ARRAYFORMULA(100 * (QUERY(GOOGLEFINANCE(C541, ""high"", TODAY()-40, TODAY()), ""SELECT Col2 WHERE Col2 IS NOT NULL ORDER BY Col1 DESC LIMIT 20"", 0) / QUERY(GOOGLEFINANCE(C541, ""low"", TODAY()-40, TODAY()), ""SELECT Col2 WHERE Col2 IS NOT NULL OR"&amp;"DER BY Col1 DESC LIMIT 20"", 0) - 1)))"),"#N/A")</f>
        <v>#N/A</v>
      </c>
      <c r="H541" s="35" t="str">
        <f t="shared" si="6"/>
        <v/>
      </c>
      <c r="I541" s="36" t="str">
        <f t="shared" si="7"/>
        <v/>
      </c>
      <c r="J541" s="37" t="str">
        <f>IFERROR(__xludf.DUMMYFUNCTION("IFERROR(
  IF(C541="""",, 
    IFERROR(
      GOOGLEFINANCE(C541, ""price"") * GOOGLEFINANCE(C541, ""volumeavg""), 
      GOOGLEFINANCE(C541, ""price"") * AVERAGE(QUERY(GOOGLEFINANCE(C541, ""volume"", TODAY()-40, TODAY()), ""SELECT Col2 WHERE Col2 IS NOT "&amp;"NULL ORDER BY Col1 DESC LIMIT 20"", 0))
    )
  ), 
"""")"),"")</f>
        <v/>
      </c>
      <c r="K541" s="21" t="str">
        <f>IFERROR(__xludf.DUMMYFUNCTION("IFERROR(GOOGLEFINANCE(C541, ""changepct"") / 100, """")"),"")</f>
        <v/>
      </c>
      <c r="L541" s="21" t="str">
        <f>IFERROR(__xludf.DUMMYFUNCTION("IFERROR((GOOGLEFINANCE(C541, ""price"") / INDEX(GOOGLEFINANCE(C541, ""price"", TODAY()-7, TODAY()), 2, 2)) - 1, """")"),"")</f>
        <v/>
      </c>
      <c r="M541" s="21" t="str">
        <f>IFERROR(__xludf.DUMMYFUNCTION("IFERROR((GOOGLEFINANCE(C541, ""price"") / INDEX(GOOGLEFINANCE(C541, ""price"", EDATE(TODAY(), -1), TODAY()), 2, 2)) - 1, """")"),"")</f>
        <v/>
      </c>
      <c r="N541" s="21" t="str">
        <f>IFERROR(__xludf.DUMMYFUNCTION("IFERROR((GOOGLEFINANCE(C541, ""price"") / INDEX(GOOGLEFINANCE(C541, ""price"", EDATE(TODAY(), -3), TODAY()), 2, 2)) - 1, """")"),"")</f>
        <v/>
      </c>
      <c r="O541" s="21" t="str">
        <f>IFERROR(__xludf.DUMMYFUNCTION("IFERROR((GOOGLEFINANCE(C541, ""price"") / INDEX(GOOGLEFINANCE(C541, ""price"", EDATE(TODAY(), -6), TODAY()), 2, 2)) - 1, """")"),"")</f>
        <v/>
      </c>
      <c r="P541" s="21" t="str">
        <f>IFERROR(__xludf.DUMMYFUNCTION("IFERROR((GOOGLEFINANCE(C541, ""price"") / INDEX(GOOGLEFINANCE(C541, ""price"", EDATE(TODAY(), -12), TODAY()), 2, 2)) - 1, """")"),"")</f>
        <v/>
      </c>
      <c r="Q541" s="6" t="str">
        <f>IFERROR(__xludf.DUMMYFUNCTION("AVERAGE(QUERY(GOOGLEFINANCE(C541, ""price"", TODAY()-80, TODAY()), ""SELECT Col2 WHERE Col2 IS NOT NULL ORDER BY Col1 DESC LIMIT 50"", 0))"),"#N/A")</f>
        <v>#N/A</v>
      </c>
      <c r="R541" s="24" t="str">
        <f>IFERROR(__xludf.DUMMYFUNCTION("IFERROR(
  LET(
    data, QUERY(GOOGLEFINANCE(C541,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GOOGLEFINANCE(C541, ""price"")) * 100,
    IF(calc=0, G541, calc)
  ), 
G541)"),"#N/A")</f>
        <v>#N/A</v>
      </c>
      <c r="S541" s="8" t="s">
        <v>15</v>
      </c>
      <c r="T541" s="26" t="str">
        <f>IFERROR(__xludf.DUMMYFUNCTION("IFERROR(TRANSPOSE(QUERY(IFERROR(SORT(GOOGLEFINANCE(C541, ""price"", WORKDAY(TODAY(), -40), TODAY()), 1, FALSE)), ""select Col2 where Col2 is not null limit 22 label Col2 ''"", 0)), """")"),"")</f>
        <v/>
      </c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8"/>
      <c r="AO541" s="28"/>
      <c r="AP541" s="29"/>
      <c r="AQ541" s="29" t="str">
        <f t="shared" ref="AQ541:BL541" si="544">T541/T$2</f>
        <v>#N/A</v>
      </c>
      <c r="AR541" s="29" t="str">
        <f t="shared" si="544"/>
        <v>#DIV/0!</v>
      </c>
      <c r="AS541" s="29" t="str">
        <f t="shared" si="544"/>
        <v>#DIV/0!</v>
      </c>
      <c r="AT541" s="29" t="str">
        <f t="shared" si="544"/>
        <v>#DIV/0!</v>
      </c>
      <c r="AU541" s="29" t="str">
        <f t="shared" si="544"/>
        <v>#DIV/0!</v>
      </c>
      <c r="AV541" s="29" t="str">
        <f t="shared" si="544"/>
        <v>#DIV/0!</v>
      </c>
      <c r="AW541" s="29" t="str">
        <f t="shared" si="544"/>
        <v>#DIV/0!</v>
      </c>
      <c r="AX541" s="29" t="str">
        <f t="shared" si="544"/>
        <v>#DIV/0!</v>
      </c>
      <c r="AY541" s="29" t="str">
        <f t="shared" si="544"/>
        <v>#DIV/0!</v>
      </c>
      <c r="AZ541" s="29" t="str">
        <f t="shared" si="544"/>
        <v>#DIV/0!</v>
      </c>
      <c r="BA541" s="29" t="str">
        <f t="shared" si="544"/>
        <v>#DIV/0!</v>
      </c>
      <c r="BB541" s="29" t="str">
        <f t="shared" si="544"/>
        <v>#DIV/0!</v>
      </c>
      <c r="BC541" s="29" t="str">
        <f t="shared" si="544"/>
        <v>#DIV/0!</v>
      </c>
      <c r="BD541" s="29" t="str">
        <f t="shared" si="544"/>
        <v>#DIV/0!</v>
      </c>
      <c r="BE541" s="29" t="str">
        <f t="shared" si="544"/>
        <v>#DIV/0!</v>
      </c>
      <c r="BF541" s="29" t="str">
        <f t="shared" si="544"/>
        <v>#DIV/0!</v>
      </c>
      <c r="BG541" s="29" t="str">
        <f t="shared" si="544"/>
        <v>#DIV/0!</v>
      </c>
      <c r="BH541" s="29" t="str">
        <f t="shared" si="544"/>
        <v>#DIV/0!</v>
      </c>
      <c r="BI541" s="29" t="str">
        <f t="shared" si="544"/>
        <v>#DIV/0!</v>
      </c>
      <c r="BJ541" s="29" t="str">
        <f t="shared" si="544"/>
        <v>#DIV/0!</v>
      </c>
      <c r="BK541" s="29" t="str">
        <f t="shared" si="544"/>
        <v>#DIV/0!</v>
      </c>
      <c r="BL541" s="29" t="str">
        <f t="shared" si="544"/>
        <v>#DIV/0!</v>
      </c>
      <c r="BM541" s="29" t="str">
        <f t="shared" si="3"/>
        <v>#DIV/0!</v>
      </c>
    </row>
    <row r="542">
      <c r="A542" s="16" t="str">
        <f>IFERROR(__xludf.DUMMYFUNCTION("IFERROR(SPARKLINE(SORT(MAP(TRANSPOSE(AQ542:BL542), LAMBDA(val, IF(ISNUMBER(val), PERCENTRANK(AQ542:BL542, val)+0.01, 0))), SEQUENCE(COLUMNS(AQ542:BL542)), FALSE), {""charttype"",""column""; ""color"",""chartreuse""; ""ymin"", 0; ""ymax"", 1.01; ""highcolo"&amp;"r"", ""darkgreen""; ""lowcolor"", ""red""}), """")"),"")</f>
        <v/>
      </c>
      <c r="B542" s="17" t="str">
        <f t="shared" si="4"/>
        <v/>
      </c>
      <c r="C542" s="1" t="s">
        <v>2446</v>
      </c>
      <c r="D542" s="34" t="str">
        <f>IFERROR(__xludf.DUMMYFUNCTION("IFERROR(GOOGLEFINANCE(C542, ""NAME""))"),"Southern First Bancshares Inc")</f>
        <v>Southern First Bancshares Inc</v>
      </c>
      <c r="E542" s="30" t="s">
        <v>268</v>
      </c>
      <c r="F542" s="38" t="str">
        <f>IFERROR(__xludf.DUMMYFUNCTION("( (GOOGLEFINANCE(C542, ""price"") - Q542) / Q542 ) / (R542 / 100)"),"Loading...")</f>
        <v>Loading...</v>
      </c>
      <c r="G542" s="20" t="str">
        <f>IFERROR(__xludf.DUMMYFUNCTION("AVERAGE(ARRAYFORMULA(100 * (QUERY(GOOGLEFINANCE(C542, ""high"", TODAY()-40, TODAY()), ""SELECT Col2 WHERE Col2 IS NOT NULL ORDER BY Col1 DESC LIMIT 20"", 0) / QUERY(GOOGLEFINANCE(C542, ""low"", TODAY()-40, TODAY()), ""SELECT Col2 WHERE Col2 IS NOT NULL OR"&amp;"DER BY Col1 DESC LIMIT 20"", 0) - 1)))"),"#N/A")</f>
        <v>#N/A</v>
      </c>
      <c r="H542" s="35" t="str">
        <f t="shared" si="6"/>
        <v/>
      </c>
      <c r="I542" s="36" t="str">
        <f t="shared" si="7"/>
        <v/>
      </c>
      <c r="J542" s="37" t="str">
        <f>IFERROR(__xludf.DUMMYFUNCTION("IFERROR(
  IF(C542="""",, 
    IFERROR(
      GOOGLEFINANCE(C542, ""price"") * GOOGLEFINANCE(C542, ""volumeavg""), 
      GOOGLEFINANCE(C542, ""price"") * AVERAGE(QUERY(GOOGLEFINANCE(C542, ""volume"", TODAY()-40, TODAY()), ""SELECT Col2 WHERE Col2 IS NOT "&amp;"NULL ORDER BY Col1 DESC LIMIT 20"", 0))
    )
  ), 
"""")"),"")</f>
        <v/>
      </c>
      <c r="K542" s="21" t="str">
        <f>IFERROR(__xludf.DUMMYFUNCTION("IFERROR(GOOGLEFINANCE(C542, ""changepct"") / 100, """")"),"")</f>
        <v/>
      </c>
      <c r="L542" s="21" t="str">
        <f>IFERROR(__xludf.DUMMYFUNCTION("IFERROR((GOOGLEFINANCE(C542, ""price"") / INDEX(GOOGLEFINANCE(C542, ""price"", TODAY()-7, TODAY()), 2, 2)) - 1, """")"),"")</f>
        <v/>
      </c>
      <c r="M542" s="21" t="str">
        <f>IFERROR(__xludf.DUMMYFUNCTION("IFERROR((GOOGLEFINANCE(C542, ""price"") / INDEX(GOOGLEFINANCE(C542, ""price"", EDATE(TODAY(), -1), TODAY()), 2, 2)) - 1, """")"),"")</f>
        <v/>
      </c>
      <c r="N542" s="21" t="str">
        <f>IFERROR(__xludf.DUMMYFUNCTION("IFERROR((GOOGLEFINANCE(C542, ""price"") / INDEX(GOOGLEFINANCE(C542, ""price"", EDATE(TODAY(), -3), TODAY()), 2, 2)) - 1, """")"),"")</f>
        <v/>
      </c>
      <c r="O542" s="21" t="str">
        <f>IFERROR(__xludf.DUMMYFUNCTION("IFERROR((GOOGLEFINANCE(C542, ""price"") / INDEX(GOOGLEFINANCE(C542, ""price"", EDATE(TODAY(), -6), TODAY()), 2, 2)) - 1, """")"),"")</f>
        <v/>
      </c>
      <c r="P542" s="21" t="str">
        <f>IFERROR(__xludf.DUMMYFUNCTION("IFERROR((GOOGLEFINANCE(C542, ""price"") / INDEX(GOOGLEFINANCE(C542, ""price"", EDATE(TODAY(), -12), TODAY()), 2, 2)) - 1, """")"),"")</f>
        <v/>
      </c>
      <c r="Q542" s="6" t="str">
        <f>IFERROR(__xludf.DUMMYFUNCTION("AVERAGE(QUERY(GOOGLEFINANCE(C542, ""price"", TODAY()-80, TODAY()), ""SELECT Col2 WHERE Col2 IS NOT NULL ORDER BY Col1 DESC LIMIT 50"", 0))"),"#N/A")</f>
        <v>#N/A</v>
      </c>
      <c r="R542" s="24" t="str">
        <f>IFERROR(__xludf.DUMMYFUNCTION("IFERROR(
  LET(
    data, QUERY(GOOGLEFINANCE(C542,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GOOGLEFINANCE(C542, ""price"")) * 100,
    IF(calc=0, G542, calc)
  ), 
G542)"),"#N/A")</f>
        <v>#N/A</v>
      </c>
      <c r="S542" s="8" t="s">
        <v>15</v>
      </c>
      <c r="T542" s="26" t="str">
        <f>IFERROR(__xludf.DUMMYFUNCTION("IFERROR(TRANSPOSE(QUERY(IFERROR(SORT(GOOGLEFINANCE(C542, ""price"", WORKDAY(TODAY(), -40), TODAY()), 1, FALSE)), ""select Col2 where Col2 is not null limit 22 label Col2 ''"", 0)), """")"),"")</f>
        <v/>
      </c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8"/>
      <c r="AO542" s="28"/>
      <c r="AP542" s="29"/>
      <c r="AQ542" s="29" t="str">
        <f t="shared" ref="AQ542:BL542" si="545">T542/T$2</f>
        <v>#N/A</v>
      </c>
      <c r="AR542" s="29" t="str">
        <f t="shared" si="545"/>
        <v>#DIV/0!</v>
      </c>
      <c r="AS542" s="29" t="str">
        <f t="shared" si="545"/>
        <v>#DIV/0!</v>
      </c>
      <c r="AT542" s="29" t="str">
        <f t="shared" si="545"/>
        <v>#DIV/0!</v>
      </c>
      <c r="AU542" s="29" t="str">
        <f t="shared" si="545"/>
        <v>#DIV/0!</v>
      </c>
      <c r="AV542" s="29" t="str">
        <f t="shared" si="545"/>
        <v>#DIV/0!</v>
      </c>
      <c r="AW542" s="29" t="str">
        <f t="shared" si="545"/>
        <v>#DIV/0!</v>
      </c>
      <c r="AX542" s="29" t="str">
        <f t="shared" si="545"/>
        <v>#DIV/0!</v>
      </c>
      <c r="AY542" s="29" t="str">
        <f t="shared" si="545"/>
        <v>#DIV/0!</v>
      </c>
      <c r="AZ542" s="29" t="str">
        <f t="shared" si="545"/>
        <v>#DIV/0!</v>
      </c>
      <c r="BA542" s="29" t="str">
        <f t="shared" si="545"/>
        <v>#DIV/0!</v>
      </c>
      <c r="BB542" s="29" t="str">
        <f t="shared" si="545"/>
        <v>#DIV/0!</v>
      </c>
      <c r="BC542" s="29" t="str">
        <f t="shared" si="545"/>
        <v>#DIV/0!</v>
      </c>
      <c r="BD542" s="29" t="str">
        <f t="shared" si="545"/>
        <v>#DIV/0!</v>
      </c>
      <c r="BE542" s="29" t="str">
        <f t="shared" si="545"/>
        <v>#DIV/0!</v>
      </c>
      <c r="BF542" s="29" t="str">
        <f t="shared" si="545"/>
        <v>#DIV/0!</v>
      </c>
      <c r="BG542" s="29" t="str">
        <f t="shared" si="545"/>
        <v>#DIV/0!</v>
      </c>
      <c r="BH542" s="29" t="str">
        <f t="shared" si="545"/>
        <v>#DIV/0!</v>
      </c>
      <c r="BI542" s="29" t="str">
        <f t="shared" si="545"/>
        <v>#DIV/0!</v>
      </c>
      <c r="BJ542" s="29" t="str">
        <f t="shared" si="545"/>
        <v>#DIV/0!</v>
      </c>
      <c r="BK542" s="29" t="str">
        <f t="shared" si="545"/>
        <v>#DIV/0!</v>
      </c>
      <c r="BL542" s="29" t="str">
        <f t="shared" si="545"/>
        <v>#DIV/0!</v>
      </c>
      <c r="BM542" s="29" t="str">
        <f t="shared" si="3"/>
        <v>#DIV/0!</v>
      </c>
    </row>
    <row r="543">
      <c r="A543" s="16" t="str">
        <f>IFERROR(__xludf.DUMMYFUNCTION("IFERROR(SPARKLINE(SORT(MAP(TRANSPOSE(AQ543:BL543), LAMBDA(val, IF(ISNUMBER(val), PERCENTRANK(AQ543:BL543, val)+0.01, 0))), SEQUENCE(COLUMNS(AQ543:BL543)), FALSE), {""charttype"",""column""; ""color"",""chartreuse""; ""ymin"", 0; ""ymax"", 1.01; ""highcolo"&amp;"r"", ""darkgreen""; ""lowcolor"", ""red""}), """")"),"")</f>
        <v/>
      </c>
      <c r="B543" s="17" t="str">
        <f t="shared" si="4"/>
        <v/>
      </c>
      <c r="C543" s="1" t="s">
        <v>2450</v>
      </c>
      <c r="D543" s="34" t="str">
        <f>IFERROR(__xludf.DUMMYFUNCTION("IFERROR(GOOGLEFINANCE(C543, ""NAME""))"),"Capital City Bank Group Inc")</f>
        <v>Capital City Bank Group Inc</v>
      </c>
      <c r="E543" s="30" t="s">
        <v>268</v>
      </c>
      <c r="F543" s="38" t="str">
        <f>IFERROR(__xludf.DUMMYFUNCTION("( (GOOGLEFINANCE(C543, ""price"") - Q543) / Q543 ) / (R543 / 100)"),"Loading...")</f>
        <v>Loading...</v>
      </c>
      <c r="G543" s="20" t="str">
        <f>IFERROR(__xludf.DUMMYFUNCTION("AVERAGE(ARRAYFORMULA(100 * (QUERY(GOOGLEFINANCE(C543, ""high"", TODAY()-40, TODAY()), ""SELECT Col2 WHERE Col2 IS NOT NULL ORDER BY Col1 DESC LIMIT 20"", 0) / QUERY(GOOGLEFINANCE(C543, ""low"", TODAY()-40, TODAY()), ""SELECT Col2 WHERE Col2 IS NOT NULL OR"&amp;"DER BY Col1 DESC LIMIT 20"", 0) - 1)))"),"#N/A")</f>
        <v>#N/A</v>
      </c>
      <c r="H543" s="35" t="str">
        <f t="shared" si="6"/>
        <v/>
      </c>
      <c r="I543" s="36" t="str">
        <f t="shared" si="7"/>
        <v/>
      </c>
      <c r="J543" s="37" t="str">
        <f>IFERROR(__xludf.DUMMYFUNCTION("IFERROR(
  IF(C543="""",, 
    IFERROR(
      GOOGLEFINANCE(C543, ""price"") * GOOGLEFINANCE(C543, ""volumeavg""), 
      GOOGLEFINANCE(C543, ""price"") * AVERAGE(QUERY(GOOGLEFINANCE(C543, ""volume"", TODAY()-40, TODAY()), ""SELECT Col2 WHERE Col2 IS NOT "&amp;"NULL ORDER BY Col1 DESC LIMIT 20"", 0))
    )
  ), 
"""")"),"")</f>
        <v/>
      </c>
      <c r="K543" s="21" t="str">
        <f>IFERROR(__xludf.DUMMYFUNCTION("IFERROR(GOOGLEFINANCE(C543, ""changepct"") / 100, """")"),"")</f>
        <v/>
      </c>
      <c r="L543" s="21" t="str">
        <f>IFERROR(__xludf.DUMMYFUNCTION("IFERROR((GOOGLEFINANCE(C543, ""price"") / INDEX(GOOGLEFINANCE(C543, ""price"", TODAY()-7, TODAY()), 2, 2)) - 1, """")"),"")</f>
        <v/>
      </c>
      <c r="M543" s="21" t="str">
        <f>IFERROR(__xludf.DUMMYFUNCTION("IFERROR((GOOGLEFINANCE(C543, ""price"") / INDEX(GOOGLEFINANCE(C543, ""price"", EDATE(TODAY(), -1), TODAY()), 2, 2)) - 1, """")"),"")</f>
        <v/>
      </c>
      <c r="N543" s="21" t="str">
        <f>IFERROR(__xludf.DUMMYFUNCTION("IFERROR((GOOGLEFINANCE(C543, ""price"") / INDEX(GOOGLEFINANCE(C543, ""price"", EDATE(TODAY(), -3), TODAY()), 2, 2)) - 1, """")"),"")</f>
        <v/>
      </c>
      <c r="O543" s="21" t="str">
        <f>IFERROR(__xludf.DUMMYFUNCTION("IFERROR((GOOGLEFINANCE(C543, ""price"") / INDEX(GOOGLEFINANCE(C543, ""price"", EDATE(TODAY(), -6), TODAY()), 2, 2)) - 1, """")"),"")</f>
        <v/>
      </c>
      <c r="P543" s="21" t="str">
        <f>IFERROR(__xludf.DUMMYFUNCTION("IFERROR((GOOGLEFINANCE(C543, ""price"") / INDEX(GOOGLEFINANCE(C543, ""price"", EDATE(TODAY(), -12), TODAY()), 2, 2)) - 1, """")"),"")</f>
        <v/>
      </c>
      <c r="Q543" s="6" t="str">
        <f>IFERROR(__xludf.DUMMYFUNCTION("AVERAGE(QUERY(GOOGLEFINANCE(C543, ""price"", TODAY()-80, TODAY()), ""SELECT Col2 WHERE Col2 IS NOT NULL ORDER BY Col1 DESC LIMIT 50"", 0))"),"#N/A")</f>
        <v>#N/A</v>
      </c>
      <c r="R543" s="24" t="str">
        <f>IFERROR(__xludf.DUMMYFUNCTION("IFERROR(
  LET(
    data, QUERY(GOOGLEFINANCE(C543,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GOOGLEFINANCE(C543, ""price"")) * 100,
    IF(calc=0, G543, calc)
  ), 
G543)"),"#N/A")</f>
        <v>#N/A</v>
      </c>
      <c r="S543" s="8" t="s">
        <v>15</v>
      </c>
      <c r="T543" s="26" t="str">
        <f>IFERROR(__xludf.DUMMYFUNCTION("IFERROR(TRANSPOSE(QUERY(IFERROR(SORT(GOOGLEFINANCE(C543, ""price"", WORKDAY(TODAY(), -40), TODAY()), 1, FALSE)), ""select Col2 where Col2 is not null limit 22 label Col2 ''"", 0)), """")"),"")</f>
        <v/>
      </c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8"/>
      <c r="AO543" s="28"/>
      <c r="AP543" s="29"/>
      <c r="AQ543" s="29" t="str">
        <f t="shared" ref="AQ543:BL543" si="546">T543/T$2</f>
        <v>#N/A</v>
      </c>
      <c r="AR543" s="29" t="str">
        <f t="shared" si="546"/>
        <v>#DIV/0!</v>
      </c>
      <c r="AS543" s="29" t="str">
        <f t="shared" si="546"/>
        <v>#DIV/0!</v>
      </c>
      <c r="AT543" s="29" t="str">
        <f t="shared" si="546"/>
        <v>#DIV/0!</v>
      </c>
      <c r="AU543" s="29" t="str">
        <f t="shared" si="546"/>
        <v>#DIV/0!</v>
      </c>
      <c r="AV543" s="29" t="str">
        <f t="shared" si="546"/>
        <v>#DIV/0!</v>
      </c>
      <c r="AW543" s="29" t="str">
        <f t="shared" si="546"/>
        <v>#DIV/0!</v>
      </c>
      <c r="AX543" s="29" t="str">
        <f t="shared" si="546"/>
        <v>#DIV/0!</v>
      </c>
      <c r="AY543" s="29" t="str">
        <f t="shared" si="546"/>
        <v>#DIV/0!</v>
      </c>
      <c r="AZ543" s="29" t="str">
        <f t="shared" si="546"/>
        <v>#DIV/0!</v>
      </c>
      <c r="BA543" s="29" t="str">
        <f t="shared" si="546"/>
        <v>#DIV/0!</v>
      </c>
      <c r="BB543" s="29" t="str">
        <f t="shared" si="546"/>
        <v>#DIV/0!</v>
      </c>
      <c r="BC543" s="29" t="str">
        <f t="shared" si="546"/>
        <v>#DIV/0!</v>
      </c>
      <c r="BD543" s="29" t="str">
        <f t="shared" si="546"/>
        <v>#DIV/0!</v>
      </c>
      <c r="BE543" s="29" t="str">
        <f t="shared" si="546"/>
        <v>#DIV/0!</v>
      </c>
      <c r="BF543" s="29" t="str">
        <f t="shared" si="546"/>
        <v>#DIV/0!</v>
      </c>
      <c r="BG543" s="29" t="str">
        <f t="shared" si="546"/>
        <v>#DIV/0!</v>
      </c>
      <c r="BH543" s="29" t="str">
        <f t="shared" si="546"/>
        <v>#DIV/0!</v>
      </c>
      <c r="BI543" s="29" t="str">
        <f t="shared" si="546"/>
        <v>#DIV/0!</v>
      </c>
      <c r="BJ543" s="29" t="str">
        <f t="shared" si="546"/>
        <v>#DIV/0!</v>
      </c>
      <c r="BK543" s="29" t="str">
        <f t="shared" si="546"/>
        <v>#DIV/0!</v>
      </c>
      <c r="BL543" s="29" t="str">
        <f t="shared" si="546"/>
        <v>#DIV/0!</v>
      </c>
      <c r="BM543" s="29" t="str">
        <f t="shared" si="3"/>
        <v>#DIV/0!</v>
      </c>
    </row>
    <row r="544">
      <c r="A544" s="16" t="str">
        <f>IFERROR(__xludf.DUMMYFUNCTION("IFERROR(SPARKLINE(SORT(MAP(TRANSPOSE(AQ544:BL544), LAMBDA(val, IF(ISNUMBER(val), PERCENTRANK(AQ544:BL544, val)+0.01, 0))), SEQUENCE(COLUMNS(AQ544:BL544)), FALSE), {""charttype"",""column""; ""color"",""chartreuse""; ""ymin"", 0; ""ymax"", 1.01; ""highcolo"&amp;"r"", ""darkgreen""; ""lowcolor"", ""red""}), """")"),"")</f>
        <v/>
      </c>
      <c r="B544" s="17" t="str">
        <f t="shared" si="4"/>
        <v/>
      </c>
      <c r="C544" s="1" t="s">
        <v>2455</v>
      </c>
      <c r="D544" s="34" t="str">
        <f>IFERROR(__xludf.DUMMYFUNCTION("IFERROR(GOOGLEFINANCE(C544, ""NAME""))"),"Westamerica Bancorp")</f>
        <v>Westamerica Bancorp</v>
      </c>
      <c r="E544" s="30" t="s">
        <v>268</v>
      </c>
      <c r="F544" s="33" t="str">
        <f>IFERROR(__xludf.DUMMYFUNCTION("( (GOOGLEFINANCE(C544, ""price"") - Q544) / Q544 ) / (R544 / 100)"),"Loading...")</f>
        <v>Loading...</v>
      </c>
      <c r="G544" s="20" t="str">
        <f>IFERROR(__xludf.DUMMYFUNCTION("AVERAGE(ARRAYFORMULA(100 * (QUERY(GOOGLEFINANCE(C544, ""high"", TODAY()-40, TODAY()), ""SELECT Col2 WHERE Col2 IS NOT NULL ORDER BY Col1 DESC LIMIT 20"", 0) / QUERY(GOOGLEFINANCE(C544, ""low"", TODAY()-40, TODAY()), ""SELECT Col2 WHERE Col2 IS NOT NULL OR"&amp;"DER BY Col1 DESC LIMIT 20"", 0) - 1)))"),"#N/A")</f>
        <v>#N/A</v>
      </c>
      <c r="H544" s="35" t="str">
        <f t="shared" si="6"/>
        <v/>
      </c>
      <c r="I544" s="36" t="str">
        <f t="shared" si="7"/>
        <v/>
      </c>
      <c r="J544" s="37" t="str">
        <f>IFERROR(__xludf.DUMMYFUNCTION("IFERROR(
  IF(C544="""",, 
    IFERROR(
      GOOGLEFINANCE(C544, ""price"") * GOOGLEFINANCE(C544, ""volumeavg""), 
      GOOGLEFINANCE(C544, ""price"") * AVERAGE(QUERY(GOOGLEFINANCE(C544, ""volume"", TODAY()-40, TODAY()), ""SELECT Col2 WHERE Col2 IS NOT "&amp;"NULL ORDER BY Col1 DESC LIMIT 20"", 0))
    )
  ), 
"""")"),"")</f>
        <v/>
      </c>
      <c r="K544" s="21" t="str">
        <f>IFERROR(__xludf.DUMMYFUNCTION("IFERROR(GOOGLEFINANCE(C544, ""changepct"") / 100, """")"),"")</f>
        <v/>
      </c>
      <c r="L544" s="21" t="str">
        <f>IFERROR(__xludf.DUMMYFUNCTION("IFERROR((GOOGLEFINANCE(C544, ""price"") / INDEX(GOOGLEFINANCE(C544, ""price"", TODAY()-7, TODAY()), 2, 2)) - 1, """")"),"")</f>
        <v/>
      </c>
      <c r="M544" s="21" t="str">
        <f>IFERROR(__xludf.DUMMYFUNCTION("IFERROR((GOOGLEFINANCE(C544, ""price"") / INDEX(GOOGLEFINANCE(C544, ""price"", EDATE(TODAY(), -1), TODAY()), 2, 2)) - 1, """")"),"")</f>
        <v/>
      </c>
      <c r="N544" s="21" t="str">
        <f>IFERROR(__xludf.DUMMYFUNCTION("IFERROR((GOOGLEFINANCE(C544, ""price"") / INDEX(GOOGLEFINANCE(C544, ""price"", EDATE(TODAY(), -3), TODAY()), 2, 2)) - 1, """")"),"")</f>
        <v/>
      </c>
      <c r="O544" s="21" t="str">
        <f>IFERROR(__xludf.DUMMYFUNCTION("IFERROR((GOOGLEFINANCE(C544, ""price"") / INDEX(GOOGLEFINANCE(C544, ""price"", EDATE(TODAY(), -6), TODAY()), 2, 2)) - 1, """")"),"")</f>
        <v/>
      </c>
      <c r="P544" s="21" t="str">
        <f>IFERROR(__xludf.DUMMYFUNCTION("IFERROR((GOOGLEFINANCE(C544, ""price"") / INDEX(GOOGLEFINANCE(C544, ""price"", EDATE(TODAY(), -12), TODAY()), 2, 2)) - 1, """")"),"")</f>
        <v/>
      </c>
      <c r="Q544" s="6" t="str">
        <f>IFERROR(__xludf.DUMMYFUNCTION("AVERAGE(QUERY(GOOGLEFINANCE(C544, ""price"", TODAY()-80, TODAY()), ""SELECT Col2 WHERE Col2 IS NOT NULL ORDER BY Col1 DESC LIMIT 50"", 0))"),"#N/A")</f>
        <v>#N/A</v>
      </c>
      <c r="R544" s="24" t="str">
        <f>IFERROR(__xludf.DUMMYFUNCTION("IFERROR(
  LET(
    data, QUERY(GOOGLEFINANCE(C544,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GOOGLEFINANCE(C544, ""price"")) * 100,
    IF(calc=0, G544, calc)
  ), 
G544)"),"#N/A")</f>
        <v>#N/A</v>
      </c>
      <c r="S544" s="8" t="s">
        <v>15</v>
      </c>
      <c r="T544" s="26" t="str">
        <f>IFERROR(__xludf.DUMMYFUNCTION("IFERROR(TRANSPOSE(QUERY(IFERROR(SORT(GOOGLEFINANCE(C544, ""price"", WORKDAY(TODAY(), -40), TODAY()), 1, FALSE)), ""select Col2 where Col2 is not null limit 22 label Col2 ''"", 0)), """")"),"")</f>
        <v/>
      </c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8"/>
      <c r="AO544" s="28"/>
      <c r="AP544" s="29"/>
      <c r="AQ544" s="29" t="str">
        <f t="shared" ref="AQ544:BL544" si="547">T544/T$2</f>
        <v>#N/A</v>
      </c>
      <c r="AR544" s="29" t="str">
        <f t="shared" si="547"/>
        <v>#DIV/0!</v>
      </c>
      <c r="AS544" s="29" t="str">
        <f t="shared" si="547"/>
        <v>#DIV/0!</v>
      </c>
      <c r="AT544" s="29" t="str">
        <f t="shared" si="547"/>
        <v>#DIV/0!</v>
      </c>
      <c r="AU544" s="29" t="str">
        <f t="shared" si="547"/>
        <v>#DIV/0!</v>
      </c>
      <c r="AV544" s="29" t="str">
        <f t="shared" si="547"/>
        <v>#DIV/0!</v>
      </c>
      <c r="AW544" s="29" t="str">
        <f t="shared" si="547"/>
        <v>#DIV/0!</v>
      </c>
      <c r="AX544" s="29" t="str">
        <f t="shared" si="547"/>
        <v>#DIV/0!</v>
      </c>
      <c r="AY544" s="29" t="str">
        <f t="shared" si="547"/>
        <v>#DIV/0!</v>
      </c>
      <c r="AZ544" s="29" t="str">
        <f t="shared" si="547"/>
        <v>#DIV/0!</v>
      </c>
      <c r="BA544" s="29" t="str">
        <f t="shared" si="547"/>
        <v>#DIV/0!</v>
      </c>
      <c r="BB544" s="29" t="str">
        <f t="shared" si="547"/>
        <v>#DIV/0!</v>
      </c>
      <c r="BC544" s="29" t="str">
        <f t="shared" si="547"/>
        <v>#DIV/0!</v>
      </c>
      <c r="BD544" s="29" t="str">
        <f t="shared" si="547"/>
        <v>#DIV/0!</v>
      </c>
      <c r="BE544" s="29" t="str">
        <f t="shared" si="547"/>
        <v>#DIV/0!</v>
      </c>
      <c r="BF544" s="29" t="str">
        <f t="shared" si="547"/>
        <v>#DIV/0!</v>
      </c>
      <c r="BG544" s="29" t="str">
        <f t="shared" si="547"/>
        <v>#DIV/0!</v>
      </c>
      <c r="BH544" s="29" t="str">
        <f t="shared" si="547"/>
        <v>#DIV/0!</v>
      </c>
      <c r="BI544" s="29" t="str">
        <f t="shared" si="547"/>
        <v>#DIV/0!</v>
      </c>
      <c r="BJ544" s="29" t="str">
        <f t="shared" si="547"/>
        <v>#DIV/0!</v>
      </c>
      <c r="BK544" s="29" t="str">
        <f t="shared" si="547"/>
        <v>#DIV/0!</v>
      </c>
      <c r="BL544" s="29" t="str">
        <f t="shared" si="547"/>
        <v>#DIV/0!</v>
      </c>
      <c r="BM544" s="29" t="str">
        <f t="shared" si="3"/>
        <v>#DIV/0!</v>
      </c>
    </row>
    <row r="545">
      <c r="A545" s="16" t="str">
        <f>IFERROR(__xludf.DUMMYFUNCTION("IFERROR(SPARKLINE(SORT(MAP(TRANSPOSE(AQ545:BL545), LAMBDA(val, IF(ISNUMBER(val), PERCENTRANK(AQ545:BL545, val)+0.01, 0))), SEQUENCE(COLUMNS(AQ545:BL545)), FALSE), {""charttype"",""column""; ""color"",""chartreuse""; ""ymin"", 0; ""ymax"", 1.01; ""highcolo"&amp;"r"", ""darkgreen""; ""lowcolor"", ""red""}), """")"),"")</f>
        <v/>
      </c>
      <c r="B545" s="17" t="str">
        <f t="shared" si="4"/>
        <v/>
      </c>
      <c r="C545" s="1" t="s">
        <v>2459</v>
      </c>
      <c r="D545" s="34" t="str">
        <f>IFERROR(__xludf.DUMMYFUNCTION("IFERROR(GOOGLEFINANCE(C545, ""NAME""))"),"Preferred Bank")</f>
        <v>Preferred Bank</v>
      </c>
      <c r="E545" s="30" t="s">
        <v>268</v>
      </c>
      <c r="F545" s="33" t="str">
        <f>IFERROR(__xludf.DUMMYFUNCTION("( (GOOGLEFINANCE(C545, ""price"") - Q545) / Q545 ) / (R545 / 100)"),"Loading...")</f>
        <v>Loading...</v>
      </c>
      <c r="G545" s="20" t="str">
        <f>IFERROR(__xludf.DUMMYFUNCTION("AVERAGE(ARRAYFORMULA(100 * (QUERY(GOOGLEFINANCE(C545, ""high"", TODAY()-40, TODAY()), ""SELECT Col2 WHERE Col2 IS NOT NULL ORDER BY Col1 DESC LIMIT 20"", 0) / QUERY(GOOGLEFINANCE(C545, ""low"", TODAY()-40, TODAY()), ""SELECT Col2 WHERE Col2 IS NOT NULL OR"&amp;"DER BY Col1 DESC LIMIT 20"", 0) - 1)))"),"#N/A")</f>
        <v>#N/A</v>
      </c>
      <c r="H545" s="35" t="str">
        <f t="shared" si="6"/>
        <v/>
      </c>
      <c r="I545" s="36" t="str">
        <f t="shared" si="7"/>
        <v/>
      </c>
      <c r="J545" s="37" t="str">
        <f>IFERROR(__xludf.DUMMYFUNCTION("IFERROR(
  IF(C545="""",, 
    IFERROR(
      GOOGLEFINANCE(C545, ""price"") * GOOGLEFINANCE(C545, ""volumeavg""), 
      GOOGLEFINANCE(C545, ""price"") * AVERAGE(QUERY(GOOGLEFINANCE(C545, ""volume"", TODAY()-40, TODAY()), ""SELECT Col2 WHERE Col2 IS NOT "&amp;"NULL ORDER BY Col1 DESC LIMIT 20"", 0))
    )
  ), 
"""")"),"")</f>
        <v/>
      </c>
      <c r="K545" s="21" t="str">
        <f>IFERROR(__xludf.DUMMYFUNCTION("IFERROR(GOOGLEFINANCE(C545, ""changepct"") / 100, """")"),"")</f>
        <v/>
      </c>
      <c r="L545" s="21" t="str">
        <f>IFERROR(__xludf.DUMMYFUNCTION("IFERROR((GOOGLEFINANCE(C545, ""price"") / INDEX(GOOGLEFINANCE(C545, ""price"", TODAY()-7, TODAY()), 2, 2)) - 1, """")"),"")</f>
        <v/>
      </c>
      <c r="M545" s="21" t="str">
        <f>IFERROR(__xludf.DUMMYFUNCTION("IFERROR((GOOGLEFINANCE(C545, ""price"") / INDEX(GOOGLEFINANCE(C545, ""price"", EDATE(TODAY(), -1), TODAY()), 2, 2)) - 1, """")"),"")</f>
        <v/>
      </c>
      <c r="N545" s="21" t="str">
        <f>IFERROR(__xludf.DUMMYFUNCTION("IFERROR((GOOGLEFINANCE(C545, ""price"") / INDEX(GOOGLEFINANCE(C545, ""price"", EDATE(TODAY(), -3), TODAY()), 2, 2)) - 1, """")"),"")</f>
        <v/>
      </c>
      <c r="O545" s="21" t="str">
        <f>IFERROR(__xludf.DUMMYFUNCTION("IFERROR((GOOGLEFINANCE(C545, ""price"") / INDEX(GOOGLEFINANCE(C545, ""price"", EDATE(TODAY(), -6), TODAY()), 2, 2)) - 1, """")"),"")</f>
        <v/>
      </c>
      <c r="P545" s="21" t="str">
        <f>IFERROR(__xludf.DUMMYFUNCTION("IFERROR((GOOGLEFINANCE(C545, ""price"") / INDEX(GOOGLEFINANCE(C545, ""price"", EDATE(TODAY(), -12), TODAY()), 2, 2)) - 1, """")"),"")</f>
        <v/>
      </c>
      <c r="Q545" s="6" t="str">
        <f>IFERROR(__xludf.DUMMYFUNCTION("AVERAGE(QUERY(GOOGLEFINANCE(C545, ""price"", TODAY()-80, TODAY()), ""SELECT Col2 WHERE Col2 IS NOT NULL ORDER BY Col1 DESC LIMIT 50"", 0))"),"#N/A")</f>
        <v>#N/A</v>
      </c>
      <c r="R545" s="24" t="str">
        <f>IFERROR(__xludf.DUMMYFUNCTION("IFERROR(
  LET(
    data, QUERY(GOOGLEFINANCE(C545,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GOOGLEFINANCE(C545, ""price"")) * 100,
    IF(calc=0, G545, calc)
  ), 
G545)"),"#N/A")</f>
        <v>#N/A</v>
      </c>
      <c r="S545" s="8" t="s">
        <v>15</v>
      </c>
      <c r="T545" s="26" t="str">
        <f>IFERROR(__xludf.DUMMYFUNCTION("IFERROR(TRANSPOSE(QUERY(IFERROR(SORT(GOOGLEFINANCE(C545, ""price"", WORKDAY(TODAY(), -40), TODAY()), 1, FALSE)), ""select Col2 where Col2 is not null limit 22 label Col2 ''"", 0)), """")"),"")</f>
        <v/>
      </c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8"/>
      <c r="AO545" s="28"/>
      <c r="AP545" s="29"/>
      <c r="AQ545" s="29" t="str">
        <f t="shared" ref="AQ545:BL545" si="548">T545/T$2</f>
        <v>#N/A</v>
      </c>
      <c r="AR545" s="29" t="str">
        <f t="shared" si="548"/>
        <v>#DIV/0!</v>
      </c>
      <c r="AS545" s="29" t="str">
        <f t="shared" si="548"/>
        <v>#DIV/0!</v>
      </c>
      <c r="AT545" s="29" t="str">
        <f t="shared" si="548"/>
        <v>#DIV/0!</v>
      </c>
      <c r="AU545" s="29" t="str">
        <f t="shared" si="548"/>
        <v>#DIV/0!</v>
      </c>
      <c r="AV545" s="29" t="str">
        <f t="shared" si="548"/>
        <v>#DIV/0!</v>
      </c>
      <c r="AW545" s="29" t="str">
        <f t="shared" si="548"/>
        <v>#DIV/0!</v>
      </c>
      <c r="AX545" s="29" t="str">
        <f t="shared" si="548"/>
        <v>#DIV/0!</v>
      </c>
      <c r="AY545" s="29" t="str">
        <f t="shared" si="548"/>
        <v>#DIV/0!</v>
      </c>
      <c r="AZ545" s="29" t="str">
        <f t="shared" si="548"/>
        <v>#DIV/0!</v>
      </c>
      <c r="BA545" s="29" t="str">
        <f t="shared" si="548"/>
        <v>#DIV/0!</v>
      </c>
      <c r="BB545" s="29" t="str">
        <f t="shared" si="548"/>
        <v>#DIV/0!</v>
      </c>
      <c r="BC545" s="29" t="str">
        <f t="shared" si="548"/>
        <v>#DIV/0!</v>
      </c>
      <c r="BD545" s="29" t="str">
        <f t="shared" si="548"/>
        <v>#DIV/0!</v>
      </c>
      <c r="BE545" s="29" t="str">
        <f t="shared" si="548"/>
        <v>#DIV/0!</v>
      </c>
      <c r="BF545" s="29" t="str">
        <f t="shared" si="548"/>
        <v>#DIV/0!</v>
      </c>
      <c r="BG545" s="29" t="str">
        <f t="shared" si="548"/>
        <v>#DIV/0!</v>
      </c>
      <c r="BH545" s="29" t="str">
        <f t="shared" si="548"/>
        <v>#DIV/0!</v>
      </c>
      <c r="BI545" s="29" t="str">
        <f t="shared" si="548"/>
        <v>#DIV/0!</v>
      </c>
      <c r="BJ545" s="29" t="str">
        <f t="shared" si="548"/>
        <v>#DIV/0!</v>
      </c>
      <c r="BK545" s="29" t="str">
        <f t="shared" si="548"/>
        <v>#DIV/0!</v>
      </c>
      <c r="BL545" s="29" t="str">
        <f t="shared" si="548"/>
        <v>#DIV/0!</v>
      </c>
      <c r="BM545" s="29" t="str">
        <f t="shared" si="3"/>
        <v>#DIV/0!</v>
      </c>
    </row>
    <row r="546">
      <c r="A546" s="16" t="str">
        <f>IFERROR(__xludf.DUMMYFUNCTION("IFERROR(SPARKLINE(SORT(MAP(TRANSPOSE(AQ546:BL546), LAMBDA(val, IF(ISNUMBER(val), PERCENTRANK(AQ546:BL546, val)+0.01, 0))), SEQUENCE(COLUMNS(AQ546:BL546)), FALSE), {""charttype"",""column""; ""color"",""chartreuse""; ""ymin"", 0; ""ymax"", 1.01; ""highcolo"&amp;"r"", ""darkgreen""; ""lowcolor"", ""red""}), """")"),"")</f>
        <v/>
      </c>
      <c r="B546" s="17" t="str">
        <f t="shared" si="4"/>
        <v/>
      </c>
      <c r="C546" s="1" t="s">
        <v>2463</v>
      </c>
      <c r="D546" s="34" t="str">
        <f>IFERROR(__xludf.DUMMYFUNCTION("IFERROR(GOOGLEFINANCE(C546, ""NAME""))"),"Peoples Bancorp Inc")</f>
        <v>Peoples Bancorp Inc</v>
      </c>
      <c r="E546" s="30" t="s">
        <v>268</v>
      </c>
      <c r="F546" s="33" t="str">
        <f>IFERROR(__xludf.DUMMYFUNCTION("( (GOOGLEFINANCE(C546, ""price"") - Q546) / Q546 ) / (R546 / 100)"),"Loading...")</f>
        <v>Loading...</v>
      </c>
      <c r="G546" s="20" t="str">
        <f>IFERROR(__xludf.DUMMYFUNCTION("AVERAGE(ARRAYFORMULA(100 * (QUERY(GOOGLEFINANCE(C546, ""high"", TODAY()-40, TODAY()), ""SELECT Col2 WHERE Col2 IS NOT NULL ORDER BY Col1 DESC LIMIT 20"", 0) / QUERY(GOOGLEFINANCE(C546, ""low"", TODAY()-40, TODAY()), ""SELECT Col2 WHERE Col2 IS NOT NULL OR"&amp;"DER BY Col1 DESC LIMIT 20"", 0) - 1)))"),"#N/A")</f>
        <v>#N/A</v>
      </c>
      <c r="H546" s="35" t="str">
        <f t="shared" si="6"/>
        <v/>
      </c>
      <c r="I546" s="36" t="str">
        <f t="shared" si="7"/>
        <v/>
      </c>
      <c r="J546" s="37" t="str">
        <f>IFERROR(__xludf.DUMMYFUNCTION("IFERROR(
  IF(C546="""",, 
    IFERROR(
      GOOGLEFINANCE(C546, ""price"") * GOOGLEFINANCE(C546, ""volumeavg""), 
      GOOGLEFINANCE(C546, ""price"") * AVERAGE(QUERY(GOOGLEFINANCE(C546, ""volume"", TODAY()-40, TODAY()), ""SELECT Col2 WHERE Col2 IS NOT "&amp;"NULL ORDER BY Col1 DESC LIMIT 20"", 0))
    )
  ), 
"""")"),"")</f>
        <v/>
      </c>
      <c r="K546" s="21" t="str">
        <f>IFERROR(__xludf.DUMMYFUNCTION("IFERROR(GOOGLEFINANCE(C546, ""changepct"") / 100, """")"),"")</f>
        <v/>
      </c>
      <c r="L546" s="21" t="str">
        <f>IFERROR(__xludf.DUMMYFUNCTION("IFERROR((GOOGLEFINANCE(C546, ""price"") / INDEX(GOOGLEFINANCE(C546, ""price"", TODAY()-7, TODAY()), 2, 2)) - 1, """")"),"")</f>
        <v/>
      </c>
      <c r="M546" s="21" t="str">
        <f>IFERROR(__xludf.DUMMYFUNCTION("IFERROR((GOOGLEFINANCE(C546, ""price"") / INDEX(GOOGLEFINANCE(C546, ""price"", EDATE(TODAY(), -1), TODAY()), 2, 2)) - 1, """")"),"")</f>
        <v/>
      </c>
      <c r="N546" s="21" t="str">
        <f>IFERROR(__xludf.DUMMYFUNCTION("IFERROR((GOOGLEFINANCE(C546, ""price"") / INDEX(GOOGLEFINANCE(C546, ""price"", EDATE(TODAY(), -3), TODAY()), 2, 2)) - 1, """")"),"")</f>
        <v/>
      </c>
      <c r="O546" s="21" t="str">
        <f>IFERROR(__xludf.DUMMYFUNCTION("IFERROR((GOOGLEFINANCE(C546, ""price"") / INDEX(GOOGLEFINANCE(C546, ""price"", EDATE(TODAY(), -6), TODAY()), 2, 2)) - 1, """")"),"")</f>
        <v/>
      </c>
      <c r="P546" s="21" t="str">
        <f>IFERROR(__xludf.DUMMYFUNCTION("IFERROR((GOOGLEFINANCE(C546, ""price"") / INDEX(GOOGLEFINANCE(C546, ""price"", EDATE(TODAY(), -12), TODAY()), 2, 2)) - 1, """")"),"")</f>
        <v/>
      </c>
      <c r="Q546" s="6" t="str">
        <f>IFERROR(__xludf.DUMMYFUNCTION("AVERAGE(QUERY(GOOGLEFINANCE(C546, ""price"", TODAY()-80, TODAY()), ""SELECT Col2 WHERE Col2 IS NOT NULL ORDER BY Col1 DESC LIMIT 50"", 0))"),"#N/A")</f>
        <v>#N/A</v>
      </c>
      <c r="R546" s="24" t="str">
        <f>IFERROR(__xludf.DUMMYFUNCTION("IFERROR(
  LET(
    data, QUERY(GOOGLEFINANCE(C546,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GOOGLEFINANCE(C546, ""price"")) * 100,
    IF(calc=0, G546, calc)
  ), 
G546)"),"#N/A")</f>
        <v>#N/A</v>
      </c>
      <c r="S546" s="8" t="s">
        <v>15</v>
      </c>
      <c r="T546" s="26" t="str">
        <f>IFERROR(__xludf.DUMMYFUNCTION("IFERROR(TRANSPOSE(QUERY(IFERROR(SORT(GOOGLEFINANCE(C546, ""price"", WORKDAY(TODAY(), -40), TODAY()), 1, FALSE)), ""select Col2 where Col2 is not null limit 22 label Col2 ''"", 0)), """")"),"")</f>
        <v/>
      </c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8"/>
      <c r="AO546" s="28"/>
      <c r="AP546" s="29"/>
      <c r="AQ546" s="29" t="str">
        <f t="shared" ref="AQ546:BL546" si="549">T546/T$2</f>
        <v>#N/A</v>
      </c>
      <c r="AR546" s="29" t="str">
        <f t="shared" si="549"/>
        <v>#DIV/0!</v>
      </c>
      <c r="AS546" s="29" t="str">
        <f t="shared" si="549"/>
        <v>#DIV/0!</v>
      </c>
      <c r="AT546" s="29" t="str">
        <f t="shared" si="549"/>
        <v>#DIV/0!</v>
      </c>
      <c r="AU546" s="29" t="str">
        <f t="shared" si="549"/>
        <v>#DIV/0!</v>
      </c>
      <c r="AV546" s="29" t="str">
        <f t="shared" si="549"/>
        <v>#DIV/0!</v>
      </c>
      <c r="AW546" s="29" t="str">
        <f t="shared" si="549"/>
        <v>#DIV/0!</v>
      </c>
      <c r="AX546" s="29" t="str">
        <f t="shared" si="549"/>
        <v>#DIV/0!</v>
      </c>
      <c r="AY546" s="29" t="str">
        <f t="shared" si="549"/>
        <v>#DIV/0!</v>
      </c>
      <c r="AZ546" s="29" t="str">
        <f t="shared" si="549"/>
        <v>#DIV/0!</v>
      </c>
      <c r="BA546" s="29" t="str">
        <f t="shared" si="549"/>
        <v>#DIV/0!</v>
      </c>
      <c r="BB546" s="29" t="str">
        <f t="shared" si="549"/>
        <v>#DIV/0!</v>
      </c>
      <c r="BC546" s="29" t="str">
        <f t="shared" si="549"/>
        <v>#DIV/0!</v>
      </c>
      <c r="BD546" s="29" t="str">
        <f t="shared" si="549"/>
        <v>#DIV/0!</v>
      </c>
      <c r="BE546" s="29" t="str">
        <f t="shared" si="549"/>
        <v>#DIV/0!</v>
      </c>
      <c r="BF546" s="29" t="str">
        <f t="shared" si="549"/>
        <v>#DIV/0!</v>
      </c>
      <c r="BG546" s="29" t="str">
        <f t="shared" si="549"/>
        <v>#DIV/0!</v>
      </c>
      <c r="BH546" s="29" t="str">
        <f t="shared" si="549"/>
        <v>#DIV/0!</v>
      </c>
      <c r="BI546" s="29" t="str">
        <f t="shared" si="549"/>
        <v>#DIV/0!</v>
      </c>
      <c r="BJ546" s="29" t="str">
        <f t="shared" si="549"/>
        <v>#DIV/0!</v>
      </c>
      <c r="BK546" s="29" t="str">
        <f t="shared" si="549"/>
        <v>#DIV/0!</v>
      </c>
      <c r="BL546" s="29" t="str">
        <f t="shared" si="549"/>
        <v>#DIV/0!</v>
      </c>
      <c r="BM546" s="29" t="str">
        <f t="shared" si="3"/>
        <v>#DIV/0!</v>
      </c>
    </row>
    <row r="547">
      <c r="A547" s="16" t="str">
        <f>IFERROR(__xludf.DUMMYFUNCTION("IFERROR(SPARKLINE(SORT(MAP(TRANSPOSE(AQ547:BL547), LAMBDA(val, IF(ISNUMBER(val), PERCENTRANK(AQ547:BL547, val)+0.01, 0))), SEQUENCE(COLUMNS(AQ547:BL547)), FALSE), {""charttype"",""column""; ""color"",""chartreuse""; ""ymin"", 0; ""ymax"", 1.01; ""highcolo"&amp;"r"", ""darkgreen""; ""lowcolor"", ""red""}), """")"),"")</f>
        <v/>
      </c>
      <c r="B547" s="17" t="str">
        <f t="shared" si="4"/>
        <v/>
      </c>
      <c r="C547" s="1" t="s">
        <v>2467</v>
      </c>
      <c r="D547" s="34" t="str">
        <f>IFERROR(__xludf.DUMMYFUNCTION("IFERROR(GOOGLEFINANCE(C547, ""NAME""))"),"Beacon Financial Corp")</f>
        <v>Beacon Financial Corp</v>
      </c>
      <c r="E547" s="30" t="s">
        <v>268</v>
      </c>
      <c r="F547" s="33" t="str">
        <f>IFERROR(__xludf.DUMMYFUNCTION("( (GOOGLEFINANCE(C547, ""price"") - Q547) / Q547 ) / (R547 / 100)"),"Loading...")</f>
        <v>Loading...</v>
      </c>
      <c r="G547" s="20" t="str">
        <f>IFERROR(__xludf.DUMMYFUNCTION("AVERAGE(ARRAYFORMULA(100 * (QUERY(GOOGLEFINANCE(C547, ""high"", TODAY()-40, TODAY()), ""SELECT Col2 WHERE Col2 IS NOT NULL ORDER BY Col1 DESC LIMIT 20"", 0) / QUERY(GOOGLEFINANCE(C547, ""low"", TODAY()-40, TODAY()), ""SELECT Col2 WHERE Col2 IS NOT NULL OR"&amp;"DER BY Col1 DESC LIMIT 20"", 0) - 1)))"),"#N/A")</f>
        <v>#N/A</v>
      </c>
      <c r="H547" s="35" t="str">
        <f t="shared" si="6"/>
        <v/>
      </c>
      <c r="I547" s="36" t="str">
        <f t="shared" si="7"/>
        <v/>
      </c>
      <c r="J547" s="37" t="str">
        <f>IFERROR(__xludf.DUMMYFUNCTION("IFERROR(
  IF(C547="""",, 
    IFERROR(
      GOOGLEFINANCE(C547, ""price"") * GOOGLEFINANCE(C547, ""volumeavg""), 
      GOOGLEFINANCE(C547, ""price"") * AVERAGE(QUERY(GOOGLEFINANCE(C547, ""volume"", TODAY()-40, TODAY()), ""SELECT Col2 WHERE Col2 IS NOT "&amp;"NULL ORDER BY Col1 DESC LIMIT 20"", 0))
    )
  ), 
"""")"),"")</f>
        <v/>
      </c>
      <c r="K547" s="21" t="str">
        <f>IFERROR(__xludf.DUMMYFUNCTION("IFERROR(GOOGLEFINANCE(C547, ""changepct"") / 100, """")"),"")</f>
        <v/>
      </c>
      <c r="L547" s="21" t="str">
        <f>IFERROR(__xludf.DUMMYFUNCTION("IFERROR((GOOGLEFINANCE(C547, ""price"") / INDEX(GOOGLEFINANCE(C547, ""price"", TODAY()-7, TODAY()), 2, 2)) - 1, """")"),"")</f>
        <v/>
      </c>
      <c r="M547" s="21" t="str">
        <f>IFERROR(__xludf.DUMMYFUNCTION("IFERROR((GOOGLEFINANCE(C547, ""price"") / INDEX(GOOGLEFINANCE(C547, ""price"", EDATE(TODAY(), -1), TODAY()), 2, 2)) - 1, """")"),"")</f>
        <v/>
      </c>
      <c r="N547" s="21" t="str">
        <f>IFERROR(__xludf.DUMMYFUNCTION("IFERROR((GOOGLEFINANCE(C547, ""price"") / INDEX(GOOGLEFINANCE(C547, ""price"", EDATE(TODAY(), -3), TODAY()), 2, 2)) - 1, """")"),"")</f>
        <v/>
      </c>
      <c r="O547" s="21" t="str">
        <f>IFERROR(__xludf.DUMMYFUNCTION("IFERROR((GOOGLEFINANCE(C547, ""price"") / INDEX(GOOGLEFINANCE(C547, ""price"", EDATE(TODAY(), -6), TODAY()), 2, 2)) - 1, """")"),"")</f>
        <v/>
      </c>
      <c r="P547" s="21" t="str">
        <f>IFERROR(__xludf.DUMMYFUNCTION("IFERROR((GOOGLEFINANCE(C547, ""price"") / INDEX(GOOGLEFINANCE(C547, ""price"", EDATE(TODAY(), -12), TODAY()), 2, 2)) - 1, """")"),"")</f>
        <v/>
      </c>
      <c r="Q547" s="6" t="str">
        <f>IFERROR(__xludf.DUMMYFUNCTION("AVERAGE(QUERY(GOOGLEFINANCE(C547, ""price"", TODAY()-80, TODAY()), ""SELECT Col2 WHERE Col2 IS NOT NULL ORDER BY Col1 DESC LIMIT 50"", 0))"),"#N/A")</f>
        <v>#N/A</v>
      </c>
      <c r="R547" s="24" t="str">
        <f>IFERROR(__xludf.DUMMYFUNCTION("IFERROR(
  LET(
    data, QUERY(GOOGLEFINANCE(C547,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GOOGLEFINANCE(C547, ""price"")) * 100,
    IF(calc=0, G547, calc)
  ), 
G547)"),"#N/A")</f>
        <v>#N/A</v>
      </c>
      <c r="S547" s="8" t="s">
        <v>15</v>
      </c>
      <c r="T547" s="26" t="str">
        <f>IFERROR(__xludf.DUMMYFUNCTION("IFERROR(TRANSPOSE(QUERY(IFERROR(SORT(GOOGLEFINANCE(C547, ""price"", WORKDAY(TODAY(), -40), TODAY()), 1, FALSE)), ""select Col2 where Col2 is not null limit 22 label Col2 ''"", 0)), """")"),"")</f>
        <v/>
      </c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8"/>
      <c r="AO547" s="28"/>
      <c r="AP547" s="29"/>
      <c r="AQ547" s="29" t="str">
        <f t="shared" ref="AQ547:BL547" si="550">T547/T$2</f>
        <v>#N/A</v>
      </c>
      <c r="AR547" s="29" t="str">
        <f t="shared" si="550"/>
        <v>#DIV/0!</v>
      </c>
      <c r="AS547" s="29" t="str">
        <f t="shared" si="550"/>
        <v>#DIV/0!</v>
      </c>
      <c r="AT547" s="29" t="str">
        <f t="shared" si="550"/>
        <v>#DIV/0!</v>
      </c>
      <c r="AU547" s="29" t="str">
        <f t="shared" si="550"/>
        <v>#DIV/0!</v>
      </c>
      <c r="AV547" s="29" t="str">
        <f t="shared" si="550"/>
        <v>#DIV/0!</v>
      </c>
      <c r="AW547" s="29" t="str">
        <f t="shared" si="550"/>
        <v>#DIV/0!</v>
      </c>
      <c r="AX547" s="29" t="str">
        <f t="shared" si="550"/>
        <v>#DIV/0!</v>
      </c>
      <c r="AY547" s="29" t="str">
        <f t="shared" si="550"/>
        <v>#DIV/0!</v>
      </c>
      <c r="AZ547" s="29" t="str">
        <f t="shared" si="550"/>
        <v>#DIV/0!</v>
      </c>
      <c r="BA547" s="29" t="str">
        <f t="shared" si="550"/>
        <v>#DIV/0!</v>
      </c>
      <c r="BB547" s="29" t="str">
        <f t="shared" si="550"/>
        <v>#DIV/0!</v>
      </c>
      <c r="BC547" s="29" t="str">
        <f t="shared" si="550"/>
        <v>#DIV/0!</v>
      </c>
      <c r="BD547" s="29" t="str">
        <f t="shared" si="550"/>
        <v>#DIV/0!</v>
      </c>
      <c r="BE547" s="29" t="str">
        <f t="shared" si="550"/>
        <v>#DIV/0!</v>
      </c>
      <c r="BF547" s="29" t="str">
        <f t="shared" si="550"/>
        <v>#DIV/0!</v>
      </c>
      <c r="BG547" s="29" t="str">
        <f t="shared" si="550"/>
        <v>#DIV/0!</v>
      </c>
      <c r="BH547" s="29" t="str">
        <f t="shared" si="550"/>
        <v>#DIV/0!</v>
      </c>
      <c r="BI547" s="29" t="str">
        <f t="shared" si="550"/>
        <v>#DIV/0!</v>
      </c>
      <c r="BJ547" s="29" t="str">
        <f t="shared" si="550"/>
        <v>#DIV/0!</v>
      </c>
      <c r="BK547" s="29" t="str">
        <f t="shared" si="550"/>
        <v>#DIV/0!</v>
      </c>
      <c r="BL547" s="29" t="str">
        <f t="shared" si="550"/>
        <v>#DIV/0!</v>
      </c>
      <c r="BM547" s="29" t="str">
        <f t="shared" si="3"/>
        <v>#DIV/0!</v>
      </c>
    </row>
    <row r="548">
      <c r="A548" s="16" t="str">
        <f>IFERROR(__xludf.DUMMYFUNCTION("IFERROR(SPARKLINE(SORT(MAP(TRANSPOSE(AQ548:BL548), LAMBDA(val, IF(ISNUMBER(val), PERCENTRANK(AQ548:BL548, val)+0.01, 0))), SEQUENCE(COLUMNS(AQ548:BL548)), FALSE), {""charttype"",""column""; ""color"",""chartreuse""; ""ymin"", 0; ""ymax"", 1.01; ""highcolo"&amp;"r"", ""darkgreen""; ""lowcolor"", ""red""}), """")"),"")</f>
        <v/>
      </c>
      <c r="B548" s="17" t="str">
        <f t="shared" si="4"/>
        <v/>
      </c>
      <c r="C548" s="1" t="s">
        <v>2471</v>
      </c>
      <c r="D548" s="34" t="str">
        <f>IFERROR(__xludf.DUMMYFUNCTION("IFERROR(GOOGLEFINANCE(C548, ""NAME""))"),"First Business Financial Services Inc")</f>
        <v>First Business Financial Services Inc</v>
      </c>
      <c r="E548" s="30" t="s">
        <v>268</v>
      </c>
      <c r="F548" s="38" t="str">
        <f>IFERROR(__xludf.DUMMYFUNCTION("( (GOOGLEFINANCE(C548, ""price"") - Q548) / Q548 ) / (R548 / 100)"),"Loading...")</f>
        <v>Loading...</v>
      </c>
      <c r="G548" s="20" t="str">
        <f>IFERROR(__xludf.DUMMYFUNCTION("AVERAGE(ARRAYFORMULA(100 * (QUERY(GOOGLEFINANCE(C548, ""high"", TODAY()-40, TODAY()), ""SELECT Col2 WHERE Col2 IS NOT NULL ORDER BY Col1 DESC LIMIT 20"", 0) / QUERY(GOOGLEFINANCE(C548, ""low"", TODAY()-40, TODAY()), ""SELECT Col2 WHERE Col2 IS NOT NULL OR"&amp;"DER BY Col1 DESC LIMIT 20"", 0) - 1)))"),"#N/A")</f>
        <v>#N/A</v>
      </c>
      <c r="H548" s="35" t="str">
        <f t="shared" si="6"/>
        <v/>
      </c>
      <c r="I548" s="36" t="str">
        <f t="shared" si="7"/>
        <v/>
      </c>
      <c r="J548" s="37" t="str">
        <f>IFERROR(__xludf.DUMMYFUNCTION("IFERROR(
  IF(C548="""",, 
    IFERROR(
      GOOGLEFINANCE(C548, ""price"") * GOOGLEFINANCE(C548, ""volumeavg""), 
      GOOGLEFINANCE(C548, ""price"") * AVERAGE(QUERY(GOOGLEFINANCE(C548, ""volume"", TODAY()-40, TODAY()), ""SELECT Col2 WHERE Col2 IS NOT "&amp;"NULL ORDER BY Col1 DESC LIMIT 20"", 0))
    )
  ), 
"""")"),"")</f>
        <v/>
      </c>
      <c r="K548" s="21" t="str">
        <f>IFERROR(__xludf.DUMMYFUNCTION("IFERROR(GOOGLEFINANCE(C548, ""changepct"") / 100, """")"),"")</f>
        <v/>
      </c>
      <c r="L548" s="21" t="str">
        <f>IFERROR(__xludf.DUMMYFUNCTION("IFERROR((GOOGLEFINANCE(C548, ""price"") / INDEX(GOOGLEFINANCE(C548, ""price"", TODAY()-7, TODAY()), 2, 2)) - 1, """")"),"")</f>
        <v/>
      </c>
      <c r="M548" s="21" t="str">
        <f>IFERROR(__xludf.DUMMYFUNCTION("IFERROR((GOOGLEFINANCE(C548, ""price"") / INDEX(GOOGLEFINANCE(C548, ""price"", EDATE(TODAY(), -1), TODAY()), 2, 2)) - 1, """")"),"")</f>
        <v/>
      </c>
      <c r="N548" s="21" t="str">
        <f>IFERROR(__xludf.DUMMYFUNCTION("IFERROR((GOOGLEFINANCE(C548, ""price"") / INDEX(GOOGLEFINANCE(C548, ""price"", EDATE(TODAY(), -3), TODAY()), 2, 2)) - 1, """")"),"")</f>
        <v/>
      </c>
      <c r="O548" s="21" t="str">
        <f>IFERROR(__xludf.DUMMYFUNCTION("IFERROR((GOOGLEFINANCE(C548, ""price"") / INDEX(GOOGLEFINANCE(C548, ""price"", EDATE(TODAY(), -6), TODAY()), 2, 2)) - 1, """")"),"")</f>
        <v/>
      </c>
      <c r="P548" s="21" t="str">
        <f>IFERROR(__xludf.DUMMYFUNCTION("IFERROR((GOOGLEFINANCE(C548, ""price"") / INDEX(GOOGLEFINANCE(C548, ""price"", EDATE(TODAY(), -12), TODAY()), 2, 2)) - 1, """")"),"")</f>
        <v/>
      </c>
      <c r="Q548" s="6" t="str">
        <f>IFERROR(__xludf.DUMMYFUNCTION("AVERAGE(QUERY(GOOGLEFINANCE(C548, ""price"", TODAY()-80, TODAY()), ""SELECT Col2 WHERE Col2 IS NOT NULL ORDER BY Col1 DESC LIMIT 50"", 0))"),"#N/A")</f>
        <v>#N/A</v>
      </c>
      <c r="R548" s="24" t="str">
        <f>IFERROR(__xludf.DUMMYFUNCTION("IFERROR(
  LET(
    data, QUERY(GOOGLEFINANCE(C548,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GOOGLEFINANCE(C548, ""price"")) * 100,
    IF(calc=0, G548, calc)
  ), 
G548)"),"#N/A")</f>
        <v>#N/A</v>
      </c>
      <c r="S548" s="8" t="s">
        <v>15</v>
      </c>
      <c r="T548" s="26" t="str">
        <f>IFERROR(__xludf.DUMMYFUNCTION("IFERROR(TRANSPOSE(QUERY(IFERROR(SORT(GOOGLEFINANCE(C548, ""price"", WORKDAY(TODAY(), -40), TODAY()), 1, FALSE)), ""select Col2 where Col2 is not null limit 22 label Col2 ''"", 0)), """")"),"")</f>
        <v/>
      </c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8"/>
      <c r="AO548" s="28"/>
      <c r="AP548" s="29"/>
      <c r="AQ548" s="29" t="str">
        <f t="shared" ref="AQ548:BL548" si="551">T548/T$2</f>
        <v>#N/A</v>
      </c>
      <c r="AR548" s="29" t="str">
        <f t="shared" si="551"/>
        <v>#DIV/0!</v>
      </c>
      <c r="AS548" s="29" t="str">
        <f t="shared" si="551"/>
        <v>#DIV/0!</v>
      </c>
      <c r="AT548" s="29" t="str">
        <f t="shared" si="551"/>
        <v>#DIV/0!</v>
      </c>
      <c r="AU548" s="29" t="str">
        <f t="shared" si="551"/>
        <v>#DIV/0!</v>
      </c>
      <c r="AV548" s="29" t="str">
        <f t="shared" si="551"/>
        <v>#DIV/0!</v>
      </c>
      <c r="AW548" s="29" t="str">
        <f t="shared" si="551"/>
        <v>#DIV/0!</v>
      </c>
      <c r="AX548" s="29" t="str">
        <f t="shared" si="551"/>
        <v>#DIV/0!</v>
      </c>
      <c r="AY548" s="29" t="str">
        <f t="shared" si="551"/>
        <v>#DIV/0!</v>
      </c>
      <c r="AZ548" s="29" t="str">
        <f t="shared" si="551"/>
        <v>#DIV/0!</v>
      </c>
      <c r="BA548" s="29" t="str">
        <f t="shared" si="551"/>
        <v>#DIV/0!</v>
      </c>
      <c r="BB548" s="29" t="str">
        <f t="shared" si="551"/>
        <v>#DIV/0!</v>
      </c>
      <c r="BC548" s="29" t="str">
        <f t="shared" si="551"/>
        <v>#DIV/0!</v>
      </c>
      <c r="BD548" s="29" t="str">
        <f t="shared" si="551"/>
        <v>#DIV/0!</v>
      </c>
      <c r="BE548" s="29" t="str">
        <f t="shared" si="551"/>
        <v>#DIV/0!</v>
      </c>
      <c r="BF548" s="29" t="str">
        <f t="shared" si="551"/>
        <v>#DIV/0!</v>
      </c>
      <c r="BG548" s="29" t="str">
        <f t="shared" si="551"/>
        <v>#DIV/0!</v>
      </c>
      <c r="BH548" s="29" t="str">
        <f t="shared" si="551"/>
        <v>#DIV/0!</v>
      </c>
      <c r="BI548" s="29" t="str">
        <f t="shared" si="551"/>
        <v>#DIV/0!</v>
      </c>
      <c r="BJ548" s="29" t="str">
        <f t="shared" si="551"/>
        <v>#DIV/0!</v>
      </c>
      <c r="BK548" s="29" t="str">
        <f t="shared" si="551"/>
        <v>#DIV/0!</v>
      </c>
      <c r="BL548" s="29" t="str">
        <f t="shared" si="551"/>
        <v>#DIV/0!</v>
      </c>
      <c r="BM548" s="29" t="str">
        <f t="shared" si="3"/>
        <v>#DIV/0!</v>
      </c>
    </row>
    <row r="549">
      <c r="A549" s="16" t="str">
        <f>IFERROR(__xludf.DUMMYFUNCTION("IFERROR(SPARKLINE(SORT(MAP(TRANSPOSE(AQ549:BL549), LAMBDA(val, IF(ISNUMBER(val), PERCENTRANK(AQ549:BL549, val)+0.01, 0))), SEQUENCE(COLUMNS(AQ549:BL549)), FALSE), {""charttype"",""column""; ""color"",""chartreuse""; ""ymin"", 0; ""ymax"", 1.01; ""highcolo"&amp;"r"", ""darkgreen""; ""lowcolor"", ""red""}), """")"),"")</f>
        <v/>
      </c>
      <c r="B549" s="17" t="str">
        <f t="shared" si="4"/>
        <v/>
      </c>
      <c r="C549" s="1" t="s">
        <v>2475</v>
      </c>
      <c r="D549" s="34" t="str">
        <f>IFERROR(__xludf.DUMMYFUNCTION("IFERROR(GOOGLEFINANCE(C549, ""NAME""))"),"1st Source Corp")</f>
        <v>1st Source Corp</v>
      </c>
      <c r="E549" s="30" t="s">
        <v>268</v>
      </c>
      <c r="F549" s="33" t="str">
        <f>IFERROR(__xludf.DUMMYFUNCTION("( (GOOGLEFINANCE(C549, ""price"") - Q549) / Q549 ) / (R549 / 100)"),"Loading...")</f>
        <v>Loading...</v>
      </c>
      <c r="G549" s="20" t="str">
        <f>IFERROR(__xludf.DUMMYFUNCTION("AVERAGE(ARRAYFORMULA(100 * (QUERY(GOOGLEFINANCE(C549, ""high"", TODAY()-40, TODAY()), ""SELECT Col2 WHERE Col2 IS NOT NULL ORDER BY Col1 DESC LIMIT 20"", 0) / QUERY(GOOGLEFINANCE(C549, ""low"", TODAY()-40, TODAY()), ""SELECT Col2 WHERE Col2 IS NOT NULL OR"&amp;"DER BY Col1 DESC LIMIT 20"", 0) - 1)))"),"#N/A")</f>
        <v>#N/A</v>
      </c>
      <c r="H549" s="35" t="str">
        <f t="shared" si="6"/>
        <v/>
      </c>
      <c r="I549" s="36" t="str">
        <f t="shared" si="7"/>
        <v/>
      </c>
      <c r="J549" s="37" t="str">
        <f>IFERROR(__xludf.DUMMYFUNCTION("IFERROR(
  IF(C549="""",, 
    IFERROR(
      GOOGLEFINANCE(C549, ""price"") * GOOGLEFINANCE(C549, ""volumeavg""), 
      GOOGLEFINANCE(C549, ""price"") * AVERAGE(QUERY(GOOGLEFINANCE(C549, ""volume"", TODAY()-40, TODAY()), ""SELECT Col2 WHERE Col2 IS NOT "&amp;"NULL ORDER BY Col1 DESC LIMIT 20"", 0))
    )
  ), 
"""")"),"")</f>
        <v/>
      </c>
      <c r="K549" s="21" t="str">
        <f>IFERROR(__xludf.DUMMYFUNCTION("IFERROR(GOOGLEFINANCE(C549, ""changepct"") / 100, """")"),"")</f>
        <v/>
      </c>
      <c r="L549" s="21" t="str">
        <f>IFERROR(__xludf.DUMMYFUNCTION("IFERROR((GOOGLEFINANCE(C549, ""price"") / INDEX(GOOGLEFINANCE(C549, ""price"", TODAY()-7, TODAY()), 2, 2)) - 1, """")"),"")</f>
        <v/>
      </c>
      <c r="M549" s="21" t="str">
        <f>IFERROR(__xludf.DUMMYFUNCTION("IFERROR((GOOGLEFINANCE(C549, ""price"") / INDEX(GOOGLEFINANCE(C549, ""price"", EDATE(TODAY(), -1), TODAY()), 2, 2)) - 1, """")"),"")</f>
        <v/>
      </c>
      <c r="N549" s="21" t="str">
        <f>IFERROR(__xludf.DUMMYFUNCTION("IFERROR((GOOGLEFINANCE(C549, ""price"") / INDEX(GOOGLEFINANCE(C549, ""price"", EDATE(TODAY(), -3), TODAY()), 2, 2)) - 1, """")"),"")</f>
        <v/>
      </c>
      <c r="O549" s="21" t="str">
        <f>IFERROR(__xludf.DUMMYFUNCTION("IFERROR((GOOGLEFINANCE(C549, ""price"") / INDEX(GOOGLEFINANCE(C549, ""price"", EDATE(TODAY(), -6), TODAY()), 2, 2)) - 1, """")"),"")</f>
        <v/>
      </c>
      <c r="P549" s="21" t="str">
        <f>IFERROR(__xludf.DUMMYFUNCTION("IFERROR((GOOGLEFINANCE(C549, ""price"") / INDEX(GOOGLEFINANCE(C549, ""price"", EDATE(TODAY(), -12), TODAY()), 2, 2)) - 1, """")"),"")</f>
        <v/>
      </c>
      <c r="Q549" s="6" t="str">
        <f>IFERROR(__xludf.DUMMYFUNCTION("AVERAGE(QUERY(GOOGLEFINANCE(C549, ""price"", TODAY()-80, TODAY()), ""SELECT Col2 WHERE Col2 IS NOT NULL ORDER BY Col1 DESC LIMIT 50"", 0))"),"#N/A")</f>
        <v>#N/A</v>
      </c>
      <c r="R549" s="24" t="str">
        <f>IFERROR(__xludf.DUMMYFUNCTION("IFERROR(
  LET(
    data, QUERY(GOOGLEFINANCE(C549,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GOOGLEFINANCE(C549, ""price"")) * 100,
    IF(calc=0, G549, calc)
  ), 
G549)"),"#N/A")</f>
        <v>#N/A</v>
      </c>
      <c r="S549" s="8" t="s">
        <v>15</v>
      </c>
      <c r="T549" s="26" t="str">
        <f>IFERROR(__xludf.DUMMYFUNCTION("IFERROR(TRANSPOSE(QUERY(IFERROR(SORT(GOOGLEFINANCE(C549, ""price"", WORKDAY(TODAY(), -40), TODAY()), 1, FALSE)), ""select Col2 where Col2 is not null limit 22 label Col2 ''"", 0)), """")"),"")</f>
        <v/>
      </c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8"/>
      <c r="AO549" s="28"/>
      <c r="AP549" s="29"/>
      <c r="AQ549" s="29" t="str">
        <f t="shared" ref="AQ549:BL549" si="552">T549/T$2</f>
        <v>#N/A</v>
      </c>
      <c r="AR549" s="29" t="str">
        <f t="shared" si="552"/>
        <v>#DIV/0!</v>
      </c>
      <c r="AS549" s="29" t="str">
        <f t="shared" si="552"/>
        <v>#DIV/0!</v>
      </c>
      <c r="AT549" s="29" t="str">
        <f t="shared" si="552"/>
        <v>#DIV/0!</v>
      </c>
      <c r="AU549" s="29" t="str">
        <f t="shared" si="552"/>
        <v>#DIV/0!</v>
      </c>
      <c r="AV549" s="29" t="str">
        <f t="shared" si="552"/>
        <v>#DIV/0!</v>
      </c>
      <c r="AW549" s="29" t="str">
        <f t="shared" si="552"/>
        <v>#DIV/0!</v>
      </c>
      <c r="AX549" s="29" t="str">
        <f t="shared" si="552"/>
        <v>#DIV/0!</v>
      </c>
      <c r="AY549" s="29" t="str">
        <f t="shared" si="552"/>
        <v>#DIV/0!</v>
      </c>
      <c r="AZ549" s="29" t="str">
        <f t="shared" si="552"/>
        <v>#DIV/0!</v>
      </c>
      <c r="BA549" s="29" t="str">
        <f t="shared" si="552"/>
        <v>#DIV/0!</v>
      </c>
      <c r="BB549" s="29" t="str">
        <f t="shared" si="552"/>
        <v>#DIV/0!</v>
      </c>
      <c r="BC549" s="29" t="str">
        <f t="shared" si="552"/>
        <v>#DIV/0!</v>
      </c>
      <c r="BD549" s="29" t="str">
        <f t="shared" si="552"/>
        <v>#DIV/0!</v>
      </c>
      <c r="BE549" s="29" t="str">
        <f t="shared" si="552"/>
        <v>#DIV/0!</v>
      </c>
      <c r="BF549" s="29" t="str">
        <f t="shared" si="552"/>
        <v>#DIV/0!</v>
      </c>
      <c r="BG549" s="29" t="str">
        <f t="shared" si="552"/>
        <v>#DIV/0!</v>
      </c>
      <c r="BH549" s="29" t="str">
        <f t="shared" si="552"/>
        <v>#DIV/0!</v>
      </c>
      <c r="BI549" s="29" t="str">
        <f t="shared" si="552"/>
        <v>#DIV/0!</v>
      </c>
      <c r="BJ549" s="29" t="str">
        <f t="shared" si="552"/>
        <v>#DIV/0!</v>
      </c>
      <c r="BK549" s="29" t="str">
        <f t="shared" si="552"/>
        <v>#DIV/0!</v>
      </c>
      <c r="BL549" s="29" t="str">
        <f t="shared" si="552"/>
        <v>#DIV/0!</v>
      </c>
      <c r="BM549" s="29" t="str">
        <f t="shared" si="3"/>
        <v>#DIV/0!</v>
      </c>
    </row>
    <row r="550">
      <c r="A550" s="16" t="str">
        <f>IFERROR(__xludf.DUMMYFUNCTION("IFERROR(SPARKLINE(SORT(MAP(TRANSPOSE(AQ550:BL550), LAMBDA(val, IF(ISNUMBER(val), PERCENTRANK(AQ550:BL550, val)+0.01, 0))), SEQUENCE(COLUMNS(AQ550:BL550)), FALSE), {""charttype"",""column""; ""color"",""chartreuse""; ""ymin"", 0; ""ymax"", 1.01; ""highcolo"&amp;"r"", ""darkgreen""; ""lowcolor"", ""red""}), """")"),"")</f>
        <v/>
      </c>
      <c r="B550" s="17" t="str">
        <f t="shared" si="4"/>
        <v/>
      </c>
      <c r="C550" s="1" t="s">
        <v>2479</v>
      </c>
      <c r="D550" s="34" t="str">
        <f>IFERROR(__xludf.DUMMYFUNCTION("IFERROR(GOOGLEFINANCE(C550, ""NAME""))"),"First Commonwealth Financial Corp")</f>
        <v>First Commonwealth Financial Corp</v>
      </c>
      <c r="E550" s="30" t="s">
        <v>268</v>
      </c>
      <c r="F550" s="33" t="str">
        <f>IFERROR(__xludf.DUMMYFUNCTION("( (GOOGLEFINANCE(C550, ""price"") - Q550) / Q550 ) / (R550 / 100)"),"Loading...")</f>
        <v>Loading...</v>
      </c>
      <c r="G550" s="20" t="str">
        <f>IFERROR(__xludf.DUMMYFUNCTION("AVERAGE(ARRAYFORMULA(100 * (QUERY(GOOGLEFINANCE(C550, ""high"", TODAY()-40, TODAY()), ""SELECT Col2 WHERE Col2 IS NOT NULL ORDER BY Col1 DESC LIMIT 20"", 0) / QUERY(GOOGLEFINANCE(C550, ""low"", TODAY()-40, TODAY()), ""SELECT Col2 WHERE Col2 IS NOT NULL OR"&amp;"DER BY Col1 DESC LIMIT 20"", 0) - 1)))"),"#N/A")</f>
        <v>#N/A</v>
      </c>
      <c r="H550" s="35" t="str">
        <f t="shared" si="6"/>
        <v/>
      </c>
      <c r="I550" s="36" t="str">
        <f t="shared" si="7"/>
        <v/>
      </c>
      <c r="J550" s="37" t="str">
        <f>IFERROR(__xludf.DUMMYFUNCTION("IFERROR(
  IF(C550="""",, 
    IFERROR(
      GOOGLEFINANCE(C550, ""price"") * GOOGLEFINANCE(C550, ""volumeavg""), 
      GOOGLEFINANCE(C550, ""price"") * AVERAGE(QUERY(GOOGLEFINANCE(C550, ""volume"", TODAY()-40, TODAY()), ""SELECT Col2 WHERE Col2 IS NOT "&amp;"NULL ORDER BY Col1 DESC LIMIT 20"", 0))
    )
  ), 
"""")"),"")</f>
        <v/>
      </c>
      <c r="K550" s="21" t="str">
        <f>IFERROR(__xludf.DUMMYFUNCTION("IFERROR(GOOGLEFINANCE(C550, ""changepct"") / 100, """")"),"")</f>
        <v/>
      </c>
      <c r="L550" s="21" t="str">
        <f>IFERROR(__xludf.DUMMYFUNCTION("IFERROR((GOOGLEFINANCE(C550, ""price"") / INDEX(GOOGLEFINANCE(C550, ""price"", TODAY()-7, TODAY()), 2, 2)) - 1, """")"),"")</f>
        <v/>
      </c>
      <c r="M550" s="21" t="str">
        <f>IFERROR(__xludf.DUMMYFUNCTION("IFERROR((GOOGLEFINANCE(C550, ""price"") / INDEX(GOOGLEFINANCE(C550, ""price"", EDATE(TODAY(), -1), TODAY()), 2, 2)) - 1, """")"),"")</f>
        <v/>
      </c>
      <c r="N550" s="21" t="str">
        <f>IFERROR(__xludf.DUMMYFUNCTION("IFERROR((GOOGLEFINANCE(C550, ""price"") / INDEX(GOOGLEFINANCE(C550, ""price"", EDATE(TODAY(), -3), TODAY()), 2, 2)) - 1, """")"),"")</f>
        <v/>
      </c>
      <c r="O550" s="21" t="str">
        <f>IFERROR(__xludf.DUMMYFUNCTION("IFERROR((GOOGLEFINANCE(C550, ""price"") / INDEX(GOOGLEFINANCE(C550, ""price"", EDATE(TODAY(), -6), TODAY()), 2, 2)) - 1, """")"),"")</f>
        <v/>
      </c>
      <c r="P550" s="21" t="str">
        <f>IFERROR(__xludf.DUMMYFUNCTION("IFERROR((GOOGLEFINANCE(C550, ""price"") / INDEX(GOOGLEFINANCE(C550, ""price"", EDATE(TODAY(), -12), TODAY()), 2, 2)) - 1, """")"),"")</f>
        <v/>
      </c>
      <c r="Q550" s="6" t="str">
        <f>IFERROR(__xludf.DUMMYFUNCTION("AVERAGE(QUERY(GOOGLEFINANCE(C550, ""price"", TODAY()-80, TODAY()), ""SELECT Col2 WHERE Col2 IS NOT NULL ORDER BY Col1 DESC LIMIT 50"", 0))"),"#N/A")</f>
        <v>#N/A</v>
      </c>
      <c r="R550" s="24" t="str">
        <f>IFERROR(__xludf.DUMMYFUNCTION("IFERROR(
  LET(
    data, QUERY(GOOGLEFINANCE(C550,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GOOGLEFINANCE(C550, ""price"")) * 100,
    IF(calc=0, G550, calc)
  ), 
G550)"),"#N/A")</f>
        <v>#N/A</v>
      </c>
      <c r="S550" s="8" t="s">
        <v>15</v>
      </c>
      <c r="T550" s="26" t="str">
        <f>IFERROR(__xludf.DUMMYFUNCTION("IFERROR(TRANSPOSE(QUERY(IFERROR(SORT(GOOGLEFINANCE(C550, ""price"", WORKDAY(TODAY(), -40), TODAY()), 1, FALSE)), ""select Col2 where Col2 is not null limit 22 label Col2 ''"", 0)), """")"),"")</f>
        <v/>
      </c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8"/>
      <c r="AO550" s="28"/>
      <c r="AP550" s="29"/>
      <c r="AQ550" s="29" t="str">
        <f t="shared" ref="AQ550:BL550" si="553">T550/T$2</f>
        <v>#N/A</v>
      </c>
      <c r="AR550" s="29" t="str">
        <f t="shared" si="553"/>
        <v>#DIV/0!</v>
      </c>
      <c r="AS550" s="29" t="str">
        <f t="shared" si="553"/>
        <v>#DIV/0!</v>
      </c>
      <c r="AT550" s="29" t="str">
        <f t="shared" si="553"/>
        <v>#DIV/0!</v>
      </c>
      <c r="AU550" s="29" t="str">
        <f t="shared" si="553"/>
        <v>#DIV/0!</v>
      </c>
      <c r="AV550" s="29" t="str">
        <f t="shared" si="553"/>
        <v>#DIV/0!</v>
      </c>
      <c r="AW550" s="29" t="str">
        <f t="shared" si="553"/>
        <v>#DIV/0!</v>
      </c>
      <c r="AX550" s="29" t="str">
        <f t="shared" si="553"/>
        <v>#DIV/0!</v>
      </c>
      <c r="AY550" s="29" t="str">
        <f t="shared" si="553"/>
        <v>#DIV/0!</v>
      </c>
      <c r="AZ550" s="29" t="str">
        <f t="shared" si="553"/>
        <v>#DIV/0!</v>
      </c>
      <c r="BA550" s="29" t="str">
        <f t="shared" si="553"/>
        <v>#DIV/0!</v>
      </c>
      <c r="BB550" s="29" t="str">
        <f t="shared" si="553"/>
        <v>#DIV/0!</v>
      </c>
      <c r="BC550" s="29" t="str">
        <f t="shared" si="553"/>
        <v>#DIV/0!</v>
      </c>
      <c r="BD550" s="29" t="str">
        <f t="shared" si="553"/>
        <v>#DIV/0!</v>
      </c>
      <c r="BE550" s="29" t="str">
        <f t="shared" si="553"/>
        <v>#DIV/0!</v>
      </c>
      <c r="BF550" s="29" t="str">
        <f t="shared" si="553"/>
        <v>#DIV/0!</v>
      </c>
      <c r="BG550" s="29" t="str">
        <f t="shared" si="553"/>
        <v>#DIV/0!</v>
      </c>
      <c r="BH550" s="29" t="str">
        <f t="shared" si="553"/>
        <v>#DIV/0!</v>
      </c>
      <c r="BI550" s="29" t="str">
        <f t="shared" si="553"/>
        <v>#DIV/0!</v>
      </c>
      <c r="BJ550" s="29" t="str">
        <f t="shared" si="553"/>
        <v>#DIV/0!</v>
      </c>
      <c r="BK550" s="29" t="str">
        <f t="shared" si="553"/>
        <v>#DIV/0!</v>
      </c>
      <c r="BL550" s="29" t="str">
        <f t="shared" si="553"/>
        <v>#DIV/0!</v>
      </c>
      <c r="BM550" s="29" t="str">
        <f t="shared" si="3"/>
        <v>#DIV/0!</v>
      </c>
    </row>
    <row r="551">
      <c r="A551" s="16" t="str">
        <f>IFERROR(__xludf.DUMMYFUNCTION("IFERROR(SPARKLINE(SORT(MAP(TRANSPOSE(AQ551:BL551), LAMBDA(val, IF(ISNUMBER(val), PERCENTRANK(AQ551:BL551, val)+0.01, 0))), SEQUENCE(COLUMNS(AQ551:BL551)), FALSE), {""charttype"",""column""; ""color"",""chartreuse""; ""ymin"", 0; ""ymax"", 1.01; ""highcolo"&amp;"r"", ""darkgreen""; ""lowcolor"", ""red""}), """")"),"")</f>
        <v/>
      </c>
      <c r="B551" s="17" t="str">
        <f t="shared" si="4"/>
        <v/>
      </c>
      <c r="C551" s="1" t="s">
        <v>2483</v>
      </c>
      <c r="D551" s="34" t="str">
        <f>IFERROR(__xludf.DUMMYFUNCTION("IFERROR(GOOGLEFINANCE(C551, ""NAME""))"),"FB Financial Corp")</f>
        <v>FB Financial Corp</v>
      </c>
      <c r="E551" s="30" t="s">
        <v>268</v>
      </c>
      <c r="F551" s="33" t="str">
        <f>IFERROR(__xludf.DUMMYFUNCTION("( (GOOGLEFINANCE(C551, ""price"") - Q551) / Q551 ) / (R551 / 100)"),"Loading...")</f>
        <v>Loading...</v>
      </c>
      <c r="G551" s="20" t="str">
        <f>IFERROR(__xludf.DUMMYFUNCTION("AVERAGE(ARRAYFORMULA(100 * (QUERY(GOOGLEFINANCE(C551, ""high"", TODAY()-40, TODAY()), ""SELECT Col2 WHERE Col2 IS NOT NULL ORDER BY Col1 DESC LIMIT 20"", 0) / QUERY(GOOGLEFINANCE(C551, ""low"", TODAY()-40, TODAY()), ""SELECT Col2 WHERE Col2 IS NOT NULL OR"&amp;"DER BY Col1 DESC LIMIT 20"", 0) - 1)))"),"#N/A")</f>
        <v>#N/A</v>
      </c>
      <c r="H551" s="35" t="str">
        <f t="shared" si="6"/>
        <v/>
      </c>
      <c r="I551" s="36" t="str">
        <f t="shared" si="7"/>
        <v/>
      </c>
      <c r="J551" s="37" t="str">
        <f>IFERROR(__xludf.DUMMYFUNCTION("IFERROR(
  IF(C551="""",, 
    IFERROR(
      GOOGLEFINANCE(C551, ""price"") * GOOGLEFINANCE(C551, ""volumeavg""), 
      GOOGLEFINANCE(C551, ""price"") * AVERAGE(QUERY(GOOGLEFINANCE(C551, ""volume"", TODAY()-40, TODAY()), ""SELECT Col2 WHERE Col2 IS NOT "&amp;"NULL ORDER BY Col1 DESC LIMIT 20"", 0))
    )
  ), 
"""")"),"")</f>
        <v/>
      </c>
      <c r="K551" s="21" t="str">
        <f>IFERROR(__xludf.DUMMYFUNCTION("IFERROR(GOOGLEFINANCE(C551, ""changepct"") / 100, """")"),"")</f>
        <v/>
      </c>
      <c r="L551" s="21" t="str">
        <f>IFERROR(__xludf.DUMMYFUNCTION("IFERROR((GOOGLEFINANCE(C551, ""price"") / INDEX(GOOGLEFINANCE(C551, ""price"", TODAY()-7, TODAY()), 2, 2)) - 1, """")"),"")</f>
        <v/>
      </c>
      <c r="M551" s="21" t="str">
        <f>IFERROR(__xludf.DUMMYFUNCTION("IFERROR((GOOGLEFINANCE(C551, ""price"") / INDEX(GOOGLEFINANCE(C551, ""price"", EDATE(TODAY(), -1), TODAY()), 2, 2)) - 1, """")"),"")</f>
        <v/>
      </c>
      <c r="N551" s="21" t="str">
        <f>IFERROR(__xludf.DUMMYFUNCTION("IFERROR((GOOGLEFINANCE(C551, ""price"") / INDEX(GOOGLEFINANCE(C551, ""price"", EDATE(TODAY(), -3), TODAY()), 2, 2)) - 1, """")"),"")</f>
        <v/>
      </c>
      <c r="O551" s="21" t="str">
        <f>IFERROR(__xludf.DUMMYFUNCTION("IFERROR((GOOGLEFINANCE(C551, ""price"") / INDEX(GOOGLEFINANCE(C551, ""price"", EDATE(TODAY(), -6), TODAY()), 2, 2)) - 1, """")"),"")</f>
        <v/>
      </c>
      <c r="P551" s="21" t="str">
        <f>IFERROR(__xludf.DUMMYFUNCTION("IFERROR((GOOGLEFINANCE(C551, ""price"") / INDEX(GOOGLEFINANCE(C551, ""price"", EDATE(TODAY(), -12), TODAY()), 2, 2)) - 1, """")"),"")</f>
        <v/>
      </c>
      <c r="Q551" s="6" t="str">
        <f>IFERROR(__xludf.DUMMYFUNCTION("AVERAGE(QUERY(GOOGLEFINANCE(C551, ""price"", TODAY()-80, TODAY()), ""SELECT Col2 WHERE Col2 IS NOT NULL ORDER BY Col1 DESC LIMIT 50"", 0))"),"#N/A")</f>
        <v>#N/A</v>
      </c>
      <c r="R551" s="24" t="str">
        <f>IFERROR(__xludf.DUMMYFUNCTION("IFERROR(
  LET(
    data, QUERY(GOOGLEFINANCE(C551,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GOOGLEFINANCE(C551, ""price"")) * 100,
    IF(calc=0, G551, calc)
  ), 
G551)"),"#N/A")</f>
        <v>#N/A</v>
      </c>
      <c r="S551" s="8" t="s">
        <v>15</v>
      </c>
      <c r="T551" s="26" t="str">
        <f>IFERROR(__xludf.DUMMYFUNCTION("IFERROR(TRANSPOSE(QUERY(IFERROR(SORT(GOOGLEFINANCE(C551, ""price"", WORKDAY(TODAY(), -40), TODAY()), 1, FALSE)), ""select Col2 where Col2 is not null limit 22 label Col2 ''"", 0)), """")"),"")</f>
        <v/>
      </c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8"/>
      <c r="AO551" s="28"/>
      <c r="AP551" s="29"/>
      <c r="AQ551" s="29" t="str">
        <f t="shared" ref="AQ551:BL551" si="554">T551/T$2</f>
        <v>#N/A</v>
      </c>
      <c r="AR551" s="29" t="str">
        <f t="shared" si="554"/>
        <v>#DIV/0!</v>
      </c>
      <c r="AS551" s="29" t="str">
        <f t="shared" si="554"/>
        <v>#DIV/0!</v>
      </c>
      <c r="AT551" s="29" t="str">
        <f t="shared" si="554"/>
        <v>#DIV/0!</v>
      </c>
      <c r="AU551" s="29" t="str">
        <f t="shared" si="554"/>
        <v>#DIV/0!</v>
      </c>
      <c r="AV551" s="29" t="str">
        <f t="shared" si="554"/>
        <v>#DIV/0!</v>
      </c>
      <c r="AW551" s="29" t="str">
        <f t="shared" si="554"/>
        <v>#DIV/0!</v>
      </c>
      <c r="AX551" s="29" t="str">
        <f t="shared" si="554"/>
        <v>#DIV/0!</v>
      </c>
      <c r="AY551" s="29" t="str">
        <f t="shared" si="554"/>
        <v>#DIV/0!</v>
      </c>
      <c r="AZ551" s="29" t="str">
        <f t="shared" si="554"/>
        <v>#DIV/0!</v>
      </c>
      <c r="BA551" s="29" t="str">
        <f t="shared" si="554"/>
        <v>#DIV/0!</v>
      </c>
      <c r="BB551" s="29" t="str">
        <f t="shared" si="554"/>
        <v>#DIV/0!</v>
      </c>
      <c r="BC551" s="29" t="str">
        <f t="shared" si="554"/>
        <v>#DIV/0!</v>
      </c>
      <c r="BD551" s="29" t="str">
        <f t="shared" si="554"/>
        <v>#DIV/0!</v>
      </c>
      <c r="BE551" s="29" t="str">
        <f t="shared" si="554"/>
        <v>#DIV/0!</v>
      </c>
      <c r="BF551" s="29" t="str">
        <f t="shared" si="554"/>
        <v>#DIV/0!</v>
      </c>
      <c r="BG551" s="29" t="str">
        <f t="shared" si="554"/>
        <v>#DIV/0!</v>
      </c>
      <c r="BH551" s="29" t="str">
        <f t="shared" si="554"/>
        <v>#DIV/0!</v>
      </c>
      <c r="BI551" s="29" t="str">
        <f t="shared" si="554"/>
        <v>#DIV/0!</v>
      </c>
      <c r="BJ551" s="29" t="str">
        <f t="shared" si="554"/>
        <v>#DIV/0!</v>
      </c>
      <c r="BK551" s="29" t="str">
        <f t="shared" si="554"/>
        <v>#DIV/0!</v>
      </c>
      <c r="BL551" s="29" t="str">
        <f t="shared" si="554"/>
        <v>#DIV/0!</v>
      </c>
      <c r="BM551" s="29" t="str">
        <f t="shared" si="3"/>
        <v>#DIV/0!</v>
      </c>
    </row>
    <row r="552">
      <c r="A552" s="16" t="str">
        <f>IFERROR(__xludf.DUMMYFUNCTION("IFERROR(SPARKLINE(SORT(MAP(TRANSPOSE(AQ552:BL552), LAMBDA(val, IF(ISNUMBER(val), PERCENTRANK(AQ552:BL552, val)+0.01, 0))), SEQUENCE(COLUMNS(AQ552:BL552)), FALSE), {""charttype"",""column""; ""color"",""chartreuse""; ""ymin"", 0; ""ymax"", 1.01; ""highcolo"&amp;"r"", ""darkgreen""; ""lowcolor"", ""red""}), """")"),"")</f>
        <v/>
      </c>
      <c r="B552" s="17" t="str">
        <f t="shared" si="4"/>
        <v/>
      </c>
      <c r="C552" s="1" t="s">
        <v>2487</v>
      </c>
      <c r="D552" s="34" t="str">
        <f>IFERROR(__xludf.DUMMYFUNCTION("IFERROR(GOOGLEFINANCE(C552, ""NAME""))"),"Eastern Bankshares Inc")</f>
        <v>Eastern Bankshares Inc</v>
      </c>
      <c r="E552" s="30" t="s">
        <v>268</v>
      </c>
      <c r="F552" s="33" t="str">
        <f>IFERROR(__xludf.DUMMYFUNCTION("( (GOOGLEFINANCE(C552, ""price"") - Q552) / Q552 ) / (R552 / 100)"),"Loading...")</f>
        <v>Loading...</v>
      </c>
      <c r="G552" s="20" t="str">
        <f>IFERROR(__xludf.DUMMYFUNCTION("AVERAGE(ARRAYFORMULA(100 * (QUERY(GOOGLEFINANCE(C552, ""high"", TODAY()-40, TODAY()), ""SELECT Col2 WHERE Col2 IS NOT NULL ORDER BY Col1 DESC LIMIT 20"", 0) / QUERY(GOOGLEFINANCE(C552, ""low"", TODAY()-40, TODAY()), ""SELECT Col2 WHERE Col2 IS NOT NULL OR"&amp;"DER BY Col1 DESC LIMIT 20"", 0) - 1)))"),"#N/A")</f>
        <v>#N/A</v>
      </c>
      <c r="H552" s="35" t="str">
        <f t="shared" si="6"/>
        <v/>
      </c>
      <c r="I552" s="36" t="str">
        <f t="shared" si="7"/>
        <v/>
      </c>
      <c r="J552" s="37" t="str">
        <f>IFERROR(__xludf.DUMMYFUNCTION("IFERROR(
  IF(C552="""",, 
    IFERROR(
      GOOGLEFINANCE(C552, ""price"") * GOOGLEFINANCE(C552, ""volumeavg""), 
      GOOGLEFINANCE(C552, ""price"") * AVERAGE(QUERY(GOOGLEFINANCE(C552, ""volume"", TODAY()-40, TODAY()), ""SELECT Col2 WHERE Col2 IS NOT "&amp;"NULL ORDER BY Col1 DESC LIMIT 20"", 0))
    )
  ), 
"""")"),"")</f>
        <v/>
      </c>
      <c r="K552" s="21" t="str">
        <f>IFERROR(__xludf.DUMMYFUNCTION("IFERROR(GOOGLEFINANCE(C552, ""changepct"") / 100, """")"),"")</f>
        <v/>
      </c>
      <c r="L552" s="21" t="str">
        <f>IFERROR(__xludf.DUMMYFUNCTION("IFERROR((GOOGLEFINANCE(C552, ""price"") / INDEX(GOOGLEFINANCE(C552, ""price"", TODAY()-7, TODAY()), 2, 2)) - 1, """")"),"")</f>
        <v/>
      </c>
      <c r="M552" s="21" t="str">
        <f>IFERROR(__xludf.DUMMYFUNCTION("IFERROR((GOOGLEFINANCE(C552, ""price"") / INDEX(GOOGLEFINANCE(C552, ""price"", EDATE(TODAY(), -1), TODAY()), 2, 2)) - 1, """")"),"")</f>
        <v/>
      </c>
      <c r="N552" s="21" t="str">
        <f>IFERROR(__xludf.DUMMYFUNCTION("IFERROR((GOOGLEFINANCE(C552, ""price"") / INDEX(GOOGLEFINANCE(C552, ""price"", EDATE(TODAY(), -3), TODAY()), 2, 2)) - 1, """")"),"")</f>
        <v/>
      </c>
      <c r="O552" s="21" t="str">
        <f>IFERROR(__xludf.DUMMYFUNCTION("IFERROR((GOOGLEFINANCE(C552, ""price"") / INDEX(GOOGLEFINANCE(C552, ""price"", EDATE(TODAY(), -6), TODAY()), 2, 2)) - 1, """")"),"")</f>
        <v/>
      </c>
      <c r="P552" s="21" t="str">
        <f>IFERROR(__xludf.DUMMYFUNCTION("IFERROR((GOOGLEFINANCE(C552, ""price"") / INDEX(GOOGLEFINANCE(C552, ""price"", EDATE(TODAY(), -12), TODAY()), 2, 2)) - 1, """")"),"")</f>
        <v/>
      </c>
      <c r="Q552" s="6" t="str">
        <f>IFERROR(__xludf.DUMMYFUNCTION("AVERAGE(QUERY(GOOGLEFINANCE(C552, ""price"", TODAY()-80, TODAY()), ""SELECT Col2 WHERE Col2 IS NOT NULL ORDER BY Col1 DESC LIMIT 50"", 0))"),"#N/A")</f>
        <v>#N/A</v>
      </c>
      <c r="R552" s="24" t="str">
        <f>IFERROR(__xludf.DUMMYFUNCTION("IFERROR(
  LET(
    data, QUERY(GOOGLEFINANCE(C552,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GOOGLEFINANCE(C552, ""price"")) * 100,
    IF(calc=0, G552, calc)
  ), 
G552)"),"#N/A")</f>
        <v>#N/A</v>
      </c>
      <c r="S552" s="8" t="s">
        <v>15</v>
      </c>
      <c r="T552" s="26" t="str">
        <f>IFERROR(__xludf.DUMMYFUNCTION("IFERROR(TRANSPOSE(QUERY(IFERROR(SORT(GOOGLEFINANCE(C552, ""price"", WORKDAY(TODAY(), -40), TODAY()), 1, FALSE)), ""select Col2 where Col2 is not null limit 22 label Col2 ''"", 0)), """")"),"")</f>
        <v/>
      </c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8"/>
      <c r="AO552" s="28"/>
      <c r="AP552" s="29"/>
      <c r="AQ552" s="29" t="str">
        <f t="shared" ref="AQ552:BL552" si="555">T552/T$2</f>
        <v>#N/A</v>
      </c>
      <c r="AR552" s="29" t="str">
        <f t="shared" si="555"/>
        <v>#DIV/0!</v>
      </c>
      <c r="AS552" s="29" t="str">
        <f t="shared" si="555"/>
        <v>#DIV/0!</v>
      </c>
      <c r="AT552" s="29" t="str">
        <f t="shared" si="555"/>
        <v>#DIV/0!</v>
      </c>
      <c r="AU552" s="29" t="str">
        <f t="shared" si="555"/>
        <v>#DIV/0!</v>
      </c>
      <c r="AV552" s="29" t="str">
        <f t="shared" si="555"/>
        <v>#DIV/0!</v>
      </c>
      <c r="AW552" s="29" t="str">
        <f t="shared" si="555"/>
        <v>#DIV/0!</v>
      </c>
      <c r="AX552" s="29" t="str">
        <f t="shared" si="555"/>
        <v>#DIV/0!</v>
      </c>
      <c r="AY552" s="29" t="str">
        <f t="shared" si="555"/>
        <v>#DIV/0!</v>
      </c>
      <c r="AZ552" s="29" t="str">
        <f t="shared" si="555"/>
        <v>#DIV/0!</v>
      </c>
      <c r="BA552" s="29" t="str">
        <f t="shared" si="555"/>
        <v>#DIV/0!</v>
      </c>
      <c r="BB552" s="29" t="str">
        <f t="shared" si="555"/>
        <v>#DIV/0!</v>
      </c>
      <c r="BC552" s="29" t="str">
        <f t="shared" si="555"/>
        <v>#DIV/0!</v>
      </c>
      <c r="BD552" s="29" t="str">
        <f t="shared" si="555"/>
        <v>#DIV/0!</v>
      </c>
      <c r="BE552" s="29" t="str">
        <f t="shared" si="555"/>
        <v>#DIV/0!</v>
      </c>
      <c r="BF552" s="29" t="str">
        <f t="shared" si="555"/>
        <v>#DIV/0!</v>
      </c>
      <c r="BG552" s="29" t="str">
        <f t="shared" si="555"/>
        <v>#DIV/0!</v>
      </c>
      <c r="BH552" s="29" t="str">
        <f t="shared" si="555"/>
        <v>#DIV/0!</v>
      </c>
      <c r="BI552" s="29" t="str">
        <f t="shared" si="555"/>
        <v>#DIV/0!</v>
      </c>
      <c r="BJ552" s="29" t="str">
        <f t="shared" si="555"/>
        <v>#DIV/0!</v>
      </c>
      <c r="BK552" s="29" t="str">
        <f t="shared" si="555"/>
        <v>#DIV/0!</v>
      </c>
      <c r="BL552" s="29" t="str">
        <f t="shared" si="555"/>
        <v>#DIV/0!</v>
      </c>
      <c r="BM552" s="29" t="str">
        <f t="shared" si="3"/>
        <v>#DIV/0!</v>
      </c>
    </row>
    <row r="553">
      <c r="A553" s="16" t="str">
        <f>IFERROR(__xludf.DUMMYFUNCTION("IFERROR(SPARKLINE(SORT(MAP(TRANSPOSE(AQ553:BL553), LAMBDA(val, IF(ISNUMBER(val), PERCENTRANK(AQ553:BL553, val)+0.01, 0))), SEQUENCE(COLUMNS(AQ553:BL553)), FALSE), {""charttype"",""column""; ""color"",""chartreuse""; ""ymin"", 0; ""ymax"", 1.01; ""highcolo"&amp;"r"", ""darkgreen""; ""lowcolor"", ""red""}), """")"),"")</f>
        <v/>
      </c>
      <c r="B553" s="17" t="str">
        <f t="shared" si="4"/>
        <v/>
      </c>
      <c r="C553" s="1" t="s">
        <v>2491</v>
      </c>
      <c r="D553" s="34" t="str">
        <f>IFERROR(__xludf.DUMMYFUNCTION("IFERROR(GOOGLEFINANCE(C553, ""NAME""))"),"STEL Holdings Ltd")</f>
        <v>STEL Holdings Ltd</v>
      </c>
      <c r="E553" s="30" t="s">
        <v>268</v>
      </c>
      <c r="F553" s="33" t="str">
        <f>IFERROR(__xludf.DUMMYFUNCTION("( (GOOGLEFINANCE(C553, ""price"") - Q553) / Q553 ) / (R553 / 100)"),"Loading...")</f>
        <v>Loading...</v>
      </c>
      <c r="G553" s="20" t="str">
        <f>IFERROR(__xludf.DUMMYFUNCTION("AVERAGE(ARRAYFORMULA(100 * (QUERY(GOOGLEFINANCE(C553, ""high"", TODAY()-40, TODAY()), ""SELECT Col2 WHERE Col2 IS NOT NULL ORDER BY Col1 DESC LIMIT 20"", 0) / QUERY(GOOGLEFINANCE(C553, ""low"", TODAY()-40, TODAY()), ""SELECT Col2 WHERE Col2 IS NOT NULL OR"&amp;"DER BY Col1 DESC LIMIT 20"", 0) - 1)))"),"#N/A")</f>
        <v>#N/A</v>
      </c>
      <c r="H553" s="35" t="str">
        <f t="shared" si="6"/>
        <v/>
      </c>
      <c r="I553" s="36" t="str">
        <f t="shared" si="7"/>
        <v/>
      </c>
      <c r="J553" s="37" t="str">
        <f>IFERROR(__xludf.DUMMYFUNCTION("IFERROR(
  IF(C553="""",, 
    IFERROR(
      GOOGLEFINANCE(C553, ""price"") * GOOGLEFINANCE(C553, ""volumeavg""), 
      GOOGLEFINANCE(C553, ""price"") * AVERAGE(QUERY(GOOGLEFINANCE(C553, ""volume"", TODAY()-40, TODAY()), ""SELECT Col2 WHERE Col2 IS NOT "&amp;"NULL ORDER BY Col1 DESC LIMIT 20"", 0))
    )
  ), 
"""")"),"")</f>
        <v/>
      </c>
      <c r="K553" s="21" t="str">
        <f>IFERROR(__xludf.DUMMYFUNCTION("IFERROR(GOOGLEFINANCE(C553, ""changepct"") / 100, """")"),"")</f>
        <v/>
      </c>
      <c r="L553" s="21" t="str">
        <f>IFERROR(__xludf.DUMMYFUNCTION("IFERROR((GOOGLEFINANCE(C553, ""price"") / INDEX(GOOGLEFINANCE(C553, ""price"", TODAY()-7, TODAY()), 2, 2)) - 1, """")"),"")</f>
        <v/>
      </c>
      <c r="M553" s="21" t="str">
        <f>IFERROR(__xludf.DUMMYFUNCTION("IFERROR((GOOGLEFINANCE(C553, ""price"") / INDEX(GOOGLEFINANCE(C553, ""price"", EDATE(TODAY(), -1), TODAY()), 2, 2)) - 1, """")"),"")</f>
        <v/>
      </c>
      <c r="N553" s="21" t="str">
        <f>IFERROR(__xludf.DUMMYFUNCTION("IFERROR((GOOGLEFINANCE(C553, ""price"") / INDEX(GOOGLEFINANCE(C553, ""price"", EDATE(TODAY(), -3), TODAY()), 2, 2)) - 1, """")"),"")</f>
        <v/>
      </c>
      <c r="O553" s="21" t="str">
        <f>IFERROR(__xludf.DUMMYFUNCTION("IFERROR((GOOGLEFINANCE(C553, ""price"") / INDEX(GOOGLEFINANCE(C553, ""price"", EDATE(TODAY(), -6), TODAY()), 2, 2)) - 1, """")"),"")</f>
        <v/>
      </c>
      <c r="P553" s="21" t="str">
        <f>IFERROR(__xludf.DUMMYFUNCTION("IFERROR((GOOGLEFINANCE(C553, ""price"") / INDEX(GOOGLEFINANCE(C553, ""price"", EDATE(TODAY(), -12), TODAY()), 2, 2)) - 1, """")"),"")</f>
        <v/>
      </c>
      <c r="Q553" s="6" t="str">
        <f>IFERROR(__xludf.DUMMYFUNCTION("AVERAGE(QUERY(GOOGLEFINANCE(C553, ""price"", TODAY()-80, TODAY()), ""SELECT Col2 WHERE Col2 IS NOT NULL ORDER BY Col1 DESC LIMIT 50"", 0))"),"#N/A")</f>
        <v>#N/A</v>
      </c>
      <c r="R553" s="24" t="str">
        <f>IFERROR(__xludf.DUMMYFUNCTION("IFERROR(
  LET(
    data, QUERY(GOOGLEFINANCE(C553,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GOOGLEFINANCE(C553, ""price"")) * 100,
    IF(calc=0, G553, calc)
  ), 
G553)"),"#N/A")</f>
        <v>#N/A</v>
      </c>
      <c r="S553" s="8" t="s">
        <v>15</v>
      </c>
      <c r="T553" s="26" t="str">
        <f>IFERROR(__xludf.DUMMYFUNCTION("IFERROR(TRANSPOSE(QUERY(IFERROR(SORT(GOOGLEFINANCE(C553, ""price"", WORKDAY(TODAY(), -40), TODAY()), 1, FALSE)), ""select Col2 where Col2 is not null limit 22 label Col2 ''"", 0)), """")"),"")</f>
        <v/>
      </c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8"/>
      <c r="AO553" s="28"/>
      <c r="AP553" s="29"/>
      <c r="AQ553" s="29" t="str">
        <f t="shared" ref="AQ553:BL553" si="556">T553/T$2</f>
        <v>#N/A</v>
      </c>
      <c r="AR553" s="29" t="str">
        <f t="shared" si="556"/>
        <v>#DIV/0!</v>
      </c>
      <c r="AS553" s="29" t="str">
        <f t="shared" si="556"/>
        <v>#DIV/0!</v>
      </c>
      <c r="AT553" s="29" t="str">
        <f t="shared" si="556"/>
        <v>#DIV/0!</v>
      </c>
      <c r="AU553" s="29" t="str">
        <f t="shared" si="556"/>
        <v>#DIV/0!</v>
      </c>
      <c r="AV553" s="29" t="str">
        <f t="shared" si="556"/>
        <v>#DIV/0!</v>
      </c>
      <c r="AW553" s="29" t="str">
        <f t="shared" si="556"/>
        <v>#DIV/0!</v>
      </c>
      <c r="AX553" s="29" t="str">
        <f t="shared" si="556"/>
        <v>#DIV/0!</v>
      </c>
      <c r="AY553" s="29" t="str">
        <f t="shared" si="556"/>
        <v>#DIV/0!</v>
      </c>
      <c r="AZ553" s="29" t="str">
        <f t="shared" si="556"/>
        <v>#DIV/0!</v>
      </c>
      <c r="BA553" s="29" t="str">
        <f t="shared" si="556"/>
        <v>#DIV/0!</v>
      </c>
      <c r="BB553" s="29" t="str">
        <f t="shared" si="556"/>
        <v>#DIV/0!</v>
      </c>
      <c r="BC553" s="29" t="str">
        <f t="shared" si="556"/>
        <v>#DIV/0!</v>
      </c>
      <c r="BD553" s="29" t="str">
        <f t="shared" si="556"/>
        <v>#DIV/0!</v>
      </c>
      <c r="BE553" s="29" t="str">
        <f t="shared" si="556"/>
        <v>#DIV/0!</v>
      </c>
      <c r="BF553" s="29" t="str">
        <f t="shared" si="556"/>
        <v>#DIV/0!</v>
      </c>
      <c r="BG553" s="29" t="str">
        <f t="shared" si="556"/>
        <v>#DIV/0!</v>
      </c>
      <c r="BH553" s="29" t="str">
        <f t="shared" si="556"/>
        <v>#DIV/0!</v>
      </c>
      <c r="BI553" s="29" t="str">
        <f t="shared" si="556"/>
        <v>#DIV/0!</v>
      </c>
      <c r="BJ553" s="29" t="str">
        <f t="shared" si="556"/>
        <v>#DIV/0!</v>
      </c>
      <c r="BK553" s="29" t="str">
        <f t="shared" si="556"/>
        <v>#DIV/0!</v>
      </c>
      <c r="BL553" s="29" t="str">
        <f t="shared" si="556"/>
        <v>#DIV/0!</v>
      </c>
      <c r="BM553" s="29" t="str">
        <f t="shared" si="3"/>
        <v>#DIV/0!</v>
      </c>
    </row>
    <row r="554">
      <c r="A554" s="16" t="str">
        <f>IFERROR(__xludf.DUMMYFUNCTION("IFERROR(SPARKLINE(SORT(MAP(TRANSPOSE(AQ554:BL554), LAMBDA(val, IF(ISNUMBER(val), PERCENTRANK(AQ554:BL554, val)+0.01, 0))), SEQUENCE(COLUMNS(AQ554:BL554)), FALSE), {""charttype"",""column""; ""color"",""chartreuse""; ""ymin"", 0; ""ymax"", 1.01; ""highcolo"&amp;"r"", ""darkgreen""; ""lowcolor"", ""red""}), """")"),"")</f>
        <v/>
      </c>
      <c r="B554" s="17" t="str">
        <f t="shared" si="4"/>
        <v/>
      </c>
      <c r="C554" s="1" t="s">
        <v>2495</v>
      </c>
      <c r="D554" s="34" t="str">
        <f>IFERROR(__xludf.DUMMYFUNCTION("IFERROR(GOOGLEFINANCE(C554, ""NAME""))"),"BOK Financial Corp")</f>
        <v>BOK Financial Corp</v>
      </c>
      <c r="E554" s="30" t="s">
        <v>268</v>
      </c>
      <c r="F554" s="33" t="str">
        <f>IFERROR(__xludf.DUMMYFUNCTION("( (GOOGLEFINANCE(C554, ""price"") - Q554) / Q554 ) / (R554 / 100)"),"Loading...")</f>
        <v>Loading...</v>
      </c>
      <c r="G554" s="20" t="str">
        <f>IFERROR(__xludf.DUMMYFUNCTION("AVERAGE(ARRAYFORMULA(100 * (QUERY(GOOGLEFINANCE(C554, ""high"", TODAY()-40, TODAY()), ""SELECT Col2 WHERE Col2 IS NOT NULL ORDER BY Col1 DESC LIMIT 20"", 0) / QUERY(GOOGLEFINANCE(C554, ""low"", TODAY()-40, TODAY()), ""SELECT Col2 WHERE Col2 IS NOT NULL OR"&amp;"DER BY Col1 DESC LIMIT 20"", 0) - 1)))"),"#N/A")</f>
        <v>#N/A</v>
      </c>
      <c r="H554" s="35" t="str">
        <f t="shared" si="6"/>
        <v/>
      </c>
      <c r="I554" s="36" t="str">
        <f t="shared" si="7"/>
        <v/>
      </c>
      <c r="J554" s="37" t="str">
        <f>IFERROR(__xludf.DUMMYFUNCTION("IFERROR(
  IF(C554="""",, 
    IFERROR(
      GOOGLEFINANCE(C554, ""price"") * GOOGLEFINANCE(C554, ""volumeavg""), 
      GOOGLEFINANCE(C554, ""price"") * AVERAGE(QUERY(GOOGLEFINANCE(C554, ""volume"", TODAY()-40, TODAY()), ""SELECT Col2 WHERE Col2 IS NOT "&amp;"NULL ORDER BY Col1 DESC LIMIT 20"", 0))
    )
  ), 
"""")"),"")</f>
        <v/>
      </c>
      <c r="K554" s="21" t="str">
        <f>IFERROR(__xludf.DUMMYFUNCTION("IFERROR(GOOGLEFINANCE(C554, ""changepct"") / 100, """")"),"")</f>
        <v/>
      </c>
      <c r="L554" s="21" t="str">
        <f>IFERROR(__xludf.DUMMYFUNCTION("IFERROR((GOOGLEFINANCE(C554, ""price"") / INDEX(GOOGLEFINANCE(C554, ""price"", TODAY()-7, TODAY()), 2, 2)) - 1, """")"),"")</f>
        <v/>
      </c>
      <c r="M554" s="21" t="str">
        <f>IFERROR(__xludf.DUMMYFUNCTION("IFERROR((GOOGLEFINANCE(C554, ""price"") / INDEX(GOOGLEFINANCE(C554, ""price"", EDATE(TODAY(), -1), TODAY()), 2, 2)) - 1, """")"),"")</f>
        <v/>
      </c>
      <c r="N554" s="21" t="str">
        <f>IFERROR(__xludf.DUMMYFUNCTION("IFERROR((GOOGLEFINANCE(C554, ""price"") / INDEX(GOOGLEFINANCE(C554, ""price"", EDATE(TODAY(), -3), TODAY()), 2, 2)) - 1, """")"),"")</f>
        <v/>
      </c>
      <c r="O554" s="21" t="str">
        <f>IFERROR(__xludf.DUMMYFUNCTION("IFERROR((GOOGLEFINANCE(C554, ""price"") / INDEX(GOOGLEFINANCE(C554, ""price"", EDATE(TODAY(), -6), TODAY()), 2, 2)) - 1, """")"),"")</f>
        <v/>
      </c>
      <c r="P554" s="21" t="str">
        <f>IFERROR(__xludf.DUMMYFUNCTION("IFERROR((GOOGLEFINANCE(C554, ""price"") / INDEX(GOOGLEFINANCE(C554, ""price"", EDATE(TODAY(), -12), TODAY()), 2, 2)) - 1, """")"),"")</f>
        <v/>
      </c>
      <c r="Q554" s="6" t="str">
        <f>IFERROR(__xludf.DUMMYFUNCTION("AVERAGE(QUERY(GOOGLEFINANCE(C554, ""price"", TODAY()-80, TODAY()), ""SELECT Col2 WHERE Col2 IS NOT NULL ORDER BY Col1 DESC LIMIT 50"", 0))"),"#N/A")</f>
        <v>#N/A</v>
      </c>
      <c r="R554" s="24" t="str">
        <f>IFERROR(__xludf.DUMMYFUNCTION("IFERROR(
  LET(
    data, QUERY(GOOGLEFINANCE(C554,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GOOGLEFINANCE(C554, ""price"")) * 100,
    IF(calc=0, G554, calc)
  ), 
G554)"),"#N/A")</f>
        <v>#N/A</v>
      </c>
      <c r="S554" s="8" t="s">
        <v>15</v>
      </c>
      <c r="T554" s="26" t="str">
        <f>IFERROR(__xludf.DUMMYFUNCTION("IFERROR(TRANSPOSE(QUERY(IFERROR(SORT(GOOGLEFINANCE(C554, ""price"", WORKDAY(TODAY(), -40), TODAY()), 1, FALSE)), ""select Col2 where Col2 is not null limit 22 label Col2 ''"", 0)), """")"),"")</f>
        <v/>
      </c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8"/>
      <c r="AO554" s="28"/>
      <c r="AP554" s="29"/>
      <c r="AQ554" s="29" t="str">
        <f t="shared" ref="AQ554:BL554" si="557">T554/T$2</f>
        <v>#N/A</v>
      </c>
      <c r="AR554" s="29" t="str">
        <f t="shared" si="557"/>
        <v>#DIV/0!</v>
      </c>
      <c r="AS554" s="29" t="str">
        <f t="shared" si="557"/>
        <v>#DIV/0!</v>
      </c>
      <c r="AT554" s="29" t="str">
        <f t="shared" si="557"/>
        <v>#DIV/0!</v>
      </c>
      <c r="AU554" s="29" t="str">
        <f t="shared" si="557"/>
        <v>#DIV/0!</v>
      </c>
      <c r="AV554" s="29" t="str">
        <f t="shared" si="557"/>
        <v>#DIV/0!</v>
      </c>
      <c r="AW554" s="29" t="str">
        <f t="shared" si="557"/>
        <v>#DIV/0!</v>
      </c>
      <c r="AX554" s="29" t="str">
        <f t="shared" si="557"/>
        <v>#DIV/0!</v>
      </c>
      <c r="AY554" s="29" t="str">
        <f t="shared" si="557"/>
        <v>#DIV/0!</v>
      </c>
      <c r="AZ554" s="29" t="str">
        <f t="shared" si="557"/>
        <v>#DIV/0!</v>
      </c>
      <c r="BA554" s="29" t="str">
        <f t="shared" si="557"/>
        <v>#DIV/0!</v>
      </c>
      <c r="BB554" s="29" t="str">
        <f t="shared" si="557"/>
        <v>#DIV/0!</v>
      </c>
      <c r="BC554" s="29" t="str">
        <f t="shared" si="557"/>
        <v>#DIV/0!</v>
      </c>
      <c r="BD554" s="29" t="str">
        <f t="shared" si="557"/>
        <v>#DIV/0!</v>
      </c>
      <c r="BE554" s="29" t="str">
        <f t="shared" si="557"/>
        <v>#DIV/0!</v>
      </c>
      <c r="BF554" s="29" t="str">
        <f t="shared" si="557"/>
        <v>#DIV/0!</v>
      </c>
      <c r="BG554" s="29" t="str">
        <f t="shared" si="557"/>
        <v>#DIV/0!</v>
      </c>
      <c r="BH554" s="29" t="str">
        <f t="shared" si="557"/>
        <v>#DIV/0!</v>
      </c>
      <c r="BI554" s="29" t="str">
        <f t="shared" si="557"/>
        <v>#DIV/0!</v>
      </c>
      <c r="BJ554" s="29" t="str">
        <f t="shared" si="557"/>
        <v>#DIV/0!</v>
      </c>
      <c r="BK554" s="29" t="str">
        <f t="shared" si="557"/>
        <v>#DIV/0!</v>
      </c>
      <c r="BL554" s="29" t="str">
        <f t="shared" si="557"/>
        <v>#DIV/0!</v>
      </c>
      <c r="BM554" s="29" t="str">
        <f t="shared" si="3"/>
        <v>#DIV/0!</v>
      </c>
    </row>
    <row r="555">
      <c r="A555" s="16" t="str">
        <f>IFERROR(__xludf.DUMMYFUNCTION("IFERROR(SPARKLINE(SORT(MAP(TRANSPOSE(AQ555:BL555), LAMBDA(val, IF(ISNUMBER(val), PERCENTRANK(AQ555:BL555, val)+0.01, 0))), SEQUENCE(COLUMNS(AQ555:BL555)), FALSE), {""charttype"",""column""; ""color"",""chartreuse""; ""ymin"", 0; ""ymax"", 1.01; ""highcolo"&amp;"r"", ""darkgreen""; ""lowcolor"", ""red""}), """")"),"")</f>
        <v/>
      </c>
      <c r="B555" s="17" t="str">
        <f t="shared" si="4"/>
        <v/>
      </c>
      <c r="C555" s="1" t="s">
        <v>2499</v>
      </c>
      <c r="D555" s="34" t="str">
        <f>IFERROR(__xludf.DUMMYFUNCTION("IFERROR(GOOGLEFINANCE(C555, ""NAME""))"),"Valley National Bancorp")</f>
        <v>Valley National Bancorp</v>
      </c>
      <c r="E555" s="30" t="s">
        <v>268</v>
      </c>
      <c r="F555" s="33" t="str">
        <f>IFERROR(__xludf.DUMMYFUNCTION("( (GOOGLEFINANCE(C555, ""price"") - Q555) / Q555 ) / (R555 / 100)"),"Loading...")</f>
        <v>Loading...</v>
      </c>
      <c r="G555" s="20" t="str">
        <f>IFERROR(__xludf.DUMMYFUNCTION("AVERAGE(ARRAYFORMULA(100 * (QUERY(GOOGLEFINANCE(C555, ""high"", TODAY()-40, TODAY()), ""SELECT Col2 WHERE Col2 IS NOT NULL ORDER BY Col1 DESC LIMIT 20"", 0) / QUERY(GOOGLEFINANCE(C555, ""low"", TODAY()-40, TODAY()), ""SELECT Col2 WHERE Col2 IS NOT NULL OR"&amp;"DER BY Col1 DESC LIMIT 20"", 0) - 1)))"),"#N/A")</f>
        <v>#N/A</v>
      </c>
      <c r="H555" s="35" t="str">
        <f t="shared" si="6"/>
        <v/>
      </c>
      <c r="I555" s="36" t="str">
        <f t="shared" si="7"/>
        <v/>
      </c>
      <c r="J555" s="37" t="str">
        <f>IFERROR(__xludf.DUMMYFUNCTION("IFERROR(
  IF(C555="""",, 
    IFERROR(
      GOOGLEFINANCE(C555, ""price"") * GOOGLEFINANCE(C555, ""volumeavg""), 
      GOOGLEFINANCE(C555, ""price"") * AVERAGE(QUERY(GOOGLEFINANCE(C555, ""volume"", TODAY()-40, TODAY()), ""SELECT Col2 WHERE Col2 IS NOT "&amp;"NULL ORDER BY Col1 DESC LIMIT 20"", 0))
    )
  ), 
"""")"),"")</f>
        <v/>
      </c>
      <c r="K555" s="21" t="str">
        <f>IFERROR(__xludf.DUMMYFUNCTION("IFERROR(GOOGLEFINANCE(C555, ""changepct"") / 100, """")"),"")</f>
        <v/>
      </c>
      <c r="L555" s="21" t="str">
        <f>IFERROR(__xludf.DUMMYFUNCTION("IFERROR((GOOGLEFINANCE(C555, ""price"") / INDEX(GOOGLEFINANCE(C555, ""price"", TODAY()-7, TODAY()), 2, 2)) - 1, """")"),"")</f>
        <v/>
      </c>
      <c r="M555" s="21" t="str">
        <f>IFERROR(__xludf.DUMMYFUNCTION("IFERROR((GOOGLEFINANCE(C555, ""price"") / INDEX(GOOGLEFINANCE(C555, ""price"", EDATE(TODAY(), -1), TODAY()), 2, 2)) - 1, """")"),"")</f>
        <v/>
      </c>
      <c r="N555" s="21" t="str">
        <f>IFERROR(__xludf.DUMMYFUNCTION("IFERROR((GOOGLEFINANCE(C555, ""price"") / INDEX(GOOGLEFINANCE(C555, ""price"", EDATE(TODAY(), -3), TODAY()), 2, 2)) - 1, """")"),"")</f>
        <v/>
      </c>
      <c r="O555" s="21" t="str">
        <f>IFERROR(__xludf.DUMMYFUNCTION("IFERROR((GOOGLEFINANCE(C555, ""price"") / INDEX(GOOGLEFINANCE(C555, ""price"", EDATE(TODAY(), -6), TODAY()), 2, 2)) - 1, """")"),"")</f>
        <v/>
      </c>
      <c r="P555" s="21" t="str">
        <f>IFERROR(__xludf.DUMMYFUNCTION("IFERROR((GOOGLEFINANCE(C555, ""price"") / INDEX(GOOGLEFINANCE(C555, ""price"", EDATE(TODAY(), -12), TODAY()), 2, 2)) - 1, """")"),"")</f>
        <v/>
      </c>
      <c r="Q555" s="6" t="str">
        <f>IFERROR(__xludf.DUMMYFUNCTION("AVERAGE(QUERY(GOOGLEFINANCE(C555, ""price"", TODAY()-80, TODAY()), ""SELECT Col2 WHERE Col2 IS NOT NULL ORDER BY Col1 DESC LIMIT 50"", 0))"),"#N/A")</f>
        <v>#N/A</v>
      </c>
      <c r="R555" s="24" t="str">
        <f>IFERROR(__xludf.DUMMYFUNCTION("IFERROR(
  LET(
    data, QUERY(GOOGLEFINANCE(C555,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GOOGLEFINANCE(C555, ""price"")) * 100,
    IF(calc=0, G555, calc)
  ), 
G555)"),"#N/A")</f>
        <v>#N/A</v>
      </c>
      <c r="S555" s="8" t="s">
        <v>15</v>
      </c>
      <c r="T555" s="26" t="str">
        <f>IFERROR(__xludf.DUMMYFUNCTION("IFERROR(TRANSPOSE(QUERY(IFERROR(SORT(GOOGLEFINANCE(C555, ""price"", WORKDAY(TODAY(), -40), TODAY()), 1, FALSE)), ""select Col2 where Col2 is not null limit 22 label Col2 ''"", 0)), """")"),"")</f>
        <v/>
      </c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8"/>
      <c r="AO555" s="28"/>
      <c r="AP555" s="29"/>
      <c r="AQ555" s="29" t="str">
        <f t="shared" ref="AQ555:BL555" si="558">T555/T$2</f>
        <v>#N/A</v>
      </c>
      <c r="AR555" s="29" t="str">
        <f t="shared" si="558"/>
        <v>#DIV/0!</v>
      </c>
      <c r="AS555" s="29" t="str">
        <f t="shared" si="558"/>
        <v>#DIV/0!</v>
      </c>
      <c r="AT555" s="29" t="str">
        <f t="shared" si="558"/>
        <v>#DIV/0!</v>
      </c>
      <c r="AU555" s="29" t="str">
        <f t="shared" si="558"/>
        <v>#DIV/0!</v>
      </c>
      <c r="AV555" s="29" t="str">
        <f t="shared" si="558"/>
        <v>#DIV/0!</v>
      </c>
      <c r="AW555" s="29" t="str">
        <f t="shared" si="558"/>
        <v>#DIV/0!</v>
      </c>
      <c r="AX555" s="29" t="str">
        <f t="shared" si="558"/>
        <v>#DIV/0!</v>
      </c>
      <c r="AY555" s="29" t="str">
        <f t="shared" si="558"/>
        <v>#DIV/0!</v>
      </c>
      <c r="AZ555" s="29" t="str">
        <f t="shared" si="558"/>
        <v>#DIV/0!</v>
      </c>
      <c r="BA555" s="29" t="str">
        <f t="shared" si="558"/>
        <v>#DIV/0!</v>
      </c>
      <c r="BB555" s="29" t="str">
        <f t="shared" si="558"/>
        <v>#DIV/0!</v>
      </c>
      <c r="BC555" s="29" t="str">
        <f t="shared" si="558"/>
        <v>#DIV/0!</v>
      </c>
      <c r="BD555" s="29" t="str">
        <f t="shared" si="558"/>
        <v>#DIV/0!</v>
      </c>
      <c r="BE555" s="29" t="str">
        <f t="shared" si="558"/>
        <v>#DIV/0!</v>
      </c>
      <c r="BF555" s="29" t="str">
        <f t="shared" si="558"/>
        <v>#DIV/0!</v>
      </c>
      <c r="BG555" s="29" t="str">
        <f t="shared" si="558"/>
        <v>#DIV/0!</v>
      </c>
      <c r="BH555" s="29" t="str">
        <f t="shared" si="558"/>
        <v>#DIV/0!</v>
      </c>
      <c r="BI555" s="29" t="str">
        <f t="shared" si="558"/>
        <v>#DIV/0!</v>
      </c>
      <c r="BJ555" s="29" t="str">
        <f t="shared" si="558"/>
        <v>#DIV/0!</v>
      </c>
      <c r="BK555" s="29" t="str">
        <f t="shared" si="558"/>
        <v>#DIV/0!</v>
      </c>
      <c r="BL555" s="29" t="str">
        <f t="shared" si="558"/>
        <v>#DIV/0!</v>
      </c>
      <c r="BM555" s="29" t="str">
        <f t="shared" si="3"/>
        <v>#DIV/0!</v>
      </c>
    </row>
    <row r="556">
      <c r="A556" s="16" t="str">
        <f>IFERROR(__xludf.DUMMYFUNCTION("IFERROR(SPARKLINE(SORT(MAP(TRANSPOSE(AQ556:BL556), LAMBDA(val, IF(ISNUMBER(val), PERCENTRANK(AQ556:BL556, val)+0.01, 0))), SEQUENCE(COLUMNS(AQ556:BL556)), FALSE), {""charttype"",""column""; ""color"",""chartreuse""; ""ymin"", 0; ""ymax"", 1.01; ""highcolo"&amp;"r"", ""darkgreen""; ""lowcolor"", ""red""}), """")"),"")</f>
        <v/>
      </c>
      <c r="B556" s="17" t="str">
        <f t="shared" si="4"/>
        <v/>
      </c>
      <c r="C556" s="1" t="s">
        <v>2503</v>
      </c>
      <c r="D556" s="34" t="str">
        <f>IFERROR(__xludf.DUMMYFUNCTION("IFERROR(GOOGLEFINANCE(C556, ""NAME""))"),"Popular Inc")</f>
        <v>Popular Inc</v>
      </c>
      <c r="E556" s="30" t="s">
        <v>268</v>
      </c>
      <c r="F556" s="33" t="str">
        <f>IFERROR(__xludf.DUMMYFUNCTION("( (GOOGLEFINANCE(C556, ""price"") - Q556) / Q556 ) / (R556 / 100)"),"Loading...")</f>
        <v>Loading...</v>
      </c>
      <c r="G556" s="20" t="str">
        <f>IFERROR(__xludf.DUMMYFUNCTION("AVERAGE(ARRAYFORMULA(100 * (QUERY(GOOGLEFINANCE(C556, ""high"", TODAY()-40, TODAY()), ""SELECT Col2 WHERE Col2 IS NOT NULL ORDER BY Col1 DESC LIMIT 20"", 0) / QUERY(GOOGLEFINANCE(C556, ""low"", TODAY()-40, TODAY()), ""SELECT Col2 WHERE Col2 IS NOT NULL OR"&amp;"DER BY Col1 DESC LIMIT 20"", 0) - 1)))"),"#N/A")</f>
        <v>#N/A</v>
      </c>
      <c r="H556" s="35" t="str">
        <f t="shared" si="6"/>
        <v/>
      </c>
      <c r="I556" s="36" t="str">
        <f t="shared" si="7"/>
        <v/>
      </c>
      <c r="J556" s="37" t="str">
        <f>IFERROR(__xludf.DUMMYFUNCTION("IFERROR(
  IF(C556="""",, 
    IFERROR(
      GOOGLEFINANCE(C556, ""price"") * GOOGLEFINANCE(C556, ""volumeavg""), 
      GOOGLEFINANCE(C556, ""price"") * AVERAGE(QUERY(GOOGLEFINANCE(C556, ""volume"", TODAY()-40, TODAY()), ""SELECT Col2 WHERE Col2 IS NOT "&amp;"NULL ORDER BY Col1 DESC LIMIT 20"", 0))
    )
  ), 
"""")"),"")</f>
        <v/>
      </c>
      <c r="K556" s="21" t="str">
        <f>IFERROR(__xludf.DUMMYFUNCTION("IFERROR(GOOGLEFINANCE(C556, ""changepct"") / 100, """")"),"")</f>
        <v/>
      </c>
      <c r="L556" s="21" t="str">
        <f>IFERROR(__xludf.DUMMYFUNCTION("IFERROR((GOOGLEFINANCE(C556, ""price"") / INDEX(GOOGLEFINANCE(C556, ""price"", TODAY()-7, TODAY()), 2, 2)) - 1, """")"),"")</f>
        <v/>
      </c>
      <c r="M556" s="21" t="str">
        <f>IFERROR(__xludf.DUMMYFUNCTION("IFERROR((GOOGLEFINANCE(C556, ""price"") / INDEX(GOOGLEFINANCE(C556, ""price"", EDATE(TODAY(), -1), TODAY()), 2, 2)) - 1, """")"),"")</f>
        <v/>
      </c>
      <c r="N556" s="21" t="str">
        <f>IFERROR(__xludf.DUMMYFUNCTION("IFERROR((GOOGLEFINANCE(C556, ""price"") / INDEX(GOOGLEFINANCE(C556, ""price"", EDATE(TODAY(), -3), TODAY()), 2, 2)) - 1, """")"),"")</f>
        <v/>
      </c>
      <c r="O556" s="21" t="str">
        <f>IFERROR(__xludf.DUMMYFUNCTION("IFERROR((GOOGLEFINANCE(C556, ""price"") / INDEX(GOOGLEFINANCE(C556, ""price"", EDATE(TODAY(), -6), TODAY()), 2, 2)) - 1, """")"),"")</f>
        <v/>
      </c>
      <c r="P556" s="21" t="str">
        <f>IFERROR(__xludf.DUMMYFUNCTION("IFERROR((GOOGLEFINANCE(C556, ""price"") / INDEX(GOOGLEFINANCE(C556, ""price"", EDATE(TODAY(), -12), TODAY()), 2, 2)) - 1, """")"),"")</f>
        <v/>
      </c>
      <c r="Q556" s="6" t="str">
        <f>IFERROR(__xludf.DUMMYFUNCTION("AVERAGE(QUERY(GOOGLEFINANCE(C556, ""price"", TODAY()-80, TODAY()), ""SELECT Col2 WHERE Col2 IS NOT NULL ORDER BY Col1 DESC LIMIT 50"", 0))"),"#N/A")</f>
        <v>#N/A</v>
      </c>
      <c r="R556" s="24" t="str">
        <f>IFERROR(__xludf.DUMMYFUNCTION("IFERROR(
  LET(
    data, QUERY(GOOGLEFINANCE(C556,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GOOGLEFINANCE(C556, ""price"")) * 100,
    IF(calc=0, G556, calc)
  ), 
G556)"),"#N/A")</f>
        <v>#N/A</v>
      </c>
      <c r="S556" s="8" t="s">
        <v>15</v>
      </c>
      <c r="T556" s="26" t="str">
        <f>IFERROR(__xludf.DUMMYFUNCTION("IFERROR(TRANSPOSE(QUERY(IFERROR(SORT(GOOGLEFINANCE(C556, ""price"", WORKDAY(TODAY(), -40), TODAY()), 1, FALSE)), ""select Col2 where Col2 is not null limit 22 label Col2 ''"", 0)), """")"),"")</f>
        <v/>
      </c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8"/>
      <c r="AO556" s="28"/>
      <c r="AP556" s="29"/>
      <c r="AQ556" s="29" t="str">
        <f t="shared" ref="AQ556:BL556" si="559">T556/T$2</f>
        <v>#N/A</v>
      </c>
      <c r="AR556" s="29" t="str">
        <f t="shared" si="559"/>
        <v>#DIV/0!</v>
      </c>
      <c r="AS556" s="29" t="str">
        <f t="shared" si="559"/>
        <v>#DIV/0!</v>
      </c>
      <c r="AT556" s="29" t="str">
        <f t="shared" si="559"/>
        <v>#DIV/0!</v>
      </c>
      <c r="AU556" s="29" t="str">
        <f t="shared" si="559"/>
        <v>#DIV/0!</v>
      </c>
      <c r="AV556" s="29" t="str">
        <f t="shared" si="559"/>
        <v>#DIV/0!</v>
      </c>
      <c r="AW556" s="29" t="str">
        <f t="shared" si="559"/>
        <v>#DIV/0!</v>
      </c>
      <c r="AX556" s="29" t="str">
        <f t="shared" si="559"/>
        <v>#DIV/0!</v>
      </c>
      <c r="AY556" s="29" t="str">
        <f t="shared" si="559"/>
        <v>#DIV/0!</v>
      </c>
      <c r="AZ556" s="29" t="str">
        <f t="shared" si="559"/>
        <v>#DIV/0!</v>
      </c>
      <c r="BA556" s="29" t="str">
        <f t="shared" si="559"/>
        <v>#DIV/0!</v>
      </c>
      <c r="BB556" s="29" t="str">
        <f t="shared" si="559"/>
        <v>#DIV/0!</v>
      </c>
      <c r="BC556" s="29" t="str">
        <f t="shared" si="559"/>
        <v>#DIV/0!</v>
      </c>
      <c r="BD556" s="29" t="str">
        <f t="shared" si="559"/>
        <v>#DIV/0!</v>
      </c>
      <c r="BE556" s="29" t="str">
        <f t="shared" si="559"/>
        <v>#DIV/0!</v>
      </c>
      <c r="BF556" s="29" t="str">
        <f t="shared" si="559"/>
        <v>#DIV/0!</v>
      </c>
      <c r="BG556" s="29" t="str">
        <f t="shared" si="559"/>
        <v>#DIV/0!</v>
      </c>
      <c r="BH556" s="29" t="str">
        <f t="shared" si="559"/>
        <v>#DIV/0!</v>
      </c>
      <c r="BI556" s="29" t="str">
        <f t="shared" si="559"/>
        <v>#DIV/0!</v>
      </c>
      <c r="BJ556" s="29" t="str">
        <f t="shared" si="559"/>
        <v>#DIV/0!</v>
      </c>
      <c r="BK556" s="29" t="str">
        <f t="shared" si="559"/>
        <v>#DIV/0!</v>
      </c>
      <c r="BL556" s="29" t="str">
        <f t="shared" si="559"/>
        <v>#DIV/0!</v>
      </c>
      <c r="BM556" s="29" t="str">
        <f t="shared" si="3"/>
        <v>#DIV/0!</v>
      </c>
    </row>
    <row r="557">
      <c r="A557" s="16" t="str">
        <f>IFERROR(__xludf.DUMMYFUNCTION("IFERROR(SPARKLINE(SORT(MAP(TRANSPOSE(AQ557:BL557), LAMBDA(val, IF(ISNUMBER(val), PERCENTRANK(AQ557:BL557, val)+0.01, 0))), SEQUENCE(COLUMNS(AQ557:BL557)), FALSE), {""charttype"",""column""; ""color"",""chartreuse""; ""ymin"", 0; ""ymax"", 1.01; ""highcolo"&amp;"r"", ""darkgreen""; ""lowcolor"", ""red""}), """")"),"")</f>
        <v/>
      </c>
      <c r="B557" s="17" t="str">
        <f t="shared" si="4"/>
        <v/>
      </c>
      <c r="C557" s="1" t="s">
        <v>2507</v>
      </c>
      <c r="D557" s="34" t="str">
        <f>IFERROR(__xludf.DUMMYFUNCTION("IFERROR(GOOGLEFINANCE(C557, ""NAME""))"),"Stock Yards Bancorp Inc")</f>
        <v>Stock Yards Bancorp Inc</v>
      </c>
      <c r="E557" s="30" t="s">
        <v>268</v>
      </c>
      <c r="F557" s="33" t="str">
        <f>IFERROR(__xludf.DUMMYFUNCTION("( (GOOGLEFINANCE(C557, ""price"") - Q557) / Q557 ) / (R557 / 100)"),"Loading...")</f>
        <v>Loading...</v>
      </c>
      <c r="G557" s="20" t="str">
        <f>IFERROR(__xludf.DUMMYFUNCTION("AVERAGE(ARRAYFORMULA(100 * (QUERY(GOOGLEFINANCE(C557, ""high"", TODAY()-40, TODAY()), ""SELECT Col2 WHERE Col2 IS NOT NULL ORDER BY Col1 DESC LIMIT 20"", 0) / QUERY(GOOGLEFINANCE(C557, ""low"", TODAY()-40, TODAY()), ""SELECT Col2 WHERE Col2 IS NOT NULL OR"&amp;"DER BY Col1 DESC LIMIT 20"", 0) - 1)))"),"#N/A")</f>
        <v>#N/A</v>
      </c>
      <c r="H557" s="35" t="str">
        <f t="shared" si="6"/>
        <v/>
      </c>
      <c r="I557" s="36" t="str">
        <f t="shared" si="7"/>
        <v/>
      </c>
      <c r="J557" s="37" t="str">
        <f>IFERROR(__xludf.DUMMYFUNCTION("IFERROR(
  IF(C557="""",, 
    IFERROR(
      GOOGLEFINANCE(C557, ""price"") * GOOGLEFINANCE(C557, ""volumeavg""), 
      GOOGLEFINANCE(C557, ""price"") * AVERAGE(QUERY(GOOGLEFINANCE(C557, ""volume"", TODAY()-40, TODAY()), ""SELECT Col2 WHERE Col2 IS NOT "&amp;"NULL ORDER BY Col1 DESC LIMIT 20"", 0))
    )
  ), 
"""")"),"")</f>
        <v/>
      </c>
      <c r="K557" s="21" t="str">
        <f>IFERROR(__xludf.DUMMYFUNCTION("IFERROR(GOOGLEFINANCE(C557, ""changepct"") / 100, """")"),"")</f>
        <v/>
      </c>
      <c r="L557" s="21" t="str">
        <f>IFERROR(__xludf.DUMMYFUNCTION("IFERROR((GOOGLEFINANCE(C557, ""price"") / INDEX(GOOGLEFINANCE(C557, ""price"", TODAY()-7, TODAY()), 2, 2)) - 1, """")"),"")</f>
        <v/>
      </c>
      <c r="M557" s="21" t="str">
        <f>IFERROR(__xludf.DUMMYFUNCTION("IFERROR((GOOGLEFINANCE(C557, ""price"") / INDEX(GOOGLEFINANCE(C557, ""price"", EDATE(TODAY(), -1), TODAY()), 2, 2)) - 1, """")"),"")</f>
        <v/>
      </c>
      <c r="N557" s="21" t="str">
        <f>IFERROR(__xludf.DUMMYFUNCTION("IFERROR((GOOGLEFINANCE(C557, ""price"") / INDEX(GOOGLEFINANCE(C557, ""price"", EDATE(TODAY(), -3), TODAY()), 2, 2)) - 1, """")"),"")</f>
        <v/>
      </c>
      <c r="O557" s="21" t="str">
        <f>IFERROR(__xludf.DUMMYFUNCTION("IFERROR((GOOGLEFINANCE(C557, ""price"") / INDEX(GOOGLEFINANCE(C557, ""price"", EDATE(TODAY(), -6), TODAY()), 2, 2)) - 1, """")"),"")</f>
        <v/>
      </c>
      <c r="P557" s="21" t="str">
        <f>IFERROR(__xludf.DUMMYFUNCTION("IFERROR((GOOGLEFINANCE(C557, ""price"") / INDEX(GOOGLEFINANCE(C557, ""price"", EDATE(TODAY(), -12), TODAY()), 2, 2)) - 1, """")"),"")</f>
        <v/>
      </c>
      <c r="Q557" s="6" t="str">
        <f>IFERROR(__xludf.DUMMYFUNCTION("AVERAGE(QUERY(GOOGLEFINANCE(C557, ""price"", TODAY()-80, TODAY()), ""SELECT Col2 WHERE Col2 IS NOT NULL ORDER BY Col1 DESC LIMIT 50"", 0))"),"#N/A")</f>
        <v>#N/A</v>
      </c>
      <c r="R557" s="24" t="str">
        <f>IFERROR(__xludf.DUMMYFUNCTION("IFERROR(
  LET(
    data, QUERY(GOOGLEFINANCE(C557,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GOOGLEFINANCE(C557, ""price"")) * 100,
    IF(calc=0, G557, calc)
  ), 
G557)"),"#N/A")</f>
        <v>#N/A</v>
      </c>
      <c r="S557" s="8" t="s">
        <v>15</v>
      </c>
      <c r="T557" s="26" t="str">
        <f>IFERROR(__xludf.DUMMYFUNCTION("IFERROR(TRANSPOSE(QUERY(IFERROR(SORT(GOOGLEFINANCE(C557, ""price"", WORKDAY(TODAY(), -40), TODAY()), 1, FALSE)), ""select Col2 where Col2 is not null limit 22 label Col2 ''"", 0)), """")"),"")</f>
        <v/>
      </c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8"/>
      <c r="AO557" s="28"/>
      <c r="AP557" s="29"/>
      <c r="AQ557" s="29" t="str">
        <f t="shared" ref="AQ557:BL557" si="560">T557/T$2</f>
        <v>#N/A</v>
      </c>
      <c r="AR557" s="29" t="str">
        <f t="shared" si="560"/>
        <v>#DIV/0!</v>
      </c>
      <c r="AS557" s="29" t="str">
        <f t="shared" si="560"/>
        <v>#DIV/0!</v>
      </c>
      <c r="AT557" s="29" t="str">
        <f t="shared" si="560"/>
        <v>#DIV/0!</v>
      </c>
      <c r="AU557" s="29" t="str">
        <f t="shared" si="560"/>
        <v>#DIV/0!</v>
      </c>
      <c r="AV557" s="29" t="str">
        <f t="shared" si="560"/>
        <v>#DIV/0!</v>
      </c>
      <c r="AW557" s="29" t="str">
        <f t="shared" si="560"/>
        <v>#DIV/0!</v>
      </c>
      <c r="AX557" s="29" t="str">
        <f t="shared" si="560"/>
        <v>#DIV/0!</v>
      </c>
      <c r="AY557" s="29" t="str">
        <f t="shared" si="560"/>
        <v>#DIV/0!</v>
      </c>
      <c r="AZ557" s="29" t="str">
        <f t="shared" si="560"/>
        <v>#DIV/0!</v>
      </c>
      <c r="BA557" s="29" t="str">
        <f t="shared" si="560"/>
        <v>#DIV/0!</v>
      </c>
      <c r="BB557" s="29" t="str">
        <f t="shared" si="560"/>
        <v>#DIV/0!</v>
      </c>
      <c r="BC557" s="29" t="str">
        <f t="shared" si="560"/>
        <v>#DIV/0!</v>
      </c>
      <c r="BD557" s="29" t="str">
        <f t="shared" si="560"/>
        <v>#DIV/0!</v>
      </c>
      <c r="BE557" s="29" t="str">
        <f t="shared" si="560"/>
        <v>#DIV/0!</v>
      </c>
      <c r="BF557" s="29" t="str">
        <f t="shared" si="560"/>
        <v>#DIV/0!</v>
      </c>
      <c r="BG557" s="29" t="str">
        <f t="shared" si="560"/>
        <v>#DIV/0!</v>
      </c>
      <c r="BH557" s="29" t="str">
        <f t="shared" si="560"/>
        <v>#DIV/0!</v>
      </c>
      <c r="BI557" s="29" t="str">
        <f t="shared" si="560"/>
        <v>#DIV/0!</v>
      </c>
      <c r="BJ557" s="29" t="str">
        <f t="shared" si="560"/>
        <v>#DIV/0!</v>
      </c>
      <c r="BK557" s="29" t="str">
        <f t="shared" si="560"/>
        <v>#DIV/0!</v>
      </c>
      <c r="BL557" s="29" t="str">
        <f t="shared" si="560"/>
        <v>#DIV/0!</v>
      </c>
      <c r="BM557" s="29" t="str">
        <f t="shared" si="3"/>
        <v>#DIV/0!</v>
      </c>
    </row>
    <row r="558">
      <c r="A558" s="16" t="str">
        <f>IFERROR(__xludf.DUMMYFUNCTION("IFERROR(SPARKLINE(SORT(MAP(TRANSPOSE(AQ558:BL558), LAMBDA(val, IF(ISNUMBER(val), PERCENTRANK(AQ558:BL558, val)+0.01, 0))), SEQUENCE(COLUMNS(AQ558:BL558)), FALSE), {""charttype"",""column""; ""color"",""chartreuse""; ""ymin"", 0; ""ymax"", 1.01; ""highcolo"&amp;"r"", ""darkgreen""; ""lowcolor"", ""red""}), """")"),"")</f>
        <v/>
      </c>
      <c r="B558" s="17" t="str">
        <f t="shared" si="4"/>
        <v/>
      </c>
      <c r="C558" s="1" t="s">
        <v>2511</v>
      </c>
      <c r="D558" s="34" t="str">
        <f>IFERROR(__xludf.DUMMYFUNCTION("IFERROR(GOOGLEFINANCE(C558, ""NAME""))"),"Provident Financial Services Inc")</f>
        <v>Provident Financial Services Inc</v>
      </c>
      <c r="E558" s="30" t="s">
        <v>268</v>
      </c>
      <c r="F558" s="33" t="str">
        <f>IFERROR(__xludf.DUMMYFUNCTION("( (GOOGLEFINANCE(C558, ""price"") - Q558) / Q558 ) / (R558 / 100)"),"Loading...")</f>
        <v>Loading...</v>
      </c>
      <c r="G558" s="20" t="str">
        <f>IFERROR(__xludf.DUMMYFUNCTION("AVERAGE(ARRAYFORMULA(100 * (QUERY(GOOGLEFINANCE(C558, ""high"", TODAY()-40, TODAY()), ""SELECT Col2 WHERE Col2 IS NOT NULL ORDER BY Col1 DESC LIMIT 20"", 0) / QUERY(GOOGLEFINANCE(C558, ""low"", TODAY()-40, TODAY()), ""SELECT Col2 WHERE Col2 IS NOT NULL OR"&amp;"DER BY Col1 DESC LIMIT 20"", 0) - 1)))"),"#N/A")</f>
        <v>#N/A</v>
      </c>
      <c r="H558" s="35" t="str">
        <f t="shared" si="6"/>
        <v/>
      </c>
      <c r="I558" s="36" t="str">
        <f t="shared" si="7"/>
        <v/>
      </c>
      <c r="J558" s="37" t="str">
        <f>IFERROR(__xludf.DUMMYFUNCTION("IFERROR(
  IF(C558="""",, 
    IFERROR(
      GOOGLEFINANCE(C558, ""price"") * GOOGLEFINANCE(C558, ""volumeavg""), 
      GOOGLEFINANCE(C558, ""price"") * AVERAGE(QUERY(GOOGLEFINANCE(C558, ""volume"", TODAY()-40, TODAY()), ""SELECT Col2 WHERE Col2 IS NOT "&amp;"NULL ORDER BY Col1 DESC LIMIT 20"", 0))
    )
  ), 
"""")"),"")</f>
        <v/>
      </c>
      <c r="K558" s="21" t="str">
        <f>IFERROR(__xludf.DUMMYFUNCTION("IFERROR(GOOGLEFINANCE(C558, ""changepct"") / 100, """")"),"")</f>
        <v/>
      </c>
      <c r="L558" s="21" t="str">
        <f>IFERROR(__xludf.DUMMYFUNCTION("IFERROR((GOOGLEFINANCE(C558, ""price"") / INDEX(GOOGLEFINANCE(C558, ""price"", TODAY()-7, TODAY()), 2, 2)) - 1, """")"),"")</f>
        <v/>
      </c>
      <c r="M558" s="21" t="str">
        <f>IFERROR(__xludf.DUMMYFUNCTION("IFERROR((GOOGLEFINANCE(C558, ""price"") / INDEX(GOOGLEFINANCE(C558, ""price"", EDATE(TODAY(), -1), TODAY()), 2, 2)) - 1, """")"),"")</f>
        <v/>
      </c>
      <c r="N558" s="21" t="str">
        <f>IFERROR(__xludf.DUMMYFUNCTION("IFERROR((GOOGLEFINANCE(C558, ""price"") / INDEX(GOOGLEFINANCE(C558, ""price"", EDATE(TODAY(), -3), TODAY()), 2, 2)) - 1, """")"),"")</f>
        <v/>
      </c>
      <c r="O558" s="21" t="str">
        <f>IFERROR(__xludf.DUMMYFUNCTION("IFERROR((GOOGLEFINANCE(C558, ""price"") / INDEX(GOOGLEFINANCE(C558, ""price"", EDATE(TODAY(), -6), TODAY()), 2, 2)) - 1, """")"),"")</f>
        <v/>
      </c>
      <c r="P558" s="21" t="str">
        <f>IFERROR(__xludf.DUMMYFUNCTION("IFERROR((GOOGLEFINANCE(C558, ""price"") / INDEX(GOOGLEFINANCE(C558, ""price"", EDATE(TODAY(), -12), TODAY()), 2, 2)) - 1, """")"),"")</f>
        <v/>
      </c>
      <c r="Q558" s="6" t="str">
        <f>IFERROR(__xludf.DUMMYFUNCTION("AVERAGE(QUERY(GOOGLEFINANCE(C558, ""price"", TODAY()-80, TODAY()), ""SELECT Col2 WHERE Col2 IS NOT NULL ORDER BY Col1 DESC LIMIT 50"", 0))"),"#N/A")</f>
        <v>#N/A</v>
      </c>
      <c r="R558" s="24" t="str">
        <f>IFERROR(__xludf.DUMMYFUNCTION("IFERROR(
  LET(
    data, QUERY(GOOGLEFINANCE(C558,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GOOGLEFINANCE(C558, ""price"")) * 100,
    IF(calc=0, G558, calc)
  ), 
G558)"),"#N/A")</f>
        <v>#N/A</v>
      </c>
      <c r="S558" s="8" t="s">
        <v>15</v>
      </c>
      <c r="T558" s="26" t="str">
        <f>IFERROR(__xludf.DUMMYFUNCTION("IFERROR(TRANSPOSE(QUERY(IFERROR(SORT(GOOGLEFINANCE(C558, ""price"", WORKDAY(TODAY(), -40), TODAY()), 1, FALSE)), ""select Col2 where Col2 is not null limit 22 label Col2 ''"", 0)), """")"),"")</f>
        <v/>
      </c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8"/>
      <c r="AO558" s="28"/>
      <c r="AP558" s="29"/>
      <c r="AQ558" s="29" t="str">
        <f t="shared" ref="AQ558:BL558" si="561">T558/T$2</f>
        <v>#N/A</v>
      </c>
      <c r="AR558" s="29" t="str">
        <f t="shared" si="561"/>
        <v>#DIV/0!</v>
      </c>
      <c r="AS558" s="29" t="str">
        <f t="shared" si="561"/>
        <v>#DIV/0!</v>
      </c>
      <c r="AT558" s="29" t="str">
        <f t="shared" si="561"/>
        <v>#DIV/0!</v>
      </c>
      <c r="AU558" s="29" t="str">
        <f t="shared" si="561"/>
        <v>#DIV/0!</v>
      </c>
      <c r="AV558" s="29" t="str">
        <f t="shared" si="561"/>
        <v>#DIV/0!</v>
      </c>
      <c r="AW558" s="29" t="str">
        <f t="shared" si="561"/>
        <v>#DIV/0!</v>
      </c>
      <c r="AX558" s="29" t="str">
        <f t="shared" si="561"/>
        <v>#DIV/0!</v>
      </c>
      <c r="AY558" s="29" t="str">
        <f t="shared" si="561"/>
        <v>#DIV/0!</v>
      </c>
      <c r="AZ558" s="29" t="str">
        <f t="shared" si="561"/>
        <v>#DIV/0!</v>
      </c>
      <c r="BA558" s="29" t="str">
        <f t="shared" si="561"/>
        <v>#DIV/0!</v>
      </c>
      <c r="BB558" s="29" t="str">
        <f t="shared" si="561"/>
        <v>#DIV/0!</v>
      </c>
      <c r="BC558" s="29" t="str">
        <f t="shared" si="561"/>
        <v>#DIV/0!</v>
      </c>
      <c r="BD558" s="29" t="str">
        <f t="shared" si="561"/>
        <v>#DIV/0!</v>
      </c>
      <c r="BE558" s="29" t="str">
        <f t="shared" si="561"/>
        <v>#DIV/0!</v>
      </c>
      <c r="BF558" s="29" t="str">
        <f t="shared" si="561"/>
        <v>#DIV/0!</v>
      </c>
      <c r="BG558" s="29" t="str">
        <f t="shared" si="561"/>
        <v>#DIV/0!</v>
      </c>
      <c r="BH558" s="29" t="str">
        <f t="shared" si="561"/>
        <v>#DIV/0!</v>
      </c>
      <c r="BI558" s="29" t="str">
        <f t="shared" si="561"/>
        <v>#DIV/0!</v>
      </c>
      <c r="BJ558" s="29" t="str">
        <f t="shared" si="561"/>
        <v>#DIV/0!</v>
      </c>
      <c r="BK558" s="29" t="str">
        <f t="shared" si="561"/>
        <v>#DIV/0!</v>
      </c>
      <c r="BL558" s="29" t="str">
        <f t="shared" si="561"/>
        <v>#DIV/0!</v>
      </c>
      <c r="BM558" s="29" t="str">
        <f t="shared" si="3"/>
        <v>#DIV/0!</v>
      </c>
    </row>
    <row r="559">
      <c r="A559" s="16" t="str">
        <f>IFERROR(__xludf.DUMMYFUNCTION("IFERROR(SPARKLINE(SORT(MAP(TRANSPOSE(AQ559:BL559), LAMBDA(val, IF(ISNUMBER(val), PERCENTRANK(AQ559:BL559, val)+0.01, 0))), SEQUENCE(COLUMNS(AQ559:BL559)), FALSE), {""charttype"",""column""; ""color"",""chartreuse""; ""ymin"", 0; ""ymax"", 1.01; ""highcolo"&amp;"r"", ""darkgreen""; ""lowcolor"", ""red""}), """")"),"")</f>
        <v/>
      </c>
      <c r="B559" s="17" t="str">
        <f t="shared" si="4"/>
        <v/>
      </c>
      <c r="C559" s="1" t="s">
        <v>2515</v>
      </c>
      <c r="D559" s="34" t="str">
        <f>IFERROR(__xludf.DUMMYFUNCTION("IFERROR(GOOGLEFINANCE(C559, ""NAME""))"),"Axos Financial Inc")</f>
        <v>Axos Financial Inc</v>
      </c>
      <c r="E559" s="30" t="s">
        <v>268</v>
      </c>
      <c r="F559" s="33" t="str">
        <f>IFERROR(__xludf.DUMMYFUNCTION("( (GOOGLEFINANCE(C559, ""price"") - Q559) / Q559 ) / (R559 / 100)"),"Loading...")</f>
        <v>Loading...</v>
      </c>
      <c r="G559" s="20" t="str">
        <f>IFERROR(__xludf.DUMMYFUNCTION("AVERAGE(ARRAYFORMULA(100 * (QUERY(GOOGLEFINANCE(C559, ""high"", TODAY()-40, TODAY()), ""SELECT Col2 WHERE Col2 IS NOT NULL ORDER BY Col1 DESC LIMIT 20"", 0) / QUERY(GOOGLEFINANCE(C559, ""low"", TODAY()-40, TODAY()), ""SELECT Col2 WHERE Col2 IS NOT NULL OR"&amp;"DER BY Col1 DESC LIMIT 20"", 0) - 1)))"),"#N/A")</f>
        <v>#N/A</v>
      </c>
      <c r="H559" s="35" t="str">
        <f t="shared" si="6"/>
        <v/>
      </c>
      <c r="I559" s="36" t="str">
        <f t="shared" si="7"/>
        <v/>
      </c>
      <c r="J559" s="37" t="str">
        <f>IFERROR(__xludf.DUMMYFUNCTION("IFERROR(
  IF(C559="""",, 
    IFERROR(
      GOOGLEFINANCE(C559, ""price"") * GOOGLEFINANCE(C559, ""volumeavg""), 
      GOOGLEFINANCE(C559, ""price"") * AVERAGE(QUERY(GOOGLEFINANCE(C559, ""volume"", TODAY()-40, TODAY()), ""SELECT Col2 WHERE Col2 IS NOT "&amp;"NULL ORDER BY Col1 DESC LIMIT 20"", 0))
    )
  ), 
"""")"),"")</f>
        <v/>
      </c>
      <c r="K559" s="21" t="str">
        <f>IFERROR(__xludf.DUMMYFUNCTION("IFERROR(GOOGLEFINANCE(C559, ""changepct"") / 100, """")"),"")</f>
        <v/>
      </c>
      <c r="L559" s="21" t="str">
        <f>IFERROR(__xludf.DUMMYFUNCTION("IFERROR((GOOGLEFINANCE(C559, ""price"") / INDEX(GOOGLEFINANCE(C559, ""price"", TODAY()-7, TODAY()), 2, 2)) - 1, """")"),"")</f>
        <v/>
      </c>
      <c r="M559" s="21" t="str">
        <f>IFERROR(__xludf.DUMMYFUNCTION("IFERROR((GOOGLEFINANCE(C559, ""price"") / INDEX(GOOGLEFINANCE(C559, ""price"", EDATE(TODAY(), -1), TODAY()), 2, 2)) - 1, """")"),"")</f>
        <v/>
      </c>
      <c r="N559" s="21" t="str">
        <f>IFERROR(__xludf.DUMMYFUNCTION("IFERROR((GOOGLEFINANCE(C559, ""price"") / INDEX(GOOGLEFINANCE(C559, ""price"", EDATE(TODAY(), -3), TODAY()), 2, 2)) - 1, """")"),"")</f>
        <v/>
      </c>
      <c r="O559" s="21" t="str">
        <f>IFERROR(__xludf.DUMMYFUNCTION("IFERROR((GOOGLEFINANCE(C559, ""price"") / INDEX(GOOGLEFINANCE(C559, ""price"", EDATE(TODAY(), -6), TODAY()), 2, 2)) - 1, """")"),"")</f>
        <v/>
      </c>
      <c r="P559" s="21" t="str">
        <f>IFERROR(__xludf.DUMMYFUNCTION("IFERROR((GOOGLEFINANCE(C559, ""price"") / INDEX(GOOGLEFINANCE(C559, ""price"", EDATE(TODAY(), -12), TODAY()), 2, 2)) - 1, """")"),"")</f>
        <v/>
      </c>
      <c r="Q559" s="6" t="str">
        <f>IFERROR(__xludf.DUMMYFUNCTION("AVERAGE(QUERY(GOOGLEFINANCE(C559, ""price"", TODAY()-80, TODAY()), ""SELECT Col2 WHERE Col2 IS NOT NULL ORDER BY Col1 DESC LIMIT 50"", 0))"),"#N/A")</f>
        <v>#N/A</v>
      </c>
      <c r="R559" s="24" t="str">
        <f>IFERROR(__xludf.DUMMYFUNCTION("IFERROR(
  LET(
    data, QUERY(GOOGLEFINANCE(C559,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GOOGLEFINANCE(C559, ""price"")) * 100,
    IF(calc=0, G559, calc)
  ), 
G559)"),"#N/A")</f>
        <v>#N/A</v>
      </c>
      <c r="S559" s="8" t="s">
        <v>15</v>
      </c>
      <c r="T559" s="26" t="str">
        <f>IFERROR(__xludf.DUMMYFUNCTION("IFERROR(TRANSPOSE(QUERY(IFERROR(SORT(GOOGLEFINANCE(C559, ""price"", WORKDAY(TODAY(), -40), TODAY()), 1, FALSE)), ""select Col2 where Col2 is not null limit 22 label Col2 ''"", 0)), """")"),"")</f>
        <v/>
      </c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8"/>
      <c r="AO559" s="28"/>
      <c r="AP559" s="29"/>
      <c r="AQ559" s="29" t="str">
        <f t="shared" ref="AQ559:BL559" si="562">T559/T$2</f>
        <v>#N/A</v>
      </c>
      <c r="AR559" s="29" t="str">
        <f t="shared" si="562"/>
        <v>#DIV/0!</v>
      </c>
      <c r="AS559" s="29" t="str">
        <f t="shared" si="562"/>
        <v>#DIV/0!</v>
      </c>
      <c r="AT559" s="29" t="str">
        <f t="shared" si="562"/>
        <v>#DIV/0!</v>
      </c>
      <c r="AU559" s="29" t="str">
        <f t="shared" si="562"/>
        <v>#DIV/0!</v>
      </c>
      <c r="AV559" s="29" t="str">
        <f t="shared" si="562"/>
        <v>#DIV/0!</v>
      </c>
      <c r="AW559" s="29" t="str">
        <f t="shared" si="562"/>
        <v>#DIV/0!</v>
      </c>
      <c r="AX559" s="29" t="str">
        <f t="shared" si="562"/>
        <v>#DIV/0!</v>
      </c>
      <c r="AY559" s="29" t="str">
        <f t="shared" si="562"/>
        <v>#DIV/0!</v>
      </c>
      <c r="AZ559" s="29" t="str">
        <f t="shared" si="562"/>
        <v>#DIV/0!</v>
      </c>
      <c r="BA559" s="29" t="str">
        <f t="shared" si="562"/>
        <v>#DIV/0!</v>
      </c>
      <c r="BB559" s="29" t="str">
        <f t="shared" si="562"/>
        <v>#DIV/0!</v>
      </c>
      <c r="BC559" s="29" t="str">
        <f t="shared" si="562"/>
        <v>#DIV/0!</v>
      </c>
      <c r="BD559" s="29" t="str">
        <f t="shared" si="562"/>
        <v>#DIV/0!</v>
      </c>
      <c r="BE559" s="29" t="str">
        <f t="shared" si="562"/>
        <v>#DIV/0!</v>
      </c>
      <c r="BF559" s="29" t="str">
        <f t="shared" si="562"/>
        <v>#DIV/0!</v>
      </c>
      <c r="BG559" s="29" t="str">
        <f t="shared" si="562"/>
        <v>#DIV/0!</v>
      </c>
      <c r="BH559" s="29" t="str">
        <f t="shared" si="562"/>
        <v>#DIV/0!</v>
      </c>
      <c r="BI559" s="29" t="str">
        <f t="shared" si="562"/>
        <v>#DIV/0!</v>
      </c>
      <c r="BJ559" s="29" t="str">
        <f t="shared" si="562"/>
        <v>#DIV/0!</v>
      </c>
      <c r="BK559" s="29" t="str">
        <f t="shared" si="562"/>
        <v>#DIV/0!</v>
      </c>
      <c r="BL559" s="29" t="str">
        <f t="shared" si="562"/>
        <v>#DIV/0!</v>
      </c>
      <c r="BM559" s="29" t="str">
        <f t="shared" si="3"/>
        <v>#DIV/0!</v>
      </c>
    </row>
    <row r="560">
      <c r="A560" s="16" t="str">
        <f>IFERROR(__xludf.DUMMYFUNCTION("IFERROR(SPARKLINE(SORT(MAP(TRANSPOSE(AQ560:BL560), LAMBDA(val, IF(ISNUMBER(val), PERCENTRANK(AQ560:BL560, val)+0.01, 0))), SEQUENCE(COLUMNS(AQ560:BL560)), FALSE), {""charttype"",""column""; ""color"",""chartreuse""; ""ymin"", 0; ""ymax"", 1.01; ""highcolo"&amp;"r"", ""darkgreen""; ""lowcolor"", ""red""}), """")"),"")</f>
        <v/>
      </c>
      <c r="B560" s="17" t="str">
        <f t="shared" si="4"/>
        <v/>
      </c>
      <c r="C560" s="1" t="s">
        <v>2519</v>
      </c>
      <c r="D560" s="34" t="str">
        <f>IFERROR(__xludf.DUMMYFUNCTION("IFERROR(GOOGLEFINANCE(C560, ""NAME""))"),"Marketaxess Holdings Inc")</f>
        <v>Marketaxess Holdings Inc</v>
      </c>
      <c r="E560" s="30" t="s">
        <v>77</v>
      </c>
      <c r="F560" s="33" t="str">
        <f>IFERROR(__xludf.DUMMYFUNCTION("( (GOOGLEFINANCE(C560, ""price"") - Q560) / Q560 ) / (R560 / 100)"),"Loading...")</f>
        <v>Loading...</v>
      </c>
      <c r="G560" s="20" t="str">
        <f>IFERROR(__xludf.DUMMYFUNCTION("AVERAGE(ARRAYFORMULA(100 * (QUERY(GOOGLEFINANCE(C560, ""high"", TODAY()-40, TODAY()), ""SELECT Col2 WHERE Col2 IS NOT NULL ORDER BY Col1 DESC LIMIT 20"", 0) / QUERY(GOOGLEFINANCE(C560, ""low"", TODAY()-40, TODAY()), ""SELECT Col2 WHERE Col2 IS NOT NULL OR"&amp;"DER BY Col1 DESC LIMIT 20"", 0) - 1)))"),"#N/A")</f>
        <v>#N/A</v>
      </c>
      <c r="H560" s="35" t="str">
        <f t="shared" si="6"/>
        <v/>
      </c>
      <c r="I560" s="36" t="str">
        <f t="shared" si="7"/>
        <v/>
      </c>
      <c r="J560" s="37" t="str">
        <f>IFERROR(__xludf.DUMMYFUNCTION("IFERROR(
  IF(C560="""",, 
    IFERROR(
      GOOGLEFINANCE(C560, ""price"") * GOOGLEFINANCE(C560, ""volumeavg""), 
      GOOGLEFINANCE(C560, ""price"") * AVERAGE(QUERY(GOOGLEFINANCE(C560, ""volume"", TODAY()-40, TODAY()), ""SELECT Col2 WHERE Col2 IS NOT "&amp;"NULL ORDER BY Col1 DESC LIMIT 20"", 0))
    )
  ), 
"""")"),"")</f>
        <v/>
      </c>
      <c r="K560" s="21" t="str">
        <f>IFERROR(__xludf.DUMMYFUNCTION("IFERROR(GOOGLEFINANCE(C560, ""changepct"") / 100, """")"),"")</f>
        <v/>
      </c>
      <c r="L560" s="21" t="str">
        <f>IFERROR(__xludf.DUMMYFUNCTION("IFERROR((GOOGLEFINANCE(C560, ""price"") / INDEX(GOOGLEFINANCE(C560, ""price"", TODAY()-7, TODAY()), 2, 2)) - 1, """")"),"")</f>
        <v/>
      </c>
      <c r="M560" s="21" t="str">
        <f>IFERROR(__xludf.DUMMYFUNCTION("IFERROR((GOOGLEFINANCE(C560, ""price"") / INDEX(GOOGLEFINANCE(C560, ""price"", EDATE(TODAY(), -1), TODAY()), 2, 2)) - 1, """")"),"")</f>
        <v/>
      </c>
      <c r="N560" s="21" t="str">
        <f>IFERROR(__xludf.DUMMYFUNCTION("IFERROR((GOOGLEFINANCE(C560, ""price"") / INDEX(GOOGLEFINANCE(C560, ""price"", EDATE(TODAY(), -3), TODAY()), 2, 2)) - 1, """")"),"")</f>
        <v/>
      </c>
      <c r="O560" s="21" t="str">
        <f>IFERROR(__xludf.DUMMYFUNCTION("IFERROR((GOOGLEFINANCE(C560, ""price"") / INDEX(GOOGLEFINANCE(C560, ""price"", EDATE(TODAY(), -6), TODAY()), 2, 2)) - 1, """")"),"")</f>
        <v/>
      </c>
      <c r="P560" s="21" t="str">
        <f>IFERROR(__xludf.DUMMYFUNCTION("IFERROR((GOOGLEFINANCE(C560, ""price"") / INDEX(GOOGLEFINANCE(C560, ""price"", EDATE(TODAY(), -12), TODAY()), 2, 2)) - 1, """")"),"")</f>
        <v/>
      </c>
      <c r="Q560" s="6" t="str">
        <f>IFERROR(__xludf.DUMMYFUNCTION("AVERAGE(QUERY(GOOGLEFINANCE(C560, ""price"", TODAY()-80, TODAY()), ""SELECT Col2 WHERE Col2 IS NOT NULL ORDER BY Col1 DESC LIMIT 50"", 0))"),"#N/A")</f>
        <v>#N/A</v>
      </c>
      <c r="R560" s="24" t="str">
        <f>IFERROR(__xludf.DUMMYFUNCTION("IFERROR(
  LET(
    data, QUERY(GOOGLEFINANCE(C560,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GOOGLEFINANCE(C560, ""price"")) * 100,
    IF(calc=0, G560, calc)
  ), 
G560)"),"#N/A")</f>
        <v>#N/A</v>
      </c>
      <c r="S560" s="8" t="s">
        <v>15</v>
      </c>
      <c r="T560" s="26" t="str">
        <f>IFERROR(__xludf.DUMMYFUNCTION("IFERROR(TRANSPOSE(QUERY(IFERROR(SORT(GOOGLEFINANCE(C560, ""price"", WORKDAY(TODAY(), -40), TODAY()), 1, FALSE)), ""select Col2 where Col2 is not null limit 22 label Col2 ''"", 0)), """")"),"")</f>
        <v/>
      </c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8"/>
      <c r="AO560" s="28"/>
      <c r="AP560" s="29"/>
      <c r="AQ560" s="29" t="str">
        <f t="shared" ref="AQ560:BL560" si="563">T560/T$2</f>
        <v>#N/A</v>
      </c>
      <c r="AR560" s="29" t="str">
        <f t="shared" si="563"/>
        <v>#DIV/0!</v>
      </c>
      <c r="AS560" s="29" t="str">
        <f t="shared" si="563"/>
        <v>#DIV/0!</v>
      </c>
      <c r="AT560" s="29" t="str">
        <f t="shared" si="563"/>
        <v>#DIV/0!</v>
      </c>
      <c r="AU560" s="29" t="str">
        <f t="shared" si="563"/>
        <v>#DIV/0!</v>
      </c>
      <c r="AV560" s="29" t="str">
        <f t="shared" si="563"/>
        <v>#DIV/0!</v>
      </c>
      <c r="AW560" s="29" t="str">
        <f t="shared" si="563"/>
        <v>#DIV/0!</v>
      </c>
      <c r="AX560" s="29" t="str">
        <f t="shared" si="563"/>
        <v>#DIV/0!</v>
      </c>
      <c r="AY560" s="29" t="str">
        <f t="shared" si="563"/>
        <v>#DIV/0!</v>
      </c>
      <c r="AZ560" s="29" t="str">
        <f t="shared" si="563"/>
        <v>#DIV/0!</v>
      </c>
      <c r="BA560" s="29" t="str">
        <f t="shared" si="563"/>
        <v>#DIV/0!</v>
      </c>
      <c r="BB560" s="29" t="str">
        <f t="shared" si="563"/>
        <v>#DIV/0!</v>
      </c>
      <c r="BC560" s="29" t="str">
        <f t="shared" si="563"/>
        <v>#DIV/0!</v>
      </c>
      <c r="BD560" s="29" t="str">
        <f t="shared" si="563"/>
        <v>#DIV/0!</v>
      </c>
      <c r="BE560" s="29" t="str">
        <f t="shared" si="563"/>
        <v>#DIV/0!</v>
      </c>
      <c r="BF560" s="29" t="str">
        <f t="shared" si="563"/>
        <v>#DIV/0!</v>
      </c>
      <c r="BG560" s="29" t="str">
        <f t="shared" si="563"/>
        <v>#DIV/0!</v>
      </c>
      <c r="BH560" s="29" t="str">
        <f t="shared" si="563"/>
        <v>#DIV/0!</v>
      </c>
      <c r="BI560" s="29" t="str">
        <f t="shared" si="563"/>
        <v>#DIV/0!</v>
      </c>
      <c r="BJ560" s="29" t="str">
        <f t="shared" si="563"/>
        <v>#DIV/0!</v>
      </c>
      <c r="BK560" s="29" t="str">
        <f t="shared" si="563"/>
        <v>#DIV/0!</v>
      </c>
      <c r="BL560" s="29" t="str">
        <f t="shared" si="563"/>
        <v>#DIV/0!</v>
      </c>
      <c r="BM560" s="29" t="str">
        <f t="shared" si="3"/>
        <v>#DIV/0!</v>
      </c>
    </row>
    <row r="561">
      <c r="A561" s="16" t="str">
        <f>IFERROR(__xludf.DUMMYFUNCTION("IFERROR(SPARKLINE(SORT(MAP(TRANSPOSE(AQ561:BL561), LAMBDA(val, IF(ISNUMBER(val), PERCENTRANK(AQ561:BL561, val)+0.01, 0))), SEQUENCE(COLUMNS(AQ561:BL561)), FALSE), {""charttype"",""column""; ""color"",""chartreuse""; ""ymin"", 0; ""ymax"", 1.01; ""highcolo"&amp;"r"", ""darkgreen""; ""lowcolor"", ""red""}), """")"),"")</f>
        <v/>
      </c>
      <c r="B561" s="17" t="str">
        <f t="shared" si="4"/>
        <v/>
      </c>
      <c r="C561" s="1" t="s">
        <v>2523</v>
      </c>
      <c r="D561" s="34" t="str">
        <f>IFERROR(__xludf.DUMMYFUNCTION("IFERROR(GOOGLEFINANCE(C561, ""NAME""))"),"Perella Weinberg Partners")</f>
        <v>Perella Weinberg Partners</v>
      </c>
      <c r="E561" s="30" t="s">
        <v>77</v>
      </c>
      <c r="F561" s="33" t="str">
        <f>IFERROR(__xludf.DUMMYFUNCTION("( (GOOGLEFINANCE(C561, ""price"") - Q561) / Q561 ) / (R561 / 100)"),"Loading...")</f>
        <v>Loading...</v>
      </c>
      <c r="G561" s="20" t="str">
        <f>IFERROR(__xludf.DUMMYFUNCTION("AVERAGE(ARRAYFORMULA(100 * (QUERY(GOOGLEFINANCE(C561, ""high"", TODAY()-40, TODAY()), ""SELECT Col2 WHERE Col2 IS NOT NULL ORDER BY Col1 DESC LIMIT 20"", 0) / QUERY(GOOGLEFINANCE(C561, ""low"", TODAY()-40, TODAY()), ""SELECT Col2 WHERE Col2 IS NOT NULL OR"&amp;"DER BY Col1 DESC LIMIT 20"", 0) - 1)))"),"#N/A")</f>
        <v>#N/A</v>
      </c>
      <c r="H561" s="35" t="str">
        <f t="shared" si="6"/>
        <v/>
      </c>
      <c r="I561" s="36" t="str">
        <f t="shared" si="7"/>
        <v/>
      </c>
      <c r="J561" s="37" t="str">
        <f>IFERROR(__xludf.DUMMYFUNCTION("IFERROR(
  IF(C561="""",, 
    IFERROR(
      GOOGLEFINANCE(C561, ""price"") * GOOGLEFINANCE(C561, ""volumeavg""), 
      GOOGLEFINANCE(C561, ""price"") * AVERAGE(QUERY(GOOGLEFINANCE(C561, ""volume"", TODAY()-40, TODAY()), ""SELECT Col2 WHERE Col2 IS NOT "&amp;"NULL ORDER BY Col1 DESC LIMIT 20"", 0))
    )
  ), 
"""")"),"")</f>
        <v/>
      </c>
      <c r="K561" s="21" t="str">
        <f>IFERROR(__xludf.DUMMYFUNCTION("IFERROR(GOOGLEFINANCE(C561, ""changepct"") / 100, """")"),"")</f>
        <v/>
      </c>
      <c r="L561" s="21" t="str">
        <f>IFERROR(__xludf.DUMMYFUNCTION("IFERROR((GOOGLEFINANCE(C561, ""price"") / INDEX(GOOGLEFINANCE(C561, ""price"", TODAY()-7, TODAY()), 2, 2)) - 1, """")"),"")</f>
        <v/>
      </c>
      <c r="M561" s="21" t="str">
        <f>IFERROR(__xludf.DUMMYFUNCTION("IFERROR((GOOGLEFINANCE(C561, ""price"") / INDEX(GOOGLEFINANCE(C561, ""price"", EDATE(TODAY(), -1), TODAY()), 2, 2)) - 1, """")"),"")</f>
        <v/>
      </c>
      <c r="N561" s="21" t="str">
        <f>IFERROR(__xludf.DUMMYFUNCTION("IFERROR((GOOGLEFINANCE(C561, ""price"") / INDEX(GOOGLEFINANCE(C561, ""price"", EDATE(TODAY(), -3), TODAY()), 2, 2)) - 1, """")"),"")</f>
        <v/>
      </c>
      <c r="O561" s="21" t="str">
        <f>IFERROR(__xludf.DUMMYFUNCTION("IFERROR((GOOGLEFINANCE(C561, ""price"") / INDEX(GOOGLEFINANCE(C561, ""price"", EDATE(TODAY(), -6), TODAY()), 2, 2)) - 1, """")"),"")</f>
        <v/>
      </c>
      <c r="P561" s="21" t="str">
        <f>IFERROR(__xludf.DUMMYFUNCTION("IFERROR((GOOGLEFINANCE(C561, ""price"") / INDEX(GOOGLEFINANCE(C561, ""price"", EDATE(TODAY(), -12), TODAY()), 2, 2)) - 1, """")"),"")</f>
        <v/>
      </c>
      <c r="Q561" s="6" t="str">
        <f>IFERROR(__xludf.DUMMYFUNCTION("AVERAGE(QUERY(GOOGLEFINANCE(C561, ""price"", TODAY()-80, TODAY()), ""SELECT Col2 WHERE Col2 IS NOT NULL ORDER BY Col1 DESC LIMIT 50"", 0))"),"#N/A")</f>
        <v>#N/A</v>
      </c>
      <c r="R561" s="24" t="str">
        <f>IFERROR(__xludf.DUMMYFUNCTION("IFERROR(
  LET(
    data, QUERY(GOOGLEFINANCE(C561,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GOOGLEFINANCE(C561, ""price"")) * 100,
    IF(calc=0, G561, calc)
  ), 
G561)"),"#N/A")</f>
        <v>#N/A</v>
      </c>
      <c r="S561" s="8" t="s">
        <v>15</v>
      </c>
      <c r="T561" s="26" t="str">
        <f>IFERROR(__xludf.DUMMYFUNCTION("IFERROR(TRANSPOSE(QUERY(IFERROR(SORT(GOOGLEFINANCE(C561, ""price"", WORKDAY(TODAY(), -40), TODAY()), 1, FALSE)), ""select Col2 where Col2 is not null limit 22 label Col2 ''"", 0)), """")"),"")</f>
        <v/>
      </c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8"/>
      <c r="AO561" s="28"/>
      <c r="AP561" s="29"/>
      <c r="AQ561" s="29" t="str">
        <f t="shared" ref="AQ561:BL561" si="564">T561/T$2</f>
        <v>#N/A</v>
      </c>
      <c r="AR561" s="29" t="str">
        <f t="shared" si="564"/>
        <v>#DIV/0!</v>
      </c>
      <c r="AS561" s="29" t="str">
        <f t="shared" si="564"/>
        <v>#DIV/0!</v>
      </c>
      <c r="AT561" s="29" t="str">
        <f t="shared" si="564"/>
        <v>#DIV/0!</v>
      </c>
      <c r="AU561" s="29" t="str">
        <f t="shared" si="564"/>
        <v>#DIV/0!</v>
      </c>
      <c r="AV561" s="29" t="str">
        <f t="shared" si="564"/>
        <v>#DIV/0!</v>
      </c>
      <c r="AW561" s="29" t="str">
        <f t="shared" si="564"/>
        <v>#DIV/0!</v>
      </c>
      <c r="AX561" s="29" t="str">
        <f t="shared" si="564"/>
        <v>#DIV/0!</v>
      </c>
      <c r="AY561" s="29" t="str">
        <f t="shared" si="564"/>
        <v>#DIV/0!</v>
      </c>
      <c r="AZ561" s="29" t="str">
        <f t="shared" si="564"/>
        <v>#DIV/0!</v>
      </c>
      <c r="BA561" s="29" t="str">
        <f t="shared" si="564"/>
        <v>#DIV/0!</v>
      </c>
      <c r="BB561" s="29" t="str">
        <f t="shared" si="564"/>
        <v>#DIV/0!</v>
      </c>
      <c r="BC561" s="29" t="str">
        <f t="shared" si="564"/>
        <v>#DIV/0!</v>
      </c>
      <c r="BD561" s="29" t="str">
        <f t="shared" si="564"/>
        <v>#DIV/0!</v>
      </c>
      <c r="BE561" s="29" t="str">
        <f t="shared" si="564"/>
        <v>#DIV/0!</v>
      </c>
      <c r="BF561" s="29" t="str">
        <f t="shared" si="564"/>
        <v>#DIV/0!</v>
      </c>
      <c r="BG561" s="29" t="str">
        <f t="shared" si="564"/>
        <v>#DIV/0!</v>
      </c>
      <c r="BH561" s="29" t="str">
        <f t="shared" si="564"/>
        <v>#DIV/0!</v>
      </c>
      <c r="BI561" s="29" t="str">
        <f t="shared" si="564"/>
        <v>#DIV/0!</v>
      </c>
      <c r="BJ561" s="29" t="str">
        <f t="shared" si="564"/>
        <v>#DIV/0!</v>
      </c>
      <c r="BK561" s="29" t="str">
        <f t="shared" si="564"/>
        <v>#DIV/0!</v>
      </c>
      <c r="BL561" s="29" t="str">
        <f t="shared" si="564"/>
        <v>#DIV/0!</v>
      </c>
      <c r="BM561" s="29" t="str">
        <f t="shared" si="3"/>
        <v>#DIV/0!</v>
      </c>
    </row>
    <row r="562">
      <c r="A562" s="16" t="str">
        <f>IFERROR(__xludf.DUMMYFUNCTION("IFERROR(SPARKLINE(SORT(MAP(TRANSPOSE(AQ562:BL562), LAMBDA(val, IF(ISNUMBER(val), PERCENTRANK(AQ562:BL562, val)+0.01, 0))), SEQUENCE(COLUMNS(AQ562:BL562)), FALSE), {""charttype"",""column""; ""color"",""chartreuse""; ""ymin"", 0; ""ymax"", 1.01; ""highcolo"&amp;"r"", ""darkgreen""; ""lowcolor"", ""red""}), """")"),"")</f>
        <v/>
      </c>
      <c r="B562" s="17" t="str">
        <f t="shared" si="4"/>
        <v/>
      </c>
      <c r="C562" s="1" t="s">
        <v>2525</v>
      </c>
      <c r="D562" s="34" t="str">
        <f>IFERROR(__xludf.DUMMYFUNCTION("IFERROR(GOOGLEFINANCE(C562, ""NAME""))"),"High Templar Tech Ltd")</f>
        <v>High Templar Tech Ltd</v>
      </c>
      <c r="E562" s="30" t="s">
        <v>145</v>
      </c>
      <c r="F562" s="33" t="str">
        <f>IFERROR(__xludf.DUMMYFUNCTION("( (GOOGLEFINANCE(C562, ""price"") - Q562) / Q562 ) / (R562 / 100)"),"Loading...")</f>
        <v>Loading...</v>
      </c>
      <c r="G562" s="20" t="str">
        <f>IFERROR(__xludf.DUMMYFUNCTION("AVERAGE(ARRAYFORMULA(100 * (QUERY(GOOGLEFINANCE(C562, ""high"", TODAY()-40, TODAY()), ""SELECT Col2 WHERE Col2 IS NOT NULL ORDER BY Col1 DESC LIMIT 20"", 0) / QUERY(GOOGLEFINANCE(C562, ""low"", TODAY()-40, TODAY()), ""SELECT Col2 WHERE Col2 IS NOT NULL OR"&amp;"DER BY Col1 DESC LIMIT 20"", 0) - 1)))"),"#N/A")</f>
        <v>#N/A</v>
      </c>
      <c r="H562" s="35" t="str">
        <f t="shared" si="6"/>
        <v/>
      </c>
      <c r="I562" s="36" t="str">
        <f t="shared" si="7"/>
        <v/>
      </c>
      <c r="J562" s="37" t="str">
        <f>IFERROR(__xludf.DUMMYFUNCTION("IFERROR(
  IF(C562="""",, 
    IFERROR(
      GOOGLEFINANCE(C562, ""price"") * GOOGLEFINANCE(C562, ""volumeavg""), 
      GOOGLEFINANCE(C562, ""price"") * AVERAGE(QUERY(GOOGLEFINANCE(C562, ""volume"", TODAY()-40, TODAY()), ""SELECT Col2 WHERE Col2 IS NOT "&amp;"NULL ORDER BY Col1 DESC LIMIT 20"", 0))
    )
  ), 
"""")"),"")</f>
        <v/>
      </c>
      <c r="K562" s="21" t="str">
        <f>IFERROR(__xludf.DUMMYFUNCTION("IFERROR(GOOGLEFINANCE(C562, ""changepct"") / 100, """")"),"")</f>
        <v/>
      </c>
      <c r="L562" s="21" t="str">
        <f>IFERROR(__xludf.DUMMYFUNCTION("IFERROR((GOOGLEFINANCE(C562, ""price"") / INDEX(GOOGLEFINANCE(C562, ""price"", TODAY()-7, TODAY()), 2, 2)) - 1, """")"),"")</f>
        <v/>
      </c>
      <c r="M562" s="21" t="str">
        <f>IFERROR(__xludf.DUMMYFUNCTION("IFERROR((GOOGLEFINANCE(C562, ""price"") / INDEX(GOOGLEFINANCE(C562, ""price"", EDATE(TODAY(), -1), TODAY()), 2, 2)) - 1, """")"),"")</f>
        <v/>
      </c>
      <c r="N562" s="21" t="str">
        <f>IFERROR(__xludf.DUMMYFUNCTION("IFERROR((GOOGLEFINANCE(C562, ""price"") / INDEX(GOOGLEFINANCE(C562, ""price"", EDATE(TODAY(), -3), TODAY()), 2, 2)) - 1, """")"),"")</f>
        <v/>
      </c>
      <c r="O562" s="21" t="str">
        <f>IFERROR(__xludf.DUMMYFUNCTION("IFERROR((GOOGLEFINANCE(C562, ""price"") / INDEX(GOOGLEFINANCE(C562, ""price"", EDATE(TODAY(), -6), TODAY()), 2, 2)) - 1, """")"),"")</f>
        <v/>
      </c>
      <c r="P562" s="21" t="str">
        <f>IFERROR(__xludf.DUMMYFUNCTION("IFERROR((GOOGLEFINANCE(C562, ""price"") / INDEX(GOOGLEFINANCE(C562, ""price"", EDATE(TODAY(), -12), TODAY()), 2, 2)) - 1, """")"),"")</f>
        <v/>
      </c>
      <c r="Q562" s="6" t="str">
        <f>IFERROR(__xludf.DUMMYFUNCTION("AVERAGE(QUERY(GOOGLEFINANCE(C562, ""price"", TODAY()-80, TODAY()), ""SELECT Col2 WHERE Col2 IS NOT NULL ORDER BY Col1 DESC LIMIT 50"", 0))"),"#N/A")</f>
        <v>#N/A</v>
      </c>
      <c r="R562" s="24" t="str">
        <f>IFERROR(__xludf.DUMMYFUNCTION("IFERROR(
  LET(
    data, QUERY(GOOGLEFINANCE(C562,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GOOGLEFINANCE(C562, ""price"")) * 100,
    IF(calc=0, G562, calc)
  ), 
G562)"),"#N/A")</f>
        <v>#N/A</v>
      </c>
      <c r="S562" s="8" t="s">
        <v>15</v>
      </c>
      <c r="T562" s="26" t="str">
        <f>IFERROR(__xludf.DUMMYFUNCTION("IFERROR(TRANSPOSE(QUERY(IFERROR(SORT(GOOGLEFINANCE(C562, ""price"", WORKDAY(TODAY(), -40), TODAY()), 1, FALSE)), ""select Col2 where Col2 is not null limit 22 label Col2 ''"", 0)), """")"),"")</f>
        <v/>
      </c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8"/>
      <c r="AO562" s="28"/>
      <c r="AP562" s="29"/>
      <c r="AQ562" s="29" t="str">
        <f t="shared" ref="AQ562:BL562" si="565">T562/T$2</f>
        <v>#N/A</v>
      </c>
      <c r="AR562" s="29" t="str">
        <f t="shared" si="565"/>
        <v>#DIV/0!</v>
      </c>
      <c r="AS562" s="29" t="str">
        <f t="shared" si="565"/>
        <v>#DIV/0!</v>
      </c>
      <c r="AT562" s="29" t="str">
        <f t="shared" si="565"/>
        <v>#DIV/0!</v>
      </c>
      <c r="AU562" s="29" t="str">
        <f t="shared" si="565"/>
        <v>#DIV/0!</v>
      </c>
      <c r="AV562" s="29" t="str">
        <f t="shared" si="565"/>
        <v>#DIV/0!</v>
      </c>
      <c r="AW562" s="29" t="str">
        <f t="shared" si="565"/>
        <v>#DIV/0!</v>
      </c>
      <c r="AX562" s="29" t="str">
        <f t="shared" si="565"/>
        <v>#DIV/0!</v>
      </c>
      <c r="AY562" s="29" t="str">
        <f t="shared" si="565"/>
        <v>#DIV/0!</v>
      </c>
      <c r="AZ562" s="29" t="str">
        <f t="shared" si="565"/>
        <v>#DIV/0!</v>
      </c>
      <c r="BA562" s="29" t="str">
        <f t="shared" si="565"/>
        <v>#DIV/0!</v>
      </c>
      <c r="BB562" s="29" t="str">
        <f t="shared" si="565"/>
        <v>#DIV/0!</v>
      </c>
      <c r="BC562" s="29" t="str">
        <f t="shared" si="565"/>
        <v>#DIV/0!</v>
      </c>
      <c r="BD562" s="29" t="str">
        <f t="shared" si="565"/>
        <v>#DIV/0!</v>
      </c>
      <c r="BE562" s="29" t="str">
        <f t="shared" si="565"/>
        <v>#DIV/0!</v>
      </c>
      <c r="BF562" s="29" t="str">
        <f t="shared" si="565"/>
        <v>#DIV/0!</v>
      </c>
      <c r="BG562" s="29" t="str">
        <f t="shared" si="565"/>
        <v>#DIV/0!</v>
      </c>
      <c r="BH562" s="29" t="str">
        <f t="shared" si="565"/>
        <v>#DIV/0!</v>
      </c>
      <c r="BI562" s="29" t="str">
        <f t="shared" si="565"/>
        <v>#DIV/0!</v>
      </c>
      <c r="BJ562" s="29" t="str">
        <f t="shared" si="565"/>
        <v>#DIV/0!</v>
      </c>
      <c r="BK562" s="29" t="str">
        <f t="shared" si="565"/>
        <v>#DIV/0!</v>
      </c>
      <c r="BL562" s="29" t="str">
        <f t="shared" si="565"/>
        <v>#DIV/0!</v>
      </c>
      <c r="BM562" s="29" t="str">
        <f t="shared" si="3"/>
        <v>#DIV/0!</v>
      </c>
    </row>
    <row r="563">
      <c r="A563" s="16" t="str">
        <f>IFERROR(__xludf.DUMMYFUNCTION("IFERROR(SPARKLINE(SORT(MAP(TRANSPOSE(AQ563:BL563), LAMBDA(val, IF(ISNUMBER(val), PERCENTRANK(AQ563:BL563, val)+0.01, 0))), SEQUENCE(COLUMNS(AQ563:BL563)), FALSE), {""charttype"",""column""; ""color"",""chartreuse""; ""ymin"", 0; ""ymax"", 1.01; ""highcolo"&amp;"r"", ""darkgreen""; ""lowcolor"", ""red""}), """")"),"")</f>
        <v/>
      </c>
      <c r="B563" s="17" t="str">
        <f t="shared" si="4"/>
        <v/>
      </c>
      <c r="C563" s="1" t="s">
        <v>2529</v>
      </c>
      <c r="D563" s="34" t="str">
        <f>IFERROR(__xludf.DUMMYFUNCTION("IFERROR(GOOGLEFINANCE(C563, ""NAME""))"),"Jefferson Capital Inc")</f>
        <v>Jefferson Capital Inc</v>
      </c>
      <c r="E563" s="30" t="s">
        <v>145</v>
      </c>
      <c r="F563" s="33" t="str">
        <f>IFERROR(__xludf.DUMMYFUNCTION("( (GOOGLEFINANCE(C563, ""price"") - Q563) / Q563 ) / (R563 / 100)"),"Loading...")</f>
        <v>Loading...</v>
      </c>
      <c r="G563" s="20" t="str">
        <f>IFERROR(__xludf.DUMMYFUNCTION("AVERAGE(ARRAYFORMULA(100 * (QUERY(GOOGLEFINANCE(C563, ""high"", TODAY()-40, TODAY()), ""SELECT Col2 WHERE Col2 IS NOT NULL ORDER BY Col1 DESC LIMIT 20"", 0) / QUERY(GOOGLEFINANCE(C563, ""low"", TODAY()-40, TODAY()), ""SELECT Col2 WHERE Col2 IS NOT NULL OR"&amp;"DER BY Col1 DESC LIMIT 20"", 0) - 1)))"),"#N/A")</f>
        <v>#N/A</v>
      </c>
      <c r="H563" s="35" t="str">
        <f t="shared" si="6"/>
        <v/>
      </c>
      <c r="I563" s="36" t="str">
        <f t="shared" si="7"/>
        <v/>
      </c>
      <c r="J563" s="37" t="str">
        <f>IFERROR(__xludf.DUMMYFUNCTION("IFERROR(
  IF(C563="""",, 
    IFERROR(
      GOOGLEFINANCE(C563, ""price"") * GOOGLEFINANCE(C563, ""volumeavg""), 
      GOOGLEFINANCE(C563, ""price"") * AVERAGE(QUERY(GOOGLEFINANCE(C563, ""volume"", TODAY()-40, TODAY()), ""SELECT Col2 WHERE Col2 IS NOT "&amp;"NULL ORDER BY Col1 DESC LIMIT 20"", 0))
    )
  ), 
"""")"),"")</f>
        <v/>
      </c>
      <c r="K563" s="21" t="str">
        <f>IFERROR(__xludf.DUMMYFUNCTION("IFERROR(GOOGLEFINANCE(C563, ""changepct"") / 100, """")"),"")</f>
        <v/>
      </c>
      <c r="L563" s="21" t="str">
        <f>IFERROR(__xludf.DUMMYFUNCTION("IFERROR((GOOGLEFINANCE(C563, ""price"") / INDEX(GOOGLEFINANCE(C563, ""price"", TODAY()-7, TODAY()), 2, 2)) - 1, """")"),"")</f>
        <v/>
      </c>
      <c r="M563" s="21" t="str">
        <f>IFERROR(__xludf.DUMMYFUNCTION("IFERROR((GOOGLEFINANCE(C563, ""price"") / INDEX(GOOGLEFINANCE(C563, ""price"", EDATE(TODAY(), -1), TODAY()), 2, 2)) - 1, """")"),"")</f>
        <v/>
      </c>
      <c r="N563" s="21" t="str">
        <f>IFERROR(__xludf.DUMMYFUNCTION("IFERROR((GOOGLEFINANCE(C563, ""price"") / INDEX(GOOGLEFINANCE(C563, ""price"", EDATE(TODAY(), -3), TODAY()), 2, 2)) - 1, """")"),"")</f>
        <v/>
      </c>
      <c r="O563" s="21" t="str">
        <f>IFERROR(__xludf.DUMMYFUNCTION("IFERROR((GOOGLEFINANCE(C563, ""price"") / INDEX(GOOGLEFINANCE(C563, ""price"", EDATE(TODAY(), -6), TODAY()), 2, 2)) - 1, """")"),"")</f>
        <v/>
      </c>
      <c r="P563" s="21" t="str">
        <f>IFERROR(__xludf.DUMMYFUNCTION("IFERROR((GOOGLEFINANCE(C563, ""price"") / INDEX(GOOGLEFINANCE(C563, ""price"", EDATE(TODAY(), -12), TODAY()), 2, 2)) - 1, """")"),"")</f>
        <v/>
      </c>
      <c r="Q563" s="6" t="str">
        <f>IFERROR(__xludf.DUMMYFUNCTION("AVERAGE(QUERY(GOOGLEFINANCE(C563, ""price"", TODAY()-80, TODAY()), ""SELECT Col2 WHERE Col2 IS NOT NULL ORDER BY Col1 DESC LIMIT 50"", 0))"),"#N/A")</f>
        <v>#N/A</v>
      </c>
      <c r="R563" s="24" t="str">
        <f>IFERROR(__xludf.DUMMYFUNCTION("IFERROR(
  LET(
    data, QUERY(GOOGLEFINANCE(C563,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GOOGLEFINANCE(C563, ""price"")) * 100,
    IF(calc=0, G563, calc)
  ), 
G563)"),"#N/A")</f>
        <v>#N/A</v>
      </c>
      <c r="S563" s="8" t="s">
        <v>15</v>
      </c>
      <c r="T563" s="26" t="str">
        <f>IFERROR(__xludf.DUMMYFUNCTION("IFERROR(TRANSPOSE(QUERY(IFERROR(SORT(GOOGLEFINANCE(C563, ""price"", WORKDAY(TODAY(), -40), TODAY()), 1, FALSE)), ""select Col2 where Col2 is not null limit 22 label Col2 ''"", 0)), """")"),"")</f>
        <v/>
      </c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8"/>
      <c r="AO563" s="28"/>
      <c r="AP563" s="29"/>
      <c r="AQ563" s="29" t="str">
        <f t="shared" ref="AQ563:BL563" si="566">T563/T$2</f>
        <v>#N/A</v>
      </c>
      <c r="AR563" s="29" t="str">
        <f t="shared" si="566"/>
        <v>#DIV/0!</v>
      </c>
      <c r="AS563" s="29" t="str">
        <f t="shared" si="566"/>
        <v>#DIV/0!</v>
      </c>
      <c r="AT563" s="29" t="str">
        <f t="shared" si="566"/>
        <v>#DIV/0!</v>
      </c>
      <c r="AU563" s="29" t="str">
        <f t="shared" si="566"/>
        <v>#DIV/0!</v>
      </c>
      <c r="AV563" s="29" t="str">
        <f t="shared" si="566"/>
        <v>#DIV/0!</v>
      </c>
      <c r="AW563" s="29" t="str">
        <f t="shared" si="566"/>
        <v>#DIV/0!</v>
      </c>
      <c r="AX563" s="29" t="str">
        <f t="shared" si="566"/>
        <v>#DIV/0!</v>
      </c>
      <c r="AY563" s="29" t="str">
        <f t="shared" si="566"/>
        <v>#DIV/0!</v>
      </c>
      <c r="AZ563" s="29" t="str">
        <f t="shared" si="566"/>
        <v>#DIV/0!</v>
      </c>
      <c r="BA563" s="29" t="str">
        <f t="shared" si="566"/>
        <v>#DIV/0!</v>
      </c>
      <c r="BB563" s="29" t="str">
        <f t="shared" si="566"/>
        <v>#DIV/0!</v>
      </c>
      <c r="BC563" s="29" t="str">
        <f t="shared" si="566"/>
        <v>#DIV/0!</v>
      </c>
      <c r="BD563" s="29" t="str">
        <f t="shared" si="566"/>
        <v>#DIV/0!</v>
      </c>
      <c r="BE563" s="29" t="str">
        <f t="shared" si="566"/>
        <v>#DIV/0!</v>
      </c>
      <c r="BF563" s="29" t="str">
        <f t="shared" si="566"/>
        <v>#DIV/0!</v>
      </c>
      <c r="BG563" s="29" t="str">
        <f t="shared" si="566"/>
        <v>#DIV/0!</v>
      </c>
      <c r="BH563" s="29" t="str">
        <f t="shared" si="566"/>
        <v>#DIV/0!</v>
      </c>
      <c r="BI563" s="29" t="str">
        <f t="shared" si="566"/>
        <v>#DIV/0!</v>
      </c>
      <c r="BJ563" s="29" t="str">
        <f t="shared" si="566"/>
        <v>#DIV/0!</v>
      </c>
      <c r="BK563" s="29" t="str">
        <f t="shared" si="566"/>
        <v>#DIV/0!</v>
      </c>
      <c r="BL563" s="29" t="str">
        <f t="shared" si="566"/>
        <v>#DIV/0!</v>
      </c>
      <c r="BM563" s="29" t="str">
        <f t="shared" si="3"/>
        <v>#DIV/0!</v>
      </c>
    </row>
    <row r="564">
      <c r="A564" s="16" t="str">
        <f>IFERROR(__xludf.DUMMYFUNCTION("IFERROR(SPARKLINE(SORT(MAP(TRANSPOSE(AQ564:BL564), LAMBDA(val, IF(ISNUMBER(val), PERCENTRANK(AQ564:BL564, val)+0.01, 0))), SEQUENCE(COLUMNS(AQ564:BL564)), FALSE), {""charttype"",""column""; ""color"",""chartreuse""; ""ymin"", 0; ""ymax"", 1.01; ""highcolo"&amp;"r"", ""darkgreen""; ""lowcolor"", ""red""}), """")"),"")</f>
        <v/>
      </c>
      <c r="B564" s="17" t="str">
        <f t="shared" si="4"/>
        <v/>
      </c>
      <c r="C564" s="1" t="s">
        <v>2532</v>
      </c>
      <c r="D564" s="34" t="str">
        <f>IFERROR(__xludf.DUMMYFUNCTION("IFERROR(GOOGLEFINANCE(C564, ""NAME""))"),"Nelnet Inc")</f>
        <v>Nelnet Inc</v>
      </c>
      <c r="E564" s="30" t="s">
        <v>145</v>
      </c>
      <c r="F564" s="38" t="str">
        <f>IFERROR(__xludf.DUMMYFUNCTION("( (GOOGLEFINANCE(C564, ""price"") - Q564) / Q564 ) / (R564 / 100)"),"Loading...")</f>
        <v>Loading...</v>
      </c>
      <c r="G564" s="20" t="str">
        <f>IFERROR(__xludf.DUMMYFUNCTION("AVERAGE(ARRAYFORMULA(100 * (QUERY(GOOGLEFINANCE(C564, ""high"", TODAY()-40, TODAY()), ""SELECT Col2 WHERE Col2 IS NOT NULL ORDER BY Col1 DESC LIMIT 20"", 0) / QUERY(GOOGLEFINANCE(C564, ""low"", TODAY()-40, TODAY()), ""SELECT Col2 WHERE Col2 IS NOT NULL OR"&amp;"DER BY Col1 DESC LIMIT 20"", 0) - 1)))"),"#N/A")</f>
        <v>#N/A</v>
      </c>
      <c r="H564" s="35" t="str">
        <f t="shared" si="6"/>
        <v/>
      </c>
      <c r="I564" s="36" t="str">
        <f t="shared" si="7"/>
        <v/>
      </c>
      <c r="J564" s="37" t="str">
        <f>IFERROR(__xludf.DUMMYFUNCTION("IFERROR(
  IF(C564="""",, 
    IFERROR(
      GOOGLEFINANCE(C564, ""price"") * GOOGLEFINANCE(C564, ""volumeavg""), 
      GOOGLEFINANCE(C564, ""price"") * AVERAGE(QUERY(GOOGLEFINANCE(C564, ""volume"", TODAY()-40, TODAY()), ""SELECT Col2 WHERE Col2 IS NOT "&amp;"NULL ORDER BY Col1 DESC LIMIT 20"", 0))
    )
  ), 
"""")"),"")</f>
        <v/>
      </c>
      <c r="K564" s="21" t="str">
        <f>IFERROR(__xludf.DUMMYFUNCTION("IFERROR(GOOGLEFINANCE(C564, ""changepct"") / 100, """")"),"")</f>
        <v/>
      </c>
      <c r="L564" s="21" t="str">
        <f>IFERROR(__xludf.DUMMYFUNCTION("IFERROR((GOOGLEFINANCE(C564, ""price"") / INDEX(GOOGLEFINANCE(C564, ""price"", TODAY()-7, TODAY()), 2, 2)) - 1, """")"),"")</f>
        <v/>
      </c>
      <c r="M564" s="21" t="str">
        <f>IFERROR(__xludf.DUMMYFUNCTION("IFERROR((GOOGLEFINANCE(C564, ""price"") / INDEX(GOOGLEFINANCE(C564, ""price"", EDATE(TODAY(), -1), TODAY()), 2, 2)) - 1, """")"),"")</f>
        <v/>
      </c>
      <c r="N564" s="21" t="str">
        <f>IFERROR(__xludf.DUMMYFUNCTION("IFERROR((GOOGLEFINANCE(C564, ""price"") / INDEX(GOOGLEFINANCE(C564, ""price"", EDATE(TODAY(), -3), TODAY()), 2, 2)) - 1, """")"),"")</f>
        <v/>
      </c>
      <c r="O564" s="21" t="str">
        <f>IFERROR(__xludf.DUMMYFUNCTION("IFERROR((GOOGLEFINANCE(C564, ""price"") / INDEX(GOOGLEFINANCE(C564, ""price"", EDATE(TODAY(), -6), TODAY()), 2, 2)) - 1, """")"),"")</f>
        <v/>
      </c>
      <c r="P564" s="21" t="str">
        <f>IFERROR(__xludf.DUMMYFUNCTION("IFERROR((GOOGLEFINANCE(C564, ""price"") / INDEX(GOOGLEFINANCE(C564, ""price"", EDATE(TODAY(), -12), TODAY()), 2, 2)) - 1, """")"),"")</f>
        <v/>
      </c>
      <c r="Q564" s="6" t="str">
        <f>IFERROR(__xludf.DUMMYFUNCTION("AVERAGE(QUERY(GOOGLEFINANCE(C564, ""price"", TODAY()-80, TODAY()), ""SELECT Col2 WHERE Col2 IS NOT NULL ORDER BY Col1 DESC LIMIT 50"", 0))"),"#N/A")</f>
        <v>#N/A</v>
      </c>
      <c r="R564" s="24" t="str">
        <f>IFERROR(__xludf.DUMMYFUNCTION("IFERROR(
  LET(
    data, QUERY(GOOGLEFINANCE(C564,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GOOGLEFINANCE(C564, ""price"")) * 100,
    IF(calc=0, G564, calc)
  ), 
G564)"),"#N/A")</f>
        <v>#N/A</v>
      </c>
      <c r="S564" s="8" t="s">
        <v>15</v>
      </c>
      <c r="T564" s="26" t="str">
        <f>IFERROR(__xludf.DUMMYFUNCTION("IFERROR(TRANSPOSE(QUERY(IFERROR(SORT(GOOGLEFINANCE(C564, ""price"", WORKDAY(TODAY(), -40), TODAY()), 1, FALSE)), ""select Col2 where Col2 is not null limit 22 label Col2 ''"", 0)), """")"),"")</f>
        <v/>
      </c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8"/>
      <c r="AO564" s="28"/>
      <c r="AP564" s="29"/>
      <c r="AQ564" s="29" t="str">
        <f t="shared" ref="AQ564:BL564" si="567">T564/T$2</f>
        <v>#N/A</v>
      </c>
      <c r="AR564" s="29" t="str">
        <f t="shared" si="567"/>
        <v>#DIV/0!</v>
      </c>
      <c r="AS564" s="29" t="str">
        <f t="shared" si="567"/>
        <v>#DIV/0!</v>
      </c>
      <c r="AT564" s="29" t="str">
        <f t="shared" si="567"/>
        <v>#DIV/0!</v>
      </c>
      <c r="AU564" s="29" t="str">
        <f t="shared" si="567"/>
        <v>#DIV/0!</v>
      </c>
      <c r="AV564" s="29" t="str">
        <f t="shared" si="567"/>
        <v>#DIV/0!</v>
      </c>
      <c r="AW564" s="29" t="str">
        <f t="shared" si="567"/>
        <v>#DIV/0!</v>
      </c>
      <c r="AX564" s="29" t="str">
        <f t="shared" si="567"/>
        <v>#DIV/0!</v>
      </c>
      <c r="AY564" s="29" t="str">
        <f t="shared" si="567"/>
        <v>#DIV/0!</v>
      </c>
      <c r="AZ564" s="29" t="str">
        <f t="shared" si="567"/>
        <v>#DIV/0!</v>
      </c>
      <c r="BA564" s="29" t="str">
        <f t="shared" si="567"/>
        <v>#DIV/0!</v>
      </c>
      <c r="BB564" s="29" t="str">
        <f t="shared" si="567"/>
        <v>#DIV/0!</v>
      </c>
      <c r="BC564" s="29" t="str">
        <f t="shared" si="567"/>
        <v>#DIV/0!</v>
      </c>
      <c r="BD564" s="29" t="str">
        <f t="shared" si="567"/>
        <v>#DIV/0!</v>
      </c>
      <c r="BE564" s="29" t="str">
        <f t="shared" si="567"/>
        <v>#DIV/0!</v>
      </c>
      <c r="BF564" s="29" t="str">
        <f t="shared" si="567"/>
        <v>#DIV/0!</v>
      </c>
      <c r="BG564" s="29" t="str">
        <f t="shared" si="567"/>
        <v>#DIV/0!</v>
      </c>
      <c r="BH564" s="29" t="str">
        <f t="shared" si="567"/>
        <v>#DIV/0!</v>
      </c>
      <c r="BI564" s="29" t="str">
        <f t="shared" si="567"/>
        <v>#DIV/0!</v>
      </c>
      <c r="BJ564" s="29" t="str">
        <f t="shared" si="567"/>
        <v>#DIV/0!</v>
      </c>
      <c r="BK564" s="29" t="str">
        <f t="shared" si="567"/>
        <v>#DIV/0!</v>
      </c>
      <c r="BL564" s="29" t="str">
        <f t="shared" si="567"/>
        <v>#DIV/0!</v>
      </c>
      <c r="BM564" s="29" t="str">
        <f t="shared" si="3"/>
        <v>#DIV/0!</v>
      </c>
    </row>
    <row r="565">
      <c r="A565" s="16" t="str">
        <f>IFERROR(__xludf.DUMMYFUNCTION("IFERROR(SPARKLINE(SORT(MAP(TRANSPOSE(AQ565:BL565), LAMBDA(val, IF(ISNUMBER(val), PERCENTRANK(AQ565:BL565, val)+0.01, 0))), SEQUENCE(COLUMNS(AQ565:BL565)), FALSE), {""charttype"",""column""; ""color"",""chartreuse""; ""ymin"", 0; ""ymax"", 1.01; ""highcolo"&amp;"r"", ""darkgreen""; ""lowcolor"", ""red""}), """")"),"")</f>
        <v/>
      </c>
      <c r="B565" s="17" t="str">
        <f t="shared" si="4"/>
        <v/>
      </c>
      <c r="C565" s="1" t="s">
        <v>2534</v>
      </c>
      <c r="D565" s="34" t="str">
        <f>IFERROR(__xludf.DUMMYFUNCTION("IFERROR(GOOGLEFINANCE(C565, ""NAME""))"),"")</f>
        <v/>
      </c>
      <c r="E565" s="30" t="s">
        <v>434</v>
      </c>
      <c r="F565" s="33" t="str">
        <f>IFERROR(__xludf.DUMMYFUNCTION("( (GOOGLEFINANCE(C565, ""price"") - Q565) / Q565 ) / (R565 / 100)"),"Loading...")</f>
        <v>Loading...</v>
      </c>
      <c r="G565" s="20" t="str">
        <f>IFERROR(__xludf.DUMMYFUNCTION("AVERAGE(ARRAYFORMULA(100 * (QUERY(GOOGLEFINANCE(C565, ""high"", TODAY()-40, TODAY()), ""SELECT Col2 WHERE Col2 IS NOT NULL ORDER BY Col1 DESC LIMIT 20"", 0) / QUERY(GOOGLEFINANCE(C565, ""low"", TODAY()-40, TODAY()), ""SELECT Col2 WHERE Col2 IS NOT NULL OR"&amp;"DER BY Col1 DESC LIMIT 20"", 0) - 1)))"),"#N/A")</f>
        <v>#N/A</v>
      </c>
      <c r="H565" s="35" t="str">
        <f t="shared" si="6"/>
        <v/>
      </c>
      <c r="I565" s="36" t="str">
        <f t="shared" si="7"/>
        <v/>
      </c>
      <c r="J565" s="37" t="str">
        <f>IFERROR(__xludf.DUMMYFUNCTION("IFERROR(
  IF(C565="""",, 
    IFERROR(
      GOOGLEFINANCE(C565, ""price"") * GOOGLEFINANCE(C565, ""volumeavg""), 
      GOOGLEFINANCE(C565, ""price"") * AVERAGE(QUERY(GOOGLEFINANCE(C565, ""volume"", TODAY()-40, TODAY()), ""SELECT Col2 WHERE Col2 IS NOT "&amp;"NULL ORDER BY Col1 DESC LIMIT 20"", 0))
    )
  ), 
"""")"),"")</f>
        <v/>
      </c>
      <c r="K565" s="21" t="str">
        <f>IFERROR(__xludf.DUMMYFUNCTION("IFERROR(GOOGLEFINANCE(C565, ""changepct"") / 100, """")"),"")</f>
        <v/>
      </c>
      <c r="L565" s="21" t="str">
        <f>IFERROR(__xludf.DUMMYFUNCTION("IFERROR((GOOGLEFINANCE(C565, ""price"") / INDEX(GOOGLEFINANCE(C565, ""price"", TODAY()-7, TODAY()), 2, 2)) - 1, """")"),"")</f>
        <v/>
      </c>
      <c r="M565" s="21" t="str">
        <f>IFERROR(__xludf.DUMMYFUNCTION("IFERROR((GOOGLEFINANCE(C565, ""price"") / INDEX(GOOGLEFINANCE(C565, ""price"", EDATE(TODAY(), -1), TODAY()), 2, 2)) - 1, """")"),"")</f>
        <v/>
      </c>
      <c r="N565" s="21" t="str">
        <f>IFERROR(__xludf.DUMMYFUNCTION("IFERROR((GOOGLEFINANCE(C565, ""price"") / INDEX(GOOGLEFINANCE(C565, ""price"", EDATE(TODAY(), -3), TODAY()), 2, 2)) - 1, """")"),"")</f>
        <v/>
      </c>
      <c r="O565" s="21" t="str">
        <f>IFERROR(__xludf.DUMMYFUNCTION("IFERROR((GOOGLEFINANCE(C565, ""price"") / INDEX(GOOGLEFINANCE(C565, ""price"", EDATE(TODAY(), -6), TODAY()), 2, 2)) - 1, """")"),"")</f>
        <v/>
      </c>
      <c r="P565" s="21" t="str">
        <f>IFERROR(__xludf.DUMMYFUNCTION("IFERROR((GOOGLEFINANCE(C565, ""price"") / INDEX(GOOGLEFINANCE(C565, ""price"", EDATE(TODAY(), -12), TODAY()), 2, 2)) - 1, """")"),"")</f>
        <v/>
      </c>
      <c r="Q565" s="6" t="str">
        <f>IFERROR(__xludf.DUMMYFUNCTION("AVERAGE(QUERY(GOOGLEFINANCE(C565, ""price"", TODAY()-80, TODAY()), ""SELECT Col2 WHERE Col2 IS NOT NULL ORDER BY Col1 DESC LIMIT 50"", 0))"),"#N/A")</f>
        <v>#N/A</v>
      </c>
      <c r="R565" s="24" t="str">
        <f>IFERROR(__xludf.DUMMYFUNCTION("IFERROR(
  LET(
    data, QUERY(GOOGLEFINANCE(C565,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GOOGLEFINANCE(C565, ""price"")) * 100,
    IF(calc=0, G565, calc)
  ), 
G565)"),"#N/A")</f>
        <v>#N/A</v>
      </c>
      <c r="S565" s="8" t="s">
        <v>15</v>
      </c>
      <c r="T565" s="26" t="str">
        <f>IFERROR(__xludf.DUMMYFUNCTION("IFERROR(TRANSPOSE(QUERY(IFERROR(SORT(GOOGLEFINANCE(C565, ""price"", WORKDAY(TODAY(), -40), TODAY()), 1, FALSE)), ""select Col2 where Col2 is not null limit 22 label Col2 ''"", 0)), """")"),"")</f>
        <v/>
      </c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8"/>
      <c r="AO565" s="28"/>
      <c r="AP565" s="29"/>
      <c r="AQ565" s="29" t="str">
        <f t="shared" ref="AQ565:BL565" si="568">T565/T$2</f>
        <v>#N/A</v>
      </c>
      <c r="AR565" s="29" t="str">
        <f t="shared" si="568"/>
        <v>#DIV/0!</v>
      </c>
      <c r="AS565" s="29" t="str">
        <f t="shared" si="568"/>
        <v>#DIV/0!</v>
      </c>
      <c r="AT565" s="29" t="str">
        <f t="shared" si="568"/>
        <v>#DIV/0!</v>
      </c>
      <c r="AU565" s="29" t="str">
        <f t="shared" si="568"/>
        <v>#DIV/0!</v>
      </c>
      <c r="AV565" s="29" t="str">
        <f t="shared" si="568"/>
        <v>#DIV/0!</v>
      </c>
      <c r="AW565" s="29" t="str">
        <f t="shared" si="568"/>
        <v>#DIV/0!</v>
      </c>
      <c r="AX565" s="29" t="str">
        <f t="shared" si="568"/>
        <v>#DIV/0!</v>
      </c>
      <c r="AY565" s="29" t="str">
        <f t="shared" si="568"/>
        <v>#DIV/0!</v>
      </c>
      <c r="AZ565" s="29" t="str">
        <f t="shared" si="568"/>
        <v>#DIV/0!</v>
      </c>
      <c r="BA565" s="29" t="str">
        <f t="shared" si="568"/>
        <v>#DIV/0!</v>
      </c>
      <c r="BB565" s="29" t="str">
        <f t="shared" si="568"/>
        <v>#DIV/0!</v>
      </c>
      <c r="BC565" s="29" t="str">
        <f t="shared" si="568"/>
        <v>#DIV/0!</v>
      </c>
      <c r="BD565" s="29" t="str">
        <f t="shared" si="568"/>
        <v>#DIV/0!</v>
      </c>
      <c r="BE565" s="29" t="str">
        <f t="shared" si="568"/>
        <v>#DIV/0!</v>
      </c>
      <c r="BF565" s="29" t="str">
        <f t="shared" si="568"/>
        <v>#DIV/0!</v>
      </c>
      <c r="BG565" s="29" t="str">
        <f t="shared" si="568"/>
        <v>#DIV/0!</v>
      </c>
      <c r="BH565" s="29" t="str">
        <f t="shared" si="568"/>
        <v>#DIV/0!</v>
      </c>
      <c r="BI565" s="29" t="str">
        <f t="shared" si="568"/>
        <v>#DIV/0!</v>
      </c>
      <c r="BJ565" s="29" t="str">
        <f t="shared" si="568"/>
        <v>#DIV/0!</v>
      </c>
      <c r="BK565" s="29" t="str">
        <f t="shared" si="568"/>
        <v>#DIV/0!</v>
      </c>
      <c r="BL565" s="29" t="str">
        <f t="shared" si="568"/>
        <v>#DIV/0!</v>
      </c>
      <c r="BM565" s="29" t="str">
        <f t="shared" si="3"/>
        <v>#DIV/0!</v>
      </c>
    </row>
    <row r="566">
      <c r="A566" s="16" t="str">
        <f>IFERROR(__xludf.DUMMYFUNCTION("IFERROR(SPARKLINE(SORT(MAP(TRANSPOSE(AQ566:BL566), LAMBDA(val, IF(ISNUMBER(val), PERCENTRANK(AQ566:BL566, val)+0.01, 0))), SEQUENCE(COLUMNS(AQ566:BL566)), FALSE), {""charttype"",""column""; ""color"",""chartreuse""; ""ymin"", 0; ""ymax"", 1.01; ""highcolo"&amp;"r"", ""darkgreen""; ""lowcolor"", ""red""}), """")"),"")</f>
        <v/>
      </c>
      <c r="B566" s="17" t="str">
        <f t="shared" si="4"/>
        <v/>
      </c>
      <c r="C566" s="1" t="s">
        <v>2539</v>
      </c>
      <c r="D566" s="34" t="str">
        <f>IFERROR(__xludf.DUMMYFUNCTION("IFERROR(GOOGLEFINANCE(C566, ""NAME""))"),"Hagerty Inc")</f>
        <v>Hagerty Inc</v>
      </c>
      <c r="E566" s="30" t="s">
        <v>82</v>
      </c>
      <c r="F566" s="38" t="str">
        <f>IFERROR(__xludf.DUMMYFUNCTION("( (GOOGLEFINANCE(C566, ""price"") - Q566) / Q566 ) / (R566 / 100)"),"Loading...")</f>
        <v>Loading...</v>
      </c>
      <c r="G566" s="20" t="str">
        <f>IFERROR(__xludf.DUMMYFUNCTION("AVERAGE(ARRAYFORMULA(100 * (QUERY(GOOGLEFINANCE(C566, ""high"", TODAY()-40, TODAY()), ""SELECT Col2 WHERE Col2 IS NOT NULL ORDER BY Col1 DESC LIMIT 20"", 0) / QUERY(GOOGLEFINANCE(C566, ""low"", TODAY()-40, TODAY()), ""SELECT Col2 WHERE Col2 IS NOT NULL OR"&amp;"DER BY Col1 DESC LIMIT 20"", 0) - 1)))"),"#N/A")</f>
        <v>#N/A</v>
      </c>
      <c r="H566" s="35" t="str">
        <f t="shared" si="6"/>
        <v/>
      </c>
      <c r="I566" s="36" t="str">
        <f t="shared" si="7"/>
        <v/>
      </c>
      <c r="J566" s="37" t="str">
        <f>IFERROR(__xludf.DUMMYFUNCTION("IFERROR(
  IF(C566="""",, 
    IFERROR(
      GOOGLEFINANCE(C566, ""price"") * GOOGLEFINANCE(C566, ""volumeavg""), 
      GOOGLEFINANCE(C566, ""price"") * AVERAGE(QUERY(GOOGLEFINANCE(C566, ""volume"", TODAY()-40, TODAY()), ""SELECT Col2 WHERE Col2 IS NOT "&amp;"NULL ORDER BY Col1 DESC LIMIT 20"", 0))
    )
  ), 
"""")"),"")</f>
        <v/>
      </c>
      <c r="K566" s="21" t="str">
        <f>IFERROR(__xludf.DUMMYFUNCTION("IFERROR(GOOGLEFINANCE(C566, ""changepct"") / 100, """")"),"")</f>
        <v/>
      </c>
      <c r="L566" s="21" t="str">
        <f>IFERROR(__xludf.DUMMYFUNCTION("IFERROR((GOOGLEFINANCE(C566, ""price"") / INDEX(GOOGLEFINANCE(C566, ""price"", TODAY()-7, TODAY()), 2, 2)) - 1, """")"),"")</f>
        <v/>
      </c>
      <c r="M566" s="21" t="str">
        <f>IFERROR(__xludf.DUMMYFUNCTION("IFERROR((GOOGLEFINANCE(C566, ""price"") / INDEX(GOOGLEFINANCE(C566, ""price"", EDATE(TODAY(), -1), TODAY()), 2, 2)) - 1, """")"),"")</f>
        <v/>
      </c>
      <c r="N566" s="21" t="str">
        <f>IFERROR(__xludf.DUMMYFUNCTION("IFERROR((GOOGLEFINANCE(C566, ""price"") / INDEX(GOOGLEFINANCE(C566, ""price"", EDATE(TODAY(), -3), TODAY()), 2, 2)) - 1, """")"),"")</f>
        <v/>
      </c>
      <c r="O566" s="21" t="str">
        <f>IFERROR(__xludf.DUMMYFUNCTION("IFERROR((GOOGLEFINANCE(C566, ""price"") / INDEX(GOOGLEFINANCE(C566, ""price"", EDATE(TODAY(), -6), TODAY()), 2, 2)) - 1, """")"),"")</f>
        <v/>
      </c>
      <c r="P566" s="21" t="str">
        <f>IFERROR(__xludf.DUMMYFUNCTION("IFERROR((GOOGLEFINANCE(C566, ""price"") / INDEX(GOOGLEFINANCE(C566, ""price"", EDATE(TODAY(), -12), TODAY()), 2, 2)) - 1, """")"),"")</f>
        <v/>
      </c>
      <c r="Q566" s="6" t="str">
        <f>IFERROR(__xludf.DUMMYFUNCTION("AVERAGE(QUERY(GOOGLEFINANCE(C566, ""price"", TODAY()-80, TODAY()), ""SELECT Col2 WHERE Col2 IS NOT NULL ORDER BY Col1 DESC LIMIT 50"", 0))"),"#N/A")</f>
        <v>#N/A</v>
      </c>
      <c r="R566" s="24" t="str">
        <f>IFERROR(__xludf.DUMMYFUNCTION("IFERROR(
  LET(
    data, QUERY(GOOGLEFINANCE(C566,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GOOGLEFINANCE(C566, ""price"")) * 100,
    IF(calc=0, G566, calc)
  ), 
G566)"),"#N/A")</f>
        <v>#N/A</v>
      </c>
      <c r="S566" s="8" t="s">
        <v>15</v>
      </c>
      <c r="T566" s="26" t="str">
        <f>IFERROR(__xludf.DUMMYFUNCTION("IFERROR(TRANSPOSE(QUERY(IFERROR(SORT(GOOGLEFINANCE(C566, ""price"", WORKDAY(TODAY(), -40), TODAY()), 1, FALSE)), ""select Col2 where Col2 is not null limit 22 label Col2 ''"", 0)), """")"),"")</f>
        <v/>
      </c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8"/>
      <c r="AO566" s="28"/>
      <c r="AP566" s="29"/>
      <c r="AQ566" s="29" t="str">
        <f t="shared" ref="AQ566:BL566" si="569">T566/T$2</f>
        <v>#N/A</v>
      </c>
      <c r="AR566" s="29" t="str">
        <f t="shared" si="569"/>
        <v>#DIV/0!</v>
      </c>
      <c r="AS566" s="29" t="str">
        <f t="shared" si="569"/>
        <v>#DIV/0!</v>
      </c>
      <c r="AT566" s="29" t="str">
        <f t="shared" si="569"/>
        <v>#DIV/0!</v>
      </c>
      <c r="AU566" s="29" t="str">
        <f t="shared" si="569"/>
        <v>#DIV/0!</v>
      </c>
      <c r="AV566" s="29" t="str">
        <f t="shared" si="569"/>
        <v>#DIV/0!</v>
      </c>
      <c r="AW566" s="29" t="str">
        <f t="shared" si="569"/>
        <v>#DIV/0!</v>
      </c>
      <c r="AX566" s="29" t="str">
        <f t="shared" si="569"/>
        <v>#DIV/0!</v>
      </c>
      <c r="AY566" s="29" t="str">
        <f t="shared" si="569"/>
        <v>#DIV/0!</v>
      </c>
      <c r="AZ566" s="29" t="str">
        <f t="shared" si="569"/>
        <v>#DIV/0!</v>
      </c>
      <c r="BA566" s="29" t="str">
        <f t="shared" si="569"/>
        <v>#DIV/0!</v>
      </c>
      <c r="BB566" s="29" t="str">
        <f t="shared" si="569"/>
        <v>#DIV/0!</v>
      </c>
      <c r="BC566" s="29" t="str">
        <f t="shared" si="569"/>
        <v>#DIV/0!</v>
      </c>
      <c r="BD566" s="29" t="str">
        <f t="shared" si="569"/>
        <v>#DIV/0!</v>
      </c>
      <c r="BE566" s="29" t="str">
        <f t="shared" si="569"/>
        <v>#DIV/0!</v>
      </c>
      <c r="BF566" s="29" t="str">
        <f t="shared" si="569"/>
        <v>#DIV/0!</v>
      </c>
      <c r="BG566" s="29" t="str">
        <f t="shared" si="569"/>
        <v>#DIV/0!</v>
      </c>
      <c r="BH566" s="29" t="str">
        <f t="shared" si="569"/>
        <v>#DIV/0!</v>
      </c>
      <c r="BI566" s="29" t="str">
        <f t="shared" si="569"/>
        <v>#DIV/0!</v>
      </c>
      <c r="BJ566" s="29" t="str">
        <f t="shared" si="569"/>
        <v>#DIV/0!</v>
      </c>
      <c r="BK566" s="29" t="str">
        <f t="shared" si="569"/>
        <v>#DIV/0!</v>
      </c>
      <c r="BL566" s="29" t="str">
        <f t="shared" si="569"/>
        <v>#DIV/0!</v>
      </c>
      <c r="BM566" s="29" t="str">
        <f t="shared" si="3"/>
        <v>#DIV/0!</v>
      </c>
    </row>
    <row r="567">
      <c r="A567" s="16" t="str">
        <f>IFERROR(__xludf.DUMMYFUNCTION("IFERROR(SPARKLINE(SORT(MAP(TRANSPOSE(AQ567:BL567), LAMBDA(val, IF(ISNUMBER(val), PERCENTRANK(AQ567:BL567, val)+0.01, 0))), SEQUENCE(COLUMNS(AQ567:BL567)), FALSE), {""charttype"",""column""; ""color"",""chartreuse""; ""ymin"", 0; ""ymax"", 1.01; ""highcolo"&amp;"r"", ""darkgreen""; ""lowcolor"", ""red""}), """")"),"")</f>
        <v/>
      </c>
      <c r="B567" s="17" t="str">
        <f t="shared" si="4"/>
        <v/>
      </c>
      <c r="C567" s="1" t="s">
        <v>2544</v>
      </c>
      <c r="D567" s="34" t="str">
        <f>IFERROR(__xludf.DUMMYFUNCTION("IFERROR(GOOGLEFINANCE(C567, ""NAME""))"),"Safety Insurance Group Inc")</f>
        <v>Safety Insurance Group Inc</v>
      </c>
      <c r="E567" s="30" t="s">
        <v>82</v>
      </c>
      <c r="F567" s="33" t="str">
        <f>IFERROR(__xludf.DUMMYFUNCTION("( (GOOGLEFINANCE(C567, ""price"") - Q567) / Q567 ) / (R567 / 100)"),"Loading...")</f>
        <v>Loading...</v>
      </c>
      <c r="G567" s="20" t="str">
        <f>IFERROR(__xludf.DUMMYFUNCTION("AVERAGE(ARRAYFORMULA(100 * (QUERY(GOOGLEFINANCE(C567, ""high"", TODAY()-40, TODAY()), ""SELECT Col2 WHERE Col2 IS NOT NULL ORDER BY Col1 DESC LIMIT 20"", 0) / QUERY(GOOGLEFINANCE(C567, ""low"", TODAY()-40, TODAY()), ""SELECT Col2 WHERE Col2 IS NOT NULL OR"&amp;"DER BY Col1 DESC LIMIT 20"", 0) - 1)))"),"#N/A")</f>
        <v>#N/A</v>
      </c>
      <c r="H567" s="35" t="str">
        <f t="shared" si="6"/>
        <v/>
      </c>
      <c r="I567" s="36" t="str">
        <f t="shared" si="7"/>
        <v/>
      </c>
      <c r="J567" s="37" t="str">
        <f>IFERROR(__xludf.DUMMYFUNCTION("IFERROR(
  IF(C567="""",, 
    IFERROR(
      GOOGLEFINANCE(C567, ""price"") * GOOGLEFINANCE(C567, ""volumeavg""), 
      GOOGLEFINANCE(C567, ""price"") * AVERAGE(QUERY(GOOGLEFINANCE(C567, ""volume"", TODAY()-40, TODAY()), ""SELECT Col2 WHERE Col2 IS NOT "&amp;"NULL ORDER BY Col1 DESC LIMIT 20"", 0))
    )
  ), 
"""")"),"")</f>
        <v/>
      </c>
      <c r="K567" s="21" t="str">
        <f>IFERROR(__xludf.DUMMYFUNCTION("IFERROR(GOOGLEFINANCE(C567, ""changepct"") / 100, """")"),"")</f>
        <v/>
      </c>
      <c r="L567" s="21" t="str">
        <f>IFERROR(__xludf.DUMMYFUNCTION("IFERROR((GOOGLEFINANCE(C567, ""price"") / INDEX(GOOGLEFINANCE(C567, ""price"", TODAY()-7, TODAY()), 2, 2)) - 1, """")"),"")</f>
        <v/>
      </c>
      <c r="M567" s="21" t="str">
        <f>IFERROR(__xludf.DUMMYFUNCTION("IFERROR((GOOGLEFINANCE(C567, ""price"") / INDEX(GOOGLEFINANCE(C567, ""price"", EDATE(TODAY(), -1), TODAY()), 2, 2)) - 1, """")"),"")</f>
        <v/>
      </c>
      <c r="N567" s="21" t="str">
        <f>IFERROR(__xludf.DUMMYFUNCTION("IFERROR((GOOGLEFINANCE(C567, ""price"") / INDEX(GOOGLEFINANCE(C567, ""price"", EDATE(TODAY(), -3), TODAY()), 2, 2)) - 1, """")"),"")</f>
        <v/>
      </c>
      <c r="O567" s="21" t="str">
        <f>IFERROR(__xludf.DUMMYFUNCTION("IFERROR((GOOGLEFINANCE(C567, ""price"") / INDEX(GOOGLEFINANCE(C567, ""price"", EDATE(TODAY(), -6), TODAY()), 2, 2)) - 1, """")"),"")</f>
        <v/>
      </c>
      <c r="P567" s="21" t="str">
        <f>IFERROR(__xludf.DUMMYFUNCTION("IFERROR((GOOGLEFINANCE(C567, ""price"") / INDEX(GOOGLEFINANCE(C567, ""price"", EDATE(TODAY(), -12), TODAY()), 2, 2)) - 1, """")"),"")</f>
        <v/>
      </c>
      <c r="Q567" s="6" t="str">
        <f>IFERROR(__xludf.DUMMYFUNCTION("AVERAGE(QUERY(GOOGLEFINANCE(C567, ""price"", TODAY()-80, TODAY()), ""SELECT Col2 WHERE Col2 IS NOT NULL ORDER BY Col1 DESC LIMIT 50"", 0))"),"#N/A")</f>
        <v>#N/A</v>
      </c>
      <c r="R567" s="24" t="str">
        <f>IFERROR(__xludf.DUMMYFUNCTION("IFERROR(
  LET(
    data, QUERY(GOOGLEFINANCE(C567,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GOOGLEFINANCE(C567, ""price"")) * 100,
    IF(calc=0, G567, calc)
  ), 
G567)"),"#N/A")</f>
        <v>#N/A</v>
      </c>
      <c r="S567" s="8" t="s">
        <v>15</v>
      </c>
      <c r="T567" s="26" t="str">
        <f>IFERROR(__xludf.DUMMYFUNCTION("IFERROR(TRANSPOSE(QUERY(IFERROR(SORT(GOOGLEFINANCE(C567, ""price"", WORKDAY(TODAY(), -40), TODAY()), 1, FALSE)), ""select Col2 where Col2 is not null limit 22 label Col2 ''"", 0)), """")"),"")</f>
        <v/>
      </c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8"/>
      <c r="AO567" s="28"/>
      <c r="AP567" s="29"/>
      <c r="AQ567" s="29" t="str">
        <f t="shared" ref="AQ567:BL567" si="570">T567/T$2</f>
        <v>#N/A</v>
      </c>
      <c r="AR567" s="29" t="str">
        <f t="shared" si="570"/>
        <v>#DIV/0!</v>
      </c>
      <c r="AS567" s="29" t="str">
        <f t="shared" si="570"/>
        <v>#DIV/0!</v>
      </c>
      <c r="AT567" s="29" t="str">
        <f t="shared" si="570"/>
        <v>#DIV/0!</v>
      </c>
      <c r="AU567" s="29" t="str">
        <f t="shared" si="570"/>
        <v>#DIV/0!</v>
      </c>
      <c r="AV567" s="29" t="str">
        <f t="shared" si="570"/>
        <v>#DIV/0!</v>
      </c>
      <c r="AW567" s="29" t="str">
        <f t="shared" si="570"/>
        <v>#DIV/0!</v>
      </c>
      <c r="AX567" s="29" t="str">
        <f t="shared" si="570"/>
        <v>#DIV/0!</v>
      </c>
      <c r="AY567" s="29" t="str">
        <f t="shared" si="570"/>
        <v>#DIV/0!</v>
      </c>
      <c r="AZ567" s="29" t="str">
        <f t="shared" si="570"/>
        <v>#DIV/0!</v>
      </c>
      <c r="BA567" s="29" t="str">
        <f t="shared" si="570"/>
        <v>#DIV/0!</v>
      </c>
      <c r="BB567" s="29" t="str">
        <f t="shared" si="570"/>
        <v>#DIV/0!</v>
      </c>
      <c r="BC567" s="29" t="str">
        <f t="shared" si="570"/>
        <v>#DIV/0!</v>
      </c>
      <c r="BD567" s="29" t="str">
        <f t="shared" si="570"/>
        <v>#DIV/0!</v>
      </c>
      <c r="BE567" s="29" t="str">
        <f t="shared" si="570"/>
        <v>#DIV/0!</v>
      </c>
      <c r="BF567" s="29" t="str">
        <f t="shared" si="570"/>
        <v>#DIV/0!</v>
      </c>
      <c r="BG567" s="29" t="str">
        <f t="shared" si="570"/>
        <v>#DIV/0!</v>
      </c>
      <c r="BH567" s="29" t="str">
        <f t="shared" si="570"/>
        <v>#DIV/0!</v>
      </c>
      <c r="BI567" s="29" t="str">
        <f t="shared" si="570"/>
        <v>#DIV/0!</v>
      </c>
      <c r="BJ567" s="29" t="str">
        <f t="shared" si="570"/>
        <v>#DIV/0!</v>
      </c>
      <c r="BK567" s="29" t="str">
        <f t="shared" si="570"/>
        <v>#DIV/0!</v>
      </c>
      <c r="BL567" s="29" t="str">
        <f t="shared" si="570"/>
        <v>#DIV/0!</v>
      </c>
      <c r="BM567" s="29" t="str">
        <f t="shared" si="3"/>
        <v>#DIV/0!</v>
      </c>
    </row>
    <row r="568">
      <c r="A568" s="16" t="str">
        <f>IFERROR(__xludf.DUMMYFUNCTION("IFERROR(SPARKLINE(SORT(MAP(TRANSPOSE(AQ568:BL568), LAMBDA(val, IF(ISNUMBER(val), PERCENTRANK(AQ568:BL568, val)+0.01, 0))), SEQUENCE(COLUMNS(AQ568:BL568)), FALSE), {""charttype"",""column""; ""color"",""chartreuse""; ""ymin"", 0; ""ymax"", 1.01; ""highcolo"&amp;"r"", ""darkgreen""; ""lowcolor"", ""red""}), """")"),"")</f>
        <v/>
      </c>
      <c r="B568" s="17" t="str">
        <f t="shared" si="4"/>
        <v/>
      </c>
      <c r="C568" s="1" t="s">
        <v>2549</v>
      </c>
      <c r="D568" s="34" t="str">
        <f>IFERROR(__xludf.DUMMYFUNCTION("IFERROR(GOOGLEFINANCE(C568, ""NAME""))"),"Greenlight Capital Re, Ltd.")</f>
        <v>Greenlight Capital Re, Ltd.</v>
      </c>
      <c r="E568" s="30" t="s">
        <v>1409</v>
      </c>
      <c r="F568" s="33" t="str">
        <f>IFERROR(__xludf.DUMMYFUNCTION("( (GOOGLEFINANCE(C568, ""price"") - Q568) / Q568 ) / (R568 / 100)"),"Loading...")</f>
        <v>Loading...</v>
      </c>
      <c r="G568" s="20" t="str">
        <f>IFERROR(__xludf.DUMMYFUNCTION("AVERAGE(ARRAYFORMULA(100 * (QUERY(GOOGLEFINANCE(C568, ""high"", TODAY()-40, TODAY()), ""SELECT Col2 WHERE Col2 IS NOT NULL ORDER BY Col1 DESC LIMIT 20"", 0) / QUERY(GOOGLEFINANCE(C568, ""low"", TODAY()-40, TODAY()), ""SELECT Col2 WHERE Col2 IS NOT NULL OR"&amp;"DER BY Col1 DESC LIMIT 20"", 0) - 1)))"),"#N/A")</f>
        <v>#N/A</v>
      </c>
      <c r="H568" s="35" t="str">
        <f t="shared" si="6"/>
        <v/>
      </c>
      <c r="I568" s="36" t="str">
        <f t="shared" si="7"/>
        <v/>
      </c>
      <c r="J568" s="37" t="str">
        <f>IFERROR(__xludf.DUMMYFUNCTION("IFERROR(
  IF(C568="""",, 
    IFERROR(
      GOOGLEFINANCE(C568, ""price"") * GOOGLEFINANCE(C568, ""volumeavg""), 
      GOOGLEFINANCE(C568, ""price"") * AVERAGE(QUERY(GOOGLEFINANCE(C568, ""volume"", TODAY()-40, TODAY()), ""SELECT Col2 WHERE Col2 IS NOT "&amp;"NULL ORDER BY Col1 DESC LIMIT 20"", 0))
    )
  ), 
"""")"),"")</f>
        <v/>
      </c>
      <c r="K568" s="21" t="str">
        <f>IFERROR(__xludf.DUMMYFUNCTION("IFERROR(GOOGLEFINANCE(C568, ""changepct"") / 100, """")"),"")</f>
        <v/>
      </c>
      <c r="L568" s="21" t="str">
        <f>IFERROR(__xludf.DUMMYFUNCTION("IFERROR((GOOGLEFINANCE(C568, ""price"") / INDEX(GOOGLEFINANCE(C568, ""price"", TODAY()-7, TODAY()), 2, 2)) - 1, """")"),"")</f>
        <v/>
      </c>
      <c r="M568" s="21" t="str">
        <f>IFERROR(__xludf.DUMMYFUNCTION("IFERROR((GOOGLEFINANCE(C568, ""price"") / INDEX(GOOGLEFINANCE(C568, ""price"", EDATE(TODAY(), -1), TODAY()), 2, 2)) - 1, """")"),"")</f>
        <v/>
      </c>
      <c r="N568" s="21" t="str">
        <f>IFERROR(__xludf.DUMMYFUNCTION("IFERROR((GOOGLEFINANCE(C568, ""price"") / INDEX(GOOGLEFINANCE(C568, ""price"", EDATE(TODAY(), -3), TODAY()), 2, 2)) - 1, """")"),"")</f>
        <v/>
      </c>
      <c r="O568" s="21" t="str">
        <f>IFERROR(__xludf.DUMMYFUNCTION("IFERROR((GOOGLEFINANCE(C568, ""price"") / INDEX(GOOGLEFINANCE(C568, ""price"", EDATE(TODAY(), -6), TODAY()), 2, 2)) - 1, """")"),"")</f>
        <v/>
      </c>
      <c r="P568" s="21" t="str">
        <f>IFERROR(__xludf.DUMMYFUNCTION("IFERROR((GOOGLEFINANCE(C568, ""price"") / INDEX(GOOGLEFINANCE(C568, ""price"", EDATE(TODAY(), -12), TODAY()), 2, 2)) - 1, """")"),"")</f>
        <v/>
      </c>
      <c r="Q568" s="6" t="str">
        <f>IFERROR(__xludf.DUMMYFUNCTION("AVERAGE(QUERY(GOOGLEFINANCE(C568, ""price"", TODAY()-80, TODAY()), ""SELECT Col2 WHERE Col2 IS NOT NULL ORDER BY Col1 DESC LIMIT 50"", 0))"),"#N/A")</f>
        <v>#N/A</v>
      </c>
      <c r="R568" s="24" t="str">
        <f>IFERROR(__xludf.DUMMYFUNCTION("IFERROR(
  LET(
    data, QUERY(GOOGLEFINANCE(C568,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GOOGLEFINANCE(C568, ""price"")) * 100,
    IF(calc=0, G568, calc)
  ), 
G568)"),"#N/A")</f>
        <v>#N/A</v>
      </c>
      <c r="S568" s="8" t="s">
        <v>15</v>
      </c>
      <c r="T568" s="26" t="str">
        <f>IFERROR(__xludf.DUMMYFUNCTION("IFERROR(TRANSPOSE(QUERY(IFERROR(SORT(GOOGLEFINANCE(C568, ""price"", WORKDAY(TODAY(), -40), TODAY()), 1, FALSE)), ""select Col2 where Col2 is not null limit 22 label Col2 ''"", 0)), """")"),"")</f>
        <v/>
      </c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8"/>
      <c r="AO568" s="28"/>
      <c r="AP568" s="29"/>
      <c r="AQ568" s="29" t="str">
        <f t="shared" ref="AQ568:BL568" si="571">T568/T$2</f>
        <v>#N/A</v>
      </c>
      <c r="AR568" s="29" t="str">
        <f t="shared" si="571"/>
        <v>#DIV/0!</v>
      </c>
      <c r="AS568" s="29" t="str">
        <f t="shared" si="571"/>
        <v>#DIV/0!</v>
      </c>
      <c r="AT568" s="29" t="str">
        <f t="shared" si="571"/>
        <v>#DIV/0!</v>
      </c>
      <c r="AU568" s="29" t="str">
        <f t="shared" si="571"/>
        <v>#DIV/0!</v>
      </c>
      <c r="AV568" s="29" t="str">
        <f t="shared" si="571"/>
        <v>#DIV/0!</v>
      </c>
      <c r="AW568" s="29" t="str">
        <f t="shared" si="571"/>
        <v>#DIV/0!</v>
      </c>
      <c r="AX568" s="29" t="str">
        <f t="shared" si="571"/>
        <v>#DIV/0!</v>
      </c>
      <c r="AY568" s="29" t="str">
        <f t="shared" si="571"/>
        <v>#DIV/0!</v>
      </c>
      <c r="AZ568" s="29" t="str">
        <f t="shared" si="571"/>
        <v>#DIV/0!</v>
      </c>
      <c r="BA568" s="29" t="str">
        <f t="shared" si="571"/>
        <v>#DIV/0!</v>
      </c>
      <c r="BB568" s="29" t="str">
        <f t="shared" si="571"/>
        <v>#DIV/0!</v>
      </c>
      <c r="BC568" s="29" t="str">
        <f t="shared" si="571"/>
        <v>#DIV/0!</v>
      </c>
      <c r="BD568" s="29" t="str">
        <f t="shared" si="571"/>
        <v>#DIV/0!</v>
      </c>
      <c r="BE568" s="29" t="str">
        <f t="shared" si="571"/>
        <v>#DIV/0!</v>
      </c>
      <c r="BF568" s="29" t="str">
        <f t="shared" si="571"/>
        <v>#DIV/0!</v>
      </c>
      <c r="BG568" s="29" t="str">
        <f t="shared" si="571"/>
        <v>#DIV/0!</v>
      </c>
      <c r="BH568" s="29" t="str">
        <f t="shared" si="571"/>
        <v>#DIV/0!</v>
      </c>
      <c r="BI568" s="29" t="str">
        <f t="shared" si="571"/>
        <v>#DIV/0!</v>
      </c>
      <c r="BJ568" s="29" t="str">
        <f t="shared" si="571"/>
        <v>#DIV/0!</v>
      </c>
      <c r="BK568" s="29" t="str">
        <f t="shared" si="571"/>
        <v>#DIV/0!</v>
      </c>
      <c r="BL568" s="29" t="str">
        <f t="shared" si="571"/>
        <v>#DIV/0!</v>
      </c>
      <c r="BM568" s="29" t="str">
        <f t="shared" si="3"/>
        <v>#DIV/0!</v>
      </c>
    </row>
    <row r="569">
      <c r="A569" s="16" t="str">
        <f>IFERROR(__xludf.DUMMYFUNCTION("IFERROR(SPARKLINE(SORT(MAP(TRANSPOSE(AQ569:BL569), LAMBDA(val, IF(ISNUMBER(val), PERCENTRANK(AQ569:BL569, val)+0.01, 0))), SEQUENCE(COLUMNS(AQ569:BL569)), FALSE), {""charttype"",""column""; ""color"",""chartreuse""; ""ymin"", 0; ""ymax"", 1.01; ""highcolo"&amp;"r"", ""darkgreen""; ""lowcolor"", ""red""}), """")"),"")</f>
        <v/>
      </c>
      <c r="B569" s="17" t="str">
        <f t="shared" si="4"/>
        <v/>
      </c>
      <c r="C569" s="1" t="s">
        <v>2553</v>
      </c>
      <c r="D569" s="34" t="str">
        <f>IFERROR(__xludf.DUMMYFUNCTION("IFERROR(GOOGLEFINANCE(C569, ""NAME""))"),"Goosehead Insurance Inc")</f>
        <v>Goosehead Insurance Inc</v>
      </c>
      <c r="E569" s="30" t="s">
        <v>311</v>
      </c>
      <c r="F569" s="33" t="str">
        <f>IFERROR(__xludf.DUMMYFUNCTION("( (GOOGLEFINANCE(C569, ""price"") - Q569) / Q569 ) / (R569 / 100)"),"Loading...")</f>
        <v>Loading...</v>
      </c>
      <c r="G569" s="20" t="str">
        <f>IFERROR(__xludf.DUMMYFUNCTION("AVERAGE(ARRAYFORMULA(100 * (QUERY(GOOGLEFINANCE(C569, ""high"", TODAY()-40, TODAY()), ""SELECT Col2 WHERE Col2 IS NOT NULL ORDER BY Col1 DESC LIMIT 20"", 0) / QUERY(GOOGLEFINANCE(C569, ""low"", TODAY()-40, TODAY()), ""SELECT Col2 WHERE Col2 IS NOT NULL OR"&amp;"DER BY Col1 DESC LIMIT 20"", 0) - 1)))"),"#N/A")</f>
        <v>#N/A</v>
      </c>
      <c r="H569" s="35" t="str">
        <f t="shared" si="6"/>
        <v/>
      </c>
      <c r="I569" s="36" t="str">
        <f t="shared" si="7"/>
        <v/>
      </c>
      <c r="J569" s="37" t="str">
        <f>IFERROR(__xludf.DUMMYFUNCTION("IFERROR(
  IF(C569="""",, 
    IFERROR(
      GOOGLEFINANCE(C569, ""price"") * GOOGLEFINANCE(C569, ""volumeavg""), 
      GOOGLEFINANCE(C569, ""price"") * AVERAGE(QUERY(GOOGLEFINANCE(C569, ""volume"", TODAY()-40, TODAY()), ""SELECT Col2 WHERE Col2 IS NOT "&amp;"NULL ORDER BY Col1 DESC LIMIT 20"", 0))
    )
  ), 
"""")"),"")</f>
        <v/>
      </c>
      <c r="K569" s="21" t="str">
        <f>IFERROR(__xludf.DUMMYFUNCTION("IFERROR(GOOGLEFINANCE(C569, ""changepct"") / 100, """")"),"")</f>
        <v/>
      </c>
      <c r="L569" s="21" t="str">
        <f>IFERROR(__xludf.DUMMYFUNCTION("IFERROR((GOOGLEFINANCE(C569, ""price"") / INDEX(GOOGLEFINANCE(C569, ""price"", TODAY()-7, TODAY()), 2, 2)) - 1, """")"),"")</f>
        <v/>
      </c>
      <c r="M569" s="21" t="str">
        <f>IFERROR(__xludf.DUMMYFUNCTION("IFERROR((GOOGLEFINANCE(C569, ""price"") / INDEX(GOOGLEFINANCE(C569, ""price"", EDATE(TODAY(), -1), TODAY()), 2, 2)) - 1, """")"),"")</f>
        <v/>
      </c>
      <c r="N569" s="21" t="str">
        <f>IFERROR(__xludf.DUMMYFUNCTION("IFERROR((GOOGLEFINANCE(C569, ""price"") / INDEX(GOOGLEFINANCE(C569, ""price"", EDATE(TODAY(), -3), TODAY()), 2, 2)) - 1, """")"),"")</f>
        <v/>
      </c>
      <c r="O569" s="21" t="str">
        <f>IFERROR(__xludf.DUMMYFUNCTION("IFERROR((GOOGLEFINANCE(C569, ""price"") / INDEX(GOOGLEFINANCE(C569, ""price"", EDATE(TODAY(), -6), TODAY()), 2, 2)) - 1, """")"),"")</f>
        <v/>
      </c>
      <c r="P569" s="21" t="str">
        <f>IFERROR(__xludf.DUMMYFUNCTION("IFERROR((GOOGLEFINANCE(C569, ""price"") / INDEX(GOOGLEFINANCE(C569, ""price"", EDATE(TODAY(), -12), TODAY()), 2, 2)) - 1, """")"),"")</f>
        <v/>
      </c>
      <c r="Q569" s="6" t="str">
        <f>IFERROR(__xludf.DUMMYFUNCTION("AVERAGE(QUERY(GOOGLEFINANCE(C569, ""price"", TODAY()-80, TODAY()), ""SELECT Col2 WHERE Col2 IS NOT NULL ORDER BY Col1 DESC LIMIT 50"", 0))"),"#N/A")</f>
        <v>#N/A</v>
      </c>
      <c r="R569" s="24" t="str">
        <f>IFERROR(__xludf.DUMMYFUNCTION("IFERROR(
  LET(
    data, QUERY(GOOGLEFINANCE(C569,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GOOGLEFINANCE(C569, ""price"")) * 100,
    IF(calc=0, G569, calc)
  ), 
G569)"),"#N/A")</f>
        <v>#N/A</v>
      </c>
      <c r="S569" s="8" t="s">
        <v>15</v>
      </c>
      <c r="T569" s="26" t="str">
        <f>IFERROR(__xludf.DUMMYFUNCTION("IFERROR(TRANSPOSE(QUERY(IFERROR(SORT(GOOGLEFINANCE(C569, ""price"", WORKDAY(TODAY(), -40), TODAY()), 1, FALSE)), ""select Col2 where Col2 is not null limit 22 label Col2 ''"", 0)), """")"),"")</f>
        <v/>
      </c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8"/>
      <c r="AO569" s="28"/>
      <c r="AP569" s="29"/>
      <c r="AQ569" s="29" t="str">
        <f t="shared" ref="AQ569:BL569" si="572">T569/T$2</f>
        <v>#N/A</v>
      </c>
      <c r="AR569" s="29" t="str">
        <f t="shared" si="572"/>
        <v>#DIV/0!</v>
      </c>
      <c r="AS569" s="29" t="str">
        <f t="shared" si="572"/>
        <v>#DIV/0!</v>
      </c>
      <c r="AT569" s="29" t="str">
        <f t="shared" si="572"/>
        <v>#DIV/0!</v>
      </c>
      <c r="AU569" s="29" t="str">
        <f t="shared" si="572"/>
        <v>#DIV/0!</v>
      </c>
      <c r="AV569" s="29" t="str">
        <f t="shared" si="572"/>
        <v>#DIV/0!</v>
      </c>
      <c r="AW569" s="29" t="str">
        <f t="shared" si="572"/>
        <v>#DIV/0!</v>
      </c>
      <c r="AX569" s="29" t="str">
        <f t="shared" si="572"/>
        <v>#DIV/0!</v>
      </c>
      <c r="AY569" s="29" t="str">
        <f t="shared" si="572"/>
        <v>#DIV/0!</v>
      </c>
      <c r="AZ569" s="29" t="str">
        <f t="shared" si="572"/>
        <v>#DIV/0!</v>
      </c>
      <c r="BA569" s="29" t="str">
        <f t="shared" si="572"/>
        <v>#DIV/0!</v>
      </c>
      <c r="BB569" s="29" t="str">
        <f t="shared" si="572"/>
        <v>#DIV/0!</v>
      </c>
      <c r="BC569" s="29" t="str">
        <f t="shared" si="572"/>
        <v>#DIV/0!</v>
      </c>
      <c r="BD569" s="29" t="str">
        <f t="shared" si="572"/>
        <v>#DIV/0!</v>
      </c>
      <c r="BE569" s="29" t="str">
        <f t="shared" si="572"/>
        <v>#DIV/0!</v>
      </c>
      <c r="BF569" s="29" t="str">
        <f t="shared" si="572"/>
        <v>#DIV/0!</v>
      </c>
      <c r="BG569" s="29" t="str">
        <f t="shared" si="572"/>
        <v>#DIV/0!</v>
      </c>
      <c r="BH569" s="29" t="str">
        <f t="shared" si="572"/>
        <v>#DIV/0!</v>
      </c>
      <c r="BI569" s="29" t="str">
        <f t="shared" si="572"/>
        <v>#DIV/0!</v>
      </c>
      <c r="BJ569" s="29" t="str">
        <f t="shared" si="572"/>
        <v>#DIV/0!</v>
      </c>
      <c r="BK569" s="29" t="str">
        <f t="shared" si="572"/>
        <v>#DIV/0!</v>
      </c>
      <c r="BL569" s="29" t="str">
        <f t="shared" si="572"/>
        <v>#DIV/0!</v>
      </c>
      <c r="BM569" s="29" t="str">
        <f t="shared" si="3"/>
        <v>#DIV/0!</v>
      </c>
    </row>
    <row r="570">
      <c r="A570" s="16" t="str">
        <f>IFERROR(__xludf.DUMMYFUNCTION("IFERROR(SPARKLINE(SORT(MAP(TRANSPOSE(AQ570:BL570), LAMBDA(val, IF(ISNUMBER(val), PERCENTRANK(AQ570:BL570, val)+0.01, 0))), SEQUENCE(COLUMNS(AQ570:BL570)), FALSE), {""charttype"",""column""; ""color"",""chartreuse""; ""ymin"", 0; ""ymax"", 1.01; ""highcolo"&amp;"r"", ""darkgreen""; ""lowcolor"", ""red""}), """")"),"")</f>
        <v/>
      </c>
      <c r="B570" s="17" t="str">
        <f t="shared" si="4"/>
        <v/>
      </c>
      <c r="C570" s="1" t="s">
        <v>2557</v>
      </c>
      <c r="D570" s="34" t="str">
        <f>IFERROR(__xludf.DUMMYFUNCTION("IFERROR(GOOGLEFINANCE(C570, ""NAME""))"),"Baldwin Insurance Group, Inc")</f>
        <v>Baldwin Insurance Group, Inc</v>
      </c>
      <c r="E570" s="30" t="s">
        <v>311</v>
      </c>
      <c r="F570" s="33" t="str">
        <f>IFERROR(__xludf.DUMMYFUNCTION("( (GOOGLEFINANCE(C570, ""price"") - Q570) / Q570 ) / (R570 / 100)"),"Loading...")</f>
        <v>Loading...</v>
      </c>
      <c r="G570" s="20" t="str">
        <f>IFERROR(__xludf.DUMMYFUNCTION("AVERAGE(ARRAYFORMULA(100 * (QUERY(GOOGLEFINANCE(C570, ""high"", TODAY()-40, TODAY()), ""SELECT Col2 WHERE Col2 IS NOT NULL ORDER BY Col1 DESC LIMIT 20"", 0) / QUERY(GOOGLEFINANCE(C570, ""low"", TODAY()-40, TODAY()), ""SELECT Col2 WHERE Col2 IS NOT NULL OR"&amp;"DER BY Col1 DESC LIMIT 20"", 0) - 1)))"),"#N/A")</f>
        <v>#N/A</v>
      </c>
      <c r="H570" s="35" t="str">
        <f t="shared" si="6"/>
        <v/>
      </c>
      <c r="I570" s="36" t="str">
        <f t="shared" si="7"/>
        <v/>
      </c>
      <c r="J570" s="37" t="str">
        <f>IFERROR(__xludf.DUMMYFUNCTION("IFERROR(
  IF(C570="""",, 
    IFERROR(
      GOOGLEFINANCE(C570, ""price"") * GOOGLEFINANCE(C570, ""volumeavg""), 
      GOOGLEFINANCE(C570, ""price"") * AVERAGE(QUERY(GOOGLEFINANCE(C570, ""volume"", TODAY()-40, TODAY()), ""SELECT Col2 WHERE Col2 IS NOT "&amp;"NULL ORDER BY Col1 DESC LIMIT 20"", 0))
    )
  ), 
"""")"),"")</f>
        <v/>
      </c>
      <c r="K570" s="21" t="str">
        <f>IFERROR(__xludf.DUMMYFUNCTION("IFERROR(GOOGLEFINANCE(C570, ""changepct"") / 100, """")"),"")</f>
        <v/>
      </c>
      <c r="L570" s="21" t="str">
        <f>IFERROR(__xludf.DUMMYFUNCTION("IFERROR((GOOGLEFINANCE(C570, ""price"") / INDEX(GOOGLEFINANCE(C570, ""price"", TODAY()-7, TODAY()), 2, 2)) - 1, """")"),"")</f>
        <v/>
      </c>
      <c r="M570" s="21" t="str">
        <f>IFERROR(__xludf.DUMMYFUNCTION("IFERROR((GOOGLEFINANCE(C570, ""price"") / INDEX(GOOGLEFINANCE(C570, ""price"", EDATE(TODAY(), -1), TODAY()), 2, 2)) - 1, """")"),"")</f>
        <v/>
      </c>
      <c r="N570" s="21" t="str">
        <f>IFERROR(__xludf.DUMMYFUNCTION("IFERROR((GOOGLEFINANCE(C570, ""price"") / INDEX(GOOGLEFINANCE(C570, ""price"", EDATE(TODAY(), -3), TODAY()), 2, 2)) - 1, """")"),"")</f>
        <v/>
      </c>
      <c r="O570" s="21" t="str">
        <f>IFERROR(__xludf.DUMMYFUNCTION("IFERROR((GOOGLEFINANCE(C570, ""price"") / INDEX(GOOGLEFINANCE(C570, ""price"", EDATE(TODAY(), -6), TODAY()), 2, 2)) - 1, """")"),"")</f>
        <v/>
      </c>
      <c r="P570" s="21" t="str">
        <f>IFERROR(__xludf.DUMMYFUNCTION("IFERROR((GOOGLEFINANCE(C570, ""price"") / INDEX(GOOGLEFINANCE(C570, ""price"", EDATE(TODAY(), -12), TODAY()), 2, 2)) - 1, """")"),"")</f>
        <v/>
      </c>
      <c r="Q570" s="6" t="str">
        <f>IFERROR(__xludf.DUMMYFUNCTION("AVERAGE(QUERY(GOOGLEFINANCE(C570, ""price"", TODAY()-80, TODAY()), ""SELECT Col2 WHERE Col2 IS NOT NULL ORDER BY Col1 DESC LIMIT 50"", 0))"),"#N/A")</f>
        <v>#N/A</v>
      </c>
      <c r="R570" s="24" t="str">
        <f>IFERROR(__xludf.DUMMYFUNCTION("IFERROR(
  LET(
    data, QUERY(GOOGLEFINANCE(C570,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GOOGLEFINANCE(C570, ""price"")) * 100,
    IF(calc=0, G570, calc)
  ), 
G570)"),"#N/A")</f>
        <v>#N/A</v>
      </c>
      <c r="S570" s="8" t="s">
        <v>15</v>
      </c>
      <c r="T570" s="26" t="str">
        <f>IFERROR(__xludf.DUMMYFUNCTION("IFERROR(TRANSPOSE(QUERY(IFERROR(SORT(GOOGLEFINANCE(C570, ""price"", WORKDAY(TODAY(), -40), TODAY()), 1, FALSE)), ""select Col2 where Col2 is not null limit 22 label Col2 ''"", 0)), """")"),"")</f>
        <v/>
      </c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8"/>
      <c r="AO570" s="28"/>
      <c r="AP570" s="29"/>
      <c r="AQ570" s="29" t="str">
        <f t="shared" ref="AQ570:BL570" si="573">T570/T$2</f>
        <v>#N/A</v>
      </c>
      <c r="AR570" s="29" t="str">
        <f t="shared" si="573"/>
        <v>#DIV/0!</v>
      </c>
      <c r="AS570" s="29" t="str">
        <f t="shared" si="573"/>
        <v>#DIV/0!</v>
      </c>
      <c r="AT570" s="29" t="str">
        <f t="shared" si="573"/>
        <v>#DIV/0!</v>
      </c>
      <c r="AU570" s="29" t="str">
        <f t="shared" si="573"/>
        <v>#DIV/0!</v>
      </c>
      <c r="AV570" s="29" t="str">
        <f t="shared" si="573"/>
        <v>#DIV/0!</v>
      </c>
      <c r="AW570" s="29" t="str">
        <f t="shared" si="573"/>
        <v>#DIV/0!</v>
      </c>
      <c r="AX570" s="29" t="str">
        <f t="shared" si="573"/>
        <v>#DIV/0!</v>
      </c>
      <c r="AY570" s="29" t="str">
        <f t="shared" si="573"/>
        <v>#DIV/0!</v>
      </c>
      <c r="AZ570" s="29" t="str">
        <f t="shared" si="573"/>
        <v>#DIV/0!</v>
      </c>
      <c r="BA570" s="29" t="str">
        <f t="shared" si="573"/>
        <v>#DIV/0!</v>
      </c>
      <c r="BB570" s="29" t="str">
        <f t="shared" si="573"/>
        <v>#DIV/0!</v>
      </c>
      <c r="BC570" s="29" t="str">
        <f t="shared" si="573"/>
        <v>#DIV/0!</v>
      </c>
      <c r="BD570" s="29" t="str">
        <f t="shared" si="573"/>
        <v>#DIV/0!</v>
      </c>
      <c r="BE570" s="29" t="str">
        <f t="shared" si="573"/>
        <v>#DIV/0!</v>
      </c>
      <c r="BF570" s="29" t="str">
        <f t="shared" si="573"/>
        <v>#DIV/0!</v>
      </c>
      <c r="BG570" s="29" t="str">
        <f t="shared" si="573"/>
        <v>#DIV/0!</v>
      </c>
      <c r="BH570" s="29" t="str">
        <f t="shared" si="573"/>
        <v>#DIV/0!</v>
      </c>
      <c r="BI570" s="29" t="str">
        <f t="shared" si="573"/>
        <v>#DIV/0!</v>
      </c>
      <c r="BJ570" s="29" t="str">
        <f t="shared" si="573"/>
        <v>#DIV/0!</v>
      </c>
      <c r="BK570" s="29" t="str">
        <f t="shared" si="573"/>
        <v>#DIV/0!</v>
      </c>
      <c r="BL570" s="29" t="str">
        <f t="shared" si="573"/>
        <v>#DIV/0!</v>
      </c>
      <c r="BM570" s="29" t="str">
        <f t="shared" si="3"/>
        <v>#DIV/0!</v>
      </c>
    </row>
    <row r="571">
      <c r="A571" s="16" t="str">
        <f>IFERROR(__xludf.DUMMYFUNCTION("IFERROR(SPARKLINE(SORT(MAP(TRANSPOSE(AQ571:BL571), LAMBDA(val, IF(ISNUMBER(val), PERCENTRANK(AQ571:BL571, val)+0.01, 0))), SEQUENCE(COLUMNS(AQ571:BL571)), FALSE), {""charttype"",""column""; ""color"",""chartreuse""; ""ymin"", 0; ""ymax"", 1.01; ""highcolo"&amp;"r"", ""darkgreen""; ""lowcolor"", ""red""}), """")"),"")</f>
        <v/>
      </c>
      <c r="B571" s="17" t="str">
        <f t="shared" si="4"/>
        <v/>
      </c>
      <c r="C571" s="1" t="s">
        <v>2560</v>
      </c>
      <c r="D571" s="34" t="str">
        <f>IFERROR(__xludf.DUMMYFUNCTION("IFERROR(GOOGLEFINANCE(C571, ""NAME""))"),"Loandepot Inc")</f>
        <v>Loandepot Inc</v>
      </c>
      <c r="E571" s="30" t="s">
        <v>119</v>
      </c>
      <c r="F571" s="33" t="str">
        <f>IFERROR(__xludf.DUMMYFUNCTION("( (GOOGLEFINANCE(C571, ""price"") - Q571) / Q571 ) / (R571 / 100)"),"Loading...")</f>
        <v>Loading...</v>
      </c>
      <c r="G571" s="20" t="str">
        <f>IFERROR(__xludf.DUMMYFUNCTION("AVERAGE(ARRAYFORMULA(100 * (QUERY(GOOGLEFINANCE(C571, ""high"", TODAY()-40, TODAY()), ""SELECT Col2 WHERE Col2 IS NOT NULL ORDER BY Col1 DESC LIMIT 20"", 0) / QUERY(GOOGLEFINANCE(C571, ""low"", TODAY()-40, TODAY()), ""SELECT Col2 WHERE Col2 IS NOT NULL OR"&amp;"DER BY Col1 DESC LIMIT 20"", 0) - 1)))"),"#N/A")</f>
        <v>#N/A</v>
      </c>
      <c r="H571" s="35" t="str">
        <f t="shared" si="6"/>
        <v/>
      </c>
      <c r="I571" s="36" t="str">
        <f t="shared" si="7"/>
        <v/>
      </c>
      <c r="J571" s="37" t="str">
        <f>IFERROR(__xludf.DUMMYFUNCTION("IFERROR(
  IF(C571="""",, 
    IFERROR(
      GOOGLEFINANCE(C571, ""price"") * GOOGLEFINANCE(C571, ""volumeavg""), 
      GOOGLEFINANCE(C571, ""price"") * AVERAGE(QUERY(GOOGLEFINANCE(C571, ""volume"", TODAY()-40, TODAY()), ""SELECT Col2 WHERE Col2 IS NOT "&amp;"NULL ORDER BY Col1 DESC LIMIT 20"", 0))
    )
  ), 
"""")"),"")</f>
        <v/>
      </c>
      <c r="K571" s="21" t="str">
        <f>IFERROR(__xludf.DUMMYFUNCTION("IFERROR(GOOGLEFINANCE(C571, ""changepct"") / 100, """")"),"")</f>
        <v/>
      </c>
      <c r="L571" s="21" t="str">
        <f>IFERROR(__xludf.DUMMYFUNCTION("IFERROR((GOOGLEFINANCE(C571, ""price"") / INDEX(GOOGLEFINANCE(C571, ""price"", TODAY()-7, TODAY()), 2, 2)) - 1, """")"),"")</f>
        <v/>
      </c>
      <c r="M571" s="21" t="str">
        <f>IFERROR(__xludf.DUMMYFUNCTION("IFERROR((GOOGLEFINANCE(C571, ""price"") / INDEX(GOOGLEFINANCE(C571, ""price"", EDATE(TODAY(), -1), TODAY()), 2, 2)) - 1, """")"),"")</f>
        <v/>
      </c>
      <c r="N571" s="21" t="str">
        <f>IFERROR(__xludf.DUMMYFUNCTION("IFERROR((GOOGLEFINANCE(C571, ""price"") / INDEX(GOOGLEFINANCE(C571, ""price"", EDATE(TODAY(), -3), TODAY()), 2, 2)) - 1, """")"),"")</f>
        <v/>
      </c>
      <c r="O571" s="21" t="str">
        <f>IFERROR(__xludf.DUMMYFUNCTION("IFERROR((GOOGLEFINANCE(C571, ""price"") / INDEX(GOOGLEFINANCE(C571, ""price"", EDATE(TODAY(), -6), TODAY()), 2, 2)) - 1, """")"),"")</f>
        <v/>
      </c>
      <c r="P571" s="21" t="str">
        <f>IFERROR(__xludf.DUMMYFUNCTION("IFERROR((GOOGLEFINANCE(C571, ""price"") / INDEX(GOOGLEFINANCE(C571, ""price"", EDATE(TODAY(), -12), TODAY()), 2, 2)) - 1, """")"),"")</f>
        <v/>
      </c>
      <c r="Q571" s="6" t="str">
        <f>IFERROR(__xludf.DUMMYFUNCTION("AVERAGE(QUERY(GOOGLEFINANCE(C571, ""price"", TODAY()-80, TODAY()), ""SELECT Col2 WHERE Col2 IS NOT NULL ORDER BY Col1 DESC LIMIT 50"", 0))"),"#N/A")</f>
        <v>#N/A</v>
      </c>
      <c r="R571" s="24" t="str">
        <f>IFERROR(__xludf.DUMMYFUNCTION("IFERROR(
  LET(
    data, QUERY(GOOGLEFINANCE(C571,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GOOGLEFINANCE(C571, ""price"")) * 100,
    IF(calc=0, G571, calc)
  ), 
G571)"),"#N/A")</f>
        <v>#N/A</v>
      </c>
      <c r="S571" s="8" t="s">
        <v>15</v>
      </c>
      <c r="T571" s="26" t="str">
        <f>IFERROR(__xludf.DUMMYFUNCTION("IFERROR(TRANSPOSE(QUERY(IFERROR(SORT(GOOGLEFINANCE(C571, ""price"", WORKDAY(TODAY(), -40), TODAY()), 1, FALSE)), ""select Col2 where Col2 is not null limit 22 label Col2 ''"", 0)), """")"),"")</f>
        <v/>
      </c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8"/>
      <c r="AO571" s="28"/>
      <c r="AP571" s="29"/>
      <c r="AQ571" s="29" t="str">
        <f t="shared" ref="AQ571:BL571" si="574">T571/T$2</f>
        <v>#N/A</v>
      </c>
      <c r="AR571" s="29" t="str">
        <f t="shared" si="574"/>
        <v>#DIV/0!</v>
      </c>
      <c r="AS571" s="29" t="str">
        <f t="shared" si="574"/>
        <v>#DIV/0!</v>
      </c>
      <c r="AT571" s="29" t="str">
        <f t="shared" si="574"/>
        <v>#DIV/0!</v>
      </c>
      <c r="AU571" s="29" t="str">
        <f t="shared" si="574"/>
        <v>#DIV/0!</v>
      </c>
      <c r="AV571" s="29" t="str">
        <f t="shared" si="574"/>
        <v>#DIV/0!</v>
      </c>
      <c r="AW571" s="29" t="str">
        <f t="shared" si="574"/>
        <v>#DIV/0!</v>
      </c>
      <c r="AX571" s="29" t="str">
        <f t="shared" si="574"/>
        <v>#DIV/0!</v>
      </c>
      <c r="AY571" s="29" t="str">
        <f t="shared" si="574"/>
        <v>#DIV/0!</v>
      </c>
      <c r="AZ571" s="29" t="str">
        <f t="shared" si="574"/>
        <v>#DIV/0!</v>
      </c>
      <c r="BA571" s="29" t="str">
        <f t="shared" si="574"/>
        <v>#DIV/0!</v>
      </c>
      <c r="BB571" s="29" t="str">
        <f t="shared" si="574"/>
        <v>#DIV/0!</v>
      </c>
      <c r="BC571" s="29" t="str">
        <f t="shared" si="574"/>
        <v>#DIV/0!</v>
      </c>
      <c r="BD571" s="29" t="str">
        <f t="shared" si="574"/>
        <v>#DIV/0!</v>
      </c>
      <c r="BE571" s="29" t="str">
        <f t="shared" si="574"/>
        <v>#DIV/0!</v>
      </c>
      <c r="BF571" s="29" t="str">
        <f t="shared" si="574"/>
        <v>#DIV/0!</v>
      </c>
      <c r="BG571" s="29" t="str">
        <f t="shared" si="574"/>
        <v>#DIV/0!</v>
      </c>
      <c r="BH571" s="29" t="str">
        <f t="shared" si="574"/>
        <v>#DIV/0!</v>
      </c>
      <c r="BI571" s="29" t="str">
        <f t="shared" si="574"/>
        <v>#DIV/0!</v>
      </c>
      <c r="BJ571" s="29" t="str">
        <f t="shared" si="574"/>
        <v>#DIV/0!</v>
      </c>
      <c r="BK571" s="29" t="str">
        <f t="shared" si="574"/>
        <v>#DIV/0!</v>
      </c>
      <c r="BL571" s="29" t="str">
        <f t="shared" si="574"/>
        <v>#DIV/0!</v>
      </c>
      <c r="BM571" s="29" t="str">
        <f t="shared" si="3"/>
        <v>#DIV/0!</v>
      </c>
    </row>
    <row r="572">
      <c r="A572" s="16" t="str">
        <f>IFERROR(__xludf.DUMMYFUNCTION("IFERROR(SPARKLINE(SORT(MAP(TRANSPOSE(AQ572:BL572), LAMBDA(val, IF(ISNUMBER(val), PERCENTRANK(AQ572:BL572, val)+0.01, 0))), SEQUENCE(COLUMNS(AQ572:BL572)), FALSE), {""charttype"",""column""; ""color"",""chartreuse""; ""ymin"", 0; ""ymax"", 1.01; ""highcolo"&amp;"r"", ""darkgreen""; ""lowcolor"", ""red""}), """")"),"")</f>
        <v/>
      </c>
      <c r="B572" s="17" t="str">
        <f t="shared" si="4"/>
        <v/>
      </c>
      <c r="C572" s="1" t="s">
        <v>2564</v>
      </c>
      <c r="D572" s="34" t="str">
        <f>IFERROR(__xludf.DUMMYFUNCTION("IFERROR(GOOGLEFINANCE(C572, ""NAME""))"),"")</f>
        <v/>
      </c>
      <c r="E572" s="30" t="s">
        <v>161</v>
      </c>
      <c r="F572" s="33" t="str">
        <f>IFERROR(__xludf.DUMMYFUNCTION("( (GOOGLEFINANCE(C572, ""price"") - Q572) / Q572 ) / (R572 / 100)"),"Loading...")</f>
        <v>Loading...</v>
      </c>
      <c r="G572" s="20" t="str">
        <f>IFERROR(__xludf.DUMMYFUNCTION("AVERAGE(ARRAYFORMULA(100 * (QUERY(GOOGLEFINANCE(C572, ""high"", TODAY()-40, TODAY()), ""SELECT Col2 WHERE Col2 IS NOT NULL ORDER BY Col1 DESC LIMIT 20"", 0) / QUERY(GOOGLEFINANCE(C572, ""low"", TODAY()-40, TODAY()), ""SELECT Col2 WHERE Col2 IS NOT NULL OR"&amp;"DER BY Col1 DESC LIMIT 20"", 0) - 1)))"),"#N/A")</f>
        <v>#N/A</v>
      </c>
      <c r="H572" s="35" t="str">
        <f t="shared" si="6"/>
        <v/>
      </c>
      <c r="I572" s="36" t="str">
        <f t="shared" si="7"/>
        <v/>
      </c>
      <c r="J572" s="37" t="str">
        <f>IFERROR(__xludf.DUMMYFUNCTION("IFERROR(
  IF(C572="""",, 
    IFERROR(
      GOOGLEFINANCE(C572, ""price"") * GOOGLEFINANCE(C572, ""volumeavg""), 
      GOOGLEFINANCE(C572, ""price"") * AVERAGE(QUERY(GOOGLEFINANCE(C572, ""volume"", TODAY()-40, TODAY()), ""SELECT Col2 WHERE Col2 IS NOT "&amp;"NULL ORDER BY Col1 DESC LIMIT 20"", 0))
    )
  ), 
"""")"),"")</f>
        <v/>
      </c>
      <c r="K572" s="21" t="str">
        <f>IFERROR(__xludf.DUMMYFUNCTION("IFERROR(GOOGLEFINANCE(C572, ""changepct"") / 100, """")"),"")</f>
        <v/>
      </c>
      <c r="L572" s="21" t="str">
        <f>IFERROR(__xludf.DUMMYFUNCTION("IFERROR((GOOGLEFINANCE(C572, ""price"") / INDEX(GOOGLEFINANCE(C572, ""price"", TODAY()-7, TODAY()), 2, 2)) - 1, """")"),"")</f>
        <v/>
      </c>
      <c r="M572" s="21" t="str">
        <f>IFERROR(__xludf.DUMMYFUNCTION("IFERROR((GOOGLEFINANCE(C572, ""price"") / INDEX(GOOGLEFINANCE(C572, ""price"", EDATE(TODAY(), -1), TODAY()), 2, 2)) - 1, """")"),"")</f>
        <v/>
      </c>
      <c r="N572" s="21" t="str">
        <f>IFERROR(__xludf.DUMMYFUNCTION("IFERROR((GOOGLEFINANCE(C572, ""price"") / INDEX(GOOGLEFINANCE(C572, ""price"", EDATE(TODAY(), -3), TODAY()), 2, 2)) - 1, """")"),"")</f>
        <v/>
      </c>
      <c r="O572" s="21" t="str">
        <f>IFERROR(__xludf.DUMMYFUNCTION("IFERROR((GOOGLEFINANCE(C572, ""price"") / INDEX(GOOGLEFINANCE(C572, ""price"", EDATE(TODAY(), -6), TODAY()), 2, 2)) - 1, """")"),"")</f>
        <v/>
      </c>
      <c r="P572" s="21" t="str">
        <f>IFERROR(__xludf.DUMMYFUNCTION("IFERROR((GOOGLEFINANCE(C572, ""price"") / INDEX(GOOGLEFINANCE(C572, ""price"", EDATE(TODAY(), -12), TODAY()), 2, 2)) - 1, """")"),"")</f>
        <v/>
      </c>
      <c r="Q572" s="6" t="str">
        <f>IFERROR(__xludf.DUMMYFUNCTION("AVERAGE(QUERY(GOOGLEFINANCE(C572, ""price"", TODAY()-80, TODAY()), ""SELECT Col2 WHERE Col2 IS NOT NULL ORDER BY Col1 DESC LIMIT 50"", 0))"),"#N/A")</f>
        <v>#N/A</v>
      </c>
      <c r="R572" s="24" t="str">
        <f>IFERROR(__xludf.DUMMYFUNCTION("IFERROR(
  LET(
    data, QUERY(GOOGLEFINANCE(C572,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GOOGLEFINANCE(C572, ""price"")) * 100,
    IF(calc=0, G572, calc)
  ), 
G572)"),"#N/A")</f>
        <v>#N/A</v>
      </c>
      <c r="S572" s="8" t="s">
        <v>15</v>
      </c>
      <c r="T572" s="26" t="str">
        <f>IFERROR(__xludf.DUMMYFUNCTION("IFERROR(TRANSPOSE(QUERY(IFERROR(SORT(GOOGLEFINANCE(C572, ""price"", WORKDAY(TODAY(), -40), TODAY()), 1, FALSE)), ""select Col2 where Col2 is not null limit 22 label Col2 ''"", 0)), """")"),"")</f>
        <v/>
      </c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8"/>
      <c r="AO572" s="28"/>
      <c r="AP572" s="29"/>
      <c r="AQ572" s="29" t="str">
        <f t="shared" ref="AQ572:BL572" si="575">T572/T$2</f>
        <v>#N/A</v>
      </c>
      <c r="AR572" s="29" t="str">
        <f t="shared" si="575"/>
        <v>#DIV/0!</v>
      </c>
      <c r="AS572" s="29" t="str">
        <f t="shared" si="575"/>
        <v>#DIV/0!</v>
      </c>
      <c r="AT572" s="29" t="str">
        <f t="shared" si="575"/>
        <v>#DIV/0!</v>
      </c>
      <c r="AU572" s="29" t="str">
        <f t="shared" si="575"/>
        <v>#DIV/0!</v>
      </c>
      <c r="AV572" s="29" t="str">
        <f t="shared" si="575"/>
        <v>#DIV/0!</v>
      </c>
      <c r="AW572" s="29" t="str">
        <f t="shared" si="575"/>
        <v>#DIV/0!</v>
      </c>
      <c r="AX572" s="29" t="str">
        <f t="shared" si="575"/>
        <v>#DIV/0!</v>
      </c>
      <c r="AY572" s="29" t="str">
        <f t="shared" si="575"/>
        <v>#DIV/0!</v>
      </c>
      <c r="AZ572" s="29" t="str">
        <f t="shared" si="575"/>
        <v>#DIV/0!</v>
      </c>
      <c r="BA572" s="29" t="str">
        <f t="shared" si="575"/>
        <v>#DIV/0!</v>
      </c>
      <c r="BB572" s="29" t="str">
        <f t="shared" si="575"/>
        <v>#DIV/0!</v>
      </c>
      <c r="BC572" s="29" t="str">
        <f t="shared" si="575"/>
        <v>#DIV/0!</v>
      </c>
      <c r="BD572" s="29" t="str">
        <f t="shared" si="575"/>
        <v>#DIV/0!</v>
      </c>
      <c r="BE572" s="29" t="str">
        <f t="shared" si="575"/>
        <v>#DIV/0!</v>
      </c>
      <c r="BF572" s="29" t="str">
        <f t="shared" si="575"/>
        <v>#DIV/0!</v>
      </c>
      <c r="BG572" s="29" t="str">
        <f t="shared" si="575"/>
        <v>#DIV/0!</v>
      </c>
      <c r="BH572" s="29" t="str">
        <f t="shared" si="575"/>
        <v>#DIV/0!</v>
      </c>
      <c r="BI572" s="29" t="str">
        <f t="shared" si="575"/>
        <v>#DIV/0!</v>
      </c>
      <c r="BJ572" s="29" t="str">
        <f t="shared" si="575"/>
        <v>#DIV/0!</v>
      </c>
      <c r="BK572" s="29" t="str">
        <f t="shared" si="575"/>
        <v>#DIV/0!</v>
      </c>
      <c r="BL572" s="29" t="str">
        <f t="shared" si="575"/>
        <v>#DIV/0!</v>
      </c>
      <c r="BM572" s="29" t="str">
        <f t="shared" si="3"/>
        <v>#DIV/0!</v>
      </c>
    </row>
    <row r="573">
      <c r="A573" s="16" t="str">
        <f>IFERROR(__xludf.DUMMYFUNCTION("IFERROR(SPARKLINE(SORT(MAP(TRANSPOSE(AQ573:BL573), LAMBDA(val, IF(ISNUMBER(val), PERCENTRANK(AQ573:BL573, val)+0.01, 0))), SEQUENCE(COLUMNS(AQ573:BL573)), FALSE), {""charttype"",""column""; ""color"",""chartreuse""; ""ymin"", 0; ""ymax"", 1.01; ""highcolo"&amp;"r"", ""darkgreen""; ""lowcolor"", ""red""}), """")"),"")</f>
        <v/>
      </c>
      <c r="B573" s="17" t="str">
        <f t="shared" si="4"/>
        <v/>
      </c>
      <c r="C573" s="1" t="s">
        <v>2570</v>
      </c>
      <c r="D573" s="34" t="str">
        <f>IFERROR(__xludf.DUMMYFUNCTION("IFERROR(GOOGLEFINANCE(C573, ""NAME""))"),"Texas Ventures Acquisition III Corp")</f>
        <v>Texas Ventures Acquisition III Corp</v>
      </c>
      <c r="E573" s="30" t="s">
        <v>161</v>
      </c>
      <c r="F573" s="38" t="str">
        <f>IFERROR(__xludf.DUMMYFUNCTION("( (GOOGLEFINANCE(C573, ""price"") - Q573) / Q573 ) / (R573 / 100)"),"Loading...")</f>
        <v>Loading...</v>
      </c>
      <c r="G573" s="20" t="str">
        <f>IFERROR(__xludf.DUMMYFUNCTION("AVERAGE(ARRAYFORMULA(100 * (QUERY(GOOGLEFINANCE(C573, ""high"", TODAY()-40, TODAY()), ""SELECT Col2 WHERE Col2 IS NOT NULL ORDER BY Col1 DESC LIMIT 20"", 0) / QUERY(GOOGLEFINANCE(C573, ""low"", TODAY()-40, TODAY()), ""SELECT Col2 WHERE Col2 IS NOT NULL OR"&amp;"DER BY Col1 DESC LIMIT 20"", 0) - 1)))"),"#N/A")</f>
        <v>#N/A</v>
      </c>
      <c r="H573" s="35" t="str">
        <f t="shared" si="6"/>
        <v/>
      </c>
      <c r="I573" s="36" t="str">
        <f t="shared" si="7"/>
        <v/>
      </c>
      <c r="J573" s="37" t="str">
        <f>IFERROR(__xludf.DUMMYFUNCTION("IFERROR(
  IF(C573="""",, 
    IFERROR(
      GOOGLEFINANCE(C573, ""price"") * GOOGLEFINANCE(C573, ""volumeavg""), 
      GOOGLEFINANCE(C573, ""price"") * AVERAGE(QUERY(GOOGLEFINANCE(C573, ""volume"", TODAY()-40, TODAY()), ""SELECT Col2 WHERE Col2 IS NOT "&amp;"NULL ORDER BY Col1 DESC LIMIT 20"", 0))
    )
  ), 
"""")"),"")</f>
        <v/>
      </c>
      <c r="K573" s="21" t="str">
        <f>IFERROR(__xludf.DUMMYFUNCTION("IFERROR(GOOGLEFINANCE(C573, ""changepct"") / 100, """")"),"")</f>
        <v/>
      </c>
      <c r="L573" s="21" t="str">
        <f>IFERROR(__xludf.DUMMYFUNCTION("IFERROR((GOOGLEFINANCE(C573, ""price"") / INDEX(GOOGLEFINANCE(C573, ""price"", TODAY()-7, TODAY()), 2, 2)) - 1, """")"),"")</f>
        <v/>
      </c>
      <c r="M573" s="21" t="str">
        <f>IFERROR(__xludf.DUMMYFUNCTION("IFERROR((GOOGLEFINANCE(C573, ""price"") / INDEX(GOOGLEFINANCE(C573, ""price"", EDATE(TODAY(), -1), TODAY()), 2, 2)) - 1, """")"),"")</f>
        <v/>
      </c>
      <c r="N573" s="21" t="str">
        <f>IFERROR(__xludf.DUMMYFUNCTION("IFERROR((GOOGLEFINANCE(C573, ""price"") / INDEX(GOOGLEFINANCE(C573, ""price"", EDATE(TODAY(), -3), TODAY()), 2, 2)) - 1, """")"),"")</f>
        <v/>
      </c>
      <c r="O573" s="21" t="str">
        <f>IFERROR(__xludf.DUMMYFUNCTION("IFERROR((GOOGLEFINANCE(C573, ""price"") / INDEX(GOOGLEFINANCE(C573, ""price"", EDATE(TODAY(), -6), TODAY()), 2, 2)) - 1, """")"),"")</f>
        <v/>
      </c>
      <c r="P573" s="21" t="str">
        <f>IFERROR(__xludf.DUMMYFUNCTION("IFERROR((GOOGLEFINANCE(C573, ""price"") / INDEX(GOOGLEFINANCE(C573, ""price"", EDATE(TODAY(), -12), TODAY()), 2, 2)) - 1, """")"),"")</f>
        <v/>
      </c>
      <c r="Q573" s="6" t="str">
        <f>IFERROR(__xludf.DUMMYFUNCTION("AVERAGE(QUERY(GOOGLEFINANCE(C573, ""price"", TODAY()-80, TODAY()), ""SELECT Col2 WHERE Col2 IS NOT NULL ORDER BY Col1 DESC LIMIT 50"", 0))"),"#N/A")</f>
        <v>#N/A</v>
      </c>
      <c r="R573" s="24" t="str">
        <f>IFERROR(__xludf.DUMMYFUNCTION("IFERROR(
  LET(
    data, QUERY(GOOGLEFINANCE(C573,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GOOGLEFINANCE(C573, ""price"")) * 100,
    IF(calc=0, G573, calc)
  ), 
G573)"),"#N/A")</f>
        <v>#N/A</v>
      </c>
      <c r="S573" s="8" t="s">
        <v>15</v>
      </c>
      <c r="T573" s="26" t="str">
        <f>IFERROR(__xludf.DUMMYFUNCTION("IFERROR(TRANSPOSE(QUERY(IFERROR(SORT(GOOGLEFINANCE(C573, ""price"", WORKDAY(TODAY(), -40), TODAY()), 1, FALSE)), ""select Col2 where Col2 is not null limit 22 label Col2 ''"", 0)), """")"),"")</f>
        <v/>
      </c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8"/>
      <c r="AO573" s="28"/>
      <c r="AP573" s="29"/>
      <c r="AQ573" s="29" t="str">
        <f t="shared" ref="AQ573:BL573" si="576">T573/T$2</f>
        <v>#N/A</v>
      </c>
      <c r="AR573" s="29" t="str">
        <f t="shared" si="576"/>
        <v>#DIV/0!</v>
      </c>
      <c r="AS573" s="29" t="str">
        <f t="shared" si="576"/>
        <v>#DIV/0!</v>
      </c>
      <c r="AT573" s="29" t="str">
        <f t="shared" si="576"/>
        <v>#DIV/0!</v>
      </c>
      <c r="AU573" s="29" t="str">
        <f t="shared" si="576"/>
        <v>#DIV/0!</v>
      </c>
      <c r="AV573" s="29" t="str">
        <f t="shared" si="576"/>
        <v>#DIV/0!</v>
      </c>
      <c r="AW573" s="29" t="str">
        <f t="shared" si="576"/>
        <v>#DIV/0!</v>
      </c>
      <c r="AX573" s="29" t="str">
        <f t="shared" si="576"/>
        <v>#DIV/0!</v>
      </c>
      <c r="AY573" s="29" t="str">
        <f t="shared" si="576"/>
        <v>#DIV/0!</v>
      </c>
      <c r="AZ573" s="29" t="str">
        <f t="shared" si="576"/>
        <v>#DIV/0!</v>
      </c>
      <c r="BA573" s="29" t="str">
        <f t="shared" si="576"/>
        <v>#DIV/0!</v>
      </c>
      <c r="BB573" s="29" t="str">
        <f t="shared" si="576"/>
        <v>#DIV/0!</v>
      </c>
      <c r="BC573" s="29" t="str">
        <f t="shared" si="576"/>
        <v>#DIV/0!</v>
      </c>
      <c r="BD573" s="29" t="str">
        <f t="shared" si="576"/>
        <v>#DIV/0!</v>
      </c>
      <c r="BE573" s="29" t="str">
        <f t="shared" si="576"/>
        <v>#DIV/0!</v>
      </c>
      <c r="BF573" s="29" t="str">
        <f t="shared" si="576"/>
        <v>#DIV/0!</v>
      </c>
      <c r="BG573" s="29" t="str">
        <f t="shared" si="576"/>
        <v>#DIV/0!</v>
      </c>
      <c r="BH573" s="29" t="str">
        <f t="shared" si="576"/>
        <v>#DIV/0!</v>
      </c>
      <c r="BI573" s="29" t="str">
        <f t="shared" si="576"/>
        <v>#DIV/0!</v>
      </c>
      <c r="BJ573" s="29" t="str">
        <f t="shared" si="576"/>
        <v>#DIV/0!</v>
      </c>
      <c r="BK573" s="29" t="str">
        <f t="shared" si="576"/>
        <v>#DIV/0!</v>
      </c>
      <c r="BL573" s="29" t="str">
        <f t="shared" si="576"/>
        <v>#DIV/0!</v>
      </c>
      <c r="BM573" s="29" t="str">
        <f t="shared" si="3"/>
        <v>#DIV/0!</v>
      </c>
    </row>
    <row r="574">
      <c r="A574" s="16" t="str">
        <f>IFERROR(__xludf.DUMMYFUNCTION("IFERROR(SPARKLINE(SORT(MAP(TRANSPOSE(AQ574:BL574), LAMBDA(val, IF(ISNUMBER(val), PERCENTRANK(AQ574:BL574, val)+0.01, 0))), SEQUENCE(COLUMNS(AQ574:BL574)), FALSE), {""charttype"",""column""; ""color"",""chartreuse""; ""ymin"", 0; ""ymax"", 1.01; ""highcolo"&amp;"r"", ""darkgreen""; ""lowcolor"", ""red""}), """")"),"")</f>
        <v/>
      </c>
      <c r="B574" s="17" t="str">
        <f t="shared" si="4"/>
        <v/>
      </c>
      <c r="C574" s="1" t="s">
        <v>2575</v>
      </c>
      <c r="D574" s="34" t="str">
        <f>IFERROR(__xludf.DUMMYFUNCTION("IFERROR(GOOGLEFINANCE(C574, ""NAME""))"),"")</f>
        <v/>
      </c>
      <c r="E574" s="30" t="s">
        <v>161</v>
      </c>
      <c r="F574" s="33" t="str">
        <f>IFERROR(__xludf.DUMMYFUNCTION("( (GOOGLEFINANCE(C574, ""price"") - Q574) / Q574 ) / (R574 / 100)"),"Loading...")</f>
        <v>Loading...</v>
      </c>
      <c r="G574" s="20" t="str">
        <f>IFERROR(__xludf.DUMMYFUNCTION("AVERAGE(ARRAYFORMULA(100 * (QUERY(GOOGLEFINANCE(C574, ""high"", TODAY()-40, TODAY()), ""SELECT Col2 WHERE Col2 IS NOT NULL ORDER BY Col1 DESC LIMIT 20"", 0) / QUERY(GOOGLEFINANCE(C574, ""low"", TODAY()-40, TODAY()), ""SELECT Col2 WHERE Col2 IS NOT NULL OR"&amp;"DER BY Col1 DESC LIMIT 20"", 0) - 1)))"),"#N/A")</f>
        <v>#N/A</v>
      </c>
      <c r="H574" s="35" t="str">
        <f t="shared" si="6"/>
        <v/>
      </c>
      <c r="I574" s="36" t="str">
        <f t="shared" si="7"/>
        <v/>
      </c>
      <c r="J574" s="37" t="str">
        <f>IFERROR(__xludf.DUMMYFUNCTION("IFERROR(
  IF(C574="""",, 
    IFERROR(
      GOOGLEFINANCE(C574, ""price"") * GOOGLEFINANCE(C574, ""volumeavg""), 
      GOOGLEFINANCE(C574, ""price"") * AVERAGE(QUERY(GOOGLEFINANCE(C574, ""volume"", TODAY()-40, TODAY()), ""SELECT Col2 WHERE Col2 IS NOT "&amp;"NULL ORDER BY Col1 DESC LIMIT 20"", 0))
    )
  ), 
"""")"),"")</f>
        <v/>
      </c>
      <c r="K574" s="21" t="str">
        <f>IFERROR(__xludf.DUMMYFUNCTION("IFERROR(GOOGLEFINANCE(C574, ""changepct"") / 100, """")"),"")</f>
        <v/>
      </c>
      <c r="L574" s="21" t="str">
        <f>IFERROR(__xludf.DUMMYFUNCTION("IFERROR((GOOGLEFINANCE(C574, ""price"") / INDEX(GOOGLEFINANCE(C574, ""price"", TODAY()-7, TODAY()), 2, 2)) - 1, """")"),"")</f>
        <v/>
      </c>
      <c r="M574" s="21" t="str">
        <f>IFERROR(__xludf.DUMMYFUNCTION("IFERROR((GOOGLEFINANCE(C574, ""price"") / INDEX(GOOGLEFINANCE(C574, ""price"", EDATE(TODAY(), -1), TODAY()), 2, 2)) - 1, """")"),"")</f>
        <v/>
      </c>
      <c r="N574" s="21" t="str">
        <f>IFERROR(__xludf.DUMMYFUNCTION("IFERROR((GOOGLEFINANCE(C574, ""price"") / INDEX(GOOGLEFINANCE(C574, ""price"", EDATE(TODAY(), -3), TODAY()), 2, 2)) - 1, """")"),"")</f>
        <v/>
      </c>
      <c r="O574" s="21" t="str">
        <f>IFERROR(__xludf.DUMMYFUNCTION("IFERROR((GOOGLEFINANCE(C574, ""price"") / INDEX(GOOGLEFINANCE(C574, ""price"", EDATE(TODAY(), -6), TODAY()), 2, 2)) - 1, """")"),"")</f>
        <v/>
      </c>
      <c r="P574" s="21" t="str">
        <f>IFERROR(__xludf.DUMMYFUNCTION("IFERROR((GOOGLEFINANCE(C574, ""price"") / INDEX(GOOGLEFINANCE(C574, ""price"", EDATE(TODAY(), -12), TODAY()), 2, 2)) - 1, """")"),"")</f>
        <v/>
      </c>
      <c r="Q574" s="6" t="str">
        <f>IFERROR(__xludf.DUMMYFUNCTION("AVERAGE(QUERY(GOOGLEFINANCE(C574, ""price"", TODAY()-80, TODAY()), ""SELECT Col2 WHERE Col2 IS NOT NULL ORDER BY Col1 DESC LIMIT 50"", 0))"),"#N/A")</f>
        <v>#N/A</v>
      </c>
      <c r="R574" s="24" t="str">
        <f>IFERROR(__xludf.DUMMYFUNCTION("IFERROR(
  LET(
    data, QUERY(GOOGLEFINANCE(C574,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GOOGLEFINANCE(C574, ""price"")) * 100,
    IF(calc=0, G574, calc)
  ), 
G574)"),"#N/A")</f>
        <v>#N/A</v>
      </c>
      <c r="S574" s="8" t="s">
        <v>15</v>
      </c>
      <c r="T574" s="26" t="str">
        <f>IFERROR(__xludf.DUMMYFUNCTION("IFERROR(TRANSPOSE(QUERY(IFERROR(SORT(GOOGLEFINANCE(C574, ""price"", WORKDAY(TODAY(), -40), TODAY()), 1, FALSE)), ""select Col2 where Col2 is not null limit 22 label Col2 ''"", 0)), """")"),"")</f>
        <v/>
      </c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8"/>
      <c r="AO574" s="28"/>
      <c r="AP574" s="29"/>
      <c r="AQ574" s="29" t="str">
        <f t="shared" ref="AQ574:BL574" si="577">T574/T$2</f>
        <v>#N/A</v>
      </c>
      <c r="AR574" s="29" t="str">
        <f t="shared" si="577"/>
        <v>#DIV/0!</v>
      </c>
      <c r="AS574" s="29" t="str">
        <f t="shared" si="577"/>
        <v>#DIV/0!</v>
      </c>
      <c r="AT574" s="29" t="str">
        <f t="shared" si="577"/>
        <v>#DIV/0!</v>
      </c>
      <c r="AU574" s="29" t="str">
        <f t="shared" si="577"/>
        <v>#DIV/0!</v>
      </c>
      <c r="AV574" s="29" t="str">
        <f t="shared" si="577"/>
        <v>#DIV/0!</v>
      </c>
      <c r="AW574" s="29" t="str">
        <f t="shared" si="577"/>
        <v>#DIV/0!</v>
      </c>
      <c r="AX574" s="29" t="str">
        <f t="shared" si="577"/>
        <v>#DIV/0!</v>
      </c>
      <c r="AY574" s="29" t="str">
        <f t="shared" si="577"/>
        <v>#DIV/0!</v>
      </c>
      <c r="AZ574" s="29" t="str">
        <f t="shared" si="577"/>
        <v>#DIV/0!</v>
      </c>
      <c r="BA574" s="29" t="str">
        <f t="shared" si="577"/>
        <v>#DIV/0!</v>
      </c>
      <c r="BB574" s="29" t="str">
        <f t="shared" si="577"/>
        <v>#DIV/0!</v>
      </c>
      <c r="BC574" s="29" t="str">
        <f t="shared" si="577"/>
        <v>#DIV/0!</v>
      </c>
      <c r="BD574" s="29" t="str">
        <f t="shared" si="577"/>
        <v>#DIV/0!</v>
      </c>
      <c r="BE574" s="29" t="str">
        <f t="shared" si="577"/>
        <v>#DIV/0!</v>
      </c>
      <c r="BF574" s="29" t="str">
        <f t="shared" si="577"/>
        <v>#DIV/0!</v>
      </c>
      <c r="BG574" s="29" t="str">
        <f t="shared" si="577"/>
        <v>#DIV/0!</v>
      </c>
      <c r="BH574" s="29" t="str">
        <f t="shared" si="577"/>
        <v>#DIV/0!</v>
      </c>
      <c r="BI574" s="29" t="str">
        <f t="shared" si="577"/>
        <v>#DIV/0!</v>
      </c>
      <c r="BJ574" s="29" t="str">
        <f t="shared" si="577"/>
        <v>#DIV/0!</v>
      </c>
      <c r="BK574" s="29" t="str">
        <f t="shared" si="577"/>
        <v>#DIV/0!</v>
      </c>
      <c r="BL574" s="29" t="str">
        <f t="shared" si="577"/>
        <v>#DIV/0!</v>
      </c>
      <c r="BM574" s="29" t="str">
        <f t="shared" si="3"/>
        <v>#DIV/0!</v>
      </c>
    </row>
    <row r="575">
      <c r="A575" s="16" t="str">
        <f>IFERROR(__xludf.DUMMYFUNCTION("IFERROR(SPARKLINE(SORT(MAP(TRANSPOSE(AQ575:BL575), LAMBDA(val, IF(ISNUMBER(val), PERCENTRANK(AQ575:BL575, val)+0.01, 0))), SEQUENCE(COLUMNS(AQ575:BL575)), FALSE), {""charttype"",""column""; ""color"",""chartreuse""; ""ymin"", 0; ""ymax"", 1.01; ""highcolo"&amp;"r"", ""darkgreen""; ""lowcolor"", ""red""}), """")"),"")</f>
        <v/>
      </c>
      <c r="B575" s="17" t="str">
        <f t="shared" si="4"/>
        <v/>
      </c>
      <c r="C575" s="1" t="s">
        <v>2580</v>
      </c>
      <c r="D575" s="34" t="str">
        <f>IFERROR(__xludf.DUMMYFUNCTION("IFERROR(GOOGLEFINANCE(C575, ""NAME""))"),"Xau Resources Inc")</f>
        <v>Xau Resources Inc</v>
      </c>
      <c r="E575" s="30" t="s">
        <v>161</v>
      </c>
      <c r="F575" s="38" t="str">
        <f>IFERROR(__xludf.DUMMYFUNCTION("( (GOOGLEFINANCE(C575, ""price"") - Q575) / Q575 ) / (R575 / 100)"),"Loading...")</f>
        <v>Loading...</v>
      </c>
      <c r="G575" s="20" t="str">
        <f>IFERROR(__xludf.DUMMYFUNCTION("AVERAGE(ARRAYFORMULA(100 * (QUERY(GOOGLEFINANCE(C575, ""high"", TODAY()-40, TODAY()), ""SELECT Col2 WHERE Col2 IS NOT NULL ORDER BY Col1 DESC LIMIT 20"", 0) / QUERY(GOOGLEFINANCE(C575, ""low"", TODAY()-40, TODAY()), ""SELECT Col2 WHERE Col2 IS NOT NULL OR"&amp;"DER BY Col1 DESC LIMIT 20"", 0) - 1)))"),"#N/A")</f>
        <v>#N/A</v>
      </c>
      <c r="H575" s="35" t="str">
        <f t="shared" si="6"/>
        <v/>
      </c>
      <c r="I575" s="36" t="str">
        <f t="shared" si="7"/>
        <v/>
      </c>
      <c r="J575" s="37" t="str">
        <f>IFERROR(__xludf.DUMMYFUNCTION("IFERROR(
  IF(C575="""",, 
    IFERROR(
      GOOGLEFINANCE(C575, ""price"") * GOOGLEFINANCE(C575, ""volumeavg""), 
      GOOGLEFINANCE(C575, ""price"") * AVERAGE(QUERY(GOOGLEFINANCE(C575, ""volume"", TODAY()-40, TODAY()), ""SELECT Col2 WHERE Col2 IS NOT "&amp;"NULL ORDER BY Col1 DESC LIMIT 20"", 0))
    )
  ), 
"""")"),"")</f>
        <v/>
      </c>
      <c r="K575" s="21" t="str">
        <f>IFERROR(__xludf.DUMMYFUNCTION("IFERROR(GOOGLEFINANCE(C575, ""changepct"") / 100, """")"),"")</f>
        <v/>
      </c>
      <c r="L575" s="21" t="str">
        <f>IFERROR(__xludf.DUMMYFUNCTION("IFERROR((GOOGLEFINANCE(C575, ""price"") / INDEX(GOOGLEFINANCE(C575, ""price"", TODAY()-7, TODAY()), 2, 2)) - 1, """")"),"")</f>
        <v/>
      </c>
      <c r="M575" s="21" t="str">
        <f>IFERROR(__xludf.DUMMYFUNCTION("IFERROR((GOOGLEFINANCE(C575, ""price"") / INDEX(GOOGLEFINANCE(C575, ""price"", EDATE(TODAY(), -1), TODAY()), 2, 2)) - 1, """")"),"")</f>
        <v/>
      </c>
      <c r="N575" s="21" t="str">
        <f>IFERROR(__xludf.DUMMYFUNCTION("IFERROR((GOOGLEFINANCE(C575, ""price"") / INDEX(GOOGLEFINANCE(C575, ""price"", EDATE(TODAY(), -3), TODAY()), 2, 2)) - 1, """")"),"")</f>
        <v/>
      </c>
      <c r="O575" s="21" t="str">
        <f>IFERROR(__xludf.DUMMYFUNCTION("IFERROR((GOOGLEFINANCE(C575, ""price"") / INDEX(GOOGLEFINANCE(C575, ""price"", EDATE(TODAY(), -6), TODAY()), 2, 2)) - 1, """")"),"")</f>
        <v/>
      </c>
      <c r="P575" s="21" t="str">
        <f>IFERROR(__xludf.DUMMYFUNCTION("IFERROR((GOOGLEFINANCE(C575, ""price"") / INDEX(GOOGLEFINANCE(C575, ""price"", EDATE(TODAY(), -12), TODAY()), 2, 2)) - 1, """")"),"")</f>
        <v/>
      </c>
      <c r="Q575" s="6" t="str">
        <f>IFERROR(__xludf.DUMMYFUNCTION("AVERAGE(QUERY(GOOGLEFINANCE(C575, ""price"", TODAY()-80, TODAY()), ""SELECT Col2 WHERE Col2 IS NOT NULL ORDER BY Col1 DESC LIMIT 50"", 0))"),"#N/A")</f>
        <v>#N/A</v>
      </c>
      <c r="R575" s="24" t="str">
        <f>IFERROR(__xludf.DUMMYFUNCTION("IFERROR(
  LET(
    data, QUERY(GOOGLEFINANCE(C575,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GOOGLEFINANCE(C575, ""price"")) * 100,
    IF(calc=0, G575, calc)
  ), 
G575)"),"#N/A")</f>
        <v>#N/A</v>
      </c>
      <c r="S575" s="8" t="s">
        <v>15</v>
      </c>
      <c r="T575" s="26" t="str">
        <f>IFERROR(__xludf.DUMMYFUNCTION("IFERROR(TRANSPOSE(QUERY(IFERROR(SORT(GOOGLEFINANCE(C575, ""price"", WORKDAY(TODAY(), -40), TODAY()), 1, FALSE)), ""select Col2 where Col2 is not null limit 22 label Col2 ''"", 0)), """")"),"")</f>
        <v/>
      </c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8"/>
      <c r="AO575" s="28"/>
      <c r="AP575" s="29"/>
      <c r="AQ575" s="29" t="str">
        <f t="shared" ref="AQ575:BL575" si="578">T575/T$2</f>
        <v>#N/A</v>
      </c>
      <c r="AR575" s="29" t="str">
        <f t="shared" si="578"/>
        <v>#DIV/0!</v>
      </c>
      <c r="AS575" s="29" t="str">
        <f t="shared" si="578"/>
        <v>#DIV/0!</v>
      </c>
      <c r="AT575" s="29" t="str">
        <f t="shared" si="578"/>
        <v>#DIV/0!</v>
      </c>
      <c r="AU575" s="29" t="str">
        <f t="shared" si="578"/>
        <v>#DIV/0!</v>
      </c>
      <c r="AV575" s="29" t="str">
        <f t="shared" si="578"/>
        <v>#DIV/0!</v>
      </c>
      <c r="AW575" s="29" t="str">
        <f t="shared" si="578"/>
        <v>#DIV/0!</v>
      </c>
      <c r="AX575" s="29" t="str">
        <f t="shared" si="578"/>
        <v>#DIV/0!</v>
      </c>
      <c r="AY575" s="29" t="str">
        <f t="shared" si="578"/>
        <v>#DIV/0!</v>
      </c>
      <c r="AZ575" s="29" t="str">
        <f t="shared" si="578"/>
        <v>#DIV/0!</v>
      </c>
      <c r="BA575" s="29" t="str">
        <f t="shared" si="578"/>
        <v>#DIV/0!</v>
      </c>
      <c r="BB575" s="29" t="str">
        <f t="shared" si="578"/>
        <v>#DIV/0!</v>
      </c>
      <c r="BC575" s="29" t="str">
        <f t="shared" si="578"/>
        <v>#DIV/0!</v>
      </c>
      <c r="BD575" s="29" t="str">
        <f t="shared" si="578"/>
        <v>#DIV/0!</v>
      </c>
      <c r="BE575" s="29" t="str">
        <f t="shared" si="578"/>
        <v>#DIV/0!</v>
      </c>
      <c r="BF575" s="29" t="str">
        <f t="shared" si="578"/>
        <v>#DIV/0!</v>
      </c>
      <c r="BG575" s="29" t="str">
        <f t="shared" si="578"/>
        <v>#DIV/0!</v>
      </c>
      <c r="BH575" s="29" t="str">
        <f t="shared" si="578"/>
        <v>#DIV/0!</v>
      </c>
      <c r="BI575" s="29" t="str">
        <f t="shared" si="578"/>
        <v>#DIV/0!</v>
      </c>
      <c r="BJ575" s="29" t="str">
        <f t="shared" si="578"/>
        <v>#DIV/0!</v>
      </c>
      <c r="BK575" s="29" t="str">
        <f t="shared" si="578"/>
        <v>#DIV/0!</v>
      </c>
      <c r="BL575" s="29" t="str">
        <f t="shared" si="578"/>
        <v>#DIV/0!</v>
      </c>
      <c r="BM575" s="29" t="str">
        <f t="shared" si="3"/>
        <v>#DIV/0!</v>
      </c>
    </row>
    <row r="576">
      <c r="A576" s="16" t="str">
        <f>IFERROR(__xludf.DUMMYFUNCTION("IFERROR(SPARKLINE(SORT(MAP(TRANSPOSE(AQ576:BL576), LAMBDA(val, IF(ISNUMBER(val), PERCENTRANK(AQ576:BL576, val)+0.01, 0))), SEQUENCE(COLUMNS(AQ576:BL576)), FALSE), {""charttype"",""column""; ""color"",""chartreuse""; ""ymin"", 0; ""ymax"", 1.01; ""highcolo"&amp;"r"", ""darkgreen""; ""lowcolor"", ""red""}), """")"),"")</f>
        <v/>
      </c>
      <c r="B576" s="17" t="str">
        <f t="shared" si="4"/>
        <v/>
      </c>
      <c r="C576" s="1" t="s">
        <v>2584</v>
      </c>
      <c r="D576" s="34" t="str">
        <f>IFERROR(__xludf.DUMMYFUNCTION("IFERROR(GOOGLEFINANCE(C576, ""NAME""))"),"AlTi Global, Inc")</f>
        <v>AlTi Global, Inc</v>
      </c>
      <c r="E576" s="30" t="s">
        <v>64</v>
      </c>
      <c r="F576" s="33" t="str">
        <f>IFERROR(__xludf.DUMMYFUNCTION("( (GOOGLEFINANCE(C576, ""price"") - Q576) / Q576 ) / (R576 / 100)"),"Loading...")</f>
        <v>Loading...</v>
      </c>
      <c r="G576" s="20" t="str">
        <f>IFERROR(__xludf.DUMMYFUNCTION("AVERAGE(ARRAYFORMULA(100 * (QUERY(GOOGLEFINANCE(C576, ""high"", TODAY()-40, TODAY()), ""SELECT Col2 WHERE Col2 IS NOT NULL ORDER BY Col1 DESC LIMIT 20"", 0) / QUERY(GOOGLEFINANCE(C576, ""low"", TODAY()-40, TODAY()), ""SELECT Col2 WHERE Col2 IS NOT NULL OR"&amp;"DER BY Col1 DESC LIMIT 20"", 0) - 1)))"),"#N/A")</f>
        <v>#N/A</v>
      </c>
      <c r="H576" s="35" t="str">
        <f t="shared" si="6"/>
        <v/>
      </c>
      <c r="I576" s="36" t="str">
        <f t="shared" si="7"/>
        <v/>
      </c>
      <c r="J576" s="37" t="str">
        <f>IFERROR(__xludf.DUMMYFUNCTION("IFERROR(
  IF(C576="""",, 
    IFERROR(
      GOOGLEFINANCE(C576, ""price"") * GOOGLEFINANCE(C576, ""volumeavg""), 
      GOOGLEFINANCE(C576, ""price"") * AVERAGE(QUERY(GOOGLEFINANCE(C576, ""volume"", TODAY()-40, TODAY()), ""SELECT Col2 WHERE Col2 IS NOT "&amp;"NULL ORDER BY Col1 DESC LIMIT 20"", 0))
    )
  ), 
"""")"),"")</f>
        <v/>
      </c>
      <c r="K576" s="21" t="str">
        <f>IFERROR(__xludf.DUMMYFUNCTION("IFERROR(GOOGLEFINANCE(C576, ""changepct"") / 100, """")"),"")</f>
        <v/>
      </c>
      <c r="L576" s="21" t="str">
        <f>IFERROR(__xludf.DUMMYFUNCTION("IFERROR((GOOGLEFINANCE(C576, ""price"") / INDEX(GOOGLEFINANCE(C576, ""price"", TODAY()-7, TODAY()), 2, 2)) - 1, """")"),"")</f>
        <v/>
      </c>
      <c r="M576" s="21" t="str">
        <f>IFERROR(__xludf.DUMMYFUNCTION("IFERROR((GOOGLEFINANCE(C576, ""price"") / INDEX(GOOGLEFINANCE(C576, ""price"", EDATE(TODAY(), -1), TODAY()), 2, 2)) - 1, """")"),"")</f>
        <v/>
      </c>
      <c r="N576" s="21" t="str">
        <f>IFERROR(__xludf.DUMMYFUNCTION("IFERROR((GOOGLEFINANCE(C576, ""price"") / INDEX(GOOGLEFINANCE(C576, ""price"", EDATE(TODAY(), -3), TODAY()), 2, 2)) - 1, """")"),"")</f>
        <v/>
      </c>
      <c r="O576" s="21" t="str">
        <f>IFERROR(__xludf.DUMMYFUNCTION("IFERROR((GOOGLEFINANCE(C576, ""price"") / INDEX(GOOGLEFINANCE(C576, ""price"", EDATE(TODAY(), -6), TODAY()), 2, 2)) - 1, """")"),"")</f>
        <v/>
      </c>
      <c r="P576" s="21" t="str">
        <f>IFERROR(__xludf.DUMMYFUNCTION("IFERROR((GOOGLEFINANCE(C576, ""price"") / INDEX(GOOGLEFINANCE(C576, ""price"", EDATE(TODAY(), -12), TODAY()), 2, 2)) - 1, """")"),"")</f>
        <v/>
      </c>
      <c r="Q576" s="6" t="str">
        <f>IFERROR(__xludf.DUMMYFUNCTION("AVERAGE(QUERY(GOOGLEFINANCE(C576, ""price"", TODAY()-80, TODAY()), ""SELECT Col2 WHERE Col2 IS NOT NULL ORDER BY Col1 DESC LIMIT 50"", 0))"),"#N/A")</f>
        <v>#N/A</v>
      </c>
      <c r="R576" s="24" t="str">
        <f>IFERROR(__xludf.DUMMYFUNCTION("IFERROR(
  LET(
    data, QUERY(GOOGLEFINANCE(C576,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GOOGLEFINANCE(C576, ""price"")) * 100,
    IF(calc=0, G576, calc)
  ), 
G576)"),"#N/A")</f>
        <v>#N/A</v>
      </c>
      <c r="S576" s="8" t="s">
        <v>15</v>
      </c>
      <c r="T576" s="26" t="str">
        <f>IFERROR(__xludf.DUMMYFUNCTION("IFERROR(TRANSPOSE(QUERY(IFERROR(SORT(GOOGLEFINANCE(C576, ""price"", WORKDAY(TODAY(), -40), TODAY()), 1, FALSE)), ""select Col2 where Col2 is not null limit 22 label Col2 ''"", 0)), """")"),"")</f>
        <v/>
      </c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8"/>
      <c r="AO576" s="28"/>
      <c r="AP576" s="29"/>
      <c r="AQ576" s="29" t="str">
        <f t="shared" ref="AQ576:BL576" si="579">T576/T$2</f>
        <v>#N/A</v>
      </c>
      <c r="AR576" s="29" t="str">
        <f t="shared" si="579"/>
        <v>#DIV/0!</v>
      </c>
      <c r="AS576" s="29" t="str">
        <f t="shared" si="579"/>
        <v>#DIV/0!</v>
      </c>
      <c r="AT576" s="29" t="str">
        <f t="shared" si="579"/>
        <v>#DIV/0!</v>
      </c>
      <c r="AU576" s="29" t="str">
        <f t="shared" si="579"/>
        <v>#DIV/0!</v>
      </c>
      <c r="AV576" s="29" t="str">
        <f t="shared" si="579"/>
        <v>#DIV/0!</v>
      </c>
      <c r="AW576" s="29" t="str">
        <f t="shared" si="579"/>
        <v>#DIV/0!</v>
      </c>
      <c r="AX576" s="29" t="str">
        <f t="shared" si="579"/>
        <v>#DIV/0!</v>
      </c>
      <c r="AY576" s="29" t="str">
        <f t="shared" si="579"/>
        <v>#DIV/0!</v>
      </c>
      <c r="AZ576" s="29" t="str">
        <f t="shared" si="579"/>
        <v>#DIV/0!</v>
      </c>
      <c r="BA576" s="29" t="str">
        <f t="shared" si="579"/>
        <v>#DIV/0!</v>
      </c>
      <c r="BB576" s="29" t="str">
        <f t="shared" si="579"/>
        <v>#DIV/0!</v>
      </c>
      <c r="BC576" s="29" t="str">
        <f t="shared" si="579"/>
        <v>#DIV/0!</v>
      </c>
      <c r="BD576" s="29" t="str">
        <f t="shared" si="579"/>
        <v>#DIV/0!</v>
      </c>
      <c r="BE576" s="29" t="str">
        <f t="shared" si="579"/>
        <v>#DIV/0!</v>
      </c>
      <c r="BF576" s="29" t="str">
        <f t="shared" si="579"/>
        <v>#DIV/0!</v>
      </c>
      <c r="BG576" s="29" t="str">
        <f t="shared" si="579"/>
        <v>#DIV/0!</v>
      </c>
      <c r="BH576" s="29" t="str">
        <f t="shared" si="579"/>
        <v>#DIV/0!</v>
      </c>
      <c r="BI576" s="29" t="str">
        <f t="shared" si="579"/>
        <v>#DIV/0!</v>
      </c>
      <c r="BJ576" s="29" t="str">
        <f t="shared" si="579"/>
        <v>#DIV/0!</v>
      </c>
      <c r="BK576" s="29" t="str">
        <f t="shared" si="579"/>
        <v>#DIV/0!</v>
      </c>
      <c r="BL576" s="29" t="str">
        <f t="shared" si="579"/>
        <v>#DIV/0!</v>
      </c>
      <c r="BM576" s="29" t="str">
        <f t="shared" si="3"/>
        <v>#DIV/0!</v>
      </c>
    </row>
    <row r="577">
      <c r="A577" s="16" t="str">
        <f>IFERROR(__xludf.DUMMYFUNCTION("IFERROR(SPARKLINE(SORT(MAP(TRANSPOSE(AQ577:BL577), LAMBDA(val, IF(ISNUMBER(val), PERCENTRANK(AQ577:BL577, val)+0.01, 0))), SEQUENCE(COLUMNS(AQ577:BL577)), FALSE), {""charttype"",""column""; ""color"",""chartreuse""; ""ymin"", 0; ""ymax"", 1.01; ""highcolo"&amp;"r"", ""darkgreen""; ""lowcolor"", ""red""}), """")"),"")</f>
        <v/>
      </c>
      <c r="B577" s="17" t="str">
        <f t="shared" si="4"/>
        <v/>
      </c>
      <c r="C577" s="1" t="s">
        <v>2588</v>
      </c>
      <c r="D577" s="34" t="str">
        <f>IFERROR(__xludf.DUMMYFUNCTION("IFERROR(GOOGLEFINANCE(C577, ""NAME""))"),"Encore Capital Group Inc")</f>
        <v>Encore Capital Group Inc</v>
      </c>
      <c r="E577" s="30" t="s">
        <v>145</v>
      </c>
      <c r="F577" s="38" t="str">
        <f>IFERROR(__xludf.DUMMYFUNCTION("( (GOOGLEFINANCE(C577, ""price"") - Q577) / Q577 ) / (R577 / 100)"),"Loading...")</f>
        <v>Loading...</v>
      </c>
      <c r="G577" s="20" t="str">
        <f>IFERROR(__xludf.DUMMYFUNCTION("AVERAGE(ARRAYFORMULA(100 * (QUERY(GOOGLEFINANCE(C577, ""high"", TODAY()-40, TODAY()), ""SELECT Col2 WHERE Col2 IS NOT NULL ORDER BY Col1 DESC LIMIT 20"", 0) / QUERY(GOOGLEFINANCE(C577, ""low"", TODAY()-40, TODAY()), ""SELECT Col2 WHERE Col2 IS NOT NULL OR"&amp;"DER BY Col1 DESC LIMIT 20"", 0) - 1)))"),"#N/A")</f>
        <v>#N/A</v>
      </c>
      <c r="H577" s="35" t="str">
        <f t="shared" si="6"/>
        <v/>
      </c>
      <c r="I577" s="36" t="str">
        <f t="shared" si="7"/>
        <v/>
      </c>
      <c r="J577" s="37" t="str">
        <f>IFERROR(__xludf.DUMMYFUNCTION("IFERROR(
  IF(C577="""",, 
    IFERROR(
      GOOGLEFINANCE(C577, ""price"") * GOOGLEFINANCE(C577, ""volumeavg""), 
      GOOGLEFINANCE(C577, ""price"") * AVERAGE(QUERY(GOOGLEFINANCE(C577, ""volume"", TODAY()-40, TODAY()), ""SELECT Col2 WHERE Col2 IS NOT "&amp;"NULL ORDER BY Col1 DESC LIMIT 20"", 0))
    )
  ), 
"""")"),"")</f>
        <v/>
      </c>
      <c r="K577" s="21" t="str">
        <f>IFERROR(__xludf.DUMMYFUNCTION("IFERROR(GOOGLEFINANCE(C577, ""changepct"") / 100, """")"),"")</f>
        <v/>
      </c>
      <c r="L577" s="21" t="str">
        <f>IFERROR(__xludf.DUMMYFUNCTION("IFERROR((GOOGLEFINANCE(C577, ""price"") / INDEX(GOOGLEFINANCE(C577, ""price"", TODAY()-7, TODAY()), 2, 2)) - 1, """")"),"")</f>
        <v/>
      </c>
      <c r="M577" s="21" t="str">
        <f>IFERROR(__xludf.DUMMYFUNCTION("IFERROR((GOOGLEFINANCE(C577, ""price"") / INDEX(GOOGLEFINANCE(C577, ""price"", EDATE(TODAY(), -1), TODAY()), 2, 2)) - 1, """")"),"")</f>
        <v/>
      </c>
      <c r="N577" s="21" t="str">
        <f>IFERROR(__xludf.DUMMYFUNCTION("IFERROR((GOOGLEFINANCE(C577, ""price"") / INDEX(GOOGLEFINANCE(C577, ""price"", EDATE(TODAY(), -3), TODAY()), 2, 2)) - 1, """")"),"")</f>
        <v/>
      </c>
      <c r="O577" s="21" t="str">
        <f>IFERROR(__xludf.DUMMYFUNCTION("IFERROR((GOOGLEFINANCE(C577, ""price"") / INDEX(GOOGLEFINANCE(C577, ""price"", EDATE(TODAY(), -6), TODAY()), 2, 2)) - 1, """")"),"")</f>
        <v/>
      </c>
      <c r="P577" s="21" t="str">
        <f>IFERROR(__xludf.DUMMYFUNCTION("IFERROR((GOOGLEFINANCE(C577, ""price"") / INDEX(GOOGLEFINANCE(C577, ""price"", EDATE(TODAY(), -12), TODAY()), 2, 2)) - 1, """")"),"")</f>
        <v/>
      </c>
      <c r="Q577" s="6" t="str">
        <f>IFERROR(__xludf.DUMMYFUNCTION("AVERAGE(QUERY(GOOGLEFINANCE(C577, ""price"", TODAY()-80, TODAY()), ""SELECT Col2 WHERE Col2 IS NOT NULL ORDER BY Col1 DESC LIMIT 50"", 0))"),"#N/A")</f>
        <v>#N/A</v>
      </c>
      <c r="R577" s="24" t="str">
        <f>IFERROR(__xludf.DUMMYFUNCTION("IFERROR(
  LET(
    data, QUERY(GOOGLEFINANCE(C577,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GOOGLEFINANCE(C577, ""price"")) * 100,
    IF(calc=0, G577, calc)
  ), 
G577)"),"#N/A")</f>
        <v>#N/A</v>
      </c>
      <c r="S577" s="8" t="s">
        <v>15</v>
      </c>
      <c r="T577" s="26" t="str">
        <f>IFERROR(__xludf.DUMMYFUNCTION("IFERROR(TRANSPOSE(QUERY(IFERROR(SORT(GOOGLEFINANCE(C577, ""price"", WORKDAY(TODAY(), -40), TODAY()), 1, FALSE)), ""select Col2 where Col2 is not null limit 22 label Col2 ''"", 0)), """")"),"")</f>
        <v/>
      </c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8"/>
      <c r="AO577" s="28"/>
      <c r="AP577" s="29"/>
      <c r="AQ577" s="29" t="str">
        <f t="shared" ref="AQ577:BL577" si="580">T577/T$2</f>
        <v>#N/A</v>
      </c>
      <c r="AR577" s="29" t="str">
        <f t="shared" si="580"/>
        <v>#DIV/0!</v>
      </c>
      <c r="AS577" s="29" t="str">
        <f t="shared" si="580"/>
        <v>#DIV/0!</v>
      </c>
      <c r="AT577" s="29" t="str">
        <f t="shared" si="580"/>
        <v>#DIV/0!</v>
      </c>
      <c r="AU577" s="29" t="str">
        <f t="shared" si="580"/>
        <v>#DIV/0!</v>
      </c>
      <c r="AV577" s="29" t="str">
        <f t="shared" si="580"/>
        <v>#DIV/0!</v>
      </c>
      <c r="AW577" s="29" t="str">
        <f t="shared" si="580"/>
        <v>#DIV/0!</v>
      </c>
      <c r="AX577" s="29" t="str">
        <f t="shared" si="580"/>
        <v>#DIV/0!</v>
      </c>
      <c r="AY577" s="29" t="str">
        <f t="shared" si="580"/>
        <v>#DIV/0!</v>
      </c>
      <c r="AZ577" s="29" t="str">
        <f t="shared" si="580"/>
        <v>#DIV/0!</v>
      </c>
      <c r="BA577" s="29" t="str">
        <f t="shared" si="580"/>
        <v>#DIV/0!</v>
      </c>
      <c r="BB577" s="29" t="str">
        <f t="shared" si="580"/>
        <v>#DIV/0!</v>
      </c>
      <c r="BC577" s="29" t="str">
        <f t="shared" si="580"/>
        <v>#DIV/0!</v>
      </c>
      <c r="BD577" s="29" t="str">
        <f t="shared" si="580"/>
        <v>#DIV/0!</v>
      </c>
      <c r="BE577" s="29" t="str">
        <f t="shared" si="580"/>
        <v>#DIV/0!</v>
      </c>
      <c r="BF577" s="29" t="str">
        <f t="shared" si="580"/>
        <v>#DIV/0!</v>
      </c>
      <c r="BG577" s="29" t="str">
        <f t="shared" si="580"/>
        <v>#DIV/0!</v>
      </c>
      <c r="BH577" s="29" t="str">
        <f t="shared" si="580"/>
        <v>#DIV/0!</v>
      </c>
      <c r="BI577" s="29" t="str">
        <f t="shared" si="580"/>
        <v>#DIV/0!</v>
      </c>
      <c r="BJ577" s="29" t="str">
        <f t="shared" si="580"/>
        <v>#DIV/0!</v>
      </c>
      <c r="BK577" s="29" t="str">
        <f t="shared" si="580"/>
        <v>#DIV/0!</v>
      </c>
      <c r="BL577" s="29" t="str">
        <f t="shared" si="580"/>
        <v>#DIV/0!</v>
      </c>
      <c r="BM577" s="29" t="str">
        <f t="shared" si="3"/>
        <v>#DIV/0!</v>
      </c>
    </row>
    <row r="578">
      <c r="A578" s="16" t="str">
        <f>IFERROR(__xludf.DUMMYFUNCTION("IFERROR(SPARKLINE(SORT(MAP(TRANSPOSE(AQ578:BL578), LAMBDA(val, IF(ISNUMBER(val), PERCENTRANK(AQ578:BL578, val)+0.01, 0))), SEQUENCE(COLUMNS(AQ578:BL578)), FALSE), {""charttype"",""column""; ""color"",""chartreuse""; ""ymin"", 0; ""ymax"", 1.01; ""highcolo"&amp;"r"", ""darkgreen""; ""lowcolor"", ""red""}), """")"),"")</f>
        <v/>
      </c>
      <c r="B578" s="17" t="str">
        <f t="shared" si="4"/>
        <v/>
      </c>
      <c r="C578" s="1" t="s">
        <v>2591</v>
      </c>
      <c r="D578" s="34" t="str">
        <f>IFERROR(__xludf.DUMMYFUNCTION("IFERROR(GOOGLEFINANCE(C578, ""NAME""))"),"Univest Financial Corp")</f>
        <v>Univest Financial Corp</v>
      </c>
      <c r="E578" s="30" t="s">
        <v>268</v>
      </c>
      <c r="F578" s="33" t="str">
        <f>IFERROR(__xludf.DUMMYFUNCTION("( (GOOGLEFINANCE(C578, ""price"") - Q578) / Q578 ) / (R578 / 100)"),"Loading...")</f>
        <v>Loading...</v>
      </c>
      <c r="G578" s="20" t="str">
        <f>IFERROR(__xludf.DUMMYFUNCTION("AVERAGE(ARRAYFORMULA(100 * (QUERY(GOOGLEFINANCE(C578, ""high"", TODAY()-40, TODAY()), ""SELECT Col2 WHERE Col2 IS NOT NULL ORDER BY Col1 DESC LIMIT 20"", 0) / QUERY(GOOGLEFINANCE(C578, ""low"", TODAY()-40, TODAY()), ""SELECT Col2 WHERE Col2 IS NOT NULL OR"&amp;"DER BY Col1 DESC LIMIT 20"", 0) - 1)))"),"#N/A")</f>
        <v>#N/A</v>
      </c>
      <c r="H578" s="35" t="str">
        <f t="shared" si="6"/>
        <v/>
      </c>
      <c r="I578" s="36" t="str">
        <f t="shared" si="7"/>
        <v/>
      </c>
      <c r="J578" s="37" t="str">
        <f>IFERROR(__xludf.DUMMYFUNCTION("IFERROR(
  IF(C578="""",, 
    IFERROR(
      GOOGLEFINANCE(C578, ""price"") * GOOGLEFINANCE(C578, ""volumeavg""), 
      GOOGLEFINANCE(C578, ""price"") * AVERAGE(QUERY(GOOGLEFINANCE(C578, ""volume"", TODAY()-40, TODAY()), ""SELECT Col2 WHERE Col2 IS NOT "&amp;"NULL ORDER BY Col1 DESC LIMIT 20"", 0))
    )
  ), 
"""")"),"")</f>
        <v/>
      </c>
      <c r="K578" s="21" t="str">
        <f>IFERROR(__xludf.DUMMYFUNCTION("IFERROR(GOOGLEFINANCE(C578, ""changepct"") / 100, """")"),"")</f>
        <v/>
      </c>
      <c r="L578" s="21" t="str">
        <f>IFERROR(__xludf.DUMMYFUNCTION("IFERROR((GOOGLEFINANCE(C578, ""price"") / INDEX(GOOGLEFINANCE(C578, ""price"", TODAY()-7, TODAY()), 2, 2)) - 1, """")"),"")</f>
        <v/>
      </c>
      <c r="M578" s="21" t="str">
        <f>IFERROR(__xludf.DUMMYFUNCTION("IFERROR((GOOGLEFINANCE(C578, ""price"") / INDEX(GOOGLEFINANCE(C578, ""price"", EDATE(TODAY(), -1), TODAY()), 2, 2)) - 1, """")"),"")</f>
        <v/>
      </c>
      <c r="N578" s="21" t="str">
        <f>IFERROR(__xludf.DUMMYFUNCTION("IFERROR((GOOGLEFINANCE(C578, ""price"") / INDEX(GOOGLEFINANCE(C578, ""price"", EDATE(TODAY(), -3), TODAY()), 2, 2)) - 1, """")"),"")</f>
        <v/>
      </c>
      <c r="O578" s="21" t="str">
        <f>IFERROR(__xludf.DUMMYFUNCTION("IFERROR((GOOGLEFINANCE(C578, ""price"") / INDEX(GOOGLEFINANCE(C578, ""price"", EDATE(TODAY(), -6), TODAY()), 2, 2)) - 1, """")"),"")</f>
        <v/>
      </c>
      <c r="P578" s="21" t="str">
        <f>IFERROR(__xludf.DUMMYFUNCTION("IFERROR((GOOGLEFINANCE(C578, ""price"") / INDEX(GOOGLEFINANCE(C578, ""price"", EDATE(TODAY(), -12), TODAY()), 2, 2)) - 1, """")"),"")</f>
        <v/>
      </c>
      <c r="Q578" s="6" t="str">
        <f>IFERROR(__xludf.DUMMYFUNCTION("AVERAGE(QUERY(GOOGLEFINANCE(C578, ""price"", TODAY()-80, TODAY()), ""SELECT Col2 WHERE Col2 IS NOT NULL ORDER BY Col1 DESC LIMIT 50"", 0))"),"#N/A")</f>
        <v>#N/A</v>
      </c>
      <c r="R578" s="24" t="str">
        <f>IFERROR(__xludf.DUMMYFUNCTION("IFERROR(
  LET(
    data, QUERY(GOOGLEFINANCE(C578,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GOOGLEFINANCE(C578, ""price"")) * 100,
    IF(calc=0, G578, calc)
  ), 
G578)"),"#N/A")</f>
        <v>#N/A</v>
      </c>
      <c r="S578" s="8" t="s">
        <v>15</v>
      </c>
      <c r="T578" s="26" t="str">
        <f>IFERROR(__xludf.DUMMYFUNCTION("IFERROR(TRANSPOSE(QUERY(IFERROR(SORT(GOOGLEFINANCE(C578, ""price"", WORKDAY(TODAY(), -40), TODAY()), 1, FALSE)), ""select Col2 where Col2 is not null limit 22 label Col2 ''"", 0)), """")"),"")</f>
        <v/>
      </c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8"/>
      <c r="AO578" s="28"/>
      <c r="AP578" s="29"/>
      <c r="AQ578" s="29" t="str">
        <f t="shared" ref="AQ578:BL578" si="581">T578/T$2</f>
        <v>#N/A</v>
      </c>
      <c r="AR578" s="29" t="str">
        <f t="shared" si="581"/>
        <v>#DIV/0!</v>
      </c>
      <c r="AS578" s="29" t="str">
        <f t="shared" si="581"/>
        <v>#DIV/0!</v>
      </c>
      <c r="AT578" s="29" t="str">
        <f t="shared" si="581"/>
        <v>#DIV/0!</v>
      </c>
      <c r="AU578" s="29" t="str">
        <f t="shared" si="581"/>
        <v>#DIV/0!</v>
      </c>
      <c r="AV578" s="29" t="str">
        <f t="shared" si="581"/>
        <v>#DIV/0!</v>
      </c>
      <c r="AW578" s="29" t="str">
        <f t="shared" si="581"/>
        <v>#DIV/0!</v>
      </c>
      <c r="AX578" s="29" t="str">
        <f t="shared" si="581"/>
        <v>#DIV/0!</v>
      </c>
      <c r="AY578" s="29" t="str">
        <f t="shared" si="581"/>
        <v>#DIV/0!</v>
      </c>
      <c r="AZ578" s="29" t="str">
        <f t="shared" si="581"/>
        <v>#DIV/0!</v>
      </c>
      <c r="BA578" s="29" t="str">
        <f t="shared" si="581"/>
        <v>#DIV/0!</v>
      </c>
      <c r="BB578" s="29" t="str">
        <f t="shared" si="581"/>
        <v>#DIV/0!</v>
      </c>
      <c r="BC578" s="29" t="str">
        <f t="shared" si="581"/>
        <v>#DIV/0!</v>
      </c>
      <c r="BD578" s="29" t="str">
        <f t="shared" si="581"/>
        <v>#DIV/0!</v>
      </c>
      <c r="BE578" s="29" t="str">
        <f t="shared" si="581"/>
        <v>#DIV/0!</v>
      </c>
      <c r="BF578" s="29" t="str">
        <f t="shared" si="581"/>
        <v>#DIV/0!</v>
      </c>
      <c r="BG578" s="29" t="str">
        <f t="shared" si="581"/>
        <v>#DIV/0!</v>
      </c>
      <c r="BH578" s="29" t="str">
        <f t="shared" si="581"/>
        <v>#DIV/0!</v>
      </c>
      <c r="BI578" s="29" t="str">
        <f t="shared" si="581"/>
        <v>#DIV/0!</v>
      </c>
      <c r="BJ578" s="29" t="str">
        <f t="shared" si="581"/>
        <v>#DIV/0!</v>
      </c>
      <c r="BK578" s="29" t="str">
        <f t="shared" si="581"/>
        <v>#DIV/0!</v>
      </c>
      <c r="BL578" s="29" t="str">
        <f t="shared" si="581"/>
        <v>#DIV/0!</v>
      </c>
      <c r="BM578" s="29" t="str">
        <f t="shared" si="3"/>
        <v>#DIV/0!</v>
      </c>
    </row>
    <row r="579">
      <c r="A579" s="16" t="str">
        <f>IFERROR(__xludf.DUMMYFUNCTION("IFERROR(SPARKLINE(SORT(MAP(TRANSPOSE(AQ579:BL579), LAMBDA(val, IF(ISNUMBER(val), PERCENTRANK(AQ579:BL579, val)+0.01, 0))), SEQUENCE(COLUMNS(AQ579:BL579)), FALSE), {""charttype"",""column""; ""color"",""chartreuse""; ""ymin"", 0; ""ymax"", 1.01; ""highcolo"&amp;"r"", ""darkgreen""; ""lowcolor"", ""red""}), """")"),"")</f>
        <v/>
      </c>
      <c r="B579" s="17" t="str">
        <f t="shared" si="4"/>
        <v/>
      </c>
      <c r="C579" s="1" t="s">
        <v>2594</v>
      </c>
      <c r="D579" s="34" t="str">
        <f>IFERROR(__xludf.DUMMYFUNCTION("IFERROR(GOOGLEFINANCE(C579, ""NAME""))"),"Solowin Holdings Ltd")</f>
        <v>Solowin Holdings Ltd</v>
      </c>
      <c r="E579" s="30" t="s">
        <v>77</v>
      </c>
      <c r="F579" s="33" t="str">
        <f>IFERROR(__xludf.DUMMYFUNCTION("( (GOOGLEFINANCE(C579, ""price"") - Q579) / Q579 ) / (R579 / 100)"),"Loading...")</f>
        <v>Loading...</v>
      </c>
      <c r="G579" s="20" t="str">
        <f>IFERROR(__xludf.DUMMYFUNCTION("AVERAGE(ARRAYFORMULA(100 * (QUERY(GOOGLEFINANCE(C579, ""high"", TODAY()-40, TODAY()), ""SELECT Col2 WHERE Col2 IS NOT NULL ORDER BY Col1 DESC LIMIT 20"", 0) / QUERY(GOOGLEFINANCE(C579, ""low"", TODAY()-40, TODAY()), ""SELECT Col2 WHERE Col2 IS NOT NULL OR"&amp;"DER BY Col1 DESC LIMIT 20"", 0) - 1)))"),"#N/A")</f>
        <v>#N/A</v>
      </c>
      <c r="H579" s="35" t="str">
        <f t="shared" si="6"/>
        <v/>
      </c>
      <c r="I579" s="36" t="str">
        <f t="shared" si="7"/>
        <v/>
      </c>
      <c r="J579" s="37" t="str">
        <f>IFERROR(__xludf.DUMMYFUNCTION("IFERROR(
  IF(C579="""",, 
    IFERROR(
      GOOGLEFINANCE(C579, ""price"") * GOOGLEFINANCE(C579, ""volumeavg""), 
      GOOGLEFINANCE(C579, ""price"") * AVERAGE(QUERY(GOOGLEFINANCE(C579, ""volume"", TODAY()-40, TODAY()), ""SELECT Col2 WHERE Col2 IS NOT "&amp;"NULL ORDER BY Col1 DESC LIMIT 20"", 0))
    )
  ), 
"""")"),"")</f>
        <v/>
      </c>
      <c r="K579" s="21" t="str">
        <f>IFERROR(__xludf.DUMMYFUNCTION("IFERROR(GOOGLEFINANCE(C579, ""changepct"") / 100, """")"),"")</f>
        <v/>
      </c>
      <c r="L579" s="21" t="str">
        <f>IFERROR(__xludf.DUMMYFUNCTION("IFERROR((GOOGLEFINANCE(C579, ""price"") / INDEX(GOOGLEFINANCE(C579, ""price"", TODAY()-7, TODAY()), 2, 2)) - 1, """")"),"")</f>
        <v/>
      </c>
      <c r="M579" s="21" t="str">
        <f>IFERROR(__xludf.DUMMYFUNCTION("IFERROR((GOOGLEFINANCE(C579, ""price"") / INDEX(GOOGLEFINANCE(C579, ""price"", EDATE(TODAY(), -1), TODAY()), 2, 2)) - 1, """")"),"")</f>
        <v/>
      </c>
      <c r="N579" s="21" t="str">
        <f>IFERROR(__xludf.DUMMYFUNCTION("IFERROR((GOOGLEFINANCE(C579, ""price"") / INDEX(GOOGLEFINANCE(C579, ""price"", EDATE(TODAY(), -3), TODAY()), 2, 2)) - 1, """")"),"")</f>
        <v/>
      </c>
      <c r="O579" s="21" t="str">
        <f>IFERROR(__xludf.DUMMYFUNCTION("IFERROR((GOOGLEFINANCE(C579, ""price"") / INDEX(GOOGLEFINANCE(C579, ""price"", EDATE(TODAY(), -6), TODAY()), 2, 2)) - 1, """")"),"")</f>
        <v/>
      </c>
      <c r="P579" s="21" t="str">
        <f>IFERROR(__xludf.DUMMYFUNCTION("IFERROR((GOOGLEFINANCE(C579, ""price"") / INDEX(GOOGLEFINANCE(C579, ""price"", EDATE(TODAY(), -12), TODAY()), 2, 2)) - 1, """")"),"")</f>
        <v/>
      </c>
      <c r="Q579" s="6" t="str">
        <f>IFERROR(__xludf.DUMMYFUNCTION("AVERAGE(QUERY(GOOGLEFINANCE(C579, ""price"", TODAY()-80, TODAY()), ""SELECT Col2 WHERE Col2 IS NOT NULL ORDER BY Col1 DESC LIMIT 50"", 0))"),"#N/A")</f>
        <v>#N/A</v>
      </c>
      <c r="R579" s="24" t="str">
        <f>IFERROR(__xludf.DUMMYFUNCTION("IFERROR(
  LET(
    data, QUERY(GOOGLEFINANCE(C579,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GOOGLEFINANCE(C579, ""price"")) * 100,
    IF(calc=0, G579, calc)
  ), 
G579)"),"#N/A")</f>
        <v>#N/A</v>
      </c>
      <c r="S579" s="8" t="s">
        <v>15</v>
      </c>
      <c r="T579" s="26" t="str">
        <f>IFERROR(__xludf.DUMMYFUNCTION("IFERROR(TRANSPOSE(QUERY(IFERROR(SORT(GOOGLEFINANCE(C579, ""price"", WORKDAY(TODAY(), -40), TODAY()), 1, FALSE)), ""select Col2 where Col2 is not null limit 22 label Col2 ''"", 0)), """")"),"")</f>
        <v/>
      </c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8"/>
      <c r="AO579" s="28"/>
      <c r="AP579" s="29"/>
      <c r="AQ579" s="29" t="str">
        <f t="shared" ref="AQ579:BL579" si="582">T579/T$2</f>
        <v>#N/A</v>
      </c>
      <c r="AR579" s="29" t="str">
        <f t="shared" si="582"/>
        <v>#DIV/0!</v>
      </c>
      <c r="AS579" s="29" t="str">
        <f t="shared" si="582"/>
        <v>#DIV/0!</v>
      </c>
      <c r="AT579" s="29" t="str">
        <f t="shared" si="582"/>
        <v>#DIV/0!</v>
      </c>
      <c r="AU579" s="29" t="str">
        <f t="shared" si="582"/>
        <v>#DIV/0!</v>
      </c>
      <c r="AV579" s="29" t="str">
        <f t="shared" si="582"/>
        <v>#DIV/0!</v>
      </c>
      <c r="AW579" s="29" t="str">
        <f t="shared" si="582"/>
        <v>#DIV/0!</v>
      </c>
      <c r="AX579" s="29" t="str">
        <f t="shared" si="582"/>
        <v>#DIV/0!</v>
      </c>
      <c r="AY579" s="29" t="str">
        <f t="shared" si="582"/>
        <v>#DIV/0!</v>
      </c>
      <c r="AZ579" s="29" t="str">
        <f t="shared" si="582"/>
        <v>#DIV/0!</v>
      </c>
      <c r="BA579" s="29" t="str">
        <f t="shared" si="582"/>
        <v>#DIV/0!</v>
      </c>
      <c r="BB579" s="29" t="str">
        <f t="shared" si="582"/>
        <v>#DIV/0!</v>
      </c>
      <c r="BC579" s="29" t="str">
        <f t="shared" si="582"/>
        <v>#DIV/0!</v>
      </c>
      <c r="BD579" s="29" t="str">
        <f t="shared" si="582"/>
        <v>#DIV/0!</v>
      </c>
      <c r="BE579" s="29" t="str">
        <f t="shared" si="582"/>
        <v>#DIV/0!</v>
      </c>
      <c r="BF579" s="29" t="str">
        <f t="shared" si="582"/>
        <v>#DIV/0!</v>
      </c>
      <c r="BG579" s="29" t="str">
        <f t="shared" si="582"/>
        <v>#DIV/0!</v>
      </c>
      <c r="BH579" s="29" t="str">
        <f t="shared" si="582"/>
        <v>#DIV/0!</v>
      </c>
      <c r="BI579" s="29" t="str">
        <f t="shared" si="582"/>
        <v>#DIV/0!</v>
      </c>
      <c r="BJ579" s="29" t="str">
        <f t="shared" si="582"/>
        <v>#DIV/0!</v>
      </c>
      <c r="BK579" s="29" t="str">
        <f t="shared" si="582"/>
        <v>#DIV/0!</v>
      </c>
      <c r="BL579" s="29" t="str">
        <f t="shared" si="582"/>
        <v>#DIV/0!</v>
      </c>
      <c r="BM579" s="29" t="str">
        <f t="shared" si="3"/>
        <v>#DIV/0!</v>
      </c>
    </row>
    <row r="580">
      <c r="A580" s="16" t="str">
        <f>IFERROR(__xludf.DUMMYFUNCTION("IFERROR(SPARKLINE(SORT(MAP(TRANSPOSE(AQ580:BL580), LAMBDA(val, IF(ISNUMBER(val), PERCENTRANK(AQ580:BL580, val)+0.01, 0))), SEQUENCE(COLUMNS(AQ580:BL580)), FALSE), {""charttype"",""column""; ""color"",""chartreuse""; ""ymin"", 0; ""ymax"", 1.01; ""highcolo"&amp;"r"", ""darkgreen""; ""lowcolor"", ""red""}), """")"),"")</f>
        <v/>
      </c>
      <c r="B580" s="17" t="str">
        <f t="shared" si="4"/>
        <v/>
      </c>
      <c r="C580" s="1" t="s">
        <v>2597</v>
      </c>
      <c r="D580" s="34" t="str">
        <f>IFERROR(__xludf.DUMMYFUNCTION("IFERROR(GOOGLEFINANCE(C580, ""NAME""))"),"Central Pacific Financial Corp")</f>
        <v>Central Pacific Financial Corp</v>
      </c>
      <c r="E580" s="30" t="s">
        <v>268</v>
      </c>
      <c r="F580" s="33" t="str">
        <f>IFERROR(__xludf.DUMMYFUNCTION("( (GOOGLEFINANCE(C580, ""price"") - Q580) / Q580 ) / (R580 / 100)"),"Loading...")</f>
        <v>Loading...</v>
      </c>
      <c r="G580" s="20" t="str">
        <f>IFERROR(__xludf.DUMMYFUNCTION("AVERAGE(ARRAYFORMULA(100 * (QUERY(GOOGLEFINANCE(C580, ""high"", TODAY()-40, TODAY()), ""SELECT Col2 WHERE Col2 IS NOT NULL ORDER BY Col1 DESC LIMIT 20"", 0) / QUERY(GOOGLEFINANCE(C580, ""low"", TODAY()-40, TODAY()), ""SELECT Col2 WHERE Col2 IS NOT NULL OR"&amp;"DER BY Col1 DESC LIMIT 20"", 0) - 1)))"),"#N/A")</f>
        <v>#N/A</v>
      </c>
      <c r="H580" s="35" t="str">
        <f t="shared" si="6"/>
        <v/>
      </c>
      <c r="I580" s="36" t="str">
        <f t="shared" si="7"/>
        <v/>
      </c>
      <c r="J580" s="37" t="str">
        <f>IFERROR(__xludf.DUMMYFUNCTION("IFERROR(
  IF(C580="""",, 
    IFERROR(
      GOOGLEFINANCE(C580, ""price"") * GOOGLEFINANCE(C580, ""volumeavg""), 
      GOOGLEFINANCE(C580, ""price"") * AVERAGE(QUERY(GOOGLEFINANCE(C580, ""volume"", TODAY()-40, TODAY()), ""SELECT Col2 WHERE Col2 IS NOT "&amp;"NULL ORDER BY Col1 DESC LIMIT 20"", 0))
    )
  ), 
"""")"),"")</f>
        <v/>
      </c>
      <c r="K580" s="21" t="str">
        <f>IFERROR(__xludf.DUMMYFUNCTION("IFERROR(GOOGLEFINANCE(C580, ""changepct"") / 100, """")"),"")</f>
        <v/>
      </c>
      <c r="L580" s="21" t="str">
        <f>IFERROR(__xludf.DUMMYFUNCTION("IFERROR((GOOGLEFINANCE(C580, ""price"") / INDEX(GOOGLEFINANCE(C580, ""price"", TODAY()-7, TODAY()), 2, 2)) - 1, """")"),"")</f>
        <v/>
      </c>
      <c r="M580" s="21" t="str">
        <f>IFERROR(__xludf.DUMMYFUNCTION("IFERROR((GOOGLEFINANCE(C580, ""price"") / INDEX(GOOGLEFINANCE(C580, ""price"", EDATE(TODAY(), -1), TODAY()), 2, 2)) - 1, """")"),"")</f>
        <v/>
      </c>
      <c r="N580" s="21" t="str">
        <f>IFERROR(__xludf.DUMMYFUNCTION("IFERROR((GOOGLEFINANCE(C580, ""price"") / INDEX(GOOGLEFINANCE(C580, ""price"", EDATE(TODAY(), -3), TODAY()), 2, 2)) - 1, """")"),"")</f>
        <v/>
      </c>
      <c r="O580" s="21" t="str">
        <f>IFERROR(__xludf.DUMMYFUNCTION("IFERROR((GOOGLEFINANCE(C580, ""price"") / INDEX(GOOGLEFINANCE(C580, ""price"", EDATE(TODAY(), -6), TODAY()), 2, 2)) - 1, """")"),"")</f>
        <v/>
      </c>
      <c r="P580" s="21" t="str">
        <f>IFERROR(__xludf.DUMMYFUNCTION("IFERROR((GOOGLEFINANCE(C580, ""price"") / INDEX(GOOGLEFINANCE(C580, ""price"", EDATE(TODAY(), -12), TODAY()), 2, 2)) - 1, """")"),"")</f>
        <v/>
      </c>
      <c r="Q580" s="6" t="str">
        <f>IFERROR(__xludf.DUMMYFUNCTION("AVERAGE(QUERY(GOOGLEFINANCE(C580, ""price"", TODAY()-80, TODAY()), ""SELECT Col2 WHERE Col2 IS NOT NULL ORDER BY Col1 DESC LIMIT 50"", 0))"),"#N/A")</f>
        <v>#N/A</v>
      </c>
      <c r="R580" s="24" t="str">
        <f>IFERROR(__xludf.DUMMYFUNCTION("IFERROR(
  LET(
    data, QUERY(GOOGLEFINANCE(C580,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GOOGLEFINANCE(C580, ""price"")) * 100,
    IF(calc=0, G580, calc)
  ), 
G580)"),"#N/A")</f>
        <v>#N/A</v>
      </c>
      <c r="S580" s="8" t="s">
        <v>15</v>
      </c>
      <c r="T580" s="26" t="str">
        <f>IFERROR(__xludf.DUMMYFUNCTION("IFERROR(TRANSPOSE(QUERY(IFERROR(SORT(GOOGLEFINANCE(C580, ""price"", WORKDAY(TODAY(), -40), TODAY()), 1, FALSE)), ""select Col2 where Col2 is not null limit 22 label Col2 ''"", 0)), """")"),"")</f>
        <v/>
      </c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8"/>
      <c r="AO580" s="28"/>
      <c r="AP580" s="29"/>
      <c r="AQ580" s="29" t="str">
        <f t="shared" ref="AQ580:BL580" si="583">T580/T$2</f>
        <v>#N/A</v>
      </c>
      <c r="AR580" s="29" t="str">
        <f t="shared" si="583"/>
        <v>#DIV/0!</v>
      </c>
      <c r="AS580" s="29" t="str">
        <f t="shared" si="583"/>
        <v>#DIV/0!</v>
      </c>
      <c r="AT580" s="29" t="str">
        <f t="shared" si="583"/>
        <v>#DIV/0!</v>
      </c>
      <c r="AU580" s="29" t="str">
        <f t="shared" si="583"/>
        <v>#DIV/0!</v>
      </c>
      <c r="AV580" s="29" t="str">
        <f t="shared" si="583"/>
        <v>#DIV/0!</v>
      </c>
      <c r="AW580" s="29" t="str">
        <f t="shared" si="583"/>
        <v>#DIV/0!</v>
      </c>
      <c r="AX580" s="29" t="str">
        <f t="shared" si="583"/>
        <v>#DIV/0!</v>
      </c>
      <c r="AY580" s="29" t="str">
        <f t="shared" si="583"/>
        <v>#DIV/0!</v>
      </c>
      <c r="AZ580" s="29" t="str">
        <f t="shared" si="583"/>
        <v>#DIV/0!</v>
      </c>
      <c r="BA580" s="29" t="str">
        <f t="shared" si="583"/>
        <v>#DIV/0!</v>
      </c>
      <c r="BB580" s="29" t="str">
        <f t="shared" si="583"/>
        <v>#DIV/0!</v>
      </c>
      <c r="BC580" s="29" t="str">
        <f t="shared" si="583"/>
        <v>#DIV/0!</v>
      </c>
      <c r="BD580" s="29" t="str">
        <f t="shared" si="583"/>
        <v>#DIV/0!</v>
      </c>
      <c r="BE580" s="29" t="str">
        <f t="shared" si="583"/>
        <v>#DIV/0!</v>
      </c>
      <c r="BF580" s="29" t="str">
        <f t="shared" si="583"/>
        <v>#DIV/0!</v>
      </c>
      <c r="BG580" s="29" t="str">
        <f t="shared" si="583"/>
        <v>#DIV/0!</v>
      </c>
      <c r="BH580" s="29" t="str">
        <f t="shared" si="583"/>
        <v>#DIV/0!</v>
      </c>
      <c r="BI580" s="29" t="str">
        <f t="shared" si="583"/>
        <v>#DIV/0!</v>
      </c>
      <c r="BJ580" s="29" t="str">
        <f t="shared" si="583"/>
        <v>#DIV/0!</v>
      </c>
      <c r="BK580" s="29" t="str">
        <f t="shared" si="583"/>
        <v>#DIV/0!</v>
      </c>
      <c r="BL580" s="29" t="str">
        <f t="shared" si="583"/>
        <v>#DIV/0!</v>
      </c>
      <c r="BM580" s="29" t="str">
        <f t="shared" si="3"/>
        <v>#DIV/0!</v>
      </c>
    </row>
    <row r="581">
      <c r="A581" s="16" t="str">
        <f>IFERROR(__xludf.DUMMYFUNCTION("IFERROR(SPARKLINE(SORT(MAP(TRANSPOSE(AQ581:BL581), LAMBDA(val, IF(ISNUMBER(val), PERCENTRANK(AQ581:BL581, val)+0.01, 0))), SEQUENCE(COLUMNS(AQ581:BL581)), FALSE), {""charttype"",""column""; ""color"",""chartreuse""; ""ymin"", 0; ""ymax"", 1.01; ""highcolo"&amp;"r"", ""darkgreen""; ""lowcolor"", ""red""}), """")"),"")</f>
        <v/>
      </c>
      <c r="B581" s="17" t="str">
        <f t="shared" si="4"/>
        <v/>
      </c>
      <c r="C581" s="1" t="s">
        <v>2600</v>
      </c>
      <c r="D581" s="34" t="str">
        <f>IFERROR(__xludf.DUMMYFUNCTION("IFERROR(GOOGLEFINANCE(C581, ""NAME""))"),"TransUnion")</f>
        <v>TransUnion</v>
      </c>
      <c r="E581" s="30" t="s">
        <v>54</v>
      </c>
      <c r="F581" s="33" t="str">
        <f>IFERROR(__xludf.DUMMYFUNCTION("( (GOOGLEFINANCE(C581, ""price"") - Q581) / Q581 ) / (R581 / 100)"),"Loading...")</f>
        <v>Loading...</v>
      </c>
      <c r="G581" s="20" t="str">
        <f>IFERROR(__xludf.DUMMYFUNCTION("AVERAGE(ARRAYFORMULA(100 * (QUERY(GOOGLEFINANCE(C581, ""high"", TODAY()-40, TODAY()), ""SELECT Col2 WHERE Col2 IS NOT NULL ORDER BY Col1 DESC LIMIT 20"", 0) / QUERY(GOOGLEFINANCE(C581, ""low"", TODAY()-40, TODAY()), ""SELECT Col2 WHERE Col2 IS NOT NULL OR"&amp;"DER BY Col1 DESC LIMIT 20"", 0) - 1)))"),"#N/A")</f>
        <v>#N/A</v>
      </c>
      <c r="H581" s="35" t="str">
        <f t="shared" si="6"/>
        <v/>
      </c>
      <c r="I581" s="36" t="str">
        <f t="shared" si="7"/>
        <v/>
      </c>
      <c r="J581" s="37" t="str">
        <f>IFERROR(__xludf.DUMMYFUNCTION("IFERROR(
  IF(C581="""",, 
    IFERROR(
      GOOGLEFINANCE(C581, ""price"") * GOOGLEFINANCE(C581, ""volumeavg""), 
      GOOGLEFINANCE(C581, ""price"") * AVERAGE(QUERY(GOOGLEFINANCE(C581, ""volume"", TODAY()-40, TODAY()), ""SELECT Col2 WHERE Col2 IS NOT "&amp;"NULL ORDER BY Col1 DESC LIMIT 20"", 0))
    )
  ), 
"""")"),"")</f>
        <v/>
      </c>
      <c r="K581" s="21" t="str">
        <f>IFERROR(__xludf.DUMMYFUNCTION("IFERROR(GOOGLEFINANCE(C581, ""changepct"") / 100, """")"),"")</f>
        <v/>
      </c>
      <c r="L581" s="21" t="str">
        <f>IFERROR(__xludf.DUMMYFUNCTION("IFERROR((GOOGLEFINANCE(C581, ""price"") / INDEX(GOOGLEFINANCE(C581, ""price"", TODAY()-7, TODAY()), 2, 2)) - 1, """")"),"")</f>
        <v/>
      </c>
      <c r="M581" s="21" t="str">
        <f>IFERROR(__xludf.DUMMYFUNCTION("IFERROR((GOOGLEFINANCE(C581, ""price"") / INDEX(GOOGLEFINANCE(C581, ""price"", EDATE(TODAY(), -1), TODAY()), 2, 2)) - 1, """")"),"")</f>
        <v/>
      </c>
      <c r="N581" s="21" t="str">
        <f>IFERROR(__xludf.DUMMYFUNCTION("IFERROR((GOOGLEFINANCE(C581, ""price"") / INDEX(GOOGLEFINANCE(C581, ""price"", EDATE(TODAY(), -3), TODAY()), 2, 2)) - 1, """")"),"")</f>
        <v/>
      </c>
      <c r="O581" s="21" t="str">
        <f>IFERROR(__xludf.DUMMYFUNCTION("IFERROR((GOOGLEFINANCE(C581, ""price"") / INDEX(GOOGLEFINANCE(C581, ""price"", EDATE(TODAY(), -6), TODAY()), 2, 2)) - 1, """")"),"")</f>
        <v/>
      </c>
      <c r="P581" s="21" t="str">
        <f>IFERROR(__xludf.DUMMYFUNCTION("IFERROR((GOOGLEFINANCE(C581, ""price"") / INDEX(GOOGLEFINANCE(C581, ""price"", EDATE(TODAY(), -12), TODAY()), 2, 2)) - 1, """")"),"")</f>
        <v/>
      </c>
      <c r="Q581" s="6" t="str">
        <f>IFERROR(__xludf.DUMMYFUNCTION("AVERAGE(QUERY(GOOGLEFINANCE(C581, ""price"", TODAY()-80, TODAY()), ""SELECT Col2 WHERE Col2 IS NOT NULL ORDER BY Col1 DESC LIMIT 50"", 0))"),"#N/A")</f>
        <v>#N/A</v>
      </c>
      <c r="R581" s="24" t="str">
        <f>IFERROR(__xludf.DUMMYFUNCTION("IFERROR(
  LET(
    data, QUERY(GOOGLEFINANCE(C581,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GOOGLEFINANCE(C581, ""price"")) * 100,
    IF(calc=0, G581, calc)
  ), 
G581)"),"#N/A")</f>
        <v>#N/A</v>
      </c>
      <c r="S581" s="8" t="s">
        <v>15</v>
      </c>
      <c r="T581" s="26" t="str">
        <f>IFERROR(__xludf.DUMMYFUNCTION("IFERROR(TRANSPOSE(QUERY(IFERROR(SORT(GOOGLEFINANCE(C581, ""price"", WORKDAY(TODAY(), -40), TODAY()), 1, FALSE)), ""select Col2 where Col2 is not null limit 22 label Col2 ''"", 0)), """")"),"")</f>
        <v/>
      </c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8"/>
      <c r="AO581" s="28"/>
      <c r="AP581" s="29"/>
      <c r="AQ581" s="29" t="str">
        <f t="shared" ref="AQ581:BL581" si="584">T581/T$2</f>
        <v>#N/A</v>
      </c>
      <c r="AR581" s="29" t="str">
        <f t="shared" si="584"/>
        <v>#DIV/0!</v>
      </c>
      <c r="AS581" s="29" t="str">
        <f t="shared" si="584"/>
        <v>#DIV/0!</v>
      </c>
      <c r="AT581" s="29" t="str">
        <f t="shared" si="584"/>
        <v>#DIV/0!</v>
      </c>
      <c r="AU581" s="29" t="str">
        <f t="shared" si="584"/>
        <v>#DIV/0!</v>
      </c>
      <c r="AV581" s="29" t="str">
        <f t="shared" si="584"/>
        <v>#DIV/0!</v>
      </c>
      <c r="AW581" s="29" t="str">
        <f t="shared" si="584"/>
        <v>#DIV/0!</v>
      </c>
      <c r="AX581" s="29" t="str">
        <f t="shared" si="584"/>
        <v>#DIV/0!</v>
      </c>
      <c r="AY581" s="29" t="str">
        <f t="shared" si="584"/>
        <v>#DIV/0!</v>
      </c>
      <c r="AZ581" s="29" t="str">
        <f t="shared" si="584"/>
        <v>#DIV/0!</v>
      </c>
      <c r="BA581" s="29" t="str">
        <f t="shared" si="584"/>
        <v>#DIV/0!</v>
      </c>
      <c r="BB581" s="29" t="str">
        <f t="shared" si="584"/>
        <v>#DIV/0!</v>
      </c>
      <c r="BC581" s="29" t="str">
        <f t="shared" si="584"/>
        <v>#DIV/0!</v>
      </c>
      <c r="BD581" s="29" t="str">
        <f t="shared" si="584"/>
        <v>#DIV/0!</v>
      </c>
      <c r="BE581" s="29" t="str">
        <f t="shared" si="584"/>
        <v>#DIV/0!</v>
      </c>
      <c r="BF581" s="29" t="str">
        <f t="shared" si="584"/>
        <v>#DIV/0!</v>
      </c>
      <c r="BG581" s="29" t="str">
        <f t="shared" si="584"/>
        <v>#DIV/0!</v>
      </c>
      <c r="BH581" s="29" t="str">
        <f t="shared" si="584"/>
        <v>#DIV/0!</v>
      </c>
      <c r="BI581" s="29" t="str">
        <f t="shared" si="584"/>
        <v>#DIV/0!</v>
      </c>
      <c r="BJ581" s="29" t="str">
        <f t="shared" si="584"/>
        <v>#DIV/0!</v>
      </c>
      <c r="BK581" s="29" t="str">
        <f t="shared" si="584"/>
        <v>#DIV/0!</v>
      </c>
      <c r="BL581" s="29" t="str">
        <f t="shared" si="584"/>
        <v>#DIV/0!</v>
      </c>
      <c r="BM581" s="29" t="str">
        <f t="shared" si="3"/>
        <v>#DIV/0!</v>
      </c>
    </row>
    <row r="582">
      <c r="A582" s="16" t="str">
        <f>IFERROR(__xludf.DUMMYFUNCTION("IFERROR(SPARKLINE(SORT(MAP(TRANSPOSE(AQ582:BL582), LAMBDA(val, IF(ISNUMBER(val), PERCENTRANK(AQ582:BL582, val)+0.01, 0))), SEQUENCE(COLUMNS(AQ582:BL582)), FALSE), {""charttype"",""column""; ""color"",""chartreuse""; ""ymin"", 0; ""ymax"", 1.01; ""highcolo"&amp;"r"", ""darkgreen""; ""lowcolor"", ""red""}), """")"),"")</f>
        <v/>
      </c>
      <c r="B582" s="17" t="str">
        <f t="shared" si="4"/>
        <v/>
      </c>
      <c r="C582" s="1" t="s">
        <v>2604</v>
      </c>
      <c r="D582" s="34" t="str">
        <f>IFERROR(__xludf.DUMMYFUNCTION("IFERROR(GOOGLEFINANCE(C582, ""NAME""))"),"")</f>
        <v/>
      </c>
      <c r="E582" s="30" t="s">
        <v>268</v>
      </c>
      <c r="F582" s="33" t="str">
        <f>IFERROR(__xludf.DUMMYFUNCTION("( (GOOGLEFINANCE(C582, ""price"") - Q582) / Q582 ) / (R582 / 100)"),"Loading...")</f>
        <v>Loading...</v>
      </c>
      <c r="G582" s="20" t="str">
        <f>IFERROR(__xludf.DUMMYFUNCTION("AVERAGE(ARRAYFORMULA(100 * (QUERY(GOOGLEFINANCE(C582, ""high"", TODAY()-40, TODAY()), ""SELECT Col2 WHERE Col2 IS NOT NULL ORDER BY Col1 DESC LIMIT 20"", 0) / QUERY(GOOGLEFINANCE(C582, ""low"", TODAY()-40, TODAY()), ""SELECT Col2 WHERE Col2 IS NOT NULL OR"&amp;"DER BY Col1 DESC LIMIT 20"", 0) - 1)))"),"#N/A")</f>
        <v>#N/A</v>
      </c>
      <c r="H582" s="35" t="str">
        <f t="shared" si="6"/>
        <v/>
      </c>
      <c r="I582" s="36" t="str">
        <f t="shared" si="7"/>
        <v/>
      </c>
      <c r="J582" s="37" t="str">
        <f>IFERROR(__xludf.DUMMYFUNCTION("IFERROR(
  IF(C582="""",, 
    IFERROR(
      GOOGLEFINANCE(C582, ""price"") * GOOGLEFINANCE(C582, ""volumeavg""), 
      GOOGLEFINANCE(C582, ""price"") * AVERAGE(QUERY(GOOGLEFINANCE(C582, ""volume"", TODAY()-40, TODAY()), ""SELECT Col2 WHERE Col2 IS NOT "&amp;"NULL ORDER BY Col1 DESC LIMIT 20"", 0))
    )
  ), 
"""")"),"")</f>
        <v/>
      </c>
      <c r="K582" s="21" t="str">
        <f>IFERROR(__xludf.DUMMYFUNCTION("IFERROR(GOOGLEFINANCE(C582, ""changepct"") / 100, """")"),"")</f>
        <v/>
      </c>
      <c r="L582" s="21" t="str">
        <f>IFERROR(__xludf.DUMMYFUNCTION("IFERROR((GOOGLEFINANCE(C582, ""price"") / INDEX(GOOGLEFINANCE(C582, ""price"", TODAY()-7, TODAY()), 2, 2)) - 1, """")"),"")</f>
        <v/>
      </c>
      <c r="M582" s="21" t="str">
        <f>IFERROR(__xludf.DUMMYFUNCTION("IFERROR((GOOGLEFINANCE(C582, ""price"") / INDEX(GOOGLEFINANCE(C582, ""price"", EDATE(TODAY(), -1), TODAY()), 2, 2)) - 1, """")"),"")</f>
        <v/>
      </c>
      <c r="N582" s="21" t="str">
        <f>IFERROR(__xludf.DUMMYFUNCTION("IFERROR((GOOGLEFINANCE(C582, ""price"") / INDEX(GOOGLEFINANCE(C582, ""price"", EDATE(TODAY(), -3), TODAY()), 2, 2)) - 1, """")"),"")</f>
        <v/>
      </c>
      <c r="O582" s="21" t="str">
        <f>IFERROR(__xludf.DUMMYFUNCTION("IFERROR((GOOGLEFINANCE(C582, ""price"") / INDEX(GOOGLEFINANCE(C582, ""price"", EDATE(TODAY(), -6), TODAY()), 2, 2)) - 1, """")"),"")</f>
        <v/>
      </c>
      <c r="P582" s="21" t="str">
        <f>IFERROR(__xludf.DUMMYFUNCTION("IFERROR((GOOGLEFINANCE(C582, ""price"") / INDEX(GOOGLEFINANCE(C582, ""price"", EDATE(TODAY(), -12), TODAY()), 2, 2)) - 1, """")"),"")</f>
        <v/>
      </c>
      <c r="Q582" s="6" t="str">
        <f>IFERROR(__xludf.DUMMYFUNCTION("AVERAGE(QUERY(GOOGLEFINANCE(C582, ""price"", TODAY()-80, TODAY()), ""SELECT Col2 WHERE Col2 IS NOT NULL ORDER BY Col1 DESC LIMIT 50"", 0))"),"#N/A")</f>
        <v>#N/A</v>
      </c>
      <c r="R582" s="24" t="str">
        <f>IFERROR(__xludf.DUMMYFUNCTION("IFERROR(
  LET(
    data, QUERY(GOOGLEFINANCE(C582,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GOOGLEFINANCE(C582, ""price"")) * 100,
    IF(calc=0, G582, calc)
  ), 
G582)"),"#N/A")</f>
        <v>#N/A</v>
      </c>
      <c r="S582" s="8" t="s">
        <v>15</v>
      </c>
      <c r="T582" s="26" t="str">
        <f>IFERROR(__xludf.DUMMYFUNCTION("IFERROR(TRANSPOSE(QUERY(IFERROR(SORT(GOOGLEFINANCE(C582, ""price"", WORKDAY(TODAY(), -40), TODAY()), 1, FALSE)), ""select Col2 where Col2 is not null limit 22 label Col2 ''"", 0)), """")"),"")</f>
        <v/>
      </c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8"/>
      <c r="AO582" s="28"/>
      <c r="AP582" s="29"/>
      <c r="AQ582" s="29" t="str">
        <f t="shared" ref="AQ582:BL582" si="585">T582/T$2</f>
        <v>#N/A</v>
      </c>
      <c r="AR582" s="29" t="str">
        <f t="shared" si="585"/>
        <v>#DIV/0!</v>
      </c>
      <c r="AS582" s="29" t="str">
        <f t="shared" si="585"/>
        <v>#DIV/0!</v>
      </c>
      <c r="AT582" s="29" t="str">
        <f t="shared" si="585"/>
        <v>#DIV/0!</v>
      </c>
      <c r="AU582" s="29" t="str">
        <f t="shared" si="585"/>
        <v>#DIV/0!</v>
      </c>
      <c r="AV582" s="29" t="str">
        <f t="shared" si="585"/>
        <v>#DIV/0!</v>
      </c>
      <c r="AW582" s="29" t="str">
        <f t="shared" si="585"/>
        <v>#DIV/0!</v>
      </c>
      <c r="AX582" s="29" t="str">
        <f t="shared" si="585"/>
        <v>#DIV/0!</v>
      </c>
      <c r="AY582" s="29" t="str">
        <f t="shared" si="585"/>
        <v>#DIV/0!</v>
      </c>
      <c r="AZ582" s="29" t="str">
        <f t="shared" si="585"/>
        <v>#DIV/0!</v>
      </c>
      <c r="BA582" s="29" t="str">
        <f t="shared" si="585"/>
        <v>#DIV/0!</v>
      </c>
      <c r="BB582" s="29" t="str">
        <f t="shared" si="585"/>
        <v>#DIV/0!</v>
      </c>
      <c r="BC582" s="29" t="str">
        <f t="shared" si="585"/>
        <v>#DIV/0!</v>
      </c>
      <c r="BD582" s="29" t="str">
        <f t="shared" si="585"/>
        <v>#DIV/0!</v>
      </c>
      <c r="BE582" s="29" t="str">
        <f t="shared" si="585"/>
        <v>#DIV/0!</v>
      </c>
      <c r="BF582" s="29" t="str">
        <f t="shared" si="585"/>
        <v>#DIV/0!</v>
      </c>
      <c r="BG582" s="29" t="str">
        <f t="shared" si="585"/>
        <v>#DIV/0!</v>
      </c>
      <c r="BH582" s="29" t="str">
        <f t="shared" si="585"/>
        <v>#DIV/0!</v>
      </c>
      <c r="BI582" s="29" t="str">
        <f t="shared" si="585"/>
        <v>#DIV/0!</v>
      </c>
      <c r="BJ582" s="29" t="str">
        <f t="shared" si="585"/>
        <v>#DIV/0!</v>
      </c>
      <c r="BK582" s="29" t="str">
        <f t="shared" si="585"/>
        <v>#DIV/0!</v>
      </c>
      <c r="BL582" s="29" t="str">
        <f t="shared" si="585"/>
        <v>#DIV/0!</v>
      </c>
      <c r="BM582" s="29" t="str">
        <f t="shared" si="3"/>
        <v>#DIV/0!</v>
      </c>
    </row>
    <row r="583">
      <c r="A583" s="16" t="str">
        <f>IFERROR(__xludf.DUMMYFUNCTION("IFERROR(SPARKLINE(SORT(MAP(TRANSPOSE(AQ583:BL583), LAMBDA(val, IF(ISNUMBER(val), PERCENTRANK(AQ583:BL583, val)+0.01, 0))), SEQUENCE(COLUMNS(AQ583:BL583)), FALSE), {""charttype"",""column""; ""color"",""chartreuse""; ""ymin"", 0; ""ymax"", 1.01; ""highcolo"&amp;"r"", ""darkgreen""; ""lowcolor"", ""red""}), """")"),"")</f>
        <v/>
      </c>
      <c r="B583" s="17" t="str">
        <f t="shared" si="4"/>
        <v/>
      </c>
      <c r="C583" s="1" t="s">
        <v>2608</v>
      </c>
      <c r="D583" s="34" t="str">
        <f>IFERROR(__xludf.DUMMYFUNCTION("IFERROR(GOOGLEFINANCE(C583, ""NAME""))"),"Northeast Bank")</f>
        <v>Northeast Bank</v>
      </c>
      <c r="E583" s="30" t="s">
        <v>268</v>
      </c>
      <c r="F583" s="33" t="str">
        <f>IFERROR(__xludf.DUMMYFUNCTION("( (GOOGLEFINANCE(C583, ""price"") - Q583) / Q583 ) / (R583 / 100)"),"Loading...")</f>
        <v>Loading...</v>
      </c>
      <c r="G583" s="20" t="str">
        <f>IFERROR(__xludf.DUMMYFUNCTION("AVERAGE(ARRAYFORMULA(100 * (QUERY(GOOGLEFINANCE(C583, ""high"", TODAY()-40, TODAY()), ""SELECT Col2 WHERE Col2 IS NOT NULL ORDER BY Col1 DESC LIMIT 20"", 0) / QUERY(GOOGLEFINANCE(C583, ""low"", TODAY()-40, TODAY()), ""SELECT Col2 WHERE Col2 IS NOT NULL OR"&amp;"DER BY Col1 DESC LIMIT 20"", 0) - 1)))"),"#N/A")</f>
        <v>#N/A</v>
      </c>
      <c r="H583" s="35" t="str">
        <f t="shared" si="6"/>
        <v/>
      </c>
      <c r="I583" s="36" t="str">
        <f t="shared" si="7"/>
        <v/>
      </c>
      <c r="J583" s="37" t="str">
        <f>IFERROR(__xludf.DUMMYFUNCTION("IFERROR(
  IF(C583="""",, 
    IFERROR(
      GOOGLEFINANCE(C583, ""price"") * GOOGLEFINANCE(C583, ""volumeavg""), 
      GOOGLEFINANCE(C583, ""price"") * AVERAGE(QUERY(GOOGLEFINANCE(C583, ""volume"", TODAY()-40, TODAY()), ""SELECT Col2 WHERE Col2 IS NOT "&amp;"NULL ORDER BY Col1 DESC LIMIT 20"", 0))
    )
  ), 
"""")"),"")</f>
        <v/>
      </c>
      <c r="K583" s="21" t="str">
        <f>IFERROR(__xludf.DUMMYFUNCTION("IFERROR(GOOGLEFINANCE(C583, ""changepct"") / 100, """")"),"")</f>
        <v/>
      </c>
      <c r="L583" s="21" t="str">
        <f>IFERROR(__xludf.DUMMYFUNCTION("IFERROR((GOOGLEFINANCE(C583, ""price"") / INDEX(GOOGLEFINANCE(C583, ""price"", TODAY()-7, TODAY()), 2, 2)) - 1, """")"),"")</f>
        <v/>
      </c>
      <c r="M583" s="21" t="str">
        <f>IFERROR(__xludf.DUMMYFUNCTION("IFERROR((GOOGLEFINANCE(C583, ""price"") / INDEX(GOOGLEFINANCE(C583, ""price"", EDATE(TODAY(), -1), TODAY()), 2, 2)) - 1, """")"),"")</f>
        <v/>
      </c>
      <c r="N583" s="21" t="str">
        <f>IFERROR(__xludf.DUMMYFUNCTION("IFERROR((GOOGLEFINANCE(C583, ""price"") / INDEX(GOOGLEFINANCE(C583, ""price"", EDATE(TODAY(), -3), TODAY()), 2, 2)) - 1, """")"),"")</f>
        <v/>
      </c>
      <c r="O583" s="21" t="str">
        <f>IFERROR(__xludf.DUMMYFUNCTION("IFERROR((GOOGLEFINANCE(C583, ""price"") / INDEX(GOOGLEFINANCE(C583, ""price"", EDATE(TODAY(), -6), TODAY()), 2, 2)) - 1, """")"),"")</f>
        <v/>
      </c>
      <c r="P583" s="21" t="str">
        <f>IFERROR(__xludf.DUMMYFUNCTION("IFERROR((GOOGLEFINANCE(C583, ""price"") / INDEX(GOOGLEFINANCE(C583, ""price"", EDATE(TODAY(), -12), TODAY()), 2, 2)) - 1, """")"),"")</f>
        <v/>
      </c>
      <c r="Q583" s="6" t="str">
        <f>IFERROR(__xludf.DUMMYFUNCTION("AVERAGE(QUERY(GOOGLEFINANCE(C583, ""price"", TODAY()-80, TODAY()), ""SELECT Col2 WHERE Col2 IS NOT NULL ORDER BY Col1 DESC LIMIT 50"", 0))"),"#N/A")</f>
        <v>#N/A</v>
      </c>
      <c r="R583" s="24" t="str">
        <f>IFERROR(__xludf.DUMMYFUNCTION("IFERROR(
  LET(
    data, QUERY(GOOGLEFINANCE(C583,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GOOGLEFINANCE(C583, ""price"")) * 100,
    IF(calc=0, G583, calc)
  ), 
G583)"),"#N/A")</f>
        <v>#N/A</v>
      </c>
      <c r="S583" s="8" t="s">
        <v>15</v>
      </c>
      <c r="T583" s="26" t="str">
        <f>IFERROR(__xludf.DUMMYFUNCTION("IFERROR(TRANSPOSE(QUERY(IFERROR(SORT(GOOGLEFINANCE(C583, ""price"", WORKDAY(TODAY(), -40), TODAY()), 1, FALSE)), ""select Col2 where Col2 is not null limit 22 label Col2 ''"", 0)), """")"),"")</f>
        <v/>
      </c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8"/>
      <c r="AO583" s="28"/>
      <c r="AP583" s="29"/>
      <c r="AQ583" s="29" t="str">
        <f t="shared" ref="AQ583:BL583" si="586">T583/T$2</f>
        <v>#N/A</v>
      </c>
      <c r="AR583" s="29" t="str">
        <f t="shared" si="586"/>
        <v>#DIV/0!</v>
      </c>
      <c r="AS583" s="29" t="str">
        <f t="shared" si="586"/>
        <v>#DIV/0!</v>
      </c>
      <c r="AT583" s="29" t="str">
        <f t="shared" si="586"/>
        <v>#DIV/0!</v>
      </c>
      <c r="AU583" s="29" t="str">
        <f t="shared" si="586"/>
        <v>#DIV/0!</v>
      </c>
      <c r="AV583" s="29" t="str">
        <f t="shared" si="586"/>
        <v>#DIV/0!</v>
      </c>
      <c r="AW583" s="29" t="str">
        <f t="shared" si="586"/>
        <v>#DIV/0!</v>
      </c>
      <c r="AX583" s="29" t="str">
        <f t="shared" si="586"/>
        <v>#DIV/0!</v>
      </c>
      <c r="AY583" s="29" t="str">
        <f t="shared" si="586"/>
        <v>#DIV/0!</v>
      </c>
      <c r="AZ583" s="29" t="str">
        <f t="shared" si="586"/>
        <v>#DIV/0!</v>
      </c>
      <c r="BA583" s="29" t="str">
        <f t="shared" si="586"/>
        <v>#DIV/0!</v>
      </c>
      <c r="BB583" s="29" t="str">
        <f t="shared" si="586"/>
        <v>#DIV/0!</v>
      </c>
      <c r="BC583" s="29" t="str">
        <f t="shared" si="586"/>
        <v>#DIV/0!</v>
      </c>
      <c r="BD583" s="29" t="str">
        <f t="shared" si="586"/>
        <v>#DIV/0!</v>
      </c>
      <c r="BE583" s="29" t="str">
        <f t="shared" si="586"/>
        <v>#DIV/0!</v>
      </c>
      <c r="BF583" s="29" t="str">
        <f t="shared" si="586"/>
        <v>#DIV/0!</v>
      </c>
      <c r="BG583" s="29" t="str">
        <f t="shared" si="586"/>
        <v>#DIV/0!</v>
      </c>
      <c r="BH583" s="29" t="str">
        <f t="shared" si="586"/>
        <v>#DIV/0!</v>
      </c>
      <c r="BI583" s="29" t="str">
        <f t="shared" si="586"/>
        <v>#DIV/0!</v>
      </c>
      <c r="BJ583" s="29" t="str">
        <f t="shared" si="586"/>
        <v>#DIV/0!</v>
      </c>
      <c r="BK583" s="29" t="str">
        <f t="shared" si="586"/>
        <v>#DIV/0!</v>
      </c>
      <c r="BL583" s="29" t="str">
        <f t="shared" si="586"/>
        <v>#DIV/0!</v>
      </c>
      <c r="BM583" s="29" t="str">
        <f t="shared" si="3"/>
        <v>#DIV/0!</v>
      </c>
    </row>
    <row r="584">
      <c r="A584" s="16" t="str">
        <f>IFERROR(__xludf.DUMMYFUNCTION("IFERROR(SPARKLINE(SORT(MAP(TRANSPOSE(AQ584:BL584), LAMBDA(val, IF(ISNUMBER(val), PERCENTRANK(AQ584:BL584, val)+0.01, 0))), SEQUENCE(COLUMNS(AQ584:BL584)), FALSE), {""charttype"",""column""; ""color"",""chartreuse""; ""ymin"", 0; ""ymax"", 1.01; ""highcolo"&amp;"r"", ""darkgreen""; ""lowcolor"", ""red""}), """")"),"")</f>
        <v/>
      </c>
      <c r="B584" s="17" t="str">
        <f t="shared" si="4"/>
        <v/>
      </c>
      <c r="C584" s="1" t="s">
        <v>2612</v>
      </c>
      <c r="D584" s="34" t="str">
        <f>IFERROR(__xludf.DUMMYFUNCTION("IFERROR(GOOGLEFINANCE(C584, ""NAME""))"),"LexinFintech Holdings Ltd - ADR")</f>
        <v>LexinFintech Holdings Ltd - ADR</v>
      </c>
      <c r="E584" s="30" t="s">
        <v>145</v>
      </c>
      <c r="F584" s="33" t="str">
        <f>IFERROR(__xludf.DUMMYFUNCTION("( (GOOGLEFINANCE(C584, ""price"") - Q584) / Q584 ) / (R584 / 100)"),"Loading...")</f>
        <v>Loading...</v>
      </c>
      <c r="G584" s="20" t="str">
        <f>IFERROR(__xludf.DUMMYFUNCTION("AVERAGE(ARRAYFORMULA(100 * (QUERY(GOOGLEFINANCE(C584, ""high"", TODAY()-40, TODAY()), ""SELECT Col2 WHERE Col2 IS NOT NULL ORDER BY Col1 DESC LIMIT 20"", 0) / QUERY(GOOGLEFINANCE(C584, ""low"", TODAY()-40, TODAY()), ""SELECT Col2 WHERE Col2 IS NOT NULL OR"&amp;"DER BY Col1 DESC LIMIT 20"", 0) - 1)))"),"#N/A")</f>
        <v>#N/A</v>
      </c>
      <c r="H584" s="35" t="str">
        <f t="shared" si="6"/>
        <v/>
      </c>
      <c r="I584" s="36" t="str">
        <f t="shared" si="7"/>
        <v/>
      </c>
      <c r="J584" s="37" t="str">
        <f>IFERROR(__xludf.DUMMYFUNCTION("IFERROR(
  IF(C584="""",, 
    IFERROR(
      GOOGLEFINANCE(C584, ""price"") * GOOGLEFINANCE(C584, ""volumeavg""), 
      GOOGLEFINANCE(C584, ""price"") * AVERAGE(QUERY(GOOGLEFINANCE(C584, ""volume"", TODAY()-40, TODAY()), ""SELECT Col2 WHERE Col2 IS NOT "&amp;"NULL ORDER BY Col1 DESC LIMIT 20"", 0))
    )
  ), 
"""")"),"")</f>
        <v/>
      </c>
      <c r="K584" s="21" t="str">
        <f>IFERROR(__xludf.DUMMYFUNCTION("IFERROR(GOOGLEFINANCE(C584, ""changepct"") / 100, """")"),"")</f>
        <v/>
      </c>
      <c r="L584" s="21" t="str">
        <f>IFERROR(__xludf.DUMMYFUNCTION("IFERROR((GOOGLEFINANCE(C584, ""price"") / INDEX(GOOGLEFINANCE(C584, ""price"", TODAY()-7, TODAY()), 2, 2)) - 1, """")"),"")</f>
        <v/>
      </c>
      <c r="M584" s="21" t="str">
        <f>IFERROR(__xludf.DUMMYFUNCTION("IFERROR((GOOGLEFINANCE(C584, ""price"") / INDEX(GOOGLEFINANCE(C584, ""price"", EDATE(TODAY(), -1), TODAY()), 2, 2)) - 1, """")"),"")</f>
        <v/>
      </c>
      <c r="N584" s="21" t="str">
        <f>IFERROR(__xludf.DUMMYFUNCTION("IFERROR((GOOGLEFINANCE(C584, ""price"") / INDEX(GOOGLEFINANCE(C584, ""price"", EDATE(TODAY(), -3), TODAY()), 2, 2)) - 1, """")"),"")</f>
        <v/>
      </c>
      <c r="O584" s="21" t="str">
        <f>IFERROR(__xludf.DUMMYFUNCTION("IFERROR((GOOGLEFINANCE(C584, ""price"") / INDEX(GOOGLEFINANCE(C584, ""price"", EDATE(TODAY(), -6), TODAY()), 2, 2)) - 1, """")"),"")</f>
        <v/>
      </c>
      <c r="P584" s="21" t="str">
        <f>IFERROR(__xludf.DUMMYFUNCTION("IFERROR((GOOGLEFINANCE(C584, ""price"") / INDEX(GOOGLEFINANCE(C584, ""price"", EDATE(TODAY(), -12), TODAY()), 2, 2)) - 1, """")"),"")</f>
        <v/>
      </c>
      <c r="Q584" s="6" t="str">
        <f>IFERROR(__xludf.DUMMYFUNCTION("AVERAGE(QUERY(GOOGLEFINANCE(C584, ""price"", TODAY()-80, TODAY()), ""SELECT Col2 WHERE Col2 IS NOT NULL ORDER BY Col1 DESC LIMIT 50"", 0))"),"#N/A")</f>
        <v>#N/A</v>
      </c>
      <c r="R584" s="24" t="str">
        <f>IFERROR(__xludf.DUMMYFUNCTION("IFERROR(
  LET(
    data, QUERY(GOOGLEFINANCE(C584,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GOOGLEFINANCE(C584, ""price"")) * 100,
    IF(calc=0, G584, calc)
  ), 
G584)"),"#N/A")</f>
        <v>#N/A</v>
      </c>
      <c r="S584" s="8" t="s">
        <v>15</v>
      </c>
      <c r="T584" s="26" t="str">
        <f>IFERROR(__xludf.DUMMYFUNCTION("IFERROR(TRANSPOSE(QUERY(IFERROR(SORT(GOOGLEFINANCE(C584, ""price"", WORKDAY(TODAY(), -40), TODAY()), 1, FALSE)), ""select Col2 where Col2 is not null limit 22 label Col2 ''"", 0)), """")"),"")</f>
        <v/>
      </c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8"/>
      <c r="AO584" s="28"/>
      <c r="AP584" s="29"/>
      <c r="AQ584" s="29" t="str">
        <f t="shared" ref="AQ584:BL584" si="587">T584/T$2</f>
        <v>#N/A</v>
      </c>
      <c r="AR584" s="29" t="str">
        <f t="shared" si="587"/>
        <v>#DIV/0!</v>
      </c>
      <c r="AS584" s="29" t="str">
        <f t="shared" si="587"/>
        <v>#DIV/0!</v>
      </c>
      <c r="AT584" s="29" t="str">
        <f t="shared" si="587"/>
        <v>#DIV/0!</v>
      </c>
      <c r="AU584" s="29" t="str">
        <f t="shared" si="587"/>
        <v>#DIV/0!</v>
      </c>
      <c r="AV584" s="29" t="str">
        <f t="shared" si="587"/>
        <v>#DIV/0!</v>
      </c>
      <c r="AW584" s="29" t="str">
        <f t="shared" si="587"/>
        <v>#DIV/0!</v>
      </c>
      <c r="AX584" s="29" t="str">
        <f t="shared" si="587"/>
        <v>#DIV/0!</v>
      </c>
      <c r="AY584" s="29" t="str">
        <f t="shared" si="587"/>
        <v>#DIV/0!</v>
      </c>
      <c r="AZ584" s="29" t="str">
        <f t="shared" si="587"/>
        <v>#DIV/0!</v>
      </c>
      <c r="BA584" s="29" t="str">
        <f t="shared" si="587"/>
        <v>#DIV/0!</v>
      </c>
      <c r="BB584" s="29" t="str">
        <f t="shared" si="587"/>
        <v>#DIV/0!</v>
      </c>
      <c r="BC584" s="29" t="str">
        <f t="shared" si="587"/>
        <v>#DIV/0!</v>
      </c>
      <c r="BD584" s="29" t="str">
        <f t="shared" si="587"/>
        <v>#DIV/0!</v>
      </c>
      <c r="BE584" s="29" t="str">
        <f t="shared" si="587"/>
        <v>#DIV/0!</v>
      </c>
      <c r="BF584" s="29" t="str">
        <f t="shared" si="587"/>
        <v>#DIV/0!</v>
      </c>
      <c r="BG584" s="29" t="str">
        <f t="shared" si="587"/>
        <v>#DIV/0!</v>
      </c>
      <c r="BH584" s="29" t="str">
        <f t="shared" si="587"/>
        <v>#DIV/0!</v>
      </c>
      <c r="BI584" s="29" t="str">
        <f t="shared" si="587"/>
        <v>#DIV/0!</v>
      </c>
      <c r="BJ584" s="29" t="str">
        <f t="shared" si="587"/>
        <v>#DIV/0!</v>
      </c>
      <c r="BK584" s="29" t="str">
        <f t="shared" si="587"/>
        <v>#DIV/0!</v>
      </c>
      <c r="BL584" s="29" t="str">
        <f t="shared" si="587"/>
        <v>#DIV/0!</v>
      </c>
      <c r="BM584" s="29" t="str">
        <f t="shared" si="3"/>
        <v>#DIV/0!</v>
      </c>
    </row>
    <row r="585">
      <c r="A585" s="16" t="str">
        <f>IFERROR(__xludf.DUMMYFUNCTION("IFERROR(SPARKLINE(SORT(MAP(TRANSPOSE(AQ585:BL585), LAMBDA(val, IF(ISNUMBER(val), PERCENTRANK(AQ585:BL585, val)+0.01, 0))), SEQUENCE(COLUMNS(AQ585:BL585)), FALSE), {""charttype"",""column""; ""color"",""chartreuse""; ""ymin"", 0; ""ymax"", 1.01; ""highcolo"&amp;"r"", ""darkgreen""; ""lowcolor"", ""red""}), """")"),"")</f>
        <v/>
      </c>
      <c r="B585" s="17" t="str">
        <f t="shared" si="4"/>
        <v/>
      </c>
      <c r="C585" s="1" t="s">
        <v>2618</v>
      </c>
      <c r="D585" s="34" t="str">
        <f>IFERROR(__xludf.DUMMYFUNCTION("IFERROR(GOOGLEFINANCE(C585, ""NAME""))"),"Capital Bancorp Inc")</f>
        <v>Capital Bancorp Inc</v>
      </c>
      <c r="E585" s="30" t="s">
        <v>268</v>
      </c>
      <c r="F585" s="33" t="str">
        <f>IFERROR(__xludf.DUMMYFUNCTION("( (GOOGLEFINANCE(C585, ""price"") - Q585) / Q585 ) / (R585 / 100)"),"Loading...")</f>
        <v>Loading...</v>
      </c>
      <c r="G585" s="20" t="str">
        <f>IFERROR(__xludf.DUMMYFUNCTION("AVERAGE(ARRAYFORMULA(100 * (QUERY(GOOGLEFINANCE(C585, ""high"", TODAY()-40, TODAY()), ""SELECT Col2 WHERE Col2 IS NOT NULL ORDER BY Col1 DESC LIMIT 20"", 0) / QUERY(GOOGLEFINANCE(C585, ""low"", TODAY()-40, TODAY()), ""SELECT Col2 WHERE Col2 IS NOT NULL OR"&amp;"DER BY Col1 DESC LIMIT 20"", 0) - 1)))"),"#N/A")</f>
        <v>#N/A</v>
      </c>
      <c r="H585" s="35" t="str">
        <f t="shared" si="6"/>
        <v/>
      </c>
      <c r="I585" s="36" t="str">
        <f t="shared" si="7"/>
        <v/>
      </c>
      <c r="J585" s="37" t="str">
        <f>IFERROR(__xludf.DUMMYFUNCTION("IFERROR(
  IF(C585="""",, 
    IFERROR(
      GOOGLEFINANCE(C585, ""price"") * GOOGLEFINANCE(C585, ""volumeavg""), 
      GOOGLEFINANCE(C585, ""price"") * AVERAGE(QUERY(GOOGLEFINANCE(C585, ""volume"", TODAY()-40, TODAY()), ""SELECT Col2 WHERE Col2 IS NOT "&amp;"NULL ORDER BY Col1 DESC LIMIT 20"", 0))
    )
  ), 
"""")"),"")</f>
        <v/>
      </c>
      <c r="K585" s="21" t="str">
        <f>IFERROR(__xludf.DUMMYFUNCTION("IFERROR(GOOGLEFINANCE(C585, ""changepct"") / 100, """")"),"")</f>
        <v/>
      </c>
      <c r="L585" s="21" t="str">
        <f>IFERROR(__xludf.DUMMYFUNCTION("IFERROR((GOOGLEFINANCE(C585, ""price"") / INDEX(GOOGLEFINANCE(C585, ""price"", TODAY()-7, TODAY()), 2, 2)) - 1, """")"),"")</f>
        <v/>
      </c>
      <c r="M585" s="21" t="str">
        <f>IFERROR(__xludf.DUMMYFUNCTION("IFERROR((GOOGLEFINANCE(C585, ""price"") / INDEX(GOOGLEFINANCE(C585, ""price"", EDATE(TODAY(), -1), TODAY()), 2, 2)) - 1, """")"),"")</f>
        <v/>
      </c>
      <c r="N585" s="21" t="str">
        <f>IFERROR(__xludf.DUMMYFUNCTION("IFERROR((GOOGLEFINANCE(C585, ""price"") / INDEX(GOOGLEFINANCE(C585, ""price"", EDATE(TODAY(), -3), TODAY()), 2, 2)) - 1, """")"),"")</f>
        <v/>
      </c>
      <c r="O585" s="21" t="str">
        <f>IFERROR(__xludf.DUMMYFUNCTION("IFERROR((GOOGLEFINANCE(C585, ""price"") / INDEX(GOOGLEFINANCE(C585, ""price"", EDATE(TODAY(), -6), TODAY()), 2, 2)) - 1, """")"),"")</f>
        <v/>
      </c>
      <c r="P585" s="21" t="str">
        <f>IFERROR(__xludf.DUMMYFUNCTION("IFERROR((GOOGLEFINANCE(C585, ""price"") / INDEX(GOOGLEFINANCE(C585, ""price"", EDATE(TODAY(), -12), TODAY()), 2, 2)) - 1, """")"),"")</f>
        <v/>
      </c>
      <c r="Q585" s="6" t="str">
        <f>IFERROR(__xludf.DUMMYFUNCTION("AVERAGE(QUERY(GOOGLEFINANCE(C585, ""price"", TODAY()-80, TODAY()), ""SELECT Col2 WHERE Col2 IS NOT NULL ORDER BY Col1 DESC LIMIT 50"", 0))"),"#N/A")</f>
        <v>#N/A</v>
      </c>
      <c r="R585" s="24" t="str">
        <f>IFERROR(__xludf.DUMMYFUNCTION("IFERROR(
  LET(
    data, QUERY(GOOGLEFINANCE(C585,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GOOGLEFINANCE(C585, ""price"")) * 100,
    IF(calc=0, G585, calc)
  ), 
G585)"),"#N/A")</f>
        <v>#N/A</v>
      </c>
      <c r="S585" s="8" t="s">
        <v>15</v>
      </c>
      <c r="T585" s="26" t="str">
        <f>IFERROR(__xludf.DUMMYFUNCTION("IFERROR(TRANSPOSE(QUERY(IFERROR(SORT(GOOGLEFINANCE(C585, ""price"", WORKDAY(TODAY(), -40), TODAY()), 1, FALSE)), ""select Col2 where Col2 is not null limit 22 label Col2 ''"", 0)), """")"),"")</f>
        <v/>
      </c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8"/>
      <c r="AO585" s="28"/>
      <c r="AP585" s="29"/>
      <c r="AQ585" s="29" t="str">
        <f t="shared" ref="AQ585:BL585" si="588">T585/T$2</f>
        <v>#N/A</v>
      </c>
      <c r="AR585" s="29" t="str">
        <f t="shared" si="588"/>
        <v>#DIV/0!</v>
      </c>
      <c r="AS585" s="29" t="str">
        <f t="shared" si="588"/>
        <v>#DIV/0!</v>
      </c>
      <c r="AT585" s="29" t="str">
        <f t="shared" si="588"/>
        <v>#DIV/0!</v>
      </c>
      <c r="AU585" s="29" t="str">
        <f t="shared" si="588"/>
        <v>#DIV/0!</v>
      </c>
      <c r="AV585" s="29" t="str">
        <f t="shared" si="588"/>
        <v>#DIV/0!</v>
      </c>
      <c r="AW585" s="29" t="str">
        <f t="shared" si="588"/>
        <v>#DIV/0!</v>
      </c>
      <c r="AX585" s="29" t="str">
        <f t="shared" si="588"/>
        <v>#DIV/0!</v>
      </c>
      <c r="AY585" s="29" t="str">
        <f t="shared" si="588"/>
        <v>#DIV/0!</v>
      </c>
      <c r="AZ585" s="29" t="str">
        <f t="shared" si="588"/>
        <v>#DIV/0!</v>
      </c>
      <c r="BA585" s="29" t="str">
        <f t="shared" si="588"/>
        <v>#DIV/0!</v>
      </c>
      <c r="BB585" s="29" t="str">
        <f t="shared" si="588"/>
        <v>#DIV/0!</v>
      </c>
      <c r="BC585" s="29" t="str">
        <f t="shared" si="588"/>
        <v>#DIV/0!</v>
      </c>
      <c r="BD585" s="29" t="str">
        <f t="shared" si="588"/>
        <v>#DIV/0!</v>
      </c>
      <c r="BE585" s="29" t="str">
        <f t="shared" si="588"/>
        <v>#DIV/0!</v>
      </c>
      <c r="BF585" s="29" t="str">
        <f t="shared" si="588"/>
        <v>#DIV/0!</v>
      </c>
      <c r="BG585" s="29" t="str">
        <f t="shared" si="588"/>
        <v>#DIV/0!</v>
      </c>
      <c r="BH585" s="29" t="str">
        <f t="shared" si="588"/>
        <v>#DIV/0!</v>
      </c>
      <c r="BI585" s="29" t="str">
        <f t="shared" si="588"/>
        <v>#DIV/0!</v>
      </c>
      <c r="BJ585" s="29" t="str">
        <f t="shared" si="588"/>
        <v>#DIV/0!</v>
      </c>
      <c r="BK585" s="29" t="str">
        <f t="shared" si="588"/>
        <v>#DIV/0!</v>
      </c>
      <c r="BL585" s="29" t="str">
        <f t="shared" si="588"/>
        <v>#DIV/0!</v>
      </c>
      <c r="BM585" s="29" t="str">
        <f t="shared" si="3"/>
        <v>#DIV/0!</v>
      </c>
    </row>
    <row r="586">
      <c r="A586" s="16" t="str">
        <f>IFERROR(__xludf.DUMMYFUNCTION("IFERROR(SPARKLINE(SORT(MAP(TRANSPOSE(AQ586:BL586), LAMBDA(val, IF(ISNUMBER(val), PERCENTRANK(AQ586:BL586, val)+0.01, 0))), SEQUENCE(COLUMNS(AQ586:BL586)), FALSE), {""charttype"",""column""; ""color"",""chartreuse""; ""ymin"", 0; ""ymax"", 1.01; ""highcolo"&amp;"r"", ""darkgreen""; ""lowcolor"", ""red""}), """")"),"")</f>
        <v/>
      </c>
      <c r="B586" s="17" t="str">
        <f t="shared" si="4"/>
        <v/>
      </c>
      <c r="C586" s="1" t="s">
        <v>2622</v>
      </c>
      <c r="D586" s="34" t="str">
        <f>IFERROR(__xludf.DUMMYFUNCTION("IFERROR(GOOGLEFINANCE(C586, ""NAME""))"),"Patria Investments Ltd")</f>
        <v>Patria Investments Ltd</v>
      </c>
      <c r="E586" s="30" t="s">
        <v>64</v>
      </c>
      <c r="F586" s="33" t="str">
        <f>IFERROR(__xludf.DUMMYFUNCTION("( (GOOGLEFINANCE(C586, ""price"") - Q586) / Q586 ) / (R586 / 100)"),"Loading...")</f>
        <v>Loading...</v>
      </c>
      <c r="G586" s="20" t="str">
        <f>IFERROR(__xludf.DUMMYFUNCTION("AVERAGE(ARRAYFORMULA(100 * (QUERY(GOOGLEFINANCE(C586, ""high"", TODAY()-40, TODAY()), ""SELECT Col2 WHERE Col2 IS NOT NULL ORDER BY Col1 DESC LIMIT 20"", 0) / QUERY(GOOGLEFINANCE(C586, ""low"", TODAY()-40, TODAY()), ""SELECT Col2 WHERE Col2 IS NOT NULL OR"&amp;"DER BY Col1 DESC LIMIT 20"", 0) - 1)))"),"#N/A")</f>
        <v>#N/A</v>
      </c>
      <c r="H586" s="35" t="str">
        <f t="shared" si="6"/>
        <v/>
      </c>
      <c r="I586" s="36" t="str">
        <f t="shared" si="7"/>
        <v/>
      </c>
      <c r="J586" s="37" t="str">
        <f>IFERROR(__xludf.DUMMYFUNCTION("IFERROR(
  IF(C586="""",, 
    IFERROR(
      GOOGLEFINANCE(C586, ""price"") * GOOGLEFINANCE(C586, ""volumeavg""), 
      GOOGLEFINANCE(C586, ""price"") * AVERAGE(QUERY(GOOGLEFINANCE(C586, ""volume"", TODAY()-40, TODAY()), ""SELECT Col2 WHERE Col2 IS NOT "&amp;"NULL ORDER BY Col1 DESC LIMIT 20"", 0))
    )
  ), 
"""")"),"")</f>
        <v/>
      </c>
      <c r="K586" s="21" t="str">
        <f>IFERROR(__xludf.DUMMYFUNCTION("IFERROR(GOOGLEFINANCE(C586, ""changepct"") / 100, """")"),"")</f>
        <v/>
      </c>
      <c r="L586" s="21" t="str">
        <f>IFERROR(__xludf.DUMMYFUNCTION("IFERROR((GOOGLEFINANCE(C586, ""price"") / INDEX(GOOGLEFINANCE(C586, ""price"", TODAY()-7, TODAY()), 2, 2)) - 1, """")"),"")</f>
        <v/>
      </c>
      <c r="M586" s="21" t="str">
        <f>IFERROR(__xludf.DUMMYFUNCTION("IFERROR((GOOGLEFINANCE(C586, ""price"") / INDEX(GOOGLEFINANCE(C586, ""price"", EDATE(TODAY(), -1), TODAY()), 2, 2)) - 1, """")"),"")</f>
        <v/>
      </c>
      <c r="N586" s="21" t="str">
        <f>IFERROR(__xludf.DUMMYFUNCTION("IFERROR((GOOGLEFINANCE(C586, ""price"") / INDEX(GOOGLEFINANCE(C586, ""price"", EDATE(TODAY(), -3), TODAY()), 2, 2)) - 1, """")"),"")</f>
        <v/>
      </c>
      <c r="O586" s="21" t="str">
        <f>IFERROR(__xludf.DUMMYFUNCTION("IFERROR((GOOGLEFINANCE(C586, ""price"") / INDEX(GOOGLEFINANCE(C586, ""price"", EDATE(TODAY(), -6), TODAY()), 2, 2)) - 1, """")"),"")</f>
        <v/>
      </c>
      <c r="P586" s="21" t="str">
        <f>IFERROR(__xludf.DUMMYFUNCTION("IFERROR((GOOGLEFINANCE(C586, ""price"") / INDEX(GOOGLEFINANCE(C586, ""price"", EDATE(TODAY(), -12), TODAY()), 2, 2)) - 1, """")"),"")</f>
        <v/>
      </c>
      <c r="Q586" s="6" t="str">
        <f>IFERROR(__xludf.DUMMYFUNCTION("AVERAGE(QUERY(GOOGLEFINANCE(C586, ""price"", TODAY()-80, TODAY()), ""SELECT Col2 WHERE Col2 IS NOT NULL ORDER BY Col1 DESC LIMIT 50"", 0))"),"#N/A")</f>
        <v>#N/A</v>
      </c>
      <c r="R586" s="24" t="str">
        <f>IFERROR(__xludf.DUMMYFUNCTION("IFERROR(
  LET(
    data, QUERY(GOOGLEFINANCE(C586,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GOOGLEFINANCE(C586, ""price"")) * 100,
    IF(calc=0, G586, calc)
  ), 
G586)"),"#N/A")</f>
        <v>#N/A</v>
      </c>
      <c r="S586" s="8" t="s">
        <v>15</v>
      </c>
      <c r="T586" s="26" t="str">
        <f>IFERROR(__xludf.DUMMYFUNCTION("IFERROR(TRANSPOSE(QUERY(IFERROR(SORT(GOOGLEFINANCE(C586, ""price"", WORKDAY(TODAY(), -40), TODAY()), 1, FALSE)), ""select Col2 where Col2 is not null limit 22 label Col2 ''"", 0)), """")"),"")</f>
        <v/>
      </c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8"/>
      <c r="AO586" s="28"/>
      <c r="AP586" s="29"/>
      <c r="AQ586" s="29" t="str">
        <f t="shared" ref="AQ586:BL586" si="589">T586/T$2</f>
        <v>#N/A</v>
      </c>
      <c r="AR586" s="29" t="str">
        <f t="shared" si="589"/>
        <v>#DIV/0!</v>
      </c>
      <c r="AS586" s="29" t="str">
        <f t="shared" si="589"/>
        <v>#DIV/0!</v>
      </c>
      <c r="AT586" s="29" t="str">
        <f t="shared" si="589"/>
        <v>#DIV/0!</v>
      </c>
      <c r="AU586" s="29" t="str">
        <f t="shared" si="589"/>
        <v>#DIV/0!</v>
      </c>
      <c r="AV586" s="29" t="str">
        <f t="shared" si="589"/>
        <v>#DIV/0!</v>
      </c>
      <c r="AW586" s="29" t="str">
        <f t="shared" si="589"/>
        <v>#DIV/0!</v>
      </c>
      <c r="AX586" s="29" t="str">
        <f t="shared" si="589"/>
        <v>#DIV/0!</v>
      </c>
      <c r="AY586" s="29" t="str">
        <f t="shared" si="589"/>
        <v>#DIV/0!</v>
      </c>
      <c r="AZ586" s="29" t="str">
        <f t="shared" si="589"/>
        <v>#DIV/0!</v>
      </c>
      <c r="BA586" s="29" t="str">
        <f t="shared" si="589"/>
        <v>#DIV/0!</v>
      </c>
      <c r="BB586" s="29" t="str">
        <f t="shared" si="589"/>
        <v>#DIV/0!</v>
      </c>
      <c r="BC586" s="29" t="str">
        <f t="shared" si="589"/>
        <v>#DIV/0!</v>
      </c>
      <c r="BD586" s="29" t="str">
        <f t="shared" si="589"/>
        <v>#DIV/0!</v>
      </c>
      <c r="BE586" s="29" t="str">
        <f t="shared" si="589"/>
        <v>#DIV/0!</v>
      </c>
      <c r="BF586" s="29" t="str">
        <f t="shared" si="589"/>
        <v>#DIV/0!</v>
      </c>
      <c r="BG586" s="29" t="str">
        <f t="shared" si="589"/>
        <v>#DIV/0!</v>
      </c>
      <c r="BH586" s="29" t="str">
        <f t="shared" si="589"/>
        <v>#DIV/0!</v>
      </c>
      <c r="BI586" s="29" t="str">
        <f t="shared" si="589"/>
        <v>#DIV/0!</v>
      </c>
      <c r="BJ586" s="29" t="str">
        <f t="shared" si="589"/>
        <v>#DIV/0!</v>
      </c>
      <c r="BK586" s="29" t="str">
        <f t="shared" si="589"/>
        <v>#DIV/0!</v>
      </c>
      <c r="BL586" s="29" t="str">
        <f t="shared" si="589"/>
        <v>#DIV/0!</v>
      </c>
      <c r="BM586" s="29" t="str">
        <f t="shared" si="3"/>
        <v>#DIV/0!</v>
      </c>
    </row>
    <row r="587">
      <c r="A587" s="16" t="str">
        <f>IFERROR(__xludf.DUMMYFUNCTION("IFERROR(SPARKLINE(SORT(MAP(TRANSPOSE(AQ587:BL587), LAMBDA(val, IF(ISNUMBER(val), PERCENTRANK(AQ587:BL587, val)+0.01, 0))), SEQUENCE(COLUMNS(AQ587:BL587)), FALSE), {""charttype"",""column""; ""color"",""chartreuse""; ""ymin"", 0; ""ymax"", 1.01; ""highcolo"&amp;"r"", ""darkgreen""; ""lowcolor"", ""red""}), """")"),"")</f>
        <v/>
      </c>
      <c r="B587" s="17" t="str">
        <f t="shared" si="4"/>
        <v/>
      </c>
      <c r="C587" s="1" t="s">
        <v>2625</v>
      </c>
      <c r="D587" s="34" t="str">
        <f>IFERROR(__xludf.DUMMYFUNCTION("IFERROR(GOOGLEFINANCE(C587, ""NAME""))"),"Community Trust Bancorp Inc")</f>
        <v>Community Trust Bancorp Inc</v>
      </c>
      <c r="E587" s="30" t="s">
        <v>268</v>
      </c>
      <c r="F587" s="33" t="str">
        <f>IFERROR(__xludf.DUMMYFUNCTION("( (GOOGLEFINANCE(C587, ""price"") - Q587) / Q587 ) / (R587 / 100)"),"Loading...")</f>
        <v>Loading...</v>
      </c>
      <c r="G587" s="20" t="str">
        <f>IFERROR(__xludf.DUMMYFUNCTION("AVERAGE(ARRAYFORMULA(100 * (QUERY(GOOGLEFINANCE(C587, ""high"", TODAY()-40, TODAY()), ""SELECT Col2 WHERE Col2 IS NOT NULL ORDER BY Col1 DESC LIMIT 20"", 0) / QUERY(GOOGLEFINANCE(C587, ""low"", TODAY()-40, TODAY()), ""SELECT Col2 WHERE Col2 IS NOT NULL OR"&amp;"DER BY Col1 DESC LIMIT 20"", 0) - 1)))"),"#N/A")</f>
        <v>#N/A</v>
      </c>
      <c r="H587" s="35" t="str">
        <f t="shared" si="6"/>
        <v/>
      </c>
      <c r="I587" s="36" t="str">
        <f t="shared" si="7"/>
        <v/>
      </c>
      <c r="J587" s="37" t="str">
        <f>IFERROR(__xludf.DUMMYFUNCTION("IFERROR(
  IF(C587="""",, 
    IFERROR(
      GOOGLEFINANCE(C587, ""price"") * GOOGLEFINANCE(C587, ""volumeavg""), 
      GOOGLEFINANCE(C587, ""price"") * AVERAGE(QUERY(GOOGLEFINANCE(C587, ""volume"", TODAY()-40, TODAY()), ""SELECT Col2 WHERE Col2 IS NOT "&amp;"NULL ORDER BY Col1 DESC LIMIT 20"", 0))
    )
  ), 
"""")"),"")</f>
        <v/>
      </c>
      <c r="K587" s="21" t="str">
        <f>IFERROR(__xludf.DUMMYFUNCTION("IFERROR(GOOGLEFINANCE(C587, ""changepct"") / 100, """")"),"")</f>
        <v/>
      </c>
      <c r="L587" s="21" t="str">
        <f>IFERROR(__xludf.DUMMYFUNCTION("IFERROR((GOOGLEFINANCE(C587, ""price"") / INDEX(GOOGLEFINANCE(C587, ""price"", TODAY()-7, TODAY()), 2, 2)) - 1, """")"),"")</f>
        <v/>
      </c>
      <c r="M587" s="21" t="str">
        <f>IFERROR(__xludf.DUMMYFUNCTION("IFERROR((GOOGLEFINANCE(C587, ""price"") / INDEX(GOOGLEFINANCE(C587, ""price"", EDATE(TODAY(), -1), TODAY()), 2, 2)) - 1, """")"),"")</f>
        <v/>
      </c>
      <c r="N587" s="21" t="str">
        <f>IFERROR(__xludf.DUMMYFUNCTION("IFERROR((GOOGLEFINANCE(C587, ""price"") / INDEX(GOOGLEFINANCE(C587, ""price"", EDATE(TODAY(), -3), TODAY()), 2, 2)) - 1, """")"),"")</f>
        <v/>
      </c>
      <c r="O587" s="21" t="str">
        <f>IFERROR(__xludf.DUMMYFUNCTION("IFERROR((GOOGLEFINANCE(C587, ""price"") / INDEX(GOOGLEFINANCE(C587, ""price"", EDATE(TODAY(), -6), TODAY()), 2, 2)) - 1, """")"),"")</f>
        <v/>
      </c>
      <c r="P587" s="21" t="str">
        <f>IFERROR(__xludf.DUMMYFUNCTION("IFERROR((GOOGLEFINANCE(C587, ""price"") / INDEX(GOOGLEFINANCE(C587, ""price"", EDATE(TODAY(), -12), TODAY()), 2, 2)) - 1, """")"),"")</f>
        <v/>
      </c>
      <c r="Q587" s="6" t="str">
        <f>IFERROR(__xludf.DUMMYFUNCTION("AVERAGE(QUERY(GOOGLEFINANCE(C587, ""price"", TODAY()-80, TODAY()), ""SELECT Col2 WHERE Col2 IS NOT NULL ORDER BY Col1 DESC LIMIT 50"", 0))"),"#N/A")</f>
        <v>#N/A</v>
      </c>
      <c r="R587" s="24" t="str">
        <f>IFERROR(__xludf.DUMMYFUNCTION("IFERROR(
  LET(
    data, QUERY(GOOGLEFINANCE(C587,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GOOGLEFINANCE(C587, ""price"")) * 100,
    IF(calc=0, G587, calc)
  ), 
G587)"),"#N/A")</f>
        <v>#N/A</v>
      </c>
      <c r="S587" s="8" t="s">
        <v>15</v>
      </c>
      <c r="T587" s="26" t="str">
        <f>IFERROR(__xludf.DUMMYFUNCTION("IFERROR(TRANSPOSE(QUERY(IFERROR(SORT(GOOGLEFINANCE(C587, ""price"", WORKDAY(TODAY(), -40), TODAY()), 1, FALSE)), ""select Col2 where Col2 is not null limit 22 label Col2 ''"", 0)), """")"),"")</f>
        <v/>
      </c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8"/>
      <c r="AO587" s="28"/>
      <c r="AP587" s="29"/>
      <c r="AQ587" s="29" t="str">
        <f t="shared" ref="AQ587:BL587" si="590">T587/T$2</f>
        <v>#N/A</v>
      </c>
      <c r="AR587" s="29" t="str">
        <f t="shared" si="590"/>
        <v>#DIV/0!</v>
      </c>
      <c r="AS587" s="29" t="str">
        <f t="shared" si="590"/>
        <v>#DIV/0!</v>
      </c>
      <c r="AT587" s="29" t="str">
        <f t="shared" si="590"/>
        <v>#DIV/0!</v>
      </c>
      <c r="AU587" s="29" t="str">
        <f t="shared" si="590"/>
        <v>#DIV/0!</v>
      </c>
      <c r="AV587" s="29" t="str">
        <f t="shared" si="590"/>
        <v>#DIV/0!</v>
      </c>
      <c r="AW587" s="29" t="str">
        <f t="shared" si="590"/>
        <v>#DIV/0!</v>
      </c>
      <c r="AX587" s="29" t="str">
        <f t="shared" si="590"/>
        <v>#DIV/0!</v>
      </c>
      <c r="AY587" s="29" t="str">
        <f t="shared" si="590"/>
        <v>#DIV/0!</v>
      </c>
      <c r="AZ587" s="29" t="str">
        <f t="shared" si="590"/>
        <v>#DIV/0!</v>
      </c>
      <c r="BA587" s="29" t="str">
        <f t="shared" si="590"/>
        <v>#DIV/0!</v>
      </c>
      <c r="BB587" s="29" t="str">
        <f t="shared" si="590"/>
        <v>#DIV/0!</v>
      </c>
      <c r="BC587" s="29" t="str">
        <f t="shared" si="590"/>
        <v>#DIV/0!</v>
      </c>
      <c r="BD587" s="29" t="str">
        <f t="shared" si="590"/>
        <v>#DIV/0!</v>
      </c>
      <c r="BE587" s="29" t="str">
        <f t="shared" si="590"/>
        <v>#DIV/0!</v>
      </c>
      <c r="BF587" s="29" t="str">
        <f t="shared" si="590"/>
        <v>#DIV/0!</v>
      </c>
      <c r="BG587" s="29" t="str">
        <f t="shared" si="590"/>
        <v>#DIV/0!</v>
      </c>
      <c r="BH587" s="29" t="str">
        <f t="shared" si="590"/>
        <v>#DIV/0!</v>
      </c>
      <c r="BI587" s="29" t="str">
        <f t="shared" si="590"/>
        <v>#DIV/0!</v>
      </c>
      <c r="BJ587" s="29" t="str">
        <f t="shared" si="590"/>
        <v>#DIV/0!</v>
      </c>
      <c r="BK587" s="29" t="str">
        <f t="shared" si="590"/>
        <v>#DIV/0!</v>
      </c>
      <c r="BL587" s="29" t="str">
        <f t="shared" si="590"/>
        <v>#DIV/0!</v>
      </c>
      <c r="BM587" s="29" t="str">
        <f t="shared" si="3"/>
        <v>#DIV/0!</v>
      </c>
    </row>
    <row r="588">
      <c r="A588" s="16" t="str">
        <f>IFERROR(__xludf.DUMMYFUNCTION("IFERROR(SPARKLINE(SORT(MAP(TRANSPOSE(AQ588:BL588), LAMBDA(val, IF(ISNUMBER(val), PERCENTRANK(AQ588:BL588, val)+0.01, 0))), SEQUENCE(COLUMNS(AQ588:BL588)), FALSE), {""charttype"",""column""; ""color"",""chartreuse""; ""ymin"", 0; ""ymax"", 1.01; ""highcolo"&amp;"r"", ""darkgreen""; ""lowcolor"", ""red""}), """")"),"")</f>
        <v/>
      </c>
      <c r="B588" s="17" t="str">
        <f t="shared" si="4"/>
        <v/>
      </c>
      <c r="C588" s="1" t="s">
        <v>2632</v>
      </c>
      <c r="D588" s="34" t="str">
        <f>IFERROR(__xludf.DUMMYFUNCTION("IFERROR(GOOGLEFINANCE(C588, ""NAME""))"),"MVB Financial Corp")</f>
        <v>MVB Financial Corp</v>
      </c>
      <c r="E588" s="30" t="s">
        <v>268</v>
      </c>
      <c r="F588" s="38" t="str">
        <f>IFERROR(__xludf.DUMMYFUNCTION("( (GOOGLEFINANCE(C588, ""price"") - Q588) / Q588 ) / (R588 / 100)"),"Loading...")</f>
        <v>Loading...</v>
      </c>
      <c r="G588" s="20" t="str">
        <f>IFERROR(__xludf.DUMMYFUNCTION("AVERAGE(ARRAYFORMULA(100 * (QUERY(GOOGLEFINANCE(C588, ""high"", TODAY()-40, TODAY()), ""SELECT Col2 WHERE Col2 IS NOT NULL ORDER BY Col1 DESC LIMIT 20"", 0) / QUERY(GOOGLEFINANCE(C588, ""low"", TODAY()-40, TODAY()), ""SELECT Col2 WHERE Col2 IS NOT NULL OR"&amp;"DER BY Col1 DESC LIMIT 20"", 0) - 1)))"),"#N/A")</f>
        <v>#N/A</v>
      </c>
      <c r="H588" s="35" t="str">
        <f t="shared" si="6"/>
        <v/>
      </c>
      <c r="I588" s="36" t="str">
        <f t="shared" si="7"/>
        <v/>
      </c>
      <c r="J588" s="37" t="str">
        <f>IFERROR(__xludf.DUMMYFUNCTION("IFERROR(
  IF(C588="""",, 
    IFERROR(
      GOOGLEFINANCE(C588, ""price"") * GOOGLEFINANCE(C588, ""volumeavg""), 
      GOOGLEFINANCE(C588, ""price"") * AVERAGE(QUERY(GOOGLEFINANCE(C588, ""volume"", TODAY()-40, TODAY()), ""SELECT Col2 WHERE Col2 IS NOT "&amp;"NULL ORDER BY Col1 DESC LIMIT 20"", 0))
    )
  ), 
"""")"),"")</f>
        <v/>
      </c>
      <c r="K588" s="21" t="str">
        <f>IFERROR(__xludf.DUMMYFUNCTION("IFERROR(GOOGLEFINANCE(C588, ""changepct"") / 100, """")"),"")</f>
        <v/>
      </c>
      <c r="L588" s="21" t="str">
        <f>IFERROR(__xludf.DUMMYFUNCTION("IFERROR((GOOGLEFINANCE(C588, ""price"") / INDEX(GOOGLEFINANCE(C588, ""price"", TODAY()-7, TODAY()), 2, 2)) - 1, """")"),"")</f>
        <v/>
      </c>
      <c r="M588" s="21" t="str">
        <f>IFERROR(__xludf.DUMMYFUNCTION("IFERROR((GOOGLEFINANCE(C588, ""price"") / INDEX(GOOGLEFINANCE(C588, ""price"", EDATE(TODAY(), -1), TODAY()), 2, 2)) - 1, """")"),"")</f>
        <v/>
      </c>
      <c r="N588" s="21" t="str">
        <f>IFERROR(__xludf.DUMMYFUNCTION("IFERROR((GOOGLEFINANCE(C588, ""price"") / INDEX(GOOGLEFINANCE(C588, ""price"", EDATE(TODAY(), -3), TODAY()), 2, 2)) - 1, """")"),"")</f>
        <v/>
      </c>
      <c r="O588" s="21" t="str">
        <f>IFERROR(__xludf.DUMMYFUNCTION("IFERROR((GOOGLEFINANCE(C588, ""price"") / INDEX(GOOGLEFINANCE(C588, ""price"", EDATE(TODAY(), -6), TODAY()), 2, 2)) - 1, """")"),"")</f>
        <v/>
      </c>
      <c r="P588" s="21" t="str">
        <f>IFERROR(__xludf.DUMMYFUNCTION("IFERROR((GOOGLEFINANCE(C588, ""price"") / INDEX(GOOGLEFINANCE(C588, ""price"", EDATE(TODAY(), -12), TODAY()), 2, 2)) - 1, """")"),"")</f>
        <v/>
      </c>
      <c r="Q588" s="6" t="str">
        <f>IFERROR(__xludf.DUMMYFUNCTION("AVERAGE(QUERY(GOOGLEFINANCE(C588, ""price"", TODAY()-80, TODAY()), ""SELECT Col2 WHERE Col2 IS NOT NULL ORDER BY Col1 DESC LIMIT 50"", 0))"),"#N/A")</f>
        <v>#N/A</v>
      </c>
      <c r="R588" s="24" t="str">
        <f>IFERROR(__xludf.DUMMYFUNCTION("IFERROR(
  LET(
    data, QUERY(GOOGLEFINANCE(C588,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GOOGLEFINANCE(C588, ""price"")) * 100,
    IF(calc=0, G588, calc)
  ), 
G588)"),"#N/A")</f>
        <v>#N/A</v>
      </c>
      <c r="S588" s="8" t="s">
        <v>15</v>
      </c>
      <c r="T588" s="26" t="str">
        <f>IFERROR(__xludf.DUMMYFUNCTION("IFERROR(TRANSPOSE(QUERY(IFERROR(SORT(GOOGLEFINANCE(C588, ""price"", WORKDAY(TODAY(), -40), TODAY()), 1, FALSE)), ""select Col2 where Col2 is not null limit 22 label Col2 ''"", 0)), """")"),"")</f>
        <v/>
      </c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8"/>
      <c r="AO588" s="28"/>
      <c r="AP588" s="29"/>
      <c r="AQ588" s="29" t="str">
        <f t="shared" ref="AQ588:BL588" si="591">T588/T$2</f>
        <v>#N/A</v>
      </c>
      <c r="AR588" s="29" t="str">
        <f t="shared" si="591"/>
        <v>#DIV/0!</v>
      </c>
      <c r="AS588" s="29" t="str">
        <f t="shared" si="591"/>
        <v>#DIV/0!</v>
      </c>
      <c r="AT588" s="29" t="str">
        <f t="shared" si="591"/>
        <v>#DIV/0!</v>
      </c>
      <c r="AU588" s="29" t="str">
        <f t="shared" si="591"/>
        <v>#DIV/0!</v>
      </c>
      <c r="AV588" s="29" t="str">
        <f t="shared" si="591"/>
        <v>#DIV/0!</v>
      </c>
      <c r="AW588" s="29" t="str">
        <f t="shared" si="591"/>
        <v>#DIV/0!</v>
      </c>
      <c r="AX588" s="29" t="str">
        <f t="shared" si="591"/>
        <v>#DIV/0!</v>
      </c>
      <c r="AY588" s="29" t="str">
        <f t="shared" si="591"/>
        <v>#DIV/0!</v>
      </c>
      <c r="AZ588" s="29" t="str">
        <f t="shared" si="591"/>
        <v>#DIV/0!</v>
      </c>
      <c r="BA588" s="29" t="str">
        <f t="shared" si="591"/>
        <v>#DIV/0!</v>
      </c>
      <c r="BB588" s="29" t="str">
        <f t="shared" si="591"/>
        <v>#DIV/0!</v>
      </c>
      <c r="BC588" s="29" t="str">
        <f t="shared" si="591"/>
        <v>#DIV/0!</v>
      </c>
      <c r="BD588" s="29" t="str">
        <f t="shared" si="591"/>
        <v>#DIV/0!</v>
      </c>
      <c r="BE588" s="29" t="str">
        <f t="shared" si="591"/>
        <v>#DIV/0!</v>
      </c>
      <c r="BF588" s="29" t="str">
        <f t="shared" si="591"/>
        <v>#DIV/0!</v>
      </c>
      <c r="BG588" s="29" t="str">
        <f t="shared" si="591"/>
        <v>#DIV/0!</v>
      </c>
      <c r="BH588" s="29" t="str">
        <f t="shared" si="591"/>
        <v>#DIV/0!</v>
      </c>
      <c r="BI588" s="29" t="str">
        <f t="shared" si="591"/>
        <v>#DIV/0!</v>
      </c>
      <c r="BJ588" s="29" t="str">
        <f t="shared" si="591"/>
        <v>#DIV/0!</v>
      </c>
      <c r="BK588" s="29" t="str">
        <f t="shared" si="591"/>
        <v>#DIV/0!</v>
      </c>
      <c r="BL588" s="29" t="str">
        <f t="shared" si="591"/>
        <v>#DIV/0!</v>
      </c>
      <c r="BM588" s="29" t="str">
        <f t="shared" si="3"/>
        <v>#DIV/0!</v>
      </c>
    </row>
    <row r="589">
      <c r="A589" s="16" t="str">
        <f>IFERROR(__xludf.DUMMYFUNCTION("IFERROR(SPARKLINE(SORT(MAP(TRANSPOSE(AQ589:BL589), LAMBDA(val, IF(ISNUMBER(val), PERCENTRANK(AQ589:BL589, val)+0.01, 0))), SEQUENCE(COLUMNS(AQ589:BL589)), FALSE), {""charttype"",""column""; ""color"",""chartreuse""; ""ymin"", 0; ""ymax"", 1.01; ""highcolo"&amp;"r"", ""darkgreen""; ""lowcolor"", ""red""}), """")"),"")</f>
        <v/>
      </c>
      <c r="B589" s="17" t="str">
        <f t="shared" si="4"/>
        <v/>
      </c>
      <c r="C589" s="1" t="s">
        <v>2637</v>
      </c>
      <c r="D589" s="34" t="str">
        <f>IFERROR(__xludf.DUMMYFUNCTION("IFERROR(GOOGLEFINANCE(C589, ""NAME""))"),"Hippo Holdings Inc")</f>
        <v>Hippo Holdings Inc</v>
      </c>
      <c r="E589" s="30" t="s">
        <v>82</v>
      </c>
      <c r="F589" s="33" t="str">
        <f>IFERROR(__xludf.DUMMYFUNCTION("( (GOOGLEFINANCE(C589, ""price"") - Q589) / Q589 ) / (R589 / 100)"),"Loading...")</f>
        <v>Loading...</v>
      </c>
      <c r="G589" s="20" t="str">
        <f>IFERROR(__xludf.DUMMYFUNCTION("AVERAGE(ARRAYFORMULA(100 * (QUERY(GOOGLEFINANCE(C589, ""high"", TODAY()-40, TODAY()), ""SELECT Col2 WHERE Col2 IS NOT NULL ORDER BY Col1 DESC LIMIT 20"", 0) / QUERY(GOOGLEFINANCE(C589, ""low"", TODAY()-40, TODAY()), ""SELECT Col2 WHERE Col2 IS NOT NULL OR"&amp;"DER BY Col1 DESC LIMIT 20"", 0) - 1)))"),"#N/A")</f>
        <v>#N/A</v>
      </c>
      <c r="H589" s="35" t="str">
        <f t="shared" si="6"/>
        <v/>
      </c>
      <c r="I589" s="36" t="str">
        <f t="shared" si="7"/>
        <v/>
      </c>
      <c r="J589" s="37" t="str">
        <f>IFERROR(__xludf.DUMMYFUNCTION("IFERROR(
  IF(C589="""",, 
    IFERROR(
      GOOGLEFINANCE(C589, ""price"") * GOOGLEFINANCE(C589, ""volumeavg""), 
      GOOGLEFINANCE(C589, ""price"") * AVERAGE(QUERY(GOOGLEFINANCE(C589, ""volume"", TODAY()-40, TODAY()), ""SELECT Col2 WHERE Col2 IS NOT "&amp;"NULL ORDER BY Col1 DESC LIMIT 20"", 0))
    )
  ), 
"""")"),"")</f>
        <v/>
      </c>
      <c r="K589" s="21" t="str">
        <f>IFERROR(__xludf.DUMMYFUNCTION("IFERROR(GOOGLEFINANCE(C589, ""changepct"") / 100, """")"),"")</f>
        <v/>
      </c>
      <c r="L589" s="21" t="str">
        <f>IFERROR(__xludf.DUMMYFUNCTION("IFERROR((GOOGLEFINANCE(C589, ""price"") / INDEX(GOOGLEFINANCE(C589, ""price"", TODAY()-7, TODAY()), 2, 2)) - 1, """")"),"")</f>
        <v/>
      </c>
      <c r="M589" s="21" t="str">
        <f>IFERROR(__xludf.DUMMYFUNCTION("IFERROR((GOOGLEFINANCE(C589, ""price"") / INDEX(GOOGLEFINANCE(C589, ""price"", EDATE(TODAY(), -1), TODAY()), 2, 2)) - 1, """")"),"")</f>
        <v/>
      </c>
      <c r="N589" s="21" t="str">
        <f>IFERROR(__xludf.DUMMYFUNCTION("IFERROR((GOOGLEFINANCE(C589, ""price"") / INDEX(GOOGLEFINANCE(C589, ""price"", EDATE(TODAY(), -3), TODAY()), 2, 2)) - 1, """")"),"")</f>
        <v/>
      </c>
      <c r="O589" s="21" t="str">
        <f>IFERROR(__xludf.DUMMYFUNCTION("IFERROR((GOOGLEFINANCE(C589, ""price"") / INDEX(GOOGLEFINANCE(C589, ""price"", EDATE(TODAY(), -6), TODAY()), 2, 2)) - 1, """")"),"")</f>
        <v/>
      </c>
      <c r="P589" s="21" t="str">
        <f>IFERROR(__xludf.DUMMYFUNCTION("IFERROR((GOOGLEFINANCE(C589, ""price"") / INDEX(GOOGLEFINANCE(C589, ""price"", EDATE(TODAY(), -12), TODAY()), 2, 2)) - 1, """")"),"")</f>
        <v/>
      </c>
      <c r="Q589" s="6" t="str">
        <f>IFERROR(__xludf.DUMMYFUNCTION("AVERAGE(QUERY(GOOGLEFINANCE(C589, ""price"", TODAY()-80, TODAY()), ""SELECT Col2 WHERE Col2 IS NOT NULL ORDER BY Col1 DESC LIMIT 50"", 0))"),"#N/A")</f>
        <v>#N/A</v>
      </c>
      <c r="R589" s="24" t="str">
        <f>IFERROR(__xludf.DUMMYFUNCTION("IFERROR(
  LET(
    data, QUERY(GOOGLEFINANCE(C589,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GOOGLEFINANCE(C589, ""price"")) * 100,
    IF(calc=0, G589, calc)
  ), 
G589)"),"#N/A")</f>
        <v>#N/A</v>
      </c>
      <c r="S589" s="8" t="s">
        <v>15</v>
      </c>
      <c r="T589" s="26" t="str">
        <f>IFERROR(__xludf.DUMMYFUNCTION("IFERROR(TRANSPOSE(QUERY(IFERROR(SORT(GOOGLEFINANCE(C589, ""price"", WORKDAY(TODAY(), -40), TODAY()), 1, FALSE)), ""select Col2 where Col2 is not null limit 22 label Col2 ''"", 0)), """")"),"")</f>
        <v/>
      </c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8"/>
      <c r="AO589" s="28"/>
      <c r="AP589" s="29"/>
      <c r="AQ589" s="29" t="str">
        <f t="shared" ref="AQ589:BL589" si="592">T589/T$2</f>
        <v>#N/A</v>
      </c>
      <c r="AR589" s="29" t="str">
        <f t="shared" si="592"/>
        <v>#DIV/0!</v>
      </c>
      <c r="AS589" s="29" t="str">
        <f t="shared" si="592"/>
        <v>#DIV/0!</v>
      </c>
      <c r="AT589" s="29" t="str">
        <f t="shared" si="592"/>
        <v>#DIV/0!</v>
      </c>
      <c r="AU589" s="29" t="str">
        <f t="shared" si="592"/>
        <v>#DIV/0!</v>
      </c>
      <c r="AV589" s="29" t="str">
        <f t="shared" si="592"/>
        <v>#DIV/0!</v>
      </c>
      <c r="AW589" s="29" t="str">
        <f t="shared" si="592"/>
        <v>#DIV/0!</v>
      </c>
      <c r="AX589" s="29" t="str">
        <f t="shared" si="592"/>
        <v>#DIV/0!</v>
      </c>
      <c r="AY589" s="29" t="str">
        <f t="shared" si="592"/>
        <v>#DIV/0!</v>
      </c>
      <c r="AZ589" s="29" t="str">
        <f t="shared" si="592"/>
        <v>#DIV/0!</v>
      </c>
      <c r="BA589" s="29" t="str">
        <f t="shared" si="592"/>
        <v>#DIV/0!</v>
      </c>
      <c r="BB589" s="29" t="str">
        <f t="shared" si="592"/>
        <v>#DIV/0!</v>
      </c>
      <c r="BC589" s="29" t="str">
        <f t="shared" si="592"/>
        <v>#DIV/0!</v>
      </c>
      <c r="BD589" s="29" t="str">
        <f t="shared" si="592"/>
        <v>#DIV/0!</v>
      </c>
      <c r="BE589" s="29" t="str">
        <f t="shared" si="592"/>
        <v>#DIV/0!</v>
      </c>
      <c r="BF589" s="29" t="str">
        <f t="shared" si="592"/>
        <v>#DIV/0!</v>
      </c>
      <c r="BG589" s="29" t="str">
        <f t="shared" si="592"/>
        <v>#DIV/0!</v>
      </c>
      <c r="BH589" s="29" t="str">
        <f t="shared" si="592"/>
        <v>#DIV/0!</v>
      </c>
      <c r="BI589" s="29" t="str">
        <f t="shared" si="592"/>
        <v>#DIV/0!</v>
      </c>
      <c r="BJ589" s="29" t="str">
        <f t="shared" si="592"/>
        <v>#DIV/0!</v>
      </c>
      <c r="BK589" s="29" t="str">
        <f t="shared" si="592"/>
        <v>#DIV/0!</v>
      </c>
      <c r="BL589" s="29" t="str">
        <f t="shared" si="592"/>
        <v>#DIV/0!</v>
      </c>
      <c r="BM589" s="29" t="str">
        <f t="shared" si="3"/>
        <v>#DIV/0!</v>
      </c>
    </row>
    <row r="590">
      <c r="A590" s="16" t="str">
        <f>IFERROR(__xludf.DUMMYFUNCTION("IFERROR(SPARKLINE(SORT(MAP(TRANSPOSE(AQ590:BL590), LAMBDA(val, IF(ISNUMBER(val), PERCENTRANK(AQ590:BL590, val)+0.01, 0))), SEQUENCE(COLUMNS(AQ590:BL590)), FALSE), {""charttype"",""column""; ""color"",""chartreuse""; ""ymin"", 0; ""ymax"", 1.01; ""highcolo"&amp;"r"", ""darkgreen""; ""lowcolor"", ""red""}), """")"),"")</f>
        <v/>
      </c>
      <c r="B590" s="17" t="str">
        <f t="shared" si="4"/>
        <v/>
      </c>
      <c r="C590" s="1" t="s">
        <v>2641</v>
      </c>
      <c r="D590" s="34" t="str">
        <f>IFERROR(__xludf.DUMMYFUNCTION("IFERROR(GOOGLEFINANCE(C590, ""NAME""))"),"Mid Penn Bancorp Inc")</f>
        <v>Mid Penn Bancorp Inc</v>
      </c>
      <c r="E590" s="30" t="s">
        <v>268</v>
      </c>
      <c r="F590" s="33" t="str">
        <f>IFERROR(__xludf.DUMMYFUNCTION("( (GOOGLEFINANCE(C590, ""price"") - Q590) / Q590 ) / (R590 / 100)"),"Loading...")</f>
        <v>Loading...</v>
      </c>
      <c r="G590" s="20" t="str">
        <f>IFERROR(__xludf.DUMMYFUNCTION("AVERAGE(ARRAYFORMULA(100 * (QUERY(GOOGLEFINANCE(C590, ""high"", TODAY()-40, TODAY()), ""SELECT Col2 WHERE Col2 IS NOT NULL ORDER BY Col1 DESC LIMIT 20"", 0) / QUERY(GOOGLEFINANCE(C590, ""low"", TODAY()-40, TODAY()), ""SELECT Col2 WHERE Col2 IS NOT NULL OR"&amp;"DER BY Col1 DESC LIMIT 20"", 0) - 1)))"),"#N/A")</f>
        <v>#N/A</v>
      </c>
      <c r="H590" s="35" t="str">
        <f t="shared" si="6"/>
        <v/>
      </c>
      <c r="I590" s="36" t="str">
        <f t="shared" si="7"/>
        <v/>
      </c>
      <c r="J590" s="37" t="str">
        <f>IFERROR(__xludf.DUMMYFUNCTION("IFERROR(
  IF(C590="""",, 
    IFERROR(
      GOOGLEFINANCE(C590, ""price"") * GOOGLEFINANCE(C590, ""volumeavg""), 
      GOOGLEFINANCE(C590, ""price"") * AVERAGE(QUERY(GOOGLEFINANCE(C590, ""volume"", TODAY()-40, TODAY()), ""SELECT Col2 WHERE Col2 IS NOT "&amp;"NULL ORDER BY Col1 DESC LIMIT 20"", 0))
    )
  ), 
"""")"),"")</f>
        <v/>
      </c>
      <c r="K590" s="21" t="str">
        <f>IFERROR(__xludf.DUMMYFUNCTION("IFERROR(GOOGLEFINANCE(C590, ""changepct"") / 100, """")"),"")</f>
        <v/>
      </c>
      <c r="L590" s="21" t="str">
        <f>IFERROR(__xludf.DUMMYFUNCTION("IFERROR((GOOGLEFINANCE(C590, ""price"") / INDEX(GOOGLEFINANCE(C590, ""price"", TODAY()-7, TODAY()), 2, 2)) - 1, """")"),"")</f>
        <v/>
      </c>
      <c r="M590" s="21" t="str">
        <f>IFERROR(__xludf.DUMMYFUNCTION("IFERROR((GOOGLEFINANCE(C590, ""price"") / INDEX(GOOGLEFINANCE(C590, ""price"", EDATE(TODAY(), -1), TODAY()), 2, 2)) - 1, """")"),"")</f>
        <v/>
      </c>
      <c r="N590" s="21" t="str">
        <f>IFERROR(__xludf.DUMMYFUNCTION("IFERROR((GOOGLEFINANCE(C590, ""price"") / INDEX(GOOGLEFINANCE(C590, ""price"", EDATE(TODAY(), -3), TODAY()), 2, 2)) - 1, """")"),"")</f>
        <v/>
      </c>
      <c r="O590" s="21" t="str">
        <f>IFERROR(__xludf.DUMMYFUNCTION("IFERROR((GOOGLEFINANCE(C590, ""price"") / INDEX(GOOGLEFINANCE(C590, ""price"", EDATE(TODAY(), -6), TODAY()), 2, 2)) - 1, """")"),"")</f>
        <v/>
      </c>
      <c r="P590" s="21" t="str">
        <f>IFERROR(__xludf.DUMMYFUNCTION("IFERROR((GOOGLEFINANCE(C590, ""price"") / INDEX(GOOGLEFINANCE(C590, ""price"", EDATE(TODAY(), -12), TODAY()), 2, 2)) - 1, """")"),"")</f>
        <v/>
      </c>
      <c r="Q590" s="6" t="str">
        <f>IFERROR(__xludf.DUMMYFUNCTION("AVERAGE(QUERY(GOOGLEFINANCE(C590, ""price"", TODAY()-80, TODAY()), ""SELECT Col2 WHERE Col2 IS NOT NULL ORDER BY Col1 DESC LIMIT 50"", 0))"),"#N/A")</f>
        <v>#N/A</v>
      </c>
      <c r="R590" s="24" t="str">
        <f>IFERROR(__xludf.DUMMYFUNCTION("IFERROR(
  LET(
    data, QUERY(GOOGLEFINANCE(C590,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GOOGLEFINANCE(C590, ""price"")) * 100,
    IF(calc=0, G590, calc)
  ), 
G590)"),"#N/A")</f>
        <v>#N/A</v>
      </c>
      <c r="S590" s="8" t="s">
        <v>15</v>
      </c>
      <c r="T590" s="26" t="str">
        <f>IFERROR(__xludf.DUMMYFUNCTION("IFERROR(TRANSPOSE(QUERY(IFERROR(SORT(GOOGLEFINANCE(C590, ""price"", WORKDAY(TODAY(), -40), TODAY()), 1, FALSE)), ""select Col2 where Col2 is not null limit 22 label Col2 ''"", 0)), """")"),"")</f>
        <v/>
      </c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8"/>
      <c r="AO590" s="28"/>
      <c r="AP590" s="29"/>
      <c r="AQ590" s="29" t="str">
        <f t="shared" ref="AQ590:BL590" si="593">T590/T$2</f>
        <v>#N/A</v>
      </c>
      <c r="AR590" s="29" t="str">
        <f t="shared" si="593"/>
        <v>#DIV/0!</v>
      </c>
      <c r="AS590" s="29" t="str">
        <f t="shared" si="593"/>
        <v>#DIV/0!</v>
      </c>
      <c r="AT590" s="29" t="str">
        <f t="shared" si="593"/>
        <v>#DIV/0!</v>
      </c>
      <c r="AU590" s="29" t="str">
        <f t="shared" si="593"/>
        <v>#DIV/0!</v>
      </c>
      <c r="AV590" s="29" t="str">
        <f t="shared" si="593"/>
        <v>#DIV/0!</v>
      </c>
      <c r="AW590" s="29" t="str">
        <f t="shared" si="593"/>
        <v>#DIV/0!</v>
      </c>
      <c r="AX590" s="29" t="str">
        <f t="shared" si="593"/>
        <v>#DIV/0!</v>
      </c>
      <c r="AY590" s="29" t="str">
        <f t="shared" si="593"/>
        <v>#DIV/0!</v>
      </c>
      <c r="AZ590" s="29" t="str">
        <f t="shared" si="593"/>
        <v>#DIV/0!</v>
      </c>
      <c r="BA590" s="29" t="str">
        <f t="shared" si="593"/>
        <v>#DIV/0!</v>
      </c>
      <c r="BB590" s="29" t="str">
        <f t="shared" si="593"/>
        <v>#DIV/0!</v>
      </c>
      <c r="BC590" s="29" t="str">
        <f t="shared" si="593"/>
        <v>#DIV/0!</v>
      </c>
      <c r="BD590" s="29" t="str">
        <f t="shared" si="593"/>
        <v>#DIV/0!</v>
      </c>
      <c r="BE590" s="29" t="str">
        <f t="shared" si="593"/>
        <v>#DIV/0!</v>
      </c>
      <c r="BF590" s="29" t="str">
        <f t="shared" si="593"/>
        <v>#DIV/0!</v>
      </c>
      <c r="BG590" s="29" t="str">
        <f t="shared" si="593"/>
        <v>#DIV/0!</v>
      </c>
      <c r="BH590" s="29" t="str">
        <f t="shared" si="593"/>
        <v>#DIV/0!</v>
      </c>
      <c r="BI590" s="29" t="str">
        <f t="shared" si="593"/>
        <v>#DIV/0!</v>
      </c>
      <c r="BJ590" s="29" t="str">
        <f t="shared" si="593"/>
        <v>#DIV/0!</v>
      </c>
      <c r="BK590" s="29" t="str">
        <f t="shared" si="593"/>
        <v>#DIV/0!</v>
      </c>
      <c r="BL590" s="29" t="str">
        <f t="shared" si="593"/>
        <v>#DIV/0!</v>
      </c>
      <c r="BM590" s="29" t="str">
        <f t="shared" si="3"/>
        <v>#DIV/0!</v>
      </c>
    </row>
    <row r="591">
      <c r="A591" s="16" t="str">
        <f>IFERROR(__xludf.DUMMYFUNCTION("IFERROR(SPARKLINE(SORT(MAP(TRANSPOSE(AQ591:BL591), LAMBDA(val, IF(ISNUMBER(val), PERCENTRANK(AQ591:BL591, val)+0.01, 0))), SEQUENCE(COLUMNS(AQ591:BL591)), FALSE), {""charttype"",""column""; ""color"",""chartreuse""; ""ymin"", 0; ""ymax"", 1.01; ""highcolo"&amp;"r"", ""darkgreen""; ""lowcolor"", ""red""}), """")"),"")</f>
        <v/>
      </c>
      <c r="B591" s="17" t="str">
        <f t="shared" si="4"/>
        <v/>
      </c>
      <c r="C591" s="1" t="s">
        <v>2644</v>
      </c>
      <c r="D591" s="34" t="str">
        <f>IFERROR(__xludf.DUMMYFUNCTION("IFERROR(GOOGLEFINANCE(C591, ""NAME""))"),"West Bancorporation Inc")</f>
        <v>West Bancorporation Inc</v>
      </c>
      <c r="E591" s="30" t="s">
        <v>268</v>
      </c>
      <c r="F591" s="33" t="str">
        <f>IFERROR(__xludf.DUMMYFUNCTION("( (GOOGLEFINANCE(C591, ""price"") - Q591) / Q591 ) / (R591 / 100)"),"Loading...")</f>
        <v>Loading...</v>
      </c>
      <c r="G591" s="20" t="str">
        <f>IFERROR(__xludf.DUMMYFUNCTION("AVERAGE(ARRAYFORMULA(100 * (QUERY(GOOGLEFINANCE(C591, ""high"", TODAY()-40, TODAY()), ""SELECT Col2 WHERE Col2 IS NOT NULL ORDER BY Col1 DESC LIMIT 20"", 0) / QUERY(GOOGLEFINANCE(C591, ""low"", TODAY()-40, TODAY()), ""SELECT Col2 WHERE Col2 IS NOT NULL OR"&amp;"DER BY Col1 DESC LIMIT 20"", 0) - 1)))"),"#N/A")</f>
        <v>#N/A</v>
      </c>
      <c r="H591" s="35" t="str">
        <f t="shared" si="6"/>
        <v/>
      </c>
      <c r="I591" s="36" t="str">
        <f t="shared" si="7"/>
        <v/>
      </c>
      <c r="J591" s="37" t="str">
        <f>IFERROR(__xludf.DUMMYFUNCTION("IFERROR(
  IF(C591="""",, 
    IFERROR(
      GOOGLEFINANCE(C591, ""price"") * GOOGLEFINANCE(C591, ""volumeavg""), 
      GOOGLEFINANCE(C591, ""price"") * AVERAGE(QUERY(GOOGLEFINANCE(C591, ""volume"", TODAY()-40, TODAY()), ""SELECT Col2 WHERE Col2 IS NOT "&amp;"NULL ORDER BY Col1 DESC LIMIT 20"", 0))
    )
  ), 
"""")"),"")</f>
        <v/>
      </c>
      <c r="K591" s="21" t="str">
        <f>IFERROR(__xludf.DUMMYFUNCTION("IFERROR(GOOGLEFINANCE(C591, ""changepct"") / 100, """")"),"")</f>
        <v/>
      </c>
      <c r="L591" s="21" t="str">
        <f>IFERROR(__xludf.DUMMYFUNCTION("IFERROR((GOOGLEFINANCE(C591, ""price"") / INDEX(GOOGLEFINANCE(C591, ""price"", TODAY()-7, TODAY()), 2, 2)) - 1, """")"),"")</f>
        <v/>
      </c>
      <c r="M591" s="21" t="str">
        <f>IFERROR(__xludf.DUMMYFUNCTION("IFERROR((GOOGLEFINANCE(C591, ""price"") / INDEX(GOOGLEFINANCE(C591, ""price"", EDATE(TODAY(), -1), TODAY()), 2, 2)) - 1, """")"),"")</f>
        <v/>
      </c>
      <c r="N591" s="21" t="str">
        <f>IFERROR(__xludf.DUMMYFUNCTION("IFERROR((GOOGLEFINANCE(C591, ""price"") / INDEX(GOOGLEFINANCE(C591, ""price"", EDATE(TODAY(), -3), TODAY()), 2, 2)) - 1, """")"),"")</f>
        <v/>
      </c>
      <c r="O591" s="21" t="str">
        <f>IFERROR(__xludf.DUMMYFUNCTION("IFERROR((GOOGLEFINANCE(C591, ""price"") / INDEX(GOOGLEFINANCE(C591, ""price"", EDATE(TODAY(), -6), TODAY()), 2, 2)) - 1, """")"),"")</f>
        <v/>
      </c>
      <c r="P591" s="21" t="str">
        <f>IFERROR(__xludf.DUMMYFUNCTION("IFERROR((GOOGLEFINANCE(C591, ""price"") / INDEX(GOOGLEFINANCE(C591, ""price"", EDATE(TODAY(), -12), TODAY()), 2, 2)) - 1, """")"),"")</f>
        <v/>
      </c>
      <c r="Q591" s="6" t="str">
        <f>IFERROR(__xludf.DUMMYFUNCTION("AVERAGE(QUERY(GOOGLEFINANCE(C591, ""price"", TODAY()-80, TODAY()), ""SELECT Col2 WHERE Col2 IS NOT NULL ORDER BY Col1 DESC LIMIT 50"", 0))"),"#N/A")</f>
        <v>#N/A</v>
      </c>
      <c r="R591" s="24" t="str">
        <f>IFERROR(__xludf.DUMMYFUNCTION("IFERROR(
  LET(
    data, QUERY(GOOGLEFINANCE(C591,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GOOGLEFINANCE(C591, ""price"")) * 100,
    IF(calc=0, G591, calc)
  ), 
G591)"),"#N/A")</f>
        <v>#N/A</v>
      </c>
      <c r="S591" s="8" t="s">
        <v>15</v>
      </c>
      <c r="T591" s="26" t="str">
        <f>IFERROR(__xludf.DUMMYFUNCTION("IFERROR(TRANSPOSE(QUERY(IFERROR(SORT(GOOGLEFINANCE(C591, ""price"", WORKDAY(TODAY(), -40), TODAY()), 1, FALSE)), ""select Col2 where Col2 is not null limit 22 label Col2 ''"", 0)), """")"),"")</f>
        <v/>
      </c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8"/>
      <c r="AO591" s="28"/>
      <c r="AP591" s="29"/>
      <c r="AQ591" s="29" t="str">
        <f t="shared" ref="AQ591:BL591" si="594">T591/T$2</f>
        <v>#N/A</v>
      </c>
      <c r="AR591" s="29" t="str">
        <f t="shared" si="594"/>
        <v>#DIV/0!</v>
      </c>
      <c r="AS591" s="29" t="str">
        <f t="shared" si="594"/>
        <v>#DIV/0!</v>
      </c>
      <c r="AT591" s="29" t="str">
        <f t="shared" si="594"/>
        <v>#DIV/0!</v>
      </c>
      <c r="AU591" s="29" t="str">
        <f t="shared" si="594"/>
        <v>#DIV/0!</v>
      </c>
      <c r="AV591" s="29" t="str">
        <f t="shared" si="594"/>
        <v>#DIV/0!</v>
      </c>
      <c r="AW591" s="29" t="str">
        <f t="shared" si="594"/>
        <v>#DIV/0!</v>
      </c>
      <c r="AX591" s="29" t="str">
        <f t="shared" si="594"/>
        <v>#DIV/0!</v>
      </c>
      <c r="AY591" s="29" t="str">
        <f t="shared" si="594"/>
        <v>#DIV/0!</v>
      </c>
      <c r="AZ591" s="29" t="str">
        <f t="shared" si="594"/>
        <v>#DIV/0!</v>
      </c>
      <c r="BA591" s="29" t="str">
        <f t="shared" si="594"/>
        <v>#DIV/0!</v>
      </c>
      <c r="BB591" s="29" t="str">
        <f t="shared" si="594"/>
        <v>#DIV/0!</v>
      </c>
      <c r="BC591" s="29" t="str">
        <f t="shared" si="594"/>
        <v>#DIV/0!</v>
      </c>
      <c r="BD591" s="29" t="str">
        <f t="shared" si="594"/>
        <v>#DIV/0!</v>
      </c>
      <c r="BE591" s="29" t="str">
        <f t="shared" si="594"/>
        <v>#DIV/0!</v>
      </c>
      <c r="BF591" s="29" t="str">
        <f t="shared" si="594"/>
        <v>#DIV/0!</v>
      </c>
      <c r="BG591" s="29" t="str">
        <f t="shared" si="594"/>
        <v>#DIV/0!</v>
      </c>
      <c r="BH591" s="29" t="str">
        <f t="shared" si="594"/>
        <v>#DIV/0!</v>
      </c>
      <c r="BI591" s="29" t="str">
        <f t="shared" si="594"/>
        <v>#DIV/0!</v>
      </c>
      <c r="BJ591" s="29" t="str">
        <f t="shared" si="594"/>
        <v>#DIV/0!</v>
      </c>
      <c r="BK591" s="29" t="str">
        <f t="shared" si="594"/>
        <v>#DIV/0!</v>
      </c>
      <c r="BL591" s="29" t="str">
        <f t="shared" si="594"/>
        <v>#DIV/0!</v>
      </c>
      <c r="BM591" s="29" t="str">
        <f t="shared" si="3"/>
        <v>#DIV/0!</v>
      </c>
    </row>
    <row r="592">
      <c r="A592" s="16" t="str">
        <f>IFERROR(__xludf.DUMMYFUNCTION("IFERROR(SPARKLINE(SORT(MAP(TRANSPOSE(AQ592:BL592), LAMBDA(val, IF(ISNUMBER(val), PERCENTRANK(AQ592:BL592, val)+0.01, 0))), SEQUENCE(COLUMNS(AQ592:BL592)), FALSE), {""charttype"",""column""; ""color"",""chartreuse""; ""ymin"", 0; ""ymax"", 1.01; ""highcolo"&amp;"r"", ""darkgreen""; ""lowcolor"", ""red""}), """")"),"")</f>
        <v/>
      </c>
      <c r="B592" s="17" t="str">
        <f t="shared" si="4"/>
        <v/>
      </c>
      <c r="C592" s="1" t="s">
        <v>2647</v>
      </c>
      <c r="D592" s="34" t="str">
        <f>IFERROR(__xludf.DUMMYFUNCTION("IFERROR(GOOGLEFINANCE(C592, ""NAME""))"),"Commercial BancGroup Inc")</f>
        <v>Commercial BancGroup Inc</v>
      </c>
      <c r="E592" s="30" t="s">
        <v>268</v>
      </c>
      <c r="F592" s="33" t="str">
        <f>IFERROR(__xludf.DUMMYFUNCTION("( (GOOGLEFINANCE(C592, ""price"") - Q592) / Q592 ) / (R592 / 100)"),"Loading...")</f>
        <v>Loading...</v>
      </c>
      <c r="G592" s="20" t="str">
        <f>IFERROR(__xludf.DUMMYFUNCTION("AVERAGE(ARRAYFORMULA(100 * (QUERY(GOOGLEFINANCE(C592, ""high"", TODAY()-40, TODAY()), ""SELECT Col2 WHERE Col2 IS NOT NULL ORDER BY Col1 DESC LIMIT 20"", 0) / QUERY(GOOGLEFINANCE(C592, ""low"", TODAY()-40, TODAY()), ""SELECT Col2 WHERE Col2 IS NOT NULL OR"&amp;"DER BY Col1 DESC LIMIT 20"", 0) - 1)))"),"#N/A")</f>
        <v>#N/A</v>
      </c>
      <c r="H592" s="35" t="str">
        <f t="shared" si="6"/>
        <v/>
      </c>
      <c r="I592" s="36" t="str">
        <f t="shared" si="7"/>
        <v/>
      </c>
      <c r="J592" s="37" t="str">
        <f>IFERROR(__xludf.DUMMYFUNCTION("IFERROR(
  IF(C592="""",, 
    IFERROR(
      GOOGLEFINANCE(C592, ""price"") * GOOGLEFINANCE(C592, ""volumeavg""), 
      GOOGLEFINANCE(C592, ""price"") * AVERAGE(QUERY(GOOGLEFINANCE(C592, ""volume"", TODAY()-40, TODAY()), ""SELECT Col2 WHERE Col2 IS NOT "&amp;"NULL ORDER BY Col1 DESC LIMIT 20"", 0))
    )
  ), 
"""")"),"")</f>
        <v/>
      </c>
      <c r="K592" s="21" t="str">
        <f>IFERROR(__xludf.DUMMYFUNCTION("IFERROR(GOOGLEFINANCE(C592, ""changepct"") / 100, """")"),"")</f>
        <v/>
      </c>
      <c r="L592" s="21" t="str">
        <f>IFERROR(__xludf.DUMMYFUNCTION("IFERROR((GOOGLEFINANCE(C592, ""price"") / INDEX(GOOGLEFINANCE(C592, ""price"", TODAY()-7, TODAY()), 2, 2)) - 1, """")"),"")</f>
        <v/>
      </c>
      <c r="M592" s="21" t="str">
        <f>IFERROR(__xludf.DUMMYFUNCTION("IFERROR((GOOGLEFINANCE(C592, ""price"") / INDEX(GOOGLEFINANCE(C592, ""price"", EDATE(TODAY(), -1), TODAY()), 2, 2)) - 1, """")"),"")</f>
        <v/>
      </c>
      <c r="N592" s="21" t="str">
        <f>IFERROR(__xludf.DUMMYFUNCTION("IFERROR((GOOGLEFINANCE(C592, ""price"") / INDEX(GOOGLEFINANCE(C592, ""price"", EDATE(TODAY(), -3), TODAY()), 2, 2)) - 1, """")"),"")</f>
        <v/>
      </c>
      <c r="O592" s="21" t="str">
        <f>IFERROR(__xludf.DUMMYFUNCTION("IFERROR((GOOGLEFINANCE(C592, ""price"") / INDEX(GOOGLEFINANCE(C592, ""price"", EDATE(TODAY(), -6), TODAY()), 2, 2)) - 1, """")"),"")</f>
        <v/>
      </c>
      <c r="P592" s="21" t="str">
        <f>IFERROR(__xludf.DUMMYFUNCTION("IFERROR((GOOGLEFINANCE(C592, ""price"") / INDEX(GOOGLEFINANCE(C592, ""price"", EDATE(TODAY(), -12), TODAY()), 2, 2)) - 1, """")"),"")</f>
        <v/>
      </c>
      <c r="Q592" s="6" t="str">
        <f>IFERROR(__xludf.DUMMYFUNCTION("AVERAGE(QUERY(GOOGLEFINANCE(C592, ""price"", TODAY()-80, TODAY()), ""SELECT Col2 WHERE Col2 IS NOT NULL ORDER BY Col1 DESC LIMIT 50"", 0))"),"#N/A")</f>
        <v>#N/A</v>
      </c>
      <c r="R592" s="24" t="str">
        <f>IFERROR(__xludf.DUMMYFUNCTION("IFERROR(
  LET(
    data, QUERY(GOOGLEFINANCE(C592,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GOOGLEFINANCE(C592, ""price"")) * 100,
    IF(calc=0, G592, calc)
  ), 
G592)"),"#N/A")</f>
        <v>#N/A</v>
      </c>
      <c r="S592" s="8" t="s">
        <v>15</v>
      </c>
      <c r="T592" s="26" t="str">
        <f>IFERROR(__xludf.DUMMYFUNCTION("IFERROR(TRANSPOSE(QUERY(IFERROR(SORT(GOOGLEFINANCE(C592, ""price"", WORKDAY(TODAY(), -40), TODAY()), 1, FALSE)), ""select Col2 where Col2 is not null limit 22 label Col2 ''"", 0)), """")"),"")</f>
        <v/>
      </c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8"/>
      <c r="AO592" s="28"/>
      <c r="AP592" s="29"/>
      <c r="AQ592" s="29" t="str">
        <f t="shared" ref="AQ592:BL592" si="595">T592/T$2</f>
        <v>#N/A</v>
      </c>
      <c r="AR592" s="29" t="str">
        <f t="shared" si="595"/>
        <v>#DIV/0!</v>
      </c>
      <c r="AS592" s="29" t="str">
        <f t="shared" si="595"/>
        <v>#DIV/0!</v>
      </c>
      <c r="AT592" s="29" t="str">
        <f t="shared" si="595"/>
        <v>#DIV/0!</v>
      </c>
      <c r="AU592" s="29" t="str">
        <f t="shared" si="595"/>
        <v>#DIV/0!</v>
      </c>
      <c r="AV592" s="29" t="str">
        <f t="shared" si="595"/>
        <v>#DIV/0!</v>
      </c>
      <c r="AW592" s="29" t="str">
        <f t="shared" si="595"/>
        <v>#DIV/0!</v>
      </c>
      <c r="AX592" s="29" t="str">
        <f t="shared" si="595"/>
        <v>#DIV/0!</v>
      </c>
      <c r="AY592" s="29" t="str">
        <f t="shared" si="595"/>
        <v>#DIV/0!</v>
      </c>
      <c r="AZ592" s="29" t="str">
        <f t="shared" si="595"/>
        <v>#DIV/0!</v>
      </c>
      <c r="BA592" s="29" t="str">
        <f t="shared" si="595"/>
        <v>#DIV/0!</v>
      </c>
      <c r="BB592" s="29" t="str">
        <f t="shared" si="595"/>
        <v>#DIV/0!</v>
      </c>
      <c r="BC592" s="29" t="str">
        <f t="shared" si="595"/>
        <v>#DIV/0!</v>
      </c>
      <c r="BD592" s="29" t="str">
        <f t="shared" si="595"/>
        <v>#DIV/0!</v>
      </c>
      <c r="BE592" s="29" t="str">
        <f t="shared" si="595"/>
        <v>#DIV/0!</v>
      </c>
      <c r="BF592" s="29" t="str">
        <f t="shared" si="595"/>
        <v>#DIV/0!</v>
      </c>
      <c r="BG592" s="29" t="str">
        <f t="shared" si="595"/>
        <v>#DIV/0!</v>
      </c>
      <c r="BH592" s="29" t="str">
        <f t="shared" si="595"/>
        <v>#DIV/0!</v>
      </c>
      <c r="BI592" s="29" t="str">
        <f t="shared" si="595"/>
        <v>#DIV/0!</v>
      </c>
      <c r="BJ592" s="29" t="str">
        <f t="shared" si="595"/>
        <v>#DIV/0!</v>
      </c>
      <c r="BK592" s="29" t="str">
        <f t="shared" si="595"/>
        <v>#DIV/0!</v>
      </c>
      <c r="BL592" s="29" t="str">
        <f t="shared" si="595"/>
        <v>#DIV/0!</v>
      </c>
      <c r="BM592" s="29" t="str">
        <f t="shared" si="3"/>
        <v>#DIV/0!</v>
      </c>
    </row>
    <row r="593">
      <c r="A593" s="16" t="str">
        <f>IFERROR(__xludf.DUMMYFUNCTION("IFERROR(SPARKLINE(SORT(MAP(TRANSPOSE(AQ593:BL593), LAMBDA(val, IF(ISNUMBER(val), PERCENTRANK(AQ593:BL593, val)+0.01, 0))), SEQUENCE(COLUMNS(AQ593:BL593)), FALSE), {""charttype"",""column""; ""color"",""chartreuse""; ""ymin"", 0; ""ymax"", 1.01; ""highcolo"&amp;"r"", ""darkgreen""; ""lowcolor"", ""red""}), """")"),"")</f>
        <v/>
      </c>
      <c r="B593" s="17" t="str">
        <f t="shared" si="4"/>
        <v/>
      </c>
      <c r="C593" s="1" t="s">
        <v>2652</v>
      </c>
      <c r="D593" s="34" t="str">
        <f>IFERROR(__xludf.DUMMYFUNCTION("IFERROR(GOOGLEFINANCE(C593, ""NAME""))"),"Lakeland Financial Corp")</f>
        <v>Lakeland Financial Corp</v>
      </c>
      <c r="E593" s="30" t="s">
        <v>268</v>
      </c>
      <c r="F593" s="33" t="str">
        <f>IFERROR(__xludf.DUMMYFUNCTION("( (GOOGLEFINANCE(C593, ""price"") - Q593) / Q593 ) / (R593 / 100)"),"Loading...")</f>
        <v>Loading...</v>
      </c>
      <c r="G593" s="20" t="str">
        <f>IFERROR(__xludf.DUMMYFUNCTION("AVERAGE(ARRAYFORMULA(100 * (QUERY(GOOGLEFINANCE(C593, ""high"", TODAY()-40, TODAY()), ""SELECT Col2 WHERE Col2 IS NOT NULL ORDER BY Col1 DESC LIMIT 20"", 0) / QUERY(GOOGLEFINANCE(C593, ""low"", TODAY()-40, TODAY()), ""SELECT Col2 WHERE Col2 IS NOT NULL OR"&amp;"DER BY Col1 DESC LIMIT 20"", 0) - 1)))"),"#N/A")</f>
        <v>#N/A</v>
      </c>
      <c r="H593" s="35" t="str">
        <f t="shared" si="6"/>
        <v/>
      </c>
      <c r="I593" s="36" t="str">
        <f t="shared" si="7"/>
        <v/>
      </c>
      <c r="J593" s="37" t="str">
        <f>IFERROR(__xludf.DUMMYFUNCTION("IFERROR(
  IF(C593="""",, 
    IFERROR(
      GOOGLEFINANCE(C593, ""price"") * GOOGLEFINANCE(C593, ""volumeavg""), 
      GOOGLEFINANCE(C593, ""price"") * AVERAGE(QUERY(GOOGLEFINANCE(C593, ""volume"", TODAY()-40, TODAY()), ""SELECT Col2 WHERE Col2 IS NOT "&amp;"NULL ORDER BY Col1 DESC LIMIT 20"", 0))
    )
  ), 
"""")"),"")</f>
        <v/>
      </c>
      <c r="K593" s="21" t="str">
        <f>IFERROR(__xludf.DUMMYFUNCTION("IFERROR(GOOGLEFINANCE(C593, ""changepct"") / 100, """")"),"")</f>
        <v/>
      </c>
      <c r="L593" s="21" t="str">
        <f>IFERROR(__xludf.DUMMYFUNCTION("IFERROR((GOOGLEFINANCE(C593, ""price"") / INDEX(GOOGLEFINANCE(C593, ""price"", TODAY()-7, TODAY()), 2, 2)) - 1, """")"),"")</f>
        <v/>
      </c>
      <c r="M593" s="21" t="str">
        <f>IFERROR(__xludf.DUMMYFUNCTION("IFERROR((GOOGLEFINANCE(C593, ""price"") / INDEX(GOOGLEFINANCE(C593, ""price"", EDATE(TODAY(), -1), TODAY()), 2, 2)) - 1, """")"),"")</f>
        <v/>
      </c>
      <c r="N593" s="21" t="str">
        <f>IFERROR(__xludf.DUMMYFUNCTION("IFERROR((GOOGLEFINANCE(C593, ""price"") / INDEX(GOOGLEFINANCE(C593, ""price"", EDATE(TODAY(), -3), TODAY()), 2, 2)) - 1, """")"),"")</f>
        <v/>
      </c>
      <c r="O593" s="21" t="str">
        <f>IFERROR(__xludf.DUMMYFUNCTION("IFERROR((GOOGLEFINANCE(C593, ""price"") / INDEX(GOOGLEFINANCE(C593, ""price"", EDATE(TODAY(), -6), TODAY()), 2, 2)) - 1, """")"),"")</f>
        <v/>
      </c>
      <c r="P593" s="21" t="str">
        <f>IFERROR(__xludf.DUMMYFUNCTION("IFERROR((GOOGLEFINANCE(C593, ""price"") / INDEX(GOOGLEFINANCE(C593, ""price"", EDATE(TODAY(), -12), TODAY()), 2, 2)) - 1, """")"),"")</f>
        <v/>
      </c>
      <c r="Q593" s="6" t="str">
        <f>IFERROR(__xludf.DUMMYFUNCTION("AVERAGE(QUERY(GOOGLEFINANCE(C593, ""price"", TODAY()-80, TODAY()), ""SELECT Col2 WHERE Col2 IS NOT NULL ORDER BY Col1 DESC LIMIT 50"", 0))"),"#N/A")</f>
        <v>#N/A</v>
      </c>
      <c r="R593" s="24" t="str">
        <f>IFERROR(__xludf.DUMMYFUNCTION("IFERROR(
  LET(
    data, QUERY(GOOGLEFINANCE(C593,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GOOGLEFINANCE(C593, ""price"")) * 100,
    IF(calc=0, G593, calc)
  ), 
G593)"),"#N/A")</f>
        <v>#N/A</v>
      </c>
      <c r="S593" s="8" t="s">
        <v>15</v>
      </c>
      <c r="T593" s="26" t="str">
        <f>IFERROR(__xludf.DUMMYFUNCTION("IFERROR(TRANSPOSE(QUERY(IFERROR(SORT(GOOGLEFINANCE(C593, ""price"", WORKDAY(TODAY(), -40), TODAY()), 1, FALSE)), ""select Col2 where Col2 is not null limit 22 label Col2 ''"", 0)), """")"),"")</f>
        <v/>
      </c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8"/>
      <c r="AO593" s="28"/>
      <c r="AP593" s="29"/>
      <c r="AQ593" s="29" t="str">
        <f t="shared" ref="AQ593:BL593" si="596">T593/T$2</f>
        <v>#N/A</v>
      </c>
      <c r="AR593" s="29" t="str">
        <f t="shared" si="596"/>
        <v>#DIV/0!</v>
      </c>
      <c r="AS593" s="29" t="str">
        <f t="shared" si="596"/>
        <v>#DIV/0!</v>
      </c>
      <c r="AT593" s="29" t="str">
        <f t="shared" si="596"/>
        <v>#DIV/0!</v>
      </c>
      <c r="AU593" s="29" t="str">
        <f t="shared" si="596"/>
        <v>#DIV/0!</v>
      </c>
      <c r="AV593" s="29" t="str">
        <f t="shared" si="596"/>
        <v>#DIV/0!</v>
      </c>
      <c r="AW593" s="29" t="str">
        <f t="shared" si="596"/>
        <v>#DIV/0!</v>
      </c>
      <c r="AX593" s="29" t="str">
        <f t="shared" si="596"/>
        <v>#DIV/0!</v>
      </c>
      <c r="AY593" s="29" t="str">
        <f t="shared" si="596"/>
        <v>#DIV/0!</v>
      </c>
      <c r="AZ593" s="29" t="str">
        <f t="shared" si="596"/>
        <v>#DIV/0!</v>
      </c>
      <c r="BA593" s="29" t="str">
        <f t="shared" si="596"/>
        <v>#DIV/0!</v>
      </c>
      <c r="BB593" s="29" t="str">
        <f t="shared" si="596"/>
        <v>#DIV/0!</v>
      </c>
      <c r="BC593" s="29" t="str">
        <f t="shared" si="596"/>
        <v>#DIV/0!</v>
      </c>
      <c r="BD593" s="29" t="str">
        <f t="shared" si="596"/>
        <v>#DIV/0!</v>
      </c>
      <c r="BE593" s="29" t="str">
        <f t="shared" si="596"/>
        <v>#DIV/0!</v>
      </c>
      <c r="BF593" s="29" t="str">
        <f t="shared" si="596"/>
        <v>#DIV/0!</v>
      </c>
      <c r="BG593" s="29" t="str">
        <f t="shared" si="596"/>
        <v>#DIV/0!</v>
      </c>
      <c r="BH593" s="29" t="str">
        <f t="shared" si="596"/>
        <v>#DIV/0!</v>
      </c>
      <c r="BI593" s="29" t="str">
        <f t="shared" si="596"/>
        <v>#DIV/0!</v>
      </c>
      <c r="BJ593" s="29" t="str">
        <f t="shared" si="596"/>
        <v>#DIV/0!</v>
      </c>
      <c r="BK593" s="29" t="str">
        <f t="shared" si="596"/>
        <v>#DIV/0!</v>
      </c>
      <c r="BL593" s="29" t="str">
        <f t="shared" si="596"/>
        <v>#DIV/0!</v>
      </c>
      <c r="BM593" s="29" t="str">
        <f t="shared" si="3"/>
        <v>#DIV/0!</v>
      </c>
    </row>
    <row r="594">
      <c r="A594" s="16" t="str">
        <f>IFERROR(__xludf.DUMMYFUNCTION("IFERROR(SPARKLINE(SORT(MAP(TRANSPOSE(AQ594:BL594), LAMBDA(val, IF(ISNUMBER(val), PERCENTRANK(AQ594:BL594, val)+0.01, 0))), SEQUENCE(COLUMNS(AQ594:BL594)), FALSE), {""charttype"",""column""; ""color"",""chartreuse""; ""ymin"", 0; ""ymax"", 1.01; ""highcolo"&amp;"r"", ""darkgreen""; ""lowcolor"", ""red""}), """")"),"")</f>
        <v/>
      </c>
      <c r="B594" s="17" t="str">
        <f t="shared" si="4"/>
        <v/>
      </c>
      <c r="C594" s="1" t="s">
        <v>2656</v>
      </c>
      <c r="D594" s="34" t="str">
        <f>IFERROR(__xludf.DUMMYFUNCTION("IFERROR(GOOGLEFINANCE(C594, ""NAME""))"),"Bank Ozk")</f>
        <v>Bank Ozk</v>
      </c>
      <c r="E594" s="30" t="s">
        <v>268</v>
      </c>
      <c r="F594" s="33" t="str">
        <f>IFERROR(__xludf.DUMMYFUNCTION("( (GOOGLEFINANCE(C594, ""price"") - Q594) / Q594 ) / (R594 / 100)"),"Loading...")</f>
        <v>Loading...</v>
      </c>
      <c r="G594" s="20" t="str">
        <f>IFERROR(__xludf.DUMMYFUNCTION("AVERAGE(ARRAYFORMULA(100 * (QUERY(GOOGLEFINANCE(C594, ""high"", TODAY()-40, TODAY()), ""SELECT Col2 WHERE Col2 IS NOT NULL ORDER BY Col1 DESC LIMIT 20"", 0) / QUERY(GOOGLEFINANCE(C594, ""low"", TODAY()-40, TODAY()), ""SELECT Col2 WHERE Col2 IS NOT NULL OR"&amp;"DER BY Col1 DESC LIMIT 20"", 0) - 1)))"),"#N/A")</f>
        <v>#N/A</v>
      </c>
      <c r="H594" s="35" t="str">
        <f t="shared" si="6"/>
        <v/>
      </c>
      <c r="I594" s="36" t="str">
        <f t="shared" si="7"/>
        <v/>
      </c>
      <c r="J594" s="37" t="str">
        <f>IFERROR(__xludf.DUMMYFUNCTION("IFERROR(
  IF(C594="""",, 
    IFERROR(
      GOOGLEFINANCE(C594, ""price"") * GOOGLEFINANCE(C594, ""volumeavg""), 
      GOOGLEFINANCE(C594, ""price"") * AVERAGE(QUERY(GOOGLEFINANCE(C594, ""volume"", TODAY()-40, TODAY()), ""SELECT Col2 WHERE Col2 IS NOT "&amp;"NULL ORDER BY Col1 DESC LIMIT 20"", 0))
    )
  ), 
"""")"),"")</f>
        <v/>
      </c>
      <c r="K594" s="21" t="str">
        <f>IFERROR(__xludf.DUMMYFUNCTION("IFERROR(GOOGLEFINANCE(C594, ""changepct"") / 100, """")"),"")</f>
        <v/>
      </c>
      <c r="L594" s="21" t="str">
        <f>IFERROR(__xludf.DUMMYFUNCTION("IFERROR((GOOGLEFINANCE(C594, ""price"") / INDEX(GOOGLEFINANCE(C594, ""price"", TODAY()-7, TODAY()), 2, 2)) - 1, """")"),"")</f>
        <v/>
      </c>
      <c r="M594" s="21" t="str">
        <f>IFERROR(__xludf.DUMMYFUNCTION("IFERROR((GOOGLEFINANCE(C594, ""price"") / INDEX(GOOGLEFINANCE(C594, ""price"", EDATE(TODAY(), -1), TODAY()), 2, 2)) - 1, """")"),"")</f>
        <v/>
      </c>
      <c r="N594" s="21" t="str">
        <f>IFERROR(__xludf.DUMMYFUNCTION("IFERROR((GOOGLEFINANCE(C594, ""price"") / INDEX(GOOGLEFINANCE(C594, ""price"", EDATE(TODAY(), -3), TODAY()), 2, 2)) - 1, """")"),"")</f>
        <v/>
      </c>
      <c r="O594" s="21" t="str">
        <f>IFERROR(__xludf.DUMMYFUNCTION("IFERROR((GOOGLEFINANCE(C594, ""price"") / INDEX(GOOGLEFINANCE(C594, ""price"", EDATE(TODAY(), -6), TODAY()), 2, 2)) - 1, """")"),"")</f>
        <v/>
      </c>
      <c r="P594" s="21" t="str">
        <f>IFERROR(__xludf.DUMMYFUNCTION("IFERROR((GOOGLEFINANCE(C594, ""price"") / INDEX(GOOGLEFINANCE(C594, ""price"", EDATE(TODAY(), -12), TODAY()), 2, 2)) - 1, """")"),"")</f>
        <v/>
      </c>
      <c r="Q594" s="6" t="str">
        <f>IFERROR(__xludf.DUMMYFUNCTION("AVERAGE(QUERY(GOOGLEFINANCE(C594, ""price"", TODAY()-80, TODAY()), ""SELECT Col2 WHERE Col2 IS NOT NULL ORDER BY Col1 DESC LIMIT 50"", 0))"),"#N/A")</f>
        <v>#N/A</v>
      </c>
      <c r="R594" s="24" t="str">
        <f>IFERROR(__xludf.DUMMYFUNCTION("IFERROR(
  LET(
    data, QUERY(GOOGLEFINANCE(C594,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GOOGLEFINANCE(C594, ""price"")) * 100,
    IF(calc=0, G594, calc)
  ), 
G594)"),"#N/A")</f>
        <v>#N/A</v>
      </c>
      <c r="S594" s="8" t="s">
        <v>15</v>
      </c>
      <c r="T594" s="26" t="str">
        <f>IFERROR(__xludf.DUMMYFUNCTION("IFERROR(TRANSPOSE(QUERY(IFERROR(SORT(GOOGLEFINANCE(C594, ""price"", WORKDAY(TODAY(), -40), TODAY()), 1, FALSE)), ""select Col2 where Col2 is not null limit 22 label Col2 ''"", 0)), """")"),"")</f>
        <v/>
      </c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8"/>
      <c r="AO594" s="28"/>
      <c r="AP594" s="29"/>
      <c r="AQ594" s="29" t="str">
        <f t="shared" ref="AQ594:BL594" si="597">T594/T$2</f>
        <v>#N/A</v>
      </c>
      <c r="AR594" s="29" t="str">
        <f t="shared" si="597"/>
        <v>#DIV/0!</v>
      </c>
      <c r="AS594" s="29" t="str">
        <f t="shared" si="597"/>
        <v>#DIV/0!</v>
      </c>
      <c r="AT594" s="29" t="str">
        <f t="shared" si="597"/>
        <v>#DIV/0!</v>
      </c>
      <c r="AU594" s="29" t="str">
        <f t="shared" si="597"/>
        <v>#DIV/0!</v>
      </c>
      <c r="AV594" s="29" t="str">
        <f t="shared" si="597"/>
        <v>#DIV/0!</v>
      </c>
      <c r="AW594" s="29" t="str">
        <f t="shared" si="597"/>
        <v>#DIV/0!</v>
      </c>
      <c r="AX594" s="29" t="str">
        <f t="shared" si="597"/>
        <v>#DIV/0!</v>
      </c>
      <c r="AY594" s="29" t="str">
        <f t="shared" si="597"/>
        <v>#DIV/0!</v>
      </c>
      <c r="AZ594" s="29" t="str">
        <f t="shared" si="597"/>
        <v>#DIV/0!</v>
      </c>
      <c r="BA594" s="29" t="str">
        <f t="shared" si="597"/>
        <v>#DIV/0!</v>
      </c>
      <c r="BB594" s="29" t="str">
        <f t="shared" si="597"/>
        <v>#DIV/0!</v>
      </c>
      <c r="BC594" s="29" t="str">
        <f t="shared" si="597"/>
        <v>#DIV/0!</v>
      </c>
      <c r="BD594" s="29" t="str">
        <f t="shared" si="597"/>
        <v>#DIV/0!</v>
      </c>
      <c r="BE594" s="29" t="str">
        <f t="shared" si="597"/>
        <v>#DIV/0!</v>
      </c>
      <c r="BF594" s="29" t="str">
        <f t="shared" si="597"/>
        <v>#DIV/0!</v>
      </c>
      <c r="BG594" s="29" t="str">
        <f t="shared" si="597"/>
        <v>#DIV/0!</v>
      </c>
      <c r="BH594" s="29" t="str">
        <f t="shared" si="597"/>
        <v>#DIV/0!</v>
      </c>
      <c r="BI594" s="29" t="str">
        <f t="shared" si="597"/>
        <v>#DIV/0!</v>
      </c>
      <c r="BJ594" s="29" t="str">
        <f t="shared" si="597"/>
        <v>#DIV/0!</v>
      </c>
      <c r="BK594" s="29" t="str">
        <f t="shared" si="597"/>
        <v>#DIV/0!</v>
      </c>
      <c r="BL594" s="29" t="str">
        <f t="shared" si="597"/>
        <v>#DIV/0!</v>
      </c>
      <c r="BM594" s="29" t="str">
        <f t="shared" si="3"/>
        <v>#DIV/0!</v>
      </c>
    </row>
    <row r="595">
      <c r="A595" s="16" t="str">
        <f>IFERROR(__xludf.DUMMYFUNCTION("IFERROR(SPARKLINE(SORT(MAP(TRANSPOSE(AQ595:BL595), LAMBDA(val, IF(ISNUMBER(val), PERCENTRANK(AQ595:BL595, val)+0.01, 0))), SEQUENCE(COLUMNS(AQ595:BL595)), FALSE), {""charttype"",""column""; ""color"",""chartreuse""; ""ymin"", 0; ""ymax"", 1.01; ""highcolo"&amp;"r"", ""darkgreen""; ""lowcolor"", ""red""}), """")"),"")</f>
        <v/>
      </c>
      <c r="B595" s="17" t="str">
        <f t="shared" si="4"/>
        <v/>
      </c>
      <c r="C595" s="1" t="s">
        <v>2663</v>
      </c>
      <c r="D595" s="34" t="str">
        <f>IFERROR(__xludf.DUMMYFUNCTION("IFERROR(GOOGLEFINANCE(C595, ""NAME""))"),"PCB Bancorp")</f>
        <v>PCB Bancorp</v>
      </c>
      <c r="E595" s="30" t="s">
        <v>268</v>
      </c>
      <c r="F595" s="33" t="str">
        <f>IFERROR(__xludf.DUMMYFUNCTION("( (GOOGLEFINANCE(C595, ""price"") - Q595) / Q595 ) / (R595 / 100)"),"Loading...")</f>
        <v>Loading...</v>
      </c>
      <c r="G595" s="20" t="str">
        <f>IFERROR(__xludf.DUMMYFUNCTION("AVERAGE(ARRAYFORMULA(100 * (QUERY(GOOGLEFINANCE(C595, ""high"", TODAY()-40, TODAY()), ""SELECT Col2 WHERE Col2 IS NOT NULL ORDER BY Col1 DESC LIMIT 20"", 0) / QUERY(GOOGLEFINANCE(C595, ""low"", TODAY()-40, TODAY()), ""SELECT Col2 WHERE Col2 IS NOT NULL OR"&amp;"DER BY Col1 DESC LIMIT 20"", 0) - 1)))"),"#N/A")</f>
        <v>#N/A</v>
      </c>
      <c r="H595" s="35" t="str">
        <f t="shared" si="6"/>
        <v/>
      </c>
      <c r="I595" s="36" t="str">
        <f t="shared" si="7"/>
        <v/>
      </c>
      <c r="J595" s="37" t="str">
        <f>IFERROR(__xludf.DUMMYFUNCTION("IFERROR(
  IF(C595="""",, 
    IFERROR(
      GOOGLEFINANCE(C595, ""price"") * GOOGLEFINANCE(C595, ""volumeavg""), 
      GOOGLEFINANCE(C595, ""price"") * AVERAGE(QUERY(GOOGLEFINANCE(C595, ""volume"", TODAY()-40, TODAY()), ""SELECT Col2 WHERE Col2 IS NOT "&amp;"NULL ORDER BY Col1 DESC LIMIT 20"", 0))
    )
  ), 
"""")"),"")</f>
        <v/>
      </c>
      <c r="K595" s="21" t="str">
        <f>IFERROR(__xludf.DUMMYFUNCTION("IFERROR(GOOGLEFINANCE(C595, ""changepct"") / 100, """")"),"")</f>
        <v/>
      </c>
      <c r="L595" s="21" t="str">
        <f>IFERROR(__xludf.DUMMYFUNCTION("IFERROR((GOOGLEFINANCE(C595, ""price"") / INDEX(GOOGLEFINANCE(C595, ""price"", TODAY()-7, TODAY()), 2, 2)) - 1, """")"),"")</f>
        <v/>
      </c>
      <c r="M595" s="21" t="str">
        <f>IFERROR(__xludf.DUMMYFUNCTION("IFERROR((GOOGLEFINANCE(C595, ""price"") / INDEX(GOOGLEFINANCE(C595, ""price"", EDATE(TODAY(), -1), TODAY()), 2, 2)) - 1, """")"),"")</f>
        <v/>
      </c>
      <c r="N595" s="21" t="str">
        <f>IFERROR(__xludf.DUMMYFUNCTION("IFERROR((GOOGLEFINANCE(C595, ""price"") / INDEX(GOOGLEFINANCE(C595, ""price"", EDATE(TODAY(), -3), TODAY()), 2, 2)) - 1, """")"),"")</f>
        <v/>
      </c>
      <c r="O595" s="21" t="str">
        <f>IFERROR(__xludf.DUMMYFUNCTION("IFERROR((GOOGLEFINANCE(C595, ""price"") / INDEX(GOOGLEFINANCE(C595, ""price"", EDATE(TODAY(), -6), TODAY()), 2, 2)) - 1, """")"),"")</f>
        <v/>
      </c>
      <c r="P595" s="21" t="str">
        <f>IFERROR(__xludf.DUMMYFUNCTION("IFERROR((GOOGLEFINANCE(C595, ""price"") / INDEX(GOOGLEFINANCE(C595, ""price"", EDATE(TODAY(), -12), TODAY()), 2, 2)) - 1, """")"),"")</f>
        <v/>
      </c>
      <c r="Q595" s="6" t="str">
        <f>IFERROR(__xludf.DUMMYFUNCTION("AVERAGE(QUERY(GOOGLEFINANCE(C595, ""price"", TODAY()-80, TODAY()), ""SELECT Col2 WHERE Col2 IS NOT NULL ORDER BY Col1 DESC LIMIT 50"", 0))"),"#N/A")</f>
        <v>#N/A</v>
      </c>
      <c r="R595" s="24" t="str">
        <f>IFERROR(__xludf.DUMMYFUNCTION("IFERROR(
  LET(
    data, QUERY(GOOGLEFINANCE(C595,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GOOGLEFINANCE(C595, ""price"")) * 100,
    IF(calc=0, G595, calc)
  ), 
G595)"),"#N/A")</f>
        <v>#N/A</v>
      </c>
      <c r="S595" s="8" t="s">
        <v>15</v>
      </c>
      <c r="T595" s="26" t="str">
        <f>IFERROR(__xludf.DUMMYFUNCTION("IFERROR(TRANSPOSE(QUERY(IFERROR(SORT(GOOGLEFINANCE(C595, ""price"", WORKDAY(TODAY(), -40), TODAY()), 1, FALSE)), ""select Col2 where Col2 is not null limit 22 label Col2 ''"", 0)), """")"),"")</f>
        <v/>
      </c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8"/>
      <c r="AO595" s="28"/>
      <c r="AP595" s="29"/>
      <c r="AQ595" s="29" t="str">
        <f t="shared" ref="AQ595:BL595" si="598">T595/T$2</f>
        <v>#N/A</v>
      </c>
      <c r="AR595" s="29" t="str">
        <f t="shared" si="598"/>
        <v>#DIV/0!</v>
      </c>
      <c r="AS595" s="29" t="str">
        <f t="shared" si="598"/>
        <v>#DIV/0!</v>
      </c>
      <c r="AT595" s="29" t="str">
        <f t="shared" si="598"/>
        <v>#DIV/0!</v>
      </c>
      <c r="AU595" s="29" t="str">
        <f t="shared" si="598"/>
        <v>#DIV/0!</v>
      </c>
      <c r="AV595" s="29" t="str">
        <f t="shared" si="598"/>
        <v>#DIV/0!</v>
      </c>
      <c r="AW595" s="29" t="str">
        <f t="shared" si="598"/>
        <v>#DIV/0!</v>
      </c>
      <c r="AX595" s="29" t="str">
        <f t="shared" si="598"/>
        <v>#DIV/0!</v>
      </c>
      <c r="AY595" s="29" t="str">
        <f t="shared" si="598"/>
        <v>#DIV/0!</v>
      </c>
      <c r="AZ595" s="29" t="str">
        <f t="shared" si="598"/>
        <v>#DIV/0!</v>
      </c>
      <c r="BA595" s="29" t="str">
        <f t="shared" si="598"/>
        <v>#DIV/0!</v>
      </c>
      <c r="BB595" s="29" t="str">
        <f t="shared" si="598"/>
        <v>#DIV/0!</v>
      </c>
      <c r="BC595" s="29" t="str">
        <f t="shared" si="598"/>
        <v>#DIV/0!</v>
      </c>
      <c r="BD595" s="29" t="str">
        <f t="shared" si="598"/>
        <v>#DIV/0!</v>
      </c>
      <c r="BE595" s="29" t="str">
        <f t="shared" si="598"/>
        <v>#DIV/0!</v>
      </c>
      <c r="BF595" s="29" t="str">
        <f t="shared" si="598"/>
        <v>#DIV/0!</v>
      </c>
      <c r="BG595" s="29" t="str">
        <f t="shared" si="598"/>
        <v>#DIV/0!</v>
      </c>
      <c r="BH595" s="29" t="str">
        <f t="shared" si="598"/>
        <v>#DIV/0!</v>
      </c>
      <c r="BI595" s="29" t="str">
        <f t="shared" si="598"/>
        <v>#DIV/0!</v>
      </c>
      <c r="BJ595" s="29" t="str">
        <f t="shared" si="598"/>
        <v>#DIV/0!</v>
      </c>
      <c r="BK595" s="29" t="str">
        <f t="shared" si="598"/>
        <v>#DIV/0!</v>
      </c>
      <c r="BL595" s="29" t="str">
        <f t="shared" si="598"/>
        <v>#DIV/0!</v>
      </c>
      <c r="BM595" s="29" t="str">
        <f t="shared" si="3"/>
        <v>#DIV/0!</v>
      </c>
    </row>
    <row r="596">
      <c r="A596" s="16" t="str">
        <f>IFERROR(__xludf.DUMMYFUNCTION("IFERROR(SPARKLINE(SORT(MAP(TRANSPOSE(AQ596:BL596), LAMBDA(val, IF(ISNUMBER(val), PERCENTRANK(AQ596:BL596, val)+0.01, 0))), SEQUENCE(COLUMNS(AQ596:BL596)), FALSE), {""charttype"",""column""; ""color"",""chartreuse""; ""ymin"", 0; ""ymax"", 1.01; ""highcolo"&amp;"r"", ""darkgreen""; ""lowcolor"", ""red""}), """")"),"")</f>
        <v/>
      </c>
      <c r="B596" s="17" t="str">
        <f t="shared" si="4"/>
        <v/>
      </c>
      <c r="C596" s="1" t="s">
        <v>2669</v>
      </c>
      <c r="D596" s="34" t="str">
        <f>IFERROR(__xludf.DUMMYFUNCTION("IFERROR(GOOGLEFINANCE(C596, ""NAME""))"),"DeFi Technologies Inc")</f>
        <v>DeFi Technologies Inc</v>
      </c>
      <c r="E596" s="30" t="s">
        <v>77</v>
      </c>
      <c r="F596" s="33" t="str">
        <f>IFERROR(__xludf.DUMMYFUNCTION("( (GOOGLEFINANCE(C596, ""price"") - Q596) / Q596 ) / (R596 / 100)"),"Loading...")</f>
        <v>Loading...</v>
      </c>
      <c r="G596" s="20" t="str">
        <f>IFERROR(__xludf.DUMMYFUNCTION("AVERAGE(ARRAYFORMULA(100 * (QUERY(GOOGLEFINANCE(C596, ""high"", TODAY()-40, TODAY()), ""SELECT Col2 WHERE Col2 IS NOT NULL ORDER BY Col1 DESC LIMIT 20"", 0) / QUERY(GOOGLEFINANCE(C596, ""low"", TODAY()-40, TODAY()), ""SELECT Col2 WHERE Col2 IS NOT NULL OR"&amp;"DER BY Col1 DESC LIMIT 20"", 0) - 1)))"),"#N/A")</f>
        <v>#N/A</v>
      </c>
      <c r="H596" s="35" t="str">
        <f t="shared" si="6"/>
        <v/>
      </c>
      <c r="I596" s="36" t="str">
        <f t="shared" si="7"/>
        <v/>
      </c>
      <c r="J596" s="37" t="str">
        <f>IFERROR(__xludf.DUMMYFUNCTION("IFERROR(
  IF(C596="""",, 
    IFERROR(
      GOOGLEFINANCE(C596, ""price"") * GOOGLEFINANCE(C596, ""volumeavg""), 
      GOOGLEFINANCE(C596, ""price"") * AVERAGE(QUERY(GOOGLEFINANCE(C596, ""volume"", TODAY()-40, TODAY()), ""SELECT Col2 WHERE Col2 IS NOT "&amp;"NULL ORDER BY Col1 DESC LIMIT 20"", 0))
    )
  ), 
"""")"),"")</f>
        <v/>
      </c>
      <c r="K596" s="21" t="str">
        <f>IFERROR(__xludf.DUMMYFUNCTION("IFERROR(GOOGLEFINANCE(C596, ""changepct"") / 100, """")"),"")</f>
        <v/>
      </c>
      <c r="L596" s="21" t="str">
        <f>IFERROR(__xludf.DUMMYFUNCTION("IFERROR((GOOGLEFINANCE(C596, ""price"") / INDEX(GOOGLEFINANCE(C596, ""price"", TODAY()-7, TODAY()), 2, 2)) - 1, """")"),"")</f>
        <v/>
      </c>
      <c r="M596" s="21" t="str">
        <f>IFERROR(__xludf.DUMMYFUNCTION("IFERROR((GOOGLEFINANCE(C596, ""price"") / INDEX(GOOGLEFINANCE(C596, ""price"", EDATE(TODAY(), -1), TODAY()), 2, 2)) - 1, """")"),"")</f>
        <v/>
      </c>
      <c r="N596" s="21" t="str">
        <f>IFERROR(__xludf.DUMMYFUNCTION("IFERROR((GOOGLEFINANCE(C596, ""price"") / INDEX(GOOGLEFINANCE(C596, ""price"", EDATE(TODAY(), -3), TODAY()), 2, 2)) - 1, """")"),"")</f>
        <v/>
      </c>
      <c r="O596" s="21" t="str">
        <f>IFERROR(__xludf.DUMMYFUNCTION("IFERROR((GOOGLEFINANCE(C596, ""price"") / INDEX(GOOGLEFINANCE(C596, ""price"", EDATE(TODAY(), -6), TODAY()), 2, 2)) - 1, """")"),"")</f>
        <v/>
      </c>
      <c r="P596" s="21" t="str">
        <f>IFERROR(__xludf.DUMMYFUNCTION("IFERROR((GOOGLEFINANCE(C596, ""price"") / INDEX(GOOGLEFINANCE(C596, ""price"", EDATE(TODAY(), -12), TODAY()), 2, 2)) - 1, """")"),"")</f>
        <v/>
      </c>
      <c r="Q596" s="6" t="str">
        <f>IFERROR(__xludf.DUMMYFUNCTION("AVERAGE(QUERY(GOOGLEFINANCE(C596, ""price"", TODAY()-80, TODAY()), ""SELECT Col2 WHERE Col2 IS NOT NULL ORDER BY Col1 DESC LIMIT 50"", 0))"),"#N/A")</f>
        <v>#N/A</v>
      </c>
      <c r="R596" s="24" t="str">
        <f>IFERROR(__xludf.DUMMYFUNCTION("IFERROR(
  LET(
    data, QUERY(GOOGLEFINANCE(C596,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GOOGLEFINANCE(C596, ""price"")) * 100,
    IF(calc=0, G596, calc)
  ), 
G596)"),"#N/A")</f>
        <v>#N/A</v>
      </c>
      <c r="S596" s="8" t="s">
        <v>15</v>
      </c>
      <c r="T596" s="26" t="str">
        <f>IFERROR(__xludf.DUMMYFUNCTION("IFERROR(TRANSPOSE(QUERY(IFERROR(SORT(GOOGLEFINANCE(C596, ""price"", WORKDAY(TODAY(), -40), TODAY()), 1, FALSE)), ""select Col2 where Col2 is not null limit 22 label Col2 ''"", 0)), """")"),"")</f>
        <v/>
      </c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8"/>
      <c r="AO596" s="28"/>
      <c r="AP596" s="29"/>
      <c r="AQ596" s="29" t="str">
        <f t="shared" ref="AQ596:BL596" si="599">T596/T$2</f>
        <v>#N/A</v>
      </c>
      <c r="AR596" s="29" t="str">
        <f t="shared" si="599"/>
        <v>#DIV/0!</v>
      </c>
      <c r="AS596" s="29" t="str">
        <f t="shared" si="599"/>
        <v>#DIV/0!</v>
      </c>
      <c r="AT596" s="29" t="str">
        <f t="shared" si="599"/>
        <v>#DIV/0!</v>
      </c>
      <c r="AU596" s="29" t="str">
        <f t="shared" si="599"/>
        <v>#DIV/0!</v>
      </c>
      <c r="AV596" s="29" t="str">
        <f t="shared" si="599"/>
        <v>#DIV/0!</v>
      </c>
      <c r="AW596" s="29" t="str">
        <f t="shared" si="599"/>
        <v>#DIV/0!</v>
      </c>
      <c r="AX596" s="29" t="str">
        <f t="shared" si="599"/>
        <v>#DIV/0!</v>
      </c>
      <c r="AY596" s="29" t="str">
        <f t="shared" si="599"/>
        <v>#DIV/0!</v>
      </c>
      <c r="AZ596" s="29" t="str">
        <f t="shared" si="599"/>
        <v>#DIV/0!</v>
      </c>
      <c r="BA596" s="29" t="str">
        <f t="shared" si="599"/>
        <v>#DIV/0!</v>
      </c>
      <c r="BB596" s="29" t="str">
        <f t="shared" si="599"/>
        <v>#DIV/0!</v>
      </c>
      <c r="BC596" s="29" t="str">
        <f t="shared" si="599"/>
        <v>#DIV/0!</v>
      </c>
      <c r="BD596" s="29" t="str">
        <f t="shared" si="599"/>
        <v>#DIV/0!</v>
      </c>
      <c r="BE596" s="29" t="str">
        <f t="shared" si="599"/>
        <v>#DIV/0!</v>
      </c>
      <c r="BF596" s="29" t="str">
        <f t="shared" si="599"/>
        <v>#DIV/0!</v>
      </c>
      <c r="BG596" s="29" t="str">
        <f t="shared" si="599"/>
        <v>#DIV/0!</v>
      </c>
      <c r="BH596" s="29" t="str">
        <f t="shared" si="599"/>
        <v>#DIV/0!</v>
      </c>
      <c r="BI596" s="29" t="str">
        <f t="shared" si="599"/>
        <v>#DIV/0!</v>
      </c>
      <c r="BJ596" s="29" t="str">
        <f t="shared" si="599"/>
        <v>#DIV/0!</v>
      </c>
      <c r="BK596" s="29" t="str">
        <f t="shared" si="599"/>
        <v>#DIV/0!</v>
      </c>
      <c r="BL596" s="29" t="str">
        <f t="shared" si="599"/>
        <v>#DIV/0!</v>
      </c>
      <c r="BM596" s="29" t="str">
        <f t="shared" si="3"/>
        <v>#DIV/0!</v>
      </c>
    </row>
    <row r="597">
      <c r="A597" s="16" t="str">
        <f>IFERROR(__xludf.DUMMYFUNCTION("IFERROR(SPARKLINE(SORT(MAP(TRANSPOSE(AQ597:BL597), LAMBDA(val, IF(ISNUMBER(val), PERCENTRANK(AQ597:BL597, val)+0.01, 0))), SEQUENCE(COLUMNS(AQ597:BL597)), FALSE), {""charttype"",""column""; ""color"",""chartreuse""; ""ymin"", 0; ""ymax"", 1.01; ""highcolo"&amp;"r"", ""darkgreen""; ""lowcolor"", ""red""}), """")"),"")</f>
        <v/>
      </c>
      <c r="B597" s="17" t="str">
        <f t="shared" si="4"/>
        <v/>
      </c>
      <c r="C597" s="1" t="s">
        <v>2675</v>
      </c>
      <c r="D597" s="34" t="str">
        <f>IFERROR(__xludf.DUMMYFUNCTION("IFERROR(GOOGLEFINANCE(C597, ""NAME""))"),"Vinci Compass Investments Ltd")</f>
        <v>Vinci Compass Investments Ltd</v>
      </c>
      <c r="E597" s="30" t="s">
        <v>64</v>
      </c>
      <c r="F597" s="33" t="str">
        <f>IFERROR(__xludf.DUMMYFUNCTION("( (GOOGLEFINANCE(C597, ""price"") - Q597) / Q597 ) / (R597 / 100)"),"Loading...")</f>
        <v>Loading...</v>
      </c>
      <c r="G597" s="20" t="str">
        <f>IFERROR(__xludf.DUMMYFUNCTION("AVERAGE(ARRAYFORMULA(100 * (QUERY(GOOGLEFINANCE(C597, ""high"", TODAY()-40, TODAY()), ""SELECT Col2 WHERE Col2 IS NOT NULL ORDER BY Col1 DESC LIMIT 20"", 0) / QUERY(GOOGLEFINANCE(C597, ""low"", TODAY()-40, TODAY()), ""SELECT Col2 WHERE Col2 IS NOT NULL OR"&amp;"DER BY Col1 DESC LIMIT 20"", 0) - 1)))"),"#N/A")</f>
        <v>#N/A</v>
      </c>
      <c r="H597" s="35" t="str">
        <f t="shared" si="6"/>
        <v/>
      </c>
      <c r="I597" s="36" t="str">
        <f t="shared" si="7"/>
        <v/>
      </c>
      <c r="J597" s="37" t="str">
        <f>IFERROR(__xludf.DUMMYFUNCTION("IFERROR(
  IF(C597="""",, 
    IFERROR(
      GOOGLEFINANCE(C597, ""price"") * GOOGLEFINANCE(C597, ""volumeavg""), 
      GOOGLEFINANCE(C597, ""price"") * AVERAGE(QUERY(GOOGLEFINANCE(C597, ""volume"", TODAY()-40, TODAY()), ""SELECT Col2 WHERE Col2 IS NOT "&amp;"NULL ORDER BY Col1 DESC LIMIT 20"", 0))
    )
  ), 
"""")"),"")</f>
        <v/>
      </c>
      <c r="K597" s="21" t="str">
        <f>IFERROR(__xludf.DUMMYFUNCTION("IFERROR(GOOGLEFINANCE(C597, ""changepct"") / 100, """")"),"")</f>
        <v/>
      </c>
      <c r="L597" s="21" t="str">
        <f>IFERROR(__xludf.DUMMYFUNCTION("IFERROR((GOOGLEFINANCE(C597, ""price"") / INDEX(GOOGLEFINANCE(C597, ""price"", TODAY()-7, TODAY()), 2, 2)) - 1, """")"),"")</f>
        <v/>
      </c>
      <c r="M597" s="21" t="str">
        <f>IFERROR(__xludf.DUMMYFUNCTION("IFERROR((GOOGLEFINANCE(C597, ""price"") / INDEX(GOOGLEFINANCE(C597, ""price"", EDATE(TODAY(), -1), TODAY()), 2, 2)) - 1, """")"),"")</f>
        <v/>
      </c>
      <c r="N597" s="21" t="str">
        <f>IFERROR(__xludf.DUMMYFUNCTION("IFERROR((GOOGLEFINANCE(C597, ""price"") / INDEX(GOOGLEFINANCE(C597, ""price"", EDATE(TODAY(), -3), TODAY()), 2, 2)) - 1, """")"),"")</f>
        <v/>
      </c>
      <c r="O597" s="21" t="str">
        <f>IFERROR(__xludf.DUMMYFUNCTION("IFERROR((GOOGLEFINANCE(C597, ""price"") / INDEX(GOOGLEFINANCE(C597, ""price"", EDATE(TODAY(), -6), TODAY()), 2, 2)) - 1, """")"),"")</f>
        <v/>
      </c>
      <c r="P597" s="21" t="str">
        <f>IFERROR(__xludf.DUMMYFUNCTION("IFERROR((GOOGLEFINANCE(C597, ""price"") / INDEX(GOOGLEFINANCE(C597, ""price"", EDATE(TODAY(), -12), TODAY()), 2, 2)) - 1, """")"),"")</f>
        <v/>
      </c>
      <c r="Q597" s="6" t="str">
        <f>IFERROR(__xludf.DUMMYFUNCTION("AVERAGE(QUERY(GOOGLEFINANCE(C597, ""price"", TODAY()-80, TODAY()), ""SELECT Col2 WHERE Col2 IS NOT NULL ORDER BY Col1 DESC LIMIT 50"", 0))"),"#N/A")</f>
        <v>#N/A</v>
      </c>
      <c r="R597" s="24" t="str">
        <f>IFERROR(__xludf.DUMMYFUNCTION("IFERROR(
  LET(
    data, QUERY(GOOGLEFINANCE(C597,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GOOGLEFINANCE(C597, ""price"")) * 100,
    IF(calc=0, G597, calc)
  ), 
G597)"),"#N/A")</f>
        <v>#N/A</v>
      </c>
      <c r="S597" s="8" t="s">
        <v>15</v>
      </c>
      <c r="T597" s="26" t="str">
        <f>IFERROR(__xludf.DUMMYFUNCTION("IFERROR(TRANSPOSE(QUERY(IFERROR(SORT(GOOGLEFINANCE(C597, ""price"", WORKDAY(TODAY(), -40), TODAY()), 1, FALSE)), ""select Col2 where Col2 is not null limit 22 label Col2 ''"", 0)), """")"),"")</f>
        <v/>
      </c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8"/>
      <c r="AO597" s="28"/>
      <c r="AP597" s="29"/>
      <c r="AQ597" s="29" t="str">
        <f t="shared" ref="AQ597:BL597" si="600">T597/T$2</f>
        <v>#N/A</v>
      </c>
      <c r="AR597" s="29" t="str">
        <f t="shared" si="600"/>
        <v>#DIV/0!</v>
      </c>
      <c r="AS597" s="29" t="str">
        <f t="shared" si="600"/>
        <v>#DIV/0!</v>
      </c>
      <c r="AT597" s="29" t="str">
        <f t="shared" si="600"/>
        <v>#DIV/0!</v>
      </c>
      <c r="AU597" s="29" t="str">
        <f t="shared" si="600"/>
        <v>#DIV/0!</v>
      </c>
      <c r="AV597" s="29" t="str">
        <f t="shared" si="600"/>
        <v>#DIV/0!</v>
      </c>
      <c r="AW597" s="29" t="str">
        <f t="shared" si="600"/>
        <v>#DIV/0!</v>
      </c>
      <c r="AX597" s="29" t="str">
        <f t="shared" si="600"/>
        <v>#DIV/0!</v>
      </c>
      <c r="AY597" s="29" t="str">
        <f t="shared" si="600"/>
        <v>#DIV/0!</v>
      </c>
      <c r="AZ597" s="29" t="str">
        <f t="shared" si="600"/>
        <v>#DIV/0!</v>
      </c>
      <c r="BA597" s="29" t="str">
        <f t="shared" si="600"/>
        <v>#DIV/0!</v>
      </c>
      <c r="BB597" s="29" t="str">
        <f t="shared" si="600"/>
        <v>#DIV/0!</v>
      </c>
      <c r="BC597" s="29" t="str">
        <f t="shared" si="600"/>
        <v>#DIV/0!</v>
      </c>
      <c r="BD597" s="29" t="str">
        <f t="shared" si="600"/>
        <v>#DIV/0!</v>
      </c>
      <c r="BE597" s="29" t="str">
        <f t="shared" si="600"/>
        <v>#DIV/0!</v>
      </c>
      <c r="BF597" s="29" t="str">
        <f t="shared" si="600"/>
        <v>#DIV/0!</v>
      </c>
      <c r="BG597" s="29" t="str">
        <f t="shared" si="600"/>
        <v>#DIV/0!</v>
      </c>
      <c r="BH597" s="29" t="str">
        <f t="shared" si="600"/>
        <v>#DIV/0!</v>
      </c>
      <c r="BI597" s="29" t="str">
        <f t="shared" si="600"/>
        <v>#DIV/0!</v>
      </c>
      <c r="BJ597" s="29" t="str">
        <f t="shared" si="600"/>
        <v>#DIV/0!</v>
      </c>
      <c r="BK597" s="29" t="str">
        <f t="shared" si="600"/>
        <v>#DIV/0!</v>
      </c>
      <c r="BL597" s="29" t="str">
        <f t="shared" si="600"/>
        <v>#DIV/0!</v>
      </c>
      <c r="BM597" s="29" t="str">
        <f t="shared" si="3"/>
        <v>#DIV/0!</v>
      </c>
    </row>
    <row r="598">
      <c r="A598" s="16" t="str">
        <f>IFERROR(__xludf.DUMMYFUNCTION("IFERROR(SPARKLINE(SORT(MAP(TRANSPOSE(AQ598:BL598), LAMBDA(val, IF(ISNUMBER(val), PERCENTRANK(AQ598:BL598, val)+0.01, 0))), SEQUENCE(COLUMNS(AQ598:BL598)), FALSE), {""charttype"",""column""; ""color"",""chartreuse""; ""ymin"", 0; ""ymax"", 1.01; ""highcolo"&amp;"r"", ""darkgreen""; ""lowcolor"", ""red""}), """")"),"")</f>
        <v/>
      </c>
      <c r="B598" s="17" t="str">
        <f t="shared" si="4"/>
        <v/>
      </c>
      <c r="C598" s="1" t="s">
        <v>2679</v>
      </c>
      <c r="D598" s="34" t="str">
        <f>IFERROR(__xludf.DUMMYFUNCTION("IFERROR(GOOGLEFINANCE(C598, ""NAME""))"),"ICICI Bank Ltd")</f>
        <v>ICICI Bank Ltd</v>
      </c>
      <c r="E598" s="30" t="s">
        <v>268</v>
      </c>
      <c r="F598" s="33" t="str">
        <f>IFERROR(__xludf.DUMMYFUNCTION("( (GOOGLEFINANCE(C598, ""price"") - Q598) / Q598 ) / (R598 / 100)"),"Loading...")</f>
        <v>Loading...</v>
      </c>
      <c r="G598" s="20" t="str">
        <f>IFERROR(__xludf.DUMMYFUNCTION("AVERAGE(ARRAYFORMULA(100 * (QUERY(GOOGLEFINANCE(C598, ""high"", TODAY()-40, TODAY()), ""SELECT Col2 WHERE Col2 IS NOT NULL ORDER BY Col1 DESC LIMIT 20"", 0) / QUERY(GOOGLEFINANCE(C598, ""low"", TODAY()-40, TODAY()), ""SELECT Col2 WHERE Col2 IS NOT NULL OR"&amp;"DER BY Col1 DESC LIMIT 20"", 0) - 1)))"),"#N/A")</f>
        <v>#N/A</v>
      </c>
      <c r="H598" s="35" t="str">
        <f t="shared" si="6"/>
        <v/>
      </c>
      <c r="I598" s="36" t="str">
        <f t="shared" si="7"/>
        <v/>
      </c>
      <c r="J598" s="37" t="str">
        <f>IFERROR(__xludf.DUMMYFUNCTION("IFERROR(
  IF(C598="""",, 
    IFERROR(
      GOOGLEFINANCE(C598, ""price"") * GOOGLEFINANCE(C598, ""volumeavg""), 
      GOOGLEFINANCE(C598, ""price"") * AVERAGE(QUERY(GOOGLEFINANCE(C598, ""volume"", TODAY()-40, TODAY()), ""SELECT Col2 WHERE Col2 IS NOT "&amp;"NULL ORDER BY Col1 DESC LIMIT 20"", 0))
    )
  ), 
"""")"),"")</f>
        <v/>
      </c>
      <c r="K598" s="21" t="str">
        <f>IFERROR(__xludf.DUMMYFUNCTION("IFERROR(GOOGLEFINANCE(C598, ""changepct"") / 100, """")"),"")</f>
        <v/>
      </c>
      <c r="L598" s="21" t="str">
        <f>IFERROR(__xludf.DUMMYFUNCTION("IFERROR((GOOGLEFINANCE(C598, ""price"") / INDEX(GOOGLEFINANCE(C598, ""price"", TODAY()-7, TODAY()), 2, 2)) - 1, """")"),"")</f>
        <v/>
      </c>
      <c r="M598" s="21" t="str">
        <f>IFERROR(__xludf.DUMMYFUNCTION("IFERROR((GOOGLEFINANCE(C598, ""price"") / INDEX(GOOGLEFINANCE(C598, ""price"", EDATE(TODAY(), -1), TODAY()), 2, 2)) - 1, """")"),"")</f>
        <v/>
      </c>
      <c r="N598" s="21" t="str">
        <f>IFERROR(__xludf.DUMMYFUNCTION("IFERROR((GOOGLEFINANCE(C598, ""price"") / INDEX(GOOGLEFINANCE(C598, ""price"", EDATE(TODAY(), -3), TODAY()), 2, 2)) - 1, """")"),"")</f>
        <v/>
      </c>
      <c r="O598" s="21" t="str">
        <f>IFERROR(__xludf.DUMMYFUNCTION("IFERROR((GOOGLEFINANCE(C598, ""price"") / INDEX(GOOGLEFINANCE(C598, ""price"", EDATE(TODAY(), -6), TODAY()), 2, 2)) - 1, """")"),"")</f>
        <v/>
      </c>
      <c r="P598" s="21" t="str">
        <f>IFERROR(__xludf.DUMMYFUNCTION("IFERROR((GOOGLEFINANCE(C598, ""price"") / INDEX(GOOGLEFINANCE(C598, ""price"", EDATE(TODAY(), -12), TODAY()), 2, 2)) - 1, """")"),"")</f>
        <v/>
      </c>
      <c r="Q598" s="6" t="str">
        <f>IFERROR(__xludf.DUMMYFUNCTION("AVERAGE(QUERY(GOOGLEFINANCE(C598, ""price"", TODAY()-80, TODAY()), ""SELECT Col2 WHERE Col2 IS NOT NULL ORDER BY Col1 DESC LIMIT 50"", 0))"),"#N/A")</f>
        <v>#N/A</v>
      </c>
      <c r="R598" s="24" t="str">
        <f>IFERROR(__xludf.DUMMYFUNCTION("IFERROR(
  LET(
    data, QUERY(GOOGLEFINANCE(C598,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GOOGLEFINANCE(C598, ""price"")) * 100,
    IF(calc=0, G598, calc)
  ), 
G598)"),"#N/A")</f>
        <v>#N/A</v>
      </c>
      <c r="S598" s="8" t="s">
        <v>15</v>
      </c>
      <c r="T598" s="26" t="str">
        <f>IFERROR(__xludf.DUMMYFUNCTION("IFERROR(TRANSPOSE(QUERY(IFERROR(SORT(GOOGLEFINANCE(C598, ""price"", WORKDAY(TODAY(), -40), TODAY()), 1, FALSE)), ""select Col2 where Col2 is not null limit 22 label Col2 ''"", 0)), """")"),"")</f>
        <v/>
      </c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8"/>
      <c r="AO598" s="28"/>
      <c r="AP598" s="29"/>
      <c r="AQ598" s="29" t="str">
        <f t="shared" ref="AQ598:BL598" si="601">T598/T$2</f>
        <v>#N/A</v>
      </c>
      <c r="AR598" s="29" t="str">
        <f t="shared" si="601"/>
        <v>#DIV/0!</v>
      </c>
      <c r="AS598" s="29" t="str">
        <f t="shared" si="601"/>
        <v>#DIV/0!</v>
      </c>
      <c r="AT598" s="29" t="str">
        <f t="shared" si="601"/>
        <v>#DIV/0!</v>
      </c>
      <c r="AU598" s="29" t="str">
        <f t="shared" si="601"/>
        <v>#DIV/0!</v>
      </c>
      <c r="AV598" s="29" t="str">
        <f t="shared" si="601"/>
        <v>#DIV/0!</v>
      </c>
      <c r="AW598" s="29" t="str">
        <f t="shared" si="601"/>
        <v>#DIV/0!</v>
      </c>
      <c r="AX598" s="29" t="str">
        <f t="shared" si="601"/>
        <v>#DIV/0!</v>
      </c>
      <c r="AY598" s="29" t="str">
        <f t="shared" si="601"/>
        <v>#DIV/0!</v>
      </c>
      <c r="AZ598" s="29" t="str">
        <f t="shared" si="601"/>
        <v>#DIV/0!</v>
      </c>
      <c r="BA598" s="29" t="str">
        <f t="shared" si="601"/>
        <v>#DIV/0!</v>
      </c>
      <c r="BB598" s="29" t="str">
        <f t="shared" si="601"/>
        <v>#DIV/0!</v>
      </c>
      <c r="BC598" s="29" t="str">
        <f t="shared" si="601"/>
        <v>#DIV/0!</v>
      </c>
      <c r="BD598" s="29" t="str">
        <f t="shared" si="601"/>
        <v>#DIV/0!</v>
      </c>
      <c r="BE598" s="29" t="str">
        <f t="shared" si="601"/>
        <v>#DIV/0!</v>
      </c>
      <c r="BF598" s="29" t="str">
        <f t="shared" si="601"/>
        <v>#DIV/0!</v>
      </c>
      <c r="BG598" s="29" t="str">
        <f t="shared" si="601"/>
        <v>#DIV/0!</v>
      </c>
      <c r="BH598" s="29" t="str">
        <f t="shared" si="601"/>
        <v>#DIV/0!</v>
      </c>
      <c r="BI598" s="29" t="str">
        <f t="shared" si="601"/>
        <v>#DIV/0!</v>
      </c>
      <c r="BJ598" s="29" t="str">
        <f t="shared" si="601"/>
        <v>#DIV/0!</v>
      </c>
      <c r="BK598" s="29" t="str">
        <f t="shared" si="601"/>
        <v>#DIV/0!</v>
      </c>
      <c r="BL598" s="29" t="str">
        <f t="shared" si="601"/>
        <v>#DIV/0!</v>
      </c>
      <c r="BM598" s="29" t="str">
        <f t="shared" si="3"/>
        <v>#DIV/0!</v>
      </c>
    </row>
    <row r="599">
      <c r="A599" s="16" t="str">
        <f>IFERROR(__xludf.DUMMYFUNCTION("IFERROR(SPARKLINE(SORT(MAP(TRANSPOSE(AQ599:BL599), LAMBDA(val, IF(ISNUMBER(val), PERCENTRANK(AQ599:BL599, val)+0.01, 0))), SEQUENCE(COLUMNS(AQ599:BL599)), FALSE), {""charttype"",""column""; ""color"",""chartreuse""; ""ymin"", 0; ""ymax"", 1.01; ""highcolo"&amp;"r"", ""darkgreen""; ""lowcolor"", ""red""}), """")"),"")</f>
        <v/>
      </c>
      <c r="B599" s="17" t="str">
        <f t="shared" si="4"/>
        <v/>
      </c>
      <c r="C599" s="1" t="s">
        <v>2684</v>
      </c>
      <c r="D599" s="34" t="str">
        <f>IFERROR(__xludf.DUMMYFUNCTION("IFERROR(GOOGLEFINANCE(C599, ""NAME""))"),"HDFC Bank Ltd")</f>
        <v>HDFC Bank Ltd</v>
      </c>
      <c r="E599" s="30" t="s">
        <v>268</v>
      </c>
      <c r="F599" s="38" t="str">
        <f>IFERROR(__xludf.DUMMYFUNCTION("( (GOOGLEFINANCE(C599, ""price"") - Q599) / Q599 ) / (R599 / 100)"),"Loading...")</f>
        <v>Loading...</v>
      </c>
      <c r="G599" s="20" t="str">
        <f>IFERROR(__xludf.DUMMYFUNCTION("AVERAGE(ARRAYFORMULA(100 * (QUERY(GOOGLEFINANCE(C599, ""high"", TODAY()-40, TODAY()), ""SELECT Col2 WHERE Col2 IS NOT NULL ORDER BY Col1 DESC LIMIT 20"", 0) / QUERY(GOOGLEFINANCE(C599, ""low"", TODAY()-40, TODAY()), ""SELECT Col2 WHERE Col2 IS NOT NULL OR"&amp;"DER BY Col1 DESC LIMIT 20"", 0) - 1)))"),"#N/A")</f>
        <v>#N/A</v>
      </c>
      <c r="H599" s="35" t="str">
        <f t="shared" si="6"/>
        <v/>
      </c>
      <c r="I599" s="36" t="str">
        <f t="shared" si="7"/>
        <v/>
      </c>
      <c r="J599" s="37" t="str">
        <f>IFERROR(__xludf.DUMMYFUNCTION("IFERROR(
  IF(C599="""",, 
    IFERROR(
      GOOGLEFINANCE(C599, ""price"") * GOOGLEFINANCE(C599, ""volumeavg""), 
      GOOGLEFINANCE(C599, ""price"") * AVERAGE(QUERY(GOOGLEFINANCE(C599, ""volume"", TODAY()-40, TODAY()), ""SELECT Col2 WHERE Col2 IS NOT "&amp;"NULL ORDER BY Col1 DESC LIMIT 20"", 0))
    )
  ), 
"""")"),"")</f>
        <v/>
      </c>
      <c r="K599" s="21" t="str">
        <f>IFERROR(__xludf.DUMMYFUNCTION("IFERROR(GOOGLEFINANCE(C599, ""changepct"") / 100, """")"),"")</f>
        <v/>
      </c>
      <c r="L599" s="21" t="str">
        <f>IFERROR(__xludf.DUMMYFUNCTION("IFERROR((GOOGLEFINANCE(C599, ""price"") / INDEX(GOOGLEFINANCE(C599, ""price"", TODAY()-7, TODAY()), 2, 2)) - 1, """")"),"")</f>
        <v/>
      </c>
      <c r="M599" s="21" t="str">
        <f>IFERROR(__xludf.DUMMYFUNCTION("IFERROR((GOOGLEFINANCE(C599, ""price"") / INDEX(GOOGLEFINANCE(C599, ""price"", EDATE(TODAY(), -1), TODAY()), 2, 2)) - 1, """")"),"")</f>
        <v/>
      </c>
      <c r="N599" s="21" t="str">
        <f>IFERROR(__xludf.DUMMYFUNCTION("IFERROR((GOOGLEFINANCE(C599, ""price"") / INDEX(GOOGLEFINANCE(C599, ""price"", EDATE(TODAY(), -3), TODAY()), 2, 2)) - 1, """")"),"")</f>
        <v/>
      </c>
      <c r="O599" s="21" t="str">
        <f>IFERROR(__xludf.DUMMYFUNCTION("IFERROR((GOOGLEFINANCE(C599, ""price"") / INDEX(GOOGLEFINANCE(C599, ""price"", EDATE(TODAY(), -6), TODAY()), 2, 2)) - 1, """")"),"")</f>
        <v/>
      </c>
      <c r="P599" s="21" t="str">
        <f>IFERROR(__xludf.DUMMYFUNCTION("IFERROR((GOOGLEFINANCE(C599, ""price"") / INDEX(GOOGLEFINANCE(C599, ""price"", EDATE(TODAY(), -12), TODAY()), 2, 2)) - 1, """")"),"")</f>
        <v/>
      </c>
      <c r="Q599" s="6" t="str">
        <f>IFERROR(__xludf.DUMMYFUNCTION("AVERAGE(QUERY(GOOGLEFINANCE(C599, ""price"", TODAY()-80, TODAY()), ""SELECT Col2 WHERE Col2 IS NOT NULL ORDER BY Col1 DESC LIMIT 50"", 0))"),"#N/A")</f>
        <v>#N/A</v>
      </c>
      <c r="R599" s="24" t="str">
        <f>IFERROR(__xludf.DUMMYFUNCTION("IFERROR(
  LET(
    data, QUERY(GOOGLEFINANCE(C599,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GOOGLEFINANCE(C599, ""price"")) * 100,
    IF(calc=0, G599, calc)
  ), 
G599)"),"#N/A")</f>
        <v>#N/A</v>
      </c>
      <c r="S599" s="8" t="s">
        <v>15</v>
      </c>
      <c r="T599" s="26" t="str">
        <f>IFERROR(__xludf.DUMMYFUNCTION("IFERROR(TRANSPOSE(QUERY(IFERROR(SORT(GOOGLEFINANCE(C599, ""price"", WORKDAY(TODAY(), -40), TODAY()), 1, FALSE)), ""select Col2 where Col2 is not null limit 22 label Col2 ''"", 0)), """")"),"")</f>
        <v/>
      </c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8"/>
      <c r="AO599" s="28"/>
      <c r="AP599" s="29"/>
      <c r="AQ599" s="29" t="str">
        <f t="shared" ref="AQ599:BL599" si="602">T599/T$2</f>
        <v>#N/A</v>
      </c>
      <c r="AR599" s="29" t="str">
        <f t="shared" si="602"/>
        <v>#DIV/0!</v>
      </c>
      <c r="AS599" s="29" t="str">
        <f t="shared" si="602"/>
        <v>#DIV/0!</v>
      </c>
      <c r="AT599" s="29" t="str">
        <f t="shared" si="602"/>
        <v>#DIV/0!</v>
      </c>
      <c r="AU599" s="29" t="str">
        <f t="shared" si="602"/>
        <v>#DIV/0!</v>
      </c>
      <c r="AV599" s="29" t="str">
        <f t="shared" si="602"/>
        <v>#DIV/0!</v>
      </c>
      <c r="AW599" s="29" t="str">
        <f t="shared" si="602"/>
        <v>#DIV/0!</v>
      </c>
      <c r="AX599" s="29" t="str">
        <f t="shared" si="602"/>
        <v>#DIV/0!</v>
      </c>
      <c r="AY599" s="29" t="str">
        <f t="shared" si="602"/>
        <v>#DIV/0!</v>
      </c>
      <c r="AZ599" s="29" t="str">
        <f t="shared" si="602"/>
        <v>#DIV/0!</v>
      </c>
      <c r="BA599" s="29" t="str">
        <f t="shared" si="602"/>
        <v>#DIV/0!</v>
      </c>
      <c r="BB599" s="29" t="str">
        <f t="shared" si="602"/>
        <v>#DIV/0!</v>
      </c>
      <c r="BC599" s="29" t="str">
        <f t="shared" si="602"/>
        <v>#DIV/0!</v>
      </c>
      <c r="BD599" s="29" t="str">
        <f t="shared" si="602"/>
        <v>#DIV/0!</v>
      </c>
      <c r="BE599" s="29" t="str">
        <f t="shared" si="602"/>
        <v>#DIV/0!</v>
      </c>
      <c r="BF599" s="29" t="str">
        <f t="shared" si="602"/>
        <v>#DIV/0!</v>
      </c>
      <c r="BG599" s="29" t="str">
        <f t="shared" si="602"/>
        <v>#DIV/0!</v>
      </c>
      <c r="BH599" s="29" t="str">
        <f t="shared" si="602"/>
        <v>#DIV/0!</v>
      </c>
      <c r="BI599" s="29" t="str">
        <f t="shared" si="602"/>
        <v>#DIV/0!</v>
      </c>
      <c r="BJ599" s="29" t="str">
        <f t="shared" si="602"/>
        <v>#DIV/0!</v>
      </c>
      <c r="BK599" s="29" t="str">
        <f t="shared" si="602"/>
        <v>#DIV/0!</v>
      </c>
      <c r="BL599" s="29" t="str">
        <f t="shared" si="602"/>
        <v>#DIV/0!</v>
      </c>
      <c r="BM599" s="29" t="str">
        <f t="shared" si="3"/>
        <v>#DIV/0!</v>
      </c>
    </row>
    <row r="600">
      <c r="A600" s="16" t="str">
        <f>IFERROR(__xludf.DUMMYFUNCTION("IFERROR(SPARKLINE(SORT(MAP(TRANSPOSE(AQ600:BL600), LAMBDA(val, IF(ISNUMBER(val), PERCENTRANK(AQ600:BL600, val)+0.01, 0))), SEQUENCE(COLUMNS(AQ600:BL600)), FALSE), {""charttype"",""column""; ""color"",""chartreuse""; ""ymin"", 0; ""ymax"", 1.01; ""highcolo"&amp;"r"", ""darkgreen""; ""lowcolor"", ""red""}), """")"),"")</f>
        <v/>
      </c>
      <c r="B600" s="17" t="str">
        <f t="shared" si="4"/>
        <v/>
      </c>
      <c r="C600" s="1" t="s">
        <v>2687</v>
      </c>
      <c r="D600" s="34" t="str">
        <f>IFERROR(__xludf.DUMMYFUNCTION("IFERROR(GOOGLEFINANCE(C600, ""NAME""))"),"Merchants Bancorp")</f>
        <v>Merchants Bancorp</v>
      </c>
      <c r="E600" s="30" t="s">
        <v>268</v>
      </c>
      <c r="F600" s="33" t="str">
        <f>IFERROR(__xludf.DUMMYFUNCTION("( (GOOGLEFINANCE(C600, ""price"") - Q600) / Q600 ) / (R600 / 100)"),"Loading...")</f>
        <v>Loading...</v>
      </c>
      <c r="G600" s="20" t="str">
        <f>IFERROR(__xludf.DUMMYFUNCTION("AVERAGE(ARRAYFORMULA(100 * (QUERY(GOOGLEFINANCE(C600, ""high"", TODAY()-40, TODAY()), ""SELECT Col2 WHERE Col2 IS NOT NULL ORDER BY Col1 DESC LIMIT 20"", 0) / QUERY(GOOGLEFINANCE(C600, ""low"", TODAY()-40, TODAY()), ""SELECT Col2 WHERE Col2 IS NOT NULL OR"&amp;"DER BY Col1 DESC LIMIT 20"", 0) - 1)))"),"#N/A")</f>
        <v>#N/A</v>
      </c>
      <c r="H600" s="35" t="str">
        <f t="shared" si="6"/>
        <v/>
      </c>
      <c r="I600" s="36" t="str">
        <f t="shared" si="7"/>
        <v/>
      </c>
      <c r="J600" s="37" t="str">
        <f>IFERROR(__xludf.DUMMYFUNCTION("IFERROR(
  IF(C600="""",, 
    IFERROR(
      GOOGLEFINANCE(C600, ""price"") * GOOGLEFINANCE(C600, ""volumeavg""), 
      GOOGLEFINANCE(C600, ""price"") * AVERAGE(QUERY(GOOGLEFINANCE(C600, ""volume"", TODAY()-40, TODAY()), ""SELECT Col2 WHERE Col2 IS NOT "&amp;"NULL ORDER BY Col1 DESC LIMIT 20"", 0))
    )
  ), 
"""")"),"")</f>
        <v/>
      </c>
      <c r="K600" s="21" t="str">
        <f>IFERROR(__xludf.DUMMYFUNCTION("IFERROR(GOOGLEFINANCE(C600, ""changepct"") / 100, """")"),"")</f>
        <v/>
      </c>
      <c r="L600" s="21" t="str">
        <f>IFERROR(__xludf.DUMMYFUNCTION("IFERROR((GOOGLEFINANCE(C600, ""price"") / INDEX(GOOGLEFINANCE(C600, ""price"", TODAY()-7, TODAY()), 2, 2)) - 1, """")"),"")</f>
        <v/>
      </c>
      <c r="M600" s="21" t="str">
        <f>IFERROR(__xludf.DUMMYFUNCTION("IFERROR((GOOGLEFINANCE(C600, ""price"") / INDEX(GOOGLEFINANCE(C600, ""price"", EDATE(TODAY(), -1), TODAY()), 2, 2)) - 1, """")"),"")</f>
        <v/>
      </c>
      <c r="N600" s="21" t="str">
        <f>IFERROR(__xludf.DUMMYFUNCTION("IFERROR((GOOGLEFINANCE(C600, ""price"") / INDEX(GOOGLEFINANCE(C600, ""price"", EDATE(TODAY(), -3), TODAY()), 2, 2)) - 1, """")"),"")</f>
        <v/>
      </c>
      <c r="O600" s="21" t="str">
        <f>IFERROR(__xludf.DUMMYFUNCTION("IFERROR((GOOGLEFINANCE(C600, ""price"") / INDEX(GOOGLEFINANCE(C600, ""price"", EDATE(TODAY(), -6), TODAY()), 2, 2)) - 1, """")"),"")</f>
        <v/>
      </c>
      <c r="P600" s="21" t="str">
        <f>IFERROR(__xludf.DUMMYFUNCTION("IFERROR((GOOGLEFINANCE(C600, ""price"") / INDEX(GOOGLEFINANCE(C600, ""price"", EDATE(TODAY(), -12), TODAY()), 2, 2)) - 1, """")"),"")</f>
        <v/>
      </c>
      <c r="Q600" s="6" t="str">
        <f>IFERROR(__xludf.DUMMYFUNCTION("AVERAGE(QUERY(GOOGLEFINANCE(C600, ""price"", TODAY()-80, TODAY()), ""SELECT Col2 WHERE Col2 IS NOT NULL ORDER BY Col1 DESC LIMIT 50"", 0))"),"#N/A")</f>
        <v>#N/A</v>
      </c>
      <c r="R600" s="24" t="str">
        <f>IFERROR(__xludf.DUMMYFUNCTION("IFERROR(
  LET(
    data, QUERY(GOOGLEFINANCE(C600,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GOOGLEFINANCE(C600, ""price"")) * 100,
    IF(calc=0, G600, calc)
  ), 
G600)"),"#N/A")</f>
        <v>#N/A</v>
      </c>
      <c r="S600" s="8" t="s">
        <v>15</v>
      </c>
      <c r="T600" s="26" t="str">
        <f>IFERROR(__xludf.DUMMYFUNCTION("IFERROR(TRANSPOSE(QUERY(IFERROR(SORT(GOOGLEFINANCE(C600, ""price"", WORKDAY(TODAY(), -40), TODAY()), 1, FALSE)), ""select Col2 where Col2 is not null limit 22 label Col2 ''"", 0)), """")"),"")</f>
        <v/>
      </c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8"/>
      <c r="AO600" s="28"/>
      <c r="AP600" s="29"/>
      <c r="AQ600" s="29" t="str">
        <f t="shared" ref="AQ600:BL600" si="603">T600/T$2</f>
        <v>#N/A</v>
      </c>
      <c r="AR600" s="29" t="str">
        <f t="shared" si="603"/>
        <v>#DIV/0!</v>
      </c>
      <c r="AS600" s="29" t="str">
        <f t="shared" si="603"/>
        <v>#DIV/0!</v>
      </c>
      <c r="AT600" s="29" t="str">
        <f t="shared" si="603"/>
        <v>#DIV/0!</v>
      </c>
      <c r="AU600" s="29" t="str">
        <f t="shared" si="603"/>
        <v>#DIV/0!</v>
      </c>
      <c r="AV600" s="29" t="str">
        <f t="shared" si="603"/>
        <v>#DIV/0!</v>
      </c>
      <c r="AW600" s="29" t="str">
        <f t="shared" si="603"/>
        <v>#DIV/0!</v>
      </c>
      <c r="AX600" s="29" t="str">
        <f t="shared" si="603"/>
        <v>#DIV/0!</v>
      </c>
      <c r="AY600" s="29" t="str">
        <f t="shared" si="603"/>
        <v>#DIV/0!</v>
      </c>
      <c r="AZ600" s="29" t="str">
        <f t="shared" si="603"/>
        <v>#DIV/0!</v>
      </c>
      <c r="BA600" s="29" t="str">
        <f t="shared" si="603"/>
        <v>#DIV/0!</v>
      </c>
      <c r="BB600" s="29" t="str">
        <f t="shared" si="603"/>
        <v>#DIV/0!</v>
      </c>
      <c r="BC600" s="29" t="str">
        <f t="shared" si="603"/>
        <v>#DIV/0!</v>
      </c>
      <c r="BD600" s="29" t="str">
        <f t="shared" si="603"/>
        <v>#DIV/0!</v>
      </c>
      <c r="BE600" s="29" t="str">
        <f t="shared" si="603"/>
        <v>#DIV/0!</v>
      </c>
      <c r="BF600" s="29" t="str">
        <f t="shared" si="603"/>
        <v>#DIV/0!</v>
      </c>
      <c r="BG600" s="29" t="str">
        <f t="shared" si="603"/>
        <v>#DIV/0!</v>
      </c>
      <c r="BH600" s="29" t="str">
        <f t="shared" si="603"/>
        <v>#DIV/0!</v>
      </c>
      <c r="BI600" s="29" t="str">
        <f t="shared" si="603"/>
        <v>#DIV/0!</v>
      </c>
      <c r="BJ600" s="29" t="str">
        <f t="shared" si="603"/>
        <v>#DIV/0!</v>
      </c>
      <c r="BK600" s="29" t="str">
        <f t="shared" si="603"/>
        <v>#DIV/0!</v>
      </c>
      <c r="BL600" s="29" t="str">
        <f t="shared" si="603"/>
        <v>#DIV/0!</v>
      </c>
      <c r="BM600" s="29" t="str">
        <f t="shared" si="3"/>
        <v>#DIV/0!</v>
      </c>
    </row>
    <row r="601">
      <c r="A601" s="16" t="str">
        <f>IFERROR(__xludf.DUMMYFUNCTION("IFERROR(SPARKLINE(SORT(MAP(TRANSPOSE(AQ601:BL601), LAMBDA(val, IF(ISNUMBER(val), PERCENTRANK(AQ601:BL601, val)+0.01, 0))), SEQUENCE(COLUMNS(AQ601:BL601)), FALSE), {""charttype"",""column""; ""color"",""chartreuse""; ""ymin"", 0; ""ymax"", 1.01; ""highcolo"&amp;"r"", ""darkgreen""; ""lowcolor"", ""red""}), """")"),"")</f>
        <v/>
      </c>
      <c r="B601" s="17" t="str">
        <f t="shared" si="4"/>
        <v/>
      </c>
      <c r="C601" s="1" t="s">
        <v>2690</v>
      </c>
      <c r="D601" s="34" t="str">
        <f>IFERROR(__xludf.DUMMYFUNCTION("IFERROR(GOOGLEFINANCE(C601, ""NAME""))"),"")</f>
        <v/>
      </c>
      <c r="E601" s="30" t="s">
        <v>268</v>
      </c>
      <c r="F601" s="33" t="str">
        <f>IFERROR(__xludf.DUMMYFUNCTION("( (GOOGLEFINANCE(C601, ""price"") - Q601) / Q601 ) / (R601 / 100)"),"Loading...")</f>
        <v>Loading...</v>
      </c>
      <c r="G601" s="20" t="str">
        <f>IFERROR(__xludf.DUMMYFUNCTION("AVERAGE(ARRAYFORMULA(100 * (QUERY(GOOGLEFINANCE(C601, ""high"", TODAY()-40, TODAY()), ""SELECT Col2 WHERE Col2 IS NOT NULL ORDER BY Col1 DESC LIMIT 20"", 0) / QUERY(GOOGLEFINANCE(C601, ""low"", TODAY()-40, TODAY()), ""SELECT Col2 WHERE Col2 IS NOT NULL OR"&amp;"DER BY Col1 DESC LIMIT 20"", 0) - 1)))"),"#N/A")</f>
        <v>#N/A</v>
      </c>
      <c r="H601" s="35" t="str">
        <f t="shared" si="6"/>
        <v/>
      </c>
      <c r="I601" s="36" t="str">
        <f t="shared" si="7"/>
        <v/>
      </c>
      <c r="J601" s="37" t="str">
        <f>IFERROR(__xludf.DUMMYFUNCTION("IFERROR(
  IF(C601="""",, 
    IFERROR(
      GOOGLEFINANCE(C601, ""price"") * GOOGLEFINANCE(C601, ""volumeavg""), 
      GOOGLEFINANCE(C601, ""price"") * AVERAGE(QUERY(GOOGLEFINANCE(C601, ""volume"", TODAY()-40, TODAY()), ""SELECT Col2 WHERE Col2 IS NOT "&amp;"NULL ORDER BY Col1 DESC LIMIT 20"", 0))
    )
  ), 
"""")"),"")</f>
        <v/>
      </c>
      <c r="K601" s="21" t="str">
        <f>IFERROR(__xludf.DUMMYFUNCTION("IFERROR(GOOGLEFINANCE(C601, ""changepct"") / 100, """")"),"")</f>
        <v/>
      </c>
      <c r="L601" s="21" t="str">
        <f>IFERROR(__xludf.DUMMYFUNCTION("IFERROR((GOOGLEFINANCE(C601, ""price"") / INDEX(GOOGLEFINANCE(C601, ""price"", TODAY()-7, TODAY()), 2, 2)) - 1, """")"),"")</f>
        <v/>
      </c>
      <c r="M601" s="21" t="str">
        <f>IFERROR(__xludf.DUMMYFUNCTION("IFERROR((GOOGLEFINANCE(C601, ""price"") / INDEX(GOOGLEFINANCE(C601, ""price"", EDATE(TODAY(), -1), TODAY()), 2, 2)) - 1, """")"),"")</f>
        <v/>
      </c>
      <c r="N601" s="21" t="str">
        <f>IFERROR(__xludf.DUMMYFUNCTION("IFERROR((GOOGLEFINANCE(C601, ""price"") / INDEX(GOOGLEFINANCE(C601, ""price"", EDATE(TODAY(), -3), TODAY()), 2, 2)) - 1, """")"),"")</f>
        <v/>
      </c>
      <c r="O601" s="21" t="str">
        <f>IFERROR(__xludf.DUMMYFUNCTION("IFERROR((GOOGLEFINANCE(C601, ""price"") / INDEX(GOOGLEFINANCE(C601, ""price"", EDATE(TODAY(), -6), TODAY()), 2, 2)) - 1, """")"),"")</f>
        <v/>
      </c>
      <c r="P601" s="21" t="str">
        <f>IFERROR(__xludf.DUMMYFUNCTION("IFERROR((GOOGLEFINANCE(C601, ""price"") / INDEX(GOOGLEFINANCE(C601, ""price"", EDATE(TODAY(), -12), TODAY()), 2, 2)) - 1, """")"),"")</f>
        <v/>
      </c>
      <c r="Q601" s="6" t="str">
        <f>IFERROR(__xludf.DUMMYFUNCTION("AVERAGE(QUERY(GOOGLEFINANCE(C601, ""price"", TODAY()-80, TODAY()), ""SELECT Col2 WHERE Col2 IS NOT NULL ORDER BY Col1 DESC LIMIT 50"", 0))"),"#N/A")</f>
        <v>#N/A</v>
      </c>
      <c r="R601" s="24" t="str">
        <f>IFERROR(__xludf.DUMMYFUNCTION("IFERROR(
  LET(
    data, QUERY(GOOGLEFINANCE(C601,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GOOGLEFINANCE(C601, ""price"")) * 100,
    IF(calc=0, G601, calc)
  ), 
G601)"),"#N/A")</f>
        <v>#N/A</v>
      </c>
      <c r="S601" s="8" t="s">
        <v>15</v>
      </c>
      <c r="T601" s="26" t="str">
        <f>IFERROR(__xludf.DUMMYFUNCTION("IFERROR(TRANSPOSE(QUERY(IFERROR(SORT(GOOGLEFINANCE(C601, ""price"", WORKDAY(TODAY(), -40), TODAY()), 1, FALSE)), ""select Col2 where Col2 is not null limit 22 label Col2 ''"", 0)), """")"),"")</f>
        <v/>
      </c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8"/>
      <c r="AO601" s="28"/>
      <c r="AP601" s="29"/>
      <c r="AQ601" s="29" t="str">
        <f t="shared" ref="AQ601:BL601" si="604">T601/T$2</f>
        <v>#N/A</v>
      </c>
      <c r="AR601" s="29" t="str">
        <f t="shared" si="604"/>
        <v>#DIV/0!</v>
      </c>
      <c r="AS601" s="29" t="str">
        <f t="shared" si="604"/>
        <v>#DIV/0!</v>
      </c>
      <c r="AT601" s="29" t="str">
        <f t="shared" si="604"/>
        <v>#DIV/0!</v>
      </c>
      <c r="AU601" s="29" t="str">
        <f t="shared" si="604"/>
        <v>#DIV/0!</v>
      </c>
      <c r="AV601" s="29" t="str">
        <f t="shared" si="604"/>
        <v>#DIV/0!</v>
      </c>
      <c r="AW601" s="29" t="str">
        <f t="shared" si="604"/>
        <v>#DIV/0!</v>
      </c>
      <c r="AX601" s="29" t="str">
        <f t="shared" si="604"/>
        <v>#DIV/0!</v>
      </c>
      <c r="AY601" s="29" t="str">
        <f t="shared" si="604"/>
        <v>#DIV/0!</v>
      </c>
      <c r="AZ601" s="29" t="str">
        <f t="shared" si="604"/>
        <v>#DIV/0!</v>
      </c>
      <c r="BA601" s="29" t="str">
        <f t="shared" si="604"/>
        <v>#DIV/0!</v>
      </c>
      <c r="BB601" s="29" t="str">
        <f t="shared" si="604"/>
        <v>#DIV/0!</v>
      </c>
      <c r="BC601" s="29" t="str">
        <f t="shared" si="604"/>
        <v>#DIV/0!</v>
      </c>
      <c r="BD601" s="29" t="str">
        <f t="shared" si="604"/>
        <v>#DIV/0!</v>
      </c>
      <c r="BE601" s="29" t="str">
        <f t="shared" si="604"/>
        <v>#DIV/0!</v>
      </c>
      <c r="BF601" s="29" t="str">
        <f t="shared" si="604"/>
        <v>#DIV/0!</v>
      </c>
      <c r="BG601" s="29" t="str">
        <f t="shared" si="604"/>
        <v>#DIV/0!</v>
      </c>
      <c r="BH601" s="29" t="str">
        <f t="shared" si="604"/>
        <v>#DIV/0!</v>
      </c>
      <c r="BI601" s="29" t="str">
        <f t="shared" si="604"/>
        <v>#DIV/0!</v>
      </c>
      <c r="BJ601" s="29" t="str">
        <f t="shared" si="604"/>
        <v>#DIV/0!</v>
      </c>
      <c r="BK601" s="29" t="str">
        <f t="shared" si="604"/>
        <v>#DIV/0!</v>
      </c>
      <c r="BL601" s="29" t="str">
        <f t="shared" si="604"/>
        <v>#DIV/0!</v>
      </c>
      <c r="BM601" s="29" t="str">
        <f t="shared" si="3"/>
        <v>#DIV/0!</v>
      </c>
    </row>
    <row r="602">
      <c r="A602" s="16" t="str">
        <f>IFERROR(__xludf.DUMMYFUNCTION("IFERROR(SPARKLINE(SORT(MAP(TRANSPOSE(AQ602:BL602), LAMBDA(val, IF(ISNUMBER(val), PERCENTRANK(AQ602:BL602, val)+0.01, 0))), SEQUENCE(COLUMNS(AQ602:BL602)), FALSE), {""charttype"",""column""; ""color"",""chartreuse""; ""ymin"", 0; ""ymax"", 1.01; ""highcolo"&amp;"r"", ""darkgreen""; ""lowcolor"", ""red""}), """")"),"")</f>
        <v/>
      </c>
      <c r="B602" s="17" t="str">
        <f t="shared" si="4"/>
        <v/>
      </c>
      <c r="C602" s="1" t="s">
        <v>2695</v>
      </c>
      <c r="D602" s="34" t="str">
        <f>IFERROR(__xludf.DUMMYFUNCTION("IFERROR(GOOGLEFINANCE(C602, ""NAME""))"),"First Horizon Corp")</f>
        <v>First Horizon Corp</v>
      </c>
      <c r="E602" s="30" t="s">
        <v>268</v>
      </c>
      <c r="F602" s="33" t="str">
        <f>IFERROR(__xludf.DUMMYFUNCTION("( (GOOGLEFINANCE(C602, ""price"") - Q602) / Q602 ) / (R602 / 100)"),"Loading...")</f>
        <v>Loading...</v>
      </c>
      <c r="G602" s="20" t="str">
        <f>IFERROR(__xludf.DUMMYFUNCTION("AVERAGE(ARRAYFORMULA(100 * (QUERY(GOOGLEFINANCE(C602, ""high"", TODAY()-40, TODAY()), ""SELECT Col2 WHERE Col2 IS NOT NULL ORDER BY Col1 DESC LIMIT 20"", 0) / QUERY(GOOGLEFINANCE(C602, ""low"", TODAY()-40, TODAY()), ""SELECT Col2 WHERE Col2 IS NOT NULL OR"&amp;"DER BY Col1 DESC LIMIT 20"", 0) - 1)))"),"#N/A")</f>
        <v>#N/A</v>
      </c>
      <c r="H602" s="35" t="str">
        <f t="shared" si="6"/>
        <v/>
      </c>
      <c r="I602" s="36" t="str">
        <f t="shared" si="7"/>
        <v/>
      </c>
      <c r="J602" s="37" t="str">
        <f>IFERROR(__xludf.DUMMYFUNCTION("IFERROR(
  IF(C602="""",, 
    IFERROR(
      GOOGLEFINANCE(C602, ""price"") * GOOGLEFINANCE(C602, ""volumeavg""), 
      GOOGLEFINANCE(C602, ""price"") * AVERAGE(QUERY(GOOGLEFINANCE(C602, ""volume"", TODAY()-40, TODAY()), ""SELECT Col2 WHERE Col2 IS NOT "&amp;"NULL ORDER BY Col1 DESC LIMIT 20"", 0))
    )
  ), 
"""")"),"")</f>
        <v/>
      </c>
      <c r="K602" s="21" t="str">
        <f>IFERROR(__xludf.DUMMYFUNCTION("IFERROR(GOOGLEFINANCE(C602, ""changepct"") / 100, """")"),"")</f>
        <v/>
      </c>
      <c r="L602" s="21" t="str">
        <f>IFERROR(__xludf.DUMMYFUNCTION("IFERROR((GOOGLEFINANCE(C602, ""price"") / INDEX(GOOGLEFINANCE(C602, ""price"", TODAY()-7, TODAY()), 2, 2)) - 1, """")"),"")</f>
        <v/>
      </c>
      <c r="M602" s="21" t="str">
        <f>IFERROR(__xludf.DUMMYFUNCTION("IFERROR((GOOGLEFINANCE(C602, ""price"") / INDEX(GOOGLEFINANCE(C602, ""price"", EDATE(TODAY(), -1), TODAY()), 2, 2)) - 1, """")"),"")</f>
        <v/>
      </c>
      <c r="N602" s="21" t="str">
        <f>IFERROR(__xludf.DUMMYFUNCTION("IFERROR((GOOGLEFINANCE(C602, ""price"") / INDEX(GOOGLEFINANCE(C602, ""price"", EDATE(TODAY(), -3), TODAY()), 2, 2)) - 1, """")"),"")</f>
        <v/>
      </c>
      <c r="O602" s="21" t="str">
        <f>IFERROR(__xludf.DUMMYFUNCTION("IFERROR((GOOGLEFINANCE(C602, ""price"") / INDEX(GOOGLEFINANCE(C602, ""price"", EDATE(TODAY(), -6), TODAY()), 2, 2)) - 1, """")"),"")</f>
        <v/>
      </c>
      <c r="P602" s="21" t="str">
        <f>IFERROR(__xludf.DUMMYFUNCTION("IFERROR((GOOGLEFINANCE(C602, ""price"") / INDEX(GOOGLEFINANCE(C602, ""price"", EDATE(TODAY(), -12), TODAY()), 2, 2)) - 1, """")"),"")</f>
        <v/>
      </c>
      <c r="Q602" s="6" t="str">
        <f>IFERROR(__xludf.DUMMYFUNCTION("AVERAGE(QUERY(GOOGLEFINANCE(C602, ""price"", TODAY()-80, TODAY()), ""SELECT Col2 WHERE Col2 IS NOT NULL ORDER BY Col1 DESC LIMIT 50"", 0))"),"#N/A")</f>
        <v>#N/A</v>
      </c>
      <c r="R602" s="24" t="str">
        <f>IFERROR(__xludf.DUMMYFUNCTION("IFERROR(
  LET(
    data, QUERY(GOOGLEFINANCE(C602,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GOOGLEFINANCE(C602, ""price"")) * 100,
    IF(calc=0, G602, calc)
  ), 
G602)"),"#N/A")</f>
        <v>#N/A</v>
      </c>
      <c r="S602" s="8" t="s">
        <v>15</v>
      </c>
      <c r="T602" s="26" t="str">
        <f>IFERROR(__xludf.DUMMYFUNCTION("IFERROR(TRANSPOSE(QUERY(IFERROR(SORT(GOOGLEFINANCE(C602, ""price"", WORKDAY(TODAY(), -40), TODAY()), 1, FALSE)), ""select Col2 where Col2 is not null limit 22 label Col2 ''"", 0)), """")"),"")</f>
        <v/>
      </c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8"/>
      <c r="AO602" s="28"/>
      <c r="AP602" s="29"/>
      <c r="AQ602" s="29" t="str">
        <f t="shared" ref="AQ602:BL602" si="605">T602/T$2</f>
        <v>#N/A</v>
      </c>
      <c r="AR602" s="29" t="str">
        <f t="shared" si="605"/>
        <v>#DIV/0!</v>
      </c>
      <c r="AS602" s="29" t="str">
        <f t="shared" si="605"/>
        <v>#DIV/0!</v>
      </c>
      <c r="AT602" s="29" t="str">
        <f t="shared" si="605"/>
        <v>#DIV/0!</v>
      </c>
      <c r="AU602" s="29" t="str">
        <f t="shared" si="605"/>
        <v>#DIV/0!</v>
      </c>
      <c r="AV602" s="29" t="str">
        <f t="shared" si="605"/>
        <v>#DIV/0!</v>
      </c>
      <c r="AW602" s="29" t="str">
        <f t="shared" si="605"/>
        <v>#DIV/0!</v>
      </c>
      <c r="AX602" s="29" t="str">
        <f t="shared" si="605"/>
        <v>#DIV/0!</v>
      </c>
      <c r="AY602" s="29" t="str">
        <f t="shared" si="605"/>
        <v>#DIV/0!</v>
      </c>
      <c r="AZ602" s="29" t="str">
        <f t="shared" si="605"/>
        <v>#DIV/0!</v>
      </c>
      <c r="BA602" s="29" t="str">
        <f t="shared" si="605"/>
        <v>#DIV/0!</v>
      </c>
      <c r="BB602" s="29" t="str">
        <f t="shared" si="605"/>
        <v>#DIV/0!</v>
      </c>
      <c r="BC602" s="29" t="str">
        <f t="shared" si="605"/>
        <v>#DIV/0!</v>
      </c>
      <c r="BD602" s="29" t="str">
        <f t="shared" si="605"/>
        <v>#DIV/0!</v>
      </c>
      <c r="BE602" s="29" t="str">
        <f t="shared" si="605"/>
        <v>#DIV/0!</v>
      </c>
      <c r="BF602" s="29" t="str">
        <f t="shared" si="605"/>
        <v>#DIV/0!</v>
      </c>
      <c r="BG602" s="29" t="str">
        <f t="shared" si="605"/>
        <v>#DIV/0!</v>
      </c>
      <c r="BH602" s="29" t="str">
        <f t="shared" si="605"/>
        <v>#DIV/0!</v>
      </c>
      <c r="BI602" s="29" t="str">
        <f t="shared" si="605"/>
        <v>#DIV/0!</v>
      </c>
      <c r="BJ602" s="29" t="str">
        <f t="shared" si="605"/>
        <v>#DIV/0!</v>
      </c>
      <c r="BK602" s="29" t="str">
        <f t="shared" si="605"/>
        <v>#DIV/0!</v>
      </c>
      <c r="BL602" s="29" t="str">
        <f t="shared" si="605"/>
        <v>#DIV/0!</v>
      </c>
      <c r="BM602" s="29" t="str">
        <f t="shared" si="3"/>
        <v>#DIV/0!</v>
      </c>
    </row>
    <row r="603">
      <c r="A603" s="16" t="str">
        <f>IFERROR(__xludf.DUMMYFUNCTION("IFERROR(SPARKLINE(SORT(MAP(TRANSPOSE(AQ603:BL603), LAMBDA(val, IF(ISNUMBER(val), PERCENTRANK(AQ603:BL603, val)+0.01, 0))), SEQUENCE(COLUMNS(AQ603:BL603)), FALSE), {""charttype"",""column""; ""color"",""chartreuse""; ""ymin"", 0; ""ymax"", 1.01; ""highcolo"&amp;"r"", ""darkgreen""; ""lowcolor"", ""red""}), """")"),"")</f>
        <v/>
      </c>
      <c r="B603" s="17" t="str">
        <f t="shared" si="4"/>
        <v/>
      </c>
      <c r="C603" s="1" t="s">
        <v>2700</v>
      </c>
      <c r="D603" s="34" t="str">
        <f>IFERROR(__xludf.DUMMYFUNCTION("IFERROR(GOOGLEFINANCE(C603, ""NAME""))"),"Stellus Capital Investment Corp")</f>
        <v>Stellus Capital Investment Corp</v>
      </c>
      <c r="E603" s="30" t="s">
        <v>64</v>
      </c>
      <c r="F603" s="33" t="str">
        <f>IFERROR(__xludf.DUMMYFUNCTION("( (GOOGLEFINANCE(C603, ""price"") - Q603) / Q603 ) / (R603 / 100)"),"Loading...")</f>
        <v>Loading...</v>
      </c>
      <c r="G603" s="20" t="str">
        <f>IFERROR(__xludf.DUMMYFUNCTION("AVERAGE(ARRAYFORMULA(100 * (QUERY(GOOGLEFINANCE(C603, ""high"", TODAY()-40, TODAY()), ""SELECT Col2 WHERE Col2 IS NOT NULL ORDER BY Col1 DESC LIMIT 20"", 0) / QUERY(GOOGLEFINANCE(C603, ""low"", TODAY()-40, TODAY()), ""SELECT Col2 WHERE Col2 IS NOT NULL OR"&amp;"DER BY Col1 DESC LIMIT 20"", 0) - 1)))"),"#N/A")</f>
        <v>#N/A</v>
      </c>
      <c r="H603" s="35" t="str">
        <f t="shared" si="6"/>
        <v/>
      </c>
      <c r="I603" s="36" t="str">
        <f t="shared" si="7"/>
        <v/>
      </c>
      <c r="J603" s="37" t="str">
        <f>IFERROR(__xludf.DUMMYFUNCTION("IFERROR(
  IF(C603="""",, 
    IFERROR(
      GOOGLEFINANCE(C603, ""price"") * GOOGLEFINANCE(C603, ""volumeavg""), 
      GOOGLEFINANCE(C603, ""price"") * AVERAGE(QUERY(GOOGLEFINANCE(C603, ""volume"", TODAY()-40, TODAY()), ""SELECT Col2 WHERE Col2 IS NOT "&amp;"NULL ORDER BY Col1 DESC LIMIT 20"", 0))
    )
  ), 
"""")"),"")</f>
        <v/>
      </c>
      <c r="K603" s="21" t="str">
        <f>IFERROR(__xludf.DUMMYFUNCTION("IFERROR(GOOGLEFINANCE(C603, ""changepct"") / 100, """")"),"")</f>
        <v/>
      </c>
      <c r="L603" s="21" t="str">
        <f>IFERROR(__xludf.DUMMYFUNCTION("IFERROR((GOOGLEFINANCE(C603, ""price"") / INDEX(GOOGLEFINANCE(C603, ""price"", TODAY()-7, TODAY()), 2, 2)) - 1, """")"),"")</f>
        <v/>
      </c>
      <c r="M603" s="21" t="str">
        <f>IFERROR(__xludf.DUMMYFUNCTION("IFERROR((GOOGLEFINANCE(C603, ""price"") / INDEX(GOOGLEFINANCE(C603, ""price"", EDATE(TODAY(), -1), TODAY()), 2, 2)) - 1, """")"),"")</f>
        <v/>
      </c>
      <c r="N603" s="21" t="str">
        <f>IFERROR(__xludf.DUMMYFUNCTION("IFERROR((GOOGLEFINANCE(C603, ""price"") / INDEX(GOOGLEFINANCE(C603, ""price"", EDATE(TODAY(), -3), TODAY()), 2, 2)) - 1, """")"),"")</f>
        <v/>
      </c>
      <c r="O603" s="21" t="str">
        <f>IFERROR(__xludf.DUMMYFUNCTION("IFERROR((GOOGLEFINANCE(C603, ""price"") / INDEX(GOOGLEFINANCE(C603, ""price"", EDATE(TODAY(), -6), TODAY()), 2, 2)) - 1, """")"),"")</f>
        <v/>
      </c>
      <c r="P603" s="21" t="str">
        <f>IFERROR(__xludf.DUMMYFUNCTION("IFERROR((GOOGLEFINANCE(C603, ""price"") / INDEX(GOOGLEFINANCE(C603, ""price"", EDATE(TODAY(), -12), TODAY()), 2, 2)) - 1, """")"),"")</f>
        <v/>
      </c>
      <c r="Q603" s="6" t="str">
        <f>IFERROR(__xludf.DUMMYFUNCTION("AVERAGE(QUERY(GOOGLEFINANCE(C603, ""price"", TODAY()-80, TODAY()), ""SELECT Col2 WHERE Col2 IS NOT NULL ORDER BY Col1 DESC LIMIT 50"", 0))"),"#N/A")</f>
        <v>#N/A</v>
      </c>
      <c r="R603" s="24" t="str">
        <f>IFERROR(__xludf.DUMMYFUNCTION("IFERROR(
  LET(
    data, QUERY(GOOGLEFINANCE(C603,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GOOGLEFINANCE(C603, ""price"")) * 100,
    IF(calc=0, G603, calc)
  ), 
G603)"),"#N/A")</f>
        <v>#N/A</v>
      </c>
      <c r="S603" s="8" t="s">
        <v>15</v>
      </c>
      <c r="T603" s="26" t="str">
        <f>IFERROR(__xludf.DUMMYFUNCTION("IFERROR(TRANSPOSE(QUERY(IFERROR(SORT(GOOGLEFINANCE(C603, ""price"", WORKDAY(TODAY(), -40), TODAY()), 1, FALSE)), ""select Col2 where Col2 is not null limit 22 label Col2 ''"", 0)), """")"),"")</f>
        <v/>
      </c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8"/>
      <c r="AO603" s="28"/>
      <c r="AP603" s="29"/>
      <c r="AQ603" s="29" t="str">
        <f t="shared" ref="AQ603:BL603" si="606">T603/T$2</f>
        <v>#N/A</v>
      </c>
      <c r="AR603" s="29" t="str">
        <f t="shared" si="606"/>
        <v>#DIV/0!</v>
      </c>
      <c r="AS603" s="29" t="str">
        <f t="shared" si="606"/>
        <v>#DIV/0!</v>
      </c>
      <c r="AT603" s="29" t="str">
        <f t="shared" si="606"/>
        <v>#DIV/0!</v>
      </c>
      <c r="AU603" s="29" t="str">
        <f t="shared" si="606"/>
        <v>#DIV/0!</v>
      </c>
      <c r="AV603" s="29" t="str">
        <f t="shared" si="606"/>
        <v>#DIV/0!</v>
      </c>
      <c r="AW603" s="29" t="str">
        <f t="shared" si="606"/>
        <v>#DIV/0!</v>
      </c>
      <c r="AX603" s="29" t="str">
        <f t="shared" si="606"/>
        <v>#DIV/0!</v>
      </c>
      <c r="AY603" s="29" t="str">
        <f t="shared" si="606"/>
        <v>#DIV/0!</v>
      </c>
      <c r="AZ603" s="29" t="str">
        <f t="shared" si="606"/>
        <v>#DIV/0!</v>
      </c>
      <c r="BA603" s="29" t="str">
        <f t="shared" si="606"/>
        <v>#DIV/0!</v>
      </c>
      <c r="BB603" s="29" t="str">
        <f t="shared" si="606"/>
        <v>#DIV/0!</v>
      </c>
      <c r="BC603" s="29" t="str">
        <f t="shared" si="606"/>
        <v>#DIV/0!</v>
      </c>
      <c r="BD603" s="29" t="str">
        <f t="shared" si="606"/>
        <v>#DIV/0!</v>
      </c>
      <c r="BE603" s="29" t="str">
        <f t="shared" si="606"/>
        <v>#DIV/0!</v>
      </c>
      <c r="BF603" s="29" t="str">
        <f t="shared" si="606"/>
        <v>#DIV/0!</v>
      </c>
      <c r="BG603" s="29" t="str">
        <f t="shared" si="606"/>
        <v>#DIV/0!</v>
      </c>
      <c r="BH603" s="29" t="str">
        <f t="shared" si="606"/>
        <v>#DIV/0!</v>
      </c>
      <c r="BI603" s="29" t="str">
        <f t="shared" si="606"/>
        <v>#DIV/0!</v>
      </c>
      <c r="BJ603" s="29" t="str">
        <f t="shared" si="606"/>
        <v>#DIV/0!</v>
      </c>
      <c r="BK603" s="29" t="str">
        <f t="shared" si="606"/>
        <v>#DIV/0!</v>
      </c>
      <c r="BL603" s="29" t="str">
        <f t="shared" si="606"/>
        <v>#DIV/0!</v>
      </c>
      <c r="BM603" s="29" t="str">
        <f t="shared" si="3"/>
        <v>#DIV/0!</v>
      </c>
    </row>
    <row r="604">
      <c r="A604" s="16" t="str">
        <f>IFERROR(__xludf.DUMMYFUNCTION("IFERROR(SPARKLINE(SORT(MAP(TRANSPOSE(AQ604:BL604), LAMBDA(val, IF(ISNUMBER(val), PERCENTRANK(AQ604:BL604, val)+0.01, 0))), SEQUENCE(COLUMNS(AQ604:BL604)), FALSE), {""charttype"",""column""; ""color"",""chartreuse""; ""ymin"", 0; ""ymax"", 1.01; ""highcolo"&amp;"r"", ""darkgreen""; ""lowcolor"", ""red""}), """")"),"")</f>
        <v/>
      </c>
      <c r="B604" s="17" t="str">
        <f t="shared" si="4"/>
        <v/>
      </c>
      <c r="C604" s="1" t="s">
        <v>2705</v>
      </c>
      <c r="D604" s="34" t="str">
        <f>IFERROR(__xludf.DUMMYFUNCTION("IFERROR(GOOGLEFINANCE(C604, ""NAME""))"),"Avidia Bancorp Inc")</f>
        <v>Avidia Bancorp Inc</v>
      </c>
      <c r="E604" s="30" t="s">
        <v>268</v>
      </c>
      <c r="F604" s="33" t="str">
        <f>IFERROR(__xludf.DUMMYFUNCTION("( (GOOGLEFINANCE(C604, ""price"") - Q604) / Q604 ) / (R604 / 100)"),"Loading...")</f>
        <v>Loading...</v>
      </c>
      <c r="G604" s="20" t="str">
        <f>IFERROR(__xludf.DUMMYFUNCTION("AVERAGE(ARRAYFORMULA(100 * (QUERY(GOOGLEFINANCE(C604, ""high"", TODAY()-40, TODAY()), ""SELECT Col2 WHERE Col2 IS NOT NULL ORDER BY Col1 DESC LIMIT 20"", 0) / QUERY(GOOGLEFINANCE(C604, ""low"", TODAY()-40, TODAY()), ""SELECT Col2 WHERE Col2 IS NOT NULL OR"&amp;"DER BY Col1 DESC LIMIT 20"", 0) - 1)))"),"#N/A")</f>
        <v>#N/A</v>
      </c>
      <c r="H604" s="35" t="str">
        <f t="shared" si="6"/>
        <v/>
      </c>
      <c r="I604" s="36" t="str">
        <f t="shared" si="7"/>
        <v/>
      </c>
      <c r="J604" s="37" t="str">
        <f>IFERROR(__xludf.DUMMYFUNCTION("IFERROR(
  IF(C604="""",, 
    IFERROR(
      GOOGLEFINANCE(C604, ""price"") * GOOGLEFINANCE(C604, ""volumeavg""), 
      GOOGLEFINANCE(C604, ""price"") * AVERAGE(QUERY(GOOGLEFINANCE(C604, ""volume"", TODAY()-40, TODAY()), ""SELECT Col2 WHERE Col2 IS NOT "&amp;"NULL ORDER BY Col1 DESC LIMIT 20"", 0))
    )
  ), 
"""")"),"")</f>
        <v/>
      </c>
      <c r="K604" s="21" t="str">
        <f>IFERROR(__xludf.DUMMYFUNCTION("IFERROR(GOOGLEFINANCE(C604, ""changepct"") / 100, """")"),"")</f>
        <v/>
      </c>
      <c r="L604" s="21" t="str">
        <f>IFERROR(__xludf.DUMMYFUNCTION("IFERROR((GOOGLEFINANCE(C604, ""price"") / INDEX(GOOGLEFINANCE(C604, ""price"", TODAY()-7, TODAY()), 2, 2)) - 1, """")"),"")</f>
        <v/>
      </c>
      <c r="M604" s="21" t="str">
        <f>IFERROR(__xludf.DUMMYFUNCTION("IFERROR((GOOGLEFINANCE(C604, ""price"") / INDEX(GOOGLEFINANCE(C604, ""price"", EDATE(TODAY(), -1), TODAY()), 2, 2)) - 1, """")"),"")</f>
        <v/>
      </c>
      <c r="N604" s="21" t="str">
        <f>IFERROR(__xludf.DUMMYFUNCTION("IFERROR((GOOGLEFINANCE(C604, ""price"") / INDEX(GOOGLEFINANCE(C604, ""price"", EDATE(TODAY(), -3), TODAY()), 2, 2)) - 1, """")"),"")</f>
        <v/>
      </c>
      <c r="O604" s="21" t="str">
        <f>IFERROR(__xludf.DUMMYFUNCTION("IFERROR((GOOGLEFINANCE(C604, ""price"") / INDEX(GOOGLEFINANCE(C604, ""price"", EDATE(TODAY(), -6), TODAY()), 2, 2)) - 1, """")"),"")</f>
        <v/>
      </c>
      <c r="P604" s="21" t="str">
        <f>IFERROR(__xludf.DUMMYFUNCTION("IFERROR((GOOGLEFINANCE(C604, ""price"") / INDEX(GOOGLEFINANCE(C604, ""price"", EDATE(TODAY(), -12), TODAY()), 2, 2)) - 1, """")"),"")</f>
        <v/>
      </c>
      <c r="Q604" s="6" t="str">
        <f>IFERROR(__xludf.DUMMYFUNCTION("AVERAGE(QUERY(GOOGLEFINANCE(C604, ""price"", TODAY()-80, TODAY()), ""SELECT Col2 WHERE Col2 IS NOT NULL ORDER BY Col1 DESC LIMIT 50"", 0))"),"#N/A")</f>
        <v>#N/A</v>
      </c>
      <c r="R604" s="24" t="str">
        <f>IFERROR(__xludf.DUMMYFUNCTION("IFERROR(
  LET(
    data, QUERY(GOOGLEFINANCE(C604,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GOOGLEFINANCE(C604, ""price"")) * 100,
    IF(calc=0, G604, calc)
  ), 
G604)"),"#N/A")</f>
        <v>#N/A</v>
      </c>
      <c r="S604" s="8" t="s">
        <v>15</v>
      </c>
      <c r="T604" s="26" t="str">
        <f>IFERROR(__xludf.DUMMYFUNCTION("IFERROR(TRANSPOSE(QUERY(IFERROR(SORT(GOOGLEFINANCE(C604, ""price"", WORKDAY(TODAY(), -40), TODAY()), 1, FALSE)), ""select Col2 where Col2 is not null limit 22 label Col2 ''"", 0)), """")"),"")</f>
        <v/>
      </c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8"/>
      <c r="AO604" s="28"/>
      <c r="AP604" s="29"/>
      <c r="AQ604" s="29" t="str">
        <f t="shared" ref="AQ604:BL604" si="607">T604/T$2</f>
        <v>#N/A</v>
      </c>
      <c r="AR604" s="29" t="str">
        <f t="shared" si="607"/>
        <v>#DIV/0!</v>
      </c>
      <c r="AS604" s="29" t="str">
        <f t="shared" si="607"/>
        <v>#DIV/0!</v>
      </c>
      <c r="AT604" s="29" t="str">
        <f t="shared" si="607"/>
        <v>#DIV/0!</v>
      </c>
      <c r="AU604" s="29" t="str">
        <f t="shared" si="607"/>
        <v>#DIV/0!</v>
      </c>
      <c r="AV604" s="29" t="str">
        <f t="shared" si="607"/>
        <v>#DIV/0!</v>
      </c>
      <c r="AW604" s="29" t="str">
        <f t="shared" si="607"/>
        <v>#DIV/0!</v>
      </c>
      <c r="AX604" s="29" t="str">
        <f t="shared" si="607"/>
        <v>#DIV/0!</v>
      </c>
      <c r="AY604" s="29" t="str">
        <f t="shared" si="607"/>
        <v>#DIV/0!</v>
      </c>
      <c r="AZ604" s="29" t="str">
        <f t="shared" si="607"/>
        <v>#DIV/0!</v>
      </c>
      <c r="BA604" s="29" t="str">
        <f t="shared" si="607"/>
        <v>#DIV/0!</v>
      </c>
      <c r="BB604" s="29" t="str">
        <f t="shared" si="607"/>
        <v>#DIV/0!</v>
      </c>
      <c r="BC604" s="29" t="str">
        <f t="shared" si="607"/>
        <v>#DIV/0!</v>
      </c>
      <c r="BD604" s="29" t="str">
        <f t="shared" si="607"/>
        <v>#DIV/0!</v>
      </c>
      <c r="BE604" s="29" t="str">
        <f t="shared" si="607"/>
        <v>#DIV/0!</v>
      </c>
      <c r="BF604" s="29" t="str">
        <f t="shared" si="607"/>
        <v>#DIV/0!</v>
      </c>
      <c r="BG604" s="29" t="str">
        <f t="shared" si="607"/>
        <v>#DIV/0!</v>
      </c>
      <c r="BH604" s="29" t="str">
        <f t="shared" si="607"/>
        <v>#DIV/0!</v>
      </c>
      <c r="BI604" s="29" t="str">
        <f t="shared" si="607"/>
        <v>#DIV/0!</v>
      </c>
      <c r="BJ604" s="29" t="str">
        <f t="shared" si="607"/>
        <v>#DIV/0!</v>
      </c>
      <c r="BK604" s="29" t="str">
        <f t="shared" si="607"/>
        <v>#DIV/0!</v>
      </c>
      <c r="BL604" s="29" t="str">
        <f t="shared" si="607"/>
        <v>#DIV/0!</v>
      </c>
      <c r="BM604" s="29" t="str">
        <f t="shared" si="3"/>
        <v>#DIV/0!</v>
      </c>
    </row>
    <row r="605">
      <c r="A605" s="16" t="str">
        <f>IFERROR(__xludf.DUMMYFUNCTION("IFERROR(SPARKLINE(SORT(MAP(TRANSPOSE(AQ605:BL605), LAMBDA(val, IF(ISNUMBER(val), PERCENTRANK(AQ605:BL605, val)+0.01, 0))), SEQUENCE(COLUMNS(AQ605:BL605)), FALSE), {""charttype"",""column""; ""color"",""chartreuse""; ""ymin"", 0; ""ymax"", 1.01; ""highcolo"&amp;"r"", ""darkgreen""; ""lowcolor"", ""red""}), """")"),"")</f>
        <v/>
      </c>
      <c r="B605" s="17" t="str">
        <f t="shared" si="4"/>
        <v/>
      </c>
      <c r="C605" s="1" t="s">
        <v>2710</v>
      </c>
      <c r="D605" s="34" t="str">
        <f>IFERROR(__xludf.DUMMYFUNCTION("IFERROR(GOOGLEFINANCE(C605, ""NAME""))"),"Waterdrop Inc - ADR")</f>
        <v>Waterdrop Inc - ADR</v>
      </c>
      <c r="E605" s="30" t="s">
        <v>434</v>
      </c>
      <c r="F605" s="33" t="str">
        <f>IFERROR(__xludf.DUMMYFUNCTION("( (GOOGLEFINANCE(C605, ""price"") - Q605) / Q605 ) / (R605 / 100)"),"Loading...")</f>
        <v>Loading...</v>
      </c>
      <c r="G605" s="20" t="str">
        <f>IFERROR(__xludf.DUMMYFUNCTION("AVERAGE(ARRAYFORMULA(100 * (QUERY(GOOGLEFINANCE(C605, ""high"", TODAY()-40, TODAY()), ""SELECT Col2 WHERE Col2 IS NOT NULL ORDER BY Col1 DESC LIMIT 20"", 0) / QUERY(GOOGLEFINANCE(C605, ""low"", TODAY()-40, TODAY()), ""SELECT Col2 WHERE Col2 IS NOT NULL OR"&amp;"DER BY Col1 DESC LIMIT 20"", 0) - 1)))"),"#N/A")</f>
        <v>#N/A</v>
      </c>
      <c r="H605" s="35" t="str">
        <f t="shared" si="6"/>
        <v/>
      </c>
      <c r="I605" s="36" t="str">
        <f t="shared" si="7"/>
        <v/>
      </c>
      <c r="J605" s="37" t="str">
        <f>IFERROR(__xludf.DUMMYFUNCTION("IFERROR(
  IF(C605="""",, 
    IFERROR(
      GOOGLEFINANCE(C605, ""price"") * GOOGLEFINANCE(C605, ""volumeavg""), 
      GOOGLEFINANCE(C605, ""price"") * AVERAGE(QUERY(GOOGLEFINANCE(C605, ""volume"", TODAY()-40, TODAY()), ""SELECT Col2 WHERE Col2 IS NOT "&amp;"NULL ORDER BY Col1 DESC LIMIT 20"", 0))
    )
  ), 
"""")"),"")</f>
        <v/>
      </c>
      <c r="K605" s="21" t="str">
        <f>IFERROR(__xludf.DUMMYFUNCTION("IFERROR(GOOGLEFINANCE(C605, ""changepct"") / 100, """")"),"")</f>
        <v/>
      </c>
      <c r="L605" s="21" t="str">
        <f>IFERROR(__xludf.DUMMYFUNCTION("IFERROR((GOOGLEFINANCE(C605, ""price"") / INDEX(GOOGLEFINANCE(C605, ""price"", TODAY()-7, TODAY()), 2, 2)) - 1, """")"),"")</f>
        <v/>
      </c>
      <c r="M605" s="21" t="str">
        <f>IFERROR(__xludf.DUMMYFUNCTION("IFERROR((GOOGLEFINANCE(C605, ""price"") / INDEX(GOOGLEFINANCE(C605, ""price"", EDATE(TODAY(), -1), TODAY()), 2, 2)) - 1, """")"),"")</f>
        <v/>
      </c>
      <c r="N605" s="21" t="str">
        <f>IFERROR(__xludf.DUMMYFUNCTION("IFERROR((GOOGLEFINANCE(C605, ""price"") / INDEX(GOOGLEFINANCE(C605, ""price"", EDATE(TODAY(), -3), TODAY()), 2, 2)) - 1, """")"),"")</f>
        <v/>
      </c>
      <c r="O605" s="21" t="str">
        <f>IFERROR(__xludf.DUMMYFUNCTION("IFERROR((GOOGLEFINANCE(C605, ""price"") / INDEX(GOOGLEFINANCE(C605, ""price"", EDATE(TODAY(), -6), TODAY()), 2, 2)) - 1, """")"),"")</f>
        <v/>
      </c>
      <c r="P605" s="21" t="str">
        <f>IFERROR(__xludf.DUMMYFUNCTION("IFERROR((GOOGLEFINANCE(C605, ""price"") / INDEX(GOOGLEFINANCE(C605, ""price"", EDATE(TODAY(), -12), TODAY()), 2, 2)) - 1, """")"),"")</f>
        <v/>
      </c>
      <c r="Q605" s="6" t="str">
        <f>IFERROR(__xludf.DUMMYFUNCTION("AVERAGE(QUERY(GOOGLEFINANCE(C605, ""price"", TODAY()-80, TODAY()), ""SELECT Col2 WHERE Col2 IS NOT NULL ORDER BY Col1 DESC LIMIT 50"", 0))"),"#N/A")</f>
        <v>#N/A</v>
      </c>
      <c r="R605" s="24" t="str">
        <f>IFERROR(__xludf.DUMMYFUNCTION("IFERROR(
  LET(
    data, QUERY(GOOGLEFINANCE(C605,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GOOGLEFINANCE(C605, ""price"")) * 100,
    IF(calc=0, G605, calc)
  ), 
G605)"),"#N/A")</f>
        <v>#N/A</v>
      </c>
      <c r="S605" s="8" t="s">
        <v>15</v>
      </c>
      <c r="T605" s="26" t="str">
        <f>IFERROR(__xludf.DUMMYFUNCTION("IFERROR(TRANSPOSE(QUERY(IFERROR(SORT(GOOGLEFINANCE(C605, ""price"", WORKDAY(TODAY(), -40), TODAY()), 1, FALSE)), ""select Col2 where Col2 is not null limit 22 label Col2 ''"", 0)), """")"),"")</f>
        <v/>
      </c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8"/>
      <c r="AO605" s="28"/>
      <c r="AP605" s="29"/>
      <c r="AQ605" s="29" t="str">
        <f t="shared" ref="AQ605:BL605" si="608">T605/T$2</f>
        <v>#N/A</v>
      </c>
      <c r="AR605" s="29" t="str">
        <f t="shared" si="608"/>
        <v>#DIV/0!</v>
      </c>
      <c r="AS605" s="29" t="str">
        <f t="shared" si="608"/>
        <v>#DIV/0!</v>
      </c>
      <c r="AT605" s="29" t="str">
        <f t="shared" si="608"/>
        <v>#DIV/0!</v>
      </c>
      <c r="AU605" s="29" t="str">
        <f t="shared" si="608"/>
        <v>#DIV/0!</v>
      </c>
      <c r="AV605" s="29" t="str">
        <f t="shared" si="608"/>
        <v>#DIV/0!</v>
      </c>
      <c r="AW605" s="29" t="str">
        <f t="shared" si="608"/>
        <v>#DIV/0!</v>
      </c>
      <c r="AX605" s="29" t="str">
        <f t="shared" si="608"/>
        <v>#DIV/0!</v>
      </c>
      <c r="AY605" s="29" t="str">
        <f t="shared" si="608"/>
        <v>#DIV/0!</v>
      </c>
      <c r="AZ605" s="29" t="str">
        <f t="shared" si="608"/>
        <v>#DIV/0!</v>
      </c>
      <c r="BA605" s="29" t="str">
        <f t="shared" si="608"/>
        <v>#DIV/0!</v>
      </c>
      <c r="BB605" s="29" t="str">
        <f t="shared" si="608"/>
        <v>#DIV/0!</v>
      </c>
      <c r="BC605" s="29" t="str">
        <f t="shared" si="608"/>
        <v>#DIV/0!</v>
      </c>
      <c r="BD605" s="29" t="str">
        <f t="shared" si="608"/>
        <v>#DIV/0!</v>
      </c>
      <c r="BE605" s="29" t="str">
        <f t="shared" si="608"/>
        <v>#DIV/0!</v>
      </c>
      <c r="BF605" s="29" t="str">
        <f t="shared" si="608"/>
        <v>#DIV/0!</v>
      </c>
      <c r="BG605" s="29" t="str">
        <f t="shared" si="608"/>
        <v>#DIV/0!</v>
      </c>
      <c r="BH605" s="29" t="str">
        <f t="shared" si="608"/>
        <v>#DIV/0!</v>
      </c>
      <c r="BI605" s="29" t="str">
        <f t="shared" si="608"/>
        <v>#DIV/0!</v>
      </c>
      <c r="BJ605" s="29" t="str">
        <f t="shared" si="608"/>
        <v>#DIV/0!</v>
      </c>
      <c r="BK605" s="29" t="str">
        <f t="shared" si="608"/>
        <v>#DIV/0!</v>
      </c>
      <c r="BL605" s="29" t="str">
        <f t="shared" si="608"/>
        <v>#DIV/0!</v>
      </c>
      <c r="BM605" s="29" t="str">
        <f t="shared" si="3"/>
        <v>#DIV/0!</v>
      </c>
    </row>
    <row r="606">
      <c r="A606" s="16" t="str">
        <f>IFERROR(__xludf.DUMMYFUNCTION("IFERROR(SPARKLINE(SORT(MAP(TRANSPOSE(AQ606:BL606), LAMBDA(val, IF(ISNUMBER(val), PERCENTRANK(AQ606:BL606, val)+0.01, 0))), SEQUENCE(COLUMNS(AQ606:BL606)), FALSE), {""charttype"",""column""; ""color"",""chartreuse""; ""ymin"", 0; ""ymax"", 1.01; ""highcolo"&amp;"r"", ""darkgreen""; ""lowcolor"", ""red""}), """")"),"")</f>
        <v/>
      </c>
      <c r="B606" s="17" t="str">
        <f t="shared" si="4"/>
        <v/>
      </c>
      <c r="C606" s="1" t="s">
        <v>2714</v>
      </c>
      <c r="D606" s="34" t="str">
        <f>IFERROR(__xludf.DUMMYFUNCTION("IFERROR(GOOGLEFINANCE(C606, ""NAME""))"),"New Providence Acquisition Corp III")</f>
        <v>New Providence Acquisition Corp III</v>
      </c>
      <c r="E606" s="30" t="s">
        <v>161</v>
      </c>
      <c r="F606" s="33" t="str">
        <f>IFERROR(__xludf.DUMMYFUNCTION("( (GOOGLEFINANCE(C606, ""price"") - Q606) / Q606 ) / (R606 / 100)"),"Loading...")</f>
        <v>Loading...</v>
      </c>
      <c r="G606" s="20" t="str">
        <f>IFERROR(__xludf.DUMMYFUNCTION("AVERAGE(ARRAYFORMULA(100 * (QUERY(GOOGLEFINANCE(C606, ""high"", TODAY()-40, TODAY()), ""SELECT Col2 WHERE Col2 IS NOT NULL ORDER BY Col1 DESC LIMIT 20"", 0) / QUERY(GOOGLEFINANCE(C606, ""low"", TODAY()-40, TODAY()), ""SELECT Col2 WHERE Col2 IS NOT NULL OR"&amp;"DER BY Col1 DESC LIMIT 20"", 0) - 1)))"),"#N/A")</f>
        <v>#N/A</v>
      </c>
      <c r="H606" s="35" t="str">
        <f t="shared" si="6"/>
        <v/>
      </c>
      <c r="I606" s="36" t="str">
        <f t="shared" si="7"/>
        <v/>
      </c>
      <c r="J606" s="37" t="str">
        <f>IFERROR(__xludf.DUMMYFUNCTION("IFERROR(
  IF(C606="""",, 
    IFERROR(
      GOOGLEFINANCE(C606, ""price"") * GOOGLEFINANCE(C606, ""volumeavg""), 
      GOOGLEFINANCE(C606, ""price"") * AVERAGE(QUERY(GOOGLEFINANCE(C606, ""volume"", TODAY()-40, TODAY()), ""SELECT Col2 WHERE Col2 IS NOT "&amp;"NULL ORDER BY Col1 DESC LIMIT 20"", 0))
    )
  ), 
"""")"),"")</f>
        <v/>
      </c>
      <c r="K606" s="21" t="str">
        <f>IFERROR(__xludf.DUMMYFUNCTION("IFERROR(GOOGLEFINANCE(C606, ""changepct"") / 100, """")"),"")</f>
        <v/>
      </c>
      <c r="L606" s="21" t="str">
        <f>IFERROR(__xludf.DUMMYFUNCTION("IFERROR((GOOGLEFINANCE(C606, ""price"") / INDEX(GOOGLEFINANCE(C606, ""price"", TODAY()-7, TODAY()), 2, 2)) - 1, """")"),"")</f>
        <v/>
      </c>
      <c r="M606" s="21" t="str">
        <f>IFERROR(__xludf.DUMMYFUNCTION("IFERROR((GOOGLEFINANCE(C606, ""price"") / INDEX(GOOGLEFINANCE(C606, ""price"", EDATE(TODAY(), -1), TODAY()), 2, 2)) - 1, """")"),"")</f>
        <v/>
      </c>
      <c r="N606" s="21" t="str">
        <f>IFERROR(__xludf.DUMMYFUNCTION("IFERROR((GOOGLEFINANCE(C606, ""price"") / INDEX(GOOGLEFINANCE(C606, ""price"", EDATE(TODAY(), -3), TODAY()), 2, 2)) - 1, """")"),"")</f>
        <v/>
      </c>
      <c r="O606" s="21" t="str">
        <f>IFERROR(__xludf.DUMMYFUNCTION("IFERROR((GOOGLEFINANCE(C606, ""price"") / INDEX(GOOGLEFINANCE(C606, ""price"", EDATE(TODAY(), -6), TODAY()), 2, 2)) - 1, """")"),"")</f>
        <v/>
      </c>
      <c r="P606" s="21" t="str">
        <f>IFERROR(__xludf.DUMMYFUNCTION("IFERROR((GOOGLEFINANCE(C606, ""price"") / INDEX(GOOGLEFINANCE(C606, ""price"", EDATE(TODAY(), -12), TODAY()), 2, 2)) - 1, """")"),"")</f>
        <v/>
      </c>
      <c r="Q606" s="6" t="str">
        <f>IFERROR(__xludf.DUMMYFUNCTION("AVERAGE(QUERY(GOOGLEFINANCE(C606, ""price"", TODAY()-80, TODAY()), ""SELECT Col2 WHERE Col2 IS NOT NULL ORDER BY Col1 DESC LIMIT 50"", 0))"),"#N/A")</f>
        <v>#N/A</v>
      </c>
      <c r="R606" s="24" t="str">
        <f>IFERROR(__xludf.DUMMYFUNCTION("IFERROR(
  LET(
    data, QUERY(GOOGLEFINANCE(C606,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GOOGLEFINANCE(C606, ""price"")) * 100,
    IF(calc=0, G606, calc)
  ), 
G606)"),"#N/A")</f>
        <v>#N/A</v>
      </c>
      <c r="S606" s="8" t="s">
        <v>15</v>
      </c>
      <c r="T606" s="26" t="str">
        <f>IFERROR(__xludf.DUMMYFUNCTION("IFERROR(TRANSPOSE(QUERY(IFERROR(SORT(GOOGLEFINANCE(C606, ""price"", WORKDAY(TODAY(), -40), TODAY()), 1, FALSE)), ""select Col2 where Col2 is not null limit 22 label Col2 ''"", 0)), """")"),"")</f>
        <v/>
      </c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8"/>
      <c r="AO606" s="28"/>
      <c r="AP606" s="29"/>
      <c r="AQ606" s="29" t="str">
        <f t="shared" ref="AQ606:BL606" si="609">T606/T$2</f>
        <v>#N/A</v>
      </c>
      <c r="AR606" s="29" t="str">
        <f t="shared" si="609"/>
        <v>#DIV/0!</v>
      </c>
      <c r="AS606" s="29" t="str">
        <f t="shared" si="609"/>
        <v>#DIV/0!</v>
      </c>
      <c r="AT606" s="29" t="str">
        <f t="shared" si="609"/>
        <v>#DIV/0!</v>
      </c>
      <c r="AU606" s="29" t="str">
        <f t="shared" si="609"/>
        <v>#DIV/0!</v>
      </c>
      <c r="AV606" s="29" t="str">
        <f t="shared" si="609"/>
        <v>#DIV/0!</v>
      </c>
      <c r="AW606" s="29" t="str">
        <f t="shared" si="609"/>
        <v>#DIV/0!</v>
      </c>
      <c r="AX606" s="29" t="str">
        <f t="shared" si="609"/>
        <v>#DIV/0!</v>
      </c>
      <c r="AY606" s="29" t="str">
        <f t="shared" si="609"/>
        <v>#DIV/0!</v>
      </c>
      <c r="AZ606" s="29" t="str">
        <f t="shared" si="609"/>
        <v>#DIV/0!</v>
      </c>
      <c r="BA606" s="29" t="str">
        <f t="shared" si="609"/>
        <v>#DIV/0!</v>
      </c>
      <c r="BB606" s="29" t="str">
        <f t="shared" si="609"/>
        <v>#DIV/0!</v>
      </c>
      <c r="BC606" s="29" t="str">
        <f t="shared" si="609"/>
        <v>#DIV/0!</v>
      </c>
      <c r="BD606" s="29" t="str">
        <f t="shared" si="609"/>
        <v>#DIV/0!</v>
      </c>
      <c r="BE606" s="29" t="str">
        <f t="shared" si="609"/>
        <v>#DIV/0!</v>
      </c>
      <c r="BF606" s="29" t="str">
        <f t="shared" si="609"/>
        <v>#DIV/0!</v>
      </c>
      <c r="BG606" s="29" t="str">
        <f t="shared" si="609"/>
        <v>#DIV/0!</v>
      </c>
      <c r="BH606" s="29" t="str">
        <f t="shared" si="609"/>
        <v>#DIV/0!</v>
      </c>
      <c r="BI606" s="29" t="str">
        <f t="shared" si="609"/>
        <v>#DIV/0!</v>
      </c>
      <c r="BJ606" s="29" t="str">
        <f t="shared" si="609"/>
        <v>#DIV/0!</v>
      </c>
      <c r="BK606" s="29" t="str">
        <f t="shared" si="609"/>
        <v>#DIV/0!</v>
      </c>
      <c r="BL606" s="29" t="str">
        <f t="shared" si="609"/>
        <v>#DIV/0!</v>
      </c>
      <c r="BM606" s="29" t="str">
        <f t="shared" si="3"/>
        <v>#DIV/0!</v>
      </c>
    </row>
    <row r="607">
      <c r="A607" s="16" t="str">
        <f>IFERROR(__xludf.DUMMYFUNCTION("IFERROR(SPARKLINE(SORT(MAP(TRANSPOSE(AQ607:BL607), LAMBDA(val, IF(ISNUMBER(val), PERCENTRANK(AQ607:BL607, val)+0.01, 0))), SEQUENCE(COLUMNS(AQ607:BL607)), FALSE), {""charttype"",""column""; ""color"",""chartreuse""; ""ymin"", 0; ""ymax"", 1.01; ""highcolo"&amp;"r"", ""darkgreen""; ""lowcolor"", ""red""}), """")"),"")</f>
        <v/>
      </c>
      <c r="B607" s="17" t="str">
        <f t="shared" si="4"/>
        <v/>
      </c>
      <c r="C607" s="1" t="s">
        <v>2717</v>
      </c>
      <c r="D607" s="34" t="str">
        <f>IFERROR(__xludf.DUMMYFUNCTION("IFERROR(GOOGLEFINANCE(C607, ""NAME""))"),"Talon Capital Corp")</f>
        <v>Talon Capital Corp</v>
      </c>
      <c r="E607" s="30" t="s">
        <v>161</v>
      </c>
      <c r="F607" s="33" t="str">
        <f>IFERROR(__xludf.DUMMYFUNCTION("( (GOOGLEFINANCE(C607, ""price"") - Q607) / Q607 ) / (R607 / 100)"),"Loading...")</f>
        <v>Loading...</v>
      </c>
      <c r="G607" s="20" t="str">
        <f>IFERROR(__xludf.DUMMYFUNCTION("AVERAGE(ARRAYFORMULA(100 * (QUERY(GOOGLEFINANCE(C607, ""high"", TODAY()-40, TODAY()), ""SELECT Col2 WHERE Col2 IS NOT NULL ORDER BY Col1 DESC LIMIT 20"", 0) / QUERY(GOOGLEFINANCE(C607, ""low"", TODAY()-40, TODAY()), ""SELECT Col2 WHERE Col2 IS NOT NULL OR"&amp;"DER BY Col1 DESC LIMIT 20"", 0) - 1)))"),"#N/A")</f>
        <v>#N/A</v>
      </c>
      <c r="H607" s="35" t="str">
        <f t="shared" si="6"/>
        <v/>
      </c>
      <c r="I607" s="36" t="str">
        <f t="shared" si="7"/>
        <v/>
      </c>
      <c r="J607" s="37" t="str">
        <f>IFERROR(__xludf.DUMMYFUNCTION("IFERROR(
  IF(C607="""",, 
    IFERROR(
      GOOGLEFINANCE(C607, ""price"") * GOOGLEFINANCE(C607, ""volumeavg""), 
      GOOGLEFINANCE(C607, ""price"") * AVERAGE(QUERY(GOOGLEFINANCE(C607, ""volume"", TODAY()-40, TODAY()), ""SELECT Col2 WHERE Col2 IS NOT "&amp;"NULL ORDER BY Col1 DESC LIMIT 20"", 0))
    )
  ), 
"""")"),"")</f>
        <v/>
      </c>
      <c r="K607" s="21" t="str">
        <f>IFERROR(__xludf.DUMMYFUNCTION("IFERROR(GOOGLEFINANCE(C607, ""changepct"") / 100, """")"),"")</f>
        <v/>
      </c>
      <c r="L607" s="21" t="str">
        <f>IFERROR(__xludf.DUMMYFUNCTION("IFERROR((GOOGLEFINANCE(C607, ""price"") / INDEX(GOOGLEFINANCE(C607, ""price"", TODAY()-7, TODAY()), 2, 2)) - 1, """")"),"")</f>
        <v/>
      </c>
      <c r="M607" s="21" t="str">
        <f>IFERROR(__xludf.DUMMYFUNCTION("IFERROR((GOOGLEFINANCE(C607, ""price"") / INDEX(GOOGLEFINANCE(C607, ""price"", EDATE(TODAY(), -1), TODAY()), 2, 2)) - 1, """")"),"")</f>
        <v/>
      </c>
      <c r="N607" s="21" t="str">
        <f>IFERROR(__xludf.DUMMYFUNCTION("IFERROR((GOOGLEFINANCE(C607, ""price"") / INDEX(GOOGLEFINANCE(C607, ""price"", EDATE(TODAY(), -3), TODAY()), 2, 2)) - 1, """")"),"")</f>
        <v/>
      </c>
      <c r="O607" s="21" t="str">
        <f>IFERROR(__xludf.DUMMYFUNCTION("IFERROR((GOOGLEFINANCE(C607, ""price"") / INDEX(GOOGLEFINANCE(C607, ""price"", EDATE(TODAY(), -6), TODAY()), 2, 2)) - 1, """")"),"")</f>
        <v/>
      </c>
      <c r="P607" s="21" t="str">
        <f>IFERROR(__xludf.DUMMYFUNCTION("IFERROR((GOOGLEFINANCE(C607, ""price"") / INDEX(GOOGLEFINANCE(C607, ""price"", EDATE(TODAY(), -12), TODAY()), 2, 2)) - 1, """")"),"")</f>
        <v/>
      </c>
      <c r="Q607" s="6" t="str">
        <f>IFERROR(__xludf.DUMMYFUNCTION("AVERAGE(QUERY(GOOGLEFINANCE(C607, ""price"", TODAY()-80, TODAY()), ""SELECT Col2 WHERE Col2 IS NOT NULL ORDER BY Col1 DESC LIMIT 50"", 0))"),"#N/A")</f>
        <v>#N/A</v>
      </c>
      <c r="R607" s="24" t="str">
        <f>IFERROR(__xludf.DUMMYFUNCTION("IFERROR(
  LET(
    data, QUERY(GOOGLEFINANCE(C607,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GOOGLEFINANCE(C607, ""price"")) * 100,
    IF(calc=0, G607, calc)
  ), 
G607)"),"#N/A")</f>
        <v>#N/A</v>
      </c>
      <c r="S607" s="8" t="s">
        <v>15</v>
      </c>
      <c r="T607" s="26" t="str">
        <f>IFERROR(__xludf.DUMMYFUNCTION("IFERROR(TRANSPOSE(QUERY(IFERROR(SORT(GOOGLEFINANCE(C607, ""price"", WORKDAY(TODAY(), -40), TODAY()), 1, FALSE)), ""select Col2 where Col2 is not null limit 22 label Col2 ''"", 0)), """")"),"")</f>
        <v/>
      </c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8"/>
      <c r="AO607" s="28"/>
      <c r="AP607" s="29"/>
      <c r="AQ607" s="29" t="str">
        <f t="shared" ref="AQ607:BL607" si="610">T607/T$2</f>
        <v>#N/A</v>
      </c>
      <c r="AR607" s="29" t="str">
        <f t="shared" si="610"/>
        <v>#DIV/0!</v>
      </c>
      <c r="AS607" s="29" t="str">
        <f t="shared" si="610"/>
        <v>#DIV/0!</v>
      </c>
      <c r="AT607" s="29" t="str">
        <f t="shared" si="610"/>
        <v>#DIV/0!</v>
      </c>
      <c r="AU607" s="29" t="str">
        <f t="shared" si="610"/>
        <v>#DIV/0!</v>
      </c>
      <c r="AV607" s="29" t="str">
        <f t="shared" si="610"/>
        <v>#DIV/0!</v>
      </c>
      <c r="AW607" s="29" t="str">
        <f t="shared" si="610"/>
        <v>#DIV/0!</v>
      </c>
      <c r="AX607" s="29" t="str">
        <f t="shared" si="610"/>
        <v>#DIV/0!</v>
      </c>
      <c r="AY607" s="29" t="str">
        <f t="shared" si="610"/>
        <v>#DIV/0!</v>
      </c>
      <c r="AZ607" s="29" t="str">
        <f t="shared" si="610"/>
        <v>#DIV/0!</v>
      </c>
      <c r="BA607" s="29" t="str">
        <f t="shared" si="610"/>
        <v>#DIV/0!</v>
      </c>
      <c r="BB607" s="29" t="str">
        <f t="shared" si="610"/>
        <v>#DIV/0!</v>
      </c>
      <c r="BC607" s="29" t="str">
        <f t="shared" si="610"/>
        <v>#DIV/0!</v>
      </c>
      <c r="BD607" s="29" t="str">
        <f t="shared" si="610"/>
        <v>#DIV/0!</v>
      </c>
      <c r="BE607" s="29" t="str">
        <f t="shared" si="610"/>
        <v>#DIV/0!</v>
      </c>
      <c r="BF607" s="29" t="str">
        <f t="shared" si="610"/>
        <v>#DIV/0!</v>
      </c>
      <c r="BG607" s="29" t="str">
        <f t="shared" si="610"/>
        <v>#DIV/0!</v>
      </c>
      <c r="BH607" s="29" t="str">
        <f t="shared" si="610"/>
        <v>#DIV/0!</v>
      </c>
      <c r="BI607" s="29" t="str">
        <f t="shared" si="610"/>
        <v>#DIV/0!</v>
      </c>
      <c r="BJ607" s="29" t="str">
        <f t="shared" si="610"/>
        <v>#DIV/0!</v>
      </c>
      <c r="BK607" s="29" t="str">
        <f t="shared" si="610"/>
        <v>#DIV/0!</v>
      </c>
      <c r="BL607" s="29" t="str">
        <f t="shared" si="610"/>
        <v>#DIV/0!</v>
      </c>
      <c r="BM607" s="29" t="str">
        <f t="shared" si="3"/>
        <v>#DIV/0!</v>
      </c>
    </row>
    <row r="608">
      <c r="A608" s="16" t="str">
        <f>IFERROR(__xludf.DUMMYFUNCTION("IFERROR(SPARKLINE(SORT(MAP(TRANSPOSE(AQ608:BL608), LAMBDA(val, IF(ISNUMBER(val), PERCENTRANK(AQ608:BL608, val)+0.01, 0))), SEQUENCE(COLUMNS(AQ608:BL608)), FALSE), {""charttype"",""column""; ""color"",""chartreuse""; ""ymin"", 0; ""ymax"", 1.01; ""highcolo"&amp;"r"", ""darkgreen""; ""lowcolor"", ""red""}), """")"),"")</f>
        <v/>
      </c>
      <c r="B608" s="17" t="str">
        <f t="shared" si="4"/>
        <v/>
      </c>
      <c r="C608" s="1" t="s">
        <v>2721</v>
      </c>
      <c r="D608" s="34" t="str">
        <f>IFERROR(__xludf.DUMMYFUNCTION("IFERROR(GOOGLEFINANCE(C608, ""NAME""))"),"")</f>
        <v/>
      </c>
      <c r="E608" s="30" t="s">
        <v>161</v>
      </c>
      <c r="F608" s="33" t="str">
        <f>IFERROR(__xludf.DUMMYFUNCTION("( (GOOGLEFINANCE(C608, ""price"") - Q608) / Q608 ) / (R608 / 100)"),"Loading...")</f>
        <v>Loading...</v>
      </c>
      <c r="G608" s="20" t="str">
        <f>IFERROR(__xludf.DUMMYFUNCTION("AVERAGE(ARRAYFORMULA(100 * (QUERY(GOOGLEFINANCE(C608, ""high"", TODAY()-40, TODAY()), ""SELECT Col2 WHERE Col2 IS NOT NULL ORDER BY Col1 DESC LIMIT 20"", 0) / QUERY(GOOGLEFINANCE(C608, ""low"", TODAY()-40, TODAY()), ""SELECT Col2 WHERE Col2 IS NOT NULL OR"&amp;"DER BY Col1 DESC LIMIT 20"", 0) - 1)))"),"#N/A")</f>
        <v>#N/A</v>
      </c>
      <c r="H608" s="35" t="str">
        <f t="shared" si="6"/>
        <v/>
      </c>
      <c r="I608" s="36" t="str">
        <f t="shared" si="7"/>
        <v/>
      </c>
      <c r="J608" s="37" t="str">
        <f>IFERROR(__xludf.DUMMYFUNCTION("IFERROR(
  IF(C608="""",, 
    IFERROR(
      GOOGLEFINANCE(C608, ""price"") * GOOGLEFINANCE(C608, ""volumeavg""), 
      GOOGLEFINANCE(C608, ""price"") * AVERAGE(QUERY(GOOGLEFINANCE(C608, ""volume"", TODAY()-40, TODAY()), ""SELECT Col2 WHERE Col2 IS NOT "&amp;"NULL ORDER BY Col1 DESC LIMIT 20"", 0))
    )
  ), 
"""")"),"")</f>
        <v/>
      </c>
      <c r="K608" s="21" t="str">
        <f>IFERROR(__xludf.DUMMYFUNCTION("IFERROR(GOOGLEFINANCE(C608, ""changepct"") / 100, """")"),"")</f>
        <v/>
      </c>
      <c r="L608" s="21" t="str">
        <f>IFERROR(__xludf.DUMMYFUNCTION("IFERROR((GOOGLEFINANCE(C608, ""price"") / INDEX(GOOGLEFINANCE(C608, ""price"", TODAY()-7, TODAY()), 2, 2)) - 1, """")"),"")</f>
        <v/>
      </c>
      <c r="M608" s="21" t="str">
        <f>IFERROR(__xludf.DUMMYFUNCTION("IFERROR((GOOGLEFINANCE(C608, ""price"") / INDEX(GOOGLEFINANCE(C608, ""price"", EDATE(TODAY(), -1), TODAY()), 2, 2)) - 1, """")"),"")</f>
        <v/>
      </c>
      <c r="N608" s="21" t="str">
        <f>IFERROR(__xludf.DUMMYFUNCTION("IFERROR((GOOGLEFINANCE(C608, ""price"") / INDEX(GOOGLEFINANCE(C608, ""price"", EDATE(TODAY(), -3), TODAY()), 2, 2)) - 1, """")"),"")</f>
        <v/>
      </c>
      <c r="O608" s="21" t="str">
        <f>IFERROR(__xludf.DUMMYFUNCTION("IFERROR((GOOGLEFINANCE(C608, ""price"") / INDEX(GOOGLEFINANCE(C608, ""price"", EDATE(TODAY(), -6), TODAY()), 2, 2)) - 1, """")"),"")</f>
        <v/>
      </c>
      <c r="P608" s="21" t="str">
        <f>IFERROR(__xludf.DUMMYFUNCTION("IFERROR((GOOGLEFINANCE(C608, ""price"") / INDEX(GOOGLEFINANCE(C608, ""price"", EDATE(TODAY(), -12), TODAY()), 2, 2)) - 1, """")"),"")</f>
        <v/>
      </c>
      <c r="Q608" s="6" t="str">
        <f>IFERROR(__xludf.DUMMYFUNCTION("AVERAGE(QUERY(GOOGLEFINANCE(C608, ""price"", TODAY()-80, TODAY()), ""SELECT Col2 WHERE Col2 IS NOT NULL ORDER BY Col1 DESC LIMIT 50"", 0))"),"#N/A")</f>
        <v>#N/A</v>
      </c>
      <c r="R608" s="24" t="str">
        <f>IFERROR(__xludf.DUMMYFUNCTION("IFERROR(
  LET(
    data, QUERY(GOOGLEFINANCE(C608,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GOOGLEFINANCE(C608, ""price"")) * 100,
    IF(calc=0, G608, calc)
  ), 
G608)"),"#N/A")</f>
        <v>#N/A</v>
      </c>
      <c r="S608" s="8" t="s">
        <v>15</v>
      </c>
      <c r="T608" s="26" t="str">
        <f>IFERROR(__xludf.DUMMYFUNCTION("IFERROR(TRANSPOSE(QUERY(IFERROR(SORT(GOOGLEFINANCE(C608, ""price"", WORKDAY(TODAY(), -40), TODAY()), 1, FALSE)), ""select Col2 where Col2 is not null limit 22 label Col2 ''"", 0)), """")"),"")</f>
        <v/>
      </c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8"/>
      <c r="AO608" s="28"/>
      <c r="AP608" s="29"/>
      <c r="AQ608" s="29" t="str">
        <f t="shared" ref="AQ608:BL608" si="611">T608/T$2</f>
        <v>#N/A</v>
      </c>
      <c r="AR608" s="29" t="str">
        <f t="shared" si="611"/>
        <v>#DIV/0!</v>
      </c>
      <c r="AS608" s="29" t="str">
        <f t="shared" si="611"/>
        <v>#DIV/0!</v>
      </c>
      <c r="AT608" s="29" t="str">
        <f t="shared" si="611"/>
        <v>#DIV/0!</v>
      </c>
      <c r="AU608" s="29" t="str">
        <f t="shared" si="611"/>
        <v>#DIV/0!</v>
      </c>
      <c r="AV608" s="29" t="str">
        <f t="shared" si="611"/>
        <v>#DIV/0!</v>
      </c>
      <c r="AW608" s="29" t="str">
        <f t="shared" si="611"/>
        <v>#DIV/0!</v>
      </c>
      <c r="AX608" s="29" t="str">
        <f t="shared" si="611"/>
        <v>#DIV/0!</v>
      </c>
      <c r="AY608" s="29" t="str">
        <f t="shared" si="611"/>
        <v>#DIV/0!</v>
      </c>
      <c r="AZ608" s="29" t="str">
        <f t="shared" si="611"/>
        <v>#DIV/0!</v>
      </c>
      <c r="BA608" s="29" t="str">
        <f t="shared" si="611"/>
        <v>#DIV/0!</v>
      </c>
      <c r="BB608" s="29" t="str">
        <f t="shared" si="611"/>
        <v>#DIV/0!</v>
      </c>
      <c r="BC608" s="29" t="str">
        <f t="shared" si="611"/>
        <v>#DIV/0!</v>
      </c>
      <c r="BD608" s="29" t="str">
        <f t="shared" si="611"/>
        <v>#DIV/0!</v>
      </c>
      <c r="BE608" s="29" t="str">
        <f t="shared" si="611"/>
        <v>#DIV/0!</v>
      </c>
      <c r="BF608" s="29" t="str">
        <f t="shared" si="611"/>
        <v>#DIV/0!</v>
      </c>
      <c r="BG608" s="29" t="str">
        <f t="shared" si="611"/>
        <v>#DIV/0!</v>
      </c>
      <c r="BH608" s="29" t="str">
        <f t="shared" si="611"/>
        <v>#DIV/0!</v>
      </c>
      <c r="BI608" s="29" t="str">
        <f t="shared" si="611"/>
        <v>#DIV/0!</v>
      </c>
      <c r="BJ608" s="29" t="str">
        <f t="shared" si="611"/>
        <v>#DIV/0!</v>
      </c>
      <c r="BK608" s="29" t="str">
        <f t="shared" si="611"/>
        <v>#DIV/0!</v>
      </c>
      <c r="BL608" s="29" t="str">
        <f t="shared" si="611"/>
        <v>#DIV/0!</v>
      </c>
      <c r="BM608" s="29" t="str">
        <f t="shared" si="3"/>
        <v>#DIV/0!</v>
      </c>
    </row>
    <row r="609">
      <c r="A609" s="16" t="str">
        <f>IFERROR(__xludf.DUMMYFUNCTION("IFERROR(SPARKLINE(SORT(MAP(TRANSPOSE(AQ609:BL609), LAMBDA(val, IF(ISNUMBER(val), PERCENTRANK(AQ609:BL609, val)+0.01, 0))), SEQUENCE(COLUMNS(AQ609:BL609)), FALSE), {""charttype"",""column""; ""color"",""chartreuse""; ""ymin"", 0; ""ymax"", 1.01; ""highcolo"&amp;"r"", ""darkgreen""; ""lowcolor"", ""red""}), """")"),"")</f>
        <v/>
      </c>
      <c r="B609" s="17" t="str">
        <f t="shared" si="4"/>
        <v/>
      </c>
      <c r="C609" s="1" t="s">
        <v>2725</v>
      </c>
      <c r="D609" s="34" t="str">
        <f>IFERROR(__xludf.DUMMYFUNCTION("IFERROR(GOOGLEFINANCE(C609, ""NAME""))"),"Financial Institutions Inc")</f>
        <v>Financial Institutions Inc</v>
      </c>
      <c r="E609" s="30" t="s">
        <v>268</v>
      </c>
      <c r="F609" s="33" t="str">
        <f>IFERROR(__xludf.DUMMYFUNCTION("( (GOOGLEFINANCE(C609, ""price"") - Q609) / Q609 ) / (R609 / 100)"),"Loading...")</f>
        <v>Loading...</v>
      </c>
      <c r="G609" s="20" t="str">
        <f>IFERROR(__xludf.DUMMYFUNCTION("AVERAGE(ARRAYFORMULA(100 * (QUERY(GOOGLEFINANCE(C609, ""high"", TODAY()-40, TODAY()), ""SELECT Col2 WHERE Col2 IS NOT NULL ORDER BY Col1 DESC LIMIT 20"", 0) / QUERY(GOOGLEFINANCE(C609, ""low"", TODAY()-40, TODAY()), ""SELECT Col2 WHERE Col2 IS NOT NULL OR"&amp;"DER BY Col1 DESC LIMIT 20"", 0) - 1)))"),"#N/A")</f>
        <v>#N/A</v>
      </c>
      <c r="H609" s="35" t="str">
        <f t="shared" si="6"/>
        <v/>
      </c>
      <c r="I609" s="36" t="str">
        <f t="shared" si="7"/>
        <v/>
      </c>
      <c r="J609" s="37" t="str">
        <f>IFERROR(__xludf.DUMMYFUNCTION("IFERROR(
  IF(C609="""",, 
    IFERROR(
      GOOGLEFINANCE(C609, ""price"") * GOOGLEFINANCE(C609, ""volumeavg""), 
      GOOGLEFINANCE(C609, ""price"") * AVERAGE(QUERY(GOOGLEFINANCE(C609, ""volume"", TODAY()-40, TODAY()), ""SELECT Col2 WHERE Col2 IS NOT "&amp;"NULL ORDER BY Col1 DESC LIMIT 20"", 0))
    )
  ), 
"""")"),"")</f>
        <v/>
      </c>
      <c r="K609" s="21" t="str">
        <f>IFERROR(__xludf.DUMMYFUNCTION("IFERROR(GOOGLEFINANCE(C609, ""changepct"") / 100, """")"),"")</f>
        <v/>
      </c>
      <c r="L609" s="21" t="str">
        <f>IFERROR(__xludf.DUMMYFUNCTION("IFERROR((GOOGLEFINANCE(C609, ""price"") / INDEX(GOOGLEFINANCE(C609, ""price"", TODAY()-7, TODAY()), 2, 2)) - 1, """")"),"")</f>
        <v/>
      </c>
      <c r="M609" s="21" t="str">
        <f>IFERROR(__xludf.DUMMYFUNCTION("IFERROR((GOOGLEFINANCE(C609, ""price"") / INDEX(GOOGLEFINANCE(C609, ""price"", EDATE(TODAY(), -1), TODAY()), 2, 2)) - 1, """")"),"")</f>
        <v/>
      </c>
      <c r="N609" s="21" t="str">
        <f>IFERROR(__xludf.DUMMYFUNCTION("IFERROR((GOOGLEFINANCE(C609, ""price"") / INDEX(GOOGLEFINANCE(C609, ""price"", EDATE(TODAY(), -3), TODAY()), 2, 2)) - 1, """")"),"")</f>
        <v/>
      </c>
      <c r="O609" s="21" t="str">
        <f>IFERROR(__xludf.DUMMYFUNCTION("IFERROR((GOOGLEFINANCE(C609, ""price"") / INDEX(GOOGLEFINANCE(C609, ""price"", EDATE(TODAY(), -6), TODAY()), 2, 2)) - 1, """")"),"")</f>
        <v/>
      </c>
      <c r="P609" s="21" t="str">
        <f>IFERROR(__xludf.DUMMYFUNCTION("IFERROR((GOOGLEFINANCE(C609, ""price"") / INDEX(GOOGLEFINANCE(C609, ""price"", EDATE(TODAY(), -12), TODAY()), 2, 2)) - 1, """")"),"")</f>
        <v/>
      </c>
      <c r="Q609" s="6" t="str">
        <f>IFERROR(__xludf.DUMMYFUNCTION("AVERAGE(QUERY(GOOGLEFINANCE(C609, ""price"", TODAY()-80, TODAY()), ""SELECT Col2 WHERE Col2 IS NOT NULL ORDER BY Col1 DESC LIMIT 50"", 0))"),"#N/A")</f>
        <v>#N/A</v>
      </c>
      <c r="R609" s="24" t="str">
        <f>IFERROR(__xludf.DUMMYFUNCTION("IFERROR(
  LET(
    data, QUERY(GOOGLEFINANCE(C609,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GOOGLEFINANCE(C609, ""price"")) * 100,
    IF(calc=0, G609, calc)
  ), 
G609)"),"#N/A")</f>
        <v>#N/A</v>
      </c>
      <c r="S609" s="8" t="s">
        <v>15</v>
      </c>
      <c r="T609" s="26" t="str">
        <f>IFERROR(__xludf.DUMMYFUNCTION("IFERROR(TRANSPOSE(QUERY(IFERROR(SORT(GOOGLEFINANCE(C609, ""price"", WORKDAY(TODAY(), -40), TODAY()), 1, FALSE)), ""select Col2 where Col2 is not null limit 22 label Col2 ''"", 0)), """")"),"")</f>
        <v/>
      </c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8"/>
      <c r="AO609" s="28"/>
      <c r="AP609" s="29"/>
      <c r="AQ609" s="29" t="str">
        <f t="shared" ref="AQ609:BL609" si="612">T609/T$2</f>
        <v>#N/A</v>
      </c>
      <c r="AR609" s="29" t="str">
        <f t="shared" si="612"/>
        <v>#DIV/0!</v>
      </c>
      <c r="AS609" s="29" t="str">
        <f t="shared" si="612"/>
        <v>#DIV/0!</v>
      </c>
      <c r="AT609" s="29" t="str">
        <f t="shared" si="612"/>
        <v>#DIV/0!</v>
      </c>
      <c r="AU609" s="29" t="str">
        <f t="shared" si="612"/>
        <v>#DIV/0!</v>
      </c>
      <c r="AV609" s="29" t="str">
        <f t="shared" si="612"/>
        <v>#DIV/0!</v>
      </c>
      <c r="AW609" s="29" t="str">
        <f t="shared" si="612"/>
        <v>#DIV/0!</v>
      </c>
      <c r="AX609" s="29" t="str">
        <f t="shared" si="612"/>
        <v>#DIV/0!</v>
      </c>
      <c r="AY609" s="29" t="str">
        <f t="shared" si="612"/>
        <v>#DIV/0!</v>
      </c>
      <c r="AZ609" s="29" t="str">
        <f t="shared" si="612"/>
        <v>#DIV/0!</v>
      </c>
      <c r="BA609" s="29" t="str">
        <f t="shared" si="612"/>
        <v>#DIV/0!</v>
      </c>
      <c r="BB609" s="29" t="str">
        <f t="shared" si="612"/>
        <v>#DIV/0!</v>
      </c>
      <c r="BC609" s="29" t="str">
        <f t="shared" si="612"/>
        <v>#DIV/0!</v>
      </c>
      <c r="BD609" s="29" t="str">
        <f t="shared" si="612"/>
        <v>#DIV/0!</v>
      </c>
      <c r="BE609" s="29" t="str">
        <f t="shared" si="612"/>
        <v>#DIV/0!</v>
      </c>
      <c r="BF609" s="29" t="str">
        <f t="shared" si="612"/>
        <v>#DIV/0!</v>
      </c>
      <c r="BG609" s="29" t="str">
        <f t="shared" si="612"/>
        <v>#DIV/0!</v>
      </c>
      <c r="BH609" s="29" t="str">
        <f t="shared" si="612"/>
        <v>#DIV/0!</v>
      </c>
      <c r="BI609" s="29" t="str">
        <f t="shared" si="612"/>
        <v>#DIV/0!</v>
      </c>
      <c r="BJ609" s="29" t="str">
        <f t="shared" si="612"/>
        <v>#DIV/0!</v>
      </c>
      <c r="BK609" s="29" t="str">
        <f t="shared" si="612"/>
        <v>#DIV/0!</v>
      </c>
      <c r="BL609" s="29" t="str">
        <f t="shared" si="612"/>
        <v>#DIV/0!</v>
      </c>
      <c r="BM609" s="29" t="str">
        <f t="shared" si="3"/>
        <v>#DIV/0!</v>
      </c>
    </row>
    <row r="610">
      <c r="A610" s="16" t="str">
        <f>IFERROR(__xludf.DUMMYFUNCTION("IFERROR(SPARKLINE(SORT(MAP(TRANSPOSE(AQ610:BL610), LAMBDA(val, IF(ISNUMBER(val), PERCENTRANK(AQ610:BL610, val)+0.01, 0))), SEQUENCE(COLUMNS(AQ610:BL610)), FALSE), {""charttype"",""column""; ""color"",""chartreuse""; ""ymin"", 0; ""ymax"", 1.01; ""highcolo"&amp;"r"", ""darkgreen""; ""lowcolor"", ""red""}), """")"),"")</f>
        <v/>
      </c>
      <c r="B610" s="17" t="str">
        <f t="shared" si="4"/>
        <v/>
      </c>
      <c r="C610" s="1" t="s">
        <v>2729</v>
      </c>
      <c r="D610" s="34" t="str">
        <f>IFERROR(__xludf.DUMMYFUNCTION("IFERROR(GOOGLEFINANCE(C610, ""NAME""))"),"East West Bancorp Inc")</f>
        <v>East West Bancorp Inc</v>
      </c>
      <c r="E610" s="30" t="s">
        <v>268</v>
      </c>
      <c r="F610" s="33" t="str">
        <f>IFERROR(__xludf.DUMMYFUNCTION("( (GOOGLEFINANCE(C610, ""price"") - Q610) / Q610 ) / (R610 / 100)"),"Loading...")</f>
        <v>Loading...</v>
      </c>
      <c r="G610" s="20" t="str">
        <f>IFERROR(__xludf.DUMMYFUNCTION("AVERAGE(ARRAYFORMULA(100 * (QUERY(GOOGLEFINANCE(C610, ""high"", TODAY()-40, TODAY()), ""SELECT Col2 WHERE Col2 IS NOT NULL ORDER BY Col1 DESC LIMIT 20"", 0) / QUERY(GOOGLEFINANCE(C610, ""low"", TODAY()-40, TODAY()), ""SELECT Col2 WHERE Col2 IS NOT NULL OR"&amp;"DER BY Col1 DESC LIMIT 20"", 0) - 1)))"),"#N/A")</f>
        <v>#N/A</v>
      </c>
      <c r="H610" s="35" t="str">
        <f t="shared" si="6"/>
        <v/>
      </c>
      <c r="I610" s="36" t="str">
        <f t="shared" si="7"/>
        <v/>
      </c>
      <c r="J610" s="37" t="str">
        <f>IFERROR(__xludf.DUMMYFUNCTION("IFERROR(
  IF(C610="""",, 
    IFERROR(
      GOOGLEFINANCE(C610, ""price"") * GOOGLEFINANCE(C610, ""volumeavg""), 
      GOOGLEFINANCE(C610, ""price"") * AVERAGE(QUERY(GOOGLEFINANCE(C610, ""volume"", TODAY()-40, TODAY()), ""SELECT Col2 WHERE Col2 IS NOT "&amp;"NULL ORDER BY Col1 DESC LIMIT 20"", 0))
    )
  ), 
"""")"),"")</f>
        <v/>
      </c>
      <c r="K610" s="21" t="str">
        <f>IFERROR(__xludf.DUMMYFUNCTION("IFERROR(GOOGLEFINANCE(C610, ""changepct"") / 100, """")"),"")</f>
        <v/>
      </c>
      <c r="L610" s="21" t="str">
        <f>IFERROR(__xludf.DUMMYFUNCTION("IFERROR((GOOGLEFINANCE(C610, ""price"") / INDEX(GOOGLEFINANCE(C610, ""price"", TODAY()-7, TODAY()), 2, 2)) - 1, """")"),"")</f>
        <v/>
      </c>
      <c r="M610" s="21" t="str">
        <f>IFERROR(__xludf.DUMMYFUNCTION("IFERROR((GOOGLEFINANCE(C610, ""price"") / INDEX(GOOGLEFINANCE(C610, ""price"", EDATE(TODAY(), -1), TODAY()), 2, 2)) - 1, """")"),"")</f>
        <v/>
      </c>
      <c r="N610" s="21" t="str">
        <f>IFERROR(__xludf.DUMMYFUNCTION("IFERROR((GOOGLEFINANCE(C610, ""price"") / INDEX(GOOGLEFINANCE(C610, ""price"", EDATE(TODAY(), -3), TODAY()), 2, 2)) - 1, """")"),"")</f>
        <v/>
      </c>
      <c r="O610" s="21" t="str">
        <f>IFERROR(__xludf.DUMMYFUNCTION("IFERROR((GOOGLEFINANCE(C610, ""price"") / INDEX(GOOGLEFINANCE(C610, ""price"", EDATE(TODAY(), -6), TODAY()), 2, 2)) - 1, """")"),"")</f>
        <v/>
      </c>
      <c r="P610" s="21" t="str">
        <f>IFERROR(__xludf.DUMMYFUNCTION("IFERROR((GOOGLEFINANCE(C610, ""price"") / INDEX(GOOGLEFINANCE(C610, ""price"", EDATE(TODAY(), -12), TODAY()), 2, 2)) - 1, """")"),"")</f>
        <v/>
      </c>
      <c r="Q610" s="6" t="str">
        <f>IFERROR(__xludf.DUMMYFUNCTION("AVERAGE(QUERY(GOOGLEFINANCE(C610, ""price"", TODAY()-80, TODAY()), ""SELECT Col2 WHERE Col2 IS NOT NULL ORDER BY Col1 DESC LIMIT 50"", 0))"),"#N/A")</f>
        <v>#N/A</v>
      </c>
      <c r="R610" s="24" t="str">
        <f>IFERROR(__xludf.DUMMYFUNCTION("IFERROR(
  LET(
    data, QUERY(GOOGLEFINANCE(C610,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GOOGLEFINANCE(C610, ""price"")) * 100,
    IF(calc=0, G610, calc)
  ), 
G610)"),"#N/A")</f>
        <v>#N/A</v>
      </c>
      <c r="S610" s="8" t="s">
        <v>15</v>
      </c>
      <c r="T610" s="26" t="str">
        <f>IFERROR(__xludf.DUMMYFUNCTION("IFERROR(TRANSPOSE(QUERY(IFERROR(SORT(GOOGLEFINANCE(C610, ""price"", WORKDAY(TODAY(), -40), TODAY()), 1, FALSE)), ""select Col2 where Col2 is not null limit 22 label Col2 ''"", 0)), """")"),"")</f>
        <v/>
      </c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8"/>
      <c r="AO610" s="28"/>
      <c r="AP610" s="29"/>
      <c r="AQ610" s="29" t="str">
        <f t="shared" ref="AQ610:BL610" si="613">T610/T$2</f>
        <v>#N/A</v>
      </c>
      <c r="AR610" s="29" t="str">
        <f t="shared" si="613"/>
        <v>#DIV/0!</v>
      </c>
      <c r="AS610" s="29" t="str">
        <f t="shared" si="613"/>
        <v>#DIV/0!</v>
      </c>
      <c r="AT610" s="29" t="str">
        <f t="shared" si="613"/>
        <v>#DIV/0!</v>
      </c>
      <c r="AU610" s="29" t="str">
        <f t="shared" si="613"/>
        <v>#DIV/0!</v>
      </c>
      <c r="AV610" s="29" t="str">
        <f t="shared" si="613"/>
        <v>#DIV/0!</v>
      </c>
      <c r="AW610" s="29" t="str">
        <f t="shared" si="613"/>
        <v>#DIV/0!</v>
      </c>
      <c r="AX610" s="29" t="str">
        <f t="shared" si="613"/>
        <v>#DIV/0!</v>
      </c>
      <c r="AY610" s="29" t="str">
        <f t="shared" si="613"/>
        <v>#DIV/0!</v>
      </c>
      <c r="AZ610" s="29" t="str">
        <f t="shared" si="613"/>
        <v>#DIV/0!</v>
      </c>
      <c r="BA610" s="29" t="str">
        <f t="shared" si="613"/>
        <v>#DIV/0!</v>
      </c>
      <c r="BB610" s="29" t="str">
        <f t="shared" si="613"/>
        <v>#DIV/0!</v>
      </c>
      <c r="BC610" s="29" t="str">
        <f t="shared" si="613"/>
        <v>#DIV/0!</v>
      </c>
      <c r="BD610" s="29" t="str">
        <f t="shared" si="613"/>
        <v>#DIV/0!</v>
      </c>
      <c r="BE610" s="29" t="str">
        <f t="shared" si="613"/>
        <v>#DIV/0!</v>
      </c>
      <c r="BF610" s="29" t="str">
        <f t="shared" si="613"/>
        <v>#DIV/0!</v>
      </c>
      <c r="BG610" s="29" t="str">
        <f t="shared" si="613"/>
        <v>#DIV/0!</v>
      </c>
      <c r="BH610" s="29" t="str">
        <f t="shared" si="613"/>
        <v>#DIV/0!</v>
      </c>
      <c r="BI610" s="29" t="str">
        <f t="shared" si="613"/>
        <v>#DIV/0!</v>
      </c>
      <c r="BJ610" s="29" t="str">
        <f t="shared" si="613"/>
        <v>#DIV/0!</v>
      </c>
      <c r="BK610" s="29" t="str">
        <f t="shared" si="613"/>
        <v>#DIV/0!</v>
      </c>
      <c r="BL610" s="29" t="str">
        <f t="shared" si="613"/>
        <v>#DIV/0!</v>
      </c>
      <c r="BM610" s="29" t="str">
        <f t="shared" si="3"/>
        <v>#DIV/0!</v>
      </c>
    </row>
    <row r="611">
      <c r="A611" s="16" t="str">
        <f>IFERROR(__xludf.DUMMYFUNCTION("IFERROR(SPARKLINE(SORT(MAP(TRANSPOSE(AQ611:BL611), LAMBDA(val, IF(ISNUMBER(val), PERCENTRANK(AQ611:BL611, val)+0.01, 0))), SEQUENCE(COLUMNS(AQ611:BL611)), FALSE), {""charttype"",""column""; ""color"",""chartreuse""; ""ymin"", 0; ""ymax"", 1.01; ""highcolo"&amp;"r"", ""darkgreen""; ""lowcolor"", ""red""}), """")"),"")</f>
        <v/>
      </c>
      <c r="B611" s="17" t="str">
        <f t="shared" si="4"/>
        <v/>
      </c>
      <c r="C611" s="1" t="s">
        <v>2733</v>
      </c>
      <c r="D611" s="34" t="str">
        <f>IFERROR(__xludf.DUMMYFUNCTION("IFERROR(GOOGLEFINANCE(C611, ""NAME""))"),"HBT Financial, Inc")</f>
        <v>HBT Financial, Inc</v>
      </c>
      <c r="E611" s="30" t="s">
        <v>268</v>
      </c>
      <c r="F611" s="33" t="str">
        <f>IFERROR(__xludf.DUMMYFUNCTION("( (GOOGLEFINANCE(C611, ""price"") - Q611) / Q611 ) / (R611 / 100)"),"Loading...")</f>
        <v>Loading...</v>
      </c>
      <c r="G611" s="20" t="str">
        <f>IFERROR(__xludf.DUMMYFUNCTION("AVERAGE(ARRAYFORMULA(100 * (QUERY(GOOGLEFINANCE(C611, ""high"", TODAY()-40, TODAY()), ""SELECT Col2 WHERE Col2 IS NOT NULL ORDER BY Col1 DESC LIMIT 20"", 0) / QUERY(GOOGLEFINANCE(C611, ""low"", TODAY()-40, TODAY()), ""SELECT Col2 WHERE Col2 IS NOT NULL OR"&amp;"DER BY Col1 DESC LIMIT 20"", 0) - 1)))"),"#N/A")</f>
        <v>#N/A</v>
      </c>
      <c r="H611" s="35" t="str">
        <f t="shared" si="6"/>
        <v/>
      </c>
      <c r="I611" s="36" t="str">
        <f t="shared" si="7"/>
        <v/>
      </c>
      <c r="J611" s="37" t="str">
        <f>IFERROR(__xludf.DUMMYFUNCTION("IFERROR(
  IF(C611="""",, 
    IFERROR(
      GOOGLEFINANCE(C611, ""price"") * GOOGLEFINANCE(C611, ""volumeavg""), 
      GOOGLEFINANCE(C611, ""price"") * AVERAGE(QUERY(GOOGLEFINANCE(C611, ""volume"", TODAY()-40, TODAY()), ""SELECT Col2 WHERE Col2 IS NOT "&amp;"NULL ORDER BY Col1 DESC LIMIT 20"", 0))
    )
  ), 
"""")"),"")</f>
        <v/>
      </c>
      <c r="K611" s="21" t="str">
        <f>IFERROR(__xludf.DUMMYFUNCTION("IFERROR(GOOGLEFINANCE(C611, ""changepct"") / 100, """")"),"")</f>
        <v/>
      </c>
      <c r="L611" s="21" t="str">
        <f>IFERROR(__xludf.DUMMYFUNCTION("IFERROR((GOOGLEFINANCE(C611, ""price"") / INDEX(GOOGLEFINANCE(C611, ""price"", TODAY()-7, TODAY()), 2, 2)) - 1, """")"),"")</f>
        <v/>
      </c>
      <c r="M611" s="21" t="str">
        <f>IFERROR(__xludf.DUMMYFUNCTION("IFERROR((GOOGLEFINANCE(C611, ""price"") / INDEX(GOOGLEFINANCE(C611, ""price"", EDATE(TODAY(), -1), TODAY()), 2, 2)) - 1, """")"),"")</f>
        <v/>
      </c>
      <c r="N611" s="21" t="str">
        <f>IFERROR(__xludf.DUMMYFUNCTION("IFERROR((GOOGLEFINANCE(C611, ""price"") / INDEX(GOOGLEFINANCE(C611, ""price"", EDATE(TODAY(), -3), TODAY()), 2, 2)) - 1, """")"),"")</f>
        <v/>
      </c>
      <c r="O611" s="21" t="str">
        <f>IFERROR(__xludf.DUMMYFUNCTION("IFERROR((GOOGLEFINANCE(C611, ""price"") / INDEX(GOOGLEFINANCE(C611, ""price"", EDATE(TODAY(), -6), TODAY()), 2, 2)) - 1, """")"),"")</f>
        <v/>
      </c>
      <c r="P611" s="21" t="str">
        <f>IFERROR(__xludf.DUMMYFUNCTION("IFERROR((GOOGLEFINANCE(C611, ""price"") / INDEX(GOOGLEFINANCE(C611, ""price"", EDATE(TODAY(), -12), TODAY()), 2, 2)) - 1, """")"),"")</f>
        <v/>
      </c>
      <c r="Q611" s="6" t="str">
        <f>IFERROR(__xludf.DUMMYFUNCTION("AVERAGE(QUERY(GOOGLEFINANCE(C611, ""price"", TODAY()-80, TODAY()), ""SELECT Col2 WHERE Col2 IS NOT NULL ORDER BY Col1 DESC LIMIT 50"", 0))"),"#N/A")</f>
        <v>#N/A</v>
      </c>
      <c r="R611" s="24" t="str">
        <f>IFERROR(__xludf.DUMMYFUNCTION("IFERROR(
  LET(
    data, QUERY(GOOGLEFINANCE(C611,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GOOGLEFINANCE(C611, ""price"")) * 100,
    IF(calc=0, G611, calc)
  ), 
G611)"),"#N/A")</f>
        <v>#N/A</v>
      </c>
      <c r="S611" s="8" t="s">
        <v>15</v>
      </c>
      <c r="T611" s="26" t="str">
        <f>IFERROR(__xludf.DUMMYFUNCTION("IFERROR(TRANSPOSE(QUERY(IFERROR(SORT(GOOGLEFINANCE(C611, ""price"", WORKDAY(TODAY(), -40), TODAY()), 1, FALSE)), ""select Col2 where Col2 is not null limit 22 label Col2 ''"", 0)), """")"),"")</f>
        <v/>
      </c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8"/>
      <c r="AO611" s="28"/>
      <c r="AP611" s="29"/>
      <c r="AQ611" s="29" t="str">
        <f t="shared" ref="AQ611:BL611" si="614">T611/T$2</f>
        <v>#N/A</v>
      </c>
      <c r="AR611" s="29" t="str">
        <f t="shared" si="614"/>
        <v>#DIV/0!</v>
      </c>
      <c r="AS611" s="29" t="str">
        <f t="shared" si="614"/>
        <v>#DIV/0!</v>
      </c>
      <c r="AT611" s="29" t="str">
        <f t="shared" si="614"/>
        <v>#DIV/0!</v>
      </c>
      <c r="AU611" s="29" t="str">
        <f t="shared" si="614"/>
        <v>#DIV/0!</v>
      </c>
      <c r="AV611" s="29" t="str">
        <f t="shared" si="614"/>
        <v>#DIV/0!</v>
      </c>
      <c r="AW611" s="29" t="str">
        <f t="shared" si="614"/>
        <v>#DIV/0!</v>
      </c>
      <c r="AX611" s="29" t="str">
        <f t="shared" si="614"/>
        <v>#DIV/0!</v>
      </c>
      <c r="AY611" s="29" t="str">
        <f t="shared" si="614"/>
        <v>#DIV/0!</v>
      </c>
      <c r="AZ611" s="29" t="str">
        <f t="shared" si="614"/>
        <v>#DIV/0!</v>
      </c>
      <c r="BA611" s="29" t="str">
        <f t="shared" si="614"/>
        <v>#DIV/0!</v>
      </c>
      <c r="BB611" s="29" t="str">
        <f t="shared" si="614"/>
        <v>#DIV/0!</v>
      </c>
      <c r="BC611" s="29" t="str">
        <f t="shared" si="614"/>
        <v>#DIV/0!</v>
      </c>
      <c r="BD611" s="29" t="str">
        <f t="shared" si="614"/>
        <v>#DIV/0!</v>
      </c>
      <c r="BE611" s="29" t="str">
        <f t="shared" si="614"/>
        <v>#DIV/0!</v>
      </c>
      <c r="BF611" s="29" t="str">
        <f t="shared" si="614"/>
        <v>#DIV/0!</v>
      </c>
      <c r="BG611" s="29" t="str">
        <f t="shared" si="614"/>
        <v>#DIV/0!</v>
      </c>
      <c r="BH611" s="29" t="str">
        <f t="shared" si="614"/>
        <v>#DIV/0!</v>
      </c>
      <c r="BI611" s="29" t="str">
        <f t="shared" si="614"/>
        <v>#DIV/0!</v>
      </c>
      <c r="BJ611" s="29" t="str">
        <f t="shared" si="614"/>
        <v>#DIV/0!</v>
      </c>
      <c r="BK611" s="29" t="str">
        <f t="shared" si="614"/>
        <v>#DIV/0!</v>
      </c>
      <c r="BL611" s="29" t="str">
        <f t="shared" si="614"/>
        <v>#DIV/0!</v>
      </c>
      <c r="BM611" s="29" t="str">
        <f t="shared" si="3"/>
        <v>#DIV/0!</v>
      </c>
    </row>
    <row r="612">
      <c r="A612" s="16" t="str">
        <f>IFERROR(__xludf.DUMMYFUNCTION("IFERROR(SPARKLINE(SORT(MAP(TRANSPOSE(AQ612:BL612), LAMBDA(val, IF(ISNUMBER(val), PERCENTRANK(AQ612:BL612, val)+0.01, 0))), SEQUENCE(COLUMNS(AQ612:BL612)), FALSE), {""charttype"",""column""; ""color"",""chartreuse""; ""ymin"", 0; ""ymax"", 1.01; ""highcolo"&amp;"r"", ""darkgreen""; ""lowcolor"", ""red""}), """")"),"")</f>
        <v/>
      </c>
      <c r="B612" s="17" t="str">
        <f t="shared" si="4"/>
        <v/>
      </c>
      <c r="C612" s="1" t="s">
        <v>2737</v>
      </c>
      <c r="D612" s="34" t="str">
        <f>IFERROR(__xludf.DUMMYFUNCTION("IFERROR(GOOGLEFINANCE(C612, ""NAME""))"),"Civista Bancshares Inc")</f>
        <v>Civista Bancshares Inc</v>
      </c>
      <c r="E612" s="30" t="s">
        <v>268</v>
      </c>
      <c r="F612" s="33" t="str">
        <f>IFERROR(__xludf.DUMMYFUNCTION("( (GOOGLEFINANCE(C612, ""price"") - Q612) / Q612 ) / (R612 / 100)"),"Loading...")</f>
        <v>Loading...</v>
      </c>
      <c r="G612" s="20" t="str">
        <f>IFERROR(__xludf.DUMMYFUNCTION("AVERAGE(ARRAYFORMULA(100 * (QUERY(GOOGLEFINANCE(C612, ""high"", TODAY()-40, TODAY()), ""SELECT Col2 WHERE Col2 IS NOT NULL ORDER BY Col1 DESC LIMIT 20"", 0) / QUERY(GOOGLEFINANCE(C612, ""low"", TODAY()-40, TODAY()), ""SELECT Col2 WHERE Col2 IS NOT NULL OR"&amp;"DER BY Col1 DESC LIMIT 20"", 0) - 1)))"),"#N/A")</f>
        <v>#N/A</v>
      </c>
      <c r="H612" s="35" t="str">
        <f t="shared" si="6"/>
        <v/>
      </c>
      <c r="I612" s="36" t="str">
        <f t="shared" si="7"/>
        <v/>
      </c>
      <c r="J612" s="37" t="str">
        <f>IFERROR(__xludf.DUMMYFUNCTION("IFERROR(
  IF(C612="""",, 
    IFERROR(
      GOOGLEFINANCE(C612, ""price"") * GOOGLEFINANCE(C612, ""volumeavg""), 
      GOOGLEFINANCE(C612, ""price"") * AVERAGE(QUERY(GOOGLEFINANCE(C612, ""volume"", TODAY()-40, TODAY()), ""SELECT Col2 WHERE Col2 IS NOT "&amp;"NULL ORDER BY Col1 DESC LIMIT 20"", 0))
    )
  ), 
"""")"),"")</f>
        <v/>
      </c>
      <c r="K612" s="21" t="str">
        <f>IFERROR(__xludf.DUMMYFUNCTION("IFERROR(GOOGLEFINANCE(C612, ""changepct"") / 100, """")"),"")</f>
        <v/>
      </c>
      <c r="L612" s="21" t="str">
        <f>IFERROR(__xludf.DUMMYFUNCTION("IFERROR((GOOGLEFINANCE(C612, ""price"") / INDEX(GOOGLEFINANCE(C612, ""price"", TODAY()-7, TODAY()), 2, 2)) - 1, """")"),"")</f>
        <v/>
      </c>
      <c r="M612" s="21" t="str">
        <f>IFERROR(__xludf.DUMMYFUNCTION("IFERROR((GOOGLEFINANCE(C612, ""price"") / INDEX(GOOGLEFINANCE(C612, ""price"", EDATE(TODAY(), -1), TODAY()), 2, 2)) - 1, """")"),"")</f>
        <v/>
      </c>
      <c r="N612" s="21" t="str">
        <f>IFERROR(__xludf.DUMMYFUNCTION("IFERROR((GOOGLEFINANCE(C612, ""price"") / INDEX(GOOGLEFINANCE(C612, ""price"", EDATE(TODAY(), -3), TODAY()), 2, 2)) - 1, """")"),"")</f>
        <v/>
      </c>
      <c r="O612" s="21" t="str">
        <f>IFERROR(__xludf.DUMMYFUNCTION("IFERROR((GOOGLEFINANCE(C612, ""price"") / INDEX(GOOGLEFINANCE(C612, ""price"", EDATE(TODAY(), -6), TODAY()), 2, 2)) - 1, """")"),"")</f>
        <v/>
      </c>
      <c r="P612" s="21" t="str">
        <f>IFERROR(__xludf.DUMMYFUNCTION("IFERROR((GOOGLEFINANCE(C612, ""price"") / INDEX(GOOGLEFINANCE(C612, ""price"", EDATE(TODAY(), -12), TODAY()), 2, 2)) - 1, """")"),"")</f>
        <v/>
      </c>
      <c r="Q612" s="6" t="str">
        <f>IFERROR(__xludf.DUMMYFUNCTION("AVERAGE(QUERY(GOOGLEFINANCE(C612, ""price"", TODAY()-80, TODAY()), ""SELECT Col2 WHERE Col2 IS NOT NULL ORDER BY Col1 DESC LIMIT 50"", 0))"),"#N/A")</f>
        <v>#N/A</v>
      </c>
      <c r="R612" s="24" t="str">
        <f>IFERROR(__xludf.DUMMYFUNCTION("IFERROR(
  LET(
    data, QUERY(GOOGLEFINANCE(C612,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GOOGLEFINANCE(C612, ""price"")) * 100,
    IF(calc=0, G612, calc)
  ), 
G612)"),"#N/A")</f>
        <v>#N/A</v>
      </c>
      <c r="S612" s="8" t="s">
        <v>15</v>
      </c>
      <c r="T612" s="26" t="str">
        <f>IFERROR(__xludf.DUMMYFUNCTION("IFERROR(TRANSPOSE(QUERY(IFERROR(SORT(GOOGLEFINANCE(C612, ""price"", WORKDAY(TODAY(), -40), TODAY()), 1, FALSE)), ""select Col2 where Col2 is not null limit 22 label Col2 ''"", 0)), """")"),"")</f>
        <v/>
      </c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8"/>
      <c r="AO612" s="28"/>
      <c r="AP612" s="29"/>
      <c r="AQ612" s="29" t="str">
        <f t="shared" ref="AQ612:BL612" si="615">T612/T$2</f>
        <v>#N/A</v>
      </c>
      <c r="AR612" s="29" t="str">
        <f t="shared" si="615"/>
        <v>#DIV/0!</v>
      </c>
      <c r="AS612" s="29" t="str">
        <f t="shared" si="615"/>
        <v>#DIV/0!</v>
      </c>
      <c r="AT612" s="29" t="str">
        <f t="shared" si="615"/>
        <v>#DIV/0!</v>
      </c>
      <c r="AU612" s="29" t="str">
        <f t="shared" si="615"/>
        <v>#DIV/0!</v>
      </c>
      <c r="AV612" s="29" t="str">
        <f t="shared" si="615"/>
        <v>#DIV/0!</v>
      </c>
      <c r="AW612" s="29" t="str">
        <f t="shared" si="615"/>
        <v>#DIV/0!</v>
      </c>
      <c r="AX612" s="29" t="str">
        <f t="shared" si="615"/>
        <v>#DIV/0!</v>
      </c>
      <c r="AY612" s="29" t="str">
        <f t="shared" si="615"/>
        <v>#DIV/0!</v>
      </c>
      <c r="AZ612" s="29" t="str">
        <f t="shared" si="615"/>
        <v>#DIV/0!</v>
      </c>
      <c r="BA612" s="29" t="str">
        <f t="shared" si="615"/>
        <v>#DIV/0!</v>
      </c>
      <c r="BB612" s="29" t="str">
        <f t="shared" si="615"/>
        <v>#DIV/0!</v>
      </c>
      <c r="BC612" s="29" t="str">
        <f t="shared" si="615"/>
        <v>#DIV/0!</v>
      </c>
      <c r="BD612" s="29" t="str">
        <f t="shared" si="615"/>
        <v>#DIV/0!</v>
      </c>
      <c r="BE612" s="29" t="str">
        <f t="shared" si="615"/>
        <v>#DIV/0!</v>
      </c>
      <c r="BF612" s="29" t="str">
        <f t="shared" si="615"/>
        <v>#DIV/0!</v>
      </c>
      <c r="BG612" s="29" t="str">
        <f t="shared" si="615"/>
        <v>#DIV/0!</v>
      </c>
      <c r="BH612" s="29" t="str">
        <f t="shared" si="615"/>
        <v>#DIV/0!</v>
      </c>
      <c r="BI612" s="29" t="str">
        <f t="shared" si="615"/>
        <v>#DIV/0!</v>
      </c>
      <c r="BJ612" s="29" t="str">
        <f t="shared" si="615"/>
        <v>#DIV/0!</v>
      </c>
      <c r="BK612" s="29" t="str">
        <f t="shared" si="615"/>
        <v>#DIV/0!</v>
      </c>
      <c r="BL612" s="29" t="str">
        <f t="shared" si="615"/>
        <v>#DIV/0!</v>
      </c>
      <c r="BM612" s="29" t="str">
        <f t="shared" si="3"/>
        <v>#DIV/0!</v>
      </c>
    </row>
    <row r="613">
      <c r="A613" s="16" t="str">
        <f>IFERROR(__xludf.DUMMYFUNCTION("IFERROR(SPARKLINE(SORT(MAP(TRANSPOSE(AQ613:BL613), LAMBDA(val, IF(ISNUMBER(val), PERCENTRANK(AQ613:BL613, val)+0.01, 0))), SEQUENCE(COLUMNS(AQ613:BL613)), FALSE), {""charttype"",""column""; ""color"",""chartreuse""; ""ymin"", 0; ""ymax"", 1.01; ""highcolo"&amp;"r"", ""darkgreen""; ""lowcolor"", ""red""}), """")"),"")</f>
        <v/>
      </c>
      <c r="B613" s="17" t="str">
        <f t="shared" si="4"/>
        <v/>
      </c>
      <c r="C613" s="1" t="s">
        <v>2741</v>
      </c>
      <c r="D613" s="34" t="str">
        <f>IFERROR(__xludf.DUMMYFUNCTION("IFERROR(GOOGLEFINANCE(C613, ""NAME""))"),"GBank Financial Holdings Inc")</f>
        <v>GBank Financial Holdings Inc</v>
      </c>
      <c r="E613" s="30" t="s">
        <v>268</v>
      </c>
      <c r="F613" s="33" t="str">
        <f>IFERROR(__xludf.DUMMYFUNCTION("( (GOOGLEFINANCE(C613, ""price"") - Q613) / Q613 ) / (R613 / 100)"),"Loading...")</f>
        <v>Loading...</v>
      </c>
      <c r="G613" s="20" t="str">
        <f>IFERROR(__xludf.DUMMYFUNCTION("AVERAGE(ARRAYFORMULA(100 * (QUERY(GOOGLEFINANCE(C613, ""high"", TODAY()-40, TODAY()), ""SELECT Col2 WHERE Col2 IS NOT NULL ORDER BY Col1 DESC LIMIT 20"", 0) / QUERY(GOOGLEFINANCE(C613, ""low"", TODAY()-40, TODAY()), ""SELECT Col2 WHERE Col2 IS NOT NULL OR"&amp;"DER BY Col1 DESC LIMIT 20"", 0) - 1)))"),"#N/A")</f>
        <v>#N/A</v>
      </c>
      <c r="H613" s="35" t="str">
        <f t="shared" si="6"/>
        <v/>
      </c>
      <c r="I613" s="36" t="str">
        <f t="shared" si="7"/>
        <v/>
      </c>
      <c r="J613" s="37" t="str">
        <f>IFERROR(__xludf.DUMMYFUNCTION("IFERROR(
  IF(C613="""",, 
    IFERROR(
      GOOGLEFINANCE(C613, ""price"") * GOOGLEFINANCE(C613, ""volumeavg""), 
      GOOGLEFINANCE(C613, ""price"") * AVERAGE(QUERY(GOOGLEFINANCE(C613, ""volume"", TODAY()-40, TODAY()), ""SELECT Col2 WHERE Col2 IS NOT "&amp;"NULL ORDER BY Col1 DESC LIMIT 20"", 0))
    )
  ), 
"""")"),"")</f>
        <v/>
      </c>
      <c r="K613" s="21" t="str">
        <f>IFERROR(__xludf.DUMMYFUNCTION("IFERROR(GOOGLEFINANCE(C613, ""changepct"") / 100, """")"),"")</f>
        <v/>
      </c>
      <c r="L613" s="21" t="str">
        <f>IFERROR(__xludf.DUMMYFUNCTION("IFERROR((GOOGLEFINANCE(C613, ""price"") / INDEX(GOOGLEFINANCE(C613, ""price"", TODAY()-7, TODAY()), 2, 2)) - 1, """")"),"")</f>
        <v/>
      </c>
      <c r="M613" s="21" t="str">
        <f>IFERROR(__xludf.DUMMYFUNCTION("IFERROR((GOOGLEFINANCE(C613, ""price"") / INDEX(GOOGLEFINANCE(C613, ""price"", EDATE(TODAY(), -1), TODAY()), 2, 2)) - 1, """")"),"")</f>
        <v/>
      </c>
      <c r="N613" s="21" t="str">
        <f>IFERROR(__xludf.DUMMYFUNCTION("IFERROR((GOOGLEFINANCE(C613, ""price"") / INDEX(GOOGLEFINANCE(C613, ""price"", EDATE(TODAY(), -3), TODAY()), 2, 2)) - 1, """")"),"")</f>
        <v/>
      </c>
      <c r="O613" s="21" t="str">
        <f>IFERROR(__xludf.DUMMYFUNCTION("IFERROR((GOOGLEFINANCE(C613, ""price"") / INDEX(GOOGLEFINANCE(C613, ""price"", EDATE(TODAY(), -6), TODAY()), 2, 2)) - 1, """")"),"")</f>
        <v/>
      </c>
      <c r="P613" s="21" t="str">
        <f>IFERROR(__xludf.DUMMYFUNCTION("IFERROR((GOOGLEFINANCE(C613, ""price"") / INDEX(GOOGLEFINANCE(C613, ""price"", EDATE(TODAY(), -12), TODAY()), 2, 2)) - 1, """")"),"")</f>
        <v/>
      </c>
      <c r="Q613" s="6" t="str">
        <f>IFERROR(__xludf.DUMMYFUNCTION("AVERAGE(QUERY(GOOGLEFINANCE(C613, ""price"", TODAY()-80, TODAY()), ""SELECT Col2 WHERE Col2 IS NOT NULL ORDER BY Col1 DESC LIMIT 50"", 0))"),"#N/A")</f>
        <v>#N/A</v>
      </c>
      <c r="R613" s="24" t="str">
        <f>IFERROR(__xludf.DUMMYFUNCTION("IFERROR(
  LET(
    data, QUERY(GOOGLEFINANCE(C613,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GOOGLEFINANCE(C613, ""price"")) * 100,
    IF(calc=0, G613, calc)
  ), 
G613)"),"#N/A")</f>
        <v>#N/A</v>
      </c>
      <c r="S613" s="8" t="s">
        <v>15</v>
      </c>
      <c r="T613" s="26" t="str">
        <f>IFERROR(__xludf.DUMMYFUNCTION("IFERROR(TRANSPOSE(QUERY(IFERROR(SORT(GOOGLEFINANCE(C613, ""price"", WORKDAY(TODAY(), -40), TODAY()), 1, FALSE)), ""select Col2 where Col2 is not null limit 22 label Col2 ''"", 0)), """")"),"")</f>
        <v/>
      </c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8"/>
      <c r="AO613" s="28"/>
      <c r="AP613" s="29"/>
      <c r="AQ613" s="29" t="str">
        <f t="shared" ref="AQ613:BL613" si="616">T613/T$2</f>
        <v>#N/A</v>
      </c>
      <c r="AR613" s="29" t="str">
        <f t="shared" si="616"/>
        <v>#DIV/0!</v>
      </c>
      <c r="AS613" s="29" t="str">
        <f t="shared" si="616"/>
        <v>#DIV/0!</v>
      </c>
      <c r="AT613" s="29" t="str">
        <f t="shared" si="616"/>
        <v>#DIV/0!</v>
      </c>
      <c r="AU613" s="29" t="str">
        <f t="shared" si="616"/>
        <v>#DIV/0!</v>
      </c>
      <c r="AV613" s="29" t="str">
        <f t="shared" si="616"/>
        <v>#DIV/0!</v>
      </c>
      <c r="AW613" s="29" t="str">
        <f t="shared" si="616"/>
        <v>#DIV/0!</v>
      </c>
      <c r="AX613" s="29" t="str">
        <f t="shared" si="616"/>
        <v>#DIV/0!</v>
      </c>
      <c r="AY613" s="29" t="str">
        <f t="shared" si="616"/>
        <v>#DIV/0!</v>
      </c>
      <c r="AZ613" s="29" t="str">
        <f t="shared" si="616"/>
        <v>#DIV/0!</v>
      </c>
      <c r="BA613" s="29" t="str">
        <f t="shared" si="616"/>
        <v>#DIV/0!</v>
      </c>
      <c r="BB613" s="29" t="str">
        <f t="shared" si="616"/>
        <v>#DIV/0!</v>
      </c>
      <c r="BC613" s="29" t="str">
        <f t="shared" si="616"/>
        <v>#DIV/0!</v>
      </c>
      <c r="BD613" s="29" t="str">
        <f t="shared" si="616"/>
        <v>#DIV/0!</v>
      </c>
      <c r="BE613" s="29" t="str">
        <f t="shared" si="616"/>
        <v>#DIV/0!</v>
      </c>
      <c r="BF613" s="29" t="str">
        <f t="shared" si="616"/>
        <v>#DIV/0!</v>
      </c>
      <c r="BG613" s="29" t="str">
        <f t="shared" si="616"/>
        <v>#DIV/0!</v>
      </c>
      <c r="BH613" s="29" t="str">
        <f t="shared" si="616"/>
        <v>#DIV/0!</v>
      </c>
      <c r="BI613" s="29" t="str">
        <f t="shared" si="616"/>
        <v>#DIV/0!</v>
      </c>
      <c r="BJ613" s="29" t="str">
        <f t="shared" si="616"/>
        <v>#DIV/0!</v>
      </c>
      <c r="BK613" s="29" t="str">
        <f t="shared" si="616"/>
        <v>#DIV/0!</v>
      </c>
      <c r="BL613" s="29" t="str">
        <f t="shared" si="616"/>
        <v>#DIV/0!</v>
      </c>
      <c r="BM613" s="29" t="str">
        <f t="shared" si="3"/>
        <v>#DIV/0!</v>
      </c>
    </row>
    <row r="614">
      <c r="A614" s="16" t="str">
        <f>IFERROR(__xludf.DUMMYFUNCTION("IFERROR(SPARKLINE(SORT(MAP(TRANSPOSE(AQ614:BL614), LAMBDA(val, IF(ISNUMBER(val), PERCENTRANK(AQ614:BL614, val)+0.01, 0))), SEQUENCE(COLUMNS(AQ614:BL614)), FALSE), {""charttype"",""column""; ""color"",""chartreuse""; ""ymin"", 0; ""ymax"", 1.01; ""highcolo"&amp;"r"", ""darkgreen""; ""lowcolor"", ""red""}), """")"),"")</f>
        <v/>
      </c>
      <c r="B614" s="17" t="str">
        <f t="shared" si="4"/>
        <v/>
      </c>
      <c r="C614" s="1" t="s">
        <v>2745</v>
      </c>
      <c r="D614" s="34" t="str">
        <f>IFERROR(__xludf.DUMMYFUNCTION("IFERROR(GOOGLEFINANCE(C614, ""NAME""))"),"Unity Bancorp Inc")</f>
        <v>Unity Bancorp Inc</v>
      </c>
      <c r="E614" s="30" t="s">
        <v>268</v>
      </c>
      <c r="F614" s="33" t="str">
        <f>IFERROR(__xludf.DUMMYFUNCTION("( (GOOGLEFINANCE(C614, ""price"") - Q614) / Q614 ) / (R614 / 100)"),"Loading...")</f>
        <v>Loading...</v>
      </c>
      <c r="G614" s="20" t="str">
        <f>IFERROR(__xludf.DUMMYFUNCTION("AVERAGE(ARRAYFORMULA(100 * (QUERY(GOOGLEFINANCE(C614, ""high"", TODAY()-40, TODAY()), ""SELECT Col2 WHERE Col2 IS NOT NULL ORDER BY Col1 DESC LIMIT 20"", 0) / QUERY(GOOGLEFINANCE(C614, ""low"", TODAY()-40, TODAY()), ""SELECT Col2 WHERE Col2 IS NOT NULL OR"&amp;"DER BY Col1 DESC LIMIT 20"", 0) - 1)))"),"#N/A")</f>
        <v>#N/A</v>
      </c>
      <c r="H614" s="35" t="str">
        <f t="shared" si="6"/>
        <v/>
      </c>
      <c r="I614" s="36" t="str">
        <f t="shared" si="7"/>
        <v/>
      </c>
      <c r="J614" s="37" t="str">
        <f>IFERROR(__xludf.DUMMYFUNCTION("IFERROR(
  IF(C614="""",, 
    IFERROR(
      GOOGLEFINANCE(C614, ""price"") * GOOGLEFINANCE(C614, ""volumeavg""), 
      GOOGLEFINANCE(C614, ""price"") * AVERAGE(QUERY(GOOGLEFINANCE(C614, ""volume"", TODAY()-40, TODAY()), ""SELECT Col2 WHERE Col2 IS NOT "&amp;"NULL ORDER BY Col1 DESC LIMIT 20"", 0))
    )
  ), 
"""")"),"")</f>
        <v/>
      </c>
      <c r="K614" s="21" t="str">
        <f>IFERROR(__xludf.DUMMYFUNCTION("IFERROR(GOOGLEFINANCE(C614, ""changepct"") / 100, """")"),"")</f>
        <v/>
      </c>
      <c r="L614" s="21" t="str">
        <f>IFERROR(__xludf.DUMMYFUNCTION("IFERROR((GOOGLEFINANCE(C614, ""price"") / INDEX(GOOGLEFINANCE(C614, ""price"", TODAY()-7, TODAY()), 2, 2)) - 1, """")"),"")</f>
        <v/>
      </c>
      <c r="M614" s="21" t="str">
        <f>IFERROR(__xludf.DUMMYFUNCTION("IFERROR((GOOGLEFINANCE(C614, ""price"") / INDEX(GOOGLEFINANCE(C614, ""price"", EDATE(TODAY(), -1), TODAY()), 2, 2)) - 1, """")"),"")</f>
        <v/>
      </c>
      <c r="N614" s="21" t="str">
        <f>IFERROR(__xludf.DUMMYFUNCTION("IFERROR((GOOGLEFINANCE(C614, ""price"") / INDEX(GOOGLEFINANCE(C614, ""price"", EDATE(TODAY(), -3), TODAY()), 2, 2)) - 1, """")"),"")</f>
        <v/>
      </c>
      <c r="O614" s="21" t="str">
        <f>IFERROR(__xludf.DUMMYFUNCTION("IFERROR((GOOGLEFINANCE(C614, ""price"") / INDEX(GOOGLEFINANCE(C614, ""price"", EDATE(TODAY(), -6), TODAY()), 2, 2)) - 1, """")"),"")</f>
        <v/>
      </c>
      <c r="P614" s="21" t="str">
        <f>IFERROR(__xludf.DUMMYFUNCTION("IFERROR((GOOGLEFINANCE(C614, ""price"") / INDEX(GOOGLEFINANCE(C614, ""price"", EDATE(TODAY(), -12), TODAY()), 2, 2)) - 1, """")"),"")</f>
        <v/>
      </c>
      <c r="Q614" s="6" t="str">
        <f>IFERROR(__xludf.DUMMYFUNCTION("AVERAGE(QUERY(GOOGLEFINANCE(C614, ""price"", TODAY()-80, TODAY()), ""SELECT Col2 WHERE Col2 IS NOT NULL ORDER BY Col1 DESC LIMIT 50"", 0))"),"#N/A")</f>
        <v>#N/A</v>
      </c>
      <c r="R614" s="24" t="str">
        <f>IFERROR(__xludf.DUMMYFUNCTION("IFERROR(
  LET(
    data, QUERY(GOOGLEFINANCE(C614,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GOOGLEFINANCE(C614, ""price"")) * 100,
    IF(calc=0, G614, calc)
  ), 
G614)"),"#N/A")</f>
        <v>#N/A</v>
      </c>
      <c r="S614" s="8" t="s">
        <v>15</v>
      </c>
      <c r="T614" s="26" t="str">
        <f>IFERROR(__xludf.DUMMYFUNCTION("IFERROR(TRANSPOSE(QUERY(IFERROR(SORT(GOOGLEFINANCE(C614, ""price"", WORKDAY(TODAY(), -40), TODAY()), 1, FALSE)), ""select Col2 where Col2 is not null limit 22 label Col2 ''"", 0)), """")"),"")</f>
        <v/>
      </c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8"/>
      <c r="AO614" s="28"/>
      <c r="AP614" s="29"/>
      <c r="AQ614" s="29" t="str">
        <f t="shared" ref="AQ614:BL614" si="617">T614/T$2</f>
        <v>#N/A</v>
      </c>
      <c r="AR614" s="29" t="str">
        <f t="shared" si="617"/>
        <v>#DIV/0!</v>
      </c>
      <c r="AS614" s="29" t="str">
        <f t="shared" si="617"/>
        <v>#DIV/0!</v>
      </c>
      <c r="AT614" s="29" t="str">
        <f t="shared" si="617"/>
        <v>#DIV/0!</v>
      </c>
      <c r="AU614" s="29" t="str">
        <f t="shared" si="617"/>
        <v>#DIV/0!</v>
      </c>
      <c r="AV614" s="29" t="str">
        <f t="shared" si="617"/>
        <v>#DIV/0!</v>
      </c>
      <c r="AW614" s="29" t="str">
        <f t="shared" si="617"/>
        <v>#DIV/0!</v>
      </c>
      <c r="AX614" s="29" t="str">
        <f t="shared" si="617"/>
        <v>#DIV/0!</v>
      </c>
      <c r="AY614" s="29" t="str">
        <f t="shared" si="617"/>
        <v>#DIV/0!</v>
      </c>
      <c r="AZ614" s="29" t="str">
        <f t="shared" si="617"/>
        <v>#DIV/0!</v>
      </c>
      <c r="BA614" s="29" t="str">
        <f t="shared" si="617"/>
        <v>#DIV/0!</v>
      </c>
      <c r="BB614" s="29" t="str">
        <f t="shared" si="617"/>
        <v>#DIV/0!</v>
      </c>
      <c r="BC614" s="29" t="str">
        <f t="shared" si="617"/>
        <v>#DIV/0!</v>
      </c>
      <c r="BD614" s="29" t="str">
        <f t="shared" si="617"/>
        <v>#DIV/0!</v>
      </c>
      <c r="BE614" s="29" t="str">
        <f t="shared" si="617"/>
        <v>#DIV/0!</v>
      </c>
      <c r="BF614" s="29" t="str">
        <f t="shared" si="617"/>
        <v>#DIV/0!</v>
      </c>
      <c r="BG614" s="29" t="str">
        <f t="shared" si="617"/>
        <v>#DIV/0!</v>
      </c>
      <c r="BH614" s="29" t="str">
        <f t="shared" si="617"/>
        <v>#DIV/0!</v>
      </c>
      <c r="BI614" s="29" t="str">
        <f t="shared" si="617"/>
        <v>#DIV/0!</v>
      </c>
      <c r="BJ614" s="29" t="str">
        <f t="shared" si="617"/>
        <v>#DIV/0!</v>
      </c>
      <c r="BK614" s="29" t="str">
        <f t="shared" si="617"/>
        <v>#DIV/0!</v>
      </c>
      <c r="BL614" s="29" t="str">
        <f t="shared" si="617"/>
        <v>#DIV/0!</v>
      </c>
      <c r="BM614" s="29" t="str">
        <f t="shared" si="3"/>
        <v>#DIV/0!</v>
      </c>
    </row>
    <row r="615">
      <c r="A615" s="16" t="str">
        <f>IFERROR(__xludf.DUMMYFUNCTION("IFERROR(SPARKLINE(SORT(MAP(TRANSPOSE(AQ615:BL615), LAMBDA(val, IF(ISNUMBER(val), PERCENTRANK(AQ615:BL615, val)+0.01, 0))), SEQUENCE(COLUMNS(AQ615:BL615)), FALSE), {""charttype"",""column""; ""color"",""chartreuse""; ""ymin"", 0; ""ymax"", 1.01; ""highcolo"&amp;"r"", ""darkgreen""; ""lowcolor"", ""red""}), """")"),"")</f>
        <v/>
      </c>
      <c r="B615" s="17" t="str">
        <f t="shared" si="4"/>
        <v/>
      </c>
      <c r="C615" s="1" t="s">
        <v>2749</v>
      </c>
      <c r="D615" s="34" t="str">
        <f>IFERROR(__xludf.DUMMYFUNCTION("IFERROR(GOOGLEFINANCE(C615, ""NAME""))"),"Aimei Health Technology Co Ltd")</f>
        <v>Aimei Health Technology Co Ltd</v>
      </c>
      <c r="E615" s="30" t="s">
        <v>161</v>
      </c>
      <c r="F615" s="33" t="str">
        <f>IFERROR(__xludf.DUMMYFUNCTION("( (GOOGLEFINANCE(C615, ""price"") - Q615) / Q615 ) / (R615 / 100)"),"Loading...")</f>
        <v>Loading...</v>
      </c>
      <c r="G615" s="20" t="str">
        <f>IFERROR(__xludf.DUMMYFUNCTION("AVERAGE(ARRAYFORMULA(100 * (QUERY(GOOGLEFINANCE(C615, ""high"", TODAY()-40, TODAY()), ""SELECT Col2 WHERE Col2 IS NOT NULL ORDER BY Col1 DESC LIMIT 20"", 0) / QUERY(GOOGLEFINANCE(C615, ""low"", TODAY()-40, TODAY()), ""SELECT Col2 WHERE Col2 IS NOT NULL OR"&amp;"DER BY Col1 DESC LIMIT 20"", 0) - 1)))"),"#N/A")</f>
        <v>#N/A</v>
      </c>
      <c r="H615" s="35" t="str">
        <f t="shared" si="6"/>
        <v/>
      </c>
      <c r="I615" s="36" t="str">
        <f t="shared" si="7"/>
        <v/>
      </c>
      <c r="J615" s="37" t="str">
        <f>IFERROR(__xludf.DUMMYFUNCTION("IFERROR(
  IF(C615="""",, 
    IFERROR(
      GOOGLEFINANCE(C615, ""price"") * GOOGLEFINANCE(C615, ""volumeavg""), 
      GOOGLEFINANCE(C615, ""price"") * AVERAGE(QUERY(GOOGLEFINANCE(C615, ""volume"", TODAY()-40, TODAY()), ""SELECT Col2 WHERE Col2 IS NOT "&amp;"NULL ORDER BY Col1 DESC LIMIT 20"", 0))
    )
  ), 
"""")"),"")</f>
        <v/>
      </c>
      <c r="K615" s="21" t="str">
        <f>IFERROR(__xludf.DUMMYFUNCTION("IFERROR(GOOGLEFINANCE(C615, ""changepct"") / 100, """")"),"")</f>
        <v/>
      </c>
      <c r="L615" s="21" t="str">
        <f>IFERROR(__xludf.DUMMYFUNCTION("IFERROR((GOOGLEFINANCE(C615, ""price"") / INDEX(GOOGLEFINANCE(C615, ""price"", TODAY()-7, TODAY()), 2, 2)) - 1, """")"),"")</f>
        <v/>
      </c>
      <c r="M615" s="21" t="str">
        <f>IFERROR(__xludf.DUMMYFUNCTION("IFERROR((GOOGLEFINANCE(C615, ""price"") / INDEX(GOOGLEFINANCE(C615, ""price"", EDATE(TODAY(), -1), TODAY()), 2, 2)) - 1, """")"),"")</f>
        <v/>
      </c>
      <c r="N615" s="21" t="str">
        <f>IFERROR(__xludf.DUMMYFUNCTION("IFERROR((GOOGLEFINANCE(C615, ""price"") / INDEX(GOOGLEFINANCE(C615, ""price"", EDATE(TODAY(), -3), TODAY()), 2, 2)) - 1, """")"),"")</f>
        <v/>
      </c>
      <c r="O615" s="21" t="str">
        <f>IFERROR(__xludf.DUMMYFUNCTION("IFERROR((GOOGLEFINANCE(C615, ""price"") / INDEX(GOOGLEFINANCE(C615, ""price"", EDATE(TODAY(), -6), TODAY()), 2, 2)) - 1, """")"),"")</f>
        <v/>
      </c>
      <c r="P615" s="21" t="str">
        <f>IFERROR(__xludf.DUMMYFUNCTION("IFERROR((GOOGLEFINANCE(C615, ""price"") / INDEX(GOOGLEFINANCE(C615, ""price"", EDATE(TODAY(), -12), TODAY()), 2, 2)) - 1, """")"),"")</f>
        <v/>
      </c>
      <c r="Q615" s="6" t="str">
        <f>IFERROR(__xludf.DUMMYFUNCTION("AVERAGE(QUERY(GOOGLEFINANCE(C615, ""price"", TODAY()-80, TODAY()), ""SELECT Col2 WHERE Col2 IS NOT NULL ORDER BY Col1 DESC LIMIT 50"", 0))"),"#N/A")</f>
        <v>#N/A</v>
      </c>
      <c r="R615" s="24" t="str">
        <f>IFERROR(__xludf.DUMMYFUNCTION("IFERROR(
  LET(
    data, QUERY(GOOGLEFINANCE(C615,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GOOGLEFINANCE(C615, ""price"")) * 100,
    IF(calc=0, G615, calc)
  ), 
G615)"),"#N/A")</f>
        <v>#N/A</v>
      </c>
      <c r="S615" s="8" t="s">
        <v>15</v>
      </c>
      <c r="T615" s="26" t="str">
        <f>IFERROR(__xludf.DUMMYFUNCTION("IFERROR(TRANSPOSE(QUERY(IFERROR(SORT(GOOGLEFINANCE(C615, ""price"", WORKDAY(TODAY(), -40), TODAY()), 1, FALSE)), ""select Col2 where Col2 is not null limit 22 label Col2 ''"", 0)), """")"),"")</f>
        <v/>
      </c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8"/>
      <c r="AO615" s="28"/>
      <c r="AP615" s="29"/>
      <c r="AQ615" s="29" t="str">
        <f t="shared" ref="AQ615:BL615" si="618">T615/T$2</f>
        <v>#N/A</v>
      </c>
      <c r="AR615" s="29" t="str">
        <f t="shared" si="618"/>
        <v>#DIV/0!</v>
      </c>
      <c r="AS615" s="29" t="str">
        <f t="shared" si="618"/>
        <v>#DIV/0!</v>
      </c>
      <c r="AT615" s="29" t="str">
        <f t="shared" si="618"/>
        <v>#DIV/0!</v>
      </c>
      <c r="AU615" s="29" t="str">
        <f t="shared" si="618"/>
        <v>#DIV/0!</v>
      </c>
      <c r="AV615" s="29" t="str">
        <f t="shared" si="618"/>
        <v>#DIV/0!</v>
      </c>
      <c r="AW615" s="29" t="str">
        <f t="shared" si="618"/>
        <v>#DIV/0!</v>
      </c>
      <c r="AX615" s="29" t="str">
        <f t="shared" si="618"/>
        <v>#DIV/0!</v>
      </c>
      <c r="AY615" s="29" t="str">
        <f t="shared" si="618"/>
        <v>#DIV/0!</v>
      </c>
      <c r="AZ615" s="29" t="str">
        <f t="shared" si="618"/>
        <v>#DIV/0!</v>
      </c>
      <c r="BA615" s="29" t="str">
        <f t="shared" si="618"/>
        <v>#DIV/0!</v>
      </c>
      <c r="BB615" s="29" t="str">
        <f t="shared" si="618"/>
        <v>#DIV/0!</v>
      </c>
      <c r="BC615" s="29" t="str">
        <f t="shared" si="618"/>
        <v>#DIV/0!</v>
      </c>
      <c r="BD615" s="29" t="str">
        <f t="shared" si="618"/>
        <v>#DIV/0!</v>
      </c>
      <c r="BE615" s="29" t="str">
        <f t="shared" si="618"/>
        <v>#DIV/0!</v>
      </c>
      <c r="BF615" s="29" t="str">
        <f t="shared" si="618"/>
        <v>#DIV/0!</v>
      </c>
      <c r="BG615" s="29" t="str">
        <f t="shared" si="618"/>
        <v>#DIV/0!</v>
      </c>
      <c r="BH615" s="29" t="str">
        <f t="shared" si="618"/>
        <v>#DIV/0!</v>
      </c>
      <c r="BI615" s="29" t="str">
        <f t="shared" si="618"/>
        <v>#DIV/0!</v>
      </c>
      <c r="BJ615" s="29" t="str">
        <f t="shared" si="618"/>
        <v>#DIV/0!</v>
      </c>
      <c r="BK615" s="29" t="str">
        <f t="shared" si="618"/>
        <v>#DIV/0!</v>
      </c>
      <c r="BL615" s="29" t="str">
        <f t="shared" si="618"/>
        <v>#DIV/0!</v>
      </c>
      <c r="BM615" s="29" t="str">
        <f t="shared" si="3"/>
        <v>#DIV/0!</v>
      </c>
    </row>
    <row r="616">
      <c r="A616" s="16" t="str">
        <f>IFERROR(__xludf.DUMMYFUNCTION("IFERROR(SPARKLINE(SORT(MAP(TRANSPOSE(AQ616:BL616), LAMBDA(val, IF(ISNUMBER(val), PERCENTRANK(AQ616:BL616, val)+0.01, 0))), SEQUENCE(COLUMNS(AQ616:BL616)), FALSE), {""charttype"",""column""; ""color"",""chartreuse""; ""ymin"", 0; ""ymax"", 1.01; ""highcolo"&amp;"r"", ""darkgreen""; ""lowcolor"", ""red""}), """")"),"")</f>
        <v/>
      </c>
      <c r="B616" s="17" t="str">
        <f t="shared" si="4"/>
        <v/>
      </c>
      <c r="C616" s="1" t="s">
        <v>2755</v>
      </c>
      <c r="D616" s="34" t="str">
        <f>IFERROR(__xludf.DUMMYFUNCTION("IFERROR(GOOGLEFINANCE(C616, ""NAME""))"),"FIRST BANK (Hamilton)")</f>
        <v>FIRST BANK (Hamilton)</v>
      </c>
      <c r="E616" s="30" t="s">
        <v>268</v>
      </c>
      <c r="F616" s="33" t="str">
        <f>IFERROR(__xludf.DUMMYFUNCTION("( (GOOGLEFINANCE(C616, ""price"") - Q616) / Q616 ) / (R616 / 100)"),"Loading...")</f>
        <v>Loading...</v>
      </c>
      <c r="G616" s="20" t="str">
        <f>IFERROR(__xludf.DUMMYFUNCTION("AVERAGE(ARRAYFORMULA(100 * (QUERY(GOOGLEFINANCE(C616, ""high"", TODAY()-40, TODAY()), ""SELECT Col2 WHERE Col2 IS NOT NULL ORDER BY Col1 DESC LIMIT 20"", 0) / QUERY(GOOGLEFINANCE(C616, ""low"", TODAY()-40, TODAY()), ""SELECT Col2 WHERE Col2 IS NOT NULL OR"&amp;"DER BY Col1 DESC LIMIT 20"", 0) - 1)))"),"#N/A")</f>
        <v>#N/A</v>
      </c>
      <c r="H616" s="35" t="str">
        <f t="shared" si="6"/>
        <v/>
      </c>
      <c r="I616" s="36" t="str">
        <f t="shared" si="7"/>
        <v/>
      </c>
      <c r="J616" s="37" t="str">
        <f>IFERROR(__xludf.DUMMYFUNCTION("IFERROR(
  IF(C616="""",, 
    IFERROR(
      GOOGLEFINANCE(C616, ""price"") * GOOGLEFINANCE(C616, ""volumeavg""), 
      GOOGLEFINANCE(C616, ""price"") * AVERAGE(QUERY(GOOGLEFINANCE(C616, ""volume"", TODAY()-40, TODAY()), ""SELECT Col2 WHERE Col2 IS NOT "&amp;"NULL ORDER BY Col1 DESC LIMIT 20"", 0))
    )
  ), 
"""")"),"")</f>
        <v/>
      </c>
      <c r="K616" s="21" t="str">
        <f>IFERROR(__xludf.DUMMYFUNCTION("IFERROR(GOOGLEFINANCE(C616, ""changepct"") / 100, """")"),"")</f>
        <v/>
      </c>
      <c r="L616" s="21" t="str">
        <f>IFERROR(__xludf.DUMMYFUNCTION("IFERROR((GOOGLEFINANCE(C616, ""price"") / INDEX(GOOGLEFINANCE(C616, ""price"", TODAY()-7, TODAY()), 2, 2)) - 1, """")"),"")</f>
        <v/>
      </c>
      <c r="M616" s="21" t="str">
        <f>IFERROR(__xludf.DUMMYFUNCTION("IFERROR((GOOGLEFINANCE(C616, ""price"") / INDEX(GOOGLEFINANCE(C616, ""price"", EDATE(TODAY(), -1), TODAY()), 2, 2)) - 1, """")"),"")</f>
        <v/>
      </c>
      <c r="N616" s="21" t="str">
        <f>IFERROR(__xludf.DUMMYFUNCTION("IFERROR((GOOGLEFINANCE(C616, ""price"") / INDEX(GOOGLEFINANCE(C616, ""price"", EDATE(TODAY(), -3), TODAY()), 2, 2)) - 1, """")"),"")</f>
        <v/>
      </c>
      <c r="O616" s="21" t="str">
        <f>IFERROR(__xludf.DUMMYFUNCTION("IFERROR((GOOGLEFINANCE(C616, ""price"") / INDEX(GOOGLEFINANCE(C616, ""price"", EDATE(TODAY(), -6), TODAY()), 2, 2)) - 1, """")"),"")</f>
        <v/>
      </c>
      <c r="P616" s="21" t="str">
        <f>IFERROR(__xludf.DUMMYFUNCTION("IFERROR((GOOGLEFINANCE(C616, ""price"") / INDEX(GOOGLEFINANCE(C616, ""price"", EDATE(TODAY(), -12), TODAY()), 2, 2)) - 1, """")"),"")</f>
        <v/>
      </c>
      <c r="Q616" s="6" t="str">
        <f>IFERROR(__xludf.DUMMYFUNCTION("AVERAGE(QUERY(GOOGLEFINANCE(C616, ""price"", TODAY()-80, TODAY()), ""SELECT Col2 WHERE Col2 IS NOT NULL ORDER BY Col1 DESC LIMIT 50"", 0))"),"#N/A")</f>
        <v>#N/A</v>
      </c>
      <c r="R616" s="24" t="str">
        <f>IFERROR(__xludf.DUMMYFUNCTION("IFERROR(
  LET(
    data, QUERY(GOOGLEFINANCE(C616,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GOOGLEFINANCE(C616, ""price"")) * 100,
    IF(calc=0, G616, calc)
  ), 
G616)"),"#N/A")</f>
        <v>#N/A</v>
      </c>
      <c r="S616" s="8" t="s">
        <v>15</v>
      </c>
      <c r="T616" s="26" t="str">
        <f>IFERROR(__xludf.DUMMYFUNCTION("IFERROR(TRANSPOSE(QUERY(IFERROR(SORT(GOOGLEFINANCE(C616, ""price"", WORKDAY(TODAY(), -40), TODAY()), 1, FALSE)), ""select Col2 where Col2 is not null limit 22 label Col2 ''"", 0)), """")"),"")</f>
        <v/>
      </c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8"/>
      <c r="AO616" s="28"/>
      <c r="AP616" s="29"/>
      <c r="AQ616" s="29" t="str">
        <f t="shared" ref="AQ616:BL616" si="619">T616/T$2</f>
        <v>#N/A</v>
      </c>
      <c r="AR616" s="29" t="str">
        <f t="shared" si="619"/>
        <v>#DIV/0!</v>
      </c>
      <c r="AS616" s="29" t="str">
        <f t="shared" si="619"/>
        <v>#DIV/0!</v>
      </c>
      <c r="AT616" s="29" t="str">
        <f t="shared" si="619"/>
        <v>#DIV/0!</v>
      </c>
      <c r="AU616" s="29" t="str">
        <f t="shared" si="619"/>
        <v>#DIV/0!</v>
      </c>
      <c r="AV616" s="29" t="str">
        <f t="shared" si="619"/>
        <v>#DIV/0!</v>
      </c>
      <c r="AW616" s="29" t="str">
        <f t="shared" si="619"/>
        <v>#DIV/0!</v>
      </c>
      <c r="AX616" s="29" t="str">
        <f t="shared" si="619"/>
        <v>#DIV/0!</v>
      </c>
      <c r="AY616" s="29" t="str">
        <f t="shared" si="619"/>
        <v>#DIV/0!</v>
      </c>
      <c r="AZ616" s="29" t="str">
        <f t="shared" si="619"/>
        <v>#DIV/0!</v>
      </c>
      <c r="BA616" s="29" t="str">
        <f t="shared" si="619"/>
        <v>#DIV/0!</v>
      </c>
      <c r="BB616" s="29" t="str">
        <f t="shared" si="619"/>
        <v>#DIV/0!</v>
      </c>
      <c r="BC616" s="29" t="str">
        <f t="shared" si="619"/>
        <v>#DIV/0!</v>
      </c>
      <c r="BD616" s="29" t="str">
        <f t="shared" si="619"/>
        <v>#DIV/0!</v>
      </c>
      <c r="BE616" s="29" t="str">
        <f t="shared" si="619"/>
        <v>#DIV/0!</v>
      </c>
      <c r="BF616" s="29" t="str">
        <f t="shared" si="619"/>
        <v>#DIV/0!</v>
      </c>
      <c r="BG616" s="29" t="str">
        <f t="shared" si="619"/>
        <v>#DIV/0!</v>
      </c>
      <c r="BH616" s="29" t="str">
        <f t="shared" si="619"/>
        <v>#DIV/0!</v>
      </c>
      <c r="BI616" s="29" t="str">
        <f t="shared" si="619"/>
        <v>#DIV/0!</v>
      </c>
      <c r="BJ616" s="29" t="str">
        <f t="shared" si="619"/>
        <v>#DIV/0!</v>
      </c>
      <c r="BK616" s="29" t="str">
        <f t="shared" si="619"/>
        <v>#DIV/0!</v>
      </c>
      <c r="BL616" s="29" t="str">
        <f t="shared" si="619"/>
        <v>#DIV/0!</v>
      </c>
      <c r="BM616" s="29" t="str">
        <f t="shared" si="3"/>
        <v>#DIV/0!</v>
      </c>
    </row>
    <row r="617">
      <c r="A617" s="16" t="str">
        <f>IFERROR(__xludf.DUMMYFUNCTION("IFERROR(SPARKLINE(SORT(MAP(TRANSPOSE(AQ617:BL617), LAMBDA(val, IF(ISNUMBER(val), PERCENTRANK(AQ617:BL617, val)+0.01, 0))), SEQUENCE(COLUMNS(AQ617:BL617)), FALSE), {""charttype"",""column""; ""color"",""chartreuse""; ""ymin"", 0; ""ymax"", 1.01; ""highcolo"&amp;"r"", ""darkgreen""; ""lowcolor"", ""red""}), """")"),"")</f>
        <v/>
      </c>
      <c r="B617" s="17" t="str">
        <f t="shared" si="4"/>
        <v/>
      </c>
      <c r="C617" s="1" t="s">
        <v>2758</v>
      </c>
      <c r="D617" s="34" t="str">
        <f>IFERROR(__xludf.DUMMYFUNCTION("IFERROR(GOOGLEFINANCE(C617, ""NAME""))"),"Orange County Bancorp Inc")</f>
        <v>Orange County Bancorp Inc</v>
      </c>
      <c r="E617" s="30" t="s">
        <v>268</v>
      </c>
      <c r="F617" s="33" t="str">
        <f>IFERROR(__xludf.DUMMYFUNCTION("( (GOOGLEFINANCE(C617, ""price"") - Q617) / Q617 ) / (R617 / 100)"),"Loading...")</f>
        <v>Loading...</v>
      </c>
      <c r="G617" s="20" t="str">
        <f>IFERROR(__xludf.DUMMYFUNCTION("AVERAGE(ARRAYFORMULA(100 * (QUERY(GOOGLEFINANCE(C617, ""high"", TODAY()-40, TODAY()), ""SELECT Col2 WHERE Col2 IS NOT NULL ORDER BY Col1 DESC LIMIT 20"", 0) / QUERY(GOOGLEFINANCE(C617, ""low"", TODAY()-40, TODAY()), ""SELECT Col2 WHERE Col2 IS NOT NULL OR"&amp;"DER BY Col1 DESC LIMIT 20"", 0) - 1)))"),"#N/A")</f>
        <v>#N/A</v>
      </c>
      <c r="H617" s="35" t="str">
        <f t="shared" si="6"/>
        <v/>
      </c>
      <c r="I617" s="36" t="str">
        <f t="shared" si="7"/>
        <v/>
      </c>
      <c r="J617" s="37" t="str">
        <f>IFERROR(__xludf.DUMMYFUNCTION("IFERROR(
  IF(C617="""",, 
    IFERROR(
      GOOGLEFINANCE(C617, ""price"") * GOOGLEFINANCE(C617, ""volumeavg""), 
      GOOGLEFINANCE(C617, ""price"") * AVERAGE(QUERY(GOOGLEFINANCE(C617, ""volume"", TODAY()-40, TODAY()), ""SELECT Col2 WHERE Col2 IS NOT "&amp;"NULL ORDER BY Col1 DESC LIMIT 20"", 0))
    )
  ), 
"""")"),"")</f>
        <v/>
      </c>
      <c r="K617" s="21" t="str">
        <f>IFERROR(__xludf.DUMMYFUNCTION("IFERROR(GOOGLEFINANCE(C617, ""changepct"") / 100, """")"),"")</f>
        <v/>
      </c>
      <c r="L617" s="21" t="str">
        <f>IFERROR(__xludf.DUMMYFUNCTION("IFERROR((GOOGLEFINANCE(C617, ""price"") / INDEX(GOOGLEFINANCE(C617, ""price"", TODAY()-7, TODAY()), 2, 2)) - 1, """")"),"")</f>
        <v/>
      </c>
      <c r="M617" s="21" t="str">
        <f>IFERROR(__xludf.DUMMYFUNCTION("IFERROR((GOOGLEFINANCE(C617, ""price"") / INDEX(GOOGLEFINANCE(C617, ""price"", EDATE(TODAY(), -1), TODAY()), 2, 2)) - 1, """")"),"")</f>
        <v/>
      </c>
      <c r="N617" s="21" t="str">
        <f>IFERROR(__xludf.DUMMYFUNCTION("IFERROR((GOOGLEFINANCE(C617, ""price"") / INDEX(GOOGLEFINANCE(C617, ""price"", EDATE(TODAY(), -3), TODAY()), 2, 2)) - 1, """")"),"")</f>
        <v/>
      </c>
      <c r="O617" s="21" t="str">
        <f>IFERROR(__xludf.DUMMYFUNCTION("IFERROR((GOOGLEFINANCE(C617, ""price"") / INDEX(GOOGLEFINANCE(C617, ""price"", EDATE(TODAY(), -6), TODAY()), 2, 2)) - 1, """")"),"")</f>
        <v/>
      </c>
      <c r="P617" s="21" t="str">
        <f>IFERROR(__xludf.DUMMYFUNCTION("IFERROR((GOOGLEFINANCE(C617, ""price"") / INDEX(GOOGLEFINANCE(C617, ""price"", EDATE(TODAY(), -12), TODAY()), 2, 2)) - 1, """")"),"")</f>
        <v/>
      </c>
      <c r="Q617" s="6" t="str">
        <f>IFERROR(__xludf.DUMMYFUNCTION("AVERAGE(QUERY(GOOGLEFINANCE(C617, ""price"", TODAY()-80, TODAY()), ""SELECT Col2 WHERE Col2 IS NOT NULL ORDER BY Col1 DESC LIMIT 50"", 0))"),"#N/A")</f>
        <v>#N/A</v>
      </c>
      <c r="R617" s="24" t="str">
        <f>IFERROR(__xludf.DUMMYFUNCTION("IFERROR(
  LET(
    data, QUERY(GOOGLEFINANCE(C617,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GOOGLEFINANCE(C617, ""price"")) * 100,
    IF(calc=0, G617, calc)
  ), 
G617)"),"#N/A")</f>
        <v>#N/A</v>
      </c>
      <c r="S617" s="8" t="s">
        <v>15</v>
      </c>
      <c r="T617" s="26" t="str">
        <f>IFERROR(__xludf.DUMMYFUNCTION("IFERROR(TRANSPOSE(QUERY(IFERROR(SORT(GOOGLEFINANCE(C617, ""price"", WORKDAY(TODAY(), -40), TODAY()), 1, FALSE)), ""select Col2 where Col2 is not null limit 22 label Col2 ''"", 0)), """")"),"")</f>
        <v/>
      </c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8"/>
      <c r="AO617" s="28"/>
      <c r="AP617" s="29"/>
      <c r="AQ617" s="29" t="str">
        <f t="shared" ref="AQ617:BL617" si="620">T617/T$2</f>
        <v>#N/A</v>
      </c>
      <c r="AR617" s="29" t="str">
        <f t="shared" si="620"/>
        <v>#DIV/0!</v>
      </c>
      <c r="AS617" s="29" t="str">
        <f t="shared" si="620"/>
        <v>#DIV/0!</v>
      </c>
      <c r="AT617" s="29" t="str">
        <f t="shared" si="620"/>
        <v>#DIV/0!</v>
      </c>
      <c r="AU617" s="29" t="str">
        <f t="shared" si="620"/>
        <v>#DIV/0!</v>
      </c>
      <c r="AV617" s="29" t="str">
        <f t="shared" si="620"/>
        <v>#DIV/0!</v>
      </c>
      <c r="AW617" s="29" t="str">
        <f t="shared" si="620"/>
        <v>#DIV/0!</v>
      </c>
      <c r="AX617" s="29" t="str">
        <f t="shared" si="620"/>
        <v>#DIV/0!</v>
      </c>
      <c r="AY617" s="29" t="str">
        <f t="shared" si="620"/>
        <v>#DIV/0!</v>
      </c>
      <c r="AZ617" s="29" t="str">
        <f t="shared" si="620"/>
        <v>#DIV/0!</v>
      </c>
      <c r="BA617" s="29" t="str">
        <f t="shared" si="620"/>
        <v>#DIV/0!</v>
      </c>
      <c r="BB617" s="29" t="str">
        <f t="shared" si="620"/>
        <v>#DIV/0!</v>
      </c>
      <c r="BC617" s="29" t="str">
        <f t="shared" si="620"/>
        <v>#DIV/0!</v>
      </c>
      <c r="BD617" s="29" t="str">
        <f t="shared" si="620"/>
        <v>#DIV/0!</v>
      </c>
      <c r="BE617" s="29" t="str">
        <f t="shared" si="620"/>
        <v>#DIV/0!</v>
      </c>
      <c r="BF617" s="29" t="str">
        <f t="shared" si="620"/>
        <v>#DIV/0!</v>
      </c>
      <c r="BG617" s="29" t="str">
        <f t="shared" si="620"/>
        <v>#DIV/0!</v>
      </c>
      <c r="BH617" s="29" t="str">
        <f t="shared" si="620"/>
        <v>#DIV/0!</v>
      </c>
      <c r="BI617" s="29" t="str">
        <f t="shared" si="620"/>
        <v>#DIV/0!</v>
      </c>
      <c r="BJ617" s="29" t="str">
        <f t="shared" si="620"/>
        <v>#DIV/0!</v>
      </c>
      <c r="BK617" s="29" t="str">
        <f t="shared" si="620"/>
        <v>#DIV/0!</v>
      </c>
      <c r="BL617" s="29" t="str">
        <f t="shared" si="620"/>
        <v>#DIV/0!</v>
      </c>
      <c r="BM617" s="29" t="str">
        <f t="shared" si="3"/>
        <v>#DIV/0!</v>
      </c>
    </row>
    <row r="618">
      <c r="A618" s="16" t="str">
        <f>IFERROR(__xludf.DUMMYFUNCTION("IFERROR(SPARKLINE(SORT(MAP(TRANSPOSE(AQ618:BL618), LAMBDA(val, IF(ISNUMBER(val), PERCENTRANK(AQ618:BL618, val)+0.01, 0))), SEQUENCE(COLUMNS(AQ618:BL618)), FALSE), {""charttype"",""column""; ""color"",""chartreuse""; ""ymin"", 0; ""ymax"", 1.01; ""highcolo"&amp;"r"", ""darkgreen""; ""lowcolor"", ""red""}), """")"),"")</f>
        <v/>
      </c>
      <c r="B618" s="17" t="str">
        <f t="shared" si="4"/>
        <v/>
      </c>
      <c r="C618" s="1" t="s">
        <v>2764</v>
      </c>
      <c r="D618" s="34" t="str">
        <f>IFERROR(__xludf.DUMMYFUNCTION("IFERROR(GOOGLEFINANCE(C618, ""NAME""))"),"Northeast Community Bancorp Inc")</f>
        <v>Northeast Community Bancorp Inc</v>
      </c>
      <c r="E618" s="30" t="s">
        <v>268</v>
      </c>
      <c r="F618" s="33" t="str">
        <f>IFERROR(__xludf.DUMMYFUNCTION("( (GOOGLEFINANCE(C618, ""price"") - Q618) / Q618 ) / (R618 / 100)"),"Loading...")</f>
        <v>Loading...</v>
      </c>
      <c r="G618" s="20" t="str">
        <f>IFERROR(__xludf.DUMMYFUNCTION("AVERAGE(ARRAYFORMULA(100 * (QUERY(GOOGLEFINANCE(C618, ""high"", TODAY()-40, TODAY()), ""SELECT Col2 WHERE Col2 IS NOT NULL ORDER BY Col1 DESC LIMIT 20"", 0) / QUERY(GOOGLEFINANCE(C618, ""low"", TODAY()-40, TODAY()), ""SELECT Col2 WHERE Col2 IS NOT NULL OR"&amp;"DER BY Col1 DESC LIMIT 20"", 0) - 1)))"),"#N/A")</f>
        <v>#N/A</v>
      </c>
      <c r="H618" s="35" t="str">
        <f t="shared" si="6"/>
        <v/>
      </c>
      <c r="I618" s="36" t="str">
        <f t="shared" si="7"/>
        <v/>
      </c>
      <c r="J618" s="37" t="str">
        <f>IFERROR(__xludf.DUMMYFUNCTION("IFERROR(
  IF(C618="""",, 
    IFERROR(
      GOOGLEFINANCE(C618, ""price"") * GOOGLEFINANCE(C618, ""volumeavg""), 
      GOOGLEFINANCE(C618, ""price"") * AVERAGE(QUERY(GOOGLEFINANCE(C618, ""volume"", TODAY()-40, TODAY()), ""SELECT Col2 WHERE Col2 IS NOT "&amp;"NULL ORDER BY Col1 DESC LIMIT 20"", 0))
    )
  ), 
"""")"),"")</f>
        <v/>
      </c>
      <c r="K618" s="21" t="str">
        <f>IFERROR(__xludf.DUMMYFUNCTION("IFERROR(GOOGLEFINANCE(C618, ""changepct"") / 100, """")"),"")</f>
        <v/>
      </c>
      <c r="L618" s="21" t="str">
        <f>IFERROR(__xludf.DUMMYFUNCTION("IFERROR((GOOGLEFINANCE(C618, ""price"") / INDEX(GOOGLEFINANCE(C618, ""price"", TODAY()-7, TODAY()), 2, 2)) - 1, """")"),"")</f>
        <v/>
      </c>
      <c r="M618" s="21" t="str">
        <f>IFERROR(__xludf.DUMMYFUNCTION("IFERROR((GOOGLEFINANCE(C618, ""price"") / INDEX(GOOGLEFINANCE(C618, ""price"", EDATE(TODAY(), -1), TODAY()), 2, 2)) - 1, """")"),"")</f>
        <v/>
      </c>
      <c r="N618" s="21" t="str">
        <f>IFERROR(__xludf.DUMMYFUNCTION("IFERROR((GOOGLEFINANCE(C618, ""price"") / INDEX(GOOGLEFINANCE(C618, ""price"", EDATE(TODAY(), -3), TODAY()), 2, 2)) - 1, """")"),"")</f>
        <v/>
      </c>
      <c r="O618" s="21" t="str">
        <f>IFERROR(__xludf.DUMMYFUNCTION("IFERROR((GOOGLEFINANCE(C618, ""price"") / INDEX(GOOGLEFINANCE(C618, ""price"", EDATE(TODAY(), -6), TODAY()), 2, 2)) - 1, """")"),"")</f>
        <v/>
      </c>
      <c r="P618" s="21" t="str">
        <f>IFERROR(__xludf.DUMMYFUNCTION("IFERROR((GOOGLEFINANCE(C618, ""price"") / INDEX(GOOGLEFINANCE(C618, ""price"", EDATE(TODAY(), -12), TODAY()), 2, 2)) - 1, """")"),"")</f>
        <v/>
      </c>
      <c r="Q618" s="6" t="str">
        <f>IFERROR(__xludf.DUMMYFUNCTION("AVERAGE(QUERY(GOOGLEFINANCE(C618, ""price"", TODAY()-80, TODAY()), ""SELECT Col2 WHERE Col2 IS NOT NULL ORDER BY Col1 DESC LIMIT 50"", 0))"),"#N/A")</f>
        <v>#N/A</v>
      </c>
      <c r="R618" s="24" t="str">
        <f>IFERROR(__xludf.DUMMYFUNCTION("IFERROR(
  LET(
    data, QUERY(GOOGLEFINANCE(C618,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GOOGLEFINANCE(C618, ""price"")) * 100,
    IF(calc=0, G618, calc)
  ), 
G618)"),"#N/A")</f>
        <v>#N/A</v>
      </c>
      <c r="S618" s="8" t="s">
        <v>15</v>
      </c>
      <c r="T618" s="26" t="str">
        <f>IFERROR(__xludf.DUMMYFUNCTION("IFERROR(TRANSPOSE(QUERY(IFERROR(SORT(GOOGLEFINANCE(C618, ""price"", WORKDAY(TODAY(), -40), TODAY()), 1, FALSE)), ""select Col2 where Col2 is not null limit 22 label Col2 ''"", 0)), """")"),"")</f>
        <v/>
      </c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8"/>
      <c r="AO618" s="28"/>
      <c r="AP618" s="29"/>
      <c r="AQ618" s="29" t="str">
        <f t="shared" ref="AQ618:BL618" si="621">T618/T$2</f>
        <v>#N/A</v>
      </c>
      <c r="AR618" s="29" t="str">
        <f t="shared" si="621"/>
        <v>#DIV/0!</v>
      </c>
      <c r="AS618" s="29" t="str">
        <f t="shared" si="621"/>
        <v>#DIV/0!</v>
      </c>
      <c r="AT618" s="29" t="str">
        <f t="shared" si="621"/>
        <v>#DIV/0!</v>
      </c>
      <c r="AU618" s="29" t="str">
        <f t="shared" si="621"/>
        <v>#DIV/0!</v>
      </c>
      <c r="AV618" s="29" t="str">
        <f t="shared" si="621"/>
        <v>#DIV/0!</v>
      </c>
      <c r="AW618" s="29" t="str">
        <f t="shared" si="621"/>
        <v>#DIV/0!</v>
      </c>
      <c r="AX618" s="29" t="str">
        <f t="shared" si="621"/>
        <v>#DIV/0!</v>
      </c>
      <c r="AY618" s="29" t="str">
        <f t="shared" si="621"/>
        <v>#DIV/0!</v>
      </c>
      <c r="AZ618" s="29" t="str">
        <f t="shared" si="621"/>
        <v>#DIV/0!</v>
      </c>
      <c r="BA618" s="29" t="str">
        <f t="shared" si="621"/>
        <v>#DIV/0!</v>
      </c>
      <c r="BB618" s="29" t="str">
        <f t="shared" si="621"/>
        <v>#DIV/0!</v>
      </c>
      <c r="BC618" s="29" t="str">
        <f t="shared" si="621"/>
        <v>#DIV/0!</v>
      </c>
      <c r="BD618" s="29" t="str">
        <f t="shared" si="621"/>
        <v>#DIV/0!</v>
      </c>
      <c r="BE618" s="29" t="str">
        <f t="shared" si="621"/>
        <v>#DIV/0!</v>
      </c>
      <c r="BF618" s="29" t="str">
        <f t="shared" si="621"/>
        <v>#DIV/0!</v>
      </c>
      <c r="BG618" s="29" t="str">
        <f t="shared" si="621"/>
        <v>#DIV/0!</v>
      </c>
      <c r="BH618" s="29" t="str">
        <f t="shared" si="621"/>
        <v>#DIV/0!</v>
      </c>
      <c r="BI618" s="29" t="str">
        <f t="shared" si="621"/>
        <v>#DIV/0!</v>
      </c>
      <c r="BJ618" s="29" t="str">
        <f t="shared" si="621"/>
        <v>#DIV/0!</v>
      </c>
      <c r="BK618" s="29" t="str">
        <f t="shared" si="621"/>
        <v>#DIV/0!</v>
      </c>
      <c r="BL618" s="29" t="str">
        <f t="shared" si="621"/>
        <v>#DIV/0!</v>
      </c>
      <c r="BM618" s="29" t="str">
        <f t="shared" si="3"/>
        <v>#DIV/0!</v>
      </c>
    </row>
    <row r="619">
      <c r="A619" s="16" t="str">
        <f>IFERROR(__xludf.DUMMYFUNCTION("IFERROR(SPARKLINE(SORT(MAP(TRANSPOSE(AQ619:BL619), LAMBDA(val, IF(ISNUMBER(val), PERCENTRANK(AQ619:BL619, val)+0.01, 0))), SEQUENCE(COLUMNS(AQ619:BL619)), FALSE), {""charttype"",""column""; ""color"",""chartreuse""; ""ymin"", 0; ""ymax"", 1.01; ""highcolo"&amp;"r"", ""darkgreen""; ""lowcolor"", ""red""}), """")"),"")</f>
        <v/>
      </c>
      <c r="B619" s="17" t="str">
        <f t="shared" si="4"/>
        <v/>
      </c>
      <c r="C619" s="1" t="s">
        <v>2768</v>
      </c>
      <c r="D619" s="34" t="str">
        <f>IFERROR(__xludf.DUMMYFUNCTION("IFERROR(GOOGLEFINANCE(C619, ""NAME""))"),"Heritage Financial Corp")</f>
        <v>Heritage Financial Corp</v>
      </c>
      <c r="E619" s="30" t="s">
        <v>268</v>
      </c>
      <c r="F619" s="33" t="str">
        <f>IFERROR(__xludf.DUMMYFUNCTION("( (GOOGLEFINANCE(C619, ""price"") - Q619) / Q619 ) / (R619 / 100)"),"Loading...")</f>
        <v>Loading...</v>
      </c>
      <c r="G619" s="20" t="str">
        <f>IFERROR(__xludf.DUMMYFUNCTION("AVERAGE(ARRAYFORMULA(100 * (QUERY(GOOGLEFINANCE(C619, ""high"", TODAY()-40, TODAY()), ""SELECT Col2 WHERE Col2 IS NOT NULL ORDER BY Col1 DESC LIMIT 20"", 0) / QUERY(GOOGLEFINANCE(C619, ""low"", TODAY()-40, TODAY()), ""SELECT Col2 WHERE Col2 IS NOT NULL OR"&amp;"DER BY Col1 DESC LIMIT 20"", 0) - 1)))"),"#N/A")</f>
        <v>#N/A</v>
      </c>
      <c r="H619" s="35" t="str">
        <f t="shared" si="6"/>
        <v/>
      </c>
      <c r="I619" s="36" t="str">
        <f t="shared" si="7"/>
        <v/>
      </c>
      <c r="J619" s="37" t="str">
        <f>IFERROR(__xludf.DUMMYFUNCTION("IFERROR(
  IF(C619="""",, 
    IFERROR(
      GOOGLEFINANCE(C619, ""price"") * GOOGLEFINANCE(C619, ""volumeavg""), 
      GOOGLEFINANCE(C619, ""price"") * AVERAGE(QUERY(GOOGLEFINANCE(C619, ""volume"", TODAY()-40, TODAY()), ""SELECT Col2 WHERE Col2 IS NOT "&amp;"NULL ORDER BY Col1 DESC LIMIT 20"", 0))
    )
  ), 
"""")"),"")</f>
        <v/>
      </c>
      <c r="K619" s="21" t="str">
        <f>IFERROR(__xludf.DUMMYFUNCTION("IFERROR(GOOGLEFINANCE(C619, ""changepct"") / 100, """")"),"")</f>
        <v/>
      </c>
      <c r="L619" s="21" t="str">
        <f>IFERROR(__xludf.DUMMYFUNCTION("IFERROR((GOOGLEFINANCE(C619, ""price"") / INDEX(GOOGLEFINANCE(C619, ""price"", TODAY()-7, TODAY()), 2, 2)) - 1, """")"),"")</f>
        <v/>
      </c>
      <c r="M619" s="21" t="str">
        <f>IFERROR(__xludf.DUMMYFUNCTION("IFERROR((GOOGLEFINANCE(C619, ""price"") / INDEX(GOOGLEFINANCE(C619, ""price"", EDATE(TODAY(), -1), TODAY()), 2, 2)) - 1, """")"),"")</f>
        <v/>
      </c>
      <c r="N619" s="21" t="str">
        <f>IFERROR(__xludf.DUMMYFUNCTION("IFERROR((GOOGLEFINANCE(C619, ""price"") / INDEX(GOOGLEFINANCE(C619, ""price"", EDATE(TODAY(), -3), TODAY()), 2, 2)) - 1, """")"),"")</f>
        <v/>
      </c>
      <c r="O619" s="21" t="str">
        <f>IFERROR(__xludf.DUMMYFUNCTION("IFERROR((GOOGLEFINANCE(C619, ""price"") / INDEX(GOOGLEFINANCE(C619, ""price"", EDATE(TODAY(), -6), TODAY()), 2, 2)) - 1, """")"),"")</f>
        <v/>
      </c>
      <c r="P619" s="21" t="str">
        <f>IFERROR(__xludf.DUMMYFUNCTION("IFERROR((GOOGLEFINANCE(C619, ""price"") / INDEX(GOOGLEFINANCE(C619, ""price"", EDATE(TODAY(), -12), TODAY()), 2, 2)) - 1, """")"),"")</f>
        <v/>
      </c>
      <c r="Q619" s="6" t="str">
        <f>IFERROR(__xludf.DUMMYFUNCTION("AVERAGE(QUERY(GOOGLEFINANCE(C619, ""price"", TODAY()-80, TODAY()), ""SELECT Col2 WHERE Col2 IS NOT NULL ORDER BY Col1 DESC LIMIT 50"", 0))"),"#N/A")</f>
        <v>#N/A</v>
      </c>
      <c r="R619" s="24" t="str">
        <f>IFERROR(__xludf.DUMMYFUNCTION("IFERROR(
  LET(
    data, QUERY(GOOGLEFINANCE(C619,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GOOGLEFINANCE(C619, ""price"")) * 100,
    IF(calc=0, G619, calc)
  ), 
G619)"),"#N/A")</f>
        <v>#N/A</v>
      </c>
      <c r="S619" s="8" t="s">
        <v>15</v>
      </c>
      <c r="T619" s="26" t="str">
        <f>IFERROR(__xludf.DUMMYFUNCTION("IFERROR(TRANSPOSE(QUERY(IFERROR(SORT(GOOGLEFINANCE(C619, ""price"", WORKDAY(TODAY(), -40), TODAY()), 1, FALSE)), ""select Col2 where Col2 is not null limit 22 label Col2 ''"", 0)), """")"),"")</f>
        <v/>
      </c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8"/>
      <c r="AO619" s="28"/>
      <c r="AP619" s="29"/>
      <c r="AQ619" s="29" t="str">
        <f t="shared" ref="AQ619:BL619" si="622">T619/T$2</f>
        <v>#N/A</v>
      </c>
      <c r="AR619" s="29" t="str">
        <f t="shared" si="622"/>
        <v>#DIV/0!</v>
      </c>
      <c r="AS619" s="29" t="str">
        <f t="shared" si="622"/>
        <v>#DIV/0!</v>
      </c>
      <c r="AT619" s="29" t="str">
        <f t="shared" si="622"/>
        <v>#DIV/0!</v>
      </c>
      <c r="AU619" s="29" t="str">
        <f t="shared" si="622"/>
        <v>#DIV/0!</v>
      </c>
      <c r="AV619" s="29" t="str">
        <f t="shared" si="622"/>
        <v>#DIV/0!</v>
      </c>
      <c r="AW619" s="29" t="str">
        <f t="shared" si="622"/>
        <v>#DIV/0!</v>
      </c>
      <c r="AX619" s="29" t="str">
        <f t="shared" si="622"/>
        <v>#DIV/0!</v>
      </c>
      <c r="AY619" s="29" t="str">
        <f t="shared" si="622"/>
        <v>#DIV/0!</v>
      </c>
      <c r="AZ619" s="29" t="str">
        <f t="shared" si="622"/>
        <v>#DIV/0!</v>
      </c>
      <c r="BA619" s="29" t="str">
        <f t="shared" si="622"/>
        <v>#DIV/0!</v>
      </c>
      <c r="BB619" s="29" t="str">
        <f t="shared" si="622"/>
        <v>#DIV/0!</v>
      </c>
      <c r="BC619" s="29" t="str">
        <f t="shared" si="622"/>
        <v>#DIV/0!</v>
      </c>
      <c r="BD619" s="29" t="str">
        <f t="shared" si="622"/>
        <v>#DIV/0!</v>
      </c>
      <c r="BE619" s="29" t="str">
        <f t="shared" si="622"/>
        <v>#DIV/0!</v>
      </c>
      <c r="BF619" s="29" t="str">
        <f t="shared" si="622"/>
        <v>#DIV/0!</v>
      </c>
      <c r="BG619" s="29" t="str">
        <f t="shared" si="622"/>
        <v>#DIV/0!</v>
      </c>
      <c r="BH619" s="29" t="str">
        <f t="shared" si="622"/>
        <v>#DIV/0!</v>
      </c>
      <c r="BI619" s="29" t="str">
        <f t="shared" si="622"/>
        <v>#DIV/0!</v>
      </c>
      <c r="BJ619" s="29" t="str">
        <f t="shared" si="622"/>
        <v>#DIV/0!</v>
      </c>
      <c r="BK619" s="29" t="str">
        <f t="shared" si="622"/>
        <v>#DIV/0!</v>
      </c>
      <c r="BL619" s="29" t="str">
        <f t="shared" si="622"/>
        <v>#DIV/0!</v>
      </c>
      <c r="BM619" s="29" t="str">
        <f t="shared" si="3"/>
        <v>#DIV/0!</v>
      </c>
    </row>
    <row r="620">
      <c r="A620" s="16" t="str">
        <f>IFERROR(__xludf.DUMMYFUNCTION("IFERROR(SPARKLINE(SORT(MAP(TRANSPOSE(AQ620:BL620), LAMBDA(val, IF(ISNUMBER(val), PERCENTRANK(AQ620:BL620, val)+0.01, 0))), SEQUENCE(COLUMNS(AQ620:BL620)), FALSE), {""charttype"",""column""; ""color"",""chartreuse""; ""ymin"", 0; ""ymax"", 1.01; ""highcolo"&amp;"r"", ""darkgreen""; ""lowcolor"", ""red""}), """")"),"")</f>
        <v/>
      </c>
      <c r="B620" s="17" t="str">
        <f t="shared" si="4"/>
        <v/>
      </c>
      <c r="C620" s="1" t="s">
        <v>2772</v>
      </c>
      <c r="D620" s="34" t="str">
        <f>IFERROR(__xludf.DUMMYFUNCTION("IFERROR(GOOGLEFINANCE(C620, ""NAME""))"),"Burke &amp; Herbert Financial Services Corp")</f>
        <v>Burke &amp; Herbert Financial Services Corp</v>
      </c>
      <c r="E620" s="30" t="s">
        <v>268</v>
      </c>
      <c r="F620" s="33" t="str">
        <f>IFERROR(__xludf.DUMMYFUNCTION("( (GOOGLEFINANCE(C620, ""price"") - Q620) / Q620 ) / (R620 / 100)"),"Loading...")</f>
        <v>Loading...</v>
      </c>
      <c r="G620" s="20" t="str">
        <f>IFERROR(__xludf.DUMMYFUNCTION("AVERAGE(ARRAYFORMULA(100 * (QUERY(GOOGLEFINANCE(C620, ""high"", TODAY()-40, TODAY()), ""SELECT Col2 WHERE Col2 IS NOT NULL ORDER BY Col1 DESC LIMIT 20"", 0) / QUERY(GOOGLEFINANCE(C620, ""low"", TODAY()-40, TODAY()), ""SELECT Col2 WHERE Col2 IS NOT NULL OR"&amp;"DER BY Col1 DESC LIMIT 20"", 0) - 1)))"),"#N/A")</f>
        <v>#N/A</v>
      </c>
      <c r="H620" s="35" t="str">
        <f t="shared" si="6"/>
        <v/>
      </c>
      <c r="I620" s="36" t="str">
        <f t="shared" si="7"/>
        <v/>
      </c>
      <c r="J620" s="37" t="str">
        <f>IFERROR(__xludf.DUMMYFUNCTION("IFERROR(
  IF(C620="""",, 
    IFERROR(
      GOOGLEFINANCE(C620, ""price"") * GOOGLEFINANCE(C620, ""volumeavg""), 
      GOOGLEFINANCE(C620, ""price"") * AVERAGE(QUERY(GOOGLEFINANCE(C620, ""volume"", TODAY()-40, TODAY()), ""SELECT Col2 WHERE Col2 IS NOT "&amp;"NULL ORDER BY Col1 DESC LIMIT 20"", 0))
    )
  ), 
"""")"),"")</f>
        <v/>
      </c>
      <c r="K620" s="21" t="str">
        <f>IFERROR(__xludf.DUMMYFUNCTION("IFERROR(GOOGLEFINANCE(C620, ""changepct"") / 100, """")"),"")</f>
        <v/>
      </c>
      <c r="L620" s="21" t="str">
        <f>IFERROR(__xludf.DUMMYFUNCTION("IFERROR((GOOGLEFINANCE(C620, ""price"") / INDEX(GOOGLEFINANCE(C620, ""price"", TODAY()-7, TODAY()), 2, 2)) - 1, """")"),"")</f>
        <v/>
      </c>
      <c r="M620" s="21" t="str">
        <f>IFERROR(__xludf.DUMMYFUNCTION("IFERROR((GOOGLEFINANCE(C620, ""price"") / INDEX(GOOGLEFINANCE(C620, ""price"", EDATE(TODAY(), -1), TODAY()), 2, 2)) - 1, """")"),"")</f>
        <v/>
      </c>
      <c r="N620" s="21" t="str">
        <f>IFERROR(__xludf.DUMMYFUNCTION("IFERROR((GOOGLEFINANCE(C620, ""price"") / INDEX(GOOGLEFINANCE(C620, ""price"", EDATE(TODAY(), -3), TODAY()), 2, 2)) - 1, """")"),"")</f>
        <v/>
      </c>
      <c r="O620" s="21" t="str">
        <f>IFERROR(__xludf.DUMMYFUNCTION("IFERROR((GOOGLEFINANCE(C620, ""price"") / INDEX(GOOGLEFINANCE(C620, ""price"", EDATE(TODAY(), -6), TODAY()), 2, 2)) - 1, """")"),"")</f>
        <v/>
      </c>
      <c r="P620" s="21" t="str">
        <f>IFERROR(__xludf.DUMMYFUNCTION("IFERROR((GOOGLEFINANCE(C620, ""price"") / INDEX(GOOGLEFINANCE(C620, ""price"", EDATE(TODAY(), -12), TODAY()), 2, 2)) - 1, """")"),"")</f>
        <v/>
      </c>
      <c r="Q620" s="6" t="str">
        <f>IFERROR(__xludf.DUMMYFUNCTION("AVERAGE(QUERY(GOOGLEFINANCE(C620, ""price"", TODAY()-80, TODAY()), ""SELECT Col2 WHERE Col2 IS NOT NULL ORDER BY Col1 DESC LIMIT 50"", 0))"),"#N/A")</f>
        <v>#N/A</v>
      </c>
      <c r="R620" s="24" t="str">
        <f>IFERROR(__xludf.DUMMYFUNCTION("IFERROR(
  LET(
    data, QUERY(GOOGLEFINANCE(C620,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GOOGLEFINANCE(C620, ""price"")) * 100,
    IF(calc=0, G620, calc)
  ), 
G620)"),"#N/A")</f>
        <v>#N/A</v>
      </c>
      <c r="S620" s="8" t="s">
        <v>15</v>
      </c>
      <c r="T620" s="26" t="str">
        <f>IFERROR(__xludf.DUMMYFUNCTION("IFERROR(TRANSPOSE(QUERY(IFERROR(SORT(GOOGLEFINANCE(C620, ""price"", WORKDAY(TODAY(), -40), TODAY()), 1, FALSE)), ""select Col2 where Col2 is not null limit 22 label Col2 ''"", 0)), """")"),"")</f>
        <v/>
      </c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8"/>
      <c r="AO620" s="28"/>
      <c r="AP620" s="29"/>
      <c r="AQ620" s="29" t="str">
        <f t="shared" ref="AQ620:BL620" si="623">T620/T$2</f>
        <v>#N/A</v>
      </c>
      <c r="AR620" s="29" t="str">
        <f t="shared" si="623"/>
        <v>#DIV/0!</v>
      </c>
      <c r="AS620" s="29" t="str">
        <f t="shared" si="623"/>
        <v>#DIV/0!</v>
      </c>
      <c r="AT620" s="29" t="str">
        <f t="shared" si="623"/>
        <v>#DIV/0!</v>
      </c>
      <c r="AU620" s="29" t="str">
        <f t="shared" si="623"/>
        <v>#DIV/0!</v>
      </c>
      <c r="AV620" s="29" t="str">
        <f t="shared" si="623"/>
        <v>#DIV/0!</v>
      </c>
      <c r="AW620" s="29" t="str">
        <f t="shared" si="623"/>
        <v>#DIV/0!</v>
      </c>
      <c r="AX620" s="29" t="str">
        <f t="shared" si="623"/>
        <v>#DIV/0!</v>
      </c>
      <c r="AY620" s="29" t="str">
        <f t="shared" si="623"/>
        <v>#DIV/0!</v>
      </c>
      <c r="AZ620" s="29" t="str">
        <f t="shared" si="623"/>
        <v>#DIV/0!</v>
      </c>
      <c r="BA620" s="29" t="str">
        <f t="shared" si="623"/>
        <v>#DIV/0!</v>
      </c>
      <c r="BB620" s="29" t="str">
        <f t="shared" si="623"/>
        <v>#DIV/0!</v>
      </c>
      <c r="BC620" s="29" t="str">
        <f t="shared" si="623"/>
        <v>#DIV/0!</v>
      </c>
      <c r="BD620" s="29" t="str">
        <f t="shared" si="623"/>
        <v>#DIV/0!</v>
      </c>
      <c r="BE620" s="29" t="str">
        <f t="shared" si="623"/>
        <v>#DIV/0!</v>
      </c>
      <c r="BF620" s="29" t="str">
        <f t="shared" si="623"/>
        <v>#DIV/0!</v>
      </c>
      <c r="BG620" s="29" t="str">
        <f t="shared" si="623"/>
        <v>#DIV/0!</v>
      </c>
      <c r="BH620" s="29" t="str">
        <f t="shared" si="623"/>
        <v>#DIV/0!</v>
      </c>
      <c r="BI620" s="29" t="str">
        <f t="shared" si="623"/>
        <v>#DIV/0!</v>
      </c>
      <c r="BJ620" s="29" t="str">
        <f t="shared" si="623"/>
        <v>#DIV/0!</v>
      </c>
      <c r="BK620" s="29" t="str">
        <f t="shared" si="623"/>
        <v>#DIV/0!</v>
      </c>
      <c r="BL620" s="29" t="str">
        <f t="shared" si="623"/>
        <v>#DIV/0!</v>
      </c>
      <c r="BM620" s="29" t="str">
        <f t="shared" si="3"/>
        <v>#DIV/0!</v>
      </c>
    </row>
    <row r="621">
      <c r="A621" s="16" t="str">
        <f>IFERROR(__xludf.DUMMYFUNCTION("IFERROR(SPARKLINE(SORT(MAP(TRANSPOSE(AQ621:BL621), LAMBDA(val, IF(ISNUMBER(val), PERCENTRANK(AQ621:BL621, val)+0.01, 0))), SEQUENCE(COLUMNS(AQ621:BL621)), FALSE), {""charttype"",""column""; ""color"",""chartreuse""; ""ymin"", 0; ""ymax"", 1.01; ""highcolo"&amp;"r"", ""darkgreen""; ""lowcolor"", ""red""}), """")"),"")</f>
        <v/>
      </c>
      <c r="B621" s="17" t="str">
        <f t="shared" si="4"/>
        <v/>
      </c>
      <c r="C621" s="1" t="s">
        <v>2776</v>
      </c>
      <c r="D621" s="34" t="str">
        <f>IFERROR(__xludf.DUMMYFUNCTION("IFERROR(GOOGLEFINANCE(C621, ""NAME""))"),"Grupo Supervielle SA - ADR")</f>
        <v>Grupo Supervielle SA - ADR</v>
      </c>
      <c r="E621" s="30" t="s">
        <v>268</v>
      </c>
      <c r="F621" s="33" t="str">
        <f>IFERROR(__xludf.DUMMYFUNCTION("( (GOOGLEFINANCE(C621, ""price"") - Q621) / Q621 ) / (R621 / 100)"),"Loading...")</f>
        <v>Loading...</v>
      </c>
      <c r="G621" s="20" t="str">
        <f>IFERROR(__xludf.DUMMYFUNCTION("AVERAGE(ARRAYFORMULA(100 * (QUERY(GOOGLEFINANCE(C621, ""high"", TODAY()-40, TODAY()), ""SELECT Col2 WHERE Col2 IS NOT NULL ORDER BY Col1 DESC LIMIT 20"", 0) / QUERY(GOOGLEFINANCE(C621, ""low"", TODAY()-40, TODAY()), ""SELECT Col2 WHERE Col2 IS NOT NULL OR"&amp;"DER BY Col1 DESC LIMIT 20"", 0) - 1)))"),"#N/A")</f>
        <v>#N/A</v>
      </c>
      <c r="H621" s="35" t="str">
        <f t="shared" si="6"/>
        <v/>
      </c>
      <c r="I621" s="36" t="str">
        <f t="shared" si="7"/>
        <v/>
      </c>
      <c r="J621" s="37" t="str">
        <f>IFERROR(__xludf.DUMMYFUNCTION("IFERROR(
  IF(C621="""",, 
    IFERROR(
      GOOGLEFINANCE(C621, ""price"") * GOOGLEFINANCE(C621, ""volumeavg""), 
      GOOGLEFINANCE(C621, ""price"") * AVERAGE(QUERY(GOOGLEFINANCE(C621, ""volume"", TODAY()-40, TODAY()), ""SELECT Col2 WHERE Col2 IS NOT "&amp;"NULL ORDER BY Col1 DESC LIMIT 20"", 0))
    )
  ), 
"""")"),"")</f>
        <v/>
      </c>
      <c r="K621" s="21" t="str">
        <f>IFERROR(__xludf.DUMMYFUNCTION("IFERROR(GOOGLEFINANCE(C621, ""changepct"") / 100, """")"),"")</f>
        <v/>
      </c>
      <c r="L621" s="21" t="str">
        <f>IFERROR(__xludf.DUMMYFUNCTION("IFERROR((GOOGLEFINANCE(C621, ""price"") / INDEX(GOOGLEFINANCE(C621, ""price"", TODAY()-7, TODAY()), 2, 2)) - 1, """")"),"")</f>
        <v/>
      </c>
      <c r="M621" s="21" t="str">
        <f>IFERROR(__xludf.DUMMYFUNCTION("IFERROR((GOOGLEFINANCE(C621, ""price"") / INDEX(GOOGLEFINANCE(C621, ""price"", EDATE(TODAY(), -1), TODAY()), 2, 2)) - 1, """")"),"")</f>
        <v/>
      </c>
      <c r="N621" s="21" t="str">
        <f>IFERROR(__xludf.DUMMYFUNCTION("IFERROR((GOOGLEFINANCE(C621, ""price"") / INDEX(GOOGLEFINANCE(C621, ""price"", EDATE(TODAY(), -3), TODAY()), 2, 2)) - 1, """")"),"")</f>
        <v/>
      </c>
      <c r="O621" s="21" t="str">
        <f>IFERROR(__xludf.DUMMYFUNCTION("IFERROR((GOOGLEFINANCE(C621, ""price"") / INDEX(GOOGLEFINANCE(C621, ""price"", EDATE(TODAY(), -6), TODAY()), 2, 2)) - 1, """")"),"")</f>
        <v/>
      </c>
      <c r="P621" s="21" t="str">
        <f>IFERROR(__xludf.DUMMYFUNCTION("IFERROR((GOOGLEFINANCE(C621, ""price"") / INDEX(GOOGLEFINANCE(C621, ""price"", EDATE(TODAY(), -12), TODAY()), 2, 2)) - 1, """")"),"")</f>
        <v/>
      </c>
      <c r="Q621" s="6" t="str">
        <f>IFERROR(__xludf.DUMMYFUNCTION("AVERAGE(QUERY(GOOGLEFINANCE(C621, ""price"", TODAY()-80, TODAY()), ""SELECT Col2 WHERE Col2 IS NOT NULL ORDER BY Col1 DESC LIMIT 50"", 0))"),"#N/A")</f>
        <v>#N/A</v>
      </c>
      <c r="R621" s="24" t="str">
        <f>IFERROR(__xludf.DUMMYFUNCTION("IFERROR(
  LET(
    data, QUERY(GOOGLEFINANCE(C621,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GOOGLEFINANCE(C621, ""price"")) * 100,
    IF(calc=0, G621, calc)
  ), 
G621)"),"#N/A")</f>
        <v>#N/A</v>
      </c>
      <c r="S621" s="8" t="s">
        <v>15</v>
      </c>
      <c r="T621" s="26" t="str">
        <f>IFERROR(__xludf.DUMMYFUNCTION("IFERROR(TRANSPOSE(QUERY(IFERROR(SORT(GOOGLEFINANCE(C621, ""price"", WORKDAY(TODAY(), -40), TODAY()), 1, FALSE)), ""select Col2 where Col2 is not null limit 22 label Col2 ''"", 0)), """")"),"")</f>
        <v/>
      </c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8"/>
      <c r="AO621" s="28"/>
      <c r="AP621" s="29"/>
      <c r="AQ621" s="29" t="str">
        <f t="shared" ref="AQ621:BL621" si="624">T621/T$2</f>
        <v>#N/A</v>
      </c>
      <c r="AR621" s="29" t="str">
        <f t="shared" si="624"/>
        <v>#DIV/0!</v>
      </c>
      <c r="AS621" s="29" t="str">
        <f t="shared" si="624"/>
        <v>#DIV/0!</v>
      </c>
      <c r="AT621" s="29" t="str">
        <f t="shared" si="624"/>
        <v>#DIV/0!</v>
      </c>
      <c r="AU621" s="29" t="str">
        <f t="shared" si="624"/>
        <v>#DIV/0!</v>
      </c>
      <c r="AV621" s="29" t="str">
        <f t="shared" si="624"/>
        <v>#DIV/0!</v>
      </c>
      <c r="AW621" s="29" t="str">
        <f t="shared" si="624"/>
        <v>#DIV/0!</v>
      </c>
      <c r="AX621" s="29" t="str">
        <f t="shared" si="624"/>
        <v>#DIV/0!</v>
      </c>
      <c r="AY621" s="29" t="str">
        <f t="shared" si="624"/>
        <v>#DIV/0!</v>
      </c>
      <c r="AZ621" s="29" t="str">
        <f t="shared" si="624"/>
        <v>#DIV/0!</v>
      </c>
      <c r="BA621" s="29" t="str">
        <f t="shared" si="624"/>
        <v>#DIV/0!</v>
      </c>
      <c r="BB621" s="29" t="str">
        <f t="shared" si="624"/>
        <v>#DIV/0!</v>
      </c>
      <c r="BC621" s="29" t="str">
        <f t="shared" si="624"/>
        <v>#DIV/0!</v>
      </c>
      <c r="BD621" s="29" t="str">
        <f t="shared" si="624"/>
        <v>#DIV/0!</v>
      </c>
      <c r="BE621" s="29" t="str">
        <f t="shared" si="624"/>
        <v>#DIV/0!</v>
      </c>
      <c r="BF621" s="29" t="str">
        <f t="shared" si="624"/>
        <v>#DIV/0!</v>
      </c>
      <c r="BG621" s="29" t="str">
        <f t="shared" si="624"/>
        <v>#DIV/0!</v>
      </c>
      <c r="BH621" s="29" t="str">
        <f t="shared" si="624"/>
        <v>#DIV/0!</v>
      </c>
      <c r="BI621" s="29" t="str">
        <f t="shared" si="624"/>
        <v>#DIV/0!</v>
      </c>
      <c r="BJ621" s="29" t="str">
        <f t="shared" si="624"/>
        <v>#DIV/0!</v>
      </c>
      <c r="BK621" s="29" t="str">
        <f t="shared" si="624"/>
        <v>#DIV/0!</v>
      </c>
      <c r="BL621" s="29" t="str">
        <f t="shared" si="624"/>
        <v>#DIV/0!</v>
      </c>
      <c r="BM621" s="29" t="str">
        <f t="shared" si="3"/>
        <v>#DIV/0!</v>
      </c>
    </row>
    <row r="622">
      <c r="A622" s="16" t="str">
        <f>IFERROR(__xludf.DUMMYFUNCTION("IFERROR(SPARKLINE(SORT(MAP(TRANSPOSE(AQ622:BL622), LAMBDA(val, IF(ISNUMBER(val), PERCENTRANK(AQ622:BL622, val)+0.01, 0))), SEQUENCE(COLUMNS(AQ622:BL622)), FALSE), {""charttype"",""column""; ""color"",""chartreuse""; ""ymin"", 0; ""ymax"", 1.01; ""highcolo"&amp;"r"", ""darkgreen""; ""lowcolor"", ""red""}), """")"),"")</f>
        <v/>
      </c>
      <c r="B622" s="17" t="str">
        <f t="shared" si="4"/>
        <v/>
      </c>
      <c r="C622" s="1" t="s">
        <v>2780</v>
      </c>
      <c r="D622" s="34" t="str">
        <f>IFERROR(__xludf.DUMMYFUNCTION("IFERROR(GOOGLEFINANCE(C622, ""NAME""))"),"Community West Bancshares")</f>
        <v>Community West Bancshares</v>
      </c>
      <c r="E622" s="30" t="s">
        <v>268</v>
      </c>
      <c r="F622" s="33" t="str">
        <f>IFERROR(__xludf.DUMMYFUNCTION("( (GOOGLEFINANCE(C622, ""price"") - Q622) / Q622 ) / (R622 / 100)"),"Loading...")</f>
        <v>Loading...</v>
      </c>
      <c r="G622" s="20" t="str">
        <f>IFERROR(__xludf.DUMMYFUNCTION("AVERAGE(ARRAYFORMULA(100 * (QUERY(GOOGLEFINANCE(C622, ""high"", TODAY()-40, TODAY()), ""SELECT Col2 WHERE Col2 IS NOT NULL ORDER BY Col1 DESC LIMIT 20"", 0) / QUERY(GOOGLEFINANCE(C622, ""low"", TODAY()-40, TODAY()), ""SELECT Col2 WHERE Col2 IS NOT NULL OR"&amp;"DER BY Col1 DESC LIMIT 20"", 0) - 1)))"),"#N/A")</f>
        <v>#N/A</v>
      </c>
      <c r="H622" s="35" t="str">
        <f t="shared" si="6"/>
        <v/>
      </c>
      <c r="I622" s="36" t="str">
        <f t="shared" si="7"/>
        <v/>
      </c>
      <c r="J622" s="37" t="str">
        <f>IFERROR(__xludf.DUMMYFUNCTION("IFERROR(
  IF(C622="""",, 
    IFERROR(
      GOOGLEFINANCE(C622, ""price"") * GOOGLEFINANCE(C622, ""volumeavg""), 
      GOOGLEFINANCE(C622, ""price"") * AVERAGE(QUERY(GOOGLEFINANCE(C622, ""volume"", TODAY()-40, TODAY()), ""SELECT Col2 WHERE Col2 IS NOT "&amp;"NULL ORDER BY Col1 DESC LIMIT 20"", 0))
    )
  ), 
"""")"),"")</f>
        <v/>
      </c>
      <c r="K622" s="21" t="str">
        <f>IFERROR(__xludf.DUMMYFUNCTION("IFERROR(GOOGLEFINANCE(C622, ""changepct"") / 100, """")"),"")</f>
        <v/>
      </c>
      <c r="L622" s="21" t="str">
        <f>IFERROR(__xludf.DUMMYFUNCTION("IFERROR((GOOGLEFINANCE(C622, ""price"") / INDEX(GOOGLEFINANCE(C622, ""price"", TODAY()-7, TODAY()), 2, 2)) - 1, """")"),"")</f>
        <v/>
      </c>
      <c r="M622" s="21" t="str">
        <f>IFERROR(__xludf.DUMMYFUNCTION("IFERROR((GOOGLEFINANCE(C622, ""price"") / INDEX(GOOGLEFINANCE(C622, ""price"", EDATE(TODAY(), -1), TODAY()), 2, 2)) - 1, """")"),"")</f>
        <v/>
      </c>
      <c r="N622" s="21" t="str">
        <f>IFERROR(__xludf.DUMMYFUNCTION("IFERROR((GOOGLEFINANCE(C622, ""price"") / INDEX(GOOGLEFINANCE(C622, ""price"", EDATE(TODAY(), -3), TODAY()), 2, 2)) - 1, """")"),"")</f>
        <v/>
      </c>
      <c r="O622" s="21" t="str">
        <f>IFERROR(__xludf.DUMMYFUNCTION("IFERROR((GOOGLEFINANCE(C622, ""price"") / INDEX(GOOGLEFINANCE(C622, ""price"", EDATE(TODAY(), -6), TODAY()), 2, 2)) - 1, """")"),"")</f>
        <v/>
      </c>
      <c r="P622" s="21" t="str">
        <f>IFERROR(__xludf.DUMMYFUNCTION("IFERROR((GOOGLEFINANCE(C622, ""price"") / INDEX(GOOGLEFINANCE(C622, ""price"", EDATE(TODAY(), -12), TODAY()), 2, 2)) - 1, """")"),"")</f>
        <v/>
      </c>
      <c r="Q622" s="6" t="str">
        <f>IFERROR(__xludf.DUMMYFUNCTION("AVERAGE(QUERY(GOOGLEFINANCE(C622, ""price"", TODAY()-80, TODAY()), ""SELECT Col2 WHERE Col2 IS NOT NULL ORDER BY Col1 DESC LIMIT 50"", 0))"),"#N/A")</f>
        <v>#N/A</v>
      </c>
      <c r="R622" s="24" t="str">
        <f>IFERROR(__xludf.DUMMYFUNCTION("IFERROR(
  LET(
    data, QUERY(GOOGLEFINANCE(C622,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GOOGLEFINANCE(C622, ""price"")) * 100,
    IF(calc=0, G622, calc)
  ), 
G622)"),"#N/A")</f>
        <v>#N/A</v>
      </c>
      <c r="S622" s="8" t="s">
        <v>15</v>
      </c>
      <c r="T622" s="26" t="str">
        <f>IFERROR(__xludf.DUMMYFUNCTION("IFERROR(TRANSPOSE(QUERY(IFERROR(SORT(GOOGLEFINANCE(C622, ""price"", WORKDAY(TODAY(), -40), TODAY()), 1, FALSE)), ""select Col2 where Col2 is not null limit 22 label Col2 ''"", 0)), """")"),"")</f>
        <v/>
      </c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8"/>
      <c r="AO622" s="28"/>
      <c r="AP622" s="29"/>
      <c r="AQ622" s="29" t="str">
        <f t="shared" ref="AQ622:BL622" si="625">T622/T$2</f>
        <v>#N/A</v>
      </c>
      <c r="AR622" s="29" t="str">
        <f t="shared" si="625"/>
        <v>#DIV/0!</v>
      </c>
      <c r="AS622" s="29" t="str">
        <f t="shared" si="625"/>
        <v>#DIV/0!</v>
      </c>
      <c r="AT622" s="29" t="str">
        <f t="shared" si="625"/>
        <v>#DIV/0!</v>
      </c>
      <c r="AU622" s="29" t="str">
        <f t="shared" si="625"/>
        <v>#DIV/0!</v>
      </c>
      <c r="AV622" s="29" t="str">
        <f t="shared" si="625"/>
        <v>#DIV/0!</v>
      </c>
      <c r="AW622" s="29" t="str">
        <f t="shared" si="625"/>
        <v>#DIV/0!</v>
      </c>
      <c r="AX622" s="29" t="str">
        <f t="shared" si="625"/>
        <v>#DIV/0!</v>
      </c>
      <c r="AY622" s="29" t="str">
        <f t="shared" si="625"/>
        <v>#DIV/0!</v>
      </c>
      <c r="AZ622" s="29" t="str">
        <f t="shared" si="625"/>
        <v>#DIV/0!</v>
      </c>
      <c r="BA622" s="29" t="str">
        <f t="shared" si="625"/>
        <v>#DIV/0!</v>
      </c>
      <c r="BB622" s="29" t="str">
        <f t="shared" si="625"/>
        <v>#DIV/0!</v>
      </c>
      <c r="BC622" s="29" t="str">
        <f t="shared" si="625"/>
        <v>#DIV/0!</v>
      </c>
      <c r="BD622" s="29" t="str">
        <f t="shared" si="625"/>
        <v>#DIV/0!</v>
      </c>
      <c r="BE622" s="29" t="str">
        <f t="shared" si="625"/>
        <v>#DIV/0!</v>
      </c>
      <c r="BF622" s="29" t="str">
        <f t="shared" si="625"/>
        <v>#DIV/0!</v>
      </c>
      <c r="BG622" s="29" t="str">
        <f t="shared" si="625"/>
        <v>#DIV/0!</v>
      </c>
      <c r="BH622" s="29" t="str">
        <f t="shared" si="625"/>
        <v>#DIV/0!</v>
      </c>
      <c r="BI622" s="29" t="str">
        <f t="shared" si="625"/>
        <v>#DIV/0!</v>
      </c>
      <c r="BJ622" s="29" t="str">
        <f t="shared" si="625"/>
        <v>#DIV/0!</v>
      </c>
      <c r="BK622" s="29" t="str">
        <f t="shared" si="625"/>
        <v>#DIV/0!</v>
      </c>
      <c r="BL622" s="29" t="str">
        <f t="shared" si="625"/>
        <v>#DIV/0!</v>
      </c>
      <c r="BM622" s="29" t="str">
        <f t="shared" si="3"/>
        <v>#DIV/0!</v>
      </c>
    </row>
    <row r="623">
      <c r="A623" s="16" t="str">
        <f>IFERROR(__xludf.DUMMYFUNCTION("IFERROR(SPARKLINE(SORT(MAP(TRANSPOSE(AQ623:BL623), LAMBDA(val, IF(ISNUMBER(val), PERCENTRANK(AQ623:BL623, val)+0.01, 0))), SEQUENCE(COLUMNS(AQ623:BL623)), FALSE), {""charttype"",""column""; ""color"",""chartreuse""; ""ymin"", 0; ""ymax"", 1.01; ""highcolo"&amp;"r"", ""darkgreen""; ""lowcolor"", ""red""}), """")"),"")</f>
        <v/>
      </c>
      <c r="B623" s="17" t="str">
        <f t="shared" si="4"/>
        <v/>
      </c>
      <c r="C623" s="1" t="s">
        <v>2785</v>
      </c>
      <c r="D623" s="34" t="str">
        <f>IFERROR(__xludf.DUMMYFUNCTION("IFERROR(GOOGLEFINANCE(C623, ""NAME""))"),"Archimedes Tech SPAC Partners II Co")</f>
        <v>Archimedes Tech SPAC Partners II Co</v>
      </c>
      <c r="E623" s="30" t="s">
        <v>161</v>
      </c>
      <c r="F623" s="33" t="str">
        <f>IFERROR(__xludf.DUMMYFUNCTION("( (GOOGLEFINANCE(C623, ""price"") - Q623) / Q623 ) / (R623 / 100)"),"Loading...")</f>
        <v>Loading...</v>
      </c>
      <c r="G623" s="20" t="str">
        <f>IFERROR(__xludf.DUMMYFUNCTION("AVERAGE(ARRAYFORMULA(100 * (QUERY(GOOGLEFINANCE(C623, ""high"", TODAY()-40, TODAY()), ""SELECT Col2 WHERE Col2 IS NOT NULL ORDER BY Col1 DESC LIMIT 20"", 0) / QUERY(GOOGLEFINANCE(C623, ""low"", TODAY()-40, TODAY()), ""SELECT Col2 WHERE Col2 IS NOT NULL OR"&amp;"DER BY Col1 DESC LIMIT 20"", 0) - 1)))"),"#N/A")</f>
        <v>#N/A</v>
      </c>
      <c r="H623" s="35" t="str">
        <f t="shared" si="6"/>
        <v/>
      </c>
      <c r="I623" s="36" t="str">
        <f t="shared" si="7"/>
        <v/>
      </c>
      <c r="J623" s="37" t="str">
        <f>IFERROR(__xludf.DUMMYFUNCTION("IFERROR(
  IF(C623="""",, 
    IFERROR(
      GOOGLEFINANCE(C623, ""price"") * GOOGLEFINANCE(C623, ""volumeavg""), 
      GOOGLEFINANCE(C623, ""price"") * AVERAGE(QUERY(GOOGLEFINANCE(C623, ""volume"", TODAY()-40, TODAY()), ""SELECT Col2 WHERE Col2 IS NOT "&amp;"NULL ORDER BY Col1 DESC LIMIT 20"", 0))
    )
  ), 
"""")"),"")</f>
        <v/>
      </c>
      <c r="K623" s="21" t="str">
        <f>IFERROR(__xludf.DUMMYFUNCTION("IFERROR(GOOGLEFINANCE(C623, ""changepct"") / 100, """")"),"")</f>
        <v/>
      </c>
      <c r="L623" s="21" t="str">
        <f>IFERROR(__xludf.DUMMYFUNCTION("IFERROR((GOOGLEFINANCE(C623, ""price"") / INDEX(GOOGLEFINANCE(C623, ""price"", TODAY()-7, TODAY()), 2, 2)) - 1, """")"),"")</f>
        <v/>
      </c>
      <c r="M623" s="21" t="str">
        <f>IFERROR(__xludf.DUMMYFUNCTION("IFERROR((GOOGLEFINANCE(C623, ""price"") / INDEX(GOOGLEFINANCE(C623, ""price"", EDATE(TODAY(), -1), TODAY()), 2, 2)) - 1, """")"),"")</f>
        <v/>
      </c>
      <c r="N623" s="21" t="str">
        <f>IFERROR(__xludf.DUMMYFUNCTION("IFERROR((GOOGLEFINANCE(C623, ""price"") / INDEX(GOOGLEFINANCE(C623, ""price"", EDATE(TODAY(), -3), TODAY()), 2, 2)) - 1, """")"),"")</f>
        <v/>
      </c>
      <c r="O623" s="21" t="str">
        <f>IFERROR(__xludf.DUMMYFUNCTION("IFERROR((GOOGLEFINANCE(C623, ""price"") / INDEX(GOOGLEFINANCE(C623, ""price"", EDATE(TODAY(), -6), TODAY()), 2, 2)) - 1, """")"),"")</f>
        <v/>
      </c>
      <c r="P623" s="21" t="str">
        <f>IFERROR(__xludf.DUMMYFUNCTION("IFERROR((GOOGLEFINANCE(C623, ""price"") / INDEX(GOOGLEFINANCE(C623, ""price"", EDATE(TODAY(), -12), TODAY()), 2, 2)) - 1, """")"),"")</f>
        <v/>
      </c>
      <c r="Q623" s="6" t="str">
        <f>IFERROR(__xludf.DUMMYFUNCTION("AVERAGE(QUERY(GOOGLEFINANCE(C623, ""price"", TODAY()-80, TODAY()), ""SELECT Col2 WHERE Col2 IS NOT NULL ORDER BY Col1 DESC LIMIT 50"", 0))"),"#N/A")</f>
        <v>#N/A</v>
      </c>
      <c r="R623" s="24" t="str">
        <f>IFERROR(__xludf.DUMMYFUNCTION("IFERROR(
  LET(
    data, QUERY(GOOGLEFINANCE(C623,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GOOGLEFINANCE(C623, ""price"")) * 100,
    IF(calc=0, G623, calc)
  ), 
G623)"),"#N/A")</f>
        <v>#N/A</v>
      </c>
      <c r="S623" s="8" t="s">
        <v>15</v>
      </c>
      <c r="T623" s="26" t="str">
        <f>IFERROR(__xludf.DUMMYFUNCTION("IFERROR(TRANSPOSE(QUERY(IFERROR(SORT(GOOGLEFINANCE(C623, ""price"", WORKDAY(TODAY(), -40), TODAY()), 1, FALSE)), ""select Col2 where Col2 is not null limit 22 label Col2 ''"", 0)), """")"),"")</f>
        <v/>
      </c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8"/>
      <c r="AO623" s="28"/>
      <c r="AP623" s="29"/>
      <c r="AQ623" s="29" t="str">
        <f t="shared" ref="AQ623:BL623" si="626">T623/T$2</f>
        <v>#N/A</v>
      </c>
      <c r="AR623" s="29" t="str">
        <f t="shared" si="626"/>
        <v>#DIV/0!</v>
      </c>
      <c r="AS623" s="29" t="str">
        <f t="shared" si="626"/>
        <v>#DIV/0!</v>
      </c>
      <c r="AT623" s="29" t="str">
        <f t="shared" si="626"/>
        <v>#DIV/0!</v>
      </c>
      <c r="AU623" s="29" t="str">
        <f t="shared" si="626"/>
        <v>#DIV/0!</v>
      </c>
      <c r="AV623" s="29" t="str">
        <f t="shared" si="626"/>
        <v>#DIV/0!</v>
      </c>
      <c r="AW623" s="29" t="str">
        <f t="shared" si="626"/>
        <v>#DIV/0!</v>
      </c>
      <c r="AX623" s="29" t="str">
        <f t="shared" si="626"/>
        <v>#DIV/0!</v>
      </c>
      <c r="AY623" s="29" t="str">
        <f t="shared" si="626"/>
        <v>#DIV/0!</v>
      </c>
      <c r="AZ623" s="29" t="str">
        <f t="shared" si="626"/>
        <v>#DIV/0!</v>
      </c>
      <c r="BA623" s="29" t="str">
        <f t="shared" si="626"/>
        <v>#DIV/0!</v>
      </c>
      <c r="BB623" s="29" t="str">
        <f t="shared" si="626"/>
        <v>#DIV/0!</v>
      </c>
      <c r="BC623" s="29" t="str">
        <f t="shared" si="626"/>
        <v>#DIV/0!</v>
      </c>
      <c r="BD623" s="29" t="str">
        <f t="shared" si="626"/>
        <v>#DIV/0!</v>
      </c>
      <c r="BE623" s="29" t="str">
        <f t="shared" si="626"/>
        <v>#DIV/0!</v>
      </c>
      <c r="BF623" s="29" t="str">
        <f t="shared" si="626"/>
        <v>#DIV/0!</v>
      </c>
      <c r="BG623" s="29" t="str">
        <f t="shared" si="626"/>
        <v>#DIV/0!</v>
      </c>
      <c r="BH623" s="29" t="str">
        <f t="shared" si="626"/>
        <v>#DIV/0!</v>
      </c>
      <c r="BI623" s="29" t="str">
        <f t="shared" si="626"/>
        <v>#DIV/0!</v>
      </c>
      <c r="BJ623" s="29" t="str">
        <f t="shared" si="626"/>
        <v>#DIV/0!</v>
      </c>
      <c r="BK623" s="29" t="str">
        <f t="shared" si="626"/>
        <v>#DIV/0!</v>
      </c>
      <c r="BL623" s="29" t="str">
        <f t="shared" si="626"/>
        <v>#DIV/0!</v>
      </c>
      <c r="BM623" s="29" t="str">
        <f t="shared" si="3"/>
        <v>#DIV/0!</v>
      </c>
    </row>
    <row r="624">
      <c r="A624" s="16" t="str">
        <f>IFERROR(__xludf.DUMMYFUNCTION("IFERROR(SPARKLINE(SORT(MAP(TRANSPOSE(AQ624:BL624), LAMBDA(val, IF(ISNUMBER(val), PERCENTRANK(AQ624:BL624, val)+0.01, 0))), SEQUENCE(COLUMNS(AQ624:BL624)), FALSE), {""charttype"",""column""; ""color"",""chartreuse""; ""ymin"", 0; ""ymax"", 1.01; ""highcolo"&amp;"r"", ""darkgreen""; ""lowcolor"", ""red""}), """")"),"")</f>
        <v/>
      </c>
      <c r="B624" s="17" t="str">
        <f t="shared" si="4"/>
        <v/>
      </c>
      <c r="C624" s="1" t="s">
        <v>2790</v>
      </c>
      <c r="D624" s="34" t="str">
        <f>IFERROR(__xludf.DUMMYFUNCTION("IFERROR(GOOGLEFINANCE(C624, ""NAME""))"),"Arrow Financial Corp")</f>
        <v>Arrow Financial Corp</v>
      </c>
      <c r="E624" s="30" t="s">
        <v>268</v>
      </c>
      <c r="F624" s="33" t="str">
        <f>IFERROR(__xludf.DUMMYFUNCTION("( (GOOGLEFINANCE(C624, ""price"") - Q624) / Q624 ) / (R624 / 100)"),"Loading...")</f>
        <v>Loading...</v>
      </c>
      <c r="G624" s="20" t="str">
        <f>IFERROR(__xludf.DUMMYFUNCTION("AVERAGE(ARRAYFORMULA(100 * (QUERY(GOOGLEFINANCE(C624, ""high"", TODAY()-40, TODAY()), ""SELECT Col2 WHERE Col2 IS NOT NULL ORDER BY Col1 DESC LIMIT 20"", 0) / QUERY(GOOGLEFINANCE(C624, ""low"", TODAY()-40, TODAY()), ""SELECT Col2 WHERE Col2 IS NOT NULL OR"&amp;"DER BY Col1 DESC LIMIT 20"", 0) - 1)))"),"#N/A")</f>
        <v>#N/A</v>
      </c>
      <c r="H624" s="35" t="str">
        <f t="shared" si="6"/>
        <v/>
      </c>
      <c r="I624" s="36" t="str">
        <f t="shared" si="7"/>
        <v/>
      </c>
      <c r="J624" s="37" t="str">
        <f>IFERROR(__xludf.DUMMYFUNCTION("IFERROR(
  IF(C624="""",, 
    IFERROR(
      GOOGLEFINANCE(C624, ""price"") * GOOGLEFINANCE(C624, ""volumeavg""), 
      GOOGLEFINANCE(C624, ""price"") * AVERAGE(QUERY(GOOGLEFINANCE(C624, ""volume"", TODAY()-40, TODAY()), ""SELECT Col2 WHERE Col2 IS NOT "&amp;"NULL ORDER BY Col1 DESC LIMIT 20"", 0))
    )
  ), 
"""")"),"")</f>
        <v/>
      </c>
      <c r="K624" s="21" t="str">
        <f>IFERROR(__xludf.DUMMYFUNCTION("IFERROR(GOOGLEFINANCE(C624, ""changepct"") / 100, """")"),"")</f>
        <v/>
      </c>
      <c r="L624" s="21" t="str">
        <f>IFERROR(__xludf.DUMMYFUNCTION("IFERROR((GOOGLEFINANCE(C624, ""price"") / INDEX(GOOGLEFINANCE(C624, ""price"", TODAY()-7, TODAY()), 2, 2)) - 1, """")"),"")</f>
        <v/>
      </c>
      <c r="M624" s="21" t="str">
        <f>IFERROR(__xludf.DUMMYFUNCTION("IFERROR((GOOGLEFINANCE(C624, ""price"") / INDEX(GOOGLEFINANCE(C624, ""price"", EDATE(TODAY(), -1), TODAY()), 2, 2)) - 1, """")"),"")</f>
        <v/>
      </c>
      <c r="N624" s="21" t="str">
        <f>IFERROR(__xludf.DUMMYFUNCTION("IFERROR((GOOGLEFINANCE(C624, ""price"") / INDEX(GOOGLEFINANCE(C624, ""price"", EDATE(TODAY(), -3), TODAY()), 2, 2)) - 1, """")"),"")</f>
        <v/>
      </c>
      <c r="O624" s="21" t="str">
        <f>IFERROR(__xludf.DUMMYFUNCTION("IFERROR((GOOGLEFINANCE(C624, ""price"") / INDEX(GOOGLEFINANCE(C624, ""price"", EDATE(TODAY(), -6), TODAY()), 2, 2)) - 1, """")"),"")</f>
        <v/>
      </c>
      <c r="P624" s="21" t="str">
        <f>IFERROR(__xludf.DUMMYFUNCTION("IFERROR((GOOGLEFINANCE(C624, ""price"") / INDEX(GOOGLEFINANCE(C624, ""price"", EDATE(TODAY(), -12), TODAY()), 2, 2)) - 1, """")"),"")</f>
        <v/>
      </c>
      <c r="Q624" s="6" t="str">
        <f>IFERROR(__xludf.DUMMYFUNCTION("AVERAGE(QUERY(GOOGLEFINANCE(C624, ""price"", TODAY()-80, TODAY()), ""SELECT Col2 WHERE Col2 IS NOT NULL ORDER BY Col1 DESC LIMIT 50"", 0))"),"#N/A")</f>
        <v>#N/A</v>
      </c>
      <c r="R624" s="24" t="str">
        <f>IFERROR(__xludf.DUMMYFUNCTION("IFERROR(
  LET(
    data, QUERY(GOOGLEFINANCE(C624,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GOOGLEFINANCE(C624, ""price"")) * 100,
    IF(calc=0, G624, calc)
  ), 
G624)"),"#N/A")</f>
        <v>#N/A</v>
      </c>
      <c r="S624" s="8" t="s">
        <v>15</v>
      </c>
      <c r="T624" s="26" t="str">
        <f>IFERROR(__xludf.DUMMYFUNCTION("IFERROR(TRANSPOSE(QUERY(IFERROR(SORT(GOOGLEFINANCE(C624, ""price"", WORKDAY(TODAY(), -40), TODAY()), 1, FALSE)), ""select Col2 where Col2 is not null limit 22 label Col2 ''"", 0)), """")"),"")</f>
        <v/>
      </c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8"/>
      <c r="AO624" s="28"/>
      <c r="AP624" s="29"/>
      <c r="AQ624" s="29" t="str">
        <f t="shared" ref="AQ624:BL624" si="627">T624/T$2</f>
        <v>#N/A</v>
      </c>
      <c r="AR624" s="29" t="str">
        <f t="shared" si="627"/>
        <v>#DIV/0!</v>
      </c>
      <c r="AS624" s="29" t="str">
        <f t="shared" si="627"/>
        <v>#DIV/0!</v>
      </c>
      <c r="AT624" s="29" t="str">
        <f t="shared" si="627"/>
        <v>#DIV/0!</v>
      </c>
      <c r="AU624" s="29" t="str">
        <f t="shared" si="627"/>
        <v>#DIV/0!</v>
      </c>
      <c r="AV624" s="29" t="str">
        <f t="shared" si="627"/>
        <v>#DIV/0!</v>
      </c>
      <c r="AW624" s="29" t="str">
        <f t="shared" si="627"/>
        <v>#DIV/0!</v>
      </c>
      <c r="AX624" s="29" t="str">
        <f t="shared" si="627"/>
        <v>#DIV/0!</v>
      </c>
      <c r="AY624" s="29" t="str">
        <f t="shared" si="627"/>
        <v>#DIV/0!</v>
      </c>
      <c r="AZ624" s="29" t="str">
        <f t="shared" si="627"/>
        <v>#DIV/0!</v>
      </c>
      <c r="BA624" s="29" t="str">
        <f t="shared" si="627"/>
        <v>#DIV/0!</v>
      </c>
      <c r="BB624" s="29" t="str">
        <f t="shared" si="627"/>
        <v>#DIV/0!</v>
      </c>
      <c r="BC624" s="29" t="str">
        <f t="shared" si="627"/>
        <v>#DIV/0!</v>
      </c>
      <c r="BD624" s="29" t="str">
        <f t="shared" si="627"/>
        <v>#DIV/0!</v>
      </c>
      <c r="BE624" s="29" t="str">
        <f t="shared" si="627"/>
        <v>#DIV/0!</v>
      </c>
      <c r="BF624" s="29" t="str">
        <f t="shared" si="627"/>
        <v>#DIV/0!</v>
      </c>
      <c r="BG624" s="29" t="str">
        <f t="shared" si="627"/>
        <v>#DIV/0!</v>
      </c>
      <c r="BH624" s="29" t="str">
        <f t="shared" si="627"/>
        <v>#DIV/0!</v>
      </c>
      <c r="BI624" s="29" t="str">
        <f t="shared" si="627"/>
        <v>#DIV/0!</v>
      </c>
      <c r="BJ624" s="29" t="str">
        <f t="shared" si="627"/>
        <v>#DIV/0!</v>
      </c>
      <c r="BK624" s="29" t="str">
        <f t="shared" si="627"/>
        <v>#DIV/0!</v>
      </c>
      <c r="BL624" s="29" t="str">
        <f t="shared" si="627"/>
        <v>#DIV/0!</v>
      </c>
      <c r="BM624" s="29" t="str">
        <f t="shared" si="3"/>
        <v>#DIV/0!</v>
      </c>
    </row>
    <row r="625">
      <c r="A625" s="16" t="str">
        <f>IFERROR(__xludf.DUMMYFUNCTION("IFERROR(SPARKLINE(SORT(MAP(TRANSPOSE(AQ625:BL625), LAMBDA(val, IF(ISNUMBER(val), PERCENTRANK(AQ625:BL625, val)+0.01, 0))), SEQUENCE(COLUMNS(AQ625:BL625)), FALSE), {""charttype"",""column""; ""color"",""chartreuse""; ""ymin"", 0; ""ymax"", 1.01; ""highcolo"&amp;"r"", ""darkgreen""; ""lowcolor"", ""red""}), """")"),"")</f>
        <v/>
      </c>
      <c r="B625" s="17" t="str">
        <f t="shared" si="4"/>
        <v/>
      </c>
      <c r="C625" s="1" t="s">
        <v>2794</v>
      </c>
      <c r="D625" s="34" t="str">
        <f>IFERROR(__xludf.DUMMYFUNCTION("IFERROR(GOOGLEFINANCE(C625, ""NAME""))"),"Value Line Inc")</f>
        <v>Value Line Inc</v>
      </c>
      <c r="E625" s="30" t="s">
        <v>54</v>
      </c>
      <c r="F625" s="38" t="str">
        <f>IFERROR(__xludf.DUMMYFUNCTION("( (GOOGLEFINANCE(C625, ""price"") - Q625) / Q625 ) / (R625 / 100)"),"Loading...")</f>
        <v>Loading...</v>
      </c>
      <c r="G625" s="20" t="str">
        <f>IFERROR(__xludf.DUMMYFUNCTION("AVERAGE(ARRAYFORMULA(100 * (QUERY(GOOGLEFINANCE(C625, ""high"", TODAY()-40, TODAY()), ""SELECT Col2 WHERE Col2 IS NOT NULL ORDER BY Col1 DESC LIMIT 20"", 0) / QUERY(GOOGLEFINANCE(C625, ""low"", TODAY()-40, TODAY()), ""SELECT Col2 WHERE Col2 IS NOT NULL OR"&amp;"DER BY Col1 DESC LIMIT 20"", 0) - 1)))"),"#N/A")</f>
        <v>#N/A</v>
      </c>
      <c r="H625" s="35" t="str">
        <f t="shared" si="6"/>
        <v/>
      </c>
      <c r="I625" s="36" t="str">
        <f t="shared" si="7"/>
        <v/>
      </c>
      <c r="J625" s="37" t="str">
        <f>IFERROR(__xludf.DUMMYFUNCTION("IFERROR(
  IF(C625="""",, 
    IFERROR(
      GOOGLEFINANCE(C625, ""price"") * GOOGLEFINANCE(C625, ""volumeavg""), 
      GOOGLEFINANCE(C625, ""price"") * AVERAGE(QUERY(GOOGLEFINANCE(C625, ""volume"", TODAY()-40, TODAY()), ""SELECT Col2 WHERE Col2 IS NOT "&amp;"NULL ORDER BY Col1 DESC LIMIT 20"", 0))
    )
  ), 
"""")"),"")</f>
        <v/>
      </c>
      <c r="K625" s="21" t="str">
        <f>IFERROR(__xludf.DUMMYFUNCTION("IFERROR(GOOGLEFINANCE(C625, ""changepct"") / 100, """")"),"")</f>
        <v/>
      </c>
      <c r="L625" s="21" t="str">
        <f>IFERROR(__xludf.DUMMYFUNCTION("IFERROR((GOOGLEFINANCE(C625, ""price"") / INDEX(GOOGLEFINANCE(C625, ""price"", TODAY()-7, TODAY()), 2, 2)) - 1, """")"),"")</f>
        <v/>
      </c>
      <c r="M625" s="21" t="str">
        <f>IFERROR(__xludf.DUMMYFUNCTION("IFERROR((GOOGLEFINANCE(C625, ""price"") / INDEX(GOOGLEFINANCE(C625, ""price"", EDATE(TODAY(), -1), TODAY()), 2, 2)) - 1, """")"),"")</f>
        <v/>
      </c>
      <c r="N625" s="21" t="str">
        <f>IFERROR(__xludf.DUMMYFUNCTION("IFERROR((GOOGLEFINANCE(C625, ""price"") / INDEX(GOOGLEFINANCE(C625, ""price"", EDATE(TODAY(), -3), TODAY()), 2, 2)) - 1, """")"),"")</f>
        <v/>
      </c>
      <c r="O625" s="21" t="str">
        <f>IFERROR(__xludf.DUMMYFUNCTION("IFERROR((GOOGLEFINANCE(C625, ""price"") / INDEX(GOOGLEFINANCE(C625, ""price"", EDATE(TODAY(), -6), TODAY()), 2, 2)) - 1, """")"),"")</f>
        <v/>
      </c>
      <c r="P625" s="21" t="str">
        <f>IFERROR(__xludf.DUMMYFUNCTION("IFERROR((GOOGLEFINANCE(C625, ""price"") / INDEX(GOOGLEFINANCE(C625, ""price"", EDATE(TODAY(), -12), TODAY()), 2, 2)) - 1, """")"),"")</f>
        <v/>
      </c>
      <c r="Q625" s="6" t="str">
        <f>IFERROR(__xludf.DUMMYFUNCTION("AVERAGE(QUERY(GOOGLEFINANCE(C625, ""price"", TODAY()-80, TODAY()), ""SELECT Col2 WHERE Col2 IS NOT NULL ORDER BY Col1 DESC LIMIT 50"", 0))"),"#N/A")</f>
        <v>#N/A</v>
      </c>
      <c r="R625" s="24" t="str">
        <f>IFERROR(__xludf.DUMMYFUNCTION("IFERROR(
  LET(
    data, QUERY(GOOGLEFINANCE(C625,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GOOGLEFINANCE(C625, ""price"")) * 100,
    IF(calc=0, G625, calc)
  ), 
G625)"),"#N/A")</f>
        <v>#N/A</v>
      </c>
      <c r="S625" s="8" t="s">
        <v>15</v>
      </c>
      <c r="T625" s="26" t="str">
        <f>IFERROR(__xludf.DUMMYFUNCTION("IFERROR(TRANSPOSE(QUERY(IFERROR(SORT(GOOGLEFINANCE(C625, ""price"", WORKDAY(TODAY(), -40), TODAY()), 1, FALSE)), ""select Col2 where Col2 is not null limit 22 label Col2 ''"", 0)), """")"),"")</f>
        <v/>
      </c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8"/>
      <c r="AO625" s="28"/>
      <c r="AP625" s="29"/>
      <c r="AQ625" s="29" t="str">
        <f t="shared" ref="AQ625:BL625" si="628">T625/T$2</f>
        <v>#N/A</v>
      </c>
      <c r="AR625" s="29" t="str">
        <f t="shared" si="628"/>
        <v>#DIV/0!</v>
      </c>
      <c r="AS625" s="29" t="str">
        <f t="shared" si="628"/>
        <v>#DIV/0!</v>
      </c>
      <c r="AT625" s="29" t="str">
        <f t="shared" si="628"/>
        <v>#DIV/0!</v>
      </c>
      <c r="AU625" s="29" t="str">
        <f t="shared" si="628"/>
        <v>#DIV/0!</v>
      </c>
      <c r="AV625" s="29" t="str">
        <f t="shared" si="628"/>
        <v>#DIV/0!</v>
      </c>
      <c r="AW625" s="29" t="str">
        <f t="shared" si="628"/>
        <v>#DIV/0!</v>
      </c>
      <c r="AX625" s="29" t="str">
        <f t="shared" si="628"/>
        <v>#DIV/0!</v>
      </c>
      <c r="AY625" s="29" t="str">
        <f t="shared" si="628"/>
        <v>#DIV/0!</v>
      </c>
      <c r="AZ625" s="29" t="str">
        <f t="shared" si="628"/>
        <v>#DIV/0!</v>
      </c>
      <c r="BA625" s="29" t="str">
        <f t="shared" si="628"/>
        <v>#DIV/0!</v>
      </c>
      <c r="BB625" s="29" t="str">
        <f t="shared" si="628"/>
        <v>#DIV/0!</v>
      </c>
      <c r="BC625" s="29" t="str">
        <f t="shared" si="628"/>
        <v>#DIV/0!</v>
      </c>
      <c r="BD625" s="29" t="str">
        <f t="shared" si="628"/>
        <v>#DIV/0!</v>
      </c>
      <c r="BE625" s="29" t="str">
        <f t="shared" si="628"/>
        <v>#DIV/0!</v>
      </c>
      <c r="BF625" s="29" t="str">
        <f t="shared" si="628"/>
        <v>#DIV/0!</v>
      </c>
      <c r="BG625" s="29" t="str">
        <f t="shared" si="628"/>
        <v>#DIV/0!</v>
      </c>
      <c r="BH625" s="29" t="str">
        <f t="shared" si="628"/>
        <v>#DIV/0!</v>
      </c>
      <c r="BI625" s="29" t="str">
        <f t="shared" si="628"/>
        <v>#DIV/0!</v>
      </c>
      <c r="BJ625" s="29" t="str">
        <f t="shared" si="628"/>
        <v>#DIV/0!</v>
      </c>
      <c r="BK625" s="29" t="str">
        <f t="shared" si="628"/>
        <v>#DIV/0!</v>
      </c>
      <c r="BL625" s="29" t="str">
        <f t="shared" si="628"/>
        <v>#DIV/0!</v>
      </c>
      <c r="BM625" s="29" t="str">
        <f t="shared" si="3"/>
        <v>#DIV/0!</v>
      </c>
    </row>
    <row r="626">
      <c r="A626" s="16" t="str">
        <f>IFERROR(__xludf.DUMMYFUNCTION("IFERROR(SPARKLINE(SORT(MAP(TRANSPOSE(AQ626:BL626), LAMBDA(val, IF(ISNUMBER(val), PERCENTRANK(AQ626:BL626, val)+0.01, 0))), SEQUENCE(COLUMNS(AQ626:BL626)), FALSE), {""charttype"",""column""; ""color"",""chartreuse""; ""ymin"", 0; ""ymax"", 1.01; ""highcolo"&amp;"r"", ""darkgreen""; ""lowcolor"", ""red""}), """")"),"")</f>
        <v/>
      </c>
      <c r="B626" s="17" t="str">
        <f t="shared" si="4"/>
        <v/>
      </c>
      <c r="C626" s="1" t="s">
        <v>2798</v>
      </c>
      <c r="D626" s="34" t="str">
        <f>IFERROR(__xludf.DUMMYFUNCTION("IFERROR(GOOGLEFINANCE(C626, ""NAME""))"),"Renatus Tactical Acquisition I Corp")</f>
        <v>Renatus Tactical Acquisition I Corp</v>
      </c>
      <c r="E626" s="30" t="s">
        <v>161</v>
      </c>
      <c r="F626" s="33" t="str">
        <f>IFERROR(__xludf.DUMMYFUNCTION("( (GOOGLEFINANCE(C626, ""price"") - Q626) / Q626 ) / (R626 / 100)"),"Loading...")</f>
        <v>Loading...</v>
      </c>
      <c r="G626" s="20" t="str">
        <f>IFERROR(__xludf.DUMMYFUNCTION("AVERAGE(ARRAYFORMULA(100 * (QUERY(GOOGLEFINANCE(C626, ""high"", TODAY()-40, TODAY()), ""SELECT Col2 WHERE Col2 IS NOT NULL ORDER BY Col1 DESC LIMIT 20"", 0) / QUERY(GOOGLEFINANCE(C626, ""low"", TODAY()-40, TODAY()), ""SELECT Col2 WHERE Col2 IS NOT NULL OR"&amp;"DER BY Col1 DESC LIMIT 20"", 0) - 1)))"),"#N/A")</f>
        <v>#N/A</v>
      </c>
      <c r="H626" s="35" t="str">
        <f t="shared" si="6"/>
        <v/>
      </c>
      <c r="I626" s="36" t="str">
        <f t="shared" si="7"/>
        <v/>
      </c>
      <c r="J626" s="37" t="str">
        <f>IFERROR(__xludf.DUMMYFUNCTION("IFERROR(
  IF(C626="""",, 
    IFERROR(
      GOOGLEFINANCE(C626, ""price"") * GOOGLEFINANCE(C626, ""volumeavg""), 
      GOOGLEFINANCE(C626, ""price"") * AVERAGE(QUERY(GOOGLEFINANCE(C626, ""volume"", TODAY()-40, TODAY()), ""SELECT Col2 WHERE Col2 IS NOT "&amp;"NULL ORDER BY Col1 DESC LIMIT 20"", 0))
    )
  ), 
"""")"),"")</f>
        <v/>
      </c>
      <c r="K626" s="21" t="str">
        <f>IFERROR(__xludf.DUMMYFUNCTION("IFERROR(GOOGLEFINANCE(C626, ""changepct"") / 100, """")"),"")</f>
        <v/>
      </c>
      <c r="L626" s="21" t="str">
        <f>IFERROR(__xludf.DUMMYFUNCTION("IFERROR((GOOGLEFINANCE(C626, ""price"") / INDEX(GOOGLEFINANCE(C626, ""price"", TODAY()-7, TODAY()), 2, 2)) - 1, """")"),"")</f>
        <v/>
      </c>
      <c r="M626" s="21" t="str">
        <f>IFERROR(__xludf.DUMMYFUNCTION("IFERROR((GOOGLEFINANCE(C626, ""price"") / INDEX(GOOGLEFINANCE(C626, ""price"", EDATE(TODAY(), -1), TODAY()), 2, 2)) - 1, """")"),"")</f>
        <v/>
      </c>
      <c r="N626" s="21" t="str">
        <f>IFERROR(__xludf.DUMMYFUNCTION("IFERROR((GOOGLEFINANCE(C626, ""price"") / INDEX(GOOGLEFINANCE(C626, ""price"", EDATE(TODAY(), -3), TODAY()), 2, 2)) - 1, """")"),"")</f>
        <v/>
      </c>
      <c r="O626" s="21" t="str">
        <f>IFERROR(__xludf.DUMMYFUNCTION("IFERROR((GOOGLEFINANCE(C626, ""price"") / INDEX(GOOGLEFINANCE(C626, ""price"", EDATE(TODAY(), -6), TODAY()), 2, 2)) - 1, """")"),"")</f>
        <v/>
      </c>
      <c r="P626" s="21" t="str">
        <f>IFERROR(__xludf.DUMMYFUNCTION("IFERROR((GOOGLEFINANCE(C626, ""price"") / INDEX(GOOGLEFINANCE(C626, ""price"", EDATE(TODAY(), -12), TODAY()), 2, 2)) - 1, """")"),"")</f>
        <v/>
      </c>
      <c r="Q626" s="6" t="str">
        <f>IFERROR(__xludf.DUMMYFUNCTION("AVERAGE(QUERY(GOOGLEFINANCE(C626, ""price"", TODAY()-80, TODAY()), ""SELECT Col2 WHERE Col2 IS NOT NULL ORDER BY Col1 DESC LIMIT 50"", 0))"),"#N/A")</f>
        <v>#N/A</v>
      </c>
      <c r="R626" s="24" t="str">
        <f>IFERROR(__xludf.DUMMYFUNCTION("IFERROR(
  LET(
    data, QUERY(GOOGLEFINANCE(C626,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GOOGLEFINANCE(C626, ""price"")) * 100,
    IF(calc=0, G626, calc)
  ), 
G626)"),"#N/A")</f>
        <v>#N/A</v>
      </c>
      <c r="S626" s="8" t="s">
        <v>15</v>
      </c>
      <c r="T626" s="26" t="str">
        <f>IFERROR(__xludf.DUMMYFUNCTION("IFERROR(TRANSPOSE(QUERY(IFERROR(SORT(GOOGLEFINANCE(C626, ""price"", WORKDAY(TODAY(), -40), TODAY()), 1, FALSE)), ""select Col2 where Col2 is not null limit 22 label Col2 ''"", 0)), """")"),"")</f>
        <v/>
      </c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8"/>
      <c r="AO626" s="28"/>
      <c r="AP626" s="29"/>
      <c r="AQ626" s="29" t="str">
        <f t="shared" ref="AQ626:BL626" si="629">T626/T$2</f>
        <v>#N/A</v>
      </c>
      <c r="AR626" s="29" t="str">
        <f t="shared" si="629"/>
        <v>#DIV/0!</v>
      </c>
      <c r="AS626" s="29" t="str">
        <f t="shared" si="629"/>
        <v>#DIV/0!</v>
      </c>
      <c r="AT626" s="29" t="str">
        <f t="shared" si="629"/>
        <v>#DIV/0!</v>
      </c>
      <c r="AU626" s="29" t="str">
        <f t="shared" si="629"/>
        <v>#DIV/0!</v>
      </c>
      <c r="AV626" s="29" t="str">
        <f t="shared" si="629"/>
        <v>#DIV/0!</v>
      </c>
      <c r="AW626" s="29" t="str">
        <f t="shared" si="629"/>
        <v>#DIV/0!</v>
      </c>
      <c r="AX626" s="29" t="str">
        <f t="shared" si="629"/>
        <v>#DIV/0!</v>
      </c>
      <c r="AY626" s="29" t="str">
        <f t="shared" si="629"/>
        <v>#DIV/0!</v>
      </c>
      <c r="AZ626" s="29" t="str">
        <f t="shared" si="629"/>
        <v>#DIV/0!</v>
      </c>
      <c r="BA626" s="29" t="str">
        <f t="shared" si="629"/>
        <v>#DIV/0!</v>
      </c>
      <c r="BB626" s="29" t="str">
        <f t="shared" si="629"/>
        <v>#DIV/0!</v>
      </c>
      <c r="BC626" s="29" t="str">
        <f t="shared" si="629"/>
        <v>#DIV/0!</v>
      </c>
      <c r="BD626" s="29" t="str">
        <f t="shared" si="629"/>
        <v>#DIV/0!</v>
      </c>
      <c r="BE626" s="29" t="str">
        <f t="shared" si="629"/>
        <v>#DIV/0!</v>
      </c>
      <c r="BF626" s="29" t="str">
        <f t="shared" si="629"/>
        <v>#DIV/0!</v>
      </c>
      <c r="BG626" s="29" t="str">
        <f t="shared" si="629"/>
        <v>#DIV/0!</v>
      </c>
      <c r="BH626" s="29" t="str">
        <f t="shared" si="629"/>
        <v>#DIV/0!</v>
      </c>
      <c r="BI626" s="29" t="str">
        <f t="shared" si="629"/>
        <v>#DIV/0!</v>
      </c>
      <c r="BJ626" s="29" t="str">
        <f t="shared" si="629"/>
        <v>#DIV/0!</v>
      </c>
      <c r="BK626" s="29" t="str">
        <f t="shared" si="629"/>
        <v>#DIV/0!</v>
      </c>
      <c r="BL626" s="29" t="str">
        <f t="shared" si="629"/>
        <v>#DIV/0!</v>
      </c>
      <c r="BM626" s="29" t="str">
        <f t="shared" si="3"/>
        <v>#DIV/0!</v>
      </c>
    </row>
    <row r="627">
      <c r="A627" s="16" t="str">
        <f>IFERROR(__xludf.DUMMYFUNCTION("IFERROR(SPARKLINE(SORT(MAP(TRANSPOSE(AQ627:BL627), LAMBDA(val, IF(ISNUMBER(val), PERCENTRANK(AQ627:BL627, val)+0.01, 0))), SEQUENCE(COLUMNS(AQ627:BL627)), FALSE), {""charttype"",""column""; ""color"",""chartreuse""; ""ymin"", 0; ""ymax"", 1.01; ""highcolo"&amp;"r"", ""darkgreen""; ""lowcolor"", ""red""}), """")"),"")</f>
        <v/>
      </c>
      <c r="B627" s="17" t="str">
        <f t="shared" si="4"/>
        <v/>
      </c>
      <c r="C627" s="1" t="s">
        <v>2804</v>
      </c>
      <c r="D627" s="34" t="str">
        <f>IFERROR(__xludf.DUMMYFUNCTION("IFERROR(GOOGLEFINANCE(C627, ""NAME""))"),"")</f>
        <v/>
      </c>
      <c r="E627" s="30" t="s">
        <v>161</v>
      </c>
      <c r="F627" s="33" t="str">
        <f>IFERROR(__xludf.DUMMYFUNCTION("( (GOOGLEFINANCE(C627, ""price"") - Q627) / Q627 ) / (R627 / 100)"),"Loading...")</f>
        <v>Loading...</v>
      </c>
      <c r="G627" s="20" t="str">
        <f>IFERROR(__xludf.DUMMYFUNCTION("AVERAGE(ARRAYFORMULA(100 * (QUERY(GOOGLEFINANCE(C627, ""high"", TODAY()-40, TODAY()), ""SELECT Col2 WHERE Col2 IS NOT NULL ORDER BY Col1 DESC LIMIT 20"", 0) / QUERY(GOOGLEFINANCE(C627, ""low"", TODAY()-40, TODAY()), ""SELECT Col2 WHERE Col2 IS NOT NULL OR"&amp;"DER BY Col1 DESC LIMIT 20"", 0) - 1)))"),"#N/A")</f>
        <v>#N/A</v>
      </c>
      <c r="H627" s="35" t="str">
        <f t="shared" si="6"/>
        <v/>
      </c>
      <c r="I627" s="36" t="str">
        <f t="shared" si="7"/>
        <v/>
      </c>
      <c r="J627" s="37" t="str">
        <f>IFERROR(__xludf.DUMMYFUNCTION("IFERROR(
  IF(C627="""",, 
    IFERROR(
      GOOGLEFINANCE(C627, ""price"") * GOOGLEFINANCE(C627, ""volumeavg""), 
      GOOGLEFINANCE(C627, ""price"") * AVERAGE(QUERY(GOOGLEFINANCE(C627, ""volume"", TODAY()-40, TODAY()), ""SELECT Col2 WHERE Col2 IS NOT "&amp;"NULL ORDER BY Col1 DESC LIMIT 20"", 0))
    )
  ), 
"""")"),"")</f>
        <v/>
      </c>
      <c r="K627" s="21" t="str">
        <f>IFERROR(__xludf.DUMMYFUNCTION("IFERROR(GOOGLEFINANCE(C627, ""changepct"") / 100, """")"),"")</f>
        <v/>
      </c>
      <c r="L627" s="21" t="str">
        <f>IFERROR(__xludf.DUMMYFUNCTION("IFERROR((GOOGLEFINANCE(C627, ""price"") / INDEX(GOOGLEFINANCE(C627, ""price"", TODAY()-7, TODAY()), 2, 2)) - 1, """")"),"")</f>
        <v/>
      </c>
      <c r="M627" s="21" t="str">
        <f>IFERROR(__xludf.DUMMYFUNCTION("IFERROR((GOOGLEFINANCE(C627, ""price"") / INDEX(GOOGLEFINANCE(C627, ""price"", EDATE(TODAY(), -1), TODAY()), 2, 2)) - 1, """")"),"")</f>
        <v/>
      </c>
      <c r="N627" s="21" t="str">
        <f>IFERROR(__xludf.DUMMYFUNCTION("IFERROR((GOOGLEFINANCE(C627, ""price"") / INDEX(GOOGLEFINANCE(C627, ""price"", EDATE(TODAY(), -3), TODAY()), 2, 2)) - 1, """")"),"")</f>
        <v/>
      </c>
      <c r="O627" s="21" t="str">
        <f>IFERROR(__xludf.DUMMYFUNCTION("IFERROR((GOOGLEFINANCE(C627, ""price"") / INDEX(GOOGLEFINANCE(C627, ""price"", EDATE(TODAY(), -6), TODAY()), 2, 2)) - 1, """")"),"")</f>
        <v/>
      </c>
      <c r="P627" s="21" t="str">
        <f>IFERROR(__xludf.DUMMYFUNCTION("IFERROR((GOOGLEFINANCE(C627, ""price"") / INDEX(GOOGLEFINANCE(C627, ""price"", EDATE(TODAY(), -12), TODAY()), 2, 2)) - 1, """")"),"")</f>
        <v/>
      </c>
      <c r="Q627" s="6" t="str">
        <f>IFERROR(__xludf.DUMMYFUNCTION("AVERAGE(QUERY(GOOGLEFINANCE(C627, ""price"", TODAY()-80, TODAY()), ""SELECT Col2 WHERE Col2 IS NOT NULL ORDER BY Col1 DESC LIMIT 50"", 0))"),"#N/A")</f>
        <v>#N/A</v>
      </c>
      <c r="R627" s="24" t="str">
        <f>IFERROR(__xludf.DUMMYFUNCTION("IFERROR(
  LET(
    data, QUERY(GOOGLEFINANCE(C627,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GOOGLEFINANCE(C627, ""price"")) * 100,
    IF(calc=0, G627, calc)
  ), 
G627)"),"#N/A")</f>
        <v>#N/A</v>
      </c>
      <c r="S627" s="8" t="s">
        <v>15</v>
      </c>
      <c r="T627" s="26" t="str">
        <f>IFERROR(__xludf.DUMMYFUNCTION("IFERROR(TRANSPOSE(QUERY(IFERROR(SORT(GOOGLEFINANCE(C627, ""price"", WORKDAY(TODAY(), -40), TODAY()), 1, FALSE)), ""select Col2 where Col2 is not null limit 22 label Col2 ''"", 0)), """")"),"")</f>
        <v/>
      </c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8"/>
      <c r="AO627" s="28"/>
      <c r="AP627" s="29"/>
      <c r="AQ627" s="29" t="str">
        <f t="shared" ref="AQ627:BL627" si="630">T627/T$2</f>
        <v>#N/A</v>
      </c>
      <c r="AR627" s="29" t="str">
        <f t="shared" si="630"/>
        <v>#DIV/0!</v>
      </c>
      <c r="AS627" s="29" t="str">
        <f t="shared" si="630"/>
        <v>#DIV/0!</v>
      </c>
      <c r="AT627" s="29" t="str">
        <f t="shared" si="630"/>
        <v>#DIV/0!</v>
      </c>
      <c r="AU627" s="29" t="str">
        <f t="shared" si="630"/>
        <v>#DIV/0!</v>
      </c>
      <c r="AV627" s="29" t="str">
        <f t="shared" si="630"/>
        <v>#DIV/0!</v>
      </c>
      <c r="AW627" s="29" t="str">
        <f t="shared" si="630"/>
        <v>#DIV/0!</v>
      </c>
      <c r="AX627" s="29" t="str">
        <f t="shared" si="630"/>
        <v>#DIV/0!</v>
      </c>
      <c r="AY627" s="29" t="str">
        <f t="shared" si="630"/>
        <v>#DIV/0!</v>
      </c>
      <c r="AZ627" s="29" t="str">
        <f t="shared" si="630"/>
        <v>#DIV/0!</v>
      </c>
      <c r="BA627" s="29" t="str">
        <f t="shared" si="630"/>
        <v>#DIV/0!</v>
      </c>
      <c r="BB627" s="29" t="str">
        <f t="shared" si="630"/>
        <v>#DIV/0!</v>
      </c>
      <c r="BC627" s="29" t="str">
        <f t="shared" si="630"/>
        <v>#DIV/0!</v>
      </c>
      <c r="BD627" s="29" t="str">
        <f t="shared" si="630"/>
        <v>#DIV/0!</v>
      </c>
      <c r="BE627" s="29" t="str">
        <f t="shared" si="630"/>
        <v>#DIV/0!</v>
      </c>
      <c r="BF627" s="29" t="str">
        <f t="shared" si="630"/>
        <v>#DIV/0!</v>
      </c>
      <c r="BG627" s="29" t="str">
        <f t="shared" si="630"/>
        <v>#DIV/0!</v>
      </c>
      <c r="BH627" s="29" t="str">
        <f t="shared" si="630"/>
        <v>#DIV/0!</v>
      </c>
      <c r="BI627" s="29" t="str">
        <f t="shared" si="630"/>
        <v>#DIV/0!</v>
      </c>
      <c r="BJ627" s="29" t="str">
        <f t="shared" si="630"/>
        <v>#DIV/0!</v>
      </c>
      <c r="BK627" s="29" t="str">
        <f t="shared" si="630"/>
        <v>#DIV/0!</v>
      </c>
      <c r="BL627" s="29" t="str">
        <f t="shared" si="630"/>
        <v>#DIV/0!</v>
      </c>
      <c r="BM627" s="29" t="str">
        <f t="shared" si="3"/>
        <v>#DIV/0!</v>
      </c>
    </row>
    <row r="628">
      <c r="A628" s="16" t="str">
        <f>IFERROR(__xludf.DUMMYFUNCTION("IFERROR(SPARKLINE(SORT(MAP(TRANSPOSE(AQ628:BL628), LAMBDA(val, IF(ISNUMBER(val), PERCENTRANK(AQ628:BL628, val)+0.01, 0))), SEQUENCE(COLUMNS(AQ628:BL628)), FALSE), {""charttype"",""column""; ""color"",""chartreuse""; ""ymin"", 0; ""ymax"", 1.01; ""highcolo"&amp;"r"", ""darkgreen""; ""lowcolor"", ""red""}), """")"),"")</f>
        <v/>
      </c>
      <c r="B628" s="17" t="str">
        <f t="shared" si="4"/>
        <v/>
      </c>
      <c r="C628" s="1" t="s">
        <v>2808</v>
      </c>
      <c r="D628" s="34" t="str">
        <f>IFERROR(__xludf.DUMMYFUNCTION("IFERROR(GOOGLEFINANCE(C628, ""NAME""))"),"Flagstar Bank NA")</f>
        <v>Flagstar Bank NA</v>
      </c>
      <c r="E628" s="30" t="s">
        <v>268</v>
      </c>
      <c r="F628" s="33" t="str">
        <f>IFERROR(__xludf.DUMMYFUNCTION("( (GOOGLEFINANCE(C628, ""price"") - Q628) / Q628 ) / (R628 / 100)"),"Loading...")</f>
        <v>Loading...</v>
      </c>
      <c r="G628" s="20" t="str">
        <f>IFERROR(__xludf.DUMMYFUNCTION("AVERAGE(ARRAYFORMULA(100 * (QUERY(GOOGLEFINANCE(C628, ""high"", TODAY()-40, TODAY()), ""SELECT Col2 WHERE Col2 IS NOT NULL ORDER BY Col1 DESC LIMIT 20"", 0) / QUERY(GOOGLEFINANCE(C628, ""low"", TODAY()-40, TODAY()), ""SELECT Col2 WHERE Col2 IS NOT NULL OR"&amp;"DER BY Col1 DESC LIMIT 20"", 0) - 1)))"),"#N/A")</f>
        <v>#N/A</v>
      </c>
      <c r="H628" s="35" t="str">
        <f t="shared" si="6"/>
        <v/>
      </c>
      <c r="I628" s="36" t="str">
        <f t="shared" si="7"/>
        <v/>
      </c>
      <c r="J628" s="37" t="str">
        <f>IFERROR(__xludf.DUMMYFUNCTION("IFERROR(
  IF(C628="""",, 
    IFERROR(
      GOOGLEFINANCE(C628, ""price"") * GOOGLEFINANCE(C628, ""volumeavg""), 
      GOOGLEFINANCE(C628, ""price"") * AVERAGE(QUERY(GOOGLEFINANCE(C628, ""volume"", TODAY()-40, TODAY()), ""SELECT Col2 WHERE Col2 IS NOT "&amp;"NULL ORDER BY Col1 DESC LIMIT 20"", 0))
    )
  ), 
"""")"),"")</f>
        <v/>
      </c>
      <c r="K628" s="21" t="str">
        <f>IFERROR(__xludf.DUMMYFUNCTION("IFERROR(GOOGLEFINANCE(C628, ""changepct"") / 100, """")"),"")</f>
        <v/>
      </c>
      <c r="L628" s="21" t="str">
        <f>IFERROR(__xludf.DUMMYFUNCTION("IFERROR((GOOGLEFINANCE(C628, ""price"") / INDEX(GOOGLEFINANCE(C628, ""price"", TODAY()-7, TODAY()), 2, 2)) - 1, """")"),"")</f>
        <v/>
      </c>
      <c r="M628" s="21" t="str">
        <f>IFERROR(__xludf.DUMMYFUNCTION("IFERROR((GOOGLEFINANCE(C628, ""price"") / INDEX(GOOGLEFINANCE(C628, ""price"", EDATE(TODAY(), -1), TODAY()), 2, 2)) - 1, """")"),"")</f>
        <v/>
      </c>
      <c r="N628" s="21" t="str">
        <f>IFERROR(__xludf.DUMMYFUNCTION("IFERROR((GOOGLEFINANCE(C628, ""price"") / INDEX(GOOGLEFINANCE(C628, ""price"", EDATE(TODAY(), -3), TODAY()), 2, 2)) - 1, """")"),"")</f>
        <v/>
      </c>
      <c r="O628" s="21" t="str">
        <f>IFERROR(__xludf.DUMMYFUNCTION("IFERROR((GOOGLEFINANCE(C628, ""price"") / INDEX(GOOGLEFINANCE(C628, ""price"", EDATE(TODAY(), -6), TODAY()), 2, 2)) - 1, """")"),"")</f>
        <v/>
      </c>
      <c r="P628" s="21" t="str">
        <f>IFERROR(__xludf.DUMMYFUNCTION("IFERROR((GOOGLEFINANCE(C628, ""price"") / INDEX(GOOGLEFINANCE(C628, ""price"", EDATE(TODAY(), -12), TODAY()), 2, 2)) - 1, """")"),"")</f>
        <v/>
      </c>
      <c r="Q628" s="6" t="str">
        <f>IFERROR(__xludf.DUMMYFUNCTION("AVERAGE(QUERY(GOOGLEFINANCE(C628, ""price"", TODAY()-80, TODAY()), ""SELECT Col2 WHERE Col2 IS NOT NULL ORDER BY Col1 DESC LIMIT 50"", 0))"),"#N/A")</f>
        <v>#N/A</v>
      </c>
      <c r="R628" s="24" t="str">
        <f>IFERROR(__xludf.DUMMYFUNCTION("IFERROR(
  LET(
    data, QUERY(GOOGLEFINANCE(C628,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GOOGLEFINANCE(C628, ""price"")) * 100,
    IF(calc=0, G628, calc)
  ), 
G628)"),"#N/A")</f>
        <v>#N/A</v>
      </c>
      <c r="S628" s="8" t="s">
        <v>15</v>
      </c>
      <c r="T628" s="26" t="str">
        <f>IFERROR(__xludf.DUMMYFUNCTION("IFERROR(TRANSPOSE(QUERY(IFERROR(SORT(GOOGLEFINANCE(C628, ""price"", WORKDAY(TODAY(), -40), TODAY()), 1, FALSE)), ""select Col2 where Col2 is not null limit 22 label Col2 ''"", 0)), """")"),"")</f>
        <v/>
      </c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8"/>
      <c r="AO628" s="28"/>
      <c r="AP628" s="29"/>
      <c r="AQ628" s="29" t="str">
        <f t="shared" ref="AQ628:BL628" si="631">T628/T$2</f>
        <v>#N/A</v>
      </c>
      <c r="AR628" s="29" t="str">
        <f t="shared" si="631"/>
        <v>#DIV/0!</v>
      </c>
      <c r="AS628" s="29" t="str">
        <f t="shared" si="631"/>
        <v>#DIV/0!</v>
      </c>
      <c r="AT628" s="29" t="str">
        <f t="shared" si="631"/>
        <v>#DIV/0!</v>
      </c>
      <c r="AU628" s="29" t="str">
        <f t="shared" si="631"/>
        <v>#DIV/0!</v>
      </c>
      <c r="AV628" s="29" t="str">
        <f t="shared" si="631"/>
        <v>#DIV/0!</v>
      </c>
      <c r="AW628" s="29" t="str">
        <f t="shared" si="631"/>
        <v>#DIV/0!</v>
      </c>
      <c r="AX628" s="29" t="str">
        <f t="shared" si="631"/>
        <v>#DIV/0!</v>
      </c>
      <c r="AY628" s="29" t="str">
        <f t="shared" si="631"/>
        <v>#DIV/0!</v>
      </c>
      <c r="AZ628" s="29" t="str">
        <f t="shared" si="631"/>
        <v>#DIV/0!</v>
      </c>
      <c r="BA628" s="29" t="str">
        <f t="shared" si="631"/>
        <v>#DIV/0!</v>
      </c>
      <c r="BB628" s="29" t="str">
        <f t="shared" si="631"/>
        <v>#DIV/0!</v>
      </c>
      <c r="BC628" s="29" t="str">
        <f t="shared" si="631"/>
        <v>#DIV/0!</v>
      </c>
      <c r="BD628" s="29" t="str">
        <f t="shared" si="631"/>
        <v>#DIV/0!</v>
      </c>
      <c r="BE628" s="29" t="str">
        <f t="shared" si="631"/>
        <v>#DIV/0!</v>
      </c>
      <c r="BF628" s="29" t="str">
        <f t="shared" si="631"/>
        <v>#DIV/0!</v>
      </c>
      <c r="BG628" s="29" t="str">
        <f t="shared" si="631"/>
        <v>#DIV/0!</v>
      </c>
      <c r="BH628" s="29" t="str">
        <f t="shared" si="631"/>
        <v>#DIV/0!</v>
      </c>
      <c r="BI628" s="29" t="str">
        <f t="shared" si="631"/>
        <v>#DIV/0!</v>
      </c>
      <c r="BJ628" s="29" t="str">
        <f t="shared" si="631"/>
        <v>#DIV/0!</v>
      </c>
      <c r="BK628" s="29" t="str">
        <f t="shared" si="631"/>
        <v>#DIV/0!</v>
      </c>
      <c r="BL628" s="29" t="str">
        <f t="shared" si="631"/>
        <v>#DIV/0!</v>
      </c>
      <c r="BM628" s="29" t="str">
        <f t="shared" si="3"/>
        <v>#DIV/0!</v>
      </c>
    </row>
    <row r="629">
      <c r="A629" s="16" t="str">
        <f>IFERROR(__xludf.DUMMYFUNCTION("IFERROR(SPARKLINE(SORT(MAP(TRANSPOSE(AQ629:BL629), LAMBDA(val, IF(ISNUMBER(val), PERCENTRANK(AQ629:BL629, val)+0.01, 0))), SEQUENCE(COLUMNS(AQ629:BL629)), FALSE), {""charttype"",""column""; ""color"",""chartreuse""; ""ymin"", 0; ""ymax"", 1.01; ""highcolo"&amp;"r"", ""darkgreen""; ""lowcolor"", ""red""}), """")"),"")</f>
        <v/>
      </c>
      <c r="B629" s="17" t="str">
        <f t="shared" si="4"/>
        <v/>
      </c>
      <c r="C629" s="1" t="s">
        <v>2811</v>
      </c>
      <c r="D629" s="34" t="str">
        <f>IFERROR(__xludf.DUMMYFUNCTION("IFERROR(GOOGLEFINANCE(C629, ""NAME""))"),"International Bancshares Corp")</f>
        <v>International Bancshares Corp</v>
      </c>
      <c r="E629" s="30" t="s">
        <v>268</v>
      </c>
      <c r="F629" s="33" t="str">
        <f>IFERROR(__xludf.DUMMYFUNCTION("( (GOOGLEFINANCE(C629, ""price"") - Q629) / Q629 ) / (R629 / 100)"),"Loading...")</f>
        <v>Loading...</v>
      </c>
      <c r="G629" s="20" t="str">
        <f>IFERROR(__xludf.DUMMYFUNCTION("AVERAGE(ARRAYFORMULA(100 * (QUERY(GOOGLEFINANCE(C629, ""high"", TODAY()-40, TODAY()), ""SELECT Col2 WHERE Col2 IS NOT NULL ORDER BY Col1 DESC LIMIT 20"", 0) / QUERY(GOOGLEFINANCE(C629, ""low"", TODAY()-40, TODAY()), ""SELECT Col2 WHERE Col2 IS NOT NULL OR"&amp;"DER BY Col1 DESC LIMIT 20"", 0) - 1)))"),"#N/A")</f>
        <v>#N/A</v>
      </c>
      <c r="H629" s="35" t="str">
        <f t="shared" si="6"/>
        <v/>
      </c>
      <c r="I629" s="36" t="str">
        <f t="shared" si="7"/>
        <v/>
      </c>
      <c r="J629" s="37" t="str">
        <f>IFERROR(__xludf.DUMMYFUNCTION("IFERROR(
  IF(C629="""",, 
    IFERROR(
      GOOGLEFINANCE(C629, ""price"") * GOOGLEFINANCE(C629, ""volumeavg""), 
      GOOGLEFINANCE(C629, ""price"") * AVERAGE(QUERY(GOOGLEFINANCE(C629, ""volume"", TODAY()-40, TODAY()), ""SELECT Col2 WHERE Col2 IS NOT "&amp;"NULL ORDER BY Col1 DESC LIMIT 20"", 0))
    )
  ), 
"""")"),"")</f>
        <v/>
      </c>
      <c r="K629" s="21" t="str">
        <f>IFERROR(__xludf.DUMMYFUNCTION("IFERROR(GOOGLEFINANCE(C629, ""changepct"") / 100, """")"),"")</f>
        <v/>
      </c>
      <c r="L629" s="21" t="str">
        <f>IFERROR(__xludf.DUMMYFUNCTION("IFERROR((GOOGLEFINANCE(C629, ""price"") / INDEX(GOOGLEFINANCE(C629, ""price"", TODAY()-7, TODAY()), 2, 2)) - 1, """")"),"")</f>
        <v/>
      </c>
      <c r="M629" s="21" t="str">
        <f>IFERROR(__xludf.DUMMYFUNCTION("IFERROR((GOOGLEFINANCE(C629, ""price"") / INDEX(GOOGLEFINANCE(C629, ""price"", EDATE(TODAY(), -1), TODAY()), 2, 2)) - 1, """")"),"")</f>
        <v/>
      </c>
      <c r="N629" s="21" t="str">
        <f>IFERROR(__xludf.DUMMYFUNCTION("IFERROR((GOOGLEFINANCE(C629, ""price"") / INDEX(GOOGLEFINANCE(C629, ""price"", EDATE(TODAY(), -3), TODAY()), 2, 2)) - 1, """")"),"")</f>
        <v/>
      </c>
      <c r="O629" s="21" t="str">
        <f>IFERROR(__xludf.DUMMYFUNCTION("IFERROR((GOOGLEFINANCE(C629, ""price"") / INDEX(GOOGLEFINANCE(C629, ""price"", EDATE(TODAY(), -6), TODAY()), 2, 2)) - 1, """")"),"")</f>
        <v/>
      </c>
      <c r="P629" s="21" t="str">
        <f>IFERROR(__xludf.DUMMYFUNCTION("IFERROR((GOOGLEFINANCE(C629, ""price"") / INDEX(GOOGLEFINANCE(C629, ""price"", EDATE(TODAY(), -12), TODAY()), 2, 2)) - 1, """")"),"")</f>
        <v/>
      </c>
      <c r="Q629" s="6" t="str">
        <f>IFERROR(__xludf.DUMMYFUNCTION("AVERAGE(QUERY(GOOGLEFINANCE(C629, ""price"", TODAY()-80, TODAY()), ""SELECT Col2 WHERE Col2 IS NOT NULL ORDER BY Col1 DESC LIMIT 50"", 0))"),"#N/A")</f>
        <v>#N/A</v>
      </c>
      <c r="R629" s="24" t="str">
        <f>IFERROR(__xludf.DUMMYFUNCTION("IFERROR(
  LET(
    data, QUERY(GOOGLEFINANCE(C629,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GOOGLEFINANCE(C629, ""price"")) * 100,
    IF(calc=0, G629, calc)
  ), 
G629)"),"#N/A")</f>
        <v>#N/A</v>
      </c>
      <c r="S629" s="8" t="s">
        <v>15</v>
      </c>
      <c r="T629" s="26" t="str">
        <f>IFERROR(__xludf.DUMMYFUNCTION("IFERROR(TRANSPOSE(QUERY(IFERROR(SORT(GOOGLEFINANCE(C629, ""price"", WORKDAY(TODAY(), -40), TODAY()), 1, FALSE)), ""select Col2 where Col2 is not null limit 22 label Col2 ''"", 0)), """")"),"")</f>
        <v/>
      </c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8"/>
      <c r="AO629" s="28"/>
      <c r="AP629" s="29"/>
      <c r="AQ629" s="29" t="str">
        <f t="shared" ref="AQ629:BL629" si="632">T629/T$2</f>
        <v>#N/A</v>
      </c>
      <c r="AR629" s="29" t="str">
        <f t="shared" si="632"/>
        <v>#DIV/0!</v>
      </c>
      <c r="AS629" s="29" t="str">
        <f t="shared" si="632"/>
        <v>#DIV/0!</v>
      </c>
      <c r="AT629" s="29" t="str">
        <f t="shared" si="632"/>
        <v>#DIV/0!</v>
      </c>
      <c r="AU629" s="29" t="str">
        <f t="shared" si="632"/>
        <v>#DIV/0!</v>
      </c>
      <c r="AV629" s="29" t="str">
        <f t="shared" si="632"/>
        <v>#DIV/0!</v>
      </c>
      <c r="AW629" s="29" t="str">
        <f t="shared" si="632"/>
        <v>#DIV/0!</v>
      </c>
      <c r="AX629" s="29" t="str">
        <f t="shared" si="632"/>
        <v>#DIV/0!</v>
      </c>
      <c r="AY629" s="29" t="str">
        <f t="shared" si="632"/>
        <v>#DIV/0!</v>
      </c>
      <c r="AZ629" s="29" t="str">
        <f t="shared" si="632"/>
        <v>#DIV/0!</v>
      </c>
      <c r="BA629" s="29" t="str">
        <f t="shared" si="632"/>
        <v>#DIV/0!</v>
      </c>
      <c r="BB629" s="29" t="str">
        <f t="shared" si="632"/>
        <v>#DIV/0!</v>
      </c>
      <c r="BC629" s="29" t="str">
        <f t="shared" si="632"/>
        <v>#DIV/0!</v>
      </c>
      <c r="BD629" s="29" t="str">
        <f t="shared" si="632"/>
        <v>#DIV/0!</v>
      </c>
      <c r="BE629" s="29" t="str">
        <f t="shared" si="632"/>
        <v>#DIV/0!</v>
      </c>
      <c r="BF629" s="29" t="str">
        <f t="shared" si="632"/>
        <v>#DIV/0!</v>
      </c>
      <c r="BG629" s="29" t="str">
        <f t="shared" si="632"/>
        <v>#DIV/0!</v>
      </c>
      <c r="BH629" s="29" t="str">
        <f t="shared" si="632"/>
        <v>#DIV/0!</v>
      </c>
      <c r="BI629" s="29" t="str">
        <f t="shared" si="632"/>
        <v>#DIV/0!</v>
      </c>
      <c r="BJ629" s="29" t="str">
        <f t="shared" si="632"/>
        <v>#DIV/0!</v>
      </c>
      <c r="BK629" s="29" t="str">
        <f t="shared" si="632"/>
        <v>#DIV/0!</v>
      </c>
      <c r="BL629" s="29" t="str">
        <f t="shared" si="632"/>
        <v>#DIV/0!</v>
      </c>
      <c r="BM629" s="29" t="str">
        <f t="shared" si="3"/>
        <v>#DIV/0!</v>
      </c>
    </row>
    <row r="630">
      <c r="A630" s="16" t="str">
        <f>IFERROR(__xludf.DUMMYFUNCTION("IFERROR(SPARKLINE(SORT(MAP(TRANSPOSE(AQ630:BL630), LAMBDA(val, IF(ISNUMBER(val), PERCENTRANK(AQ630:BL630, val)+0.01, 0))), SEQUENCE(COLUMNS(AQ630:BL630)), FALSE), {""charttype"",""column""; ""color"",""chartreuse""; ""ymin"", 0; ""ymax"", 1.01; ""highcolo"&amp;"r"", ""darkgreen""; ""lowcolor"", ""red""}), """")"),"")</f>
        <v/>
      </c>
      <c r="B630" s="17" t="str">
        <f t="shared" si="4"/>
        <v/>
      </c>
      <c r="C630" s="1" t="s">
        <v>2815</v>
      </c>
      <c r="D630" s="34" t="str">
        <f>IFERROR(__xludf.DUMMYFUNCTION("IFERROR(GOOGLEFINANCE(C630, ""NAME""))"),"Northpointe Bancshares Inc")</f>
        <v>Northpointe Bancshares Inc</v>
      </c>
      <c r="E630" s="30" t="s">
        <v>268</v>
      </c>
      <c r="F630" s="33" t="str">
        <f>IFERROR(__xludf.DUMMYFUNCTION("( (GOOGLEFINANCE(C630, ""price"") - Q630) / Q630 ) / (R630 / 100)"),"Loading...")</f>
        <v>Loading...</v>
      </c>
      <c r="G630" s="20" t="str">
        <f>IFERROR(__xludf.DUMMYFUNCTION("AVERAGE(ARRAYFORMULA(100 * (QUERY(GOOGLEFINANCE(C630, ""high"", TODAY()-40, TODAY()), ""SELECT Col2 WHERE Col2 IS NOT NULL ORDER BY Col1 DESC LIMIT 20"", 0) / QUERY(GOOGLEFINANCE(C630, ""low"", TODAY()-40, TODAY()), ""SELECT Col2 WHERE Col2 IS NOT NULL OR"&amp;"DER BY Col1 DESC LIMIT 20"", 0) - 1)))"),"#N/A")</f>
        <v>#N/A</v>
      </c>
      <c r="H630" s="35" t="str">
        <f t="shared" si="6"/>
        <v/>
      </c>
      <c r="I630" s="36" t="str">
        <f t="shared" si="7"/>
        <v/>
      </c>
      <c r="J630" s="37" t="str">
        <f>IFERROR(__xludf.DUMMYFUNCTION("IFERROR(
  IF(C630="""",, 
    IFERROR(
      GOOGLEFINANCE(C630, ""price"") * GOOGLEFINANCE(C630, ""volumeavg""), 
      GOOGLEFINANCE(C630, ""price"") * AVERAGE(QUERY(GOOGLEFINANCE(C630, ""volume"", TODAY()-40, TODAY()), ""SELECT Col2 WHERE Col2 IS NOT "&amp;"NULL ORDER BY Col1 DESC LIMIT 20"", 0))
    )
  ), 
"""")"),"")</f>
        <v/>
      </c>
      <c r="K630" s="21" t="str">
        <f>IFERROR(__xludf.DUMMYFUNCTION("IFERROR(GOOGLEFINANCE(C630, ""changepct"") / 100, """")"),"")</f>
        <v/>
      </c>
      <c r="L630" s="21" t="str">
        <f>IFERROR(__xludf.DUMMYFUNCTION("IFERROR((GOOGLEFINANCE(C630, ""price"") / INDEX(GOOGLEFINANCE(C630, ""price"", TODAY()-7, TODAY()), 2, 2)) - 1, """")"),"")</f>
        <v/>
      </c>
      <c r="M630" s="21" t="str">
        <f>IFERROR(__xludf.DUMMYFUNCTION("IFERROR((GOOGLEFINANCE(C630, ""price"") / INDEX(GOOGLEFINANCE(C630, ""price"", EDATE(TODAY(), -1), TODAY()), 2, 2)) - 1, """")"),"")</f>
        <v/>
      </c>
      <c r="N630" s="21" t="str">
        <f>IFERROR(__xludf.DUMMYFUNCTION("IFERROR((GOOGLEFINANCE(C630, ""price"") / INDEX(GOOGLEFINANCE(C630, ""price"", EDATE(TODAY(), -3), TODAY()), 2, 2)) - 1, """")"),"")</f>
        <v/>
      </c>
      <c r="O630" s="21" t="str">
        <f>IFERROR(__xludf.DUMMYFUNCTION("IFERROR((GOOGLEFINANCE(C630, ""price"") / INDEX(GOOGLEFINANCE(C630, ""price"", EDATE(TODAY(), -6), TODAY()), 2, 2)) - 1, """")"),"")</f>
        <v/>
      </c>
      <c r="P630" s="21" t="str">
        <f>IFERROR(__xludf.DUMMYFUNCTION("IFERROR((GOOGLEFINANCE(C630, ""price"") / INDEX(GOOGLEFINANCE(C630, ""price"", EDATE(TODAY(), -12), TODAY()), 2, 2)) - 1, """")"),"")</f>
        <v/>
      </c>
      <c r="Q630" s="6" t="str">
        <f>IFERROR(__xludf.DUMMYFUNCTION("AVERAGE(QUERY(GOOGLEFINANCE(C630, ""price"", TODAY()-80, TODAY()), ""SELECT Col2 WHERE Col2 IS NOT NULL ORDER BY Col1 DESC LIMIT 50"", 0))"),"#N/A")</f>
        <v>#N/A</v>
      </c>
      <c r="R630" s="24" t="str">
        <f>IFERROR(__xludf.DUMMYFUNCTION("IFERROR(
  LET(
    data, QUERY(GOOGLEFINANCE(C630,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GOOGLEFINANCE(C630, ""price"")) * 100,
    IF(calc=0, G630, calc)
  ), 
G630)"),"#N/A")</f>
        <v>#N/A</v>
      </c>
      <c r="S630" s="8" t="s">
        <v>15</v>
      </c>
      <c r="T630" s="26" t="str">
        <f>IFERROR(__xludf.DUMMYFUNCTION("IFERROR(TRANSPOSE(QUERY(IFERROR(SORT(GOOGLEFINANCE(C630, ""price"", WORKDAY(TODAY(), -40), TODAY()), 1, FALSE)), ""select Col2 where Col2 is not null limit 22 label Col2 ''"", 0)), """")"),"")</f>
        <v/>
      </c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8"/>
      <c r="AO630" s="28"/>
      <c r="AP630" s="29"/>
      <c r="AQ630" s="29" t="str">
        <f t="shared" ref="AQ630:BL630" si="633">T630/T$2</f>
        <v>#N/A</v>
      </c>
      <c r="AR630" s="29" t="str">
        <f t="shared" si="633"/>
        <v>#DIV/0!</v>
      </c>
      <c r="AS630" s="29" t="str">
        <f t="shared" si="633"/>
        <v>#DIV/0!</v>
      </c>
      <c r="AT630" s="29" t="str">
        <f t="shared" si="633"/>
        <v>#DIV/0!</v>
      </c>
      <c r="AU630" s="29" t="str">
        <f t="shared" si="633"/>
        <v>#DIV/0!</v>
      </c>
      <c r="AV630" s="29" t="str">
        <f t="shared" si="633"/>
        <v>#DIV/0!</v>
      </c>
      <c r="AW630" s="29" t="str">
        <f t="shared" si="633"/>
        <v>#DIV/0!</v>
      </c>
      <c r="AX630" s="29" t="str">
        <f t="shared" si="633"/>
        <v>#DIV/0!</v>
      </c>
      <c r="AY630" s="29" t="str">
        <f t="shared" si="633"/>
        <v>#DIV/0!</v>
      </c>
      <c r="AZ630" s="29" t="str">
        <f t="shared" si="633"/>
        <v>#DIV/0!</v>
      </c>
      <c r="BA630" s="29" t="str">
        <f t="shared" si="633"/>
        <v>#DIV/0!</v>
      </c>
      <c r="BB630" s="29" t="str">
        <f t="shared" si="633"/>
        <v>#DIV/0!</v>
      </c>
      <c r="BC630" s="29" t="str">
        <f t="shared" si="633"/>
        <v>#DIV/0!</v>
      </c>
      <c r="BD630" s="29" t="str">
        <f t="shared" si="633"/>
        <v>#DIV/0!</v>
      </c>
      <c r="BE630" s="29" t="str">
        <f t="shared" si="633"/>
        <v>#DIV/0!</v>
      </c>
      <c r="BF630" s="29" t="str">
        <f t="shared" si="633"/>
        <v>#DIV/0!</v>
      </c>
      <c r="BG630" s="29" t="str">
        <f t="shared" si="633"/>
        <v>#DIV/0!</v>
      </c>
      <c r="BH630" s="29" t="str">
        <f t="shared" si="633"/>
        <v>#DIV/0!</v>
      </c>
      <c r="BI630" s="29" t="str">
        <f t="shared" si="633"/>
        <v>#DIV/0!</v>
      </c>
      <c r="BJ630" s="29" t="str">
        <f t="shared" si="633"/>
        <v>#DIV/0!</v>
      </c>
      <c r="BK630" s="29" t="str">
        <f t="shared" si="633"/>
        <v>#DIV/0!</v>
      </c>
      <c r="BL630" s="29" t="str">
        <f t="shared" si="633"/>
        <v>#DIV/0!</v>
      </c>
      <c r="BM630" s="29" t="str">
        <f t="shared" si="3"/>
        <v>#DIV/0!</v>
      </c>
    </row>
    <row r="631">
      <c r="A631" s="16" t="str">
        <f>IFERROR(__xludf.DUMMYFUNCTION("IFERROR(SPARKLINE(SORT(MAP(TRANSPOSE(AQ631:BL631), LAMBDA(val, IF(ISNUMBER(val), PERCENTRANK(AQ631:BL631, val)+0.01, 0))), SEQUENCE(COLUMNS(AQ631:BL631)), FALSE), {""charttype"",""column""; ""color"",""chartreuse""; ""ymin"", 0; ""ymax"", 1.01; ""highcolo"&amp;"r"", ""darkgreen""; ""lowcolor"", ""red""}), """")"),"")</f>
        <v/>
      </c>
      <c r="B631" s="17" t="str">
        <f t="shared" si="4"/>
        <v/>
      </c>
      <c r="C631" s="1" t="s">
        <v>2819</v>
      </c>
      <c r="D631" s="34" t="str">
        <f>IFERROR(__xludf.DUMMYFUNCTION("IFERROR(GOOGLEFINANCE(C631, ""NAME""))"),"Colony Bankcorp Inc")</f>
        <v>Colony Bankcorp Inc</v>
      </c>
      <c r="E631" s="30" t="s">
        <v>268</v>
      </c>
      <c r="F631" s="38" t="str">
        <f>IFERROR(__xludf.DUMMYFUNCTION("( (GOOGLEFINANCE(C631, ""price"") - Q631) / Q631 ) / (R631 / 100)"),"Loading...")</f>
        <v>Loading...</v>
      </c>
      <c r="G631" s="20" t="str">
        <f>IFERROR(__xludf.DUMMYFUNCTION("AVERAGE(ARRAYFORMULA(100 * (QUERY(GOOGLEFINANCE(C631, ""high"", TODAY()-40, TODAY()), ""SELECT Col2 WHERE Col2 IS NOT NULL ORDER BY Col1 DESC LIMIT 20"", 0) / QUERY(GOOGLEFINANCE(C631, ""low"", TODAY()-40, TODAY()), ""SELECT Col2 WHERE Col2 IS NOT NULL OR"&amp;"DER BY Col1 DESC LIMIT 20"", 0) - 1)))"),"#N/A")</f>
        <v>#N/A</v>
      </c>
      <c r="H631" s="35" t="str">
        <f t="shared" si="6"/>
        <v/>
      </c>
      <c r="I631" s="36" t="str">
        <f t="shared" si="7"/>
        <v/>
      </c>
      <c r="J631" s="37" t="str">
        <f>IFERROR(__xludf.DUMMYFUNCTION("IFERROR(
  IF(C631="""",, 
    IFERROR(
      GOOGLEFINANCE(C631, ""price"") * GOOGLEFINANCE(C631, ""volumeavg""), 
      GOOGLEFINANCE(C631, ""price"") * AVERAGE(QUERY(GOOGLEFINANCE(C631, ""volume"", TODAY()-40, TODAY()), ""SELECT Col2 WHERE Col2 IS NOT "&amp;"NULL ORDER BY Col1 DESC LIMIT 20"", 0))
    )
  ), 
"""")"),"")</f>
        <v/>
      </c>
      <c r="K631" s="21" t="str">
        <f>IFERROR(__xludf.DUMMYFUNCTION("IFERROR(GOOGLEFINANCE(C631, ""changepct"") / 100, """")"),"")</f>
        <v/>
      </c>
      <c r="L631" s="21" t="str">
        <f>IFERROR(__xludf.DUMMYFUNCTION("IFERROR((GOOGLEFINANCE(C631, ""price"") / INDEX(GOOGLEFINANCE(C631, ""price"", TODAY()-7, TODAY()), 2, 2)) - 1, """")"),"")</f>
        <v/>
      </c>
      <c r="M631" s="21" t="str">
        <f>IFERROR(__xludf.DUMMYFUNCTION("IFERROR((GOOGLEFINANCE(C631, ""price"") / INDEX(GOOGLEFINANCE(C631, ""price"", EDATE(TODAY(), -1), TODAY()), 2, 2)) - 1, """")"),"")</f>
        <v/>
      </c>
      <c r="N631" s="21" t="str">
        <f>IFERROR(__xludf.DUMMYFUNCTION("IFERROR((GOOGLEFINANCE(C631, ""price"") / INDEX(GOOGLEFINANCE(C631, ""price"", EDATE(TODAY(), -3), TODAY()), 2, 2)) - 1, """")"),"")</f>
        <v/>
      </c>
      <c r="O631" s="21" t="str">
        <f>IFERROR(__xludf.DUMMYFUNCTION("IFERROR((GOOGLEFINANCE(C631, ""price"") / INDEX(GOOGLEFINANCE(C631, ""price"", EDATE(TODAY(), -6), TODAY()), 2, 2)) - 1, """")"),"")</f>
        <v/>
      </c>
      <c r="P631" s="21" t="str">
        <f>IFERROR(__xludf.DUMMYFUNCTION("IFERROR((GOOGLEFINANCE(C631, ""price"") / INDEX(GOOGLEFINANCE(C631, ""price"", EDATE(TODAY(), -12), TODAY()), 2, 2)) - 1, """")"),"")</f>
        <v/>
      </c>
      <c r="Q631" s="6" t="str">
        <f>IFERROR(__xludf.DUMMYFUNCTION("AVERAGE(QUERY(GOOGLEFINANCE(C631, ""price"", TODAY()-80, TODAY()), ""SELECT Col2 WHERE Col2 IS NOT NULL ORDER BY Col1 DESC LIMIT 50"", 0))"),"#N/A")</f>
        <v>#N/A</v>
      </c>
      <c r="R631" s="24" t="str">
        <f>IFERROR(__xludf.DUMMYFUNCTION("IFERROR(
  LET(
    data, QUERY(GOOGLEFINANCE(C631,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GOOGLEFINANCE(C631, ""price"")) * 100,
    IF(calc=0, G631, calc)
  ), 
G631)"),"#N/A")</f>
        <v>#N/A</v>
      </c>
      <c r="S631" s="8" t="s">
        <v>15</v>
      </c>
      <c r="T631" s="26" t="str">
        <f>IFERROR(__xludf.DUMMYFUNCTION("IFERROR(TRANSPOSE(QUERY(IFERROR(SORT(GOOGLEFINANCE(C631, ""price"", WORKDAY(TODAY(), -40), TODAY()), 1, FALSE)), ""select Col2 where Col2 is not null limit 22 label Col2 ''"", 0)), """")"),"")</f>
        <v/>
      </c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8"/>
      <c r="AO631" s="28"/>
      <c r="AP631" s="29"/>
      <c r="AQ631" s="29" t="str">
        <f t="shared" ref="AQ631:BL631" si="634">T631/T$2</f>
        <v>#N/A</v>
      </c>
      <c r="AR631" s="29" t="str">
        <f t="shared" si="634"/>
        <v>#DIV/0!</v>
      </c>
      <c r="AS631" s="29" t="str">
        <f t="shared" si="634"/>
        <v>#DIV/0!</v>
      </c>
      <c r="AT631" s="29" t="str">
        <f t="shared" si="634"/>
        <v>#DIV/0!</v>
      </c>
      <c r="AU631" s="29" t="str">
        <f t="shared" si="634"/>
        <v>#DIV/0!</v>
      </c>
      <c r="AV631" s="29" t="str">
        <f t="shared" si="634"/>
        <v>#DIV/0!</v>
      </c>
      <c r="AW631" s="29" t="str">
        <f t="shared" si="634"/>
        <v>#DIV/0!</v>
      </c>
      <c r="AX631" s="29" t="str">
        <f t="shared" si="634"/>
        <v>#DIV/0!</v>
      </c>
      <c r="AY631" s="29" t="str">
        <f t="shared" si="634"/>
        <v>#DIV/0!</v>
      </c>
      <c r="AZ631" s="29" t="str">
        <f t="shared" si="634"/>
        <v>#DIV/0!</v>
      </c>
      <c r="BA631" s="29" t="str">
        <f t="shared" si="634"/>
        <v>#DIV/0!</v>
      </c>
      <c r="BB631" s="29" t="str">
        <f t="shared" si="634"/>
        <v>#DIV/0!</v>
      </c>
      <c r="BC631" s="29" t="str">
        <f t="shared" si="634"/>
        <v>#DIV/0!</v>
      </c>
      <c r="BD631" s="29" t="str">
        <f t="shared" si="634"/>
        <v>#DIV/0!</v>
      </c>
      <c r="BE631" s="29" t="str">
        <f t="shared" si="634"/>
        <v>#DIV/0!</v>
      </c>
      <c r="BF631" s="29" t="str">
        <f t="shared" si="634"/>
        <v>#DIV/0!</v>
      </c>
      <c r="BG631" s="29" t="str">
        <f t="shared" si="634"/>
        <v>#DIV/0!</v>
      </c>
      <c r="BH631" s="29" t="str">
        <f t="shared" si="634"/>
        <v>#DIV/0!</v>
      </c>
      <c r="BI631" s="29" t="str">
        <f t="shared" si="634"/>
        <v>#DIV/0!</v>
      </c>
      <c r="BJ631" s="29" t="str">
        <f t="shared" si="634"/>
        <v>#DIV/0!</v>
      </c>
      <c r="BK631" s="29" t="str">
        <f t="shared" si="634"/>
        <v>#DIV/0!</v>
      </c>
      <c r="BL631" s="29" t="str">
        <f t="shared" si="634"/>
        <v>#DIV/0!</v>
      </c>
      <c r="BM631" s="29" t="str">
        <f t="shared" si="3"/>
        <v>#DIV/0!</v>
      </c>
    </row>
    <row r="632">
      <c r="A632" s="16" t="str">
        <f>IFERROR(__xludf.DUMMYFUNCTION("IFERROR(SPARKLINE(SORT(MAP(TRANSPOSE(AQ632:BL632), LAMBDA(val, IF(ISNUMBER(val), PERCENTRANK(AQ632:BL632, val)+0.01, 0))), SEQUENCE(COLUMNS(AQ632:BL632)), FALSE), {""charttype"",""column""; ""color"",""chartreuse""; ""ymin"", 0; ""ymax"", 1.01; ""highcolo"&amp;"r"", ""darkgreen""; ""lowcolor"", ""red""}), """")"),"")</f>
        <v/>
      </c>
      <c r="B632" s="17" t="str">
        <f t="shared" si="4"/>
        <v/>
      </c>
      <c r="C632" s="1" t="s">
        <v>2823</v>
      </c>
      <c r="D632" s="34" t="str">
        <f>IFERROR(__xludf.DUMMYFUNCTION("IFERROR(GOOGLEFINANCE(C632, ""NAME""))"),"Business First Bancshares Inc")</f>
        <v>Business First Bancshares Inc</v>
      </c>
      <c r="E632" s="30" t="s">
        <v>268</v>
      </c>
      <c r="F632" s="33" t="str">
        <f>IFERROR(__xludf.DUMMYFUNCTION("( (GOOGLEFINANCE(C632, ""price"") - Q632) / Q632 ) / (R632 / 100)"),"Loading...")</f>
        <v>Loading...</v>
      </c>
      <c r="G632" s="20" t="str">
        <f>IFERROR(__xludf.DUMMYFUNCTION("AVERAGE(ARRAYFORMULA(100 * (QUERY(GOOGLEFINANCE(C632, ""high"", TODAY()-40, TODAY()), ""SELECT Col2 WHERE Col2 IS NOT NULL ORDER BY Col1 DESC LIMIT 20"", 0) / QUERY(GOOGLEFINANCE(C632, ""low"", TODAY()-40, TODAY()), ""SELECT Col2 WHERE Col2 IS NOT NULL OR"&amp;"DER BY Col1 DESC LIMIT 20"", 0) - 1)))"),"#N/A")</f>
        <v>#N/A</v>
      </c>
      <c r="H632" s="35" t="str">
        <f t="shared" si="6"/>
        <v/>
      </c>
      <c r="I632" s="36" t="str">
        <f t="shared" si="7"/>
        <v/>
      </c>
      <c r="J632" s="37" t="str">
        <f>IFERROR(__xludf.DUMMYFUNCTION("IFERROR(
  IF(C632="""",, 
    IFERROR(
      GOOGLEFINANCE(C632, ""price"") * GOOGLEFINANCE(C632, ""volumeavg""), 
      GOOGLEFINANCE(C632, ""price"") * AVERAGE(QUERY(GOOGLEFINANCE(C632, ""volume"", TODAY()-40, TODAY()), ""SELECT Col2 WHERE Col2 IS NOT "&amp;"NULL ORDER BY Col1 DESC LIMIT 20"", 0))
    )
  ), 
"""")"),"")</f>
        <v/>
      </c>
      <c r="K632" s="21" t="str">
        <f>IFERROR(__xludf.DUMMYFUNCTION("IFERROR(GOOGLEFINANCE(C632, ""changepct"") / 100, """")"),"")</f>
        <v/>
      </c>
      <c r="L632" s="21" t="str">
        <f>IFERROR(__xludf.DUMMYFUNCTION("IFERROR((GOOGLEFINANCE(C632, ""price"") / INDEX(GOOGLEFINANCE(C632, ""price"", TODAY()-7, TODAY()), 2, 2)) - 1, """")"),"")</f>
        <v/>
      </c>
      <c r="M632" s="21" t="str">
        <f>IFERROR(__xludf.DUMMYFUNCTION("IFERROR((GOOGLEFINANCE(C632, ""price"") / INDEX(GOOGLEFINANCE(C632, ""price"", EDATE(TODAY(), -1), TODAY()), 2, 2)) - 1, """")"),"")</f>
        <v/>
      </c>
      <c r="N632" s="21" t="str">
        <f>IFERROR(__xludf.DUMMYFUNCTION("IFERROR((GOOGLEFINANCE(C632, ""price"") / INDEX(GOOGLEFINANCE(C632, ""price"", EDATE(TODAY(), -3), TODAY()), 2, 2)) - 1, """")"),"")</f>
        <v/>
      </c>
      <c r="O632" s="21" t="str">
        <f>IFERROR(__xludf.DUMMYFUNCTION("IFERROR((GOOGLEFINANCE(C632, ""price"") / INDEX(GOOGLEFINANCE(C632, ""price"", EDATE(TODAY(), -6), TODAY()), 2, 2)) - 1, """")"),"")</f>
        <v/>
      </c>
      <c r="P632" s="21" t="str">
        <f>IFERROR(__xludf.DUMMYFUNCTION("IFERROR((GOOGLEFINANCE(C632, ""price"") / INDEX(GOOGLEFINANCE(C632, ""price"", EDATE(TODAY(), -12), TODAY()), 2, 2)) - 1, """")"),"")</f>
        <v/>
      </c>
      <c r="Q632" s="6" t="str">
        <f>IFERROR(__xludf.DUMMYFUNCTION("AVERAGE(QUERY(GOOGLEFINANCE(C632, ""price"", TODAY()-80, TODAY()), ""SELECT Col2 WHERE Col2 IS NOT NULL ORDER BY Col1 DESC LIMIT 50"", 0))"),"#N/A")</f>
        <v>#N/A</v>
      </c>
      <c r="R632" s="24" t="str">
        <f>IFERROR(__xludf.DUMMYFUNCTION("IFERROR(
  LET(
    data, QUERY(GOOGLEFINANCE(C632,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GOOGLEFINANCE(C632, ""price"")) * 100,
    IF(calc=0, G632, calc)
  ), 
G632)"),"#N/A")</f>
        <v>#N/A</v>
      </c>
      <c r="S632" s="8" t="s">
        <v>15</v>
      </c>
      <c r="T632" s="26" t="str">
        <f>IFERROR(__xludf.DUMMYFUNCTION("IFERROR(TRANSPOSE(QUERY(IFERROR(SORT(GOOGLEFINANCE(C632, ""price"", WORKDAY(TODAY(), -40), TODAY()), 1, FALSE)), ""select Col2 where Col2 is not null limit 22 label Col2 ''"", 0)), """")"),"")</f>
        <v/>
      </c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8"/>
      <c r="AO632" s="28"/>
      <c r="AP632" s="29"/>
      <c r="AQ632" s="29" t="str">
        <f t="shared" ref="AQ632:BL632" si="635">T632/T$2</f>
        <v>#N/A</v>
      </c>
      <c r="AR632" s="29" t="str">
        <f t="shared" si="635"/>
        <v>#DIV/0!</v>
      </c>
      <c r="AS632" s="29" t="str">
        <f t="shared" si="635"/>
        <v>#DIV/0!</v>
      </c>
      <c r="AT632" s="29" t="str">
        <f t="shared" si="635"/>
        <v>#DIV/0!</v>
      </c>
      <c r="AU632" s="29" t="str">
        <f t="shared" si="635"/>
        <v>#DIV/0!</v>
      </c>
      <c r="AV632" s="29" t="str">
        <f t="shared" si="635"/>
        <v>#DIV/0!</v>
      </c>
      <c r="AW632" s="29" t="str">
        <f t="shared" si="635"/>
        <v>#DIV/0!</v>
      </c>
      <c r="AX632" s="29" t="str">
        <f t="shared" si="635"/>
        <v>#DIV/0!</v>
      </c>
      <c r="AY632" s="29" t="str">
        <f t="shared" si="635"/>
        <v>#DIV/0!</v>
      </c>
      <c r="AZ632" s="29" t="str">
        <f t="shared" si="635"/>
        <v>#DIV/0!</v>
      </c>
      <c r="BA632" s="29" t="str">
        <f t="shared" si="635"/>
        <v>#DIV/0!</v>
      </c>
      <c r="BB632" s="29" t="str">
        <f t="shared" si="635"/>
        <v>#DIV/0!</v>
      </c>
      <c r="BC632" s="29" t="str">
        <f t="shared" si="635"/>
        <v>#DIV/0!</v>
      </c>
      <c r="BD632" s="29" t="str">
        <f t="shared" si="635"/>
        <v>#DIV/0!</v>
      </c>
      <c r="BE632" s="29" t="str">
        <f t="shared" si="635"/>
        <v>#DIV/0!</v>
      </c>
      <c r="BF632" s="29" t="str">
        <f t="shared" si="635"/>
        <v>#DIV/0!</v>
      </c>
      <c r="BG632" s="29" t="str">
        <f t="shared" si="635"/>
        <v>#DIV/0!</v>
      </c>
      <c r="BH632" s="29" t="str">
        <f t="shared" si="635"/>
        <v>#DIV/0!</v>
      </c>
      <c r="BI632" s="29" t="str">
        <f t="shared" si="635"/>
        <v>#DIV/0!</v>
      </c>
      <c r="BJ632" s="29" t="str">
        <f t="shared" si="635"/>
        <v>#DIV/0!</v>
      </c>
      <c r="BK632" s="29" t="str">
        <f t="shared" si="635"/>
        <v>#DIV/0!</v>
      </c>
      <c r="BL632" s="29" t="str">
        <f t="shared" si="635"/>
        <v>#DIV/0!</v>
      </c>
      <c r="BM632" s="29" t="str">
        <f t="shared" si="3"/>
        <v>#DIV/0!</v>
      </c>
    </row>
    <row r="633">
      <c r="A633" s="16" t="str">
        <f>IFERROR(__xludf.DUMMYFUNCTION("IFERROR(SPARKLINE(SORT(MAP(TRANSPOSE(AQ633:BL633), LAMBDA(val, IF(ISNUMBER(val), PERCENTRANK(AQ633:BL633, val)+0.01, 0))), SEQUENCE(COLUMNS(AQ633:BL633)), FALSE), {""charttype"",""column""; ""color"",""chartreuse""; ""ymin"", 0; ""ymax"", 1.01; ""highcolo"&amp;"r"", ""darkgreen""; ""lowcolor"", ""red""}), """")"),"")</f>
        <v/>
      </c>
      <c r="B633" s="17" t="str">
        <f t="shared" si="4"/>
        <v/>
      </c>
      <c r="C633" s="1" t="s">
        <v>2828</v>
      </c>
      <c r="D633" s="34" t="str">
        <f>IFERROR(__xludf.DUMMYFUNCTION("IFERROR(GOOGLEFINANCE(C633, ""NAME""))"),"Woori Financial Group Inc")</f>
        <v>Woori Financial Group Inc</v>
      </c>
      <c r="E633" s="30" t="s">
        <v>268</v>
      </c>
      <c r="F633" s="33" t="str">
        <f>IFERROR(__xludf.DUMMYFUNCTION("( (GOOGLEFINANCE(C633, ""price"") - Q633) / Q633 ) / (R633 / 100)"),"Loading...")</f>
        <v>Loading...</v>
      </c>
      <c r="G633" s="20" t="str">
        <f>IFERROR(__xludf.DUMMYFUNCTION("AVERAGE(ARRAYFORMULA(100 * (QUERY(GOOGLEFINANCE(C633, ""high"", TODAY()-40, TODAY()), ""SELECT Col2 WHERE Col2 IS NOT NULL ORDER BY Col1 DESC LIMIT 20"", 0) / QUERY(GOOGLEFINANCE(C633, ""low"", TODAY()-40, TODAY()), ""SELECT Col2 WHERE Col2 IS NOT NULL OR"&amp;"DER BY Col1 DESC LIMIT 20"", 0) - 1)))"),"#N/A")</f>
        <v>#N/A</v>
      </c>
      <c r="H633" s="35" t="str">
        <f t="shared" si="6"/>
        <v/>
      </c>
      <c r="I633" s="36" t="str">
        <f t="shared" si="7"/>
        <v/>
      </c>
      <c r="J633" s="37" t="str">
        <f>IFERROR(__xludf.DUMMYFUNCTION("IFERROR(
  IF(C633="""",, 
    IFERROR(
      GOOGLEFINANCE(C633, ""price"") * GOOGLEFINANCE(C633, ""volumeavg""), 
      GOOGLEFINANCE(C633, ""price"") * AVERAGE(QUERY(GOOGLEFINANCE(C633, ""volume"", TODAY()-40, TODAY()), ""SELECT Col2 WHERE Col2 IS NOT "&amp;"NULL ORDER BY Col1 DESC LIMIT 20"", 0))
    )
  ), 
"""")"),"")</f>
        <v/>
      </c>
      <c r="K633" s="21" t="str">
        <f>IFERROR(__xludf.DUMMYFUNCTION("IFERROR(GOOGLEFINANCE(C633, ""changepct"") / 100, """")"),"")</f>
        <v/>
      </c>
      <c r="L633" s="21" t="str">
        <f>IFERROR(__xludf.DUMMYFUNCTION("IFERROR((GOOGLEFINANCE(C633, ""price"") / INDEX(GOOGLEFINANCE(C633, ""price"", TODAY()-7, TODAY()), 2, 2)) - 1, """")"),"")</f>
        <v/>
      </c>
      <c r="M633" s="21" t="str">
        <f>IFERROR(__xludf.DUMMYFUNCTION("IFERROR((GOOGLEFINANCE(C633, ""price"") / INDEX(GOOGLEFINANCE(C633, ""price"", EDATE(TODAY(), -1), TODAY()), 2, 2)) - 1, """")"),"")</f>
        <v/>
      </c>
      <c r="N633" s="21" t="str">
        <f>IFERROR(__xludf.DUMMYFUNCTION("IFERROR((GOOGLEFINANCE(C633, ""price"") / INDEX(GOOGLEFINANCE(C633, ""price"", EDATE(TODAY(), -3), TODAY()), 2, 2)) - 1, """")"),"")</f>
        <v/>
      </c>
      <c r="O633" s="21" t="str">
        <f>IFERROR(__xludf.DUMMYFUNCTION("IFERROR((GOOGLEFINANCE(C633, ""price"") / INDEX(GOOGLEFINANCE(C633, ""price"", EDATE(TODAY(), -6), TODAY()), 2, 2)) - 1, """")"),"")</f>
        <v/>
      </c>
      <c r="P633" s="21" t="str">
        <f>IFERROR(__xludf.DUMMYFUNCTION("IFERROR((GOOGLEFINANCE(C633, ""price"") / INDEX(GOOGLEFINANCE(C633, ""price"", EDATE(TODAY(), -12), TODAY()), 2, 2)) - 1, """")"),"")</f>
        <v/>
      </c>
      <c r="Q633" s="6" t="str">
        <f>IFERROR(__xludf.DUMMYFUNCTION("AVERAGE(QUERY(GOOGLEFINANCE(C633, ""price"", TODAY()-80, TODAY()), ""SELECT Col2 WHERE Col2 IS NOT NULL ORDER BY Col1 DESC LIMIT 50"", 0))"),"#N/A")</f>
        <v>#N/A</v>
      </c>
      <c r="R633" s="24" t="str">
        <f>IFERROR(__xludf.DUMMYFUNCTION("IFERROR(
  LET(
    data, QUERY(GOOGLEFINANCE(C633,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GOOGLEFINANCE(C633, ""price"")) * 100,
    IF(calc=0, G633, calc)
  ), 
G633)"),"#N/A")</f>
        <v>#N/A</v>
      </c>
      <c r="S633" s="8" t="s">
        <v>15</v>
      </c>
      <c r="T633" s="26" t="str">
        <f>IFERROR(__xludf.DUMMYFUNCTION("IFERROR(TRANSPOSE(QUERY(IFERROR(SORT(GOOGLEFINANCE(C633, ""price"", WORKDAY(TODAY(), -40), TODAY()), 1, FALSE)), ""select Col2 where Col2 is not null limit 22 label Col2 ''"", 0)), """")"),"")</f>
        <v/>
      </c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8"/>
      <c r="AO633" s="28"/>
      <c r="AP633" s="29"/>
      <c r="AQ633" s="29" t="str">
        <f t="shared" ref="AQ633:BL633" si="636">T633/T$2</f>
        <v>#N/A</v>
      </c>
      <c r="AR633" s="29" t="str">
        <f t="shared" si="636"/>
        <v>#DIV/0!</v>
      </c>
      <c r="AS633" s="29" t="str">
        <f t="shared" si="636"/>
        <v>#DIV/0!</v>
      </c>
      <c r="AT633" s="29" t="str">
        <f t="shared" si="636"/>
        <v>#DIV/0!</v>
      </c>
      <c r="AU633" s="29" t="str">
        <f t="shared" si="636"/>
        <v>#DIV/0!</v>
      </c>
      <c r="AV633" s="29" t="str">
        <f t="shared" si="636"/>
        <v>#DIV/0!</v>
      </c>
      <c r="AW633" s="29" t="str">
        <f t="shared" si="636"/>
        <v>#DIV/0!</v>
      </c>
      <c r="AX633" s="29" t="str">
        <f t="shared" si="636"/>
        <v>#DIV/0!</v>
      </c>
      <c r="AY633" s="29" t="str">
        <f t="shared" si="636"/>
        <v>#DIV/0!</v>
      </c>
      <c r="AZ633" s="29" t="str">
        <f t="shared" si="636"/>
        <v>#DIV/0!</v>
      </c>
      <c r="BA633" s="29" t="str">
        <f t="shared" si="636"/>
        <v>#DIV/0!</v>
      </c>
      <c r="BB633" s="29" t="str">
        <f t="shared" si="636"/>
        <v>#DIV/0!</v>
      </c>
      <c r="BC633" s="29" t="str">
        <f t="shared" si="636"/>
        <v>#DIV/0!</v>
      </c>
      <c r="BD633" s="29" t="str">
        <f t="shared" si="636"/>
        <v>#DIV/0!</v>
      </c>
      <c r="BE633" s="29" t="str">
        <f t="shared" si="636"/>
        <v>#DIV/0!</v>
      </c>
      <c r="BF633" s="29" t="str">
        <f t="shared" si="636"/>
        <v>#DIV/0!</v>
      </c>
      <c r="BG633" s="29" t="str">
        <f t="shared" si="636"/>
        <v>#DIV/0!</v>
      </c>
      <c r="BH633" s="29" t="str">
        <f t="shared" si="636"/>
        <v>#DIV/0!</v>
      </c>
      <c r="BI633" s="29" t="str">
        <f t="shared" si="636"/>
        <v>#DIV/0!</v>
      </c>
      <c r="BJ633" s="29" t="str">
        <f t="shared" si="636"/>
        <v>#DIV/0!</v>
      </c>
      <c r="BK633" s="29" t="str">
        <f t="shared" si="636"/>
        <v>#DIV/0!</v>
      </c>
      <c r="BL633" s="29" t="str">
        <f t="shared" si="636"/>
        <v>#DIV/0!</v>
      </c>
      <c r="BM633" s="29" t="str">
        <f t="shared" si="3"/>
        <v>#DIV/0!</v>
      </c>
    </row>
    <row r="634">
      <c r="A634" s="16" t="str">
        <f>IFERROR(__xludf.DUMMYFUNCTION("IFERROR(SPARKLINE(SORT(MAP(TRANSPOSE(AQ634:BL634), LAMBDA(val, IF(ISNUMBER(val), PERCENTRANK(AQ634:BL634, val)+0.01, 0))), SEQUENCE(COLUMNS(AQ634:BL634)), FALSE), {""charttype"",""column""; ""color"",""chartreuse""; ""ymin"", 0; ""ymax"", 1.01; ""highcolo"&amp;"r"", ""darkgreen""; ""lowcolor"", ""red""}), """")"),"")</f>
        <v/>
      </c>
      <c r="B634" s="17" t="str">
        <f t="shared" si="4"/>
        <v/>
      </c>
      <c r="C634" s="1" t="s">
        <v>2832</v>
      </c>
      <c r="D634" s="34" t="str">
        <f>IFERROR(__xludf.DUMMYFUNCTION("IFERROR(GOOGLEFINANCE(C634, ""NAME""))"),"Grupo Aval Acciones y Valores SA - ADR ADR")</f>
        <v>Grupo Aval Acciones y Valores SA - ADR ADR</v>
      </c>
      <c r="E634" s="30" t="s">
        <v>268</v>
      </c>
      <c r="F634" s="33" t="str">
        <f>IFERROR(__xludf.DUMMYFUNCTION("( (GOOGLEFINANCE(C634, ""price"") - Q634) / Q634 ) / (R634 / 100)"),"Loading...")</f>
        <v>Loading...</v>
      </c>
      <c r="G634" s="20" t="str">
        <f>IFERROR(__xludf.DUMMYFUNCTION("AVERAGE(ARRAYFORMULA(100 * (QUERY(GOOGLEFINANCE(C634, ""high"", TODAY()-40, TODAY()), ""SELECT Col2 WHERE Col2 IS NOT NULL ORDER BY Col1 DESC LIMIT 20"", 0) / QUERY(GOOGLEFINANCE(C634, ""low"", TODAY()-40, TODAY()), ""SELECT Col2 WHERE Col2 IS NOT NULL OR"&amp;"DER BY Col1 DESC LIMIT 20"", 0) - 1)))"),"#N/A")</f>
        <v>#N/A</v>
      </c>
      <c r="H634" s="35" t="str">
        <f t="shared" si="6"/>
        <v/>
      </c>
      <c r="I634" s="36" t="str">
        <f t="shared" si="7"/>
        <v/>
      </c>
      <c r="J634" s="37" t="str">
        <f>IFERROR(__xludf.DUMMYFUNCTION("IFERROR(
  IF(C634="""",, 
    IFERROR(
      GOOGLEFINANCE(C634, ""price"") * GOOGLEFINANCE(C634, ""volumeavg""), 
      GOOGLEFINANCE(C634, ""price"") * AVERAGE(QUERY(GOOGLEFINANCE(C634, ""volume"", TODAY()-40, TODAY()), ""SELECT Col2 WHERE Col2 IS NOT "&amp;"NULL ORDER BY Col1 DESC LIMIT 20"", 0))
    )
  ), 
"""")"),"")</f>
        <v/>
      </c>
      <c r="K634" s="21" t="str">
        <f>IFERROR(__xludf.DUMMYFUNCTION("IFERROR(GOOGLEFINANCE(C634, ""changepct"") / 100, """")"),"")</f>
        <v/>
      </c>
      <c r="L634" s="21" t="str">
        <f>IFERROR(__xludf.DUMMYFUNCTION("IFERROR((GOOGLEFINANCE(C634, ""price"") / INDEX(GOOGLEFINANCE(C634, ""price"", TODAY()-7, TODAY()), 2, 2)) - 1, """")"),"")</f>
        <v/>
      </c>
      <c r="M634" s="21" t="str">
        <f>IFERROR(__xludf.DUMMYFUNCTION("IFERROR((GOOGLEFINANCE(C634, ""price"") / INDEX(GOOGLEFINANCE(C634, ""price"", EDATE(TODAY(), -1), TODAY()), 2, 2)) - 1, """")"),"")</f>
        <v/>
      </c>
      <c r="N634" s="21" t="str">
        <f>IFERROR(__xludf.DUMMYFUNCTION("IFERROR((GOOGLEFINANCE(C634, ""price"") / INDEX(GOOGLEFINANCE(C634, ""price"", EDATE(TODAY(), -3), TODAY()), 2, 2)) - 1, """")"),"")</f>
        <v/>
      </c>
      <c r="O634" s="21" t="str">
        <f>IFERROR(__xludf.DUMMYFUNCTION("IFERROR((GOOGLEFINANCE(C634, ""price"") / INDEX(GOOGLEFINANCE(C634, ""price"", EDATE(TODAY(), -6), TODAY()), 2, 2)) - 1, """")"),"")</f>
        <v/>
      </c>
      <c r="P634" s="21" t="str">
        <f>IFERROR(__xludf.DUMMYFUNCTION("IFERROR((GOOGLEFINANCE(C634, ""price"") / INDEX(GOOGLEFINANCE(C634, ""price"", EDATE(TODAY(), -12), TODAY()), 2, 2)) - 1, """")"),"")</f>
        <v/>
      </c>
      <c r="Q634" s="6" t="str">
        <f>IFERROR(__xludf.DUMMYFUNCTION("AVERAGE(QUERY(GOOGLEFINANCE(C634, ""price"", TODAY()-80, TODAY()), ""SELECT Col2 WHERE Col2 IS NOT NULL ORDER BY Col1 DESC LIMIT 50"", 0))"),"#N/A")</f>
        <v>#N/A</v>
      </c>
      <c r="R634" s="24" t="str">
        <f>IFERROR(__xludf.DUMMYFUNCTION("IFERROR(
  LET(
    data, QUERY(GOOGLEFINANCE(C634,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GOOGLEFINANCE(C634, ""price"")) * 100,
    IF(calc=0, G634, calc)
  ), 
G634)"),"#N/A")</f>
        <v>#N/A</v>
      </c>
      <c r="S634" s="8" t="s">
        <v>15</v>
      </c>
      <c r="T634" s="26" t="str">
        <f>IFERROR(__xludf.DUMMYFUNCTION("IFERROR(TRANSPOSE(QUERY(IFERROR(SORT(GOOGLEFINANCE(C634, ""price"", WORKDAY(TODAY(), -40), TODAY()), 1, FALSE)), ""select Col2 where Col2 is not null limit 22 label Col2 ''"", 0)), """")"),"")</f>
        <v/>
      </c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8"/>
      <c r="AO634" s="28"/>
      <c r="AP634" s="29"/>
      <c r="AQ634" s="29" t="str">
        <f t="shared" ref="AQ634:BL634" si="637">T634/T$2</f>
        <v>#N/A</v>
      </c>
      <c r="AR634" s="29" t="str">
        <f t="shared" si="637"/>
        <v>#DIV/0!</v>
      </c>
      <c r="AS634" s="29" t="str">
        <f t="shared" si="637"/>
        <v>#DIV/0!</v>
      </c>
      <c r="AT634" s="29" t="str">
        <f t="shared" si="637"/>
        <v>#DIV/0!</v>
      </c>
      <c r="AU634" s="29" t="str">
        <f t="shared" si="637"/>
        <v>#DIV/0!</v>
      </c>
      <c r="AV634" s="29" t="str">
        <f t="shared" si="637"/>
        <v>#DIV/0!</v>
      </c>
      <c r="AW634" s="29" t="str">
        <f t="shared" si="637"/>
        <v>#DIV/0!</v>
      </c>
      <c r="AX634" s="29" t="str">
        <f t="shared" si="637"/>
        <v>#DIV/0!</v>
      </c>
      <c r="AY634" s="29" t="str">
        <f t="shared" si="637"/>
        <v>#DIV/0!</v>
      </c>
      <c r="AZ634" s="29" t="str">
        <f t="shared" si="637"/>
        <v>#DIV/0!</v>
      </c>
      <c r="BA634" s="29" t="str">
        <f t="shared" si="637"/>
        <v>#DIV/0!</v>
      </c>
      <c r="BB634" s="29" t="str">
        <f t="shared" si="637"/>
        <v>#DIV/0!</v>
      </c>
      <c r="BC634" s="29" t="str">
        <f t="shared" si="637"/>
        <v>#DIV/0!</v>
      </c>
      <c r="BD634" s="29" t="str">
        <f t="shared" si="637"/>
        <v>#DIV/0!</v>
      </c>
      <c r="BE634" s="29" t="str">
        <f t="shared" si="637"/>
        <v>#DIV/0!</v>
      </c>
      <c r="BF634" s="29" t="str">
        <f t="shared" si="637"/>
        <v>#DIV/0!</v>
      </c>
      <c r="BG634" s="29" t="str">
        <f t="shared" si="637"/>
        <v>#DIV/0!</v>
      </c>
      <c r="BH634" s="29" t="str">
        <f t="shared" si="637"/>
        <v>#DIV/0!</v>
      </c>
      <c r="BI634" s="29" t="str">
        <f t="shared" si="637"/>
        <v>#DIV/0!</v>
      </c>
      <c r="BJ634" s="29" t="str">
        <f t="shared" si="637"/>
        <v>#DIV/0!</v>
      </c>
      <c r="BK634" s="29" t="str">
        <f t="shared" si="637"/>
        <v>#DIV/0!</v>
      </c>
      <c r="BL634" s="29" t="str">
        <f t="shared" si="637"/>
        <v>#DIV/0!</v>
      </c>
      <c r="BM634" s="29" t="str">
        <f t="shared" si="3"/>
        <v>#DIV/0!</v>
      </c>
    </row>
    <row r="635">
      <c r="A635" s="16" t="str">
        <f>IFERROR(__xludf.DUMMYFUNCTION("IFERROR(SPARKLINE(SORT(MAP(TRANSPOSE(AQ635:BL635), LAMBDA(val, IF(ISNUMBER(val), PERCENTRANK(AQ635:BL635, val)+0.01, 0))), SEQUENCE(COLUMNS(AQ635:BL635)), FALSE), {""charttype"",""column""; ""color"",""chartreuse""; ""ymin"", 0; ""ymax"", 1.01; ""highcolo"&amp;"r"", ""darkgreen""; ""lowcolor"", ""red""}), """")"),"")</f>
        <v/>
      </c>
      <c r="B635" s="17" t="str">
        <f t="shared" si="4"/>
        <v/>
      </c>
      <c r="C635" s="1" t="s">
        <v>2836</v>
      </c>
      <c r="D635" s="34" t="str">
        <f>IFERROR(__xludf.DUMMYFUNCTION("IFERROR(GOOGLEFINANCE(C635, ""NAME""))"),"XP Inc")</f>
        <v>XP Inc</v>
      </c>
      <c r="E635" s="30" t="s">
        <v>77</v>
      </c>
      <c r="F635" s="38" t="str">
        <f>IFERROR(__xludf.DUMMYFUNCTION("( (GOOGLEFINANCE(C635, ""price"") - Q635) / Q635 ) / (R635 / 100)"),"Loading...")</f>
        <v>Loading...</v>
      </c>
      <c r="G635" s="20" t="str">
        <f>IFERROR(__xludf.DUMMYFUNCTION("AVERAGE(ARRAYFORMULA(100 * (QUERY(GOOGLEFINANCE(C635, ""high"", TODAY()-40, TODAY()), ""SELECT Col2 WHERE Col2 IS NOT NULL ORDER BY Col1 DESC LIMIT 20"", 0) / QUERY(GOOGLEFINANCE(C635, ""low"", TODAY()-40, TODAY()), ""SELECT Col2 WHERE Col2 IS NOT NULL OR"&amp;"DER BY Col1 DESC LIMIT 20"", 0) - 1)))"),"#N/A")</f>
        <v>#N/A</v>
      </c>
      <c r="H635" s="35" t="str">
        <f t="shared" si="6"/>
        <v/>
      </c>
      <c r="I635" s="36" t="str">
        <f t="shared" si="7"/>
        <v/>
      </c>
      <c r="J635" s="37" t="str">
        <f>IFERROR(__xludf.DUMMYFUNCTION("IFERROR(
  IF(C635="""",, 
    IFERROR(
      GOOGLEFINANCE(C635, ""price"") * GOOGLEFINANCE(C635, ""volumeavg""), 
      GOOGLEFINANCE(C635, ""price"") * AVERAGE(QUERY(GOOGLEFINANCE(C635, ""volume"", TODAY()-40, TODAY()), ""SELECT Col2 WHERE Col2 IS NOT "&amp;"NULL ORDER BY Col1 DESC LIMIT 20"", 0))
    )
  ), 
"""")"),"")</f>
        <v/>
      </c>
      <c r="K635" s="21" t="str">
        <f>IFERROR(__xludf.DUMMYFUNCTION("IFERROR(GOOGLEFINANCE(C635, ""changepct"") / 100, """")"),"")</f>
        <v/>
      </c>
      <c r="L635" s="21" t="str">
        <f>IFERROR(__xludf.DUMMYFUNCTION("IFERROR((GOOGLEFINANCE(C635, ""price"") / INDEX(GOOGLEFINANCE(C635, ""price"", TODAY()-7, TODAY()), 2, 2)) - 1, """")"),"")</f>
        <v/>
      </c>
      <c r="M635" s="21" t="str">
        <f>IFERROR(__xludf.DUMMYFUNCTION("IFERROR((GOOGLEFINANCE(C635, ""price"") / INDEX(GOOGLEFINANCE(C635, ""price"", EDATE(TODAY(), -1), TODAY()), 2, 2)) - 1, """")"),"")</f>
        <v/>
      </c>
      <c r="N635" s="21" t="str">
        <f>IFERROR(__xludf.DUMMYFUNCTION("IFERROR((GOOGLEFINANCE(C635, ""price"") / INDEX(GOOGLEFINANCE(C635, ""price"", EDATE(TODAY(), -3), TODAY()), 2, 2)) - 1, """")"),"")</f>
        <v/>
      </c>
      <c r="O635" s="21" t="str">
        <f>IFERROR(__xludf.DUMMYFUNCTION("IFERROR((GOOGLEFINANCE(C635, ""price"") / INDEX(GOOGLEFINANCE(C635, ""price"", EDATE(TODAY(), -6), TODAY()), 2, 2)) - 1, """")"),"")</f>
        <v/>
      </c>
      <c r="P635" s="21" t="str">
        <f>IFERROR(__xludf.DUMMYFUNCTION("IFERROR((GOOGLEFINANCE(C635, ""price"") / INDEX(GOOGLEFINANCE(C635, ""price"", EDATE(TODAY(), -12), TODAY()), 2, 2)) - 1, """")"),"")</f>
        <v/>
      </c>
      <c r="Q635" s="6" t="str">
        <f>IFERROR(__xludf.DUMMYFUNCTION("AVERAGE(QUERY(GOOGLEFINANCE(C635, ""price"", TODAY()-80, TODAY()), ""SELECT Col2 WHERE Col2 IS NOT NULL ORDER BY Col1 DESC LIMIT 50"", 0))"),"#N/A")</f>
        <v>#N/A</v>
      </c>
      <c r="R635" s="24" t="str">
        <f>IFERROR(__xludf.DUMMYFUNCTION("IFERROR(
  LET(
    data, QUERY(GOOGLEFINANCE(C635,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GOOGLEFINANCE(C635, ""price"")) * 100,
    IF(calc=0, G635, calc)
  ), 
G635)"),"#N/A")</f>
        <v>#N/A</v>
      </c>
      <c r="S635" s="8" t="s">
        <v>15</v>
      </c>
      <c r="T635" s="26" t="str">
        <f>IFERROR(__xludf.DUMMYFUNCTION("IFERROR(TRANSPOSE(QUERY(IFERROR(SORT(GOOGLEFINANCE(C635, ""price"", WORKDAY(TODAY(), -40), TODAY()), 1, FALSE)), ""select Col2 where Col2 is not null limit 22 label Col2 ''"", 0)), """")"),"")</f>
        <v/>
      </c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8"/>
      <c r="AO635" s="28"/>
      <c r="AP635" s="29"/>
      <c r="AQ635" s="29" t="str">
        <f t="shared" ref="AQ635:BL635" si="638">T635/T$2</f>
        <v>#N/A</v>
      </c>
      <c r="AR635" s="29" t="str">
        <f t="shared" si="638"/>
        <v>#DIV/0!</v>
      </c>
      <c r="AS635" s="29" t="str">
        <f t="shared" si="638"/>
        <v>#DIV/0!</v>
      </c>
      <c r="AT635" s="29" t="str">
        <f t="shared" si="638"/>
        <v>#DIV/0!</v>
      </c>
      <c r="AU635" s="29" t="str">
        <f t="shared" si="638"/>
        <v>#DIV/0!</v>
      </c>
      <c r="AV635" s="29" t="str">
        <f t="shared" si="638"/>
        <v>#DIV/0!</v>
      </c>
      <c r="AW635" s="29" t="str">
        <f t="shared" si="638"/>
        <v>#DIV/0!</v>
      </c>
      <c r="AX635" s="29" t="str">
        <f t="shared" si="638"/>
        <v>#DIV/0!</v>
      </c>
      <c r="AY635" s="29" t="str">
        <f t="shared" si="638"/>
        <v>#DIV/0!</v>
      </c>
      <c r="AZ635" s="29" t="str">
        <f t="shared" si="638"/>
        <v>#DIV/0!</v>
      </c>
      <c r="BA635" s="29" t="str">
        <f t="shared" si="638"/>
        <v>#DIV/0!</v>
      </c>
      <c r="BB635" s="29" t="str">
        <f t="shared" si="638"/>
        <v>#DIV/0!</v>
      </c>
      <c r="BC635" s="29" t="str">
        <f t="shared" si="638"/>
        <v>#DIV/0!</v>
      </c>
      <c r="BD635" s="29" t="str">
        <f t="shared" si="638"/>
        <v>#DIV/0!</v>
      </c>
      <c r="BE635" s="29" t="str">
        <f t="shared" si="638"/>
        <v>#DIV/0!</v>
      </c>
      <c r="BF635" s="29" t="str">
        <f t="shared" si="638"/>
        <v>#DIV/0!</v>
      </c>
      <c r="BG635" s="29" t="str">
        <f t="shared" si="638"/>
        <v>#DIV/0!</v>
      </c>
      <c r="BH635" s="29" t="str">
        <f t="shared" si="638"/>
        <v>#DIV/0!</v>
      </c>
      <c r="BI635" s="29" t="str">
        <f t="shared" si="638"/>
        <v>#DIV/0!</v>
      </c>
      <c r="BJ635" s="29" t="str">
        <f t="shared" si="638"/>
        <v>#DIV/0!</v>
      </c>
      <c r="BK635" s="29" t="str">
        <f t="shared" si="638"/>
        <v>#DIV/0!</v>
      </c>
      <c r="BL635" s="29" t="str">
        <f t="shared" si="638"/>
        <v>#DIV/0!</v>
      </c>
      <c r="BM635" s="29" t="str">
        <f t="shared" si="3"/>
        <v>#DIV/0!</v>
      </c>
    </row>
    <row r="636">
      <c r="A636" s="16" t="str">
        <f>IFERROR(__xludf.DUMMYFUNCTION("IFERROR(SPARKLINE(SORT(MAP(TRANSPOSE(AQ636:BL636), LAMBDA(val, IF(ISNUMBER(val), PERCENTRANK(AQ636:BL636, val)+0.01, 0))), SEQUENCE(COLUMNS(AQ636:BL636)), FALSE), {""charttype"",""column""; ""color"",""chartreuse""; ""ymin"", 0; ""ymax"", 1.01; ""highcolo"&amp;"r"", ""darkgreen""; ""lowcolor"", ""red""}), """")"),"")</f>
        <v/>
      </c>
      <c r="B636" s="17" t="str">
        <f t="shared" si="4"/>
        <v/>
      </c>
      <c r="C636" s="1" t="s">
        <v>2840</v>
      </c>
      <c r="D636" s="34" t="str">
        <f>IFERROR(__xludf.DUMMYFUNCTION("IFERROR(GOOGLEFINANCE(C636, ""NAME""))"),"Lloyds Banking Group PLC")</f>
        <v>Lloyds Banking Group PLC</v>
      </c>
      <c r="E636" s="30" t="s">
        <v>268</v>
      </c>
      <c r="F636" s="33" t="str">
        <f>IFERROR(__xludf.DUMMYFUNCTION("( (GOOGLEFINANCE(C636, ""price"") - Q636) / Q636 ) / (R636 / 100)"),"Loading...")</f>
        <v>Loading...</v>
      </c>
      <c r="G636" s="20" t="str">
        <f>IFERROR(__xludf.DUMMYFUNCTION("AVERAGE(ARRAYFORMULA(100 * (QUERY(GOOGLEFINANCE(C636, ""high"", TODAY()-40, TODAY()), ""SELECT Col2 WHERE Col2 IS NOT NULL ORDER BY Col1 DESC LIMIT 20"", 0) / QUERY(GOOGLEFINANCE(C636, ""low"", TODAY()-40, TODAY()), ""SELECT Col2 WHERE Col2 IS NOT NULL OR"&amp;"DER BY Col1 DESC LIMIT 20"", 0) - 1)))"),"#N/A")</f>
        <v>#N/A</v>
      </c>
      <c r="H636" s="35" t="str">
        <f t="shared" si="6"/>
        <v/>
      </c>
      <c r="I636" s="36" t="str">
        <f t="shared" si="7"/>
        <v/>
      </c>
      <c r="J636" s="37" t="str">
        <f>IFERROR(__xludf.DUMMYFUNCTION("IFERROR(
  IF(C636="""",, 
    IFERROR(
      GOOGLEFINANCE(C636, ""price"") * GOOGLEFINANCE(C636, ""volumeavg""), 
      GOOGLEFINANCE(C636, ""price"") * AVERAGE(QUERY(GOOGLEFINANCE(C636, ""volume"", TODAY()-40, TODAY()), ""SELECT Col2 WHERE Col2 IS NOT "&amp;"NULL ORDER BY Col1 DESC LIMIT 20"", 0))
    )
  ), 
"""")"),"")</f>
        <v/>
      </c>
      <c r="K636" s="21" t="str">
        <f>IFERROR(__xludf.DUMMYFUNCTION("IFERROR(GOOGLEFINANCE(C636, ""changepct"") / 100, """")"),"")</f>
        <v/>
      </c>
      <c r="L636" s="21" t="str">
        <f>IFERROR(__xludf.DUMMYFUNCTION("IFERROR((GOOGLEFINANCE(C636, ""price"") / INDEX(GOOGLEFINANCE(C636, ""price"", TODAY()-7, TODAY()), 2, 2)) - 1, """")"),"")</f>
        <v/>
      </c>
      <c r="M636" s="21" t="str">
        <f>IFERROR(__xludf.DUMMYFUNCTION("IFERROR((GOOGLEFINANCE(C636, ""price"") / INDEX(GOOGLEFINANCE(C636, ""price"", EDATE(TODAY(), -1), TODAY()), 2, 2)) - 1, """")"),"")</f>
        <v/>
      </c>
      <c r="N636" s="21" t="str">
        <f>IFERROR(__xludf.DUMMYFUNCTION("IFERROR((GOOGLEFINANCE(C636, ""price"") / INDEX(GOOGLEFINANCE(C636, ""price"", EDATE(TODAY(), -3), TODAY()), 2, 2)) - 1, """")"),"")</f>
        <v/>
      </c>
      <c r="O636" s="21" t="str">
        <f>IFERROR(__xludf.DUMMYFUNCTION("IFERROR((GOOGLEFINANCE(C636, ""price"") / INDEX(GOOGLEFINANCE(C636, ""price"", EDATE(TODAY(), -6), TODAY()), 2, 2)) - 1, """")"),"")</f>
        <v/>
      </c>
      <c r="P636" s="21" t="str">
        <f>IFERROR(__xludf.DUMMYFUNCTION("IFERROR((GOOGLEFINANCE(C636, ""price"") / INDEX(GOOGLEFINANCE(C636, ""price"", EDATE(TODAY(), -12), TODAY()), 2, 2)) - 1, """")"),"")</f>
        <v/>
      </c>
      <c r="Q636" s="6" t="str">
        <f>IFERROR(__xludf.DUMMYFUNCTION("AVERAGE(QUERY(GOOGLEFINANCE(C636, ""price"", TODAY()-80, TODAY()), ""SELECT Col2 WHERE Col2 IS NOT NULL ORDER BY Col1 DESC LIMIT 50"", 0))"),"#N/A")</f>
        <v>#N/A</v>
      </c>
      <c r="R636" s="24" t="str">
        <f>IFERROR(__xludf.DUMMYFUNCTION("IFERROR(
  LET(
    data, QUERY(GOOGLEFINANCE(C636,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GOOGLEFINANCE(C636, ""price"")) * 100,
    IF(calc=0, G636, calc)
  ), 
G636)"),"#N/A")</f>
        <v>#N/A</v>
      </c>
      <c r="S636" s="8" t="s">
        <v>15</v>
      </c>
      <c r="T636" s="26" t="str">
        <f>IFERROR(__xludf.DUMMYFUNCTION("IFERROR(TRANSPOSE(QUERY(IFERROR(SORT(GOOGLEFINANCE(C636, ""price"", WORKDAY(TODAY(), -40), TODAY()), 1, FALSE)), ""select Col2 where Col2 is not null limit 22 label Col2 ''"", 0)), """")"),"")</f>
        <v/>
      </c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N636" s="28"/>
      <c r="AO636" s="28"/>
      <c r="AP636" s="29"/>
      <c r="AQ636" s="29" t="str">
        <f t="shared" ref="AQ636:BL636" si="639">T636/T$2</f>
        <v>#N/A</v>
      </c>
      <c r="AR636" s="29" t="str">
        <f t="shared" si="639"/>
        <v>#DIV/0!</v>
      </c>
      <c r="AS636" s="29" t="str">
        <f t="shared" si="639"/>
        <v>#DIV/0!</v>
      </c>
      <c r="AT636" s="29" t="str">
        <f t="shared" si="639"/>
        <v>#DIV/0!</v>
      </c>
      <c r="AU636" s="29" t="str">
        <f t="shared" si="639"/>
        <v>#DIV/0!</v>
      </c>
      <c r="AV636" s="29" t="str">
        <f t="shared" si="639"/>
        <v>#DIV/0!</v>
      </c>
      <c r="AW636" s="29" t="str">
        <f t="shared" si="639"/>
        <v>#DIV/0!</v>
      </c>
      <c r="AX636" s="29" t="str">
        <f t="shared" si="639"/>
        <v>#DIV/0!</v>
      </c>
      <c r="AY636" s="29" t="str">
        <f t="shared" si="639"/>
        <v>#DIV/0!</v>
      </c>
      <c r="AZ636" s="29" t="str">
        <f t="shared" si="639"/>
        <v>#DIV/0!</v>
      </c>
      <c r="BA636" s="29" t="str">
        <f t="shared" si="639"/>
        <v>#DIV/0!</v>
      </c>
      <c r="BB636" s="29" t="str">
        <f t="shared" si="639"/>
        <v>#DIV/0!</v>
      </c>
      <c r="BC636" s="29" t="str">
        <f t="shared" si="639"/>
        <v>#DIV/0!</v>
      </c>
      <c r="BD636" s="29" t="str">
        <f t="shared" si="639"/>
        <v>#DIV/0!</v>
      </c>
      <c r="BE636" s="29" t="str">
        <f t="shared" si="639"/>
        <v>#DIV/0!</v>
      </c>
      <c r="BF636" s="29" t="str">
        <f t="shared" si="639"/>
        <v>#DIV/0!</v>
      </c>
      <c r="BG636" s="29" t="str">
        <f t="shared" si="639"/>
        <v>#DIV/0!</v>
      </c>
      <c r="BH636" s="29" t="str">
        <f t="shared" si="639"/>
        <v>#DIV/0!</v>
      </c>
      <c r="BI636" s="29" t="str">
        <f t="shared" si="639"/>
        <v>#DIV/0!</v>
      </c>
      <c r="BJ636" s="29" t="str">
        <f t="shared" si="639"/>
        <v>#DIV/0!</v>
      </c>
      <c r="BK636" s="29" t="str">
        <f t="shared" si="639"/>
        <v>#DIV/0!</v>
      </c>
      <c r="BL636" s="29" t="str">
        <f t="shared" si="639"/>
        <v>#DIV/0!</v>
      </c>
      <c r="BM636" s="29" t="str">
        <f t="shared" si="3"/>
        <v>#DIV/0!</v>
      </c>
    </row>
    <row r="637">
      <c r="A637" s="16" t="str">
        <f>IFERROR(__xludf.DUMMYFUNCTION("IFERROR(SPARKLINE(SORT(MAP(TRANSPOSE(AQ637:BL637), LAMBDA(val, IF(ISNUMBER(val), PERCENTRANK(AQ637:BL637, val)+0.01, 0))), SEQUENCE(COLUMNS(AQ637:BL637)), FALSE), {""charttype"",""column""; ""color"",""chartreuse""; ""ymin"", 0; ""ymax"", 1.01; ""highcolo"&amp;"r"", ""darkgreen""; ""lowcolor"", ""red""}), """")"),"")</f>
        <v/>
      </c>
      <c r="B637" s="17" t="str">
        <f t="shared" si="4"/>
        <v/>
      </c>
      <c r="C637" s="1" t="s">
        <v>2843</v>
      </c>
      <c r="D637" s="34" t="str">
        <f>IFERROR(__xludf.DUMMYFUNCTION("IFERROR(GOOGLEFINANCE(C637, ""NAME""))"),"Palmer Square Capital BDC Inc")</f>
        <v>Palmer Square Capital BDC Inc</v>
      </c>
      <c r="E637" s="30" t="s">
        <v>64</v>
      </c>
      <c r="F637" s="33" t="str">
        <f>IFERROR(__xludf.DUMMYFUNCTION("( (GOOGLEFINANCE(C637, ""price"") - Q637) / Q637 ) / (R637 / 100)"),"Loading...")</f>
        <v>Loading...</v>
      </c>
      <c r="G637" s="20" t="str">
        <f>IFERROR(__xludf.DUMMYFUNCTION("AVERAGE(ARRAYFORMULA(100 * (QUERY(GOOGLEFINANCE(C637, ""high"", TODAY()-40, TODAY()), ""SELECT Col2 WHERE Col2 IS NOT NULL ORDER BY Col1 DESC LIMIT 20"", 0) / QUERY(GOOGLEFINANCE(C637, ""low"", TODAY()-40, TODAY()), ""SELECT Col2 WHERE Col2 IS NOT NULL OR"&amp;"DER BY Col1 DESC LIMIT 20"", 0) - 1)))"),"#N/A")</f>
        <v>#N/A</v>
      </c>
      <c r="H637" s="35" t="str">
        <f t="shared" si="6"/>
        <v/>
      </c>
      <c r="I637" s="36" t="str">
        <f t="shared" si="7"/>
        <v/>
      </c>
      <c r="J637" s="37" t="str">
        <f>IFERROR(__xludf.DUMMYFUNCTION("IFERROR(
  IF(C637="""",, 
    IFERROR(
      GOOGLEFINANCE(C637, ""price"") * GOOGLEFINANCE(C637, ""volumeavg""), 
      GOOGLEFINANCE(C637, ""price"") * AVERAGE(QUERY(GOOGLEFINANCE(C637, ""volume"", TODAY()-40, TODAY()), ""SELECT Col2 WHERE Col2 IS NOT "&amp;"NULL ORDER BY Col1 DESC LIMIT 20"", 0))
    )
  ), 
"""")"),"")</f>
        <v/>
      </c>
      <c r="K637" s="21" t="str">
        <f>IFERROR(__xludf.DUMMYFUNCTION("IFERROR(GOOGLEFINANCE(C637, ""changepct"") / 100, """")"),"")</f>
        <v/>
      </c>
      <c r="L637" s="21" t="str">
        <f>IFERROR(__xludf.DUMMYFUNCTION("IFERROR((GOOGLEFINANCE(C637, ""price"") / INDEX(GOOGLEFINANCE(C637, ""price"", TODAY()-7, TODAY()), 2, 2)) - 1, """")"),"")</f>
        <v/>
      </c>
      <c r="M637" s="21" t="str">
        <f>IFERROR(__xludf.DUMMYFUNCTION("IFERROR((GOOGLEFINANCE(C637, ""price"") / INDEX(GOOGLEFINANCE(C637, ""price"", EDATE(TODAY(), -1), TODAY()), 2, 2)) - 1, """")"),"")</f>
        <v/>
      </c>
      <c r="N637" s="21" t="str">
        <f>IFERROR(__xludf.DUMMYFUNCTION("IFERROR((GOOGLEFINANCE(C637, ""price"") / INDEX(GOOGLEFINANCE(C637, ""price"", EDATE(TODAY(), -3), TODAY()), 2, 2)) - 1, """")"),"")</f>
        <v/>
      </c>
      <c r="O637" s="21" t="str">
        <f>IFERROR(__xludf.DUMMYFUNCTION("IFERROR((GOOGLEFINANCE(C637, ""price"") / INDEX(GOOGLEFINANCE(C637, ""price"", EDATE(TODAY(), -6), TODAY()), 2, 2)) - 1, """")"),"")</f>
        <v/>
      </c>
      <c r="P637" s="21" t="str">
        <f>IFERROR(__xludf.DUMMYFUNCTION("IFERROR((GOOGLEFINANCE(C637, ""price"") / INDEX(GOOGLEFINANCE(C637, ""price"", EDATE(TODAY(), -12), TODAY()), 2, 2)) - 1, """")"),"")</f>
        <v/>
      </c>
      <c r="Q637" s="6" t="str">
        <f>IFERROR(__xludf.DUMMYFUNCTION("AVERAGE(QUERY(GOOGLEFINANCE(C637, ""price"", TODAY()-80, TODAY()), ""SELECT Col2 WHERE Col2 IS NOT NULL ORDER BY Col1 DESC LIMIT 50"", 0))"),"#N/A")</f>
        <v>#N/A</v>
      </c>
      <c r="R637" s="24" t="str">
        <f>IFERROR(__xludf.DUMMYFUNCTION("IFERROR(
  LET(
    data, QUERY(GOOGLEFINANCE(C637,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GOOGLEFINANCE(C637, ""price"")) * 100,
    IF(calc=0, G637, calc)
  ), 
G637)"),"#N/A")</f>
        <v>#N/A</v>
      </c>
      <c r="S637" s="8" t="s">
        <v>15</v>
      </c>
      <c r="T637" s="26" t="str">
        <f>IFERROR(__xludf.DUMMYFUNCTION("IFERROR(TRANSPOSE(QUERY(IFERROR(SORT(GOOGLEFINANCE(C637, ""price"", WORKDAY(TODAY(), -40), TODAY()), 1, FALSE)), ""select Col2 where Col2 is not null limit 22 label Col2 ''"", 0)), """")"),"")</f>
        <v/>
      </c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8"/>
      <c r="AO637" s="28"/>
      <c r="AP637" s="29"/>
      <c r="AQ637" s="29" t="str">
        <f t="shared" ref="AQ637:BL637" si="640">T637/T$2</f>
        <v>#N/A</v>
      </c>
      <c r="AR637" s="29" t="str">
        <f t="shared" si="640"/>
        <v>#DIV/0!</v>
      </c>
      <c r="AS637" s="29" t="str">
        <f t="shared" si="640"/>
        <v>#DIV/0!</v>
      </c>
      <c r="AT637" s="29" t="str">
        <f t="shared" si="640"/>
        <v>#DIV/0!</v>
      </c>
      <c r="AU637" s="29" t="str">
        <f t="shared" si="640"/>
        <v>#DIV/0!</v>
      </c>
      <c r="AV637" s="29" t="str">
        <f t="shared" si="640"/>
        <v>#DIV/0!</v>
      </c>
      <c r="AW637" s="29" t="str">
        <f t="shared" si="640"/>
        <v>#DIV/0!</v>
      </c>
      <c r="AX637" s="29" t="str">
        <f t="shared" si="640"/>
        <v>#DIV/0!</v>
      </c>
      <c r="AY637" s="29" t="str">
        <f t="shared" si="640"/>
        <v>#DIV/0!</v>
      </c>
      <c r="AZ637" s="29" t="str">
        <f t="shared" si="640"/>
        <v>#DIV/0!</v>
      </c>
      <c r="BA637" s="29" t="str">
        <f t="shared" si="640"/>
        <v>#DIV/0!</v>
      </c>
      <c r="BB637" s="29" t="str">
        <f t="shared" si="640"/>
        <v>#DIV/0!</v>
      </c>
      <c r="BC637" s="29" t="str">
        <f t="shared" si="640"/>
        <v>#DIV/0!</v>
      </c>
      <c r="BD637" s="29" t="str">
        <f t="shared" si="640"/>
        <v>#DIV/0!</v>
      </c>
      <c r="BE637" s="29" t="str">
        <f t="shared" si="640"/>
        <v>#DIV/0!</v>
      </c>
      <c r="BF637" s="29" t="str">
        <f t="shared" si="640"/>
        <v>#DIV/0!</v>
      </c>
      <c r="BG637" s="29" t="str">
        <f t="shared" si="640"/>
        <v>#DIV/0!</v>
      </c>
      <c r="BH637" s="29" t="str">
        <f t="shared" si="640"/>
        <v>#DIV/0!</v>
      </c>
      <c r="BI637" s="29" t="str">
        <f t="shared" si="640"/>
        <v>#DIV/0!</v>
      </c>
      <c r="BJ637" s="29" t="str">
        <f t="shared" si="640"/>
        <v>#DIV/0!</v>
      </c>
      <c r="BK637" s="29" t="str">
        <f t="shared" si="640"/>
        <v>#DIV/0!</v>
      </c>
      <c r="BL637" s="29" t="str">
        <f t="shared" si="640"/>
        <v>#DIV/0!</v>
      </c>
      <c r="BM637" s="29" t="str">
        <f t="shared" si="3"/>
        <v>#DIV/0!</v>
      </c>
    </row>
    <row r="638">
      <c r="A638" s="16" t="str">
        <f>IFERROR(__xludf.DUMMYFUNCTION("IFERROR(SPARKLINE(SORT(MAP(TRANSPOSE(AQ638:BL638), LAMBDA(val, IF(ISNUMBER(val), PERCENTRANK(AQ638:BL638, val)+0.01, 0))), SEQUENCE(COLUMNS(AQ638:BL638)), FALSE), {""charttype"",""column""; ""color"",""chartreuse""; ""ymin"", 0; ""ymax"", 1.01; ""highcolo"&amp;"r"", ""darkgreen""; ""lowcolor"", ""red""}), """")"),"")</f>
        <v/>
      </c>
      <c r="B638" s="17" t="str">
        <f t="shared" si="4"/>
        <v/>
      </c>
      <c r="C638" s="1" t="s">
        <v>2848</v>
      </c>
      <c r="D638" s="34" t="str">
        <f>IFERROR(__xludf.DUMMYFUNCTION("IFERROR(GOOGLEFINANCE(C638, ""NAME""))"),"Columbia Banking System Inc")</f>
        <v>Columbia Banking System Inc</v>
      </c>
      <c r="E638" s="30" t="s">
        <v>268</v>
      </c>
      <c r="F638" s="33" t="str">
        <f>IFERROR(__xludf.DUMMYFUNCTION("( (GOOGLEFINANCE(C638, ""price"") - Q638) / Q638 ) / (R638 / 100)"),"Loading...")</f>
        <v>Loading...</v>
      </c>
      <c r="G638" s="20" t="str">
        <f>IFERROR(__xludf.DUMMYFUNCTION("AVERAGE(ARRAYFORMULA(100 * (QUERY(GOOGLEFINANCE(C638, ""high"", TODAY()-40, TODAY()), ""SELECT Col2 WHERE Col2 IS NOT NULL ORDER BY Col1 DESC LIMIT 20"", 0) / QUERY(GOOGLEFINANCE(C638, ""low"", TODAY()-40, TODAY()), ""SELECT Col2 WHERE Col2 IS NOT NULL OR"&amp;"DER BY Col1 DESC LIMIT 20"", 0) - 1)))"),"#N/A")</f>
        <v>#N/A</v>
      </c>
      <c r="H638" s="35" t="str">
        <f t="shared" si="6"/>
        <v/>
      </c>
      <c r="I638" s="36" t="str">
        <f t="shared" si="7"/>
        <v/>
      </c>
      <c r="J638" s="37" t="str">
        <f>IFERROR(__xludf.DUMMYFUNCTION("IFERROR(
  IF(C638="""",, 
    IFERROR(
      GOOGLEFINANCE(C638, ""price"") * GOOGLEFINANCE(C638, ""volumeavg""), 
      GOOGLEFINANCE(C638, ""price"") * AVERAGE(QUERY(GOOGLEFINANCE(C638, ""volume"", TODAY()-40, TODAY()), ""SELECT Col2 WHERE Col2 IS NOT "&amp;"NULL ORDER BY Col1 DESC LIMIT 20"", 0))
    )
  ), 
"""")"),"")</f>
        <v/>
      </c>
      <c r="K638" s="21" t="str">
        <f>IFERROR(__xludf.DUMMYFUNCTION("IFERROR(GOOGLEFINANCE(C638, ""changepct"") / 100, """")"),"")</f>
        <v/>
      </c>
      <c r="L638" s="21" t="str">
        <f>IFERROR(__xludf.DUMMYFUNCTION("IFERROR((GOOGLEFINANCE(C638, ""price"") / INDEX(GOOGLEFINANCE(C638, ""price"", TODAY()-7, TODAY()), 2, 2)) - 1, """")"),"")</f>
        <v/>
      </c>
      <c r="M638" s="21" t="str">
        <f>IFERROR(__xludf.DUMMYFUNCTION("IFERROR((GOOGLEFINANCE(C638, ""price"") / INDEX(GOOGLEFINANCE(C638, ""price"", EDATE(TODAY(), -1), TODAY()), 2, 2)) - 1, """")"),"")</f>
        <v/>
      </c>
      <c r="N638" s="21" t="str">
        <f>IFERROR(__xludf.DUMMYFUNCTION("IFERROR((GOOGLEFINANCE(C638, ""price"") / INDEX(GOOGLEFINANCE(C638, ""price"", EDATE(TODAY(), -3), TODAY()), 2, 2)) - 1, """")"),"")</f>
        <v/>
      </c>
      <c r="O638" s="21" t="str">
        <f>IFERROR(__xludf.DUMMYFUNCTION("IFERROR((GOOGLEFINANCE(C638, ""price"") / INDEX(GOOGLEFINANCE(C638, ""price"", EDATE(TODAY(), -6), TODAY()), 2, 2)) - 1, """")"),"")</f>
        <v/>
      </c>
      <c r="P638" s="21" t="str">
        <f>IFERROR(__xludf.DUMMYFUNCTION("IFERROR((GOOGLEFINANCE(C638, ""price"") / INDEX(GOOGLEFINANCE(C638, ""price"", EDATE(TODAY(), -12), TODAY()), 2, 2)) - 1, """")"),"")</f>
        <v/>
      </c>
      <c r="Q638" s="6" t="str">
        <f>IFERROR(__xludf.DUMMYFUNCTION("AVERAGE(QUERY(GOOGLEFINANCE(C638, ""price"", TODAY()-80, TODAY()), ""SELECT Col2 WHERE Col2 IS NOT NULL ORDER BY Col1 DESC LIMIT 50"", 0))"),"#N/A")</f>
        <v>#N/A</v>
      </c>
      <c r="R638" s="24" t="str">
        <f>IFERROR(__xludf.DUMMYFUNCTION("IFERROR(
  LET(
    data, QUERY(GOOGLEFINANCE(C638,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GOOGLEFINANCE(C638, ""price"")) * 100,
    IF(calc=0, G638, calc)
  ), 
G638)"),"#N/A")</f>
        <v>#N/A</v>
      </c>
      <c r="S638" s="8" t="s">
        <v>15</v>
      </c>
      <c r="T638" s="26" t="str">
        <f>IFERROR(__xludf.DUMMYFUNCTION("IFERROR(TRANSPOSE(QUERY(IFERROR(SORT(GOOGLEFINANCE(C638, ""price"", WORKDAY(TODAY(), -40), TODAY()), 1, FALSE)), ""select Col2 where Col2 is not null limit 22 label Col2 ''"", 0)), """")"),"")</f>
        <v/>
      </c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8"/>
      <c r="AO638" s="28"/>
      <c r="AP638" s="29"/>
      <c r="AQ638" s="29" t="str">
        <f t="shared" ref="AQ638:BL638" si="641">T638/T$2</f>
        <v>#N/A</v>
      </c>
      <c r="AR638" s="29" t="str">
        <f t="shared" si="641"/>
        <v>#DIV/0!</v>
      </c>
      <c r="AS638" s="29" t="str">
        <f t="shared" si="641"/>
        <v>#DIV/0!</v>
      </c>
      <c r="AT638" s="29" t="str">
        <f t="shared" si="641"/>
        <v>#DIV/0!</v>
      </c>
      <c r="AU638" s="29" t="str">
        <f t="shared" si="641"/>
        <v>#DIV/0!</v>
      </c>
      <c r="AV638" s="29" t="str">
        <f t="shared" si="641"/>
        <v>#DIV/0!</v>
      </c>
      <c r="AW638" s="29" t="str">
        <f t="shared" si="641"/>
        <v>#DIV/0!</v>
      </c>
      <c r="AX638" s="29" t="str">
        <f t="shared" si="641"/>
        <v>#DIV/0!</v>
      </c>
      <c r="AY638" s="29" t="str">
        <f t="shared" si="641"/>
        <v>#DIV/0!</v>
      </c>
      <c r="AZ638" s="29" t="str">
        <f t="shared" si="641"/>
        <v>#DIV/0!</v>
      </c>
      <c r="BA638" s="29" t="str">
        <f t="shared" si="641"/>
        <v>#DIV/0!</v>
      </c>
      <c r="BB638" s="29" t="str">
        <f t="shared" si="641"/>
        <v>#DIV/0!</v>
      </c>
      <c r="BC638" s="29" t="str">
        <f t="shared" si="641"/>
        <v>#DIV/0!</v>
      </c>
      <c r="BD638" s="29" t="str">
        <f t="shared" si="641"/>
        <v>#DIV/0!</v>
      </c>
      <c r="BE638" s="29" t="str">
        <f t="shared" si="641"/>
        <v>#DIV/0!</v>
      </c>
      <c r="BF638" s="29" t="str">
        <f t="shared" si="641"/>
        <v>#DIV/0!</v>
      </c>
      <c r="BG638" s="29" t="str">
        <f t="shared" si="641"/>
        <v>#DIV/0!</v>
      </c>
      <c r="BH638" s="29" t="str">
        <f t="shared" si="641"/>
        <v>#DIV/0!</v>
      </c>
      <c r="BI638" s="29" t="str">
        <f t="shared" si="641"/>
        <v>#DIV/0!</v>
      </c>
      <c r="BJ638" s="29" t="str">
        <f t="shared" si="641"/>
        <v>#DIV/0!</v>
      </c>
      <c r="BK638" s="29" t="str">
        <f t="shared" si="641"/>
        <v>#DIV/0!</v>
      </c>
      <c r="BL638" s="29" t="str">
        <f t="shared" si="641"/>
        <v>#DIV/0!</v>
      </c>
      <c r="BM638" s="29" t="str">
        <f t="shared" si="3"/>
        <v>#DIV/0!</v>
      </c>
    </row>
    <row r="639">
      <c r="A639" s="16" t="str">
        <f>IFERROR(__xludf.DUMMYFUNCTION("IFERROR(SPARKLINE(SORT(MAP(TRANSPOSE(AQ639:BL639), LAMBDA(val, IF(ISNUMBER(val), PERCENTRANK(AQ639:BL639, val)+0.01, 0))), SEQUENCE(COLUMNS(AQ639:BL639)), FALSE), {""charttype"",""column""; ""color"",""chartreuse""; ""ymin"", 0; ""ymax"", 1.01; ""highcolo"&amp;"r"", ""darkgreen""; ""lowcolor"", ""red""}), """")"),"")</f>
        <v/>
      </c>
      <c r="B639" s="17" t="str">
        <f t="shared" si="4"/>
        <v/>
      </c>
      <c r="C639" s="1" t="s">
        <v>2852</v>
      </c>
      <c r="D639" s="34" t="str">
        <f>IFERROR(__xludf.DUMMYFUNCTION("IFERROR(GOOGLEFINANCE(C639, ""NAME""))"),"Home Bancorp Inc")</f>
        <v>Home Bancorp Inc</v>
      </c>
      <c r="E639" s="30" t="s">
        <v>268</v>
      </c>
      <c r="F639" s="33" t="str">
        <f>IFERROR(__xludf.DUMMYFUNCTION("( (GOOGLEFINANCE(C639, ""price"") - Q639) / Q639 ) / (R639 / 100)"),"Loading...")</f>
        <v>Loading...</v>
      </c>
      <c r="G639" s="20" t="str">
        <f>IFERROR(__xludf.DUMMYFUNCTION("AVERAGE(ARRAYFORMULA(100 * (QUERY(GOOGLEFINANCE(C639, ""high"", TODAY()-40, TODAY()), ""SELECT Col2 WHERE Col2 IS NOT NULL ORDER BY Col1 DESC LIMIT 20"", 0) / QUERY(GOOGLEFINANCE(C639, ""low"", TODAY()-40, TODAY()), ""SELECT Col2 WHERE Col2 IS NOT NULL OR"&amp;"DER BY Col1 DESC LIMIT 20"", 0) - 1)))"),"#N/A")</f>
        <v>#N/A</v>
      </c>
      <c r="H639" s="35" t="str">
        <f t="shared" si="6"/>
        <v/>
      </c>
      <c r="I639" s="36" t="str">
        <f t="shared" si="7"/>
        <v/>
      </c>
      <c r="J639" s="37" t="str">
        <f>IFERROR(__xludf.DUMMYFUNCTION("IFERROR(
  IF(C639="""",, 
    IFERROR(
      GOOGLEFINANCE(C639, ""price"") * GOOGLEFINANCE(C639, ""volumeavg""), 
      GOOGLEFINANCE(C639, ""price"") * AVERAGE(QUERY(GOOGLEFINANCE(C639, ""volume"", TODAY()-40, TODAY()), ""SELECT Col2 WHERE Col2 IS NOT "&amp;"NULL ORDER BY Col1 DESC LIMIT 20"", 0))
    )
  ), 
"""")"),"")</f>
        <v/>
      </c>
      <c r="K639" s="21" t="str">
        <f>IFERROR(__xludf.DUMMYFUNCTION("IFERROR(GOOGLEFINANCE(C639, ""changepct"") / 100, """")"),"")</f>
        <v/>
      </c>
      <c r="L639" s="21" t="str">
        <f>IFERROR(__xludf.DUMMYFUNCTION("IFERROR((GOOGLEFINANCE(C639, ""price"") / INDEX(GOOGLEFINANCE(C639, ""price"", TODAY()-7, TODAY()), 2, 2)) - 1, """")"),"")</f>
        <v/>
      </c>
      <c r="M639" s="21" t="str">
        <f>IFERROR(__xludf.DUMMYFUNCTION("IFERROR((GOOGLEFINANCE(C639, ""price"") / INDEX(GOOGLEFINANCE(C639, ""price"", EDATE(TODAY(), -1), TODAY()), 2, 2)) - 1, """")"),"")</f>
        <v/>
      </c>
      <c r="N639" s="21" t="str">
        <f>IFERROR(__xludf.DUMMYFUNCTION("IFERROR((GOOGLEFINANCE(C639, ""price"") / INDEX(GOOGLEFINANCE(C639, ""price"", EDATE(TODAY(), -3), TODAY()), 2, 2)) - 1, """")"),"")</f>
        <v/>
      </c>
      <c r="O639" s="21" t="str">
        <f>IFERROR(__xludf.DUMMYFUNCTION("IFERROR((GOOGLEFINANCE(C639, ""price"") / INDEX(GOOGLEFINANCE(C639, ""price"", EDATE(TODAY(), -6), TODAY()), 2, 2)) - 1, """")"),"")</f>
        <v/>
      </c>
      <c r="P639" s="21" t="str">
        <f>IFERROR(__xludf.DUMMYFUNCTION("IFERROR((GOOGLEFINANCE(C639, ""price"") / INDEX(GOOGLEFINANCE(C639, ""price"", EDATE(TODAY(), -12), TODAY()), 2, 2)) - 1, """")"),"")</f>
        <v/>
      </c>
      <c r="Q639" s="6" t="str">
        <f>IFERROR(__xludf.DUMMYFUNCTION("AVERAGE(QUERY(GOOGLEFINANCE(C639, ""price"", TODAY()-80, TODAY()), ""SELECT Col2 WHERE Col2 IS NOT NULL ORDER BY Col1 DESC LIMIT 50"", 0))"),"#N/A")</f>
        <v>#N/A</v>
      </c>
      <c r="R639" s="24" t="str">
        <f>IFERROR(__xludf.DUMMYFUNCTION("IFERROR(
  LET(
    data, QUERY(GOOGLEFINANCE(C639,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GOOGLEFINANCE(C639, ""price"")) * 100,
    IF(calc=0, G639, calc)
  ), 
G639)"),"#N/A")</f>
        <v>#N/A</v>
      </c>
      <c r="S639" s="8" t="s">
        <v>15</v>
      </c>
      <c r="T639" s="26" t="str">
        <f>IFERROR(__xludf.DUMMYFUNCTION("IFERROR(TRANSPOSE(QUERY(IFERROR(SORT(GOOGLEFINANCE(C639, ""price"", WORKDAY(TODAY(), -40), TODAY()), 1, FALSE)), ""select Col2 where Col2 is not null limit 22 label Col2 ''"", 0)), """")"),"")</f>
        <v/>
      </c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8"/>
      <c r="AO639" s="28"/>
      <c r="AP639" s="29"/>
      <c r="AQ639" s="29" t="str">
        <f t="shared" ref="AQ639:BL639" si="642">T639/T$2</f>
        <v>#N/A</v>
      </c>
      <c r="AR639" s="29" t="str">
        <f t="shared" si="642"/>
        <v>#DIV/0!</v>
      </c>
      <c r="AS639" s="29" t="str">
        <f t="shared" si="642"/>
        <v>#DIV/0!</v>
      </c>
      <c r="AT639" s="29" t="str">
        <f t="shared" si="642"/>
        <v>#DIV/0!</v>
      </c>
      <c r="AU639" s="29" t="str">
        <f t="shared" si="642"/>
        <v>#DIV/0!</v>
      </c>
      <c r="AV639" s="29" t="str">
        <f t="shared" si="642"/>
        <v>#DIV/0!</v>
      </c>
      <c r="AW639" s="29" t="str">
        <f t="shared" si="642"/>
        <v>#DIV/0!</v>
      </c>
      <c r="AX639" s="29" t="str">
        <f t="shared" si="642"/>
        <v>#DIV/0!</v>
      </c>
      <c r="AY639" s="29" t="str">
        <f t="shared" si="642"/>
        <v>#DIV/0!</v>
      </c>
      <c r="AZ639" s="29" t="str">
        <f t="shared" si="642"/>
        <v>#DIV/0!</v>
      </c>
      <c r="BA639" s="29" t="str">
        <f t="shared" si="642"/>
        <v>#DIV/0!</v>
      </c>
      <c r="BB639" s="29" t="str">
        <f t="shared" si="642"/>
        <v>#DIV/0!</v>
      </c>
      <c r="BC639" s="29" t="str">
        <f t="shared" si="642"/>
        <v>#DIV/0!</v>
      </c>
      <c r="BD639" s="29" t="str">
        <f t="shared" si="642"/>
        <v>#DIV/0!</v>
      </c>
      <c r="BE639" s="29" t="str">
        <f t="shared" si="642"/>
        <v>#DIV/0!</v>
      </c>
      <c r="BF639" s="29" t="str">
        <f t="shared" si="642"/>
        <v>#DIV/0!</v>
      </c>
      <c r="BG639" s="29" t="str">
        <f t="shared" si="642"/>
        <v>#DIV/0!</v>
      </c>
      <c r="BH639" s="29" t="str">
        <f t="shared" si="642"/>
        <v>#DIV/0!</v>
      </c>
      <c r="BI639" s="29" t="str">
        <f t="shared" si="642"/>
        <v>#DIV/0!</v>
      </c>
      <c r="BJ639" s="29" t="str">
        <f t="shared" si="642"/>
        <v>#DIV/0!</v>
      </c>
      <c r="BK639" s="29" t="str">
        <f t="shared" si="642"/>
        <v>#DIV/0!</v>
      </c>
      <c r="BL639" s="29" t="str">
        <f t="shared" si="642"/>
        <v>#DIV/0!</v>
      </c>
      <c r="BM639" s="29" t="str">
        <f t="shared" si="3"/>
        <v>#DIV/0!</v>
      </c>
    </row>
    <row r="640">
      <c r="A640" s="16" t="str">
        <f>IFERROR(__xludf.DUMMYFUNCTION("IFERROR(SPARKLINE(SORT(MAP(TRANSPOSE(AQ640:BL640), LAMBDA(val, IF(ISNUMBER(val), PERCENTRANK(AQ640:BL640, val)+0.01, 0))), SEQUENCE(COLUMNS(AQ640:BL640)), FALSE), {""charttype"",""column""; ""color"",""chartreuse""; ""ymin"", 0; ""ymax"", 1.01; ""highcolo"&amp;"r"", ""darkgreen""; ""lowcolor"", ""red""}), """")"),"")</f>
        <v/>
      </c>
      <c r="B640" s="17" t="str">
        <f t="shared" si="4"/>
        <v/>
      </c>
      <c r="C640" s="1" t="s">
        <v>2855</v>
      </c>
      <c r="D640" s="34" t="str">
        <f>IFERROR(__xludf.DUMMYFUNCTION("IFERROR(GOOGLEFINANCE(C640, ""NAME""))"),"MGIC Investment Corp")</f>
        <v>MGIC Investment Corp</v>
      </c>
      <c r="E640" s="30" t="s">
        <v>276</v>
      </c>
      <c r="F640" s="33" t="str">
        <f>IFERROR(__xludf.DUMMYFUNCTION("( (GOOGLEFINANCE(C640, ""price"") - Q640) / Q640 ) / (R640 / 100)"),"Loading...")</f>
        <v>Loading...</v>
      </c>
      <c r="G640" s="20" t="str">
        <f>IFERROR(__xludf.DUMMYFUNCTION("AVERAGE(ARRAYFORMULA(100 * (QUERY(GOOGLEFINANCE(C640, ""high"", TODAY()-40, TODAY()), ""SELECT Col2 WHERE Col2 IS NOT NULL ORDER BY Col1 DESC LIMIT 20"", 0) / QUERY(GOOGLEFINANCE(C640, ""low"", TODAY()-40, TODAY()), ""SELECT Col2 WHERE Col2 IS NOT NULL OR"&amp;"DER BY Col1 DESC LIMIT 20"", 0) - 1)))"),"#N/A")</f>
        <v>#N/A</v>
      </c>
      <c r="H640" s="35" t="str">
        <f t="shared" si="6"/>
        <v/>
      </c>
      <c r="I640" s="36" t="str">
        <f t="shared" si="7"/>
        <v/>
      </c>
      <c r="J640" s="37" t="str">
        <f>IFERROR(__xludf.DUMMYFUNCTION("IFERROR(
  IF(C640="""",, 
    IFERROR(
      GOOGLEFINANCE(C640, ""price"") * GOOGLEFINANCE(C640, ""volumeavg""), 
      GOOGLEFINANCE(C640, ""price"") * AVERAGE(QUERY(GOOGLEFINANCE(C640, ""volume"", TODAY()-40, TODAY()), ""SELECT Col2 WHERE Col2 IS NOT "&amp;"NULL ORDER BY Col1 DESC LIMIT 20"", 0))
    )
  ), 
"""")"),"")</f>
        <v/>
      </c>
      <c r="K640" s="21" t="str">
        <f>IFERROR(__xludf.DUMMYFUNCTION("IFERROR(GOOGLEFINANCE(C640, ""changepct"") / 100, """")"),"")</f>
        <v/>
      </c>
      <c r="L640" s="21" t="str">
        <f>IFERROR(__xludf.DUMMYFUNCTION("IFERROR((GOOGLEFINANCE(C640, ""price"") / INDEX(GOOGLEFINANCE(C640, ""price"", TODAY()-7, TODAY()), 2, 2)) - 1, """")"),"")</f>
        <v/>
      </c>
      <c r="M640" s="21" t="str">
        <f>IFERROR(__xludf.DUMMYFUNCTION("IFERROR((GOOGLEFINANCE(C640, ""price"") / INDEX(GOOGLEFINANCE(C640, ""price"", EDATE(TODAY(), -1), TODAY()), 2, 2)) - 1, """")"),"")</f>
        <v/>
      </c>
      <c r="N640" s="21" t="str">
        <f>IFERROR(__xludf.DUMMYFUNCTION("IFERROR((GOOGLEFINANCE(C640, ""price"") / INDEX(GOOGLEFINANCE(C640, ""price"", EDATE(TODAY(), -3), TODAY()), 2, 2)) - 1, """")"),"")</f>
        <v/>
      </c>
      <c r="O640" s="21" t="str">
        <f>IFERROR(__xludf.DUMMYFUNCTION("IFERROR((GOOGLEFINANCE(C640, ""price"") / INDEX(GOOGLEFINANCE(C640, ""price"", EDATE(TODAY(), -6), TODAY()), 2, 2)) - 1, """")"),"")</f>
        <v/>
      </c>
      <c r="P640" s="21" t="str">
        <f>IFERROR(__xludf.DUMMYFUNCTION("IFERROR((GOOGLEFINANCE(C640, ""price"") / INDEX(GOOGLEFINANCE(C640, ""price"", EDATE(TODAY(), -12), TODAY()), 2, 2)) - 1, """")"),"")</f>
        <v/>
      </c>
      <c r="Q640" s="6" t="str">
        <f>IFERROR(__xludf.DUMMYFUNCTION("AVERAGE(QUERY(GOOGLEFINANCE(C640, ""price"", TODAY()-80, TODAY()), ""SELECT Col2 WHERE Col2 IS NOT NULL ORDER BY Col1 DESC LIMIT 50"", 0))"),"#N/A")</f>
        <v>#N/A</v>
      </c>
      <c r="R640" s="24" t="str">
        <f>IFERROR(__xludf.DUMMYFUNCTION("IFERROR(
  LET(
    data, QUERY(GOOGLEFINANCE(C640,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GOOGLEFINANCE(C640, ""price"")) * 100,
    IF(calc=0, G640, calc)
  ), 
G640)"),"#N/A")</f>
        <v>#N/A</v>
      </c>
      <c r="S640" s="8" t="s">
        <v>15</v>
      </c>
      <c r="T640" s="26" t="str">
        <f>IFERROR(__xludf.DUMMYFUNCTION("IFERROR(TRANSPOSE(QUERY(IFERROR(SORT(GOOGLEFINANCE(C640, ""price"", WORKDAY(TODAY(), -40), TODAY()), 1, FALSE)), ""select Col2 where Col2 is not null limit 22 label Col2 ''"", 0)), """")"),"")</f>
        <v/>
      </c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8"/>
      <c r="AO640" s="28"/>
      <c r="AP640" s="29"/>
      <c r="AQ640" s="29" t="str">
        <f t="shared" ref="AQ640:BL640" si="643">T640/T$2</f>
        <v>#N/A</v>
      </c>
      <c r="AR640" s="29" t="str">
        <f t="shared" si="643"/>
        <v>#DIV/0!</v>
      </c>
      <c r="AS640" s="29" t="str">
        <f t="shared" si="643"/>
        <v>#DIV/0!</v>
      </c>
      <c r="AT640" s="29" t="str">
        <f t="shared" si="643"/>
        <v>#DIV/0!</v>
      </c>
      <c r="AU640" s="29" t="str">
        <f t="shared" si="643"/>
        <v>#DIV/0!</v>
      </c>
      <c r="AV640" s="29" t="str">
        <f t="shared" si="643"/>
        <v>#DIV/0!</v>
      </c>
      <c r="AW640" s="29" t="str">
        <f t="shared" si="643"/>
        <v>#DIV/0!</v>
      </c>
      <c r="AX640" s="29" t="str">
        <f t="shared" si="643"/>
        <v>#DIV/0!</v>
      </c>
      <c r="AY640" s="29" t="str">
        <f t="shared" si="643"/>
        <v>#DIV/0!</v>
      </c>
      <c r="AZ640" s="29" t="str">
        <f t="shared" si="643"/>
        <v>#DIV/0!</v>
      </c>
      <c r="BA640" s="29" t="str">
        <f t="shared" si="643"/>
        <v>#DIV/0!</v>
      </c>
      <c r="BB640" s="29" t="str">
        <f t="shared" si="643"/>
        <v>#DIV/0!</v>
      </c>
      <c r="BC640" s="29" t="str">
        <f t="shared" si="643"/>
        <v>#DIV/0!</v>
      </c>
      <c r="BD640" s="29" t="str">
        <f t="shared" si="643"/>
        <v>#DIV/0!</v>
      </c>
      <c r="BE640" s="29" t="str">
        <f t="shared" si="643"/>
        <v>#DIV/0!</v>
      </c>
      <c r="BF640" s="29" t="str">
        <f t="shared" si="643"/>
        <v>#DIV/0!</v>
      </c>
      <c r="BG640" s="29" t="str">
        <f t="shared" si="643"/>
        <v>#DIV/0!</v>
      </c>
      <c r="BH640" s="29" t="str">
        <f t="shared" si="643"/>
        <v>#DIV/0!</v>
      </c>
      <c r="BI640" s="29" t="str">
        <f t="shared" si="643"/>
        <v>#DIV/0!</v>
      </c>
      <c r="BJ640" s="29" t="str">
        <f t="shared" si="643"/>
        <v>#DIV/0!</v>
      </c>
      <c r="BK640" s="29" t="str">
        <f t="shared" si="643"/>
        <v>#DIV/0!</v>
      </c>
      <c r="BL640" s="29" t="str">
        <f t="shared" si="643"/>
        <v>#DIV/0!</v>
      </c>
      <c r="BM640" s="29" t="str">
        <f t="shared" si="3"/>
        <v>#DIV/0!</v>
      </c>
    </row>
    <row r="641">
      <c r="A641" s="16" t="str">
        <f>IFERROR(__xludf.DUMMYFUNCTION("IFERROR(SPARKLINE(SORT(MAP(TRANSPOSE(AQ641:BL641), LAMBDA(val, IF(ISNUMBER(val), PERCENTRANK(AQ641:BL641, val)+0.01, 0))), SEQUENCE(COLUMNS(AQ641:BL641)), FALSE), {""charttype"",""column""; ""color"",""chartreuse""; ""ymin"", 0; ""ymax"", 1.01; ""highcolo"&amp;"r"", ""darkgreen""; ""lowcolor"", ""red""}), """")"),"")</f>
        <v/>
      </c>
      <c r="B641" s="17" t="str">
        <f t="shared" si="4"/>
        <v/>
      </c>
      <c r="C641" s="1" t="s">
        <v>2859</v>
      </c>
      <c r="D641" s="34" t="str">
        <f>IFERROR(__xludf.DUMMYFUNCTION("IFERROR(GOOGLEFINANCE(C641, ""NAME""))"),"Bank of NT Butterfield &amp; Son Ltd")</f>
        <v>Bank of NT Butterfield &amp; Son Ltd</v>
      </c>
      <c r="E641" s="30" t="s">
        <v>236</v>
      </c>
      <c r="F641" s="33" t="str">
        <f>IFERROR(__xludf.DUMMYFUNCTION("( (GOOGLEFINANCE(C641, ""price"") - Q641) / Q641 ) / (R641 / 100)"),"Loading...")</f>
        <v>Loading...</v>
      </c>
      <c r="G641" s="20" t="str">
        <f>IFERROR(__xludf.DUMMYFUNCTION("AVERAGE(ARRAYFORMULA(100 * (QUERY(GOOGLEFINANCE(C641, ""high"", TODAY()-40, TODAY()), ""SELECT Col2 WHERE Col2 IS NOT NULL ORDER BY Col1 DESC LIMIT 20"", 0) / QUERY(GOOGLEFINANCE(C641, ""low"", TODAY()-40, TODAY()), ""SELECT Col2 WHERE Col2 IS NOT NULL OR"&amp;"DER BY Col1 DESC LIMIT 20"", 0) - 1)))"),"#N/A")</f>
        <v>#N/A</v>
      </c>
      <c r="H641" s="35" t="str">
        <f t="shared" si="6"/>
        <v/>
      </c>
      <c r="I641" s="36" t="str">
        <f t="shared" si="7"/>
        <v/>
      </c>
      <c r="J641" s="37" t="str">
        <f>IFERROR(__xludf.DUMMYFUNCTION("IFERROR(
  IF(C641="""",, 
    IFERROR(
      GOOGLEFINANCE(C641, ""price"") * GOOGLEFINANCE(C641, ""volumeavg""), 
      GOOGLEFINANCE(C641, ""price"") * AVERAGE(QUERY(GOOGLEFINANCE(C641, ""volume"", TODAY()-40, TODAY()), ""SELECT Col2 WHERE Col2 IS NOT "&amp;"NULL ORDER BY Col1 DESC LIMIT 20"", 0))
    )
  ), 
"""")"),"")</f>
        <v/>
      </c>
      <c r="K641" s="21" t="str">
        <f>IFERROR(__xludf.DUMMYFUNCTION("IFERROR(GOOGLEFINANCE(C641, ""changepct"") / 100, """")"),"")</f>
        <v/>
      </c>
      <c r="L641" s="21" t="str">
        <f>IFERROR(__xludf.DUMMYFUNCTION("IFERROR((GOOGLEFINANCE(C641, ""price"") / INDEX(GOOGLEFINANCE(C641, ""price"", TODAY()-7, TODAY()), 2, 2)) - 1, """")"),"")</f>
        <v/>
      </c>
      <c r="M641" s="21" t="str">
        <f>IFERROR(__xludf.DUMMYFUNCTION("IFERROR((GOOGLEFINANCE(C641, ""price"") / INDEX(GOOGLEFINANCE(C641, ""price"", EDATE(TODAY(), -1), TODAY()), 2, 2)) - 1, """")"),"")</f>
        <v/>
      </c>
      <c r="N641" s="21" t="str">
        <f>IFERROR(__xludf.DUMMYFUNCTION("IFERROR((GOOGLEFINANCE(C641, ""price"") / INDEX(GOOGLEFINANCE(C641, ""price"", EDATE(TODAY(), -3), TODAY()), 2, 2)) - 1, """")"),"")</f>
        <v/>
      </c>
      <c r="O641" s="21" t="str">
        <f>IFERROR(__xludf.DUMMYFUNCTION("IFERROR((GOOGLEFINANCE(C641, ""price"") / INDEX(GOOGLEFINANCE(C641, ""price"", EDATE(TODAY(), -6), TODAY()), 2, 2)) - 1, """")"),"")</f>
        <v/>
      </c>
      <c r="P641" s="21" t="str">
        <f>IFERROR(__xludf.DUMMYFUNCTION("IFERROR((GOOGLEFINANCE(C641, ""price"") / INDEX(GOOGLEFINANCE(C641, ""price"", EDATE(TODAY(), -12), TODAY()), 2, 2)) - 1, """")"),"")</f>
        <v/>
      </c>
      <c r="Q641" s="6" t="str">
        <f>IFERROR(__xludf.DUMMYFUNCTION("AVERAGE(QUERY(GOOGLEFINANCE(C641, ""price"", TODAY()-80, TODAY()), ""SELECT Col2 WHERE Col2 IS NOT NULL ORDER BY Col1 DESC LIMIT 50"", 0))"),"#N/A")</f>
        <v>#N/A</v>
      </c>
      <c r="R641" s="24" t="str">
        <f>IFERROR(__xludf.DUMMYFUNCTION("IFERROR(
  LET(
    data, QUERY(GOOGLEFINANCE(C641,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GOOGLEFINANCE(C641, ""price"")) * 100,
    IF(calc=0, G641, calc)
  ), 
G641)"),"#N/A")</f>
        <v>#N/A</v>
      </c>
      <c r="S641" s="8" t="s">
        <v>15</v>
      </c>
      <c r="T641" s="26" t="str">
        <f>IFERROR(__xludf.DUMMYFUNCTION("IFERROR(TRANSPOSE(QUERY(IFERROR(SORT(GOOGLEFINANCE(C641, ""price"", WORKDAY(TODAY(), -40), TODAY()), 1, FALSE)), ""select Col2 where Col2 is not null limit 22 label Col2 ''"", 0)), """")"),"")</f>
        <v/>
      </c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8"/>
      <c r="AO641" s="28"/>
      <c r="AP641" s="29"/>
      <c r="AQ641" s="29" t="str">
        <f t="shared" ref="AQ641:BL641" si="644">T641/T$2</f>
        <v>#N/A</v>
      </c>
      <c r="AR641" s="29" t="str">
        <f t="shared" si="644"/>
        <v>#DIV/0!</v>
      </c>
      <c r="AS641" s="29" t="str">
        <f t="shared" si="644"/>
        <v>#DIV/0!</v>
      </c>
      <c r="AT641" s="29" t="str">
        <f t="shared" si="644"/>
        <v>#DIV/0!</v>
      </c>
      <c r="AU641" s="29" t="str">
        <f t="shared" si="644"/>
        <v>#DIV/0!</v>
      </c>
      <c r="AV641" s="29" t="str">
        <f t="shared" si="644"/>
        <v>#DIV/0!</v>
      </c>
      <c r="AW641" s="29" t="str">
        <f t="shared" si="644"/>
        <v>#DIV/0!</v>
      </c>
      <c r="AX641" s="29" t="str">
        <f t="shared" si="644"/>
        <v>#DIV/0!</v>
      </c>
      <c r="AY641" s="29" t="str">
        <f t="shared" si="644"/>
        <v>#DIV/0!</v>
      </c>
      <c r="AZ641" s="29" t="str">
        <f t="shared" si="644"/>
        <v>#DIV/0!</v>
      </c>
      <c r="BA641" s="29" t="str">
        <f t="shared" si="644"/>
        <v>#DIV/0!</v>
      </c>
      <c r="BB641" s="29" t="str">
        <f t="shared" si="644"/>
        <v>#DIV/0!</v>
      </c>
      <c r="BC641" s="29" t="str">
        <f t="shared" si="644"/>
        <v>#DIV/0!</v>
      </c>
      <c r="BD641" s="29" t="str">
        <f t="shared" si="644"/>
        <v>#DIV/0!</v>
      </c>
      <c r="BE641" s="29" t="str">
        <f t="shared" si="644"/>
        <v>#DIV/0!</v>
      </c>
      <c r="BF641" s="29" t="str">
        <f t="shared" si="644"/>
        <v>#DIV/0!</v>
      </c>
      <c r="BG641" s="29" t="str">
        <f t="shared" si="644"/>
        <v>#DIV/0!</v>
      </c>
      <c r="BH641" s="29" t="str">
        <f t="shared" si="644"/>
        <v>#DIV/0!</v>
      </c>
      <c r="BI641" s="29" t="str">
        <f t="shared" si="644"/>
        <v>#DIV/0!</v>
      </c>
      <c r="BJ641" s="29" t="str">
        <f t="shared" si="644"/>
        <v>#DIV/0!</v>
      </c>
      <c r="BK641" s="29" t="str">
        <f t="shared" si="644"/>
        <v>#DIV/0!</v>
      </c>
      <c r="BL641" s="29" t="str">
        <f t="shared" si="644"/>
        <v>#DIV/0!</v>
      </c>
      <c r="BM641" s="29" t="str">
        <f t="shared" si="3"/>
        <v>#DIV/0!</v>
      </c>
    </row>
    <row r="642">
      <c r="A642" s="16" t="str">
        <f>IFERROR(__xludf.DUMMYFUNCTION("IFERROR(SPARKLINE(SORT(MAP(TRANSPOSE(AQ642:BL642), LAMBDA(val, IF(ISNUMBER(val), PERCENTRANK(AQ642:BL642, val)+0.01, 0))), SEQUENCE(COLUMNS(AQ642:BL642)), FALSE), {""charttype"",""column""; ""color"",""chartreuse""; ""ymin"", 0; ""ymax"", 1.01; ""highcolo"&amp;"r"", ""darkgreen""; ""lowcolor"", ""red""}), """")"),"")</f>
        <v/>
      </c>
      <c r="B642" s="17" t="str">
        <f t="shared" si="4"/>
        <v/>
      </c>
      <c r="C642" s="1" t="s">
        <v>2863</v>
      </c>
      <c r="D642" s="34" t="str">
        <f>IFERROR(__xludf.DUMMYFUNCTION("IFERROR(GOOGLEFINANCE(C642, ""NAME""))"),"Corebridge Financial Inc")</f>
        <v>Corebridge Financial Inc</v>
      </c>
      <c r="E642" s="30" t="s">
        <v>64</v>
      </c>
      <c r="F642" s="33" t="str">
        <f>IFERROR(__xludf.DUMMYFUNCTION("( (GOOGLEFINANCE(C642, ""price"") - Q642) / Q642 ) / (R642 / 100)"),"Loading...")</f>
        <v>Loading...</v>
      </c>
      <c r="G642" s="20" t="str">
        <f>IFERROR(__xludf.DUMMYFUNCTION("AVERAGE(ARRAYFORMULA(100 * (QUERY(GOOGLEFINANCE(C642, ""high"", TODAY()-40, TODAY()), ""SELECT Col2 WHERE Col2 IS NOT NULL ORDER BY Col1 DESC LIMIT 20"", 0) / QUERY(GOOGLEFINANCE(C642, ""low"", TODAY()-40, TODAY()), ""SELECT Col2 WHERE Col2 IS NOT NULL OR"&amp;"DER BY Col1 DESC LIMIT 20"", 0) - 1)))"),"#N/A")</f>
        <v>#N/A</v>
      </c>
      <c r="H642" s="35" t="str">
        <f t="shared" si="6"/>
        <v/>
      </c>
      <c r="I642" s="36" t="str">
        <f t="shared" si="7"/>
        <v/>
      </c>
      <c r="J642" s="37" t="str">
        <f>IFERROR(__xludf.DUMMYFUNCTION("IFERROR(
  IF(C642="""",, 
    IFERROR(
      GOOGLEFINANCE(C642, ""price"") * GOOGLEFINANCE(C642, ""volumeavg""), 
      GOOGLEFINANCE(C642, ""price"") * AVERAGE(QUERY(GOOGLEFINANCE(C642, ""volume"", TODAY()-40, TODAY()), ""SELECT Col2 WHERE Col2 IS NOT "&amp;"NULL ORDER BY Col1 DESC LIMIT 20"", 0))
    )
  ), 
"""")"),"")</f>
        <v/>
      </c>
      <c r="K642" s="21" t="str">
        <f>IFERROR(__xludf.DUMMYFUNCTION("IFERROR(GOOGLEFINANCE(C642, ""changepct"") / 100, """")"),"")</f>
        <v/>
      </c>
      <c r="L642" s="21" t="str">
        <f>IFERROR(__xludf.DUMMYFUNCTION("IFERROR((GOOGLEFINANCE(C642, ""price"") / INDEX(GOOGLEFINANCE(C642, ""price"", TODAY()-7, TODAY()), 2, 2)) - 1, """")"),"")</f>
        <v/>
      </c>
      <c r="M642" s="21" t="str">
        <f>IFERROR(__xludf.DUMMYFUNCTION("IFERROR((GOOGLEFINANCE(C642, ""price"") / INDEX(GOOGLEFINANCE(C642, ""price"", EDATE(TODAY(), -1), TODAY()), 2, 2)) - 1, """")"),"")</f>
        <v/>
      </c>
      <c r="N642" s="21" t="str">
        <f>IFERROR(__xludf.DUMMYFUNCTION("IFERROR((GOOGLEFINANCE(C642, ""price"") / INDEX(GOOGLEFINANCE(C642, ""price"", EDATE(TODAY(), -3), TODAY()), 2, 2)) - 1, """")"),"")</f>
        <v/>
      </c>
      <c r="O642" s="21" t="str">
        <f>IFERROR(__xludf.DUMMYFUNCTION("IFERROR((GOOGLEFINANCE(C642, ""price"") / INDEX(GOOGLEFINANCE(C642, ""price"", EDATE(TODAY(), -6), TODAY()), 2, 2)) - 1, """")"),"")</f>
        <v/>
      </c>
      <c r="P642" s="21" t="str">
        <f>IFERROR(__xludf.DUMMYFUNCTION("IFERROR((GOOGLEFINANCE(C642, ""price"") / INDEX(GOOGLEFINANCE(C642, ""price"", EDATE(TODAY(), -12), TODAY()), 2, 2)) - 1, """")"),"")</f>
        <v/>
      </c>
      <c r="Q642" s="6" t="str">
        <f>IFERROR(__xludf.DUMMYFUNCTION("AVERAGE(QUERY(GOOGLEFINANCE(C642, ""price"", TODAY()-80, TODAY()), ""SELECT Col2 WHERE Col2 IS NOT NULL ORDER BY Col1 DESC LIMIT 50"", 0))"),"#N/A")</f>
        <v>#N/A</v>
      </c>
      <c r="R642" s="24" t="str">
        <f>IFERROR(__xludf.DUMMYFUNCTION("IFERROR(
  LET(
    data, QUERY(GOOGLEFINANCE(C642,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GOOGLEFINANCE(C642, ""price"")) * 100,
    IF(calc=0, G642, calc)
  ), 
G642)"),"#N/A")</f>
        <v>#N/A</v>
      </c>
      <c r="S642" s="8" t="s">
        <v>15</v>
      </c>
      <c r="T642" s="26" t="str">
        <f>IFERROR(__xludf.DUMMYFUNCTION("IFERROR(TRANSPOSE(QUERY(IFERROR(SORT(GOOGLEFINANCE(C642, ""price"", WORKDAY(TODAY(), -40), TODAY()), 1, FALSE)), ""select Col2 where Col2 is not null limit 22 label Col2 ''"", 0)), """")"),"")</f>
        <v/>
      </c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8"/>
      <c r="AO642" s="28"/>
      <c r="AP642" s="29"/>
      <c r="AQ642" s="29" t="str">
        <f t="shared" ref="AQ642:BL642" si="645">T642/T$2</f>
        <v>#N/A</v>
      </c>
      <c r="AR642" s="29" t="str">
        <f t="shared" si="645"/>
        <v>#DIV/0!</v>
      </c>
      <c r="AS642" s="29" t="str">
        <f t="shared" si="645"/>
        <v>#DIV/0!</v>
      </c>
      <c r="AT642" s="29" t="str">
        <f t="shared" si="645"/>
        <v>#DIV/0!</v>
      </c>
      <c r="AU642" s="29" t="str">
        <f t="shared" si="645"/>
        <v>#DIV/0!</v>
      </c>
      <c r="AV642" s="29" t="str">
        <f t="shared" si="645"/>
        <v>#DIV/0!</v>
      </c>
      <c r="AW642" s="29" t="str">
        <f t="shared" si="645"/>
        <v>#DIV/0!</v>
      </c>
      <c r="AX642" s="29" t="str">
        <f t="shared" si="645"/>
        <v>#DIV/0!</v>
      </c>
      <c r="AY642" s="29" t="str">
        <f t="shared" si="645"/>
        <v>#DIV/0!</v>
      </c>
      <c r="AZ642" s="29" t="str">
        <f t="shared" si="645"/>
        <v>#DIV/0!</v>
      </c>
      <c r="BA642" s="29" t="str">
        <f t="shared" si="645"/>
        <v>#DIV/0!</v>
      </c>
      <c r="BB642" s="29" t="str">
        <f t="shared" si="645"/>
        <v>#DIV/0!</v>
      </c>
      <c r="BC642" s="29" t="str">
        <f t="shared" si="645"/>
        <v>#DIV/0!</v>
      </c>
      <c r="BD642" s="29" t="str">
        <f t="shared" si="645"/>
        <v>#DIV/0!</v>
      </c>
      <c r="BE642" s="29" t="str">
        <f t="shared" si="645"/>
        <v>#DIV/0!</v>
      </c>
      <c r="BF642" s="29" t="str">
        <f t="shared" si="645"/>
        <v>#DIV/0!</v>
      </c>
      <c r="BG642" s="29" t="str">
        <f t="shared" si="645"/>
        <v>#DIV/0!</v>
      </c>
      <c r="BH642" s="29" t="str">
        <f t="shared" si="645"/>
        <v>#DIV/0!</v>
      </c>
      <c r="BI642" s="29" t="str">
        <f t="shared" si="645"/>
        <v>#DIV/0!</v>
      </c>
      <c r="BJ642" s="29" t="str">
        <f t="shared" si="645"/>
        <v>#DIV/0!</v>
      </c>
      <c r="BK642" s="29" t="str">
        <f t="shared" si="645"/>
        <v>#DIV/0!</v>
      </c>
      <c r="BL642" s="29" t="str">
        <f t="shared" si="645"/>
        <v>#DIV/0!</v>
      </c>
      <c r="BM642" s="29" t="str">
        <f t="shared" si="3"/>
        <v>#DIV/0!</v>
      </c>
    </row>
    <row r="643">
      <c r="A643" s="16" t="str">
        <f>IFERROR(__xludf.DUMMYFUNCTION("IFERROR(SPARKLINE(SORT(MAP(TRANSPOSE(AQ643:BL643), LAMBDA(val, IF(ISNUMBER(val), PERCENTRANK(AQ643:BL643, val)+0.01, 0))), SEQUENCE(COLUMNS(AQ643:BL643)), FALSE), {""charttype"",""column""; ""color"",""chartreuse""; ""ymin"", 0; ""ymax"", 1.01; ""highcolo"&amp;"r"", ""darkgreen""; ""lowcolor"", ""red""}), """")"),"")</f>
        <v/>
      </c>
      <c r="B643" s="17" t="str">
        <f t="shared" si="4"/>
        <v/>
      </c>
      <c r="C643" s="1" t="s">
        <v>2867</v>
      </c>
      <c r="D643" s="34" t="str">
        <f>IFERROR(__xludf.DUMMYFUNCTION("IFERROR(GOOGLEFINANCE(C643, ""NAME""))"),"Shinhan Financial Group Co Ltd")</f>
        <v>Shinhan Financial Group Co Ltd</v>
      </c>
      <c r="E643" s="30" t="s">
        <v>268</v>
      </c>
      <c r="F643" s="33" t="str">
        <f>IFERROR(__xludf.DUMMYFUNCTION("( (GOOGLEFINANCE(C643, ""price"") - Q643) / Q643 ) / (R643 / 100)"),"Loading...")</f>
        <v>Loading...</v>
      </c>
      <c r="G643" s="20" t="str">
        <f>IFERROR(__xludf.DUMMYFUNCTION("AVERAGE(ARRAYFORMULA(100 * (QUERY(GOOGLEFINANCE(C643, ""high"", TODAY()-40, TODAY()), ""SELECT Col2 WHERE Col2 IS NOT NULL ORDER BY Col1 DESC LIMIT 20"", 0) / QUERY(GOOGLEFINANCE(C643, ""low"", TODAY()-40, TODAY()), ""SELECT Col2 WHERE Col2 IS NOT NULL OR"&amp;"DER BY Col1 DESC LIMIT 20"", 0) - 1)))"),"#N/A")</f>
        <v>#N/A</v>
      </c>
      <c r="H643" s="35" t="str">
        <f t="shared" si="6"/>
        <v/>
      </c>
      <c r="I643" s="36" t="str">
        <f t="shared" si="7"/>
        <v/>
      </c>
      <c r="J643" s="37" t="str">
        <f>IFERROR(__xludf.DUMMYFUNCTION("IFERROR(
  IF(C643="""",, 
    IFERROR(
      GOOGLEFINANCE(C643, ""price"") * GOOGLEFINANCE(C643, ""volumeavg""), 
      GOOGLEFINANCE(C643, ""price"") * AVERAGE(QUERY(GOOGLEFINANCE(C643, ""volume"", TODAY()-40, TODAY()), ""SELECT Col2 WHERE Col2 IS NOT "&amp;"NULL ORDER BY Col1 DESC LIMIT 20"", 0))
    )
  ), 
"""")"),"")</f>
        <v/>
      </c>
      <c r="K643" s="21" t="str">
        <f>IFERROR(__xludf.DUMMYFUNCTION("IFERROR(GOOGLEFINANCE(C643, ""changepct"") / 100, """")"),"")</f>
        <v/>
      </c>
      <c r="L643" s="21" t="str">
        <f>IFERROR(__xludf.DUMMYFUNCTION("IFERROR((GOOGLEFINANCE(C643, ""price"") / INDEX(GOOGLEFINANCE(C643, ""price"", TODAY()-7, TODAY()), 2, 2)) - 1, """")"),"")</f>
        <v/>
      </c>
      <c r="M643" s="21" t="str">
        <f>IFERROR(__xludf.DUMMYFUNCTION("IFERROR((GOOGLEFINANCE(C643, ""price"") / INDEX(GOOGLEFINANCE(C643, ""price"", EDATE(TODAY(), -1), TODAY()), 2, 2)) - 1, """")"),"")</f>
        <v/>
      </c>
      <c r="N643" s="21" t="str">
        <f>IFERROR(__xludf.DUMMYFUNCTION("IFERROR((GOOGLEFINANCE(C643, ""price"") / INDEX(GOOGLEFINANCE(C643, ""price"", EDATE(TODAY(), -3), TODAY()), 2, 2)) - 1, """")"),"")</f>
        <v/>
      </c>
      <c r="O643" s="21" t="str">
        <f>IFERROR(__xludf.DUMMYFUNCTION("IFERROR((GOOGLEFINANCE(C643, ""price"") / INDEX(GOOGLEFINANCE(C643, ""price"", EDATE(TODAY(), -6), TODAY()), 2, 2)) - 1, """")"),"")</f>
        <v/>
      </c>
      <c r="P643" s="21" t="str">
        <f>IFERROR(__xludf.DUMMYFUNCTION("IFERROR((GOOGLEFINANCE(C643, ""price"") / INDEX(GOOGLEFINANCE(C643, ""price"", EDATE(TODAY(), -12), TODAY()), 2, 2)) - 1, """")"),"")</f>
        <v/>
      </c>
      <c r="Q643" s="6" t="str">
        <f>IFERROR(__xludf.DUMMYFUNCTION("AVERAGE(QUERY(GOOGLEFINANCE(C643, ""price"", TODAY()-80, TODAY()), ""SELECT Col2 WHERE Col2 IS NOT NULL ORDER BY Col1 DESC LIMIT 50"", 0))"),"#N/A")</f>
        <v>#N/A</v>
      </c>
      <c r="R643" s="24" t="str">
        <f>IFERROR(__xludf.DUMMYFUNCTION("IFERROR(
  LET(
    data, QUERY(GOOGLEFINANCE(C643,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GOOGLEFINANCE(C643, ""price"")) * 100,
    IF(calc=0, G643, calc)
  ), 
G643)"),"#N/A")</f>
        <v>#N/A</v>
      </c>
      <c r="S643" s="8" t="s">
        <v>15</v>
      </c>
      <c r="T643" s="26" t="str">
        <f>IFERROR(__xludf.DUMMYFUNCTION("IFERROR(TRANSPOSE(QUERY(IFERROR(SORT(GOOGLEFINANCE(C643, ""price"", WORKDAY(TODAY(), -40), TODAY()), 1, FALSE)), ""select Col2 where Col2 is not null limit 22 label Col2 ''"", 0)), """")"),"")</f>
        <v/>
      </c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8"/>
      <c r="AO643" s="28"/>
      <c r="AP643" s="29"/>
      <c r="AQ643" s="29" t="str">
        <f t="shared" ref="AQ643:BL643" si="646">T643/T$2</f>
        <v>#N/A</v>
      </c>
      <c r="AR643" s="29" t="str">
        <f t="shared" si="646"/>
        <v>#DIV/0!</v>
      </c>
      <c r="AS643" s="29" t="str">
        <f t="shared" si="646"/>
        <v>#DIV/0!</v>
      </c>
      <c r="AT643" s="29" t="str">
        <f t="shared" si="646"/>
        <v>#DIV/0!</v>
      </c>
      <c r="AU643" s="29" t="str">
        <f t="shared" si="646"/>
        <v>#DIV/0!</v>
      </c>
      <c r="AV643" s="29" t="str">
        <f t="shared" si="646"/>
        <v>#DIV/0!</v>
      </c>
      <c r="AW643" s="29" t="str">
        <f t="shared" si="646"/>
        <v>#DIV/0!</v>
      </c>
      <c r="AX643" s="29" t="str">
        <f t="shared" si="646"/>
        <v>#DIV/0!</v>
      </c>
      <c r="AY643" s="29" t="str">
        <f t="shared" si="646"/>
        <v>#DIV/0!</v>
      </c>
      <c r="AZ643" s="29" t="str">
        <f t="shared" si="646"/>
        <v>#DIV/0!</v>
      </c>
      <c r="BA643" s="29" t="str">
        <f t="shared" si="646"/>
        <v>#DIV/0!</v>
      </c>
      <c r="BB643" s="29" t="str">
        <f t="shared" si="646"/>
        <v>#DIV/0!</v>
      </c>
      <c r="BC643" s="29" t="str">
        <f t="shared" si="646"/>
        <v>#DIV/0!</v>
      </c>
      <c r="BD643" s="29" t="str">
        <f t="shared" si="646"/>
        <v>#DIV/0!</v>
      </c>
      <c r="BE643" s="29" t="str">
        <f t="shared" si="646"/>
        <v>#DIV/0!</v>
      </c>
      <c r="BF643" s="29" t="str">
        <f t="shared" si="646"/>
        <v>#DIV/0!</v>
      </c>
      <c r="BG643" s="29" t="str">
        <f t="shared" si="646"/>
        <v>#DIV/0!</v>
      </c>
      <c r="BH643" s="29" t="str">
        <f t="shared" si="646"/>
        <v>#DIV/0!</v>
      </c>
      <c r="BI643" s="29" t="str">
        <f t="shared" si="646"/>
        <v>#DIV/0!</v>
      </c>
      <c r="BJ643" s="29" t="str">
        <f t="shared" si="646"/>
        <v>#DIV/0!</v>
      </c>
      <c r="BK643" s="29" t="str">
        <f t="shared" si="646"/>
        <v>#DIV/0!</v>
      </c>
      <c r="BL643" s="29" t="str">
        <f t="shared" si="646"/>
        <v>#DIV/0!</v>
      </c>
      <c r="BM643" s="29" t="str">
        <f t="shared" si="3"/>
        <v>#DIV/0!</v>
      </c>
    </row>
    <row r="644">
      <c r="A644" s="16" t="str">
        <f>IFERROR(__xludf.DUMMYFUNCTION("IFERROR(SPARKLINE(SORT(MAP(TRANSPOSE(AQ644:BL644), LAMBDA(val, IF(ISNUMBER(val), PERCENTRANK(AQ644:BL644, val)+0.01, 0))), SEQUENCE(COLUMNS(AQ644:BL644)), FALSE), {""charttype"",""column""; ""color"",""chartreuse""; ""ymin"", 0; ""ymax"", 1.01; ""highcolo"&amp;"r"", ""darkgreen""; ""lowcolor"", ""red""}), """")"),"")</f>
        <v/>
      </c>
      <c r="B644" s="17" t="str">
        <f t="shared" si="4"/>
        <v/>
      </c>
      <c r="C644" s="1" t="s">
        <v>2871</v>
      </c>
      <c r="D644" s="34" t="str">
        <f>IFERROR(__xludf.DUMMYFUNCTION("IFERROR(GOOGLEFINANCE(C644, ""NAME""))"),"Capitol Federal Financial Inc")</f>
        <v>Capitol Federal Financial Inc</v>
      </c>
      <c r="E644" s="30" t="s">
        <v>268</v>
      </c>
      <c r="F644" s="38" t="str">
        <f>IFERROR(__xludf.DUMMYFUNCTION("( (GOOGLEFINANCE(C644, ""price"") - Q644) / Q644 ) / (R644 / 100)"),"Loading...")</f>
        <v>Loading...</v>
      </c>
      <c r="G644" s="20" t="str">
        <f>IFERROR(__xludf.DUMMYFUNCTION("AVERAGE(ARRAYFORMULA(100 * (QUERY(GOOGLEFINANCE(C644, ""high"", TODAY()-40, TODAY()), ""SELECT Col2 WHERE Col2 IS NOT NULL ORDER BY Col1 DESC LIMIT 20"", 0) / QUERY(GOOGLEFINANCE(C644, ""low"", TODAY()-40, TODAY()), ""SELECT Col2 WHERE Col2 IS NOT NULL OR"&amp;"DER BY Col1 DESC LIMIT 20"", 0) - 1)))"),"#N/A")</f>
        <v>#N/A</v>
      </c>
      <c r="H644" s="35" t="str">
        <f t="shared" si="6"/>
        <v/>
      </c>
      <c r="I644" s="36" t="str">
        <f t="shared" si="7"/>
        <v/>
      </c>
      <c r="J644" s="37" t="str">
        <f>IFERROR(__xludf.DUMMYFUNCTION("IFERROR(
  IF(C644="""",, 
    IFERROR(
      GOOGLEFINANCE(C644, ""price"") * GOOGLEFINANCE(C644, ""volumeavg""), 
      GOOGLEFINANCE(C644, ""price"") * AVERAGE(QUERY(GOOGLEFINANCE(C644, ""volume"", TODAY()-40, TODAY()), ""SELECT Col2 WHERE Col2 IS NOT "&amp;"NULL ORDER BY Col1 DESC LIMIT 20"", 0))
    )
  ), 
"""")"),"")</f>
        <v/>
      </c>
      <c r="K644" s="21" t="str">
        <f>IFERROR(__xludf.DUMMYFUNCTION("IFERROR(GOOGLEFINANCE(C644, ""changepct"") / 100, """")"),"")</f>
        <v/>
      </c>
      <c r="L644" s="21" t="str">
        <f>IFERROR(__xludf.DUMMYFUNCTION("IFERROR((GOOGLEFINANCE(C644, ""price"") / INDEX(GOOGLEFINANCE(C644, ""price"", TODAY()-7, TODAY()), 2, 2)) - 1, """")"),"")</f>
        <v/>
      </c>
      <c r="M644" s="21" t="str">
        <f>IFERROR(__xludf.DUMMYFUNCTION("IFERROR((GOOGLEFINANCE(C644, ""price"") / INDEX(GOOGLEFINANCE(C644, ""price"", EDATE(TODAY(), -1), TODAY()), 2, 2)) - 1, """")"),"")</f>
        <v/>
      </c>
      <c r="N644" s="21" t="str">
        <f>IFERROR(__xludf.DUMMYFUNCTION("IFERROR((GOOGLEFINANCE(C644, ""price"") / INDEX(GOOGLEFINANCE(C644, ""price"", EDATE(TODAY(), -3), TODAY()), 2, 2)) - 1, """")"),"")</f>
        <v/>
      </c>
      <c r="O644" s="21" t="str">
        <f>IFERROR(__xludf.DUMMYFUNCTION("IFERROR((GOOGLEFINANCE(C644, ""price"") / INDEX(GOOGLEFINANCE(C644, ""price"", EDATE(TODAY(), -6), TODAY()), 2, 2)) - 1, """")"),"")</f>
        <v/>
      </c>
      <c r="P644" s="21" t="str">
        <f>IFERROR(__xludf.DUMMYFUNCTION("IFERROR((GOOGLEFINANCE(C644, ""price"") / INDEX(GOOGLEFINANCE(C644, ""price"", EDATE(TODAY(), -12), TODAY()), 2, 2)) - 1, """")"),"")</f>
        <v/>
      </c>
      <c r="Q644" s="6" t="str">
        <f>IFERROR(__xludf.DUMMYFUNCTION("AVERAGE(QUERY(GOOGLEFINANCE(C644, ""price"", TODAY()-80, TODAY()), ""SELECT Col2 WHERE Col2 IS NOT NULL ORDER BY Col1 DESC LIMIT 50"", 0))"),"#N/A")</f>
        <v>#N/A</v>
      </c>
      <c r="R644" s="24" t="str">
        <f>IFERROR(__xludf.DUMMYFUNCTION("IFERROR(
  LET(
    data, QUERY(GOOGLEFINANCE(C644,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GOOGLEFINANCE(C644, ""price"")) * 100,
    IF(calc=0, G644, calc)
  ), 
G644)"),"#N/A")</f>
        <v>#N/A</v>
      </c>
      <c r="S644" s="8" t="s">
        <v>15</v>
      </c>
      <c r="T644" s="26" t="str">
        <f>IFERROR(__xludf.DUMMYFUNCTION("IFERROR(TRANSPOSE(QUERY(IFERROR(SORT(GOOGLEFINANCE(C644, ""price"", WORKDAY(TODAY(), -40), TODAY()), 1, FALSE)), ""select Col2 where Col2 is not null limit 22 label Col2 ''"", 0)), """")"),"")</f>
        <v/>
      </c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8"/>
      <c r="AO644" s="28"/>
      <c r="AP644" s="29"/>
      <c r="AQ644" s="29" t="str">
        <f t="shared" ref="AQ644:BL644" si="647">T644/T$2</f>
        <v>#N/A</v>
      </c>
      <c r="AR644" s="29" t="str">
        <f t="shared" si="647"/>
        <v>#DIV/0!</v>
      </c>
      <c r="AS644" s="29" t="str">
        <f t="shared" si="647"/>
        <v>#DIV/0!</v>
      </c>
      <c r="AT644" s="29" t="str">
        <f t="shared" si="647"/>
        <v>#DIV/0!</v>
      </c>
      <c r="AU644" s="29" t="str">
        <f t="shared" si="647"/>
        <v>#DIV/0!</v>
      </c>
      <c r="AV644" s="29" t="str">
        <f t="shared" si="647"/>
        <v>#DIV/0!</v>
      </c>
      <c r="AW644" s="29" t="str">
        <f t="shared" si="647"/>
        <v>#DIV/0!</v>
      </c>
      <c r="AX644" s="29" t="str">
        <f t="shared" si="647"/>
        <v>#DIV/0!</v>
      </c>
      <c r="AY644" s="29" t="str">
        <f t="shared" si="647"/>
        <v>#DIV/0!</v>
      </c>
      <c r="AZ644" s="29" t="str">
        <f t="shared" si="647"/>
        <v>#DIV/0!</v>
      </c>
      <c r="BA644" s="29" t="str">
        <f t="shared" si="647"/>
        <v>#DIV/0!</v>
      </c>
      <c r="BB644" s="29" t="str">
        <f t="shared" si="647"/>
        <v>#DIV/0!</v>
      </c>
      <c r="BC644" s="29" t="str">
        <f t="shared" si="647"/>
        <v>#DIV/0!</v>
      </c>
      <c r="BD644" s="29" t="str">
        <f t="shared" si="647"/>
        <v>#DIV/0!</v>
      </c>
      <c r="BE644" s="29" t="str">
        <f t="shared" si="647"/>
        <v>#DIV/0!</v>
      </c>
      <c r="BF644" s="29" t="str">
        <f t="shared" si="647"/>
        <v>#DIV/0!</v>
      </c>
      <c r="BG644" s="29" t="str">
        <f t="shared" si="647"/>
        <v>#DIV/0!</v>
      </c>
      <c r="BH644" s="29" t="str">
        <f t="shared" si="647"/>
        <v>#DIV/0!</v>
      </c>
      <c r="BI644" s="29" t="str">
        <f t="shared" si="647"/>
        <v>#DIV/0!</v>
      </c>
      <c r="BJ644" s="29" t="str">
        <f t="shared" si="647"/>
        <v>#DIV/0!</v>
      </c>
      <c r="BK644" s="29" t="str">
        <f t="shared" si="647"/>
        <v>#DIV/0!</v>
      </c>
      <c r="BL644" s="29" t="str">
        <f t="shared" si="647"/>
        <v>#DIV/0!</v>
      </c>
      <c r="BM644" s="29" t="str">
        <f t="shared" si="3"/>
        <v>#DIV/0!</v>
      </c>
    </row>
    <row r="645">
      <c r="A645" s="16" t="str">
        <f>IFERROR(__xludf.DUMMYFUNCTION("IFERROR(SPARKLINE(SORT(MAP(TRANSPOSE(AQ645:BL645), LAMBDA(val, IF(ISNUMBER(val), PERCENTRANK(AQ645:BL645, val)+0.01, 0))), SEQUENCE(COLUMNS(AQ645:BL645)), FALSE), {""charttype"",""column""; ""color"",""chartreuse""; ""ymin"", 0; ""ymax"", 1.01; ""highcolo"&amp;"r"", ""darkgreen""; ""lowcolor"", ""red""}), """")"),"")</f>
        <v/>
      </c>
      <c r="B645" s="17" t="str">
        <f t="shared" si="4"/>
        <v/>
      </c>
      <c r="C645" s="1" t="s">
        <v>2873</v>
      </c>
      <c r="D645" s="34" t="str">
        <f>IFERROR(__xludf.DUMMYFUNCTION("IFERROR(GOOGLEFINANCE(C645, ""NAME""))"),"Essent Group Ltd")</f>
        <v>Essent Group Ltd</v>
      </c>
      <c r="E645" s="30" t="s">
        <v>276</v>
      </c>
      <c r="F645" s="33" t="str">
        <f>IFERROR(__xludf.DUMMYFUNCTION("( (GOOGLEFINANCE(C645, ""price"") - Q645) / Q645 ) / (R645 / 100)"),"Loading...")</f>
        <v>Loading...</v>
      </c>
      <c r="G645" s="20" t="str">
        <f>IFERROR(__xludf.DUMMYFUNCTION("AVERAGE(ARRAYFORMULA(100 * (QUERY(GOOGLEFINANCE(C645, ""high"", TODAY()-40, TODAY()), ""SELECT Col2 WHERE Col2 IS NOT NULL ORDER BY Col1 DESC LIMIT 20"", 0) / QUERY(GOOGLEFINANCE(C645, ""low"", TODAY()-40, TODAY()), ""SELECT Col2 WHERE Col2 IS NOT NULL OR"&amp;"DER BY Col1 DESC LIMIT 20"", 0) - 1)))"),"#N/A")</f>
        <v>#N/A</v>
      </c>
      <c r="H645" s="35" t="str">
        <f t="shared" si="6"/>
        <v/>
      </c>
      <c r="I645" s="36" t="str">
        <f t="shared" si="7"/>
        <v/>
      </c>
      <c r="J645" s="37" t="str">
        <f>IFERROR(__xludf.DUMMYFUNCTION("IFERROR(
  IF(C645="""",, 
    IFERROR(
      GOOGLEFINANCE(C645, ""price"") * GOOGLEFINANCE(C645, ""volumeavg""), 
      GOOGLEFINANCE(C645, ""price"") * AVERAGE(QUERY(GOOGLEFINANCE(C645, ""volume"", TODAY()-40, TODAY()), ""SELECT Col2 WHERE Col2 IS NOT "&amp;"NULL ORDER BY Col1 DESC LIMIT 20"", 0))
    )
  ), 
"""")"),"")</f>
        <v/>
      </c>
      <c r="K645" s="21" t="str">
        <f>IFERROR(__xludf.DUMMYFUNCTION("IFERROR(GOOGLEFINANCE(C645, ""changepct"") / 100, """")"),"")</f>
        <v/>
      </c>
      <c r="L645" s="21" t="str">
        <f>IFERROR(__xludf.DUMMYFUNCTION("IFERROR((GOOGLEFINANCE(C645, ""price"") / INDEX(GOOGLEFINANCE(C645, ""price"", TODAY()-7, TODAY()), 2, 2)) - 1, """")"),"")</f>
        <v/>
      </c>
      <c r="M645" s="21" t="str">
        <f>IFERROR(__xludf.DUMMYFUNCTION("IFERROR((GOOGLEFINANCE(C645, ""price"") / INDEX(GOOGLEFINANCE(C645, ""price"", EDATE(TODAY(), -1), TODAY()), 2, 2)) - 1, """")"),"")</f>
        <v/>
      </c>
      <c r="N645" s="21" t="str">
        <f>IFERROR(__xludf.DUMMYFUNCTION("IFERROR((GOOGLEFINANCE(C645, ""price"") / INDEX(GOOGLEFINANCE(C645, ""price"", EDATE(TODAY(), -3), TODAY()), 2, 2)) - 1, """")"),"")</f>
        <v/>
      </c>
      <c r="O645" s="21" t="str">
        <f>IFERROR(__xludf.DUMMYFUNCTION("IFERROR((GOOGLEFINANCE(C645, ""price"") / INDEX(GOOGLEFINANCE(C645, ""price"", EDATE(TODAY(), -6), TODAY()), 2, 2)) - 1, """")"),"")</f>
        <v/>
      </c>
      <c r="P645" s="21" t="str">
        <f>IFERROR(__xludf.DUMMYFUNCTION("IFERROR((GOOGLEFINANCE(C645, ""price"") / INDEX(GOOGLEFINANCE(C645, ""price"", EDATE(TODAY(), -12), TODAY()), 2, 2)) - 1, """")"),"")</f>
        <v/>
      </c>
      <c r="Q645" s="6" t="str">
        <f>IFERROR(__xludf.DUMMYFUNCTION("AVERAGE(QUERY(GOOGLEFINANCE(C645, ""price"", TODAY()-80, TODAY()), ""SELECT Col2 WHERE Col2 IS NOT NULL ORDER BY Col1 DESC LIMIT 50"", 0))"),"#N/A")</f>
        <v>#N/A</v>
      </c>
      <c r="R645" s="24" t="str">
        <f>IFERROR(__xludf.DUMMYFUNCTION("IFERROR(
  LET(
    data, QUERY(GOOGLEFINANCE(C645,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GOOGLEFINANCE(C645, ""price"")) * 100,
    IF(calc=0, G645, calc)
  ), 
G645)"),"#N/A")</f>
        <v>#N/A</v>
      </c>
      <c r="S645" s="8" t="s">
        <v>15</v>
      </c>
      <c r="T645" s="26" t="str">
        <f>IFERROR(__xludf.DUMMYFUNCTION("IFERROR(TRANSPOSE(QUERY(IFERROR(SORT(GOOGLEFINANCE(C645, ""price"", WORKDAY(TODAY(), -40), TODAY()), 1, FALSE)), ""select Col2 where Col2 is not null limit 22 label Col2 ''"", 0)), """")"),"")</f>
        <v/>
      </c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8"/>
      <c r="AO645" s="28"/>
      <c r="AP645" s="29"/>
      <c r="AQ645" s="29" t="str">
        <f t="shared" ref="AQ645:BL645" si="648">T645/T$2</f>
        <v>#N/A</v>
      </c>
      <c r="AR645" s="29" t="str">
        <f t="shared" si="648"/>
        <v>#DIV/0!</v>
      </c>
      <c r="AS645" s="29" t="str">
        <f t="shared" si="648"/>
        <v>#DIV/0!</v>
      </c>
      <c r="AT645" s="29" t="str">
        <f t="shared" si="648"/>
        <v>#DIV/0!</v>
      </c>
      <c r="AU645" s="29" t="str">
        <f t="shared" si="648"/>
        <v>#DIV/0!</v>
      </c>
      <c r="AV645" s="29" t="str">
        <f t="shared" si="648"/>
        <v>#DIV/0!</v>
      </c>
      <c r="AW645" s="29" t="str">
        <f t="shared" si="648"/>
        <v>#DIV/0!</v>
      </c>
      <c r="AX645" s="29" t="str">
        <f t="shared" si="648"/>
        <v>#DIV/0!</v>
      </c>
      <c r="AY645" s="29" t="str">
        <f t="shared" si="648"/>
        <v>#DIV/0!</v>
      </c>
      <c r="AZ645" s="29" t="str">
        <f t="shared" si="648"/>
        <v>#DIV/0!</v>
      </c>
      <c r="BA645" s="29" t="str">
        <f t="shared" si="648"/>
        <v>#DIV/0!</v>
      </c>
      <c r="BB645" s="29" t="str">
        <f t="shared" si="648"/>
        <v>#DIV/0!</v>
      </c>
      <c r="BC645" s="29" t="str">
        <f t="shared" si="648"/>
        <v>#DIV/0!</v>
      </c>
      <c r="BD645" s="29" t="str">
        <f t="shared" si="648"/>
        <v>#DIV/0!</v>
      </c>
      <c r="BE645" s="29" t="str">
        <f t="shared" si="648"/>
        <v>#DIV/0!</v>
      </c>
      <c r="BF645" s="29" t="str">
        <f t="shared" si="648"/>
        <v>#DIV/0!</v>
      </c>
      <c r="BG645" s="29" t="str">
        <f t="shared" si="648"/>
        <v>#DIV/0!</v>
      </c>
      <c r="BH645" s="29" t="str">
        <f t="shared" si="648"/>
        <v>#DIV/0!</v>
      </c>
      <c r="BI645" s="29" t="str">
        <f t="shared" si="648"/>
        <v>#DIV/0!</v>
      </c>
      <c r="BJ645" s="29" t="str">
        <f t="shared" si="648"/>
        <v>#DIV/0!</v>
      </c>
      <c r="BK645" s="29" t="str">
        <f t="shared" si="648"/>
        <v>#DIV/0!</v>
      </c>
      <c r="BL645" s="29" t="str">
        <f t="shared" si="648"/>
        <v>#DIV/0!</v>
      </c>
      <c r="BM645" s="29" t="str">
        <f t="shared" si="3"/>
        <v>#DIV/0!</v>
      </c>
    </row>
    <row r="646">
      <c r="A646" s="16" t="str">
        <f>IFERROR(__xludf.DUMMYFUNCTION("IFERROR(SPARKLINE(SORT(MAP(TRANSPOSE(AQ646:BL646), LAMBDA(val, IF(ISNUMBER(val), PERCENTRANK(AQ646:BL646, val)+0.01, 0))), SEQUENCE(COLUMNS(AQ646:BL646)), FALSE), {""charttype"",""column""; ""color"",""chartreuse""; ""ymin"", 0; ""ymax"", 1.01; ""highcolo"&amp;"r"", ""darkgreen""; ""lowcolor"", ""red""}), """")"),"")</f>
        <v/>
      </c>
      <c r="B646" s="17" t="str">
        <f t="shared" si="4"/>
        <v/>
      </c>
      <c r="C646" s="1" t="s">
        <v>2878</v>
      </c>
      <c r="D646" s="34" t="str">
        <f>IFERROR(__xludf.DUMMYFUNCTION("IFERROR(GOOGLEFINANCE(C646, ""NAME""))"),"Equitable Holdings Inc")</f>
        <v>Equitable Holdings Inc</v>
      </c>
      <c r="E646" s="30" t="s">
        <v>64</v>
      </c>
      <c r="F646" s="33" t="str">
        <f>IFERROR(__xludf.DUMMYFUNCTION("( (GOOGLEFINANCE(C646, ""price"") - Q646) / Q646 ) / (R646 / 100)"),"Loading...")</f>
        <v>Loading...</v>
      </c>
      <c r="G646" s="20" t="str">
        <f>IFERROR(__xludf.DUMMYFUNCTION("AVERAGE(ARRAYFORMULA(100 * (QUERY(GOOGLEFINANCE(C646, ""high"", TODAY()-40, TODAY()), ""SELECT Col2 WHERE Col2 IS NOT NULL ORDER BY Col1 DESC LIMIT 20"", 0) / QUERY(GOOGLEFINANCE(C646, ""low"", TODAY()-40, TODAY()), ""SELECT Col2 WHERE Col2 IS NOT NULL OR"&amp;"DER BY Col1 DESC LIMIT 20"", 0) - 1)))"),"#N/A")</f>
        <v>#N/A</v>
      </c>
      <c r="H646" s="35" t="str">
        <f t="shared" si="6"/>
        <v/>
      </c>
      <c r="I646" s="36" t="str">
        <f t="shared" si="7"/>
        <v/>
      </c>
      <c r="J646" s="37" t="str">
        <f>IFERROR(__xludf.DUMMYFUNCTION("IFERROR(
  IF(C646="""",, 
    IFERROR(
      GOOGLEFINANCE(C646, ""price"") * GOOGLEFINANCE(C646, ""volumeavg""), 
      GOOGLEFINANCE(C646, ""price"") * AVERAGE(QUERY(GOOGLEFINANCE(C646, ""volume"", TODAY()-40, TODAY()), ""SELECT Col2 WHERE Col2 IS NOT "&amp;"NULL ORDER BY Col1 DESC LIMIT 20"", 0))
    )
  ), 
"""")"),"")</f>
        <v/>
      </c>
      <c r="K646" s="21" t="str">
        <f>IFERROR(__xludf.DUMMYFUNCTION("IFERROR(GOOGLEFINANCE(C646, ""changepct"") / 100, """")"),"")</f>
        <v/>
      </c>
      <c r="L646" s="21" t="str">
        <f>IFERROR(__xludf.DUMMYFUNCTION("IFERROR((GOOGLEFINANCE(C646, ""price"") / INDEX(GOOGLEFINANCE(C646, ""price"", TODAY()-7, TODAY()), 2, 2)) - 1, """")"),"")</f>
        <v/>
      </c>
      <c r="M646" s="21" t="str">
        <f>IFERROR(__xludf.DUMMYFUNCTION("IFERROR((GOOGLEFINANCE(C646, ""price"") / INDEX(GOOGLEFINANCE(C646, ""price"", EDATE(TODAY(), -1), TODAY()), 2, 2)) - 1, """")"),"")</f>
        <v/>
      </c>
      <c r="N646" s="21" t="str">
        <f>IFERROR(__xludf.DUMMYFUNCTION("IFERROR((GOOGLEFINANCE(C646, ""price"") / INDEX(GOOGLEFINANCE(C646, ""price"", EDATE(TODAY(), -3), TODAY()), 2, 2)) - 1, """")"),"")</f>
        <v/>
      </c>
      <c r="O646" s="21" t="str">
        <f>IFERROR(__xludf.DUMMYFUNCTION("IFERROR((GOOGLEFINANCE(C646, ""price"") / INDEX(GOOGLEFINANCE(C646, ""price"", EDATE(TODAY(), -6), TODAY()), 2, 2)) - 1, """")"),"")</f>
        <v/>
      </c>
      <c r="P646" s="21" t="str">
        <f>IFERROR(__xludf.DUMMYFUNCTION("IFERROR((GOOGLEFINANCE(C646, ""price"") / INDEX(GOOGLEFINANCE(C646, ""price"", EDATE(TODAY(), -12), TODAY()), 2, 2)) - 1, """")"),"")</f>
        <v/>
      </c>
      <c r="Q646" s="6" t="str">
        <f>IFERROR(__xludf.DUMMYFUNCTION("AVERAGE(QUERY(GOOGLEFINANCE(C646, ""price"", TODAY()-80, TODAY()), ""SELECT Col2 WHERE Col2 IS NOT NULL ORDER BY Col1 DESC LIMIT 50"", 0))"),"#N/A")</f>
        <v>#N/A</v>
      </c>
      <c r="R646" s="24" t="str">
        <f>IFERROR(__xludf.DUMMYFUNCTION("IFERROR(
  LET(
    data, QUERY(GOOGLEFINANCE(C646,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GOOGLEFINANCE(C646, ""price"")) * 100,
    IF(calc=0, G646, calc)
  ), 
G646)"),"#N/A")</f>
        <v>#N/A</v>
      </c>
      <c r="S646" s="8" t="s">
        <v>15</v>
      </c>
      <c r="T646" s="26" t="str">
        <f>IFERROR(__xludf.DUMMYFUNCTION("IFERROR(TRANSPOSE(QUERY(IFERROR(SORT(GOOGLEFINANCE(C646, ""price"", WORKDAY(TODAY(), -40), TODAY()), 1, FALSE)), ""select Col2 where Col2 is not null limit 22 label Col2 ''"", 0)), """")"),"")</f>
        <v/>
      </c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8"/>
      <c r="AO646" s="28"/>
      <c r="AP646" s="29"/>
      <c r="AQ646" s="29" t="str">
        <f t="shared" ref="AQ646:BL646" si="649">T646/T$2</f>
        <v>#N/A</v>
      </c>
      <c r="AR646" s="29" t="str">
        <f t="shared" si="649"/>
        <v>#DIV/0!</v>
      </c>
      <c r="AS646" s="29" t="str">
        <f t="shared" si="649"/>
        <v>#DIV/0!</v>
      </c>
      <c r="AT646" s="29" t="str">
        <f t="shared" si="649"/>
        <v>#DIV/0!</v>
      </c>
      <c r="AU646" s="29" t="str">
        <f t="shared" si="649"/>
        <v>#DIV/0!</v>
      </c>
      <c r="AV646" s="29" t="str">
        <f t="shared" si="649"/>
        <v>#DIV/0!</v>
      </c>
      <c r="AW646" s="29" t="str">
        <f t="shared" si="649"/>
        <v>#DIV/0!</v>
      </c>
      <c r="AX646" s="29" t="str">
        <f t="shared" si="649"/>
        <v>#DIV/0!</v>
      </c>
      <c r="AY646" s="29" t="str">
        <f t="shared" si="649"/>
        <v>#DIV/0!</v>
      </c>
      <c r="AZ646" s="29" t="str">
        <f t="shared" si="649"/>
        <v>#DIV/0!</v>
      </c>
      <c r="BA646" s="29" t="str">
        <f t="shared" si="649"/>
        <v>#DIV/0!</v>
      </c>
      <c r="BB646" s="29" t="str">
        <f t="shared" si="649"/>
        <v>#DIV/0!</v>
      </c>
      <c r="BC646" s="29" t="str">
        <f t="shared" si="649"/>
        <v>#DIV/0!</v>
      </c>
      <c r="BD646" s="29" t="str">
        <f t="shared" si="649"/>
        <v>#DIV/0!</v>
      </c>
      <c r="BE646" s="29" t="str">
        <f t="shared" si="649"/>
        <v>#DIV/0!</v>
      </c>
      <c r="BF646" s="29" t="str">
        <f t="shared" si="649"/>
        <v>#DIV/0!</v>
      </c>
      <c r="BG646" s="29" t="str">
        <f t="shared" si="649"/>
        <v>#DIV/0!</v>
      </c>
      <c r="BH646" s="29" t="str">
        <f t="shared" si="649"/>
        <v>#DIV/0!</v>
      </c>
      <c r="BI646" s="29" t="str">
        <f t="shared" si="649"/>
        <v>#DIV/0!</v>
      </c>
      <c r="BJ646" s="29" t="str">
        <f t="shared" si="649"/>
        <v>#DIV/0!</v>
      </c>
      <c r="BK646" s="29" t="str">
        <f t="shared" si="649"/>
        <v>#DIV/0!</v>
      </c>
      <c r="BL646" s="29" t="str">
        <f t="shared" si="649"/>
        <v>#DIV/0!</v>
      </c>
      <c r="BM646" s="29" t="str">
        <f t="shared" si="3"/>
        <v>#DIV/0!</v>
      </c>
    </row>
    <row r="647">
      <c r="A647" s="16" t="str">
        <f>IFERROR(__xludf.DUMMYFUNCTION("IFERROR(SPARKLINE(SORT(MAP(TRANSPOSE(AQ647:BL647), LAMBDA(val, IF(ISNUMBER(val), PERCENTRANK(AQ647:BL647, val)+0.01, 0))), SEQUENCE(COLUMNS(AQ647:BL647)), FALSE), {""charttype"",""column""; ""color"",""chartreuse""; ""ymin"", 0; ""ymax"", 1.01; ""highcolo"&amp;"r"", ""darkgreen""; ""lowcolor"", ""red""}), """")"),"")</f>
        <v/>
      </c>
      <c r="B647" s="17" t="str">
        <f t="shared" si="4"/>
        <v/>
      </c>
      <c r="C647" s="1" t="s">
        <v>2882</v>
      </c>
      <c r="D647" s="34" t="str">
        <f>IFERROR(__xludf.DUMMYFUNCTION("IFERROR(GOOGLEFINANCE(C647, ""NAME""))"),"Amalgamated Financial Corp")</f>
        <v>Amalgamated Financial Corp</v>
      </c>
      <c r="E647" s="30" t="s">
        <v>268</v>
      </c>
      <c r="F647" s="33" t="str">
        <f>IFERROR(__xludf.DUMMYFUNCTION("( (GOOGLEFINANCE(C647, ""price"") - Q647) / Q647 ) / (R647 / 100)"),"Loading...")</f>
        <v>Loading...</v>
      </c>
      <c r="G647" s="20" t="str">
        <f>IFERROR(__xludf.DUMMYFUNCTION("AVERAGE(ARRAYFORMULA(100 * (QUERY(GOOGLEFINANCE(C647, ""high"", TODAY()-40, TODAY()), ""SELECT Col2 WHERE Col2 IS NOT NULL ORDER BY Col1 DESC LIMIT 20"", 0) / QUERY(GOOGLEFINANCE(C647, ""low"", TODAY()-40, TODAY()), ""SELECT Col2 WHERE Col2 IS NOT NULL OR"&amp;"DER BY Col1 DESC LIMIT 20"", 0) - 1)))"),"#N/A")</f>
        <v>#N/A</v>
      </c>
      <c r="H647" s="35" t="str">
        <f t="shared" si="6"/>
        <v/>
      </c>
      <c r="I647" s="36" t="str">
        <f t="shared" si="7"/>
        <v/>
      </c>
      <c r="J647" s="37" t="str">
        <f>IFERROR(__xludf.DUMMYFUNCTION("IFERROR(
  IF(C647="""",, 
    IFERROR(
      GOOGLEFINANCE(C647, ""price"") * GOOGLEFINANCE(C647, ""volumeavg""), 
      GOOGLEFINANCE(C647, ""price"") * AVERAGE(QUERY(GOOGLEFINANCE(C647, ""volume"", TODAY()-40, TODAY()), ""SELECT Col2 WHERE Col2 IS NOT "&amp;"NULL ORDER BY Col1 DESC LIMIT 20"", 0))
    )
  ), 
"""")"),"")</f>
        <v/>
      </c>
      <c r="K647" s="21" t="str">
        <f>IFERROR(__xludf.DUMMYFUNCTION("IFERROR(GOOGLEFINANCE(C647, ""changepct"") / 100, """")"),"")</f>
        <v/>
      </c>
      <c r="L647" s="21" t="str">
        <f>IFERROR(__xludf.DUMMYFUNCTION("IFERROR((GOOGLEFINANCE(C647, ""price"") / INDEX(GOOGLEFINANCE(C647, ""price"", TODAY()-7, TODAY()), 2, 2)) - 1, """")"),"")</f>
        <v/>
      </c>
      <c r="M647" s="21" t="str">
        <f>IFERROR(__xludf.DUMMYFUNCTION("IFERROR((GOOGLEFINANCE(C647, ""price"") / INDEX(GOOGLEFINANCE(C647, ""price"", EDATE(TODAY(), -1), TODAY()), 2, 2)) - 1, """")"),"")</f>
        <v/>
      </c>
      <c r="N647" s="21" t="str">
        <f>IFERROR(__xludf.DUMMYFUNCTION("IFERROR((GOOGLEFINANCE(C647, ""price"") / INDEX(GOOGLEFINANCE(C647, ""price"", EDATE(TODAY(), -3), TODAY()), 2, 2)) - 1, """")"),"")</f>
        <v/>
      </c>
      <c r="O647" s="21" t="str">
        <f>IFERROR(__xludf.DUMMYFUNCTION("IFERROR((GOOGLEFINANCE(C647, ""price"") / INDEX(GOOGLEFINANCE(C647, ""price"", EDATE(TODAY(), -6), TODAY()), 2, 2)) - 1, """")"),"")</f>
        <v/>
      </c>
      <c r="P647" s="21" t="str">
        <f>IFERROR(__xludf.DUMMYFUNCTION("IFERROR((GOOGLEFINANCE(C647, ""price"") / INDEX(GOOGLEFINANCE(C647, ""price"", EDATE(TODAY(), -12), TODAY()), 2, 2)) - 1, """")"),"")</f>
        <v/>
      </c>
      <c r="Q647" s="6" t="str">
        <f>IFERROR(__xludf.DUMMYFUNCTION("AVERAGE(QUERY(GOOGLEFINANCE(C647, ""price"", TODAY()-80, TODAY()), ""SELECT Col2 WHERE Col2 IS NOT NULL ORDER BY Col1 DESC LIMIT 50"", 0))"),"#N/A")</f>
        <v>#N/A</v>
      </c>
      <c r="R647" s="24" t="str">
        <f>IFERROR(__xludf.DUMMYFUNCTION("IFERROR(
  LET(
    data, QUERY(GOOGLEFINANCE(C647,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GOOGLEFINANCE(C647, ""price"")) * 100,
    IF(calc=0, G647, calc)
  ), 
G647)"),"#N/A")</f>
        <v>#N/A</v>
      </c>
      <c r="S647" s="8" t="s">
        <v>15</v>
      </c>
      <c r="T647" s="26" t="str">
        <f>IFERROR(__xludf.DUMMYFUNCTION("IFERROR(TRANSPOSE(QUERY(IFERROR(SORT(GOOGLEFINANCE(C647, ""price"", WORKDAY(TODAY(), -40), TODAY()), 1, FALSE)), ""select Col2 where Col2 is not null limit 22 label Col2 ''"", 0)), """")"),"")</f>
        <v/>
      </c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8"/>
      <c r="AO647" s="28"/>
      <c r="AP647" s="29"/>
      <c r="AQ647" s="29" t="str">
        <f t="shared" ref="AQ647:BL647" si="650">T647/T$2</f>
        <v>#N/A</v>
      </c>
      <c r="AR647" s="29" t="str">
        <f t="shared" si="650"/>
        <v>#DIV/0!</v>
      </c>
      <c r="AS647" s="29" t="str">
        <f t="shared" si="650"/>
        <v>#DIV/0!</v>
      </c>
      <c r="AT647" s="29" t="str">
        <f t="shared" si="650"/>
        <v>#DIV/0!</v>
      </c>
      <c r="AU647" s="29" t="str">
        <f t="shared" si="650"/>
        <v>#DIV/0!</v>
      </c>
      <c r="AV647" s="29" t="str">
        <f t="shared" si="650"/>
        <v>#DIV/0!</v>
      </c>
      <c r="AW647" s="29" t="str">
        <f t="shared" si="650"/>
        <v>#DIV/0!</v>
      </c>
      <c r="AX647" s="29" t="str">
        <f t="shared" si="650"/>
        <v>#DIV/0!</v>
      </c>
      <c r="AY647" s="29" t="str">
        <f t="shared" si="650"/>
        <v>#DIV/0!</v>
      </c>
      <c r="AZ647" s="29" t="str">
        <f t="shared" si="650"/>
        <v>#DIV/0!</v>
      </c>
      <c r="BA647" s="29" t="str">
        <f t="shared" si="650"/>
        <v>#DIV/0!</v>
      </c>
      <c r="BB647" s="29" t="str">
        <f t="shared" si="650"/>
        <v>#DIV/0!</v>
      </c>
      <c r="BC647" s="29" t="str">
        <f t="shared" si="650"/>
        <v>#DIV/0!</v>
      </c>
      <c r="BD647" s="29" t="str">
        <f t="shared" si="650"/>
        <v>#DIV/0!</v>
      </c>
      <c r="BE647" s="29" t="str">
        <f t="shared" si="650"/>
        <v>#DIV/0!</v>
      </c>
      <c r="BF647" s="29" t="str">
        <f t="shared" si="650"/>
        <v>#DIV/0!</v>
      </c>
      <c r="BG647" s="29" t="str">
        <f t="shared" si="650"/>
        <v>#DIV/0!</v>
      </c>
      <c r="BH647" s="29" t="str">
        <f t="shared" si="650"/>
        <v>#DIV/0!</v>
      </c>
      <c r="BI647" s="29" t="str">
        <f t="shared" si="650"/>
        <v>#DIV/0!</v>
      </c>
      <c r="BJ647" s="29" t="str">
        <f t="shared" si="650"/>
        <v>#DIV/0!</v>
      </c>
      <c r="BK647" s="29" t="str">
        <f t="shared" si="650"/>
        <v>#DIV/0!</v>
      </c>
      <c r="BL647" s="29" t="str">
        <f t="shared" si="650"/>
        <v>#DIV/0!</v>
      </c>
      <c r="BM647" s="29" t="str">
        <f t="shared" si="3"/>
        <v>#DIV/0!</v>
      </c>
    </row>
    <row r="648">
      <c r="A648" s="16" t="str">
        <f>IFERROR(__xludf.DUMMYFUNCTION("IFERROR(SPARKLINE(SORT(MAP(TRANSPOSE(AQ648:BL648), LAMBDA(val, IF(ISNUMBER(val), PERCENTRANK(AQ648:BL648, val)+0.01, 0))), SEQUENCE(COLUMNS(AQ648:BL648)), FALSE), {""charttype"",""column""; ""color"",""chartreuse""; ""ymin"", 0; ""ymax"", 1.01; ""highcolo"&amp;"r"", ""darkgreen""; ""lowcolor"", ""red""}), """")"),"")</f>
        <v/>
      </c>
      <c r="B648" s="17" t="str">
        <f t="shared" si="4"/>
        <v/>
      </c>
      <c r="C648" s="1" t="s">
        <v>2885</v>
      </c>
      <c r="D648" s="34" t="str">
        <f>IFERROR(__xludf.DUMMYFUNCTION("IFERROR(GOOGLEFINANCE(C648, ""NAME""))"),"Independent Bank Corp")</f>
        <v>Independent Bank Corp</v>
      </c>
      <c r="E648" s="30" t="s">
        <v>268</v>
      </c>
      <c r="F648" s="33" t="str">
        <f>IFERROR(__xludf.DUMMYFUNCTION("( (GOOGLEFINANCE(C648, ""price"") - Q648) / Q648 ) / (R648 / 100)"),"Loading...")</f>
        <v>Loading...</v>
      </c>
      <c r="G648" s="20" t="str">
        <f>IFERROR(__xludf.DUMMYFUNCTION("AVERAGE(ARRAYFORMULA(100 * (QUERY(GOOGLEFINANCE(C648, ""high"", TODAY()-40, TODAY()), ""SELECT Col2 WHERE Col2 IS NOT NULL ORDER BY Col1 DESC LIMIT 20"", 0) / QUERY(GOOGLEFINANCE(C648, ""low"", TODAY()-40, TODAY()), ""SELECT Col2 WHERE Col2 IS NOT NULL OR"&amp;"DER BY Col1 DESC LIMIT 20"", 0) - 1)))"),"#N/A")</f>
        <v>#N/A</v>
      </c>
      <c r="H648" s="35" t="str">
        <f t="shared" si="6"/>
        <v/>
      </c>
      <c r="I648" s="36" t="str">
        <f t="shared" si="7"/>
        <v/>
      </c>
      <c r="J648" s="37" t="str">
        <f>IFERROR(__xludf.DUMMYFUNCTION("IFERROR(
  IF(C648="""",, 
    IFERROR(
      GOOGLEFINANCE(C648, ""price"") * GOOGLEFINANCE(C648, ""volumeavg""), 
      GOOGLEFINANCE(C648, ""price"") * AVERAGE(QUERY(GOOGLEFINANCE(C648, ""volume"", TODAY()-40, TODAY()), ""SELECT Col2 WHERE Col2 IS NOT "&amp;"NULL ORDER BY Col1 DESC LIMIT 20"", 0))
    )
  ), 
"""")"),"")</f>
        <v/>
      </c>
      <c r="K648" s="21" t="str">
        <f>IFERROR(__xludf.DUMMYFUNCTION("IFERROR(GOOGLEFINANCE(C648, ""changepct"") / 100, """")"),"")</f>
        <v/>
      </c>
      <c r="L648" s="21" t="str">
        <f>IFERROR(__xludf.DUMMYFUNCTION("IFERROR((GOOGLEFINANCE(C648, ""price"") / INDEX(GOOGLEFINANCE(C648, ""price"", TODAY()-7, TODAY()), 2, 2)) - 1, """")"),"")</f>
        <v/>
      </c>
      <c r="M648" s="21" t="str">
        <f>IFERROR(__xludf.DUMMYFUNCTION("IFERROR((GOOGLEFINANCE(C648, ""price"") / INDEX(GOOGLEFINANCE(C648, ""price"", EDATE(TODAY(), -1), TODAY()), 2, 2)) - 1, """")"),"")</f>
        <v/>
      </c>
      <c r="N648" s="21" t="str">
        <f>IFERROR(__xludf.DUMMYFUNCTION("IFERROR((GOOGLEFINANCE(C648, ""price"") / INDEX(GOOGLEFINANCE(C648, ""price"", EDATE(TODAY(), -3), TODAY()), 2, 2)) - 1, """")"),"")</f>
        <v/>
      </c>
      <c r="O648" s="21" t="str">
        <f>IFERROR(__xludf.DUMMYFUNCTION("IFERROR((GOOGLEFINANCE(C648, ""price"") / INDEX(GOOGLEFINANCE(C648, ""price"", EDATE(TODAY(), -6), TODAY()), 2, 2)) - 1, """")"),"")</f>
        <v/>
      </c>
      <c r="P648" s="21" t="str">
        <f>IFERROR(__xludf.DUMMYFUNCTION("IFERROR((GOOGLEFINANCE(C648, ""price"") / INDEX(GOOGLEFINANCE(C648, ""price"", EDATE(TODAY(), -12), TODAY()), 2, 2)) - 1, """")"),"")</f>
        <v/>
      </c>
      <c r="Q648" s="6" t="str">
        <f>IFERROR(__xludf.DUMMYFUNCTION("AVERAGE(QUERY(GOOGLEFINANCE(C648, ""price"", TODAY()-80, TODAY()), ""SELECT Col2 WHERE Col2 IS NOT NULL ORDER BY Col1 DESC LIMIT 50"", 0))"),"#N/A")</f>
        <v>#N/A</v>
      </c>
      <c r="R648" s="24" t="str">
        <f>IFERROR(__xludf.DUMMYFUNCTION("IFERROR(
  LET(
    data, QUERY(GOOGLEFINANCE(C648,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GOOGLEFINANCE(C648, ""price"")) * 100,
    IF(calc=0, G648, calc)
  ), 
G648)"),"#N/A")</f>
        <v>#N/A</v>
      </c>
      <c r="S648" s="8" t="s">
        <v>15</v>
      </c>
      <c r="T648" s="26" t="str">
        <f>IFERROR(__xludf.DUMMYFUNCTION("IFERROR(TRANSPOSE(QUERY(IFERROR(SORT(GOOGLEFINANCE(C648, ""price"", WORKDAY(TODAY(), -40), TODAY()), 1, FALSE)), ""select Col2 where Col2 is not null limit 22 label Col2 ''"", 0)), """")"),"")</f>
        <v/>
      </c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8"/>
      <c r="AO648" s="28"/>
      <c r="AP648" s="29"/>
      <c r="AQ648" s="29" t="str">
        <f t="shared" ref="AQ648:BL648" si="651">T648/T$2</f>
        <v>#N/A</v>
      </c>
      <c r="AR648" s="29" t="str">
        <f t="shared" si="651"/>
        <v>#DIV/0!</v>
      </c>
      <c r="AS648" s="29" t="str">
        <f t="shared" si="651"/>
        <v>#DIV/0!</v>
      </c>
      <c r="AT648" s="29" t="str">
        <f t="shared" si="651"/>
        <v>#DIV/0!</v>
      </c>
      <c r="AU648" s="29" t="str">
        <f t="shared" si="651"/>
        <v>#DIV/0!</v>
      </c>
      <c r="AV648" s="29" t="str">
        <f t="shared" si="651"/>
        <v>#DIV/0!</v>
      </c>
      <c r="AW648" s="29" t="str">
        <f t="shared" si="651"/>
        <v>#DIV/0!</v>
      </c>
      <c r="AX648" s="29" t="str">
        <f t="shared" si="651"/>
        <v>#DIV/0!</v>
      </c>
      <c r="AY648" s="29" t="str">
        <f t="shared" si="651"/>
        <v>#DIV/0!</v>
      </c>
      <c r="AZ648" s="29" t="str">
        <f t="shared" si="651"/>
        <v>#DIV/0!</v>
      </c>
      <c r="BA648" s="29" t="str">
        <f t="shared" si="651"/>
        <v>#DIV/0!</v>
      </c>
      <c r="BB648" s="29" t="str">
        <f t="shared" si="651"/>
        <v>#DIV/0!</v>
      </c>
      <c r="BC648" s="29" t="str">
        <f t="shared" si="651"/>
        <v>#DIV/0!</v>
      </c>
      <c r="BD648" s="29" t="str">
        <f t="shared" si="651"/>
        <v>#DIV/0!</v>
      </c>
      <c r="BE648" s="29" t="str">
        <f t="shared" si="651"/>
        <v>#DIV/0!</v>
      </c>
      <c r="BF648" s="29" t="str">
        <f t="shared" si="651"/>
        <v>#DIV/0!</v>
      </c>
      <c r="BG648" s="29" t="str">
        <f t="shared" si="651"/>
        <v>#DIV/0!</v>
      </c>
      <c r="BH648" s="29" t="str">
        <f t="shared" si="651"/>
        <v>#DIV/0!</v>
      </c>
      <c r="BI648" s="29" t="str">
        <f t="shared" si="651"/>
        <v>#DIV/0!</v>
      </c>
      <c r="BJ648" s="29" t="str">
        <f t="shared" si="651"/>
        <v>#DIV/0!</v>
      </c>
      <c r="BK648" s="29" t="str">
        <f t="shared" si="651"/>
        <v>#DIV/0!</v>
      </c>
      <c r="BL648" s="29" t="str">
        <f t="shared" si="651"/>
        <v>#DIV/0!</v>
      </c>
      <c r="BM648" s="29" t="str">
        <f t="shared" si="3"/>
        <v>#DIV/0!</v>
      </c>
    </row>
    <row r="649">
      <c r="A649" s="16" t="str">
        <f>IFERROR(__xludf.DUMMYFUNCTION("IFERROR(SPARKLINE(SORT(MAP(TRANSPOSE(AQ649:BL649), LAMBDA(val, IF(ISNUMBER(val), PERCENTRANK(AQ649:BL649, val)+0.01, 0))), SEQUENCE(COLUMNS(AQ649:BL649)), FALSE), {""charttype"",""column""; ""color"",""chartreuse""; ""ymin"", 0; ""ymax"", 1.01; ""highcolo"&amp;"r"", ""darkgreen""; ""lowcolor"", ""red""}), """")"),"")</f>
        <v/>
      </c>
      <c r="B649" s="17" t="str">
        <f t="shared" si="4"/>
        <v/>
      </c>
      <c r="C649" s="1" t="s">
        <v>2890</v>
      </c>
      <c r="D649" s="34" t="str">
        <f>IFERROR(__xludf.DUMMYFUNCTION("IFERROR(GOOGLEFINANCE(C649, ""NAME""))"),"Bread Financial Holdings Inc")</f>
        <v>Bread Financial Holdings Inc</v>
      </c>
      <c r="E649" s="30" t="s">
        <v>145</v>
      </c>
      <c r="F649" s="33" t="str">
        <f>IFERROR(__xludf.DUMMYFUNCTION("( (GOOGLEFINANCE(C649, ""price"") - Q649) / Q649 ) / (R649 / 100)"),"Loading...")</f>
        <v>Loading...</v>
      </c>
      <c r="G649" s="20" t="str">
        <f>IFERROR(__xludf.DUMMYFUNCTION("AVERAGE(ARRAYFORMULA(100 * (QUERY(GOOGLEFINANCE(C649, ""high"", TODAY()-40, TODAY()), ""SELECT Col2 WHERE Col2 IS NOT NULL ORDER BY Col1 DESC LIMIT 20"", 0) / QUERY(GOOGLEFINANCE(C649, ""low"", TODAY()-40, TODAY()), ""SELECT Col2 WHERE Col2 IS NOT NULL OR"&amp;"DER BY Col1 DESC LIMIT 20"", 0) - 1)))"),"#N/A")</f>
        <v>#N/A</v>
      </c>
      <c r="H649" s="35" t="str">
        <f t="shared" si="6"/>
        <v/>
      </c>
      <c r="I649" s="36" t="str">
        <f t="shared" si="7"/>
        <v/>
      </c>
      <c r="J649" s="37" t="str">
        <f>IFERROR(__xludf.DUMMYFUNCTION("IFERROR(
  IF(C649="""",, 
    IFERROR(
      GOOGLEFINANCE(C649, ""price"") * GOOGLEFINANCE(C649, ""volumeavg""), 
      GOOGLEFINANCE(C649, ""price"") * AVERAGE(QUERY(GOOGLEFINANCE(C649, ""volume"", TODAY()-40, TODAY()), ""SELECT Col2 WHERE Col2 IS NOT "&amp;"NULL ORDER BY Col1 DESC LIMIT 20"", 0))
    )
  ), 
"""")"),"")</f>
        <v/>
      </c>
      <c r="K649" s="21" t="str">
        <f>IFERROR(__xludf.DUMMYFUNCTION("IFERROR(GOOGLEFINANCE(C649, ""changepct"") / 100, """")"),"")</f>
        <v/>
      </c>
      <c r="L649" s="21" t="str">
        <f>IFERROR(__xludf.DUMMYFUNCTION("IFERROR((GOOGLEFINANCE(C649, ""price"") / INDEX(GOOGLEFINANCE(C649, ""price"", TODAY()-7, TODAY()), 2, 2)) - 1, """")"),"")</f>
        <v/>
      </c>
      <c r="M649" s="21" t="str">
        <f>IFERROR(__xludf.DUMMYFUNCTION("IFERROR((GOOGLEFINANCE(C649, ""price"") / INDEX(GOOGLEFINANCE(C649, ""price"", EDATE(TODAY(), -1), TODAY()), 2, 2)) - 1, """")"),"")</f>
        <v/>
      </c>
      <c r="N649" s="21" t="str">
        <f>IFERROR(__xludf.DUMMYFUNCTION("IFERROR((GOOGLEFINANCE(C649, ""price"") / INDEX(GOOGLEFINANCE(C649, ""price"", EDATE(TODAY(), -3), TODAY()), 2, 2)) - 1, """")"),"")</f>
        <v/>
      </c>
      <c r="O649" s="21" t="str">
        <f>IFERROR(__xludf.DUMMYFUNCTION("IFERROR((GOOGLEFINANCE(C649, ""price"") / INDEX(GOOGLEFINANCE(C649, ""price"", EDATE(TODAY(), -6), TODAY()), 2, 2)) - 1, """")"),"")</f>
        <v/>
      </c>
      <c r="P649" s="21" t="str">
        <f>IFERROR(__xludf.DUMMYFUNCTION("IFERROR((GOOGLEFINANCE(C649, ""price"") / INDEX(GOOGLEFINANCE(C649, ""price"", EDATE(TODAY(), -12), TODAY()), 2, 2)) - 1, """")"),"")</f>
        <v/>
      </c>
      <c r="Q649" s="6" t="str">
        <f>IFERROR(__xludf.DUMMYFUNCTION("AVERAGE(QUERY(GOOGLEFINANCE(C649, ""price"", TODAY()-80, TODAY()), ""SELECT Col2 WHERE Col2 IS NOT NULL ORDER BY Col1 DESC LIMIT 50"", 0))"),"#N/A")</f>
        <v>#N/A</v>
      </c>
      <c r="R649" s="24" t="str">
        <f>IFERROR(__xludf.DUMMYFUNCTION("IFERROR(
  LET(
    data, QUERY(GOOGLEFINANCE(C649,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GOOGLEFINANCE(C649, ""price"")) * 100,
    IF(calc=0, G649, calc)
  ), 
G649)"),"#N/A")</f>
        <v>#N/A</v>
      </c>
      <c r="S649" s="8" t="s">
        <v>15</v>
      </c>
      <c r="T649" s="26" t="str">
        <f>IFERROR(__xludf.DUMMYFUNCTION("IFERROR(TRANSPOSE(QUERY(IFERROR(SORT(GOOGLEFINANCE(C649, ""price"", WORKDAY(TODAY(), -40), TODAY()), 1, FALSE)), ""select Col2 where Col2 is not null limit 22 label Col2 ''"", 0)), """")"),"")</f>
        <v/>
      </c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8"/>
      <c r="AO649" s="28"/>
      <c r="AP649" s="29"/>
      <c r="AQ649" s="29" t="str">
        <f t="shared" ref="AQ649:BL649" si="652">T649/T$2</f>
        <v>#N/A</v>
      </c>
      <c r="AR649" s="29" t="str">
        <f t="shared" si="652"/>
        <v>#DIV/0!</v>
      </c>
      <c r="AS649" s="29" t="str">
        <f t="shared" si="652"/>
        <v>#DIV/0!</v>
      </c>
      <c r="AT649" s="29" t="str">
        <f t="shared" si="652"/>
        <v>#DIV/0!</v>
      </c>
      <c r="AU649" s="29" t="str">
        <f t="shared" si="652"/>
        <v>#DIV/0!</v>
      </c>
      <c r="AV649" s="29" t="str">
        <f t="shared" si="652"/>
        <v>#DIV/0!</v>
      </c>
      <c r="AW649" s="29" t="str">
        <f t="shared" si="652"/>
        <v>#DIV/0!</v>
      </c>
      <c r="AX649" s="29" t="str">
        <f t="shared" si="652"/>
        <v>#DIV/0!</v>
      </c>
      <c r="AY649" s="29" t="str">
        <f t="shared" si="652"/>
        <v>#DIV/0!</v>
      </c>
      <c r="AZ649" s="29" t="str">
        <f t="shared" si="652"/>
        <v>#DIV/0!</v>
      </c>
      <c r="BA649" s="29" t="str">
        <f t="shared" si="652"/>
        <v>#DIV/0!</v>
      </c>
      <c r="BB649" s="29" t="str">
        <f t="shared" si="652"/>
        <v>#DIV/0!</v>
      </c>
      <c r="BC649" s="29" t="str">
        <f t="shared" si="652"/>
        <v>#DIV/0!</v>
      </c>
      <c r="BD649" s="29" t="str">
        <f t="shared" si="652"/>
        <v>#DIV/0!</v>
      </c>
      <c r="BE649" s="29" t="str">
        <f t="shared" si="652"/>
        <v>#DIV/0!</v>
      </c>
      <c r="BF649" s="29" t="str">
        <f t="shared" si="652"/>
        <v>#DIV/0!</v>
      </c>
      <c r="BG649" s="29" t="str">
        <f t="shared" si="652"/>
        <v>#DIV/0!</v>
      </c>
      <c r="BH649" s="29" t="str">
        <f t="shared" si="652"/>
        <v>#DIV/0!</v>
      </c>
      <c r="BI649" s="29" t="str">
        <f t="shared" si="652"/>
        <v>#DIV/0!</v>
      </c>
      <c r="BJ649" s="29" t="str">
        <f t="shared" si="652"/>
        <v>#DIV/0!</v>
      </c>
      <c r="BK649" s="29" t="str">
        <f t="shared" si="652"/>
        <v>#DIV/0!</v>
      </c>
      <c r="BL649" s="29" t="str">
        <f t="shared" si="652"/>
        <v>#DIV/0!</v>
      </c>
      <c r="BM649" s="29" t="str">
        <f t="shared" si="3"/>
        <v>#DIV/0!</v>
      </c>
    </row>
    <row r="650">
      <c r="A650" s="16" t="str">
        <f>IFERROR(__xludf.DUMMYFUNCTION("IFERROR(SPARKLINE(SORT(MAP(TRANSPOSE(AQ650:BL650), LAMBDA(val, IF(ISNUMBER(val), PERCENTRANK(AQ650:BL650, val)+0.01, 0))), SEQUENCE(COLUMNS(AQ650:BL650)), FALSE), {""charttype"",""column""; ""color"",""chartreuse""; ""ymin"", 0; ""ymax"", 1.01; ""highcolo"&amp;"r"", ""darkgreen""; ""lowcolor"", ""red""}), """")"),"")</f>
        <v/>
      </c>
      <c r="B650" s="17" t="str">
        <f t="shared" si="4"/>
        <v/>
      </c>
      <c r="C650" s="1" t="s">
        <v>2894</v>
      </c>
      <c r="D650" s="34" t="str">
        <f>IFERROR(__xludf.DUMMYFUNCTION("IFERROR(GOOGLEFINANCE(C650, ""NAME""))"),"Stewart Information Services Corp")</f>
        <v>Stewart Information Services Corp</v>
      </c>
      <c r="E650" s="30" t="s">
        <v>82</v>
      </c>
      <c r="F650" s="33" t="str">
        <f>IFERROR(__xludf.DUMMYFUNCTION("( (GOOGLEFINANCE(C650, ""price"") - Q650) / Q650 ) / (R650 / 100)"),"Loading...")</f>
        <v>Loading...</v>
      </c>
      <c r="G650" s="20" t="str">
        <f>IFERROR(__xludf.DUMMYFUNCTION("AVERAGE(ARRAYFORMULA(100 * (QUERY(GOOGLEFINANCE(C650, ""high"", TODAY()-40, TODAY()), ""SELECT Col2 WHERE Col2 IS NOT NULL ORDER BY Col1 DESC LIMIT 20"", 0) / QUERY(GOOGLEFINANCE(C650, ""low"", TODAY()-40, TODAY()), ""SELECT Col2 WHERE Col2 IS NOT NULL OR"&amp;"DER BY Col1 DESC LIMIT 20"", 0) - 1)))"),"#N/A")</f>
        <v>#N/A</v>
      </c>
      <c r="H650" s="35" t="str">
        <f t="shared" si="6"/>
        <v/>
      </c>
      <c r="I650" s="36" t="str">
        <f t="shared" si="7"/>
        <v/>
      </c>
      <c r="J650" s="37" t="str">
        <f>IFERROR(__xludf.DUMMYFUNCTION("IFERROR(
  IF(C650="""",, 
    IFERROR(
      GOOGLEFINANCE(C650, ""price"") * GOOGLEFINANCE(C650, ""volumeavg""), 
      GOOGLEFINANCE(C650, ""price"") * AVERAGE(QUERY(GOOGLEFINANCE(C650, ""volume"", TODAY()-40, TODAY()), ""SELECT Col2 WHERE Col2 IS NOT "&amp;"NULL ORDER BY Col1 DESC LIMIT 20"", 0))
    )
  ), 
"""")"),"")</f>
        <v/>
      </c>
      <c r="K650" s="21" t="str">
        <f>IFERROR(__xludf.DUMMYFUNCTION("IFERROR(GOOGLEFINANCE(C650, ""changepct"") / 100, """")"),"")</f>
        <v/>
      </c>
      <c r="L650" s="21" t="str">
        <f>IFERROR(__xludf.DUMMYFUNCTION("IFERROR((GOOGLEFINANCE(C650, ""price"") / INDEX(GOOGLEFINANCE(C650, ""price"", TODAY()-7, TODAY()), 2, 2)) - 1, """")"),"")</f>
        <v/>
      </c>
      <c r="M650" s="21" t="str">
        <f>IFERROR(__xludf.DUMMYFUNCTION("IFERROR((GOOGLEFINANCE(C650, ""price"") / INDEX(GOOGLEFINANCE(C650, ""price"", EDATE(TODAY(), -1), TODAY()), 2, 2)) - 1, """")"),"")</f>
        <v/>
      </c>
      <c r="N650" s="21" t="str">
        <f>IFERROR(__xludf.DUMMYFUNCTION("IFERROR((GOOGLEFINANCE(C650, ""price"") / INDEX(GOOGLEFINANCE(C650, ""price"", EDATE(TODAY(), -3), TODAY()), 2, 2)) - 1, """")"),"")</f>
        <v/>
      </c>
      <c r="O650" s="21" t="str">
        <f>IFERROR(__xludf.DUMMYFUNCTION("IFERROR((GOOGLEFINANCE(C650, ""price"") / INDEX(GOOGLEFINANCE(C650, ""price"", EDATE(TODAY(), -6), TODAY()), 2, 2)) - 1, """")"),"")</f>
        <v/>
      </c>
      <c r="P650" s="21" t="str">
        <f>IFERROR(__xludf.DUMMYFUNCTION("IFERROR((GOOGLEFINANCE(C650, ""price"") / INDEX(GOOGLEFINANCE(C650, ""price"", EDATE(TODAY(), -12), TODAY()), 2, 2)) - 1, """")"),"")</f>
        <v/>
      </c>
      <c r="Q650" s="6" t="str">
        <f>IFERROR(__xludf.DUMMYFUNCTION("AVERAGE(QUERY(GOOGLEFINANCE(C650, ""price"", TODAY()-80, TODAY()), ""SELECT Col2 WHERE Col2 IS NOT NULL ORDER BY Col1 DESC LIMIT 50"", 0))"),"#N/A")</f>
        <v>#N/A</v>
      </c>
      <c r="R650" s="24" t="str">
        <f>IFERROR(__xludf.DUMMYFUNCTION("IFERROR(
  LET(
    data, QUERY(GOOGLEFINANCE(C650,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GOOGLEFINANCE(C650, ""price"")) * 100,
    IF(calc=0, G650, calc)
  ), 
G650)"),"#N/A")</f>
        <v>#N/A</v>
      </c>
      <c r="S650" s="8" t="s">
        <v>15</v>
      </c>
      <c r="T650" s="26" t="str">
        <f>IFERROR(__xludf.DUMMYFUNCTION("IFERROR(TRANSPOSE(QUERY(IFERROR(SORT(GOOGLEFINANCE(C650, ""price"", WORKDAY(TODAY(), -40), TODAY()), 1, FALSE)), ""select Col2 where Col2 is not null limit 22 label Col2 ''"", 0)), """")"),"")</f>
        <v/>
      </c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8"/>
      <c r="AO650" s="28"/>
      <c r="AP650" s="29"/>
      <c r="AQ650" s="29" t="str">
        <f t="shared" ref="AQ650:BL650" si="653">T650/T$2</f>
        <v>#N/A</v>
      </c>
      <c r="AR650" s="29" t="str">
        <f t="shared" si="653"/>
        <v>#DIV/0!</v>
      </c>
      <c r="AS650" s="29" t="str">
        <f t="shared" si="653"/>
        <v>#DIV/0!</v>
      </c>
      <c r="AT650" s="29" t="str">
        <f t="shared" si="653"/>
        <v>#DIV/0!</v>
      </c>
      <c r="AU650" s="29" t="str">
        <f t="shared" si="653"/>
        <v>#DIV/0!</v>
      </c>
      <c r="AV650" s="29" t="str">
        <f t="shared" si="653"/>
        <v>#DIV/0!</v>
      </c>
      <c r="AW650" s="29" t="str">
        <f t="shared" si="653"/>
        <v>#DIV/0!</v>
      </c>
      <c r="AX650" s="29" t="str">
        <f t="shared" si="653"/>
        <v>#DIV/0!</v>
      </c>
      <c r="AY650" s="29" t="str">
        <f t="shared" si="653"/>
        <v>#DIV/0!</v>
      </c>
      <c r="AZ650" s="29" t="str">
        <f t="shared" si="653"/>
        <v>#DIV/0!</v>
      </c>
      <c r="BA650" s="29" t="str">
        <f t="shared" si="653"/>
        <v>#DIV/0!</v>
      </c>
      <c r="BB650" s="29" t="str">
        <f t="shared" si="653"/>
        <v>#DIV/0!</v>
      </c>
      <c r="BC650" s="29" t="str">
        <f t="shared" si="653"/>
        <v>#DIV/0!</v>
      </c>
      <c r="BD650" s="29" t="str">
        <f t="shared" si="653"/>
        <v>#DIV/0!</v>
      </c>
      <c r="BE650" s="29" t="str">
        <f t="shared" si="653"/>
        <v>#DIV/0!</v>
      </c>
      <c r="BF650" s="29" t="str">
        <f t="shared" si="653"/>
        <v>#DIV/0!</v>
      </c>
      <c r="BG650" s="29" t="str">
        <f t="shared" si="653"/>
        <v>#DIV/0!</v>
      </c>
      <c r="BH650" s="29" t="str">
        <f t="shared" si="653"/>
        <v>#DIV/0!</v>
      </c>
      <c r="BI650" s="29" t="str">
        <f t="shared" si="653"/>
        <v>#DIV/0!</v>
      </c>
      <c r="BJ650" s="29" t="str">
        <f t="shared" si="653"/>
        <v>#DIV/0!</v>
      </c>
      <c r="BK650" s="29" t="str">
        <f t="shared" si="653"/>
        <v>#DIV/0!</v>
      </c>
      <c r="BL650" s="29" t="str">
        <f t="shared" si="653"/>
        <v>#DIV/0!</v>
      </c>
      <c r="BM650" s="29" t="str">
        <f t="shared" si="3"/>
        <v>#DIV/0!</v>
      </c>
    </row>
    <row r="651">
      <c r="A651" s="16" t="str">
        <f>IFERROR(__xludf.DUMMYFUNCTION("IFERROR(SPARKLINE(SORT(MAP(TRANSPOSE(AQ651:BL651), LAMBDA(val, IF(ISNUMBER(val), PERCENTRANK(AQ651:BL651, val)+0.01, 0))), SEQUENCE(COLUMNS(AQ651:BL651)), FALSE), {""charttype"",""column""; ""color"",""chartreuse""; ""ymin"", 0; ""ymax"", 1.01; ""highcolo"&amp;"r"", ""darkgreen""; ""lowcolor"", ""red""}), """")"),"")</f>
        <v/>
      </c>
      <c r="B651" s="17" t="str">
        <f t="shared" si="4"/>
        <v/>
      </c>
      <c r="C651" s="1" t="s">
        <v>2898</v>
      </c>
      <c r="D651" s="34" t="str">
        <f>IFERROR(__xludf.DUMMYFUNCTION("IFERROR(GOOGLEFINANCE(C651, ""NAME""))"),"Pelangio Exploration Inc.")</f>
        <v>Pelangio Exploration Inc.</v>
      </c>
      <c r="E651" s="30" t="s">
        <v>64</v>
      </c>
      <c r="F651" s="33" t="str">
        <f>IFERROR(__xludf.DUMMYFUNCTION("( (GOOGLEFINANCE(C651, ""price"") - Q651) / Q651 ) / (R651 / 100)"),"Loading...")</f>
        <v>Loading...</v>
      </c>
      <c r="G651" s="20" t="str">
        <f>IFERROR(__xludf.DUMMYFUNCTION("AVERAGE(ARRAYFORMULA(100 * (QUERY(GOOGLEFINANCE(C651, ""high"", TODAY()-40, TODAY()), ""SELECT Col2 WHERE Col2 IS NOT NULL ORDER BY Col1 DESC LIMIT 20"", 0) / QUERY(GOOGLEFINANCE(C651, ""low"", TODAY()-40, TODAY()), ""SELECT Col2 WHERE Col2 IS NOT NULL OR"&amp;"DER BY Col1 DESC LIMIT 20"", 0) - 1)))"),"#N/A")</f>
        <v>#N/A</v>
      </c>
      <c r="H651" s="35" t="str">
        <f t="shared" si="6"/>
        <v/>
      </c>
      <c r="I651" s="36" t="str">
        <f t="shared" si="7"/>
        <v/>
      </c>
      <c r="J651" s="37" t="str">
        <f>IFERROR(__xludf.DUMMYFUNCTION("IFERROR(
  IF(C651="""",, 
    IFERROR(
      GOOGLEFINANCE(C651, ""price"") * GOOGLEFINANCE(C651, ""volumeavg""), 
      GOOGLEFINANCE(C651, ""price"") * AVERAGE(QUERY(GOOGLEFINANCE(C651, ""volume"", TODAY()-40, TODAY()), ""SELECT Col2 WHERE Col2 IS NOT "&amp;"NULL ORDER BY Col1 DESC LIMIT 20"", 0))
    )
  ), 
"""")"),"")</f>
        <v/>
      </c>
      <c r="K651" s="21" t="str">
        <f>IFERROR(__xludf.DUMMYFUNCTION("IFERROR(GOOGLEFINANCE(C651, ""changepct"") / 100, """")"),"")</f>
        <v/>
      </c>
      <c r="L651" s="21" t="str">
        <f>IFERROR(__xludf.DUMMYFUNCTION("IFERROR((GOOGLEFINANCE(C651, ""price"") / INDEX(GOOGLEFINANCE(C651, ""price"", TODAY()-7, TODAY()), 2, 2)) - 1, """")"),"")</f>
        <v/>
      </c>
      <c r="M651" s="21" t="str">
        <f>IFERROR(__xludf.DUMMYFUNCTION("IFERROR((GOOGLEFINANCE(C651, ""price"") / INDEX(GOOGLEFINANCE(C651, ""price"", EDATE(TODAY(), -1), TODAY()), 2, 2)) - 1, """")"),"")</f>
        <v/>
      </c>
      <c r="N651" s="21" t="str">
        <f>IFERROR(__xludf.DUMMYFUNCTION("IFERROR((GOOGLEFINANCE(C651, ""price"") / INDEX(GOOGLEFINANCE(C651, ""price"", EDATE(TODAY(), -3), TODAY()), 2, 2)) - 1, """")"),"")</f>
        <v/>
      </c>
      <c r="O651" s="21" t="str">
        <f>IFERROR(__xludf.DUMMYFUNCTION("IFERROR((GOOGLEFINANCE(C651, ""price"") / INDEX(GOOGLEFINANCE(C651, ""price"", EDATE(TODAY(), -6), TODAY()), 2, 2)) - 1, """")"),"")</f>
        <v/>
      </c>
      <c r="P651" s="21" t="str">
        <f>IFERROR(__xludf.DUMMYFUNCTION("IFERROR((GOOGLEFINANCE(C651, ""price"") / INDEX(GOOGLEFINANCE(C651, ""price"", EDATE(TODAY(), -12), TODAY()), 2, 2)) - 1, """")"),"")</f>
        <v/>
      </c>
      <c r="Q651" s="6" t="str">
        <f>IFERROR(__xludf.DUMMYFUNCTION("AVERAGE(QUERY(GOOGLEFINANCE(C651, ""price"", TODAY()-80, TODAY()), ""SELECT Col2 WHERE Col2 IS NOT NULL ORDER BY Col1 DESC LIMIT 50"", 0))"),"#N/A")</f>
        <v>#N/A</v>
      </c>
      <c r="R651" s="24" t="str">
        <f>IFERROR(__xludf.DUMMYFUNCTION("IFERROR(
  LET(
    data, QUERY(GOOGLEFINANCE(C651,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GOOGLEFINANCE(C651, ""price"")) * 100,
    IF(calc=0, G651, calc)
  ), 
G651)"),"#N/A")</f>
        <v>#N/A</v>
      </c>
      <c r="S651" s="8" t="s">
        <v>15</v>
      </c>
      <c r="T651" s="26" t="str">
        <f>IFERROR(__xludf.DUMMYFUNCTION("IFERROR(TRANSPOSE(QUERY(IFERROR(SORT(GOOGLEFINANCE(C651, ""price"", WORKDAY(TODAY(), -40), TODAY()), 1, FALSE)), ""select Col2 where Col2 is not null limit 22 label Col2 ''"", 0)), """")"),"")</f>
        <v/>
      </c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8"/>
      <c r="AO651" s="28"/>
      <c r="AP651" s="29"/>
      <c r="AQ651" s="29" t="str">
        <f t="shared" ref="AQ651:BL651" si="654">T651/T$2</f>
        <v>#N/A</v>
      </c>
      <c r="AR651" s="29" t="str">
        <f t="shared" si="654"/>
        <v>#DIV/0!</v>
      </c>
      <c r="AS651" s="29" t="str">
        <f t="shared" si="654"/>
        <v>#DIV/0!</v>
      </c>
      <c r="AT651" s="29" t="str">
        <f t="shared" si="654"/>
        <v>#DIV/0!</v>
      </c>
      <c r="AU651" s="29" t="str">
        <f t="shared" si="654"/>
        <v>#DIV/0!</v>
      </c>
      <c r="AV651" s="29" t="str">
        <f t="shared" si="654"/>
        <v>#DIV/0!</v>
      </c>
      <c r="AW651" s="29" t="str">
        <f t="shared" si="654"/>
        <v>#DIV/0!</v>
      </c>
      <c r="AX651" s="29" t="str">
        <f t="shared" si="654"/>
        <v>#DIV/0!</v>
      </c>
      <c r="AY651" s="29" t="str">
        <f t="shared" si="654"/>
        <v>#DIV/0!</v>
      </c>
      <c r="AZ651" s="29" t="str">
        <f t="shared" si="654"/>
        <v>#DIV/0!</v>
      </c>
      <c r="BA651" s="29" t="str">
        <f t="shared" si="654"/>
        <v>#DIV/0!</v>
      </c>
      <c r="BB651" s="29" t="str">
        <f t="shared" si="654"/>
        <v>#DIV/0!</v>
      </c>
      <c r="BC651" s="29" t="str">
        <f t="shared" si="654"/>
        <v>#DIV/0!</v>
      </c>
      <c r="BD651" s="29" t="str">
        <f t="shared" si="654"/>
        <v>#DIV/0!</v>
      </c>
      <c r="BE651" s="29" t="str">
        <f t="shared" si="654"/>
        <v>#DIV/0!</v>
      </c>
      <c r="BF651" s="29" t="str">
        <f t="shared" si="654"/>
        <v>#DIV/0!</v>
      </c>
      <c r="BG651" s="29" t="str">
        <f t="shared" si="654"/>
        <v>#DIV/0!</v>
      </c>
      <c r="BH651" s="29" t="str">
        <f t="shared" si="654"/>
        <v>#DIV/0!</v>
      </c>
      <c r="BI651" s="29" t="str">
        <f t="shared" si="654"/>
        <v>#DIV/0!</v>
      </c>
      <c r="BJ651" s="29" t="str">
        <f t="shared" si="654"/>
        <v>#DIV/0!</v>
      </c>
      <c r="BK651" s="29" t="str">
        <f t="shared" si="654"/>
        <v>#DIV/0!</v>
      </c>
      <c r="BL651" s="29" t="str">
        <f t="shared" si="654"/>
        <v>#DIV/0!</v>
      </c>
      <c r="BM651" s="29" t="str">
        <f t="shared" si="3"/>
        <v>#DIV/0!</v>
      </c>
    </row>
    <row r="652">
      <c r="A652" s="16" t="str">
        <f>IFERROR(__xludf.DUMMYFUNCTION("IFERROR(SPARKLINE(SORT(MAP(TRANSPOSE(AQ652:BL652), LAMBDA(val, IF(ISNUMBER(val), PERCENTRANK(AQ652:BL652, val)+0.01, 0))), SEQUENCE(COLUMNS(AQ652:BL652)), FALSE), {""charttype"",""column""; ""color"",""chartreuse""; ""ymin"", 0; ""ymax"", 1.01; ""highcolo"&amp;"r"", ""darkgreen""; ""lowcolor"", ""red""}), """")"),"")</f>
        <v/>
      </c>
      <c r="B652" s="17" t="str">
        <f t="shared" si="4"/>
        <v/>
      </c>
      <c r="C652" s="1" t="s">
        <v>2902</v>
      </c>
      <c r="D652" s="34" t="str">
        <f>IFERROR(__xludf.DUMMYFUNCTION("IFERROR(GOOGLEFINANCE(C652, ""NAME""))"),"Waterstone Financial Inc")</f>
        <v>Waterstone Financial Inc</v>
      </c>
      <c r="E652" s="30" t="s">
        <v>268</v>
      </c>
      <c r="F652" s="33" t="str">
        <f>IFERROR(__xludf.DUMMYFUNCTION("( (GOOGLEFINANCE(C652, ""price"") - Q652) / Q652 ) / (R652 / 100)"),"Loading...")</f>
        <v>Loading...</v>
      </c>
      <c r="G652" s="20" t="str">
        <f>IFERROR(__xludf.DUMMYFUNCTION("AVERAGE(ARRAYFORMULA(100 * (QUERY(GOOGLEFINANCE(C652, ""high"", TODAY()-40, TODAY()), ""SELECT Col2 WHERE Col2 IS NOT NULL ORDER BY Col1 DESC LIMIT 20"", 0) / QUERY(GOOGLEFINANCE(C652, ""low"", TODAY()-40, TODAY()), ""SELECT Col2 WHERE Col2 IS NOT NULL OR"&amp;"DER BY Col1 DESC LIMIT 20"", 0) - 1)))"),"#N/A")</f>
        <v>#N/A</v>
      </c>
      <c r="H652" s="35" t="str">
        <f t="shared" si="6"/>
        <v/>
      </c>
      <c r="I652" s="36" t="str">
        <f t="shared" si="7"/>
        <v/>
      </c>
      <c r="J652" s="37" t="str">
        <f>IFERROR(__xludf.DUMMYFUNCTION("IFERROR(
  IF(C652="""",, 
    IFERROR(
      GOOGLEFINANCE(C652, ""price"") * GOOGLEFINANCE(C652, ""volumeavg""), 
      GOOGLEFINANCE(C652, ""price"") * AVERAGE(QUERY(GOOGLEFINANCE(C652, ""volume"", TODAY()-40, TODAY()), ""SELECT Col2 WHERE Col2 IS NOT "&amp;"NULL ORDER BY Col1 DESC LIMIT 20"", 0))
    )
  ), 
"""")"),"")</f>
        <v/>
      </c>
      <c r="K652" s="21" t="str">
        <f>IFERROR(__xludf.DUMMYFUNCTION("IFERROR(GOOGLEFINANCE(C652, ""changepct"") / 100, """")"),"")</f>
        <v/>
      </c>
      <c r="L652" s="21" t="str">
        <f>IFERROR(__xludf.DUMMYFUNCTION("IFERROR((GOOGLEFINANCE(C652, ""price"") / INDEX(GOOGLEFINANCE(C652, ""price"", TODAY()-7, TODAY()), 2, 2)) - 1, """")"),"")</f>
        <v/>
      </c>
      <c r="M652" s="21" t="str">
        <f>IFERROR(__xludf.DUMMYFUNCTION("IFERROR((GOOGLEFINANCE(C652, ""price"") / INDEX(GOOGLEFINANCE(C652, ""price"", EDATE(TODAY(), -1), TODAY()), 2, 2)) - 1, """")"),"")</f>
        <v/>
      </c>
      <c r="N652" s="21" t="str">
        <f>IFERROR(__xludf.DUMMYFUNCTION("IFERROR((GOOGLEFINANCE(C652, ""price"") / INDEX(GOOGLEFINANCE(C652, ""price"", EDATE(TODAY(), -3), TODAY()), 2, 2)) - 1, """")"),"")</f>
        <v/>
      </c>
      <c r="O652" s="21" t="str">
        <f>IFERROR(__xludf.DUMMYFUNCTION("IFERROR((GOOGLEFINANCE(C652, ""price"") / INDEX(GOOGLEFINANCE(C652, ""price"", EDATE(TODAY(), -6), TODAY()), 2, 2)) - 1, """")"),"")</f>
        <v/>
      </c>
      <c r="P652" s="21" t="str">
        <f>IFERROR(__xludf.DUMMYFUNCTION("IFERROR((GOOGLEFINANCE(C652, ""price"") / INDEX(GOOGLEFINANCE(C652, ""price"", EDATE(TODAY(), -12), TODAY()), 2, 2)) - 1, """")"),"")</f>
        <v/>
      </c>
      <c r="Q652" s="6" t="str">
        <f>IFERROR(__xludf.DUMMYFUNCTION("AVERAGE(QUERY(GOOGLEFINANCE(C652, ""price"", TODAY()-80, TODAY()), ""SELECT Col2 WHERE Col2 IS NOT NULL ORDER BY Col1 DESC LIMIT 50"", 0))"),"#N/A")</f>
        <v>#N/A</v>
      </c>
      <c r="R652" s="24" t="str">
        <f>IFERROR(__xludf.DUMMYFUNCTION("IFERROR(
  LET(
    data, QUERY(GOOGLEFINANCE(C652,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GOOGLEFINANCE(C652, ""price"")) * 100,
    IF(calc=0, G652, calc)
  ), 
G652)"),"#N/A")</f>
        <v>#N/A</v>
      </c>
      <c r="S652" s="8" t="s">
        <v>15</v>
      </c>
      <c r="T652" s="26" t="str">
        <f>IFERROR(__xludf.DUMMYFUNCTION("IFERROR(TRANSPOSE(QUERY(IFERROR(SORT(GOOGLEFINANCE(C652, ""price"", WORKDAY(TODAY(), -40), TODAY()), 1, FALSE)), ""select Col2 where Col2 is not null limit 22 label Col2 ''"", 0)), """")"),"")</f>
        <v/>
      </c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8"/>
      <c r="AO652" s="28"/>
      <c r="AP652" s="29"/>
      <c r="AQ652" s="29" t="str">
        <f t="shared" ref="AQ652:BL652" si="655">T652/T$2</f>
        <v>#N/A</v>
      </c>
      <c r="AR652" s="29" t="str">
        <f t="shared" si="655"/>
        <v>#DIV/0!</v>
      </c>
      <c r="AS652" s="29" t="str">
        <f t="shared" si="655"/>
        <v>#DIV/0!</v>
      </c>
      <c r="AT652" s="29" t="str">
        <f t="shared" si="655"/>
        <v>#DIV/0!</v>
      </c>
      <c r="AU652" s="29" t="str">
        <f t="shared" si="655"/>
        <v>#DIV/0!</v>
      </c>
      <c r="AV652" s="29" t="str">
        <f t="shared" si="655"/>
        <v>#DIV/0!</v>
      </c>
      <c r="AW652" s="29" t="str">
        <f t="shared" si="655"/>
        <v>#DIV/0!</v>
      </c>
      <c r="AX652" s="29" t="str">
        <f t="shared" si="655"/>
        <v>#DIV/0!</v>
      </c>
      <c r="AY652" s="29" t="str">
        <f t="shared" si="655"/>
        <v>#DIV/0!</v>
      </c>
      <c r="AZ652" s="29" t="str">
        <f t="shared" si="655"/>
        <v>#DIV/0!</v>
      </c>
      <c r="BA652" s="29" t="str">
        <f t="shared" si="655"/>
        <v>#DIV/0!</v>
      </c>
      <c r="BB652" s="29" t="str">
        <f t="shared" si="655"/>
        <v>#DIV/0!</v>
      </c>
      <c r="BC652" s="29" t="str">
        <f t="shared" si="655"/>
        <v>#DIV/0!</v>
      </c>
      <c r="BD652" s="29" t="str">
        <f t="shared" si="655"/>
        <v>#DIV/0!</v>
      </c>
      <c r="BE652" s="29" t="str">
        <f t="shared" si="655"/>
        <v>#DIV/0!</v>
      </c>
      <c r="BF652" s="29" t="str">
        <f t="shared" si="655"/>
        <v>#DIV/0!</v>
      </c>
      <c r="BG652" s="29" t="str">
        <f t="shared" si="655"/>
        <v>#DIV/0!</v>
      </c>
      <c r="BH652" s="29" t="str">
        <f t="shared" si="655"/>
        <v>#DIV/0!</v>
      </c>
      <c r="BI652" s="29" t="str">
        <f t="shared" si="655"/>
        <v>#DIV/0!</v>
      </c>
      <c r="BJ652" s="29" t="str">
        <f t="shared" si="655"/>
        <v>#DIV/0!</v>
      </c>
      <c r="BK652" s="29" t="str">
        <f t="shared" si="655"/>
        <v>#DIV/0!</v>
      </c>
      <c r="BL652" s="29" t="str">
        <f t="shared" si="655"/>
        <v>#DIV/0!</v>
      </c>
      <c r="BM652" s="29" t="str">
        <f t="shared" si="3"/>
        <v>#DIV/0!</v>
      </c>
    </row>
    <row r="653">
      <c r="A653" s="16" t="str">
        <f>IFERROR(__xludf.DUMMYFUNCTION("IFERROR(SPARKLINE(SORT(MAP(TRANSPOSE(AQ653:BL653), LAMBDA(val, IF(ISNUMBER(val), PERCENTRANK(AQ653:BL653, val)+0.01, 0))), SEQUENCE(COLUMNS(AQ653:BL653)), FALSE), {""charttype"",""column""; ""color"",""chartreuse""; ""ymin"", 0; ""ymax"", 1.01; ""highcolo"&amp;"r"", ""darkgreen""; ""lowcolor"", ""red""}), """")"),"")</f>
        <v/>
      </c>
      <c r="B653" s="17" t="str">
        <f t="shared" si="4"/>
        <v/>
      </c>
      <c r="C653" s="1" t="s">
        <v>2906</v>
      </c>
      <c r="D653" s="34" t="str">
        <f>IFERROR(__xludf.DUMMYFUNCTION("IFERROR(GOOGLEFINANCE(C653, ""NAME""))"),"Burford Capital Limited")</f>
        <v>Burford Capital Limited</v>
      </c>
      <c r="E653" s="30" t="s">
        <v>64</v>
      </c>
      <c r="F653" s="33" t="str">
        <f>IFERROR(__xludf.DUMMYFUNCTION("( (GOOGLEFINANCE(C653, ""price"") - Q653) / Q653 ) / (R653 / 100)"),"Loading...")</f>
        <v>Loading...</v>
      </c>
      <c r="G653" s="20" t="str">
        <f>IFERROR(__xludf.DUMMYFUNCTION("AVERAGE(ARRAYFORMULA(100 * (QUERY(GOOGLEFINANCE(C653, ""high"", TODAY()-40, TODAY()), ""SELECT Col2 WHERE Col2 IS NOT NULL ORDER BY Col1 DESC LIMIT 20"", 0) / QUERY(GOOGLEFINANCE(C653, ""low"", TODAY()-40, TODAY()), ""SELECT Col2 WHERE Col2 IS NOT NULL OR"&amp;"DER BY Col1 DESC LIMIT 20"", 0) - 1)))"),"#N/A")</f>
        <v>#N/A</v>
      </c>
      <c r="H653" s="35" t="str">
        <f t="shared" si="6"/>
        <v/>
      </c>
      <c r="I653" s="36" t="str">
        <f t="shared" si="7"/>
        <v/>
      </c>
      <c r="J653" s="37" t="str">
        <f>IFERROR(__xludf.DUMMYFUNCTION("IFERROR(
  IF(C653="""",, 
    IFERROR(
      GOOGLEFINANCE(C653, ""price"") * GOOGLEFINANCE(C653, ""volumeavg""), 
      GOOGLEFINANCE(C653, ""price"") * AVERAGE(QUERY(GOOGLEFINANCE(C653, ""volume"", TODAY()-40, TODAY()), ""SELECT Col2 WHERE Col2 IS NOT "&amp;"NULL ORDER BY Col1 DESC LIMIT 20"", 0))
    )
  ), 
"""")"),"")</f>
        <v/>
      </c>
      <c r="K653" s="21" t="str">
        <f>IFERROR(__xludf.DUMMYFUNCTION("IFERROR(GOOGLEFINANCE(C653, ""changepct"") / 100, """")"),"")</f>
        <v/>
      </c>
      <c r="L653" s="21" t="str">
        <f>IFERROR(__xludf.DUMMYFUNCTION("IFERROR((GOOGLEFINANCE(C653, ""price"") / INDEX(GOOGLEFINANCE(C653, ""price"", TODAY()-7, TODAY()), 2, 2)) - 1, """")"),"")</f>
        <v/>
      </c>
      <c r="M653" s="21" t="str">
        <f>IFERROR(__xludf.DUMMYFUNCTION("IFERROR((GOOGLEFINANCE(C653, ""price"") / INDEX(GOOGLEFINANCE(C653, ""price"", EDATE(TODAY(), -1), TODAY()), 2, 2)) - 1, """")"),"")</f>
        <v/>
      </c>
      <c r="N653" s="21" t="str">
        <f>IFERROR(__xludf.DUMMYFUNCTION("IFERROR((GOOGLEFINANCE(C653, ""price"") / INDEX(GOOGLEFINANCE(C653, ""price"", EDATE(TODAY(), -3), TODAY()), 2, 2)) - 1, """")"),"")</f>
        <v/>
      </c>
      <c r="O653" s="21" t="str">
        <f>IFERROR(__xludf.DUMMYFUNCTION("IFERROR((GOOGLEFINANCE(C653, ""price"") / INDEX(GOOGLEFINANCE(C653, ""price"", EDATE(TODAY(), -6), TODAY()), 2, 2)) - 1, """")"),"")</f>
        <v/>
      </c>
      <c r="P653" s="21" t="str">
        <f>IFERROR(__xludf.DUMMYFUNCTION("IFERROR((GOOGLEFINANCE(C653, ""price"") / INDEX(GOOGLEFINANCE(C653, ""price"", EDATE(TODAY(), -12), TODAY()), 2, 2)) - 1, """")"),"")</f>
        <v/>
      </c>
      <c r="Q653" s="6" t="str">
        <f>IFERROR(__xludf.DUMMYFUNCTION("AVERAGE(QUERY(GOOGLEFINANCE(C653, ""price"", TODAY()-80, TODAY()), ""SELECT Col2 WHERE Col2 IS NOT NULL ORDER BY Col1 DESC LIMIT 50"", 0))"),"#N/A")</f>
        <v>#N/A</v>
      </c>
      <c r="R653" s="24" t="str">
        <f>IFERROR(__xludf.DUMMYFUNCTION("IFERROR(
  LET(
    data, QUERY(GOOGLEFINANCE(C653,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GOOGLEFINANCE(C653, ""price"")) * 100,
    IF(calc=0, G653, calc)
  ), 
G653)"),"#N/A")</f>
        <v>#N/A</v>
      </c>
      <c r="S653" s="8" t="s">
        <v>15</v>
      </c>
      <c r="T653" s="26" t="str">
        <f>IFERROR(__xludf.DUMMYFUNCTION("IFERROR(TRANSPOSE(QUERY(IFERROR(SORT(GOOGLEFINANCE(C653, ""price"", WORKDAY(TODAY(), -40), TODAY()), 1, FALSE)), ""select Col2 where Col2 is not null limit 22 label Col2 ''"", 0)), """")"),"")</f>
        <v/>
      </c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8"/>
      <c r="AO653" s="28"/>
      <c r="AP653" s="29"/>
      <c r="AQ653" s="29" t="str">
        <f t="shared" ref="AQ653:BL653" si="656">T653/T$2</f>
        <v>#N/A</v>
      </c>
      <c r="AR653" s="29" t="str">
        <f t="shared" si="656"/>
        <v>#DIV/0!</v>
      </c>
      <c r="AS653" s="29" t="str">
        <f t="shared" si="656"/>
        <v>#DIV/0!</v>
      </c>
      <c r="AT653" s="29" t="str">
        <f t="shared" si="656"/>
        <v>#DIV/0!</v>
      </c>
      <c r="AU653" s="29" t="str">
        <f t="shared" si="656"/>
        <v>#DIV/0!</v>
      </c>
      <c r="AV653" s="29" t="str">
        <f t="shared" si="656"/>
        <v>#DIV/0!</v>
      </c>
      <c r="AW653" s="29" t="str">
        <f t="shared" si="656"/>
        <v>#DIV/0!</v>
      </c>
      <c r="AX653" s="29" t="str">
        <f t="shared" si="656"/>
        <v>#DIV/0!</v>
      </c>
      <c r="AY653" s="29" t="str">
        <f t="shared" si="656"/>
        <v>#DIV/0!</v>
      </c>
      <c r="AZ653" s="29" t="str">
        <f t="shared" si="656"/>
        <v>#DIV/0!</v>
      </c>
      <c r="BA653" s="29" t="str">
        <f t="shared" si="656"/>
        <v>#DIV/0!</v>
      </c>
      <c r="BB653" s="29" t="str">
        <f t="shared" si="656"/>
        <v>#DIV/0!</v>
      </c>
      <c r="BC653" s="29" t="str">
        <f t="shared" si="656"/>
        <v>#DIV/0!</v>
      </c>
      <c r="BD653" s="29" t="str">
        <f t="shared" si="656"/>
        <v>#DIV/0!</v>
      </c>
      <c r="BE653" s="29" t="str">
        <f t="shared" si="656"/>
        <v>#DIV/0!</v>
      </c>
      <c r="BF653" s="29" t="str">
        <f t="shared" si="656"/>
        <v>#DIV/0!</v>
      </c>
      <c r="BG653" s="29" t="str">
        <f t="shared" si="656"/>
        <v>#DIV/0!</v>
      </c>
      <c r="BH653" s="29" t="str">
        <f t="shared" si="656"/>
        <v>#DIV/0!</v>
      </c>
      <c r="BI653" s="29" t="str">
        <f t="shared" si="656"/>
        <v>#DIV/0!</v>
      </c>
      <c r="BJ653" s="29" t="str">
        <f t="shared" si="656"/>
        <v>#DIV/0!</v>
      </c>
      <c r="BK653" s="29" t="str">
        <f t="shared" si="656"/>
        <v>#DIV/0!</v>
      </c>
      <c r="BL653" s="29" t="str">
        <f t="shared" si="656"/>
        <v>#DIV/0!</v>
      </c>
      <c r="BM653" s="29" t="str">
        <f t="shared" si="3"/>
        <v>#DIV/0!</v>
      </c>
    </row>
    <row r="654">
      <c r="A654" s="16" t="str">
        <f>IFERROR(__xludf.DUMMYFUNCTION("IFERROR(SPARKLINE(SORT(MAP(TRANSPOSE(AQ654:BL654), LAMBDA(val, IF(ISNUMBER(val), PERCENTRANK(AQ654:BL654, val)+0.01, 0))), SEQUENCE(COLUMNS(AQ654:BL654)), FALSE), {""charttype"",""column""; ""color"",""chartreuse""; ""ymin"", 0; ""ymax"", 1.01; ""highcolo"&amp;"r"", ""darkgreen""; ""lowcolor"", ""red""}), """")"),"")</f>
        <v/>
      </c>
      <c r="B654" s="17" t="str">
        <f t="shared" si="4"/>
        <v/>
      </c>
      <c r="C654" s="1" t="s">
        <v>2909</v>
      </c>
      <c r="D654" s="34" t="str">
        <f>IFERROR(__xludf.DUMMYFUNCTION("IFERROR(GOOGLEFINANCE(C654, ""NAME""))"),"First Interstate Bancsystem Inc")</f>
        <v>First Interstate Bancsystem Inc</v>
      </c>
      <c r="E654" s="30" t="s">
        <v>268</v>
      </c>
      <c r="F654" s="33" t="str">
        <f>IFERROR(__xludf.DUMMYFUNCTION("( (GOOGLEFINANCE(C654, ""price"") - Q654) / Q654 ) / (R654 / 100)"),"Loading...")</f>
        <v>Loading...</v>
      </c>
      <c r="G654" s="20" t="str">
        <f>IFERROR(__xludf.DUMMYFUNCTION("AVERAGE(ARRAYFORMULA(100 * (QUERY(GOOGLEFINANCE(C654, ""high"", TODAY()-40, TODAY()), ""SELECT Col2 WHERE Col2 IS NOT NULL ORDER BY Col1 DESC LIMIT 20"", 0) / QUERY(GOOGLEFINANCE(C654, ""low"", TODAY()-40, TODAY()), ""SELECT Col2 WHERE Col2 IS NOT NULL OR"&amp;"DER BY Col1 DESC LIMIT 20"", 0) - 1)))"),"#N/A")</f>
        <v>#N/A</v>
      </c>
      <c r="H654" s="35" t="str">
        <f t="shared" si="6"/>
        <v>Illiquid</v>
      </c>
      <c r="I654" s="36" t="str">
        <f t="shared" si="7"/>
        <v>RVol Required</v>
      </c>
      <c r="J654" s="37">
        <f>IFERROR(__xludf.DUMMYFUNCTION("IFERROR(
  IF(C654="""",, 
    IFERROR(
      GOOGLEFINANCE(C654, ""price"") * GOOGLEFINANCE(C654, ""volumeavg""), 
      GOOGLEFINANCE(C654, ""price"") * AVERAGE(QUERY(GOOGLEFINANCE(C654, ""volume"", TODAY()-40, TODAY()), ""SELECT Col2 WHERE Col2 IS NOT "&amp;"NULL ORDER BY Col1 DESC LIMIT 20"", 0))
    )
  ), 
"""")"),4.25007697E7)</f>
        <v>42500769.7</v>
      </c>
      <c r="K654" s="21">
        <f>IFERROR(__xludf.DUMMYFUNCTION("IFERROR(GOOGLEFINANCE(C654, ""changepct"") / 100, """")"),3.0E-4)</f>
        <v>0.0003</v>
      </c>
      <c r="L654" s="21" t="str">
        <f>IFERROR(__xludf.DUMMYFUNCTION("IFERROR((GOOGLEFINANCE(C654, ""price"") / INDEX(GOOGLEFINANCE(C654, ""price"", TODAY()-7, TODAY()), 2, 2)) - 1, """")"),"")</f>
        <v/>
      </c>
      <c r="M654" s="21" t="str">
        <f>IFERROR(__xludf.DUMMYFUNCTION("IFERROR((GOOGLEFINANCE(C654, ""price"") / INDEX(GOOGLEFINANCE(C654, ""price"", EDATE(TODAY(), -1), TODAY()), 2, 2)) - 1, """")"),"")</f>
        <v/>
      </c>
      <c r="N654" s="21" t="str">
        <f>IFERROR(__xludf.DUMMYFUNCTION("IFERROR((GOOGLEFINANCE(C654, ""price"") / INDEX(GOOGLEFINANCE(C654, ""price"", EDATE(TODAY(), -3), TODAY()), 2, 2)) - 1, """")"),"")</f>
        <v/>
      </c>
      <c r="O654" s="21" t="str">
        <f>IFERROR(__xludf.DUMMYFUNCTION("IFERROR((GOOGLEFINANCE(C654, ""price"") / INDEX(GOOGLEFINANCE(C654, ""price"", EDATE(TODAY(), -6), TODAY()), 2, 2)) - 1, """")"),"")</f>
        <v/>
      </c>
      <c r="P654" s="21" t="str">
        <f>IFERROR(__xludf.DUMMYFUNCTION("IFERROR((GOOGLEFINANCE(C654, ""price"") / INDEX(GOOGLEFINANCE(C654, ""price"", EDATE(TODAY(), -12), TODAY()), 2, 2)) - 1, """")"),"")</f>
        <v/>
      </c>
      <c r="Q654" s="6" t="str">
        <f>IFERROR(__xludf.DUMMYFUNCTION("AVERAGE(QUERY(GOOGLEFINANCE(C654, ""price"", TODAY()-80, TODAY()), ""SELECT Col2 WHERE Col2 IS NOT NULL ORDER BY Col1 DESC LIMIT 50"", 0))"),"#N/A")</f>
        <v>#N/A</v>
      </c>
      <c r="R654" s="24" t="str">
        <f>IFERROR(__xludf.DUMMYFUNCTION("IFERROR(
  LET(
    data, QUERY(GOOGLEFINANCE(C654,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GOOGLEFINANCE(C654, ""price"")) * 100,
    IF(calc=0, G654, calc)
  ), 
G654)"),"#N/A")</f>
        <v>#N/A</v>
      </c>
      <c r="S654" s="8" t="s">
        <v>15</v>
      </c>
      <c r="T654" s="26" t="str">
        <f>IFERROR(__xludf.DUMMYFUNCTION("IFERROR(TRANSPOSE(QUERY(IFERROR(SORT(GOOGLEFINANCE(C654, ""price"", WORKDAY(TODAY(), -40), TODAY()), 1, FALSE)), ""select Col2 where Col2 is not null limit 22 label Col2 ''"", 0)), """")"),"")</f>
        <v/>
      </c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8"/>
      <c r="AO654" s="28"/>
      <c r="AP654" s="29"/>
      <c r="AQ654" s="29" t="str">
        <f t="shared" ref="AQ654:BL654" si="657">T654/T$2</f>
        <v>#N/A</v>
      </c>
      <c r="AR654" s="29" t="str">
        <f t="shared" si="657"/>
        <v>#DIV/0!</v>
      </c>
      <c r="AS654" s="29" t="str">
        <f t="shared" si="657"/>
        <v>#DIV/0!</v>
      </c>
      <c r="AT654" s="29" t="str">
        <f t="shared" si="657"/>
        <v>#DIV/0!</v>
      </c>
      <c r="AU654" s="29" t="str">
        <f t="shared" si="657"/>
        <v>#DIV/0!</v>
      </c>
      <c r="AV654" s="29" t="str">
        <f t="shared" si="657"/>
        <v>#DIV/0!</v>
      </c>
      <c r="AW654" s="29" t="str">
        <f t="shared" si="657"/>
        <v>#DIV/0!</v>
      </c>
      <c r="AX654" s="29" t="str">
        <f t="shared" si="657"/>
        <v>#DIV/0!</v>
      </c>
      <c r="AY654" s="29" t="str">
        <f t="shared" si="657"/>
        <v>#DIV/0!</v>
      </c>
      <c r="AZ654" s="29" t="str">
        <f t="shared" si="657"/>
        <v>#DIV/0!</v>
      </c>
      <c r="BA654" s="29" t="str">
        <f t="shared" si="657"/>
        <v>#DIV/0!</v>
      </c>
      <c r="BB654" s="29" t="str">
        <f t="shared" si="657"/>
        <v>#DIV/0!</v>
      </c>
      <c r="BC654" s="29" t="str">
        <f t="shared" si="657"/>
        <v>#DIV/0!</v>
      </c>
      <c r="BD654" s="29" t="str">
        <f t="shared" si="657"/>
        <v>#DIV/0!</v>
      </c>
      <c r="BE654" s="29" t="str">
        <f t="shared" si="657"/>
        <v>#DIV/0!</v>
      </c>
      <c r="BF654" s="29" t="str">
        <f t="shared" si="657"/>
        <v>#DIV/0!</v>
      </c>
      <c r="BG654" s="29" t="str">
        <f t="shared" si="657"/>
        <v>#DIV/0!</v>
      </c>
      <c r="BH654" s="29" t="str">
        <f t="shared" si="657"/>
        <v>#DIV/0!</v>
      </c>
      <c r="BI654" s="29" t="str">
        <f t="shared" si="657"/>
        <v>#DIV/0!</v>
      </c>
      <c r="BJ654" s="29" t="str">
        <f t="shared" si="657"/>
        <v>#DIV/0!</v>
      </c>
      <c r="BK654" s="29" t="str">
        <f t="shared" si="657"/>
        <v>#DIV/0!</v>
      </c>
      <c r="BL654" s="29" t="str">
        <f t="shared" si="657"/>
        <v>#DIV/0!</v>
      </c>
      <c r="BM654" s="29" t="str">
        <f t="shared" si="3"/>
        <v>#DIV/0!</v>
      </c>
    </row>
  </sheetData>
  <mergeCells count="5">
    <mergeCell ref="E1:E3"/>
    <mergeCell ref="G1:G3"/>
    <mergeCell ref="H1:H3"/>
    <mergeCell ref="I1:I3"/>
    <mergeCell ref="J1:J3"/>
  </mergeCells>
  <conditionalFormatting sqref="H4:I654">
    <cfRule type="cellIs" dxfId="8" priority="1" operator="equal">
      <formula>"Liquid"</formula>
    </cfRule>
  </conditionalFormatting>
  <conditionalFormatting sqref="K1:P654">
    <cfRule type="cellIs" dxfId="0" priority="2" operator="lessThan">
      <formula>0</formula>
    </cfRule>
  </conditionalFormatting>
  <conditionalFormatting sqref="A1:BM654">
    <cfRule type="containsBlanks" dxfId="1" priority="3">
      <formula>LEN(TRIM(A1))=0</formula>
    </cfRule>
  </conditionalFormatting>
  <conditionalFormatting sqref="C1:C654">
    <cfRule type="expression" dxfId="2" priority="4">
      <formula>COUNTIF($C:$C, C1) &gt; 1</formula>
    </cfRule>
  </conditionalFormatting>
  <conditionalFormatting sqref="F1:F654">
    <cfRule type="cellIs" dxfId="3" priority="5" operator="greaterThanOrEqual">
      <formula>8</formula>
    </cfRule>
  </conditionalFormatting>
  <conditionalFormatting sqref="F1:F654">
    <cfRule type="cellIs" dxfId="4" priority="6" operator="greaterThanOrEqual">
      <formula>5</formula>
    </cfRule>
  </conditionalFormatting>
  <conditionalFormatting sqref="F1:F654">
    <cfRule type="cellIs" dxfId="5" priority="7" operator="between">
      <formula>5</formula>
      <formula>-1</formula>
    </cfRule>
  </conditionalFormatting>
  <conditionalFormatting sqref="F1:F654">
    <cfRule type="cellIs" dxfId="6" priority="8" operator="lessThan">
      <formula>-5</formula>
    </cfRule>
  </conditionalFormatting>
  <conditionalFormatting sqref="G1:G654 H1:H3">
    <cfRule type="cellIs" dxfId="7" priority="9" operator="greaterThanOrEqual">
      <formula>4</formula>
    </cfRule>
  </conditionalFormatting>
  <conditionalFormatting sqref="F1:F654">
    <cfRule type="cellIs" dxfId="9" priority="10" operator="lessThan">
      <formula>-1</formula>
    </cfRule>
  </conditionalFormatting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2.13"/>
    <col customWidth="1" min="2" max="2" width="9.13"/>
    <col customWidth="1" min="3" max="3" width="8.25"/>
    <col customWidth="1" min="4" max="4" width="31.88"/>
    <col customWidth="1" min="5" max="5" width="25.63"/>
    <col customWidth="1" min="6" max="6" width="11.25"/>
    <col customWidth="1" min="7" max="7" width="8.25"/>
    <col customWidth="1" min="8" max="8" width="6.75"/>
    <col customWidth="1" min="9" max="9" width="14.75"/>
    <col customWidth="1" min="10" max="10" width="13.63"/>
    <col customWidth="1" min="11" max="11" width="6.63"/>
    <col customWidth="1" min="12" max="12" width="7.13"/>
    <col customWidth="1" min="13" max="13" width="7.38"/>
    <col customWidth="1" min="14" max="14" width="7.63"/>
    <col customWidth="1" min="15" max="15" width="8.0"/>
    <col customWidth="1" min="16" max="16" width="8.75"/>
    <col customWidth="1" min="17" max="17" width="9.38"/>
    <col customWidth="1" min="18" max="18" width="8.63"/>
    <col customWidth="1" min="19" max="19" width="1.63"/>
    <col customWidth="1" min="20" max="20" width="9.25"/>
    <col customWidth="1" min="21" max="22" width="10.75"/>
    <col customWidth="1" min="23" max="23" width="10.88"/>
    <col customWidth="1" min="24" max="24" width="10.75"/>
    <col customWidth="1" min="25" max="25" width="10.88"/>
    <col customWidth="1" min="26" max="26" width="10.75"/>
    <col customWidth="1" min="27" max="28" width="10.88"/>
    <col customWidth="1" min="29" max="29" width="11.5"/>
    <col customWidth="1" min="30" max="30" width="11.0"/>
    <col customWidth="1" min="31" max="32" width="11.25"/>
    <col customWidth="1" min="33" max="33" width="11.5"/>
    <col customWidth="1" min="34" max="38" width="11.38"/>
    <col customWidth="1" min="39" max="39" width="11.75"/>
    <col customWidth="1" min="40" max="40" width="11.38"/>
    <col customWidth="1" min="41" max="41" width="11.63"/>
    <col customWidth="1" min="42" max="42" width="14.5"/>
    <col customWidth="1" min="43" max="64" width="5.5"/>
    <col customWidth="1" min="65" max="65" width="5.3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5" t="s">
        <v>5</v>
      </c>
      <c r="F1" s="3" t="s">
        <v>4</v>
      </c>
      <c r="G1" s="9" t="s">
        <v>6</v>
      </c>
      <c r="H1" s="5" t="s">
        <v>17</v>
      </c>
      <c r="I1" s="5" t="s">
        <v>19</v>
      </c>
      <c r="J1" s="5" t="s">
        <v>23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6" t="s">
        <v>13</v>
      </c>
      <c r="R1" s="7" t="s">
        <v>14</v>
      </c>
      <c r="S1" s="8" t="s">
        <v>15</v>
      </c>
      <c r="T1" s="10" t="s">
        <v>16</v>
      </c>
      <c r="U1" s="11" t="s">
        <v>18</v>
      </c>
      <c r="V1" s="12" t="s">
        <v>20</v>
      </c>
      <c r="W1" s="11" t="s">
        <v>21</v>
      </c>
      <c r="X1" s="12" t="s">
        <v>22</v>
      </c>
      <c r="Y1" s="11" t="s">
        <v>24</v>
      </c>
      <c r="Z1" s="11" t="s">
        <v>25</v>
      </c>
      <c r="AA1" s="12" t="s">
        <v>26</v>
      </c>
      <c r="AB1" s="11" t="s">
        <v>27</v>
      </c>
      <c r="AC1" s="12" t="s">
        <v>28</v>
      </c>
      <c r="AD1" s="11" t="s">
        <v>29</v>
      </c>
      <c r="AE1" s="11" t="s">
        <v>30</v>
      </c>
      <c r="AF1" s="12" t="s">
        <v>31</v>
      </c>
      <c r="AG1" s="11" t="s">
        <v>32</v>
      </c>
      <c r="AH1" s="12" t="s">
        <v>33</v>
      </c>
      <c r="AI1" s="11" t="s">
        <v>34</v>
      </c>
      <c r="AJ1" s="11" t="s">
        <v>35</v>
      </c>
      <c r="AK1" s="12" t="s">
        <v>36</v>
      </c>
      <c r="AL1" s="11" t="s">
        <v>37</v>
      </c>
      <c r="AM1" s="12" t="s">
        <v>38</v>
      </c>
      <c r="AN1" s="11" t="s">
        <v>39</v>
      </c>
      <c r="AO1" s="11" t="s">
        <v>40</v>
      </c>
      <c r="AP1" s="13"/>
      <c r="AQ1" s="14">
        <v>1.0</v>
      </c>
      <c r="AR1" s="14">
        <v>2.0</v>
      </c>
      <c r="AS1" s="14">
        <v>3.0</v>
      </c>
      <c r="AT1" s="14">
        <v>4.0</v>
      </c>
      <c r="AU1" s="14">
        <v>5.0</v>
      </c>
      <c r="AV1" s="14">
        <v>6.0</v>
      </c>
      <c r="AW1" s="14">
        <v>7.0</v>
      </c>
      <c r="AX1" s="14">
        <v>8.0</v>
      </c>
      <c r="AY1" s="14">
        <v>9.0</v>
      </c>
      <c r="AZ1" s="14">
        <v>10.0</v>
      </c>
      <c r="BA1" s="14">
        <v>11.0</v>
      </c>
      <c r="BB1" s="14">
        <v>12.0</v>
      </c>
      <c r="BC1" s="14">
        <v>13.0</v>
      </c>
      <c r="BD1" s="14">
        <v>14.0</v>
      </c>
      <c r="BE1" s="14">
        <v>15.0</v>
      </c>
      <c r="BF1" s="14">
        <v>16.0</v>
      </c>
      <c r="BG1" s="14">
        <v>17.0</v>
      </c>
      <c r="BH1" s="14">
        <v>18.0</v>
      </c>
      <c r="BI1" s="14">
        <v>19.0</v>
      </c>
      <c r="BJ1" s="14">
        <v>20.0</v>
      </c>
      <c r="BK1" s="14">
        <v>21.0</v>
      </c>
      <c r="BL1" s="14">
        <v>22.0</v>
      </c>
      <c r="BM1" s="14" t="s">
        <v>41</v>
      </c>
    </row>
    <row r="2">
      <c r="A2" s="16" t="str">
        <f>IFERROR(__xludf.DUMMYFUNCTION("SPARKLINE(SORT(MAP(TRANSPOSE(AQ2:BL2), LAMBDA(val, PERCENTRANK(AQ2:BL2, val)+0.01)), SEQUENCE(COLUMNS(AQ2:BL2)), FALSE), {""charttype"",""column""; ""color"",""chartreuse""; ""ymin"", 0; ""ymax"", 1.01; ""highcolor"", ""darkgreen""; ""lowcolor"", ""red""}"&amp;")"),"#N/A")</f>
        <v>#N/A</v>
      </c>
      <c r="B2" s="17">
        <f>IF(C2="SPY", 1, PERCENTRANK(AQ2:BL2, AQ2))</f>
        <v>1</v>
      </c>
      <c r="C2" s="1" t="s">
        <v>42</v>
      </c>
      <c r="D2" s="18" t="str">
        <f>IFERROR(__xludf.DUMMYFUNCTION("IFERROR(GOOGLEFINANCE(C2, ""NAME""))"),"State Street SPDR S&amp;P 500 ETF Trust")</f>
        <v>State Street SPDR S&amp;P 500 ETF Trust</v>
      </c>
      <c r="E2" s="22"/>
      <c r="F2" s="19" t="str">
        <f>IFERROR(__xludf.DUMMYFUNCTION("( (GOOGLEFINANCE(C2, ""price"") - Q2) / Q2 ) / (R2 / 100)"),"Loading...")</f>
        <v>Loading...</v>
      </c>
      <c r="G2" s="22"/>
      <c r="H2" s="22"/>
      <c r="I2" s="22"/>
      <c r="J2" s="22"/>
      <c r="K2" s="21">
        <f>IFERROR(__xludf.DUMMYFUNCTION("IFERROR(GOOGLEFINANCE(C2, ""changepct"") / 100, """")"),-0.0111)</f>
        <v>-0.0111</v>
      </c>
      <c r="L2" s="21" t="str">
        <f>IFERROR(__xludf.DUMMYFUNCTION("IFERROR((GOOGLEFINANCE(C2, ""price"") / INDEX(GOOGLEFINANCE(C2, ""price"", TODAY()-7, TODAY()), 2, 2)) - 1, """")"),"")</f>
        <v/>
      </c>
      <c r="M2" s="21" t="str">
        <f>IFERROR(__xludf.DUMMYFUNCTION("IFERROR((GOOGLEFINANCE(C2, ""price"") / INDEX(GOOGLEFINANCE(C2, ""price"", EDATE(TODAY(), -1), TODAY()), 2, 2)) - 1, """")"),"")</f>
        <v/>
      </c>
      <c r="N2" s="21" t="str">
        <f>IFERROR(__xludf.DUMMYFUNCTION("IFERROR((GOOGLEFINANCE(C2, ""price"") / INDEX(GOOGLEFINANCE(C2, ""price"", EDATE(TODAY(), -3), TODAY()), 2, 2)) - 1, """")"),"")</f>
        <v/>
      </c>
      <c r="O2" s="21" t="str">
        <f>IFERROR(__xludf.DUMMYFUNCTION("IFERROR((GOOGLEFINANCE(C2, ""price"") / INDEX(GOOGLEFINANCE(C2, ""price"", EDATE(TODAY(), -6), TODAY()), 2, 2)) - 1, """")"),"")</f>
        <v/>
      </c>
      <c r="P2" s="21" t="str">
        <f>IFERROR(__xludf.DUMMYFUNCTION("IFERROR((GOOGLEFINANCE(C2, ""price"") / INDEX(GOOGLEFINANCE(C2, ""price"", EDATE(TODAY(), -12), TODAY()), 2, 2)) - 1, """")"),"")</f>
        <v/>
      </c>
      <c r="Q2" s="23" t="str">
        <f>IFERROR(__xludf.DUMMYFUNCTION("AVERAGE(QUERY(GOOGLEFINANCE(C2, ""price"", TODAY()-80, TODAY()), ""SELECT Col2 WHERE Col2 IS NOT NULL ORDER BY Col1 DESC LIMIT 50"", 0))"),"#N/A")</f>
        <v>#N/A</v>
      </c>
      <c r="R2" s="24" t="str">
        <f>IFERROR(__xludf.DUMMYFUNCTION("IFERROR(
  LET(
    data, QUERY(GOOGLEFINANCE(C2,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GOOGLEFINANCE(C2, ""price"")) * 100,
    IF(calc=0, G2, calc)
  ), 
G2)"),"")</f>
        <v/>
      </c>
      <c r="S2" s="8" t="s">
        <v>15</v>
      </c>
      <c r="T2" s="26" t="str">
        <f>IFERROR(__xludf.DUMMYFUNCTION("TRANSPOSE(QUERY(SORT(GOOGLEFINANCE(C2, ""price"", WORKDAY(TODAY(), -40), TODAY()), 1, FALSE), ""select Col2 where Col2 is not null limit 22 label Col2 ''"", 0))"),"#N/A")</f>
        <v>#N/A</v>
      </c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8"/>
      <c r="AO2" s="28"/>
      <c r="AP2" s="29"/>
      <c r="AQ2" s="29" t="str">
        <f t="shared" ref="AQ2:BL2" si="1">T2/T$2</f>
        <v>#N/A</v>
      </c>
      <c r="AR2" s="29" t="str">
        <f t="shared" si="1"/>
        <v>#DIV/0!</v>
      </c>
      <c r="AS2" s="29" t="str">
        <f t="shared" si="1"/>
        <v>#DIV/0!</v>
      </c>
      <c r="AT2" s="29" t="str">
        <f t="shared" si="1"/>
        <v>#DIV/0!</v>
      </c>
      <c r="AU2" s="29" t="str">
        <f t="shared" si="1"/>
        <v>#DIV/0!</v>
      </c>
      <c r="AV2" s="29" t="str">
        <f t="shared" si="1"/>
        <v>#DIV/0!</v>
      </c>
      <c r="AW2" s="29" t="str">
        <f t="shared" si="1"/>
        <v>#DIV/0!</v>
      </c>
      <c r="AX2" s="29" t="str">
        <f t="shared" si="1"/>
        <v>#DIV/0!</v>
      </c>
      <c r="AY2" s="29" t="str">
        <f t="shared" si="1"/>
        <v>#DIV/0!</v>
      </c>
      <c r="AZ2" s="29" t="str">
        <f t="shared" si="1"/>
        <v>#DIV/0!</v>
      </c>
      <c r="BA2" s="29" t="str">
        <f t="shared" si="1"/>
        <v>#DIV/0!</v>
      </c>
      <c r="BB2" s="29" t="str">
        <f t="shared" si="1"/>
        <v>#DIV/0!</v>
      </c>
      <c r="BC2" s="29" t="str">
        <f t="shared" si="1"/>
        <v>#DIV/0!</v>
      </c>
      <c r="BD2" s="29" t="str">
        <f t="shared" si="1"/>
        <v>#DIV/0!</v>
      </c>
      <c r="BE2" s="29" t="str">
        <f t="shared" si="1"/>
        <v>#DIV/0!</v>
      </c>
      <c r="BF2" s="29" t="str">
        <f t="shared" si="1"/>
        <v>#DIV/0!</v>
      </c>
      <c r="BG2" s="29" t="str">
        <f t="shared" si="1"/>
        <v>#DIV/0!</v>
      </c>
      <c r="BH2" s="29" t="str">
        <f t="shared" si="1"/>
        <v>#DIV/0!</v>
      </c>
      <c r="BI2" s="29" t="str">
        <f t="shared" si="1"/>
        <v>#DIV/0!</v>
      </c>
      <c r="BJ2" s="29" t="str">
        <f t="shared" si="1"/>
        <v>#DIV/0!</v>
      </c>
      <c r="BK2" s="29" t="str">
        <f t="shared" si="1"/>
        <v>#DIV/0!</v>
      </c>
      <c r="BL2" s="29" t="str">
        <f t="shared" si="1"/>
        <v>#DIV/0!</v>
      </c>
      <c r="BM2" s="29" t="str">
        <f t="shared" ref="BM2:BM162" si="3">(T2/AO2)/(T$2/AO$2)</f>
        <v>#N/A</v>
      </c>
    </row>
    <row r="3">
      <c r="A3" s="16" t="str">
        <f>IFERROR(__xludf.DUMMYFUNCTION("IFERROR(SPARKLINE(SORT(MAP(TRANSPOSE(AQ3:BL3), LAMBDA(val, IF(ISNUMBER(val), PERCENTRANK(AQ3:BL3, val)+0.01, 0))), SEQUENCE(COLUMNS(AQ3:BL3)), FALSE), {""charttype"",""column""; ""color"",""chartreuse""; ""ymin"", 0; ""ymax"", 1.01; ""highcolor"", ""darkg"&amp;"reen""; ""lowcolor"", ""red""}), """")"),"")</f>
        <v/>
      </c>
      <c r="B3" s="17" t="str">
        <f t="shared" ref="B3:B162" si="4">IFERROR(IF(C3="SPY", 1, IF(ISNUMBER(AQ3), PERCENTRANK(AQ3:BL3, AQ3), "")), "")</f>
        <v/>
      </c>
      <c r="C3" s="1" t="s">
        <v>45</v>
      </c>
      <c r="D3" s="30" t="str">
        <f>IFERROR(__xludf.DUMMYFUNCTION("IFERROR(GOOGLEFINANCE(C3, ""NAME""))"),"State Street Com Svc Sel Sec SPDR ETF")</f>
        <v>State Street Com Svc Sel Sec SPDR ETF</v>
      </c>
      <c r="E3" s="31"/>
      <c r="F3" s="33" t="str">
        <f>IFERROR(__xludf.DUMMYFUNCTION("( (GOOGLEFINANCE(C3, ""price"") - Q3) / Q3 ) / (R3 / 100)"),"Loading...")</f>
        <v>Loading...</v>
      </c>
      <c r="G3" s="31"/>
      <c r="H3" s="31"/>
      <c r="I3" s="31"/>
      <c r="J3" s="31"/>
      <c r="K3" s="21">
        <f>IFERROR(__xludf.DUMMYFUNCTION("IFERROR(GOOGLEFINANCE(C3, ""changepct"") / 100, """")"),-0.0189)</f>
        <v>-0.0189</v>
      </c>
      <c r="L3" s="21" t="str">
        <f>IFERROR(__xludf.DUMMYFUNCTION("IFERROR((GOOGLEFINANCE(C3, ""price"") / INDEX(GOOGLEFINANCE(C3, ""price"", TODAY()-7, TODAY()), 2, 2)) - 1, """")"),"")</f>
        <v/>
      </c>
      <c r="M3" s="21" t="str">
        <f>IFERROR(__xludf.DUMMYFUNCTION("IFERROR((GOOGLEFINANCE(C3, ""price"") / INDEX(GOOGLEFINANCE(C3, ""price"", EDATE(TODAY(), -1), TODAY()), 2, 2)) - 1, """")"),"")</f>
        <v/>
      </c>
      <c r="N3" s="21" t="str">
        <f>IFERROR(__xludf.DUMMYFUNCTION("IFERROR((GOOGLEFINANCE(C3, ""price"") / INDEX(GOOGLEFINANCE(C3, ""price"", EDATE(TODAY(), -3), TODAY()), 2, 2)) - 1, """")"),"")</f>
        <v/>
      </c>
      <c r="O3" s="21" t="str">
        <f>IFERROR(__xludf.DUMMYFUNCTION("IFERROR((GOOGLEFINANCE(C3, ""price"") / INDEX(GOOGLEFINANCE(C3, ""price"", EDATE(TODAY(), -6), TODAY()), 2, 2)) - 1, """")"),"")</f>
        <v/>
      </c>
      <c r="P3" s="21" t="str">
        <f>IFERROR(__xludf.DUMMYFUNCTION("IFERROR((GOOGLEFINANCE(C3, ""price"") / INDEX(GOOGLEFINANCE(C3, ""price"", EDATE(TODAY(), -12), TODAY()), 2, 2)) - 1, """")"),"")</f>
        <v/>
      </c>
      <c r="Q3" s="6" t="str">
        <f>IFERROR(__xludf.DUMMYFUNCTION("AVERAGE(QUERY(GOOGLEFINANCE(C3, ""price"", TODAY()-80, TODAY()), ""SELECT Col2 WHERE Col2 IS NOT NULL ORDER BY Col1 DESC LIMIT 50"", 0))"),"#N/A")</f>
        <v>#N/A</v>
      </c>
      <c r="R3" s="24" t="str">
        <f>IFERROR(__xludf.DUMMYFUNCTION("IFERROR(
  LET(
    data, QUERY(GOOGLEFINANCE(C3,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GOOGLEFINANCE(C3, ""price"")) * 100,
    IF(calc=0, G3, calc)
  ), 
G3)"),"")</f>
        <v/>
      </c>
      <c r="S3" s="8" t="s">
        <v>15</v>
      </c>
      <c r="T3" s="26" t="str">
        <f>IFERROR(__xludf.DUMMYFUNCTION("IFERROR(TRANSPOSE(QUERY(IFERROR(SORT(GOOGLEFINANCE(C3, ""price"", WORKDAY(TODAY(), -40), TODAY()), 1, FALSE)), ""select Col2 where Col2 is not null limit 22 label Col2 ''"", 0)), """")"),"")</f>
        <v/>
      </c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8"/>
      <c r="AO3" s="28"/>
      <c r="AP3" s="29"/>
      <c r="AQ3" s="29" t="str">
        <f t="shared" ref="AQ3:BL3" si="2">T3/T$2</f>
        <v>#N/A</v>
      </c>
      <c r="AR3" s="29" t="str">
        <f t="shared" si="2"/>
        <v>#DIV/0!</v>
      </c>
      <c r="AS3" s="29" t="str">
        <f t="shared" si="2"/>
        <v>#DIV/0!</v>
      </c>
      <c r="AT3" s="29" t="str">
        <f t="shared" si="2"/>
        <v>#DIV/0!</v>
      </c>
      <c r="AU3" s="29" t="str">
        <f t="shared" si="2"/>
        <v>#DIV/0!</v>
      </c>
      <c r="AV3" s="29" t="str">
        <f t="shared" si="2"/>
        <v>#DIV/0!</v>
      </c>
      <c r="AW3" s="29" t="str">
        <f t="shared" si="2"/>
        <v>#DIV/0!</v>
      </c>
      <c r="AX3" s="29" t="str">
        <f t="shared" si="2"/>
        <v>#DIV/0!</v>
      </c>
      <c r="AY3" s="29" t="str">
        <f t="shared" si="2"/>
        <v>#DIV/0!</v>
      </c>
      <c r="AZ3" s="29" t="str">
        <f t="shared" si="2"/>
        <v>#DIV/0!</v>
      </c>
      <c r="BA3" s="29" t="str">
        <f t="shared" si="2"/>
        <v>#DIV/0!</v>
      </c>
      <c r="BB3" s="29" t="str">
        <f t="shared" si="2"/>
        <v>#DIV/0!</v>
      </c>
      <c r="BC3" s="29" t="str">
        <f t="shared" si="2"/>
        <v>#DIV/0!</v>
      </c>
      <c r="BD3" s="29" t="str">
        <f t="shared" si="2"/>
        <v>#DIV/0!</v>
      </c>
      <c r="BE3" s="29" t="str">
        <f t="shared" si="2"/>
        <v>#DIV/0!</v>
      </c>
      <c r="BF3" s="29" t="str">
        <f t="shared" si="2"/>
        <v>#DIV/0!</v>
      </c>
      <c r="BG3" s="29" t="str">
        <f t="shared" si="2"/>
        <v>#DIV/0!</v>
      </c>
      <c r="BH3" s="29" t="str">
        <f t="shared" si="2"/>
        <v>#DIV/0!</v>
      </c>
      <c r="BI3" s="29" t="str">
        <f t="shared" si="2"/>
        <v>#DIV/0!</v>
      </c>
      <c r="BJ3" s="29" t="str">
        <f t="shared" si="2"/>
        <v>#DIV/0!</v>
      </c>
      <c r="BK3" s="29" t="str">
        <f t="shared" si="2"/>
        <v>#DIV/0!</v>
      </c>
      <c r="BL3" s="29" t="str">
        <f t="shared" si="2"/>
        <v>#DIV/0!</v>
      </c>
      <c r="BM3" s="29" t="str">
        <f t="shared" si="3"/>
        <v>#DIV/0!</v>
      </c>
    </row>
    <row r="4">
      <c r="A4" s="16" t="str">
        <f>IFERROR(__xludf.DUMMYFUNCTION("IFERROR(SPARKLINE(SORT(MAP(TRANSPOSE(AQ4:BL4), LAMBDA(val, IF(ISNUMBER(val), PERCENTRANK(AQ4:BL4, val)+0.01, 0))), SEQUENCE(COLUMNS(AQ4:BL4)), FALSE), {""charttype"",""column""; ""color"",""chartreuse""; ""ymin"", 0; ""ymax"", 1.01; ""highcolor"", ""darkg"&amp;"reen""; ""lowcolor"", ""red""}), """")"),"")</f>
        <v/>
      </c>
      <c r="B4" s="17" t="str">
        <f t="shared" si="4"/>
        <v/>
      </c>
      <c r="C4" s="1" t="s">
        <v>51</v>
      </c>
      <c r="D4" s="30" t="str">
        <f>IFERROR(__xludf.DUMMYFUNCTION("IFERROR(GOOGLEFINANCE(C4, ""NAME""))"),"Kyivstar Group Ltd")</f>
        <v>Kyivstar Group Ltd</v>
      </c>
      <c r="E4" s="30" t="s">
        <v>52</v>
      </c>
      <c r="F4" s="33" t="str">
        <f>IFERROR(__xludf.DUMMYFUNCTION("( (GOOGLEFINANCE(C4, ""price"") - Q4) / Q4 ) / (R4 / 100)"),"Loading...")</f>
        <v>Loading...</v>
      </c>
      <c r="G4" s="20" t="str">
        <f>IFERROR(__xludf.DUMMYFUNCTION("AVERAGE(ARRAYFORMULA(100 * (QUERY(GOOGLEFINANCE(C4, ""high"", TODAY()-40, TODAY()), ""SELECT Col2 WHERE Col2 IS NOT NULL ORDER BY Col1 DESC LIMIT 20"", 0) / QUERY(GOOGLEFINANCE(C4, ""low"", TODAY()-40, TODAY()), ""SELECT Col2 WHERE Col2 IS NOT NULL ORDER "&amp;"BY Col1 DESC LIMIT 20"", 0) - 1)))"),"#N/A")</f>
        <v>#N/A</v>
      </c>
      <c r="H4" s="35" t="str">
        <f t="shared" ref="H4:H162" si="6">IFERROR(IF(ISNUMBER(J4), IF(J4 &lt; 50000000, "Illiquid", "Liquid"), ""), "")</f>
        <v>Illiquid</v>
      </c>
      <c r="I4" s="36" t="str">
        <f t="shared" ref="I4:I162" si="7">IFERROR(IF(ISNUMBER(J4), IF(J4 &lt; 500000000, "RVol Required", "No RVol Required"), ""), "")</f>
        <v>RVol Required</v>
      </c>
      <c r="J4" s="37">
        <f>IFERROR(__xludf.DUMMYFUNCTION("IFERROR(
  IF(C4="""",, 
    IFERROR(
      GOOGLEFINANCE(C4, ""price"") * GOOGLEFINANCE(C4, ""volumeavg""), 
      GOOGLEFINANCE(C4, ""price"") * AVERAGE(QUERY(GOOGLEFINANCE(C4, ""volume"", TODAY()-40, TODAY()), ""SELECT Col2 WHERE Col2 IS NOT NULL ORDER"&amp;" BY Col1 DESC LIMIT 20"", 0))
    )
  ), 
"""")"),5378197.44)</f>
        <v>5378197.44</v>
      </c>
      <c r="K4" s="21">
        <f>IFERROR(__xludf.DUMMYFUNCTION("IFERROR(GOOGLEFINANCE(C4, ""changepct"") / 100, """")"),0.0024)</f>
        <v>0.0024</v>
      </c>
      <c r="L4" s="21" t="str">
        <f>IFERROR(__xludf.DUMMYFUNCTION("IFERROR((GOOGLEFINANCE(C4, ""price"") / INDEX(GOOGLEFINANCE(C4, ""price"", TODAY()-7, TODAY()), 2, 2)) - 1, """")"),"")</f>
        <v/>
      </c>
      <c r="M4" s="21" t="str">
        <f>IFERROR(__xludf.DUMMYFUNCTION("IFERROR((GOOGLEFINANCE(C4, ""price"") / INDEX(GOOGLEFINANCE(C4, ""price"", EDATE(TODAY(), -1), TODAY()), 2, 2)) - 1, """")"),"")</f>
        <v/>
      </c>
      <c r="N4" s="21" t="str">
        <f>IFERROR(__xludf.DUMMYFUNCTION("IFERROR((GOOGLEFINANCE(C4, ""price"") / INDEX(GOOGLEFINANCE(C4, ""price"", EDATE(TODAY(), -3), TODAY()), 2, 2)) - 1, """")"),"")</f>
        <v/>
      </c>
      <c r="O4" s="21" t="str">
        <f>IFERROR(__xludf.DUMMYFUNCTION("IFERROR((GOOGLEFINANCE(C4, ""price"") / INDEX(GOOGLEFINANCE(C4, ""price"", EDATE(TODAY(), -6), TODAY()), 2, 2)) - 1, """")"),"")</f>
        <v/>
      </c>
      <c r="P4" s="21" t="str">
        <f>IFERROR(__xludf.DUMMYFUNCTION("IFERROR((GOOGLEFINANCE(C4, ""price"") / INDEX(GOOGLEFINANCE(C4, ""price"", EDATE(TODAY(), -12), TODAY()), 2, 2)) - 1, """")"),"")</f>
        <v/>
      </c>
      <c r="Q4" s="6" t="str">
        <f>IFERROR(__xludf.DUMMYFUNCTION("AVERAGE(QUERY(GOOGLEFINANCE(C4, ""price"", TODAY()-80, TODAY()), ""SELECT Col2 WHERE Col2 IS NOT NULL ORDER BY Col1 DESC LIMIT 50"", 0))"),"#N/A")</f>
        <v>#N/A</v>
      </c>
      <c r="R4" s="24" t="str">
        <f>IFERROR(__xludf.DUMMYFUNCTION("IFERROR(
  LET(
    data, QUERY(GOOGLEFINANCE(C4,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GOOGLEFINANCE(C4, ""price"")) * 100,
    IF(calc=0, G4, calc)
  ), 
G4)"),"#N/A")</f>
        <v>#N/A</v>
      </c>
      <c r="S4" s="8" t="s">
        <v>15</v>
      </c>
      <c r="T4" s="26" t="str">
        <f>IFERROR(__xludf.DUMMYFUNCTION("IFERROR(TRANSPOSE(QUERY(IFERROR(SORT(GOOGLEFINANCE(C4, ""price"", WORKDAY(TODAY(), -40), TODAY()), 1, FALSE)), ""select Col2 where Col2 is not null limit 22 label Col2 ''"", 0)), """")"),"")</f>
        <v/>
      </c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8"/>
      <c r="AO4" s="28"/>
      <c r="AP4" s="29"/>
      <c r="AQ4" s="29" t="str">
        <f t="shared" ref="AQ4:BL4" si="5">T4/T$2</f>
        <v>#N/A</v>
      </c>
      <c r="AR4" s="29" t="str">
        <f t="shared" si="5"/>
        <v>#DIV/0!</v>
      </c>
      <c r="AS4" s="29" t="str">
        <f t="shared" si="5"/>
        <v>#DIV/0!</v>
      </c>
      <c r="AT4" s="29" t="str">
        <f t="shared" si="5"/>
        <v>#DIV/0!</v>
      </c>
      <c r="AU4" s="29" t="str">
        <f t="shared" si="5"/>
        <v>#DIV/0!</v>
      </c>
      <c r="AV4" s="29" t="str">
        <f t="shared" si="5"/>
        <v>#DIV/0!</v>
      </c>
      <c r="AW4" s="29" t="str">
        <f t="shared" si="5"/>
        <v>#DIV/0!</v>
      </c>
      <c r="AX4" s="29" t="str">
        <f t="shared" si="5"/>
        <v>#DIV/0!</v>
      </c>
      <c r="AY4" s="29" t="str">
        <f t="shared" si="5"/>
        <v>#DIV/0!</v>
      </c>
      <c r="AZ4" s="29" t="str">
        <f t="shared" si="5"/>
        <v>#DIV/0!</v>
      </c>
      <c r="BA4" s="29" t="str">
        <f t="shared" si="5"/>
        <v>#DIV/0!</v>
      </c>
      <c r="BB4" s="29" t="str">
        <f t="shared" si="5"/>
        <v>#DIV/0!</v>
      </c>
      <c r="BC4" s="29" t="str">
        <f t="shared" si="5"/>
        <v>#DIV/0!</v>
      </c>
      <c r="BD4" s="29" t="str">
        <f t="shared" si="5"/>
        <v>#DIV/0!</v>
      </c>
      <c r="BE4" s="29" t="str">
        <f t="shared" si="5"/>
        <v>#DIV/0!</v>
      </c>
      <c r="BF4" s="29" t="str">
        <f t="shared" si="5"/>
        <v>#DIV/0!</v>
      </c>
      <c r="BG4" s="29" t="str">
        <f t="shared" si="5"/>
        <v>#DIV/0!</v>
      </c>
      <c r="BH4" s="29" t="str">
        <f t="shared" si="5"/>
        <v>#DIV/0!</v>
      </c>
      <c r="BI4" s="29" t="str">
        <f t="shared" si="5"/>
        <v>#DIV/0!</v>
      </c>
      <c r="BJ4" s="29" t="str">
        <f t="shared" si="5"/>
        <v>#DIV/0!</v>
      </c>
      <c r="BK4" s="29" t="str">
        <f t="shared" si="5"/>
        <v>#DIV/0!</v>
      </c>
      <c r="BL4" s="29" t="str">
        <f t="shared" si="5"/>
        <v>#DIV/0!</v>
      </c>
      <c r="BM4" s="29" t="str">
        <f t="shared" si="3"/>
        <v>#DIV/0!</v>
      </c>
    </row>
    <row r="5">
      <c r="A5" s="16" t="str">
        <f>IFERROR(__xludf.DUMMYFUNCTION("IFERROR(SPARKLINE(SORT(MAP(TRANSPOSE(AQ5:BL5), LAMBDA(val, IF(ISNUMBER(val), PERCENTRANK(AQ5:BL5, val)+0.01, 0))), SEQUENCE(COLUMNS(AQ5:BL5)), FALSE), {""charttype"",""column""; ""color"",""chartreuse""; ""ymin"", 0; ""ymax"", 1.01; ""highcolor"", ""darkg"&amp;"reen""; ""lowcolor"", ""red""}), """")"),"")</f>
        <v/>
      </c>
      <c r="B5" s="17" t="str">
        <f t="shared" si="4"/>
        <v/>
      </c>
      <c r="C5" s="1" t="s">
        <v>61</v>
      </c>
      <c r="D5" s="30" t="str">
        <f>IFERROR(__xludf.DUMMYFUNCTION("IFERROR(GOOGLEFINANCE(C5, ""NAME""))"),"Warner Music Group Corp")</f>
        <v>Warner Music Group Corp</v>
      </c>
      <c r="E5" s="30" t="s">
        <v>62</v>
      </c>
      <c r="F5" s="33" t="str">
        <f>IFERROR(__xludf.DUMMYFUNCTION("( (GOOGLEFINANCE(C5, ""price"") - Q5) / Q5 ) / (R5 / 100)"),"Loading...")</f>
        <v>Loading...</v>
      </c>
      <c r="G5" s="20" t="str">
        <f>IFERROR(__xludf.DUMMYFUNCTION("AVERAGE(ARRAYFORMULA(100 * (QUERY(GOOGLEFINANCE(C5, ""high"", TODAY()-40, TODAY()), ""SELECT Col2 WHERE Col2 IS NOT NULL ORDER BY Col1 DESC LIMIT 20"", 0) / QUERY(GOOGLEFINANCE(C5, ""low"", TODAY()-40, TODAY()), ""SELECT Col2 WHERE Col2 IS NOT NULL ORDER "&amp;"BY Col1 DESC LIMIT 20"", 0) - 1)))"),"#N/A")</f>
        <v>#N/A</v>
      </c>
      <c r="H5" s="35" t="str">
        <f t="shared" si="6"/>
        <v>Liquid</v>
      </c>
      <c r="I5" s="36" t="str">
        <f t="shared" si="7"/>
        <v>RVol Required</v>
      </c>
      <c r="J5" s="37">
        <f>IFERROR(__xludf.DUMMYFUNCTION("IFERROR(
  IF(C5="""",, 
    IFERROR(
      GOOGLEFINANCE(C5, ""price"") * GOOGLEFINANCE(C5, ""volumeavg""), 
      GOOGLEFINANCE(C5, ""price"") * AVERAGE(QUERY(GOOGLEFINANCE(C5, ""volume"", TODAY()-40, TODAY()), ""SELECT Col2 WHERE Col2 IS NOT NULL ORDER"&amp;" BY Col1 DESC LIMIT 20"", 0))
    )
  ), 
"""")"),6.99859842E7)</f>
        <v>69985984.2</v>
      </c>
      <c r="K5" s="21">
        <f>IFERROR(__xludf.DUMMYFUNCTION("IFERROR(GOOGLEFINANCE(C5, ""changepct"") / 100, """")"),0.0231)</f>
        <v>0.0231</v>
      </c>
      <c r="L5" s="21" t="str">
        <f>IFERROR(__xludf.DUMMYFUNCTION("IFERROR((GOOGLEFINANCE(C5, ""price"") / INDEX(GOOGLEFINANCE(C5, ""price"", TODAY()-7, TODAY()), 2, 2)) - 1, """")"),"")</f>
        <v/>
      </c>
      <c r="M5" s="21" t="str">
        <f>IFERROR(__xludf.DUMMYFUNCTION("IFERROR((GOOGLEFINANCE(C5, ""price"") / INDEX(GOOGLEFINANCE(C5, ""price"", EDATE(TODAY(), -1), TODAY()), 2, 2)) - 1, """")"),"")</f>
        <v/>
      </c>
      <c r="N5" s="21" t="str">
        <f>IFERROR(__xludf.DUMMYFUNCTION("IFERROR((GOOGLEFINANCE(C5, ""price"") / INDEX(GOOGLEFINANCE(C5, ""price"", EDATE(TODAY(), -3), TODAY()), 2, 2)) - 1, """")"),"")</f>
        <v/>
      </c>
      <c r="O5" s="21" t="str">
        <f>IFERROR(__xludf.DUMMYFUNCTION("IFERROR((GOOGLEFINANCE(C5, ""price"") / INDEX(GOOGLEFINANCE(C5, ""price"", EDATE(TODAY(), -6), TODAY()), 2, 2)) - 1, """")"),"")</f>
        <v/>
      </c>
      <c r="P5" s="21" t="str">
        <f>IFERROR(__xludf.DUMMYFUNCTION("IFERROR((GOOGLEFINANCE(C5, ""price"") / INDEX(GOOGLEFINANCE(C5, ""price"", EDATE(TODAY(), -12), TODAY()), 2, 2)) - 1, """")"),"")</f>
        <v/>
      </c>
      <c r="Q5" s="6" t="str">
        <f>IFERROR(__xludf.DUMMYFUNCTION("AVERAGE(QUERY(GOOGLEFINANCE(C5, ""price"", TODAY()-80, TODAY()), ""SELECT Col2 WHERE Col2 IS NOT NULL ORDER BY Col1 DESC LIMIT 50"", 0))"),"#N/A")</f>
        <v>#N/A</v>
      </c>
      <c r="R5" s="24" t="str">
        <f>IFERROR(__xludf.DUMMYFUNCTION("IFERROR(
  LET(
    data, QUERY(GOOGLEFINANCE(C5,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GOOGLEFINANCE(C5, ""price"")) * 100,
    IF(calc=0, G5, calc)
  ), 
G5)"),"#N/A")</f>
        <v>#N/A</v>
      </c>
      <c r="S5" s="8" t="s">
        <v>15</v>
      </c>
      <c r="T5" s="26" t="str">
        <f>IFERROR(__xludf.DUMMYFUNCTION("IFERROR(TRANSPOSE(QUERY(IFERROR(SORT(GOOGLEFINANCE(C5, ""price"", WORKDAY(TODAY(), -40), TODAY()), 1, FALSE)), ""select Col2 where Col2 is not null limit 22 label Col2 ''"", 0)), """")"),"")</f>
        <v/>
      </c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8"/>
      <c r="AO5" s="28"/>
      <c r="AP5" s="29"/>
      <c r="AQ5" s="29" t="str">
        <f t="shared" ref="AQ5:BL5" si="8">T5/T$2</f>
        <v>#N/A</v>
      </c>
      <c r="AR5" s="29" t="str">
        <f t="shared" si="8"/>
        <v>#DIV/0!</v>
      </c>
      <c r="AS5" s="29" t="str">
        <f t="shared" si="8"/>
        <v>#DIV/0!</v>
      </c>
      <c r="AT5" s="29" t="str">
        <f t="shared" si="8"/>
        <v>#DIV/0!</v>
      </c>
      <c r="AU5" s="29" t="str">
        <f t="shared" si="8"/>
        <v>#DIV/0!</v>
      </c>
      <c r="AV5" s="29" t="str">
        <f t="shared" si="8"/>
        <v>#DIV/0!</v>
      </c>
      <c r="AW5" s="29" t="str">
        <f t="shared" si="8"/>
        <v>#DIV/0!</v>
      </c>
      <c r="AX5" s="29" t="str">
        <f t="shared" si="8"/>
        <v>#DIV/0!</v>
      </c>
      <c r="AY5" s="29" t="str">
        <f t="shared" si="8"/>
        <v>#DIV/0!</v>
      </c>
      <c r="AZ5" s="29" t="str">
        <f t="shared" si="8"/>
        <v>#DIV/0!</v>
      </c>
      <c r="BA5" s="29" t="str">
        <f t="shared" si="8"/>
        <v>#DIV/0!</v>
      </c>
      <c r="BB5" s="29" t="str">
        <f t="shared" si="8"/>
        <v>#DIV/0!</v>
      </c>
      <c r="BC5" s="29" t="str">
        <f t="shared" si="8"/>
        <v>#DIV/0!</v>
      </c>
      <c r="BD5" s="29" t="str">
        <f t="shared" si="8"/>
        <v>#DIV/0!</v>
      </c>
      <c r="BE5" s="29" t="str">
        <f t="shared" si="8"/>
        <v>#DIV/0!</v>
      </c>
      <c r="BF5" s="29" t="str">
        <f t="shared" si="8"/>
        <v>#DIV/0!</v>
      </c>
      <c r="BG5" s="29" t="str">
        <f t="shared" si="8"/>
        <v>#DIV/0!</v>
      </c>
      <c r="BH5" s="29" t="str">
        <f t="shared" si="8"/>
        <v>#DIV/0!</v>
      </c>
      <c r="BI5" s="29" t="str">
        <f t="shared" si="8"/>
        <v>#DIV/0!</v>
      </c>
      <c r="BJ5" s="29" t="str">
        <f t="shared" si="8"/>
        <v>#DIV/0!</v>
      </c>
      <c r="BK5" s="29" t="str">
        <f t="shared" si="8"/>
        <v>#DIV/0!</v>
      </c>
      <c r="BL5" s="29" t="str">
        <f t="shared" si="8"/>
        <v>#DIV/0!</v>
      </c>
      <c r="BM5" s="29" t="str">
        <f t="shared" si="3"/>
        <v>#DIV/0!</v>
      </c>
    </row>
    <row r="6">
      <c r="A6" s="16" t="str">
        <f>IFERROR(__xludf.DUMMYFUNCTION("IFERROR(SPARKLINE(SORT(MAP(TRANSPOSE(AQ6:BL6), LAMBDA(val, IF(ISNUMBER(val), PERCENTRANK(AQ6:BL6, val)+0.01, 0))), SEQUENCE(COLUMNS(AQ6:BL6)), FALSE), {""charttype"",""column""; ""color"",""chartreuse""; ""ymin"", 0; ""ymax"", 1.01; ""highcolor"", ""darkg"&amp;"reen""; ""lowcolor"", ""red""}), """")"),"")</f>
        <v/>
      </c>
      <c r="B6" s="17" t="str">
        <f t="shared" si="4"/>
        <v/>
      </c>
      <c r="C6" s="1" t="s">
        <v>68</v>
      </c>
      <c r="D6" s="30" t="str">
        <f>IFERROR(__xludf.DUMMYFUNCTION("IFERROR(GOOGLEFINANCE(C6, ""NAME""))"),"Nextdoor Holdings Inc")</f>
        <v>Nextdoor Holdings Inc</v>
      </c>
      <c r="E6" s="30" t="s">
        <v>69</v>
      </c>
      <c r="F6" s="33" t="str">
        <f>IFERROR(__xludf.DUMMYFUNCTION("( (GOOGLEFINANCE(C6, ""price"") - Q6) / Q6 ) / (R6 / 100)"),"Loading...")</f>
        <v>Loading...</v>
      </c>
      <c r="G6" s="20" t="str">
        <f>IFERROR(__xludf.DUMMYFUNCTION("AVERAGE(ARRAYFORMULA(100 * (QUERY(GOOGLEFINANCE(C6, ""high"", TODAY()-40, TODAY()), ""SELECT Col2 WHERE Col2 IS NOT NULL ORDER BY Col1 DESC LIMIT 20"", 0) / QUERY(GOOGLEFINANCE(C6, ""low"", TODAY()-40, TODAY()), ""SELECT Col2 WHERE Col2 IS NOT NULL ORDER "&amp;"BY Col1 DESC LIMIT 20"", 0) - 1)))"),"#N/A")</f>
        <v>#N/A</v>
      </c>
      <c r="H6" s="35" t="str">
        <f t="shared" si="6"/>
        <v>Illiquid</v>
      </c>
      <c r="I6" s="36" t="str">
        <f t="shared" si="7"/>
        <v>RVol Required</v>
      </c>
      <c r="J6" s="37">
        <f>IFERROR(__xludf.DUMMYFUNCTION("IFERROR(
  IF(C6="""",, 
    IFERROR(
      GOOGLEFINANCE(C6, ""price"") * GOOGLEFINANCE(C6, ""volumeavg""), 
      GOOGLEFINANCE(C6, ""price"") * AVERAGE(QUERY(GOOGLEFINANCE(C6, ""volume"", TODAY()-40, TODAY()), ""SELECT Col2 WHERE Col2 IS NOT NULL ORDER"&amp;" BY Col1 DESC LIMIT 20"", 0))
    )
  ), 
"""")"),5379795.75)</f>
        <v>5379795.75</v>
      </c>
      <c r="K6" s="21">
        <f>IFERROR(__xludf.DUMMYFUNCTION("IFERROR(GOOGLEFINANCE(C6, ""changepct"") / 100, """")"),-0.0559)</f>
        <v>-0.0559</v>
      </c>
      <c r="L6" s="21" t="str">
        <f>IFERROR(__xludf.DUMMYFUNCTION("IFERROR((GOOGLEFINANCE(C6, ""price"") / INDEX(GOOGLEFINANCE(C6, ""price"", TODAY()-7, TODAY()), 2, 2)) - 1, """")"),"")</f>
        <v/>
      </c>
      <c r="M6" s="21" t="str">
        <f>IFERROR(__xludf.DUMMYFUNCTION("IFERROR((GOOGLEFINANCE(C6, ""price"") / INDEX(GOOGLEFINANCE(C6, ""price"", EDATE(TODAY(), -1), TODAY()), 2, 2)) - 1, """")"),"")</f>
        <v/>
      </c>
      <c r="N6" s="21" t="str">
        <f>IFERROR(__xludf.DUMMYFUNCTION("IFERROR((GOOGLEFINANCE(C6, ""price"") / INDEX(GOOGLEFINANCE(C6, ""price"", EDATE(TODAY(), -3), TODAY()), 2, 2)) - 1, """")"),"")</f>
        <v/>
      </c>
      <c r="O6" s="21" t="str">
        <f>IFERROR(__xludf.DUMMYFUNCTION("IFERROR((GOOGLEFINANCE(C6, ""price"") / INDEX(GOOGLEFINANCE(C6, ""price"", EDATE(TODAY(), -6), TODAY()), 2, 2)) - 1, """")"),"")</f>
        <v/>
      </c>
      <c r="P6" s="21" t="str">
        <f>IFERROR(__xludf.DUMMYFUNCTION("IFERROR((GOOGLEFINANCE(C6, ""price"") / INDEX(GOOGLEFINANCE(C6, ""price"", EDATE(TODAY(), -12), TODAY()), 2, 2)) - 1, """")"),"")</f>
        <v/>
      </c>
      <c r="Q6" s="6" t="str">
        <f>IFERROR(__xludf.DUMMYFUNCTION("AVERAGE(QUERY(GOOGLEFINANCE(C6, ""price"", TODAY()-80, TODAY()), ""SELECT Col2 WHERE Col2 IS NOT NULL ORDER BY Col1 DESC LIMIT 50"", 0))"),"#N/A")</f>
        <v>#N/A</v>
      </c>
      <c r="R6" s="24" t="str">
        <f>IFERROR(__xludf.DUMMYFUNCTION("IFERROR(
  LET(
    data, QUERY(GOOGLEFINANCE(C6,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GOOGLEFINANCE(C6, ""price"")) * 100,
    IF(calc=0, G6, calc)
  ), 
G6)"),"#N/A")</f>
        <v>#N/A</v>
      </c>
      <c r="S6" s="8" t="s">
        <v>15</v>
      </c>
      <c r="T6" s="26" t="str">
        <f>IFERROR(__xludf.DUMMYFUNCTION("IFERROR(TRANSPOSE(QUERY(IFERROR(SORT(GOOGLEFINANCE(C6, ""price"", WORKDAY(TODAY(), -40), TODAY()), 1, FALSE)), ""select Col2 where Col2 is not null limit 22 label Col2 ''"", 0)), """")"),"")</f>
        <v/>
      </c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8"/>
      <c r="AO6" s="28"/>
      <c r="AP6" s="29"/>
      <c r="AQ6" s="29" t="str">
        <f t="shared" ref="AQ6:BL6" si="9">T6/T$2</f>
        <v>#N/A</v>
      </c>
      <c r="AR6" s="29" t="str">
        <f t="shared" si="9"/>
        <v>#DIV/0!</v>
      </c>
      <c r="AS6" s="29" t="str">
        <f t="shared" si="9"/>
        <v>#DIV/0!</v>
      </c>
      <c r="AT6" s="29" t="str">
        <f t="shared" si="9"/>
        <v>#DIV/0!</v>
      </c>
      <c r="AU6" s="29" t="str">
        <f t="shared" si="9"/>
        <v>#DIV/0!</v>
      </c>
      <c r="AV6" s="29" t="str">
        <f t="shared" si="9"/>
        <v>#DIV/0!</v>
      </c>
      <c r="AW6" s="29" t="str">
        <f t="shared" si="9"/>
        <v>#DIV/0!</v>
      </c>
      <c r="AX6" s="29" t="str">
        <f t="shared" si="9"/>
        <v>#DIV/0!</v>
      </c>
      <c r="AY6" s="29" t="str">
        <f t="shared" si="9"/>
        <v>#DIV/0!</v>
      </c>
      <c r="AZ6" s="29" t="str">
        <f t="shared" si="9"/>
        <v>#DIV/0!</v>
      </c>
      <c r="BA6" s="29" t="str">
        <f t="shared" si="9"/>
        <v>#DIV/0!</v>
      </c>
      <c r="BB6" s="29" t="str">
        <f t="shared" si="9"/>
        <v>#DIV/0!</v>
      </c>
      <c r="BC6" s="29" t="str">
        <f t="shared" si="9"/>
        <v>#DIV/0!</v>
      </c>
      <c r="BD6" s="29" t="str">
        <f t="shared" si="9"/>
        <v>#DIV/0!</v>
      </c>
      <c r="BE6" s="29" t="str">
        <f t="shared" si="9"/>
        <v>#DIV/0!</v>
      </c>
      <c r="BF6" s="29" t="str">
        <f t="shared" si="9"/>
        <v>#DIV/0!</v>
      </c>
      <c r="BG6" s="29" t="str">
        <f t="shared" si="9"/>
        <v>#DIV/0!</v>
      </c>
      <c r="BH6" s="29" t="str">
        <f t="shared" si="9"/>
        <v>#DIV/0!</v>
      </c>
      <c r="BI6" s="29" t="str">
        <f t="shared" si="9"/>
        <v>#DIV/0!</v>
      </c>
      <c r="BJ6" s="29" t="str">
        <f t="shared" si="9"/>
        <v>#DIV/0!</v>
      </c>
      <c r="BK6" s="29" t="str">
        <f t="shared" si="9"/>
        <v>#DIV/0!</v>
      </c>
      <c r="BL6" s="29" t="str">
        <f t="shared" si="9"/>
        <v>#DIV/0!</v>
      </c>
      <c r="BM6" s="29" t="str">
        <f t="shared" si="3"/>
        <v>#DIV/0!</v>
      </c>
    </row>
    <row r="7">
      <c r="A7" s="16" t="str">
        <f>IFERROR(__xludf.DUMMYFUNCTION("IFERROR(SPARKLINE(SORT(MAP(TRANSPOSE(AQ7:BL7), LAMBDA(val, IF(ISNUMBER(val), PERCENTRANK(AQ7:BL7, val)+0.01, 0))), SEQUENCE(COLUMNS(AQ7:BL7)), FALSE), {""charttype"",""column""; ""color"",""chartreuse""; ""ymin"", 0; ""ymax"", 1.01; ""highcolor"", ""darkg"&amp;"reen""; ""lowcolor"", ""red""}), """")"),"")</f>
        <v/>
      </c>
      <c r="B7" s="17" t="str">
        <f t="shared" si="4"/>
        <v/>
      </c>
      <c r="C7" s="1" t="s">
        <v>78</v>
      </c>
      <c r="D7" s="30" t="str">
        <f>IFERROR(__xludf.DUMMYFUNCTION("IFERROR(GOOGLEFINANCE(C7, ""NAME""))"),"Taboola.com Ltd")</f>
        <v>Taboola.com Ltd</v>
      </c>
      <c r="E7" s="30" t="s">
        <v>69</v>
      </c>
      <c r="F7" s="33" t="str">
        <f>IFERROR(__xludf.DUMMYFUNCTION("( (GOOGLEFINANCE(C7, ""price"") - Q7) / Q7 ) / (R7 / 100)"),"Loading...")</f>
        <v>Loading...</v>
      </c>
      <c r="G7" s="20" t="str">
        <f>IFERROR(__xludf.DUMMYFUNCTION("AVERAGE(ARRAYFORMULA(100 * (QUERY(GOOGLEFINANCE(C7, ""high"", TODAY()-40, TODAY()), ""SELECT Col2 WHERE Col2 IS NOT NULL ORDER BY Col1 DESC LIMIT 20"", 0) / QUERY(GOOGLEFINANCE(C7, ""low"", TODAY()-40, TODAY()), ""SELECT Col2 WHERE Col2 IS NOT NULL ORDER "&amp;"BY Col1 DESC LIMIT 20"", 0) - 1)))"),"#N/A")</f>
        <v>#N/A</v>
      </c>
      <c r="H7" s="35" t="str">
        <f t="shared" si="6"/>
        <v>Illiquid</v>
      </c>
      <c r="I7" s="36" t="str">
        <f t="shared" si="7"/>
        <v>RVol Required</v>
      </c>
      <c r="J7" s="37">
        <f>IFERROR(__xludf.DUMMYFUNCTION("IFERROR(
  IF(C7="""",, 
    IFERROR(
      GOOGLEFINANCE(C7, ""price"") * GOOGLEFINANCE(C7, ""volumeavg""), 
      GOOGLEFINANCE(C7, ""price"") * AVERAGE(QUERY(GOOGLEFINANCE(C7, ""volume"", TODAY()-40, TODAY()), ""SELECT Col2 WHERE Col2 IS NOT NULL ORDER"&amp;" BY Col1 DESC LIMIT 20"", 0))
    )
  ), 
"""")"),6533812.16)</f>
        <v>6533812.16</v>
      </c>
      <c r="K7" s="21">
        <f>IFERROR(__xludf.DUMMYFUNCTION("IFERROR(GOOGLEFINANCE(C7, ""changepct"") / 100, """")"),-0.0282)</f>
        <v>-0.0282</v>
      </c>
      <c r="L7" s="21" t="str">
        <f>IFERROR(__xludf.DUMMYFUNCTION("IFERROR((GOOGLEFINANCE(C7, ""price"") / INDEX(GOOGLEFINANCE(C7, ""price"", TODAY()-7, TODAY()), 2, 2)) - 1, """")"),"")</f>
        <v/>
      </c>
      <c r="M7" s="21" t="str">
        <f>IFERROR(__xludf.DUMMYFUNCTION("IFERROR((GOOGLEFINANCE(C7, ""price"") / INDEX(GOOGLEFINANCE(C7, ""price"", EDATE(TODAY(), -1), TODAY()), 2, 2)) - 1, """")"),"")</f>
        <v/>
      </c>
      <c r="N7" s="21" t="str">
        <f>IFERROR(__xludf.DUMMYFUNCTION("IFERROR((GOOGLEFINANCE(C7, ""price"") / INDEX(GOOGLEFINANCE(C7, ""price"", EDATE(TODAY(), -3), TODAY()), 2, 2)) - 1, """")"),"")</f>
        <v/>
      </c>
      <c r="O7" s="21" t="str">
        <f>IFERROR(__xludf.DUMMYFUNCTION("IFERROR((GOOGLEFINANCE(C7, ""price"") / INDEX(GOOGLEFINANCE(C7, ""price"", EDATE(TODAY(), -6), TODAY()), 2, 2)) - 1, """")"),"")</f>
        <v/>
      </c>
      <c r="P7" s="21" t="str">
        <f>IFERROR(__xludf.DUMMYFUNCTION("IFERROR((GOOGLEFINANCE(C7, ""price"") / INDEX(GOOGLEFINANCE(C7, ""price"", EDATE(TODAY(), -12), TODAY()), 2, 2)) - 1, """")"),"")</f>
        <v/>
      </c>
      <c r="Q7" s="6" t="str">
        <f>IFERROR(__xludf.DUMMYFUNCTION("AVERAGE(QUERY(GOOGLEFINANCE(C7, ""price"", TODAY()-80, TODAY()), ""SELECT Col2 WHERE Col2 IS NOT NULL ORDER BY Col1 DESC LIMIT 50"", 0))"),"#N/A")</f>
        <v>#N/A</v>
      </c>
      <c r="R7" s="24" t="str">
        <f>IFERROR(__xludf.DUMMYFUNCTION("IFERROR(
  LET(
    data, QUERY(GOOGLEFINANCE(C7,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GOOGLEFINANCE(C7, ""price"")) * 100,
    IF(calc=0, G7, calc)
  ), 
G7)"),"#N/A")</f>
        <v>#N/A</v>
      </c>
      <c r="S7" s="8" t="s">
        <v>15</v>
      </c>
      <c r="T7" s="26" t="str">
        <f>IFERROR(__xludf.DUMMYFUNCTION("IFERROR(TRANSPOSE(QUERY(IFERROR(SORT(GOOGLEFINANCE(C7, ""price"", WORKDAY(TODAY(), -40), TODAY()), 1, FALSE)), ""select Col2 where Col2 is not null limit 22 label Col2 ''"", 0)), """")"),"")</f>
        <v/>
      </c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8"/>
      <c r="AO7" s="28"/>
      <c r="AP7" s="29"/>
      <c r="AQ7" s="29" t="str">
        <f t="shared" ref="AQ7:BL7" si="10">T7/T$2</f>
        <v>#N/A</v>
      </c>
      <c r="AR7" s="29" t="str">
        <f t="shared" si="10"/>
        <v>#DIV/0!</v>
      </c>
      <c r="AS7" s="29" t="str">
        <f t="shared" si="10"/>
        <v>#DIV/0!</v>
      </c>
      <c r="AT7" s="29" t="str">
        <f t="shared" si="10"/>
        <v>#DIV/0!</v>
      </c>
      <c r="AU7" s="29" t="str">
        <f t="shared" si="10"/>
        <v>#DIV/0!</v>
      </c>
      <c r="AV7" s="29" t="str">
        <f t="shared" si="10"/>
        <v>#DIV/0!</v>
      </c>
      <c r="AW7" s="29" t="str">
        <f t="shared" si="10"/>
        <v>#DIV/0!</v>
      </c>
      <c r="AX7" s="29" t="str">
        <f t="shared" si="10"/>
        <v>#DIV/0!</v>
      </c>
      <c r="AY7" s="29" t="str">
        <f t="shared" si="10"/>
        <v>#DIV/0!</v>
      </c>
      <c r="AZ7" s="29" t="str">
        <f t="shared" si="10"/>
        <v>#DIV/0!</v>
      </c>
      <c r="BA7" s="29" t="str">
        <f t="shared" si="10"/>
        <v>#DIV/0!</v>
      </c>
      <c r="BB7" s="29" t="str">
        <f t="shared" si="10"/>
        <v>#DIV/0!</v>
      </c>
      <c r="BC7" s="29" t="str">
        <f t="shared" si="10"/>
        <v>#DIV/0!</v>
      </c>
      <c r="BD7" s="29" t="str">
        <f t="shared" si="10"/>
        <v>#DIV/0!</v>
      </c>
      <c r="BE7" s="29" t="str">
        <f t="shared" si="10"/>
        <v>#DIV/0!</v>
      </c>
      <c r="BF7" s="29" t="str">
        <f t="shared" si="10"/>
        <v>#DIV/0!</v>
      </c>
      <c r="BG7" s="29" t="str">
        <f t="shared" si="10"/>
        <v>#DIV/0!</v>
      </c>
      <c r="BH7" s="29" t="str">
        <f t="shared" si="10"/>
        <v>#DIV/0!</v>
      </c>
      <c r="BI7" s="29" t="str">
        <f t="shared" si="10"/>
        <v>#DIV/0!</v>
      </c>
      <c r="BJ7" s="29" t="str">
        <f t="shared" si="10"/>
        <v>#DIV/0!</v>
      </c>
      <c r="BK7" s="29" t="str">
        <f t="shared" si="10"/>
        <v>#DIV/0!</v>
      </c>
      <c r="BL7" s="29" t="str">
        <f t="shared" si="10"/>
        <v>#DIV/0!</v>
      </c>
      <c r="BM7" s="29" t="str">
        <f t="shared" si="3"/>
        <v>#DIV/0!</v>
      </c>
    </row>
    <row r="8">
      <c r="A8" s="16" t="str">
        <f>IFERROR(__xludf.DUMMYFUNCTION("IFERROR(SPARKLINE(SORT(MAP(TRANSPOSE(AQ8:BL8), LAMBDA(val, IF(ISNUMBER(val), PERCENTRANK(AQ8:BL8, val)+0.01, 0))), SEQUENCE(COLUMNS(AQ8:BL8)), FALSE), {""charttype"",""column""; ""color"",""chartreuse""; ""ymin"", 0; ""ymax"", 1.01; ""highcolor"", ""darkg"&amp;"reen""; ""lowcolor"", ""red""}), """")"),"")</f>
        <v/>
      </c>
      <c r="B8" s="17" t="str">
        <f t="shared" si="4"/>
        <v/>
      </c>
      <c r="C8" s="1" t="s">
        <v>83</v>
      </c>
      <c r="D8" s="30" t="str">
        <f>IFERROR(__xludf.DUMMYFUNCTION("IFERROR(GOOGLEFINANCE(C8, ""NAME""))"),"Anterix Inc")</f>
        <v>Anterix Inc</v>
      </c>
      <c r="E8" s="30" t="s">
        <v>52</v>
      </c>
      <c r="F8" s="33" t="str">
        <f>IFERROR(__xludf.DUMMYFUNCTION("( (GOOGLEFINANCE(C8, ""price"") - Q8) / Q8 ) / (R8 / 100)"),"Loading...")</f>
        <v>Loading...</v>
      </c>
      <c r="G8" s="20" t="str">
        <f>IFERROR(__xludf.DUMMYFUNCTION("AVERAGE(ARRAYFORMULA(100 * (QUERY(GOOGLEFINANCE(C8, ""high"", TODAY()-40, TODAY()), ""SELECT Col2 WHERE Col2 IS NOT NULL ORDER BY Col1 DESC LIMIT 20"", 0) / QUERY(GOOGLEFINANCE(C8, ""low"", TODAY()-40, TODAY()), ""SELECT Col2 WHERE Col2 IS NOT NULL ORDER "&amp;"BY Col1 DESC LIMIT 20"", 0) - 1)))"),"#N/A")</f>
        <v>#N/A</v>
      </c>
      <c r="H8" s="35" t="str">
        <f t="shared" si="6"/>
        <v>Illiquid</v>
      </c>
      <c r="I8" s="36" t="str">
        <f t="shared" si="7"/>
        <v>RVol Required</v>
      </c>
      <c r="J8" s="37">
        <f>IFERROR(__xludf.DUMMYFUNCTION("IFERROR(
  IF(C8="""",, 
    IFERROR(
      GOOGLEFINANCE(C8, ""price"") * GOOGLEFINANCE(C8, ""volumeavg""), 
      GOOGLEFINANCE(C8, ""price"") * AVERAGE(QUERY(GOOGLEFINANCE(C8, ""volume"", TODAY()-40, TODAY()), ""SELECT Col2 WHERE Col2 IS NOT NULL ORDER"&amp;" BY Col1 DESC LIMIT 20"", 0))
    )
  ), 
"""")"),2.37927048E7)</f>
        <v>23792704.8</v>
      </c>
      <c r="K8" s="21">
        <f>IFERROR(__xludf.DUMMYFUNCTION("IFERROR(GOOGLEFINANCE(C8, ""changepct"") / 100, """")"),-0.0473)</f>
        <v>-0.0473</v>
      </c>
      <c r="L8" s="21" t="str">
        <f>IFERROR(__xludf.DUMMYFUNCTION("IFERROR((GOOGLEFINANCE(C8, ""price"") / INDEX(GOOGLEFINANCE(C8, ""price"", TODAY()-7, TODAY()), 2, 2)) - 1, """")"),"")</f>
        <v/>
      </c>
      <c r="M8" s="21" t="str">
        <f>IFERROR(__xludf.DUMMYFUNCTION("IFERROR((GOOGLEFINANCE(C8, ""price"") / INDEX(GOOGLEFINANCE(C8, ""price"", EDATE(TODAY(), -1), TODAY()), 2, 2)) - 1, """")"),"")</f>
        <v/>
      </c>
      <c r="N8" s="21" t="str">
        <f>IFERROR(__xludf.DUMMYFUNCTION("IFERROR((GOOGLEFINANCE(C8, ""price"") / INDEX(GOOGLEFINANCE(C8, ""price"", EDATE(TODAY(), -3), TODAY()), 2, 2)) - 1, """")"),"")</f>
        <v/>
      </c>
      <c r="O8" s="21" t="str">
        <f>IFERROR(__xludf.DUMMYFUNCTION("IFERROR((GOOGLEFINANCE(C8, ""price"") / INDEX(GOOGLEFINANCE(C8, ""price"", EDATE(TODAY(), -6), TODAY()), 2, 2)) - 1, """")"),"")</f>
        <v/>
      </c>
      <c r="P8" s="21" t="str">
        <f>IFERROR(__xludf.DUMMYFUNCTION("IFERROR((GOOGLEFINANCE(C8, ""price"") / INDEX(GOOGLEFINANCE(C8, ""price"", EDATE(TODAY(), -12), TODAY()), 2, 2)) - 1, """")"),"")</f>
        <v/>
      </c>
      <c r="Q8" s="6" t="str">
        <f>IFERROR(__xludf.DUMMYFUNCTION("AVERAGE(QUERY(GOOGLEFINANCE(C8, ""price"", TODAY()-80, TODAY()), ""SELECT Col2 WHERE Col2 IS NOT NULL ORDER BY Col1 DESC LIMIT 50"", 0))"),"#N/A")</f>
        <v>#N/A</v>
      </c>
      <c r="R8" s="24" t="str">
        <f>IFERROR(__xludf.DUMMYFUNCTION("IFERROR(
  LET(
    data, QUERY(GOOGLEFINANCE(C8,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GOOGLEFINANCE(C8, ""price"")) * 100,
    IF(calc=0, G8, calc)
  ), 
G8)"),"#N/A")</f>
        <v>#N/A</v>
      </c>
      <c r="S8" s="8" t="s">
        <v>15</v>
      </c>
      <c r="T8" s="26" t="str">
        <f>IFERROR(__xludf.DUMMYFUNCTION("IFERROR(TRANSPOSE(QUERY(IFERROR(SORT(GOOGLEFINANCE(C8, ""price"", WORKDAY(TODAY(), -40), TODAY()), 1, FALSE)), ""select Col2 where Col2 is not null limit 22 label Col2 ''"", 0)), """")"),"")</f>
        <v/>
      </c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8"/>
      <c r="AO8" s="28"/>
      <c r="AP8" s="29"/>
      <c r="AQ8" s="29" t="str">
        <f t="shared" ref="AQ8:BL8" si="11">T8/T$2</f>
        <v>#N/A</v>
      </c>
      <c r="AR8" s="29" t="str">
        <f t="shared" si="11"/>
        <v>#DIV/0!</v>
      </c>
      <c r="AS8" s="29" t="str">
        <f t="shared" si="11"/>
        <v>#DIV/0!</v>
      </c>
      <c r="AT8" s="29" t="str">
        <f t="shared" si="11"/>
        <v>#DIV/0!</v>
      </c>
      <c r="AU8" s="29" t="str">
        <f t="shared" si="11"/>
        <v>#DIV/0!</v>
      </c>
      <c r="AV8" s="29" t="str">
        <f t="shared" si="11"/>
        <v>#DIV/0!</v>
      </c>
      <c r="AW8" s="29" t="str">
        <f t="shared" si="11"/>
        <v>#DIV/0!</v>
      </c>
      <c r="AX8" s="29" t="str">
        <f t="shared" si="11"/>
        <v>#DIV/0!</v>
      </c>
      <c r="AY8" s="29" t="str">
        <f t="shared" si="11"/>
        <v>#DIV/0!</v>
      </c>
      <c r="AZ8" s="29" t="str">
        <f t="shared" si="11"/>
        <v>#DIV/0!</v>
      </c>
      <c r="BA8" s="29" t="str">
        <f t="shared" si="11"/>
        <v>#DIV/0!</v>
      </c>
      <c r="BB8" s="29" t="str">
        <f t="shared" si="11"/>
        <v>#DIV/0!</v>
      </c>
      <c r="BC8" s="29" t="str">
        <f t="shared" si="11"/>
        <v>#DIV/0!</v>
      </c>
      <c r="BD8" s="29" t="str">
        <f t="shared" si="11"/>
        <v>#DIV/0!</v>
      </c>
      <c r="BE8" s="29" t="str">
        <f t="shared" si="11"/>
        <v>#DIV/0!</v>
      </c>
      <c r="BF8" s="29" t="str">
        <f t="shared" si="11"/>
        <v>#DIV/0!</v>
      </c>
      <c r="BG8" s="29" t="str">
        <f t="shared" si="11"/>
        <v>#DIV/0!</v>
      </c>
      <c r="BH8" s="29" t="str">
        <f t="shared" si="11"/>
        <v>#DIV/0!</v>
      </c>
      <c r="BI8" s="29" t="str">
        <f t="shared" si="11"/>
        <v>#DIV/0!</v>
      </c>
      <c r="BJ8" s="29" t="str">
        <f t="shared" si="11"/>
        <v>#DIV/0!</v>
      </c>
      <c r="BK8" s="29" t="str">
        <f t="shared" si="11"/>
        <v>#DIV/0!</v>
      </c>
      <c r="BL8" s="29" t="str">
        <f t="shared" si="11"/>
        <v>#DIV/0!</v>
      </c>
      <c r="BM8" s="29" t="str">
        <f t="shared" si="3"/>
        <v>#DIV/0!</v>
      </c>
    </row>
    <row r="9">
      <c r="A9" s="16" t="str">
        <f>IFERROR(__xludf.DUMMYFUNCTION("IFERROR(SPARKLINE(SORT(MAP(TRANSPOSE(AQ9:BL9), LAMBDA(val, IF(ISNUMBER(val), PERCENTRANK(AQ9:BL9, val)+0.01, 0))), SEQUENCE(COLUMNS(AQ9:BL9)), FALSE), {""charttype"",""column""; ""color"",""chartreuse""; ""ymin"", 0; ""ymax"", 1.01; ""highcolor"", ""darkg"&amp;"reen""; ""lowcolor"", ""red""}), """")"),"")</f>
        <v/>
      </c>
      <c r="B9" s="17" t="str">
        <f t="shared" si="4"/>
        <v/>
      </c>
      <c r="C9" s="1" t="s">
        <v>86</v>
      </c>
      <c r="D9" s="30" t="str">
        <f>IFERROR(__xludf.DUMMYFUNCTION("IFERROR(GOOGLEFINANCE(C9, ""NAME""))"),"Groupon Inc Common Stock")</f>
        <v>Groupon Inc Common Stock</v>
      </c>
      <c r="E9" s="30" t="s">
        <v>69</v>
      </c>
      <c r="F9" s="33" t="str">
        <f>IFERROR(__xludf.DUMMYFUNCTION("( (GOOGLEFINANCE(C9, ""price"") - Q9) / Q9 ) / (R9 / 100)"),"Loading...")</f>
        <v>Loading...</v>
      </c>
      <c r="G9" s="20" t="str">
        <f>IFERROR(__xludf.DUMMYFUNCTION("AVERAGE(ARRAYFORMULA(100 * (QUERY(GOOGLEFINANCE(C9, ""high"", TODAY()-40, TODAY()), ""SELECT Col2 WHERE Col2 IS NOT NULL ORDER BY Col1 DESC LIMIT 20"", 0) / QUERY(GOOGLEFINANCE(C9, ""low"", TODAY()-40, TODAY()), ""SELECT Col2 WHERE Col2 IS NOT NULL ORDER "&amp;"BY Col1 DESC LIMIT 20"", 0) - 1)))"),"#N/A")</f>
        <v>#N/A</v>
      </c>
      <c r="H9" s="35" t="str">
        <f t="shared" si="6"/>
        <v>Illiquid</v>
      </c>
      <c r="I9" s="36" t="str">
        <f t="shared" si="7"/>
        <v>RVol Required</v>
      </c>
      <c r="J9" s="37">
        <f>IFERROR(__xludf.DUMMYFUNCTION("IFERROR(
  IF(C9="""",, 
    IFERROR(
      GOOGLEFINANCE(C9, ""price"") * GOOGLEFINANCE(C9, ""volumeavg""), 
      GOOGLEFINANCE(C9, ""price"") * AVERAGE(QUERY(GOOGLEFINANCE(C9, ""volume"", TODAY()-40, TODAY()), ""SELECT Col2 WHERE Col2 IS NOT NULL ORDER"&amp;" BY Col1 DESC LIMIT 20"", 0))
    )
  ), 
"""")"),1.775717422E7)</f>
        <v>17757174.22</v>
      </c>
      <c r="K9" s="21">
        <f>IFERROR(__xludf.DUMMYFUNCTION("IFERROR(GOOGLEFINANCE(C9, ""changepct"") / 100, """")"),-0.1009)</f>
        <v>-0.1009</v>
      </c>
      <c r="L9" s="21" t="str">
        <f>IFERROR(__xludf.DUMMYFUNCTION("IFERROR((GOOGLEFINANCE(C9, ""price"") / INDEX(GOOGLEFINANCE(C9, ""price"", TODAY()-7, TODAY()), 2, 2)) - 1, """")"),"")</f>
        <v/>
      </c>
      <c r="M9" s="21" t="str">
        <f>IFERROR(__xludf.DUMMYFUNCTION("IFERROR((GOOGLEFINANCE(C9, ""price"") / INDEX(GOOGLEFINANCE(C9, ""price"", EDATE(TODAY(), -1), TODAY()), 2, 2)) - 1, """")"),"")</f>
        <v/>
      </c>
      <c r="N9" s="21" t="str">
        <f>IFERROR(__xludf.DUMMYFUNCTION("IFERROR((GOOGLEFINANCE(C9, ""price"") / INDEX(GOOGLEFINANCE(C9, ""price"", EDATE(TODAY(), -3), TODAY()), 2, 2)) - 1, """")"),"")</f>
        <v/>
      </c>
      <c r="O9" s="21" t="str">
        <f>IFERROR(__xludf.DUMMYFUNCTION("IFERROR((GOOGLEFINANCE(C9, ""price"") / INDEX(GOOGLEFINANCE(C9, ""price"", EDATE(TODAY(), -6), TODAY()), 2, 2)) - 1, """")"),"")</f>
        <v/>
      </c>
      <c r="P9" s="21" t="str">
        <f>IFERROR(__xludf.DUMMYFUNCTION("IFERROR((GOOGLEFINANCE(C9, ""price"") / INDEX(GOOGLEFINANCE(C9, ""price"", EDATE(TODAY(), -12), TODAY()), 2, 2)) - 1, """")"),"")</f>
        <v/>
      </c>
      <c r="Q9" s="6" t="str">
        <f>IFERROR(__xludf.DUMMYFUNCTION("AVERAGE(QUERY(GOOGLEFINANCE(C9, ""price"", TODAY()-80, TODAY()), ""SELECT Col2 WHERE Col2 IS NOT NULL ORDER BY Col1 DESC LIMIT 50"", 0))"),"#N/A")</f>
        <v>#N/A</v>
      </c>
      <c r="R9" s="24" t="str">
        <f>IFERROR(__xludf.DUMMYFUNCTION("IFERROR(
  LET(
    data, QUERY(GOOGLEFINANCE(C9,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GOOGLEFINANCE(C9, ""price"")) * 100,
    IF(calc=0, G9, calc)
  ), 
G9)"),"#N/A")</f>
        <v>#N/A</v>
      </c>
      <c r="S9" s="8" t="s">
        <v>15</v>
      </c>
      <c r="T9" s="26" t="str">
        <f>IFERROR(__xludf.DUMMYFUNCTION("IFERROR(TRANSPOSE(QUERY(IFERROR(SORT(GOOGLEFINANCE(C9, ""price"", WORKDAY(TODAY(), -40), TODAY()), 1, FALSE)), ""select Col2 where Col2 is not null limit 22 label Col2 ''"", 0)), """")"),"")</f>
        <v/>
      </c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8"/>
      <c r="AO9" s="28"/>
      <c r="AP9" s="29"/>
      <c r="AQ9" s="29" t="str">
        <f t="shared" ref="AQ9:BL9" si="12">T9/T$2</f>
        <v>#N/A</v>
      </c>
      <c r="AR9" s="29" t="str">
        <f t="shared" si="12"/>
        <v>#DIV/0!</v>
      </c>
      <c r="AS9" s="29" t="str">
        <f t="shared" si="12"/>
        <v>#DIV/0!</v>
      </c>
      <c r="AT9" s="29" t="str">
        <f t="shared" si="12"/>
        <v>#DIV/0!</v>
      </c>
      <c r="AU9" s="29" t="str">
        <f t="shared" si="12"/>
        <v>#DIV/0!</v>
      </c>
      <c r="AV9" s="29" t="str">
        <f t="shared" si="12"/>
        <v>#DIV/0!</v>
      </c>
      <c r="AW9" s="29" t="str">
        <f t="shared" si="12"/>
        <v>#DIV/0!</v>
      </c>
      <c r="AX9" s="29" t="str">
        <f t="shared" si="12"/>
        <v>#DIV/0!</v>
      </c>
      <c r="AY9" s="29" t="str">
        <f t="shared" si="12"/>
        <v>#DIV/0!</v>
      </c>
      <c r="AZ9" s="29" t="str">
        <f t="shared" si="12"/>
        <v>#DIV/0!</v>
      </c>
      <c r="BA9" s="29" t="str">
        <f t="shared" si="12"/>
        <v>#DIV/0!</v>
      </c>
      <c r="BB9" s="29" t="str">
        <f t="shared" si="12"/>
        <v>#DIV/0!</v>
      </c>
      <c r="BC9" s="29" t="str">
        <f t="shared" si="12"/>
        <v>#DIV/0!</v>
      </c>
      <c r="BD9" s="29" t="str">
        <f t="shared" si="12"/>
        <v>#DIV/0!</v>
      </c>
      <c r="BE9" s="29" t="str">
        <f t="shared" si="12"/>
        <v>#DIV/0!</v>
      </c>
      <c r="BF9" s="29" t="str">
        <f t="shared" si="12"/>
        <v>#DIV/0!</v>
      </c>
      <c r="BG9" s="29" t="str">
        <f t="shared" si="12"/>
        <v>#DIV/0!</v>
      </c>
      <c r="BH9" s="29" t="str">
        <f t="shared" si="12"/>
        <v>#DIV/0!</v>
      </c>
      <c r="BI9" s="29" t="str">
        <f t="shared" si="12"/>
        <v>#DIV/0!</v>
      </c>
      <c r="BJ9" s="29" t="str">
        <f t="shared" si="12"/>
        <v>#DIV/0!</v>
      </c>
      <c r="BK9" s="29" t="str">
        <f t="shared" si="12"/>
        <v>#DIV/0!</v>
      </c>
      <c r="BL9" s="29" t="str">
        <f t="shared" si="12"/>
        <v>#DIV/0!</v>
      </c>
      <c r="BM9" s="29" t="str">
        <f t="shared" si="3"/>
        <v>#DIV/0!</v>
      </c>
    </row>
    <row r="10">
      <c r="A10" s="16" t="str">
        <f>IFERROR(__xludf.DUMMYFUNCTION("IFERROR(SPARKLINE(SORT(MAP(TRANSPOSE(AQ10:BL10), LAMBDA(val, IF(ISNUMBER(val), PERCENTRANK(AQ10:BL10, val)+0.01, 0))), SEQUENCE(COLUMNS(AQ10:BL10)), FALSE), {""charttype"",""column""; ""color"",""chartreuse""; ""ymin"", 0; ""ymax"", 1.01; ""highcolor"", "&amp;"""darkgreen""; ""lowcolor"", ""red""}), """")"),"")</f>
        <v/>
      </c>
      <c r="B10" s="17" t="str">
        <f t="shared" si="4"/>
        <v/>
      </c>
      <c r="C10" s="1" t="s">
        <v>93</v>
      </c>
      <c r="D10" s="30" t="str">
        <f>IFERROR(__xludf.DUMMYFUNCTION("IFERROR(GOOGLEFINANCE(C10, ""NAME""))"),"DoubleDown Interactive Co Ltd")</f>
        <v>DoubleDown Interactive Co Ltd</v>
      </c>
      <c r="E10" s="30" t="s">
        <v>94</v>
      </c>
      <c r="F10" s="33" t="str">
        <f>IFERROR(__xludf.DUMMYFUNCTION("( (GOOGLEFINANCE(C10, ""price"") - Q10) / Q10 ) / (R10 / 100)"),"Loading...")</f>
        <v>Loading...</v>
      </c>
      <c r="G10" s="20" t="str">
        <f>IFERROR(__xludf.DUMMYFUNCTION("AVERAGE(ARRAYFORMULA(100 * (QUERY(GOOGLEFINANCE(C10, ""high"", TODAY()-40, TODAY()), ""SELECT Col2 WHERE Col2 IS NOT NULL ORDER BY Col1 DESC LIMIT 20"", 0) / QUERY(GOOGLEFINANCE(C10, ""low"", TODAY()-40, TODAY()), ""SELECT Col2 WHERE Col2 IS NOT NULL ORDE"&amp;"R BY Col1 DESC LIMIT 20"", 0) - 1)))"),"#N/A")</f>
        <v>#N/A</v>
      </c>
      <c r="H10" s="35" t="str">
        <f t="shared" si="6"/>
        <v>Illiquid</v>
      </c>
      <c r="I10" s="36" t="str">
        <f t="shared" si="7"/>
        <v>RVol Required</v>
      </c>
      <c r="J10" s="37">
        <f>IFERROR(__xludf.DUMMYFUNCTION("IFERROR(
  IF(C10="""",, 
    IFERROR(
      GOOGLEFINANCE(C10, ""price"") * GOOGLEFINANCE(C10, ""volumeavg""), 
      GOOGLEFINANCE(C10, ""price"") * AVERAGE(QUERY(GOOGLEFINANCE(C10, ""volume"", TODAY()-40, TODAY()), ""SELECT Col2 WHERE Col2 IS NOT NULL "&amp;"ORDER BY Col1 DESC LIMIT 20"", 0))
    )
  ), 
"""")"),2404070.4)</f>
        <v>2404070.4</v>
      </c>
      <c r="K10" s="21">
        <f>IFERROR(__xludf.DUMMYFUNCTION("IFERROR(GOOGLEFINANCE(C10, ""changepct"") / 100, """")"),0.0055000000000000005)</f>
        <v>0.0055</v>
      </c>
      <c r="L10" s="21" t="str">
        <f>IFERROR(__xludf.DUMMYFUNCTION("IFERROR((GOOGLEFINANCE(C10, ""price"") / INDEX(GOOGLEFINANCE(C10, ""price"", TODAY()-7, TODAY()), 2, 2)) - 1, """")"),"")</f>
        <v/>
      </c>
      <c r="M10" s="21" t="str">
        <f>IFERROR(__xludf.DUMMYFUNCTION("IFERROR((GOOGLEFINANCE(C10, ""price"") / INDEX(GOOGLEFINANCE(C10, ""price"", EDATE(TODAY(), -1), TODAY()), 2, 2)) - 1, """")"),"")</f>
        <v/>
      </c>
      <c r="N10" s="21" t="str">
        <f>IFERROR(__xludf.DUMMYFUNCTION("IFERROR((GOOGLEFINANCE(C10, ""price"") / INDEX(GOOGLEFINANCE(C10, ""price"", EDATE(TODAY(), -3), TODAY()), 2, 2)) - 1, """")"),"")</f>
        <v/>
      </c>
      <c r="O10" s="21" t="str">
        <f>IFERROR(__xludf.DUMMYFUNCTION("IFERROR((GOOGLEFINANCE(C10, ""price"") / INDEX(GOOGLEFINANCE(C10, ""price"", EDATE(TODAY(), -6), TODAY()), 2, 2)) - 1, """")"),"")</f>
        <v/>
      </c>
      <c r="P10" s="21" t="str">
        <f>IFERROR(__xludf.DUMMYFUNCTION("IFERROR((GOOGLEFINANCE(C10, ""price"") / INDEX(GOOGLEFINANCE(C10, ""price"", EDATE(TODAY(), -12), TODAY()), 2, 2)) - 1, """")"),"")</f>
        <v/>
      </c>
      <c r="Q10" s="6" t="str">
        <f>IFERROR(__xludf.DUMMYFUNCTION("AVERAGE(QUERY(GOOGLEFINANCE(C10, ""price"", TODAY()-80, TODAY()), ""SELECT Col2 WHERE Col2 IS NOT NULL ORDER BY Col1 DESC LIMIT 50"", 0))"),"#N/A")</f>
        <v>#N/A</v>
      </c>
      <c r="R10" s="24" t="str">
        <f>IFERROR(__xludf.DUMMYFUNCTION("IFERROR(
  LET(
    data, QUERY(GOOGLEFINANCE(C10,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GOOGLEFINANCE(C10, ""price"")) * 100,
    IF(calc=0, G10, calc)
  ), 
G10)"),"#N/A")</f>
        <v>#N/A</v>
      </c>
      <c r="S10" s="8" t="s">
        <v>15</v>
      </c>
      <c r="T10" s="26" t="str">
        <f>IFERROR(__xludf.DUMMYFUNCTION("IFERROR(TRANSPOSE(QUERY(IFERROR(SORT(GOOGLEFINANCE(C10, ""price"", WORKDAY(TODAY(), -40), TODAY()), 1, FALSE)), ""select Col2 where Col2 is not null limit 22 label Col2 ''"", 0)), """")"),"")</f>
        <v/>
      </c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8"/>
      <c r="AO10" s="28"/>
      <c r="AP10" s="29"/>
      <c r="AQ10" s="29" t="str">
        <f t="shared" ref="AQ10:BL10" si="13">T10/T$2</f>
        <v>#N/A</v>
      </c>
      <c r="AR10" s="29" t="str">
        <f t="shared" si="13"/>
        <v>#DIV/0!</v>
      </c>
      <c r="AS10" s="29" t="str">
        <f t="shared" si="13"/>
        <v>#DIV/0!</v>
      </c>
      <c r="AT10" s="29" t="str">
        <f t="shared" si="13"/>
        <v>#DIV/0!</v>
      </c>
      <c r="AU10" s="29" t="str">
        <f t="shared" si="13"/>
        <v>#DIV/0!</v>
      </c>
      <c r="AV10" s="29" t="str">
        <f t="shared" si="13"/>
        <v>#DIV/0!</v>
      </c>
      <c r="AW10" s="29" t="str">
        <f t="shared" si="13"/>
        <v>#DIV/0!</v>
      </c>
      <c r="AX10" s="29" t="str">
        <f t="shared" si="13"/>
        <v>#DIV/0!</v>
      </c>
      <c r="AY10" s="29" t="str">
        <f t="shared" si="13"/>
        <v>#DIV/0!</v>
      </c>
      <c r="AZ10" s="29" t="str">
        <f t="shared" si="13"/>
        <v>#DIV/0!</v>
      </c>
      <c r="BA10" s="29" t="str">
        <f t="shared" si="13"/>
        <v>#DIV/0!</v>
      </c>
      <c r="BB10" s="29" t="str">
        <f t="shared" si="13"/>
        <v>#DIV/0!</v>
      </c>
      <c r="BC10" s="29" t="str">
        <f t="shared" si="13"/>
        <v>#DIV/0!</v>
      </c>
      <c r="BD10" s="29" t="str">
        <f t="shared" si="13"/>
        <v>#DIV/0!</v>
      </c>
      <c r="BE10" s="29" t="str">
        <f t="shared" si="13"/>
        <v>#DIV/0!</v>
      </c>
      <c r="BF10" s="29" t="str">
        <f t="shared" si="13"/>
        <v>#DIV/0!</v>
      </c>
      <c r="BG10" s="29" t="str">
        <f t="shared" si="13"/>
        <v>#DIV/0!</v>
      </c>
      <c r="BH10" s="29" t="str">
        <f t="shared" si="13"/>
        <v>#DIV/0!</v>
      </c>
      <c r="BI10" s="29" t="str">
        <f t="shared" si="13"/>
        <v>#DIV/0!</v>
      </c>
      <c r="BJ10" s="29" t="str">
        <f t="shared" si="13"/>
        <v>#DIV/0!</v>
      </c>
      <c r="BK10" s="29" t="str">
        <f t="shared" si="13"/>
        <v>#DIV/0!</v>
      </c>
      <c r="BL10" s="29" t="str">
        <f t="shared" si="13"/>
        <v>#DIV/0!</v>
      </c>
      <c r="BM10" s="29" t="str">
        <f t="shared" si="3"/>
        <v>#DIV/0!</v>
      </c>
    </row>
    <row r="11">
      <c r="A11" s="16" t="str">
        <f>IFERROR(__xludf.DUMMYFUNCTION("IFERROR(SPARKLINE(SORT(MAP(TRANSPOSE(AQ11:BL11), LAMBDA(val, IF(ISNUMBER(val), PERCENTRANK(AQ11:BL11, val)+0.01, 0))), SEQUENCE(COLUMNS(AQ11:BL11)), FALSE), {""charttype"",""column""; ""color"",""chartreuse""; ""ymin"", 0; ""ymax"", 1.01; ""highcolor"", "&amp;"""darkgreen""; ""lowcolor"", ""red""}), """")"),"")</f>
        <v/>
      </c>
      <c r="B11" s="17" t="str">
        <f t="shared" si="4"/>
        <v/>
      </c>
      <c r="C11" s="1" t="s">
        <v>99</v>
      </c>
      <c r="D11" s="30" t="str">
        <f>IFERROR(__xludf.DUMMYFUNCTION("IFERROR(GOOGLEFINANCE(C11, ""NAME""))"),"Rum Group Inc")</f>
        <v>Rum Group Inc</v>
      </c>
      <c r="E11" s="30" t="s">
        <v>69</v>
      </c>
      <c r="F11" s="33" t="str">
        <f>IFERROR(__xludf.DUMMYFUNCTION("( (GOOGLEFINANCE(C11, ""price"") - Q11) / Q11 ) / (R11 / 100)"),"Loading...")</f>
        <v>Loading...</v>
      </c>
      <c r="G11" s="20" t="str">
        <f>IFERROR(__xludf.DUMMYFUNCTION("AVERAGE(ARRAYFORMULA(100 * (QUERY(GOOGLEFINANCE(C11, ""high"", TODAY()-40, TODAY()), ""SELECT Col2 WHERE Col2 IS NOT NULL ORDER BY Col1 DESC LIMIT 20"", 0) / QUERY(GOOGLEFINANCE(C11, ""low"", TODAY()-40, TODAY()), ""SELECT Col2 WHERE Col2 IS NOT NULL ORDE"&amp;"R BY Col1 DESC LIMIT 20"", 0) - 1)))"),"#N/A")</f>
        <v>#N/A</v>
      </c>
      <c r="H11" s="35" t="str">
        <f t="shared" si="6"/>
        <v>Illiquid</v>
      </c>
      <c r="I11" s="36" t="str">
        <f t="shared" si="7"/>
        <v>RVol Required</v>
      </c>
      <c r="J11" s="37">
        <f>IFERROR(__xludf.DUMMYFUNCTION("IFERROR(
  IF(C11="""",, 
    IFERROR(
      GOOGLEFINANCE(C11, ""price"") * GOOGLEFINANCE(C11, ""volumeavg""), 
      GOOGLEFINANCE(C11, ""price"") * AVERAGE(QUERY(GOOGLEFINANCE(C11, ""volume"", TODAY()-40, TODAY()), ""SELECT Col2 WHERE Col2 IS NOT NULL "&amp;"ORDER BY Col1 DESC LIMIT 20"", 0))
    )
  ), 
"""")"),3.071100685E7)</f>
        <v>30711006.85</v>
      </c>
      <c r="K11" s="21">
        <f>IFERROR(__xludf.DUMMYFUNCTION("IFERROR(GOOGLEFINANCE(C11, ""changepct"") / 100, """")"),-0.0748)</f>
        <v>-0.0748</v>
      </c>
      <c r="L11" s="21" t="str">
        <f>IFERROR(__xludf.DUMMYFUNCTION("IFERROR((GOOGLEFINANCE(C11, ""price"") / INDEX(GOOGLEFINANCE(C11, ""price"", TODAY()-7, TODAY()), 2, 2)) - 1, """")"),"")</f>
        <v/>
      </c>
      <c r="M11" s="21" t="str">
        <f>IFERROR(__xludf.DUMMYFUNCTION("IFERROR((GOOGLEFINANCE(C11, ""price"") / INDEX(GOOGLEFINANCE(C11, ""price"", EDATE(TODAY(), -1), TODAY()), 2, 2)) - 1, """")"),"")</f>
        <v/>
      </c>
      <c r="N11" s="21" t="str">
        <f>IFERROR(__xludf.DUMMYFUNCTION("IFERROR((GOOGLEFINANCE(C11, ""price"") / INDEX(GOOGLEFINANCE(C11, ""price"", EDATE(TODAY(), -3), TODAY()), 2, 2)) - 1, """")"),"")</f>
        <v/>
      </c>
      <c r="O11" s="21" t="str">
        <f>IFERROR(__xludf.DUMMYFUNCTION("IFERROR((GOOGLEFINANCE(C11, ""price"") / INDEX(GOOGLEFINANCE(C11, ""price"", EDATE(TODAY(), -6), TODAY()), 2, 2)) - 1, """")"),"")</f>
        <v/>
      </c>
      <c r="P11" s="21" t="str">
        <f>IFERROR(__xludf.DUMMYFUNCTION("IFERROR((GOOGLEFINANCE(C11, ""price"") / INDEX(GOOGLEFINANCE(C11, ""price"", EDATE(TODAY(), -12), TODAY()), 2, 2)) - 1, """")"),"")</f>
        <v/>
      </c>
      <c r="Q11" s="6" t="str">
        <f>IFERROR(__xludf.DUMMYFUNCTION("AVERAGE(QUERY(GOOGLEFINANCE(C11, ""price"", TODAY()-80, TODAY()), ""SELECT Col2 WHERE Col2 IS NOT NULL ORDER BY Col1 DESC LIMIT 50"", 0))"),"#N/A")</f>
        <v>#N/A</v>
      </c>
      <c r="R11" s="24" t="str">
        <f>IFERROR(__xludf.DUMMYFUNCTION("IFERROR(
  LET(
    data, QUERY(GOOGLEFINANCE(C11,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GOOGLEFINANCE(C11, ""price"")) * 100,
    IF(calc=0, G11, calc)
  ), 
G11)"),"#N/A")</f>
        <v>#N/A</v>
      </c>
      <c r="S11" s="8" t="s">
        <v>15</v>
      </c>
      <c r="T11" s="26" t="str">
        <f>IFERROR(__xludf.DUMMYFUNCTION("IFERROR(TRANSPOSE(QUERY(IFERROR(SORT(GOOGLEFINANCE(C11, ""price"", WORKDAY(TODAY(), -40), TODAY()), 1, FALSE)), ""select Col2 where Col2 is not null limit 22 label Col2 ''"", 0)), """")"),"")</f>
        <v/>
      </c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8"/>
      <c r="AO11" s="28"/>
      <c r="AP11" s="29"/>
      <c r="AQ11" s="29" t="str">
        <f t="shared" ref="AQ11:BL11" si="14">T11/T$2</f>
        <v>#N/A</v>
      </c>
      <c r="AR11" s="29" t="str">
        <f t="shared" si="14"/>
        <v>#DIV/0!</v>
      </c>
      <c r="AS11" s="29" t="str">
        <f t="shared" si="14"/>
        <v>#DIV/0!</v>
      </c>
      <c r="AT11" s="29" t="str">
        <f t="shared" si="14"/>
        <v>#DIV/0!</v>
      </c>
      <c r="AU11" s="29" t="str">
        <f t="shared" si="14"/>
        <v>#DIV/0!</v>
      </c>
      <c r="AV11" s="29" t="str">
        <f t="shared" si="14"/>
        <v>#DIV/0!</v>
      </c>
      <c r="AW11" s="29" t="str">
        <f t="shared" si="14"/>
        <v>#DIV/0!</v>
      </c>
      <c r="AX11" s="29" t="str">
        <f t="shared" si="14"/>
        <v>#DIV/0!</v>
      </c>
      <c r="AY11" s="29" t="str">
        <f t="shared" si="14"/>
        <v>#DIV/0!</v>
      </c>
      <c r="AZ11" s="29" t="str">
        <f t="shared" si="14"/>
        <v>#DIV/0!</v>
      </c>
      <c r="BA11" s="29" t="str">
        <f t="shared" si="14"/>
        <v>#DIV/0!</v>
      </c>
      <c r="BB11" s="29" t="str">
        <f t="shared" si="14"/>
        <v>#DIV/0!</v>
      </c>
      <c r="BC11" s="29" t="str">
        <f t="shared" si="14"/>
        <v>#DIV/0!</v>
      </c>
      <c r="BD11" s="29" t="str">
        <f t="shared" si="14"/>
        <v>#DIV/0!</v>
      </c>
      <c r="BE11" s="29" t="str">
        <f t="shared" si="14"/>
        <v>#DIV/0!</v>
      </c>
      <c r="BF11" s="29" t="str">
        <f t="shared" si="14"/>
        <v>#DIV/0!</v>
      </c>
      <c r="BG11" s="29" t="str">
        <f t="shared" si="14"/>
        <v>#DIV/0!</v>
      </c>
      <c r="BH11" s="29" t="str">
        <f t="shared" si="14"/>
        <v>#DIV/0!</v>
      </c>
      <c r="BI11" s="29" t="str">
        <f t="shared" si="14"/>
        <v>#DIV/0!</v>
      </c>
      <c r="BJ11" s="29" t="str">
        <f t="shared" si="14"/>
        <v>#DIV/0!</v>
      </c>
      <c r="BK11" s="29" t="str">
        <f t="shared" si="14"/>
        <v>#DIV/0!</v>
      </c>
      <c r="BL11" s="29" t="str">
        <f t="shared" si="14"/>
        <v>#DIV/0!</v>
      </c>
      <c r="BM11" s="29" t="str">
        <f t="shared" si="3"/>
        <v>#DIV/0!</v>
      </c>
    </row>
    <row r="12">
      <c r="A12" s="16" t="str">
        <f>IFERROR(__xludf.DUMMYFUNCTION("IFERROR(SPARKLINE(SORT(MAP(TRANSPOSE(AQ12:BL12), LAMBDA(val, IF(ISNUMBER(val), PERCENTRANK(AQ12:BL12, val)+0.01, 0))), SEQUENCE(COLUMNS(AQ12:BL12)), FALSE), {""charttype"",""column""; ""color"",""chartreuse""; ""ymin"", 0; ""ymax"", 1.01; ""highcolor"", "&amp;"""darkgreen""; ""lowcolor"", ""red""}), """")"),"")</f>
        <v/>
      </c>
      <c r="B12" s="17" t="str">
        <f t="shared" si="4"/>
        <v/>
      </c>
      <c r="C12" s="1" t="s">
        <v>103</v>
      </c>
      <c r="D12" s="30" t="str">
        <f>IFERROR(__xludf.DUMMYFUNCTION("IFERROR(GOOGLEFINANCE(C12, ""NAME""))"),"TAKE-TWO INTERACTIVE SOFTWARE, INC Common Stock")</f>
        <v>TAKE-TWO INTERACTIVE SOFTWARE, INC Common Stock</v>
      </c>
      <c r="E12" s="30" t="s">
        <v>94</v>
      </c>
      <c r="F12" s="33" t="str">
        <f>IFERROR(__xludf.DUMMYFUNCTION("( (GOOGLEFINANCE(C12, ""price"") - Q12) / Q12 ) / (R12 / 100)"),"Loading...")</f>
        <v>Loading...</v>
      </c>
      <c r="G12" s="20" t="str">
        <f>IFERROR(__xludf.DUMMYFUNCTION("AVERAGE(ARRAYFORMULA(100 * (QUERY(GOOGLEFINANCE(C12, ""high"", TODAY()-40, TODAY()), ""SELECT Col2 WHERE Col2 IS NOT NULL ORDER BY Col1 DESC LIMIT 20"", 0) / QUERY(GOOGLEFINANCE(C12, ""low"", TODAY()-40, TODAY()), ""SELECT Col2 WHERE Col2 IS NOT NULL ORDE"&amp;"R BY Col1 DESC LIMIT 20"", 0) - 1)))"),"#N/A")</f>
        <v>#N/A</v>
      </c>
      <c r="H12" s="35" t="str">
        <f t="shared" si="6"/>
        <v>Liquid</v>
      </c>
      <c r="I12" s="36" t="str">
        <f t="shared" si="7"/>
        <v>No RVol Required</v>
      </c>
      <c r="J12" s="37">
        <f>IFERROR(__xludf.DUMMYFUNCTION("IFERROR(
  IF(C12="""",, 
    IFERROR(
      GOOGLEFINANCE(C12, ""price"") * GOOGLEFINANCE(C12, ""volumeavg""), 
      GOOGLEFINANCE(C12, ""price"") * AVERAGE(QUERY(GOOGLEFINANCE(C12, ""volume"", TODAY()-40, TODAY()), ""SELECT Col2 WHERE Col2 IS NOT NULL "&amp;"ORDER BY Col1 DESC LIMIT 20"", 0))
    )
  ), 
"""")"),5.193748224E8)</f>
        <v>519374822.4</v>
      </c>
      <c r="K12" s="21">
        <f>IFERROR(__xludf.DUMMYFUNCTION("IFERROR(GOOGLEFINANCE(C12, ""changepct"") / 100, """")"),-0.0196)</f>
        <v>-0.0196</v>
      </c>
      <c r="L12" s="21" t="str">
        <f>IFERROR(__xludf.DUMMYFUNCTION("IFERROR((GOOGLEFINANCE(C12, ""price"") / INDEX(GOOGLEFINANCE(C12, ""price"", TODAY()-7, TODAY()), 2, 2)) - 1, """")"),"")</f>
        <v/>
      </c>
      <c r="M12" s="21" t="str">
        <f>IFERROR(__xludf.DUMMYFUNCTION("IFERROR((GOOGLEFINANCE(C12, ""price"") / INDEX(GOOGLEFINANCE(C12, ""price"", EDATE(TODAY(), -1), TODAY()), 2, 2)) - 1, """")"),"")</f>
        <v/>
      </c>
      <c r="N12" s="21" t="str">
        <f>IFERROR(__xludf.DUMMYFUNCTION("IFERROR((GOOGLEFINANCE(C12, ""price"") / INDEX(GOOGLEFINANCE(C12, ""price"", EDATE(TODAY(), -3), TODAY()), 2, 2)) - 1, """")"),"")</f>
        <v/>
      </c>
      <c r="O12" s="21" t="str">
        <f>IFERROR(__xludf.DUMMYFUNCTION("IFERROR((GOOGLEFINANCE(C12, ""price"") / INDEX(GOOGLEFINANCE(C12, ""price"", EDATE(TODAY(), -6), TODAY()), 2, 2)) - 1, """")"),"")</f>
        <v/>
      </c>
      <c r="P12" s="21" t="str">
        <f>IFERROR(__xludf.DUMMYFUNCTION("IFERROR((GOOGLEFINANCE(C12, ""price"") / INDEX(GOOGLEFINANCE(C12, ""price"", EDATE(TODAY(), -12), TODAY()), 2, 2)) - 1, """")"),"")</f>
        <v/>
      </c>
      <c r="Q12" s="6" t="str">
        <f>IFERROR(__xludf.DUMMYFUNCTION("AVERAGE(QUERY(GOOGLEFINANCE(C12, ""price"", TODAY()-80, TODAY()), ""SELECT Col2 WHERE Col2 IS NOT NULL ORDER BY Col1 DESC LIMIT 50"", 0))"),"#N/A")</f>
        <v>#N/A</v>
      </c>
      <c r="R12" s="24" t="str">
        <f>IFERROR(__xludf.DUMMYFUNCTION("IFERROR(
  LET(
    data, QUERY(GOOGLEFINANCE(C12,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GOOGLEFINANCE(C12, ""price"")) * 100,
    IF(calc=0, G12, calc)
  ), 
G12)"),"#N/A")</f>
        <v>#N/A</v>
      </c>
      <c r="S12" s="8" t="s">
        <v>15</v>
      </c>
      <c r="T12" s="26" t="str">
        <f>IFERROR(__xludf.DUMMYFUNCTION("IFERROR(TRANSPOSE(QUERY(IFERROR(SORT(GOOGLEFINANCE(C12, ""price"", WORKDAY(TODAY(), -40), TODAY()), 1, FALSE)), ""select Col2 where Col2 is not null limit 22 label Col2 ''"", 0)), """")"),"")</f>
        <v/>
      </c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8"/>
      <c r="AO12" s="28"/>
      <c r="AP12" s="29"/>
      <c r="AQ12" s="29" t="str">
        <f t="shared" ref="AQ12:BL12" si="15">T12/T$2</f>
        <v>#N/A</v>
      </c>
      <c r="AR12" s="29" t="str">
        <f t="shared" si="15"/>
        <v>#DIV/0!</v>
      </c>
      <c r="AS12" s="29" t="str">
        <f t="shared" si="15"/>
        <v>#DIV/0!</v>
      </c>
      <c r="AT12" s="29" t="str">
        <f t="shared" si="15"/>
        <v>#DIV/0!</v>
      </c>
      <c r="AU12" s="29" t="str">
        <f t="shared" si="15"/>
        <v>#DIV/0!</v>
      </c>
      <c r="AV12" s="29" t="str">
        <f t="shared" si="15"/>
        <v>#DIV/0!</v>
      </c>
      <c r="AW12" s="29" t="str">
        <f t="shared" si="15"/>
        <v>#DIV/0!</v>
      </c>
      <c r="AX12" s="29" t="str">
        <f t="shared" si="15"/>
        <v>#DIV/0!</v>
      </c>
      <c r="AY12" s="29" t="str">
        <f t="shared" si="15"/>
        <v>#DIV/0!</v>
      </c>
      <c r="AZ12" s="29" t="str">
        <f t="shared" si="15"/>
        <v>#DIV/0!</v>
      </c>
      <c r="BA12" s="29" t="str">
        <f t="shared" si="15"/>
        <v>#DIV/0!</v>
      </c>
      <c r="BB12" s="29" t="str">
        <f t="shared" si="15"/>
        <v>#DIV/0!</v>
      </c>
      <c r="BC12" s="29" t="str">
        <f t="shared" si="15"/>
        <v>#DIV/0!</v>
      </c>
      <c r="BD12" s="29" t="str">
        <f t="shared" si="15"/>
        <v>#DIV/0!</v>
      </c>
      <c r="BE12" s="29" t="str">
        <f t="shared" si="15"/>
        <v>#DIV/0!</v>
      </c>
      <c r="BF12" s="29" t="str">
        <f t="shared" si="15"/>
        <v>#DIV/0!</v>
      </c>
      <c r="BG12" s="29" t="str">
        <f t="shared" si="15"/>
        <v>#DIV/0!</v>
      </c>
      <c r="BH12" s="29" t="str">
        <f t="shared" si="15"/>
        <v>#DIV/0!</v>
      </c>
      <c r="BI12" s="29" t="str">
        <f t="shared" si="15"/>
        <v>#DIV/0!</v>
      </c>
      <c r="BJ12" s="29" t="str">
        <f t="shared" si="15"/>
        <v>#DIV/0!</v>
      </c>
      <c r="BK12" s="29" t="str">
        <f t="shared" si="15"/>
        <v>#DIV/0!</v>
      </c>
      <c r="BL12" s="29" t="str">
        <f t="shared" si="15"/>
        <v>#DIV/0!</v>
      </c>
      <c r="BM12" s="29" t="str">
        <f t="shared" si="3"/>
        <v>#DIV/0!</v>
      </c>
    </row>
    <row r="13">
      <c r="A13" s="16" t="str">
        <f>IFERROR(__xludf.DUMMYFUNCTION("IFERROR(SPARKLINE(SORT(MAP(TRANSPOSE(AQ13:BL13), LAMBDA(val, IF(ISNUMBER(val), PERCENTRANK(AQ13:BL13, val)+0.01, 0))), SEQUENCE(COLUMNS(AQ13:BL13)), FALSE), {""charttype"",""column""; ""color"",""chartreuse""; ""ymin"", 0; ""ymax"", 1.01; ""highcolor"", "&amp;"""darkgreen""; ""lowcolor"", ""red""}), """")"),"")</f>
        <v/>
      </c>
      <c r="B13" s="17" t="str">
        <f t="shared" si="4"/>
        <v/>
      </c>
      <c r="C13" s="1" t="s">
        <v>106</v>
      </c>
      <c r="D13" s="30" t="str">
        <f>IFERROR(__xludf.DUMMYFUNCTION("IFERROR(GOOGLEFINANCE(C13, ""NAME""))"),"Baidu Inc")</f>
        <v>Baidu Inc</v>
      </c>
      <c r="E13" s="30" t="s">
        <v>69</v>
      </c>
      <c r="F13" s="33" t="str">
        <f>IFERROR(__xludf.DUMMYFUNCTION("( (GOOGLEFINANCE(C13, ""price"") - Q13) / Q13 ) / (R13 / 100)"),"Loading...")</f>
        <v>Loading...</v>
      </c>
      <c r="G13" s="20" t="str">
        <f>IFERROR(__xludf.DUMMYFUNCTION("AVERAGE(ARRAYFORMULA(100 * (QUERY(GOOGLEFINANCE(C13, ""high"", TODAY()-40, TODAY()), ""SELECT Col2 WHERE Col2 IS NOT NULL ORDER BY Col1 DESC LIMIT 20"", 0) / QUERY(GOOGLEFINANCE(C13, ""low"", TODAY()-40, TODAY()), ""SELECT Col2 WHERE Col2 IS NOT NULL ORDE"&amp;"R BY Col1 DESC LIMIT 20"", 0) - 1)))"),"#N/A")</f>
        <v>#N/A</v>
      </c>
      <c r="H13" s="35" t="str">
        <f t="shared" si="6"/>
        <v>Liquid</v>
      </c>
      <c r="I13" s="36" t="str">
        <f t="shared" si="7"/>
        <v>RVol Required</v>
      </c>
      <c r="J13" s="37">
        <f>IFERROR(__xludf.DUMMYFUNCTION("IFERROR(
  IF(C13="""",, 
    IFERROR(
      GOOGLEFINANCE(C13, ""price"") * GOOGLEFINANCE(C13, ""volumeavg""), 
      GOOGLEFINANCE(C13, ""price"") * AVERAGE(QUERY(GOOGLEFINANCE(C13, ""volume"", TODAY()-40, TODAY()), ""SELECT Col2 WHERE Col2 IS NOT NULL "&amp;"ORDER BY Col1 DESC LIMIT 20"", 0))
    )
  ), 
"""")"),1.9853258508E8)</f>
        <v>198532585.1</v>
      </c>
      <c r="K13" s="21">
        <f>IFERROR(__xludf.DUMMYFUNCTION("IFERROR(GOOGLEFINANCE(C13, ""changepct"") / 100, """")"),-0.029300000000000003)</f>
        <v>-0.0293</v>
      </c>
      <c r="L13" s="21" t="str">
        <f>IFERROR(__xludf.DUMMYFUNCTION("IFERROR((GOOGLEFINANCE(C13, ""price"") / INDEX(GOOGLEFINANCE(C13, ""price"", TODAY()-7, TODAY()), 2, 2)) - 1, """")"),"")</f>
        <v/>
      </c>
      <c r="M13" s="21" t="str">
        <f>IFERROR(__xludf.DUMMYFUNCTION("IFERROR((GOOGLEFINANCE(C13, ""price"") / INDEX(GOOGLEFINANCE(C13, ""price"", EDATE(TODAY(), -1), TODAY()), 2, 2)) - 1, """")"),"")</f>
        <v/>
      </c>
      <c r="N13" s="21" t="str">
        <f>IFERROR(__xludf.DUMMYFUNCTION("IFERROR((GOOGLEFINANCE(C13, ""price"") / INDEX(GOOGLEFINANCE(C13, ""price"", EDATE(TODAY(), -3), TODAY()), 2, 2)) - 1, """")"),"")</f>
        <v/>
      </c>
      <c r="O13" s="21" t="str">
        <f>IFERROR(__xludf.DUMMYFUNCTION("IFERROR((GOOGLEFINANCE(C13, ""price"") / INDEX(GOOGLEFINANCE(C13, ""price"", EDATE(TODAY(), -6), TODAY()), 2, 2)) - 1, """")"),"")</f>
        <v/>
      </c>
      <c r="P13" s="21" t="str">
        <f>IFERROR(__xludf.DUMMYFUNCTION("IFERROR((GOOGLEFINANCE(C13, ""price"") / INDEX(GOOGLEFINANCE(C13, ""price"", EDATE(TODAY(), -12), TODAY()), 2, 2)) - 1, """")"),"")</f>
        <v/>
      </c>
      <c r="Q13" s="6" t="str">
        <f>IFERROR(__xludf.DUMMYFUNCTION("AVERAGE(QUERY(GOOGLEFINANCE(C13, ""price"", TODAY()-80, TODAY()), ""SELECT Col2 WHERE Col2 IS NOT NULL ORDER BY Col1 DESC LIMIT 50"", 0))"),"#N/A")</f>
        <v>#N/A</v>
      </c>
      <c r="R13" s="24" t="str">
        <f>IFERROR(__xludf.DUMMYFUNCTION("IFERROR(
  LET(
    data, QUERY(GOOGLEFINANCE(C13,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GOOGLEFINANCE(C13, ""price"")) * 100,
    IF(calc=0, G13, calc)
  ), 
G13)"),"#N/A")</f>
        <v>#N/A</v>
      </c>
      <c r="S13" s="8" t="s">
        <v>15</v>
      </c>
      <c r="T13" s="26" t="str">
        <f>IFERROR(__xludf.DUMMYFUNCTION("IFERROR(TRANSPOSE(QUERY(IFERROR(SORT(GOOGLEFINANCE(C13, ""price"", WORKDAY(TODAY(), -40), TODAY()), 1, FALSE)), ""select Col2 where Col2 is not null limit 22 label Col2 ''"", 0)), """")"),"")</f>
        <v/>
      </c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8"/>
      <c r="AO13" s="28"/>
      <c r="AP13" s="29"/>
      <c r="AQ13" s="29" t="str">
        <f t="shared" ref="AQ13:BL13" si="16">T13/T$2</f>
        <v>#N/A</v>
      </c>
      <c r="AR13" s="29" t="str">
        <f t="shared" si="16"/>
        <v>#DIV/0!</v>
      </c>
      <c r="AS13" s="29" t="str">
        <f t="shared" si="16"/>
        <v>#DIV/0!</v>
      </c>
      <c r="AT13" s="29" t="str">
        <f t="shared" si="16"/>
        <v>#DIV/0!</v>
      </c>
      <c r="AU13" s="29" t="str">
        <f t="shared" si="16"/>
        <v>#DIV/0!</v>
      </c>
      <c r="AV13" s="29" t="str">
        <f t="shared" si="16"/>
        <v>#DIV/0!</v>
      </c>
      <c r="AW13" s="29" t="str">
        <f t="shared" si="16"/>
        <v>#DIV/0!</v>
      </c>
      <c r="AX13" s="29" t="str">
        <f t="shared" si="16"/>
        <v>#DIV/0!</v>
      </c>
      <c r="AY13" s="29" t="str">
        <f t="shared" si="16"/>
        <v>#DIV/0!</v>
      </c>
      <c r="AZ13" s="29" t="str">
        <f t="shared" si="16"/>
        <v>#DIV/0!</v>
      </c>
      <c r="BA13" s="29" t="str">
        <f t="shared" si="16"/>
        <v>#DIV/0!</v>
      </c>
      <c r="BB13" s="29" t="str">
        <f t="shared" si="16"/>
        <v>#DIV/0!</v>
      </c>
      <c r="BC13" s="29" t="str">
        <f t="shared" si="16"/>
        <v>#DIV/0!</v>
      </c>
      <c r="BD13" s="29" t="str">
        <f t="shared" si="16"/>
        <v>#DIV/0!</v>
      </c>
      <c r="BE13" s="29" t="str">
        <f t="shared" si="16"/>
        <v>#DIV/0!</v>
      </c>
      <c r="BF13" s="29" t="str">
        <f t="shared" si="16"/>
        <v>#DIV/0!</v>
      </c>
      <c r="BG13" s="29" t="str">
        <f t="shared" si="16"/>
        <v>#DIV/0!</v>
      </c>
      <c r="BH13" s="29" t="str">
        <f t="shared" si="16"/>
        <v>#DIV/0!</v>
      </c>
      <c r="BI13" s="29" t="str">
        <f t="shared" si="16"/>
        <v>#DIV/0!</v>
      </c>
      <c r="BJ13" s="29" t="str">
        <f t="shared" si="16"/>
        <v>#DIV/0!</v>
      </c>
      <c r="BK13" s="29" t="str">
        <f t="shared" si="16"/>
        <v>#DIV/0!</v>
      </c>
      <c r="BL13" s="29" t="str">
        <f t="shared" si="16"/>
        <v>#DIV/0!</v>
      </c>
      <c r="BM13" s="29" t="str">
        <f t="shared" si="3"/>
        <v>#DIV/0!</v>
      </c>
    </row>
    <row r="14">
      <c r="A14" s="16" t="str">
        <f>IFERROR(__xludf.DUMMYFUNCTION("IFERROR(SPARKLINE(SORT(MAP(TRANSPOSE(AQ14:BL14), LAMBDA(val, IF(ISNUMBER(val), PERCENTRANK(AQ14:BL14, val)+0.01, 0))), SEQUENCE(COLUMNS(AQ14:BL14)), FALSE), {""charttype"",""column""; ""color"",""chartreuse""; ""ymin"", 0; ""ymax"", 1.01; ""highcolor"", "&amp;"""darkgreen""; ""lowcolor"", ""red""}), """")"),"")</f>
        <v/>
      </c>
      <c r="B14" s="17" t="str">
        <f t="shared" si="4"/>
        <v/>
      </c>
      <c r="C14" s="1" t="s">
        <v>110</v>
      </c>
      <c r="D14" s="30" t="str">
        <f>IFERROR(__xludf.DUMMYFUNCTION("IFERROR(GOOGLEFINANCE(C14, ""NAME""))"),"Live Nation Entertainment Inc")</f>
        <v>Live Nation Entertainment Inc</v>
      </c>
      <c r="E14" s="30" t="s">
        <v>62</v>
      </c>
      <c r="F14" s="33" t="str">
        <f>IFERROR(__xludf.DUMMYFUNCTION("( (GOOGLEFINANCE(C14, ""price"") - Q14) / Q14 ) / (R14 / 100)"),"Loading...")</f>
        <v>Loading...</v>
      </c>
      <c r="G14" s="20" t="str">
        <f>IFERROR(__xludf.DUMMYFUNCTION("AVERAGE(ARRAYFORMULA(100 * (QUERY(GOOGLEFINANCE(C14, ""high"", TODAY()-40, TODAY()), ""SELECT Col2 WHERE Col2 IS NOT NULL ORDER BY Col1 DESC LIMIT 20"", 0) / QUERY(GOOGLEFINANCE(C14, ""low"", TODAY()-40, TODAY()), ""SELECT Col2 WHERE Col2 IS NOT NULL ORDE"&amp;"R BY Col1 DESC LIMIT 20"", 0) - 1)))"),"#N/A")</f>
        <v>#N/A</v>
      </c>
      <c r="H14" s="35" t="str">
        <f t="shared" si="6"/>
        <v>Liquid</v>
      </c>
      <c r="I14" s="36" t="str">
        <f t="shared" si="7"/>
        <v>RVol Required</v>
      </c>
      <c r="J14" s="37">
        <f>IFERROR(__xludf.DUMMYFUNCTION("IFERROR(
  IF(C14="""",, 
    IFERROR(
      GOOGLEFINANCE(C14, ""price"") * GOOGLEFINANCE(C14, ""volumeavg""), 
      GOOGLEFINANCE(C14, ""price"") * AVERAGE(QUERY(GOOGLEFINANCE(C14, ""volume"", TODAY()-40, TODAY()), ""SELECT Col2 WHERE Col2 IS NOT NULL "&amp;"ORDER BY Col1 DESC LIMIT 20"", 0))
    )
  ), 
"""")"),3.3630761513E8)</f>
        <v>336307615.1</v>
      </c>
      <c r="K14" s="21">
        <f>IFERROR(__xludf.DUMMYFUNCTION("IFERROR(GOOGLEFINANCE(C14, ""changepct"") / 100, """")"),-0.0116)</f>
        <v>-0.0116</v>
      </c>
      <c r="L14" s="21" t="str">
        <f>IFERROR(__xludf.DUMMYFUNCTION("IFERROR((GOOGLEFINANCE(C14, ""price"") / INDEX(GOOGLEFINANCE(C14, ""price"", TODAY()-7, TODAY()), 2, 2)) - 1, """")"),"")</f>
        <v/>
      </c>
      <c r="M14" s="21" t="str">
        <f>IFERROR(__xludf.DUMMYFUNCTION("IFERROR((GOOGLEFINANCE(C14, ""price"") / INDEX(GOOGLEFINANCE(C14, ""price"", EDATE(TODAY(), -1), TODAY()), 2, 2)) - 1, """")"),"")</f>
        <v/>
      </c>
      <c r="N14" s="21" t="str">
        <f>IFERROR(__xludf.DUMMYFUNCTION("IFERROR((GOOGLEFINANCE(C14, ""price"") / INDEX(GOOGLEFINANCE(C14, ""price"", EDATE(TODAY(), -3), TODAY()), 2, 2)) - 1, """")"),"")</f>
        <v/>
      </c>
      <c r="O14" s="21" t="str">
        <f>IFERROR(__xludf.DUMMYFUNCTION("IFERROR((GOOGLEFINANCE(C14, ""price"") / INDEX(GOOGLEFINANCE(C14, ""price"", EDATE(TODAY(), -6), TODAY()), 2, 2)) - 1, """")"),"")</f>
        <v/>
      </c>
      <c r="P14" s="21" t="str">
        <f>IFERROR(__xludf.DUMMYFUNCTION("IFERROR((GOOGLEFINANCE(C14, ""price"") / INDEX(GOOGLEFINANCE(C14, ""price"", EDATE(TODAY(), -12), TODAY()), 2, 2)) - 1, """")"),"")</f>
        <v/>
      </c>
      <c r="Q14" s="6" t="str">
        <f>IFERROR(__xludf.DUMMYFUNCTION("AVERAGE(QUERY(GOOGLEFINANCE(C14, ""price"", TODAY()-80, TODAY()), ""SELECT Col2 WHERE Col2 IS NOT NULL ORDER BY Col1 DESC LIMIT 50"", 0))"),"#N/A")</f>
        <v>#N/A</v>
      </c>
      <c r="R14" s="24" t="str">
        <f>IFERROR(__xludf.DUMMYFUNCTION("IFERROR(
  LET(
    data, QUERY(GOOGLEFINANCE(C14,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GOOGLEFINANCE(C14, ""price"")) * 100,
    IF(calc=0, G14, calc)
  ), 
G14)"),"#N/A")</f>
        <v>#N/A</v>
      </c>
      <c r="S14" s="8" t="s">
        <v>15</v>
      </c>
      <c r="T14" s="26" t="str">
        <f>IFERROR(__xludf.DUMMYFUNCTION("IFERROR(TRANSPOSE(QUERY(IFERROR(SORT(GOOGLEFINANCE(C14, ""price"", WORKDAY(TODAY(), -40), TODAY()), 1, FALSE)), ""select Col2 where Col2 is not null limit 22 label Col2 ''"", 0)), """")"),"")</f>
        <v/>
      </c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8"/>
      <c r="AO14" s="28"/>
      <c r="AP14" s="29"/>
      <c r="AQ14" s="29" t="str">
        <f t="shared" ref="AQ14:BL14" si="17">T14/T$2</f>
        <v>#N/A</v>
      </c>
      <c r="AR14" s="29" t="str">
        <f t="shared" si="17"/>
        <v>#DIV/0!</v>
      </c>
      <c r="AS14" s="29" t="str">
        <f t="shared" si="17"/>
        <v>#DIV/0!</v>
      </c>
      <c r="AT14" s="29" t="str">
        <f t="shared" si="17"/>
        <v>#DIV/0!</v>
      </c>
      <c r="AU14" s="29" t="str">
        <f t="shared" si="17"/>
        <v>#DIV/0!</v>
      </c>
      <c r="AV14" s="29" t="str">
        <f t="shared" si="17"/>
        <v>#DIV/0!</v>
      </c>
      <c r="AW14" s="29" t="str">
        <f t="shared" si="17"/>
        <v>#DIV/0!</v>
      </c>
      <c r="AX14" s="29" t="str">
        <f t="shared" si="17"/>
        <v>#DIV/0!</v>
      </c>
      <c r="AY14" s="29" t="str">
        <f t="shared" si="17"/>
        <v>#DIV/0!</v>
      </c>
      <c r="AZ14" s="29" t="str">
        <f t="shared" si="17"/>
        <v>#DIV/0!</v>
      </c>
      <c r="BA14" s="29" t="str">
        <f t="shared" si="17"/>
        <v>#DIV/0!</v>
      </c>
      <c r="BB14" s="29" t="str">
        <f t="shared" si="17"/>
        <v>#DIV/0!</v>
      </c>
      <c r="BC14" s="29" t="str">
        <f t="shared" si="17"/>
        <v>#DIV/0!</v>
      </c>
      <c r="BD14" s="29" t="str">
        <f t="shared" si="17"/>
        <v>#DIV/0!</v>
      </c>
      <c r="BE14" s="29" t="str">
        <f t="shared" si="17"/>
        <v>#DIV/0!</v>
      </c>
      <c r="BF14" s="29" t="str">
        <f t="shared" si="17"/>
        <v>#DIV/0!</v>
      </c>
      <c r="BG14" s="29" t="str">
        <f t="shared" si="17"/>
        <v>#DIV/0!</v>
      </c>
      <c r="BH14" s="29" t="str">
        <f t="shared" si="17"/>
        <v>#DIV/0!</v>
      </c>
      <c r="BI14" s="29" t="str">
        <f t="shared" si="17"/>
        <v>#DIV/0!</v>
      </c>
      <c r="BJ14" s="29" t="str">
        <f t="shared" si="17"/>
        <v>#DIV/0!</v>
      </c>
      <c r="BK14" s="29" t="str">
        <f t="shared" si="17"/>
        <v>#DIV/0!</v>
      </c>
      <c r="BL14" s="29" t="str">
        <f t="shared" si="17"/>
        <v>#DIV/0!</v>
      </c>
      <c r="BM14" s="29" t="str">
        <f t="shared" si="3"/>
        <v>#DIV/0!</v>
      </c>
    </row>
    <row r="15">
      <c r="A15" s="16" t="str">
        <f>IFERROR(__xludf.DUMMYFUNCTION("IFERROR(SPARKLINE(SORT(MAP(TRANSPOSE(AQ15:BL15), LAMBDA(val, IF(ISNUMBER(val), PERCENTRANK(AQ15:BL15, val)+0.01, 0))), SEQUENCE(COLUMNS(AQ15:BL15)), FALSE), {""charttype"",""column""; ""color"",""chartreuse""; ""ymin"", 0; ""ymax"", 1.01; ""highcolor"", "&amp;"""darkgreen""; ""lowcolor"", ""red""}), """")"),"")</f>
        <v/>
      </c>
      <c r="B15" s="17" t="str">
        <f t="shared" si="4"/>
        <v/>
      </c>
      <c r="C15" s="1" t="s">
        <v>115</v>
      </c>
      <c r="D15" s="30" t="str">
        <f>IFERROR(__xludf.DUMMYFUNCTION("IFERROR(GOOGLEFINANCE(C15, ""NAME""))"),"Applovin Corp")</f>
        <v>Applovin Corp</v>
      </c>
      <c r="E15" s="30" t="s">
        <v>116</v>
      </c>
      <c r="F15" s="33" t="str">
        <f>IFERROR(__xludf.DUMMYFUNCTION("( (GOOGLEFINANCE(C15, ""price"") - Q15) / Q15 ) / (R15 / 100)"),"Loading...")</f>
        <v>Loading...</v>
      </c>
      <c r="G15" s="20" t="str">
        <f>IFERROR(__xludf.DUMMYFUNCTION("AVERAGE(ARRAYFORMULA(100 * (QUERY(GOOGLEFINANCE(C15, ""high"", TODAY()-40, TODAY()), ""SELECT Col2 WHERE Col2 IS NOT NULL ORDER BY Col1 DESC LIMIT 20"", 0) / QUERY(GOOGLEFINANCE(C15, ""low"", TODAY()-40, TODAY()), ""SELECT Col2 WHERE Col2 IS NOT NULL ORDE"&amp;"R BY Col1 DESC LIMIT 20"", 0) - 1)))"),"#N/A")</f>
        <v>#N/A</v>
      </c>
      <c r="H15" s="35" t="str">
        <f t="shared" si="6"/>
        <v>Liquid</v>
      </c>
      <c r="I15" s="36" t="str">
        <f t="shared" si="7"/>
        <v>No RVol Required</v>
      </c>
      <c r="J15" s="37">
        <f>IFERROR(__xludf.DUMMYFUNCTION("IFERROR(
  IF(C15="""",, 
    IFERROR(
      GOOGLEFINANCE(C15, ""price"") * GOOGLEFINANCE(C15, ""volumeavg""), 
      GOOGLEFINANCE(C15, ""price"") * AVERAGE(QUERY(GOOGLEFINANCE(C15, ""volume"", TODAY()-40, TODAY()), ""SELECT Col2 WHERE Col2 IS NOT NULL "&amp;"ORDER BY Col1 DESC LIMIT 20"", 0))
    )
  ), 
"""")"),1.33711802352E9)</f>
        <v>1337118024</v>
      </c>
      <c r="K15" s="21">
        <f>IFERROR(__xludf.DUMMYFUNCTION("IFERROR(GOOGLEFINANCE(C15, ""changepct"") / 100, """")"),-0.0471)</f>
        <v>-0.0471</v>
      </c>
      <c r="L15" s="21" t="str">
        <f>IFERROR(__xludf.DUMMYFUNCTION("IFERROR((GOOGLEFINANCE(C15, ""price"") / INDEX(GOOGLEFINANCE(C15, ""price"", TODAY()-7, TODAY()), 2, 2)) - 1, """")"),"")</f>
        <v/>
      </c>
      <c r="M15" s="21" t="str">
        <f>IFERROR(__xludf.DUMMYFUNCTION("IFERROR((GOOGLEFINANCE(C15, ""price"") / INDEX(GOOGLEFINANCE(C15, ""price"", EDATE(TODAY(), -1), TODAY()), 2, 2)) - 1, """")"),"")</f>
        <v/>
      </c>
      <c r="N15" s="21" t="str">
        <f>IFERROR(__xludf.DUMMYFUNCTION("IFERROR((GOOGLEFINANCE(C15, ""price"") / INDEX(GOOGLEFINANCE(C15, ""price"", EDATE(TODAY(), -3), TODAY()), 2, 2)) - 1, """")"),"")</f>
        <v/>
      </c>
      <c r="O15" s="21" t="str">
        <f>IFERROR(__xludf.DUMMYFUNCTION("IFERROR((GOOGLEFINANCE(C15, ""price"") / INDEX(GOOGLEFINANCE(C15, ""price"", EDATE(TODAY(), -6), TODAY()), 2, 2)) - 1, """")"),"")</f>
        <v/>
      </c>
      <c r="P15" s="21" t="str">
        <f>IFERROR(__xludf.DUMMYFUNCTION("IFERROR((GOOGLEFINANCE(C15, ""price"") / INDEX(GOOGLEFINANCE(C15, ""price"", EDATE(TODAY(), -12), TODAY()), 2, 2)) - 1, """")"),"")</f>
        <v/>
      </c>
      <c r="Q15" s="6" t="str">
        <f>IFERROR(__xludf.DUMMYFUNCTION("AVERAGE(QUERY(GOOGLEFINANCE(C15, ""price"", TODAY()-80, TODAY()), ""SELECT Col2 WHERE Col2 IS NOT NULL ORDER BY Col1 DESC LIMIT 50"", 0))"),"#N/A")</f>
        <v>#N/A</v>
      </c>
      <c r="R15" s="24" t="str">
        <f>IFERROR(__xludf.DUMMYFUNCTION("IFERROR(
  LET(
    data, QUERY(GOOGLEFINANCE(C15,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GOOGLEFINANCE(C15, ""price"")) * 100,
    IF(calc=0, G15, calc)
  ), 
G15)"),"#N/A")</f>
        <v>#N/A</v>
      </c>
      <c r="S15" s="8" t="s">
        <v>15</v>
      </c>
      <c r="T15" s="26" t="str">
        <f>IFERROR(__xludf.DUMMYFUNCTION("IFERROR(TRANSPOSE(QUERY(IFERROR(SORT(GOOGLEFINANCE(C15, ""price"", WORKDAY(TODAY(), -40), TODAY()), 1, FALSE)), ""select Col2 where Col2 is not null limit 22 label Col2 ''"", 0)), """")"),"")</f>
        <v/>
      </c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8"/>
      <c r="AO15" s="28"/>
      <c r="AP15" s="29"/>
      <c r="AQ15" s="29" t="str">
        <f t="shared" ref="AQ15:BL15" si="18">T15/T$2</f>
        <v>#N/A</v>
      </c>
      <c r="AR15" s="29" t="str">
        <f t="shared" si="18"/>
        <v>#DIV/0!</v>
      </c>
      <c r="AS15" s="29" t="str">
        <f t="shared" si="18"/>
        <v>#DIV/0!</v>
      </c>
      <c r="AT15" s="29" t="str">
        <f t="shared" si="18"/>
        <v>#DIV/0!</v>
      </c>
      <c r="AU15" s="29" t="str">
        <f t="shared" si="18"/>
        <v>#DIV/0!</v>
      </c>
      <c r="AV15" s="29" t="str">
        <f t="shared" si="18"/>
        <v>#DIV/0!</v>
      </c>
      <c r="AW15" s="29" t="str">
        <f t="shared" si="18"/>
        <v>#DIV/0!</v>
      </c>
      <c r="AX15" s="29" t="str">
        <f t="shared" si="18"/>
        <v>#DIV/0!</v>
      </c>
      <c r="AY15" s="29" t="str">
        <f t="shared" si="18"/>
        <v>#DIV/0!</v>
      </c>
      <c r="AZ15" s="29" t="str">
        <f t="shared" si="18"/>
        <v>#DIV/0!</v>
      </c>
      <c r="BA15" s="29" t="str">
        <f t="shared" si="18"/>
        <v>#DIV/0!</v>
      </c>
      <c r="BB15" s="29" t="str">
        <f t="shared" si="18"/>
        <v>#DIV/0!</v>
      </c>
      <c r="BC15" s="29" t="str">
        <f t="shared" si="18"/>
        <v>#DIV/0!</v>
      </c>
      <c r="BD15" s="29" t="str">
        <f t="shared" si="18"/>
        <v>#DIV/0!</v>
      </c>
      <c r="BE15" s="29" t="str">
        <f t="shared" si="18"/>
        <v>#DIV/0!</v>
      </c>
      <c r="BF15" s="29" t="str">
        <f t="shared" si="18"/>
        <v>#DIV/0!</v>
      </c>
      <c r="BG15" s="29" t="str">
        <f t="shared" si="18"/>
        <v>#DIV/0!</v>
      </c>
      <c r="BH15" s="29" t="str">
        <f t="shared" si="18"/>
        <v>#DIV/0!</v>
      </c>
      <c r="BI15" s="29" t="str">
        <f t="shared" si="18"/>
        <v>#DIV/0!</v>
      </c>
      <c r="BJ15" s="29" t="str">
        <f t="shared" si="18"/>
        <v>#DIV/0!</v>
      </c>
      <c r="BK15" s="29" t="str">
        <f t="shared" si="18"/>
        <v>#DIV/0!</v>
      </c>
      <c r="BL15" s="29" t="str">
        <f t="shared" si="18"/>
        <v>#DIV/0!</v>
      </c>
      <c r="BM15" s="29" t="str">
        <f t="shared" si="3"/>
        <v>#DIV/0!</v>
      </c>
    </row>
    <row r="16">
      <c r="A16" s="16" t="str">
        <f>IFERROR(__xludf.DUMMYFUNCTION("IFERROR(SPARKLINE(SORT(MAP(TRANSPOSE(AQ16:BL16), LAMBDA(val, IF(ISNUMBER(val), PERCENTRANK(AQ16:BL16, val)+0.01, 0))), SEQUENCE(COLUMNS(AQ16:BL16)), FALSE), {""charttype"",""column""; ""color"",""chartreuse""; ""ymin"", 0; ""ymax"", 1.01; ""highcolor"", "&amp;"""darkgreen""; ""lowcolor"", ""red""}), """")"),"")</f>
        <v/>
      </c>
      <c r="B16" s="17" t="str">
        <f t="shared" si="4"/>
        <v/>
      </c>
      <c r="C16" s="1" t="s">
        <v>120</v>
      </c>
      <c r="D16" s="30" t="str">
        <f>IFERROR(__xludf.DUMMYFUNCTION("IFERROR(GOOGLEFINANCE(C16, ""NAME""))"),"EverQuote Inc")</f>
        <v>EverQuote Inc</v>
      </c>
      <c r="E16" s="30" t="s">
        <v>69</v>
      </c>
      <c r="F16" s="33" t="str">
        <f>IFERROR(__xludf.DUMMYFUNCTION("( (GOOGLEFINANCE(C16, ""price"") - Q16) / Q16 ) / (R16 / 100)"),"Loading...")</f>
        <v>Loading...</v>
      </c>
      <c r="G16" s="20" t="str">
        <f>IFERROR(__xludf.DUMMYFUNCTION("AVERAGE(ARRAYFORMULA(100 * (QUERY(GOOGLEFINANCE(C16, ""high"", TODAY()-40, TODAY()), ""SELECT Col2 WHERE Col2 IS NOT NULL ORDER BY Col1 DESC LIMIT 20"", 0) / QUERY(GOOGLEFINANCE(C16, ""low"", TODAY()-40, TODAY()), ""SELECT Col2 WHERE Col2 IS NOT NULL ORDE"&amp;"R BY Col1 DESC LIMIT 20"", 0) - 1)))"),"#N/A")</f>
        <v>#N/A</v>
      </c>
      <c r="H16" s="35" t="str">
        <f t="shared" si="6"/>
        <v>Illiquid</v>
      </c>
      <c r="I16" s="36" t="str">
        <f t="shared" si="7"/>
        <v>RVol Required</v>
      </c>
      <c r="J16" s="37">
        <f>IFERROR(__xludf.DUMMYFUNCTION("IFERROR(
  IF(C16="""",, 
    IFERROR(
      GOOGLEFINANCE(C16, ""price"") * GOOGLEFINANCE(C16, ""volumeavg""), 
      GOOGLEFINANCE(C16, ""price"") * AVERAGE(QUERY(GOOGLEFINANCE(C16, ""volume"", TODAY()-40, TODAY()), ""SELECT Col2 WHERE Col2 IS NOT NULL "&amp;"ORDER BY Col1 DESC LIMIT 20"", 0))
    )
  ), 
"""")"),1.854841065E7)</f>
        <v>18548410.65</v>
      </c>
      <c r="K16" s="21">
        <f>IFERROR(__xludf.DUMMYFUNCTION("IFERROR(GOOGLEFINANCE(C16, ""changepct"") / 100, """")"),0.0097)</f>
        <v>0.0097</v>
      </c>
      <c r="L16" s="21" t="str">
        <f>IFERROR(__xludf.DUMMYFUNCTION("IFERROR((GOOGLEFINANCE(C16, ""price"") / INDEX(GOOGLEFINANCE(C16, ""price"", TODAY()-7, TODAY()), 2, 2)) - 1, """")"),"")</f>
        <v/>
      </c>
      <c r="M16" s="21" t="str">
        <f>IFERROR(__xludf.DUMMYFUNCTION("IFERROR((GOOGLEFINANCE(C16, ""price"") / INDEX(GOOGLEFINANCE(C16, ""price"", EDATE(TODAY(), -1), TODAY()), 2, 2)) - 1, """")"),"")</f>
        <v/>
      </c>
      <c r="N16" s="21" t="str">
        <f>IFERROR(__xludf.DUMMYFUNCTION("IFERROR((GOOGLEFINANCE(C16, ""price"") / INDEX(GOOGLEFINANCE(C16, ""price"", EDATE(TODAY(), -3), TODAY()), 2, 2)) - 1, """")"),"")</f>
        <v/>
      </c>
      <c r="O16" s="21" t="str">
        <f>IFERROR(__xludf.DUMMYFUNCTION("IFERROR((GOOGLEFINANCE(C16, ""price"") / INDEX(GOOGLEFINANCE(C16, ""price"", EDATE(TODAY(), -6), TODAY()), 2, 2)) - 1, """")"),"")</f>
        <v/>
      </c>
      <c r="P16" s="21" t="str">
        <f>IFERROR(__xludf.DUMMYFUNCTION("IFERROR((GOOGLEFINANCE(C16, ""price"") / INDEX(GOOGLEFINANCE(C16, ""price"", EDATE(TODAY(), -12), TODAY()), 2, 2)) - 1, """")"),"")</f>
        <v/>
      </c>
      <c r="Q16" s="6" t="str">
        <f>IFERROR(__xludf.DUMMYFUNCTION("AVERAGE(QUERY(GOOGLEFINANCE(C16, ""price"", TODAY()-80, TODAY()), ""SELECT Col2 WHERE Col2 IS NOT NULL ORDER BY Col1 DESC LIMIT 50"", 0))"),"#N/A")</f>
        <v>#N/A</v>
      </c>
      <c r="R16" s="24" t="str">
        <f>IFERROR(__xludf.DUMMYFUNCTION("IFERROR(
  LET(
    data, QUERY(GOOGLEFINANCE(C16,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GOOGLEFINANCE(C16, ""price"")) * 100,
    IF(calc=0, G16, calc)
  ), 
G16)"),"#N/A")</f>
        <v>#N/A</v>
      </c>
      <c r="S16" s="8" t="s">
        <v>15</v>
      </c>
      <c r="T16" s="26" t="str">
        <f>IFERROR(__xludf.DUMMYFUNCTION("IFERROR(TRANSPOSE(QUERY(IFERROR(SORT(GOOGLEFINANCE(C16, ""price"", WORKDAY(TODAY(), -40), TODAY()), 1, FALSE)), ""select Col2 where Col2 is not null limit 22 label Col2 ''"", 0)), """")"),"")</f>
        <v/>
      </c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8"/>
      <c r="AO16" s="28"/>
      <c r="AP16" s="29"/>
      <c r="AQ16" s="29" t="str">
        <f t="shared" ref="AQ16:BL16" si="19">T16/T$2</f>
        <v>#N/A</v>
      </c>
      <c r="AR16" s="29" t="str">
        <f t="shared" si="19"/>
        <v>#DIV/0!</v>
      </c>
      <c r="AS16" s="29" t="str">
        <f t="shared" si="19"/>
        <v>#DIV/0!</v>
      </c>
      <c r="AT16" s="29" t="str">
        <f t="shared" si="19"/>
        <v>#DIV/0!</v>
      </c>
      <c r="AU16" s="29" t="str">
        <f t="shared" si="19"/>
        <v>#DIV/0!</v>
      </c>
      <c r="AV16" s="29" t="str">
        <f t="shared" si="19"/>
        <v>#DIV/0!</v>
      </c>
      <c r="AW16" s="29" t="str">
        <f t="shared" si="19"/>
        <v>#DIV/0!</v>
      </c>
      <c r="AX16" s="29" t="str">
        <f t="shared" si="19"/>
        <v>#DIV/0!</v>
      </c>
      <c r="AY16" s="29" t="str">
        <f t="shared" si="19"/>
        <v>#DIV/0!</v>
      </c>
      <c r="AZ16" s="29" t="str">
        <f t="shared" si="19"/>
        <v>#DIV/0!</v>
      </c>
      <c r="BA16" s="29" t="str">
        <f t="shared" si="19"/>
        <v>#DIV/0!</v>
      </c>
      <c r="BB16" s="29" t="str">
        <f t="shared" si="19"/>
        <v>#DIV/0!</v>
      </c>
      <c r="BC16" s="29" t="str">
        <f t="shared" si="19"/>
        <v>#DIV/0!</v>
      </c>
      <c r="BD16" s="29" t="str">
        <f t="shared" si="19"/>
        <v>#DIV/0!</v>
      </c>
      <c r="BE16" s="29" t="str">
        <f t="shared" si="19"/>
        <v>#DIV/0!</v>
      </c>
      <c r="BF16" s="29" t="str">
        <f t="shared" si="19"/>
        <v>#DIV/0!</v>
      </c>
      <c r="BG16" s="29" t="str">
        <f t="shared" si="19"/>
        <v>#DIV/0!</v>
      </c>
      <c r="BH16" s="29" t="str">
        <f t="shared" si="19"/>
        <v>#DIV/0!</v>
      </c>
      <c r="BI16" s="29" t="str">
        <f t="shared" si="19"/>
        <v>#DIV/0!</v>
      </c>
      <c r="BJ16" s="29" t="str">
        <f t="shared" si="19"/>
        <v>#DIV/0!</v>
      </c>
      <c r="BK16" s="29" t="str">
        <f t="shared" si="19"/>
        <v>#DIV/0!</v>
      </c>
      <c r="BL16" s="29" t="str">
        <f t="shared" si="19"/>
        <v>#DIV/0!</v>
      </c>
      <c r="BM16" s="29" t="str">
        <f t="shared" si="3"/>
        <v>#DIV/0!</v>
      </c>
    </row>
    <row r="17">
      <c r="A17" s="16" t="str">
        <f>IFERROR(__xludf.DUMMYFUNCTION("IFERROR(SPARKLINE(SORT(MAP(TRANSPOSE(AQ17:BL17), LAMBDA(val, IF(ISNUMBER(val), PERCENTRANK(AQ17:BL17, val)+0.01, 0))), SEQUENCE(COLUMNS(AQ17:BL17)), FALSE), {""charttype"",""column""; ""color"",""chartreuse""; ""ymin"", 0; ""ymax"", 1.01; ""highcolor"", "&amp;"""darkgreen""; ""lowcolor"", ""red""}), """")"),"")</f>
        <v/>
      </c>
      <c r="B17" s="17" t="str">
        <f t="shared" si="4"/>
        <v/>
      </c>
      <c r="C17" s="1" t="s">
        <v>125</v>
      </c>
      <c r="D17" s="30" t="str">
        <f>IFERROR(__xludf.DUMMYFUNCTION("IFERROR(GOOGLEFINANCE(C17, ""NAME""))"),"Roku Inc")</f>
        <v>Roku Inc</v>
      </c>
      <c r="E17" s="30" t="s">
        <v>62</v>
      </c>
      <c r="F17" s="33" t="str">
        <f>IFERROR(__xludf.DUMMYFUNCTION("( (GOOGLEFINANCE(C17, ""price"") - Q17) / Q17 ) / (R17 / 100)"),"Loading...")</f>
        <v>Loading...</v>
      </c>
      <c r="G17" s="20" t="str">
        <f>IFERROR(__xludf.DUMMYFUNCTION("AVERAGE(ARRAYFORMULA(100 * (QUERY(GOOGLEFINANCE(C17, ""high"", TODAY()-40, TODAY()), ""SELECT Col2 WHERE Col2 IS NOT NULL ORDER BY Col1 DESC LIMIT 20"", 0) / QUERY(GOOGLEFINANCE(C17, ""low"", TODAY()-40, TODAY()), ""SELECT Col2 WHERE Col2 IS NOT NULL ORDE"&amp;"R BY Col1 DESC LIMIT 20"", 0) - 1)))"),"#N/A")</f>
        <v>#N/A</v>
      </c>
      <c r="H17" s="35" t="str">
        <f t="shared" si="6"/>
        <v>Liquid</v>
      </c>
      <c r="I17" s="36" t="str">
        <f t="shared" si="7"/>
        <v>RVol Required</v>
      </c>
      <c r="J17" s="37">
        <f>IFERROR(__xludf.DUMMYFUNCTION("IFERROR(
  IF(C17="""",, 
    IFERROR(
      GOOGLEFINANCE(C17, ""price"") * GOOGLEFINANCE(C17, ""volumeavg""), 
      GOOGLEFINANCE(C17, ""price"") * AVERAGE(QUERY(GOOGLEFINANCE(C17, ""volume"", TODAY()-40, TODAY()), ""SELECT Col2 WHERE Col2 IS NOT NULL "&amp;"ORDER BY Col1 DESC LIMIT 20"", 0))
    )
  ), 
"""")"),2.844123252E8)</f>
        <v>284412325.2</v>
      </c>
      <c r="K17" s="21">
        <f>IFERROR(__xludf.DUMMYFUNCTION("IFERROR(GOOGLEFINANCE(C17, ""changepct"") / 100, """")"),-8.0E-4)</f>
        <v>-0.0008</v>
      </c>
      <c r="L17" s="21" t="str">
        <f>IFERROR(__xludf.DUMMYFUNCTION("IFERROR((GOOGLEFINANCE(C17, ""price"") / INDEX(GOOGLEFINANCE(C17, ""price"", TODAY()-7, TODAY()), 2, 2)) - 1, """")"),"")</f>
        <v/>
      </c>
      <c r="M17" s="21" t="str">
        <f>IFERROR(__xludf.DUMMYFUNCTION("IFERROR((GOOGLEFINANCE(C17, ""price"") / INDEX(GOOGLEFINANCE(C17, ""price"", EDATE(TODAY(), -1), TODAY()), 2, 2)) - 1, """")"),"")</f>
        <v/>
      </c>
      <c r="N17" s="21" t="str">
        <f>IFERROR(__xludf.DUMMYFUNCTION("IFERROR((GOOGLEFINANCE(C17, ""price"") / INDEX(GOOGLEFINANCE(C17, ""price"", EDATE(TODAY(), -3), TODAY()), 2, 2)) - 1, """")"),"")</f>
        <v/>
      </c>
      <c r="O17" s="21" t="str">
        <f>IFERROR(__xludf.DUMMYFUNCTION("IFERROR((GOOGLEFINANCE(C17, ""price"") / INDEX(GOOGLEFINANCE(C17, ""price"", EDATE(TODAY(), -6), TODAY()), 2, 2)) - 1, """")"),"")</f>
        <v/>
      </c>
      <c r="P17" s="21" t="str">
        <f>IFERROR(__xludf.DUMMYFUNCTION("IFERROR((GOOGLEFINANCE(C17, ""price"") / INDEX(GOOGLEFINANCE(C17, ""price"", EDATE(TODAY(), -12), TODAY()), 2, 2)) - 1, """")"),"")</f>
        <v/>
      </c>
      <c r="Q17" s="6" t="str">
        <f>IFERROR(__xludf.DUMMYFUNCTION("AVERAGE(QUERY(GOOGLEFINANCE(C17, ""price"", TODAY()-80, TODAY()), ""SELECT Col2 WHERE Col2 IS NOT NULL ORDER BY Col1 DESC LIMIT 50"", 0))"),"#N/A")</f>
        <v>#N/A</v>
      </c>
      <c r="R17" s="24" t="str">
        <f>IFERROR(__xludf.DUMMYFUNCTION("IFERROR(
  LET(
    data, QUERY(GOOGLEFINANCE(C17,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GOOGLEFINANCE(C17, ""price"")) * 100,
    IF(calc=0, G17, calc)
  ), 
G17)"),"#N/A")</f>
        <v>#N/A</v>
      </c>
      <c r="S17" s="8" t="s">
        <v>15</v>
      </c>
      <c r="T17" s="26" t="str">
        <f>IFERROR(__xludf.DUMMYFUNCTION("IFERROR(TRANSPOSE(QUERY(IFERROR(SORT(GOOGLEFINANCE(C17, ""price"", WORKDAY(TODAY(), -40), TODAY()), 1, FALSE)), ""select Col2 where Col2 is not null limit 22 label Col2 ''"", 0)), """")"),"")</f>
        <v/>
      </c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8"/>
      <c r="AO17" s="28"/>
      <c r="AP17" s="29"/>
      <c r="AQ17" s="29" t="str">
        <f t="shared" ref="AQ17:BL17" si="20">T17/T$2</f>
        <v>#N/A</v>
      </c>
      <c r="AR17" s="29" t="str">
        <f t="shared" si="20"/>
        <v>#DIV/0!</v>
      </c>
      <c r="AS17" s="29" t="str">
        <f t="shared" si="20"/>
        <v>#DIV/0!</v>
      </c>
      <c r="AT17" s="29" t="str">
        <f t="shared" si="20"/>
        <v>#DIV/0!</v>
      </c>
      <c r="AU17" s="29" t="str">
        <f t="shared" si="20"/>
        <v>#DIV/0!</v>
      </c>
      <c r="AV17" s="29" t="str">
        <f t="shared" si="20"/>
        <v>#DIV/0!</v>
      </c>
      <c r="AW17" s="29" t="str">
        <f t="shared" si="20"/>
        <v>#DIV/0!</v>
      </c>
      <c r="AX17" s="29" t="str">
        <f t="shared" si="20"/>
        <v>#DIV/0!</v>
      </c>
      <c r="AY17" s="29" t="str">
        <f t="shared" si="20"/>
        <v>#DIV/0!</v>
      </c>
      <c r="AZ17" s="29" t="str">
        <f t="shared" si="20"/>
        <v>#DIV/0!</v>
      </c>
      <c r="BA17" s="29" t="str">
        <f t="shared" si="20"/>
        <v>#DIV/0!</v>
      </c>
      <c r="BB17" s="29" t="str">
        <f t="shared" si="20"/>
        <v>#DIV/0!</v>
      </c>
      <c r="BC17" s="29" t="str">
        <f t="shared" si="20"/>
        <v>#DIV/0!</v>
      </c>
      <c r="BD17" s="29" t="str">
        <f t="shared" si="20"/>
        <v>#DIV/0!</v>
      </c>
      <c r="BE17" s="29" t="str">
        <f t="shared" si="20"/>
        <v>#DIV/0!</v>
      </c>
      <c r="BF17" s="29" t="str">
        <f t="shared" si="20"/>
        <v>#DIV/0!</v>
      </c>
      <c r="BG17" s="29" t="str">
        <f t="shared" si="20"/>
        <v>#DIV/0!</v>
      </c>
      <c r="BH17" s="29" t="str">
        <f t="shared" si="20"/>
        <v>#DIV/0!</v>
      </c>
      <c r="BI17" s="29" t="str">
        <f t="shared" si="20"/>
        <v>#DIV/0!</v>
      </c>
      <c r="BJ17" s="29" t="str">
        <f t="shared" si="20"/>
        <v>#DIV/0!</v>
      </c>
      <c r="BK17" s="29" t="str">
        <f t="shared" si="20"/>
        <v>#DIV/0!</v>
      </c>
      <c r="BL17" s="29" t="str">
        <f t="shared" si="20"/>
        <v>#DIV/0!</v>
      </c>
      <c r="BM17" s="29" t="str">
        <f t="shared" si="3"/>
        <v>#DIV/0!</v>
      </c>
    </row>
    <row r="18">
      <c r="A18" s="16" t="str">
        <f>IFERROR(__xludf.DUMMYFUNCTION("IFERROR(SPARKLINE(SORT(MAP(TRANSPOSE(AQ18:BL18), LAMBDA(val, IF(ISNUMBER(val), PERCENTRANK(AQ18:BL18, val)+0.01, 0))), SEQUENCE(COLUMNS(AQ18:BL18)), FALSE), {""charttype"",""column""; ""color"",""chartreuse""; ""ymin"", 0; ""ymax"", 1.01; ""highcolor"", "&amp;"""darkgreen""; ""lowcolor"", ""red""}), """")"),"")</f>
        <v/>
      </c>
      <c r="B18" s="17" t="str">
        <f t="shared" si="4"/>
        <v/>
      </c>
      <c r="C18" s="1" t="s">
        <v>131</v>
      </c>
      <c r="D18" s="30" t="str">
        <f>IFERROR(__xludf.DUMMYFUNCTION("IFERROR(GOOGLEFINANCE(C18, ""NAME""))"),"EKO EXPORT SA")</f>
        <v>EKO EXPORT SA</v>
      </c>
      <c r="E18" s="30" t="s">
        <v>116</v>
      </c>
      <c r="F18" s="33" t="str">
        <f>IFERROR(__xludf.DUMMYFUNCTION("( (GOOGLEFINANCE(C18, ""price"") - Q18) / Q18 ) / (R18 / 100)"),"Loading...")</f>
        <v>Loading...</v>
      </c>
      <c r="G18" s="20" t="str">
        <f>IFERROR(__xludf.DUMMYFUNCTION("AVERAGE(ARRAYFORMULA(100 * (QUERY(GOOGLEFINANCE(C18, ""high"", TODAY()-40, TODAY()), ""SELECT Col2 WHERE Col2 IS NOT NULL ORDER BY Col1 DESC LIMIT 20"", 0) / QUERY(GOOGLEFINANCE(C18, ""low"", TODAY()-40, TODAY()), ""SELECT Col2 WHERE Col2 IS NOT NULL ORDE"&amp;"R BY Col1 DESC LIMIT 20"", 0) - 1)))"),"#N/A")</f>
        <v>#N/A</v>
      </c>
      <c r="H18" s="35" t="str">
        <f t="shared" si="6"/>
        <v/>
      </c>
      <c r="I18" s="36" t="str">
        <f t="shared" si="7"/>
        <v/>
      </c>
      <c r="J18" s="37" t="str">
        <f>IFERROR(__xludf.DUMMYFUNCTION("IFERROR(
  IF(C18="""",, 
    IFERROR(
      GOOGLEFINANCE(C18, ""price"") * GOOGLEFINANCE(C18, ""volumeavg""), 
      GOOGLEFINANCE(C18, ""price"") * AVERAGE(QUERY(GOOGLEFINANCE(C18, ""volume"", TODAY()-40, TODAY()), ""SELECT Col2 WHERE Col2 IS NOT NULL "&amp;"ORDER BY Col1 DESC LIMIT 20"", 0))
    )
  ), 
"""")"),"")</f>
        <v/>
      </c>
      <c r="K18" s="21">
        <f>IFERROR(__xludf.DUMMYFUNCTION("IFERROR(GOOGLEFINANCE(C18, ""changepct"") / 100, """")"),0.0)</f>
        <v>0</v>
      </c>
      <c r="L18" s="21" t="str">
        <f>IFERROR(__xludf.DUMMYFUNCTION("IFERROR((GOOGLEFINANCE(C18, ""price"") / INDEX(GOOGLEFINANCE(C18, ""price"", TODAY()-7, TODAY()), 2, 2)) - 1, """")"),"")</f>
        <v/>
      </c>
      <c r="M18" s="21" t="str">
        <f>IFERROR(__xludf.DUMMYFUNCTION("IFERROR((GOOGLEFINANCE(C18, ""price"") / INDEX(GOOGLEFINANCE(C18, ""price"", EDATE(TODAY(), -1), TODAY()), 2, 2)) - 1, """")"),"")</f>
        <v/>
      </c>
      <c r="N18" s="21" t="str">
        <f>IFERROR(__xludf.DUMMYFUNCTION("IFERROR((GOOGLEFINANCE(C18, ""price"") / INDEX(GOOGLEFINANCE(C18, ""price"", EDATE(TODAY(), -3), TODAY()), 2, 2)) - 1, """")"),"")</f>
        <v/>
      </c>
      <c r="O18" s="21" t="str">
        <f>IFERROR(__xludf.DUMMYFUNCTION("IFERROR((GOOGLEFINANCE(C18, ""price"") / INDEX(GOOGLEFINANCE(C18, ""price"", EDATE(TODAY(), -6), TODAY()), 2, 2)) - 1, """")"),"")</f>
        <v/>
      </c>
      <c r="P18" s="21" t="str">
        <f>IFERROR(__xludf.DUMMYFUNCTION("IFERROR((GOOGLEFINANCE(C18, ""price"") / INDEX(GOOGLEFINANCE(C18, ""price"", EDATE(TODAY(), -12), TODAY()), 2, 2)) - 1, """")"),"")</f>
        <v/>
      </c>
      <c r="Q18" s="6" t="str">
        <f>IFERROR(__xludf.DUMMYFUNCTION("AVERAGE(QUERY(GOOGLEFINANCE(C18, ""price"", TODAY()-80, TODAY()), ""SELECT Col2 WHERE Col2 IS NOT NULL ORDER BY Col1 DESC LIMIT 50"", 0))"),"#N/A")</f>
        <v>#N/A</v>
      </c>
      <c r="R18" s="24" t="str">
        <f>IFERROR(__xludf.DUMMYFUNCTION("IFERROR(
  LET(
    data, QUERY(GOOGLEFINANCE(C18,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GOOGLEFINANCE(C18, ""price"")) * 100,
    IF(calc=0, G18, calc)
  ), 
G18)"),"#N/A")</f>
        <v>#N/A</v>
      </c>
      <c r="S18" s="8" t="s">
        <v>15</v>
      </c>
      <c r="T18" s="26" t="str">
        <f>IFERROR(__xludf.DUMMYFUNCTION("IFERROR(TRANSPOSE(QUERY(IFERROR(SORT(GOOGLEFINANCE(C18, ""price"", WORKDAY(TODAY(), -40), TODAY()), 1, FALSE)), ""select Col2 where Col2 is not null limit 22 label Col2 ''"", 0)), """")"),"")</f>
        <v/>
      </c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8"/>
      <c r="AO18" s="28"/>
      <c r="AP18" s="29"/>
      <c r="AQ18" s="29" t="str">
        <f t="shared" ref="AQ18:BL18" si="21">T18/T$2</f>
        <v>#N/A</v>
      </c>
      <c r="AR18" s="29" t="str">
        <f t="shared" si="21"/>
        <v>#DIV/0!</v>
      </c>
      <c r="AS18" s="29" t="str">
        <f t="shared" si="21"/>
        <v>#DIV/0!</v>
      </c>
      <c r="AT18" s="29" t="str">
        <f t="shared" si="21"/>
        <v>#DIV/0!</v>
      </c>
      <c r="AU18" s="29" t="str">
        <f t="shared" si="21"/>
        <v>#DIV/0!</v>
      </c>
      <c r="AV18" s="29" t="str">
        <f t="shared" si="21"/>
        <v>#DIV/0!</v>
      </c>
      <c r="AW18" s="29" t="str">
        <f t="shared" si="21"/>
        <v>#DIV/0!</v>
      </c>
      <c r="AX18" s="29" t="str">
        <f t="shared" si="21"/>
        <v>#DIV/0!</v>
      </c>
      <c r="AY18" s="29" t="str">
        <f t="shared" si="21"/>
        <v>#DIV/0!</v>
      </c>
      <c r="AZ18" s="29" t="str">
        <f t="shared" si="21"/>
        <v>#DIV/0!</v>
      </c>
      <c r="BA18" s="29" t="str">
        <f t="shared" si="21"/>
        <v>#DIV/0!</v>
      </c>
      <c r="BB18" s="29" t="str">
        <f t="shared" si="21"/>
        <v>#DIV/0!</v>
      </c>
      <c r="BC18" s="29" t="str">
        <f t="shared" si="21"/>
        <v>#DIV/0!</v>
      </c>
      <c r="BD18" s="29" t="str">
        <f t="shared" si="21"/>
        <v>#DIV/0!</v>
      </c>
      <c r="BE18" s="29" t="str">
        <f t="shared" si="21"/>
        <v>#DIV/0!</v>
      </c>
      <c r="BF18" s="29" t="str">
        <f t="shared" si="21"/>
        <v>#DIV/0!</v>
      </c>
      <c r="BG18" s="29" t="str">
        <f t="shared" si="21"/>
        <v>#DIV/0!</v>
      </c>
      <c r="BH18" s="29" t="str">
        <f t="shared" si="21"/>
        <v>#DIV/0!</v>
      </c>
      <c r="BI18" s="29" t="str">
        <f t="shared" si="21"/>
        <v>#DIV/0!</v>
      </c>
      <c r="BJ18" s="29" t="str">
        <f t="shared" si="21"/>
        <v>#DIV/0!</v>
      </c>
      <c r="BK18" s="29" t="str">
        <f t="shared" si="21"/>
        <v>#DIV/0!</v>
      </c>
      <c r="BL18" s="29" t="str">
        <f t="shared" si="21"/>
        <v>#DIV/0!</v>
      </c>
      <c r="BM18" s="29" t="str">
        <f t="shared" si="3"/>
        <v>#DIV/0!</v>
      </c>
    </row>
    <row r="19">
      <c r="A19" s="16" t="str">
        <f>IFERROR(__xludf.DUMMYFUNCTION("IFERROR(SPARKLINE(SORT(MAP(TRANSPOSE(AQ19:BL19), LAMBDA(val, IF(ISNUMBER(val), PERCENTRANK(AQ19:BL19, val)+0.01, 0))), SEQUENCE(COLUMNS(AQ19:BL19)), FALSE), {""charttype"",""column""; ""color"",""chartreuse""; ""ymin"", 0; ""ymax"", 1.01; ""highcolor"", "&amp;"""darkgreen""; ""lowcolor"", ""red""}), """")"),"")</f>
        <v/>
      </c>
      <c r="B19" s="17" t="str">
        <f t="shared" si="4"/>
        <v/>
      </c>
      <c r="C19" s="1" t="s">
        <v>135</v>
      </c>
      <c r="D19" s="30" t="str">
        <f>IFERROR(__xludf.DUMMYFUNCTION("IFERROR(GOOGLEFINANCE(C19, ""NAME""))"),"Angel Studios Inc")</f>
        <v>Angel Studios Inc</v>
      </c>
      <c r="E19" s="30" t="s">
        <v>62</v>
      </c>
      <c r="F19" s="33" t="str">
        <f>IFERROR(__xludf.DUMMYFUNCTION("( (GOOGLEFINANCE(C19, ""price"") - Q19) / Q19 ) / (R19 / 100)"),"Loading...")</f>
        <v>Loading...</v>
      </c>
      <c r="G19" s="20" t="str">
        <f>IFERROR(__xludf.DUMMYFUNCTION("AVERAGE(ARRAYFORMULA(100 * (QUERY(GOOGLEFINANCE(C19, ""high"", TODAY()-40, TODAY()), ""SELECT Col2 WHERE Col2 IS NOT NULL ORDER BY Col1 DESC LIMIT 20"", 0) / QUERY(GOOGLEFINANCE(C19, ""low"", TODAY()-40, TODAY()), ""SELECT Col2 WHERE Col2 IS NOT NULL ORDE"&amp;"R BY Col1 DESC LIMIT 20"", 0) - 1)))"),"#N/A")</f>
        <v>#N/A</v>
      </c>
      <c r="H19" s="35" t="str">
        <f t="shared" si="6"/>
        <v>Illiquid</v>
      </c>
      <c r="I19" s="36" t="str">
        <f t="shared" si="7"/>
        <v>RVol Required</v>
      </c>
      <c r="J19" s="37">
        <f>IFERROR(__xludf.DUMMYFUNCTION("IFERROR(
  IF(C19="""",, 
    IFERROR(
      GOOGLEFINANCE(C19, ""price"") * GOOGLEFINANCE(C19, ""volumeavg""), 
      GOOGLEFINANCE(C19, ""price"") * AVERAGE(QUERY(GOOGLEFINANCE(C19, ""volume"", TODAY()-40, TODAY()), ""SELECT Col2 WHERE Col2 IS NOT NULL "&amp;"ORDER BY Col1 DESC LIMIT 20"", 0))
    )
  ), 
"""")"),6674086.17)</f>
        <v>6674086.17</v>
      </c>
      <c r="K19" s="21">
        <f>IFERROR(__xludf.DUMMYFUNCTION("IFERROR(GOOGLEFINANCE(C19, ""changepct"") / 100, """")"),-0.0842)</f>
        <v>-0.0842</v>
      </c>
      <c r="L19" s="21" t="str">
        <f>IFERROR(__xludf.DUMMYFUNCTION("IFERROR((GOOGLEFINANCE(C19, ""price"") / INDEX(GOOGLEFINANCE(C19, ""price"", TODAY()-7, TODAY()), 2, 2)) - 1, """")"),"")</f>
        <v/>
      </c>
      <c r="M19" s="21" t="str">
        <f>IFERROR(__xludf.DUMMYFUNCTION("IFERROR((GOOGLEFINANCE(C19, ""price"") / INDEX(GOOGLEFINANCE(C19, ""price"", EDATE(TODAY(), -1), TODAY()), 2, 2)) - 1, """")"),"")</f>
        <v/>
      </c>
      <c r="N19" s="21" t="str">
        <f>IFERROR(__xludf.DUMMYFUNCTION("IFERROR((GOOGLEFINANCE(C19, ""price"") / INDEX(GOOGLEFINANCE(C19, ""price"", EDATE(TODAY(), -3), TODAY()), 2, 2)) - 1, """")"),"")</f>
        <v/>
      </c>
      <c r="O19" s="21" t="str">
        <f>IFERROR(__xludf.DUMMYFUNCTION("IFERROR((GOOGLEFINANCE(C19, ""price"") / INDEX(GOOGLEFINANCE(C19, ""price"", EDATE(TODAY(), -6), TODAY()), 2, 2)) - 1, """")"),"")</f>
        <v/>
      </c>
      <c r="P19" s="21" t="str">
        <f>IFERROR(__xludf.DUMMYFUNCTION("IFERROR((GOOGLEFINANCE(C19, ""price"") / INDEX(GOOGLEFINANCE(C19, ""price"", EDATE(TODAY(), -12), TODAY()), 2, 2)) - 1, """")"),"")</f>
        <v/>
      </c>
      <c r="Q19" s="6" t="str">
        <f>IFERROR(__xludf.DUMMYFUNCTION("AVERAGE(QUERY(GOOGLEFINANCE(C19, ""price"", TODAY()-80, TODAY()), ""SELECT Col2 WHERE Col2 IS NOT NULL ORDER BY Col1 DESC LIMIT 50"", 0))"),"#N/A")</f>
        <v>#N/A</v>
      </c>
      <c r="R19" s="24" t="str">
        <f>IFERROR(__xludf.DUMMYFUNCTION("IFERROR(
  LET(
    data, QUERY(GOOGLEFINANCE(C19,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GOOGLEFINANCE(C19, ""price"")) * 100,
    IF(calc=0, G19, calc)
  ), 
G19)"),"#N/A")</f>
        <v>#N/A</v>
      </c>
      <c r="S19" s="8" t="s">
        <v>15</v>
      </c>
      <c r="T19" s="26" t="str">
        <f>IFERROR(__xludf.DUMMYFUNCTION("IFERROR(TRANSPOSE(QUERY(IFERROR(SORT(GOOGLEFINANCE(C19, ""price"", WORKDAY(TODAY(), -40), TODAY()), 1, FALSE)), ""select Col2 where Col2 is not null limit 22 label Col2 ''"", 0)), """")"),"")</f>
        <v/>
      </c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8"/>
      <c r="AO19" s="28"/>
      <c r="AP19" s="29"/>
      <c r="AQ19" s="29" t="str">
        <f t="shared" ref="AQ19:BL19" si="22">T19/T$2</f>
        <v>#N/A</v>
      </c>
      <c r="AR19" s="29" t="str">
        <f t="shared" si="22"/>
        <v>#DIV/0!</v>
      </c>
      <c r="AS19" s="29" t="str">
        <f t="shared" si="22"/>
        <v>#DIV/0!</v>
      </c>
      <c r="AT19" s="29" t="str">
        <f t="shared" si="22"/>
        <v>#DIV/0!</v>
      </c>
      <c r="AU19" s="29" t="str">
        <f t="shared" si="22"/>
        <v>#DIV/0!</v>
      </c>
      <c r="AV19" s="29" t="str">
        <f t="shared" si="22"/>
        <v>#DIV/0!</v>
      </c>
      <c r="AW19" s="29" t="str">
        <f t="shared" si="22"/>
        <v>#DIV/0!</v>
      </c>
      <c r="AX19" s="29" t="str">
        <f t="shared" si="22"/>
        <v>#DIV/0!</v>
      </c>
      <c r="AY19" s="29" t="str">
        <f t="shared" si="22"/>
        <v>#DIV/0!</v>
      </c>
      <c r="AZ19" s="29" t="str">
        <f t="shared" si="22"/>
        <v>#DIV/0!</v>
      </c>
      <c r="BA19" s="29" t="str">
        <f t="shared" si="22"/>
        <v>#DIV/0!</v>
      </c>
      <c r="BB19" s="29" t="str">
        <f t="shared" si="22"/>
        <v>#DIV/0!</v>
      </c>
      <c r="BC19" s="29" t="str">
        <f t="shared" si="22"/>
        <v>#DIV/0!</v>
      </c>
      <c r="BD19" s="29" t="str">
        <f t="shared" si="22"/>
        <v>#DIV/0!</v>
      </c>
      <c r="BE19" s="29" t="str">
        <f t="shared" si="22"/>
        <v>#DIV/0!</v>
      </c>
      <c r="BF19" s="29" t="str">
        <f t="shared" si="22"/>
        <v>#DIV/0!</v>
      </c>
      <c r="BG19" s="29" t="str">
        <f t="shared" si="22"/>
        <v>#DIV/0!</v>
      </c>
      <c r="BH19" s="29" t="str">
        <f t="shared" si="22"/>
        <v>#DIV/0!</v>
      </c>
      <c r="BI19" s="29" t="str">
        <f t="shared" si="22"/>
        <v>#DIV/0!</v>
      </c>
      <c r="BJ19" s="29" t="str">
        <f t="shared" si="22"/>
        <v>#DIV/0!</v>
      </c>
      <c r="BK19" s="29" t="str">
        <f t="shared" si="22"/>
        <v>#DIV/0!</v>
      </c>
      <c r="BL19" s="29" t="str">
        <f t="shared" si="22"/>
        <v>#DIV/0!</v>
      </c>
      <c r="BM19" s="29" t="str">
        <f t="shared" si="3"/>
        <v>#DIV/0!</v>
      </c>
    </row>
    <row r="20">
      <c r="A20" s="16" t="str">
        <f>IFERROR(__xludf.DUMMYFUNCTION("IFERROR(SPARKLINE(SORT(MAP(TRANSPOSE(AQ20:BL20), LAMBDA(val, IF(ISNUMBER(val), PERCENTRANK(AQ20:BL20, val)+0.01, 0))), SEQUENCE(COLUMNS(AQ20:BL20)), FALSE), {""charttype"",""column""; ""color"",""chartreuse""; ""ymin"", 0; ""ymax"", 1.01; ""highcolor"", "&amp;"""darkgreen""; ""lowcolor"", ""red""}), """")"),"")</f>
        <v/>
      </c>
      <c r="B20" s="17" t="str">
        <f t="shared" si="4"/>
        <v/>
      </c>
      <c r="C20" s="1" t="s">
        <v>138</v>
      </c>
      <c r="D20" s="30" t="str">
        <f>IFERROR(__xludf.DUMMYFUNCTION("IFERROR(GOOGLEFINANCE(C20, ""NAME""))"),"SK Telecom Co Ltd")</f>
        <v>SK Telecom Co Ltd</v>
      </c>
      <c r="E20" s="30" t="s">
        <v>52</v>
      </c>
      <c r="F20" s="33" t="str">
        <f>IFERROR(__xludf.DUMMYFUNCTION("( (GOOGLEFINANCE(C20, ""price"") - Q20) / Q20 ) / (R20 / 100)"),"Loading...")</f>
        <v>Loading...</v>
      </c>
      <c r="G20" s="20" t="str">
        <f>IFERROR(__xludf.DUMMYFUNCTION("AVERAGE(ARRAYFORMULA(100 * (QUERY(GOOGLEFINANCE(C20, ""high"", TODAY()-40, TODAY()), ""SELECT Col2 WHERE Col2 IS NOT NULL ORDER BY Col1 DESC LIMIT 20"", 0) / QUERY(GOOGLEFINANCE(C20, ""low"", TODAY()-40, TODAY()), ""SELECT Col2 WHERE Col2 IS NOT NULL ORDE"&amp;"R BY Col1 DESC LIMIT 20"", 0) - 1)))"),"#N/A")</f>
        <v>#N/A</v>
      </c>
      <c r="H20" s="35" t="str">
        <f t="shared" si="6"/>
        <v>Illiquid</v>
      </c>
      <c r="I20" s="36" t="str">
        <f t="shared" si="7"/>
        <v>RVol Required</v>
      </c>
      <c r="J20" s="37">
        <f>IFERROR(__xludf.DUMMYFUNCTION("IFERROR(
  IF(C20="""",, 
    IFERROR(
      GOOGLEFINANCE(C20, ""price"") * GOOGLEFINANCE(C20, ""volumeavg""), 
      GOOGLEFINANCE(C20, ""price"") * AVERAGE(QUERY(GOOGLEFINANCE(C20, ""volume"", TODAY()-40, TODAY()), ""SELECT Col2 WHERE Col2 IS NOT NULL "&amp;"ORDER BY Col1 DESC LIMIT 20"", 0))
    )
  ), 
"""")"),4.068303456E7)</f>
        <v>40683034.56</v>
      </c>
      <c r="K20" s="21">
        <f>IFERROR(__xludf.DUMMYFUNCTION("IFERROR(GOOGLEFINANCE(C20, ""changepct"") / 100, """")"),-0.0265)</f>
        <v>-0.0265</v>
      </c>
      <c r="L20" s="21" t="str">
        <f>IFERROR(__xludf.DUMMYFUNCTION("IFERROR((GOOGLEFINANCE(C20, ""price"") / INDEX(GOOGLEFINANCE(C20, ""price"", TODAY()-7, TODAY()), 2, 2)) - 1, """")"),"")</f>
        <v/>
      </c>
      <c r="M20" s="21" t="str">
        <f>IFERROR(__xludf.DUMMYFUNCTION("IFERROR((GOOGLEFINANCE(C20, ""price"") / INDEX(GOOGLEFINANCE(C20, ""price"", EDATE(TODAY(), -1), TODAY()), 2, 2)) - 1, """")"),"")</f>
        <v/>
      </c>
      <c r="N20" s="21" t="str">
        <f>IFERROR(__xludf.DUMMYFUNCTION("IFERROR((GOOGLEFINANCE(C20, ""price"") / INDEX(GOOGLEFINANCE(C20, ""price"", EDATE(TODAY(), -3), TODAY()), 2, 2)) - 1, """")"),"")</f>
        <v/>
      </c>
      <c r="O20" s="21" t="str">
        <f>IFERROR(__xludf.DUMMYFUNCTION("IFERROR((GOOGLEFINANCE(C20, ""price"") / INDEX(GOOGLEFINANCE(C20, ""price"", EDATE(TODAY(), -6), TODAY()), 2, 2)) - 1, """")"),"")</f>
        <v/>
      </c>
      <c r="P20" s="21" t="str">
        <f>IFERROR(__xludf.DUMMYFUNCTION("IFERROR((GOOGLEFINANCE(C20, ""price"") / INDEX(GOOGLEFINANCE(C20, ""price"", EDATE(TODAY(), -12), TODAY()), 2, 2)) - 1, """")"),"")</f>
        <v/>
      </c>
      <c r="Q20" s="6" t="str">
        <f>IFERROR(__xludf.DUMMYFUNCTION("AVERAGE(QUERY(GOOGLEFINANCE(C20, ""price"", TODAY()-80, TODAY()), ""SELECT Col2 WHERE Col2 IS NOT NULL ORDER BY Col1 DESC LIMIT 50"", 0))"),"#N/A")</f>
        <v>#N/A</v>
      </c>
      <c r="R20" s="24" t="str">
        <f>IFERROR(__xludf.DUMMYFUNCTION("IFERROR(
  LET(
    data, QUERY(GOOGLEFINANCE(C20,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GOOGLEFINANCE(C20, ""price"")) * 100,
    IF(calc=0, G20, calc)
  ), 
G20)"),"#N/A")</f>
        <v>#N/A</v>
      </c>
      <c r="S20" s="8" t="s">
        <v>15</v>
      </c>
      <c r="T20" s="26" t="str">
        <f>IFERROR(__xludf.DUMMYFUNCTION("IFERROR(TRANSPOSE(QUERY(IFERROR(SORT(GOOGLEFINANCE(C20, ""price"", WORKDAY(TODAY(), -40), TODAY()), 1, FALSE)), ""select Col2 where Col2 is not null limit 22 label Col2 ''"", 0)), """")"),"")</f>
        <v/>
      </c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8"/>
      <c r="AO20" s="28"/>
      <c r="AP20" s="29"/>
      <c r="AQ20" s="29" t="str">
        <f t="shared" ref="AQ20:BL20" si="23">T20/T$2</f>
        <v>#N/A</v>
      </c>
      <c r="AR20" s="29" t="str">
        <f t="shared" si="23"/>
        <v>#DIV/0!</v>
      </c>
      <c r="AS20" s="29" t="str">
        <f t="shared" si="23"/>
        <v>#DIV/0!</v>
      </c>
      <c r="AT20" s="29" t="str">
        <f t="shared" si="23"/>
        <v>#DIV/0!</v>
      </c>
      <c r="AU20" s="29" t="str">
        <f t="shared" si="23"/>
        <v>#DIV/0!</v>
      </c>
      <c r="AV20" s="29" t="str">
        <f t="shared" si="23"/>
        <v>#DIV/0!</v>
      </c>
      <c r="AW20" s="29" t="str">
        <f t="shared" si="23"/>
        <v>#DIV/0!</v>
      </c>
      <c r="AX20" s="29" t="str">
        <f t="shared" si="23"/>
        <v>#DIV/0!</v>
      </c>
      <c r="AY20" s="29" t="str">
        <f t="shared" si="23"/>
        <v>#DIV/0!</v>
      </c>
      <c r="AZ20" s="29" t="str">
        <f t="shared" si="23"/>
        <v>#DIV/0!</v>
      </c>
      <c r="BA20" s="29" t="str">
        <f t="shared" si="23"/>
        <v>#DIV/0!</v>
      </c>
      <c r="BB20" s="29" t="str">
        <f t="shared" si="23"/>
        <v>#DIV/0!</v>
      </c>
      <c r="BC20" s="29" t="str">
        <f t="shared" si="23"/>
        <v>#DIV/0!</v>
      </c>
      <c r="BD20" s="29" t="str">
        <f t="shared" si="23"/>
        <v>#DIV/0!</v>
      </c>
      <c r="BE20" s="29" t="str">
        <f t="shared" si="23"/>
        <v>#DIV/0!</v>
      </c>
      <c r="BF20" s="29" t="str">
        <f t="shared" si="23"/>
        <v>#DIV/0!</v>
      </c>
      <c r="BG20" s="29" t="str">
        <f t="shared" si="23"/>
        <v>#DIV/0!</v>
      </c>
      <c r="BH20" s="29" t="str">
        <f t="shared" si="23"/>
        <v>#DIV/0!</v>
      </c>
      <c r="BI20" s="29" t="str">
        <f t="shared" si="23"/>
        <v>#DIV/0!</v>
      </c>
      <c r="BJ20" s="29" t="str">
        <f t="shared" si="23"/>
        <v>#DIV/0!</v>
      </c>
      <c r="BK20" s="29" t="str">
        <f t="shared" si="23"/>
        <v>#DIV/0!</v>
      </c>
      <c r="BL20" s="29" t="str">
        <f t="shared" si="23"/>
        <v>#DIV/0!</v>
      </c>
      <c r="BM20" s="29" t="str">
        <f t="shared" si="3"/>
        <v>#DIV/0!</v>
      </c>
    </row>
    <row r="21">
      <c r="A21" s="16" t="str">
        <f>IFERROR(__xludf.DUMMYFUNCTION("IFERROR(SPARKLINE(SORT(MAP(TRANSPOSE(AQ21:BL21), LAMBDA(val, IF(ISNUMBER(val), PERCENTRANK(AQ21:BL21, val)+0.01, 0))), SEQUENCE(COLUMNS(AQ21:BL21)), FALSE), {""charttype"",""column""; ""color"",""chartreuse""; ""ymin"", 0; ""ymax"", 1.01; ""highcolor"", "&amp;"""darkgreen""; ""lowcolor"", ""red""}), """")"),"")</f>
        <v/>
      </c>
      <c r="B21" s="17" t="str">
        <f t="shared" si="4"/>
        <v/>
      </c>
      <c r="C21" s="1" t="s">
        <v>142</v>
      </c>
      <c r="D21" s="30" t="str">
        <f>IFERROR(__xludf.DUMMYFUNCTION("IFERROR(GOOGLEFINANCE(C21, ""NAME""))"),"")</f>
        <v/>
      </c>
      <c r="E21" s="30" t="s">
        <v>52</v>
      </c>
      <c r="F21" s="33" t="str">
        <f>IFERROR(__xludf.DUMMYFUNCTION("( (GOOGLEFINANCE(C21, ""price"") - Q21) / Q21 ) / (R21 / 100)"),"Loading...")</f>
        <v>Loading...</v>
      </c>
      <c r="G21" s="20" t="str">
        <f>IFERROR(__xludf.DUMMYFUNCTION("AVERAGE(ARRAYFORMULA(100 * (QUERY(GOOGLEFINANCE(C21, ""high"", TODAY()-40, TODAY()), ""SELECT Col2 WHERE Col2 IS NOT NULL ORDER BY Col1 DESC LIMIT 20"", 0) / QUERY(GOOGLEFINANCE(C21, ""low"", TODAY()-40, TODAY()), ""SELECT Col2 WHERE Col2 IS NOT NULL ORDE"&amp;"R BY Col1 DESC LIMIT 20"", 0) - 1)))"),"#N/A")</f>
        <v>#N/A</v>
      </c>
      <c r="H21" s="35" t="str">
        <f t="shared" si="6"/>
        <v/>
      </c>
      <c r="I21" s="36" t="str">
        <f t="shared" si="7"/>
        <v/>
      </c>
      <c r="J21" s="37" t="str">
        <f>IFERROR(__xludf.DUMMYFUNCTION("IFERROR(
  IF(C21="""",, 
    IFERROR(
      GOOGLEFINANCE(C21, ""price"") * GOOGLEFINANCE(C21, ""volumeavg""), 
      GOOGLEFINANCE(C21, ""price"") * AVERAGE(QUERY(GOOGLEFINANCE(C21, ""volume"", TODAY()-40, TODAY()), ""SELECT Col2 WHERE Col2 IS NOT NULL "&amp;"ORDER BY Col1 DESC LIMIT 20"", 0))
    )
  ), 
"""")"),"")</f>
        <v/>
      </c>
      <c r="K21" s="21" t="str">
        <f>IFERROR(__xludf.DUMMYFUNCTION("IFERROR(GOOGLEFINANCE(C21, ""changepct"") / 100, """")"),"")</f>
        <v/>
      </c>
      <c r="L21" s="21" t="str">
        <f>IFERROR(__xludf.DUMMYFUNCTION("IFERROR((GOOGLEFINANCE(C21, ""price"") / INDEX(GOOGLEFINANCE(C21, ""price"", TODAY()-7, TODAY()), 2, 2)) - 1, """")"),"")</f>
        <v/>
      </c>
      <c r="M21" s="21" t="str">
        <f>IFERROR(__xludf.DUMMYFUNCTION("IFERROR((GOOGLEFINANCE(C21, ""price"") / INDEX(GOOGLEFINANCE(C21, ""price"", EDATE(TODAY(), -1), TODAY()), 2, 2)) - 1, """")"),"")</f>
        <v/>
      </c>
      <c r="N21" s="21" t="str">
        <f>IFERROR(__xludf.DUMMYFUNCTION("IFERROR((GOOGLEFINANCE(C21, ""price"") / INDEX(GOOGLEFINANCE(C21, ""price"", EDATE(TODAY(), -3), TODAY()), 2, 2)) - 1, """")"),"")</f>
        <v/>
      </c>
      <c r="O21" s="21" t="str">
        <f>IFERROR(__xludf.DUMMYFUNCTION("IFERROR((GOOGLEFINANCE(C21, ""price"") / INDEX(GOOGLEFINANCE(C21, ""price"", EDATE(TODAY(), -6), TODAY()), 2, 2)) - 1, """")"),"")</f>
        <v/>
      </c>
      <c r="P21" s="21" t="str">
        <f>IFERROR(__xludf.DUMMYFUNCTION("IFERROR((GOOGLEFINANCE(C21, ""price"") / INDEX(GOOGLEFINANCE(C21, ""price"", EDATE(TODAY(), -12), TODAY()), 2, 2)) - 1, """")"),"")</f>
        <v/>
      </c>
      <c r="Q21" s="6" t="str">
        <f>IFERROR(__xludf.DUMMYFUNCTION("AVERAGE(QUERY(GOOGLEFINANCE(C21, ""price"", TODAY()-80, TODAY()), ""SELECT Col2 WHERE Col2 IS NOT NULL ORDER BY Col1 DESC LIMIT 50"", 0))"),"#N/A")</f>
        <v>#N/A</v>
      </c>
      <c r="R21" s="24" t="str">
        <f>IFERROR(__xludf.DUMMYFUNCTION("IFERROR(
  LET(
    data, QUERY(GOOGLEFINANCE(C21,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GOOGLEFINANCE(C21, ""price"")) * 100,
    IF(calc=0, G21, calc)
  ), 
G21)"),"#N/A")</f>
        <v>#N/A</v>
      </c>
      <c r="S21" s="8" t="s">
        <v>15</v>
      </c>
      <c r="T21" s="26" t="str">
        <f>IFERROR(__xludf.DUMMYFUNCTION("IFERROR(TRANSPOSE(QUERY(IFERROR(SORT(GOOGLEFINANCE(C21, ""price"", WORKDAY(TODAY(), -40), TODAY()), 1, FALSE)), ""select Col2 where Col2 is not null limit 22 label Col2 ''"", 0)), """")"),"")</f>
        <v/>
      </c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8"/>
      <c r="AO21" s="28"/>
      <c r="AP21" s="29"/>
      <c r="AQ21" s="29" t="str">
        <f t="shared" ref="AQ21:BL21" si="24">T21/T$2</f>
        <v>#N/A</v>
      </c>
      <c r="AR21" s="29" t="str">
        <f t="shared" si="24"/>
        <v>#DIV/0!</v>
      </c>
      <c r="AS21" s="29" t="str">
        <f t="shared" si="24"/>
        <v>#DIV/0!</v>
      </c>
      <c r="AT21" s="29" t="str">
        <f t="shared" si="24"/>
        <v>#DIV/0!</v>
      </c>
      <c r="AU21" s="29" t="str">
        <f t="shared" si="24"/>
        <v>#DIV/0!</v>
      </c>
      <c r="AV21" s="29" t="str">
        <f t="shared" si="24"/>
        <v>#DIV/0!</v>
      </c>
      <c r="AW21" s="29" t="str">
        <f t="shared" si="24"/>
        <v>#DIV/0!</v>
      </c>
      <c r="AX21" s="29" t="str">
        <f t="shared" si="24"/>
        <v>#DIV/0!</v>
      </c>
      <c r="AY21" s="29" t="str">
        <f t="shared" si="24"/>
        <v>#DIV/0!</v>
      </c>
      <c r="AZ21" s="29" t="str">
        <f t="shared" si="24"/>
        <v>#DIV/0!</v>
      </c>
      <c r="BA21" s="29" t="str">
        <f t="shared" si="24"/>
        <v>#DIV/0!</v>
      </c>
      <c r="BB21" s="29" t="str">
        <f t="shared" si="24"/>
        <v>#DIV/0!</v>
      </c>
      <c r="BC21" s="29" t="str">
        <f t="shared" si="24"/>
        <v>#DIV/0!</v>
      </c>
      <c r="BD21" s="29" t="str">
        <f t="shared" si="24"/>
        <v>#DIV/0!</v>
      </c>
      <c r="BE21" s="29" t="str">
        <f t="shared" si="24"/>
        <v>#DIV/0!</v>
      </c>
      <c r="BF21" s="29" t="str">
        <f t="shared" si="24"/>
        <v>#DIV/0!</v>
      </c>
      <c r="BG21" s="29" t="str">
        <f t="shared" si="24"/>
        <v>#DIV/0!</v>
      </c>
      <c r="BH21" s="29" t="str">
        <f t="shared" si="24"/>
        <v>#DIV/0!</v>
      </c>
      <c r="BI21" s="29" t="str">
        <f t="shared" si="24"/>
        <v>#DIV/0!</v>
      </c>
      <c r="BJ21" s="29" t="str">
        <f t="shared" si="24"/>
        <v>#DIV/0!</v>
      </c>
      <c r="BK21" s="29" t="str">
        <f t="shared" si="24"/>
        <v>#DIV/0!</v>
      </c>
      <c r="BL21" s="29" t="str">
        <f t="shared" si="24"/>
        <v>#DIV/0!</v>
      </c>
      <c r="BM21" s="29" t="str">
        <f t="shared" si="3"/>
        <v>#DIV/0!</v>
      </c>
    </row>
    <row r="22">
      <c r="A22" s="16" t="str">
        <f>IFERROR(__xludf.DUMMYFUNCTION("IFERROR(SPARKLINE(SORT(MAP(TRANSPOSE(AQ22:BL22), LAMBDA(val, IF(ISNUMBER(val), PERCENTRANK(AQ22:BL22, val)+0.01, 0))), SEQUENCE(COLUMNS(AQ22:BL22)), FALSE), {""charttype"",""column""; ""color"",""chartreuse""; ""ymin"", 0; ""ymax"", 1.01; ""highcolor"", "&amp;"""darkgreen""; ""lowcolor"", ""red""}), """")"),"")</f>
        <v/>
      </c>
      <c r="B22" s="17" t="str">
        <f t="shared" si="4"/>
        <v/>
      </c>
      <c r="C22" s="1" t="s">
        <v>147</v>
      </c>
      <c r="D22" s="30" t="str">
        <f>IFERROR(__xludf.DUMMYFUNCTION("IFERROR(GOOGLEFINANCE(C22, ""NAME""))"),"Iridium Communications Inc")</f>
        <v>Iridium Communications Inc</v>
      </c>
      <c r="E22" s="30" t="s">
        <v>52</v>
      </c>
      <c r="F22" s="33" t="str">
        <f>IFERROR(__xludf.DUMMYFUNCTION("( (GOOGLEFINANCE(C22, ""price"") - Q22) / Q22 ) / (R22 / 100)"),"Loading...")</f>
        <v>Loading...</v>
      </c>
      <c r="G22" s="20" t="str">
        <f>IFERROR(__xludf.DUMMYFUNCTION("AVERAGE(ARRAYFORMULA(100 * (QUERY(GOOGLEFINANCE(C22, ""high"", TODAY()-40, TODAY()), ""SELECT Col2 WHERE Col2 IS NOT NULL ORDER BY Col1 DESC LIMIT 20"", 0) / QUERY(GOOGLEFINANCE(C22, ""low"", TODAY()-40, TODAY()), ""SELECT Col2 WHERE Col2 IS NOT NULL ORDE"&amp;"R BY Col1 DESC LIMIT 20"", 0) - 1)))"),"#N/A")</f>
        <v>#N/A</v>
      </c>
      <c r="H22" s="35" t="str">
        <f t="shared" si="6"/>
        <v>Illiquid</v>
      </c>
      <c r="I22" s="36" t="str">
        <f t="shared" si="7"/>
        <v>RVol Required</v>
      </c>
      <c r="J22" s="37">
        <f>IFERROR(__xludf.DUMMYFUNCTION("IFERROR(
  IF(C22="""",, 
    IFERROR(
      GOOGLEFINANCE(C22, ""price"") * GOOGLEFINANCE(C22, ""volumeavg""), 
      GOOGLEFINANCE(C22, ""price"") * AVERAGE(QUERY(GOOGLEFINANCE(C22, ""volume"", TODAY()-40, TODAY()), ""SELECT Col2 WHERE Col2 IS NOT NULL "&amp;"ORDER BY Col1 DESC LIMIT 20"", 0))
    )
  ), 
"""")"),4.8049355199999996E7)</f>
        <v>48049355.2</v>
      </c>
      <c r="K22" s="21">
        <f>IFERROR(__xludf.DUMMYFUNCTION("IFERROR(GOOGLEFINANCE(C22, ""changepct"") / 100, """")"),-0.0273)</f>
        <v>-0.0273</v>
      </c>
      <c r="L22" s="21" t="str">
        <f>IFERROR(__xludf.DUMMYFUNCTION("IFERROR((GOOGLEFINANCE(C22, ""price"") / INDEX(GOOGLEFINANCE(C22, ""price"", TODAY()-7, TODAY()), 2, 2)) - 1, """")"),"")</f>
        <v/>
      </c>
      <c r="M22" s="21" t="str">
        <f>IFERROR(__xludf.DUMMYFUNCTION("IFERROR((GOOGLEFINANCE(C22, ""price"") / INDEX(GOOGLEFINANCE(C22, ""price"", EDATE(TODAY(), -1), TODAY()), 2, 2)) - 1, """")"),"")</f>
        <v/>
      </c>
      <c r="N22" s="21" t="str">
        <f>IFERROR(__xludf.DUMMYFUNCTION("IFERROR((GOOGLEFINANCE(C22, ""price"") / INDEX(GOOGLEFINANCE(C22, ""price"", EDATE(TODAY(), -3), TODAY()), 2, 2)) - 1, """")"),"")</f>
        <v/>
      </c>
      <c r="O22" s="21" t="str">
        <f>IFERROR(__xludf.DUMMYFUNCTION("IFERROR((GOOGLEFINANCE(C22, ""price"") / INDEX(GOOGLEFINANCE(C22, ""price"", EDATE(TODAY(), -6), TODAY()), 2, 2)) - 1, """")"),"")</f>
        <v/>
      </c>
      <c r="P22" s="21" t="str">
        <f>IFERROR(__xludf.DUMMYFUNCTION("IFERROR((GOOGLEFINANCE(C22, ""price"") / INDEX(GOOGLEFINANCE(C22, ""price"", EDATE(TODAY(), -12), TODAY()), 2, 2)) - 1, """")"),"")</f>
        <v/>
      </c>
      <c r="Q22" s="6" t="str">
        <f>IFERROR(__xludf.DUMMYFUNCTION("AVERAGE(QUERY(GOOGLEFINANCE(C22, ""price"", TODAY()-80, TODAY()), ""SELECT Col2 WHERE Col2 IS NOT NULL ORDER BY Col1 DESC LIMIT 50"", 0))"),"#N/A")</f>
        <v>#N/A</v>
      </c>
      <c r="R22" s="24" t="str">
        <f>IFERROR(__xludf.DUMMYFUNCTION("IFERROR(
  LET(
    data, QUERY(GOOGLEFINANCE(C22,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GOOGLEFINANCE(C22, ""price"")) * 100,
    IF(calc=0, G22, calc)
  ), 
G22)"),"#N/A")</f>
        <v>#N/A</v>
      </c>
      <c r="S22" s="8" t="s">
        <v>15</v>
      </c>
      <c r="T22" s="26" t="str">
        <f>IFERROR(__xludf.DUMMYFUNCTION("IFERROR(TRANSPOSE(QUERY(IFERROR(SORT(GOOGLEFINANCE(C22, ""price"", WORKDAY(TODAY(), -40), TODAY()), 1, FALSE)), ""select Col2 where Col2 is not null limit 22 label Col2 ''"", 0)), """")"),"")</f>
        <v/>
      </c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8"/>
      <c r="AO22" s="28"/>
      <c r="AP22" s="29"/>
      <c r="AQ22" s="29" t="str">
        <f t="shared" ref="AQ22:BL22" si="25">T22/T$2</f>
        <v>#N/A</v>
      </c>
      <c r="AR22" s="29" t="str">
        <f t="shared" si="25"/>
        <v>#DIV/0!</v>
      </c>
      <c r="AS22" s="29" t="str">
        <f t="shared" si="25"/>
        <v>#DIV/0!</v>
      </c>
      <c r="AT22" s="29" t="str">
        <f t="shared" si="25"/>
        <v>#DIV/0!</v>
      </c>
      <c r="AU22" s="29" t="str">
        <f t="shared" si="25"/>
        <v>#DIV/0!</v>
      </c>
      <c r="AV22" s="29" t="str">
        <f t="shared" si="25"/>
        <v>#DIV/0!</v>
      </c>
      <c r="AW22" s="29" t="str">
        <f t="shared" si="25"/>
        <v>#DIV/0!</v>
      </c>
      <c r="AX22" s="29" t="str">
        <f t="shared" si="25"/>
        <v>#DIV/0!</v>
      </c>
      <c r="AY22" s="29" t="str">
        <f t="shared" si="25"/>
        <v>#DIV/0!</v>
      </c>
      <c r="AZ22" s="29" t="str">
        <f t="shared" si="25"/>
        <v>#DIV/0!</v>
      </c>
      <c r="BA22" s="29" t="str">
        <f t="shared" si="25"/>
        <v>#DIV/0!</v>
      </c>
      <c r="BB22" s="29" t="str">
        <f t="shared" si="25"/>
        <v>#DIV/0!</v>
      </c>
      <c r="BC22" s="29" t="str">
        <f t="shared" si="25"/>
        <v>#DIV/0!</v>
      </c>
      <c r="BD22" s="29" t="str">
        <f t="shared" si="25"/>
        <v>#DIV/0!</v>
      </c>
      <c r="BE22" s="29" t="str">
        <f t="shared" si="25"/>
        <v>#DIV/0!</v>
      </c>
      <c r="BF22" s="29" t="str">
        <f t="shared" si="25"/>
        <v>#DIV/0!</v>
      </c>
      <c r="BG22" s="29" t="str">
        <f t="shared" si="25"/>
        <v>#DIV/0!</v>
      </c>
      <c r="BH22" s="29" t="str">
        <f t="shared" si="25"/>
        <v>#DIV/0!</v>
      </c>
      <c r="BI22" s="29" t="str">
        <f t="shared" si="25"/>
        <v>#DIV/0!</v>
      </c>
      <c r="BJ22" s="29" t="str">
        <f t="shared" si="25"/>
        <v>#DIV/0!</v>
      </c>
      <c r="BK22" s="29" t="str">
        <f t="shared" si="25"/>
        <v>#DIV/0!</v>
      </c>
      <c r="BL22" s="29" t="str">
        <f t="shared" si="25"/>
        <v>#DIV/0!</v>
      </c>
      <c r="BM22" s="29" t="str">
        <f t="shared" si="3"/>
        <v>#DIV/0!</v>
      </c>
    </row>
    <row r="23">
      <c r="A23" s="16" t="str">
        <f>IFERROR(__xludf.DUMMYFUNCTION("IFERROR(SPARKLINE(SORT(MAP(TRANSPOSE(AQ23:BL23), LAMBDA(val, IF(ISNUMBER(val), PERCENTRANK(AQ23:BL23, val)+0.01, 0))), SEQUENCE(COLUMNS(AQ23:BL23)), FALSE), {""charttype"",""column""; ""color"",""chartreuse""; ""ymin"", 0; ""ymax"", 1.01; ""highcolor"", "&amp;"""darkgreen""; ""lowcolor"", ""red""}), """")"),"")</f>
        <v/>
      </c>
      <c r="B23" s="17" t="str">
        <f t="shared" si="4"/>
        <v/>
      </c>
      <c r="C23" s="1" t="s">
        <v>151</v>
      </c>
      <c r="D23" s="30" t="str">
        <f>IFERROR(__xludf.DUMMYFUNCTION("IFERROR(GOOGLEFINANCE(C23, ""NAME""))"),"Sify Technologies Ltd")</f>
        <v>Sify Technologies Ltd</v>
      </c>
      <c r="E23" s="30" t="s">
        <v>52</v>
      </c>
      <c r="F23" s="33" t="str">
        <f>IFERROR(__xludf.DUMMYFUNCTION("( (GOOGLEFINANCE(C23, ""price"") - Q23) / Q23 ) / (R23 / 100)"),"Loading...")</f>
        <v>Loading...</v>
      </c>
      <c r="G23" s="20" t="str">
        <f>IFERROR(__xludf.DUMMYFUNCTION("AVERAGE(ARRAYFORMULA(100 * (QUERY(GOOGLEFINANCE(C23, ""high"", TODAY()-40, TODAY()), ""SELECT Col2 WHERE Col2 IS NOT NULL ORDER BY Col1 DESC LIMIT 20"", 0) / QUERY(GOOGLEFINANCE(C23, ""low"", TODAY()-40, TODAY()), ""SELECT Col2 WHERE Col2 IS NOT NULL ORDE"&amp;"R BY Col1 DESC LIMIT 20"", 0) - 1)))"),"#N/A")</f>
        <v>#N/A</v>
      </c>
      <c r="H23" s="35" t="str">
        <f t="shared" si="6"/>
        <v>Illiquid</v>
      </c>
      <c r="I23" s="36" t="str">
        <f t="shared" si="7"/>
        <v>RVol Required</v>
      </c>
      <c r="J23" s="37">
        <f>IFERROR(__xludf.DUMMYFUNCTION("IFERROR(
  IF(C23="""",, 
    IFERROR(
      GOOGLEFINANCE(C23, ""price"") * GOOGLEFINANCE(C23, ""volumeavg""), 
      GOOGLEFINANCE(C23, ""price"") * AVERAGE(QUERY(GOOGLEFINANCE(C23, ""volume"", TODAY()-40, TODAY()), ""SELECT Col2 WHERE Col2 IS NOT NULL "&amp;"ORDER BY Col1 DESC LIMIT 20"", 0))
    )
  ), 
"""")"),385465.32)</f>
        <v>385465.32</v>
      </c>
      <c r="K23" s="21">
        <f>IFERROR(__xludf.DUMMYFUNCTION("IFERROR(GOOGLEFINANCE(C23, ""changepct"") / 100, """")"),-0.027200000000000002)</f>
        <v>-0.0272</v>
      </c>
      <c r="L23" s="21" t="str">
        <f>IFERROR(__xludf.DUMMYFUNCTION("IFERROR((GOOGLEFINANCE(C23, ""price"") / INDEX(GOOGLEFINANCE(C23, ""price"", TODAY()-7, TODAY()), 2, 2)) - 1, """")"),"")</f>
        <v/>
      </c>
      <c r="M23" s="21" t="str">
        <f>IFERROR(__xludf.DUMMYFUNCTION("IFERROR((GOOGLEFINANCE(C23, ""price"") / INDEX(GOOGLEFINANCE(C23, ""price"", EDATE(TODAY(), -1), TODAY()), 2, 2)) - 1, """")"),"")</f>
        <v/>
      </c>
      <c r="N23" s="21" t="str">
        <f>IFERROR(__xludf.DUMMYFUNCTION("IFERROR((GOOGLEFINANCE(C23, ""price"") / INDEX(GOOGLEFINANCE(C23, ""price"", EDATE(TODAY(), -3), TODAY()), 2, 2)) - 1, """")"),"")</f>
        <v/>
      </c>
      <c r="O23" s="21" t="str">
        <f>IFERROR(__xludf.DUMMYFUNCTION("IFERROR((GOOGLEFINANCE(C23, ""price"") / INDEX(GOOGLEFINANCE(C23, ""price"", EDATE(TODAY(), -6), TODAY()), 2, 2)) - 1, """")"),"")</f>
        <v/>
      </c>
      <c r="P23" s="21" t="str">
        <f>IFERROR(__xludf.DUMMYFUNCTION("IFERROR((GOOGLEFINANCE(C23, ""price"") / INDEX(GOOGLEFINANCE(C23, ""price"", EDATE(TODAY(), -12), TODAY()), 2, 2)) - 1, """")"),"")</f>
        <v/>
      </c>
      <c r="Q23" s="6" t="str">
        <f>IFERROR(__xludf.DUMMYFUNCTION("AVERAGE(QUERY(GOOGLEFINANCE(C23, ""price"", TODAY()-80, TODAY()), ""SELECT Col2 WHERE Col2 IS NOT NULL ORDER BY Col1 DESC LIMIT 50"", 0))"),"#N/A")</f>
        <v>#N/A</v>
      </c>
      <c r="R23" s="24" t="str">
        <f>IFERROR(__xludf.DUMMYFUNCTION("IFERROR(
  LET(
    data, QUERY(GOOGLEFINANCE(C23,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GOOGLEFINANCE(C23, ""price"")) * 100,
    IF(calc=0, G23, calc)
  ), 
G23)"),"#N/A")</f>
        <v>#N/A</v>
      </c>
      <c r="S23" s="8" t="s">
        <v>15</v>
      </c>
      <c r="T23" s="26" t="str">
        <f>IFERROR(__xludf.DUMMYFUNCTION("IFERROR(TRANSPOSE(QUERY(IFERROR(SORT(GOOGLEFINANCE(C23, ""price"", WORKDAY(TODAY(), -40), TODAY()), 1, FALSE)), ""select Col2 where Col2 is not null limit 22 label Col2 ''"", 0)), """")"),"")</f>
        <v/>
      </c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8"/>
      <c r="AO23" s="28"/>
      <c r="AP23" s="29"/>
      <c r="AQ23" s="29" t="str">
        <f t="shared" ref="AQ23:BL23" si="26">T23/T$2</f>
        <v>#N/A</v>
      </c>
      <c r="AR23" s="29" t="str">
        <f t="shared" si="26"/>
        <v>#DIV/0!</v>
      </c>
      <c r="AS23" s="29" t="str">
        <f t="shared" si="26"/>
        <v>#DIV/0!</v>
      </c>
      <c r="AT23" s="29" t="str">
        <f t="shared" si="26"/>
        <v>#DIV/0!</v>
      </c>
      <c r="AU23" s="29" t="str">
        <f t="shared" si="26"/>
        <v>#DIV/0!</v>
      </c>
      <c r="AV23" s="29" t="str">
        <f t="shared" si="26"/>
        <v>#DIV/0!</v>
      </c>
      <c r="AW23" s="29" t="str">
        <f t="shared" si="26"/>
        <v>#DIV/0!</v>
      </c>
      <c r="AX23" s="29" t="str">
        <f t="shared" si="26"/>
        <v>#DIV/0!</v>
      </c>
      <c r="AY23" s="29" t="str">
        <f t="shared" si="26"/>
        <v>#DIV/0!</v>
      </c>
      <c r="AZ23" s="29" t="str">
        <f t="shared" si="26"/>
        <v>#DIV/0!</v>
      </c>
      <c r="BA23" s="29" t="str">
        <f t="shared" si="26"/>
        <v>#DIV/0!</v>
      </c>
      <c r="BB23" s="29" t="str">
        <f t="shared" si="26"/>
        <v>#DIV/0!</v>
      </c>
      <c r="BC23" s="29" t="str">
        <f t="shared" si="26"/>
        <v>#DIV/0!</v>
      </c>
      <c r="BD23" s="29" t="str">
        <f t="shared" si="26"/>
        <v>#DIV/0!</v>
      </c>
      <c r="BE23" s="29" t="str">
        <f t="shared" si="26"/>
        <v>#DIV/0!</v>
      </c>
      <c r="BF23" s="29" t="str">
        <f t="shared" si="26"/>
        <v>#DIV/0!</v>
      </c>
      <c r="BG23" s="29" t="str">
        <f t="shared" si="26"/>
        <v>#DIV/0!</v>
      </c>
      <c r="BH23" s="29" t="str">
        <f t="shared" si="26"/>
        <v>#DIV/0!</v>
      </c>
      <c r="BI23" s="29" t="str">
        <f t="shared" si="26"/>
        <v>#DIV/0!</v>
      </c>
      <c r="BJ23" s="29" t="str">
        <f t="shared" si="26"/>
        <v>#DIV/0!</v>
      </c>
      <c r="BK23" s="29" t="str">
        <f t="shared" si="26"/>
        <v>#DIV/0!</v>
      </c>
      <c r="BL23" s="29" t="str">
        <f t="shared" si="26"/>
        <v>#DIV/0!</v>
      </c>
      <c r="BM23" s="29" t="str">
        <f t="shared" si="3"/>
        <v>#DIV/0!</v>
      </c>
    </row>
    <row r="24">
      <c r="A24" s="16" t="str">
        <f>IFERROR(__xludf.DUMMYFUNCTION("IFERROR(SPARKLINE(SORT(MAP(TRANSPOSE(AQ24:BL24), LAMBDA(val, IF(ISNUMBER(val), PERCENTRANK(AQ24:BL24, val)+0.01, 0))), SEQUENCE(COLUMNS(AQ24:BL24)), FALSE), {""charttype"",""column""; ""color"",""chartreuse""; ""ymin"", 0; ""ymax"", 1.01; ""highcolor"", "&amp;"""darkgreen""; ""lowcolor"", ""red""}), """")"),"")</f>
        <v/>
      </c>
      <c r="B24" s="17" t="str">
        <f t="shared" si="4"/>
        <v/>
      </c>
      <c r="C24" s="1" t="s">
        <v>156</v>
      </c>
      <c r="D24" s="30" t="str">
        <f>IFERROR(__xludf.DUMMYFUNCTION("IFERROR(GOOGLEFINANCE(C24, ""NAME""))"),"Array Digital Infrastructure Inc")</f>
        <v>Array Digital Infrastructure Inc</v>
      </c>
      <c r="E24" s="30" t="s">
        <v>52</v>
      </c>
      <c r="F24" s="33" t="str">
        <f>IFERROR(__xludf.DUMMYFUNCTION("( (GOOGLEFINANCE(C24, ""price"") - Q24) / Q24 ) / (R24 / 100)"),"Loading...")</f>
        <v>Loading...</v>
      </c>
      <c r="G24" s="20" t="str">
        <f>IFERROR(__xludf.DUMMYFUNCTION("AVERAGE(ARRAYFORMULA(100 * (QUERY(GOOGLEFINANCE(C24, ""high"", TODAY()-40, TODAY()), ""SELECT Col2 WHERE Col2 IS NOT NULL ORDER BY Col1 DESC LIMIT 20"", 0) / QUERY(GOOGLEFINANCE(C24, ""low"", TODAY()-40, TODAY()), ""SELECT Col2 WHERE Col2 IS NOT NULL ORDE"&amp;"R BY Col1 DESC LIMIT 20"", 0) - 1)))"),"#N/A")</f>
        <v>#N/A</v>
      </c>
      <c r="H24" s="35" t="str">
        <f t="shared" si="6"/>
        <v>Illiquid</v>
      </c>
      <c r="I24" s="36" t="str">
        <f t="shared" si="7"/>
        <v>RVol Required</v>
      </c>
      <c r="J24" s="37">
        <f>IFERROR(__xludf.DUMMYFUNCTION("IFERROR(
  IF(C24="""",, 
    IFERROR(
      GOOGLEFINANCE(C24, ""price"") * GOOGLEFINANCE(C24, ""volumeavg""), 
      GOOGLEFINANCE(C24, ""price"") * AVERAGE(QUERY(GOOGLEFINANCE(C24, ""volume"", TODAY()-40, TODAY()), ""SELECT Col2 WHERE Col2 IS NOT NULL "&amp;"ORDER BY Col1 DESC LIMIT 20"", 0))
    )
  ), 
"""")"),8776670.75)</f>
        <v>8776670.75</v>
      </c>
      <c r="K24" s="21">
        <f>IFERROR(__xludf.DUMMYFUNCTION("IFERROR(GOOGLEFINANCE(C24, ""changepct"") / 100, """")"),-0.0012)</f>
        <v>-0.0012</v>
      </c>
      <c r="L24" s="21" t="str">
        <f>IFERROR(__xludf.DUMMYFUNCTION("IFERROR((GOOGLEFINANCE(C24, ""price"") / INDEX(GOOGLEFINANCE(C24, ""price"", TODAY()-7, TODAY()), 2, 2)) - 1, """")"),"")</f>
        <v/>
      </c>
      <c r="M24" s="21" t="str">
        <f>IFERROR(__xludf.DUMMYFUNCTION("IFERROR((GOOGLEFINANCE(C24, ""price"") / INDEX(GOOGLEFINANCE(C24, ""price"", EDATE(TODAY(), -1), TODAY()), 2, 2)) - 1, """")"),"")</f>
        <v/>
      </c>
      <c r="N24" s="21" t="str">
        <f>IFERROR(__xludf.DUMMYFUNCTION("IFERROR((GOOGLEFINANCE(C24, ""price"") / INDEX(GOOGLEFINANCE(C24, ""price"", EDATE(TODAY(), -3), TODAY()), 2, 2)) - 1, """")"),"")</f>
        <v/>
      </c>
      <c r="O24" s="21" t="str">
        <f>IFERROR(__xludf.DUMMYFUNCTION("IFERROR((GOOGLEFINANCE(C24, ""price"") / INDEX(GOOGLEFINANCE(C24, ""price"", EDATE(TODAY(), -6), TODAY()), 2, 2)) - 1, """")"),"")</f>
        <v/>
      </c>
      <c r="P24" s="21" t="str">
        <f>IFERROR(__xludf.DUMMYFUNCTION("IFERROR((GOOGLEFINANCE(C24, ""price"") / INDEX(GOOGLEFINANCE(C24, ""price"", EDATE(TODAY(), -12), TODAY()), 2, 2)) - 1, """")"),"")</f>
        <v/>
      </c>
      <c r="Q24" s="6" t="str">
        <f>IFERROR(__xludf.DUMMYFUNCTION("AVERAGE(QUERY(GOOGLEFINANCE(C24, ""price"", TODAY()-80, TODAY()), ""SELECT Col2 WHERE Col2 IS NOT NULL ORDER BY Col1 DESC LIMIT 50"", 0))"),"#N/A")</f>
        <v>#N/A</v>
      </c>
      <c r="R24" s="24" t="str">
        <f>IFERROR(__xludf.DUMMYFUNCTION("IFERROR(
  LET(
    data, QUERY(GOOGLEFINANCE(C24,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GOOGLEFINANCE(C24, ""price"")) * 100,
    IF(calc=0, G24, calc)
  ), 
G24)"),"#N/A")</f>
        <v>#N/A</v>
      </c>
      <c r="S24" s="8" t="s">
        <v>15</v>
      </c>
      <c r="T24" s="26" t="str">
        <f>IFERROR(__xludf.DUMMYFUNCTION("IFERROR(TRANSPOSE(QUERY(IFERROR(SORT(GOOGLEFINANCE(C24, ""price"", WORKDAY(TODAY(), -40), TODAY()), 1, FALSE)), ""select Col2 where Col2 is not null limit 22 label Col2 ''"", 0)), """")"),"")</f>
        <v/>
      </c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8"/>
      <c r="AO24" s="28"/>
      <c r="AP24" s="29"/>
      <c r="AQ24" s="29" t="str">
        <f t="shared" ref="AQ24:BL24" si="27">T24/T$2</f>
        <v>#N/A</v>
      </c>
      <c r="AR24" s="29" t="str">
        <f t="shared" si="27"/>
        <v>#DIV/0!</v>
      </c>
      <c r="AS24" s="29" t="str">
        <f t="shared" si="27"/>
        <v>#DIV/0!</v>
      </c>
      <c r="AT24" s="29" t="str">
        <f t="shared" si="27"/>
        <v>#DIV/0!</v>
      </c>
      <c r="AU24" s="29" t="str">
        <f t="shared" si="27"/>
        <v>#DIV/0!</v>
      </c>
      <c r="AV24" s="29" t="str">
        <f t="shared" si="27"/>
        <v>#DIV/0!</v>
      </c>
      <c r="AW24" s="29" t="str">
        <f t="shared" si="27"/>
        <v>#DIV/0!</v>
      </c>
      <c r="AX24" s="29" t="str">
        <f t="shared" si="27"/>
        <v>#DIV/0!</v>
      </c>
      <c r="AY24" s="29" t="str">
        <f t="shared" si="27"/>
        <v>#DIV/0!</v>
      </c>
      <c r="AZ24" s="29" t="str">
        <f t="shared" si="27"/>
        <v>#DIV/0!</v>
      </c>
      <c r="BA24" s="29" t="str">
        <f t="shared" si="27"/>
        <v>#DIV/0!</v>
      </c>
      <c r="BB24" s="29" t="str">
        <f t="shared" si="27"/>
        <v>#DIV/0!</v>
      </c>
      <c r="BC24" s="29" t="str">
        <f t="shared" si="27"/>
        <v>#DIV/0!</v>
      </c>
      <c r="BD24" s="29" t="str">
        <f t="shared" si="27"/>
        <v>#DIV/0!</v>
      </c>
      <c r="BE24" s="29" t="str">
        <f t="shared" si="27"/>
        <v>#DIV/0!</v>
      </c>
      <c r="BF24" s="29" t="str">
        <f t="shared" si="27"/>
        <v>#DIV/0!</v>
      </c>
      <c r="BG24" s="29" t="str">
        <f t="shared" si="27"/>
        <v>#DIV/0!</v>
      </c>
      <c r="BH24" s="29" t="str">
        <f t="shared" si="27"/>
        <v>#DIV/0!</v>
      </c>
      <c r="BI24" s="29" t="str">
        <f t="shared" si="27"/>
        <v>#DIV/0!</v>
      </c>
      <c r="BJ24" s="29" t="str">
        <f t="shared" si="27"/>
        <v>#DIV/0!</v>
      </c>
      <c r="BK24" s="29" t="str">
        <f t="shared" si="27"/>
        <v>#DIV/0!</v>
      </c>
      <c r="BL24" s="29" t="str">
        <f t="shared" si="27"/>
        <v>#DIV/0!</v>
      </c>
      <c r="BM24" s="29" t="str">
        <f t="shared" si="3"/>
        <v>#DIV/0!</v>
      </c>
    </row>
    <row r="25">
      <c r="A25" s="16" t="str">
        <f>IFERROR(__xludf.DUMMYFUNCTION("IFERROR(SPARKLINE(SORT(MAP(TRANSPOSE(AQ25:BL25), LAMBDA(val, IF(ISNUMBER(val), PERCENTRANK(AQ25:BL25, val)+0.01, 0))), SEQUENCE(COLUMNS(AQ25:BL25)), FALSE), {""charttype"",""column""; ""color"",""chartreuse""; ""ymin"", 0; ""ymax"", 1.01; ""highcolor"", "&amp;"""darkgreen""; ""lowcolor"", ""red""}), """")"),"")</f>
        <v/>
      </c>
      <c r="B25" s="17" t="str">
        <f t="shared" si="4"/>
        <v/>
      </c>
      <c r="C25" s="1" t="s">
        <v>162</v>
      </c>
      <c r="D25" s="30" t="str">
        <f>IFERROR(__xludf.DUMMYFUNCTION("IFERROR(GOOGLEFINANCE(C25, ""NAME""))"),"Playtika Holding Corp")</f>
        <v>Playtika Holding Corp</v>
      </c>
      <c r="E25" s="30" t="s">
        <v>94</v>
      </c>
      <c r="F25" s="33" t="str">
        <f>IFERROR(__xludf.DUMMYFUNCTION("( (GOOGLEFINANCE(C25, ""price"") - Q25) / Q25 ) / (R25 / 100)"),"Loading...")</f>
        <v>Loading...</v>
      </c>
      <c r="G25" s="20" t="str">
        <f>IFERROR(__xludf.DUMMYFUNCTION("AVERAGE(ARRAYFORMULA(100 * (QUERY(GOOGLEFINANCE(C25, ""high"", TODAY()-40, TODAY()), ""SELECT Col2 WHERE Col2 IS NOT NULL ORDER BY Col1 DESC LIMIT 20"", 0) / QUERY(GOOGLEFINANCE(C25, ""low"", TODAY()-40, TODAY()), ""SELECT Col2 WHERE Col2 IS NOT NULL ORDE"&amp;"R BY Col1 DESC LIMIT 20"", 0) - 1)))"),"#N/A")</f>
        <v>#N/A</v>
      </c>
      <c r="H25" s="35" t="str">
        <f t="shared" si="6"/>
        <v>Illiquid</v>
      </c>
      <c r="I25" s="36" t="str">
        <f t="shared" si="7"/>
        <v>RVol Required</v>
      </c>
      <c r="J25" s="37">
        <f>IFERROR(__xludf.DUMMYFUNCTION("IFERROR(
  IF(C25="""",, 
    IFERROR(
      GOOGLEFINANCE(C25, ""price"") * GOOGLEFINANCE(C25, ""volumeavg""), 
      GOOGLEFINANCE(C25, ""price"") * AVERAGE(QUERY(GOOGLEFINANCE(C25, ""volume"", TODAY()-40, TODAY()), ""SELECT Col2 WHERE Col2 IS NOT NULL "&amp;"ORDER BY Col1 DESC LIMIT 20"", 0))
    )
  ), 
"""")"),2285895.9299999997)</f>
        <v>2285895.93</v>
      </c>
      <c r="K25" s="21">
        <f>IFERROR(__xludf.DUMMYFUNCTION("IFERROR(GOOGLEFINANCE(C25, ""changepct"") / 100, """")"),-0.0321)</f>
        <v>-0.0321</v>
      </c>
      <c r="L25" s="21" t="str">
        <f>IFERROR(__xludf.DUMMYFUNCTION("IFERROR((GOOGLEFINANCE(C25, ""price"") / INDEX(GOOGLEFINANCE(C25, ""price"", TODAY()-7, TODAY()), 2, 2)) - 1, """")"),"")</f>
        <v/>
      </c>
      <c r="M25" s="21" t="str">
        <f>IFERROR(__xludf.DUMMYFUNCTION("IFERROR((GOOGLEFINANCE(C25, ""price"") / INDEX(GOOGLEFINANCE(C25, ""price"", EDATE(TODAY(), -1), TODAY()), 2, 2)) - 1, """")"),"")</f>
        <v/>
      </c>
      <c r="N25" s="21" t="str">
        <f>IFERROR(__xludf.DUMMYFUNCTION("IFERROR((GOOGLEFINANCE(C25, ""price"") / INDEX(GOOGLEFINANCE(C25, ""price"", EDATE(TODAY(), -3), TODAY()), 2, 2)) - 1, """")"),"")</f>
        <v/>
      </c>
      <c r="O25" s="21" t="str">
        <f>IFERROR(__xludf.DUMMYFUNCTION("IFERROR((GOOGLEFINANCE(C25, ""price"") / INDEX(GOOGLEFINANCE(C25, ""price"", EDATE(TODAY(), -6), TODAY()), 2, 2)) - 1, """")"),"")</f>
        <v/>
      </c>
      <c r="P25" s="21" t="str">
        <f>IFERROR(__xludf.DUMMYFUNCTION("IFERROR((GOOGLEFINANCE(C25, ""price"") / INDEX(GOOGLEFINANCE(C25, ""price"", EDATE(TODAY(), -12), TODAY()), 2, 2)) - 1, """")"),"")</f>
        <v/>
      </c>
      <c r="Q25" s="6" t="str">
        <f>IFERROR(__xludf.DUMMYFUNCTION("AVERAGE(QUERY(GOOGLEFINANCE(C25, ""price"", TODAY()-80, TODAY()), ""SELECT Col2 WHERE Col2 IS NOT NULL ORDER BY Col1 DESC LIMIT 50"", 0))"),"#N/A")</f>
        <v>#N/A</v>
      </c>
      <c r="R25" s="24" t="str">
        <f>IFERROR(__xludf.DUMMYFUNCTION("IFERROR(
  LET(
    data, QUERY(GOOGLEFINANCE(C25,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GOOGLEFINANCE(C25, ""price"")) * 100,
    IF(calc=0, G25, calc)
  ), 
G25)"),"#N/A")</f>
        <v>#N/A</v>
      </c>
      <c r="S25" s="8" t="s">
        <v>15</v>
      </c>
      <c r="T25" s="26" t="str">
        <f>IFERROR(__xludf.DUMMYFUNCTION("IFERROR(TRANSPOSE(QUERY(IFERROR(SORT(GOOGLEFINANCE(C25, ""price"", WORKDAY(TODAY(), -40), TODAY()), 1, FALSE)), ""select Col2 where Col2 is not null limit 22 label Col2 ''"", 0)), """")"),"")</f>
        <v/>
      </c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8"/>
      <c r="AO25" s="28"/>
      <c r="AP25" s="29"/>
      <c r="AQ25" s="29" t="str">
        <f t="shared" ref="AQ25:BL25" si="28">T25/T$2</f>
        <v>#N/A</v>
      </c>
      <c r="AR25" s="29" t="str">
        <f t="shared" si="28"/>
        <v>#DIV/0!</v>
      </c>
      <c r="AS25" s="29" t="str">
        <f t="shared" si="28"/>
        <v>#DIV/0!</v>
      </c>
      <c r="AT25" s="29" t="str">
        <f t="shared" si="28"/>
        <v>#DIV/0!</v>
      </c>
      <c r="AU25" s="29" t="str">
        <f t="shared" si="28"/>
        <v>#DIV/0!</v>
      </c>
      <c r="AV25" s="29" t="str">
        <f t="shared" si="28"/>
        <v>#DIV/0!</v>
      </c>
      <c r="AW25" s="29" t="str">
        <f t="shared" si="28"/>
        <v>#DIV/0!</v>
      </c>
      <c r="AX25" s="29" t="str">
        <f t="shared" si="28"/>
        <v>#DIV/0!</v>
      </c>
      <c r="AY25" s="29" t="str">
        <f t="shared" si="28"/>
        <v>#DIV/0!</v>
      </c>
      <c r="AZ25" s="29" t="str">
        <f t="shared" si="28"/>
        <v>#DIV/0!</v>
      </c>
      <c r="BA25" s="29" t="str">
        <f t="shared" si="28"/>
        <v>#DIV/0!</v>
      </c>
      <c r="BB25" s="29" t="str">
        <f t="shared" si="28"/>
        <v>#DIV/0!</v>
      </c>
      <c r="BC25" s="29" t="str">
        <f t="shared" si="28"/>
        <v>#DIV/0!</v>
      </c>
      <c r="BD25" s="29" t="str">
        <f t="shared" si="28"/>
        <v>#DIV/0!</v>
      </c>
      <c r="BE25" s="29" t="str">
        <f t="shared" si="28"/>
        <v>#DIV/0!</v>
      </c>
      <c r="BF25" s="29" t="str">
        <f t="shared" si="28"/>
        <v>#DIV/0!</v>
      </c>
      <c r="BG25" s="29" t="str">
        <f t="shared" si="28"/>
        <v>#DIV/0!</v>
      </c>
      <c r="BH25" s="29" t="str">
        <f t="shared" si="28"/>
        <v>#DIV/0!</v>
      </c>
      <c r="BI25" s="29" t="str">
        <f t="shared" si="28"/>
        <v>#DIV/0!</v>
      </c>
      <c r="BJ25" s="29" t="str">
        <f t="shared" si="28"/>
        <v>#DIV/0!</v>
      </c>
      <c r="BK25" s="29" t="str">
        <f t="shared" si="28"/>
        <v>#DIV/0!</v>
      </c>
      <c r="BL25" s="29" t="str">
        <f t="shared" si="28"/>
        <v>#DIV/0!</v>
      </c>
      <c r="BM25" s="29" t="str">
        <f t="shared" si="3"/>
        <v>#DIV/0!</v>
      </c>
    </row>
    <row r="26">
      <c r="A26" s="16" t="str">
        <f>IFERROR(__xludf.DUMMYFUNCTION("IFERROR(SPARKLINE(SORT(MAP(TRANSPOSE(AQ26:BL26), LAMBDA(val, IF(ISNUMBER(val), PERCENTRANK(AQ26:BL26, val)+0.01, 0))), SEQUENCE(COLUMNS(AQ26:BL26)), FALSE), {""charttype"",""column""; ""color"",""chartreuse""; ""ymin"", 0; ""ymax"", 1.01; ""highcolor"", "&amp;"""darkgreen""; ""lowcolor"", ""red""}), """")"),"")</f>
        <v/>
      </c>
      <c r="B26" s="17" t="str">
        <f t="shared" si="4"/>
        <v/>
      </c>
      <c r="C26" s="1" t="s">
        <v>167</v>
      </c>
      <c r="D26" s="30" t="str">
        <f>IFERROR(__xludf.DUMMYFUNCTION("IFERROR(GOOGLEFINANCE(C26, ""NAME""))"),"Alphabet Inc Class A")</f>
        <v>Alphabet Inc Class A</v>
      </c>
      <c r="E26" s="30" t="s">
        <v>69</v>
      </c>
      <c r="F26" s="33" t="str">
        <f>IFERROR(__xludf.DUMMYFUNCTION("( (GOOGLEFINANCE(C26, ""price"") - Q26) / Q26 ) / (R26 / 100)"),"Loading...")</f>
        <v>Loading...</v>
      </c>
      <c r="G26" s="20" t="str">
        <f>IFERROR(__xludf.DUMMYFUNCTION("AVERAGE(ARRAYFORMULA(100 * (QUERY(GOOGLEFINANCE(C26, ""high"", TODAY()-40, TODAY()), ""SELECT Col2 WHERE Col2 IS NOT NULL ORDER BY Col1 DESC LIMIT 20"", 0) / QUERY(GOOGLEFINANCE(C26, ""low"", TODAY()-40, TODAY()), ""SELECT Col2 WHERE Col2 IS NOT NULL ORDE"&amp;"R BY Col1 DESC LIMIT 20"", 0) - 1)))"),"#N/A")</f>
        <v>#N/A</v>
      </c>
      <c r="H26" s="35" t="str">
        <f t="shared" si="6"/>
        <v>Liquid</v>
      </c>
      <c r="I26" s="36" t="str">
        <f t="shared" si="7"/>
        <v>No RVol Required</v>
      </c>
      <c r="J26" s="37">
        <f>IFERROR(__xludf.DUMMYFUNCTION("IFERROR(
  IF(C26="""",, 
    IFERROR(
      GOOGLEFINANCE(C26, ""price"") * GOOGLEFINANCE(C26, ""volumeavg""), 
      GOOGLEFINANCE(C26, ""price"") * AVERAGE(QUERY(GOOGLEFINANCE(C26, ""volume"", TODAY()-40, TODAY()), ""SELECT Col2 WHERE Col2 IS NOT NULL "&amp;"ORDER BY Col1 DESC LIMIT 20"", 0))
    )
  ), 
"""")"),8.694608767199999E9)</f>
        <v>8694608767</v>
      </c>
      <c r="K26" s="21">
        <f>IFERROR(__xludf.DUMMYFUNCTION("IFERROR(GOOGLEFINANCE(C26, ""changepct"") / 100, """")"),-0.024700000000000003)</f>
        <v>-0.0247</v>
      </c>
      <c r="L26" s="21" t="str">
        <f>IFERROR(__xludf.DUMMYFUNCTION("IFERROR((GOOGLEFINANCE(C26, ""price"") / INDEX(GOOGLEFINANCE(C26, ""price"", TODAY()-7, TODAY()), 2, 2)) - 1, """")"),"")</f>
        <v/>
      </c>
      <c r="M26" s="21" t="str">
        <f>IFERROR(__xludf.DUMMYFUNCTION("IFERROR((GOOGLEFINANCE(C26, ""price"") / INDEX(GOOGLEFINANCE(C26, ""price"", EDATE(TODAY(), -1), TODAY()), 2, 2)) - 1, """")"),"")</f>
        <v/>
      </c>
      <c r="N26" s="21" t="str">
        <f>IFERROR(__xludf.DUMMYFUNCTION("IFERROR((GOOGLEFINANCE(C26, ""price"") / INDEX(GOOGLEFINANCE(C26, ""price"", EDATE(TODAY(), -3), TODAY()), 2, 2)) - 1, """")"),"")</f>
        <v/>
      </c>
      <c r="O26" s="21" t="str">
        <f>IFERROR(__xludf.DUMMYFUNCTION("IFERROR((GOOGLEFINANCE(C26, ""price"") / INDEX(GOOGLEFINANCE(C26, ""price"", EDATE(TODAY(), -6), TODAY()), 2, 2)) - 1, """")"),"")</f>
        <v/>
      </c>
      <c r="P26" s="21" t="str">
        <f>IFERROR(__xludf.DUMMYFUNCTION("IFERROR((GOOGLEFINANCE(C26, ""price"") / INDEX(GOOGLEFINANCE(C26, ""price"", EDATE(TODAY(), -12), TODAY()), 2, 2)) - 1, """")"),"")</f>
        <v/>
      </c>
      <c r="Q26" s="6" t="str">
        <f>IFERROR(__xludf.DUMMYFUNCTION("AVERAGE(QUERY(GOOGLEFINANCE(C26, ""price"", TODAY()-80, TODAY()), ""SELECT Col2 WHERE Col2 IS NOT NULL ORDER BY Col1 DESC LIMIT 50"", 0))"),"#N/A")</f>
        <v>#N/A</v>
      </c>
      <c r="R26" s="24" t="str">
        <f>IFERROR(__xludf.DUMMYFUNCTION("IFERROR(
  LET(
    data, QUERY(GOOGLEFINANCE(C26,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GOOGLEFINANCE(C26, ""price"")) * 100,
    IF(calc=0, G26, calc)
  ), 
G26)"),"#N/A")</f>
        <v>#N/A</v>
      </c>
      <c r="S26" s="8" t="s">
        <v>15</v>
      </c>
      <c r="T26" s="26" t="str">
        <f>IFERROR(__xludf.DUMMYFUNCTION("IFERROR(TRANSPOSE(QUERY(IFERROR(SORT(GOOGLEFINANCE(C26, ""price"", WORKDAY(TODAY(), -40), TODAY()), 1, FALSE)), ""select Col2 where Col2 is not null limit 22 label Col2 ''"", 0)), """")"),"")</f>
        <v/>
      </c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8"/>
      <c r="AO26" s="28"/>
      <c r="AP26" s="29"/>
      <c r="AQ26" s="29" t="str">
        <f t="shared" ref="AQ26:BL26" si="29">T26/T$2</f>
        <v>#N/A</v>
      </c>
      <c r="AR26" s="29" t="str">
        <f t="shared" si="29"/>
        <v>#DIV/0!</v>
      </c>
      <c r="AS26" s="29" t="str">
        <f t="shared" si="29"/>
        <v>#DIV/0!</v>
      </c>
      <c r="AT26" s="29" t="str">
        <f t="shared" si="29"/>
        <v>#DIV/0!</v>
      </c>
      <c r="AU26" s="29" t="str">
        <f t="shared" si="29"/>
        <v>#DIV/0!</v>
      </c>
      <c r="AV26" s="29" t="str">
        <f t="shared" si="29"/>
        <v>#DIV/0!</v>
      </c>
      <c r="AW26" s="29" t="str">
        <f t="shared" si="29"/>
        <v>#DIV/0!</v>
      </c>
      <c r="AX26" s="29" t="str">
        <f t="shared" si="29"/>
        <v>#DIV/0!</v>
      </c>
      <c r="AY26" s="29" t="str">
        <f t="shared" si="29"/>
        <v>#DIV/0!</v>
      </c>
      <c r="AZ26" s="29" t="str">
        <f t="shared" si="29"/>
        <v>#DIV/0!</v>
      </c>
      <c r="BA26" s="29" t="str">
        <f t="shared" si="29"/>
        <v>#DIV/0!</v>
      </c>
      <c r="BB26" s="29" t="str">
        <f t="shared" si="29"/>
        <v>#DIV/0!</v>
      </c>
      <c r="BC26" s="29" t="str">
        <f t="shared" si="29"/>
        <v>#DIV/0!</v>
      </c>
      <c r="BD26" s="29" t="str">
        <f t="shared" si="29"/>
        <v>#DIV/0!</v>
      </c>
      <c r="BE26" s="29" t="str">
        <f t="shared" si="29"/>
        <v>#DIV/0!</v>
      </c>
      <c r="BF26" s="29" t="str">
        <f t="shared" si="29"/>
        <v>#DIV/0!</v>
      </c>
      <c r="BG26" s="29" t="str">
        <f t="shared" si="29"/>
        <v>#DIV/0!</v>
      </c>
      <c r="BH26" s="29" t="str">
        <f t="shared" si="29"/>
        <v>#DIV/0!</v>
      </c>
      <c r="BI26" s="29" t="str">
        <f t="shared" si="29"/>
        <v>#DIV/0!</v>
      </c>
      <c r="BJ26" s="29" t="str">
        <f t="shared" si="29"/>
        <v>#DIV/0!</v>
      </c>
      <c r="BK26" s="29" t="str">
        <f t="shared" si="29"/>
        <v>#DIV/0!</v>
      </c>
      <c r="BL26" s="29" t="str">
        <f t="shared" si="29"/>
        <v>#DIV/0!</v>
      </c>
      <c r="BM26" s="29" t="str">
        <f t="shared" si="3"/>
        <v>#DIV/0!</v>
      </c>
    </row>
    <row r="27">
      <c r="A27" s="16" t="str">
        <f>IFERROR(__xludf.DUMMYFUNCTION("IFERROR(SPARKLINE(SORT(MAP(TRANSPOSE(AQ27:BL27), LAMBDA(val, IF(ISNUMBER(val), PERCENTRANK(AQ27:BL27, val)+0.01, 0))), SEQUENCE(COLUMNS(AQ27:BL27)), FALSE), {""charttype"",""column""; ""color"",""chartreuse""; ""ymin"", 0; ""ymax"", 1.01; ""highcolor"", "&amp;"""darkgreen""; ""lowcolor"", ""red""}), """")"),"")</f>
        <v/>
      </c>
      <c r="B27" s="17" t="str">
        <f t="shared" si="4"/>
        <v/>
      </c>
      <c r="C27" s="1" t="s">
        <v>171</v>
      </c>
      <c r="D27" s="30" t="str">
        <f>IFERROR(__xludf.DUMMYFUNCTION("IFERROR(GOOGLEFINANCE(C27, ""NAME""))"),"Alphabet Inc Class C")</f>
        <v>Alphabet Inc Class C</v>
      </c>
      <c r="E27" s="30" t="s">
        <v>69</v>
      </c>
      <c r="F27" s="33" t="str">
        <f>IFERROR(__xludf.DUMMYFUNCTION("( (GOOGLEFINANCE(C27, ""price"") - Q27) / Q27 ) / (R27 / 100)"),"Loading...")</f>
        <v>Loading...</v>
      </c>
      <c r="G27" s="20" t="str">
        <f>IFERROR(__xludf.DUMMYFUNCTION("AVERAGE(ARRAYFORMULA(100 * (QUERY(GOOGLEFINANCE(C27, ""high"", TODAY()-40, TODAY()), ""SELECT Col2 WHERE Col2 IS NOT NULL ORDER BY Col1 DESC LIMIT 20"", 0) / QUERY(GOOGLEFINANCE(C27, ""low"", TODAY()-40, TODAY()), ""SELECT Col2 WHERE Col2 IS NOT NULL ORDE"&amp;"R BY Col1 DESC LIMIT 20"", 0) - 1)))"),"#N/A")</f>
        <v>#N/A</v>
      </c>
      <c r="H27" s="35" t="str">
        <f t="shared" si="6"/>
        <v>Liquid</v>
      </c>
      <c r="I27" s="36" t="str">
        <f t="shared" si="7"/>
        <v>No RVol Required</v>
      </c>
      <c r="J27" s="37">
        <f>IFERROR(__xludf.DUMMYFUNCTION("IFERROR(
  IF(C27="""",, 
    IFERROR(
      GOOGLEFINANCE(C27, ""price"") * GOOGLEFINANCE(C27, ""volumeavg""), 
      GOOGLEFINANCE(C27, ""price"") * AVERAGE(QUERY(GOOGLEFINANCE(C27, ""volume"", TODAY()-40, TODAY()), ""SELECT Col2 WHERE Col2 IS NOT NULL "&amp;"ORDER BY Col1 DESC LIMIT 20"", 0))
    )
  ), 
"""")"),5.582165096830001E9)</f>
        <v>5582165097</v>
      </c>
      <c r="K27" s="21">
        <f>IFERROR(__xludf.DUMMYFUNCTION("IFERROR(GOOGLEFINANCE(C27, ""changepct"") / 100, """")"),-0.0232)</f>
        <v>-0.0232</v>
      </c>
      <c r="L27" s="21" t="str">
        <f>IFERROR(__xludf.DUMMYFUNCTION("IFERROR((GOOGLEFINANCE(C27, ""price"") / INDEX(GOOGLEFINANCE(C27, ""price"", TODAY()-7, TODAY()), 2, 2)) - 1, """")"),"")</f>
        <v/>
      </c>
      <c r="M27" s="21" t="str">
        <f>IFERROR(__xludf.DUMMYFUNCTION("IFERROR((GOOGLEFINANCE(C27, ""price"") / INDEX(GOOGLEFINANCE(C27, ""price"", EDATE(TODAY(), -1), TODAY()), 2, 2)) - 1, """")"),"")</f>
        <v/>
      </c>
      <c r="N27" s="21" t="str">
        <f>IFERROR(__xludf.DUMMYFUNCTION("IFERROR((GOOGLEFINANCE(C27, ""price"") / INDEX(GOOGLEFINANCE(C27, ""price"", EDATE(TODAY(), -3), TODAY()), 2, 2)) - 1, """")"),"")</f>
        <v/>
      </c>
      <c r="O27" s="21" t="str">
        <f>IFERROR(__xludf.DUMMYFUNCTION("IFERROR((GOOGLEFINANCE(C27, ""price"") / INDEX(GOOGLEFINANCE(C27, ""price"", EDATE(TODAY(), -6), TODAY()), 2, 2)) - 1, """")"),"")</f>
        <v/>
      </c>
      <c r="P27" s="21" t="str">
        <f>IFERROR(__xludf.DUMMYFUNCTION("IFERROR((GOOGLEFINANCE(C27, ""price"") / INDEX(GOOGLEFINANCE(C27, ""price"", EDATE(TODAY(), -12), TODAY()), 2, 2)) - 1, """")"),"")</f>
        <v/>
      </c>
      <c r="Q27" s="6" t="str">
        <f>IFERROR(__xludf.DUMMYFUNCTION("AVERAGE(QUERY(GOOGLEFINANCE(C27, ""price"", TODAY()-80, TODAY()), ""SELECT Col2 WHERE Col2 IS NOT NULL ORDER BY Col1 DESC LIMIT 50"", 0))"),"#N/A")</f>
        <v>#N/A</v>
      </c>
      <c r="R27" s="24" t="str">
        <f>IFERROR(__xludf.DUMMYFUNCTION("IFERROR(
  LET(
    data, QUERY(GOOGLEFINANCE(C27,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GOOGLEFINANCE(C27, ""price"")) * 100,
    IF(calc=0, G27, calc)
  ), 
G27)"),"#N/A")</f>
        <v>#N/A</v>
      </c>
      <c r="S27" s="8" t="s">
        <v>15</v>
      </c>
      <c r="T27" s="26" t="str">
        <f>IFERROR(__xludf.DUMMYFUNCTION("IFERROR(TRANSPOSE(QUERY(IFERROR(SORT(GOOGLEFINANCE(C27, ""price"", WORKDAY(TODAY(), -40), TODAY()), 1, FALSE)), ""select Col2 where Col2 is not null limit 22 label Col2 ''"", 0)), """")"),"")</f>
        <v/>
      </c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8"/>
      <c r="AO27" s="28"/>
      <c r="AP27" s="29"/>
      <c r="AQ27" s="29" t="str">
        <f t="shared" ref="AQ27:BL27" si="30">T27/T$2</f>
        <v>#N/A</v>
      </c>
      <c r="AR27" s="29" t="str">
        <f t="shared" si="30"/>
        <v>#DIV/0!</v>
      </c>
      <c r="AS27" s="29" t="str">
        <f t="shared" si="30"/>
        <v>#DIV/0!</v>
      </c>
      <c r="AT27" s="29" t="str">
        <f t="shared" si="30"/>
        <v>#DIV/0!</v>
      </c>
      <c r="AU27" s="29" t="str">
        <f t="shared" si="30"/>
        <v>#DIV/0!</v>
      </c>
      <c r="AV27" s="29" t="str">
        <f t="shared" si="30"/>
        <v>#DIV/0!</v>
      </c>
      <c r="AW27" s="29" t="str">
        <f t="shared" si="30"/>
        <v>#DIV/0!</v>
      </c>
      <c r="AX27" s="29" t="str">
        <f t="shared" si="30"/>
        <v>#DIV/0!</v>
      </c>
      <c r="AY27" s="29" t="str">
        <f t="shared" si="30"/>
        <v>#DIV/0!</v>
      </c>
      <c r="AZ27" s="29" t="str">
        <f t="shared" si="30"/>
        <v>#DIV/0!</v>
      </c>
      <c r="BA27" s="29" t="str">
        <f t="shared" si="30"/>
        <v>#DIV/0!</v>
      </c>
      <c r="BB27" s="29" t="str">
        <f t="shared" si="30"/>
        <v>#DIV/0!</v>
      </c>
      <c r="BC27" s="29" t="str">
        <f t="shared" si="30"/>
        <v>#DIV/0!</v>
      </c>
      <c r="BD27" s="29" t="str">
        <f t="shared" si="30"/>
        <v>#DIV/0!</v>
      </c>
      <c r="BE27" s="29" t="str">
        <f t="shared" si="30"/>
        <v>#DIV/0!</v>
      </c>
      <c r="BF27" s="29" t="str">
        <f t="shared" si="30"/>
        <v>#DIV/0!</v>
      </c>
      <c r="BG27" s="29" t="str">
        <f t="shared" si="30"/>
        <v>#DIV/0!</v>
      </c>
      <c r="BH27" s="29" t="str">
        <f t="shared" si="30"/>
        <v>#DIV/0!</v>
      </c>
      <c r="BI27" s="29" t="str">
        <f t="shared" si="30"/>
        <v>#DIV/0!</v>
      </c>
      <c r="BJ27" s="29" t="str">
        <f t="shared" si="30"/>
        <v>#DIV/0!</v>
      </c>
      <c r="BK27" s="29" t="str">
        <f t="shared" si="30"/>
        <v>#DIV/0!</v>
      </c>
      <c r="BL27" s="29" t="str">
        <f t="shared" si="30"/>
        <v>#DIV/0!</v>
      </c>
      <c r="BM27" s="29" t="str">
        <f t="shared" si="3"/>
        <v>#DIV/0!</v>
      </c>
    </row>
    <row r="28">
      <c r="A28" s="16" t="str">
        <f>IFERROR(__xludf.DUMMYFUNCTION("IFERROR(SPARKLINE(SORT(MAP(TRANSPOSE(AQ28:BL28), LAMBDA(val, IF(ISNUMBER(val), PERCENTRANK(AQ28:BL28, val)+0.01, 0))), SEQUENCE(COLUMNS(AQ28:BL28)), FALSE), {""charttype"",""column""; ""color"",""chartreuse""; ""ymin"", 0; ""ymax"", 1.01; ""highcolor"", "&amp;"""darkgreen""; ""lowcolor"", ""red""}), """")"),"")</f>
        <v/>
      </c>
      <c r="B28" s="17" t="str">
        <f t="shared" si="4"/>
        <v/>
      </c>
      <c r="C28" s="1" t="s">
        <v>175</v>
      </c>
      <c r="D28" s="30" t="str">
        <f>IFERROR(__xludf.DUMMYFUNCTION("IFERROR(GOOGLEFINANCE(C28, ""NAME""))"),"Newsmax Inc")</f>
        <v>Newsmax Inc</v>
      </c>
      <c r="E28" s="30" t="s">
        <v>176</v>
      </c>
      <c r="F28" s="33" t="str">
        <f>IFERROR(__xludf.DUMMYFUNCTION("( (GOOGLEFINANCE(C28, ""price"") - Q28) / Q28 ) / (R28 / 100)"),"Loading...")</f>
        <v>Loading...</v>
      </c>
      <c r="G28" s="20" t="str">
        <f>IFERROR(__xludf.DUMMYFUNCTION("AVERAGE(ARRAYFORMULA(100 * (QUERY(GOOGLEFINANCE(C28, ""high"", TODAY()-40, TODAY()), ""SELECT Col2 WHERE Col2 IS NOT NULL ORDER BY Col1 DESC LIMIT 20"", 0) / QUERY(GOOGLEFINANCE(C28, ""low"", TODAY()-40, TODAY()), ""SELECT Col2 WHERE Col2 IS NOT NULL ORDE"&amp;"R BY Col1 DESC LIMIT 20"", 0) - 1)))"),"#N/A")</f>
        <v>#N/A</v>
      </c>
      <c r="H28" s="35" t="str">
        <f t="shared" si="6"/>
        <v>Illiquid</v>
      </c>
      <c r="I28" s="36" t="str">
        <f t="shared" si="7"/>
        <v>RVol Required</v>
      </c>
      <c r="J28" s="37">
        <f>IFERROR(__xludf.DUMMYFUNCTION("IFERROR(
  IF(C28="""",, 
    IFERROR(
      GOOGLEFINANCE(C28, ""price"") * GOOGLEFINANCE(C28, ""volumeavg""), 
      GOOGLEFINANCE(C28, ""price"") * AVERAGE(QUERY(GOOGLEFINANCE(C28, ""volume"", TODAY()-40, TODAY()), ""SELECT Col2 WHERE Col2 IS NOT NULL "&amp;"ORDER BY Col1 DESC LIMIT 20"", 0))
    )
  ), 
"""")"),9273979.040000001)</f>
        <v>9273979.04</v>
      </c>
      <c r="K28" s="21">
        <f>IFERROR(__xludf.DUMMYFUNCTION("IFERROR(GOOGLEFINANCE(C28, ""changepct"") / 100, """")"),-0.061200000000000004)</f>
        <v>-0.0612</v>
      </c>
      <c r="L28" s="21" t="str">
        <f>IFERROR(__xludf.DUMMYFUNCTION("IFERROR((GOOGLEFINANCE(C28, ""price"") / INDEX(GOOGLEFINANCE(C28, ""price"", TODAY()-7, TODAY()), 2, 2)) - 1, """")"),"")</f>
        <v/>
      </c>
      <c r="M28" s="21" t="str">
        <f>IFERROR(__xludf.DUMMYFUNCTION("IFERROR((GOOGLEFINANCE(C28, ""price"") / INDEX(GOOGLEFINANCE(C28, ""price"", EDATE(TODAY(), -1), TODAY()), 2, 2)) - 1, """")"),"")</f>
        <v/>
      </c>
      <c r="N28" s="21" t="str">
        <f>IFERROR(__xludf.DUMMYFUNCTION("IFERROR((GOOGLEFINANCE(C28, ""price"") / INDEX(GOOGLEFINANCE(C28, ""price"", EDATE(TODAY(), -3), TODAY()), 2, 2)) - 1, """")"),"")</f>
        <v/>
      </c>
      <c r="O28" s="21" t="str">
        <f>IFERROR(__xludf.DUMMYFUNCTION("IFERROR((GOOGLEFINANCE(C28, ""price"") / INDEX(GOOGLEFINANCE(C28, ""price"", EDATE(TODAY(), -6), TODAY()), 2, 2)) - 1, """")"),"")</f>
        <v/>
      </c>
      <c r="P28" s="21" t="str">
        <f>IFERROR(__xludf.DUMMYFUNCTION("IFERROR((GOOGLEFINANCE(C28, ""price"") / INDEX(GOOGLEFINANCE(C28, ""price"", EDATE(TODAY(), -12), TODAY()), 2, 2)) - 1, """")"),"")</f>
        <v/>
      </c>
      <c r="Q28" s="6" t="str">
        <f>IFERROR(__xludf.DUMMYFUNCTION("AVERAGE(QUERY(GOOGLEFINANCE(C28, ""price"", TODAY()-80, TODAY()), ""SELECT Col2 WHERE Col2 IS NOT NULL ORDER BY Col1 DESC LIMIT 50"", 0))"),"#N/A")</f>
        <v>#N/A</v>
      </c>
      <c r="R28" s="24" t="str">
        <f>IFERROR(__xludf.DUMMYFUNCTION("IFERROR(
  LET(
    data, QUERY(GOOGLEFINANCE(C28,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GOOGLEFINANCE(C28, ""price"")) * 100,
    IF(calc=0, G28, calc)
  ), 
G28)"),"#N/A")</f>
        <v>#N/A</v>
      </c>
      <c r="S28" s="8" t="s">
        <v>15</v>
      </c>
      <c r="T28" s="26" t="str">
        <f>IFERROR(__xludf.DUMMYFUNCTION("IFERROR(TRANSPOSE(QUERY(IFERROR(SORT(GOOGLEFINANCE(C28, ""price"", WORKDAY(TODAY(), -40), TODAY()), 1, FALSE)), ""select Col2 where Col2 is not null limit 22 label Col2 ''"", 0)), """")"),"")</f>
        <v/>
      </c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8"/>
      <c r="AO28" s="28"/>
      <c r="AP28" s="29"/>
      <c r="AQ28" s="29" t="str">
        <f t="shared" ref="AQ28:BL28" si="31">T28/T$2</f>
        <v>#N/A</v>
      </c>
      <c r="AR28" s="29" t="str">
        <f t="shared" si="31"/>
        <v>#DIV/0!</v>
      </c>
      <c r="AS28" s="29" t="str">
        <f t="shared" si="31"/>
        <v>#DIV/0!</v>
      </c>
      <c r="AT28" s="29" t="str">
        <f t="shared" si="31"/>
        <v>#DIV/0!</v>
      </c>
      <c r="AU28" s="29" t="str">
        <f t="shared" si="31"/>
        <v>#DIV/0!</v>
      </c>
      <c r="AV28" s="29" t="str">
        <f t="shared" si="31"/>
        <v>#DIV/0!</v>
      </c>
      <c r="AW28" s="29" t="str">
        <f t="shared" si="31"/>
        <v>#DIV/0!</v>
      </c>
      <c r="AX28" s="29" t="str">
        <f t="shared" si="31"/>
        <v>#DIV/0!</v>
      </c>
      <c r="AY28" s="29" t="str">
        <f t="shared" si="31"/>
        <v>#DIV/0!</v>
      </c>
      <c r="AZ28" s="29" t="str">
        <f t="shared" si="31"/>
        <v>#DIV/0!</v>
      </c>
      <c r="BA28" s="29" t="str">
        <f t="shared" si="31"/>
        <v>#DIV/0!</v>
      </c>
      <c r="BB28" s="29" t="str">
        <f t="shared" si="31"/>
        <v>#DIV/0!</v>
      </c>
      <c r="BC28" s="29" t="str">
        <f t="shared" si="31"/>
        <v>#DIV/0!</v>
      </c>
      <c r="BD28" s="29" t="str">
        <f t="shared" si="31"/>
        <v>#DIV/0!</v>
      </c>
      <c r="BE28" s="29" t="str">
        <f t="shared" si="31"/>
        <v>#DIV/0!</v>
      </c>
      <c r="BF28" s="29" t="str">
        <f t="shared" si="31"/>
        <v>#DIV/0!</v>
      </c>
      <c r="BG28" s="29" t="str">
        <f t="shared" si="31"/>
        <v>#DIV/0!</v>
      </c>
      <c r="BH28" s="29" t="str">
        <f t="shared" si="31"/>
        <v>#DIV/0!</v>
      </c>
      <c r="BI28" s="29" t="str">
        <f t="shared" si="31"/>
        <v>#DIV/0!</v>
      </c>
      <c r="BJ28" s="29" t="str">
        <f t="shared" si="31"/>
        <v>#DIV/0!</v>
      </c>
      <c r="BK28" s="29" t="str">
        <f t="shared" si="31"/>
        <v>#DIV/0!</v>
      </c>
      <c r="BL28" s="29" t="str">
        <f t="shared" si="31"/>
        <v>#DIV/0!</v>
      </c>
      <c r="BM28" s="29" t="str">
        <f t="shared" si="3"/>
        <v>#DIV/0!</v>
      </c>
    </row>
    <row r="29">
      <c r="A29" s="16" t="str">
        <f>IFERROR(__xludf.DUMMYFUNCTION("IFERROR(SPARKLINE(SORT(MAP(TRANSPOSE(AQ29:BL29), LAMBDA(val, IF(ISNUMBER(val), PERCENTRANK(AQ29:BL29, val)+0.01, 0))), SEQUENCE(COLUMNS(AQ29:BL29)), FALSE), {""charttype"",""column""; ""color"",""chartreuse""; ""ymin"", 0; ""ymax"", 1.01; ""highcolor"", "&amp;"""darkgreen""; ""lowcolor"", ""red""}), """")"),"")</f>
        <v/>
      </c>
      <c r="B29" s="17" t="str">
        <f t="shared" si="4"/>
        <v/>
      </c>
      <c r="C29" s="1" t="s">
        <v>180</v>
      </c>
      <c r="D29" s="30" t="str">
        <f>IFERROR(__xludf.DUMMYFUNCTION("IFERROR(GOOGLEFINANCE(C29, ""NAME""))"),"Liberty Live Holdings Inc Series C")</f>
        <v>Liberty Live Holdings Inc Series C</v>
      </c>
      <c r="E29" s="30" t="s">
        <v>62</v>
      </c>
      <c r="F29" s="33" t="str">
        <f>IFERROR(__xludf.DUMMYFUNCTION("( (GOOGLEFINANCE(C29, ""price"") - Q29) / Q29 ) / (R29 / 100)"),"Loading...")</f>
        <v>Loading...</v>
      </c>
      <c r="G29" s="20" t="str">
        <f>IFERROR(__xludf.DUMMYFUNCTION("AVERAGE(ARRAYFORMULA(100 * (QUERY(GOOGLEFINANCE(C29, ""high"", TODAY()-40, TODAY()), ""SELECT Col2 WHERE Col2 IS NOT NULL ORDER BY Col1 DESC LIMIT 20"", 0) / QUERY(GOOGLEFINANCE(C29, ""low"", TODAY()-40, TODAY()), ""SELECT Col2 WHERE Col2 IS NOT NULL ORDE"&amp;"R BY Col1 DESC LIMIT 20"", 0) - 1)))"),"#N/A")</f>
        <v>#N/A</v>
      </c>
      <c r="H29" s="35" t="str">
        <f t="shared" si="6"/>
        <v>Illiquid</v>
      </c>
      <c r="I29" s="36" t="str">
        <f t="shared" si="7"/>
        <v>RVol Required</v>
      </c>
      <c r="J29" s="37">
        <f>IFERROR(__xludf.DUMMYFUNCTION("IFERROR(
  IF(C29="""",, 
    IFERROR(
      GOOGLEFINANCE(C29, ""price"") * GOOGLEFINANCE(C29, ""volumeavg""), 
      GOOGLEFINANCE(C29, ""price"") * AVERAGE(QUERY(GOOGLEFINANCE(C29, ""volume"", TODAY()-40, TODAY()), ""SELECT Col2 WHERE Col2 IS NOT NULL "&amp;"ORDER BY Col1 DESC LIMIT 20"", 0))
    )
  ), 
"""")"),2.8713389900000002E7)</f>
        <v>28713389.9</v>
      </c>
      <c r="K29" s="21">
        <f>IFERROR(__xludf.DUMMYFUNCTION("IFERROR(GOOGLEFINANCE(C29, ""changepct"") / 100, """")"),-0.0152)</f>
        <v>-0.0152</v>
      </c>
      <c r="L29" s="21" t="str">
        <f>IFERROR(__xludf.DUMMYFUNCTION("IFERROR((GOOGLEFINANCE(C29, ""price"") / INDEX(GOOGLEFINANCE(C29, ""price"", TODAY()-7, TODAY()), 2, 2)) - 1, """")"),"")</f>
        <v/>
      </c>
      <c r="M29" s="21" t="str">
        <f>IFERROR(__xludf.DUMMYFUNCTION("IFERROR((GOOGLEFINANCE(C29, ""price"") / INDEX(GOOGLEFINANCE(C29, ""price"", EDATE(TODAY(), -1), TODAY()), 2, 2)) - 1, """")"),"")</f>
        <v/>
      </c>
      <c r="N29" s="21" t="str">
        <f>IFERROR(__xludf.DUMMYFUNCTION("IFERROR((GOOGLEFINANCE(C29, ""price"") / INDEX(GOOGLEFINANCE(C29, ""price"", EDATE(TODAY(), -3), TODAY()), 2, 2)) - 1, """")"),"")</f>
        <v/>
      </c>
      <c r="O29" s="21" t="str">
        <f>IFERROR(__xludf.DUMMYFUNCTION("IFERROR((GOOGLEFINANCE(C29, ""price"") / INDEX(GOOGLEFINANCE(C29, ""price"", EDATE(TODAY(), -6), TODAY()), 2, 2)) - 1, """")"),"")</f>
        <v/>
      </c>
      <c r="P29" s="21" t="str">
        <f>IFERROR(__xludf.DUMMYFUNCTION("IFERROR((GOOGLEFINANCE(C29, ""price"") / INDEX(GOOGLEFINANCE(C29, ""price"", EDATE(TODAY(), -12), TODAY()), 2, 2)) - 1, """")"),"")</f>
        <v/>
      </c>
      <c r="Q29" s="6" t="str">
        <f>IFERROR(__xludf.DUMMYFUNCTION("AVERAGE(QUERY(GOOGLEFINANCE(C29, ""price"", TODAY()-80, TODAY()), ""SELECT Col2 WHERE Col2 IS NOT NULL ORDER BY Col1 DESC LIMIT 50"", 0))"),"#N/A")</f>
        <v>#N/A</v>
      </c>
      <c r="R29" s="24" t="str">
        <f>IFERROR(__xludf.DUMMYFUNCTION("IFERROR(
  LET(
    data, QUERY(GOOGLEFINANCE(C29,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GOOGLEFINANCE(C29, ""price"")) * 100,
    IF(calc=0, G29, calc)
  ), 
G29)"),"#N/A")</f>
        <v>#N/A</v>
      </c>
      <c r="S29" s="8" t="s">
        <v>15</v>
      </c>
      <c r="T29" s="26" t="str">
        <f>IFERROR(__xludf.DUMMYFUNCTION("IFERROR(TRANSPOSE(QUERY(IFERROR(SORT(GOOGLEFINANCE(C29, ""price"", WORKDAY(TODAY(), -40), TODAY()), 1, FALSE)), ""select Col2 where Col2 is not null limit 22 label Col2 ''"", 0)), """")"),"")</f>
        <v/>
      </c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8"/>
      <c r="AO29" s="28"/>
      <c r="AP29" s="29"/>
      <c r="AQ29" s="29" t="str">
        <f t="shared" ref="AQ29:BL29" si="32">T29/T$2</f>
        <v>#N/A</v>
      </c>
      <c r="AR29" s="29" t="str">
        <f t="shared" si="32"/>
        <v>#DIV/0!</v>
      </c>
      <c r="AS29" s="29" t="str">
        <f t="shared" si="32"/>
        <v>#DIV/0!</v>
      </c>
      <c r="AT29" s="29" t="str">
        <f t="shared" si="32"/>
        <v>#DIV/0!</v>
      </c>
      <c r="AU29" s="29" t="str">
        <f t="shared" si="32"/>
        <v>#DIV/0!</v>
      </c>
      <c r="AV29" s="29" t="str">
        <f t="shared" si="32"/>
        <v>#DIV/0!</v>
      </c>
      <c r="AW29" s="29" t="str">
        <f t="shared" si="32"/>
        <v>#DIV/0!</v>
      </c>
      <c r="AX29" s="29" t="str">
        <f t="shared" si="32"/>
        <v>#DIV/0!</v>
      </c>
      <c r="AY29" s="29" t="str">
        <f t="shared" si="32"/>
        <v>#DIV/0!</v>
      </c>
      <c r="AZ29" s="29" t="str">
        <f t="shared" si="32"/>
        <v>#DIV/0!</v>
      </c>
      <c r="BA29" s="29" t="str">
        <f t="shared" si="32"/>
        <v>#DIV/0!</v>
      </c>
      <c r="BB29" s="29" t="str">
        <f t="shared" si="32"/>
        <v>#DIV/0!</v>
      </c>
      <c r="BC29" s="29" t="str">
        <f t="shared" si="32"/>
        <v>#DIV/0!</v>
      </c>
      <c r="BD29" s="29" t="str">
        <f t="shared" si="32"/>
        <v>#DIV/0!</v>
      </c>
      <c r="BE29" s="29" t="str">
        <f t="shared" si="32"/>
        <v>#DIV/0!</v>
      </c>
      <c r="BF29" s="29" t="str">
        <f t="shared" si="32"/>
        <v>#DIV/0!</v>
      </c>
      <c r="BG29" s="29" t="str">
        <f t="shared" si="32"/>
        <v>#DIV/0!</v>
      </c>
      <c r="BH29" s="29" t="str">
        <f t="shared" si="32"/>
        <v>#DIV/0!</v>
      </c>
      <c r="BI29" s="29" t="str">
        <f t="shared" si="32"/>
        <v>#DIV/0!</v>
      </c>
      <c r="BJ29" s="29" t="str">
        <f t="shared" si="32"/>
        <v>#DIV/0!</v>
      </c>
      <c r="BK29" s="29" t="str">
        <f t="shared" si="32"/>
        <v>#DIV/0!</v>
      </c>
      <c r="BL29" s="29" t="str">
        <f t="shared" si="32"/>
        <v>#DIV/0!</v>
      </c>
      <c r="BM29" s="29" t="str">
        <f t="shared" si="3"/>
        <v>#DIV/0!</v>
      </c>
    </row>
    <row r="30">
      <c r="A30" s="16" t="str">
        <f>IFERROR(__xludf.DUMMYFUNCTION("IFERROR(SPARKLINE(SORT(MAP(TRANSPOSE(AQ30:BL30), LAMBDA(val, IF(ISNUMBER(val), PERCENTRANK(AQ30:BL30, val)+0.01, 0))), SEQUENCE(COLUMNS(AQ30:BL30)), FALSE), {""charttype"",""column""; ""color"",""chartreuse""; ""ymin"", 0; ""ymax"", 1.01; ""highcolor"", "&amp;"""darkgreen""; ""lowcolor"", ""red""}), """")"),"")</f>
        <v/>
      </c>
      <c r="B30" s="17" t="str">
        <f t="shared" si="4"/>
        <v/>
      </c>
      <c r="C30" s="1" t="s">
        <v>185</v>
      </c>
      <c r="D30" s="30" t="str">
        <f>IFERROR(__xludf.DUMMYFUNCTION("IFERROR(GOOGLEFINANCE(C30, ""NAME""))"),"Kanzhun Ltd")</f>
        <v>Kanzhun Ltd</v>
      </c>
      <c r="E30" s="30" t="s">
        <v>69</v>
      </c>
      <c r="F30" s="33" t="str">
        <f>IFERROR(__xludf.DUMMYFUNCTION("( (GOOGLEFINANCE(C30, ""price"") - Q30) / Q30 ) / (R30 / 100)"),"Loading...")</f>
        <v>Loading...</v>
      </c>
      <c r="G30" s="20" t="str">
        <f>IFERROR(__xludf.DUMMYFUNCTION("AVERAGE(ARRAYFORMULA(100 * (QUERY(GOOGLEFINANCE(C30, ""high"", TODAY()-40, TODAY()), ""SELECT Col2 WHERE Col2 IS NOT NULL ORDER BY Col1 DESC LIMIT 20"", 0) / QUERY(GOOGLEFINANCE(C30, ""low"", TODAY()-40, TODAY()), ""SELECT Col2 WHERE Col2 IS NOT NULL ORDE"&amp;"R BY Col1 DESC LIMIT 20"", 0) - 1)))"),"#N/A")</f>
        <v>#N/A</v>
      </c>
      <c r="H30" s="35" t="str">
        <f t="shared" si="6"/>
        <v>Liquid</v>
      </c>
      <c r="I30" s="36" t="str">
        <f t="shared" si="7"/>
        <v>RVol Required</v>
      </c>
      <c r="J30" s="37">
        <f>IFERROR(__xludf.DUMMYFUNCTION("IFERROR(
  IF(C30="""",, 
    IFERROR(
      GOOGLEFINANCE(C30, ""price"") * GOOGLEFINANCE(C30, ""volumeavg""), 
      GOOGLEFINANCE(C30, ""price"") * AVERAGE(QUERY(GOOGLEFINANCE(C30, ""volume"", TODAY()-40, TODAY()), ""SELECT Col2 WHERE Col2 IS NOT NULL "&amp;"ORDER BY Col1 DESC LIMIT 20"", 0))
    )
  ), 
"""")"),1.2364061885999998E8)</f>
        <v>123640618.9</v>
      </c>
      <c r="K30" s="21">
        <f>IFERROR(__xludf.DUMMYFUNCTION("IFERROR(GOOGLEFINANCE(C30, ""changepct"") / 100, """")"),0.0226)</f>
        <v>0.0226</v>
      </c>
      <c r="L30" s="21" t="str">
        <f>IFERROR(__xludf.DUMMYFUNCTION("IFERROR((GOOGLEFINANCE(C30, ""price"") / INDEX(GOOGLEFINANCE(C30, ""price"", TODAY()-7, TODAY()), 2, 2)) - 1, """")"),"")</f>
        <v/>
      </c>
      <c r="M30" s="21" t="str">
        <f>IFERROR(__xludf.DUMMYFUNCTION("IFERROR((GOOGLEFINANCE(C30, ""price"") / INDEX(GOOGLEFINANCE(C30, ""price"", EDATE(TODAY(), -1), TODAY()), 2, 2)) - 1, """")"),"")</f>
        <v/>
      </c>
      <c r="N30" s="21" t="str">
        <f>IFERROR(__xludf.DUMMYFUNCTION("IFERROR((GOOGLEFINANCE(C30, ""price"") / INDEX(GOOGLEFINANCE(C30, ""price"", EDATE(TODAY(), -3), TODAY()), 2, 2)) - 1, """")"),"")</f>
        <v/>
      </c>
      <c r="O30" s="21" t="str">
        <f>IFERROR(__xludf.DUMMYFUNCTION("IFERROR((GOOGLEFINANCE(C30, ""price"") / INDEX(GOOGLEFINANCE(C30, ""price"", EDATE(TODAY(), -6), TODAY()), 2, 2)) - 1, """")"),"")</f>
        <v/>
      </c>
      <c r="P30" s="21" t="str">
        <f>IFERROR(__xludf.DUMMYFUNCTION("IFERROR((GOOGLEFINANCE(C30, ""price"") / INDEX(GOOGLEFINANCE(C30, ""price"", EDATE(TODAY(), -12), TODAY()), 2, 2)) - 1, """")"),"")</f>
        <v/>
      </c>
      <c r="Q30" s="6" t="str">
        <f>IFERROR(__xludf.DUMMYFUNCTION("AVERAGE(QUERY(GOOGLEFINANCE(C30, ""price"", TODAY()-80, TODAY()), ""SELECT Col2 WHERE Col2 IS NOT NULL ORDER BY Col1 DESC LIMIT 50"", 0))"),"#N/A")</f>
        <v>#N/A</v>
      </c>
      <c r="R30" s="24" t="str">
        <f>IFERROR(__xludf.DUMMYFUNCTION("IFERROR(
  LET(
    data, QUERY(GOOGLEFINANCE(C30,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GOOGLEFINANCE(C30, ""price"")) * 100,
    IF(calc=0, G30, calc)
  ), 
G30)"),"#N/A")</f>
        <v>#N/A</v>
      </c>
      <c r="S30" s="8" t="s">
        <v>15</v>
      </c>
      <c r="T30" s="26" t="str">
        <f>IFERROR(__xludf.DUMMYFUNCTION("IFERROR(TRANSPOSE(QUERY(IFERROR(SORT(GOOGLEFINANCE(C30, ""price"", WORKDAY(TODAY(), -40), TODAY()), 1, FALSE)), ""select Col2 where Col2 is not null limit 22 label Col2 ''"", 0)), """")"),"")</f>
        <v/>
      </c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8"/>
      <c r="AO30" s="28"/>
      <c r="AP30" s="29"/>
      <c r="AQ30" s="29" t="str">
        <f t="shared" ref="AQ30:BL30" si="33">T30/T$2</f>
        <v>#N/A</v>
      </c>
      <c r="AR30" s="29" t="str">
        <f t="shared" si="33"/>
        <v>#DIV/0!</v>
      </c>
      <c r="AS30" s="29" t="str">
        <f t="shared" si="33"/>
        <v>#DIV/0!</v>
      </c>
      <c r="AT30" s="29" t="str">
        <f t="shared" si="33"/>
        <v>#DIV/0!</v>
      </c>
      <c r="AU30" s="29" t="str">
        <f t="shared" si="33"/>
        <v>#DIV/0!</v>
      </c>
      <c r="AV30" s="29" t="str">
        <f t="shared" si="33"/>
        <v>#DIV/0!</v>
      </c>
      <c r="AW30" s="29" t="str">
        <f t="shared" si="33"/>
        <v>#DIV/0!</v>
      </c>
      <c r="AX30" s="29" t="str">
        <f t="shared" si="33"/>
        <v>#DIV/0!</v>
      </c>
      <c r="AY30" s="29" t="str">
        <f t="shared" si="33"/>
        <v>#DIV/0!</v>
      </c>
      <c r="AZ30" s="29" t="str">
        <f t="shared" si="33"/>
        <v>#DIV/0!</v>
      </c>
      <c r="BA30" s="29" t="str">
        <f t="shared" si="33"/>
        <v>#DIV/0!</v>
      </c>
      <c r="BB30" s="29" t="str">
        <f t="shared" si="33"/>
        <v>#DIV/0!</v>
      </c>
      <c r="BC30" s="29" t="str">
        <f t="shared" si="33"/>
        <v>#DIV/0!</v>
      </c>
      <c r="BD30" s="29" t="str">
        <f t="shared" si="33"/>
        <v>#DIV/0!</v>
      </c>
      <c r="BE30" s="29" t="str">
        <f t="shared" si="33"/>
        <v>#DIV/0!</v>
      </c>
      <c r="BF30" s="29" t="str">
        <f t="shared" si="33"/>
        <v>#DIV/0!</v>
      </c>
      <c r="BG30" s="29" t="str">
        <f t="shared" si="33"/>
        <v>#DIV/0!</v>
      </c>
      <c r="BH30" s="29" t="str">
        <f t="shared" si="33"/>
        <v>#DIV/0!</v>
      </c>
      <c r="BI30" s="29" t="str">
        <f t="shared" si="33"/>
        <v>#DIV/0!</v>
      </c>
      <c r="BJ30" s="29" t="str">
        <f t="shared" si="33"/>
        <v>#DIV/0!</v>
      </c>
      <c r="BK30" s="29" t="str">
        <f t="shared" si="33"/>
        <v>#DIV/0!</v>
      </c>
      <c r="BL30" s="29" t="str">
        <f t="shared" si="33"/>
        <v>#DIV/0!</v>
      </c>
      <c r="BM30" s="29" t="str">
        <f t="shared" si="3"/>
        <v>#DIV/0!</v>
      </c>
    </row>
    <row r="31">
      <c r="A31" s="16" t="str">
        <f>IFERROR(__xludf.DUMMYFUNCTION("IFERROR(SPARKLINE(SORT(MAP(TRANSPOSE(AQ31:BL31), LAMBDA(val, IF(ISNUMBER(val), PERCENTRANK(AQ31:BL31, val)+0.01, 0))), SEQUENCE(COLUMNS(AQ31:BL31)), FALSE), {""charttype"",""column""; ""color"",""chartreuse""; ""ymin"", 0; ""ymax"", 1.01; ""highcolor"", "&amp;"""darkgreen""; ""lowcolor"", ""red""}), """")"),"")</f>
        <v/>
      </c>
      <c r="B31" s="17" t="str">
        <f t="shared" si="4"/>
        <v/>
      </c>
      <c r="C31" s="1" t="s">
        <v>192</v>
      </c>
      <c r="D31" s="30" t="str">
        <f>IFERROR(__xludf.DUMMYFUNCTION("IFERROR(GOOGLEFINANCE(C31, ""NAME""))"),"Magnite Inc")</f>
        <v>Magnite Inc</v>
      </c>
      <c r="E31" s="30" t="s">
        <v>116</v>
      </c>
      <c r="F31" s="33" t="str">
        <f>IFERROR(__xludf.DUMMYFUNCTION("( (GOOGLEFINANCE(C31, ""price"") - Q31) / Q31 ) / (R31 / 100)"),"Loading...")</f>
        <v>Loading...</v>
      </c>
      <c r="G31" s="20" t="str">
        <f>IFERROR(__xludf.DUMMYFUNCTION("AVERAGE(ARRAYFORMULA(100 * (QUERY(GOOGLEFINANCE(C31, ""high"", TODAY()-40, TODAY()), ""SELECT Col2 WHERE Col2 IS NOT NULL ORDER BY Col1 DESC LIMIT 20"", 0) / QUERY(GOOGLEFINANCE(C31, ""low"", TODAY()-40, TODAY()), ""SELECT Col2 WHERE Col2 IS NOT NULL ORDE"&amp;"R BY Col1 DESC LIMIT 20"", 0) - 1)))"),"#N/A")</f>
        <v>#N/A</v>
      </c>
      <c r="H31" s="35" t="str">
        <f t="shared" si="6"/>
        <v>Illiquid</v>
      </c>
      <c r="I31" s="36" t="str">
        <f t="shared" si="7"/>
        <v>RVol Required</v>
      </c>
      <c r="J31" s="37">
        <f>IFERROR(__xludf.DUMMYFUNCTION("IFERROR(
  IF(C31="""",, 
    IFERROR(
      GOOGLEFINANCE(C31, ""price"") * GOOGLEFINANCE(C31, ""volumeavg""), 
      GOOGLEFINANCE(C31, ""price"") * AVERAGE(QUERY(GOOGLEFINANCE(C31, ""volume"", TODAY()-40, TODAY()), ""SELECT Col2 WHERE Col2 IS NOT NULL "&amp;"ORDER BY Col1 DESC LIMIT 20"", 0))
    )
  ), 
"""")"),4.9526054550000004E7)</f>
        <v>49526054.55</v>
      </c>
      <c r="K31" s="21">
        <f>IFERROR(__xludf.DUMMYFUNCTION("IFERROR(GOOGLEFINANCE(C31, ""changepct"") / 100, """")"),-0.0453)</f>
        <v>-0.0453</v>
      </c>
      <c r="L31" s="21" t="str">
        <f>IFERROR(__xludf.DUMMYFUNCTION("IFERROR((GOOGLEFINANCE(C31, ""price"") / INDEX(GOOGLEFINANCE(C31, ""price"", TODAY()-7, TODAY()), 2, 2)) - 1, """")"),"")</f>
        <v/>
      </c>
      <c r="M31" s="21" t="str">
        <f>IFERROR(__xludf.DUMMYFUNCTION("IFERROR((GOOGLEFINANCE(C31, ""price"") / INDEX(GOOGLEFINANCE(C31, ""price"", EDATE(TODAY(), -1), TODAY()), 2, 2)) - 1, """")"),"")</f>
        <v/>
      </c>
      <c r="N31" s="21" t="str">
        <f>IFERROR(__xludf.DUMMYFUNCTION("IFERROR((GOOGLEFINANCE(C31, ""price"") / INDEX(GOOGLEFINANCE(C31, ""price"", EDATE(TODAY(), -3), TODAY()), 2, 2)) - 1, """")"),"")</f>
        <v/>
      </c>
      <c r="O31" s="21" t="str">
        <f>IFERROR(__xludf.DUMMYFUNCTION("IFERROR((GOOGLEFINANCE(C31, ""price"") / INDEX(GOOGLEFINANCE(C31, ""price"", EDATE(TODAY(), -6), TODAY()), 2, 2)) - 1, """")"),"")</f>
        <v/>
      </c>
      <c r="P31" s="21" t="str">
        <f>IFERROR(__xludf.DUMMYFUNCTION("IFERROR((GOOGLEFINANCE(C31, ""price"") / INDEX(GOOGLEFINANCE(C31, ""price"", EDATE(TODAY(), -12), TODAY()), 2, 2)) - 1, """")"),"")</f>
        <v/>
      </c>
      <c r="Q31" s="6" t="str">
        <f>IFERROR(__xludf.DUMMYFUNCTION("AVERAGE(QUERY(GOOGLEFINANCE(C31, ""price"", TODAY()-80, TODAY()), ""SELECT Col2 WHERE Col2 IS NOT NULL ORDER BY Col1 DESC LIMIT 50"", 0))"),"#N/A")</f>
        <v>#N/A</v>
      </c>
      <c r="R31" s="24" t="str">
        <f>IFERROR(__xludf.DUMMYFUNCTION("IFERROR(
  LET(
    data, QUERY(GOOGLEFINANCE(C31,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GOOGLEFINANCE(C31, ""price"")) * 100,
    IF(calc=0, G31, calc)
  ), 
G31)"),"#N/A")</f>
        <v>#N/A</v>
      </c>
      <c r="S31" s="8" t="s">
        <v>15</v>
      </c>
      <c r="T31" s="26" t="str">
        <f>IFERROR(__xludf.DUMMYFUNCTION("IFERROR(TRANSPOSE(QUERY(IFERROR(SORT(GOOGLEFINANCE(C31, ""price"", WORKDAY(TODAY(), -40), TODAY()), 1, FALSE)), ""select Col2 where Col2 is not null limit 22 label Col2 ''"", 0)), """")"),"")</f>
        <v/>
      </c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8"/>
      <c r="AO31" s="28"/>
      <c r="AP31" s="29"/>
      <c r="AQ31" s="29" t="str">
        <f t="shared" ref="AQ31:BL31" si="34">T31/T$2</f>
        <v>#N/A</v>
      </c>
      <c r="AR31" s="29" t="str">
        <f t="shared" si="34"/>
        <v>#DIV/0!</v>
      </c>
      <c r="AS31" s="29" t="str">
        <f t="shared" si="34"/>
        <v>#DIV/0!</v>
      </c>
      <c r="AT31" s="29" t="str">
        <f t="shared" si="34"/>
        <v>#DIV/0!</v>
      </c>
      <c r="AU31" s="29" t="str">
        <f t="shared" si="34"/>
        <v>#DIV/0!</v>
      </c>
      <c r="AV31" s="29" t="str">
        <f t="shared" si="34"/>
        <v>#DIV/0!</v>
      </c>
      <c r="AW31" s="29" t="str">
        <f t="shared" si="34"/>
        <v>#DIV/0!</v>
      </c>
      <c r="AX31" s="29" t="str">
        <f t="shared" si="34"/>
        <v>#DIV/0!</v>
      </c>
      <c r="AY31" s="29" t="str">
        <f t="shared" si="34"/>
        <v>#DIV/0!</v>
      </c>
      <c r="AZ31" s="29" t="str">
        <f t="shared" si="34"/>
        <v>#DIV/0!</v>
      </c>
      <c r="BA31" s="29" t="str">
        <f t="shared" si="34"/>
        <v>#DIV/0!</v>
      </c>
      <c r="BB31" s="29" t="str">
        <f t="shared" si="34"/>
        <v>#DIV/0!</v>
      </c>
      <c r="BC31" s="29" t="str">
        <f t="shared" si="34"/>
        <v>#DIV/0!</v>
      </c>
      <c r="BD31" s="29" t="str">
        <f t="shared" si="34"/>
        <v>#DIV/0!</v>
      </c>
      <c r="BE31" s="29" t="str">
        <f t="shared" si="34"/>
        <v>#DIV/0!</v>
      </c>
      <c r="BF31" s="29" t="str">
        <f t="shared" si="34"/>
        <v>#DIV/0!</v>
      </c>
      <c r="BG31" s="29" t="str">
        <f t="shared" si="34"/>
        <v>#DIV/0!</v>
      </c>
      <c r="BH31" s="29" t="str">
        <f t="shared" si="34"/>
        <v>#DIV/0!</v>
      </c>
      <c r="BI31" s="29" t="str">
        <f t="shared" si="34"/>
        <v>#DIV/0!</v>
      </c>
      <c r="BJ31" s="29" t="str">
        <f t="shared" si="34"/>
        <v>#DIV/0!</v>
      </c>
      <c r="BK31" s="29" t="str">
        <f t="shared" si="34"/>
        <v>#DIV/0!</v>
      </c>
      <c r="BL31" s="29" t="str">
        <f t="shared" si="34"/>
        <v>#DIV/0!</v>
      </c>
      <c r="BM31" s="29" t="str">
        <f t="shared" si="3"/>
        <v>#DIV/0!</v>
      </c>
    </row>
    <row r="32">
      <c r="A32" s="16" t="str">
        <f>IFERROR(__xludf.DUMMYFUNCTION("IFERROR(SPARKLINE(SORT(MAP(TRANSPOSE(AQ32:BL32), LAMBDA(val, IF(ISNUMBER(val), PERCENTRANK(AQ32:BL32, val)+0.01, 0))), SEQUENCE(COLUMNS(AQ32:BL32)), FALSE), {""charttype"",""column""; ""color"",""chartreuse""; ""ymin"", 0; ""ymax"", 1.01; ""highcolor"", "&amp;"""darkgreen""; ""lowcolor"", ""red""}), """")"),"")</f>
        <v/>
      </c>
      <c r="B32" s="17" t="str">
        <f t="shared" si="4"/>
        <v/>
      </c>
      <c r="C32" s="1" t="s">
        <v>197</v>
      </c>
      <c r="D32" s="30" t="str">
        <f>IFERROR(__xludf.DUMMYFUNCTION("IFERROR(GOOGLEFINANCE(C32, ""NAME""))"),"Fox Corp Class A")</f>
        <v>Fox Corp Class A</v>
      </c>
      <c r="E32" s="30" t="s">
        <v>62</v>
      </c>
      <c r="F32" s="33" t="str">
        <f>IFERROR(__xludf.DUMMYFUNCTION("( (GOOGLEFINANCE(C32, ""price"") - Q32) / Q32 ) / (R32 / 100)"),"Loading...")</f>
        <v>Loading...</v>
      </c>
      <c r="G32" s="20" t="str">
        <f>IFERROR(__xludf.DUMMYFUNCTION("AVERAGE(ARRAYFORMULA(100 * (QUERY(GOOGLEFINANCE(C32, ""high"", TODAY()-40, TODAY()), ""SELECT Col2 WHERE Col2 IS NOT NULL ORDER BY Col1 DESC LIMIT 20"", 0) / QUERY(GOOGLEFINANCE(C32, ""low"", TODAY()-40, TODAY()), ""SELECT Col2 WHERE Col2 IS NOT NULL ORDE"&amp;"R BY Col1 DESC LIMIT 20"", 0) - 1)))"),"#N/A")</f>
        <v>#N/A</v>
      </c>
      <c r="H32" s="35" t="str">
        <f t="shared" si="6"/>
        <v>Liquid</v>
      </c>
      <c r="I32" s="36" t="str">
        <f t="shared" si="7"/>
        <v>RVol Required</v>
      </c>
      <c r="J32" s="37">
        <f>IFERROR(__xludf.DUMMYFUNCTION("IFERROR(
  IF(C32="""",, 
    IFERROR(
      GOOGLEFINANCE(C32, ""price"") * GOOGLEFINANCE(C32, ""volumeavg""), 
      GOOGLEFINANCE(C32, ""price"") * AVERAGE(QUERY(GOOGLEFINANCE(C32, ""volume"", TODAY()-40, TODAY()), ""SELECT Col2 WHERE Col2 IS NOT NULL "&amp;"ORDER BY Col1 DESC LIMIT 20"", 0))
    )
  ), 
"""")"),2.8375924965000004E8)</f>
        <v>283759249.7</v>
      </c>
      <c r="K32" s="21">
        <f>IFERROR(__xludf.DUMMYFUNCTION("IFERROR(GOOGLEFINANCE(C32, ""changepct"") / 100, """")"),0.0027)</f>
        <v>0.0027</v>
      </c>
      <c r="L32" s="21" t="str">
        <f>IFERROR(__xludf.DUMMYFUNCTION("IFERROR((GOOGLEFINANCE(C32, ""price"") / INDEX(GOOGLEFINANCE(C32, ""price"", TODAY()-7, TODAY()), 2, 2)) - 1, """")"),"")</f>
        <v/>
      </c>
      <c r="M32" s="21" t="str">
        <f>IFERROR(__xludf.DUMMYFUNCTION("IFERROR((GOOGLEFINANCE(C32, ""price"") / INDEX(GOOGLEFINANCE(C32, ""price"", EDATE(TODAY(), -1), TODAY()), 2, 2)) - 1, """")"),"")</f>
        <v/>
      </c>
      <c r="N32" s="21" t="str">
        <f>IFERROR(__xludf.DUMMYFUNCTION("IFERROR((GOOGLEFINANCE(C32, ""price"") / INDEX(GOOGLEFINANCE(C32, ""price"", EDATE(TODAY(), -3), TODAY()), 2, 2)) - 1, """")"),"")</f>
        <v/>
      </c>
      <c r="O32" s="21" t="str">
        <f>IFERROR(__xludf.DUMMYFUNCTION("IFERROR((GOOGLEFINANCE(C32, ""price"") / INDEX(GOOGLEFINANCE(C32, ""price"", EDATE(TODAY(), -6), TODAY()), 2, 2)) - 1, """")"),"")</f>
        <v/>
      </c>
      <c r="P32" s="21" t="str">
        <f>IFERROR(__xludf.DUMMYFUNCTION("IFERROR((GOOGLEFINANCE(C32, ""price"") / INDEX(GOOGLEFINANCE(C32, ""price"", EDATE(TODAY(), -12), TODAY()), 2, 2)) - 1, """")"),"")</f>
        <v/>
      </c>
      <c r="Q32" s="6" t="str">
        <f>IFERROR(__xludf.DUMMYFUNCTION("AVERAGE(QUERY(GOOGLEFINANCE(C32, ""price"", TODAY()-80, TODAY()), ""SELECT Col2 WHERE Col2 IS NOT NULL ORDER BY Col1 DESC LIMIT 50"", 0))"),"#N/A")</f>
        <v>#N/A</v>
      </c>
      <c r="R32" s="24" t="str">
        <f>IFERROR(__xludf.DUMMYFUNCTION("IFERROR(
  LET(
    data, QUERY(GOOGLEFINANCE(C32,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GOOGLEFINANCE(C32, ""price"")) * 100,
    IF(calc=0, G32, calc)
  ), 
G32)"),"#N/A")</f>
        <v>#N/A</v>
      </c>
      <c r="S32" s="8" t="s">
        <v>15</v>
      </c>
      <c r="T32" s="26" t="str">
        <f>IFERROR(__xludf.DUMMYFUNCTION("IFERROR(TRANSPOSE(QUERY(IFERROR(SORT(GOOGLEFINANCE(C32, ""price"", WORKDAY(TODAY(), -40), TODAY()), 1, FALSE)), ""select Col2 where Col2 is not null limit 22 label Col2 ''"", 0)), """")"),"")</f>
        <v/>
      </c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8"/>
      <c r="AO32" s="28"/>
      <c r="AP32" s="29"/>
      <c r="AQ32" s="29" t="str">
        <f t="shared" ref="AQ32:BL32" si="35">T32/T$2</f>
        <v>#N/A</v>
      </c>
      <c r="AR32" s="29" t="str">
        <f t="shared" si="35"/>
        <v>#DIV/0!</v>
      </c>
      <c r="AS32" s="29" t="str">
        <f t="shared" si="35"/>
        <v>#DIV/0!</v>
      </c>
      <c r="AT32" s="29" t="str">
        <f t="shared" si="35"/>
        <v>#DIV/0!</v>
      </c>
      <c r="AU32" s="29" t="str">
        <f t="shared" si="35"/>
        <v>#DIV/0!</v>
      </c>
      <c r="AV32" s="29" t="str">
        <f t="shared" si="35"/>
        <v>#DIV/0!</v>
      </c>
      <c r="AW32" s="29" t="str">
        <f t="shared" si="35"/>
        <v>#DIV/0!</v>
      </c>
      <c r="AX32" s="29" t="str">
        <f t="shared" si="35"/>
        <v>#DIV/0!</v>
      </c>
      <c r="AY32" s="29" t="str">
        <f t="shared" si="35"/>
        <v>#DIV/0!</v>
      </c>
      <c r="AZ32" s="29" t="str">
        <f t="shared" si="35"/>
        <v>#DIV/0!</v>
      </c>
      <c r="BA32" s="29" t="str">
        <f t="shared" si="35"/>
        <v>#DIV/0!</v>
      </c>
      <c r="BB32" s="29" t="str">
        <f t="shared" si="35"/>
        <v>#DIV/0!</v>
      </c>
      <c r="BC32" s="29" t="str">
        <f t="shared" si="35"/>
        <v>#DIV/0!</v>
      </c>
      <c r="BD32" s="29" t="str">
        <f t="shared" si="35"/>
        <v>#DIV/0!</v>
      </c>
      <c r="BE32" s="29" t="str">
        <f t="shared" si="35"/>
        <v>#DIV/0!</v>
      </c>
      <c r="BF32" s="29" t="str">
        <f t="shared" si="35"/>
        <v>#DIV/0!</v>
      </c>
      <c r="BG32" s="29" t="str">
        <f t="shared" si="35"/>
        <v>#DIV/0!</v>
      </c>
      <c r="BH32" s="29" t="str">
        <f t="shared" si="35"/>
        <v>#DIV/0!</v>
      </c>
      <c r="BI32" s="29" t="str">
        <f t="shared" si="35"/>
        <v>#DIV/0!</v>
      </c>
      <c r="BJ32" s="29" t="str">
        <f t="shared" si="35"/>
        <v>#DIV/0!</v>
      </c>
      <c r="BK32" s="29" t="str">
        <f t="shared" si="35"/>
        <v>#DIV/0!</v>
      </c>
      <c r="BL32" s="29" t="str">
        <f t="shared" si="35"/>
        <v>#DIV/0!</v>
      </c>
      <c r="BM32" s="29" t="str">
        <f t="shared" si="3"/>
        <v>#DIV/0!</v>
      </c>
    </row>
    <row r="33">
      <c r="A33" s="16" t="str">
        <f>IFERROR(__xludf.DUMMYFUNCTION("IFERROR(SPARKLINE(SORT(MAP(TRANSPOSE(AQ33:BL33), LAMBDA(val, IF(ISNUMBER(val), PERCENTRANK(AQ33:BL33, val)+0.01, 0))), SEQUENCE(COLUMNS(AQ33:BL33)), FALSE), {""charttype"",""column""; ""color"",""chartreuse""; ""ymin"", 0; ""ymax"", 1.01; ""highcolor"", "&amp;"""darkgreen""; ""lowcolor"", ""red""}), """")"),"")</f>
        <v/>
      </c>
      <c r="B33" s="17" t="str">
        <f t="shared" si="4"/>
        <v/>
      </c>
      <c r="C33" s="1" t="s">
        <v>201</v>
      </c>
      <c r="D33" s="30" t="str">
        <f>IFERROR(__xludf.DUMMYFUNCTION("IFERROR(GOOGLEFINANCE(C33, ""NAME""))"),"Fox Corp Class B")</f>
        <v>Fox Corp Class B</v>
      </c>
      <c r="E33" s="30" t="s">
        <v>62</v>
      </c>
      <c r="F33" s="33" t="str">
        <f>IFERROR(__xludf.DUMMYFUNCTION("( (GOOGLEFINANCE(C33, ""price"") - Q33) / Q33 ) / (R33 / 100)"),"Loading...")</f>
        <v>Loading...</v>
      </c>
      <c r="G33" s="20" t="str">
        <f>IFERROR(__xludf.DUMMYFUNCTION("AVERAGE(ARRAYFORMULA(100 * (QUERY(GOOGLEFINANCE(C33, ""high"", TODAY()-40, TODAY()), ""SELECT Col2 WHERE Col2 IS NOT NULL ORDER BY Col1 DESC LIMIT 20"", 0) / QUERY(GOOGLEFINANCE(C33, ""low"", TODAY()-40, TODAY()), ""SELECT Col2 WHERE Col2 IS NOT NULL ORDE"&amp;"R BY Col1 DESC LIMIT 20"", 0) - 1)))"),"#N/A")</f>
        <v>#N/A</v>
      </c>
      <c r="H33" s="35" t="str">
        <f t="shared" si="6"/>
        <v>Liquid</v>
      </c>
      <c r="I33" s="36" t="str">
        <f t="shared" si="7"/>
        <v>RVol Required</v>
      </c>
      <c r="J33" s="37">
        <f>IFERROR(__xludf.DUMMYFUNCTION("IFERROR(
  IF(C33="""",, 
    IFERROR(
      GOOGLEFINANCE(C33, ""price"") * GOOGLEFINANCE(C33, ""volumeavg""), 
      GOOGLEFINANCE(C33, ""price"") * AVERAGE(QUERY(GOOGLEFINANCE(C33, ""volume"", TODAY()-40, TODAY()), ""SELECT Col2 WHERE Col2 IS NOT NULL "&amp;"ORDER BY Col1 DESC LIMIT 20"", 0))
    )
  ), 
"""")"),6.190814904E7)</f>
        <v>61908149.04</v>
      </c>
      <c r="K33" s="21">
        <f>IFERROR(__xludf.DUMMYFUNCTION("IFERROR(GOOGLEFINANCE(C33, ""changepct"") / 100, """")"),0.0014000000000000002)</f>
        <v>0.0014</v>
      </c>
      <c r="L33" s="21" t="str">
        <f>IFERROR(__xludf.DUMMYFUNCTION("IFERROR((GOOGLEFINANCE(C33, ""price"") / INDEX(GOOGLEFINANCE(C33, ""price"", TODAY()-7, TODAY()), 2, 2)) - 1, """")"),"")</f>
        <v/>
      </c>
      <c r="M33" s="21" t="str">
        <f>IFERROR(__xludf.DUMMYFUNCTION("IFERROR((GOOGLEFINANCE(C33, ""price"") / INDEX(GOOGLEFINANCE(C33, ""price"", EDATE(TODAY(), -1), TODAY()), 2, 2)) - 1, """")"),"")</f>
        <v/>
      </c>
      <c r="N33" s="21" t="str">
        <f>IFERROR(__xludf.DUMMYFUNCTION("IFERROR((GOOGLEFINANCE(C33, ""price"") / INDEX(GOOGLEFINANCE(C33, ""price"", EDATE(TODAY(), -3), TODAY()), 2, 2)) - 1, """")"),"")</f>
        <v/>
      </c>
      <c r="O33" s="21" t="str">
        <f>IFERROR(__xludf.DUMMYFUNCTION("IFERROR((GOOGLEFINANCE(C33, ""price"") / INDEX(GOOGLEFINANCE(C33, ""price"", EDATE(TODAY(), -6), TODAY()), 2, 2)) - 1, """")"),"")</f>
        <v/>
      </c>
      <c r="P33" s="21" t="str">
        <f>IFERROR(__xludf.DUMMYFUNCTION("IFERROR((GOOGLEFINANCE(C33, ""price"") / INDEX(GOOGLEFINANCE(C33, ""price"", EDATE(TODAY(), -12), TODAY()), 2, 2)) - 1, """")"),"")</f>
        <v/>
      </c>
      <c r="Q33" s="6" t="str">
        <f>IFERROR(__xludf.DUMMYFUNCTION("AVERAGE(QUERY(GOOGLEFINANCE(C33, ""price"", TODAY()-80, TODAY()), ""SELECT Col2 WHERE Col2 IS NOT NULL ORDER BY Col1 DESC LIMIT 50"", 0))"),"#N/A")</f>
        <v>#N/A</v>
      </c>
      <c r="R33" s="24" t="str">
        <f>IFERROR(__xludf.DUMMYFUNCTION("IFERROR(
  LET(
    data, QUERY(GOOGLEFINANCE(C33,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GOOGLEFINANCE(C33, ""price"")) * 100,
    IF(calc=0, G33, calc)
  ), 
G33)"),"#N/A")</f>
        <v>#N/A</v>
      </c>
      <c r="S33" s="8" t="s">
        <v>15</v>
      </c>
      <c r="T33" s="26" t="str">
        <f>IFERROR(__xludf.DUMMYFUNCTION("IFERROR(TRANSPOSE(QUERY(IFERROR(SORT(GOOGLEFINANCE(C33, ""price"", WORKDAY(TODAY(), -40), TODAY()), 1, FALSE)), ""select Col2 where Col2 is not null limit 22 label Col2 ''"", 0)), """")"),"")</f>
        <v/>
      </c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8"/>
      <c r="AO33" s="28"/>
      <c r="AP33" s="29"/>
      <c r="AQ33" s="29" t="str">
        <f t="shared" ref="AQ33:BL33" si="36">T33/T$2</f>
        <v>#N/A</v>
      </c>
      <c r="AR33" s="29" t="str">
        <f t="shared" si="36"/>
        <v>#DIV/0!</v>
      </c>
      <c r="AS33" s="29" t="str">
        <f t="shared" si="36"/>
        <v>#DIV/0!</v>
      </c>
      <c r="AT33" s="29" t="str">
        <f t="shared" si="36"/>
        <v>#DIV/0!</v>
      </c>
      <c r="AU33" s="29" t="str">
        <f t="shared" si="36"/>
        <v>#DIV/0!</v>
      </c>
      <c r="AV33" s="29" t="str">
        <f t="shared" si="36"/>
        <v>#DIV/0!</v>
      </c>
      <c r="AW33" s="29" t="str">
        <f t="shared" si="36"/>
        <v>#DIV/0!</v>
      </c>
      <c r="AX33" s="29" t="str">
        <f t="shared" si="36"/>
        <v>#DIV/0!</v>
      </c>
      <c r="AY33" s="29" t="str">
        <f t="shared" si="36"/>
        <v>#DIV/0!</v>
      </c>
      <c r="AZ33" s="29" t="str">
        <f t="shared" si="36"/>
        <v>#DIV/0!</v>
      </c>
      <c r="BA33" s="29" t="str">
        <f t="shared" si="36"/>
        <v>#DIV/0!</v>
      </c>
      <c r="BB33" s="29" t="str">
        <f t="shared" si="36"/>
        <v>#DIV/0!</v>
      </c>
      <c r="BC33" s="29" t="str">
        <f t="shared" si="36"/>
        <v>#DIV/0!</v>
      </c>
      <c r="BD33" s="29" t="str">
        <f t="shared" si="36"/>
        <v>#DIV/0!</v>
      </c>
      <c r="BE33" s="29" t="str">
        <f t="shared" si="36"/>
        <v>#DIV/0!</v>
      </c>
      <c r="BF33" s="29" t="str">
        <f t="shared" si="36"/>
        <v>#DIV/0!</v>
      </c>
      <c r="BG33" s="29" t="str">
        <f t="shared" si="36"/>
        <v>#DIV/0!</v>
      </c>
      <c r="BH33" s="29" t="str">
        <f t="shared" si="36"/>
        <v>#DIV/0!</v>
      </c>
      <c r="BI33" s="29" t="str">
        <f t="shared" si="36"/>
        <v>#DIV/0!</v>
      </c>
      <c r="BJ33" s="29" t="str">
        <f t="shared" si="36"/>
        <v>#DIV/0!</v>
      </c>
      <c r="BK33" s="29" t="str">
        <f t="shared" si="36"/>
        <v>#DIV/0!</v>
      </c>
      <c r="BL33" s="29" t="str">
        <f t="shared" si="36"/>
        <v>#DIV/0!</v>
      </c>
      <c r="BM33" s="29" t="str">
        <f t="shared" si="3"/>
        <v>#DIV/0!</v>
      </c>
    </row>
    <row r="34">
      <c r="A34" s="16" t="str">
        <f>IFERROR(__xludf.DUMMYFUNCTION("IFERROR(SPARKLINE(SORT(MAP(TRANSPOSE(AQ34:BL34), LAMBDA(val, IF(ISNUMBER(val), PERCENTRANK(AQ34:BL34, val)+0.01, 0))), SEQUENCE(COLUMNS(AQ34:BL34)), FALSE), {""charttype"",""column""; ""color"",""chartreuse""; ""ymin"", 0; ""ymax"", 1.01; ""highcolor"", "&amp;"""darkgreen""; ""lowcolor"", ""red""}), """")"),"")</f>
        <v/>
      </c>
      <c r="B34" s="17" t="str">
        <f t="shared" si="4"/>
        <v/>
      </c>
      <c r="C34" s="1" t="s">
        <v>207</v>
      </c>
      <c r="D34" s="30" t="str">
        <f>IFERROR(__xludf.DUMMYFUNCTION("IFERROR(GOOGLEFINANCE(C34, ""NAME""))"),"Liberty Live Holdings Inc Series A")</f>
        <v>Liberty Live Holdings Inc Series A</v>
      </c>
      <c r="E34" s="30" t="s">
        <v>62</v>
      </c>
      <c r="F34" s="33" t="str">
        <f>IFERROR(__xludf.DUMMYFUNCTION("( (GOOGLEFINANCE(C34, ""price"") - Q34) / Q34 ) / (R34 / 100)"),"Loading...")</f>
        <v>Loading...</v>
      </c>
      <c r="G34" s="20" t="str">
        <f>IFERROR(__xludf.DUMMYFUNCTION("AVERAGE(ARRAYFORMULA(100 * (QUERY(GOOGLEFINANCE(C34, ""high"", TODAY()-40, TODAY()), ""SELECT Col2 WHERE Col2 IS NOT NULL ORDER BY Col1 DESC LIMIT 20"", 0) / QUERY(GOOGLEFINANCE(C34, ""low"", TODAY()-40, TODAY()), ""SELECT Col2 WHERE Col2 IS NOT NULL ORDE"&amp;"R BY Col1 DESC LIMIT 20"", 0) - 1)))"),"#N/A")</f>
        <v>#N/A</v>
      </c>
      <c r="H34" s="35" t="str">
        <f t="shared" si="6"/>
        <v>Illiquid</v>
      </c>
      <c r="I34" s="36" t="str">
        <f t="shared" si="7"/>
        <v>RVol Required</v>
      </c>
      <c r="J34" s="37">
        <f>IFERROR(__xludf.DUMMYFUNCTION("IFERROR(
  IF(C34="""",, 
    IFERROR(
      GOOGLEFINANCE(C34, ""price"") * GOOGLEFINANCE(C34, ""volumeavg""), 
      GOOGLEFINANCE(C34, ""price"") * AVERAGE(QUERY(GOOGLEFINANCE(C34, ""volume"", TODAY()-40, TODAY()), ""SELECT Col2 WHERE Col2 IS NOT NULL "&amp;"ORDER BY Col1 DESC LIMIT 20"", 0))
    )
  ), 
"""")"),1.40348974E7)</f>
        <v>14034897.4</v>
      </c>
      <c r="K34" s="21">
        <f>IFERROR(__xludf.DUMMYFUNCTION("IFERROR(GOOGLEFINANCE(C34, ""changepct"") / 100, """")"),-0.0166)</f>
        <v>-0.0166</v>
      </c>
      <c r="L34" s="21" t="str">
        <f>IFERROR(__xludf.DUMMYFUNCTION("IFERROR((GOOGLEFINANCE(C34, ""price"") / INDEX(GOOGLEFINANCE(C34, ""price"", TODAY()-7, TODAY()), 2, 2)) - 1, """")"),"")</f>
        <v/>
      </c>
      <c r="M34" s="21" t="str">
        <f>IFERROR(__xludf.DUMMYFUNCTION("IFERROR((GOOGLEFINANCE(C34, ""price"") / INDEX(GOOGLEFINANCE(C34, ""price"", EDATE(TODAY(), -1), TODAY()), 2, 2)) - 1, """")"),"")</f>
        <v/>
      </c>
      <c r="N34" s="21" t="str">
        <f>IFERROR(__xludf.DUMMYFUNCTION("IFERROR((GOOGLEFINANCE(C34, ""price"") / INDEX(GOOGLEFINANCE(C34, ""price"", EDATE(TODAY(), -3), TODAY()), 2, 2)) - 1, """")"),"")</f>
        <v/>
      </c>
      <c r="O34" s="21" t="str">
        <f>IFERROR(__xludf.DUMMYFUNCTION("IFERROR((GOOGLEFINANCE(C34, ""price"") / INDEX(GOOGLEFINANCE(C34, ""price"", EDATE(TODAY(), -6), TODAY()), 2, 2)) - 1, """")"),"")</f>
        <v/>
      </c>
      <c r="P34" s="21" t="str">
        <f>IFERROR(__xludf.DUMMYFUNCTION("IFERROR((GOOGLEFINANCE(C34, ""price"") / INDEX(GOOGLEFINANCE(C34, ""price"", EDATE(TODAY(), -12), TODAY()), 2, 2)) - 1, """")"),"")</f>
        <v/>
      </c>
      <c r="Q34" s="6" t="str">
        <f>IFERROR(__xludf.DUMMYFUNCTION("AVERAGE(QUERY(GOOGLEFINANCE(C34, ""price"", TODAY()-80, TODAY()), ""SELECT Col2 WHERE Col2 IS NOT NULL ORDER BY Col1 DESC LIMIT 50"", 0))"),"#N/A")</f>
        <v>#N/A</v>
      </c>
      <c r="R34" s="24" t="str">
        <f>IFERROR(__xludf.DUMMYFUNCTION("IFERROR(
  LET(
    data, QUERY(GOOGLEFINANCE(C34,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GOOGLEFINANCE(C34, ""price"")) * 100,
    IF(calc=0, G34, calc)
  ), 
G34)"),"#N/A")</f>
        <v>#N/A</v>
      </c>
      <c r="S34" s="8" t="s">
        <v>15</v>
      </c>
      <c r="T34" s="26" t="str">
        <f>IFERROR(__xludf.DUMMYFUNCTION("IFERROR(TRANSPOSE(QUERY(IFERROR(SORT(GOOGLEFINANCE(C34, ""price"", WORKDAY(TODAY(), -40), TODAY()), 1, FALSE)), ""select Col2 where Col2 is not null limit 22 label Col2 ''"", 0)), """")"),"")</f>
        <v/>
      </c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8"/>
      <c r="AO34" s="28"/>
      <c r="AP34" s="29"/>
      <c r="AQ34" s="29" t="str">
        <f t="shared" ref="AQ34:BL34" si="37">T34/T$2</f>
        <v>#N/A</v>
      </c>
      <c r="AR34" s="29" t="str">
        <f t="shared" si="37"/>
        <v>#DIV/0!</v>
      </c>
      <c r="AS34" s="29" t="str">
        <f t="shared" si="37"/>
        <v>#DIV/0!</v>
      </c>
      <c r="AT34" s="29" t="str">
        <f t="shared" si="37"/>
        <v>#DIV/0!</v>
      </c>
      <c r="AU34" s="29" t="str">
        <f t="shared" si="37"/>
        <v>#DIV/0!</v>
      </c>
      <c r="AV34" s="29" t="str">
        <f t="shared" si="37"/>
        <v>#DIV/0!</v>
      </c>
      <c r="AW34" s="29" t="str">
        <f t="shared" si="37"/>
        <v>#DIV/0!</v>
      </c>
      <c r="AX34" s="29" t="str">
        <f t="shared" si="37"/>
        <v>#DIV/0!</v>
      </c>
      <c r="AY34" s="29" t="str">
        <f t="shared" si="37"/>
        <v>#DIV/0!</v>
      </c>
      <c r="AZ34" s="29" t="str">
        <f t="shared" si="37"/>
        <v>#DIV/0!</v>
      </c>
      <c r="BA34" s="29" t="str">
        <f t="shared" si="37"/>
        <v>#DIV/0!</v>
      </c>
      <c r="BB34" s="29" t="str">
        <f t="shared" si="37"/>
        <v>#DIV/0!</v>
      </c>
      <c r="BC34" s="29" t="str">
        <f t="shared" si="37"/>
        <v>#DIV/0!</v>
      </c>
      <c r="BD34" s="29" t="str">
        <f t="shared" si="37"/>
        <v>#DIV/0!</v>
      </c>
      <c r="BE34" s="29" t="str">
        <f t="shared" si="37"/>
        <v>#DIV/0!</v>
      </c>
      <c r="BF34" s="29" t="str">
        <f t="shared" si="37"/>
        <v>#DIV/0!</v>
      </c>
      <c r="BG34" s="29" t="str">
        <f t="shared" si="37"/>
        <v>#DIV/0!</v>
      </c>
      <c r="BH34" s="29" t="str">
        <f t="shared" si="37"/>
        <v>#DIV/0!</v>
      </c>
      <c r="BI34" s="29" t="str">
        <f t="shared" si="37"/>
        <v>#DIV/0!</v>
      </c>
      <c r="BJ34" s="29" t="str">
        <f t="shared" si="37"/>
        <v>#DIV/0!</v>
      </c>
      <c r="BK34" s="29" t="str">
        <f t="shared" si="37"/>
        <v>#DIV/0!</v>
      </c>
      <c r="BL34" s="29" t="str">
        <f t="shared" si="37"/>
        <v>#DIV/0!</v>
      </c>
      <c r="BM34" s="29" t="str">
        <f t="shared" si="3"/>
        <v>#DIV/0!</v>
      </c>
    </row>
    <row r="35">
      <c r="A35" s="16" t="str">
        <f>IFERROR(__xludf.DUMMYFUNCTION("IFERROR(SPARKLINE(SORT(MAP(TRANSPOSE(AQ35:BL35), LAMBDA(val, IF(ISNUMBER(val), PERCENTRANK(AQ35:BL35, val)+0.01, 0))), SEQUENCE(COLUMNS(AQ35:BL35)), FALSE), {""charttype"",""column""; ""color"",""chartreuse""; ""ymin"", 0; ""ymax"", 1.01; ""highcolor"", "&amp;"""darkgreen""; ""lowcolor"", ""red""}), """")"),"")</f>
        <v/>
      </c>
      <c r="B35" s="17" t="str">
        <f t="shared" si="4"/>
        <v/>
      </c>
      <c r="C35" s="1" t="s">
        <v>211</v>
      </c>
      <c r="D35" s="30" t="str">
        <f>IFERROR(__xludf.DUMMYFUNCTION("IFERROR(GOOGLEFINANCE(C35, ""NAME""))"),"Opera Ltd")</f>
        <v>Opera Ltd</v>
      </c>
      <c r="E35" s="30" t="s">
        <v>69</v>
      </c>
      <c r="F35" s="33" t="str">
        <f>IFERROR(__xludf.DUMMYFUNCTION("( (GOOGLEFINANCE(C35, ""price"") - Q35) / Q35 ) / (R35 / 100)"),"Loading...")</f>
        <v>Loading...</v>
      </c>
      <c r="G35" s="20" t="str">
        <f>IFERROR(__xludf.DUMMYFUNCTION("AVERAGE(ARRAYFORMULA(100 * (QUERY(GOOGLEFINANCE(C35, ""high"", TODAY()-40, TODAY()), ""SELECT Col2 WHERE Col2 IS NOT NULL ORDER BY Col1 DESC LIMIT 20"", 0) / QUERY(GOOGLEFINANCE(C35, ""low"", TODAY()-40, TODAY()), ""SELECT Col2 WHERE Col2 IS NOT NULL ORDE"&amp;"R BY Col1 DESC LIMIT 20"", 0) - 1)))"),"#N/A")</f>
        <v>#N/A</v>
      </c>
      <c r="H35" s="35" t="str">
        <f t="shared" si="6"/>
        <v>Illiquid</v>
      </c>
      <c r="I35" s="36" t="str">
        <f t="shared" si="7"/>
        <v>RVol Required</v>
      </c>
      <c r="J35" s="37">
        <f>IFERROR(__xludf.DUMMYFUNCTION("IFERROR(
  IF(C35="""",, 
    IFERROR(
      GOOGLEFINANCE(C35, ""price"") * GOOGLEFINANCE(C35, ""volumeavg""), 
      GOOGLEFINANCE(C35, ""price"") * AVERAGE(QUERY(GOOGLEFINANCE(C35, ""volume"", TODAY()-40, TODAY()), ""SELECT Col2 WHERE Col2 IS NOT NULL "&amp;"ORDER BY Col1 DESC LIMIT 20"", 0))
    )
  ), 
"""")"),5630752.2700000005)</f>
        <v>5630752.27</v>
      </c>
      <c r="K35" s="21">
        <f>IFERROR(__xludf.DUMMYFUNCTION("IFERROR(GOOGLEFINANCE(C35, ""changepct"") / 100, """")"),-0.0154)</f>
        <v>-0.0154</v>
      </c>
      <c r="L35" s="21" t="str">
        <f>IFERROR(__xludf.DUMMYFUNCTION("IFERROR((GOOGLEFINANCE(C35, ""price"") / INDEX(GOOGLEFINANCE(C35, ""price"", TODAY()-7, TODAY()), 2, 2)) - 1, """")"),"")</f>
        <v/>
      </c>
      <c r="M35" s="21" t="str">
        <f>IFERROR(__xludf.DUMMYFUNCTION("IFERROR((GOOGLEFINANCE(C35, ""price"") / INDEX(GOOGLEFINANCE(C35, ""price"", EDATE(TODAY(), -1), TODAY()), 2, 2)) - 1, """")"),"")</f>
        <v/>
      </c>
      <c r="N35" s="21" t="str">
        <f>IFERROR(__xludf.DUMMYFUNCTION("IFERROR((GOOGLEFINANCE(C35, ""price"") / INDEX(GOOGLEFINANCE(C35, ""price"", EDATE(TODAY(), -3), TODAY()), 2, 2)) - 1, """")"),"")</f>
        <v/>
      </c>
      <c r="O35" s="21" t="str">
        <f>IFERROR(__xludf.DUMMYFUNCTION("IFERROR((GOOGLEFINANCE(C35, ""price"") / INDEX(GOOGLEFINANCE(C35, ""price"", EDATE(TODAY(), -6), TODAY()), 2, 2)) - 1, """")"),"")</f>
        <v/>
      </c>
      <c r="P35" s="21" t="str">
        <f>IFERROR(__xludf.DUMMYFUNCTION("IFERROR((GOOGLEFINANCE(C35, ""price"") / INDEX(GOOGLEFINANCE(C35, ""price"", EDATE(TODAY(), -12), TODAY()), 2, 2)) - 1, """")"),"")</f>
        <v/>
      </c>
      <c r="Q35" s="6" t="str">
        <f>IFERROR(__xludf.DUMMYFUNCTION("AVERAGE(QUERY(GOOGLEFINANCE(C35, ""price"", TODAY()-80, TODAY()), ""SELECT Col2 WHERE Col2 IS NOT NULL ORDER BY Col1 DESC LIMIT 50"", 0))"),"#N/A")</f>
        <v>#N/A</v>
      </c>
      <c r="R35" s="24" t="str">
        <f>IFERROR(__xludf.DUMMYFUNCTION("IFERROR(
  LET(
    data, QUERY(GOOGLEFINANCE(C35,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GOOGLEFINANCE(C35, ""price"")) * 100,
    IF(calc=0, G35, calc)
  ), 
G35)"),"#N/A")</f>
        <v>#N/A</v>
      </c>
      <c r="S35" s="8" t="s">
        <v>15</v>
      </c>
      <c r="T35" s="26" t="str">
        <f>IFERROR(__xludf.DUMMYFUNCTION("IFERROR(TRANSPOSE(QUERY(IFERROR(SORT(GOOGLEFINANCE(C35, ""price"", WORKDAY(TODAY(), -40), TODAY()), 1, FALSE)), ""select Col2 where Col2 is not null limit 22 label Col2 ''"", 0)), """")"),"")</f>
        <v/>
      </c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8"/>
      <c r="AO35" s="28"/>
      <c r="AP35" s="29"/>
      <c r="AQ35" s="29" t="str">
        <f t="shared" ref="AQ35:BL35" si="38">T35/T$2</f>
        <v>#N/A</v>
      </c>
      <c r="AR35" s="29" t="str">
        <f t="shared" si="38"/>
        <v>#DIV/0!</v>
      </c>
      <c r="AS35" s="29" t="str">
        <f t="shared" si="38"/>
        <v>#DIV/0!</v>
      </c>
      <c r="AT35" s="29" t="str">
        <f t="shared" si="38"/>
        <v>#DIV/0!</v>
      </c>
      <c r="AU35" s="29" t="str">
        <f t="shared" si="38"/>
        <v>#DIV/0!</v>
      </c>
      <c r="AV35" s="29" t="str">
        <f t="shared" si="38"/>
        <v>#DIV/0!</v>
      </c>
      <c r="AW35" s="29" t="str">
        <f t="shared" si="38"/>
        <v>#DIV/0!</v>
      </c>
      <c r="AX35" s="29" t="str">
        <f t="shared" si="38"/>
        <v>#DIV/0!</v>
      </c>
      <c r="AY35" s="29" t="str">
        <f t="shared" si="38"/>
        <v>#DIV/0!</v>
      </c>
      <c r="AZ35" s="29" t="str">
        <f t="shared" si="38"/>
        <v>#DIV/0!</v>
      </c>
      <c r="BA35" s="29" t="str">
        <f t="shared" si="38"/>
        <v>#DIV/0!</v>
      </c>
      <c r="BB35" s="29" t="str">
        <f t="shared" si="38"/>
        <v>#DIV/0!</v>
      </c>
      <c r="BC35" s="29" t="str">
        <f t="shared" si="38"/>
        <v>#DIV/0!</v>
      </c>
      <c r="BD35" s="29" t="str">
        <f t="shared" si="38"/>
        <v>#DIV/0!</v>
      </c>
      <c r="BE35" s="29" t="str">
        <f t="shared" si="38"/>
        <v>#DIV/0!</v>
      </c>
      <c r="BF35" s="29" t="str">
        <f t="shared" si="38"/>
        <v>#DIV/0!</v>
      </c>
      <c r="BG35" s="29" t="str">
        <f t="shared" si="38"/>
        <v>#DIV/0!</v>
      </c>
      <c r="BH35" s="29" t="str">
        <f t="shared" si="38"/>
        <v>#DIV/0!</v>
      </c>
      <c r="BI35" s="29" t="str">
        <f t="shared" si="38"/>
        <v>#DIV/0!</v>
      </c>
      <c r="BJ35" s="29" t="str">
        <f t="shared" si="38"/>
        <v>#DIV/0!</v>
      </c>
      <c r="BK35" s="29" t="str">
        <f t="shared" si="38"/>
        <v>#DIV/0!</v>
      </c>
      <c r="BL35" s="29" t="str">
        <f t="shared" si="38"/>
        <v>#DIV/0!</v>
      </c>
      <c r="BM35" s="29" t="str">
        <f t="shared" si="3"/>
        <v>#DIV/0!</v>
      </c>
    </row>
    <row r="36">
      <c r="A36" s="16" t="str">
        <f>IFERROR(__xludf.DUMMYFUNCTION("IFERROR(SPARKLINE(SORT(MAP(TRANSPOSE(AQ36:BL36), LAMBDA(val, IF(ISNUMBER(val), PERCENTRANK(AQ36:BL36, val)+0.01, 0))), SEQUENCE(COLUMNS(AQ36:BL36)), FALSE), {""charttype"",""column""; ""color"",""chartreuse""; ""ymin"", 0; ""ymax"", 1.01; ""highcolor"", "&amp;"""darkgreen""; ""lowcolor"", ""red""}), """")"),"")</f>
        <v/>
      </c>
      <c r="B36" s="17" t="str">
        <f t="shared" si="4"/>
        <v/>
      </c>
      <c r="C36" s="1" t="s">
        <v>215</v>
      </c>
      <c r="D36" s="30" t="str">
        <f>IFERROR(__xludf.DUMMYFUNCTION("IFERROR(GOOGLEFINANCE(C36, ""NAME""))"),"Manchester United PLC")</f>
        <v>Manchester United PLC</v>
      </c>
      <c r="E36" s="30" t="s">
        <v>62</v>
      </c>
      <c r="F36" s="33" t="str">
        <f>IFERROR(__xludf.DUMMYFUNCTION("( (GOOGLEFINANCE(C36, ""price"") - Q36) / Q36 ) / (R36 / 100)"),"Loading...")</f>
        <v>Loading...</v>
      </c>
      <c r="G36" s="20" t="str">
        <f>IFERROR(__xludf.DUMMYFUNCTION("AVERAGE(ARRAYFORMULA(100 * (QUERY(GOOGLEFINANCE(C36, ""high"", TODAY()-40, TODAY()), ""SELECT Col2 WHERE Col2 IS NOT NULL ORDER BY Col1 DESC LIMIT 20"", 0) / QUERY(GOOGLEFINANCE(C36, ""low"", TODAY()-40, TODAY()), ""SELECT Col2 WHERE Col2 IS NOT NULL ORDE"&amp;"R BY Col1 DESC LIMIT 20"", 0) - 1)))"),"#N/A")</f>
        <v>#N/A</v>
      </c>
      <c r="H36" s="35" t="str">
        <f t="shared" si="6"/>
        <v>Illiquid</v>
      </c>
      <c r="I36" s="36" t="str">
        <f t="shared" si="7"/>
        <v>RVol Required</v>
      </c>
      <c r="J36" s="37">
        <f>IFERROR(__xludf.DUMMYFUNCTION("IFERROR(
  IF(C36="""",, 
    IFERROR(
      GOOGLEFINANCE(C36, ""price"") * GOOGLEFINANCE(C36, ""volumeavg""), 
      GOOGLEFINANCE(C36, ""price"") * AVERAGE(QUERY(GOOGLEFINANCE(C36, ""volume"", TODAY()-40, TODAY()), ""SELECT Col2 WHERE Col2 IS NOT NULL "&amp;"ORDER BY Col1 DESC LIMIT 20"", 0))
    )
  ), 
"""")"),7906784.55)</f>
        <v>7906784.55</v>
      </c>
      <c r="K36" s="21">
        <f>IFERROR(__xludf.DUMMYFUNCTION("IFERROR(GOOGLEFINANCE(C36, ""changepct"") / 100, """")"),-0.0131)</f>
        <v>-0.0131</v>
      </c>
      <c r="L36" s="21" t="str">
        <f>IFERROR(__xludf.DUMMYFUNCTION("IFERROR((GOOGLEFINANCE(C36, ""price"") / INDEX(GOOGLEFINANCE(C36, ""price"", TODAY()-7, TODAY()), 2, 2)) - 1, """")"),"")</f>
        <v/>
      </c>
      <c r="M36" s="21" t="str">
        <f>IFERROR(__xludf.DUMMYFUNCTION("IFERROR((GOOGLEFINANCE(C36, ""price"") / INDEX(GOOGLEFINANCE(C36, ""price"", EDATE(TODAY(), -1), TODAY()), 2, 2)) - 1, """")"),"")</f>
        <v/>
      </c>
      <c r="N36" s="21" t="str">
        <f>IFERROR(__xludf.DUMMYFUNCTION("IFERROR((GOOGLEFINANCE(C36, ""price"") / INDEX(GOOGLEFINANCE(C36, ""price"", EDATE(TODAY(), -3), TODAY()), 2, 2)) - 1, """")"),"")</f>
        <v/>
      </c>
      <c r="O36" s="21" t="str">
        <f>IFERROR(__xludf.DUMMYFUNCTION("IFERROR((GOOGLEFINANCE(C36, ""price"") / INDEX(GOOGLEFINANCE(C36, ""price"", EDATE(TODAY(), -6), TODAY()), 2, 2)) - 1, """")"),"")</f>
        <v/>
      </c>
      <c r="P36" s="21" t="str">
        <f>IFERROR(__xludf.DUMMYFUNCTION("IFERROR((GOOGLEFINANCE(C36, ""price"") / INDEX(GOOGLEFINANCE(C36, ""price"", EDATE(TODAY(), -12), TODAY()), 2, 2)) - 1, """")"),"")</f>
        <v/>
      </c>
      <c r="Q36" s="6" t="str">
        <f>IFERROR(__xludf.DUMMYFUNCTION("AVERAGE(QUERY(GOOGLEFINANCE(C36, ""price"", TODAY()-80, TODAY()), ""SELECT Col2 WHERE Col2 IS NOT NULL ORDER BY Col1 DESC LIMIT 50"", 0))"),"#N/A")</f>
        <v>#N/A</v>
      </c>
      <c r="R36" s="24" t="str">
        <f>IFERROR(__xludf.DUMMYFUNCTION("IFERROR(
  LET(
    data, QUERY(GOOGLEFINANCE(C36,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GOOGLEFINANCE(C36, ""price"")) * 100,
    IF(calc=0, G36, calc)
  ), 
G36)"),"#N/A")</f>
        <v>#N/A</v>
      </c>
      <c r="S36" s="8" t="s">
        <v>15</v>
      </c>
      <c r="T36" s="26" t="str">
        <f>IFERROR(__xludf.DUMMYFUNCTION("IFERROR(TRANSPOSE(QUERY(IFERROR(SORT(GOOGLEFINANCE(C36, ""price"", WORKDAY(TODAY(), -40), TODAY()), 1, FALSE)), ""select Col2 where Col2 is not null limit 22 label Col2 ''"", 0)), """")"),"")</f>
        <v/>
      </c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8"/>
      <c r="AO36" s="28"/>
      <c r="AP36" s="29"/>
      <c r="AQ36" s="29" t="str">
        <f t="shared" ref="AQ36:BL36" si="39">T36/T$2</f>
        <v>#N/A</v>
      </c>
      <c r="AR36" s="29" t="str">
        <f t="shared" si="39"/>
        <v>#DIV/0!</v>
      </c>
      <c r="AS36" s="29" t="str">
        <f t="shared" si="39"/>
        <v>#DIV/0!</v>
      </c>
      <c r="AT36" s="29" t="str">
        <f t="shared" si="39"/>
        <v>#DIV/0!</v>
      </c>
      <c r="AU36" s="29" t="str">
        <f t="shared" si="39"/>
        <v>#DIV/0!</v>
      </c>
      <c r="AV36" s="29" t="str">
        <f t="shared" si="39"/>
        <v>#DIV/0!</v>
      </c>
      <c r="AW36" s="29" t="str">
        <f t="shared" si="39"/>
        <v>#DIV/0!</v>
      </c>
      <c r="AX36" s="29" t="str">
        <f t="shared" si="39"/>
        <v>#DIV/0!</v>
      </c>
      <c r="AY36" s="29" t="str">
        <f t="shared" si="39"/>
        <v>#DIV/0!</v>
      </c>
      <c r="AZ36" s="29" t="str">
        <f t="shared" si="39"/>
        <v>#DIV/0!</v>
      </c>
      <c r="BA36" s="29" t="str">
        <f t="shared" si="39"/>
        <v>#DIV/0!</v>
      </c>
      <c r="BB36" s="29" t="str">
        <f t="shared" si="39"/>
        <v>#DIV/0!</v>
      </c>
      <c r="BC36" s="29" t="str">
        <f t="shared" si="39"/>
        <v>#DIV/0!</v>
      </c>
      <c r="BD36" s="29" t="str">
        <f t="shared" si="39"/>
        <v>#DIV/0!</v>
      </c>
      <c r="BE36" s="29" t="str">
        <f t="shared" si="39"/>
        <v>#DIV/0!</v>
      </c>
      <c r="BF36" s="29" t="str">
        <f t="shared" si="39"/>
        <v>#DIV/0!</v>
      </c>
      <c r="BG36" s="29" t="str">
        <f t="shared" si="39"/>
        <v>#DIV/0!</v>
      </c>
      <c r="BH36" s="29" t="str">
        <f t="shared" si="39"/>
        <v>#DIV/0!</v>
      </c>
      <c r="BI36" s="29" t="str">
        <f t="shared" si="39"/>
        <v>#DIV/0!</v>
      </c>
      <c r="BJ36" s="29" t="str">
        <f t="shared" si="39"/>
        <v>#DIV/0!</v>
      </c>
      <c r="BK36" s="29" t="str">
        <f t="shared" si="39"/>
        <v>#DIV/0!</v>
      </c>
      <c r="BL36" s="29" t="str">
        <f t="shared" si="39"/>
        <v>#DIV/0!</v>
      </c>
      <c r="BM36" s="29" t="str">
        <f t="shared" si="3"/>
        <v>#DIV/0!</v>
      </c>
    </row>
    <row r="37">
      <c r="A37" s="16" t="str">
        <f>IFERROR(__xludf.DUMMYFUNCTION("IFERROR(SPARKLINE(SORT(MAP(TRANSPOSE(AQ37:BL37), LAMBDA(val, IF(ISNUMBER(val), PERCENTRANK(AQ37:BL37, val)+0.01, 0))), SEQUENCE(COLUMNS(AQ37:BL37)), FALSE), {""charttype"",""column""; ""color"",""chartreuse""; ""ymin"", 0; ""ymax"", 1.01; ""highcolor"", "&amp;"""darkgreen""; ""lowcolor"", ""red""}), """")"),"")</f>
        <v/>
      </c>
      <c r="B37" s="17" t="str">
        <f t="shared" si="4"/>
        <v/>
      </c>
      <c r="C37" s="1" t="s">
        <v>227</v>
      </c>
      <c r="D37" s="30" t="str">
        <f>IFERROR(__xludf.DUMMYFUNCTION("IFERROR(GOOGLEFINANCE(C37, ""NAME""))"),"iHeartMedia Inc Class A")</f>
        <v>iHeartMedia Inc Class A</v>
      </c>
      <c r="E37" s="30" t="s">
        <v>176</v>
      </c>
      <c r="F37" s="33" t="str">
        <f>IFERROR(__xludf.DUMMYFUNCTION("( (GOOGLEFINANCE(C37, ""price"") - Q37) / Q37 ) / (R37 / 100)"),"Loading...")</f>
        <v>Loading...</v>
      </c>
      <c r="G37" s="20" t="str">
        <f>IFERROR(__xludf.DUMMYFUNCTION("AVERAGE(ARRAYFORMULA(100 * (QUERY(GOOGLEFINANCE(C37, ""high"", TODAY()-40, TODAY()), ""SELECT Col2 WHERE Col2 IS NOT NULL ORDER BY Col1 DESC LIMIT 20"", 0) / QUERY(GOOGLEFINANCE(C37, ""low"", TODAY()-40, TODAY()), ""SELECT Col2 WHERE Col2 IS NOT NULL ORDE"&amp;"R BY Col1 DESC LIMIT 20"", 0) - 1)))"),"#N/A")</f>
        <v>#N/A</v>
      </c>
      <c r="H37" s="35" t="str">
        <f t="shared" si="6"/>
        <v>Illiquid</v>
      </c>
      <c r="I37" s="36" t="str">
        <f t="shared" si="7"/>
        <v>RVol Required</v>
      </c>
      <c r="J37" s="37">
        <f>IFERROR(__xludf.DUMMYFUNCTION("IFERROR(
  IF(C37="""",, 
    IFERROR(
      GOOGLEFINANCE(C37, ""price"") * GOOGLEFINANCE(C37, ""volumeavg""), 
      GOOGLEFINANCE(C37, ""price"") * AVERAGE(QUERY(GOOGLEFINANCE(C37, ""volume"", TODAY()-40, TODAY()), ""SELECT Col2 WHERE Col2 IS NOT NULL "&amp;"ORDER BY Col1 DESC LIMIT 20"", 0))
    )
  ), 
"""")"),1128810.3599999999)</f>
        <v>1128810.36</v>
      </c>
      <c r="K37" s="21">
        <f>IFERROR(__xludf.DUMMYFUNCTION("IFERROR(GOOGLEFINANCE(C37, ""changepct"") / 100, """")"),-0.07339999999999999)</f>
        <v>-0.0734</v>
      </c>
      <c r="L37" s="21" t="str">
        <f>IFERROR(__xludf.DUMMYFUNCTION("IFERROR((GOOGLEFINANCE(C37, ""price"") / INDEX(GOOGLEFINANCE(C37, ""price"", TODAY()-7, TODAY()), 2, 2)) - 1, """")"),"")</f>
        <v/>
      </c>
      <c r="M37" s="21" t="str">
        <f>IFERROR(__xludf.DUMMYFUNCTION("IFERROR((GOOGLEFINANCE(C37, ""price"") / INDEX(GOOGLEFINANCE(C37, ""price"", EDATE(TODAY(), -1), TODAY()), 2, 2)) - 1, """")"),"")</f>
        <v/>
      </c>
      <c r="N37" s="21" t="str">
        <f>IFERROR(__xludf.DUMMYFUNCTION("IFERROR((GOOGLEFINANCE(C37, ""price"") / INDEX(GOOGLEFINANCE(C37, ""price"", EDATE(TODAY(), -3), TODAY()), 2, 2)) - 1, """")"),"")</f>
        <v/>
      </c>
      <c r="O37" s="21" t="str">
        <f>IFERROR(__xludf.DUMMYFUNCTION("IFERROR((GOOGLEFINANCE(C37, ""price"") / INDEX(GOOGLEFINANCE(C37, ""price"", EDATE(TODAY(), -6), TODAY()), 2, 2)) - 1, """")"),"")</f>
        <v/>
      </c>
      <c r="P37" s="21" t="str">
        <f>IFERROR(__xludf.DUMMYFUNCTION("IFERROR((GOOGLEFINANCE(C37, ""price"") / INDEX(GOOGLEFINANCE(C37, ""price"", EDATE(TODAY(), -12), TODAY()), 2, 2)) - 1, """")"),"")</f>
        <v/>
      </c>
      <c r="Q37" s="6" t="str">
        <f>IFERROR(__xludf.DUMMYFUNCTION("AVERAGE(QUERY(GOOGLEFINANCE(C37, ""price"", TODAY()-80, TODAY()), ""SELECT Col2 WHERE Col2 IS NOT NULL ORDER BY Col1 DESC LIMIT 50"", 0))"),"#N/A")</f>
        <v>#N/A</v>
      </c>
      <c r="R37" s="24" t="str">
        <f>IFERROR(__xludf.DUMMYFUNCTION("IFERROR(
  LET(
    data, QUERY(GOOGLEFINANCE(C37,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GOOGLEFINANCE(C37, ""price"")) * 100,
    IF(calc=0, G37, calc)
  ), 
G37)"),"#N/A")</f>
        <v>#N/A</v>
      </c>
      <c r="S37" s="8" t="s">
        <v>15</v>
      </c>
      <c r="T37" s="26" t="str">
        <f>IFERROR(__xludf.DUMMYFUNCTION("IFERROR(TRANSPOSE(QUERY(IFERROR(SORT(GOOGLEFINANCE(C37, ""price"", WORKDAY(TODAY(), -40), TODAY()), 1, FALSE)), ""select Col2 where Col2 is not null limit 22 label Col2 ''"", 0)), """")"),"")</f>
        <v/>
      </c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8"/>
      <c r="AO37" s="28"/>
      <c r="AP37" s="29"/>
      <c r="AQ37" s="29" t="str">
        <f t="shared" ref="AQ37:BL37" si="40">T37/T$2</f>
        <v>#N/A</v>
      </c>
      <c r="AR37" s="29" t="str">
        <f t="shared" si="40"/>
        <v>#DIV/0!</v>
      </c>
      <c r="AS37" s="29" t="str">
        <f t="shared" si="40"/>
        <v>#DIV/0!</v>
      </c>
      <c r="AT37" s="29" t="str">
        <f t="shared" si="40"/>
        <v>#DIV/0!</v>
      </c>
      <c r="AU37" s="29" t="str">
        <f t="shared" si="40"/>
        <v>#DIV/0!</v>
      </c>
      <c r="AV37" s="29" t="str">
        <f t="shared" si="40"/>
        <v>#DIV/0!</v>
      </c>
      <c r="AW37" s="29" t="str">
        <f t="shared" si="40"/>
        <v>#DIV/0!</v>
      </c>
      <c r="AX37" s="29" t="str">
        <f t="shared" si="40"/>
        <v>#DIV/0!</v>
      </c>
      <c r="AY37" s="29" t="str">
        <f t="shared" si="40"/>
        <v>#DIV/0!</v>
      </c>
      <c r="AZ37" s="29" t="str">
        <f t="shared" si="40"/>
        <v>#DIV/0!</v>
      </c>
      <c r="BA37" s="29" t="str">
        <f t="shared" si="40"/>
        <v>#DIV/0!</v>
      </c>
      <c r="BB37" s="29" t="str">
        <f t="shared" si="40"/>
        <v>#DIV/0!</v>
      </c>
      <c r="BC37" s="29" t="str">
        <f t="shared" si="40"/>
        <v>#DIV/0!</v>
      </c>
      <c r="BD37" s="29" t="str">
        <f t="shared" si="40"/>
        <v>#DIV/0!</v>
      </c>
      <c r="BE37" s="29" t="str">
        <f t="shared" si="40"/>
        <v>#DIV/0!</v>
      </c>
      <c r="BF37" s="29" t="str">
        <f t="shared" si="40"/>
        <v>#DIV/0!</v>
      </c>
      <c r="BG37" s="29" t="str">
        <f t="shared" si="40"/>
        <v>#DIV/0!</v>
      </c>
      <c r="BH37" s="29" t="str">
        <f t="shared" si="40"/>
        <v>#DIV/0!</v>
      </c>
      <c r="BI37" s="29" t="str">
        <f t="shared" si="40"/>
        <v>#DIV/0!</v>
      </c>
      <c r="BJ37" s="29" t="str">
        <f t="shared" si="40"/>
        <v>#DIV/0!</v>
      </c>
      <c r="BK37" s="29" t="str">
        <f t="shared" si="40"/>
        <v>#DIV/0!</v>
      </c>
      <c r="BL37" s="29" t="str">
        <f t="shared" si="40"/>
        <v>#DIV/0!</v>
      </c>
      <c r="BM37" s="29" t="str">
        <f t="shared" si="3"/>
        <v>#DIV/0!</v>
      </c>
    </row>
    <row r="38">
      <c r="A38" s="16" t="str">
        <f>IFERROR(__xludf.DUMMYFUNCTION("IFERROR(SPARKLINE(SORT(MAP(TRANSPOSE(AQ38:BL38), LAMBDA(val, IF(ISNUMBER(val), PERCENTRANK(AQ38:BL38, val)+0.01, 0))), SEQUENCE(COLUMNS(AQ38:BL38)), FALSE), {""charttype"",""column""; ""color"",""chartreuse""; ""ymin"", 0; ""ymax"", 1.01; ""highcolor"", "&amp;"""darkgreen""; ""lowcolor"", ""red""}), """")"),"")</f>
        <v/>
      </c>
      <c r="B38" s="17" t="str">
        <f t="shared" si="4"/>
        <v/>
      </c>
      <c r="C38" s="1" t="s">
        <v>273</v>
      </c>
      <c r="D38" s="30" t="str">
        <f>IFERROR(__xludf.DUMMYFUNCTION("IFERROR(GOOGLEFINANCE(C38, ""NAME""))"),"Sohu.com Ltd - ADR")</f>
        <v>Sohu.com Ltd - ADR</v>
      </c>
      <c r="E38" s="30" t="s">
        <v>94</v>
      </c>
      <c r="F38" s="33" t="str">
        <f>IFERROR(__xludf.DUMMYFUNCTION("( (GOOGLEFINANCE(C38, ""price"") - Q38) / Q38 ) / (R38 / 100)"),"Loading...")</f>
        <v>Loading...</v>
      </c>
      <c r="G38" s="20" t="str">
        <f>IFERROR(__xludf.DUMMYFUNCTION("AVERAGE(ARRAYFORMULA(100 * (QUERY(GOOGLEFINANCE(C38, ""high"", TODAY()-40, TODAY()), ""SELECT Col2 WHERE Col2 IS NOT NULL ORDER BY Col1 DESC LIMIT 20"", 0) / QUERY(GOOGLEFINANCE(C38, ""low"", TODAY()-40, TODAY()), ""SELECT Col2 WHERE Col2 IS NOT NULL ORDE"&amp;"R BY Col1 DESC LIMIT 20"", 0) - 1)))"),"#N/A")</f>
        <v>#N/A</v>
      </c>
      <c r="H38" s="35" t="str">
        <f t="shared" si="6"/>
        <v>Illiquid</v>
      </c>
      <c r="I38" s="36" t="str">
        <f t="shared" si="7"/>
        <v>RVol Required</v>
      </c>
      <c r="J38" s="37">
        <f>IFERROR(__xludf.DUMMYFUNCTION("IFERROR(
  IF(C38="""",, 
    IFERROR(
      GOOGLEFINANCE(C38, ""price"") * GOOGLEFINANCE(C38, ""volumeavg""), 
      GOOGLEFINANCE(C38, ""price"") * AVERAGE(QUERY(GOOGLEFINANCE(C38, ""volume"", TODAY()-40, TODAY()), ""SELECT Col2 WHERE Col2 IS NOT NULL "&amp;"ORDER BY Col1 DESC LIMIT 20"", 0))
    )
  ), 
"""")"),1026260.25)</f>
        <v>1026260.25</v>
      </c>
      <c r="K38" s="21">
        <f>IFERROR(__xludf.DUMMYFUNCTION("IFERROR(GOOGLEFINANCE(C38, ""changepct"") / 100, """")"),0.0111)</f>
        <v>0.0111</v>
      </c>
      <c r="L38" s="21" t="str">
        <f>IFERROR(__xludf.DUMMYFUNCTION("IFERROR((GOOGLEFINANCE(C38, ""price"") / INDEX(GOOGLEFINANCE(C38, ""price"", TODAY()-7, TODAY()), 2, 2)) - 1, """")"),"")</f>
        <v/>
      </c>
      <c r="M38" s="21" t="str">
        <f>IFERROR(__xludf.DUMMYFUNCTION("IFERROR((GOOGLEFINANCE(C38, ""price"") / INDEX(GOOGLEFINANCE(C38, ""price"", EDATE(TODAY(), -1), TODAY()), 2, 2)) - 1, """")"),"")</f>
        <v/>
      </c>
      <c r="N38" s="21" t="str">
        <f>IFERROR(__xludf.DUMMYFUNCTION("IFERROR((GOOGLEFINANCE(C38, ""price"") / INDEX(GOOGLEFINANCE(C38, ""price"", EDATE(TODAY(), -3), TODAY()), 2, 2)) - 1, """")"),"")</f>
        <v/>
      </c>
      <c r="O38" s="21" t="str">
        <f>IFERROR(__xludf.DUMMYFUNCTION("IFERROR((GOOGLEFINANCE(C38, ""price"") / INDEX(GOOGLEFINANCE(C38, ""price"", EDATE(TODAY(), -6), TODAY()), 2, 2)) - 1, """")"),"")</f>
        <v/>
      </c>
      <c r="P38" s="21" t="str">
        <f>IFERROR(__xludf.DUMMYFUNCTION("IFERROR((GOOGLEFINANCE(C38, ""price"") / INDEX(GOOGLEFINANCE(C38, ""price"", EDATE(TODAY(), -12), TODAY()), 2, 2)) - 1, """")"),"")</f>
        <v/>
      </c>
      <c r="Q38" s="6" t="str">
        <f>IFERROR(__xludf.DUMMYFUNCTION("AVERAGE(QUERY(GOOGLEFINANCE(C38, ""price"", TODAY()-80, TODAY()), ""SELECT Col2 WHERE Col2 IS NOT NULL ORDER BY Col1 DESC LIMIT 50"", 0))"),"#N/A")</f>
        <v>#N/A</v>
      </c>
      <c r="R38" s="24" t="str">
        <f>IFERROR(__xludf.DUMMYFUNCTION("IFERROR(
  LET(
    data, QUERY(GOOGLEFINANCE(C38,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GOOGLEFINANCE(C38, ""price"")) * 100,
    IF(calc=0, G38, calc)
  ), 
G38)"),"#N/A")</f>
        <v>#N/A</v>
      </c>
      <c r="S38" s="8" t="s">
        <v>15</v>
      </c>
      <c r="T38" s="26" t="str">
        <f>IFERROR(__xludf.DUMMYFUNCTION("IFERROR(TRANSPOSE(QUERY(IFERROR(SORT(GOOGLEFINANCE(C38, ""price"", WORKDAY(TODAY(), -40), TODAY()), 1, FALSE)), ""select Col2 where Col2 is not null limit 22 label Col2 ''"", 0)), """")"),"")</f>
        <v/>
      </c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8"/>
      <c r="AO38" s="28"/>
      <c r="AP38" s="29"/>
      <c r="AQ38" s="29" t="str">
        <f t="shared" ref="AQ38:BL38" si="41">T38/T$2</f>
        <v>#N/A</v>
      </c>
      <c r="AR38" s="29" t="str">
        <f t="shared" si="41"/>
        <v>#DIV/0!</v>
      </c>
      <c r="AS38" s="29" t="str">
        <f t="shared" si="41"/>
        <v>#DIV/0!</v>
      </c>
      <c r="AT38" s="29" t="str">
        <f t="shared" si="41"/>
        <v>#DIV/0!</v>
      </c>
      <c r="AU38" s="29" t="str">
        <f t="shared" si="41"/>
        <v>#DIV/0!</v>
      </c>
      <c r="AV38" s="29" t="str">
        <f t="shared" si="41"/>
        <v>#DIV/0!</v>
      </c>
      <c r="AW38" s="29" t="str">
        <f t="shared" si="41"/>
        <v>#DIV/0!</v>
      </c>
      <c r="AX38" s="29" t="str">
        <f t="shared" si="41"/>
        <v>#DIV/0!</v>
      </c>
      <c r="AY38" s="29" t="str">
        <f t="shared" si="41"/>
        <v>#DIV/0!</v>
      </c>
      <c r="AZ38" s="29" t="str">
        <f t="shared" si="41"/>
        <v>#DIV/0!</v>
      </c>
      <c r="BA38" s="29" t="str">
        <f t="shared" si="41"/>
        <v>#DIV/0!</v>
      </c>
      <c r="BB38" s="29" t="str">
        <f t="shared" si="41"/>
        <v>#DIV/0!</v>
      </c>
      <c r="BC38" s="29" t="str">
        <f t="shared" si="41"/>
        <v>#DIV/0!</v>
      </c>
      <c r="BD38" s="29" t="str">
        <f t="shared" si="41"/>
        <v>#DIV/0!</v>
      </c>
      <c r="BE38" s="29" t="str">
        <f t="shared" si="41"/>
        <v>#DIV/0!</v>
      </c>
      <c r="BF38" s="29" t="str">
        <f t="shared" si="41"/>
        <v>#DIV/0!</v>
      </c>
      <c r="BG38" s="29" t="str">
        <f t="shared" si="41"/>
        <v>#DIV/0!</v>
      </c>
      <c r="BH38" s="29" t="str">
        <f t="shared" si="41"/>
        <v>#DIV/0!</v>
      </c>
      <c r="BI38" s="29" t="str">
        <f t="shared" si="41"/>
        <v>#DIV/0!</v>
      </c>
      <c r="BJ38" s="29" t="str">
        <f t="shared" si="41"/>
        <v>#DIV/0!</v>
      </c>
      <c r="BK38" s="29" t="str">
        <f t="shared" si="41"/>
        <v>#DIV/0!</v>
      </c>
      <c r="BL38" s="29" t="str">
        <f t="shared" si="41"/>
        <v>#DIV/0!</v>
      </c>
      <c r="BM38" s="29" t="str">
        <f t="shared" si="3"/>
        <v>#DIV/0!</v>
      </c>
    </row>
    <row r="39">
      <c r="A39" s="16" t="str">
        <f>IFERROR(__xludf.DUMMYFUNCTION("IFERROR(SPARKLINE(SORT(MAP(TRANSPOSE(AQ39:BL39), LAMBDA(val, IF(ISNUMBER(val), PERCENTRANK(AQ39:BL39, val)+0.01, 0))), SEQUENCE(COLUMNS(AQ39:BL39)), FALSE), {""charttype"",""column""; ""color"",""chartreuse""; ""ymin"", 0; ""ymax"", 1.01; ""highcolor"", "&amp;"""darkgreen""; ""lowcolor"", ""red""}), """")"),"")</f>
        <v/>
      </c>
      <c r="B39" s="17" t="str">
        <f t="shared" si="4"/>
        <v/>
      </c>
      <c r="C39" s="1" t="s">
        <v>278</v>
      </c>
      <c r="D39" s="30" t="str">
        <f>IFERROR(__xludf.DUMMYFUNCTION("IFERROR(GOOGLEFINANCE(C39, ""NAME""))"),"Walt Disney Co")</f>
        <v>Walt Disney Co</v>
      </c>
      <c r="E39" s="30" t="s">
        <v>62</v>
      </c>
      <c r="F39" s="33" t="str">
        <f>IFERROR(__xludf.DUMMYFUNCTION("( (GOOGLEFINANCE(C39, ""price"") - Q39) / Q39 ) / (R39 / 100)"),"Loading...")</f>
        <v>Loading...</v>
      </c>
      <c r="G39" s="20" t="str">
        <f>IFERROR(__xludf.DUMMYFUNCTION("AVERAGE(ARRAYFORMULA(100 * (QUERY(GOOGLEFINANCE(C39, ""high"", TODAY()-40, TODAY()), ""SELECT Col2 WHERE Col2 IS NOT NULL ORDER BY Col1 DESC LIMIT 20"", 0) / QUERY(GOOGLEFINANCE(C39, ""low"", TODAY()-40, TODAY()), ""SELECT Col2 WHERE Col2 IS NOT NULL ORDE"&amp;"R BY Col1 DESC LIMIT 20"", 0) - 1)))"),"#N/A")</f>
        <v>#N/A</v>
      </c>
      <c r="H39" s="35" t="str">
        <f t="shared" si="6"/>
        <v>Liquid</v>
      </c>
      <c r="I39" s="36" t="str">
        <f t="shared" si="7"/>
        <v>No RVol Required</v>
      </c>
      <c r="J39" s="37">
        <f>IFERROR(__xludf.DUMMYFUNCTION("IFERROR(
  IF(C39="""",, 
    IFERROR(
      GOOGLEFINANCE(C39, ""price"") * GOOGLEFINANCE(C39, ""volumeavg""), 
      GOOGLEFINANCE(C39, ""price"") * AVERAGE(QUERY(GOOGLEFINANCE(C39, ""volume"", TODAY()-40, TODAY()), ""SELECT Col2 WHERE Col2 IS NOT NULL "&amp;"ORDER BY Col1 DESC LIMIT 20"", 0))
    )
  ), 
"""")"),9.5130834021E8)</f>
        <v>951308340.2</v>
      </c>
      <c r="K39" s="21">
        <f>IFERROR(__xludf.DUMMYFUNCTION("IFERROR(GOOGLEFINANCE(C39, ""changepct"") / 100, """")"),-8.0E-4)</f>
        <v>-0.0008</v>
      </c>
      <c r="L39" s="21" t="str">
        <f>IFERROR(__xludf.DUMMYFUNCTION("IFERROR((GOOGLEFINANCE(C39, ""price"") / INDEX(GOOGLEFINANCE(C39, ""price"", TODAY()-7, TODAY()), 2, 2)) - 1, """")"),"")</f>
        <v/>
      </c>
      <c r="M39" s="21" t="str">
        <f>IFERROR(__xludf.DUMMYFUNCTION("IFERROR((GOOGLEFINANCE(C39, ""price"") / INDEX(GOOGLEFINANCE(C39, ""price"", EDATE(TODAY(), -1), TODAY()), 2, 2)) - 1, """")"),"")</f>
        <v/>
      </c>
      <c r="N39" s="21" t="str">
        <f>IFERROR(__xludf.DUMMYFUNCTION("IFERROR((GOOGLEFINANCE(C39, ""price"") / INDEX(GOOGLEFINANCE(C39, ""price"", EDATE(TODAY(), -3), TODAY()), 2, 2)) - 1, """")"),"")</f>
        <v/>
      </c>
      <c r="O39" s="21" t="str">
        <f>IFERROR(__xludf.DUMMYFUNCTION("IFERROR((GOOGLEFINANCE(C39, ""price"") / INDEX(GOOGLEFINANCE(C39, ""price"", EDATE(TODAY(), -6), TODAY()), 2, 2)) - 1, """")"),"")</f>
        <v/>
      </c>
      <c r="P39" s="21" t="str">
        <f>IFERROR(__xludf.DUMMYFUNCTION("IFERROR((GOOGLEFINANCE(C39, ""price"") / INDEX(GOOGLEFINANCE(C39, ""price"", EDATE(TODAY(), -12), TODAY()), 2, 2)) - 1, """")"),"")</f>
        <v/>
      </c>
      <c r="Q39" s="6" t="str">
        <f>IFERROR(__xludf.DUMMYFUNCTION("AVERAGE(QUERY(GOOGLEFINANCE(C39, ""price"", TODAY()-80, TODAY()), ""SELECT Col2 WHERE Col2 IS NOT NULL ORDER BY Col1 DESC LIMIT 50"", 0))"),"#N/A")</f>
        <v>#N/A</v>
      </c>
      <c r="R39" s="24" t="str">
        <f>IFERROR(__xludf.DUMMYFUNCTION("IFERROR(
  LET(
    data, QUERY(GOOGLEFINANCE(C39,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GOOGLEFINANCE(C39, ""price"")) * 100,
    IF(calc=0, G39, calc)
  ), 
G39)"),"#N/A")</f>
        <v>#N/A</v>
      </c>
      <c r="S39" s="8" t="s">
        <v>15</v>
      </c>
      <c r="T39" s="26" t="str">
        <f>IFERROR(__xludf.DUMMYFUNCTION("IFERROR(TRANSPOSE(QUERY(IFERROR(SORT(GOOGLEFINANCE(C39, ""price"", WORKDAY(TODAY(), -40), TODAY()), 1, FALSE)), ""select Col2 where Col2 is not null limit 22 label Col2 ''"", 0)), """")"),"")</f>
        <v/>
      </c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8"/>
      <c r="AO39" s="28"/>
      <c r="AP39" s="29"/>
      <c r="AQ39" s="29" t="str">
        <f t="shared" ref="AQ39:BL39" si="42">T39/T$2</f>
        <v>#N/A</v>
      </c>
      <c r="AR39" s="29" t="str">
        <f t="shared" si="42"/>
        <v>#DIV/0!</v>
      </c>
      <c r="AS39" s="29" t="str">
        <f t="shared" si="42"/>
        <v>#DIV/0!</v>
      </c>
      <c r="AT39" s="29" t="str">
        <f t="shared" si="42"/>
        <v>#DIV/0!</v>
      </c>
      <c r="AU39" s="29" t="str">
        <f t="shared" si="42"/>
        <v>#DIV/0!</v>
      </c>
      <c r="AV39" s="29" t="str">
        <f t="shared" si="42"/>
        <v>#DIV/0!</v>
      </c>
      <c r="AW39" s="29" t="str">
        <f t="shared" si="42"/>
        <v>#DIV/0!</v>
      </c>
      <c r="AX39" s="29" t="str">
        <f t="shared" si="42"/>
        <v>#DIV/0!</v>
      </c>
      <c r="AY39" s="29" t="str">
        <f t="shared" si="42"/>
        <v>#DIV/0!</v>
      </c>
      <c r="AZ39" s="29" t="str">
        <f t="shared" si="42"/>
        <v>#DIV/0!</v>
      </c>
      <c r="BA39" s="29" t="str">
        <f t="shared" si="42"/>
        <v>#DIV/0!</v>
      </c>
      <c r="BB39" s="29" t="str">
        <f t="shared" si="42"/>
        <v>#DIV/0!</v>
      </c>
      <c r="BC39" s="29" t="str">
        <f t="shared" si="42"/>
        <v>#DIV/0!</v>
      </c>
      <c r="BD39" s="29" t="str">
        <f t="shared" si="42"/>
        <v>#DIV/0!</v>
      </c>
      <c r="BE39" s="29" t="str">
        <f t="shared" si="42"/>
        <v>#DIV/0!</v>
      </c>
      <c r="BF39" s="29" t="str">
        <f t="shared" si="42"/>
        <v>#DIV/0!</v>
      </c>
      <c r="BG39" s="29" t="str">
        <f t="shared" si="42"/>
        <v>#DIV/0!</v>
      </c>
      <c r="BH39" s="29" t="str">
        <f t="shared" si="42"/>
        <v>#DIV/0!</v>
      </c>
      <c r="BI39" s="29" t="str">
        <f t="shared" si="42"/>
        <v>#DIV/0!</v>
      </c>
      <c r="BJ39" s="29" t="str">
        <f t="shared" si="42"/>
        <v>#DIV/0!</v>
      </c>
      <c r="BK39" s="29" t="str">
        <f t="shared" si="42"/>
        <v>#DIV/0!</v>
      </c>
      <c r="BL39" s="29" t="str">
        <f t="shared" si="42"/>
        <v>#DIV/0!</v>
      </c>
      <c r="BM39" s="29" t="str">
        <f t="shared" si="3"/>
        <v>#DIV/0!</v>
      </c>
    </row>
    <row r="40">
      <c r="A40" s="16" t="str">
        <f>IFERROR(__xludf.DUMMYFUNCTION("IFERROR(SPARKLINE(SORT(MAP(TRANSPOSE(AQ40:BL40), LAMBDA(val, IF(ISNUMBER(val), PERCENTRANK(AQ40:BL40, val)+0.01, 0))), SEQUENCE(COLUMNS(AQ40:BL40)), FALSE), {""charttype"",""column""; ""color"",""chartreuse""; ""ymin"", 0; ""ymax"", 1.01; ""highcolor"", "&amp;"""darkgreen""; ""lowcolor"", ""red""}), """")"),"")</f>
        <v/>
      </c>
      <c r="B40" s="17" t="str">
        <f t="shared" si="4"/>
        <v/>
      </c>
      <c r="C40" s="1" t="s">
        <v>282</v>
      </c>
      <c r="D40" s="30" t="str">
        <f>IFERROR(__xludf.DUMMYFUNCTION("IFERROR(GOOGLEFINANCE(C40, ""NAME""))"),"Liberty Media Corporation (Nevada) Series C")</f>
        <v>Liberty Media Corporation (Nevada) Series C</v>
      </c>
      <c r="E40" s="30" t="s">
        <v>62</v>
      </c>
      <c r="F40" s="33" t="str">
        <f>IFERROR(__xludf.DUMMYFUNCTION("( (GOOGLEFINANCE(C40, ""price"") - Q40) / Q40 ) / (R40 / 100)"),"Loading...")</f>
        <v>Loading...</v>
      </c>
      <c r="G40" s="20" t="str">
        <f>IFERROR(__xludf.DUMMYFUNCTION("AVERAGE(ARRAYFORMULA(100 * (QUERY(GOOGLEFINANCE(C40, ""high"", TODAY()-40, TODAY()), ""SELECT Col2 WHERE Col2 IS NOT NULL ORDER BY Col1 DESC LIMIT 20"", 0) / QUERY(GOOGLEFINANCE(C40, ""low"", TODAY()-40, TODAY()), ""SELECT Col2 WHERE Col2 IS NOT NULL ORDE"&amp;"R BY Col1 DESC LIMIT 20"", 0) - 1)))"),"#N/A")</f>
        <v>#N/A</v>
      </c>
      <c r="H40" s="35" t="str">
        <f t="shared" si="6"/>
        <v>Liquid</v>
      </c>
      <c r="I40" s="36" t="str">
        <f t="shared" si="7"/>
        <v>RVol Required</v>
      </c>
      <c r="J40" s="37">
        <f>IFERROR(__xludf.DUMMYFUNCTION("IFERROR(
  IF(C40="""",, 
    IFERROR(
      GOOGLEFINANCE(C40, ""price"") * GOOGLEFINANCE(C40, ""volumeavg""), 
      GOOGLEFINANCE(C40, ""price"") * AVERAGE(QUERY(GOOGLEFINANCE(C40, ""volume"", TODAY()-40, TODAY()), ""SELECT Col2 WHERE Col2 IS NOT NULL "&amp;"ORDER BY Col1 DESC LIMIT 20"", 0))
    )
  ), 
"""")"),2.1505796739000002E8)</f>
        <v>215057967.4</v>
      </c>
      <c r="K40" s="21">
        <f>IFERROR(__xludf.DUMMYFUNCTION("IFERROR(GOOGLEFINANCE(C40, ""changepct"") / 100, """")"),0.0)</f>
        <v>0</v>
      </c>
      <c r="L40" s="21" t="str">
        <f>IFERROR(__xludf.DUMMYFUNCTION("IFERROR((GOOGLEFINANCE(C40, ""price"") / INDEX(GOOGLEFINANCE(C40, ""price"", TODAY()-7, TODAY()), 2, 2)) - 1, """")"),"")</f>
        <v/>
      </c>
      <c r="M40" s="21" t="str">
        <f>IFERROR(__xludf.DUMMYFUNCTION("IFERROR((GOOGLEFINANCE(C40, ""price"") / INDEX(GOOGLEFINANCE(C40, ""price"", EDATE(TODAY(), -1), TODAY()), 2, 2)) - 1, """")"),"")</f>
        <v/>
      </c>
      <c r="N40" s="21" t="str">
        <f>IFERROR(__xludf.DUMMYFUNCTION("IFERROR((GOOGLEFINANCE(C40, ""price"") / INDEX(GOOGLEFINANCE(C40, ""price"", EDATE(TODAY(), -3), TODAY()), 2, 2)) - 1, """")"),"")</f>
        <v/>
      </c>
      <c r="O40" s="21" t="str">
        <f>IFERROR(__xludf.DUMMYFUNCTION("IFERROR((GOOGLEFINANCE(C40, ""price"") / INDEX(GOOGLEFINANCE(C40, ""price"", EDATE(TODAY(), -6), TODAY()), 2, 2)) - 1, """")"),"")</f>
        <v/>
      </c>
      <c r="P40" s="21" t="str">
        <f>IFERROR(__xludf.DUMMYFUNCTION("IFERROR((GOOGLEFINANCE(C40, ""price"") / INDEX(GOOGLEFINANCE(C40, ""price"", EDATE(TODAY(), -12), TODAY()), 2, 2)) - 1, """")"),"")</f>
        <v/>
      </c>
      <c r="Q40" s="6" t="str">
        <f>IFERROR(__xludf.DUMMYFUNCTION("AVERAGE(QUERY(GOOGLEFINANCE(C40, ""price"", TODAY()-80, TODAY()), ""SELECT Col2 WHERE Col2 IS NOT NULL ORDER BY Col1 DESC LIMIT 50"", 0))"),"#N/A")</f>
        <v>#N/A</v>
      </c>
      <c r="R40" s="24" t="str">
        <f>IFERROR(__xludf.DUMMYFUNCTION("IFERROR(
  LET(
    data, QUERY(GOOGLEFINANCE(C40,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GOOGLEFINANCE(C40, ""price"")) * 100,
    IF(calc=0, G40, calc)
  ), 
G40)"),"#N/A")</f>
        <v>#N/A</v>
      </c>
      <c r="S40" s="8" t="s">
        <v>15</v>
      </c>
      <c r="T40" s="26" t="str">
        <f>IFERROR(__xludf.DUMMYFUNCTION("IFERROR(TRANSPOSE(QUERY(IFERROR(SORT(GOOGLEFINANCE(C40, ""price"", WORKDAY(TODAY(), -40), TODAY()), 1, FALSE)), ""select Col2 where Col2 is not null limit 22 label Col2 ''"", 0)), """")"),"")</f>
        <v/>
      </c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8"/>
      <c r="AO40" s="28"/>
      <c r="AP40" s="29"/>
      <c r="AQ40" s="29" t="str">
        <f t="shared" ref="AQ40:BL40" si="43">T40/T$2</f>
        <v>#N/A</v>
      </c>
      <c r="AR40" s="29" t="str">
        <f t="shared" si="43"/>
        <v>#DIV/0!</v>
      </c>
      <c r="AS40" s="29" t="str">
        <f t="shared" si="43"/>
        <v>#DIV/0!</v>
      </c>
      <c r="AT40" s="29" t="str">
        <f t="shared" si="43"/>
        <v>#DIV/0!</v>
      </c>
      <c r="AU40" s="29" t="str">
        <f t="shared" si="43"/>
        <v>#DIV/0!</v>
      </c>
      <c r="AV40" s="29" t="str">
        <f t="shared" si="43"/>
        <v>#DIV/0!</v>
      </c>
      <c r="AW40" s="29" t="str">
        <f t="shared" si="43"/>
        <v>#DIV/0!</v>
      </c>
      <c r="AX40" s="29" t="str">
        <f t="shared" si="43"/>
        <v>#DIV/0!</v>
      </c>
      <c r="AY40" s="29" t="str">
        <f t="shared" si="43"/>
        <v>#DIV/0!</v>
      </c>
      <c r="AZ40" s="29" t="str">
        <f t="shared" si="43"/>
        <v>#DIV/0!</v>
      </c>
      <c r="BA40" s="29" t="str">
        <f t="shared" si="43"/>
        <v>#DIV/0!</v>
      </c>
      <c r="BB40" s="29" t="str">
        <f t="shared" si="43"/>
        <v>#DIV/0!</v>
      </c>
      <c r="BC40" s="29" t="str">
        <f t="shared" si="43"/>
        <v>#DIV/0!</v>
      </c>
      <c r="BD40" s="29" t="str">
        <f t="shared" si="43"/>
        <v>#DIV/0!</v>
      </c>
      <c r="BE40" s="29" t="str">
        <f t="shared" si="43"/>
        <v>#DIV/0!</v>
      </c>
      <c r="BF40" s="29" t="str">
        <f t="shared" si="43"/>
        <v>#DIV/0!</v>
      </c>
      <c r="BG40" s="29" t="str">
        <f t="shared" si="43"/>
        <v>#DIV/0!</v>
      </c>
      <c r="BH40" s="29" t="str">
        <f t="shared" si="43"/>
        <v>#DIV/0!</v>
      </c>
      <c r="BI40" s="29" t="str">
        <f t="shared" si="43"/>
        <v>#DIV/0!</v>
      </c>
      <c r="BJ40" s="29" t="str">
        <f t="shared" si="43"/>
        <v>#DIV/0!</v>
      </c>
      <c r="BK40" s="29" t="str">
        <f t="shared" si="43"/>
        <v>#DIV/0!</v>
      </c>
      <c r="BL40" s="29" t="str">
        <f t="shared" si="43"/>
        <v>#DIV/0!</v>
      </c>
      <c r="BM40" s="29" t="str">
        <f t="shared" si="3"/>
        <v>#DIV/0!</v>
      </c>
    </row>
    <row r="41">
      <c r="A41" s="16" t="str">
        <f>IFERROR(__xludf.DUMMYFUNCTION("IFERROR(SPARKLINE(SORT(MAP(TRANSPOSE(AQ41:BL41), LAMBDA(val, IF(ISNUMBER(val), PERCENTRANK(AQ41:BL41, val)+0.01, 0))), SEQUENCE(COLUMNS(AQ41:BL41)), FALSE), {""charttype"",""column""; ""color"",""chartreuse""; ""ymin"", 0; ""ymax"", 1.01; ""highcolor"", "&amp;"""darkgreen""; ""lowcolor"", ""red""}), """")"),"")</f>
        <v/>
      </c>
      <c r="B41" s="17" t="str">
        <f t="shared" si="4"/>
        <v/>
      </c>
      <c r="C41" s="1" t="s">
        <v>285</v>
      </c>
      <c r="D41" s="30" t="str">
        <f>IFERROR(__xludf.DUMMYFUNCTION("IFERROR(GOOGLEFINANCE(C41, ""NAME""))"),"BCE Inc")</f>
        <v>BCE Inc</v>
      </c>
      <c r="E41" s="30" t="s">
        <v>52</v>
      </c>
      <c r="F41" s="38" t="str">
        <f>IFERROR(__xludf.DUMMYFUNCTION("( (GOOGLEFINANCE(C41, ""price"") - Q41) / Q41 ) / (R41 / 100)"),"Loading...")</f>
        <v>Loading...</v>
      </c>
      <c r="G41" s="20" t="str">
        <f>IFERROR(__xludf.DUMMYFUNCTION("AVERAGE(ARRAYFORMULA(100 * (QUERY(GOOGLEFINANCE(C41, ""high"", TODAY()-40, TODAY()), ""SELECT Col2 WHERE Col2 IS NOT NULL ORDER BY Col1 DESC LIMIT 20"", 0) / QUERY(GOOGLEFINANCE(C41, ""low"", TODAY()-40, TODAY()), ""SELECT Col2 WHERE Col2 IS NOT NULL ORDE"&amp;"R BY Col1 DESC LIMIT 20"", 0) - 1)))"),"#N/A")</f>
        <v>#N/A</v>
      </c>
      <c r="H41" s="35" t="str">
        <f t="shared" si="6"/>
        <v>Liquid</v>
      </c>
      <c r="I41" s="36" t="str">
        <f t="shared" si="7"/>
        <v>RVol Required</v>
      </c>
      <c r="J41" s="37">
        <f>IFERROR(__xludf.DUMMYFUNCTION("IFERROR(
  IF(C41="""",, 
    IFERROR(
      GOOGLEFINANCE(C41, ""price"") * GOOGLEFINANCE(C41, ""volumeavg""), 
      GOOGLEFINANCE(C41, ""price"") * AVERAGE(QUERY(GOOGLEFINANCE(C41, ""volume"", TODAY()-40, TODAY()), ""SELECT Col2 WHERE Col2 IS NOT NULL "&amp;"ORDER BY Col1 DESC LIMIT 20"", 0))
    )
  ), 
"""")"),9.910037403999999E7)</f>
        <v>99100374.04</v>
      </c>
      <c r="K41" s="21">
        <f>IFERROR(__xludf.DUMMYFUNCTION("IFERROR(GOOGLEFINANCE(C41, ""changepct"") / 100, """")"),0.0074)</f>
        <v>0.0074</v>
      </c>
      <c r="L41" s="21" t="str">
        <f>IFERROR(__xludf.DUMMYFUNCTION("IFERROR((GOOGLEFINANCE(C41, ""price"") / INDEX(GOOGLEFINANCE(C41, ""price"", TODAY()-7, TODAY()), 2, 2)) - 1, """")"),"")</f>
        <v/>
      </c>
      <c r="M41" s="21" t="str">
        <f>IFERROR(__xludf.DUMMYFUNCTION("IFERROR((GOOGLEFINANCE(C41, ""price"") / INDEX(GOOGLEFINANCE(C41, ""price"", EDATE(TODAY(), -1), TODAY()), 2, 2)) - 1, """")"),"")</f>
        <v/>
      </c>
      <c r="N41" s="21" t="str">
        <f>IFERROR(__xludf.DUMMYFUNCTION("IFERROR((GOOGLEFINANCE(C41, ""price"") / INDEX(GOOGLEFINANCE(C41, ""price"", EDATE(TODAY(), -3), TODAY()), 2, 2)) - 1, """")"),"")</f>
        <v/>
      </c>
      <c r="O41" s="21" t="str">
        <f>IFERROR(__xludf.DUMMYFUNCTION("IFERROR((GOOGLEFINANCE(C41, ""price"") / INDEX(GOOGLEFINANCE(C41, ""price"", EDATE(TODAY(), -6), TODAY()), 2, 2)) - 1, """")"),"")</f>
        <v/>
      </c>
      <c r="P41" s="21" t="str">
        <f>IFERROR(__xludf.DUMMYFUNCTION("IFERROR((GOOGLEFINANCE(C41, ""price"") / INDEX(GOOGLEFINANCE(C41, ""price"", EDATE(TODAY(), -12), TODAY()), 2, 2)) - 1, """")"),"")</f>
        <v/>
      </c>
      <c r="Q41" s="6" t="str">
        <f>IFERROR(__xludf.DUMMYFUNCTION("AVERAGE(QUERY(GOOGLEFINANCE(C41, ""price"", TODAY()-80, TODAY()), ""SELECT Col2 WHERE Col2 IS NOT NULL ORDER BY Col1 DESC LIMIT 50"", 0))"),"#N/A")</f>
        <v>#N/A</v>
      </c>
      <c r="R41" s="24" t="str">
        <f>IFERROR(__xludf.DUMMYFUNCTION("IFERROR(
  LET(
    data, QUERY(GOOGLEFINANCE(C41,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GOOGLEFINANCE(C41, ""price"")) * 100,
    IF(calc=0, G41, calc)
  ), 
G41)"),"#N/A")</f>
        <v>#N/A</v>
      </c>
      <c r="S41" s="8" t="s">
        <v>15</v>
      </c>
      <c r="T41" s="26" t="str">
        <f>IFERROR(__xludf.DUMMYFUNCTION("IFERROR(TRANSPOSE(QUERY(IFERROR(SORT(GOOGLEFINANCE(C41, ""price"", WORKDAY(TODAY(), -40), TODAY()), 1, FALSE)), ""select Col2 where Col2 is not null limit 22 label Col2 ''"", 0)), """")"),"")</f>
        <v/>
      </c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8"/>
      <c r="AO41" s="28"/>
      <c r="AP41" s="29"/>
      <c r="AQ41" s="29" t="str">
        <f t="shared" ref="AQ41:BL41" si="44">T41/T$2</f>
        <v>#N/A</v>
      </c>
      <c r="AR41" s="29" t="str">
        <f t="shared" si="44"/>
        <v>#DIV/0!</v>
      </c>
      <c r="AS41" s="29" t="str">
        <f t="shared" si="44"/>
        <v>#DIV/0!</v>
      </c>
      <c r="AT41" s="29" t="str">
        <f t="shared" si="44"/>
        <v>#DIV/0!</v>
      </c>
      <c r="AU41" s="29" t="str">
        <f t="shared" si="44"/>
        <v>#DIV/0!</v>
      </c>
      <c r="AV41" s="29" t="str">
        <f t="shared" si="44"/>
        <v>#DIV/0!</v>
      </c>
      <c r="AW41" s="29" t="str">
        <f t="shared" si="44"/>
        <v>#DIV/0!</v>
      </c>
      <c r="AX41" s="29" t="str">
        <f t="shared" si="44"/>
        <v>#DIV/0!</v>
      </c>
      <c r="AY41" s="29" t="str">
        <f t="shared" si="44"/>
        <v>#DIV/0!</v>
      </c>
      <c r="AZ41" s="29" t="str">
        <f t="shared" si="44"/>
        <v>#DIV/0!</v>
      </c>
      <c r="BA41" s="29" t="str">
        <f t="shared" si="44"/>
        <v>#DIV/0!</v>
      </c>
      <c r="BB41" s="29" t="str">
        <f t="shared" si="44"/>
        <v>#DIV/0!</v>
      </c>
      <c r="BC41" s="29" t="str">
        <f t="shared" si="44"/>
        <v>#DIV/0!</v>
      </c>
      <c r="BD41" s="29" t="str">
        <f t="shared" si="44"/>
        <v>#DIV/0!</v>
      </c>
      <c r="BE41" s="29" t="str">
        <f t="shared" si="44"/>
        <v>#DIV/0!</v>
      </c>
      <c r="BF41" s="29" t="str">
        <f t="shared" si="44"/>
        <v>#DIV/0!</v>
      </c>
      <c r="BG41" s="29" t="str">
        <f t="shared" si="44"/>
        <v>#DIV/0!</v>
      </c>
      <c r="BH41" s="29" t="str">
        <f t="shared" si="44"/>
        <v>#DIV/0!</v>
      </c>
      <c r="BI41" s="29" t="str">
        <f t="shared" si="44"/>
        <v>#DIV/0!</v>
      </c>
      <c r="BJ41" s="29" t="str">
        <f t="shared" si="44"/>
        <v>#DIV/0!</v>
      </c>
      <c r="BK41" s="29" t="str">
        <f t="shared" si="44"/>
        <v>#DIV/0!</v>
      </c>
      <c r="BL41" s="29" t="str">
        <f t="shared" si="44"/>
        <v>#DIV/0!</v>
      </c>
      <c r="BM41" s="29" t="str">
        <f t="shared" si="3"/>
        <v>#DIV/0!</v>
      </c>
    </row>
    <row r="42">
      <c r="A42" s="16" t="str">
        <f>IFERROR(__xludf.DUMMYFUNCTION("IFERROR(SPARKLINE(SORT(MAP(TRANSPOSE(AQ42:BL42), LAMBDA(val, IF(ISNUMBER(val), PERCENTRANK(AQ42:BL42, val)+0.01, 0))), SEQUENCE(COLUMNS(AQ42:BL42)), FALSE), {""charttype"",""column""; ""color"",""chartreuse""; ""ymin"", 0; ""ymax"", 1.01; ""highcolor"", "&amp;"""darkgreen""; ""lowcolor"", ""red""}), """")"),"")</f>
        <v/>
      </c>
      <c r="B42" s="17" t="str">
        <f t="shared" si="4"/>
        <v/>
      </c>
      <c r="C42" s="1" t="s">
        <v>291</v>
      </c>
      <c r="D42" s="30" t="str">
        <f>IFERROR(__xludf.DUMMYFUNCTION("IFERROR(GOOGLEFINANCE(C42, ""NAME""))"),"America Movil SAB de CV")</f>
        <v>America Movil SAB de CV</v>
      </c>
      <c r="E42" s="30" t="s">
        <v>52</v>
      </c>
      <c r="F42" s="33" t="str">
        <f>IFERROR(__xludf.DUMMYFUNCTION("( (GOOGLEFINANCE(C42, ""price"") - Q42) / Q42 ) / (R42 / 100)"),"Loading...")</f>
        <v>Loading...</v>
      </c>
      <c r="G42" s="20" t="str">
        <f>IFERROR(__xludf.DUMMYFUNCTION("AVERAGE(ARRAYFORMULA(100 * (QUERY(GOOGLEFINANCE(C42, ""high"", TODAY()-40, TODAY()), ""SELECT Col2 WHERE Col2 IS NOT NULL ORDER BY Col1 DESC LIMIT 20"", 0) / QUERY(GOOGLEFINANCE(C42, ""low"", TODAY()-40, TODAY()), ""SELECT Col2 WHERE Col2 IS NOT NULL ORDE"&amp;"R BY Col1 DESC LIMIT 20"", 0) - 1)))"),"#N/A")</f>
        <v>#N/A</v>
      </c>
      <c r="H42" s="35" t="str">
        <f t="shared" si="6"/>
        <v>Liquid</v>
      </c>
      <c r="I42" s="36" t="str">
        <f t="shared" si="7"/>
        <v>RVol Required</v>
      </c>
      <c r="J42" s="37">
        <f>IFERROR(__xludf.DUMMYFUNCTION("IFERROR(
  IF(C42="""",, 
    IFERROR(
      GOOGLEFINANCE(C42, ""price"") * GOOGLEFINANCE(C42, ""volumeavg""), 
      GOOGLEFINANCE(C42, ""price"") * AVERAGE(QUERY(GOOGLEFINANCE(C42, ""volume"", TODAY()-40, TODAY()), ""SELECT Col2 WHERE Col2 IS NOT NULL "&amp;"ORDER BY Col1 DESC LIMIT 20"", 0))
    )
  ), 
"""")"),6.904437102E7)</f>
        <v>69044371.02</v>
      </c>
      <c r="K42" s="21">
        <f>IFERROR(__xludf.DUMMYFUNCTION("IFERROR(GOOGLEFINANCE(C42, ""changepct"") / 100, """")"),0.021400000000000002)</f>
        <v>0.0214</v>
      </c>
      <c r="L42" s="21" t="str">
        <f>IFERROR(__xludf.DUMMYFUNCTION("IFERROR((GOOGLEFINANCE(C42, ""price"") / INDEX(GOOGLEFINANCE(C42, ""price"", TODAY()-7, TODAY()), 2, 2)) - 1, """")"),"")</f>
        <v/>
      </c>
      <c r="M42" s="21" t="str">
        <f>IFERROR(__xludf.DUMMYFUNCTION("IFERROR((GOOGLEFINANCE(C42, ""price"") / INDEX(GOOGLEFINANCE(C42, ""price"", EDATE(TODAY(), -1), TODAY()), 2, 2)) - 1, """")"),"")</f>
        <v/>
      </c>
      <c r="N42" s="21" t="str">
        <f>IFERROR(__xludf.DUMMYFUNCTION("IFERROR((GOOGLEFINANCE(C42, ""price"") / INDEX(GOOGLEFINANCE(C42, ""price"", EDATE(TODAY(), -3), TODAY()), 2, 2)) - 1, """")"),"")</f>
        <v/>
      </c>
      <c r="O42" s="21" t="str">
        <f>IFERROR(__xludf.DUMMYFUNCTION("IFERROR((GOOGLEFINANCE(C42, ""price"") / INDEX(GOOGLEFINANCE(C42, ""price"", EDATE(TODAY(), -6), TODAY()), 2, 2)) - 1, """")"),"")</f>
        <v/>
      </c>
      <c r="P42" s="21" t="str">
        <f>IFERROR(__xludf.DUMMYFUNCTION("IFERROR((GOOGLEFINANCE(C42, ""price"") / INDEX(GOOGLEFINANCE(C42, ""price"", EDATE(TODAY(), -12), TODAY()), 2, 2)) - 1, """")"),"")</f>
        <v/>
      </c>
      <c r="Q42" s="6" t="str">
        <f>IFERROR(__xludf.DUMMYFUNCTION("AVERAGE(QUERY(GOOGLEFINANCE(C42, ""price"", TODAY()-80, TODAY()), ""SELECT Col2 WHERE Col2 IS NOT NULL ORDER BY Col1 DESC LIMIT 50"", 0))"),"#N/A")</f>
        <v>#N/A</v>
      </c>
      <c r="R42" s="24" t="str">
        <f>IFERROR(__xludf.DUMMYFUNCTION("IFERROR(
  LET(
    data, QUERY(GOOGLEFINANCE(C42,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GOOGLEFINANCE(C42, ""price"")) * 100,
    IF(calc=0, G42, calc)
  ), 
G42)"),"#N/A")</f>
        <v>#N/A</v>
      </c>
      <c r="S42" s="8" t="s">
        <v>15</v>
      </c>
      <c r="T42" s="26" t="str">
        <f>IFERROR(__xludf.DUMMYFUNCTION("IFERROR(TRANSPOSE(QUERY(IFERROR(SORT(GOOGLEFINANCE(C42, ""price"", WORKDAY(TODAY(), -40), TODAY()), 1, FALSE)), ""select Col2 where Col2 is not null limit 22 label Col2 ''"", 0)), """")"),"")</f>
        <v/>
      </c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8"/>
      <c r="AO42" s="28"/>
      <c r="AP42" s="29"/>
      <c r="AQ42" s="29" t="str">
        <f t="shared" ref="AQ42:BL42" si="45">T42/T$2</f>
        <v>#N/A</v>
      </c>
      <c r="AR42" s="29" t="str">
        <f t="shared" si="45"/>
        <v>#DIV/0!</v>
      </c>
      <c r="AS42" s="29" t="str">
        <f t="shared" si="45"/>
        <v>#DIV/0!</v>
      </c>
      <c r="AT42" s="29" t="str">
        <f t="shared" si="45"/>
        <v>#DIV/0!</v>
      </c>
      <c r="AU42" s="29" t="str">
        <f t="shared" si="45"/>
        <v>#DIV/0!</v>
      </c>
      <c r="AV42" s="29" t="str">
        <f t="shared" si="45"/>
        <v>#DIV/0!</v>
      </c>
      <c r="AW42" s="29" t="str">
        <f t="shared" si="45"/>
        <v>#DIV/0!</v>
      </c>
      <c r="AX42" s="29" t="str">
        <f t="shared" si="45"/>
        <v>#DIV/0!</v>
      </c>
      <c r="AY42" s="29" t="str">
        <f t="shared" si="45"/>
        <v>#DIV/0!</v>
      </c>
      <c r="AZ42" s="29" t="str">
        <f t="shared" si="45"/>
        <v>#DIV/0!</v>
      </c>
      <c r="BA42" s="29" t="str">
        <f t="shared" si="45"/>
        <v>#DIV/0!</v>
      </c>
      <c r="BB42" s="29" t="str">
        <f t="shared" si="45"/>
        <v>#DIV/0!</v>
      </c>
      <c r="BC42" s="29" t="str">
        <f t="shared" si="45"/>
        <v>#DIV/0!</v>
      </c>
      <c r="BD42" s="29" t="str">
        <f t="shared" si="45"/>
        <v>#DIV/0!</v>
      </c>
      <c r="BE42" s="29" t="str">
        <f t="shared" si="45"/>
        <v>#DIV/0!</v>
      </c>
      <c r="BF42" s="29" t="str">
        <f t="shared" si="45"/>
        <v>#DIV/0!</v>
      </c>
      <c r="BG42" s="29" t="str">
        <f t="shared" si="45"/>
        <v>#DIV/0!</v>
      </c>
      <c r="BH42" s="29" t="str">
        <f t="shared" si="45"/>
        <v>#DIV/0!</v>
      </c>
      <c r="BI42" s="29" t="str">
        <f t="shared" si="45"/>
        <v>#DIV/0!</v>
      </c>
      <c r="BJ42" s="29" t="str">
        <f t="shared" si="45"/>
        <v>#DIV/0!</v>
      </c>
      <c r="BK42" s="29" t="str">
        <f t="shared" si="45"/>
        <v>#DIV/0!</v>
      </c>
      <c r="BL42" s="29" t="str">
        <f t="shared" si="45"/>
        <v>#DIV/0!</v>
      </c>
      <c r="BM42" s="29" t="str">
        <f t="shared" si="3"/>
        <v>#DIV/0!</v>
      </c>
    </row>
    <row r="43">
      <c r="A43" s="16" t="str">
        <f>IFERROR(__xludf.DUMMYFUNCTION("IFERROR(SPARKLINE(SORT(MAP(TRANSPOSE(AQ43:BL43), LAMBDA(val, IF(ISNUMBER(val), PERCENTRANK(AQ43:BL43, val)+0.01, 0))), SEQUENCE(COLUMNS(AQ43:BL43)), FALSE), {""charttype"",""column""; ""color"",""chartreuse""; ""ymin"", 0; ""ymax"", 1.01; ""highcolor"", "&amp;"""darkgreen""; ""lowcolor"", ""red""}), """")"),"")</f>
        <v/>
      </c>
      <c r="B43" s="17" t="str">
        <f t="shared" si="4"/>
        <v/>
      </c>
      <c r="C43" s="1" t="s">
        <v>295</v>
      </c>
      <c r="D43" s="30" t="str">
        <f>IFERROR(__xludf.DUMMYFUNCTION("IFERROR(GOOGLEFINANCE(C43, ""NAME""))"),"Rogers Communications Inc Class B")</f>
        <v>Rogers Communications Inc Class B</v>
      </c>
      <c r="E43" s="30" t="s">
        <v>52</v>
      </c>
      <c r="F43" s="33" t="str">
        <f>IFERROR(__xludf.DUMMYFUNCTION("( (GOOGLEFINANCE(C43, ""price"") - Q43) / Q43 ) / (R43 / 100)"),"Loading...")</f>
        <v>Loading...</v>
      </c>
      <c r="G43" s="20" t="str">
        <f>IFERROR(__xludf.DUMMYFUNCTION("AVERAGE(ARRAYFORMULA(100 * (QUERY(GOOGLEFINANCE(C43, ""high"", TODAY()-40, TODAY()), ""SELECT Col2 WHERE Col2 IS NOT NULL ORDER BY Col1 DESC LIMIT 20"", 0) / QUERY(GOOGLEFINANCE(C43, ""low"", TODAY()-40, TODAY()), ""SELECT Col2 WHERE Col2 IS NOT NULL ORDE"&amp;"R BY Col1 DESC LIMIT 20"", 0) - 1)))"),"#N/A")</f>
        <v>#N/A</v>
      </c>
      <c r="H43" s="35" t="str">
        <f t="shared" si="6"/>
        <v>Illiquid</v>
      </c>
      <c r="I43" s="36" t="str">
        <f t="shared" si="7"/>
        <v>RVol Required</v>
      </c>
      <c r="J43" s="37">
        <f>IFERROR(__xludf.DUMMYFUNCTION("IFERROR(
  IF(C43="""",, 
    IFERROR(
      GOOGLEFINANCE(C43, ""price"") * GOOGLEFINANCE(C43, ""volumeavg""), 
      GOOGLEFINANCE(C43, ""price"") * AVERAGE(QUERY(GOOGLEFINANCE(C43, ""volume"", TODAY()-40, TODAY()), ""SELECT Col2 WHERE Col2 IS NOT NULL "&amp;"ORDER BY Col1 DESC LIMIT 20"", 0))
    )
  ), 
"""")"),4.62864129E7)</f>
        <v>46286412.9</v>
      </c>
      <c r="K43" s="21">
        <f>IFERROR(__xludf.DUMMYFUNCTION("IFERROR(GOOGLEFINANCE(C43, ""changepct"") / 100, """")"),0.0016)</f>
        <v>0.0016</v>
      </c>
      <c r="L43" s="21" t="str">
        <f>IFERROR(__xludf.DUMMYFUNCTION("IFERROR((GOOGLEFINANCE(C43, ""price"") / INDEX(GOOGLEFINANCE(C43, ""price"", TODAY()-7, TODAY()), 2, 2)) - 1, """")"),"")</f>
        <v/>
      </c>
      <c r="M43" s="21" t="str">
        <f>IFERROR(__xludf.DUMMYFUNCTION("IFERROR((GOOGLEFINANCE(C43, ""price"") / INDEX(GOOGLEFINANCE(C43, ""price"", EDATE(TODAY(), -1), TODAY()), 2, 2)) - 1, """")"),"")</f>
        <v/>
      </c>
      <c r="N43" s="21" t="str">
        <f>IFERROR(__xludf.DUMMYFUNCTION("IFERROR((GOOGLEFINANCE(C43, ""price"") / INDEX(GOOGLEFINANCE(C43, ""price"", EDATE(TODAY(), -3), TODAY()), 2, 2)) - 1, """")"),"")</f>
        <v/>
      </c>
      <c r="O43" s="21" t="str">
        <f>IFERROR(__xludf.DUMMYFUNCTION("IFERROR((GOOGLEFINANCE(C43, ""price"") / INDEX(GOOGLEFINANCE(C43, ""price"", EDATE(TODAY(), -6), TODAY()), 2, 2)) - 1, """")"),"")</f>
        <v/>
      </c>
      <c r="P43" s="21" t="str">
        <f>IFERROR(__xludf.DUMMYFUNCTION("IFERROR((GOOGLEFINANCE(C43, ""price"") / INDEX(GOOGLEFINANCE(C43, ""price"", EDATE(TODAY(), -12), TODAY()), 2, 2)) - 1, """")"),"")</f>
        <v/>
      </c>
      <c r="Q43" s="6" t="str">
        <f>IFERROR(__xludf.DUMMYFUNCTION("AVERAGE(QUERY(GOOGLEFINANCE(C43, ""price"", TODAY()-80, TODAY()), ""SELECT Col2 WHERE Col2 IS NOT NULL ORDER BY Col1 DESC LIMIT 50"", 0))"),"#N/A")</f>
        <v>#N/A</v>
      </c>
      <c r="R43" s="24" t="str">
        <f>IFERROR(__xludf.DUMMYFUNCTION("IFERROR(
  LET(
    data, QUERY(GOOGLEFINANCE(C43,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GOOGLEFINANCE(C43, ""price"")) * 100,
    IF(calc=0, G43, calc)
  ), 
G43)"),"#N/A")</f>
        <v>#N/A</v>
      </c>
      <c r="S43" s="8" t="s">
        <v>15</v>
      </c>
      <c r="T43" s="26" t="str">
        <f>IFERROR(__xludf.DUMMYFUNCTION("IFERROR(TRANSPOSE(QUERY(IFERROR(SORT(GOOGLEFINANCE(C43, ""price"", WORKDAY(TODAY(), -40), TODAY()), 1, FALSE)), ""select Col2 where Col2 is not null limit 22 label Col2 ''"", 0)), """")"),"")</f>
        <v/>
      </c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8"/>
      <c r="AO43" s="28"/>
      <c r="AP43" s="29"/>
      <c r="AQ43" s="29" t="str">
        <f t="shared" ref="AQ43:BL43" si="46">T43/T$2</f>
        <v>#N/A</v>
      </c>
      <c r="AR43" s="29" t="str">
        <f t="shared" si="46"/>
        <v>#DIV/0!</v>
      </c>
      <c r="AS43" s="29" t="str">
        <f t="shared" si="46"/>
        <v>#DIV/0!</v>
      </c>
      <c r="AT43" s="29" t="str">
        <f t="shared" si="46"/>
        <v>#DIV/0!</v>
      </c>
      <c r="AU43" s="29" t="str">
        <f t="shared" si="46"/>
        <v>#DIV/0!</v>
      </c>
      <c r="AV43" s="29" t="str">
        <f t="shared" si="46"/>
        <v>#DIV/0!</v>
      </c>
      <c r="AW43" s="29" t="str">
        <f t="shared" si="46"/>
        <v>#DIV/0!</v>
      </c>
      <c r="AX43" s="29" t="str">
        <f t="shared" si="46"/>
        <v>#DIV/0!</v>
      </c>
      <c r="AY43" s="29" t="str">
        <f t="shared" si="46"/>
        <v>#DIV/0!</v>
      </c>
      <c r="AZ43" s="29" t="str">
        <f t="shared" si="46"/>
        <v>#DIV/0!</v>
      </c>
      <c r="BA43" s="29" t="str">
        <f t="shared" si="46"/>
        <v>#DIV/0!</v>
      </c>
      <c r="BB43" s="29" t="str">
        <f t="shared" si="46"/>
        <v>#DIV/0!</v>
      </c>
      <c r="BC43" s="29" t="str">
        <f t="shared" si="46"/>
        <v>#DIV/0!</v>
      </c>
      <c r="BD43" s="29" t="str">
        <f t="shared" si="46"/>
        <v>#DIV/0!</v>
      </c>
      <c r="BE43" s="29" t="str">
        <f t="shared" si="46"/>
        <v>#DIV/0!</v>
      </c>
      <c r="BF43" s="29" t="str">
        <f t="shared" si="46"/>
        <v>#DIV/0!</v>
      </c>
      <c r="BG43" s="29" t="str">
        <f t="shared" si="46"/>
        <v>#DIV/0!</v>
      </c>
      <c r="BH43" s="29" t="str">
        <f t="shared" si="46"/>
        <v>#DIV/0!</v>
      </c>
      <c r="BI43" s="29" t="str">
        <f t="shared" si="46"/>
        <v>#DIV/0!</v>
      </c>
      <c r="BJ43" s="29" t="str">
        <f t="shared" si="46"/>
        <v>#DIV/0!</v>
      </c>
      <c r="BK43" s="29" t="str">
        <f t="shared" si="46"/>
        <v>#DIV/0!</v>
      </c>
      <c r="BL43" s="29" t="str">
        <f t="shared" si="46"/>
        <v>#DIV/0!</v>
      </c>
      <c r="BM43" s="29" t="str">
        <f t="shared" si="3"/>
        <v>#DIV/0!</v>
      </c>
    </row>
    <row r="44">
      <c r="A44" s="16" t="str">
        <f>IFERROR(__xludf.DUMMYFUNCTION("IFERROR(SPARKLINE(SORT(MAP(TRANSPOSE(AQ44:BL44), LAMBDA(val, IF(ISNUMBER(val), PERCENTRANK(AQ44:BL44, val)+0.01, 0))), SEQUENCE(COLUMNS(AQ44:BL44)), FALSE), {""charttype"",""column""; ""color"",""chartreuse""; ""ymin"", 0; ""ymax"", 1.01; ""highcolor"", "&amp;"""darkgreen""; ""lowcolor"", ""red""}), """")"),"")</f>
        <v/>
      </c>
      <c r="B44" s="17" t="str">
        <f t="shared" si="4"/>
        <v/>
      </c>
      <c r="C44" s="1" t="s">
        <v>299</v>
      </c>
      <c r="D44" s="30" t="str">
        <f>IFERROR(__xludf.DUMMYFUNCTION("IFERROR(GOOGLEFINANCE(C44, ""NAME""))"),"GDEV Inc")</f>
        <v>GDEV Inc</v>
      </c>
      <c r="E44" s="30" t="s">
        <v>94</v>
      </c>
      <c r="F44" s="33" t="str">
        <f>IFERROR(__xludf.DUMMYFUNCTION("( (GOOGLEFINANCE(C44, ""price"") - Q44) / Q44 ) / (R44 / 100)"),"Loading...")</f>
        <v>Loading...</v>
      </c>
      <c r="G44" s="20" t="str">
        <f>IFERROR(__xludf.DUMMYFUNCTION("AVERAGE(ARRAYFORMULA(100 * (QUERY(GOOGLEFINANCE(C44, ""high"", TODAY()-40, TODAY()), ""SELECT Col2 WHERE Col2 IS NOT NULL ORDER BY Col1 DESC LIMIT 20"", 0) / QUERY(GOOGLEFINANCE(C44, ""low"", TODAY()-40, TODAY()), ""SELECT Col2 WHERE Col2 IS NOT NULL ORDE"&amp;"R BY Col1 DESC LIMIT 20"", 0) - 1)))"),"#N/A")</f>
        <v>#N/A</v>
      </c>
      <c r="H44" s="35" t="str">
        <f t="shared" si="6"/>
        <v>Illiquid</v>
      </c>
      <c r="I44" s="36" t="str">
        <f t="shared" si="7"/>
        <v>RVol Required</v>
      </c>
      <c r="J44" s="37">
        <f>IFERROR(__xludf.DUMMYFUNCTION("IFERROR(
  IF(C44="""",, 
    IFERROR(
      GOOGLEFINANCE(C44, ""price"") * GOOGLEFINANCE(C44, ""volumeavg""), 
      GOOGLEFINANCE(C44, ""price"") * AVERAGE(QUERY(GOOGLEFINANCE(C44, ""volume"", TODAY()-40, TODAY()), ""SELECT Col2 WHERE Col2 IS NOT NULL "&amp;"ORDER BY Col1 DESC LIMIT 20"", 0))
    )
  ), 
"""")"),17630.91)</f>
        <v>17630.91</v>
      </c>
      <c r="K44" s="21">
        <f>IFERROR(__xludf.DUMMYFUNCTION("IFERROR(GOOGLEFINANCE(C44, ""changepct"") / 100, """")"),0.0405)</f>
        <v>0.0405</v>
      </c>
      <c r="L44" s="21" t="str">
        <f>IFERROR(__xludf.DUMMYFUNCTION("IFERROR((GOOGLEFINANCE(C44, ""price"") / INDEX(GOOGLEFINANCE(C44, ""price"", TODAY()-7, TODAY()), 2, 2)) - 1, """")"),"")</f>
        <v/>
      </c>
      <c r="M44" s="21" t="str">
        <f>IFERROR(__xludf.DUMMYFUNCTION("IFERROR((GOOGLEFINANCE(C44, ""price"") / INDEX(GOOGLEFINANCE(C44, ""price"", EDATE(TODAY(), -1), TODAY()), 2, 2)) - 1, """")"),"")</f>
        <v/>
      </c>
      <c r="N44" s="21" t="str">
        <f>IFERROR(__xludf.DUMMYFUNCTION("IFERROR((GOOGLEFINANCE(C44, ""price"") / INDEX(GOOGLEFINANCE(C44, ""price"", EDATE(TODAY(), -3), TODAY()), 2, 2)) - 1, """")"),"")</f>
        <v/>
      </c>
      <c r="O44" s="21" t="str">
        <f>IFERROR(__xludf.DUMMYFUNCTION("IFERROR((GOOGLEFINANCE(C44, ""price"") / INDEX(GOOGLEFINANCE(C44, ""price"", EDATE(TODAY(), -6), TODAY()), 2, 2)) - 1, """")"),"")</f>
        <v/>
      </c>
      <c r="P44" s="21" t="str">
        <f>IFERROR(__xludf.DUMMYFUNCTION("IFERROR((GOOGLEFINANCE(C44, ""price"") / INDEX(GOOGLEFINANCE(C44, ""price"", EDATE(TODAY(), -12), TODAY()), 2, 2)) - 1, """")"),"")</f>
        <v/>
      </c>
      <c r="Q44" s="6" t="str">
        <f>IFERROR(__xludf.DUMMYFUNCTION("AVERAGE(QUERY(GOOGLEFINANCE(C44, ""price"", TODAY()-80, TODAY()), ""SELECT Col2 WHERE Col2 IS NOT NULL ORDER BY Col1 DESC LIMIT 50"", 0))"),"#N/A")</f>
        <v>#N/A</v>
      </c>
      <c r="R44" s="24" t="str">
        <f>IFERROR(__xludf.DUMMYFUNCTION("IFERROR(
  LET(
    data, QUERY(GOOGLEFINANCE(C44,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GOOGLEFINANCE(C44, ""price"")) * 100,
    IF(calc=0, G44, calc)
  ), 
G44)"),"#N/A")</f>
        <v>#N/A</v>
      </c>
      <c r="S44" s="8" t="s">
        <v>15</v>
      </c>
      <c r="T44" s="26" t="str">
        <f>IFERROR(__xludf.DUMMYFUNCTION("IFERROR(TRANSPOSE(QUERY(IFERROR(SORT(GOOGLEFINANCE(C44, ""price"", WORKDAY(TODAY(), -40), TODAY()), 1, FALSE)), ""select Col2 where Col2 is not null limit 22 label Col2 ''"", 0)), """")"),"")</f>
        <v/>
      </c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8"/>
      <c r="AO44" s="28"/>
      <c r="AP44" s="29"/>
      <c r="AQ44" s="29" t="str">
        <f t="shared" ref="AQ44:BL44" si="47">T44/T$2</f>
        <v>#N/A</v>
      </c>
      <c r="AR44" s="29" t="str">
        <f t="shared" si="47"/>
        <v>#DIV/0!</v>
      </c>
      <c r="AS44" s="29" t="str">
        <f t="shared" si="47"/>
        <v>#DIV/0!</v>
      </c>
      <c r="AT44" s="29" t="str">
        <f t="shared" si="47"/>
        <v>#DIV/0!</v>
      </c>
      <c r="AU44" s="29" t="str">
        <f t="shared" si="47"/>
        <v>#DIV/0!</v>
      </c>
      <c r="AV44" s="29" t="str">
        <f t="shared" si="47"/>
        <v>#DIV/0!</v>
      </c>
      <c r="AW44" s="29" t="str">
        <f t="shared" si="47"/>
        <v>#DIV/0!</v>
      </c>
      <c r="AX44" s="29" t="str">
        <f t="shared" si="47"/>
        <v>#DIV/0!</v>
      </c>
      <c r="AY44" s="29" t="str">
        <f t="shared" si="47"/>
        <v>#DIV/0!</v>
      </c>
      <c r="AZ44" s="29" t="str">
        <f t="shared" si="47"/>
        <v>#DIV/0!</v>
      </c>
      <c r="BA44" s="29" t="str">
        <f t="shared" si="47"/>
        <v>#DIV/0!</v>
      </c>
      <c r="BB44" s="29" t="str">
        <f t="shared" si="47"/>
        <v>#DIV/0!</v>
      </c>
      <c r="BC44" s="29" t="str">
        <f t="shared" si="47"/>
        <v>#DIV/0!</v>
      </c>
      <c r="BD44" s="29" t="str">
        <f t="shared" si="47"/>
        <v>#DIV/0!</v>
      </c>
      <c r="BE44" s="29" t="str">
        <f t="shared" si="47"/>
        <v>#DIV/0!</v>
      </c>
      <c r="BF44" s="29" t="str">
        <f t="shared" si="47"/>
        <v>#DIV/0!</v>
      </c>
      <c r="BG44" s="29" t="str">
        <f t="shared" si="47"/>
        <v>#DIV/0!</v>
      </c>
      <c r="BH44" s="29" t="str">
        <f t="shared" si="47"/>
        <v>#DIV/0!</v>
      </c>
      <c r="BI44" s="29" t="str">
        <f t="shared" si="47"/>
        <v>#DIV/0!</v>
      </c>
      <c r="BJ44" s="29" t="str">
        <f t="shared" si="47"/>
        <v>#DIV/0!</v>
      </c>
      <c r="BK44" s="29" t="str">
        <f t="shared" si="47"/>
        <v>#DIV/0!</v>
      </c>
      <c r="BL44" s="29" t="str">
        <f t="shared" si="47"/>
        <v>#DIV/0!</v>
      </c>
      <c r="BM44" s="29" t="str">
        <f t="shared" si="3"/>
        <v>#DIV/0!</v>
      </c>
    </row>
    <row r="45">
      <c r="A45" s="16" t="str">
        <f>IFERROR(__xludf.DUMMYFUNCTION("IFERROR(SPARKLINE(SORT(MAP(TRANSPOSE(AQ45:BL45), LAMBDA(val, IF(ISNUMBER(val), PERCENTRANK(AQ45:BL45, val)+0.01, 0))), SEQUENCE(COLUMNS(AQ45:BL45)), FALSE), {""charttype"",""column""; ""color"",""chartreuse""; ""ymin"", 0; ""ymax"", 1.01; ""highcolor"", "&amp;"""darkgreen""; ""lowcolor"", ""red""}), """")"),"")</f>
        <v/>
      </c>
      <c r="B45" s="17" t="str">
        <f t="shared" si="4"/>
        <v/>
      </c>
      <c r="C45" s="1" t="s">
        <v>303</v>
      </c>
      <c r="D45" s="30" t="str">
        <f>IFERROR(__xludf.DUMMYFUNCTION("IFERROR(GOOGLEFINANCE(C45, ""NAME""))"),"Sphere Entertainment Co")</f>
        <v>Sphere Entertainment Co</v>
      </c>
      <c r="E45" s="30" t="s">
        <v>62</v>
      </c>
      <c r="F45" s="38" t="str">
        <f>IFERROR(__xludf.DUMMYFUNCTION("( (GOOGLEFINANCE(C45, ""price"") - Q45) / Q45 ) / (R45 / 100)"),"Loading...")</f>
        <v>Loading...</v>
      </c>
      <c r="G45" s="20" t="str">
        <f>IFERROR(__xludf.DUMMYFUNCTION("AVERAGE(ARRAYFORMULA(100 * (QUERY(GOOGLEFINANCE(C45, ""high"", TODAY()-40, TODAY()), ""SELECT Col2 WHERE Col2 IS NOT NULL ORDER BY Col1 DESC LIMIT 20"", 0) / QUERY(GOOGLEFINANCE(C45, ""low"", TODAY()-40, TODAY()), ""SELECT Col2 WHERE Col2 IS NOT NULL ORDE"&amp;"R BY Col1 DESC LIMIT 20"", 0) - 1)))"),"#N/A")</f>
        <v>#N/A</v>
      </c>
      <c r="H45" s="35" t="str">
        <f t="shared" si="6"/>
        <v>Liquid</v>
      </c>
      <c r="I45" s="36" t="str">
        <f t="shared" si="7"/>
        <v>RVol Required</v>
      </c>
      <c r="J45" s="37">
        <f>IFERROR(__xludf.DUMMYFUNCTION("IFERROR(
  IF(C45="""",, 
    IFERROR(
      GOOGLEFINANCE(C45, ""price"") * GOOGLEFINANCE(C45, ""volumeavg""), 
      GOOGLEFINANCE(C45, ""price"") * AVERAGE(QUERY(GOOGLEFINANCE(C45, ""volume"", TODAY()-40, TODAY()), ""SELECT Col2 WHERE Col2 IS NOT NULL "&amp;"ORDER BY Col1 DESC LIMIT 20"", 0))
    )
  ), 
"""")"),8.420063841E7)</f>
        <v>84200638.41</v>
      </c>
      <c r="K45" s="21">
        <f>IFERROR(__xludf.DUMMYFUNCTION("IFERROR(GOOGLEFINANCE(C45, ""changepct"") / 100, """")"),-0.0489)</f>
        <v>-0.0489</v>
      </c>
      <c r="L45" s="21" t="str">
        <f>IFERROR(__xludf.DUMMYFUNCTION("IFERROR((GOOGLEFINANCE(C45, ""price"") / INDEX(GOOGLEFINANCE(C45, ""price"", TODAY()-7, TODAY()), 2, 2)) - 1, """")"),"")</f>
        <v/>
      </c>
      <c r="M45" s="21" t="str">
        <f>IFERROR(__xludf.DUMMYFUNCTION("IFERROR((GOOGLEFINANCE(C45, ""price"") / INDEX(GOOGLEFINANCE(C45, ""price"", EDATE(TODAY(), -1), TODAY()), 2, 2)) - 1, """")"),"")</f>
        <v/>
      </c>
      <c r="N45" s="21" t="str">
        <f>IFERROR(__xludf.DUMMYFUNCTION("IFERROR((GOOGLEFINANCE(C45, ""price"") / INDEX(GOOGLEFINANCE(C45, ""price"", EDATE(TODAY(), -3), TODAY()), 2, 2)) - 1, """")"),"")</f>
        <v/>
      </c>
      <c r="O45" s="21" t="str">
        <f>IFERROR(__xludf.DUMMYFUNCTION("IFERROR((GOOGLEFINANCE(C45, ""price"") / INDEX(GOOGLEFINANCE(C45, ""price"", EDATE(TODAY(), -6), TODAY()), 2, 2)) - 1, """")"),"")</f>
        <v/>
      </c>
      <c r="P45" s="21" t="str">
        <f>IFERROR(__xludf.DUMMYFUNCTION("IFERROR((GOOGLEFINANCE(C45, ""price"") / INDEX(GOOGLEFINANCE(C45, ""price"", EDATE(TODAY(), -12), TODAY()), 2, 2)) - 1, """")"),"")</f>
        <v/>
      </c>
      <c r="Q45" s="6" t="str">
        <f>IFERROR(__xludf.DUMMYFUNCTION("AVERAGE(QUERY(GOOGLEFINANCE(C45, ""price"", TODAY()-80, TODAY()), ""SELECT Col2 WHERE Col2 IS NOT NULL ORDER BY Col1 DESC LIMIT 50"", 0))"),"#N/A")</f>
        <v>#N/A</v>
      </c>
      <c r="R45" s="24" t="str">
        <f>IFERROR(__xludf.DUMMYFUNCTION("IFERROR(
  LET(
    data, QUERY(GOOGLEFINANCE(C45,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GOOGLEFINANCE(C45, ""price"")) * 100,
    IF(calc=0, G45, calc)
  ), 
G45)"),"#N/A")</f>
        <v>#N/A</v>
      </c>
      <c r="S45" s="8" t="s">
        <v>15</v>
      </c>
      <c r="T45" s="26" t="str">
        <f>IFERROR(__xludf.DUMMYFUNCTION("IFERROR(TRANSPOSE(QUERY(IFERROR(SORT(GOOGLEFINANCE(C45, ""price"", WORKDAY(TODAY(), -40), TODAY()), 1, FALSE)), ""select Col2 where Col2 is not null limit 22 label Col2 ''"", 0)), """")"),"")</f>
        <v/>
      </c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8"/>
      <c r="AO45" s="28"/>
      <c r="AP45" s="29"/>
      <c r="AQ45" s="29" t="str">
        <f t="shared" ref="AQ45:BL45" si="48">T45/T$2</f>
        <v>#N/A</v>
      </c>
      <c r="AR45" s="29" t="str">
        <f t="shared" si="48"/>
        <v>#DIV/0!</v>
      </c>
      <c r="AS45" s="29" t="str">
        <f t="shared" si="48"/>
        <v>#DIV/0!</v>
      </c>
      <c r="AT45" s="29" t="str">
        <f t="shared" si="48"/>
        <v>#DIV/0!</v>
      </c>
      <c r="AU45" s="29" t="str">
        <f t="shared" si="48"/>
        <v>#DIV/0!</v>
      </c>
      <c r="AV45" s="29" t="str">
        <f t="shared" si="48"/>
        <v>#DIV/0!</v>
      </c>
      <c r="AW45" s="29" t="str">
        <f t="shared" si="48"/>
        <v>#DIV/0!</v>
      </c>
      <c r="AX45" s="29" t="str">
        <f t="shared" si="48"/>
        <v>#DIV/0!</v>
      </c>
      <c r="AY45" s="29" t="str">
        <f t="shared" si="48"/>
        <v>#DIV/0!</v>
      </c>
      <c r="AZ45" s="29" t="str">
        <f t="shared" si="48"/>
        <v>#DIV/0!</v>
      </c>
      <c r="BA45" s="29" t="str">
        <f t="shared" si="48"/>
        <v>#DIV/0!</v>
      </c>
      <c r="BB45" s="29" t="str">
        <f t="shared" si="48"/>
        <v>#DIV/0!</v>
      </c>
      <c r="BC45" s="29" t="str">
        <f t="shared" si="48"/>
        <v>#DIV/0!</v>
      </c>
      <c r="BD45" s="29" t="str">
        <f t="shared" si="48"/>
        <v>#DIV/0!</v>
      </c>
      <c r="BE45" s="29" t="str">
        <f t="shared" si="48"/>
        <v>#DIV/0!</v>
      </c>
      <c r="BF45" s="29" t="str">
        <f t="shared" si="48"/>
        <v>#DIV/0!</v>
      </c>
      <c r="BG45" s="29" t="str">
        <f t="shared" si="48"/>
        <v>#DIV/0!</v>
      </c>
      <c r="BH45" s="29" t="str">
        <f t="shared" si="48"/>
        <v>#DIV/0!</v>
      </c>
      <c r="BI45" s="29" t="str">
        <f t="shared" si="48"/>
        <v>#DIV/0!</v>
      </c>
      <c r="BJ45" s="29" t="str">
        <f t="shared" si="48"/>
        <v>#DIV/0!</v>
      </c>
      <c r="BK45" s="29" t="str">
        <f t="shared" si="48"/>
        <v>#DIV/0!</v>
      </c>
      <c r="BL45" s="29" t="str">
        <f t="shared" si="48"/>
        <v>#DIV/0!</v>
      </c>
      <c r="BM45" s="29" t="str">
        <f t="shared" si="3"/>
        <v>#DIV/0!</v>
      </c>
    </row>
    <row r="46">
      <c r="A46" s="16" t="str">
        <f>IFERROR(__xludf.DUMMYFUNCTION("IFERROR(SPARKLINE(SORT(MAP(TRANSPOSE(AQ46:BL46), LAMBDA(val, IF(ISNUMBER(val), PERCENTRANK(AQ46:BL46, val)+0.01, 0))), SEQUENCE(COLUMNS(AQ46:BL46)), FALSE), {""charttype"",""column""; ""color"",""chartreuse""; ""ymin"", 0; ""ymax"", 1.01; ""highcolor"", "&amp;"""darkgreen""; ""lowcolor"", ""red""}), """")"),"")</f>
        <v/>
      </c>
      <c r="B46" s="17" t="str">
        <f t="shared" si="4"/>
        <v/>
      </c>
      <c r="C46" s="1" t="s">
        <v>308</v>
      </c>
      <c r="D46" s="30" t="str">
        <f>IFERROR(__xludf.DUMMYFUNCTION("IFERROR(GOOGLEFINANCE(C46, ""NAME""))"),"Verizon Communications Inc")</f>
        <v>Verizon Communications Inc</v>
      </c>
      <c r="E46" s="30" t="s">
        <v>52</v>
      </c>
      <c r="F46" s="33" t="str">
        <f>IFERROR(__xludf.DUMMYFUNCTION("( (GOOGLEFINANCE(C46, ""price"") - Q46) / Q46 ) / (R46 / 100)"),"Loading...")</f>
        <v>Loading...</v>
      </c>
      <c r="G46" s="20" t="str">
        <f>IFERROR(__xludf.DUMMYFUNCTION("AVERAGE(ARRAYFORMULA(100 * (QUERY(GOOGLEFINANCE(C46, ""high"", TODAY()-40, TODAY()), ""SELECT Col2 WHERE Col2 IS NOT NULL ORDER BY Col1 DESC LIMIT 20"", 0) / QUERY(GOOGLEFINANCE(C46, ""low"", TODAY()-40, TODAY()), ""SELECT Col2 WHERE Col2 IS NOT NULL ORDE"&amp;"R BY Col1 DESC LIMIT 20"", 0) - 1)))"),"#N/A")</f>
        <v>#N/A</v>
      </c>
      <c r="H46" s="35" t="str">
        <f t="shared" si="6"/>
        <v>Liquid</v>
      </c>
      <c r="I46" s="36" t="str">
        <f t="shared" si="7"/>
        <v>No RVol Required</v>
      </c>
      <c r="J46" s="37">
        <f>IFERROR(__xludf.DUMMYFUNCTION("IFERROR(
  IF(C46="""",, 
    IFERROR(
      GOOGLEFINANCE(C46, ""price"") * GOOGLEFINANCE(C46, ""volumeavg""), 
      GOOGLEFINANCE(C46, ""price"") * AVERAGE(QUERY(GOOGLEFINANCE(C46, ""volume"", TODAY()-40, TODAY()), ""SELECT Col2 WHERE Col2 IS NOT NULL "&amp;"ORDER BY Col1 DESC LIMIT 20"", 0))
    )
  ), 
"""")"),1.10238406599E9)</f>
        <v>1102384066</v>
      </c>
      <c r="K46" s="21">
        <f>IFERROR(__xludf.DUMMYFUNCTION("IFERROR(GOOGLEFINANCE(C46, ""changepct"") / 100, """")"),0.0088)</f>
        <v>0.0088</v>
      </c>
      <c r="L46" s="21" t="str">
        <f>IFERROR(__xludf.DUMMYFUNCTION("IFERROR((GOOGLEFINANCE(C46, ""price"") / INDEX(GOOGLEFINANCE(C46, ""price"", TODAY()-7, TODAY()), 2, 2)) - 1, """")"),"")</f>
        <v/>
      </c>
      <c r="M46" s="21" t="str">
        <f>IFERROR(__xludf.DUMMYFUNCTION("IFERROR((GOOGLEFINANCE(C46, ""price"") / INDEX(GOOGLEFINANCE(C46, ""price"", EDATE(TODAY(), -1), TODAY()), 2, 2)) - 1, """")"),"")</f>
        <v/>
      </c>
      <c r="N46" s="21" t="str">
        <f>IFERROR(__xludf.DUMMYFUNCTION("IFERROR((GOOGLEFINANCE(C46, ""price"") / INDEX(GOOGLEFINANCE(C46, ""price"", EDATE(TODAY(), -3), TODAY()), 2, 2)) - 1, """")"),"")</f>
        <v/>
      </c>
      <c r="O46" s="21" t="str">
        <f>IFERROR(__xludf.DUMMYFUNCTION("IFERROR((GOOGLEFINANCE(C46, ""price"") / INDEX(GOOGLEFINANCE(C46, ""price"", EDATE(TODAY(), -6), TODAY()), 2, 2)) - 1, """")"),"")</f>
        <v/>
      </c>
      <c r="P46" s="21" t="str">
        <f>IFERROR(__xludf.DUMMYFUNCTION("IFERROR((GOOGLEFINANCE(C46, ""price"") / INDEX(GOOGLEFINANCE(C46, ""price"", EDATE(TODAY(), -12), TODAY()), 2, 2)) - 1, """")"),"")</f>
        <v/>
      </c>
      <c r="Q46" s="6" t="str">
        <f>IFERROR(__xludf.DUMMYFUNCTION("AVERAGE(QUERY(GOOGLEFINANCE(C46, ""price"", TODAY()-80, TODAY()), ""SELECT Col2 WHERE Col2 IS NOT NULL ORDER BY Col1 DESC LIMIT 50"", 0))"),"#N/A")</f>
        <v>#N/A</v>
      </c>
      <c r="R46" s="24" t="str">
        <f>IFERROR(__xludf.DUMMYFUNCTION("IFERROR(
  LET(
    data, QUERY(GOOGLEFINANCE(C46,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GOOGLEFINANCE(C46, ""price"")) * 100,
    IF(calc=0, G46, calc)
  ), 
G46)"),"#N/A")</f>
        <v>#N/A</v>
      </c>
      <c r="S46" s="8" t="s">
        <v>15</v>
      </c>
      <c r="T46" s="26" t="str">
        <f>IFERROR(__xludf.DUMMYFUNCTION("IFERROR(TRANSPOSE(QUERY(IFERROR(SORT(GOOGLEFINANCE(C46, ""price"", WORKDAY(TODAY(), -40), TODAY()), 1, FALSE)), ""select Col2 where Col2 is not null limit 22 label Col2 ''"", 0)), """")"),"")</f>
        <v/>
      </c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8"/>
      <c r="AO46" s="28"/>
      <c r="AP46" s="29"/>
      <c r="AQ46" s="29" t="str">
        <f t="shared" ref="AQ46:BL46" si="49">T46/T$2</f>
        <v>#N/A</v>
      </c>
      <c r="AR46" s="29" t="str">
        <f t="shared" si="49"/>
        <v>#DIV/0!</v>
      </c>
      <c r="AS46" s="29" t="str">
        <f t="shared" si="49"/>
        <v>#DIV/0!</v>
      </c>
      <c r="AT46" s="29" t="str">
        <f t="shared" si="49"/>
        <v>#DIV/0!</v>
      </c>
      <c r="AU46" s="29" t="str">
        <f t="shared" si="49"/>
        <v>#DIV/0!</v>
      </c>
      <c r="AV46" s="29" t="str">
        <f t="shared" si="49"/>
        <v>#DIV/0!</v>
      </c>
      <c r="AW46" s="29" t="str">
        <f t="shared" si="49"/>
        <v>#DIV/0!</v>
      </c>
      <c r="AX46" s="29" t="str">
        <f t="shared" si="49"/>
        <v>#DIV/0!</v>
      </c>
      <c r="AY46" s="29" t="str">
        <f t="shared" si="49"/>
        <v>#DIV/0!</v>
      </c>
      <c r="AZ46" s="29" t="str">
        <f t="shared" si="49"/>
        <v>#DIV/0!</v>
      </c>
      <c r="BA46" s="29" t="str">
        <f t="shared" si="49"/>
        <v>#DIV/0!</v>
      </c>
      <c r="BB46" s="29" t="str">
        <f t="shared" si="49"/>
        <v>#DIV/0!</v>
      </c>
      <c r="BC46" s="29" t="str">
        <f t="shared" si="49"/>
        <v>#DIV/0!</v>
      </c>
      <c r="BD46" s="29" t="str">
        <f t="shared" si="49"/>
        <v>#DIV/0!</v>
      </c>
      <c r="BE46" s="29" t="str">
        <f t="shared" si="49"/>
        <v>#DIV/0!</v>
      </c>
      <c r="BF46" s="29" t="str">
        <f t="shared" si="49"/>
        <v>#DIV/0!</v>
      </c>
      <c r="BG46" s="29" t="str">
        <f t="shared" si="49"/>
        <v>#DIV/0!</v>
      </c>
      <c r="BH46" s="29" t="str">
        <f t="shared" si="49"/>
        <v>#DIV/0!</v>
      </c>
      <c r="BI46" s="29" t="str">
        <f t="shared" si="49"/>
        <v>#DIV/0!</v>
      </c>
      <c r="BJ46" s="29" t="str">
        <f t="shared" si="49"/>
        <v>#DIV/0!</v>
      </c>
      <c r="BK46" s="29" t="str">
        <f t="shared" si="49"/>
        <v>#DIV/0!</v>
      </c>
      <c r="BL46" s="29" t="str">
        <f t="shared" si="49"/>
        <v>#DIV/0!</v>
      </c>
      <c r="BM46" s="29" t="str">
        <f t="shared" si="3"/>
        <v>#DIV/0!</v>
      </c>
    </row>
    <row r="47">
      <c r="A47" s="16" t="str">
        <f>IFERROR(__xludf.DUMMYFUNCTION("IFERROR(SPARKLINE(SORT(MAP(TRANSPOSE(AQ47:BL47), LAMBDA(val, IF(ISNUMBER(val), PERCENTRANK(AQ47:BL47, val)+0.01, 0))), SEQUENCE(COLUMNS(AQ47:BL47)), FALSE), {""charttype"",""column""; ""color"",""chartreuse""; ""ymin"", 0; ""ymax"", 1.01; ""highcolor"", "&amp;"""darkgreen""; ""lowcolor"", ""red""}), """")"),"")</f>
        <v/>
      </c>
      <c r="B47" s="17" t="str">
        <f t="shared" si="4"/>
        <v/>
      </c>
      <c r="C47" s="1" t="s">
        <v>318</v>
      </c>
      <c r="D47" s="30" t="str">
        <f>IFERROR(__xludf.DUMMYFUNCTION("IFERROR(GOOGLEFINANCE(C47, ""NAME""))"),"NetEase Inc")</f>
        <v>NetEase Inc</v>
      </c>
      <c r="E47" s="30" t="s">
        <v>94</v>
      </c>
      <c r="F47" s="33" t="str">
        <f>IFERROR(__xludf.DUMMYFUNCTION("( (GOOGLEFINANCE(C47, ""price"") - Q47) / Q47 ) / (R47 / 100)"),"Loading...")</f>
        <v>Loading...</v>
      </c>
      <c r="G47" s="20" t="str">
        <f>IFERROR(__xludf.DUMMYFUNCTION("AVERAGE(ARRAYFORMULA(100 * (QUERY(GOOGLEFINANCE(C47, ""high"", TODAY()-40, TODAY()), ""SELECT Col2 WHERE Col2 IS NOT NULL ORDER BY Col1 DESC LIMIT 20"", 0) / QUERY(GOOGLEFINANCE(C47, ""low"", TODAY()-40, TODAY()), ""SELECT Col2 WHERE Col2 IS NOT NULL ORDE"&amp;"R BY Col1 DESC LIMIT 20"", 0) - 1)))"),"#N/A")</f>
        <v>#N/A</v>
      </c>
      <c r="H47" s="35" t="str">
        <f t="shared" si="6"/>
        <v>Liquid</v>
      </c>
      <c r="I47" s="36" t="str">
        <f t="shared" si="7"/>
        <v>RVol Required</v>
      </c>
      <c r="J47" s="37">
        <f>IFERROR(__xludf.DUMMYFUNCTION("IFERROR(
  IF(C47="""",, 
    IFERROR(
      GOOGLEFINANCE(C47, ""price"") * GOOGLEFINANCE(C47, ""volumeavg""), 
      GOOGLEFINANCE(C47, ""price"") * AVERAGE(QUERY(GOOGLEFINANCE(C47, ""volume"", TODAY()-40, TODAY()), ""SELECT Col2 WHERE Col2 IS NOT NULL "&amp;"ORDER BY Col1 DESC LIMIT 20"", 0))
    )
  ), 
"""")"),8.154178494E7)</f>
        <v>81541784.94</v>
      </c>
      <c r="K47" s="21">
        <f>IFERROR(__xludf.DUMMYFUNCTION("IFERROR(GOOGLEFINANCE(C47, ""changepct"") / 100, """")"),-0.0083)</f>
        <v>-0.0083</v>
      </c>
      <c r="L47" s="21" t="str">
        <f>IFERROR(__xludf.DUMMYFUNCTION("IFERROR((GOOGLEFINANCE(C47, ""price"") / INDEX(GOOGLEFINANCE(C47, ""price"", TODAY()-7, TODAY()), 2, 2)) - 1, """")"),"")</f>
        <v/>
      </c>
      <c r="M47" s="21" t="str">
        <f>IFERROR(__xludf.DUMMYFUNCTION("IFERROR((GOOGLEFINANCE(C47, ""price"") / INDEX(GOOGLEFINANCE(C47, ""price"", EDATE(TODAY(), -1), TODAY()), 2, 2)) - 1, """")"),"")</f>
        <v/>
      </c>
      <c r="N47" s="21" t="str">
        <f>IFERROR(__xludf.DUMMYFUNCTION("IFERROR((GOOGLEFINANCE(C47, ""price"") / INDEX(GOOGLEFINANCE(C47, ""price"", EDATE(TODAY(), -3), TODAY()), 2, 2)) - 1, """")"),"")</f>
        <v/>
      </c>
      <c r="O47" s="21" t="str">
        <f>IFERROR(__xludf.DUMMYFUNCTION("IFERROR((GOOGLEFINANCE(C47, ""price"") / INDEX(GOOGLEFINANCE(C47, ""price"", EDATE(TODAY(), -6), TODAY()), 2, 2)) - 1, """")"),"")</f>
        <v/>
      </c>
      <c r="P47" s="21" t="str">
        <f>IFERROR(__xludf.DUMMYFUNCTION("IFERROR((GOOGLEFINANCE(C47, ""price"") / INDEX(GOOGLEFINANCE(C47, ""price"", EDATE(TODAY(), -12), TODAY()), 2, 2)) - 1, """")"),"")</f>
        <v/>
      </c>
      <c r="Q47" s="6" t="str">
        <f>IFERROR(__xludf.DUMMYFUNCTION("AVERAGE(QUERY(GOOGLEFINANCE(C47, ""price"", TODAY()-80, TODAY()), ""SELECT Col2 WHERE Col2 IS NOT NULL ORDER BY Col1 DESC LIMIT 50"", 0))"),"#N/A")</f>
        <v>#N/A</v>
      </c>
      <c r="R47" s="24" t="str">
        <f>IFERROR(__xludf.DUMMYFUNCTION("IFERROR(
  LET(
    data, QUERY(GOOGLEFINANCE(C47,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GOOGLEFINANCE(C47, ""price"")) * 100,
    IF(calc=0, G47, calc)
  ), 
G47)"),"#N/A")</f>
        <v>#N/A</v>
      </c>
      <c r="S47" s="8" t="s">
        <v>15</v>
      </c>
      <c r="T47" s="26" t="str">
        <f>IFERROR(__xludf.DUMMYFUNCTION("IFERROR(TRANSPOSE(QUERY(IFERROR(SORT(GOOGLEFINANCE(C47, ""price"", WORKDAY(TODAY(), -40), TODAY()), 1, FALSE)), ""select Col2 where Col2 is not null limit 22 label Col2 ''"", 0)), """")"),"")</f>
        <v/>
      </c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8"/>
      <c r="AO47" s="28"/>
      <c r="AP47" s="29"/>
      <c r="AQ47" s="29" t="str">
        <f t="shared" ref="AQ47:BL47" si="50">T47/T$2</f>
        <v>#N/A</v>
      </c>
      <c r="AR47" s="29" t="str">
        <f t="shared" si="50"/>
        <v>#DIV/0!</v>
      </c>
      <c r="AS47" s="29" t="str">
        <f t="shared" si="50"/>
        <v>#DIV/0!</v>
      </c>
      <c r="AT47" s="29" t="str">
        <f t="shared" si="50"/>
        <v>#DIV/0!</v>
      </c>
      <c r="AU47" s="29" t="str">
        <f t="shared" si="50"/>
        <v>#DIV/0!</v>
      </c>
      <c r="AV47" s="29" t="str">
        <f t="shared" si="50"/>
        <v>#DIV/0!</v>
      </c>
      <c r="AW47" s="29" t="str">
        <f t="shared" si="50"/>
        <v>#DIV/0!</v>
      </c>
      <c r="AX47" s="29" t="str">
        <f t="shared" si="50"/>
        <v>#DIV/0!</v>
      </c>
      <c r="AY47" s="29" t="str">
        <f t="shared" si="50"/>
        <v>#DIV/0!</v>
      </c>
      <c r="AZ47" s="29" t="str">
        <f t="shared" si="50"/>
        <v>#DIV/0!</v>
      </c>
      <c r="BA47" s="29" t="str">
        <f t="shared" si="50"/>
        <v>#DIV/0!</v>
      </c>
      <c r="BB47" s="29" t="str">
        <f t="shared" si="50"/>
        <v>#DIV/0!</v>
      </c>
      <c r="BC47" s="29" t="str">
        <f t="shared" si="50"/>
        <v>#DIV/0!</v>
      </c>
      <c r="BD47" s="29" t="str">
        <f t="shared" si="50"/>
        <v>#DIV/0!</v>
      </c>
      <c r="BE47" s="29" t="str">
        <f t="shared" si="50"/>
        <v>#DIV/0!</v>
      </c>
      <c r="BF47" s="29" t="str">
        <f t="shared" si="50"/>
        <v>#DIV/0!</v>
      </c>
      <c r="BG47" s="29" t="str">
        <f t="shared" si="50"/>
        <v>#DIV/0!</v>
      </c>
      <c r="BH47" s="29" t="str">
        <f t="shared" si="50"/>
        <v>#DIV/0!</v>
      </c>
      <c r="BI47" s="29" t="str">
        <f t="shared" si="50"/>
        <v>#DIV/0!</v>
      </c>
      <c r="BJ47" s="29" t="str">
        <f t="shared" si="50"/>
        <v>#DIV/0!</v>
      </c>
      <c r="BK47" s="29" t="str">
        <f t="shared" si="50"/>
        <v>#DIV/0!</v>
      </c>
      <c r="BL47" s="29" t="str">
        <f t="shared" si="50"/>
        <v>#DIV/0!</v>
      </c>
      <c r="BM47" s="29" t="str">
        <f t="shared" si="3"/>
        <v>#DIV/0!</v>
      </c>
    </row>
    <row r="48">
      <c r="A48" s="16" t="str">
        <f>IFERROR(__xludf.DUMMYFUNCTION("IFERROR(SPARKLINE(SORT(MAP(TRANSPOSE(AQ48:BL48), LAMBDA(val, IF(ISNUMBER(val), PERCENTRANK(AQ48:BL48, val)+0.01, 0))), SEQUENCE(COLUMNS(AQ48:BL48)), FALSE), {""charttype"",""column""; ""color"",""chartreuse""; ""ymin"", 0; ""ymax"", 1.01; ""highcolor"", "&amp;"""darkgreen""; ""lowcolor"", ""red""}), """")"),"")</f>
        <v/>
      </c>
      <c r="B48" s="17" t="str">
        <f t="shared" si="4"/>
        <v/>
      </c>
      <c r="C48" s="1" t="s">
        <v>331</v>
      </c>
      <c r="D48" s="30" t="str">
        <f>IFERROR(__xludf.DUMMYFUNCTION("IFERROR(GOOGLEFINANCE(C48, ""NAME""))"),"Transgene SA")</f>
        <v>Transgene SA</v>
      </c>
      <c r="E48" s="30" t="s">
        <v>176</v>
      </c>
      <c r="F48" s="33" t="str">
        <f>IFERROR(__xludf.DUMMYFUNCTION("( (GOOGLEFINANCE(C48, ""price"") - Q48) / Q48 ) / (R48 / 100)"),"Loading...")</f>
        <v>Loading...</v>
      </c>
      <c r="G48" s="20" t="str">
        <f>IFERROR(__xludf.DUMMYFUNCTION("AVERAGE(ARRAYFORMULA(100 * (QUERY(GOOGLEFINANCE(C48, ""high"", TODAY()-40, TODAY()), ""SELECT Col2 WHERE Col2 IS NOT NULL ORDER BY Col1 DESC LIMIT 20"", 0) / QUERY(GOOGLEFINANCE(C48, ""low"", TODAY()-40, TODAY()), ""SELECT Col2 WHERE Col2 IS NOT NULL ORDE"&amp;"R BY Col1 DESC LIMIT 20"", 0) - 1)))"),"#N/A")</f>
        <v>#N/A</v>
      </c>
      <c r="H48" s="35" t="str">
        <f t="shared" si="6"/>
        <v>Illiquid</v>
      </c>
      <c r="I48" s="36" t="str">
        <f t="shared" si="7"/>
        <v>RVol Required</v>
      </c>
      <c r="J48" s="37">
        <f>IFERROR(__xludf.DUMMYFUNCTION("IFERROR(
  IF(C48="""",, 
    IFERROR(
      GOOGLEFINANCE(C48, ""price"") * GOOGLEFINANCE(C48, ""volumeavg""), 
      GOOGLEFINANCE(C48, ""price"") * AVERAGE(QUERY(GOOGLEFINANCE(C48, ""volume"", TODAY()-40, TODAY()), ""SELECT Col2 WHERE Col2 IS NOT NULL "&amp;"ORDER BY Col1 DESC LIMIT 20"", 0))
    )
  ), 
"""")"),0.0)</f>
        <v>0</v>
      </c>
      <c r="K48" s="21">
        <f>IFERROR(__xludf.DUMMYFUNCTION("IFERROR(GOOGLEFINANCE(C48, ""changepct"") / 100, """")"),0.003)</f>
        <v>0.003</v>
      </c>
      <c r="L48" s="21" t="str">
        <f>IFERROR(__xludf.DUMMYFUNCTION("IFERROR((GOOGLEFINANCE(C48, ""price"") / INDEX(GOOGLEFINANCE(C48, ""price"", TODAY()-7, TODAY()), 2, 2)) - 1, """")"),"")</f>
        <v/>
      </c>
      <c r="M48" s="21" t="str">
        <f>IFERROR(__xludf.DUMMYFUNCTION("IFERROR((GOOGLEFINANCE(C48, ""price"") / INDEX(GOOGLEFINANCE(C48, ""price"", EDATE(TODAY(), -1), TODAY()), 2, 2)) - 1, """")"),"")</f>
        <v/>
      </c>
      <c r="N48" s="21" t="str">
        <f>IFERROR(__xludf.DUMMYFUNCTION("IFERROR((GOOGLEFINANCE(C48, ""price"") / INDEX(GOOGLEFINANCE(C48, ""price"", EDATE(TODAY(), -3), TODAY()), 2, 2)) - 1, """")"),"")</f>
        <v/>
      </c>
      <c r="O48" s="21" t="str">
        <f>IFERROR(__xludf.DUMMYFUNCTION("IFERROR((GOOGLEFINANCE(C48, ""price"") / INDEX(GOOGLEFINANCE(C48, ""price"", EDATE(TODAY(), -6), TODAY()), 2, 2)) - 1, """")"),"")</f>
        <v/>
      </c>
      <c r="P48" s="21" t="str">
        <f>IFERROR(__xludf.DUMMYFUNCTION("IFERROR((GOOGLEFINANCE(C48, ""price"") / INDEX(GOOGLEFINANCE(C48, ""price"", EDATE(TODAY(), -12), TODAY()), 2, 2)) - 1, """")"),"")</f>
        <v/>
      </c>
      <c r="Q48" s="6" t="str">
        <f>IFERROR(__xludf.DUMMYFUNCTION("AVERAGE(QUERY(GOOGLEFINANCE(C48, ""price"", TODAY()-80, TODAY()), ""SELECT Col2 WHERE Col2 IS NOT NULL ORDER BY Col1 DESC LIMIT 50"", 0))"),"#N/A")</f>
        <v>#N/A</v>
      </c>
      <c r="R48" s="24" t="str">
        <f>IFERROR(__xludf.DUMMYFUNCTION("IFERROR(
  LET(
    data, QUERY(GOOGLEFINANCE(C48,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GOOGLEFINANCE(C48, ""price"")) * 100,
    IF(calc=0, G48, calc)
  ), 
G48)"),"#N/A")</f>
        <v>#N/A</v>
      </c>
      <c r="S48" s="8" t="s">
        <v>15</v>
      </c>
      <c r="T48" s="26" t="str">
        <f>IFERROR(__xludf.DUMMYFUNCTION("IFERROR(TRANSPOSE(QUERY(IFERROR(SORT(GOOGLEFINANCE(C48, ""price"", WORKDAY(TODAY(), -40), TODAY()), 1, FALSE)), ""select Col2 where Col2 is not null limit 22 label Col2 ''"", 0)), """")"),"")</f>
        <v/>
      </c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8"/>
      <c r="AO48" s="28"/>
      <c r="AP48" s="29"/>
      <c r="AQ48" s="29" t="str">
        <f t="shared" ref="AQ48:BL48" si="51">T48/T$2</f>
        <v>#N/A</v>
      </c>
      <c r="AR48" s="29" t="str">
        <f t="shared" si="51"/>
        <v>#DIV/0!</v>
      </c>
      <c r="AS48" s="29" t="str">
        <f t="shared" si="51"/>
        <v>#DIV/0!</v>
      </c>
      <c r="AT48" s="29" t="str">
        <f t="shared" si="51"/>
        <v>#DIV/0!</v>
      </c>
      <c r="AU48" s="29" t="str">
        <f t="shared" si="51"/>
        <v>#DIV/0!</v>
      </c>
      <c r="AV48" s="29" t="str">
        <f t="shared" si="51"/>
        <v>#DIV/0!</v>
      </c>
      <c r="AW48" s="29" t="str">
        <f t="shared" si="51"/>
        <v>#DIV/0!</v>
      </c>
      <c r="AX48" s="29" t="str">
        <f t="shared" si="51"/>
        <v>#DIV/0!</v>
      </c>
      <c r="AY48" s="29" t="str">
        <f t="shared" si="51"/>
        <v>#DIV/0!</v>
      </c>
      <c r="AZ48" s="29" t="str">
        <f t="shared" si="51"/>
        <v>#DIV/0!</v>
      </c>
      <c r="BA48" s="29" t="str">
        <f t="shared" si="51"/>
        <v>#DIV/0!</v>
      </c>
      <c r="BB48" s="29" t="str">
        <f t="shared" si="51"/>
        <v>#DIV/0!</v>
      </c>
      <c r="BC48" s="29" t="str">
        <f t="shared" si="51"/>
        <v>#DIV/0!</v>
      </c>
      <c r="BD48" s="29" t="str">
        <f t="shared" si="51"/>
        <v>#DIV/0!</v>
      </c>
      <c r="BE48" s="29" t="str">
        <f t="shared" si="51"/>
        <v>#DIV/0!</v>
      </c>
      <c r="BF48" s="29" t="str">
        <f t="shared" si="51"/>
        <v>#DIV/0!</v>
      </c>
      <c r="BG48" s="29" t="str">
        <f t="shared" si="51"/>
        <v>#DIV/0!</v>
      </c>
      <c r="BH48" s="29" t="str">
        <f t="shared" si="51"/>
        <v>#DIV/0!</v>
      </c>
      <c r="BI48" s="29" t="str">
        <f t="shared" si="51"/>
        <v>#DIV/0!</v>
      </c>
      <c r="BJ48" s="29" t="str">
        <f t="shared" si="51"/>
        <v>#DIV/0!</v>
      </c>
      <c r="BK48" s="29" t="str">
        <f t="shared" si="51"/>
        <v>#DIV/0!</v>
      </c>
      <c r="BL48" s="29" t="str">
        <f t="shared" si="51"/>
        <v>#DIV/0!</v>
      </c>
      <c r="BM48" s="29" t="str">
        <f t="shared" si="3"/>
        <v>#DIV/0!</v>
      </c>
    </row>
    <row r="49">
      <c r="A49" s="16" t="str">
        <f>IFERROR(__xludf.DUMMYFUNCTION("IFERROR(SPARKLINE(SORT(MAP(TRANSPOSE(AQ49:BL49), LAMBDA(val, IF(ISNUMBER(val), PERCENTRANK(AQ49:BL49, val)+0.01, 0))), SEQUENCE(COLUMNS(AQ49:BL49)), FALSE), {""charttype"",""column""; ""color"",""chartreuse""; ""ymin"", 0; ""ymax"", 1.01; ""highcolor"", "&amp;"""darkgreen""; ""lowcolor"", ""red""}), """")"),"")</f>
        <v/>
      </c>
      <c r="B49" s="17" t="str">
        <f t="shared" si="4"/>
        <v/>
      </c>
      <c r="C49" s="1" t="s">
        <v>335</v>
      </c>
      <c r="D49" s="30" t="str">
        <f>IFERROR(__xludf.DUMMYFUNCTION("IFERROR(GOOGLEFINANCE(C49, ""NAME""))"),"Liberty Media Corporation (Nevada) Series A")</f>
        <v>Liberty Media Corporation (Nevada) Series A</v>
      </c>
      <c r="E49" s="30" t="s">
        <v>62</v>
      </c>
      <c r="F49" s="33" t="str">
        <f>IFERROR(__xludf.DUMMYFUNCTION("( (GOOGLEFINANCE(C49, ""price"") - Q49) / Q49 ) / (R49 / 100)"),"Loading...")</f>
        <v>Loading...</v>
      </c>
      <c r="G49" s="20" t="str">
        <f>IFERROR(__xludf.DUMMYFUNCTION("AVERAGE(ARRAYFORMULA(100 * (QUERY(GOOGLEFINANCE(C49, ""high"", TODAY()-40, TODAY()), ""SELECT Col2 WHERE Col2 IS NOT NULL ORDER BY Col1 DESC LIMIT 20"", 0) / QUERY(GOOGLEFINANCE(C49, ""low"", TODAY()-40, TODAY()), ""SELECT Col2 WHERE Col2 IS NOT NULL ORDE"&amp;"R BY Col1 DESC LIMIT 20"", 0) - 1)))"),"#N/A")</f>
        <v>#N/A</v>
      </c>
      <c r="H49" s="35" t="str">
        <f t="shared" si="6"/>
        <v>Illiquid</v>
      </c>
      <c r="I49" s="36" t="str">
        <f t="shared" si="7"/>
        <v>RVol Required</v>
      </c>
      <c r="J49" s="37">
        <f>IFERROR(__xludf.DUMMYFUNCTION("IFERROR(
  IF(C49="""",, 
    IFERROR(
      GOOGLEFINANCE(C49, ""price"") * GOOGLEFINANCE(C49, ""volumeavg""), 
      GOOGLEFINANCE(C49, ""price"") * AVERAGE(QUERY(GOOGLEFINANCE(C49, ""volume"", TODAY()-40, TODAY()), ""SELECT Col2 WHERE Col2 IS NOT NULL "&amp;"ORDER BY Col1 DESC LIMIT 20"", 0))
    )
  ), 
"""")"),1.769122148E7)</f>
        <v>17691221.48</v>
      </c>
      <c r="K49" s="21">
        <f>IFERROR(__xludf.DUMMYFUNCTION("IFERROR(GOOGLEFINANCE(C49, ""changepct"") / 100, """")"),-0.0017000000000000001)</f>
        <v>-0.0017</v>
      </c>
      <c r="L49" s="21" t="str">
        <f>IFERROR(__xludf.DUMMYFUNCTION("IFERROR((GOOGLEFINANCE(C49, ""price"") / INDEX(GOOGLEFINANCE(C49, ""price"", TODAY()-7, TODAY()), 2, 2)) - 1, """")"),"")</f>
        <v/>
      </c>
      <c r="M49" s="21" t="str">
        <f>IFERROR(__xludf.DUMMYFUNCTION("IFERROR((GOOGLEFINANCE(C49, ""price"") / INDEX(GOOGLEFINANCE(C49, ""price"", EDATE(TODAY(), -1), TODAY()), 2, 2)) - 1, """")"),"")</f>
        <v/>
      </c>
      <c r="N49" s="21" t="str">
        <f>IFERROR(__xludf.DUMMYFUNCTION("IFERROR((GOOGLEFINANCE(C49, ""price"") / INDEX(GOOGLEFINANCE(C49, ""price"", EDATE(TODAY(), -3), TODAY()), 2, 2)) - 1, """")"),"")</f>
        <v/>
      </c>
      <c r="O49" s="21" t="str">
        <f>IFERROR(__xludf.DUMMYFUNCTION("IFERROR((GOOGLEFINANCE(C49, ""price"") / INDEX(GOOGLEFINANCE(C49, ""price"", EDATE(TODAY(), -6), TODAY()), 2, 2)) - 1, """")"),"")</f>
        <v/>
      </c>
      <c r="P49" s="21" t="str">
        <f>IFERROR(__xludf.DUMMYFUNCTION("IFERROR((GOOGLEFINANCE(C49, ""price"") / INDEX(GOOGLEFINANCE(C49, ""price"", EDATE(TODAY(), -12), TODAY()), 2, 2)) - 1, """")"),"")</f>
        <v/>
      </c>
      <c r="Q49" s="6" t="str">
        <f>IFERROR(__xludf.DUMMYFUNCTION("AVERAGE(QUERY(GOOGLEFINANCE(C49, ""price"", TODAY()-80, TODAY()), ""SELECT Col2 WHERE Col2 IS NOT NULL ORDER BY Col1 DESC LIMIT 50"", 0))"),"#N/A")</f>
        <v>#N/A</v>
      </c>
      <c r="R49" s="24" t="str">
        <f>IFERROR(__xludf.DUMMYFUNCTION("IFERROR(
  LET(
    data, QUERY(GOOGLEFINANCE(C49,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GOOGLEFINANCE(C49, ""price"")) * 100,
    IF(calc=0, G49, calc)
  ), 
G49)"),"#N/A")</f>
        <v>#N/A</v>
      </c>
      <c r="S49" s="8" t="s">
        <v>15</v>
      </c>
      <c r="T49" s="26" t="str">
        <f>IFERROR(__xludf.DUMMYFUNCTION("IFERROR(TRANSPOSE(QUERY(IFERROR(SORT(GOOGLEFINANCE(C49, ""price"", WORKDAY(TODAY(), -40), TODAY()), 1, FALSE)), ""select Col2 where Col2 is not null limit 22 label Col2 ''"", 0)), """")"),"")</f>
        <v/>
      </c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8"/>
      <c r="AO49" s="28"/>
      <c r="AP49" s="29"/>
      <c r="AQ49" s="29" t="str">
        <f t="shared" ref="AQ49:BL49" si="52">T49/T$2</f>
        <v>#N/A</v>
      </c>
      <c r="AR49" s="29" t="str">
        <f t="shared" si="52"/>
        <v>#DIV/0!</v>
      </c>
      <c r="AS49" s="29" t="str">
        <f t="shared" si="52"/>
        <v>#DIV/0!</v>
      </c>
      <c r="AT49" s="29" t="str">
        <f t="shared" si="52"/>
        <v>#DIV/0!</v>
      </c>
      <c r="AU49" s="29" t="str">
        <f t="shared" si="52"/>
        <v>#DIV/0!</v>
      </c>
      <c r="AV49" s="29" t="str">
        <f t="shared" si="52"/>
        <v>#DIV/0!</v>
      </c>
      <c r="AW49" s="29" t="str">
        <f t="shared" si="52"/>
        <v>#DIV/0!</v>
      </c>
      <c r="AX49" s="29" t="str">
        <f t="shared" si="52"/>
        <v>#DIV/0!</v>
      </c>
      <c r="AY49" s="29" t="str">
        <f t="shared" si="52"/>
        <v>#DIV/0!</v>
      </c>
      <c r="AZ49" s="29" t="str">
        <f t="shared" si="52"/>
        <v>#DIV/0!</v>
      </c>
      <c r="BA49" s="29" t="str">
        <f t="shared" si="52"/>
        <v>#DIV/0!</v>
      </c>
      <c r="BB49" s="29" t="str">
        <f t="shared" si="52"/>
        <v>#DIV/0!</v>
      </c>
      <c r="BC49" s="29" t="str">
        <f t="shared" si="52"/>
        <v>#DIV/0!</v>
      </c>
      <c r="BD49" s="29" t="str">
        <f t="shared" si="52"/>
        <v>#DIV/0!</v>
      </c>
      <c r="BE49" s="29" t="str">
        <f t="shared" si="52"/>
        <v>#DIV/0!</v>
      </c>
      <c r="BF49" s="29" t="str">
        <f t="shared" si="52"/>
        <v>#DIV/0!</v>
      </c>
      <c r="BG49" s="29" t="str">
        <f t="shared" si="52"/>
        <v>#DIV/0!</v>
      </c>
      <c r="BH49" s="29" t="str">
        <f t="shared" si="52"/>
        <v>#DIV/0!</v>
      </c>
      <c r="BI49" s="29" t="str">
        <f t="shared" si="52"/>
        <v>#DIV/0!</v>
      </c>
      <c r="BJ49" s="29" t="str">
        <f t="shared" si="52"/>
        <v>#DIV/0!</v>
      </c>
      <c r="BK49" s="29" t="str">
        <f t="shared" si="52"/>
        <v>#DIV/0!</v>
      </c>
      <c r="BL49" s="29" t="str">
        <f t="shared" si="52"/>
        <v>#DIV/0!</v>
      </c>
      <c r="BM49" s="29" t="str">
        <f t="shared" si="3"/>
        <v>#DIV/0!</v>
      </c>
    </row>
    <row r="50">
      <c r="A50" s="16" t="str">
        <f>IFERROR(__xludf.DUMMYFUNCTION("IFERROR(SPARKLINE(SORT(MAP(TRANSPOSE(AQ50:BL50), LAMBDA(val, IF(ISNUMBER(val), PERCENTRANK(AQ50:BL50, val)+0.01, 0))), SEQUENCE(COLUMNS(AQ50:BL50)), FALSE), {""charttype"",""column""; ""color"",""chartreuse""; ""ymin"", 0; ""ymax"", 1.01; ""highcolor"", "&amp;"""darkgreen""; ""lowcolor"", ""red""}), """")"),"")</f>
        <v/>
      </c>
      <c r="B50" s="17" t="str">
        <f t="shared" si="4"/>
        <v/>
      </c>
      <c r="C50" s="1" t="s">
        <v>339</v>
      </c>
      <c r="D50" s="30" t="str">
        <f>IFERROR(__xludf.DUMMYFUNCTION("IFERROR(GOOGLEFINANCE(C50, ""NAME""))"),"Genius Sports Ltd")</f>
        <v>Genius Sports Ltd</v>
      </c>
      <c r="E50" s="30" t="s">
        <v>69</v>
      </c>
      <c r="F50" s="33" t="str">
        <f>IFERROR(__xludf.DUMMYFUNCTION("( (GOOGLEFINANCE(C50, ""price"") - Q50) / Q50 ) / (R50 / 100)"),"Loading...")</f>
        <v>Loading...</v>
      </c>
      <c r="G50" s="20" t="str">
        <f>IFERROR(__xludf.DUMMYFUNCTION("AVERAGE(ARRAYFORMULA(100 * (QUERY(GOOGLEFINANCE(C50, ""high"", TODAY()-40, TODAY()), ""SELECT Col2 WHERE Col2 IS NOT NULL ORDER BY Col1 DESC LIMIT 20"", 0) / QUERY(GOOGLEFINANCE(C50, ""low"", TODAY()-40, TODAY()), ""SELECT Col2 WHERE Col2 IS NOT NULL ORDE"&amp;"R BY Col1 DESC LIMIT 20"", 0) - 1)))"),"#N/A")</f>
        <v>#N/A</v>
      </c>
      <c r="H50" s="35" t="str">
        <f t="shared" si="6"/>
        <v>Illiquid</v>
      </c>
      <c r="I50" s="36" t="str">
        <f t="shared" si="7"/>
        <v>RVol Required</v>
      </c>
      <c r="J50" s="37">
        <f>IFERROR(__xludf.DUMMYFUNCTION("IFERROR(
  IF(C50="""",, 
    IFERROR(
      GOOGLEFINANCE(C50, ""price"") * GOOGLEFINANCE(C50, ""volumeavg""), 
      GOOGLEFINANCE(C50, ""price"") * AVERAGE(QUERY(GOOGLEFINANCE(C50, ""volume"", TODAY()-40, TODAY()), ""SELECT Col2 WHERE Col2 IS NOT NULL "&amp;"ORDER BY Col1 DESC LIMIT 20"", 0))
    )
  ), 
"""")"),4.712222605E7)</f>
        <v>47122226.05</v>
      </c>
      <c r="K50" s="21">
        <f>IFERROR(__xludf.DUMMYFUNCTION("IFERROR(GOOGLEFINANCE(C50, ""changepct"") / 100, """")"),-0.035)</f>
        <v>-0.035</v>
      </c>
      <c r="L50" s="21" t="str">
        <f>IFERROR(__xludf.DUMMYFUNCTION("IFERROR((GOOGLEFINANCE(C50, ""price"") / INDEX(GOOGLEFINANCE(C50, ""price"", TODAY()-7, TODAY()), 2, 2)) - 1, """")"),"")</f>
        <v/>
      </c>
      <c r="M50" s="21" t="str">
        <f>IFERROR(__xludf.DUMMYFUNCTION("IFERROR((GOOGLEFINANCE(C50, ""price"") / INDEX(GOOGLEFINANCE(C50, ""price"", EDATE(TODAY(), -1), TODAY()), 2, 2)) - 1, """")"),"")</f>
        <v/>
      </c>
      <c r="N50" s="21" t="str">
        <f>IFERROR(__xludf.DUMMYFUNCTION("IFERROR((GOOGLEFINANCE(C50, ""price"") / INDEX(GOOGLEFINANCE(C50, ""price"", EDATE(TODAY(), -3), TODAY()), 2, 2)) - 1, """")"),"")</f>
        <v/>
      </c>
      <c r="O50" s="21" t="str">
        <f>IFERROR(__xludf.DUMMYFUNCTION("IFERROR((GOOGLEFINANCE(C50, ""price"") / INDEX(GOOGLEFINANCE(C50, ""price"", EDATE(TODAY(), -6), TODAY()), 2, 2)) - 1, """")"),"")</f>
        <v/>
      </c>
      <c r="P50" s="21" t="str">
        <f>IFERROR(__xludf.DUMMYFUNCTION("IFERROR((GOOGLEFINANCE(C50, ""price"") / INDEX(GOOGLEFINANCE(C50, ""price"", EDATE(TODAY(), -12), TODAY()), 2, 2)) - 1, """")"),"")</f>
        <v/>
      </c>
      <c r="Q50" s="6" t="str">
        <f>IFERROR(__xludf.DUMMYFUNCTION("AVERAGE(QUERY(GOOGLEFINANCE(C50, ""price"", TODAY()-80, TODAY()), ""SELECT Col2 WHERE Col2 IS NOT NULL ORDER BY Col1 DESC LIMIT 50"", 0))"),"#N/A")</f>
        <v>#N/A</v>
      </c>
      <c r="R50" s="24" t="str">
        <f>IFERROR(__xludf.DUMMYFUNCTION("IFERROR(
  LET(
    data, QUERY(GOOGLEFINANCE(C50,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GOOGLEFINANCE(C50, ""price"")) * 100,
    IF(calc=0, G50, calc)
  ), 
G50)"),"#N/A")</f>
        <v>#N/A</v>
      </c>
      <c r="S50" s="8" t="s">
        <v>15</v>
      </c>
      <c r="T50" s="26" t="str">
        <f>IFERROR(__xludf.DUMMYFUNCTION("IFERROR(TRANSPOSE(QUERY(IFERROR(SORT(GOOGLEFINANCE(C50, ""price"", WORKDAY(TODAY(), -40), TODAY()), 1, FALSE)), ""select Col2 where Col2 is not null limit 22 label Col2 ''"", 0)), """")"),"")</f>
        <v/>
      </c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8"/>
      <c r="AO50" s="28"/>
      <c r="AP50" s="29"/>
      <c r="AQ50" s="29" t="str">
        <f t="shared" ref="AQ50:BL50" si="53">T50/T$2</f>
        <v>#N/A</v>
      </c>
      <c r="AR50" s="29" t="str">
        <f t="shared" si="53"/>
        <v>#DIV/0!</v>
      </c>
      <c r="AS50" s="29" t="str">
        <f t="shared" si="53"/>
        <v>#DIV/0!</v>
      </c>
      <c r="AT50" s="29" t="str">
        <f t="shared" si="53"/>
        <v>#DIV/0!</v>
      </c>
      <c r="AU50" s="29" t="str">
        <f t="shared" si="53"/>
        <v>#DIV/0!</v>
      </c>
      <c r="AV50" s="29" t="str">
        <f t="shared" si="53"/>
        <v>#DIV/0!</v>
      </c>
      <c r="AW50" s="29" t="str">
        <f t="shared" si="53"/>
        <v>#DIV/0!</v>
      </c>
      <c r="AX50" s="29" t="str">
        <f t="shared" si="53"/>
        <v>#DIV/0!</v>
      </c>
      <c r="AY50" s="29" t="str">
        <f t="shared" si="53"/>
        <v>#DIV/0!</v>
      </c>
      <c r="AZ50" s="29" t="str">
        <f t="shared" si="53"/>
        <v>#DIV/0!</v>
      </c>
      <c r="BA50" s="29" t="str">
        <f t="shared" si="53"/>
        <v>#DIV/0!</v>
      </c>
      <c r="BB50" s="29" t="str">
        <f t="shared" si="53"/>
        <v>#DIV/0!</v>
      </c>
      <c r="BC50" s="29" t="str">
        <f t="shared" si="53"/>
        <v>#DIV/0!</v>
      </c>
      <c r="BD50" s="29" t="str">
        <f t="shared" si="53"/>
        <v>#DIV/0!</v>
      </c>
      <c r="BE50" s="29" t="str">
        <f t="shared" si="53"/>
        <v>#DIV/0!</v>
      </c>
      <c r="BF50" s="29" t="str">
        <f t="shared" si="53"/>
        <v>#DIV/0!</v>
      </c>
      <c r="BG50" s="29" t="str">
        <f t="shared" si="53"/>
        <v>#DIV/0!</v>
      </c>
      <c r="BH50" s="29" t="str">
        <f t="shared" si="53"/>
        <v>#DIV/0!</v>
      </c>
      <c r="BI50" s="29" t="str">
        <f t="shared" si="53"/>
        <v>#DIV/0!</v>
      </c>
      <c r="BJ50" s="29" t="str">
        <f t="shared" si="53"/>
        <v>#DIV/0!</v>
      </c>
      <c r="BK50" s="29" t="str">
        <f t="shared" si="53"/>
        <v>#DIV/0!</v>
      </c>
      <c r="BL50" s="29" t="str">
        <f t="shared" si="53"/>
        <v>#DIV/0!</v>
      </c>
      <c r="BM50" s="29" t="str">
        <f t="shared" si="3"/>
        <v>#DIV/0!</v>
      </c>
    </row>
    <row r="51">
      <c r="A51" s="16" t="str">
        <f>IFERROR(__xludf.DUMMYFUNCTION("IFERROR(SPARKLINE(SORT(MAP(TRANSPOSE(AQ51:BL51), LAMBDA(val, IF(ISNUMBER(val), PERCENTRANK(AQ51:BL51, val)+0.01, 0))), SEQUENCE(COLUMNS(AQ51:BL51)), FALSE), {""charttype"",""column""; ""color"",""chartreuse""; ""ymin"", 0; ""ymax"", 1.01; ""highcolor"", "&amp;"""darkgreen""; ""lowcolor"", ""red""}), """")"),"")</f>
        <v/>
      </c>
      <c r="B51" s="17" t="str">
        <f t="shared" si="4"/>
        <v/>
      </c>
      <c r="C51" s="1" t="s">
        <v>350</v>
      </c>
      <c r="D51" s="30" t="str">
        <f>IFERROR(__xludf.DUMMYFUNCTION("IFERROR(GOOGLEFINANCE(C51, ""NAME""))"),"Spotify Technology SA")</f>
        <v>Spotify Technology SA</v>
      </c>
      <c r="E51" s="30" t="s">
        <v>69</v>
      </c>
      <c r="F51" s="33" t="str">
        <f>IFERROR(__xludf.DUMMYFUNCTION("( (GOOGLEFINANCE(C51, ""price"") - Q51) / Q51 ) / (R51 / 100)"),"Loading...")</f>
        <v>Loading...</v>
      </c>
      <c r="G51" s="20" t="str">
        <f>IFERROR(__xludf.DUMMYFUNCTION("AVERAGE(ARRAYFORMULA(100 * (QUERY(GOOGLEFINANCE(C51, ""high"", TODAY()-40, TODAY()), ""SELECT Col2 WHERE Col2 IS NOT NULL ORDER BY Col1 DESC LIMIT 20"", 0) / QUERY(GOOGLEFINANCE(C51, ""low"", TODAY()-40, TODAY()), ""SELECT Col2 WHERE Col2 IS NOT NULL ORDE"&amp;"R BY Col1 DESC LIMIT 20"", 0) - 1)))"),"#N/A")</f>
        <v>#N/A</v>
      </c>
      <c r="H51" s="35" t="str">
        <f t="shared" si="6"/>
        <v>Liquid</v>
      </c>
      <c r="I51" s="36" t="str">
        <f t="shared" si="7"/>
        <v>No RVol Required</v>
      </c>
      <c r="J51" s="37">
        <f>IFERROR(__xludf.DUMMYFUNCTION("IFERROR(
  IF(C51="""",, 
    IFERROR(
      GOOGLEFINANCE(C51, ""price"") * GOOGLEFINANCE(C51, ""volumeavg""), 
      GOOGLEFINANCE(C51, ""price"") * AVERAGE(QUERY(GOOGLEFINANCE(C51, ""volume"", TODAY()-40, TODAY()), ""SELECT Col2 WHERE Col2 IS NOT NULL "&amp;"ORDER BY Col1 DESC LIMIT 20"", 0))
    )
  ), 
"""")"),7.665454666800001E8)</f>
        <v>766545466.7</v>
      </c>
      <c r="K51" s="21">
        <f>IFERROR(__xludf.DUMMYFUNCTION("IFERROR(GOOGLEFINANCE(C51, ""changepct"") / 100, """")"),-0.0055000000000000005)</f>
        <v>-0.0055</v>
      </c>
      <c r="L51" s="21" t="str">
        <f>IFERROR(__xludf.DUMMYFUNCTION("IFERROR((GOOGLEFINANCE(C51, ""price"") / INDEX(GOOGLEFINANCE(C51, ""price"", TODAY()-7, TODAY()), 2, 2)) - 1, """")"),"")</f>
        <v/>
      </c>
      <c r="M51" s="21" t="str">
        <f>IFERROR(__xludf.DUMMYFUNCTION("IFERROR((GOOGLEFINANCE(C51, ""price"") / INDEX(GOOGLEFINANCE(C51, ""price"", EDATE(TODAY(), -1), TODAY()), 2, 2)) - 1, """")"),"")</f>
        <v/>
      </c>
      <c r="N51" s="21" t="str">
        <f>IFERROR(__xludf.DUMMYFUNCTION("IFERROR((GOOGLEFINANCE(C51, ""price"") / INDEX(GOOGLEFINANCE(C51, ""price"", EDATE(TODAY(), -3), TODAY()), 2, 2)) - 1, """")"),"")</f>
        <v/>
      </c>
      <c r="O51" s="21" t="str">
        <f>IFERROR(__xludf.DUMMYFUNCTION("IFERROR((GOOGLEFINANCE(C51, ""price"") / INDEX(GOOGLEFINANCE(C51, ""price"", EDATE(TODAY(), -6), TODAY()), 2, 2)) - 1, """")"),"")</f>
        <v/>
      </c>
      <c r="P51" s="21" t="str">
        <f>IFERROR(__xludf.DUMMYFUNCTION("IFERROR((GOOGLEFINANCE(C51, ""price"") / INDEX(GOOGLEFINANCE(C51, ""price"", EDATE(TODAY(), -12), TODAY()), 2, 2)) - 1, """")"),"")</f>
        <v/>
      </c>
      <c r="Q51" s="6" t="str">
        <f>IFERROR(__xludf.DUMMYFUNCTION("AVERAGE(QUERY(GOOGLEFINANCE(C51, ""price"", TODAY()-80, TODAY()), ""SELECT Col2 WHERE Col2 IS NOT NULL ORDER BY Col1 DESC LIMIT 50"", 0))"),"#N/A")</f>
        <v>#N/A</v>
      </c>
      <c r="R51" s="24" t="str">
        <f>IFERROR(__xludf.DUMMYFUNCTION("IFERROR(
  LET(
    data, QUERY(GOOGLEFINANCE(C51,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GOOGLEFINANCE(C51, ""price"")) * 100,
    IF(calc=0, G51, calc)
  ), 
G51)"),"#N/A")</f>
        <v>#N/A</v>
      </c>
      <c r="S51" s="8" t="s">
        <v>15</v>
      </c>
      <c r="T51" s="26" t="str">
        <f>IFERROR(__xludf.DUMMYFUNCTION("IFERROR(TRANSPOSE(QUERY(IFERROR(SORT(GOOGLEFINANCE(C51, ""price"", WORKDAY(TODAY(), -40), TODAY()), 1, FALSE)), ""select Col2 where Col2 is not null limit 22 label Col2 ''"", 0)), """")"),"")</f>
        <v/>
      </c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8"/>
      <c r="AO51" s="28"/>
      <c r="AP51" s="29"/>
      <c r="AQ51" s="29" t="str">
        <f t="shared" ref="AQ51:BL51" si="54">T51/T$2</f>
        <v>#N/A</v>
      </c>
      <c r="AR51" s="29" t="str">
        <f t="shared" si="54"/>
        <v>#DIV/0!</v>
      </c>
      <c r="AS51" s="29" t="str">
        <f t="shared" si="54"/>
        <v>#DIV/0!</v>
      </c>
      <c r="AT51" s="29" t="str">
        <f t="shared" si="54"/>
        <v>#DIV/0!</v>
      </c>
      <c r="AU51" s="29" t="str">
        <f t="shared" si="54"/>
        <v>#DIV/0!</v>
      </c>
      <c r="AV51" s="29" t="str">
        <f t="shared" si="54"/>
        <v>#DIV/0!</v>
      </c>
      <c r="AW51" s="29" t="str">
        <f t="shared" si="54"/>
        <v>#DIV/0!</v>
      </c>
      <c r="AX51" s="29" t="str">
        <f t="shared" si="54"/>
        <v>#DIV/0!</v>
      </c>
      <c r="AY51" s="29" t="str">
        <f t="shared" si="54"/>
        <v>#DIV/0!</v>
      </c>
      <c r="AZ51" s="29" t="str">
        <f t="shared" si="54"/>
        <v>#DIV/0!</v>
      </c>
      <c r="BA51" s="29" t="str">
        <f t="shared" si="54"/>
        <v>#DIV/0!</v>
      </c>
      <c r="BB51" s="29" t="str">
        <f t="shared" si="54"/>
        <v>#DIV/0!</v>
      </c>
      <c r="BC51" s="29" t="str">
        <f t="shared" si="54"/>
        <v>#DIV/0!</v>
      </c>
      <c r="BD51" s="29" t="str">
        <f t="shared" si="54"/>
        <v>#DIV/0!</v>
      </c>
      <c r="BE51" s="29" t="str">
        <f t="shared" si="54"/>
        <v>#DIV/0!</v>
      </c>
      <c r="BF51" s="29" t="str">
        <f t="shared" si="54"/>
        <v>#DIV/0!</v>
      </c>
      <c r="BG51" s="29" t="str">
        <f t="shared" si="54"/>
        <v>#DIV/0!</v>
      </c>
      <c r="BH51" s="29" t="str">
        <f t="shared" si="54"/>
        <v>#DIV/0!</v>
      </c>
      <c r="BI51" s="29" t="str">
        <f t="shared" si="54"/>
        <v>#DIV/0!</v>
      </c>
      <c r="BJ51" s="29" t="str">
        <f t="shared" si="54"/>
        <v>#DIV/0!</v>
      </c>
      <c r="BK51" s="29" t="str">
        <f t="shared" si="54"/>
        <v>#DIV/0!</v>
      </c>
      <c r="BL51" s="29" t="str">
        <f t="shared" si="54"/>
        <v>#DIV/0!</v>
      </c>
      <c r="BM51" s="29" t="str">
        <f t="shared" si="3"/>
        <v>#DIV/0!</v>
      </c>
    </row>
    <row r="52">
      <c r="A52" s="16" t="str">
        <f>IFERROR(__xludf.DUMMYFUNCTION("IFERROR(SPARKLINE(SORT(MAP(TRANSPOSE(AQ52:BL52), LAMBDA(val, IF(ISNUMBER(val), PERCENTRANK(AQ52:BL52, val)+0.01, 0))), SEQUENCE(COLUMNS(AQ52:BL52)), FALSE), {""charttype"",""column""; ""color"",""chartreuse""; ""ymin"", 0; ""ymax"", 1.01; ""highcolor"", "&amp;"""darkgreen""; ""lowcolor"", ""red""}), """")"),"")</f>
        <v/>
      </c>
      <c r="B52" s="17" t="str">
        <f t="shared" si="4"/>
        <v/>
      </c>
      <c r="C52" s="1" t="s">
        <v>359</v>
      </c>
      <c r="D52" s="30" t="str">
        <f>IFERROR(__xludf.DUMMYFUNCTION("IFERROR(GOOGLEFINANCE(C52, ""NAME""))"),"Globalstar, Inc.")</f>
        <v>Globalstar, Inc.</v>
      </c>
      <c r="E52" s="30" t="s">
        <v>52</v>
      </c>
      <c r="F52" s="33" t="str">
        <f>IFERROR(__xludf.DUMMYFUNCTION("( (GOOGLEFINANCE(C52, ""price"") - Q52) / Q52 ) / (R52 / 100)"),"Loading...")</f>
        <v>Loading...</v>
      </c>
      <c r="G52" s="20" t="str">
        <f>IFERROR(__xludf.DUMMYFUNCTION("AVERAGE(ARRAYFORMULA(100 * (QUERY(GOOGLEFINANCE(C52, ""high"", TODAY()-40, TODAY()), ""SELECT Col2 WHERE Col2 IS NOT NULL ORDER BY Col1 DESC LIMIT 20"", 0) / QUERY(GOOGLEFINANCE(C52, ""low"", TODAY()-40, TODAY()), ""SELECT Col2 WHERE Col2 IS NOT NULL ORDE"&amp;"R BY Col1 DESC LIMIT 20"", 0) - 1)))"),"#N/A")</f>
        <v>#N/A</v>
      </c>
      <c r="H52" s="35" t="str">
        <f t="shared" si="6"/>
        <v>Illiquid</v>
      </c>
      <c r="I52" s="36" t="str">
        <f t="shared" si="7"/>
        <v>RVol Required</v>
      </c>
      <c r="J52" s="37">
        <f>IFERROR(__xludf.DUMMYFUNCTION("IFERROR(
  IF(C52="""",, 
    IFERROR(
      GOOGLEFINANCE(C52, ""price"") * GOOGLEFINANCE(C52, ""volumeavg""), 
      GOOGLEFINANCE(C52, ""price"") * AVERAGE(QUERY(GOOGLEFINANCE(C52, ""volume"", TODAY()-40, TODAY()), ""SELECT Col2 WHERE Col2 IS NOT NULL "&amp;"ORDER BY Col1 DESC LIMIT 20"", 0))
    )
  ), 
"""")"),4.817944872E7)</f>
        <v>48179448.72</v>
      </c>
      <c r="K52" s="21">
        <f>IFERROR(__xludf.DUMMYFUNCTION("IFERROR(GOOGLEFINANCE(C52, ""changepct"") / 100, """")"),-0.0070999999999999995)</f>
        <v>-0.0071</v>
      </c>
      <c r="L52" s="21" t="str">
        <f>IFERROR(__xludf.DUMMYFUNCTION("IFERROR((GOOGLEFINANCE(C52, ""price"") / INDEX(GOOGLEFINANCE(C52, ""price"", TODAY()-7, TODAY()), 2, 2)) - 1, """")"),"")</f>
        <v/>
      </c>
      <c r="M52" s="21" t="str">
        <f>IFERROR(__xludf.DUMMYFUNCTION("IFERROR((GOOGLEFINANCE(C52, ""price"") / INDEX(GOOGLEFINANCE(C52, ""price"", EDATE(TODAY(), -1), TODAY()), 2, 2)) - 1, """")"),"")</f>
        <v/>
      </c>
      <c r="N52" s="21" t="str">
        <f>IFERROR(__xludf.DUMMYFUNCTION("IFERROR((GOOGLEFINANCE(C52, ""price"") / INDEX(GOOGLEFINANCE(C52, ""price"", EDATE(TODAY(), -3), TODAY()), 2, 2)) - 1, """")"),"")</f>
        <v/>
      </c>
      <c r="O52" s="21" t="str">
        <f>IFERROR(__xludf.DUMMYFUNCTION("IFERROR((GOOGLEFINANCE(C52, ""price"") / INDEX(GOOGLEFINANCE(C52, ""price"", EDATE(TODAY(), -6), TODAY()), 2, 2)) - 1, """")"),"")</f>
        <v/>
      </c>
      <c r="P52" s="21" t="str">
        <f>IFERROR(__xludf.DUMMYFUNCTION("IFERROR((GOOGLEFINANCE(C52, ""price"") / INDEX(GOOGLEFINANCE(C52, ""price"", EDATE(TODAY(), -12), TODAY()), 2, 2)) - 1, """")"),"")</f>
        <v/>
      </c>
      <c r="Q52" s="6" t="str">
        <f>IFERROR(__xludf.DUMMYFUNCTION("AVERAGE(QUERY(GOOGLEFINANCE(C52, ""price"", TODAY()-80, TODAY()), ""SELECT Col2 WHERE Col2 IS NOT NULL ORDER BY Col1 DESC LIMIT 50"", 0))"),"#N/A")</f>
        <v>#N/A</v>
      </c>
      <c r="R52" s="24" t="str">
        <f>IFERROR(__xludf.DUMMYFUNCTION("IFERROR(
  LET(
    data, QUERY(GOOGLEFINANCE(C52,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GOOGLEFINANCE(C52, ""price"")) * 100,
    IF(calc=0, G52, calc)
  ), 
G52)"),"#N/A")</f>
        <v>#N/A</v>
      </c>
      <c r="S52" s="8" t="s">
        <v>15</v>
      </c>
      <c r="T52" s="26" t="str">
        <f>IFERROR(__xludf.DUMMYFUNCTION("IFERROR(TRANSPOSE(QUERY(IFERROR(SORT(GOOGLEFINANCE(C52, ""price"", WORKDAY(TODAY(), -40), TODAY()), 1, FALSE)), ""select Col2 where Col2 is not null limit 22 label Col2 ''"", 0)), """")"),"")</f>
        <v/>
      </c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8"/>
      <c r="AO52" s="28"/>
      <c r="AP52" s="29"/>
      <c r="AQ52" s="29" t="str">
        <f t="shared" ref="AQ52:BL52" si="55">T52/T$2</f>
        <v>#N/A</v>
      </c>
      <c r="AR52" s="29" t="str">
        <f t="shared" si="55"/>
        <v>#DIV/0!</v>
      </c>
      <c r="AS52" s="29" t="str">
        <f t="shared" si="55"/>
        <v>#DIV/0!</v>
      </c>
      <c r="AT52" s="29" t="str">
        <f t="shared" si="55"/>
        <v>#DIV/0!</v>
      </c>
      <c r="AU52" s="29" t="str">
        <f t="shared" si="55"/>
        <v>#DIV/0!</v>
      </c>
      <c r="AV52" s="29" t="str">
        <f t="shared" si="55"/>
        <v>#DIV/0!</v>
      </c>
      <c r="AW52" s="29" t="str">
        <f t="shared" si="55"/>
        <v>#DIV/0!</v>
      </c>
      <c r="AX52" s="29" t="str">
        <f t="shared" si="55"/>
        <v>#DIV/0!</v>
      </c>
      <c r="AY52" s="29" t="str">
        <f t="shared" si="55"/>
        <v>#DIV/0!</v>
      </c>
      <c r="AZ52" s="29" t="str">
        <f t="shared" si="55"/>
        <v>#DIV/0!</v>
      </c>
      <c r="BA52" s="29" t="str">
        <f t="shared" si="55"/>
        <v>#DIV/0!</v>
      </c>
      <c r="BB52" s="29" t="str">
        <f t="shared" si="55"/>
        <v>#DIV/0!</v>
      </c>
      <c r="BC52" s="29" t="str">
        <f t="shared" si="55"/>
        <v>#DIV/0!</v>
      </c>
      <c r="BD52" s="29" t="str">
        <f t="shared" si="55"/>
        <v>#DIV/0!</v>
      </c>
      <c r="BE52" s="29" t="str">
        <f t="shared" si="55"/>
        <v>#DIV/0!</v>
      </c>
      <c r="BF52" s="29" t="str">
        <f t="shared" si="55"/>
        <v>#DIV/0!</v>
      </c>
      <c r="BG52" s="29" t="str">
        <f t="shared" si="55"/>
        <v>#DIV/0!</v>
      </c>
      <c r="BH52" s="29" t="str">
        <f t="shared" si="55"/>
        <v>#DIV/0!</v>
      </c>
      <c r="BI52" s="29" t="str">
        <f t="shared" si="55"/>
        <v>#DIV/0!</v>
      </c>
      <c r="BJ52" s="29" t="str">
        <f t="shared" si="55"/>
        <v>#DIV/0!</v>
      </c>
      <c r="BK52" s="29" t="str">
        <f t="shared" si="55"/>
        <v>#DIV/0!</v>
      </c>
      <c r="BL52" s="29" t="str">
        <f t="shared" si="55"/>
        <v>#DIV/0!</v>
      </c>
      <c r="BM52" s="29" t="str">
        <f t="shared" si="3"/>
        <v>#DIV/0!</v>
      </c>
    </row>
    <row r="53">
      <c r="A53" s="16" t="str">
        <f>IFERROR(__xludf.DUMMYFUNCTION("IFERROR(SPARKLINE(SORT(MAP(TRANSPOSE(AQ53:BL53), LAMBDA(val, IF(ISNUMBER(val), PERCENTRANK(AQ53:BL53, val)+0.01, 0))), SEQUENCE(COLUMNS(AQ53:BL53)), FALSE), {""charttype"",""column""; ""color"",""chartreuse""; ""ymin"", 0; ""ymax"", 1.01; ""highcolor"", "&amp;"""darkgreen""; ""lowcolor"", ""red""}), """")"),"")</f>
        <v/>
      </c>
      <c r="B53" s="17" t="str">
        <f t="shared" si="4"/>
        <v/>
      </c>
      <c r="C53" s="1" t="s">
        <v>363</v>
      </c>
      <c r="D53" s="30" t="str">
        <f>IFERROR(__xludf.DUMMYFUNCTION("IFERROR(GOOGLEFINANCE(C53, ""NAME""))"),"Lumen Technologies Inc")</f>
        <v>Lumen Technologies Inc</v>
      </c>
      <c r="E53" s="30" t="s">
        <v>52</v>
      </c>
      <c r="F53" s="33" t="str">
        <f>IFERROR(__xludf.DUMMYFUNCTION("( (GOOGLEFINANCE(C53, ""price"") - Q53) / Q53 ) / (R53 / 100)"),"Loading...")</f>
        <v>Loading...</v>
      </c>
      <c r="G53" s="20" t="str">
        <f>IFERROR(__xludf.DUMMYFUNCTION("AVERAGE(ARRAYFORMULA(100 * (QUERY(GOOGLEFINANCE(C53, ""high"", TODAY()-40, TODAY()), ""SELECT Col2 WHERE Col2 IS NOT NULL ORDER BY Col1 DESC LIMIT 20"", 0) / QUERY(GOOGLEFINANCE(C53, ""low"", TODAY()-40, TODAY()), ""SELECT Col2 WHERE Col2 IS NOT NULL ORDE"&amp;"R BY Col1 DESC LIMIT 20"", 0) - 1)))"),"#N/A")</f>
        <v>#N/A</v>
      </c>
      <c r="H53" s="35" t="str">
        <f t="shared" si="6"/>
        <v>Liquid</v>
      </c>
      <c r="I53" s="36" t="str">
        <f t="shared" si="7"/>
        <v>RVol Required</v>
      </c>
      <c r="J53" s="37">
        <f>IFERROR(__xludf.DUMMYFUNCTION("IFERROR(
  IF(C53="""",, 
    IFERROR(
      GOOGLEFINANCE(C53, ""price"") * GOOGLEFINANCE(C53, ""volumeavg""), 
      GOOGLEFINANCE(C53, ""price"") * AVERAGE(QUERY(GOOGLEFINANCE(C53, ""volume"", TODAY()-40, TODAY()), ""SELECT Col2 WHERE Col2 IS NOT NULL "&amp;"ORDER BY Col1 DESC LIMIT 20"", 0))
    )
  ), 
"""")"),6.042744558E7)</f>
        <v>60427445.58</v>
      </c>
      <c r="K53" s="21">
        <f>IFERROR(__xludf.DUMMYFUNCTION("IFERROR(GOOGLEFINANCE(C53, ""changepct"") / 100, """")"),-0.042199999999999994)</f>
        <v>-0.0422</v>
      </c>
      <c r="L53" s="21" t="str">
        <f>IFERROR(__xludf.DUMMYFUNCTION("IFERROR((GOOGLEFINANCE(C53, ""price"") / INDEX(GOOGLEFINANCE(C53, ""price"", TODAY()-7, TODAY()), 2, 2)) - 1, """")"),"")</f>
        <v/>
      </c>
      <c r="M53" s="21" t="str">
        <f>IFERROR(__xludf.DUMMYFUNCTION("IFERROR((GOOGLEFINANCE(C53, ""price"") / INDEX(GOOGLEFINANCE(C53, ""price"", EDATE(TODAY(), -1), TODAY()), 2, 2)) - 1, """")"),"")</f>
        <v/>
      </c>
      <c r="N53" s="21" t="str">
        <f>IFERROR(__xludf.DUMMYFUNCTION("IFERROR((GOOGLEFINANCE(C53, ""price"") / INDEX(GOOGLEFINANCE(C53, ""price"", EDATE(TODAY(), -3), TODAY()), 2, 2)) - 1, """")"),"")</f>
        <v/>
      </c>
      <c r="O53" s="21" t="str">
        <f>IFERROR(__xludf.DUMMYFUNCTION("IFERROR((GOOGLEFINANCE(C53, ""price"") / INDEX(GOOGLEFINANCE(C53, ""price"", EDATE(TODAY(), -6), TODAY()), 2, 2)) - 1, """")"),"")</f>
        <v/>
      </c>
      <c r="P53" s="21" t="str">
        <f>IFERROR(__xludf.DUMMYFUNCTION("IFERROR((GOOGLEFINANCE(C53, ""price"") / INDEX(GOOGLEFINANCE(C53, ""price"", EDATE(TODAY(), -12), TODAY()), 2, 2)) - 1, """")"),"")</f>
        <v/>
      </c>
      <c r="Q53" s="6" t="str">
        <f>IFERROR(__xludf.DUMMYFUNCTION("AVERAGE(QUERY(GOOGLEFINANCE(C53, ""price"", TODAY()-80, TODAY()), ""SELECT Col2 WHERE Col2 IS NOT NULL ORDER BY Col1 DESC LIMIT 50"", 0))"),"#N/A")</f>
        <v>#N/A</v>
      </c>
      <c r="R53" s="24" t="str">
        <f>IFERROR(__xludf.DUMMYFUNCTION("IFERROR(
  LET(
    data, QUERY(GOOGLEFINANCE(C53,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GOOGLEFINANCE(C53, ""price"")) * 100,
    IF(calc=0, G53, calc)
  ), 
G53)"),"#N/A")</f>
        <v>#N/A</v>
      </c>
      <c r="S53" s="8" t="s">
        <v>15</v>
      </c>
      <c r="T53" s="26" t="str">
        <f>IFERROR(__xludf.DUMMYFUNCTION("IFERROR(TRANSPOSE(QUERY(IFERROR(SORT(GOOGLEFINANCE(C53, ""price"", WORKDAY(TODAY(), -40), TODAY()), 1, FALSE)), ""select Col2 where Col2 is not null limit 22 label Col2 ''"", 0)), """")"),"")</f>
        <v/>
      </c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8"/>
      <c r="AO53" s="28"/>
      <c r="AP53" s="29"/>
      <c r="AQ53" s="29" t="str">
        <f t="shared" ref="AQ53:BL53" si="56">T53/T$2</f>
        <v>#N/A</v>
      </c>
      <c r="AR53" s="29" t="str">
        <f t="shared" si="56"/>
        <v>#DIV/0!</v>
      </c>
      <c r="AS53" s="29" t="str">
        <f t="shared" si="56"/>
        <v>#DIV/0!</v>
      </c>
      <c r="AT53" s="29" t="str">
        <f t="shared" si="56"/>
        <v>#DIV/0!</v>
      </c>
      <c r="AU53" s="29" t="str">
        <f t="shared" si="56"/>
        <v>#DIV/0!</v>
      </c>
      <c r="AV53" s="29" t="str">
        <f t="shared" si="56"/>
        <v>#DIV/0!</v>
      </c>
      <c r="AW53" s="29" t="str">
        <f t="shared" si="56"/>
        <v>#DIV/0!</v>
      </c>
      <c r="AX53" s="29" t="str">
        <f t="shared" si="56"/>
        <v>#DIV/0!</v>
      </c>
      <c r="AY53" s="29" t="str">
        <f t="shared" si="56"/>
        <v>#DIV/0!</v>
      </c>
      <c r="AZ53" s="29" t="str">
        <f t="shared" si="56"/>
        <v>#DIV/0!</v>
      </c>
      <c r="BA53" s="29" t="str">
        <f t="shared" si="56"/>
        <v>#DIV/0!</v>
      </c>
      <c r="BB53" s="29" t="str">
        <f t="shared" si="56"/>
        <v>#DIV/0!</v>
      </c>
      <c r="BC53" s="29" t="str">
        <f t="shared" si="56"/>
        <v>#DIV/0!</v>
      </c>
      <c r="BD53" s="29" t="str">
        <f t="shared" si="56"/>
        <v>#DIV/0!</v>
      </c>
      <c r="BE53" s="29" t="str">
        <f t="shared" si="56"/>
        <v>#DIV/0!</v>
      </c>
      <c r="BF53" s="29" t="str">
        <f t="shared" si="56"/>
        <v>#DIV/0!</v>
      </c>
      <c r="BG53" s="29" t="str">
        <f t="shared" si="56"/>
        <v>#DIV/0!</v>
      </c>
      <c r="BH53" s="29" t="str">
        <f t="shared" si="56"/>
        <v>#DIV/0!</v>
      </c>
      <c r="BI53" s="29" t="str">
        <f t="shared" si="56"/>
        <v>#DIV/0!</v>
      </c>
      <c r="BJ53" s="29" t="str">
        <f t="shared" si="56"/>
        <v>#DIV/0!</v>
      </c>
      <c r="BK53" s="29" t="str">
        <f t="shared" si="56"/>
        <v>#DIV/0!</v>
      </c>
      <c r="BL53" s="29" t="str">
        <f t="shared" si="56"/>
        <v>#DIV/0!</v>
      </c>
      <c r="BM53" s="29" t="str">
        <f t="shared" si="3"/>
        <v>#DIV/0!</v>
      </c>
    </row>
    <row r="54">
      <c r="A54" s="16" t="str">
        <f>IFERROR(__xludf.DUMMYFUNCTION("IFERROR(SPARKLINE(SORT(MAP(TRANSPOSE(AQ54:BL54), LAMBDA(val, IF(ISNUMBER(val), PERCENTRANK(AQ54:BL54, val)+0.01, 0))), SEQUENCE(COLUMNS(AQ54:BL54)), FALSE), {""charttype"",""column""; ""color"",""chartreuse""; ""ymin"", 0; ""ymax"", 1.01; ""highcolor"", "&amp;"""darkgreen""; ""lowcolor"", ""red""}), """")"),"")</f>
        <v/>
      </c>
      <c r="B54" s="17" t="str">
        <f t="shared" si="4"/>
        <v/>
      </c>
      <c r="C54" s="1" t="s">
        <v>367</v>
      </c>
      <c r="D54" s="30" t="str">
        <f>IFERROR(__xludf.DUMMYFUNCTION("IFERROR(GOOGLEFINANCE(C54, ""NAME""))"),"Atlanta Braves Holdings Inc Series C")</f>
        <v>Atlanta Braves Holdings Inc Series C</v>
      </c>
      <c r="E54" s="30" t="s">
        <v>62</v>
      </c>
      <c r="F54" s="33" t="str">
        <f>IFERROR(__xludf.DUMMYFUNCTION("( (GOOGLEFINANCE(C54, ""price"") - Q54) / Q54 ) / (R54 / 100)"),"Loading...")</f>
        <v>Loading...</v>
      </c>
      <c r="G54" s="20" t="str">
        <f>IFERROR(__xludf.DUMMYFUNCTION("AVERAGE(ARRAYFORMULA(100 * (QUERY(GOOGLEFINANCE(C54, ""high"", TODAY()-40, TODAY()), ""SELECT Col2 WHERE Col2 IS NOT NULL ORDER BY Col1 DESC LIMIT 20"", 0) / QUERY(GOOGLEFINANCE(C54, ""low"", TODAY()-40, TODAY()), ""SELECT Col2 WHERE Col2 IS NOT NULL ORDE"&amp;"R BY Col1 DESC LIMIT 20"", 0) - 1)))"),"#N/A")</f>
        <v>#N/A</v>
      </c>
      <c r="H54" s="35" t="str">
        <f t="shared" si="6"/>
        <v>Illiquid</v>
      </c>
      <c r="I54" s="36" t="str">
        <f t="shared" si="7"/>
        <v>RVol Required</v>
      </c>
      <c r="J54" s="37">
        <f>IFERROR(__xludf.DUMMYFUNCTION("IFERROR(
  IF(C54="""",, 
    IFERROR(
      GOOGLEFINANCE(C54, ""price"") * GOOGLEFINANCE(C54, ""volumeavg""), 
      GOOGLEFINANCE(C54, ""price"") * AVERAGE(QUERY(GOOGLEFINANCE(C54, ""volume"", TODAY()-40, TODAY()), ""SELECT Col2 WHERE Col2 IS NOT NULL "&amp;"ORDER BY Col1 DESC LIMIT 20"", 0))
    )
  ), 
"""")"),2.580488504E7)</f>
        <v>25804885.04</v>
      </c>
      <c r="K54" s="21">
        <f>IFERROR(__xludf.DUMMYFUNCTION("IFERROR(GOOGLEFINANCE(C54, ""changepct"") / 100, """")"),-0.011899999999999999)</f>
        <v>-0.0119</v>
      </c>
      <c r="L54" s="21" t="str">
        <f>IFERROR(__xludf.DUMMYFUNCTION("IFERROR((GOOGLEFINANCE(C54, ""price"") / INDEX(GOOGLEFINANCE(C54, ""price"", TODAY()-7, TODAY()), 2, 2)) - 1, """")"),"")</f>
        <v/>
      </c>
      <c r="M54" s="21" t="str">
        <f>IFERROR(__xludf.DUMMYFUNCTION("IFERROR((GOOGLEFINANCE(C54, ""price"") / INDEX(GOOGLEFINANCE(C54, ""price"", EDATE(TODAY(), -1), TODAY()), 2, 2)) - 1, """")"),"")</f>
        <v/>
      </c>
      <c r="N54" s="21" t="str">
        <f>IFERROR(__xludf.DUMMYFUNCTION("IFERROR((GOOGLEFINANCE(C54, ""price"") / INDEX(GOOGLEFINANCE(C54, ""price"", EDATE(TODAY(), -3), TODAY()), 2, 2)) - 1, """")"),"")</f>
        <v/>
      </c>
      <c r="O54" s="21" t="str">
        <f>IFERROR(__xludf.DUMMYFUNCTION("IFERROR((GOOGLEFINANCE(C54, ""price"") / INDEX(GOOGLEFINANCE(C54, ""price"", EDATE(TODAY(), -6), TODAY()), 2, 2)) - 1, """")"),"")</f>
        <v/>
      </c>
      <c r="P54" s="21" t="str">
        <f>IFERROR(__xludf.DUMMYFUNCTION("IFERROR((GOOGLEFINANCE(C54, ""price"") / INDEX(GOOGLEFINANCE(C54, ""price"", EDATE(TODAY(), -12), TODAY()), 2, 2)) - 1, """")"),"")</f>
        <v/>
      </c>
      <c r="Q54" s="6" t="str">
        <f>IFERROR(__xludf.DUMMYFUNCTION("AVERAGE(QUERY(GOOGLEFINANCE(C54, ""price"", TODAY()-80, TODAY()), ""SELECT Col2 WHERE Col2 IS NOT NULL ORDER BY Col1 DESC LIMIT 50"", 0))"),"#N/A")</f>
        <v>#N/A</v>
      </c>
      <c r="R54" s="24" t="str">
        <f>IFERROR(__xludf.DUMMYFUNCTION("IFERROR(
  LET(
    data, QUERY(GOOGLEFINANCE(C54,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GOOGLEFINANCE(C54, ""price"")) * 100,
    IF(calc=0, G54, calc)
  ), 
G54)"),"#N/A")</f>
        <v>#N/A</v>
      </c>
      <c r="S54" s="8" t="s">
        <v>15</v>
      </c>
      <c r="T54" s="26" t="str">
        <f>IFERROR(__xludf.DUMMYFUNCTION("IFERROR(TRANSPOSE(QUERY(IFERROR(SORT(GOOGLEFINANCE(C54, ""price"", WORKDAY(TODAY(), -40), TODAY()), 1, FALSE)), ""select Col2 where Col2 is not null limit 22 label Col2 ''"", 0)), """")"),"")</f>
        <v/>
      </c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8"/>
      <c r="AO54" s="28"/>
      <c r="AP54" s="29"/>
      <c r="AQ54" s="29" t="str">
        <f t="shared" ref="AQ54:BL54" si="57">T54/T$2</f>
        <v>#N/A</v>
      </c>
      <c r="AR54" s="29" t="str">
        <f t="shared" si="57"/>
        <v>#DIV/0!</v>
      </c>
      <c r="AS54" s="29" t="str">
        <f t="shared" si="57"/>
        <v>#DIV/0!</v>
      </c>
      <c r="AT54" s="29" t="str">
        <f t="shared" si="57"/>
        <v>#DIV/0!</v>
      </c>
      <c r="AU54" s="29" t="str">
        <f t="shared" si="57"/>
        <v>#DIV/0!</v>
      </c>
      <c r="AV54" s="29" t="str">
        <f t="shared" si="57"/>
        <v>#DIV/0!</v>
      </c>
      <c r="AW54" s="29" t="str">
        <f t="shared" si="57"/>
        <v>#DIV/0!</v>
      </c>
      <c r="AX54" s="29" t="str">
        <f t="shared" si="57"/>
        <v>#DIV/0!</v>
      </c>
      <c r="AY54" s="29" t="str">
        <f t="shared" si="57"/>
        <v>#DIV/0!</v>
      </c>
      <c r="AZ54" s="29" t="str">
        <f t="shared" si="57"/>
        <v>#DIV/0!</v>
      </c>
      <c r="BA54" s="29" t="str">
        <f t="shared" si="57"/>
        <v>#DIV/0!</v>
      </c>
      <c r="BB54" s="29" t="str">
        <f t="shared" si="57"/>
        <v>#DIV/0!</v>
      </c>
      <c r="BC54" s="29" t="str">
        <f t="shared" si="57"/>
        <v>#DIV/0!</v>
      </c>
      <c r="BD54" s="29" t="str">
        <f t="shared" si="57"/>
        <v>#DIV/0!</v>
      </c>
      <c r="BE54" s="29" t="str">
        <f t="shared" si="57"/>
        <v>#DIV/0!</v>
      </c>
      <c r="BF54" s="29" t="str">
        <f t="shared" si="57"/>
        <v>#DIV/0!</v>
      </c>
      <c r="BG54" s="29" t="str">
        <f t="shared" si="57"/>
        <v>#DIV/0!</v>
      </c>
      <c r="BH54" s="29" t="str">
        <f t="shared" si="57"/>
        <v>#DIV/0!</v>
      </c>
      <c r="BI54" s="29" t="str">
        <f t="shared" si="57"/>
        <v>#DIV/0!</v>
      </c>
      <c r="BJ54" s="29" t="str">
        <f t="shared" si="57"/>
        <v>#DIV/0!</v>
      </c>
      <c r="BK54" s="29" t="str">
        <f t="shared" si="57"/>
        <v>#DIV/0!</v>
      </c>
      <c r="BL54" s="29" t="str">
        <f t="shared" si="57"/>
        <v>#DIV/0!</v>
      </c>
      <c r="BM54" s="29" t="str">
        <f t="shared" si="3"/>
        <v>#DIV/0!</v>
      </c>
    </row>
    <row r="55">
      <c r="A55" s="16" t="str">
        <f>IFERROR(__xludf.DUMMYFUNCTION("IFERROR(SPARKLINE(SORT(MAP(TRANSPOSE(AQ55:BL55), LAMBDA(val, IF(ISNUMBER(val), PERCENTRANK(AQ55:BL55, val)+0.01, 0))), SEQUENCE(COLUMNS(AQ55:BL55)), FALSE), {""charttype"",""column""; ""color"",""chartreuse""; ""ymin"", 0; ""ymax"", 1.01; ""highcolor"", "&amp;"""darkgreen""; ""lowcolor"", ""red""}), """")"),"")</f>
        <v/>
      </c>
      <c r="B55" s="17" t="str">
        <f t="shared" si="4"/>
        <v/>
      </c>
      <c r="C55" s="1" t="s">
        <v>371</v>
      </c>
      <c r="D55" s="30" t="str">
        <f>IFERROR(__xludf.DUMMYFUNCTION("IFERROR(GOOGLEFINANCE(C55, ""NAME""))"),"Stubhub Holdings, Inc")</f>
        <v>Stubhub Holdings, Inc</v>
      </c>
      <c r="E55" s="30" t="s">
        <v>69</v>
      </c>
      <c r="F55" s="33" t="str">
        <f>IFERROR(__xludf.DUMMYFUNCTION("( (GOOGLEFINANCE(C55, ""price"") - Q55) / Q55 ) / (R55 / 100)"),"Loading...")</f>
        <v>Loading...</v>
      </c>
      <c r="G55" s="20" t="str">
        <f>IFERROR(__xludf.DUMMYFUNCTION("AVERAGE(ARRAYFORMULA(100 * (QUERY(GOOGLEFINANCE(C55, ""high"", TODAY()-40, TODAY()), ""SELECT Col2 WHERE Col2 IS NOT NULL ORDER BY Col1 DESC LIMIT 20"", 0) / QUERY(GOOGLEFINANCE(C55, ""low"", TODAY()-40, TODAY()), ""SELECT Col2 WHERE Col2 IS NOT NULL ORDE"&amp;"R BY Col1 DESC LIMIT 20"", 0) - 1)))"),"#N/A")</f>
        <v>#N/A</v>
      </c>
      <c r="H55" s="35" t="str">
        <f t="shared" si="6"/>
        <v>Illiquid</v>
      </c>
      <c r="I55" s="36" t="str">
        <f t="shared" si="7"/>
        <v>RVol Required</v>
      </c>
      <c r="J55" s="37">
        <f>IFERROR(__xludf.DUMMYFUNCTION("IFERROR(
  IF(C55="""",, 
    IFERROR(
      GOOGLEFINANCE(C55, ""price"") * GOOGLEFINANCE(C55, ""volumeavg""), 
      GOOGLEFINANCE(C55, ""price"") * AVERAGE(QUERY(GOOGLEFINANCE(C55, ""volume"", TODAY()-40, TODAY()), ""SELECT Col2 WHERE Col2 IS NOT NULL "&amp;"ORDER BY Col1 DESC LIMIT 20"", 0))
    )
  ), 
"""")"),3.659840732E7)</f>
        <v>36598407.32</v>
      </c>
      <c r="K55" s="21">
        <f>IFERROR(__xludf.DUMMYFUNCTION("IFERROR(GOOGLEFINANCE(C55, ""changepct"") / 100, """")"),0.0174)</f>
        <v>0.0174</v>
      </c>
      <c r="L55" s="21" t="str">
        <f>IFERROR(__xludf.DUMMYFUNCTION("IFERROR((GOOGLEFINANCE(C55, ""price"") / INDEX(GOOGLEFINANCE(C55, ""price"", TODAY()-7, TODAY()), 2, 2)) - 1, """")"),"")</f>
        <v/>
      </c>
      <c r="M55" s="21" t="str">
        <f>IFERROR(__xludf.DUMMYFUNCTION("IFERROR((GOOGLEFINANCE(C55, ""price"") / INDEX(GOOGLEFINANCE(C55, ""price"", EDATE(TODAY(), -1), TODAY()), 2, 2)) - 1, """")"),"")</f>
        <v/>
      </c>
      <c r="N55" s="21" t="str">
        <f>IFERROR(__xludf.DUMMYFUNCTION("IFERROR((GOOGLEFINANCE(C55, ""price"") / INDEX(GOOGLEFINANCE(C55, ""price"", EDATE(TODAY(), -3), TODAY()), 2, 2)) - 1, """")"),"")</f>
        <v/>
      </c>
      <c r="O55" s="21" t="str">
        <f>IFERROR(__xludf.DUMMYFUNCTION("IFERROR((GOOGLEFINANCE(C55, ""price"") / INDEX(GOOGLEFINANCE(C55, ""price"", EDATE(TODAY(), -6), TODAY()), 2, 2)) - 1, """")"),"")</f>
        <v/>
      </c>
      <c r="P55" s="21" t="str">
        <f>IFERROR(__xludf.DUMMYFUNCTION("IFERROR((GOOGLEFINANCE(C55, ""price"") / INDEX(GOOGLEFINANCE(C55, ""price"", EDATE(TODAY(), -12), TODAY()), 2, 2)) - 1, """")"),"")</f>
        <v/>
      </c>
      <c r="Q55" s="6" t="str">
        <f>IFERROR(__xludf.DUMMYFUNCTION("AVERAGE(QUERY(GOOGLEFINANCE(C55, ""price"", TODAY()-80, TODAY()), ""SELECT Col2 WHERE Col2 IS NOT NULL ORDER BY Col1 DESC LIMIT 50"", 0))"),"#N/A")</f>
        <v>#N/A</v>
      </c>
      <c r="R55" s="24" t="str">
        <f>IFERROR(__xludf.DUMMYFUNCTION("IFERROR(
  LET(
    data, QUERY(GOOGLEFINANCE(C55,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GOOGLEFINANCE(C55, ""price"")) * 100,
    IF(calc=0, G55, calc)
  ), 
G55)"),"#N/A")</f>
        <v>#N/A</v>
      </c>
      <c r="S55" s="8" t="s">
        <v>15</v>
      </c>
      <c r="T55" s="26" t="str">
        <f>IFERROR(__xludf.DUMMYFUNCTION("IFERROR(TRANSPOSE(QUERY(IFERROR(SORT(GOOGLEFINANCE(C55, ""price"", WORKDAY(TODAY(), -40), TODAY()), 1, FALSE)), ""select Col2 where Col2 is not null limit 22 label Col2 ''"", 0)), """")"),"")</f>
        <v/>
      </c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8"/>
      <c r="AO55" s="28"/>
      <c r="AP55" s="29"/>
      <c r="AQ55" s="29" t="str">
        <f t="shared" ref="AQ55:BL55" si="58">T55/T$2</f>
        <v>#N/A</v>
      </c>
      <c r="AR55" s="29" t="str">
        <f t="shared" si="58"/>
        <v>#DIV/0!</v>
      </c>
      <c r="AS55" s="29" t="str">
        <f t="shared" si="58"/>
        <v>#DIV/0!</v>
      </c>
      <c r="AT55" s="29" t="str">
        <f t="shared" si="58"/>
        <v>#DIV/0!</v>
      </c>
      <c r="AU55" s="29" t="str">
        <f t="shared" si="58"/>
        <v>#DIV/0!</v>
      </c>
      <c r="AV55" s="29" t="str">
        <f t="shared" si="58"/>
        <v>#DIV/0!</v>
      </c>
      <c r="AW55" s="29" t="str">
        <f t="shared" si="58"/>
        <v>#DIV/0!</v>
      </c>
      <c r="AX55" s="29" t="str">
        <f t="shared" si="58"/>
        <v>#DIV/0!</v>
      </c>
      <c r="AY55" s="29" t="str">
        <f t="shared" si="58"/>
        <v>#DIV/0!</v>
      </c>
      <c r="AZ55" s="29" t="str">
        <f t="shared" si="58"/>
        <v>#DIV/0!</v>
      </c>
      <c r="BA55" s="29" t="str">
        <f t="shared" si="58"/>
        <v>#DIV/0!</v>
      </c>
      <c r="BB55" s="29" t="str">
        <f t="shared" si="58"/>
        <v>#DIV/0!</v>
      </c>
      <c r="BC55" s="29" t="str">
        <f t="shared" si="58"/>
        <v>#DIV/0!</v>
      </c>
      <c r="BD55" s="29" t="str">
        <f t="shared" si="58"/>
        <v>#DIV/0!</v>
      </c>
      <c r="BE55" s="29" t="str">
        <f t="shared" si="58"/>
        <v>#DIV/0!</v>
      </c>
      <c r="BF55" s="29" t="str">
        <f t="shared" si="58"/>
        <v>#DIV/0!</v>
      </c>
      <c r="BG55" s="29" t="str">
        <f t="shared" si="58"/>
        <v>#DIV/0!</v>
      </c>
      <c r="BH55" s="29" t="str">
        <f t="shared" si="58"/>
        <v>#DIV/0!</v>
      </c>
      <c r="BI55" s="29" t="str">
        <f t="shared" si="58"/>
        <v>#DIV/0!</v>
      </c>
      <c r="BJ55" s="29" t="str">
        <f t="shared" si="58"/>
        <v>#DIV/0!</v>
      </c>
      <c r="BK55" s="29" t="str">
        <f t="shared" si="58"/>
        <v>#DIV/0!</v>
      </c>
      <c r="BL55" s="29" t="str">
        <f t="shared" si="58"/>
        <v>#DIV/0!</v>
      </c>
      <c r="BM55" s="29" t="str">
        <f t="shared" si="3"/>
        <v>#DIV/0!</v>
      </c>
    </row>
    <row r="56">
      <c r="A56" s="16" t="str">
        <f>IFERROR(__xludf.DUMMYFUNCTION("IFERROR(SPARKLINE(SORT(MAP(TRANSPOSE(AQ56:BL56), LAMBDA(val, IF(ISNUMBER(val), PERCENTRANK(AQ56:BL56, val)+0.01, 0))), SEQUENCE(COLUMNS(AQ56:BL56)), FALSE), {""charttype"",""column""; ""color"",""chartreuse""; ""ymin"", 0; ""ymax"", 1.01; ""highcolor"", "&amp;"""darkgreen""; ""lowcolor"", ""red""}), """")"),"")</f>
        <v/>
      </c>
      <c r="B56" s="17" t="str">
        <f t="shared" si="4"/>
        <v/>
      </c>
      <c r="C56" s="1" t="s">
        <v>375</v>
      </c>
      <c r="D56" s="30" t="str">
        <f>IFERROR(__xludf.DUMMYFUNCTION("IFERROR(GOOGLEFINANCE(C56, ""NAME""))"),"VEON Ltd")</f>
        <v>VEON Ltd</v>
      </c>
      <c r="E56" s="30" t="s">
        <v>52</v>
      </c>
      <c r="F56" s="33" t="str">
        <f>IFERROR(__xludf.DUMMYFUNCTION("( (GOOGLEFINANCE(C56, ""price"") - Q56) / Q56 ) / (R56 / 100)"),"Loading...")</f>
        <v>Loading...</v>
      </c>
      <c r="G56" s="20" t="str">
        <f>IFERROR(__xludf.DUMMYFUNCTION("AVERAGE(ARRAYFORMULA(100 * (QUERY(GOOGLEFINANCE(C56, ""high"", TODAY()-40, TODAY()), ""SELECT Col2 WHERE Col2 IS NOT NULL ORDER BY Col1 DESC LIMIT 20"", 0) / QUERY(GOOGLEFINANCE(C56, ""low"", TODAY()-40, TODAY()), ""SELECT Col2 WHERE Col2 IS NOT NULL ORDE"&amp;"R BY Col1 DESC LIMIT 20"", 0) - 1)))"),"#N/A")</f>
        <v>#N/A</v>
      </c>
      <c r="H56" s="35" t="str">
        <f t="shared" si="6"/>
        <v>Illiquid</v>
      </c>
      <c r="I56" s="36" t="str">
        <f t="shared" si="7"/>
        <v>RVol Required</v>
      </c>
      <c r="J56" s="37">
        <f>IFERROR(__xludf.DUMMYFUNCTION("IFERROR(
  IF(C56="""",, 
    IFERROR(
      GOOGLEFINANCE(C56, ""price"") * GOOGLEFINANCE(C56, ""volumeavg""), 
      GOOGLEFINANCE(C56, ""price"") * AVERAGE(QUERY(GOOGLEFINANCE(C56, ""volume"", TODAY()-40, TODAY()), ""SELECT Col2 WHERE Col2 IS NOT NULL "&amp;"ORDER BY Col1 DESC LIMIT 20"", 0))
    )
  ), 
"""")"),1.66742784E7)</f>
        <v>16674278.4</v>
      </c>
      <c r="K56" s="21">
        <f>IFERROR(__xludf.DUMMYFUNCTION("IFERROR(GOOGLEFINANCE(C56, ""changepct"") / 100, """")"),0.004699999999999999)</f>
        <v>0.0047</v>
      </c>
      <c r="L56" s="21" t="str">
        <f>IFERROR(__xludf.DUMMYFUNCTION("IFERROR((GOOGLEFINANCE(C56, ""price"") / INDEX(GOOGLEFINANCE(C56, ""price"", TODAY()-7, TODAY()), 2, 2)) - 1, """")"),"")</f>
        <v/>
      </c>
      <c r="M56" s="21" t="str">
        <f>IFERROR(__xludf.DUMMYFUNCTION("IFERROR((GOOGLEFINANCE(C56, ""price"") / INDEX(GOOGLEFINANCE(C56, ""price"", EDATE(TODAY(), -1), TODAY()), 2, 2)) - 1, """")"),"")</f>
        <v/>
      </c>
      <c r="N56" s="21" t="str">
        <f>IFERROR(__xludf.DUMMYFUNCTION("IFERROR((GOOGLEFINANCE(C56, ""price"") / INDEX(GOOGLEFINANCE(C56, ""price"", EDATE(TODAY(), -3), TODAY()), 2, 2)) - 1, """")"),"")</f>
        <v/>
      </c>
      <c r="O56" s="21" t="str">
        <f>IFERROR(__xludf.DUMMYFUNCTION("IFERROR((GOOGLEFINANCE(C56, ""price"") / INDEX(GOOGLEFINANCE(C56, ""price"", EDATE(TODAY(), -6), TODAY()), 2, 2)) - 1, """")"),"")</f>
        <v/>
      </c>
      <c r="P56" s="21" t="str">
        <f>IFERROR(__xludf.DUMMYFUNCTION("IFERROR((GOOGLEFINANCE(C56, ""price"") / INDEX(GOOGLEFINANCE(C56, ""price"", EDATE(TODAY(), -12), TODAY()), 2, 2)) - 1, """")"),"")</f>
        <v/>
      </c>
      <c r="Q56" s="6" t="str">
        <f>IFERROR(__xludf.DUMMYFUNCTION("AVERAGE(QUERY(GOOGLEFINANCE(C56, ""price"", TODAY()-80, TODAY()), ""SELECT Col2 WHERE Col2 IS NOT NULL ORDER BY Col1 DESC LIMIT 50"", 0))"),"#N/A")</f>
        <v>#N/A</v>
      </c>
      <c r="R56" s="24" t="str">
        <f>IFERROR(__xludf.DUMMYFUNCTION("IFERROR(
  LET(
    data, QUERY(GOOGLEFINANCE(C56,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GOOGLEFINANCE(C56, ""price"")) * 100,
    IF(calc=0, G56, calc)
  ), 
G56)"),"#N/A")</f>
        <v>#N/A</v>
      </c>
      <c r="S56" s="8" t="s">
        <v>15</v>
      </c>
      <c r="T56" s="26" t="str">
        <f>IFERROR(__xludf.DUMMYFUNCTION("IFERROR(TRANSPOSE(QUERY(IFERROR(SORT(GOOGLEFINANCE(C56, ""price"", WORKDAY(TODAY(), -40), TODAY()), 1, FALSE)), ""select Col2 where Col2 is not null limit 22 label Col2 ''"", 0)), """")"),"")</f>
        <v/>
      </c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8"/>
      <c r="AO56" s="28"/>
      <c r="AP56" s="29"/>
      <c r="AQ56" s="29" t="str">
        <f t="shared" ref="AQ56:BL56" si="59">T56/T$2</f>
        <v>#N/A</v>
      </c>
      <c r="AR56" s="29" t="str">
        <f t="shared" si="59"/>
        <v>#DIV/0!</v>
      </c>
      <c r="AS56" s="29" t="str">
        <f t="shared" si="59"/>
        <v>#DIV/0!</v>
      </c>
      <c r="AT56" s="29" t="str">
        <f t="shared" si="59"/>
        <v>#DIV/0!</v>
      </c>
      <c r="AU56" s="29" t="str">
        <f t="shared" si="59"/>
        <v>#DIV/0!</v>
      </c>
      <c r="AV56" s="29" t="str">
        <f t="shared" si="59"/>
        <v>#DIV/0!</v>
      </c>
      <c r="AW56" s="29" t="str">
        <f t="shared" si="59"/>
        <v>#DIV/0!</v>
      </c>
      <c r="AX56" s="29" t="str">
        <f t="shared" si="59"/>
        <v>#DIV/0!</v>
      </c>
      <c r="AY56" s="29" t="str">
        <f t="shared" si="59"/>
        <v>#DIV/0!</v>
      </c>
      <c r="AZ56" s="29" t="str">
        <f t="shared" si="59"/>
        <v>#DIV/0!</v>
      </c>
      <c r="BA56" s="29" t="str">
        <f t="shared" si="59"/>
        <v>#DIV/0!</v>
      </c>
      <c r="BB56" s="29" t="str">
        <f t="shared" si="59"/>
        <v>#DIV/0!</v>
      </c>
      <c r="BC56" s="29" t="str">
        <f t="shared" si="59"/>
        <v>#DIV/0!</v>
      </c>
      <c r="BD56" s="29" t="str">
        <f t="shared" si="59"/>
        <v>#DIV/0!</v>
      </c>
      <c r="BE56" s="29" t="str">
        <f t="shared" si="59"/>
        <v>#DIV/0!</v>
      </c>
      <c r="BF56" s="29" t="str">
        <f t="shared" si="59"/>
        <v>#DIV/0!</v>
      </c>
      <c r="BG56" s="29" t="str">
        <f t="shared" si="59"/>
        <v>#DIV/0!</v>
      </c>
      <c r="BH56" s="29" t="str">
        <f t="shared" si="59"/>
        <v>#DIV/0!</v>
      </c>
      <c r="BI56" s="29" t="str">
        <f t="shared" si="59"/>
        <v>#DIV/0!</v>
      </c>
      <c r="BJ56" s="29" t="str">
        <f t="shared" si="59"/>
        <v>#DIV/0!</v>
      </c>
      <c r="BK56" s="29" t="str">
        <f t="shared" si="59"/>
        <v>#DIV/0!</v>
      </c>
      <c r="BL56" s="29" t="str">
        <f t="shared" si="59"/>
        <v>#DIV/0!</v>
      </c>
      <c r="BM56" s="29" t="str">
        <f t="shared" si="3"/>
        <v>#DIV/0!</v>
      </c>
    </row>
    <row r="57">
      <c r="A57" s="16" t="str">
        <f>IFERROR(__xludf.DUMMYFUNCTION("IFERROR(SPARKLINE(SORT(MAP(TRANSPOSE(AQ57:BL57), LAMBDA(val, IF(ISNUMBER(val), PERCENTRANK(AQ57:BL57, val)+0.01, 0))), SEQUENCE(COLUMNS(AQ57:BL57)), FALSE), {""charttype"",""column""; ""color"",""chartreuse""; ""ymin"", 0; ""ymax"", 1.01; ""highcolor"", "&amp;"""darkgreen""; ""lowcolor"", ""red""}), """")"),"")</f>
        <v/>
      </c>
      <c r="B57" s="17" t="str">
        <f t="shared" si="4"/>
        <v/>
      </c>
      <c r="C57" s="1" t="s">
        <v>380</v>
      </c>
      <c r="D57" s="30" t="str">
        <f>IFERROR(__xludf.DUMMYFUNCTION("IFERROR(GOOGLEFINANCE(C57, ""NAME""))"),"Atlanta Braves Holdings Inc Series A")</f>
        <v>Atlanta Braves Holdings Inc Series A</v>
      </c>
      <c r="E57" s="30" t="s">
        <v>62</v>
      </c>
      <c r="F57" s="33" t="str">
        <f>IFERROR(__xludf.DUMMYFUNCTION("( (GOOGLEFINANCE(C57, ""price"") - Q57) / Q57 ) / (R57 / 100)"),"Loading...")</f>
        <v>Loading...</v>
      </c>
      <c r="G57" s="20" t="str">
        <f>IFERROR(__xludf.DUMMYFUNCTION("AVERAGE(ARRAYFORMULA(100 * (QUERY(GOOGLEFINANCE(C57, ""high"", TODAY()-40, TODAY()), ""SELECT Col2 WHERE Col2 IS NOT NULL ORDER BY Col1 DESC LIMIT 20"", 0) / QUERY(GOOGLEFINANCE(C57, ""low"", TODAY()-40, TODAY()), ""SELECT Col2 WHERE Col2 IS NOT NULL ORDE"&amp;"R BY Col1 DESC LIMIT 20"", 0) - 1)))"),"#N/A")</f>
        <v>#N/A</v>
      </c>
      <c r="H57" s="35" t="str">
        <f t="shared" si="6"/>
        <v>Illiquid</v>
      </c>
      <c r="I57" s="36" t="str">
        <f t="shared" si="7"/>
        <v>RVol Required</v>
      </c>
      <c r="J57" s="37">
        <f>IFERROR(__xludf.DUMMYFUNCTION("IFERROR(
  IF(C57="""",, 
    IFERROR(
      GOOGLEFINANCE(C57, ""price"") * GOOGLEFINANCE(C57, ""volumeavg""), 
      GOOGLEFINANCE(C57, ""price"") * AVERAGE(QUERY(GOOGLEFINANCE(C57, ""volume"", TODAY()-40, TODAY()), ""SELECT Col2 WHERE Col2 IS NOT NULL "&amp;"ORDER BY Col1 DESC LIMIT 20"", 0))
    )
  ), 
"""")"),2960658.0)</f>
        <v>2960658</v>
      </c>
      <c r="K57" s="21">
        <f>IFERROR(__xludf.DUMMYFUNCTION("IFERROR(GOOGLEFINANCE(C57, ""changepct"") / 100, """")"),-0.0121)</f>
        <v>-0.0121</v>
      </c>
      <c r="L57" s="21" t="str">
        <f>IFERROR(__xludf.DUMMYFUNCTION("IFERROR((GOOGLEFINANCE(C57, ""price"") / INDEX(GOOGLEFINANCE(C57, ""price"", TODAY()-7, TODAY()), 2, 2)) - 1, """")"),"")</f>
        <v/>
      </c>
      <c r="M57" s="21" t="str">
        <f>IFERROR(__xludf.DUMMYFUNCTION("IFERROR((GOOGLEFINANCE(C57, ""price"") / INDEX(GOOGLEFINANCE(C57, ""price"", EDATE(TODAY(), -1), TODAY()), 2, 2)) - 1, """")"),"")</f>
        <v/>
      </c>
      <c r="N57" s="21" t="str">
        <f>IFERROR(__xludf.DUMMYFUNCTION("IFERROR((GOOGLEFINANCE(C57, ""price"") / INDEX(GOOGLEFINANCE(C57, ""price"", EDATE(TODAY(), -3), TODAY()), 2, 2)) - 1, """")"),"")</f>
        <v/>
      </c>
      <c r="O57" s="21" t="str">
        <f>IFERROR(__xludf.DUMMYFUNCTION("IFERROR((GOOGLEFINANCE(C57, ""price"") / INDEX(GOOGLEFINANCE(C57, ""price"", EDATE(TODAY(), -6), TODAY()), 2, 2)) - 1, """")"),"")</f>
        <v/>
      </c>
      <c r="P57" s="21" t="str">
        <f>IFERROR(__xludf.DUMMYFUNCTION("IFERROR((GOOGLEFINANCE(C57, ""price"") / INDEX(GOOGLEFINANCE(C57, ""price"", EDATE(TODAY(), -12), TODAY()), 2, 2)) - 1, """")"),"")</f>
        <v/>
      </c>
      <c r="Q57" s="6" t="str">
        <f>IFERROR(__xludf.DUMMYFUNCTION("AVERAGE(QUERY(GOOGLEFINANCE(C57, ""price"", TODAY()-80, TODAY()), ""SELECT Col2 WHERE Col2 IS NOT NULL ORDER BY Col1 DESC LIMIT 50"", 0))"),"#N/A")</f>
        <v>#N/A</v>
      </c>
      <c r="R57" s="24" t="str">
        <f>IFERROR(__xludf.DUMMYFUNCTION("IFERROR(
  LET(
    data, QUERY(GOOGLEFINANCE(C57,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GOOGLEFINANCE(C57, ""price"")) * 100,
    IF(calc=0, G57, calc)
  ), 
G57)"),"#N/A")</f>
        <v>#N/A</v>
      </c>
      <c r="S57" s="8" t="s">
        <v>15</v>
      </c>
      <c r="T57" s="26" t="str">
        <f>IFERROR(__xludf.DUMMYFUNCTION("IFERROR(TRANSPOSE(QUERY(IFERROR(SORT(GOOGLEFINANCE(C57, ""price"", WORKDAY(TODAY(), -40), TODAY()), 1, FALSE)), ""select Col2 where Col2 is not null limit 22 label Col2 ''"", 0)), """")"),"")</f>
        <v/>
      </c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8"/>
      <c r="AO57" s="28"/>
      <c r="AP57" s="29"/>
      <c r="AQ57" s="29" t="str">
        <f t="shared" ref="AQ57:BL57" si="60">T57/T$2</f>
        <v>#N/A</v>
      </c>
      <c r="AR57" s="29" t="str">
        <f t="shared" si="60"/>
        <v>#DIV/0!</v>
      </c>
      <c r="AS57" s="29" t="str">
        <f t="shared" si="60"/>
        <v>#DIV/0!</v>
      </c>
      <c r="AT57" s="29" t="str">
        <f t="shared" si="60"/>
        <v>#DIV/0!</v>
      </c>
      <c r="AU57" s="29" t="str">
        <f t="shared" si="60"/>
        <v>#DIV/0!</v>
      </c>
      <c r="AV57" s="29" t="str">
        <f t="shared" si="60"/>
        <v>#DIV/0!</v>
      </c>
      <c r="AW57" s="29" t="str">
        <f t="shared" si="60"/>
        <v>#DIV/0!</v>
      </c>
      <c r="AX57" s="29" t="str">
        <f t="shared" si="60"/>
        <v>#DIV/0!</v>
      </c>
      <c r="AY57" s="29" t="str">
        <f t="shared" si="60"/>
        <v>#DIV/0!</v>
      </c>
      <c r="AZ57" s="29" t="str">
        <f t="shared" si="60"/>
        <v>#DIV/0!</v>
      </c>
      <c r="BA57" s="29" t="str">
        <f t="shared" si="60"/>
        <v>#DIV/0!</v>
      </c>
      <c r="BB57" s="29" t="str">
        <f t="shared" si="60"/>
        <v>#DIV/0!</v>
      </c>
      <c r="BC57" s="29" t="str">
        <f t="shared" si="60"/>
        <v>#DIV/0!</v>
      </c>
      <c r="BD57" s="29" t="str">
        <f t="shared" si="60"/>
        <v>#DIV/0!</v>
      </c>
      <c r="BE57" s="29" t="str">
        <f t="shared" si="60"/>
        <v>#DIV/0!</v>
      </c>
      <c r="BF57" s="29" t="str">
        <f t="shared" si="60"/>
        <v>#DIV/0!</v>
      </c>
      <c r="BG57" s="29" t="str">
        <f t="shared" si="60"/>
        <v>#DIV/0!</v>
      </c>
      <c r="BH57" s="29" t="str">
        <f t="shared" si="60"/>
        <v>#DIV/0!</v>
      </c>
      <c r="BI57" s="29" t="str">
        <f t="shared" si="60"/>
        <v>#DIV/0!</v>
      </c>
      <c r="BJ57" s="29" t="str">
        <f t="shared" si="60"/>
        <v>#DIV/0!</v>
      </c>
      <c r="BK57" s="29" t="str">
        <f t="shared" si="60"/>
        <v>#DIV/0!</v>
      </c>
      <c r="BL57" s="29" t="str">
        <f t="shared" si="60"/>
        <v>#DIV/0!</v>
      </c>
      <c r="BM57" s="29" t="str">
        <f t="shared" si="3"/>
        <v>#DIV/0!</v>
      </c>
    </row>
    <row r="58">
      <c r="A58" s="16" t="str">
        <f>IFERROR(__xludf.DUMMYFUNCTION("IFERROR(SPARKLINE(SORT(MAP(TRANSPOSE(AQ58:BL58), LAMBDA(val, IF(ISNUMBER(val), PERCENTRANK(AQ58:BL58, val)+0.01, 0))), SEQUENCE(COLUMNS(AQ58:BL58)), FALSE), {""charttype"",""column""; ""color"",""chartreuse""; ""ymin"", 0; ""ymax"", 1.01; ""highcolor"", "&amp;"""darkgreen""; ""lowcolor"", ""red""}), """")"),"")</f>
        <v/>
      </c>
      <c r="B58" s="17" t="str">
        <f t="shared" si="4"/>
        <v/>
      </c>
      <c r="C58" s="1" t="s">
        <v>384</v>
      </c>
      <c r="D58" s="30" t="str">
        <f>IFERROR(__xludf.DUMMYFUNCTION("IFERROR(GOOGLEFINANCE(C58, ""NAME""))"),"Sirius XM Holdings Inc")</f>
        <v>Sirius XM Holdings Inc</v>
      </c>
      <c r="E58" s="30" t="s">
        <v>62</v>
      </c>
      <c r="F58" s="33" t="str">
        <f>IFERROR(__xludf.DUMMYFUNCTION("( (GOOGLEFINANCE(C58, ""price"") - Q58) / Q58 ) / (R58 / 100)"),"Loading...")</f>
        <v>Loading...</v>
      </c>
      <c r="G58" s="20" t="str">
        <f>IFERROR(__xludf.DUMMYFUNCTION("AVERAGE(ARRAYFORMULA(100 * (QUERY(GOOGLEFINANCE(C58, ""high"", TODAY()-40, TODAY()), ""SELECT Col2 WHERE Col2 IS NOT NULL ORDER BY Col1 DESC LIMIT 20"", 0) / QUERY(GOOGLEFINANCE(C58, ""low"", TODAY()-40, TODAY()), ""SELECT Col2 WHERE Col2 IS NOT NULL ORDE"&amp;"R BY Col1 DESC LIMIT 20"", 0) - 1)))"),"#N/A")</f>
        <v>#N/A</v>
      </c>
      <c r="H58" s="35" t="str">
        <f t="shared" si="6"/>
        <v>Liquid</v>
      </c>
      <c r="I58" s="36" t="str">
        <f t="shared" si="7"/>
        <v>RVol Required</v>
      </c>
      <c r="J58" s="37">
        <f>IFERROR(__xludf.DUMMYFUNCTION("IFERROR(
  IF(C58="""",, 
    IFERROR(
      GOOGLEFINANCE(C58, ""price"") * GOOGLEFINANCE(C58, ""volumeavg""), 
      GOOGLEFINANCE(C58, ""price"") * AVERAGE(QUERY(GOOGLEFINANCE(C58, ""volume"", TODAY()-40, TODAY()), ""SELECT Col2 WHERE Col2 IS NOT NULL "&amp;"ORDER BY Col1 DESC LIMIT 20"", 0))
    )
  ), 
"""")"),1.1843190461999999E8)</f>
        <v>118431904.6</v>
      </c>
      <c r="K58" s="21">
        <f>IFERROR(__xludf.DUMMYFUNCTION("IFERROR(GOOGLEFINANCE(C58, ""changepct"") / 100, """")"),-0.0066)</f>
        <v>-0.0066</v>
      </c>
      <c r="L58" s="21" t="str">
        <f>IFERROR(__xludf.DUMMYFUNCTION("IFERROR((GOOGLEFINANCE(C58, ""price"") / INDEX(GOOGLEFINANCE(C58, ""price"", TODAY()-7, TODAY()), 2, 2)) - 1, """")"),"")</f>
        <v/>
      </c>
      <c r="M58" s="21" t="str">
        <f>IFERROR(__xludf.DUMMYFUNCTION("IFERROR((GOOGLEFINANCE(C58, ""price"") / INDEX(GOOGLEFINANCE(C58, ""price"", EDATE(TODAY(), -1), TODAY()), 2, 2)) - 1, """")"),"")</f>
        <v/>
      </c>
      <c r="N58" s="21" t="str">
        <f>IFERROR(__xludf.DUMMYFUNCTION("IFERROR((GOOGLEFINANCE(C58, ""price"") / INDEX(GOOGLEFINANCE(C58, ""price"", EDATE(TODAY(), -3), TODAY()), 2, 2)) - 1, """")"),"")</f>
        <v/>
      </c>
      <c r="O58" s="21" t="str">
        <f>IFERROR(__xludf.DUMMYFUNCTION("IFERROR((GOOGLEFINANCE(C58, ""price"") / INDEX(GOOGLEFINANCE(C58, ""price"", EDATE(TODAY(), -6), TODAY()), 2, 2)) - 1, """")"),"")</f>
        <v/>
      </c>
      <c r="P58" s="21" t="str">
        <f>IFERROR(__xludf.DUMMYFUNCTION("IFERROR((GOOGLEFINANCE(C58, ""price"") / INDEX(GOOGLEFINANCE(C58, ""price"", EDATE(TODAY(), -12), TODAY()), 2, 2)) - 1, """")"),"")</f>
        <v/>
      </c>
      <c r="Q58" s="6" t="str">
        <f>IFERROR(__xludf.DUMMYFUNCTION("AVERAGE(QUERY(GOOGLEFINANCE(C58, ""price"", TODAY()-80, TODAY()), ""SELECT Col2 WHERE Col2 IS NOT NULL ORDER BY Col1 DESC LIMIT 50"", 0))"),"#N/A")</f>
        <v>#N/A</v>
      </c>
      <c r="R58" s="24" t="str">
        <f>IFERROR(__xludf.DUMMYFUNCTION("IFERROR(
  LET(
    data, QUERY(GOOGLEFINANCE(C58,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GOOGLEFINANCE(C58, ""price"")) * 100,
    IF(calc=0, G58, calc)
  ), 
G58)"),"#N/A")</f>
        <v>#N/A</v>
      </c>
      <c r="S58" s="8" t="s">
        <v>15</v>
      </c>
      <c r="T58" s="26" t="str">
        <f>IFERROR(__xludf.DUMMYFUNCTION("IFERROR(TRANSPOSE(QUERY(IFERROR(SORT(GOOGLEFINANCE(C58, ""price"", WORKDAY(TODAY(), -40), TODAY()), 1, FALSE)), ""select Col2 where Col2 is not null limit 22 label Col2 ''"", 0)), """")"),"")</f>
        <v/>
      </c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8"/>
      <c r="AO58" s="28"/>
      <c r="AP58" s="29"/>
      <c r="AQ58" s="29" t="str">
        <f t="shared" ref="AQ58:BL58" si="61">T58/T$2</f>
        <v>#N/A</v>
      </c>
      <c r="AR58" s="29" t="str">
        <f t="shared" si="61"/>
        <v>#DIV/0!</v>
      </c>
      <c r="AS58" s="29" t="str">
        <f t="shared" si="61"/>
        <v>#DIV/0!</v>
      </c>
      <c r="AT58" s="29" t="str">
        <f t="shared" si="61"/>
        <v>#DIV/0!</v>
      </c>
      <c r="AU58" s="29" t="str">
        <f t="shared" si="61"/>
        <v>#DIV/0!</v>
      </c>
      <c r="AV58" s="29" t="str">
        <f t="shared" si="61"/>
        <v>#DIV/0!</v>
      </c>
      <c r="AW58" s="29" t="str">
        <f t="shared" si="61"/>
        <v>#DIV/0!</v>
      </c>
      <c r="AX58" s="29" t="str">
        <f t="shared" si="61"/>
        <v>#DIV/0!</v>
      </c>
      <c r="AY58" s="29" t="str">
        <f t="shared" si="61"/>
        <v>#DIV/0!</v>
      </c>
      <c r="AZ58" s="29" t="str">
        <f t="shared" si="61"/>
        <v>#DIV/0!</v>
      </c>
      <c r="BA58" s="29" t="str">
        <f t="shared" si="61"/>
        <v>#DIV/0!</v>
      </c>
      <c r="BB58" s="29" t="str">
        <f t="shared" si="61"/>
        <v>#DIV/0!</v>
      </c>
      <c r="BC58" s="29" t="str">
        <f t="shared" si="61"/>
        <v>#DIV/0!</v>
      </c>
      <c r="BD58" s="29" t="str">
        <f t="shared" si="61"/>
        <v>#DIV/0!</v>
      </c>
      <c r="BE58" s="29" t="str">
        <f t="shared" si="61"/>
        <v>#DIV/0!</v>
      </c>
      <c r="BF58" s="29" t="str">
        <f t="shared" si="61"/>
        <v>#DIV/0!</v>
      </c>
      <c r="BG58" s="29" t="str">
        <f t="shared" si="61"/>
        <v>#DIV/0!</v>
      </c>
      <c r="BH58" s="29" t="str">
        <f t="shared" si="61"/>
        <v>#DIV/0!</v>
      </c>
      <c r="BI58" s="29" t="str">
        <f t="shared" si="61"/>
        <v>#DIV/0!</v>
      </c>
      <c r="BJ58" s="29" t="str">
        <f t="shared" si="61"/>
        <v>#DIV/0!</v>
      </c>
      <c r="BK58" s="29" t="str">
        <f t="shared" si="61"/>
        <v>#DIV/0!</v>
      </c>
      <c r="BL58" s="29" t="str">
        <f t="shared" si="61"/>
        <v>#DIV/0!</v>
      </c>
      <c r="BM58" s="29" t="str">
        <f t="shared" si="3"/>
        <v>#DIV/0!</v>
      </c>
    </row>
    <row r="59">
      <c r="A59" s="16" t="str">
        <f>IFERROR(__xludf.DUMMYFUNCTION("IFERROR(SPARKLINE(SORT(MAP(TRANSPOSE(AQ59:BL59), LAMBDA(val, IF(ISNUMBER(val), PERCENTRANK(AQ59:BL59, val)+0.01, 0))), SEQUENCE(COLUMNS(AQ59:BL59)), FALSE), {""charttype"",""column""; ""color"",""chartreuse""; ""ymin"", 0; ""ymax"", 1.01; ""highcolor"", "&amp;"""darkgreen""; ""lowcolor"", ""red""}), """")"),"")</f>
        <v/>
      </c>
      <c r="B59" s="17" t="str">
        <f t="shared" si="4"/>
        <v/>
      </c>
      <c r="C59" s="1" t="s">
        <v>388</v>
      </c>
      <c r="D59" s="30" t="str">
        <f>IFERROR(__xludf.DUMMYFUNCTION("IFERROR(GOOGLEFINANCE(C59, ""NAME""))"),"IDT Corp")</f>
        <v>IDT Corp</v>
      </c>
      <c r="E59" s="30" t="s">
        <v>52</v>
      </c>
      <c r="F59" s="33" t="str">
        <f>IFERROR(__xludf.DUMMYFUNCTION("( (GOOGLEFINANCE(C59, ""price"") - Q59) / Q59 ) / (R59 / 100)"),"Loading...")</f>
        <v>Loading...</v>
      </c>
      <c r="G59" s="20" t="str">
        <f>IFERROR(__xludf.DUMMYFUNCTION("AVERAGE(ARRAYFORMULA(100 * (QUERY(GOOGLEFINANCE(C59, ""high"", TODAY()-40, TODAY()), ""SELECT Col2 WHERE Col2 IS NOT NULL ORDER BY Col1 DESC LIMIT 20"", 0) / QUERY(GOOGLEFINANCE(C59, ""low"", TODAY()-40, TODAY()), ""SELECT Col2 WHERE Col2 IS NOT NULL ORDE"&amp;"R BY Col1 DESC LIMIT 20"", 0) - 1)))"),"#N/A")</f>
        <v>#N/A</v>
      </c>
      <c r="H59" s="35" t="str">
        <f t="shared" si="6"/>
        <v>Illiquid</v>
      </c>
      <c r="I59" s="36" t="str">
        <f t="shared" si="7"/>
        <v>RVol Required</v>
      </c>
      <c r="J59" s="37">
        <f>IFERROR(__xludf.DUMMYFUNCTION("IFERROR(
  IF(C59="""",, 
    IFERROR(
      GOOGLEFINANCE(C59, ""price"") * GOOGLEFINANCE(C59, ""volumeavg""), 
      GOOGLEFINANCE(C59, ""price"") * AVERAGE(QUERY(GOOGLEFINANCE(C59, ""volume"", TODAY()-40, TODAY()), ""SELECT Col2 WHERE Col2 IS NOT NULL "&amp;"ORDER BY Col1 DESC LIMIT 20"", 0))
    )
  ), 
"""")"),2.761519641E7)</f>
        <v>27615196.41</v>
      </c>
      <c r="K59" s="21">
        <f>IFERROR(__xludf.DUMMYFUNCTION("IFERROR(GOOGLEFINANCE(C59, ""changepct"") / 100, """")"),-0.0191)</f>
        <v>-0.0191</v>
      </c>
      <c r="L59" s="21" t="str">
        <f>IFERROR(__xludf.DUMMYFUNCTION("IFERROR((GOOGLEFINANCE(C59, ""price"") / INDEX(GOOGLEFINANCE(C59, ""price"", TODAY()-7, TODAY()), 2, 2)) - 1, """")"),"")</f>
        <v/>
      </c>
      <c r="M59" s="21" t="str">
        <f>IFERROR(__xludf.DUMMYFUNCTION("IFERROR((GOOGLEFINANCE(C59, ""price"") / INDEX(GOOGLEFINANCE(C59, ""price"", EDATE(TODAY(), -1), TODAY()), 2, 2)) - 1, """")"),"")</f>
        <v/>
      </c>
      <c r="N59" s="21" t="str">
        <f>IFERROR(__xludf.DUMMYFUNCTION("IFERROR((GOOGLEFINANCE(C59, ""price"") / INDEX(GOOGLEFINANCE(C59, ""price"", EDATE(TODAY(), -3), TODAY()), 2, 2)) - 1, """")"),"")</f>
        <v/>
      </c>
      <c r="O59" s="21" t="str">
        <f>IFERROR(__xludf.DUMMYFUNCTION("IFERROR((GOOGLEFINANCE(C59, ""price"") / INDEX(GOOGLEFINANCE(C59, ""price"", EDATE(TODAY(), -6), TODAY()), 2, 2)) - 1, """")"),"")</f>
        <v/>
      </c>
      <c r="P59" s="21" t="str">
        <f>IFERROR(__xludf.DUMMYFUNCTION("IFERROR((GOOGLEFINANCE(C59, ""price"") / INDEX(GOOGLEFINANCE(C59, ""price"", EDATE(TODAY(), -12), TODAY()), 2, 2)) - 1, """")"),"")</f>
        <v/>
      </c>
      <c r="Q59" s="6" t="str">
        <f>IFERROR(__xludf.DUMMYFUNCTION("AVERAGE(QUERY(GOOGLEFINANCE(C59, ""price"", TODAY()-80, TODAY()), ""SELECT Col2 WHERE Col2 IS NOT NULL ORDER BY Col1 DESC LIMIT 50"", 0))"),"#N/A")</f>
        <v>#N/A</v>
      </c>
      <c r="R59" s="24" t="str">
        <f>IFERROR(__xludf.DUMMYFUNCTION("IFERROR(
  LET(
    data, QUERY(GOOGLEFINANCE(C59,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GOOGLEFINANCE(C59, ""price"")) * 100,
    IF(calc=0, G59, calc)
  ), 
G59)"),"#N/A")</f>
        <v>#N/A</v>
      </c>
      <c r="S59" s="8" t="s">
        <v>15</v>
      </c>
      <c r="T59" s="26" t="str">
        <f>IFERROR(__xludf.DUMMYFUNCTION("IFERROR(TRANSPOSE(QUERY(IFERROR(SORT(GOOGLEFINANCE(C59, ""price"", WORKDAY(TODAY(), -40), TODAY()), 1, FALSE)), ""select Col2 where Col2 is not null limit 22 label Col2 ''"", 0)), """")"),"")</f>
        <v/>
      </c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8"/>
      <c r="AO59" s="28"/>
      <c r="AP59" s="29"/>
      <c r="AQ59" s="29" t="str">
        <f t="shared" ref="AQ59:BL59" si="62">T59/T$2</f>
        <v>#N/A</v>
      </c>
      <c r="AR59" s="29" t="str">
        <f t="shared" si="62"/>
        <v>#DIV/0!</v>
      </c>
      <c r="AS59" s="29" t="str">
        <f t="shared" si="62"/>
        <v>#DIV/0!</v>
      </c>
      <c r="AT59" s="29" t="str">
        <f t="shared" si="62"/>
        <v>#DIV/0!</v>
      </c>
      <c r="AU59" s="29" t="str">
        <f t="shared" si="62"/>
        <v>#DIV/0!</v>
      </c>
      <c r="AV59" s="29" t="str">
        <f t="shared" si="62"/>
        <v>#DIV/0!</v>
      </c>
      <c r="AW59" s="29" t="str">
        <f t="shared" si="62"/>
        <v>#DIV/0!</v>
      </c>
      <c r="AX59" s="29" t="str">
        <f t="shared" si="62"/>
        <v>#DIV/0!</v>
      </c>
      <c r="AY59" s="29" t="str">
        <f t="shared" si="62"/>
        <v>#DIV/0!</v>
      </c>
      <c r="AZ59" s="29" t="str">
        <f t="shared" si="62"/>
        <v>#DIV/0!</v>
      </c>
      <c r="BA59" s="29" t="str">
        <f t="shared" si="62"/>
        <v>#DIV/0!</v>
      </c>
      <c r="BB59" s="29" t="str">
        <f t="shared" si="62"/>
        <v>#DIV/0!</v>
      </c>
      <c r="BC59" s="29" t="str">
        <f t="shared" si="62"/>
        <v>#DIV/0!</v>
      </c>
      <c r="BD59" s="29" t="str">
        <f t="shared" si="62"/>
        <v>#DIV/0!</v>
      </c>
      <c r="BE59" s="29" t="str">
        <f t="shared" si="62"/>
        <v>#DIV/0!</v>
      </c>
      <c r="BF59" s="29" t="str">
        <f t="shared" si="62"/>
        <v>#DIV/0!</v>
      </c>
      <c r="BG59" s="29" t="str">
        <f t="shared" si="62"/>
        <v>#DIV/0!</v>
      </c>
      <c r="BH59" s="29" t="str">
        <f t="shared" si="62"/>
        <v>#DIV/0!</v>
      </c>
      <c r="BI59" s="29" t="str">
        <f t="shared" si="62"/>
        <v>#DIV/0!</v>
      </c>
      <c r="BJ59" s="29" t="str">
        <f t="shared" si="62"/>
        <v>#DIV/0!</v>
      </c>
      <c r="BK59" s="29" t="str">
        <f t="shared" si="62"/>
        <v>#DIV/0!</v>
      </c>
      <c r="BL59" s="29" t="str">
        <f t="shared" si="62"/>
        <v>#DIV/0!</v>
      </c>
      <c r="BM59" s="29" t="str">
        <f t="shared" si="3"/>
        <v>#DIV/0!</v>
      </c>
    </row>
    <row r="60">
      <c r="A60" s="16" t="str">
        <f>IFERROR(__xludf.DUMMYFUNCTION("IFERROR(SPARKLINE(SORT(MAP(TRANSPOSE(AQ60:BL60), LAMBDA(val, IF(ISNUMBER(val), PERCENTRANK(AQ60:BL60, val)+0.01, 0))), SEQUENCE(COLUMNS(AQ60:BL60)), FALSE), {""charttype"",""column""; ""color"",""chartreuse""; ""ymin"", 0; ""ymax"", 1.01; ""highcolor"", "&amp;"""darkgreen""; ""lowcolor"", ""red""}), """")"),"")</f>
        <v/>
      </c>
      <c r="B60" s="17" t="str">
        <f t="shared" si="4"/>
        <v/>
      </c>
      <c r="C60" s="1" t="s">
        <v>393</v>
      </c>
      <c r="D60" s="30" t="str">
        <f>IFERROR(__xludf.DUMMYFUNCTION("IFERROR(GOOGLEFINANCE(C60, ""NAME""))"),"Pinterest Inc")</f>
        <v>Pinterest Inc</v>
      </c>
      <c r="E60" s="30" t="s">
        <v>69</v>
      </c>
      <c r="F60" s="38" t="str">
        <f>IFERROR(__xludf.DUMMYFUNCTION("( (GOOGLEFINANCE(C60, ""price"") - Q60) / Q60 ) / (R60 / 100)"),"Loading...")</f>
        <v>Loading...</v>
      </c>
      <c r="G60" s="20" t="str">
        <f>IFERROR(__xludf.DUMMYFUNCTION("AVERAGE(ARRAYFORMULA(100 * (QUERY(GOOGLEFINANCE(C60, ""high"", TODAY()-40, TODAY()), ""SELECT Col2 WHERE Col2 IS NOT NULL ORDER BY Col1 DESC LIMIT 20"", 0) / QUERY(GOOGLEFINANCE(C60, ""low"", TODAY()-40, TODAY()), ""SELECT Col2 WHERE Col2 IS NOT NULL ORDE"&amp;"R BY Col1 DESC LIMIT 20"", 0) - 1)))"),"#N/A")</f>
        <v>#N/A</v>
      </c>
      <c r="H60" s="35" t="str">
        <f t="shared" si="6"/>
        <v>Liquid</v>
      </c>
      <c r="I60" s="36" t="str">
        <f t="shared" si="7"/>
        <v>RVol Required</v>
      </c>
      <c r="J60" s="37">
        <f>IFERROR(__xludf.DUMMYFUNCTION("IFERROR(
  IF(C60="""",, 
    IFERROR(
      GOOGLEFINANCE(C60, ""price"") * GOOGLEFINANCE(C60, ""volumeavg""), 
      GOOGLEFINANCE(C60, ""price"") * AVERAGE(QUERY(GOOGLEFINANCE(C60, ""volume"", TODAY()-40, TODAY()), ""SELECT Col2 WHERE Col2 IS NOT NULL "&amp;"ORDER BY Col1 DESC LIMIT 20"", 0))
    )
  ), 
"""")"),3.1365716228000003E8)</f>
        <v>313657162.3</v>
      </c>
      <c r="K60" s="21">
        <f>IFERROR(__xludf.DUMMYFUNCTION("IFERROR(GOOGLEFINANCE(C60, ""changepct"") / 100, """")"),-0.0352)</f>
        <v>-0.0352</v>
      </c>
      <c r="L60" s="21" t="str">
        <f>IFERROR(__xludf.DUMMYFUNCTION("IFERROR((GOOGLEFINANCE(C60, ""price"") / INDEX(GOOGLEFINANCE(C60, ""price"", TODAY()-7, TODAY()), 2, 2)) - 1, """")"),"")</f>
        <v/>
      </c>
      <c r="M60" s="21" t="str">
        <f>IFERROR(__xludf.DUMMYFUNCTION("IFERROR((GOOGLEFINANCE(C60, ""price"") / INDEX(GOOGLEFINANCE(C60, ""price"", EDATE(TODAY(), -1), TODAY()), 2, 2)) - 1, """")"),"")</f>
        <v/>
      </c>
      <c r="N60" s="21" t="str">
        <f>IFERROR(__xludf.DUMMYFUNCTION("IFERROR((GOOGLEFINANCE(C60, ""price"") / INDEX(GOOGLEFINANCE(C60, ""price"", EDATE(TODAY(), -3), TODAY()), 2, 2)) - 1, """")"),"")</f>
        <v/>
      </c>
      <c r="O60" s="21" t="str">
        <f>IFERROR(__xludf.DUMMYFUNCTION("IFERROR((GOOGLEFINANCE(C60, ""price"") / INDEX(GOOGLEFINANCE(C60, ""price"", EDATE(TODAY(), -6), TODAY()), 2, 2)) - 1, """")"),"")</f>
        <v/>
      </c>
      <c r="P60" s="21" t="str">
        <f>IFERROR(__xludf.DUMMYFUNCTION("IFERROR((GOOGLEFINANCE(C60, ""price"") / INDEX(GOOGLEFINANCE(C60, ""price"", EDATE(TODAY(), -12), TODAY()), 2, 2)) - 1, """")"),"")</f>
        <v/>
      </c>
      <c r="Q60" s="6" t="str">
        <f>IFERROR(__xludf.DUMMYFUNCTION("AVERAGE(QUERY(GOOGLEFINANCE(C60, ""price"", TODAY()-80, TODAY()), ""SELECT Col2 WHERE Col2 IS NOT NULL ORDER BY Col1 DESC LIMIT 50"", 0))"),"#N/A")</f>
        <v>#N/A</v>
      </c>
      <c r="R60" s="24" t="str">
        <f>IFERROR(__xludf.DUMMYFUNCTION("IFERROR(
  LET(
    data, QUERY(GOOGLEFINANCE(C60,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GOOGLEFINANCE(C60, ""price"")) * 100,
    IF(calc=0, G60, calc)
  ), 
G60)"),"#N/A")</f>
        <v>#N/A</v>
      </c>
      <c r="S60" s="8" t="s">
        <v>15</v>
      </c>
      <c r="T60" s="26" t="str">
        <f>IFERROR(__xludf.DUMMYFUNCTION("IFERROR(TRANSPOSE(QUERY(IFERROR(SORT(GOOGLEFINANCE(C60, ""price"", WORKDAY(TODAY(), -40), TODAY()), 1, FALSE)), ""select Col2 where Col2 is not null limit 22 label Col2 ''"", 0)), """")"),"")</f>
        <v/>
      </c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8"/>
      <c r="AO60" s="28"/>
      <c r="AP60" s="29"/>
      <c r="AQ60" s="29" t="str">
        <f t="shared" ref="AQ60:BL60" si="63">T60/T$2</f>
        <v>#N/A</v>
      </c>
      <c r="AR60" s="29" t="str">
        <f t="shared" si="63"/>
        <v>#DIV/0!</v>
      </c>
      <c r="AS60" s="29" t="str">
        <f t="shared" si="63"/>
        <v>#DIV/0!</v>
      </c>
      <c r="AT60" s="29" t="str">
        <f t="shared" si="63"/>
        <v>#DIV/0!</v>
      </c>
      <c r="AU60" s="29" t="str">
        <f t="shared" si="63"/>
        <v>#DIV/0!</v>
      </c>
      <c r="AV60" s="29" t="str">
        <f t="shared" si="63"/>
        <v>#DIV/0!</v>
      </c>
      <c r="AW60" s="29" t="str">
        <f t="shared" si="63"/>
        <v>#DIV/0!</v>
      </c>
      <c r="AX60" s="29" t="str">
        <f t="shared" si="63"/>
        <v>#DIV/0!</v>
      </c>
      <c r="AY60" s="29" t="str">
        <f t="shared" si="63"/>
        <v>#DIV/0!</v>
      </c>
      <c r="AZ60" s="29" t="str">
        <f t="shared" si="63"/>
        <v>#DIV/0!</v>
      </c>
      <c r="BA60" s="29" t="str">
        <f t="shared" si="63"/>
        <v>#DIV/0!</v>
      </c>
      <c r="BB60" s="29" t="str">
        <f t="shared" si="63"/>
        <v>#DIV/0!</v>
      </c>
      <c r="BC60" s="29" t="str">
        <f t="shared" si="63"/>
        <v>#DIV/0!</v>
      </c>
      <c r="BD60" s="29" t="str">
        <f t="shared" si="63"/>
        <v>#DIV/0!</v>
      </c>
      <c r="BE60" s="29" t="str">
        <f t="shared" si="63"/>
        <v>#DIV/0!</v>
      </c>
      <c r="BF60" s="29" t="str">
        <f t="shared" si="63"/>
        <v>#DIV/0!</v>
      </c>
      <c r="BG60" s="29" t="str">
        <f t="shared" si="63"/>
        <v>#DIV/0!</v>
      </c>
      <c r="BH60" s="29" t="str">
        <f t="shared" si="63"/>
        <v>#DIV/0!</v>
      </c>
      <c r="BI60" s="29" t="str">
        <f t="shared" si="63"/>
        <v>#DIV/0!</v>
      </c>
      <c r="BJ60" s="29" t="str">
        <f t="shared" si="63"/>
        <v>#DIV/0!</v>
      </c>
      <c r="BK60" s="29" t="str">
        <f t="shared" si="63"/>
        <v>#DIV/0!</v>
      </c>
      <c r="BL60" s="29" t="str">
        <f t="shared" si="63"/>
        <v>#DIV/0!</v>
      </c>
      <c r="BM60" s="29" t="str">
        <f t="shared" si="3"/>
        <v>#DIV/0!</v>
      </c>
    </row>
    <row r="61">
      <c r="A61" s="16" t="str">
        <f>IFERROR(__xludf.DUMMYFUNCTION("IFERROR(SPARKLINE(SORT(MAP(TRANSPOSE(AQ61:BL61), LAMBDA(val, IF(ISNUMBER(val), PERCENTRANK(AQ61:BL61, val)+0.01, 0))), SEQUENCE(COLUMNS(AQ61:BL61)), FALSE), {""charttype"",""column""; ""color"",""chartreuse""; ""ymin"", 0; ""ymax"", 1.01; ""highcolor"", "&amp;"""darkgreen""; ""lowcolor"", ""red""}), """")"),"")</f>
        <v/>
      </c>
      <c r="B61" s="17" t="str">
        <f t="shared" si="4"/>
        <v/>
      </c>
      <c r="C61" s="1" t="s">
        <v>397</v>
      </c>
      <c r="D61" s="30" t="str">
        <f>IFERROR(__xludf.DUMMYFUNCTION("IFERROR(GOOGLEFINANCE(C61, ""NAME""))"),"Telecom Argentina SA")</f>
        <v>Telecom Argentina SA</v>
      </c>
      <c r="E61" s="30" t="s">
        <v>52</v>
      </c>
      <c r="F61" s="33" t="str">
        <f>IFERROR(__xludf.DUMMYFUNCTION("( (GOOGLEFINANCE(C61, ""price"") - Q61) / Q61 ) / (R61 / 100)"),"Loading...")</f>
        <v>Loading...</v>
      </c>
      <c r="G61" s="20" t="str">
        <f>IFERROR(__xludf.DUMMYFUNCTION("AVERAGE(ARRAYFORMULA(100 * (QUERY(GOOGLEFINANCE(C61, ""high"", TODAY()-40, TODAY()), ""SELECT Col2 WHERE Col2 IS NOT NULL ORDER BY Col1 DESC LIMIT 20"", 0) / QUERY(GOOGLEFINANCE(C61, ""low"", TODAY()-40, TODAY()), ""SELECT Col2 WHERE Col2 IS NOT NULL ORDE"&amp;"R BY Col1 DESC LIMIT 20"", 0) - 1)))"),"#N/A")</f>
        <v>#N/A</v>
      </c>
      <c r="H61" s="35" t="str">
        <f t="shared" si="6"/>
        <v>Illiquid</v>
      </c>
      <c r="I61" s="36" t="str">
        <f t="shared" si="7"/>
        <v>RVol Required</v>
      </c>
      <c r="J61" s="37">
        <f>IFERROR(__xludf.DUMMYFUNCTION("IFERROR(
  IF(C61="""",, 
    IFERROR(
      GOOGLEFINANCE(C61, ""price"") * GOOGLEFINANCE(C61, ""volumeavg""), 
      GOOGLEFINANCE(C61, ""price"") * AVERAGE(QUERY(GOOGLEFINANCE(C61, ""volume"", TODAY()-40, TODAY()), ""SELECT Col2 WHERE Col2 IS NOT NULL "&amp;"ORDER BY Col1 DESC LIMIT 20"", 0))
    )
  ), 
"""")"),4315056.45)</f>
        <v>4315056.45</v>
      </c>
      <c r="K61" s="21">
        <f>IFERROR(__xludf.DUMMYFUNCTION("IFERROR(GOOGLEFINANCE(C61, ""changepct"") / 100, """")"),-0.0016)</f>
        <v>-0.0016</v>
      </c>
      <c r="L61" s="21" t="str">
        <f>IFERROR(__xludf.DUMMYFUNCTION("IFERROR((GOOGLEFINANCE(C61, ""price"") / INDEX(GOOGLEFINANCE(C61, ""price"", TODAY()-7, TODAY()), 2, 2)) - 1, """")"),"")</f>
        <v/>
      </c>
      <c r="M61" s="21" t="str">
        <f>IFERROR(__xludf.DUMMYFUNCTION("IFERROR((GOOGLEFINANCE(C61, ""price"") / INDEX(GOOGLEFINANCE(C61, ""price"", EDATE(TODAY(), -1), TODAY()), 2, 2)) - 1, """")"),"")</f>
        <v/>
      </c>
      <c r="N61" s="21" t="str">
        <f>IFERROR(__xludf.DUMMYFUNCTION("IFERROR((GOOGLEFINANCE(C61, ""price"") / INDEX(GOOGLEFINANCE(C61, ""price"", EDATE(TODAY(), -3), TODAY()), 2, 2)) - 1, """")"),"")</f>
        <v/>
      </c>
      <c r="O61" s="21" t="str">
        <f>IFERROR(__xludf.DUMMYFUNCTION("IFERROR((GOOGLEFINANCE(C61, ""price"") / INDEX(GOOGLEFINANCE(C61, ""price"", EDATE(TODAY(), -6), TODAY()), 2, 2)) - 1, """")"),"")</f>
        <v/>
      </c>
      <c r="P61" s="21" t="str">
        <f>IFERROR(__xludf.DUMMYFUNCTION("IFERROR((GOOGLEFINANCE(C61, ""price"") / INDEX(GOOGLEFINANCE(C61, ""price"", EDATE(TODAY(), -12), TODAY()), 2, 2)) - 1, """")"),"")</f>
        <v/>
      </c>
      <c r="Q61" s="6" t="str">
        <f>IFERROR(__xludf.DUMMYFUNCTION("AVERAGE(QUERY(GOOGLEFINANCE(C61, ""price"", TODAY()-80, TODAY()), ""SELECT Col2 WHERE Col2 IS NOT NULL ORDER BY Col1 DESC LIMIT 50"", 0))"),"#N/A")</f>
        <v>#N/A</v>
      </c>
      <c r="R61" s="24" t="str">
        <f>IFERROR(__xludf.DUMMYFUNCTION("IFERROR(
  LET(
    data, QUERY(GOOGLEFINANCE(C61,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GOOGLEFINANCE(C61, ""price"")) * 100,
    IF(calc=0, G61, calc)
  ), 
G61)"),"#N/A")</f>
        <v>#N/A</v>
      </c>
      <c r="S61" s="8" t="s">
        <v>15</v>
      </c>
      <c r="T61" s="26" t="str">
        <f>IFERROR(__xludf.DUMMYFUNCTION("IFERROR(TRANSPOSE(QUERY(IFERROR(SORT(GOOGLEFINANCE(C61, ""price"", WORKDAY(TODAY(), -40), TODAY()), 1, FALSE)), ""select Col2 where Col2 is not null limit 22 label Col2 ''"", 0)), """")"),"")</f>
        <v/>
      </c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8"/>
      <c r="AO61" s="28"/>
      <c r="AP61" s="29"/>
      <c r="AQ61" s="29" t="str">
        <f t="shared" ref="AQ61:BL61" si="64">T61/T$2</f>
        <v>#N/A</v>
      </c>
      <c r="AR61" s="29" t="str">
        <f t="shared" si="64"/>
        <v>#DIV/0!</v>
      </c>
      <c r="AS61" s="29" t="str">
        <f t="shared" si="64"/>
        <v>#DIV/0!</v>
      </c>
      <c r="AT61" s="29" t="str">
        <f t="shared" si="64"/>
        <v>#DIV/0!</v>
      </c>
      <c r="AU61" s="29" t="str">
        <f t="shared" si="64"/>
        <v>#DIV/0!</v>
      </c>
      <c r="AV61" s="29" t="str">
        <f t="shared" si="64"/>
        <v>#DIV/0!</v>
      </c>
      <c r="AW61" s="29" t="str">
        <f t="shared" si="64"/>
        <v>#DIV/0!</v>
      </c>
      <c r="AX61" s="29" t="str">
        <f t="shared" si="64"/>
        <v>#DIV/0!</v>
      </c>
      <c r="AY61" s="29" t="str">
        <f t="shared" si="64"/>
        <v>#DIV/0!</v>
      </c>
      <c r="AZ61" s="29" t="str">
        <f t="shared" si="64"/>
        <v>#DIV/0!</v>
      </c>
      <c r="BA61" s="29" t="str">
        <f t="shared" si="64"/>
        <v>#DIV/0!</v>
      </c>
      <c r="BB61" s="29" t="str">
        <f t="shared" si="64"/>
        <v>#DIV/0!</v>
      </c>
      <c r="BC61" s="29" t="str">
        <f t="shared" si="64"/>
        <v>#DIV/0!</v>
      </c>
      <c r="BD61" s="29" t="str">
        <f t="shared" si="64"/>
        <v>#DIV/0!</v>
      </c>
      <c r="BE61" s="29" t="str">
        <f t="shared" si="64"/>
        <v>#DIV/0!</v>
      </c>
      <c r="BF61" s="29" t="str">
        <f t="shared" si="64"/>
        <v>#DIV/0!</v>
      </c>
      <c r="BG61" s="29" t="str">
        <f t="shared" si="64"/>
        <v>#DIV/0!</v>
      </c>
      <c r="BH61" s="29" t="str">
        <f t="shared" si="64"/>
        <v>#DIV/0!</v>
      </c>
      <c r="BI61" s="29" t="str">
        <f t="shared" si="64"/>
        <v>#DIV/0!</v>
      </c>
      <c r="BJ61" s="29" t="str">
        <f t="shared" si="64"/>
        <v>#DIV/0!</v>
      </c>
      <c r="BK61" s="29" t="str">
        <f t="shared" si="64"/>
        <v>#DIV/0!</v>
      </c>
      <c r="BL61" s="29" t="str">
        <f t="shared" si="64"/>
        <v>#DIV/0!</v>
      </c>
      <c r="BM61" s="29" t="str">
        <f t="shared" si="3"/>
        <v>#DIV/0!</v>
      </c>
    </row>
    <row r="62">
      <c r="A62" s="16" t="str">
        <f>IFERROR(__xludf.DUMMYFUNCTION("IFERROR(SPARKLINE(SORT(MAP(TRANSPOSE(AQ62:BL62), LAMBDA(val, IF(ISNUMBER(val), PERCENTRANK(AQ62:BL62, val)+0.01, 0))), SEQUENCE(COLUMNS(AQ62:BL62)), FALSE), {""charttype"",""column""; ""color"",""chartreuse""; ""ymin"", 0; ""ymax"", 1.01; ""highcolor"", "&amp;"""darkgreen""; ""lowcolor"", ""red""}), """")"),"")</f>
        <v/>
      </c>
      <c r="B62" s="17" t="str">
        <f t="shared" si="4"/>
        <v/>
      </c>
      <c r="C62" s="1" t="s">
        <v>401</v>
      </c>
      <c r="D62" s="30" t="str">
        <f>IFERROR(__xludf.DUMMYFUNCTION("IFERROR(GOOGLEFINANCE(C62, ""NAME""))"),"USA TODAY Co Inc")</f>
        <v>USA TODAY Co Inc</v>
      </c>
      <c r="E62" s="30" t="s">
        <v>402</v>
      </c>
      <c r="F62" s="33" t="str">
        <f>IFERROR(__xludf.DUMMYFUNCTION("( (GOOGLEFINANCE(C62, ""price"") - Q62) / Q62 ) / (R62 / 100)"),"Loading...")</f>
        <v>Loading...</v>
      </c>
      <c r="G62" s="20" t="str">
        <f>IFERROR(__xludf.DUMMYFUNCTION("AVERAGE(ARRAYFORMULA(100 * (QUERY(GOOGLEFINANCE(C62, ""high"", TODAY()-40, TODAY()), ""SELECT Col2 WHERE Col2 IS NOT NULL ORDER BY Col1 DESC LIMIT 20"", 0) / QUERY(GOOGLEFINANCE(C62, ""low"", TODAY()-40, TODAY()), ""SELECT Col2 WHERE Col2 IS NOT NULL ORDE"&amp;"R BY Col1 DESC LIMIT 20"", 0) - 1)))"),"#N/A")</f>
        <v>#N/A</v>
      </c>
      <c r="H62" s="35" t="str">
        <f t="shared" si="6"/>
        <v>Illiquid</v>
      </c>
      <c r="I62" s="36" t="str">
        <f t="shared" si="7"/>
        <v>RVol Required</v>
      </c>
      <c r="J62" s="37">
        <f>IFERROR(__xludf.DUMMYFUNCTION("IFERROR(
  IF(C62="""",, 
    IFERROR(
      GOOGLEFINANCE(C62, ""price"") * GOOGLEFINANCE(C62, ""volumeavg""), 
      GOOGLEFINANCE(C62, ""price"") * AVERAGE(QUERY(GOOGLEFINANCE(C62, ""volume"", TODAY()-40, TODAY()), ""SELECT Col2 WHERE Col2 IS NOT NULL "&amp;"ORDER BY Col1 DESC LIMIT 20"", 0))
    )
  ), 
"""")"),1.757292431E7)</f>
        <v>17572924.31</v>
      </c>
      <c r="K62" s="21">
        <f>IFERROR(__xludf.DUMMYFUNCTION("IFERROR(GOOGLEFINANCE(C62, ""changepct"") / 100, """")"),-0.0292)</f>
        <v>-0.0292</v>
      </c>
      <c r="L62" s="21" t="str">
        <f>IFERROR(__xludf.DUMMYFUNCTION("IFERROR((GOOGLEFINANCE(C62, ""price"") / INDEX(GOOGLEFINANCE(C62, ""price"", TODAY()-7, TODAY()), 2, 2)) - 1, """")"),"")</f>
        <v/>
      </c>
      <c r="M62" s="21" t="str">
        <f>IFERROR(__xludf.DUMMYFUNCTION("IFERROR((GOOGLEFINANCE(C62, ""price"") / INDEX(GOOGLEFINANCE(C62, ""price"", EDATE(TODAY(), -1), TODAY()), 2, 2)) - 1, """")"),"")</f>
        <v/>
      </c>
      <c r="N62" s="21" t="str">
        <f>IFERROR(__xludf.DUMMYFUNCTION("IFERROR((GOOGLEFINANCE(C62, ""price"") / INDEX(GOOGLEFINANCE(C62, ""price"", EDATE(TODAY(), -3), TODAY()), 2, 2)) - 1, """")"),"")</f>
        <v/>
      </c>
      <c r="O62" s="21" t="str">
        <f>IFERROR(__xludf.DUMMYFUNCTION("IFERROR((GOOGLEFINANCE(C62, ""price"") / INDEX(GOOGLEFINANCE(C62, ""price"", EDATE(TODAY(), -6), TODAY()), 2, 2)) - 1, """")"),"")</f>
        <v/>
      </c>
      <c r="P62" s="21" t="str">
        <f>IFERROR(__xludf.DUMMYFUNCTION("IFERROR((GOOGLEFINANCE(C62, ""price"") / INDEX(GOOGLEFINANCE(C62, ""price"", EDATE(TODAY(), -12), TODAY()), 2, 2)) - 1, """")"),"")</f>
        <v/>
      </c>
      <c r="Q62" s="6" t="str">
        <f>IFERROR(__xludf.DUMMYFUNCTION("AVERAGE(QUERY(GOOGLEFINANCE(C62, ""price"", TODAY()-80, TODAY()), ""SELECT Col2 WHERE Col2 IS NOT NULL ORDER BY Col1 DESC LIMIT 50"", 0))"),"#N/A")</f>
        <v>#N/A</v>
      </c>
      <c r="R62" s="24" t="str">
        <f>IFERROR(__xludf.DUMMYFUNCTION("IFERROR(
  LET(
    data, QUERY(GOOGLEFINANCE(C62,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GOOGLEFINANCE(C62, ""price"")) * 100,
    IF(calc=0, G62, calc)
  ), 
G62)"),"#N/A")</f>
        <v>#N/A</v>
      </c>
      <c r="S62" s="8" t="s">
        <v>15</v>
      </c>
      <c r="T62" s="26" t="str">
        <f>IFERROR(__xludf.DUMMYFUNCTION("IFERROR(TRANSPOSE(QUERY(IFERROR(SORT(GOOGLEFINANCE(C62, ""price"", WORKDAY(TODAY(), -40), TODAY()), 1, FALSE)), ""select Col2 where Col2 is not null limit 22 label Col2 ''"", 0)), """")"),"")</f>
        <v/>
      </c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8"/>
      <c r="AO62" s="28"/>
      <c r="AP62" s="29"/>
      <c r="AQ62" s="29" t="str">
        <f t="shared" ref="AQ62:BL62" si="65">T62/T$2</f>
        <v>#N/A</v>
      </c>
      <c r="AR62" s="29" t="str">
        <f t="shared" si="65"/>
        <v>#DIV/0!</v>
      </c>
      <c r="AS62" s="29" t="str">
        <f t="shared" si="65"/>
        <v>#DIV/0!</v>
      </c>
      <c r="AT62" s="29" t="str">
        <f t="shared" si="65"/>
        <v>#DIV/0!</v>
      </c>
      <c r="AU62" s="29" t="str">
        <f t="shared" si="65"/>
        <v>#DIV/0!</v>
      </c>
      <c r="AV62" s="29" t="str">
        <f t="shared" si="65"/>
        <v>#DIV/0!</v>
      </c>
      <c r="AW62" s="29" t="str">
        <f t="shared" si="65"/>
        <v>#DIV/0!</v>
      </c>
      <c r="AX62" s="29" t="str">
        <f t="shared" si="65"/>
        <v>#DIV/0!</v>
      </c>
      <c r="AY62" s="29" t="str">
        <f t="shared" si="65"/>
        <v>#DIV/0!</v>
      </c>
      <c r="AZ62" s="29" t="str">
        <f t="shared" si="65"/>
        <v>#DIV/0!</v>
      </c>
      <c r="BA62" s="29" t="str">
        <f t="shared" si="65"/>
        <v>#DIV/0!</v>
      </c>
      <c r="BB62" s="29" t="str">
        <f t="shared" si="65"/>
        <v>#DIV/0!</v>
      </c>
      <c r="BC62" s="29" t="str">
        <f t="shared" si="65"/>
        <v>#DIV/0!</v>
      </c>
      <c r="BD62" s="29" t="str">
        <f t="shared" si="65"/>
        <v>#DIV/0!</v>
      </c>
      <c r="BE62" s="29" t="str">
        <f t="shared" si="65"/>
        <v>#DIV/0!</v>
      </c>
      <c r="BF62" s="29" t="str">
        <f t="shared" si="65"/>
        <v>#DIV/0!</v>
      </c>
      <c r="BG62" s="29" t="str">
        <f t="shared" si="65"/>
        <v>#DIV/0!</v>
      </c>
      <c r="BH62" s="29" t="str">
        <f t="shared" si="65"/>
        <v>#DIV/0!</v>
      </c>
      <c r="BI62" s="29" t="str">
        <f t="shared" si="65"/>
        <v>#DIV/0!</v>
      </c>
      <c r="BJ62" s="29" t="str">
        <f t="shared" si="65"/>
        <v>#DIV/0!</v>
      </c>
      <c r="BK62" s="29" t="str">
        <f t="shared" si="65"/>
        <v>#DIV/0!</v>
      </c>
      <c r="BL62" s="29" t="str">
        <f t="shared" si="65"/>
        <v>#DIV/0!</v>
      </c>
      <c r="BM62" s="29" t="str">
        <f t="shared" si="3"/>
        <v>#DIV/0!</v>
      </c>
    </row>
    <row r="63">
      <c r="A63" s="16" t="str">
        <f>IFERROR(__xludf.DUMMYFUNCTION("IFERROR(SPARKLINE(SORT(MAP(TRANSPOSE(AQ63:BL63), LAMBDA(val, IF(ISNUMBER(val), PERCENTRANK(AQ63:BL63, val)+0.01, 0))), SEQUENCE(COLUMNS(AQ63:BL63)), FALSE), {""charttype"",""column""; ""color"",""chartreuse""; ""ymin"", 0; ""ymax"", 1.01; ""highcolor"", "&amp;"""darkgreen""; ""lowcolor"", ""red""}), """")"),"")</f>
        <v/>
      </c>
      <c r="B63" s="17" t="str">
        <f t="shared" si="4"/>
        <v/>
      </c>
      <c r="C63" s="1" t="s">
        <v>405</v>
      </c>
      <c r="D63" s="30" t="str">
        <f>IFERROR(__xludf.DUMMYFUNCTION("IFERROR(GOOGLEFINANCE(C63, ""NAME""))"),"Gogo Inc")</f>
        <v>Gogo Inc</v>
      </c>
      <c r="E63" s="30" t="s">
        <v>52</v>
      </c>
      <c r="F63" s="33" t="str">
        <f>IFERROR(__xludf.DUMMYFUNCTION("( (GOOGLEFINANCE(C63, ""price"") - Q63) / Q63 ) / (R63 / 100)"),"Loading...")</f>
        <v>Loading...</v>
      </c>
      <c r="G63" s="20" t="str">
        <f>IFERROR(__xludf.DUMMYFUNCTION("AVERAGE(ARRAYFORMULA(100 * (QUERY(GOOGLEFINANCE(C63, ""high"", TODAY()-40, TODAY()), ""SELECT Col2 WHERE Col2 IS NOT NULL ORDER BY Col1 DESC LIMIT 20"", 0) / QUERY(GOOGLEFINANCE(C63, ""low"", TODAY()-40, TODAY()), ""SELECT Col2 WHERE Col2 IS NOT NULL ORDE"&amp;"R BY Col1 DESC LIMIT 20"", 0) - 1)))"),"#N/A")</f>
        <v>#N/A</v>
      </c>
      <c r="H63" s="35" t="str">
        <f t="shared" si="6"/>
        <v>Illiquid</v>
      </c>
      <c r="I63" s="36" t="str">
        <f t="shared" si="7"/>
        <v>RVol Required</v>
      </c>
      <c r="J63" s="37">
        <f>IFERROR(__xludf.DUMMYFUNCTION("IFERROR(
  IF(C63="""",, 
    IFERROR(
      GOOGLEFINANCE(C63, ""price"") * GOOGLEFINANCE(C63, ""volumeavg""), 
      GOOGLEFINANCE(C63, ""price"") * AVERAGE(QUERY(GOOGLEFINANCE(C63, ""volume"", TODAY()-40, TODAY()), ""SELECT Col2 WHERE Col2 IS NOT NULL "&amp;"ORDER BY Col1 DESC LIMIT 20"", 0))
    )
  ), 
"""")"),3671864.4)</f>
        <v>3671864.4</v>
      </c>
      <c r="K63" s="21">
        <f>IFERROR(__xludf.DUMMYFUNCTION("IFERROR(GOOGLEFINANCE(C63, ""changepct"") / 100, """")"),-0.0533)</f>
        <v>-0.0533</v>
      </c>
      <c r="L63" s="21" t="str">
        <f>IFERROR(__xludf.DUMMYFUNCTION("IFERROR((GOOGLEFINANCE(C63, ""price"") / INDEX(GOOGLEFINANCE(C63, ""price"", TODAY()-7, TODAY()), 2, 2)) - 1, """")"),"")</f>
        <v/>
      </c>
      <c r="M63" s="21" t="str">
        <f>IFERROR(__xludf.DUMMYFUNCTION("IFERROR((GOOGLEFINANCE(C63, ""price"") / INDEX(GOOGLEFINANCE(C63, ""price"", EDATE(TODAY(), -1), TODAY()), 2, 2)) - 1, """")"),"")</f>
        <v/>
      </c>
      <c r="N63" s="21" t="str">
        <f>IFERROR(__xludf.DUMMYFUNCTION("IFERROR((GOOGLEFINANCE(C63, ""price"") / INDEX(GOOGLEFINANCE(C63, ""price"", EDATE(TODAY(), -3), TODAY()), 2, 2)) - 1, """")"),"")</f>
        <v/>
      </c>
      <c r="O63" s="21" t="str">
        <f>IFERROR(__xludf.DUMMYFUNCTION("IFERROR((GOOGLEFINANCE(C63, ""price"") / INDEX(GOOGLEFINANCE(C63, ""price"", EDATE(TODAY(), -6), TODAY()), 2, 2)) - 1, """")"),"")</f>
        <v/>
      </c>
      <c r="P63" s="21" t="str">
        <f>IFERROR(__xludf.DUMMYFUNCTION("IFERROR((GOOGLEFINANCE(C63, ""price"") / INDEX(GOOGLEFINANCE(C63, ""price"", EDATE(TODAY(), -12), TODAY()), 2, 2)) - 1, """")"),"")</f>
        <v/>
      </c>
      <c r="Q63" s="6" t="str">
        <f>IFERROR(__xludf.DUMMYFUNCTION("AVERAGE(QUERY(GOOGLEFINANCE(C63, ""price"", TODAY()-80, TODAY()), ""SELECT Col2 WHERE Col2 IS NOT NULL ORDER BY Col1 DESC LIMIT 50"", 0))"),"#N/A")</f>
        <v>#N/A</v>
      </c>
      <c r="R63" s="24" t="str">
        <f>IFERROR(__xludf.DUMMYFUNCTION("IFERROR(
  LET(
    data, QUERY(GOOGLEFINANCE(C63,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GOOGLEFINANCE(C63, ""price"")) * 100,
    IF(calc=0, G63, calc)
  ), 
G63)"),"#N/A")</f>
        <v>#N/A</v>
      </c>
      <c r="S63" s="8" t="s">
        <v>15</v>
      </c>
      <c r="T63" s="26" t="str">
        <f>IFERROR(__xludf.DUMMYFUNCTION("IFERROR(TRANSPOSE(QUERY(IFERROR(SORT(GOOGLEFINANCE(C63, ""price"", WORKDAY(TODAY(), -40), TODAY()), 1, FALSE)), ""select Col2 where Col2 is not null limit 22 label Col2 ''"", 0)), """")"),"")</f>
        <v/>
      </c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8"/>
      <c r="AO63" s="28"/>
      <c r="AP63" s="29"/>
      <c r="AQ63" s="29" t="str">
        <f t="shared" ref="AQ63:BL63" si="66">T63/T$2</f>
        <v>#N/A</v>
      </c>
      <c r="AR63" s="29" t="str">
        <f t="shared" si="66"/>
        <v>#DIV/0!</v>
      </c>
      <c r="AS63" s="29" t="str">
        <f t="shared" si="66"/>
        <v>#DIV/0!</v>
      </c>
      <c r="AT63" s="29" t="str">
        <f t="shared" si="66"/>
        <v>#DIV/0!</v>
      </c>
      <c r="AU63" s="29" t="str">
        <f t="shared" si="66"/>
        <v>#DIV/0!</v>
      </c>
      <c r="AV63" s="29" t="str">
        <f t="shared" si="66"/>
        <v>#DIV/0!</v>
      </c>
      <c r="AW63" s="29" t="str">
        <f t="shared" si="66"/>
        <v>#DIV/0!</v>
      </c>
      <c r="AX63" s="29" t="str">
        <f t="shared" si="66"/>
        <v>#DIV/0!</v>
      </c>
      <c r="AY63" s="29" t="str">
        <f t="shared" si="66"/>
        <v>#DIV/0!</v>
      </c>
      <c r="AZ63" s="29" t="str">
        <f t="shared" si="66"/>
        <v>#DIV/0!</v>
      </c>
      <c r="BA63" s="29" t="str">
        <f t="shared" si="66"/>
        <v>#DIV/0!</v>
      </c>
      <c r="BB63" s="29" t="str">
        <f t="shared" si="66"/>
        <v>#DIV/0!</v>
      </c>
      <c r="BC63" s="29" t="str">
        <f t="shared" si="66"/>
        <v>#DIV/0!</v>
      </c>
      <c r="BD63" s="29" t="str">
        <f t="shared" si="66"/>
        <v>#DIV/0!</v>
      </c>
      <c r="BE63" s="29" t="str">
        <f t="shared" si="66"/>
        <v>#DIV/0!</v>
      </c>
      <c r="BF63" s="29" t="str">
        <f t="shared" si="66"/>
        <v>#DIV/0!</v>
      </c>
      <c r="BG63" s="29" t="str">
        <f t="shared" si="66"/>
        <v>#DIV/0!</v>
      </c>
      <c r="BH63" s="29" t="str">
        <f t="shared" si="66"/>
        <v>#DIV/0!</v>
      </c>
      <c r="BI63" s="29" t="str">
        <f t="shared" si="66"/>
        <v>#DIV/0!</v>
      </c>
      <c r="BJ63" s="29" t="str">
        <f t="shared" si="66"/>
        <v>#DIV/0!</v>
      </c>
      <c r="BK63" s="29" t="str">
        <f t="shared" si="66"/>
        <v>#DIV/0!</v>
      </c>
      <c r="BL63" s="29" t="str">
        <f t="shared" si="66"/>
        <v>#DIV/0!</v>
      </c>
      <c r="BM63" s="29" t="str">
        <f t="shared" si="3"/>
        <v>#DIV/0!</v>
      </c>
    </row>
    <row r="64">
      <c r="A64" s="16" t="str">
        <f>IFERROR(__xludf.DUMMYFUNCTION("IFERROR(SPARKLINE(SORT(MAP(TRANSPOSE(AQ64:BL64), LAMBDA(val, IF(ISNUMBER(val), PERCENTRANK(AQ64:BL64, val)+0.01, 0))), SEQUENCE(COLUMNS(AQ64:BL64)), FALSE), {""charttype"",""column""; ""color"",""chartreuse""; ""ymin"", 0; ""ymax"", 1.01; ""highcolor"", "&amp;"""darkgreen""; ""lowcolor"", ""red""}), """")"),"")</f>
        <v/>
      </c>
      <c r="B64" s="17" t="str">
        <f t="shared" si="4"/>
        <v/>
      </c>
      <c r="C64" s="1" t="s">
        <v>409</v>
      </c>
      <c r="D64" s="30" t="str">
        <f>IFERROR(__xludf.DUMMYFUNCTION("IFERROR(GOOGLEFINANCE(C64, ""NAME""))"),"News Corp Class A")</f>
        <v>News Corp Class A</v>
      </c>
      <c r="E64" s="30" t="s">
        <v>62</v>
      </c>
      <c r="F64" s="33" t="str">
        <f>IFERROR(__xludf.DUMMYFUNCTION("( (GOOGLEFINANCE(C64, ""price"") - Q64) / Q64 ) / (R64 / 100)"),"Loading...")</f>
        <v>Loading...</v>
      </c>
      <c r="G64" s="20" t="str">
        <f>IFERROR(__xludf.DUMMYFUNCTION("AVERAGE(ARRAYFORMULA(100 * (QUERY(GOOGLEFINANCE(C64, ""high"", TODAY()-40, TODAY()), ""SELECT Col2 WHERE Col2 IS NOT NULL ORDER BY Col1 DESC LIMIT 20"", 0) / QUERY(GOOGLEFINANCE(C64, ""low"", TODAY()-40, TODAY()), ""SELECT Col2 WHERE Col2 IS NOT NULL ORDE"&amp;"R BY Col1 DESC LIMIT 20"", 0) - 1)))"),"#N/A")</f>
        <v>#N/A</v>
      </c>
      <c r="H64" s="35" t="str">
        <f t="shared" si="6"/>
        <v>Liquid</v>
      </c>
      <c r="I64" s="36" t="str">
        <f t="shared" si="7"/>
        <v>RVol Required</v>
      </c>
      <c r="J64" s="37">
        <f>IFERROR(__xludf.DUMMYFUNCTION("IFERROR(
  IF(C64="""",, 
    IFERROR(
      GOOGLEFINANCE(C64, ""price"") * GOOGLEFINANCE(C64, ""volumeavg""), 
      GOOGLEFINANCE(C64, ""price"") * AVERAGE(QUERY(GOOGLEFINANCE(C64, ""volume"", TODAY()-40, TODAY()), ""SELECT Col2 WHERE Col2 IS NOT NULL "&amp;"ORDER BY Col1 DESC LIMIT 20"", 0))
    )
  ), 
"""")"),1.2404891499000001E8)</f>
        <v>124048915</v>
      </c>
      <c r="K64" s="21">
        <f>IFERROR(__xludf.DUMMYFUNCTION("IFERROR(GOOGLEFINANCE(C64, ""changepct"") / 100, """")"),-0.0063)</f>
        <v>-0.0063</v>
      </c>
      <c r="L64" s="21" t="str">
        <f>IFERROR(__xludf.DUMMYFUNCTION("IFERROR((GOOGLEFINANCE(C64, ""price"") / INDEX(GOOGLEFINANCE(C64, ""price"", TODAY()-7, TODAY()), 2, 2)) - 1, """")"),"")</f>
        <v/>
      </c>
      <c r="M64" s="21" t="str">
        <f>IFERROR(__xludf.DUMMYFUNCTION("IFERROR((GOOGLEFINANCE(C64, ""price"") / INDEX(GOOGLEFINANCE(C64, ""price"", EDATE(TODAY(), -1), TODAY()), 2, 2)) - 1, """")"),"")</f>
        <v/>
      </c>
      <c r="N64" s="21" t="str">
        <f>IFERROR(__xludf.DUMMYFUNCTION("IFERROR((GOOGLEFINANCE(C64, ""price"") / INDEX(GOOGLEFINANCE(C64, ""price"", EDATE(TODAY(), -3), TODAY()), 2, 2)) - 1, """")"),"")</f>
        <v/>
      </c>
      <c r="O64" s="21" t="str">
        <f>IFERROR(__xludf.DUMMYFUNCTION("IFERROR((GOOGLEFINANCE(C64, ""price"") / INDEX(GOOGLEFINANCE(C64, ""price"", EDATE(TODAY(), -6), TODAY()), 2, 2)) - 1, """")"),"")</f>
        <v/>
      </c>
      <c r="P64" s="21" t="str">
        <f>IFERROR(__xludf.DUMMYFUNCTION("IFERROR((GOOGLEFINANCE(C64, ""price"") / INDEX(GOOGLEFINANCE(C64, ""price"", EDATE(TODAY(), -12), TODAY()), 2, 2)) - 1, """")"),"")</f>
        <v/>
      </c>
      <c r="Q64" s="6" t="str">
        <f>IFERROR(__xludf.DUMMYFUNCTION("AVERAGE(QUERY(GOOGLEFINANCE(C64, ""price"", TODAY()-80, TODAY()), ""SELECT Col2 WHERE Col2 IS NOT NULL ORDER BY Col1 DESC LIMIT 50"", 0))"),"#N/A")</f>
        <v>#N/A</v>
      </c>
      <c r="R64" s="24" t="str">
        <f>IFERROR(__xludf.DUMMYFUNCTION("IFERROR(
  LET(
    data, QUERY(GOOGLEFINANCE(C64,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GOOGLEFINANCE(C64, ""price"")) * 100,
    IF(calc=0, G64, calc)
  ), 
G64)"),"#N/A")</f>
        <v>#N/A</v>
      </c>
      <c r="S64" s="8" t="s">
        <v>15</v>
      </c>
      <c r="T64" s="26" t="str">
        <f>IFERROR(__xludf.DUMMYFUNCTION("IFERROR(TRANSPOSE(QUERY(IFERROR(SORT(GOOGLEFINANCE(C64, ""price"", WORKDAY(TODAY(), -40), TODAY()), 1, FALSE)), ""select Col2 where Col2 is not null limit 22 label Col2 ''"", 0)), """")"),"")</f>
        <v/>
      </c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8"/>
      <c r="AO64" s="28"/>
      <c r="AP64" s="29"/>
      <c r="AQ64" s="29" t="str">
        <f t="shared" ref="AQ64:BL64" si="67">T64/T$2</f>
        <v>#N/A</v>
      </c>
      <c r="AR64" s="29" t="str">
        <f t="shared" si="67"/>
        <v>#DIV/0!</v>
      </c>
      <c r="AS64" s="29" t="str">
        <f t="shared" si="67"/>
        <v>#DIV/0!</v>
      </c>
      <c r="AT64" s="29" t="str">
        <f t="shared" si="67"/>
        <v>#DIV/0!</v>
      </c>
      <c r="AU64" s="29" t="str">
        <f t="shared" si="67"/>
        <v>#DIV/0!</v>
      </c>
      <c r="AV64" s="29" t="str">
        <f t="shared" si="67"/>
        <v>#DIV/0!</v>
      </c>
      <c r="AW64" s="29" t="str">
        <f t="shared" si="67"/>
        <v>#DIV/0!</v>
      </c>
      <c r="AX64" s="29" t="str">
        <f t="shared" si="67"/>
        <v>#DIV/0!</v>
      </c>
      <c r="AY64" s="29" t="str">
        <f t="shared" si="67"/>
        <v>#DIV/0!</v>
      </c>
      <c r="AZ64" s="29" t="str">
        <f t="shared" si="67"/>
        <v>#DIV/0!</v>
      </c>
      <c r="BA64" s="29" t="str">
        <f t="shared" si="67"/>
        <v>#DIV/0!</v>
      </c>
      <c r="BB64" s="29" t="str">
        <f t="shared" si="67"/>
        <v>#DIV/0!</v>
      </c>
      <c r="BC64" s="29" t="str">
        <f t="shared" si="67"/>
        <v>#DIV/0!</v>
      </c>
      <c r="BD64" s="29" t="str">
        <f t="shared" si="67"/>
        <v>#DIV/0!</v>
      </c>
      <c r="BE64" s="29" t="str">
        <f t="shared" si="67"/>
        <v>#DIV/0!</v>
      </c>
      <c r="BF64" s="29" t="str">
        <f t="shared" si="67"/>
        <v>#DIV/0!</v>
      </c>
      <c r="BG64" s="29" t="str">
        <f t="shared" si="67"/>
        <v>#DIV/0!</v>
      </c>
      <c r="BH64" s="29" t="str">
        <f t="shared" si="67"/>
        <v>#DIV/0!</v>
      </c>
      <c r="BI64" s="29" t="str">
        <f t="shared" si="67"/>
        <v>#DIV/0!</v>
      </c>
      <c r="BJ64" s="29" t="str">
        <f t="shared" si="67"/>
        <v>#DIV/0!</v>
      </c>
      <c r="BK64" s="29" t="str">
        <f t="shared" si="67"/>
        <v>#DIV/0!</v>
      </c>
      <c r="BL64" s="29" t="str">
        <f t="shared" si="67"/>
        <v>#DIV/0!</v>
      </c>
      <c r="BM64" s="29" t="str">
        <f t="shared" si="3"/>
        <v>#DIV/0!</v>
      </c>
    </row>
    <row r="65">
      <c r="A65" s="16" t="str">
        <f>IFERROR(__xludf.DUMMYFUNCTION("IFERROR(SPARKLINE(SORT(MAP(TRANSPOSE(AQ65:BL65), LAMBDA(val, IF(ISNUMBER(val), PERCENTRANK(AQ65:BL65, val)+0.01, 0))), SEQUENCE(COLUMNS(AQ65:BL65)), FALSE), {""charttype"",""column""; ""color"",""chartreuse""; ""ymin"", 0; ""ymax"", 1.01; ""highcolor"", "&amp;"""darkgreen""; ""lowcolor"", ""red""}), """")"),"")</f>
        <v/>
      </c>
      <c r="B65" s="17" t="str">
        <f t="shared" si="4"/>
        <v/>
      </c>
      <c r="C65" s="1" t="s">
        <v>412</v>
      </c>
      <c r="D65" s="30" t="str">
        <f>IFERROR(__xludf.DUMMYFUNCTION("IFERROR(GOOGLEFINANCE(C65, ""NAME""))"),"Webtoon Entertainment Inc")</f>
        <v>Webtoon Entertainment Inc</v>
      </c>
      <c r="E65" s="30" t="s">
        <v>69</v>
      </c>
      <c r="F65" s="33" t="str">
        <f>IFERROR(__xludf.DUMMYFUNCTION("( (GOOGLEFINANCE(C65, ""price"") - Q65) / Q65 ) / (R65 / 100)"),"Loading...")</f>
        <v>Loading...</v>
      </c>
      <c r="G65" s="20" t="str">
        <f>IFERROR(__xludf.DUMMYFUNCTION("AVERAGE(ARRAYFORMULA(100 * (QUERY(GOOGLEFINANCE(C65, ""high"", TODAY()-40, TODAY()), ""SELECT Col2 WHERE Col2 IS NOT NULL ORDER BY Col1 DESC LIMIT 20"", 0) / QUERY(GOOGLEFINANCE(C65, ""low"", TODAY()-40, TODAY()), ""SELECT Col2 WHERE Col2 IS NOT NULL ORDE"&amp;"R BY Col1 DESC LIMIT 20"", 0) - 1)))"),"#N/A")</f>
        <v>#N/A</v>
      </c>
      <c r="H65" s="35" t="str">
        <f t="shared" si="6"/>
        <v>Illiquid</v>
      </c>
      <c r="I65" s="36" t="str">
        <f t="shared" si="7"/>
        <v>RVol Required</v>
      </c>
      <c r="J65" s="37">
        <f>IFERROR(__xludf.DUMMYFUNCTION("IFERROR(
  IF(C65="""",, 
    IFERROR(
      GOOGLEFINANCE(C65, ""price"") * GOOGLEFINANCE(C65, ""volumeavg""), 
      GOOGLEFINANCE(C65, ""price"") * AVERAGE(QUERY(GOOGLEFINANCE(C65, ""volume"", TODAY()-40, TODAY()), ""SELECT Col2 WHERE Col2 IS NOT NULL "&amp;"ORDER BY Col1 DESC LIMIT 20"", 0))
    )
  ), 
"""")"),4014670.5600000005)</f>
        <v>4014670.56</v>
      </c>
      <c r="K65" s="21">
        <f>IFERROR(__xludf.DUMMYFUNCTION("IFERROR(GOOGLEFINANCE(C65, ""changepct"") / 100, """")"),-0.0235)</f>
        <v>-0.0235</v>
      </c>
      <c r="L65" s="21" t="str">
        <f>IFERROR(__xludf.DUMMYFUNCTION("IFERROR((GOOGLEFINANCE(C65, ""price"") / INDEX(GOOGLEFINANCE(C65, ""price"", TODAY()-7, TODAY()), 2, 2)) - 1, """")"),"")</f>
        <v/>
      </c>
      <c r="M65" s="21" t="str">
        <f>IFERROR(__xludf.DUMMYFUNCTION("IFERROR((GOOGLEFINANCE(C65, ""price"") / INDEX(GOOGLEFINANCE(C65, ""price"", EDATE(TODAY(), -1), TODAY()), 2, 2)) - 1, """")"),"")</f>
        <v/>
      </c>
      <c r="N65" s="21" t="str">
        <f>IFERROR(__xludf.DUMMYFUNCTION("IFERROR((GOOGLEFINANCE(C65, ""price"") / INDEX(GOOGLEFINANCE(C65, ""price"", EDATE(TODAY(), -3), TODAY()), 2, 2)) - 1, """")"),"")</f>
        <v/>
      </c>
      <c r="O65" s="21" t="str">
        <f>IFERROR(__xludf.DUMMYFUNCTION("IFERROR((GOOGLEFINANCE(C65, ""price"") / INDEX(GOOGLEFINANCE(C65, ""price"", EDATE(TODAY(), -6), TODAY()), 2, 2)) - 1, """")"),"")</f>
        <v/>
      </c>
      <c r="P65" s="21" t="str">
        <f>IFERROR(__xludf.DUMMYFUNCTION("IFERROR((GOOGLEFINANCE(C65, ""price"") / INDEX(GOOGLEFINANCE(C65, ""price"", EDATE(TODAY(), -12), TODAY()), 2, 2)) - 1, """")"),"")</f>
        <v/>
      </c>
      <c r="Q65" s="6" t="str">
        <f>IFERROR(__xludf.DUMMYFUNCTION("AVERAGE(QUERY(GOOGLEFINANCE(C65, ""price"", TODAY()-80, TODAY()), ""SELECT Col2 WHERE Col2 IS NOT NULL ORDER BY Col1 DESC LIMIT 50"", 0))"),"#N/A")</f>
        <v>#N/A</v>
      </c>
      <c r="R65" s="24" t="str">
        <f>IFERROR(__xludf.DUMMYFUNCTION("IFERROR(
  LET(
    data, QUERY(GOOGLEFINANCE(C65,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GOOGLEFINANCE(C65, ""price"")) * 100,
    IF(calc=0, G65, calc)
  ), 
G65)"),"#N/A")</f>
        <v>#N/A</v>
      </c>
      <c r="S65" s="8" t="s">
        <v>15</v>
      </c>
      <c r="T65" s="26" t="str">
        <f>IFERROR(__xludf.DUMMYFUNCTION("IFERROR(TRANSPOSE(QUERY(IFERROR(SORT(GOOGLEFINANCE(C65, ""price"", WORKDAY(TODAY(), -40), TODAY()), 1, FALSE)), ""select Col2 where Col2 is not null limit 22 label Col2 ''"", 0)), """")"),"")</f>
        <v/>
      </c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8"/>
      <c r="AO65" s="28"/>
      <c r="AP65" s="29"/>
      <c r="AQ65" s="29" t="str">
        <f t="shared" ref="AQ65:BL65" si="68">T65/T$2</f>
        <v>#N/A</v>
      </c>
      <c r="AR65" s="29" t="str">
        <f t="shared" si="68"/>
        <v>#DIV/0!</v>
      </c>
      <c r="AS65" s="29" t="str">
        <f t="shared" si="68"/>
        <v>#DIV/0!</v>
      </c>
      <c r="AT65" s="29" t="str">
        <f t="shared" si="68"/>
        <v>#DIV/0!</v>
      </c>
      <c r="AU65" s="29" t="str">
        <f t="shared" si="68"/>
        <v>#DIV/0!</v>
      </c>
      <c r="AV65" s="29" t="str">
        <f t="shared" si="68"/>
        <v>#DIV/0!</v>
      </c>
      <c r="AW65" s="29" t="str">
        <f t="shared" si="68"/>
        <v>#DIV/0!</v>
      </c>
      <c r="AX65" s="29" t="str">
        <f t="shared" si="68"/>
        <v>#DIV/0!</v>
      </c>
      <c r="AY65" s="29" t="str">
        <f t="shared" si="68"/>
        <v>#DIV/0!</v>
      </c>
      <c r="AZ65" s="29" t="str">
        <f t="shared" si="68"/>
        <v>#DIV/0!</v>
      </c>
      <c r="BA65" s="29" t="str">
        <f t="shared" si="68"/>
        <v>#DIV/0!</v>
      </c>
      <c r="BB65" s="29" t="str">
        <f t="shared" si="68"/>
        <v>#DIV/0!</v>
      </c>
      <c r="BC65" s="29" t="str">
        <f t="shared" si="68"/>
        <v>#DIV/0!</v>
      </c>
      <c r="BD65" s="29" t="str">
        <f t="shared" si="68"/>
        <v>#DIV/0!</v>
      </c>
      <c r="BE65" s="29" t="str">
        <f t="shared" si="68"/>
        <v>#DIV/0!</v>
      </c>
      <c r="BF65" s="29" t="str">
        <f t="shared" si="68"/>
        <v>#DIV/0!</v>
      </c>
      <c r="BG65" s="29" t="str">
        <f t="shared" si="68"/>
        <v>#DIV/0!</v>
      </c>
      <c r="BH65" s="29" t="str">
        <f t="shared" si="68"/>
        <v>#DIV/0!</v>
      </c>
      <c r="BI65" s="29" t="str">
        <f t="shared" si="68"/>
        <v>#DIV/0!</v>
      </c>
      <c r="BJ65" s="29" t="str">
        <f t="shared" si="68"/>
        <v>#DIV/0!</v>
      </c>
      <c r="BK65" s="29" t="str">
        <f t="shared" si="68"/>
        <v>#DIV/0!</v>
      </c>
      <c r="BL65" s="29" t="str">
        <f t="shared" si="68"/>
        <v>#DIV/0!</v>
      </c>
      <c r="BM65" s="29" t="str">
        <f t="shared" si="3"/>
        <v>#DIV/0!</v>
      </c>
    </row>
    <row r="66">
      <c r="A66" s="16" t="str">
        <f>IFERROR(__xludf.DUMMYFUNCTION("IFERROR(SPARKLINE(SORT(MAP(TRANSPOSE(AQ66:BL66), LAMBDA(val, IF(ISNUMBER(val), PERCENTRANK(AQ66:BL66, val)+0.01, 0))), SEQUENCE(COLUMNS(AQ66:BL66)), FALSE), {""charttype"",""column""; ""color"",""chartreuse""; ""ymin"", 0; ""ymax"", 1.01; ""highcolor"", "&amp;"""darkgreen""; ""lowcolor"", ""red""}), """")"),"")</f>
        <v/>
      </c>
      <c r="B66" s="17" t="str">
        <f t="shared" si="4"/>
        <v/>
      </c>
      <c r="C66" s="1" t="s">
        <v>416</v>
      </c>
      <c r="D66" s="30" t="str">
        <f>IFERROR(__xludf.DUMMYFUNCTION("IFERROR(GOOGLEFINANCE(C66, ""NAME""))"),"Madison Square Garden Sports Corp")</f>
        <v>Madison Square Garden Sports Corp</v>
      </c>
      <c r="E66" s="30" t="s">
        <v>62</v>
      </c>
      <c r="F66" s="33" t="str">
        <f>IFERROR(__xludf.DUMMYFUNCTION("( (GOOGLEFINANCE(C66, ""price"") - Q66) / Q66 ) / (R66 / 100)"),"Loading...")</f>
        <v>Loading...</v>
      </c>
      <c r="G66" s="20" t="str">
        <f>IFERROR(__xludf.DUMMYFUNCTION("AVERAGE(ARRAYFORMULA(100 * (QUERY(GOOGLEFINANCE(C66, ""high"", TODAY()-40, TODAY()), ""SELECT Col2 WHERE Col2 IS NOT NULL ORDER BY Col1 DESC LIMIT 20"", 0) / QUERY(GOOGLEFINANCE(C66, ""low"", TODAY()-40, TODAY()), ""SELECT Col2 WHERE Col2 IS NOT NULL ORDE"&amp;"R BY Col1 DESC LIMIT 20"", 0) - 1)))"),"#N/A")</f>
        <v>#N/A</v>
      </c>
      <c r="H66" s="35" t="str">
        <f t="shared" si="6"/>
        <v>Liquid</v>
      </c>
      <c r="I66" s="36" t="str">
        <f t="shared" si="7"/>
        <v>RVol Required</v>
      </c>
      <c r="J66" s="37">
        <f>IFERROR(__xludf.DUMMYFUNCTION("IFERROR(
  IF(C66="""",, 
    IFERROR(
      GOOGLEFINANCE(C66, ""price"") * GOOGLEFINANCE(C66, ""volumeavg""), 
      GOOGLEFINANCE(C66, ""price"") * AVERAGE(QUERY(GOOGLEFINANCE(C66, ""volume"", TODAY()-40, TODAY()), ""SELECT Col2 WHERE Col2 IS NOT NULL "&amp;"ORDER BY Col1 DESC LIMIT 20"", 0))
    )
  ), 
"""")"),1.27896729E8)</f>
        <v>127896729</v>
      </c>
      <c r="K66" s="21">
        <f>IFERROR(__xludf.DUMMYFUNCTION("IFERROR(GOOGLEFINANCE(C66, ""changepct"") / 100, """")"),-0.0212)</f>
        <v>-0.0212</v>
      </c>
      <c r="L66" s="21" t="str">
        <f>IFERROR(__xludf.DUMMYFUNCTION("IFERROR((GOOGLEFINANCE(C66, ""price"") / INDEX(GOOGLEFINANCE(C66, ""price"", TODAY()-7, TODAY()), 2, 2)) - 1, """")"),"")</f>
        <v/>
      </c>
      <c r="M66" s="21" t="str">
        <f>IFERROR(__xludf.DUMMYFUNCTION("IFERROR((GOOGLEFINANCE(C66, ""price"") / INDEX(GOOGLEFINANCE(C66, ""price"", EDATE(TODAY(), -1), TODAY()), 2, 2)) - 1, """")"),"")</f>
        <v/>
      </c>
      <c r="N66" s="21" t="str">
        <f>IFERROR(__xludf.DUMMYFUNCTION("IFERROR((GOOGLEFINANCE(C66, ""price"") / INDEX(GOOGLEFINANCE(C66, ""price"", EDATE(TODAY(), -3), TODAY()), 2, 2)) - 1, """")"),"")</f>
        <v/>
      </c>
      <c r="O66" s="21" t="str">
        <f>IFERROR(__xludf.DUMMYFUNCTION("IFERROR((GOOGLEFINANCE(C66, ""price"") / INDEX(GOOGLEFINANCE(C66, ""price"", EDATE(TODAY(), -6), TODAY()), 2, 2)) - 1, """")"),"")</f>
        <v/>
      </c>
      <c r="P66" s="21" t="str">
        <f>IFERROR(__xludf.DUMMYFUNCTION("IFERROR((GOOGLEFINANCE(C66, ""price"") / INDEX(GOOGLEFINANCE(C66, ""price"", EDATE(TODAY(), -12), TODAY()), 2, 2)) - 1, """")"),"")</f>
        <v/>
      </c>
      <c r="Q66" s="6" t="str">
        <f>IFERROR(__xludf.DUMMYFUNCTION("AVERAGE(QUERY(GOOGLEFINANCE(C66, ""price"", TODAY()-80, TODAY()), ""SELECT Col2 WHERE Col2 IS NOT NULL ORDER BY Col1 DESC LIMIT 50"", 0))"),"#N/A")</f>
        <v>#N/A</v>
      </c>
      <c r="R66" s="24" t="str">
        <f>IFERROR(__xludf.DUMMYFUNCTION("IFERROR(
  LET(
    data, QUERY(GOOGLEFINANCE(C66,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GOOGLEFINANCE(C66, ""price"")) * 100,
    IF(calc=0, G66, calc)
  ), 
G66)"),"#N/A")</f>
        <v>#N/A</v>
      </c>
      <c r="S66" s="8" t="s">
        <v>15</v>
      </c>
      <c r="T66" s="26" t="str">
        <f>IFERROR(__xludf.DUMMYFUNCTION("IFERROR(TRANSPOSE(QUERY(IFERROR(SORT(GOOGLEFINANCE(C66, ""price"", WORKDAY(TODAY(), -40), TODAY()), 1, FALSE)), ""select Col2 where Col2 is not null limit 22 label Col2 ''"", 0)), """")"),"")</f>
        <v/>
      </c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8"/>
      <c r="AO66" s="28"/>
      <c r="AP66" s="29"/>
      <c r="AQ66" s="29" t="str">
        <f t="shared" ref="AQ66:BL66" si="69">T66/T$2</f>
        <v>#N/A</v>
      </c>
      <c r="AR66" s="29" t="str">
        <f t="shared" si="69"/>
        <v>#DIV/0!</v>
      </c>
      <c r="AS66" s="29" t="str">
        <f t="shared" si="69"/>
        <v>#DIV/0!</v>
      </c>
      <c r="AT66" s="29" t="str">
        <f t="shared" si="69"/>
        <v>#DIV/0!</v>
      </c>
      <c r="AU66" s="29" t="str">
        <f t="shared" si="69"/>
        <v>#DIV/0!</v>
      </c>
      <c r="AV66" s="29" t="str">
        <f t="shared" si="69"/>
        <v>#DIV/0!</v>
      </c>
      <c r="AW66" s="29" t="str">
        <f t="shared" si="69"/>
        <v>#DIV/0!</v>
      </c>
      <c r="AX66" s="29" t="str">
        <f t="shared" si="69"/>
        <v>#DIV/0!</v>
      </c>
      <c r="AY66" s="29" t="str">
        <f t="shared" si="69"/>
        <v>#DIV/0!</v>
      </c>
      <c r="AZ66" s="29" t="str">
        <f t="shared" si="69"/>
        <v>#DIV/0!</v>
      </c>
      <c r="BA66" s="29" t="str">
        <f t="shared" si="69"/>
        <v>#DIV/0!</v>
      </c>
      <c r="BB66" s="29" t="str">
        <f t="shared" si="69"/>
        <v>#DIV/0!</v>
      </c>
      <c r="BC66" s="29" t="str">
        <f t="shared" si="69"/>
        <v>#DIV/0!</v>
      </c>
      <c r="BD66" s="29" t="str">
        <f t="shared" si="69"/>
        <v>#DIV/0!</v>
      </c>
      <c r="BE66" s="29" t="str">
        <f t="shared" si="69"/>
        <v>#DIV/0!</v>
      </c>
      <c r="BF66" s="29" t="str">
        <f t="shared" si="69"/>
        <v>#DIV/0!</v>
      </c>
      <c r="BG66" s="29" t="str">
        <f t="shared" si="69"/>
        <v>#DIV/0!</v>
      </c>
      <c r="BH66" s="29" t="str">
        <f t="shared" si="69"/>
        <v>#DIV/0!</v>
      </c>
      <c r="BI66" s="29" t="str">
        <f t="shared" si="69"/>
        <v>#DIV/0!</v>
      </c>
      <c r="BJ66" s="29" t="str">
        <f t="shared" si="69"/>
        <v>#DIV/0!</v>
      </c>
      <c r="BK66" s="29" t="str">
        <f t="shared" si="69"/>
        <v>#DIV/0!</v>
      </c>
      <c r="BL66" s="29" t="str">
        <f t="shared" si="69"/>
        <v>#DIV/0!</v>
      </c>
      <c r="BM66" s="29" t="str">
        <f t="shared" si="3"/>
        <v>#DIV/0!</v>
      </c>
    </row>
    <row r="67">
      <c r="A67" s="16" t="str">
        <f>IFERROR(__xludf.DUMMYFUNCTION("IFERROR(SPARKLINE(SORT(MAP(TRANSPOSE(AQ67:BL67), LAMBDA(val, IF(ISNUMBER(val), PERCENTRANK(AQ67:BL67, val)+0.01, 0))), SEQUENCE(COLUMNS(AQ67:BL67)), FALSE), {""charttype"",""column""; ""color"",""chartreuse""; ""ymin"", 0; ""ymax"", 1.01; ""highcolor"", "&amp;"""darkgreen""; ""lowcolor"", ""red""}), """")"),"")</f>
        <v/>
      </c>
      <c r="B67" s="17" t="str">
        <f t="shared" si="4"/>
        <v/>
      </c>
      <c r="C67" s="1" t="s">
        <v>420</v>
      </c>
      <c r="D67" s="30" t="str">
        <f>IFERROR(__xludf.DUMMYFUNCTION("IFERROR(GOOGLEFINANCE(C67, ""NAME""))"),"Netflix Inc")</f>
        <v>Netflix Inc</v>
      </c>
      <c r="E67" s="30" t="s">
        <v>62</v>
      </c>
      <c r="F67" s="33" t="str">
        <f>IFERROR(__xludf.DUMMYFUNCTION("( (GOOGLEFINANCE(C67, ""price"") - Q67) / Q67 ) / (R67 / 100)"),"Loading...")</f>
        <v>Loading...</v>
      </c>
      <c r="G67" s="20" t="str">
        <f>IFERROR(__xludf.DUMMYFUNCTION("AVERAGE(ARRAYFORMULA(100 * (QUERY(GOOGLEFINANCE(C67, ""high"", TODAY()-40, TODAY()), ""SELECT Col2 WHERE Col2 IS NOT NULL ORDER BY Col1 DESC LIMIT 20"", 0) / QUERY(GOOGLEFINANCE(C67, ""low"", TODAY()-40, TODAY()), ""SELECT Col2 WHERE Col2 IS NOT NULL ORDE"&amp;"R BY Col1 DESC LIMIT 20"", 0) - 1)))"),"#N/A")</f>
        <v>#N/A</v>
      </c>
      <c r="H67" s="35" t="str">
        <f t="shared" si="6"/>
        <v>Liquid</v>
      </c>
      <c r="I67" s="36" t="str">
        <f t="shared" si="7"/>
        <v>No RVol Required</v>
      </c>
      <c r="J67" s="37">
        <f>IFERROR(__xludf.DUMMYFUNCTION("IFERROR(
  IF(C67="""",, 
    IFERROR(
      GOOGLEFINANCE(C67, ""price"") * GOOGLEFINANCE(C67, ""volumeavg""), 
      GOOGLEFINANCE(C67, ""price"") * AVERAGE(QUERY(GOOGLEFINANCE(C67, ""volume"", TODAY()-40, TODAY()), ""SELECT Col2 WHERE Col2 IS NOT NULL "&amp;"ORDER BY Col1 DESC LIMIT 20"", 0))
    )
  ), 
"""")"),2.4688836069E9)</f>
        <v>2468883607</v>
      </c>
      <c r="K67" s="21">
        <f>IFERROR(__xludf.DUMMYFUNCTION("IFERROR(GOOGLEFINANCE(C67, ""changepct"") / 100, """")"),-0.0286)</f>
        <v>-0.0286</v>
      </c>
      <c r="L67" s="21" t="str">
        <f>IFERROR(__xludf.DUMMYFUNCTION("IFERROR((GOOGLEFINANCE(C67, ""price"") / INDEX(GOOGLEFINANCE(C67, ""price"", TODAY()-7, TODAY()), 2, 2)) - 1, """")"),"")</f>
        <v/>
      </c>
      <c r="M67" s="21" t="str">
        <f>IFERROR(__xludf.DUMMYFUNCTION("IFERROR((GOOGLEFINANCE(C67, ""price"") / INDEX(GOOGLEFINANCE(C67, ""price"", EDATE(TODAY(), -1), TODAY()), 2, 2)) - 1, """")"),"")</f>
        <v/>
      </c>
      <c r="N67" s="21" t="str">
        <f>IFERROR(__xludf.DUMMYFUNCTION("IFERROR((GOOGLEFINANCE(C67, ""price"") / INDEX(GOOGLEFINANCE(C67, ""price"", EDATE(TODAY(), -3), TODAY()), 2, 2)) - 1, """")"),"")</f>
        <v/>
      </c>
      <c r="O67" s="21" t="str">
        <f>IFERROR(__xludf.DUMMYFUNCTION("IFERROR((GOOGLEFINANCE(C67, ""price"") / INDEX(GOOGLEFINANCE(C67, ""price"", EDATE(TODAY(), -6), TODAY()), 2, 2)) - 1, """")"),"")</f>
        <v/>
      </c>
      <c r="P67" s="21" t="str">
        <f>IFERROR(__xludf.DUMMYFUNCTION("IFERROR((GOOGLEFINANCE(C67, ""price"") / INDEX(GOOGLEFINANCE(C67, ""price"", EDATE(TODAY(), -12), TODAY()), 2, 2)) - 1, """")"),"")</f>
        <v/>
      </c>
      <c r="Q67" s="6" t="str">
        <f>IFERROR(__xludf.DUMMYFUNCTION("AVERAGE(QUERY(GOOGLEFINANCE(C67, ""price"", TODAY()-80, TODAY()), ""SELECT Col2 WHERE Col2 IS NOT NULL ORDER BY Col1 DESC LIMIT 50"", 0))"),"#N/A")</f>
        <v>#N/A</v>
      </c>
      <c r="R67" s="24" t="str">
        <f>IFERROR(__xludf.DUMMYFUNCTION("IFERROR(
  LET(
    data, QUERY(GOOGLEFINANCE(C67,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GOOGLEFINANCE(C67, ""price"")) * 100,
    IF(calc=0, G67, calc)
  ), 
G67)"),"#N/A")</f>
        <v>#N/A</v>
      </c>
      <c r="S67" s="8" t="s">
        <v>15</v>
      </c>
      <c r="T67" s="26" t="str">
        <f>IFERROR(__xludf.DUMMYFUNCTION("IFERROR(TRANSPOSE(QUERY(IFERROR(SORT(GOOGLEFINANCE(C67, ""price"", WORKDAY(TODAY(), -40), TODAY()), 1, FALSE)), ""select Col2 where Col2 is not null limit 22 label Col2 ''"", 0)), """")"),"")</f>
        <v/>
      </c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8"/>
      <c r="AO67" s="28"/>
      <c r="AP67" s="29"/>
      <c r="AQ67" s="29" t="str">
        <f t="shared" ref="AQ67:BL67" si="70">T67/T$2</f>
        <v>#N/A</v>
      </c>
      <c r="AR67" s="29" t="str">
        <f t="shared" si="70"/>
        <v>#DIV/0!</v>
      </c>
      <c r="AS67" s="29" t="str">
        <f t="shared" si="70"/>
        <v>#DIV/0!</v>
      </c>
      <c r="AT67" s="29" t="str">
        <f t="shared" si="70"/>
        <v>#DIV/0!</v>
      </c>
      <c r="AU67" s="29" t="str">
        <f t="shared" si="70"/>
        <v>#DIV/0!</v>
      </c>
      <c r="AV67" s="29" t="str">
        <f t="shared" si="70"/>
        <v>#DIV/0!</v>
      </c>
      <c r="AW67" s="29" t="str">
        <f t="shared" si="70"/>
        <v>#DIV/0!</v>
      </c>
      <c r="AX67" s="29" t="str">
        <f t="shared" si="70"/>
        <v>#DIV/0!</v>
      </c>
      <c r="AY67" s="29" t="str">
        <f t="shared" si="70"/>
        <v>#DIV/0!</v>
      </c>
      <c r="AZ67" s="29" t="str">
        <f t="shared" si="70"/>
        <v>#DIV/0!</v>
      </c>
      <c r="BA67" s="29" t="str">
        <f t="shared" si="70"/>
        <v>#DIV/0!</v>
      </c>
      <c r="BB67" s="29" t="str">
        <f t="shared" si="70"/>
        <v>#DIV/0!</v>
      </c>
      <c r="BC67" s="29" t="str">
        <f t="shared" si="70"/>
        <v>#DIV/0!</v>
      </c>
      <c r="BD67" s="29" t="str">
        <f t="shared" si="70"/>
        <v>#DIV/0!</v>
      </c>
      <c r="BE67" s="29" t="str">
        <f t="shared" si="70"/>
        <v>#DIV/0!</v>
      </c>
      <c r="BF67" s="29" t="str">
        <f t="shared" si="70"/>
        <v>#DIV/0!</v>
      </c>
      <c r="BG67" s="29" t="str">
        <f t="shared" si="70"/>
        <v>#DIV/0!</v>
      </c>
      <c r="BH67" s="29" t="str">
        <f t="shared" si="70"/>
        <v>#DIV/0!</v>
      </c>
      <c r="BI67" s="29" t="str">
        <f t="shared" si="70"/>
        <v>#DIV/0!</v>
      </c>
      <c r="BJ67" s="29" t="str">
        <f t="shared" si="70"/>
        <v>#DIV/0!</v>
      </c>
      <c r="BK67" s="29" t="str">
        <f t="shared" si="70"/>
        <v>#DIV/0!</v>
      </c>
      <c r="BL67" s="29" t="str">
        <f t="shared" si="70"/>
        <v>#DIV/0!</v>
      </c>
      <c r="BM67" s="29" t="str">
        <f t="shared" si="3"/>
        <v>#DIV/0!</v>
      </c>
    </row>
    <row r="68">
      <c r="A68" s="16" t="str">
        <f>IFERROR(__xludf.DUMMYFUNCTION("IFERROR(SPARKLINE(SORT(MAP(TRANSPOSE(AQ68:BL68), LAMBDA(val, IF(ISNUMBER(val), PERCENTRANK(AQ68:BL68, val)+0.01, 0))), SEQUENCE(COLUMNS(AQ68:BL68)), FALSE), {""charttype"",""column""; ""color"",""chartreuse""; ""ymin"", 0; ""ymax"", 1.01; ""highcolor"", "&amp;"""darkgreen""; ""lowcolor"", ""red""}), """")"),"")</f>
        <v/>
      </c>
      <c r="B68" s="17" t="str">
        <f t="shared" si="4"/>
        <v/>
      </c>
      <c r="C68" s="1" t="s">
        <v>424</v>
      </c>
      <c r="D68" s="30" t="str">
        <f>IFERROR(__xludf.DUMMYFUNCTION("IFERROR(GOOGLEFINANCE(C68, ""NAME""))"),"AT&amp;T Inc")</f>
        <v>AT&amp;T Inc</v>
      </c>
      <c r="E68" s="30" t="s">
        <v>52</v>
      </c>
      <c r="F68" s="33" t="str">
        <f>IFERROR(__xludf.DUMMYFUNCTION("( (GOOGLEFINANCE(C68, ""price"") - Q68) / Q68 ) / (R68 / 100)"),"Loading...")</f>
        <v>Loading...</v>
      </c>
      <c r="G68" s="20" t="str">
        <f>IFERROR(__xludf.DUMMYFUNCTION("AVERAGE(ARRAYFORMULA(100 * (QUERY(GOOGLEFINANCE(C68, ""high"", TODAY()-40, TODAY()), ""SELECT Col2 WHERE Col2 IS NOT NULL ORDER BY Col1 DESC LIMIT 20"", 0) / QUERY(GOOGLEFINANCE(C68, ""low"", TODAY()-40, TODAY()), ""SELECT Col2 WHERE Col2 IS NOT NULL ORDE"&amp;"R BY Col1 DESC LIMIT 20"", 0) - 1)))"),"#N/A")</f>
        <v>#N/A</v>
      </c>
      <c r="H68" s="35" t="str">
        <f t="shared" si="6"/>
        <v>Liquid</v>
      </c>
      <c r="I68" s="36" t="str">
        <f t="shared" si="7"/>
        <v>No RVol Required</v>
      </c>
      <c r="J68" s="37">
        <f>IFERROR(__xludf.DUMMYFUNCTION("IFERROR(
  IF(C68="""",, 
    IFERROR(
      GOOGLEFINANCE(C68, ""price"") * GOOGLEFINANCE(C68, ""volumeavg""), 
      GOOGLEFINANCE(C68, ""price"") * AVERAGE(QUERY(GOOGLEFINANCE(C68, ""volume"", TODAY()-40, TODAY()), ""SELECT Col2 WHERE Col2 IS NOT NULL "&amp;"ORDER BY Col1 DESC LIMIT 20"", 0))
    )
  ), 
"""")"),1.01668588024E9)</f>
        <v>1016685880</v>
      </c>
      <c r="K68" s="21">
        <f>IFERROR(__xludf.DUMMYFUNCTION("IFERROR(GOOGLEFINANCE(C68, ""changepct"") / 100, """")"),-0.0026)</f>
        <v>-0.0026</v>
      </c>
      <c r="L68" s="21" t="str">
        <f>IFERROR(__xludf.DUMMYFUNCTION("IFERROR((GOOGLEFINANCE(C68, ""price"") / INDEX(GOOGLEFINANCE(C68, ""price"", TODAY()-7, TODAY()), 2, 2)) - 1, """")"),"")</f>
        <v/>
      </c>
      <c r="M68" s="21" t="str">
        <f>IFERROR(__xludf.DUMMYFUNCTION("IFERROR((GOOGLEFINANCE(C68, ""price"") / INDEX(GOOGLEFINANCE(C68, ""price"", EDATE(TODAY(), -1), TODAY()), 2, 2)) - 1, """")"),"")</f>
        <v/>
      </c>
      <c r="N68" s="21" t="str">
        <f>IFERROR(__xludf.DUMMYFUNCTION("IFERROR((GOOGLEFINANCE(C68, ""price"") / INDEX(GOOGLEFINANCE(C68, ""price"", EDATE(TODAY(), -3), TODAY()), 2, 2)) - 1, """")"),"")</f>
        <v/>
      </c>
      <c r="O68" s="21" t="str">
        <f>IFERROR(__xludf.DUMMYFUNCTION("IFERROR((GOOGLEFINANCE(C68, ""price"") / INDEX(GOOGLEFINANCE(C68, ""price"", EDATE(TODAY(), -6), TODAY()), 2, 2)) - 1, """")"),"")</f>
        <v/>
      </c>
      <c r="P68" s="21" t="str">
        <f>IFERROR(__xludf.DUMMYFUNCTION("IFERROR((GOOGLEFINANCE(C68, ""price"") / INDEX(GOOGLEFINANCE(C68, ""price"", EDATE(TODAY(), -12), TODAY()), 2, 2)) - 1, """")"),"")</f>
        <v/>
      </c>
      <c r="Q68" s="6" t="str">
        <f>IFERROR(__xludf.DUMMYFUNCTION("AVERAGE(QUERY(GOOGLEFINANCE(C68, ""price"", TODAY()-80, TODAY()), ""SELECT Col2 WHERE Col2 IS NOT NULL ORDER BY Col1 DESC LIMIT 50"", 0))"),"#N/A")</f>
        <v>#N/A</v>
      </c>
      <c r="R68" s="24" t="str">
        <f>IFERROR(__xludf.DUMMYFUNCTION("IFERROR(
  LET(
    data, QUERY(GOOGLEFINANCE(C68,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GOOGLEFINANCE(C68, ""price"")) * 100,
    IF(calc=0, G68, calc)
  ), 
G68)"),"#N/A")</f>
        <v>#N/A</v>
      </c>
      <c r="S68" s="8" t="s">
        <v>15</v>
      </c>
      <c r="T68" s="26" t="str">
        <f>IFERROR(__xludf.DUMMYFUNCTION("IFERROR(TRANSPOSE(QUERY(IFERROR(SORT(GOOGLEFINANCE(C68, ""price"", WORKDAY(TODAY(), -40), TODAY()), 1, FALSE)), ""select Col2 where Col2 is not null limit 22 label Col2 ''"", 0)), """")"),"")</f>
        <v/>
      </c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8"/>
      <c r="AO68" s="28"/>
      <c r="AP68" s="29"/>
      <c r="AQ68" s="29" t="str">
        <f t="shared" ref="AQ68:BL68" si="71">T68/T$2</f>
        <v>#N/A</v>
      </c>
      <c r="AR68" s="29" t="str">
        <f t="shared" si="71"/>
        <v>#DIV/0!</v>
      </c>
      <c r="AS68" s="29" t="str">
        <f t="shared" si="71"/>
        <v>#DIV/0!</v>
      </c>
      <c r="AT68" s="29" t="str">
        <f t="shared" si="71"/>
        <v>#DIV/0!</v>
      </c>
      <c r="AU68" s="29" t="str">
        <f t="shared" si="71"/>
        <v>#DIV/0!</v>
      </c>
      <c r="AV68" s="29" t="str">
        <f t="shared" si="71"/>
        <v>#DIV/0!</v>
      </c>
      <c r="AW68" s="29" t="str">
        <f t="shared" si="71"/>
        <v>#DIV/0!</v>
      </c>
      <c r="AX68" s="29" t="str">
        <f t="shared" si="71"/>
        <v>#DIV/0!</v>
      </c>
      <c r="AY68" s="29" t="str">
        <f t="shared" si="71"/>
        <v>#DIV/0!</v>
      </c>
      <c r="AZ68" s="29" t="str">
        <f t="shared" si="71"/>
        <v>#DIV/0!</v>
      </c>
      <c r="BA68" s="29" t="str">
        <f t="shared" si="71"/>
        <v>#DIV/0!</v>
      </c>
      <c r="BB68" s="29" t="str">
        <f t="shared" si="71"/>
        <v>#DIV/0!</v>
      </c>
      <c r="BC68" s="29" t="str">
        <f t="shared" si="71"/>
        <v>#DIV/0!</v>
      </c>
      <c r="BD68" s="29" t="str">
        <f t="shared" si="71"/>
        <v>#DIV/0!</v>
      </c>
      <c r="BE68" s="29" t="str">
        <f t="shared" si="71"/>
        <v>#DIV/0!</v>
      </c>
      <c r="BF68" s="29" t="str">
        <f t="shared" si="71"/>
        <v>#DIV/0!</v>
      </c>
      <c r="BG68" s="29" t="str">
        <f t="shared" si="71"/>
        <v>#DIV/0!</v>
      </c>
      <c r="BH68" s="29" t="str">
        <f t="shared" si="71"/>
        <v>#DIV/0!</v>
      </c>
      <c r="BI68" s="29" t="str">
        <f t="shared" si="71"/>
        <v>#DIV/0!</v>
      </c>
      <c r="BJ68" s="29" t="str">
        <f t="shared" si="71"/>
        <v>#DIV/0!</v>
      </c>
      <c r="BK68" s="29" t="str">
        <f t="shared" si="71"/>
        <v>#DIV/0!</v>
      </c>
      <c r="BL68" s="29" t="str">
        <f t="shared" si="71"/>
        <v>#DIV/0!</v>
      </c>
      <c r="BM68" s="29" t="str">
        <f t="shared" si="3"/>
        <v>#DIV/0!</v>
      </c>
    </row>
    <row r="69">
      <c r="A69" s="16" t="str">
        <f>IFERROR(__xludf.DUMMYFUNCTION("IFERROR(SPARKLINE(SORT(MAP(TRANSPOSE(AQ69:BL69), LAMBDA(val, IF(ISNUMBER(val), PERCENTRANK(AQ69:BL69, val)+0.01, 0))), SEQUENCE(COLUMNS(AQ69:BL69)), FALSE), {""charttype"",""column""; ""color"",""chartreuse""; ""ymin"", 0; ""ymax"", 1.01; ""highcolor"", "&amp;"""darkgreen""; ""lowcolor"", ""red""}), """")"),"")</f>
        <v/>
      </c>
      <c r="B69" s="17" t="str">
        <f t="shared" si="4"/>
        <v/>
      </c>
      <c r="C69" s="1" t="s">
        <v>428</v>
      </c>
      <c r="D69" s="30" t="str">
        <f>IFERROR(__xludf.DUMMYFUNCTION("IFERROR(GOOGLEFINANCE(C69, ""NAME""))"),"Liberty Capital Corp Series C")</f>
        <v>Liberty Capital Corp Series C</v>
      </c>
      <c r="E69" s="30" t="s">
        <v>52</v>
      </c>
      <c r="F69" s="33" t="str">
        <f>IFERROR(__xludf.DUMMYFUNCTION("( (GOOGLEFINANCE(C69, ""price"") - Q69) / Q69 ) / (R69 / 100)"),"Loading...")</f>
        <v>Loading...</v>
      </c>
      <c r="G69" s="20" t="str">
        <f>IFERROR(__xludf.DUMMYFUNCTION("AVERAGE(ARRAYFORMULA(100 * (QUERY(GOOGLEFINANCE(C69, ""high"", TODAY()-40, TODAY()), ""SELECT Col2 WHERE Col2 IS NOT NULL ORDER BY Col1 DESC LIMIT 20"", 0) / QUERY(GOOGLEFINANCE(C69, ""low"", TODAY()-40, TODAY()), ""SELECT Col2 WHERE Col2 IS NOT NULL ORDE"&amp;"R BY Col1 DESC LIMIT 20"", 0) - 1)))"),"#N/A")</f>
        <v>#N/A</v>
      </c>
      <c r="H69" s="35" t="str">
        <f t="shared" si="6"/>
        <v>Illiquid</v>
      </c>
      <c r="I69" s="36" t="str">
        <f t="shared" si="7"/>
        <v>RVol Required</v>
      </c>
      <c r="J69" s="37">
        <f>IFERROR(__xludf.DUMMYFUNCTION("IFERROR(
  IF(C69="""",, 
    IFERROR(
      GOOGLEFINANCE(C69, ""price"") * GOOGLEFINANCE(C69, ""volumeavg""), 
      GOOGLEFINANCE(C69, ""price"") * AVERAGE(QUERY(GOOGLEFINANCE(C69, ""volume"", TODAY()-40, TODAY()), ""SELECT Col2 WHERE Col2 IS NOT NULL "&amp;"ORDER BY Col1 DESC LIMIT 20"", 0))
    )
  ), 
"""")"),7839287.75)</f>
        <v>7839287.75</v>
      </c>
      <c r="K69" s="21">
        <f>IFERROR(__xludf.DUMMYFUNCTION("IFERROR(GOOGLEFINANCE(C69, ""changepct"") / 100, """")"),0.0073)</f>
        <v>0.0073</v>
      </c>
      <c r="L69" s="21" t="str">
        <f>IFERROR(__xludf.DUMMYFUNCTION("IFERROR((GOOGLEFINANCE(C69, ""price"") / INDEX(GOOGLEFINANCE(C69, ""price"", TODAY()-7, TODAY()), 2, 2)) - 1, """")"),"")</f>
        <v/>
      </c>
      <c r="M69" s="21" t="str">
        <f>IFERROR(__xludf.DUMMYFUNCTION("IFERROR((GOOGLEFINANCE(C69, ""price"") / INDEX(GOOGLEFINANCE(C69, ""price"", EDATE(TODAY(), -1), TODAY()), 2, 2)) - 1, """")"),"")</f>
        <v/>
      </c>
      <c r="N69" s="21" t="str">
        <f>IFERROR(__xludf.DUMMYFUNCTION("IFERROR((GOOGLEFINANCE(C69, ""price"") / INDEX(GOOGLEFINANCE(C69, ""price"", EDATE(TODAY(), -3), TODAY()), 2, 2)) - 1, """")"),"")</f>
        <v/>
      </c>
      <c r="O69" s="21" t="str">
        <f>IFERROR(__xludf.DUMMYFUNCTION("IFERROR((GOOGLEFINANCE(C69, ""price"") / INDEX(GOOGLEFINANCE(C69, ""price"", EDATE(TODAY(), -6), TODAY()), 2, 2)) - 1, """")"),"")</f>
        <v/>
      </c>
      <c r="P69" s="21" t="str">
        <f>IFERROR(__xludf.DUMMYFUNCTION("IFERROR((GOOGLEFINANCE(C69, ""price"") / INDEX(GOOGLEFINANCE(C69, ""price"", EDATE(TODAY(), -12), TODAY()), 2, 2)) - 1, """")"),"")</f>
        <v/>
      </c>
      <c r="Q69" s="6" t="str">
        <f>IFERROR(__xludf.DUMMYFUNCTION("AVERAGE(QUERY(GOOGLEFINANCE(C69, ""price"", TODAY()-80, TODAY()), ""SELECT Col2 WHERE Col2 IS NOT NULL ORDER BY Col1 DESC LIMIT 50"", 0))"),"#N/A")</f>
        <v>#N/A</v>
      </c>
      <c r="R69" s="24" t="str">
        <f>IFERROR(__xludf.DUMMYFUNCTION("IFERROR(
  LET(
    data, QUERY(GOOGLEFINANCE(C69,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GOOGLEFINANCE(C69, ""price"")) * 100,
    IF(calc=0, G69, calc)
  ), 
G69)"),"#N/A")</f>
        <v>#N/A</v>
      </c>
      <c r="S69" s="8" t="s">
        <v>15</v>
      </c>
      <c r="T69" s="26" t="str">
        <f>IFERROR(__xludf.DUMMYFUNCTION("IFERROR(TRANSPOSE(QUERY(IFERROR(SORT(GOOGLEFINANCE(C69, ""price"", WORKDAY(TODAY(), -40), TODAY()), 1, FALSE)), ""select Col2 where Col2 is not null limit 22 label Col2 ''"", 0)), """")"),"")</f>
        <v/>
      </c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8"/>
      <c r="AO69" s="28"/>
      <c r="AP69" s="29"/>
      <c r="AQ69" s="29" t="str">
        <f t="shared" ref="AQ69:BL69" si="72">T69/T$2</f>
        <v>#N/A</v>
      </c>
      <c r="AR69" s="29" t="str">
        <f t="shared" si="72"/>
        <v>#DIV/0!</v>
      </c>
      <c r="AS69" s="29" t="str">
        <f t="shared" si="72"/>
        <v>#DIV/0!</v>
      </c>
      <c r="AT69" s="29" t="str">
        <f t="shared" si="72"/>
        <v>#DIV/0!</v>
      </c>
      <c r="AU69" s="29" t="str">
        <f t="shared" si="72"/>
        <v>#DIV/0!</v>
      </c>
      <c r="AV69" s="29" t="str">
        <f t="shared" si="72"/>
        <v>#DIV/0!</v>
      </c>
      <c r="AW69" s="29" t="str">
        <f t="shared" si="72"/>
        <v>#DIV/0!</v>
      </c>
      <c r="AX69" s="29" t="str">
        <f t="shared" si="72"/>
        <v>#DIV/0!</v>
      </c>
      <c r="AY69" s="29" t="str">
        <f t="shared" si="72"/>
        <v>#DIV/0!</v>
      </c>
      <c r="AZ69" s="29" t="str">
        <f t="shared" si="72"/>
        <v>#DIV/0!</v>
      </c>
      <c r="BA69" s="29" t="str">
        <f t="shared" si="72"/>
        <v>#DIV/0!</v>
      </c>
      <c r="BB69" s="29" t="str">
        <f t="shared" si="72"/>
        <v>#DIV/0!</v>
      </c>
      <c r="BC69" s="29" t="str">
        <f t="shared" si="72"/>
        <v>#DIV/0!</v>
      </c>
      <c r="BD69" s="29" t="str">
        <f t="shared" si="72"/>
        <v>#DIV/0!</v>
      </c>
      <c r="BE69" s="29" t="str">
        <f t="shared" si="72"/>
        <v>#DIV/0!</v>
      </c>
      <c r="BF69" s="29" t="str">
        <f t="shared" si="72"/>
        <v>#DIV/0!</v>
      </c>
      <c r="BG69" s="29" t="str">
        <f t="shared" si="72"/>
        <v>#DIV/0!</v>
      </c>
      <c r="BH69" s="29" t="str">
        <f t="shared" si="72"/>
        <v>#DIV/0!</v>
      </c>
      <c r="BI69" s="29" t="str">
        <f t="shared" si="72"/>
        <v>#DIV/0!</v>
      </c>
      <c r="BJ69" s="29" t="str">
        <f t="shared" si="72"/>
        <v>#DIV/0!</v>
      </c>
      <c r="BK69" s="29" t="str">
        <f t="shared" si="72"/>
        <v>#DIV/0!</v>
      </c>
      <c r="BL69" s="29" t="str">
        <f t="shared" si="72"/>
        <v>#DIV/0!</v>
      </c>
      <c r="BM69" s="29" t="str">
        <f t="shared" si="3"/>
        <v>#DIV/0!</v>
      </c>
    </row>
    <row r="70">
      <c r="A70" s="16" t="str">
        <f>IFERROR(__xludf.DUMMYFUNCTION("IFERROR(SPARKLINE(SORT(MAP(TRANSPOSE(AQ70:BL70), LAMBDA(val, IF(ISNUMBER(val), PERCENTRANK(AQ70:BL70, val)+0.01, 0))), SEQUENCE(COLUMNS(AQ70:BL70)), FALSE), {""charttype"",""column""; ""color"",""chartreuse""; ""ymin"", 0; ""ymax"", 1.01; ""highcolor"", "&amp;"""darkgreen""; ""lowcolor"", ""red""}), """")"),"")</f>
        <v/>
      </c>
      <c r="B70" s="17" t="str">
        <f t="shared" si="4"/>
        <v/>
      </c>
      <c r="C70" s="1" t="s">
        <v>432</v>
      </c>
      <c r="D70" s="30" t="str">
        <f>IFERROR(__xludf.DUMMYFUNCTION("IFERROR(GOOGLEFINANCE(C70, ""NAME""))"),"Liberty Capital Corp Series A")</f>
        <v>Liberty Capital Corp Series A</v>
      </c>
      <c r="E70" s="30" t="s">
        <v>52</v>
      </c>
      <c r="F70" s="33" t="str">
        <f>IFERROR(__xludf.DUMMYFUNCTION("( (GOOGLEFINANCE(C70, ""price"") - Q70) / Q70 ) / (R70 / 100)"),"Loading...")</f>
        <v>Loading...</v>
      </c>
      <c r="G70" s="20" t="str">
        <f>IFERROR(__xludf.DUMMYFUNCTION("AVERAGE(ARRAYFORMULA(100 * (QUERY(GOOGLEFINANCE(C70, ""high"", TODAY()-40, TODAY()), ""SELECT Col2 WHERE Col2 IS NOT NULL ORDER BY Col1 DESC LIMIT 20"", 0) / QUERY(GOOGLEFINANCE(C70, ""low"", TODAY()-40, TODAY()), ""SELECT Col2 WHERE Col2 IS NOT NULL ORDE"&amp;"R BY Col1 DESC LIMIT 20"", 0) - 1)))"),"#N/A")</f>
        <v>#N/A</v>
      </c>
      <c r="H70" s="35" t="str">
        <f t="shared" si="6"/>
        <v>Illiquid</v>
      </c>
      <c r="I70" s="36" t="str">
        <f t="shared" si="7"/>
        <v>RVol Required</v>
      </c>
      <c r="J70" s="37">
        <f>IFERROR(__xludf.DUMMYFUNCTION("IFERROR(
  IF(C70="""",, 
    IFERROR(
      GOOGLEFINANCE(C70, ""price"") * GOOGLEFINANCE(C70, ""volumeavg""), 
      GOOGLEFINANCE(C70, ""price"") * AVERAGE(QUERY(GOOGLEFINANCE(C70, ""volume"", TODAY()-40, TODAY()), ""SELECT Col2 WHERE Col2 IS NOT NULL "&amp;"ORDER BY Col1 DESC LIMIT 20"", 0))
    )
  ), 
"""")"),846261.9)</f>
        <v>846261.9</v>
      </c>
      <c r="K70" s="21">
        <f>IFERROR(__xludf.DUMMYFUNCTION("IFERROR(GOOGLEFINANCE(C70, ""changepct"") / 100, """")"),0.0039000000000000003)</f>
        <v>0.0039</v>
      </c>
      <c r="L70" s="21" t="str">
        <f>IFERROR(__xludf.DUMMYFUNCTION("IFERROR((GOOGLEFINANCE(C70, ""price"") / INDEX(GOOGLEFINANCE(C70, ""price"", TODAY()-7, TODAY()), 2, 2)) - 1, """")"),"")</f>
        <v/>
      </c>
      <c r="M70" s="21" t="str">
        <f>IFERROR(__xludf.DUMMYFUNCTION("IFERROR((GOOGLEFINANCE(C70, ""price"") / INDEX(GOOGLEFINANCE(C70, ""price"", EDATE(TODAY(), -1), TODAY()), 2, 2)) - 1, """")"),"")</f>
        <v/>
      </c>
      <c r="N70" s="21" t="str">
        <f>IFERROR(__xludf.DUMMYFUNCTION("IFERROR((GOOGLEFINANCE(C70, ""price"") / INDEX(GOOGLEFINANCE(C70, ""price"", EDATE(TODAY(), -3), TODAY()), 2, 2)) - 1, """")"),"")</f>
        <v/>
      </c>
      <c r="O70" s="21" t="str">
        <f>IFERROR(__xludf.DUMMYFUNCTION("IFERROR((GOOGLEFINANCE(C70, ""price"") / INDEX(GOOGLEFINANCE(C70, ""price"", EDATE(TODAY(), -6), TODAY()), 2, 2)) - 1, """")"),"")</f>
        <v/>
      </c>
      <c r="P70" s="21" t="str">
        <f>IFERROR(__xludf.DUMMYFUNCTION("IFERROR((GOOGLEFINANCE(C70, ""price"") / INDEX(GOOGLEFINANCE(C70, ""price"", EDATE(TODAY(), -12), TODAY()), 2, 2)) - 1, """")"),"")</f>
        <v/>
      </c>
      <c r="Q70" s="6" t="str">
        <f>IFERROR(__xludf.DUMMYFUNCTION("AVERAGE(QUERY(GOOGLEFINANCE(C70, ""price"", TODAY()-80, TODAY()), ""SELECT Col2 WHERE Col2 IS NOT NULL ORDER BY Col1 DESC LIMIT 50"", 0))"),"#N/A")</f>
        <v>#N/A</v>
      </c>
      <c r="R70" s="24" t="str">
        <f>IFERROR(__xludf.DUMMYFUNCTION("IFERROR(
  LET(
    data, QUERY(GOOGLEFINANCE(C70,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GOOGLEFINANCE(C70, ""price"")) * 100,
    IF(calc=0, G70, calc)
  ), 
G70)"),"#N/A")</f>
        <v>#N/A</v>
      </c>
      <c r="S70" s="8" t="s">
        <v>15</v>
      </c>
      <c r="T70" s="26" t="str">
        <f>IFERROR(__xludf.DUMMYFUNCTION("IFERROR(TRANSPOSE(QUERY(IFERROR(SORT(GOOGLEFINANCE(C70, ""price"", WORKDAY(TODAY(), -40), TODAY()), 1, FALSE)), ""select Col2 where Col2 is not null limit 22 label Col2 ''"", 0)), """")"),"")</f>
        <v/>
      </c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8"/>
      <c r="AO70" s="28"/>
      <c r="AP70" s="29"/>
      <c r="AQ70" s="29" t="str">
        <f t="shared" ref="AQ70:BL70" si="73">T70/T$2</f>
        <v>#N/A</v>
      </c>
      <c r="AR70" s="29" t="str">
        <f t="shared" si="73"/>
        <v>#DIV/0!</v>
      </c>
      <c r="AS70" s="29" t="str">
        <f t="shared" si="73"/>
        <v>#DIV/0!</v>
      </c>
      <c r="AT70" s="29" t="str">
        <f t="shared" si="73"/>
        <v>#DIV/0!</v>
      </c>
      <c r="AU70" s="29" t="str">
        <f t="shared" si="73"/>
        <v>#DIV/0!</v>
      </c>
      <c r="AV70" s="29" t="str">
        <f t="shared" si="73"/>
        <v>#DIV/0!</v>
      </c>
      <c r="AW70" s="29" t="str">
        <f t="shared" si="73"/>
        <v>#DIV/0!</v>
      </c>
      <c r="AX70" s="29" t="str">
        <f t="shared" si="73"/>
        <v>#DIV/0!</v>
      </c>
      <c r="AY70" s="29" t="str">
        <f t="shared" si="73"/>
        <v>#DIV/0!</v>
      </c>
      <c r="AZ70" s="29" t="str">
        <f t="shared" si="73"/>
        <v>#DIV/0!</v>
      </c>
      <c r="BA70" s="29" t="str">
        <f t="shared" si="73"/>
        <v>#DIV/0!</v>
      </c>
      <c r="BB70" s="29" t="str">
        <f t="shared" si="73"/>
        <v>#DIV/0!</v>
      </c>
      <c r="BC70" s="29" t="str">
        <f t="shared" si="73"/>
        <v>#DIV/0!</v>
      </c>
      <c r="BD70" s="29" t="str">
        <f t="shared" si="73"/>
        <v>#DIV/0!</v>
      </c>
      <c r="BE70" s="29" t="str">
        <f t="shared" si="73"/>
        <v>#DIV/0!</v>
      </c>
      <c r="BF70" s="29" t="str">
        <f t="shared" si="73"/>
        <v>#DIV/0!</v>
      </c>
      <c r="BG70" s="29" t="str">
        <f t="shared" si="73"/>
        <v>#DIV/0!</v>
      </c>
      <c r="BH70" s="29" t="str">
        <f t="shared" si="73"/>
        <v>#DIV/0!</v>
      </c>
      <c r="BI70" s="29" t="str">
        <f t="shared" si="73"/>
        <v>#DIV/0!</v>
      </c>
      <c r="BJ70" s="29" t="str">
        <f t="shared" si="73"/>
        <v>#DIV/0!</v>
      </c>
      <c r="BK70" s="29" t="str">
        <f t="shared" si="73"/>
        <v>#DIV/0!</v>
      </c>
      <c r="BL70" s="29" t="str">
        <f t="shared" si="73"/>
        <v>#DIV/0!</v>
      </c>
      <c r="BM70" s="29" t="str">
        <f t="shared" si="3"/>
        <v>#DIV/0!</v>
      </c>
    </row>
    <row r="71">
      <c r="A71" s="16" t="str">
        <f>IFERROR(__xludf.DUMMYFUNCTION("IFERROR(SPARKLINE(SORT(MAP(TRANSPOSE(AQ71:BL71), LAMBDA(val, IF(ISNUMBER(val), PERCENTRANK(AQ71:BL71, val)+0.01, 0))), SEQUENCE(COLUMNS(AQ71:BL71)), FALSE), {""charttype"",""column""; ""color"",""chartreuse""; ""ymin"", 0; ""ymax"", 1.01; ""highcolor"", "&amp;"""darkgreen""; ""lowcolor"", ""red""}), """")"),"")</f>
        <v/>
      </c>
      <c r="B71" s="17" t="str">
        <f t="shared" si="4"/>
        <v/>
      </c>
      <c r="C71" s="1" t="s">
        <v>437</v>
      </c>
      <c r="D71" s="30" t="str">
        <f>IFERROR(__xludf.DUMMYFUNCTION("IFERROR(GOOGLEFINANCE(C71, ""NAME""))"),"Telus Corporation")</f>
        <v>Telus Corporation</v>
      </c>
      <c r="E71" s="30" t="s">
        <v>52</v>
      </c>
      <c r="F71" s="33" t="str">
        <f>IFERROR(__xludf.DUMMYFUNCTION("( (GOOGLEFINANCE(C71, ""price"") - Q71) / Q71 ) / (R71 / 100)"),"Loading...")</f>
        <v>Loading...</v>
      </c>
      <c r="G71" s="20" t="str">
        <f>IFERROR(__xludf.DUMMYFUNCTION("AVERAGE(ARRAYFORMULA(100 * (QUERY(GOOGLEFINANCE(C71, ""high"", TODAY()-40, TODAY()), ""SELECT Col2 WHERE Col2 IS NOT NULL ORDER BY Col1 DESC LIMIT 20"", 0) / QUERY(GOOGLEFINANCE(C71, ""low"", TODAY()-40, TODAY()), ""SELECT Col2 WHERE Col2 IS NOT NULL ORDE"&amp;"R BY Col1 DESC LIMIT 20"", 0) - 1)))"),"#N/A")</f>
        <v>#N/A</v>
      </c>
      <c r="H71" s="35" t="str">
        <f t="shared" si="6"/>
        <v>Liquid</v>
      </c>
      <c r="I71" s="36" t="str">
        <f t="shared" si="7"/>
        <v>RVol Required</v>
      </c>
      <c r="J71" s="37">
        <f>IFERROR(__xludf.DUMMYFUNCTION("IFERROR(
  IF(C71="""",, 
    IFERROR(
      GOOGLEFINANCE(C71, ""price"") * GOOGLEFINANCE(C71, ""volumeavg""), 
      GOOGLEFINANCE(C71, ""price"") * AVERAGE(QUERY(GOOGLEFINANCE(C71, ""volume"", TODAY()-40, TODAY()), ""SELECT Col2 WHERE Col2 IS NOT NULL "&amp;"ORDER BY Col1 DESC LIMIT 20"", 0))
    )
  ), 
"""")"),5.792454712E7)</f>
        <v>57924547.12</v>
      </c>
      <c r="K71" s="21">
        <f>IFERROR(__xludf.DUMMYFUNCTION("IFERROR(GOOGLEFINANCE(C71, ""changepct"") / 100, """")"),0.0084)</f>
        <v>0.0084</v>
      </c>
      <c r="L71" s="21" t="str">
        <f>IFERROR(__xludf.DUMMYFUNCTION("IFERROR((GOOGLEFINANCE(C71, ""price"") / INDEX(GOOGLEFINANCE(C71, ""price"", TODAY()-7, TODAY()), 2, 2)) - 1, """")"),"")</f>
        <v/>
      </c>
      <c r="M71" s="21" t="str">
        <f>IFERROR(__xludf.DUMMYFUNCTION("IFERROR((GOOGLEFINANCE(C71, ""price"") / INDEX(GOOGLEFINANCE(C71, ""price"", EDATE(TODAY(), -1), TODAY()), 2, 2)) - 1, """")"),"")</f>
        <v/>
      </c>
      <c r="N71" s="21" t="str">
        <f>IFERROR(__xludf.DUMMYFUNCTION("IFERROR((GOOGLEFINANCE(C71, ""price"") / INDEX(GOOGLEFINANCE(C71, ""price"", EDATE(TODAY(), -3), TODAY()), 2, 2)) - 1, """")"),"")</f>
        <v/>
      </c>
      <c r="O71" s="21" t="str">
        <f>IFERROR(__xludf.DUMMYFUNCTION("IFERROR((GOOGLEFINANCE(C71, ""price"") / INDEX(GOOGLEFINANCE(C71, ""price"", EDATE(TODAY(), -6), TODAY()), 2, 2)) - 1, """")"),"")</f>
        <v/>
      </c>
      <c r="P71" s="21" t="str">
        <f>IFERROR(__xludf.DUMMYFUNCTION("IFERROR((GOOGLEFINANCE(C71, ""price"") / INDEX(GOOGLEFINANCE(C71, ""price"", EDATE(TODAY(), -12), TODAY()), 2, 2)) - 1, """")"),"")</f>
        <v/>
      </c>
      <c r="Q71" s="6" t="str">
        <f>IFERROR(__xludf.DUMMYFUNCTION("AVERAGE(QUERY(GOOGLEFINANCE(C71, ""price"", TODAY()-80, TODAY()), ""SELECT Col2 WHERE Col2 IS NOT NULL ORDER BY Col1 DESC LIMIT 50"", 0))"),"#N/A")</f>
        <v>#N/A</v>
      </c>
      <c r="R71" s="24" t="str">
        <f>IFERROR(__xludf.DUMMYFUNCTION("IFERROR(
  LET(
    data, QUERY(GOOGLEFINANCE(C71,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GOOGLEFINANCE(C71, ""price"")) * 100,
    IF(calc=0, G71, calc)
  ), 
G71)"),"#N/A")</f>
        <v>#N/A</v>
      </c>
      <c r="S71" s="8" t="s">
        <v>15</v>
      </c>
      <c r="T71" s="26" t="str">
        <f>IFERROR(__xludf.DUMMYFUNCTION("IFERROR(TRANSPOSE(QUERY(IFERROR(SORT(GOOGLEFINANCE(C71, ""price"", WORKDAY(TODAY(), -40), TODAY()), 1, FALSE)), ""select Col2 where Col2 is not null limit 22 label Col2 ''"", 0)), """")"),"")</f>
        <v/>
      </c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8"/>
      <c r="AO71" s="28"/>
      <c r="AP71" s="29"/>
      <c r="AQ71" s="29" t="str">
        <f t="shared" ref="AQ71:BL71" si="74">T71/T$2</f>
        <v>#N/A</v>
      </c>
      <c r="AR71" s="29" t="str">
        <f t="shared" si="74"/>
        <v>#DIV/0!</v>
      </c>
      <c r="AS71" s="29" t="str">
        <f t="shared" si="74"/>
        <v>#DIV/0!</v>
      </c>
      <c r="AT71" s="29" t="str">
        <f t="shared" si="74"/>
        <v>#DIV/0!</v>
      </c>
      <c r="AU71" s="29" t="str">
        <f t="shared" si="74"/>
        <v>#DIV/0!</v>
      </c>
      <c r="AV71" s="29" t="str">
        <f t="shared" si="74"/>
        <v>#DIV/0!</v>
      </c>
      <c r="AW71" s="29" t="str">
        <f t="shared" si="74"/>
        <v>#DIV/0!</v>
      </c>
      <c r="AX71" s="29" t="str">
        <f t="shared" si="74"/>
        <v>#DIV/0!</v>
      </c>
      <c r="AY71" s="29" t="str">
        <f t="shared" si="74"/>
        <v>#DIV/0!</v>
      </c>
      <c r="AZ71" s="29" t="str">
        <f t="shared" si="74"/>
        <v>#DIV/0!</v>
      </c>
      <c r="BA71" s="29" t="str">
        <f t="shared" si="74"/>
        <v>#DIV/0!</v>
      </c>
      <c r="BB71" s="29" t="str">
        <f t="shared" si="74"/>
        <v>#DIV/0!</v>
      </c>
      <c r="BC71" s="29" t="str">
        <f t="shared" si="74"/>
        <v>#DIV/0!</v>
      </c>
      <c r="BD71" s="29" t="str">
        <f t="shared" si="74"/>
        <v>#DIV/0!</v>
      </c>
      <c r="BE71" s="29" t="str">
        <f t="shared" si="74"/>
        <v>#DIV/0!</v>
      </c>
      <c r="BF71" s="29" t="str">
        <f t="shared" si="74"/>
        <v>#DIV/0!</v>
      </c>
      <c r="BG71" s="29" t="str">
        <f t="shared" si="74"/>
        <v>#DIV/0!</v>
      </c>
      <c r="BH71" s="29" t="str">
        <f t="shared" si="74"/>
        <v>#DIV/0!</v>
      </c>
      <c r="BI71" s="29" t="str">
        <f t="shared" si="74"/>
        <v>#DIV/0!</v>
      </c>
      <c r="BJ71" s="29" t="str">
        <f t="shared" si="74"/>
        <v>#DIV/0!</v>
      </c>
      <c r="BK71" s="29" t="str">
        <f t="shared" si="74"/>
        <v>#DIV/0!</v>
      </c>
      <c r="BL71" s="29" t="str">
        <f t="shared" si="74"/>
        <v>#DIV/0!</v>
      </c>
      <c r="BM71" s="29" t="str">
        <f t="shared" si="3"/>
        <v>#DIV/0!</v>
      </c>
    </row>
    <row r="72">
      <c r="A72" s="16" t="str">
        <f>IFERROR(__xludf.DUMMYFUNCTION("IFERROR(SPARKLINE(SORT(MAP(TRANSPOSE(AQ72:BL72), LAMBDA(val, IF(ISNUMBER(val), PERCENTRANK(AQ72:BL72, val)+0.01, 0))), SEQUENCE(COLUMNS(AQ72:BL72)), FALSE), {""charttype"",""column""; ""color"",""chartreuse""; ""ymin"", 0; ""ymax"", 1.01; ""highcolor"", "&amp;"""darkgreen""; ""lowcolor"", ""red""}), """")"),"")</f>
        <v/>
      </c>
      <c r="B72" s="17" t="str">
        <f t="shared" si="4"/>
        <v/>
      </c>
      <c r="C72" s="1" t="s">
        <v>441</v>
      </c>
      <c r="D72" s="30" t="str">
        <f>IFERROR(__xludf.DUMMYFUNCTION("IFERROR(GOOGLEFINANCE(C72, ""NAME""))"),"T-Mobile Us Inc")</f>
        <v>T-Mobile Us Inc</v>
      </c>
      <c r="E72" s="30" t="s">
        <v>52</v>
      </c>
      <c r="F72" s="33" t="str">
        <f>IFERROR(__xludf.DUMMYFUNCTION("( (GOOGLEFINANCE(C72, ""price"") - Q72) / Q72 ) / (R72 / 100)"),"Loading...")</f>
        <v>Loading...</v>
      </c>
      <c r="G72" s="20" t="str">
        <f>IFERROR(__xludf.DUMMYFUNCTION("AVERAGE(ARRAYFORMULA(100 * (QUERY(GOOGLEFINANCE(C72, ""high"", TODAY()-40, TODAY()), ""SELECT Col2 WHERE Col2 IS NOT NULL ORDER BY Col1 DESC LIMIT 20"", 0) / QUERY(GOOGLEFINANCE(C72, ""low"", TODAY()-40, TODAY()), ""SELECT Col2 WHERE Col2 IS NOT NULL ORDE"&amp;"R BY Col1 DESC LIMIT 20"", 0) - 1)))"),"#N/A")</f>
        <v>#N/A</v>
      </c>
      <c r="H72" s="35" t="str">
        <f t="shared" si="6"/>
        <v>Liquid</v>
      </c>
      <c r="I72" s="36" t="str">
        <f t="shared" si="7"/>
        <v>No RVol Required</v>
      </c>
      <c r="J72" s="37">
        <f>IFERROR(__xludf.DUMMYFUNCTION("IFERROR(
  IF(C72="""",, 
    IFERROR(
      GOOGLEFINANCE(C72, ""price"") * GOOGLEFINANCE(C72, ""volumeavg""), 
      GOOGLEFINANCE(C72, ""price"") * AVERAGE(QUERY(GOOGLEFINANCE(C72, ""volume"", TODAY()-40, TODAY()), ""SELECT Col2 WHERE Col2 IS NOT NULL "&amp;"ORDER BY Col1 DESC LIMIT 20"", 0))
    )
  ), 
"""")"),9.004253363E8)</f>
        <v>900425336.3</v>
      </c>
      <c r="K72" s="21">
        <f>IFERROR(__xludf.DUMMYFUNCTION("IFERROR(GOOGLEFINANCE(C72, ""changepct"") / 100, """")"),0.0132)</f>
        <v>0.0132</v>
      </c>
      <c r="L72" s="21" t="str">
        <f>IFERROR(__xludf.DUMMYFUNCTION("IFERROR((GOOGLEFINANCE(C72, ""price"") / INDEX(GOOGLEFINANCE(C72, ""price"", TODAY()-7, TODAY()), 2, 2)) - 1, """")"),"")</f>
        <v/>
      </c>
      <c r="M72" s="21" t="str">
        <f>IFERROR(__xludf.DUMMYFUNCTION("IFERROR((GOOGLEFINANCE(C72, ""price"") / INDEX(GOOGLEFINANCE(C72, ""price"", EDATE(TODAY(), -1), TODAY()), 2, 2)) - 1, """")"),"")</f>
        <v/>
      </c>
      <c r="N72" s="21" t="str">
        <f>IFERROR(__xludf.DUMMYFUNCTION("IFERROR((GOOGLEFINANCE(C72, ""price"") / INDEX(GOOGLEFINANCE(C72, ""price"", EDATE(TODAY(), -3), TODAY()), 2, 2)) - 1, """")"),"")</f>
        <v/>
      </c>
      <c r="O72" s="21" t="str">
        <f>IFERROR(__xludf.DUMMYFUNCTION("IFERROR((GOOGLEFINANCE(C72, ""price"") / INDEX(GOOGLEFINANCE(C72, ""price"", EDATE(TODAY(), -6), TODAY()), 2, 2)) - 1, """")"),"")</f>
        <v/>
      </c>
      <c r="P72" s="21" t="str">
        <f>IFERROR(__xludf.DUMMYFUNCTION("IFERROR((GOOGLEFINANCE(C72, ""price"") / INDEX(GOOGLEFINANCE(C72, ""price"", EDATE(TODAY(), -12), TODAY()), 2, 2)) - 1, """")"),"")</f>
        <v/>
      </c>
      <c r="Q72" s="6" t="str">
        <f>IFERROR(__xludf.DUMMYFUNCTION("AVERAGE(QUERY(GOOGLEFINANCE(C72, ""price"", TODAY()-80, TODAY()), ""SELECT Col2 WHERE Col2 IS NOT NULL ORDER BY Col1 DESC LIMIT 50"", 0))"),"#N/A")</f>
        <v>#N/A</v>
      </c>
      <c r="R72" s="24" t="str">
        <f>IFERROR(__xludf.DUMMYFUNCTION("IFERROR(
  LET(
    data, QUERY(GOOGLEFINANCE(C72,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GOOGLEFINANCE(C72, ""price"")) * 100,
    IF(calc=0, G72, calc)
  ), 
G72)"),"#N/A")</f>
        <v>#N/A</v>
      </c>
      <c r="S72" s="8" t="s">
        <v>15</v>
      </c>
      <c r="T72" s="26" t="str">
        <f>IFERROR(__xludf.DUMMYFUNCTION("IFERROR(TRANSPOSE(QUERY(IFERROR(SORT(GOOGLEFINANCE(C72, ""price"", WORKDAY(TODAY(), -40), TODAY()), 1, FALSE)), ""select Col2 where Col2 is not null limit 22 label Col2 ''"", 0)), """")"),"")</f>
        <v/>
      </c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8"/>
      <c r="AO72" s="28"/>
      <c r="AP72" s="29"/>
      <c r="AQ72" s="29" t="str">
        <f t="shared" ref="AQ72:BL72" si="75">T72/T$2</f>
        <v>#N/A</v>
      </c>
      <c r="AR72" s="29" t="str">
        <f t="shared" si="75"/>
        <v>#DIV/0!</v>
      </c>
      <c r="AS72" s="29" t="str">
        <f t="shared" si="75"/>
        <v>#DIV/0!</v>
      </c>
      <c r="AT72" s="29" t="str">
        <f t="shared" si="75"/>
        <v>#DIV/0!</v>
      </c>
      <c r="AU72" s="29" t="str">
        <f t="shared" si="75"/>
        <v>#DIV/0!</v>
      </c>
      <c r="AV72" s="29" t="str">
        <f t="shared" si="75"/>
        <v>#DIV/0!</v>
      </c>
      <c r="AW72" s="29" t="str">
        <f t="shared" si="75"/>
        <v>#DIV/0!</v>
      </c>
      <c r="AX72" s="29" t="str">
        <f t="shared" si="75"/>
        <v>#DIV/0!</v>
      </c>
      <c r="AY72" s="29" t="str">
        <f t="shared" si="75"/>
        <v>#DIV/0!</v>
      </c>
      <c r="AZ72" s="29" t="str">
        <f t="shared" si="75"/>
        <v>#DIV/0!</v>
      </c>
      <c r="BA72" s="29" t="str">
        <f t="shared" si="75"/>
        <v>#DIV/0!</v>
      </c>
      <c r="BB72" s="29" t="str">
        <f t="shared" si="75"/>
        <v>#DIV/0!</v>
      </c>
      <c r="BC72" s="29" t="str">
        <f t="shared" si="75"/>
        <v>#DIV/0!</v>
      </c>
      <c r="BD72" s="29" t="str">
        <f t="shared" si="75"/>
        <v>#DIV/0!</v>
      </c>
      <c r="BE72" s="29" t="str">
        <f t="shared" si="75"/>
        <v>#DIV/0!</v>
      </c>
      <c r="BF72" s="29" t="str">
        <f t="shared" si="75"/>
        <v>#DIV/0!</v>
      </c>
      <c r="BG72" s="29" t="str">
        <f t="shared" si="75"/>
        <v>#DIV/0!</v>
      </c>
      <c r="BH72" s="29" t="str">
        <f t="shared" si="75"/>
        <v>#DIV/0!</v>
      </c>
      <c r="BI72" s="29" t="str">
        <f t="shared" si="75"/>
        <v>#DIV/0!</v>
      </c>
      <c r="BJ72" s="29" t="str">
        <f t="shared" si="75"/>
        <v>#DIV/0!</v>
      </c>
      <c r="BK72" s="29" t="str">
        <f t="shared" si="75"/>
        <v>#DIV/0!</v>
      </c>
      <c r="BL72" s="29" t="str">
        <f t="shared" si="75"/>
        <v>#DIV/0!</v>
      </c>
      <c r="BM72" s="29" t="str">
        <f t="shared" si="3"/>
        <v>#DIV/0!</v>
      </c>
    </row>
    <row r="73">
      <c r="A73" s="16" t="str">
        <f>IFERROR(__xludf.DUMMYFUNCTION("IFERROR(SPARKLINE(SORT(MAP(TRANSPOSE(AQ73:BL73), LAMBDA(val, IF(ISNUMBER(val), PERCENTRANK(AQ73:BL73, val)+0.01, 0))), SEQUENCE(COLUMNS(AQ73:BL73)), FALSE), {""charttype"",""column""; ""color"",""chartreuse""; ""ymin"", 0; ""ymax"", 1.01; ""highcolor"", "&amp;"""darkgreen""; ""lowcolor"", ""red""}), """")"),"")</f>
        <v/>
      </c>
      <c r="B73" s="17" t="str">
        <f t="shared" si="4"/>
        <v/>
      </c>
      <c r="C73" s="1" t="s">
        <v>443</v>
      </c>
      <c r="D73" s="30" t="str">
        <f>IFERROR(__xludf.DUMMYFUNCTION("IFERROR(GOOGLEFINANCE(C73, ""NAME""))"),"Criteo SA")</f>
        <v>Criteo SA</v>
      </c>
      <c r="E73" s="30" t="s">
        <v>116</v>
      </c>
      <c r="F73" s="33" t="str">
        <f>IFERROR(__xludf.DUMMYFUNCTION("( (GOOGLEFINANCE(C73, ""price"") - Q73) / Q73 ) / (R73 / 100)"),"Loading...")</f>
        <v>Loading...</v>
      </c>
      <c r="G73" s="20" t="str">
        <f>IFERROR(__xludf.DUMMYFUNCTION("AVERAGE(ARRAYFORMULA(100 * (QUERY(GOOGLEFINANCE(C73, ""high"", TODAY()-40, TODAY()), ""SELECT Col2 WHERE Col2 IS NOT NULL ORDER BY Col1 DESC LIMIT 20"", 0) / QUERY(GOOGLEFINANCE(C73, ""low"", TODAY()-40, TODAY()), ""SELECT Col2 WHERE Col2 IS NOT NULL ORDE"&amp;"R BY Col1 DESC LIMIT 20"", 0) - 1)))"),"#N/A")</f>
        <v>#N/A</v>
      </c>
      <c r="H73" s="35" t="str">
        <f t="shared" si="6"/>
        <v>Illiquid</v>
      </c>
      <c r="I73" s="36" t="str">
        <f t="shared" si="7"/>
        <v>RVol Required</v>
      </c>
      <c r="J73" s="37">
        <f>IFERROR(__xludf.DUMMYFUNCTION("IFERROR(
  IF(C73="""",, 
    IFERROR(
      GOOGLEFINANCE(C73, ""price"") * GOOGLEFINANCE(C73, ""volumeavg""), 
      GOOGLEFINANCE(C73, ""price"") * AVERAGE(QUERY(GOOGLEFINANCE(C73, ""volume"", TODAY()-40, TODAY()), ""SELECT Col2 WHERE Col2 IS NOT NULL "&amp;"ORDER BY Col1 DESC LIMIT 20"", 0))
    )
  ), 
"""")"),4236217.7)</f>
        <v>4236217.7</v>
      </c>
      <c r="K73" s="21">
        <f>IFERROR(__xludf.DUMMYFUNCTION("IFERROR(GOOGLEFINANCE(C73, ""changepct"") / 100, """")"),-0.026600000000000002)</f>
        <v>-0.0266</v>
      </c>
      <c r="L73" s="21" t="str">
        <f>IFERROR(__xludf.DUMMYFUNCTION("IFERROR((GOOGLEFINANCE(C73, ""price"") / INDEX(GOOGLEFINANCE(C73, ""price"", TODAY()-7, TODAY()), 2, 2)) - 1, """")"),"")</f>
        <v/>
      </c>
      <c r="M73" s="21" t="str">
        <f>IFERROR(__xludf.DUMMYFUNCTION("IFERROR((GOOGLEFINANCE(C73, ""price"") / INDEX(GOOGLEFINANCE(C73, ""price"", EDATE(TODAY(), -1), TODAY()), 2, 2)) - 1, """")"),"")</f>
        <v/>
      </c>
      <c r="N73" s="21" t="str">
        <f>IFERROR(__xludf.DUMMYFUNCTION("IFERROR((GOOGLEFINANCE(C73, ""price"") / INDEX(GOOGLEFINANCE(C73, ""price"", EDATE(TODAY(), -3), TODAY()), 2, 2)) - 1, """")"),"")</f>
        <v/>
      </c>
      <c r="O73" s="21" t="str">
        <f>IFERROR(__xludf.DUMMYFUNCTION("IFERROR((GOOGLEFINANCE(C73, ""price"") / INDEX(GOOGLEFINANCE(C73, ""price"", EDATE(TODAY(), -6), TODAY()), 2, 2)) - 1, """")"),"")</f>
        <v/>
      </c>
      <c r="P73" s="21" t="str">
        <f>IFERROR(__xludf.DUMMYFUNCTION("IFERROR((GOOGLEFINANCE(C73, ""price"") / INDEX(GOOGLEFINANCE(C73, ""price"", EDATE(TODAY(), -12), TODAY()), 2, 2)) - 1, """")"),"")</f>
        <v/>
      </c>
      <c r="Q73" s="6" t="str">
        <f>IFERROR(__xludf.DUMMYFUNCTION("AVERAGE(QUERY(GOOGLEFINANCE(C73, ""price"", TODAY()-80, TODAY()), ""SELECT Col2 WHERE Col2 IS NOT NULL ORDER BY Col1 DESC LIMIT 50"", 0))"),"#N/A")</f>
        <v>#N/A</v>
      </c>
      <c r="R73" s="24" t="str">
        <f>IFERROR(__xludf.DUMMYFUNCTION("IFERROR(
  LET(
    data, QUERY(GOOGLEFINANCE(C73,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GOOGLEFINANCE(C73, ""price"")) * 100,
    IF(calc=0, G73, calc)
  ), 
G73)"),"#N/A")</f>
        <v>#N/A</v>
      </c>
      <c r="S73" s="8" t="s">
        <v>15</v>
      </c>
      <c r="T73" s="26" t="str">
        <f>IFERROR(__xludf.DUMMYFUNCTION("IFERROR(TRANSPOSE(QUERY(IFERROR(SORT(GOOGLEFINANCE(C73, ""price"", WORKDAY(TODAY(), -40), TODAY()), 1, FALSE)), ""select Col2 where Col2 is not null limit 22 label Col2 ''"", 0)), """")"),"")</f>
        <v/>
      </c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8"/>
      <c r="AO73" s="28"/>
      <c r="AP73" s="29"/>
      <c r="AQ73" s="29" t="str">
        <f t="shared" ref="AQ73:BL73" si="76">T73/T$2</f>
        <v>#N/A</v>
      </c>
      <c r="AR73" s="29" t="str">
        <f t="shared" si="76"/>
        <v>#DIV/0!</v>
      </c>
      <c r="AS73" s="29" t="str">
        <f t="shared" si="76"/>
        <v>#DIV/0!</v>
      </c>
      <c r="AT73" s="29" t="str">
        <f t="shared" si="76"/>
        <v>#DIV/0!</v>
      </c>
      <c r="AU73" s="29" t="str">
        <f t="shared" si="76"/>
        <v>#DIV/0!</v>
      </c>
      <c r="AV73" s="29" t="str">
        <f t="shared" si="76"/>
        <v>#DIV/0!</v>
      </c>
      <c r="AW73" s="29" t="str">
        <f t="shared" si="76"/>
        <v>#DIV/0!</v>
      </c>
      <c r="AX73" s="29" t="str">
        <f t="shared" si="76"/>
        <v>#DIV/0!</v>
      </c>
      <c r="AY73" s="29" t="str">
        <f t="shared" si="76"/>
        <v>#DIV/0!</v>
      </c>
      <c r="AZ73" s="29" t="str">
        <f t="shared" si="76"/>
        <v>#DIV/0!</v>
      </c>
      <c r="BA73" s="29" t="str">
        <f t="shared" si="76"/>
        <v>#DIV/0!</v>
      </c>
      <c r="BB73" s="29" t="str">
        <f t="shared" si="76"/>
        <v>#DIV/0!</v>
      </c>
      <c r="BC73" s="29" t="str">
        <f t="shared" si="76"/>
        <v>#DIV/0!</v>
      </c>
      <c r="BD73" s="29" t="str">
        <f t="shared" si="76"/>
        <v>#DIV/0!</v>
      </c>
      <c r="BE73" s="29" t="str">
        <f t="shared" si="76"/>
        <v>#DIV/0!</v>
      </c>
      <c r="BF73" s="29" t="str">
        <f t="shared" si="76"/>
        <v>#DIV/0!</v>
      </c>
      <c r="BG73" s="29" t="str">
        <f t="shared" si="76"/>
        <v>#DIV/0!</v>
      </c>
      <c r="BH73" s="29" t="str">
        <f t="shared" si="76"/>
        <v>#DIV/0!</v>
      </c>
      <c r="BI73" s="29" t="str">
        <f t="shared" si="76"/>
        <v>#DIV/0!</v>
      </c>
      <c r="BJ73" s="29" t="str">
        <f t="shared" si="76"/>
        <v>#DIV/0!</v>
      </c>
      <c r="BK73" s="29" t="str">
        <f t="shared" si="76"/>
        <v>#DIV/0!</v>
      </c>
      <c r="BL73" s="29" t="str">
        <f t="shared" si="76"/>
        <v>#DIV/0!</v>
      </c>
      <c r="BM73" s="29" t="str">
        <f t="shared" si="3"/>
        <v>#DIV/0!</v>
      </c>
    </row>
    <row r="74">
      <c r="A74" s="16" t="str">
        <f>IFERROR(__xludf.DUMMYFUNCTION("IFERROR(SPARKLINE(SORT(MAP(TRANSPOSE(AQ74:BL74), LAMBDA(val, IF(ISNUMBER(val), PERCENTRANK(AQ74:BL74, val)+0.01, 0))), SEQUENCE(COLUMNS(AQ74:BL74)), FALSE), {""charttype"",""column""; ""color"",""chartreuse""; ""ymin"", 0; ""ymax"", 1.01; ""highcolor"", "&amp;"""darkgreen""; ""lowcolor"", ""red""}), """")"),"")</f>
        <v/>
      </c>
      <c r="B74" s="17" t="str">
        <f t="shared" si="4"/>
        <v/>
      </c>
      <c r="C74" s="1" t="s">
        <v>446</v>
      </c>
      <c r="D74" s="30" t="str">
        <f>IFERROR(__xludf.DUMMYFUNCTION("IFERROR(GOOGLEFINANCE(C74, ""NAME""))"),"Warner Bros Discovery Inc")</f>
        <v>Warner Bros Discovery Inc</v>
      </c>
      <c r="E74" s="30" t="s">
        <v>62</v>
      </c>
      <c r="F74" s="33" t="str">
        <f>IFERROR(__xludf.DUMMYFUNCTION("( (GOOGLEFINANCE(C74, ""price"") - Q74) / Q74 ) / (R74 / 100)"),"Loading...")</f>
        <v>Loading...</v>
      </c>
      <c r="G74" s="20" t="str">
        <f>IFERROR(__xludf.DUMMYFUNCTION("AVERAGE(ARRAYFORMULA(100 * (QUERY(GOOGLEFINANCE(C74, ""high"", TODAY()-40, TODAY()), ""SELECT Col2 WHERE Col2 IS NOT NULL ORDER BY Col1 DESC LIMIT 20"", 0) / QUERY(GOOGLEFINANCE(C74, ""low"", TODAY()-40, TODAY()), ""SELECT Col2 WHERE Col2 IS NOT NULL ORDE"&amp;"R BY Col1 DESC LIMIT 20"", 0) - 1)))"),"#N/A")</f>
        <v>#N/A</v>
      </c>
      <c r="H74" s="35" t="str">
        <f t="shared" si="6"/>
        <v>Liquid</v>
      </c>
      <c r="I74" s="36" t="str">
        <f t="shared" si="7"/>
        <v>No RVol Required</v>
      </c>
      <c r="J74" s="37">
        <f>IFERROR(__xludf.DUMMYFUNCTION("IFERROR(
  IF(C74="""",, 
    IFERROR(
      GOOGLEFINANCE(C74, ""price"") * GOOGLEFINANCE(C74, ""volumeavg""), 
      GOOGLEFINANCE(C74, ""price"") * AVERAGE(QUERY(GOOGLEFINANCE(C74, ""volume"", TODAY()-40, TODAY()), ""SELECT Col2 WHERE Col2 IS NOT NULL "&amp;"ORDER BY Col1 DESC LIMIT 20"", 0))
    )
  ), 
"""")"),1.6607535398999999E9)</f>
        <v>1660753540</v>
      </c>
      <c r="K74" s="21">
        <f>IFERROR(__xludf.DUMMYFUNCTION("IFERROR(GOOGLEFINANCE(C74, ""changepct"") / 100, """")"),0.0)</f>
        <v>0</v>
      </c>
      <c r="L74" s="21" t="str">
        <f>IFERROR(__xludf.DUMMYFUNCTION("IFERROR((GOOGLEFINANCE(C74, ""price"") / INDEX(GOOGLEFINANCE(C74, ""price"", TODAY()-7, TODAY()), 2, 2)) - 1, """")"),"")</f>
        <v/>
      </c>
      <c r="M74" s="21" t="str">
        <f>IFERROR(__xludf.DUMMYFUNCTION("IFERROR((GOOGLEFINANCE(C74, ""price"") / INDEX(GOOGLEFINANCE(C74, ""price"", EDATE(TODAY(), -1), TODAY()), 2, 2)) - 1, """")"),"")</f>
        <v/>
      </c>
      <c r="N74" s="21" t="str">
        <f>IFERROR(__xludf.DUMMYFUNCTION("IFERROR((GOOGLEFINANCE(C74, ""price"") / INDEX(GOOGLEFINANCE(C74, ""price"", EDATE(TODAY(), -3), TODAY()), 2, 2)) - 1, """")"),"")</f>
        <v/>
      </c>
      <c r="O74" s="21" t="str">
        <f>IFERROR(__xludf.DUMMYFUNCTION("IFERROR((GOOGLEFINANCE(C74, ""price"") / INDEX(GOOGLEFINANCE(C74, ""price"", EDATE(TODAY(), -6), TODAY()), 2, 2)) - 1, """")"),"")</f>
        <v/>
      </c>
      <c r="P74" s="21" t="str">
        <f>IFERROR(__xludf.DUMMYFUNCTION("IFERROR((GOOGLEFINANCE(C74, ""price"") / INDEX(GOOGLEFINANCE(C74, ""price"", EDATE(TODAY(), -12), TODAY()), 2, 2)) - 1, """")"),"")</f>
        <v/>
      </c>
      <c r="Q74" s="6" t="str">
        <f>IFERROR(__xludf.DUMMYFUNCTION("AVERAGE(QUERY(GOOGLEFINANCE(C74, ""price"", TODAY()-80, TODAY()), ""SELECT Col2 WHERE Col2 IS NOT NULL ORDER BY Col1 DESC LIMIT 50"", 0))"),"#N/A")</f>
        <v>#N/A</v>
      </c>
      <c r="R74" s="24" t="str">
        <f>IFERROR(__xludf.DUMMYFUNCTION("IFERROR(
  LET(
    data, QUERY(GOOGLEFINANCE(C74,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GOOGLEFINANCE(C74, ""price"")) * 100,
    IF(calc=0, G74, calc)
  ), 
G74)"),"#N/A")</f>
        <v>#N/A</v>
      </c>
      <c r="S74" s="8" t="s">
        <v>15</v>
      </c>
      <c r="T74" s="26" t="str">
        <f>IFERROR(__xludf.DUMMYFUNCTION("IFERROR(TRANSPOSE(QUERY(IFERROR(SORT(GOOGLEFINANCE(C74, ""price"", WORKDAY(TODAY(), -40), TODAY()), 1, FALSE)), ""select Col2 where Col2 is not null limit 22 label Col2 ''"", 0)), """")"),"")</f>
        <v/>
      </c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8"/>
      <c r="AO74" s="28"/>
      <c r="AP74" s="29"/>
      <c r="AQ74" s="29" t="str">
        <f t="shared" ref="AQ74:BL74" si="77">T74/T$2</f>
        <v>#N/A</v>
      </c>
      <c r="AR74" s="29" t="str">
        <f t="shared" si="77"/>
        <v>#DIV/0!</v>
      </c>
      <c r="AS74" s="29" t="str">
        <f t="shared" si="77"/>
        <v>#DIV/0!</v>
      </c>
      <c r="AT74" s="29" t="str">
        <f t="shared" si="77"/>
        <v>#DIV/0!</v>
      </c>
      <c r="AU74" s="29" t="str">
        <f t="shared" si="77"/>
        <v>#DIV/0!</v>
      </c>
      <c r="AV74" s="29" t="str">
        <f t="shared" si="77"/>
        <v>#DIV/0!</v>
      </c>
      <c r="AW74" s="29" t="str">
        <f t="shared" si="77"/>
        <v>#DIV/0!</v>
      </c>
      <c r="AX74" s="29" t="str">
        <f t="shared" si="77"/>
        <v>#DIV/0!</v>
      </c>
      <c r="AY74" s="29" t="str">
        <f t="shared" si="77"/>
        <v>#DIV/0!</v>
      </c>
      <c r="AZ74" s="29" t="str">
        <f t="shared" si="77"/>
        <v>#DIV/0!</v>
      </c>
      <c r="BA74" s="29" t="str">
        <f t="shared" si="77"/>
        <v>#DIV/0!</v>
      </c>
      <c r="BB74" s="29" t="str">
        <f t="shared" si="77"/>
        <v>#DIV/0!</v>
      </c>
      <c r="BC74" s="29" t="str">
        <f t="shared" si="77"/>
        <v>#DIV/0!</v>
      </c>
      <c r="BD74" s="29" t="str">
        <f t="shared" si="77"/>
        <v>#DIV/0!</v>
      </c>
      <c r="BE74" s="29" t="str">
        <f t="shared" si="77"/>
        <v>#DIV/0!</v>
      </c>
      <c r="BF74" s="29" t="str">
        <f t="shared" si="77"/>
        <v>#DIV/0!</v>
      </c>
      <c r="BG74" s="29" t="str">
        <f t="shared" si="77"/>
        <v>#DIV/0!</v>
      </c>
      <c r="BH74" s="29" t="str">
        <f t="shared" si="77"/>
        <v>#DIV/0!</v>
      </c>
      <c r="BI74" s="29" t="str">
        <f t="shared" si="77"/>
        <v>#DIV/0!</v>
      </c>
      <c r="BJ74" s="29" t="str">
        <f t="shared" si="77"/>
        <v>#DIV/0!</v>
      </c>
      <c r="BK74" s="29" t="str">
        <f t="shared" si="77"/>
        <v>#DIV/0!</v>
      </c>
      <c r="BL74" s="29" t="str">
        <f t="shared" si="77"/>
        <v>#DIV/0!</v>
      </c>
      <c r="BM74" s="29" t="str">
        <f t="shared" si="3"/>
        <v>#DIV/0!</v>
      </c>
    </row>
    <row r="75">
      <c r="A75" s="16" t="str">
        <f>IFERROR(__xludf.DUMMYFUNCTION("IFERROR(SPARKLINE(SORT(MAP(TRANSPOSE(AQ75:BL75), LAMBDA(val, IF(ISNUMBER(val), PERCENTRANK(AQ75:BL75, val)+0.01, 0))), SEQUENCE(COLUMNS(AQ75:BL75)), FALSE), {""charttype"",""column""; ""color"",""chartreuse""; ""ymin"", 0; ""ymax"", 1.01; ""highcolor"", "&amp;"""darkgreen""; ""lowcolor"", ""red""}), """")"),"")</f>
        <v/>
      </c>
      <c r="B75" s="17" t="str">
        <f t="shared" si="4"/>
        <v/>
      </c>
      <c r="C75" s="1" t="s">
        <v>450</v>
      </c>
      <c r="D75" s="30" t="str">
        <f>IFERROR(__xludf.DUMMYFUNCTION("IFERROR(GOOGLEFINANCE(C75, ""NAME""))"),"Angi Inc")</f>
        <v>Angi Inc</v>
      </c>
      <c r="E75" s="30" t="s">
        <v>69</v>
      </c>
      <c r="F75" s="33" t="str">
        <f>IFERROR(__xludf.DUMMYFUNCTION("( (GOOGLEFINANCE(C75, ""price"") - Q75) / Q75 ) / (R75 / 100)"),"Loading...")</f>
        <v>Loading...</v>
      </c>
      <c r="G75" s="20" t="str">
        <f>IFERROR(__xludf.DUMMYFUNCTION("AVERAGE(ARRAYFORMULA(100 * (QUERY(GOOGLEFINANCE(C75, ""high"", TODAY()-40, TODAY()), ""SELECT Col2 WHERE Col2 IS NOT NULL ORDER BY Col1 DESC LIMIT 20"", 0) / QUERY(GOOGLEFINANCE(C75, ""low"", TODAY()-40, TODAY()), ""SELECT Col2 WHERE Col2 IS NOT NULL ORDE"&amp;"R BY Col1 DESC LIMIT 20"", 0) - 1)))"),"#N/A")</f>
        <v>#N/A</v>
      </c>
      <c r="H75" s="35" t="str">
        <f t="shared" si="6"/>
        <v>Illiquid</v>
      </c>
      <c r="I75" s="36" t="str">
        <f t="shared" si="7"/>
        <v>RVol Required</v>
      </c>
      <c r="J75" s="37">
        <f>IFERROR(__xludf.DUMMYFUNCTION("IFERROR(
  IF(C75="""",, 
    IFERROR(
      GOOGLEFINANCE(C75, ""price"") * GOOGLEFINANCE(C75, ""volumeavg""), 
      GOOGLEFINANCE(C75, ""price"") * AVERAGE(QUERY(GOOGLEFINANCE(C75, ""volume"", TODAY()-40, TODAY()), ""SELECT Col2 WHERE Col2 IS NOT NULL "&amp;"ORDER BY Col1 DESC LIMIT 20"", 0))
    )
  ), 
"""")"),5146539.4)</f>
        <v>5146539.4</v>
      </c>
      <c r="K75" s="21">
        <f>IFERROR(__xludf.DUMMYFUNCTION("IFERROR(GOOGLEFINANCE(C75, ""changepct"") / 100, """")"),-0.04019999999999999)</f>
        <v>-0.0402</v>
      </c>
      <c r="L75" s="21" t="str">
        <f>IFERROR(__xludf.DUMMYFUNCTION("IFERROR((GOOGLEFINANCE(C75, ""price"") / INDEX(GOOGLEFINANCE(C75, ""price"", TODAY()-7, TODAY()), 2, 2)) - 1, """")"),"")</f>
        <v/>
      </c>
      <c r="M75" s="21" t="str">
        <f>IFERROR(__xludf.DUMMYFUNCTION("IFERROR((GOOGLEFINANCE(C75, ""price"") / INDEX(GOOGLEFINANCE(C75, ""price"", EDATE(TODAY(), -1), TODAY()), 2, 2)) - 1, """")"),"")</f>
        <v/>
      </c>
      <c r="N75" s="21" t="str">
        <f>IFERROR(__xludf.DUMMYFUNCTION("IFERROR((GOOGLEFINANCE(C75, ""price"") / INDEX(GOOGLEFINANCE(C75, ""price"", EDATE(TODAY(), -3), TODAY()), 2, 2)) - 1, """")"),"")</f>
        <v/>
      </c>
      <c r="O75" s="21" t="str">
        <f>IFERROR(__xludf.DUMMYFUNCTION("IFERROR((GOOGLEFINANCE(C75, ""price"") / INDEX(GOOGLEFINANCE(C75, ""price"", EDATE(TODAY(), -6), TODAY()), 2, 2)) - 1, """")"),"")</f>
        <v/>
      </c>
      <c r="P75" s="21" t="str">
        <f>IFERROR(__xludf.DUMMYFUNCTION("IFERROR((GOOGLEFINANCE(C75, ""price"") / INDEX(GOOGLEFINANCE(C75, ""price"", EDATE(TODAY(), -12), TODAY()), 2, 2)) - 1, """")"),"")</f>
        <v/>
      </c>
      <c r="Q75" s="6" t="str">
        <f>IFERROR(__xludf.DUMMYFUNCTION("AVERAGE(QUERY(GOOGLEFINANCE(C75, ""price"", TODAY()-80, TODAY()), ""SELECT Col2 WHERE Col2 IS NOT NULL ORDER BY Col1 DESC LIMIT 50"", 0))"),"#N/A")</f>
        <v>#N/A</v>
      </c>
      <c r="R75" s="24" t="str">
        <f>IFERROR(__xludf.DUMMYFUNCTION("IFERROR(
  LET(
    data, QUERY(GOOGLEFINANCE(C75,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GOOGLEFINANCE(C75, ""price"")) * 100,
    IF(calc=0, G75, calc)
  ), 
G75)"),"#N/A")</f>
        <v>#N/A</v>
      </c>
      <c r="S75" s="8" t="s">
        <v>15</v>
      </c>
      <c r="T75" s="26" t="str">
        <f>IFERROR(__xludf.DUMMYFUNCTION("IFERROR(TRANSPOSE(QUERY(IFERROR(SORT(GOOGLEFINANCE(C75, ""price"", WORKDAY(TODAY(), -40), TODAY()), 1, FALSE)), ""select Col2 where Col2 is not null limit 22 label Col2 ''"", 0)), """")"),"")</f>
        <v/>
      </c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8"/>
      <c r="AO75" s="28"/>
      <c r="AP75" s="29"/>
      <c r="AQ75" s="29" t="str">
        <f t="shared" ref="AQ75:BL75" si="78">T75/T$2</f>
        <v>#N/A</v>
      </c>
      <c r="AR75" s="29" t="str">
        <f t="shared" si="78"/>
        <v>#DIV/0!</v>
      </c>
      <c r="AS75" s="29" t="str">
        <f t="shared" si="78"/>
        <v>#DIV/0!</v>
      </c>
      <c r="AT75" s="29" t="str">
        <f t="shared" si="78"/>
        <v>#DIV/0!</v>
      </c>
      <c r="AU75" s="29" t="str">
        <f t="shared" si="78"/>
        <v>#DIV/0!</v>
      </c>
      <c r="AV75" s="29" t="str">
        <f t="shared" si="78"/>
        <v>#DIV/0!</v>
      </c>
      <c r="AW75" s="29" t="str">
        <f t="shared" si="78"/>
        <v>#DIV/0!</v>
      </c>
      <c r="AX75" s="29" t="str">
        <f t="shared" si="78"/>
        <v>#DIV/0!</v>
      </c>
      <c r="AY75" s="29" t="str">
        <f t="shared" si="78"/>
        <v>#DIV/0!</v>
      </c>
      <c r="AZ75" s="29" t="str">
        <f t="shared" si="78"/>
        <v>#DIV/0!</v>
      </c>
      <c r="BA75" s="29" t="str">
        <f t="shared" si="78"/>
        <v>#DIV/0!</v>
      </c>
      <c r="BB75" s="29" t="str">
        <f t="shared" si="78"/>
        <v>#DIV/0!</v>
      </c>
      <c r="BC75" s="29" t="str">
        <f t="shared" si="78"/>
        <v>#DIV/0!</v>
      </c>
      <c r="BD75" s="29" t="str">
        <f t="shared" si="78"/>
        <v>#DIV/0!</v>
      </c>
      <c r="BE75" s="29" t="str">
        <f t="shared" si="78"/>
        <v>#DIV/0!</v>
      </c>
      <c r="BF75" s="29" t="str">
        <f t="shared" si="78"/>
        <v>#DIV/0!</v>
      </c>
      <c r="BG75" s="29" t="str">
        <f t="shared" si="78"/>
        <v>#DIV/0!</v>
      </c>
      <c r="BH75" s="29" t="str">
        <f t="shared" si="78"/>
        <v>#DIV/0!</v>
      </c>
      <c r="BI75" s="29" t="str">
        <f t="shared" si="78"/>
        <v>#DIV/0!</v>
      </c>
      <c r="BJ75" s="29" t="str">
        <f t="shared" si="78"/>
        <v>#DIV/0!</v>
      </c>
      <c r="BK75" s="29" t="str">
        <f t="shared" si="78"/>
        <v>#DIV/0!</v>
      </c>
      <c r="BL75" s="29" t="str">
        <f t="shared" si="78"/>
        <v>#DIV/0!</v>
      </c>
      <c r="BM75" s="29" t="str">
        <f t="shared" si="3"/>
        <v>#DIV/0!</v>
      </c>
    </row>
    <row r="76">
      <c r="A76" s="16" t="str">
        <f>IFERROR(__xludf.DUMMYFUNCTION("IFERROR(SPARKLINE(SORT(MAP(TRANSPOSE(AQ76:BL76), LAMBDA(val, IF(ISNUMBER(val), PERCENTRANK(AQ76:BL76, val)+0.01, 0))), SEQUENCE(COLUMNS(AQ76:BL76)), FALSE), {""charttype"",""column""; ""color"",""chartreuse""; ""ymin"", 0; ""ymax"", 1.01; ""highcolor"", "&amp;"""darkgreen""; ""lowcolor"", ""red""}), """")"),"")</f>
        <v/>
      </c>
      <c r="B76" s="17" t="str">
        <f t="shared" si="4"/>
        <v/>
      </c>
      <c r="C76" s="1" t="s">
        <v>454</v>
      </c>
      <c r="D76" s="30" t="str">
        <f>IFERROR(__xludf.DUMMYFUNCTION("IFERROR(GOOGLEFINANCE(C76, ""NAME""))"),"WeShop Holdings Ltd")</f>
        <v>WeShop Holdings Ltd</v>
      </c>
      <c r="E76" s="30" t="s">
        <v>69</v>
      </c>
      <c r="F76" s="33" t="str">
        <f>IFERROR(__xludf.DUMMYFUNCTION("( (GOOGLEFINANCE(C76, ""price"") - Q76) / Q76 ) / (R76 / 100)"),"Loading...")</f>
        <v>Loading...</v>
      </c>
      <c r="G76" s="20" t="str">
        <f>IFERROR(__xludf.DUMMYFUNCTION("AVERAGE(ARRAYFORMULA(100 * (QUERY(GOOGLEFINANCE(C76, ""high"", TODAY()-40, TODAY()), ""SELECT Col2 WHERE Col2 IS NOT NULL ORDER BY Col1 DESC LIMIT 20"", 0) / QUERY(GOOGLEFINANCE(C76, ""low"", TODAY()-40, TODAY()), ""SELECT Col2 WHERE Col2 IS NOT NULL ORDE"&amp;"R BY Col1 DESC LIMIT 20"", 0) - 1)))"),"#N/A")</f>
        <v>#N/A</v>
      </c>
      <c r="H76" s="35" t="str">
        <f t="shared" si="6"/>
        <v>Illiquid</v>
      </c>
      <c r="I76" s="36" t="str">
        <f t="shared" si="7"/>
        <v>RVol Required</v>
      </c>
      <c r="J76" s="37">
        <f>IFERROR(__xludf.DUMMYFUNCTION("IFERROR(
  IF(C76="""",, 
    IFERROR(
      GOOGLEFINANCE(C76, ""price"") * GOOGLEFINANCE(C76, ""volumeavg""), 
      GOOGLEFINANCE(C76, ""price"") * AVERAGE(QUERY(GOOGLEFINANCE(C76, ""volume"", TODAY()-40, TODAY()), ""SELECT Col2 WHERE Col2 IS NOT NULL "&amp;"ORDER BY Col1 DESC LIMIT 20"", 0))
    )
  ), 
"""")"),442251.04000000004)</f>
        <v>442251.04</v>
      </c>
      <c r="K76" s="21">
        <f>IFERROR(__xludf.DUMMYFUNCTION("IFERROR(GOOGLEFINANCE(C76, ""changepct"") / 100, """")"),-0.0888)</f>
        <v>-0.0888</v>
      </c>
      <c r="L76" s="21" t="str">
        <f>IFERROR(__xludf.DUMMYFUNCTION("IFERROR((GOOGLEFINANCE(C76, ""price"") / INDEX(GOOGLEFINANCE(C76, ""price"", TODAY()-7, TODAY()), 2, 2)) - 1, """")"),"")</f>
        <v/>
      </c>
      <c r="M76" s="21" t="str">
        <f>IFERROR(__xludf.DUMMYFUNCTION("IFERROR((GOOGLEFINANCE(C76, ""price"") / INDEX(GOOGLEFINANCE(C76, ""price"", EDATE(TODAY(), -1), TODAY()), 2, 2)) - 1, """")"),"")</f>
        <v/>
      </c>
      <c r="N76" s="21" t="str">
        <f>IFERROR(__xludf.DUMMYFUNCTION("IFERROR((GOOGLEFINANCE(C76, ""price"") / INDEX(GOOGLEFINANCE(C76, ""price"", EDATE(TODAY(), -3), TODAY()), 2, 2)) - 1, """")"),"")</f>
        <v/>
      </c>
      <c r="O76" s="21" t="str">
        <f>IFERROR(__xludf.DUMMYFUNCTION("IFERROR((GOOGLEFINANCE(C76, ""price"") / INDEX(GOOGLEFINANCE(C76, ""price"", EDATE(TODAY(), -6), TODAY()), 2, 2)) - 1, """")"),"")</f>
        <v/>
      </c>
      <c r="P76" s="21" t="str">
        <f>IFERROR(__xludf.DUMMYFUNCTION("IFERROR((GOOGLEFINANCE(C76, ""price"") / INDEX(GOOGLEFINANCE(C76, ""price"", EDATE(TODAY(), -12), TODAY()), 2, 2)) - 1, """")"),"")</f>
        <v/>
      </c>
      <c r="Q76" s="6" t="str">
        <f>IFERROR(__xludf.DUMMYFUNCTION("AVERAGE(QUERY(GOOGLEFINANCE(C76, ""price"", TODAY()-80, TODAY()), ""SELECT Col2 WHERE Col2 IS NOT NULL ORDER BY Col1 DESC LIMIT 50"", 0))"),"#N/A")</f>
        <v>#N/A</v>
      </c>
      <c r="R76" s="24" t="str">
        <f>IFERROR(__xludf.DUMMYFUNCTION("IFERROR(
  LET(
    data, QUERY(GOOGLEFINANCE(C76,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GOOGLEFINANCE(C76, ""price"")) * 100,
    IF(calc=0, G76, calc)
  ), 
G76)"),"#N/A")</f>
        <v>#N/A</v>
      </c>
      <c r="S76" s="8" t="s">
        <v>15</v>
      </c>
      <c r="T76" s="26" t="str">
        <f>IFERROR(__xludf.DUMMYFUNCTION("IFERROR(TRANSPOSE(QUERY(IFERROR(SORT(GOOGLEFINANCE(C76, ""price"", WORKDAY(TODAY(), -40), TODAY()), 1, FALSE)), ""select Col2 where Col2 is not null limit 22 label Col2 ''"", 0)), """")"),"")</f>
        <v/>
      </c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8"/>
      <c r="AO76" s="28"/>
      <c r="AP76" s="29"/>
      <c r="AQ76" s="29" t="str">
        <f t="shared" ref="AQ76:BL76" si="79">T76/T$2</f>
        <v>#N/A</v>
      </c>
      <c r="AR76" s="29" t="str">
        <f t="shared" si="79"/>
        <v>#DIV/0!</v>
      </c>
      <c r="AS76" s="29" t="str">
        <f t="shared" si="79"/>
        <v>#DIV/0!</v>
      </c>
      <c r="AT76" s="29" t="str">
        <f t="shared" si="79"/>
        <v>#DIV/0!</v>
      </c>
      <c r="AU76" s="29" t="str">
        <f t="shared" si="79"/>
        <v>#DIV/0!</v>
      </c>
      <c r="AV76" s="29" t="str">
        <f t="shared" si="79"/>
        <v>#DIV/0!</v>
      </c>
      <c r="AW76" s="29" t="str">
        <f t="shared" si="79"/>
        <v>#DIV/0!</v>
      </c>
      <c r="AX76" s="29" t="str">
        <f t="shared" si="79"/>
        <v>#DIV/0!</v>
      </c>
      <c r="AY76" s="29" t="str">
        <f t="shared" si="79"/>
        <v>#DIV/0!</v>
      </c>
      <c r="AZ76" s="29" t="str">
        <f t="shared" si="79"/>
        <v>#DIV/0!</v>
      </c>
      <c r="BA76" s="29" t="str">
        <f t="shared" si="79"/>
        <v>#DIV/0!</v>
      </c>
      <c r="BB76" s="29" t="str">
        <f t="shared" si="79"/>
        <v>#DIV/0!</v>
      </c>
      <c r="BC76" s="29" t="str">
        <f t="shared" si="79"/>
        <v>#DIV/0!</v>
      </c>
      <c r="BD76" s="29" t="str">
        <f t="shared" si="79"/>
        <v>#DIV/0!</v>
      </c>
      <c r="BE76" s="29" t="str">
        <f t="shared" si="79"/>
        <v>#DIV/0!</v>
      </c>
      <c r="BF76" s="29" t="str">
        <f t="shared" si="79"/>
        <v>#DIV/0!</v>
      </c>
      <c r="BG76" s="29" t="str">
        <f t="shared" si="79"/>
        <v>#DIV/0!</v>
      </c>
      <c r="BH76" s="29" t="str">
        <f t="shared" si="79"/>
        <v>#DIV/0!</v>
      </c>
      <c r="BI76" s="29" t="str">
        <f t="shared" si="79"/>
        <v>#DIV/0!</v>
      </c>
      <c r="BJ76" s="29" t="str">
        <f t="shared" si="79"/>
        <v>#DIV/0!</v>
      </c>
      <c r="BK76" s="29" t="str">
        <f t="shared" si="79"/>
        <v>#DIV/0!</v>
      </c>
      <c r="BL76" s="29" t="str">
        <f t="shared" si="79"/>
        <v>#DIV/0!</v>
      </c>
      <c r="BM76" s="29" t="str">
        <f t="shared" si="3"/>
        <v>#DIV/0!</v>
      </c>
    </row>
    <row r="77">
      <c r="A77" s="16" t="str">
        <f>IFERROR(__xludf.DUMMYFUNCTION("IFERROR(SPARKLINE(SORT(MAP(TRANSPOSE(AQ77:BL77), LAMBDA(val, IF(ISNUMBER(val), PERCENTRANK(AQ77:BL77, val)+0.01, 0))), SEQUENCE(COLUMNS(AQ77:BL77)), FALSE), {""charttype"",""column""; ""color"",""chartreuse""; ""ymin"", 0; ""ymax"", 1.01; ""highcolor"", "&amp;"""darkgreen""; ""lowcolor"", ""red""}), """")"),"")</f>
        <v/>
      </c>
      <c r="B77" s="17" t="str">
        <f t="shared" si="4"/>
        <v/>
      </c>
      <c r="C77" s="1" t="s">
        <v>459</v>
      </c>
      <c r="D77" s="30" t="str">
        <f>IFERROR(__xludf.DUMMYFUNCTION("IFERROR(GOOGLEFINANCE(C77, ""NAME""))"),"Gravity Co., LTD.")</f>
        <v>Gravity Co., LTD.</v>
      </c>
      <c r="E77" s="30" t="s">
        <v>94</v>
      </c>
      <c r="F77" s="33" t="str">
        <f>IFERROR(__xludf.DUMMYFUNCTION("( (GOOGLEFINANCE(C77, ""price"") - Q77) / Q77 ) / (R77 / 100)"),"Loading...")</f>
        <v>Loading...</v>
      </c>
      <c r="G77" s="20" t="str">
        <f>IFERROR(__xludf.DUMMYFUNCTION("AVERAGE(ARRAYFORMULA(100 * (QUERY(GOOGLEFINANCE(C77, ""high"", TODAY()-40, TODAY()), ""SELECT Col2 WHERE Col2 IS NOT NULL ORDER BY Col1 DESC LIMIT 20"", 0) / QUERY(GOOGLEFINANCE(C77, ""low"", TODAY()-40, TODAY()), ""SELECT Col2 WHERE Col2 IS NOT NULL ORDE"&amp;"R BY Col1 DESC LIMIT 20"", 0) - 1)))"),"#N/A")</f>
        <v>#N/A</v>
      </c>
      <c r="H77" s="35" t="str">
        <f t="shared" si="6"/>
        <v>Illiquid</v>
      </c>
      <c r="I77" s="36" t="str">
        <f t="shared" si="7"/>
        <v>RVol Required</v>
      </c>
      <c r="J77" s="37">
        <f>IFERROR(__xludf.DUMMYFUNCTION("IFERROR(
  IF(C77="""",, 
    IFERROR(
      GOOGLEFINANCE(C77, ""price"") * GOOGLEFINANCE(C77, ""volumeavg""), 
      GOOGLEFINANCE(C77, ""price"") * AVERAGE(QUERY(GOOGLEFINANCE(C77, ""volume"", TODAY()-40, TODAY()), ""SELECT Col2 WHERE Col2 IS NOT NULL "&amp;"ORDER BY Col1 DESC LIMIT 20"", 0))
    )
  ), 
"""")"),1575490.0699999998)</f>
        <v>1575490.07</v>
      </c>
      <c r="K77" s="21">
        <f>IFERROR(__xludf.DUMMYFUNCTION("IFERROR(GOOGLEFINANCE(C77, ""changepct"") / 100, """")"),0.0)</f>
        <v>0</v>
      </c>
      <c r="L77" s="21" t="str">
        <f>IFERROR(__xludf.DUMMYFUNCTION("IFERROR((GOOGLEFINANCE(C77, ""price"") / INDEX(GOOGLEFINANCE(C77, ""price"", TODAY()-7, TODAY()), 2, 2)) - 1, """")"),"")</f>
        <v/>
      </c>
      <c r="M77" s="21" t="str">
        <f>IFERROR(__xludf.DUMMYFUNCTION("IFERROR((GOOGLEFINANCE(C77, ""price"") / INDEX(GOOGLEFINANCE(C77, ""price"", EDATE(TODAY(), -1), TODAY()), 2, 2)) - 1, """")"),"")</f>
        <v/>
      </c>
      <c r="N77" s="21" t="str">
        <f>IFERROR(__xludf.DUMMYFUNCTION("IFERROR((GOOGLEFINANCE(C77, ""price"") / INDEX(GOOGLEFINANCE(C77, ""price"", EDATE(TODAY(), -3), TODAY()), 2, 2)) - 1, """")"),"")</f>
        <v/>
      </c>
      <c r="O77" s="21" t="str">
        <f>IFERROR(__xludf.DUMMYFUNCTION("IFERROR((GOOGLEFINANCE(C77, ""price"") / INDEX(GOOGLEFINANCE(C77, ""price"", EDATE(TODAY(), -6), TODAY()), 2, 2)) - 1, """")"),"")</f>
        <v/>
      </c>
      <c r="P77" s="21" t="str">
        <f>IFERROR(__xludf.DUMMYFUNCTION("IFERROR((GOOGLEFINANCE(C77, ""price"") / INDEX(GOOGLEFINANCE(C77, ""price"", EDATE(TODAY(), -12), TODAY()), 2, 2)) - 1, """")"),"")</f>
        <v/>
      </c>
      <c r="Q77" s="6" t="str">
        <f>IFERROR(__xludf.DUMMYFUNCTION("AVERAGE(QUERY(GOOGLEFINANCE(C77, ""price"", TODAY()-80, TODAY()), ""SELECT Col2 WHERE Col2 IS NOT NULL ORDER BY Col1 DESC LIMIT 50"", 0))"),"#N/A")</f>
        <v>#N/A</v>
      </c>
      <c r="R77" s="24" t="str">
        <f>IFERROR(__xludf.DUMMYFUNCTION("IFERROR(
  LET(
    data, QUERY(GOOGLEFINANCE(C77,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GOOGLEFINANCE(C77, ""price"")) * 100,
    IF(calc=0, G77, calc)
  ), 
G77)"),"#N/A")</f>
        <v>#N/A</v>
      </c>
      <c r="S77" s="8" t="s">
        <v>15</v>
      </c>
      <c r="T77" s="26" t="str">
        <f>IFERROR(__xludf.DUMMYFUNCTION("IFERROR(TRANSPOSE(QUERY(IFERROR(SORT(GOOGLEFINANCE(C77, ""price"", WORKDAY(TODAY(), -40), TODAY()), 1, FALSE)), ""select Col2 where Col2 is not null limit 22 label Col2 ''"", 0)), """")"),"")</f>
        <v/>
      </c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8"/>
      <c r="AO77" s="28"/>
      <c r="AP77" s="29"/>
      <c r="AQ77" s="29" t="str">
        <f t="shared" ref="AQ77:BL77" si="80">T77/T$2</f>
        <v>#N/A</v>
      </c>
      <c r="AR77" s="29" t="str">
        <f t="shared" si="80"/>
        <v>#DIV/0!</v>
      </c>
      <c r="AS77" s="29" t="str">
        <f t="shared" si="80"/>
        <v>#DIV/0!</v>
      </c>
      <c r="AT77" s="29" t="str">
        <f t="shared" si="80"/>
        <v>#DIV/0!</v>
      </c>
      <c r="AU77" s="29" t="str">
        <f t="shared" si="80"/>
        <v>#DIV/0!</v>
      </c>
      <c r="AV77" s="29" t="str">
        <f t="shared" si="80"/>
        <v>#DIV/0!</v>
      </c>
      <c r="AW77" s="29" t="str">
        <f t="shared" si="80"/>
        <v>#DIV/0!</v>
      </c>
      <c r="AX77" s="29" t="str">
        <f t="shared" si="80"/>
        <v>#DIV/0!</v>
      </c>
      <c r="AY77" s="29" t="str">
        <f t="shared" si="80"/>
        <v>#DIV/0!</v>
      </c>
      <c r="AZ77" s="29" t="str">
        <f t="shared" si="80"/>
        <v>#DIV/0!</v>
      </c>
      <c r="BA77" s="29" t="str">
        <f t="shared" si="80"/>
        <v>#DIV/0!</v>
      </c>
      <c r="BB77" s="29" t="str">
        <f t="shared" si="80"/>
        <v>#DIV/0!</v>
      </c>
      <c r="BC77" s="29" t="str">
        <f t="shared" si="80"/>
        <v>#DIV/0!</v>
      </c>
      <c r="BD77" s="29" t="str">
        <f t="shared" si="80"/>
        <v>#DIV/0!</v>
      </c>
      <c r="BE77" s="29" t="str">
        <f t="shared" si="80"/>
        <v>#DIV/0!</v>
      </c>
      <c r="BF77" s="29" t="str">
        <f t="shared" si="80"/>
        <v>#DIV/0!</v>
      </c>
      <c r="BG77" s="29" t="str">
        <f t="shared" si="80"/>
        <v>#DIV/0!</v>
      </c>
      <c r="BH77" s="29" t="str">
        <f t="shared" si="80"/>
        <v>#DIV/0!</v>
      </c>
      <c r="BI77" s="29" t="str">
        <f t="shared" si="80"/>
        <v>#DIV/0!</v>
      </c>
      <c r="BJ77" s="29" t="str">
        <f t="shared" si="80"/>
        <v>#DIV/0!</v>
      </c>
      <c r="BK77" s="29" t="str">
        <f t="shared" si="80"/>
        <v>#DIV/0!</v>
      </c>
      <c r="BL77" s="29" t="str">
        <f t="shared" si="80"/>
        <v>#DIV/0!</v>
      </c>
      <c r="BM77" s="29" t="str">
        <f t="shared" si="3"/>
        <v>#DIV/0!</v>
      </c>
    </row>
    <row r="78">
      <c r="A78" s="16" t="str">
        <f>IFERROR(__xludf.DUMMYFUNCTION("IFERROR(SPARKLINE(SORT(MAP(TRANSPOSE(AQ78:BL78), LAMBDA(val, IF(ISNUMBER(val), PERCENTRANK(AQ78:BL78, val)+0.01, 0))), SEQUENCE(COLUMNS(AQ78:BL78)), FALSE), {""charttype"",""column""; ""color"",""chartreuse""; ""ymin"", 0; ""ymax"", 1.01; ""highcolor"", "&amp;"""darkgreen""; ""lowcolor"", ""red""}), """")"),"")</f>
        <v/>
      </c>
      <c r="B78" s="17" t="str">
        <f t="shared" si="4"/>
        <v/>
      </c>
      <c r="C78" s="1" t="s">
        <v>465</v>
      </c>
      <c r="D78" s="30" t="str">
        <f>IFERROR(__xludf.DUMMYFUNCTION("IFERROR(GOOGLEFINANCE(C78, ""NAME""))"),"News Corp Class B")</f>
        <v>News Corp Class B</v>
      </c>
      <c r="E78" s="30" t="s">
        <v>62</v>
      </c>
      <c r="F78" s="33" t="str">
        <f>IFERROR(__xludf.DUMMYFUNCTION("( (GOOGLEFINANCE(C78, ""price"") - Q78) / Q78 ) / (R78 / 100)"),"Loading...")</f>
        <v>Loading...</v>
      </c>
      <c r="G78" s="20" t="str">
        <f>IFERROR(__xludf.DUMMYFUNCTION("AVERAGE(ARRAYFORMULA(100 * (QUERY(GOOGLEFINANCE(C78, ""high"", TODAY()-40, TODAY()), ""SELECT Col2 WHERE Col2 IS NOT NULL ORDER BY Col1 DESC LIMIT 20"", 0) / QUERY(GOOGLEFINANCE(C78, ""low"", TODAY()-40, TODAY()), ""SELECT Col2 WHERE Col2 IS NOT NULL ORDE"&amp;"R BY Col1 DESC LIMIT 20"", 0) - 1)))"),"#N/A")</f>
        <v>#N/A</v>
      </c>
      <c r="H78" s="35" t="str">
        <f t="shared" si="6"/>
        <v>Illiquid</v>
      </c>
      <c r="I78" s="36" t="str">
        <f t="shared" si="7"/>
        <v>RVol Required</v>
      </c>
      <c r="J78" s="37">
        <f>IFERROR(__xludf.DUMMYFUNCTION("IFERROR(
  IF(C78="""",, 
    IFERROR(
      GOOGLEFINANCE(C78, ""price"") * GOOGLEFINANCE(C78, ""volumeavg""), 
      GOOGLEFINANCE(C78, ""price"") * AVERAGE(QUERY(GOOGLEFINANCE(C78, ""volume"", TODAY()-40, TODAY()), ""SELECT Col2 WHERE Col2 IS NOT NULL "&amp;"ORDER BY Col1 DESC LIMIT 20"", 0))
    )
  ), 
"""")"),3.6185426400000006E7)</f>
        <v>36185426.4</v>
      </c>
      <c r="K78" s="21">
        <f>IFERROR(__xludf.DUMMYFUNCTION("IFERROR(GOOGLEFINANCE(C78, ""changepct"") / 100, """")"),-0.0054)</f>
        <v>-0.0054</v>
      </c>
      <c r="L78" s="21" t="str">
        <f>IFERROR(__xludf.DUMMYFUNCTION("IFERROR((GOOGLEFINANCE(C78, ""price"") / INDEX(GOOGLEFINANCE(C78, ""price"", TODAY()-7, TODAY()), 2, 2)) - 1, """")"),"")</f>
        <v/>
      </c>
      <c r="M78" s="21" t="str">
        <f>IFERROR(__xludf.DUMMYFUNCTION("IFERROR((GOOGLEFINANCE(C78, ""price"") / INDEX(GOOGLEFINANCE(C78, ""price"", EDATE(TODAY(), -1), TODAY()), 2, 2)) - 1, """")"),"")</f>
        <v/>
      </c>
      <c r="N78" s="21" t="str">
        <f>IFERROR(__xludf.DUMMYFUNCTION("IFERROR((GOOGLEFINANCE(C78, ""price"") / INDEX(GOOGLEFINANCE(C78, ""price"", EDATE(TODAY(), -3), TODAY()), 2, 2)) - 1, """")"),"")</f>
        <v/>
      </c>
      <c r="O78" s="21" t="str">
        <f>IFERROR(__xludf.DUMMYFUNCTION("IFERROR((GOOGLEFINANCE(C78, ""price"") / INDEX(GOOGLEFINANCE(C78, ""price"", EDATE(TODAY(), -6), TODAY()), 2, 2)) - 1, """")"),"")</f>
        <v/>
      </c>
      <c r="P78" s="21" t="str">
        <f>IFERROR(__xludf.DUMMYFUNCTION("IFERROR((GOOGLEFINANCE(C78, ""price"") / INDEX(GOOGLEFINANCE(C78, ""price"", EDATE(TODAY(), -12), TODAY()), 2, 2)) - 1, """")"),"")</f>
        <v/>
      </c>
      <c r="Q78" s="6" t="str">
        <f>IFERROR(__xludf.DUMMYFUNCTION("AVERAGE(QUERY(GOOGLEFINANCE(C78, ""price"", TODAY()-80, TODAY()), ""SELECT Col2 WHERE Col2 IS NOT NULL ORDER BY Col1 DESC LIMIT 50"", 0))"),"#N/A")</f>
        <v>#N/A</v>
      </c>
      <c r="R78" s="24" t="str">
        <f>IFERROR(__xludf.DUMMYFUNCTION("IFERROR(
  LET(
    data, QUERY(GOOGLEFINANCE(C78,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GOOGLEFINANCE(C78, ""price"")) * 100,
    IF(calc=0, G78, calc)
  ), 
G78)"),"#N/A")</f>
        <v>#N/A</v>
      </c>
      <c r="S78" s="8" t="s">
        <v>15</v>
      </c>
      <c r="T78" s="26" t="str">
        <f>IFERROR(__xludf.DUMMYFUNCTION("IFERROR(TRANSPOSE(QUERY(IFERROR(SORT(GOOGLEFINANCE(C78, ""price"", WORKDAY(TODAY(), -40), TODAY()), 1, FALSE)), ""select Col2 where Col2 is not null limit 22 label Col2 ''"", 0)), """")"),"")</f>
        <v/>
      </c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8"/>
      <c r="AO78" s="28"/>
      <c r="AP78" s="29"/>
      <c r="AQ78" s="29" t="str">
        <f t="shared" ref="AQ78:BL78" si="81">T78/T$2</f>
        <v>#N/A</v>
      </c>
      <c r="AR78" s="29" t="str">
        <f t="shared" si="81"/>
        <v>#DIV/0!</v>
      </c>
      <c r="AS78" s="29" t="str">
        <f t="shared" si="81"/>
        <v>#DIV/0!</v>
      </c>
      <c r="AT78" s="29" t="str">
        <f t="shared" si="81"/>
        <v>#DIV/0!</v>
      </c>
      <c r="AU78" s="29" t="str">
        <f t="shared" si="81"/>
        <v>#DIV/0!</v>
      </c>
      <c r="AV78" s="29" t="str">
        <f t="shared" si="81"/>
        <v>#DIV/0!</v>
      </c>
      <c r="AW78" s="29" t="str">
        <f t="shared" si="81"/>
        <v>#DIV/0!</v>
      </c>
      <c r="AX78" s="29" t="str">
        <f t="shared" si="81"/>
        <v>#DIV/0!</v>
      </c>
      <c r="AY78" s="29" t="str">
        <f t="shared" si="81"/>
        <v>#DIV/0!</v>
      </c>
      <c r="AZ78" s="29" t="str">
        <f t="shared" si="81"/>
        <v>#DIV/0!</v>
      </c>
      <c r="BA78" s="29" t="str">
        <f t="shared" si="81"/>
        <v>#DIV/0!</v>
      </c>
      <c r="BB78" s="29" t="str">
        <f t="shared" si="81"/>
        <v>#DIV/0!</v>
      </c>
      <c r="BC78" s="29" t="str">
        <f t="shared" si="81"/>
        <v>#DIV/0!</v>
      </c>
      <c r="BD78" s="29" t="str">
        <f t="shared" si="81"/>
        <v>#DIV/0!</v>
      </c>
      <c r="BE78" s="29" t="str">
        <f t="shared" si="81"/>
        <v>#DIV/0!</v>
      </c>
      <c r="BF78" s="29" t="str">
        <f t="shared" si="81"/>
        <v>#DIV/0!</v>
      </c>
      <c r="BG78" s="29" t="str">
        <f t="shared" si="81"/>
        <v>#DIV/0!</v>
      </c>
      <c r="BH78" s="29" t="str">
        <f t="shared" si="81"/>
        <v>#DIV/0!</v>
      </c>
      <c r="BI78" s="29" t="str">
        <f t="shared" si="81"/>
        <v>#DIV/0!</v>
      </c>
      <c r="BJ78" s="29" t="str">
        <f t="shared" si="81"/>
        <v>#DIV/0!</v>
      </c>
      <c r="BK78" s="29" t="str">
        <f t="shared" si="81"/>
        <v>#DIV/0!</v>
      </c>
      <c r="BL78" s="29" t="str">
        <f t="shared" si="81"/>
        <v>#DIV/0!</v>
      </c>
      <c r="BM78" s="29" t="str">
        <f t="shared" si="3"/>
        <v>#DIV/0!</v>
      </c>
    </row>
    <row r="79">
      <c r="A79" s="16" t="str">
        <f>IFERROR(__xludf.DUMMYFUNCTION("IFERROR(SPARKLINE(SORT(MAP(TRANSPOSE(AQ79:BL79), LAMBDA(val, IF(ISNUMBER(val), PERCENTRANK(AQ79:BL79, val)+0.01, 0))), SEQUENCE(COLUMNS(AQ79:BL79)), FALSE), {""charttype"",""column""; ""color"",""chartreuse""; ""ymin"", 0; ""ymax"", 1.01; ""highcolor"", "&amp;"""darkgreen""; ""lowcolor"", ""red""}), """")"),"")</f>
        <v/>
      </c>
      <c r="B79" s="17" t="str">
        <f t="shared" si="4"/>
        <v/>
      </c>
      <c r="C79" s="1" t="s">
        <v>471</v>
      </c>
      <c r="D79" s="30" t="str">
        <f>IFERROR(__xludf.DUMMYFUNCTION("IFERROR(GOOGLEFINANCE(C79, ""NAME""))"),"Fiverr International Ltd")</f>
        <v>Fiverr International Ltd</v>
      </c>
      <c r="E79" s="30" t="s">
        <v>69</v>
      </c>
      <c r="F79" s="33" t="str">
        <f>IFERROR(__xludf.DUMMYFUNCTION("( (GOOGLEFINANCE(C79, ""price"") - Q79) / Q79 ) / (R79 / 100)"),"Loading...")</f>
        <v>Loading...</v>
      </c>
      <c r="G79" s="20" t="str">
        <f>IFERROR(__xludf.DUMMYFUNCTION("AVERAGE(ARRAYFORMULA(100 * (QUERY(GOOGLEFINANCE(C79, ""high"", TODAY()-40, TODAY()), ""SELECT Col2 WHERE Col2 IS NOT NULL ORDER BY Col1 DESC LIMIT 20"", 0) / QUERY(GOOGLEFINANCE(C79, ""low"", TODAY()-40, TODAY()), ""SELECT Col2 WHERE Col2 IS NOT NULL ORDE"&amp;"R BY Col1 DESC LIMIT 20"", 0) - 1)))"),"#N/A")</f>
        <v>#N/A</v>
      </c>
      <c r="H79" s="35" t="str">
        <f t="shared" si="6"/>
        <v>Illiquid</v>
      </c>
      <c r="I79" s="36" t="str">
        <f t="shared" si="7"/>
        <v>RVol Required</v>
      </c>
      <c r="J79" s="37">
        <f>IFERROR(__xludf.DUMMYFUNCTION("IFERROR(
  IF(C79="""",, 
    IFERROR(
      GOOGLEFINANCE(C79, ""price"") * GOOGLEFINANCE(C79, ""volumeavg""), 
      GOOGLEFINANCE(C79, ""price"") * AVERAGE(QUERY(GOOGLEFINANCE(C79, ""volume"", TODAY()-40, TODAY()), ""SELECT Col2 WHERE Col2 IS NOT NULL "&amp;"ORDER BY Col1 DESC LIMIT 20"", 0))
    )
  ), 
"""")"),4985575.87)</f>
        <v>4985575.87</v>
      </c>
      <c r="K79" s="21">
        <f>IFERROR(__xludf.DUMMYFUNCTION("IFERROR(GOOGLEFINANCE(C79, ""changepct"") / 100, """")"),-0.0305)</f>
        <v>-0.0305</v>
      </c>
      <c r="L79" s="21" t="str">
        <f>IFERROR(__xludf.DUMMYFUNCTION("IFERROR((GOOGLEFINANCE(C79, ""price"") / INDEX(GOOGLEFINANCE(C79, ""price"", TODAY()-7, TODAY()), 2, 2)) - 1, """")"),"")</f>
        <v/>
      </c>
      <c r="M79" s="21" t="str">
        <f>IFERROR(__xludf.DUMMYFUNCTION("IFERROR((GOOGLEFINANCE(C79, ""price"") / INDEX(GOOGLEFINANCE(C79, ""price"", EDATE(TODAY(), -1), TODAY()), 2, 2)) - 1, """")"),"")</f>
        <v/>
      </c>
      <c r="N79" s="21" t="str">
        <f>IFERROR(__xludf.DUMMYFUNCTION("IFERROR((GOOGLEFINANCE(C79, ""price"") / INDEX(GOOGLEFINANCE(C79, ""price"", EDATE(TODAY(), -3), TODAY()), 2, 2)) - 1, """")"),"")</f>
        <v/>
      </c>
      <c r="O79" s="21" t="str">
        <f>IFERROR(__xludf.DUMMYFUNCTION("IFERROR((GOOGLEFINANCE(C79, ""price"") / INDEX(GOOGLEFINANCE(C79, ""price"", EDATE(TODAY(), -6), TODAY()), 2, 2)) - 1, """")"),"")</f>
        <v/>
      </c>
      <c r="P79" s="21" t="str">
        <f>IFERROR(__xludf.DUMMYFUNCTION("IFERROR((GOOGLEFINANCE(C79, ""price"") / INDEX(GOOGLEFINANCE(C79, ""price"", EDATE(TODAY(), -12), TODAY()), 2, 2)) - 1, """")"),"")</f>
        <v/>
      </c>
      <c r="Q79" s="6" t="str">
        <f>IFERROR(__xludf.DUMMYFUNCTION("AVERAGE(QUERY(GOOGLEFINANCE(C79, ""price"", TODAY()-80, TODAY()), ""SELECT Col2 WHERE Col2 IS NOT NULL ORDER BY Col1 DESC LIMIT 50"", 0))"),"#N/A")</f>
        <v>#N/A</v>
      </c>
      <c r="R79" s="24" t="str">
        <f>IFERROR(__xludf.DUMMYFUNCTION("IFERROR(
  LET(
    data, QUERY(GOOGLEFINANCE(C79,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GOOGLEFINANCE(C79, ""price"")) * 100,
    IF(calc=0, G79, calc)
  ), 
G79)"),"#N/A")</f>
        <v>#N/A</v>
      </c>
      <c r="S79" s="8" t="s">
        <v>15</v>
      </c>
      <c r="T79" s="26" t="str">
        <f>IFERROR(__xludf.DUMMYFUNCTION("IFERROR(TRANSPOSE(QUERY(IFERROR(SORT(GOOGLEFINANCE(C79, ""price"", WORKDAY(TODAY(), -40), TODAY()), 1, FALSE)), ""select Col2 where Col2 is not null limit 22 label Col2 ''"", 0)), """")"),"")</f>
        <v/>
      </c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8"/>
      <c r="AO79" s="28"/>
      <c r="AP79" s="29"/>
      <c r="AQ79" s="29" t="str">
        <f t="shared" ref="AQ79:BL79" si="82">T79/T$2</f>
        <v>#N/A</v>
      </c>
      <c r="AR79" s="29" t="str">
        <f t="shared" si="82"/>
        <v>#DIV/0!</v>
      </c>
      <c r="AS79" s="29" t="str">
        <f t="shared" si="82"/>
        <v>#DIV/0!</v>
      </c>
      <c r="AT79" s="29" t="str">
        <f t="shared" si="82"/>
        <v>#DIV/0!</v>
      </c>
      <c r="AU79" s="29" t="str">
        <f t="shared" si="82"/>
        <v>#DIV/0!</v>
      </c>
      <c r="AV79" s="29" t="str">
        <f t="shared" si="82"/>
        <v>#DIV/0!</v>
      </c>
      <c r="AW79" s="29" t="str">
        <f t="shared" si="82"/>
        <v>#DIV/0!</v>
      </c>
      <c r="AX79" s="29" t="str">
        <f t="shared" si="82"/>
        <v>#DIV/0!</v>
      </c>
      <c r="AY79" s="29" t="str">
        <f t="shared" si="82"/>
        <v>#DIV/0!</v>
      </c>
      <c r="AZ79" s="29" t="str">
        <f t="shared" si="82"/>
        <v>#DIV/0!</v>
      </c>
      <c r="BA79" s="29" t="str">
        <f t="shared" si="82"/>
        <v>#DIV/0!</v>
      </c>
      <c r="BB79" s="29" t="str">
        <f t="shared" si="82"/>
        <v>#DIV/0!</v>
      </c>
      <c r="BC79" s="29" t="str">
        <f t="shared" si="82"/>
        <v>#DIV/0!</v>
      </c>
      <c r="BD79" s="29" t="str">
        <f t="shared" si="82"/>
        <v>#DIV/0!</v>
      </c>
      <c r="BE79" s="29" t="str">
        <f t="shared" si="82"/>
        <v>#DIV/0!</v>
      </c>
      <c r="BF79" s="29" t="str">
        <f t="shared" si="82"/>
        <v>#DIV/0!</v>
      </c>
      <c r="BG79" s="29" t="str">
        <f t="shared" si="82"/>
        <v>#DIV/0!</v>
      </c>
      <c r="BH79" s="29" t="str">
        <f t="shared" si="82"/>
        <v>#DIV/0!</v>
      </c>
      <c r="BI79" s="29" t="str">
        <f t="shared" si="82"/>
        <v>#DIV/0!</v>
      </c>
      <c r="BJ79" s="29" t="str">
        <f t="shared" si="82"/>
        <v>#DIV/0!</v>
      </c>
      <c r="BK79" s="29" t="str">
        <f t="shared" si="82"/>
        <v>#DIV/0!</v>
      </c>
      <c r="BL79" s="29" t="str">
        <f t="shared" si="82"/>
        <v>#DIV/0!</v>
      </c>
      <c r="BM79" s="29" t="str">
        <f t="shared" si="3"/>
        <v>#DIV/0!</v>
      </c>
    </row>
    <row r="80">
      <c r="A80" s="16" t="str">
        <f>IFERROR(__xludf.DUMMYFUNCTION("IFERROR(SPARKLINE(SORT(MAP(TRANSPOSE(AQ80:BL80), LAMBDA(val, IF(ISNUMBER(val), PERCENTRANK(AQ80:BL80, val)+0.01, 0))), SEQUENCE(COLUMNS(AQ80:BL80)), FALSE), {""charttype"",""column""; ""color"",""chartreuse""; ""ymin"", 0; ""ymax"", 1.01; ""highcolor"", "&amp;"""darkgreen""; ""lowcolor"", ""red""}), """")"),"")</f>
        <v/>
      </c>
      <c r="B80" s="17" t="str">
        <f t="shared" si="4"/>
        <v/>
      </c>
      <c r="C80" s="1" t="s">
        <v>475</v>
      </c>
      <c r="D80" s="30" t="str">
        <f>IFERROR(__xludf.DUMMYFUNCTION("IFERROR(GOOGLEFINANCE(C80, ""NAME""))"),"Bumble Inc")</f>
        <v>Bumble Inc</v>
      </c>
      <c r="E80" s="30" t="s">
        <v>69</v>
      </c>
      <c r="F80" s="33" t="str">
        <f>IFERROR(__xludf.DUMMYFUNCTION("( (GOOGLEFINANCE(C80, ""price"") - Q80) / Q80 ) / (R80 / 100)"),"Loading...")</f>
        <v>Loading...</v>
      </c>
      <c r="G80" s="20" t="str">
        <f>IFERROR(__xludf.DUMMYFUNCTION("AVERAGE(ARRAYFORMULA(100 * (QUERY(GOOGLEFINANCE(C80, ""high"", TODAY()-40, TODAY()), ""SELECT Col2 WHERE Col2 IS NOT NULL ORDER BY Col1 DESC LIMIT 20"", 0) / QUERY(GOOGLEFINANCE(C80, ""low"", TODAY()-40, TODAY()), ""SELECT Col2 WHERE Col2 IS NOT NULL ORDE"&amp;"R BY Col1 DESC LIMIT 20"", 0) - 1)))"),"#N/A")</f>
        <v>#N/A</v>
      </c>
      <c r="H80" s="35" t="str">
        <f t="shared" si="6"/>
        <v>Liquid</v>
      </c>
      <c r="I80" s="36" t="str">
        <f t="shared" si="7"/>
        <v>RVol Required</v>
      </c>
      <c r="J80" s="37">
        <f>IFERROR(__xludf.DUMMYFUNCTION("IFERROR(
  IF(C80="""",, 
    IFERROR(
      GOOGLEFINANCE(C80, ""price"") * GOOGLEFINANCE(C80, ""volumeavg""), 
      GOOGLEFINANCE(C80, ""price"") * AVERAGE(QUERY(GOOGLEFINANCE(C80, ""volume"", TODAY()-40, TODAY()), ""SELECT Col2 WHERE Col2 IS NOT NULL "&amp;"ORDER BY Col1 DESC LIMIT 20"", 0))
    )
  ), 
"""")"),5.381266374E7)</f>
        <v>53812663.74</v>
      </c>
      <c r="K80" s="21">
        <f>IFERROR(__xludf.DUMMYFUNCTION("IFERROR(GOOGLEFINANCE(C80, ""changepct"") / 100, """")"),0.0017000000000000001)</f>
        <v>0.0017</v>
      </c>
      <c r="L80" s="21" t="str">
        <f>IFERROR(__xludf.DUMMYFUNCTION("IFERROR((GOOGLEFINANCE(C80, ""price"") / INDEX(GOOGLEFINANCE(C80, ""price"", TODAY()-7, TODAY()), 2, 2)) - 1, """")"),"")</f>
        <v/>
      </c>
      <c r="M80" s="21" t="str">
        <f>IFERROR(__xludf.DUMMYFUNCTION("IFERROR((GOOGLEFINANCE(C80, ""price"") / INDEX(GOOGLEFINANCE(C80, ""price"", EDATE(TODAY(), -1), TODAY()), 2, 2)) - 1, """")"),"")</f>
        <v/>
      </c>
      <c r="N80" s="21" t="str">
        <f>IFERROR(__xludf.DUMMYFUNCTION("IFERROR((GOOGLEFINANCE(C80, ""price"") / INDEX(GOOGLEFINANCE(C80, ""price"", EDATE(TODAY(), -3), TODAY()), 2, 2)) - 1, """")"),"")</f>
        <v/>
      </c>
      <c r="O80" s="21" t="str">
        <f>IFERROR(__xludf.DUMMYFUNCTION("IFERROR((GOOGLEFINANCE(C80, ""price"") / INDEX(GOOGLEFINANCE(C80, ""price"", EDATE(TODAY(), -6), TODAY()), 2, 2)) - 1, """")"),"")</f>
        <v/>
      </c>
      <c r="P80" s="21" t="str">
        <f>IFERROR(__xludf.DUMMYFUNCTION("IFERROR((GOOGLEFINANCE(C80, ""price"") / INDEX(GOOGLEFINANCE(C80, ""price"", EDATE(TODAY(), -12), TODAY()), 2, 2)) - 1, """")"),"")</f>
        <v/>
      </c>
      <c r="Q80" s="6" t="str">
        <f>IFERROR(__xludf.DUMMYFUNCTION("AVERAGE(QUERY(GOOGLEFINANCE(C80, ""price"", TODAY()-80, TODAY()), ""SELECT Col2 WHERE Col2 IS NOT NULL ORDER BY Col1 DESC LIMIT 50"", 0))"),"#N/A")</f>
        <v>#N/A</v>
      </c>
      <c r="R80" s="24" t="str">
        <f>IFERROR(__xludf.DUMMYFUNCTION("IFERROR(
  LET(
    data, QUERY(GOOGLEFINANCE(C80,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GOOGLEFINANCE(C80, ""price"")) * 100,
    IF(calc=0, G80, calc)
  ), 
G80)"),"#N/A")</f>
        <v>#N/A</v>
      </c>
      <c r="S80" s="8" t="s">
        <v>15</v>
      </c>
      <c r="T80" s="26" t="str">
        <f>IFERROR(__xludf.DUMMYFUNCTION("IFERROR(TRANSPOSE(QUERY(IFERROR(SORT(GOOGLEFINANCE(C80, ""price"", WORKDAY(TODAY(), -40), TODAY()), 1, FALSE)), ""select Col2 where Col2 is not null limit 22 label Col2 ''"", 0)), """")"),"")</f>
        <v/>
      </c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8"/>
      <c r="AO80" s="28"/>
      <c r="AP80" s="29"/>
      <c r="AQ80" s="29" t="str">
        <f t="shared" ref="AQ80:BL80" si="83">T80/T$2</f>
        <v>#N/A</v>
      </c>
      <c r="AR80" s="29" t="str">
        <f t="shared" si="83"/>
        <v>#DIV/0!</v>
      </c>
      <c r="AS80" s="29" t="str">
        <f t="shared" si="83"/>
        <v>#DIV/0!</v>
      </c>
      <c r="AT80" s="29" t="str">
        <f t="shared" si="83"/>
        <v>#DIV/0!</v>
      </c>
      <c r="AU80" s="29" t="str">
        <f t="shared" si="83"/>
        <v>#DIV/0!</v>
      </c>
      <c r="AV80" s="29" t="str">
        <f t="shared" si="83"/>
        <v>#DIV/0!</v>
      </c>
      <c r="AW80" s="29" t="str">
        <f t="shared" si="83"/>
        <v>#DIV/0!</v>
      </c>
      <c r="AX80" s="29" t="str">
        <f t="shared" si="83"/>
        <v>#DIV/0!</v>
      </c>
      <c r="AY80" s="29" t="str">
        <f t="shared" si="83"/>
        <v>#DIV/0!</v>
      </c>
      <c r="AZ80" s="29" t="str">
        <f t="shared" si="83"/>
        <v>#DIV/0!</v>
      </c>
      <c r="BA80" s="29" t="str">
        <f t="shared" si="83"/>
        <v>#DIV/0!</v>
      </c>
      <c r="BB80" s="29" t="str">
        <f t="shared" si="83"/>
        <v>#DIV/0!</v>
      </c>
      <c r="BC80" s="29" t="str">
        <f t="shared" si="83"/>
        <v>#DIV/0!</v>
      </c>
      <c r="BD80" s="29" t="str">
        <f t="shared" si="83"/>
        <v>#DIV/0!</v>
      </c>
      <c r="BE80" s="29" t="str">
        <f t="shared" si="83"/>
        <v>#DIV/0!</v>
      </c>
      <c r="BF80" s="29" t="str">
        <f t="shared" si="83"/>
        <v>#DIV/0!</v>
      </c>
      <c r="BG80" s="29" t="str">
        <f t="shared" si="83"/>
        <v>#DIV/0!</v>
      </c>
      <c r="BH80" s="29" t="str">
        <f t="shared" si="83"/>
        <v>#DIV/0!</v>
      </c>
      <c r="BI80" s="29" t="str">
        <f t="shared" si="83"/>
        <v>#DIV/0!</v>
      </c>
      <c r="BJ80" s="29" t="str">
        <f t="shared" si="83"/>
        <v>#DIV/0!</v>
      </c>
      <c r="BK80" s="29" t="str">
        <f t="shared" si="83"/>
        <v>#DIV/0!</v>
      </c>
      <c r="BL80" s="29" t="str">
        <f t="shared" si="83"/>
        <v>#DIV/0!</v>
      </c>
      <c r="BM80" s="29" t="str">
        <f t="shared" si="3"/>
        <v>#DIV/0!</v>
      </c>
    </row>
    <row r="81">
      <c r="A81" s="16" t="str">
        <f>IFERROR(__xludf.DUMMYFUNCTION("IFERROR(SPARKLINE(SORT(MAP(TRANSPOSE(AQ81:BL81), LAMBDA(val, IF(ISNUMBER(val), PERCENTRANK(AQ81:BL81, val)+0.01, 0))), SEQUENCE(COLUMNS(AQ81:BL81)), FALSE), {""charttype"",""column""; ""color"",""chartreuse""; ""ymin"", 0; ""ymax"", 1.01; ""highcolor"", "&amp;"""darkgreen""; ""lowcolor"", ""red""}), """")"),"")</f>
        <v/>
      </c>
      <c r="B81" s="17" t="str">
        <f t="shared" si="4"/>
        <v/>
      </c>
      <c r="C81" s="1" t="s">
        <v>480</v>
      </c>
      <c r="D81" s="30" t="str">
        <f>IFERROR(__xludf.DUMMYFUNCTION("IFERROR(GOOGLEFINANCE(C81, ""NAME""))"),"Telefonica Brasil SA")</f>
        <v>Telefonica Brasil SA</v>
      </c>
      <c r="E81" s="30" t="s">
        <v>52</v>
      </c>
      <c r="F81" s="38" t="str">
        <f>IFERROR(__xludf.DUMMYFUNCTION("( (GOOGLEFINANCE(C81, ""price"") - Q81) / Q81 ) / (R81 / 100)"),"Loading...")</f>
        <v>Loading...</v>
      </c>
      <c r="G81" s="20" t="str">
        <f>IFERROR(__xludf.DUMMYFUNCTION("AVERAGE(ARRAYFORMULA(100 * (QUERY(GOOGLEFINANCE(C81, ""high"", TODAY()-40, TODAY()), ""SELECT Col2 WHERE Col2 IS NOT NULL ORDER BY Col1 DESC LIMIT 20"", 0) / QUERY(GOOGLEFINANCE(C81, ""low"", TODAY()-40, TODAY()), ""SELECT Col2 WHERE Col2 IS NOT NULL ORDE"&amp;"R BY Col1 DESC LIMIT 20"", 0) - 1)))"),"#N/A")</f>
        <v>#N/A</v>
      </c>
      <c r="H81" s="35" t="str">
        <f t="shared" si="6"/>
        <v>Illiquid</v>
      </c>
      <c r="I81" s="36" t="str">
        <f t="shared" si="7"/>
        <v>RVol Required</v>
      </c>
      <c r="J81" s="37">
        <f>IFERROR(__xludf.DUMMYFUNCTION("IFERROR(
  IF(C81="""",, 
    IFERROR(
      GOOGLEFINANCE(C81, ""price"") * GOOGLEFINANCE(C81, ""volumeavg""), 
      GOOGLEFINANCE(C81, ""price"") * AVERAGE(QUERY(GOOGLEFINANCE(C81, ""volume"", TODAY()-40, TODAY()), ""SELECT Col2 WHERE Col2 IS NOT NULL "&amp;"ORDER BY Col1 DESC LIMIT 20"", 0))
    )
  ), 
"""")"),1.824039315E7)</f>
        <v>18240393.15</v>
      </c>
      <c r="K81" s="21">
        <f>IFERROR(__xludf.DUMMYFUNCTION("IFERROR(GOOGLEFINANCE(C81, ""changepct"") / 100, """")"),0.0204)</f>
        <v>0.0204</v>
      </c>
      <c r="L81" s="21" t="str">
        <f>IFERROR(__xludf.DUMMYFUNCTION("IFERROR((GOOGLEFINANCE(C81, ""price"") / INDEX(GOOGLEFINANCE(C81, ""price"", TODAY()-7, TODAY()), 2, 2)) - 1, """")"),"")</f>
        <v/>
      </c>
      <c r="M81" s="21" t="str">
        <f>IFERROR(__xludf.DUMMYFUNCTION("IFERROR((GOOGLEFINANCE(C81, ""price"") / INDEX(GOOGLEFINANCE(C81, ""price"", EDATE(TODAY(), -1), TODAY()), 2, 2)) - 1, """")"),"")</f>
        <v/>
      </c>
      <c r="N81" s="21" t="str">
        <f>IFERROR(__xludf.DUMMYFUNCTION("IFERROR((GOOGLEFINANCE(C81, ""price"") / INDEX(GOOGLEFINANCE(C81, ""price"", EDATE(TODAY(), -3), TODAY()), 2, 2)) - 1, """")"),"")</f>
        <v/>
      </c>
      <c r="O81" s="21" t="str">
        <f>IFERROR(__xludf.DUMMYFUNCTION("IFERROR((GOOGLEFINANCE(C81, ""price"") / INDEX(GOOGLEFINANCE(C81, ""price"", EDATE(TODAY(), -6), TODAY()), 2, 2)) - 1, """")"),"")</f>
        <v/>
      </c>
      <c r="P81" s="21" t="str">
        <f>IFERROR(__xludf.DUMMYFUNCTION("IFERROR((GOOGLEFINANCE(C81, ""price"") / INDEX(GOOGLEFINANCE(C81, ""price"", EDATE(TODAY(), -12), TODAY()), 2, 2)) - 1, """")"),"")</f>
        <v/>
      </c>
      <c r="Q81" s="6" t="str">
        <f>IFERROR(__xludf.DUMMYFUNCTION("AVERAGE(QUERY(GOOGLEFINANCE(C81, ""price"", TODAY()-80, TODAY()), ""SELECT Col2 WHERE Col2 IS NOT NULL ORDER BY Col1 DESC LIMIT 50"", 0))"),"#N/A")</f>
        <v>#N/A</v>
      </c>
      <c r="R81" s="24" t="str">
        <f>IFERROR(__xludf.DUMMYFUNCTION("IFERROR(
  LET(
    data, QUERY(GOOGLEFINANCE(C81,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GOOGLEFINANCE(C81, ""price"")) * 100,
    IF(calc=0, G81, calc)
  ), 
G81)"),"#N/A")</f>
        <v>#N/A</v>
      </c>
      <c r="S81" s="8" t="s">
        <v>15</v>
      </c>
      <c r="T81" s="26" t="str">
        <f>IFERROR(__xludf.DUMMYFUNCTION("IFERROR(TRANSPOSE(QUERY(IFERROR(SORT(GOOGLEFINANCE(C81, ""price"", WORKDAY(TODAY(), -40), TODAY()), 1, FALSE)), ""select Col2 where Col2 is not null limit 22 label Col2 ''"", 0)), """")"),"")</f>
        <v/>
      </c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8"/>
      <c r="AO81" s="28"/>
      <c r="AP81" s="29"/>
      <c r="AQ81" s="29" t="str">
        <f t="shared" ref="AQ81:BL81" si="84">T81/T$2</f>
        <v>#N/A</v>
      </c>
      <c r="AR81" s="29" t="str">
        <f t="shared" si="84"/>
        <v>#DIV/0!</v>
      </c>
      <c r="AS81" s="29" t="str">
        <f t="shared" si="84"/>
        <v>#DIV/0!</v>
      </c>
      <c r="AT81" s="29" t="str">
        <f t="shared" si="84"/>
        <v>#DIV/0!</v>
      </c>
      <c r="AU81" s="29" t="str">
        <f t="shared" si="84"/>
        <v>#DIV/0!</v>
      </c>
      <c r="AV81" s="29" t="str">
        <f t="shared" si="84"/>
        <v>#DIV/0!</v>
      </c>
      <c r="AW81" s="29" t="str">
        <f t="shared" si="84"/>
        <v>#DIV/0!</v>
      </c>
      <c r="AX81" s="29" t="str">
        <f t="shared" si="84"/>
        <v>#DIV/0!</v>
      </c>
      <c r="AY81" s="29" t="str">
        <f t="shared" si="84"/>
        <v>#DIV/0!</v>
      </c>
      <c r="AZ81" s="29" t="str">
        <f t="shared" si="84"/>
        <v>#DIV/0!</v>
      </c>
      <c r="BA81" s="29" t="str">
        <f t="shared" si="84"/>
        <v>#DIV/0!</v>
      </c>
      <c r="BB81" s="29" t="str">
        <f t="shared" si="84"/>
        <v>#DIV/0!</v>
      </c>
      <c r="BC81" s="29" t="str">
        <f t="shared" si="84"/>
        <v>#DIV/0!</v>
      </c>
      <c r="BD81" s="29" t="str">
        <f t="shared" si="84"/>
        <v>#DIV/0!</v>
      </c>
      <c r="BE81" s="29" t="str">
        <f t="shared" si="84"/>
        <v>#DIV/0!</v>
      </c>
      <c r="BF81" s="29" t="str">
        <f t="shared" si="84"/>
        <v>#DIV/0!</v>
      </c>
      <c r="BG81" s="29" t="str">
        <f t="shared" si="84"/>
        <v>#DIV/0!</v>
      </c>
      <c r="BH81" s="29" t="str">
        <f t="shared" si="84"/>
        <v>#DIV/0!</v>
      </c>
      <c r="BI81" s="29" t="str">
        <f t="shared" si="84"/>
        <v>#DIV/0!</v>
      </c>
      <c r="BJ81" s="29" t="str">
        <f t="shared" si="84"/>
        <v>#DIV/0!</v>
      </c>
      <c r="BK81" s="29" t="str">
        <f t="shared" si="84"/>
        <v>#DIV/0!</v>
      </c>
      <c r="BL81" s="29" t="str">
        <f t="shared" si="84"/>
        <v>#DIV/0!</v>
      </c>
      <c r="BM81" s="29" t="str">
        <f t="shared" si="3"/>
        <v>#DIV/0!</v>
      </c>
    </row>
    <row r="82">
      <c r="A82" s="16" t="str">
        <f>IFERROR(__xludf.DUMMYFUNCTION("IFERROR(SPARKLINE(SORT(MAP(TRANSPOSE(AQ82:BL82), LAMBDA(val, IF(ISNUMBER(val), PERCENTRANK(AQ82:BL82, val)+0.01, 0))), SEQUENCE(COLUMNS(AQ82:BL82)), FALSE), {""charttype"",""column""; ""color"",""chartreuse""; ""ymin"", 0; ""ymax"", 1.01; ""highcolor"", "&amp;"""darkgreen""; ""lowcolor"", ""red""}), """")"),"")</f>
        <v/>
      </c>
      <c r="B82" s="17" t="str">
        <f t="shared" si="4"/>
        <v/>
      </c>
      <c r="C82" s="1" t="s">
        <v>485</v>
      </c>
      <c r="D82" s="30" t="str">
        <f>IFERROR(__xludf.DUMMYFUNCTION("IFERROR(GOOGLEFINANCE(C82, ""NAME""))"),"Alliance Entertainment Holding Corp")</f>
        <v>Alliance Entertainment Holding Corp</v>
      </c>
      <c r="E82" s="30" t="s">
        <v>62</v>
      </c>
      <c r="F82" s="33" t="str">
        <f>IFERROR(__xludf.DUMMYFUNCTION("( (GOOGLEFINANCE(C82, ""price"") - Q82) / Q82 ) / (R82 / 100)"),"Loading...")</f>
        <v>Loading...</v>
      </c>
      <c r="G82" s="20" t="str">
        <f>IFERROR(__xludf.DUMMYFUNCTION("AVERAGE(ARRAYFORMULA(100 * (QUERY(GOOGLEFINANCE(C82, ""high"", TODAY()-40, TODAY()), ""SELECT Col2 WHERE Col2 IS NOT NULL ORDER BY Col1 DESC LIMIT 20"", 0) / QUERY(GOOGLEFINANCE(C82, ""low"", TODAY()-40, TODAY()), ""SELECT Col2 WHERE Col2 IS NOT NULL ORDE"&amp;"R BY Col1 DESC LIMIT 20"", 0) - 1)))"),"#N/A")</f>
        <v>#N/A</v>
      </c>
      <c r="H82" s="35" t="str">
        <f t="shared" si="6"/>
        <v>Illiquid</v>
      </c>
      <c r="I82" s="36" t="str">
        <f t="shared" si="7"/>
        <v>RVol Required</v>
      </c>
      <c r="J82" s="37">
        <f>IFERROR(__xludf.DUMMYFUNCTION("IFERROR(
  IF(C82="""",, 
    IFERROR(
      GOOGLEFINANCE(C82, ""price"") * GOOGLEFINANCE(C82, ""volumeavg""), 
      GOOGLEFINANCE(C82, ""price"") * AVERAGE(QUERY(GOOGLEFINANCE(C82, ""volume"", TODAY()-40, TODAY()), ""SELECT Col2 WHERE Col2 IS NOT NULL "&amp;"ORDER BY Col1 DESC LIMIT 20"", 0))
    )
  ), 
"""")"),1450683.0)</f>
        <v>1450683</v>
      </c>
      <c r="K82" s="21">
        <f>IFERROR(__xludf.DUMMYFUNCTION("IFERROR(GOOGLEFINANCE(C82, ""changepct"") / 100, """")"),-0.0088)</f>
        <v>-0.0088</v>
      </c>
      <c r="L82" s="21" t="str">
        <f>IFERROR(__xludf.DUMMYFUNCTION("IFERROR((GOOGLEFINANCE(C82, ""price"") / INDEX(GOOGLEFINANCE(C82, ""price"", TODAY()-7, TODAY()), 2, 2)) - 1, """")"),"")</f>
        <v/>
      </c>
      <c r="M82" s="21" t="str">
        <f>IFERROR(__xludf.DUMMYFUNCTION("IFERROR((GOOGLEFINANCE(C82, ""price"") / INDEX(GOOGLEFINANCE(C82, ""price"", EDATE(TODAY(), -1), TODAY()), 2, 2)) - 1, """")"),"")</f>
        <v/>
      </c>
      <c r="N82" s="21" t="str">
        <f>IFERROR(__xludf.DUMMYFUNCTION("IFERROR((GOOGLEFINANCE(C82, ""price"") / INDEX(GOOGLEFINANCE(C82, ""price"", EDATE(TODAY(), -3), TODAY()), 2, 2)) - 1, """")"),"")</f>
        <v/>
      </c>
      <c r="O82" s="21" t="str">
        <f>IFERROR(__xludf.DUMMYFUNCTION("IFERROR((GOOGLEFINANCE(C82, ""price"") / INDEX(GOOGLEFINANCE(C82, ""price"", EDATE(TODAY(), -6), TODAY()), 2, 2)) - 1, """")"),"")</f>
        <v/>
      </c>
      <c r="P82" s="21" t="str">
        <f>IFERROR(__xludf.DUMMYFUNCTION("IFERROR((GOOGLEFINANCE(C82, ""price"") / INDEX(GOOGLEFINANCE(C82, ""price"", EDATE(TODAY(), -12), TODAY()), 2, 2)) - 1, """")"),"")</f>
        <v/>
      </c>
      <c r="Q82" s="6" t="str">
        <f>IFERROR(__xludf.DUMMYFUNCTION("AVERAGE(QUERY(GOOGLEFINANCE(C82, ""price"", TODAY()-80, TODAY()), ""SELECT Col2 WHERE Col2 IS NOT NULL ORDER BY Col1 DESC LIMIT 50"", 0))"),"#N/A")</f>
        <v>#N/A</v>
      </c>
      <c r="R82" s="24" t="str">
        <f>IFERROR(__xludf.DUMMYFUNCTION("IFERROR(
  LET(
    data, QUERY(GOOGLEFINANCE(C82,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GOOGLEFINANCE(C82, ""price"")) * 100,
    IF(calc=0, G82, calc)
  ), 
G82)"),"#N/A")</f>
        <v>#N/A</v>
      </c>
      <c r="S82" s="8" t="s">
        <v>15</v>
      </c>
      <c r="T82" s="26" t="str">
        <f>IFERROR(__xludf.DUMMYFUNCTION("IFERROR(TRANSPOSE(QUERY(IFERROR(SORT(GOOGLEFINANCE(C82, ""price"", WORKDAY(TODAY(), -40), TODAY()), 1, FALSE)), ""select Col2 where Col2 is not null limit 22 label Col2 ''"", 0)), """")"),"")</f>
        <v/>
      </c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8"/>
      <c r="AO82" s="28"/>
      <c r="AP82" s="29"/>
      <c r="AQ82" s="29" t="str">
        <f t="shared" ref="AQ82:BL82" si="85">T82/T$2</f>
        <v>#N/A</v>
      </c>
      <c r="AR82" s="29" t="str">
        <f t="shared" si="85"/>
        <v>#DIV/0!</v>
      </c>
      <c r="AS82" s="29" t="str">
        <f t="shared" si="85"/>
        <v>#DIV/0!</v>
      </c>
      <c r="AT82" s="29" t="str">
        <f t="shared" si="85"/>
        <v>#DIV/0!</v>
      </c>
      <c r="AU82" s="29" t="str">
        <f t="shared" si="85"/>
        <v>#DIV/0!</v>
      </c>
      <c r="AV82" s="29" t="str">
        <f t="shared" si="85"/>
        <v>#DIV/0!</v>
      </c>
      <c r="AW82" s="29" t="str">
        <f t="shared" si="85"/>
        <v>#DIV/0!</v>
      </c>
      <c r="AX82" s="29" t="str">
        <f t="shared" si="85"/>
        <v>#DIV/0!</v>
      </c>
      <c r="AY82" s="29" t="str">
        <f t="shared" si="85"/>
        <v>#DIV/0!</v>
      </c>
      <c r="AZ82" s="29" t="str">
        <f t="shared" si="85"/>
        <v>#DIV/0!</v>
      </c>
      <c r="BA82" s="29" t="str">
        <f t="shared" si="85"/>
        <v>#DIV/0!</v>
      </c>
      <c r="BB82" s="29" t="str">
        <f t="shared" si="85"/>
        <v>#DIV/0!</v>
      </c>
      <c r="BC82" s="29" t="str">
        <f t="shared" si="85"/>
        <v>#DIV/0!</v>
      </c>
      <c r="BD82" s="29" t="str">
        <f t="shared" si="85"/>
        <v>#DIV/0!</v>
      </c>
      <c r="BE82" s="29" t="str">
        <f t="shared" si="85"/>
        <v>#DIV/0!</v>
      </c>
      <c r="BF82" s="29" t="str">
        <f t="shared" si="85"/>
        <v>#DIV/0!</v>
      </c>
      <c r="BG82" s="29" t="str">
        <f t="shared" si="85"/>
        <v>#DIV/0!</v>
      </c>
      <c r="BH82" s="29" t="str">
        <f t="shared" si="85"/>
        <v>#DIV/0!</v>
      </c>
      <c r="BI82" s="29" t="str">
        <f t="shared" si="85"/>
        <v>#DIV/0!</v>
      </c>
      <c r="BJ82" s="29" t="str">
        <f t="shared" si="85"/>
        <v>#DIV/0!</v>
      </c>
      <c r="BK82" s="29" t="str">
        <f t="shared" si="85"/>
        <v>#DIV/0!</v>
      </c>
      <c r="BL82" s="29" t="str">
        <f t="shared" si="85"/>
        <v>#DIV/0!</v>
      </c>
      <c r="BM82" s="29" t="str">
        <f t="shared" si="3"/>
        <v>#DIV/0!</v>
      </c>
    </row>
    <row r="83">
      <c r="A83" s="16" t="str">
        <f>IFERROR(__xludf.DUMMYFUNCTION("IFERROR(SPARKLINE(SORT(MAP(TRANSPOSE(AQ83:BL83), LAMBDA(val, IF(ISNUMBER(val), PERCENTRANK(AQ83:BL83, val)+0.01, 0))), SEQUENCE(COLUMNS(AQ83:BL83)), FALSE), {""charttype"",""column""; ""color"",""chartreuse""; ""ymin"", 0; ""ymax"", 1.01; ""highcolor"", "&amp;"""darkgreen""; ""lowcolor"", ""red""}), """")"),"")</f>
        <v/>
      </c>
      <c r="B83" s="17" t="str">
        <f t="shared" si="4"/>
        <v/>
      </c>
      <c r="C83" s="1" t="s">
        <v>489</v>
      </c>
      <c r="D83" s="30" t="str">
        <f>IFERROR(__xludf.DUMMYFUNCTION("IFERROR(GOOGLEFINANCE(C83, ""NAME""))"),"Millicom International Cellular SA")</f>
        <v>Millicom International Cellular SA</v>
      </c>
      <c r="E83" s="30" t="s">
        <v>52</v>
      </c>
      <c r="F83" s="33" t="str">
        <f>IFERROR(__xludf.DUMMYFUNCTION("( (GOOGLEFINANCE(C83, ""price"") - Q83) / Q83 ) / (R83 / 100)"),"Loading...")</f>
        <v>Loading...</v>
      </c>
      <c r="G83" s="20" t="str">
        <f>IFERROR(__xludf.DUMMYFUNCTION("AVERAGE(ARRAYFORMULA(100 * (QUERY(GOOGLEFINANCE(C83, ""high"", TODAY()-40, TODAY()), ""SELECT Col2 WHERE Col2 IS NOT NULL ORDER BY Col1 DESC LIMIT 20"", 0) / QUERY(GOOGLEFINANCE(C83, ""low"", TODAY()-40, TODAY()), ""SELECT Col2 WHERE Col2 IS NOT NULL ORDE"&amp;"R BY Col1 DESC LIMIT 20"", 0) - 1)))"),"#N/A")</f>
        <v>#N/A</v>
      </c>
      <c r="H83" s="35" t="str">
        <f t="shared" si="6"/>
        <v>Liquid</v>
      </c>
      <c r="I83" s="36" t="str">
        <f t="shared" si="7"/>
        <v>RVol Required</v>
      </c>
      <c r="J83" s="37">
        <f>IFERROR(__xludf.DUMMYFUNCTION("IFERROR(
  IF(C83="""",, 
    IFERROR(
      GOOGLEFINANCE(C83, ""price"") * GOOGLEFINANCE(C83, ""volumeavg""), 
      GOOGLEFINANCE(C83, ""price"") * AVERAGE(QUERY(GOOGLEFINANCE(C83, ""volume"", TODAY()-40, TODAY()), ""SELECT Col2 WHERE Col2 IS NOT NULL "&amp;"ORDER BY Col1 DESC LIMIT 20"", 0))
    )
  ), 
"""")"),7.73152239E7)</f>
        <v>77315223.9</v>
      </c>
      <c r="K83" s="21">
        <f>IFERROR(__xludf.DUMMYFUNCTION("IFERROR(GOOGLEFINANCE(C83, ""changepct"") / 100, """")"),0.0097)</f>
        <v>0.0097</v>
      </c>
      <c r="L83" s="21" t="str">
        <f>IFERROR(__xludf.DUMMYFUNCTION("IFERROR((GOOGLEFINANCE(C83, ""price"") / INDEX(GOOGLEFINANCE(C83, ""price"", TODAY()-7, TODAY()), 2, 2)) - 1, """")"),"")</f>
        <v/>
      </c>
      <c r="M83" s="21" t="str">
        <f>IFERROR(__xludf.DUMMYFUNCTION("IFERROR((GOOGLEFINANCE(C83, ""price"") / INDEX(GOOGLEFINANCE(C83, ""price"", EDATE(TODAY(), -1), TODAY()), 2, 2)) - 1, """")"),"")</f>
        <v/>
      </c>
      <c r="N83" s="21" t="str">
        <f>IFERROR(__xludf.DUMMYFUNCTION("IFERROR((GOOGLEFINANCE(C83, ""price"") / INDEX(GOOGLEFINANCE(C83, ""price"", EDATE(TODAY(), -3), TODAY()), 2, 2)) - 1, """")"),"")</f>
        <v/>
      </c>
      <c r="O83" s="21" t="str">
        <f>IFERROR(__xludf.DUMMYFUNCTION("IFERROR((GOOGLEFINANCE(C83, ""price"") / INDEX(GOOGLEFINANCE(C83, ""price"", EDATE(TODAY(), -6), TODAY()), 2, 2)) - 1, """")"),"")</f>
        <v/>
      </c>
      <c r="P83" s="21" t="str">
        <f>IFERROR(__xludf.DUMMYFUNCTION("IFERROR((GOOGLEFINANCE(C83, ""price"") / INDEX(GOOGLEFINANCE(C83, ""price"", EDATE(TODAY(), -12), TODAY()), 2, 2)) - 1, """")"),"")</f>
        <v/>
      </c>
      <c r="Q83" s="6" t="str">
        <f>IFERROR(__xludf.DUMMYFUNCTION("AVERAGE(QUERY(GOOGLEFINANCE(C83, ""price"", TODAY()-80, TODAY()), ""SELECT Col2 WHERE Col2 IS NOT NULL ORDER BY Col1 DESC LIMIT 50"", 0))"),"#N/A")</f>
        <v>#N/A</v>
      </c>
      <c r="R83" s="24" t="str">
        <f>IFERROR(__xludf.DUMMYFUNCTION("IFERROR(
  LET(
    data, QUERY(GOOGLEFINANCE(C83,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GOOGLEFINANCE(C83, ""price"")) * 100,
    IF(calc=0, G83, calc)
  ), 
G83)"),"#N/A")</f>
        <v>#N/A</v>
      </c>
      <c r="S83" s="8" t="s">
        <v>15</v>
      </c>
      <c r="T83" s="26" t="str">
        <f>IFERROR(__xludf.DUMMYFUNCTION("IFERROR(TRANSPOSE(QUERY(IFERROR(SORT(GOOGLEFINANCE(C83, ""price"", WORKDAY(TODAY(), -40), TODAY()), 1, FALSE)), ""select Col2 where Col2 is not null limit 22 label Col2 ''"", 0)), """")"),"")</f>
        <v/>
      </c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8"/>
      <c r="AO83" s="28"/>
      <c r="AP83" s="29"/>
      <c r="AQ83" s="29" t="str">
        <f t="shared" ref="AQ83:BL83" si="86">T83/T$2</f>
        <v>#N/A</v>
      </c>
      <c r="AR83" s="29" t="str">
        <f t="shared" si="86"/>
        <v>#DIV/0!</v>
      </c>
      <c r="AS83" s="29" t="str">
        <f t="shared" si="86"/>
        <v>#DIV/0!</v>
      </c>
      <c r="AT83" s="29" t="str">
        <f t="shared" si="86"/>
        <v>#DIV/0!</v>
      </c>
      <c r="AU83" s="29" t="str">
        <f t="shared" si="86"/>
        <v>#DIV/0!</v>
      </c>
      <c r="AV83" s="29" t="str">
        <f t="shared" si="86"/>
        <v>#DIV/0!</v>
      </c>
      <c r="AW83" s="29" t="str">
        <f t="shared" si="86"/>
        <v>#DIV/0!</v>
      </c>
      <c r="AX83" s="29" t="str">
        <f t="shared" si="86"/>
        <v>#DIV/0!</v>
      </c>
      <c r="AY83" s="29" t="str">
        <f t="shared" si="86"/>
        <v>#DIV/0!</v>
      </c>
      <c r="AZ83" s="29" t="str">
        <f t="shared" si="86"/>
        <v>#DIV/0!</v>
      </c>
      <c r="BA83" s="29" t="str">
        <f t="shared" si="86"/>
        <v>#DIV/0!</v>
      </c>
      <c r="BB83" s="29" t="str">
        <f t="shared" si="86"/>
        <v>#DIV/0!</v>
      </c>
      <c r="BC83" s="29" t="str">
        <f t="shared" si="86"/>
        <v>#DIV/0!</v>
      </c>
      <c r="BD83" s="29" t="str">
        <f t="shared" si="86"/>
        <v>#DIV/0!</v>
      </c>
      <c r="BE83" s="29" t="str">
        <f t="shared" si="86"/>
        <v>#DIV/0!</v>
      </c>
      <c r="BF83" s="29" t="str">
        <f t="shared" si="86"/>
        <v>#DIV/0!</v>
      </c>
      <c r="BG83" s="29" t="str">
        <f t="shared" si="86"/>
        <v>#DIV/0!</v>
      </c>
      <c r="BH83" s="29" t="str">
        <f t="shared" si="86"/>
        <v>#DIV/0!</v>
      </c>
      <c r="BI83" s="29" t="str">
        <f t="shared" si="86"/>
        <v>#DIV/0!</v>
      </c>
      <c r="BJ83" s="29" t="str">
        <f t="shared" si="86"/>
        <v>#DIV/0!</v>
      </c>
      <c r="BK83" s="29" t="str">
        <f t="shared" si="86"/>
        <v>#DIV/0!</v>
      </c>
      <c r="BL83" s="29" t="str">
        <f t="shared" si="86"/>
        <v>#DIV/0!</v>
      </c>
      <c r="BM83" s="29" t="str">
        <f t="shared" si="3"/>
        <v>#DIV/0!</v>
      </c>
    </row>
    <row r="84">
      <c r="A84" s="16" t="str">
        <f>IFERROR(__xludf.DUMMYFUNCTION("IFERROR(SPARKLINE(SORT(MAP(TRANSPOSE(AQ84:BL84), LAMBDA(val, IF(ISNUMBER(val), PERCENTRANK(AQ84:BL84, val)+0.01, 0))), SEQUENCE(COLUMNS(AQ84:BL84)), FALSE), {""charttype"",""column""; ""color"",""chartreuse""; ""ymin"", 0; ""ymax"", 1.01; ""highcolor"", "&amp;"""darkgreen""; ""lowcolor"", ""red""}), """")"),"")</f>
        <v/>
      </c>
      <c r="B84" s="17" t="str">
        <f t="shared" si="4"/>
        <v/>
      </c>
      <c r="C84" s="1" t="s">
        <v>495</v>
      </c>
      <c r="D84" s="30" t="str">
        <f>IFERROR(__xludf.DUMMYFUNCTION("IFERROR(GOOGLEFINANCE(C84, ""NAME""))"),"Grupo Televisa SAB ADR")</f>
        <v>Grupo Televisa SAB ADR</v>
      </c>
      <c r="E84" s="30" t="s">
        <v>52</v>
      </c>
      <c r="F84" s="33" t="str">
        <f>IFERROR(__xludf.DUMMYFUNCTION("( (GOOGLEFINANCE(C84, ""price"") - Q84) / Q84 ) / (R84 / 100)"),"Loading...")</f>
        <v>Loading...</v>
      </c>
      <c r="G84" s="20" t="str">
        <f>IFERROR(__xludf.DUMMYFUNCTION("AVERAGE(ARRAYFORMULA(100 * (QUERY(GOOGLEFINANCE(C84, ""high"", TODAY()-40, TODAY()), ""SELECT Col2 WHERE Col2 IS NOT NULL ORDER BY Col1 DESC LIMIT 20"", 0) / QUERY(GOOGLEFINANCE(C84, ""low"", TODAY()-40, TODAY()), ""SELECT Col2 WHERE Col2 IS NOT NULL ORDE"&amp;"R BY Col1 DESC LIMIT 20"", 0) - 1)))"),"#N/A")</f>
        <v>#N/A</v>
      </c>
      <c r="H84" s="35" t="str">
        <f t="shared" si="6"/>
        <v>Illiquid</v>
      </c>
      <c r="I84" s="36" t="str">
        <f t="shared" si="7"/>
        <v>RVol Required</v>
      </c>
      <c r="J84" s="37">
        <f>IFERROR(__xludf.DUMMYFUNCTION("IFERROR(
  IF(C84="""",, 
    IFERROR(
      GOOGLEFINANCE(C84, ""price"") * GOOGLEFINANCE(C84, ""volumeavg""), 
      GOOGLEFINANCE(C84, ""price"") * AVERAGE(QUERY(GOOGLEFINANCE(C84, ""volume"", TODAY()-40, TODAY()), ""SELECT Col2 WHERE Col2 IS NOT NULL "&amp;"ORDER BY Col1 DESC LIMIT 20"", 0))
    )
  ), 
"""")"),3769901.72)</f>
        <v>3769901.72</v>
      </c>
      <c r="K84" s="21">
        <f>IFERROR(__xludf.DUMMYFUNCTION("IFERROR(GOOGLEFINANCE(C84, ""changepct"") / 100, """")"),0.0123)</f>
        <v>0.0123</v>
      </c>
      <c r="L84" s="21" t="str">
        <f>IFERROR(__xludf.DUMMYFUNCTION("IFERROR((GOOGLEFINANCE(C84, ""price"") / INDEX(GOOGLEFINANCE(C84, ""price"", TODAY()-7, TODAY()), 2, 2)) - 1, """")"),"")</f>
        <v/>
      </c>
      <c r="M84" s="21" t="str">
        <f>IFERROR(__xludf.DUMMYFUNCTION("IFERROR((GOOGLEFINANCE(C84, ""price"") / INDEX(GOOGLEFINANCE(C84, ""price"", EDATE(TODAY(), -1), TODAY()), 2, 2)) - 1, """")"),"")</f>
        <v/>
      </c>
      <c r="N84" s="21" t="str">
        <f>IFERROR(__xludf.DUMMYFUNCTION("IFERROR((GOOGLEFINANCE(C84, ""price"") / INDEX(GOOGLEFINANCE(C84, ""price"", EDATE(TODAY(), -3), TODAY()), 2, 2)) - 1, """")"),"")</f>
        <v/>
      </c>
      <c r="O84" s="21" t="str">
        <f>IFERROR(__xludf.DUMMYFUNCTION("IFERROR((GOOGLEFINANCE(C84, ""price"") / INDEX(GOOGLEFINANCE(C84, ""price"", EDATE(TODAY(), -6), TODAY()), 2, 2)) - 1, """")"),"")</f>
        <v/>
      </c>
      <c r="P84" s="21" t="str">
        <f>IFERROR(__xludf.DUMMYFUNCTION("IFERROR((GOOGLEFINANCE(C84, ""price"") / INDEX(GOOGLEFINANCE(C84, ""price"", EDATE(TODAY(), -12), TODAY()), 2, 2)) - 1, """")"),"")</f>
        <v/>
      </c>
      <c r="Q84" s="6" t="str">
        <f>IFERROR(__xludf.DUMMYFUNCTION("AVERAGE(QUERY(GOOGLEFINANCE(C84, ""price"", TODAY()-80, TODAY()), ""SELECT Col2 WHERE Col2 IS NOT NULL ORDER BY Col1 DESC LIMIT 50"", 0))"),"#N/A")</f>
        <v>#N/A</v>
      </c>
      <c r="R84" s="24" t="str">
        <f>IFERROR(__xludf.DUMMYFUNCTION("IFERROR(
  LET(
    data, QUERY(GOOGLEFINANCE(C84,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GOOGLEFINANCE(C84, ""price"")) * 100,
    IF(calc=0, G84, calc)
  ), 
G84)"),"#N/A")</f>
        <v>#N/A</v>
      </c>
      <c r="S84" s="8" t="s">
        <v>15</v>
      </c>
      <c r="T84" s="26" t="str">
        <f>IFERROR(__xludf.DUMMYFUNCTION("IFERROR(TRANSPOSE(QUERY(IFERROR(SORT(GOOGLEFINANCE(C84, ""price"", WORKDAY(TODAY(), -40), TODAY()), 1, FALSE)), ""select Col2 where Col2 is not null limit 22 label Col2 ''"", 0)), """")"),"")</f>
        <v/>
      </c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8"/>
      <c r="AO84" s="28"/>
      <c r="AP84" s="29"/>
      <c r="AQ84" s="29" t="str">
        <f t="shared" ref="AQ84:BL84" si="87">T84/T$2</f>
        <v>#N/A</v>
      </c>
      <c r="AR84" s="29" t="str">
        <f t="shared" si="87"/>
        <v>#DIV/0!</v>
      </c>
      <c r="AS84" s="29" t="str">
        <f t="shared" si="87"/>
        <v>#DIV/0!</v>
      </c>
      <c r="AT84" s="29" t="str">
        <f t="shared" si="87"/>
        <v>#DIV/0!</v>
      </c>
      <c r="AU84" s="29" t="str">
        <f t="shared" si="87"/>
        <v>#DIV/0!</v>
      </c>
      <c r="AV84" s="29" t="str">
        <f t="shared" si="87"/>
        <v>#DIV/0!</v>
      </c>
      <c r="AW84" s="29" t="str">
        <f t="shared" si="87"/>
        <v>#DIV/0!</v>
      </c>
      <c r="AX84" s="29" t="str">
        <f t="shared" si="87"/>
        <v>#DIV/0!</v>
      </c>
      <c r="AY84" s="29" t="str">
        <f t="shared" si="87"/>
        <v>#DIV/0!</v>
      </c>
      <c r="AZ84" s="29" t="str">
        <f t="shared" si="87"/>
        <v>#DIV/0!</v>
      </c>
      <c r="BA84" s="29" t="str">
        <f t="shared" si="87"/>
        <v>#DIV/0!</v>
      </c>
      <c r="BB84" s="29" t="str">
        <f t="shared" si="87"/>
        <v>#DIV/0!</v>
      </c>
      <c r="BC84" s="29" t="str">
        <f t="shared" si="87"/>
        <v>#DIV/0!</v>
      </c>
      <c r="BD84" s="29" t="str">
        <f t="shared" si="87"/>
        <v>#DIV/0!</v>
      </c>
      <c r="BE84" s="29" t="str">
        <f t="shared" si="87"/>
        <v>#DIV/0!</v>
      </c>
      <c r="BF84" s="29" t="str">
        <f t="shared" si="87"/>
        <v>#DIV/0!</v>
      </c>
      <c r="BG84" s="29" t="str">
        <f t="shared" si="87"/>
        <v>#DIV/0!</v>
      </c>
      <c r="BH84" s="29" t="str">
        <f t="shared" si="87"/>
        <v>#DIV/0!</v>
      </c>
      <c r="BI84" s="29" t="str">
        <f t="shared" si="87"/>
        <v>#DIV/0!</v>
      </c>
      <c r="BJ84" s="29" t="str">
        <f t="shared" si="87"/>
        <v>#DIV/0!</v>
      </c>
      <c r="BK84" s="29" t="str">
        <f t="shared" si="87"/>
        <v>#DIV/0!</v>
      </c>
      <c r="BL84" s="29" t="str">
        <f t="shared" si="87"/>
        <v>#DIV/0!</v>
      </c>
      <c r="BM84" s="29" t="str">
        <f t="shared" si="3"/>
        <v>#DIV/0!</v>
      </c>
    </row>
    <row r="85">
      <c r="A85" s="16" t="str">
        <f>IFERROR(__xludf.DUMMYFUNCTION("IFERROR(SPARKLINE(SORT(MAP(TRANSPOSE(AQ85:BL85), LAMBDA(val, IF(ISNUMBER(val), PERCENTRANK(AQ85:BL85, val)+0.01, 0))), SEQUENCE(COLUMNS(AQ85:BL85)), FALSE), {""charttype"",""column""; ""color"",""chartreuse""; ""ymin"", 0; ""ymax"", 1.01; ""highcolor"", "&amp;"""darkgreen""; ""lowcolor"", ""red""}), """")"),"")</f>
        <v/>
      </c>
      <c r="B85" s="17" t="str">
        <f t="shared" si="4"/>
        <v/>
      </c>
      <c r="C85" s="1" t="s">
        <v>499</v>
      </c>
      <c r="D85" s="30" t="str">
        <f>IFERROR(__xludf.DUMMYFUNCTION("IFERROR(GOOGLEFINANCE(C85, ""NAME""))"),"Omnicom Group Inc")</f>
        <v>Omnicom Group Inc</v>
      </c>
      <c r="E85" s="30" t="s">
        <v>116</v>
      </c>
      <c r="F85" s="33" t="str">
        <f>IFERROR(__xludf.DUMMYFUNCTION("( (GOOGLEFINANCE(C85, ""price"") - Q85) / Q85 ) / (R85 / 100)"),"Loading...")</f>
        <v>Loading...</v>
      </c>
      <c r="G85" s="20" t="str">
        <f>IFERROR(__xludf.DUMMYFUNCTION("AVERAGE(ARRAYFORMULA(100 * (QUERY(GOOGLEFINANCE(C85, ""high"", TODAY()-40, TODAY()), ""SELECT Col2 WHERE Col2 IS NOT NULL ORDER BY Col1 DESC LIMIT 20"", 0) / QUERY(GOOGLEFINANCE(C85, ""low"", TODAY()-40, TODAY()), ""SELECT Col2 WHERE Col2 IS NOT NULL ORDE"&amp;"R BY Col1 DESC LIMIT 20"", 0) - 1)))"),"#N/A")</f>
        <v>#N/A</v>
      </c>
      <c r="H85" s="35" t="str">
        <f t="shared" si="6"/>
        <v>Liquid</v>
      </c>
      <c r="I85" s="36" t="str">
        <f t="shared" si="7"/>
        <v>RVol Required</v>
      </c>
      <c r="J85" s="37">
        <f>IFERROR(__xludf.DUMMYFUNCTION("IFERROR(
  IF(C85="""",, 
    IFERROR(
      GOOGLEFINANCE(C85, ""price"") * GOOGLEFINANCE(C85, ""volumeavg""), 
      GOOGLEFINANCE(C85, ""price"") * AVERAGE(QUERY(GOOGLEFINANCE(C85, ""volume"", TODAY()-40, TODAY()), ""SELECT Col2 WHERE Col2 IS NOT NULL "&amp;"ORDER BY Col1 DESC LIMIT 20"", 0))
    )
  ), 
"""")"),2.361406944E8)</f>
        <v>236140694.4</v>
      </c>
      <c r="K85" s="21">
        <f>IFERROR(__xludf.DUMMYFUNCTION("IFERROR(GOOGLEFINANCE(C85, ""changepct"") / 100, """")"),-0.002)</f>
        <v>-0.002</v>
      </c>
      <c r="L85" s="21" t="str">
        <f>IFERROR(__xludf.DUMMYFUNCTION("IFERROR((GOOGLEFINANCE(C85, ""price"") / INDEX(GOOGLEFINANCE(C85, ""price"", TODAY()-7, TODAY()), 2, 2)) - 1, """")"),"")</f>
        <v/>
      </c>
      <c r="M85" s="21" t="str">
        <f>IFERROR(__xludf.DUMMYFUNCTION("IFERROR((GOOGLEFINANCE(C85, ""price"") / INDEX(GOOGLEFINANCE(C85, ""price"", EDATE(TODAY(), -1), TODAY()), 2, 2)) - 1, """")"),"")</f>
        <v/>
      </c>
      <c r="N85" s="21" t="str">
        <f>IFERROR(__xludf.DUMMYFUNCTION("IFERROR((GOOGLEFINANCE(C85, ""price"") / INDEX(GOOGLEFINANCE(C85, ""price"", EDATE(TODAY(), -3), TODAY()), 2, 2)) - 1, """")"),"")</f>
        <v/>
      </c>
      <c r="O85" s="21" t="str">
        <f>IFERROR(__xludf.DUMMYFUNCTION("IFERROR((GOOGLEFINANCE(C85, ""price"") / INDEX(GOOGLEFINANCE(C85, ""price"", EDATE(TODAY(), -6), TODAY()), 2, 2)) - 1, """")"),"")</f>
        <v/>
      </c>
      <c r="P85" s="21" t="str">
        <f>IFERROR(__xludf.DUMMYFUNCTION("IFERROR((GOOGLEFINANCE(C85, ""price"") / INDEX(GOOGLEFINANCE(C85, ""price"", EDATE(TODAY(), -12), TODAY()), 2, 2)) - 1, """")"),"")</f>
        <v/>
      </c>
      <c r="Q85" s="6" t="str">
        <f>IFERROR(__xludf.DUMMYFUNCTION("AVERAGE(QUERY(GOOGLEFINANCE(C85, ""price"", TODAY()-80, TODAY()), ""SELECT Col2 WHERE Col2 IS NOT NULL ORDER BY Col1 DESC LIMIT 50"", 0))"),"#N/A")</f>
        <v>#N/A</v>
      </c>
      <c r="R85" s="24" t="str">
        <f>IFERROR(__xludf.DUMMYFUNCTION("IFERROR(
  LET(
    data, QUERY(GOOGLEFINANCE(C85,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GOOGLEFINANCE(C85, ""price"")) * 100,
    IF(calc=0, G85, calc)
  ), 
G85)"),"#N/A")</f>
        <v>#N/A</v>
      </c>
      <c r="S85" s="8" t="s">
        <v>15</v>
      </c>
      <c r="T85" s="26" t="str">
        <f>IFERROR(__xludf.DUMMYFUNCTION("IFERROR(TRANSPOSE(QUERY(IFERROR(SORT(GOOGLEFINANCE(C85, ""price"", WORKDAY(TODAY(), -40), TODAY()), 1, FALSE)), ""select Col2 where Col2 is not null limit 22 label Col2 ''"", 0)), """")"),"")</f>
        <v/>
      </c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8"/>
      <c r="AO85" s="28"/>
      <c r="AP85" s="29"/>
      <c r="AQ85" s="29" t="str">
        <f t="shared" ref="AQ85:BL85" si="88">T85/T$2</f>
        <v>#N/A</v>
      </c>
      <c r="AR85" s="29" t="str">
        <f t="shared" si="88"/>
        <v>#DIV/0!</v>
      </c>
      <c r="AS85" s="29" t="str">
        <f t="shared" si="88"/>
        <v>#DIV/0!</v>
      </c>
      <c r="AT85" s="29" t="str">
        <f t="shared" si="88"/>
        <v>#DIV/0!</v>
      </c>
      <c r="AU85" s="29" t="str">
        <f t="shared" si="88"/>
        <v>#DIV/0!</v>
      </c>
      <c r="AV85" s="29" t="str">
        <f t="shared" si="88"/>
        <v>#DIV/0!</v>
      </c>
      <c r="AW85" s="29" t="str">
        <f t="shared" si="88"/>
        <v>#DIV/0!</v>
      </c>
      <c r="AX85" s="29" t="str">
        <f t="shared" si="88"/>
        <v>#DIV/0!</v>
      </c>
      <c r="AY85" s="29" t="str">
        <f t="shared" si="88"/>
        <v>#DIV/0!</v>
      </c>
      <c r="AZ85" s="29" t="str">
        <f t="shared" si="88"/>
        <v>#DIV/0!</v>
      </c>
      <c r="BA85" s="29" t="str">
        <f t="shared" si="88"/>
        <v>#DIV/0!</v>
      </c>
      <c r="BB85" s="29" t="str">
        <f t="shared" si="88"/>
        <v>#DIV/0!</v>
      </c>
      <c r="BC85" s="29" t="str">
        <f t="shared" si="88"/>
        <v>#DIV/0!</v>
      </c>
      <c r="BD85" s="29" t="str">
        <f t="shared" si="88"/>
        <v>#DIV/0!</v>
      </c>
      <c r="BE85" s="29" t="str">
        <f t="shared" si="88"/>
        <v>#DIV/0!</v>
      </c>
      <c r="BF85" s="29" t="str">
        <f t="shared" si="88"/>
        <v>#DIV/0!</v>
      </c>
      <c r="BG85" s="29" t="str">
        <f t="shared" si="88"/>
        <v>#DIV/0!</v>
      </c>
      <c r="BH85" s="29" t="str">
        <f t="shared" si="88"/>
        <v>#DIV/0!</v>
      </c>
      <c r="BI85" s="29" t="str">
        <f t="shared" si="88"/>
        <v>#DIV/0!</v>
      </c>
      <c r="BJ85" s="29" t="str">
        <f t="shared" si="88"/>
        <v>#DIV/0!</v>
      </c>
      <c r="BK85" s="29" t="str">
        <f t="shared" si="88"/>
        <v>#DIV/0!</v>
      </c>
      <c r="BL85" s="29" t="str">
        <f t="shared" si="88"/>
        <v>#DIV/0!</v>
      </c>
      <c r="BM85" s="29" t="str">
        <f t="shared" si="3"/>
        <v>#DIV/0!</v>
      </c>
    </row>
    <row r="86">
      <c r="A86" s="16" t="str">
        <f>IFERROR(__xludf.DUMMYFUNCTION("IFERROR(SPARKLINE(SORT(MAP(TRANSPOSE(AQ86:BL86), LAMBDA(val, IF(ISNUMBER(val), PERCENTRANK(AQ86:BL86, val)+0.01, 0))), SEQUENCE(COLUMNS(AQ86:BL86)), FALSE), {""charttype"",""column""; ""color"",""chartreuse""; ""ymin"", 0; ""ymax"", 1.01; ""highcolor"", "&amp;"""darkgreen""; ""lowcolor"", ""red""}), """")"),"")</f>
        <v/>
      </c>
      <c r="B86" s="17" t="str">
        <f t="shared" si="4"/>
        <v/>
      </c>
      <c r="C86" s="1" t="s">
        <v>503</v>
      </c>
      <c r="D86" s="30" t="str">
        <f>IFERROR(__xludf.DUMMYFUNCTION("IFERROR(GOOGLEFINANCE(C86, ""NAME""))"),"Clear Channel Outdoor Holdings Inc")</f>
        <v>Clear Channel Outdoor Holdings Inc</v>
      </c>
      <c r="E86" s="30" t="s">
        <v>116</v>
      </c>
      <c r="F86" s="33" t="str">
        <f>IFERROR(__xludf.DUMMYFUNCTION("( (GOOGLEFINANCE(C86, ""price"") - Q86) / Q86 ) / (R86 / 100)"),"Loading...")</f>
        <v>Loading...</v>
      </c>
      <c r="G86" s="20" t="str">
        <f>IFERROR(__xludf.DUMMYFUNCTION("AVERAGE(ARRAYFORMULA(100 * (QUERY(GOOGLEFINANCE(C86, ""high"", TODAY()-40, TODAY()), ""SELECT Col2 WHERE Col2 IS NOT NULL ORDER BY Col1 DESC LIMIT 20"", 0) / QUERY(GOOGLEFINANCE(C86, ""low"", TODAY()-40, TODAY()), ""SELECT Col2 WHERE Col2 IS NOT NULL ORDE"&amp;"R BY Col1 DESC LIMIT 20"", 0) - 1)))"),"#N/A")</f>
        <v>#N/A</v>
      </c>
      <c r="H86" s="35" t="str">
        <f t="shared" si="6"/>
        <v>Illiquid</v>
      </c>
      <c r="I86" s="36" t="str">
        <f t="shared" si="7"/>
        <v>RVol Required</v>
      </c>
      <c r="J86" s="37">
        <f>IFERROR(__xludf.DUMMYFUNCTION("IFERROR(
  IF(C86="""",, 
    IFERROR(
      GOOGLEFINANCE(C86, ""price"") * GOOGLEFINANCE(C86, ""volumeavg""), 
      GOOGLEFINANCE(C86, ""price"") * AVERAGE(QUERY(GOOGLEFINANCE(C86, ""volume"", TODAY()-40, TODAY()), ""SELECT Col2 WHERE Col2 IS NOT NULL "&amp;"ORDER BY Col1 DESC LIMIT 20"", 0))
    )
  ), 
"""")"),1.146148058E7)</f>
        <v>11461480.58</v>
      </c>
      <c r="K86" s="21">
        <f>IFERROR(__xludf.DUMMYFUNCTION("IFERROR(GOOGLEFINANCE(C86, ""changepct"") / 100, """")"),-0.0040999999999999995)</f>
        <v>-0.0041</v>
      </c>
      <c r="L86" s="21" t="str">
        <f>IFERROR(__xludf.DUMMYFUNCTION("IFERROR((GOOGLEFINANCE(C86, ""price"") / INDEX(GOOGLEFINANCE(C86, ""price"", TODAY()-7, TODAY()), 2, 2)) - 1, """")"),"")</f>
        <v/>
      </c>
      <c r="M86" s="21" t="str">
        <f>IFERROR(__xludf.DUMMYFUNCTION("IFERROR((GOOGLEFINANCE(C86, ""price"") / INDEX(GOOGLEFINANCE(C86, ""price"", EDATE(TODAY(), -1), TODAY()), 2, 2)) - 1, """")"),"")</f>
        <v/>
      </c>
      <c r="N86" s="21" t="str">
        <f>IFERROR(__xludf.DUMMYFUNCTION("IFERROR((GOOGLEFINANCE(C86, ""price"") / INDEX(GOOGLEFINANCE(C86, ""price"", EDATE(TODAY(), -3), TODAY()), 2, 2)) - 1, """")"),"")</f>
        <v/>
      </c>
      <c r="O86" s="21" t="str">
        <f>IFERROR(__xludf.DUMMYFUNCTION("IFERROR((GOOGLEFINANCE(C86, ""price"") / INDEX(GOOGLEFINANCE(C86, ""price"", EDATE(TODAY(), -6), TODAY()), 2, 2)) - 1, """")"),"")</f>
        <v/>
      </c>
      <c r="P86" s="21" t="str">
        <f>IFERROR(__xludf.DUMMYFUNCTION("IFERROR((GOOGLEFINANCE(C86, ""price"") / INDEX(GOOGLEFINANCE(C86, ""price"", EDATE(TODAY(), -12), TODAY()), 2, 2)) - 1, """")"),"")</f>
        <v/>
      </c>
      <c r="Q86" s="6" t="str">
        <f>IFERROR(__xludf.DUMMYFUNCTION("AVERAGE(QUERY(GOOGLEFINANCE(C86, ""price"", TODAY()-80, TODAY()), ""SELECT Col2 WHERE Col2 IS NOT NULL ORDER BY Col1 DESC LIMIT 50"", 0))"),"#N/A")</f>
        <v>#N/A</v>
      </c>
      <c r="R86" s="24" t="str">
        <f>IFERROR(__xludf.DUMMYFUNCTION("IFERROR(
  LET(
    data, QUERY(GOOGLEFINANCE(C86,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GOOGLEFINANCE(C86, ""price"")) * 100,
    IF(calc=0, G86, calc)
  ), 
G86)"),"#N/A")</f>
        <v>#N/A</v>
      </c>
      <c r="S86" s="8" t="s">
        <v>15</v>
      </c>
      <c r="T86" s="26" t="str">
        <f>IFERROR(__xludf.DUMMYFUNCTION("IFERROR(TRANSPOSE(QUERY(IFERROR(SORT(GOOGLEFINANCE(C86, ""price"", WORKDAY(TODAY(), -40), TODAY()), 1, FALSE)), ""select Col2 where Col2 is not null limit 22 label Col2 ''"", 0)), """")"),"")</f>
        <v/>
      </c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8"/>
      <c r="AO86" s="28"/>
      <c r="AP86" s="29"/>
      <c r="AQ86" s="29" t="str">
        <f t="shared" ref="AQ86:BL86" si="89">T86/T$2</f>
        <v>#N/A</v>
      </c>
      <c r="AR86" s="29" t="str">
        <f t="shared" si="89"/>
        <v>#DIV/0!</v>
      </c>
      <c r="AS86" s="29" t="str">
        <f t="shared" si="89"/>
        <v>#DIV/0!</v>
      </c>
      <c r="AT86" s="29" t="str">
        <f t="shared" si="89"/>
        <v>#DIV/0!</v>
      </c>
      <c r="AU86" s="29" t="str">
        <f t="shared" si="89"/>
        <v>#DIV/0!</v>
      </c>
      <c r="AV86" s="29" t="str">
        <f t="shared" si="89"/>
        <v>#DIV/0!</v>
      </c>
      <c r="AW86" s="29" t="str">
        <f t="shared" si="89"/>
        <v>#DIV/0!</v>
      </c>
      <c r="AX86" s="29" t="str">
        <f t="shared" si="89"/>
        <v>#DIV/0!</v>
      </c>
      <c r="AY86" s="29" t="str">
        <f t="shared" si="89"/>
        <v>#DIV/0!</v>
      </c>
      <c r="AZ86" s="29" t="str">
        <f t="shared" si="89"/>
        <v>#DIV/0!</v>
      </c>
      <c r="BA86" s="29" t="str">
        <f t="shared" si="89"/>
        <v>#DIV/0!</v>
      </c>
      <c r="BB86" s="29" t="str">
        <f t="shared" si="89"/>
        <v>#DIV/0!</v>
      </c>
      <c r="BC86" s="29" t="str">
        <f t="shared" si="89"/>
        <v>#DIV/0!</v>
      </c>
      <c r="BD86" s="29" t="str">
        <f t="shared" si="89"/>
        <v>#DIV/0!</v>
      </c>
      <c r="BE86" s="29" t="str">
        <f t="shared" si="89"/>
        <v>#DIV/0!</v>
      </c>
      <c r="BF86" s="29" t="str">
        <f t="shared" si="89"/>
        <v>#DIV/0!</v>
      </c>
      <c r="BG86" s="29" t="str">
        <f t="shared" si="89"/>
        <v>#DIV/0!</v>
      </c>
      <c r="BH86" s="29" t="str">
        <f t="shared" si="89"/>
        <v>#DIV/0!</v>
      </c>
      <c r="BI86" s="29" t="str">
        <f t="shared" si="89"/>
        <v>#DIV/0!</v>
      </c>
      <c r="BJ86" s="29" t="str">
        <f t="shared" si="89"/>
        <v>#DIV/0!</v>
      </c>
      <c r="BK86" s="29" t="str">
        <f t="shared" si="89"/>
        <v>#DIV/0!</v>
      </c>
      <c r="BL86" s="29" t="str">
        <f t="shared" si="89"/>
        <v>#DIV/0!</v>
      </c>
      <c r="BM86" s="29" t="str">
        <f t="shared" si="3"/>
        <v>#DIV/0!</v>
      </c>
    </row>
    <row r="87">
      <c r="A87" s="16" t="str">
        <f>IFERROR(__xludf.DUMMYFUNCTION("IFERROR(SPARKLINE(SORT(MAP(TRANSPOSE(AQ87:BL87), LAMBDA(val, IF(ISNUMBER(val), PERCENTRANK(AQ87:BL87, val)+0.01, 0))), SEQUENCE(COLUMNS(AQ87:BL87)), FALSE), {""charttype"",""column""; ""color"",""chartreuse""; ""ymin"", 0; ""ymax"", 1.01; ""highcolor"", "&amp;"""darkgreen""; ""lowcolor"", ""red""}), """")"),"")</f>
        <v/>
      </c>
      <c r="B87" s="17" t="str">
        <f t="shared" si="4"/>
        <v/>
      </c>
      <c r="C87" s="1" t="s">
        <v>507</v>
      </c>
      <c r="D87" s="30" t="str">
        <f>IFERROR(__xludf.DUMMYFUNCTION("IFERROR(GOOGLEFINANCE(C87, ""NAME""))"),"")</f>
        <v/>
      </c>
      <c r="E87" s="30" t="s">
        <v>94</v>
      </c>
      <c r="F87" s="38" t="str">
        <f>IFERROR(__xludf.DUMMYFUNCTION("( (GOOGLEFINANCE(C87, ""price"") - Q87) / Q87 ) / (R87 / 100)"),"Loading...")</f>
        <v>Loading...</v>
      </c>
      <c r="G87" s="20" t="str">
        <f>IFERROR(__xludf.DUMMYFUNCTION("AVERAGE(ARRAYFORMULA(100 * (QUERY(GOOGLEFINANCE(C87, ""high"", TODAY()-40, TODAY()), ""SELECT Col2 WHERE Col2 IS NOT NULL ORDER BY Col1 DESC LIMIT 20"", 0) / QUERY(GOOGLEFINANCE(C87, ""low"", TODAY()-40, TODAY()), ""SELECT Col2 WHERE Col2 IS NOT NULL ORDE"&amp;"R BY Col1 DESC LIMIT 20"", 0) - 1)))"),"#N/A")</f>
        <v>#N/A</v>
      </c>
      <c r="H87" s="35" t="str">
        <f t="shared" si="6"/>
        <v/>
      </c>
      <c r="I87" s="36" t="str">
        <f t="shared" si="7"/>
        <v/>
      </c>
      <c r="J87" s="37" t="str">
        <f>IFERROR(__xludf.DUMMYFUNCTION("IFERROR(
  IF(C87="""",, 
    IFERROR(
      GOOGLEFINANCE(C87, ""price"") * GOOGLEFINANCE(C87, ""volumeavg""), 
      GOOGLEFINANCE(C87, ""price"") * AVERAGE(QUERY(GOOGLEFINANCE(C87, ""volume"", TODAY()-40, TODAY()), ""SELECT Col2 WHERE Col2 IS NOT NULL "&amp;"ORDER BY Col1 DESC LIMIT 20"", 0))
    )
  ), 
"""")"),"")</f>
        <v/>
      </c>
      <c r="K87" s="21" t="str">
        <f>IFERROR(__xludf.DUMMYFUNCTION("IFERROR(GOOGLEFINANCE(C87, ""changepct"") / 100, """")"),"")</f>
        <v/>
      </c>
      <c r="L87" s="21" t="str">
        <f>IFERROR(__xludf.DUMMYFUNCTION("IFERROR((GOOGLEFINANCE(C87, ""price"") / INDEX(GOOGLEFINANCE(C87, ""price"", TODAY()-7, TODAY()), 2, 2)) - 1, """")"),"")</f>
        <v/>
      </c>
      <c r="M87" s="21" t="str">
        <f>IFERROR(__xludf.DUMMYFUNCTION("IFERROR((GOOGLEFINANCE(C87, ""price"") / INDEX(GOOGLEFINANCE(C87, ""price"", EDATE(TODAY(), -1), TODAY()), 2, 2)) - 1, """")"),"")</f>
        <v/>
      </c>
      <c r="N87" s="21" t="str">
        <f>IFERROR(__xludf.DUMMYFUNCTION("IFERROR((GOOGLEFINANCE(C87, ""price"") / INDEX(GOOGLEFINANCE(C87, ""price"", EDATE(TODAY(), -3), TODAY()), 2, 2)) - 1, """")"),"")</f>
        <v/>
      </c>
      <c r="O87" s="21" t="str">
        <f>IFERROR(__xludf.DUMMYFUNCTION("IFERROR((GOOGLEFINANCE(C87, ""price"") / INDEX(GOOGLEFINANCE(C87, ""price"", EDATE(TODAY(), -6), TODAY()), 2, 2)) - 1, """")"),"")</f>
        <v/>
      </c>
      <c r="P87" s="21" t="str">
        <f>IFERROR(__xludf.DUMMYFUNCTION("IFERROR((GOOGLEFINANCE(C87, ""price"") / INDEX(GOOGLEFINANCE(C87, ""price"", EDATE(TODAY(), -12), TODAY()), 2, 2)) - 1, """")"),"")</f>
        <v/>
      </c>
      <c r="Q87" s="6" t="str">
        <f>IFERROR(__xludf.DUMMYFUNCTION("AVERAGE(QUERY(GOOGLEFINANCE(C87, ""price"", TODAY()-80, TODAY()), ""SELECT Col2 WHERE Col2 IS NOT NULL ORDER BY Col1 DESC LIMIT 50"", 0))"),"#N/A")</f>
        <v>#N/A</v>
      </c>
      <c r="R87" s="24" t="str">
        <f>IFERROR(__xludf.DUMMYFUNCTION("IFERROR(
  LET(
    data, QUERY(GOOGLEFINANCE(C87,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GOOGLEFINANCE(C87, ""price"")) * 100,
    IF(calc=0, G87, calc)
  ), 
G87)"),"#N/A")</f>
        <v>#N/A</v>
      </c>
      <c r="S87" s="8" t="s">
        <v>15</v>
      </c>
      <c r="T87" s="26" t="str">
        <f>IFERROR(__xludf.DUMMYFUNCTION("IFERROR(TRANSPOSE(QUERY(IFERROR(SORT(GOOGLEFINANCE(C87, ""price"", WORKDAY(TODAY(), -40), TODAY()), 1, FALSE)), ""select Col2 where Col2 is not null limit 22 label Col2 ''"", 0)), """")"),"")</f>
        <v/>
      </c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8"/>
      <c r="AO87" s="28"/>
      <c r="AP87" s="29"/>
      <c r="AQ87" s="29" t="str">
        <f t="shared" ref="AQ87:BL87" si="90">T87/T$2</f>
        <v>#N/A</v>
      </c>
      <c r="AR87" s="29" t="str">
        <f t="shared" si="90"/>
        <v>#DIV/0!</v>
      </c>
      <c r="AS87" s="29" t="str">
        <f t="shared" si="90"/>
        <v>#DIV/0!</v>
      </c>
      <c r="AT87" s="29" t="str">
        <f t="shared" si="90"/>
        <v>#DIV/0!</v>
      </c>
      <c r="AU87" s="29" t="str">
        <f t="shared" si="90"/>
        <v>#DIV/0!</v>
      </c>
      <c r="AV87" s="29" t="str">
        <f t="shared" si="90"/>
        <v>#DIV/0!</v>
      </c>
      <c r="AW87" s="29" t="str">
        <f t="shared" si="90"/>
        <v>#DIV/0!</v>
      </c>
      <c r="AX87" s="29" t="str">
        <f t="shared" si="90"/>
        <v>#DIV/0!</v>
      </c>
      <c r="AY87" s="29" t="str">
        <f t="shared" si="90"/>
        <v>#DIV/0!</v>
      </c>
      <c r="AZ87" s="29" t="str">
        <f t="shared" si="90"/>
        <v>#DIV/0!</v>
      </c>
      <c r="BA87" s="29" t="str">
        <f t="shared" si="90"/>
        <v>#DIV/0!</v>
      </c>
      <c r="BB87" s="29" t="str">
        <f t="shared" si="90"/>
        <v>#DIV/0!</v>
      </c>
      <c r="BC87" s="29" t="str">
        <f t="shared" si="90"/>
        <v>#DIV/0!</v>
      </c>
      <c r="BD87" s="29" t="str">
        <f t="shared" si="90"/>
        <v>#DIV/0!</v>
      </c>
      <c r="BE87" s="29" t="str">
        <f t="shared" si="90"/>
        <v>#DIV/0!</v>
      </c>
      <c r="BF87" s="29" t="str">
        <f t="shared" si="90"/>
        <v>#DIV/0!</v>
      </c>
      <c r="BG87" s="29" t="str">
        <f t="shared" si="90"/>
        <v>#DIV/0!</v>
      </c>
      <c r="BH87" s="29" t="str">
        <f t="shared" si="90"/>
        <v>#DIV/0!</v>
      </c>
      <c r="BI87" s="29" t="str">
        <f t="shared" si="90"/>
        <v>#DIV/0!</v>
      </c>
      <c r="BJ87" s="29" t="str">
        <f t="shared" si="90"/>
        <v>#DIV/0!</v>
      </c>
      <c r="BK87" s="29" t="str">
        <f t="shared" si="90"/>
        <v>#DIV/0!</v>
      </c>
      <c r="BL87" s="29" t="str">
        <f t="shared" si="90"/>
        <v>#DIV/0!</v>
      </c>
      <c r="BM87" s="29" t="str">
        <f t="shared" si="3"/>
        <v>#DIV/0!</v>
      </c>
    </row>
    <row r="88">
      <c r="A88" s="16" t="str">
        <f>IFERROR(__xludf.DUMMYFUNCTION("IFERROR(SPARKLINE(SORT(MAP(TRANSPOSE(AQ88:BL88), LAMBDA(val, IF(ISNUMBER(val), PERCENTRANK(AQ88:BL88, val)+0.01, 0))), SEQUENCE(COLUMNS(AQ88:BL88)), FALSE), {""charttype"",""column""; ""color"",""chartreuse""; ""ymin"", 0; ""ymax"", 1.01; ""highcolor"", "&amp;"""darkgreen""; ""lowcolor"", ""red""}), """")"),"")</f>
        <v/>
      </c>
      <c r="B88" s="17" t="str">
        <f t="shared" si="4"/>
        <v/>
      </c>
      <c r="C88" s="1" t="s">
        <v>511</v>
      </c>
      <c r="D88" s="30" t="str">
        <f>IFERROR(__xludf.DUMMYFUNCTION("IFERROR(GOOGLEFINANCE(C88, ""NAME""))"),"Roblox Corp")</f>
        <v>Roblox Corp</v>
      </c>
      <c r="E88" s="30" t="s">
        <v>94</v>
      </c>
      <c r="F88" s="33" t="str">
        <f>IFERROR(__xludf.DUMMYFUNCTION("( (GOOGLEFINANCE(C88, ""price"") - Q88) / Q88 ) / (R88 / 100)"),"Loading...")</f>
        <v>Loading...</v>
      </c>
      <c r="G88" s="20" t="str">
        <f>IFERROR(__xludf.DUMMYFUNCTION("AVERAGE(ARRAYFORMULA(100 * (QUERY(GOOGLEFINANCE(C88, ""high"", TODAY()-40, TODAY()), ""SELECT Col2 WHERE Col2 IS NOT NULL ORDER BY Col1 DESC LIMIT 20"", 0) / QUERY(GOOGLEFINANCE(C88, ""low"", TODAY()-40, TODAY()), ""SELECT Col2 WHERE Col2 IS NOT NULL ORDE"&amp;"R BY Col1 DESC LIMIT 20"", 0) - 1)))"),"#N/A")</f>
        <v>#N/A</v>
      </c>
      <c r="H88" s="35" t="str">
        <f t="shared" si="6"/>
        <v>Liquid</v>
      </c>
      <c r="I88" s="36" t="str">
        <f t="shared" si="7"/>
        <v>No RVol Required</v>
      </c>
      <c r="J88" s="37">
        <f>IFERROR(__xludf.DUMMYFUNCTION("IFERROR(
  IF(C88="""",, 
    IFERROR(
      GOOGLEFINANCE(C88, ""price"") * GOOGLEFINANCE(C88, ""volumeavg""), 
      GOOGLEFINANCE(C88, ""price"") * AVERAGE(QUERY(GOOGLEFINANCE(C88, ""volume"", TODAY()-40, TODAY()), ""SELECT Col2 WHERE Col2 IS NOT NULL "&amp;"ORDER BY Col1 DESC LIMIT 20"", 0))
    )
  ), 
"""")"),5.857496763E8)</f>
        <v>585749676.3</v>
      </c>
      <c r="K88" s="21">
        <f>IFERROR(__xludf.DUMMYFUNCTION("IFERROR(GOOGLEFINANCE(C88, ""changepct"") / 100, """")"),-0.030899999999999997)</f>
        <v>-0.0309</v>
      </c>
      <c r="L88" s="21" t="str">
        <f>IFERROR(__xludf.DUMMYFUNCTION("IFERROR((GOOGLEFINANCE(C88, ""price"") / INDEX(GOOGLEFINANCE(C88, ""price"", TODAY()-7, TODAY()), 2, 2)) - 1, """")"),"")</f>
        <v/>
      </c>
      <c r="M88" s="21" t="str">
        <f>IFERROR(__xludf.DUMMYFUNCTION("IFERROR((GOOGLEFINANCE(C88, ""price"") / INDEX(GOOGLEFINANCE(C88, ""price"", EDATE(TODAY(), -1), TODAY()), 2, 2)) - 1, """")"),"")</f>
        <v/>
      </c>
      <c r="N88" s="21" t="str">
        <f>IFERROR(__xludf.DUMMYFUNCTION("IFERROR((GOOGLEFINANCE(C88, ""price"") / INDEX(GOOGLEFINANCE(C88, ""price"", EDATE(TODAY(), -3), TODAY()), 2, 2)) - 1, """")"),"")</f>
        <v/>
      </c>
      <c r="O88" s="21" t="str">
        <f>IFERROR(__xludf.DUMMYFUNCTION("IFERROR((GOOGLEFINANCE(C88, ""price"") / INDEX(GOOGLEFINANCE(C88, ""price"", EDATE(TODAY(), -6), TODAY()), 2, 2)) - 1, """")"),"")</f>
        <v/>
      </c>
      <c r="P88" s="21" t="str">
        <f>IFERROR(__xludf.DUMMYFUNCTION("IFERROR((GOOGLEFINANCE(C88, ""price"") / INDEX(GOOGLEFINANCE(C88, ""price"", EDATE(TODAY(), -12), TODAY()), 2, 2)) - 1, """")"),"")</f>
        <v/>
      </c>
      <c r="Q88" s="6" t="str">
        <f>IFERROR(__xludf.DUMMYFUNCTION("AVERAGE(QUERY(GOOGLEFINANCE(C88, ""price"", TODAY()-80, TODAY()), ""SELECT Col2 WHERE Col2 IS NOT NULL ORDER BY Col1 DESC LIMIT 50"", 0))"),"#N/A")</f>
        <v>#N/A</v>
      </c>
      <c r="R88" s="24" t="str">
        <f>IFERROR(__xludf.DUMMYFUNCTION("IFERROR(
  LET(
    data, QUERY(GOOGLEFINANCE(C88,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GOOGLEFINANCE(C88, ""price"")) * 100,
    IF(calc=0, G88, calc)
  ), 
G88)"),"#N/A")</f>
        <v>#N/A</v>
      </c>
      <c r="S88" s="8" t="s">
        <v>15</v>
      </c>
      <c r="T88" s="26" t="str">
        <f>IFERROR(__xludf.DUMMYFUNCTION("IFERROR(TRANSPOSE(QUERY(IFERROR(SORT(GOOGLEFINANCE(C88, ""price"", WORKDAY(TODAY(), -40), TODAY()), 1, FALSE)), ""select Col2 where Col2 is not null limit 22 label Col2 ''"", 0)), """")"),"")</f>
        <v/>
      </c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8"/>
      <c r="AO88" s="28"/>
      <c r="AP88" s="29"/>
      <c r="AQ88" s="29" t="str">
        <f t="shared" ref="AQ88:BL88" si="91">T88/T$2</f>
        <v>#N/A</v>
      </c>
      <c r="AR88" s="29" t="str">
        <f t="shared" si="91"/>
        <v>#DIV/0!</v>
      </c>
      <c r="AS88" s="29" t="str">
        <f t="shared" si="91"/>
        <v>#DIV/0!</v>
      </c>
      <c r="AT88" s="29" t="str">
        <f t="shared" si="91"/>
        <v>#DIV/0!</v>
      </c>
      <c r="AU88" s="29" t="str">
        <f t="shared" si="91"/>
        <v>#DIV/0!</v>
      </c>
      <c r="AV88" s="29" t="str">
        <f t="shared" si="91"/>
        <v>#DIV/0!</v>
      </c>
      <c r="AW88" s="29" t="str">
        <f t="shared" si="91"/>
        <v>#DIV/0!</v>
      </c>
      <c r="AX88" s="29" t="str">
        <f t="shared" si="91"/>
        <v>#DIV/0!</v>
      </c>
      <c r="AY88" s="29" t="str">
        <f t="shared" si="91"/>
        <v>#DIV/0!</v>
      </c>
      <c r="AZ88" s="29" t="str">
        <f t="shared" si="91"/>
        <v>#DIV/0!</v>
      </c>
      <c r="BA88" s="29" t="str">
        <f t="shared" si="91"/>
        <v>#DIV/0!</v>
      </c>
      <c r="BB88" s="29" t="str">
        <f t="shared" si="91"/>
        <v>#DIV/0!</v>
      </c>
      <c r="BC88" s="29" t="str">
        <f t="shared" si="91"/>
        <v>#DIV/0!</v>
      </c>
      <c r="BD88" s="29" t="str">
        <f t="shared" si="91"/>
        <v>#DIV/0!</v>
      </c>
      <c r="BE88" s="29" t="str">
        <f t="shared" si="91"/>
        <v>#DIV/0!</v>
      </c>
      <c r="BF88" s="29" t="str">
        <f t="shared" si="91"/>
        <v>#DIV/0!</v>
      </c>
      <c r="BG88" s="29" t="str">
        <f t="shared" si="91"/>
        <v>#DIV/0!</v>
      </c>
      <c r="BH88" s="29" t="str">
        <f t="shared" si="91"/>
        <v>#DIV/0!</v>
      </c>
      <c r="BI88" s="29" t="str">
        <f t="shared" si="91"/>
        <v>#DIV/0!</v>
      </c>
      <c r="BJ88" s="29" t="str">
        <f t="shared" si="91"/>
        <v>#DIV/0!</v>
      </c>
      <c r="BK88" s="29" t="str">
        <f t="shared" si="91"/>
        <v>#DIV/0!</v>
      </c>
      <c r="BL88" s="29" t="str">
        <f t="shared" si="91"/>
        <v>#DIV/0!</v>
      </c>
      <c r="BM88" s="29" t="str">
        <f t="shared" si="3"/>
        <v>#DIV/0!</v>
      </c>
    </row>
    <row r="89">
      <c r="A89" s="16" t="str">
        <f>IFERROR(__xludf.DUMMYFUNCTION("IFERROR(SPARKLINE(SORT(MAP(TRANSPOSE(AQ89:BL89), LAMBDA(val, IF(ISNUMBER(val), PERCENTRANK(AQ89:BL89, val)+0.01, 0))), SEQUENCE(COLUMNS(AQ89:BL89)), FALSE), {""charttype"",""column""; ""color"",""chartreuse""; ""ymin"", 0; ""ymax"", 1.01; ""highcolor"", "&amp;"""darkgreen""; ""lowcolor"", ""red""}), """")"),"")</f>
        <v/>
      </c>
      <c r="B89" s="17" t="str">
        <f t="shared" si="4"/>
        <v/>
      </c>
      <c r="C89" s="1" t="s">
        <v>514</v>
      </c>
      <c r="D89" s="30" t="str">
        <f>IFERROR(__xludf.DUMMYFUNCTION("IFERROR(GOOGLEFINANCE(C89, ""NAME""))"),"Imax Corp")</f>
        <v>Imax Corp</v>
      </c>
      <c r="E89" s="30" t="s">
        <v>62</v>
      </c>
      <c r="F89" s="33" t="str">
        <f>IFERROR(__xludf.DUMMYFUNCTION("( (GOOGLEFINANCE(C89, ""price"") - Q89) / Q89 ) / (R89 / 100)"),"Loading...")</f>
        <v>Loading...</v>
      </c>
      <c r="G89" s="20" t="str">
        <f>IFERROR(__xludf.DUMMYFUNCTION("AVERAGE(ARRAYFORMULA(100 * (QUERY(GOOGLEFINANCE(C89, ""high"", TODAY()-40, TODAY()), ""SELECT Col2 WHERE Col2 IS NOT NULL ORDER BY Col1 DESC LIMIT 20"", 0) / QUERY(GOOGLEFINANCE(C89, ""low"", TODAY()-40, TODAY()), ""SELECT Col2 WHERE Col2 IS NOT NULL ORDE"&amp;"R BY Col1 DESC LIMIT 20"", 0) - 1)))"),"#N/A")</f>
        <v>#N/A</v>
      </c>
      <c r="H89" s="35" t="str">
        <f t="shared" si="6"/>
        <v>Liquid</v>
      </c>
      <c r="I89" s="36" t="str">
        <f t="shared" si="7"/>
        <v>RVol Required</v>
      </c>
      <c r="J89" s="37">
        <f>IFERROR(__xludf.DUMMYFUNCTION("IFERROR(
  IF(C89="""",, 
    IFERROR(
      GOOGLEFINANCE(C89, ""price"") * GOOGLEFINANCE(C89, ""volumeavg""), 
      GOOGLEFINANCE(C89, ""price"") * AVERAGE(QUERY(GOOGLEFINANCE(C89, ""volume"", TODAY()-40, TODAY()), ""SELECT Col2 WHERE Col2 IS NOT NULL "&amp;"ORDER BY Col1 DESC LIMIT 20"", 0))
    )
  ), 
"""")"),5.155419654E7)</f>
        <v>51554196.54</v>
      </c>
      <c r="K89" s="21">
        <f>IFERROR(__xludf.DUMMYFUNCTION("IFERROR(GOOGLEFINANCE(C89, ""changepct"") / 100, """")"),-0.014199999999999999)</f>
        <v>-0.0142</v>
      </c>
      <c r="L89" s="21" t="str">
        <f>IFERROR(__xludf.DUMMYFUNCTION("IFERROR((GOOGLEFINANCE(C89, ""price"") / INDEX(GOOGLEFINANCE(C89, ""price"", TODAY()-7, TODAY()), 2, 2)) - 1, """")"),"")</f>
        <v/>
      </c>
      <c r="M89" s="21" t="str">
        <f>IFERROR(__xludf.DUMMYFUNCTION("IFERROR((GOOGLEFINANCE(C89, ""price"") / INDEX(GOOGLEFINANCE(C89, ""price"", EDATE(TODAY(), -1), TODAY()), 2, 2)) - 1, """")"),"")</f>
        <v/>
      </c>
      <c r="N89" s="21" t="str">
        <f>IFERROR(__xludf.DUMMYFUNCTION("IFERROR((GOOGLEFINANCE(C89, ""price"") / INDEX(GOOGLEFINANCE(C89, ""price"", EDATE(TODAY(), -3), TODAY()), 2, 2)) - 1, """")"),"")</f>
        <v/>
      </c>
      <c r="O89" s="21" t="str">
        <f>IFERROR(__xludf.DUMMYFUNCTION("IFERROR((GOOGLEFINANCE(C89, ""price"") / INDEX(GOOGLEFINANCE(C89, ""price"", EDATE(TODAY(), -6), TODAY()), 2, 2)) - 1, """")"),"")</f>
        <v/>
      </c>
      <c r="P89" s="21" t="str">
        <f>IFERROR(__xludf.DUMMYFUNCTION("IFERROR((GOOGLEFINANCE(C89, ""price"") / INDEX(GOOGLEFINANCE(C89, ""price"", EDATE(TODAY(), -12), TODAY()), 2, 2)) - 1, """")"),"")</f>
        <v/>
      </c>
      <c r="Q89" s="6" t="str">
        <f>IFERROR(__xludf.DUMMYFUNCTION("AVERAGE(QUERY(GOOGLEFINANCE(C89, ""price"", TODAY()-80, TODAY()), ""SELECT Col2 WHERE Col2 IS NOT NULL ORDER BY Col1 DESC LIMIT 50"", 0))"),"#N/A")</f>
        <v>#N/A</v>
      </c>
      <c r="R89" s="24" t="str">
        <f>IFERROR(__xludf.DUMMYFUNCTION("IFERROR(
  LET(
    data, QUERY(GOOGLEFINANCE(C89,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GOOGLEFINANCE(C89, ""price"")) * 100,
    IF(calc=0, G89, calc)
  ), 
G89)"),"#N/A")</f>
        <v>#N/A</v>
      </c>
      <c r="S89" s="8" t="s">
        <v>15</v>
      </c>
      <c r="T89" s="26" t="str">
        <f>IFERROR(__xludf.DUMMYFUNCTION("IFERROR(TRANSPOSE(QUERY(IFERROR(SORT(GOOGLEFINANCE(C89, ""price"", WORKDAY(TODAY(), -40), TODAY()), 1, FALSE)), ""select Col2 where Col2 is not null limit 22 label Col2 ''"", 0)), """")"),"")</f>
        <v/>
      </c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8"/>
      <c r="AO89" s="28"/>
      <c r="AP89" s="29"/>
      <c r="AQ89" s="29" t="str">
        <f t="shared" ref="AQ89:BL89" si="92">T89/T$2</f>
        <v>#N/A</v>
      </c>
      <c r="AR89" s="29" t="str">
        <f t="shared" si="92"/>
        <v>#DIV/0!</v>
      </c>
      <c r="AS89" s="29" t="str">
        <f t="shared" si="92"/>
        <v>#DIV/0!</v>
      </c>
      <c r="AT89" s="29" t="str">
        <f t="shared" si="92"/>
        <v>#DIV/0!</v>
      </c>
      <c r="AU89" s="29" t="str">
        <f t="shared" si="92"/>
        <v>#DIV/0!</v>
      </c>
      <c r="AV89" s="29" t="str">
        <f t="shared" si="92"/>
        <v>#DIV/0!</v>
      </c>
      <c r="AW89" s="29" t="str">
        <f t="shared" si="92"/>
        <v>#DIV/0!</v>
      </c>
      <c r="AX89" s="29" t="str">
        <f t="shared" si="92"/>
        <v>#DIV/0!</v>
      </c>
      <c r="AY89" s="29" t="str">
        <f t="shared" si="92"/>
        <v>#DIV/0!</v>
      </c>
      <c r="AZ89" s="29" t="str">
        <f t="shared" si="92"/>
        <v>#DIV/0!</v>
      </c>
      <c r="BA89" s="29" t="str">
        <f t="shared" si="92"/>
        <v>#DIV/0!</v>
      </c>
      <c r="BB89" s="29" t="str">
        <f t="shared" si="92"/>
        <v>#DIV/0!</v>
      </c>
      <c r="BC89" s="29" t="str">
        <f t="shared" si="92"/>
        <v>#DIV/0!</v>
      </c>
      <c r="BD89" s="29" t="str">
        <f t="shared" si="92"/>
        <v>#DIV/0!</v>
      </c>
      <c r="BE89" s="29" t="str">
        <f t="shared" si="92"/>
        <v>#DIV/0!</v>
      </c>
      <c r="BF89" s="29" t="str">
        <f t="shared" si="92"/>
        <v>#DIV/0!</v>
      </c>
      <c r="BG89" s="29" t="str">
        <f t="shared" si="92"/>
        <v>#DIV/0!</v>
      </c>
      <c r="BH89" s="29" t="str">
        <f t="shared" si="92"/>
        <v>#DIV/0!</v>
      </c>
      <c r="BI89" s="29" t="str">
        <f t="shared" si="92"/>
        <v>#DIV/0!</v>
      </c>
      <c r="BJ89" s="29" t="str">
        <f t="shared" si="92"/>
        <v>#DIV/0!</v>
      </c>
      <c r="BK89" s="29" t="str">
        <f t="shared" si="92"/>
        <v>#DIV/0!</v>
      </c>
      <c r="BL89" s="29" t="str">
        <f t="shared" si="92"/>
        <v>#DIV/0!</v>
      </c>
      <c r="BM89" s="29" t="str">
        <f t="shared" si="3"/>
        <v>#DIV/0!</v>
      </c>
    </row>
    <row r="90">
      <c r="A90" s="16" t="str">
        <f>IFERROR(__xludf.DUMMYFUNCTION("IFERROR(SPARKLINE(SORT(MAP(TRANSPOSE(AQ90:BL90), LAMBDA(val, IF(ISNUMBER(val), PERCENTRANK(AQ90:BL90, val)+0.01, 0))), SEQUENCE(COLUMNS(AQ90:BL90)), FALSE), {""charttype"",""column""; ""color"",""chartreuse""; ""ymin"", 0; ""ymax"", 1.01; ""highcolor"", "&amp;"""darkgreen""; ""lowcolor"", ""red""}), """")"),"")</f>
        <v/>
      </c>
      <c r="B90" s="17" t="str">
        <f t="shared" si="4"/>
        <v/>
      </c>
      <c r="C90" s="1" t="s">
        <v>519</v>
      </c>
      <c r="D90" s="30" t="str">
        <f>IFERROR(__xludf.DUMMYFUNCTION("IFERROR(GOOGLEFINANCE(C90, ""NAME""))"),"")</f>
        <v/>
      </c>
      <c r="E90" s="30" t="s">
        <v>52</v>
      </c>
      <c r="F90" s="33" t="str">
        <f>IFERROR(__xludf.DUMMYFUNCTION("( (GOOGLEFINANCE(C90, ""price"") - Q90) / Q90 ) / (R90 / 100)"),"Loading...")</f>
        <v>Loading...</v>
      </c>
      <c r="G90" s="20" t="str">
        <f>IFERROR(__xludf.DUMMYFUNCTION("AVERAGE(ARRAYFORMULA(100 * (QUERY(GOOGLEFINANCE(C90, ""high"", TODAY()-40, TODAY()), ""SELECT Col2 WHERE Col2 IS NOT NULL ORDER BY Col1 DESC LIMIT 20"", 0) / QUERY(GOOGLEFINANCE(C90, ""low"", TODAY()-40, TODAY()), ""SELECT Col2 WHERE Col2 IS NOT NULL ORDE"&amp;"R BY Col1 DESC LIMIT 20"", 0) - 1)))"),"#N/A")</f>
        <v>#N/A</v>
      </c>
      <c r="H90" s="35" t="str">
        <f t="shared" si="6"/>
        <v/>
      </c>
      <c r="I90" s="36" t="str">
        <f t="shared" si="7"/>
        <v/>
      </c>
      <c r="J90" s="37" t="str">
        <f>IFERROR(__xludf.DUMMYFUNCTION("IFERROR(
  IF(C90="""",, 
    IFERROR(
      GOOGLEFINANCE(C90, ""price"") * GOOGLEFINANCE(C90, ""volumeavg""), 
      GOOGLEFINANCE(C90, ""price"") * AVERAGE(QUERY(GOOGLEFINANCE(C90, ""volume"", TODAY()-40, TODAY()), ""SELECT Col2 WHERE Col2 IS NOT NULL "&amp;"ORDER BY Col1 DESC LIMIT 20"", 0))
    )
  ), 
"""")"),"")</f>
        <v/>
      </c>
      <c r="K90" s="21" t="str">
        <f>IFERROR(__xludf.DUMMYFUNCTION("IFERROR(GOOGLEFINANCE(C90, ""changepct"") / 100, """")"),"")</f>
        <v/>
      </c>
      <c r="L90" s="21" t="str">
        <f>IFERROR(__xludf.DUMMYFUNCTION("IFERROR((GOOGLEFINANCE(C90, ""price"") / INDEX(GOOGLEFINANCE(C90, ""price"", TODAY()-7, TODAY()), 2, 2)) - 1, """")"),"")</f>
        <v/>
      </c>
      <c r="M90" s="21" t="str">
        <f>IFERROR(__xludf.DUMMYFUNCTION("IFERROR((GOOGLEFINANCE(C90, ""price"") / INDEX(GOOGLEFINANCE(C90, ""price"", EDATE(TODAY(), -1), TODAY()), 2, 2)) - 1, """")"),"")</f>
        <v/>
      </c>
      <c r="N90" s="21" t="str">
        <f>IFERROR(__xludf.DUMMYFUNCTION("IFERROR((GOOGLEFINANCE(C90, ""price"") / INDEX(GOOGLEFINANCE(C90, ""price"", EDATE(TODAY(), -3), TODAY()), 2, 2)) - 1, """")"),"")</f>
        <v/>
      </c>
      <c r="O90" s="21" t="str">
        <f>IFERROR(__xludf.DUMMYFUNCTION("IFERROR((GOOGLEFINANCE(C90, ""price"") / INDEX(GOOGLEFINANCE(C90, ""price"", EDATE(TODAY(), -6), TODAY()), 2, 2)) - 1, """")"),"")</f>
        <v/>
      </c>
      <c r="P90" s="21" t="str">
        <f>IFERROR(__xludf.DUMMYFUNCTION("IFERROR((GOOGLEFINANCE(C90, ""price"") / INDEX(GOOGLEFINANCE(C90, ""price"", EDATE(TODAY(), -12), TODAY()), 2, 2)) - 1, """")"),"")</f>
        <v/>
      </c>
      <c r="Q90" s="6" t="str">
        <f>IFERROR(__xludf.DUMMYFUNCTION("AVERAGE(QUERY(GOOGLEFINANCE(C90, ""price"", TODAY()-80, TODAY()), ""SELECT Col2 WHERE Col2 IS NOT NULL ORDER BY Col1 DESC LIMIT 50"", 0))"),"#N/A")</f>
        <v>#N/A</v>
      </c>
      <c r="R90" s="24" t="str">
        <f>IFERROR(__xludf.DUMMYFUNCTION("IFERROR(
  LET(
    data, QUERY(GOOGLEFINANCE(C90,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GOOGLEFINANCE(C90, ""price"")) * 100,
    IF(calc=0, G90, calc)
  ), 
G90)"),"#N/A")</f>
        <v>#N/A</v>
      </c>
      <c r="S90" s="8" t="s">
        <v>15</v>
      </c>
      <c r="T90" s="26" t="str">
        <f>IFERROR(__xludf.DUMMYFUNCTION("IFERROR(TRANSPOSE(QUERY(IFERROR(SORT(GOOGLEFINANCE(C90, ""price"", WORKDAY(TODAY(), -40), TODAY()), 1, FALSE)), ""select Col2 where Col2 is not null limit 22 label Col2 ''"", 0)), """")"),"")</f>
        <v/>
      </c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8"/>
      <c r="AO90" s="28"/>
      <c r="AP90" s="29"/>
      <c r="AQ90" s="29" t="str">
        <f t="shared" ref="AQ90:BL90" si="93">T90/T$2</f>
        <v>#N/A</v>
      </c>
      <c r="AR90" s="29" t="str">
        <f t="shared" si="93"/>
        <v>#DIV/0!</v>
      </c>
      <c r="AS90" s="29" t="str">
        <f t="shared" si="93"/>
        <v>#DIV/0!</v>
      </c>
      <c r="AT90" s="29" t="str">
        <f t="shared" si="93"/>
        <v>#DIV/0!</v>
      </c>
      <c r="AU90" s="29" t="str">
        <f t="shared" si="93"/>
        <v>#DIV/0!</v>
      </c>
      <c r="AV90" s="29" t="str">
        <f t="shared" si="93"/>
        <v>#DIV/0!</v>
      </c>
      <c r="AW90" s="29" t="str">
        <f t="shared" si="93"/>
        <v>#DIV/0!</v>
      </c>
      <c r="AX90" s="29" t="str">
        <f t="shared" si="93"/>
        <v>#DIV/0!</v>
      </c>
      <c r="AY90" s="29" t="str">
        <f t="shared" si="93"/>
        <v>#DIV/0!</v>
      </c>
      <c r="AZ90" s="29" t="str">
        <f t="shared" si="93"/>
        <v>#DIV/0!</v>
      </c>
      <c r="BA90" s="29" t="str">
        <f t="shared" si="93"/>
        <v>#DIV/0!</v>
      </c>
      <c r="BB90" s="29" t="str">
        <f t="shared" si="93"/>
        <v>#DIV/0!</v>
      </c>
      <c r="BC90" s="29" t="str">
        <f t="shared" si="93"/>
        <v>#DIV/0!</v>
      </c>
      <c r="BD90" s="29" t="str">
        <f t="shared" si="93"/>
        <v>#DIV/0!</v>
      </c>
      <c r="BE90" s="29" t="str">
        <f t="shared" si="93"/>
        <v>#DIV/0!</v>
      </c>
      <c r="BF90" s="29" t="str">
        <f t="shared" si="93"/>
        <v>#DIV/0!</v>
      </c>
      <c r="BG90" s="29" t="str">
        <f t="shared" si="93"/>
        <v>#DIV/0!</v>
      </c>
      <c r="BH90" s="29" t="str">
        <f t="shared" si="93"/>
        <v>#DIV/0!</v>
      </c>
      <c r="BI90" s="29" t="str">
        <f t="shared" si="93"/>
        <v>#DIV/0!</v>
      </c>
      <c r="BJ90" s="29" t="str">
        <f t="shared" si="93"/>
        <v>#DIV/0!</v>
      </c>
      <c r="BK90" s="29" t="str">
        <f t="shared" si="93"/>
        <v>#DIV/0!</v>
      </c>
      <c r="BL90" s="29" t="str">
        <f t="shared" si="93"/>
        <v>#DIV/0!</v>
      </c>
      <c r="BM90" s="29" t="str">
        <f t="shared" si="3"/>
        <v>#DIV/0!</v>
      </c>
    </row>
    <row r="91">
      <c r="A91" s="16" t="str">
        <f>IFERROR(__xludf.DUMMYFUNCTION("IFERROR(SPARKLINE(SORT(MAP(TRANSPOSE(AQ91:BL91), LAMBDA(val, IF(ISNUMBER(val), PERCENTRANK(AQ91:BL91, val)+0.01, 0))), SEQUENCE(COLUMNS(AQ91:BL91)), FALSE), {""charttype"",""column""; ""color"",""chartreuse""; ""ymin"", 0; ""ymax"", 1.01; ""highcolor"", "&amp;"""darkgreen""; ""lowcolor"", ""red""}), """")"),"")</f>
        <v/>
      </c>
      <c r="B91" s="17" t="str">
        <f t="shared" si="4"/>
        <v/>
      </c>
      <c r="C91" s="1" t="s">
        <v>522</v>
      </c>
      <c r="D91" s="30" t="str">
        <f>IFERROR(__xludf.DUMMYFUNCTION("IFERROR(GOOGLEFINANCE(C91, ""NAME""))"),"")</f>
        <v/>
      </c>
      <c r="E91" s="30" t="s">
        <v>52</v>
      </c>
      <c r="F91" s="33" t="str">
        <f>IFERROR(__xludf.DUMMYFUNCTION("( (GOOGLEFINANCE(C91, ""price"") - Q91) / Q91 ) / (R91 / 100)"),"Loading...")</f>
        <v>Loading...</v>
      </c>
      <c r="G91" s="20" t="str">
        <f>IFERROR(__xludf.DUMMYFUNCTION("AVERAGE(ARRAYFORMULA(100 * (QUERY(GOOGLEFINANCE(C91, ""high"", TODAY()-40, TODAY()), ""SELECT Col2 WHERE Col2 IS NOT NULL ORDER BY Col1 DESC LIMIT 20"", 0) / QUERY(GOOGLEFINANCE(C91, ""low"", TODAY()-40, TODAY()), ""SELECT Col2 WHERE Col2 IS NOT NULL ORDE"&amp;"R BY Col1 DESC LIMIT 20"", 0) - 1)))"),"#N/A")</f>
        <v>#N/A</v>
      </c>
      <c r="H91" s="35" t="str">
        <f t="shared" si="6"/>
        <v/>
      </c>
      <c r="I91" s="36" t="str">
        <f t="shared" si="7"/>
        <v/>
      </c>
      <c r="J91" s="37" t="str">
        <f>IFERROR(__xludf.DUMMYFUNCTION("IFERROR(
  IF(C91="""",, 
    IFERROR(
      GOOGLEFINANCE(C91, ""price"") * GOOGLEFINANCE(C91, ""volumeavg""), 
      GOOGLEFINANCE(C91, ""price"") * AVERAGE(QUERY(GOOGLEFINANCE(C91, ""volume"", TODAY()-40, TODAY()), ""SELECT Col2 WHERE Col2 IS NOT NULL "&amp;"ORDER BY Col1 DESC LIMIT 20"", 0))
    )
  ), 
"""")"),"")</f>
        <v/>
      </c>
      <c r="K91" s="21" t="str">
        <f>IFERROR(__xludf.DUMMYFUNCTION("IFERROR(GOOGLEFINANCE(C91, ""changepct"") / 100, """")"),"")</f>
        <v/>
      </c>
      <c r="L91" s="21" t="str">
        <f>IFERROR(__xludf.DUMMYFUNCTION("IFERROR((GOOGLEFINANCE(C91, ""price"") / INDEX(GOOGLEFINANCE(C91, ""price"", TODAY()-7, TODAY()), 2, 2)) - 1, """")"),"")</f>
        <v/>
      </c>
      <c r="M91" s="21" t="str">
        <f>IFERROR(__xludf.DUMMYFUNCTION("IFERROR((GOOGLEFINANCE(C91, ""price"") / INDEX(GOOGLEFINANCE(C91, ""price"", EDATE(TODAY(), -1), TODAY()), 2, 2)) - 1, """")"),"")</f>
        <v/>
      </c>
      <c r="N91" s="21" t="str">
        <f>IFERROR(__xludf.DUMMYFUNCTION("IFERROR((GOOGLEFINANCE(C91, ""price"") / INDEX(GOOGLEFINANCE(C91, ""price"", EDATE(TODAY(), -3), TODAY()), 2, 2)) - 1, """")"),"")</f>
        <v/>
      </c>
      <c r="O91" s="21" t="str">
        <f>IFERROR(__xludf.DUMMYFUNCTION("IFERROR((GOOGLEFINANCE(C91, ""price"") / INDEX(GOOGLEFINANCE(C91, ""price"", EDATE(TODAY(), -6), TODAY()), 2, 2)) - 1, """")"),"")</f>
        <v/>
      </c>
      <c r="P91" s="21" t="str">
        <f>IFERROR(__xludf.DUMMYFUNCTION("IFERROR((GOOGLEFINANCE(C91, ""price"") / INDEX(GOOGLEFINANCE(C91, ""price"", EDATE(TODAY(), -12), TODAY()), 2, 2)) - 1, """")"),"")</f>
        <v/>
      </c>
      <c r="Q91" s="6" t="str">
        <f>IFERROR(__xludf.DUMMYFUNCTION("AVERAGE(QUERY(GOOGLEFINANCE(C91, ""price"", TODAY()-80, TODAY()), ""SELECT Col2 WHERE Col2 IS NOT NULL ORDER BY Col1 DESC LIMIT 50"", 0))"),"#N/A")</f>
        <v>#N/A</v>
      </c>
      <c r="R91" s="24" t="str">
        <f>IFERROR(__xludf.DUMMYFUNCTION("IFERROR(
  LET(
    data, QUERY(GOOGLEFINANCE(C91,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GOOGLEFINANCE(C91, ""price"")) * 100,
    IF(calc=0, G91, calc)
  ), 
G91)"),"#N/A")</f>
        <v>#N/A</v>
      </c>
      <c r="S91" s="8" t="s">
        <v>15</v>
      </c>
      <c r="T91" s="26" t="str">
        <f>IFERROR(__xludf.DUMMYFUNCTION("IFERROR(TRANSPOSE(QUERY(IFERROR(SORT(GOOGLEFINANCE(C91, ""price"", WORKDAY(TODAY(), -40), TODAY()), 1, FALSE)), ""select Col2 where Col2 is not null limit 22 label Col2 ''"", 0)), """")"),"")</f>
        <v/>
      </c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8"/>
      <c r="AO91" s="28"/>
      <c r="AP91" s="29"/>
      <c r="AQ91" s="29" t="str">
        <f t="shared" ref="AQ91:BL91" si="94">T91/T$2</f>
        <v>#N/A</v>
      </c>
      <c r="AR91" s="29" t="str">
        <f t="shared" si="94"/>
        <v>#DIV/0!</v>
      </c>
      <c r="AS91" s="29" t="str">
        <f t="shared" si="94"/>
        <v>#DIV/0!</v>
      </c>
      <c r="AT91" s="29" t="str">
        <f t="shared" si="94"/>
        <v>#DIV/0!</v>
      </c>
      <c r="AU91" s="29" t="str">
        <f t="shared" si="94"/>
        <v>#DIV/0!</v>
      </c>
      <c r="AV91" s="29" t="str">
        <f t="shared" si="94"/>
        <v>#DIV/0!</v>
      </c>
      <c r="AW91" s="29" t="str">
        <f t="shared" si="94"/>
        <v>#DIV/0!</v>
      </c>
      <c r="AX91" s="29" t="str">
        <f t="shared" si="94"/>
        <v>#DIV/0!</v>
      </c>
      <c r="AY91" s="29" t="str">
        <f t="shared" si="94"/>
        <v>#DIV/0!</v>
      </c>
      <c r="AZ91" s="29" t="str">
        <f t="shared" si="94"/>
        <v>#DIV/0!</v>
      </c>
      <c r="BA91" s="29" t="str">
        <f t="shared" si="94"/>
        <v>#DIV/0!</v>
      </c>
      <c r="BB91" s="29" t="str">
        <f t="shared" si="94"/>
        <v>#DIV/0!</v>
      </c>
      <c r="BC91" s="29" t="str">
        <f t="shared" si="94"/>
        <v>#DIV/0!</v>
      </c>
      <c r="BD91" s="29" t="str">
        <f t="shared" si="94"/>
        <v>#DIV/0!</v>
      </c>
      <c r="BE91" s="29" t="str">
        <f t="shared" si="94"/>
        <v>#DIV/0!</v>
      </c>
      <c r="BF91" s="29" t="str">
        <f t="shared" si="94"/>
        <v>#DIV/0!</v>
      </c>
      <c r="BG91" s="29" t="str">
        <f t="shared" si="94"/>
        <v>#DIV/0!</v>
      </c>
      <c r="BH91" s="29" t="str">
        <f t="shared" si="94"/>
        <v>#DIV/0!</v>
      </c>
      <c r="BI91" s="29" t="str">
        <f t="shared" si="94"/>
        <v>#DIV/0!</v>
      </c>
      <c r="BJ91" s="29" t="str">
        <f t="shared" si="94"/>
        <v>#DIV/0!</v>
      </c>
      <c r="BK91" s="29" t="str">
        <f t="shared" si="94"/>
        <v>#DIV/0!</v>
      </c>
      <c r="BL91" s="29" t="str">
        <f t="shared" si="94"/>
        <v>#DIV/0!</v>
      </c>
      <c r="BM91" s="29" t="str">
        <f t="shared" si="3"/>
        <v>#DIV/0!</v>
      </c>
    </row>
    <row r="92">
      <c r="A92" s="16" t="str">
        <f>IFERROR(__xludf.DUMMYFUNCTION("IFERROR(SPARKLINE(SORT(MAP(TRANSPOSE(AQ92:BL92), LAMBDA(val, IF(ISNUMBER(val), PERCENTRANK(AQ92:BL92, val)+0.01, 0))), SEQUENCE(COLUMNS(AQ92:BL92)), FALSE), {""charttype"",""column""; ""color"",""chartreuse""; ""ymin"", 0; ""ymax"", 1.01; ""highcolor"", "&amp;"""darkgreen""; ""lowcolor"", ""red""}), """")"),"")</f>
        <v/>
      </c>
      <c r="B92" s="17" t="str">
        <f t="shared" si="4"/>
        <v/>
      </c>
      <c r="C92" s="1" t="s">
        <v>526</v>
      </c>
      <c r="D92" s="30" t="str">
        <f>IFERROR(__xludf.DUMMYFUNCTION("IFERROR(GOOGLEFINANCE(C92, ""NAME""))"),"Charter Communications Inc")</f>
        <v>Charter Communications Inc</v>
      </c>
      <c r="E92" s="30" t="s">
        <v>52</v>
      </c>
      <c r="F92" s="33" t="str">
        <f>IFERROR(__xludf.DUMMYFUNCTION("( (GOOGLEFINANCE(C92, ""price"") - Q92) / Q92 ) / (R92 / 100)"),"Loading...")</f>
        <v>Loading...</v>
      </c>
      <c r="G92" s="20" t="str">
        <f>IFERROR(__xludf.DUMMYFUNCTION("AVERAGE(ARRAYFORMULA(100 * (QUERY(GOOGLEFINANCE(C92, ""high"", TODAY()-40, TODAY()), ""SELECT Col2 WHERE Col2 IS NOT NULL ORDER BY Col1 DESC LIMIT 20"", 0) / QUERY(GOOGLEFINANCE(C92, ""low"", TODAY()-40, TODAY()), ""SELECT Col2 WHERE Col2 IS NOT NULL ORDE"&amp;"R BY Col1 DESC LIMIT 20"", 0) - 1)))"),"#N/A")</f>
        <v>#N/A</v>
      </c>
      <c r="H92" s="35" t="str">
        <f t="shared" si="6"/>
        <v>Liquid</v>
      </c>
      <c r="I92" s="36" t="str">
        <f t="shared" si="7"/>
        <v>RVol Required</v>
      </c>
      <c r="J92" s="37">
        <f>IFERROR(__xludf.DUMMYFUNCTION("IFERROR(
  IF(C92="""",, 
    IFERROR(
      GOOGLEFINANCE(C92, ""price"") * GOOGLEFINANCE(C92, ""volumeavg""), 
      GOOGLEFINANCE(C92, ""price"") * AVERAGE(QUERY(GOOGLEFINANCE(C92, ""volume"", TODAY()-40, TODAY()), ""SELECT Col2 WHERE Col2 IS NOT NULL "&amp;"ORDER BY Col1 DESC LIMIT 20"", 0))
    )
  ), 
"""")"),3.4053972953E8)</f>
        <v>340539729.5</v>
      </c>
      <c r="K92" s="21">
        <f>IFERROR(__xludf.DUMMYFUNCTION("IFERROR(GOOGLEFINANCE(C92, ""changepct"") / 100, """")"),0.0011)</f>
        <v>0.0011</v>
      </c>
      <c r="L92" s="21" t="str">
        <f>IFERROR(__xludf.DUMMYFUNCTION("IFERROR((GOOGLEFINANCE(C92, ""price"") / INDEX(GOOGLEFINANCE(C92, ""price"", TODAY()-7, TODAY()), 2, 2)) - 1, """")"),"")</f>
        <v/>
      </c>
      <c r="M92" s="21" t="str">
        <f>IFERROR(__xludf.DUMMYFUNCTION("IFERROR((GOOGLEFINANCE(C92, ""price"") / INDEX(GOOGLEFINANCE(C92, ""price"", EDATE(TODAY(), -1), TODAY()), 2, 2)) - 1, """")"),"")</f>
        <v/>
      </c>
      <c r="N92" s="21" t="str">
        <f>IFERROR(__xludf.DUMMYFUNCTION("IFERROR((GOOGLEFINANCE(C92, ""price"") / INDEX(GOOGLEFINANCE(C92, ""price"", EDATE(TODAY(), -3), TODAY()), 2, 2)) - 1, """")"),"")</f>
        <v/>
      </c>
      <c r="O92" s="21" t="str">
        <f>IFERROR(__xludf.DUMMYFUNCTION("IFERROR((GOOGLEFINANCE(C92, ""price"") / INDEX(GOOGLEFINANCE(C92, ""price"", EDATE(TODAY(), -6), TODAY()), 2, 2)) - 1, """")"),"")</f>
        <v/>
      </c>
      <c r="P92" s="21" t="str">
        <f>IFERROR(__xludf.DUMMYFUNCTION("IFERROR((GOOGLEFINANCE(C92, ""price"") / INDEX(GOOGLEFINANCE(C92, ""price"", EDATE(TODAY(), -12), TODAY()), 2, 2)) - 1, """")"),"")</f>
        <v/>
      </c>
      <c r="Q92" s="6" t="str">
        <f>IFERROR(__xludf.DUMMYFUNCTION("AVERAGE(QUERY(GOOGLEFINANCE(C92, ""price"", TODAY()-80, TODAY()), ""SELECT Col2 WHERE Col2 IS NOT NULL ORDER BY Col1 DESC LIMIT 50"", 0))"),"#N/A")</f>
        <v>#N/A</v>
      </c>
      <c r="R92" s="24" t="str">
        <f>IFERROR(__xludf.DUMMYFUNCTION("IFERROR(
  LET(
    data, QUERY(GOOGLEFINANCE(C92,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GOOGLEFINANCE(C92, ""price"")) * 100,
    IF(calc=0, G92, calc)
  ), 
G92)"),"#N/A")</f>
        <v>#N/A</v>
      </c>
      <c r="S92" s="8" t="s">
        <v>15</v>
      </c>
      <c r="T92" s="26" t="str">
        <f>IFERROR(__xludf.DUMMYFUNCTION("IFERROR(TRANSPOSE(QUERY(IFERROR(SORT(GOOGLEFINANCE(C92, ""price"", WORKDAY(TODAY(), -40), TODAY()), 1, FALSE)), ""select Col2 where Col2 is not null limit 22 label Col2 ''"", 0)), """")"),"")</f>
        <v/>
      </c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8"/>
      <c r="AO92" s="28"/>
      <c r="AP92" s="29"/>
      <c r="AQ92" s="29" t="str">
        <f t="shared" ref="AQ92:BL92" si="95">T92/T$2</f>
        <v>#N/A</v>
      </c>
      <c r="AR92" s="29" t="str">
        <f t="shared" si="95"/>
        <v>#DIV/0!</v>
      </c>
      <c r="AS92" s="29" t="str">
        <f t="shared" si="95"/>
        <v>#DIV/0!</v>
      </c>
      <c r="AT92" s="29" t="str">
        <f t="shared" si="95"/>
        <v>#DIV/0!</v>
      </c>
      <c r="AU92" s="29" t="str">
        <f t="shared" si="95"/>
        <v>#DIV/0!</v>
      </c>
      <c r="AV92" s="29" t="str">
        <f t="shared" si="95"/>
        <v>#DIV/0!</v>
      </c>
      <c r="AW92" s="29" t="str">
        <f t="shared" si="95"/>
        <v>#DIV/0!</v>
      </c>
      <c r="AX92" s="29" t="str">
        <f t="shared" si="95"/>
        <v>#DIV/0!</v>
      </c>
      <c r="AY92" s="29" t="str">
        <f t="shared" si="95"/>
        <v>#DIV/0!</v>
      </c>
      <c r="AZ92" s="29" t="str">
        <f t="shared" si="95"/>
        <v>#DIV/0!</v>
      </c>
      <c r="BA92" s="29" t="str">
        <f t="shared" si="95"/>
        <v>#DIV/0!</v>
      </c>
      <c r="BB92" s="29" t="str">
        <f t="shared" si="95"/>
        <v>#DIV/0!</v>
      </c>
      <c r="BC92" s="29" t="str">
        <f t="shared" si="95"/>
        <v>#DIV/0!</v>
      </c>
      <c r="BD92" s="29" t="str">
        <f t="shared" si="95"/>
        <v>#DIV/0!</v>
      </c>
      <c r="BE92" s="29" t="str">
        <f t="shared" si="95"/>
        <v>#DIV/0!</v>
      </c>
      <c r="BF92" s="29" t="str">
        <f t="shared" si="95"/>
        <v>#DIV/0!</v>
      </c>
      <c r="BG92" s="29" t="str">
        <f t="shared" si="95"/>
        <v>#DIV/0!</v>
      </c>
      <c r="BH92" s="29" t="str">
        <f t="shared" si="95"/>
        <v>#DIV/0!</v>
      </c>
      <c r="BI92" s="29" t="str">
        <f t="shared" si="95"/>
        <v>#DIV/0!</v>
      </c>
      <c r="BJ92" s="29" t="str">
        <f t="shared" si="95"/>
        <v>#DIV/0!</v>
      </c>
      <c r="BK92" s="29" t="str">
        <f t="shared" si="95"/>
        <v>#DIV/0!</v>
      </c>
      <c r="BL92" s="29" t="str">
        <f t="shared" si="95"/>
        <v>#DIV/0!</v>
      </c>
      <c r="BM92" s="29" t="str">
        <f t="shared" si="3"/>
        <v>#DIV/0!</v>
      </c>
    </row>
    <row r="93">
      <c r="A93" s="16" t="str">
        <f>IFERROR(__xludf.DUMMYFUNCTION("IFERROR(SPARKLINE(SORT(MAP(TRANSPOSE(AQ93:BL93), LAMBDA(val, IF(ISNUMBER(val), PERCENTRANK(AQ93:BL93, val)+0.01, 0))), SEQUENCE(COLUMNS(AQ93:BL93)), FALSE), {""charttype"",""column""; ""color"",""chartreuse""; ""ymin"", 0; ""ymax"", 1.01; ""highcolor"", "&amp;"""darkgreen""; ""lowcolor"", ""red""}), """")"),"")</f>
        <v/>
      </c>
      <c r="B93" s="17" t="str">
        <f t="shared" si="4"/>
        <v/>
      </c>
      <c r="C93" s="1" t="s">
        <v>531</v>
      </c>
      <c r="D93" s="30" t="str">
        <f>IFERROR(__xludf.DUMMYFUNCTION("IFERROR(GOOGLEFINANCE(C93, ""NAME""))"),"Pearson PLC")</f>
        <v>Pearson PLC</v>
      </c>
      <c r="E93" s="30" t="s">
        <v>402</v>
      </c>
      <c r="F93" s="33" t="str">
        <f>IFERROR(__xludf.DUMMYFUNCTION("( (GOOGLEFINANCE(C93, ""price"") - Q93) / Q93 ) / (R93 / 100)"),"Loading...")</f>
        <v>Loading...</v>
      </c>
      <c r="G93" s="20" t="str">
        <f>IFERROR(__xludf.DUMMYFUNCTION("AVERAGE(ARRAYFORMULA(100 * (QUERY(GOOGLEFINANCE(C93, ""high"", TODAY()-40, TODAY()), ""SELECT Col2 WHERE Col2 IS NOT NULL ORDER BY Col1 DESC LIMIT 20"", 0) / QUERY(GOOGLEFINANCE(C93, ""low"", TODAY()-40, TODAY()), ""SELECT Col2 WHERE Col2 IS NOT NULL ORDE"&amp;"R BY Col1 DESC LIMIT 20"", 0) - 1)))"),"#N/A")</f>
        <v>#N/A</v>
      </c>
      <c r="H93" s="35" t="str">
        <f t="shared" si="6"/>
        <v>Illiquid</v>
      </c>
      <c r="I93" s="36" t="str">
        <f t="shared" si="7"/>
        <v>RVol Required</v>
      </c>
      <c r="J93" s="37">
        <f>IFERROR(__xludf.DUMMYFUNCTION("IFERROR(
  IF(C93="""",, 
    IFERROR(
      GOOGLEFINANCE(C93, ""price"") * GOOGLEFINANCE(C93, ""volumeavg""), 
      GOOGLEFINANCE(C93, ""price"") * AVERAGE(QUERY(GOOGLEFINANCE(C93, ""volume"", TODAY()-40, TODAY()), ""SELECT Col2 WHERE Col2 IS NOT NULL "&amp;"ORDER BY Col1 DESC LIMIT 20"", 0))
    )
  ), 
"""")"),1.343737152E7)</f>
        <v>13437371.52</v>
      </c>
      <c r="K93" s="21">
        <f>IFERROR(__xludf.DUMMYFUNCTION("IFERROR(GOOGLEFINANCE(C93, ""changepct"") / 100, """")"),0.0213)</f>
        <v>0.0213</v>
      </c>
      <c r="L93" s="21" t="str">
        <f>IFERROR(__xludf.DUMMYFUNCTION("IFERROR((GOOGLEFINANCE(C93, ""price"") / INDEX(GOOGLEFINANCE(C93, ""price"", TODAY()-7, TODAY()), 2, 2)) - 1, """")"),"")</f>
        <v/>
      </c>
      <c r="M93" s="21" t="str">
        <f>IFERROR(__xludf.DUMMYFUNCTION("IFERROR((GOOGLEFINANCE(C93, ""price"") / INDEX(GOOGLEFINANCE(C93, ""price"", EDATE(TODAY(), -1), TODAY()), 2, 2)) - 1, """")"),"")</f>
        <v/>
      </c>
      <c r="N93" s="21" t="str">
        <f>IFERROR(__xludf.DUMMYFUNCTION("IFERROR((GOOGLEFINANCE(C93, ""price"") / INDEX(GOOGLEFINANCE(C93, ""price"", EDATE(TODAY(), -3), TODAY()), 2, 2)) - 1, """")"),"")</f>
        <v/>
      </c>
      <c r="O93" s="21" t="str">
        <f>IFERROR(__xludf.DUMMYFUNCTION("IFERROR((GOOGLEFINANCE(C93, ""price"") / INDEX(GOOGLEFINANCE(C93, ""price"", EDATE(TODAY(), -6), TODAY()), 2, 2)) - 1, """")"),"")</f>
        <v/>
      </c>
      <c r="P93" s="21" t="str">
        <f>IFERROR(__xludf.DUMMYFUNCTION("IFERROR((GOOGLEFINANCE(C93, ""price"") / INDEX(GOOGLEFINANCE(C93, ""price"", EDATE(TODAY(), -12), TODAY()), 2, 2)) - 1, """")"),"")</f>
        <v/>
      </c>
      <c r="Q93" s="6" t="str">
        <f>IFERROR(__xludf.DUMMYFUNCTION("AVERAGE(QUERY(GOOGLEFINANCE(C93, ""price"", TODAY()-80, TODAY()), ""SELECT Col2 WHERE Col2 IS NOT NULL ORDER BY Col1 DESC LIMIT 50"", 0))"),"#N/A")</f>
        <v>#N/A</v>
      </c>
      <c r="R93" s="24" t="str">
        <f>IFERROR(__xludf.DUMMYFUNCTION("IFERROR(
  LET(
    data, QUERY(GOOGLEFINANCE(C93,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GOOGLEFINANCE(C93, ""price"")) * 100,
    IF(calc=0, G93, calc)
  ), 
G93)"),"#N/A")</f>
        <v>#N/A</v>
      </c>
      <c r="S93" s="8" t="s">
        <v>15</v>
      </c>
      <c r="T93" s="26" t="str">
        <f>IFERROR(__xludf.DUMMYFUNCTION("IFERROR(TRANSPOSE(QUERY(IFERROR(SORT(GOOGLEFINANCE(C93, ""price"", WORKDAY(TODAY(), -40), TODAY()), 1, FALSE)), ""select Col2 where Col2 is not null limit 22 label Col2 ''"", 0)), """")"),"")</f>
        <v/>
      </c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8"/>
      <c r="AO93" s="28"/>
      <c r="AP93" s="29"/>
      <c r="AQ93" s="29" t="str">
        <f t="shared" ref="AQ93:BL93" si="96">T93/T$2</f>
        <v>#N/A</v>
      </c>
      <c r="AR93" s="29" t="str">
        <f t="shared" si="96"/>
        <v>#DIV/0!</v>
      </c>
      <c r="AS93" s="29" t="str">
        <f t="shared" si="96"/>
        <v>#DIV/0!</v>
      </c>
      <c r="AT93" s="29" t="str">
        <f t="shared" si="96"/>
        <v>#DIV/0!</v>
      </c>
      <c r="AU93" s="29" t="str">
        <f t="shared" si="96"/>
        <v>#DIV/0!</v>
      </c>
      <c r="AV93" s="29" t="str">
        <f t="shared" si="96"/>
        <v>#DIV/0!</v>
      </c>
      <c r="AW93" s="29" t="str">
        <f t="shared" si="96"/>
        <v>#DIV/0!</v>
      </c>
      <c r="AX93" s="29" t="str">
        <f t="shared" si="96"/>
        <v>#DIV/0!</v>
      </c>
      <c r="AY93" s="29" t="str">
        <f t="shared" si="96"/>
        <v>#DIV/0!</v>
      </c>
      <c r="AZ93" s="29" t="str">
        <f t="shared" si="96"/>
        <v>#DIV/0!</v>
      </c>
      <c r="BA93" s="29" t="str">
        <f t="shared" si="96"/>
        <v>#DIV/0!</v>
      </c>
      <c r="BB93" s="29" t="str">
        <f t="shared" si="96"/>
        <v>#DIV/0!</v>
      </c>
      <c r="BC93" s="29" t="str">
        <f t="shared" si="96"/>
        <v>#DIV/0!</v>
      </c>
      <c r="BD93" s="29" t="str">
        <f t="shared" si="96"/>
        <v>#DIV/0!</v>
      </c>
      <c r="BE93" s="29" t="str">
        <f t="shared" si="96"/>
        <v>#DIV/0!</v>
      </c>
      <c r="BF93" s="29" t="str">
        <f t="shared" si="96"/>
        <v>#DIV/0!</v>
      </c>
      <c r="BG93" s="29" t="str">
        <f t="shared" si="96"/>
        <v>#DIV/0!</v>
      </c>
      <c r="BH93" s="29" t="str">
        <f t="shared" si="96"/>
        <v>#DIV/0!</v>
      </c>
      <c r="BI93" s="29" t="str">
        <f t="shared" si="96"/>
        <v>#DIV/0!</v>
      </c>
      <c r="BJ93" s="29" t="str">
        <f t="shared" si="96"/>
        <v>#DIV/0!</v>
      </c>
      <c r="BK93" s="29" t="str">
        <f t="shared" si="96"/>
        <v>#DIV/0!</v>
      </c>
      <c r="BL93" s="29" t="str">
        <f t="shared" si="96"/>
        <v>#DIV/0!</v>
      </c>
      <c r="BM93" s="29" t="str">
        <f t="shared" si="3"/>
        <v>#DIV/0!</v>
      </c>
    </row>
    <row r="94">
      <c r="A94" s="16" t="str">
        <f>IFERROR(__xludf.DUMMYFUNCTION("IFERROR(SPARKLINE(SORT(MAP(TRANSPOSE(AQ94:BL94), LAMBDA(val, IF(ISNUMBER(val), PERCENTRANK(AQ94:BL94, val)+0.01, 0))), SEQUENCE(COLUMNS(AQ94:BL94)), FALSE), {""charttype"",""column""; ""color"",""chartreuse""; ""ymin"", 0; ""ymax"", 1.01; ""highcolor"", "&amp;"""darkgreen""; ""lowcolor"", ""red""}), """")"),"")</f>
        <v/>
      </c>
      <c r="B94" s="17" t="str">
        <f t="shared" si="4"/>
        <v/>
      </c>
      <c r="C94" s="1" t="s">
        <v>535</v>
      </c>
      <c r="D94" s="30" t="str">
        <f>IFERROR(__xludf.DUMMYFUNCTION("IFERROR(GOOGLEFINANCE(C94, ""NAME""))"),"New York Times Co")</f>
        <v>New York Times Co</v>
      </c>
      <c r="E94" s="30" t="s">
        <v>402</v>
      </c>
      <c r="F94" s="38" t="str">
        <f>IFERROR(__xludf.DUMMYFUNCTION("( (GOOGLEFINANCE(C94, ""price"") - Q94) / Q94 ) / (R94 / 100)"),"Loading...")</f>
        <v>Loading...</v>
      </c>
      <c r="G94" s="20" t="str">
        <f>IFERROR(__xludf.DUMMYFUNCTION("AVERAGE(ARRAYFORMULA(100 * (QUERY(GOOGLEFINANCE(C94, ""high"", TODAY()-40, TODAY()), ""SELECT Col2 WHERE Col2 IS NOT NULL ORDER BY Col1 DESC LIMIT 20"", 0) / QUERY(GOOGLEFINANCE(C94, ""low"", TODAY()-40, TODAY()), ""SELECT Col2 WHERE Col2 IS NOT NULL ORDE"&amp;"R BY Col1 DESC LIMIT 20"", 0) - 1)))"),"#N/A")</f>
        <v>#N/A</v>
      </c>
      <c r="H94" s="35" t="str">
        <f t="shared" si="6"/>
        <v>Liquid</v>
      </c>
      <c r="I94" s="36" t="str">
        <f t="shared" si="7"/>
        <v>RVol Required</v>
      </c>
      <c r="J94" s="37">
        <f>IFERROR(__xludf.DUMMYFUNCTION("IFERROR(
  IF(C94="""",, 
    IFERROR(
      GOOGLEFINANCE(C94, ""price"") * GOOGLEFINANCE(C94, ""volumeavg""), 
      GOOGLEFINANCE(C94, ""price"") * AVERAGE(QUERY(GOOGLEFINANCE(C94, ""volume"", TODAY()-40, TODAY()), ""SELECT Col2 WHERE Col2 IS NOT NULL "&amp;"ORDER BY Col1 DESC LIMIT 20"", 0))
    )
  ), 
"""")"),2.0524217792000002E8)</f>
        <v>205242177.9</v>
      </c>
      <c r="K94" s="21">
        <f>IFERROR(__xludf.DUMMYFUNCTION("IFERROR(GOOGLEFINANCE(C94, ""changepct"") / 100, """")"),-0.0168)</f>
        <v>-0.0168</v>
      </c>
      <c r="L94" s="21" t="str">
        <f>IFERROR(__xludf.DUMMYFUNCTION("IFERROR((GOOGLEFINANCE(C94, ""price"") / INDEX(GOOGLEFINANCE(C94, ""price"", TODAY()-7, TODAY()), 2, 2)) - 1, """")"),"")</f>
        <v/>
      </c>
      <c r="M94" s="21" t="str">
        <f>IFERROR(__xludf.DUMMYFUNCTION("IFERROR((GOOGLEFINANCE(C94, ""price"") / INDEX(GOOGLEFINANCE(C94, ""price"", EDATE(TODAY(), -1), TODAY()), 2, 2)) - 1, """")"),"")</f>
        <v/>
      </c>
      <c r="N94" s="21" t="str">
        <f>IFERROR(__xludf.DUMMYFUNCTION("IFERROR((GOOGLEFINANCE(C94, ""price"") / INDEX(GOOGLEFINANCE(C94, ""price"", EDATE(TODAY(), -3), TODAY()), 2, 2)) - 1, """")"),"")</f>
        <v/>
      </c>
      <c r="O94" s="21" t="str">
        <f>IFERROR(__xludf.DUMMYFUNCTION("IFERROR((GOOGLEFINANCE(C94, ""price"") / INDEX(GOOGLEFINANCE(C94, ""price"", EDATE(TODAY(), -6), TODAY()), 2, 2)) - 1, """")"),"")</f>
        <v/>
      </c>
      <c r="P94" s="21" t="str">
        <f>IFERROR(__xludf.DUMMYFUNCTION("IFERROR((GOOGLEFINANCE(C94, ""price"") / INDEX(GOOGLEFINANCE(C94, ""price"", EDATE(TODAY(), -12), TODAY()), 2, 2)) - 1, """")"),"")</f>
        <v/>
      </c>
      <c r="Q94" s="6" t="str">
        <f>IFERROR(__xludf.DUMMYFUNCTION("AVERAGE(QUERY(GOOGLEFINANCE(C94, ""price"", TODAY()-80, TODAY()), ""SELECT Col2 WHERE Col2 IS NOT NULL ORDER BY Col1 DESC LIMIT 50"", 0))"),"#N/A")</f>
        <v>#N/A</v>
      </c>
      <c r="R94" s="24" t="str">
        <f>IFERROR(__xludf.DUMMYFUNCTION("IFERROR(
  LET(
    data, QUERY(GOOGLEFINANCE(C94,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GOOGLEFINANCE(C94, ""price"")) * 100,
    IF(calc=0, G94, calc)
  ), 
G94)"),"#N/A")</f>
        <v>#N/A</v>
      </c>
      <c r="S94" s="8" t="s">
        <v>15</v>
      </c>
      <c r="T94" s="26" t="str">
        <f>IFERROR(__xludf.DUMMYFUNCTION("IFERROR(TRANSPOSE(QUERY(IFERROR(SORT(GOOGLEFINANCE(C94, ""price"", WORKDAY(TODAY(), -40), TODAY()), 1, FALSE)), ""select Col2 where Col2 is not null limit 22 label Col2 ''"", 0)), """")"),"")</f>
        <v/>
      </c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8"/>
      <c r="AO94" s="28"/>
      <c r="AP94" s="29"/>
      <c r="AQ94" s="29" t="str">
        <f t="shared" ref="AQ94:BL94" si="97">T94/T$2</f>
        <v>#N/A</v>
      </c>
      <c r="AR94" s="29" t="str">
        <f t="shared" si="97"/>
        <v>#DIV/0!</v>
      </c>
      <c r="AS94" s="29" t="str">
        <f t="shared" si="97"/>
        <v>#DIV/0!</v>
      </c>
      <c r="AT94" s="29" t="str">
        <f t="shared" si="97"/>
        <v>#DIV/0!</v>
      </c>
      <c r="AU94" s="29" t="str">
        <f t="shared" si="97"/>
        <v>#DIV/0!</v>
      </c>
      <c r="AV94" s="29" t="str">
        <f t="shared" si="97"/>
        <v>#DIV/0!</v>
      </c>
      <c r="AW94" s="29" t="str">
        <f t="shared" si="97"/>
        <v>#DIV/0!</v>
      </c>
      <c r="AX94" s="29" t="str">
        <f t="shared" si="97"/>
        <v>#DIV/0!</v>
      </c>
      <c r="AY94" s="29" t="str">
        <f t="shared" si="97"/>
        <v>#DIV/0!</v>
      </c>
      <c r="AZ94" s="29" t="str">
        <f t="shared" si="97"/>
        <v>#DIV/0!</v>
      </c>
      <c r="BA94" s="29" t="str">
        <f t="shared" si="97"/>
        <v>#DIV/0!</v>
      </c>
      <c r="BB94" s="29" t="str">
        <f t="shared" si="97"/>
        <v>#DIV/0!</v>
      </c>
      <c r="BC94" s="29" t="str">
        <f t="shared" si="97"/>
        <v>#DIV/0!</v>
      </c>
      <c r="BD94" s="29" t="str">
        <f t="shared" si="97"/>
        <v>#DIV/0!</v>
      </c>
      <c r="BE94" s="29" t="str">
        <f t="shared" si="97"/>
        <v>#DIV/0!</v>
      </c>
      <c r="BF94" s="29" t="str">
        <f t="shared" si="97"/>
        <v>#DIV/0!</v>
      </c>
      <c r="BG94" s="29" t="str">
        <f t="shared" si="97"/>
        <v>#DIV/0!</v>
      </c>
      <c r="BH94" s="29" t="str">
        <f t="shared" si="97"/>
        <v>#DIV/0!</v>
      </c>
      <c r="BI94" s="29" t="str">
        <f t="shared" si="97"/>
        <v>#DIV/0!</v>
      </c>
      <c r="BJ94" s="29" t="str">
        <f t="shared" si="97"/>
        <v>#DIV/0!</v>
      </c>
      <c r="BK94" s="29" t="str">
        <f t="shared" si="97"/>
        <v>#DIV/0!</v>
      </c>
      <c r="BL94" s="29" t="str">
        <f t="shared" si="97"/>
        <v>#DIV/0!</v>
      </c>
      <c r="BM94" s="29" t="str">
        <f t="shared" si="3"/>
        <v>#DIV/0!</v>
      </c>
    </row>
    <row r="95">
      <c r="A95" s="16" t="str">
        <f>IFERROR(__xludf.DUMMYFUNCTION("IFERROR(SPARKLINE(SORT(MAP(TRANSPOSE(AQ95:BL95), LAMBDA(val, IF(ISNUMBER(val), PERCENTRANK(AQ95:BL95, val)+0.01, 0))), SEQUENCE(COLUMNS(AQ95:BL95)), FALSE), {""charttype"",""column""; ""color"",""chartreuse""; ""ymin"", 0; ""ymax"", 1.01; ""highcolor"", "&amp;"""darkgreen""; ""lowcolor"", ""red""}), """")"),"")</f>
        <v/>
      </c>
      <c r="B95" s="17" t="str">
        <f t="shared" si="4"/>
        <v/>
      </c>
      <c r="C95" s="1" t="s">
        <v>538</v>
      </c>
      <c r="D95" s="30" t="str">
        <f>IFERROR(__xludf.DUMMYFUNCTION("IFERROR(GOOGLEFINANCE(C95, ""NAME""))"),"ATN International Inc")</f>
        <v>ATN International Inc</v>
      </c>
      <c r="E95" s="30" t="s">
        <v>52</v>
      </c>
      <c r="F95" s="33" t="str">
        <f>IFERROR(__xludf.DUMMYFUNCTION("( (GOOGLEFINANCE(C95, ""price"") - Q95) / Q95 ) / (R95 / 100)"),"Loading...")</f>
        <v>Loading...</v>
      </c>
      <c r="G95" s="20" t="str">
        <f>IFERROR(__xludf.DUMMYFUNCTION("AVERAGE(ARRAYFORMULA(100 * (QUERY(GOOGLEFINANCE(C95, ""high"", TODAY()-40, TODAY()), ""SELECT Col2 WHERE Col2 IS NOT NULL ORDER BY Col1 DESC LIMIT 20"", 0) / QUERY(GOOGLEFINANCE(C95, ""low"", TODAY()-40, TODAY()), ""SELECT Col2 WHERE Col2 IS NOT NULL ORDE"&amp;"R BY Col1 DESC LIMIT 20"", 0) - 1)))"),"#N/A")</f>
        <v>#N/A</v>
      </c>
      <c r="H95" s="35" t="str">
        <f t="shared" si="6"/>
        <v>Illiquid</v>
      </c>
      <c r="I95" s="36" t="str">
        <f t="shared" si="7"/>
        <v>RVol Required</v>
      </c>
      <c r="J95" s="37">
        <f>IFERROR(__xludf.DUMMYFUNCTION("IFERROR(
  IF(C95="""",, 
    IFERROR(
      GOOGLEFINANCE(C95, ""price"") * GOOGLEFINANCE(C95, ""volumeavg""), 
      GOOGLEFINANCE(C95, ""price"") * AVERAGE(QUERY(GOOGLEFINANCE(C95, ""volume"", TODAY()-40, TODAY()), ""SELECT Col2 WHERE Col2 IS NOT NULL "&amp;"ORDER BY Col1 DESC LIMIT 20"", 0))
    )
  ), 
"""")"),2167841.0)</f>
        <v>2167841</v>
      </c>
      <c r="K95" s="21">
        <f>IFERROR(__xludf.DUMMYFUNCTION("IFERROR(GOOGLEFINANCE(C95, ""changepct"") / 100, """")"),-0.0043)</f>
        <v>-0.0043</v>
      </c>
      <c r="L95" s="21" t="str">
        <f>IFERROR(__xludf.DUMMYFUNCTION("IFERROR((GOOGLEFINANCE(C95, ""price"") / INDEX(GOOGLEFINANCE(C95, ""price"", TODAY()-7, TODAY()), 2, 2)) - 1, """")"),"")</f>
        <v/>
      </c>
      <c r="M95" s="21" t="str">
        <f>IFERROR(__xludf.DUMMYFUNCTION("IFERROR((GOOGLEFINANCE(C95, ""price"") / INDEX(GOOGLEFINANCE(C95, ""price"", EDATE(TODAY(), -1), TODAY()), 2, 2)) - 1, """")"),"")</f>
        <v/>
      </c>
      <c r="N95" s="21" t="str">
        <f>IFERROR(__xludf.DUMMYFUNCTION("IFERROR((GOOGLEFINANCE(C95, ""price"") / INDEX(GOOGLEFINANCE(C95, ""price"", EDATE(TODAY(), -3), TODAY()), 2, 2)) - 1, """")"),"")</f>
        <v/>
      </c>
      <c r="O95" s="21" t="str">
        <f>IFERROR(__xludf.DUMMYFUNCTION("IFERROR((GOOGLEFINANCE(C95, ""price"") / INDEX(GOOGLEFINANCE(C95, ""price"", EDATE(TODAY(), -6), TODAY()), 2, 2)) - 1, """")"),"")</f>
        <v/>
      </c>
      <c r="P95" s="21" t="str">
        <f>IFERROR(__xludf.DUMMYFUNCTION("IFERROR((GOOGLEFINANCE(C95, ""price"") / INDEX(GOOGLEFINANCE(C95, ""price"", EDATE(TODAY(), -12), TODAY()), 2, 2)) - 1, """")"),"")</f>
        <v/>
      </c>
      <c r="Q95" s="6" t="str">
        <f>IFERROR(__xludf.DUMMYFUNCTION("AVERAGE(QUERY(GOOGLEFINANCE(C95, ""price"", TODAY()-80, TODAY()), ""SELECT Col2 WHERE Col2 IS NOT NULL ORDER BY Col1 DESC LIMIT 50"", 0))"),"#N/A")</f>
        <v>#N/A</v>
      </c>
      <c r="R95" s="24" t="str">
        <f>IFERROR(__xludf.DUMMYFUNCTION("IFERROR(
  LET(
    data, QUERY(GOOGLEFINANCE(C95,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GOOGLEFINANCE(C95, ""price"")) * 100,
    IF(calc=0, G95, calc)
  ), 
G95)"),"#N/A")</f>
        <v>#N/A</v>
      </c>
      <c r="S95" s="8" t="s">
        <v>15</v>
      </c>
      <c r="T95" s="26" t="str">
        <f>IFERROR(__xludf.DUMMYFUNCTION("IFERROR(TRANSPOSE(QUERY(IFERROR(SORT(GOOGLEFINANCE(C95, ""price"", WORKDAY(TODAY(), -40), TODAY()), 1, FALSE)), ""select Col2 where Col2 is not null limit 22 label Col2 ''"", 0)), """")"),"")</f>
        <v/>
      </c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8"/>
      <c r="AO95" s="28"/>
      <c r="AP95" s="29"/>
      <c r="AQ95" s="29" t="str">
        <f t="shared" ref="AQ95:BL95" si="98">T95/T$2</f>
        <v>#N/A</v>
      </c>
      <c r="AR95" s="29" t="str">
        <f t="shared" si="98"/>
        <v>#DIV/0!</v>
      </c>
      <c r="AS95" s="29" t="str">
        <f t="shared" si="98"/>
        <v>#DIV/0!</v>
      </c>
      <c r="AT95" s="29" t="str">
        <f t="shared" si="98"/>
        <v>#DIV/0!</v>
      </c>
      <c r="AU95" s="29" t="str">
        <f t="shared" si="98"/>
        <v>#DIV/0!</v>
      </c>
      <c r="AV95" s="29" t="str">
        <f t="shared" si="98"/>
        <v>#DIV/0!</v>
      </c>
      <c r="AW95" s="29" t="str">
        <f t="shared" si="98"/>
        <v>#DIV/0!</v>
      </c>
      <c r="AX95" s="29" t="str">
        <f t="shared" si="98"/>
        <v>#DIV/0!</v>
      </c>
      <c r="AY95" s="29" t="str">
        <f t="shared" si="98"/>
        <v>#DIV/0!</v>
      </c>
      <c r="AZ95" s="29" t="str">
        <f t="shared" si="98"/>
        <v>#DIV/0!</v>
      </c>
      <c r="BA95" s="29" t="str">
        <f t="shared" si="98"/>
        <v>#DIV/0!</v>
      </c>
      <c r="BB95" s="29" t="str">
        <f t="shared" si="98"/>
        <v>#DIV/0!</v>
      </c>
      <c r="BC95" s="29" t="str">
        <f t="shared" si="98"/>
        <v>#DIV/0!</v>
      </c>
      <c r="BD95" s="29" t="str">
        <f t="shared" si="98"/>
        <v>#DIV/0!</v>
      </c>
      <c r="BE95" s="29" t="str">
        <f t="shared" si="98"/>
        <v>#DIV/0!</v>
      </c>
      <c r="BF95" s="29" t="str">
        <f t="shared" si="98"/>
        <v>#DIV/0!</v>
      </c>
      <c r="BG95" s="29" t="str">
        <f t="shared" si="98"/>
        <v>#DIV/0!</v>
      </c>
      <c r="BH95" s="29" t="str">
        <f t="shared" si="98"/>
        <v>#DIV/0!</v>
      </c>
      <c r="BI95" s="29" t="str">
        <f t="shared" si="98"/>
        <v>#DIV/0!</v>
      </c>
      <c r="BJ95" s="29" t="str">
        <f t="shared" si="98"/>
        <v>#DIV/0!</v>
      </c>
      <c r="BK95" s="29" t="str">
        <f t="shared" si="98"/>
        <v>#DIV/0!</v>
      </c>
      <c r="BL95" s="29" t="str">
        <f t="shared" si="98"/>
        <v>#DIV/0!</v>
      </c>
      <c r="BM95" s="29" t="str">
        <f t="shared" si="3"/>
        <v>#DIV/0!</v>
      </c>
    </row>
    <row r="96">
      <c r="A96" s="16" t="str">
        <f>IFERROR(__xludf.DUMMYFUNCTION("IFERROR(SPARKLINE(SORT(MAP(TRANSPOSE(AQ96:BL96), LAMBDA(val, IF(ISNUMBER(val), PERCENTRANK(AQ96:BL96, val)+0.01, 0))), SEQUENCE(COLUMNS(AQ96:BL96)), FALSE), {""charttype"",""column""; ""color"",""chartreuse""; ""ymin"", 0; ""ymax"", 1.01; ""highcolor"", "&amp;"""darkgreen""; ""lowcolor"", ""red""}), """")"),"")</f>
        <v/>
      </c>
      <c r="B96" s="17" t="str">
        <f t="shared" si="4"/>
        <v/>
      </c>
      <c r="C96" s="1" t="s">
        <v>543</v>
      </c>
      <c r="D96" s="30" t="str">
        <f>IFERROR(__xludf.DUMMYFUNCTION("IFERROR(GOOGLEFINANCE(C96, ""NAME""))"),"Meta Platforms Inc")</f>
        <v>Meta Platforms Inc</v>
      </c>
      <c r="E96" s="30" t="s">
        <v>69</v>
      </c>
      <c r="F96" s="33" t="str">
        <f>IFERROR(__xludf.DUMMYFUNCTION("( (GOOGLEFINANCE(C96, ""price"") - Q96) / Q96 ) / (R96 / 100)"),"Loading...")</f>
        <v>Loading...</v>
      </c>
      <c r="G96" s="20" t="str">
        <f>IFERROR(__xludf.DUMMYFUNCTION("AVERAGE(ARRAYFORMULA(100 * (QUERY(GOOGLEFINANCE(C96, ""high"", TODAY()-40, TODAY()), ""SELECT Col2 WHERE Col2 IS NOT NULL ORDER BY Col1 DESC LIMIT 20"", 0) / QUERY(GOOGLEFINANCE(C96, ""low"", TODAY()-40, TODAY()), ""SELECT Col2 WHERE Col2 IS NOT NULL ORDE"&amp;"R BY Col1 DESC LIMIT 20"", 0) - 1)))"),"#N/A")</f>
        <v>#N/A</v>
      </c>
      <c r="H96" s="35" t="str">
        <f t="shared" si="6"/>
        <v>Liquid</v>
      </c>
      <c r="I96" s="36" t="str">
        <f t="shared" si="7"/>
        <v>No RVol Required</v>
      </c>
      <c r="J96" s="37">
        <f>IFERROR(__xludf.DUMMYFUNCTION("IFERROR(
  IF(C96="""",, 
    IFERROR(
      GOOGLEFINANCE(C96, ""price"") * GOOGLEFINANCE(C96, ""volumeavg""), 
      GOOGLEFINANCE(C96, ""price"") * AVERAGE(QUERY(GOOGLEFINANCE(C96, ""volume"", TODAY()-40, TODAY()), ""SELECT Col2 WHERE Col2 IS NOT NULL "&amp;"ORDER BY Col1 DESC LIMIT 20"", 0))
    )
  ), 
"""")"),1.521376162109E10)</f>
        <v>15213761621</v>
      </c>
      <c r="K96" s="21">
        <f>IFERROR(__xludf.DUMMYFUNCTION("IFERROR(GOOGLEFINANCE(C96, ""changepct"") / 100, """")"),-0.037200000000000004)</f>
        <v>-0.0372</v>
      </c>
      <c r="L96" s="21" t="str">
        <f>IFERROR(__xludf.DUMMYFUNCTION("IFERROR((GOOGLEFINANCE(C96, ""price"") / INDEX(GOOGLEFINANCE(C96, ""price"", TODAY()-7, TODAY()), 2, 2)) - 1, """")"),"")</f>
        <v/>
      </c>
      <c r="M96" s="21" t="str">
        <f>IFERROR(__xludf.DUMMYFUNCTION("IFERROR((GOOGLEFINANCE(C96, ""price"") / INDEX(GOOGLEFINANCE(C96, ""price"", EDATE(TODAY(), -1), TODAY()), 2, 2)) - 1, """")"),"")</f>
        <v/>
      </c>
      <c r="N96" s="21" t="str">
        <f>IFERROR(__xludf.DUMMYFUNCTION("IFERROR((GOOGLEFINANCE(C96, ""price"") / INDEX(GOOGLEFINANCE(C96, ""price"", EDATE(TODAY(), -3), TODAY()), 2, 2)) - 1, """")"),"")</f>
        <v/>
      </c>
      <c r="O96" s="21" t="str">
        <f>IFERROR(__xludf.DUMMYFUNCTION("IFERROR((GOOGLEFINANCE(C96, ""price"") / INDEX(GOOGLEFINANCE(C96, ""price"", EDATE(TODAY(), -6), TODAY()), 2, 2)) - 1, """")"),"")</f>
        <v/>
      </c>
      <c r="P96" s="21" t="str">
        <f>IFERROR(__xludf.DUMMYFUNCTION("IFERROR((GOOGLEFINANCE(C96, ""price"") / INDEX(GOOGLEFINANCE(C96, ""price"", EDATE(TODAY(), -12), TODAY()), 2, 2)) - 1, """")"),"")</f>
        <v/>
      </c>
      <c r="Q96" s="6" t="str">
        <f>IFERROR(__xludf.DUMMYFUNCTION("AVERAGE(QUERY(GOOGLEFINANCE(C96, ""price"", TODAY()-80, TODAY()), ""SELECT Col2 WHERE Col2 IS NOT NULL ORDER BY Col1 DESC LIMIT 50"", 0))"),"#N/A")</f>
        <v>#N/A</v>
      </c>
      <c r="R96" s="24" t="str">
        <f>IFERROR(__xludf.DUMMYFUNCTION("IFERROR(
  LET(
    data, QUERY(GOOGLEFINANCE(C96,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GOOGLEFINANCE(C96, ""price"")) * 100,
    IF(calc=0, G96, calc)
  ), 
G96)"),"#N/A")</f>
        <v>#N/A</v>
      </c>
      <c r="S96" s="8" t="s">
        <v>15</v>
      </c>
      <c r="T96" s="26" t="str">
        <f>IFERROR(__xludf.DUMMYFUNCTION("IFERROR(TRANSPOSE(QUERY(IFERROR(SORT(GOOGLEFINANCE(C96, ""price"", WORKDAY(TODAY(), -40), TODAY()), 1, FALSE)), ""select Col2 where Col2 is not null limit 22 label Col2 ''"", 0)), """")"),"")</f>
        <v/>
      </c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8"/>
      <c r="AO96" s="28"/>
      <c r="AP96" s="29"/>
      <c r="AQ96" s="29" t="str">
        <f t="shared" ref="AQ96:BL96" si="99">T96/T$2</f>
        <v>#N/A</v>
      </c>
      <c r="AR96" s="29" t="str">
        <f t="shared" si="99"/>
        <v>#DIV/0!</v>
      </c>
      <c r="AS96" s="29" t="str">
        <f t="shared" si="99"/>
        <v>#DIV/0!</v>
      </c>
      <c r="AT96" s="29" t="str">
        <f t="shared" si="99"/>
        <v>#DIV/0!</v>
      </c>
      <c r="AU96" s="29" t="str">
        <f t="shared" si="99"/>
        <v>#DIV/0!</v>
      </c>
      <c r="AV96" s="29" t="str">
        <f t="shared" si="99"/>
        <v>#DIV/0!</v>
      </c>
      <c r="AW96" s="29" t="str">
        <f t="shared" si="99"/>
        <v>#DIV/0!</v>
      </c>
      <c r="AX96" s="29" t="str">
        <f t="shared" si="99"/>
        <v>#DIV/0!</v>
      </c>
      <c r="AY96" s="29" t="str">
        <f t="shared" si="99"/>
        <v>#DIV/0!</v>
      </c>
      <c r="AZ96" s="29" t="str">
        <f t="shared" si="99"/>
        <v>#DIV/0!</v>
      </c>
      <c r="BA96" s="29" t="str">
        <f t="shared" si="99"/>
        <v>#DIV/0!</v>
      </c>
      <c r="BB96" s="29" t="str">
        <f t="shared" si="99"/>
        <v>#DIV/0!</v>
      </c>
      <c r="BC96" s="29" t="str">
        <f t="shared" si="99"/>
        <v>#DIV/0!</v>
      </c>
      <c r="BD96" s="29" t="str">
        <f t="shared" si="99"/>
        <v>#DIV/0!</v>
      </c>
      <c r="BE96" s="29" t="str">
        <f t="shared" si="99"/>
        <v>#DIV/0!</v>
      </c>
      <c r="BF96" s="29" t="str">
        <f t="shared" si="99"/>
        <v>#DIV/0!</v>
      </c>
      <c r="BG96" s="29" t="str">
        <f t="shared" si="99"/>
        <v>#DIV/0!</v>
      </c>
      <c r="BH96" s="29" t="str">
        <f t="shared" si="99"/>
        <v>#DIV/0!</v>
      </c>
      <c r="BI96" s="29" t="str">
        <f t="shared" si="99"/>
        <v>#DIV/0!</v>
      </c>
      <c r="BJ96" s="29" t="str">
        <f t="shared" si="99"/>
        <v>#DIV/0!</v>
      </c>
      <c r="BK96" s="29" t="str">
        <f t="shared" si="99"/>
        <v>#DIV/0!</v>
      </c>
      <c r="BL96" s="29" t="str">
        <f t="shared" si="99"/>
        <v>#DIV/0!</v>
      </c>
      <c r="BM96" s="29" t="str">
        <f t="shared" si="3"/>
        <v>#DIV/0!</v>
      </c>
    </row>
    <row r="97">
      <c r="A97" s="16" t="str">
        <f>IFERROR(__xludf.DUMMYFUNCTION("IFERROR(SPARKLINE(SORT(MAP(TRANSPOSE(AQ97:BL97), LAMBDA(val, IF(ISNUMBER(val), PERCENTRANK(AQ97:BL97, val)+0.01, 0))), SEQUENCE(COLUMNS(AQ97:BL97)), FALSE), {""charttype"",""column""; ""color"",""chartreuse""; ""ymin"", 0; ""ymax"", 1.01; ""highcolor"", "&amp;"""darkgreen""; ""lowcolor"", ""red""}), """")"),"")</f>
        <v/>
      </c>
      <c r="B97" s="17" t="str">
        <f t="shared" si="4"/>
        <v/>
      </c>
      <c r="C97" s="1" t="s">
        <v>547</v>
      </c>
      <c r="D97" s="30" t="str">
        <f>IFERROR(__xludf.DUMMYFUNCTION("IFERROR(GOOGLEFINANCE(C97, ""NAME""))"),"Reservoir Media Inc")</f>
        <v>Reservoir Media Inc</v>
      </c>
      <c r="E97" s="30" t="s">
        <v>62</v>
      </c>
      <c r="F97" s="33" t="str">
        <f>IFERROR(__xludf.DUMMYFUNCTION("( (GOOGLEFINANCE(C97, ""price"") - Q97) / Q97 ) / (R97 / 100)"),"Loading...")</f>
        <v>Loading...</v>
      </c>
      <c r="G97" s="20" t="str">
        <f>IFERROR(__xludf.DUMMYFUNCTION("AVERAGE(ARRAYFORMULA(100 * (QUERY(GOOGLEFINANCE(C97, ""high"", TODAY()-40, TODAY()), ""SELECT Col2 WHERE Col2 IS NOT NULL ORDER BY Col1 DESC LIMIT 20"", 0) / QUERY(GOOGLEFINANCE(C97, ""low"", TODAY()-40, TODAY()), ""SELECT Col2 WHERE Col2 IS NOT NULL ORDE"&amp;"R BY Col1 DESC LIMIT 20"", 0) - 1)))"),"#N/A")</f>
        <v>#N/A</v>
      </c>
      <c r="H97" s="35" t="str">
        <f t="shared" si="6"/>
        <v>Illiquid</v>
      </c>
      <c r="I97" s="36" t="str">
        <f t="shared" si="7"/>
        <v>RVol Required</v>
      </c>
      <c r="J97" s="37">
        <f>IFERROR(__xludf.DUMMYFUNCTION("IFERROR(
  IF(C97="""",, 
    IFERROR(
      GOOGLEFINANCE(C97, ""price"") * GOOGLEFINANCE(C97, ""volumeavg""), 
      GOOGLEFINANCE(C97, ""price"") * AVERAGE(QUERY(GOOGLEFINANCE(C97, ""volume"", TODAY()-40, TODAY()), ""SELECT Col2 WHERE Col2 IS NOT NULL "&amp;"ORDER BY Col1 DESC LIMIT 20"", 0))
    )
  ), 
"""")"),792818.3999999999)</f>
        <v>792818.4</v>
      </c>
      <c r="K97" s="21">
        <f>IFERROR(__xludf.DUMMYFUNCTION("IFERROR(GOOGLEFINANCE(C97, ""changepct"") / 100, """")"),-0.0187)</f>
        <v>-0.0187</v>
      </c>
      <c r="L97" s="21" t="str">
        <f>IFERROR(__xludf.DUMMYFUNCTION("IFERROR((GOOGLEFINANCE(C97, ""price"") / INDEX(GOOGLEFINANCE(C97, ""price"", TODAY()-7, TODAY()), 2, 2)) - 1, """")"),"")</f>
        <v/>
      </c>
      <c r="M97" s="21" t="str">
        <f>IFERROR(__xludf.DUMMYFUNCTION("IFERROR((GOOGLEFINANCE(C97, ""price"") / INDEX(GOOGLEFINANCE(C97, ""price"", EDATE(TODAY(), -1), TODAY()), 2, 2)) - 1, """")"),"")</f>
        <v/>
      </c>
      <c r="N97" s="21" t="str">
        <f>IFERROR(__xludf.DUMMYFUNCTION("IFERROR((GOOGLEFINANCE(C97, ""price"") / INDEX(GOOGLEFINANCE(C97, ""price"", EDATE(TODAY(), -3), TODAY()), 2, 2)) - 1, """")"),"")</f>
        <v/>
      </c>
      <c r="O97" s="21" t="str">
        <f>IFERROR(__xludf.DUMMYFUNCTION("IFERROR((GOOGLEFINANCE(C97, ""price"") / INDEX(GOOGLEFINANCE(C97, ""price"", EDATE(TODAY(), -6), TODAY()), 2, 2)) - 1, """")"),"")</f>
        <v/>
      </c>
      <c r="P97" s="21" t="str">
        <f>IFERROR(__xludf.DUMMYFUNCTION("IFERROR((GOOGLEFINANCE(C97, ""price"") / INDEX(GOOGLEFINANCE(C97, ""price"", EDATE(TODAY(), -12), TODAY()), 2, 2)) - 1, """")"),"")</f>
        <v/>
      </c>
      <c r="Q97" s="6" t="str">
        <f>IFERROR(__xludf.DUMMYFUNCTION("AVERAGE(QUERY(GOOGLEFINANCE(C97, ""price"", TODAY()-80, TODAY()), ""SELECT Col2 WHERE Col2 IS NOT NULL ORDER BY Col1 DESC LIMIT 50"", 0))"),"#N/A")</f>
        <v>#N/A</v>
      </c>
      <c r="R97" s="24" t="str">
        <f>IFERROR(__xludf.DUMMYFUNCTION("IFERROR(
  LET(
    data, QUERY(GOOGLEFINANCE(C97,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GOOGLEFINANCE(C97, ""price"")) * 100,
    IF(calc=0, G97, calc)
  ), 
G97)"),"#N/A")</f>
        <v>#N/A</v>
      </c>
      <c r="S97" s="8" t="s">
        <v>15</v>
      </c>
      <c r="T97" s="26" t="str">
        <f>IFERROR(__xludf.DUMMYFUNCTION("IFERROR(TRANSPOSE(QUERY(IFERROR(SORT(GOOGLEFINANCE(C97, ""price"", WORKDAY(TODAY(), -40), TODAY()), 1, FALSE)), ""select Col2 where Col2 is not null limit 22 label Col2 ''"", 0)), """")"),"")</f>
        <v/>
      </c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8"/>
      <c r="AO97" s="28"/>
      <c r="AP97" s="29"/>
      <c r="AQ97" s="29" t="str">
        <f t="shared" ref="AQ97:BL97" si="100">T97/T$2</f>
        <v>#N/A</v>
      </c>
      <c r="AR97" s="29" t="str">
        <f t="shared" si="100"/>
        <v>#DIV/0!</v>
      </c>
      <c r="AS97" s="29" t="str">
        <f t="shared" si="100"/>
        <v>#DIV/0!</v>
      </c>
      <c r="AT97" s="29" t="str">
        <f t="shared" si="100"/>
        <v>#DIV/0!</v>
      </c>
      <c r="AU97" s="29" t="str">
        <f t="shared" si="100"/>
        <v>#DIV/0!</v>
      </c>
      <c r="AV97" s="29" t="str">
        <f t="shared" si="100"/>
        <v>#DIV/0!</v>
      </c>
      <c r="AW97" s="29" t="str">
        <f t="shared" si="100"/>
        <v>#DIV/0!</v>
      </c>
      <c r="AX97" s="29" t="str">
        <f t="shared" si="100"/>
        <v>#DIV/0!</v>
      </c>
      <c r="AY97" s="29" t="str">
        <f t="shared" si="100"/>
        <v>#DIV/0!</v>
      </c>
      <c r="AZ97" s="29" t="str">
        <f t="shared" si="100"/>
        <v>#DIV/0!</v>
      </c>
      <c r="BA97" s="29" t="str">
        <f t="shared" si="100"/>
        <v>#DIV/0!</v>
      </c>
      <c r="BB97" s="29" t="str">
        <f t="shared" si="100"/>
        <v>#DIV/0!</v>
      </c>
      <c r="BC97" s="29" t="str">
        <f t="shared" si="100"/>
        <v>#DIV/0!</v>
      </c>
      <c r="BD97" s="29" t="str">
        <f t="shared" si="100"/>
        <v>#DIV/0!</v>
      </c>
      <c r="BE97" s="29" t="str">
        <f t="shared" si="100"/>
        <v>#DIV/0!</v>
      </c>
      <c r="BF97" s="29" t="str">
        <f t="shared" si="100"/>
        <v>#DIV/0!</v>
      </c>
      <c r="BG97" s="29" t="str">
        <f t="shared" si="100"/>
        <v>#DIV/0!</v>
      </c>
      <c r="BH97" s="29" t="str">
        <f t="shared" si="100"/>
        <v>#DIV/0!</v>
      </c>
      <c r="BI97" s="29" t="str">
        <f t="shared" si="100"/>
        <v>#DIV/0!</v>
      </c>
      <c r="BJ97" s="29" t="str">
        <f t="shared" si="100"/>
        <v>#DIV/0!</v>
      </c>
      <c r="BK97" s="29" t="str">
        <f t="shared" si="100"/>
        <v>#DIV/0!</v>
      </c>
      <c r="BL97" s="29" t="str">
        <f t="shared" si="100"/>
        <v>#DIV/0!</v>
      </c>
      <c r="BM97" s="29" t="str">
        <f t="shared" si="3"/>
        <v>#DIV/0!</v>
      </c>
    </row>
    <row r="98">
      <c r="A98" s="16" t="str">
        <f>IFERROR(__xludf.DUMMYFUNCTION("IFERROR(SPARKLINE(SORT(MAP(TRANSPOSE(AQ98:BL98), LAMBDA(val, IF(ISNUMBER(val), PERCENTRANK(AQ98:BL98, val)+0.01, 0))), SEQUENCE(COLUMNS(AQ98:BL98)), FALSE), {""charttype"",""column""; ""color"",""chartreuse""; ""ymin"", 0; ""ymax"", 1.01; ""highcolor"", "&amp;"""darkgreen""; ""lowcolor"", ""red""}), """")"),"")</f>
        <v/>
      </c>
      <c r="B98" s="17" t="str">
        <f t="shared" si="4"/>
        <v/>
      </c>
      <c r="C98" s="1" t="s">
        <v>552</v>
      </c>
      <c r="D98" s="30" t="str">
        <f>IFERROR(__xludf.DUMMYFUNCTION("IFERROR(GOOGLEFINANCE(C98, ""NAME""))"),"Nexxen International Ltd")</f>
        <v>Nexxen International Ltd</v>
      </c>
      <c r="E98" s="30" t="s">
        <v>116</v>
      </c>
      <c r="F98" s="38" t="str">
        <f>IFERROR(__xludf.DUMMYFUNCTION("( (GOOGLEFINANCE(C98, ""price"") - Q98) / Q98 ) / (R98 / 100)"),"Loading...")</f>
        <v>Loading...</v>
      </c>
      <c r="G98" s="20" t="str">
        <f>IFERROR(__xludf.DUMMYFUNCTION("AVERAGE(ARRAYFORMULA(100 * (QUERY(GOOGLEFINANCE(C98, ""high"", TODAY()-40, TODAY()), ""SELECT Col2 WHERE Col2 IS NOT NULL ORDER BY Col1 DESC LIMIT 20"", 0) / QUERY(GOOGLEFINANCE(C98, ""low"", TODAY()-40, TODAY()), ""SELECT Col2 WHERE Col2 IS NOT NULL ORDE"&amp;"R BY Col1 DESC LIMIT 20"", 0) - 1)))"),"#N/A")</f>
        <v>#N/A</v>
      </c>
      <c r="H98" s="35" t="str">
        <f t="shared" si="6"/>
        <v>Illiquid</v>
      </c>
      <c r="I98" s="36" t="str">
        <f t="shared" si="7"/>
        <v>RVol Required</v>
      </c>
      <c r="J98" s="37">
        <f>IFERROR(__xludf.DUMMYFUNCTION("IFERROR(
  IF(C98="""",, 
    IFERROR(
      GOOGLEFINANCE(C98, ""price"") * GOOGLEFINANCE(C98, ""volumeavg""), 
      GOOGLEFINANCE(C98, ""price"") * AVERAGE(QUERY(GOOGLEFINANCE(C98, ""volume"", TODAY()-40, TODAY()), ""SELECT Col2 WHERE Col2 IS NOT NULL "&amp;"ORDER BY Col1 DESC LIMIT 20"", 0))
    )
  ), 
"""")"),3488261.7399999998)</f>
        <v>3488261.74</v>
      </c>
      <c r="K98" s="21">
        <f>IFERROR(__xludf.DUMMYFUNCTION("IFERROR(GOOGLEFINANCE(C98, ""changepct"") / 100, """")"),-0.018799999999999997)</f>
        <v>-0.0188</v>
      </c>
      <c r="L98" s="21" t="str">
        <f>IFERROR(__xludf.DUMMYFUNCTION("IFERROR((GOOGLEFINANCE(C98, ""price"") / INDEX(GOOGLEFINANCE(C98, ""price"", TODAY()-7, TODAY()), 2, 2)) - 1, """")"),"")</f>
        <v/>
      </c>
      <c r="M98" s="21" t="str">
        <f>IFERROR(__xludf.DUMMYFUNCTION("IFERROR((GOOGLEFINANCE(C98, ""price"") / INDEX(GOOGLEFINANCE(C98, ""price"", EDATE(TODAY(), -1), TODAY()), 2, 2)) - 1, """")"),"")</f>
        <v/>
      </c>
      <c r="N98" s="21" t="str">
        <f>IFERROR(__xludf.DUMMYFUNCTION("IFERROR((GOOGLEFINANCE(C98, ""price"") / INDEX(GOOGLEFINANCE(C98, ""price"", EDATE(TODAY(), -3), TODAY()), 2, 2)) - 1, """")"),"")</f>
        <v/>
      </c>
      <c r="O98" s="21" t="str">
        <f>IFERROR(__xludf.DUMMYFUNCTION("IFERROR((GOOGLEFINANCE(C98, ""price"") / INDEX(GOOGLEFINANCE(C98, ""price"", EDATE(TODAY(), -6), TODAY()), 2, 2)) - 1, """")"),"")</f>
        <v/>
      </c>
      <c r="P98" s="21" t="str">
        <f>IFERROR(__xludf.DUMMYFUNCTION("IFERROR((GOOGLEFINANCE(C98, ""price"") / INDEX(GOOGLEFINANCE(C98, ""price"", EDATE(TODAY(), -12), TODAY()), 2, 2)) - 1, """")"),"")</f>
        <v/>
      </c>
      <c r="Q98" s="6" t="str">
        <f>IFERROR(__xludf.DUMMYFUNCTION("AVERAGE(QUERY(GOOGLEFINANCE(C98, ""price"", TODAY()-80, TODAY()), ""SELECT Col2 WHERE Col2 IS NOT NULL ORDER BY Col1 DESC LIMIT 50"", 0))"),"#N/A")</f>
        <v>#N/A</v>
      </c>
      <c r="R98" s="24" t="str">
        <f>IFERROR(__xludf.DUMMYFUNCTION("IFERROR(
  LET(
    data, QUERY(GOOGLEFINANCE(C98,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GOOGLEFINANCE(C98, ""price"")) * 100,
    IF(calc=0, G98, calc)
  ), 
G98)"),"#N/A")</f>
        <v>#N/A</v>
      </c>
      <c r="S98" s="8" t="s">
        <v>15</v>
      </c>
      <c r="T98" s="26" t="str">
        <f>IFERROR(__xludf.DUMMYFUNCTION("IFERROR(TRANSPOSE(QUERY(IFERROR(SORT(GOOGLEFINANCE(C98, ""price"", WORKDAY(TODAY(), -40), TODAY()), 1, FALSE)), ""select Col2 where Col2 is not null limit 22 label Col2 ''"", 0)), """")"),"")</f>
        <v/>
      </c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8"/>
      <c r="AO98" s="28"/>
      <c r="AP98" s="29"/>
      <c r="AQ98" s="29" t="str">
        <f t="shared" ref="AQ98:BL98" si="101">T98/T$2</f>
        <v>#N/A</v>
      </c>
      <c r="AR98" s="29" t="str">
        <f t="shared" si="101"/>
        <v>#DIV/0!</v>
      </c>
      <c r="AS98" s="29" t="str">
        <f t="shared" si="101"/>
        <v>#DIV/0!</v>
      </c>
      <c r="AT98" s="29" t="str">
        <f t="shared" si="101"/>
        <v>#DIV/0!</v>
      </c>
      <c r="AU98" s="29" t="str">
        <f t="shared" si="101"/>
        <v>#DIV/0!</v>
      </c>
      <c r="AV98" s="29" t="str">
        <f t="shared" si="101"/>
        <v>#DIV/0!</v>
      </c>
      <c r="AW98" s="29" t="str">
        <f t="shared" si="101"/>
        <v>#DIV/0!</v>
      </c>
      <c r="AX98" s="29" t="str">
        <f t="shared" si="101"/>
        <v>#DIV/0!</v>
      </c>
      <c r="AY98" s="29" t="str">
        <f t="shared" si="101"/>
        <v>#DIV/0!</v>
      </c>
      <c r="AZ98" s="29" t="str">
        <f t="shared" si="101"/>
        <v>#DIV/0!</v>
      </c>
      <c r="BA98" s="29" t="str">
        <f t="shared" si="101"/>
        <v>#DIV/0!</v>
      </c>
      <c r="BB98" s="29" t="str">
        <f t="shared" si="101"/>
        <v>#DIV/0!</v>
      </c>
      <c r="BC98" s="29" t="str">
        <f t="shared" si="101"/>
        <v>#DIV/0!</v>
      </c>
      <c r="BD98" s="29" t="str">
        <f t="shared" si="101"/>
        <v>#DIV/0!</v>
      </c>
      <c r="BE98" s="29" t="str">
        <f t="shared" si="101"/>
        <v>#DIV/0!</v>
      </c>
      <c r="BF98" s="29" t="str">
        <f t="shared" si="101"/>
        <v>#DIV/0!</v>
      </c>
      <c r="BG98" s="29" t="str">
        <f t="shared" si="101"/>
        <v>#DIV/0!</v>
      </c>
      <c r="BH98" s="29" t="str">
        <f t="shared" si="101"/>
        <v>#DIV/0!</v>
      </c>
      <c r="BI98" s="29" t="str">
        <f t="shared" si="101"/>
        <v>#DIV/0!</v>
      </c>
      <c r="BJ98" s="29" t="str">
        <f t="shared" si="101"/>
        <v>#DIV/0!</v>
      </c>
      <c r="BK98" s="29" t="str">
        <f t="shared" si="101"/>
        <v>#DIV/0!</v>
      </c>
      <c r="BL98" s="29" t="str">
        <f t="shared" si="101"/>
        <v>#DIV/0!</v>
      </c>
      <c r="BM98" s="29" t="str">
        <f t="shared" si="3"/>
        <v>#DIV/0!</v>
      </c>
    </row>
    <row r="99">
      <c r="A99" s="16" t="str">
        <f>IFERROR(__xludf.DUMMYFUNCTION("IFERROR(SPARKLINE(SORT(MAP(TRANSPOSE(AQ99:BL99), LAMBDA(val, IF(ISNUMBER(val), PERCENTRANK(AQ99:BL99, val)+0.01, 0))), SEQUENCE(COLUMNS(AQ99:BL99)), FALSE), {""charttype"",""column""; ""color"",""chartreuse""; ""ymin"", 0; ""ymax"", 1.01; ""highcolor"", "&amp;"""darkgreen""; ""lowcolor"", ""red""}), """")"),"")</f>
        <v/>
      </c>
      <c r="B99" s="17" t="str">
        <f t="shared" si="4"/>
        <v/>
      </c>
      <c r="C99" s="1" t="s">
        <v>556</v>
      </c>
      <c r="D99" s="30" t="str">
        <f>IFERROR(__xludf.DUMMYFUNCTION("IFERROR(GOOGLEFINANCE(C99, ""NAME""))"),"IQIYI Inc - ADR")</f>
        <v>IQIYI Inc - ADR</v>
      </c>
      <c r="E99" s="30" t="s">
        <v>62</v>
      </c>
      <c r="F99" s="33" t="str">
        <f>IFERROR(__xludf.DUMMYFUNCTION("( (GOOGLEFINANCE(C99, ""price"") - Q99) / Q99 ) / (R99 / 100)"),"Loading...")</f>
        <v>Loading...</v>
      </c>
      <c r="G99" s="20" t="str">
        <f>IFERROR(__xludf.DUMMYFUNCTION("AVERAGE(ARRAYFORMULA(100 * (QUERY(GOOGLEFINANCE(C99, ""high"", TODAY()-40, TODAY()), ""SELECT Col2 WHERE Col2 IS NOT NULL ORDER BY Col1 DESC LIMIT 20"", 0) / QUERY(GOOGLEFINANCE(C99, ""low"", TODAY()-40, TODAY()), ""SELECT Col2 WHERE Col2 IS NOT NULL ORDE"&amp;"R BY Col1 DESC LIMIT 20"", 0) - 1)))"),"#N/A")</f>
        <v>#N/A</v>
      </c>
      <c r="H99" s="35" t="str">
        <f t="shared" si="6"/>
        <v>Illiquid</v>
      </c>
      <c r="I99" s="36" t="str">
        <f t="shared" si="7"/>
        <v>RVol Required</v>
      </c>
      <c r="J99" s="37">
        <f>IFERROR(__xludf.DUMMYFUNCTION("IFERROR(
  IF(C99="""",, 
    IFERROR(
      GOOGLEFINANCE(C99, ""price"") * GOOGLEFINANCE(C99, ""volumeavg""), 
      GOOGLEFINANCE(C99, ""price"") * AVERAGE(QUERY(GOOGLEFINANCE(C99, ""volume"", TODAY()-40, TODAY()), ""SELECT Col2 WHERE Col2 IS NOT NULL "&amp;"ORDER BY Col1 DESC LIMIT 20"", 0))
    )
  ), 
"""")"),7802207.5)</f>
        <v>7802207.5</v>
      </c>
      <c r="K99" s="21">
        <f>IFERROR(__xludf.DUMMYFUNCTION("IFERROR(GOOGLEFINANCE(C99, ""changepct"") / 100, """")"),-0.0319)</f>
        <v>-0.0319</v>
      </c>
      <c r="L99" s="21" t="str">
        <f>IFERROR(__xludf.DUMMYFUNCTION("IFERROR((GOOGLEFINANCE(C99, ""price"") / INDEX(GOOGLEFINANCE(C99, ""price"", TODAY()-7, TODAY()), 2, 2)) - 1, """")"),"")</f>
        <v/>
      </c>
      <c r="M99" s="21" t="str">
        <f>IFERROR(__xludf.DUMMYFUNCTION("IFERROR((GOOGLEFINANCE(C99, ""price"") / INDEX(GOOGLEFINANCE(C99, ""price"", EDATE(TODAY(), -1), TODAY()), 2, 2)) - 1, """")"),"")</f>
        <v/>
      </c>
      <c r="N99" s="21" t="str">
        <f>IFERROR(__xludf.DUMMYFUNCTION("IFERROR((GOOGLEFINANCE(C99, ""price"") / INDEX(GOOGLEFINANCE(C99, ""price"", EDATE(TODAY(), -3), TODAY()), 2, 2)) - 1, """")"),"")</f>
        <v/>
      </c>
      <c r="O99" s="21" t="str">
        <f>IFERROR(__xludf.DUMMYFUNCTION("IFERROR((GOOGLEFINANCE(C99, ""price"") / INDEX(GOOGLEFINANCE(C99, ""price"", EDATE(TODAY(), -6), TODAY()), 2, 2)) - 1, """")"),"")</f>
        <v/>
      </c>
      <c r="P99" s="21" t="str">
        <f>IFERROR(__xludf.DUMMYFUNCTION("IFERROR((GOOGLEFINANCE(C99, ""price"") / INDEX(GOOGLEFINANCE(C99, ""price"", EDATE(TODAY(), -12), TODAY()), 2, 2)) - 1, """")"),"")</f>
        <v/>
      </c>
      <c r="Q99" s="6" t="str">
        <f>IFERROR(__xludf.DUMMYFUNCTION("AVERAGE(QUERY(GOOGLEFINANCE(C99, ""price"", TODAY()-80, TODAY()), ""SELECT Col2 WHERE Col2 IS NOT NULL ORDER BY Col1 DESC LIMIT 50"", 0))"),"#N/A")</f>
        <v>#N/A</v>
      </c>
      <c r="R99" s="24" t="str">
        <f>IFERROR(__xludf.DUMMYFUNCTION("IFERROR(
  LET(
    data, QUERY(GOOGLEFINANCE(C99,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GOOGLEFINANCE(C99, ""price"")) * 100,
    IF(calc=0, G99, calc)
  ), 
G99)"),"#N/A")</f>
        <v>#N/A</v>
      </c>
      <c r="S99" s="8" t="s">
        <v>15</v>
      </c>
      <c r="T99" s="26" t="str">
        <f>IFERROR(__xludf.DUMMYFUNCTION("IFERROR(TRANSPOSE(QUERY(IFERROR(SORT(GOOGLEFINANCE(C99, ""price"", WORKDAY(TODAY(), -40), TODAY()), 1, FALSE)), ""select Col2 where Col2 is not null limit 22 label Col2 ''"", 0)), """")"),"")</f>
        <v/>
      </c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8"/>
      <c r="AO99" s="28"/>
      <c r="AP99" s="29"/>
      <c r="AQ99" s="29" t="str">
        <f t="shared" ref="AQ99:BL99" si="102">T99/T$2</f>
        <v>#N/A</v>
      </c>
      <c r="AR99" s="29" t="str">
        <f t="shared" si="102"/>
        <v>#DIV/0!</v>
      </c>
      <c r="AS99" s="29" t="str">
        <f t="shared" si="102"/>
        <v>#DIV/0!</v>
      </c>
      <c r="AT99" s="29" t="str">
        <f t="shared" si="102"/>
        <v>#DIV/0!</v>
      </c>
      <c r="AU99" s="29" t="str">
        <f t="shared" si="102"/>
        <v>#DIV/0!</v>
      </c>
      <c r="AV99" s="29" t="str">
        <f t="shared" si="102"/>
        <v>#DIV/0!</v>
      </c>
      <c r="AW99" s="29" t="str">
        <f t="shared" si="102"/>
        <v>#DIV/0!</v>
      </c>
      <c r="AX99" s="29" t="str">
        <f t="shared" si="102"/>
        <v>#DIV/0!</v>
      </c>
      <c r="AY99" s="29" t="str">
        <f t="shared" si="102"/>
        <v>#DIV/0!</v>
      </c>
      <c r="AZ99" s="29" t="str">
        <f t="shared" si="102"/>
        <v>#DIV/0!</v>
      </c>
      <c r="BA99" s="29" t="str">
        <f t="shared" si="102"/>
        <v>#DIV/0!</v>
      </c>
      <c r="BB99" s="29" t="str">
        <f t="shared" si="102"/>
        <v>#DIV/0!</v>
      </c>
      <c r="BC99" s="29" t="str">
        <f t="shared" si="102"/>
        <v>#DIV/0!</v>
      </c>
      <c r="BD99" s="29" t="str">
        <f t="shared" si="102"/>
        <v>#DIV/0!</v>
      </c>
      <c r="BE99" s="29" t="str">
        <f t="shared" si="102"/>
        <v>#DIV/0!</v>
      </c>
      <c r="BF99" s="29" t="str">
        <f t="shared" si="102"/>
        <v>#DIV/0!</v>
      </c>
      <c r="BG99" s="29" t="str">
        <f t="shared" si="102"/>
        <v>#DIV/0!</v>
      </c>
      <c r="BH99" s="29" t="str">
        <f t="shared" si="102"/>
        <v>#DIV/0!</v>
      </c>
      <c r="BI99" s="29" t="str">
        <f t="shared" si="102"/>
        <v>#DIV/0!</v>
      </c>
      <c r="BJ99" s="29" t="str">
        <f t="shared" si="102"/>
        <v>#DIV/0!</v>
      </c>
      <c r="BK99" s="29" t="str">
        <f t="shared" si="102"/>
        <v>#DIV/0!</v>
      </c>
      <c r="BL99" s="29" t="str">
        <f t="shared" si="102"/>
        <v>#DIV/0!</v>
      </c>
      <c r="BM99" s="29" t="str">
        <f t="shared" si="3"/>
        <v>#DIV/0!</v>
      </c>
    </row>
    <row r="100">
      <c r="A100" s="16" t="str">
        <f>IFERROR(__xludf.DUMMYFUNCTION("IFERROR(SPARKLINE(SORT(MAP(TRANSPOSE(AQ100:BL100), LAMBDA(val, IF(ISNUMBER(val), PERCENTRANK(AQ100:BL100, val)+0.01, 0))), SEQUENCE(COLUMNS(AQ100:BL100)), FALSE), {""charttype"",""column""; ""color"",""chartreuse""; ""ymin"", 0; ""ymax"", 1.01; ""highcolo"&amp;"r"", ""darkgreen""; ""lowcolor"", ""red""}), """")"),"")</f>
        <v/>
      </c>
      <c r="B100" s="17" t="str">
        <f t="shared" si="4"/>
        <v/>
      </c>
      <c r="C100" s="1" t="s">
        <v>560</v>
      </c>
      <c r="D100" s="30" t="str">
        <f>IFERROR(__xludf.DUMMYFUNCTION("IFERROR(GOOGLEFINANCE(C100, ""NAME""))"),"MediaAlpha Inc")</f>
        <v>MediaAlpha Inc</v>
      </c>
      <c r="E100" s="30" t="s">
        <v>69</v>
      </c>
      <c r="F100" s="33" t="str">
        <f>IFERROR(__xludf.DUMMYFUNCTION("( (GOOGLEFINANCE(C100, ""price"") - Q100) / Q100 ) / (R100 / 100)"),"Loading...")</f>
        <v>Loading...</v>
      </c>
      <c r="G100" s="20" t="str">
        <f>IFERROR(__xludf.DUMMYFUNCTION("AVERAGE(ARRAYFORMULA(100 * (QUERY(GOOGLEFINANCE(C100, ""high"", TODAY()-40, TODAY()), ""SELECT Col2 WHERE Col2 IS NOT NULL ORDER BY Col1 DESC LIMIT 20"", 0) / QUERY(GOOGLEFINANCE(C100, ""low"", TODAY()-40, TODAY()), ""SELECT Col2 WHERE Col2 IS NOT NULL OR"&amp;"DER BY Col1 DESC LIMIT 20"", 0) - 1)))"),"#N/A")</f>
        <v>#N/A</v>
      </c>
      <c r="H100" s="35" t="str">
        <f t="shared" si="6"/>
        <v>Illiquid</v>
      </c>
      <c r="I100" s="36" t="str">
        <f t="shared" si="7"/>
        <v>RVol Required</v>
      </c>
      <c r="J100" s="37">
        <f>IFERROR(__xludf.DUMMYFUNCTION("IFERROR(
  IF(C100="""",, 
    IFERROR(
      GOOGLEFINANCE(C100, ""price"") * GOOGLEFINANCE(C100, ""volumeavg""), 
      GOOGLEFINANCE(C100, ""price"") * AVERAGE(QUERY(GOOGLEFINANCE(C100, ""volume"", TODAY()-40, TODAY()), ""SELECT Col2 WHERE Col2 IS NOT "&amp;"NULL ORDER BY Col1 DESC LIMIT 20"", 0))
    )
  ), 
"""")"),1.07772365E7)</f>
        <v>10777236.5</v>
      </c>
      <c r="K100" s="21">
        <f>IFERROR(__xludf.DUMMYFUNCTION("IFERROR(GOOGLEFINANCE(C100, ""changepct"") / 100, """")"),-0.0154)</f>
        <v>-0.0154</v>
      </c>
      <c r="L100" s="21" t="str">
        <f>IFERROR(__xludf.DUMMYFUNCTION("IFERROR((GOOGLEFINANCE(C100, ""price"") / INDEX(GOOGLEFINANCE(C100, ""price"", TODAY()-7, TODAY()), 2, 2)) - 1, """")"),"")</f>
        <v/>
      </c>
      <c r="M100" s="21" t="str">
        <f>IFERROR(__xludf.DUMMYFUNCTION("IFERROR((GOOGLEFINANCE(C100, ""price"") / INDEX(GOOGLEFINANCE(C100, ""price"", EDATE(TODAY(), -1), TODAY()), 2, 2)) - 1, """")"),"")</f>
        <v/>
      </c>
      <c r="N100" s="21" t="str">
        <f>IFERROR(__xludf.DUMMYFUNCTION("IFERROR((GOOGLEFINANCE(C100, ""price"") / INDEX(GOOGLEFINANCE(C100, ""price"", EDATE(TODAY(), -3), TODAY()), 2, 2)) - 1, """")"),"")</f>
        <v/>
      </c>
      <c r="O100" s="21" t="str">
        <f>IFERROR(__xludf.DUMMYFUNCTION("IFERROR((GOOGLEFINANCE(C100, ""price"") / INDEX(GOOGLEFINANCE(C100, ""price"", EDATE(TODAY(), -6), TODAY()), 2, 2)) - 1, """")"),"")</f>
        <v/>
      </c>
      <c r="P100" s="21" t="str">
        <f>IFERROR(__xludf.DUMMYFUNCTION("IFERROR((GOOGLEFINANCE(C100, ""price"") / INDEX(GOOGLEFINANCE(C100, ""price"", EDATE(TODAY(), -12), TODAY()), 2, 2)) - 1, """")"),"")</f>
        <v/>
      </c>
      <c r="Q100" s="6" t="str">
        <f>IFERROR(__xludf.DUMMYFUNCTION("AVERAGE(QUERY(GOOGLEFINANCE(C100, ""price"", TODAY()-80, TODAY()), ""SELECT Col2 WHERE Col2 IS NOT NULL ORDER BY Col1 DESC LIMIT 50"", 0))"),"#N/A")</f>
        <v>#N/A</v>
      </c>
      <c r="R100" s="24" t="str">
        <f>IFERROR(__xludf.DUMMYFUNCTION("IFERROR(
  LET(
    data, QUERY(GOOGLEFINANCE(C100,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GOOGLEFINANCE(C100, ""price"")) * 100,
    IF(calc=0, G100, calc)
  ), 
G100)"),"#N/A")</f>
        <v>#N/A</v>
      </c>
      <c r="S100" s="8" t="s">
        <v>15</v>
      </c>
      <c r="T100" s="26" t="str">
        <f>IFERROR(__xludf.DUMMYFUNCTION("IFERROR(TRANSPOSE(QUERY(IFERROR(SORT(GOOGLEFINANCE(C100, ""price"", WORKDAY(TODAY(), -40), TODAY()), 1, FALSE)), ""select Col2 where Col2 is not null limit 22 label Col2 ''"", 0)), """")"),"")</f>
        <v/>
      </c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8"/>
      <c r="AO100" s="28"/>
      <c r="AP100" s="29"/>
      <c r="AQ100" s="29" t="str">
        <f t="shared" ref="AQ100:BL100" si="103">T100/T$2</f>
        <v>#N/A</v>
      </c>
      <c r="AR100" s="29" t="str">
        <f t="shared" si="103"/>
        <v>#DIV/0!</v>
      </c>
      <c r="AS100" s="29" t="str">
        <f t="shared" si="103"/>
        <v>#DIV/0!</v>
      </c>
      <c r="AT100" s="29" t="str">
        <f t="shared" si="103"/>
        <v>#DIV/0!</v>
      </c>
      <c r="AU100" s="29" t="str">
        <f t="shared" si="103"/>
        <v>#DIV/0!</v>
      </c>
      <c r="AV100" s="29" t="str">
        <f t="shared" si="103"/>
        <v>#DIV/0!</v>
      </c>
      <c r="AW100" s="29" t="str">
        <f t="shared" si="103"/>
        <v>#DIV/0!</v>
      </c>
      <c r="AX100" s="29" t="str">
        <f t="shared" si="103"/>
        <v>#DIV/0!</v>
      </c>
      <c r="AY100" s="29" t="str">
        <f t="shared" si="103"/>
        <v>#DIV/0!</v>
      </c>
      <c r="AZ100" s="29" t="str">
        <f t="shared" si="103"/>
        <v>#DIV/0!</v>
      </c>
      <c r="BA100" s="29" t="str">
        <f t="shared" si="103"/>
        <v>#DIV/0!</v>
      </c>
      <c r="BB100" s="29" t="str">
        <f t="shared" si="103"/>
        <v>#DIV/0!</v>
      </c>
      <c r="BC100" s="29" t="str">
        <f t="shared" si="103"/>
        <v>#DIV/0!</v>
      </c>
      <c r="BD100" s="29" t="str">
        <f t="shared" si="103"/>
        <v>#DIV/0!</v>
      </c>
      <c r="BE100" s="29" t="str">
        <f t="shared" si="103"/>
        <v>#DIV/0!</v>
      </c>
      <c r="BF100" s="29" t="str">
        <f t="shared" si="103"/>
        <v>#DIV/0!</v>
      </c>
      <c r="BG100" s="29" t="str">
        <f t="shared" si="103"/>
        <v>#DIV/0!</v>
      </c>
      <c r="BH100" s="29" t="str">
        <f t="shared" si="103"/>
        <v>#DIV/0!</v>
      </c>
      <c r="BI100" s="29" t="str">
        <f t="shared" si="103"/>
        <v>#DIV/0!</v>
      </c>
      <c r="BJ100" s="29" t="str">
        <f t="shared" si="103"/>
        <v>#DIV/0!</v>
      </c>
      <c r="BK100" s="29" t="str">
        <f t="shared" si="103"/>
        <v>#DIV/0!</v>
      </c>
      <c r="BL100" s="29" t="str">
        <f t="shared" si="103"/>
        <v>#DIV/0!</v>
      </c>
      <c r="BM100" s="29" t="str">
        <f t="shared" si="3"/>
        <v>#DIV/0!</v>
      </c>
    </row>
    <row r="101">
      <c r="A101" s="16" t="str">
        <f>IFERROR(__xludf.DUMMYFUNCTION("IFERROR(SPARKLINE(SORT(MAP(TRANSPOSE(AQ101:BL101), LAMBDA(val, IF(ISNUMBER(val), PERCENTRANK(AQ101:BL101, val)+0.01, 0))), SEQUENCE(COLUMNS(AQ101:BL101)), FALSE), {""charttype"",""column""; ""color"",""chartreuse""; ""ymin"", 0; ""ymax"", 1.01; ""highcolo"&amp;"r"", ""darkgreen""; ""lowcolor"", ""red""}), """")"),"")</f>
        <v/>
      </c>
      <c r="B101" s="17" t="str">
        <f t="shared" si="4"/>
        <v/>
      </c>
      <c r="C101" s="1" t="s">
        <v>564</v>
      </c>
      <c r="D101" s="30" t="str">
        <f>IFERROR(__xludf.DUMMYFUNCTION("IFERROR(GOOGLEFINANCE(C101, ""NAME""))"),"Nexstar Media Group Inc")</f>
        <v>Nexstar Media Group Inc</v>
      </c>
      <c r="E101" s="30" t="s">
        <v>176</v>
      </c>
      <c r="F101" s="33" t="str">
        <f>IFERROR(__xludf.DUMMYFUNCTION("( (GOOGLEFINANCE(C101, ""price"") - Q101) / Q101 ) / (R101 / 100)"),"Loading...")</f>
        <v>Loading...</v>
      </c>
      <c r="G101" s="20" t="str">
        <f>IFERROR(__xludf.DUMMYFUNCTION("AVERAGE(ARRAYFORMULA(100 * (QUERY(GOOGLEFINANCE(C101, ""high"", TODAY()-40, TODAY()), ""SELECT Col2 WHERE Col2 IS NOT NULL ORDER BY Col1 DESC LIMIT 20"", 0) / QUERY(GOOGLEFINANCE(C101, ""low"", TODAY()-40, TODAY()), ""SELECT Col2 WHERE Col2 IS NOT NULL OR"&amp;"DER BY Col1 DESC LIMIT 20"", 0) - 1)))"),"#N/A")</f>
        <v>#N/A</v>
      </c>
      <c r="H101" s="35" t="str">
        <f t="shared" si="6"/>
        <v>Liquid</v>
      </c>
      <c r="I101" s="36" t="str">
        <f t="shared" si="7"/>
        <v>RVol Required</v>
      </c>
      <c r="J101" s="37">
        <f>IFERROR(__xludf.DUMMYFUNCTION("IFERROR(
  IF(C101="""",, 
    IFERROR(
      GOOGLEFINANCE(C101, ""price"") * GOOGLEFINANCE(C101, ""volumeavg""), 
      GOOGLEFINANCE(C101, ""price"") * AVERAGE(QUERY(GOOGLEFINANCE(C101, ""volume"", TODAY()-40, TODAY()), ""SELECT Col2 WHERE Col2 IS NOT "&amp;"NULL ORDER BY Col1 DESC LIMIT 20"", 0))
    )
  ), 
"""")"),6.19401547E7)</f>
        <v>61940154.7</v>
      </c>
      <c r="K101" s="21">
        <f>IFERROR(__xludf.DUMMYFUNCTION("IFERROR(GOOGLEFINANCE(C101, ""changepct"") / 100, """")"),-4.0E-4)</f>
        <v>-0.0004</v>
      </c>
      <c r="L101" s="21" t="str">
        <f>IFERROR(__xludf.DUMMYFUNCTION("IFERROR((GOOGLEFINANCE(C101, ""price"") / INDEX(GOOGLEFINANCE(C101, ""price"", TODAY()-7, TODAY()), 2, 2)) - 1, """")"),"")</f>
        <v/>
      </c>
      <c r="M101" s="21" t="str">
        <f>IFERROR(__xludf.DUMMYFUNCTION("IFERROR((GOOGLEFINANCE(C101, ""price"") / INDEX(GOOGLEFINANCE(C101, ""price"", EDATE(TODAY(), -1), TODAY()), 2, 2)) - 1, """")"),"")</f>
        <v/>
      </c>
      <c r="N101" s="21" t="str">
        <f>IFERROR(__xludf.DUMMYFUNCTION("IFERROR((GOOGLEFINANCE(C101, ""price"") / INDEX(GOOGLEFINANCE(C101, ""price"", EDATE(TODAY(), -3), TODAY()), 2, 2)) - 1, """")"),"")</f>
        <v/>
      </c>
      <c r="O101" s="21" t="str">
        <f>IFERROR(__xludf.DUMMYFUNCTION("IFERROR((GOOGLEFINANCE(C101, ""price"") / INDEX(GOOGLEFINANCE(C101, ""price"", EDATE(TODAY(), -6), TODAY()), 2, 2)) - 1, """")"),"")</f>
        <v/>
      </c>
      <c r="P101" s="21" t="str">
        <f>IFERROR(__xludf.DUMMYFUNCTION("IFERROR((GOOGLEFINANCE(C101, ""price"") / INDEX(GOOGLEFINANCE(C101, ""price"", EDATE(TODAY(), -12), TODAY()), 2, 2)) - 1, """")"),"")</f>
        <v/>
      </c>
      <c r="Q101" s="6" t="str">
        <f>IFERROR(__xludf.DUMMYFUNCTION("AVERAGE(QUERY(GOOGLEFINANCE(C101, ""price"", TODAY()-80, TODAY()), ""SELECT Col2 WHERE Col2 IS NOT NULL ORDER BY Col1 DESC LIMIT 50"", 0))"),"#N/A")</f>
        <v>#N/A</v>
      </c>
      <c r="R101" s="24" t="str">
        <f>IFERROR(__xludf.DUMMYFUNCTION("IFERROR(
  LET(
    data, QUERY(GOOGLEFINANCE(C101,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GOOGLEFINANCE(C101, ""price"")) * 100,
    IF(calc=0, G101, calc)
  ), 
G101)"),"#N/A")</f>
        <v>#N/A</v>
      </c>
      <c r="S101" s="8" t="s">
        <v>15</v>
      </c>
      <c r="T101" s="26" t="str">
        <f>IFERROR(__xludf.DUMMYFUNCTION("IFERROR(TRANSPOSE(QUERY(IFERROR(SORT(GOOGLEFINANCE(C101, ""price"", WORKDAY(TODAY(), -40), TODAY()), 1, FALSE)), ""select Col2 where Col2 is not null limit 22 label Col2 ''"", 0)), """")"),"")</f>
        <v/>
      </c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8"/>
      <c r="AO101" s="28"/>
      <c r="AP101" s="29"/>
      <c r="AQ101" s="29" t="str">
        <f t="shared" ref="AQ101:BL101" si="104">T101/T$2</f>
        <v>#N/A</v>
      </c>
      <c r="AR101" s="29" t="str">
        <f t="shared" si="104"/>
        <v>#DIV/0!</v>
      </c>
      <c r="AS101" s="29" t="str">
        <f t="shared" si="104"/>
        <v>#DIV/0!</v>
      </c>
      <c r="AT101" s="29" t="str">
        <f t="shared" si="104"/>
        <v>#DIV/0!</v>
      </c>
      <c r="AU101" s="29" t="str">
        <f t="shared" si="104"/>
        <v>#DIV/0!</v>
      </c>
      <c r="AV101" s="29" t="str">
        <f t="shared" si="104"/>
        <v>#DIV/0!</v>
      </c>
      <c r="AW101" s="29" t="str">
        <f t="shared" si="104"/>
        <v>#DIV/0!</v>
      </c>
      <c r="AX101" s="29" t="str">
        <f t="shared" si="104"/>
        <v>#DIV/0!</v>
      </c>
      <c r="AY101" s="29" t="str">
        <f t="shared" si="104"/>
        <v>#DIV/0!</v>
      </c>
      <c r="AZ101" s="29" t="str">
        <f t="shared" si="104"/>
        <v>#DIV/0!</v>
      </c>
      <c r="BA101" s="29" t="str">
        <f t="shared" si="104"/>
        <v>#DIV/0!</v>
      </c>
      <c r="BB101" s="29" t="str">
        <f t="shared" si="104"/>
        <v>#DIV/0!</v>
      </c>
      <c r="BC101" s="29" t="str">
        <f t="shared" si="104"/>
        <v>#DIV/0!</v>
      </c>
      <c r="BD101" s="29" t="str">
        <f t="shared" si="104"/>
        <v>#DIV/0!</v>
      </c>
      <c r="BE101" s="29" t="str">
        <f t="shared" si="104"/>
        <v>#DIV/0!</v>
      </c>
      <c r="BF101" s="29" t="str">
        <f t="shared" si="104"/>
        <v>#DIV/0!</v>
      </c>
      <c r="BG101" s="29" t="str">
        <f t="shared" si="104"/>
        <v>#DIV/0!</v>
      </c>
      <c r="BH101" s="29" t="str">
        <f t="shared" si="104"/>
        <v>#DIV/0!</v>
      </c>
      <c r="BI101" s="29" t="str">
        <f t="shared" si="104"/>
        <v>#DIV/0!</v>
      </c>
      <c r="BJ101" s="29" t="str">
        <f t="shared" si="104"/>
        <v>#DIV/0!</v>
      </c>
      <c r="BK101" s="29" t="str">
        <f t="shared" si="104"/>
        <v>#DIV/0!</v>
      </c>
      <c r="BL101" s="29" t="str">
        <f t="shared" si="104"/>
        <v>#DIV/0!</v>
      </c>
      <c r="BM101" s="29" t="str">
        <f t="shared" si="3"/>
        <v>#DIV/0!</v>
      </c>
    </row>
    <row r="102">
      <c r="A102" s="16" t="str">
        <f>IFERROR(__xludf.DUMMYFUNCTION("IFERROR(SPARKLINE(SORT(MAP(TRANSPOSE(AQ102:BL102), LAMBDA(val, IF(ISNUMBER(val), PERCENTRANK(AQ102:BL102, val)+0.01, 0))), SEQUENCE(COLUMNS(AQ102:BL102)), FALSE), {""charttype"",""column""; ""color"",""chartreuse""; ""ymin"", 0; ""ymax"", 1.01; ""highcolo"&amp;"r"", ""darkgreen""; ""lowcolor"", ""red""}), """")"),"")</f>
        <v/>
      </c>
      <c r="B102" s="17" t="str">
        <f t="shared" si="4"/>
        <v/>
      </c>
      <c r="C102" s="1" t="s">
        <v>567</v>
      </c>
      <c r="D102" s="30" t="str">
        <f>IFERROR(__xludf.DUMMYFUNCTION("IFERROR(GOOGLEFINANCE(C102, ""NAME""))"),"Versant Media Group Inc")</f>
        <v>Versant Media Group Inc</v>
      </c>
      <c r="E102" s="30" t="s">
        <v>62</v>
      </c>
      <c r="F102" s="33" t="str">
        <f>IFERROR(__xludf.DUMMYFUNCTION("( (GOOGLEFINANCE(C102, ""price"") - Q102) / Q102 ) / (R102 / 100)"),"Loading...")</f>
        <v>Loading...</v>
      </c>
      <c r="G102" s="20" t="str">
        <f>IFERROR(__xludf.DUMMYFUNCTION("AVERAGE(ARRAYFORMULA(100 * (QUERY(GOOGLEFINANCE(C102, ""high"", TODAY()-40, TODAY()), ""SELECT Col2 WHERE Col2 IS NOT NULL ORDER BY Col1 DESC LIMIT 20"", 0) / QUERY(GOOGLEFINANCE(C102, ""low"", TODAY()-40, TODAY()), ""SELECT Col2 WHERE Col2 IS NOT NULL OR"&amp;"DER BY Col1 DESC LIMIT 20"", 0) - 1)))"),"#N/A")</f>
        <v>#N/A</v>
      </c>
      <c r="H102" s="35" t="str">
        <f t="shared" si="6"/>
        <v>Liquid</v>
      </c>
      <c r="I102" s="36" t="str">
        <f t="shared" si="7"/>
        <v>RVol Required</v>
      </c>
      <c r="J102" s="37">
        <f>IFERROR(__xludf.DUMMYFUNCTION("IFERROR(
  IF(C102="""",, 
    IFERROR(
      GOOGLEFINANCE(C102, ""price"") * GOOGLEFINANCE(C102, ""volumeavg""), 
      GOOGLEFINANCE(C102, ""price"") * AVERAGE(QUERY(GOOGLEFINANCE(C102, ""volume"", TODAY()-40, TODAY()), ""SELECT Col2 WHERE Col2 IS NOT "&amp;"NULL ORDER BY Col1 DESC LIMIT 20"", 0))
    )
  ), 
"""")"),5.586846633E7)</f>
        <v>55868466.33</v>
      </c>
      <c r="K102" s="21">
        <f>IFERROR(__xludf.DUMMYFUNCTION("IFERROR(GOOGLEFINANCE(C102, ""changepct"") / 100, """")"),0.017)</f>
        <v>0.017</v>
      </c>
      <c r="L102" s="21" t="str">
        <f>IFERROR(__xludf.DUMMYFUNCTION("IFERROR((GOOGLEFINANCE(C102, ""price"") / INDEX(GOOGLEFINANCE(C102, ""price"", TODAY()-7, TODAY()), 2, 2)) - 1, """")"),"")</f>
        <v/>
      </c>
      <c r="M102" s="21" t="str">
        <f>IFERROR(__xludf.DUMMYFUNCTION("IFERROR((GOOGLEFINANCE(C102, ""price"") / INDEX(GOOGLEFINANCE(C102, ""price"", EDATE(TODAY(), -1), TODAY()), 2, 2)) - 1, """")"),"")</f>
        <v/>
      </c>
      <c r="N102" s="21" t="str">
        <f>IFERROR(__xludf.DUMMYFUNCTION("IFERROR((GOOGLEFINANCE(C102, ""price"") / INDEX(GOOGLEFINANCE(C102, ""price"", EDATE(TODAY(), -3), TODAY()), 2, 2)) - 1, """")"),"")</f>
        <v/>
      </c>
      <c r="O102" s="21" t="str">
        <f>IFERROR(__xludf.DUMMYFUNCTION("IFERROR((GOOGLEFINANCE(C102, ""price"") / INDEX(GOOGLEFINANCE(C102, ""price"", EDATE(TODAY(), -6), TODAY()), 2, 2)) - 1, """")"),"")</f>
        <v/>
      </c>
      <c r="P102" s="21" t="str">
        <f>IFERROR(__xludf.DUMMYFUNCTION("IFERROR((GOOGLEFINANCE(C102, ""price"") / INDEX(GOOGLEFINANCE(C102, ""price"", EDATE(TODAY(), -12), TODAY()), 2, 2)) - 1, """")"),"")</f>
        <v/>
      </c>
      <c r="Q102" s="6" t="str">
        <f>IFERROR(__xludf.DUMMYFUNCTION("AVERAGE(QUERY(GOOGLEFINANCE(C102, ""price"", TODAY()-80, TODAY()), ""SELECT Col2 WHERE Col2 IS NOT NULL ORDER BY Col1 DESC LIMIT 50"", 0))"),"#N/A")</f>
        <v>#N/A</v>
      </c>
      <c r="R102" s="24" t="str">
        <f>IFERROR(__xludf.DUMMYFUNCTION("IFERROR(
  LET(
    data, QUERY(GOOGLEFINANCE(C102,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GOOGLEFINANCE(C102, ""price"")) * 100,
    IF(calc=0, G102, calc)
  ), 
G102)"),"#N/A")</f>
        <v>#N/A</v>
      </c>
      <c r="S102" s="8" t="s">
        <v>15</v>
      </c>
      <c r="T102" s="26" t="str">
        <f>IFERROR(__xludf.DUMMYFUNCTION("IFERROR(TRANSPOSE(QUERY(IFERROR(SORT(GOOGLEFINANCE(C102, ""price"", WORKDAY(TODAY(), -40), TODAY()), 1, FALSE)), ""select Col2 where Col2 is not null limit 22 label Col2 ''"", 0)), """")"),"")</f>
        <v/>
      </c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8"/>
      <c r="AO102" s="28"/>
      <c r="AP102" s="29"/>
      <c r="AQ102" s="29" t="str">
        <f t="shared" ref="AQ102:BL102" si="105">T102/T$2</f>
        <v>#N/A</v>
      </c>
      <c r="AR102" s="29" t="str">
        <f t="shared" si="105"/>
        <v>#DIV/0!</v>
      </c>
      <c r="AS102" s="29" t="str">
        <f t="shared" si="105"/>
        <v>#DIV/0!</v>
      </c>
      <c r="AT102" s="29" t="str">
        <f t="shared" si="105"/>
        <v>#DIV/0!</v>
      </c>
      <c r="AU102" s="29" t="str">
        <f t="shared" si="105"/>
        <v>#DIV/0!</v>
      </c>
      <c r="AV102" s="29" t="str">
        <f t="shared" si="105"/>
        <v>#DIV/0!</v>
      </c>
      <c r="AW102" s="29" t="str">
        <f t="shared" si="105"/>
        <v>#DIV/0!</v>
      </c>
      <c r="AX102" s="29" t="str">
        <f t="shared" si="105"/>
        <v>#DIV/0!</v>
      </c>
      <c r="AY102" s="29" t="str">
        <f t="shared" si="105"/>
        <v>#DIV/0!</v>
      </c>
      <c r="AZ102" s="29" t="str">
        <f t="shared" si="105"/>
        <v>#DIV/0!</v>
      </c>
      <c r="BA102" s="29" t="str">
        <f t="shared" si="105"/>
        <v>#DIV/0!</v>
      </c>
      <c r="BB102" s="29" t="str">
        <f t="shared" si="105"/>
        <v>#DIV/0!</v>
      </c>
      <c r="BC102" s="29" t="str">
        <f t="shared" si="105"/>
        <v>#DIV/0!</v>
      </c>
      <c r="BD102" s="29" t="str">
        <f t="shared" si="105"/>
        <v>#DIV/0!</v>
      </c>
      <c r="BE102" s="29" t="str">
        <f t="shared" si="105"/>
        <v>#DIV/0!</v>
      </c>
      <c r="BF102" s="29" t="str">
        <f t="shared" si="105"/>
        <v>#DIV/0!</v>
      </c>
      <c r="BG102" s="29" t="str">
        <f t="shared" si="105"/>
        <v>#DIV/0!</v>
      </c>
      <c r="BH102" s="29" t="str">
        <f t="shared" si="105"/>
        <v>#DIV/0!</v>
      </c>
      <c r="BI102" s="29" t="str">
        <f t="shared" si="105"/>
        <v>#DIV/0!</v>
      </c>
      <c r="BJ102" s="29" t="str">
        <f t="shared" si="105"/>
        <v>#DIV/0!</v>
      </c>
      <c r="BK102" s="29" t="str">
        <f t="shared" si="105"/>
        <v>#DIV/0!</v>
      </c>
      <c r="BL102" s="29" t="str">
        <f t="shared" si="105"/>
        <v>#DIV/0!</v>
      </c>
      <c r="BM102" s="29" t="str">
        <f t="shared" si="3"/>
        <v>#DIV/0!</v>
      </c>
    </row>
    <row r="103">
      <c r="A103" s="16" t="str">
        <f>IFERROR(__xludf.DUMMYFUNCTION("IFERROR(SPARKLINE(SORT(MAP(TRANSPOSE(AQ103:BL103), LAMBDA(val, IF(ISNUMBER(val), PERCENTRANK(AQ103:BL103, val)+0.01, 0))), SEQUENCE(COLUMNS(AQ103:BL103)), FALSE), {""charttype"",""column""; ""color"",""chartreuse""; ""ymin"", 0; ""ymax"", 1.01; ""highcolo"&amp;"r"", ""darkgreen""; ""lowcolor"", ""red""}), """")"),"")</f>
        <v/>
      </c>
      <c r="B103" s="17" t="str">
        <f t="shared" si="4"/>
        <v/>
      </c>
      <c r="C103" s="1" t="s">
        <v>572</v>
      </c>
      <c r="D103" s="30" t="str">
        <f>IFERROR(__xludf.DUMMYFUNCTION("IFERROR(GOOGLEFINANCE(C103, ""NAME""))"),"Chunghwa Telecom Co Ltd")</f>
        <v>Chunghwa Telecom Co Ltd</v>
      </c>
      <c r="E103" s="30" t="s">
        <v>52</v>
      </c>
      <c r="F103" s="33" t="str">
        <f>IFERROR(__xludf.DUMMYFUNCTION("( (GOOGLEFINANCE(C103, ""price"") - Q103) / Q103 ) / (R103 / 100)"),"Loading...")</f>
        <v>Loading...</v>
      </c>
      <c r="G103" s="20" t="str">
        <f>IFERROR(__xludf.DUMMYFUNCTION("AVERAGE(ARRAYFORMULA(100 * (QUERY(GOOGLEFINANCE(C103, ""high"", TODAY()-40, TODAY()), ""SELECT Col2 WHERE Col2 IS NOT NULL ORDER BY Col1 DESC LIMIT 20"", 0) / QUERY(GOOGLEFINANCE(C103, ""low"", TODAY()-40, TODAY()), ""SELECT Col2 WHERE Col2 IS NOT NULL OR"&amp;"DER BY Col1 DESC LIMIT 20"", 0) - 1)))"),"#N/A")</f>
        <v>#N/A</v>
      </c>
      <c r="H103" s="35" t="str">
        <f t="shared" si="6"/>
        <v>Illiquid</v>
      </c>
      <c r="I103" s="36" t="str">
        <f t="shared" si="7"/>
        <v>RVol Required</v>
      </c>
      <c r="J103" s="37">
        <f>IFERROR(__xludf.DUMMYFUNCTION("IFERROR(
  IF(C103="""",, 
    IFERROR(
      GOOGLEFINANCE(C103, ""price"") * GOOGLEFINANCE(C103, ""volumeavg""), 
      GOOGLEFINANCE(C103, ""price"") * AVERAGE(QUERY(GOOGLEFINANCE(C103, ""volume"", TODAY()-40, TODAY()), ""SELECT Col2 WHERE Col2 IS NOT "&amp;"NULL ORDER BY Col1 DESC LIMIT 20"", 0))
    )
  ), 
"""")"),1.195730652E7)</f>
        <v>11957306.52</v>
      </c>
      <c r="K103" s="21">
        <f>IFERROR(__xludf.DUMMYFUNCTION("IFERROR(GOOGLEFINANCE(C103, ""changepct"") / 100, """")"),-4.0E-4)</f>
        <v>-0.0004</v>
      </c>
      <c r="L103" s="21" t="str">
        <f>IFERROR(__xludf.DUMMYFUNCTION("IFERROR((GOOGLEFINANCE(C103, ""price"") / INDEX(GOOGLEFINANCE(C103, ""price"", TODAY()-7, TODAY()), 2, 2)) - 1, """")"),"")</f>
        <v/>
      </c>
      <c r="M103" s="21" t="str">
        <f>IFERROR(__xludf.DUMMYFUNCTION("IFERROR((GOOGLEFINANCE(C103, ""price"") / INDEX(GOOGLEFINANCE(C103, ""price"", EDATE(TODAY(), -1), TODAY()), 2, 2)) - 1, """")"),"")</f>
        <v/>
      </c>
      <c r="N103" s="21" t="str">
        <f>IFERROR(__xludf.DUMMYFUNCTION("IFERROR((GOOGLEFINANCE(C103, ""price"") / INDEX(GOOGLEFINANCE(C103, ""price"", EDATE(TODAY(), -3), TODAY()), 2, 2)) - 1, """")"),"")</f>
        <v/>
      </c>
      <c r="O103" s="21" t="str">
        <f>IFERROR(__xludf.DUMMYFUNCTION("IFERROR((GOOGLEFINANCE(C103, ""price"") / INDEX(GOOGLEFINANCE(C103, ""price"", EDATE(TODAY(), -6), TODAY()), 2, 2)) - 1, """")"),"")</f>
        <v/>
      </c>
      <c r="P103" s="21" t="str">
        <f>IFERROR(__xludf.DUMMYFUNCTION("IFERROR((GOOGLEFINANCE(C103, ""price"") / INDEX(GOOGLEFINANCE(C103, ""price"", EDATE(TODAY(), -12), TODAY()), 2, 2)) - 1, """")"),"")</f>
        <v/>
      </c>
      <c r="Q103" s="6" t="str">
        <f>IFERROR(__xludf.DUMMYFUNCTION("AVERAGE(QUERY(GOOGLEFINANCE(C103, ""price"", TODAY()-80, TODAY()), ""SELECT Col2 WHERE Col2 IS NOT NULL ORDER BY Col1 DESC LIMIT 50"", 0))"),"#N/A")</f>
        <v>#N/A</v>
      </c>
      <c r="R103" s="24" t="str">
        <f>IFERROR(__xludf.DUMMYFUNCTION("IFERROR(
  LET(
    data, QUERY(GOOGLEFINANCE(C103,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GOOGLEFINANCE(C103, ""price"")) * 100,
    IF(calc=0, G103, calc)
  ), 
G103)"),"#N/A")</f>
        <v>#N/A</v>
      </c>
      <c r="S103" s="8" t="s">
        <v>15</v>
      </c>
      <c r="T103" s="26" t="str">
        <f>IFERROR(__xludf.DUMMYFUNCTION("IFERROR(TRANSPOSE(QUERY(IFERROR(SORT(GOOGLEFINANCE(C103, ""price"", WORKDAY(TODAY(), -40), TODAY()), 1, FALSE)), ""select Col2 where Col2 is not null limit 22 label Col2 ''"", 0)), """")"),"")</f>
        <v/>
      </c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8"/>
      <c r="AO103" s="28"/>
      <c r="AP103" s="29"/>
      <c r="AQ103" s="29" t="str">
        <f t="shared" ref="AQ103:BL103" si="106">T103/T$2</f>
        <v>#N/A</v>
      </c>
      <c r="AR103" s="29" t="str">
        <f t="shared" si="106"/>
        <v>#DIV/0!</v>
      </c>
      <c r="AS103" s="29" t="str">
        <f t="shared" si="106"/>
        <v>#DIV/0!</v>
      </c>
      <c r="AT103" s="29" t="str">
        <f t="shared" si="106"/>
        <v>#DIV/0!</v>
      </c>
      <c r="AU103" s="29" t="str">
        <f t="shared" si="106"/>
        <v>#DIV/0!</v>
      </c>
      <c r="AV103" s="29" t="str">
        <f t="shared" si="106"/>
        <v>#DIV/0!</v>
      </c>
      <c r="AW103" s="29" t="str">
        <f t="shared" si="106"/>
        <v>#DIV/0!</v>
      </c>
      <c r="AX103" s="29" t="str">
        <f t="shared" si="106"/>
        <v>#DIV/0!</v>
      </c>
      <c r="AY103" s="29" t="str">
        <f t="shared" si="106"/>
        <v>#DIV/0!</v>
      </c>
      <c r="AZ103" s="29" t="str">
        <f t="shared" si="106"/>
        <v>#DIV/0!</v>
      </c>
      <c r="BA103" s="29" t="str">
        <f t="shared" si="106"/>
        <v>#DIV/0!</v>
      </c>
      <c r="BB103" s="29" t="str">
        <f t="shared" si="106"/>
        <v>#DIV/0!</v>
      </c>
      <c r="BC103" s="29" t="str">
        <f t="shared" si="106"/>
        <v>#DIV/0!</v>
      </c>
      <c r="BD103" s="29" t="str">
        <f t="shared" si="106"/>
        <v>#DIV/0!</v>
      </c>
      <c r="BE103" s="29" t="str">
        <f t="shared" si="106"/>
        <v>#DIV/0!</v>
      </c>
      <c r="BF103" s="29" t="str">
        <f t="shared" si="106"/>
        <v>#DIV/0!</v>
      </c>
      <c r="BG103" s="29" t="str">
        <f t="shared" si="106"/>
        <v>#DIV/0!</v>
      </c>
      <c r="BH103" s="29" t="str">
        <f t="shared" si="106"/>
        <v>#DIV/0!</v>
      </c>
      <c r="BI103" s="29" t="str">
        <f t="shared" si="106"/>
        <v>#DIV/0!</v>
      </c>
      <c r="BJ103" s="29" t="str">
        <f t="shared" si="106"/>
        <v>#DIV/0!</v>
      </c>
      <c r="BK103" s="29" t="str">
        <f t="shared" si="106"/>
        <v>#DIV/0!</v>
      </c>
      <c r="BL103" s="29" t="str">
        <f t="shared" si="106"/>
        <v>#DIV/0!</v>
      </c>
      <c r="BM103" s="29" t="str">
        <f t="shared" si="3"/>
        <v>#DIV/0!</v>
      </c>
    </row>
    <row r="104">
      <c r="A104" s="16" t="str">
        <f>IFERROR(__xludf.DUMMYFUNCTION("IFERROR(SPARKLINE(SORT(MAP(TRANSPOSE(AQ104:BL104), LAMBDA(val, IF(ISNUMBER(val), PERCENTRANK(AQ104:BL104, val)+0.01, 0))), SEQUENCE(COLUMNS(AQ104:BL104)), FALSE), {""charttype"",""column""; ""color"",""chartreuse""; ""ymin"", 0; ""ymax"", 1.01; ""highcolo"&amp;"r"", ""darkgreen""; ""lowcolor"", ""red""}), """")"),"")</f>
        <v/>
      </c>
      <c r="B104" s="17" t="str">
        <f t="shared" si="4"/>
        <v/>
      </c>
      <c r="C104" s="1" t="s">
        <v>575</v>
      </c>
      <c r="D104" s="30" t="str">
        <f>IFERROR(__xludf.DUMMYFUNCTION("IFERROR(GOOGLEFINANCE(C104, ""NAME""))"),"Reddit Inc")</f>
        <v>Reddit Inc</v>
      </c>
      <c r="E104" s="30" t="s">
        <v>69</v>
      </c>
      <c r="F104" s="33" t="str">
        <f>IFERROR(__xludf.DUMMYFUNCTION("( (GOOGLEFINANCE(C104, ""price"") - Q104) / Q104 ) / (R104 / 100)"),"Loading...")</f>
        <v>Loading...</v>
      </c>
      <c r="G104" s="20" t="str">
        <f>IFERROR(__xludf.DUMMYFUNCTION("AVERAGE(ARRAYFORMULA(100 * (QUERY(GOOGLEFINANCE(C104, ""high"", TODAY()-40, TODAY()), ""SELECT Col2 WHERE Col2 IS NOT NULL ORDER BY Col1 DESC LIMIT 20"", 0) / QUERY(GOOGLEFINANCE(C104, ""low"", TODAY()-40, TODAY()), ""SELECT Col2 WHERE Col2 IS NOT NULL OR"&amp;"DER BY Col1 DESC LIMIT 20"", 0) - 1)))"),"#N/A")</f>
        <v>#N/A</v>
      </c>
      <c r="H104" s="35" t="str">
        <f t="shared" si="6"/>
        <v>Liquid</v>
      </c>
      <c r="I104" s="36" t="str">
        <f t="shared" si="7"/>
        <v>No RVol Required</v>
      </c>
      <c r="J104" s="37">
        <f>IFERROR(__xludf.DUMMYFUNCTION("IFERROR(
  IF(C104="""",, 
    IFERROR(
      GOOGLEFINANCE(C104, ""price"") * GOOGLEFINANCE(C104, ""volumeavg""), 
      GOOGLEFINANCE(C104, ""price"") * AVERAGE(QUERY(GOOGLEFINANCE(C104, ""volume"", TODAY()-40, TODAY()), ""SELECT Col2 WHERE Col2 IS NOT "&amp;"NULL ORDER BY Col1 DESC LIMIT 20"", 0))
    )
  ), 
"""")"),7.2262435156E8)</f>
        <v>722624351.6</v>
      </c>
      <c r="K104" s="21">
        <f>IFERROR(__xludf.DUMMYFUNCTION("IFERROR(GOOGLEFINANCE(C104, ""changepct"") / 100, """")"),-0.0202)</f>
        <v>-0.0202</v>
      </c>
      <c r="L104" s="21" t="str">
        <f>IFERROR(__xludf.DUMMYFUNCTION("IFERROR((GOOGLEFINANCE(C104, ""price"") / INDEX(GOOGLEFINANCE(C104, ""price"", TODAY()-7, TODAY()), 2, 2)) - 1, """")"),"")</f>
        <v/>
      </c>
      <c r="M104" s="21" t="str">
        <f>IFERROR(__xludf.DUMMYFUNCTION("IFERROR((GOOGLEFINANCE(C104, ""price"") / INDEX(GOOGLEFINANCE(C104, ""price"", EDATE(TODAY(), -1), TODAY()), 2, 2)) - 1, """")"),"")</f>
        <v/>
      </c>
      <c r="N104" s="21" t="str">
        <f>IFERROR(__xludf.DUMMYFUNCTION("IFERROR((GOOGLEFINANCE(C104, ""price"") / INDEX(GOOGLEFINANCE(C104, ""price"", EDATE(TODAY(), -3), TODAY()), 2, 2)) - 1, """")"),"")</f>
        <v/>
      </c>
      <c r="O104" s="21" t="str">
        <f>IFERROR(__xludf.DUMMYFUNCTION("IFERROR((GOOGLEFINANCE(C104, ""price"") / INDEX(GOOGLEFINANCE(C104, ""price"", EDATE(TODAY(), -6), TODAY()), 2, 2)) - 1, """")"),"")</f>
        <v/>
      </c>
      <c r="P104" s="21" t="str">
        <f>IFERROR(__xludf.DUMMYFUNCTION("IFERROR((GOOGLEFINANCE(C104, ""price"") / INDEX(GOOGLEFINANCE(C104, ""price"", EDATE(TODAY(), -12), TODAY()), 2, 2)) - 1, """")"),"")</f>
        <v/>
      </c>
      <c r="Q104" s="6" t="str">
        <f>IFERROR(__xludf.DUMMYFUNCTION("AVERAGE(QUERY(GOOGLEFINANCE(C104, ""price"", TODAY()-80, TODAY()), ""SELECT Col2 WHERE Col2 IS NOT NULL ORDER BY Col1 DESC LIMIT 50"", 0))"),"#N/A")</f>
        <v>#N/A</v>
      </c>
      <c r="R104" s="24" t="str">
        <f>IFERROR(__xludf.DUMMYFUNCTION("IFERROR(
  LET(
    data, QUERY(GOOGLEFINANCE(C104,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GOOGLEFINANCE(C104, ""price"")) * 100,
    IF(calc=0, G104, calc)
  ), 
G104)"),"#N/A")</f>
        <v>#N/A</v>
      </c>
      <c r="S104" s="8" t="s">
        <v>15</v>
      </c>
      <c r="T104" s="26" t="str">
        <f>IFERROR(__xludf.DUMMYFUNCTION("IFERROR(TRANSPOSE(QUERY(IFERROR(SORT(GOOGLEFINANCE(C104, ""price"", WORKDAY(TODAY(), -40), TODAY()), 1, FALSE)), ""select Col2 where Col2 is not null limit 22 label Col2 ''"", 0)), """")"),"")</f>
        <v/>
      </c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8"/>
      <c r="AO104" s="28"/>
      <c r="AP104" s="29"/>
      <c r="AQ104" s="29" t="str">
        <f t="shared" ref="AQ104:BL104" si="107">T104/T$2</f>
        <v>#N/A</v>
      </c>
      <c r="AR104" s="29" t="str">
        <f t="shared" si="107"/>
        <v>#DIV/0!</v>
      </c>
      <c r="AS104" s="29" t="str">
        <f t="shared" si="107"/>
        <v>#DIV/0!</v>
      </c>
      <c r="AT104" s="29" t="str">
        <f t="shared" si="107"/>
        <v>#DIV/0!</v>
      </c>
      <c r="AU104" s="29" t="str">
        <f t="shared" si="107"/>
        <v>#DIV/0!</v>
      </c>
      <c r="AV104" s="29" t="str">
        <f t="shared" si="107"/>
        <v>#DIV/0!</v>
      </c>
      <c r="AW104" s="29" t="str">
        <f t="shared" si="107"/>
        <v>#DIV/0!</v>
      </c>
      <c r="AX104" s="29" t="str">
        <f t="shared" si="107"/>
        <v>#DIV/0!</v>
      </c>
      <c r="AY104" s="29" t="str">
        <f t="shared" si="107"/>
        <v>#DIV/0!</v>
      </c>
      <c r="AZ104" s="29" t="str">
        <f t="shared" si="107"/>
        <v>#DIV/0!</v>
      </c>
      <c r="BA104" s="29" t="str">
        <f t="shared" si="107"/>
        <v>#DIV/0!</v>
      </c>
      <c r="BB104" s="29" t="str">
        <f t="shared" si="107"/>
        <v>#DIV/0!</v>
      </c>
      <c r="BC104" s="29" t="str">
        <f t="shared" si="107"/>
        <v>#DIV/0!</v>
      </c>
      <c r="BD104" s="29" t="str">
        <f t="shared" si="107"/>
        <v>#DIV/0!</v>
      </c>
      <c r="BE104" s="29" t="str">
        <f t="shared" si="107"/>
        <v>#DIV/0!</v>
      </c>
      <c r="BF104" s="29" t="str">
        <f t="shared" si="107"/>
        <v>#DIV/0!</v>
      </c>
      <c r="BG104" s="29" t="str">
        <f t="shared" si="107"/>
        <v>#DIV/0!</v>
      </c>
      <c r="BH104" s="29" t="str">
        <f t="shared" si="107"/>
        <v>#DIV/0!</v>
      </c>
      <c r="BI104" s="29" t="str">
        <f t="shared" si="107"/>
        <v>#DIV/0!</v>
      </c>
      <c r="BJ104" s="29" t="str">
        <f t="shared" si="107"/>
        <v>#DIV/0!</v>
      </c>
      <c r="BK104" s="29" t="str">
        <f t="shared" si="107"/>
        <v>#DIV/0!</v>
      </c>
      <c r="BL104" s="29" t="str">
        <f t="shared" si="107"/>
        <v>#DIV/0!</v>
      </c>
      <c r="BM104" s="29" t="str">
        <f t="shared" si="3"/>
        <v>#DIV/0!</v>
      </c>
    </row>
    <row r="105">
      <c r="A105" s="16" t="str">
        <f>IFERROR(__xludf.DUMMYFUNCTION("IFERROR(SPARKLINE(SORT(MAP(TRANSPOSE(AQ105:BL105), LAMBDA(val, IF(ISNUMBER(val), PERCENTRANK(AQ105:BL105, val)+0.01, 0))), SEQUENCE(COLUMNS(AQ105:BL105)), FALSE), {""charttype"",""column""; ""color"",""chartreuse""; ""ymin"", 0; ""ymax"", 1.01; ""highcolo"&amp;"r"", ""darkgreen""; ""lowcolor"", ""red""}), """")"),"")</f>
        <v/>
      </c>
      <c r="B105" s="17" t="str">
        <f t="shared" si="4"/>
        <v/>
      </c>
      <c r="C105" s="1" t="s">
        <v>578</v>
      </c>
      <c r="D105" s="30" t="str">
        <f>IFERROR(__xludf.DUMMYFUNCTION("IFERROR(GOOGLEFINANCE(C105, ""NAME""))"),"Paramount Skydance Corp")</f>
        <v>Paramount Skydance Corp</v>
      </c>
      <c r="E105" s="30" t="s">
        <v>62</v>
      </c>
      <c r="F105" s="33" t="str">
        <f>IFERROR(__xludf.DUMMYFUNCTION("( (GOOGLEFINANCE(C105, ""price"") - Q105) / Q105 ) / (R105 / 100)"),"Loading...")</f>
        <v>Loading...</v>
      </c>
      <c r="G105" s="20" t="str">
        <f>IFERROR(__xludf.DUMMYFUNCTION("AVERAGE(ARRAYFORMULA(100 * (QUERY(GOOGLEFINANCE(C105, ""high"", TODAY()-40, TODAY()), ""SELECT Col2 WHERE Col2 IS NOT NULL ORDER BY Col1 DESC LIMIT 20"", 0) / QUERY(GOOGLEFINANCE(C105, ""low"", TODAY()-40, TODAY()), ""SELECT Col2 WHERE Col2 IS NOT NULL OR"&amp;"DER BY Col1 DESC LIMIT 20"", 0) - 1)))"),"#N/A")</f>
        <v>#N/A</v>
      </c>
      <c r="H105" s="35" t="str">
        <f t="shared" si="6"/>
        <v>Illiquid</v>
      </c>
      <c r="I105" s="36" t="str">
        <f t="shared" si="7"/>
        <v>RVol Required</v>
      </c>
      <c r="J105" s="37">
        <f>IFERROR(__xludf.DUMMYFUNCTION("IFERROR(
  IF(C105="""",, 
    IFERROR(
      GOOGLEFINANCE(C105, ""price"") * GOOGLEFINANCE(C105, ""volumeavg""), 
      GOOGLEFINANCE(C105, ""price"") * AVERAGE(QUERY(GOOGLEFINANCE(C105, ""volume"", TODAY()-40, TODAY()), ""SELECT Col2 WHERE Col2 IS NOT "&amp;"NULL ORDER BY Col1 DESC LIMIT 20"", 0))
    )
  ), 
"""")"),28302.0)</f>
        <v>28302</v>
      </c>
      <c r="K105" s="21">
        <f>IFERROR(__xludf.DUMMYFUNCTION("IFERROR(GOOGLEFINANCE(C105, ""changepct"") / 100, """")"),0.0659)</f>
        <v>0.0659</v>
      </c>
      <c r="L105" s="21" t="str">
        <f>IFERROR(__xludf.DUMMYFUNCTION("IFERROR((GOOGLEFINANCE(C105, ""price"") / INDEX(GOOGLEFINANCE(C105, ""price"", TODAY()-7, TODAY()), 2, 2)) - 1, """")"),"")</f>
        <v/>
      </c>
      <c r="M105" s="21" t="str">
        <f>IFERROR(__xludf.DUMMYFUNCTION("IFERROR((GOOGLEFINANCE(C105, ""price"") / INDEX(GOOGLEFINANCE(C105, ""price"", EDATE(TODAY(), -1), TODAY()), 2, 2)) - 1, """")"),"")</f>
        <v/>
      </c>
      <c r="N105" s="21" t="str">
        <f>IFERROR(__xludf.DUMMYFUNCTION("IFERROR((GOOGLEFINANCE(C105, ""price"") / INDEX(GOOGLEFINANCE(C105, ""price"", EDATE(TODAY(), -3), TODAY()), 2, 2)) - 1, """")"),"")</f>
        <v/>
      </c>
      <c r="O105" s="21" t="str">
        <f>IFERROR(__xludf.DUMMYFUNCTION("IFERROR((GOOGLEFINANCE(C105, ""price"") / INDEX(GOOGLEFINANCE(C105, ""price"", EDATE(TODAY(), -6), TODAY()), 2, 2)) - 1, """")"),"")</f>
        <v/>
      </c>
      <c r="P105" s="21" t="str">
        <f>IFERROR(__xludf.DUMMYFUNCTION("IFERROR((GOOGLEFINANCE(C105, ""price"") / INDEX(GOOGLEFINANCE(C105, ""price"", EDATE(TODAY(), -12), TODAY()), 2, 2)) - 1, """")"),"")</f>
        <v/>
      </c>
      <c r="Q105" s="6" t="str">
        <f>IFERROR(__xludf.DUMMYFUNCTION("AVERAGE(QUERY(GOOGLEFINANCE(C105, ""price"", TODAY()-80, TODAY()), ""SELECT Col2 WHERE Col2 IS NOT NULL ORDER BY Col1 DESC LIMIT 50"", 0))"),"#N/A")</f>
        <v>#N/A</v>
      </c>
      <c r="R105" s="24" t="str">
        <f>IFERROR(__xludf.DUMMYFUNCTION("IFERROR(
  LET(
    data, QUERY(GOOGLEFINANCE(C105,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GOOGLEFINANCE(C105, ""price"")) * 100,
    IF(calc=0, G105, calc)
  ), 
G105)"),"#N/A")</f>
        <v>#N/A</v>
      </c>
      <c r="S105" s="8" t="s">
        <v>15</v>
      </c>
      <c r="T105" s="26" t="str">
        <f>IFERROR(__xludf.DUMMYFUNCTION("IFERROR(TRANSPOSE(QUERY(IFERROR(SORT(GOOGLEFINANCE(C105, ""price"", WORKDAY(TODAY(), -40), TODAY()), 1, FALSE)), ""select Col2 where Col2 is not null limit 22 label Col2 ''"", 0)), """")"),"")</f>
        <v/>
      </c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8"/>
      <c r="AO105" s="28"/>
      <c r="AP105" s="29"/>
      <c r="AQ105" s="29" t="str">
        <f t="shared" ref="AQ105:BL105" si="108">T105/T$2</f>
        <v>#N/A</v>
      </c>
      <c r="AR105" s="29" t="str">
        <f t="shared" si="108"/>
        <v>#DIV/0!</v>
      </c>
      <c r="AS105" s="29" t="str">
        <f t="shared" si="108"/>
        <v>#DIV/0!</v>
      </c>
      <c r="AT105" s="29" t="str">
        <f t="shared" si="108"/>
        <v>#DIV/0!</v>
      </c>
      <c r="AU105" s="29" t="str">
        <f t="shared" si="108"/>
        <v>#DIV/0!</v>
      </c>
      <c r="AV105" s="29" t="str">
        <f t="shared" si="108"/>
        <v>#DIV/0!</v>
      </c>
      <c r="AW105" s="29" t="str">
        <f t="shared" si="108"/>
        <v>#DIV/0!</v>
      </c>
      <c r="AX105" s="29" t="str">
        <f t="shared" si="108"/>
        <v>#DIV/0!</v>
      </c>
      <c r="AY105" s="29" t="str">
        <f t="shared" si="108"/>
        <v>#DIV/0!</v>
      </c>
      <c r="AZ105" s="29" t="str">
        <f t="shared" si="108"/>
        <v>#DIV/0!</v>
      </c>
      <c r="BA105" s="29" t="str">
        <f t="shared" si="108"/>
        <v>#DIV/0!</v>
      </c>
      <c r="BB105" s="29" t="str">
        <f t="shared" si="108"/>
        <v>#DIV/0!</v>
      </c>
      <c r="BC105" s="29" t="str">
        <f t="shared" si="108"/>
        <v>#DIV/0!</v>
      </c>
      <c r="BD105" s="29" t="str">
        <f t="shared" si="108"/>
        <v>#DIV/0!</v>
      </c>
      <c r="BE105" s="29" t="str">
        <f t="shared" si="108"/>
        <v>#DIV/0!</v>
      </c>
      <c r="BF105" s="29" t="str">
        <f t="shared" si="108"/>
        <v>#DIV/0!</v>
      </c>
      <c r="BG105" s="29" t="str">
        <f t="shared" si="108"/>
        <v>#DIV/0!</v>
      </c>
      <c r="BH105" s="29" t="str">
        <f t="shared" si="108"/>
        <v>#DIV/0!</v>
      </c>
      <c r="BI105" s="29" t="str">
        <f t="shared" si="108"/>
        <v>#DIV/0!</v>
      </c>
      <c r="BJ105" s="29" t="str">
        <f t="shared" si="108"/>
        <v>#DIV/0!</v>
      </c>
      <c r="BK105" s="29" t="str">
        <f t="shared" si="108"/>
        <v>#DIV/0!</v>
      </c>
      <c r="BL105" s="29" t="str">
        <f t="shared" si="108"/>
        <v>#DIV/0!</v>
      </c>
      <c r="BM105" s="29" t="str">
        <f t="shared" si="3"/>
        <v>#DIV/0!</v>
      </c>
    </row>
    <row r="106">
      <c r="A106" s="16" t="str">
        <f>IFERROR(__xludf.DUMMYFUNCTION("IFERROR(SPARKLINE(SORT(MAP(TRANSPOSE(AQ106:BL106), LAMBDA(val, IF(ISNUMBER(val), PERCENTRANK(AQ106:BL106, val)+0.01, 0))), SEQUENCE(COLUMNS(AQ106:BL106)), FALSE), {""charttype"",""column""; ""color"",""chartreuse""; ""ymin"", 0; ""ymax"", 1.01; ""highcolo"&amp;"r"", ""darkgreen""; ""lowcolor"", ""red""}), """")"),"")</f>
        <v/>
      </c>
      <c r="B106" s="17" t="str">
        <f t="shared" si="4"/>
        <v/>
      </c>
      <c r="C106" s="1" t="s">
        <v>583</v>
      </c>
      <c r="D106" s="30" t="str">
        <f>IFERROR(__xludf.DUMMYFUNCTION("IFERROR(GOOGLEFINANCE(C106, ""NAME""))"),"Snap Inc")</f>
        <v>Snap Inc</v>
      </c>
      <c r="E106" s="30" t="s">
        <v>69</v>
      </c>
      <c r="F106" s="33" t="str">
        <f>IFERROR(__xludf.DUMMYFUNCTION("( (GOOGLEFINANCE(C106, ""price"") - Q106) / Q106 ) / (R106 / 100)"),"Loading...")</f>
        <v>Loading...</v>
      </c>
      <c r="G106" s="20" t="str">
        <f>IFERROR(__xludf.DUMMYFUNCTION("AVERAGE(ARRAYFORMULA(100 * (QUERY(GOOGLEFINANCE(C106, ""high"", TODAY()-40, TODAY()), ""SELECT Col2 WHERE Col2 IS NOT NULL ORDER BY Col1 DESC LIMIT 20"", 0) / QUERY(GOOGLEFINANCE(C106, ""low"", TODAY()-40, TODAY()), ""SELECT Col2 WHERE Col2 IS NOT NULL OR"&amp;"DER BY Col1 DESC LIMIT 20"", 0) - 1)))"),"#N/A")</f>
        <v>#N/A</v>
      </c>
      <c r="H106" s="35" t="str">
        <f t="shared" si="6"/>
        <v>Liquid</v>
      </c>
      <c r="I106" s="36" t="str">
        <f t="shared" si="7"/>
        <v>RVol Required</v>
      </c>
      <c r="J106" s="37">
        <f>IFERROR(__xludf.DUMMYFUNCTION("IFERROR(
  IF(C106="""",, 
    IFERROR(
      GOOGLEFINANCE(C106, ""price"") * GOOGLEFINANCE(C106, ""volumeavg""), 
      GOOGLEFINANCE(C106, ""price"") * AVERAGE(QUERY(GOOGLEFINANCE(C106, ""volume"", TODAY()-40, TODAY()), ""SELECT Col2 WHERE Col2 IS NOT "&amp;"NULL ORDER BY Col1 DESC LIMIT 20"", 0))
    )
  ), 
"""")"),2.1503961535999998E8)</f>
        <v>215039615.4</v>
      </c>
      <c r="K106" s="21">
        <f>IFERROR(__xludf.DUMMYFUNCTION("IFERROR(GOOGLEFINANCE(C106, ""changepct"") / 100, """")"),-0.0481)</f>
        <v>-0.0481</v>
      </c>
      <c r="L106" s="21" t="str">
        <f>IFERROR(__xludf.DUMMYFUNCTION("IFERROR((GOOGLEFINANCE(C106, ""price"") / INDEX(GOOGLEFINANCE(C106, ""price"", TODAY()-7, TODAY()), 2, 2)) - 1, """")"),"")</f>
        <v/>
      </c>
      <c r="M106" s="21" t="str">
        <f>IFERROR(__xludf.DUMMYFUNCTION("IFERROR((GOOGLEFINANCE(C106, ""price"") / INDEX(GOOGLEFINANCE(C106, ""price"", EDATE(TODAY(), -1), TODAY()), 2, 2)) - 1, """")"),"")</f>
        <v/>
      </c>
      <c r="N106" s="21" t="str">
        <f>IFERROR(__xludf.DUMMYFUNCTION("IFERROR((GOOGLEFINANCE(C106, ""price"") / INDEX(GOOGLEFINANCE(C106, ""price"", EDATE(TODAY(), -3), TODAY()), 2, 2)) - 1, """")"),"")</f>
        <v/>
      </c>
      <c r="O106" s="21" t="str">
        <f>IFERROR(__xludf.DUMMYFUNCTION("IFERROR((GOOGLEFINANCE(C106, ""price"") / INDEX(GOOGLEFINANCE(C106, ""price"", EDATE(TODAY(), -6), TODAY()), 2, 2)) - 1, """")"),"")</f>
        <v/>
      </c>
      <c r="P106" s="21" t="str">
        <f>IFERROR(__xludf.DUMMYFUNCTION("IFERROR((GOOGLEFINANCE(C106, ""price"") / INDEX(GOOGLEFINANCE(C106, ""price"", EDATE(TODAY(), -12), TODAY()), 2, 2)) - 1, """")"),"")</f>
        <v/>
      </c>
      <c r="Q106" s="6" t="str">
        <f>IFERROR(__xludf.DUMMYFUNCTION("AVERAGE(QUERY(GOOGLEFINANCE(C106, ""price"", TODAY()-80, TODAY()), ""SELECT Col2 WHERE Col2 IS NOT NULL ORDER BY Col1 DESC LIMIT 50"", 0))"),"#N/A")</f>
        <v>#N/A</v>
      </c>
      <c r="R106" s="24" t="str">
        <f>IFERROR(__xludf.DUMMYFUNCTION("IFERROR(
  LET(
    data, QUERY(GOOGLEFINANCE(C106,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GOOGLEFINANCE(C106, ""price"")) * 100,
    IF(calc=0, G106, calc)
  ), 
G106)"),"#N/A")</f>
        <v>#N/A</v>
      </c>
      <c r="S106" s="8" t="s">
        <v>15</v>
      </c>
      <c r="T106" s="26" t="str">
        <f>IFERROR(__xludf.DUMMYFUNCTION("IFERROR(TRANSPOSE(QUERY(IFERROR(SORT(GOOGLEFINANCE(C106, ""price"", WORKDAY(TODAY(), -40), TODAY()), 1, FALSE)), ""select Col2 where Col2 is not null limit 22 label Col2 ''"", 0)), """")"),"")</f>
        <v/>
      </c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8"/>
      <c r="AO106" s="28"/>
      <c r="AP106" s="29"/>
      <c r="AQ106" s="29" t="str">
        <f t="shared" ref="AQ106:BL106" si="109">T106/T$2</f>
        <v>#N/A</v>
      </c>
      <c r="AR106" s="29" t="str">
        <f t="shared" si="109"/>
        <v>#DIV/0!</v>
      </c>
      <c r="AS106" s="29" t="str">
        <f t="shared" si="109"/>
        <v>#DIV/0!</v>
      </c>
      <c r="AT106" s="29" t="str">
        <f t="shared" si="109"/>
        <v>#DIV/0!</v>
      </c>
      <c r="AU106" s="29" t="str">
        <f t="shared" si="109"/>
        <v>#DIV/0!</v>
      </c>
      <c r="AV106" s="29" t="str">
        <f t="shared" si="109"/>
        <v>#DIV/0!</v>
      </c>
      <c r="AW106" s="29" t="str">
        <f t="shared" si="109"/>
        <v>#DIV/0!</v>
      </c>
      <c r="AX106" s="29" t="str">
        <f t="shared" si="109"/>
        <v>#DIV/0!</v>
      </c>
      <c r="AY106" s="29" t="str">
        <f t="shared" si="109"/>
        <v>#DIV/0!</v>
      </c>
      <c r="AZ106" s="29" t="str">
        <f t="shared" si="109"/>
        <v>#DIV/0!</v>
      </c>
      <c r="BA106" s="29" t="str">
        <f t="shared" si="109"/>
        <v>#DIV/0!</v>
      </c>
      <c r="BB106" s="29" t="str">
        <f t="shared" si="109"/>
        <v>#DIV/0!</v>
      </c>
      <c r="BC106" s="29" t="str">
        <f t="shared" si="109"/>
        <v>#DIV/0!</v>
      </c>
      <c r="BD106" s="29" t="str">
        <f t="shared" si="109"/>
        <v>#DIV/0!</v>
      </c>
      <c r="BE106" s="29" t="str">
        <f t="shared" si="109"/>
        <v>#DIV/0!</v>
      </c>
      <c r="BF106" s="29" t="str">
        <f t="shared" si="109"/>
        <v>#DIV/0!</v>
      </c>
      <c r="BG106" s="29" t="str">
        <f t="shared" si="109"/>
        <v>#DIV/0!</v>
      </c>
      <c r="BH106" s="29" t="str">
        <f t="shared" si="109"/>
        <v>#DIV/0!</v>
      </c>
      <c r="BI106" s="29" t="str">
        <f t="shared" si="109"/>
        <v>#DIV/0!</v>
      </c>
      <c r="BJ106" s="29" t="str">
        <f t="shared" si="109"/>
        <v>#DIV/0!</v>
      </c>
      <c r="BK106" s="29" t="str">
        <f t="shared" si="109"/>
        <v>#DIV/0!</v>
      </c>
      <c r="BL106" s="29" t="str">
        <f t="shared" si="109"/>
        <v>#DIV/0!</v>
      </c>
      <c r="BM106" s="29" t="str">
        <f t="shared" si="3"/>
        <v>#DIV/0!</v>
      </c>
    </row>
    <row r="107">
      <c r="A107" s="16" t="str">
        <f>IFERROR(__xludf.DUMMYFUNCTION("IFERROR(SPARKLINE(SORT(MAP(TRANSPOSE(AQ107:BL107), LAMBDA(val, IF(ISNUMBER(val), PERCENTRANK(AQ107:BL107, val)+0.01, 0))), SEQUENCE(COLUMNS(AQ107:BL107)), FALSE), {""charttype"",""column""; ""color"",""chartreuse""; ""ymin"", 0; ""ymax"", 1.01; ""highcolo"&amp;"r"", ""darkgreen""; ""lowcolor"", ""red""}), """")"),"")</f>
        <v/>
      </c>
      <c r="B107" s="17" t="str">
        <f t="shared" si="4"/>
        <v/>
      </c>
      <c r="C107" s="1" t="s">
        <v>585</v>
      </c>
      <c r="D107" s="30" t="str">
        <f>IFERROR(__xludf.DUMMYFUNCTION("IFERROR(GOOGLEFINANCE(C107, ""NAME""))"),"Autohome Inc")</f>
        <v>Autohome Inc</v>
      </c>
      <c r="E107" s="30" t="s">
        <v>69</v>
      </c>
      <c r="F107" s="33" t="str">
        <f>IFERROR(__xludf.DUMMYFUNCTION("( (GOOGLEFINANCE(C107, ""price"") - Q107) / Q107 ) / (R107 / 100)"),"Loading...")</f>
        <v>Loading...</v>
      </c>
      <c r="G107" s="20" t="str">
        <f>IFERROR(__xludf.DUMMYFUNCTION("AVERAGE(ARRAYFORMULA(100 * (QUERY(GOOGLEFINANCE(C107, ""high"", TODAY()-40, TODAY()), ""SELECT Col2 WHERE Col2 IS NOT NULL ORDER BY Col1 DESC LIMIT 20"", 0) / QUERY(GOOGLEFINANCE(C107, ""low"", TODAY()-40, TODAY()), ""SELECT Col2 WHERE Col2 IS NOT NULL OR"&amp;"DER BY Col1 DESC LIMIT 20"", 0) - 1)))"),"#N/A")</f>
        <v>#N/A</v>
      </c>
      <c r="H107" s="35" t="str">
        <f t="shared" si="6"/>
        <v>Illiquid</v>
      </c>
      <c r="I107" s="36" t="str">
        <f t="shared" si="7"/>
        <v>RVol Required</v>
      </c>
      <c r="J107" s="37">
        <f>IFERROR(__xludf.DUMMYFUNCTION("IFERROR(
  IF(C107="""",, 
    IFERROR(
      GOOGLEFINANCE(C107, ""price"") * GOOGLEFINANCE(C107, ""volumeavg""), 
      GOOGLEFINANCE(C107, ""price"") * AVERAGE(QUERY(GOOGLEFINANCE(C107, ""volume"", TODAY()-40, TODAY()), ""SELECT Col2 WHERE Col2 IS NOT "&amp;"NULL ORDER BY Col1 DESC LIMIT 20"", 0))
    )
  ), 
"""")"),9662428.75)</f>
        <v>9662428.75</v>
      </c>
      <c r="K107" s="21">
        <f>IFERROR(__xludf.DUMMYFUNCTION("IFERROR(GOOGLEFINANCE(C107, ""changepct"") / 100, """")"),-0.0108)</f>
        <v>-0.0108</v>
      </c>
      <c r="L107" s="21" t="str">
        <f>IFERROR(__xludf.DUMMYFUNCTION("IFERROR((GOOGLEFINANCE(C107, ""price"") / INDEX(GOOGLEFINANCE(C107, ""price"", TODAY()-7, TODAY()), 2, 2)) - 1, """")"),"")</f>
        <v/>
      </c>
      <c r="M107" s="21" t="str">
        <f>IFERROR(__xludf.DUMMYFUNCTION("IFERROR((GOOGLEFINANCE(C107, ""price"") / INDEX(GOOGLEFINANCE(C107, ""price"", EDATE(TODAY(), -1), TODAY()), 2, 2)) - 1, """")"),"")</f>
        <v/>
      </c>
      <c r="N107" s="21" t="str">
        <f>IFERROR(__xludf.DUMMYFUNCTION("IFERROR((GOOGLEFINANCE(C107, ""price"") / INDEX(GOOGLEFINANCE(C107, ""price"", EDATE(TODAY(), -3), TODAY()), 2, 2)) - 1, """")"),"")</f>
        <v/>
      </c>
      <c r="O107" s="21" t="str">
        <f>IFERROR(__xludf.DUMMYFUNCTION("IFERROR((GOOGLEFINANCE(C107, ""price"") / INDEX(GOOGLEFINANCE(C107, ""price"", EDATE(TODAY(), -6), TODAY()), 2, 2)) - 1, """")"),"")</f>
        <v/>
      </c>
      <c r="P107" s="21" t="str">
        <f>IFERROR(__xludf.DUMMYFUNCTION("IFERROR((GOOGLEFINANCE(C107, ""price"") / INDEX(GOOGLEFINANCE(C107, ""price"", EDATE(TODAY(), -12), TODAY()), 2, 2)) - 1, """")"),"")</f>
        <v/>
      </c>
      <c r="Q107" s="6" t="str">
        <f>IFERROR(__xludf.DUMMYFUNCTION("AVERAGE(QUERY(GOOGLEFINANCE(C107, ""price"", TODAY()-80, TODAY()), ""SELECT Col2 WHERE Col2 IS NOT NULL ORDER BY Col1 DESC LIMIT 50"", 0))"),"#N/A")</f>
        <v>#N/A</v>
      </c>
      <c r="R107" s="24" t="str">
        <f>IFERROR(__xludf.DUMMYFUNCTION("IFERROR(
  LET(
    data, QUERY(GOOGLEFINANCE(C107,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GOOGLEFINANCE(C107, ""price"")) * 100,
    IF(calc=0, G107, calc)
  ), 
G107)"),"#N/A")</f>
        <v>#N/A</v>
      </c>
      <c r="S107" s="8" t="s">
        <v>15</v>
      </c>
      <c r="T107" s="26" t="str">
        <f>IFERROR(__xludf.DUMMYFUNCTION("IFERROR(TRANSPOSE(QUERY(IFERROR(SORT(GOOGLEFINANCE(C107, ""price"", WORKDAY(TODAY(), -40), TODAY()), 1, FALSE)), ""select Col2 where Col2 is not null limit 22 label Col2 ''"", 0)), """")"),"")</f>
        <v/>
      </c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8"/>
      <c r="AO107" s="28"/>
      <c r="AP107" s="29"/>
      <c r="AQ107" s="29" t="str">
        <f t="shared" ref="AQ107:BL107" si="110">T107/T$2</f>
        <v>#N/A</v>
      </c>
      <c r="AR107" s="29" t="str">
        <f t="shared" si="110"/>
        <v>#DIV/0!</v>
      </c>
      <c r="AS107" s="29" t="str">
        <f t="shared" si="110"/>
        <v>#DIV/0!</v>
      </c>
      <c r="AT107" s="29" t="str">
        <f t="shared" si="110"/>
        <v>#DIV/0!</v>
      </c>
      <c r="AU107" s="29" t="str">
        <f t="shared" si="110"/>
        <v>#DIV/0!</v>
      </c>
      <c r="AV107" s="29" t="str">
        <f t="shared" si="110"/>
        <v>#DIV/0!</v>
      </c>
      <c r="AW107" s="29" t="str">
        <f t="shared" si="110"/>
        <v>#DIV/0!</v>
      </c>
      <c r="AX107" s="29" t="str">
        <f t="shared" si="110"/>
        <v>#DIV/0!</v>
      </c>
      <c r="AY107" s="29" t="str">
        <f t="shared" si="110"/>
        <v>#DIV/0!</v>
      </c>
      <c r="AZ107" s="29" t="str">
        <f t="shared" si="110"/>
        <v>#DIV/0!</v>
      </c>
      <c r="BA107" s="29" t="str">
        <f t="shared" si="110"/>
        <v>#DIV/0!</v>
      </c>
      <c r="BB107" s="29" t="str">
        <f t="shared" si="110"/>
        <v>#DIV/0!</v>
      </c>
      <c r="BC107" s="29" t="str">
        <f t="shared" si="110"/>
        <v>#DIV/0!</v>
      </c>
      <c r="BD107" s="29" t="str">
        <f t="shared" si="110"/>
        <v>#DIV/0!</v>
      </c>
      <c r="BE107" s="29" t="str">
        <f t="shared" si="110"/>
        <v>#DIV/0!</v>
      </c>
      <c r="BF107" s="29" t="str">
        <f t="shared" si="110"/>
        <v>#DIV/0!</v>
      </c>
      <c r="BG107" s="29" t="str">
        <f t="shared" si="110"/>
        <v>#DIV/0!</v>
      </c>
      <c r="BH107" s="29" t="str">
        <f t="shared" si="110"/>
        <v>#DIV/0!</v>
      </c>
      <c r="BI107" s="29" t="str">
        <f t="shared" si="110"/>
        <v>#DIV/0!</v>
      </c>
      <c r="BJ107" s="29" t="str">
        <f t="shared" si="110"/>
        <v>#DIV/0!</v>
      </c>
      <c r="BK107" s="29" t="str">
        <f t="shared" si="110"/>
        <v>#DIV/0!</v>
      </c>
      <c r="BL107" s="29" t="str">
        <f t="shared" si="110"/>
        <v>#DIV/0!</v>
      </c>
      <c r="BM107" s="29" t="str">
        <f t="shared" si="3"/>
        <v>#DIV/0!</v>
      </c>
    </row>
    <row r="108">
      <c r="A108" s="16" t="str">
        <f>IFERROR(__xludf.DUMMYFUNCTION("IFERROR(SPARKLINE(SORT(MAP(TRANSPOSE(AQ108:BL108), LAMBDA(val, IF(ISNUMBER(val), PERCENTRANK(AQ108:BL108, val)+0.01, 0))), SEQUENCE(COLUMNS(AQ108:BL108)), FALSE), {""charttype"",""column""; ""color"",""chartreuse""; ""ymin"", 0; ""ymax"", 1.01; ""highcolo"&amp;"r"", ""darkgreen""; ""lowcolor"", ""red""}), """")"),"")</f>
        <v/>
      </c>
      <c r="B108" s="17" t="str">
        <f t="shared" si="4"/>
        <v/>
      </c>
      <c r="C108" s="1" t="s">
        <v>588</v>
      </c>
      <c r="D108" s="30" t="str">
        <f>IFERROR(__xludf.DUMMYFUNCTION("IFERROR(GOOGLEFINANCE(C108, ""NAME""))"),"WPP PLC")</f>
        <v>WPP PLC</v>
      </c>
      <c r="E108" s="30" t="s">
        <v>116</v>
      </c>
      <c r="F108" s="33" t="str">
        <f>IFERROR(__xludf.DUMMYFUNCTION("( (GOOGLEFINANCE(C108, ""price"") - Q108) / Q108 ) / (R108 / 100)"),"Loading...")</f>
        <v>Loading...</v>
      </c>
      <c r="G108" s="20" t="str">
        <f>IFERROR(__xludf.DUMMYFUNCTION("AVERAGE(ARRAYFORMULA(100 * (QUERY(GOOGLEFINANCE(C108, ""high"", TODAY()-40, TODAY()), ""SELECT Col2 WHERE Col2 IS NOT NULL ORDER BY Col1 DESC LIMIT 20"", 0) / QUERY(GOOGLEFINANCE(C108, ""low"", TODAY()-40, TODAY()), ""SELECT Col2 WHERE Col2 IS NOT NULL OR"&amp;"DER BY Col1 DESC LIMIT 20"", 0) - 1)))"),"#N/A")</f>
        <v>#N/A</v>
      </c>
      <c r="H108" s="35" t="str">
        <f t="shared" si="6"/>
        <v>Illiquid</v>
      </c>
      <c r="I108" s="36" t="str">
        <f t="shared" si="7"/>
        <v>RVol Required</v>
      </c>
      <c r="J108" s="37">
        <f>IFERROR(__xludf.DUMMYFUNCTION("IFERROR(
  IF(C108="""",, 
    IFERROR(
      GOOGLEFINANCE(C108, ""price"") * GOOGLEFINANCE(C108, ""volumeavg""), 
      GOOGLEFINANCE(C108, ""price"") * AVERAGE(QUERY(GOOGLEFINANCE(C108, ""volume"", TODAY()-40, TODAY()), ""SELECT Col2 WHERE Col2 IS NOT "&amp;"NULL ORDER BY Col1 DESC LIMIT 20"", 0))
    )
  ), 
"""")"),8910330.0)</f>
        <v>8910330</v>
      </c>
      <c r="K108" s="21">
        <f>IFERROR(__xludf.DUMMYFUNCTION("IFERROR(GOOGLEFINANCE(C108, ""changepct"") / 100, """")"),0.0044)</f>
        <v>0.0044</v>
      </c>
      <c r="L108" s="21" t="str">
        <f>IFERROR(__xludf.DUMMYFUNCTION("IFERROR((GOOGLEFINANCE(C108, ""price"") / INDEX(GOOGLEFINANCE(C108, ""price"", TODAY()-7, TODAY()), 2, 2)) - 1, """")"),"")</f>
        <v/>
      </c>
      <c r="M108" s="21" t="str">
        <f>IFERROR(__xludf.DUMMYFUNCTION("IFERROR((GOOGLEFINANCE(C108, ""price"") / INDEX(GOOGLEFINANCE(C108, ""price"", EDATE(TODAY(), -1), TODAY()), 2, 2)) - 1, """")"),"")</f>
        <v/>
      </c>
      <c r="N108" s="21" t="str">
        <f>IFERROR(__xludf.DUMMYFUNCTION("IFERROR((GOOGLEFINANCE(C108, ""price"") / INDEX(GOOGLEFINANCE(C108, ""price"", EDATE(TODAY(), -3), TODAY()), 2, 2)) - 1, """")"),"")</f>
        <v/>
      </c>
      <c r="O108" s="21" t="str">
        <f>IFERROR(__xludf.DUMMYFUNCTION("IFERROR((GOOGLEFINANCE(C108, ""price"") / INDEX(GOOGLEFINANCE(C108, ""price"", EDATE(TODAY(), -6), TODAY()), 2, 2)) - 1, """")"),"")</f>
        <v/>
      </c>
      <c r="P108" s="21" t="str">
        <f>IFERROR(__xludf.DUMMYFUNCTION("IFERROR((GOOGLEFINANCE(C108, ""price"") / INDEX(GOOGLEFINANCE(C108, ""price"", EDATE(TODAY(), -12), TODAY()), 2, 2)) - 1, """")"),"")</f>
        <v/>
      </c>
      <c r="Q108" s="6" t="str">
        <f>IFERROR(__xludf.DUMMYFUNCTION("AVERAGE(QUERY(GOOGLEFINANCE(C108, ""price"", TODAY()-80, TODAY()), ""SELECT Col2 WHERE Col2 IS NOT NULL ORDER BY Col1 DESC LIMIT 50"", 0))"),"#N/A")</f>
        <v>#N/A</v>
      </c>
      <c r="R108" s="24" t="str">
        <f>IFERROR(__xludf.DUMMYFUNCTION("IFERROR(
  LET(
    data, QUERY(GOOGLEFINANCE(C108,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GOOGLEFINANCE(C108, ""price"")) * 100,
    IF(calc=0, G108, calc)
  ), 
G108)"),"#N/A")</f>
        <v>#N/A</v>
      </c>
      <c r="S108" s="8" t="s">
        <v>15</v>
      </c>
      <c r="T108" s="26" t="str">
        <f>IFERROR(__xludf.DUMMYFUNCTION("IFERROR(TRANSPOSE(QUERY(IFERROR(SORT(GOOGLEFINANCE(C108, ""price"", WORKDAY(TODAY(), -40), TODAY()), 1, FALSE)), ""select Col2 where Col2 is not null limit 22 label Col2 ''"", 0)), """")"),"")</f>
        <v/>
      </c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8"/>
      <c r="AO108" s="28"/>
      <c r="AP108" s="29"/>
      <c r="AQ108" s="29" t="str">
        <f t="shared" ref="AQ108:BL108" si="111">T108/T$2</f>
        <v>#N/A</v>
      </c>
      <c r="AR108" s="29" t="str">
        <f t="shared" si="111"/>
        <v>#DIV/0!</v>
      </c>
      <c r="AS108" s="29" t="str">
        <f t="shared" si="111"/>
        <v>#DIV/0!</v>
      </c>
      <c r="AT108" s="29" t="str">
        <f t="shared" si="111"/>
        <v>#DIV/0!</v>
      </c>
      <c r="AU108" s="29" t="str">
        <f t="shared" si="111"/>
        <v>#DIV/0!</v>
      </c>
      <c r="AV108" s="29" t="str">
        <f t="shared" si="111"/>
        <v>#DIV/0!</v>
      </c>
      <c r="AW108" s="29" t="str">
        <f t="shared" si="111"/>
        <v>#DIV/0!</v>
      </c>
      <c r="AX108" s="29" t="str">
        <f t="shared" si="111"/>
        <v>#DIV/0!</v>
      </c>
      <c r="AY108" s="29" t="str">
        <f t="shared" si="111"/>
        <v>#DIV/0!</v>
      </c>
      <c r="AZ108" s="29" t="str">
        <f t="shared" si="111"/>
        <v>#DIV/0!</v>
      </c>
      <c r="BA108" s="29" t="str">
        <f t="shared" si="111"/>
        <v>#DIV/0!</v>
      </c>
      <c r="BB108" s="29" t="str">
        <f t="shared" si="111"/>
        <v>#DIV/0!</v>
      </c>
      <c r="BC108" s="29" t="str">
        <f t="shared" si="111"/>
        <v>#DIV/0!</v>
      </c>
      <c r="BD108" s="29" t="str">
        <f t="shared" si="111"/>
        <v>#DIV/0!</v>
      </c>
      <c r="BE108" s="29" t="str">
        <f t="shared" si="111"/>
        <v>#DIV/0!</v>
      </c>
      <c r="BF108" s="29" t="str">
        <f t="shared" si="111"/>
        <v>#DIV/0!</v>
      </c>
      <c r="BG108" s="29" t="str">
        <f t="shared" si="111"/>
        <v>#DIV/0!</v>
      </c>
      <c r="BH108" s="29" t="str">
        <f t="shared" si="111"/>
        <v>#DIV/0!</v>
      </c>
      <c r="BI108" s="29" t="str">
        <f t="shared" si="111"/>
        <v>#DIV/0!</v>
      </c>
      <c r="BJ108" s="29" t="str">
        <f t="shared" si="111"/>
        <v>#DIV/0!</v>
      </c>
      <c r="BK108" s="29" t="str">
        <f t="shared" si="111"/>
        <v>#DIV/0!</v>
      </c>
      <c r="BL108" s="29" t="str">
        <f t="shared" si="111"/>
        <v>#DIV/0!</v>
      </c>
      <c r="BM108" s="29" t="str">
        <f t="shared" si="3"/>
        <v>#DIV/0!</v>
      </c>
    </row>
    <row r="109">
      <c r="A109" s="16" t="str">
        <f>IFERROR(__xludf.DUMMYFUNCTION("IFERROR(SPARKLINE(SORT(MAP(TRANSPOSE(AQ109:BL109), LAMBDA(val, IF(ISNUMBER(val), PERCENTRANK(AQ109:BL109, val)+0.01, 0))), SEQUENCE(COLUMNS(AQ109:BL109)), FALSE), {""charttype"",""column""; ""color"",""chartreuse""; ""ymin"", 0; ""ymax"", 1.01; ""highcolo"&amp;"r"", ""darkgreen""; ""lowcolor"", ""red""}), """")"),"")</f>
        <v/>
      </c>
      <c r="B109" s="17" t="str">
        <f t="shared" si="4"/>
        <v/>
      </c>
      <c r="C109" s="1" t="s">
        <v>592</v>
      </c>
      <c r="D109" s="30" t="str">
        <f>IFERROR(__xludf.DUMMYFUNCTION("IFERROR(GOOGLEFINANCE(C109, ""NAME""))"),"QuinStreet Inc")</f>
        <v>QuinStreet Inc</v>
      </c>
      <c r="E109" s="30" t="s">
        <v>116</v>
      </c>
      <c r="F109" s="33" t="str">
        <f>IFERROR(__xludf.DUMMYFUNCTION("( (GOOGLEFINANCE(C109, ""price"") - Q109) / Q109 ) / (R109 / 100)"),"Loading...")</f>
        <v>Loading...</v>
      </c>
      <c r="G109" s="20" t="str">
        <f>IFERROR(__xludf.DUMMYFUNCTION("AVERAGE(ARRAYFORMULA(100 * (QUERY(GOOGLEFINANCE(C109, ""high"", TODAY()-40, TODAY()), ""SELECT Col2 WHERE Col2 IS NOT NULL ORDER BY Col1 DESC LIMIT 20"", 0) / QUERY(GOOGLEFINANCE(C109, ""low"", TODAY()-40, TODAY()), ""SELECT Col2 WHERE Col2 IS NOT NULL OR"&amp;"DER BY Col1 DESC LIMIT 20"", 0) - 1)))"),"#N/A")</f>
        <v>#N/A</v>
      </c>
      <c r="H109" s="35" t="str">
        <f t="shared" si="6"/>
        <v>Illiquid</v>
      </c>
      <c r="I109" s="36" t="str">
        <f t="shared" si="7"/>
        <v>RVol Required</v>
      </c>
      <c r="J109" s="37">
        <f>IFERROR(__xludf.DUMMYFUNCTION("IFERROR(
  IF(C109="""",, 
    IFERROR(
      GOOGLEFINANCE(C109, ""price"") * GOOGLEFINANCE(C109, ""volumeavg""), 
      GOOGLEFINANCE(C109, ""price"") * AVERAGE(QUERY(GOOGLEFINANCE(C109, ""volume"", TODAY()-40, TODAY()), ""SELECT Col2 WHERE Col2 IS NOT "&amp;"NULL ORDER BY Col1 DESC LIMIT 20"", 0))
    )
  ), 
"""")"),1.6296189120000001E7)</f>
        <v>16296189.12</v>
      </c>
      <c r="K109" s="21">
        <f>IFERROR(__xludf.DUMMYFUNCTION("IFERROR(GOOGLEFINANCE(C109, ""changepct"") / 100, """")"),0.0018)</f>
        <v>0.0018</v>
      </c>
      <c r="L109" s="21" t="str">
        <f>IFERROR(__xludf.DUMMYFUNCTION("IFERROR((GOOGLEFINANCE(C109, ""price"") / INDEX(GOOGLEFINANCE(C109, ""price"", TODAY()-7, TODAY()), 2, 2)) - 1, """")"),"")</f>
        <v/>
      </c>
      <c r="M109" s="21" t="str">
        <f>IFERROR(__xludf.DUMMYFUNCTION("IFERROR((GOOGLEFINANCE(C109, ""price"") / INDEX(GOOGLEFINANCE(C109, ""price"", EDATE(TODAY(), -1), TODAY()), 2, 2)) - 1, """")"),"")</f>
        <v/>
      </c>
      <c r="N109" s="21" t="str">
        <f>IFERROR(__xludf.DUMMYFUNCTION("IFERROR((GOOGLEFINANCE(C109, ""price"") / INDEX(GOOGLEFINANCE(C109, ""price"", EDATE(TODAY(), -3), TODAY()), 2, 2)) - 1, """")"),"")</f>
        <v/>
      </c>
      <c r="O109" s="21" t="str">
        <f>IFERROR(__xludf.DUMMYFUNCTION("IFERROR((GOOGLEFINANCE(C109, ""price"") / INDEX(GOOGLEFINANCE(C109, ""price"", EDATE(TODAY(), -6), TODAY()), 2, 2)) - 1, """")"),"")</f>
        <v/>
      </c>
      <c r="P109" s="21" t="str">
        <f>IFERROR(__xludf.DUMMYFUNCTION("IFERROR((GOOGLEFINANCE(C109, ""price"") / INDEX(GOOGLEFINANCE(C109, ""price"", EDATE(TODAY(), -12), TODAY()), 2, 2)) - 1, """")"),"")</f>
        <v/>
      </c>
      <c r="Q109" s="6" t="str">
        <f>IFERROR(__xludf.DUMMYFUNCTION("AVERAGE(QUERY(GOOGLEFINANCE(C109, ""price"", TODAY()-80, TODAY()), ""SELECT Col2 WHERE Col2 IS NOT NULL ORDER BY Col1 DESC LIMIT 50"", 0))"),"#N/A")</f>
        <v>#N/A</v>
      </c>
      <c r="R109" s="24" t="str">
        <f>IFERROR(__xludf.DUMMYFUNCTION("IFERROR(
  LET(
    data, QUERY(GOOGLEFINANCE(C109,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GOOGLEFINANCE(C109, ""price"")) * 100,
    IF(calc=0, G109, calc)
  ), 
G109)"),"#N/A")</f>
        <v>#N/A</v>
      </c>
      <c r="S109" s="8" t="s">
        <v>15</v>
      </c>
      <c r="T109" s="26" t="str">
        <f>IFERROR(__xludf.DUMMYFUNCTION("IFERROR(TRANSPOSE(QUERY(IFERROR(SORT(GOOGLEFINANCE(C109, ""price"", WORKDAY(TODAY(), -40), TODAY()), 1, FALSE)), ""select Col2 where Col2 is not null limit 22 label Col2 ''"", 0)), """")"),"")</f>
        <v/>
      </c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8"/>
      <c r="AO109" s="28"/>
      <c r="AP109" s="29"/>
      <c r="AQ109" s="29" t="str">
        <f t="shared" ref="AQ109:BL109" si="112">T109/T$2</f>
        <v>#N/A</v>
      </c>
      <c r="AR109" s="29" t="str">
        <f t="shared" si="112"/>
        <v>#DIV/0!</v>
      </c>
      <c r="AS109" s="29" t="str">
        <f t="shared" si="112"/>
        <v>#DIV/0!</v>
      </c>
      <c r="AT109" s="29" t="str">
        <f t="shared" si="112"/>
        <v>#DIV/0!</v>
      </c>
      <c r="AU109" s="29" t="str">
        <f t="shared" si="112"/>
        <v>#DIV/0!</v>
      </c>
      <c r="AV109" s="29" t="str">
        <f t="shared" si="112"/>
        <v>#DIV/0!</v>
      </c>
      <c r="AW109" s="29" t="str">
        <f t="shared" si="112"/>
        <v>#DIV/0!</v>
      </c>
      <c r="AX109" s="29" t="str">
        <f t="shared" si="112"/>
        <v>#DIV/0!</v>
      </c>
      <c r="AY109" s="29" t="str">
        <f t="shared" si="112"/>
        <v>#DIV/0!</v>
      </c>
      <c r="AZ109" s="29" t="str">
        <f t="shared" si="112"/>
        <v>#DIV/0!</v>
      </c>
      <c r="BA109" s="29" t="str">
        <f t="shared" si="112"/>
        <v>#DIV/0!</v>
      </c>
      <c r="BB109" s="29" t="str">
        <f t="shared" si="112"/>
        <v>#DIV/0!</v>
      </c>
      <c r="BC109" s="29" t="str">
        <f t="shared" si="112"/>
        <v>#DIV/0!</v>
      </c>
      <c r="BD109" s="29" t="str">
        <f t="shared" si="112"/>
        <v>#DIV/0!</v>
      </c>
      <c r="BE109" s="29" t="str">
        <f t="shared" si="112"/>
        <v>#DIV/0!</v>
      </c>
      <c r="BF109" s="29" t="str">
        <f t="shared" si="112"/>
        <v>#DIV/0!</v>
      </c>
      <c r="BG109" s="29" t="str">
        <f t="shared" si="112"/>
        <v>#DIV/0!</v>
      </c>
      <c r="BH109" s="29" t="str">
        <f t="shared" si="112"/>
        <v>#DIV/0!</v>
      </c>
      <c r="BI109" s="29" t="str">
        <f t="shared" si="112"/>
        <v>#DIV/0!</v>
      </c>
      <c r="BJ109" s="29" t="str">
        <f t="shared" si="112"/>
        <v>#DIV/0!</v>
      </c>
      <c r="BK109" s="29" t="str">
        <f t="shared" si="112"/>
        <v>#DIV/0!</v>
      </c>
      <c r="BL109" s="29" t="str">
        <f t="shared" si="112"/>
        <v>#DIV/0!</v>
      </c>
      <c r="BM109" s="29" t="str">
        <f t="shared" si="3"/>
        <v>#DIV/0!</v>
      </c>
    </row>
    <row r="110">
      <c r="A110" s="16" t="str">
        <f>IFERROR(__xludf.DUMMYFUNCTION("IFERROR(SPARKLINE(SORT(MAP(TRANSPOSE(AQ110:BL110), LAMBDA(val, IF(ISNUMBER(val), PERCENTRANK(AQ110:BL110, val)+0.01, 0))), SEQUENCE(COLUMNS(AQ110:BL110)), FALSE), {""charttype"",""column""; ""color"",""chartreuse""; ""ymin"", 0; ""ymax"", 1.01; ""highcolo"&amp;"r"", ""darkgreen""; ""lowcolor"", ""red""}), """")"),"")</f>
        <v/>
      </c>
      <c r="B110" s="17" t="str">
        <f t="shared" si="4"/>
        <v/>
      </c>
      <c r="C110" s="1" t="s">
        <v>597</v>
      </c>
      <c r="D110" s="30" t="str">
        <f>IFERROR(__xludf.DUMMYFUNCTION("IFERROR(GOOGLEFINANCE(C110, ""NAME""))"),"Telephone and Data Systems Inc")</f>
        <v>Telephone and Data Systems Inc</v>
      </c>
      <c r="E110" s="30" t="s">
        <v>52</v>
      </c>
      <c r="F110" s="33" t="str">
        <f>IFERROR(__xludf.DUMMYFUNCTION("( (GOOGLEFINANCE(C110, ""price"") - Q110) / Q110 ) / (R110 / 100)"),"Loading...")</f>
        <v>Loading...</v>
      </c>
      <c r="G110" s="20" t="str">
        <f>IFERROR(__xludf.DUMMYFUNCTION("AVERAGE(ARRAYFORMULA(100 * (QUERY(GOOGLEFINANCE(C110, ""high"", TODAY()-40, TODAY()), ""SELECT Col2 WHERE Col2 IS NOT NULL ORDER BY Col1 DESC LIMIT 20"", 0) / QUERY(GOOGLEFINANCE(C110, ""low"", TODAY()-40, TODAY()), ""SELECT Col2 WHERE Col2 IS NOT NULL OR"&amp;"DER BY Col1 DESC LIMIT 20"", 0) - 1)))"),"#N/A")</f>
        <v>#N/A</v>
      </c>
      <c r="H110" s="35" t="str">
        <f t="shared" si="6"/>
        <v>Liquid</v>
      </c>
      <c r="I110" s="36" t="str">
        <f t="shared" si="7"/>
        <v>RVol Required</v>
      </c>
      <c r="J110" s="37">
        <f>IFERROR(__xludf.DUMMYFUNCTION("IFERROR(
  IF(C110="""",, 
    IFERROR(
      GOOGLEFINANCE(C110, ""price"") * GOOGLEFINANCE(C110, ""volumeavg""), 
      GOOGLEFINANCE(C110, ""price"") * AVERAGE(QUERY(GOOGLEFINANCE(C110, ""volume"", TODAY()-40, TODAY()), ""SELECT Col2 WHERE Col2 IS NOT "&amp;"NULL ORDER BY Col1 DESC LIMIT 20"", 0))
    )
  ), 
"""")"),6.10232883E7)</f>
        <v>61023288.3</v>
      </c>
      <c r="K110" s="21">
        <f>IFERROR(__xludf.DUMMYFUNCTION("IFERROR(GOOGLEFINANCE(C110, ""changepct"") / 100, """")"),-0.0034999999999999996)</f>
        <v>-0.0035</v>
      </c>
      <c r="L110" s="21" t="str">
        <f>IFERROR(__xludf.DUMMYFUNCTION("IFERROR((GOOGLEFINANCE(C110, ""price"") / INDEX(GOOGLEFINANCE(C110, ""price"", TODAY()-7, TODAY()), 2, 2)) - 1, """")"),"")</f>
        <v/>
      </c>
      <c r="M110" s="21" t="str">
        <f>IFERROR(__xludf.DUMMYFUNCTION("IFERROR((GOOGLEFINANCE(C110, ""price"") / INDEX(GOOGLEFINANCE(C110, ""price"", EDATE(TODAY(), -1), TODAY()), 2, 2)) - 1, """")"),"")</f>
        <v/>
      </c>
      <c r="N110" s="21" t="str">
        <f>IFERROR(__xludf.DUMMYFUNCTION("IFERROR((GOOGLEFINANCE(C110, ""price"") / INDEX(GOOGLEFINANCE(C110, ""price"", EDATE(TODAY(), -3), TODAY()), 2, 2)) - 1, """")"),"")</f>
        <v/>
      </c>
      <c r="O110" s="21" t="str">
        <f>IFERROR(__xludf.DUMMYFUNCTION("IFERROR((GOOGLEFINANCE(C110, ""price"") / INDEX(GOOGLEFINANCE(C110, ""price"", EDATE(TODAY(), -6), TODAY()), 2, 2)) - 1, """")"),"")</f>
        <v/>
      </c>
      <c r="P110" s="21" t="str">
        <f>IFERROR(__xludf.DUMMYFUNCTION("IFERROR((GOOGLEFINANCE(C110, ""price"") / INDEX(GOOGLEFINANCE(C110, ""price"", EDATE(TODAY(), -12), TODAY()), 2, 2)) - 1, """")"),"")</f>
        <v/>
      </c>
      <c r="Q110" s="6" t="str">
        <f>IFERROR(__xludf.DUMMYFUNCTION("AVERAGE(QUERY(GOOGLEFINANCE(C110, ""price"", TODAY()-80, TODAY()), ""SELECT Col2 WHERE Col2 IS NOT NULL ORDER BY Col1 DESC LIMIT 50"", 0))"),"#N/A")</f>
        <v>#N/A</v>
      </c>
      <c r="R110" s="24" t="str">
        <f>IFERROR(__xludf.DUMMYFUNCTION("IFERROR(
  LET(
    data, QUERY(GOOGLEFINANCE(C110,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GOOGLEFINANCE(C110, ""price"")) * 100,
    IF(calc=0, G110, calc)
  ), 
G110)"),"#N/A")</f>
        <v>#N/A</v>
      </c>
      <c r="S110" s="8" t="s">
        <v>15</v>
      </c>
      <c r="T110" s="26" t="str">
        <f>IFERROR(__xludf.DUMMYFUNCTION("IFERROR(TRANSPOSE(QUERY(IFERROR(SORT(GOOGLEFINANCE(C110, ""price"", WORKDAY(TODAY(), -40), TODAY()), 1, FALSE)), ""select Col2 where Col2 is not null limit 22 label Col2 ''"", 0)), """")"),"")</f>
        <v/>
      </c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8"/>
      <c r="AO110" s="28"/>
      <c r="AP110" s="29"/>
      <c r="AQ110" s="29" t="str">
        <f t="shared" ref="AQ110:BL110" si="113">T110/T$2</f>
        <v>#N/A</v>
      </c>
      <c r="AR110" s="29" t="str">
        <f t="shared" si="113"/>
        <v>#DIV/0!</v>
      </c>
      <c r="AS110" s="29" t="str">
        <f t="shared" si="113"/>
        <v>#DIV/0!</v>
      </c>
      <c r="AT110" s="29" t="str">
        <f t="shared" si="113"/>
        <v>#DIV/0!</v>
      </c>
      <c r="AU110" s="29" t="str">
        <f t="shared" si="113"/>
        <v>#DIV/0!</v>
      </c>
      <c r="AV110" s="29" t="str">
        <f t="shared" si="113"/>
        <v>#DIV/0!</v>
      </c>
      <c r="AW110" s="29" t="str">
        <f t="shared" si="113"/>
        <v>#DIV/0!</v>
      </c>
      <c r="AX110" s="29" t="str">
        <f t="shared" si="113"/>
        <v>#DIV/0!</v>
      </c>
      <c r="AY110" s="29" t="str">
        <f t="shared" si="113"/>
        <v>#DIV/0!</v>
      </c>
      <c r="AZ110" s="29" t="str">
        <f t="shared" si="113"/>
        <v>#DIV/0!</v>
      </c>
      <c r="BA110" s="29" t="str">
        <f t="shared" si="113"/>
        <v>#DIV/0!</v>
      </c>
      <c r="BB110" s="29" t="str">
        <f t="shared" si="113"/>
        <v>#DIV/0!</v>
      </c>
      <c r="BC110" s="29" t="str">
        <f t="shared" si="113"/>
        <v>#DIV/0!</v>
      </c>
      <c r="BD110" s="29" t="str">
        <f t="shared" si="113"/>
        <v>#DIV/0!</v>
      </c>
      <c r="BE110" s="29" t="str">
        <f t="shared" si="113"/>
        <v>#DIV/0!</v>
      </c>
      <c r="BF110" s="29" t="str">
        <f t="shared" si="113"/>
        <v>#DIV/0!</v>
      </c>
      <c r="BG110" s="29" t="str">
        <f t="shared" si="113"/>
        <v>#DIV/0!</v>
      </c>
      <c r="BH110" s="29" t="str">
        <f t="shared" si="113"/>
        <v>#DIV/0!</v>
      </c>
      <c r="BI110" s="29" t="str">
        <f t="shared" si="113"/>
        <v>#DIV/0!</v>
      </c>
      <c r="BJ110" s="29" t="str">
        <f t="shared" si="113"/>
        <v>#DIV/0!</v>
      </c>
      <c r="BK110" s="29" t="str">
        <f t="shared" si="113"/>
        <v>#DIV/0!</v>
      </c>
      <c r="BL110" s="29" t="str">
        <f t="shared" si="113"/>
        <v>#DIV/0!</v>
      </c>
      <c r="BM110" s="29" t="str">
        <f t="shared" si="3"/>
        <v>#DIV/0!</v>
      </c>
    </row>
    <row r="111">
      <c r="A111" s="16" t="str">
        <f>IFERROR(__xludf.DUMMYFUNCTION("IFERROR(SPARKLINE(SORT(MAP(TRANSPOSE(AQ111:BL111), LAMBDA(val, IF(ISNUMBER(val), PERCENTRANK(AQ111:BL111, val)+0.01, 0))), SEQUENCE(COLUMNS(AQ111:BL111)), FALSE), {""charttype"",""column""; ""color"",""chartreuse""; ""ymin"", 0; ""ymax"", 1.01; ""highcolo"&amp;"r"", ""darkgreen""; ""lowcolor"", ""red""}), """")"),"")</f>
        <v/>
      </c>
      <c r="B111" s="17" t="str">
        <f t="shared" si="4"/>
        <v/>
      </c>
      <c r="C111" s="1" t="s">
        <v>601</v>
      </c>
      <c r="D111" s="30" t="str">
        <f>IFERROR(__xludf.DUMMYFUNCTION("IFERROR(GOOGLEFINANCE(C111, ""NAME""))"),"Shutterstock Inc")</f>
        <v>Shutterstock Inc</v>
      </c>
      <c r="E111" s="30" t="s">
        <v>69</v>
      </c>
      <c r="F111" s="33" t="str">
        <f>IFERROR(__xludf.DUMMYFUNCTION("( (GOOGLEFINANCE(C111, ""price"") - Q111) / Q111 ) / (R111 / 100)"),"Loading...")</f>
        <v>Loading...</v>
      </c>
      <c r="G111" s="20" t="str">
        <f>IFERROR(__xludf.DUMMYFUNCTION("AVERAGE(ARRAYFORMULA(100 * (QUERY(GOOGLEFINANCE(C111, ""high"", TODAY()-40, TODAY()), ""SELECT Col2 WHERE Col2 IS NOT NULL ORDER BY Col1 DESC LIMIT 20"", 0) / QUERY(GOOGLEFINANCE(C111, ""low"", TODAY()-40, TODAY()), ""SELECT Col2 WHERE Col2 IS NOT NULL OR"&amp;"DER BY Col1 DESC LIMIT 20"", 0) - 1)))"),"#N/A")</f>
        <v>#N/A</v>
      </c>
      <c r="H111" s="35" t="str">
        <f t="shared" si="6"/>
        <v>Illiquid</v>
      </c>
      <c r="I111" s="36" t="str">
        <f t="shared" si="7"/>
        <v>RVol Required</v>
      </c>
      <c r="J111" s="37">
        <f>IFERROR(__xludf.DUMMYFUNCTION("IFERROR(
  IF(C111="""",, 
    IFERROR(
      GOOGLEFINANCE(C111, ""price"") * GOOGLEFINANCE(C111, ""volumeavg""), 
      GOOGLEFINANCE(C111, ""price"") * AVERAGE(QUERY(GOOGLEFINANCE(C111, ""volume"", TODAY()-40, TODAY()), ""SELECT Col2 WHERE Col2 IS NOT "&amp;"NULL ORDER BY Col1 DESC LIMIT 20"", 0))
    )
  ), 
"""")"),3948358.8000000003)</f>
        <v>3948358.8</v>
      </c>
      <c r="K111" s="21">
        <f>IFERROR(__xludf.DUMMYFUNCTION("IFERROR(GOOGLEFINANCE(C111, ""changepct"") / 100, """")"),-0.0327)</f>
        <v>-0.0327</v>
      </c>
      <c r="L111" s="21" t="str">
        <f>IFERROR(__xludf.DUMMYFUNCTION("IFERROR((GOOGLEFINANCE(C111, ""price"") / INDEX(GOOGLEFINANCE(C111, ""price"", TODAY()-7, TODAY()), 2, 2)) - 1, """")"),"")</f>
        <v/>
      </c>
      <c r="M111" s="21" t="str">
        <f>IFERROR(__xludf.DUMMYFUNCTION("IFERROR((GOOGLEFINANCE(C111, ""price"") / INDEX(GOOGLEFINANCE(C111, ""price"", EDATE(TODAY(), -1), TODAY()), 2, 2)) - 1, """")"),"")</f>
        <v/>
      </c>
      <c r="N111" s="21" t="str">
        <f>IFERROR(__xludf.DUMMYFUNCTION("IFERROR((GOOGLEFINANCE(C111, ""price"") / INDEX(GOOGLEFINANCE(C111, ""price"", EDATE(TODAY(), -3), TODAY()), 2, 2)) - 1, """")"),"")</f>
        <v/>
      </c>
      <c r="O111" s="21" t="str">
        <f>IFERROR(__xludf.DUMMYFUNCTION("IFERROR((GOOGLEFINANCE(C111, ""price"") / INDEX(GOOGLEFINANCE(C111, ""price"", EDATE(TODAY(), -6), TODAY()), 2, 2)) - 1, """")"),"")</f>
        <v/>
      </c>
      <c r="P111" s="21" t="str">
        <f>IFERROR(__xludf.DUMMYFUNCTION("IFERROR((GOOGLEFINANCE(C111, ""price"") / INDEX(GOOGLEFINANCE(C111, ""price"", EDATE(TODAY(), -12), TODAY()), 2, 2)) - 1, """")"),"")</f>
        <v/>
      </c>
      <c r="Q111" s="6" t="str">
        <f>IFERROR(__xludf.DUMMYFUNCTION("AVERAGE(QUERY(GOOGLEFINANCE(C111, ""price"", TODAY()-80, TODAY()), ""SELECT Col2 WHERE Col2 IS NOT NULL ORDER BY Col1 DESC LIMIT 50"", 0))"),"#N/A")</f>
        <v>#N/A</v>
      </c>
      <c r="R111" s="24" t="str">
        <f>IFERROR(__xludf.DUMMYFUNCTION("IFERROR(
  LET(
    data, QUERY(GOOGLEFINANCE(C111,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GOOGLEFINANCE(C111, ""price"")) * 100,
    IF(calc=0, G111, calc)
  ), 
G111)"),"#N/A")</f>
        <v>#N/A</v>
      </c>
      <c r="S111" s="8" t="s">
        <v>15</v>
      </c>
      <c r="T111" s="26" t="str">
        <f>IFERROR(__xludf.DUMMYFUNCTION("IFERROR(TRANSPOSE(QUERY(IFERROR(SORT(GOOGLEFINANCE(C111, ""price"", WORKDAY(TODAY(), -40), TODAY()), 1, FALSE)), ""select Col2 where Col2 is not null limit 22 label Col2 ''"", 0)), """")"),"")</f>
        <v/>
      </c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8"/>
      <c r="AO111" s="28"/>
      <c r="AP111" s="29"/>
      <c r="AQ111" s="29" t="str">
        <f t="shared" ref="AQ111:BL111" si="114">T111/T$2</f>
        <v>#N/A</v>
      </c>
      <c r="AR111" s="29" t="str">
        <f t="shared" si="114"/>
        <v>#DIV/0!</v>
      </c>
      <c r="AS111" s="29" t="str">
        <f t="shared" si="114"/>
        <v>#DIV/0!</v>
      </c>
      <c r="AT111" s="29" t="str">
        <f t="shared" si="114"/>
        <v>#DIV/0!</v>
      </c>
      <c r="AU111" s="29" t="str">
        <f t="shared" si="114"/>
        <v>#DIV/0!</v>
      </c>
      <c r="AV111" s="29" t="str">
        <f t="shared" si="114"/>
        <v>#DIV/0!</v>
      </c>
      <c r="AW111" s="29" t="str">
        <f t="shared" si="114"/>
        <v>#DIV/0!</v>
      </c>
      <c r="AX111" s="29" t="str">
        <f t="shared" si="114"/>
        <v>#DIV/0!</v>
      </c>
      <c r="AY111" s="29" t="str">
        <f t="shared" si="114"/>
        <v>#DIV/0!</v>
      </c>
      <c r="AZ111" s="29" t="str">
        <f t="shared" si="114"/>
        <v>#DIV/0!</v>
      </c>
      <c r="BA111" s="29" t="str">
        <f t="shared" si="114"/>
        <v>#DIV/0!</v>
      </c>
      <c r="BB111" s="29" t="str">
        <f t="shared" si="114"/>
        <v>#DIV/0!</v>
      </c>
      <c r="BC111" s="29" t="str">
        <f t="shared" si="114"/>
        <v>#DIV/0!</v>
      </c>
      <c r="BD111" s="29" t="str">
        <f t="shared" si="114"/>
        <v>#DIV/0!</v>
      </c>
      <c r="BE111" s="29" t="str">
        <f t="shared" si="114"/>
        <v>#DIV/0!</v>
      </c>
      <c r="BF111" s="29" t="str">
        <f t="shared" si="114"/>
        <v>#DIV/0!</v>
      </c>
      <c r="BG111" s="29" t="str">
        <f t="shared" si="114"/>
        <v>#DIV/0!</v>
      </c>
      <c r="BH111" s="29" t="str">
        <f t="shared" si="114"/>
        <v>#DIV/0!</v>
      </c>
      <c r="BI111" s="29" t="str">
        <f t="shared" si="114"/>
        <v>#DIV/0!</v>
      </c>
      <c r="BJ111" s="29" t="str">
        <f t="shared" si="114"/>
        <v>#DIV/0!</v>
      </c>
      <c r="BK111" s="29" t="str">
        <f t="shared" si="114"/>
        <v>#DIV/0!</v>
      </c>
      <c r="BL111" s="29" t="str">
        <f t="shared" si="114"/>
        <v>#DIV/0!</v>
      </c>
      <c r="BM111" s="29" t="str">
        <f t="shared" si="3"/>
        <v>#DIV/0!</v>
      </c>
    </row>
    <row r="112">
      <c r="A112" s="16" t="str">
        <f>IFERROR(__xludf.DUMMYFUNCTION("IFERROR(SPARKLINE(SORT(MAP(TRANSPOSE(AQ112:BL112), LAMBDA(val, IF(ISNUMBER(val), PERCENTRANK(AQ112:BL112, val)+0.01, 0))), SEQUENCE(COLUMNS(AQ112:BL112)), FALSE), {""charttype"",""column""; ""color"",""chartreuse""; ""ymin"", 0; ""ymax"", 1.01; ""highcolo"&amp;"r"", ""darkgreen""; ""lowcolor"", ""red""}), """")"),"")</f>
        <v/>
      </c>
      <c r="B112" s="17" t="str">
        <f t="shared" si="4"/>
        <v/>
      </c>
      <c r="C112" s="1" t="s">
        <v>606</v>
      </c>
      <c r="D112" s="30" t="str">
        <f>IFERROR(__xludf.DUMMYFUNCTION("IFERROR(GOOGLEFINANCE(C112, ""NAME""))"),"Weibo Corp")</f>
        <v>Weibo Corp</v>
      </c>
      <c r="E112" s="30" t="s">
        <v>69</v>
      </c>
      <c r="F112" s="33" t="str">
        <f>IFERROR(__xludf.DUMMYFUNCTION("( (GOOGLEFINANCE(C112, ""price"") - Q112) / Q112 ) / (R112 / 100)"),"Loading...")</f>
        <v>Loading...</v>
      </c>
      <c r="G112" s="20" t="str">
        <f>IFERROR(__xludf.DUMMYFUNCTION("AVERAGE(ARRAYFORMULA(100 * (QUERY(GOOGLEFINANCE(C112, ""high"", TODAY()-40, TODAY()), ""SELECT Col2 WHERE Col2 IS NOT NULL ORDER BY Col1 DESC LIMIT 20"", 0) / QUERY(GOOGLEFINANCE(C112, ""low"", TODAY()-40, TODAY()), ""SELECT Col2 WHERE Col2 IS NOT NULL OR"&amp;"DER BY Col1 DESC LIMIT 20"", 0) - 1)))"),"#N/A")</f>
        <v>#N/A</v>
      </c>
      <c r="H112" s="35" t="str">
        <f t="shared" si="6"/>
        <v>Illiquid</v>
      </c>
      <c r="I112" s="36" t="str">
        <f t="shared" si="7"/>
        <v>RVol Required</v>
      </c>
      <c r="J112" s="37">
        <f>IFERROR(__xludf.DUMMYFUNCTION("IFERROR(
  IF(C112="""",, 
    IFERROR(
      GOOGLEFINANCE(C112, ""price"") * GOOGLEFINANCE(C112, ""volumeavg""), 
      GOOGLEFINANCE(C112, ""price"") * AVERAGE(QUERY(GOOGLEFINANCE(C112, ""volume"", TODAY()-40, TODAY()), ""SELECT Col2 WHERE Col2 IS NOT "&amp;"NULL ORDER BY Col1 DESC LIMIT 20"", 0))
    )
  ), 
"""")"),6038334.94)</f>
        <v>6038334.94</v>
      </c>
      <c r="K112" s="21">
        <f>IFERROR(__xludf.DUMMYFUNCTION("IFERROR(GOOGLEFINANCE(C112, ""changepct"") / 100, """")"),-0.0092)</f>
        <v>-0.0092</v>
      </c>
      <c r="L112" s="21" t="str">
        <f>IFERROR(__xludf.DUMMYFUNCTION("IFERROR((GOOGLEFINANCE(C112, ""price"") / INDEX(GOOGLEFINANCE(C112, ""price"", TODAY()-7, TODAY()), 2, 2)) - 1, """")"),"")</f>
        <v/>
      </c>
      <c r="M112" s="21" t="str">
        <f>IFERROR(__xludf.DUMMYFUNCTION("IFERROR((GOOGLEFINANCE(C112, ""price"") / INDEX(GOOGLEFINANCE(C112, ""price"", EDATE(TODAY(), -1), TODAY()), 2, 2)) - 1, """")"),"")</f>
        <v/>
      </c>
      <c r="N112" s="21" t="str">
        <f>IFERROR(__xludf.DUMMYFUNCTION("IFERROR((GOOGLEFINANCE(C112, ""price"") / INDEX(GOOGLEFINANCE(C112, ""price"", EDATE(TODAY(), -3), TODAY()), 2, 2)) - 1, """")"),"")</f>
        <v/>
      </c>
      <c r="O112" s="21" t="str">
        <f>IFERROR(__xludf.DUMMYFUNCTION("IFERROR((GOOGLEFINANCE(C112, ""price"") / INDEX(GOOGLEFINANCE(C112, ""price"", EDATE(TODAY(), -6), TODAY()), 2, 2)) - 1, """")"),"")</f>
        <v/>
      </c>
      <c r="P112" s="21" t="str">
        <f>IFERROR(__xludf.DUMMYFUNCTION("IFERROR((GOOGLEFINANCE(C112, ""price"") / INDEX(GOOGLEFINANCE(C112, ""price"", EDATE(TODAY(), -12), TODAY()), 2, 2)) - 1, """")"),"")</f>
        <v/>
      </c>
      <c r="Q112" s="6" t="str">
        <f>IFERROR(__xludf.DUMMYFUNCTION("AVERAGE(QUERY(GOOGLEFINANCE(C112, ""price"", TODAY()-80, TODAY()), ""SELECT Col2 WHERE Col2 IS NOT NULL ORDER BY Col1 DESC LIMIT 50"", 0))"),"#N/A")</f>
        <v>#N/A</v>
      </c>
      <c r="R112" s="24" t="str">
        <f>IFERROR(__xludf.DUMMYFUNCTION("IFERROR(
  LET(
    data, QUERY(GOOGLEFINANCE(C112,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GOOGLEFINANCE(C112, ""price"")) * 100,
    IF(calc=0, G112, calc)
  ), 
G112)"),"#N/A")</f>
        <v>#N/A</v>
      </c>
      <c r="S112" s="8" t="s">
        <v>15</v>
      </c>
      <c r="T112" s="26" t="str">
        <f>IFERROR(__xludf.DUMMYFUNCTION("IFERROR(TRANSPOSE(QUERY(IFERROR(SORT(GOOGLEFINANCE(C112, ""price"", WORKDAY(TODAY(), -40), TODAY()), 1, FALSE)), ""select Col2 where Col2 is not null limit 22 label Col2 ''"", 0)), """")"),"")</f>
        <v/>
      </c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8"/>
      <c r="AO112" s="28"/>
      <c r="AP112" s="29"/>
      <c r="AQ112" s="29" t="str">
        <f t="shared" ref="AQ112:BL112" si="115">T112/T$2</f>
        <v>#N/A</v>
      </c>
      <c r="AR112" s="29" t="str">
        <f t="shared" si="115"/>
        <v>#DIV/0!</v>
      </c>
      <c r="AS112" s="29" t="str">
        <f t="shared" si="115"/>
        <v>#DIV/0!</v>
      </c>
      <c r="AT112" s="29" t="str">
        <f t="shared" si="115"/>
        <v>#DIV/0!</v>
      </c>
      <c r="AU112" s="29" t="str">
        <f t="shared" si="115"/>
        <v>#DIV/0!</v>
      </c>
      <c r="AV112" s="29" t="str">
        <f t="shared" si="115"/>
        <v>#DIV/0!</v>
      </c>
      <c r="AW112" s="29" t="str">
        <f t="shared" si="115"/>
        <v>#DIV/0!</v>
      </c>
      <c r="AX112" s="29" t="str">
        <f t="shared" si="115"/>
        <v>#DIV/0!</v>
      </c>
      <c r="AY112" s="29" t="str">
        <f t="shared" si="115"/>
        <v>#DIV/0!</v>
      </c>
      <c r="AZ112" s="29" t="str">
        <f t="shared" si="115"/>
        <v>#DIV/0!</v>
      </c>
      <c r="BA112" s="29" t="str">
        <f t="shared" si="115"/>
        <v>#DIV/0!</v>
      </c>
      <c r="BB112" s="29" t="str">
        <f t="shared" si="115"/>
        <v>#DIV/0!</v>
      </c>
      <c r="BC112" s="29" t="str">
        <f t="shared" si="115"/>
        <v>#DIV/0!</v>
      </c>
      <c r="BD112" s="29" t="str">
        <f t="shared" si="115"/>
        <v>#DIV/0!</v>
      </c>
      <c r="BE112" s="29" t="str">
        <f t="shared" si="115"/>
        <v>#DIV/0!</v>
      </c>
      <c r="BF112" s="29" t="str">
        <f t="shared" si="115"/>
        <v>#DIV/0!</v>
      </c>
      <c r="BG112" s="29" t="str">
        <f t="shared" si="115"/>
        <v>#DIV/0!</v>
      </c>
      <c r="BH112" s="29" t="str">
        <f t="shared" si="115"/>
        <v>#DIV/0!</v>
      </c>
      <c r="BI112" s="29" t="str">
        <f t="shared" si="115"/>
        <v>#DIV/0!</v>
      </c>
      <c r="BJ112" s="29" t="str">
        <f t="shared" si="115"/>
        <v>#DIV/0!</v>
      </c>
      <c r="BK112" s="29" t="str">
        <f t="shared" si="115"/>
        <v>#DIV/0!</v>
      </c>
      <c r="BL112" s="29" t="str">
        <f t="shared" si="115"/>
        <v>#DIV/0!</v>
      </c>
      <c r="BM112" s="29" t="str">
        <f t="shared" si="3"/>
        <v>#DIV/0!</v>
      </c>
    </row>
    <row r="113">
      <c r="A113" s="16" t="str">
        <f>IFERROR(__xludf.DUMMYFUNCTION("IFERROR(SPARKLINE(SORT(MAP(TRANSPOSE(AQ113:BL113), LAMBDA(val, IF(ISNUMBER(val), PERCENTRANK(AQ113:BL113, val)+0.01, 0))), SEQUENCE(COLUMNS(AQ113:BL113)), FALSE), {""charttype"",""column""; ""color"",""chartreuse""; ""ymin"", 0; ""ymax"", 1.01; ""highcolo"&amp;"r"", ""darkgreen""; ""lowcolor"", ""red""}), """")"),"")</f>
        <v/>
      </c>
      <c r="B113" s="17" t="str">
        <f t="shared" si="4"/>
        <v/>
      </c>
      <c r="C113" s="1" t="s">
        <v>610</v>
      </c>
      <c r="D113" s="30" t="str">
        <f>IFERROR(__xludf.DUMMYFUNCTION("IFERROR(GOOGLEFINANCE(C113, ""NAME""))"),"Stagwell Inc")</f>
        <v>Stagwell Inc</v>
      </c>
      <c r="E113" s="30" t="s">
        <v>116</v>
      </c>
      <c r="F113" s="33" t="str">
        <f>IFERROR(__xludf.DUMMYFUNCTION("( (GOOGLEFINANCE(C113, ""price"") - Q113) / Q113 ) / (R113 / 100)"),"Loading...")</f>
        <v>Loading...</v>
      </c>
      <c r="G113" s="20" t="str">
        <f>IFERROR(__xludf.DUMMYFUNCTION("AVERAGE(ARRAYFORMULA(100 * (QUERY(GOOGLEFINANCE(C113, ""high"", TODAY()-40, TODAY()), ""SELECT Col2 WHERE Col2 IS NOT NULL ORDER BY Col1 DESC LIMIT 20"", 0) / QUERY(GOOGLEFINANCE(C113, ""low"", TODAY()-40, TODAY()), ""SELECT Col2 WHERE Col2 IS NOT NULL OR"&amp;"DER BY Col1 DESC LIMIT 20"", 0) - 1)))"),"#N/A")</f>
        <v>#N/A</v>
      </c>
      <c r="H113" s="35" t="str">
        <f t="shared" si="6"/>
        <v>Illiquid</v>
      </c>
      <c r="I113" s="36" t="str">
        <f t="shared" si="7"/>
        <v>RVol Required</v>
      </c>
      <c r="J113" s="37">
        <f>IFERROR(__xludf.DUMMYFUNCTION("IFERROR(
  IF(C113="""",, 
    IFERROR(
      GOOGLEFINANCE(C113, ""price"") * GOOGLEFINANCE(C113, ""volumeavg""), 
      GOOGLEFINANCE(C113, ""price"") * AVERAGE(QUERY(GOOGLEFINANCE(C113, ""volume"", TODAY()-40, TODAY()), ""SELECT Col2 WHERE Col2 IS NOT "&amp;"NULL ORDER BY Col1 DESC LIMIT 20"", 0))
    )
  ), 
"""")"),1.310164938E7)</f>
        <v>13101649.38</v>
      </c>
      <c r="K113" s="21">
        <f>IFERROR(__xludf.DUMMYFUNCTION("IFERROR(GOOGLEFINANCE(C113, ""changepct"") / 100, """")"),-0.016399999999999998)</f>
        <v>-0.0164</v>
      </c>
      <c r="L113" s="21" t="str">
        <f>IFERROR(__xludf.DUMMYFUNCTION("IFERROR((GOOGLEFINANCE(C113, ""price"") / INDEX(GOOGLEFINANCE(C113, ""price"", TODAY()-7, TODAY()), 2, 2)) - 1, """")"),"")</f>
        <v/>
      </c>
      <c r="M113" s="21" t="str">
        <f>IFERROR(__xludf.DUMMYFUNCTION("IFERROR((GOOGLEFINANCE(C113, ""price"") / INDEX(GOOGLEFINANCE(C113, ""price"", EDATE(TODAY(), -1), TODAY()), 2, 2)) - 1, """")"),"")</f>
        <v/>
      </c>
      <c r="N113" s="21" t="str">
        <f>IFERROR(__xludf.DUMMYFUNCTION("IFERROR((GOOGLEFINANCE(C113, ""price"") / INDEX(GOOGLEFINANCE(C113, ""price"", EDATE(TODAY(), -3), TODAY()), 2, 2)) - 1, """")"),"")</f>
        <v/>
      </c>
      <c r="O113" s="21" t="str">
        <f>IFERROR(__xludf.DUMMYFUNCTION("IFERROR((GOOGLEFINANCE(C113, ""price"") / INDEX(GOOGLEFINANCE(C113, ""price"", EDATE(TODAY(), -6), TODAY()), 2, 2)) - 1, """")"),"")</f>
        <v/>
      </c>
      <c r="P113" s="21" t="str">
        <f>IFERROR(__xludf.DUMMYFUNCTION("IFERROR((GOOGLEFINANCE(C113, ""price"") / INDEX(GOOGLEFINANCE(C113, ""price"", EDATE(TODAY(), -12), TODAY()), 2, 2)) - 1, """")"),"")</f>
        <v/>
      </c>
      <c r="Q113" s="6" t="str">
        <f>IFERROR(__xludf.DUMMYFUNCTION("AVERAGE(QUERY(GOOGLEFINANCE(C113, ""price"", TODAY()-80, TODAY()), ""SELECT Col2 WHERE Col2 IS NOT NULL ORDER BY Col1 DESC LIMIT 50"", 0))"),"#N/A")</f>
        <v>#N/A</v>
      </c>
      <c r="R113" s="24" t="str">
        <f>IFERROR(__xludf.DUMMYFUNCTION("IFERROR(
  LET(
    data, QUERY(GOOGLEFINANCE(C113,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GOOGLEFINANCE(C113, ""price"")) * 100,
    IF(calc=0, G113, calc)
  ), 
G113)"),"#N/A")</f>
        <v>#N/A</v>
      </c>
      <c r="S113" s="8" t="s">
        <v>15</v>
      </c>
      <c r="T113" s="26" t="str">
        <f>IFERROR(__xludf.DUMMYFUNCTION("IFERROR(TRANSPOSE(QUERY(IFERROR(SORT(GOOGLEFINANCE(C113, ""price"", WORKDAY(TODAY(), -40), TODAY()), 1, FALSE)), ""select Col2 where Col2 is not null limit 22 label Col2 ''"", 0)), """")"),"")</f>
        <v/>
      </c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8"/>
      <c r="AO113" s="28"/>
      <c r="AP113" s="29"/>
      <c r="AQ113" s="29" t="str">
        <f t="shared" ref="AQ113:BL113" si="116">T113/T$2</f>
        <v>#N/A</v>
      </c>
      <c r="AR113" s="29" t="str">
        <f t="shared" si="116"/>
        <v>#DIV/0!</v>
      </c>
      <c r="AS113" s="29" t="str">
        <f t="shared" si="116"/>
        <v>#DIV/0!</v>
      </c>
      <c r="AT113" s="29" t="str">
        <f t="shared" si="116"/>
        <v>#DIV/0!</v>
      </c>
      <c r="AU113" s="29" t="str">
        <f t="shared" si="116"/>
        <v>#DIV/0!</v>
      </c>
      <c r="AV113" s="29" t="str">
        <f t="shared" si="116"/>
        <v>#DIV/0!</v>
      </c>
      <c r="AW113" s="29" t="str">
        <f t="shared" si="116"/>
        <v>#DIV/0!</v>
      </c>
      <c r="AX113" s="29" t="str">
        <f t="shared" si="116"/>
        <v>#DIV/0!</v>
      </c>
      <c r="AY113" s="29" t="str">
        <f t="shared" si="116"/>
        <v>#DIV/0!</v>
      </c>
      <c r="AZ113" s="29" t="str">
        <f t="shared" si="116"/>
        <v>#DIV/0!</v>
      </c>
      <c r="BA113" s="29" t="str">
        <f t="shared" si="116"/>
        <v>#DIV/0!</v>
      </c>
      <c r="BB113" s="29" t="str">
        <f t="shared" si="116"/>
        <v>#DIV/0!</v>
      </c>
      <c r="BC113" s="29" t="str">
        <f t="shared" si="116"/>
        <v>#DIV/0!</v>
      </c>
      <c r="BD113" s="29" t="str">
        <f t="shared" si="116"/>
        <v>#DIV/0!</v>
      </c>
      <c r="BE113" s="29" t="str">
        <f t="shared" si="116"/>
        <v>#DIV/0!</v>
      </c>
      <c r="BF113" s="29" t="str">
        <f t="shared" si="116"/>
        <v>#DIV/0!</v>
      </c>
      <c r="BG113" s="29" t="str">
        <f t="shared" si="116"/>
        <v>#DIV/0!</v>
      </c>
      <c r="BH113" s="29" t="str">
        <f t="shared" si="116"/>
        <v>#DIV/0!</v>
      </c>
      <c r="BI113" s="29" t="str">
        <f t="shared" si="116"/>
        <v>#DIV/0!</v>
      </c>
      <c r="BJ113" s="29" t="str">
        <f t="shared" si="116"/>
        <v>#DIV/0!</v>
      </c>
      <c r="BK113" s="29" t="str">
        <f t="shared" si="116"/>
        <v>#DIV/0!</v>
      </c>
      <c r="BL113" s="29" t="str">
        <f t="shared" si="116"/>
        <v>#DIV/0!</v>
      </c>
      <c r="BM113" s="29" t="str">
        <f t="shared" si="3"/>
        <v>#DIV/0!</v>
      </c>
    </row>
    <row r="114">
      <c r="A114" s="16" t="str">
        <f>IFERROR(__xludf.DUMMYFUNCTION("IFERROR(SPARKLINE(SORT(MAP(TRANSPOSE(AQ114:BL114), LAMBDA(val, IF(ISNUMBER(val), PERCENTRANK(AQ114:BL114, val)+0.01, 0))), SEQUENCE(COLUMNS(AQ114:BL114)), FALSE), {""charttype"",""column""; ""color"",""chartreuse""; ""ymin"", 0; ""ymax"", 1.01; ""highcolo"&amp;"r"", ""darkgreen""; ""lowcolor"", ""red""}), """")"),"")</f>
        <v/>
      </c>
      <c r="B114" s="17" t="str">
        <f t="shared" si="4"/>
        <v/>
      </c>
      <c r="C114" s="1" t="s">
        <v>614</v>
      </c>
      <c r="D114" s="30" t="str">
        <f>IFERROR(__xludf.DUMMYFUNCTION("IFERROR(GOOGLEFINANCE(C114, ""NAME""))"),"Cable One Inc")</f>
        <v>Cable One Inc</v>
      </c>
      <c r="E114" s="30" t="s">
        <v>52</v>
      </c>
      <c r="F114" s="33" t="str">
        <f>IFERROR(__xludf.DUMMYFUNCTION("( (GOOGLEFINANCE(C114, ""price"") - Q114) / Q114 ) / (R114 / 100)"),"Loading...")</f>
        <v>Loading...</v>
      </c>
      <c r="G114" s="20" t="str">
        <f>IFERROR(__xludf.DUMMYFUNCTION("AVERAGE(ARRAYFORMULA(100 * (QUERY(GOOGLEFINANCE(C114, ""high"", TODAY()-40, TODAY()), ""SELECT Col2 WHERE Col2 IS NOT NULL ORDER BY Col1 DESC LIMIT 20"", 0) / QUERY(GOOGLEFINANCE(C114, ""low"", TODAY()-40, TODAY()), ""SELECT Col2 WHERE Col2 IS NOT NULL OR"&amp;"DER BY Col1 DESC LIMIT 20"", 0) - 1)))"),"#N/A")</f>
        <v>#N/A</v>
      </c>
      <c r="H114" s="35" t="str">
        <f t="shared" si="6"/>
        <v>Illiquid</v>
      </c>
      <c r="I114" s="36" t="str">
        <f t="shared" si="7"/>
        <v>RVol Required</v>
      </c>
      <c r="J114" s="37">
        <f>IFERROR(__xludf.DUMMYFUNCTION("IFERROR(
  IF(C114="""",, 
    IFERROR(
      GOOGLEFINANCE(C114, ""price"") * GOOGLEFINANCE(C114, ""volumeavg""), 
      GOOGLEFINANCE(C114, ""price"") * AVERAGE(QUERY(GOOGLEFINANCE(C114, ""volume"", TODAY()-40, TODAY()), ""SELECT Col2 WHERE Col2 IS NOT "&amp;"NULL ORDER BY Col1 DESC LIMIT 20"", 0))
    )
  ), 
"""")"),4641450.33)</f>
        <v>4641450.33</v>
      </c>
      <c r="K114" s="21">
        <f>IFERROR(__xludf.DUMMYFUNCTION("IFERROR(GOOGLEFINANCE(C114, ""changepct"") / 100, """")"),-0.1464)</f>
        <v>-0.1464</v>
      </c>
      <c r="L114" s="21" t="str">
        <f>IFERROR(__xludf.DUMMYFUNCTION("IFERROR((GOOGLEFINANCE(C114, ""price"") / INDEX(GOOGLEFINANCE(C114, ""price"", TODAY()-7, TODAY()), 2, 2)) - 1, """")"),"")</f>
        <v/>
      </c>
      <c r="M114" s="21" t="str">
        <f>IFERROR(__xludf.DUMMYFUNCTION("IFERROR((GOOGLEFINANCE(C114, ""price"") / INDEX(GOOGLEFINANCE(C114, ""price"", EDATE(TODAY(), -1), TODAY()), 2, 2)) - 1, """")"),"")</f>
        <v/>
      </c>
      <c r="N114" s="21" t="str">
        <f>IFERROR(__xludf.DUMMYFUNCTION("IFERROR((GOOGLEFINANCE(C114, ""price"") / INDEX(GOOGLEFINANCE(C114, ""price"", EDATE(TODAY(), -3), TODAY()), 2, 2)) - 1, """")"),"")</f>
        <v/>
      </c>
      <c r="O114" s="21" t="str">
        <f>IFERROR(__xludf.DUMMYFUNCTION("IFERROR((GOOGLEFINANCE(C114, ""price"") / INDEX(GOOGLEFINANCE(C114, ""price"", EDATE(TODAY(), -6), TODAY()), 2, 2)) - 1, """")"),"")</f>
        <v/>
      </c>
      <c r="P114" s="21" t="str">
        <f>IFERROR(__xludf.DUMMYFUNCTION("IFERROR((GOOGLEFINANCE(C114, ""price"") / INDEX(GOOGLEFINANCE(C114, ""price"", EDATE(TODAY(), -12), TODAY()), 2, 2)) - 1, """")"),"")</f>
        <v/>
      </c>
      <c r="Q114" s="6" t="str">
        <f>IFERROR(__xludf.DUMMYFUNCTION("AVERAGE(QUERY(GOOGLEFINANCE(C114, ""price"", TODAY()-80, TODAY()), ""SELECT Col2 WHERE Col2 IS NOT NULL ORDER BY Col1 DESC LIMIT 50"", 0))"),"#N/A")</f>
        <v>#N/A</v>
      </c>
      <c r="R114" s="24" t="str">
        <f>IFERROR(__xludf.DUMMYFUNCTION("IFERROR(
  LET(
    data, QUERY(GOOGLEFINANCE(C114,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GOOGLEFINANCE(C114, ""price"")) * 100,
    IF(calc=0, G114, calc)
  ), 
G114)"),"#N/A")</f>
        <v>#N/A</v>
      </c>
      <c r="S114" s="8" t="s">
        <v>15</v>
      </c>
      <c r="T114" s="26" t="str">
        <f>IFERROR(__xludf.DUMMYFUNCTION("IFERROR(TRANSPOSE(QUERY(IFERROR(SORT(GOOGLEFINANCE(C114, ""price"", WORKDAY(TODAY(), -40), TODAY()), 1, FALSE)), ""select Col2 where Col2 is not null limit 22 label Col2 ''"", 0)), """")"),"")</f>
        <v/>
      </c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8"/>
      <c r="AO114" s="28"/>
      <c r="AP114" s="29"/>
      <c r="AQ114" s="29" t="str">
        <f t="shared" ref="AQ114:BL114" si="117">T114/T$2</f>
        <v>#N/A</v>
      </c>
      <c r="AR114" s="29" t="str">
        <f t="shared" si="117"/>
        <v>#DIV/0!</v>
      </c>
      <c r="AS114" s="29" t="str">
        <f t="shared" si="117"/>
        <v>#DIV/0!</v>
      </c>
      <c r="AT114" s="29" t="str">
        <f t="shared" si="117"/>
        <v>#DIV/0!</v>
      </c>
      <c r="AU114" s="29" t="str">
        <f t="shared" si="117"/>
        <v>#DIV/0!</v>
      </c>
      <c r="AV114" s="29" t="str">
        <f t="shared" si="117"/>
        <v>#DIV/0!</v>
      </c>
      <c r="AW114" s="29" t="str">
        <f t="shared" si="117"/>
        <v>#DIV/0!</v>
      </c>
      <c r="AX114" s="29" t="str">
        <f t="shared" si="117"/>
        <v>#DIV/0!</v>
      </c>
      <c r="AY114" s="29" t="str">
        <f t="shared" si="117"/>
        <v>#DIV/0!</v>
      </c>
      <c r="AZ114" s="29" t="str">
        <f t="shared" si="117"/>
        <v>#DIV/0!</v>
      </c>
      <c r="BA114" s="29" t="str">
        <f t="shared" si="117"/>
        <v>#DIV/0!</v>
      </c>
      <c r="BB114" s="29" t="str">
        <f t="shared" si="117"/>
        <v>#DIV/0!</v>
      </c>
      <c r="BC114" s="29" t="str">
        <f t="shared" si="117"/>
        <v>#DIV/0!</v>
      </c>
      <c r="BD114" s="29" t="str">
        <f t="shared" si="117"/>
        <v>#DIV/0!</v>
      </c>
      <c r="BE114" s="29" t="str">
        <f t="shared" si="117"/>
        <v>#DIV/0!</v>
      </c>
      <c r="BF114" s="29" t="str">
        <f t="shared" si="117"/>
        <v>#DIV/0!</v>
      </c>
      <c r="BG114" s="29" t="str">
        <f t="shared" si="117"/>
        <v>#DIV/0!</v>
      </c>
      <c r="BH114" s="29" t="str">
        <f t="shared" si="117"/>
        <v>#DIV/0!</v>
      </c>
      <c r="BI114" s="29" t="str">
        <f t="shared" si="117"/>
        <v>#DIV/0!</v>
      </c>
      <c r="BJ114" s="29" t="str">
        <f t="shared" si="117"/>
        <v>#DIV/0!</v>
      </c>
      <c r="BK114" s="29" t="str">
        <f t="shared" si="117"/>
        <v>#DIV/0!</v>
      </c>
      <c r="BL114" s="29" t="str">
        <f t="shared" si="117"/>
        <v>#DIV/0!</v>
      </c>
      <c r="BM114" s="29" t="str">
        <f t="shared" si="3"/>
        <v>#DIV/0!</v>
      </c>
    </row>
    <row r="115">
      <c r="A115" s="16" t="str">
        <f>IFERROR(__xludf.DUMMYFUNCTION("IFERROR(SPARKLINE(SORT(MAP(TRANSPOSE(AQ115:BL115), LAMBDA(val, IF(ISNUMBER(val), PERCENTRANK(AQ115:BL115, val)+0.01, 0))), SEQUENCE(COLUMNS(AQ115:BL115)), FALSE), {""charttype"",""column""; ""color"",""chartreuse""; ""ymin"", 0; ""ymax"", 1.01; ""highcolo"&amp;"r"", ""darkgreen""; ""lowcolor"", ""red""}), """")"),"")</f>
        <v/>
      </c>
      <c r="B115" s="17" t="str">
        <f t="shared" si="4"/>
        <v/>
      </c>
      <c r="C115" s="1" t="s">
        <v>617</v>
      </c>
      <c r="D115" s="30" t="str">
        <f>IFERROR(__xludf.DUMMYFUNCTION("IFERROR(GOOGLEFINANCE(C115, ""NAME""))"),"Cogent Communications Holdings Inc")</f>
        <v>Cogent Communications Holdings Inc</v>
      </c>
      <c r="E115" s="30" t="s">
        <v>52</v>
      </c>
      <c r="F115" s="38" t="str">
        <f>IFERROR(__xludf.DUMMYFUNCTION("( (GOOGLEFINANCE(C115, ""price"") - Q115) / Q115 ) / (R115 / 100)"),"Loading...")</f>
        <v>Loading...</v>
      </c>
      <c r="G115" s="20" t="str">
        <f>IFERROR(__xludf.DUMMYFUNCTION("AVERAGE(ARRAYFORMULA(100 * (QUERY(GOOGLEFINANCE(C115, ""high"", TODAY()-40, TODAY()), ""SELECT Col2 WHERE Col2 IS NOT NULL ORDER BY Col1 DESC LIMIT 20"", 0) / QUERY(GOOGLEFINANCE(C115, ""low"", TODAY()-40, TODAY()), ""SELECT Col2 WHERE Col2 IS NOT NULL OR"&amp;"DER BY Col1 DESC LIMIT 20"", 0) - 1)))"),"#N/A")</f>
        <v>#N/A</v>
      </c>
      <c r="H115" s="35" t="str">
        <f t="shared" si="6"/>
        <v>Illiquid</v>
      </c>
      <c r="I115" s="36" t="str">
        <f t="shared" si="7"/>
        <v>RVol Required</v>
      </c>
      <c r="J115" s="37">
        <f>IFERROR(__xludf.DUMMYFUNCTION("IFERROR(
  IF(C115="""",, 
    IFERROR(
      GOOGLEFINANCE(C115, ""price"") * GOOGLEFINANCE(C115, ""volumeavg""), 
      GOOGLEFINANCE(C115, ""price"") * AVERAGE(QUERY(GOOGLEFINANCE(C115, ""volume"", TODAY()-40, TODAY()), ""SELECT Col2 WHERE Col2 IS NOT "&amp;"NULL ORDER BY Col1 DESC LIMIT 20"", 0))
    )
  ), 
"""")"),1.7338056060000002E7)</f>
        <v>17338056.06</v>
      </c>
      <c r="K115" s="21">
        <f>IFERROR(__xludf.DUMMYFUNCTION("IFERROR(GOOGLEFINANCE(C115, ""changepct"") / 100, """")"),-0.0335)</f>
        <v>-0.0335</v>
      </c>
      <c r="L115" s="21" t="str">
        <f>IFERROR(__xludf.DUMMYFUNCTION("IFERROR((GOOGLEFINANCE(C115, ""price"") / INDEX(GOOGLEFINANCE(C115, ""price"", TODAY()-7, TODAY()), 2, 2)) - 1, """")"),"")</f>
        <v/>
      </c>
      <c r="M115" s="21" t="str">
        <f>IFERROR(__xludf.DUMMYFUNCTION("IFERROR((GOOGLEFINANCE(C115, ""price"") / INDEX(GOOGLEFINANCE(C115, ""price"", EDATE(TODAY(), -1), TODAY()), 2, 2)) - 1, """")"),"")</f>
        <v/>
      </c>
      <c r="N115" s="21" t="str">
        <f>IFERROR(__xludf.DUMMYFUNCTION("IFERROR((GOOGLEFINANCE(C115, ""price"") / INDEX(GOOGLEFINANCE(C115, ""price"", EDATE(TODAY(), -3), TODAY()), 2, 2)) - 1, """")"),"")</f>
        <v/>
      </c>
      <c r="O115" s="21" t="str">
        <f>IFERROR(__xludf.DUMMYFUNCTION("IFERROR((GOOGLEFINANCE(C115, ""price"") / INDEX(GOOGLEFINANCE(C115, ""price"", EDATE(TODAY(), -6), TODAY()), 2, 2)) - 1, """")"),"")</f>
        <v/>
      </c>
      <c r="P115" s="21" t="str">
        <f>IFERROR(__xludf.DUMMYFUNCTION("IFERROR((GOOGLEFINANCE(C115, ""price"") / INDEX(GOOGLEFINANCE(C115, ""price"", EDATE(TODAY(), -12), TODAY()), 2, 2)) - 1, """")"),"")</f>
        <v/>
      </c>
      <c r="Q115" s="6" t="str">
        <f>IFERROR(__xludf.DUMMYFUNCTION("AVERAGE(QUERY(GOOGLEFINANCE(C115, ""price"", TODAY()-80, TODAY()), ""SELECT Col2 WHERE Col2 IS NOT NULL ORDER BY Col1 DESC LIMIT 50"", 0))"),"#N/A")</f>
        <v>#N/A</v>
      </c>
      <c r="R115" s="24" t="str">
        <f>IFERROR(__xludf.DUMMYFUNCTION("IFERROR(
  LET(
    data, QUERY(GOOGLEFINANCE(C115,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GOOGLEFINANCE(C115, ""price"")) * 100,
    IF(calc=0, G115, calc)
  ), 
G115)"),"#N/A")</f>
        <v>#N/A</v>
      </c>
      <c r="S115" s="8" t="s">
        <v>15</v>
      </c>
      <c r="T115" s="26" t="str">
        <f>IFERROR(__xludf.DUMMYFUNCTION("IFERROR(TRANSPOSE(QUERY(IFERROR(SORT(GOOGLEFINANCE(C115, ""price"", WORKDAY(TODAY(), -40), TODAY()), 1, FALSE)), ""select Col2 where Col2 is not null limit 22 label Col2 ''"", 0)), """")"),"")</f>
        <v/>
      </c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8"/>
      <c r="AO115" s="28"/>
      <c r="AP115" s="29"/>
      <c r="AQ115" s="29" t="str">
        <f t="shared" ref="AQ115:BL115" si="118">T115/T$2</f>
        <v>#N/A</v>
      </c>
      <c r="AR115" s="29" t="str">
        <f t="shared" si="118"/>
        <v>#DIV/0!</v>
      </c>
      <c r="AS115" s="29" t="str">
        <f t="shared" si="118"/>
        <v>#DIV/0!</v>
      </c>
      <c r="AT115" s="29" t="str">
        <f t="shared" si="118"/>
        <v>#DIV/0!</v>
      </c>
      <c r="AU115" s="29" t="str">
        <f t="shared" si="118"/>
        <v>#DIV/0!</v>
      </c>
      <c r="AV115" s="29" t="str">
        <f t="shared" si="118"/>
        <v>#DIV/0!</v>
      </c>
      <c r="AW115" s="29" t="str">
        <f t="shared" si="118"/>
        <v>#DIV/0!</v>
      </c>
      <c r="AX115" s="29" t="str">
        <f t="shared" si="118"/>
        <v>#DIV/0!</v>
      </c>
      <c r="AY115" s="29" t="str">
        <f t="shared" si="118"/>
        <v>#DIV/0!</v>
      </c>
      <c r="AZ115" s="29" t="str">
        <f t="shared" si="118"/>
        <v>#DIV/0!</v>
      </c>
      <c r="BA115" s="29" t="str">
        <f t="shared" si="118"/>
        <v>#DIV/0!</v>
      </c>
      <c r="BB115" s="29" t="str">
        <f t="shared" si="118"/>
        <v>#DIV/0!</v>
      </c>
      <c r="BC115" s="29" t="str">
        <f t="shared" si="118"/>
        <v>#DIV/0!</v>
      </c>
      <c r="BD115" s="29" t="str">
        <f t="shared" si="118"/>
        <v>#DIV/0!</v>
      </c>
      <c r="BE115" s="29" t="str">
        <f t="shared" si="118"/>
        <v>#DIV/0!</v>
      </c>
      <c r="BF115" s="29" t="str">
        <f t="shared" si="118"/>
        <v>#DIV/0!</v>
      </c>
      <c r="BG115" s="29" t="str">
        <f t="shared" si="118"/>
        <v>#DIV/0!</v>
      </c>
      <c r="BH115" s="29" t="str">
        <f t="shared" si="118"/>
        <v>#DIV/0!</v>
      </c>
      <c r="BI115" s="29" t="str">
        <f t="shared" si="118"/>
        <v>#DIV/0!</v>
      </c>
      <c r="BJ115" s="29" t="str">
        <f t="shared" si="118"/>
        <v>#DIV/0!</v>
      </c>
      <c r="BK115" s="29" t="str">
        <f t="shared" si="118"/>
        <v>#DIV/0!</v>
      </c>
      <c r="BL115" s="29" t="str">
        <f t="shared" si="118"/>
        <v>#DIV/0!</v>
      </c>
      <c r="BM115" s="29" t="str">
        <f t="shared" si="3"/>
        <v>#DIV/0!</v>
      </c>
    </row>
    <row r="116">
      <c r="A116" s="16" t="str">
        <f>IFERROR(__xludf.DUMMYFUNCTION("IFERROR(SPARKLINE(SORT(MAP(TRANSPOSE(AQ116:BL116), LAMBDA(val, IF(ISNUMBER(val), PERCENTRANK(AQ116:BL116, val)+0.01, 0))), SEQUENCE(COLUMNS(AQ116:BL116)), FALSE), {""charttype"",""column""; ""color"",""chartreuse""; ""ymin"", 0; ""ymax"", 1.01; ""highcolo"&amp;"r"", ""darkgreen""; ""lowcolor"", ""red""}), """")"),"")</f>
        <v/>
      </c>
      <c r="B116" s="17" t="str">
        <f t="shared" si="4"/>
        <v/>
      </c>
      <c r="C116" s="1" t="s">
        <v>620</v>
      </c>
      <c r="D116" s="30" t="str">
        <f>IFERROR(__xludf.DUMMYFUNCTION("IFERROR(GOOGLEFINANCE(C116, ""NAME""))"),"Hello Group Inc")</f>
        <v>Hello Group Inc</v>
      </c>
      <c r="E116" s="30" t="s">
        <v>69</v>
      </c>
      <c r="F116" s="33" t="str">
        <f>IFERROR(__xludf.DUMMYFUNCTION("( (GOOGLEFINANCE(C116, ""price"") - Q116) / Q116 ) / (R116 / 100)"),"Loading...")</f>
        <v>Loading...</v>
      </c>
      <c r="G116" s="20" t="str">
        <f>IFERROR(__xludf.DUMMYFUNCTION("AVERAGE(ARRAYFORMULA(100 * (QUERY(GOOGLEFINANCE(C116, ""high"", TODAY()-40, TODAY()), ""SELECT Col2 WHERE Col2 IS NOT NULL ORDER BY Col1 DESC LIMIT 20"", 0) / QUERY(GOOGLEFINANCE(C116, ""low"", TODAY()-40, TODAY()), ""SELECT Col2 WHERE Col2 IS NOT NULL OR"&amp;"DER BY Col1 DESC LIMIT 20"", 0) - 1)))"),"#N/A")</f>
        <v>#N/A</v>
      </c>
      <c r="H116" s="35" t="str">
        <f t="shared" si="6"/>
        <v>Illiquid</v>
      </c>
      <c r="I116" s="36" t="str">
        <f t="shared" si="7"/>
        <v>RVol Required</v>
      </c>
      <c r="J116" s="37">
        <f>IFERROR(__xludf.DUMMYFUNCTION("IFERROR(
  IF(C116="""",, 
    IFERROR(
      GOOGLEFINANCE(C116, ""price"") * GOOGLEFINANCE(C116, ""volumeavg""), 
      GOOGLEFINANCE(C116, ""price"") * AVERAGE(QUERY(GOOGLEFINANCE(C116, ""volume"", TODAY()-40, TODAY()), ""SELECT Col2 WHERE Col2 IS NOT "&amp;"NULL ORDER BY Col1 DESC LIMIT 20"", 0))
    )
  ), 
"""")"),4829053.8100000005)</f>
        <v>4829053.81</v>
      </c>
      <c r="K116" s="21">
        <f>IFERROR(__xludf.DUMMYFUNCTION("IFERROR(GOOGLEFINANCE(C116, ""changepct"") / 100, """")"),-0.0168)</f>
        <v>-0.0168</v>
      </c>
      <c r="L116" s="21" t="str">
        <f>IFERROR(__xludf.DUMMYFUNCTION("IFERROR((GOOGLEFINANCE(C116, ""price"") / INDEX(GOOGLEFINANCE(C116, ""price"", TODAY()-7, TODAY()), 2, 2)) - 1, """")"),"")</f>
        <v/>
      </c>
      <c r="M116" s="21" t="str">
        <f>IFERROR(__xludf.DUMMYFUNCTION("IFERROR((GOOGLEFINANCE(C116, ""price"") / INDEX(GOOGLEFINANCE(C116, ""price"", EDATE(TODAY(), -1), TODAY()), 2, 2)) - 1, """")"),"")</f>
        <v/>
      </c>
      <c r="N116" s="21" t="str">
        <f>IFERROR(__xludf.DUMMYFUNCTION("IFERROR((GOOGLEFINANCE(C116, ""price"") / INDEX(GOOGLEFINANCE(C116, ""price"", EDATE(TODAY(), -3), TODAY()), 2, 2)) - 1, """")"),"")</f>
        <v/>
      </c>
      <c r="O116" s="21" t="str">
        <f>IFERROR(__xludf.DUMMYFUNCTION("IFERROR((GOOGLEFINANCE(C116, ""price"") / INDEX(GOOGLEFINANCE(C116, ""price"", EDATE(TODAY(), -6), TODAY()), 2, 2)) - 1, """")"),"")</f>
        <v/>
      </c>
      <c r="P116" s="21" t="str">
        <f>IFERROR(__xludf.DUMMYFUNCTION("IFERROR((GOOGLEFINANCE(C116, ""price"") / INDEX(GOOGLEFINANCE(C116, ""price"", EDATE(TODAY(), -12), TODAY()), 2, 2)) - 1, """")"),"")</f>
        <v/>
      </c>
      <c r="Q116" s="6" t="str">
        <f>IFERROR(__xludf.DUMMYFUNCTION("AVERAGE(QUERY(GOOGLEFINANCE(C116, ""price"", TODAY()-80, TODAY()), ""SELECT Col2 WHERE Col2 IS NOT NULL ORDER BY Col1 DESC LIMIT 50"", 0))"),"#N/A")</f>
        <v>#N/A</v>
      </c>
      <c r="R116" s="24" t="str">
        <f>IFERROR(__xludf.DUMMYFUNCTION("IFERROR(
  LET(
    data, QUERY(GOOGLEFINANCE(C116,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GOOGLEFINANCE(C116, ""price"")) * 100,
    IF(calc=0, G116, calc)
  ), 
G116)"),"#N/A")</f>
        <v>#N/A</v>
      </c>
      <c r="S116" s="8" t="s">
        <v>15</v>
      </c>
      <c r="T116" s="26" t="str">
        <f>IFERROR(__xludf.DUMMYFUNCTION("IFERROR(TRANSPOSE(QUERY(IFERROR(SORT(GOOGLEFINANCE(C116, ""price"", WORKDAY(TODAY(), -40), TODAY()), 1, FALSE)), ""select Col2 where Col2 is not null limit 22 label Col2 ''"", 0)), """")"),"")</f>
        <v/>
      </c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8"/>
      <c r="AO116" s="28"/>
      <c r="AP116" s="29"/>
      <c r="AQ116" s="29" t="str">
        <f t="shared" ref="AQ116:BL116" si="119">T116/T$2</f>
        <v>#N/A</v>
      </c>
      <c r="AR116" s="29" t="str">
        <f t="shared" si="119"/>
        <v>#DIV/0!</v>
      </c>
      <c r="AS116" s="29" t="str">
        <f t="shared" si="119"/>
        <v>#DIV/0!</v>
      </c>
      <c r="AT116" s="29" t="str">
        <f t="shared" si="119"/>
        <v>#DIV/0!</v>
      </c>
      <c r="AU116" s="29" t="str">
        <f t="shared" si="119"/>
        <v>#DIV/0!</v>
      </c>
      <c r="AV116" s="29" t="str">
        <f t="shared" si="119"/>
        <v>#DIV/0!</v>
      </c>
      <c r="AW116" s="29" t="str">
        <f t="shared" si="119"/>
        <v>#DIV/0!</v>
      </c>
      <c r="AX116" s="29" t="str">
        <f t="shared" si="119"/>
        <v>#DIV/0!</v>
      </c>
      <c r="AY116" s="29" t="str">
        <f t="shared" si="119"/>
        <v>#DIV/0!</v>
      </c>
      <c r="AZ116" s="29" t="str">
        <f t="shared" si="119"/>
        <v>#DIV/0!</v>
      </c>
      <c r="BA116" s="29" t="str">
        <f t="shared" si="119"/>
        <v>#DIV/0!</v>
      </c>
      <c r="BB116" s="29" t="str">
        <f t="shared" si="119"/>
        <v>#DIV/0!</v>
      </c>
      <c r="BC116" s="29" t="str">
        <f t="shared" si="119"/>
        <v>#DIV/0!</v>
      </c>
      <c r="BD116" s="29" t="str">
        <f t="shared" si="119"/>
        <v>#DIV/0!</v>
      </c>
      <c r="BE116" s="29" t="str">
        <f t="shared" si="119"/>
        <v>#DIV/0!</v>
      </c>
      <c r="BF116" s="29" t="str">
        <f t="shared" si="119"/>
        <v>#DIV/0!</v>
      </c>
      <c r="BG116" s="29" t="str">
        <f t="shared" si="119"/>
        <v>#DIV/0!</v>
      </c>
      <c r="BH116" s="29" t="str">
        <f t="shared" si="119"/>
        <v>#DIV/0!</v>
      </c>
      <c r="BI116" s="29" t="str">
        <f t="shared" si="119"/>
        <v>#DIV/0!</v>
      </c>
      <c r="BJ116" s="29" t="str">
        <f t="shared" si="119"/>
        <v>#DIV/0!</v>
      </c>
      <c r="BK116" s="29" t="str">
        <f t="shared" si="119"/>
        <v>#DIV/0!</v>
      </c>
      <c r="BL116" s="29" t="str">
        <f t="shared" si="119"/>
        <v>#DIV/0!</v>
      </c>
      <c r="BM116" s="29" t="str">
        <f t="shared" si="3"/>
        <v>#DIV/0!</v>
      </c>
    </row>
    <row r="117">
      <c r="A117" s="16" t="str">
        <f>IFERROR(__xludf.DUMMYFUNCTION("IFERROR(SPARKLINE(SORT(MAP(TRANSPOSE(AQ117:BL117), LAMBDA(val, IF(ISNUMBER(val), PERCENTRANK(AQ117:BL117, val)+0.01, 0))), SEQUENCE(COLUMNS(AQ117:BL117)), FALSE), {""charttype"",""column""; ""color"",""chartreuse""; ""ymin"", 0; ""ymax"", 1.01; ""highcolo"&amp;"r"", ""darkgreen""; ""lowcolor"", ""red""}), """")"),"")</f>
        <v/>
      </c>
      <c r="B117" s="17" t="str">
        <f t="shared" si="4"/>
        <v/>
      </c>
      <c r="C117" s="1" t="s">
        <v>624</v>
      </c>
      <c r="D117" s="30" t="str">
        <f>IFERROR(__xludf.DUMMYFUNCTION("IFERROR(GOOGLEFINANCE(C117, ""NAME""))"),"Nerdwallet Inc")</f>
        <v>Nerdwallet Inc</v>
      </c>
      <c r="E117" s="30" t="s">
        <v>69</v>
      </c>
      <c r="F117" s="33" t="str">
        <f>IFERROR(__xludf.DUMMYFUNCTION("( (GOOGLEFINANCE(C117, ""price"") - Q117) / Q117 ) / (R117 / 100)"),"Loading...")</f>
        <v>Loading...</v>
      </c>
      <c r="G117" s="20" t="str">
        <f>IFERROR(__xludf.DUMMYFUNCTION("AVERAGE(ARRAYFORMULA(100 * (QUERY(GOOGLEFINANCE(C117, ""high"", TODAY()-40, TODAY()), ""SELECT Col2 WHERE Col2 IS NOT NULL ORDER BY Col1 DESC LIMIT 20"", 0) / QUERY(GOOGLEFINANCE(C117, ""low"", TODAY()-40, TODAY()), ""SELECT Col2 WHERE Col2 IS NOT NULL OR"&amp;"DER BY Col1 DESC LIMIT 20"", 0) - 1)))"),"#N/A")</f>
        <v>#N/A</v>
      </c>
      <c r="H117" s="35" t="str">
        <f t="shared" si="6"/>
        <v>Illiquid</v>
      </c>
      <c r="I117" s="36" t="str">
        <f t="shared" si="7"/>
        <v>RVol Required</v>
      </c>
      <c r="J117" s="37">
        <f>IFERROR(__xludf.DUMMYFUNCTION("IFERROR(
  IF(C117="""",, 
    IFERROR(
      GOOGLEFINANCE(C117, ""price"") * GOOGLEFINANCE(C117, ""volumeavg""), 
      GOOGLEFINANCE(C117, ""price"") * AVERAGE(QUERY(GOOGLEFINANCE(C117, ""volume"", TODAY()-40, TODAY()), ""SELECT Col2 WHERE Col2 IS NOT "&amp;"NULL ORDER BY Col1 DESC LIMIT 20"", 0))
    )
  ), 
"""")"),7717643.68)</f>
        <v>7717643.68</v>
      </c>
      <c r="K117" s="21">
        <f>IFERROR(__xludf.DUMMYFUNCTION("IFERROR(GOOGLEFINANCE(C117, ""changepct"") / 100, """")"),-5.0E-4)</f>
        <v>-0.0005</v>
      </c>
      <c r="L117" s="21" t="str">
        <f>IFERROR(__xludf.DUMMYFUNCTION("IFERROR((GOOGLEFINANCE(C117, ""price"") / INDEX(GOOGLEFINANCE(C117, ""price"", TODAY()-7, TODAY()), 2, 2)) - 1, """")"),"")</f>
        <v/>
      </c>
      <c r="M117" s="21" t="str">
        <f>IFERROR(__xludf.DUMMYFUNCTION("IFERROR((GOOGLEFINANCE(C117, ""price"") / INDEX(GOOGLEFINANCE(C117, ""price"", EDATE(TODAY(), -1), TODAY()), 2, 2)) - 1, """")"),"")</f>
        <v/>
      </c>
      <c r="N117" s="21" t="str">
        <f>IFERROR(__xludf.DUMMYFUNCTION("IFERROR((GOOGLEFINANCE(C117, ""price"") / INDEX(GOOGLEFINANCE(C117, ""price"", EDATE(TODAY(), -3), TODAY()), 2, 2)) - 1, """")"),"")</f>
        <v/>
      </c>
      <c r="O117" s="21" t="str">
        <f>IFERROR(__xludf.DUMMYFUNCTION("IFERROR((GOOGLEFINANCE(C117, ""price"") / INDEX(GOOGLEFINANCE(C117, ""price"", EDATE(TODAY(), -6), TODAY()), 2, 2)) - 1, """")"),"")</f>
        <v/>
      </c>
      <c r="P117" s="21" t="str">
        <f>IFERROR(__xludf.DUMMYFUNCTION("IFERROR((GOOGLEFINANCE(C117, ""price"") / INDEX(GOOGLEFINANCE(C117, ""price"", EDATE(TODAY(), -12), TODAY()), 2, 2)) - 1, """")"),"")</f>
        <v/>
      </c>
      <c r="Q117" s="6" t="str">
        <f>IFERROR(__xludf.DUMMYFUNCTION("AVERAGE(QUERY(GOOGLEFINANCE(C117, ""price"", TODAY()-80, TODAY()), ""SELECT Col2 WHERE Col2 IS NOT NULL ORDER BY Col1 DESC LIMIT 50"", 0))"),"#N/A")</f>
        <v>#N/A</v>
      </c>
      <c r="R117" s="24" t="str">
        <f>IFERROR(__xludf.DUMMYFUNCTION("IFERROR(
  LET(
    data, QUERY(GOOGLEFINANCE(C117,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GOOGLEFINANCE(C117, ""price"")) * 100,
    IF(calc=0, G117, calc)
  ), 
G117)"),"#N/A")</f>
        <v>#N/A</v>
      </c>
      <c r="S117" s="8" t="s">
        <v>15</v>
      </c>
      <c r="T117" s="26" t="str">
        <f>IFERROR(__xludf.DUMMYFUNCTION("IFERROR(TRANSPOSE(QUERY(IFERROR(SORT(GOOGLEFINANCE(C117, ""price"", WORKDAY(TODAY(), -40), TODAY()), 1, FALSE)), ""select Col2 where Col2 is not null limit 22 label Col2 ''"", 0)), """")"),"")</f>
        <v/>
      </c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8"/>
      <c r="AO117" s="28"/>
      <c r="AP117" s="29"/>
      <c r="AQ117" s="29" t="str">
        <f t="shared" ref="AQ117:BL117" si="120">T117/T$2</f>
        <v>#N/A</v>
      </c>
      <c r="AR117" s="29" t="str">
        <f t="shared" si="120"/>
        <v>#DIV/0!</v>
      </c>
      <c r="AS117" s="29" t="str">
        <f t="shared" si="120"/>
        <v>#DIV/0!</v>
      </c>
      <c r="AT117" s="29" t="str">
        <f t="shared" si="120"/>
        <v>#DIV/0!</v>
      </c>
      <c r="AU117" s="29" t="str">
        <f t="shared" si="120"/>
        <v>#DIV/0!</v>
      </c>
      <c r="AV117" s="29" t="str">
        <f t="shared" si="120"/>
        <v>#DIV/0!</v>
      </c>
      <c r="AW117" s="29" t="str">
        <f t="shared" si="120"/>
        <v>#DIV/0!</v>
      </c>
      <c r="AX117" s="29" t="str">
        <f t="shared" si="120"/>
        <v>#DIV/0!</v>
      </c>
      <c r="AY117" s="29" t="str">
        <f t="shared" si="120"/>
        <v>#DIV/0!</v>
      </c>
      <c r="AZ117" s="29" t="str">
        <f t="shared" si="120"/>
        <v>#DIV/0!</v>
      </c>
      <c r="BA117" s="29" t="str">
        <f t="shared" si="120"/>
        <v>#DIV/0!</v>
      </c>
      <c r="BB117" s="29" t="str">
        <f t="shared" si="120"/>
        <v>#DIV/0!</v>
      </c>
      <c r="BC117" s="29" t="str">
        <f t="shared" si="120"/>
        <v>#DIV/0!</v>
      </c>
      <c r="BD117" s="29" t="str">
        <f t="shared" si="120"/>
        <v>#DIV/0!</v>
      </c>
      <c r="BE117" s="29" t="str">
        <f t="shared" si="120"/>
        <v>#DIV/0!</v>
      </c>
      <c r="BF117" s="29" t="str">
        <f t="shared" si="120"/>
        <v>#DIV/0!</v>
      </c>
      <c r="BG117" s="29" t="str">
        <f t="shared" si="120"/>
        <v>#DIV/0!</v>
      </c>
      <c r="BH117" s="29" t="str">
        <f t="shared" si="120"/>
        <v>#DIV/0!</v>
      </c>
      <c r="BI117" s="29" t="str">
        <f t="shared" si="120"/>
        <v>#DIV/0!</v>
      </c>
      <c r="BJ117" s="29" t="str">
        <f t="shared" si="120"/>
        <v>#DIV/0!</v>
      </c>
      <c r="BK117" s="29" t="str">
        <f t="shared" si="120"/>
        <v>#DIV/0!</v>
      </c>
      <c r="BL117" s="29" t="str">
        <f t="shared" si="120"/>
        <v>#DIV/0!</v>
      </c>
      <c r="BM117" s="29" t="str">
        <f t="shared" si="3"/>
        <v>#DIV/0!</v>
      </c>
    </row>
    <row r="118">
      <c r="A118" s="16" t="str">
        <f>IFERROR(__xludf.DUMMYFUNCTION("IFERROR(SPARKLINE(SORT(MAP(TRANSPOSE(AQ118:BL118), LAMBDA(val, IF(ISNUMBER(val), PERCENTRANK(AQ118:BL118, val)+0.01, 0))), SEQUENCE(COLUMNS(AQ118:BL118)), FALSE), {""charttype"",""column""; ""color"",""chartreuse""; ""ymin"", 0; ""ymax"", 1.01; ""highcolo"&amp;"r"", ""darkgreen""; ""lowcolor"", ""red""}), """")"),"")</f>
        <v/>
      </c>
      <c r="B118" s="17" t="str">
        <f t="shared" si="4"/>
        <v/>
      </c>
      <c r="C118" s="1" t="s">
        <v>628</v>
      </c>
      <c r="D118" s="30" t="str">
        <f>IFERROR(__xludf.DUMMYFUNCTION("IFERROR(GOOGLEFINANCE(C118, ""NAME""))"),"Yelp Inc")</f>
        <v>Yelp Inc</v>
      </c>
      <c r="E118" s="30" t="s">
        <v>69</v>
      </c>
      <c r="F118" s="38" t="str">
        <f>IFERROR(__xludf.DUMMYFUNCTION("( (GOOGLEFINANCE(C118, ""price"") - Q118) / Q118 ) / (R118 / 100)"),"Loading...")</f>
        <v>Loading...</v>
      </c>
      <c r="G118" s="20" t="str">
        <f>IFERROR(__xludf.DUMMYFUNCTION("AVERAGE(ARRAYFORMULA(100 * (QUERY(GOOGLEFINANCE(C118, ""high"", TODAY()-40, TODAY()), ""SELECT Col2 WHERE Col2 IS NOT NULL ORDER BY Col1 DESC LIMIT 20"", 0) / QUERY(GOOGLEFINANCE(C118, ""low"", TODAY()-40, TODAY()), ""SELECT Col2 WHERE Col2 IS NOT NULL OR"&amp;"DER BY Col1 DESC LIMIT 20"", 0) - 1)))"),"#N/A")</f>
        <v>#N/A</v>
      </c>
      <c r="H118" s="35" t="str">
        <f t="shared" si="6"/>
        <v>Illiquid</v>
      </c>
      <c r="I118" s="36" t="str">
        <f t="shared" si="7"/>
        <v>RVol Required</v>
      </c>
      <c r="J118" s="37">
        <f>IFERROR(__xludf.DUMMYFUNCTION("IFERROR(
  IF(C118="""",, 
    IFERROR(
      GOOGLEFINANCE(C118, ""price"") * GOOGLEFINANCE(C118, ""volumeavg""), 
      GOOGLEFINANCE(C118, ""price"") * AVERAGE(QUERY(GOOGLEFINANCE(C118, ""volume"", TODAY()-40, TODAY()), ""SELECT Col2 WHERE Col2 IS NOT "&amp;"NULL ORDER BY Col1 DESC LIMIT 20"", 0))
    )
  ), 
"""")"),2.8312936959999997E7)</f>
        <v>28312936.96</v>
      </c>
      <c r="K118" s="21">
        <f>IFERROR(__xludf.DUMMYFUNCTION("IFERROR(GOOGLEFINANCE(C118, ""changepct"") / 100, """")"),-0.026000000000000002)</f>
        <v>-0.026</v>
      </c>
      <c r="L118" s="21" t="str">
        <f>IFERROR(__xludf.DUMMYFUNCTION("IFERROR((GOOGLEFINANCE(C118, ""price"") / INDEX(GOOGLEFINANCE(C118, ""price"", TODAY()-7, TODAY()), 2, 2)) - 1, """")"),"")</f>
        <v/>
      </c>
      <c r="M118" s="21" t="str">
        <f>IFERROR(__xludf.DUMMYFUNCTION("IFERROR((GOOGLEFINANCE(C118, ""price"") / INDEX(GOOGLEFINANCE(C118, ""price"", EDATE(TODAY(), -1), TODAY()), 2, 2)) - 1, """")"),"")</f>
        <v/>
      </c>
      <c r="N118" s="21" t="str">
        <f>IFERROR(__xludf.DUMMYFUNCTION("IFERROR((GOOGLEFINANCE(C118, ""price"") / INDEX(GOOGLEFINANCE(C118, ""price"", EDATE(TODAY(), -3), TODAY()), 2, 2)) - 1, """")"),"")</f>
        <v/>
      </c>
      <c r="O118" s="21" t="str">
        <f>IFERROR(__xludf.DUMMYFUNCTION("IFERROR((GOOGLEFINANCE(C118, ""price"") / INDEX(GOOGLEFINANCE(C118, ""price"", EDATE(TODAY(), -6), TODAY()), 2, 2)) - 1, """")"),"")</f>
        <v/>
      </c>
      <c r="P118" s="21" t="str">
        <f>IFERROR(__xludf.DUMMYFUNCTION("IFERROR((GOOGLEFINANCE(C118, ""price"") / INDEX(GOOGLEFINANCE(C118, ""price"", EDATE(TODAY(), -12), TODAY()), 2, 2)) - 1, """")"),"")</f>
        <v/>
      </c>
      <c r="Q118" s="6" t="str">
        <f>IFERROR(__xludf.DUMMYFUNCTION("AVERAGE(QUERY(GOOGLEFINANCE(C118, ""price"", TODAY()-80, TODAY()), ""SELECT Col2 WHERE Col2 IS NOT NULL ORDER BY Col1 DESC LIMIT 50"", 0))"),"#N/A")</f>
        <v>#N/A</v>
      </c>
      <c r="R118" s="24" t="str">
        <f>IFERROR(__xludf.DUMMYFUNCTION("IFERROR(
  LET(
    data, QUERY(GOOGLEFINANCE(C118,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GOOGLEFINANCE(C118, ""price"")) * 100,
    IF(calc=0, G118, calc)
  ), 
G118)"),"#N/A")</f>
        <v>#N/A</v>
      </c>
      <c r="S118" s="8" t="s">
        <v>15</v>
      </c>
      <c r="T118" s="26" t="str">
        <f>IFERROR(__xludf.DUMMYFUNCTION("IFERROR(TRANSPOSE(QUERY(IFERROR(SORT(GOOGLEFINANCE(C118, ""price"", WORKDAY(TODAY(), -40), TODAY()), 1, FALSE)), ""select Col2 where Col2 is not null limit 22 label Col2 ''"", 0)), """")"),"")</f>
        <v/>
      </c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8"/>
      <c r="AO118" s="28"/>
      <c r="AP118" s="29"/>
      <c r="AQ118" s="29" t="str">
        <f t="shared" ref="AQ118:BL118" si="121">T118/T$2</f>
        <v>#N/A</v>
      </c>
      <c r="AR118" s="29" t="str">
        <f t="shared" si="121"/>
        <v>#DIV/0!</v>
      </c>
      <c r="AS118" s="29" t="str">
        <f t="shared" si="121"/>
        <v>#DIV/0!</v>
      </c>
      <c r="AT118" s="29" t="str">
        <f t="shared" si="121"/>
        <v>#DIV/0!</v>
      </c>
      <c r="AU118" s="29" t="str">
        <f t="shared" si="121"/>
        <v>#DIV/0!</v>
      </c>
      <c r="AV118" s="29" t="str">
        <f t="shared" si="121"/>
        <v>#DIV/0!</v>
      </c>
      <c r="AW118" s="29" t="str">
        <f t="shared" si="121"/>
        <v>#DIV/0!</v>
      </c>
      <c r="AX118" s="29" t="str">
        <f t="shared" si="121"/>
        <v>#DIV/0!</v>
      </c>
      <c r="AY118" s="29" t="str">
        <f t="shared" si="121"/>
        <v>#DIV/0!</v>
      </c>
      <c r="AZ118" s="29" t="str">
        <f t="shared" si="121"/>
        <v>#DIV/0!</v>
      </c>
      <c r="BA118" s="29" t="str">
        <f t="shared" si="121"/>
        <v>#DIV/0!</v>
      </c>
      <c r="BB118" s="29" t="str">
        <f t="shared" si="121"/>
        <v>#DIV/0!</v>
      </c>
      <c r="BC118" s="29" t="str">
        <f t="shared" si="121"/>
        <v>#DIV/0!</v>
      </c>
      <c r="BD118" s="29" t="str">
        <f t="shared" si="121"/>
        <v>#DIV/0!</v>
      </c>
      <c r="BE118" s="29" t="str">
        <f t="shared" si="121"/>
        <v>#DIV/0!</v>
      </c>
      <c r="BF118" s="29" t="str">
        <f t="shared" si="121"/>
        <v>#DIV/0!</v>
      </c>
      <c r="BG118" s="29" t="str">
        <f t="shared" si="121"/>
        <v>#DIV/0!</v>
      </c>
      <c r="BH118" s="29" t="str">
        <f t="shared" si="121"/>
        <v>#DIV/0!</v>
      </c>
      <c r="BI118" s="29" t="str">
        <f t="shared" si="121"/>
        <v>#DIV/0!</v>
      </c>
      <c r="BJ118" s="29" t="str">
        <f t="shared" si="121"/>
        <v>#DIV/0!</v>
      </c>
      <c r="BK118" s="29" t="str">
        <f t="shared" si="121"/>
        <v>#DIV/0!</v>
      </c>
      <c r="BL118" s="29" t="str">
        <f t="shared" si="121"/>
        <v>#DIV/0!</v>
      </c>
      <c r="BM118" s="29" t="str">
        <f t="shared" si="3"/>
        <v>#DIV/0!</v>
      </c>
    </row>
    <row r="119">
      <c r="A119" s="16" t="str">
        <f>IFERROR(__xludf.DUMMYFUNCTION("IFERROR(SPARKLINE(SORT(MAP(TRANSPOSE(AQ119:BL119), LAMBDA(val, IF(ISNUMBER(val), PERCENTRANK(AQ119:BL119, val)+0.01, 0))), SEQUENCE(COLUMNS(AQ119:BL119)), FALSE), {""charttype"",""column""; ""color"",""chartreuse""; ""ymin"", 0; ""ymax"", 1.01; ""highcolo"&amp;"r"", ""darkgreen""; ""lowcolor"", ""red""}), """")"),"")</f>
        <v/>
      </c>
      <c r="B119" s="17" t="str">
        <f t="shared" si="4"/>
        <v/>
      </c>
      <c r="C119" s="1" t="s">
        <v>637</v>
      </c>
      <c r="D119" s="30" t="str">
        <f>IFERROR(__xludf.DUMMYFUNCTION("IFERROR(GOOGLEFINANCE(C119, ""NAME""))"),"TKO Group Holdings Inc")</f>
        <v>TKO Group Holdings Inc</v>
      </c>
      <c r="E119" s="30" t="s">
        <v>62</v>
      </c>
      <c r="F119" s="33" t="str">
        <f>IFERROR(__xludf.DUMMYFUNCTION("( (GOOGLEFINANCE(C119, ""price"") - Q119) / Q119 ) / (R119 / 100)"),"Loading...")</f>
        <v>Loading...</v>
      </c>
      <c r="G119" s="20" t="str">
        <f>IFERROR(__xludf.DUMMYFUNCTION("AVERAGE(ARRAYFORMULA(100 * (QUERY(GOOGLEFINANCE(C119, ""high"", TODAY()-40, TODAY()), ""SELECT Col2 WHERE Col2 IS NOT NULL ORDER BY Col1 DESC LIMIT 20"", 0) / QUERY(GOOGLEFINANCE(C119, ""low"", TODAY()-40, TODAY()), ""SELECT Col2 WHERE Col2 IS NOT NULL OR"&amp;"DER BY Col1 DESC LIMIT 20"", 0) - 1)))"),"#N/A")</f>
        <v>#N/A</v>
      </c>
      <c r="H119" s="35" t="str">
        <f t="shared" si="6"/>
        <v>Liquid</v>
      </c>
      <c r="I119" s="36" t="str">
        <f t="shared" si="7"/>
        <v>RVol Required</v>
      </c>
      <c r="J119" s="37">
        <f>IFERROR(__xludf.DUMMYFUNCTION("IFERROR(
  IF(C119="""",, 
    IFERROR(
      GOOGLEFINANCE(C119, ""price"") * GOOGLEFINANCE(C119, ""volumeavg""), 
      GOOGLEFINANCE(C119, ""price"") * AVERAGE(QUERY(GOOGLEFINANCE(C119, ""volume"", TODAY()-40, TODAY()), ""SELECT Col2 WHERE Col2 IS NOT "&amp;"NULL ORDER BY Col1 DESC LIMIT 20"", 0))
    )
  ), 
"""")"),1.95742521E8)</f>
        <v>195742521</v>
      </c>
      <c r="K119" s="21">
        <f>IFERROR(__xludf.DUMMYFUNCTION("IFERROR(GOOGLEFINANCE(C119, ""changepct"") / 100, """")"),-0.003)</f>
        <v>-0.003</v>
      </c>
      <c r="L119" s="21" t="str">
        <f>IFERROR(__xludf.DUMMYFUNCTION("IFERROR((GOOGLEFINANCE(C119, ""price"") / INDEX(GOOGLEFINANCE(C119, ""price"", TODAY()-7, TODAY()), 2, 2)) - 1, """")"),"")</f>
        <v/>
      </c>
      <c r="M119" s="21" t="str">
        <f>IFERROR(__xludf.DUMMYFUNCTION("IFERROR((GOOGLEFINANCE(C119, ""price"") / INDEX(GOOGLEFINANCE(C119, ""price"", EDATE(TODAY(), -1), TODAY()), 2, 2)) - 1, """")"),"")</f>
        <v/>
      </c>
      <c r="N119" s="21" t="str">
        <f>IFERROR(__xludf.DUMMYFUNCTION("IFERROR((GOOGLEFINANCE(C119, ""price"") / INDEX(GOOGLEFINANCE(C119, ""price"", EDATE(TODAY(), -3), TODAY()), 2, 2)) - 1, """")"),"")</f>
        <v/>
      </c>
      <c r="O119" s="21" t="str">
        <f>IFERROR(__xludf.DUMMYFUNCTION("IFERROR((GOOGLEFINANCE(C119, ""price"") / INDEX(GOOGLEFINANCE(C119, ""price"", EDATE(TODAY(), -6), TODAY()), 2, 2)) - 1, """")"),"")</f>
        <v/>
      </c>
      <c r="P119" s="21" t="str">
        <f>IFERROR(__xludf.DUMMYFUNCTION("IFERROR((GOOGLEFINANCE(C119, ""price"") / INDEX(GOOGLEFINANCE(C119, ""price"", EDATE(TODAY(), -12), TODAY()), 2, 2)) - 1, """")"),"")</f>
        <v/>
      </c>
      <c r="Q119" s="6" t="str">
        <f>IFERROR(__xludf.DUMMYFUNCTION("AVERAGE(QUERY(GOOGLEFINANCE(C119, ""price"", TODAY()-80, TODAY()), ""SELECT Col2 WHERE Col2 IS NOT NULL ORDER BY Col1 DESC LIMIT 50"", 0))"),"#N/A")</f>
        <v>#N/A</v>
      </c>
      <c r="R119" s="24" t="str">
        <f>IFERROR(__xludf.DUMMYFUNCTION("IFERROR(
  LET(
    data, QUERY(GOOGLEFINANCE(C119,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GOOGLEFINANCE(C119, ""price"")) * 100,
    IF(calc=0, G119, calc)
  ), 
G119)"),"#N/A")</f>
        <v>#N/A</v>
      </c>
      <c r="S119" s="8" t="s">
        <v>15</v>
      </c>
      <c r="T119" s="26" t="str">
        <f>IFERROR(__xludf.DUMMYFUNCTION("IFERROR(TRANSPOSE(QUERY(IFERROR(SORT(GOOGLEFINANCE(C119, ""price"", WORKDAY(TODAY(), -40), TODAY()), 1, FALSE)), ""select Col2 where Col2 is not null limit 22 label Col2 ''"", 0)), """")"),"")</f>
        <v/>
      </c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8"/>
      <c r="AO119" s="28"/>
      <c r="AP119" s="29"/>
      <c r="AQ119" s="29" t="str">
        <f t="shared" ref="AQ119:BL119" si="122">T119/T$2</f>
        <v>#N/A</v>
      </c>
      <c r="AR119" s="29" t="str">
        <f t="shared" si="122"/>
        <v>#DIV/0!</v>
      </c>
      <c r="AS119" s="29" t="str">
        <f t="shared" si="122"/>
        <v>#DIV/0!</v>
      </c>
      <c r="AT119" s="29" t="str">
        <f t="shared" si="122"/>
        <v>#DIV/0!</v>
      </c>
      <c r="AU119" s="29" t="str">
        <f t="shared" si="122"/>
        <v>#DIV/0!</v>
      </c>
      <c r="AV119" s="29" t="str">
        <f t="shared" si="122"/>
        <v>#DIV/0!</v>
      </c>
      <c r="AW119" s="29" t="str">
        <f t="shared" si="122"/>
        <v>#DIV/0!</v>
      </c>
      <c r="AX119" s="29" t="str">
        <f t="shared" si="122"/>
        <v>#DIV/0!</v>
      </c>
      <c r="AY119" s="29" t="str">
        <f t="shared" si="122"/>
        <v>#DIV/0!</v>
      </c>
      <c r="AZ119" s="29" t="str">
        <f t="shared" si="122"/>
        <v>#DIV/0!</v>
      </c>
      <c r="BA119" s="29" t="str">
        <f t="shared" si="122"/>
        <v>#DIV/0!</v>
      </c>
      <c r="BB119" s="29" t="str">
        <f t="shared" si="122"/>
        <v>#DIV/0!</v>
      </c>
      <c r="BC119" s="29" t="str">
        <f t="shared" si="122"/>
        <v>#DIV/0!</v>
      </c>
      <c r="BD119" s="29" t="str">
        <f t="shared" si="122"/>
        <v>#DIV/0!</v>
      </c>
      <c r="BE119" s="29" t="str">
        <f t="shared" si="122"/>
        <v>#DIV/0!</v>
      </c>
      <c r="BF119" s="29" t="str">
        <f t="shared" si="122"/>
        <v>#DIV/0!</v>
      </c>
      <c r="BG119" s="29" t="str">
        <f t="shared" si="122"/>
        <v>#DIV/0!</v>
      </c>
      <c r="BH119" s="29" t="str">
        <f t="shared" si="122"/>
        <v>#DIV/0!</v>
      </c>
      <c r="BI119" s="29" t="str">
        <f t="shared" si="122"/>
        <v>#DIV/0!</v>
      </c>
      <c r="BJ119" s="29" t="str">
        <f t="shared" si="122"/>
        <v>#DIV/0!</v>
      </c>
      <c r="BK119" s="29" t="str">
        <f t="shared" si="122"/>
        <v>#DIV/0!</v>
      </c>
      <c r="BL119" s="29" t="str">
        <f t="shared" si="122"/>
        <v>#DIV/0!</v>
      </c>
      <c r="BM119" s="29" t="str">
        <f t="shared" si="3"/>
        <v>#DIV/0!</v>
      </c>
    </row>
    <row r="120">
      <c r="A120" s="16" t="str">
        <f>IFERROR(__xludf.DUMMYFUNCTION("IFERROR(SPARKLINE(SORT(MAP(TRANSPOSE(AQ120:BL120), LAMBDA(val, IF(ISNUMBER(val), PERCENTRANK(AQ120:BL120, val)+0.01, 0))), SEQUENCE(COLUMNS(AQ120:BL120)), FALSE), {""charttype"",""column""; ""color"",""chartreuse""; ""ymin"", 0; ""ymax"", 1.01; ""highcolo"&amp;"r"", ""darkgreen""; ""lowcolor"", ""red""}), """")"),"")</f>
        <v/>
      </c>
      <c r="B120" s="17" t="str">
        <f t="shared" si="4"/>
        <v/>
      </c>
      <c r="C120" s="1" t="s">
        <v>640</v>
      </c>
      <c r="D120" s="30" t="str">
        <f>IFERROR(__xludf.DUMMYFUNCTION("IFERROR(GOOGLEFINANCE(C120, ""NAME""))"),"Zillow Group Inc Class A")</f>
        <v>Zillow Group Inc Class A</v>
      </c>
      <c r="E120" s="30" t="s">
        <v>69</v>
      </c>
      <c r="F120" s="38" t="str">
        <f>IFERROR(__xludf.DUMMYFUNCTION("( (GOOGLEFINANCE(C120, ""price"") - Q120) / Q120 ) / (R120 / 100)"),"Loading...")</f>
        <v>Loading...</v>
      </c>
      <c r="G120" s="20" t="str">
        <f>IFERROR(__xludf.DUMMYFUNCTION("AVERAGE(ARRAYFORMULA(100 * (QUERY(GOOGLEFINANCE(C120, ""high"", TODAY()-40, TODAY()), ""SELECT Col2 WHERE Col2 IS NOT NULL ORDER BY Col1 DESC LIMIT 20"", 0) / QUERY(GOOGLEFINANCE(C120, ""low"", TODAY()-40, TODAY()), ""SELECT Col2 WHERE Col2 IS NOT NULL OR"&amp;"DER BY Col1 DESC LIMIT 20"", 0) - 1)))"),"#N/A")</f>
        <v>#N/A</v>
      </c>
      <c r="H120" s="35" t="str">
        <f t="shared" si="6"/>
        <v>Illiquid</v>
      </c>
      <c r="I120" s="36" t="str">
        <f t="shared" si="7"/>
        <v>RVol Required</v>
      </c>
      <c r="J120" s="37">
        <f>IFERROR(__xludf.DUMMYFUNCTION("IFERROR(
  IF(C120="""",, 
    IFERROR(
      GOOGLEFINANCE(C120, ""price"") * GOOGLEFINANCE(C120, ""volumeavg""), 
      GOOGLEFINANCE(C120, ""price"") * AVERAGE(QUERY(GOOGLEFINANCE(C120, ""volume"", TODAY()-40, TODAY()), ""SELECT Col2 WHERE Col2 IS NOT "&amp;"NULL ORDER BY Col1 DESC LIMIT 20"", 0))
    )
  ), 
"""")"),3.3602795199999996E7)</f>
        <v>33602795.2</v>
      </c>
      <c r="K120" s="21">
        <f>IFERROR(__xludf.DUMMYFUNCTION("IFERROR(GOOGLEFINANCE(C120, ""changepct"") / 100, """")"),-0.017)</f>
        <v>-0.017</v>
      </c>
      <c r="L120" s="21" t="str">
        <f>IFERROR(__xludf.DUMMYFUNCTION("IFERROR((GOOGLEFINANCE(C120, ""price"") / INDEX(GOOGLEFINANCE(C120, ""price"", TODAY()-7, TODAY()), 2, 2)) - 1, """")"),"")</f>
        <v/>
      </c>
      <c r="M120" s="21" t="str">
        <f>IFERROR(__xludf.DUMMYFUNCTION("IFERROR((GOOGLEFINANCE(C120, ""price"") / INDEX(GOOGLEFINANCE(C120, ""price"", EDATE(TODAY(), -1), TODAY()), 2, 2)) - 1, """")"),"")</f>
        <v/>
      </c>
      <c r="N120" s="21" t="str">
        <f>IFERROR(__xludf.DUMMYFUNCTION("IFERROR((GOOGLEFINANCE(C120, ""price"") / INDEX(GOOGLEFINANCE(C120, ""price"", EDATE(TODAY(), -3), TODAY()), 2, 2)) - 1, """")"),"")</f>
        <v/>
      </c>
      <c r="O120" s="21" t="str">
        <f>IFERROR(__xludf.DUMMYFUNCTION("IFERROR((GOOGLEFINANCE(C120, ""price"") / INDEX(GOOGLEFINANCE(C120, ""price"", EDATE(TODAY(), -6), TODAY()), 2, 2)) - 1, """")"),"")</f>
        <v/>
      </c>
      <c r="P120" s="21" t="str">
        <f>IFERROR(__xludf.DUMMYFUNCTION("IFERROR((GOOGLEFINANCE(C120, ""price"") / INDEX(GOOGLEFINANCE(C120, ""price"", EDATE(TODAY(), -12), TODAY()), 2, 2)) - 1, """")"),"")</f>
        <v/>
      </c>
      <c r="Q120" s="6" t="str">
        <f>IFERROR(__xludf.DUMMYFUNCTION("AVERAGE(QUERY(GOOGLEFINANCE(C120, ""price"", TODAY()-80, TODAY()), ""SELECT Col2 WHERE Col2 IS NOT NULL ORDER BY Col1 DESC LIMIT 50"", 0))"),"#N/A")</f>
        <v>#N/A</v>
      </c>
      <c r="R120" s="24" t="str">
        <f>IFERROR(__xludf.DUMMYFUNCTION("IFERROR(
  LET(
    data, QUERY(GOOGLEFINANCE(C120,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GOOGLEFINANCE(C120, ""price"")) * 100,
    IF(calc=0, G120, calc)
  ), 
G120)"),"#N/A")</f>
        <v>#N/A</v>
      </c>
      <c r="S120" s="8" t="s">
        <v>15</v>
      </c>
      <c r="T120" s="26" t="str">
        <f>IFERROR(__xludf.DUMMYFUNCTION("IFERROR(TRANSPOSE(QUERY(IFERROR(SORT(GOOGLEFINANCE(C120, ""price"", WORKDAY(TODAY(), -40), TODAY()), 1, FALSE)), ""select Col2 where Col2 is not null limit 22 label Col2 ''"", 0)), """")"),"")</f>
        <v/>
      </c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8"/>
      <c r="AO120" s="28"/>
      <c r="AP120" s="29"/>
      <c r="AQ120" s="29" t="str">
        <f t="shared" ref="AQ120:BL120" si="123">T120/T$2</f>
        <v>#N/A</v>
      </c>
      <c r="AR120" s="29" t="str">
        <f t="shared" si="123"/>
        <v>#DIV/0!</v>
      </c>
      <c r="AS120" s="29" t="str">
        <f t="shared" si="123"/>
        <v>#DIV/0!</v>
      </c>
      <c r="AT120" s="29" t="str">
        <f t="shared" si="123"/>
        <v>#DIV/0!</v>
      </c>
      <c r="AU120" s="29" t="str">
        <f t="shared" si="123"/>
        <v>#DIV/0!</v>
      </c>
      <c r="AV120" s="29" t="str">
        <f t="shared" si="123"/>
        <v>#DIV/0!</v>
      </c>
      <c r="AW120" s="29" t="str">
        <f t="shared" si="123"/>
        <v>#DIV/0!</v>
      </c>
      <c r="AX120" s="29" t="str">
        <f t="shared" si="123"/>
        <v>#DIV/0!</v>
      </c>
      <c r="AY120" s="29" t="str">
        <f t="shared" si="123"/>
        <v>#DIV/0!</v>
      </c>
      <c r="AZ120" s="29" t="str">
        <f t="shared" si="123"/>
        <v>#DIV/0!</v>
      </c>
      <c r="BA120" s="29" t="str">
        <f t="shared" si="123"/>
        <v>#DIV/0!</v>
      </c>
      <c r="BB120" s="29" t="str">
        <f t="shared" si="123"/>
        <v>#DIV/0!</v>
      </c>
      <c r="BC120" s="29" t="str">
        <f t="shared" si="123"/>
        <v>#DIV/0!</v>
      </c>
      <c r="BD120" s="29" t="str">
        <f t="shared" si="123"/>
        <v>#DIV/0!</v>
      </c>
      <c r="BE120" s="29" t="str">
        <f t="shared" si="123"/>
        <v>#DIV/0!</v>
      </c>
      <c r="BF120" s="29" t="str">
        <f t="shared" si="123"/>
        <v>#DIV/0!</v>
      </c>
      <c r="BG120" s="29" t="str">
        <f t="shared" si="123"/>
        <v>#DIV/0!</v>
      </c>
      <c r="BH120" s="29" t="str">
        <f t="shared" si="123"/>
        <v>#DIV/0!</v>
      </c>
      <c r="BI120" s="29" t="str">
        <f t="shared" si="123"/>
        <v>#DIV/0!</v>
      </c>
      <c r="BJ120" s="29" t="str">
        <f t="shared" si="123"/>
        <v>#DIV/0!</v>
      </c>
      <c r="BK120" s="29" t="str">
        <f t="shared" si="123"/>
        <v>#DIV/0!</v>
      </c>
      <c r="BL120" s="29" t="str">
        <f t="shared" si="123"/>
        <v>#DIV/0!</v>
      </c>
      <c r="BM120" s="29" t="str">
        <f t="shared" si="3"/>
        <v>#DIV/0!</v>
      </c>
    </row>
    <row r="121">
      <c r="A121" s="16" t="str">
        <f>IFERROR(__xludf.DUMMYFUNCTION("IFERROR(SPARKLINE(SORT(MAP(TRANSPOSE(AQ121:BL121), LAMBDA(val, IF(ISNUMBER(val), PERCENTRANK(AQ121:BL121, val)+0.01, 0))), SEQUENCE(COLUMNS(AQ121:BL121)), FALSE), {""charttype"",""column""; ""color"",""chartreuse""; ""ymin"", 0; ""ymax"", 1.01; ""highcolo"&amp;"r"", ""darkgreen""; ""lowcolor"", ""red""}), """")"),"")</f>
        <v/>
      </c>
      <c r="B121" s="17" t="str">
        <f t="shared" si="4"/>
        <v/>
      </c>
      <c r="C121" s="1" t="s">
        <v>644</v>
      </c>
      <c r="D121" s="30" t="str">
        <f>IFERROR(__xludf.DUMMYFUNCTION("IFERROR(GOOGLEFINANCE(C121, ""NAME""))"),"Zillow Group Inc Class C")</f>
        <v>Zillow Group Inc Class C</v>
      </c>
      <c r="E121" s="30" t="s">
        <v>69</v>
      </c>
      <c r="F121" s="33" t="str">
        <f>IFERROR(__xludf.DUMMYFUNCTION("( (GOOGLEFINANCE(C121, ""price"") - Q121) / Q121 ) / (R121 / 100)"),"Loading...")</f>
        <v>Loading...</v>
      </c>
      <c r="G121" s="20" t="str">
        <f>IFERROR(__xludf.DUMMYFUNCTION("AVERAGE(ARRAYFORMULA(100 * (QUERY(GOOGLEFINANCE(C121, ""high"", TODAY()-40, TODAY()), ""SELECT Col2 WHERE Col2 IS NOT NULL ORDER BY Col1 DESC LIMIT 20"", 0) / QUERY(GOOGLEFINANCE(C121, ""low"", TODAY()-40, TODAY()), ""SELECT Col2 WHERE Col2 IS NOT NULL OR"&amp;"DER BY Col1 DESC LIMIT 20"", 0) - 1)))"),"#N/A")</f>
        <v>#N/A</v>
      </c>
      <c r="H121" s="35" t="str">
        <f t="shared" si="6"/>
        <v>Liquid</v>
      </c>
      <c r="I121" s="36" t="str">
        <f t="shared" si="7"/>
        <v>RVol Required</v>
      </c>
      <c r="J121" s="37">
        <f>IFERROR(__xludf.DUMMYFUNCTION("IFERROR(
  IF(C121="""",, 
    IFERROR(
      GOOGLEFINANCE(C121, ""price"") * GOOGLEFINANCE(C121, ""volumeavg""), 
      GOOGLEFINANCE(C121, ""price"") * AVERAGE(QUERY(GOOGLEFINANCE(C121, ""volume"", TODAY()-40, TODAY()), ""SELECT Col2 WHERE Col2 IS NOT "&amp;"NULL ORDER BY Col1 DESC LIMIT 20"", 0))
    )
  ), 
"""")"),1.4126787726E8)</f>
        <v>141267877.3</v>
      </c>
      <c r="K121" s="21">
        <f>IFERROR(__xludf.DUMMYFUNCTION("IFERROR(GOOGLEFINANCE(C121, ""changepct"") / 100, """")"),-0.0203)</f>
        <v>-0.0203</v>
      </c>
      <c r="L121" s="21" t="str">
        <f>IFERROR(__xludf.DUMMYFUNCTION("IFERROR((GOOGLEFINANCE(C121, ""price"") / INDEX(GOOGLEFINANCE(C121, ""price"", TODAY()-7, TODAY()), 2, 2)) - 1, """")"),"")</f>
        <v/>
      </c>
      <c r="M121" s="21" t="str">
        <f>IFERROR(__xludf.DUMMYFUNCTION("IFERROR((GOOGLEFINANCE(C121, ""price"") / INDEX(GOOGLEFINANCE(C121, ""price"", EDATE(TODAY(), -1), TODAY()), 2, 2)) - 1, """")"),"")</f>
        <v/>
      </c>
      <c r="N121" s="21" t="str">
        <f>IFERROR(__xludf.DUMMYFUNCTION("IFERROR((GOOGLEFINANCE(C121, ""price"") / INDEX(GOOGLEFINANCE(C121, ""price"", EDATE(TODAY(), -3), TODAY()), 2, 2)) - 1, """")"),"")</f>
        <v/>
      </c>
      <c r="O121" s="21" t="str">
        <f>IFERROR(__xludf.DUMMYFUNCTION("IFERROR((GOOGLEFINANCE(C121, ""price"") / INDEX(GOOGLEFINANCE(C121, ""price"", EDATE(TODAY(), -6), TODAY()), 2, 2)) - 1, """")"),"")</f>
        <v/>
      </c>
      <c r="P121" s="21" t="str">
        <f>IFERROR(__xludf.DUMMYFUNCTION("IFERROR((GOOGLEFINANCE(C121, ""price"") / INDEX(GOOGLEFINANCE(C121, ""price"", EDATE(TODAY(), -12), TODAY()), 2, 2)) - 1, """")"),"")</f>
        <v/>
      </c>
      <c r="Q121" s="6" t="str">
        <f>IFERROR(__xludf.DUMMYFUNCTION("AVERAGE(QUERY(GOOGLEFINANCE(C121, ""price"", TODAY()-80, TODAY()), ""SELECT Col2 WHERE Col2 IS NOT NULL ORDER BY Col1 DESC LIMIT 50"", 0))"),"#N/A")</f>
        <v>#N/A</v>
      </c>
      <c r="R121" s="24" t="str">
        <f>IFERROR(__xludf.DUMMYFUNCTION("IFERROR(
  LET(
    data, QUERY(GOOGLEFINANCE(C121,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GOOGLEFINANCE(C121, ""price"")) * 100,
    IF(calc=0, G121, calc)
  ), 
G121)"),"#N/A")</f>
        <v>#N/A</v>
      </c>
      <c r="S121" s="8" t="s">
        <v>15</v>
      </c>
      <c r="T121" s="26" t="str">
        <f>IFERROR(__xludf.DUMMYFUNCTION("IFERROR(TRANSPOSE(QUERY(IFERROR(SORT(GOOGLEFINANCE(C121, ""price"", WORKDAY(TODAY(), -40), TODAY()), 1, FALSE)), ""select Col2 where Col2 is not null limit 22 label Col2 ''"", 0)), """")"),"")</f>
        <v/>
      </c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8"/>
      <c r="AO121" s="28"/>
      <c r="AP121" s="29"/>
      <c r="AQ121" s="29" t="str">
        <f t="shared" ref="AQ121:BL121" si="124">T121/T$2</f>
        <v>#N/A</v>
      </c>
      <c r="AR121" s="29" t="str">
        <f t="shared" si="124"/>
        <v>#DIV/0!</v>
      </c>
      <c r="AS121" s="29" t="str">
        <f t="shared" si="124"/>
        <v>#DIV/0!</v>
      </c>
      <c r="AT121" s="29" t="str">
        <f t="shared" si="124"/>
        <v>#DIV/0!</v>
      </c>
      <c r="AU121" s="29" t="str">
        <f t="shared" si="124"/>
        <v>#DIV/0!</v>
      </c>
      <c r="AV121" s="29" t="str">
        <f t="shared" si="124"/>
        <v>#DIV/0!</v>
      </c>
      <c r="AW121" s="29" t="str">
        <f t="shared" si="124"/>
        <v>#DIV/0!</v>
      </c>
      <c r="AX121" s="29" t="str">
        <f t="shared" si="124"/>
        <v>#DIV/0!</v>
      </c>
      <c r="AY121" s="29" t="str">
        <f t="shared" si="124"/>
        <v>#DIV/0!</v>
      </c>
      <c r="AZ121" s="29" t="str">
        <f t="shared" si="124"/>
        <v>#DIV/0!</v>
      </c>
      <c r="BA121" s="29" t="str">
        <f t="shared" si="124"/>
        <v>#DIV/0!</v>
      </c>
      <c r="BB121" s="29" t="str">
        <f t="shared" si="124"/>
        <v>#DIV/0!</v>
      </c>
      <c r="BC121" s="29" t="str">
        <f t="shared" si="124"/>
        <v>#DIV/0!</v>
      </c>
      <c r="BD121" s="29" t="str">
        <f t="shared" si="124"/>
        <v>#DIV/0!</v>
      </c>
      <c r="BE121" s="29" t="str">
        <f t="shared" si="124"/>
        <v>#DIV/0!</v>
      </c>
      <c r="BF121" s="29" t="str">
        <f t="shared" si="124"/>
        <v>#DIV/0!</v>
      </c>
      <c r="BG121" s="29" t="str">
        <f t="shared" si="124"/>
        <v>#DIV/0!</v>
      </c>
      <c r="BH121" s="29" t="str">
        <f t="shared" si="124"/>
        <v>#DIV/0!</v>
      </c>
      <c r="BI121" s="29" t="str">
        <f t="shared" si="124"/>
        <v>#DIV/0!</v>
      </c>
      <c r="BJ121" s="29" t="str">
        <f t="shared" si="124"/>
        <v>#DIV/0!</v>
      </c>
      <c r="BK121" s="29" t="str">
        <f t="shared" si="124"/>
        <v>#DIV/0!</v>
      </c>
      <c r="BL121" s="29" t="str">
        <f t="shared" si="124"/>
        <v>#DIV/0!</v>
      </c>
      <c r="BM121" s="29" t="str">
        <f t="shared" si="3"/>
        <v>#DIV/0!</v>
      </c>
    </row>
    <row r="122">
      <c r="A122" s="16" t="str">
        <f>IFERROR(__xludf.DUMMYFUNCTION("IFERROR(SPARKLINE(SORT(MAP(TRANSPOSE(AQ122:BL122), LAMBDA(val, IF(ISNUMBER(val), PERCENTRANK(AQ122:BL122, val)+0.01, 0))), SEQUENCE(COLUMNS(AQ122:BL122)), FALSE), {""charttype"",""column""; ""color"",""chartreuse""; ""ymin"", 0; ""ymax"", 1.01; ""highcolo"&amp;"r"", ""darkgreen""; ""lowcolor"", ""red""}), """")"),"")</f>
        <v/>
      </c>
      <c r="B122" s="17" t="str">
        <f t="shared" si="4"/>
        <v/>
      </c>
      <c r="C122" s="1" t="s">
        <v>649</v>
      </c>
      <c r="D122" s="30" t="str">
        <f>IFERROR(__xludf.DUMMYFUNCTION("IFERROR(GOOGLEFINANCE(C122, ""NAME""))"),"Dave and Buster's Entertainment, Inc")</f>
        <v>Dave and Buster's Entertainment, Inc</v>
      </c>
      <c r="E122" s="30" t="s">
        <v>62</v>
      </c>
      <c r="F122" s="33" t="str">
        <f>IFERROR(__xludf.DUMMYFUNCTION("( (GOOGLEFINANCE(C122, ""price"") - Q122) / Q122 ) / (R122 / 100)"),"Loading...")</f>
        <v>Loading...</v>
      </c>
      <c r="G122" s="20" t="str">
        <f>IFERROR(__xludf.DUMMYFUNCTION("AVERAGE(ARRAYFORMULA(100 * (QUERY(GOOGLEFINANCE(C122, ""high"", TODAY()-40, TODAY()), ""SELECT Col2 WHERE Col2 IS NOT NULL ORDER BY Col1 DESC LIMIT 20"", 0) / QUERY(GOOGLEFINANCE(C122, ""low"", TODAY()-40, TODAY()), ""SELECT Col2 WHERE Col2 IS NOT NULL OR"&amp;"DER BY Col1 DESC LIMIT 20"", 0) - 1)))"),"#N/A")</f>
        <v>#N/A</v>
      </c>
      <c r="H122" s="35" t="str">
        <f t="shared" si="6"/>
        <v>Illiquid</v>
      </c>
      <c r="I122" s="36" t="str">
        <f t="shared" si="7"/>
        <v>RVol Required</v>
      </c>
      <c r="J122" s="37">
        <f>IFERROR(__xludf.DUMMYFUNCTION("IFERROR(
  IF(C122="""",, 
    IFERROR(
      GOOGLEFINANCE(C122, ""price"") * GOOGLEFINANCE(C122, ""volumeavg""), 
      GOOGLEFINANCE(C122, ""price"") * AVERAGE(QUERY(GOOGLEFINANCE(C122, ""volume"", TODAY()-40, TODAY()), ""SELECT Col2 WHERE Col2 IS NOT "&amp;"NULL ORDER BY Col1 DESC LIMIT 20"", 0))
    )
  ), 
"""")"),2.18406672E7)</f>
        <v>21840667.2</v>
      </c>
      <c r="K122" s="21">
        <f>IFERROR(__xludf.DUMMYFUNCTION("IFERROR(GOOGLEFINANCE(C122, ""changepct"") / 100, """")"),-0.0452)</f>
        <v>-0.0452</v>
      </c>
      <c r="L122" s="21" t="str">
        <f>IFERROR(__xludf.DUMMYFUNCTION("IFERROR((GOOGLEFINANCE(C122, ""price"") / INDEX(GOOGLEFINANCE(C122, ""price"", TODAY()-7, TODAY()), 2, 2)) - 1, """")"),"")</f>
        <v/>
      </c>
      <c r="M122" s="21" t="str">
        <f>IFERROR(__xludf.DUMMYFUNCTION("IFERROR((GOOGLEFINANCE(C122, ""price"") / INDEX(GOOGLEFINANCE(C122, ""price"", EDATE(TODAY(), -1), TODAY()), 2, 2)) - 1, """")"),"")</f>
        <v/>
      </c>
      <c r="N122" s="21" t="str">
        <f>IFERROR(__xludf.DUMMYFUNCTION("IFERROR((GOOGLEFINANCE(C122, ""price"") / INDEX(GOOGLEFINANCE(C122, ""price"", EDATE(TODAY(), -3), TODAY()), 2, 2)) - 1, """")"),"")</f>
        <v/>
      </c>
      <c r="O122" s="21" t="str">
        <f>IFERROR(__xludf.DUMMYFUNCTION("IFERROR((GOOGLEFINANCE(C122, ""price"") / INDEX(GOOGLEFINANCE(C122, ""price"", EDATE(TODAY(), -6), TODAY()), 2, 2)) - 1, """")"),"")</f>
        <v/>
      </c>
      <c r="P122" s="21" t="str">
        <f>IFERROR(__xludf.DUMMYFUNCTION("IFERROR((GOOGLEFINANCE(C122, ""price"") / INDEX(GOOGLEFINANCE(C122, ""price"", EDATE(TODAY(), -12), TODAY()), 2, 2)) - 1, """")"),"")</f>
        <v/>
      </c>
      <c r="Q122" s="6" t="str">
        <f>IFERROR(__xludf.DUMMYFUNCTION("AVERAGE(QUERY(GOOGLEFINANCE(C122, ""price"", TODAY()-80, TODAY()), ""SELECT Col2 WHERE Col2 IS NOT NULL ORDER BY Col1 DESC LIMIT 50"", 0))"),"#N/A")</f>
        <v>#N/A</v>
      </c>
      <c r="R122" s="24" t="str">
        <f>IFERROR(__xludf.DUMMYFUNCTION("IFERROR(
  LET(
    data, QUERY(GOOGLEFINANCE(C122,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GOOGLEFINANCE(C122, ""price"")) * 100,
    IF(calc=0, G122, calc)
  ), 
G122)"),"#N/A")</f>
        <v>#N/A</v>
      </c>
      <c r="S122" s="8" t="s">
        <v>15</v>
      </c>
      <c r="T122" s="26" t="str">
        <f>IFERROR(__xludf.DUMMYFUNCTION("IFERROR(TRANSPOSE(QUERY(IFERROR(SORT(GOOGLEFINANCE(C122, ""price"", WORKDAY(TODAY(), -40), TODAY()), 1, FALSE)), ""select Col2 where Col2 is not null limit 22 label Col2 ''"", 0)), """")"),"")</f>
        <v/>
      </c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8"/>
      <c r="AO122" s="28"/>
      <c r="AP122" s="29"/>
      <c r="AQ122" s="29" t="str">
        <f t="shared" ref="AQ122:BL122" si="125">T122/T$2</f>
        <v>#N/A</v>
      </c>
      <c r="AR122" s="29" t="str">
        <f t="shared" si="125"/>
        <v>#DIV/0!</v>
      </c>
      <c r="AS122" s="29" t="str">
        <f t="shared" si="125"/>
        <v>#DIV/0!</v>
      </c>
      <c r="AT122" s="29" t="str">
        <f t="shared" si="125"/>
        <v>#DIV/0!</v>
      </c>
      <c r="AU122" s="29" t="str">
        <f t="shared" si="125"/>
        <v>#DIV/0!</v>
      </c>
      <c r="AV122" s="29" t="str">
        <f t="shared" si="125"/>
        <v>#DIV/0!</v>
      </c>
      <c r="AW122" s="29" t="str">
        <f t="shared" si="125"/>
        <v>#DIV/0!</v>
      </c>
      <c r="AX122" s="29" t="str">
        <f t="shared" si="125"/>
        <v>#DIV/0!</v>
      </c>
      <c r="AY122" s="29" t="str">
        <f t="shared" si="125"/>
        <v>#DIV/0!</v>
      </c>
      <c r="AZ122" s="29" t="str">
        <f t="shared" si="125"/>
        <v>#DIV/0!</v>
      </c>
      <c r="BA122" s="29" t="str">
        <f t="shared" si="125"/>
        <v>#DIV/0!</v>
      </c>
      <c r="BB122" s="29" t="str">
        <f t="shared" si="125"/>
        <v>#DIV/0!</v>
      </c>
      <c r="BC122" s="29" t="str">
        <f t="shared" si="125"/>
        <v>#DIV/0!</v>
      </c>
      <c r="BD122" s="29" t="str">
        <f t="shared" si="125"/>
        <v>#DIV/0!</v>
      </c>
      <c r="BE122" s="29" t="str">
        <f t="shared" si="125"/>
        <v>#DIV/0!</v>
      </c>
      <c r="BF122" s="29" t="str">
        <f t="shared" si="125"/>
        <v>#DIV/0!</v>
      </c>
      <c r="BG122" s="29" t="str">
        <f t="shared" si="125"/>
        <v>#DIV/0!</v>
      </c>
      <c r="BH122" s="29" t="str">
        <f t="shared" si="125"/>
        <v>#DIV/0!</v>
      </c>
      <c r="BI122" s="29" t="str">
        <f t="shared" si="125"/>
        <v>#DIV/0!</v>
      </c>
      <c r="BJ122" s="29" t="str">
        <f t="shared" si="125"/>
        <v>#DIV/0!</v>
      </c>
      <c r="BK122" s="29" t="str">
        <f t="shared" si="125"/>
        <v>#DIV/0!</v>
      </c>
      <c r="BL122" s="29" t="str">
        <f t="shared" si="125"/>
        <v>#DIV/0!</v>
      </c>
      <c r="BM122" s="29" t="str">
        <f t="shared" si="3"/>
        <v>#DIV/0!</v>
      </c>
    </row>
    <row r="123">
      <c r="A123" s="16" t="str">
        <f>IFERROR(__xludf.DUMMYFUNCTION("IFERROR(SPARKLINE(SORT(MAP(TRANSPOSE(AQ123:BL123), LAMBDA(val, IF(ISNUMBER(val), PERCENTRANK(AQ123:BL123, val)+0.01, 0))), SEQUENCE(COLUMNS(AQ123:BL123)), FALSE), {""charttype"",""column""; ""color"",""chartreuse""; ""ymin"", 0; ""ymax"", 1.01; ""highcolo"&amp;"r"", ""darkgreen""; ""lowcolor"", ""red""}), """")"),"")</f>
        <v/>
      </c>
      <c r="B123" s="17" t="str">
        <f t="shared" si="4"/>
        <v/>
      </c>
      <c r="C123" s="1" t="s">
        <v>653</v>
      </c>
      <c r="D123" s="30" t="str">
        <f>IFERROR(__xludf.DUMMYFUNCTION("IFERROR(GOOGLEFINANCE(C123, ""NAME""))"),"Cinemark Holdings, Inc.")</f>
        <v>Cinemark Holdings, Inc.</v>
      </c>
      <c r="E123" s="30" t="s">
        <v>62</v>
      </c>
      <c r="F123" s="33" t="str">
        <f>IFERROR(__xludf.DUMMYFUNCTION("( (GOOGLEFINANCE(C123, ""price"") - Q123) / Q123 ) / (R123 / 100)"),"Loading...")</f>
        <v>Loading...</v>
      </c>
      <c r="G123" s="20" t="str">
        <f>IFERROR(__xludf.DUMMYFUNCTION("AVERAGE(ARRAYFORMULA(100 * (QUERY(GOOGLEFINANCE(C123, ""high"", TODAY()-40, TODAY()), ""SELECT Col2 WHERE Col2 IS NOT NULL ORDER BY Col1 DESC LIMIT 20"", 0) / QUERY(GOOGLEFINANCE(C123, ""low"", TODAY()-40, TODAY()), ""SELECT Col2 WHERE Col2 IS NOT NULL OR"&amp;"DER BY Col1 DESC LIMIT 20"", 0) - 1)))"),"#N/A")</f>
        <v>#N/A</v>
      </c>
      <c r="H123" s="35" t="str">
        <f t="shared" si="6"/>
        <v>Liquid</v>
      </c>
      <c r="I123" s="36" t="str">
        <f t="shared" si="7"/>
        <v>RVol Required</v>
      </c>
      <c r="J123" s="37">
        <f>IFERROR(__xludf.DUMMYFUNCTION("IFERROR(
  IF(C123="""",, 
    IFERROR(
      GOOGLEFINANCE(C123, ""price"") * GOOGLEFINANCE(C123, ""volumeavg""), 
      GOOGLEFINANCE(C123, ""price"") * AVERAGE(QUERY(GOOGLEFINANCE(C123, ""volume"", TODAY()-40, TODAY()), ""SELECT Col2 WHERE Col2 IS NOT "&amp;"NULL ORDER BY Col1 DESC LIMIT 20"", 0))
    )
  ), 
"""")"),7.444579375999999E7)</f>
        <v>74445793.76</v>
      </c>
      <c r="K123" s="21">
        <f>IFERROR(__xludf.DUMMYFUNCTION("IFERROR(GOOGLEFINANCE(C123, ""changepct"") / 100, """")"),-0.001)</f>
        <v>-0.001</v>
      </c>
      <c r="L123" s="21" t="str">
        <f>IFERROR(__xludf.DUMMYFUNCTION("IFERROR((GOOGLEFINANCE(C123, ""price"") / INDEX(GOOGLEFINANCE(C123, ""price"", TODAY()-7, TODAY()), 2, 2)) - 1, """")"),"")</f>
        <v/>
      </c>
      <c r="M123" s="21" t="str">
        <f>IFERROR(__xludf.DUMMYFUNCTION("IFERROR((GOOGLEFINANCE(C123, ""price"") / INDEX(GOOGLEFINANCE(C123, ""price"", EDATE(TODAY(), -1), TODAY()), 2, 2)) - 1, """")"),"")</f>
        <v/>
      </c>
      <c r="N123" s="21" t="str">
        <f>IFERROR(__xludf.DUMMYFUNCTION("IFERROR((GOOGLEFINANCE(C123, ""price"") / INDEX(GOOGLEFINANCE(C123, ""price"", EDATE(TODAY(), -3), TODAY()), 2, 2)) - 1, """")"),"")</f>
        <v/>
      </c>
      <c r="O123" s="21" t="str">
        <f>IFERROR(__xludf.DUMMYFUNCTION("IFERROR((GOOGLEFINANCE(C123, ""price"") / INDEX(GOOGLEFINANCE(C123, ""price"", EDATE(TODAY(), -6), TODAY()), 2, 2)) - 1, """")"),"")</f>
        <v/>
      </c>
      <c r="P123" s="21" t="str">
        <f>IFERROR(__xludf.DUMMYFUNCTION("IFERROR((GOOGLEFINANCE(C123, ""price"") / INDEX(GOOGLEFINANCE(C123, ""price"", EDATE(TODAY(), -12), TODAY()), 2, 2)) - 1, """")"),"")</f>
        <v/>
      </c>
      <c r="Q123" s="6" t="str">
        <f>IFERROR(__xludf.DUMMYFUNCTION("AVERAGE(QUERY(GOOGLEFINANCE(C123, ""price"", TODAY()-80, TODAY()), ""SELECT Col2 WHERE Col2 IS NOT NULL ORDER BY Col1 DESC LIMIT 50"", 0))"),"#N/A")</f>
        <v>#N/A</v>
      </c>
      <c r="R123" s="24" t="str">
        <f>IFERROR(__xludf.DUMMYFUNCTION("IFERROR(
  LET(
    data, QUERY(GOOGLEFINANCE(C123,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GOOGLEFINANCE(C123, ""price"")) * 100,
    IF(calc=0, G123, calc)
  ), 
G123)"),"#N/A")</f>
        <v>#N/A</v>
      </c>
      <c r="S123" s="8" t="s">
        <v>15</v>
      </c>
      <c r="T123" s="26" t="str">
        <f>IFERROR(__xludf.DUMMYFUNCTION("IFERROR(TRANSPOSE(QUERY(IFERROR(SORT(GOOGLEFINANCE(C123, ""price"", WORKDAY(TODAY(), -40), TODAY()), 1, FALSE)), ""select Col2 where Col2 is not null limit 22 label Col2 ''"", 0)), """")"),"")</f>
        <v/>
      </c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8"/>
      <c r="AO123" s="28"/>
      <c r="AP123" s="29"/>
      <c r="AQ123" s="29" t="str">
        <f t="shared" ref="AQ123:BL123" si="126">T123/T$2</f>
        <v>#N/A</v>
      </c>
      <c r="AR123" s="29" t="str">
        <f t="shared" si="126"/>
        <v>#DIV/0!</v>
      </c>
      <c r="AS123" s="29" t="str">
        <f t="shared" si="126"/>
        <v>#DIV/0!</v>
      </c>
      <c r="AT123" s="29" t="str">
        <f t="shared" si="126"/>
        <v>#DIV/0!</v>
      </c>
      <c r="AU123" s="29" t="str">
        <f t="shared" si="126"/>
        <v>#DIV/0!</v>
      </c>
      <c r="AV123" s="29" t="str">
        <f t="shared" si="126"/>
        <v>#DIV/0!</v>
      </c>
      <c r="AW123" s="29" t="str">
        <f t="shared" si="126"/>
        <v>#DIV/0!</v>
      </c>
      <c r="AX123" s="29" t="str">
        <f t="shared" si="126"/>
        <v>#DIV/0!</v>
      </c>
      <c r="AY123" s="29" t="str">
        <f t="shared" si="126"/>
        <v>#DIV/0!</v>
      </c>
      <c r="AZ123" s="29" t="str">
        <f t="shared" si="126"/>
        <v>#DIV/0!</v>
      </c>
      <c r="BA123" s="29" t="str">
        <f t="shared" si="126"/>
        <v>#DIV/0!</v>
      </c>
      <c r="BB123" s="29" t="str">
        <f t="shared" si="126"/>
        <v>#DIV/0!</v>
      </c>
      <c r="BC123" s="29" t="str">
        <f t="shared" si="126"/>
        <v>#DIV/0!</v>
      </c>
      <c r="BD123" s="29" t="str">
        <f t="shared" si="126"/>
        <v>#DIV/0!</v>
      </c>
      <c r="BE123" s="29" t="str">
        <f t="shared" si="126"/>
        <v>#DIV/0!</v>
      </c>
      <c r="BF123" s="29" t="str">
        <f t="shared" si="126"/>
        <v>#DIV/0!</v>
      </c>
      <c r="BG123" s="29" t="str">
        <f t="shared" si="126"/>
        <v>#DIV/0!</v>
      </c>
      <c r="BH123" s="29" t="str">
        <f t="shared" si="126"/>
        <v>#DIV/0!</v>
      </c>
      <c r="BI123" s="29" t="str">
        <f t="shared" si="126"/>
        <v>#DIV/0!</v>
      </c>
      <c r="BJ123" s="29" t="str">
        <f t="shared" si="126"/>
        <v>#DIV/0!</v>
      </c>
      <c r="BK123" s="29" t="str">
        <f t="shared" si="126"/>
        <v>#DIV/0!</v>
      </c>
      <c r="BL123" s="29" t="str">
        <f t="shared" si="126"/>
        <v>#DIV/0!</v>
      </c>
      <c r="BM123" s="29" t="str">
        <f t="shared" si="3"/>
        <v>#DIV/0!</v>
      </c>
    </row>
    <row r="124">
      <c r="A124" s="16" t="str">
        <f>IFERROR(__xludf.DUMMYFUNCTION("IFERROR(SPARKLINE(SORT(MAP(TRANSPOSE(AQ124:BL124), LAMBDA(val, IF(ISNUMBER(val), PERCENTRANK(AQ124:BL124, val)+0.01, 0))), SEQUENCE(COLUMNS(AQ124:BL124)), FALSE), {""charttype"",""column""; ""color"",""chartreuse""; ""ymin"", 0; ""ymax"", 1.01; ""highcolo"&amp;"r"", ""darkgreen""; ""lowcolor"", ""red""}), """")"),"")</f>
        <v/>
      </c>
      <c r="B124" s="17" t="str">
        <f t="shared" si="4"/>
        <v/>
      </c>
      <c r="C124" s="1" t="s">
        <v>657</v>
      </c>
      <c r="D124" s="30" t="str">
        <f>IFERROR(__xludf.DUMMYFUNCTION("IFERROR(GOOGLEFINANCE(C124, ""NAME""))"),"Liberty Latin America Ltd Class A")</f>
        <v>Liberty Latin America Ltd Class A</v>
      </c>
      <c r="E124" s="30" t="s">
        <v>52</v>
      </c>
      <c r="F124" s="33" t="str">
        <f>IFERROR(__xludf.DUMMYFUNCTION("( (GOOGLEFINANCE(C124, ""price"") - Q124) / Q124 ) / (R124 / 100)"),"Loading...")</f>
        <v>Loading...</v>
      </c>
      <c r="G124" s="20" t="str">
        <f>IFERROR(__xludf.DUMMYFUNCTION("AVERAGE(ARRAYFORMULA(100 * (QUERY(GOOGLEFINANCE(C124, ""high"", TODAY()-40, TODAY()), ""SELECT Col2 WHERE Col2 IS NOT NULL ORDER BY Col1 DESC LIMIT 20"", 0) / QUERY(GOOGLEFINANCE(C124, ""low"", TODAY()-40, TODAY()), ""SELECT Col2 WHERE Col2 IS NOT NULL OR"&amp;"DER BY Col1 DESC LIMIT 20"", 0) - 1)))"),"#N/A")</f>
        <v>#N/A</v>
      </c>
      <c r="H124" s="35" t="str">
        <f t="shared" si="6"/>
        <v>Illiquid</v>
      </c>
      <c r="I124" s="36" t="str">
        <f t="shared" si="7"/>
        <v>RVol Required</v>
      </c>
      <c r="J124" s="37">
        <f>IFERROR(__xludf.DUMMYFUNCTION("IFERROR(
  IF(C124="""",, 
    IFERROR(
      GOOGLEFINANCE(C124, ""price"") * GOOGLEFINANCE(C124, ""volumeavg""), 
      GOOGLEFINANCE(C124, ""price"") * AVERAGE(QUERY(GOOGLEFINANCE(C124, ""volume"", TODAY()-40, TODAY()), ""SELECT Col2 WHERE Col2 IS NOT "&amp;"NULL ORDER BY Col1 DESC LIMIT 20"", 0))
    )
  ), 
"""")"),2814769.62)</f>
        <v>2814769.62</v>
      </c>
      <c r="K124" s="21">
        <f>IFERROR(__xludf.DUMMYFUNCTION("IFERROR(GOOGLEFINANCE(C124, ""changepct"") / 100, """")"),-0.023)</f>
        <v>-0.023</v>
      </c>
      <c r="L124" s="21" t="str">
        <f>IFERROR(__xludf.DUMMYFUNCTION("IFERROR((GOOGLEFINANCE(C124, ""price"") / INDEX(GOOGLEFINANCE(C124, ""price"", TODAY()-7, TODAY()), 2, 2)) - 1, """")"),"")</f>
        <v/>
      </c>
      <c r="M124" s="21" t="str">
        <f>IFERROR(__xludf.DUMMYFUNCTION("IFERROR((GOOGLEFINANCE(C124, ""price"") / INDEX(GOOGLEFINANCE(C124, ""price"", EDATE(TODAY(), -1), TODAY()), 2, 2)) - 1, """")"),"")</f>
        <v/>
      </c>
      <c r="N124" s="21" t="str">
        <f>IFERROR(__xludf.DUMMYFUNCTION("IFERROR((GOOGLEFINANCE(C124, ""price"") / INDEX(GOOGLEFINANCE(C124, ""price"", EDATE(TODAY(), -3), TODAY()), 2, 2)) - 1, """")"),"")</f>
        <v/>
      </c>
      <c r="O124" s="21" t="str">
        <f>IFERROR(__xludf.DUMMYFUNCTION("IFERROR((GOOGLEFINANCE(C124, ""price"") / INDEX(GOOGLEFINANCE(C124, ""price"", EDATE(TODAY(), -6), TODAY()), 2, 2)) - 1, """")"),"")</f>
        <v/>
      </c>
      <c r="P124" s="21" t="str">
        <f>IFERROR(__xludf.DUMMYFUNCTION("IFERROR((GOOGLEFINANCE(C124, ""price"") / INDEX(GOOGLEFINANCE(C124, ""price"", EDATE(TODAY(), -12), TODAY()), 2, 2)) - 1, """")"),"")</f>
        <v/>
      </c>
      <c r="Q124" s="6" t="str">
        <f>IFERROR(__xludf.DUMMYFUNCTION("AVERAGE(QUERY(GOOGLEFINANCE(C124, ""price"", TODAY()-80, TODAY()), ""SELECT Col2 WHERE Col2 IS NOT NULL ORDER BY Col1 DESC LIMIT 50"", 0))"),"#N/A")</f>
        <v>#N/A</v>
      </c>
      <c r="R124" s="24" t="str">
        <f>IFERROR(__xludf.DUMMYFUNCTION("IFERROR(
  LET(
    data, QUERY(GOOGLEFINANCE(C124,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GOOGLEFINANCE(C124, ""price"")) * 100,
    IF(calc=0, G124, calc)
  ), 
G124)"),"#N/A")</f>
        <v>#N/A</v>
      </c>
      <c r="S124" s="8" t="s">
        <v>15</v>
      </c>
      <c r="T124" s="26" t="str">
        <f>IFERROR(__xludf.DUMMYFUNCTION("IFERROR(TRANSPOSE(QUERY(IFERROR(SORT(GOOGLEFINANCE(C124, ""price"", WORKDAY(TODAY(), -40), TODAY()), 1, FALSE)), ""select Col2 where Col2 is not null limit 22 label Col2 ''"", 0)), """")"),"")</f>
        <v/>
      </c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8"/>
      <c r="AO124" s="28"/>
      <c r="AP124" s="29"/>
      <c r="AQ124" s="29" t="str">
        <f t="shared" ref="AQ124:BL124" si="127">T124/T$2</f>
        <v>#N/A</v>
      </c>
      <c r="AR124" s="29" t="str">
        <f t="shared" si="127"/>
        <v>#DIV/0!</v>
      </c>
      <c r="AS124" s="29" t="str">
        <f t="shared" si="127"/>
        <v>#DIV/0!</v>
      </c>
      <c r="AT124" s="29" t="str">
        <f t="shared" si="127"/>
        <v>#DIV/0!</v>
      </c>
      <c r="AU124" s="29" t="str">
        <f t="shared" si="127"/>
        <v>#DIV/0!</v>
      </c>
      <c r="AV124" s="29" t="str">
        <f t="shared" si="127"/>
        <v>#DIV/0!</v>
      </c>
      <c r="AW124" s="29" t="str">
        <f t="shared" si="127"/>
        <v>#DIV/0!</v>
      </c>
      <c r="AX124" s="29" t="str">
        <f t="shared" si="127"/>
        <v>#DIV/0!</v>
      </c>
      <c r="AY124" s="29" t="str">
        <f t="shared" si="127"/>
        <v>#DIV/0!</v>
      </c>
      <c r="AZ124" s="29" t="str">
        <f t="shared" si="127"/>
        <v>#DIV/0!</v>
      </c>
      <c r="BA124" s="29" t="str">
        <f t="shared" si="127"/>
        <v>#DIV/0!</v>
      </c>
      <c r="BB124" s="29" t="str">
        <f t="shared" si="127"/>
        <v>#DIV/0!</v>
      </c>
      <c r="BC124" s="29" t="str">
        <f t="shared" si="127"/>
        <v>#DIV/0!</v>
      </c>
      <c r="BD124" s="29" t="str">
        <f t="shared" si="127"/>
        <v>#DIV/0!</v>
      </c>
      <c r="BE124" s="29" t="str">
        <f t="shared" si="127"/>
        <v>#DIV/0!</v>
      </c>
      <c r="BF124" s="29" t="str">
        <f t="shared" si="127"/>
        <v>#DIV/0!</v>
      </c>
      <c r="BG124" s="29" t="str">
        <f t="shared" si="127"/>
        <v>#DIV/0!</v>
      </c>
      <c r="BH124" s="29" t="str">
        <f t="shared" si="127"/>
        <v>#DIV/0!</v>
      </c>
      <c r="BI124" s="29" t="str">
        <f t="shared" si="127"/>
        <v>#DIV/0!</v>
      </c>
      <c r="BJ124" s="29" t="str">
        <f t="shared" si="127"/>
        <v>#DIV/0!</v>
      </c>
      <c r="BK124" s="29" t="str">
        <f t="shared" si="127"/>
        <v>#DIV/0!</v>
      </c>
      <c r="BL124" s="29" t="str">
        <f t="shared" si="127"/>
        <v>#DIV/0!</v>
      </c>
      <c r="BM124" s="29" t="str">
        <f t="shared" si="3"/>
        <v>#DIV/0!</v>
      </c>
    </row>
    <row r="125">
      <c r="A125" s="16" t="str">
        <f>IFERROR(__xludf.DUMMYFUNCTION("IFERROR(SPARKLINE(SORT(MAP(TRANSPOSE(AQ125:BL125), LAMBDA(val, IF(ISNUMBER(val), PERCENTRANK(AQ125:BL125, val)+0.01, 0))), SEQUENCE(COLUMNS(AQ125:BL125)), FALSE), {""charttype"",""column""; ""color"",""chartreuse""; ""ymin"", 0; ""ymax"", 1.01; ""highcolo"&amp;"r"", ""darkgreen""; ""lowcolor"", ""red""}), """")"),"")</f>
        <v/>
      </c>
      <c r="B125" s="17" t="str">
        <f t="shared" si="4"/>
        <v/>
      </c>
      <c r="C125" s="1" t="s">
        <v>661</v>
      </c>
      <c r="D125" s="30" t="str">
        <f>IFERROR(__xludf.DUMMYFUNCTION("IFERROR(GOOGLEFINANCE(C125, ""NAME""))"),"Telefonica SA")</f>
        <v>Telefonica SA</v>
      </c>
      <c r="E125" s="30" t="s">
        <v>52</v>
      </c>
      <c r="F125" s="33" t="str">
        <f>IFERROR(__xludf.DUMMYFUNCTION("( (GOOGLEFINANCE(C125, ""price"") - Q125) / Q125 ) / (R125 / 100)"),"Loading...")</f>
        <v>Loading...</v>
      </c>
      <c r="G125" s="20" t="str">
        <f>IFERROR(__xludf.DUMMYFUNCTION("AVERAGE(ARRAYFORMULA(100 * (QUERY(GOOGLEFINANCE(C125, ""high"", TODAY()-40, TODAY()), ""SELECT Col2 WHERE Col2 IS NOT NULL ORDER BY Col1 DESC LIMIT 20"", 0) / QUERY(GOOGLEFINANCE(C125, ""low"", TODAY()-40, TODAY()), ""SELECT Col2 WHERE Col2 IS NOT NULL OR"&amp;"DER BY Col1 DESC LIMIT 20"", 0) - 1)))"),"#N/A")</f>
        <v>#N/A</v>
      </c>
      <c r="H125" s="35" t="str">
        <f t="shared" si="6"/>
        <v>Illiquid</v>
      </c>
      <c r="I125" s="36" t="str">
        <f t="shared" si="7"/>
        <v>RVol Required</v>
      </c>
      <c r="J125" s="37">
        <f>IFERROR(__xludf.DUMMYFUNCTION("IFERROR(
  IF(C125="""",, 
    IFERROR(
      GOOGLEFINANCE(C125, ""price"") * GOOGLEFINANCE(C125, ""volumeavg""), 
      GOOGLEFINANCE(C125, ""price"") * AVERAGE(QUERY(GOOGLEFINANCE(C125, ""volume"", TODAY()-40, TODAY()), ""SELECT Col2 WHERE Col2 IS NOT "&amp;"NULL ORDER BY Col1 DESC LIMIT 20"", 0))
    )
  ), 
"""")"),4.276162333E7)</f>
        <v>42761623.33</v>
      </c>
      <c r="K125" s="21">
        <f>IFERROR(__xludf.DUMMYFUNCTION("IFERROR(GOOGLEFINANCE(C125, ""changepct"") / 100, """")"),-0.0106)</f>
        <v>-0.0106</v>
      </c>
      <c r="L125" s="21" t="str">
        <f>IFERROR(__xludf.DUMMYFUNCTION("IFERROR((GOOGLEFINANCE(C125, ""price"") / INDEX(GOOGLEFINANCE(C125, ""price"", TODAY()-7, TODAY()), 2, 2)) - 1, """")"),"")</f>
        <v/>
      </c>
      <c r="M125" s="21" t="str">
        <f>IFERROR(__xludf.DUMMYFUNCTION("IFERROR((GOOGLEFINANCE(C125, ""price"") / INDEX(GOOGLEFINANCE(C125, ""price"", EDATE(TODAY(), -1), TODAY()), 2, 2)) - 1, """")"),"")</f>
        <v/>
      </c>
      <c r="N125" s="21" t="str">
        <f>IFERROR(__xludf.DUMMYFUNCTION("IFERROR((GOOGLEFINANCE(C125, ""price"") / INDEX(GOOGLEFINANCE(C125, ""price"", EDATE(TODAY(), -3), TODAY()), 2, 2)) - 1, """")"),"")</f>
        <v/>
      </c>
      <c r="O125" s="21" t="str">
        <f>IFERROR(__xludf.DUMMYFUNCTION("IFERROR((GOOGLEFINANCE(C125, ""price"") / INDEX(GOOGLEFINANCE(C125, ""price"", EDATE(TODAY(), -6), TODAY()), 2, 2)) - 1, """")"),"")</f>
        <v/>
      </c>
      <c r="P125" s="21" t="str">
        <f>IFERROR(__xludf.DUMMYFUNCTION("IFERROR((GOOGLEFINANCE(C125, ""price"") / INDEX(GOOGLEFINANCE(C125, ""price"", EDATE(TODAY(), -12), TODAY()), 2, 2)) - 1, """")"),"")</f>
        <v/>
      </c>
      <c r="Q125" s="6" t="str">
        <f>IFERROR(__xludf.DUMMYFUNCTION("AVERAGE(QUERY(GOOGLEFINANCE(C125, ""price"", TODAY()-80, TODAY()), ""SELECT Col2 WHERE Col2 IS NOT NULL ORDER BY Col1 DESC LIMIT 50"", 0))"),"#N/A")</f>
        <v>#N/A</v>
      </c>
      <c r="R125" s="24" t="str">
        <f>IFERROR(__xludf.DUMMYFUNCTION("IFERROR(
  LET(
    data, QUERY(GOOGLEFINANCE(C125,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GOOGLEFINANCE(C125, ""price"")) * 100,
    IF(calc=0, G125, calc)
  ), 
G125)"),"#N/A")</f>
        <v>#N/A</v>
      </c>
      <c r="S125" s="8" t="s">
        <v>15</v>
      </c>
      <c r="T125" s="26" t="str">
        <f>IFERROR(__xludf.DUMMYFUNCTION("IFERROR(TRANSPOSE(QUERY(IFERROR(SORT(GOOGLEFINANCE(C125, ""price"", WORKDAY(TODAY(), -40), TODAY()), 1, FALSE)), ""select Col2 where Col2 is not null limit 22 label Col2 ''"", 0)), """")"),"")</f>
        <v/>
      </c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8"/>
      <c r="AO125" s="28"/>
      <c r="AP125" s="29"/>
      <c r="AQ125" s="29" t="str">
        <f t="shared" ref="AQ125:BL125" si="128">T125/T$2</f>
        <v>#N/A</v>
      </c>
      <c r="AR125" s="29" t="str">
        <f t="shared" si="128"/>
        <v>#DIV/0!</v>
      </c>
      <c r="AS125" s="29" t="str">
        <f t="shared" si="128"/>
        <v>#DIV/0!</v>
      </c>
      <c r="AT125" s="29" t="str">
        <f t="shared" si="128"/>
        <v>#DIV/0!</v>
      </c>
      <c r="AU125" s="29" t="str">
        <f t="shared" si="128"/>
        <v>#DIV/0!</v>
      </c>
      <c r="AV125" s="29" t="str">
        <f t="shared" si="128"/>
        <v>#DIV/0!</v>
      </c>
      <c r="AW125" s="29" t="str">
        <f t="shared" si="128"/>
        <v>#DIV/0!</v>
      </c>
      <c r="AX125" s="29" t="str">
        <f t="shared" si="128"/>
        <v>#DIV/0!</v>
      </c>
      <c r="AY125" s="29" t="str">
        <f t="shared" si="128"/>
        <v>#DIV/0!</v>
      </c>
      <c r="AZ125" s="29" t="str">
        <f t="shared" si="128"/>
        <v>#DIV/0!</v>
      </c>
      <c r="BA125" s="29" t="str">
        <f t="shared" si="128"/>
        <v>#DIV/0!</v>
      </c>
      <c r="BB125" s="29" t="str">
        <f t="shared" si="128"/>
        <v>#DIV/0!</v>
      </c>
      <c r="BC125" s="29" t="str">
        <f t="shared" si="128"/>
        <v>#DIV/0!</v>
      </c>
      <c r="BD125" s="29" t="str">
        <f t="shared" si="128"/>
        <v>#DIV/0!</v>
      </c>
      <c r="BE125" s="29" t="str">
        <f t="shared" si="128"/>
        <v>#DIV/0!</v>
      </c>
      <c r="BF125" s="29" t="str">
        <f t="shared" si="128"/>
        <v>#DIV/0!</v>
      </c>
      <c r="BG125" s="29" t="str">
        <f t="shared" si="128"/>
        <v>#DIV/0!</v>
      </c>
      <c r="BH125" s="29" t="str">
        <f t="shared" si="128"/>
        <v>#DIV/0!</v>
      </c>
      <c r="BI125" s="29" t="str">
        <f t="shared" si="128"/>
        <v>#DIV/0!</v>
      </c>
      <c r="BJ125" s="29" t="str">
        <f t="shared" si="128"/>
        <v>#DIV/0!</v>
      </c>
      <c r="BK125" s="29" t="str">
        <f t="shared" si="128"/>
        <v>#DIV/0!</v>
      </c>
      <c r="BL125" s="29" t="str">
        <f t="shared" si="128"/>
        <v>#DIV/0!</v>
      </c>
      <c r="BM125" s="29" t="str">
        <f t="shared" si="3"/>
        <v>#DIV/0!</v>
      </c>
    </row>
    <row r="126">
      <c r="A126" s="16" t="str">
        <f>IFERROR(__xludf.DUMMYFUNCTION("IFERROR(SPARKLINE(SORT(MAP(TRANSPOSE(AQ126:BL126), LAMBDA(val, IF(ISNUMBER(val), PERCENTRANK(AQ126:BL126, val)+0.01, 0))), SEQUENCE(COLUMNS(AQ126:BL126)), FALSE), {""charttype"",""column""; ""color"",""chartreuse""; ""ymin"", 0; ""ymax"", 1.01; ""highcolo"&amp;"r"", ""darkgreen""; ""lowcolor"", ""red""}), """")"),"")</f>
        <v/>
      </c>
      <c r="B126" s="17" t="str">
        <f t="shared" si="4"/>
        <v/>
      </c>
      <c r="C126" s="1" t="s">
        <v>665</v>
      </c>
      <c r="D126" s="30" t="str">
        <f>IFERROR(__xludf.DUMMYFUNCTION("IFERROR(GOOGLEFINANCE(C126, ""NAME""))"),"Ziff Davis Inc")</f>
        <v>Ziff Davis Inc</v>
      </c>
      <c r="E126" s="30" t="s">
        <v>116</v>
      </c>
      <c r="F126" s="33" t="str">
        <f>IFERROR(__xludf.DUMMYFUNCTION("( (GOOGLEFINANCE(C126, ""price"") - Q126) / Q126 ) / (R126 / 100)"),"Loading...")</f>
        <v>Loading...</v>
      </c>
      <c r="G126" s="20" t="str">
        <f>IFERROR(__xludf.DUMMYFUNCTION("AVERAGE(ARRAYFORMULA(100 * (QUERY(GOOGLEFINANCE(C126, ""high"", TODAY()-40, TODAY()), ""SELECT Col2 WHERE Col2 IS NOT NULL ORDER BY Col1 DESC LIMIT 20"", 0) / QUERY(GOOGLEFINANCE(C126, ""low"", TODAY()-40, TODAY()), ""SELECT Col2 WHERE Col2 IS NOT NULL OR"&amp;"DER BY Col1 DESC LIMIT 20"", 0) - 1)))"),"#N/A")</f>
        <v>#N/A</v>
      </c>
      <c r="H126" s="35" t="str">
        <f t="shared" si="6"/>
        <v>Illiquid</v>
      </c>
      <c r="I126" s="36" t="str">
        <f t="shared" si="7"/>
        <v>RVol Required</v>
      </c>
      <c r="J126" s="37">
        <f>IFERROR(__xludf.DUMMYFUNCTION("IFERROR(
  IF(C126="""",, 
    IFERROR(
      GOOGLEFINANCE(C126, ""price"") * GOOGLEFINANCE(C126, ""volumeavg""), 
      GOOGLEFINANCE(C126, ""price"") * AVERAGE(QUERY(GOOGLEFINANCE(C126, ""volume"", TODAY()-40, TODAY()), ""SELECT Col2 WHERE Col2 IS NOT "&amp;"NULL ORDER BY Col1 DESC LIMIT 20"", 0))
    )
  ), 
"""")"),3.583447875E7)</f>
        <v>35834478.75</v>
      </c>
      <c r="K126" s="21">
        <f>IFERROR(__xludf.DUMMYFUNCTION("IFERROR(GOOGLEFINANCE(C126, ""changepct"") / 100, """")"),-0.022099999999999998)</f>
        <v>-0.0221</v>
      </c>
      <c r="L126" s="21" t="str">
        <f>IFERROR(__xludf.DUMMYFUNCTION("IFERROR((GOOGLEFINANCE(C126, ""price"") / INDEX(GOOGLEFINANCE(C126, ""price"", TODAY()-7, TODAY()), 2, 2)) - 1, """")"),"")</f>
        <v/>
      </c>
      <c r="M126" s="21" t="str">
        <f>IFERROR(__xludf.DUMMYFUNCTION("IFERROR((GOOGLEFINANCE(C126, ""price"") / INDEX(GOOGLEFINANCE(C126, ""price"", EDATE(TODAY(), -1), TODAY()), 2, 2)) - 1, """")"),"")</f>
        <v/>
      </c>
      <c r="N126" s="21" t="str">
        <f>IFERROR(__xludf.DUMMYFUNCTION("IFERROR((GOOGLEFINANCE(C126, ""price"") / INDEX(GOOGLEFINANCE(C126, ""price"", EDATE(TODAY(), -3), TODAY()), 2, 2)) - 1, """")"),"")</f>
        <v/>
      </c>
      <c r="O126" s="21" t="str">
        <f>IFERROR(__xludf.DUMMYFUNCTION("IFERROR((GOOGLEFINANCE(C126, ""price"") / INDEX(GOOGLEFINANCE(C126, ""price"", EDATE(TODAY(), -6), TODAY()), 2, 2)) - 1, """")"),"")</f>
        <v/>
      </c>
      <c r="P126" s="21" t="str">
        <f>IFERROR(__xludf.DUMMYFUNCTION("IFERROR((GOOGLEFINANCE(C126, ""price"") / INDEX(GOOGLEFINANCE(C126, ""price"", EDATE(TODAY(), -12), TODAY()), 2, 2)) - 1, """")"),"")</f>
        <v/>
      </c>
      <c r="Q126" s="6" t="str">
        <f>IFERROR(__xludf.DUMMYFUNCTION("AVERAGE(QUERY(GOOGLEFINANCE(C126, ""price"", TODAY()-80, TODAY()), ""SELECT Col2 WHERE Col2 IS NOT NULL ORDER BY Col1 DESC LIMIT 50"", 0))"),"#N/A")</f>
        <v>#N/A</v>
      </c>
      <c r="R126" s="24" t="str">
        <f>IFERROR(__xludf.DUMMYFUNCTION("IFERROR(
  LET(
    data, QUERY(GOOGLEFINANCE(C126,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GOOGLEFINANCE(C126, ""price"")) * 100,
    IF(calc=0, G126, calc)
  ), 
G126)"),"#N/A")</f>
        <v>#N/A</v>
      </c>
      <c r="S126" s="8" t="s">
        <v>15</v>
      </c>
      <c r="T126" s="26" t="str">
        <f>IFERROR(__xludf.DUMMYFUNCTION("IFERROR(TRANSPOSE(QUERY(IFERROR(SORT(GOOGLEFINANCE(C126, ""price"", WORKDAY(TODAY(), -40), TODAY()), 1, FALSE)), ""select Col2 where Col2 is not null limit 22 label Col2 ''"", 0)), """")"),"")</f>
        <v/>
      </c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8"/>
      <c r="AO126" s="28"/>
      <c r="AP126" s="29"/>
      <c r="AQ126" s="29" t="str">
        <f t="shared" ref="AQ126:BL126" si="129">T126/T$2</f>
        <v>#N/A</v>
      </c>
      <c r="AR126" s="29" t="str">
        <f t="shared" si="129"/>
        <v>#DIV/0!</v>
      </c>
      <c r="AS126" s="29" t="str">
        <f t="shared" si="129"/>
        <v>#DIV/0!</v>
      </c>
      <c r="AT126" s="29" t="str">
        <f t="shared" si="129"/>
        <v>#DIV/0!</v>
      </c>
      <c r="AU126" s="29" t="str">
        <f t="shared" si="129"/>
        <v>#DIV/0!</v>
      </c>
      <c r="AV126" s="29" t="str">
        <f t="shared" si="129"/>
        <v>#DIV/0!</v>
      </c>
      <c r="AW126" s="29" t="str">
        <f t="shared" si="129"/>
        <v>#DIV/0!</v>
      </c>
      <c r="AX126" s="29" t="str">
        <f t="shared" si="129"/>
        <v>#DIV/0!</v>
      </c>
      <c r="AY126" s="29" t="str">
        <f t="shared" si="129"/>
        <v>#DIV/0!</v>
      </c>
      <c r="AZ126" s="29" t="str">
        <f t="shared" si="129"/>
        <v>#DIV/0!</v>
      </c>
      <c r="BA126" s="29" t="str">
        <f t="shared" si="129"/>
        <v>#DIV/0!</v>
      </c>
      <c r="BB126" s="29" t="str">
        <f t="shared" si="129"/>
        <v>#DIV/0!</v>
      </c>
      <c r="BC126" s="29" t="str">
        <f t="shared" si="129"/>
        <v>#DIV/0!</v>
      </c>
      <c r="BD126" s="29" t="str">
        <f t="shared" si="129"/>
        <v>#DIV/0!</v>
      </c>
      <c r="BE126" s="29" t="str">
        <f t="shared" si="129"/>
        <v>#DIV/0!</v>
      </c>
      <c r="BF126" s="29" t="str">
        <f t="shared" si="129"/>
        <v>#DIV/0!</v>
      </c>
      <c r="BG126" s="29" t="str">
        <f t="shared" si="129"/>
        <v>#DIV/0!</v>
      </c>
      <c r="BH126" s="29" t="str">
        <f t="shared" si="129"/>
        <v>#DIV/0!</v>
      </c>
      <c r="BI126" s="29" t="str">
        <f t="shared" si="129"/>
        <v>#DIV/0!</v>
      </c>
      <c r="BJ126" s="29" t="str">
        <f t="shared" si="129"/>
        <v>#DIV/0!</v>
      </c>
      <c r="BK126" s="29" t="str">
        <f t="shared" si="129"/>
        <v>#DIV/0!</v>
      </c>
      <c r="BL126" s="29" t="str">
        <f t="shared" si="129"/>
        <v>#DIV/0!</v>
      </c>
      <c r="BM126" s="29" t="str">
        <f t="shared" si="3"/>
        <v>#DIV/0!</v>
      </c>
    </row>
    <row r="127">
      <c r="A127" s="16" t="str">
        <f>IFERROR(__xludf.DUMMYFUNCTION("IFERROR(SPARKLINE(SORT(MAP(TRANSPOSE(AQ127:BL127), LAMBDA(val, IF(ISNUMBER(val), PERCENTRANK(AQ127:BL127, val)+0.01, 0))), SEQUENCE(COLUMNS(AQ127:BL127)), FALSE), {""charttype"",""column""; ""color"",""chartreuse""; ""ymin"", 0; ""ymax"", 1.01; ""highcolo"&amp;"r"", ""darkgreen""; ""lowcolor"", ""red""}), """")"),"")</f>
        <v/>
      </c>
      <c r="B127" s="17" t="str">
        <f t="shared" si="4"/>
        <v/>
      </c>
      <c r="C127" s="1" t="s">
        <v>670</v>
      </c>
      <c r="D127" s="30" t="str">
        <f>IFERROR(__xludf.DUMMYFUNCTION("IFERROR(GOOGLEFINANCE(C127, ""NAME""))"),"Fubotv Inc")</f>
        <v>Fubotv Inc</v>
      </c>
      <c r="E127" s="30" t="s">
        <v>176</v>
      </c>
      <c r="F127" s="38" t="str">
        <f>IFERROR(__xludf.DUMMYFUNCTION("( (GOOGLEFINANCE(C127, ""price"") - Q127) / Q127 ) / (R127 / 100)"),"Loading...")</f>
        <v>Loading...</v>
      </c>
      <c r="G127" s="20" t="str">
        <f>IFERROR(__xludf.DUMMYFUNCTION("AVERAGE(ARRAYFORMULA(100 * (QUERY(GOOGLEFINANCE(C127, ""high"", TODAY()-40, TODAY()), ""SELECT Col2 WHERE Col2 IS NOT NULL ORDER BY Col1 DESC LIMIT 20"", 0) / QUERY(GOOGLEFINANCE(C127, ""low"", TODAY()-40, TODAY()), ""SELECT Col2 WHERE Col2 IS NOT NULL OR"&amp;"DER BY Col1 DESC LIMIT 20"", 0) - 1)))"),"#N/A")</f>
        <v>#N/A</v>
      </c>
      <c r="H127" s="35" t="str">
        <f t="shared" si="6"/>
        <v>Illiquid</v>
      </c>
      <c r="I127" s="36" t="str">
        <f t="shared" si="7"/>
        <v>RVol Required</v>
      </c>
      <c r="J127" s="37">
        <f>IFERROR(__xludf.DUMMYFUNCTION("IFERROR(
  IF(C127="""",, 
    IFERROR(
      GOOGLEFINANCE(C127, ""price"") * GOOGLEFINANCE(C127, ""volumeavg""), 
      GOOGLEFINANCE(C127, ""price"") * AVERAGE(QUERY(GOOGLEFINANCE(C127, ""volume"", TODAY()-40, TODAY()), ""SELECT Col2 WHERE Col2 IS NOT "&amp;"NULL ORDER BY Col1 DESC LIMIT 20"", 0))
    )
  ), 
"""")"),9776728.0)</f>
        <v>9776728</v>
      </c>
      <c r="K127" s="21">
        <f>IFERROR(__xludf.DUMMYFUNCTION("IFERROR(GOOGLEFINANCE(C127, ""changepct"") / 100, """")"),-0.0499)</f>
        <v>-0.0499</v>
      </c>
      <c r="L127" s="21" t="str">
        <f>IFERROR(__xludf.DUMMYFUNCTION("IFERROR((GOOGLEFINANCE(C127, ""price"") / INDEX(GOOGLEFINANCE(C127, ""price"", TODAY()-7, TODAY()), 2, 2)) - 1, """")"),"")</f>
        <v/>
      </c>
      <c r="M127" s="21" t="str">
        <f>IFERROR(__xludf.DUMMYFUNCTION("IFERROR((GOOGLEFINANCE(C127, ""price"") / INDEX(GOOGLEFINANCE(C127, ""price"", EDATE(TODAY(), -1), TODAY()), 2, 2)) - 1, """")"),"")</f>
        <v/>
      </c>
      <c r="N127" s="21" t="str">
        <f>IFERROR(__xludf.DUMMYFUNCTION("IFERROR((GOOGLEFINANCE(C127, ""price"") / INDEX(GOOGLEFINANCE(C127, ""price"", EDATE(TODAY(), -3), TODAY()), 2, 2)) - 1, """")"),"")</f>
        <v/>
      </c>
      <c r="O127" s="21" t="str">
        <f>IFERROR(__xludf.DUMMYFUNCTION("IFERROR((GOOGLEFINANCE(C127, ""price"") / INDEX(GOOGLEFINANCE(C127, ""price"", EDATE(TODAY(), -6), TODAY()), 2, 2)) - 1, """")"),"")</f>
        <v/>
      </c>
      <c r="P127" s="21" t="str">
        <f>IFERROR(__xludf.DUMMYFUNCTION("IFERROR((GOOGLEFINANCE(C127, ""price"") / INDEX(GOOGLEFINANCE(C127, ""price"", EDATE(TODAY(), -12), TODAY()), 2, 2)) - 1, """")"),"")</f>
        <v/>
      </c>
      <c r="Q127" s="6" t="str">
        <f>IFERROR(__xludf.DUMMYFUNCTION("AVERAGE(QUERY(GOOGLEFINANCE(C127, ""price"", TODAY()-80, TODAY()), ""SELECT Col2 WHERE Col2 IS NOT NULL ORDER BY Col1 DESC LIMIT 50"", 0))"),"#N/A")</f>
        <v>#N/A</v>
      </c>
      <c r="R127" s="24" t="str">
        <f>IFERROR(__xludf.DUMMYFUNCTION("IFERROR(
  LET(
    data, QUERY(GOOGLEFINANCE(C127,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GOOGLEFINANCE(C127, ""price"")) * 100,
    IF(calc=0, G127, calc)
  ), 
G127)"),"#N/A")</f>
        <v>#N/A</v>
      </c>
      <c r="S127" s="8" t="s">
        <v>15</v>
      </c>
      <c r="T127" s="26" t="str">
        <f>IFERROR(__xludf.DUMMYFUNCTION("IFERROR(TRANSPOSE(QUERY(IFERROR(SORT(GOOGLEFINANCE(C127, ""price"", WORKDAY(TODAY(), -40), TODAY()), 1, FALSE)), ""select Col2 where Col2 is not null limit 22 label Col2 ''"", 0)), """")"),"")</f>
        <v/>
      </c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8"/>
      <c r="AO127" s="28"/>
      <c r="AP127" s="29"/>
      <c r="AQ127" s="29" t="str">
        <f t="shared" ref="AQ127:BL127" si="130">T127/T$2</f>
        <v>#N/A</v>
      </c>
      <c r="AR127" s="29" t="str">
        <f t="shared" si="130"/>
        <v>#DIV/0!</v>
      </c>
      <c r="AS127" s="29" t="str">
        <f t="shared" si="130"/>
        <v>#DIV/0!</v>
      </c>
      <c r="AT127" s="29" t="str">
        <f t="shared" si="130"/>
        <v>#DIV/0!</v>
      </c>
      <c r="AU127" s="29" t="str">
        <f t="shared" si="130"/>
        <v>#DIV/0!</v>
      </c>
      <c r="AV127" s="29" t="str">
        <f t="shared" si="130"/>
        <v>#DIV/0!</v>
      </c>
      <c r="AW127" s="29" t="str">
        <f t="shared" si="130"/>
        <v>#DIV/0!</v>
      </c>
      <c r="AX127" s="29" t="str">
        <f t="shared" si="130"/>
        <v>#DIV/0!</v>
      </c>
      <c r="AY127" s="29" t="str">
        <f t="shared" si="130"/>
        <v>#DIV/0!</v>
      </c>
      <c r="AZ127" s="29" t="str">
        <f t="shared" si="130"/>
        <v>#DIV/0!</v>
      </c>
      <c r="BA127" s="29" t="str">
        <f t="shared" si="130"/>
        <v>#DIV/0!</v>
      </c>
      <c r="BB127" s="29" t="str">
        <f t="shared" si="130"/>
        <v>#DIV/0!</v>
      </c>
      <c r="BC127" s="29" t="str">
        <f t="shared" si="130"/>
        <v>#DIV/0!</v>
      </c>
      <c r="BD127" s="29" t="str">
        <f t="shared" si="130"/>
        <v>#DIV/0!</v>
      </c>
      <c r="BE127" s="29" t="str">
        <f t="shared" si="130"/>
        <v>#DIV/0!</v>
      </c>
      <c r="BF127" s="29" t="str">
        <f t="shared" si="130"/>
        <v>#DIV/0!</v>
      </c>
      <c r="BG127" s="29" t="str">
        <f t="shared" si="130"/>
        <v>#DIV/0!</v>
      </c>
      <c r="BH127" s="29" t="str">
        <f t="shared" si="130"/>
        <v>#DIV/0!</v>
      </c>
      <c r="BI127" s="29" t="str">
        <f t="shared" si="130"/>
        <v>#DIV/0!</v>
      </c>
      <c r="BJ127" s="29" t="str">
        <f t="shared" si="130"/>
        <v>#DIV/0!</v>
      </c>
      <c r="BK127" s="29" t="str">
        <f t="shared" si="130"/>
        <v>#DIV/0!</v>
      </c>
      <c r="BL127" s="29" t="str">
        <f t="shared" si="130"/>
        <v>#DIV/0!</v>
      </c>
      <c r="BM127" s="29" t="str">
        <f t="shared" si="3"/>
        <v>#DIV/0!</v>
      </c>
    </row>
    <row r="128">
      <c r="A128" s="16" t="str">
        <f>IFERROR(__xludf.DUMMYFUNCTION("IFERROR(SPARKLINE(SORT(MAP(TRANSPOSE(AQ128:BL128), LAMBDA(val, IF(ISNUMBER(val), PERCENTRANK(AQ128:BL128, val)+0.01, 0))), SEQUENCE(COLUMNS(AQ128:BL128)), FALSE), {""charttype"",""column""; ""color"",""chartreuse""; ""ymin"", 0; ""ymax"", 1.01; ""highcolo"&amp;"r"", ""darkgreen""; ""lowcolor"", ""red""}), """")"),"")</f>
        <v/>
      </c>
      <c r="B128" s="17" t="str">
        <f t="shared" si="4"/>
        <v/>
      </c>
      <c r="C128" s="1" t="s">
        <v>674</v>
      </c>
      <c r="D128" s="30" t="str">
        <f>IFERROR(__xludf.DUMMYFUNCTION("IFERROR(GOOGLEFINANCE(C128, ""NAME""))"),"Trump Media &amp; Technology Group Corp")</f>
        <v>Trump Media &amp; Technology Group Corp</v>
      </c>
      <c r="E128" s="30" t="s">
        <v>69</v>
      </c>
      <c r="F128" s="38" t="str">
        <f>IFERROR(__xludf.DUMMYFUNCTION("( (GOOGLEFINANCE(C128, ""price"") - Q128) / Q128 ) / (R128 / 100)"),"Loading...")</f>
        <v>Loading...</v>
      </c>
      <c r="G128" s="20" t="str">
        <f>IFERROR(__xludf.DUMMYFUNCTION("AVERAGE(ARRAYFORMULA(100 * (QUERY(GOOGLEFINANCE(C128, ""high"", TODAY()-40, TODAY()), ""SELECT Col2 WHERE Col2 IS NOT NULL ORDER BY Col1 DESC LIMIT 20"", 0) / QUERY(GOOGLEFINANCE(C128, ""low"", TODAY()-40, TODAY()), ""SELECT Col2 WHERE Col2 IS NOT NULL OR"&amp;"DER BY Col1 DESC LIMIT 20"", 0) - 1)))"),"#N/A")</f>
        <v>#N/A</v>
      </c>
      <c r="H128" s="35" t="str">
        <f t="shared" si="6"/>
        <v>Illiquid</v>
      </c>
      <c r="I128" s="36" t="str">
        <f t="shared" si="7"/>
        <v>RVol Required</v>
      </c>
      <c r="J128" s="37">
        <f>IFERROR(__xludf.DUMMYFUNCTION("IFERROR(
  IF(C128="""",, 
    IFERROR(
      GOOGLEFINANCE(C128, ""price"") * GOOGLEFINANCE(C128, ""volumeavg""), 
      GOOGLEFINANCE(C128, ""price"") * AVERAGE(QUERY(GOOGLEFINANCE(C128, ""volume"", TODAY()-40, TODAY()), ""SELECT Col2 WHERE Col2 IS NOT "&amp;"NULL ORDER BY Col1 DESC LIMIT 20"", 0))
    )
  ), 
"""")"),2.371758027E7)</f>
        <v>23717580.27</v>
      </c>
      <c r="K128" s="21">
        <f>IFERROR(__xludf.DUMMYFUNCTION("IFERROR(GOOGLEFINANCE(C128, ""changepct"") / 100, """")"),-0.0554)</f>
        <v>-0.0554</v>
      </c>
      <c r="L128" s="21" t="str">
        <f>IFERROR(__xludf.DUMMYFUNCTION("IFERROR((GOOGLEFINANCE(C128, ""price"") / INDEX(GOOGLEFINANCE(C128, ""price"", TODAY()-7, TODAY()), 2, 2)) - 1, """")"),"")</f>
        <v/>
      </c>
      <c r="M128" s="21" t="str">
        <f>IFERROR(__xludf.DUMMYFUNCTION("IFERROR((GOOGLEFINANCE(C128, ""price"") / INDEX(GOOGLEFINANCE(C128, ""price"", EDATE(TODAY(), -1), TODAY()), 2, 2)) - 1, """")"),"")</f>
        <v/>
      </c>
      <c r="N128" s="21" t="str">
        <f>IFERROR(__xludf.DUMMYFUNCTION("IFERROR((GOOGLEFINANCE(C128, ""price"") / INDEX(GOOGLEFINANCE(C128, ""price"", EDATE(TODAY(), -3), TODAY()), 2, 2)) - 1, """")"),"")</f>
        <v/>
      </c>
      <c r="O128" s="21" t="str">
        <f>IFERROR(__xludf.DUMMYFUNCTION("IFERROR((GOOGLEFINANCE(C128, ""price"") / INDEX(GOOGLEFINANCE(C128, ""price"", EDATE(TODAY(), -6), TODAY()), 2, 2)) - 1, """")"),"")</f>
        <v/>
      </c>
      <c r="P128" s="21" t="str">
        <f>IFERROR(__xludf.DUMMYFUNCTION("IFERROR((GOOGLEFINANCE(C128, ""price"") / INDEX(GOOGLEFINANCE(C128, ""price"", EDATE(TODAY(), -12), TODAY()), 2, 2)) - 1, """")"),"")</f>
        <v/>
      </c>
      <c r="Q128" s="6" t="str">
        <f>IFERROR(__xludf.DUMMYFUNCTION("AVERAGE(QUERY(GOOGLEFINANCE(C128, ""price"", TODAY()-80, TODAY()), ""SELECT Col2 WHERE Col2 IS NOT NULL ORDER BY Col1 DESC LIMIT 50"", 0))"),"#N/A")</f>
        <v>#N/A</v>
      </c>
      <c r="R128" s="24" t="str">
        <f>IFERROR(__xludf.DUMMYFUNCTION("IFERROR(
  LET(
    data, QUERY(GOOGLEFINANCE(C128,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GOOGLEFINANCE(C128, ""price"")) * 100,
    IF(calc=0, G128, calc)
  ), 
G128)"),"#N/A")</f>
        <v>#N/A</v>
      </c>
      <c r="S128" s="8" t="s">
        <v>15</v>
      </c>
      <c r="T128" s="26" t="str">
        <f>IFERROR(__xludf.DUMMYFUNCTION("IFERROR(TRANSPOSE(QUERY(IFERROR(SORT(GOOGLEFINANCE(C128, ""price"", WORKDAY(TODAY(), -40), TODAY()), 1, FALSE)), ""select Col2 where Col2 is not null limit 22 label Col2 ''"", 0)), """")"),"")</f>
        <v/>
      </c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8"/>
      <c r="AO128" s="28"/>
      <c r="AP128" s="29"/>
      <c r="AQ128" s="29" t="str">
        <f t="shared" ref="AQ128:BL128" si="131">T128/T$2</f>
        <v>#N/A</v>
      </c>
      <c r="AR128" s="29" t="str">
        <f t="shared" si="131"/>
        <v>#DIV/0!</v>
      </c>
      <c r="AS128" s="29" t="str">
        <f t="shared" si="131"/>
        <v>#DIV/0!</v>
      </c>
      <c r="AT128" s="29" t="str">
        <f t="shared" si="131"/>
        <v>#DIV/0!</v>
      </c>
      <c r="AU128" s="29" t="str">
        <f t="shared" si="131"/>
        <v>#DIV/0!</v>
      </c>
      <c r="AV128" s="29" t="str">
        <f t="shared" si="131"/>
        <v>#DIV/0!</v>
      </c>
      <c r="AW128" s="29" t="str">
        <f t="shared" si="131"/>
        <v>#DIV/0!</v>
      </c>
      <c r="AX128" s="29" t="str">
        <f t="shared" si="131"/>
        <v>#DIV/0!</v>
      </c>
      <c r="AY128" s="29" t="str">
        <f t="shared" si="131"/>
        <v>#DIV/0!</v>
      </c>
      <c r="AZ128" s="29" t="str">
        <f t="shared" si="131"/>
        <v>#DIV/0!</v>
      </c>
      <c r="BA128" s="29" t="str">
        <f t="shared" si="131"/>
        <v>#DIV/0!</v>
      </c>
      <c r="BB128" s="29" t="str">
        <f t="shared" si="131"/>
        <v>#DIV/0!</v>
      </c>
      <c r="BC128" s="29" t="str">
        <f t="shared" si="131"/>
        <v>#DIV/0!</v>
      </c>
      <c r="BD128" s="29" t="str">
        <f t="shared" si="131"/>
        <v>#DIV/0!</v>
      </c>
      <c r="BE128" s="29" t="str">
        <f t="shared" si="131"/>
        <v>#DIV/0!</v>
      </c>
      <c r="BF128" s="29" t="str">
        <f t="shared" si="131"/>
        <v>#DIV/0!</v>
      </c>
      <c r="BG128" s="29" t="str">
        <f t="shared" si="131"/>
        <v>#DIV/0!</v>
      </c>
      <c r="BH128" s="29" t="str">
        <f t="shared" si="131"/>
        <v>#DIV/0!</v>
      </c>
      <c r="BI128" s="29" t="str">
        <f t="shared" si="131"/>
        <v>#DIV/0!</v>
      </c>
      <c r="BJ128" s="29" t="str">
        <f t="shared" si="131"/>
        <v>#DIV/0!</v>
      </c>
      <c r="BK128" s="29" t="str">
        <f t="shared" si="131"/>
        <v>#DIV/0!</v>
      </c>
      <c r="BL128" s="29" t="str">
        <f t="shared" si="131"/>
        <v>#DIV/0!</v>
      </c>
      <c r="BM128" s="29" t="str">
        <f t="shared" si="3"/>
        <v>#DIV/0!</v>
      </c>
    </row>
    <row r="129">
      <c r="A129" s="16" t="str">
        <f>IFERROR(__xludf.DUMMYFUNCTION("IFERROR(SPARKLINE(SORT(MAP(TRANSPOSE(AQ129:BL129), LAMBDA(val, IF(ISNUMBER(val), PERCENTRANK(AQ129:BL129, val)+0.01, 0))), SEQUENCE(COLUMNS(AQ129:BL129)), FALSE), {""charttype"",""column""; ""color"",""chartreuse""; ""ymin"", 0; ""ymax"", 1.01; ""highcolo"&amp;"r"", ""darkgreen""; ""lowcolor"", ""red""}), """")"),"")</f>
        <v/>
      </c>
      <c r="B129" s="17" t="str">
        <f t="shared" si="4"/>
        <v/>
      </c>
      <c r="C129" s="1" t="s">
        <v>678</v>
      </c>
      <c r="D129" s="30" t="str">
        <f>IFERROR(__xludf.DUMMYFUNCTION("IFERROR(GOOGLEFINANCE(C129, ""NAME""))"),"")</f>
        <v/>
      </c>
      <c r="E129" s="30" t="s">
        <v>69</v>
      </c>
      <c r="F129" s="33" t="str">
        <f>IFERROR(__xludf.DUMMYFUNCTION("( (GOOGLEFINANCE(C129, ""price"") - Q129) / Q129 ) / (R129 / 100)"),"Loading...")</f>
        <v>Loading...</v>
      </c>
      <c r="G129" s="20" t="str">
        <f>IFERROR(__xludf.DUMMYFUNCTION("AVERAGE(ARRAYFORMULA(100 * (QUERY(GOOGLEFINANCE(C129, ""high"", TODAY()-40, TODAY()), ""SELECT Col2 WHERE Col2 IS NOT NULL ORDER BY Col1 DESC LIMIT 20"", 0) / QUERY(GOOGLEFINANCE(C129, ""low"", TODAY()-40, TODAY()), ""SELECT Col2 WHERE Col2 IS NOT NULL OR"&amp;"DER BY Col1 DESC LIMIT 20"", 0) - 1)))"),"#N/A")</f>
        <v>#N/A</v>
      </c>
      <c r="H129" s="35" t="str">
        <f t="shared" si="6"/>
        <v/>
      </c>
      <c r="I129" s="36" t="str">
        <f t="shared" si="7"/>
        <v/>
      </c>
      <c r="J129" s="37" t="str">
        <f>IFERROR(__xludf.DUMMYFUNCTION("IFERROR(
  IF(C129="""",, 
    IFERROR(
      GOOGLEFINANCE(C129, ""price"") * GOOGLEFINANCE(C129, ""volumeavg""), 
      GOOGLEFINANCE(C129, ""price"") * AVERAGE(QUERY(GOOGLEFINANCE(C129, ""volume"", TODAY()-40, TODAY()), ""SELECT Col2 WHERE Col2 IS NOT "&amp;"NULL ORDER BY Col1 DESC LIMIT 20"", 0))
    )
  ), 
"""")"),"")</f>
        <v/>
      </c>
      <c r="K129" s="21" t="str">
        <f>IFERROR(__xludf.DUMMYFUNCTION("IFERROR(GOOGLEFINANCE(C129, ""changepct"") / 100, """")"),"")</f>
        <v/>
      </c>
      <c r="L129" s="21" t="str">
        <f>IFERROR(__xludf.DUMMYFUNCTION("IFERROR((GOOGLEFINANCE(C129, ""price"") / INDEX(GOOGLEFINANCE(C129, ""price"", TODAY()-7, TODAY()), 2, 2)) - 1, """")"),"")</f>
        <v/>
      </c>
      <c r="M129" s="21" t="str">
        <f>IFERROR(__xludf.DUMMYFUNCTION("IFERROR((GOOGLEFINANCE(C129, ""price"") / INDEX(GOOGLEFINANCE(C129, ""price"", EDATE(TODAY(), -1), TODAY()), 2, 2)) - 1, """")"),"")</f>
        <v/>
      </c>
      <c r="N129" s="21" t="str">
        <f>IFERROR(__xludf.DUMMYFUNCTION("IFERROR((GOOGLEFINANCE(C129, ""price"") / INDEX(GOOGLEFINANCE(C129, ""price"", EDATE(TODAY(), -3), TODAY()), 2, 2)) - 1, """")"),"")</f>
        <v/>
      </c>
      <c r="O129" s="21" t="str">
        <f>IFERROR(__xludf.DUMMYFUNCTION("IFERROR((GOOGLEFINANCE(C129, ""price"") / INDEX(GOOGLEFINANCE(C129, ""price"", EDATE(TODAY(), -6), TODAY()), 2, 2)) - 1, """")"),"")</f>
        <v/>
      </c>
      <c r="P129" s="21" t="str">
        <f>IFERROR(__xludf.DUMMYFUNCTION("IFERROR((GOOGLEFINANCE(C129, ""price"") / INDEX(GOOGLEFINANCE(C129, ""price"", EDATE(TODAY(), -12), TODAY()), 2, 2)) - 1, """")"),"")</f>
        <v/>
      </c>
      <c r="Q129" s="6" t="str">
        <f>IFERROR(__xludf.DUMMYFUNCTION("AVERAGE(QUERY(GOOGLEFINANCE(C129, ""price"", TODAY()-80, TODAY()), ""SELECT Col2 WHERE Col2 IS NOT NULL ORDER BY Col1 DESC LIMIT 50"", 0))"),"#N/A")</f>
        <v>#N/A</v>
      </c>
      <c r="R129" s="24" t="str">
        <f>IFERROR(__xludf.DUMMYFUNCTION("IFERROR(
  LET(
    data, QUERY(GOOGLEFINANCE(C129,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GOOGLEFINANCE(C129, ""price"")) * 100,
    IF(calc=0, G129, calc)
  ), 
G129)"),"#N/A")</f>
        <v>#N/A</v>
      </c>
      <c r="S129" s="8" t="s">
        <v>15</v>
      </c>
      <c r="T129" s="26" t="str">
        <f>IFERROR(__xludf.DUMMYFUNCTION("IFERROR(TRANSPOSE(QUERY(IFERROR(SORT(GOOGLEFINANCE(C129, ""price"", WORKDAY(TODAY(), -40), TODAY()), 1, FALSE)), ""select Col2 where Col2 is not null limit 22 label Col2 ''"", 0)), """")"),"")</f>
        <v/>
      </c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8"/>
      <c r="AO129" s="28"/>
      <c r="AP129" s="29"/>
      <c r="AQ129" s="29" t="str">
        <f t="shared" ref="AQ129:BL129" si="132">T129/T$2</f>
        <v>#N/A</v>
      </c>
      <c r="AR129" s="29" t="str">
        <f t="shared" si="132"/>
        <v>#DIV/0!</v>
      </c>
      <c r="AS129" s="29" t="str">
        <f t="shared" si="132"/>
        <v>#DIV/0!</v>
      </c>
      <c r="AT129" s="29" t="str">
        <f t="shared" si="132"/>
        <v>#DIV/0!</v>
      </c>
      <c r="AU129" s="29" t="str">
        <f t="shared" si="132"/>
        <v>#DIV/0!</v>
      </c>
      <c r="AV129" s="29" t="str">
        <f t="shared" si="132"/>
        <v>#DIV/0!</v>
      </c>
      <c r="AW129" s="29" t="str">
        <f t="shared" si="132"/>
        <v>#DIV/0!</v>
      </c>
      <c r="AX129" s="29" t="str">
        <f t="shared" si="132"/>
        <v>#DIV/0!</v>
      </c>
      <c r="AY129" s="29" t="str">
        <f t="shared" si="132"/>
        <v>#DIV/0!</v>
      </c>
      <c r="AZ129" s="29" t="str">
        <f t="shared" si="132"/>
        <v>#DIV/0!</v>
      </c>
      <c r="BA129" s="29" t="str">
        <f t="shared" si="132"/>
        <v>#DIV/0!</v>
      </c>
      <c r="BB129" s="29" t="str">
        <f t="shared" si="132"/>
        <v>#DIV/0!</v>
      </c>
      <c r="BC129" s="29" t="str">
        <f t="shared" si="132"/>
        <v>#DIV/0!</v>
      </c>
      <c r="BD129" s="29" t="str">
        <f t="shared" si="132"/>
        <v>#DIV/0!</v>
      </c>
      <c r="BE129" s="29" t="str">
        <f t="shared" si="132"/>
        <v>#DIV/0!</v>
      </c>
      <c r="BF129" s="29" t="str">
        <f t="shared" si="132"/>
        <v>#DIV/0!</v>
      </c>
      <c r="BG129" s="29" t="str">
        <f t="shared" si="132"/>
        <v>#DIV/0!</v>
      </c>
      <c r="BH129" s="29" t="str">
        <f t="shared" si="132"/>
        <v>#DIV/0!</v>
      </c>
      <c r="BI129" s="29" t="str">
        <f t="shared" si="132"/>
        <v>#DIV/0!</v>
      </c>
      <c r="BJ129" s="29" t="str">
        <f t="shared" si="132"/>
        <v>#DIV/0!</v>
      </c>
      <c r="BK129" s="29" t="str">
        <f t="shared" si="132"/>
        <v>#DIV/0!</v>
      </c>
      <c r="BL129" s="29" t="str">
        <f t="shared" si="132"/>
        <v>#DIV/0!</v>
      </c>
      <c r="BM129" s="29" t="str">
        <f t="shared" si="3"/>
        <v>#DIV/0!</v>
      </c>
    </row>
    <row r="130">
      <c r="A130" s="16" t="str">
        <f>IFERROR(__xludf.DUMMYFUNCTION("IFERROR(SPARKLINE(SORT(MAP(TRANSPOSE(AQ130:BL130), LAMBDA(val, IF(ISNUMBER(val), PERCENTRANK(AQ130:BL130, val)+0.01, 0))), SEQUENCE(COLUMNS(AQ130:BL130)), FALSE), {""charttype"",""column""; ""color"",""chartreuse""; ""ymin"", 0; ""ymax"", 1.01; ""highcolo"&amp;"r"", ""darkgreen""; ""lowcolor"", ""red""}), """")"),"")</f>
        <v/>
      </c>
      <c r="B130" s="17" t="str">
        <f t="shared" si="4"/>
        <v/>
      </c>
      <c r="C130" s="1" t="s">
        <v>682</v>
      </c>
      <c r="D130" s="30" t="str">
        <f>IFERROR(__xludf.DUMMYFUNCTION("IFERROR(GOOGLEFINANCE(C130, ""NAME""))"),"Upwork Inc")</f>
        <v>Upwork Inc</v>
      </c>
      <c r="E130" s="30" t="s">
        <v>69</v>
      </c>
      <c r="F130" s="33" t="str">
        <f>IFERROR(__xludf.DUMMYFUNCTION("( (GOOGLEFINANCE(C130, ""price"") - Q130) / Q130 ) / (R130 / 100)"),"Loading...")</f>
        <v>Loading...</v>
      </c>
      <c r="G130" s="20" t="str">
        <f>IFERROR(__xludf.DUMMYFUNCTION("AVERAGE(ARRAYFORMULA(100 * (QUERY(GOOGLEFINANCE(C130, ""high"", TODAY()-40, TODAY()), ""SELECT Col2 WHERE Col2 IS NOT NULL ORDER BY Col1 DESC LIMIT 20"", 0) / QUERY(GOOGLEFINANCE(C130, ""low"", TODAY()-40, TODAY()), ""SELECT Col2 WHERE Col2 IS NOT NULL OR"&amp;"DER BY Col1 DESC LIMIT 20"", 0) - 1)))"),"#N/A")</f>
        <v>#N/A</v>
      </c>
      <c r="H130" s="35" t="str">
        <f t="shared" si="6"/>
        <v>Illiquid</v>
      </c>
      <c r="I130" s="36" t="str">
        <f t="shared" si="7"/>
        <v>RVol Required</v>
      </c>
      <c r="J130" s="37">
        <f>IFERROR(__xludf.DUMMYFUNCTION("IFERROR(
  IF(C130="""",, 
    IFERROR(
      GOOGLEFINANCE(C130, ""price"") * GOOGLEFINANCE(C130, ""volumeavg""), 
      GOOGLEFINANCE(C130, ""price"") * AVERAGE(QUERY(GOOGLEFINANCE(C130, ""volume"", TODAY()-40, TODAY()), ""SELECT Col2 WHERE Col2 IS NOT "&amp;"NULL ORDER BY Col1 DESC LIMIT 20"", 0))
    )
  ), 
"""")"),2.132758809E7)</f>
        <v>21327588.09</v>
      </c>
      <c r="K130" s="21">
        <f>IFERROR(__xludf.DUMMYFUNCTION("IFERROR(GOOGLEFINANCE(C130, ""changepct"") / 100, """")"),-0.0355)</f>
        <v>-0.0355</v>
      </c>
      <c r="L130" s="21" t="str">
        <f>IFERROR(__xludf.DUMMYFUNCTION("IFERROR((GOOGLEFINANCE(C130, ""price"") / INDEX(GOOGLEFINANCE(C130, ""price"", TODAY()-7, TODAY()), 2, 2)) - 1, """")"),"")</f>
        <v/>
      </c>
      <c r="M130" s="21" t="str">
        <f>IFERROR(__xludf.DUMMYFUNCTION("IFERROR((GOOGLEFINANCE(C130, ""price"") / INDEX(GOOGLEFINANCE(C130, ""price"", EDATE(TODAY(), -1), TODAY()), 2, 2)) - 1, """")"),"")</f>
        <v/>
      </c>
      <c r="N130" s="21" t="str">
        <f>IFERROR(__xludf.DUMMYFUNCTION("IFERROR((GOOGLEFINANCE(C130, ""price"") / INDEX(GOOGLEFINANCE(C130, ""price"", EDATE(TODAY(), -3), TODAY()), 2, 2)) - 1, """")"),"")</f>
        <v/>
      </c>
      <c r="O130" s="21" t="str">
        <f>IFERROR(__xludf.DUMMYFUNCTION("IFERROR((GOOGLEFINANCE(C130, ""price"") / INDEX(GOOGLEFINANCE(C130, ""price"", EDATE(TODAY(), -6), TODAY()), 2, 2)) - 1, """")"),"")</f>
        <v/>
      </c>
      <c r="P130" s="21" t="str">
        <f>IFERROR(__xludf.DUMMYFUNCTION("IFERROR((GOOGLEFINANCE(C130, ""price"") / INDEX(GOOGLEFINANCE(C130, ""price"", EDATE(TODAY(), -12), TODAY()), 2, 2)) - 1, """")"),"")</f>
        <v/>
      </c>
      <c r="Q130" s="6" t="str">
        <f>IFERROR(__xludf.DUMMYFUNCTION("AVERAGE(QUERY(GOOGLEFINANCE(C130, ""price"", TODAY()-80, TODAY()), ""SELECT Col2 WHERE Col2 IS NOT NULL ORDER BY Col1 DESC LIMIT 50"", 0))"),"#N/A")</f>
        <v>#N/A</v>
      </c>
      <c r="R130" s="24" t="str">
        <f>IFERROR(__xludf.DUMMYFUNCTION("IFERROR(
  LET(
    data, QUERY(GOOGLEFINANCE(C130,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GOOGLEFINANCE(C130, ""price"")) * 100,
    IF(calc=0, G130, calc)
  ), 
G130)"),"#N/A")</f>
        <v>#N/A</v>
      </c>
      <c r="S130" s="8" t="s">
        <v>15</v>
      </c>
      <c r="T130" s="26" t="str">
        <f>IFERROR(__xludf.DUMMYFUNCTION("IFERROR(TRANSPOSE(QUERY(IFERROR(SORT(GOOGLEFINANCE(C130, ""price"", WORKDAY(TODAY(), -40), TODAY()), 1, FALSE)), ""select Col2 where Col2 is not null limit 22 label Col2 ''"", 0)), """")"),"")</f>
        <v/>
      </c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8"/>
      <c r="AO130" s="28"/>
      <c r="AP130" s="29"/>
      <c r="AQ130" s="29" t="str">
        <f t="shared" ref="AQ130:BL130" si="133">T130/T$2</f>
        <v>#N/A</v>
      </c>
      <c r="AR130" s="29" t="str">
        <f t="shared" si="133"/>
        <v>#DIV/0!</v>
      </c>
      <c r="AS130" s="29" t="str">
        <f t="shared" si="133"/>
        <v>#DIV/0!</v>
      </c>
      <c r="AT130" s="29" t="str">
        <f t="shared" si="133"/>
        <v>#DIV/0!</v>
      </c>
      <c r="AU130" s="29" t="str">
        <f t="shared" si="133"/>
        <v>#DIV/0!</v>
      </c>
      <c r="AV130" s="29" t="str">
        <f t="shared" si="133"/>
        <v>#DIV/0!</v>
      </c>
      <c r="AW130" s="29" t="str">
        <f t="shared" si="133"/>
        <v>#DIV/0!</v>
      </c>
      <c r="AX130" s="29" t="str">
        <f t="shared" si="133"/>
        <v>#DIV/0!</v>
      </c>
      <c r="AY130" s="29" t="str">
        <f t="shared" si="133"/>
        <v>#DIV/0!</v>
      </c>
      <c r="AZ130" s="29" t="str">
        <f t="shared" si="133"/>
        <v>#DIV/0!</v>
      </c>
      <c r="BA130" s="29" t="str">
        <f t="shared" si="133"/>
        <v>#DIV/0!</v>
      </c>
      <c r="BB130" s="29" t="str">
        <f t="shared" si="133"/>
        <v>#DIV/0!</v>
      </c>
      <c r="BC130" s="29" t="str">
        <f t="shared" si="133"/>
        <v>#DIV/0!</v>
      </c>
      <c r="BD130" s="29" t="str">
        <f t="shared" si="133"/>
        <v>#DIV/0!</v>
      </c>
      <c r="BE130" s="29" t="str">
        <f t="shared" si="133"/>
        <v>#DIV/0!</v>
      </c>
      <c r="BF130" s="29" t="str">
        <f t="shared" si="133"/>
        <v>#DIV/0!</v>
      </c>
      <c r="BG130" s="29" t="str">
        <f t="shared" si="133"/>
        <v>#DIV/0!</v>
      </c>
      <c r="BH130" s="29" t="str">
        <f t="shared" si="133"/>
        <v>#DIV/0!</v>
      </c>
      <c r="BI130" s="29" t="str">
        <f t="shared" si="133"/>
        <v>#DIV/0!</v>
      </c>
      <c r="BJ130" s="29" t="str">
        <f t="shared" si="133"/>
        <v>#DIV/0!</v>
      </c>
      <c r="BK130" s="29" t="str">
        <f t="shared" si="133"/>
        <v>#DIV/0!</v>
      </c>
      <c r="BL130" s="29" t="str">
        <f t="shared" si="133"/>
        <v>#DIV/0!</v>
      </c>
      <c r="BM130" s="29" t="str">
        <f t="shared" si="3"/>
        <v>#DIV/0!</v>
      </c>
    </row>
    <row r="131">
      <c r="A131" s="16" t="str">
        <f>IFERROR(__xludf.DUMMYFUNCTION("IFERROR(SPARKLINE(SORT(MAP(TRANSPOSE(AQ131:BL131), LAMBDA(val, IF(ISNUMBER(val), PERCENTRANK(AQ131:BL131, val)+0.01, 0))), SEQUENCE(COLUMNS(AQ131:BL131)), FALSE), {""charttype"",""column""; ""color"",""chartreuse""; ""ymin"", 0; ""ymax"", 1.01; ""highcolo"&amp;"r"", ""darkgreen""; ""lowcolor"", ""red""}), """")"),"")</f>
        <v/>
      </c>
      <c r="B131" s="17" t="str">
        <f t="shared" si="4"/>
        <v/>
      </c>
      <c r="C131" s="1" t="s">
        <v>686</v>
      </c>
      <c r="D131" s="30" t="str">
        <f>IFERROR(__xludf.DUMMYFUNCTION("IFERROR(GOOGLEFINANCE(C131, ""NAME""))"),"Optimum Communications Inc")</f>
        <v>Optimum Communications Inc</v>
      </c>
      <c r="E131" s="30" t="s">
        <v>52</v>
      </c>
      <c r="F131" s="33" t="str">
        <f>IFERROR(__xludf.DUMMYFUNCTION("( (GOOGLEFINANCE(C131, ""price"") - Q131) / Q131 ) / (R131 / 100)"),"Loading...")</f>
        <v>Loading...</v>
      </c>
      <c r="G131" s="20" t="str">
        <f>IFERROR(__xludf.DUMMYFUNCTION("AVERAGE(ARRAYFORMULA(100 * (QUERY(GOOGLEFINANCE(C131, ""high"", TODAY()-40, TODAY()), ""SELECT Col2 WHERE Col2 IS NOT NULL ORDER BY Col1 DESC LIMIT 20"", 0) / QUERY(GOOGLEFINANCE(C131, ""low"", TODAY()-40, TODAY()), ""SELECT Col2 WHERE Col2 IS NOT NULL OR"&amp;"DER BY Col1 DESC LIMIT 20"", 0) - 1)))"),"#N/A")</f>
        <v>#N/A</v>
      </c>
      <c r="H131" s="35" t="str">
        <f t="shared" si="6"/>
        <v>Illiquid</v>
      </c>
      <c r="I131" s="36" t="str">
        <f t="shared" si="7"/>
        <v>RVol Required</v>
      </c>
      <c r="J131" s="37">
        <f>IFERROR(__xludf.DUMMYFUNCTION("IFERROR(
  IF(C131="""",, 
    IFERROR(
      GOOGLEFINANCE(C131, ""price"") * GOOGLEFINANCE(C131, ""volumeavg""), 
      GOOGLEFINANCE(C131, ""price"") * AVERAGE(QUERY(GOOGLEFINANCE(C131, ""volume"", TODAY()-40, TODAY()), ""SELECT Col2 WHERE Col2 IS NOT "&amp;"NULL ORDER BY Col1 DESC LIMIT 20"", 0))
    )
  ), 
"""")"),1747731.6)</f>
        <v>1747731.6</v>
      </c>
      <c r="K131" s="21">
        <f>IFERROR(__xludf.DUMMYFUNCTION("IFERROR(GOOGLEFINANCE(C131, ""changepct"") / 100, """")"),-0.0581)</f>
        <v>-0.0581</v>
      </c>
      <c r="L131" s="21" t="str">
        <f>IFERROR(__xludf.DUMMYFUNCTION("IFERROR((GOOGLEFINANCE(C131, ""price"") / INDEX(GOOGLEFINANCE(C131, ""price"", TODAY()-7, TODAY()), 2, 2)) - 1, """")"),"")</f>
        <v/>
      </c>
      <c r="M131" s="21" t="str">
        <f>IFERROR(__xludf.DUMMYFUNCTION("IFERROR((GOOGLEFINANCE(C131, ""price"") / INDEX(GOOGLEFINANCE(C131, ""price"", EDATE(TODAY(), -1), TODAY()), 2, 2)) - 1, """")"),"")</f>
        <v/>
      </c>
      <c r="N131" s="21" t="str">
        <f>IFERROR(__xludf.DUMMYFUNCTION("IFERROR((GOOGLEFINANCE(C131, ""price"") / INDEX(GOOGLEFINANCE(C131, ""price"", EDATE(TODAY(), -3), TODAY()), 2, 2)) - 1, """")"),"")</f>
        <v/>
      </c>
      <c r="O131" s="21" t="str">
        <f>IFERROR(__xludf.DUMMYFUNCTION("IFERROR((GOOGLEFINANCE(C131, ""price"") / INDEX(GOOGLEFINANCE(C131, ""price"", EDATE(TODAY(), -6), TODAY()), 2, 2)) - 1, """")"),"")</f>
        <v/>
      </c>
      <c r="P131" s="21" t="str">
        <f>IFERROR(__xludf.DUMMYFUNCTION("IFERROR((GOOGLEFINANCE(C131, ""price"") / INDEX(GOOGLEFINANCE(C131, ""price"", EDATE(TODAY(), -12), TODAY()), 2, 2)) - 1, """")"),"")</f>
        <v/>
      </c>
      <c r="Q131" s="6" t="str">
        <f>IFERROR(__xludf.DUMMYFUNCTION("AVERAGE(QUERY(GOOGLEFINANCE(C131, ""price"", TODAY()-80, TODAY()), ""SELECT Col2 WHERE Col2 IS NOT NULL ORDER BY Col1 DESC LIMIT 50"", 0))"),"#N/A")</f>
        <v>#N/A</v>
      </c>
      <c r="R131" s="24" t="str">
        <f>IFERROR(__xludf.DUMMYFUNCTION("IFERROR(
  LET(
    data, QUERY(GOOGLEFINANCE(C131,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GOOGLEFINANCE(C131, ""price"")) * 100,
    IF(calc=0, G131, calc)
  ), 
G131)"),"#N/A")</f>
        <v>#N/A</v>
      </c>
      <c r="S131" s="8" t="s">
        <v>15</v>
      </c>
      <c r="T131" s="26" t="str">
        <f>IFERROR(__xludf.DUMMYFUNCTION("IFERROR(TRANSPOSE(QUERY(IFERROR(SORT(GOOGLEFINANCE(C131, ""price"", WORKDAY(TODAY(), -40), TODAY()), 1, FALSE)), ""select Col2 where Col2 is not null limit 22 label Col2 ''"", 0)), """")"),"")</f>
        <v/>
      </c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8"/>
      <c r="AO131" s="28"/>
      <c r="AP131" s="29"/>
      <c r="AQ131" s="29" t="str">
        <f t="shared" ref="AQ131:BL131" si="134">T131/T$2</f>
        <v>#N/A</v>
      </c>
      <c r="AR131" s="29" t="str">
        <f t="shared" si="134"/>
        <v>#DIV/0!</v>
      </c>
      <c r="AS131" s="29" t="str">
        <f t="shared" si="134"/>
        <v>#DIV/0!</v>
      </c>
      <c r="AT131" s="29" t="str">
        <f t="shared" si="134"/>
        <v>#DIV/0!</v>
      </c>
      <c r="AU131" s="29" t="str">
        <f t="shared" si="134"/>
        <v>#DIV/0!</v>
      </c>
      <c r="AV131" s="29" t="str">
        <f t="shared" si="134"/>
        <v>#DIV/0!</v>
      </c>
      <c r="AW131" s="29" t="str">
        <f t="shared" si="134"/>
        <v>#DIV/0!</v>
      </c>
      <c r="AX131" s="29" t="str">
        <f t="shared" si="134"/>
        <v>#DIV/0!</v>
      </c>
      <c r="AY131" s="29" t="str">
        <f t="shared" si="134"/>
        <v>#DIV/0!</v>
      </c>
      <c r="AZ131" s="29" t="str">
        <f t="shared" si="134"/>
        <v>#DIV/0!</v>
      </c>
      <c r="BA131" s="29" t="str">
        <f t="shared" si="134"/>
        <v>#DIV/0!</v>
      </c>
      <c r="BB131" s="29" t="str">
        <f t="shared" si="134"/>
        <v>#DIV/0!</v>
      </c>
      <c r="BC131" s="29" t="str">
        <f t="shared" si="134"/>
        <v>#DIV/0!</v>
      </c>
      <c r="BD131" s="29" t="str">
        <f t="shared" si="134"/>
        <v>#DIV/0!</v>
      </c>
      <c r="BE131" s="29" t="str">
        <f t="shared" si="134"/>
        <v>#DIV/0!</v>
      </c>
      <c r="BF131" s="29" t="str">
        <f t="shared" si="134"/>
        <v>#DIV/0!</v>
      </c>
      <c r="BG131" s="29" t="str">
        <f t="shared" si="134"/>
        <v>#DIV/0!</v>
      </c>
      <c r="BH131" s="29" t="str">
        <f t="shared" si="134"/>
        <v>#DIV/0!</v>
      </c>
      <c r="BI131" s="29" t="str">
        <f t="shared" si="134"/>
        <v>#DIV/0!</v>
      </c>
      <c r="BJ131" s="29" t="str">
        <f t="shared" si="134"/>
        <v>#DIV/0!</v>
      </c>
      <c r="BK131" s="29" t="str">
        <f t="shared" si="134"/>
        <v>#DIV/0!</v>
      </c>
      <c r="BL131" s="29" t="str">
        <f t="shared" si="134"/>
        <v>#DIV/0!</v>
      </c>
      <c r="BM131" s="29" t="str">
        <f t="shared" si="3"/>
        <v>#DIV/0!</v>
      </c>
    </row>
    <row r="132">
      <c r="A132" s="16" t="str">
        <f>IFERROR(__xludf.DUMMYFUNCTION("IFERROR(SPARKLINE(SORT(MAP(TRANSPOSE(AQ132:BL132), LAMBDA(val, IF(ISNUMBER(val), PERCENTRANK(AQ132:BL132, val)+0.01, 0))), SEQUENCE(COLUMNS(AQ132:BL132)), FALSE), {""charttype"",""column""; ""color"",""chartreuse""; ""ymin"", 0; ""ymax"", 1.01; ""highcolo"&amp;"r"", ""darkgreen""; ""lowcolor"", ""red""}), """")"),"")</f>
        <v/>
      </c>
      <c r="B132" s="17" t="str">
        <f t="shared" si="4"/>
        <v/>
      </c>
      <c r="C132" s="1" t="s">
        <v>689</v>
      </c>
      <c r="D132" s="30" t="str">
        <f>IFERROR(__xludf.DUMMYFUNCTION("IFERROR(GOOGLEFINANCE(C132, ""NAME""))"),"Comcast Corp")</f>
        <v>Comcast Corp</v>
      </c>
      <c r="E132" s="30" t="s">
        <v>52</v>
      </c>
      <c r="F132" s="33" t="str">
        <f>IFERROR(__xludf.DUMMYFUNCTION("( (GOOGLEFINANCE(C132, ""price"") - Q132) / Q132 ) / (R132 / 100)"),"Loading...")</f>
        <v>Loading...</v>
      </c>
      <c r="G132" s="20" t="str">
        <f>IFERROR(__xludf.DUMMYFUNCTION("AVERAGE(ARRAYFORMULA(100 * (QUERY(GOOGLEFINANCE(C132, ""high"", TODAY()-40, TODAY()), ""SELECT Col2 WHERE Col2 IS NOT NULL ORDER BY Col1 DESC LIMIT 20"", 0) / QUERY(GOOGLEFINANCE(C132, ""low"", TODAY()-40, TODAY()), ""SELECT Col2 WHERE Col2 IS NOT NULL OR"&amp;"DER BY Col1 DESC LIMIT 20"", 0) - 1)))"),"#N/A")</f>
        <v>#N/A</v>
      </c>
      <c r="H132" s="35" t="str">
        <f t="shared" si="6"/>
        <v>Liquid</v>
      </c>
      <c r="I132" s="36" t="str">
        <f t="shared" si="7"/>
        <v>No RVol Required</v>
      </c>
      <c r="J132" s="37">
        <f>IFERROR(__xludf.DUMMYFUNCTION("IFERROR(
  IF(C132="""",, 
    IFERROR(
      GOOGLEFINANCE(C132, ""price"") * GOOGLEFINANCE(C132, ""volumeavg""), 
      GOOGLEFINANCE(C132, ""price"") * AVERAGE(QUERY(GOOGLEFINANCE(C132, ""volume"", TODAY()-40, TODAY()), ""SELECT Col2 WHERE Col2 IS NOT "&amp;"NULL ORDER BY Col1 DESC LIMIT 20"", 0))
    )
  ), 
"""")"),6.815176850999999E8)</f>
        <v>681517685.1</v>
      </c>
      <c r="K132" s="21">
        <f>IFERROR(__xludf.DUMMYFUNCTION("IFERROR(GOOGLEFINANCE(C132, ""changepct"") / 100, """")"),0.006)</f>
        <v>0.006</v>
      </c>
      <c r="L132" s="21" t="str">
        <f>IFERROR(__xludf.DUMMYFUNCTION("IFERROR((GOOGLEFINANCE(C132, ""price"") / INDEX(GOOGLEFINANCE(C132, ""price"", TODAY()-7, TODAY()), 2, 2)) - 1, """")"),"")</f>
        <v/>
      </c>
      <c r="M132" s="21" t="str">
        <f>IFERROR(__xludf.DUMMYFUNCTION("IFERROR((GOOGLEFINANCE(C132, ""price"") / INDEX(GOOGLEFINANCE(C132, ""price"", EDATE(TODAY(), -1), TODAY()), 2, 2)) - 1, """")"),"")</f>
        <v/>
      </c>
      <c r="N132" s="21" t="str">
        <f>IFERROR(__xludf.DUMMYFUNCTION("IFERROR((GOOGLEFINANCE(C132, ""price"") / INDEX(GOOGLEFINANCE(C132, ""price"", EDATE(TODAY(), -3), TODAY()), 2, 2)) - 1, """")"),"")</f>
        <v/>
      </c>
      <c r="O132" s="21" t="str">
        <f>IFERROR(__xludf.DUMMYFUNCTION("IFERROR((GOOGLEFINANCE(C132, ""price"") / INDEX(GOOGLEFINANCE(C132, ""price"", EDATE(TODAY(), -6), TODAY()), 2, 2)) - 1, """")"),"")</f>
        <v/>
      </c>
      <c r="P132" s="21" t="str">
        <f>IFERROR(__xludf.DUMMYFUNCTION("IFERROR((GOOGLEFINANCE(C132, ""price"") / INDEX(GOOGLEFINANCE(C132, ""price"", EDATE(TODAY(), -12), TODAY()), 2, 2)) - 1, """")"),"")</f>
        <v/>
      </c>
      <c r="Q132" s="6" t="str">
        <f>IFERROR(__xludf.DUMMYFUNCTION("AVERAGE(QUERY(GOOGLEFINANCE(C132, ""price"", TODAY()-80, TODAY()), ""SELECT Col2 WHERE Col2 IS NOT NULL ORDER BY Col1 DESC LIMIT 50"", 0))"),"#N/A")</f>
        <v>#N/A</v>
      </c>
      <c r="R132" s="24" t="str">
        <f>IFERROR(__xludf.DUMMYFUNCTION("IFERROR(
  LET(
    data, QUERY(GOOGLEFINANCE(C132,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GOOGLEFINANCE(C132, ""price"")) * 100,
    IF(calc=0, G132, calc)
  ), 
G132)"),"#N/A")</f>
        <v>#N/A</v>
      </c>
      <c r="S132" s="8" t="s">
        <v>15</v>
      </c>
      <c r="T132" s="26" t="str">
        <f>IFERROR(__xludf.DUMMYFUNCTION("IFERROR(TRANSPOSE(QUERY(IFERROR(SORT(GOOGLEFINANCE(C132, ""price"", WORKDAY(TODAY(), -40), TODAY()), 1, FALSE)), ""select Col2 where Col2 is not null limit 22 label Col2 ''"", 0)), """")"),"")</f>
        <v/>
      </c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8"/>
      <c r="AO132" s="28"/>
      <c r="AP132" s="29"/>
      <c r="AQ132" s="29" t="str">
        <f t="shared" ref="AQ132:BL132" si="135">T132/T$2</f>
        <v>#N/A</v>
      </c>
      <c r="AR132" s="29" t="str">
        <f t="shared" si="135"/>
        <v>#DIV/0!</v>
      </c>
      <c r="AS132" s="29" t="str">
        <f t="shared" si="135"/>
        <v>#DIV/0!</v>
      </c>
      <c r="AT132" s="29" t="str">
        <f t="shared" si="135"/>
        <v>#DIV/0!</v>
      </c>
      <c r="AU132" s="29" t="str">
        <f t="shared" si="135"/>
        <v>#DIV/0!</v>
      </c>
      <c r="AV132" s="29" t="str">
        <f t="shared" si="135"/>
        <v>#DIV/0!</v>
      </c>
      <c r="AW132" s="29" t="str">
        <f t="shared" si="135"/>
        <v>#DIV/0!</v>
      </c>
      <c r="AX132" s="29" t="str">
        <f t="shared" si="135"/>
        <v>#DIV/0!</v>
      </c>
      <c r="AY132" s="29" t="str">
        <f t="shared" si="135"/>
        <v>#DIV/0!</v>
      </c>
      <c r="AZ132" s="29" t="str">
        <f t="shared" si="135"/>
        <v>#DIV/0!</v>
      </c>
      <c r="BA132" s="29" t="str">
        <f t="shared" si="135"/>
        <v>#DIV/0!</v>
      </c>
      <c r="BB132" s="29" t="str">
        <f t="shared" si="135"/>
        <v>#DIV/0!</v>
      </c>
      <c r="BC132" s="29" t="str">
        <f t="shared" si="135"/>
        <v>#DIV/0!</v>
      </c>
      <c r="BD132" s="29" t="str">
        <f t="shared" si="135"/>
        <v>#DIV/0!</v>
      </c>
      <c r="BE132" s="29" t="str">
        <f t="shared" si="135"/>
        <v>#DIV/0!</v>
      </c>
      <c r="BF132" s="29" t="str">
        <f t="shared" si="135"/>
        <v>#DIV/0!</v>
      </c>
      <c r="BG132" s="29" t="str">
        <f t="shared" si="135"/>
        <v>#DIV/0!</v>
      </c>
      <c r="BH132" s="29" t="str">
        <f t="shared" si="135"/>
        <v>#DIV/0!</v>
      </c>
      <c r="BI132" s="29" t="str">
        <f t="shared" si="135"/>
        <v>#DIV/0!</v>
      </c>
      <c r="BJ132" s="29" t="str">
        <f t="shared" si="135"/>
        <v>#DIV/0!</v>
      </c>
      <c r="BK132" s="29" t="str">
        <f t="shared" si="135"/>
        <v>#DIV/0!</v>
      </c>
      <c r="BL132" s="29" t="str">
        <f t="shared" si="135"/>
        <v>#DIV/0!</v>
      </c>
      <c r="BM132" s="29" t="str">
        <f t="shared" si="3"/>
        <v>#DIV/0!</v>
      </c>
    </row>
    <row r="133">
      <c r="A133" s="16" t="str">
        <f>IFERROR(__xludf.DUMMYFUNCTION("IFERROR(SPARKLINE(SORT(MAP(TRANSPOSE(AQ133:BL133), LAMBDA(val, IF(ISNUMBER(val), PERCENTRANK(AQ133:BL133, val)+0.01, 0))), SEQUENCE(COLUMNS(AQ133:BL133)), FALSE), {""charttype"",""column""; ""color"",""chartreuse""; ""ymin"", 0; ""ymax"", 1.01; ""highcolo"&amp;"r"", ""darkgreen""; ""lowcolor"", ""red""}), """")"),"")</f>
        <v/>
      </c>
      <c r="B133" s="17" t="str">
        <f t="shared" si="4"/>
        <v/>
      </c>
      <c r="C133" s="1" t="s">
        <v>694</v>
      </c>
      <c r="D133" s="30" t="str">
        <f>IFERROR(__xludf.DUMMYFUNCTION("IFERROR(GOOGLEFINANCE(C133, ""NAME""))"),"Tim SA")</f>
        <v>Tim SA</v>
      </c>
      <c r="E133" s="30" t="s">
        <v>52</v>
      </c>
      <c r="F133" s="33" t="str">
        <f>IFERROR(__xludf.DUMMYFUNCTION("( (GOOGLEFINANCE(C133, ""price"") - Q133) / Q133 ) / (R133 / 100)"),"Loading...")</f>
        <v>Loading...</v>
      </c>
      <c r="G133" s="20" t="str">
        <f>IFERROR(__xludf.DUMMYFUNCTION("AVERAGE(ARRAYFORMULA(100 * (QUERY(GOOGLEFINANCE(C133, ""high"", TODAY()-40, TODAY()), ""SELECT Col2 WHERE Col2 IS NOT NULL ORDER BY Col1 DESC LIMIT 20"", 0) / QUERY(GOOGLEFINANCE(C133, ""low"", TODAY()-40, TODAY()), ""SELECT Col2 WHERE Col2 IS NOT NULL OR"&amp;"DER BY Col1 DESC LIMIT 20"", 0) - 1)))"),"#N/A")</f>
        <v>#N/A</v>
      </c>
      <c r="H133" s="35" t="str">
        <f t="shared" si="6"/>
        <v>Illiquid</v>
      </c>
      <c r="I133" s="36" t="str">
        <f t="shared" si="7"/>
        <v>RVol Required</v>
      </c>
      <c r="J133" s="37">
        <f>IFERROR(__xludf.DUMMYFUNCTION("IFERROR(
  IF(C133="""",, 
    IFERROR(
      GOOGLEFINANCE(C133, ""price"") * GOOGLEFINANCE(C133, ""volumeavg""), 
      GOOGLEFINANCE(C133, ""price"") * AVERAGE(QUERY(GOOGLEFINANCE(C133, ""volume"", TODAY()-40, TODAY()), ""SELECT Col2 WHERE Col2 IS NOT "&amp;"NULL ORDER BY Col1 DESC LIMIT 20"", 0))
    )
  ), 
"""")"),1.120842248E7)</f>
        <v>11208422.48</v>
      </c>
      <c r="K133" s="21">
        <f>IFERROR(__xludf.DUMMYFUNCTION("IFERROR(GOOGLEFINANCE(C133, ""changepct"") / 100, """")"),0.0147)</f>
        <v>0.0147</v>
      </c>
      <c r="L133" s="21" t="str">
        <f>IFERROR(__xludf.DUMMYFUNCTION("IFERROR((GOOGLEFINANCE(C133, ""price"") / INDEX(GOOGLEFINANCE(C133, ""price"", TODAY()-7, TODAY()), 2, 2)) - 1, """")"),"")</f>
        <v/>
      </c>
      <c r="M133" s="21" t="str">
        <f>IFERROR(__xludf.DUMMYFUNCTION("IFERROR((GOOGLEFINANCE(C133, ""price"") / INDEX(GOOGLEFINANCE(C133, ""price"", EDATE(TODAY(), -1), TODAY()), 2, 2)) - 1, """")"),"")</f>
        <v/>
      </c>
      <c r="N133" s="21" t="str">
        <f>IFERROR(__xludf.DUMMYFUNCTION("IFERROR((GOOGLEFINANCE(C133, ""price"") / INDEX(GOOGLEFINANCE(C133, ""price"", EDATE(TODAY(), -3), TODAY()), 2, 2)) - 1, """")"),"")</f>
        <v/>
      </c>
      <c r="O133" s="21" t="str">
        <f>IFERROR(__xludf.DUMMYFUNCTION("IFERROR((GOOGLEFINANCE(C133, ""price"") / INDEX(GOOGLEFINANCE(C133, ""price"", EDATE(TODAY(), -6), TODAY()), 2, 2)) - 1, """")"),"")</f>
        <v/>
      </c>
      <c r="P133" s="21" t="str">
        <f>IFERROR(__xludf.DUMMYFUNCTION("IFERROR((GOOGLEFINANCE(C133, ""price"") / INDEX(GOOGLEFINANCE(C133, ""price"", EDATE(TODAY(), -12), TODAY()), 2, 2)) - 1, """")"),"")</f>
        <v/>
      </c>
      <c r="Q133" s="6" t="str">
        <f>IFERROR(__xludf.DUMMYFUNCTION("AVERAGE(QUERY(GOOGLEFINANCE(C133, ""price"", TODAY()-80, TODAY()), ""SELECT Col2 WHERE Col2 IS NOT NULL ORDER BY Col1 DESC LIMIT 50"", 0))"),"#N/A")</f>
        <v>#N/A</v>
      </c>
      <c r="R133" s="24" t="str">
        <f>IFERROR(__xludf.DUMMYFUNCTION("IFERROR(
  LET(
    data, QUERY(GOOGLEFINANCE(C133,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GOOGLEFINANCE(C133, ""price"")) * 100,
    IF(calc=0, G133, calc)
  ), 
G133)"),"#N/A")</f>
        <v>#N/A</v>
      </c>
      <c r="S133" s="8" t="s">
        <v>15</v>
      </c>
      <c r="T133" s="26" t="str">
        <f>IFERROR(__xludf.DUMMYFUNCTION("IFERROR(TRANSPOSE(QUERY(IFERROR(SORT(GOOGLEFINANCE(C133, ""price"", WORKDAY(TODAY(), -40), TODAY()), 1, FALSE)), ""select Col2 where Col2 is not null limit 22 label Col2 ''"", 0)), """")"),"")</f>
        <v/>
      </c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8"/>
      <c r="AO133" s="28"/>
      <c r="AP133" s="29"/>
      <c r="AQ133" s="29" t="str">
        <f t="shared" ref="AQ133:BL133" si="136">T133/T$2</f>
        <v>#N/A</v>
      </c>
      <c r="AR133" s="29" t="str">
        <f t="shared" si="136"/>
        <v>#DIV/0!</v>
      </c>
      <c r="AS133" s="29" t="str">
        <f t="shared" si="136"/>
        <v>#DIV/0!</v>
      </c>
      <c r="AT133" s="29" t="str">
        <f t="shared" si="136"/>
        <v>#DIV/0!</v>
      </c>
      <c r="AU133" s="29" t="str">
        <f t="shared" si="136"/>
        <v>#DIV/0!</v>
      </c>
      <c r="AV133" s="29" t="str">
        <f t="shared" si="136"/>
        <v>#DIV/0!</v>
      </c>
      <c r="AW133" s="29" t="str">
        <f t="shared" si="136"/>
        <v>#DIV/0!</v>
      </c>
      <c r="AX133" s="29" t="str">
        <f t="shared" si="136"/>
        <v>#DIV/0!</v>
      </c>
      <c r="AY133" s="29" t="str">
        <f t="shared" si="136"/>
        <v>#DIV/0!</v>
      </c>
      <c r="AZ133" s="29" t="str">
        <f t="shared" si="136"/>
        <v>#DIV/0!</v>
      </c>
      <c r="BA133" s="29" t="str">
        <f t="shared" si="136"/>
        <v>#DIV/0!</v>
      </c>
      <c r="BB133" s="29" t="str">
        <f t="shared" si="136"/>
        <v>#DIV/0!</v>
      </c>
      <c r="BC133" s="29" t="str">
        <f t="shared" si="136"/>
        <v>#DIV/0!</v>
      </c>
      <c r="BD133" s="29" t="str">
        <f t="shared" si="136"/>
        <v>#DIV/0!</v>
      </c>
      <c r="BE133" s="29" t="str">
        <f t="shared" si="136"/>
        <v>#DIV/0!</v>
      </c>
      <c r="BF133" s="29" t="str">
        <f t="shared" si="136"/>
        <v>#DIV/0!</v>
      </c>
      <c r="BG133" s="29" t="str">
        <f t="shared" si="136"/>
        <v>#DIV/0!</v>
      </c>
      <c r="BH133" s="29" t="str">
        <f t="shared" si="136"/>
        <v>#DIV/0!</v>
      </c>
      <c r="BI133" s="29" t="str">
        <f t="shared" si="136"/>
        <v>#DIV/0!</v>
      </c>
      <c r="BJ133" s="29" t="str">
        <f t="shared" si="136"/>
        <v>#DIV/0!</v>
      </c>
      <c r="BK133" s="29" t="str">
        <f t="shared" si="136"/>
        <v>#DIV/0!</v>
      </c>
      <c r="BL133" s="29" t="str">
        <f t="shared" si="136"/>
        <v>#DIV/0!</v>
      </c>
      <c r="BM133" s="29" t="str">
        <f t="shared" si="3"/>
        <v>#DIV/0!</v>
      </c>
    </row>
    <row r="134">
      <c r="A134" s="16" t="str">
        <f>IFERROR(__xludf.DUMMYFUNCTION("IFERROR(SPARKLINE(SORT(MAP(TRANSPOSE(AQ134:BL134), LAMBDA(val, IF(ISNUMBER(val), PERCENTRANK(AQ134:BL134, val)+0.01, 0))), SEQUENCE(COLUMNS(AQ134:BL134)), FALSE), {""charttype"",""column""; ""color"",""chartreuse""; ""ymin"", 0; ""ymax"", 1.01; ""highcolo"&amp;"r"", ""darkgreen""; ""lowcolor"", ""red""}), """")"),"")</f>
        <v/>
      </c>
      <c r="B134" s="17" t="str">
        <f t="shared" si="4"/>
        <v/>
      </c>
      <c r="C134" s="1" t="s">
        <v>697</v>
      </c>
      <c r="D134" s="30" t="str">
        <f>IFERROR(__xludf.DUMMYFUNCTION("IFERROR(GOOGLEFINANCE(C134, ""NAME""))"),"National CineMedia, Inc.")</f>
        <v>National CineMedia, Inc.</v>
      </c>
      <c r="E134" s="30" t="s">
        <v>116</v>
      </c>
      <c r="F134" s="33" t="str">
        <f>IFERROR(__xludf.DUMMYFUNCTION("( (GOOGLEFINANCE(C134, ""price"") - Q134) / Q134 ) / (R134 / 100)"),"Loading...")</f>
        <v>Loading...</v>
      </c>
      <c r="G134" s="20" t="str">
        <f>IFERROR(__xludf.DUMMYFUNCTION("AVERAGE(ARRAYFORMULA(100 * (QUERY(GOOGLEFINANCE(C134, ""high"", TODAY()-40, TODAY()), ""SELECT Col2 WHERE Col2 IS NOT NULL ORDER BY Col1 DESC LIMIT 20"", 0) / QUERY(GOOGLEFINANCE(C134, ""low"", TODAY()-40, TODAY()), ""SELECT Col2 WHERE Col2 IS NOT NULL OR"&amp;"DER BY Col1 DESC LIMIT 20"", 0) - 1)))"),"#N/A")</f>
        <v>#N/A</v>
      </c>
      <c r="H134" s="35" t="str">
        <f t="shared" si="6"/>
        <v>Illiquid</v>
      </c>
      <c r="I134" s="36" t="str">
        <f t="shared" si="7"/>
        <v>RVol Required</v>
      </c>
      <c r="J134" s="37">
        <f>IFERROR(__xludf.DUMMYFUNCTION("IFERROR(
  IF(C134="""",, 
    IFERROR(
      GOOGLEFINANCE(C134, ""price"") * GOOGLEFINANCE(C134, ""volumeavg""), 
      GOOGLEFINANCE(C134, ""price"") * AVERAGE(QUERY(GOOGLEFINANCE(C134, ""volume"", TODAY()-40, TODAY()), ""SELECT Col2 WHERE Col2 IS NOT "&amp;"NULL ORDER BY Col1 DESC LIMIT 20"", 0))
    )
  ), 
"""")"),2417253.44)</f>
        <v>2417253.44</v>
      </c>
      <c r="K134" s="21">
        <f>IFERROR(__xludf.DUMMYFUNCTION("IFERROR(GOOGLEFINANCE(C134, ""changepct"") / 100, """")"),-0.08439999999999999)</f>
        <v>-0.0844</v>
      </c>
      <c r="L134" s="21" t="str">
        <f>IFERROR(__xludf.DUMMYFUNCTION("IFERROR((GOOGLEFINANCE(C134, ""price"") / INDEX(GOOGLEFINANCE(C134, ""price"", TODAY()-7, TODAY()), 2, 2)) - 1, """")"),"")</f>
        <v/>
      </c>
      <c r="M134" s="21" t="str">
        <f>IFERROR(__xludf.DUMMYFUNCTION("IFERROR((GOOGLEFINANCE(C134, ""price"") / INDEX(GOOGLEFINANCE(C134, ""price"", EDATE(TODAY(), -1), TODAY()), 2, 2)) - 1, """")"),"")</f>
        <v/>
      </c>
      <c r="N134" s="21" t="str">
        <f>IFERROR(__xludf.DUMMYFUNCTION("IFERROR((GOOGLEFINANCE(C134, ""price"") / INDEX(GOOGLEFINANCE(C134, ""price"", EDATE(TODAY(), -3), TODAY()), 2, 2)) - 1, """")"),"")</f>
        <v/>
      </c>
      <c r="O134" s="21" t="str">
        <f>IFERROR(__xludf.DUMMYFUNCTION("IFERROR((GOOGLEFINANCE(C134, ""price"") / INDEX(GOOGLEFINANCE(C134, ""price"", EDATE(TODAY(), -6), TODAY()), 2, 2)) - 1, """")"),"")</f>
        <v/>
      </c>
      <c r="P134" s="21" t="str">
        <f>IFERROR(__xludf.DUMMYFUNCTION("IFERROR((GOOGLEFINANCE(C134, ""price"") / INDEX(GOOGLEFINANCE(C134, ""price"", EDATE(TODAY(), -12), TODAY()), 2, 2)) - 1, """")"),"")</f>
        <v/>
      </c>
      <c r="Q134" s="6" t="str">
        <f>IFERROR(__xludf.DUMMYFUNCTION("AVERAGE(QUERY(GOOGLEFINANCE(C134, ""price"", TODAY()-80, TODAY()), ""SELECT Col2 WHERE Col2 IS NOT NULL ORDER BY Col1 DESC LIMIT 50"", 0))"),"#N/A")</f>
        <v>#N/A</v>
      </c>
      <c r="R134" s="24" t="str">
        <f>IFERROR(__xludf.DUMMYFUNCTION("IFERROR(
  LET(
    data, QUERY(GOOGLEFINANCE(C134,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GOOGLEFINANCE(C134, ""price"")) * 100,
    IF(calc=0, G134, calc)
  ), 
G134)"),"#N/A")</f>
        <v>#N/A</v>
      </c>
      <c r="S134" s="8" t="s">
        <v>15</v>
      </c>
      <c r="T134" s="26" t="str">
        <f>IFERROR(__xludf.DUMMYFUNCTION("IFERROR(TRANSPOSE(QUERY(IFERROR(SORT(GOOGLEFINANCE(C134, ""price"", WORKDAY(TODAY(), -40), TODAY()), 1, FALSE)), ""select Col2 where Col2 is not null limit 22 label Col2 ''"", 0)), """")"),"")</f>
        <v/>
      </c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8"/>
      <c r="AO134" s="28"/>
      <c r="AP134" s="29"/>
      <c r="AQ134" s="29" t="str">
        <f t="shared" ref="AQ134:BL134" si="137">T134/T$2</f>
        <v>#N/A</v>
      </c>
      <c r="AR134" s="29" t="str">
        <f t="shared" si="137"/>
        <v>#DIV/0!</v>
      </c>
      <c r="AS134" s="29" t="str">
        <f t="shared" si="137"/>
        <v>#DIV/0!</v>
      </c>
      <c r="AT134" s="29" t="str">
        <f t="shared" si="137"/>
        <v>#DIV/0!</v>
      </c>
      <c r="AU134" s="29" t="str">
        <f t="shared" si="137"/>
        <v>#DIV/0!</v>
      </c>
      <c r="AV134" s="29" t="str">
        <f t="shared" si="137"/>
        <v>#DIV/0!</v>
      </c>
      <c r="AW134" s="29" t="str">
        <f t="shared" si="137"/>
        <v>#DIV/0!</v>
      </c>
      <c r="AX134" s="29" t="str">
        <f t="shared" si="137"/>
        <v>#DIV/0!</v>
      </c>
      <c r="AY134" s="29" t="str">
        <f t="shared" si="137"/>
        <v>#DIV/0!</v>
      </c>
      <c r="AZ134" s="29" t="str">
        <f t="shared" si="137"/>
        <v>#DIV/0!</v>
      </c>
      <c r="BA134" s="29" t="str">
        <f t="shared" si="137"/>
        <v>#DIV/0!</v>
      </c>
      <c r="BB134" s="29" t="str">
        <f t="shared" si="137"/>
        <v>#DIV/0!</v>
      </c>
      <c r="BC134" s="29" t="str">
        <f t="shared" si="137"/>
        <v>#DIV/0!</v>
      </c>
      <c r="BD134" s="29" t="str">
        <f t="shared" si="137"/>
        <v>#DIV/0!</v>
      </c>
      <c r="BE134" s="29" t="str">
        <f t="shared" si="137"/>
        <v>#DIV/0!</v>
      </c>
      <c r="BF134" s="29" t="str">
        <f t="shared" si="137"/>
        <v>#DIV/0!</v>
      </c>
      <c r="BG134" s="29" t="str">
        <f t="shared" si="137"/>
        <v>#DIV/0!</v>
      </c>
      <c r="BH134" s="29" t="str">
        <f t="shared" si="137"/>
        <v>#DIV/0!</v>
      </c>
      <c r="BI134" s="29" t="str">
        <f t="shared" si="137"/>
        <v>#DIV/0!</v>
      </c>
      <c r="BJ134" s="29" t="str">
        <f t="shared" si="137"/>
        <v>#DIV/0!</v>
      </c>
      <c r="BK134" s="29" t="str">
        <f t="shared" si="137"/>
        <v>#DIV/0!</v>
      </c>
      <c r="BL134" s="29" t="str">
        <f t="shared" si="137"/>
        <v>#DIV/0!</v>
      </c>
      <c r="BM134" s="29" t="str">
        <f t="shared" si="3"/>
        <v>#DIV/0!</v>
      </c>
    </row>
    <row r="135">
      <c r="A135" s="16" t="str">
        <f>IFERROR(__xludf.DUMMYFUNCTION("IFERROR(SPARKLINE(SORT(MAP(TRANSPOSE(AQ135:BL135), LAMBDA(val, IF(ISNUMBER(val), PERCENTRANK(AQ135:BL135, val)+0.01, 0))), SEQUENCE(COLUMNS(AQ135:BL135)), FALSE), {""charttype"",""column""; ""color"",""chartreuse""; ""ymin"", 0; ""ymax"", 1.01; ""highcolo"&amp;"r"", ""darkgreen""; ""lowcolor"", ""red""}), """")"),"")</f>
        <v/>
      </c>
      <c r="B135" s="17" t="str">
        <f t="shared" si="4"/>
        <v/>
      </c>
      <c r="C135" s="1" t="s">
        <v>704</v>
      </c>
      <c r="D135" s="30" t="str">
        <f>IFERROR(__xludf.DUMMYFUNCTION("IFERROR(GOOGLEFINANCE(C135, ""NAME""))"),"Shenandoah Telecommunications Co")</f>
        <v>Shenandoah Telecommunications Co</v>
      </c>
      <c r="E135" s="30" t="s">
        <v>52</v>
      </c>
      <c r="F135" s="33" t="str">
        <f>IFERROR(__xludf.DUMMYFUNCTION("( (GOOGLEFINANCE(C135, ""price"") - Q135) / Q135 ) / (R135 / 100)"),"Loading...")</f>
        <v>Loading...</v>
      </c>
      <c r="G135" s="20" t="str">
        <f>IFERROR(__xludf.DUMMYFUNCTION("AVERAGE(ARRAYFORMULA(100 * (QUERY(GOOGLEFINANCE(C135, ""high"", TODAY()-40, TODAY()), ""SELECT Col2 WHERE Col2 IS NOT NULL ORDER BY Col1 DESC LIMIT 20"", 0) / QUERY(GOOGLEFINANCE(C135, ""low"", TODAY()-40, TODAY()), ""SELECT Col2 WHERE Col2 IS NOT NULL OR"&amp;"DER BY Col1 DESC LIMIT 20"", 0) - 1)))"),"#N/A")</f>
        <v>#N/A</v>
      </c>
      <c r="H135" s="35" t="str">
        <f t="shared" si="6"/>
        <v>Illiquid</v>
      </c>
      <c r="I135" s="36" t="str">
        <f t="shared" si="7"/>
        <v>RVol Required</v>
      </c>
      <c r="J135" s="37">
        <f>IFERROR(__xludf.DUMMYFUNCTION("IFERROR(
  IF(C135="""",, 
    IFERROR(
      GOOGLEFINANCE(C135, ""price"") * GOOGLEFINANCE(C135, ""volumeavg""), 
      GOOGLEFINANCE(C135, ""price"") * AVERAGE(QUERY(GOOGLEFINANCE(C135, ""volume"", TODAY()-40, TODAY()), ""SELECT Col2 WHERE Col2 IS NOT "&amp;"NULL ORDER BY Col1 DESC LIMIT 20"", 0))
    )
  ), 
"""")"),1.0966482100000001E7)</f>
        <v>10966482.1</v>
      </c>
      <c r="K135" s="21">
        <f>IFERROR(__xludf.DUMMYFUNCTION("IFERROR(GOOGLEFINANCE(C135, ""changepct"") / 100, """")"),0.0068000000000000005)</f>
        <v>0.0068</v>
      </c>
      <c r="L135" s="21" t="str">
        <f>IFERROR(__xludf.DUMMYFUNCTION("IFERROR((GOOGLEFINANCE(C135, ""price"") / INDEX(GOOGLEFINANCE(C135, ""price"", TODAY()-7, TODAY()), 2, 2)) - 1, """")"),"")</f>
        <v/>
      </c>
      <c r="M135" s="21" t="str">
        <f>IFERROR(__xludf.DUMMYFUNCTION("IFERROR((GOOGLEFINANCE(C135, ""price"") / INDEX(GOOGLEFINANCE(C135, ""price"", EDATE(TODAY(), -1), TODAY()), 2, 2)) - 1, """")"),"")</f>
        <v/>
      </c>
      <c r="N135" s="21" t="str">
        <f>IFERROR(__xludf.DUMMYFUNCTION("IFERROR((GOOGLEFINANCE(C135, ""price"") / INDEX(GOOGLEFINANCE(C135, ""price"", EDATE(TODAY(), -3), TODAY()), 2, 2)) - 1, """")"),"")</f>
        <v/>
      </c>
      <c r="O135" s="21" t="str">
        <f>IFERROR(__xludf.DUMMYFUNCTION("IFERROR((GOOGLEFINANCE(C135, ""price"") / INDEX(GOOGLEFINANCE(C135, ""price"", EDATE(TODAY(), -6), TODAY()), 2, 2)) - 1, """")"),"")</f>
        <v/>
      </c>
      <c r="P135" s="21" t="str">
        <f>IFERROR(__xludf.DUMMYFUNCTION("IFERROR((GOOGLEFINANCE(C135, ""price"") / INDEX(GOOGLEFINANCE(C135, ""price"", EDATE(TODAY(), -12), TODAY()), 2, 2)) - 1, """")"),"")</f>
        <v/>
      </c>
      <c r="Q135" s="6" t="str">
        <f>IFERROR(__xludf.DUMMYFUNCTION("AVERAGE(QUERY(GOOGLEFINANCE(C135, ""price"", TODAY()-80, TODAY()), ""SELECT Col2 WHERE Col2 IS NOT NULL ORDER BY Col1 DESC LIMIT 50"", 0))"),"#N/A")</f>
        <v>#N/A</v>
      </c>
      <c r="R135" s="24" t="str">
        <f>IFERROR(__xludf.DUMMYFUNCTION("IFERROR(
  LET(
    data, QUERY(GOOGLEFINANCE(C135,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GOOGLEFINANCE(C135, ""price"")) * 100,
    IF(calc=0, G135, calc)
  ), 
G135)"),"#N/A")</f>
        <v>#N/A</v>
      </c>
      <c r="S135" s="8" t="s">
        <v>15</v>
      </c>
      <c r="T135" s="26" t="str">
        <f>IFERROR(__xludf.DUMMYFUNCTION("IFERROR(TRANSPOSE(QUERY(IFERROR(SORT(GOOGLEFINANCE(C135, ""price"", WORKDAY(TODAY(), -40), TODAY()), 1, FALSE)), ""select Col2 where Col2 is not null limit 22 label Col2 ''"", 0)), """")"),"")</f>
        <v/>
      </c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8"/>
      <c r="AO135" s="28"/>
      <c r="AP135" s="29"/>
      <c r="AQ135" s="29" t="str">
        <f t="shared" ref="AQ135:BL135" si="138">T135/T$2</f>
        <v>#N/A</v>
      </c>
      <c r="AR135" s="29" t="str">
        <f t="shared" si="138"/>
        <v>#DIV/0!</v>
      </c>
      <c r="AS135" s="29" t="str">
        <f t="shared" si="138"/>
        <v>#DIV/0!</v>
      </c>
      <c r="AT135" s="29" t="str">
        <f t="shared" si="138"/>
        <v>#DIV/0!</v>
      </c>
      <c r="AU135" s="29" t="str">
        <f t="shared" si="138"/>
        <v>#DIV/0!</v>
      </c>
      <c r="AV135" s="29" t="str">
        <f t="shared" si="138"/>
        <v>#DIV/0!</v>
      </c>
      <c r="AW135" s="29" t="str">
        <f t="shared" si="138"/>
        <v>#DIV/0!</v>
      </c>
      <c r="AX135" s="29" t="str">
        <f t="shared" si="138"/>
        <v>#DIV/0!</v>
      </c>
      <c r="AY135" s="29" t="str">
        <f t="shared" si="138"/>
        <v>#DIV/0!</v>
      </c>
      <c r="AZ135" s="29" t="str">
        <f t="shared" si="138"/>
        <v>#DIV/0!</v>
      </c>
      <c r="BA135" s="29" t="str">
        <f t="shared" si="138"/>
        <v>#DIV/0!</v>
      </c>
      <c r="BB135" s="29" t="str">
        <f t="shared" si="138"/>
        <v>#DIV/0!</v>
      </c>
      <c r="BC135" s="29" t="str">
        <f t="shared" si="138"/>
        <v>#DIV/0!</v>
      </c>
      <c r="BD135" s="29" t="str">
        <f t="shared" si="138"/>
        <v>#DIV/0!</v>
      </c>
      <c r="BE135" s="29" t="str">
        <f t="shared" si="138"/>
        <v>#DIV/0!</v>
      </c>
      <c r="BF135" s="29" t="str">
        <f t="shared" si="138"/>
        <v>#DIV/0!</v>
      </c>
      <c r="BG135" s="29" t="str">
        <f t="shared" si="138"/>
        <v>#DIV/0!</v>
      </c>
      <c r="BH135" s="29" t="str">
        <f t="shared" si="138"/>
        <v>#DIV/0!</v>
      </c>
      <c r="BI135" s="29" t="str">
        <f t="shared" si="138"/>
        <v>#DIV/0!</v>
      </c>
      <c r="BJ135" s="29" t="str">
        <f t="shared" si="138"/>
        <v>#DIV/0!</v>
      </c>
      <c r="BK135" s="29" t="str">
        <f t="shared" si="138"/>
        <v>#DIV/0!</v>
      </c>
      <c r="BL135" s="29" t="str">
        <f t="shared" si="138"/>
        <v>#DIV/0!</v>
      </c>
      <c r="BM135" s="29" t="str">
        <f t="shared" si="3"/>
        <v>#DIV/0!</v>
      </c>
    </row>
    <row r="136">
      <c r="A136" s="16" t="str">
        <f>IFERROR(__xludf.DUMMYFUNCTION("IFERROR(SPARKLINE(SORT(MAP(TRANSPOSE(AQ136:BL136), LAMBDA(val, IF(ISNUMBER(val), PERCENTRANK(AQ136:BL136, val)+0.01, 0))), SEQUENCE(COLUMNS(AQ136:BL136)), FALSE), {""charttype"",""column""; ""color"",""chartreuse""; ""ymin"", 0; ""ymax"", 1.01; ""highcolo"&amp;"r"", ""darkgreen""; ""lowcolor"", ""red""}), """")"),"")</f>
        <v/>
      </c>
      <c r="B136" s="17" t="str">
        <f t="shared" si="4"/>
        <v/>
      </c>
      <c r="C136" s="1" t="s">
        <v>707</v>
      </c>
      <c r="D136" s="30" t="str">
        <f>IFERROR(__xludf.DUMMYFUNCTION("IFERROR(GOOGLEFINANCE(C136, ""NAME""))"),"Telkom Indonesia (Persero) Tbk PT -ADR")</f>
        <v>Telkom Indonesia (Persero) Tbk PT -ADR</v>
      </c>
      <c r="E136" s="30" t="s">
        <v>52</v>
      </c>
      <c r="F136" s="33" t="str">
        <f>IFERROR(__xludf.DUMMYFUNCTION("( (GOOGLEFINANCE(C136, ""price"") - Q136) / Q136 ) / (R136 / 100)"),"Loading...")</f>
        <v>Loading...</v>
      </c>
      <c r="G136" s="20" t="str">
        <f>IFERROR(__xludf.DUMMYFUNCTION("AVERAGE(ARRAYFORMULA(100 * (QUERY(GOOGLEFINANCE(C136, ""high"", TODAY()-40, TODAY()), ""SELECT Col2 WHERE Col2 IS NOT NULL ORDER BY Col1 DESC LIMIT 20"", 0) / QUERY(GOOGLEFINANCE(C136, ""low"", TODAY()-40, TODAY()), ""SELECT Col2 WHERE Col2 IS NOT NULL OR"&amp;"DER BY Col1 DESC LIMIT 20"", 0) - 1)))"),"#N/A")</f>
        <v>#N/A</v>
      </c>
      <c r="H136" s="35" t="str">
        <f t="shared" si="6"/>
        <v>Illiquid</v>
      </c>
      <c r="I136" s="36" t="str">
        <f t="shared" si="7"/>
        <v>RVol Required</v>
      </c>
      <c r="J136" s="37">
        <f>IFERROR(__xludf.DUMMYFUNCTION("IFERROR(
  IF(C136="""",, 
    IFERROR(
      GOOGLEFINANCE(C136, ""price"") * GOOGLEFINANCE(C136, ""volumeavg""), 
      GOOGLEFINANCE(C136, ""price"") * AVERAGE(QUERY(GOOGLEFINANCE(C136, ""volume"", TODAY()-40, TODAY()), ""SELECT Col2 WHERE Col2 IS NOT "&amp;"NULL ORDER BY Col1 DESC LIMIT 20"", 0))
    )
  ), 
"""")"),1.132083904E7)</f>
        <v>11320839.04</v>
      </c>
      <c r="K136" s="21">
        <f>IFERROR(__xludf.DUMMYFUNCTION("IFERROR(GOOGLEFINANCE(C136, ""changepct"") / 100, """")"),-0.1369)</f>
        <v>-0.1369</v>
      </c>
      <c r="L136" s="21" t="str">
        <f>IFERROR(__xludf.DUMMYFUNCTION("IFERROR((GOOGLEFINANCE(C136, ""price"") / INDEX(GOOGLEFINANCE(C136, ""price"", TODAY()-7, TODAY()), 2, 2)) - 1, """")"),"")</f>
        <v/>
      </c>
      <c r="M136" s="21" t="str">
        <f>IFERROR(__xludf.DUMMYFUNCTION("IFERROR((GOOGLEFINANCE(C136, ""price"") / INDEX(GOOGLEFINANCE(C136, ""price"", EDATE(TODAY(), -1), TODAY()), 2, 2)) - 1, """")"),"")</f>
        <v/>
      </c>
      <c r="N136" s="21" t="str">
        <f>IFERROR(__xludf.DUMMYFUNCTION("IFERROR((GOOGLEFINANCE(C136, ""price"") / INDEX(GOOGLEFINANCE(C136, ""price"", EDATE(TODAY(), -3), TODAY()), 2, 2)) - 1, """")"),"")</f>
        <v/>
      </c>
      <c r="O136" s="21" t="str">
        <f>IFERROR(__xludf.DUMMYFUNCTION("IFERROR((GOOGLEFINANCE(C136, ""price"") / INDEX(GOOGLEFINANCE(C136, ""price"", EDATE(TODAY(), -6), TODAY()), 2, 2)) - 1, """")"),"")</f>
        <v/>
      </c>
      <c r="P136" s="21" t="str">
        <f>IFERROR(__xludf.DUMMYFUNCTION("IFERROR((GOOGLEFINANCE(C136, ""price"") / INDEX(GOOGLEFINANCE(C136, ""price"", EDATE(TODAY(), -12), TODAY()), 2, 2)) - 1, """")"),"")</f>
        <v/>
      </c>
      <c r="Q136" s="6" t="str">
        <f>IFERROR(__xludf.DUMMYFUNCTION("AVERAGE(QUERY(GOOGLEFINANCE(C136, ""price"", TODAY()-80, TODAY()), ""SELECT Col2 WHERE Col2 IS NOT NULL ORDER BY Col1 DESC LIMIT 50"", 0))"),"#N/A")</f>
        <v>#N/A</v>
      </c>
      <c r="R136" s="24" t="str">
        <f>IFERROR(__xludf.DUMMYFUNCTION("IFERROR(
  LET(
    data, QUERY(GOOGLEFINANCE(C136,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GOOGLEFINANCE(C136, ""price"")) * 100,
    IF(calc=0, G136, calc)
  ), 
G136)"),"#N/A")</f>
        <v>#N/A</v>
      </c>
      <c r="S136" s="8" t="s">
        <v>15</v>
      </c>
      <c r="T136" s="26" t="str">
        <f>IFERROR(__xludf.DUMMYFUNCTION("IFERROR(TRANSPOSE(QUERY(IFERROR(SORT(GOOGLEFINANCE(C136, ""price"", WORKDAY(TODAY(), -40), TODAY()), 1, FALSE)), ""select Col2 where Col2 is not null limit 22 label Col2 ''"", 0)), """")"),"")</f>
        <v/>
      </c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8"/>
      <c r="AO136" s="28"/>
      <c r="AP136" s="29"/>
      <c r="AQ136" s="29" t="str">
        <f t="shared" ref="AQ136:BL136" si="139">T136/T$2</f>
        <v>#N/A</v>
      </c>
      <c r="AR136" s="29" t="str">
        <f t="shared" si="139"/>
        <v>#DIV/0!</v>
      </c>
      <c r="AS136" s="29" t="str">
        <f t="shared" si="139"/>
        <v>#DIV/0!</v>
      </c>
      <c r="AT136" s="29" t="str">
        <f t="shared" si="139"/>
        <v>#DIV/0!</v>
      </c>
      <c r="AU136" s="29" t="str">
        <f t="shared" si="139"/>
        <v>#DIV/0!</v>
      </c>
      <c r="AV136" s="29" t="str">
        <f t="shared" si="139"/>
        <v>#DIV/0!</v>
      </c>
      <c r="AW136" s="29" t="str">
        <f t="shared" si="139"/>
        <v>#DIV/0!</v>
      </c>
      <c r="AX136" s="29" t="str">
        <f t="shared" si="139"/>
        <v>#DIV/0!</v>
      </c>
      <c r="AY136" s="29" t="str">
        <f t="shared" si="139"/>
        <v>#DIV/0!</v>
      </c>
      <c r="AZ136" s="29" t="str">
        <f t="shared" si="139"/>
        <v>#DIV/0!</v>
      </c>
      <c r="BA136" s="29" t="str">
        <f t="shared" si="139"/>
        <v>#DIV/0!</v>
      </c>
      <c r="BB136" s="29" t="str">
        <f t="shared" si="139"/>
        <v>#DIV/0!</v>
      </c>
      <c r="BC136" s="29" t="str">
        <f t="shared" si="139"/>
        <v>#DIV/0!</v>
      </c>
      <c r="BD136" s="29" t="str">
        <f t="shared" si="139"/>
        <v>#DIV/0!</v>
      </c>
      <c r="BE136" s="29" t="str">
        <f t="shared" si="139"/>
        <v>#DIV/0!</v>
      </c>
      <c r="BF136" s="29" t="str">
        <f t="shared" si="139"/>
        <v>#DIV/0!</v>
      </c>
      <c r="BG136" s="29" t="str">
        <f t="shared" si="139"/>
        <v>#DIV/0!</v>
      </c>
      <c r="BH136" s="29" t="str">
        <f t="shared" si="139"/>
        <v>#DIV/0!</v>
      </c>
      <c r="BI136" s="29" t="str">
        <f t="shared" si="139"/>
        <v>#DIV/0!</v>
      </c>
      <c r="BJ136" s="29" t="str">
        <f t="shared" si="139"/>
        <v>#DIV/0!</v>
      </c>
      <c r="BK136" s="29" t="str">
        <f t="shared" si="139"/>
        <v>#DIV/0!</v>
      </c>
      <c r="BL136" s="29" t="str">
        <f t="shared" si="139"/>
        <v>#DIV/0!</v>
      </c>
      <c r="BM136" s="29" t="str">
        <f t="shared" si="3"/>
        <v>#DIV/0!</v>
      </c>
    </row>
    <row r="137">
      <c r="A137" s="16" t="str">
        <f>IFERROR(__xludf.DUMMYFUNCTION("IFERROR(SPARKLINE(SORT(MAP(TRANSPOSE(AQ137:BL137), LAMBDA(val, IF(ISNUMBER(val), PERCENTRANK(AQ137:BL137, val)+0.01, 0))), SEQUENCE(COLUMNS(AQ137:BL137)), FALSE), {""charttype"",""column""; ""color"",""chartreuse""; ""ymin"", 0; ""ymax"", 1.01; ""highcolo"&amp;"r"", ""darkgreen""; ""lowcolor"", ""red""}), """")"),"")</f>
        <v/>
      </c>
      <c r="B137" s="17" t="str">
        <f t="shared" si="4"/>
        <v/>
      </c>
      <c r="C137" s="1" t="s">
        <v>710</v>
      </c>
      <c r="D137" s="30" t="str">
        <f>IFERROR(__xludf.DUMMYFUNCTION("IFERROR(GOOGLEFINANCE(C137, ""NAME""))"),"Bilibili Inc - ADR")</f>
        <v>Bilibili Inc - ADR</v>
      </c>
      <c r="E137" s="30" t="s">
        <v>69</v>
      </c>
      <c r="F137" s="33" t="str">
        <f>IFERROR(__xludf.DUMMYFUNCTION("( (GOOGLEFINANCE(C137, ""price"") - Q137) / Q137 ) / (R137 / 100)"),"Loading...")</f>
        <v>Loading...</v>
      </c>
      <c r="G137" s="20" t="str">
        <f>IFERROR(__xludf.DUMMYFUNCTION("AVERAGE(ARRAYFORMULA(100 * (QUERY(GOOGLEFINANCE(C137, ""high"", TODAY()-40, TODAY()), ""SELECT Col2 WHERE Col2 IS NOT NULL ORDER BY Col1 DESC LIMIT 20"", 0) / QUERY(GOOGLEFINANCE(C137, ""low"", TODAY()-40, TODAY()), ""SELECT Col2 WHERE Col2 IS NOT NULL OR"&amp;"DER BY Col1 DESC LIMIT 20"", 0) - 1)))"),"#N/A")</f>
        <v>#N/A</v>
      </c>
      <c r="H137" s="35" t="str">
        <f t="shared" si="6"/>
        <v>Illiquid</v>
      </c>
      <c r="I137" s="36" t="str">
        <f t="shared" si="7"/>
        <v>RVol Required</v>
      </c>
      <c r="J137" s="37">
        <f>IFERROR(__xludf.DUMMYFUNCTION("IFERROR(
  IF(C137="""",, 
    IFERROR(
      GOOGLEFINANCE(C137, ""price"") * GOOGLEFINANCE(C137, ""volumeavg""), 
      GOOGLEFINANCE(C137, ""price"") * AVERAGE(QUERY(GOOGLEFINANCE(C137, ""volume"", TODAY()-40, TODAY()), ""SELECT Col2 WHERE Col2 IS NOT "&amp;"NULL ORDER BY Col1 DESC LIMIT 20"", 0))
    )
  ), 
"""")"),4.644286101E7)</f>
        <v>46442861.01</v>
      </c>
      <c r="K137" s="21">
        <f>IFERROR(__xludf.DUMMYFUNCTION("IFERROR(GOOGLEFINANCE(C137, ""changepct"") / 100, """")"),-0.024900000000000002)</f>
        <v>-0.0249</v>
      </c>
      <c r="L137" s="21" t="str">
        <f>IFERROR(__xludf.DUMMYFUNCTION("IFERROR((GOOGLEFINANCE(C137, ""price"") / INDEX(GOOGLEFINANCE(C137, ""price"", TODAY()-7, TODAY()), 2, 2)) - 1, """")"),"")</f>
        <v/>
      </c>
      <c r="M137" s="21" t="str">
        <f>IFERROR(__xludf.DUMMYFUNCTION("IFERROR((GOOGLEFINANCE(C137, ""price"") / INDEX(GOOGLEFINANCE(C137, ""price"", EDATE(TODAY(), -1), TODAY()), 2, 2)) - 1, """")"),"")</f>
        <v/>
      </c>
      <c r="N137" s="21" t="str">
        <f>IFERROR(__xludf.DUMMYFUNCTION("IFERROR((GOOGLEFINANCE(C137, ""price"") / INDEX(GOOGLEFINANCE(C137, ""price"", EDATE(TODAY(), -3), TODAY()), 2, 2)) - 1, """")"),"")</f>
        <v/>
      </c>
      <c r="O137" s="21" t="str">
        <f>IFERROR(__xludf.DUMMYFUNCTION("IFERROR((GOOGLEFINANCE(C137, ""price"") / INDEX(GOOGLEFINANCE(C137, ""price"", EDATE(TODAY(), -6), TODAY()), 2, 2)) - 1, """")"),"")</f>
        <v/>
      </c>
      <c r="P137" s="21" t="str">
        <f>IFERROR(__xludf.DUMMYFUNCTION("IFERROR((GOOGLEFINANCE(C137, ""price"") / INDEX(GOOGLEFINANCE(C137, ""price"", EDATE(TODAY(), -12), TODAY()), 2, 2)) - 1, """")"),"")</f>
        <v/>
      </c>
      <c r="Q137" s="6" t="str">
        <f>IFERROR(__xludf.DUMMYFUNCTION("AVERAGE(QUERY(GOOGLEFINANCE(C137, ""price"", TODAY()-80, TODAY()), ""SELECT Col2 WHERE Col2 IS NOT NULL ORDER BY Col1 DESC LIMIT 50"", 0))"),"#N/A")</f>
        <v>#N/A</v>
      </c>
      <c r="R137" s="24" t="str">
        <f>IFERROR(__xludf.DUMMYFUNCTION("IFERROR(
  LET(
    data, QUERY(GOOGLEFINANCE(C137,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GOOGLEFINANCE(C137, ""price"")) * 100,
    IF(calc=0, G137, calc)
  ), 
G137)"),"#N/A")</f>
        <v>#N/A</v>
      </c>
      <c r="S137" s="8" t="s">
        <v>15</v>
      </c>
      <c r="T137" s="26" t="str">
        <f>IFERROR(__xludf.DUMMYFUNCTION("IFERROR(TRANSPOSE(QUERY(IFERROR(SORT(GOOGLEFINANCE(C137, ""price"", WORKDAY(TODAY(), -40), TODAY()), 1, FALSE)), ""select Col2 where Col2 is not null limit 22 label Col2 ''"", 0)), """")"),"")</f>
        <v/>
      </c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8"/>
      <c r="AO137" s="28"/>
      <c r="AP137" s="29"/>
      <c r="AQ137" s="29" t="str">
        <f t="shared" ref="AQ137:BL137" si="140">T137/T$2</f>
        <v>#N/A</v>
      </c>
      <c r="AR137" s="29" t="str">
        <f t="shared" si="140"/>
        <v>#DIV/0!</v>
      </c>
      <c r="AS137" s="29" t="str">
        <f t="shared" si="140"/>
        <v>#DIV/0!</v>
      </c>
      <c r="AT137" s="29" t="str">
        <f t="shared" si="140"/>
        <v>#DIV/0!</v>
      </c>
      <c r="AU137" s="29" t="str">
        <f t="shared" si="140"/>
        <v>#DIV/0!</v>
      </c>
      <c r="AV137" s="29" t="str">
        <f t="shared" si="140"/>
        <v>#DIV/0!</v>
      </c>
      <c r="AW137" s="29" t="str">
        <f t="shared" si="140"/>
        <v>#DIV/0!</v>
      </c>
      <c r="AX137" s="29" t="str">
        <f t="shared" si="140"/>
        <v>#DIV/0!</v>
      </c>
      <c r="AY137" s="29" t="str">
        <f t="shared" si="140"/>
        <v>#DIV/0!</v>
      </c>
      <c r="AZ137" s="29" t="str">
        <f t="shared" si="140"/>
        <v>#DIV/0!</v>
      </c>
      <c r="BA137" s="29" t="str">
        <f t="shared" si="140"/>
        <v>#DIV/0!</v>
      </c>
      <c r="BB137" s="29" t="str">
        <f t="shared" si="140"/>
        <v>#DIV/0!</v>
      </c>
      <c r="BC137" s="29" t="str">
        <f t="shared" si="140"/>
        <v>#DIV/0!</v>
      </c>
      <c r="BD137" s="29" t="str">
        <f t="shared" si="140"/>
        <v>#DIV/0!</v>
      </c>
      <c r="BE137" s="29" t="str">
        <f t="shared" si="140"/>
        <v>#DIV/0!</v>
      </c>
      <c r="BF137" s="29" t="str">
        <f t="shared" si="140"/>
        <v>#DIV/0!</v>
      </c>
      <c r="BG137" s="29" t="str">
        <f t="shared" si="140"/>
        <v>#DIV/0!</v>
      </c>
      <c r="BH137" s="29" t="str">
        <f t="shared" si="140"/>
        <v>#DIV/0!</v>
      </c>
      <c r="BI137" s="29" t="str">
        <f t="shared" si="140"/>
        <v>#DIV/0!</v>
      </c>
      <c r="BJ137" s="29" t="str">
        <f t="shared" si="140"/>
        <v>#DIV/0!</v>
      </c>
      <c r="BK137" s="29" t="str">
        <f t="shared" si="140"/>
        <v>#DIV/0!</v>
      </c>
      <c r="BL137" s="29" t="str">
        <f t="shared" si="140"/>
        <v>#DIV/0!</v>
      </c>
      <c r="BM137" s="29" t="str">
        <f t="shared" si="3"/>
        <v>#DIV/0!</v>
      </c>
    </row>
    <row r="138">
      <c r="A138" s="16" t="str">
        <f>IFERROR(__xludf.DUMMYFUNCTION("IFERROR(SPARKLINE(SORT(MAP(TRANSPOSE(AQ138:BL138), LAMBDA(val, IF(ISNUMBER(val), PERCENTRANK(AQ138:BL138, val)+0.01, 0))), SEQUENCE(COLUMNS(AQ138:BL138)), FALSE), {""charttype"",""column""; ""color"",""chartreuse""; ""ymin"", 0; ""ymax"", 1.01; ""highcolo"&amp;"r"", ""darkgreen""; ""lowcolor"", ""red""}), """")"),"")</f>
        <v/>
      </c>
      <c r="B138" s="17" t="str">
        <f t="shared" si="4"/>
        <v/>
      </c>
      <c r="C138" s="1" t="s">
        <v>714</v>
      </c>
      <c r="D138" s="30" t="str">
        <f>IFERROR(__xludf.DUMMYFUNCTION("IFERROR(GOOGLEFINANCE(C138, ""NAME""))"),"Marcus Corp")</f>
        <v>Marcus Corp</v>
      </c>
      <c r="E138" s="30" t="s">
        <v>62</v>
      </c>
      <c r="F138" s="33" t="str">
        <f>IFERROR(__xludf.DUMMYFUNCTION("( (GOOGLEFINANCE(C138, ""price"") - Q138) / Q138 ) / (R138 / 100)"),"Loading...")</f>
        <v>Loading...</v>
      </c>
      <c r="G138" s="20" t="str">
        <f>IFERROR(__xludf.DUMMYFUNCTION("AVERAGE(ARRAYFORMULA(100 * (QUERY(GOOGLEFINANCE(C138, ""high"", TODAY()-40, TODAY()), ""SELECT Col2 WHERE Col2 IS NOT NULL ORDER BY Col1 DESC LIMIT 20"", 0) / QUERY(GOOGLEFINANCE(C138, ""low"", TODAY()-40, TODAY()), ""SELECT Col2 WHERE Col2 IS NOT NULL OR"&amp;"DER BY Col1 DESC LIMIT 20"", 0) - 1)))"),"#N/A")</f>
        <v>#N/A</v>
      </c>
      <c r="H138" s="35" t="str">
        <f t="shared" si="6"/>
        <v>Illiquid</v>
      </c>
      <c r="I138" s="36" t="str">
        <f t="shared" si="7"/>
        <v>RVol Required</v>
      </c>
      <c r="J138" s="37">
        <f>IFERROR(__xludf.DUMMYFUNCTION("IFERROR(
  IF(C138="""",, 
    IFERROR(
      GOOGLEFINANCE(C138, ""price"") * GOOGLEFINANCE(C138, ""volumeavg""), 
      GOOGLEFINANCE(C138, ""price"") * AVERAGE(QUERY(GOOGLEFINANCE(C138, ""volume"", TODAY()-40, TODAY()), ""SELECT Col2 WHERE Col2 IS NOT "&amp;"NULL ORDER BY Col1 DESC LIMIT 20"", 0))
    )
  ), 
"""")"),5926762.38)</f>
        <v>5926762.38</v>
      </c>
      <c r="K138" s="21">
        <f>IFERROR(__xludf.DUMMYFUNCTION("IFERROR(GOOGLEFINANCE(C138, ""changepct"") / 100, """")"),-0.022000000000000002)</f>
        <v>-0.022</v>
      </c>
      <c r="L138" s="21" t="str">
        <f>IFERROR(__xludf.DUMMYFUNCTION("IFERROR((GOOGLEFINANCE(C138, ""price"") / INDEX(GOOGLEFINANCE(C138, ""price"", TODAY()-7, TODAY()), 2, 2)) - 1, """")"),"")</f>
        <v/>
      </c>
      <c r="M138" s="21" t="str">
        <f>IFERROR(__xludf.DUMMYFUNCTION("IFERROR((GOOGLEFINANCE(C138, ""price"") / INDEX(GOOGLEFINANCE(C138, ""price"", EDATE(TODAY(), -1), TODAY()), 2, 2)) - 1, """")"),"")</f>
        <v/>
      </c>
      <c r="N138" s="21" t="str">
        <f>IFERROR(__xludf.DUMMYFUNCTION("IFERROR((GOOGLEFINANCE(C138, ""price"") / INDEX(GOOGLEFINANCE(C138, ""price"", EDATE(TODAY(), -3), TODAY()), 2, 2)) - 1, """")"),"")</f>
        <v/>
      </c>
      <c r="O138" s="21" t="str">
        <f>IFERROR(__xludf.DUMMYFUNCTION("IFERROR((GOOGLEFINANCE(C138, ""price"") / INDEX(GOOGLEFINANCE(C138, ""price"", EDATE(TODAY(), -6), TODAY()), 2, 2)) - 1, """")"),"")</f>
        <v/>
      </c>
      <c r="P138" s="21" t="str">
        <f>IFERROR(__xludf.DUMMYFUNCTION("IFERROR((GOOGLEFINANCE(C138, ""price"") / INDEX(GOOGLEFINANCE(C138, ""price"", EDATE(TODAY(), -12), TODAY()), 2, 2)) - 1, """")"),"")</f>
        <v/>
      </c>
      <c r="Q138" s="6" t="str">
        <f>IFERROR(__xludf.DUMMYFUNCTION("AVERAGE(QUERY(GOOGLEFINANCE(C138, ""price"", TODAY()-80, TODAY()), ""SELECT Col2 WHERE Col2 IS NOT NULL ORDER BY Col1 DESC LIMIT 50"", 0))"),"#N/A")</f>
        <v>#N/A</v>
      </c>
      <c r="R138" s="24" t="str">
        <f>IFERROR(__xludf.DUMMYFUNCTION("IFERROR(
  LET(
    data, QUERY(GOOGLEFINANCE(C138,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GOOGLEFINANCE(C138, ""price"")) * 100,
    IF(calc=0, G138, calc)
  ), 
G138)"),"#N/A")</f>
        <v>#N/A</v>
      </c>
      <c r="S138" s="8" t="s">
        <v>15</v>
      </c>
      <c r="T138" s="26" t="str">
        <f>IFERROR(__xludf.DUMMYFUNCTION("IFERROR(TRANSPOSE(QUERY(IFERROR(SORT(GOOGLEFINANCE(C138, ""price"", WORKDAY(TODAY(), -40), TODAY()), 1, FALSE)), ""select Col2 where Col2 is not null limit 22 label Col2 ''"", 0)), """")"),"")</f>
        <v/>
      </c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8"/>
      <c r="AO138" s="28"/>
      <c r="AP138" s="29"/>
      <c r="AQ138" s="29" t="str">
        <f t="shared" ref="AQ138:BL138" si="141">T138/T$2</f>
        <v>#N/A</v>
      </c>
      <c r="AR138" s="29" t="str">
        <f t="shared" si="141"/>
        <v>#DIV/0!</v>
      </c>
      <c r="AS138" s="29" t="str">
        <f t="shared" si="141"/>
        <v>#DIV/0!</v>
      </c>
      <c r="AT138" s="29" t="str">
        <f t="shared" si="141"/>
        <v>#DIV/0!</v>
      </c>
      <c r="AU138" s="29" t="str">
        <f t="shared" si="141"/>
        <v>#DIV/0!</v>
      </c>
      <c r="AV138" s="29" t="str">
        <f t="shared" si="141"/>
        <v>#DIV/0!</v>
      </c>
      <c r="AW138" s="29" t="str">
        <f t="shared" si="141"/>
        <v>#DIV/0!</v>
      </c>
      <c r="AX138" s="29" t="str">
        <f t="shared" si="141"/>
        <v>#DIV/0!</v>
      </c>
      <c r="AY138" s="29" t="str">
        <f t="shared" si="141"/>
        <v>#DIV/0!</v>
      </c>
      <c r="AZ138" s="29" t="str">
        <f t="shared" si="141"/>
        <v>#DIV/0!</v>
      </c>
      <c r="BA138" s="29" t="str">
        <f t="shared" si="141"/>
        <v>#DIV/0!</v>
      </c>
      <c r="BB138" s="29" t="str">
        <f t="shared" si="141"/>
        <v>#DIV/0!</v>
      </c>
      <c r="BC138" s="29" t="str">
        <f t="shared" si="141"/>
        <v>#DIV/0!</v>
      </c>
      <c r="BD138" s="29" t="str">
        <f t="shared" si="141"/>
        <v>#DIV/0!</v>
      </c>
      <c r="BE138" s="29" t="str">
        <f t="shared" si="141"/>
        <v>#DIV/0!</v>
      </c>
      <c r="BF138" s="29" t="str">
        <f t="shared" si="141"/>
        <v>#DIV/0!</v>
      </c>
      <c r="BG138" s="29" t="str">
        <f t="shared" si="141"/>
        <v>#DIV/0!</v>
      </c>
      <c r="BH138" s="29" t="str">
        <f t="shared" si="141"/>
        <v>#DIV/0!</v>
      </c>
      <c r="BI138" s="29" t="str">
        <f t="shared" si="141"/>
        <v>#DIV/0!</v>
      </c>
      <c r="BJ138" s="29" t="str">
        <f t="shared" si="141"/>
        <v>#DIV/0!</v>
      </c>
      <c r="BK138" s="29" t="str">
        <f t="shared" si="141"/>
        <v>#DIV/0!</v>
      </c>
      <c r="BL138" s="29" t="str">
        <f t="shared" si="141"/>
        <v>#DIV/0!</v>
      </c>
      <c r="BM138" s="29" t="str">
        <f t="shared" si="3"/>
        <v>#DIV/0!</v>
      </c>
    </row>
    <row r="139">
      <c r="A139" s="16" t="str">
        <f>IFERROR(__xludf.DUMMYFUNCTION("IFERROR(SPARKLINE(SORT(MAP(TRANSPOSE(AQ139:BL139), LAMBDA(val, IF(ISNUMBER(val), PERCENTRANK(AQ139:BL139, val)+0.01, 0))), SEQUENCE(COLUMNS(AQ139:BL139)), FALSE), {""charttype"",""column""; ""color"",""chartreuse""; ""ymin"", 0; ""ymax"", 1.01; ""highcolo"&amp;"r"", ""darkgreen""; ""lowcolor"", ""red""}), """")"),"")</f>
        <v/>
      </c>
      <c r="B139" s="17" t="str">
        <f t="shared" si="4"/>
        <v/>
      </c>
      <c r="C139" s="1" t="s">
        <v>719</v>
      </c>
      <c r="D139" s="30" t="str">
        <f>IFERROR(__xludf.DUMMYFUNCTION("IFERROR(GOOGLEFINANCE(C139, ""NAME""))"),"KT Corp")</f>
        <v>KT Corp</v>
      </c>
      <c r="E139" s="30" t="s">
        <v>52</v>
      </c>
      <c r="F139" s="33" t="str">
        <f>IFERROR(__xludf.DUMMYFUNCTION("( (GOOGLEFINANCE(C139, ""price"") - Q139) / Q139 ) / (R139 / 100)"),"Loading...")</f>
        <v>Loading...</v>
      </c>
      <c r="G139" s="20" t="str">
        <f>IFERROR(__xludf.DUMMYFUNCTION("AVERAGE(ARRAYFORMULA(100 * (QUERY(GOOGLEFINANCE(C139, ""high"", TODAY()-40, TODAY()), ""SELECT Col2 WHERE Col2 IS NOT NULL ORDER BY Col1 DESC LIMIT 20"", 0) / QUERY(GOOGLEFINANCE(C139, ""low"", TODAY()-40, TODAY()), ""SELECT Col2 WHERE Col2 IS NOT NULL OR"&amp;"DER BY Col1 DESC LIMIT 20"", 0) - 1)))"),"#N/A")</f>
        <v>#N/A</v>
      </c>
      <c r="H139" s="35" t="str">
        <f t="shared" si="6"/>
        <v>Illiquid</v>
      </c>
      <c r="I139" s="36" t="str">
        <f t="shared" si="7"/>
        <v>RVol Required</v>
      </c>
      <c r="J139" s="37">
        <f>IFERROR(__xludf.DUMMYFUNCTION("IFERROR(
  IF(C139="""",, 
    IFERROR(
      GOOGLEFINANCE(C139, ""price"") * GOOGLEFINANCE(C139, ""volumeavg""), 
      GOOGLEFINANCE(C139, ""price"") * AVERAGE(QUERY(GOOGLEFINANCE(C139, ""volume"", TODAY()-40, TODAY()), ""SELECT Col2 WHERE Col2 IS NOT "&amp;"NULL ORDER BY Col1 DESC LIMIT 20"", 0))
    )
  ), 
"""")"),3.108421579E7)</f>
        <v>31084215.79</v>
      </c>
      <c r="K139" s="21">
        <f>IFERROR(__xludf.DUMMYFUNCTION("IFERROR(GOOGLEFINANCE(C139, ""changepct"") / 100, """")"),-0.0054)</f>
        <v>-0.0054</v>
      </c>
      <c r="L139" s="21" t="str">
        <f>IFERROR(__xludf.DUMMYFUNCTION("IFERROR((GOOGLEFINANCE(C139, ""price"") / INDEX(GOOGLEFINANCE(C139, ""price"", TODAY()-7, TODAY()), 2, 2)) - 1, """")"),"")</f>
        <v/>
      </c>
      <c r="M139" s="21" t="str">
        <f>IFERROR(__xludf.DUMMYFUNCTION("IFERROR((GOOGLEFINANCE(C139, ""price"") / INDEX(GOOGLEFINANCE(C139, ""price"", EDATE(TODAY(), -1), TODAY()), 2, 2)) - 1, """")"),"")</f>
        <v/>
      </c>
      <c r="N139" s="21" t="str">
        <f>IFERROR(__xludf.DUMMYFUNCTION("IFERROR((GOOGLEFINANCE(C139, ""price"") / INDEX(GOOGLEFINANCE(C139, ""price"", EDATE(TODAY(), -3), TODAY()), 2, 2)) - 1, """")"),"")</f>
        <v/>
      </c>
      <c r="O139" s="21" t="str">
        <f>IFERROR(__xludf.DUMMYFUNCTION("IFERROR((GOOGLEFINANCE(C139, ""price"") / INDEX(GOOGLEFINANCE(C139, ""price"", EDATE(TODAY(), -6), TODAY()), 2, 2)) - 1, """")"),"")</f>
        <v/>
      </c>
      <c r="P139" s="21" t="str">
        <f>IFERROR(__xludf.DUMMYFUNCTION("IFERROR((GOOGLEFINANCE(C139, ""price"") / INDEX(GOOGLEFINANCE(C139, ""price"", EDATE(TODAY(), -12), TODAY()), 2, 2)) - 1, """")"),"")</f>
        <v/>
      </c>
      <c r="Q139" s="6" t="str">
        <f>IFERROR(__xludf.DUMMYFUNCTION("AVERAGE(QUERY(GOOGLEFINANCE(C139, ""price"", TODAY()-80, TODAY()), ""SELECT Col2 WHERE Col2 IS NOT NULL ORDER BY Col1 DESC LIMIT 50"", 0))"),"#N/A")</f>
        <v>#N/A</v>
      </c>
      <c r="R139" s="24" t="str">
        <f>IFERROR(__xludf.DUMMYFUNCTION("IFERROR(
  LET(
    data, QUERY(GOOGLEFINANCE(C139,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GOOGLEFINANCE(C139, ""price"")) * 100,
    IF(calc=0, G139, calc)
  ), 
G139)"),"#N/A")</f>
        <v>#N/A</v>
      </c>
      <c r="S139" s="8" t="s">
        <v>15</v>
      </c>
      <c r="T139" s="26" t="str">
        <f>IFERROR(__xludf.DUMMYFUNCTION("IFERROR(TRANSPOSE(QUERY(IFERROR(SORT(GOOGLEFINANCE(C139, ""price"", WORKDAY(TODAY(), -40), TODAY()), 1, FALSE)), ""select Col2 where Col2 is not null limit 22 label Col2 ''"", 0)), """")"),"")</f>
        <v/>
      </c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8"/>
      <c r="AO139" s="28"/>
      <c r="AP139" s="29"/>
      <c r="AQ139" s="29" t="str">
        <f t="shared" ref="AQ139:BL139" si="142">T139/T$2</f>
        <v>#N/A</v>
      </c>
      <c r="AR139" s="29" t="str">
        <f t="shared" si="142"/>
        <v>#DIV/0!</v>
      </c>
      <c r="AS139" s="29" t="str">
        <f t="shared" si="142"/>
        <v>#DIV/0!</v>
      </c>
      <c r="AT139" s="29" t="str">
        <f t="shared" si="142"/>
        <v>#DIV/0!</v>
      </c>
      <c r="AU139" s="29" t="str">
        <f t="shared" si="142"/>
        <v>#DIV/0!</v>
      </c>
      <c r="AV139" s="29" t="str">
        <f t="shared" si="142"/>
        <v>#DIV/0!</v>
      </c>
      <c r="AW139" s="29" t="str">
        <f t="shared" si="142"/>
        <v>#DIV/0!</v>
      </c>
      <c r="AX139" s="29" t="str">
        <f t="shared" si="142"/>
        <v>#DIV/0!</v>
      </c>
      <c r="AY139" s="29" t="str">
        <f t="shared" si="142"/>
        <v>#DIV/0!</v>
      </c>
      <c r="AZ139" s="29" t="str">
        <f t="shared" si="142"/>
        <v>#DIV/0!</v>
      </c>
      <c r="BA139" s="29" t="str">
        <f t="shared" si="142"/>
        <v>#DIV/0!</v>
      </c>
      <c r="BB139" s="29" t="str">
        <f t="shared" si="142"/>
        <v>#DIV/0!</v>
      </c>
      <c r="BC139" s="29" t="str">
        <f t="shared" si="142"/>
        <v>#DIV/0!</v>
      </c>
      <c r="BD139" s="29" t="str">
        <f t="shared" si="142"/>
        <v>#DIV/0!</v>
      </c>
      <c r="BE139" s="29" t="str">
        <f t="shared" si="142"/>
        <v>#DIV/0!</v>
      </c>
      <c r="BF139" s="29" t="str">
        <f t="shared" si="142"/>
        <v>#DIV/0!</v>
      </c>
      <c r="BG139" s="29" t="str">
        <f t="shared" si="142"/>
        <v>#DIV/0!</v>
      </c>
      <c r="BH139" s="29" t="str">
        <f t="shared" si="142"/>
        <v>#DIV/0!</v>
      </c>
      <c r="BI139" s="29" t="str">
        <f t="shared" si="142"/>
        <v>#DIV/0!</v>
      </c>
      <c r="BJ139" s="29" t="str">
        <f t="shared" si="142"/>
        <v>#DIV/0!</v>
      </c>
      <c r="BK139" s="29" t="str">
        <f t="shared" si="142"/>
        <v>#DIV/0!</v>
      </c>
      <c r="BL139" s="29" t="str">
        <f t="shared" si="142"/>
        <v>#DIV/0!</v>
      </c>
      <c r="BM139" s="29" t="str">
        <f t="shared" si="3"/>
        <v>#DIV/0!</v>
      </c>
    </row>
    <row r="140">
      <c r="A140" s="16" t="str">
        <f>IFERROR(__xludf.DUMMYFUNCTION("IFERROR(SPARKLINE(SORT(MAP(TRANSPOSE(AQ140:BL140), LAMBDA(val, IF(ISNUMBER(val), PERCENTRANK(AQ140:BL140, val)+0.01, 0))), SEQUENCE(COLUMNS(AQ140:BL140)), FALSE), {""charttype"",""column""; ""color"",""chartreuse""; ""ymin"", 0; ""ymax"", 1.01; ""highcolo"&amp;"r"", ""darkgreen""; ""lowcolor"", ""red""}), """")"),"")</f>
        <v/>
      </c>
      <c r="B140" s="17" t="str">
        <f t="shared" si="4"/>
        <v/>
      </c>
      <c r="C140" s="1" t="s">
        <v>723</v>
      </c>
      <c r="D140" s="30" t="str">
        <f>IFERROR(__xludf.DUMMYFUNCTION("IFERROR(GOOGLEFINANCE(C140, ""NAME""))"),"Tencent Music Entertainment Group - ADR")</f>
        <v>Tencent Music Entertainment Group - ADR</v>
      </c>
      <c r="E140" s="30" t="s">
        <v>69</v>
      </c>
      <c r="F140" s="33" t="str">
        <f>IFERROR(__xludf.DUMMYFUNCTION("( (GOOGLEFINANCE(C140, ""price"") - Q140) / Q140 ) / (R140 / 100)"),"Loading...")</f>
        <v>Loading...</v>
      </c>
      <c r="G140" s="20" t="str">
        <f>IFERROR(__xludf.DUMMYFUNCTION("AVERAGE(ARRAYFORMULA(100 * (QUERY(GOOGLEFINANCE(C140, ""high"", TODAY()-40, TODAY()), ""SELECT Col2 WHERE Col2 IS NOT NULL ORDER BY Col1 DESC LIMIT 20"", 0) / QUERY(GOOGLEFINANCE(C140, ""low"", TODAY()-40, TODAY()), ""SELECT Col2 WHERE Col2 IS NOT NULL OR"&amp;"DER BY Col1 DESC LIMIT 20"", 0) - 1)))"),"#N/A")</f>
        <v>#N/A</v>
      </c>
      <c r="H140" s="35" t="str">
        <f t="shared" si="6"/>
        <v>Liquid</v>
      </c>
      <c r="I140" s="36" t="str">
        <f t="shared" si="7"/>
        <v>RVol Required</v>
      </c>
      <c r="J140" s="37">
        <f>IFERROR(__xludf.DUMMYFUNCTION("IFERROR(
  IF(C140="""",, 
    IFERROR(
      GOOGLEFINANCE(C140, ""price"") * GOOGLEFINANCE(C140, ""volumeavg""), 
      GOOGLEFINANCE(C140, ""price"") * AVERAGE(QUERY(GOOGLEFINANCE(C140, ""volume"", TODAY()-40, TODAY()), ""SELECT Col2 WHERE Col2 IS NOT "&amp;"NULL ORDER BY Col1 DESC LIMIT 20"", 0))
    )
  ), 
"""")"),5.748172881E7)</f>
        <v>57481728.81</v>
      </c>
      <c r="K140" s="21">
        <f>IFERROR(__xludf.DUMMYFUNCTION("IFERROR(GOOGLEFINANCE(C140, ""changepct"") / 100, """")"),-0.0023)</f>
        <v>-0.0023</v>
      </c>
      <c r="L140" s="21" t="str">
        <f>IFERROR(__xludf.DUMMYFUNCTION("IFERROR((GOOGLEFINANCE(C140, ""price"") / INDEX(GOOGLEFINANCE(C140, ""price"", TODAY()-7, TODAY()), 2, 2)) - 1, """")"),"")</f>
        <v/>
      </c>
      <c r="M140" s="21" t="str">
        <f>IFERROR(__xludf.DUMMYFUNCTION("IFERROR((GOOGLEFINANCE(C140, ""price"") / INDEX(GOOGLEFINANCE(C140, ""price"", EDATE(TODAY(), -1), TODAY()), 2, 2)) - 1, """")"),"")</f>
        <v/>
      </c>
      <c r="N140" s="21" t="str">
        <f>IFERROR(__xludf.DUMMYFUNCTION("IFERROR((GOOGLEFINANCE(C140, ""price"") / INDEX(GOOGLEFINANCE(C140, ""price"", EDATE(TODAY(), -3), TODAY()), 2, 2)) - 1, """")"),"")</f>
        <v/>
      </c>
      <c r="O140" s="21" t="str">
        <f>IFERROR(__xludf.DUMMYFUNCTION("IFERROR((GOOGLEFINANCE(C140, ""price"") / INDEX(GOOGLEFINANCE(C140, ""price"", EDATE(TODAY(), -6), TODAY()), 2, 2)) - 1, """")"),"")</f>
        <v/>
      </c>
      <c r="P140" s="21" t="str">
        <f>IFERROR(__xludf.DUMMYFUNCTION("IFERROR((GOOGLEFINANCE(C140, ""price"") / INDEX(GOOGLEFINANCE(C140, ""price"", EDATE(TODAY(), -12), TODAY()), 2, 2)) - 1, """")"),"")</f>
        <v/>
      </c>
      <c r="Q140" s="6" t="str">
        <f>IFERROR(__xludf.DUMMYFUNCTION("AVERAGE(QUERY(GOOGLEFINANCE(C140, ""price"", TODAY()-80, TODAY()), ""SELECT Col2 WHERE Col2 IS NOT NULL ORDER BY Col1 DESC LIMIT 50"", 0))"),"#N/A")</f>
        <v>#N/A</v>
      </c>
      <c r="R140" s="24" t="str">
        <f>IFERROR(__xludf.DUMMYFUNCTION("IFERROR(
  LET(
    data, QUERY(GOOGLEFINANCE(C140,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GOOGLEFINANCE(C140, ""price"")) * 100,
    IF(calc=0, G140, calc)
  ), 
G140)"),"#N/A")</f>
        <v>#N/A</v>
      </c>
      <c r="S140" s="8" t="s">
        <v>15</v>
      </c>
      <c r="T140" s="26" t="str">
        <f>IFERROR(__xludf.DUMMYFUNCTION("IFERROR(TRANSPOSE(QUERY(IFERROR(SORT(GOOGLEFINANCE(C140, ""price"", WORKDAY(TODAY(), -40), TODAY()), 1, FALSE)), ""select Col2 where Col2 is not null limit 22 label Col2 ''"", 0)), """")"),"")</f>
        <v/>
      </c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8"/>
      <c r="AO140" s="28"/>
      <c r="AP140" s="29"/>
      <c r="AQ140" s="29" t="str">
        <f t="shared" ref="AQ140:BL140" si="143">T140/T$2</f>
        <v>#N/A</v>
      </c>
      <c r="AR140" s="29" t="str">
        <f t="shared" si="143"/>
        <v>#DIV/0!</v>
      </c>
      <c r="AS140" s="29" t="str">
        <f t="shared" si="143"/>
        <v>#DIV/0!</v>
      </c>
      <c r="AT140" s="29" t="str">
        <f t="shared" si="143"/>
        <v>#DIV/0!</v>
      </c>
      <c r="AU140" s="29" t="str">
        <f t="shared" si="143"/>
        <v>#DIV/0!</v>
      </c>
      <c r="AV140" s="29" t="str">
        <f t="shared" si="143"/>
        <v>#DIV/0!</v>
      </c>
      <c r="AW140" s="29" t="str">
        <f t="shared" si="143"/>
        <v>#DIV/0!</v>
      </c>
      <c r="AX140" s="29" t="str">
        <f t="shared" si="143"/>
        <v>#DIV/0!</v>
      </c>
      <c r="AY140" s="29" t="str">
        <f t="shared" si="143"/>
        <v>#DIV/0!</v>
      </c>
      <c r="AZ140" s="29" t="str">
        <f t="shared" si="143"/>
        <v>#DIV/0!</v>
      </c>
      <c r="BA140" s="29" t="str">
        <f t="shared" si="143"/>
        <v>#DIV/0!</v>
      </c>
      <c r="BB140" s="29" t="str">
        <f t="shared" si="143"/>
        <v>#DIV/0!</v>
      </c>
      <c r="BC140" s="29" t="str">
        <f t="shared" si="143"/>
        <v>#DIV/0!</v>
      </c>
      <c r="BD140" s="29" t="str">
        <f t="shared" si="143"/>
        <v>#DIV/0!</v>
      </c>
      <c r="BE140" s="29" t="str">
        <f t="shared" si="143"/>
        <v>#DIV/0!</v>
      </c>
      <c r="BF140" s="29" t="str">
        <f t="shared" si="143"/>
        <v>#DIV/0!</v>
      </c>
      <c r="BG140" s="29" t="str">
        <f t="shared" si="143"/>
        <v>#DIV/0!</v>
      </c>
      <c r="BH140" s="29" t="str">
        <f t="shared" si="143"/>
        <v>#DIV/0!</v>
      </c>
      <c r="BI140" s="29" t="str">
        <f t="shared" si="143"/>
        <v>#DIV/0!</v>
      </c>
      <c r="BJ140" s="29" t="str">
        <f t="shared" si="143"/>
        <v>#DIV/0!</v>
      </c>
      <c r="BK140" s="29" t="str">
        <f t="shared" si="143"/>
        <v>#DIV/0!</v>
      </c>
      <c r="BL140" s="29" t="str">
        <f t="shared" si="143"/>
        <v>#DIV/0!</v>
      </c>
      <c r="BM140" s="29" t="str">
        <f t="shared" si="3"/>
        <v>#DIV/0!</v>
      </c>
    </row>
    <row r="141">
      <c r="A141" s="16" t="str">
        <f>IFERROR(__xludf.DUMMYFUNCTION("IFERROR(SPARKLINE(SORT(MAP(TRANSPOSE(AQ141:BL141), LAMBDA(val, IF(ISNUMBER(val), PERCENTRANK(AQ141:BL141, val)+0.01, 0))), SEQUENCE(COLUMNS(AQ141:BL141)), FALSE), {""charttype"",""column""; ""color"",""chartreuse""; ""ymin"", 0; ""ymax"", 1.01; ""highcolo"&amp;"r"", ""darkgreen""; ""lowcolor"", ""red""}), """")"),"")</f>
        <v/>
      </c>
      <c r="B141" s="17" t="str">
        <f t="shared" si="4"/>
        <v/>
      </c>
      <c r="C141" s="1" t="s">
        <v>727</v>
      </c>
      <c r="D141" s="30" t="str">
        <f>IFERROR(__xludf.DUMMYFUNCTION("IFERROR(GOOGLEFINANCE(C141, ""NAME""))"),"JOYY Inc")</f>
        <v>JOYY Inc</v>
      </c>
      <c r="E141" s="30" t="s">
        <v>69</v>
      </c>
      <c r="F141" s="33" t="str">
        <f>IFERROR(__xludf.DUMMYFUNCTION("( (GOOGLEFINANCE(C141, ""price"") - Q141) / Q141 ) / (R141 / 100)"),"Loading...")</f>
        <v>Loading...</v>
      </c>
      <c r="G141" s="20" t="str">
        <f>IFERROR(__xludf.DUMMYFUNCTION("AVERAGE(ARRAYFORMULA(100 * (QUERY(GOOGLEFINANCE(C141, ""high"", TODAY()-40, TODAY()), ""SELECT Col2 WHERE Col2 IS NOT NULL ORDER BY Col1 DESC LIMIT 20"", 0) / QUERY(GOOGLEFINANCE(C141, ""low"", TODAY()-40, TODAY()), ""SELECT Col2 WHERE Col2 IS NOT NULL OR"&amp;"DER BY Col1 DESC LIMIT 20"", 0) - 1)))"),"#N/A")</f>
        <v>#N/A</v>
      </c>
      <c r="H141" s="35" t="str">
        <f t="shared" si="6"/>
        <v>Illiquid</v>
      </c>
      <c r="I141" s="36" t="str">
        <f t="shared" si="7"/>
        <v>RVol Required</v>
      </c>
      <c r="J141" s="37">
        <f>IFERROR(__xludf.DUMMYFUNCTION("IFERROR(
  IF(C141="""",, 
    IFERROR(
      GOOGLEFINANCE(C141, ""price"") * GOOGLEFINANCE(C141, ""volumeavg""), 
      GOOGLEFINANCE(C141, ""price"") * AVERAGE(QUERY(GOOGLEFINANCE(C141, ""volume"", TODAY()-40, TODAY()), ""SELECT Col2 WHERE Col2 IS NOT "&amp;"NULL ORDER BY Col1 DESC LIMIT 20"", 0))
    )
  ), 
"""")"),2.705031406E7)</f>
        <v>27050314.06</v>
      </c>
      <c r="K141" s="21">
        <f>IFERROR(__xludf.DUMMYFUNCTION("IFERROR(GOOGLEFINANCE(C141, ""changepct"") / 100, """")"),-0.0066)</f>
        <v>-0.0066</v>
      </c>
      <c r="L141" s="21" t="str">
        <f>IFERROR(__xludf.DUMMYFUNCTION("IFERROR((GOOGLEFINANCE(C141, ""price"") / INDEX(GOOGLEFINANCE(C141, ""price"", TODAY()-7, TODAY()), 2, 2)) - 1, """")"),"")</f>
        <v/>
      </c>
      <c r="M141" s="21" t="str">
        <f>IFERROR(__xludf.DUMMYFUNCTION("IFERROR((GOOGLEFINANCE(C141, ""price"") / INDEX(GOOGLEFINANCE(C141, ""price"", EDATE(TODAY(), -1), TODAY()), 2, 2)) - 1, """")"),"")</f>
        <v/>
      </c>
      <c r="N141" s="21" t="str">
        <f>IFERROR(__xludf.DUMMYFUNCTION("IFERROR((GOOGLEFINANCE(C141, ""price"") / INDEX(GOOGLEFINANCE(C141, ""price"", EDATE(TODAY(), -3), TODAY()), 2, 2)) - 1, """")"),"")</f>
        <v/>
      </c>
      <c r="O141" s="21" t="str">
        <f>IFERROR(__xludf.DUMMYFUNCTION("IFERROR((GOOGLEFINANCE(C141, ""price"") / INDEX(GOOGLEFINANCE(C141, ""price"", EDATE(TODAY(), -6), TODAY()), 2, 2)) - 1, """")"),"")</f>
        <v/>
      </c>
      <c r="P141" s="21" t="str">
        <f>IFERROR(__xludf.DUMMYFUNCTION("IFERROR((GOOGLEFINANCE(C141, ""price"") / INDEX(GOOGLEFINANCE(C141, ""price"", EDATE(TODAY(), -12), TODAY()), 2, 2)) - 1, """")"),"")</f>
        <v/>
      </c>
      <c r="Q141" s="6" t="str">
        <f>IFERROR(__xludf.DUMMYFUNCTION("AVERAGE(QUERY(GOOGLEFINANCE(C141, ""price"", TODAY()-80, TODAY()), ""SELECT Col2 WHERE Col2 IS NOT NULL ORDER BY Col1 DESC LIMIT 50"", 0))"),"#N/A")</f>
        <v>#N/A</v>
      </c>
      <c r="R141" s="24" t="str">
        <f>IFERROR(__xludf.DUMMYFUNCTION("IFERROR(
  LET(
    data, QUERY(GOOGLEFINANCE(C141,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GOOGLEFINANCE(C141, ""price"")) * 100,
    IF(calc=0, G141, calc)
  ), 
G141)"),"#N/A")</f>
        <v>#N/A</v>
      </c>
      <c r="S141" s="8" t="s">
        <v>15</v>
      </c>
      <c r="T141" s="26" t="str">
        <f>IFERROR(__xludf.DUMMYFUNCTION("IFERROR(TRANSPOSE(QUERY(IFERROR(SORT(GOOGLEFINANCE(C141, ""price"", WORKDAY(TODAY(), -40), TODAY()), 1, FALSE)), ""select Col2 where Col2 is not null limit 22 label Col2 ''"", 0)), """")"),"")</f>
        <v/>
      </c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8"/>
      <c r="AO141" s="28"/>
      <c r="AP141" s="29"/>
      <c r="AQ141" s="29" t="str">
        <f t="shared" ref="AQ141:BL141" si="144">T141/T$2</f>
        <v>#N/A</v>
      </c>
      <c r="AR141" s="29" t="str">
        <f t="shared" si="144"/>
        <v>#DIV/0!</v>
      </c>
      <c r="AS141" s="29" t="str">
        <f t="shared" si="144"/>
        <v>#DIV/0!</v>
      </c>
      <c r="AT141" s="29" t="str">
        <f t="shared" si="144"/>
        <v>#DIV/0!</v>
      </c>
      <c r="AU141" s="29" t="str">
        <f t="shared" si="144"/>
        <v>#DIV/0!</v>
      </c>
      <c r="AV141" s="29" t="str">
        <f t="shared" si="144"/>
        <v>#DIV/0!</v>
      </c>
      <c r="AW141" s="29" t="str">
        <f t="shared" si="144"/>
        <v>#DIV/0!</v>
      </c>
      <c r="AX141" s="29" t="str">
        <f t="shared" si="144"/>
        <v>#DIV/0!</v>
      </c>
      <c r="AY141" s="29" t="str">
        <f t="shared" si="144"/>
        <v>#DIV/0!</v>
      </c>
      <c r="AZ141" s="29" t="str">
        <f t="shared" si="144"/>
        <v>#DIV/0!</v>
      </c>
      <c r="BA141" s="29" t="str">
        <f t="shared" si="144"/>
        <v>#DIV/0!</v>
      </c>
      <c r="BB141" s="29" t="str">
        <f t="shared" si="144"/>
        <v>#DIV/0!</v>
      </c>
      <c r="BC141" s="29" t="str">
        <f t="shared" si="144"/>
        <v>#DIV/0!</v>
      </c>
      <c r="BD141" s="29" t="str">
        <f t="shared" si="144"/>
        <v>#DIV/0!</v>
      </c>
      <c r="BE141" s="29" t="str">
        <f t="shared" si="144"/>
        <v>#DIV/0!</v>
      </c>
      <c r="BF141" s="29" t="str">
        <f t="shared" si="144"/>
        <v>#DIV/0!</v>
      </c>
      <c r="BG141" s="29" t="str">
        <f t="shared" si="144"/>
        <v>#DIV/0!</v>
      </c>
      <c r="BH141" s="29" t="str">
        <f t="shared" si="144"/>
        <v>#DIV/0!</v>
      </c>
      <c r="BI141" s="29" t="str">
        <f t="shared" si="144"/>
        <v>#DIV/0!</v>
      </c>
      <c r="BJ141" s="29" t="str">
        <f t="shared" si="144"/>
        <v>#DIV/0!</v>
      </c>
      <c r="BK141" s="29" t="str">
        <f t="shared" si="144"/>
        <v>#DIV/0!</v>
      </c>
      <c r="BL141" s="29" t="str">
        <f t="shared" si="144"/>
        <v>#DIV/0!</v>
      </c>
      <c r="BM141" s="29" t="str">
        <f t="shared" si="3"/>
        <v>#DIV/0!</v>
      </c>
    </row>
    <row r="142">
      <c r="A142" s="16" t="str">
        <f>IFERROR(__xludf.DUMMYFUNCTION("IFERROR(SPARKLINE(SORT(MAP(TRANSPOSE(AQ142:BL142), LAMBDA(val, IF(ISNUMBER(val), PERCENTRANK(AQ142:BL142, val)+0.01, 0))), SEQUENCE(COLUMNS(AQ142:BL142)), FALSE), {""charttype"",""column""; ""color"",""chartreuse""; ""ymin"", 0; ""ymax"", 1.01; ""highcolo"&amp;"r"", ""darkgreen""; ""lowcolor"", ""red""}), """")"),"")</f>
        <v/>
      </c>
      <c r="B142" s="17" t="str">
        <f t="shared" si="4"/>
        <v/>
      </c>
      <c r="C142" s="1" t="s">
        <v>733</v>
      </c>
      <c r="D142" s="30" t="str">
        <f>IFERROR(__xludf.DUMMYFUNCTION("IFERROR(GOOGLEFINANCE(C142, ""NAME""))"),"Gray Media Inc")</f>
        <v>Gray Media Inc</v>
      </c>
      <c r="E142" s="30" t="s">
        <v>176</v>
      </c>
      <c r="F142" s="33" t="str">
        <f>IFERROR(__xludf.DUMMYFUNCTION("( (GOOGLEFINANCE(C142, ""price"") - Q142) / Q142 ) / (R142 / 100)"),"Loading...")</f>
        <v>Loading...</v>
      </c>
      <c r="G142" s="20" t="str">
        <f>IFERROR(__xludf.DUMMYFUNCTION("AVERAGE(ARRAYFORMULA(100 * (QUERY(GOOGLEFINANCE(C142, ""high"", TODAY()-40, TODAY()), ""SELECT Col2 WHERE Col2 IS NOT NULL ORDER BY Col1 DESC LIMIT 20"", 0) / QUERY(GOOGLEFINANCE(C142, ""low"", TODAY()-40, TODAY()), ""SELECT Col2 WHERE Col2 IS NOT NULL OR"&amp;"DER BY Col1 DESC LIMIT 20"", 0) - 1)))"),"#N/A")</f>
        <v>#N/A</v>
      </c>
      <c r="H142" s="35" t="str">
        <f t="shared" si="6"/>
        <v>Illiquid</v>
      </c>
      <c r="I142" s="36" t="str">
        <f t="shared" si="7"/>
        <v>RVol Required</v>
      </c>
      <c r="J142" s="37">
        <f>IFERROR(__xludf.DUMMYFUNCTION("IFERROR(
  IF(C142="""",, 
    IFERROR(
      GOOGLEFINANCE(C142, ""price"") * GOOGLEFINANCE(C142, ""volumeavg""), 
      GOOGLEFINANCE(C142, ""price"") * AVERAGE(QUERY(GOOGLEFINANCE(C142, ""volume"", TODAY()-40, TODAY()), ""SELECT Col2 WHERE Col2 IS NOT "&amp;"NULL ORDER BY Col1 DESC LIMIT 20"", 0))
    )
  ), 
"""")"),4244228.76)</f>
        <v>4244228.76</v>
      </c>
      <c r="K142" s="21">
        <f>IFERROR(__xludf.DUMMYFUNCTION("IFERROR(GOOGLEFINANCE(C142, ""changepct"") / 100, """")"),-0.0179)</f>
        <v>-0.0179</v>
      </c>
      <c r="L142" s="21" t="str">
        <f>IFERROR(__xludf.DUMMYFUNCTION("IFERROR((GOOGLEFINANCE(C142, ""price"") / INDEX(GOOGLEFINANCE(C142, ""price"", TODAY()-7, TODAY()), 2, 2)) - 1, """")"),"")</f>
        <v/>
      </c>
      <c r="M142" s="21" t="str">
        <f>IFERROR(__xludf.DUMMYFUNCTION("IFERROR((GOOGLEFINANCE(C142, ""price"") / INDEX(GOOGLEFINANCE(C142, ""price"", EDATE(TODAY(), -1), TODAY()), 2, 2)) - 1, """")"),"")</f>
        <v/>
      </c>
      <c r="N142" s="21" t="str">
        <f>IFERROR(__xludf.DUMMYFUNCTION("IFERROR((GOOGLEFINANCE(C142, ""price"") / INDEX(GOOGLEFINANCE(C142, ""price"", EDATE(TODAY(), -3), TODAY()), 2, 2)) - 1, """")"),"")</f>
        <v/>
      </c>
      <c r="O142" s="21" t="str">
        <f>IFERROR(__xludf.DUMMYFUNCTION("IFERROR((GOOGLEFINANCE(C142, ""price"") / INDEX(GOOGLEFINANCE(C142, ""price"", EDATE(TODAY(), -6), TODAY()), 2, 2)) - 1, """")"),"")</f>
        <v/>
      </c>
      <c r="P142" s="21" t="str">
        <f>IFERROR(__xludf.DUMMYFUNCTION("IFERROR((GOOGLEFINANCE(C142, ""price"") / INDEX(GOOGLEFINANCE(C142, ""price"", EDATE(TODAY(), -12), TODAY()), 2, 2)) - 1, """")"),"")</f>
        <v/>
      </c>
      <c r="Q142" s="6" t="str">
        <f>IFERROR(__xludf.DUMMYFUNCTION("AVERAGE(QUERY(GOOGLEFINANCE(C142, ""price"", TODAY()-80, TODAY()), ""SELECT Col2 WHERE Col2 IS NOT NULL ORDER BY Col1 DESC LIMIT 50"", 0))"),"#N/A")</f>
        <v>#N/A</v>
      </c>
      <c r="R142" s="24" t="str">
        <f>IFERROR(__xludf.DUMMYFUNCTION("IFERROR(
  LET(
    data, QUERY(GOOGLEFINANCE(C142,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GOOGLEFINANCE(C142, ""price"")) * 100,
    IF(calc=0, G142, calc)
  ), 
G142)"),"#N/A")</f>
        <v>#N/A</v>
      </c>
      <c r="S142" s="8" t="s">
        <v>15</v>
      </c>
      <c r="T142" s="26" t="str">
        <f>IFERROR(__xludf.DUMMYFUNCTION("IFERROR(TRANSPOSE(QUERY(IFERROR(SORT(GOOGLEFINANCE(C142, ""price"", WORKDAY(TODAY(), -40), TODAY()), 1, FALSE)), ""select Col2 where Col2 is not null limit 22 label Col2 ''"", 0)), """")"),"")</f>
        <v/>
      </c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8"/>
      <c r="AO142" s="28"/>
      <c r="AP142" s="29"/>
      <c r="AQ142" s="29" t="str">
        <f t="shared" ref="AQ142:BL142" si="145">T142/T$2</f>
        <v>#N/A</v>
      </c>
      <c r="AR142" s="29" t="str">
        <f t="shared" si="145"/>
        <v>#DIV/0!</v>
      </c>
      <c r="AS142" s="29" t="str">
        <f t="shared" si="145"/>
        <v>#DIV/0!</v>
      </c>
      <c r="AT142" s="29" t="str">
        <f t="shared" si="145"/>
        <v>#DIV/0!</v>
      </c>
      <c r="AU142" s="29" t="str">
        <f t="shared" si="145"/>
        <v>#DIV/0!</v>
      </c>
      <c r="AV142" s="29" t="str">
        <f t="shared" si="145"/>
        <v>#DIV/0!</v>
      </c>
      <c r="AW142" s="29" t="str">
        <f t="shared" si="145"/>
        <v>#DIV/0!</v>
      </c>
      <c r="AX142" s="29" t="str">
        <f t="shared" si="145"/>
        <v>#DIV/0!</v>
      </c>
      <c r="AY142" s="29" t="str">
        <f t="shared" si="145"/>
        <v>#DIV/0!</v>
      </c>
      <c r="AZ142" s="29" t="str">
        <f t="shared" si="145"/>
        <v>#DIV/0!</v>
      </c>
      <c r="BA142" s="29" t="str">
        <f t="shared" si="145"/>
        <v>#DIV/0!</v>
      </c>
      <c r="BB142" s="29" t="str">
        <f t="shared" si="145"/>
        <v>#DIV/0!</v>
      </c>
      <c r="BC142" s="29" t="str">
        <f t="shared" si="145"/>
        <v>#DIV/0!</v>
      </c>
      <c r="BD142" s="29" t="str">
        <f t="shared" si="145"/>
        <v>#DIV/0!</v>
      </c>
      <c r="BE142" s="29" t="str">
        <f t="shared" si="145"/>
        <v>#DIV/0!</v>
      </c>
      <c r="BF142" s="29" t="str">
        <f t="shared" si="145"/>
        <v>#DIV/0!</v>
      </c>
      <c r="BG142" s="29" t="str">
        <f t="shared" si="145"/>
        <v>#DIV/0!</v>
      </c>
      <c r="BH142" s="29" t="str">
        <f t="shared" si="145"/>
        <v>#DIV/0!</v>
      </c>
      <c r="BI142" s="29" t="str">
        <f t="shared" si="145"/>
        <v>#DIV/0!</v>
      </c>
      <c r="BJ142" s="29" t="str">
        <f t="shared" si="145"/>
        <v>#DIV/0!</v>
      </c>
      <c r="BK142" s="29" t="str">
        <f t="shared" si="145"/>
        <v>#DIV/0!</v>
      </c>
      <c r="BL142" s="29" t="str">
        <f t="shared" si="145"/>
        <v>#DIV/0!</v>
      </c>
      <c r="BM142" s="29" t="str">
        <f t="shared" si="3"/>
        <v>#DIV/0!</v>
      </c>
    </row>
    <row r="143">
      <c r="A143" s="16" t="str">
        <f>IFERROR(__xludf.DUMMYFUNCTION("IFERROR(SPARKLINE(SORT(MAP(TRANSPOSE(AQ143:BL143), LAMBDA(val, IF(ISNUMBER(val), PERCENTRANK(AQ143:BL143, val)+0.01, 0))), SEQUENCE(COLUMNS(AQ143:BL143)), FALSE), {""charttype"",""column""; ""color"",""chartreuse""; ""ymin"", 0; ""ymax"", 1.01; ""highcolo"&amp;"r"", ""darkgreen""; ""lowcolor"", ""red""}), """")"),"")</f>
        <v/>
      </c>
      <c r="B143" s="17" t="str">
        <f t="shared" si="4"/>
        <v/>
      </c>
      <c r="C143" s="1" t="s">
        <v>736</v>
      </c>
      <c r="D143" s="30" t="str">
        <f>IFERROR(__xludf.DUMMYFUNCTION("IFERROR(GOOGLEFINANCE(C143, ""NAME""))"),"Liberty Latin America Ltd Class C")</f>
        <v>Liberty Latin America Ltd Class C</v>
      </c>
      <c r="E143" s="30" t="s">
        <v>52</v>
      </c>
      <c r="F143" s="33" t="str">
        <f>IFERROR(__xludf.DUMMYFUNCTION("( (GOOGLEFINANCE(C143, ""price"") - Q143) / Q143 ) / (R143 / 100)"),"Loading...")</f>
        <v>Loading...</v>
      </c>
      <c r="G143" s="20" t="str">
        <f>IFERROR(__xludf.DUMMYFUNCTION("AVERAGE(ARRAYFORMULA(100 * (QUERY(GOOGLEFINANCE(C143, ""high"", TODAY()-40, TODAY()), ""SELECT Col2 WHERE Col2 IS NOT NULL ORDER BY Col1 DESC LIMIT 20"", 0) / QUERY(GOOGLEFINANCE(C143, ""low"", TODAY()-40, TODAY()), ""SELECT Col2 WHERE Col2 IS NOT NULL OR"&amp;"DER BY Col1 DESC LIMIT 20"", 0) - 1)))"),"#N/A")</f>
        <v>#N/A</v>
      </c>
      <c r="H143" s="35" t="str">
        <f t="shared" si="6"/>
        <v>Illiquid</v>
      </c>
      <c r="I143" s="36" t="str">
        <f t="shared" si="7"/>
        <v>RVol Required</v>
      </c>
      <c r="J143" s="37">
        <f>IFERROR(__xludf.DUMMYFUNCTION("IFERROR(
  IF(C143="""",, 
    IFERROR(
      GOOGLEFINANCE(C143, ""price"") * GOOGLEFINANCE(C143, ""volumeavg""), 
      GOOGLEFINANCE(C143, ""price"") * AVERAGE(QUERY(GOOGLEFINANCE(C143, ""volume"", TODAY()-40, TODAY()), ""SELECT Col2 WHERE Col2 IS NOT "&amp;"NULL ORDER BY Col1 DESC LIMIT 20"", 0))
    )
  ), 
"""")"),1.1709113129999999E7)</f>
        <v>11709113.13</v>
      </c>
      <c r="K143" s="21">
        <f>IFERROR(__xludf.DUMMYFUNCTION("IFERROR(GOOGLEFINANCE(C143, ""changepct"") / 100, """")"),-0.0195)</f>
        <v>-0.0195</v>
      </c>
      <c r="L143" s="21" t="str">
        <f>IFERROR(__xludf.DUMMYFUNCTION("IFERROR((GOOGLEFINANCE(C143, ""price"") / INDEX(GOOGLEFINANCE(C143, ""price"", TODAY()-7, TODAY()), 2, 2)) - 1, """")"),"")</f>
        <v/>
      </c>
      <c r="M143" s="21" t="str">
        <f>IFERROR(__xludf.DUMMYFUNCTION("IFERROR((GOOGLEFINANCE(C143, ""price"") / INDEX(GOOGLEFINANCE(C143, ""price"", EDATE(TODAY(), -1), TODAY()), 2, 2)) - 1, """")"),"")</f>
        <v/>
      </c>
      <c r="N143" s="21" t="str">
        <f>IFERROR(__xludf.DUMMYFUNCTION("IFERROR((GOOGLEFINANCE(C143, ""price"") / INDEX(GOOGLEFINANCE(C143, ""price"", EDATE(TODAY(), -3), TODAY()), 2, 2)) - 1, """")"),"")</f>
        <v/>
      </c>
      <c r="O143" s="21" t="str">
        <f>IFERROR(__xludf.DUMMYFUNCTION("IFERROR((GOOGLEFINANCE(C143, ""price"") / INDEX(GOOGLEFINANCE(C143, ""price"", EDATE(TODAY(), -6), TODAY()), 2, 2)) - 1, """")"),"")</f>
        <v/>
      </c>
      <c r="P143" s="21" t="str">
        <f>IFERROR(__xludf.DUMMYFUNCTION("IFERROR((GOOGLEFINANCE(C143, ""price"") / INDEX(GOOGLEFINANCE(C143, ""price"", EDATE(TODAY(), -12), TODAY()), 2, 2)) - 1, """")"),"")</f>
        <v/>
      </c>
      <c r="Q143" s="6" t="str">
        <f>IFERROR(__xludf.DUMMYFUNCTION("AVERAGE(QUERY(GOOGLEFINANCE(C143, ""price"", TODAY()-80, TODAY()), ""SELECT Col2 WHERE Col2 IS NOT NULL ORDER BY Col1 DESC LIMIT 50"", 0))"),"#N/A")</f>
        <v>#N/A</v>
      </c>
      <c r="R143" s="24" t="str">
        <f>IFERROR(__xludf.DUMMYFUNCTION("IFERROR(
  LET(
    data, QUERY(GOOGLEFINANCE(C143,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GOOGLEFINANCE(C143, ""price"")) * 100,
    IF(calc=0, G143, calc)
  ), 
G143)"),"#N/A")</f>
        <v>#N/A</v>
      </c>
      <c r="S143" s="8" t="s">
        <v>15</v>
      </c>
      <c r="T143" s="26" t="str">
        <f>IFERROR(__xludf.DUMMYFUNCTION("IFERROR(TRANSPOSE(QUERY(IFERROR(SORT(GOOGLEFINANCE(C143, ""price"", WORKDAY(TODAY(), -40), TODAY()), 1, FALSE)), ""select Col2 where Col2 is not null limit 22 label Col2 ''"", 0)), """")"),"")</f>
        <v/>
      </c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8"/>
      <c r="AO143" s="28"/>
      <c r="AP143" s="29"/>
      <c r="AQ143" s="29" t="str">
        <f t="shared" ref="AQ143:BL143" si="146">T143/T$2</f>
        <v>#N/A</v>
      </c>
      <c r="AR143" s="29" t="str">
        <f t="shared" si="146"/>
        <v>#DIV/0!</v>
      </c>
      <c r="AS143" s="29" t="str">
        <f t="shared" si="146"/>
        <v>#DIV/0!</v>
      </c>
      <c r="AT143" s="29" t="str">
        <f t="shared" si="146"/>
        <v>#DIV/0!</v>
      </c>
      <c r="AU143" s="29" t="str">
        <f t="shared" si="146"/>
        <v>#DIV/0!</v>
      </c>
      <c r="AV143" s="29" t="str">
        <f t="shared" si="146"/>
        <v>#DIV/0!</v>
      </c>
      <c r="AW143" s="29" t="str">
        <f t="shared" si="146"/>
        <v>#DIV/0!</v>
      </c>
      <c r="AX143" s="29" t="str">
        <f t="shared" si="146"/>
        <v>#DIV/0!</v>
      </c>
      <c r="AY143" s="29" t="str">
        <f t="shared" si="146"/>
        <v>#DIV/0!</v>
      </c>
      <c r="AZ143" s="29" t="str">
        <f t="shared" si="146"/>
        <v>#DIV/0!</v>
      </c>
      <c r="BA143" s="29" t="str">
        <f t="shared" si="146"/>
        <v>#DIV/0!</v>
      </c>
      <c r="BB143" s="29" t="str">
        <f t="shared" si="146"/>
        <v>#DIV/0!</v>
      </c>
      <c r="BC143" s="29" t="str">
        <f t="shared" si="146"/>
        <v>#DIV/0!</v>
      </c>
      <c r="BD143" s="29" t="str">
        <f t="shared" si="146"/>
        <v>#DIV/0!</v>
      </c>
      <c r="BE143" s="29" t="str">
        <f t="shared" si="146"/>
        <v>#DIV/0!</v>
      </c>
      <c r="BF143" s="29" t="str">
        <f t="shared" si="146"/>
        <v>#DIV/0!</v>
      </c>
      <c r="BG143" s="29" t="str">
        <f t="shared" si="146"/>
        <v>#DIV/0!</v>
      </c>
      <c r="BH143" s="29" t="str">
        <f t="shared" si="146"/>
        <v>#DIV/0!</v>
      </c>
      <c r="BI143" s="29" t="str">
        <f t="shared" si="146"/>
        <v>#DIV/0!</v>
      </c>
      <c r="BJ143" s="29" t="str">
        <f t="shared" si="146"/>
        <v>#DIV/0!</v>
      </c>
      <c r="BK143" s="29" t="str">
        <f t="shared" si="146"/>
        <v>#DIV/0!</v>
      </c>
      <c r="BL143" s="29" t="str">
        <f t="shared" si="146"/>
        <v>#DIV/0!</v>
      </c>
      <c r="BM143" s="29" t="str">
        <f t="shared" si="3"/>
        <v>#DIV/0!</v>
      </c>
    </row>
    <row r="144">
      <c r="A144" s="16" t="str">
        <f>IFERROR(__xludf.DUMMYFUNCTION("IFERROR(SPARKLINE(SORT(MAP(TRANSPOSE(AQ144:BL144), LAMBDA(val, IF(ISNUMBER(val), PERCENTRANK(AQ144:BL144, val)+0.01, 0))), SEQUENCE(COLUMNS(AQ144:BL144)), FALSE), {""charttype"",""column""; ""color"",""chartreuse""; ""ymin"", 0; ""ymax"", 1.01; ""highcolo"&amp;"r"", ""darkgreen""; ""lowcolor"", ""red""}), """")"),"")</f>
        <v/>
      </c>
      <c r="B144" s="17" t="str">
        <f t="shared" si="4"/>
        <v/>
      </c>
      <c r="C144" s="1" t="s">
        <v>740</v>
      </c>
      <c r="D144" s="30" t="str">
        <f>IFERROR(__xludf.DUMMYFUNCTION("IFERROR(GOOGLEFINANCE(C144, ""NAME""))"),"Sinclair Inc")</f>
        <v>Sinclair Inc</v>
      </c>
      <c r="E144" s="30" t="s">
        <v>176</v>
      </c>
      <c r="F144" s="33" t="str">
        <f>IFERROR(__xludf.DUMMYFUNCTION("( (GOOGLEFINANCE(C144, ""price"") - Q144) / Q144 ) / (R144 / 100)"),"Loading...")</f>
        <v>Loading...</v>
      </c>
      <c r="G144" s="20" t="str">
        <f>IFERROR(__xludf.DUMMYFUNCTION("AVERAGE(ARRAYFORMULA(100 * (QUERY(GOOGLEFINANCE(C144, ""high"", TODAY()-40, TODAY()), ""SELECT Col2 WHERE Col2 IS NOT NULL ORDER BY Col1 DESC LIMIT 20"", 0) / QUERY(GOOGLEFINANCE(C144, ""low"", TODAY()-40, TODAY()), ""SELECT Col2 WHERE Col2 IS NOT NULL OR"&amp;"DER BY Col1 DESC LIMIT 20"", 0) - 1)))"),"#N/A")</f>
        <v>#N/A</v>
      </c>
      <c r="H144" s="35" t="str">
        <f t="shared" si="6"/>
        <v>Illiquid</v>
      </c>
      <c r="I144" s="36" t="str">
        <f t="shared" si="7"/>
        <v>RVol Required</v>
      </c>
      <c r="J144" s="37">
        <f>IFERROR(__xludf.DUMMYFUNCTION("IFERROR(
  IF(C144="""",, 
    IFERROR(
      GOOGLEFINANCE(C144, ""price"") * GOOGLEFINANCE(C144, ""volumeavg""), 
      GOOGLEFINANCE(C144, ""price"") * AVERAGE(QUERY(GOOGLEFINANCE(C144, ""volume"", TODAY()-40, TODAY()), ""SELECT Col2 WHERE Col2 IS NOT "&amp;"NULL ORDER BY Col1 DESC LIMIT 20"", 0))
    )
  ), 
"""")"),5893577.16)</f>
        <v>5893577.16</v>
      </c>
      <c r="K144" s="21">
        <f>IFERROR(__xludf.DUMMYFUNCTION("IFERROR(GOOGLEFINANCE(C144, ""changepct"") / 100, """")"),-0.014199999999999999)</f>
        <v>-0.0142</v>
      </c>
      <c r="L144" s="21" t="str">
        <f>IFERROR(__xludf.DUMMYFUNCTION("IFERROR((GOOGLEFINANCE(C144, ""price"") / INDEX(GOOGLEFINANCE(C144, ""price"", TODAY()-7, TODAY()), 2, 2)) - 1, """")"),"")</f>
        <v/>
      </c>
      <c r="M144" s="21" t="str">
        <f>IFERROR(__xludf.DUMMYFUNCTION("IFERROR((GOOGLEFINANCE(C144, ""price"") / INDEX(GOOGLEFINANCE(C144, ""price"", EDATE(TODAY(), -1), TODAY()), 2, 2)) - 1, """")"),"")</f>
        <v/>
      </c>
      <c r="N144" s="21" t="str">
        <f>IFERROR(__xludf.DUMMYFUNCTION("IFERROR((GOOGLEFINANCE(C144, ""price"") / INDEX(GOOGLEFINANCE(C144, ""price"", EDATE(TODAY(), -3), TODAY()), 2, 2)) - 1, """")"),"")</f>
        <v/>
      </c>
      <c r="O144" s="21" t="str">
        <f>IFERROR(__xludf.DUMMYFUNCTION("IFERROR((GOOGLEFINANCE(C144, ""price"") / INDEX(GOOGLEFINANCE(C144, ""price"", EDATE(TODAY(), -6), TODAY()), 2, 2)) - 1, """")"),"")</f>
        <v/>
      </c>
      <c r="P144" s="21" t="str">
        <f>IFERROR(__xludf.DUMMYFUNCTION("IFERROR((GOOGLEFINANCE(C144, ""price"") / INDEX(GOOGLEFINANCE(C144, ""price"", EDATE(TODAY(), -12), TODAY()), 2, 2)) - 1, """")"),"")</f>
        <v/>
      </c>
      <c r="Q144" s="6" t="str">
        <f>IFERROR(__xludf.DUMMYFUNCTION("AVERAGE(QUERY(GOOGLEFINANCE(C144, ""price"", TODAY()-80, TODAY()), ""SELECT Col2 WHERE Col2 IS NOT NULL ORDER BY Col1 DESC LIMIT 50"", 0))"),"#N/A")</f>
        <v>#N/A</v>
      </c>
      <c r="R144" s="24" t="str">
        <f>IFERROR(__xludf.DUMMYFUNCTION("IFERROR(
  LET(
    data, QUERY(GOOGLEFINANCE(C144,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GOOGLEFINANCE(C144, ""price"")) * 100,
    IF(calc=0, G144, calc)
  ), 
G144)"),"#N/A")</f>
        <v>#N/A</v>
      </c>
      <c r="S144" s="8" t="s">
        <v>15</v>
      </c>
      <c r="T144" s="26" t="str">
        <f>IFERROR(__xludf.DUMMYFUNCTION("IFERROR(TRANSPOSE(QUERY(IFERROR(SORT(GOOGLEFINANCE(C144, ""price"", WORKDAY(TODAY(), -40), TODAY()), 1, FALSE)), ""select Col2 where Col2 is not null limit 22 label Col2 ''"", 0)), """")"),"")</f>
        <v/>
      </c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8"/>
      <c r="AO144" s="28"/>
      <c r="AP144" s="29"/>
      <c r="AQ144" s="29" t="str">
        <f t="shared" ref="AQ144:BL144" si="147">T144/T$2</f>
        <v>#N/A</v>
      </c>
      <c r="AR144" s="29" t="str">
        <f t="shared" si="147"/>
        <v>#DIV/0!</v>
      </c>
      <c r="AS144" s="29" t="str">
        <f t="shared" si="147"/>
        <v>#DIV/0!</v>
      </c>
      <c r="AT144" s="29" t="str">
        <f t="shared" si="147"/>
        <v>#DIV/0!</v>
      </c>
      <c r="AU144" s="29" t="str">
        <f t="shared" si="147"/>
        <v>#DIV/0!</v>
      </c>
      <c r="AV144" s="29" t="str">
        <f t="shared" si="147"/>
        <v>#DIV/0!</v>
      </c>
      <c r="AW144" s="29" t="str">
        <f t="shared" si="147"/>
        <v>#DIV/0!</v>
      </c>
      <c r="AX144" s="29" t="str">
        <f t="shared" si="147"/>
        <v>#DIV/0!</v>
      </c>
      <c r="AY144" s="29" t="str">
        <f t="shared" si="147"/>
        <v>#DIV/0!</v>
      </c>
      <c r="AZ144" s="29" t="str">
        <f t="shared" si="147"/>
        <v>#DIV/0!</v>
      </c>
      <c r="BA144" s="29" t="str">
        <f t="shared" si="147"/>
        <v>#DIV/0!</v>
      </c>
      <c r="BB144" s="29" t="str">
        <f t="shared" si="147"/>
        <v>#DIV/0!</v>
      </c>
      <c r="BC144" s="29" t="str">
        <f t="shared" si="147"/>
        <v>#DIV/0!</v>
      </c>
      <c r="BD144" s="29" t="str">
        <f t="shared" si="147"/>
        <v>#DIV/0!</v>
      </c>
      <c r="BE144" s="29" t="str">
        <f t="shared" si="147"/>
        <v>#DIV/0!</v>
      </c>
      <c r="BF144" s="29" t="str">
        <f t="shared" si="147"/>
        <v>#DIV/0!</v>
      </c>
      <c r="BG144" s="29" t="str">
        <f t="shared" si="147"/>
        <v>#DIV/0!</v>
      </c>
      <c r="BH144" s="29" t="str">
        <f t="shared" si="147"/>
        <v>#DIV/0!</v>
      </c>
      <c r="BI144" s="29" t="str">
        <f t="shared" si="147"/>
        <v>#DIV/0!</v>
      </c>
      <c r="BJ144" s="29" t="str">
        <f t="shared" si="147"/>
        <v>#DIV/0!</v>
      </c>
      <c r="BK144" s="29" t="str">
        <f t="shared" si="147"/>
        <v>#DIV/0!</v>
      </c>
      <c r="BL144" s="29" t="str">
        <f t="shared" si="147"/>
        <v>#DIV/0!</v>
      </c>
      <c r="BM144" s="29" t="str">
        <f t="shared" si="3"/>
        <v>#DIV/0!</v>
      </c>
    </row>
    <row r="145">
      <c r="A145" s="16" t="str">
        <f>IFERROR(__xludf.DUMMYFUNCTION("IFERROR(SPARKLINE(SORT(MAP(TRANSPOSE(AQ145:BL145), LAMBDA(val, IF(ISNUMBER(val), PERCENTRANK(AQ145:BL145, val)+0.01, 0))), SEQUENCE(COLUMNS(AQ145:BL145)), FALSE), {""charttype"",""column""; ""color"",""chartreuse""; ""ymin"", 0; ""ymax"", 1.01; ""highcolo"&amp;"r"", ""darkgreen""; ""lowcolor"", ""red""}), """")"),"")</f>
        <v/>
      </c>
      <c r="B145" s="17" t="str">
        <f t="shared" si="4"/>
        <v/>
      </c>
      <c r="C145" s="1" t="s">
        <v>744</v>
      </c>
      <c r="D145" s="30" t="str">
        <f>IFERROR(__xludf.DUMMYFUNCTION("IFERROR(GOOGLEFINANCE(C145, ""NAME""))"),"E W Scripps Co")</f>
        <v>E W Scripps Co</v>
      </c>
      <c r="E145" s="30" t="s">
        <v>176</v>
      </c>
      <c r="F145" s="38" t="str">
        <f>IFERROR(__xludf.DUMMYFUNCTION("( (GOOGLEFINANCE(C145, ""price"") - Q145) / Q145 ) / (R145 / 100)"),"Loading...")</f>
        <v>Loading...</v>
      </c>
      <c r="G145" s="20" t="str">
        <f>IFERROR(__xludf.DUMMYFUNCTION("AVERAGE(ARRAYFORMULA(100 * (QUERY(GOOGLEFINANCE(C145, ""high"", TODAY()-40, TODAY()), ""SELECT Col2 WHERE Col2 IS NOT NULL ORDER BY Col1 DESC LIMIT 20"", 0) / QUERY(GOOGLEFINANCE(C145, ""low"", TODAY()-40, TODAY()), ""SELECT Col2 WHERE Col2 IS NOT NULL OR"&amp;"DER BY Col1 DESC LIMIT 20"", 0) - 1)))"),"#N/A")</f>
        <v>#N/A</v>
      </c>
      <c r="H145" s="35" t="str">
        <f t="shared" si="6"/>
        <v>Illiquid</v>
      </c>
      <c r="I145" s="36" t="str">
        <f t="shared" si="7"/>
        <v>RVol Required</v>
      </c>
      <c r="J145" s="37">
        <f>IFERROR(__xludf.DUMMYFUNCTION("IFERROR(
  IF(C145="""",, 
    IFERROR(
      GOOGLEFINANCE(C145, ""price"") * GOOGLEFINANCE(C145, ""volumeavg""), 
      GOOGLEFINANCE(C145, ""price"") * AVERAGE(QUERY(GOOGLEFINANCE(C145, ""volume"", TODAY()-40, TODAY()), ""SELECT Col2 WHERE Col2 IS NOT "&amp;"NULL ORDER BY Col1 DESC LIMIT 20"", 0))
    )
  ), 
"""")"),1701911.89)</f>
        <v>1701911.89</v>
      </c>
      <c r="K145" s="21">
        <f>IFERROR(__xludf.DUMMYFUNCTION("IFERROR(GOOGLEFINANCE(C145, ""changepct"") / 100, """")"),-0.0495)</f>
        <v>-0.0495</v>
      </c>
      <c r="L145" s="21" t="str">
        <f>IFERROR(__xludf.DUMMYFUNCTION("IFERROR((GOOGLEFINANCE(C145, ""price"") / INDEX(GOOGLEFINANCE(C145, ""price"", TODAY()-7, TODAY()), 2, 2)) - 1, """")"),"")</f>
        <v/>
      </c>
      <c r="M145" s="21" t="str">
        <f>IFERROR(__xludf.DUMMYFUNCTION("IFERROR((GOOGLEFINANCE(C145, ""price"") / INDEX(GOOGLEFINANCE(C145, ""price"", EDATE(TODAY(), -1), TODAY()), 2, 2)) - 1, """")"),"")</f>
        <v/>
      </c>
      <c r="N145" s="21" t="str">
        <f>IFERROR(__xludf.DUMMYFUNCTION("IFERROR((GOOGLEFINANCE(C145, ""price"") / INDEX(GOOGLEFINANCE(C145, ""price"", EDATE(TODAY(), -3), TODAY()), 2, 2)) - 1, """")"),"")</f>
        <v/>
      </c>
      <c r="O145" s="21" t="str">
        <f>IFERROR(__xludf.DUMMYFUNCTION("IFERROR((GOOGLEFINANCE(C145, ""price"") / INDEX(GOOGLEFINANCE(C145, ""price"", EDATE(TODAY(), -6), TODAY()), 2, 2)) - 1, """")"),"")</f>
        <v/>
      </c>
      <c r="P145" s="21" t="str">
        <f>IFERROR(__xludf.DUMMYFUNCTION("IFERROR((GOOGLEFINANCE(C145, ""price"") / INDEX(GOOGLEFINANCE(C145, ""price"", EDATE(TODAY(), -12), TODAY()), 2, 2)) - 1, """")"),"")</f>
        <v/>
      </c>
      <c r="Q145" s="6" t="str">
        <f>IFERROR(__xludf.DUMMYFUNCTION("AVERAGE(QUERY(GOOGLEFINANCE(C145, ""price"", TODAY()-80, TODAY()), ""SELECT Col2 WHERE Col2 IS NOT NULL ORDER BY Col1 DESC LIMIT 50"", 0))"),"#N/A")</f>
        <v>#N/A</v>
      </c>
      <c r="R145" s="24" t="str">
        <f>IFERROR(__xludf.DUMMYFUNCTION("IFERROR(
  LET(
    data, QUERY(GOOGLEFINANCE(C145,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GOOGLEFINANCE(C145, ""price"")) * 100,
    IF(calc=0, G145, calc)
  ), 
G145)"),"#N/A")</f>
        <v>#N/A</v>
      </c>
      <c r="S145" s="8" t="s">
        <v>15</v>
      </c>
      <c r="T145" s="26" t="str">
        <f>IFERROR(__xludf.DUMMYFUNCTION("IFERROR(TRANSPOSE(QUERY(IFERROR(SORT(GOOGLEFINANCE(C145, ""price"", WORKDAY(TODAY(), -40), TODAY()), 1, FALSE)), ""select Col2 where Col2 is not null limit 22 label Col2 ''"", 0)), """")"),"")</f>
        <v/>
      </c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8"/>
      <c r="AO145" s="28"/>
      <c r="AP145" s="29"/>
      <c r="AQ145" s="29" t="str">
        <f t="shared" ref="AQ145:BL145" si="148">T145/T$2</f>
        <v>#N/A</v>
      </c>
      <c r="AR145" s="29" t="str">
        <f t="shared" si="148"/>
        <v>#DIV/0!</v>
      </c>
      <c r="AS145" s="29" t="str">
        <f t="shared" si="148"/>
        <v>#DIV/0!</v>
      </c>
      <c r="AT145" s="29" t="str">
        <f t="shared" si="148"/>
        <v>#DIV/0!</v>
      </c>
      <c r="AU145" s="29" t="str">
        <f t="shared" si="148"/>
        <v>#DIV/0!</v>
      </c>
      <c r="AV145" s="29" t="str">
        <f t="shared" si="148"/>
        <v>#DIV/0!</v>
      </c>
      <c r="AW145" s="29" t="str">
        <f t="shared" si="148"/>
        <v>#DIV/0!</v>
      </c>
      <c r="AX145" s="29" t="str">
        <f t="shared" si="148"/>
        <v>#DIV/0!</v>
      </c>
      <c r="AY145" s="29" t="str">
        <f t="shared" si="148"/>
        <v>#DIV/0!</v>
      </c>
      <c r="AZ145" s="29" t="str">
        <f t="shared" si="148"/>
        <v>#DIV/0!</v>
      </c>
      <c r="BA145" s="29" t="str">
        <f t="shared" si="148"/>
        <v>#DIV/0!</v>
      </c>
      <c r="BB145" s="29" t="str">
        <f t="shared" si="148"/>
        <v>#DIV/0!</v>
      </c>
      <c r="BC145" s="29" t="str">
        <f t="shared" si="148"/>
        <v>#DIV/0!</v>
      </c>
      <c r="BD145" s="29" t="str">
        <f t="shared" si="148"/>
        <v>#DIV/0!</v>
      </c>
      <c r="BE145" s="29" t="str">
        <f t="shared" si="148"/>
        <v>#DIV/0!</v>
      </c>
      <c r="BF145" s="29" t="str">
        <f t="shared" si="148"/>
        <v>#DIV/0!</v>
      </c>
      <c r="BG145" s="29" t="str">
        <f t="shared" si="148"/>
        <v>#DIV/0!</v>
      </c>
      <c r="BH145" s="29" t="str">
        <f t="shared" si="148"/>
        <v>#DIV/0!</v>
      </c>
      <c r="BI145" s="29" t="str">
        <f t="shared" si="148"/>
        <v>#DIV/0!</v>
      </c>
      <c r="BJ145" s="29" t="str">
        <f t="shared" si="148"/>
        <v>#DIV/0!</v>
      </c>
      <c r="BK145" s="29" t="str">
        <f t="shared" si="148"/>
        <v>#DIV/0!</v>
      </c>
      <c r="BL145" s="29" t="str">
        <f t="shared" si="148"/>
        <v>#DIV/0!</v>
      </c>
      <c r="BM145" s="29" t="str">
        <f t="shared" si="3"/>
        <v>#DIV/0!</v>
      </c>
    </row>
    <row r="146">
      <c r="A146" s="16" t="str">
        <f>IFERROR(__xludf.DUMMYFUNCTION("IFERROR(SPARKLINE(SORT(MAP(TRANSPOSE(AQ146:BL146), LAMBDA(val, IF(ISNUMBER(val), PERCENTRANK(AQ146:BL146, val)+0.01, 0))), SEQUENCE(COLUMNS(AQ146:BL146)), FALSE), {""charttype"",""column""; ""color"",""chartreuse""; ""ymin"", 0; ""ymax"", 1.01; ""highcolo"&amp;"r"", ""darkgreen""; ""lowcolor"", ""red""}), """")"),"")</f>
        <v/>
      </c>
      <c r="B146" s="17" t="str">
        <f t="shared" si="4"/>
        <v/>
      </c>
      <c r="C146" s="1" t="s">
        <v>748</v>
      </c>
      <c r="D146" s="30" t="str">
        <f>IFERROR(__xludf.DUMMYFUNCTION("IFERROR(GOOGLEFINANCE(C146, ""NAME""))"),"Zhihu Inc - ADR")</f>
        <v>Zhihu Inc - ADR</v>
      </c>
      <c r="E146" s="30" t="s">
        <v>69</v>
      </c>
      <c r="F146" s="33" t="str">
        <f>IFERROR(__xludf.DUMMYFUNCTION("( (GOOGLEFINANCE(C146, ""price"") - Q146) / Q146 ) / (R146 / 100)"),"Loading...")</f>
        <v>Loading...</v>
      </c>
      <c r="G146" s="20" t="str">
        <f>IFERROR(__xludf.DUMMYFUNCTION("AVERAGE(ARRAYFORMULA(100 * (QUERY(GOOGLEFINANCE(C146, ""high"", TODAY()-40, TODAY()), ""SELECT Col2 WHERE Col2 IS NOT NULL ORDER BY Col1 DESC LIMIT 20"", 0) / QUERY(GOOGLEFINANCE(C146, ""low"", TODAY()-40, TODAY()), ""SELECT Col2 WHERE Col2 IS NOT NULL OR"&amp;"DER BY Col1 DESC LIMIT 20"", 0) - 1)))"),"#N/A")</f>
        <v>#N/A</v>
      </c>
      <c r="H146" s="35" t="str">
        <f t="shared" si="6"/>
        <v>Illiquid</v>
      </c>
      <c r="I146" s="36" t="str">
        <f t="shared" si="7"/>
        <v>RVol Required</v>
      </c>
      <c r="J146" s="37">
        <f>IFERROR(__xludf.DUMMYFUNCTION("IFERROR(
  IF(C146="""",, 
    IFERROR(
      GOOGLEFINANCE(C146, ""price"") * GOOGLEFINANCE(C146, ""volumeavg""), 
      GOOGLEFINANCE(C146, ""price"") * AVERAGE(QUERY(GOOGLEFINANCE(C146, ""volume"", TODAY()-40, TODAY()), ""SELECT Col2 WHERE Col2 IS NOT "&amp;"NULL ORDER BY Col1 DESC LIMIT 20"", 0))
    )
  ), 
"""")"),1782834.9000000001)</f>
        <v>1782834.9</v>
      </c>
      <c r="K146" s="21">
        <f>IFERROR(__xludf.DUMMYFUNCTION("IFERROR(GOOGLEFINANCE(C146, ""changepct"") / 100, """")"),-0.031400000000000004)</f>
        <v>-0.0314</v>
      </c>
      <c r="L146" s="21" t="str">
        <f>IFERROR(__xludf.DUMMYFUNCTION("IFERROR((GOOGLEFINANCE(C146, ""price"") / INDEX(GOOGLEFINANCE(C146, ""price"", TODAY()-7, TODAY()), 2, 2)) - 1, """")"),"")</f>
        <v/>
      </c>
      <c r="M146" s="21" t="str">
        <f>IFERROR(__xludf.DUMMYFUNCTION("IFERROR((GOOGLEFINANCE(C146, ""price"") / INDEX(GOOGLEFINANCE(C146, ""price"", EDATE(TODAY(), -1), TODAY()), 2, 2)) - 1, """")"),"")</f>
        <v/>
      </c>
      <c r="N146" s="21" t="str">
        <f>IFERROR(__xludf.DUMMYFUNCTION("IFERROR((GOOGLEFINANCE(C146, ""price"") / INDEX(GOOGLEFINANCE(C146, ""price"", EDATE(TODAY(), -3), TODAY()), 2, 2)) - 1, """")"),"")</f>
        <v/>
      </c>
      <c r="O146" s="21" t="str">
        <f>IFERROR(__xludf.DUMMYFUNCTION("IFERROR((GOOGLEFINANCE(C146, ""price"") / INDEX(GOOGLEFINANCE(C146, ""price"", EDATE(TODAY(), -6), TODAY()), 2, 2)) - 1, """")"),"")</f>
        <v/>
      </c>
      <c r="P146" s="21" t="str">
        <f>IFERROR(__xludf.DUMMYFUNCTION("IFERROR((GOOGLEFINANCE(C146, ""price"") / INDEX(GOOGLEFINANCE(C146, ""price"", EDATE(TODAY(), -12), TODAY()), 2, 2)) - 1, """")"),"")</f>
        <v/>
      </c>
      <c r="Q146" s="6" t="str">
        <f>IFERROR(__xludf.DUMMYFUNCTION("AVERAGE(QUERY(GOOGLEFINANCE(C146, ""price"", TODAY()-80, TODAY()), ""SELECT Col2 WHERE Col2 IS NOT NULL ORDER BY Col1 DESC LIMIT 50"", 0))"),"#N/A")</f>
        <v>#N/A</v>
      </c>
      <c r="R146" s="24" t="str">
        <f>IFERROR(__xludf.DUMMYFUNCTION("IFERROR(
  LET(
    data, QUERY(GOOGLEFINANCE(C146,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GOOGLEFINANCE(C146, ""price"")) * 100,
    IF(calc=0, G146, calc)
  ), 
G146)"),"#N/A")</f>
        <v>#N/A</v>
      </c>
      <c r="S146" s="8" t="s">
        <v>15</v>
      </c>
      <c r="T146" s="26" t="str">
        <f>IFERROR(__xludf.DUMMYFUNCTION("IFERROR(TRANSPOSE(QUERY(IFERROR(SORT(GOOGLEFINANCE(C146, ""price"", WORKDAY(TODAY(), -40), TODAY()), 1, FALSE)), ""select Col2 where Col2 is not null limit 22 label Col2 ''"", 0)), """")"),"")</f>
        <v/>
      </c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8"/>
      <c r="AO146" s="28"/>
      <c r="AP146" s="29"/>
      <c r="AQ146" s="29" t="str">
        <f t="shared" ref="AQ146:BL146" si="149">T146/T$2</f>
        <v>#N/A</v>
      </c>
      <c r="AR146" s="29" t="str">
        <f t="shared" si="149"/>
        <v>#DIV/0!</v>
      </c>
      <c r="AS146" s="29" t="str">
        <f t="shared" si="149"/>
        <v>#DIV/0!</v>
      </c>
      <c r="AT146" s="29" t="str">
        <f t="shared" si="149"/>
        <v>#DIV/0!</v>
      </c>
      <c r="AU146" s="29" t="str">
        <f t="shared" si="149"/>
        <v>#DIV/0!</v>
      </c>
      <c r="AV146" s="29" t="str">
        <f t="shared" si="149"/>
        <v>#DIV/0!</v>
      </c>
      <c r="AW146" s="29" t="str">
        <f t="shared" si="149"/>
        <v>#DIV/0!</v>
      </c>
      <c r="AX146" s="29" t="str">
        <f t="shared" si="149"/>
        <v>#DIV/0!</v>
      </c>
      <c r="AY146" s="29" t="str">
        <f t="shared" si="149"/>
        <v>#DIV/0!</v>
      </c>
      <c r="AZ146" s="29" t="str">
        <f t="shared" si="149"/>
        <v>#DIV/0!</v>
      </c>
      <c r="BA146" s="29" t="str">
        <f t="shared" si="149"/>
        <v>#DIV/0!</v>
      </c>
      <c r="BB146" s="29" t="str">
        <f t="shared" si="149"/>
        <v>#DIV/0!</v>
      </c>
      <c r="BC146" s="29" t="str">
        <f t="shared" si="149"/>
        <v>#DIV/0!</v>
      </c>
      <c r="BD146" s="29" t="str">
        <f t="shared" si="149"/>
        <v>#DIV/0!</v>
      </c>
      <c r="BE146" s="29" t="str">
        <f t="shared" si="149"/>
        <v>#DIV/0!</v>
      </c>
      <c r="BF146" s="29" t="str">
        <f t="shared" si="149"/>
        <v>#DIV/0!</v>
      </c>
      <c r="BG146" s="29" t="str">
        <f t="shared" si="149"/>
        <v>#DIV/0!</v>
      </c>
      <c r="BH146" s="29" t="str">
        <f t="shared" si="149"/>
        <v>#DIV/0!</v>
      </c>
      <c r="BI146" s="29" t="str">
        <f t="shared" si="149"/>
        <v>#DIV/0!</v>
      </c>
      <c r="BJ146" s="29" t="str">
        <f t="shared" si="149"/>
        <v>#DIV/0!</v>
      </c>
      <c r="BK146" s="29" t="str">
        <f t="shared" si="149"/>
        <v>#DIV/0!</v>
      </c>
      <c r="BL146" s="29" t="str">
        <f t="shared" si="149"/>
        <v>#DIV/0!</v>
      </c>
      <c r="BM146" s="29" t="str">
        <f t="shared" si="3"/>
        <v>#DIV/0!</v>
      </c>
    </row>
    <row r="147">
      <c r="A147" s="16" t="str">
        <f>IFERROR(__xludf.DUMMYFUNCTION("IFERROR(SPARKLINE(SORT(MAP(TRANSPOSE(AQ147:BL147), LAMBDA(val, IF(ISNUMBER(val), PERCENTRANK(AQ147:BL147, val)+0.01, 0))), SEQUENCE(COLUMNS(AQ147:BL147)), FALSE), {""charttype"",""column""; ""color"",""chartreuse""; ""ymin"", 0; ""ymax"", 1.01; ""highcolo"&amp;"r"", ""darkgreen""; ""lowcolor"", ""red""}), """")"),"")</f>
        <v/>
      </c>
      <c r="B147" s="17" t="str">
        <f t="shared" si="4"/>
        <v/>
      </c>
      <c r="C147" s="1" t="s">
        <v>752</v>
      </c>
      <c r="D147" s="30" t="str">
        <f>IFERROR(__xludf.DUMMYFUNCTION("IFERROR(GOOGLEFINANCE(C147, ""NAME""))"),"Liberty Global Ltd Class A")</f>
        <v>Liberty Global Ltd Class A</v>
      </c>
      <c r="E147" s="30" t="s">
        <v>52</v>
      </c>
      <c r="F147" s="38" t="str">
        <f>IFERROR(__xludf.DUMMYFUNCTION("( (GOOGLEFINANCE(C147, ""price"") - Q147) / Q147 ) / (R147 / 100)"),"Loading...")</f>
        <v>Loading...</v>
      </c>
      <c r="G147" s="20" t="str">
        <f>IFERROR(__xludf.DUMMYFUNCTION("AVERAGE(ARRAYFORMULA(100 * (QUERY(GOOGLEFINANCE(C147, ""high"", TODAY()-40, TODAY()), ""SELECT Col2 WHERE Col2 IS NOT NULL ORDER BY Col1 DESC LIMIT 20"", 0) / QUERY(GOOGLEFINANCE(C147, ""low"", TODAY()-40, TODAY()), ""SELECT Col2 WHERE Col2 IS NOT NULL OR"&amp;"DER BY Col1 DESC LIMIT 20"", 0) - 1)))"),"#N/A")</f>
        <v>#N/A</v>
      </c>
      <c r="H147" s="35" t="str">
        <f t="shared" si="6"/>
        <v>Illiquid</v>
      </c>
      <c r="I147" s="36" t="str">
        <f t="shared" si="7"/>
        <v>RVol Required</v>
      </c>
      <c r="J147" s="37">
        <f>IFERROR(__xludf.DUMMYFUNCTION("IFERROR(
  IF(C147="""",, 
    IFERROR(
      GOOGLEFINANCE(C147, ""price"") * GOOGLEFINANCE(C147, ""volumeavg""), 
      GOOGLEFINANCE(C147, ""price"") * AVERAGE(QUERY(GOOGLEFINANCE(C147, ""volume"", TODAY()-40, TODAY()), ""SELECT Col2 WHERE Col2 IS NOT "&amp;"NULL ORDER BY Col1 DESC LIMIT 20"", 0))
    )
  ), 
"""")"),2.60630214E7)</f>
        <v>26063021.4</v>
      </c>
      <c r="K147" s="21">
        <f>IFERROR(__xludf.DUMMYFUNCTION("IFERROR(GOOGLEFINANCE(C147, ""changepct"") / 100, """")"),-0.029900000000000003)</f>
        <v>-0.0299</v>
      </c>
      <c r="L147" s="21" t="str">
        <f>IFERROR(__xludf.DUMMYFUNCTION("IFERROR((GOOGLEFINANCE(C147, ""price"") / INDEX(GOOGLEFINANCE(C147, ""price"", TODAY()-7, TODAY()), 2, 2)) - 1, """")"),"")</f>
        <v/>
      </c>
      <c r="M147" s="21" t="str">
        <f>IFERROR(__xludf.DUMMYFUNCTION("IFERROR((GOOGLEFINANCE(C147, ""price"") / INDEX(GOOGLEFINANCE(C147, ""price"", EDATE(TODAY(), -1), TODAY()), 2, 2)) - 1, """")"),"")</f>
        <v/>
      </c>
      <c r="N147" s="21" t="str">
        <f>IFERROR(__xludf.DUMMYFUNCTION("IFERROR((GOOGLEFINANCE(C147, ""price"") / INDEX(GOOGLEFINANCE(C147, ""price"", EDATE(TODAY(), -3), TODAY()), 2, 2)) - 1, """")"),"")</f>
        <v/>
      </c>
      <c r="O147" s="21" t="str">
        <f>IFERROR(__xludf.DUMMYFUNCTION("IFERROR((GOOGLEFINANCE(C147, ""price"") / INDEX(GOOGLEFINANCE(C147, ""price"", EDATE(TODAY(), -6), TODAY()), 2, 2)) - 1, """")"),"")</f>
        <v/>
      </c>
      <c r="P147" s="21" t="str">
        <f>IFERROR(__xludf.DUMMYFUNCTION("IFERROR((GOOGLEFINANCE(C147, ""price"") / INDEX(GOOGLEFINANCE(C147, ""price"", EDATE(TODAY(), -12), TODAY()), 2, 2)) - 1, """")"),"")</f>
        <v/>
      </c>
      <c r="Q147" s="6" t="str">
        <f>IFERROR(__xludf.DUMMYFUNCTION("AVERAGE(QUERY(GOOGLEFINANCE(C147, ""price"", TODAY()-80, TODAY()), ""SELECT Col2 WHERE Col2 IS NOT NULL ORDER BY Col1 DESC LIMIT 50"", 0))"),"#N/A")</f>
        <v>#N/A</v>
      </c>
      <c r="R147" s="24" t="str">
        <f>IFERROR(__xludf.DUMMYFUNCTION("IFERROR(
  LET(
    data, QUERY(GOOGLEFINANCE(C147,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GOOGLEFINANCE(C147, ""price"")) * 100,
    IF(calc=0, G147, calc)
  ), 
G147)"),"#N/A")</f>
        <v>#N/A</v>
      </c>
      <c r="S147" s="8" t="s">
        <v>15</v>
      </c>
      <c r="T147" s="26" t="str">
        <f>IFERROR(__xludf.DUMMYFUNCTION("IFERROR(TRANSPOSE(QUERY(IFERROR(SORT(GOOGLEFINANCE(C147, ""price"", WORKDAY(TODAY(), -40), TODAY()), 1, FALSE)), ""select Col2 where Col2 is not null limit 22 label Col2 ''"", 0)), """")"),"")</f>
        <v/>
      </c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8"/>
      <c r="AO147" s="28"/>
      <c r="AP147" s="29"/>
      <c r="AQ147" s="29" t="str">
        <f t="shared" ref="AQ147:BL147" si="150">T147/T$2</f>
        <v>#N/A</v>
      </c>
      <c r="AR147" s="29" t="str">
        <f t="shared" si="150"/>
        <v>#DIV/0!</v>
      </c>
      <c r="AS147" s="29" t="str">
        <f t="shared" si="150"/>
        <v>#DIV/0!</v>
      </c>
      <c r="AT147" s="29" t="str">
        <f t="shared" si="150"/>
        <v>#DIV/0!</v>
      </c>
      <c r="AU147" s="29" t="str">
        <f t="shared" si="150"/>
        <v>#DIV/0!</v>
      </c>
      <c r="AV147" s="29" t="str">
        <f t="shared" si="150"/>
        <v>#DIV/0!</v>
      </c>
      <c r="AW147" s="29" t="str">
        <f t="shared" si="150"/>
        <v>#DIV/0!</v>
      </c>
      <c r="AX147" s="29" t="str">
        <f t="shared" si="150"/>
        <v>#DIV/0!</v>
      </c>
      <c r="AY147" s="29" t="str">
        <f t="shared" si="150"/>
        <v>#DIV/0!</v>
      </c>
      <c r="AZ147" s="29" t="str">
        <f t="shared" si="150"/>
        <v>#DIV/0!</v>
      </c>
      <c r="BA147" s="29" t="str">
        <f t="shared" si="150"/>
        <v>#DIV/0!</v>
      </c>
      <c r="BB147" s="29" t="str">
        <f t="shared" si="150"/>
        <v>#DIV/0!</v>
      </c>
      <c r="BC147" s="29" t="str">
        <f t="shared" si="150"/>
        <v>#DIV/0!</v>
      </c>
      <c r="BD147" s="29" t="str">
        <f t="shared" si="150"/>
        <v>#DIV/0!</v>
      </c>
      <c r="BE147" s="29" t="str">
        <f t="shared" si="150"/>
        <v>#DIV/0!</v>
      </c>
      <c r="BF147" s="29" t="str">
        <f t="shared" si="150"/>
        <v>#DIV/0!</v>
      </c>
      <c r="BG147" s="29" t="str">
        <f t="shared" si="150"/>
        <v>#DIV/0!</v>
      </c>
      <c r="BH147" s="29" t="str">
        <f t="shared" si="150"/>
        <v>#DIV/0!</v>
      </c>
      <c r="BI147" s="29" t="str">
        <f t="shared" si="150"/>
        <v>#DIV/0!</v>
      </c>
      <c r="BJ147" s="29" t="str">
        <f t="shared" si="150"/>
        <v>#DIV/0!</v>
      </c>
      <c r="BK147" s="29" t="str">
        <f t="shared" si="150"/>
        <v>#DIV/0!</v>
      </c>
      <c r="BL147" s="29" t="str">
        <f t="shared" si="150"/>
        <v>#DIV/0!</v>
      </c>
      <c r="BM147" s="29" t="str">
        <f t="shared" si="3"/>
        <v>#DIV/0!</v>
      </c>
    </row>
    <row r="148">
      <c r="A148" s="16" t="str">
        <f>IFERROR(__xludf.DUMMYFUNCTION("IFERROR(SPARKLINE(SORT(MAP(TRANSPOSE(AQ148:BL148), LAMBDA(val, IF(ISNUMBER(val), PERCENTRANK(AQ148:BL148, val)+0.01, 0))), SEQUENCE(COLUMNS(AQ148:BL148)), FALSE), {""charttype"",""column""; ""color"",""chartreuse""; ""ymin"", 0; ""ymax"", 1.01; ""highcolo"&amp;"r"", ""darkgreen""; ""lowcolor"", ""red""}), """")"),"")</f>
        <v/>
      </c>
      <c r="B148" s="17" t="str">
        <f t="shared" si="4"/>
        <v/>
      </c>
      <c r="C148" s="1" t="s">
        <v>755</v>
      </c>
      <c r="D148" s="30" t="str">
        <f>IFERROR(__xludf.DUMMYFUNCTION("IFERROR(GOOGLEFINANCE(C148, ""NAME""))"),"Trade Desk Inc")</f>
        <v>Trade Desk Inc</v>
      </c>
      <c r="E148" s="30" t="s">
        <v>116</v>
      </c>
      <c r="F148" s="33" t="str">
        <f>IFERROR(__xludf.DUMMYFUNCTION("( (GOOGLEFINANCE(C148, ""price"") - Q148) / Q148 ) / (R148 / 100)"),"Loading...")</f>
        <v>Loading...</v>
      </c>
      <c r="G148" s="20" t="str">
        <f>IFERROR(__xludf.DUMMYFUNCTION("AVERAGE(ARRAYFORMULA(100 * (QUERY(GOOGLEFINANCE(C148, ""high"", TODAY()-40, TODAY()), ""SELECT Col2 WHERE Col2 IS NOT NULL ORDER BY Col1 DESC LIMIT 20"", 0) / QUERY(GOOGLEFINANCE(C148, ""low"", TODAY()-40, TODAY()), ""SELECT Col2 WHERE Col2 IS NOT NULL OR"&amp;"DER BY Col1 DESC LIMIT 20"", 0) - 1)))"),"#N/A")</f>
        <v>#N/A</v>
      </c>
      <c r="H148" s="35" t="str">
        <f t="shared" si="6"/>
        <v>Liquid</v>
      </c>
      <c r="I148" s="36" t="str">
        <f t="shared" si="7"/>
        <v>RVol Required</v>
      </c>
      <c r="J148" s="37">
        <f>IFERROR(__xludf.DUMMYFUNCTION("IFERROR(
  IF(C148="""",, 
    IFERROR(
      GOOGLEFINANCE(C148, ""price"") * GOOGLEFINANCE(C148, ""volumeavg""), 
      GOOGLEFINANCE(C148, ""price"") * AVERAGE(QUERY(GOOGLEFINANCE(C148, ""volume"", TODAY()-40, TODAY()), ""SELECT Col2 WHERE Col2 IS NOT "&amp;"NULL ORDER BY Col1 DESC LIMIT 20"", 0))
    )
  ), 
"""")"),2.8459354314E8)</f>
        <v>284593543.1</v>
      </c>
      <c r="K148" s="21">
        <f>IFERROR(__xludf.DUMMYFUNCTION("IFERROR(GOOGLEFINANCE(C148, ""changepct"") / 100, """")"),-0.06849999999999999)</f>
        <v>-0.0685</v>
      </c>
      <c r="L148" s="21" t="str">
        <f>IFERROR(__xludf.DUMMYFUNCTION("IFERROR((GOOGLEFINANCE(C148, ""price"") / INDEX(GOOGLEFINANCE(C148, ""price"", TODAY()-7, TODAY()), 2, 2)) - 1, """")"),"")</f>
        <v/>
      </c>
      <c r="M148" s="21" t="str">
        <f>IFERROR(__xludf.DUMMYFUNCTION("IFERROR((GOOGLEFINANCE(C148, ""price"") / INDEX(GOOGLEFINANCE(C148, ""price"", EDATE(TODAY(), -1), TODAY()), 2, 2)) - 1, """")"),"")</f>
        <v/>
      </c>
      <c r="N148" s="21" t="str">
        <f>IFERROR(__xludf.DUMMYFUNCTION("IFERROR((GOOGLEFINANCE(C148, ""price"") / INDEX(GOOGLEFINANCE(C148, ""price"", EDATE(TODAY(), -3), TODAY()), 2, 2)) - 1, """")"),"")</f>
        <v/>
      </c>
      <c r="O148" s="21" t="str">
        <f>IFERROR(__xludf.DUMMYFUNCTION("IFERROR((GOOGLEFINANCE(C148, ""price"") / INDEX(GOOGLEFINANCE(C148, ""price"", EDATE(TODAY(), -6), TODAY()), 2, 2)) - 1, """")"),"")</f>
        <v/>
      </c>
      <c r="P148" s="21" t="str">
        <f>IFERROR(__xludf.DUMMYFUNCTION("IFERROR((GOOGLEFINANCE(C148, ""price"") / INDEX(GOOGLEFINANCE(C148, ""price"", EDATE(TODAY(), -12), TODAY()), 2, 2)) - 1, """")"),"")</f>
        <v/>
      </c>
      <c r="Q148" s="6" t="str">
        <f>IFERROR(__xludf.DUMMYFUNCTION("AVERAGE(QUERY(GOOGLEFINANCE(C148, ""price"", TODAY()-80, TODAY()), ""SELECT Col2 WHERE Col2 IS NOT NULL ORDER BY Col1 DESC LIMIT 50"", 0))"),"#N/A")</f>
        <v>#N/A</v>
      </c>
      <c r="R148" s="24" t="str">
        <f>IFERROR(__xludf.DUMMYFUNCTION("IFERROR(
  LET(
    data, QUERY(GOOGLEFINANCE(C148,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GOOGLEFINANCE(C148, ""price"")) * 100,
    IF(calc=0, G148, calc)
  ), 
G148)"),"#N/A")</f>
        <v>#N/A</v>
      </c>
      <c r="S148" s="8" t="s">
        <v>15</v>
      </c>
      <c r="T148" s="26" t="str">
        <f>IFERROR(__xludf.DUMMYFUNCTION("IFERROR(TRANSPOSE(QUERY(IFERROR(SORT(GOOGLEFINANCE(C148, ""price"", WORKDAY(TODAY(), -40), TODAY()), 1, FALSE)), ""select Col2 where Col2 is not null limit 22 label Col2 ''"", 0)), """")"),"")</f>
        <v/>
      </c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8"/>
      <c r="AO148" s="28"/>
      <c r="AP148" s="29"/>
      <c r="AQ148" s="29" t="str">
        <f t="shared" ref="AQ148:BL148" si="151">T148/T$2</f>
        <v>#N/A</v>
      </c>
      <c r="AR148" s="29" t="str">
        <f t="shared" si="151"/>
        <v>#DIV/0!</v>
      </c>
      <c r="AS148" s="29" t="str">
        <f t="shared" si="151"/>
        <v>#DIV/0!</v>
      </c>
      <c r="AT148" s="29" t="str">
        <f t="shared" si="151"/>
        <v>#DIV/0!</v>
      </c>
      <c r="AU148" s="29" t="str">
        <f t="shared" si="151"/>
        <v>#DIV/0!</v>
      </c>
      <c r="AV148" s="29" t="str">
        <f t="shared" si="151"/>
        <v>#DIV/0!</v>
      </c>
      <c r="AW148" s="29" t="str">
        <f t="shared" si="151"/>
        <v>#DIV/0!</v>
      </c>
      <c r="AX148" s="29" t="str">
        <f t="shared" si="151"/>
        <v>#DIV/0!</v>
      </c>
      <c r="AY148" s="29" t="str">
        <f t="shared" si="151"/>
        <v>#DIV/0!</v>
      </c>
      <c r="AZ148" s="29" t="str">
        <f t="shared" si="151"/>
        <v>#DIV/0!</v>
      </c>
      <c r="BA148" s="29" t="str">
        <f t="shared" si="151"/>
        <v>#DIV/0!</v>
      </c>
      <c r="BB148" s="29" t="str">
        <f t="shared" si="151"/>
        <v>#DIV/0!</v>
      </c>
      <c r="BC148" s="29" t="str">
        <f t="shared" si="151"/>
        <v>#DIV/0!</v>
      </c>
      <c r="BD148" s="29" t="str">
        <f t="shared" si="151"/>
        <v>#DIV/0!</v>
      </c>
      <c r="BE148" s="29" t="str">
        <f t="shared" si="151"/>
        <v>#DIV/0!</v>
      </c>
      <c r="BF148" s="29" t="str">
        <f t="shared" si="151"/>
        <v>#DIV/0!</v>
      </c>
      <c r="BG148" s="29" t="str">
        <f t="shared" si="151"/>
        <v>#DIV/0!</v>
      </c>
      <c r="BH148" s="29" t="str">
        <f t="shared" si="151"/>
        <v>#DIV/0!</v>
      </c>
      <c r="BI148" s="29" t="str">
        <f t="shared" si="151"/>
        <v>#DIV/0!</v>
      </c>
      <c r="BJ148" s="29" t="str">
        <f t="shared" si="151"/>
        <v>#DIV/0!</v>
      </c>
      <c r="BK148" s="29" t="str">
        <f t="shared" si="151"/>
        <v>#DIV/0!</v>
      </c>
      <c r="BL148" s="29" t="str">
        <f t="shared" si="151"/>
        <v>#DIV/0!</v>
      </c>
      <c r="BM148" s="29" t="str">
        <f t="shared" si="3"/>
        <v>#DIV/0!</v>
      </c>
    </row>
    <row r="149">
      <c r="A149" s="16" t="str">
        <f>IFERROR(__xludf.DUMMYFUNCTION("IFERROR(SPARKLINE(SORT(MAP(TRANSPOSE(AQ149:BL149), LAMBDA(val, IF(ISNUMBER(val), PERCENTRANK(AQ149:BL149, val)+0.01, 0))), SEQUENCE(COLUMNS(AQ149:BL149)), FALSE), {""charttype"",""column""; ""color"",""chartreuse""; ""ymin"", 0; ""ymax"", 1.01; ""highcolo"&amp;"r"", ""darkgreen""; ""lowcolor"", ""red""}), """")"),"")</f>
        <v/>
      </c>
      <c r="B149" s="17" t="str">
        <f t="shared" si="4"/>
        <v/>
      </c>
      <c r="C149" s="1" t="s">
        <v>759</v>
      </c>
      <c r="D149" s="30" t="str">
        <f>IFERROR(__xludf.DUMMYFUNCTION("IFERROR(GOOGLEFINANCE(C149, ""NAME""))"),"AMC Entertainment Holdings Inc")</f>
        <v>AMC Entertainment Holdings Inc</v>
      </c>
      <c r="E149" s="30" t="s">
        <v>62</v>
      </c>
      <c r="F149" s="33" t="str">
        <f>IFERROR(__xludf.DUMMYFUNCTION("( (GOOGLEFINANCE(C149, ""price"") - Q149) / Q149 ) / (R149 / 100)"),"Loading...")</f>
        <v>Loading...</v>
      </c>
      <c r="G149" s="20" t="str">
        <f>IFERROR(__xludf.DUMMYFUNCTION("AVERAGE(ARRAYFORMULA(100 * (QUERY(GOOGLEFINANCE(C149, ""high"", TODAY()-40, TODAY()), ""SELECT Col2 WHERE Col2 IS NOT NULL ORDER BY Col1 DESC LIMIT 20"", 0) / QUERY(GOOGLEFINANCE(C149, ""low"", TODAY()-40, TODAY()), ""SELECT Col2 WHERE Col2 IS NOT NULL OR"&amp;"DER BY Col1 DESC LIMIT 20"", 0) - 1)))"),"#N/A")</f>
        <v>#N/A</v>
      </c>
      <c r="H149" s="35" t="str">
        <f t="shared" si="6"/>
        <v>Liquid</v>
      </c>
      <c r="I149" s="36" t="str">
        <f t="shared" si="7"/>
        <v>RVol Required</v>
      </c>
      <c r="J149" s="37">
        <f>IFERROR(__xludf.DUMMYFUNCTION("IFERROR(
  IF(C149="""",, 
    IFERROR(
      GOOGLEFINANCE(C149, ""price"") * GOOGLEFINANCE(C149, ""volumeavg""), 
      GOOGLEFINANCE(C149, ""price"") * AVERAGE(QUERY(GOOGLEFINANCE(C149, ""volume"", TODAY()-40, TODAY()), ""SELECT Col2 WHERE Col2 IS NOT "&amp;"NULL ORDER BY Col1 DESC LIMIT 20"", 0))
    )
  ), 
"""")"),8.317486548E7)</f>
        <v>83174865.48</v>
      </c>
      <c r="K149" s="21">
        <f>IFERROR(__xludf.DUMMYFUNCTION("IFERROR(GOOGLEFINANCE(C149, ""changepct"") / 100, """")"),-0.0364)</f>
        <v>-0.0364</v>
      </c>
      <c r="L149" s="21" t="str">
        <f>IFERROR(__xludf.DUMMYFUNCTION("IFERROR((GOOGLEFINANCE(C149, ""price"") / INDEX(GOOGLEFINANCE(C149, ""price"", TODAY()-7, TODAY()), 2, 2)) - 1, """")"),"")</f>
        <v/>
      </c>
      <c r="M149" s="21" t="str">
        <f>IFERROR(__xludf.DUMMYFUNCTION("IFERROR((GOOGLEFINANCE(C149, ""price"") / INDEX(GOOGLEFINANCE(C149, ""price"", EDATE(TODAY(), -1), TODAY()), 2, 2)) - 1, """")"),"")</f>
        <v/>
      </c>
      <c r="N149" s="21" t="str">
        <f>IFERROR(__xludf.DUMMYFUNCTION("IFERROR((GOOGLEFINANCE(C149, ""price"") / INDEX(GOOGLEFINANCE(C149, ""price"", EDATE(TODAY(), -3), TODAY()), 2, 2)) - 1, """")"),"")</f>
        <v/>
      </c>
      <c r="O149" s="21" t="str">
        <f>IFERROR(__xludf.DUMMYFUNCTION("IFERROR((GOOGLEFINANCE(C149, ""price"") / INDEX(GOOGLEFINANCE(C149, ""price"", EDATE(TODAY(), -6), TODAY()), 2, 2)) - 1, """")"),"")</f>
        <v/>
      </c>
      <c r="P149" s="21" t="str">
        <f>IFERROR(__xludf.DUMMYFUNCTION("IFERROR((GOOGLEFINANCE(C149, ""price"") / INDEX(GOOGLEFINANCE(C149, ""price"", EDATE(TODAY(), -12), TODAY()), 2, 2)) - 1, """")"),"")</f>
        <v/>
      </c>
      <c r="Q149" s="6" t="str">
        <f>IFERROR(__xludf.DUMMYFUNCTION("AVERAGE(QUERY(GOOGLEFINANCE(C149, ""price"", TODAY()-80, TODAY()), ""SELECT Col2 WHERE Col2 IS NOT NULL ORDER BY Col1 DESC LIMIT 50"", 0))"),"#N/A")</f>
        <v>#N/A</v>
      </c>
      <c r="R149" s="24" t="str">
        <f>IFERROR(__xludf.DUMMYFUNCTION("IFERROR(
  LET(
    data, QUERY(GOOGLEFINANCE(C149,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GOOGLEFINANCE(C149, ""price"")) * 100,
    IF(calc=0, G149, calc)
  ), 
G149)"),"#N/A")</f>
        <v>#N/A</v>
      </c>
      <c r="S149" s="8" t="s">
        <v>15</v>
      </c>
      <c r="T149" s="26" t="str">
        <f>IFERROR(__xludf.DUMMYFUNCTION("IFERROR(TRANSPOSE(QUERY(IFERROR(SORT(GOOGLEFINANCE(C149, ""price"", WORKDAY(TODAY(), -40), TODAY()), 1, FALSE)), ""select Col2 where Col2 is not null limit 22 label Col2 ''"", 0)), """")"),"")</f>
        <v/>
      </c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8"/>
      <c r="AO149" s="28"/>
      <c r="AP149" s="29"/>
      <c r="AQ149" s="29" t="str">
        <f t="shared" ref="AQ149:BL149" si="152">T149/T$2</f>
        <v>#N/A</v>
      </c>
      <c r="AR149" s="29" t="str">
        <f t="shared" si="152"/>
        <v>#DIV/0!</v>
      </c>
      <c r="AS149" s="29" t="str">
        <f t="shared" si="152"/>
        <v>#DIV/0!</v>
      </c>
      <c r="AT149" s="29" t="str">
        <f t="shared" si="152"/>
        <v>#DIV/0!</v>
      </c>
      <c r="AU149" s="29" t="str">
        <f t="shared" si="152"/>
        <v>#DIV/0!</v>
      </c>
      <c r="AV149" s="29" t="str">
        <f t="shared" si="152"/>
        <v>#DIV/0!</v>
      </c>
      <c r="AW149" s="29" t="str">
        <f t="shared" si="152"/>
        <v>#DIV/0!</v>
      </c>
      <c r="AX149" s="29" t="str">
        <f t="shared" si="152"/>
        <v>#DIV/0!</v>
      </c>
      <c r="AY149" s="29" t="str">
        <f t="shared" si="152"/>
        <v>#DIV/0!</v>
      </c>
      <c r="AZ149" s="29" t="str">
        <f t="shared" si="152"/>
        <v>#DIV/0!</v>
      </c>
      <c r="BA149" s="29" t="str">
        <f t="shared" si="152"/>
        <v>#DIV/0!</v>
      </c>
      <c r="BB149" s="29" t="str">
        <f t="shared" si="152"/>
        <v>#DIV/0!</v>
      </c>
      <c r="BC149" s="29" t="str">
        <f t="shared" si="152"/>
        <v>#DIV/0!</v>
      </c>
      <c r="BD149" s="29" t="str">
        <f t="shared" si="152"/>
        <v>#DIV/0!</v>
      </c>
      <c r="BE149" s="29" t="str">
        <f t="shared" si="152"/>
        <v>#DIV/0!</v>
      </c>
      <c r="BF149" s="29" t="str">
        <f t="shared" si="152"/>
        <v>#DIV/0!</v>
      </c>
      <c r="BG149" s="29" t="str">
        <f t="shared" si="152"/>
        <v>#DIV/0!</v>
      </c>
      <c r="BH149" s="29" t="str">
        <f t="shared" si="152"/>
        <v>#DIV/0!</v>
      </c>
      <c r="BI149" s="29" t="str">
        <f t="shared" si="152"/>
        <v>#DIV/0!</v>
      </c>
      <c r="BJ149" s="29" t="str">
        <f t="shared" si="152"/>
        <v>#DIV/0!</v>
      </c>
      <c r="BK149" s="29" t="str">
        <f t="shared" si="152"/>
        <v>#DIV/0!</v>
      </c>
      <c r="BL149" s="29" t="str">
        <f t="shared" si="152"/>
        <v>#DIV/0!</v>
      </c>
      <c r="BM149" s="29" t="str">
        <f t="shared" si="3"/>
        <v>#DIV/0!</v>
      </c>
    </row>
    <row r="150">
      <c r="A150" s="16" t="str">
        <f>IFERROR(__xludf.DUMMYFUNCTION("IFERROR(SPARKLINE(SORT(MAP(TRANSPOSE(AQ150:BL150), LAMBDA(val, IF(ISNUMBER(val), PERCENTRANK(AQ150:BL150, val)+0.01, 0))), SEQUENCE(COLUMNS(AQ150:BL150)), FALSE), {""charttype"",""column""; ""color"",""chartreuse""; ""ymin"", 0; ""ymax"", 1.01; ""highcolo"&amp;"r"", ""darkgreen""; ""lowcolor"", ""red""}), """")"),"")</f>
        <v/>
      </c>
      <c r="B150" s="17" t="str">
        <f t="shared" si="4"/>
        <v/>
      </c>
      <c r="C150" s="1" t="s">
        <v>761</v>
      </c>
      <c r="D150" s="30" t="str">
        <f>IFERROR(__xludf.DUMMYFUNCTION("IFERROR(GOOGLEFINANCE(C150, ""NAME""))"),"Liberty Global Ltd Class C")</f>
        <v>Liberty Global Ltd Class C</v>
      </c>
      <c r="E150" s="30" t="s">
        <v>52</v>
      </c>
      <c r="F150" s="33" t="str">
        <f>IFERROR(__xludf.DUMMYFUNCTION("( (GOOGLEFINANCE(C150, ""price"") - Q150) / Q150 ) / (R150 / 100)"),"Loading...")</f>
        <v>Loading...</v>
      </c>
      <c r="G150" s="20" t="str">
        <f>IFERROR(__xludf.DUMMYFUNCTION("AVERAGE(ARRAYFORMULA(100 * (QUERY(GOOGLEFINANCE(C150, ""high"", TODAY()-40, TODAY()), ""SELECT Col2 WHERE Col2 IS NOT NULL ORDER BY Col1 DESC LIMIT 20"", 0) / QUERY(GOOGLEFINANCE(C150, ""low"", TODAY()-40, TODAY()), ""SELECT Col2 WHERE Col2 IS NOT NULL OR"&amp;"DER BY Col1 DESC LIMIT 20"", 0) - 1)))"),"#N/A")</f>
        <v>#N/A</v>
      </c>
      <c r="H150" s="35" t="str">
        <f t="shared" si="6"/>
        <v>Illiquid</v>
      </c>
      <c r="I150" s="36" t="str">
        <f t="shared" si="7"/>
        <v>RVol Required</v>
      </c>
      <c r="J150" s="37">
        <f>IFERROR(__xludf.DUMMYFUNCTION("IFERROR(
  IF(C150="""",, 
    IFERROR(
      GOOGLEFINANCE(C150, ""price"") * GOOGLEFINANCE(C150, ""volumeavg""), 
      GOOGLEFINANCE(C150, ""price"") * AVERAGE(QUERY(GOOGLEFINANCE(C150, ""volume"", TODAY()-40, TODAY()), ""SELECT Col2 WHERE Col2 IS NOT "&amp;"NULL ORDER BY Col1 DESC LIMIT 20"", 0))
    )
  ), 
"""")"),1.458356159E7)</f>
        <v>14583561.59</v>
      </c>
      <c r="K150" s="21">
        <f>IFERROR(__xludf.DUMMYFUNCTION("IFERROR(GOOGLEFINANCE(C150, ""changepct"") / 100, """")"),-0.026600000000000002)</f>
        <v>-0.0266</v>
      </c>
      <c r="L150" s="21" t="str">
        <f>IFERROR(__xludf.DUMMYFUNCTION("IFERROR((GOOGLEFINANCE(C150, ""price"") / INDEX(GOOGLEFINANCE(C150, ""price"", TODAY()-7, TODAY()), 2, 2)) - 1, """")"),"")</f>
        <v/>
      </c>
      <c r="M150" s="21" t="str">
        <f>IFERROR(__xludf.DUMMYFUNCTION("IFERROR((GOOGLEFINANCE(C150, ""price"") / INDEX(GOOGLEFINANCE(C150, ""price"", EDATE(TODAY(), -1), TODAY()), 2, 2)) - 1, """")"),"")</f>
        <v/>
      </c>
      <c r="N150" s="21" t="str">
        <f>IFERROR(__xludf.DUMMYFUNCTION("IFERROR((GOOGLEFINANCE(C150, ""price"") / INDEX(GOOGLEFINANCE(C150, ""price"", EDATE(TODAY(), -3), TODAY()), 2, 2)) - 1, """")"),"")</f>
        <v/>
      </c>
      <c r="O150" s="21" t="str">
        <f>IFERROR(__xludf.DUMMYFUNCTION("IFERROR((GOOGLEFINANCE(C150, ""price"") / INDEX(GOOGLEFINANCE(C150, ""price"", EDATE(TODAY(), -6), TODAY()), 2, 2)) - 1, """")"),"")</f>
        <v/>
      </c>
      <c r="P150" s="21" t="str">
        <f>IFERROR(__xludf.DUMMYFUNCTION("IFERROR((GOOGLEFINANCE(C150, ""price"") / INDEX(GOOGLEFINANCE(C150, ""price"", EDATE(TODAY(), -12), TODAY()), 2, 2)) - 1, """")"),"")</f>
        <v/>
      </c>
      <c r="Q150" s="6" t="str">
        <f>IFERROR(__xludf.DUMMYFUNCTION("AVERAGE(QUERY(GOOGLEFINANCE(C150, ""price"", TODAY()-80, TODAY()), ""SELECT Col2 WHERE Col2 IS NOT NULL ORDER BY Col1 DESC LIMIT 50"", 0))"),"#N/A")</f>
        <v>#N/A</v>
      </c>
      <c r="R150" s="24" t="str">
        <f>IFERROR(__xludf.DUMMYFUNCTION("IFERROR(
  LET(
    data, QUERY(GOOGLEFINANCE(C150,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GOOGLEFINANCE(C150, ""price"")) * 100,
    IF(calc=0, G150, calc)
  ), 
G150)"),"#N/A")</f>
        <v>#N/A</v>
      </c>
      <c r="S150" s="8" t="s">
        <v>15</v>
      </c>
      <c r="T150" s="26" t="str">
        <f>IFERROR(__xludf.DUMMYFUNCTION("IFERROR(TRANSPOSE(QUERY(IFERROR(SORT(GOOGLEFINANCE(C150, ""price"", WORKDAY(TODAY(), -40), TODAY()), 1, FALSE)), ""select Col2 where Col2 is not null limit 22 label Col2 ''"", 0)), """")"),"")</f>
        <v/>
      </c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8"/>
      <c r="AO150" s="28"/>
      <c r="AP150" s="29"/>
      <c r="AQ150" s="29" t="str">
        <f t="shared" ref="AQ150:BL150" si="153">T150/T$2</f>
        <v>#N/A</v>
      </c>
      <c r="AR150" s="29" t="str">
        <f t="shared" si="153"/>
        <v>#DIV/0!</v>
      </c>
      <c r="AS150" s="29" t="str">
        <f t="shared" si="153"/>
        <v>#DIV/0!</v>
      </c>
      <c r="AT150" s="29" t="str">
        <f t="shared" si="153"/>
        <v>#DIV/0!</v>
      </c>
      <c r="AU150" s="29" t="str">
        <f t="shared" si="153"/>
        <v>#DIV/0!</v>
      </c>
      <c r="AV150" s="29" t="str">
        <f t="shared" si="153"/>
        <v>#DIV/0!</v>
      </c>
      <c r="AW150" s="29" t="str">
        <f t="shared" si="153"/>
        <v>#DIV/0!</v>
      </c>
      <c r="AX150" s="29" t="str">
        <f t="shared" si="153"/>
        <v>#DIV/0!</v>
      </c>
      <c r="AY150" s="29" t="str">
        <f t="shared" si="153"/>
        <v>#DIV/0!</v>
      </c>
      <c r="AZ150" s="29" t="str">
        <f t="shared" si="153"/>
        <v>#DIV/0!</v>
      </c>
      <c r="BA150" s="29" t="str">
        <f t="shared" si="153"/>
        <v>#DIV/0!</v>
      </c>
      <c r="BB150" s="29" t="str">
        <f t="shared" si="153"/>
        <v>#DIV/0!</v>
      </c>
      <c r="BC150" s="29" t="str">
        <f t="shared" si="153"/>
        <v>#DIV/0!</v>
      </c>
      <c r="BD150" s="29" t="str">
        <f t="shared" si="153"/>
        <v>#DIV/0!</v>
      </c>
      <c r="BE150" s="29" t="str">
        <f t="shared" si="153"/>
        <v>#DIV/0!</v>
      </c>
      <c r="BF150" s="29" t="str">
        <f t="shared" si="153"/>
        <v>#DIV/0!</v>
      </c>
      <c r="BG150" s="29" t="str">
        <f t="shared" si="153"/>
        <v>#DIV/0!</v>
      </c>
      <c r="BH150" s="29" t="str">
        <f t="shared" si="153"/>
        <v>#DIV/0!</v>
      </c>
      <c r="BI150" s="29" t="str">
        <f t="shared" si="153"/>
        <v>#DIV/0!</v>
      </c>
      <c r="BJ150" s="29" t="str">
        <f t="shared" si="153"/>
        <v>#DIV/0!</v>
      </c>
      <c r="BK150" s="29" t="str">
        <f t="shared" si="153"/>
        <v>#DIV/0!</v>
      </c>
      <c r="BL150" s="29" t="str">
        <f t="shared" si="153"/>
        <v>#DIV/0!</v>
      </c>
      <c r="BM150" s="29" t="str">
        <f t="shared" si="3"/>
        <v>#DIV/0!</v>
      </c>
    </row>
    <row r="151">
      <c r="A151" s="16" t="str">
        <f>IFERROR(__xludf.DUMMYFUNCTION("IFERROR(SPARKLINE(SORT(MAP(TRANSPOSE(AQ151:BL151), LAMBDA(val, IF(ISNUMBER(val), PERCENTRANK(AQ151:BL151, val)+0.01, 0))), SEQUENCE(COLUMNS(AQ151:BL151)), FALSE), {""charttype"",""column""; ""color"",""chartreuse""; ""ymin"", 0; ""ymax"", 1.01; ""highcolo"&amp;"r"", ""darkgreen""; ""lowcolor"", ""red""}), """")"),"")</f>
        <v/>
      </c>
      <c r="B151" s="17" t="str">
        <f t="shared" si="4"/>
        <v/>
      </c>
      <c r="C151" s="1" t="s">
        <v>765</v>
      </c>
      <c r="D151" s="30" t="str">
        <f>IFERROR(__xludf.DUMMYFUNCTION("IFERROR(GOOGLEFINANCE(C151, ""NAME""))"),"Scholastic Corp")</f>
        <v>Scholastic Corp</v>
      </c>
      <c r="E151" s="30" t="s">
        <v>402</v>
      </c>
      <c r="F151" s="33" t="str">
        <f>IFERROR(__xludf.DUMMYFUNCTION("( (GOOGLEFINANCE(C151, ""price"") - Q151) / Q151 ) / (R151 / 100)"),"Loading...")</f>
        <v>Loading...</v>
      </c>
      <c r="G151" s="20" t="str">
        <f>IFERROR(__xludf.DUMMYFUNCTION("AVERAGE(ARRAYFORMULA(100 * (QUERY(GOOGLEFINANCE(C151, ""high"", TODAY()-40, TODAY()), ""SELECT Col2 WHERE Col2 IS NOT NULL ORDER BY Col1 DESC LIMIT 20"", 0) / QUERY(GOOGLEFINANCE(C151, ""low"", TODAY()-40, TODAY()), ""SELECT Col2 WHERE Col2 IS NOT NULL OR"&amp;"DER BY Col1 DESC LIMIT 20"", 0) - 1)))"),"#N/A")</f>
        <v>#N/A</v>
      </c>
      <c r="H151" s="35" t="str">
        <f t="shared" si="6"/>
        <v>Illiquid</v>
      </c>
      <c r="I151" s="36" t="str">
        <f t="shared" si="7"/>
        <v>RVol Required</v>
      </c>
      <c r="J151" s="37">
        <f>IFERROR(__xludf.DUMMYFUNCTION("IFERROR(
  IF(C151="""",, 
    IFERROR(
      GOOGLEFINANCE(C151, ""price"") * GOOGLEFINANCE(C151, ""volumeavg""), 
      GOOGLEFINANCE(C151, ""price"") * AVERAGE(QUERY(GOOGLEFINANCE(C151, ""volume"", TODAY()-40, TODAY()), ""SELECT Col2 WHERE Col2 IS NOT "&amp;"NULL ORDER BY Col1 DESC LIMIT 20"", 0))
    )
  ), 
"""")"),1.88368835E7)</f>
        <v>18836883.5</v>
      </c>
      <c r="K151" s="21">
        <f>IFERROR(__xludf.DUMMYFUNCTION("IFERROR(GOOGLEFINANCE(C151, ""changepct"") / 100, """")"),-0.0254)</f>
        <v>-0.0254</v>
      </c>
      <c r="L151" s="21" t="str">
        <f>IFERROR(__xludf.DUMMYFUNCTION("IFERROR((GOOGLEFINANCE(C151, ""price"") / INDEX(GOOGLEFINANCE(C151, ""price"", TODAY()-7, TODAY()), 2, 2)) - 1, """")"),"")</f>
        <v/>
      </c>
      <c r="M151" s="21" t="str">
        <f>IFERROR(__xludf.DUMMYFUNCTION("IFERROR((GOOGLEFINANCE(C151, ""price"") / INDEX(GOOGLEFINANCE(C151, ""price"", EDATE(TODAY(), -1), TODAY()), 2, 2)) - 1, """")"),"")</f>
        <v/>
      </c>
      <c r="N151" s="21" t="str">
        <f>IFERROR(__xludf.DUMMYFUNCTION("IFERROR((GOOGLEFINANCE(C151, ""price"") / INDEX(GOOGLEFINANCE(C151, ""price"", EDATE(TODAY(), -3), TODAY()), 2, 2)) - 1, """")"),"")</f>
        <v/>
      </c>
      <c r="O151" s="21" t="str">
        <f>IFERROR(__xludf.DUMMYFUNCTION("IFERROR((GOOGLEFINANCE(C151, ""price"") / INDEX(GOOGLEFINANCE(C151, ""price"", EDATE(TODAY(), -6), TODAY()), 2, 2)) - 1, """")"),"")</f>
        <v/>
      </c>
      <c r="P151" s="21" t="str">
        <f>IFERROR(__xludf.DUMMYFUNCTION("IFERROR((GOOGLEFINANCE(C151, ""price"") / INDEX(GOOGLEFINANCE(C151, ""price"", EDATE(TODAY(), -12), TODAY()), 2, 2)) - 1, """")"),"")</f>
        <v/>
      </c>
      <c r="Q151" s="6" t="str">
        <f>IFERROR(__xludf.DUMMYFUNCTION("AVERAGE(QUERY(GOOGLEFINANCE(C151, ""price"", TODAY()-80, TODAY()), ""SELECT Col2 WHERE Col2 IS NOT NULL ORDER BY Col1 DESC LIMIT 50"", 0))"),"#N/A")</f>
        <v>#N/A</v>
      </c>
      <c r="R151" s="24" t="str">
        <f>IFERROR(__xludf.DUMMYFUNCTION("IFERROR(
  LET(
    data, QUERY(GOOGLEFINANCE(C151,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GOOGLEFINANCE(C151, ""price"")) * 100,
    IF(calc=0, G151, calc)
  ), 
G151)"),"#N/A")</f>
        <v>#N/A</v>
      </c>
      <c r="S151" s="8" t="s">
        <v>15</v>
      </c>
      <c r="T151" s="26" t="str">
        <f>IFERROR(__xludf.DUMMYFUNCTION("IFERROR(TRANSPOSE(QUERY(IFERROR(SORT(GOOGLEFINANCE(C151, ""price"", WORKDAY(TODAY(), -40), TODAY()), 1, FALSE)), ""select Col2 where Col2 is not null limit 22 label Col2 ''"", 0)), """")"),"")</f>
        <v/>
      </c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8"/>
      <c r="AO151" s="28"/>
      <c r="AP151" s="29"/>
      <c r="AQ151" s="29" t="str">
        <f t="shared" ref="AQ151:BL151" si="154">T151/T$2</f>
        <v>#N/A</v>
      </c>
      <c r="AR151" s="29" t="str">
        <f t="shared" si="154"/>
        <v>#DIV/0!</v>
      </c>
      <c r="AS151" s="29" t="str">
        <f t="shared" si="154"/>
        <v>#DIV/0!</v>
      </c>
      <c r="AT151" s="29" t="str">
        <f t="shared" si="154"/>
        <v>#DIV/0!</v>
      </c>
      <c r="AU151" s="29" t="str">
        <f t="shared" si="154"/>
        <v>#DIV/0!</v>
      </c>
      <c r="AV151" s="29" t="str">
        <f t="shared" si="154"/>
        <v>#DIV/0!</v>
      </c>
      <c r="AW151" s="29" t="str">
        <f t="shared" si="154"/>
        <v>#DIV/0!</v>
      </c>
      <c r="AX151" s="29" t="str">
        <f t="shared" si="154"/>
        <v>#DIV/0!</v>
      </c>
      <c r="AY151" s="29" t="str">
        <f t="shared" si="154"/>
        <v>#DIV/0!</v>
      </c>
      <c r="AZ151" s="29" t="str">
        <f t="shared" si="154"/>
        <v>#DIV/0!</v>
      </c>
      <c r="BA151" s="29" t="str">
        <f t="shared" si="154"/>
        <v>#DIV/0!</v>
      </c>
      <c r="BB151" s="29" t="str">
        <f t="shared" si="154"/>
        <v>#DIV/0!</v>
      </c>
      <c r="BC151" s="29" t="str">
        <f t="shared" si="154"/>
        <v>#DIV/0!</v>
      </c>
      <c r="BD151" s="29" t="str">
        <f t="shared" si="154"/>
        <v>#DIV/0!</v>
      </c>
      <c r="BE151" s="29" t="str">
        <f t="shared" si="154"/>
        <v>#DIV/0!</v>
      </c>
      <c r="BF151" s="29" t="str">
        <f t="shared" si="154"/>
        <v>#DIV/0!</v>
      </c>
      <c r="BG151" s="29" t="str">
        <f t="shared" si="154"/>
        <v>#DIV/0!</v>
      </c>
      <c r="BH151" s="29" t="str">
        <f t="shared" si="154"/>
        <v>#DIV/0!</v>
      </c>
      <c r="BI151" s="29" t="str">
        <f t="shared" si="154"/>
        <v>#DIV/0!</v>
      </c>
      <c r="BJ151" s="29" t="str">
        <f t="shared" si="154"/>
        <v>#DIV/0!</v>
      </c>
      <c r="BK151" s="29" t="str">
        <f t="shared" si="154"/>
        <v>#DIV/0!</v>
      </c>
      <c r="BL151" s="29" t="str">
        <f t="shared" si="154"/>
        <v>#DIV/0!</v>
      </c>
      <c r="BM151" s="29" t="str">
        <f t="shared" si="3"/>
        <v>#DIV/0!</v>
      </c>
    </row>
    <row r="152">
      <c r="A152" s="16" t="str">
        <f>IFERROR(__xludf.DUMMYFUNCTION("IFERROR(SPARKLINE(SORT(MAP(TRANSPOSE(AQ152:BL152), LAMBDA(val, IF(ISNUMBER(val), PERCENTRANK(AQ152:BL152, val)+0.01, 0))), SEQUENCE(COLUMNS(AQ152:BL152)), FALSE), {""charttype"",""column""; ""color"",""chartreuse""; ""ymin"", 0; ""ymax"", 1.01; ""highcolo"&amp;"r"", ""darkgreen""; ""lowcolor"", ""red""}), """")"),"")</f>
        <v/>
      </c>
      <c r="B152" s="17" t="str">
        <f t="shared" si="4"/>
        <v/>
      </c>
      <c r="C152" s="1" t="s">
        <v>769</v>
      </c>
      <c r="D152" s="30" t="str">
        <f>IFERROR(__xludf.DUMMYFUNCTION("IFERROR(GOOGLEFINANCE(C152, ""NAME""))"),"Cars.com Inc")</f>
        <v>Cars.com Inc</v>
      </c>
      <c r="E152" s="30" t="s">
        <v>69</v>
      </c>
      <c r="F152" s="33" t="str">
        <f>IFERROR(__xludf.DUMMYFUNCTION("( (GOOGLEFINANCE(C152, ""price"") - Q152) / Q152 ) / (R152 / 100)"),"Loading...")</f>
        <v>Loading...</v>
      </c>
      <c r="G152" s="20" t="str">
        <f>IFERROR(__xludf.DUMMYFUNCTION("AVERAGE(ARRAYFORMULA(100 * (QUERY(GOOGLEFINANCE(C152, ""high"", TODAY()-40, TODAY()), ""SELECT Col2 WHERE Col2 IS NOT NULL ORDER BY Col1 DESC LIMIT 20"", 0) / QUERY(GOOGLEFINANCE(C152, ""low"", TODAY()-40, TODAY()), ""SELECT Col2 WHERE Col2 IS NOT NULL OR"&amp;"DER BY Col1 DESC LIMIT 20"", 0) - 1)))"),"#N/A")</f>
        <v>#N/A</v>
      </c>
      <c r="H152" s="35" t="str">
        <f t="shared" si="6"/>
        <v>Illiquid</v>
      </c>
      <c r="I152" s="36" t="str">
        <f t="shared" si="7"/>
        <v>RVol Required</v>
      </c>
      <c r="J152" s="37">
        <f>IFERROR(__xludf.DUMMYFUNCTION("IFERROR(
  IF(C152="""",, 
    IFERROR(
      GOOGLEFINANCE(C152, ""price"") * GOOGLEFINANCE(C152, ""volumeavg""), 
      GOOGLEFINANCE(C152, ""price"") * AVERAGE(QUERY(GOOGLEFINANCE(C152, ""volume"", TODAY()-40, TODAY()), ""SELECT Col2 WHERE Col2 IS NOT "&amp;"NULL ORDER BY Col1 DESC LIMIT 20"", 0))
    )
  ), 
"""")"),7329932.57)</f>
        <v>7329932.57</v>
      </c>
      <c r="K152" s="21">
        <f>IFERROR(__xludf.DUMMYFUNCTION("IFERROR(GOOGLEFINANCE(C152, ""changepct"") / 100, """")"),-0.002)</f>
        <v>-0.002</v>
      </c>
      <c r="L152" s="21" t="str">
        <f>IFERROR(__xludf.DUMMYFUNCTION("IFERROR((GOOGLEFINANCE(C152, ""price"") / INDEX(GOOGLEFINANCE(C152, ""price"", TODAY()-7, TODAY()), 2, 2)) - 1, """")"),"")</f>
        <v/>
      </c>
      <c r="M152" s="21" t="str">
        <f>IFERROR(__xludf.DUMMYFUNCTION("IFERROR((GOOGLEFINANCE(C152, ""price"") / INDEX(GOOGLEFINANCE(C152, ""price"", EDATE(TODAY(), -1), TODAY()), 2, 2)) - 1, """")"),"")</f>
        <v/>
      </c>
      <c r="N152" s="21" t="str">
        <f>IFERROR(__xludf.DUMMYFUNCTION("IFERROR((GOOGLEFINANCE(C152, ""price"") / INDEX(GOOGLEFINANCE(C152, ""price"", EDATE(TODAY(), -3), TODAY()), 2, 2)) - 1, """")"),"")</f>
        <v/>
      </c>
      <c r="O152" s="21" t="str">
        <f>IFERROR(__xludf.DUMMYFUNCTION("IFERROR((GOOGLEFINANCE(C152, ""price"") / INDEX(GOOGLEFINANCE(C152, ""price"", EDATE(TODAY(), -6), TODAY()), 2, 2)) - 1, """")"),"")</f>
        <v/>
      </c>
      <c r="P152" s="21" t="str">
        <f>IFERROR(__xludf.DUMMYFUNCTION("IFERROR((GOOGLEFINANCE(C152, ""price"") / INDEX(GOOGLEFINANCE(C152, ""price"", EDATE(TODAY(), -12), TODAY()), 2, 2)) - 1, """")"),"")</f>
        <v/>
      </c>
      <c r="Q152" s="6" t="str">
        <f>IFERROR(__xludf.DUMMYFUNCTION("AVERAGE(QUERY(GOOGLEFINANCE(C152, ""price"", TODAY()-80, TODAY()), ""SELECT Col2 WHERE Col2 IS NOT NULL ORDER BY Col1 DESC LIMIT 50"", 0))"),"#N/A")</f>
        <v>#N/A</v>
      </c>
      <c r="R152" s="24" t="str">
        <f>IFERROR(__xludf.DUMMYFUNCTION("IFERROR(
  LET(
    data, QUERY(GOOGLEFINANCE(C152,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GOOGLEFINANCE(C152, ""price"")) * 100,
    IF(calc=0, G152, calc)
  ), 
G152)"),"#N/A")</f>
        <v>#N/A</v>
      </c>
      <c r="S152" s="8" t="s">
        <v>15</v>
      </c>
      <c r="T152" s="26" t="str">
        <f>IFERROR(__xludf.DUMMYFUNCTION("IFERROR(TRANSPOSE(QUERY(IFERROR(SORT(GOOGLEFINANCE(C152, ""price"", WORKDAY(TODAY(), -40), TODAY()), 1, FALSE)), ""select Col2 where Col2 is not null limit 22 label Col2 ''"", 0)), """")"),"")</f>
        <v/>
      </c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8"/>
      <c r="AO152" s="28"/>
      <c r="AP152" s="29"/>
      <c r="AQ152" s="29" t="str">
        <f t="shared" ref="AQ152:BL152" si="155">T152/T$2</f>
        <v>#N/A</v>
      </c>
      <c r="AR152" s="29" t="str">
        <f t="shared" si="155"/>
        <v>#DIV/0!</v>
      </c>
      <c r="AS152" s="29" t="str">
        <f t="shared" si="155"/>
        <v>#DIV/0!</v>
      </c>
      <c r="AT152" s="29" t="str">
        <f t="shared" si="155"/>
        <v>#DIV/0!</v>
      </c>
      <c r="AU152" s="29" t="str">
        <f t="shared" si="155"/>
        <v>#DIV/0!</v>
      </c>
      <c r="AV152" s="29" t="str">
        <f t="shared" si="155"/>
        <v>#DIV/0!</v>
      </c>
      <c r="AW152" s="29" t="str">
        <f t="shared" si="155"/>
        <v>#DIV/0!</v>
      </c>
      <c r="AX152" s="29" t="str">
        <f t="shared" si="155"/>
        <v>#DIV/0!</v>
      </c>
      <c r="AY152" s="29" t="str">
        <f t="shared" si="155"/>
        <v>#DIV/0!</v>
      </c>
      <c r="AZ152" s="29" t="str">
        <f t="shared" si="155"/>
        <v>#DIV/0!</v>
      </c>
      <c r="BA152" s="29" t="str">
        <f t="shared" si="155"/>
        <v>#DIV/0!</v>
      </c>
      <c r="BB152" s="29" t="str">
        <f t="shared" si="155"/>
        <v>#DIV/0!</v>
      </c>
      <c r="BC152" s="29" t="str">
        <f t="shared" si="155"/>
        <v>#DIV/0!</v>
      </c>
      <c r="BD152" s="29" t="str">
        <f t="shared" si="155"/>
        <v>#DIV/0!</v>
      </c>
      <c r="BE152" s="29" t="str">
        <f t="shared" si="155"/>
        <v>#DIV/0!</v>
      </c>
      <c r="BF152" s="29" t="str">
        <f t="shared" si="155"/>
        <v>#DIV/0!</v>
      </c>
      <c r="BG152" s="29" t="str">
        <f t="shared" si="155"/>
        <v>#DIV/0!</v>
      </c>
      <c r="BH152" s="29" t="str">
        <f t="shared" si="155"/>
        <v>#DIV/0!</v>
      </c>
      <c r="BI152" s="29" t="str">
        <f t="shared" si="155"/>
        <v>#DIV/0!</v>
      </c>
      <c r="BJ152" s="29" t="str">
        <f t="shared" si="155"/>
        <v>#DIV/0!</v>
      </c>
      <c r="BK152" s="29" t="str">
        <f t="shared" si="155"/>
        <v>#DIV/0!</v>
      </c>
      <c r="BL152" s="29" t="str">
        <f t="shared" si="155"/>
        <v>#DIV/0!</v>
      </c>
      <c r="BM152" s="29" t="str">
        <f t="shared" si="3"/>
        <v>#DIV/0!</v>
      </c>
    </row>
    <row r="153">
      <c r="A153" s="16" t="str">
        <f>IFERROR(__xludf.DUMMYFUNCTION("IFERROR(SPARKLINE(SORT(MAP(TRANSPOSE(AQ153:BL153), LAMBDA(val, IF(ISNUMBER(val), PERCENTRANK(AQ153:BL153, val)+0.01, 0))), SEQUENCE(COLUMNS(AQ153:BL153)), FALSE), {""charttype"",""column""; ""color"",""chartreuse""; ""ymin"", 0; ""ymax"", 1.01; ""highcolo"&amp;"r"", ""darkgreen""; ""lowcolor"", ""red""}), """")"),"")</f>
        <v/>
      </c>
      <c r="B153" s="17" t="str">
        <f t="shared" si="4"/>
        <v/>
      </c>
      <c r="C153" s="1" t="s">
        <v>774</v>
      </c>
      <c r="D153" s="30" t="str">
        <f>IFERROR(__xludf.DUMMYFUNCTION("IFERROR(GOOGLEFINANCE(C153, ""NAME""))"),"Getty Images Holdings Inc")</f>
        <v>Getty Images Holdings Inc</v>
      </c>
      <c r="E153" s="30" t="s">
        <v>69</v>
      </c>
      <c r="F153" s="33" t="str">
        <f>IFERROR(__xludf.DUMMYFUNCTION("( (GOOGLEFINANCE(C153, ""price"") - Q153) / Q153 ) / (R153 / 100)"),"Loading...")</f>
        <v>Loading...</v>
      </c>
      <c r="G153" s="20" t="str">
        <f>IFERROR(__xludf.DUMMYFUNCTION("AVERAGE(ARRAYFORMULA(100 * (QUERY(GOOGLEFINANCE(C153, ""high"", TODAY()-40, TODAY()), ""SELECT Col2 WHERE Col2 IS NOT NULL ORDER BY Col1 DESC LIMIT 20"", 0) / QUERY(GOOGLEFINANCE(C153, ""low"", TODAY()-40, TODAY()), ""SELECT Col2 WHERE Col2 IS NOT NULL OR"&amp;"DER BY Col1 DESC LIMIT 20"", 0) - 1)))"),"#N/A")</f>
        <v>#N/A</v>
      </c>
      <c r="H153" s="35" t="str">
        <f t="shared" si="6"/>
        <v>Illiquid</v>
      </c>
      <c r="I153" s="36" t="str">
        <f t="shared" si="7"/>
        <v>RVol Required</v>
      </c>
      <c r="J153" s="37">
        <f>IFERROR(__xludf.DUMMYFUNCTION("IFERROR(
  IF(C153="""",, 
    IFERROR(
      GOOGLEFINANCE(C153, ""price"") * GOOGLEFINANCE(C153, ""volumeavg""), 
      GOOGLEFINANCE(C153, ""price"") * AVERAGE(QUERY(GOOGLEFINANCE(C153, ""volume"", TODAY()-40, TODAY()), ""SELECT Col2 WHERE Col2 IS NOT "&amp;"NULL ORDER BY Col1 DESC LIMIT 20"", 0))
    )
  ), 
"""")"),336510.08)</f>
        <v>336510.08</v>
      </c>
      <c r="K153" s="21">
        <f>IFERROR(__xludf.DUMMYFUNCTION("IFERROR(GOOGLEFINANCE(C153, ""changepct"") / 100, """")"),0.0)</f>
        <v>0</v>
      </c>
      <c r="L153" s="21" t="str">
        <f>IFERROR(__xludf.DUMMYFUNCTION("IFERROR((GOOGLEFINANCE(C153, ""price"") / INDEX(GOOGLEFINANCE(C153, ""price"", TODAY()-7, TODAY()), 2, 2)) - 1, """")"),"")</f>
        <v/>
      </c>
      <c r="M153" s="21" t="str">
        <f>IFERROR(__xludf.DUMMYFUNCTION("IFERROR((GOOGLEFINANCE(C153, ""price"") / INDEX(GOOGLEFINANCE(C153, ""price"", EDATE(TODAY(), -1), TODAY()), 2, 2)) - 1, """")"),"")</f>
        <v/>
      </c>
      <c r="N153" s="21" t="str">
        <f>IFERROR(__xludf.DUMMYFUNCTION("IFERROR((GOOGLEFINANCE(C153, ""price"") / INDEX(GOOGLEFINANCE(C153, ""price"", EDATE(TODAY(), -3), TODAY()), 2, 2)) - 1, """")"),"")</f>
        <v/>
      </c>
      <c r="O153" s="21" t="str">
        <f>IFERROR(__xludf.DUMMYFUNCTION("IFERROR((GOOGLEFINANCE(C153, ""price"") / INDEX(GOOGLEFINANCE(C153, ""price"", EDATE(TODAY(), -6), TODAY()), 2, 2)) - 1, """")"),"")</f>
        <v/>
      </c>
      <c r="P153" s="21" t="str">
        <f>IFERROR(__xludf.DUMMYFUNCTION("IFERROR((GOOGLEFINANCE(C153, ""price"") / INDEX(GOOGLEFINANCE(C153, ""price"", EDATE(TODAY(), -12), TODAY()), 2, 2)) - 1, """")"),"")</f>
        <v/>
      </c>
      <c r="Q153" s="6" t="str">
        <f>IFERROR(__xludf.DUMMYFUNCTION("AVERAGE(QUERY(GOOGLEFINANCE(C153, ""price"", TODAY()-80, TODAY()), ""SELECT Col2 WHERE Col2 IS NOT NULL ORDER BY Col1 DESC LIMIT 50"", 0))"),"#N/A")</f>
        <v>#N/A</v>
      </c>
      <c r="R153" s="24" t="str">
        <f>IFERROR(__xludf.DUMMYFUNCTION("IFERROR(
  LET(
    data, QUERY(GOOGLEFINANCE(C153,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GOOGLEFINANCE(C153, ""price"")) * 100,
    IF(calc=0, G153, calc)
  ), 
G153)"),"#N/A")</f>
        <v>#N/A</v>
      </c>
      <c r="S153" s="8" t="s">
        <v>15</v>
      </c>
      <c r="T153" s="26" t="str">
        <f>IFERROR(__xludf.DUMMYFUNCTION("IFERROR(TRANSPOSE(QUERY(IFERROR(SORT(GOOGLEFINANCE(C153, ""price"", WORKDAY(TODAY(), -40), TODAY()), 1, FALSE)), ""select Col2 where Col2 is not null limit 22 label Col2 ''"", 0)), """")"),"")</f>
        <v/>
      </c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8"/>
      <c r="AO153" s="28"/>
      <c r="AP153" s="29"/>
      <c r="AQ153" s="29" t="str">
        <f t="shared" ref="AQ153:BL153" si="156">T153/T$2</f>
        <v>#N/A</v>
      </c>
      <c r="AR153" s="29" t="str">
        <f t="shared" si="156"/>
        <v>#DIV/0!</v>
      </c>
      <c r="AS153" s="29" t="str">
        <f t="shared" si="156"/>
        <v>#DIV/0!</v>
      </c>
      <c r="AT153" s="29" t="str">
        <f t="shared" si="156"/>
        <v>#DIV/0!</v>
      </c>
      <c r="AU153" s="29" t="str">
        <f t="shared" si="156"/>
        <v>#DIV/0!</v>
      </c>
      <c r="AV153" s="29" t="str">
        <f t="shared" si="156"/>
        <v>#DIV/0!</v>
      </c>
      <c r="AW153" s="29" t="str">
        <f t="shared" si="156"/>
        <v>#DIV/0!</v>
      </c>
      <c r="AX153" s="29" t="str">
        <f t="shared" si="156"/>
        <v>#DIV/0!</v>
      </c>
      <c r="AY153" s="29" t="str">
        <f t="shared" si="156"/>
        <v>#DIV/0!</v>
      </c>
      <c r="AZ153" s="29" t="str">
        <f t="shared" si="156"/>
        <v>#DIV/0!</v>
      </c>
      <c r="BA153" s="29" t="str">
        <f t="shared" si="156"/>
        <v>#DIV/0!</v>
      </c>
      <c r="BB153" s="29" t="str">
        <f t="shared" si="156"/>
        <v>#DIV/0!</v>
      </c>
      <c r="BC153" s="29" t="str">
        <f t="shared" si="156"/>
        <v>#DIV/0!</v>
      </c>
      <c r="BD153" s="29" t="str">
        <f t="shared" si="156"/>
        <v>#DIV/0!</v>
      </c>
      <c r="BE153" s="29" t="str">
        <f t="shared" si="156"/>
        <v>#DIV/0!</v>
      </c>
      <c r="BF153" s="29" t="str">
        <f t="shared" si="156"/>
        <v>#DIV/0!</v>
      </c>
      <c r="BG153" s="29" t="str">
        <f t="shared" si="156"/>
        <v>#DIV/0!</v>
      </c>
      <c r="BH153" s="29" t="str">
        <f t="shared" si="156"/>
        <v>#DIV/0!</v>
      </c>
      <c r="BI153" s="29" t="str">
        <f t="shared" si="156"/>
        <v>#DIV/0!</v>
      </c>
      <c r="BJ153" s="29" t="str">
        <f t="shared" si="156"/>
        <v>#DIV/0!</v>
      </c>
      <c r="BK153" s="29" t="str">
        <f t="shared" si="156"/>
        <v>#DIV/0!</v>
      </c>
      <c r="BL153" s="29" t="str">
        <f t="shared" si="156"/>
        <v>#DIV/0!</v>
      </c>
      <c r="BM153" s="29" t="str">
        <f t="shared" si="3"/>
        <v>#DIV/0!</v>
      </c>
    </row>
    <row r="154">
      <c r="A154" s="16" t="str">
        <f>IFERROR(__xludf.DUMMYFUNCTION("IFERROR(SPARKLINE(SORT(MAP(TRANSPOSE(AQ154:BL154), LAMBDA(val, IF(ISNUMBER(val), PERCENTRANK(AQ154:BL154, val)+0.01, 0))), SEQUENCE(COLUMNS(AQ154:BL154)), FALSE), {""charttype"",""column""; ""color"",""chartreuse""; ""ymin"", 0; ""ymax"", 1.01; ""highcolo"&amp;"r"", ""darkgreen""; ""lowcolor"", ""red""}), """")"),"")</f>
        <v/>
      </c>
      <c r="B154" s="17" t="str">
        <f t="shared" si="4"/>
        <v/>
      </c>
      <c r="C154" s="1" t="s">
        <v>778</v>
      </c>
      <c r="D154" s="30" t="str">
        <f>IFERROR(__xludf.DUMMYFUNCTION("IFERROR(GOOGLEFINANCE(C154, ""NAME""))"),"PLDT Inc ADR")</f>
        <v>PLDT Inc ADR</v>
      </c>
      <c r="E154" s="30" t="s">
        <v>52</v>
      </c>
      <c r="F154" s="33" t="str">
        <f>IFERROR(__xludf.DUMMYFUNCTION("( (GOOGLEFINANCE(C154, ""price"") - Q154) / Q154 ) / (R154 / 100)"),"Loading...")</f>
        <v>Loading...</v>
      </c>
      <c r="G154" s="20" t="str">
        <f>IFERROR(__xludf.DUMMYFUNCTION("AVERAGE(ARRAYFORMULA(100 * (QUERY(GOOGLEFINANCE(C154, ""high"", TODAY()-40, TODAY()), ""SELECT Col2 WHERE Col2 IS NOT NULL ORDER BY Col1 DESC LIMIT 20"", 0) / QUERY(GOOGLEFINANCE(C154, ""low"", TODAY()-40, TODAY()), ""SELECT Col2 WHERE Col2 IS NOT NULL OR"&amp;"DER BY Col1 DESC LIMIT 20"", 0) - 1)))"),"#N/A")</f>
        <v>#N/A</v>
      </c>
      <c r="H154" s="35" t="str">
        <f t="shared" si="6"/>
        <v>Illiquid</v>
      </c>
      <c r="I154" s="36" t="str">
        <f t="shared" si="7"/>
        <v>RVol Required</v>
      </c>
      <c r="J154" s="37">
        <f>IFERROR(__xludf.DUMMYFUNCTION("IFERROR(
  IF(C154="""",, 
    IFERROR(
      GOOGLEFINANCE(C154, ""price"") * GOOGLEFINANCE(C154, ""volumeavg""), 
      GOOGLEFINANCE(C154, ""price"") * AVERAGE(QUERY(GOOGLEFINANCE(C154, ""volume"", TODAY()-40, TODAY()), ""SELECT Col2 WHERE Col2 IS NOT "&amp;"NULL ORDER BY Col1 DESC LIMIT 20"", 0))
    )
  ), 
"""")"),4360328.8)</f>
        <v>4360328.8</v>
      </c>
      <c r="K154" s="21">
        <f>IFERROR(__xludf.DUMMYFUNCTION("IFERROR(GOOGLEFINANCE(C154, ""changepct"") / 100, """")"),0.0086)</f>
        <v>0.0086</v>
      </c>
      <c r="L154" s="21" t="str">
        <f>IFERROR(__xludf.DUMMYFUNCTION("IFERROR((GOOGLEFINANCE(C154, ""price"") / INDEX(GOOGLEFINANCE(C154, ""price"", TODAY()-7, TODAY()), 2, 2)) - 1, """")"),"")</f>
        <v/>
      </c>
      <c r="M154" s="21" t="str">
        <f>IFERROR(__xludf.DUMMYFUNCTION("IFERROR((GOOGLEFINANCE(C154, ""price"") / INDEX(GOOGLEFINANCE(C154, ""price"", EDATE(TODAY(), -1), TODAY()), 2, 2)) - 1, """")"),"")</f>
        <v/>
      </c>
      <c r="N154" s="21" t="str">
        <f>IFERROR(__xludf.DUMMYFUNCTION("IFERROR((GOOGLEFINANCE(C154, ""price"") / INDEX(GOOGLEFINANCE(C154, ""price"", EDATE(TODAY(), -3), TODAY()), 2, 2)) - 1, """")"),"")</f>
        <v/>
      </c>
      <c r="O154" s="21" t="str">
        <f>IFERROR(__xludf.DUMMYFUNCTION("IFERROR((GOOGLEFINANCE(C154, ""price"") / INDEX(GOOGLEFINANCE(C154, ""price"", EDATE(TODAY(), -6), TODAY()), 2, 2)) - 1, """")"),"")</f>
        <v/>
      </c>
      <c r="P154" s="21" t="str">
        <f>IFERROR(__xludf.DUMMYFUNCTION("IFERROR((GOOGLEFINANCE(C154, ""price"") / INDEX(GOOGLEFINANCE(C154, ""price"", EDATE(TODAY(), -12), TODAY()), 2, 2)) - 1, """")"),"")</f>
        <v/>
      </c>
      <c r="Q154" s="6" t="str">
        <f>IFERROR(__xludf.DUMMYFUNCTION("AVERAGE(QUERY(GOOGLEFINANCE(C154, ""price"", TODAY()-80, TODAY()), ""SELECT Col2 WHERE Col2 IS NOT NULL ORDER BY Col1 DESC LIMIT 50"", 0))"),"#N/A")</f>
        <v>#N/A</v>
      </c>
      <c r="R154" s="24" t="str">
        <f>IFERROR(__xludf.DUMMYFUNCTION("IFERROR(
  LET(
    data, QUERY(GOOGLEFINANCE(C154,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GOOGLEFINANCE(C154, ""price"")) * 100,
    IF(calc=0, G154, calc)
  ), 
G154)"),"#N/A")</f>
        <v>#N/A</v>
      </c>
      <c r="S154" s="8" t="s">
        <v>15</v>
      </c>
      <c r="T154" s="26" t="str">
        <f>IFERROR(__xludf.DUMMYFUNCTION("IFERROR(TRANSPOSE(QUERY(IFERROR(SORT(GOOGLEFINANCE(C154, ""price"", WORKDAY(TODAY(), -40), TODAY()), 1, FALSE)), ""select Col2 where Col2 is not null limit 22 label Col2 ''"", 0)), """")"),"")</f>
        <v/>
      </c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8"/>
      <c r="AO154" s="28"/>
      <c r="AP154" s="29"/>
      <c r="AQ154" s="29" t="str">
        <f t="shared" ref="AQ154:BL154" si="157">T154/T$2</f>
        <v>#N/A</v>
      </c>
      <c r="AR154" s="29" t="str">
        <f t="shared" si="157"/>
        <v>#DIV/0!</v>
      </c>
      <c r="AS154" s="29" t="str">
        <f t="shared" si="157"/>
        <v>#DIV/0!</v>
      </c>
      <c r="AT154" s="29" t="str">
        <f t="shared" si="157"/>
        <v>#DIV/0!</v>
      </c>
      <c r="AU154" s="29" t="str">
        <f t="shared" si="157"/>
        <v>#DIV/0!</v>
      </c>
      <c r="AV154" s="29" t="str">
        <f t="shared" si="157"/>
        <v>#DIV/0!</v>
      </c>
      <c r="AW154" s="29" t="str">
        <f t="shared" si="157"/>
        <v>#DIV/0!</v>
      </c>
      <c r="AX154" s="29" t="str">
        <f t="shared" si="157"/>
        <v>#DIV/0!</v>
      </c>
      <c r="AY154" s="29" t="str">
        <f t="shared" si="157"/>
        <v>#DIV/0!</v>
      </c>
      <c r="AZ154" s="29" t="str">
        <f t="shared" si="157"/>
        <v>#DIV/0!</v>
      </c>
      <c r="BA154" s="29" t="str">
        <f t="shared" si="157"/>
        <v>#DIV/0!</v>
      </c>
      <c r="BB154" s="29" t="str">
        <f t="shared" si="157"/>
        <v>#DIV/0!</v>
      </c>
      <c r="BC154" s="29" t="str">
        <f t="shared" si="157"/>
        <v>#DIV/0!</v>
      </c>
      <c r="BD154" s="29" t="str">
        <f t="shared" si="157"/>
        <v>#DIV/0!</v>
      </c>
      <c r="BE154" s="29" t="str">
        <f t="shared" si="157"/>
        <v>#DIV/0!</v>
      </c>
      <c r="BF154" s="29" t="str">
        <f t="shared" si="157"/>
        <v>#DIV/0!</v>
      </c>
      <c r="BG154" s="29" t="str">
        <f t="shared" si="157"/>
        <v>#DIV/0!</v>
      </c>
      <c r="BH154" s="29" t="str">
        <f t="shared" si="157"/>
        <v>#DIV/0!</v>
      </c>
      <c r="BI154" s="29" t="str">
        <f t="shared" si="157"/>
        <v>#DIV/0!</v>
      </c>
      <c r="BJ154" s="29" t="str">
        <f t="shared" si="157"/>
        <v>#DIV/0!</v>
      </c>
      <c r="BK154" s="29" t="str">
        <f t="shared" si="157"/>
        <v>#DIV/0!</v>
      </c>
      <c r="BL154" s="29" t="str">
        <f t="shared" si="157"/>
        <v>#DIV/0!</v>
      </c>
      <c r="BM154" s="29" t="str">
        <f t="shared" si="3"/>
        <v>#DIV/0!</v>
      </c>
    </row>
    <row r="155">
      <c r="A155" s="16" t="str">
        <f>IFERROR(__xludf.DUMMYFUNCTION("IFERROR(SPARKLINE(SORT(MAP(TRANSPOSE(AQ155:BL155), LAMBDA(val, IF(ISNUMBER(val), PERCENTRANK(AQ155:BL155, val)+0.01, 0))), SEQUENCE(COLUMNS(AQ155:BL155)), FALSE), {""charttype"",""column""; ""color"",""chartreuse""; ""ymin"", 0; ""ymax"", 1.01; ""highcolo"&amp;"r"", ""darkgreen""; ""lowcolor"", ""red""}), """")"),"")</f>
        <v/>
      </c>
      <c r="B155" s="17" t="str">
        <f t="shared" si="4"/>
        <v/>
      </c>
      <c r="C155" s="1" t="s">
        <v>782</v>
      </c>
      <c r="D155" s="30" t="str">
        <f>IFERROR(__xludf.DUMMYFUNCTION("IFERROR(GOOGLEFINANCE(C155, ""NAME""))"),"")</f>
        <v/>
      </c>
      <c r="E155" s="30" t="s">
        <v>69</v>
      </c>
      <c r="F155" s="33" t="str">
        <f>IFERROR(__xludf.DUMMYFUNCTION("( (GOOGLEFINANCE(C155, ""price"") - Q155) / Q155 ) / (R155 / 100)"),"Loading...")</f>
        <v>Loading...</v>
      </c>
      <c r="G155" s="20" t="str">
        <f>IFERROR(__xludf.DUMMYFUNCTION("AVERAGE(ARRAYFORMULA(100 * (QUERY(GOOGLEFINANCE(C155, ""high"", TODAY()-40, TODAY()), ""SELECT Col2 WHERE Col2 IS NOT NULL ORDER BY Col1 DESC LIMIT 20"", 0) / QUERY(GOOGLEFINANCE(C155, ""low"", TODAY()-40, TODAY()), ""SELECT Col2 WHERE Col2 IS NOT NULL OR"&amp;"DER BY Col1 DESC LIMIT 20"", 0) - 1)))"),"#N/A")</f>
        <v>#N/A</v>
      </c>
      <c r="H155" s="35" t="str">
        <f t="shared" si="6"/>
        <v/>
      </c>
      <c r="I155" s="36" t="str">
        <f t="shared" si="7"/>
        <v/>
      </c>
      <c r="J155" s="37" t="str">
        <f>IFERROR(__xludf.DUMMYFUNCTION("IFERROR(
  IF(C155="""",, 
    IFERROR(
      GOOGLEFINANCE(C155, ""price"") * GOOGLEFINANCE(C155, ""volumeavg""), 
      GOOGLEFINANCE(C155, ""price"") * AVERAGE(QUERY(GOOGLEFINANCE(C155, ""volume"", TODAY()-40, TODAY()), ""SELECT Col2 WHERE Col2 IS NOT "&amp;"NULL ORDER BY Col1 DESC LIMIT 20"", 0))
    )
  ), 
"""")"),"")</f>
        <v/>
      </c>
      <c r="K155" s="21" t="str">
        <f>IFERROR(__xludf.DUMMYFUNCTION("IFERROR(GOOGLEFINANCE(C155, ""changepct"") / 100, """")"),"")</f>
        <v/>
      </c>
      <c r="L155" s="21" t="str">
        <f>IFERROR(__xludf.DUMMYFUNCTION("IFERROR((GOOGLEFINANCE(C155, ""price"") / INDEX(GOOGLEFINANCE(C155, ""price"", TODAY()-7, TODAY()), 2, 2)) - 1, """")"),"")</f>
        <v/>
      </c>
      <c r="M155" s="21" t="str">
        <f>IFERROR(__xludf.DUMMYFUNCTION("IFERROR((GOOGLEFINANCE(C155, ""price"") / INDEX(GOOGLEFINANCE(C155, ""price"", EDATE(TODAY(), -1), TODAY()), 2, 2)) - 1, """")"),"")</f>
        <v/>
      </c>
      <c r="N155" s="21" t="str">
        <f>IFERROR(__xludf.DUMMYFUNCTION("IFERROR((GOOGLEFINANCE(C155, ""price"") / INDEX(GOOGLEFINANCE(C155, ""price"", EDATE(TODAY(), -3), TODAY()), 2, 2)) - 1, """")"),"")</f>
        <v/>
      </c>
      <c r="O155" s="21" t="str">
        <f>IFERROR(__xludf.DUMMYFUNCTION("IFERROR((GOOGLEFINANCE(C155, ""price"") / INDEX(GOOGLEFINANCE(C155, ""price"", EDATE(TODAY(), -6), TODAY()), 2, 2)) - 1, """")"),"")</f>
        <v/>
      </c>
      <c r="P155" s="21" t="str">
        <f>IFERROR(__xludf.DUMMYFUNCTION("IFERROR((GOOGLEFINANCE(C155, ""price"") / INDEX(GOOGLEFINANCE(C155, ""price"", EDATE(TODAY(), -12), TODAY()), 2, 2)) - 1, """")"),"")</f>
        <v/>
      </c>
      <c r="Q155" s="6" t="str">
        <f>IFERROR(__xludf.DUMMYFUNCTION("AVERAGE(QUERY(GOOGLEFINANCE(C155, ""price"", TODAY()-80, TODAY()), ""SELECT Col2 WHERE Col2 IS NOT NULL ORDER BY Col1 DESC LIMIT 50"", 0))"),"#N/A")</f>
        <v>#N/A</v>
      </c>
      <c r="R155" s="24" t="str">
        <f>IFERROR(__xludf.DUMMYFUNCTION("IFERROR(
  LET(
    data, QUERY(GOOGLEFINANCE(C155,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GOOGLEFINANCE(C155, ""price"")) * 100,
    IF(calc=0, G155, calc)
  ), 
G155)"),"#N/A")</f>
        <v>#N/A</v>
      </c>
      <c r="S155" s="8" t="s">
        <v>15</v>
      </c>
      <c r="T155" s="26" t="str">
        <f>IFERROR(__xludf.DUMMYFUNCTION("IFERROR(TRANSPOSE(QUERY(IFERROR(SORT(GOOGLEFINANCE(C155, ""price"", WORKDAY(TODAY(), -40), TODAY()), 1, FALSE)), ""select Col2 where Col2 is not null limit 22 label Col2 ''"", 0)), """")"),"")</f>
        <v/>
      </c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8"/>
      <c r="AO155" s="28"/>
      <c r="AP155" s="29"/>
      <c r="AQ155" s="29" t="str">
        <f t="shared" ref="AQ155:BL155" si="158">T155/T$2</f>
        <v>#N/A</v>
      </c>
      <c r="AR155" s="29" t="str">
        <f t="shared" si="158"/>
        <v>#DIV/0!</v>
      </c>
      <c r="AS155" s="29" t="str">
        <f t="shared" si="158"/>
        <v>#DIV/0!</v>
      </c>
      <c r="AT155" s="29" t="str">
        <f t="shared" si="158"/>
        <v>#DIV/0!</v>
      </c>
      <c r="AU155" s="29" t="str">
        <f t="shared" si="158"/>
        <v>#DIV/0!</v>
      </c>
      <c r="AV155" s="29" t="str">
        <f t="shared" si="158"/>
        <v>#DIV/0!</v>
      </c>
      <c r="AW155" s="29" t="str">
        <f t="shared" si="158"/>
        <v>#DIV/0!</v>
      </c>
      <c r="AX155" s="29" t="str">
        <f t="shared" si="158"/>
        <v>#DIV/0!</v>
      </c>
      <c r="AY155" s="29" t="str">
        <f t="shared" si="158"/>
        <v>#DIV/0!</v>
      </c>
      <c r="AZ155" s="29" t="str">
        <f t="shared" si="158"/>
        <v>#DIV/0!</v>
      </c>
      <c r="BA155" s="29" t="str">
        <f t="shared" si="158"/>
        <v>#DIV/0!</v>
      </c>
      <c r="BB155" s="29" t="str">
        <f t="shared" si="158"/>
        <v>#DIV/0!</v>
      </c>
      <c r="BC155" s="29" t="str">
        <f t="shared" si="158"/>
        <v>#DIV/0!</v>
      </c>
      <c r="BD155" s="29" t="str">
        <f t="shared" si="158"/>
        <v>#DIV/0!</v>
      </c>
      <c r="BE155" s="29" t="str">
        <f t="shared" si="158"/>
        <v>#DIV/0!</v>
      </c>
      <c r="BF155" s="29" t="str">
        <f t="shared" si="158"/>
        <v>#DIV/0!</v>
      </c>
      <c r="BG155" s="29" t="str">
        <f t="shared" si="158"/>
        <v>#DIV/0!</v>
      </c>
      <c r="BH155" s="29" t="str">
        <f t="shared" si="158"/>
        <v>#DIV/0!</v>
      </c>
      <c r="BI155" s="29" t="str">
        <f t="shared" si="158"/>
        <v>#DIV/0!</v>
      </c>
      <c r="BJ155" s="29" t="str">
        <f t="shared" si="158"/>
        <v>#DIV/0!</v>
      </c>
      <c r="BK155" s="29" t="str">
        <f t="shared" si="158"/>
        <v>#DIV/0!</v>
      </c>
      <c r="BL155" s="29" t="str">
        <f t="shared" si="158"/>
        <v>#DIV/0!</v>
      </c>
      <c r="BM155" s="29" t="str">
        <f t="shared" si="3"/>
        <v>#DIV/0!</v>
      </c>
    </row>
    <row r="156">
      <c r="A156" s="16" t="str">
        <f>IFERROR(__xludf.DUMMYFUNCTION("IFERROR(SPARKLINE(SORT(MAP(TRANSPOSE(AQ156:BL156), LAMBDA(val, IF(ISNUMBER(val), PERCENTRANK(AQ156:BL156, val)+0.01, 0))), SEQUENCE(COLUMNS(AQ156:BL156)), FALSE), {""charttype"",""column""; ""color"",""chartreuse""; ""ymin"", 0; ""ymax"", 1.01; ""highcolo"&amp;"r"", ""darkgreen""; ""lowcolor"", ""red""}), """")"),"")</f>
        <v/>
      </c>
      <c r="B156" s="17" t="str">
        <f t="shared" si="4"/>
        <v/>
      </c>
      <c r="C156" s="1" t="s">
        <v>787</v>
      </c>
      <c r="D156" s="30" t="str">
        <f>IFERROR(__xludf.DUMMYFUNCTION("IFERROR(GOOGLEFINANCE(C156, ""NAME""))"),"John Wiley &amp; Sons Inc Class A")</f>
        <v>John Wiley &amp; Sons Inc Class A</v>
      </c>
      <c r="E156" s="30" t="s">
        <v>402</v>
      </c>
      <c r="F156" s="33" t="str">
        <f>IFERROR(__xludf.DUMMYFUNCTION("( (GOOGLEFINANCE(C156, ""price"") - Q156) / Q156 ) / (R156 / 100)"),"Loading...")</f>
        <v>Loading...</v>
      </c>
      <c r="G156" s="20" t="str">
        <f>IFERROR(__xludf.DUMMYFUNCTION("AVERAGE(ARRAYFORMULA(100 * (QUERY(GOOGLEFINANCE(C156, ""high"", TODAY()-40, TODAY()), ""SELECT Col2 WHERE Col2 IS NOT NULL ORDER BY Col1 DESC LIMIT 20"", 0) / QUERY(GOOGLEFINANCE(C156, ""low"", TODAY()-40, TODAY()), ""SELECT Col2 WHERE Col2 IS NOT NULL OR"&amp;"DER BY Col1 DESC LIMIT 20"", 0) - 1)))"),"#N/A")</f>
        <v>#N/A</v>
      </c>
      <c r="H156" s="35" t="str">
        <f t="shared" si="6"/>
        <v>Illiquid</v>
      </c>
      <c r="I156" s="36" t="str">
        <f t="shared" si="7"/>
        <v>RVol Required</v>
      </c>
      <c r="J156" s="37">
        <f>IFERROR(__xludf.DUMMYFUNCTION("IFERROR(
  IF(C156="""",, 
    IFERROR(
      GOOGLEFINANCE(C156, ""price"") * GOOGLEFINANCE(C156, ""volumeavg""), 
      GOOGLEFINANCE(C156, ""price"") * AVERAGE(QUERY(GOOGLEFINANCE(C156, ""volume"", TODAY()-40, TODAY()), ""SELECT Col2 WHERE Col2 IS NOT "&amp;"NULL ORDER BY Col1 DESC LIMIT 20"", 0))
    )
  ), 
"""")"),2.760229408E7)</f>
        <v>27602294.08</v>
      </c>
      <c r="K156" s="21">
        <f>IFERROR(__xludf.DUMMYFUNCTION("IFERROR(GOOGLEFINANCE(C156, ""changepct"") / 100, """")"),-0.004699999999999999)</f>
        <v>-0.0047</v>
      </c>
      <c r="L156" s="21" t="str">
        <f>IFERROR(__xludf.DUMMYFUNCTION("IFERROR((GOOGLEFINANCE(C156, ""price"") / INDEX(GOOGLEFINANCE(C156, ""price"", TODAY()-7, TODAY()), 2, 2)) - 1, """")"),"")</f>
        <v/>
      </c>
      <c r="M156" s="21" t="str">
        <f>IFERROR(__xludf.DUMMYFUNCTION("IFERROR((GOOGLEFINANCE(C156, ""price"") / INDEX(GOOGLEFINANCE(C156, ""price"", EDATE(TODAY(), -1), TODAY()), 2, 2)) - 1, """")"),"")</f>
        <v/>
      </c>
      <c r="N156" s="21" t="str">
        <f>IFERROR(__xludf.DUMMYFUNCTION("IFERROR((GOOGLEFINANCE(C156, ""price"") / INDEX(GOOGLEFINANCE(C156, ""price"", EDATE(TODAY(), -3), TODAY()), 2, 2)) - 1, """")"),"")</f>
        <v/>
      </c>
      <c r="O156" s="21" t="str">
        <f>IFERROR(__xludf.DUMMYFUNCTION("IFERROR((GOOGLEFINANCE(C156, ""price"") / INDEX(GOOGLEFINANCE(C156, ""price"", EDATE(TODAY(), -6), TODAY()), 2, 2)) - 1, """")"),"")</f>
        <v/>
      </c>
      <c r="P156" s="21" t="str">
        <f>IFERROR(__xludf.DUMMYFUNCTION("IFERROR((GOOGLEFINANCE(C156, ""price"") / INDEX(GOOGLEFINANCE(C156, ""price"", EDATE(TODAY(), -12), TODAY()), 2, 2)) - 1, """")"),"")</f>
        <v/>
      </c>
      <c r="Q156" s="6" t="str">
        <f>IFERROR(__xludf.DUMMYFUNCTION("AVERAGE(QUERY(GOOGLEFINANCE(C156, ""price"", TODAY()-80, TODAY()), ""SELECT Col2 WHERE Col2 IS NOT NULL ORDER BY Col1 DESC LIMIT 50"", 0))"),"#N/A")</f>
        <v>#N/A</v>
      </c>
      <c r="R156" s="24" t="str">
        <f>IFERROR(__xludf.DUMMYFUNCTION("IFERROR(
  LET(
    data, QUERY(GOOGLEFINANCE(C156,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GOOGLEFINANCE(C156, ""price"")) * 100,
    IF(calc=0, G156, calc)
  ), 
G156)"),"#N/A")</f>
        <v>#N/A</v>
      </c>
      <c r="S156" s="8" t="s">
        <v>15</v>
      </c>
      <c r="T156" s="26" t="str">
        <f>IFERROR(__xludf.DUMMYFUNCTION("IFERROR(TRANSPOSE(QUERY(IFERROR(SORT(GOOGLEFINANCE(C156, ""price"", WORKDAY(TODAY(), -40), TODAY()), 1, FALSE)), ""select Col2 where Col2 is not null limit 22 label Col2 ''"", 0)), """")"),"")</f>
        <v/>
      </c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8"/>
      <c r="AO156" s="28"/>
      <c r="AP156" s="29"/>
      <c r="AQ156" s="29" t="str">
        <f t="shared" ref="AQ156:BL156" si="159">T156/T$2</f>
        <v>#N/A</v>
      </c>
      <c r="AR156" s="29" t="str">
        <f t="shared" si="159"/>
        <v>#DIV/0!</v>
      </c>
      <c r="AS156" s="29" t="str">
        <f t="shared" si="159"/>
        <v>#DIV/0!</v>
      </c>
      <c r="AT156" s="29" t="str">
        <f t="shared" si="159"/>
        <v>#DIV/0!</v>
      </c>
      <c r="AU156" s="29" t="str">
        <f t="shared" si="159"/>
        <v>#DIV/0!</v>
      </c>
      <c r="AV156" s="29" t="str">
        <f t="shared" si="159"/>
        <v>#DIV/0!</v>
      </c>
      <c r="AW156" s="29" t="str">
        <f t="shared" si="159"/>
        <v>#DIV/0!</v>
      </c>
      <c r="AX156" s="29" t="str">
        <f t="shared" si="159"/>
        <v>#DIV/0!</v>
      </c>
      <c r="AY156" s="29" t="str">
        <f t="shared" si="159"/>
        <v>#DIV/0!</v>
      </c>
      <c r="AZ156" s="29" t="str">
        <f t="shared" si="159"/>
        <v>#DIV/0!</v>
      </c>
      <c r="BA156" s="29" t="str">
        <f t="shared" si="159"/>
        <v>#DIV/0!</v>
      </c>
      <c r="BB156" s="29" t="str">
        <f t="shared" si="159"/>
        <v>#DIV/0!</v>
      </c>
      <c r="BC156" s="29" t="str">
        <f t="shared" si="159"/>
        <v>#DIV/0!</v>
      </c>
      <c r="BD156" s="29" t="str">
        <f t="shared" si="159"/>
        <v>#DIV/0!</v>
      </c>
      <c r="BE156" s="29" t="str">
        <f t="shared" si="159"/>
        <v>#DIV/0!</v>
      </c>
      <c r="BF156" s="29" t="str">
        <f t="shared" si="159"/>
        <v>#DIV/0!</v>
      </c>
      <c r="BG156" s="29" t="str">
        <f t="shared" si="159"/>
        <v>#DIV/0!</v>
      </c>
      <c r="BH156" s="29" t="str">
        <f t="shared" si="159"/>
        <v>#DIV/0!</v>
      </c>
      <c r="BI156" s="29" t="str">
        <f t="shared" si="159"/>
        <v>#DIV/0!</v>
      </c>
      <c r="BJ156" s="29" t="str">
        <f t="shared" si="159"/>
        <v>#DIV/0!</v>
      </c>
      <c r="BK156" s="29" t="str">
        <f t="shared" si="159"/>
        <v>#DIV/0!</v>
      </c>
      <c r="BL156" s="29" t="str">
        <f t="shared" si="159"/>
        <v>#DIV/0!</v>
      </c>
      <c r="BM156" s="29" t="str">
        <f t="shared" si="3"/>
        <v>#DIV/0!</v>
      </c>
    </row>
    <row r="157">
      <c r="A157" s="16" t="str">
        <f>IFERROR(__xludf.DUMMYFUNCTION("IFERROR(SPARKLINE(SORT(MAP(TRANSPOSE(AQ157:BL157), LAMBDA(val, IF(ISNUMBER(val), PERCENTRANK(AQ157:BL157, val)+0.01, 0))), SEQUENCE(COLUMNS(AQ157:BL157)), FALSE), {""charttype"",""column""; ""color"",""chartreuse""; ""ymin"", 0; ""ymax"", 1.01; ""highcolo"&amp;"r"", ""darkgreen""; ""lowcolor"", ""red""}), """")"),"")</f>
        <v/>
      </c>
      <c r="B157" s="17" t="str">
        <f t="shared" si="4"/>
        <v/>
      </c>
      <c r="C157" s="1" t="s">
        <v>792</v>
      </c>
      <c r="D157" s="30" t="str">
        <f>IFERROR(__xludf.DUMMYFUNCTION("IFERROR(GOOGLEFINANCE(C157, ""NAME""))"),"DoubleVerify Holdings Inc")</f>
        <v>DoubleVerify Holdings Inc</v>
      </c>
      <c r="E157" s="30" t="s">
        <v>116</v>
      </c>
      <c r="F157" s="33" t="str">
        <f>IFERROR(__xludf.DUMMYFUNCTION("( (GOOGLEFINANCE(C157, ""price"") - Q157) / Q157 ) / (R157 / 100)"),"Loading...")</f>
        <v>Loading...</v>
      </c>
      <c r="G157" s="20" t="str">
        <f>IFERROR(__xludf.DUMMYFUNCTION("AVERAGE(ARRAYFORMULA(100 * (QUERY(GOOGLEFINANCE(C157, ""high"", TODAY()-40, TODAY()), ""SELECT Col2 WHERE Col2 IS NOT NULL ORDER BY Col1 DESC LIMIT 20"", 0) / QUERY(GOOGLEFINANCE(C157, ""low"", TODAY()-40, TODAY()), ""SELECT Col2 WHERE Col2 IS NOT NULL OR"&amp;"DER BY Col1 DESC LIMIT 20"", 0) - 1)))"),"#N/A")</f>
        <v>#N/A</v>
      </c>
      <c r="H157" s="35" t="str">
        <f t="shared" si="6"/>
        <v>Illiquid</v>
      </c>
      <c r="I157" s="36" t="str">
        <f t="shared" si="7"/>
        <v>RVol Required</v>
      </c>
      <c r="J157" s="37">
        <f>IFERROR(__xludf.DUMMYFUNCTION("IFERROR(
  IF(C157="""",, 
    IFERROR(
      GOOGLEFINANCE(C157, ""price"") * GOOGLEFINANCE(C157, ""volumeavg""), 
      GOOGLEFINANCE(C157, ""price"") * AVERAGE(QUERY(GOOGLEFINANCE(C157, ""volume"", TODAY()-40, TODAY()), ""SELECT Col2 WHERE Col2 IS NOT "&amp;"NULL ORDER BY Col1 DESC LIMIT 20"", 0))
    )
  ), 
"""")"),4.012055504E7)</f>
        <v>40120555.04</v>
      </c>
      <c r="K157" s="21">
        <f>IFERROR(__xludf.DUMMYFUNCTION("IFERROR(GOOGLEFINANCE(C157, ""changepct"") / 100, """")"),-0.0037)</f>
        <v>-0.0037</v>
      </c>
      <c r="L157" s="21" t="str">
        <f>IFERROR(__xludf.DUMMYFUNCTION("IFERROR((GOOGLEFINANCE(C157, ""price"") / INDEX(GOOGLEFINANCE(C157, ""price"", TODAY()-7, TODAY()), 2, 2)) - 1, """")"),"")</f>
        <v/>
      </c>
      <c r="M157" s="21" t="str">
        <f>IFERROR(__xludf.DUMMYFUNCTION("IFERROR((GOOGLEFINANCE(C157, ""price"") / INDEX(GOOGLEFINANCE(C157, ""price"", EDATE(TODAY(), -1), TODAY()), 2, 2)) - 1, """")"),"")</f>
        <v/>
      </c>
      <c r="N157" s="21" t="str">
        <f>IFERROR(__xludf.DUMMYFUNCTION("IFERROR((GOOGLEFINANCE(C157, ""price"") / INDEX(GOOGLEFINANCE(C157, ""price"", EDATE(TODAY(), -3), TODAY()), 2, 2)) - 1, """")"),"")</f>
        <v/>
      </c>
      <c r="O157" s="21" t="str">
        <f>IFERROR(__xludf.DUMMYFUNCTION("IFERROR((GOOGLEFINANCE(C157, ""price"") / INDEX(GOOGLEFINANCE(C157, ""price"", EDATE(TODAY(), -6), TODAY()), 2, 2)) - 1, """")"),"")</f>
        <v/>
      </c>
      <c r="P157" s="21" t="str">
        <f>IFERROR(__xludf.DUMMYFUNCTION("IFERROR((GOOGLEFINANCE(C157, ""price"") / INDEX(GOOGLEFINANCE(C157, ""price"", EDATE(TODAY(), -12), TODAY()), 2, 2)) - 1, """")"),"")</f>
        <v/>
      </c>
      <c r="Q157" s="6" t="str">
        <f>IFERROR(__xludf.DUMMYFUNCTION("AVERAGE(QUERY(GOOGLEFINANCE(C157, ""price"", TODAY()-80, TODAY()), ""SELECT Col2 WHERE Col2 IS NOT NULL ORDER BY Col1 DESC LIMIT 50"", 0))"),"#N/A")</f>
        <v>#N/A</v>
      </c>
      <c r="R157" s="24" t="str">
        <f>IFERROR(__xludf.DUMMYFUNCTION("IFERROR(
  LET(
    data, QUERY(GOOGLEFINANCE(C157,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GOOGLEFINANCE(C157, ""price"")) * 100,
    IF(calc=0, G157, calc)
  ), 
G157)"),"#N/A")</f>
        <v>#N/A</v>
      </c>
      <c r="S157" s="8" t="s">
        <v>15</v>
      </c>
      <c r="T157" s="26" t="str">
        <f>IFERROR(__xludf.DUMMYFUNCTION("IFERROR(TRANSPOSE(QUERY(IFERROR(SORT(GOOGLEFINANCE(C157, ""price"", WORKDAY(TODAY(), -40), TODAY()), 1, FALSE)), ""select Col2 where Col2 is not null limit 22 label Col2 ''"", 0)), """")"),"")</f>
        <v/>
      </c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8"/>
      <c r="AO157" s="28"/>
      <c r="AP157" s="29"/>
      <c r="AQ157" s="29" t="str">
        <f t="shared" ref="AQ157:BL157" si="160">T157/T$2</f>
        <v>#N/A</v>
      </c>
      <c r="AR157" s="29" t="str">
        <f t="shared" si="160"/>
        <v>#DIV/0!</v>
      </c>
      <c r="AS157" s="29" t="str">
        <f t="shared" si="160"/>
        <v>#DIV/0!</v>
      </c>
      <c r="AT157" s="29" t="str">
        <f t="shared" si="160"/>
        <v>#DIV/0!</v>
      </c>
      <c r="AU157" s="29" t="str">
        <f t="shared" si="160"/>
        <v>#DIV/0!</v>
      </c>
      <c r="AV157" s="29" t="str">
        <f t="shared" si="160"/>
        <v>#DIV/0!</v>
      </c>
      <c r="AW157" s="29" t="str">
        <f t="shared" si="160"/>
        <v>#DIV/0!</v>
      </c>
      <c r="AX157" s="29" t="str">
        <f t="shared" si="160"/>
        <v>#DIV/0!</v>
      </c>
      <c r="AY157" s="29" t="str">
        <f t="shared" si="160"/>
        <v>#DIV/0!</v>
      </c>
      <c r="AZ157" s="29" t="str">
        <f t="shared" si="160"/>
        <v>#DIV/0!</v>
      </c>
      <c r="BA157" s="29" t="str">
        <f t="shared" si="160"/>
        <v>#DIV/0!</v>
      </c>
      <c r="BB157" s="29" t="str">
        <f t="shared" si="160"/>
        <v>#DIV/0!</v>
      </c>
      <c r="BC157" s="29" t="str">
        <f t="shared" si="160"/>
        <v>#DIV/0!</v>
      </c>
      <c r="BD157" s="29" t="str">
        <f t="shared" si="160"/>
        <v>#DIV/0!</v>
      </c>
      <c r="BE157" s="29" t="str">
        <f t="shared" si="160"/>
        <v>#DIV/0!</v>
      </c>
      <c r="BF157" s="29" t="str">
        <f t="shared" si="160"/>
        <v>#DIV/0!</v>
      </c>
      <c r="BG157" s="29" t="str">
        <f t="shared" si="160"/>
        <v>#DIV/0!</v>
      </c>
      <c r="BH157" s="29" t="str">
        <f t="shared" si="160"/>
        <v>#DIV/0!</v>
      </c>
      <c r="BI157" s="29" t="str">
        <f t="shared" si="160"/>
        <v>#DIV/0!</v>
      </c>
      <c r="BJ157" s="29" t="str">
        <f t="shared" si="160"/>
        <v>#DIV/0!</v>
      </c>
      <c r="BK157" s="29" t="str">
        <f t="shared" si="160"/>
        <v>#DIV/0!</v>
      </c>
      <c r="BL157" s="29" t="str">
        <f t="shared" si="160"/>
        <v>#DIV/0!</v>
      </c>
      <c r="BM157" s="29" t="str">
        <f t="shared" si="3"/>
        <v>#DIV/0!</v>
      </c>
    </row>
    <row r="158">
      <c r="A158" s="16" t="str">
        <f>IFERROR(__xludf.DUMMYFUNCTION("IFERROR(SPARKLINE(SORT(MAP(TRANSPOSE(AQ158:BL158), LAMBDA(val, IF(ISNUMBER(val), PERCENTRANK(AQ158:BL158, val)+0.01, 0))), SEQUENCE(COLUMNS(AQ158:BL158)), FALSE), {""charttype"",""column""; ""color"",""chartreuse""; ""ymin"", 0; ""ymax"", 1.01; ""highcolo"&amp;"r"", ""darkgreen""; ""lowcolor"", ""red""}), """")"),"")</f>
        <v/>
      </c>
      <c r="B158" s="17" t="str">
        <f t="shared" si="4"/>
        <v/>
      </c>
      <c r="C158" s="1" t="s">
        <v>796</v>
      </c>
      <c r="D158" s="30" t="str">
        <f>IFERROR(__xludf.DUMMYFUNCTION("IFERROR(GOOGLEFINANCE(C158, ""NAME""))"),"Match Group Inc")</f>
        <v>Match Group Inc</v>
      </c>
      <c r="E158" s="30" t="s">
        <v>69</v>
      </c>
      <c r="F158" s="33" t="str">
        <f>IFERROR(__xludf.DUMMYFUNCTION("( (GOOGLEFINANCE(C158, ""price"") - Q158) / Q158 ) / (R158 / 100)"),"Loading...")</f>
        <v>Loading...</v>
      </c>
      <c r="G158" s="20" t="str">
        <f>IFERROR(__xludf.DUMMYFUNCTION("AVERAGE(ARRAYFORMULA(100 * (QUERY(GOOGLEFINANCE(C158, ""high"", TODAY()-40, TODAY()), ""SELECT Col2 WHERE Col2 IS NOT NULL ORDER BY Col1 DESC LIMIT 20"", 0) / QUERY(GOOGLEFINANCE(C158, ""low"", TODAY()-40, TODAY()), ""SELECT Col2 WHERE Col2 IS NOT NULL OR"&amp;"DER BY Col1 DESC LIMIT 20"", 0) - 1)))"),"#N/A")</f>
        <v>#N/A</v>
      </c>
      <c r="H158" s="35" t="str">
        <f t="shared" si="6"/>
        <v>Liquid</v>
      </c>
      <c r="I158" s="36" t="str">
        <f t="shared" si="7"/>
        <v>RVol Required</v>
      </c>
      <c r="J158" s="37">
        <f>IFERROR(__xludf.DUMMYFUNCTION("IFERROR(
  IF(C158="""",, 
    IFERROR(
      GOOGLEFINANCE(C158, ""price"") * GOOGLEFINANCE(C158, ""volumeavg""), 
      GOOGLEFINANCE(C158, ""price"") * AVERAGE(QUERY(GOOGLEFINANCE(C158, ""volume"", TODAY()-40, TODAY()), ""SELECT Col2 WHERE Col2 IS NOT "&amp;"NULL ORDER BY Col1 DESC LIMIT 20"", 0))
    )
  ), 
"""")"),1.4305296370000002E8)</f>
        <v>143052963.7</v>
      </c>
      <c r="K158" s="21">
        <f>IFERROR(__xludf.DUMMYFUNCTION("IFERROR(GOOGLEFINANCE(C158, ""changepct"") / 100, """")"),-0.026099999999999998)</f>
        <v>-0.0261</v>
      </c>
      <c r="L158" s="21" t="str">
        <f>IFERROR(__xludf.DUMMYFUNCTION("IFERROR((GOOGLEFINANCE(C158, ""price"") / INDEX(GOOGLEFINANCE(C158, ""price"", TODAY()-7, TODAY()), 2, 2)) - 1, """")"),"")</f>
        <v/>
      </c>
      <c r="M158" s="21" t="str">
        <f>IFERROR(__xludf.DUMMYFUNCTION("IFERROR((GOOGLEFINANCE(C158, ""price"") / INDEX(GOOGLEFINANCE(C158, ""price"", EDATE(TODAY(), -1), TODAY()), 2, 2)) - 1, """")"),"")</f>
        <v/>
      </c>
      <c r="N158" s="21" t="str">
        <f>IFERROR(__xludf.DUMMYFUNCTION("IFERROR((GOOGLEFINANCE(C158, ""price"") / INDEX(GOOGLEFINANCE(C158, ""price"", EDATE(TODAY(), -3), TODAY()), 2, 2)) - 1, """")"),"")</f>
        <v/>
      </c>
      <c r="O158" s="21" t="str">
        <f>IFERROR(__xludf.DUMMYFUNCTION("IFERROR((GOOGLEFINANCE(C158, ""price"") / INDEX(GOOGLEFINANCE(C158, ""price"", EDATE(TODAY(), -6), TODAY()), 2, 2)) - 1, """")"),"")</f>
        <v/>
      </c>
      <c r="P158" s="21" t="str">
        <f>IFERROR(__xludf.DUMMYFUNCTION("IFERROR((GOOGLEFINANCE(C158, ""price"") / INDEX(GOOGLEFINANCE(C158, ""price"", EDATE(TODAY(), -12), TODAY()), 2, 2)) - 1, """")"),"")</f>
        <v/>
      </c>
      <c r="Q158" s="6" t="str">
        <f>IFERROR(__xludf.DUMMYFUNCTION("AVERAGE(QUERY(GOOGLEFINANCE(C158, ""price"", TODAY()-80, TODAY()), ""SELECT Col2 WHERE Col2 IS NOT NULL ORDER BY Col1 DESC LIMIT 50"", 0))"),"#N/A")</f>
        <v>#N/A</v>
      </c>
      <c r="R158" s="24" t="str">
        <f>IFERROR(__xludf.DUMMYFUNCTION("IFERROR(
  LET(
    data, QUERY(GOOGLEFINANCE(C158,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GOOGLEFINANCE(C158, ""price"")) * 100,
    IF(calc=0, G158, calc)
  ), 
G158)"),"#N/A")</f>
        <v>#N/A</v>
      </c>
      <c r="S158" s="8" t="s">
        <v>15</v>
      </c>
      <c r="T158" s="26" t="str">
        <f>IFERROR(__xludf.DUMMYFUNCTION("IFERROR(TRANSPOSE(QUERY(IFERROR(SORT(GOOGLEFINANCE(C158, ""price"", WORKDAY(TODAY(), -40), TODAY()), 1, FALSE)), ""select Col2 where Col2 is not null limit 22 label Col2 ''"", 0)), """")"),"")</f>
        <v/>
      </c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8"/>
      <c r="AO158" s="28"/>
      <c r="AP158" s="29"/>
      <c r="AQ158" s="29" t="str">
        <f t="shared" ref="AQ158:BL158" si="161">T158/T$2</f>
        <v>#N/A</v>
      </c>
      <c r="AR158" s="29" t="str">
        <f t="shared" si="161"/>
        <v>#DIV/0!</v>
      </c>
      <c r="AS158" s="29" t="str">
        <f t="shared" si="161"/>
        <v>#DIV/0!</v>
      </c>
      <c r="AT158" s="29" t="str">
        <f t="shared" si="161"/>
        <v>#DIV/0!</v>
      </c>
      <c r="AU158" s="29" t="str">
        <f t="shared" si="161"/>
        <v>#DIV/0!</v>
      </c>
      <c r="AV158" s="29" t="str">
        <f t="shared" si="161"/>
        <v>#DIV/0!</v>
      </c>
      <c r="AW158" s="29" t="str">
        <f t="shared" si="161"/>
        <v>#DIV/0!</v>
      </c>
      <c r="AX158" s="29" t="str">
        <f t="shared" si="161"/>
        <v>#DIV/0!</v>
      </c>
      <c r="AY158" s="29" t="str">
        <f t="shared" si="161"/>
        <v>#DIV/0!</v>
      </c>
      <c r="AZ158" s="29" t="str">
        <f t="shared" si="161"/>
        <v>#DIV/0!</v>
      </c>
      <c r="BA158" s="29" t="str">
        <f t="shared" si="161"/>
        <v>#DIV/0!</v>
      </c>
      <c r="BB158" s="29" t="str">
        <f t="shared" si="161"/>
        <v>#DIV/0!</v>
      </c>
      <c r="BC158" s="29" t="str">
        <f t="shared" si="161"/>
        <v>#DIV/0!</v>
      </c>
      <c r="BD158" s="29" t="str">
        <f t="shared" si="161"/>
        <v>#DIV/0!</v>
      </c>
      <c r="BE158" s="29" t="str">
        <f t="shared" si="161"/>
        <v>#DIV/0!</v>
      </c>
      <c r="BF158" s="29" t="str">
        <f t="shared" si="161"/>
        <v>#DIV/0!</v>
      </c>
      <c r="BG158" s="29" t="str">
        <f t="shared" si="161"/>
        <v>#DIV/0!</v>
      </c>
      <c r="BH158" s="29" t="str">
        <f t="shared" si="161"/>
        <v>#DIV/0!</v>
      </c>
      <c r="BI158" s="29" t="str">
        <f t="shared" si="161"/>
        <v>#DIV/0!</v>
      </c>
      <c r="BJ158" s="29" t="str">
        <f t="shared" si="161"/>
        <v>#DIV/0!</v>
      </c>
      <c r="BK158" s="29" t="str">
        <f t="shared" si="161"/>
        <v>#DIV/0!</v>
      </c>
      <c r="BL158" s="29" t="str">
        <f t="shared" si="161"/>
        <v>#DIV/0!</v>
      </c>
      <c r="BM158" s="29" t="str">
        <f t="shared" si="3"/>
        <v>#DIV/0!</v>
      </c>
    </row>
    <row r="159">
      <c r="A159" s="16" t="str">
        <f>IFERROR(__xludf.DUMMYFUNCTION("IFERROR(SPARKLINE(SORT(MAP(TRANSPOSE(AQ159:BL159), LAMBDA(val, IF(ISNUMBER(val), PERCENTRANK(AQ159:BL159, val)+0.01, 0))), SEQUENCE(COLUMNS(AQ159:BL159)), FALSE), {""charttype"",""column""; ""color"",""chartreuse""; ""ymin"", 0; ""ymax"", 1.01; ""highcolo"&amp;"r"", ""darkgreen""; ""lowcolor"", ""red""}), """")"),"")</f>
        <v/>
      </c>
      <c r="B159" s="17" t="str">
        <f t="shared" si="4"/>
        <v/>
      </c>
      <c r="C159" s="1" t="s">
        <v>799</v>
      </c>
      <c r="D159" s="30" t="str">
        <f>IFERROR(__xludf.DUMMYFUNCTION("IFERROR(GOOGLEFINANCE(C159, ""NAME""))"),"Vodafone Group PLC")</f>
        <v>Vodafone Group PLC</v>
      </c>
      <c r="E159" s="30" t="s">
        <v>52</v>
      </c>
      <c r="F159" s="33" t="str">
        <f>IFERROR(__xludf.DUMMYFUNCTION("( (GOOGLEFINANCE(C159, ""price"") - Q159) / Q159 ) / (R159 / 100)"),"Loading...")</f>
        <v>Loading...</v>
      </c>
      <c r="G159" s="20" t="str">
        <f>IFERROR(__xludf.DUMMYFUNCTION("AVERAGE(ARRAYFORMULA(100 * (QUERY(GOOGLEFINANCE(C159, ""high"", TODAY()-40, TODAY()), ""SELECT Col2 WHERE Col2 IS NOT NULL ORDER BY Col1 DESC LIMIT 20"", 0) / QUERY(GOOGLEFINANCE(C159, ""low"", TODAY()-40, TODAY()), ""SELECT Col2 WHERE Col2 IS NOT NULL OR"&amp;"DER BY Col1 DESC LIMIT 20"", 0) - 1)))"),"#N/A")</f>
        <v>#N/A</v>
      </c>
      <c r="H159" s="35" t="str">
        <f t="shared" si="6"/>
        <v>Liquid</v>
      </c>
      <c r="I159" s="36" t="str">
        <f t="shared" si="7"/>
        <v>RVol Required</v>
      </c>
      <c r="J159" s="37">
        <f>IFERROR(__xludf.DUMMYFUNCTION("IFERROR(
  IF(C159="""",, 
    IFERROR(
      GOOGLEFINANCE(C159, ""price"") * GOOGLEFINANCE(C159, ""volumeavg""), 
      GOOGLEFINANCE(C159, ""price"") * AVERAGE(QUERY(GOOGLEFINANCE(C159, ""volume"", TODAY()-40, TODAY()), ""SELECT Col2 WHERE Col2 IS NOT "&amp;"NULL ORDER BY Col1 DESC LIMIT 20"", 0))
    )
  ), 
"""")"),5.9258363489999995E7)</f>
        <v>59258363.49</v>
      </c>
      <c r="K159" s="21">
        <f>IFERROR(__xludf.DUMMYFUNCTION("IFERROR(GOOGLEFINANCE(C159, ""changepct"") / 100, """")"),0.016399999999999998)</f>
        <v>0.0164</v>
      </c>
      <c r="L159" s="21" t="str">
        <f>IFERROR(__xludf.DUMMYFUNCTION("IFERROR((GOOGLEFINANCE(C159, ""price"") / INDEX(GOOGLEFINANCE(C159, ""price"", TODAY()-7, TODAY()), 2, 2)) - 1, """")"),"")</f>
        <v/>
      </c>
      <c r="M159" s="21" t="str">
        <f>IFERROR(__xludf.DUMMYFUNCTION("IFERROR((GOOGLEFINANCE(C159, ""price"") / INDEX(GOOGLEFINANCE(C159, ""price"", EDATE(TODAY(), -1), TODAY()), 2, 2)) - 1, """")"),"")</f>
        <v/>
      </c>
      <c r="N159" s="21" t="str">
        <f>IFERROR(__xludf.DUMMYFUNCTION("IFERROR((GOOGLEFINANCE(C159, ""price"") / INDEX(GOOGLEFINANCE(C159, ""price"", EDATE(TODAY(), -3), TODAY()), 2, 2)) - 1, """")"),"")</f>
        <v/>
      </c>
      <c r="O159" s="21" t="str">
        <f>IFERROR(__xludf.DUMMYFUNCTION("IFERROR((GOOGLEFINANCE(C159, ""price"") / INDEX(GOOGLEFINANCE(C159, ""price"", EDATE(TODAY(), -6), TODAY()), 2, 2)) - 1, """")"),"")</f>
        <v/>
      </c>
      <c r="P159" s="21" t="str">
        <f>IFERROR(__xludf.DUMMYFUNCTION("IFERROR((GOOGLEFINANCE(C159, ""price"") / INDEX(GOOGLEFINANCE(C159, ""price"", EDATE(TODAY(), -12), TODAY()), 2, 2)) - 1, """")"),"")</f>
        <v/>
      </c>
      <c r="Q159" s="6" t="str">
        <f>IFERROR(__xludf.DUMMYFUNCTION("AVERAGE(QUERY(GOOGLEFINANCE(C159, ""price"", TODAY()-80, TODAY()), ""SELECT Col2 WHERE Col2 IS NOT NULL ORDER BY Col1 DESC LIMIT 50"", 0))"),"#N/A")</f>
        <v>#N/A</v>
      </c>
      <c r="R159" s="24" t="str">
        <f>IFERROR(__xludf.DUMMYFUNCTION("IFERROR(
  LET(
    data, QUERY(GOOGLEFINANCE(C159,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GOOGLEFINANCE(C159, ""price"")) * 100,
    IF(calc=0, G159, calc)
  ), 
G159)"),"#N/A")</f>
        <v>#N/A</v>
      </c>
      <c r="S159" s="8" t="s">
        <v>15</v>
      </c>
      <c r="T159" s="26" t="str">
        <f>IFERROR(__xludf.DUMMYFUNCTION("IFERROR(TRANSPOSE(QUERY(IFERROR(SORT(GOOGLEFINANCE(C159, ""price"", WORKDAY(TODAY(), -40), TODAY()), 1, FALSE)), ""select Col2 where Col2 is not null limit 22 label Col2 ''"", 0)), """")"),"")</f>
        <v/>
      </c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8"/>
      <c r="AO159" s="28"/>
      <c r="AP159" s="29"/>
      <c r="AQ159" s="29" t="str">
        <f t="shared" ref="AQ159:BL159" si="162">T159/T$2</f>
        <v>#N/A</v>
      </c>
      <c r="AR159" s="29" t="str">
        <f t="shared" si="162"/>
        <v>#DIV/0!</v>
      </c>
      <c r="AS159" s="29" t="str">
        <f t="shared" si="162"/>
        <v>#DIV/0!</v>
      </c>
      <c r="AT159" s="29" t="str">
        <f t="shared" si="162"/>
        <v>#DIV/0!</v>
      </c>
      <c r="AU159" s="29" t="str">
        <f t="shared" si="162"/>
        <v>#DIV/0!</v>
      </c>
      <c r="AV159" s="29" t="str">
        <f t="shared" si="162"/>
        <v>#DIV/0!</v>
      </c>
      <c r="AW159" s="29" t="str">
        <f t="shared" si="162"/>
        <v>#DIV/0!</v>
      </c>
      <c r="AX159" s="29" t="str">
        <f t="shared" si="162"/>
        <v>#DIV/0!</v>
      </c>
      <c r="AY159" s="29" t="str">
        <f t="shared" si="162"/>
        <v>#DIV/0!</v>
      </c>
      <c r="AZ159" s="29" t="str">
        <f t="shared" si="162"/>
        <v>#DIV/0!</v>
      </c>
      <c r="BA159" s="29" t="str">
        <f t="shared" si="162"/>
        <v>#DIV/0!</v>
      </c>
      <c r="BB159" s="29" t="str">
        <f t="shared" si="162"/>
        <v>#DIV/0!</v>
      </c>
      <c r="BC159" s="29" t="str">
        <f t="shared" si="162"/>
        <v>#DIV/0!</v>
      </c>
      <c r="BD159" s="29" t="str">
        <f t="shared" si="162"/>
        <v>#DIV/0!</v>
      </c>
      <c r="BE159" s="29" t="str">
        <f t="shared" si="162"/>
        <v>#DIV/0!</v>
      </c>
      <c r="BF159" s="29" t="str">
        <f t="shared" si="162"/>
        <v>#DIV/0!</v>
      </c>
      <c r="BG159" s="29" t="str">
        <f t="shared" si="162"/>
        <v>#DIV/0!</v>
      </c>
      <c r="BH159" s="29" t="str">
        <f t="shared" si="162"/>
        <v>#DIV/0!</v>
      </c>
      <c r="BI159" s="29" t="str">
        <f t="shared" si="162"/>
        <v>#DIV/0!</v>
      </c>
      <c r="BJ159" s="29" t="str">
        <f t="shared" si="162"/>
        <v>#DIV/0!</v>
      </c>
      <c r="BK159" s="29" t="str">
        <f t="shared" si="162"/>
        <v>#DIV/0!</v>
      </c>
      <c r="BL159" s="29" t="str">
        <f t="shared" si="162"/>
        <v>#DIV/0!</v>
      </c>
      <c r="BM159" s="29" t="str">
        <f t="shared" si="3"/>
        <v>#DIV/0!</v>
      </c>
    </row>
    <row r="160">
      <c r="A160" s="16" t="str">
        <f>IFERROR(__xludf.DUMMYFUNCTION("IFERROR(SPARKLINE(SORT(MAP(TRANSPOSE(AQ160:BL160), LAMBDA(val, IF(ISNUMBER(val), PERCENTRANK(AQ160:BL160, val)+0.01, 0))), SEQUENCE(COLUMNS(AQ160:BL160)), FALSE), {""charttype"",""column""; ""color"",""chartreuse""; ""ymin"", 0; ""ymax"", 1.01; ""highcolo"&amp;"r"", ""darkgreen""; ""lowcolor"", ""red""}), """")"),"")</f>
        <v/>
      </c>
      <c r="B160" s="17" t="str">
        <f t="shared" si="4"/>
        <v/>
      </c>
      <c r="C160" s="1" t="s">
        <v>803</v>
      </c>
      <c r="D160" s="30" t="str">
        <f>IFERROR(__xludf.DUMMYFUNCTION("IFERROR(GOOGLEFINANCE(C160, ""NAME""))"),"AMC NETWORKS INC Common Stock")</f>
        <v>AMC NETWORKS INC Common Stock</v>
      </c>
      <c r="E160" s="30" t="s">
        <v>62</v>
      </c>
      <c r="F160" s="33" t="str">
        <f>IFERROR(__xludf.DUMMYFUNCTION("( (GOOGLEFINANCE(C160, ""price"") - Q160) / Q160 ) / (R160 / 100)"),"Loading...")</f>
        <v>Loading...</v>
      </c>
      <c r="G160" s="20" t="str">
        <f>IFERROR(__xludf.DUMMYFUNCTION("AVERAGE(ARRAYFORMULA(100 * (QUERY(GOOGLEFINANCE(C160, ""high"", TODAY()-40, TODAY()), ""SELECT Col2 WHERE Col2 IS NOT NULL ORDER BY Col1 DESC LIMIT 20"", 0) / QUERY(GOOGLEFINANCE(C160, ""low"", TODAY()-40, TODAY()), ""SELECT Col2 WHERE Col2 IS NOT NULL OR"&amp;"DER BY Col1 DESC LIMIT 20"", 0) - 1)))"),"#N/A")</f>
        <v>#N/A</v>
      </c>
      <c r="H160" s="35" t="str">
        <f t="shared" si="6"/>
        <v>Illiquid</v>
      </c>
      <c r="I160" s="36" t="str">
        <f t="shared" si="7"/>
        <v>RVol Required</v>
      </c>
      <c r="J160" s="37">
        <f>IFERROR(__xludf.DUMMYFUNCTION("IFERROR(
  IF(C160="""",, 
    IFERROR(
      GOOGLEFINANCE(C160, ""price"") * GOOGLEFINANCE(C160, ""volumeavg""), 
      GOOGLEFINANCE(C160, ""price"") * AVERAGE(QUERY(GOOGLEFINANCE(C160, ""volume"", TODAY()-40, TODAY()), ""SELECT Col2 WHERE Col2 IS NOT "&amp;"NULL ORDER BY Col1 DESC LIMIT 20"", 0))
    )
  ), 
"""")"),6349494.9)</f>
        <v>6349494.9</v>
      </c>
      <c r="K160" s="21">
        <f>IFERROR(__xludf.DUMMYFUNCTION("IFERROR(GOOGLEFINANCE(C160, ""changepct"") / 100, """")"),-0.061900000000000004)</f>
        <v>-0.0619</v>
      </c>
      <c r="L160" s="21" t="str">
        <f>IFERROR(__xludf.DUMMYFUNCTION("IFERROR((GOOGLEFINANCE(C160, ""price"") / INDEX(GOOGLEFINANCE(C160, ""price"", TODAY()-7, TODAY()), 2, 2)) - 1, """")"),"")</f>
        <v/>
      </c>
      <c r="M160" s="21" t="str">
        <f>IFERROR(__xludf.DUMMYFUNCTION("IFERROR((GOOGLEFINANCE(C160, ""price"") / INDEX(GOOGLEFINANCE(C160, ""price"", EDATE(TODAY(), -1), TODAY()), 2, 2)) - 1, """")"),"")</f>
        <v/>
      </c>
      <c r="N160" s="21" t="str">
        <f>IFERROR(__xludf.DUMMYFUNCTION("IFERROR((GOOGLEFINANCE(C160, ""price"") / INDEX(GOOGLEFINANCE(C160, ""price"", EDATE(TODAY(), -3), TODAY()), 2, 2)) - 1, """")"),"")</f>
        <v/>
      </c>
      <c r="O160" s="21" t="str">
        <f>IFERROR(__xludf.DUMMYFUNCTION("IFERROR((GOOGLEFINANCE(C160, ""price"") / INDEX(GOOGLEFINANCE(C160, ""price"", EDATE(TODAY(), -6), TODAY()), 2, 2)) - 1, """")"),"")</f>
        <v/>
      </c>
      <c r="P160" s="21" t="str">
        <f>IFERROR(__xludf.DUMMYFUNCTION("IFERROR((GOOGLEFINANCE(C160, ""price"") / INDEX(GOOGLEFINANCE(C160, ""price"", EDATE(TODAY(), -12), TODAY()), 2, 2)) - 1, """")"),"")</f>
        <v/>
      </c>
      <c r="Q160" s="6" t="str">
        <f>IFERROR(__xludf.DUMMYFUNCTION("AVERAGE(QUERY(GOOGLEFINANCE(C160, ""price"", TODAY()-80, TODAY()), ""SELECT Col2 WHERE Col2 IS NOT NULL ORDER BY Col1 DESC LIMIT 50"", 0))"),"#N/A")</f>
        <v>#N/A</v>
      </c>
      <c r="R160" s="24" t="str">
        <f>IFERROR(__xludf.DUMMYFUNCTION("IFERROR(
  LET(
    data, QUERY(GOOGLEFINANCE(C160,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GOOGLEFINANCE(C160, ""price"")) * 100,
    IF(calc=0, G160, calc)
  ), 
G160)"),"#N/A")</f>
        <v>#N/A</v>
      </c>
      <c r="S160" s="8" t="s">
        <v>15</v>
      </c>
      <c r="T160" s="26" t="str">
        <f>IFERROR(__xludf.DUMMYFUNCTION("IFERROR(TRANSPOSE(QUERY(IFERROR(SORT(GOOGLEFINANCE(C160, ""price"", WORKDAY(TODAY(), -40), TODAY()), 1, FALSE)), ""select Col2 where Col2 is not null limit 22 label Col2 ''"", 0)), """")"),"")</f>
        <v/>
      </c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8"/>
      <c r="AO160" s="28"/>
      <c r="AP160" s="29"/>
      <c r="AQ160" s="29" t="str">
        <f t="shared" ref="AQ160:BL160" si="163">T160/T$2</f>
        <v>#N/A</v>
      </c>
      <c r="AR160" s="29" t="str">
        <f t="shared" si="163"/>
        <v>#DIV/0!</v>
      </c>
      <c r="AS160" s="29" t="str">
        <f t="shared" si="163"/>
        <v>#DIV/0!</v>
      </c>
      <c r="AT160" s="29" t="str">
        <f t="shared" si="163"/>
        <v>#DIV/0!</v>
      </c>
      <c r="AU160" s="29" t="str">
        <f t="shared" si="163"/>
        <v>#DIV/0!</v>
      </c>
      <c r="AV160" s="29" t="str">
        <f t="shared" si="163"/>
        <v>#DIV/0!</v>
      </c>
      <c r="AW160" s="29" t="str">
        <f t="shared" si="163"/>
        <v>#DIV/0!</v>
      </c>
      <c r="AX160" s="29" t="str">
        <f t="shared" si="163"/>
        <v>#DIV/0!</v>
      </c>
      <c r="AY160" s="29" t="str">
        <f t="shared" si="163"/>
        <v>#DIV/0!</v>
      </c>
      <c r="AZ160" s="29" t="str">
        <f t="shared" si="163"/>
        <v>#DIV/0!</v>
      </c>
      <c r="BA160" s="29" t="str">
        <f t="shared" si="163"/>
        <v>#DIV/0!</v>
      </c>
      <c r="BB160" s="29" t="str">
        <f t="shared" si="163"/>
        <v>#DIV/0!</v>
      </c>
      <c r="BC160" s="29" t="str">
        <f t="shared" si="163"/>
        <v>#DIV/0!</v>
      </c>
      <c r="BD160" s="29" t="str">
        <f t="shared" si="163"/>
        <v>#DIV/0!</v>
      </c>
      <c r="BE160" s="29" t="str">
        <f t="shared" si="163"/>
        <v>#DIV/0!</v>
      </c>
      <c r="BF160" s="29" t="str">
        <f t="shared" si="163"/>
        <v>#DIV/0!</v>
      </c>
      <c r="BG160" s="29" t="str">
        <f t="shared" si="163"/>
        <v>#DIV/0!</v>
      </c>
      <c r="BH160" s="29" t="str">
        <f t="shared" si="163"/>
        <v>#DIV/0!</v>
      </c>
      <c r="BI160" s="29" t="str">
        <f t="shared" si="163"/>
        <v>#DIV/0!</v>
      </c>
      <c r="BJ160" s="29" t="str">
        <f t="shared" si="163"/>
        <v>#DIV/0!</v>
      </c>
      <c r="BK160" s="29" t="str">
        <f t="shared" si="163"/>
        <v>#DIV/0!</v>
      </c>
      <c r="BL160" s="29" t="str">
        <f t="shared" si="163"/>
        <v>#DIV/0!</v>
      </c>
      <c r="BM160" s="29" t="str">
        <f t="shared" si="3"/>
        <v>#DIV/0!</v>
      </c>
    </row>
    <row r="161">
      <c r="A161" s="16" t="str">
        <f>IFERROR(__xludf.DUMMYFUNCTION("IFERROR(SPARKLINE(SORT(MAP(TRANSPOSE(AQ161:BL161), LAMBDA(val, IF(ISNUMBER(val), PERCENTRANK(AQ161:BL161, val)+0.01, 0))), SEQUENCE(COLUMNS(AQ161:BL161)), FALSE), {""charttype"",""column""; ""color"",""chartreuse""; ""ymin"", 0; ""ymax"", 1.01; ""highcolo"&amp;"r"", ""darkgreen""; ""lowcolor"", ""red""}), """")"),"")</f>
        <v/>
      </c>
      <c r="B161" s="17" t="str">
        <f t="shared" si="4"/>
        <v/>
      </c>
      <c r="C161" s="1" t="s">
        <v>807</v>
      </c>
      <c r="D161" s="30" t="str">
        <f>IFERROR(__xludf.DUMMYFUNCTION("IFERROR(GOOGLEFINANCE(C161, ""NAME""))"),"Turkcell Iletisim Hizmetleri AS")</f>
        <v>Turkcell Iletisim Hizmetleri AS</v>
      </c>
      <c r="E161" s="30" t="s">
        <v>52</v>
      </c>
      <c r="F161" s="33" t="str">
        <f>IFERROR(__xludf.DUMMYFUNCTION("( (GOOGLEFINANCE(C161, ""price"") - Q161) / Q161 ) / (R161 / 100)"),"Loading...")</f>
        <v>Loading...</v>
      </c>
      <c r="G161" s="20" t="str">
        <f>IFERROR(__xludf.DUMMYFUNCTION("AVERAGE(ARRAYFORMULA(100 * (QUERY(GOOGLEFINANCE(C161, ""high"", TODAY()-40, TODAY()), ""SELECT Col2 WHERE Col2 IS NOT NULL ORDER BY Col1 DESC LIMIT 20"", 0) / QUERY(GOOGLEFINANCE(C161, ""low"", TODAY()-40, TODAY()), ""SELECT Col2 WHERE Col2 IS NOT NULL OR"&amp;"DER BY Col1 DESC LIMIT 20"", 0) - 1)))"),"#N/A")</f>
        <v>#N/A</v>
      </c>
      <c r="H161" s="35" t="str">
        <f t="shared" si="6"/>
        <v>Illiquid</v>
      </c>
      <c r="I161" s="36" t="str">
        <f t="shared" si="7"/>
        <v>RVol Required</v>
      </c>
      <c r="J161" s="37">
        <f>IFERROR(__xludf.DUMMYFUNCTION("IFERROR(
  IF(C161="""",, 
    IFERROR(
      GOOGLEFINANCE(C161, ""price"") * GOOGLEFINANCE(C161, ""volumeavg""), 
      GOOGLEFINANCE(C161, ""price"") * AVERAGE(QUERY(GOOGLEFINANCE(C161, ""volume"", TODAY()-40, TODAY()), ""SELECT Col2 WHERE Col2 IS NOT "&amp;"NULL ORDER BY Col1 DESC LIMIT 20"", 0))
    )
  ), 
"""")"),1.053991109E7)</f>
        <v>10539911.09</v>
      </c>
      <c r="K161" s="21">
        <f>IFERROR(__xludf.DUMMYFUNCTION("IFERROR(GOOGLEFINANCE(C161, ""changepct"") / 100, """")"),-0.01)</f>
        <v>-0.01</v>
      </c>
      <c r="L161" s="21" t="str">
        <f>IFERROR(__xludf.DUMMYFUNCTION("IFERROR((GOOGLEFINANCE(C161, ""price"") / INDEX(GOOGLEFINANCE(C161, ""price"", TODAY()-7, TODAY()), 2, 2)) - 1, """")"),"")</f>
        <v/>
      </c>
      <c r="M161" s="21" t="str">
        <f>IFERROR(__xludf.DUMMYFUNCTION("IFERROR((GOOGLEFINANCE(C161, ""price"") / INDEX(GOOGLEFINANCE(C161, ""price"", EDATE(TODAY(), -1), TODAY()), 2, 2)) - 1, """")"),"")</f>
        <v/>
      </c>
      <c r="N161" s="21" t="str">
        <f>IFERROR(__xludf.DUMMYFUNCTION("IFERROR((GOOGLEFINANCE(C161, ""price"") / INDEX(GOOGLEFINANCE(C161, ""price"", EDATE(TODAY(), -3), TODAY()), 2, 2)) - 1, """")"),"")</f>
        <v/>
      </c>
      <c r="O161" s="21" t="str">
        <f>IFERROR(__xludf.DUMMYFUNCTION("IFERROR((GOOGLEFINANCE(C161, ""price"") / INDEX(GOOGLEFINANCE(C161, ""price"", EDATE(TODAY(), -6), TODAY()), 2, 2)) - 1, """")"),"")</f>
        <v/>
      </c>
      <c r="P161" s="21" t="str">
        <f>IFERROR(__xludf.DUMMYFUNCTION("IFERROR((GOOGLEFINANCE(C161, ""price"") / INDEX(GOOGLEFINANCE(C161, ""price"", EDATE(TODAY(), -12), TODAY()), 2, 2)) - 1, """")"),"")</f>
        <v/>
      </c>
      <c r="Q161" s="6" t="str">
        <f>IFERROR(__xludf.DUMMYFUNCTION("AVERAGE(QUERY(GOOGLEFINANCE(C161, ""price"", TODAY()-80, TODAY()), ""SELECT Col2 WHERE Col2 IS NOT NULL ORDER BY Col1 DESC LIMIT 50"", 0))"),"#N/A")</f>
        <v>#N/A</v>
      </c>
      <c r="R161" s="24" t="str">
        <f>IFERROR(__xludf.DUMMYFUNCTION("IFERROR(
  LET(
    data, QUERY(GOOGLEFINANCE(C161,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GOOGLEFINANCE(C161, ""price"")) * 100,
    IF(calc=0, G161, calc)
  ), 
G161)"),"#N/A")</f>
        <v>#N/A</v>
      </c>
      <c r="S161" s="8" t="s">
        <v>15</v>
      </c>
      <c r="T161" s="26" t="str">
        <f>IFERROR(__xludf.DUMMYFUNCTION("IFERROR(TRANSPOSE(QUERY(IFERROR(SORT(GOOGLEFINANCE(C161, ""price"", WORKDAY(TODAY(), -40), TODAY()), 1, FALSE)), ""select Col2 where Col2 is not null limit 22 label Col2 ''"", 0)), """")"),"")</f>
        <v/>
      </c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8"/>
      <c r="AO161" s="28"/>
      <c r="AP161" s="29"/>
      <c r="AQ161" s="29" t="str">
        <f t="shared" ref="AQ161:BL161" si="164">T161/T$2</f>
        <v>#N/A</v>
      </c>
      <c r="AR161" s="29" t="str">
        <f t="shared" si="164"/>
        <v>#DIV/0!</v>
      </c>
      <c r="AS161" s="29" t="str">
        <f t="shared" si="164"/>
        <v>#DIV/0!</v>
      </c>
      <c r="AT161" s="29" t="str">
        <f t="shared" si="164"/>
        <v>#DIV/0!</v>
      </c>
      <c r="AU161" s="29" t="str">
        <f t="shared" si="164"/>
        <v>#DIV/0!</v>
      </c>
      <c r="AV161" s="29" t="str">
        <f t="shared" si="164"/>
        <v>#DIV/0!</v>
      </c>
      <c r="AW161" s="29" t="str">
        <f t="shared" si="164"/>
        <v>#DIV/0!</v>
      </c>
      <c r="AX161" s="29" t="str">
        <f t="shared" si="164"/>
        <v>#DIV/0!</v>
      </c>
      <c r="AY161" s="29" t="str">
        <f t="shared" si="164"/>
        <v>#DIV/0!</v>
      </c>
      <c r="AZ161" s="29" t="str">
        <f t="shared" si="164"/>
        <v>#DIV/0!</v>
      </c>
      <c r="BA161" s="29" t="str">
        <f t="shared" si="164"/>
        <v>#DIV/0!</v>
      </c>
      <c r="BB161" s="29" t="str">
        <f t="shared" si="164"/>
        <v>#DIV/0!</v>
      </c>
      <c r="BC161" s="29" t="str">
        <f t="shared" si="164"/>
        <v>#DIV/0!</v>
      </c>
      <c r="BD161" s="29" t="str">
        <f t="shared" si="164"/>
        <v>#DIV/0!</v>
      </c>
      <c r="BE161" s="29" t="str">
        <f t="shared" si="164"/>
        <v>#DIV/0!</v>
      </c>
      <c r="BF161" s="29" t="str">
        <f t="shared" si="164"/>
        <v>#DIV/0!</v>
      </c>
      <c r="BG161" s="29" t="str">
        <f t="shared" si="164"/>
        <v>#DIV/0!</v>
      </c>
      <c r="BH161" s="29" t="str">
        <f t="shared" si="164"/>
        <v>#DIV/0!</v>
      </c>
      <c r="BI161" s="29" t="str">
        <f t="shared" si="164"/>
        <v>#DIV/0!</v>
      </c>
      <c r="BJ161" s="29" t="str">
        <f t="shared" si="164"/>
        <v>#DIV/0!</v>
      </c>
      <c r="BK161" s="29" t="str">
        <f t="shared" si="164"/>
        <v>#DIV/0!</v>
      </c>
      <c r="BL161" s="29" t="str">
        <f t="shared" si="164"/>
        <v>#DIV/0!</v>
      </c>
      <c r="BM161" s="29" t="str">
        <f t="shared" si="3"/>
        <v>#DIV/0!</v>
      </c>
    </row>
    <row r="162">
      <c r="A162" s="16" t="str">
        <f>IFERROR(__xludf.DUMMYFUNCTION("IFERROR(SPARKLINE(SORT(MAP(TRANSPOSE(AQ162:BL162), LAMBDA(val, IF(ISNUMBER(val), PERCENTRANK(AQ162:BL162, val)+0.01, 0))), SEQUENCE(COLUMNS(AQ162:BL162)), FALSE), {""charttype"",""column""; ""color"",""chartreuse""; ""ymin"", 0; ""ymax"", 1.01; ""highcolo"&amp;"r"", ""darkgreen""; ""lowcolor"", ""red""}), """")"),"")</f>
        <v/>
      </c>
      <c r="B162" s="17" t="str">
        <f t="shared" si="4"/>
        <v/>
      </c>
      <c r="C162" s="1" t="s">
        <v>811</v>
      </c>
      <c r="D162" s="30" t="str">
        <f>IFERROR(__xludf.DUMMYFUNCTION("IFERROR(GOOGLEFINANCE(C162, ""NAME""))"),"Perion Network Ltd Common Stock")</f>
        <v>Perion Network Ltd Common Stock</v>
      </c>
      <c r="E162" s="30" t="s">
        <v>69</v>
      </c>
      <c r="F162" s="33" t="str">
        <f>IFERROR(__xludf.DUMMYFUNCTION("( (GOOGLEFINANCE(C162, ""price"") - Q162) / Q162 ) / (R162 / 100)"),"Loading...")</f>
        <v>Loading...</v>
      </c>
      <c r="G162" s="20" t="str">
        <f>IFERROR(__xludf.DUMMYFUNCTION("AVERAGE(ARRAYFORMULA(100 * (QUERY(GOOGLEFINANCE(C162, ""high"", TODAY()-40, TODAY()), ""SELECT Col2 WHERE Col2 IS NOT NULL ORDER BY Col1 DESC LIMIT 20"", 0) / QUERY(GOOGLEFINANCE(C162, ""low"", TODAY()-40, TODAY()), ""SELECT Col2 WHERE Col2 IS NOT NULL OR"&amp;"DER BY Col1 DESC LIMIT 20"", 0) - 1)))"),"#N/A")</f>
        <v>#N/A</v>
      </c>
      <c r="H162" s="35" t="str">
        <f t="shared" si="6"/>
        <v>Illiquid</v>
      </c>
      <c r="I162" s="36" t="str">
        <f t="shared" si="7"/>
        <v>RVol Required</v>
      </c>
      <c r="J162" s="37">
        <f>IFERROR(__xludf.DUMMYFUNCTION("IFERROR(
  IF(C162="""",, 
    IFERROR(
      GOOGLEFINANCE(C162, ""price"") * GOOGLEFINANCE(C162, ""volumeavg""), 
      GOOGLEFINANCE(C162, ""price"") * AVERAGE(QUERY(GOOGLEFINANCE(C162, ""volume"", TODAY()-40, TODAY()), ""SELECT Col2 WHERE Col2 IS NOT "&amp;"NULL ORDER BY Col1 DESC LIMIT 20"", 0))
    )
  ), 
"""")"),4096735.16)</f>
        <v>4096735.16</v>
      </c>
      <c r="K162" s="21">
        <f>IFERROR(__xludf.DUMMYFUNCTION("IFERROR(GOOGLEFINANCE(C162, ""changepct"") / 100, """")"),-0.039599999999999996)</f>
        <v>-0.0396</v>
      </c>
      <c r="L162" s="21" t="str">
        <f>IFERROR(__xludf.DUMMYFUNCTION("IFERROR((GOOGLEFINANCE(C162, ""price"") / INDEX(GOOGLEFINANCE(C162, ""price"", TODAY()-7, TODAY()), 2, 2)) - 1, """")"),"")</f>
        <v/>
      </c>
      <c r="M162" s="21" t="str">
        <f>IFERROR(__xludf.DUMMYFUNCTION("IFERROR((GOOGLEFINANCE(C162, ""price"") / INDEX(GOOGLEFINANCE(C162, ""price"", EDATE(TODAY(), -1), TODAY()), 2, 2)) - 1, """")"),"")</f>
        <v/>
      </c>
      <c r="N162" s="21" t="str">
        <f>IFERROR(__xludf.DUMMYFUNCTION("IFERROR((GOOGLEFINANCE(C162, ""price"") / INDEX(GOOGLEFINANCE(C162, ""price"", EDATE(TODAY(), -3), TODAY()), 2, 2)) - 1, """")"),"")</f>
        <v/>
      </c>
      <c r="O162" s="21" t="str">
        <f>IFERROR(__xludf.DUMMYFUNCTION("IFERROR((GOOGLEFINANCE(C162, ""price"") / INDEX(GOOGLEFINANCE(C162, ""price"", EDATE(TODAY(), -6), TODAY()), 2, 2)) - 1, """")"),"")</f>
        <v/>
      </c>
      <c r="P162" s="21" t="str">
        <f>IFERROR(__xludf.DUMMYFUNCTION("IFERROR((GOOGLEFINANCE(C162, ""price"") / INDEX(GOOGLEFINANCE(C162, ""price"", EDATE(TODAY(), -12), TODAY()), 2, 2)) - 1, """")"),"")</f>
        <v/>
      </c>
      <c r="Q162" s="6" t="str">
        <f>IFERROR(__xludf.DUMMYFUNCTION("AVERAGE(QUERY(GOOGLEFINANCE(C162, ""price"", TODAY()-80, TODAY()), ""SELECT Col2 WHERE Col2 IS NOT NULL ORDER BY Col1 DESC LIMIT 50"", 0))"),"#N/A")</f>
        <v>#N/A</v>
      </c>
      <c r="R162" s="24" t="str">
        <f>IFERROR(__xludf.DUMMYFUNCTION("IFERROR(
  LET(
    data, QUERY(GOOGLEFINANCE(C162,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GOOGLEFINANCE(C162, ""price"")) * 100,
    IF(calc=0, G162, calc)
  ), 
G162)"),"#N/A")</f>
        <v>#N/A</v>
      </c>
      <c r="S162" s="8" t="s">
        <v>15</v>
      </c>
      <c r="T162" s="26" t="str">
        <f>IFERROR(__xludf.DUMMYFUNCTION("IFERROR(TRANSPOSE(QUERY(IFERROR(SORT(GOOGLEFINANCE(C162, ""price"", WORKDAY(TODAY(), -40), TODAY()), 1, FALSE)), ""select Col2 where Col2 is not null limit 22 label Col2 ''"", 0)), """")"),"")</f>
        <v/>
      </c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8"/>
      <c r="AO162" s="28"/>
      <c r="AP162" s="29"/>
      <c r="AQ162" s="29" t="str">
        <f t="shared" ref="AQ162:BL162" si="165">T162/T$2</f>
        <v>#N/A</v>
      </c>
      <c r="AR162" s="29" t="str">
        <f t="shared" si="165"/>
        <v>#DIV/0!</v>
      </c>
      <c r="AS162" s="29" t="str">
        <f t="shared" si="165"/>
        <v>#DIV/0!</v>
      </c>
      <c r="AT162" s="29" t="str">
        <f t="shared" si="165"/>
        <v>#DIV/0!</v>
      </c>
      <c r="AU162" s="29" t="str">
        <f t="shared" si="165"/>
        <v>#DIV/0!</v>
      </c>
      <c r="AV162" s="29" t="str">
        <f t="shared" si="165"/>
        <v>#DIV/0!</v>
      </c>
      <c r="AW162" s="29" t="str">
        <f t="shared" si="165"/>
        <v>#DIV/0!</v>
      </c>
      <c r="AX162" s="29" t="str">
        <f t="shared" si="165"/>
        <v>#DIV/0!</v>
      </c>
      <c r="AY162" s="29" t="str">
        <f t="shared" si="165"/>
        <v>#DIV/0!</v>
      </c>
      <c r="AZ162" s="29" t="str">
        <f t="shared" si="165"/>
        <v>#DIV/0!</v>
      </c>
      <c r="BA162" s="29" t="str">
        <f t="shared" si="165"/>
        <v>#DIV/0!</v>
      </c>
      <c r="BB162" s="29" t="str">
        <f t="shared" si="165"/>
        <v>#DIV/0!</v>
      </c>
      <c r="BC162" s="29" t="str">
        <f t="shared" si="165"/>
        <v>#DIV/0!</v>
      </c>
      <c r="BD162" s="29" t="str">
        <f t="shared" si="165"/>
        <v>#DIV/0!</v>
      </c>
      <c r="BE162" s="29" t="str">
        <f t="shared" si="165"/>
        <v>#DIV/0!</v>
      </c>
      <c r="BF162" s="29" t="str">
        <f t="shared" si="165"/>
        <v>#DIV/0!</v>
      </c>
      <c r="BG162" s="29" t="str">
        <f t="shared" si="165"/>
        <v>#DIV/0!</v>
      </c>
      <c r="BH162" s="29" t="str">
        <f t="shared" si="165"/>
        <v>#DIV/0!</v>
      </c>
      <c r="BI162" s="29" t="str">
        <f t="shared" si="165"/>
        <v>#DIV/0!</v>
      </c>
      <c r="BJ162" s="29" t="str">
        <f t="shared" si="165"/>
        <v>#DIV/0!</v>
      </c>
      <c r="BK162" s="29" t="str">
        <f t="shared" si="165"/>
        <v>#DIV/0!</v>
      </c>
      <c r="BL162" s="29" t="str">
        <f t="shared" si="165"/>
        <v>#DIV/0!</v>
      </c>
      <c r="BM162" s="29" t="str">
        <f t="shared" si="3"/>
        <v>#DIV/0!</v>
      </c>
    </row>
  </sheetData>
  <mergeCells count="5">
    <mergeCell ref="E1:E3"/>
    <mergeCell ref="G1:G3"/>
    <mergeCell ref="H1:H3"/>
    <mergeCell ref="I1:I3"/>
    <mergeCell ref="J1:J3"/>
  </mergeCells>
  <conditionalFormatting sqref="H4:H162">
    <cfRule type="cellIs" dxfId="8" priority="1" operator="equal">
      <formula>"Liquid"</formula>
    </cfRule>
  </conditionalFormatting>
  <conditionalFormatting sqref="I4:I162">
    <cfRule type="containsText" dxfId="8" priority="2" operator="containsText" text="No">
      <formula>NOT(ISERROR(SEARCH(("No"),(I4))))</formula>
    </cfRule>
  </conditionalFormatting>
  <conditionalFormatting sqref="K1:P162">
    <cfRule type="cellIs" dxfId="0" priority="3" operator="lessThan">
      <formula>0</formula>
    </cfRule>
  </conditionalFormatting>
  <conditionalFormatting sqref="A1:BM162">
    <cfRule type="containsBlanks" dxfId="1" priority="4">
      <formula>LEN(TRIM(A1))=0</formula>
    </cfRule>
  </conditionalFormatting>
  <conditionalFormatting sqref="C1:C162">
    <cfRule type="expression" dxfId="2" priority="5">
      <formula>COUNTIF($C:$C, C1) &gt; 1</formula>
    </cfRule>
  </conditionalFormatting>
  <conditionalFormatting sqref="F1:F162">
    <cfRule type="cellIs" dxfId="3" priority="6" operator="greaterThanOrEqual">
      <formula>8</formula>
    </cfRule>
  </conditionalFormatting>
  <conditionalFormatting sqref="F1:F162">
    <cfRule type="cellIs" dxfId="4" priority="7" operator="greaterThanOrEqual">
      <formula>5</formula>
    </cfRule>
  </conditionalFormatting>
  <conditionalFormatting sqref="F1:F162">
    <cfRule type="cellIs" dxfId="5" priority="8" operator="between">
      <formula>5</formula>
      <formula>-1</formula>
    </cfRule>
  </conditionalFormatting>
  <conditionalFormatting sqref="F1:F162">
    <cfRule type="cellIs" dxfId="6" priority="9" operator="lessThan">
      <formula>-5</formula>
    </cfRule>
  </conditionalFormatting>
  <conditionalFormatting sqref="G1:H162">
    <cfRule type="cellIs" dxfId="7" priority="10" operator="greaterThanOrEqual">
      <formula>4</formula>
    </cfRule>
  </conditionalFormatting>
  <conditionalFormatting sqref="F1:F162">
    <cfRule type="cellIs" dxfId="9" priority="11" operator="lessThan">
      <formula>-1</formula>
    </cfRule>
  </conditionalFormatting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2.13"/>
    <col customWidth="1" min="2" max="2" width="9.13"/>
    <col customWidth="1" min="3" max="3" width="8.25"/>
    <col customWidth="1" min="4" max="4" width="38.13"/>
    <col customWidth="1" min="5" max="5" width="32.75"/>
    <col customWidth="1" min="6" max="6" width="11.25"/>
    <col customWidth="1" min="7" max="7" width="8.25"/>
    <col customWidth="1" min="8" max="8" width="6.75"/>
    <col customWidth="1" min="9" max="9" width="14.75"/>
    <col customWidth="1" min="10" max="10" width="13.63"/>
    <col customWidth="1" min="11" max="11" width="6.63"/>
    <col customWidth="1" min="12" max="12" width="7.13"/>
    <col customWidth="1" min="13" max="13" width="7.38"/>
    <col customWidth="1" min="14" max="14" width="7.63"/>
    <col customWidth="1" min="15" max="15" width="8.0"/>
    <col customWidth="1" min="16" max="16" width="8.75"/>
    <col customWidth="1" min="17" max="17" width="9.38"/>
    <col customWidth="1" min="18" max="18" width="8.63"/>
    <col customWidth="1" min="19" max="19" width="1.63"/>
    <col customWidth="1" min="20" max="20" width="9.25"/>
    <col customWidth="1" min="21" max="22" width="10.75"/>
    <col customWidth="1" min="23" max="23" width="10.88"/>
    <col customWidth="1" min="24" max="24" width="10.75"/>
    <col customWidth="1" min="25" max="25" width="10.88"/>
    <col customWidth="1" min="26" max="26" width="10.75"/>
    <col customWidth="1" min="27" max="28" width="10.88"/>
    <col customWidth="1" min="29" max="29" width="11.5"/>
    <col customWidth="1" min="30" max="30" width="11.0"/>
    <col customWidth="1" min="31" max="32" width="11.25"/>
    <col customWidth="1" min="33" max="33" width="11.5"/>
    <col customWidth="1" min="34" max="38" width="11.38"/>
    <col customWidth="1" min="39" max="39" width="11.75"/>
    <col customWidth="1" min="40" max="40" width="11.38"/>
    <col customWidth="1" min="41" max="41" width="11.63"/>
    <col customWidth="1" min="42" max="42" width="14.5"/>
    <col customWidth="1" min="43" max="64" width="5.5"/>
    <col customWidth="1" min="65" max="65" width="5.3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5" t="s">
        <v>5</v>
      </c>
      <c r="F1" s="3" t="s">
        <v>4</v>
      </c>
      <c r="G1" s="9" t="s">
        <v>6</v>
      </c>
      <c r="H1" s="5" t="s">
        <v>17</v>
      </c>
      <c r="I1" s="5" t="s">
        <v>19</v>
      </c>
      <c r="J1" s="5" t="s">
        <v>23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6" t="s">
        <v>13</v>
      </c>
      <c r="R1" s="7" t="s">
        <v>14</v>
      </c>
      <c r="S1" s="8" t="s">
        <v>15</v>
      </c>
      <c r="T1" s="10" t="s">
        <v>16</v>
      </c>
      <c r="U1" s="11" t="s">
        <v>18</v>
      </c>
      <c r="V1" s="12" t="s">
        <v>20</v>
      </c>
      <c r="W1" s="11" t="s">
        <v>21</v>
      </c>
      <c r="X1" s="12" t="s">
        <v>22</v>
      </c>
      <c r="Y1" s="11" t="s">
        <v>24</v>
      </c>
      <c r="Z1" s="11" t="s">
        <v>25</v>
      </c>
      <c r="AA1" s="12" t="s">
        <v>26</v>
      </c>
      <c r="AB1" s="11" t="s">
        <v>27</v>
      </c>
      <c r="AC1" s="12" t="s">
        <v>28</v>
      </c>
      <c r="AD1" s="11" t="s">
        <v>29</v>
      </c>
      <c r="AE1" s="11" t="s">
        <v>30</v>
      </c>
      <c r="AF1" s="12" t="s">
        <v>31</v>
      </c>
      <c r="AG1" s="11" t="s">
        <v>32</v>
      </c>
      <c r="AH1" s="12" t="s">
        <v>33</v>
      </c>
      <c r="AI1" s="11" t="s">
        <v>34</v>
      </c>
      <c r="AJ1" s="11" t="s">
        <v>35</v>
      </c>
      <c r="AK1" s="12" t="s">
        <v>36</v>
      </c>
      <c r="AL1" s="11" t="s">
        <v>37</v>
      </c>
      <c r="AM1" s="12" t="s">
        <v>38</v>
      </c>
      <c r="AN1" s="11" t="s">
        <v>39</v>
      </c>
      <c r="AO1" s="11" t="s">
        <v>40</v>
      </c>
      <c r="AP1" s="13"/>
      <c r="AQ1" s="14">
        <v>1.0</v>
      </c>
      <c r="AR1" s="14">
        <v>2.0</v>
      </c>
      <c r="AS1" s="14">
        <v>3.0</v>
      </c>
      <c r="AT1" s="14">
        <v>4.0</v>
      </c>
      <c r="AU1" s="14">
        <v>5.0</v>
      </c>
      <c r="AV1" s="14">
        <v>6.0</v>
      </c>
      <c r="AW1" s="14">
        <v>7.0</v>
      </c>
      <c r="AX1" s="14">
        <v>8.0</v>
      </c>
      <c r="AY1" s="14">
        <v>9.0</v>
      </c>
      <c r="AZ1" s="14">
        <v>10.0</v>
      </c>
      <c r="BA1" s="14">
        <v>11.0</v>
      </c>
      <c r="BB1" s="14">
        <v>12.0</v>
      </c>
      <c r="BC1" s="14">
        <v>13.0</v>
      </c>
      <c r="BD1" s="14">
        <v>14.0</v>
      </c>
      <c r="BE1" s="14">
        <v>15.0</v>
      </c>
      <c r="BF1" s="14">
        <v>16.0</v>
      </c>
      <c r="BG1" s="14">
        <v>17.0</v>
      </c>
      <c r="BH1" s="14">
        <v>18.0</v>
      </c>
      <c r="BI1" s="14">
        <v>19.0</v>
      </c>
      <c r="BJ1" s="14">
        <v>20.0</v>
      </c>
      <c r="BK1" s="14">
        <v>21.0</v>
      </c>
      <c r="BL1" s="14">
        <v>22.0</v>
      </c>
      <c r="BM1" s="14" t="s">
        <v>41</v>
      </c>
    </row>
    <row r="2">
      <c r="A2" s="16" t="str">
        <f>IFERROR(__xludf.DUMMYFUNCTION("SPARKLINE(SORT(MAP(TRANSPOSE(AQ2:BL2), LAMBDA(val, PERCENTRANK(AQ2:BL2, val)+0.01)), SEQUENCE(COLUMNS(AQ2:BL2)), FALSE), {""charttype"",""column""; ""color"",""chartreuse""; ""ymin"", 0; ""ymax"", 1.01; ""highcolor"", ""darkgreen""; ""lowcolor"", ""red""}"&amp;")"),"#N/A")</f>
        <v>#N/A</v>
      </c>
      <c r="B2" s="17">
        <f>IF(C2="SPY", 1, PERCENTRANK(AQ2:BL2, AQ2))</f>
        <v>1</v>
      </c>
      <c r="C2" s="1" t="s">
        <v>42</v>
      </c>
      <c r="D2" s="18" t="str">
        <f>IFERROR(__xludf.DUMMYFUNCTION("IFERROR(GOOGLEFINANCE(C2, ""NAME""))"),"State Street SPDR S&amp;P 500 ETF Trust")</f>
        <v>State Street SPDR S&amp;P 500 ETF Trust</v>
      </c>
      <c r="E2" s="22"/>
      <c r="F2" s="19" t="str">
        <f>IFERROR(__xludf.DUMMYFUNCTION("( (GOOGLEFINANCE(C2, ""price"") - Q2) / Q2 ) / (R2 / 100)"),"Loading...")</f>
        <v>Loading...</v>
      </c>
      <c r="G2" s="22"/>
      <c r="H2" s="22"/>
      <c r="I2" s="22"/>
      <c r="J2" s="22"/>
      <c r="K2" s="21" t="str">
        <f>IFERROR(__xludf.DUMMYFUNCTION("IFERROR(GOOGLEFINANCE(C2, ""changepct"") / 100, """")"),"")</f>
        <v/>
      </c>
      <c r="L2" s="21" t="str">
        <f>IFERROR(__xludf.DUMMYFUNCTION("IFERROR((GOOGLEFINANCE(C2, ""price"") / INDEX(GOOGLEFINANCE(C2, ""price"", TODAY()-7, TODAY()), 2, 2)) - 1, """")"),"")</f>
        <v/>
      </c>
      <c r="M2" s="21" t="str">
        <f>IFERROR(__xludf.DUMMYFUNCTION("IFERROR((GOOGLEFINANCE(C2, ""price"") / INDEX(GOOGLEFINANCE(C2, ""price"", EDATE(TODAY(), -1), TODAY()), 2, 2)) - 1, """")"),"")</f>
        <v/>
      </c>
      <c r="N2" s="21" t="str">
        <f>IFERROR(__xludf.DUMMYFUNCTION("IFERROR((GOOGLEFINANCE(C2, ""price"") / INDEX(GOOGLEFINANCE(C2, ""price"", EDATE(TODAY(), -3), TODAY()), 2, 2)) - 1, """")"),"")</f>
        <v/>
      </c>
      <c r="O2" s="21" t="str">
        <f>IFERROR(__xludf.DUMMYFUNCTION("IFERROR((GOOGLEFINANCE(C2, ""price"") / INDEX(GOOGLEFINANCE(C2, ""price"", EDATE(TODAY(), -6), TODAY()), 2, 2)) - 1, """")"),"")</f>
        <v/>
      </c>
      <c r="P2" s="21" t="str">
        <f>IFERROR(__xludf.DUMMYFUNCTION("IFERROR((GOOGLEFINANCE(C2, ""price"") / INDEX(GOOGLEFINANCE(C2, ""price"", EDATE(TODAY(), -12), TODAY()), 2, 2)) - 1, """")"),"")</f>
        <v/>
      </c>
      <c r="Q2" s="23" t="str">
        <f>IFERROR(__xludf.DUMMYFUNCTION("AVERAGE(QUERY(GOOGLEFINANCE(C2, ""price"", TODAY()-80, TODAY()), ""SELECT Col2 WHERE Col2 IS NOT NULL ORDER BY Col1 DESC LIMIT 50"", 0))"),"#N/A")</f>
        <v>#N/A</v>
      </c>
      <c r="R2" s="24" t="str">
        <f>IFERROR(__xludf.DUMMYFUNCTION("IFERROR(
  LET(
    data, QUERY(GOOGLEFINANCE(C2,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GOOGLEFINANCE(C2, ""price"")) * 100,
    IF(calc=0, G2, calc)
  ), 
G2)"),"")</f>
        <v/>
      </c>
      <c r="S2" s="8" t="s">
        <v>15</v>
      </c>
      <c r="T2" s="26" t="str">
        <f>IFERROR(__xludf.DUMMYFUNCTION("TRANSPOSE(QUERY(SORT(GOOGLEFINANCE(C2, ""price"", WORKDAY(TODAY(), -40), TODAY()), 1, FALSE), ""select Col2 where Col2 is not null limit 22 label Col2 ''"", 0))"),"#N/A")</f>
        <v>#N/A</v>
      </c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8"/>
      <c r="AO2" s="28"/>
      <c r="AP2" s="29"/>
      <c r="AQ2" s="29" t="str">
        <f t="shared" ref="AQ2:BL2" si="1">T2/T$2</f>
        <v>#N/A</v>
      </c>
      <c r="AR2" s="29" t="str">
        <f t="shared" si="1"/>
        <v>#DIV/0!</v>
      </c>
      <c r="AS2" s="29" t="str">
        <f t="shared" si="1"/>
        <v>#DIV/0!</v>
      </c>
      <c r="AT2" s="29" t="str">
        <f t="shared" si="1"/>
        <v>#DIV/0!</v>
      </c>
      <c r="AU2" s="29" t="str">
        <f t="shared" si="1"/>
        <v>#DIV/0!</v>
      </c>
      <c r="AV2" s="29" t="str">
        <f t="shared" si="1"/>
        <v>#DIV/0!</v>
      </c>
      <c r="AW2" s="29" t="str">
        <f t="shared" si="1"/>
        <v>#DIV/0!</v>
      </c>
      <c r="AX2" s="29" t="str">
        <f t="shared" si="1"/>
        <v>#DIV/0!</v>
      </c>
      <c r="AY2" s="29" t="str">
        <f t="shared" si="1"/>
        <v>#DIV/0!</v>
      </c>
      <c r="AZ2" s="29" t="str">
        <f t="shared" si="1"/>
        <v>#DIV/0!</v>
      </c>
      <c r="BA2" s="29" t="str">
        <f t="shared" si="1"/>
        <v>#DIV/0!</v>
      </c>
      <c r="BB2" s="29" t="str">
        <f t="shared" si="1"/>
        <v>#DIV/0!</v>
      </c>
      <c r="BC2" s="29" t="str">
        <f t="shared" si="1"/>
        <v>#DIV/0!</v>
      </c>
      <c r="BD2" s="29" t="str">
        <f t="shared" si="1"/>
        <v>#DIV/0!</v>
      </c>
      <c r="BE2" s="29" t="str">
        <f t="shared" si="1"/>
        <v>#DIV/0!</v>
      </c>
      <c r="BF2" s="29" t="str">
        <f t="shared" si="1"/>
        <v>#DIV/0!</v>
      </c>
      <c r="BG2" s="29" t="str">
        <f t="shared" si="1"/>
        <v>#DIV/0!</v>
      </c>
      <c r="BH2" s="29" t="str">
        <f t="shared" si="1"/>
        <v>#DIV/0!</v>
      </c>
      <c r="BI2" s="29" t="str">
        <f t="shared" si="1"/>
        <v>#DIV/0!</v>
      </c>
      <c r="BJ2" s="29" t="str">
        <f t="shared" si="1"/>
        <v>#DIV/0!</v>
      </c>
      <c r="BK2" s="29" t="str">
        <f t="shared" si="1"/>
        <v>#DIV/0!</v>
      </c>
      <c r="BL2" s="29" t="str">
        <f t="shared" si="1"/>
        <v>#DIV/0!</v>
      </c>
      <c r="BM2" s="29" t="str">
        <f t="shared" ref="BM2:BM357" si="3">(T2/AO2)/(T$2/AO$2)</f>
        <v>#N/A</v>
      </c>
    </row>
    <row r="3">
      <c r="A3" s="16" t="str">
        <f>IFERROR(__xludf.DUMMYFUNCTION("IFERROR(SPARKLINE(SORT(MAP(TRANSPOSE(AQ3:BL3), LAMBDA(val, IF(ISNUMBER(val), PERCENTRANK(AQ3:BL3, val)+0.01, 0))), SEQUENCE(COLUMNS(AQ3:BL3)), FALSE), {""charttype"",""column""; ""color"",""chartreuse""; ""ymin"", 0; ""ymax"", 1.01; ""highcolor"", ""darkg"&amp;"reen""; ""lowcolor"", ""red""}), """")"),"")</f>
        <v/>
      </c>
      <c r="B3" s="17" t="str">
        <f t="shared" ref="B3:B357" si="4">IFERROR(IF(C3="SPY", 1, IF(ISNUMBER(AQ3), PERCENTRANK(AQ3:BL3, AQ3), "")), "")</f>
        <v/>
      </c>
      <c r="C3" s="1" t="s">
        <v>91</v>
      </c>
      <c r="D3" s="30" t="str">
        <f>IFERROR(__xludf.DUMMYFUNCTION("IFERROR(GOOGLEFINANCE(C3, ""NAME""))"),"State Street Consumer Disc Sel Sect SPDR ETF")</f>
        <v>State Street Consumer Disc Sel Sect SPDR ETF</v>
      </c>
      <c r="E3" s="31"/>
      <c r="F3" s="33" t="str">
        <f>IFERROR(__xludf.DUMMYFUNCTION("( (GOOGLEFINANCE(C3, ""price"") - Q3) / Q3 ) / (R3 / 100)"),"Loading...")</f>
        <v>Loading...</v>
      </c>
      <c r="G3" s="31"/>
      <c r="H3" s="31"/>
      <c r="I3" s="31"/>
      <c r="J3" s="31"/>
      <c r="K3" s="21" t="str">
        <f>IFERROR(__xludf.DUMMYFUNCTION("IFERROR(GOOGLEFINANCE(C3, ""changepct"") / 100, """")"),"")</f>
        <v/>
      </c>
      <c r="L3" s="21" t="str">
        <f>IFERROR(__xludf.DUMMYFUNCTION("IFERROR((GOOGLEFINANCE(C3, ""price"") / INDEX(GOOGLEFINANCE(C3, ""price"", TODAY()-7, TODAY()), 2, 2)) - 1, """")"),"")</f>
        <v/>
      </c>
      <c r="M3" s="21" t="str">
        <f>IFERROR(__xludf.DUMMYFUNCTION("IFERROR((GOOGLEFINANCE(C3, ""price"") / INDEX(GOOGLEFINANCE(C3, ""price"", EDATE(TODAY(), -1), TODAY()), 2, 2)) - 1, """")"),"")</f>
        <v/>
      </c>
      <c r="N3" s="21" t="str">
        <f>IFERROR(__xludf.DUMMYFUNCTION("IFERROR((GOOGLEFINANCE(C3, ""price"") / INDEX(GOOGLEFINANCE(C3, ""price"", EDATE(TODAY(), -3), TODAY()), 2, 2)) - 1, """")"),"")</f>
        <v/>
      </c>
      <c r="O3" s="21" t="str">
        <f>IFERROR(__xludf.DUMMYFUNCTION("IFERROR((GOOGLEFINANCE(C3, ""price"") / INDEX(GOOGLEFINANCE(C3, ""price"", EDATE(TODAY(), -6), TODAY()), 2, 2)) - 1, """")"),"")</f>
        <v/>
      </c>
      <c r="P3" s="21" t="str">
        <f>IFERROR(__xludf.DUMMYFUNCTION("IFERROR((GOOGLEFINANCE(C3, ""price"") / INDEX(GOOGLEFINANCE(C3, ""price"", EDATE(TODAY(), -12), TODAY()), 2, 2)) - 1, """")"),"")</f>
        <v/>
      </c>
      <c r="Q3" s="6" t="str">
        <f>IFERROR(__xludf.DUMMYFUNCTION("AVERAGE(QUERY(GOOGLEFINANCE(C3, ""price"", TODAY()-80, TODAY()), ""SELECT Col2 WHERE Col2 IS NOT NULL ORDER BY Col1 DESC LIMIT 50"", 0))"),"#N/A")</f>
        <v>#N/A</v>
      </c>
      <c r="R3" s="24" t="str">
        <f>IFERROR(__xludf.DUMMYFUNCTION("IFERROR(
  LET(
    data, QUERY(GOOGLEFINANCE(C3,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GOOGLEFINANCE(C3, ""price"")) * 100,
    IF(calc=0, G3, calc)
  ), 
G3)"),"")</f>
        <v/>
      </c>
      <c r="S3" s="8" t="s">
        <v>15</v>
      </c>
      <c r="T3" s="26" t="str">
        <f>IFERROR(__xludf.DUMMYFUNCTION("IFERROR(TRANSPOSE(QUERY(IFERROR(SORT(GOOGLEFINANCE(C3, ""price"", WORKDAY(TODAY(), -40), TODAY()), 1, FALSE)), ""select Col2 where Col2 is not null limit 22 label Col2 ''"", 0)), """")"),"")</f>
        <v/>
      </c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8"/>
      <c r="AO3" s="28"/>
      <c r="AP3" s="29"/>
      <c r="AQ3" s="29" t="str">
        <f t="shared" ref="AQ3:BL3" si="2">T3/T$2</f>
        <v>#N/A</v>
      </c>
      <c r="AR3" s="29" t="str">
        <f t="shared" si="2"/>
        <v>#DIV/0!</v>
      </c>
      <c r="AS3" s="29" t="str">
        <f t="shared" si="2"/>
        <v>#DIV/0!</v>
      </c>
      <c r="AT3" s="29" t="str">
        <f t="shared" si="2"/>
        <v>#DIV/0!</v>
      </c>
      <c r="AU3" s="29" t="str">
        <f t="shared" si="2"/>
        <v>#DIV/0!</v>
      </c>
      <c r="AV3" s="29" t="str">
        <f t="shared" si="2"/>
        <v>#DIV/0!</v>
      </c>
      <c r="AW3" s="29" t="str">
        <f t="shared" si="2"/>
        <v>#DIV/0!</v>
      </c>
      <c r="AX3" s="29" t="str">
        <f t="shared" si="2"/>
        <v>#DIV/0!</v>
      </c>
      <c r="AY3" s="29" t="str">
        <f t="shared" si="2"/>
        <v>#DIV/0!</v>
      </c>
      <c r="AZ3" s="29" t="str">
        <f t="shared" si="2"/>
        <v>#DIV/0!</v>
      </c>
      <c r="BA3" s="29" t="str">
        <f t="shared" si="2"/>
        <v>#DIV/0!</v>
      </c>
      <c r="BB3" s="29" t="str">
        <f t="shared" si="2"/>
        <v>#DIV/0!</v>
      </c>
      <c r="BC3" s="29" t="str">
        <f t="shared" si="2"/>
        <v>#DIV/0!</v>
      </c>
      <c r="BD3" s="29" t="str">
        <f t="shared" si="2"/>
        <v>#DIV/0!</v>
      </c>
      <c r="BE3" s="29" t="str">
        <f t="shared" si="2"/>
        <v>#DIV/0!</v>
      </c>
      <c r="BF3" s="29" t="str">
        <f t="shared" si="2"/>
        <v>#DIV/0!</v>
      </c>
      <c r="BG3" s="29" t="str">
        <f t="shared" si="2"/>
        <v>#DIV/0!</v>
      </c>
      <c r="BH3" s="29" t="str">
        <f t="shared" si="2"/>
        <v>#DIV/0!</v>
      </c>
      <c r="BI3" s="29" t="str">
        <f t="shared" si="2"/>
        <v>#DIV/0!</v>
      </c>
      <c r="BJ3" s="29" t="str">
        <f t="shared" si="2"/>
        <v>#DIV/0!</v>
      </c>
      <c r="BK3" s="29" t="str">
        <f t="shared" si="2"/>
        <v>#DIV/0!</v>
      </c>
      <c r="BL3" s="29" t="str">
        <f t="shared" si="2"/>
        <v>#DIV/0!</v>
      </c>
      <c r="BM3" s="29" t="str">
        <f t="shared" si="3"/>
        <v>#DIV/0!</v>
      </c>
    </row>
    <row r="4">
      <c r="A4" s="16" t="str">
        <f>IFERROR(__xludf.DUMMYFUNCTION("IFERROR(SPARKLINE(SORT(MAP(TRANSPOSE(AQ4:BL4), LAMBDA(val, IF(ISNUMBER(val), PERCENTRANK(AQ4:BL4, val)+0.01, 0))), SEQUENCE(COLUMNS(AQ4:BL4)), FALSE), {""charttype"",""column""; ""color"",""chartreuse""; ""ymin"", 0; ""ymax"", 1.01; ""highcolor"", ""darkg"&amp;"reen""; ""lowcolor"", ""red""}), """")"),"")</f>
        <v/>
      </c>
      <c r="B4" s="17" t="str">
        <f t="shared" si="4"/>
        <v/>
      </c>
      <c r="C4" s="1" t="s">
        <v>108</v>
      </c>
      <c r="D4" s="30" t="str">
        <f>IFERROR(__xludf.DUMMYFUNCTION("IFERROR(GOOGLEFINANCE(C4, ""NAME""))"),"Garrett Motion Inc. (Delaware)")</f>
        <v>Garrett Motion Inc. (Delaware)</v>
      </c>
      <c r="E4" s="30" t="s">
        <v>109</v>
      </c>
      <c r="F4" s="33" t="str">
        <f>IFERROR(__xludf.DUMMYFUNCTION("( (GOOGLEFINANCE(C4, ""price"") - Q4) / Q4 ) / (R4 / 100)"),"Loading...")</f>
        <v>Loading...</v>
      </c>
      <c r="G4" s="20" t="str">
        <f>IFERROR(__xludf.DUMMYFUNCTION("AVERAGE(ARRAYFORMULA(100 * (QUERY(GOOGLEFINANCE(C4, ""high"", TODAY()-40, TODAY()), ""SELECT Col2 WHERE Col2 IS NOT NULL ORDER BY Col1 DESC LIMIT 20"", 0) / QUERY(GOOGLEFINANCE(C4, ""low"", TODAY()-40, TODAY()), ""SELECT Col2 WHERE Col2 IS NOT NULL ORDER "&amp;"BY Col1 DESC LIMIT 20"", 0) - 1)))"),"#N/A")</f>
        <v>#N/A</v>
      </c>
      <c r="H4" s="35" t="str">
        <f t="shared" ref="H4:H357" si="6">IFERROR(IF(ISNUMBER(J4), IF(J4 &lt; 50000000, "Illiquid", "Liquid"), ""), "")</f>
        <v/>
      </c>
      <c r="I4" s="35" t="str">
        <f t="shared" ref="I4:I357" si="7">IFERROR(IF(ISNUMBER(J4), IF(J4 &lt; 500000000, "RVol Required", "No RVol Required"), ""), "")</f>
        <v/>
      </c>
      <c r="J4" s="37" t="str">
        <f>IFERROR(__xludf.DUMMYFUNCTION("IFERROR(
  IF(C4="""",, 
    IFERROR(
      GOOGLEFINANCE(C4, ""price"") * GOOGLEFINANCE(C4, ""volumeavg""), 
      GOOGLEFINANCE(C4, ""price"") * AVERAGE(QUERY(GOOGLEFINANCE(C4, ""volume"", TODAY()-40, TODAY()), ""SELECT Col2 WHERE Col2 IS NOT NULL ORDER"&amp;" BY Col1 DESC LIMIT 20"", 0))
    )
  ), 
"""")"),"")</f>
        <v/>
      </c>
      <c r="K4" s="21" t="str">
        <f>IFERROR(__xludf.DUMMYFUNCTION("IFERROR(GOOGLEFINANCE(C4, ""changepct"") / 100, """")"),"")</f>
        <v/>
      </c>
      <c r="L4" s="21" t="str">
        <f>IFERROR(__xludf.DUMMYFUNCTION("IFERROR((GOOGLEFINANCE(C4, ""price"") / INDEX(GOOGLEFINANCE(C4, ""price"", TODAY()-7, TODAY()), 2, 2)) - 1, """")"),"")</f>
        <v/>
      </c>
      <c r="M4" s="21" t="str">
        <f>IFERROR(__xludf.DUMMYFUNCTION("IFERROR((GOOGLEFINANCE(C4, ""price"") / INDEX(GOOGLEFINANCE(C4, ""price"", EDATE(TODAY(), -1), TODAY()), 2, 2)) - 1, """")"),"")</f>
        <v/>
      </c>
      <c r="N4" s="21" t="str">
        <f>IFERROR(__xludf.DUMMYFUNCTION("IFERROR((GOOGLEFINANCE(C4, ""price"") / INDEX(GOOGLEFINANCE(C4, ""price"", EDATE(TODAY(), -3), TODAY()), 2, 2)) - 1, """")"),"")</f>
        <v/>
      </c>
      <c r="O4" s="21" t="str">
        <f>IFERROR(__xludf.DUMMYFUNCTION("IFERROR((GOOGLEFINANCE(C4, ""price"") / INDEX(GOOGLEFINANCE(C4, ""price"", EDATE(TODAY(), -6), TODAY()), 2, 2)) - 1, """")"),"")</f>
        <v/>
      </c>
      <c r="P4" s="21" t="str">
        <f>IFERROR(__xludf.DUMMYFUNCTION("IFERROR((GOOGLEFINANCE(C4, ""price"") / INDEX(GOOGLEFINANCE(C4, ""price"", EDATE(TODAY(), -12), TODAY()), 2, 2)) - 1, """")"),"")</f>
        <v/>
      </c>
      <c r="Q4" s="6" t="str">
        <f>IFERROR(__xludf.DUMMYFUNCTION("AVERAGE(QUERY(GOOGLEFINANCE(C4, ""price"", TODAY()-80, TODAY()), ""SELECT Col2 WHERE Col2 IS NOT NULL ORDER BY Col1 DESC LIMIT 50"", 0))"),"#N/A")</f>
        <v>#N/A</v>
      </c>
      <c r="R4" s="24" t="str">
        <f>IFERROR(__xludf.DUMMYFUNCTION("IFERROR(
  LET(
    data, QUERY(GOOGLEFINANCE(C4,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GOOGLEFINANCE(C4, ""price"")) * 100,
    IF(calc=0, G4, calc)
  ), 
G4)"),"#N/A")</f>
        <v>#N/A</v>
      </c>
      <c r="S4" s="8" t="s">
        <v>15</v>
      </c>
      <c r="T4" s="26" t="str">
        <f>IFERROR(__xludf.DUMMYFUNCTION("IFERROR(TRANSPOSE(QUERY(IFERROR(SORT(GOOGLEFINANCE(C4, ""price"", WORKDAY(TODAY(), -40), TODAY()), 1, FALSE)), ""select Col2 where Col2 is not null limit 22 label Col2 ''"", 0)), """")"),"")</f>
        <v/>
      </c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8"/>
      <c r="AO4" s="28"/>
      <c r="AP4" s="29"/>
      <c r="AQ4" s="29" t="str">
        <f t="shared" ref="AQ4:BL4" si="5">T4/T$2</f>
        <v>#N/A</v>
      </c>
      <c r="AR4" s="29" t="str">
        <f t="shared" si="5"/>
        <v>#DIV/0!</v>
      </c>
      <c r="AS4" s="29" t="str">
        <f t="shared" si="5"/>
        <v>#DIV/0!</v>
      </c>
      <c r="AT4" s="29" t="str">
        <f t="shared" si="5"/>
        <v>#DIV/0!</v>
      </c>
      <c r="AU4" s="29" t="str">
        <f t="shared" si="5"/>
        <v>#DIV/0!</v>
      </c>
      <c r="AV4" s="29" t="str">
        <f t="shared" si="5"/>
        <v>#DIV/0!</v>
      </c>
      <c r="AW4" s="29" t="str">
        <f t="shared" si="5"/>
        <v>#DIV/0!</v>
      </c>
      <c r="AX4" s="29" t="str">
        <f t="shared" si="5"/>
        <v>#DIV/0!</v>
      </c>
      <c r="AY4" s="29" t="str">
        <f t="shared" si="5"/>
        <v>#DIV/0!</v>
      </c>
      <c r="AZ4" s="29" t="str">
        <f t="shared" si="5"/>
        <v>#DIV/0!</v>
      </c>
      <c r="BA4" s="29" t="str">
        <f t="shared" si="5"/>
        <v>#DIV/0!</v>
      </c>
      <c r="BB4" s="29" t="str">
        <f t="shared" si="5"/>
        <v>#DIV/0!</v>
      </c>
      <c r="BC4" s="29" t="str">
        <f t="shared" si="5"/>
        <v>#DIV/0!</v>
      </c>
      <c r="BD4" s="29" t="str">
        <f t="shared" si="5"/>
        <v>#DIV/0!</v>
      </c>
      <c r="BE4" s="29" t="str">
        <f t="shared" si="5"/>
        <v>#DIV/0!</v>
      </c>
      <c r="BF4" s="29" t="str">
        <f t="shared" si="5"/>
        <v>#DIV/0!</v>
      </c>
      <c r="BG4" s="29" t="str">
        <f t="shared" si="5"/>
        <v>#DIV/0!</v>
      </c>
      <c r="BH4" s="29" t="str">
        <f t="shared" si="5"/>
        <v>#DIV/0!</v>
      </c>
      <c r="BI4" s="29" t="str">
        <f t="shared" si="5"/>
        <v>#DIV/0!</v>
      </c>
      <c r="BJ4" s="29" t="str">
        <f t="shared" si="5"/>
        <v>#DIV/0!</v>
      </c>
      <c r="BK4" s="29" t="str">
        <f t="shared" si="5"/>
        <v>#DIV/0!</v>
      </c>
      <c r="BL4" s="29" t="str">
        <f t="shared" si="5"/>
        <v>#DIV/0!</v>
      </c>
      <c r="BM4" s="29" t="str">
        <f t="shared" si="3"/>
        <v>#DIV/0!</v>
      </c>
    </row>
    <row r="5">
      <c r="A5" s="16" t="str">
        <f>IFERROR(__xludf.DUMMYFUNCTION("IFERROR(SPARKLINE(SORT(MAP(TRANSPOSE(AQ5:BL5), LAMBDA(val, IF(ISNUMBER(val), PERCENTRANK(AQ5:BL5, val)+0.01, 0))), SEQUENCE(COLUMNS(AQ5:BL5)), FALSE), {""charttype"",""column""; ""color"",""chartreuse""; ""ymin"", 0; ""ymax"", 1.01; ""highcolor"", ""darkg"&amp;"reen""; ""lowcolor"", ""red""}), """")"),"")</f>
        <v/>
      </c>
      <c r="B5" s="17" t="str">
        <f t="shared" si="4"/>
        <v/>
      </c>
      <c r="C5" s="1" t="s">
        <v>114</v>
      </c>
      <c r="D5" s="30" t="str">
        <f>IFERROR(__xludf.DUMMYFUNCTION("IFERROR(GOOGLEFINANCE(C5, ""NAME""))"),"BorgWarner Inc")</f>
        <v>BorgWarner Inc</v>
      </c>
      <c r="E5" s="30" t="s">
        <v>109</v>
      </c>
      <c r="F5" s="33" t="str">
        <f>IFERROR(__xludf.DUMMYFUNCTION("( (GOOGLEFINANCE(C5, ""price"") - Q5) / Q5 ) / (R5 / 100)"),"Loading...")</f>
        <v>Loading...</v>
      </c>
      <c r="G5" s="20" t="str">
        <f>IFERROR(__xludf.DUMMYFUNCTION("AVERAGE(ARRAYFORMULA(100 * (QUERY(GOOGLEFINANCE(C5, ""high"", TODAY()-40, TODAY()), ""SELECT Col2 WHERE Col2 IS NOT NULL ORDER BY Col1 DESC LIMIT 20"", 0) / QUERY(GOOGLEFINANCE(C5, ""low"", TODAY()-40, TODAY()), ""SELECT Col2 WHERE Col2 IS NOT NULL ORDER "&amp;"BY Col1 DESC LIMIT 20"", 0) - 1)))"),"#N/A")</f>
        <v>#N/A</v>
      </c>
      <c r="H5" s="35" t="str">
        <f t="shared" si="6"/>
        <v/>
      </c>
      <c r="I5" s="35" t="str">
        <f t="shared" si="7"/>
        <v/>
      </c>
      <c r="J5" s="37" t="str">
        <f>IFERROR(__xludf.DUMMYFUNCTION("IFERROR(
  IF(C5="""",, 
    IFERROR(
      GOOGLEFINANCE(C5, ""price"") * GOOGLEFINANCE(C5, ""volumeavg""), 
      GOOGLEFINANCE(C5, ""price"") * AVERAGE(QUERY(GOOGLEFINANCE(C5, ""volume"", TODAY()-40, TODAY()), ""SELECT Col2 WHERE Col2 IS NOT NULL ORDER"&amp;" BY Col1 DESC LIMIT 20"", 0))
    )
  ), 
"""")"),"")</f>
        <v/>
      </c>
      <c r="K5" s="21" t="str">
        <f>IFERROR(__xludf.DUMMYFUNCTION("IFERROR(GOOGLEFINANCE(C5, ""changepct"") / 100, """")"),"")</f>
        <v/>
      </c>
      <c r="L5" s="21" t="str">
        <f>IFERROR(__xludf.DUMMYFUNCTION("IFERROR((GOOGLEFINANCE(C5, ""price"") / INDEX(GOOGLEFINANCE(C5, ""price"", TODAY()-7, TODAY()), 2, 2)) - 1, """")"),"")</f>
        <v/>
      </c>
      <c r="M5" s="21" t="str">
        <f>IFERROR(__xludf.DUMMYFUNCTION("IFERROR((GOOGLEFINANCE(C5, ""price"") / INDEX(GOOGLEFINANCE(C5, ""price"", EDATE(TODAY(), -1), TODAY()), 2, 2)) - 1, """")"),"")</f>
        <v/>
      </c>
      <c r="N5" s="21" t="str">
        <f>IFERROR(__xludf.DUMMYFUNCTION("IFERROR((GOOGLEFINANCE(C5, ""price"") / INDEX(GOOGLEFINANCE(C5, ""price"", EDATE(TODAY(), -3), TODAY()), 2, 2)) - 1, """")"),"")</f>
        <v/>
      </c>
      <c r="O5" s="21" t="str">
        <f>IFERROR(__xludf.DUMMYFUNCTION("IFERROR((GOOGLEFINANCE(C5, ""price"") / INDEX(GOOGLEFINANCE(C5, ""price"", EDATE(TODAY(), -6), TODAY()), 2, 2)) - 1, """")"),"")</f>
        <v/>
      </c>
      <c r="P5" s="21" t="str">
        <f>IFERROR(__xludf.DUMMYFUNCTION("IFERROR((GOOGLEFINANCE(C5, ""price"") / INDEX(GOOGLEFINANCE(C5, ""price"", EDATE(TODAY(), -12), TODAY()), 2, 2)) - 1, """")"),"")</f>
        <v/>
      </c>
      <c r="Q5" s="6" t="str">
        <f>IFERROR(__xludf.DUMMYFUNCTION("AVERAGE(QUERY(GOOGLEFINANCE(C5, ""price"", TODAY()-80, TODAY()), ""SELECT Col2 WHERE Col2 IS NOT NULL ORDER BY Col1 DESC LIMIT 50"", 0))"),"#N/A")</f>
        <v>#N/A</v>
      </c>
      <c r="R5" s="24" t="str">
        <f>IFERROR(__xludf.DUMMYFUNCTION("IFERROR(
  LET(
    data, QUERY(GOOGLEFINANCE(C5,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GOOGLEFINANCE(C5, ""price"")) * 100,
    IF(calc=0, G5, calc)
  ), 
G5)"),"#N/A")</f>
        <v>#N/A</v>
      </c>
      <c r="S5" s="8" t="s">
        <v>15</v>
      </c>
      <c r="T5" s="26" t="str">
        <f>IFERROR(__xludf.DUMMYFUNCTION("IFERROR(TRANSPOSE(QUERY(IFERROR(SORT(GOOGLEFINANCE(C5, ""price"", WORKDAY(TODAY(), -40), TODAY()), 1, FALSE)), ""select Col2 where Col2 is not null limit 22 label Col2 ''"", 0)), """")"),"")</f>
        <v/>
      </c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8"/>
      <c r="AO5" s="28"/>
      <c r="AP5" s="29"/>
      <c r="AQ5" s="29" t="str">
        <f t="shared" ref="AQ5:BL5" si="8">T5/T$2</f>
        <v>#N/A</v>
      </c>
      <c r="AR5" s="29" t="str">
        <f t="shared" si="8"/>
        <v>#DIV/0!</v>
      </c>
      <c r="AS5" s="29" t="str">
        <f t="shared" si="8"/>
        <v>#DIV/0!</v>
      </c>
      <c r="AT5" s="29" t="str">
        <f t="shared" si="8"/>
        <v>#DIV/0!</v>
      </c>
      <c r="AU5" s="29" t="str">
        <f t="shared" si="8"/>
        <v>#DIV/0!</v>
      </c>
      <c r="AV5" s="29" t="str">
        <f t="shared" si="8"/>
        <v>#DIV/0!</v>
      </c>
      <c r="AW5" s="29" t="str">
        <f t="shared" si="8"/>
        <v>#DIV/0!</v>
      </c>
      <c r="AX5" s="29" t="str">
        <f t="shared" si="8"/>
        <v>#DIV/0!</v>
      </c>
      <c r="AY5" s="29" t="str">
        <f t="shared" si="8"/>
        <v>#DIV/0!</v>
      </c>
      <c r="AZ5" s="29" t="str">
        <f t="shared" si="8"/>
        <v>#DIV/0!</v>
      </c>
      <c r="BA5" s="29" t="str">
        <f t="shared" si="8"/>
        <v>#DIV/0!</v>
      </c>
      <c r="BB5" s="29" t="str">
        <f t="shared" si="8"/>
        <v>#DIV/0!</v>
      </c>
      <c r="BC5" s="29" t="str">
        <f t="shared" si="8"/>
        <v>#DIV/0!</v>
      </c>
      <c r="BD5" s="29" t="str">
        <f t="shared" si="8"/>
        <v>#DIV/0!</v>
      </c>
      <c r="BE5" s="29" t="str">
        <f t="shared" si="8"/>
        <v>#DIV/0!</v>
      </c>
      <c r="BF5" s="29" t="str">
        <f t="shared" si="8"/>
        <v>#DIV/0!</v>
      </c>
      <c r="BG5" s="29" t="str">
        <f t="shared" si="8"/>
        <v>#DIV/0!</v>
      </c>
      <c r="BH5" s="29" t="str">
        <f t="shared" si="8"/>
        <v>#DIV/0!</v>
      </c>
      <c r="BI5" s="29" t="str">
        <f t="shared" si="8"/>
        <v>#DIV/0!</v>
      </c>
      <c r="BJ5" s="29" t="str">
        <f t="shared" si="8"/>
        <v>#DIV/0!</v>
      </c>
      <c r="BK5" s="29" t="str">
        <f t="shared" si="8"/>
        <v>#DIV/0!</v>
      </c>
      <c r="BL5" s="29" t="str">
        <f t="shared" si="8"/>
        <v>#DIV/0!</v>
      </c>
      <c r="BM5" s="29" t="str">
        <f t="shared" si="3"/>
        <v>#DIV/0!</v>
      </c>
    </row>
    <row r="6">
      <c r="A6" s="16" t="str">
        <f>IFERROR(__xludf.DUMMYFUNCTION("IFERROR(SPARKLINE(SORT(MAP(TRANSPOSE(AQ6:BL6), LAMBDA(val, IF(ISNUMBER(val), PERCENTRANK(AQ6:BL6, val)+0.01, 0))), SEQUENCE(COLUMNS(AQ6:BL6)), FALSE), {""charttype"",""column""; ""color"",""chartreuse""; ""ymin"", 0; ""ymax"", 1.01; ""highcolor"", ""darkg"&amp;"reen""; ""lowcolor"", ""red""}), """")"),"")</f>
        <v/>
      </c>
      <c r="B6" s="17" t="str">
        <f t="shared" si="4"/>
        <v/>
      </c>
      <c r="C6" s="1" t="s">
        <v>121</v>
      </c>
      <c r="D6" s="30" t="str">
        <f>IFERROR(__xludf.DUMMYFUNCTION("IFERROR(GOOGLEFINANCE(C6, ""NAME""))"),"Quantumscape Corp")</f>
        <v>Quantumscape Corp</v>
      </c>
      <c r="E6" s="30" t="s">
        <v>109</v>
      </c>
      <c r="F6" s="33" t="str">
        <f>IFERROR(__xludf.DUMMYFUNCTION("( (GOOGLEFINANCE(C6, ""price"") - Q6) / Q6 ) / (R6 / 100)"),"Loading...")</f>
        <v>Loading...</v>
      </c>
      <c r="G6" s="20" t="str">
        <f>IFERROR(__xludf.DUMMYFUNCTION("AVERAGE(ARRAYFORMULA(100 * (QUERY(GOOGLEFINANCE(C6, ""high"", TODAY()-40, TODAY()), ""SELECT Col2 WHERE Col2 IS NOT NULL ORDER BY Col1 DESC LIMIT 20"", 0) / QUERY(GOOGLEFINANCE(C6, ""low"", TODAY()-40, TODAY()), ""SELECT Col2 WHERE Col2 IS NOT NULL ORDER "&amp;"BY Col1 DESC LIMIT 20"", 0) - 1)))"),"#N/A")</f>
        <v>#N/A</v>
      </c>
      <c r="H6" s="35" t="str">
        <f t="shared" si="6"/>
        <v/>
      </c>
      <c r="I6" s="35" t="str">
        <f t="shared" si="7"/>
        <v/>
      </c>
      <c r="J6" s="37" t="str">
        <f>IFERROR(__xludf.DUMMYFUNCTION("IFERROR(
  IF(C6="""",, 
    IFERROR(
      GOOGLEFINANCE(C6, ""price"") * GOOGLEFINANCE(C6, ""volumeavg""), 
      GOOGLEFINANCE(C6, ""price"") * AVERAGE(QUERY(GOOGLEFINANCE(C6, ""volume"", TODAY()-40, TODAY()), ""SELECT Col2 WHERE Col2 IS NOT NULL ORDER"&amp;" BY Col1 DESC LIMIT 20"", 0))
    )
  ), 
"""")"),"")</f>
        <v/>
      </c>
      <c r="K6" s="21" t="str">
        <f>IFERROR(__xludf.DUMMYFUNCTION("IFERROR(GOOGLEFINANCE(C6, ""changepct"") / 100, """")"),"")</f>
        <v/>
      </c>
      <c r="L6" s="21" t="str">
        <f>IFERROR(__xludf.DUMMYFUNCTION("IFERROR((GOOGLEFINANCE(C6, ""price"") / INDEX(GOOGLEFINANCE(C6, ""price"", TODAY()-7, TODAY()), 2, 2)) - 1, """")"),"")</f>
        <v/>
      </c>
      <c r="M6" s="21" t="str">
        <f>IFERROR(__xludf.DUMMYFUNCTION("IFERROR((GOOGLEFINANCE(C6, ""price"") / INDEX(GOOGLEFINANCE(C6, ""price"", EDATE(TODAY(), -1), TODAY()), 2, 2)) - 1, """")"),"")</f>
        <v/>
      </c>
      <c r="N6" s="21" t="str">
        <f>IFERROR(__xludf.DUMMYFUNCTION("IFERROR((GOOGLEFINANCE(C6, ""price"") / INDEX(GOOGLEFINANCE(C6, ""price"", EDATE(TODAY(), -3), TODAY()), 2, 2)) - 1, """")"),"")</f>
        <v/>
      </c>
      <c r="O6" s="21" t="str">
        <f>IFERROR(__xludf.DUMMYFUNCTION("IFERROR((GOOGLEFINANCE(C6, ""price"") / INDEX(GOOGLEFINANCE(C6, ""price"", EDATE(TODAY(), -6), TODAY()), 2, 2)) - 1, """")"),"")</f>
        <v/>
      </c>
      <c r="P6" s="21" t="str">
        <f>IFERROR(__xludf.DUMMYFUNCTION("IFERROR((GOOGLEFINANCE(C6, ""price"") / INDEX(GOOGLEFINANCE(C6, ""price"", EDATE(TODAY(), -12), TODAY()), 2, 2)) - 1, """")"),"")</f>
        <v/>
      </c>
      <c r="Q6" s="6" t="str">
        <f>IFERROR(__xludf.DUMMYFUNCTION("AVERAGE(QUERY(GOOGLEFINANCE(C6, ""price"", TODAY()-80, TODAY()), ""SELECT Col2 WHERE Col2 IS NOT NULL ORDER BY Col1 DESC LIMIT 50"", 0))"),"#N/A")</f>
        <v>#N/A</v>
      </c>
      <c r="R6" s="24" t="str">
        <f>IFERROR(__xludf.DUMMYFUNCTION("IFERROR(
  LET(
    data, QUERY(GOOGLEFINANCE(C6,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GOOGLEFINANCE(C6, ""price"")) * 100,
    IF(calc=0, G6, calc)
  ), 
G6)"),"#N/A")</f>
        <v>#N/A</v>
      </c>
      <c r="S6" s="8" t="s">
        <v>15</v>
      </c>
      <c r="T6" s="26" t="str">
        <f>IFERROR(__xludf.DUMMYFUNCTION("IFERROR(TRANSPOSE(QUERY(IFERROR(SORT(GOOGLEFINANCE(C6, ""price"", WORKDAY(TODAY(), -40), TODAY()), 1, FALSE)), ""select Col2 where Col2 is not null limit 22 label Col2 ''"", 0)), """")"),"")</f>
        <v/>
      </c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8"/>
      <c r="AO6" s="28"/>
      <c r="AP6" s="29"/>
      <c r="AQ6" s="29" t="str">
        <f t="shared" ref="AQ6:BL6" si="9">T6/T$2</f>
        <v>#N/A</v>
      </c>
      <c r="AR6" s="29" t="str">
        <f t="shared" si="9"/>
        <v>#DIV/0!</v>
      </c>
      <c r="AS6" s="29" t="str">
        <f t="shared" si="9"/>
        <v>#DIV/0!</v>
      </c>
      <c r="AT6" s="29" t="str">
        <f t="shared" si="9"/>
        <v>#DIV/0!</v>
      </c>
      <c r="AU6" s="29" t="str">
        <f t="shared" si="9"/>
        <v>#DIV/0!</v>
      </c>
      <c r="AV6" s="29" t="str">
        <f t="shared" si="9"/>
        <v>#DIV/0!</v>
      </c>
      <c r="AW6" s="29" t="str">
        <f t="shared" si="9"/>
        <v>#DIV/0!</v>
      </c>
      <c r="AX6" s="29" t="str">
        <f t="shared" si="9"/>
        <v>#DIV/0!</v>
      </c>
      <c r="AY6" s="29" t="str">
        <f t="shared" si="9"/>
        <v>#DIV/0!</v>
      </c>
      <c r="AZ6" s="29" t="str">
        <f t="shared" si="9"/>
        <v>#DIV/0!</v>
      </c>
      <c r="BA6" s="29" t="str">
        <f t="shared" si="9"/>
        <v>#DIV/0!</v>
      </c>
      <c r="BB6" s="29" t="str">
        <f t="shared" si="9"/>
        <v>#DIV/0!</v>
      </c>
      <c r="BC6" s="29" t="str">
        <f t="shared" si="9"/>
        <v>#DIV/0!</v>
      </c>
      <c r="BD6" s="29" t="str">
        <f t="shared" si="9"/>
        <v>#DIV/0!</v>
      </c>
      <c r="BE6" s="29" t="str">
        <f t="shared" si="9"/>
        <v>#DIV/0!</v>
      </c>
      <c r="BF6" s="29" t="str">
        <f t="shared" si="9"/>
        <v>#DIV/0!</v>
      </c>
      <c r="BG6" s="29" t="str">
        <f t="shared" si="9"/>
        <v>#DIV/0!</v>
      </c>
      <c r="BH6" s="29" t="str">
        <f t="shared" si="9"/>
        <v>#DIV/0!</v>
      </c>
      <c r="BI6" s="29" t="str">
        <f t="shared" si="9"/>
        <v>#DIV/0!</v>
      </c>
      <c r="BJ6" s="29" t="str">
        <f t="shared" si="9"/>
        <v>#DIV/0!</v>
      </c>
      <c r="BK6" s="29" t="str">
        <f t="shared" si="9"/>
        <v>#DIV/0!</v>
      </c>
      <c r="BL6" s="29" t="str">
        <f t="shared" si="9"/>
        <v>#DIV/0!</v>
      </c>
      <c r="BM6" s="29" t="str">
        <f t="shared" si="3"/>
        <v>#DIV/0!</v>
      </c>
    </row>
    <row r="7">
      <c r="A7" s="16" t="str">
        <f>IFERROR(__xludf.DUMMYFUNCTION("IFERROR(SPARKLINE(SORT(MAP(TRANSPOSE(AQ7:BL7), LAMBDA(val, IF(ISNUMBER(val), PERCENTRANK(AQ7:BL7, val)+0.01, 0))), SEQUENCE(COLUMNS(AQ7:BL7)), FALSE), {""charttype"",""column""; ""color"",""chartreuse""; ""ymin"", 0; ""ymax"", 1.01; ""highcolor"", ""darkg"&amp;"reen""; ""lowcolor"", ""red""}), """")"),"")</f>
        <v/>
      </c>
      <c r="B7" s="17" t="str">
        <f t="shared" si="4"/>
        <v/>
      </c>
      <c r="C7" s="1" t="s">
        <v>124</v>
      </c>
      <c r="D7" s="30" t="str">
        <f>IFERROR(__xludf.DUMMYFUNCTION("IFERROR(GOOGLEFINANCE(C7, ""NAME""))"),"Texas Roadhouse Inc")</f>
        <v>Texas Roadhouse Inc</v>
      </c>
      <c r="E7" s="30" t="s">
        <v>126</v>
      </c>
      <c r="F7" s="33" t="str">
        <f>IFERROR(__xludf.DUMMYFUNCTION("( (GOOGLEFINANCE(C7, ""price"") - Q7) / Q7 ) / (R7 / 100)"),"Loading...")</f>
        <v>Loading...</v>
      </c>
      <c r="G7" s="20" t="str">
        <f>IFERROR(__xludf.DUMMYFUNCTION("AVERAGE(ARRAYFORMULA(100 * (QUERY(GOOGLEFINANCE(C7, ""high"", TODAY()-40, TODAY()), ""SELECT Col2 WHERE Col2 IS NOT NULL ORDER BY Col1 DESC LIMIT 20"", 0) / QUERY(GOOGLEFINANCE(C7, ""low"", TODAY()-40, TODAY()), ""SELECT Col2 WHERE Col2 IS NOT NULL ORDER "&amp;"BY Col1 DESC LIMIT 20"", 0) - 1)))"),"#N/A")</f>
        <v>#N/A</v>
      </c>
      <c r="H7" s="35" t="str">
        <f t="shared" si="6"/>
        <v/>
      </c>
      <c r="I7" s="35" t="str">
        <f t="shared" si="7"/>
        <v/>
      </c>
      <c r="J7" s="37" t="str">
        <f>IFERROR(__xludf.DUMMYFUNCTION("IFERROR(
  IF(C7="""",, 
    IFERROR(
      GOOGLEFINANCE(C7, ""price"") * GOOGLEFINANCE(C7, ""volumeavg""), 
      GOOGLEFINANCE(C7, ""price"") * AVERAGE(QUERY(GOOGLEFINANCE(C7, ""volume"", TODAY()-40, TODAY()), ""SELECT Col2 WHERE Col2 IS NOT NULL ORDER"&amp;" BY Col1 DESC LIMIT 20"", 0))
    )
  ), 
"""")"),"")</f>
        <v/>
      </c>
      <c r="K7" s="21" t="str">
        <f>IFERROR(__xludf.DUMMYFUNCTION("IFERROR(GOOGLEFINANCE(C7, ""changepct"") / 100, """")"),"")</f>
        <v/>
      </c>
      <c r="L7" s="21" t="str">
        <f>IFERROR(__xludf.DUMMYFUNCTION("IFERROR((GOOGLEFINANCE(C7, ""price"") / INDEX(GOOGLEFINANCE(C7, ""price"", TODAY()-7, TODAY()), 2, 2)) - 1, """")"),"")</f>
        <v/>
      </c>
      <c r="M7" s="21" t="str">
        <f>IFERROR(__xludf.DUMMYFUNCTION("IFERROR((GOOGLEFINANCE(C7, ""price"") / INDEX(GOOGLEFINANCE(C7, ""price"", EDATE(TODAY(), -1), TODAY()), 2, 2)) - 1, """")"),"")</f>
        <v/>
      </c>
      <c r="N7" s="21" t="str">
        <f>IFERROR(__xludf.DUMMYFUNCTION("IFERROR((GOOGLEFINANCE(C7, ""price"") / INDEX(GOOGLEFINANCE(C7, ""price"", EDATE(TODAY(), -3), TODAY()), 2, 2)) - 1, """")"),"")</f>
        <v/>
      </c>
      <c r="O7" s="21" t="str">
        <f>IFERROR(__xludf.DUMMYFUNCTION("IFERROR((GOOGLEFINANCE(C7, ""price"") / INDEX(GOOGLEFINANCE(C7, ""price"", EDATE(TODAY(), -6), TODAY()), 2, 2)) - 1, """")"),"")</f>
        <v/>
      </c>
      <c r="P7" s="21" t="str">
        <f>IFERROR(__xludf.DUMMYFUNCTION("IFERROR((GOOGLEFINANCE(C7, ""price"") / INDEX(GOOGLEFINANCE(C7, ""price"", EDATE(TODAY(), -12), TODAY()), 2, 2)) - 1, """")"),"")</f>
        <v/>
      </c>
      <c r="Q7" s="6" t="str">
        <f>IFERROR(__xludf.DUMMYFUNCTION("AVERAGE(QUERY(GOOGLEFINANCE(C7, ""price"", TODAY()-80, TODAY()), ""SELECT Col2 WHERE Col2 IS NOT NULL ORDER BY Col1 DESC LIMIT 50"", 0))"),"#N/A")</f>
        <v>#N/A</v>
      </c>
      <c r="R7" s="24" t="str">
        <f>IFERROR(__xludf.DUMMYFUNCTION("IFERROR(
  LET(
    data, QUERY(GOOGLEFINANCE(C7,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GOOGLEFINANCE(C7, ""price"")) * 100,
    IF(calc=0, G7, calc)
  ), 
G7)"),"#N/A")</f>
        <v>#N/A</v>
      </c>
      <c r="S7" s="8" t="s">
        <v>15</v>
      </c>
      <c r="T7" s="26" t="str">
        <f>IFERROR(__xludf.DUMMYFUNCTION("IFERROR(TRANSPOSE(QUERY(IFERROR(SORT(GOOGLEFINANCE(C7, ""price"", WORKDAY(TODAY(), -40), TODAY()), 1, FALSE)), ""select Col2 where Col2 is not null limit 22 label Col2 ''"", 0)), """")"),"")</f>
        <v/>
      </c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8"/>
      <c r="AO7" s="28"/>
      <c r="AP7" s="29"/>
      <c r="AQ7" s="29" t="str">
        <f t="shared" ref="AQ7:BL7" si="10">T7/T$2</f>
        <v>#N/A</v>
      </c>
      <c r="AR7" s="29" t="str">
        <f t="shared" si="10"/>
        <v>#DIV/0!</v>
      </c>
      <c r="AS7" s="29" t="str">
        <f t="shared" si="10"/>
        <v>#DIV/0!</v>
      </c>
      <c r="AT7" s="29" t="str">
        <f t="shared" si="10"/>
        <v>#DIV/0!</v>
      </c>
      <c r="AU7" s="29" t="str">
        <f t="shared" si="10"/>
        <v>#DIV/0!</v>
      </c>
      <c r="AV7" s="29" t="str">
        <f t="shared" si="10"/>
        <v>#DIV/0!</v>
      </c>
      <c r="AW7" s="29" t="str">
        <f t="shared" si="10"/>
        <v>#DIV/0!</v>
      </c>
      <c r="AX7" s="29" t="str">
        <f t="shared" si="10"/>
        <v>#DIV/0!</v>
      </c>
      <c r="AY7" s="29" t="str">
        <f t="shared" si="10"/>
        <v>#DIV/0!</v>
      </c>
      <c r="AZ7" s="29" t="str">
        <f t="shared" si="10"/>
        <v>#DIV/0!</v>
      </c>
      <c r="BA7" s="29" t="str">
        <f t="shared" si="10"/>
        <v>#DIV/0!</v>
      </c>
      <c r="BB7" s="29" t="str">
        <f t="shared" si="10"/>
        <v>#DIV/0!</v>
      </c>
      <c r="BC7" s="29" t="str">
        <f t="shared" si="10"/>
        <v>#DIV/0!</v>
      </c>
      <c r="BD7" s="29" t="str">
        <f t="shared" si="10"/>
        <v>#DIV/0!</v>
      </c>
      <c r="BE7" s="29" t="str">
        <f t="shared" si="10"/>
        <v>#DIV/0!</v>
      </c>
      <c r="BF7" s="29" t="str">
        <f t="shared" si="10"/>
        <v>#DIV/0!</v>
      </c>
      <c r="BG7" s="29" t="str">
        <f t="shared" si="10"/>
        <v>#DIV/0!</v>
      </c>
      <c r="BH7" s="29" t="str">
        <f t="shared" si="10"/>
        <v>#DIV/0!</v>
      </c>
      <c r="BI7" s="29" t="str">
        <f t="shared" si="10"/>
        <v>#DIV/0!</v>
      </c>
      <c r="BJ7" s="29" t="str">
        <f t="shared" si="10"/>
        <v>#DIV/0!</v>
      </c>
      <c r="BK7" s="29" t="str">
        <f t="shared" si="10"/>
        <v>#DIV/0!</v>
      </c>
      <c r="BL7" s="29" t="str">
        <f t="shared" si="10"/>
        <v>#DIV/0!</v>
      </c>
      <c r="BM7" s="29" t="str">
        <f t="shared" si="3"/>
        <v>#DIV/0!</v>
      </c>
    </row>
    <row r="8">
      <c r="A8" s="16" t="str">
        <f>IFERROR(__xludf.DUMMYFUNCTION("IFERROR(SPARKLINE(SORT(MAP(TRANSPOSE(AQ8:BL8), LAMBDA(val, IF(ISNUMBER(val), PERCENTRANK(AQ8:BL8, val)+0.01, 0))), SEQUENCE(COLUMNS(AQ8:BL8)), FALSE), {""charttype"",""column""; ""color"",""chartreuse""; ""ymin"", 0; ""ymax"", 1.01; ""highcolor"", ""darkg"&amp;"reen""; ""lowcolor"", ""red""}), """")"),"")</f>
        <v/>
      </c>
      <c r="B8" s="17" t="str">
        <f t="shared" si="4"/>
        <v/>
      </c>
      <c r="C8" s="1" t="s">
        <v>128</v>
      </c>
      <c r="D8" s="30" t="str">
        <f>IFERROR(__xludf.DUMMYFUNCTION("IFERROR(GOOGLEFINANCE(C8, ""NAME""))"),"China Yuchai International Ltd")</f>
        <v>China Yuchai International Ltd</v>
      </c>
      <c r="E8" s="30" t="s">
        <v>129</v>
      </c>
      <c r="F8" s="33" t="str">
        <f>IFERROR(__xludf.DUMMYFUNCTION("( (GOOGLEFINANCE(C8, ""price"") - Q8) / Q8 ) / (R8 / 100)"),"Loading...")</f>
        <v>Loading...</v>
      </c>
      <c r="G8" s="20" t="str">
        <f>IFERROR(__xludf.DUMMYFUNCTION("AVERAGE(ARRAYFORMULA(100 * (QUERY(GOOGLEFINANCE(C8, ""high"", TODAY()-40, TODAY()), ""SELECT Col2 WHERE Col2 IS NOT NULL ORDER BY Col1 DESC LIMIT 20"", 0) / QUERY(GOOGLEFINANCE(C8, ""low"", TODAY()-40, TODAY()), ""SELECT Col2 WHERE Col2 IS NOT NULL ORDER "&amp;"BY Col1 DESC LIMIT 20"", 0) - 1)))"),"#N/A")</f>
        <v>#N/A</v>
      </c>
      <c r="H8" s="35" t="str">
        <f t="shared" si="6"/>
        <v/>
      </c>
      <c r="I8" s="35" t="str">
        <f t="shared" si="7"/>
        <v/>
      </c>
      <c r="J8" s="37" t="str">
        <f>IFERROR(__xludf.DUMMYFUNCTION("IFERROR(
  IF(C8="""",, 
    IFERROR(
      GOOGLEFINANCE(C8, ""price"") * GOOGLEFINANCE(C8, ""volumeavg""), 
      GOOGLEFINANCE(C8, ""price"") * AVERAGE(QUERY(GOOGLEFINANCE(C8, ""volume"", TODAY()-40, TODAY()), ""SELECT Col2 WHERE Col2 IS NOT NULL ORDER"&amp;" BY Col1 DESC LIMIT 20"", 0))
    )
  ), 
"""")"),"")</f>
        <v/>
      </c>
      <c r="K8" s="21" t="str">
        <f>IFERROR(__xludf.DUMMYFUNCTION("IFERROR(GOOGLEFINANCE(C8, ""changepct"") / 100, """")"),"")</f>
        <v/>
      </c>
      <c r="L8" s="21" t="str">
        <f>IFERROR(__xludf.DUMMYFUNCTION("IFERROR((GOOGLEFINANCE(C8, ""price"") / INDEX(GOOGLEFINANCE(C8, ""price"", TODAY()-7, TODAY()), 2, 2)) - 1, """")"),"")</f>
        <v/>
      </c>
      <c r="M8" s="21" t="str">
        <f>IFERROR(__xludf.DUMMYFUNCTION("IFERROR((GOOGLEFINANCE(C8, ""price"") / INDEX(GOOGLEFINANCE(C8, ""price"", EDATE(TODAY(), -1), TODAY()), 2, 2)) - 1, """")"),"")</f>
        <v/>
      </c>
      <c r="N8" s="21" t="str">
        <f>IFERROR(__xludf.DUMMYFUNCTION("IFERROR((GOOGLEFINANCE(C8, ""price"") / INDEX(GOOGLEFINANCE(C8, ""price"", EDATE(TODAY(), -3), TODAY()), 2, 2)) - 1, """")"),"")</f>
        <v/>
      </c>
      <c r="O8" s="21" t="str">
        <f>IFERROR(__xludf.DUMMYFUNCTION("IFERROR((GOOGLEFINANCE(C8, ""price"") / INDEX(GOOGLEFINANCE(C8, ""price"", EDATE(TODAY(), -6), TODAY()), 2, 2)) - 1, """")"),"")</f>
        <v/>
      </c>
      <c r="P8" s="21" t="str">
        <f>IFERROR(__xludf.DUMMYFUNCTION("IFERROR((GOOGLEFINANCE(C8, ""price"") / INDEX(GOOGLEFINANCE(C8, ""price"", EDATE(TODAY(), -12), TODAY()), 2, 2)) - 1, """")"),"")</f>
        <v/>
      </c>
      <c r="Q8" s="6" t="str">
        <f>IFERROR(__xludf.DUMMYFUNCTION("AVERAGE(QUERY(GOOGLEFINANCE(C8, ""price"", TODAY()-80, TODAY()), ""SELECT Col2 WHERE Col2 IS NOT NULL ORDER BY Col1 DESC LIMIT 50"", 0))"),"#N/A")</f>
        <v>#N/A</v>
      </c>
      <c r="R8" s="24" t="str">
        <f>IFERROR(__xludf.DUMMYFUNCTION("IFERROR(
  LET(
    data, QUERY(GOOGLEFINANCE(C8,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GOOGLEFINANCE(C8, ""price"")) * 100,
    IF(calc=0, G8, calc)
  ), 
G8)"),"#N/A")</f>
        <v>#N/A</v>
      </c>
      <c r="S8" s="8" t="s">
        <v>15</v>
      </c>
      <c r="T8" s="26" t="str">
        <f>IFERROR(__xludf.DUMMYFUNCTION("IFERROR(TRANSPOSE(QUERY(IFERROR(SORT(GOOGLEFINANCE(C8, ""price"", WORKDAY(TODAY(), -40), TODAY()), 1, FALSE)), ""select Col2 where Col2 is not null limit 22 label Col2 ''"", 0)), """")"),"")</f>
        <v/>
      </c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8"/>
      <c r="AO8" s="28"/>
      <c r="AP8" s="29"/>
      <c r="AQ8" s="29" t="str">
        <f t="shared" ref="AQ8:BL8" si="11">T8/T$2</f>
        <v>#N/A</v>
      </c>
      <c r="AR8" s="29" t="str">
        <f t="shared" si="11"/>
        <v>#DIV/0!</v>
      </c>
      <c r="AS8" s="29" t="str">
        <f t="shared" si="11"/>
        <v>#DIV/0!</v>
      </c>
      <c r="AT8" s="29" t="str">
        <f t="shared" si="11"/>
        <v>#DIV/0!</v>
      </c>
      <c r="AU8" s="29" t="str">
        <f t="shared" si="11"/>
        <v>#DIV/0!</v>
      </c>
      <c r="AV8" s="29" t="str">
        <f t="shared" si="11"/>
        <v>#DIV/0!</v>
      </c>
      <c r="AW8" s="29" t="str">
        <f t="shared" si="11"/>
        <v>#DIV/0!</v>
      </c>
      <c r="AX8" s="29" t="str">
        <f t="shared" si="11"/>
        <v>#DIV/0!</v>
      </c>
      <c r="AY8" s="29" t="str">
        <f t="shared" si="11"/>
        <v>#DIV/0!</v>
      </c>
      <c r="AZ8" s="29" t="str">
        <f t="shared" si="11"/>
        <v>#DIV/0!</v>
      </c>
      <c r="BA8" s="29" t="str">
        <f t="shared" si="11"/>
        <v>#DIV/0!</v>
      </c>
      <c r="BB8" s="29" t="str">
        <f t="shared" si="11"/>
        <v>#DIV/0!</v>
      </c>
      <c r="BC8" s="29" t="str">
        <f t="shared" si="11"/>
        <v>#DIV/0!</v>
      </c>
      <c r="BD8" s="29" t="str">
        <f t="shared" si="11"/>
        <v>#DIV/0!</v>
      </c>
      <c r="BE8" s="29" t="str">
        <f t="shared" si="11"/>
        <v>#DIV/0!</v>
      </c>
      <c r="BF8" s="29" t="str">
        <f t="shared" si="11"/>
        <v>#DIV/0!</v>
      </c>
      <c r="BG8" s="29" t="str">
        <f t="shared" si="11"/>
        <v>#DIV/0!</v>
      </c>
      <c r="BH8" s="29" t="str">
        <f t="shared" si="11"/>
        <v>#DIV/0!</v>
      </c>
      <c r="BI8" s="29" t="str">
        <f t="shared" si="11"/>
        <v>#DIV/0!</v>
      </c>
      <c r="BJ8" s="29" t="str">
        <f t="shared" si="11"/>
        <v>#DIV/0!</v>
      </c>
      <c r="BK8" s="29" t="str">
        <f t="shared" si="11"/>
        <v>#DIV/0!</v>
      </c>
      <c r="BL8" s="29" t="str">
        <f t="shared" si="11"/>
        <v>#DIV/0!</v>
      </c>
      <c r="BM8" s="29" t="str">
        <f t="shared" si="3"/>
        <v>#DIV/0!</v>
      </c>
    </row>
    <row r="9">
      <c r="A9" s="16" t="str">
        <f>IFERROR(__xludf.DUMMYFUNCTION("IFERROR(SPARKLINE(SORT(MAP(TRANSPOSE(AQ9:BL9), LAMBDA(val, IF(ISNUMBER(val), PERCENTRANK(AQ9:BL9, val)+0.01, 0))), SEQUENCE(COLUMNS(AQ9:BL9)), FALSE), {""charttype"",""column""; ""color"",""chartreuse""; ""ymin"", 0; ""ymax"", 1.01; ""highcolor"", ""darkg"&amp;"reen""; ""lowcolor"", ""red""}), """")"),"")</f>
        <v/>
      </c>
      <c r="B9" s="17" t="str">
        <f t="shared" si="4"/>
        <v/>
      </c>
      <c r="C9" s="1" t="s">
        <v>132</v>
      </c>
      <c r="D9" s="30" t="str">
        <f>IFERROR(__xludf.DUMMYFUNCTION("IFERROR(GOOGLEFINANCE(C9, ""NAME""))"),"Wendy's Co")</f>
        <v>Wendy's Co</v>
      </c>
      <c r="E9" s="30" t="s">
        <v>126</v>
      </c>
      <c r="F9" s="33" t="str">
        <f>IFERROR(__xludf.DUMMYFUNCTION("( (GOOGLEFINANCE(C9, ""price"") - Q9) / Q9 ) / (R9 / 100)"),"Loading...")</f>
        <v>Loading...</v>
      </c>
      <c r="G9" s="20" t="str">
        <f>IFERROR(__xludf.DUMMYFUNCTION("AVERAGE(ARRAYFORMULA(100 * (QUERY(GOOGLEFINANCE(C9, ""high"", TODAY()-40, TODAY()), ""SELECT Col2 WHERE Col2 IS NOT NULL ORDER BY Col1 DESC LIMIT 20"", 0) / QUERY(GOOGLEFINANCE(C9, ""low"", TODAY()-40, TODAY()), ""SELECT Col2 WHERE Col2 IS NOT NULL ORDER "&amp;"BY Col1 DESC LIMIT 20"", 0) - 1)))"),"#N/A")</f>
        <v>#N/A</v>
      </c>
      <c r="H9" s="35" t="str">
        <f t="shared" si="6"/>
        <v/>
      </c>
      <c r="I9" s="35" t="str">
        <f t="shared" si="7"/>
        <v/>
      </c>
      <c r="J9" s="37" t="str">
        <f>IFERROR(__xludf.DUMMYFUNCTION("IFERROR(
  IF(C9="""",, 
    IFERROR(
      GOOGLEFINANCE(C9, ""price"") * GOOGLEFINANCE(C9, ""volumeavg""), 
      GOOGLEFINANCE(C9, ""price"") * AVERAGE(QUERY(GOOGLEFINANCE(C9, ""volume"", TODAY()-40, TODAY()), ""SELECT Col2 WHERE Col2 IS NOT NULL ORDER"&amp;" BY Col1 DESC LIMIT 20"", 0))
    )
  ), 
"""")"),"")</f>
        <v/>
      </c>
      <c r="K9" s="21" t="str">
        <f>IFERROR(__xludf.DUMMYFUNCTION("IFERROR(GOOGLEFINANCE(C9, ""changepct"") / 100, """")"),"")</f>
        <v/>
      </c>
      <c r="L9" s="21" t="str">
        <f>IFERROR(__xludf.DUMMYFUNCTION("IFERROR((GOOGLEFINANCE(C9, ""price"") / INDEX(GOOGLEFINANCE(C9, ""price"", TODAY()-7, TODAY()), 2, 2)) - 1, """")"),"")</f>
        <v/>
      </c>
      <c r="M9" s="21" t="str">
        <f>IFERROR(__xludf.DUMMYFUNCTION("IFERROR((GOOGLEFINANCE(C9, ""price"") / INDEX(GOOGLEFINANCE(C9, ""price"", EDATE(TODAY(), -1), TODAY()), 2, 2)) - 1, """")"),"")</f>
        <v/>
      </c>
      <c r="N9" s="21" t="str">
        <f>IFERROR(__xludf.DUMMYFUNCTION("IFERROR((GOOGLEFINANCE(C9, ""price"") / INDEX(GOOGLEFINANCE(C9, ""price"", EDATE(TODAY(), -3), TODAY()), 2, 2)) - 1, """")"),"")</f>
        <v/>
      </c>
      <c r="O9" s="21" t="str">
        <f>IFERROR(__xludf.DUMMYFUNCTION("IFERROR((GOOGLEFINANCE(C9, ""price"") / INDEX(GOOGLEFINANCE(C9, ""price"", EDATE(TODAY(), -6), TODAY()), 2, 2)) - 1, """")"),"")</f>
        <v/>
      </c>
      <c r="P9" s="21" t="str">
        <f>IFERROR(__xludf.DUMMYFUNCTION("IFERROR((GOOGLEFINANCE(C9, ""price"") / INDEX(GOOGLEFINANCE(C9, ""price"", EDATE(TODAY(), -12), TODAY()), 2, 2)) - 1, """")"),"")</f>
        <v/>
      </c>
      <c r="Q9" s="6" t="str">
        <f>IFERROR(__xludf.DUMMYFUNCTION("AVERAGE(QUERY(GOOGLEFINANCE(C9, ""price"", TODAY()-80, TODAY()), ""SELECT Col2 WHERE Col2 IS NOT NULL ORDER BY Col1 DESC LIMIT 50"", 0))"),"#N/A")</f>
        <v>#N/A</v>
      </c>
      <c r="R9" s="24" t="str">
        <f>IFERROR(__xludf.DUMMYFUNCTION("IFERROR(
  LET(
    data, QUERY(GOOGLEFINANCE(C9,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GOOGLEFINANCE(C9, ""price"")) * 100,
    IF(calc=0, G9, calc)
  ), 
G9)"),"#N/A")</f>
        <v>#N/A</v>
      </c>
      <c r="S9" s="8" t="s">
        <v>15</v>
      </c>
      <c r="T9" s="26" t="str">
        <f>IFERROR(__xludf.DUMMYFUNCTION("IFERROR(TRANSPOSE(QUERY(IFERROR(SORT(GOOGLEFINANCE(C9, ""price"", WORKDAY(TODAY(), -40), TODAY()), 1, FALSE)), ""select Col2 where Col2 is not null limit 22 label Col2 ''"", 0)), """")"),"")</f>
        <v/>
      </c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8"/>
      <c r="AO9" s="28"/>
      <c r="AP9" s="29"/>
      <c r="AQ9" s="29" t="str">
        <f t="shared" ref="AQ9:BL9" si="12">T9/T$2</f>
        <v>#N/A</v>
      </c>
      <c r="AR9" s="29" t="str">
        <f t="shared" si="12"/>
        <v>#DIV/0!</v>
      </c>
      <c r="AS9" s="29" t="str">
        <f t="shared" si="12"/>
        <v>#DIV/0!</v>
      </c>
      <c r="AT9" s="29" t="str">
        <f t="shared" si="12"/>
        <v>#DIV/0!</v>
      </c>
      <c r="AU9" s="29" t="str">
        <f t="shared" si="12"/>
        <v>#DIV/0!</v>
      </c>
      <c r="AV9" s="29" t="str">
        <f t="shared" si="12"/>
        <v>#DIV/0!</v>
      </c>
      <c r="AW9" s="29" t="str">
        <f t="shared" si="12"/>
        <v>#DIV/0!</v>
      </c>
      <c r="AX9" s="29" t="str">
        <f t="shared" si="12"/>
        <v>#DIV/0!</v>
      </c>
      <c r="AY9" s="29" t="str">
        <f t="shared" si="12"/>
        <v>#DIV/0!</v>
      </c>
      <c r="AZ9" s="29" t="str">
        <f t="shared" si="12"/>
        <v>#DIV/0!</v>
      </c>
      <c r="BA9" s="29" t="str">
        <f t="shared" si="12"/>
        <v>#DIV/0!</v>
      </c>
      <c r="BB9" s="29" t="str">
        <f t="shared" si="12"/>
        <v>#DIV/0!</v>
      </c>
      <c r="BC9" s="29" t="str">
        <f t="shared" si="12"/>
        <v>#DIV/0!</v>
      </c>
      <c r="BD9" s="29" t="str">
        <f t="shared" si="12"/>
        <v>#DIV/0!</v>
      </c>
      <c r="BE9" s="29" t="str">
        <f t="shared" si="12"/>
        <v>#DIV/0!</v>
      </c>
      <c r="BF9" s="29" t="str">
        <f t="shared" si="12"/>
        <v>#DIV/0!</v>
      </c>
      <c r="BG9" s="29" t="str">
        <f t="shared" si="12"/>
        <v>#DIV/0!</v>
      </c>
      <c r="BH9" s="29" t="str">
        <f t="shared" si="12"/>
        <v>#DIV/0!</v>
      </c>
      <c r="BI9" s="29" t="str">
        <f t="shared" si="12"/>
        <v>#DIV/0!</v>
      </c>
      <c r="BJ9" s="29" t="str">
        <f t="shared" si="12"/>
        <v>#DIV/0!</v>
      </c>
      <c r="BK9" s="29" t="str">
        <f t="shared" si="12"/>
        <v>#DIV/0!</v>
      </c>
      <c r="BL9" s="29" t="str">
        <f t="shared" si="12"/>
        <v>#DIV/0!</v>
      </c>
      <c r="BM9" s="29" t="str">
        <f t="shared" si="3"/>
        <v>#DIV/0!</v>
      </c>
    </row>
    <row r="10">
      <c r="A10" s="16" t="str">
        <f>IFERROR(__xludf.DUMMYFUNCTION("IFERROR(SPARKLINE(SORT(MAP(TRANSPOSE(AQ10:BL10), LAMBDA(val, IF(ISNUMBER(val), PERCENTRANK(AQ10:BL10, val)+0.01, 0))), SEQUENCE(COLUMNS(AQ10:BL10)), FALSE), {""charttype"",""column""; ""color"",""chartreuse""; ""ymin"", 0; ""ymax"", 1.01; ""highcolor"", "&amp;"""darkgreen""; ""lowcolor"", ""red""}), """")"),"")</f>
        <v/>
      </c>
      <c r="B10" s="17" t="str">
        <f t="shared" si="4"/>
        <v/>
      </c>
      <c r="C10" s="1" t="s">
        <v>136</v>
      </c>
      <c r="D10" s="30" t="str">
        <f>IFERROR(__xludf.DUMMYFUNCTION("IFERROR(GOOGLEFINANCE(C10, ""NAME""))"),"Sea Ltd")</f>
        <v>Sea Ltd</v>
      </c>
      <c r="E10" s="30" t="s">
        <v>137</v>
      </c>
      <c r="F10" s="33" t="str">
        <f>IFERROR(__xludf.DUMMYFUNCTION("( (GOOGLEFINANCE(C10, ""price"") - Q10) / Q10 ) / (R10 / 100)"),"Loading...")</f>
        <v>Loading...</v>
      </c>
      <c r="G10" s="20" t="str">
        <f>IFERROR(__xludf.DUMMYFUNCTION("AVERAGE(ARRAYFORMULA(100 * (QUERY(GOOGLEFINANCE(C10, ""high"", TODAY()-40, TODAY()), ""SELECT Col2 WHERE Col2 IS NOT NULL ORDER BY Col1 DESC LIMIT 20"", 0) / QUERY(GOOGLEFINANCE(C10, ""low"", TODAY()-40, TODAY()), ""SELECT Col2 WHERE Col2 IS NOT NULL ORDE"&amp;"R BY Col1 DESC LIMIT 20"", 0) - 1)))"),"#N/A")</f>
        <v>#N/A</v>
      </c>
      <c r="H10" s="35" t="str">
        <f t="shared" si="6"/>
        <v/>
      </c>
      <c r="I10" s="35" t="str">
        <f t="shared" si="7"/>
        <v/>
      </c>
      <c r="J10" s="37" t="str">
        <f>IFERROR(__xludf.DUMMYFUNCTION("IFERROR(
  IF(C10="""",, 
    IFERROR(
      GOOGLEFINANCE(C10, ""price"") * GOOGLEFINANCE(C10, ""volumeavg""), 
      GOOGLEFINANCE(C10, ""price"") * AVERAGE(QUERY(GOOGLEFINANCE(C10, ""volume"", TODAY()-40, TODAY()), ""SELECT Col2 WHERE Col2 IS NOT NULL "&amp;"ORDER BY Col1 DESC LIMIT 20"", 0))
    )
  ), 
"""")"),"")</f>
        <v/>
      </c>
      <c r="K10" s="21" t="str">
        <f>IFERROR(__xludf.DUMMYFUNCTION("IFERROR(GOOGLEFINANCE(C10, ""changepct"") / 100, """")"),"")</f>
        <v/>
      </c>
      <c r="L10" s="21" t="str">
        <f>IFERROR(__xludf.DUMMYFUNCTION("IFERROR((GOOGLEFINANCE(C10, ""price"") / INDEX(GOOGLEFINANCE(C10, ""price"", TODAY()-7, TODAY()), 2, 2)) - 1, """")"),"")</f>
        <v/>
      </c>
      <c r="M10" s="21" t="str">
        <f>IFERROR(__xludf.DUMMYFUNCTION("IFERROR((GOOGLEFINANCE(C10, ""price"") / INDEX(GOOGLEFINANCE(C10, ""price"", EDATE(TODAY(), -1), TODAY()), 2, 2)) - 1, """")"),"")</f>
        <v/>
      </c>
      <c r="N10" s="21" t="str">
        <f>IFERROR(__xludf.DUMMYFUNCTION("IFERROR((GOOGLEFINANCE(C10, ""price"") / INDEX(GOOGLEFINANCE(C10, ""price"", EDATE(TODAY(), -3), TODAY()), 2, 2)) - 1, """")"),"")</f>
        <v/>
      </c>
      <c r="O10" s="21" t="str">
        <f>IFERROR(__xludf.DUMMYFUNCTION("IFERROR((GOOGLEFINANCE(C10, ""price"") / INDEX(GOOGLEFINANCE(C10, ""price"", EDATE(TODAY(), -6), TODAY()), 2, 2)) - 1, """")"),"")</f>
        <v/>
      </c>
      <c r="P10" s="21" t="str">
        <f>IFERROR(__xludf.DUMMYFUNCTION("IFERROR((GOOGLEFINANCE(C10, ""price"") / INDEX(GOOGLEFINANCE(C10, ""price"", EDATE(TODAY(), -12), TODAY()), 2, 2)) - 1, """")"),"")</f>
        <v/>
      </c>
      <c r="Q10" s="6" t="str">
        <f>IFERROR(__xludf.DUMMYFUNCTION("AVERAGE(QUERY(GOOGLEFINANCE(C10, ""price"", TODAY()-80, TODAY()), ""SELECT Col2 WHERE Col2 IS NOT NULL ORDER BY Col1 DESC LIMIT 50"", 0))"),"#N/A")</f>
        <v>#N/A</v>
      </c>
      <c r="R10" s="24" t="str">
        <f>IFERROR(__xludf.DUMMYFUNCTION("IFERROR(
  LET(
    data, QUERY(GOOGLEFINANCE(C10,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GOOGLEFINANCE(C10, ""price"")) * 100,
    IF(calc=0, G10, calc)
  ), 
G10)"),"#N/A")</f>
        <v>#N/A</v>
      </c>
      <c r="S10" s="8" t="s">
        <v>15</v>
      </c>
      <c r="T10" s="26" t="str">
        <f>IFERROR(__xludf.DUMMYFUNCTION("IFERROR(TRANSPOSE(QUERY(IFERROR(SORT(GOOGLEFINANCE(C10, ""price"", WORKDAY(TODAY(), -40), TODAY()), 1, FALSE)), ""select Col2 where Col2 is not null limit 22 label Col2 ''"", 0)), """")"),"")</f>
        <v/>
      </c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8"/>
      <c r="AO10" s="28"/>
      <c r="AP10" s="29"/>
      <c r="AQ10" s="29" t="str">
        <f t="shared" ref="AQ10:BL10" si="13">T10/T$2</f>
        <v>#N/A</v>
      </c>
      <c r="AR10" s="29" t="str">
        <f t="shared" si="13"/>
        <v>#DIV/0!</v>
      </c>
      <c r="AS10" s="29" t="str">
        <f t="shared" si="13"/>
        <v>#DIV/0!</v>
      </c>
      <c r="AT10" s="29" t="str">
        <f t="shared" si="13"/>
        <v>#DIV/0!</v>
      </c>
      <c r="AU10" s="29" t="str">
        <f t="shared" si="13"/>
        <v>#DIV/0!</v>
      </c>
      <c r="AV10" s="29" t="str">
        <f t="shared" si="13"/>
        <v>#DIV/0!</v>
      </c>
      <c r="AW10" s="29" t="str">
        <f t="shared" si="13"/>
        <v>#DIV/0!</v>
      </c>
      <c r="AX10" s="29" t="str">
        <f t="shared" si="13"/>
        <v>#DIV/0!</v>
      </c>
      <c r="AY10" s="29" t="str">
        <f t="shared" si="13"/>
        <v>#DIV/0!</v>
      </c>
      <c r="AZ10" s="29" t="str">
        <f t="shared" si="13"/>
        <v>#DIV/0!</v>
      </c>
      <c r="BA10" s="29" t="str">
        <f t="shared" si="13"/>
        <v>#DIV/0!</v>
      </c>
      <c r="BB10" s="29" t="str">
        <f t="shared" si="13"/>
        <v>#DIV/0!</v>
      </c>
      <c r="BC10" s="29" t="str">
        <f t="shared" si="13"/>
        <v>#DIV/0!</v>
      </c>
      <c r="BD10" s="29" t="str">
        <f t="shared" si="13"/>
        <v>#DIV/0!</v>
      </c>
      <c r="BE10" s="29" t="str">
        <f t="shared" si="13"/>
        <v>#DIV/0!</v>
      </c>
      <c r="BF10" s="29" t="str">
        <f t="shared" si="13"/>
        <v>#DIV/0!</v>
      </c>
      <c r="BG10" s="29" t="str">
        <f t="shared" si="13"/>
        <v>#DIV/0!</v>
      </c>
      <c r="BH10" s="29" t="str">
        <f t="shared" si="13"/>
        <v>#DIV/0!</v>
      </c>
      <c r="BI10" s="29" t="str">
        <f t="shared" si="13"/>
        <v>#DIV/0!</v>
      </c>
      <c r="BJ10" s="29" t="str">
        <f t="shared" si="13"/>
        <v>#DIV/0!</v>
      </c>
      <c r="BK10" s="29" t="str">
        <f t="shared" si="13"/>
        <v>#DIV/0!</v>
      </c>
      <c r="BL10" s="29" t="str">
        <f t="shared" si="13"/>
        <v>#DIV/0!</v>
      </c>
      <c r="BM10" s="29" t="str">
        <f t="shared" si="3"/>
        <v>#DIV/0!</v>
      </c>
    </row>
    <row r="11">
      <c r="A11" s="16" t="str">
        <f>IFERROR(__xludf.DUMMYFUNCTION("IFERROR(SPARKLINE(SORT(MAP(TRANSPOSE(AQ11:BL11), LAMBDA(val, IF(ISNUMBER(val), PERCENTRANK(AQ11:BL11, val)+0.01, 0))), SEQUENCE(COLUMNS(AQ11:BL11)), FALSE), {""charttype"",""column""; ""color"",""chartreuse""; ""ymin"", 0; ""ymax"", 1.01; ""highcolor"", "&amp;"""darkgreen""; ""lowcolor"", ""red""}), """")"),"")</f>
        <v/>
      </c>
      <c r="B11" s="17" t="str">
        <f t="shared" si="4"/>
        <v/>
      </c>
      <c r="C11" s="1" t="s">
        <v>141</v>
      </c>
      <c r="D11" s="30" t="str">
        <f>IFERROR(__xludf.DUMMYFUNCTION("IFERROR(GOOGLEFINANCE(C11, ""NAME""))"),"Tesla Inc")</f>
        <v>Tesla Inc</v>
      </c>
      <c r="E11" s="30" t="s">
        <v>129</v>
      </c>
      <c r="F11" s="33" t="str">
        <f>IFERROR(__xludf.DUMMYFUNCTION("( (GOOGLEFINANCE(C11, ""price"") - Q11) / Q11 ) / (R11 / 100)"),"Loading...")</f>
        <v>Loading...</v>
      </c>
      <c r="G11" s="20" t="str">
        <f>IFERROR(__xludf.DUMMYFUNCTION("AVERAGE(ARRAYFORMULA(100 * (QUERY(GOOGLEFINANCE(C11, ""high"", TODAY()-40, TODAY()), ""SELECT Col2 WHERE Col2 IS NOT NULL ORDER BY Col1 DESC LIMIT 20"", 0) / QUERY(GOOGLEFINANCE(C11, ""low"", TODAY()-40, TODAY()), ""SELECT Col2 WHERE Col2 IS NOT NULL ORDE"&amp;"R BY Col1 DESC LIMIT 20"", 0) - 1)))"),"#N/A")</f>
        <v>#N/A</v>
      </c>
      <c r="H11" s="35" t="str">
        <f t="shared" si="6"/>
        <v/>
      </c>
      <c r="I11" s="35" t="str">
        <f t="shared" si="7"/>
        <v/>
      </c>
      <c r="J11" s="37" t="str">
        <f>IFERROR(__xludf.DUMMYFUNCTION("IFERROR(
  IF(C11="""",, 
    IFERROR(
      GOOGLEFINANCE(C11, ""price"") * GOOGLEFINANCE(C11, ""volumeavg""), 
      GOOGLEFINANCE(C11, ""price"") * AVERAGE(QUERY(GOOGLEFINANCE(C11, ""volume"", TODAY()-40, TODAY()), ""SELECT Col2 WHERE Col2 IS NOT NULL "&amp;"ORDER BY Col1 DESC LIMIT 20"", 0))
    )
  ), 
"""")"),"")</f>
        <v/>
      </c>
      <c r="K11" s="21" t="str">
        <f>IFERROR(__xludf.DUMMYFUNCTION("IFERROR(GOOGLEFINANCE(C11, ""changepct"") / 100, """")"),"")</f>
        <v/>
      </c>
      <c r="L11" s="21" t="str">
        <f>IFERROR(__xludf.DUMMYFUNCTION("IFERROR((GOOGLEFINANCE(C11, ""price"") / INDEX(GOOGLEFINANCE(C11, ""price"", TODAY()-7, TODAY()), 2, 2)) - 1, """")"),"")</f>
        <v/>
      </c>
      <c r="M11" s="21" t="str">
        <f>IFERROR(__xludf.DUMMYFUNCTION("IFERROR((GOOGLEFINANCE(C11, ""price"") / INDEX(GOOGLEFINANCE(C11, ""price"", EDATE(TODAY(), -1), TODAY()), 2, 2)) - 1, """")"),"")</f>
        <v/>
      </c>
      <c r="N11" s="21" t="str">
        <f>IFERROR(__xludf.DUMMYFUNCTION("IFERROR((GOOGLEFINANCE(C11, ""price"") / INDEX(GOOGLEFINANCE(C11, ""price"", EDATE(TODAY(), -3), TODAY()), 2, 2)) - 1, """")"),"")</f>
        <v/>
      </c>
      <c r="O11" s="21" t="str">
        <f>IFERROR(__xludf.DUMMYFUNCTION("IFERROR((GOOGLEFINANCE(C11, ""price"") / INDEX(GOOGLEFINANCE(C11, ""price"", EDATE(TODAY(), -6), TODAY()), 2, 2)) - 1, """")"),"")</f>
        <v/>
      </c>
      <c r="P11" s="21" t="str">
        <f>IFERROR(__xludf.DUMMYFUNCTION("IFERROR((GOOGLEFINANCE(C11, ""price"") / INDEX(GOOGLEFINANCE(C11, ""price"", EDATE(TODAY(), -12), TODAY()), 2, 2)) - 1, """")"),"")</f>
        <v/>
      </c>
      <c r="Q11" s="6" t="str">
        <f>IFERROR(__xludf.DUMMYFUNCTION("AVERAGE(QUERY(GOOGLEFINANCE(C11, ""price"", TODAY()-80, TODAY()), ""SELECT Col2 WHERE Col2 IS NOT NULL ORDER BY Col1 DESC LIMIT 50"", 0))"),"#N/A")</f>
        <v>#N/A</v>
      </c>
      <c r="R11" s="24" t="str">
        <f>IFERROR(__xludf.DUMMYFUNCTION("IFERROR(
  LET(
    data, QUERY(GOOGLEFINANCE(C11,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GOOGLEFINANCE(C11, ""price"")) * 100,
    IF(calc=0, G11, calc)
  ), 
G11)"),"#N/A")</f>
        <v>#N/A</v>
      </c>
      <c r="S11" s="8" t="s">
        <v>15</v>
      </c>
      <c r="T11" s="26" t="str">
        <f>IFERROR(__xludf.DUMMYFUNCTION("IFERROR(TRANSPOSE(QUERY(IFERROR(SORT(GOOGLEFINANCE(C11, ""price"", WORKDAY(TODAY(), -40), TODAY()), 1, FALSE)), ""select Col2 where Col2 is not null limit 22 label Col2 ''"", 0)), """")"),"")</f>
        <v/>
      </c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8"/>
      <c r="AO11" s="28"/>
      <c r="AP11" s="29"/>
      <c r="AQ11" s="29" t="str">
        <f t="shared" ref="AQ11:BL11" si="14">T11/T$2</f>
        <v>#N/A</v>
      </c>
      <c r="AR11" s="29" t="str">
        <f t="shared" si="14"/>
        <v>#DIV/0!</v>
      </c>
      <c r="AS11" s="29" t="str">
        <f t="shared" si="14"/>
        <v>#DIV/0!</v>
      </c>
      <c r="AT11" s="29" t="str">
        <f t="shared" si="14"/>
        <v>#DIV/0!</v>
      </c>
      <c r="AU11" s="29" t="str">
        <f t="shared" si="14"/>
        <v>#DIV/0!</v>
      </c>
      <c r="AV11" s="29" t="str">
        <f t="shared" si="14"/>
        <v>#DIV/0!</v>
      </c>
      <c r="AW11" s="29" t="str">
        <f t="shared" si="14"/>
        <v>#DIV/0!</v>
      </c>
      <c r="AX11" s="29" t="str">
        <f t="shared" si="14"/>
        <v>#DIV/0!</v>
      </c>
      <c r="AY11" s="29" t="str">
        <f t="shared" si="14"/>
        <v>#DIV/0!</v>
      </c>
      <c r="AZ11" s="29" t="str">
        <f t="shared" si="14"/>
        <v>#DIV/0!</v>
      </c>
      <c r="BA11" s="29" t="str">
        <f t="shared" si="14"/>
        <v>#DIV/0!</v>
      </c>
      <c r="BB11" s="29" t="str">
        <f t="shared" si="14"/>
        <v>#DIV/0!</v>
      </c>
      <c r="BC11" s="29" t="str">
        <f t="shared" si="14"/>
        <v>#DIV/0!</v>
      </c>
      <c r="BD11" s="29" t="str">
        <f t="shared" si="14"/>
        <v>#DIV/0!</v>
      </c>
      <c r="BE11" s="29" t="str">
        <f t="shared" si="14"/>
        <v>#DIV/0!</v>
      </c>
      <c r="BF11" s="29" t="str">
        <f t="shared" si="14"/>
        <v>#DIV/0!</v>
      </c>
      <c r="BG11" s="29" t="str">
        <f t="shared" si="14"/>
        <v>#DIV/0!</v>
      </c>
      <c r="BH11" s="29" t="str">
        <f t="shared" si="14"/>
        <v>#DIV/0!</v>
      </c>
      <c r="BI11" s="29" t="str">
        <f t="shared" si="14"/>
        <v>#DIV/0!</v>
      </c>
      <c r="BJ11" s="29" t="str">
        <f t="shared" si="14"/>
        <v>#DIV/0!</v>
      </c>
      <c r="BK11" s="29" t="str">
        <f t="shared" si="14"/>
        <v>#DIV/0!</v>
      </c>
      <c r="BL11" s="29" t="str">
        <f t="shared" si="14"/>
        <v>#DIV/0!</v>
      </c>
      <c r="BM11" s="29" t="str">
        <f t="shared" si="3"/>
        <v>#DIV/0!</v>
      </c>
    </row>
    <row r="12">
      <c r="A12" s="16" t="str">
        <f>IFERROR(__xludf.DUMMYFUNCTION("IFERROR(SPARKLINE(SORT(MAP(TRANSPOSE(AQ12:BL12), LAMBDA(val, IF(ISNUMBER(val), PERCENTRANK(AQ12:BL12, val)+0.01, 0))), SEQUENCE(COLUMNS(AQ12:BL12)), FALSE), {""charttype"",""column""; ""color"",""chartreuse""; ""ymin"", 0; ""ymax"", 1.01; ""highcolor"", "&amp;"""darkgreen""; ""lowcolor"", ""red""}), """")"),"")</f>
        <v/>
      </c>
      <c r="B12" s="17" t="str">
        <f t="shared" si="4"/>
        <v/>
      </c>
      <c r="C12" s="1" t="s">
        <v>146</v>
      </c>
      <c r="D12" s="30" t="str">
        <f>IFERROR(__xludf.DUMMYFUNCTION("IFERROR(GOOGLEFINANCE(C12, ""NAME""))"),"Hyliion Holdings Corp")</f>
        <v>Hyliion Holdings Corp</v>
      </c>
      <c r="E12" s="30" t="s">
        <v>109</v>
      </c>
      <c r="F12" s="33" t="str">
        <f>IFERROR(__xludf.DUMMYFUNCTION("( (GOOGLEFINANCE(C12, ""price"") - Q12) / Q12 ) / (R12 / 100)"),"Loading...")</f>
        <v>Loading...</v>
      </c>
      <c r="G12" s="20" t="str">
        <f>IFERROR(__xludf.DUMMYFUNCTION("AVERAGE(ARRAYFORMULA(100 * (QUERY(GOOGLEFINANCE(C12, ""high"", TODAY()-40, TODAY()), ""SELECT Col2 WHERE Col2 IS NOT NULL ORDER BY Col1 DESC LIMIT 20"", 0) / QUERY(GOOGLEFINANCE(C12, ""low"", TODAY()-40, TODAY()), ""SELECT Col2 WHERE Col2 IS NOT NULL ORDE"&amp;"R BY Col1 DESC LIMIT 20"", 0) - 1)))"),"#N/A")</f>
        <v>#N/A</v>
      </c>
      <c r="H12" s="35" t="str">
        <f t="shared" si="6"/>
        <v/>
      </c>
      <c r="I12" s="35" t="str">
        <f t="shared" si="7"/>
        <v/>
      </c>
      <c r="J12" s="37" t="str">
        <f>IFERROR(__xludf.DUMMYFUNCTION("IFERROR(
  IF(C12="""",, 
    IFERROR(
      GOOGLEFINANCE(C12, ""price"") * GOOGLEFINANCE(C12, ""volumeavg""), 
      GOOGLEFINANCE(C12, ""price"") * AVERAGE(QUERY(GOOGLEFINANCE(C12, ""volume"", TODAY()-40, TODAY()), ""SELECT Col2 WHERE Col2 IS NOT NULL "&amp;"ORDER BY Col1 DESC LIMIT 20"", 0))
    )
  ), 
"""")"),"")</f>
        <v/>
      </c>
      <c r="K12" s="21" t="str">
        <f>IFERROR(__xludf.DUMMYFUNCTION("IFERROR(GOOGLEFINANCE(C12, ""changepct"") / 100, """")"),"")</f>
        <v/>
      </c>
      <c r="L12" s="21" t="str">
        <f>IFERROR(__xludf.DUMMYFUNCTION("IFERROR((GOOGLEFINANCE(C12, ""price"") / INDEX(GOOGLEFINANCE(C12, ""price"", TODAY()-7, TODAY()), 2, 2)) - 1, """")"),"")</f>
        <v/>
      </c>
      <c r="M12" s="21" t="str">
        <f>IFERROR(__xludf.DUMMYFUNCTION("IFERROR((GOOGLEFINANCE(C12, ""price"") / INDEX(GOOGLEFINANCE(C12, ""price"", EDATE(TODAY(), -1), TODAY()), 2, 2)) - 1, """")"),"")</f>
        <v/>
      </c>
      <c r="N12" s="21" t="str">
        <f>IFERROR(__xludf.DUMMYFUNCTION("IFERROR((GOOGLEFINANCE(C12, ""price"") / INDEX(GOOGLEFINANCE(C12, ""price"", EDATE(TODAY(), -3), TODAY()), 2, 2)) - 1, """")"),"")</f>
        <v/>
      </c>
      <c r="O12" s="21" t="str">
        <f>IFERROR(__xludf.DUMMYFUNCTION("IFERROR((GOOGLEFINANCE(C12, ""price"") / INDEX(GOOGLEFINANCE(C12, ""price"", EDATE(TODAY(), -6), TODAY()), 2, 2)) - 1, """")"),"")</f>
        <v/>
      </c>
      <c r="P12" s="21" t="str">
        <f>IFERROR(__xludf.DUMMYFUNCTION("IFERROR((GOOGLEFINANCE(C12, ""price"") / INDEX(GOOGLEFINANCE(C12, ""price"", EDATE(TODAY(), -12), TODAY()), 2, 2)) - 1, """")"),"")</f>
        <v/>
      </c>
      <c r="Q12" s="6" t="str">
        <f>IFERROR(__xludf.DUMMYFUNCTION("AVERAGE(QUERY(GOOGLEFINANCE(C12, ""price"", TODAY()-80, TODAY()), ""SELECT Col2 WHERE Col2 IS NOT NULL ORDER BY Col1 DESC LIMIT 50"", 0))"),"#N/A")</f>
        <v>#N/A</v>
      </c>
      <c r="R12" s="24" t="str">
        <f>IFERROR(__xludf.DUMMYFUNCTION("IFERROR(
  LET(
    data, QUERY(GOOGLEFINANCE(C12,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GOOGLEFINANCE(C12, ""price"")) * 100,
    IF(calc=0, G12, calc)
  ), 
G12)"),"#N/A")</f>
        <v>#N/A</v>
      </c>
      <c r="S12" s="8" t="s">
        <v>15</v>
      </c>
      <c r="T12" s="26" t="str">
        <f>IFERROR(__xludf.DUMMYFUNCTION("IFERROR(TRANSPOSE(QUERY(IFERROR(SORT(GOOGLEFINANCE(C12, ""price"", WORKDAY(TODAY(), -40), TODAY()), 1, FALSE)), ""select Col2 where Col2 is not null limit 22 label Col2 ''"", 0)), """")"),"")</f>
        <v/>
      </c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8"/>
      <c r="AO12" s="28"/>
      <c r="AP12" s="29"/>
      <c r="AQ12" s="29" t="str">
        <f t="shared" ref="AQ12:BL12" si="15">T12/T$2</f>
        <v>#N/A</v>
      </c>
      <c r="AR12" s="29" t="str">
        <f t="shared" si="15"/>
        <v>#DIV/0!</v>
      </c>
      <c r="AS12" s="29" t="str">
        <f t="shared" si="15"/>
        <v>#DIV/0!</v>
      </c>
      <c r="AT12" s="29" t="str">
        <f t="shared" si="15"/>
        <v>#DIV/0!</v>
      </c>
      <c r="AU12" s="29" t="str">
        <f t="shared" si="15"/>
        <v>#DIV/0!</v>
      </c>
      <c r="AV12" s="29" t="str">
        <f t="shared" si="15"/>
        <v>#DIV/0!</v>
      </c>
      <c r="AW12" s="29" t="str">
        <f t="shared" si="15"/>
        <v>#DIV/0!</v>
      </c>
      <c r="AX12" s="29" t="str">
        <f t="shared" si="15"/>
        <v>#DIV/0!</v>
      </c>
      <c r="AY12" s="29" t="str">
        <f t="shared" si="15"/>
        <v>#DIV/0!</v>
      </c>
      <c r="AZ12" s="29" t="str">
        <f t="shared" si="15"/>
        <v>#DIV/0!</v>
      </c>
      <c r="BA12" s="29" t="str">
        <f t="shared" si="15"/>
        <v>#DIV/0!</v>
      </c>
      <c r="BB12" s="29" t="str">
        <f t="shared" si="15"/>
        <v>#DIV/0!</v>
      </c>
      <c r="BC12" s="29" t="str">
        <f t="shared" si="15"/>
        <v>#DIV/0!</v>
      </c>
      <c r="BD12" s="29" t="str">
        <f t="shared" si="15"/>
        <v>#DIV/0!</v>
      </c>
      <c r="BE12" s="29" t="str">
        <f t="shared" si="15"/>
        <v>#DIV/0!</v>
      </c>
      <c r="BF12" s="29" t="str">
        <f t="shared" si="15"/>
        <v>#DIV/0!</v>
      </c>
      <c r="BG12" s="29" t="str">
        <f t="shared" si="15"/>
        <v>#DIV/0!</v>
      </c>
      <c r="BH12" s="29" t="str">
        <f t="shared" si="15"/>
        <v>#DIV/0!</v>
      </c>
      <c r="BI12" s="29" t="str">
        <f t="shared" si="15"/>
        <v>#DIV/0!</v>
      </c>
      <c r="BJ12" s="29" t="str">
        <f t="shared" si="15"/>
        <v>#DIV/0!</v>
      </c>
      <c r="BK12" s="29" t="str">
        <f t="shared" si="15"/>
        <v>#DIV/0!</v>
      </c>
      <c r="BL12" s="29" t="str">
        <f t="shared" si="15"/>
        <v>#DIV/0!</v>
      </c>
      <c r="BM12" s="29" t="str">
        <f t="shared" si="3"/>
        <v>#DIV/0!</v>
      </c>
    </row>
    <row r="13">
      <c r="A13" s="16" t="str">
        <f>IFERROR(__xludf.DUMMYFUNCTION("IFERROR(SPARKLINE(SORT(MAP(TRANSPOSE(AQ13:BL13), LAMBDA(val, IF(ISNUMBER(val), PERCENTRANK(AQ13:BL13, val)+0.01, 0))), SEQUENCE(COLUMNS(AQ13:BL13)), FALSE), {""charttype"",""column""; ""color"",""chartreuse""; ""ymin"", 0; ""ymax"", 1.01; ""highcolor"", "&amp;"""darkgreen""; ""lowcolor"", ""red""}), """")"),"")</f>
        <v/>
      </c>
      <c r="B13" s="17" t="str">
        <f t="shared" si="4"/>
        <v/>
      </c>
      <c r="C13" s="1" t="s">
        <v>149</v>
      </c>
      <c r="D13" s="30" t="str">
        <f>IFERROR(__xludf.DUMMYFUNCTION("IFERROR(GOOGLEFINANCE(C13, ""NAME""))"),"Bloomin' Brands Inc")</f>
        <v>Bloomin' Brands Inc</v>
      </c>
      <c r="E13" s="30" t="s">
        <v>126</v>
      </c>
      <c r="F13" s="33" t="str">
        <f>IFERROR(__xludf.DUMMYFUNCTION("( (GOOGLEFINANCE(C13, ""price"") - Q13) / Q13 ) / (R13 / 100)"),"Loading...")</f>
        <v>Loading...</v>
      </c>
      <c r="G13" s="20" t="str">
        <f>IFERROR(__xludf.DUMMYFUNCTION("AVERAGE(ARRAYFORMULA(100 * (QUERY(GOOGLEFINANCE(C13, ""high"", TODAY()-40, TODAY()), ""SELECT Col2 WHERE Col2 IS NOT NULL ORDER BY Col1 DESC LIMIT 20"", 0) / QUERY(GOOGLEFINANCE(C13, ""low"", TODAY()-40, TODAY()), ""SELECT Col2 WHERE Col2 IS NOT NULL ORDE"&amp;"R BY Col1 DESC LIMIT 20"", 0) - 1)))"),"#N/A")</f>
        <v>#N/A</v>
      </c>
      <c r="H13" s="35" t="str">
        <f t="shared" si="6"/>
        <v/>
      </c>
      <c r="I13" s="35" t="str">
        <f t="shared" si="7"/>
        <v/>
      </c>
      <c r="J13" s="37" t="str">
        <f>IFERROR(__xludf.DUMMYFUNCTION("IFERROR(
  IF(C13="""",, 
    IFERROR(
      GOOGLEFINANCE(C13, ""price"") * GOOGLEFINANCE(C13, ""volumeavg""), 
      GOOGLEFINANCE(C13, ""price"") * AVERAGE(QUERY(GOOGLEFINANCE(C13, ""volume"", TODAY()-40, TODAY()), ""SELECT Col2 WHERE Col2 IS NOT NULL "&amp;"ORDER BY Col1 DESC LIMIT 20"", 0))
    )
  ), 
"""")"),"")</f>
        <v/>
      </c>
      <c r="K13" s="21" t="str">
        <f>IFERROR(__xludf.DUMMYFUNCTION("IFERROR(GOOGLEFINANCE(C13, ""changepct"") / 100, """")"),"")</f>
        <v/>
      </c>
      <c r="L13" s="21" t="str">
        <f>IFERROR(__xludf.DUMMYFUNCTION("IFERROR((GOOGLEFINANCE(C13, ""price"") / INDEX(GOOGLEFINANCE(C13, ""price"", TODAY()-7, TODAY()), 2, 2)) - 1, """")"),"")</f>
        <v/>
      </c>
      <c r="M13" s="21" t="str">
        <f>IFERROR(__xludf.DUMMYFUNCTION("IFERROR((GOOGLEFINANCE(C13, ""price"") / INDEX(GOOGLEFINANCE(C13, ""price"", EDATE(TODAY(), -1), TODAY()), 2, 2)) - 1, """")"),"")</f>
        <v/>
      </c>
      <c r="N13" s="21" t="str">
        <f>IFERROR(__xludf.DUMMYFUNCTION("IFERROR((GOOGLEFINANCE(C13, ""price"") / INDEX(GOOGLEFINANCE(C13, ""price"", EDATE(TODAY(), -3), TODAY()), 2, 2)) - 1, """")"),"")</f>
        <v/>
      </c>
      <c r="O13" s="21" t="str">
        <f>IFERROR(__xludf.DUMMYFUNCTION("IFERROR((GOOGLEFINANCE(C13, ""price"") / INDEX(GOOGLEFINANCE(C13, ""price"", EDATE(TODAY(), -6), TODAY()), 2, 2)) - 1, """")"),"")</f>
        <v/>
      </c>
      <c r="P13" s="21" t="str">
        <f>IFERROR(__xludf.DUMMYFUNCTION("IFERROR((GOOGLEFINANCE(C13, ""price"") / INDEX(GOOGLEFINANCE(C13, ""price"", EDATE(TODAY(), -12), TODAY()), 2, 2)) - 1, """")"),"")</f>
        <v/>
      </c>
      <c r="Q13" s="6" t="str">
        <f>IFERROR(__xludf.DUMMYFUNCTION("AVERAGE(QUERY(GOOGLEFINANCE(C13, ""price"", TODAY()-80, TODAY()), ""SELECT Col2 WHERE Col2 IS NOT NULL ORDER BY Col1 DESC LIMIT 50"", 0))"),"#N/A")</f>
        <v>#N/A</v>
      </c>
      <c r="R13" s="24" t="str">
        <f>IFERROR(__xludf.DUMMYFUNCTION("IFERROR(
  LET(
    data, QUERY(GOOGLEFINANCE(C13,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GOOGLEFINANCE(C13, ""price"")) * 100,
    IF(calc=0, G13, calc)
  ), 
G13)"),"#N/A")</f>
        <v>#N/A</v>
      </c>
      <c r="S13" s="8" t="s">
        <v>15</v>
      </c>
      <c r="T13" s="26" t="str">
        <f>IFERROR(__xludf.DUMMYFUNCTION("IFERROR(TRANSPOSE(QUERY(IFERROR(SORT(GOOGLEFINANCE(C13, ""price"", WORKDAY(TODAY(), -40), TODAY()), 1, FALSE)), ""select Col2 where Col2 is not null limit 22 label Col2 ''"", 0)), """")"),"")</f>
        <v/>
      </c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8"/>
      <c r="AO13" s="28"/>
      <c r="AP13" s="29"/>
      <c r="AQ13" s="29" t="str">
        <f t="shared" ref="AQ13:BL13" si="16">T13/T$2</f>
        <v>#N/A</v>
      </c>
      <c r="AR13" s="29" t="str">
        <f t="shared" si="16"/>
        <v>#DIV/0!</v>
      </c>
      <c r="AS13" s="29" t="str">
        <f t="shared" si="16"/>
        <v>#DIV/0!</v>
      </c>
      <c r="AT13" s="29" t="str">
        <f t="shared" si="16"/>
        <v>#DIV/0!</v>
      </c>
      <c r="AU13" s="29" t="str">
        <f t="shared" si="16"/>
        <v>#DIV/0!</v>
      </c>
      <c r="AV13" s="29" t="str">
        <f t="shared" si="16"/>
        <v>#DIV/0!</v>
      </c>
      <c r="AW13" s="29" t="str">
        <f t="shared" si="16"/>
        <v>#DIV/0!</v>
      </c>
      <c r="AX13" s="29" t="str">
        <f t="shared" si="16"/>
        <v>#DIV/0!</v>
      </c>
      <c r="AY13" s="29" t="str">
        <f t="shared" si="16"/>
        <v>#DIV/0!</v>
      </c>
      <c r="AZ13" s="29" t="str">
        <f t="shared" si="16"/>
        <v>#DIV/0!</v>
      </c>
      <c r="BA13" s="29" t="str">
        <f t="shared" si="16"/>
        <v>#DIV/0!</v>
      </c>
      <c r="BB13" s="29" t="str">
        <f t="shared" si="16"/>
        <v>#DIV/0!</v>
      </c>
      <c r="BC13" s="29" t="str">
        <f t="shared" si="16"/>
        <v>#DIV/0!</v>
      </c>
      <c r="BD13" s="29" t="str">
        <f t="shared" si="16"/>
        <v>#DIV/0!</v>
      </c>
      <c r="BE13" s="29" t="str">
        <f t="shared" si="16"/>
        <v>#DIV/0!</v>
      </c>
      <c r="BF13" s="29" t="str">
        <f t="shared" si="16"/>
        <v>#DIV/0!</v>
      </c>
      <c r="BG13" s="29" t="str">
        <f t="shared" si="16"/>
        <v>#DIV/0!</v>
      </c>
      <c r="BH13" s="29" t="str">
        <f t="shared" si="16"/>
        <v>#DIV/0!</v>
      </c>
      <c r="BI13" s="29" t="str">
        <f t="shared" si="16"/>
        <v>#DIV/0!</v>
      </c>
      <c r="BJ13" s="29" t="str">
        <f t="shared" si="16"/>
        <v>#DIV/0!</v>
      </c>
      <c r="BK13" s="29" t="str">
        <f t="shared" si="16"/>
        <v>#DIV/0!</v>
      </c>
      <c r="BL13" s="29" t="str">
        <f t="shared" si="16"/>
        <v>#DIV/0!</v>
      </c>
      <c r="BM13" s="29" t="str">
        <f t="shared" si="3"/>
        <v>#DIV/0!</v>
      </c>
    </row>
    <row r="14">
      <c r="A14" s="16" t="str">
        <f>IFERROR(__xludf.DUMMYFUNCTION("IFERROR(SPARKLINE(SORT(MAP(TRANSPOSE(AQ14:BL14), LAMBDA(val, IF(ISNUMBER(val), PERCENTRANK(AQ14:BL14, val)+0.01, 0))), SEQUENCE(COLUMNS(AQ14:BL14)), FALSE), {""charttype"",""column""; ""color"",""chartreuse""; ""ymin"", 0; ""ymax"", 1.01; ""highcolor"", "&amp;"""darkgreen""; ""lowcolor"", ""red""}), """")"),"")</f>
        <v/>
      </c>
      <c r="B14" s="17" t="str">
        <f t="shared" si="4"/>
        <v/>
      </c>
      <c r="C14" s="1" t="s">
        <v>153</v>
      </c>
      <c r="D14" s="30" t="str">
        <f>IFERROR(__xludf.DUMMYFUNCTION("IFERROR(GOOGLEFINANCE(C14, ""NAME""))"),"H &amp; R Block Inc")</f>
        <v>H &amp; R Block Inc</v>
      </c>
      <c r="E14" s="30" t="s">
        <v>154</v>
      </c>
      <c r="F14" s="33" t="str">
        <f>IFERROR(__xludf.DUMMYFUNCTION("( (GOOGLEFINANCE(C14, ""price"") - Q14) / Q14 ) / (R14 / 100)"),"Loading...")</f>
        <v>Loading...</v>
      </c>
      <c r="G14" s="20" t="str">
        <f>IFERROR(__xludf.DUMMYFUNCTION("AVERAGE(ARRAYFORMULA(100 * (QUERY(GOOGLEFINANCE(C14, ""high"", TODAY()-40, TODAY()), ""SELECT Col2 WHERE Col2 IS NOT NULL ORDER BY Col1 DESC LIMIT 20"", 0) / QUERY(GOOGLEFINANCE(C14, ""low"", TODAY()-40, TODAY()), ""SELECT Col2 WHERE Col2 IS NOT NULL ORDE"&amp;"R BY Col1 DESC LIMIT 20"", 0) - 1)))"),"#N/A")</f>
        <v>#N/A</v>
      </c>
      <c r="H14" s="35" t="str">
        <f t="shared" si="6"/>
        <v/>
      </c>
      <c r="I14" s="35" t="str">
        <f t="shared" si="7"/>
        <v/>
      </c>
      <c r="J14" s="37" t="str">
        <f>IFERROR(__xludf.DUMMYFUNCTION("IFERROR(
  IF(C14="""",, 
    IFERROR(
      GOOGLEFINANCE(C14, ""price"") * GOOGLEFINANCE(C14, ""volumeavg""), 
      GOOGLEFINANCE(C14, ""price"") * AVERAGE(QUERY(GOOGLEFINANCE(C14, ""volume"", TODAY()-40, TODAY()), ""SELECT Col2 WHERE Col2 IS NOT NULL "&amp;"ORDER BY Col1 DESC LIMIT 20"", 0))
    )
  ), 
"""")"),"")</f>
        <v/>
      </c>
      <c r="K14" s="21" t="str">
        <f>IFERROR(__xludf.DUMMYFUNCTION("IFERROR(GOOGLEFINANCE(C14, ""changepct"") / 100, """")"),"")</f>
        <v/>
      </c>
      <c r="L14" s="21" t="str">
        <f>IFERROR(__xludf.DUMMYFUNCTION("IFERROR((GOOGLEFINANCE(C14, ""price"") / INDEX(GOOGLEFINANCE(C14, ""price"", TODAY()-7, TODAY()), 2, 2)) - 1, """")"),"")</f>
        <v/>
      </c>
      <c r="M14" s="21" t="str">
        <f>IFERROR(__xludf.DUMMYFUNCTION("IFERROR((GOOGLEFINANCE(C14, ""price"") / INDEX(GOOGLEFINANCE(C14, ""price"", EDATE(TODAY(), -1), TODAY()), 2, 2)) - 1, """")"),"")</f>
        <v/>
      </c>
      <c r="N14" s="21" t="str">
        <f>IFERROR(__xludf.DUMMYFUNCTION("IFERROR((GOOGLEFINANCE(C14, ""price"") / INDEX(GOOGLEFINANCE(C14, ""price"", EDATE(TODAY(), -3), TODAY()), 2, 2)) - 1, """")"),"")</f>
        <v/>
      </c>
      <c r="O14" s="21" t="str">
        <f>IFERROR(__xludf.DUMMYFUNCTION("IFERROR((GOOGLEFINANCE(C14, ""price"") / INDEX(GOOGLEFINANCE(C14, ""price"", EDATE(TODAY(), -6), TODAY()), 2, 2)) - 1, """")"),"")</f>
        <v/>
      </c>
      <c r="P14" s="21" t="str">
        <f>IFERROR(__xludf.DUMMYFUNCTION("IFERROR((GOOGLEFINANCE(C14, ""price"") / INDEX(GOOGLEFINANCE(C14, ""price"", EDATE(TODAY(), -12), TODAY()), 2, 2)) - 1, """")"),"")</f>
        <v/>
      </c>
      <c r="Q14" s="6" t="str">
        <f>IFERROR(__xludf.DUMMYFUNCTION("AVERAGE(QUERY(GOOGLEFINANCE(C14, ""price"", TODAY()-80, TODAY()), ""SELECT Col2 WHERE Col2 IS NOT NULL ORDER BY Col1 DESC LIMIT 50"", 0))"),"#N/A")</f>
        <v>#N/A</v>
      </c>
      <c r="R14" s="24" t="str">
        <f>IFERROR(__xludf.DUMMYFUNCTION("IFERROR(
  LET(
    data, QUERY(GOOGLEFINANCE(C14,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GOOGLEFINANCE(C14, ""price"")) * 100,
    IF(calc=0, G14, calc)
  ), 
G14)"),"#N/A")</f>
        <v>#N/A</v>
      </c>
      <c r="S14" s="8" t="s">
        <v>15</v>
      </c>
      <c r="T14" s="26" t="str">
        <f>IFERROR(__xludf.DUMMYFUNCTION("IFERROR(TRANSPOSE(QUERY(IFERROR(SORT(GOOGLEFINANCE(C14, ""price"", WORKDAY(TODAY(), -40), TODAY()), 1, FALSE)), ""select Col2 where Col2 is not null limit 22 label Col2 ''"", 0)), """")"),"")</f>
        <v/>
      </c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8"/>
      <c r="AO14" s="28"/>
      <c r="AP14" s="29"/>
      <c r="AQ14" s="29" t="str">
        <f t="shared" ref="AQ14:BL14" si="17">T14/T$2</f>
        <v>#N/A</v>
      </c>
      <c r="AR14" s="29" t="str">
        <f t="shared" si="17"/>
        <v>#DIV/0!</v>
      </c>
      <c r="AS14" s="29" t="str">
        <f t="shared" si="17"/>
        <v>#DIV/0!</v>
      </c>
      <c r="AT14" s="29" t="str">
        <f t="shared" si="17"/>
        <v>#DIV/0!</v>
      </c>
      <c r="AU14" s="29" t="str">
        <f t="shared" si="17"/>
        <v>#DIV/0!</v>
      </c>
      <c r="AV14" s="29" t="str">
        <f t="shared" si="17"/>
        <v>#DIV/0!</v>
      </c>
      <c r="AW14" s="29" t="str">
        <f t="shared" si="17"/>
        <v>#DIV/0!</v>
      </c>
      <c r="AX14" s="29" t="str">
        <f t="shared" si="17"/>
        <v>#DIV/0!</v>
      </c>
      <c r="AY14" s="29" t="str">
        <f t="shared" si="17"/>
        <v>#DIV/0!</v>
      </c>
      <c r="AZ14" s="29" t="str">
        <f t="shared" si="17"/>
        <v>#DIV/0!</v>
      </c>
      <c r="BA14" s="29" t="str">
        <f t="shared" si="17"/>
        <v>#DIV/0!</v>
      </c>
      <c r="BB14" s="29" t="str">
        <f t="shared" si="17"/>
        <v>#DIV/0!</v>
      </c>
      <c r="BC14" s="29" t="str">
        <f t="shared" si="17"/>
        <v>#DIV/0!</v>
      </c>
      <c r="BD14" s="29" t="str">
        <f t="shared" si="17"/>
        <v>#DIV/0!</v>
      </c>
      <c r="BE14" s="29" t="str">
        <f t="shared" si="17"/>
        <v>#DIV/0!</v>
      </c>
      <c r="BF14" s="29" t="str">
        <f t="shared" si="17"/>
        <v>#DIV/0!</v>
      </c>
      <c r="BG14" s="29" t="str">
        <f t="shared" si="17"/>
        <v>#DIV/0!</v>
      </c>
      <c r="BH14" s="29" t="str">
        <f t="shared" si="17"/>
        <v>#DIV/0!</v>
      </c>
      <c r="BI14" s="29" t="str">
        <f t="shared" si="17"/>
        <v>#DIV/0!</v>
      </c>
      <c r="BJ14" s="29" t="str">
        <f t="shared" si="17"/>
        <v>#DIV/0!</v>
      </c>
      <c r="BK14" s="29" t="str">
        <f t="shared" si="17"/>
        <v>#DIV/0!</v>
      </c>
      <c r="BL14" s="29" t="str">
        <f t="shared" si="17"/>
        <v>#DIV/0!</v>
      </c>
      <c r="BM14" s="29" t="str">
        <f t="shared" si="3"/>
        <v>#DIV/0!</v>
      </c>
    </row>
    <row r="15">
      <c r="A15" s="16" t="str">
        <f>IFERROR(__xludf.DUMMYFUNCTION("IFERROR(SPARKLINE(SORT(MAP(TRANSPOSE(AQ15:BL15), LAMBDA(val, IF(ISNUMBER(val), PERCENTRANK(AQ15:BL15, val)+0.01, 0))), SEQUENCE(COLUMNS(AQ15:BL15)), FALSE), {""charttype"",""column""; ""color"",""chartreuse""; ""ymin"", 0; ""ymax"", 1.01; ""highcolor"", "&amp;"""darkgreen""; ""lowcolor"", ""red""}), """")"),"")</f>
        <v/>
      </c>
      <c r="B15" s="17" t="str">
        <f t="shared" si="4"/>
        <v/>
      </c>
      <c r="C15" s="1" t="s">
        <v>157</v>
      </c>
      <c r="D15" s="30" t="str">
        <f>IFERROR(__xludf.DUMMYFUNCTION("IFERROR(GOOGLEFINANCE(C15, ""NAME""))"),"Life Time Group Holdings, Inc")</f>
        <v>Life Time Group Holdings, Inc</v>
      </c>
      <c r="E15" s="30" t="s">
        <v>158</v>
      </c>
      <c r="F15" s="38" t="str">
        <f>IFERROR(__xludf.DUMMYFUNCTION("( (GOOGLEFINANCE(C15, ""price"") - Q15) / Q15 ) / (R15 / 100)"),"Loading...")</f>
        <v>Loading...</v>
      </c>
      <c r="G15" s="20" t="str">
        <f>IFERROR(__xludf.DUMMYFUNCTION("AVERAGE(ARRAYFORMULA(100 * (QUERY(GOOGLEFINANCE(C15, ""high"", TODAY()-40, TODAY()), ""SELECT Col2 WHERE Col2 IS NOT NULL ORDER BY Col1 DESC LIMIT 20"", 0) / QUERY(GOOGLEFINANCE(C15, ""low"", TODAY()-40, TODAY()), ""SELECT Col2 WHERE Col2 IS NOT NULL ORDE"&amp;"R BY Col1 DESC LIMIT 20"", 0) - 1)))"),"#N/A")</f>
        <v>#N/A</v>
      </c>
      <c r="H15" s="35" t="str">
        <f t="shared" si="6"/>
        <v/>
      </c>
      <c r="I15" s="35" t="str">
        <f t="shared" si="7"/>
        <v/>
      </c>
      <c r="J15" s="37" t="str">
        <f>IFERROR(__xludf.DUMMYFUNCTION("IFERROR(
  IF(C15="""",, 
    IFERROR(
      GOOGLEFINANCE(C15, ""price"") * GOOGLEFINANCE(C15, ""volumeavg""), 
      GOOGLEFINANCE(C15, ""price"") * AVERAGE(QUERY(GOOGLEFINANCE(C15, ""volume"", TODAY()-40, TODAY()), ""SELECT Col2 WHERE Col2 IS NOT NULL "&amp;"ORDER BY Col1 DESC LIMIT 20"", 0))
    )
  ), 
"""")"),"")</f>
        <v/>
      </c>
      <c r="K15" s="21" t="str">
        <f>IFERROR(__xludf.DUMMYFUNCTION("IFERROR(GOOGLEFINANCE(C15, ""changepct"") / 100, """")"),"")</f>
        <v/>
      </c>
      <c r="L15" s="21" t="str">
        <f>IFERROR(__xludf.DUMMYFUNCTION("IFERROR((GOOGLEFINANCE(C15, ""price"") / INDEX(GOOGLEFINANCE(C15, ""price"", TODAY()-7, TODAY()), 2, 2)) - 1, """")"),"")</f>
        <v/>
      </c>
      <c r="M15" s="21" t="str">
        <f>IFERROR(__xludf.DUMMYFUNCTION("IFERROR((GOOGLEFINANCE(C15, ""price"") / INDEX(GOOGLEFINANCE(C15, ""price"", EDATE(TODAY(), -1), TODAY()), 2, 2)) - 1, """")"),"")</f>
        <v/>
      </c>
      <c r="N15" s="21" t="str">
        <f>IFERROR(__xludf.DUMMYFUNCTION("IFERROR((GOOGLEFINANCE(C15, ""price"") / INDEX(GOOGLEFINANCE(C15, ""price"", EDATE(TODAY(), -3), TODAY()), 2, 2)) - 1, """")"),"")</f>
        <v/>
      </c>
      <c r="O15" s="21" t="str">
        <f>IFERROR(__xludf.DUMMYFUNCTION("IFERROR((GOOGLEFINANCE(C15, ""price"") / INDEX(GOOGLEFINANCE(C15, ""price"", EDATE(TODAY(), -6), TODAY()), 2, 2)) - 1, """")"),"")</f>
        <v/>
      </c>
      <c r="P15" s="21" t="str">
        <f>IFERROR(__xludf.DUMMYFUNCTION("IFERROR((GOOGLEFINANCE(C15, ""price"") / INDEX(GOOGLEFINANCE(C15, ""price"", EDATE(TODAY(), -12), TODAY()), 2, 2)) - 1, """")"),"")</f>
        <v/>
      </c>
      <c r="Q15" s="6" t="str">
        <f>IFERROR(__xludf.DUMMYFUNCTION("AVERAGE(QUERY(GOOGLEFINANCE(C15, ""price"", TODAY()-80, TODAY()), ""SELECT Col2 WHERE Col2 IS NOT NULL ORDER BY Col1 DESC LIMIT 50"", 0))"),"#N/A")</f>
        <v>#N/A</v>
      </c>
      <c r="R15" s="24" t="str">
        <f>IFERROR(__xludf.DUMMYFUNCTION("IFERROR(
  LET(
    data, QUERY(GOOGLEFINANCE(C15,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GOOGLEFINANCE(C15, ""price"")) * 100,
    IF(calc=0, G15, calc)
  ), 
G15)"),"#N/A")</f>
        <v>#N/A</v>
      </c>
      <c r="S15" s="8" t="s">
        <v>15</v>
      </c>
      <c r="T15" s="26" t="str">
        <f>IFERROR(__xludf.DUMMYFUNCTION("IFERROR(TRANSPOSE(QUERY(IFERROR(SORT(GOOGLEFINANCE(C15, ""price"", WORKDAY(TODAY(), -40), TODAY()), 1, FALSE)), ""select Col2 where Col2 is not null limit 22 label Col2 ''"", 0)), """")"),"")</f>
        <v/>
      </c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8"/>
      <c r="AO15" s="28"/>
      <c r="AP15" s="29"/>
      <c r="AQ15" s="29" t="str">
        <f t="shared" ref="AQ15:BL15" si="18">T15/T$2</f>
        <v>#N/A</v>
      </c>
      <c r="AR15" s="29" t="str">
        <f t="shared" si="18"/>
        <v>#DIV/0!</v>
      </c>
      <c r="AS15" s="29" t="str">
        <f t="shared" si="18"/>
        <v>#DIV/0!</v>
      </c>
      <c r="AT15" s="29" t="str">
        <f t="shared" si="18"/>
        <v>#DIV/0!</v>
      </c>
      <c r="AU15" s="29" t="str">
        <f t="shared" si="18"/>
        <v>#DIV/0!</v>
      </c>
      <c r="AV15" s="29" t="str">
        <f t="shared" si="18"/>
        <v>#DIV/0!</v>
      </c>
      <c r="AW15" s="29" t="str">
        <f t="shared" si="18"/>
        <v>#DIV/0!</v>
      </c>
      <c r="AX15" s="29" t="str">
        <f t="shared" si="18"/>
        <v>#DIV/0!</v>
      </c>
      <c r="AY15" s="29" t="str">
        <f t="shared" si="18"/>
        <v>#DIV/0!</v>
      </c>
      <c r="AZ15" s="29" t="str">
        <f t="shared" si="18"/>
        <v>#DIV/0!</v>
      </c>
      <c r="BA15" s="29" t="str">
        <f t="shared" si="18"/>
        <v>#DIV/0!</v>
      </c>
      <c r="BB15" s="29" t="str">
        <f t="shared" si="18"/>
        <v>#DIV/0!</v>
      </c>
      <c r="BC15" s="29" t="str">
        <f t="shared" si="18"/>
        <v>#DIV/0!</v>
      </c>
      <c r="BD15" s="29" t="str">
        <f t="shared" si="18"/>
        <v>#DIV/0!</v>
      </c>
      <c r="BE15" s="29" t="str">
        <f t="shared" si="18"/>
        <v>#DIV/0!</v>
      </c>
      <c r="BF15" s="29" t="str">
        <f t="shared" si="18"/>
        <v>#DIV/0!</v>
      </c>
      <c r="BG15" s="29" t="str">
        <f t="shared" si="18"/>
        <v>#DIV/0!</v>
      </c>
      <c r="BH15" s="29" t="str">
        <f t="shared" si="18"/>
        <v>#DIV/0!</v>
      </c>
      <c r="BI15" s="29" t="str">
        <f t="shared" si="18"/>
        <v>#DIV/0!</v>
      </c>
      <c r="BJ15" s="29" t="str">
        <f t="shared" si="18"/>
        <v>#DIV/0!</v>
      </c>
      <c r="BK15" s="29" t="str">
        <f t="shared" si="18"/>
        <v>#DIV/0!</v>
      </c>
      <c r="BL15" s="29" t="str">
        <f t="shared" si="18"/>
        <v>#DIV/0!</v>
      </c>
      <c r="BM15" s="29" t="str">
        <f t="shared" si="3"/>
        <v>#DIV/0!</v>
      </c>
    </row>
    <row r="16">
      <c r="A16" s="16" t="str">
        <f>IFERROR(__xludf.DUMMYFUNCTION("IFERROR(SPARKLINE(SORT(MAP(TRANSPOSE(AQ16:BL16), LAMBDA(val, IF(ISNUMBER(val), PERCENTRANK(AQ16:BL16, val)+0.01, 0))), SEQUENCE(COLUMNS(AQ16:BL16)), FALSE), {""charttype"",""column""; ""color"",""chartreuse""; ""ymin"", 0; ""ymax"", 1.01; ""highcolor"", "&amp;"""darkgreen""; ""lowcolor"", ""red""}), """")"),"")</f>
        <v/>
      </c>
      <c r="B16" s="17" t="str">
        <f t="shared" si="4"/>
        <v/>
      </c>
      <c r="C16" s="1" t="s">
        <v>164</v>
      </c>
      <c r="D16" s="30" t="str">
        <f>IFERROR(__xludf.DUMMYFUNCTION("IFERROR(GOOGLEFINANCE(C16, ""NAME""))"),"Malibu Boats Inc")</f>
        <v>Malibu Boats Inc</v>
      </c>
      <c r="E16" s="30" t="s">
        <v>165</v>
      </c>
      <c r="F16" s="33" t="str">
        <f>IFERROR(__xludf.DUMMYFUNCTION("( (GOOGLEFINANCE(C16, ""price"") - Q16) / Q16 ) / (R16 / 100)"),"Loading...")</f>
        <v>Loading...</v>
      </c>
      <c r="G16" s="20" t="str">
        <f>IFERROR(__xludf.DUMMYFUNCTION("AVERAGE(ARRAYFORMULA(100 * (QUERY(GOOGLEFINANCE(C16, ""high"", TODAY()-40, TODAY()), ""SELECT Col2 WHERE Col2 IS NOT NULL ORDER BY Col1 DESC LIMIT 20"", 0) / QUERY(GOOGLEFINANCE(C16, ""low"", TODAY()-40, TODAY()), ""SELECT Col2 WHERE Col2 IS NOT NULL ORDE"&amp;"R BY Col1 DESC LIMIT 20"", 0) - 1)))"),"#N/A")</f>
        <v>#N/A</v>
      </c>
      <c r="H16" s="35" t="str">
        <f t="shared" si="6"/>
        <v/>
      </c>
      <c r="I16" s="35" t="str">
        <f t="shared" si="7"/>
        <v/>
      </c>
      <c r="J16" s="37" t="str">
        <f>IFERROR(__xludf.DUMMYFUNCTION("IFERROR(
  IF(C16="""",, 
    IFERROR(
      GOOGLEFINANCE(C16, ""price"") * GOOGLEFINANCE(C16, ""volumeavg""), 
      GOOGLEFINANCE(C16, ""price"") * AVERAGE(QUERY(GOOGLEFINANCE(C16, ""volume"", TODAY()-40, TODAY()), ""SELECT Col2 WHERE Col2 IS NOT NULL "&amp;"ORDER BY Col1 DESC LIMIT 20"", 0))
    )
  ), 
"""")"),"")</f>
        <v/>
      </c>
      <c r="K16" s="21" t="str">
        <f>IFERROR(__xludf.DUMMYFUNCTION("IFERROR(GOOGLEFINANCE(C16, ""changepct"") / 100, """")"),"")</f>
        <v/>
      </c>
      <c r="L16" s="21" t="str">
        <f>IFERROR(__xludf.DUMMYFUNCTION("IFERROR((GOOGLEFINANCE(C16, ""price"") / INDEX(GOOGLEFINANCE(C16, ""price"", TODAY()-7, TODAY()), 2, 2)) - 1, """")"),"")</f>
        <v/>
      </c>
      <c r="M16" s="21" t="str">
        <f>IFERROR(__xludf.DUMMYFUNCTION("IFERROR((GOOGLEFINANCE(C16, ""price"") / INDEX(GOOGLEFINANCE(C16, ""price"", EDATE(TODAY(), -1), TODAY()), 2, 2)) - 1, """")"),"")</f>
        <v/>
      </c>
      <c r="N16" s="21" t="str">
        <f>IFERROR(__xludf.DUMMYFUNCTION("IFERROR((GOOGLEFINANCE(C16, ""price"") / INDEX(GOOGLEFINANCE(C16, ""price"", EDATE(TODAY(), -3), TODAY()), 2, 2)) - 1, """")"),"")</f>
        <v/>
      </c>
      <c r="O16" s="21" t="str">
        <f>IFERROR(__xludf.DUMMYFUNCTION("IFERROR((GOOGLEFINANCE(C16, ""price"") / INDEX(GOOGLEFINANCE(C16, ""price"", EDATE(TODAY(), -6), TODAY()), 2, 2)) - 1, """")"),"")</f>
        <v/>
      </c>
      <c r="P16" s="21" t="str">
        <f>IFERROR(__xludf.DUMMYFUNCTION("IFERROR((GOOGLEFINANCE(C16, ""price"") / INDEX(GOOGLEFINANCE(C16, ""price"", EDATE(TODAY(), -12), TODAY()), 2, 2)) - 1, """")"),"")</f>
        <v/>
      </c>
      <c r="Q16" s="6" t="str">
        <f>IFERROR(__xludf.DUMMYFUNCTION("AVERAGE(QUERY(GOOGLEFINANCE(C16, ""price"", TODAY()-80, TODAY()), ""SELECT Col2 WHERE Col2 IS NOT NULL ORDER BY Col1 DESC LIMIT 50"", 0))"),"#N/A")</f>
        <v>#N/A</v>
      </c>
      <c r="R16" s="24" t="str">
        <f>IFERROR(__xludf.DUMMYFUNCTION("IFERROR(
  LET(
    data, QUERY(GOOGLEFINANCE(C16,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GOOGLEFINANCE(C16, ""price"")) * 100,
    IF(calc=0, G16, calc)
  ), 
G16)"),"#N/A")</f>
        <v>#N/A</v>
      </c>
      <c r="S16" s="8" t="s">
        <v>15</v>
      </c>
      <c r="T16" s="26" t="str">
        <f>IFERROR(__xludf.DUMMYFUNCTION("IFERROR(TRANSPOSE(QUERY(IFERROR(SORT(GOOGLEFINANCE(C16, ""price"", WORKDAY(TODAY(), -40), TODAY()), 1, FALSE)), ""select Col2 where Col2 is not null limit 22 label Col2 ''"", 0)), """")"),"")</f>
        <v/>
      </c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8"/>
      <c r="AO16" s="28"/>
      <c r="AP16" s="29"/>
      <c r="AQ16" s="29" t="str">
        <f t="shared" ref="AQ16:BL16" si="19">T16/T$2</f>
        <v>#N/A</v>
      </c>
      <c r="AR16" s="29" t="str">
        <f t="shared" si="19"/>
        <v>#DIV/0!</v>
      </c>
      <c r="AS16" s="29" t="str">
        <f t="shared" si="19"/>
        <v>#DIV/0!</v>
      </c>
      <c r="AT16" s="29" t="str">
        <f t="shared" si="19"/>
        <v>#DIV/0!</v>
      </c>
      <c r="AU16" s="29" t="str">
        <f t="shared" si="19"/>
        <v>#DIV/0!</v>
      </c>
      <c r="AV16" s="29" t="str">
        <f t="shared" si="19"/>
        <v>#DIV/0!</v>
      </c>
      <c r="AW16" s="29" t="str">
        <f t="shared" si="19"/>
        <v>#DIV/0!</v>
      </c>
      <c r="AX16" s="29" t="str">
        <f t="shared" si="19"/>
        <v>#DIV/0!</v>
      </c>
      <c r="AY16" s="29" t="str">
        <f t="shared" si="19"/>
        <v>#DIV/0!</v>
      </c>
      <c r="AZ16" s="29" t="str">
        <f t="shared" si="19"/>
        <v>#DIV/0!</v>
      </c>
      <c r="BA16" s="29" t="str">
        <f t="shared" si="19"/>
        <v>#DIV/0!</v>
      </c>
      <c r="BB16" s="29" t="str">
        <f t="shared" si="19"/>
        <v>#DIV/0!</v>
      </c>
      <c r="BC16" s="29" t="str">
        <f t="shared" si="19"/>
        <v>#DIV/0!</v>
      </c>
      <c r="BD16" s="29" t="str">
        <f t="shared" si="19"/>
        <v>#DIV/0!</v>
      </c>
      <c r="BE16" s="29" t="str">
        <f t="shared" si="19"/>
        <v>#DIV/0!</v>
      </c>
      <c r="BF16" s="29" t="str">
        <f t="shared" si="19"/>
        <v>#DIV/0!</v>
      </c>
      <c r="BG16" s="29" t="str">
        <f t="shared" si="19"/>
        <v>#DIV/0!</v>
      </c>
      <c r="BH16" s="29" t="str">
        <f t="shared" si="19"/>
        <v>#DIV/0!</v>
      </c>
      <c r="BI16" s="29" t="str">
        <f t="shared" si="19"/>
        <v>#DIV/0!</v>
      </c>
      <c r="BJ16" s="29" t="str">
        <f t="shared" si="19"/>
        <v>#DIV/0!</v>
      </c>
      <c r="BK16" s="29" t="str">
        <f t="shared" si="19"/>
        <v>#DIV/0!</v>
      </c>
      <c r="BL16" s="29" t="str">
        <f t="shared" si="19"/>
        <v>#DIV/0!</v>
      </c>
      <c r="BM16" s="29" t="str">
        <f t="shared" si="3"/>
        <v>#DIV/0!</v>
      </c>
    </row>
    <row r="17">
      <c r="A17" s="16" t="str">
        <f>IFERROR(__xludf.DUMMYFUNCTION("IFERROR(SPARKLINE(SORT(MAP(TRANSPOSE(AQ17:BL17), LAMBDA(val, IF(ISNUMBER(val), PERCENTRANK(AQ17:BL17, val)+0.01, 0))), SEQUENCE(COLUMNS(AQ17:BL17)), FALSE), {""charttype"",""column""; ""color"",""chartreuse""; ""ymin"", 0; ""ymax"", 1.01; ""highcolor"", "&amp;"""darkgreen""; ""lowcolor"", ""red""}), """")"),"")</f>
        <v/>
      </c>
      <c r="B17" s="17" t="str">
        <f t="shared" si="4"/>
        <v/>
      </c>
      <c r="C17" s="1" t="s">
        <v>169</v>
      </c>
      <c r="D17" s="30" t="str">
        <f>IFERROR(__xludf.DUMMYFUNCTION("IFERROR(GOOGLEFINANCE(C17, ""NAME""))"),"Envela Corp")</f>
        <v>Envela Corp</v>
      </c>
      <c r="E17" s="30" t="s">
        <v>170</v>
      </c>
      <c r="F17" s="33" t="str">
        <f>IFERROR(__xludf.DUMMYFUNCTION("( (GOOGLEFINANCE(C17, ""price"") - Q17) / Q17 ) / (R17 / 100)"),"Loading...")</f>
        <v>Loading...</v>
      </c>
      <c r="G17" s="20" t="str">
        <f>IFERROR(__xludf.DUMMYFUNCTION("AVERAGE(ARRAYFORMULA(100 * (QUERY(GOOGLEFINANCE(C17, ""high"", TODAY()-40, TODAY()), ""SELECT Col2 WHERE Col2 IS NOT NULL ORDER BY Col1 DESC LIMIT 20"", 0) / QUERY(GOOGLEFINANCE(C17, ""low"", TODAY()-40, TODAY()), ""SELECT Col2 WHERE Col2 IS NOT NULL ORDE"&amp;"R BY Col1 DESC LIMIT 20"", 0) - 1)))"),"#N/A")</f>
        <v>#N/A</v>
      </c>
      <c r="H17" s="35" t="str">
        <f t="shared" si="6"/>
        <v/>
      </c>
      <c r="I17" s="35" t="str">
        <f t="shared" si="7"/>
        <v/>
      </c>
      <c r="J17" s="37" t="str">
        <f>IFERROR(__xludf.DUMMYFUNCTION("IFERROR(
  IF(C17="""",, 
    IFERROR(
      GOOGLEFINANCE(C17, ""price"") * GOOGLEFINANCE(C17, ""volumeavg""), 
      GOOGLEFINANCE(C17, ""price"") * AVERAGE(QUERY(GOOGLEFINANCE(C17, ""volume"", TODAY()-40, TODAY()), ""SELECT Col2 WHERE Col2 IS NOT NULL "&amp;"ORDER BY Col1 DESC LIMIT 20"", 0))
    )
  ), 
"""")"),"")</f>
        <v/>
      </c>
      <c r="K17" s="21" t="str">
        <f>IFERROR(__xludf.DUMMYFUNCTION("IFERROR(GOOGLEFINANCE(C17, ""changepct"") / 100, """")"),"")</f>
        <v/>
      </c>
      <c r="L17" s="21" t="str">
        <f>IFERROR(__xludf.DUMMYFUNCTION("IFERROR((GOOGLEFINANCE(C17, ""price"") / INDEX(GOOGLEFINANCE(C17, ""price"", TODAY()-7, TODAY()), 2, 2)) - 1, """")"),"")</f>
        <v/>
      </c>
      <c r="M17" s="21" t="str">
        <f>IFERROR(__xludf.DUMMYFUNCTION("IFERROR((GOOGLEFINANCE(C17, ""price"") / INDEX(GOOGLEFINANCE(C17, ""price"", EDATE(TODAY(), -1), TODAY()), 2, 2)) - 1, """")"),"")</f>
        <v/>
      </c>
      <c r="N17" s="21" t="str">
        <f>IFERROR(__xludf.DUMMYFUNCTION("IFERROR((GOOGLEFINANCE(C17, ""price"") / INDEX(GOOGLEFINANCE(C17, ""price"", EDATE(TODAY(), -3), TODAY()), 2, 2)) - 1, """")"),"")</f>
        <v/>
      </c>
      <c r="O17" s="21" t="str">
        <f>IFERROR(__xludf.DUMMYFUNCTION("IFERROR((GOOGLEFINANCE(C17, ""price"") / INDEX(GOOGLEFINANCE(C17, ""price"", EDATE(TODAY(), -6), TODAY()), 2, 2)) - 1, """")"),"")</f>
        <v/>
      </c>
      <c r="P17" s="21" t="str">
        <f>IFERROR(__xludf.DUMMYFUNCTION("IFERROR((GOOGLEFINANCE(C17, ""price"") / INDEX(GOOGLEFINANCE(C17, ""price"", EDATE(TODAY(), -12), TODAY()), 2, 2)) - 1, """")"),"")</f>
        <v/>
      </c>
      <c r="Q17" s="6" t="str">
        <f>IFERROR(__xludf.DUMMYFUNCTION("AVERAGE(QUERY(GOOGLEFINANCE(C17, ""price"", TODAY()-80, TODAY()), ""SELECT Col2 WHERE Col2 IS NOT NULL ORDER BY Col1 DESC LIMIT 50"", 0))"),"#N/A")</f>
        <v>#N/A</v>
      </c>
      <c r="R17" s="24" t="str">
        <f>IFERROR(__xludf.DUMMYFUNCTION("IFERROR(
  LET(
    data, QUERY(GOOGLEFINANCE(C17,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GOOGLEFINANCE(C17, ""price"")) * 100,
    IF(calc=0, G17, calc)
  ), 
G17)"),"#N/A")</f>
        <v>#N/A</v>
      </c>
      <c r="S17" s="8" t="s">
        <v>15</v>
      </c>
      <c r="T17" s="26" t="str">
        <f>IFERROR(__xludf.DUMMYFUNCTION("IFERROR(TRANSPOSE(QUERY(IFERROR(SORT(GOOGLEFINANCE(C17, ""price"", WORKDAY(TODAY(), -40), TODAY()), 1, FALSE)), ""select Col2 where Col2 is not null limit 22 label Col2 ''"", 0)), """")"),"")</f>
        <v/>
      </c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8"/>
      <c r="AO17" s="28"/>
      <c r="AP17" s="29"/>
      <c r="AQ17" s="29" t="str">
        <f t="shared" ref="AQ17:BL17" si="20">T17/T$2</f>
        <v>#N/A</v>
      </c>
      <c r="AR17" s="29" t="str">
        <f t="shared" si="20"/>
        <v>#DIV/0!</v>
      </c>
      <c r="AS17" s="29" t="str">
        <f t="shared" si="20"/>
        <v>#DIV/0!</v>
      </c>
      <c r="AT17" s="29" t="str">
        <f t="shared" si="20"/>
        <v>#DIV/0!</v>
      </c>
      <c r="AU17" s="29" t="str">
        <f t="shared" si="20"/>
        <v>#DIV/0!</v>
      </c>
      <c r="AV17" s="29" t="str">
        <f t="shared" si="20"/>
        <v>#DIV/0!</v>
      </c>
      <c r="AW17" s="29" t="str">
        <f t="shared" si="20"/>
        <v>#DIV/0!</v>
      </c>
      <c r="AX17" s="29" t="str">
        <f t="shared" si="20"/>
        <v>#DIV/0!</v>
      </c>
      <c r="AY17" s="29" t="str">
        <f t="shared" si="20"/>
        <v>#DIV/0!</v>
      </c>
      <c r="AZ17" s="29" t="str">
        <f t="shared" si="20"/>
        <v>#DIV/0!</v>
      </c>
      <c r="BA17" s="29" t="str">
        <f t="shared" si="20"/>
        <v>#DIV/0!</v>
      </c>
      <c r="BB17" s="29" t="str">
        <f t="shared" si="20"/>
        <v>#DIV/0!</v>
      </c>
      <c r="BC17" s="29" t="str">
        <f t="shared" si="20"/>
        <v>#DIV/0!</v>
      </c>
      <c r="BD17" s="29" t="str">
        <f t="shared" si="20"/>
        <v>#DIV/0!</v>
      </c>
      <c r="BE17" s="29" t="str">
        <f t="shared" si="20"/>
        <v>#DIV/0!</v>
      </c>
      <c r="BF17" s="29" t="str">
        <f t="shared" si="20"/>
        <v>#DIV/0!</v>
      </c>
      <c r="BG17" s="29" t="str">
        <f t="shared" si="20"/>
        <v>#DIV/0!</v>
      </c>
      <c r="BH17" s="29" t="str">
        <f t="shared" si="20"/>
        <v>#DIV/0!</v>
      </c>
      <c r="BI17" s="29" t="str">
        <f t="shared" si="20"/>
        <v>#DIV/0!</v>
      </c>
      <c r="BJ17" s="29" t="str">
        <f t="shared" si="20"/>
        <v>#DIV/0!</v>
      </c>
      <c r="BK17" s="29" t="str">
        <f t="shared" si="20"/>
        <v>#DIV/0!</v>
      </c>
      <c r="BL17" s="29" t="str">
        <f t="shared" si="20"/>
        <v>#DIV/0!</v>
      </c>
      <c r="BM17" s="29" t="str">
        <f t="shared" si="3"/>
        <v>#DIV/0!</v>
      </c>
    </row>
    <row r="18">
      <c r="A18" s="16" t="str">
        <f>IFERROR(__xludf.DUMMYFUNCTION("IFERROR(SPARKLINE(SORT(MAP(TRANSPOSE(AQ18:BL18), LAMBDA(val, IF(ISNUMBER(val), PERCENTRANK(AQ18:BL18, val)+0.01, 0))), SEQUENCE(COLUMNS(AQ18:BL18)), FALSE), {""charttype"",""column""; ""color"",""chartreuse""; ""ymin"", 0; ""ymax"", 1.01; ""highcolor"", "&amp;"""darkgreen""; ""lowcolor"", ""red""}), """")"),"")</f>
        <v/>
      </c>
      <c r="B18" s="17" t="str">
        <f t="shared" si="4"/>
        <v/>
      </c>
      <c r="C18" s="1" t="s">
        <v>174</v>
      </c>
      <c r="D18" s="30" t="str">
        <f>IFERROR(__xludf.DUMMYFUNCTION("IFERROR(GOOGLEFINANCE(C18, ""NAME""))"),"BJ's Restaurants Inc")</f>
        <v>BJ's Restaurants Inc</v>
      </c>
      <c r="E18" s="30" t="s">
        <v>126</v>
      </c>
      <c r="F18" s="33" t="str">
        <f>IFERROR(__xludf.DUMMYFUNCTION("( (GOOGLEFINANCE(C18, ""price"") - Q18) / Q18 ) / (R18 / 100)"),"Loading...")</f>
        <v>Loading...</v>
      </c>
      <c r="G18" s="20" t="str">
        <f>IFERROR(__xludf.DUMMYFUNCTION("AVERAGE(ARRAYFORMULA(100 * (QUERY(GOOGLEFINANCE(C18, ""high"", TODAY()-40, TODAY()), ""SELECT Col2 WHERE Col2 IS NOT NULL ORDER BY Col1 DESC LIMIT 20"", 0) / QUERY(GOOGLEFINANCE(C18, ""low"", TODAY()-40, TODAY()), ""SELECT Col2 WHERE Col2 IS NOT NULL ORDE"&amp;"R BY Col1 DESC LIMIT 20"", 0) - 1)))"),"#N/A")</f>
        <v>#N/A</v>
      </c>
      <c r="H18" s="35" t="str">
        <f t="shared" si="6"/>
        <v/>
      </c>
      <c r="I18" s="35" t="str">
        <f t="shared" si="7"/>
        <v/>
      </c>
      <c r="J18" s="37" t="str">
        <f>IFERROR(__xludf.DUMMYFUNCTION("IFERROR(
  IF(C18="""",, 
    IFERROR(
      GOOGLEFINANCE(C18, ""price"") * GOOGLEFINANCE(C18, ""volumeavg""), 
      GOOGLEFINANCE(C18, ""price"") * AVERAGE(QUERY(GOOGLEFINANCE(C18, ""volume"", TODAY()-40, TODAY()), ""SELECT Col2 WHERE Col2 IS NOT NULL "&amp;"ORDER BY Col1 DESC LIMIT 20"", 0))
    )
  ), 
"""")"),"")</f>
        <v/>
      </c>
      <c r="K18" s="21" t="str">
        <f>IFERROR(__xludf.DUMMYFUNCTION("IFERROR(GOOGLEFINANCE(C18, ""changepct"") / 100, """")"),"")</f>
        <v/>
      </c>
      <c r="L18" s="21" t="str">
        <f>IFERROR(__xludf.DUMMYFUNCTION("IFERROR((GOOGLEFINANCE(C18, ""price"") / INDEX(GOOGLEFINANCE(C18, ""price"", TODAY()-7, TODAY()), 2, 2)) - 1, """")"),"")</f>
        <v/>
      </c>
      <c r="M18" s="21" t="str">
        <f>IFERROR(__xludf.DUMMYFUNCTION("IFERROR((GOOGLEFINANCE(C18, ""price"") / INDEX(GOOGLEFINANCE(C18, ""price"", EDATE(TODAY(), -1), TODAY()), 2, 2)) - 1, """")"),"")</f>
        <v/>
      </c>
      <c r="N18" s="21" t="str">
        <f>IFERROR(__xludf.DUMMYFUNCTION("IFERROR((GOOGLEFINANCE(C18, ""price"") / INDEX(GOOGLEFINANCE(C18, ""price"", EDATE(TODAY(), -3), TODAY()), 2, 2)) - 1, """")"),"")</f>
        <v/>
      </c>
      <c r="O18" s="21" t="str">
        <f>IFERROR(__xludf.DUMMYFUNCTION("IFERROR((GOOGLEFINANCE(C18, ""price"") / INDEX(GOOGLEFINANCE(C18, ""price"", EDATE(TODAY(), -6), TODAY()), 2, 2)) - 1, """")"),"")</f>
        <v/>
      </c>
      <c r="P18" s="21" t="str">
        <f>IFERROR(__xludf.DUMMYFUNCTION("IFERROR((GOOGLEFINANCE(C18, ""price"") / INDEX(GOOGLEFINANCE(C18, ""price"", EDATE(TODAY(), -12), TODAY()), 2, 2)) - 1, """")"),"")</f>
        <v/>
      </c>
      <c r="Q18" s="6" t="str">
        <f>IFERROR(__xludf.DUMMYFUNCTION("AVERAGE(QUERY(GOOGLEFINANCE(C18, ""price"", TODAY()-80, TODAY()), ""SELECT Col2 WHERE Col2 IS NOT NULL ORDER BY Col1 DESC LIMIT 50"", 0))"),"#N/A")</f>
        <v>#N/A</v>
      </c>
      <c r="R18" s="24" t="str">
        <f>IFERROR(__xludf.DUMMYFUNCTION("IFERROR(
  LET(
    data, QUERY(GOOGLEFINANCE(C18,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GOOGLEFINANCE(C18, ""price"")) * 100,
    IF(calc=0, G18, calc)
  ), 
G18)"),"#N/A")</f>
        <v>#N/A</v>
      </c>
      <c r="S18" s="8" t="s">
        <v>15</v>
      </c>
      <c r="T18" s="26" t="str">
        <f>IFERROR(__xludf.DUMMYFUNCTION("IFERROR(TRANSPOSE(QUERY(IFERROR(SORT(GOOGLEFINANCE(C18, ""price"", WORKDAY(TODAY(), -40), TODAY()), 1, FALSE)), ""select Col2 where Col2 is not null limit 22 label Col2 ''"", 0)), """")"),"")</f>
        <v/>
      </c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8"/>
      <c r="AO18" s="28"/>
      <c r="AP18" s="29"/>
      <c r="AQ18" s="29" t="str">
        <f t="shared" ref="AQ18:BL18" si="21">T18/T$2</f>
        <v>#N/A</v>
      </c>
      <c r="AR18" s="29" t="str">
        <f t="shared" si="21"/>
        <v>#DIV/0!</v>
      </c>
      <c r="AS18" s="29" t="str">
        <f t="shared" si="21"/>
        <v>#DIV/0!</v>
      </c>
      <c r="AT18" s="29" t="str">
        <f t="shared" si="21"/>
        <v>#DIV/0!</v>
      </c>
      <c r="AU18" s="29" t="str">
        <f t="shared" si="21"/>
        <v>#DIV/0!</v>
      </c>
      <c r="AV18" s="29" t="str">
        <f t="shared" si="21"/>
        <v>#DIV/0!</v>
      </c>
      <c r="AW18" s="29" t="str">
        <f t="shared" si="21"/>
        <v>#DIV/0!</v>
      </c>
      <c r="AX18" s="29" t="str">
        <f t="shared" si="21"/>
        <v>#DIV/0!</v>
      </c>
      <c r="AY18" s="29" t="str">
        <f t="shared" si="21"/>
        <v>#DIV/0!</v>
      </c>
      <c r="AZ18" s="29" t="str">
        <f t="shared" si="21"/>
        <v>#DIV/0!</v>
      </c>
      <c r="BA18" s="29" t="str">
        <f t="shared" si="21"/>
        <v>#DIV/0!</v>
      </c>
      <c r="BB18" s="29" t="str">
        <f t="shared" si="21"/>
        <v>#DIV/0!</v>
      </c>
      <c r="BC18" s="29" t="str">
        <f t="shared" si="21"/>
        <v>#DIV/0!</v>
      </c>
      <c r="BD18" s="29" t="str">
        <f t="shared" si="21"/>
        <v>#DIV/0!</v>
      </c>
      <c r="BE18" s="29" t="str">
        <f t="shared" si="21"/>
        <v>#DIV/0!</v>
      </c>
      <c r="BF18" s="29" t="str">
        <f t="shared" si="21"/>
        <v>#DIV/0!</v>
      </c>
      <c r="BG18" s="29" t="str">
        <f t="shared" si="21"/>
        <v>#DIV/0!</v>
      </c>
      <c r="BH18" s="29" t="str">
        <f t="shared" si="21"/>
        <v>#DIV/0!</v>
      </c>
      <c r="BI18" s="29" t="str">
        <f t="shared" si="21"/>
        <v>#DIV/0!</v>
      </c>
      <c r="BJ18" s="29" t="str">
        <f t="shared" si="21"/>
        <v>#DIV/0!</v>
      </c>
      <c r="BK18" s="29" t="str">
        <f t="shared" si="21"/>
        <v>#DIV/0!</v>
      </c>
      <c r="BL18" s="29" t="str">
        <f t="shared" si="21"/>
        <v>#DIV/0!</v>
      </c>
      <c r="BM18" s="29" t="str">
        <f t="shared" si="3"/>
        <v>#DIV/0!</v>
      </c>
    </row>
    <row r="19">
      <c r="A19" s="16" t="str">
        <f>IFERROR(__xludf.DUMMYFUNCTION("IFERROR(SPARKLINE(SORT(MAP(TRANSPOSE(AQ19:BL19), LAMBDA(val, IF(ISNUMBER(val), PERCENTRANK(AQ19:BL19, val)+0.01, 0))), SEQUENCE(COLUMNS(AQ19:BL19)), FALSE), {""charttype"",""column""; ""color"",""chartreuse""; ""ymin"", 0; ""ymax"", 1.01; ""highcolor"", "&amp;"""darkgreen""; ""lowcolor"", ""red""}), """")"),"")</f>
        <v/>
      </c>
      <c r="B19" s="17" t="str">
        <f t="shared" si="4"/>
        <v/>
      </c>
      <c r="C19" s="1" t="s">
        <v>179</v>
      </c>
      <c r="D19" s="30" t="str">
        <f>IFERROR(__xludf.DUMMYFUNCTION("IFERROR(GOOGLEFINANCE(C19, ""NAME""))"),"Lotus Technology Inc - ADR")</f>
        <v>Lotus Technology Inc - ADR</v>
      </c>
      <c r="E19" s="30" t="s">
        <v>129</v>
      </c>
      <c r="F19" s="33" t="str">
        <f>IFERROR(__xludf.DUMMYFUNCTION("( (GOOGLEFINANCE(C19, ""price"") - Q19) / Q19 ) / (R19 / 100)"),"Loading...")</f>
        <v>Loading...</v>
      </c>
      <c r="G19" s="20" t="str">
        <f>IFERROR(__xludf.DUMMYFUNCTION("AVERAGE(ARRAYFORMULA(100 * (QUERY(GOOGLEFINANCE(C19, ""high"", TODAY()-40, TODAY()), ""SELECT Col2 WHERE Col2 IS NOT NULL ORDER BY Col1 DESC LIMIT 20"", 0) / QUERY(GOOGLEFINANCE(C19, ""low"", TODAY()-40, TODAY()), ""SELECT Col2 WHERE Col2 IS NOT NULL ORDE"&amp;"R BY Col1 DESC LIMIT 20"", 0) - 1)))"),"#N/A")</f>
        <v>#N/A</v>
      </c>
      <c r="H19" s="35" t="str">
        <f t="shared" si="6"/>
        <v/>
      </c>
      <c r="I19" s="35" t="str">
        <f t="shared" si="7"/>
        <v/>
      </c>
      <c r="J19" s="37" t="str">
        <f>IFERROR(__xludf.DUMMYFUNCTION("IFERROR(
  IF(C19="""",, 
    IFERROR(
      GOOGLEFINANCE(C19, ""price"") * GOOGLEFINANCE(C19, ""volumeavg""), 
      GOOGLEFINANCE(C19, ""price"") * AVERAGE(QUERY(GOOGLEFINANCE(C19, ""volume"", TODAY()-40, TODAY()), ""SELECT Col2 WHERE Col2 IS NOT NULL "&amp;"ORDER BY Col1 DESC LIMIT 20"", 0))
    )
  ), 
"""")"),"")</f>
        <v/>
      </c>
      <c r="K19" s="21" t="str">
        <f>IFERROR(__xludf.DUMMYFUNCTION("IFERROR(GOOGLEFINANCE(C19, ""changepct"") / 100, """")"),"")</f>
        <v/>
      </c>
      <c r="L19" s="21" t="str">
        <f>IFERROR(__xludf.DUMMYFUNCTION("IFERROR((GOOGLEFINANCE(C19, ""price"") / INDEX(GOOGLEFINANCE(C19, ""price"", TODAY()-7, TODAY()), 2, 2)) - 1, """")"),"")</f>
        <v/>
      </c>
      <c r="M19" s="21" t="str">
        <f>IFERROR(__xludf.DUMMYFUNCTION("IFERROR((GOOGLEFINANCE(C19, ""price"") / INDEX(GOOGLEFINANCE(C19, ""price"", EDATE(TODAY(), -1), TODAY()), 2, 2)) - 1, """")"),"")</f>
        <v/>
      </c>
      <c r="N19" s="21" t="str">
        <f>IFERROR(__xludf.DUMMYFUNCTION("IFERROR((GOOGLEFINANCE(C19, ""price"") / INDEX(GOOGLEFINANCE(C19, ""price"", EDATE(TODAY(), -3), TODAY()), 2, 2)) - 1, """")"),"")</f>
        <v/>
      </c>
      <c r="O19" s="21" t="str">
        <f>IFERROR(__xludf.DUMMYFUNCTION("IFERROR((GOOGLEFINANCE(C19, ""price"") / INDEX(GOOGLEFINANCE(C19, ""price"", EDATE(TODAY(), -6), TODAY()), 2, 2)) - 1, """")"),"")</f>
        <v/>
      </c>
      <c r="P19" s="21" t="str">
        <f>IFERROR(__xludf.DUMMYFUNCTION("IFERROR((GOOGLEFINANCE(C19, ""price"") / INDEX(GOOGLEFINANCE(C19, ""price"", EDATE(TODAY(), -12), TODAY()), 2, 2)) - 1, """")"),"")</f>
        <v/>
      </c>
      <c r="Q19" s="6" t="str">
        <f>IFERROR(__xludf.DUMMYFUNCTION("AVERAGE(QUERY(GOOGLEFINANCE(C19, ""price"", TODAY()-80, TODAY()), ""SELECT Col2 WHERE Col2 IS NOT NULL ORDER BY Col1 DESC LIMIT 50"", 0))"),"#N/A")</f>
        <v>#N/A</v>
      </c>
      <c r="R19" s="24" t="str">
        <f>IFERROR(__xludf.DUMMYFUNCTION("IFERROR(
  LET(
    data, QUERY(GOOGLEFINANCE(C19,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GOOGLEFINANCE(C19, ""price"")) * 100,
    IF(calc=0, G19, calc)
  ), 
G19)"),"#N/A")</f>
        <v>#N/A</v>
      </c>
      <c r="S19" s="8" t="s">
        <v>15</v>
      </c>
      <c r="T19" s="26" t="str">
        <f>IFERROR(__xludf.DUMMYFUNCTION("IFERROR(TRANSPOSE(QUERY(IFERROR(SORT(GOOGLEFINANCE(C19, ""price"", WORKDAY(TODAY(), -40), TODAY()), 1, FALSE)), ""select Col2 where Col2 is not null limit 22 label Col2 ''"", 0)), """")"),"")</f>
        <v/>
      </c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8"/>
      <c r="AO19" s="28"/>
      <c r="AP19" s="29"/>
      <c r="AQ19" s="29" t="str">
        <f t="shared" ref="AQ19:BL19" si="22">T19/T$2</f>
        <v>#N/A</v>
      </c>
      <c r="AR19" s="29" t="str">
        <f t="shared" si="22"/>
        <v>#DIV/0!</v>
      </c>
      <c r="AS19" s="29" t="str">
        <f t="shared" si="22"/>
        <v>#DIV/0!</v>
      </c>
      <c r="AT19" s="29" t="str">
        <f t="shared" si="22"/>
        <v>#DIV/0!</v>
      </c>
      <c r="AU19" s="29" t="str">
        <f t="shared" si="22"/>
        <v>#DIV/0!</v>
      </c>
      <c r="AV19" s="29" t="str">
        <f t="shared" si="22"/>
        <v>#DIV/0!</v>
      </c>
      <c r="AW19" s="29" t="str">
        <f t="shared" si="22"/>
        <v>#DIV/0!</v>
      </c>
      <c r="AX19" s="29" t="str">
        <f t="shared" si="22"/>
        <v>#DIV/0!</v>
      </c>
      <c r="AY19" s="29" t="str">
        <f t="shared" si="22"/>
        <v>#DIV/0!</v>
      </c>
      <c r="AZ19" s="29" t="str">
        <f t="shared" si="22"/>
        <v>#DIV/0!</v>
      </c>
      <c r="BA19" s="29" t="str">
        <f t="shared" si="22"/>
        <v>#DIV/0!</v>
      </c>
      <c r="BB19" s="29" t="str">
        <f t="shared" si="22"/>
        <v>#DIV/0!</v>
      </c>
      <c r="BC19" s="29" t="str">
        <f t="shared" si="22"/>
        <v>#DIV/0!</v>
      </c>
      <c r="BD19" s="29" t="str">
        <f t="shared" si="22"/>
        <v>#DIV/0!</v>
      </c>
      <c r="BE19" s="29" t="str">
        <f t="shared" si="22"/>
        <v>#DIV/0!</v>
      </c>
      <c r="BF19" s="29" t="str">
        <f t="shared" si="22"/>
        <v>#DIV/0!</v>
      </c>
      <c r="BG19" s="29" t="str">
        <f t="shared" si="22"/>
        <v>#DIV/0!</v>
      </c>
      <c r="BH19" s="29" t="str">
        <f t="shared" si="22"/>
        <v>#DIV/0!</v>
      </c>
      <c r="BI19" s="29" t="str">
        <f t="shared" si="22"/>
        <v>#DIV/0!</v>
      </c>
      <c r="BJ19" s="29" t="str">
        <f t="shared" si="22"/>
        <v>#DIV/0!</v>
      </c>
      <c r="BK19" s="29" t="str">
        <f t="shared" si="22"/>
        <v>#DIV/0!</v>
      </c>
      <c r="BL19" s="29" t="str">
        <f t="shared" si="22"/>
        <v>#DIV/0!</v>
      </c>
      <c r="BM19" s="29" t="str">
        <f t="shared" si="3"/>
        <v>#DIV/0!</v>
      </c>
    </row>
    <row r="20">
      <c r="A20" s="16" t="str">
        <f>IFERROR(__xludf.DUMMYFUNCTION("IFERROR(SPARKLINE(SORT(MAP(TRANSPOSE(AQ20:BL20), LAMBDA(val, IF(ISNUMBER(val), PERCENTRANK(AQ20:BL20, val)+0.01, 0))), SEQUENCE(COLUMNS(AQ20:BL20)), FALSE), {""charttype"",""column""; ""color"",""chartreuse""; ""ymin"", 0; ""ymax"", 1.01; ""highcolor"", "&amp;"""darkgreen""; ""lowcolor"", ""red""}), """")"),"")</f>
        <v/>
      </c>
      <c r="B20" s="17" t="str">
        <f t="shared" si="4"/>
        <v/>
      </c>
      <c r="C20" s="1" t="s">
        <v>183</v>
      </c>
      <c r="D20" s="30" t="str">
        <f>IFERROR(__xludf.DUMMYFUNCTION("IFERROR(GOOGLEFINANCE(C20, ""NAME""))"),"MarineMax Inc")</f>
        <v>MarineMax Inc</v>
      </c>
      <c r="E20" s="30" t="s">
        <v>184</v>
      </c>
      <c r="F20" s="33" t="str">
        <f>IFERROR(__xludf.DUMMYFUNCTION("( (GOOGLEFINANCE(C20, ""price"") - Q20) / Q20 ) / (R20 / 100)"),"Loading...")</f>
        <v>Loading...</v>
      </c>
      <c r="G20" s="20" t="str">
        <f>IFERROR(__xludf.DUMMYFUNCTION("AVERAGE(ARRAYFORMULA(100 * (QUERY(GOOGLEFINANCE(C20, ""high"", TODAY()-40, TODAY()), ""SELECT Col2 WHERE Col2 IS NOT NULL ORDER BY Col1 DESC LIMIT 20"", 0) / QUERY(GOOGLEFINANCE(C20, ""low"", TODAY()-40, TODAY()), ""SELECT Col2 WHERE Col2 IS NOT NULL ORDE"&amp;"R BY Col1 DESC LIMIT 20"", 0) - 1)))"),"#N/A")</f>
        <v>#N/A</v>
      </c>
      <c r="H20" s="35" t="str">
        <f t="shared" si="6"/>
        <v/>
      </c>
      <c r="I20" s="35" t="str">
        <f t="shared" si="7"/>
        <v/>
      </c>
      <c r="J20" s="37" t="str">
        <f>IFERROR(__xludf.DUMMYFUNCTION("IFERROR(
  IF(C20="""",, 
    IFERROR(
      GOOGLEFINANCE(C20, ""price"") * GOOGLEFINANCE(C20, ""volumeavg""), 
      GOOGLEFINANCE(C20, ""price"") * AVERAGE(QUERY(GOOGLEFINANCE(C20, ""volume"", TODAY()-40, TODAY()), ""SELECT Col2 WHERE Col2 IS NOT NULL "&amp;"ORDER BY Col1 DESC LIMIT 20"", 0))
    )
  ), 
"""")"),"")</f>
        <v/>
      </c>
      <c r="K20" s="21" t="str">
        <f>IFERROR(__xludf.DUMMYFUNCTION("IFERROR(GOOGLEFINANCE(C20, ""changepct"") / 100, """")"),"")</f>
        <v/>
      </c>
      <c r="L20" s="21" t="str">
        <f>IFERROR(__xludf.DUMMYFUNCTION("IFERROR((GOOGLEFINANCE(C20, ""price"") / INDEX(GOOGLEFINANCE(C20, ""price"", TODAY()-7, TODAY()), 2, 2)) - 1, """")"),"")</f>
        <v/>
      </c>
      <c r="M20" s="21" t="str">
        <f>IFERROR(__xludf.DUMMYFUNCTION("IFERROR((GOOGLEFINANCE(C20, ""price"") / INDEX(GOOGLEFINANCE(C20, ""price"", EDATE(TODAY(), -1), TODAY()), 2, 2)) - 1, """")"),"")</f>
        <v/>
      </c>
      <c r="N20" s="21" t="str">
        <f>IFERROR(__xludf.DUMMYFUNCTION("IFERROR((GOOGLEFINANCE(C20, ""price"") / INDEX(GOOGLEFINANCE(C20, ""price"", EDATE(TODAY(), -3), TODAY()), 2, 2)) - 1, """")"),"")</f>
        <v/>
      </c>
      <c r="O20" s="21" t="str">
        <f>IFERROR(__xludf.DUMMYFUNCTION("IFERROR((GOOGLEFINANCE(C20, ""price"") / INDEX(GOOGLEFINANCE(C20, ""price"", EDATE(TODAY(), -6), TODAY()), 2, 2)) - 1, """")"),"")</f>
        <v/>
      </c>
      <c r="P20" s="21" t="str">
        <f>IFERROR(__xludf.DUMMYFUNCTION("IFERROR((GOOGLEFINANCE(C20, ""price"") / INDEX(GOOGLEFINANCE(C20, ""price"", EDATE(TODAY(), -12), TODAY()), 2, 2)) - 1, """")"),"")</f>
        <v/>
      </c>
      <c r="Q20" s="6" t="str">
        <f>IFERROR(__xludf.DUMMYFUNCTION("AVERAGE(QUERY(GOOGLEFINANCE(C20, ""price"", TODAY()-80, TODAY()), ""SELECT Col2 WHERE Col2 IS NOT NULL ORDER BY Col1 DESC LIMIT 50"", 0))"),"#N/A")</f>
        <v>#N/A</v>
      </c>
      <c r="R20" s="24" t="str">
        <f>IFERROR(__xludf.DUMMYFUNCTION("IFERROR(
  LET(
    data, QUERY(GOOGLEFINANCE(C20,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GOOGLEFINANCE(C20, ""price"")) * 100,
    IF(calc=0, G20, calc)
  ), 
G20)"),"#N/A")</f>
        <v>#N/A</v>
      </c>
      <c r="S20" s="8" t="s">
        <v>15</v>
      </c>
      <c r="T20" s="26" t="str">
        <f>IFERROR(__xludf.DUMMYFUNCTION("IFERROR(TRANSPOSE(QUERY(IFERROR(SORT(GOOGLEFINANCE(C20, ""price"", WORKDAY(TODAY(), -40), TODAY()), 1, FALSE)), ""select Col2 where Col2 is not null limit 22 label Col2 ''"", 0)), """")"),"")</f>
        <v/>
      </c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8"/>
      <c r="AO20" s="28"/>
      <c r="AP20" s="29"/>
      <c r="AQ20" s="29" t="str">
        <f t="shared" ref="AQ20:BL20" si="23">T20/T$2</f>
        <v>#N/A</v>
      </c>
      <c r="AR20" s="29" t="str">
        <f t="shared" si="23"/>
        <v>#DIV/0!</v>
      </c>
      <c r="AS20" s="29" t="str">
        <f t="shared" si="23"/>
        <v>#DIV/0!</v>
      </c>
      <c r="AT20" s="29" t="str">
        <f t="shared" si="23"/>
        <v>#DIV/0!</v>
      </c>
      <c r="AU20" s="29" t="str">
        <f t="shared" si="23"/>
        <v>#DIV/0!</v>
      </c>
      <c r="AV20" s="29" t="str">
        <f t="shared" si="23"/>
        <v>#DIV/0!</v>
      </c>
      <c r="AW20" s="29" t="str">
        <f t="shared" si="23"/>
        <v>#DIV/0!</v>
      </c>
      <c r="AX20" s="29" t="str">
        <f t="shared" si="23"/>
        <v>#DIV/0!</v>
      </c>
      <c r="AY20" s="29" t="str">
        <f t="shared" si="23"/>
        <v>#DIV/0!</v>
      </c>
      <c r="AZ20" s="29" t="str">
        <f t="shared" si="23"/>
        <v>#DIV/0!</v>
      </c>
      <c r="BA20" s="29" t="str">
        <f t="shared" si="23"/>
        <v>#DIV/0!</v>
      </c>
      <c r="BB20" s="29" t="str">
        <f t="shared" si="23"/>
        <v>#DIV/0!</v>
      </c>
      <c r="BC20" s="29" t="str">
        <f t="shared" si="23"/>
        <v>#DIV/0!</v>
      </c>
      <c r="BD20" s="29" t="str">
        <f t="shared" si="23"/>
        <v>#DIV/0!</v>
      </c>
      <c r="BE20" s="29" t="str">
        <f t="shared" si="23"/>
        <v>#DIV/0!</v>
      </c>
      <c r="BF20" s="29" t="str">
        <f t="shared" si="23"/>
        <v>#DIV/0!</v>
      </c>
      <c r="BG20" s="29" t="str">
        <f t="shared" si="23"/>
        <v>#DIV/0!</v>
      </c>
      <c r="BH20" s="29" t="str">
        <f t="shared" si="23"/>
        <v>#DIV/0!</v>
      </c>
      <c r="BI20" s="29" t="str">
        <f t="shared" si="23"/>
        <v>#DIV/0!</v>
      </c>
      <c r="BJ20" s="29" t="str">
        <f t="shared" si="23"/>
        <v>#DIV/0!</v>
      </c>
      <c r="BK20" s="29" t="str">
        <f t="shared" si="23"/>
        <v>#DIV/0!</v>
      </c>
      <c r="BL20" s="29" t="str">
        <f t="shared" si="23"/>
        <v>#DIV/0!</v>
      </c>
      <c r="BM20" s="29" t="str">
        <f t="shared" si="3"/>
        <v>#DIV/0!</v>
      </c>
    </row>
    <row r="21">
      <c r="A21" s="16" t="str">
        <f>IFERROR(__xludf.DUMMYFUNCTION("IFERROR(SPARKLINE(SORT(MAP(TRANSPOSE(AQ21:BL21), LAMBDA(val, IF(ISNUMBER(val), PERCENTRANK(AQ21:BL21, val)+0.01, 0))), SEQUENCE(COLUMNS(AQ21:BL21)), FALSE), {""charttype"",""column""; ""color"",""chartreuse""; ""ymin"", 0; ""ymax"", 1.01; ""highcolor"", "&amp;"""darkgreen""; ""lowcolor"", ""red""}), """")"),"")</f>
        <v/>
      </c>
      <c r="B21" s="17" t="str">
        <f t="shared" si="4"/>
        <v/>
      </c>
      <c r="C21" s="1" t="s">
        <v>187</v>
      </c>
      <c r="D21" s="30" t="str">
        <f>IFERROR(__xludf.DUMMYFUNCTION("IFERROR(GOOGLEFINANCE(C21, ""NAME""))"),"Mastercraft Boat Holdings Inc")</f>
        <v>Mastercraft Boat Holdings Inc</v>
      </c>
      <c r="E21" s="30" t="s">
        <v>165</v>
      </c>
      <c r="F21" s="33" t="str">
        <f>IFERROR(__xludf.DUMMYFUNCTION("( (GOOGLEFINANCE(C21, ""price"") - Q21) / Q21 ) / (R21 / 100)"),"Loading...")</f>
        <v>Loading...</v>
      </c>
      <c r="G21" s="20" t="str">
        <f>IFERROR(__xludf.DUMMYFUNCTION("AVERAGE(ARRAYFORMULA(100 * (QUERY(GOOGLEFINANCE(C21, ""high"", TODAY()-40, TODAY()), ""SELECT Col2 WHERE Col2 IS NOT NULL ORDER BY Col1 DESC LIMIT 20"", 0) / QUERY(GOOGLEFINANCE(C21, ""low"", TODAY()-40, TODAY()), ""SELECT Col2 WHERE Col2 IS NOT NULL ORDE"&amp;"R BY Col1 DESC LIMIT 20"", 0) - 1)))"),"#N/A")</f>
        <v>#N/A</v>
      </c>
      <c r="H21" s="35" t="str">
        <f t="shared" si="6"/>
        <v/>
      </c>
      <c r="I21" s="35" t="str">
        <f t="shared" si="7"/>
        <v/>
      </c>
      <c r="J21" s="37" t="str">
        <f>IFERROR(__xludf.DUMMYFUNCTION("IFERROR(
  IF(C21="""",, 
    IFERROR(
      GOOGLEFINANCE(C21, ""price"") * GOOGLEFINANCE(C21, ""volumeavg""), 
      GOOGLEFINANCE(C21, ""price"") * AVERAGE(QUERY(GOOGLEFINANCE(C21, ""volume"", TODAY()-40, TODAY()), ""SELECT Col2 WHERE Col2 IS NOT NULL "&amp;"ORDER BY Col1 DESC LIMIT 20"", 0))
    )
  ), 
"""")"),"")</f>
        <v/>
      </c>
      <c r="K21" s="21" t="str">
        <f>IFERROR(__xludf.DUMMYFUNCTION("IFERROR(GOOGLEFINANCE(C21, ""changepct"") / 100, """")"),"")</f>
        <v/>
      </c>
      <c r="L21" s="21" t="str">
        <f>IFERROR(__xludf.DUMMYFUNCTION("IFERROR((GOOGLEFINANCE(C21, ""price"") / INDEX(GOOGLEFINANCE(C21, ""price"", TODAY()-7, TODAY()), 2, 2)) - 1, """")"),"")</f>
        <v/>
      </c>
      <c r="M21" s="21" t="str">
        <f>IFERROR(__xludf.DUMMYFUNCTION("IFERROR((GOOGLEFINANCE(C21, ""price"") / INDEX(GOOGLEFINANCE(C21, ""price"", EDATE(TODAY(), -1), TODAY()), 2, 2)) - 1, """")"),"")</f>
        <v/>
      </c>
      <c r="N21" s="21" t="str">
        <f>IFERROR(__xludf.DUMMYFUNCTION("IFERROR((GOOGLEFINANCE(C21, ""price"") / INDEX(GOOGLEFINANCE(C21, ""price"", EDATE(TODAY(), -3), TODAY()), 2, 2)) - 1, """")"),"")</f>
        <v/>
      </c>
      <c r="O21" s="21" t="str">
        <f>IFERROR(__xludf.DUMMYFUNCTION("IFERROR((GOOGLEFINANCE(C21, ""price"") / INDEX(GOOGLEFINANCE(C21, ""price"", EDATE(TODAY(), -6), TODAY()), 2, 2)) - 1, """")"),"")</f>
        <v/>
      </c>
      <c r="P21" s="21" t="str">
        <f>IFERROR(__xludf.DUMMYFUNCTION("IFERROR((GOOGLEFINANCE(C21, ""price"") / INDEX(GOOGLEFINANCE(C21, ""price"", EDATE(TODAY(), -12), TODAY()), 2, 2)) - 1, """")"),"")</f>
        <v/>
      </c>
      <c r="Q21" s="6" t="str">
        <f>IFERROR(__xludf.DUMMYFUNCTION("AVERAGE(QUERY(GOOGLEFINANCE(C21, ""price"", TODAY()-80, TODAY()), ""SELECT Col2 WHERE Col2 IS NOT NULL ORDER BY Col1 DESC LIMIT 50"", 0))"),"#N/A")</f>
        <v>#N/A</v>
      </c>
      <c r="R21" s="24" t="str">
        <f>IFERROR(__xludf.DUMMYFUNCTION("IFERROR(
  LET(
    data, QUERY(GOOGLEFINANCE(C21,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GOOGLEFINANCE(C21, ""price"")) * 100,
    IF(calc=0, G21, calc)
  ), 
G21)"),"#N/A")</f>
        <v>#N/A</v>
      </c>
      <c r="S21" s="8" t="s">
        <v>15</v>
      </c>
      <c r="T21" s="26" t="str">
        <f>IFERROR(__xludf.DUMMYFUNCTION("IFERROR(TRANSPOSE(QUERY(IFERROR(SORT(GOOGLEFINANCE(C21, ""price"", WORKDAY(TODAY(), -40), TODAY()), 1, FALSE)), ""select Col2 where Col2 is not null limit 22 label Col2 ''"", 0)), """")"),"")</f>
        <v/>
      </c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8"/>
      <c r="AO21" s="28"/>
      <c r="AP21" s="29"/>
      <c r="AQ21" s="29" t="str">
        <f t="shared" ref="AQ21:BL21" si="24">T21/T$2</f>
        <v>#N/A</v>
      </c>
      <c r="AR21" s="29" t="str">
        <f t="shared" si="24"/>
        <v>#DIV/0!</v>
      </c>
      <c r="AS21" s="29" t="str">
        <f t="shared" si="24"/>
        <v>#DIV/0!</v>
      </c>
      <c r="AT21" s="29" t="str">
        <f t="shared" si="24"/>
        <v>#DIV/0!</v>
      </c>
      <c r="AU21" s="29" t="str">
        <f t="shared" si="24"/>
        <v>#DIV/0!</v>
      </c>
      <c r="AV21" s="29" t="str">
        <f t="shared" si="24"/>
        <v>#DIV/0!</v>
      </c>
      <c r="AW21" s="29" t="str">
        <f t="shared" si="24"/>
        <v>#DIV/0!</v>
      </c>
      <c r="AX21" s="29" t="str">
        <f t="shared" si="24"/>
        <v>#DIV/0!</v>
      </c>
      <c r="AY21" s="29" t="str">
        <f t="shared" si="24"/>
        <v>#DIV/0!</v>
      </c>
      <c r="AZ21" s="29" t="str">
        <f t="shared" si="24"/>
        <v>#DIV/0!</v>
      </c>
      <c r="BA21" s="29" t="str">
        <f t="shared" si="24"/>
        <v>#DIV/0!</v>
      </c>
      <c r="BB21" s="29" t="str">
        <f t="shared" si="24"/>
        <v>#DIV/0!</v>
      </c>
      <c r="BC21" s="29" t="str">
        <f t="shared" si="24"/>
        <v>#DIV/0!</v>
      </c>
      <c r="BD21" s="29" t="str">
        <f t="shared" si="24"/>
        <v>#DIV/0!</v>
      </c>
      <c r="BE21" s="29" t="str">
        <f t="shared" si="24"/>
        <v>#DIV/0!</v>
      </c>
      <c r="BF21" s="29" t="str">
        <f t="shared" si="24"/>
        <v>#DIV/0!</v>
      </c>
      <c r="BG21" s="29" t="str">
        <f t="shared" si="24"/>
        <v>#DIV/0!</v>
      </c>
      <c r="BH21" s="29" t="str">
        <f t="shared" si="24"/>
        <v>#DIV/0!</v>
      </c>
      <c r="BI21" s="29" t="str">
        <f t="shared" si="24"/>
        <v>#DIV/0!</v>
      </c>
      <c r="BJ21" s="29" t="str">
        <f t="shared" si="24"/>
        <v>#DIV/0!</v>
      </c>
      <c r="BK21" s="29" t="str">
        <f t="shared" si="24"/>
        <v>#DIV/0!</v>
      </c>
      <c r="BL21" s="29" t="str">
        <f t="shared" si="24"/>
        <v>#DIV/0!</v>
      </c>
      <c r="BM21" s="29" t="str">
        <f t="shared" si="3"/>
        <v>#DIV/0!</v>
      </c>
    </row>
    <row r="22">
      <c r="A22" s="16" t="str">
        <f>IFERROR(__xludf.DUMMYFUNCTION("IFERROR(SPARKLINE(SORT(MAP(TRANSPOSE(AQ22:BL22), LAMBDA(val, IF(ISNUMBER(val), PERCENTRANK(AQ22:BL22, val)+0.01, 0))), SEQUENCE(COLUMNS(AQ22:BL22)), FALSE), {""charttype"",""column""; ""color"",""chartreuse""; ""ymin"", 0; ""ymax"", 1.01; ""highcolor"", "&amp;"""darkgreen""; ""lowcolor"", ""red""}), """")"),"")</f>
        <v/>
      </c>
      <c r="B22" s="17" t="str">
        <f t="shared" si="4"/>
        <v/>
      </c>
      <c r="C22" s="1" t="s">
        <v>189</v>
      </c>
      <c r="D22" s="30" t="str">
        <f>IFERROR(__xludf.DUMMYFUNCTION("IFERROR(GOOGLEFINANCE(C22, ""NAME""))"),"ACV Auctions Inc")</f>
        <v>ACV Auctions Inc</v>
      </c>
      <c r="E22" s="30" t="s">
        <v>190</v>
      </c>
      <c r="F22" s="33" t="str">
        <f>IFERROR(__xludf.DUMMYFUNCTION("( (GOOGLEFINANCE(C22, ""price"") - Q22) / Q22 ) / (R22 / 100)"),"Loading...")</f>
        <v>Loading...</v>
      </c>
      <c r="G22" s="20" t="str">
        <f>IFERROR(__xludf.DUMMYFUNCTION("AVERAGE(ARRAYFORMULA(100 * (QUERY(GOOGLEFINANCE(C22, ""high"", TODAY()-40, TODAY()), ""SELECT Col2 WHERE Col2 IS NOT NULL ORDER BY Col1 DESC LIMIT 20"", 0) / QUERY(GOOGLEFINANCE(C22, ""low"", TODAY()-40, TODAY()), ""SELECT Col2 WHERE Col2 IS NOT NULL ORDE"&amp;"R BY Col1 DESC LIMIT 20"", 0) - 1)))"),"#N/A")</f>
        <v>#N/A</v>
      </c>
      <c r="H22" s="35" t="str">
        <f t="shared" si="6"/>
        <v/>
      </c>
      <c r="I22" s="35" t="str">
        <f t="shared" si="7"/>
        <v/>
      </c>
      <c r="J22" s="37" t="str">
        <f>IFERROR(__xludf.DUMMYFUNCTION("IFERROR(
  IF(C22="""",, 
    IFERROR(
      GOOGLEFINANCE(C22, ""price"") * GOOGLEFINANCE(C22, ""volumeavg""), 
      GOOGLEFINANCE(C22, ""price"") * AVERAGE(QUERY(GOOGLEFINANCE(C22, ""volume"", TODAY()-40, TODAY()), ""SELECT Col2 WHERE Col2 IS NOT NULL "&amp;"ORDER BY Col1 DESC LIMIT 20"", 0))
    )
  ), 
"""")"),"")</f>
        <v/>
      </c>
      <c r="K22" s="21" t="str">
        <f>IFERROR(__xludf.DUMMYFUNCTION("IFERROR(GOOGLEFINANCE(C22, ""changepct"") / 100, """")"),"")</f>
        <v/>
      </c>
      <c r="L22" s="21" t="str">
        <f>IFERROR(__xludf.DUMMYFUNCTION("IFERROR((GOOGLEFINANCE(C22, ""price"") / INDEX(GOOGLEFINANCE(C22, ""price"", TODAY()-7, TODAY()), 2, 2)) - 1, """")"),"")</f>
        <v/>
      </c>
      <c r="M22" s="21" t="str">
        <f>IFERROR(__xludf.DUMMYFUNCTION("IFERROR((GOOGLEFINANCE(C22, ""price"") / INDEX(GOOGLEFINANCE(C22, ""price"", EDATE(TODAY(), -1), TODAY()), 2, 2)) - 1, """")"),"")</f>
        <v/>
      </c>
      <c r="N22" s="21" t="str">
        <f>IFERROR(__xludf.DUMMYFUNCTION("IFERROR((GOOGLEFINANCE(C22, ""price"") / INDEX(GOOGLEFINANCE(C22, ""price"", EDATE(TODAY(), -3), TODAY()), 2, 2)) - 1, """")"),"")</f>
        <v/>
      </c>
      <c r="O22" s="21" t="str">
        <f>IFERROR(__xludf.DUMMYFUNCTION("IFERROR((GOOGLEFINANCE(C22, ""price"") / INDEX(GOOGLEFINANCE(C22, ""price"", EDATE(TODAY(), -6), TODAY()), 2, 2)) - 1, """")"),"")</f>
        <v/>
      </c>
      <c r="P22" s="21" t="str">
        <f>IFERROR(__xludf.DUMMYFUNCTION("IFERROR((GOOGLEFINANCE(C22, ""price"") / INDEX(GOOGLEFINANCE(C22, ""price"", EDATE(TODAY(), -12), TODAY()), 2, 2)) - 1, """")"),"")</f>
        <v/>
      </c>
      <c r="Q22" s="6" t="str">
        <f>IFERROR(__xludf.DUMMYFUNCTION("AVERAGE(QUERY(GOOGLEFINANCE(C22, ""price"", TODAY()-80, TODAY()), ""SELECT Col2 WHERE Col2 IS NOT NULL ORDER BY Col1 DESC LIMIT 50"", 0))"),"#N/A")</f>
        <v>#N/A</v>
      </c>
      <c r="R22" s="24" t="str">
        <f>IFERROR(__xludf.DUMMYFUNCTION("IFERROR(
  LET(
    data, QUERY(GOOGLEFINANCE(C22,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GOOGLEFINANCE(C22, ""price"")) * 100,
    IF(calc=0, G22, calc)
  ), 
G22)"),"#N/A")</f>
        <v>#N/A</v>
      </c>
      <c r="S22" s="8" t="s">
        <v>15</v>
      </c>
      <c r="T22" s="26" t="str">
        <f>IFERROR(__xludf.DUMMYFUNCTION("IFERROR(TRANSPOSE(QUERY(IFERROR(SORT(GOOGLEFINANCE(C22, ""price"", WORKDAY(TODAY(), -40), TODAY()), 1, FALSE)), ""select Col2 where Col2 is not null limit 22 label Col2 ''"", 0)), """")"),"")</f>
        <v/>
      </c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8"/>
      <c r="AO22" s="28"/>
      <c r="AP22" s="29"/>
      <c r="AQ22" s="29" t="str">
        <f t="shared" ref="AQ22:BL22" si="25">T22/T$2</f>
        <v>#N/A</v>
      </c>
      <c r="AR22" s="29" t="str">
        <f t="shared" si="25"/>
        <v>#DIV/0!</v>
      </c>
      <c r="AS22" s="29" t="str">
        <f t="shared" si="25"/>
        <v>#DIV/0!</v>
      </c>
      <c r="AT22" s="29" t="str">
        <f t="shared" si="25"/>
        <v>#DIV/0!</v>
      </c>
      <c r="AU22" s="29" t="str">
        <f t="shared" si="25"/>
        <v>#DIV/0!</v>
      </c>
      <c r="AV22" s="29" t="str">
        <f t="shared" si="25"/>
        <v>#DIV/0!</v>
      </c>
      <c r="AW22" s="29" t="str">
        <f t="shared" si="25"/>
        <v>#DIV/0!</v>
      </c>
      <c r="AX22" s="29" t="str">
        <f t="shared" si="25"/>
        <v>#DIV/0!</v>
      </c>
      <c r="AY22" s="29" t="str">
        <f t="shared" si="25"/>
        <v>#DIV/0!</v>
      </c>
      <c r="AZ22" s="29" t="str">
        <f t="shared" si="25"/>
        <v>#DIV/0!</v>
      </c>
      <c r="BA22" s="29" t="str">
        <f t="shared" si="25"/>
        <v>#DIV/0!</v>
      </c>
      <c r="BB22" s="29" t="str">
        <f t="shared" si="25"/>
        <v>#DIV/0!</v>
      </c>
      <c r="BC22" s="29" t="str">
        <f t="shared" si="25"/>
        <v>#DIV/0!</v>
      </c>
      <c r="BD22" s="29" t="str">
        <f t="shared" si="25"/>
        <v>#DIV/0!</v>
      </c>
      <c r="BE22" s="29" t="str">
        <f t="shared" si="25"/>
        <v>#DIV/0!</v>
      </c>
      <c r="BF22" s="29" t="str">
        <f t="shared" si="25"/>
        <v>#DIV/0!</v>
      </c>
      <c r="BG22" s="29" t="str">
        <f t="shared" si="25"/>
        <v>#DIV/0!</v>
      </c>
      <c r="BH22" s="29" t="str">
        <f t="shared" si="25"/>
        <v>#DIV/0!</v>
      </c>
      <c r="BI22" s="29" t="str">
        <f t="shared" si="25"/>
        <v>#DIV/0!</v>
      </c>
      <c r="BJ22" s="29" t="str">
        <f t="shared" si="25"/>
        <v>#DIV/0!</v>
      </c>
      <c r="BK22" s="29" t="str">
        <f t="shared" si="25"/>
        <v>#DIV/0!</v>
      </c>
      <c r="BL22" s="29" t="str">
        <f t="shared" si="25"/>
        <v>#DIV/0!</v>
      </c>
      <c r="BM22" s="29" t="str">
        <f t="shared" si="3"/>
        <v>#DIV/0!</v>
      </c>
    </row>
    <row r="23">
      <c r="A23" s="16" t="str">
        <f>IFERROR(__xludf.DUMMYFUNCTION("IFERROR(SPARKLINE(SORT(MAP(TRANSPOSE(AQ23:BL23), LAMBDA(val, IF(ISNUMBER(val), PERCENTRANK(AQ23:BL23, val)+0.01, 0))), SEQUENCE(COLUMNS(AQ23:BL23)), FALSE), {""charttype"",""column""; ""color"",""chartreuse""; ""ymin"", 0; ""ymax"", 1.01; ""highcolor"", "&amp;"""darkgreen""; ""lowcolor"", ""red""}), """")"),"")</f>
        <v/>
      </c>
      <c r="B23" s="17" t="str">
        <f t="shared" si="4"/>
        <v/>
      </c>
      <c r="C23" s="1" t="s">
        <v>194</v>
      </c>
      <c r="D23" s="30" t="str">
        <f>IFERROR(__xludf.DUMMYFUNCTION("IFERROR(GOOGLEFINANCE(C23, ""NAME""))"),"Ranpak Holdings Corp")</f>
        <v>Ranpak Holdings Corp</v>
      </c>
      <c r="E23" s="30" t="s">
        <v>195</v>
      </c>
      <c r="F23" s="33" t="str">
        <f>IFERROR(__xludf.DUMMYFUNCTION("( (GOOGLEFINANCE(C23, ""price"") - Q23) / Q23 ) / (R23 / 100)"),"Loading...")</f>
        <v>Loading...</v>
      </c>
      <c r="G23" s="20" t="str">
        <f>IFERROR(__xludf.DUMMYFUNCTION("AVERAGE(ARRAYFORMULA(100 * (QUERY(GOOGLEFINANCE(C23, ""high"", TODAY()-40, TODAY()), ""SELECT Col2 WHERE Col2 IS NOT NULL ORDER BY Col1 DESC LIMIT 20"", 0) / QUERY(GOOGLEFINANCE(C23, ""low"", TODAY()-40, TODAY()), ""SELECT Col2 WHERE Col2 IS NOT NULL ORDE"&amp;"R BY Col1 DESC LIMIT 20"", 0) - 1)))"),"#N/A")</f>
        <v>#N/A</v>
      </c>
      <c r="H23" s="35" t="str">
        <f t="shared" si="6"/>
        <v/>
      </c>
      <c r="I23" s="35" t="str">
        <f t="shared" si="7"/>
        <v/>
      </c>
      <c r="J23" s="37" t="str">
        <f>IFERROR(__xludf.DUMMYFUNCTION("IFERROR(
  IF(C23="""",, 
    IFERROR(
      GOOGLEFINANCE(C23, ""price"") * GOOGLEFINANCE(C23, ""volumeavg""), 
      GOOGLEFINANCE(C23, ""price"") * AVERAGE(QUERY(GOOGLEFINANCE(C23, ""volume"", TODAY()-40, TODAY()), ""SELECT Col2 WHERE Col2 IS NOT NULL "&amp;"ORDER BY Col1 DESC LIMIT 20"", 0))
    )
  ), 
"""")"),"")</f>
        <v/>
      </c>
      <c r="K23" s="21" t="str">
        <f>IFERROR(__xludf.DUMMYFUNCTION("IFERROR(GOOGLEFINANCE(C23, ""changepct"") / 100, """")"),"")</f>
        <v/>
      </c>
      <c r="L23" s="21" t="str">
        <f>IFERROR(__xludf.DUMMYFUNCTION("IFERROR((GOOGLEFINANCE(C23, ""price"") / INDEX(GOOGLEFINANCE(C23, ""price"", TODAY()-7, TODAY()), 2, 2)) - 1, """")"),"")</f>
        <v/>
      </c>
      <c r="M23" s="21" t="str">
        <f>IFERROR(__xludf.DUMMYFUNCTION("IFERROR((GOOGLEFINANCE(C23, ""price"") / INDEX(GOOGLEFINANCE(C23, ""price"", EDATE(TODAY(), -1), TODAY()), 2, 2)) - 1, """")"),"")</f>
        <v/>
      </c>
      <c r="N23" s="21" t="str">
        <f>IFERROR(__xludf.DUMMYFUNCTION("IFERROR((GOOGLEFINANCE(C23, ""price"") / INDEX(GOOGLEFINANCE(C23, ""price"", EDATE(TODAY(), -3), TODAY()), 2, 2)) - 1, """")"),"")</f>
        <v/>
      </c>
      <c r="O23" s="21" t="str">
        <f>IFERROR(__xludf.DUMMYFUNCTION("IFERROR((GOOGLEFINANCE(C23, ""price"") / INDEX(GOOGLEFINANCE(C23, ""price"", EDATE(TODAY(), -6), TODAY()), 2, 2)) - 1, """")"),"")</f>
        <v/>
      </c>
      <c r="P23" s="21" t="str">
        <f>IFERROR(__xludf.DUMMYFUNCTION("IFERROR((GOOGLEFINANCE(C23, ""price"") / INDEX(GOOGLEFINANCE(C23, ""price"", EDATE(TODAY(), -12), TODAY()), 2, 2)) - 1, """")"),"")</f>
        <v/>
      </c>
      <c r="Q23" s="6" t="str">
        <f>IFERROR(__xludf.DUMMYFUNCTION("AVERAGE(QUERY(GOOGLEFINANCE(C23, ""price"", TODAY()-80, TODAY()), ""SELECT Col2 WHERE Col2 IS NOT NULL ORDER BY Col1 DESC LIMIT 50"", 0))"),"#N/A")</f>
        <v>#N/A</v>
      </c>
      <c r="R23" s="24" t="str">
        <f>IFERROR(__xludf.DUMMYFUNCTION("IFERROR(
  LET(
    data, QUERY(GOOGLEFINANCE(C23,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GOOGLEFINANCE(C23, ""price"")) * 100,
    IF(calc=0, G23, calc)
  ), 
G23)"),"#N/A")</f>
        <v>#N/A</v>
      </c>
      <c r="S23" s="8" t="s">
        <v>15</v>
      </c>
      <c r="T23" s="26" t="str">
        <f>IFERROR(__xludf.DUMMYFUNCTION("IFERROR(TRANSPOSE(QUERY(IFERROR(SORT(GOOGLEFINANCE(C23, ""price"", WORKDAY(TODAY(), -40), TODAY()), 1, FALSE)), ""select Col2 where Col2 is not null limit 22 label Col2 ''"", 0)), """")"),"")</f>
        <v/>
      </c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8"/>
      <c r="AO23" s="28"/>
      <c r="AP23" s="29"/>
      <c r="AQ23" s="29" t="str">
        <f t="shared" ref="AQ23:BL23" si="26">T23/T$2</f>
        <v>#N/A</v>
      </c>
      <c r="AR23" s="29" t="str">
        <f t="shared" si="26"/>
        <v>#DIV/0!</v>
      </c>
      <c r="AS23" s="29" t="str">
        <f t="shared" si="26"/>
        <v>#DIV/0!</v>
      </c>
      <c r="AT23" s="29" t="str">
        <f t="shared" si="26"/>
        <v>#DIV/0!</v>
      </c>
      <c r="AU23" s="29" t="str">
        <f t="shared" si="26"/>
        <v>#DIV/0!</v>
      </c>
      <c r="AV23" s="29" t="str">
        <f t="shared" si="26"/>
        <v>#DIV/0!</v>
      </c>
      <c r="AW23" s="29" t="str">
        <f t="shared" si="26"/>
        <v>#DIV/0!</v>
      </c>
      <c r="AX23" s="29" t="str">
        <f t="shared" si="26"/>
        <v>#DIV/0!</v>
      </c>
      <c r="AY23" s="29" t="str">
        <f t="shared" si="26"/>
        <v>#DIV/0!</v>
      </c>
      <c r="AZ23" s="29" t="str">
        <f t="shared" si="26"/>
        <v>#DIV/0!</v>
      </c>
      <c r="BA23" s="29" t="str">
        <f t="shared" si="26"/>
        <v>#DIV/0!</v>
      </c>
      <c r="BB23" s="29" t="str">
        <f t="shared" si="26"/>
        <v>#DIV/0!</v>
      </c>
      <c r="BC23" s="29" t="str">
        <f t="shared" si="26"/>
        <v>#DIV/0!</v>
      </c>
      <c r="BD23" s="29" t="str">
        <f t="shared" si="26"/>
        <v>#DIV/0!</v>
      </c>
      <c r="BE23" s="29" t="str">
        <f t="shared" si="26"/>
        <v>#DIV/0!</v>
      </c>
      <c r="BF23" s="29" t="str">
        <f t="shared" si="26"/>
        <v>#DIV/0!</v>
      </c>
      <c r="BG23" s="29" t="str">
        <f t="shared" si="26"/>
        <v>#DIV/0!</v>
      </c>
      <c r="BH23" s="29" t="str">
        <f t="shared" si="26"/>
        <v>#DIV/0!</v>
      </c>
      <c r="BI23" s="29" t="str">
        <f t="shared" si="26"/>
        <v>#DIV/0!</v>
      </c>
      <c r="BJ23" s="29" t="str">
        <f t="shared" si="26"/>
        <v>#DIV/0!</v>
      </c>
      <c r="BK23" s="29" t="str">
        <f t="shared" si="26"/>
        <v>#DIV/0!</v>
      </c>
      <c r="BL23" s="29" t="str">
        <f t="shared" si="26"/>
        <v>#DIV/0!</v>
      </c>
      <c r="BM23" s="29" t="str">
        <f t="shared" si="3"/>
        <v>#DIV/0!</v>
      </c>
    </row>
    <row r="24">
      <c r="A24" s="16" t="str">
        <f>IFERROR(__xludf.DUMMYFUNCTION("IFERROR(SPARKLINE(SORT(MAP(TRANSPOSE(AQ24:BL24), LAMBDA(val, IF(ISNUMBER(val), PERCENTRANK(AQ24:BL24, val)+0.01, 0))), SEQUENCE(COLUMNS(AQ24:BL24)), FALSE), {""charttype"",""column""; ""color"",""chartreuse""; ""ymin"", 0; ""ymax"", 1.01; ""highcolor"", "&amp;"""darkgreen""; ""lowcolor"", ""red""}), """")"),"")</f>
        <v/>
      </c>
      <c r="B24" s="17" t="str">
        <f t="shared" si="4"/>
        <v/>
      </c>
      <c r="C24" s="1" t="s">
        <v>199</v>
      </c>
      <c r="D24" s="30" t="str">
        <f>IFERROR(__xludf.DUMMYFUNCTION("IFERROR(GOOGLEFINANCE(C24, ""NAME""))"),"Caseys General Stores Inc")</f>
        <v>Caseys General Stores Inc</v>
      </c>
      <c r="E24" s="30" t="s">
        <v>184</v>
      </c>
      <c r="F24" s="33" t="str">
        <f>IFERROR(__xludf.DUMMYFUNCTION("( (GOOGLEFINANCE(C24, ""price"") - Q24) / Q24 ) / (R24 / 100)"),"Loading...")</f>
        <v>Loading...</v>
      </c>
      <c r="G24" s="20" t="str">
        <f>IFERROR(__xludf.DUMMYFUNCTION("AVERAGE(ARRAYFORMULA(100 * (QUERY(GOOGLEFINANCE(C24, ""high"", TODAY()-40, TODAY()), ""SELECT Col2 WHERE Col2 IS NOT NULL ORDER BY Col1 DESC LIMIT 20"", 0) / QUERY(GOOGLEFINANCE(C24, ""low"", TODAY()-40, TODAY()), ""SELECT Col2 WHERE Col2 IS NOT NULL ORDE"&amp;"R BY Col1 DESC LIMIT 20"", 0) - 1)))"),"#N/A")</f>
        <v>#N/A</v>
      </c>
      <c r="H24" s="35" t="str">
        <f t="shared" si="6"/>
        <v/>
      </c>
      <c r="I24" s="35" t="str">
        <f t="shared" si="7"/>
        <v/>
      </c>
      <c r="J24" s="37" t="str">
        <f>IFERROR(__xludf.DUMMYFUNCTION("IFERROR(
  IF(C24="""",, 
    IFERROR(
      GOOGLEFINANCE(C24, ""price"") * GOOGLEFINANCE(C24, ""volumeavg""), 
      GOOGLEFINANCE(C24, ""price"") * AVERAGE(QUERY(GOOGLEFINANCE(C24, ""volume"", TODAY()-40, TODAY()), ""SELECT Col2 WHERE Col2 IS NOT NULL "&amp;"ORDER BY Col1 DESC LIMIT 20"", 0))
    )
  ), 
"""")"),"")</f>
        <v/>
      </c>
      <c r="K24" s="21" t="str">
        <f>IFERROR(__xludf.DUMMYFUNCTION("IFERROR(GOOGLEFINANCE(C24, ""changepct"") / 100, """")"),"")</f>
        <v/>
      </c>
      <c r="L24" s="21" t="str">
        <f>IFERROR(__xludf.DUMMYFUNCTION("IFERROR((GOOGLEFINANCE(C24, ""price"") / INDEX(GOOGLEFINANCE(C24, ""price"", TODAY()-7, TODAY()), 2, 2)) - 1, """")"),"")</f>
        <v/>
      </c>
      <c r="M24" s="21" t="str">
        <f>IFERROR(__xludf.DUMMYFUNCTION("IFERROR((GOOGLEFINANCE(C24, ""price"") / INDEX(GOOGLEFINANCE(C24, ""price"", EDATE(TODAY(), -1), TODAY()), 2, 2)) - 1, """")"),"")</f>
        <v/>
      </c>
      <c r="N24" s="21" t="str">
        <f>IFERROR(__xludf.DUMMYFUNCTION("IFERROR((GOOGLEFINANCE(C24, ""price"") / INDEX(GOOGLEFINANCE(C24, ""price"", EDATE(TODAY(), -3), TODAY()), 2, 2)) - 1, """")"),"")</f>
        <v/>
      </c>
      <c r="O24" s="21" t="str">
        <f>IFERROR(__xludf.DUMMYFUNCTION("IFERROR((GOOGLEFINANCE(C24, ""price"") / INDEX(GOOGLEFINANCE(C24, ""price"", EDATE(TODAY(), -6), TODAY()), 2, 2)) - 1, """")"),"")</f>
        <v/>
      </c>
      <c r="P24" s="21" t="str">
        <f>IFERROR(__xludf.DUMMYFUNCTION("IFERROR((GOOGLEFINANCE(C24, ""price"") / INDEX(GOOGLEFINANCE(C24, ""price"", EDATE(TODAY(), -12), TODAY()), 2, 2)) - 1, """")"),"")</f>
        <v/>
      </c>
      <c r="Q24" s="6" t="str">
        <f>IFERROR(__xludf.DUMMYFUNCTION("AVERAGE(QUERY(GOOGLEFINANCE(C24, ""price"", TODAY()-80, TODAY()), ""SELECT Col2 WHERE Col2 IS NOT NULL ORDER BY Col1 DESC LIMIT 50"", 0))"),"#N/A")</f>
        <v>#N/A</v>
      </c>
      <c r="R24" s="24" t="str">
        <f>IFERROR(__xludf.DUMMYFUNCTION("IFERROR(
  LET(
    data, QUERY(GOOGLEFINANCE(C24,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GOOGLEFINANCE(C24, ""price"")) * 100,
    IF(calc=0, G24, calc)
  ), 
G24)"),"#N/A")</f>
        <v>#N/A</v>
      </c>
      <c r="S24" s="8" t="s">
        <v>15</v>
      </c>
      <c r="T24" s="26" t="str">
        <f>IFERROR(__xludf.DUMMYFUNCTION("IFERROR(TRANSPOSE(QUERY(IFERROR(SORT(GOOGLEFINANCE(C24, ""price"", WORKDAY(TODAY(), -40), TODAY()), 1, FALSE)), ""select Col2 where Col2 is not null limit 22 label Col2 ''"", 0)), """")"),"")</f>
        <v/>
      </c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8"/>
      <c r="AO24" s="28"/>
      <c r="AP24" s="29"/>
      <c r="AQ24" s="29" t="str">
        <f t="shared" ref="AQ24:BL24" si="27">T24/T$2</f>
        <v>#N/A</v>
      </c>
      <c r="AR24" s="29" t="str">
        <f t="shared" si="27"/>
        <v>#DIV/0!</v>
      </c>
      <c r="AS24" s="29" t="str">
        <f t="shared" si="27"/>
        <v>#DIV/0!</v>
      </c>
      <c r="AT24" s="29" t="str">
        <f t="shared" si="27"/>
        <v>#DIV/0!</v>
      </c>
      <c r="AU24" s="29" t="str">
        <f t="shared" si="27"/>
        <v>#DIV/0!</v>
      </c>
      <c r="AV24" s="29" t="str">
        <f t="shared" si="27"/>
        <v>#DIV/0!</v>
      </c>
      <c r="AW24" s="29" t="str">
        <f t="shared" si="27"/>
        <v>#DIV/0!</v>
      </c>
      <c r="AX24" s="29" t="str">
        <f t="shared" si="27"/>
        <v>#DIV/0!</v>
      </c>
      <c r="AY24" s="29" t="str">
        <f t="shared" si="27"/>
        <v>#DIV/0!</v>
      </c>
      <c r="AZ24" s="29" t="str">
        <f t="shared" si="27"/>
        <v>#DIV/0!</v>
      </c>
      <c r="BA24" s="29" t="str">
        <f t="shared" si="27"/>
        <v>#DIV/0!</v>
      </c>
      <c r="BB24" s="29" t="str">
        <f t="shared" si="27"/>
        <v>#DIV/0!</v>
      </c>
      <c r="BC24" s="29" t="str">
        <f t="shared" si="27"/>
        <v>#DIV/0!</v>
      </c>
      <c r="BD24" s="29" t="str">
        <f t="shared" si="27"/>
        <v>#DIV/0!</v>
      </c>
      <c r="BE24" s="29" t="str">
        <f t="shared" si="27"/>
        <v>#DIV/0!</v>
      </c>
      <c r="BF24" s="29" t="str">
        <f t="shared" si="27"/>
        <v>#DIV/0!</v>
      </c>
      <c r="BG24" s="29" t="str">
        <f t="shared" si="27"/>
        <v>#DIV/0!</v>
      </c>
      <c r="BH24" s="29" t="str">
        <f t="shared" si="27"/>
        <v>#DIV/0!</v>
      </c>
      <c r="BI24" s="29" t="str">
        <f t="shared" si="27"/>
        <v>#DIV/0!</v>
      </c>
      <c r="BJ24" s="29" t="str">
        <f t="shared" si="27"/>
        <v>#DIV/0!</v>
      </c>
      <c r="BK24" s="29" t="str">
        <f t="shared" si="27"/>
        <v>#DIV/0!</v>
      </c>
      <c r="BL24" s="29" t="str">
        <f t="shared" si="27"/>
        <v>#DIV/0!</v>
      </c>
      <c r="BM24" s="29" t="str">
        <f t="shared" si="3"/>
        <v>#DIV/0!</v>
      </c>
    </row>
    <row r="25">
      <c r="A25" s="16" t="str">
        <f>IFERROR(__xludf.DUMMYFUNCTION("IFERROR(SPARKLINE(SORT(MAP(TRANSPOSE(AQ25:BL25), LAMBDA(val, IF(ISNUMBER(val), PERCENTRANK(AQ25:BL25, val)+0.01, 0))), SEQUENCE(COLUMNS(AQ25:BL25)), FALSE), {""charttype"",""column""; ""color"",""chartreuse""; ""ymin"", 0; ""ymax"", 1.01; ""highcolor"", "&amp;"""darkgreen""; ""lowcolor"", ""red""}), """")"),"")</f>
        <v/>
      </c>
      <c r="B25" s="17" t="str">
        <f t="shared" si="4"/>
        <v/>
      </c>
      <c r="C25" s="1" t="s">
        <v>203</v>
      </c>
      <c r="D25" s="30" t="str">
        <f>IFERROR(__xludf.DUMMYFUNCTION("IFERROR(GOOGLEFINANCE(C25, ""NAME""))"),"Mobileye Global Inc")</f>
        <v>Mobileye Global Inc</v>
      </c>
      <c r="E25" s="30" t="s">
        <v>109</v>
      </c>
      <c r="F25" s="33" t="str">
        <f>IFERROR(__xludf.DUMMYFUNCTION("( (GOOGLEFINANCE(C25, ""price"") - Q25) / Q25 ) / (R25 / 100)"),"Loading...")</f>
        <v>Loading...</v>
      </c>
      <c r="G25" s="20" t="str">
        <f>IFERROR(__xludf.DUMMYFUNCTION("AVERAGE(ARRAYFORMULA(100 * (QUERY(GOOGLEFINANCE(C25, ""high"", TODAY()-40, TODAY()), ""SELECT Col2 WHERE Col2 IS NOT NULL ORDER BY Col1 DESC LIMIT 20"", 0) / QUERY(GOOGLEFINANCE(C25, ""low"", TODAY()-40, TODAY()), ""SELECT Col2 WHERE Col2 IS NOT NULL ORDE"&amp;"R BY Col1 DESC LIMIT 20"", 0) - 1)))"),"#N/A")</f>
        <v>#N/A</v>
      </c>
      <c r="H25" s="35" t="str">
        <f t="shared" si="6"/>
        <v/>
      </c>
      <c r="I25" s="35" t="str">
        <f t="shared" si="7"/>
        <v/>
      </c>
      <c r="J25" s="37" t="str">
        <f>IFERROR(__xludf.DUMMYFUNCTION("IFERROR(
  IF(C25="""",, 
    IFERROR(
      GOOGLEFINANCE(C25, ""price"") * GOOGLEFINANCE(C25, ""volumeavg""), 
      GOOGLEFINANCE(C25, ""price"") * AVERAGE(QUERY(GOOGLEFINANCE(C25, ""volume"", TODAY()-40, TODAY()), ""SELECT Col2 WHERE Col2 IS NOT NULL "&amp;"ORDER BY Col1 DESC LIMIT 20"", 0))
    )
  ), 
"""")"),"")</f>
        <v/>
      </c>
      <c r="K25" s="21" t="str">
        <f>IFERROR(__xludf.DUMMYFUNCTION("IFERROR(GOOGLEFINANCE(C25, ""changepct"") / 100, """")"),"")</f>
        <v/>
      </c>
      <c r="L25" s="21" t="str">
        <f>IFERROR(__xludf.DUMMYFUNCTION("IFERROR((GOOGLEFINANCE(C25, ""price"") / INDEX(GOOGLEFINANCE(C25, ""price"", TODAY()-7, TODAY()), 2, 2)) - 1, """")"),"")</f>
        <v/>
      </c>
      <c r="M25" s="21" t="str">
        <f>IFERROR(__xludf.DUMMYFUNCTION("IFERROR((GOOGLEFINANCE(C25, ""price"") / INDEX(GOOGLEFINANCE(C25, ""price"", EDATE(TODAY(), -1), TODAY()), 2, 2)) - 1, """")"),"")</f>
        <v/>
      </c>
      <c r="N25" s="21" t="str">
        <f>IFERROR(__xludf.DUMMYFUNCTION("IFERROR((GOOGLEFINANCE(C25, ""price"") / INDEX(GOOGLEFINANCE(C25, ""price"", EDATE(TODAY(), -3), TODAY()), 2, 2)) - 1, """")"),"")</f>
        <v/>
      </c>
      <c r="O25" s="21" t="str">
        <f>IFERROR(__xludf.DUMMYFUNCTION("IFERROR((GOOGLEFINANCE(C25, ""price"") / INDEX(GOOGLEFINANCE(C25, ""price"", EDATE(TODAY(), -6), TODAY()), 2, 2)) - 1, """")"),"")</f>
        <v/>
      </c>
      <c r="P25" s="21" t="str">
        <f>IFERROR(__xludf.DUMMYFUNCTION("IFERROR((GOOGLEFINANCE(C25, ""price"") / INDEX(GOOGLEFINANCE(C25, ""price"", EDATE(TODAY(), -12), TODAY()), 2, 2)) - 1, """")"),"")</f>
        <v/>
      </c>
      <c r="Q25" s="6" t="str">
        <f>IFERROR(__xludf.DUMMYFUNCTION("AVERAGE(QUERY(GOOGLEFINANCE(C25, ""price"", TODAY()-80, TODAY()), ""SELECT Col2 WHERE Col2 IS NOT NULL ORDER BY Col1 DESC LIMIT 50"", 0))"),"#N/A")</f>
        <v>#N/A</v>
      </c>
      <c r="R25" s="24" t="str">
        <f>IFERROR(__xludf.DUMMYFUNCTION("IFERROR(
  LET(
    data, QUERY(GOOGLEFINANCE(C25,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GOOGLEFINANCE(C25, ""price"")) * 100,
    IF(calc=0, G25, calc)
  ), 
G25)"),"#N/A")</f>
        <v>#N/A</v>
      </c>
      <c r="S25" s="8" t="s">
        <v>15</v>
      </c>
      <c r="T25" s="26" t="str">
        <f>IFERROR(__xludf.DUMMYFUNCTION("IFERROR(TRANSPOSE(QUERY(IFERROR(SORT(GOOGLEFINANCE(C25, ""price"", WORKDAY(TODAY(), -40), TODAY()), 1, FALSE)), ""select Col2 where Col2 is not null limit 22 label Col2 ''"", 0)), """")"),"")</f>
        <v/>
      </c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8"/>
      <c r="AO25" s="28"/>
      <c r="AP25" s="29"/>
      <c r="AQ25" s="29" t="str">
        <f t="shared" ref="AQ25:BL25" si="28">T25/T$2</f>
        <v>#N/A</v>
      </c>
      <c r="AR25" s="29" t="str">
        <f t="shared" si="28"/>
        <v>#DIV/0!</v>
      </c>
      <c r="AS25" s="29" t="str">
        <f t="shared" si="28"/>
        <v>#DIV/0!</v>
      </c>
      <c r="AT25" s="29" t="str">
        <f t="shared" si="28"/>
        <v>#DIV/0!</v>
      </c>
      <c r="AU25" s="29" t="str">
        <f t="shared" si="28"/>
        <v>#DIV/0!</v>
      </c>
      <c r="AV25" s="29" t="str">
        <f t="shared" si="28"/>
        <v>#DIV/0!</v>
      </c>
      <c r="AW25" s="29" t="str">
        <f t="shared" si="28"/>
        <v>#DIV/0!</v>
      </c>
      <c r="AX25" s="29" t="str">
        <f t="shared" si="28"/>
        <v>#DIV/0!</v>
      </c>
      <c r="AY25" s="29" t="str">
        <f t="shared" si="28"/>
        <v>#DIV/0!</v>
      </c>
      <c r="AZ25" s="29" t="str">
        <f t="shared" si="28"/>
        <v>#DIV/0!</v>
      </c>
      <c r="BA25" s="29" t="str">
        <f t="shared" si="28"/>
        <v>#DIV/0!</v>
      </c>
      <c r="BB25" s="29" t="str">
        <f t="shared" si="28"/>
        <v>#DIV/0!</v>
      </c>
      <c r="BC25" s="29" t="str">
        <f t="shared" si="28"/>
        <v>#DIV/0!</v>
      </c>
      <c r="BD25" s="29" t="str">
        <f t="shared" si="28"/>
        <v>#DIV/0!</v>
      </c>
      <c r="BE25" s="29" t="str">
        <f t="shared" si="28"/>
        <v>#DIV/0!</v>
      </c>
      <c r="BF25" s="29" t="str">
        <f t="shared" si="28"/>
        <v>#DIV/0!</v>
      </c>
      <c r="BG25" s="29" t="str">
        <f t="shared" si="28"/>
        <v>#DIV/0!</v>
      </c>
      <c r="BH25" s="29" t="str">
        <f t="shared" si="28"/>
        <v>#DIV/0!</v>
      </c>
      <c r="BI25" s="29" t="str">
        <f t="shared" si="28"/>
        <v>#DIV/0!</v>
      </c>
      <c r="BJ25" s="29" t="str">
        <f t="shared" si="28"/>
        <v>#DIV/0!</v>
      </c>
      <c r="BK25" s="29" t="str">
        <f t="shared" si="28"/>
        <v>#DIV/0!</v>
      </c>
      <c r="BL25" s="29" t="str">
        <f t="shared" si="28"/>
        <v>#DIV/0!</v>
      </c>
      <c r="BM25" s="29" t="str">
        <f t="shared" si="3"/>
        <v>#DIV/0!</v>
      </c>
    </row>
    <row r="26">
      <c r="A26" s="16" t="str">
        <f>IFERROR(__xludf.DUMMYFUNCTION("IFERROR(SPARKLINE(SORT(MAP(TRANSPOSE(AQ26:BL26), LAMBDA(val, IF(ISNUMBER(val), PERCENTRANK(AQ26:BL26, val)+0.01, 0))), SEQUENCE(COLUMNS(AQ26:BL26)), FALSE), {""charttype"",""column""; ""color"",""chartreuse""; ""ymin"", 0; ""ymax"", 1.01; ""highcolor"", "&amp;"""darkgreen""; ""lowcolor"", ""red""}), """")"),"")</f>
        <v/>
      </c>
      <c r="B26" s="17" t="str">
        <f t="shared" si="4"/>
        <v/>
      </c>
      <c r="C26" s="1" t="s">
        <v>206</v>
      </c>
      <c r="D26" s="30" t="str">
        <f>IFERROR(__xludf.DUMMYFUNCTION("IFERROR(GOOGLEFINANCE(C26, ""NAME""))"),"Modine Manufacturing Co")</f>
        <v>Modine Manufacturing Co</v>
      </c>
      <c r="E26" s="30" t="s">
        <v>109</v>
      </c>
      <c r="F26" s="33" t="str">
        <f>IFERROR(__xludf.DUMMYFUNCTION("( (GOOGLEFINANCE(C26, ""price"") - Q26) / Q26 ) / (R26 / 100)"),"Loading...")</f>
        <v>Loading...</v>
      </c>
      <c r="G26" s="20" t="str">
        <f>IFERROR(__xludf.DUMMYFUNCTION("AVERAGE(ARRAYFORMULA(100 * (QUERY(GOOGLEFINANCE(C26, ""high"", TODAY()-40, TODAY()), ""SELECT Col2 WHERE Col2 IS NOT NULL ORDER BY Col1 DESC LIMIT 20"", 0) / QUERY(GOOGLEFINANCE(C26, ""low"", TODAY()-40, TODAY()), ""SELECT Col2 WHERE Col2 IS NOT NULL ORDE"&amp;"R BY Col1 DESC LIMIT 20"", 0) - 1)))"),"#N/A")</f>
        <v>#N/A</v>
      </c>
      <c r="H26" s="35" t="str">
        <f t="shared" si="6"/>
        <v/>
      </c>
      <c r="I26" s="35" t="str">
        <f t="shared" si="7"/>
        <v/>
      </c>
      <c r="J26" s="37" t="str">
        <f>IFERROR(__xludf.DUMMYFUNCTION("IFERROR(
  IF(C26="""",, 
    IFERROR(
      GOOGLEFINANCE(C26, ""price"") * GOOGLEFINANCE(C26, ""volumeavg""), 
      GOOGLEFINANCE(C26, ""price"") * AVERAGE(QUERY(GOOGLEFINANCE(C26, ""volume"", TODAY()-40, TODAY()), ""SELECT Col2 WHERE Col2 IS NOT NULL "&amp;"ORDER BY Col1 DESC LIMIT 20"", 0))
    )
  ), 
"""")"),"")</f>
        <v/>
      </c>
      <c r="K26" s="21" t="str">
        <f>IFERROR(__xludf.DUMMYFUNCTION("IFERROR(GOOGLEFINANCE(C26, ""changepct"") / 100, """")"),"")</f>
        <v/>
      </c>
      <c r="L26" s="21" t="str">
        <f>IFERROR(__xludf.DUMMYFUNCTION("IFERROR((GOOGLEFINANCE(C26, ""price"") / INDEX(GOOGLEFINANCE(C26, ""price"", TODAY()-7, TODAY()), 2, 2)) - 1, """")"),"")</f>
        <v/>
      </c>
      <c r="M26" s="21" t="str">
        <f>IFERROR(__xludf.DUMMYFUNCTION("IFERROR((GOOGLEFINANCE(C26, ""price"") / INDEX(GOOGLEFINANCE(C26, ""price"", EDATE(TODAY(), -1), TODAY()), 2, 2)) - 1, """")"),"")</f>
        <v/>
      </c>
      <c r="N26" s="21" t="str">
        <f>IFERROR(__xludf.DUMMYFUNCTION("IFERROR((GOOGLEFINANCE(C26, ""price"") / INDEX(GOOGLEFINANCE(C26, ""price"", EDATE(TODAY(), -3), TODAY()), 2, 2)) - 1, """")"),"")</f>
        <v/>
      </c>
      <c r="O26" s="21" t="str">
        <f>IFERROR(__xludf.DUMMYFUNCTION("IFERROR((GOOGLEFINANCE(C26, ""price"") / INDEX(GOOGLEFINANCE(C26, ""price"", EDATE(TODAY(), -6), TODAY()), 2, 2)) - 1, """")"),"")</f>
        <v/>
      </c>
      <c r="P26" s="21" t="str">
        <f>IFERROR(__xludf.DUMMYFUNCTION("IFERROR((GOOGLEFINANCE(C26, ""price"") / INDEX(GOOGLEFINANCE(C26, ""price"", EDATE(TODAY(), -12), TODAY()), 2, 2)) - 1, """")"),"")</f>
        <v/>
      </c>
      <c r="Q26" s="6" t="str">
        <f>IFERROR(__xludf.DUMMYFUNCTION("AVERAGE(QUERY(GOOGLEFINANCE(C26, ""price"", TODAY()-80, TODAY()), ""SELECT Col2 WHERE Col2 IS NOT NULL ORDER BY Col1 DESC LIMIT 50"", 0))"),"#N/A")</f>
        <v>#N/A</v>
      </c>
      <c r="R26" s="24" t="str">
        <f>IFERROR(__xludf.DUMMYFUNCTION("IFERROR(
  LET(
    data, QUERY(GOOGLEFINANCE(C26,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GOOGLEFINANCE(C26, ""price"")) * 100,
    IF(calc=0, G26, calc)
  ), 
G26)"),"#N/A")</f>
        <v>#N/A</v>
      </c>
      <c r="S26" s="8" t="s">
        <v>15</v>
      </c>
      <c r="T26" s="26" t="str">
        <f>IFERROR(__xludf.DUMMYFUNCTION("IFERROR(TRANSPOSE(QUERY(IFERROR(SORT(GOOGLEFINANCE(C26, ""price"", WORKDAY(TODAY(), -40), TODAY()), 1, FALSE)), ""select Col2 where Col2 is not null limit 22 label Col2 ''"", 0)), """")"),"")</f>
        <v/>
      </c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8"/>
      <c r="AO26" s="28"/>
      <c r="AP26" s="29"/>
      <c r="AQ26" s="29" t="str">
        <f t="shared" ref="AQ26:BL26" si="29">T26/T$2</f>
        <v>#N/A</v>
      </c>
      <c r="AR26" s="29" t="str">
        <f t="shared" si="29"/>
        <v>#DIV/0!</v>
      </c>
      <c r="AS26" s="29" t="str">
        <f t="shared" si="29"/>
        <v>#DIV/0!</v>
      </c>
      <c r="AT26" s="29" t="str">
        <f t="shared" si="29"/>
        <v>#DIV/0!</v>
      </c>
      <c r="AU26" s="29" t="str">
        <f t="shared" si="29"/>
        <v>#DIV/0!</v>
      </c>
      <c r="AV26" s="29" t="str">
        <f t="shared" si="29"/>
        <v>#DIV/0!</v>
      </c>
      <c r="AW26" s="29" t="str">
        <f t="shared" si="29"/>
        <v>#DIV/0!</v>
      </c>
      <c r="AX26" s="29" t="str">
        <f t="shared" si="29"/>
        <v>#DIV/0!</v>
      </c>
      <c r="AY26" s="29" t="str">
        <f t="shared" si="29"/>
        <v>#DIV/0!</v>
      </c>
      <c r="AZ26" s="29" t="str">
        <f t="shared" si="29"/>
        <v>#DIV/0!</v>
      </c>
      <c r="BA26" s="29" t="str">
        <f t="shared" si="29"/>
        <v>#DIV/0!</v>
      </c>
      <c r="BB26" s="29" t="str">
        <f t="shared" si="29"/>
        <v>#DIV/0!</v>
      </c>
      <c r="BC26" s="29" t="str">
        <f t="shared" si="29"/>
        <v>#DIV/0!</v>
      </c>
      <c r="BD26" s="29" t="str">
        <f t="shared" si="29"/>
        <v>#DIV/0!</v>
      </c>
      <c r="BE26" s="29" t="str">
        <f t="shared" si="29"/>
        <v>#DIV/0!</v>
      </c>
      <c r="BF26" s="29" t="str">
        <f t="shared" si="29"/>
        <v>#DIV/0!</v>
      </c>
      <c r="BG26" s="29" t="str">
        <f t="shared" si="29"/>
        <v>#DIV/0!</v>
      </c>
      <c r="BH26" s="29" t="str">
        <f t="shared" si="29"/>
        <v>#DIV/0!</v>
      </c>
      <c r="BI26" s="29" t="str">
        <f t="shared" si="29"/>
        <v>#DIV/0!</v>
      </c>
      <c r="BJ26" s="29" t="str">
        <f t="shared" si="29"/>
        <v>#DIV/0!</v>
      </c>
      <c r="BK26" s="29" t="str">
        <f t="shared" si="29"/>
        <v>#DIV/0!</v>
      </c>
      <c r="BL26" s="29" t="str">
        <f t="shared" si="29"/>
        <v>#DIV/0!</v>
      </c>
      <c r="BM26" s="29" t="str">
        <f t="shared" si="3"/>
        <v>#DIV/0!</v>
      </c>
    </row>
    <row r="27">
      <c r="A27" s="16" t="str">
        <f>IFERROR(__xludf.DUMMYFUNCTION("IFERROR(SPARKLINE(SORT(MAP(TRANSPOSE(AQ27:BL27), LAMBDA(val, IF(ISNUMBER(val), PERCENTRANK(AQ27:BL27, val)+0.01, 0))), SEQUENCE(COLUMNS(AQ27:BL27)), FALSE), {""charttype"",""column""; ""color"",""chartreuse""; ""ymin"", 0; ""ymax"", 1.01; ""highcolor"", "&amp;"""darkgreen""; ""lowcolor"", ""red""}), """")"),"")</f>
        <v/>
      </c>
      <c r="B27" s="17" t="str">
        <f t="shared" si="4"/>
        <v/>
      </c>
      <c r="C27" s="1" t="s">
        <v>210</v>
      </c>
      <c r="D27" s="30" t="str">
        <f>IFERROR(__xludf.DUMMYFUNCTION("IFERROR(GOOGLEFINANCE(C27, ""NAME""))"),"eBay Inc")</f>
        <v>eBay Inc</v>
      </c>
      <c r="E27" s="30" t="s">
        <v>137</v>
      </c>
      <c r="F27" s="33" t="str">
        <f>IFERROR(__xludf.DUMMYFUNCTION("( (GOOGLEFINANCE(C27, ""price"") - Q27) / Q27 ) / (R27 / 100)"),"Loading...")</f>
        <v>Loading...</v>
      </c>
      <c r="G27" s="20" t="str">
        <f>IFERROR(__xludf.DUMMYFUNCTION("AVERAGE(ARRAYFORMULA(100 * (QUERY(GOOGLEFINANCE(C27, ""high"", TODAY()-40, TODAY()), ""SELECT Col2 WHERE Col2 IS NOT NULL ORDER BY Col1 DESC LIMIT 20"", 0) / QUERY(GOOGLEFINANCE(C27, ""low"", TODAY()-40, TODAY()), ""SELECT Col2 WHERE Col2 IS NOT NULL ORDE"&amp;"R BY Col1 DESC LIMIT 20"", 0) - 1)))"),"#N/A")</f>
        <v>#N/A</v>
      </c>
      <c r="H27" s="35" t="str">
        <f t="shared" si="6"/>
        <v/>
      </c>
      <c r="I27" s="35" t="str">
        <f t="shared" si="7"/>
        <v/>
      </c>
      <c r="J27" s="37" t="str">
        <f>IFERROR(__xludf.DUMMYFUNCTION("IFERROR(
  IF(C27="""",, 
    IFERROR(
      GOOGLEFINANCE(C27, ""price"") * GOOGLEFINANCE(C27, ""volumeavg""), 
      GOOGLEFINANCE(C27, ""price"") * AVERAGE(QUERY(GOOGLEFINANCE(C27, ""volume"", TODAY()-40, TODAY()), ""SELECT Col2 WHERE Col2 IS NOT NULL "&amp;"ORDER BY Col1 DESC LIMIT 20"", 0))
    )
  ), 
"""")"),"")</f>
        <v/>
      </c>
      <c r="K27" s="21" t="str">
        <f>IFERROR(__xludf.DUMMYFUNCTION("IFERROR(GOOGLEFINANCE(C27, ""changepct"") / 100, """")"),"")</f>
        <v/>
      </c>
      <c r="L27" s="21" t="str">
        <f>IFERROR(__xludf.DUMMYFUNCTION("IFERROR((GOOGLEFINANCE(C27, ""price"") / INDEX(GOOGLEFINANCE(C27, ""price"", TODAY()-7, TODAY()), 2, 2)) - 1, """")"),"")</f>
        <v/>
      </c>
      <c r="M27" s="21" t="str">
        <f>IFERROR(__xludf.DUMMYFUNCTION("IFERROR((GOOGLEFINANCE(C27, ""price"") / INDEX(GOOGLEFINANCE(C27, ""price"", EDATE(TODAY(), -1), TODAY()), 2, 2)) - 1, """")"),"")</f>
        <v/>
      </c>
      <c r="N27" s="21" t="str">
        <f>IFERROR(__xludf.DUMMYFUNCTION("IFERROR((GOOGLEFINANCE(C27, ""price"") / INDEX(GOOGLEFINANCE(C27, ""price"", EDATE(TODAY(), -3), TODAY()), 2, 2)) - 1, """")"),"")</f>
        <v/>
      </c>
      <c r="O27" s="21" t="str">
        <f>IFERROR(__xludf.DUMMYFUNCTION("IFERROR((GOOGLEFINANCE(C27, ""price"") / INDEX(GOOGLEFINANCE(C27, ""price"", EDATE(TODAY(), -6), TODAY()), 2, 2)) - 1, """")"),"")</f>
        <v/>
      </c>
      <c r="P27" s="21" t="str">
        <f>IFERROR(__xludf.DUMMYFUNCTION("IFERROR((GOOGLEFINANCE(C27, ""price"") / INDEX(GOOGLEFINANCE(C27, ""price"", EDATE(TODAY(), -12), TODAY()), 2, 2)) - 1, """")"),"")</f>
        <v/>
      </c>
      <c r="Q27" s="6" t="str">
        <f>IFERROR(__xludf.DUMMYFUNCTION("AVERAGE(QUERY(GOOGLEFINANCE(C27, ""price"", TODAY()-80, TODAY()), ""SELECT Col2 WHERE Col2 IS NOT NULL ORDER BY Col1 DESC LIMIT 50"", 0))"),"#N/A")</f>
        <v>#N/A</v>
      </c>
      <c r="R27" s="24" t="str">
        <f>IFERROR(__xludf.DUMMYFUNCTION("IFERROR(
  LET(
    data, QUERY(GOOGLEFINANCE(C27,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GOOGLEFINANCE(C27, ""price"")) * 100,
    IF(calc=0, G27, calc)
  ), 
G27)"),"#N/A")</f>
        <v>#N/A</v>
      </c>
      <c r="S27" s="8" t="s">
        <v>15</v>
      </c>
      <c r="T27" s="26" t="str">
        <f>IFERROR(__xludf.DUMMYFUNCTION("IFERROR(TRANSPOSE(QUERY(IFERROR(SORT(GOOGLEFINANCE(C27, ""price"", WORKDAY(TODAY(), -40), TODAY()), 1, FALSE)), ""select Col2 where Col2 is not null limit 22 label Col2 ''"", 0)), """")"),"")</f>
        <v/>
      </c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8"/>
      <c r="AO27" s="28"/>
      <c r="AP27" s="29"/>
      <c r="AQ27" s="29" t="str">
        <f t="shared" ref="AQ27:BL27" si="30">T27/T$2</f>
        <v>#N/A</v>
      </c>
      <c r="AR27" s="29" t="str">
        <f t="shared" si="30"/>
        <v>#DIV/0!</v>
      </c>
      <c r="AS27" s="29" t="str">
        <f t="shared" si="30"/>
        <v>#DIV/0!</v>
      </c>
      <c r="AT27" s="29" t="str">
        <f t="shared" si="30"/>
        <v>#DIV/0!</v>
      </c>
      <c r="AU27" s="29" t="str">
        <f t="shared" si="30"/>
        <v>#DIV/0!</v>
      </c>
      <c r="AV27" s="29" t="str">
        <f t="shared" si="30"/>
        <v>#DIV/0!</v>
      </c>
      <c r="AW27" s="29" t="str">
        <f t="shared" si="30"/>
        <v>#DIV/0!</v>
      </c>
      <c r="AX27" s="29" t="str">
        <f t="shared" si="30"/>
        <v>#DIV/0!</v>
      </c>
      <c r="AY27" s="29" t="str">
        <f t="shared" si="30"/>
        <v>#DIV/0!</v>
      </c>
      <c r="AZ27" s="29" t="str">
        <f t="shared" si="30"/>
        <v>#DIV/0!</v>
      </c>
      <c r="BA27" s="29" t="str">
        <f t="shared" si="30"/>
        <v>#DIV/0!</v>
      </c>
      <c r="BB27" s="29" t="str">
        <f t="shared" si="30"/>
        <v>#DIV/0!</v>
      </c>
      <c r="BC27" s="29" t="str">
        <f t="shared" si="30"/>
        <v>#DIV/0!</v>
      </c>
      <c r="BD27" s="29" t="str">
        <f t="shared" si="30"/>
        <v>#DIV/0!</v>
      </c>
      <c r="BE27" s="29" t="str">
        <f t="shared" si="30"/>
        <v>#DIV/0!</v>
      </c>
      <c r="BF27" s="29" t="str">
        <f t="shared" si="30"/>
        <v>#DIV/0!</v>
      </c>
      <c r="BG27" s="29" t="str">
        <f t="shared" si="30"/>
        <v>#DIV/0!</v>
      </c>
      <c r="BH27" s="29" t="str">
        <f t="shared" si="30"/>
        <v>#DIV/0!</v>
      </c>
      <c r="BI27" s="29" t="str">
        <f t="shared" si="30"/>
        <v>#DIV/0!</v>
      </c>
      <c r="BJ27" s="29" t="str">
        <f t="shared" si="30"/>
        <v>#DIV/0!</v>
      </c>
      <c r="BK27" s="29" t="str">
        <f t="shared" si="30"/>
        <v>#DIV/0!</v>
      </c>
      <c r="BL27" s="29" t="str">
        <f t="shared" si="30"/>
        <v>#DIV/0!</v>
      </c>
      <c r="BM27" s="29" t="str">
        <f t="shared" si="3"/>
        <v>#DIV/0!</v>
      </c>
    </row>
    <row r="28">
      <c r="A28" s="16" t="str">
        <f>IFERROR(__xludf.DUMMYFUNCTION("IFERROR(SPARKLINE(SORT(MAP(TRANSPOSE(AQ28:BL28), LAMBDA(val, IF(ISNUMBER(val), PERCENTRANK(AQ28:BL28, val)+0.01, 0))), SEQUENCE(COLUMNS(AQ28:BL28)), FALSE), {""charttype"",""column""; ""color"",""chartreuse""; ""ymin"", 0; ""ymax"", 1.01; ""highcolor"", "&amp;"""darkgreen""; ""lowcolor"", ""red""}), """")"),"")</f>
        <v/>
      </c>
      <c r="B28" s="17" t="str">
        <f t="shared" si="4"/>
        <v/>
      </c>
      <c r="C28" s="1" t="s">
        <v>213</v>
      </c>
      <c r="D28" s="30" t="str">
        <f>IFERROR(__xludf.DUMMYFUNCTION("IFERROR(GOOGLEFINANCE(C28, ""NAME""))"),"Lear Corp")</f>
        <v>Lear Corp</v>
      </c>
      <c r="E28" s="30" t="s">
        <v>109</v>
      </c>
      <c r="F28" s="33" t="str">
        <f>IFERROR(__xludf.DUMMYFUNCTION("( (GOOGLEFINANCE(C28, ""price"") - Q28) / Q28 ) / (R28 / 100)"),"Loading...")</f>
        <v>Loading...</v>
      </c>
      <c r="G28" s="20" t="str">
        <f>IFERROR(__xludf.DUMMYFUNCTION("AVERAGE(ARRAYFORMULA(100 * (QUERY(GOOGLEFINANCE(C28, ""high"", TODAY()-40, TODAY()), ""SELECT Col2 WHERE Col2 IS NOT NULL ORDER BY Col1 DESC LIMIT 20"", 0) / QUERY(GOOGLEFINANCE(C28, ""low"", TODAY()-40, TODAY()), ""SELECT Col2 WHERE Col2 IS NOT NULL ORDE"&amp;"R BY Col1 DESC LIMIT 20"", 0) - 1)))"),"#N/A")</f>
        <v>#N/A</v>
      </c>
      <c r="H28" s="35" t="str">
        <f t="shared" si="6"/>
        <v/>
      </c>
      <c r="I28" s="35" t="str">
        <f t="shared" si="7"/>
        <v/>
      </c>
      <c r="J28" s="37" t="str">
        <f>IFERROR(__xludf.DUMMYFUNCTION("IFERROR(
  IF(C28="""",, 
    IFERROR(
      GOOGLEFINANCE(C28, ""price"") * GOOGLEFINANCE(C28, ""volumeavg""), 
      GOOGLEFINANCE(C28, ""price"") * AVERAGE(QUERY(GOOGLEFINANCE(C28, ""volume"", TODAY()-40, TODAY()), ""SELECT Col2 WHERE Col2 IS NOT NULL "&amp;"ORDER BY Col1 DESC LIMIT 20"", 0))
    )
  ), 
"""")"),"")</f>
        <v/>
      </c>
      <c r="K28" s="21" t="str">
        <f>IFERROR(__xludf.DUMMYFUNCTION("IFERROR(GOOGLEFINANCE(C28, ""changepct"") / 100, """")"),"")</f>
        <v/>
      </c>
      <c r="L28" s="21" t="str">
        <f>IFERROR(__xludf.DUMMYFUNCTION("IFERROR((GOOGLEFINANCE(C28, ""price"") / INDEX(GOOGLEFINANCE(C28, ""price"", TODAY()-7, TODAY()), 2, 2)) - 1, """")"),"")</f>
        <v/>
      </c>
      <c r="M28" s="21" t="str">
        <f>IFERROR(__xludf.DUMMYFUNCTION("IFERROR((GOOGLEFINANCE(C28, ""price"") / INDEX(GOOGLEFINANCE(C28, ""price"", EDATE(TODAY(), -1), TODAY()), 2, 2)) - 1, """")"),"")</f>
        <v/>
      </c>
      <c r="N28" s="21" t="str">
        <f>IFERROR(__xludf.DUMMYFUNCTION("IFERROR((GOOGLEFINANCE(C28, ""price"") / INDEX(GOOGLEFINANCE(C28, ""price"", EDATE(TODAY(), -3), TODAY()), 2, 2)) - 1, """")"),"")</f>
        <v/>
      </c>
      <c r="O28" s="21" t="str">
        <f>IFERROR(__xludf.DUMMYFUNCTION("IFERROR((GOOGLEFINANCE(C28, ""price"") / INDEX(GOOGLEFINANCE(C28, ""price"", EDATE(TODAY(), -6), TODAY()), 2, 2)) - 1, """")"),"")</f>
        <v/>
      </c>
      <c r="P28" s="21" t="str">
        <f>IFERROR(__xludf.DUMMYFUNCTION("IFERROR((GOOGLEFINANCE(C28, ""price"") / INDEX(GOOGLEFINANCE(C28, ""price"", EDATE(TODAY(), -12), TODAY()), 2, 2)) - 1, """")"),"")</f>
        <v/>
      </c>
      <c r="Q28" s="6" t="str">
        <f>IFERROR(__xludf.DUMMYFUNCTION("AVERAGE(QUERY(GOOGLEFINANCE(C28, ""price"", TODAY()-80, TODAY()), ""SELECT Col2 WHERE Col2 IS NOT NULL ORDER BY Col1 DESC LIMIT 50"", 0))"),"#N/A")</f>
        <v>#N/A</v>
      </c>
      <c r="R28" s="24" t="str">
        <f>IFERROR(__xludf.DUMMYFUNCTION("IFERROR(
  LET(
    data, QUERY(GOOGLEFINANCE(C28,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GOOGLEFINANCE(C28, ""price"")) * 100,
    IF(calc=0, G28, calc)
  ), 
G28)"),"#N/A")</f>
        <v>#N/A</v>
      </c>
      <c r="S28" s="8" t="s">
        <v>15</v>
      </c>
      <c r="T28" s="26" t="str">
        <f>IFERROR(__xludf.DUMMYFUNCTION("IFERROR(TRANSPOSE(QUERY(IFERROR(SORT(GOOGLEFINANCE(C28, ""price"", WORKDAY(TODAY(), -40), TODAY()), 1, FALSE)), ""select Col2 where Col2 is not null limit 22 label Col2 ''"", 0)), """")"),"")</f>
        <v/>
      </c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8"/>
      <c r="AO28" s="28"/>
      <c r="AP28" s="29"/>
      <c r="AQ28" s="29" t="str">
        <f t="shared" ref="AQ28:BL28" si="31">T28/T$2</f>
        <v>#N/A</v>
      </c>
      <c r="AR28" s="29" t="str">
        <f t="shared" si="31"/>
        <v>#DIV/0!</v>
      </c>
      <c r="AS28" s="29" t="str">
        <f t="shared" si="31"/>
        <v>#DIV/0!</v>
      </c>
      <c r="AT28" s="29" t="str">
        <f t="shared" si="31"/>
        <v>#DIV/0!</v>
      </c>
      <c r="AU28" s="29" t="str">
        <f t="shared" si="31"/>
        <v>#DIV/0!</v>
      </c>
      <c r="AV28" s="29" t="str">
        <f t="shared" si="31"/>
        <v>#DIV/0!</v>
      </c>
      <c r="AW28" s="29" t="str">
        <f t="shared" si="31"/>
        <v>#DIV/0!</v>
      </c>
      <c r="AX28" s="29" t="str">
        <f t="shared" si="31"/>
        <v>#DIV/0!</v>
      </c>
      <c r="AY28" s="29" t="str">
        <f t="shared" si="31"/>
        <v>#DIV/0!</v>
      </c>
      <c r="AZ28" s="29" t="str">
        <f t="shared" si="31"/>
        <v>#DIV/0!</v>
      </c>
      <c r="BA28" s="29" t="str">
        <f t="shared" si="31"/>
        <v>#DIV/0!</v>
      </c>
      <c r="BB28" s="29" t="str">
        <f t="shared" si="31"/>
        <v>#DIV/0!</v>
      </c>
      <c r="BC28" s="29" t="str">
        <f t="shared" si="31"/>
        <v>#DIV/0!</v>
      </c>
      <c r="BD28" s="29" t="str">
        <f t="shared" si="31"/>
        <v>#DIV/0!</v>
      </c>
      <c r="BE28" s="29" t="str">
        <f t="shared" si="31"/>
        <v>#DIV/0!</v>
      </c>
      <c r="BF28" s="29" t="str">
        <f t="shared" si="31"/>
        <v>#DIV/0!</v>
      </c>
      <c r="BG28" s="29" t="str">
        <f t="shared" si="31"/>
        <v>#DIV/0!</v>
      </c>
      <c r="BH28" s="29" t="str">
        <f t="shared" si="31"/>
        <v>#DIV/0!</v>
      </c>
      <c r="BI28" s="29" t="str">
        <f t="shared" si="31"/>
        <v>#DIV/0!</v>
      </c>
      <c r="BJ28" s="29" t="str">
        <f t="shared" si="31"/>
        <v>#DIV/0!</v>
      </c>
      <c r="BK28" s="29" t="str">
        <f t="shared" si="31"/>
        <v>#DIV/0!</v>
      </c>
      <c r="BL28" s="29" t="str">
        <f t="shared" si="31"/>
        <v>#DIV/0!</v>
      </c>
      <c r="BM28" s="29" t="str">
        <f t="shared" si="3"/>
        <v>#DIV/0!</v>
      </c>
    </row>
    <row r="29">
      <c r="A29" s="16" t="str">
        <f>IFERROR(__xludf.DUMMYFUNCTION("IFERROR(SPARKLINE(SORT(MAP(TRANSPOSE(AQ29:BL29), LAMBDA(val, IF(ISNUMBER(val), PERCENTRANK(AQ29:BL29, val)+0.01, 0))), SEQUENCE(COLUMNS(AQ29:BL29)), FALSE), {""charttype"",""column""; ""color"",""chartreuse""; ""ymin"", 0; ""ymax"", 1.01; ""highcolor"", "&amp;"""darkgreen""; ""lowcolor"", ""red""}), """")"),"")</f>
        <v/>
      </c>
      <c r="B29" s="17" t="str">
        <f t="shared" si="4"/>
        <v/>
      </c>
      <c r="C29" s="1" t="s">
        <v>216</v>
      </c>
      <c r="D29" s="30" t="str">
        <f>IFERROR(__xludf.DUMMYFUNCTION("IFERROR(GOOGLEFINANCE(C29, ""NAME""))"),"Albany International Corp")</f>
        <v>Albany International Corp</v>
      </c>
      <c r="E29" s="30" t="s">
        <v>217</v>
      </c>
      <c r="F29" s="33" t="str">
        <f>IFERROR(__xludf.DUMMYFUNCTION("( (GOOGLEFINANCE(C29, ""price"") - Q29) / Q29 ) / (R29 / 100)"),"Loading...")</f>
        <v>Loading...</v>
      </c>
      <c r="G29" s="20" t="str">
        <f>IFERROR(__xludf.DUMMYFUNCTION("AVERAGE(ARRAYFORMULA(100 * (QUERY(GOOGLEFINANCE(C29, ""high"", TODAY()-40, TODAY()), ""SELECT Col2 WHERE Col2 IS NOT NULL ORDER BY Col1 DESC LIMIT 20"", 0) / QUERY(GOOGLEFINANCE(C29, ""low"", TODAY()-40, TODAY()), ""SELECT Col2 WHERE Col2 IS NOT NULL ORDE"&amp;"R BY Col1 DESC LIMIT 20"", 0) - 1)))"),"#N/A")</f>
        <v>#N/A</v>
      </c>
      <c r="H29" s="35" t="str">
        <f t="shared" si="6"/>
        <v/>
      </c>
      <c r="I29" s="35" t="str">
        <f t="shared" si="7"/>
        <v/>
      </c>
      <c r="J29" s="37" t="str">
        <f>IFERROR(__xludf.DUMMYFUNCTION("IFERROR(
  IF(C29="""",, 
    IFERROR(
      GOOGLEFINANCE(C29, ""price"") * GOOGLEFINANCE(C29, ""volumeavg""), 
      GOOGLEFINANCE(C29, ""price"") * AVERAGE(QUERY(GOOGLEFINANCE(C29, ""volume"", TODAY()-40, TODAY()), ""SELECT Col2 WHERE Col2 IS NOT NULL "&amp;"ORDER BY Col1 DESC LIMIT 20"", 0))
    )
  ), 
"""")"),"")</f>
        <v/>
      </c>
      <c r="K29" s="21" t="str">
        <f>IFERROR(__xludf.DUMMYFUNCTION("IFERROR(GOOGLEFINANCE(C29, ""changepct"") / 100, """")"),"")</f>
        <v/>
      </c>
      <c r="L29" s="21" t="str">
        <f>IFERROR(__xludf.DUMMYFUNCTION("IFERROR((GOOGLEFINANCE(C29, ""price"") / INDEX(GOOGLEFINANCE(C29, ""price"", TODAY()-7, TODAY()), 2, 2)) - 1, """")"),"")</f>
        <v/>
      </c>
      <c r="M29" s="21" t="str">
        <f>IFERROR(__xludf.DUMMYFUNCTION("IFERROR((GOOGLEFINANCE(C29, ""price"") / INDEX(GOOGLEFINANCE(C29, ""price"", EDATE(TODAY(), -1), TODAY()), 2, 2)) - 1, """")"),"")</f>
        <v/>
      </c>
      <c r="N29" s="21" t="str">
        <f>IFERROR(__xludf.DUMMYFUNCTION("IFERROR((GOOGLEFINANCE(C29, ""price"") / INDEX(GOOGLEFINANCE(C29, ""price"", EDATE(TODAY(), -3), TODAY()), 2, 2)) - 1, """")"),"")</f>
        <v/>
      </c>
      <c r="O29" s="21" t="str">
        <f>IFERROR(__xludf.DUMMYFUNCTION("IFERROR((GOOGLEFINANCE(C29, ""price"") / INDEX(GOOGLEFINANCE(C29, ""price"", EDATE(TODAY(), -6), TODAY()), 2, 2)) - 1, """")"),"")</f>
        <v/>
      </c>
      <c r="P29" s="21" t="str">
        <f>IFERROR(__xludf.DUMMYFUNCTION("IFERROR((GOOGLEFINANCE(C29, ""price"") / INDEX(GOOGLEFINANCE(C29, ""price"", EDATE(TODAY(), -12), TODAY()), 2, 2)) - 1, """")"),"")</f>
        <v/>
      </c>
      <c r="Q29" s="6" t="str">
        <f>IFERROR(__xludf.DUMMYFUNCTION("AVERAGE(QUERY(GOOGLEFINANCE(C29, ""price"", TODAY()-80, TODAY()), ""SELECT Col2 WHERE Col2 IS NOT NULL ORDER BY Col1 DESC LIMIT 50"", 0))"),"#N/A")</f>
        <v>#N/A</v>
      </c>
      <c r="R29" s="24" t="str">
        <f>IFERROR(__xludf.DUMMYFUNCTION("IFERROR(
  LET(
    data, QUERY(GOOGLEFINANCE(C29,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GOOGLEFINANCE(C29, ""price"")) * 100,
    IF(calc=0, G29, calc)
  ), 
G29)"),"#N/A")</f>
        <v>#N/A</v>
      </c>
      <c r="S29" s="8" t="s">
        <v>15</v>
      </c>
      <c r="T29" s="26" t="str">
        <f>IFERROR(__xludf.DUMMYFUNCTION("IFERROR(TRANSPOSE(QUERY(IFERROR(SORT(GOOGLEFINANCE(C29, ""price"", WORKDAY(TODAY(), -40), TODAY()), 1, FALSE)), ""select Col2 where Col2 is not null limit 22 label Col2 ''"", 0)), """")"),"")</f>
        <v/>
      </c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8"/>
      <c r="AO29" s="28"/>
      <c r="AP29" s="29"/>
      <c r="AQ29" s="29" t="str">
        <f t="shared" ref="AQ29:BL29" si="32">T29/T$2</f>
        <v>#N/A</v>
      </c>
      <c r="AR29" s="29" t="str">
        <f t="shared" si="32"/>
        <v>#DIV/0!</v>
      </c>
      <c r="AS29" s="29" t="str">
        <f t="shared" si="32"/>
        <v>#DIV/0!</v>
      </c>
      <c r="AT29" s="29" t="str">
        <f t="shared" si="32"/>
        <v>#DIV/0!</v>
      </c>
      <c r="AU29" s="29" t="str">
        <f t="shared" si="32"/>
        <v>#DIV/0!</v>
      </c>
      <c r="AV29" s="29" t="str">
        <f t="shared" si="32"/>
        <v>#DIV/0!</v>
      </c>
      <c r="AW29" s="29" t="str">
        <f t="shared" si="32"/>
        <v>#DIV/0!</v>
      </c>
      <c r="AX29" s="29" t="str">
        <f t="shared" si="32"/>
        <v>#DIV/0!</v>
      </c>
      <c r="AY29" s="29" t="str">
        <f t="shared" si="32"/>
        <v>#DIV/0!</v>
      </c>
      <c r="AZ29" s="29" t="str">
        <f t="shared" si="32"/>
        <v>#DIV/0!</v>
      </c>
      <c r="BA29" s="29" t="str">
        <f t="shared" si="32"/>
        <v>#DIV/0!</v>
      </c>
      <c r="BB29" s="29" t="str">
        <f t="shared" si="32"/>
        <v>#DIV/0!</v>
      </c>
      <c r="BC29" s="29" t="str">
        <f t="shared" si="32"/>
        <v>#DIV/0!</v>
      </c>
      <c r="BD29" s="29" t="str">
        <f t="shared" si="32"/>
        <v>#DIV/0!</v>
      </c>
      <c r="BE29" s="29" t="str">
        <f t="shared" si="32"/>
        <v>#DIV/0!</v>
      </c>
      <c r="BF29" s="29" t="str">
        <f t="shared" si="32"/>
        <v>#DIV/0!</v>
      </c>
      <c r="BG29" s="29" t="str">
        <f t="shared" si="32"/>
        <v>#DIV/0!</v>
      </c>
      <c r="BH29" s="29" t="str">
        <f t="shared" si="32"/>
        <v>#DIV/0!</v>
      </c>
      <c r="BI29" s="29" t="str">
        <f t="shared" si="32"/>
        <v>#DIV/0!</v>
      </c>
      <c r="BJ29" s="29" t="str">
        <f t="shared" si="32"/>
        <v>#DIV/0!</v>
      </c>
      <c r="BK29" s="29" t="str">
        <f t="shared" si="32"/>
        <v>#DIV/0!</v>
      </c>
      <c r="BL29" s="29" t="str">
        <f t="shared" si="32"/>
        <v>#DIV/0!</v>
      </c>
      <c r="BM29" s="29" t="str">
        <f t="shared" si="3"/>
        <v>#DIV/0!</v>
      </c>
    </row>
    <row r="30">
      <c r="A30" s="16" t="str">
        <f>IFERROR(__xludf.DUMMYFUNCTION("IFERROR(SPARKLINE(SORT(MAP(TRANSPOSE(AQ30:BL30), LAMBDA(val, IF(ISNUMBER(val), PERCENTRANK(AQ30:BL30, val)+0.01, 0))), SEQUENCE(COLUMNS(AQ30:BL30)), FALSE), {""charttype"",""column""; ""color"",""chartreuse""; ""ymin"", 0; ""ymax"", 1.01; ""highcolor"", "&amp;"""darkgreen""; ""lowcolor"", ""red""}), """")"),"")</f>
        <v/>
      </c>
      <c r="B30" s="17" t="str">
        <f t="shared" si="4"/>
        <v/>
      </c>
      <c r="C30" s="1" t="s">
        <v>219</v>
      </c>
      <c r="D30" s="30" t="str">
        <f>IFERROR(__xludf.DUMMYFUNCTION("IFERROR(GOOGLEFINANCE(C30, ""NAME""))"),"Openlane Inc")</f>
        <v>Openlane Inc</v>
      </c>
      <c r="E30" s="30" t="s">
        <v>190</v>
      </c>
      <c r="F30" s="33" t="str">
        <f>IFERROR(__xludf.DUMMYFUNCTION("( (GOOGLEFINANCE(C30, ""price"") - Q30) / Q30 ) / (R30 / 100)"),"Loading...")</f>
        <v>Loading...</v>
      </c>
      <c r="G30" s="20" t="str">
        <f>IFERROR(__xludf.DUMMYFUNCTION("AVERAGE(ARRAYFORMULA(100 * (QUERY(GOOGLEFINANCE(C30, ""high"", TODAY()-40, TODAY()), ""SELECT Col2 WHERE Col2 IS NOT NULL ORDER BY Col1 DESC LIMIT 20"", 0) / QUERY(GOOGLEFINANCE(C30, ""low"", TODAY()-40, TODAY()), ""SELECT Col2 WHERE Col2 IS NOT NULL ORDE"&amp;"R BY Col1 DESC LIMIT 20"", 0) - 1)))"),"#N/A")</f>
        <v>#N/A</v>
      </c>
      <c r="H30" s="35" t="str">
        <f t="shared" si="6"/>
        <v/>
      </c>
      <c r="I30" s="35" t="str">
        <f t="shared" si="7"/>
        <v/>
      </c>
      <c r="J30" s="37" t="str">
        <f>IFERROR(__xludf.DUMMYFUNCTION("IFERROR(
  IF(C30="""",, 
    IFERROR(
      GOOGLEFINANCE(C30, ""price"") * GOOGLEFINANCE(C30, ""volumeavg""), 
      GOOGLEFINANCE(C30, ""price"") * AVERAGE(QUERY(GOOGLEFINANCE(C30, ""volume"", TODAY()-40, TODAY()), ""SELECT Col2 WHERE Col2 IS NOT NULL "&amp;"ORDER BY Col1 DESC LIMIT 20"", 0))
    )
  ), 
"""")"),"")</f>
        <v/>
      </c>
      <c r="K30" s="21" t="str">
        <f>IFERROR(__xludf.DUMMYFUNCTION("IFERROR(GOOGLEFINANCE(C30, ""changepct"") / 100, """")"),"")</f>
        <v/>
      </c>
      <c r="L30" s="21" t="str">
        <f>IFERROR(__xludf.DUMMYFUNCTION("IFERROR((GOOGLEFINANCE(C30, ""price"") / INDEX(GOOGLEFINANCE(C30, ""price"", TODAY()-7, TODAY()), 2, 2)) - 1, """")"),"")</f>
        <v/>
      </c>
      <c r="M30" s="21" t="str">
        <f>IFERROR(__xludf.DUMMYFUNCTION("IFERROR((GOOGLEFINANCE(C30, ""price"") / INDEX(GOOGLEFINANCE(C30, ""price"", EDATE(TODAY(), -1), TODAY()), 2, 2)) - 1, """")"),"")</f>
        <v/>
      </c>
      <c r="N30" s="21" t="str">
        <f>IFERROR(__xludf.DUMMYFUNCTION("IFERROR((GOOGLEFINANCE(C30, ""price"") / INDEX(GOOGLEFINANCE(C30, ""price"", EDATE(TODAY(), -3), TODAY()), 2, 2)) - 1, """")"),"")</f>
        <v/>
      </c>
      <c r="O30" s="21" t="str">
        <f>IFERROR(__xludf.DUMMYFUNCTION("IFERROR((GOOGLEFINANCE(C30, ""price"") / INDEX(GOOGLEFINANCE(C30, ""price"", EDATE(TODAY(), -6), TODAY()), 2, 2)) - 1, """")"),"")</f>
        <v/>
      </c>
      <c r="P30" s="21" t="str">
        <f>IFERROR(__xludf.DUMMYFUNCTION("IFERROR((GOOGLEFINANCE(C30, ""price"") / INDEX(GOOGLEFINANCE(C30, ""price"", EDATE(TODAY(), -12), TODAY()), 2, 2)) - 1, """")"),"")</f>
        <v/>
      </c>
      <c r="Q30" s="6" t="str">
        <f>IFERROR(__xludf.DUMMYFUNCTION("AVERAGE(QUERY(GOOGLEFINANCE(C30, ""price"", TODAY()-80, TODAY()), ""SELECT Col2 WHERE Col2 IS NOT NULL ORDER BY Col1 DESC LIMIT 50"", 0))"),"#N/A")</f>
        <v>#N/A</v>
      </c>
      <c r="R30" s="24" t="str">
        <f>IFERROR(__xludf.DUMMYFUNCTION("IFERROR(
  LET(
    data, QUERY(GOOGLEFINANCE(C30,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GOOGLEFINANCE(C30, ""price"")) * 100,
    IF(calc=0, G30, calc)
  ), 
G30)"),"#N/A")</f>
        <v>#N/A</v>
      </c>
      <c r="S30" s="8" t="s">
        <v>15</v>
      </c>
      <c r="T30" s="26" t="str">
        <f>IFERROR(__xludf.DUMMYFUNCTION("IFERROR(TRANSPOSE(QUERY(IFERROR(SORT(GOOGLEFINANCE(C30, ""price"", WORKDAY(TODAY(), -40), TODAY()), 1, FALSE)), ""select Col2 where Col2 is not null limit 22 label Col2 ''"", 0)), """")"),"")</f>
        <v/>
      </c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8"/>
      <c r="AO30" s="28"/>
      <c r="AP30" s="29"/>
      <c r="AQ30" s="29" t="str">
        <f t="shared" ref="AQ30:BL30" si="33">T30/T$2</f>
        <v>#N/A</v>
      </c>
      <c r="AR30" s="29" t="str">
        <f t="shared" si="33"/>
        <v>#DIV/0!</v>
      </c>
      <c r="AS30" s="29" t="str">
        <f t="shared" si="33"/>
        <v>#DIV/0!</v>
      </c>
      <c r="AT30" s="29" t="str">
        <f t="shared" si="33"/>
        <v>#DIV/0!</v>
      </c>
      <c r="AU30" s="29" t="str">
        <f t="shared" si="33"/>
        <v>#DIV/0!</v>
      </c>
      <c r="AV30" s="29" t="str">
        <f t="shared" si="33"/>
        <v>#DIV/0!</v>
      </c>
      <c r="AW30" s="29" t="str">
        <f t="shared" si="33"/>
        <v>#DIV/0!</v>
      </c>
      <c r="AX30" s="29" t="str">
        <f t="shared" si="33"/>
        <v>#DIV/0!</v>
      </c>
      <c r="AY30" s="29" t="str">
        <f t="shared" si="33"/>
        <v>#DIV/0!</v>
      </c>
      <c r="AZ30" s="29" t="str">
        <f t="shared" si="33"/>
        <v>#DIV/0!</v>
      </c>
      <c r="BA30" s="29" t="str">
        <f t="shared" si="33"/>
        <v>#DIV/0!</v>
      </c>
      <c r="BB30" s="29" t="str">
        <f t="shared" si="33"/>
        <v>#DIV/0!</v>
      </c>
      <c r="BC30" s="29" t="str">
        <f t="shared" si="33"/>
        <v>#DIV/0!</v>
      </c>
      <c r="BD30" s="29" t="str">
        <f t="shared" si="33"/>
        <v>#DIV/0!</v>
      </c>
      <c r="BE30" s="29" t="str">
        <f t="shared" si="33"/>
        <v>#DIV/0!</v>
      </c>
      <c r="BF30" s="29" t="str">
        <f t="shared" si="33"/>
        <v>#DIV/0!</v>
      </c>
      <c r="BG30" s="29" t="str">
        <f t="shared" si="33"/>
        <v>#DIV/0!</v>
      </c>
      <c r="BH30" s="29" t="str">
        <f t="shared" si="33"/>
        <v>#DIV/0!</v>
      </c>
      <c r="BI30" s="29" t="str">
        <f t="shared" si="33"/>
        <v>#DIV/0!</v>
      </c>
      <c r="BJ30" s="29" t="str">
        <f t="shared" si="33"/>
        <v>#DIV/0!</v>
      </c>
      <c r="BK30" s="29" t="str">
        <f t="shared" si="33"/>
        <v>#DIV/0!</v>
      </c>
      <c r="BL30" s="29" t="str">
        <f t="shared" si="33"/>
        <v>#DIV/0!</v>
      </c>
      <c r="BM30" s="29" t="str">
        <f t="shared" si="3"/>
        <v>#DIV/0!</v>
      </c>
    </row>
    <row r="31">
      <c r="A31" s="16" t="str">
        <f>IFERROR(__xludf.DUMMYFUNCTION("IFERROR(SPARKLINE(SORT(MAP(TRANSPOSE(AQ31:BL31), LAMBDA(val, IF(ISNUMBER(val), PERCENTRANK(AQ31:BL31, val)+0.01, 0))), SEQUENCE(COLUMNS(AQ31:BL31)), FALSE), {""charttype"",""column""; ""color"",""chartreuse""; ""ymin"", 0; ""ymax"", 1.01; ""highcolor"", "&amp;"""darkgreen""; ""lowcolor"", ""red""}), """")"),"")</f>
        <v/>
      </c>
      <c r="B31" s="17" t="str">
        <f t="shared" si="4"/>
        <v/>
      </c>
      <c r="C31" s="1" t="s">
        <v>221</v>
      </c>
      <c r="D31" s="30" t="str">
        <f>IFERROR(__xludf.DUMMYFUNCTION("IFERROR(GOOGLEFINANCE(C31, ""NAME""))"),"Harley-Davidson Inc")</f>
        <v>Harley-Davidson Inc</v>
      </c>
      <c r="E31" s="30" t="s">
        <v>165</v>
      </c>
      <c r="F31" s="33" t="str">
        <f>IFERROR(__xludf.DUMMYFUNCTION("( (GOOGLEFINANCE(C31, ""price"") - Q31) / Q31 ) / (R31 / 100)"),"Loading...")</f>
        <v>Loading...</v>
      </c>
      <c r="G31" s="20" t="str">
        <f>IFERROR(__xludf.DUMMYFUNCTION("AVERAGE(ARRAYFORMULA(100 * (QUERY(GOOGLEFINANCE(C31, ""high"", TODAY()-40, TODAY()), ""SELECT Col2 WHERE Col2 IS NOT NULL ORDER BY Col1 DESC LIMIT 20"", 0) / QUERY(GOOGLEFINANCE(C31, ""low"", TODAY()-40, TODAY()), ""SELECT Col2 WHERE Col2 IS NOT NULL ORDE"&amp;"R BY Col1 DESC LIMIT 20"", 0) - 1)))"),"#N/A")</f>
        <v>#N/A</v>
      </c>
      <c r="H31" s="35" t="str">
        <f t="shared" si="6"/>
        <v/>
      </c>
      <c r="I31" s="35" t="str">
        <f t="shared" si="7"/>
        <v/>
      </c>
      <c r="J31" s="37" t="str">
        <f>IFERROR(__xludf.DUMMYFUNCTION("IFERROR(
  IF(C31="""",, 
    IFERROR(
      GOOGLEFINANCE(C31, ""price"") * GOOGLEFINANCE(C31, ""volumeavg""), 
      GOOGLEFINANCE(C31, ""price"") * AVERAGE(QUERY(GOOGLEFINANCE(C31, ""volume"", TODAY()-40, TODAY()), ""SELECT Col2 WHERE Col2 IS NOT NULL "&amp;"ORDER BY Col1 DESC LIMIT 20"", 0))
    )
  ), 
"""")"),"")</f>
        <v/>
      </c>
      <c r="K31" s="21" t="str">
        <f>IFERROR(__xludf.DUMMYFUNCTION("IFERROR(GOOGLEFINANCE(C31, ""changepct"") / 100, """")"),"")</f>
        <v/>
      </c>
      <c r="L31" s="21" t="str">
        <f>IFERROR(__xludf.DUMMYFUNCTION("IFERROR((GOOGLEFINANCE(C31, ""price"") / INDEX(GOOGLEFINANCE(C31, ""price"", TODAY()-7, TODAY()), 2, 2)) - 1, """")"),"")</f>
        <v/>
      </c>
      <c r="M31" s="21" t="str">
        <f>IFERROR(__xludf.DUMMYFUNCTION("IFERROR((GOOGLEFINANCE(C31, ""price"") / INDEX(GOOGLEFINANCE(C31, ""price"", EDATE(TODAY(), -1), TODAY()), 2, 2)) - 1, """")"),"")</f>
        <v/>
      </c>
      <c r="N31" s="21" t="str">
        <f>IFERROR(__xludf.DUMMYFUNCTION("IFERROR((GOOGLEFINANCE(C31, ""price"") / INDEX(GOOGLEFINANCE(C31, ""price"", EDATE(TODAY(), -3), TODAY()), 2, 2)) - 1, """")"),"")</f>
        <v/>
      </c>
      <c r="O31" s="21" t="str">
        <f>IFERROR(__xludf.DUMMYFUNCTION("IFERROR((GOOGLEFINANCE(C31, ""price"") / INDEX(GOOGLEFINANCE(C31, ""price"", EDATE(TODAY(), -6), TODAY()), 2, 2)) - 1, """")"),"")</f>
        <v/>
      </c>
      <c r="P31" s="21" t="str">
        <f>IFERROR(__xludf.DUMMYFUNCTION("IFERROR((GOOGLEFINANCE(C31, ""price"") / INDEX(GOOGLEFINANCE(C31, ""price"", EDATE(TODAY(), -12), TODAY()), 2, 2)) - 1, """")"),"")</f>
        <v/>
      </c>
      <c r="Q31" s="6" t="str">
        <f>IFERROR(__xludf.DUMMYFUNCTION("AVERAGE(QUERY(GOOGLEFINANCE(C31, ""price"", TODAY()-80, TODAY()), ""SELECT Col2 WHERE Col2 IS NOT NULL ORDER BY Col1 DESC LIMIT 50"", 0))"),"#N/A")</f>
        <v>#N/A</v>
      </c>
      <c r="R31" s="24" t="str">
        <f>IFERROR(__xludf.DUMMYFUNCTION("IFERROR(
  LET(
    data, QUERY(GOOGLEFINANCE(C31,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GOOGLEFINANCE(C31, ""price"")) * 100,
    IF(calc=0, G31, calc)
  ), 
G31)"),"#N/A")</f>
        <v>#N/A</v>
      </c>
      <c r="S31" s="8" t="s">
        <v>15</v>
      </c>
      <c r="T31" s="26" t="str">
        <f>IFERROR(__xludf.DUMMYFUNCTION("IFERROR(TRANSPOSE(QUERY(IFERROR(SORT(GOOGLEFINANCE(C31, ""price"", WORKDAY(TODAY(), -40), TODAY()), 1, FALSE)), ""select Col2 where Col2 is not null limit 22 label Col2 ''"", 0)), """")"),"")</f>
        <v/>
      </c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8"/>
      <c r="AO31" s="28"/>
      <c r="AP31" s="29"/>
      <c r="AQ31" s="29" t="str">
        <f t="shared" ref="AQ31:BL31" si="34">T31/T$2</f>
        <v>#N/A</v>
      </c>
      <c r="AR31" s="29" t="str">
        <f t="shared" si="34"/>
        <v>#DIV/0!</v>
      </c>
      <c r="AS31" s="29" t="str">
        <f t="shared" si="34"/>
        <v>#DIV/0!</v>
      </c>
      <c r="AT31" s="29" t="str">
        <f t="shared" si="34"/>
        <v>#DIV/0!</v>
      </c>
      <c r="AU31" s="29" t="str">
        <f t="shared" si="34"/>
        <v>#DIV/0!</v>
      </c>
      <c r="AV31" s="29" t="str">
        <f t="shared" si="34"/>
        <v>#DIV/0!</v>
      </c>
      <c r="AW31" s="29" t="str">
        <f t="shared" si="34"/>
        <v>#DIV/0!</v>
      </c>
      <c r="AX31" s="29" t="str">
        <f t="shared" si="34"/>
        <v>#DIV/0!</v>
      </c>
      <c r="AY31" s="29" t="str">
        <f t="shared" si="34"/>
        <v>#DIV/0!</v>
      </c>
      <c r="AZ31" s="29" t="str">
        <f t="shared" si="34"/>
        <v>#DIV/0!</v>
      </c>
      <c r="BA31" s="29" t="str">
        <f t="shared" si="34"/>
        <v>#DIV/0!</v>
      </c>
      <c r="BB31" s="29" t="str">
        <f t="shared" si="34"/>
        <v>#DIV/0!</v>
      </c>
      <c r="BC31" s="29" t="str">
        <f t="shared" si="34"/>
        <v>#DIV/0!</v>
      </c>
      <c r="BD31" s="29" t="str">
        <f t="shared" si="34"/>
        <v>#DIV/0!</v>
      </c>
      <c r="BE31" s="29" t="str">
        <f t="shared" si="34"/>
        <v>#DIV/0!</v>
      </c>
      <c r="BF31" s="29" t="str">
        <f t="shared" si="34"/>
        <v>#DIV/0!</v>
      </c>
      <c r="BG31" s="29" t="str">
        <f t="shared" si="34"/>
        <v>#DIV/0!</v>
      </c>
      <c r="BH31" s="29" t="str">
        <f t="shared" si="34"/>
        <v>#DIV/0!</v>
      </c>
      <c r="BI31" s="29" t="str">
        <f t="shared" si="34"/>
        <v>#DIV/0!</v>
      </c>
      <c r="BJ31" s="29" t="str">
        <f t="shared" si="34"/>
        <v>#DIV/0!</v>
      </c>
      <c r="BK31" s="29" t="str">
        <f t="shared" si="34"/>
        <v>#DIV/0!</v>
      </c>
      <c r="BL31" s="29" t="str">
        <f t="shared" si="34"/>
        <v>#DIV/0!</v>
      </c>
      <c r="BM31" s="29" t="str">
        <f t="shared" si="3"/>
        <v>#DIV/0!</v>
      </c>
    </row>
    <row r="32">
      <c r="A32" s="16" t="str">
        <f>IFERROR(__xludf.DUMMYFUNCTION("IFERROR(SPARKLINE(SORT(MAP(TRANSPOSE(AQ32:BL32), LAMBDA(val, IF(ISNUMBER(val), PERCENTRANK(AQ32:BL32, val)+0.01, 0))), SEQUENCE(COLUMNS(AQ32:BL32)), FALSE), {""charttype"",""column""; ""color"",""chartreuse""; ""ymin"", 0; ""ymax"", 1.01; ""highcolor"", "&amp;"""darkgreen""; ""lowcolor"", ""red""}), """")"),"")</f>
        <v/>
      </c>
      <c r="B32" s="17" t="str">
        <f t="shared" si="4"/>
        <v/>
      </c>
      <c r="C32" s="1" t="s">
        <v>224</v>
      </c>
      <c r="D32" s="30" t="str">
        <f>IFERROR(__xludf.DUMMYFUNCTION("IFERROR(GOOGLEFINANCE(C32, ""NAME""))"),"Visteon Corp")</f>
        <v>Visteon Corp</v>
      </c>
      <c r="E32" s="30" t="s">
        <v>109</v>
      </c>
      <c r="F32" s="33" t="str">
        <f>IFERROR(__xludf.DUMMYFUNCTION("( (GOOGLEFINANCE(C32, ""price"") - Q32) / Q32 ) / (R32 / 100)"),"Loading...")</f>
        <v>Loading...</v>
      </c>
      <c r="G32" s="20" t="str">
        <f>IFERROR(__xludf.DUMMYFUNCTION("AVERAGE(ARRAYFORMULA(100 * (QUERY(GOOGLEFINANCE(C32, ""high"", TODAY()-40, TODAY()), ""SELECT Col2 WHERE Col2 IS NOT NULL ORDER BY Col1 DESC LIMIT 20"", 0) / QUERY(GOOGLEFINANCE(C32, ""low"", TODAY()-40, TODAY()), ""SELECT Col2 WHERE Col2 IS NOT NULL ORDE"&amp;"R BY Col1 DESC LIMIT 20"", 0) - 1)))"),"#N/A")</f>
        <v>#N/A</v>
      </c>
      <c r="H32" s="35" t="str">
        <f t="shared" si="6"/>
        <v/>
      </c>
      <c r="I32" s="35" t="str">
        <f t="shared" si="7"/>
        <v/>
      </c>
      <c r="J32" s="37" t="str">
        <f>IFERROR(__xludf.DUMMYFUNCTION("IFERROR(
  IF(C32="""",, 
    IFERROR(
      GOOGLEFINANCE(C32, ""price"") * GOOGLEFINANCE(C32, ""volumeavg""), 
      GOOGLEFINANCE(C32, ""price"") * AVERAGE(QUERY(GOOGLEFINANCE(C32, ""volume"", TODAY()-40, TODAY()), ""SELECT Col2 WHERE Col2 IS NOT NULL "&amp;"ORDER BY Col1 DESC LIMIT 20"", 0))
    )
  ), 
"""")"),"")</f>
        <v/>
      </c>
      <c r="K32" s="21" t="str">
        <f>IFERROR(__xludf.DUMMYFUNCTION("IFERROR(GOOGLEFINANCE(C32, ""changepct"") / 100, """")"),"")</f>
        <v/>
      </c>
      <c r="L32" s="21" t="str">
        <f>IFERROR(__xludf.DUMMYFUNCTION("IFERROR((GOOGLEFINANCE(C32, ""price"") / INDEX(GOOGLEFINANCE(C32, ""price"", TODAY()-7, TODAY()), 2, 2)) - 1, """")"),"")</f>
        <v/>
      </c>
      <c r="M32" s="21" t="str">
        <f>IFERROR(__xludf.DUMMYFUNCTION("IFERROR((GOOGLEFINANCE(C32, ""price"") / INDEX(GOOGLEFINANCE(C32, ""price"", EDATE(TODAY(), -1), TODAY()), 2, 2)) - 1, """")"),"")</f>
        <v/>
      </c>
      <c r="N32" s="21" t="str">
        <f>IFERROR(__xludf.DUMMYFUNCTION("IFERROR((GOOGLEFINANCE(C32, ""price"") / INDEX(GOOGLEFINANCE(C32, ""price"", EDATE(TODAY(), -3), TODAY()), 2, 2)) - 1, """")"),"")</f>
        <v/>
      </c>
      <c r="O32" s="21" t="str">
        <f>IFERROR(__xludf.DUMMYFUNCTION("IFERROR((GOOGLEFINANCE(C32, ""price"") / INDEX(GOOGLEFINANCE(C32, ""price"", EDATE(TODAY(), -6), TODAY()), 2, 2)) - 1, """")"),"")</f>
        <v/>
      </c>
      <c r="P32" s="21" t="str">
        <f>IFERROR(__xludf.DUMMYFUNCTION("IFERROR((GOOGLEFINANCE(C32, ""price"") / INDEX(GOOGLEFINANCE(C32, ""price"", EDATE(TODAY(), -12), TODAY()), 2, 2)) - 1, """")"),"")</f>
        <v/>
      </c>
      <c r="Q32" s="6" t="str">
        <f>IFERROR(__xludf.DUMMYFUNCTION("AVERAGE(QUERY(GOOGLEFINANCE(C32, ""price"", TODAY()-80, TODAY()), ""SELECT Col2 WHERE Col2 IS NOT NULL ORDER BY Col1 DESC LIMIT 50"", 0))"),"#N/A")</f>
        <v>#N/A</v>
      </c>
      <c r="R32" s="24" t="str">
        <f>IFERROR(__xludf.DUMMYFUNCTION("IFERROR(
  LET(
    data, QUERY(GOOGLEFINANCE(C32,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GOOGLEFINANCE(C32, ""price"")) * 100,
    IF(calc=0, G32, calc)
  ), 
G32)"),"#N/A")</f>
        <v>#N/A</v>
      </c>
      <c r="S32" s="8" t="s">
        <v>15</v>
      </c>
      <c r="T32" s="26" t="str">
        <f>IFERROR(__xludf.DUMMYFUNCTION("IFERROR(TRANSPOSE(QUERY(IFERROR(SORT(GOOGLEFINANCE(C32, ""price"", WORKDAY(TODAY(), -40), TODAY()), 1, FALSE)), ""select Col2 where Col2 is not null limit 22 label Col2 ''"", 0)), """")"),"")</f>
        <v/>
      </c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8"/>
      <c r="AO32" s="28"/>
      <c r="AP32" s="29"/>
      <c r="AQ32" s="29" t="str">
        <f t="shared" ref="AQ32:BL32" si="35">T32/T$2</f>
        <v>#N/A</v>
      </c>
      <c r="AR32" s="29" t="str">
        <f t="shared" si="35"/>
        <v>#DIV/0!</v>
      </c>
      <c r="AS32" s="29" t="str">
        <f t="shared" si="35"/>
        <v>#DIV/0!</v>
      </c>
      <c r="AT32" s="29" t="str">
        <f t="shared" si="35"/>
        <v>#DIV/0!</v>
      </c>
      <c r="AU32" s="29" t="str">
        <f t="shared" si="35"/>
        <v>#DIV/0!</v>
      </c>
      <c r="AV32" s="29" t="str">
        <f t="shared" si="35"/>
        <v>#DIV/0!</v>
      </c>
      <c r="AW32" s="29" t="str">
        <f t="shared" si="35"/>
        <v>#DIV/0!</v>
      </c>
      <c r="AX32" s="29" t="str">
        <f t="shared" si="35"/>
        <v>#DIV/0!</v>
      </c>
      <c r="AY32" s="29" t="str">
        <f t="shared" si="35"/>
        <v>#DIV/0!</v>
      </c>
      <c r="AZ32" s="29" t="str">
        <f t="shared" si="35"/>
        <v>#DIV/0!</v>
      </c>
      <c r="BA32" s="29" t="str">
        <f t="shared" si="35"/>
        <v>#DIV/0!</v>
      </c>
      <c r="BB32" s="29" t="str">
        <f t="shared" si="35"/>
        <v>#DIV/0!</v>
      </c>
      <c r="BC32" s="29" t="str">
        <f t="shared" si="35"/>
        <v>#DIV/0!</v>
      </c>
      <c r="BD32" s="29" t="str">
        <f t="shared" si="35"/>
        <v>#DIV/0!</v>
      </c>
      <c r="BE32" s="29" t="str">
        <f t="shared" si="35"/>
        <v>#DIV/0!</v>
      </c>
      <c r="BF32" s="29" t="str">
        <f t="shared" si="35"/>
        <v>#DIV/0!</v>
      </c>
      <c r="BG32" s="29" t="str">
        <f t="shared" si="35"/>
        <v>#DIV/0!</v>
      </c>
      <c r="BH32" s="29" t="str">
        <f t="shared" si="35"/>
        <v>#DIV/0!</v>
      </c>
      <c r="BI32" s="29" t="str">
        <f t="shared" si="35"/>
        <v>#DIV/0!</v>
      </c>
      <c r="BJ32" s="29" t="str">
        <f t="shared" si="35"/>
        <v>#DIV/0!</v>
      </c>
      <c r="BK32" s="29" t="str">
        <f t="shared" si="35"/>
        <v>#DIV/0!</v>
      </c>
      <c r="BL32" s="29" t="str">
        <f t="shared" si="35"/>
        <v>#DIV/0!</v>
      </c>
      <c r="BM32" s="29" t="str">
        <f t="shared" si="3"/>
        <v>#DIV/0!</v>
      </c>
    </row>
    <row r="33">
      <c r="A33" s="16" t="str">
        <f>IFERROR(__xludf.DUMMYFUNCTION("IFERROR(SPARKLINE(SORT(MAP(TRANSPOSE(AQ33:BL33), LAMBDA(val, IF(ISNUMBER(val), PERCENTRANK(AQ33:BL33, val)+0.01, 0))), SEQUENCE(COLUMNS(AQ33:BL33)), FALSE), {""charttype"",""column""; ""color"",""chartreuse""; ""ymin"", 0; ""ymax"", 1.01; ""highcolor"", "&amp;"""darkgreen""; ""lowcolor"", ""red""}), """")"),"")</f>
        <v/>
      </c>
      <c r="B33" s="17" t="str">
        <f t="shared" si="4"/>
        <v/>
      </c>
      <c r="C33" s="1" t="s">
        <v>226</v>
      </c>
      <c r="D33" s="30" t="str">
        <f>IFERROR(__xludf.DUMMYFUNCTION("IFERROR(GOOGLEFINANCE(C33, ""NAME""))"),"Dine Brands Global Inc")</f>
        <v>Dine Brands Global Inc</v>
      </c>
      <c r="E33" s="30" t="s">
        <v>126</v>
      </c>
      <c r="F33" s="33" t="str">
        <f>IFERROR(__xludf.DUMMYFUNCTION("( (GOOGLEFINANCE(C33, ""price"") - Q33) / Q33 ) / (R33 / 100)"),"Loading...")</f>
        <v>Loading...</v>
      </c>
      <c r="G33" s="20" t="str">
        <f>IFERROR(__xludf.DUMMYFUNCTION("AVERAGE(ARRAYFORMULA(100 * (QUERY(GOOGLEFINANCE(C33, ""high"", TODAY()-40, TODAY()), ""SELECT Col2 WHERE Col2 IS NOT NULL ORDER BY Col1 DESC LIMIT 20"", 0) / QUERY(GOOGLEFINANCE(C33, ""low"", TODAY()-40, TODAY()), ""SELECT Col2 WHERE Col2 IS NOT NULL ORDE"&amp;"R BY Col1 DESC LIMIT 20"", 0) - 1)))"),"#N/A")</f>
        <v>#N/A</v>
      </c>
      <c r="H33" s="35" t="str">
        <f t="shared" si="6"/>
        <v/>
      </c>
      <c r="I33" s="35" t="str">
        <f t="shared" si="7"/>
        <v/>
      </c>
      <c r="J33" s="37" t="str">
        <f>IFERROR(__xludf.DUMMYFUNCTION("IFERROR(
  IF(C33="""",, 
    IFERROR(
      GOOGLEFINANCE(C33, ""price"") * GOOGLEFINANCE(C33, ""volumeavg""), 
      GOOGLEFINANCE(C33, ""price"") * AVERAGE(QUERY(GOOGLEFINANCE(C33, ""volume"", TODAY()-40, TODAY()), ""SELECT Col2 WHERE Col2 IS NOT NULL "&amp;"ORDER BY Col1 DESC LIMIT 20"", 0))
    )
  ), 
"""")"),"")</f>
        <v/>
      </c>
      <c r="K33" s="21" t="str">
        <f>IFERROR(__xludf.DUMMYFUNCTION("IFERROR(GOOGLEFINANCE(C33, ""changepct"") / 100, """")"),"")</f>
        <v/>
      </c>
      <c r="L33" s="21" t="str">
        <f>IFERROR(__xludf.DUMMYFUNCTION("IFERROR((GOOGLEFINANCE(C33, ""price"") / INDEX(GOOGLEFINANCE(C33, ""price"", TODAY()-7, TODAY()), 2, 2)) - 1, """")"),"")</f>
        <v/>
      </c>
      <c r="M33" s="21" t="str">
        <f>IFERROR(__xludf.DUMMYFUNCTION("IFERROR((GOOGLEFINANCE(C33, ""price"") / INDEX(GOOGLEFINANCE(C33, ""price"", EDATE(TODAY(), -1), TODAY()), 2, 2)) - 1, """")"),"")</f>
        <v/>
      </c>
      <c r="N33" s="21" t="str">
        <f>IFERROR(__xludf.DUMMYFUNCTION("IFERROR((GOOGLEFINANCE(C33, ""price"") / INDEX(GOOGLEFINANCE(C33, ""price"", EDATE(TODAY(), -3), TODAY()), 2, 2)) - 1, """")"),"")</f>
        <v/>
      </c>
      <c r="O33" s="21" t="str">
        <f>IFERROR(__xludf.DUMMYFUNCTION("IFERROR((GOOGLEFINANCE(C33, ""price"") / INDEX(GOOGLEFINANCE(C33, ""price"", EDATE(TODAY(), -6), TODAY()), 2, 2)) - 1, """")"),"")</f>
        <v/>
      </c>
      <c r="P33" s="21" t="str">
        <f>IFERROR(__xludf.DUMMYFUNCTION("IFERROR((GOOGLEFINANCE(C33, ""price"") / INDEX(GOOGLEFINANCE(C33, ""price"", EDATE(TODAY(), -12), TODAY()), 2, 2)) - 1, """")"),"")</f>
        <v/>
      </c>
      <c r="Q33" s="6" t="str">
        <f>IFERROR(__xludf.DUMMYFUNCTION("AVERAGE(QUERY(GOOGLEFINANCE(C33, ""price"", TODAY()-80, TODAY()), ""SELECT Col2 WHERE Col2 IS NOT NULL ORDER BY Col1 DESC LIMIT 50"", 0))"),"#N/A")</f>
        <v>#N/A</v>
      </c>
      <c r="R33" s="24" t="str">
        <f>IFERROR(__xludf.DUMMYFUNCTION("IFERROR(
  LET(
    data, QUERY(GOOGLEFINANCE(C33,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GOOGLEFINANCE(C33, ""price"")) * 100,
    IF(calc=0, G33, calc)
  ), 
G33)"),"#N/A")</f>
        <v>#N/A</v>
      </c>
      <c r="S33" s="8" t="s">
        <v>15</v>
      </c>
      <c r="T33" s="26" t="str">
        <f>IFERROR(__xludf.DUMMYFUNCTION("IFERROR(TRANSPOSE(QUERY(IFERROR(SORT(GOOGLEFINANCE(C33, ""price"", WORKDAY(TODAY(), -40), TODAY()), 1, FALSE)), ""select Col2 where Col2 is not null limit 22 label Col2 ''"", 0)), """")"),"")</f>
        <v/>
      </c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8"/>
      <c r="AO33" s="28"/>
      <c r="AP33" s="29"/>
      <c r="AQ33" s="29" t="str">
        <f t="shared" ref="AQ33:BL33" si="36">T33/T$2</f>
        <v>#N/A</v>
      </c>
      <c r="AR33" s="29" t="str">
        <f t="shared" si="36"/>
        <v>#DIV/0!</v>
      </c>
      <c r="AS33" s="29" t="str">
        <f t="shared" si="36"/>
        <v>#DIV/0!</v>
      </c>
      <c r="AT33" s="29" t="str">
        <f t="shared" si="36"/>
        <v>#DIV/0!</v>
      </c>
      <c r="AU33" s="29" t="str">
        <f t="shared" si="36"/>
        <v>#DIV/0!</v>
      </c>
      <c r="AV33" s="29" t="str">
        <f t="shared" si="36"/>
        <v>#DIV/0!</v>
      </c>
      <c r="AW33" s="29" t="str">
        <f t="shared" si="36"/>
        <v>#DIV/0!</v>
      </c>
      <c r="AX33" s="29" t="str">
        <f t="shared" si="36"/>
        <v>#DIV/0!</v>
      </c>
      <c r="AY33" s="29" t="str">
        <f t="shared" si="36"/>
        <v>#DIV/0!</v>
      </c>
      <c r="AZ33" s="29" t="str">
        <f t="shared" si="36"/>
        <v>#DIV/0!</v>
      </c>
      <c r="BA33" s="29" t="str">
        <f t="shared" si="36"/>
        <v>#DIV/0!</v>
      </c>
      <c r="BB33" s="29" t="str">
        <f t="shared" si="36"/>
        <v>#DIV/0!</v>
      </c>
      <c r="BC33" s="29" t="str">
        <f t="shared" si="36"/>
        <v>#DIV/0!</v>
      </c>
      <c r="BD33" s="29" t="str">
        <f t="shared" si="36"/>
        <v>#DIV/0!</v>
      </c>
      <c r="BE33" s="29" t="str">
        <f t="shared" si="36"/>
        <v>#DIV/0!</v>
      </c>
      <c r="BF33" s="29" t="str">
        <f t="shared" si="36"/>
        <v>#DIV/0!</v>
      </c>
      <c r="BG33" s="29" t="str">
        <f t="shared" si="36"/>
        <v>#DIV/0!</v>
      </c>
      <c r="BH33" s="29" t="str">
        <f t="shared" si="36"/>
        <v>#DIV/0!</v>
      </c>
      <c r="BI33" s="29" t="str">
        <f t="shared" si="36"/>
        <v>#DIV/0!</v>
      </c>
      <c r="BJ33" s="29" t="str">
        <f t="shared" si="36"/>
        <v>#DIV/0!</v>
      </c>
      <c r="BK33" s="29" t="str">
        <f t="shared" si="36"/>
        <v>#DIV/0!</v>
      </c>
      <c r="BL33" s="29" t="str">
        <f t="shared" si="36"/>
        <v>#DIV/0!</v>
      </c>
      <c r="BM33" s="29" t="str">
        <f t="shared" si="3"/>
        <v>#DIV/0!</v>
      </c>
    </row>
    <row r="34">
      <c r="A34" s="16" t="str">
        <f>IFERROR(__xludf.DUMMYFUNCTION("IFERROR(SPARKLINE(SORT(MAP(TRANSPOSE(AQ34:BL34), LAMBDA(val, IF(ISNUMBER(val), PERCENTRANK(AQ34:BL34, val)+0.01, 0))), SEQUENCE(COLUMNS(AQ34:BL34)), FALSE), {""charttype"",""column""; ""color"",""chartreuse""; ""ymin"", 0; ""ymax"", 1.01; ""highcolor"", "&amp;"""darkgreen""; ""lowcolor"", ""red""}), """")"),"")</f>
        <v/>
      </c>
      <c r="B34" s="17" t="str">
        <f t="shared" si="4"/>
        <v/>
      </c>
      <c r="C34" s="1" t="s">
        <v>229</v>
      </c>
      <c r="D34" s="30" t="str">
        <f>IFERROR(__xludf.DUMMYFUNCTION("IFERROR(GOOGLEFINANCE(C34, ""NAME""))"),"Jumia Technologies AG - ADR")</f>
        <v>Jumia Technologies AG - ADR</v>
      </c>
      <c r="E34" s="30" t="s">
        <v>137</v>
      </c>
      <c r="F34" s="33" t="str">
        <f>IFERROR(__xludf.DUMMYFUNCTION("( (GOOGLEFINANCE(C34, ""price"") - Q34) / Q34 ) / (R34 / 100)"),"Loading...")</f>
        <v>Loading...</v>
      </c>
      <c r="G34" s="20" t="str">
        <f>IFERROR(__xludf.DUMMYFUNCTION("AVERAGE(ARRAYFORMULA(100 * (QUERY(GOOGLEFINANCE(C34, ""high"", TODAY()-40, TODAY()), ""SELECT Col2 WHERE Col2 IS NOT NULL ORDER BY Col1 DESC LIMIT 20"", 0) / QUERY(GOOGLEFINANCE(C34, ""low"", TODAY()-40, TODAY()), ""SELECT Col2 WHERE Col2 IS NOT NULL ORDE"&amp;"R BY Col1 DESC LIMIT 20"", 0) - 1)))"),"#N/A")</f>
        <v>#N/A</v>
      </c>
      <c r="H34" s="35" t="str">
        <f t="shared" si="6"/>
        <v/>
      </c>
      <c r="I34" s="35" t="str">
        <f t="shared" si="7"/>
        <v/>
      </c>
      <c r="J34" s="37" t="str">
        <f>IFERROR(__xludf.DUMMYFUNCTION("IFERROR(
  IF(C34="""",, 
    IFERROR(
      GOOGLEFINANCE(C34, ""price"") * GOOGLEFINANCE(C34, ""volumeavg""), 
      GOOGLEFINANCE(C34, ""price"") * AVERAGE(QUERY(GOOGLEFINANCE(C34, ""volume"", TODAY()-40, TODAY()), ""SELECT Col2 WHERE Col2 IS NOT NULL "&amp;"ORDER BY Col1 DESC LIMIT 20"", 0))
    )
  ), 
"""")"),"")</f>
        <v/>
      </c>
      <c r="K34" s="21" t="str">
        <f>IFERROR(__xludf.DUMMYFUNCTION("IFERROR(GOOGLEFINANCE(C34, ""changepct"") / 100, """")"),"")</f>
        <v/>
      </c>
      <c r="L34" s="21" t="str">
        <f>IFERROR(__xludf.DUMMYFUNCTION("IFERROR((GOOGLEFINANCE(C34, ""price"") / INDEX(GOOGLEFINANCE(C34, ""price"", TODAY()-7, TODAY()), 2, 2)) - 1, """")"),"")</f>
        <v/>
      </c>
      <c r="M34" s="21" t="str">
        <f>IFERROR(__xludf.DUMMYFUNCTION("IFERROR((GOOGLEFINANCE(C34, ""price"") / INDEX(GOOGLEFINANCE(C34, ""price"", EDATE(TODAY(), -1), TODAY()), 2, 2)) - 1, """")"),"")</f>
        <v/>
      </c>
      <c r="N34" s="21" t="str">
        <f>IFERROR(__xludf.DUMMYFUNCTION("IFERROR((GOOGLEFINANCE(C34, ""price"") / INDEX(GOOGLEFINANCE(C34, ""price"", EDATE(TODAY(), -3), TODAY()), 2, 2)) - 1, """")"),"")</f>
        <v/>
      </c>
      <c r="O34" s="21" t="str">
        <f>IFERROR(__xludf.DUMMYFUNCTION("IFERROR((GOOGLEFINANCE(C34, ""price"") / INDEX(GOOGLEFINANCE(C34, ""price"", EDATE(TODAY(), -6), TODAY()), 2, 2)) - 1, """")"),"")</f>
        <v/>
      </c>
      <c r="P34" s="21" t="str">
        <f>IFERROR(__xludf.DUMMYFUNCTION("IFERROR((GOOGLEFINANCE(C34, ""price"") / INDEX(GOOGLEFINANCE(C34, ""price"", EDATE(TODAY(), -12), TODAY()), 2, 2)) - 1, """")"),"")</f>
        <v/>
      </c>
      <c r="Q34" s="6" t="str">
        <f>IFERROR(__xludf.DUMMYFUNCTION("AVERAGE(QUERY(GOOGLEFINANCE(C34, ""price"", TODAY()-80, TODAY()), ""SELECT Col2 WHERE Col2 IS NOT NULL ORDER BY Col1 DESC LIMIT 50"", 0))"),"#N/A")</f>
        <v>#N/A</v>
      </c>
      <c r="R34" s="24" t="str">
        <f>IFERROR(__xludf.DUMMYFUNCTION("IFERROR(
  LET(
    data, QUERY(GOOGLEFINANCE(C34,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GOOGLEFINANCE(C34, ""price"")) * 100,
    IF(calc=0, G34, calc)
  ), 
G34)"),"#N/A")</f>
        <v>#N/A</v>
      </c>
      <c r="S34" s="8" t="s">
        <v>15</v>
      </c>
      <c r="T34" s="26" t="str">
        <f>IFERROR(__xludf.DUMMYFUNCTION("IFERROR(TRANSPOSE(QUERY(IFERROR(SORT(GOOGLEFINANCE(C34, ""price"", WORKDAY(TODAY(), -40), TODAY()), 1, FALSE)), ""select Col2 where Col2 is not null limit 22 label Col2 ''"", 0)), """")"),"")</f>
        <v/>
      </c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8"/>
      <c r="AO34" s="28"/>
      <c r="AP34" s="29"/>
      <c r="AQ34" s="29" t="str">
        <f t="shared" ref="AQ34:BL34" si="37">T34/T$2</f>
        <v>#N/A</v>
      </c>
      <c r="AR34" s="29" t="str">
        <f t="shared" si="37"/>
        <v>#DIV/0!</v>
      </c>
      <c r="AS34" s="29" t="str">
        <f t="shared" si="37"/>
        <v>#DIV/0!</v>
      </c>
      <c r="AT34" s="29" t="str">
        <f t="shared" si="37"/>
        <v>#DIV/0!</v>
      </c>
      <c r="AU34" s="29" t="str">
        <f t="shared" si="37"/>
        <v>#DIV/0!</v>
      </c>
      <c r="AV34" s="29" t="str">
        <f t="shared" si="37"/>
        <v>#DIV/0!</v>
      </c>
      <c r="AW34" s="29" t="str">
        <f t="shared" si="37"/>
        <v>#DIV/0!</v>
      </c>
      <c r="AX34" s="29" t="str">
        <f t="shared" si="37"/>
        <v>#DIV/0!</v>
      </c>
      <c r="AY34" s="29" t="str">
        <f t="shared" si="37"/>
        <v>#DIV/0!</v>
      </c>
      <c r="AZ34" s="29" t="str">
        <f t="shared" si="37"/>
        <v>#DIV/0!</v>
      </c>
      <c r="BA34" s="29" t="str">
        <f t="shared" si="37"/>
        <v>#DIV/0!</v>
      </c>
      <c r="BB34" s="29" t="str">
        <f t="shared" si="37"/>
        <v>#DIV/0!</v>
      </c>
      <c r="BC34" s="29" t="str">
        <f t="shared" si="37"/>
        <v>#DIV/0!</v>
      </c>
      <c r="BD34" s="29" t="str">
        <f t="shared" si="37"/>
        <v>#DIV/0!</v>
      </c>
      <c r="BE34" s="29" t="str">
        <f t="shared" si="37"/>
        <v>#DIV/0!</v>
      </c>
      <c r="BF34" s="29" t="str">
        <f t="shared" si="37"/>
        <v>#DIV/0!</v>
      </c>
      <c r="BG34" s="29" t="str">
        <f t="shared" si="37"/>
        <v>#DIV/0!</v>
      </c>
      <c r="BH34" s="29" t="str">
        <f t="shared" si="37"/>
        <v>#DIV/0!</v>
      </c>
      <c r="BI34" s="29" t="str">
        <f t="shared" si="37"/>
        <v>#DIV/0!</v>
      </c>
      <c r="BJ34" s="29" t="str">
        <f t="shared" si="37"/>
        <v>#DIV/0!</v>
      </c>
      <c r="BK34" s="29" t="str">
        <f t="shared" si="37"/>
        <v>#DIV/0!</v>
      </c>
      <c r="BL34" s="29" t="str">
        <f t="shared" si="37"/>
        <v>#DIV/0!</v>
      </c>
      <c r="BM34" s="29" t="str">
        <f t="shared" si="3"/>
        <v>#DIV/0!</v>
      </c>
    </row>
    <row r="35">
      <c r="A35" s="16" t="str">
        <f>IFERROR(__xludf.DUMMYFUNCTION("IFERROR(SPARKLINE(SORT(MAP(TRANSPOSE(AQ35:BL35), LAMBDA(val, IF(ISNUMBER(val), PERCENTRANK(AQ35:BL35, val)+0.01, 0))), SEQUENCE(COLUMNS(AQ35:BL35)), FALSE), {""charttype"",""column""; ""color"",""chartreuse""; ""ymin"", 0; ""ymax"", 1.01; ""highcolor"", "&amp;"""darkgreen""; ""lowcolor"", ""red""}), """")"),"")</f>
        <v/>
      </c>
      <c r="B35" s="17" t="str">
        <f t="shared" si="4"/>
        <v/>
      </c>
      <c r="C35" s="1" t="s">
        <v>233</v>
      </c>
      <c r="D35" s="30" t="str">
        <f>IFERROR(__xludf.DUMMYFUNCTION("IFERROR(GOOGLEFINANCE(C35, ""NAME""))"),"DraftKings Inc")</f>
        <v>DraftKings Inc</v>
      </c>
      <c r="E35" s="30" t="s">
        <v>234</v>
      </c>
      <c r="F35" s="33" t="str">
        <f>IFERROR(__xludf.DUMMYFUNCTION("( (GOOGLEFINANCE(C35, ""price"") - Q35) / Q35 ) / (R35 / 100)"),"Loading...")</f>
        <v>Loading...</v>
      </c>
      <c r="G35" s="20" t="str">
        <f>IFERROR(__xludf.DUMMYFUNCTION("AVERAGE(ARRAYFORMULA(100 * (QUERY(GOOGLEFINANCE(C35, ""high"", TODAY()-40, TODAY()), ""SELECT Col2 WHERE Col2 IS NOT NULL ORDER BY Col1 DESC LIMIT 20"", 0) / QUERY(GOOGLEFINANCE(C35, ""low"", TODAY()-40, TODAY()), ""SELECT Col2 WHERE Col2 IS NOT NULL ORDE"&amp;"R BY Col1 DESC LIMIT 20"", 0) - 1)))"),"#N/A")</f>
        <v>#N/A</v>
      </c>
      <c r="H35" s="35" t="str">
        <f t="shared" si="6"/>
        <v/>
      </c>
      <c r="I35" s="35" t="str">
        <f t="shared" si="7"/>
        <v/>
      </c>
      <c r="J35" s="37" t="str">
        <f>IFERROR(__xludf.DUMMYFUNCTION("IFERROR(
  IF(C35="""",, 
    IFERROR(
      GOOGLEFINANCE(C35, ""price"") * GOOGLEFINANCE(C35, ""volumeavg""), 
      GOOGLEFINANCE(C35, ""price"") * AVERAGE(QUERY(GOOGLEFINANCE(C35, ""volume"", TODAY()-40, TODAY()), ""SELECT Col2 WHERE Col2 IS NOT NULL "&amp;"ORDER BY Col1 DESC LIMIT 20"", 0))
    )
  ), 
"""")"),"")</f>
        <v/>
      </c>
      <c r="K35" s="21" t="str">
        <f>IFERROR(__xludf.DUMMYFUNCTION("IFERROR(GOOGLEFINANCE(C35, ""changepct"") / 100, """")"),"")</f>
        <v/>
      </c>
      <c r="L35" s="21" t="str">
        <f>IFERROR(__xludf.DUMMYFUNCTION("IFERROR((GOOGLEFINANCE(C35, ""price"") / INDEX(GOOGLEFINANCE(C35, ""price"", TODAY()-7, TODAY()), 2, 2)) - 1, """")"),"")</f>
        <v/>
      </c>
      <c r="M35" s="21" t="str">
        <f>IFERROR(__xludf.DUMMYFUNCTION("IFERROR((GOOGLEFINANCE(C35, ""price"") / INDEX(GOOGLEFINANCE(C35, ""price"", EDATE(TODAY(), -1), TODAY()), 2, 2)) - 1, """")"),"")</f>
        <v/>
      </c>
      <c r="N35" s="21" t="str">
        <f>IFERROR(__xludf.DUMMYFUNCTION("IFERROR((GOOGLEFINANCE(C35, ""price"") / INDEX(GOOGLEFINANCE(C35, ""price"", EDATE(TODAY(), -3), TODAY()), 2, 2)) - 1, """")"),"")</f>
        <v/>
      </c>
      <c r="O35" s="21" t="str">
        <f>IFERROR(__xludf.DUMMYFUNCTION("IFERROR((GOOGLEFINANCE(C35, ""price"") / INDEX(GOOGLEFINANCE(C35, ""price"", EDATE(TODAY(), -6), TODAY()), 2, 2)) - 1, """")"),"")</f>
        <v/>
      </c>
      <c r="P35" s="21" t="str">
        <f>IFERROR(__xludf.DUMMYFUNCTION("IFERROR((GOOGLEFINANCE(C35, ""price"") / INDEX(GOOGLEFINANCE(C35, ""price"", EDATE(TODAY(), -12), TODAY()), 2, 2)) - 1, """")"),"")</f>
        <v/>
      </c>
      <c r="Q35" s="6" t="str">
        <f>IFERROR(__xludf.DUMMYFUNCTION("AVERAGE(QUERY(GOOGLEFINANCE(C35, ""price"", TODAY()-80, TODAY()), ""SELECT Col2 WHERE Col2 IS NOT NULL ORDER BY Col1 DESC LIMIT 50"", 0))"),"#N/A")</f>
        <v>#N/A</v>
      </c>
      <c r="R35" s="24" t="str">
        <f>IFERROR(__xludf.DUMMYFUNCTION("IFERROR(
  LET(
    data, QUERY(GOOGLEFINANCE(C35,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GOOGLEFINANCE(C35, ""price"")) * 100,
    IF(calc=0, G35, calc)
  ), 
G35)"),"#N/A")</f>
        <v>#N/A</v>
      </c>
      <c r="S35" s="8" t="s">
        <v>15</v>
      </c>
      <c r="T35" s="26" t="str">
        <f>IFERROR(__xludf.DUMMYFUNCTION("IFERROR(TRANSPOSE(QUERY(IFERROR(SORT(GOOGLEFINANCE(C35, ""price"", WORKDAY(TODAY(), -40), TODAY()), 1, FALSE)), ""select Col2 where Col2 is not null limit 22 label Col2 ''"", 0)), """")"),"")</f>
        <v/>
      </c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8"/>
      <c r="AO35" s="28"/>
      <c r="AP35" s="29"/>
      <c r="AQ35" s="29" t="str">
        <f t="shared" ref="AQ35:BL35" si="38">T35/T$2</f>
        <v>#N/A</v>
      </c>
      <c r="AR35" s="29" t="str">
        <f t="shared" si="38"/>
        <v>#DIV/0!</v>
      </c>
      <c r="AS35" s="29" t="str">
        <f t="shared" si="38"/>
        <v>#DIV/0!</v>
      </c>
      <c r="AT35" s="29" t="str">
        <f t="shared" si="38"/>
        <v>#DIV/0!</v>
      </c>
      <c r="AU35" s="29" t="str">
        <f t="shared" si="38"/>
        <v>#DIV/0!</v>
      </c>
      <c r="AV35" s="29" t="str">
        <f t="shared" si="38"/>
        <v>#DIV/0!</v>
      </c>
      <c r="AW35" s="29" t="str">
        <f t="shared" si="38"/>
        <v>#DIV/0!</v>
      </c>
      <c r="AX35" s="29" t="str">
        <f t="shared" si="38"/>
        <v>#DIV/0!</v>
      </c>
      <c r="AY35" s="29" t="str">
        <f t="shared" si="38"/>
        <v>#DIV/0!</v>
      </c>
      <c r="AZ35" s="29" t="str">
        <f t="shared" si="38"/>
        <v>#DIV/0!</v>
      </c>
      <c r="BA35" s="29" t="str">
        <f t="shared" si="38"/>
        <v>#DIV/0!</v>
      </c>
      <c r="BB35" s="29" t="str">
        <f t="shared" si="38"/>
        <v>#DIV/0!</v>
      </c>
      <c r="BC35" s="29" t="str">
        <f t="shared" si="38"/>
        <v>#DIV/0!</v>
      </c>
      <c r="BD35" s="29" t="str">
        <f t="shared" si="38"/>
        <v>#DIV/0!</v>
      </c>
      <c r="BE35" s="29" t="str">
        <f t="shared" si="38"/>
        <v>#DIV/0!</v>
      </c>
      <c r="BF35" s="29" t="str">
        <f t="shared" si="38"/>
        <v>#DIV/0!</v>
      </c>
      <c r="BG35" s="29" t="str">
        <f t="shared" si="38"/>
        <v>#DIV/0!</v>
      </c>
      <c r="BH35" s="29" t="str">
        <f t="shared" si="38"/>
        <v>#DIV/0!</v>
      </c>
      <c r="BI35" s="29" t="str">
        <f t="shared" si="38"/>
        <v>#DIV/0!</v>
      </c>
      <c r="BJ35" s="29" t="str">
        <f t="shared" si="38"/>
        <v>#DIV/0!</v>
      </c>
      <c r="BK35" s="29" t="str">
        <f t="shared" si="38"/>
        <v>#DIV/0!</v>
      </c>
      <c r="BL35" s="29" t="str">
        <f t="shared" si="38"/>
        <v>#DIV/0!</v>
      </c>
      <c r="BM35" s="29" t="str">
        <f t="shared" si="3"/>
        <v>#DIV/0!</v>
      </c>
    </row>
    <row r="36">
      <c r="A36" s="16" t="str">
        <f>IFERROR(__xludf.DUMMYFUNCTION("IFERROR(SPARKLINE(SORT(MAP(TRANSPOSE(AQ36:BL36), LAMBDA(val, IF(ISNUMBER(val), PERCENTRANK(AQ36:BL36, val)+0.01, 0))), SEQUENCE(COLUMNS(AQ36:BL36)), FALSE), {""charttype"",""column""; ""color"",""chartreuse""; ""ymin"", 0; ""ymax"", 1.01; ""highcolor"", "&amp;"""darkgreen""; ""lowcolor"", ""red""}), """")"),"")</f>
        <v/>
      </c>
      <c r="B36" s="17" t="str">
        <f t="shared" si="4"/>
        <v/>
      </c>
      <c r="C36" s="1" t="s">
        <v>238</v>
      </c>
      <c r="D36" s="30" t="str">
        <f>IFERROR(__xludf.DUMMYFUNCTION("IFERROR(GOOGLEFINANCE(C36, ""NAME""))"),"Phinia Inc")</f>
        <v>Phinia Inc</v>
      </c>
      <c r="E36" s="30" t="s">
        <v>109</v>
      </c>
      <c r="F36" s="33" t="str">
        <f>IFERROR(__xludf.DUMMYFUNCTION("( (GOOGLEFINANCE(C36, ""price"") - Q36) / Q36 ) / (R36 / 100)"),"Loading...")</f>
        <v>Loading...</v>
      </c>
      <c r="G36" s="20" t="str">
        <f>IFERROR(__xludf.DUMMYFUNCTION("AVERAGE(ARRAYFORMULA(100 * (QUERY(GOOGLEFINANCE(C36, ""high"", TODAY()-40, TODAY()), ""SELECT Col2 WHERE Col2 IS NOT NULL ORDER BY Col1 DESC LIMIT 20"", 0) / QUERY(GOOGLEFINANCE(C36, ""low"", TODAY()-40, TODAY()), ""SELECT Col2 WHERE Col2 IS NOT NULL ORDE"&amp;"R BY Col1 DESC LIMIT 20"", 0) - 1)))"),"#N/A")</f>
        <v>#N/A</v>
      </c>
      <c r="H36" s="35" t="str">
        <f t="shared" si="6"/>
        <v/>
      </c>
      <c r="I36" s="35" t="str">
        <f t="shared" si="7"/>
        <v/>
      </c>
      <c r="J36" s="37" t="str">
        <f>IFERROR(__xludf.DUMMYFUNCTION("IFERROR(
  IF(C36="""",, 
    IFERROR(
      GOOGLEFINANCE(C36, ""price"") * GOOGLEFINANCE(C36, ""volumeavg""), 
      GOOGLEFINANCE(C36, ""price"") * AVERAGE(QUERY(GOOGLEFINANCE(C36, ""volume"", TODAY()-40, TODAY()), ""SELECT Col2 WHERE Col2 IS NOT NULL "&amp;"ORDER BY Col1 DESC LIMIT 20"", 0))
    )
  ), 
"""")"),"")</f>
        <v/>
      </c>
      <c r="K36" s="21" t="str">
        <f>IFERROR(__xludf.DUMMYFUNCTION("IFERROR(GOOGLEFINANCE(C36, ""changepct"") / 100, """")"),"")</f>
        <v/>
      </c>
      <c r="L36" s="21" t="str">
        <f>IFERROR(__xludf.DUMMYFUNCTION("IFERROR((GOOGLEFINANCE(C36, ""price"") / INDEX(GOOGLEFINANCE(C36, ""price"", TODAY()-7, TODAY()), 2, 2)) - 1, """")"),"")</f>
        <v/>
      </c>
      <c r="M36" s="21" t="str">
        <f>IFERROR(__xludf.DUMMYFUNCTION("IFERROR((GOOGLEFINANCE(C36, ""price"") / INDEX(GOOGLEFINANCE(C36, ""price"", EDATE(TODAY(), -1), TODAY()), 2, 2)) - 1, """")"),"")</f>
        <v/>
      </c>
      <c r="N36" s="21" t="str">
        <f>IFERROR(__xludf.DUMMYFUNCTION("IFERROR((GOOGLEFINANCE(C36, ""price"") / INDEX(GOOGLEFINANCE(C36, ""price"", EDATE(TODAY(), -3), TODAY()), 2, 2)) - 1, """")"),"")</f>
        <v/>
      </c>
      <c r="O36" s="21" t="str">
        <f>IFERROR(__xludf.DUMMYFUNCTION("IFERROR((GOOGLEFINANCE(C36, ""price"") / INDEX(GOOGLEFINANCE(C36, ""price"", EDATE(TODAY(), -6), TODAY()), 2, 2)) - 1, """")"),"")</f>
        <v/>
      </c>
      <c r="P36" s="21" t="str">
        <f>IFERROR(__xludf.DUMMYFUNCTION("IFERROR((GOOGLEFINANCE(C36, ""price"") / INDEX(GOOGLEFINANCE(C36, ""price"", EDATE(TODAY(), -12), TODAY()), 2, 2)) - 1, """")"),"")</f>
        <v/>
      </c>
      <c r="Q36" s="6" t="str">
        <f>IFERROR(__xludf.DUMMYFUNCTION("AVERAGE(QUERY(GOOGLEFINANCE(C36, ""price"", TODAY()-80, TODAY()), ""SELECT Col2 WHERE Col2 IS NOT NULL ORDER BY Col1 DESC LIMIT 50"", 0))"),"#N/A")</f>
        <v>#N/A</v>
      </c>
      <c r="R36" s="24" t="str">
        <f>IFERROR(__xludf.DUMMYFUNCTION("IFERROR(
  LET(
    data, QUERY(GOOGLEFINANCE(C36,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GOOGLEFINANCE(C36, ""price"")) * 100,
    IF(calc=0, G36, calc)
  ), 
G36)"),"#N/A")</f>
        <v>#N/A</v>
      </c>
      <c r="S36" s="8" t="s">
        <v>15</v>
      </c>
      <c r="T36" s="26" t="str">
        <f>IFERROR(__xludf.DUMMYFUNCTION("IFERROR(TRANSPOSE(QUERY(IFERROR(SORT(GOOGLEFINANCE(C36, ""price"", WORKDAY(TODAY(), -40), TODAY()), 1, FALSE)), ""select Col2 where Col2 is not null limit 22 label Col2 ''"", 0)), """")"),"")</f>
        <v/>
      </c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8"/>
      <c r="AO36" s="28"/>
      <c r="AP36" s="29"/>
      <c r="AQ36" s="29" t="str">
        <f t="shared" ref="AQ36:BL36" si="39">T36/T$2</f>
        <v>#N/A</v>
      </c>
      <c r="AR36" s="29" t="str">
        <f t="shared" si="39"/>
        <v>#DIV/0!</v>
      </c>
      <c r="AS36" s="29" t="str">
        <f t="shared" si="39"/>
        <v>#DIV/0!</v>
      </c>
      <c r="AT36" s="29" t="str">
        <f t="shared" si="39"/>
        <v>#DIV/0!</v>
      </c>
      <c r="AU36" s="29" t="str">
        <f t="shared" si="39"/>
        <v>#DIV/0!</v>
      </c>
      <c r="AV36" s="29" t="str">
        <f t="shared" si="39"/>
        <v>#DIV/0!</v>
      </c>
      <c r="AW36" s="29" t="str">
        <f t="shared" si="39"/>
        <v>#DIV/0!</v>
      </c>
      <c r="AX36" s="29" t="str">
        <f t="shared" si="39"/>
        <v>#DIV/0!</v>
      </c>
      <c r="AY36" s="29" t="str">
        <f t="shared" si="39"/>
        <v>#DIV/0!</v>
      </c>
      <c r="AZ36" s="29" t="str">
        <f t="shared" si="39"/>
        <v>#DIV/0!</v>
      </c>
      <c r="BA36" s="29" t="str">
        <f t="shared" si="39"/>
        <v>#DIV/0!</v>
      </c>
      <c r="BB36" s="29" t="str">
        <f t="shared" si="39"/>
        <v>#DIV/0!</v>
      </c>
      <c r="BC36" s="29" t="str">
        <f t="shared" si="39"/>
        <v>#DIV/0!</v>
      </c>
      <c r="BD36" s="29" t="str">
        <f t="shared" si="39"/>
        <v>#DIV/0!</v>
      </c>
      <c r="BE36" s="29" t="str">
        <f t="shared" si="39"/>
        <v>#DIV/0!</v>
      </c>
      <c r="BF36" s="29" t="str">
        <f t="shared" si="39"/>
        <v>#DIV/0!</v>
      </c>
      <c r="BG36" s="29" t="str">
        <f t="shared" si="39"/>
        <v>#DIV/0!</v>
      </c>
      <c r="BH36" s="29" t="str">
        <f t="shared" si="39"/>
        <v>#DIV/0!</v>
      </c>
      <c r="BI36" s="29" t="str">
        <f t="shared" si="39"/>
        <v>#DIV/0!</v>
      </c>
      <c r="BJ36" s="29" t="str">
        <f t="shared" si="39"/>
        <v>#DIV/0!</v>
      </c>
      <c r="BK36" s="29" t="str">
        <f t="shared" si="39"/>
        <v>#DIV/0!</v>
      </c>
      <c r="BL36" s="29" t="str">
        <f t="shared" si="39"/>
        <v>#DIV/0!</v>
      </c>
      <c r="BM36" s="29" t="str">
        <f t="shared" si="3"/>
        <v>#DIV/0!</v>
      </c>
    </row>
    <row r="37">
      <c r="A37" s="16" t="str">
        <f>IFERROR(__xludf.DUMMYFUNCTION("IFERROR(SPARKLINE(SORT(MAP(TRANSPOSE(AQ37:BL37), LAMBDA(val, IF(ISNUMBER(val), PERCENTRANK(AQ37:BL37, val)+0.01, 0))), SEQUENCE(COLUMNS(AQ37:BL37)), FALSE), {""charttype"",""column""; ""color"",""chartreuse""; ""ymin"", 0; ""ymax"", 1.01; ""highcolor"", "&amp;"""darkgreen""; ""lowcolor"", ""red""}), """")"),"")</f>
        <v/>
      </c>
      <c r="B37" s="17" t="str">
        <f t="shared" si="4"/>
        <v/>
      </c>
      <c r="C37" s="1" t="s">
        <v>241</v>
      </c>
      <c r="D37" s="30" t="str">
        <f>IFERROR(__xludf.DUMMYFUNCTION("IFERROR(GOOGLEFINANCE(C37, ""NAME""))"),"Jack In The Box Inc")</f>
        <v>Jack In The Box Inc</v>
      </c>
      <c r="E37" s="30" t="s">
        <v>126</v>
      </c>
      <c r="F37" s="33" t="str">
        <f>IFERROR(__xludf.DUMMYFUNCTION("( (GOOGLEFINANCE(C37, ""price"") - Q37) / Q37 ) / (R37 / 100)"),"Loading...")</f>
        <v>Loading...</v>
      </c>
      <c r="G37" s="20" t="str">
        <f>IFERROR(__xludf.DUMMYFUNCTION("AVERAGE(ARRAYFORMULA(100 * (QUERY(GOOGLEFINANCE(C37, ""high"", TODAY()-40, TODAY()), ""SELECT Col2 WHERE Col2 IS NOT NULL ORDER BY Col1 DESC LIMIT 20"", 0) / QUERY(GOOGLEFINANCE(C37, ""low"", TODAY()-40, TODAY()), ""SELECT Col2 WHERE Col2 IS NOT NULL ORDE"&amp;"R BY Col1 DESC LIMIT 20"", 0) - 1)))"),"#N/A")</f>
        <v>#N/A</v>
      </c>
      <c r="H37" s="35" t="str">
        <f t="shared" si="6"/>
        <v/>
      </c>
      <c r="I37" s="35" t="str">
        <f t="shared" si="7"/>
        <v/>
      </c>
      <c r="J37" s="37" t="str">
        <f>IFERROR(__xludf.DUMMYFUNCTION("IFERROR(
  IF(C37="""",, 
    IFERROR(
      GOOGLEFINANCE(C37, ""price"") * GOOGLEFINANCE(C37, ""volumeavg""), 
      GOOGLEFINANCE(C37, ""price"") * AVERAGE(QUERY(GOOGLEFINANCE(C37, ""volume"", TODAY()-40, TODAY()), ""SELECT Col2 WHERE Col2 IS NOT NULL "&amp;"ORDER BY Col1 DESC LIMIT 20"", 0))
    )
  ), 
"""")"),"")</f>
        <v/>
      </c>
      <c r="K37" s="21" t="str">
        <f>IFERROR(__xludf.DUMMYFUNCTION("IFERROR(GOOGLEFINANCE(C37, ""changepct"") / 100, """")"),"")</f>
        <v/>
      </c>
      <c r="L37" s="21" t="str">
        <f>IFERROR(__xludf.DUMMYFUNCTION("IFERROR((GOOGLEFINANCE(C37, ""price"") / INDEX(GOOGLEFINANCE(C37, ""price"", TODAY()-7, TODAY()), 2, 2)) - 1, """")"),"")</f>
        <v/>
      </c>
      <c r="M37" s="21" t="str">
        <f>IFERROR(__xludf.DUMMYFUNCTION("IFERROR((GOOGLEFINANCE(C37, ""price"") / INDEX(GOOGLEFINANCE(C37, ""price"", EDATE(TODAY(), -1), TODAY()), 2, 2)) - 1, """")"),"")</f>
        <v/>
      </c>
      <c r="N37" s="21" t="str">
        <f>IFERROR(__xludf.DUMMYFUNCTION("IFERROR((GOOGLEFINANCE(C37, ""price"") / INDEX(GOOGLEFINANCE(C37, ""price"", EDATE(TODAY(), -3), TODAY()), 2, 2)) - 1, """")"),"")</f>
        <v/>
      </c>
      <c r="O37" s="21" t="str">
        <f>IFERROR(__xludf.DUMMYFUNCTION("IFERROR((GOOGLEFINANCE(C37, ""price"") / INDEX(GOOGLEFINANCE(C37, ""price"", EDATE(TODAY(), -6), TODAY()), 2, 2)) - 1, """")"),"")</f>
        <v/>
      </c>
      <c r="P37" s="21" t="str">
        <f>IFERROR(__xludf.DUMMYFUNCTION("IFERROR((GOOGLEFINANCE(C37, ""price"") / INDEX(GOOGLEFINANCE(C37, ""price"", EDATE(TODAY(), -12), TODAY()), 2, 2)) - 1, """")"),"")</f>
        <v/>
      </c>
      <c r="Q37" s="6" t="str">
        <f>IFERROR(__xludf.DUMMYFUNCTION("AVERAGE(QUERY(GOOGLEFINANCE(C37, ""price"", TODAY()-80, TODAY()), ""SELECT Col2 WHERE Col2 IS NOT NULL ORDER BY Col1 DESC LIMIT 50"", 0))"),"#N/A")</f>
        <v>#N/A</v>
      </c>
      <c r="R37" s="24" t="str">
        <f>IFERROR(__xludf.DUMMYFUNCTION("IFERROR(
  LET(
    data, QUERY(GOOGLEFINANCE(C37,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GOOGLEFINANCE(C37, ""price"")) * 100,
    IF(calc=0, G37, calc)
  ), 
G37)"),"#N/A")</f>
        <v>#N/A</v>
      </c>
      <c r="S37" s="8" t="s">
        <v>15</v>
      </c>
      <c r="T37" s="26" t="str">
        <f>IFERROR(__xludf.DUMMYFUNCTION("IFERROR(TRANSPOSE(QUERY(IFERROR(SORT(GOOGLEFINANCE(C37, ""price"", WORKDAY(TODAY(), -40), TODAY()), 1, FALSE)), ""select Col2 where Col2 is not null limit 22 label Col2 ''"", 0)), """")"),"")</f>
        <v/>
      </c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8"/>
      <c r="AO37" s="28"/>
      <c r="AP37" s="29"/>
      <c r="AQ37" s="29" t="str">
        <f t="shared" ref="AQ37:BL37" si="40">T37/T$2</f>
        <v>#N/A</v>
      </c>
      <c r="AR37" s="29" t="str">
        <f t="shared" si="40"/>
        <v>#DIV/0!</v>
      </c>
      <c r="AS37" s="29" t="str">
        <f t="shared" si="40"/>
        <v>#DIV/0!</v>
      </c>
      <c r="AT37" s="29" t="str">
        <f t="shared" si="40"/>
        <v>#DIV/0!</v>
      </c>
      <c r="AU37" s="29" t="str">
        <f t="shared" si="40"/>
        <v>#DIV/0!</v>
      </c>
      <c r="AV37" s="29" t="str">
        <f t="shared" si="40"/>
        <v>#DIV/0!</v>
      </c>
      <c r="AW37" s="29" t="str">
        <f t="shared" si="40"/>
        <v>#DIV/0!</v>
      </c>
      <c r="AX37" s="29" t="str">
        <f t="shared" si="40"/>
        <v>#DIV/0!</v>
      </c>
      <c r="AY37" s="29" t="str">
        <f t="shared" si="40"/>
        <v>#DIV/0!</v>
      </c>
      <c r="AZ37" s="29" t="str">
        <f t="shared" si="40"/>
        <v>#DIV/0!</v>
      </c>
      <c r="BA37" s="29" t="str">
        <f t="shared" si="40"/>
        <v>#DIV/0!</v>
      </c>
      <c r="BB37" s="29" t="str">
        <f t="shared" si="40"/>
        <v>#DIV/0!</v>
      </c>
      <c r="BC37" s="29" t="str">
        <f t="shared" si="40"/>
        <v>#DIV/0!</v>
      </c>
      <c r="BD37" s="29" t="str">
        <f t="shared" si="40"/>
        <v>#DIV/0!</v>
      </c>
      <c r="BE37" s="29" t="str">
        <f t="shared" si="40"/>
        <v>#DIV/0!</v>
      </c>
      <c r="BF37" s="29" t="str">
        <f t="shared" si="40"/>
        <v>#DIV/0!</v>
      </c>
      <c r="BG37" s="29" t="str">
        <f t="shared" si="40"/>
        <v>#DIV/0!</v>
      </c>
      <c r="BH37" s="29" t="str">
        <f t="shared" si="40"/>
        <v>#DIV/0!</v>
      </c>
      <c r="BI37" s="29" t="str">
        <f t="shared" si="40"/>
        <v>#DIV/0!</v>
      </c>
      <c r="BJ37" s="29" t="str">
        <f t="shared" si="40"/>
        <v>#DIV/0!</v>
      </c>
      <c r="BK37" s="29" t="str">
        <f t="shared" si="40"/>
        <v>#DIV/0!</v>
      </c>
      <c r="BL37" s="29" t="str">
        <f t="shared" si="40"/>
        <v>#DIV/0!</v>
      </c>
      <c r="BM37" s="29" t="str">
        <f t="shared" si="3"/>
        <v>#DIV/0!</v>
      </c>
    </row>
    <row r="38">
      <c r="A38" s="16" t="str">
        <f>IFERROR(__xludf.DUMMYFUNCTION("IFERROR(SPARKLINE(SORT(MAP(TRANSPOSE(AQ38:BL38), LAMBDA(val, IF(ISNUMBER(val), PERCENTRANK(AQ38:BL38, val)+0.01, 0))), SEQUENCE(COLUMNS(AQ38:BL38)), FALSE), {""charttype"",""column""; ""color"",""chartreuse""; ""ymin"", 0; ""ymax"", 1.01; ""highcolor"", "&amp;"""darkgreen""; ""lowcolor"", ""red""}), """")"),"")</f>
        <v/>
      </c>
      <c r="B38" s="17" t="str">
        <f t="shared" si="4"/>
        <v/>
      </c>
      <c r="C38" s="1" t="s">
        <v>244</v>
      </c>
      <c r="D38" s="30" t="str">
        <f>IFERROR(__xludf.DUMMYFUNCTION("IFERROR(GOOGLEFINANCE(C38, ""NAME""))"),"Dorman Products Inc")</f>
        <v>Dorman Products Inc</v>
      </c>
      <c r="E38" s="30" t="s">
        <v>109</v>
      </c>
      <c r="F38" s="33" t="str">
        <f>IFERROR(__xludf.DUMMYFUNCTION("( (GOOGLEFINANCE(C38, ""price"") - Q38) / Q38 ) / (R38 / 100)"),"Loading...")</f>
        <v>Loading...</v>
      </c>
      <c r="G38" s="20" t="str">
        <f>IFERROR(__xludf.DUMMYFUNCTION("AVERAGE(ARRAYFORMULA(100 * (QUERY(GOOGLEFINANCE(C38, ""high"", TODAY()-40, TODAY()), ""SELECT Col2 WHERE Col2 IS NOT NULL ORDER BY Col1 DESC LIMIT 20"", 0) / QUERY(GOOGLEFINANCE(C38, ""low"", TODAY()-40, TODAY()), ""SELECT Col2 WHERE Col2 IS NOT NULL ORDE"&amp;"R BY Col1 DESC LIMIT 20"", 0) - 1)))"),"#N/A")</f>
        <v>#N/A</v>
      </c>
      <c r="H38" s="35" t="str">
        <f t="shared" si="6"/>
        <v/>
      </c>
      <c r="I38" s="35" t="str">
        <f t="shared" si="7"/>
        <v/>
      </c>
      <c r="J38" s="37" t="str">
        <f>IFERROR(__xludf.DUMMYFUNCTION("IFERROR(
  IF(C38="""",, 
    IFERROR(
      GOOGLEFINANCE(C38, ""price"") * GOOGLEFINANCE(C38, ""volumeavg""), 
      GOOGLEFINANCE(C38, ""price"") * AVERAGE(QUERY(GOOGLEFINANCE(C38, ""volume"", TODAY()-40, TODAY()), ""SELECT Col2 WHERE Col2 IS NOT NULL "&amp;"ORDER BY Col1 DESC LIMIT 20"", 0))
    )
  ), 
"""")"),"")</f>
        <v/>
      </c>
      <c r="K38" s="21" t="str">
        <f>IFERROR(__xludf.DUMMYFUNCTION("IFERROR(GOOGLEFINANCE(C38, ""changepct"") / 100, """")"),"")</f>
        <v/>
      </c>
      <c r="L38" s="21" t="str">
        <f>IFERROR(__xludf.DUMMYFUNCTION("IFERROR((GOOGLEFINANCE(C38, ""price"") / INDEX(GOOGLEFINANCE(C38, ""price"", TODAY()-7, TODAY()), 2, 2)) - 1, """")"),"")</f>
        <v/>
      </c>
      <c r="M38" s="21" t="str">
        <f>IFERROR(__xludf.DUMMYFUNCTION("IFERROR((GOOGLEFINANCE(C38, ""price"") / INDEX(GOOGLEFINANCE(C38, ""price"", EDATE(TODAY(), -1), TODAY()), 2, 2)) - 1, """")"),"")</f>
        <v/>
      </c>
      <c r="N38" s="21" t="str">
        <f>IFERROR(__xludf.DUMMYFUNCTION("IFERROR((GOOGLEFINANCE(C38, ""price"") / INDEX(GOOGLEFINANCE(C38, ""price"", EDATE(TODAY(), -3), TODAY()), 2, 2)) - 1, """")"),"")</f>
        <v/>
      </c>
      <c r="O38" s="21" t="str">
        <f>IFERROR(__xludf.DUMMYFUNCTION("IFERROR((GOOGLEFINANCE(C38, ""price"") / INDEX(GOOGLEFINANCE(C38, ""price"", EDATE(TODAY(), -6), TODAY()), 2, 2)) - 1, """")"),"")</f>
        <v/>
      </c>
      <c r="P38" s="21" t="str">
        <f>IFERROR(__xludf.DUMMYFUNCTION("IFERROR((GOOGLEFINANCE(C38, ""price"") / INDEX(GOOGLEFINANCE(C38, ""price"", EDATE(TODAY(), -12), TODAY()), 2, 2)) - 1, """")"),"")</f>
        <v/>
      </c>
      <c r="Q38" s="6" t="str">
        <f>IFERROR(__xludf.DUMMYFUNCTION("AVERAGE(QUERY(GOOGLEFINANCE(C38, ""price"", TODAY()-80, TODAY()), ""SELECT Col2 WHERE Col2 IS NOT NULL ORDER BY Col1 DESC LIMIT 50"", 0))"),"#N/A")</f>
        <v>#N/A</v>
      </c>
      <c r="R38" s="24" t="str">
        <f>IFERROR(__xludf.DUMMYFUNCTION("IFERROR(
  LET(
    data, QUERY(GOOGLEFINANCE(C38,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GOOGLEFINANCE(C38, ""price"")) * 100,
    IF(calc=0, G38, calc)
  ), 
G38)"),"#N/A")</f>
        <v>#N/A</v>
      </c>
      <c r="S38" s="8" t="s">
        <v>15</v>
      </c>
      <c r="T38" s="26" t="str">
        <f>IFERROR(__xludf.DUMMYFUNCTION("IFERROR(TRANSPOSE(QUERY(IFERROR(SORT(GOOGLEFINANCE(C38, ""price"", WORKDAY(TODAY(), -40), TODAY()), 1, FALSE)), ""select Col2 where Col2 is not null limit 22 label Col2 ''"", 0)), """")"),"")</f>
        <v/>
      </c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8"/>
      <c r="AO38" s="28"/>
      <c r="AP38" s="29"/>
      <c r="AQ38" s="29" t="str">
        <f t="shared" ref="AQ38:BL38" si="41">T38/T$2</f>
        <v>#N/A</v>
      </c>
      <c r="AR38" s="29" t="str">
        <f t="shared" si="41"/>
        <v>#DIV/0!</v>
      </c>
      <c r="AS38" s="29" t="str">
        <f t="shared" si="41"/>
        <v>#DIV/0!</v>
      </c>
      <c r="AT38" s="29" t="str">
        <f t="shared" si="41"/>
        <v>#DIV/0!</v>
      </c>
      <c r="AU38" s="29" t="str">
        <f t="shared" si="41"/>
        <v>#DIV/0!</v>
      </c>
      <c r="AV38" s="29" t="str">
        <f t="shared" si="41"/>
        <v>#DIV/0!</v>
      </c>
      <c r="AW38" s="29" t="str">
        <f t="shared" si="41"/>
        <v>#DIV/0!</v>
      </c>
      <c r="AX38" s="29" t="str">
        <f t="shared" si="41"/>
        <v>#DIV/0!</v>
      </c>
      <c r="AY38" s="29" t="str">
        <f t="shared" si="41"/>
        <v>#DIV/0!</v>
      </c>
      <c r="AZ38" s="29" t="str">
        <f t="shared" si="41"/>
        <v>#DIV/0!</v>
      </c>
      <c r="BA38" s="29" t="str">
        <f t="shared" si="41"/>
        <v>#DIV/0!</v>
      </c>
      <c r="BB38" s="29" t="str">
        <f t="shared" si="41"/>
        <v>#DIV/0!</v>
      </c>
      <c r="BC38" s="29" t="str">
        <f t="shared" si="41"/>
        <v>#DIV/0!</v>
      </c>
      <c r="BD38" s="29" t="str">
        <f t="shared" si="41"/>
        <v>#DIV/0!</v>
      </c>
      <c r="BE38" s="29" t="str">
        <f t="shared" si="41"/>
        <v>#DIV/0!</v>
      </c>
      <c r="BF38" s="29" t="str">
        <f t="shared" si="41"/>
        <v>#DIV/0!</v>
      </c>
      <c r="BG38" s="29" t="str">
        <f t="shared" si="41"/>
        <v>#DIV/0!</v>
      </c>
      <c r="BH38" s="29" t="str">
        <f t="shared" si="41"/>
        <v>#DIV/0!</v>
      </c>
      <c r="BI38" s="29" t="str">
        <f t="shared" si="41"/>
        <v>#DIV/0!</v>
      </c>
      <c r="BJ38" s="29" t="str">
        <f t="shared" si="41"/>
        <v>#DIV/0!</v>
      </c>
      <c r="BK38" s="29" t="str">
        <f t="shared" si="41"/>
        <v>#DIV/0!</v>
      </c>
      <c r="BL38" s="29" t="str">
        <f t="shared" si="41"/>
        <v>#DIV/0!</v>
      </c>
      <c r="BM38" s="29" t="str">
        <f t="shared" si="3"/>
        <v>#DIV/0!</v>
      </c>
    </row>
    <row r="39">
      <c r="A39" s="16" t="str">
        <f>IFERROR(__xludf.DUMMYFUNCTION("IFERROR(SPARKLINE(SORT(MAP(TRANSPOSE(AQ39:BL39), LAMBDA(val, IF(ISNUMBER(val), PERCENTRANK(AQ39:BL39, val)+0.01, 0))), SEQUENCE(COLUMNS(AQ39:BL39)), FALSE), {""charttype"",""column""; ""color"",""chartreuse""; ""ymin"", 0; ""ymax"", 1.01; ""highcolor"", "&amp;"""darkgreen""; ""lowcolor"", ""red""}), """")"),"")</f>
        <v/>
      </c>
      <c r="B39" s="17" t="str">
        <f t="shared" si="4"/>
        <v/>
      </c>
      <c r="C39" s="1" t="s">
        <v>246</v>
      </c>
      <c r="D39" s="30" t="str">
        <f>IFERROR(__xludf.DUMMYFUNCTION("IFERROR(GOOGLEFINANCE(C39, ""NAME""))"),"American Express Global Business Travel")</f>
        <v>American Express Global Business Travel</v>
      </c>
      <c r="E39" s="30" t="s">
        <v>248</v>
      </c>
      <c r="F39" s="33" t="str">
        <f>IFERROR(__xludf.DUMMYFUNCTION("( (GOOGLEFINANCE(C39, ""price"") - Q39) / Q39 ) / (R39 / 100)"),"Loading...")</f>
        <v>Loading...</v>
      </c>
      <c r="G39" s="20" t="str">
        <f>IFERROR(__xludf.DUMMYFUNCTION("AVERAGE(ARRAYFORMULA(100 * (QUERY(GOOGLEFINANCE(C39, ""high"", TODAY()-40, TODAY()), ""SELECT Col2 WHERE Col2 IS NOT NULL ORDER BY Col1 DESC LIMIT 20"", 0) / QUERY(GOOGLEFINANCE(C39, ""low"", TODAY()-40, TODAY()), ""SELECT Col2 WHERE Col2 IS NOT NULL ORDE"&amp;"R BY Col1 DESC LIMIT 20"", 0) - 1)))"),"#N/A")</f>
        <v>#N/A</v>
      </c>
      <c r="H39" s="35" t="str">
        <f t="shared" si="6"/>
        <v/>
      </c>
      <c r="I39" s="35" t="str">
        <f t="shared" si="7"/>
        <v/>
      </c>
      <c r="J39" s="37" t="str">
        <f>IFERROR(__xludf.DUMMYFUNCTION("IFERROR(
  IF(C39="""",, 
    IFERROR(
      GOOGLEFINANCE(C39, ""price"") * GOOGLEFINANCE(C39, ""volumeavg""), 
      GOOGLEFINANCE(C39, ""price"") * AVERAGE(QUERY(GOOGLEFINANCE(C39, ""volume"", TODAY()-40, TODAY()), ""SELECT Col2 WHERE Col2 IS NOT NULL "&amp;"ORDER BY Col1 DESC LIMIT 20"", 0))
    )
  ), 
"""")"),"")</f>
        <v/>
      </c>
      <c r="K39" s="21" t="str">
        <f>IFERROR(__xludf.DUMMYFUNCTION("IFERROR(GOOGLEFINANCE(C39, ""changepct"") / 100, """")"),"")</f>
        <v/>
      </c>
      <c r="L39" s="21" t="str">
        <f>IFERROR(__xludf.DUMMYFUNCTION("IFERROR((GOOGLEFINANCE(C39, ""price"") / INDEX(GOOGLEFINANCE(C39, ""price"", TODAY()-7, TODAY()), 2, 2)) - 1, """")"),"")</f>
        <v/>
      </c>
      <c r="M39" s="21" t="str">
        <f>IFERROR(__xludf.DUMMYFUNCTION("IFERROR((GOOGLEFINANCE(C39, ""price"") / INDEX(GOOGLEFINANCE(C39, ""price"", EDATE(TODAY(), -1), TODAY()), 2, 2)) - 1, """")"),"")</f>
        <v/>
      </c>
      <c r="N39" s="21" t="str">
        <f>IFERROR(__xludf.DUMMYFUNCTION("IFERROR((GOOGLEFINANCE(C39, ""price"") / INDEX(GOOGLEFINANCE(C39, ""price"", EDATE(TODAY(), -3), TODAY()), 2, 2)) - 1, """")"),"")</f>
        <v/>
      </c>
      <c r="O39" s="21" t="str">
        <f>IFERROR(__xludf.DUMMYFUNCTION("IFERROR((GOOGLEFINANCE(C39, ""price"") / INDEX(GOOGLEFINANCE(C39, ""price"", EDATE(TODAY(), -6), TODAY()), 2, 2)) - 1, """")"),"")</f>
        <v/>
      </c>
      <c r="P39" s="21" t="str">
        <f>IFERROR(__xludf.DUMMYFUNCTION("IFERROR((GOOGLEFINANCE(C39, ""price"") / INDEX(GOOGLEFINANCE(C39, ""price"", EDATE(TODAY(), -12), TODAY()), 2, 2)) - 1, """")"),"")</f>
        <v/>
      </c>
      <c r="Q39" s="6" t="str">
        <f>IFERROR(__xludf.DUMMYFUNCTION("AVERAGE(QUERY(GOOGLEFINANCE(C39, ""price"", TODAY()-80, TODAY()), ""SELECT Col2 WHERE Col2 IS NOT NULL ORDER BY Col1 DESC LIMIT 50"", 0))"),"#N/A")</f>
        <v>#N/A</v>
      </c>
      <c r="R39" s="24" t="str">
        <f>IFERROR(__xludf.DUMMYFUNCTION("IFERROR(
  LET(
    data, QUERY(GOOGLEFINANCE(C39,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GOOGLEFINANCE(C39, ""price"")) * 100,
    IF(calc=0, G39, calc)
  ), 
G39)"),"#N/A")</f>
        <v>#N/A</v>
      </c>
      <c r="S39" s="8" t="s">
        <v>15</v>
      </c>
      <c r="T39" s="26" t="str">
        <f>IFERROR(__xludf.DUMMYFUNCTION("IFERROR(TRANSPOSE(QUERY(IFERROR(SORT(GOOGLEFINANCE(C39, ""price"", WORKDAY(TODAY(), -40), TODAY()), 1, FALSE)), ""select Col2 where Col2 is not null limit 22 label Col2 ''"", 0)), """")"),"")</f>
        <v/>
      </c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8"/>
      <c r="AO39" s="28"/>
      <c r="AP39" s="29"/>
      <c r="AQ39" s="29" t="str">
        <f t="shared" ref="AQ39:BL39" si="42">T39/T$2</f>
        <v>#N/A</v>
      </c>
      <c r="AR39" s="29" t="str">
        <f t="shared" si="42"/>
        <v>#DIV/0!</v>
      </c>
      <c r="AS39" s="29" t="str">
        <f t="shared" si="42"/>
        <v>#DIV/0!</v>
      </c>
      <c r="AT39" s="29" t="str">
        <f t="shared" si="42"/>
        <v>#DIV/0!</v>
      </c>
      <c r="AU39" s="29" t="str">
        <f t="shared" si="42"/>
        <v>#DIV/0!</v>
      </c>
      <c r="AV39" s="29" t="str">
        <f t="shared" si="42"/>
        <v>#DIV/0!</v>
      </c>
      <c r="AW39" s="29" t="str">
        <f t="shared" si="42"/>
        <v>#DIV/0!</v>
      </c>
      <c r="AX39" s="29" t="str">
        <f t="shared" si="42"/>
        <v>#DIV/0!</v>
      </c>
      <c r="AY39" s="29" t="str">
        <f t="shared" si="42"/>
        <v>#DIV/0!</v>
      </c>
      <c r="AZ39" s="29" t="str">
        <f t="shared" si="42"/>
        <v>#DIV/0!</v>
      </c>
      <c r="BA39" s="29" t="str">
        <f t="shared" si="42"/>
        <v>#DIV/0!</v>
      </c>
      <c r="BB39" s="29" t="str">
        <f t="shared" si="42"/>
        <v>#DIV/0!</v>
      </c>
      <c r="BC39" s="29" t="str">
        <f t="shared" si="42"/>
        <v>#DIV/0!</v>
      </c>
      <c r="BD39" s="29" t="str">
        <f t="shared" si="42"/>
        <v>#DIV/0!</v>
      </c>
      <c r="BE39" s="29" t="str">
        <f t="shared" si="42"/>
        <v>#DIV/0!</v>
      </c>
      <c r="BF39" s="29" t="str">
        <f t="shared" si="42"/>
        <v>#DIV/0!</v>
      </c>
      <c r="BG39" s="29" t="str">
        <f t="shared" si="42"/>
        <v>#DIV/0!</v>
      </c>
      <c r="BH39" s="29" t="str">
        <f t="shared" si="42"/>
        <v>#DIV/0!</v>
      </c>
      <c r="BI39" s="29" t="str">
        <f t="shared" si="42"/>
        <v>#DIV/0!</v>
      </c>
      <c r="BJ39" s="29" t="str">
        <f t="shared" si="42"/>
        <v>#DIV/0!</v>
      </c>
      <c r="BK39" s="29" t="str">
        <f t="shared" si="42"/>
        <v>#DIV/0!</v>
      </c>
      <c r="BL39" s="29" t="str">
        <f t="shared" si="42"/>
        <v>#DIV/0!</v>
      </c>
      <c r="BM39" s="29" t="str">
        <f t="shared" si="3"/>
        <v>#DIV/0!</v>
      </c>
    </row>
    <row r="40">
      <c r="A40" s="16" t="str">
        <f>IFERROR(__xludf.DUMMYFUNCTION("IFERROR(SPARKLINE(SORT(MAP(TRANSPOSE(AQ40:BL40), LAMBDA(val, IF(ISNUMBER(val), PERCENTRANK(AQ40:BL40, val)+0.01, 0))), SEQUENCE(COLUMNS(AQ40:BL40)), FALSE), {""charttype"",""column""; ""color"",""chartreuse""; ""ymin"", 0; ""ymax"", 1.01; ""highcolor"", "&amp;"""darkgreen""; ""lowcolor"", ""red""}), """")"),"")</f>
        <v/>
      </c>
      <c r="B40" s="17" t="str">
        <f t="shared" si="4"/>
        <v/>
      </c>
      <c r="C40" s="1" t="s">
        <v>249</v>
      </c>
      <c r="D40" s="30" t="str">
        <f>IFERROR(__xludf.DUMMYFUNCTION("IFERROR(GOOGLEFINANCE(C40, ""NAME""))"),"Sonic Automotive Inc")</f>
        <v>Sonic Automotive Inc</v>
      </c>
      <c r="E40" s="30" t="s">
        <v>190</v>
      </c>
      <c r="F40" s="33" t="str">
        <f>IFERROR(__xludf.DUMMYFUNCTION("( (GOOGLEFINANCE(C40, ""price"") - Q40) / Q40 ) / (R40 / 100)"),"Loading...")</f>
        <v>Loading...</v>
      </c>
      <c r="G40" s="20" t="str">
        <f>IFERROR(__xludf.DUMMYFUNCTION("AVERAGE(ARRAYFORMULA(100 * (QUERY(GOOGLEFINANCE(C40, ""high"", TODAY()-40, TODAY()), ""SELECT Col2 WHERE Col2 IS NOT NULL ORDER BY Col1 DESC LIMIT 20"", 0) / QUERY(GOOGLEFINANCE(C40, ""low"", TODAY()-40, TODAY()), ""SELECT Col2 WHERE Col2 IS NOT NULL ORDE"&amp;"R BY Col1 DESC LIMIT 20"", 0) - 1)))"),"#N/A")</f>
        <v>#N/A</v>
      </c>
      <c r="H40" s="35" t="str">
        <f t="shared" si="6"/>
        <v/>
      </c>
      <c r="I40" s="35" t="str">
        <f t="shared" si="7"/>
        <v/>
      </c>
      <c r="J40" s="37" t="str">
        <f>IFERROR(__xludf.DUMMYFUNCTION("IFERROR(
  IF(C40="""",, 
    IFERROR(
      GOOGLEFINANCE(C40, ""price"") * GOOGLEFINANCE(C40, ""volumeavg""), 
      GOOGLEFINANCE(C40, ""price"") * AVERAGE(QUERY(GOOGLEFINANCE(C40, ""volume"", TODAY()-40, TODAY()), ""SELECT Col2 WHERE Col2 IS NOT NULL "&amp;"ORDER BY Col1 DESC LIMIT 20"", 0))
    )
  ), 
"""")"),"")</f>
        <v/>
      </c>
      <c r="K40" s="21" t="str">
        <f>IFERROR(__xludf.DUMMYFUNCTION("IFERROR(GOOGLEFINANCE(C40, ""changepct"") / 100, """")"),"")</f>
        <v/>
      </c>
      <c r="L40" s="21" t="str">
        <f>IFERROR(__xludf.DUMMYFUNCTION("IFERROR((GOOGLEFINANCE(C40, ""price"") / INDEX(GOOGLEFINANCE(C40, ""price"", TODAY()-7, TODAY()), 2, 2)) - 1, """")"),"")</f>
        <v/>
      </c>
      <c r="M40" s="21" t="str">
        <f>IFERROR(__xludf.DUMMYFUNCTION("IFERROR((GOOGLEFINANCE(C40, ""price"") / INDEX(GOOGLEFINANCE(C40, ""price"", EDATE(TODAY(), -1), TODAY()), 2, 2)) - 1, """")"),"")</f>
        <v/>
      </c>
      <c r="N40" s="21" t="str">
        <f>IFERROR(__xludf.DUMMYFUNCTION("IFERROR((GOOGLEFINANCE(C40, ""price"") / INDEX(GOOGLEFINANCE(C40, ""price"", EDATE(TODAY(), -3), TODAY()), 2, 2)) - 1, """")"),"")</f>
        <v/>
      </c>
      <c r="O40" s="21" t="str">
        <f>IFERROR(__xludf.DUMMYFUNCTION("IFERROR((GOOGLEFINANCE(C40, ""price"") / INDEX(GOOGLEFINANCE(C40, ""price"", EDATE(TODAY(), -6), TODAY()), 2, 2)) - 1, """")"),"")</f>
        <v/>
      </c>
      <c r="P40" s="21" t="str">
        <f>IFERROR(__xludf.DUMMYFUNCTION("IFERROR((GOOGLEFINANCE(C40, ""price"") / INDEX(GOOGLEFINANCE(C40, ""price"", EDATE(TODAY(), -12), TODAY()), 2, 2)) - 1, """")"),"")</f>
        <v/>
      </c>
      <c r="Q40" s="6" t="str">
        <f>IFERROR(__xludf.DUMMYFUNCTION("AVERAGE(QUERY(GOOGLEFINANCE(C40, ""price"", TODAY()-80, TODAY()), ""SELECT Col2 WHERE Col2 IS NOT NULL ORDER BY Col1 DESC LIMIT 50"", 0))"),"#N/A")</f>
        <v>#N/A</v>
      </c>
      <c r="R40" s="24" t="str">
        <f>IFERROR(__xludf.DUMMYFUNCTION("IFERROR(
  LET(
    data, QUERY(GOOGLEFINANCE(C40,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GOOGLEFINANCE(C40, ""price"")) * 100,
    IF(calc=0, G40, calc)
  ), 
G40)"),"#N/A")</f>
        <v>#N/A</v>
      </c>
      <c r="S40" s="8" t="s">
        <v>15</v>
      </c>
      <c r="T40" s="26" t="str">
        <f>IFERROR(__xludf.DUMMYFUNCTION("IFERROR(TRANSPOSE(QUERY(IFERROR(SORT(GOOGLEFINANCE(C40, ""price"", WORKDAY(TODAY(), -40), TODAY()), 1, FALSE)), ""select Col2 where Col2 is not null limit 22 label Col2 ''"", 0)), """")"),"")</f>
        <v/>
      </c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8"/>
      <c r="AO40" s="28"/>
      <c r="AP40" s="29"/>
      <c r="AQ40" s="29" t="str">
        <f t="shared" ref="AQ40:BL40" si="43">T40/T$2</f>
        <v>#N/A</v>
      </c>
      <c r="AR40" s="29" t="str">
        <f t="shared" si="43"/>
        <v>#DIV/0!</v>
      </c>
      <c r="AS40" s="29" t="str">
        <f t="shared" si="43"/>
        <v>#DIV/0!</v>
      </c>
      <c r="AT40" s="29" t="str">
        <f t="shared" si="43"/>
        <v>#DIV/0!</v>
      </c>
      <c r="AU40" s="29" t="str">
        <f t="shared" si="43"/>
        <v>#DIV/0!</v>
      </c>
      <c r="AV40" s="29" t="str">
        <f t="shared" si="43"/>
        <v>#DIV/0!</v>
      </c>
      <c r="AW40" s="29" t="str">
        <f t="shared" si="43"/>
        <v>#DIV/0!</v>
      </c>
      <c r="AX40" s="29" t="str">
        <f t="shared" si="43"/>
        <v>#DIV/0!</v>
      </c>
      <c r="AY40" s="29" t="str">
        <f t="shared" si="43"/>
        <v>#DIV/0!</v>
      </c>
      <c r="AZ40" s="29" t="str">
        <f t="shared" si="43"/>
        <v>#DIV/0!</v>
      </c>
      <c r="BA40" s="29" t="str">
        <f t="shared" si="43"/>
        <v>#DIV/0!</v>
      </c>
      <c r="BB40" s="29" t="str">
        <f t="shared" si="43"/>
        <v>#DIV/0!</v>
      </c>
      <c r="BC40" s="29" t="str">
        <f t="shared" si="43"/>
        <v>#DIV/0!</v>
      </c>
      <c r="BD40" s="29" t="str">
        <f t="shared" si="43"/>
        <v>#DIV/0!</v>
      </c>
      <c r="BE40" s="29" t="str">
        <f t="shared" si="43"/>
        <v>#DIV/0!</v>
      </c>
      <c r="BF40" s="29" t="str">
        <f t="shared" si="43"/>
        <v>#DIV/0!</v>
      </c>
      <c r="BG40" s="29" t="str">
        <f t="shared" si="43"/>
        <v>#DIV/0!</v>
      </c>
      <c r="BH40" s="29" t="str">
        <f t="shared" si="43"/>
        <v>#DIV/0!</v>
      </c>
      <c r="BI40" s="29" t="str">
        <f t="shared" si="43"/>
        <v>#DIV/0!</v>
      </c>
      <c r="BJ40" s="29" t="str">
        <f t="shared" si="43"/>
        <v>#DIV/0!</v>
      </c>
      <c r="BK40" s="29" t="str">
        <f t="shared" si="43"/>
        <v>#DIV/0!</v>
      </c>
      <c r="BL40" s="29" t="str">
        <f t="shared" si="43"/>
        <v>#DIV/0!</v>
      </c>
      <c r="BM40" s="29" t="str">
        <f t="shared" si="3"/>
        <v>#DIV/0!</v>
      </c>
    </row>
    <row r="41">
      <c r="A41" s="16" t="str">
        <f>IFERROR(__xludf.DUMMYFUNCTION("IFERROR(SPARKLINE(SORT(MAP(TRANSPOSE(AQ41:BL41), LAMBDA(val, IF(ISNUMBER(val), PERCENTRANK(AQ41:BL41, val)+0.01, 0))), SEQUENCE(COLUMNS(AQ41:BL41)), FALSE), {""charttype"",""column""; ""color"",""chartreuse""; ""ymin"", 0; ""ymax"", 1.01; ""highcolor"", "&amp;"""darkgreen""; ""lowcolor"", ""red""}), """")"),"")</f>
        <v/>
      </c>
      <c r="B41" s="17" t="str">
        <f t="shared" si="4"/>
        <v/>
      </c>
      <c r="C41" s="1" t="s">
        <v>252</v>
      </c>
      <c r="D41" s="30" t="str">
        <f>IFERROR(__xludf.DUMMYFUNCTION("IFERROR(GOOGLEFINANCE(C41, ""NAME""))"),"Polestar Automotive Holding Uk Plc")</f>
        <v>Polestar Automotive Holding Uk Plc</v>
      </c>
      <c r="E41" s="30" t="s">
        <v>129</v>
      </c>
      <c r="F41" s="33" t="str">
        <f>IFERROR(__xludf.DUMMYFUNCTION("( (GOOGLEFINANCE(C41, ""price"") - Q41) / Q41 ) / (R41 / 100)"),"Loading...")</f>
        <v>Loading...</v>
      </c>
      <c r="G41" s="20" t="str">
        <f>IFERROR(__xludf.DUMMYFUNCTION("AVERAGE(ARRAYFORMULA(100 * (QUERY(GOOGLEFINANCE(C41, ""high"", TODAY()-40, TODAY()), ""SELECT Col2 WHERE Col2 IS NOT NULL ORDER BY Col1 DESC LIMIT 20"", 0) / QUERY(GOOGLEFINANCE(C41, ""low"", TODAY()-40, TODAY()), ""SELECT Col2 WHERE Col2 IS NOT NULL ORDE"&amp;"R BY Col1 DESC LIMIT 20"", 0) - 1)))"),"#N/A")</f>
        <v>#N/A</v>
      </c>
      <c r="H41" s="35" t="str">
        <f t="shared" si="6"/>
        <v/>
      </c>
      <c r="I41" s="35" t="str">
        <f t="shared" si="7"/>
        <v/>
      </c>
      <c r="J41" s="37" t="str">
        <f>IFERROR(__xludf.DUMMYFUNCTION("IFERROR(
  IF(C41="""",, 
    IFERROR(
      GOOGLEFINANCE(C41, ""price"") * GOOGLEFINANCE(C41, ""volumeavg""), 
      GOOGLEFINANCE(C41, ""price"") * AVERAGE(QUERY(GOOGLEFINANCE(C41, ""volume"", TODAY()-40, TODAY()), ""SELECT Col2 WHERE Col2 IS NOT NULL "&amp;"ORDER BY Col1 DESC LIMIT 20"", 0))
    )
  ), 
"""")"),"")</f>
        <v/>
      </c>
      <c r="K41" s="21" t="str">
        <f>IFERROR(__xludf.DUMMYFUNCTION("IFERROR(GOOGLEFINANCE(C41, ""changepct"") / 100, """")"),"")</f>
        <v/>
      </c>
      <c r="L41" s="21" t="str">
        <f>IFERROR(__xludf.DUMMYFUNCTION("IFERROR((GOOGLEFINANCE(C41, ""price"") / INDEX(GOOGLEFINANCE(C41, ""price"", TODAY()-7, TODAY()), 2, 2)) - 1, """")"),"")</f>
        <v/>
      </c>
      <c r="M41" s="21" t="str">
        <f>IFERROR(__xludf.DUMMYFUNCTION("IFERROR((GOOGLEFINANCE(C41, ""price"") / INDEX(GOOGLEFINANCE(C41, ""price"", EDATE(TODAY(), -1), TODAY()), 2, 2)) - 1, """")"),"")</f>
        <v/>
      </c>
      <c r="N41" s="21" t="str">
        <f>IFERROR(__xludf.DUMMYFUNCTION("IFERROR((GOOGLEFINANCE(C41, ""price"") / INDEX(GOOGLEFINANCE(C41, ""price"", EDATE(TODAY(), -3), TODAY()), 2, 2)) - 1, """")"),"")</f>
        <v/>
      </c>
      <c r="O41" s="21" t="str">
        <f>IFERROR(__xludf.DUMMYFUNCTION("IFERROR((GOOGLEFINANCE(C41, ""price"") / INDEX(GOOGLEFINANCE(C41, ""price"", EDATE(TODAY(), -6), TODAY()), 2, 2)) - 1, """")"),"")</f>
        <v/>
      </c>
      <c r="P41" s="21" t="str">
        <f>IFERROR(__xludf.DUMMYFUNCTION("IFERROR((GOOGLEFINANCE(C41, ""price"") / INDEX(GOOGLEFINANCE(C41, ""price"", EDATE(TODAY(), -12), TODAY()), 2, 2)) - 1, """")"),"")</f>
        <v/>
      </c>
      <c r="Q41" s="6" t="str">
        <f>IFERROR(__xludf.DUMMYFUNCTION("AVERAGE(QUERY(GOOGLEFINANCE(C41, ""price"", TODAY()-80, TODAY()), ""SELECT Col2 WHERE Col2 IS NOT NULL ORDER BY Col1 DESC LIMIT 50"", 0))"),"#N/A")</f>
        <v>#N/A</v>
      </c>
      <c r="R41" s="24" t="str">
        <f>IFERROR(__xludf.DUMMYFUNCTION("IFERROR(
  LET(
    data, QUERY(GOOGLEFINANCE(C41,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GOOGLEFINANCE(C41, ""price"")) * 100,
    IF(calc=0, G41, calc)
  ), 
G41)"),"#N/A")</f>
        <v>#N/A</v>
      </c>
      <c r="S41" s="8" t="s">
        <v>15</v>
      </c>
      <c r="T41" s="26" t="str">
        <f>IFERROR(__xludf.DUMMYFUNCTION("IFERROR(TRANSPOSE(QUERY(IFERROR(SORT(GOOGLEFINANCE(C41, ""price"", WORKDAY(TODAY(), -40), TODAY()), 1, FALSE)), ""select Col2 where Col2 is not null limit 22 label Col2 ''"", 0)), """")"),"")</f>
        <v/>
      </c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8"/>
      <c r="AO41" s="28"/>
      <c r="AP41" s="29"/>
      <c r="AQ41" s="29" t="str">
        <f t="shared" ref="AQ41:BL41" si="44">T41/T$2</f>
        <v>#N/A</v>
      </c>
      <c r="AR41" s="29" t="str">
        <f t="shared" si="44"/>
        <v>#DIV/0!</v>
      </c>
      <c r="AS41" s="29" t="str">
        <f t="shared" si="44"/>
        <v>#DIV/0!</v>
      </c>
      <c r="AT41" s="29" t="str">
        <f t="shared" si="44"/>
        <v>#DIV/0!</v>
      </c>
      <c r="AU41" s="29" t="str">
        <f t="shared" si="44"/>
        <v>#DIV/0!</v>
      </c>
      <c r="AV41" s="29" t="str">
        <f t="shared" si="44"/>
        <v>#DIV/0!</v>
      </c>
      <c r="AW41" s="29" t="str">
        <f t="shared" si="44"/>
        <v>#DIV/0!</v>
      </c>
      <c r="AX41" s="29" t="str">
        <f t="shared" si="44"/>
        <v>#DIV/0!</v>
      </c>
      <c r="AY41" s="29" t="str">
        <f t="shared" si="44"/>
        <v>#DIV/0!</v>
      </c>
      <c r="AZ41" s="29" t="str">
        <f t="shared" si="44"/>
        <v>#DIV/0!</v>
      </c>
      <c r="BA41" s="29" t="str">
        <f t="shared" si="44"/>
        <v>#DIV/0!</v>
      </c>
      <c r="BB41" s="29" t="str">
        <f t="shared" si="44"/>
        <v>#DIV/0!</v>
      </c>
      <c r="BC41" s="29" t="str">
        <f t="shared" si="44"/>
        <v>#DIV/0!</v>
      </c>
      <c r="BD41" s="29" t="str">
        <f t="shared" si="44"/>
        <v>#DIV/0!</v>
      </c>
      <c r="BE41" s="29" t="str">
        <f t="shared" si="44"/>
        <v>#DIV/0!</v>
      </c>
      <c r="BF41" s="29" t="str">
        <f t="shared" si="44"/>
        <v>#DIV/0!</v>
      </c>
      <c r="BG41" s="29" t="str">
        <f t="shared" si="44"/>
        <v>#DIV/0!</v>
      </c>
      <c r="BH41" s="29" t="str">
        <f t="shared" si="44"/>
        <v>#DIV/0!</v>
      </c>
      <c r="BI41" s="29" t="str">
        <f t="shared" si="44"/>
        <v>#DIV/0!</v>
      </c>
      <c r="BJ41" s="29" t="str">
        <f t="shared" si="44"/>
        <v>#DIV/0!</v>
      </c>
      <c r="BK41" s="29" t="str">
        <f t="shared" si="44"/>
        <v>#DIV/0!</v>
      </c>
      <c r="BL41" s="29" t="str">
        <f t="shared" si="44"/>
        <v>#DIV/0!</v>
      </c>
      <c r="BM41" s="29" t="str">
        <f t="shared" si="3"/>
        <v>#DIV/0!</v>
      </c>
    </row>
    <row r="42">
      <c r="A42" s="16" t="str">
        <f>IFERROR(__xludf.DUMMYFUNCTION("IFERROR(SPARKLINE(SORT(MAP(TRANSPOSE(AQ42:BL42), LAMBDA(val, IF(ISNUMBER(val), PERCENTRANK(AQ42:BL42, val)+0.01, 0))), SEQUENCE(COLUMNS(AQ42:BL42)), FALSE), {""charttype"",""column""; ""color"",""chartreuse""; ""ymin"", 0; ""ymax"", 1.01; ""highcolor"", "&amp;"""darkgreen""; ""lowcolor"", ""red""}), """")"),"")</f>
        <v/>
      </c>
      <c r="B42" s="17" t="str">
        <f t="shared" si="4"/>
        <v/>
      </c>
      <c r="C42" s="1" t="s">
        <v>254</v>
      </c>
      <c r="D42" s="30" t="str">
        <f>IFERROR(__xludf.DUMMYFUNCTION("IFERROR(GOOGLEFINANCE(C42, ""NAME""))"),"Starbucks Corp")</f>
        <v>Starbucks Corp</v>
      </c>
      <c r="E42" s="30" t="s">
        <v>126</v>
      </c>
      <c r="F42" s="38" t="str">
        <f>IFERROR(__xludf.DUMMYFUNCTION("( (GOOGLEFINANCE(C42, ""price"") - Q42) / Q42 ) / (R42 / 100)"),"Loading...")</f>
        <v>Loading...</v>
      </c>
      <c r="G42" s="20" t="str">
        <f>IFERROR(__xludf.DUMMYFUNCTION("AVERAGE(ARRAYFORMULA(100 * (QUERY(GOOGLEFINANCE(C42, ""high"", TODAY()-40, TODAY()), ""SELECT Col2 WHERE Col2 IS NOT NULL ORDER BY Col1 DESC LIMIT 20"", 0) / QUERY(GOOGLEFINANCE(C42, ""low"", TODAY()-40, TODAY()), ""SELECT Col2 WHERE Col2 IS NOT NULL ORDE"&amp;"R BY Col1 DESC LIMIT 20"", 0) - 1)))"),"#N/A")</f>
        <v>#N/A</v>
      </c>
      <c r="H42" s="35" t="str">
        <f t="shared" si="6"/>
        <v/>
      </c>
      <c r="I42" s="35" t="str">
        <f t="shared" si="7"/>
        <v/>
      </c>
      <c r="J42" s="37" t="str">
        <f>IFERROR(__xludf.DUMMYFUNCTION("IFERROR(
  IF(C42="""",, 
    IFERROR(
      GOOGLEFINANCE(C42, ""price"") * GOOGLEFINANCE(C42, ""volumeavg""), 
      GOOGLEFINANCE(C42, ""price"") * AVERAGE(QUERY(GOOGLEFINANCE(C42, ""volume"", TODAY()-40, TODAY()), ""SELECT Col2 WHERE Col2 IS NOT NULL "&amp;"ORDER BY Col1 DESC LIMIT 20"", 0))
    )
  ), 
"""")"),"")</f>
        <v/>
      </c>
      <c r="K42" s="21" t="str">
        <f>IFERROR(__xludf.DUMMYFUNCTION("IFERROR(GOOGLEFINANCE(C42, ""changepct"") / 100, """")"),"")</f>
        <v/>
      </c>
      <c r="L42" s="21" t="str">
        <f>IFERROR(__xludf.DUMMYFUNCTION("IFERROR((GOOGLEFINANCE(C42, ""price"") / INDEX(GOOGLEFINANCE(C42, ""price"", TODAY()-7, TODAY()), 2, 2)) - 1, """")"),"")</f>
        <v/>
      </c>
      <c r="M42" s="21" t="str">
        <f>IFERROR(__xludf.DUMMYFUNCTION("IFERROR((GOOGLEFINANCE(C42, ""price"") / INDEX(GOOGLEFINANCE(C42, ""price"", EDATE(TODAY(), -1), TODAY()), 2, 2)) - 1, """")"),"")</f>
        <v/>
      </c>
      <c r="N42" s="21" t="str">
        <f>IFERROR(__xludf.DUMMYFUNCTION("IFERROR((GOOGLEFINANCE(C42, ""price"") / INDEX(GOOGLEFINANCE(C42, ""price"", EDATE(TODAY(), -3), TODAY()), 2, 2)) - 1, """")"),"")</f>
        <v/>
      </c>
      <c r="O42" s="21" t="str">
        <f>IFERROR(__xludf.DUMMYFUNCTION("IFERROR((GOOGLEFINANCE(C42, ""price"") / INDEX(GOOGLEFINANCE(C42, ""price"", EDATE(TODAY(), -6), TODAY()), 2, 2)) - 1, """")"),"")</f>
        <v/>
      </c>
      <c r="P42" s="21" t="str">
        <f>IFERROR(__xludf.DUMMYFUNCTION("IFERROR((GOOGLEFINANCE(C42, ""price"") / INDEX(GOOGLEFINANCE(C42, ""price"", EDATE(TODAY(), -12), TODAY()), 2, 2)) - 1, """")"),"")</f>
        <v/>
      </c>
      <c r="Q42" s="6" t="str">
        <f>IFERROR(__xludf.DUMMYFUNCTION("AVERAGE(QUERY(GOOGLEFINANCE(C42, ""price"", TODAY()-80, TODAY()), ""SELECT Col2 WHERE Col2 IS NOT NULL ORDER BY Col1 DESC LIMIT 50"", 0))"),"#N/A")</f>
        <v>#N/A</v>
      </c>
      <c r="R42" s="24" t="str">
        <f>IFERROR(__xludf.DUMMYFUNCTION("IFERROR(
  LET(
    data, QUERY(GOOGLEFINANCE(C42,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GOOGLEFINANCE(C42, ""price"")) * 100,
    IF(calc=0, G42, calc)
  ), 
G42)"),"#N/A")</f>
        <v>#N/A</v>
      </c>
      <c r="S42" s="8" t="s">
        <v>15</v>
      </c>
      <c r="T42" s="26" t="str">
        <f>IFERROR(__xludf.DUMMYFUNCTION("IFERROR(TRANSPOSE(QUERY(IFERROR(SORT(GOOGLEFINANCE(C42, ""price"", WORKDAY(TODAY(), -40), TODAY()), 1, FALSE)), ""select Col2 where Col2 is not null limit 22 label Col2 ''"", 0)), """")"),"")</f>
        <v/>
      </c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8"/>
      <c r="AO42" s="28"/>
      <c r="AP42" s="29"/>
      <c r="AQ42" s="29" t="str">
        <f t="shared" ref="AQ42:BL42" si="45">T42/T$2</f>
        <v>#N/A</v>
      </c>
      <c r="AR42" s="29" t="str">
        <f t="shared" si="45"/>
        <v>#DIV/0!</v>
      </c>
      <c r="AS42" s="29" t="str">
        <f t="shared" si="45"/>
        <v>#DIV/0!</v>
      </c>
      <c r="AT42" s="29" t="str">
        <f t="shared" si="45"/>
        <v>#DIV/0!</v>
      </c>
      <c r="AU42" s="29" t="str">
        <f t="shared" si="45"/>
        <v>#DIV/0!</v>
      </c>
      <c r="AV42" s="29" t="str">
        <f t="shared" si="45"/>
        <v>#DIV/0!</v>
      </c>
      <c r="AW42" s="29" t="str">
        <f t="shared" si="45"/>
        <v>#DIV/0!</v>
      </c>
      <c r="AX42" s="29" t="str">
        <f t="shared" si="45"/>
        <v>#DIV/0!</v>
      </c>
      <c r="AY42" s="29" t="str">
        <f t="shared" si="45"/>
        <v>#DIV/0!</v>
      </c>
      <c r="AZ42" s="29" t="str">
        <f t="shared" si="45"/>
        <v>#DIV/0!</v>
      </c>
      <c r="BA42" s="29" t="str">
        <f t="shared" si="45"/>
        <v>#DIV/0!</v>
      </c>
      <c r="BB42" s="29" t="str">
        <f t="shared" si="45"/>
        <v>#DIV/0!</v>
      </c>
      <c r="BC42" s="29" t="str">
        <f t="shared" si="45"/>
        <v>#DIV/0!</v>
      </c>
      <c r="BD42" s="29" t="str">
        <f t="shared" si="45"/>
        <v>#DIV/0!</v>
      </c>
      <c r="BE42" s="29" t="str">
        <f t="shared" si="45"/>
        <v>#DIV/0!</v>
      </c>
      <c r="BF42" s="29" t="str">
        <f t="shared" si="45"/>
        <v>#DIV/0!</v>
      </c>
      <c r="BG42" s="29" t="str">
        <f t="shared" si="45"/>
        <v>#DIV/0!</v>
      </c>
      <c r="BH42" s="29" t="str">
        <f t="shared" si="45"/>
        <v>#DIV/0!</v>
      </c>
      <c r="BI42" s="29" t="str">
        <f t="shared" si="45"/>
        <v>#DIV/0!</v>
      </c>
      <c r="BJ42" s="29" t="str">
        <f t="shared" si="45"/>
        <v>#DIV/0!</v>
      </c>
      <c r="BK42" s="29" t="str">
        <f t="shared" si="45"/>
        <v>#DIV/0!</v>
      </c>
      <c r="BL42" s="29" t="str">
        <f t="shared" si="45"/>
        <v>#DIV/0!</v>
      </c>
      <c r="BM42" s="29" t="str">
        <f t="shared" si="3"/>
        <v>#DIV/0!</v>
      </c>
    </row>
    <row r="43">
      <c r="A43" s="16" t="str">
        <f>IFERROR(__xludf.DUMMYFUNCTION("IFERROR(SPARKLINE(SORT(MAP(TRANSPOSE(AQ43:BL43), LAMBDA(val, IF(ISNUMBER(val), PERCENTRANK(AQ43:BL43, val)+0.01, 0))), SEQUENCE(COLUMNS(AQ43:BL43)), FALSE), {""charttype"",""column""; ""color"",""chartreuse""; ""ymin"", 0; ""ymax"", 1.01; ""highcolor"", "&amp;"""darkgreen""; ""lowcolor"", ""red""}), """")"),"")</f>
        <v/>
      </c>
      <c r="B43" s="17" t="str">
        <f t="shared" si="4"/>
        <v/>
      </c>
      <c r="C43" s="1" t="s">
        <v>257</v>
      </c>
      <c r="D43" s="30" t="str">
        <f>IFERROR(__xludf.DUMMYFUNCTION("IFERROR(GOOGLEFINANCE(C43, ""NAME""))"),"InterContinental Hotels Group PLC")</f>
        <v>InterContinental Hotels Group PLC</v>
      </c>
      <c r="E43" s="30" t="s">
        <v>258</v>
      </c>
      <c r="F43" s="33" t="str">
        <f>IFERROR(__xludf.DUMMYFUNCTION("( (GOOGLEFINANCE(C43, ""price"") - Q43) / Q43 ) / (R43 / 100)"),"Loading...")</f>
        <v>Loading...</v>
      </c>
      <c r="G43" s="20" t="str">
        <f>IFERROR(__xludf.DUMMYFUNCTION("AVERAGE(ARRAYFORMULA(100 * (QUERY(GOOGLEFINANCE(C43, ""high"", TODAY()-40, TODAY()), ""SELECT Col2 WHERE Col2 IS NOT NULL ORDER BY Col1 DESC LIMIT 20"", 0) / QUERY(GOOGLEFINANCE(C43, ""low"", TODAY()-40, TODAY()), ""SELECT Col2 WHERE Col2 IS NOT NULL ORDE"&amp;"R BY Col1 DESC LIMIT 20"", 0) - 1)))"),"#N/A")</f>
        <v>#N/A</v>
      </c>
      <c r="H43" s="35" t="str">
        <f t="shared" si="6"/>
        <v/>
      </c>
      <c r="I43" s="35" t="str">
        <f t="shared" si="7"/>
        <v/>
      </c>
      <c r="J43" s="37" t="str">
        <f>IFERROR(__xludf.DUMMYFUNCTION("IFERROR(
  IF(C43="""",, 
    IFERROR(
      GOOGLEFINANCE(C43, ""price"") * GOOGLEFINANCE(C43, ""volumeavg""), 
      GOOGLEFINANCE(C43, ""price"") * AVERAGE(QUERY(GOOGLEFINANCE(C43, ""volume"", TODAY()-40, TODAY()), ""SELECT Col2 WHERE Col2 IS NOT NULL "&amp;"ORDER BY Col1 DESC LIMIT 20"", 0))
    )
  ), 
"""")"),"")</f>
        <v/>
      </c>
      <c r="K43" s="21" t="str">
        <f>IFERROR(__xludf.DUMMYFUNCTION("IFERROR(GOOGLEFINANCE(C43, ""changepct"") / 100, """")"),"")</f>
        <v/>
      </c>
      <c r="L43" s="21" t="str">
        <f>IFERROR(__xludf.DUMMYFUNCTION("IFERROR((GOOGLEFINANCE(C43, ""price"") / INDEX(GOOGLEFINANCE(C43, ""price"", TODAY()-7, TODAY()), 2, 2)) - 1, """")"),"")</f>
        <v/>
      </c>
      <c r="M43" s="21" t="str">
        <f>IFERROR(__xludf.DUMMYFUNCTION("IFERROR((GOOGLEFINANCE(C43, ""price"") / INDEX(GOOGLEFINANCE(C43, ""price"", EDATE(TODAY(), -1), TODAY()), 2, 2)) - 1, """")"),"")</f>
        <v/>
      </c>
      <c r="N43" s="21" t="str">
        <f>IFERROR(__xludf.DUMMYFUNCTION("IFERROR((GOOGLEFINANCE(C43, ""price"") / INDEX(GOOGLEFINANCE(C43, ""price"", EDATE(TODAY(), -3), TODAY()), 2, 2)) - 1, """")"),"")</f>
        <v/>
      </c>
      <c r="O43" s="21" t="str">
        <f>IFERROR(__xludf.DUMMYFUNCTION("IFERROR((GOOGLEFINANCE(C43, ""price"") / INDEX(GOOGLEFINANCE(C43, ""price"", EDATE(TODAY(), -6), TODAY()), 2, 2)) - 1, """")"),"")</f>
        <v/>
      </c>
      <c r="P43" s="21" t="str">
        <f>IFERROR(__xludf.DUMMYFUNCTION("IFERROR((GOOGLEFINANCE(C43, ""price"") / INDEX(GOOGLEFINANCE(C43, ""price"", EDATE(TODAY(), -12), TODAY()), 2, 2)) - 1, """")"),"")</f>
        <v/>
      </c>
      <c r="Q43" s="6" t="str">
        <f>IFERROR(__xludf.DUMMYFUNCTION("AVERAGE(QUERY(GOOGLEFINANCE(C43, ""price"", TODAY()-80, TODAY()), ""SELECT Col2 WHERE Col2 IS NOT NULL ORDER BY Col1 DESC LIMIT 50"", 0))"),"#N/A")</f>
        <v>#N/A</v>
      </c>
      <c r="R43" s="24" t="str">
        <f>IFERROR(__xludf.DUMMYFUNCTION("IFERROR(
  LET(
    data, QUERY(GOOGLEFINANCE(C43,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GOOGLEFINANCE(C43, ""price"")) * 100,
    IF(calc=0, G43, calc)
  ), 
G43)"),"#N/A")</f>
        <v>#N/A</v>
      </c>
      <c r="S43" s="8" t="s">
        <v>15</v>
      </c>
      <c r="T43" s="26" t="str">
        <f>IFERROR(__xludf.DUMMYFUNCTION("IFERROR(TRANSPOSE(QUERY(IFERROR(SORT(GOOGLEFINANCE(C43, ""price"", WORKDAY(TODAY(), -40), TODAY()), 1, FALSE)), ""select Col2 where Col2 is not null limit 22 label Col2 ''"", 0)), """")"),"")</f>
        <v/>
      </c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8"/>
      <c r="AO43" s="28"/>
      <c r="AP43" s="29"/>
      <c r="AQ43" s="29" t="str">
        <f t="shared" ref="AQ43:BL43" si="46">T43/T$2</f>
        <v>#N/A</v>
      </c>
      <c r="AR43" s="29" t="str">
        <f t="shared" si="46"/>
        <v>#DIV/0!</v>
      </c>
      <c r="AS43" s="29" t="str">
        <f t="shared" si="46"/>
        <v>#DIV/0!</v>
      </c>
      <c r="AT43" s="29" t="str">
        <f t="shared" si="46"/>
        <v>#DIV/0!</v>
      </c>
      <c r="AU43" s="29" t="str">
        <f t="shared" si="46"/>
        <v>#DIV/0!</v>
      </c>
      <c r="AV43" s="29" t="str">
        <f t="shared" si="46"/>
        <v>#DIV/0!</v>
      </c>
      <c r="AW43" s="29" t="str">
        <f t="shared" si="46"/>
        <v>#DIV/0!</v>
      </c>
      <c r="AX43" s="29" t="str">
        <f t="shared" si="46"/>
        <v>#DIV/0!</v>
      </c>
      <c r="AY43" s="29" t="str">
        <f t="shared" si="46"/>
        <v>#DIV/0!</v>
      </c>
      <c r="AZ43" s="29" t="str">
        <f t="shared" si="46"/>
        <v>#DIV/0!</v>
      </c>
      <c r="BA43" s="29" t="str">
        <f t="shared" si="46"/>
        <v>#DIV/0!</v>
      </c>
      <c r="BB43" s="29" t="str">
        <f t="shared" si="46"/>
        <v>#DIV/0!</v>
      </c>
      <c r="BC43" s="29" t="str">
        <f t="shared" si="46"/>
        <v>#DIV/0!</v>
      </c>
      <c r="BD43" s="29" t="str">
        <f t="shared" si="46"/>
        <v>#DIV/0!</v>
      </c>
      <c r="BE43" s="29" t="str">
        <f t="shared" si="46"/>
        <v>#DIV/0!</v>
      </c>
      <c r="BF43" s="29" t="str">
        <f t="shared" si="46"/>
        <v>#DIV/0!</v>
      </c>
      <c r="BG43" s="29" t="str">
        <f t="shared" si="46"/>
        <v>#DIV/0!</v>
      </c>
      <c r="BH43" s="29" t="str">
        <f t="shared" si="46"/>
        <v>#DIV/0!</v>
      </c>
      <c r="BI43" s="29" t="str">
        <f t="shared" si="46"/>
        <v>#DIV/0!</v>
      </c>
      <c r="BJ43" s="29" t="str">
        <f t="shared" si="46"/>
        <v>#DIV/0!</v>
      </c>
      <c r="BK43" s="29" t="str">
        <f t="shared" si="46"/>
        <v>#DIV/0!</v>
      </c>
      <c r="BL43" s="29" t="str">
        <f t="shared" si="46"/>
        <v>#DIV/0!</v>
      </c>
      <c r="BM43" s="29" t="str">
        <f t="shared" si="3"/>
        <v>#DIV/0!</v>
      </c>
    </row>
    <row r="44">
      <c r="A44" s="16" t="str">
        <f>IFERROR(__xludf.DUMMYFUNCTION("IFERROR(SPARKLINE(SORT(MAP(TRANSPOSE(AQ44:BL44), LAMBDA(val, IF(ISNUMBER(val), PERCENTRANK(AQ44:BL44, val)+0.01, 0))), SEQUENCE(COLUMNS(AQ44:BL44)), FALSE), {""charttype"",""column""; ""color"",""chartreuse""; ""ymin"", 0; ""ymax"", 1.01; ""highcolor"", "&amp;"""darkgreen""; ""lowcolor"", ""red""}), """")"),"")</f>
        <v/>
      </c>
      <c r="B44" s="17" t="str">
        <f t="shared" si="4"/>
        <v/>
      </c>
      <c r="C44" s="1" t="s">
        <v>260</v>
      </c>
      <c r="D44" s="30" t="str">
        <f>IFERROR(__xludf.DUMMYFUNCTION("IFERROR(GOOGLEFINANCE(C44, ""NAME""))"),"Beazer Homes USA Inc")</f>
        <v>Beazer Homes USA Inc</v>
      </c>
      <c r="E44" s="30" t="s">
        <v>261</v>
      </c>
      <c r="F44" s="33" t="str">
        <f>IFERROR(__xludf.DUMMYFUNCTION("( (GOOGLEFINANCE(C44, ""price"") - Q44) / Q44 ) / (R44 / 100)"),"Loading...")</f>
        <v>Loading...</v>
      </c>
      <c r="G44" s="20" t="str">
        <f>IFERROR(__xludf.DUMMYFUNCTION("AVERAGE(ARRAYFORMULA(100 * (QUERY(GOOGLEFINANCE(C44, ""high"", TODAY()-40, TODAY()), ""SELECT Col2 WHERE Col2 IS NOT NULL ORDER BY Col1 DESC LIMIT 20"", 0) / QUERY(GOOGLEFINANCE(C44, ""low"", TODAY()-40, TODAY()), ""SELECT Col2 WHERE Col2 IS NOT NULL ORDE"&amp;"R BY Col1 DESC LIMIT 20"", 0) - 1)))"),"#N/A")</f>
        <v>#N/A</v>
      </c>
      <c r="H44" s="35" t="str">
        <f t="shared" si="6"/>
        <v/>
      </c>
      <c r="I44" s="35" t="str">
        <f t="shared" si="7"/>
        <v/>
      </c>
      <c r="J44" s="37" t="str">
        <f>IFERROR(__xludf.DUMMYFUNCTION("IFERROR(
  IF(C44="""",, 
    IFERROR(
      GOOGLEFINANCE(C44, ""price"") * GOOGLEFINANCE(C44, ""volumeavg""), 
      GOOGLEFINANCE(C44, ""price"") * AVERAGE(QUERY(GOOGLEFINANCE(C44, ""volume"", TODAY()-40, TODAY()), ""SELECT Col2 WHERE Col2 IS NOT NULL "&amp;"ORDER BY Col1 DESC LIMIT 20"", 0))
    )
  ), 
"""")"),"")</f>
        <v/>
      </c>
      <c r="K44" s="21" t="str">
        <f>IFERROR(__xludf.DUMMYFUNCTION("IFERROR(GOOGLEFINANCE(C44, ""changepct"") / 100, """")"),"")</f>
        <v/>
      </c>
      <c r="L44" s="21" t="str">
        <f>IFERROR(__xludf.DUMMYFUNCTION("IFERROR((GOOGLEFINANCE(C44, ""price"") / INDEX(GOOGLEFINANCE(C44, ""price"", TODAY()-7, TODAY()), 2, 2)) - 1, """")"),"")</f>
        <v/>
      </c>
      <c r="M44" s="21" t="str">
        <f>IFERROR(__xludf.DUMMYFUNCTION("IFERROR((GOOGLEFINANCE(C44, ""price"") / INDEX(GOOGLEFINANCE(C44, ""price"", EDATE(TODAY(), -1), TODAY()), 2, 2)) - 1, """")"),"")</f>
        <v/>
      </c>
      <c r="N44" s="21" t="str">
        <f>IFERROR(__xludf.DUMMYFUNCTION("IFERROR((GOOGLEFINANCE(C44, ""price"") / INDEX(GOOGLEFINANCE(C44, ""price"", EDATE(TODAY(), -3), TODAY()), 2, 2)) - 1, """")"),"")</f>
        <v/>
      </c>
      <c r="O44" s="21" t="str">
        <f>IFERROR(__xludf.DUMMYFUNCTION("IFERROR((GOOGLEFINANCE(C44, ""price"") / INDEX(GOOGLEFINANCE(C44, ""price"", EDATE(TODAY(), -6), TODAY()), 2, 2)) - 1, """")"),"")</f>
        <v/>
      </c>
      <c r="P44" s="21" t="str">
        <f>IFERROR(__xludf.DUMMYFUNCTION("IFERROR((GOOGLEFINANCE(C44, ""price"") / INDEX(GOOGLEFINANCE(C44, ""price"", EDATE(TODAY(), -12), TODAY()), 2, 2)) - 1, """")"),"")</f>
        <v/>
      </c>
      <c r="Q44" s="6" t="str">
        <f>IFERROR(__xludf.DUMMYFUNCTION("AVERAGE(QUERY(GOOGLEFINANCE(C44, ""price"", TODAY()-80, TODAY()), ""SELECT Col2 WHERE Col2 IS NOT NULL ORDER BY Col1 DESC LIMIT 50"", 0))"),"#N/A")</f>
        <v>#N/A</v>
      </c>
      <c r="R44" s="24" t="str">
        <f>IFERROR(__xludf.DUMMYFUNCTION("IFERROR(
  LET(
    data, QUERY(GOOGLEFINANCE(C44,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GOOGLEFINANCE(C44, ""price"")) * 100,
    IF(calc=0, G44, calc)
  ), 
G44)"),"#N/A")</f>
        <v>#N/A</v>
      </c>
      <c r="S44" s="8" t="s">
        <v>15</v>
      </c>
      <c r="T44" s="26" t="str">
        <f>IFERROR(__xludf.DUMMYFUNCTION("IFERROR(TRANSPOSE(QUERY(IFERROR(SORT(GOOGLEFINANCE(C44, ""price"", WORKDAY(TODAY(), -40), TODAY()), 1, FALSE)), ""select Col2 where Col2 is not null limit 22 label Col2 ''"", 0)), """")"),"")</f>
        <v/>
      </c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8"/>
      <c r="AO44" s="28"/>
      <c r="AP44" s="29"/>
      <c r="AQ44" s="29" t="str">
        <f t="shared" ref="AQ44:BL44" si="47">T44/T$2</f>
        <v>#N/A</v>
      </c>
      <c r="AR44" s="29" t="str">
        <f t="shared" si="47"/>
        <v>#DIV/0!</v>
      </c>
      <c r="AS44" s="29" t="str">
        <f t="shared" si="47"/>
        <v>#DIV/0!</v>
      </c>
      <c r="AT44" s="29" t="str">
        <f t="shared" si="47"/>
        <v>#DIV/0!</v>
      </c>
      <c r="AU44" s="29" t="str">
        <f t="shared" si="47"/>
        <v>#DIV/0!</v>
      </c>
      <c r="AV44" s="29" t="str">
        <f t="shared" si="47"/>
        <v>#DIV/0!</v>
      </c>
      <c r="AW44" s="29" t="str">
        <f t="shared" si="47"/>
        <v>#DIV/0!</v>
      </c>
      <c r="AX44" s="29" t="str">
        <f t="shared" si="47"/>
        <v>#DIV/0!</v>
      </c>
      <c r="AY44" s="29" t="str">
        <f t="shared" si="47"/>
        <v>#DIV/0!</v>
      </c>
      <c r="AZ44" s="29" t="str">
        <f t="shared" si="47"/>
        <v>#DIV/0!</v>
      </c>
      <c r="BA44" s="29" t="str">
        <f t="shared" si="47"/>
        <v>#DIV/0!</v>
      </c>
      <c r="BB44" s="29" t="str">
        <f t="shared" si="47"/>
        <v>#DIV/0!</v>
      </c>
      <c r="BC44" s="29" t="str">
        <f t="shared" si="47"/>
        <v>#DIV/0!</v>
      </c>
      <c r="BD44" s="29" t="str">
        <f t="shared" si="47"/>
        <v>#DIV/0!</v>
      </c>
      <c r="BE44" s="29" t="str">
        <f t="shared" si="47"/>
        <v>#DIV/0!</v>
      </c>
      <c r="BF44" s="29" t="str">
        <f t="shared" si="47"/>
        <v>#DIV/0!</v>
      </c>
      <c r="BG44" s="29" t="str">
        <f t="shared" si="47"/>
        <v>#DIV/0!</v>
      </c>
      <c r="BH44" s="29" t="str">
        <f t="shared" si="47"/>
        <v>#DIV/0!</v>
      </c>
      <c r="BI44" s="29" t="str">
        <f t="shared" si="47"/>
        <v>#DIV/0!</v>
      </c>
      <c r="BJ44" s="29" t="str">
        <f t="shared" si="47"/>
        <v>#DIV/0!</v>
      </c>
      <c r="BK44" s="29" t="str">
        <f t="shared" si="47"/>
        <v>#DIV/0!</v>
      </c>
      <c r="BL44" s="29" t="str">
        <f t="shared" si="47"/>
        <v>#DIV/0!</v>
      </c>
      <c r="BM44" s="29" t="str">
        <f t="shared" si="3"/>
        <v>#DIV/0!</v>
      </c>
    </row>
    <row r="45">
      <c r="A45" s="16" t="str">
        <f>IFERROR(__xludf.DUMMYFUNCTION("IFERROR(SPARKLINE(SORT(MAP(TRANSPOSE(AQ45:BL45), LAMBDA(val, IF(ISNUMBER(val), PERCENTRANK(AQ45:BL45, val)+0.01, 0))), SEQUENCE(COLUMNS(AQ45:BL45)), FALSE), {""charttype"",""column""; ""color"",""chartreuse""; ""ymin"", 0; ""ymax"", 1.01; ""highcolor"", "&amp;"""darkgreen""; ""lowcolor"", ""red""}), """")"),"")</f>
        <v/>
      </c>
      <c r="B45" s="17" t="str">
        <f t="shared" si="4"/>
        <v/>
      </c>
      <c r="C45" s="1" t="s">
        <v>263</v>
      </c>
      <c r="D45" s="30" t="str">
        <f>IFERROR(__xludf.DUMMYFUNCTION("IFERROR(GOOGLEFINANCE(C45, ""NAME""))"),"TriMas Corp")</f>
        <v>TriMas Corp</v>
      </c>
      <c r="E45" s="30" t="s">
        <v>195</v>
      </c>
      <c r="F45" s="38" t="str">
        <f>IFERROR(__xludf.DUMMYFUNCTION("( (GOOGLEFINANCE(C45, ""price"") - Q45) / Q45 ) / (R45 / 100)"),"Loading...")</f>
        <v>Loading...</v>
      </c>
      <c r="G45" s="20" t="str">
        <f>IFERROR(__xludf.DUMMYFUNCTION("AVERAGE(ARRAYFORMULA(100 * (QUERY(GOOGLEFINANCE(C45, ""high"", TODAY()-40, TODAY()), ""SELECT Col2 WHERE Col2 IS NOT NULL ORDER BY Col1 DESC LIMIT 20"", 0) / QUERY(GOOGLEFINANCE(C45, ""low"", TODAY()-40, TODAY()), ""SELECT Col2 WHERE Col2 IS NOT NULL ORDE"&amp;"R BY Col1 DESC LIMIT 20"", 0) - 1)))"),"#N/A")</f>
        <v>#N/A</v>
      </c>
      <c r="H45" s="35" t="str">
        <f t="shared" si="6"/>
        <v/>
      </c>
      <c r="I45" s="35" t="str">
        <f t="shared" si="7"/>
        <v/>
      </c>
      <c r="J45" s="37" t="str">
        <f>IFERROR(__xludf.DUMMYFUNCTION("IFERROR(
  IF(C45="""",, 
    IFERROR(
      GOOGLEFINANCE(C45, ""price"") * GOOGLEFINANCE(C45, ""volumeavg""), 
      GOOGLEFINANCE(C45, ""price"") * AVERAGE(QUERY(GOOGLEFINANCE(C45, ""volume"", TODAY()-40, TODAY()), ""SELECT Col2 WHERE Col2 IS NOT NULL "&amp;"ORDER BY Col1 DESC LIMIT 20"", 0))
    )
  ), 
"""")"),"")</f>
        <v/>
      </c>
      <c r="K45" s="21" t="str">
        <f>IFERROR(__xludf.DUMMYFUNCTION("IFERROR(GOOGLEFINANCE(C45, ""changepct"") / 100, """")"),"")</f>
        <v/>
      </c>
      <c r="L45" s="21" t="str">
        <f>IFERROR(__xludf.DUMMYFUNCTION("IFERROR((GOOGLEFINANCE(C45, ""price"") / INDEX(GOOGLEFINANCE(C45, ""price"", TODAY()-7, TODAY()), 2, 2)) - 1, """")"),"")</f>
        <v/>
      </c>
      <c r="M45" s="21" t="str">
        <f>IFERROR(__xludf.DUMMYFUNCTION("IFERROR((GOOGLEFINANCE(C45, ""price"") / INDEX(GOOGLEFINANCE(C45, ""price"", EDATE(TODAY(), -1), TODAY()), 2, 2)) - 1, """")"),"")</f>
        <v/>
      </c>
      <c r="N45" s="21" t="str">
        <f>IFERROR(__xludf.DUMMYFUNCTION("IFERROR((GOOGLEFINANCE(C45, ""price"") / INDEX(GOOGLEFINANCE(C45, ""price"", EDATE(TODAY(), -3), TODAY()), 2, 2)) - 1, """")"),"")</f>
        <v/>
      </c>
      <c r="O45" s="21" t="str">
        <f>IFERROR(__xludf.DUMMYFUNCTION("IFERROR((GOOGLEFINANCE(C45, ""price"") / INDEX(GOOGLEFINANCE(C45, ""price"", EDATE(TODAY(), -6), TODAY()), 2, 2)) - 1, """")"),"")</f>
        <v/>
      </c>
      <c r="P45" s="21" t="str">
        <f>IFERROR(__xludf.DUMMYFUNCTION("IFERROR((GOOGLEFINANCE(C45, ""price"") / INDEX(GOOGLEFINANCE(C45, ""price"", EDATE(TODAY(), -12), TODAY()), 2, 2)) - 1, """")"),"")</f>
        <v/>
      </c>
      <c r="Q45" s="6" t="str">
        <f>IFERROR(__xludf.DUMMYFUNCTION("AVERAGE(QUERY(GOOGLEFINANCE(C45, ""price"", TODAY()-80, TODAY()), ""SELECT Col2 WHERE Col2 IS NOT NULL ORDER BY Col1 DESC LIMIT 50"", 0))"),"#N/A")</f>
        <v>#N/A</v>
      </c>
      <c r="R45" s="24" t="str">
        <f>IFERROR(__xludf.DUMMYFUNCTION("IFERROR(
  LET(
    data, QUERY(GOOGLEFINANCE(C45,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GOOGLEFINANCE(C45, ""price"")) * 100,
    IF(calc=0, G45, calc)
  ), 
G45)"),"#N/A")</f>
        <v>#N/A</v>
      </c>
      <c r="S45" s="8" t="s">
        <v>15</v>
      </c>
      <c r="T45" s="26" t="str">
        <f>IFERROR(__xludf.DUMMYFUNCTION("IFERROR(TRANSPOSE(QUERY(IFERROR(SORT(GOOGLEFINANCE(C45, ""price"", WORKDAY(TODAY(), -40), TODAY()), 1, FALSE)), ""select Col2 where Col2 is not null limit 22 label Col2 ''"", 0)), """")"),"")</f>
        <v/>
      </c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8"/>
      <c r="AO45" s="28"/>
      <c r="AP45" s="29"/>
      <c r="AQ45" s="29" t="str">
        <f t="shared" ref="AQ45:BL45" si="48">T45/T$2</f>
        <v>#N/A</v>
      </c>
      <c r="AR45" s="29" t="str">
        <f t="shared" si="48"/>
        <v>#DIV/0!</v>
      </c>
      <c r="AS45" s="29" t="str">
        <f t="shared" si="48"/>
        <v>#DIV/0!</v>
      </c>
      <c r="AT45" s="29" t="str">
        <f t="shared" si="48"/>
        <v>#DIV/0!</v>
      </c>
      <c r="AU45" s="29" t="str">
        <f t="shared" si="48"/>
        <v>#DIV/0!</v>
      </c>
      <c r="AV45" s="29" t="str">
        <f t="shared" si="48"/>
        <v>#DIV/0!</v>
      </c>
      <c r="AW45" s="29" t="str">
        <f t="shared" si="48"/>
        <v>#DIV/0!</v>
      </c>
      <c r="AX45" s="29" t="str">
        <f t="shared" si="48"/>
        <v>#DIV/0!</v>
      </c>
      <c r="AY45" s="29" t="str">
        <f t="shared" si="48"/>
        <v>#DIV/0!</v>
      </c>
      <c r="AZ45" s="29" t="str">
        <f t="shared" si="48"/>
        <v>#DIV/0!</v>
      </c>
      <c r="BA45" s="29" t="str">
        <f t="shared" si="48"/>
        <v>#DIV/0!</v>
      </c>
      <c r="BB45" s="29" t="str">
        <f t="shared" si="48"/>
        <v>#DIV/0!</v>
      </c>
      <c r="BC45" s="29" t="str">
        <f t="shared" si="48"/>
        <v>#DIV/0!</v>
      </c>
      <c r="BD45" s="29" t="str">
        <f t="shared" si="48"/>
        <v>#DIV/0!</v>
      </c>
      <c r="BE45" s="29" t="str">
        <f t="shared" si="48"/>
        <v>#DIV/0!</v>
      </c>
      <c r="BF45" s="29" t="str">
        <f t="shared" si="48"/>
        <v>#DIV/0!</v>
      </c>
      <c r="BG45" s="29" t="str">
        <f t="shared" si="48"/>
        <v>#DIV/0!</v>
      </c>
      <c r="BH45" s="29" t="str">
        <f t="shared" si="48"/>
        <v>#DIV/0!</v>
      </c>
      <c r="BI45" s="29" t="str">
        <f t="shared" si="48"/>
        <v>#DIV/0!</v>
      </c>
      <c r="BJ45" s="29" t="str">
        <f t="shared" si="48"/>
        <v>#DIV/0!</v>
      </c>
      <c r="BK45" s="29" t="str">
        <f t="shared" si="48"/>
        <v>#DIV/0!</v>
      </c>
      <c r="BL45" s="29" t="str">
        <f t="shared" si="48"/>
        <v>#DIV/0!</v>
      </c>
      <c r="BM45" s="29" t="str">
        <f t="shared" si="3"/>
        <v>#DIV/0!</v>
      </c>
    </row>
    <row r="46">
      <c r="A46" s="16" t="str">
        <f>IFERROR(__xludf.DUMMYFUNCTION("IFERROR(SPARKLINE(SORT(MAP(TRANSPOSE(AQ46:BL46), LAMBDA(val, IF(ISNUMBER(val), PERCENTRANK(AQ46:BL46, val)+0.01, 0))), SEQUENCE(COLUMNS(AQ46:BL46)), FALSE), {""charttype"",""column""; ""color"",""chartreuse""; ""ymin"", 0; ""ymax"", 1.01; ""highcolor"", "&amp;"""darkgreen""; ""lowcolor"", ""red""}), """")"),"")</f>
        <v/>
      </c>
      <c r="B46" s="17" t="str">
        <f t="shared" si="4"/>
        <v/>
      </c>
      <c r="C46" s="1" t="s">
        <v>266</v>
      </c>
      <c r="D46" s="30" t="str">
        <f>IFERROR(__xludf.DUMMYFUNCTION("IFERROR(GOOGLEFINANCE(C46, ""NAME""))"),"Andersen Group Inc")</f>
        <v>Andersen Group Inc</v>
      </c>
      <c r="E46" s="30" t="s">
        <v>154</v>
      </c>
      <c r="F46" s="33" t="str">
        <f>IFERROR(__xludf.DUMMYFUNCTION("( (GOOGLEFINANCE(C46, ""price"") - Q46) / Q46 ) / (R46 / 100)"),"Loading...")</f>
        <v>Loading...</v>
      </c>
      <c r="G46" s="20" t="str">
        <f>IFERROR(__xludf.DUMMYFUNCTION("AVERAGE(ARRAYFORMULA(100 * (QUERY(GOOGLEFINANCE(C46, ""high"", TODAY()-40, TODAY()), ""SELECT Col2 WHERE Col2 IS NOT NULL ORDER BY Col1 DESC LIMIT 20"", 0) / QUERY(GOOGLEFINANCE(C46, ""low"", TODAY()-40, TODAY()), ""SELECT Col2 WHERE Col2 IS NOT NULL ORDE"&amp;"R BY Col1 DESC LIMIT 20"", 0) - 1)))"),"#N/A")</f>
        <v>#N/A</v>
      </c>
      <c r="H46" s="35" t="str">
        <f t="shared" si="6"/>
        <v/>
      </c>
      <c r="I46" s="35" t="str">
        <f t="shared" si="7"/>
        <v/>
      </c>
      <c r="J46" s="37" t="str">
        <f>IFERROR(__xludf.DUMMYFUNCTION("IFERROR(
  IF(C46="""",, 
    IFERROR(
      GOOGLEFINANCE(C46, ""price"") * GOOGLEFINANCE(C46, ""volumeavg""), 
      GOOGLEFINANCE(C46, ""price"") * AVERAGE(QUERY(GOOGLEFINANCE(C46, ""volume"", TODAY()-40, TODAY()), ""SELECT Col2 WHERE Col2 IS NOT NULL "&amp;"ORDER BY Col1 DESC LIMIT 20"", 0))
    )
  ), 
"""")"),"")</f>
        <v/>
      </c>
      <c r="K46" s="21" t="str">
        <f>IFERROR(__xludf.DUMMYFUNCTION("IFERROR(GOOGLEFINANCE(C46, ""changepct"") / 100, """")"),"")</f>
        <v/>
      </c>
      <c r="L46" s="21" t="str">
        <f>IFERROR(__xludf.DUMMYFUNCTION("IFERROR((GOOGLEFINANCE(C46, ""price"") / INDEX(GOOGLEFINANCE(C46, ""price"", TODAY()-7, TODAY()), 2, 2)) - 1, """")"),"")</f>
        <v/>
      </c>
      <c r="M46" s="21" t="str">
        <f>IFERROR(__xludf.DUMMYFUNCTION("IFERROR((GOOGLEFINANCE(C46, ""price"") / INDEX(GOOGLEFINANCE(C46, ""price"", EDATE(TODAY(), -1), TODAY()), 2, 2)) - 1, """")"),"")</f>
        <v/>
      </c>
      <c r="N46" s="21" t="str">
        <f>IFERROR(__xludf.DUMMYFUNCTION("IFERROR((GOOGLEFINANCE(C46, ""price"") / INDEX(GOOGLEFINANCE(C46, ""price"", EDATE(TODAY(), -3), TODAY()), 2, 2)) - 1, """")"),"")</f>
        <v/>
      </c>
      <c r="O46" s="21" t="str">
        <f>IFERROR(__xludf.DUMMYFUNCTION("IFERROR((GOOGLEFINANCE(C46, ""price"") / INDEX(GOOGLEFINANCE(C46, ""price"", EDATE(TODAY(), -6), TODAY()), 2, 2)) - 1, """")"),"")</f>
        <v/>
      </c>
      <c r="P46" s="21" t="str">
        <f>IFERROR(__xludf.DUMMYFUNCTION("IFERROR((GOOGLEFINANCE(C46, ""price"") / INDEX(GOOGLEFINANCE(C46, ""price"", EDATE(TODAY(), -12), TODAY()), 2, 2)) - 1, """")"),"")</f>
        <v/>
      </c>
      <c r="Q46" s="6" t="str">
        <f>IFERROR(__xludf.DUMMYFUNCTION("AVERAGE(QUERY(GOOGLEFINANCE(C46, ""price"", TODAY()-80, TODAY()), ""SELECT Col2 WHERE Col2 IS NOT NULL ORDER BY Col1 DESC LIMIT 50"", 0))"),"#N/A")</f>
        <v>#N/A</v>
      </c>
      <c r="R46" s="24" t="str">
        <f>IFERROR(__xludf.DUMMYFUNCTION("IFERROR(
  LET(
    data, QUERY(GOOGLEFINANCE(C46,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GOOGLEFINANCE(C46, ""price"")) * 100,
    IF(calc=0, G46, calc)
  ), 
G46)"),"#N/A")</f>
        <v>#N/A</v>
      </c>
      <c r="S46" s="8" t="s">
        <v>15</v>
      </c>
      <c r="T46" s="26" t="str">
        <f>IFERROR(__xludf.DUMMYFUNCTION("IFERROR(TRANSPOSE(QUERY(IFERROR(SORT(GOOGLEFINANCE(C46, ""price"", WORKDAY(TODAY(), -40), TODAY()), 1, FALSE)), ""select Col2 where Col2 is not null limit 22 label Col2 ''"", 0)), """")"),"")</f>
        <v/>
      </c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8"/>
      <c r="AO46" s="28"/>
      <c r="AP46" s="29"/>
      <c r="AQ46" s="29" t="str">
        <f t="shared" ref="AQ46:BL46" si="49">T46/T$2</f>
        <v>#N/A</v>
      </c>
      <c r="AR46" s="29" t="str">
        <f t="shared" si="49"/>
        <v>#DIV/0!</v>
      </c>
      <c r="AS46" s="29" t="str">
        <f t="shared" si="49"/>
        <v>#DIV/0!</v>
      </c>
      <c r="AT46" s="29" t="str">
        <f t="shared" si="49"/>
        <v>#DIV/0!</v>
      </c>
      <c r="AU46" s="29" t="str">
        <f t="shared" si="49"/>
        <v>#DIV/0!</v>
      </c>
      <c r="AV46" s="29" t="str">
        <f t="shared" si="49"/>
        <v>#DIV/0!</v>
      </c>
      <c r="AW46" s="29" t="str">
        <f t="shared" si="49"/>
        <v>#DIV/0!</v>
      </c>
      <c r="AX46" s="29" t="str">
        <f t="shared" si="49"/>
        <v>#DIV/0!</v>
      </c>
      <c r="AY46" s="29" t="str">
        <f t="shared" si="49"/>
        <v>#DIV/0!</v>
      </c>
      <c r="AZ46" s="29" t="str">
        <f t="shared" si="49"/>
        <v>#DIV/0!</v>
      </c>
      <c r="BA46" s="29" t="str">
        <f t="shared" si="49"/>
        <v>#DIV/0!</v>
      </c>
      <c r="BB46" s="29" t="str">
        <f t="shared" si="49"/>
        <v>#DIV/0!</v>
      </c>
      <c r="BC46" s="29" t="str">
        <f t="shared" si="49"/>
        <v>#DIV/0!</v>
      </c>
      <c r="BD46" s="29" t="str">
        <f t="shared" si="49"/>
        <v>#DIV/0!</v>
      </c>
      <c r="BE46" s="29" t="str">
        <f t="shared" si="49"/>
        <v>#DIV/0!</v>
      </c>
      <c r="BF46" s="29" t="str">
        <f t="shared" si="49"/>
        <v>#DIV/0!</v>
      </c>
      <c r="BG46" s="29" t="str">
        <f t="shared" si="49"/>
        <v>#DIV/0!</v>
      </c>
      <c r="BH46" s="29" t="str">
        <f t="shared" si="49"/>
        <v>#DIV/0!</v>
      </c>
      <c r="BI46" s="29" t="str">
        <f t="shared" si="49"/>
        <v>#DIV/0!</v>
      </c>
      <c r="BJ46" s="29" t="str">
        <f t="shared" si="49"/>
        <v>#DIV/0!</v>
      </c>
      <c r="BK46" s="29" t="str">
        <f t="shared" si="49"/>
        <v>#DIV/0!</v>
      </c>
      <c r="BL46" s="29" t="str">
        <f t="shared" si="49"/>
        <v>#DIV/0!</v>
      </c>
      <c r="BM46" s="29" t="str">
        <f t="shared" si="3"/>
        <v>#DIV/0!</v>
      </c>
    </row>
    <row r="47">
      <c r="A47" s="16" t="str">
        <f>IFERROR(__xludf.DUMMYFUNCTION("IFERROR(SPARKLINE(SORT(MAP(TRANSPOSE(AQ47:BL47), LAMBDA(val, IF(ISNUMBER(val), PERCENTRANK(AQ47:BL47, val)+0.01, 0))), SEQUENCE(COLUMNS(AQ47:BL47)), FALSE), {""charttype"",""column""; ""color"",""chartreuse""; ""ymin"", 0; ""ymax"", 1.01; ""highcolor"", "&amp;"""darkgreen""; ""lowcolor"", ""red""}), """")"),"")</f>
        <v/>
      </c>
      <c r="B47" s="17" t="str">
        <f t="shared" si="4"/>
        <v/>
      </c>
      <c r="C47" s="1" t="s">
        <v>270</v>
      </c>
      <c r="D47" s="30" t="str">
        <f>IFERROR(__xludf.DUMMYFUNCTION("IFERROR(GOOGLEFINANCE(C47, ""NAME""))"),"JD.Com Inc")</f>
        <v>JD.Com Inc</v>
      </c>
      <c r="E47" s="30" t="s">
        <v>137</v>
      </c>
      <c r="F47" s="33" t="str">
        <f>IFERROR(__xludf.DUMMYFUNCTION("( (GOOGLEFINANCE(C47, ""price"") - Q47) / Q47 ) / (R47 / 100)"),"Loading...")</f>
        <v>Loading...</v>
      </c>
      <c r="G47" s="20" t="str">
        <f>IFERROR(__xludf.DUMMYFUNCTION("AVERAGE(ARRAYFORMULA(100 * (QUERY(GOOGLEFINANCE(C47, ""high"", TODAY()-40, TODAY()), ""SELECT Col2 WHERE Col2 IS NOT NULL ORDER BY Col1 DESC LIMIT 20"", 0) / QUERY(GOOGLEFINANCE(C47, ""low"", TODAY()-40, TODAY()), ""SELECT Col2 WHERE Col2 IS NOT NULL ORDE"&amp;"R BY Col1 DESC LIMIT 20"", 0) - 1)))"),"#N/A")</f>
        <v>#N/A</v>
      </c>
      <c r="H47" s="35" t="str">
        <f t="shared" si="6"/>
        <v/>
      </c>
      <c r="I47" s="35" t="str">
        <f t="shared" si="7"/>
        <v/>
      </c>
      <c r="J47" s="37" t="str">
        <f>IFERROR(__xludf.DUMMYFUNCTION("IFERROR(
  IF(C47="""",, 
    IFERROR(
      GOOGLEFINANCE(C47, ""price"") * GOOGLEFINANCE(C47, ""volumeavg""), 
      GOOGLEFINANCE(C47, ""price"") * AVERAGE(QUERY(GOOGLEFINANCE(C47, ""volume"", TODAY()-40, TODAY()), ""SELECT Col2 WHERE Col2 IS NOT NULL "&amp;"ORDER BY Col1 DESC LIMIT 20"", 0))
    )
  ), 
"""")"),"")</f>
        <v/>
      </c>
      <c r="K47" s="21" t="str">
        <f>IFERROR(__xludf.DUMMYFUNCTION("IFERROR(GOOGLEFINANCE(C47, ""changepct"") / 100, """")"),"")</f>
        <v/>
      </c>
      <c r="L47" s="21" t="str">
        <f>IFERROR(__xludf.DUMMYFUNCTION("IFERROR((GOOGLEFINANCE(C47, ""price"") / INDEX(GOOGLEFINANCE(C47, ""price"", TODAY()-7, TODAY()), 2, 2)) - 1, """")"),"")</f>
        <v/>
      </c>
      <c r="M47" s="21" t="str">
        <f>IFERROR(__xludf.DUMMYFUNCTION("IFERROR((GOOGLEFINANCE(C47, ""price"") / INDEX(GOOGLEFINANCE(C47, ""price"", EDATE(TODAY(), -1), TODAY()), 2, 2)) - 1, """")"),"")</f>
        <v/>
      </c>
      <c r="N47" s="21" t="str">
        <f>IFERROR(__xludf.DUMMYFUNCTION("IFERROR((GOOGLEFINANCE(C47, ""price"") / INDEX(GOOGLEFINANCE(C47, ""price"", EDATE(TODAY(), -3), TODAY()), 2, 2)) - 1, """")"),"")</f>
        <v/>
      </c>
      <c r="O47" s="21" t="str">
        <f>IFERROR(__xludf.DUMMYFUNCTION("IFERROR((GOOGLEFINANCE(C47, ""price"") / INDEX(GOOGLEFINANCE(C47, ""price"", EDATE(TODAY(), -6), TODAY()), 2, 2)) - 1, """")"),"")</f>
        <v/>
      </c>
      <c r="P47" s="21" t="str">
        <f>IFERROR(__xludf.DUMMYFUNCTION("IFERROR((GOOGLEFINANCE(C47, ""price"") / INDEX(GOOGLEFINANCE(C47, ""price"", EDATE(TODAY(), -12), TODAY()), 2, 2)) - 1, """")"),"")</f>
        <v/>
      </c>
      <c r="Q47" s="6" t="str">
        <f>IFERROR(__xludf.DUMMYFUNCTION("AVERAGE(QUERY(GOOGLEFINANCE(C47, ""price"", TODAY()-80, TODAY()), ""SELECT Col2 WHERE Col2 IS NOT NULL ORDER BY Col1 DESC LIMIT 50"", 0))"),"#N/A")</f>
        <v>#N/A</v>
      </c>
      <c r="R47" s="24" t="str">
        <f>IFERROR(__xludf.DUMMYFUNCTION("IFERROR(
  LET(
    data, QUERY(GOOGLEFINANCE(C47,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GOOGLEFINANCE(C47, ""price"")) * 100,
    IF(calc=0, G47, calc)
  ), 
G47)"),"#N/A")</f>
        <v>#N/A</v>
      </c>
      <c r="S47" s="8" t="s">
        <v>15</v>
      </c>
      <c r="T47" s="26" t="str">
        <f>IFERROR(__xludf.DUMMYFUNCTION("IFERROR(TRANSPOSE(QUERY(IFERROR(SORT(GOOGLEFINANCE(C47, ""price"", WORKDAY(TODAY(), -40), TODAY()), 1, FALSE)), ""select Col2 where Col2 is not null limit 22 label Col2 ''"", 0)), """")"),"")</f>
        <v/>
      </c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8"/>
      <c r="AO47" s="28"/>
      <c r="AP47" s="29"/>
      <c r="AQ47" s="29" t="str">
        <f t="shared" ref="AQ47:BL47" si="50">T47/T$2</f>
        <v>#N/A</v>
      </c>
      <c r="AR47" s="29" t="str">
        <f t="shared" si="50"/>
        <v>#DIV/0!</v>
      </c>
      <c r="AS47" s="29" t="str">
        <f t="shared" si="50"/>
        <v>#DIV/0!</v>
      </c>
      <c r="AT47" s="29" t="str">
        <f t="shared" si="50"/>
        <v>#DIV/0!</v>
      </c>
      <c r="AU47" s="29" t="str">
        <f t="shared" si="50"/>
        <v>#DIV/0!</v>
      </c>
      <c r="AV47" s="29" t="str">
        <f t="shared" si="50"/>
        <v>#DIV/0!</v>
      </c>
      <c r="AW47" s="29" t="str">
        <f t="shared" si="50"/>
        <v>#DIV/0!</v>
      </c>
      <c r="AX47" s="29" t="str">
        <f t="shared" si="50"/>
        <v>#DIV/0!</v>
      </c>
      <c r="AY47" s="29" t="str">
        <f t="shared" si="50"/>
        <v>#DIV/0!</v>
      </c>
      <c r="AZ47" s="29" t="str">
        <f t="shared" si="50"/>
        <v>#DIV/0!</v>
      </c>
      <c r="BA47" s="29" t="str">
        <f t="shared" si="50"/>
        <v>#DIV/0!</v>
      </c>
      <c r="BB47" s="29" t="str">
        <f t="shared" si="50"/>
        <v>#DIV/0!</v>
      </c>
      <c r="BC47" s="29" t="str">
        <f t="shared" si="50"/>
        <v>#DIV/0!</v>
      </c>
      <c r="BD47" s="29" t="str">
        <f t="shared" si="50"/>
        <v>#DIV/0!</v>
      </c>
      <c r="BE47" s="29" t="str">
        <f t="shared" si="50"/>
        <v>#DIV/0!</v>
      </c>
      <c r="BF47" s="29" t="str">
        <f t="shared" si="50"/>
        <v>#DIV/0!</v>
      </c>
      <c r="BG47" s="29" t="str">
        <f t="shared" si="50"/>
        <v>#DIV/0!</v>
      </c>
      <c r="BH47" s="29" t="str">
        <f t="shared" si="50"/>
        <v>#DIV/0!</v>
      </c>
      <c r="BI47" s="29" t="str">
        <f t="shared" si="50"/>
        <v>#DIV/0!</v>
      </c>
      <c r="BJ47" s="29" t="str">
        <f t="shared" si="50"/>
        <v>#DIV/0!</v>
      </c>
      <c r="BK47" s="29" t="str">
        <f t="shared" si="50"/>
        <v>#DIV/0!</v>
      </c>
      <c r="BL47" s="29" t="str">
        <f t="shared" si="50"/>
        <v>#DIV/0!</v>
      </c>
      <c r="BM47" s="29" t="str">
        <f t="shared" si="3"/>
        <v>#DIV/0!</v>
      </c>
    </row>
    <row r="48">
      <c r="A48" s="16" t="str">
        <f>IFERROR(__xludf.DUMMYFUNCTION("IFERROR(SPARKLINE(SORT(MAP(TRANSPOSE(AQ48:BL48), LAMBDA(val, IF(ISNUMBER(val), PERCENTRANK(AQ48:BL48, val)+0.01, 0))), SEQUENCE(COLUMNS(AQ48:BL48)), FALSE), {""charttype"",""column""; ""color"",""chartreuse""; ""ymin"", 0; ""ymax"", 1.01; ""highcolor"", "&amp;"""darkgreen""; ""lowcolor"", ""red""}), """")"),"")</f>
        <v/>
      </c>
      <c r="B48" s="17" t="str">
        <f t="shared" si="4"/>
        <v/>
      </c>
      <c r="C48" s="1" t="s">
        <v>272</v>
      </c>
      <c r="D48" s="30" t="str">
        <f>IFERROR(__xludf.DUMMYFUNCTION("IFERROR(GOOGLEFINANCE(C48, ""NAME""))"),"Myers Industries Inc")</f>
        <v>Myers Industries Inc</v>
      </c>
      <c r="E48" s="30" t="s">
        <v>195</v>
      </c>
      <c r="F48" s="33" t="str">
        <f>IFERROR(__xludf.DUMMYFUNCTION("( (GOOGLEFINANCE(C48, ""price"") - Q48) / Q48 ) / (R48 / 100)"),"Loading...")</f>
        <v>Loading...</v>
      </c>
      <c r="G48" s="20" t="str">
        <f>IFERROR(__xludf.DUMMYFUNCTION("AVERAGE(ARRAYFORMULA(100 * (QUERY(GOOGLEFINANCE(C48, ""high"", TODAY()-40, TODAY()), ""SELECT Col2 WHERE Col2 IS NOT NULL ORDER BY Col1 DESC LIMIT 20"", 0) / QUERY(GOOGLEFINANCE(C48, ""low"", TODAY()-40, TODAY()), ""SELECT Col2 WHERE Col2 IS NOT NULL ORDE"&amp;"R BY Col1 DESC LIMIT 20"", 0) - 1)))"),"#N/A")</f>
        <v>#N/A</v>
      </c>
      <c r="H48" s="35" t="str">
        <f t="shared" si="6"/>
        <v/>
      </c>
      <c r="I48" s="35" t="str">
        <f t="shared" si="7"/>
        <v/>
      </c>
      <c r="J48" s="37" t="str">
        <f>IFERROR(__xludf.DUMMYFUNCTION("IFERROR(
  IF(C48="""",, 
    IFERROR(
      GOOGLEFINANCE(C48, ""price"") * GOOGLEFINANCE(C48, ""volumeavg""), 
      GOOGLEFINANCE(C48, ""price"") * AVERAGE(QUERY(GOOGLEFINANCE(C48, ""volume"", TODAY()-40, TODAY()), ""SELECT Col2 WHERE Col2 IS NOT NULL "&amp;"ORDER BY Col1 DESC LIMIT 20"", 0))
    )
  ), 
"""")"),"")</f>
        <v/>
      </c>
      <c r="K48" s="21" t="str">
        <f>IFERROR(__xludf.DUMMYFUNCTION("IFERROR(GOOGLEFINANCE(C48, ""changepct"") / 100, """")"),"")</f>
        <v/>
      </c>
      <c r="L48" s="21" t="str">
        <f>IFERROR(__xludf.DUMMYFUNCTION("IFERROR((GOOGLEFINANCE(C48, ""price"") / INDEX(GOOGLEFINANCE(C48, ""price"", TODAY()-7, TODAY()), 2, 2)) - 1, """")"),"")</f>
        <v/>
      </c>
      <c r="M48" s="21" t="str">
        <f>IFERROR(__xludf.DUMMYFUNCTION("IFERROR((GOOGLEFINANCE(C48, ""price"") / INDEX(GOOGLEFINANCE(C48, ""price"", EDATE(TODAY(), -1), TODAY()), 2, 2)) - 1, """")"),"")</f>
        <v/>
      </c>
      <c r="N48" s="21" t="str">
        <f>IFERROR(__xludf.DUMMYFUNCTION("IFERROR((GOOGLEFINANCE(C48, ""price"") / INDEX(GOOGLEFINANCE(C48, ""price"", EDATE(TODAY(), -3), TODAY()), 2, 2)) - 1, """")"),"")</f>
        <v/>
      </c>
      <c r="O48" s="21" t="str">
        <f>IFERROR(__xludf.DUMMYFUNCTION("IFERROR((GOOGLEFINANCE(C48, ""price"") / INDEX(GOOGLEFINANCE(C48, ""price"", EDATE(TODAY(), -6), TODAY()), 2, 2)) - 1, """")"),"")</f>
        <v/>
      </c>
      <c r="P48" s="21" t="str">
        <f>IFERROR(__xludf.DUMMYFUNCTION("IFERROR((GOOGLEFINANCE(C48, ""price"") / INDEX(GOOGLEFINANCE(C48, ""price"", EDATE(TODAY(), -12), TODAY()), 2, 2)) - 1, """")"),"")</f>
        <v/>
      </c>
      <c r="Q48" s="6" t="str">
        <f>IFERROR(__xludf.DUMMYFUNCTION("AVERAGE(QUERY(GOOGLEFINANCE(C48, ""price"", TODAY()-80, TODAY()), ""SELECT Col2 WHERE Col2 IS NOT NULL ORDER BY Col1 DESC LIMIT 50"", 0))"),"#N/A")</f>
        <v>#N/A</v>
      </c>
      <c r="R48" s="24" t="str">
        <f>IFERROR(__xludf.DUMMYFUNCTION("IFERROR(
  LET(
    data, QUERY(GOOGLEFINANCE(C48,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GOOGLEFINANCE(C48, ""price"")) * 100,
    IF(calc=0, G48, calc)
  ), 
G48)"),"#N/A")</f>
        <v>#N/A</v>
      </c>
      <c r="S48" s="8" t="s">
        <v>15</v>
      </c>
      <c r="T48" s="26" t="str">
        <f>IFERROR(__xludf.DUMMYFUNCTION("IFERROR(TRANSPOSE(QUERY(IFERROR(SORT(GOOGLEFINANCE(C48, ""price"", WORKDAY(TODAY(), -40), TODAY()), 1, FALSE)), ""select Col2 where Col2 is not null limit 22 label Col2 ''"", 0)), """")"),"")</f>
        <v/>
      </c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8"/>
      <c r="AO48" s="28"/>
      <c r="AP48" s="29"/>
      <c r="AQ48" s="29" t="str">
        <f t="shared" ref="AQ48:BL48" si="51">T48/T$2</f>
        <v>#N/A</v>
      </c>
      <c r="AR48" s="29" t="str">
        <f t="shared" si="51"/>
        <v>#DIV/0!</v>
      </c>
      <c r="AS48" s="29" t="str">
        <f t="shared" si="51"/>
        <v>#DIV/0!</v>
      </c>
      <c r="AT48" s="29" t="str">
        <f t="shared" si="51"/>
        <v>#DIV/0!</v>
      </c>
      <c r="AU48" s="29" t="str">
        <f t="shared" si="51"/>
        <v>#DIV/0!</v>
      </c>
      <c r="AV48" s="29" t="str">
        <f t="shared" si="51"/>
        <v>#DIV/0!</v>
      </c>
      <c r="AW48" s="29" t="str">
        <f t="shared" si="51"/>
        <v>#DIV/0!</v>
      </c>
      <c r="AX48" s="29" t="str">
        <f t="shared" si="51"/>
        <v>#DIV/0!</v>
      </c>
      <c r="AY48" s="29" t="str">
        <f t="shared" si="51"/>
        <v>#DIV/0!</v>
      </c>
      <c r="AZ48" s="29" t="str">
        <f t="shared" si="51"/>
        <v>#DIV/0!</v>
      </c>
      <c r="BA48" s="29" t="str">
        <f t="shared" si="51"/>
        <v>#DIV/0!</v>
      </c>
      <c r="BB48" s="29" t="str">
        <f t="shared" si="51"/>
        <v>#DIV/0!</v>
      </c>
      <c r="BC48" s="29" t="str">
        <f t="shared" si="51"/>
        <v>#DIV/0!</v>
      </c>
      <c r="BD48" s="29" t="str">
        <f t="shared" si="51"/>
        <v>#DIV/0!</v>
      </c>
      <c r="BE48" s="29" t="str">
        <f t="shared" si="51"/>
        <v>#DIV/0!</v>
      </c>
      <c r="BF48" s="29" t="str">
        <f t="shared" si="51"/>
        <v>#DIV/0!</v>
      </c>
      <c r="BG48" s="29" t="str">
        <f t="shared" si="51"/>
        <v>#DIV/0!</v>
      </c>
      <c r="BH48" s="29" t="str">
        <f t="shared" si="51"/>
        <v>#DIV/0!</v>
      </c>
      <c r="BI48" s="29" t="str">
        <f t="shared" si="51"/>
        <v>#DIV/0!</v>
      </c>
      <c r="BJ48" s="29" t="str">
        <f t="shared" si="51"/>
        <v>#DIV/0!</v>
      </c>
      <c r="BK48" s="29" t="str">
        <f t="shared" si="51"/>
        <v>#DIV/0!</v>
      </c>
      <c r="BL48" s="29" t="str">
        <f t="shared" si="51"/>
        <v>#DIV/0!</v>
      </c>
      <c r="BM48" s="29" t="str">
        <f t="shared" si="3"/>
        <v>#DIV/0!</v>
      </c>
    </row>
    <row r="49">
      <c r="A49" s="16" t="str">
        <f>IFERROR(__xludf.DUMMYFUNCTION("IFERROR(SPARKLINE(SORT(MAP(TRANSPOSE(AQ49:BL49), LAMBDA(val, IF(ISNUMBER(val), PERCENTRANK(AQ49:BL49, val)+0.01, 0))), SEQUENCE(COLUMNS(AQ49:BL49)), FALSE), {""charttype"",""column""; ""color"",""chartreuse""; ""ymin"", 0; ""ymax"", 1.01; ""highcolor"", "&amp;"""darkgreen""; ""lowcolor"", ""red""}), """")"),"")</f>
        <v/>
      </c>
      <c r="B49" s="17" t="str">
        <f t="shared" si="4"/>
        <v/>
      </c>
      <c r="C49" s="1" t="s">
        <v>277</v>
      </c>
      <c r="D49" s="30" t="str">
        <f>IFERROR(__xludf.DUMMYFUNCTION("IFERROR(GOOGLEFINANCE(C49, ""NAME""))"),"Murphy USA Inc")</f>
        <v>Murphy USA Inc</v>
      </c>
      <c r="E49" s="30" t="s">
        <v>184</v>
      </c>
      <c r="F49" s="33" t="str">
        <f>IFERROR(__xludf.DUMMYFUNCTION("( (GOOGLEFINANCE(C49, ""price"") - Q49) / Q49 ) / (R49 / 100)"),"Loading...")</f>
        <v>Loading...</v>
      </c>
      <c r="G49" s="20" t="str">
        <f>IFERROR(__xludf.DUMMYFUNCTION("AVERAGE(ARRAYFORMULA(100 * (QUERY(GOOGLEFINANCE(C49, ""high"", TODAY()-40, TODAY()), ""SELECT Col2 WHERE Col2 IS NOT NULL ORDER BY Col1 DESC LIMIT 20"", 0) / QUERY(GOOGLEFINANCE(C49, ""low"", TODAY()-40, TODAY()), ""SELECT Col2 WHERE Col2 IS NOT NULL ORDE"&amp;"R BY Col1 DESC LIMIT 20"", 0) - 1)))"),"#N/A")</f>
        <v>#N/A</v>
      </c>
      <c r="H49" s="35" t="str">
        <f t="shared" si="6"/>
        <v/>
      </c>
      <c r="I49" s="35" t="str">
        <f t="shared" si="7"/>
        <v/>
      </c>
      <c r="J49" s="37" t="str">
        <f>IFERROR(__xludf.DUMMYFUNCTION("IFERROR(
  IF(C49="""",, 
    IFERROR(
      GOOGLEFINANCE(C49, ""price"") * GOOGLEFINANCE(C49, ""volumeavg""), 
      GOOGLEFINANCE(C49, ""price"") * AVERAGE(QUERY(GOOGLEFINANCE(C49, ""volume"", TODAY()-40, TODAY()), ""SELECT Col2 WHERE Col2 IS NOT NULL "&amp;"ORDER BY Col1 DESC LIMIT 20"", 0))
    )
  ), 
"""")"),"")</f>
        <v/>
      </c>
      <c r="K49" s="21" t="str">
        <f>IFERROR(__xludf.DUMMYFUNCTION("IFERROR(GOOGLEFINANCE(C49, ""changepct"") / 100, """")"),"")</f>
        <v/>
      </c>
      <c r="L49" s="21" t="str">
        <f>IFERROR(__xludf.DUMMYFUNCTION("IFERROR((GOOGLEFINANCE(C49, ""price"") / INDEX(GOOGLEFINANCE(C49, ""price"", TODAY()-7, TODAY()), 2, 2)) - 1, """")"),"")</f>
        <v/>
      </c>
      <c r="M49" s="21" t="str">
        <f>IFERROR(__xludf.DUMMYFUNCTION("IFERROR((GOOGLEFINANCE(C49, ""price"") / INDEX(GOOGLEFINANCE(C49, ""price"", EDATE(TODAY(), -1), TODAY()), 2, 2)) - 1, """")"),"")</f>
        <v/>
      </c>
      <c r="N49" s="21" t="str">
        <f>IFERROR(__xludf.DUMMYFUNCTION("IFERROR((GOOGLEFINANCE(C49, ""price"") / INDEX(GOOGLEFINANCE(C49, ""price"", EDATE(TODAY(), -3), TODAY()), 2, 2)) - 1, """")"),"")</f>
        <v/>
      </c>
      <c r="O49" s="21" t="str">
        <f>IFERROR(__xludf.DUMMYFUNCTION("IFERROR((GOOGLEFINANCE(C49, ""price"") / INDEX(GOOGLEFINANCE(C49, ""price"", EDATE(TODAY(), -6), TODAY()), 2, 2)) - 1, """")"),"")</f>
        <v/>
      </c>
      <c r="P49" s="21" t="str">
        <f>IFERROR(__xludf.DUMMYFUNCTION("IFERROR((GOOGLEFINANCE(C49, ""price"") / INDEX(GOOGLEFINANCE(C49, ""price"", EDATE(TODAY(), -12), TODAY()), 2, 2)) - 1, """")"),"")</f>
        <v/>
      </c>
      <c r="Q49" s="6" t="str">
        <f>IFERROR(__xludf.DUMMYFUNCTION("AVERAGE(QUERY(GOOGLEFINANCE(C49, ""price"", TODAY()-80, TODAY()), ""SELECT Col2 WHERE Col2 IS NOT NULL ORDER BY Col1 DESC LIMIT 50"", 0))"),"#N/A")</f>
        <v>#N/A</v>
      </c>
      <c r="R49" s="24" t="str">
        <f>IFERROR(__xludf.DUMMYFUNCTION("IFERROR(
  LET(
    data, QUERY(GOOGLEFINANCE(C49,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GOOGLEFINANCE(C49, ""price"")) * 100,
    IF(calc=0, G49, calc)
  ), 
G49)"),"#N/A")</f>
        <v>#N/A</v>
      </c>
      <c r="S49" s="8" t="s">
        <v>15</v>
      </c>
      <c r="T49" s="26" t="str">
        <f>IFERROR(__xludf.DUMMYFUNCTION("IFERROR(TRANSPOSE(QUERY(IFERROR(SORT(GOOGLEFINANCE(C49, ""price"", WORKDAY(TODAY(), -40), TODAY()), 1, FALSE)), ""select Col2 where Col2 is not null limit 22 label Col2 ''"", 0)), """")"),"")</f>
        <v/>
      </c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8"/>
      <c r="AO49" s="28"/>
      <c r="AP49" s="29"/>
      <c r="AQ49" s="29" t="str">
        <f t="shared" ref="AQ49:BL49" si="52">T49/T$2</f>
        <v>#N/A</v>
      </c>
      <c r="AR49" s="29" t="str">
        <f t="shared" si="52"/>
        <v>#DIV/0!</v>
      </c>
      <c r="AS49" s="29" t="str">
        <f t="shared" si="52"/>
        <v>#DIV/0!</v>
      </c>
      <c r="AT49" s="29" t="str">
        <f t="shared" si="52"/>
        <v>#DIV/0!</v>
      </c>
      <c r="AU49" s="29" t="str">
        <f t="shared" si="52"/>
        <v>#DIV/0!</v>
      </c>
      <c r="AV49" s="29" t="str">
        <f t="shared" si="52"/>
        <v>#DIV/0!</v>
      </c>
      <c r="AW49" s="29" t="str">
        <f t="shared" si="52"/>
        <v>#DIV/0!</v>
      </c>
      <c r="AX49" s="29" t="str">
        <f t="shared" si="52"/>
        <v>#DIV/0!</v>
      </c>
      <c r="AY49" s="29" t="str">
        <f t="shared" si="52"/>
        <v>#DIV/0!</v>
      </c>
      <c r="AZ49" s="29" t="str">
        <f t="shared" si="52"/>
        <v>#DIV/0!</v>
      </c>
      <c r="BA49" s="29" t="str">
        <f t="shared" si="52"/>
        <v>#DIV/0!</v>
      </c>
      <c r="BB49" s="29" t="str">
        <f t="shared" si="52"/>
        <v>#DIV/0!</v>
      </c>
      <c r="BC49" s="29" t="str">
        <f t="shared" si="52"/>
        <v>#DIV/0!</v>
      </c>
      <c r="BD49" s="29" t="str">
        <f t="shared" si="52"/>
        <v>#DIV/0!</v>
      </c>
      <c r="BE49" s="29" t="str">
        <f t="shared" si="52"/>
        <v>#DIV/0!</v>
      </c>
      <c r="BF49" s="29" t="str">
        <f t="shared" si="52"/>
        <v>#DIV/0!</v>
      </c>
      <c r="BG49" s="29" t="str">
        <f t="shared" si="52"/>
        <v>#DIV/0!</v>
      </c>
      <c r="BH49" s="29" t="str">
        <f t="shared" si="52"/>
        <v>#DIV/0!</v>
      </c>
      <c r="BI49" s="29" t="str">
        <f t="shared" si="52"/>
        <v>#DIV/0!</v>
      </c>
      <c r="BJ49" s="29" t="str">
        <f t="shared" si="52"/>
        <v>#DIV/0!</v>
      </c>
      <c r="BK49" s="29" t="str">
        <f t="shared" si="52"/>
        <v>#DIV/0!</v>
      </c>
      <c r="BL49" s="29" t="str">
        <f t="shared" si="52"/>
        <v>#DIV/0!</v>
      </c>
      <c r="BM49" s="29" t="str">
        <f t="shared" si="3"/>
        <v>#DIV/0!</v>
      </c>
    </row>
    <row r="50">
      <c r="A50" s="16" t="str">
        <f>IFERROR(__xludf.DUMMYFUNCTION("IFERROR(SPARKLINE(SORT(MAP(TRANSPOSE(AQ50:BL50), LAMBDA(val, IF(ISNUMBER(val), PERCENTRANK(AQ50:BL50, val)+0.01, 0))), SEQUENCE(COLUMNS(AQ50:BL50)), FALSE), {""charttype"",""column""; ""color"",""chartreuse""; ""ymin"", 0; ""ymax"", 1.01; ""highcolor"", "&amp;"""darkgreen""; ""lowcolor"", ""red""}), """")"),"")</f>
        <v/>
      </c>
      <c r="B50" s="17" t="str">
        <f t="shared" si="4"/>
        <v/>
      </c>
      <c r="C50" s="1" t="s">
        <v>281</v>
      </c>
      <c r="D50" s="30" t="str">
        <f>IFERROR(__xludf.DUMMYFUNCTION("IFERROR(GOOGLEFINANCE(C50, ""NAME""))"),"Peloton Interactive Inc")</f>
        <v>Peloton Interactive Inc</v>
      </c>
      <c r="E50" s="30" t="s">
        <v>158</v>
      </c>
      <c r="F50" s="38" t="str">
        <f>IFERROR(__xludf.DUMMYFUNCTION("( (GOOGLEFINANCE(C50, ""price"") - Q50) / Q50 ) / (R50 / 100)"),"Loading...")</f>
        <v>Loading...</v>
      </c>
      <c r="G50" s="20" t="str">
        <f>IFERROR(__xludf.DUMMYFUNCTION("AVERAGE(ARRAYFORMULA(100 * (QUERY(GOOGLEFINANCE(C50, ""high"", TODAY()-40, TODAY()), ""SELECT Col2 WHERE Col2 IS NOT NULL ORDER BY Col1 DESC LIMIT 20"", 0) / QUERY(GOOGLEFINANCE(C50, ""low"", TODAY()-40, TODAY()), ""SELECT Col2 WHERE Col2 IS NOT NULL ORDE"&amp;"R BY Col1 DESC LIMIT 20"", 0) - 1)))"),"#N/A")</f>
        <v>#N/A</v>
      </c>
      <c r="H50" s="35" t="str">
        <f t="shared" si="6"/>
        <v/>
      </c>
      <c r="I50" s="35" t="str">
        <f t="shared" si="7"/>
        <v/>
      </c>
      <c r="J50" s="37" t="str">
        <f>IFERROR(__xludf.DUMMYFUNCTION("IFERROR(
  IF(C50="""",, 
    IFERROR(
      GOOGLEFINANCE(C50, ""price"") * GOOGLEFINANCE(C50, ""volumeavg""), 
      GOOGLEFINANCE(C50, ""price"") * AVERAGE(QUERY(GOOGLEFINANCE(C50, ""volume"", TODAY()-40, TODAY()), ""SELECT Col2 WHERE Col2 IS NOT NULL "&amp;"ORDER BY Col1 DESC LIMIT 20"", 0))
    )
  ), 
"""")"),"")</f>
        <v/>
      </c>
      <c r="K50" s="21" t="str">
        <f>IFERROR(__xludf.DUMMYFUNCTION("IFERROR(GOOGLEFINANCE(C50, ""changepct"") / 100, """")"),"")</f>
        <v/>
      </c>
      <c r="L50" s="21" t="str">
        <f>IFERROR(__xludf.DUMMYFUNCTION("IFERROR((GOOGLEFINANCE(C50, ""price"") / INDEX(GOOGLEFINANCE(C50, ""price"", TODAY()-7, TODAY()), 2, 2)) - 1, """")"),"")</f>
        <v/>
      </c>
      <c r="M50" s="21" t="str">
        <f>IFERROR(__xludf.DUMMYFUNCTION("IFERROR((GOOGLEFINANCE(C50, ""price"") / INDEX(GOOGLEFINANCE(C50, ""price"", EDATE(TODAY(), -1), TODAY()), 2, 2)) - 1, """")"),"")</f>
        <v/>
      </c>
      <c r="N50" s="21" t="str">
        <f>IFERROR(__xludf.DUMMYFUNCTION("IFERROR((GOOGLEFINANCE(C50, ""price"") / INDEX(GOOGLEFINANCE(C50, ""price"", EDATE(TODAY(), -3), TODAY()), 2, 2)) - 1, """")"),"")</f>
        <v/>
      </c>
      <c r="O50" s="21" t="str">
        <f>IFERROR(__xludf.DUMMYFUNCTION("IFERROR((GOOGLEFINANCE(C50, ""price"") / INDEX(GOOGLEFINANCE(C50, ""price"", EDATE(TODAY(), -6), TODAY()), 2, 2)) - 1, """")"),"")</f>
        <v/>
      </c>
      <c r="P50" s="21" t="str">
        <f>IFERROR(__xludf.DUMMYFUNCTION("IFERROR((GOOGLEFINANCE(C50, ""price"") / INDEX(GOOGLEFINANCE(C50, ""price"", EDATE(TODAY(), -12), TODAY()), 2, 2)) - 1, """")"),"")</f>
        <v/>
      </c>
      <c r="Q50" s="6" t="str">
        <f>IFERROR(__xludf.DUMMYFUNCTION("AVERAGE(QUERY(GOOGLEFINANCE(C50, ""price"", TODAY()-80, TODAY()), ""SELECT Col2 WHERE Col2 IS NOT NULL ORDER BY Col1 DESC LIMIT 50"", 0))"),"#N/A")</f>
        <v>#N/A</v>
      </c>
      <c r="R50" s="24" t="str">
        <f>IFERROR(__xludf.DUMMYFUNCTION("IFERROR(
  LET(
    data, QUERY(GOOGLEFINANCE(C50,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GOOGLEFINANCE(C50, ""price"")) * 100,
    IF(calc=0, G50, calc)
  ), 
G50)"),"#N/A")</f>
        <v>#N/A</v>
      </c>
      <c r="S50" s="8" t="s">
        <v>15</v>
      </c>
      <c r="T50" s="26" t="str">
        <f>IFERROR(__xludf.DUMMYFUNCTION("IFERROR(TRANSPOSE(QUERY(IFERROR(SORT(GOOGLEFINANCE(C50, ""price"", WORKDAY(TODAY(), -40), TODAY()), 1, FALSE)), ""select Col2 where Col2 is not null limit 22 label Col2 ''"", 0)), """")"),"")</f>
        <v/>
      </c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8"/>
      <c r="AO50" s="28"/>
      <c r="AP50" s="29"/>
      <c r="AQ50" s="29" t="str">
        <f t="shared" ref="AQ50:BL50" si="53">T50/T$2</f>
        <v>#N/A</v>
      </c>
      <c r="AR50" s="29" t="str">
        <f t="shared" si="53"/>
        <v>#DIV/0!</v>
      </c>
      <c r="AS50" s="29" t="str">
        <f t="shared" si="53"/>
        <v>#DIV/0!</v>
      </c>
      <c r="AT50" s="29" t="str">
        <f t="shared" si="53"/>
        <v>#DIV/0!</v>
      </c>
      <c r="AU50" s="29" t="str">
        <f t="shared" si="53"/>
        <v>#DIV/0!</v>
      </c>
      <c r="AV50" s="29" t="str">
        <f t="shared" si="53"/>
        <v>#DIV/0!</v>
      </c>
      <c r="AW50" s="29" t="str">
        <f t="shared" si="53"/>
        <v>#DIV/0!</v>
      </c>
      <c r="AX50" s="29" t="str">
        <f t="shared" si="53"/>
        <v>#DIV/0!</v>
      </c>
      <c r="AY50" s="29" t="str">
        <f t="shared" si="53"/>
        <v>#DIV/0!</v>
      </c>
      <c r="AZ50" s="29" t="str">
        <f t="shared" si="53"/>
        <v>#DIV/0!</v>
      </c>
      <c r="BA50" s="29" t="str">
        <f t="shared" si="53"/>
        <v>#DIV/0!</v>
      </c>
      <c r="BB50" s="29" t="str">
        <f t="shared" si="53"/>
        <v>#DIV/0!</v>
      </c>
      <c r="BC50" s="29" t="str">
        <f t="shared" si="53"/>
        <v>#DIV/0!</v>
      </c>
      <c r="BD50" s="29" t="str">
        <f t="shared" si="53"/>
        <v>#DIV/0!</v>
      </c>
      <c r="BE50" s="29" t="str">
        <f t="shared" si="53"/>
        <v>#DIV/0!</v>
      </c>
      <c r="BF50" s="29" t="str">
        <f t="shared" si="53"/>
        <v>#DIV/0!</v>
      </c>
      <c r="BG50" s="29" t="str">
        <f t="shared" si="53"/>
        <v>#DIV/0!</v>
      </c>
      <c r="BH50" s="29" t="str">
        <f t="shared" si="53"/>
        <v>#DIV/0!</v>
      </c>
      <c r="BI50" s="29" t="str">
        <f t="shared" si="53"/>
        <v>#DIV/0!</v>
      </c>
      <c r="BJ50" s="29" t="str">
        <f t="shared" si="53"/>
        <v>#DIV/0!</v>
      </c>
      <c r="BK50" s="29" t="str">
        <f t="shared" si="53"/>
        <v>#DIV/0!</v>
      </c>
      <c r="BL50" s="29" t="str">
        <f t="shared" si="53"/>
        <v>#DIV/0!</v>
      </c>
      <c r="BM50" s="29" t="str">
        <f t="shared" si="3"/>
        <v>#DIV/0!</v>
      </c>
    </row>
    <row r="51">
      <c r="A51" s="16" t="str">
        <f>IFERROR(__xludf.DUMMYFUNCTION("IFERROR(SPARKLINE(SORT(MAP(TRANSPOSE(AQ51:BL51), LAMBDA(val, IF(ISNUMBER(val), PERCENTRANK(AQ51:BL51, val)+0.01, 0))), SEQUENCE(COLUMNS(AQ51:BL51)), FALSE), {""charttype"",""column""; ""color"",""chartreuse""; ""ymin"", 0; ""ymax"", 1.01; ""highcolor"", "&amp;"""darkgreen""; ""lowcolor"", ""red""}), """")"),"")</f>
        <v/>
      </c>
      <c r="B51" s="17" t="str">
        <f t="shared" si="4"/>
        <v/>
      </c>
      <c r="C51" s="1" t="s">
        <v>284</v>
      </c>
      <c r="D51" s="30" t="str">
        <f>IFERROR(__xludf.DUMMYFUNCTION("IFERROR(GOOGLEFINANCE(C51, ""NAME""))"),"Callaway Golf Co")</f>
        <v>Callaway Golf Co</v>
      </c>
      <c r="E51" s="30" t="s">
        <v>158</v>
      </c>
      <c r="F51" s="33" t="str">
        <f>IFERROR(__xludf.DUMMYFUNCTION("( (GOOGLEFINANCE(C51, ""price"") - Q51) / Q51 ) / (R51 / 100)"),"Loading...")</f>
        <v>Loading...</v>
      </c>
      <c r="G51" s="20" t="str">
        <f>IFERROR(__xludf.DUMMYFUNCTION("AVERAGE(ARRAYFORMULA(100 * (QUERY(GOOGLEFINANCE(C51, ""high"", TODAY()-40, TODAY()), ""SELECT Col2 WHERE Col2 IS NOT NULL ORDER BY Col1 DESC LIMIT 20"", 0) / QUERY(GOOGLEFINANCE(C51, ""low"", TODAY()-40, TODAY()), ""SELECT Col2 WHERE Col2 IS NOT NULL ORDE"&amp;"R BY Col1 DESC LIMIT 20"", 0) - 1)))"),"#N/A")</f>
        <v>#N/A</v>
      </c>
      <c r="H51" s="35" t="str">
        <f t="shared" si="6"/>
        <v/>
      </c>
      <c r="I51" s="35" t="str">
        <f t="shared" si="7"/>
        <v/>
      </c>
      <c r="J51" s="37" t="str">
        <f>IFERROR(__xludf.DUMMYFUNCTION("IFERROR(
  IF(C51="""",, 
    IFERROR(
      GOOGLEFINANCE(C51, ""price"") * GOOGLEFINANCE(C51, ""volumeavg""), 
      GOOGLEFINANCE(C51, ""price"") * AVERAGE(QUERY(GOOGLEFINANCE(C51, ""volume"", TODAY()-40, TODAY()), ""SELECT Col2 WHERE Col2 IS NOT NULL "&amp;"ORDER BY Col1 DESC LIMIT 20"", 0))
    )
  ), 
"""")"),"")</f>
        <v/>
      </c>
      <c r="K51" s="21" t="str">
        <f>IFERROR(__xludf.DUMMYFUNCTION("IFERROR(GOOGLEFINANCE(C51, ""changepct"") / 100, """")"),"")</f>
        <v/>
      </c>
      <c r="L51" s="21" t="str">
        <f>IFERROR(__xludf.DUMMYFUNCTION("IFERROR((GOOGLEFINANCE(C51, ""price"") / INDEX(GOOGLEFINANCE(C51, ""price"", TODAY()-7, TODAY()), 2, 2)) - 1, """")"),"")</f>
        <v/>
      </c>
      <c r="M51" s="21" t="str">
        <f>IFERROR(__xludf.DUMMYFUNCTION("IFERROR((GOOGLEFINANCE(C51, ""price"") / INDEX(GOOGLEFINANCE(C51, ""price"", EDATE(TODAY(), -1), TODAY()), 2, 2)) - 1, """")"),"")</f>
        <v/>
      </c>
      <c r="N51" s="21" t="str">
        <f>IFERROR(__xludf.DUMMYFUNCTION("IFERROR((GOOGLEFINANCE(C51, ""price"") / INDEX(GOOGLEFINANCE(C51, ""price"", EDATE(TODAY(), -3), TODAY()), 2, 2)) - 1, """")"),"")</f>
        <v/>
      </c>
      <c r="O51" s="21" t="str">
        <f>IFERROR(__xludf.DUMMYFUNCTION("IFERROR((GOOGLEFINANCE(C51, ""price"") / INDEX(GOOGLEFINANCE(C51, ""price"", EDATE(TODAY(), -6), TODAY()), 2, 2)) - 1, """")"),"")</f>
        <v/>
      </c>
      <c r="P51" s="21" t="str">
        <f>IFERROR(__xludf.DUMMYFUNCTION("IFERROR((GOOGLEFINANCE(C51, ""price"") / INDEX(GOOGLEFINANCE(C51, ""price"", EDATE(TODAY(), -12), TODAY()), 2, 2)) - 1, """")"),"")</f>
        <v/>
      </c>
      <c r="Q51" s="6" t="str">
        <f>IFERROR(__xludf.DUMMYFUNCTION("AVERAGE(QUERY(GOOGLEFINANCE(C51, ""price"", TODAY()-80, TODAY()), ""SELECT Col2 WHERE Col2 IS NOT NULL ORDER BY Col1 DESC LIMIT 50"", 0))"),"#N/A")</f>
        <v>#N/A</v>
      </c>
      <c r="R51" s="24" t="str">
        <f>IFERROR(__xludf.DUMMYFUNCTION("IFERROR(
  LET(
    data, QUERY(GOOGLEFINANCE(C51,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GOOGLEFINANCE(C51, ""price"")) * 100,
    IF(calc=0, G51, calc)
  ), 
G51)"),"#N/A")</f>
        <v>#N/A</v>
      </c>
      <c r="S51" s="8" t="s">
        <v>15</v>
      </c>
      <c r="T51" s="26" t="str">
        <f>IFERROR(__xludf.DUMMYFUNCTION("IFERROR(TRANSPOSE(QUERY(IFERROR(SORT(GOOGLEFINANCE(C51, ""price"", WORKDAY(TODAY(), -40), TODAY()), 1, FALSE)), ""select Col2 where Col2 is not null limit 22 label Col2 ''"", 0)), """")"),"")</f>
        <v/>
      </c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8"/>
      <c r="AO51" s="28"/>
      <c r="AP51" s="29"/>
      <c r="AQ51" s="29" t="str">
        <f t="shared" ref="AQ51:BL51" si="54">T51/T$2</f>
        <v>#N/A</v>
      </c>
      <c r="AR51" s="29" t="str">
        <f t="shared" si="54"/>
        <v>#DIV/0!</v>
      </c>
      <c r="AS51" s="29" t="str">
        <f t="shared" si="54"/>
        <v>#DIV/0!</v>
      </c>
      <c r="AT51" s="29" t="str">
        <f t="shared" si="54"/>
        <v>#DIV/0!</v>
      </c>
      <c r="AU51" s="29" t="str">
        <f t="shared" si="54"/>
        <v>#DIV/0!</v>
      </c>
      <c r="AV51" s="29" t="str">
        <f t="shared" si="54"/>
        <v>#DIV/0!</v>
      </c>
      <c r="AW51" s="29" t="str">
        <f t="shared" si="54"/>
        <v>#DIV/0!</v>
      </c>
      <c r="AX51" s="29" t="str">
        <f t="shared" si="54"/>
        <v>#DIV/0!</v>
      </c>
      <c r="AY51" s="29" t="str">
        <f t="shared" si="54"/>
        <v>#DIV/0!</v>
      </c>
      <c r="AZ51" s="29" t="str">
        <f t="shared" si="54"/>
        <v>#DIV/0!</v>
      </c>
      <c r="BA51" s="29" t="str">
        <f t="shared" si="54"/>
        <v>#DIV/0!</v>
      </c>
      <c r="BB51" s="29" t="str">
        <f t="shared" si="54"/>
        <v>#DIV/0!</v>
      </c>
      <c r="BC51" s="29" t="str">
        <f t="shared" si="54"/>
        <v>#DIV/0!</v>
      </c>
      <c r="BD51" s="29" t="str">
        <f t="shared" si="54"/>
        <v>#DIV/0!</v>
      </c>
      <c r="BE51" s="29" t="str">
        <f t="shared" si="54"/>
        <v>#DIV/0!</v>
      </c>
      <c r="BF51" s="29" t="str">
        <f t="shared" si="54"/>
        <v>#DIV/0!</v>
      </c>
      <c r="BG51" s="29" t="str">
        <f t="shared" si="54"/>
        <v>#DIV/0!</v>
      </c>
      <c r="BH51" s="29" t="str">
        <f t="shared" si="54"/>
        <v>#DIV/0!</v>
      </c>
      <c r="BI51" s="29" t="str">
        <f t="shared" si="54"/>
        <v>#DIV/0!</v>
      </c>
      <c r="BJ51" s="29" t="str">
        <f t="shared" si="54"/>
        <v>#DIV/0!</v>
      </c>
      <c r="BK51" s="29" t="str">
        <f t="shared" si="54"/>
        <v>#DIV/0!</v>
      </c>
      <c r="BL51" s="29" t="str">
        <f t="shared" si="54"/>
        <v>#DIV/0!</v>
      </c>
      <c r="BM51" s="29" t="str">
        <f t="shared" si="3"/>
        <v>#DIV/0!</v>
      </c>
    </row>
    <row r="52">
      <c r="A52" s="16" t="str">
        <f>IFERROR(__xludf.DUMMYFUNCTION("IFERROR(SPARKLINE(SORT(MAP(TRANSPOSE(AQ52:BL52), LAMBDA(val, IF(ISNUMBER(val), PERCENTRANK(AQ52:BL52, val)+0.01, 0))), SEQUENCE(COLUMNS(AQ52:BL52)), FALSE), {""charttype"",""column""; ""color"",""chartreuse""; ""ymin"", 0; ""ymax"", 1.01; ""highcolor"", "&amp;"""darkgreen""; ""lowcolor"", ""red""}), """")"),"")</f>
        <v/>
      </c>
      <c r="B52" s="17" t="str">
        <f t="shared" si="4"/>
        <v/>
      </c>
      <c r="C52" s="1" t="s">
        <v>287</v>
      </c>
      <c r="D52" s="30" t="str">
        <f>IFERROR(__xludf.DUMMYFUNCTION("IFERROR(GOOGLEFINANCE(C52, ""NAME""))"),"Rush Street Interactive Inc")</f>
        <v>Rush Street Interactive Inc</v>
      </c>
      <c r="E52" s="30" t="s">
        <v>234</v>
      </c>
      <c r="F52" s="33" t="str">
        <f>IFERROR(__xludf.DUMMYFUNCTION("( (GOOGLEFINANCE(C52, ""price"") - Q52) / Q52 ) / (R52 / 100)"),"Loading...")</f>
        <v>Loading...</v>
      </c>
      <c r="G52" s="20" t="str">
        <f>IFERROR(__xludf.DUMMYFUNCTION("AVERAGE(ARRAYFORMULA(100 * (QUERY(GOOGLEFINANCE(C52, ""high"", TODAY()-40, TODAY()), ""SELECT Col2 WHERE Col2 IS NOT NULL ORDER BY Col1 DESC LIMIT 20"", 0) / QUERY(GOOGLEFINANCE(C52, ""low"", TODAY()-40, TODAY()), ""SELECT Col2 WHERE Col2 IS NOT NULL ORDE"&amp;"R BY Col1 DESC LIMIT 20"", 0) - 1)))"),"#N/A")</f>
        <v>#N/A</v>
      </c>
      <c r="H52" s="35" t="str">
        <f t="shared" si="6"/>
        <v/>
      </c>
      <c r="I52" s="35" t="str">
        <f t="shared" si="7"/>
        <v/>
      </c>
      <c r="J52" s="37" t="str">
        <f>IFERROR(__xludf.DUMMYFUNCTION("IFERROR(
  IF(C52="""",, 
    IFERROR(
      GOOGLEFINANCE(C52, ""price"") * GOOGLEFINANCE(C52, ""volumeavg""), 
      GOOGLEFINANCE(C52, ""price"") * AVERAGE(QUERY(GOOGLEFINANCE(C52, ""volume"", TODAY()-40, TODAY()), ""SELECT Col2 WHERE Col2 IS NOT NULL "&amp;"ORDER BY Col1 DESC LIMIT 20"", 0))
    )
  ), 
"""")"),"")</f>
        <v/>
      </c>
      <c r="K52" s="21" t="str">
        <f>IFERROR(__xludf.DUMMYFUNCTION("IFERROR(GOOGLEFINANCE(C52, ""changepct"") / 100, """")"),"")</f>
        <v/>
      </c>
      <c r="L52" s="21" t="str">
        <f>IFERROR(__xludf.DUMMYFUNCTION("IFERROR((GOOGLEFINANCE(C52, ""price"") / INDEX(GOOGLEFINANCE(C52, ""price"", TODAY()-7, TODAY()), 2, 2)) - 1, """")"),"")</f>
        <v/>
      </c>
      <c r="M52" s="21" t="str">
        <f>IFERROR(__xludf.DUMMYFUNCTION("IFERROR((GOOGLEFINANCE(C52, ""price"") / INDEX(GOOGLEFINANCE(C52, ""price"", EDATE(TODAY(), -1), TODAY()), 2, 2)) - 1, """")"),"")</f>
        <v/>
      </c>
      <c r="N52" s="21" t="str">
        <f>IFERROR(__xludf.DUMMYFUNCTION("IFERROR((GOOGLEFINANCE(C52, ""price"") / INDEX(GOOGLEFINANCE(C52, ""price"", EDATE(TODAY(), -3), TODAY()), 2, 2)) - 1, """")"),"")</f>
        <v/>
      </c>
      <c r="O52" s="21" t="str">
        <f>IFERROR(__xludf.DUMMYFUNCTION("IFERROR((GOOGLEFINANCE(C52, ""price"") / INDEX(GOOGLEFINANCE(C52, ""price"", EDATE(TODAY(), -6), TODAY()), 2, 2)) - 1, """")"),"")</f>
        <v/>
      </c>
      <c r="P52" s="21" t="str">
        <f>IFERROR(__xludf.DUMMYFUNCTION("IFERROR((GOOGLEFINANCE(C52, ""price"") / INDEX(GOOGLEFINANCE(C52, ""price"", EDATE(TODAY(), -12), TODAY()), 2, 2)) - 1, """")"),"")</f>
        <v/>
      </c>
      <c r="Q52" s="6" t="str">
        <f>IFERROR(__xludf.DUMMYFUNCTION("AVERAGE(QUERY(GOOGLEFINANCE(C52, ""price"", TODAY()-80, TODAY()), ""SELECT Col2 WHERE Col2 IS NOT NULL ORDER BY Col1 DESC LIMIT 50"", 0))"),"#N/A")</f>
        <v>#N/A</v>
      </c>
      <c r="R52" s="24" t="str">
        <f>IFERROR(__xludf.DUMMYFUNCTION("IFERROR(
  LET(
    data, QUERY(GOOGLEFINANCE(C52,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GOOGLEFINANCE(C52, ""price"")) * 100,
    IF(calc=0, G52, calc)
  ), 
G52)"),"#N/A")</f>
        <v>#N/A</v>
      </c>
      <c r="S52" s="8" t="s">
        <v>15</v>
      </c>
      <c r="T52" s="26" t="str">
        <f>IFERROR(__xludf.DUMMYFUNCTION("IFERROR(TRANSPOSE(QUERY(IFERROR(SORT(GOOGLEFINANCE(C52, ""price"", WORKDAY(TODAY(), -40), TODAY()), 1, FALSE)), ""select Col2 where Col2 is not null limit 22 label Col2 ''"", 0)), """")"),"")</f>
        <v/>
      </c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8"/>
      <c r="AO52" s="28"/>
      <c r="AP52" s="29"/>
      <c r="AQ52" s="29" t="str">
        <f t="shared" ref="AQ52:BL52" si="55">T52/T$2</f>
        <v>#N/A</v>
      </c>
      <c r="AR52" s="29" t="str">
        <f t="shared" si="55"/>
        <v>#DIV/0!</v>
      </c>
      <c r="AS52" s="29" t="str">
        <f t="shared" si="55"/>
        <v>#DIV/0!</v>
      </c>
      <c r="AT52" s="29" t="str">
        <f t="shared" si="55"/>
        <v>#DIV/0!</v>
      </c>
      <c r="AU52" s="29" t="str">
        <f t="shared" si="55"/>
        <v>#DIV/0!</v>
      </c>
      <c r="AV52" s="29" t="str">
        <f t="shared" si="55"/>
        <v>#DIV/0!</v>
      </c>
      <c r="AW52" s="29" t="str">
        <f t="shared" si="55"/>
        <v>#DIV/0!</v>
      </c>
      <c r="AX52" s="29" t="str">
        <f t="shared" si="55"/>
        <v>#DIV/0!</v>
      </c>
      <c r="AY52" s="29" t="str">
        <f t="shared" si="55"/>
        <v>#DIV/0!</v>
      </c>
      <c r="AZ52" s="29" t="str">
        <f t="shared" si="55"/>
        <v>#DIV/0!</v>
      </c>
      <c r="BA52" s="29" t="str">
        <f t="shared" si="55"/>
        <v>#DIV/0!</v>
      </c>
      <c r="BB52" s="29" t="str">
        <f t="shared" si="55"/>
        <v>#DIV/0!</v>
      </c>
      <c r="BC52" s="29" t="str">
        <f t="shared" si="55"/>
        <v>#DIV/0!</v>
      </c>
      <c r="BD52" s="29" t="str">
        <f t="shared" si="55"/>
        <v>#DIV/0!</v>
      </c>
      <c r="BE52" s="29" t="str">
        <f t="shared" si="55"/>
        <v>#DIV/0!</v>
      </c>
      <c r="BF52" s="29" t="str">
        <f t="shared" si="55"/>
        <v>#DIV/0!</v>
      </c>
      <c r="BG52" s="29" t="str">
        <f t="shared" si="55"/>
        <v>#DIV/0!</v>
      </c>
      <c r="BH52" s="29" t="str">
        <f t="shared" si="55"/>
        <v>#DIV/0!</v>
      </c>
      <c r="BI52" s="29" t="str">
        <f t="shared" si="55"/>
        <v>#DIV/0!</v>
      </c>
      <c r="BJ52" s="29" t="str">
        <f t="shared" si="55"/>
        <v>#DIV/0!</v>
      </c>
      <c r="BK52" s="29" t="str">
        <f t="shared" si="55"/>
        <v>#DIV/0!</v>
      </c>
      <c r="BL52" s="29" t="str">
        <f t="shared" si="55"/>
        <v>#DIV/0!</v>
      </c>
      <c r="BM52" s="29" t="str">
        <f t="shared" si="3"/>
        <v>#DIV/0!</v>
      </c>
    </row>
    <row r="53">
      <c r="A53" s="16" t="str">
        <f>IFERROR(__xludf.DUMMYFUNCTION("IFERROR(SPARKLINE(SORT(MAP(TRANSPOSE(AQ53:BL53), LAMBDA(val, IF(ISNUMBER(val), PERCENTRANK(AQ53:BL53, val)+0.01, 0))), SEQUENCE(COLUMNS(AQ53:BL53)), FALSE), {""charttype"",""column""; ""color"",""chartreuse""; ""ymin"", 0; ""ymax"", 1.01; ""highcolor"", "&amp;"""darkgreen""; ""lowcolor"", ""red""}), """")"),"")</f>
        <v/>
      </c>
      <c r="B53" s="17" t="str">
        <f t="shared" si="4"/>
        <v/>
      </c>
      <c r="C53" s="1" t="s">
        <v>290</v>
      </c>
      <c r="D53" s="30" t="str">
        <f>IFERROR(__xludf.DUMMYFUNCTION("IFERROR(GOOGLEFINANCE(C53, ""NAME""))"),"Polaris Inc")</f>
        <v>Polaris Inc</v>
      </c>
      <c r="E53" s="30" t="s">
        <v>165</v>
      </c>
      <c r="F53" s="33" t="str">
        <f>IFERROR(__xludf.DUMMYFUNCTION("( (GOOGLEFINANCE(C53, ""price"") - Q53) / Q53 ) / (R53 / 100)"),"Loading...")</f>
        <v>Loading...</v>
      </c>
      <c r="G53" s="20" t="str">
        <f>IFERROR(__xludf.DUMMYFUNCTION("AVERAGE(ARRAYFORMULA(100 * (QUERY(GOOGLEFINANCE(C53, ""high"", TODAY()-40, TODAY()), ""SELECT Col2 WHERE Col2 IS NOT NULL ORDER BY Col1 DESC LIMIT 20"", 0) / QUERY(GOOGLEFINANCE(C53, ""low"", TODAY()-40, TODAY()), ""SELECT Col2 WHERE Col2 IS NOT NULL ORDE"&amp;"R BY Col1 DESC LIMIT 20"", 0) - 1)))"),"#N/A")</f>
        <v>#N/A</v>
      </c>
      <c r="H53" s="35" t="str">
        <f t="shared" si="6"/>
        <v/>
      </c>
      <c r="I53" s="35" t="str">
        <f t="shared" si="7"/>
        <v/>
      </c>
      <c r="J53" s="37" t="str">
        <f>IFERROR(__xludf.DUMMYFUNCTION("IFERROR(
  IF(C53="""",, 
    IFERROR(
      GOOGLEFINANCE(C53, ""price"") * GOOGLEFINANCE(C53, ""volumeavg""), 
      GOOGLEFINANCE(C53, ""price"") * AVERAGE(QUERY(GOOGLEFINANCE(C53, ""volume"", TODAY()-40, TODAY()), ""SELECT Col2 WHERE Col2 IS NOT NULL "&amp;"ORDER BY Col1 DESC LIMIT 20"", 0))
    )
  ), 
"""")"),"")</f>
        <v/>
      </c>
      <c r="K53" s="21" t="str">
        <f>IFERROR(__xludf.DUMMYFUNCTION("IFERROR(GOOGLEFINANCE(C53, ""changepct"") / 100, """")"),"")</f>
        <v/>
      </c>
      <c r="L53" s="21" t="str">
        <f>IFERROR(__xludf.DUMMYFUNCTION("IFERROR((GOOGLEFINANCE(C53, ""price"") / INDEX(GOOGLEFINANCE(C53, ""price"", TODAY()-7, TODAY()), 2, 2)) - 1, """")"),"")</f>
        <v/>
      </c>
      <c r="M53" s="21" t="str">
        <f>IFERROR(__xludf.DUMMYFUNCTION("IFERROR((GOOGLEFINANCE(C53, ""price"") / INDEX(GOOGLEFINANCE(C53, ""price"", EDATE(TODAY(), -1), TODAY()), 2, 2)) - 1, """")"),"")</f>
        <v/>
      </c>
      <c r="N53" s="21" t="str">
        <f>IFERROR(__xludf.DUMMYFUNCTION("IFERROR((GOOGLEFINANCE(C53, ""price"") / INDEX(GOOGLEFINANCE(C53, ""price"", EDATE(TODAY(), -3), TODAY()), 2, 2)) - 1, """")"),"")</f>
        <v/>
      </c>
      <c r="O53" s="21" t="str">
        <f>IFERROR(__xludf.DUMMYFUNCTION("IFERROR((GOOGLEFINANCE(C53, ""price"") / INDEX(GOOGLEFINANCE(C53, ""price"", EDATE(TODAY(), -6), TODAY()), 2, 2)) - 1, """")"),"")</f>
        <v/>
      </c>
      <c r="P53" s="21" t="str">
        <f>IFERROR(__xludf.DUMMYFUNCTION("IFERROR((GOOGLEFINANCE(C53, ""price"") / INDEX(GOOGLEFINANCE(C53, ""price"", EDATE(TODAY(), -12), TODAY()), 2, 2)) - 1, """")"),"")</f>
        <v/>
      </c>
      <c r="Q53" s="6" t="str">
        <f>IFERROR(__xludf.DUMMYFUNCTION("AVERAGE(QUERY(GOOGLEFINANCE(C53, ""price"", TODAY()-80, TODAY()), ""SELECT Col2 WHERE Col2 IS NOT NULL ORDER BY Col1 DESC LIMIT 50"", 0))"),"#N/A")</f>
        <v>#N/A</v>
      </c>
      <c r="R53" s="24" t="str">
        <f>IFERROR(__xludf.DUMMYFUNCTION("IFERROR(
  LET(
    data, QUERY(GOOGLEFINANCE(C53,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GOOGLEFINANCE(C53, ""price"")) * 100,
    IF(calc=0, G53, calc)
  ), 
G53)"),"#N/A")</f>
        <v>#N/A</v>
      </c>
      <c r="S53" s="8" t="s">
        <v>15</v>
      </c>
      <c r="T53" s="26" t="str">
        <f>IFERROR(__xludf.DUMMYFUNCTION("IFERROR(TRANSPOSE(QUERY(IFERROR(SORT(GOOGLEFINANCE(C53, ""price"", WORKDAY(TODAY(), -40), TODAY()), 1, FALSE)), ""select Col2 where Col2 is not null limit 22 label Col2 ''"", 0)), """")"),"")</f>
        <v/>
      </c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8"/>
      <c r="AO53" s="28"/>
      <c r="AP53" s="29"/>
      <c r="AQ53" s="29" t="str">
        <f t="shared" ref="AQ53:BL53" si="56">T53/T$2</f>
        <v>#N/A</v>
      </c>
      <c r="AR53" s="29" t="str">
        <f t="shared" si="56"/>
        <v>#DIV/0!</v>
      </c>
      <c r="AS53" s="29" t="str">
        <f t="shared" si="56"/>
        <v>#DIV/0!</v>
      </c>
      <c r="AT53" s="29" t="str">
        <f t="shared" si="56"/>
        <v>#DIV/0!</v>
      </c>
      <c r="AU53" s="29" t="str">
        <f t="shared" si="56"/>
        <v>#DIV/0!</v>
      </c>
      <c r="AV53" s="29" t="str">
        <f t="shared" si="56"/>
        <v>#DIV/0!</v>
      </c>
      <c r="AW53" s="29" t="str">
        <f t="shared" si="56"/>
        <v>#DIV/0!</v>
      </c>
      <c r="AX53" s="29" t="str">
        <f t="shared" si="56"/>
        <v>#DIV/0!</v>
      </c>
      <c r="AY53" s="29" t="str">
        <f t="shared" si="56"/>
        <v>#DIV/0!</v>
      </c>
      <c r="AZ53" s="29" t="str">
        <f t="shared" si="56"/>
        <v>#DIV/0!</v>
      </c>
      <c r="BA53" s="29" t="str">
        <f t="shared" si="56"/>
        <v>#DIV/0!</v>
      </c>
      <c r="BB53" s="29" t="str">
        <f t="shared" si="56"/>
        <v>#DIV/0!</v>
      </c>
      <c r="BC53" s="29" t="str">
        <f t="shared" si="56"/>
        <v>#DIV/0!</v>
      </c>
      <c r="BD53" s="29" t="str">
        <f t="shared" si="56"/>
        <v>#DIV/0!</v>
      </c>
      <c r="BE53" s="29" t="str">
        <f t="shared" si="56"/>
        <v>#DIV/0!</v>
      </c>
      <c r="BF53" s="29" t="str">
        <f t="shared" si="56"/>
        <v>#DIV/0!</v>
      </c>
      <c r="BG53" s="29" t="str">
        <f t="shared" si="56"/>
        <v>#DIV/0!</v>
      </c>
      <c r="BH53" s="29" t="str">
        <f t="shared" si="56"/>
        <v>#DIV/0!</v>
      </c>
      <c r="BI53" s="29" t="str">
        <f t="shared" si="56"/>
        <v>#DIV/0!</v>
      </c>
      <c r="BJ53" s="29" t="str">
        <f t="shared" si="56"/>
        <v>#DIV/0!</v>
      </c>
      <c r="BK53" s="29" t="str">
        <f t="shared" si="56"/>
        <v>#DIV/0!</v>
      </c>
      <c r="BL53" s="29" t="str">
        <f t="shared" si="56"/>
        <v>#DIV/0!</v>
      </c>
      <c r="BM53" s="29" t="str">
        <f t="shared" si="3"/>
        <v>#DIV/0!</v>
      </c>
    </row>
    <row r="54">
      <c r="A54" s="16" t="str">
        <f>IFERROR(__xludf.DUMMYFUNCTION("IFERROR(SPARKLINE(SORT(MAP(TRANSPOSE(AQ54:BL54), LAMBDA(val, IF(ISNUMBER(val), PERCENTRANK(AQ54:BL54, val)+0.01, 0))), SEQUENCE(COLUMNS(AQ54:BL54)), FALSE), {""charttype"",""column""; ""color"",""chartreuse""; ""ymin"", 0; ""ymax"", 1.01; ""highcolor"", "&amp;"""darkgreen""; ""lowcolor"", ""red""}), """")"),"")</f>
        <v/>
      </c>
      <c r="B54" s="17" t="str">
        <f t="shared" si="4"/>
        <v/>
      </c>
      <c r="C54" s="1" t="s">
        <v>294</v>
      </c>
      <c r="D54" s="30" t="str">
        <f>IFERROR(__xludf.DUMMYFUNCTION("IFERROR(GOOGLEFINANCE(C54, ""NAME""))"),"Arko Corp.")</f>
        <v>Arko Corp.</v>
      </c>
      <c r="E54" s="30" t="s">
        <v>184</v>
      </c>
      <c r="F54" s="33" t="str">
        <f>IFERROR(__xludf.DUMMYFUNCTION("( (GOOGLEFINANCE(C54, ""price"") - Q54) / Q54 ) / (R54 / 100)"),"Loading...")</f>
        <v>Loading...</v>
      </c>
      <c r="G54" s="20" t="str">
        <f>IFERROR(__xludf.DUMMYFUNCTION("AVERAGE(ARRAYFORMULA(100 * (QUERY(GOOGLEFINANCE(C54, ""high"", TODAY()-40, TODAY()), ""SELECT Col2 WHERE Col2 IS NOT NULL ORDER BY Col1 DESC LIMIT 20"", 0) / QUERY(GOOGLEFINANCE(C54, ""low"", TODAY()-40, TODAY()), ""SELECT Col2 WHERE Col2 IS NOT NULL ORDE"&amp;"R BY Col1 DESC LIMIT 20"", 0) - 1)))"),"#N/A")</f>
        <v>#N/A</v>
      </c>
      <c r="H54" s="35" t="str">
        <f t="shared" si="6"/>
        <v/>
      </c>
      <c r="I54" s="35" t="str">
        <f t="shared" si="7"/>
        <v/>
      </c>
      <c r="J54" s="37" t="str">
        <f>IFERROR(__xludf.DUMMYFUNCTION("IFERROR(
  IF(C54="""",, 
    IFERROR(
      GOOGLEFINANCE(C54, ""price"") * GOOGLEFINANCE(C54, ""volumeavg""), 
      GOOGLEFINANCE(C54, ""price"") * AVERAGE(QUERY(GOOGLEFINANCE(C54, ""volume"", TODAY()-40, TODAY()), ""SELECT Col2 WHERE Col2 IS NOT NULL "&amp;"ORDER BY Col1 DESC LIMIT 20"", 0))
    )
  ), 
"""")"),"")</f>
        <v/>
      </c>
      <c r="K54" s="21" t="str">
        <f>IFERROR(__xludf.DUMMYFUNCTION("IFERROR(GOOGLEFINANCE(C54, ""changepct"") / 100, """")"),"")</f>
        <v/>
      </c>
      <c r="L54" s="21" t="str">
        <f>IFERROR(__xludf.DUMMYFUNCTION("IFERROR((GOOGLEFINANCE(C54, ""price"") / INDEX(GOOGLEFINANCE(C54, ""price"", TODAY()-7, TODAY()), 2, 2)) - 1, """")"),"")</f>
        <v/>
      </c>
      <c r="M54" s="21" t="str">
        <f>IFERROR(__xludf.DUMMYFUNCTION("IFERROR((GOOGLEFINANCE(C54, ""price"") / INDEX(GOOGLEFINANCE(C54, ""price"", EDATE(TODAY(), -1), TODAY()), 2, 2)) - 1, """")"),"")</f>
        <v/>
      </c>
      <c r="N54" s="21" t="str">
        <f>IFERROR(__xludf.DUMMYFUNCTION("IFERROR((GOOGLEFINANCE(C54, ""price"") / INDEX(GOOGLEFINANCE(C54, ""price"", EDATE(TODAY(), -3), TODAY()), 2, 2)) - 1, """")"),"")</f>
        <v/>
      </c>
      <c r="O54" s="21" t="str">
        <f>IFERROR(__xludf.DUMMYFUNCTION("IFERROR((GOOGLEFINANCE(C54, ""price"") / INDEX(GOOGLEFINANCE(C54, ""price"", EDATE(TODAY(), -6), TODAY()), 2, 2)) - 1, """")"),"")</f>
        <v/>
      </c>
      <c r="P54" s="21" t="str">
        <f>IFERROR(__xludf.DUMMYFUNCTION("IFERROR((GOOGLEFINANCE(C54, ""price"") / INDEX(GOOGLEFINANCE(C54, ""price"", EDATE(TODAY(), -12), TODAY()), 2, 2)) - 1, """")"),"")</f>
        <v/>
      </c>
      <c r="Q54" s="6" t="str">
        <f>IFERROR(__xludf.DUMMYFUNCTION("AVERAGE(QUERY(GOOGLEFINANCE(C54, ""price"", TODAY()-80, TODAY()), ""SELECT Col2 WHERE Col2 IS NOT NULL ORDER BY Col1 DESC LIMIT 50"", 0))"),"#N/A")</f>
        <v>#N/A</v>
      </c>
      <c r="R54" s="24" t="str">
        <f>IFERROR(__xludf.DUMMYFUNCTION("IFERROR(
  LET(
    data, QUERY(GOOGLEFINANCE(C54,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GOOGLEFINANCE(C54, ""price"")) * 100,
    IF(calc=0, G54, calc)
  ), 
G54)"),"#N/A")</f>
        <v>#N/A</v>
      </c>
      <c r="S54" s="8" t="s">
        <v>15</v>
      </c>
      <c r="T54" s="26" t="str">
        <f>IFERROR(__xludf.DUMMYFUNCTION("IFERROR(TRANSPOSE(QUERY(IFERROR(SORT(GOOGLEFINANCE(C54, ""price"", WORKDAY(TODAY(), -40), TODAY()), 1, FALSE)), ""select Col2 where Col2 is not null limit 22 label Col2 ''"", 0)), """")"),"")</f>
        <v/>
      </c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8"/>
      <c r="AO54" s="28"/>
      <c r="AP54" s="29"/>
      <c r="AQ54" s="29" t="str">
        <f t="shared" ref="AQ54:BL54" si="57">T54/T$2</f>
        <v>#N/A</v>
      </c>
      <c r="AR54" s="29" t="str">
        <f t="shared" si="57"/>
        <v>#DIV/0!</v>
      </c>
      <c r="AS54" s="29" t="str">
        <f t="shared" si="57"/>
        <v>#DIV/0!</v>
      </c>
      <c r="AT54" s="29" t="str">
        <f t="shared" si="57"/>
        <v>#DIV/0!</v>
      </c>
      <c r="AU54" s="29" t="str">
        <f t="shared" si="57"/>
        <v>#DIV/0!</v>
      </c>
      <c r="AV54" s="29" t="str">
        <f t="shared" si="57"/>
        <v>#DIV/0!</v>
      </c>
      <c r="AW54" s="29" t="str">
        <f t="shared" si="57"/>
        <v>#DIV/0!</v>
      </c>
      <c r="AX54" s="29" t="str">
        <f t="shared" si="57"/>
        <v>#DIV/0!</v>
      </c>
      <c r="AY54" s="29" t="str">
        <f t="shared" si="57"/>
        <v>#DIV/0!</v>
      </c>
      <c r="AZ54" s="29" t="str">
        <f t="shared" si="57"/>
        <v>#DIV/0!</v>
      </c>
      <c r="BA54" s="29" t="str">
        <f t="shared" si="57"/>
        <v>#DIV/0!</v>
      </c>
      <c r="BB54" s="29" t="str">
        <f t="shared" si="57"/>
        <v>#DIV/0!</v>
      </c>
      <c r="BC54" s="29" t="str">
        <f t="shared" si="57"/>
        <v>#DIV/0!</v>
      </c>
      <c r="BD54" s="29" t="str">
        <f t="shared" si="57"/>
        <v>#DIV/0!</v>
      </c>
      <c r="BE54" s="29" t="str">
        <f t="shared" si="57"/>
        <v>#DIV/0!</v>
      </c>
      <c r="BF54" s="29" t="str">
        <f t="shared" si="57"/>
        <v>#DIV/0!</v>
      </c>
      <c r="BG54" s="29" t="str">
        <f t="shared" si="57"/>
        <v>#DIV/0!</v>
      </c>
      <c r="BH54" s="29" t="str">
        <f t="shared" si="57"/>
        <v>#DIV/0!</v>
      </c>
      <c r="BI54" s="29" t="str">
        <f t="shared" si="57"/>
        <v>#DIV/0!</v>
      </c>
      <c r="BJ54" s="29" t="str">
        <f t="shared" si="57"/>
        <v>#DIV/0!</v>
      </c>
      <c r="BK54" s="29" t="str">
        <f t="shared" si="57"/>
        <v>#DIV/0!</v>
      </c>
      <c r="BL54" s="29" t="str">
        <f t="shared" si="57"/>
        <v>#DIV/0!</v>
      </c>
      <c r="BM54" s="29" t="str">
        <f t="shared" si="3"/>
        <v>#DIV/0!</v>
      </c>
    </row>
    <row r="55">
      <c r="A55" s="16" t="str">
        <f>IFERROR(__xludf.DUMMYFUNCTION("IFERROR(SPARKLINE(SORT(MAP(TRANSPOSE(AQ55:BL55), LAMBDA(val, IF(ISNUMBER(val), PERCENTRANK(AQ55:BL55, val)+0.01, 0))), SEQUENCE(COLUMNS(AQ55:BL55)), FALSE), {""charttype"",""column""; ""color"",""chartreuse""; ""ymin"", 0; ""ymax"", 1.01; ""highcolor"", "&amp;"""darkgreen""; ""lowcolor"", ""red""}), """")"),"")</f>
        <v/>
      </c>
      <c r="B55" s="17" t="str">
        <f t="shared" si="4"/>
        <v/>
      </c>
      <c r="C55" s="1" t="s">
        <v>298</v>
      </c>
      <c r="D55" s="30" t="str">
        <f>IFERROR(__xludf.DUMMYFUNCTION("IFERROR(GOOGLEFINANCE(C55, ""NAME""))"),"Penske Automotive Group Inc")</f>
        <v>Penske Automotive Group Inc</v>
      </c>
      <c r="E55" s="30" t="s">
        <v>190</v>
      </c>
      <c r="F55" s="33" t="str">
        <f>IFERROR(__xludf.DUMMYFUNCTION("( (GOOGLEFINANCE(C55, ""price"") - Q55) / Q55 ) / (R55 / 100)"),"Loading...")</f>
        <v>Loading...</v>
      </c>
      <c r="G55" s="20" t="str">
        <f>IFERROR(__xludf.DUMMYFUNCTION("AVERAGE(ARRAYFORMULA(100 * (QUERY(GOOGLEFINANCE(C55, ""high"", TODAY()-40, TODAY()), ""SELECT Col2 WHERE Col2 IS NOT NULL ORDER BY Col1 DESC LIMIT 20"", 0) / QUERY(GOOGLEFINANCE(C55, ""low"", TODAY()-40, TODAY()), ""SELECT Col2 WHERE Col2 IS NOT NULL ORDE"&amp;"R BY Col1 DESC LIMIT 20"", 0) - 1)))"),"#N/A")</f>
        <v>#N/A</v>
      </c>
      <c r="H55" s="35" t="str">
        <f t="shared" si="6"/>
        <v/>
      </c>
      <c r="I55" s="35" t="str">
        <f t="shared" si="7"/>
        <v/>
      </c>
      <c r="J55" s="37" t="str">
        <f>IFERROR(__xludf.DUMMYFUNCTION("IFERROR(
  IF(C55="""",, 
    IFERROR(
      GOOGLEFINANCE(C55, ""price"") * GOOGLEFINANCE(C55, ""volumeavg""), 
      GOOGLEFINANCE(C55, ""price"") * AVERAGE(QUERY(GOOGLEFINANCE(C55, ""volume"", TODAY()-40, TODAY()), ""SELECT Col2 WHERE Col2 IS NOT NULL "&amp;"ORDER BY Col1 DESC LIMIT 20"", 0))
    )
  ), 
"""")"),"")</f>
        <v/>
      </c>
      <c r="K55" s="21" t="str">
        <f>IFERROR(__xludf.DUMMYFUNCTION("IFERROR(GOOGLEFINANCE(C55, ""changepct"") / 100, """")"),"")</f>
        <v/>
      </c>
      <c r="L55" s="21" t="str">
        <f>IFERROR(__xludf.DUMMYFUNCTION("IFERROR((GOOGLEFINANCE(C55, ""price"") / INDEX(GOOGLEFINANCE(C55, ""price"", TODAY()-7, TODAY()), 2, 2)) - 1, """")"),"")</f>
        <v/>
      </c>
      <c r="M55" s="21" t="str">
        <f>IFERROR(__xludf.DUMMYFUNCTION("IFERROR((GOOGLEFINANCE(C55, ""price"") / INDEX(GOOGLEFINANCE(C55, ""price"", EDATE(TODAY(), -1), TODAY()), 2, 2)) - 1, """")"),"")</f>
        <v/>
      </c>
      <c r="N55" s="21" t="str">
        <f>IFERROR(__xludf.DUMMYFUNCTION("IFERROR((GOOGLEFINANCE(C55, ""price"") / INDEX(GOOGLEFINANCE(C55, ""price"", EDATE(TODAY(), -3), TODAY()), 2, 2)) - 1, """")"),"")</f>
        <v/>
      </c>
      <c r="O55" s="21" t="str">
        <f>IFERROR(__xludf.DUMMYFUNCTION("IFERROR((GOOGLEFINANCE(C55, ""price"") / INDEX(GOOGLEFINANCE(C55, ""price"", EDATE(TODAY(), -6), TODAY()), 2, 2)) - 1, """")"),"")</f>
        <v/>
      </c>
      <c r="P55" s="21" t="str">
        <f>IFERROR(__xludf.DUMMYFUNCTION("IFERROR((GOOGLEFINANCE(C55, ""price"") / INDEX(GOOGLEFINANCE(C55, ""price"", EDATE(TODAY(), -12), TODAY()), 2, 2)) - 1, """")"),"")</f>
        <v/>
      </c>
      <c r="Q55" s="6" t="str">
        <f>IFERROR(__xludf.DUMMYFUNCTION("AVERAGE(QUERY(GOOGLEFINANCE(C55, ""price"", TODAY()-80, TODAY()), ""SELECT Col2 WHERE Col2 IS NOT NULL ORDER BY Col1 DESC LIMIT 50"", 0))"),"#N/A")</f>
        <v>#N/A</v>
      </c>
      <c r="R55" s="24" t="str">
        <f>IFERROR(__xludf.DUMMYFUNCTION("IFERROR(
  LET(
    data, QUERY(GOOGLEFINANCE(C55,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GOOGLEFINANCE(C55, ""price"")) * 100,
    IF(calc=0, G55, calc)
  ), 
G55)"),"#N/A")</f>
        <v>#N/A</v>
      </c>
      <c r="S55" s="8" t="s">
        <v>15</v>
      </c>
      <c r="T55" s="26" t="str">
        <f>IFERROR(__xludf.DUMMYFUNCTION("IFERROR(TRANSPOSE(QUERY(IFERROR(SORT(GOOGLEFINANCE(C55, ""price"", WORKDAY(TODAY(), -40), TODAY()), 1, FALSE)), ""select Col2 where Col2 is not null limit 22 label Col2 ''"", 0)), """")"),"")</f>
        <v/>
      </c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8"/>
      <c r="AO55" s="28"/>
      <c r="AP55" s="29"/>
      <c r="AQ55" s="29" t="str">
        <f t="shared" ref="AQ55:BL55" si="58">T55/T$2</f>
        <v>#N/A</v>
      </c>
      <c r="AR55" s="29" t="str">
        <f t="shared" si="58"/>
        <v>#DIV/0!</v>
      </c>
      <c r="AS55" s="29" t="str">
        <f t="shared" si="58"/>
        <v>#DIV/0!</v>
      </c>
      <c r="AT55" s="29" t="str">
        <f t="shared" si="58"/>
        <v>#DIV/0!</v>
      </c>
      <c r="AU55" s="29" t="str">
        <f t="shared" si="58"/>
        <v>#DIV/0!</v>
      </c>
      <c r="AV55" s="29" t="str">
        <f t="shared" si="58"/>
        <v>#DIV/0!</v>
      </c>
      <c r="AW55" s="29" t="str">
        <f t="shared" si="58"/>
        <v>#DIV/0!</v>
      </c>
      <c r="AX55" s="29" t="str">
        <f t="shared" si="58"/>
        <v>#DIV/0!</v>
      </c>
      <c r="AY55" s="29" t="str">
        <f t="shared" si="58"/>
        <v>#DIV/0!</v>
      </c>
      <c r="AZ55" s="29" t="str">
        <f t="shared" si="58"/>
        <v>#DIV/0!</v>
      </c>
      <c r="BA55" s="29" t="str">
        <f t="shared" si="58"/>
        <v>#DIV/0!</v>
      </c>
      <c r="BB55" s="29" t="str">
        <f t="shared" si="58"/>
        <v>#DIV/0!</v>
      </c>
      <c r="BC55" s="29" t="str">
        <f t="shared" si="58"/>
        <v>#DIV/0!</v>
      </c>
      <c r="BD55" s="29" t="str">
        <f t="shared" si="58"/>
        <v>#DIV/0!</v>
      </c>
      <c r="BE55" s="29" t="str">
        <f t="shared" si="58"/>
        <v>#DIV/0!</v>
      </c>
      <c r="BF55" s="29" t="str">
        <f t="shared" si="58"/>
        <v>#DIV/0!</v>
      </c>
      <c r="BG55" s="29" t="str">
        <f t="shared" si="58"/>
        <v>#DIV/0!</v>
      </c>
      <c r="BH55" s="29" t="str">
        <f t="shared" si="58"/>
        <v>#DIV/0!</v>
      </c>
      <c r="BI55" s="29" t="str">
        <f t="shared" si="58"/>
        <v>#DIV/0!</v>
      </c>
      <c r="BJ55" s="29" t="str">
        <f t="shared" si="58"/>
        <v>#DIV/0!</v>
      </c>
      <c r="BK55" s="29" t="str">
        <f t="shared" si="58"/>
        <v>#DIV/0!</v>
      </c>
      <c r="BL55" s="29" t="str">
        <f t="shared" si="58"/>
        <v>#DIV/0!</v>
      </c>
      <c r="BM55" s="29" t="str">
        <f t="shared" si="3"/>
        <v>#DIV/0!</v>
      </c>
    </row>
    <row r="56">
      <c r="A56" s="16" t="str">
        <f>IFERROR(__xludf.DUMMYFUNCTION("IFERROR(SPARKLINE(SORT(MAP(TRANSPOSE(AQ56:BL56), LAMBDA(val, IF(ISNUMBER(val), PERCENTRANK(AQ56:BL56, val)+0.01, 0))), SEQUENCE(COLUMNS(AQ56:BL56)), FALSE), {""charttype"",""column""; ""color"",""chartreuse""; ""ymin"", 0; ""ymax"", 1.01; ""highcolor"", "&amp;"""darkgreen""; ""lowcolor"", ""red""}), """")"),"")</f>
        <v/>
      </c>
      <c r="B56" s="17" t="str">
        <f t="shared" si="4"/>
        <v/>
      </c>
      <c r="C56" s="1" t="s">
        <v>302</v>
      </c>
      <c r="D56" s="30" t="str">
        <f>IFERROR(__xludf.DUMMYFUNCTION("IFERROR(GOOGLEFINANCE(C56, ""NAME""))"),"Lucky Strike Entertainment Corp")</f>
        <v>Lucky Strike Entertainment Corp</v>
      </c>
      <c r="E56" s="30" t="s">
        <v>158</v>
      </c>
      <c r="F56" s="33" t="str">
        <f>IFERROR(__xludf.DUMMYFUNCTION("( (GOOGLEFINANCE(C56, ""price"") - Q56) / Q56 ) / (R56 / 100)"),"Loading...")</f>
        <v>Loading...</v>
      </c>
      <c r="G56" s="20" t="str">
        <f>IFERROR(__xludf.DUMMYFUNCTION("AVERAGE(ARRAYFORMULA(100 * (QUERY(GOOGLEFINANCE(C56, ""high"", TODAY()-40, TODAY()), ""SELECT Col2 WHERE Col2 IS NOT NULL ORDER BY Col1 DESC LIMIT 20"", 0) / QUERY(GOOGLEFINANCE(C56, ""low"", TODAY()-40, TODAY()), ""SELECT Col2 WHERE Col2 IS NOT NULL ORDE"&amp;"R BY Col1 DESC LIMIT 20"", 0) - 1)))"),"#N/A")</f>
        <v>#N/A</v>
      </c>
      <c r="H56" s="35" t="str">
        <f t="shared" si="6"/>
        <v/>
      </c>
      <c r="I56" s="35" t="str">
        <f t="shared" si="7"/>
        <v/>
      </c>
      <c r="J56" s="37" t="str">
        <f>IFERROR(__xludf.DUMMYFUNCTION("IFERROR(
  IF(C56="""",, 
    IFERROR(
      GOOGLEFINANCE(C56, ""price"") * GOOGLEFINANCE(C56, ""volumeavg""), 
      GOOGLEFINANCE(C56, ""price"") * AVERAGE(QUERY(GOOGLEFINANCE(C56, ""volume"", TODAY()-40, TODAY()), ""SELECT Col2 WHERE Col2 IS NOT NULL "&amp;"ORDER BY Col1 DESC LIMIT 20"", 0))
    )
  ), 
"""")"),"")</f>
        <v/>
      </c>
      <c r="K56" s="21" t="str">
        <f>IFERROR(__xludf.DUMMYFUNCTION("IFERROR(GOOGLEFINANCE(C56, ""changepct"") / 100, """")"),"")</f>
        <v/>
      </c>
      <c r="L56" s="21" t="str">
        <f>IFERROR(__xludf.DUMMYFUNCTION("IFERROR((GOOGLEFINANCE(C56, ""price"") / INDEX(GOOGLEFINANCE(C56, ""price"", TODAY()-7, TODAY()), 2, 2)) - 1, """")"),"")</f>
        <v/>
      </c>
      <c r="M56" s="21" t="str">
        <f>IFERROR(__xludf.DUMMYFUNCTION("IFERROR((GOOGLEFINANCE(C56, ""price"") / INDEX(GOOGLEFINANCE(C56, ""price"", EDATE(TODAY(), -1), TODAY()), 2, 2)) - 1, """")"),"")</f>
        <v/>
      </c>
      <c r="N56" s="21" t="str">
        <f>IFERROR(__xludf.DUMMYFUNCTION("IFERROR((GOOGLEFINANCE(C56, ""price"") / INDEX(GOOGLEFINANCE(C56, ""price"", EDATE(TODAY(), -3), TODAY()), 2, 2)) - 1, """")"),"")</f>
        <v/>
      </c>
      <c r="O56" s="21" t="str">
        <f>IFERROR(__xludf.DUMMYFUNCTION("IFERROR((GOOGLEFINANCE(C56, ""price"") / INDEX(GOOGLEFINANCE(C56, ""price"", EDATE(TODAY(), -6), TODAY()), 2, 2)) - 1, """")"),"")</f>
        <v/>
      </c>
      <c r="P56" s="21" t="str">
        <f>IFERROR(__xludf.DUMMYFUNCTION("IFERROR((GOOGLEFINANCE(C56, ""price"") / INDEX(GOOGLEFINANCE(C56, ""price"", EDATE(TODAY(), -12), TODAY()), 2, 2)) - 1, """")"),"")</f>
        <v/>
      </c>
      <c r="Q56" s="6" t="str">
        <f>IFERROR(__xludf.DUMMYFUNCTION("AVERAGE(QUERY(GOOGLEFINANCE(C56, ""price"", TODAY()-80, TODAY()), ""SELECT Col2 WHERE Col2 IS NOT NULL ORDER BY Col1 DESC LIMIT 50"", 0))"),"#N/A")</f>
        <v>#N/A</v>
      </c>
      <c r="R56" s="24" t="str">
        <f>IFERROR(__xludf.DUMMYFUNCTION("IFERROR(
  LET(
    data, QUERY(GOOGLEFINANCE(C56,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GOOGLEFINANCE(C56, ""price"")) * 100,
    IF(calc=0, G56, calc)
  ), 
G56)"),"#N/A")</f>
        <v>#N/A</v>
      </c>
      <c r="S56" s="8" t="s">
        <v>15</v>
      </c>
      <c r="T56" s="26" t="str">
        <f>IFERROR(__xludf.DUMMYFUNCTION("IFERROR(TRANSPOSE(QUERY(IFERROR(SORT(GOOGLEFINANCE(C56, ""price"", WORKDAY(TODAY(), -40), TODAY()), 1, FALSE)), ""select Col2 where Col2 is not null limit 22 label Col2 ''"", 0)), """")"),"")</f>
        <v/>
      </c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8"/>
      <c r="AO56" s="28"/>
      <c r="AP56" s="29"/>
      <c r="AQ56" s="29" t="str">
        <f t="shared" ref="AQ56:BL56" si="59">T56/T$2</f>
        <v>#N/A</v>
      </c>
      <c r="AR56" s="29" t="str">
        <f t="shared" si="59"/>
        <v>#DIV/0!</v>
      </c>
      <c r="AS56" s="29" t="str">
        <f t="shared" si="59"/>
        <v>#DIV/0!</v>
      </c>
      <c r="AT56" s="29" t="str">
        <f t="shared" si="59"/>
        <v>#DIV/0!</v>
      </c>
      <c r="AU56" s="29" t="str">
        <f t="shared" si="59"/>
        <v>#DIV/0!</v>
      </c>
      <c r="AV56" s="29" t="str">
        <f t="shared" si="59"/>
        <v>#DIV/0!</v>
      </c>
      <c r="AW56" s="29" t="str">
        <f t="shared" si="59"/>
        <v>#DIV/0!</v>
      </c>
      <c r="AX56" s="29" t="str">
        <f t="shared" si="59"/>
        <v>#DIV/0!</v>
      </c>
      <c r="AY56" s="29" t="str">
        <f t="shared" si="59"/>
        <v>#DIV/0!</v>
      </c>
      <c r="AZ56" s="29" t="str">
        <f t="shared" si="59"/>
        <v>#DIV/0!</v>
      </c>
      <c r="BA56" s="29" t="str">
        <f t="shared" si="59"/>
        <v>#DIV/0!</v>
      </c>
      <c r="BB56" s="29" t="str">
        <f t="shared" si="59"/>
        <v>#DIV/0!</v>
      </c>
      <c r="BC56" s="29" t="str">
        <f t="shared" si="59"/>
        <v>#DIV/0!</v>
      </c>
      <c r="BD56" s="29" t="str">
        <f t="shared" si="59"/>
        <v>#DIV/0!</v>
      </c>
      <c r="BE56" s="29" t="str">
        <f t="shared" si="59"/>
        <v>#DIV/0!</v>
      </c>
      <c r="BF56" s="29" t="str">
        <f t="shared" si="59"/>
        <v>#DIV/0!</v>
      </c>
      <c r="BG56" s="29" t="str">
        <f t="shared" si="59"/>
        <v>#DIV/0!</v>
      </c>
      <c r="BH56" s="29" t="str">
        <f t="shared" si="59"/>
        <v>#DIV/0!</v>
      </c>
      <c r="BI56" s="29" t="str">
        <f t="shared" si="59"/>
        <v>#DIV/0!</v>
      </c>
      <c r="BJ56" s="29" t="str">
        <f t="shared" si="59"/>
        <v>#DIV/0!</v>
      </c>
      <c r="BK56" s="29" t="str">
        <f t="shared" si="59"/>
        <v>#DIV/0!</v>
      </c>
      <c r="BL56" s="29" t="str">
        <f t="shared" si="59"/>
        <v>#DIV/0!</v>
      </c>
      <c r="BM56" s="29" t="str">
        <f t="shared" si="3"/>
        <v>#DIV/0!</v>
      </c>
    </row>
    <row r="57">
      <c r="A57" s="16" t="str">
        <f>IFERROR(__xludf.DUMMYFUNCTION("IFERROR(SPARKLINE(SORT(MAP(TRANSPOSE(AQ57:BL57), LAMBDA(val, IF(ISNUMBER(val), PERCENTRANK(AQ57:BL57, val)+0.01, 0))), SEQUENCE(COLUMNS(AQ57:BL57)), FALSE), {""charttype"",""column""; ""color"",""chartreuse""; ""ymin"", 0; ""ymax"", 1.01; ""highcolor"", "&amp;"""darkgreen""; ""lowcolor"", ""red""}), """")"),"")</f>
        <v/>
      </c>
      <c r="B57" s="17" t="str">
        <f t="shared" si="4"/>
        <v/>
      </c>
      <c r="C57" s="1" t="s">
        <v>305</v>
      </c>
      <c r="D57" s="30" t="str">
        <f>IFERROR(__xludf.DUMMYFUNCTION("IFERROR(GOOGLEFINANCE(C57, ""NAME""))"),"Mustera Property Group Ltd")</f>
        <v>Mustera Property Group Ltd</v>
      </c>
      <c r="E57" s="30" t="s">
        <v>165</v>
      </c>
      <c r="F57" s="33" t="str">
        <f>IFERROR(__xludf.DUMMYFUNCTION("( (GOOGLEFINANCE(C57, ""price"") - Q57) / Q57 ) / (R57 / 100)"),"Loading...")</f>
        <v>Loading...</v>
      </c>
      <c r="G57" s="20" t="str">
        <f>IFERROR(__xludf.DUMMYFUNCTION("AVERAGE(ARRAYFORMULA(100 * (QUERY(GOOGLEFINANCE(C57, ""high"", TODAY()-40, TODAY()), ""SELECT Col2 WHERE Col2 IS NOT NULL ORDER BY Col1 DESC LIMIT 20"", 0) / QUERY(GOOGLEFINANCE(C57, ""low"", TODAY()-40, TODAY()), ""SELECT Col2 WHERE Col2 IS NOT NULL ORDE"&amp;"R BY Col1 DESC LIMIT 20"", 0) - 1)))"),"#N/A")</f>
        <v>#N/A</v>
      </c>
      <c r="H57" s="35" t="str">
        <f t="shared" si="6"/>
        <v/>
      </c>
      <c r="I57" s="35" t="str">
        <f t="shared" si="7"/>
        <v/>
      </c>
      <c r="J57" s="37" t="str">
        <f>IFERROR(__xludf.DUMMYFUNCTION("IFERROR(
  IF(C57="""",, 
    IFERROR(
      GOOGLEFINANCE(C57, ""price"") * GOOGLEFINANCE(C57, ""volumeavg""), 
      GOOGLEFINANCE(C57, ""price"") * AVERAGE(QUERY(GOOGLEFINANCE(C57, ""volume"", TODAY()-40, TODAY()), ""SELECT Col2 WHERE Col2 IS NOT NULL "&amp;"ORDER BY Col1 DESC LIMIT 20"", 0))
    )
  ), 
"""")"),"")</f>
        <v/>
      </c>
      <c r="K57" s="21" t="str">
        <f>IFERROR(__xludf.DUMMYFUNCTION("IFERROR(GOOGLEFINANCE(C57, ""changepct"") / 100, """")"),"")</f>
        <v/>
      </c>
      <c r="L57" s="21" t="str">
        <f>IFERROR(__xludf.DUMMYFUNCTION("IFERROR((GOOGLEFINANCE(C57, ""price"") / INDEX(GOOGLEFINANCE(C57, ""price"", TODAY()-7, TODAY()), 2, 2)) - 1, """")"),"")</f>
        <v/>
      </c>
      <c r="M57" s="21" t="str">
        <f>IFERROR(__xludf.DUMMYFUNCTION("IFERROR((GOOGLEFINANCE(C57, ""price"") / INDEX(GOOGLEFINANCE(C57, ""price"", EDATE(TODAY(), -1), TODAY()), 2, 2)) - 1, """")"),"")</f>
        <v/>
      </c>
      <c r="N57" s="21" t="str">
        <f>IFERROR(__xludf.DUMMYFUNCTION("IFERROR((GOOGLEFINANCE(C57, ""price"") / INDEX(GOOGLEFINANCE(C57, ""price"", EDATE(TODAY(), -3), TODAY()), 2, 2)) - 1, """")"),"")</f>
        <v/>
      </c>
      <c r="O57" s="21" t="str">
        <f>IFERROR(__xludf.DUMMYFUNCTION("IFERROR((GOOGLEFINANCE(C57, ""price"") / INDEX(GOOGLEFINANCE(C57, ""price"", EDATE(TODAY(), -6), TODAY()), 2, 2)) - 1, """")"),"")</f>
        <v/>
      </c>
      <c r="P57" s="21" t="str">
        <f>IFERROR(__xludf.DUMMYFUNCTION("IFERROR((GOOGLEFINANCE(C57, ""price"") / INDEX(GOOGLEFINANCE(C57, ""price"", EDATE(TODAY(), -12), TODAY()), 2, 2)) - 1, """")"),"")</f>
        <v/>
      </c>
      <c r="Q57" s="6" t="str">
        <f>IFERROR(__xludf.DUMMYFUNCTION("AVERAGE(QUERY(GOOGLEFINANCE(C57, ""price"", TODAY()-80, TODAY()), ""SELECT Col2 WHERE Col2 IS NOT NULL ORDER BY Col1 DESC LIMIT 50"", 0))"),"#N/A")</f>
        <v>#N/A</v>
      </c>
      <c r="R57" s="24" t="str">
        <f>IFERROR(__xludf.DUMMYFUNCTION("IFERROR(
  LET(
    data, QUERY(GOOGLEFINANCE(C57,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GOOGLEFINANCE(C57, ""price"")) * 100,
    IF(calc=0, G57, calc)
  ), 
G57)"),"#N/A")</f>
        <v>#N/A</v>
      </c>
      <c r="S57" s="8" t="s">
        <v>15</v>
      </c>
      <c r="T57" s="26" t="str">
        <f>IFERROR(__xludf.DUMMYFUNCTION("IFERROR(TRANSPOSE(QUERY(IFERROR(SORT(GOOGLEFINANCE(C57, ""price"", WORKDAY(TODAY(), -40), TODAY()), 1, FALSE)), ""select Col2 where Col2 is not null limit 22 label Col2 ''"", 0)), """")"),"")</f>
        <v/>
      </c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8"/>
      <c r="AO57" s="28"/>
      <c r="AP57" s="29"/>
      <c r="AQ57" s="29" t="str">
        <f t="shared" ref="AQ57:BL57" si="60">T57/T$2</f>
        <v>#N/A</v>
      </c>
      <c r="AR57" s="29" t="str">
        <f t="shared" si="60"/>
        <v>#DIV/0!</v>
      </c>
      <c r="AS57" s="29" t="str">
        <f t="shared" si="60"/>
        <v>#DIV/0!</v>
      </c>
      <c r="AT57" s="29" t="str">
        <f t="shared" si="60"/>
        <v>#DIV/0!</v>
      </c>
      <c r="AU57" s="29" t="str">
        <f t="shared" si="60"/>
        <v>#DIV/0!</v>
      </c>
      <c r="AV57" s="29" t="str">
        <f t="shared" si="60"/>
        <v>#DIV/0!</v>
      </c>
      <c r="AW57" s="29" t="str">
        <f t="shared" si="60"/>
        <v>#DIV/0!</v>
      </c>
      <c r="AX57" s="29" t="str">
        <f t="shared" si="60"/>
        <v>#DIV/0!</v>
      </c>
      <c r="AY57" s="29" t="str">
        <f t="shared" si="60"/>
        <v>#DIV/0!</v>
      </c>
      <c r="AZ57" s="29" t="str">
        <f t="shared" si="60"/>
        <v>#DIV/0!</v>
      </c>
      <c r="BA57" s="29" t="str">
        <f t="shared" si="60"/>
        <v>#DIV/0!</v>
      </c>
      <c r="BB57" s="29" t="str">
        <f t="shared" si="60"/>
        <v>#DIV/0!</v>
      </c>
      <c r="BC57" s="29" t="str">
        <f t="shared" si="60"/>
        <v>#DIV/0!</v>
      </c>
      <c r="BD57" s="29" t="str">
        <f t="shared" si="60"/>
        <v>#DIV/0!</v>
      </c>
      <c r="BE57" s="29" t="str">
        <f t="shared" si="60"/>
        <v>#DIV/0!</v>
      </c>
      <c r="BF57" s="29" t="str">
        <f t="shared" si="60"/>
        <v>#DIV/0!</v>
      </c>
      <c r="BG57" s="29" t="str">
        <f t="shared" si="60"/>
        <v>#DIV/0!</v>
      </c>
      <c r="BH57" s="29" t="str">
        <f t="shared" si="60"/>
        <v>#DIV/0!</v>
      </c>
      <c r="BI57" s="29" t="str">
        <f t="shared" si="60"/>
        <v>#DIV/0!</v>
      </c>
      <c r="BJ57" s="29" t="str">
        <f t="shared" si="60"/>
        <v>#DIV/0!</v>
      </c>
      <c r="BK57" s="29" t="str">
        <f t="shared" si="60"/>
        <v>#DIV/0!</v>
      </c>
      <c r="BL57" s="29" t="str">
        <f t="shared" si="60"/>
        <v>#DIV/0!</v>
      </c>
      <c r="BM57" s="29" t="str">
        <f t="shared" si="3"/>
        <v>#DIV/0!</v>
      </c>
    </row>
    <row r="58">
      <c r="A58" s="16" t="str">
        <f>IFERROR(__xludf.DUMMYFUNCTION("IFERROR(SPARKLINE(SORT(MAP(TRANSPOSE(AQ58:BL58), LAMBDA(val, IF(ISNUMBER(val), PERCENTRANK(AQ58:BL58, val)+0.01, 0))), SEQUENCE(COLUMNS(AQ58:BL58)), FALSE), {""charttype"",""column""; ""color"",""chartreuse""; ""ymin"", 0; ""ymax"", 1.01; ""highcolor"", "&amp;"""darkgreen""; ""lowcolor"", ""red""}), """")"),"")</f>
        <v/>
      </c>
      <c r="B58" s="17" t="str">
        <f t="shared" si="4"/>
        <v/>
      </c>
      <c r="C58" s="1" t="s">
        <v>309</v>
      </c>
      <c r="D58" s="30" t="str">
        <f>IFERROR(__xludf.DUMMYFUNCTION("IFERROR(GOOGLEFINANCE(C58, ""NAME""))"),"Graphic Packaging Holding Co")</f>
        <v>Graphic Packaging Holding Co</v>
      </c>
      <c r="E58" s="30" t="s">
        <v>195</v>
      </c>
      <c r="F58" s="33" t="str">
        <f>IFERROR(__xludf.DUMMYFUNCTION("( (GOOGLEFINANCE(C58, ""price"") - Q58) / Q58 ) / (R58 / 100)"),"Loading...")</f>
        <v>Loading...</v>
      </c>
      <c r="G58" s="20" t="str">
        <f>IFERROR(__xludf.DUMMYFUNCTION("AVERAGE(ARRAYFORMULA(100 * (QUERY(GOOGLEFINANCE(C58, ""high"", TODAY()-40, TODAY()), ""SELECT Col2 WHERE Col2 IS NOT NULL ORDER BY Col1 DESC LIMIT 20"", 0) / QUERY(GOOGLEFINANCE(C58, ""low"", TODAY()-40, TODAY()), ""SELECT Col2 WHERE Col2 IS NOT NULL ORDE"&amp;"R BY Col1 DESC LIMIT 20"", 0) - 1)))"),"#N/A")</f>
        <v>#N/A</v>
      </c>
      <c r="H58" s="35" t="str">
        <f t="shared" si="6"/>
        <v/>
      </c>
      <c r="I58" s="35" t="str">
        <f t="shared" si="7"/>
        <v/>
      </c>
      <c r="J58" s="37" t="str">
        <f>IFERROR(__xludf.DUMMYFUNCTION("IFERROR(
  IF(C58="""",, 
    IFERROR(
      GOOGLEFINANCE(C58, ""price"") * GOOGLEFINANCE(C58, ""volumeavg""), 
      GOOGLEFINANCE(C58, ""price"") * AVERAGE(QUERY(GOOGLEFINANCE(C58, ""volume"", TODAY()-40, TODAY()), ""SELECT Col2 WHERE Col2 IS NOT NULL "&amp;"ORDER BY Col1 DESC LIMIT 20"", 0))
    )
  ), 
"""")"),"")</f>
        <v/>
      </c>
      <c r="K58" s="21" t="str">
        <f>IFERROR(__xludf.DUMMYFUNCTION("IFERROR(GOOGLEFINANCE(C58, ""changepct"") / 100, """")"),"")</f>
        <v/>
      </c>
      <c r="L58" s="21" t="str">
        <f>IFERROR(__xludf.DUMMYFUNCTION("IFERROR((GOOGLEFINANCE(C58, ""price"") / INDEX(GOOGLEFINANCE(C58, ""price"", TODAY()-7, TODAY()), 2, 2)) - 1, """")"),"")</f>
        <v/>
      </c>
      <c r="M58" s="21" t="str">
        <f>IFERROR(__xludf.DUMMYFUNCTION("IFERROR((GOOGLEFINANCE(C58, ""price"") / INDEX(GOOGLEFINANCE(C58, ""price"", EDATE(TODAY(), -1), TODAY()), 2, 2)) - 1, """")"),"")</f>
        <v/>
      </c>
      <c r="N58" s="21" t="str">
        <f>IFERROR(__xludf.DUMMYFUNCTION("IFERROR((GOOGLEFINANCE(C58, ""price"") / INDEX(GOOGLEFINANCE(C58, ""price"", EDATE(TODAY(), -3), TODAY()), 2, 2)) - 1, """")"),"")</f>
        <v/>
      </c>
      <c r="O58" s="21" t="str">
        <f>IFERROR(__xludf.DUMMYFUNCTION("IFERROR((GOOGLEFINANCE(C58, ""price"") / INDEX(GOOGLEFINANCE(C58, ""price"", EDATE(TODAY(), -6), TODAY()), 2, 2)) - 1, """")"),"")</f>
        <v/>
      </c>
      <c r="P58" s="21" t="str">
        <f>IFERROR(__xludf.DUMMYFUNCTION("IFERROR((GOOGLEFINANCE(C58, ""price"") / INDEX(GOOGLEFINANCE(C58, ""price"", EDATE(TODAY(), -12), TODAY()), 2, 2)) - 1, """")"),"")</f>
        <v/>
      </c>
      <c r="Q58" s="6" t="str">
        <f>IFERROR(__xludf.DUMMYFUNCTION("AVERAGE(QUERY(GOOGLEFINANCE(C58, ""price"", TODAY()-80, TODAY()), ""SELECT Col2 WHERE Col2 IS NOT NULL ORDER BY Col1 DESC LIMIT 50"", 0))"),"#N/A")</f>
        <v>#N/A</v>
      </c>
      <c r="R58" s="24" t="str">
        <f>IFERROR(__xludf.DUMMYFUNCTION("IFERROR(
  LET(
    data, QUERY(GOOGLEFINANCE(C58,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GOOGLEFINANCE(C58, ""price"")) * 100,
    IF(calc=0, G58, calc)
  ), 
G58)"),"#N/A")</f>
        <v>#N/A</v>
      </c>
      <c r="S58" s="8" t="s">
        <v>15</v>
      </c>
      <c r="T58" s="26" t="str">
        <f>IFERROR(__xludf.DUMMYFUNCTION("IFERROR(TRANSPOSE(QUERY(IFERROR(SORT(GOOGLEFINANCE(C58, ""price"", WORKDAY(TODAY(), -40), TODAY()), 1, FALSE)), ""select Col2 where Col2 is not null limit 22 label Col2 ''"", 0)), """")"),"")</f>
        <v/>
      </c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8"/>
      <c r="AO58" s="28"/>
      <c r="AP58" s="29"/>
      <c r="AQ58" s="29" t="str">
        <f t="shared" ref="AQ58:BL58" si="61">T58/T$2</f>
        <v>#N/A</v>
      </c>
      <c r="AR58" s="29" t="str">
        <f t="shared" si="61"/>
        <v>#DIV/0!</v>
      </c>
      <c r="AS58" s="29" t="str">
        <f t="shared" si="61"/>
        <v>#DIV/0!</v>
      </c>
      <c r="AT58" s="29" t="str">
        <f t="shared" si="61"/>
        <v>#DIV/0!</v>
      </c>
      <c r="AU58" s="29" t="str">
        <f t="shared" si="61"/>
        <v>#DIV/0!</v>
      </c>
      <c r="AV58" s="29" t="str">
        <f t="shared" si="61"/>
        <v>#DIV/0!</v>
      </c>
      <c r="AW58" s="29" t="str">
        <f t="shared" si="61"/>
        <v>#DIV/0!</v>
      </c>
      <c r="AX58" s="29" t="str">
        <f t="shared" si="61"/>
        <v>#DIV/0!</v>
      </c>
      <c r="AY58" s="29" t="str">
        <f t="shared" si="61"/>
        <v>#DIV/0!</v>
      </c>
      <c r="AZ58" s="29" t="str">
        <f t="shared" si="61"/>
        <v>#DIV/0!</v>
      </c>
      <c r="BA58" s="29" t="str">
        <f t="shared" si="61"/>
        <v>#DIV/0!</v>
      </c>
      <c r="BB58" s="29" t="str">
        <f t="shared" si="61"/>
        <v>#DIV/0!</v>
      </c>
      <c r="BC58" s="29" t="str">
        <f t="shared" si="61"/>
        <v>#DIV/0!</v>
      </c>
      <c r="BD58" s="29" t="str">
        <f t="shared" si="61"/>
        <v>#DIV/0!</v>
      </c>
      <c r="BE58" s="29" t="str">
        <f t="shared" si="61"/>
        <v>#DIV/0!</v>
      </c>
      <c r="BF58" s="29" t="str">
        <f t="shared" si="61"/>
        <v>#DIV/0!</v>
      </c>
      <c r="BG58" s="29" t="str">
        <f t="shared" si="61"/>
        <v>#DIV/0!</v>
      </c>
      <c r="BH58" s="29" t="str">
        <f t="shared" si="61"/>
        <v>#DIV/0!</v>
      </c>
      <c r="BI58" s="29" t="str">
        <f t="shared" si="61"/>
        <v>#DIV/0!</v>
      </c>
      <c r="BJ58" s="29" t="str">
        <f t="shared" si="61"/>
        <v>#DIV/0!</v>
      </c>
      <c r="BK58" s="29" t="str">
        <f t="shared" si="61"/>
        <v>#DIV/0!</v>
      </c>
      <c r="BL58" s="29" t="str">
        <f t="shared" si="61"/>
        <v>#DIV/0!</v>
      </c>
      <c r="BM58" s="29" t="str">
        <f t="shared" si="3"/>
        <v>#DIV/0!</v>
      </c>
    </row>
    <row r="59">
      <c r="A59" s="16" t="str">
        <f>IFERROR(__xludf.DUMMYFUNCTION("IFERROR(SPARKLINE(SORT(MAP(TRANSPOSE(AQ59:BL59), LAMBDA(val, IF(ISNUMBER(val), PERCENTRANK(AQ59:BL59, val)+0.01, 0))), SEQUENCE(COLUMNS(AQ59:BL59)), FALSE), {""charttype"",""column""; ""color"",""chartreuse""; ""ymin"", 0; ""ymax"", 1.01; ""highcolor"", "&amp;"""darkgreen""; ""lowcolor"", ""red""}), """")"),"")</f>
        <v/>
      </c>
      <c r="B59" s="17" t="str">
        <f t="shared" si="4"/>
        <v/>
      </c>
      <c r="C59" s="1" t="s">
        <v>313</v>
      </c>
      <c r="D59" s="30" t="str">
        <f>IFERROR(__xludf.DUMMYFUNCTION("IFERROR(GOOGLEFINANCE(C59, ""NAME""))"),"SGHC Ltd")</f>
        <v>SGHC Ltd</v>
      </c>
      <c r="E59" s="30" t="s">
        <v>234</v>
      </c>
      <c r="F59" s="33" t="str">
        <f>IFERROR(__xludf.DUMMYFUNCTION("( (GOOGLEFINANCE(C59, ""price"") - Q59) / Q59 ) / (R59 / 100)"),"Loading...")</f>
        <v>Loading...</v>
      </c>
      <c r="G59" s="20" t="str">
        <f>IFERROR(__xludf.DUMMYFUNCTION("AVERAGE(ARRAYFORMULA(100 * (QUERY(GOOGLEFINANCE(C59, ""high"", TODAY()-40, TODAY()), ""SELECT Col2 WHERE Col2 IS NOT NULL ORDER BY Col1 DESC LIMIT 20"", 0) / QUERY(GOOGLEFINANCE(C59, ""low"", TODAY()-40, TODAY()), ""SELECT Col2 WHERE Col2 IS NOT NULL ORDE"&amp;"R BY Col1 DESC LIMIT 20"", 0) - 1)))"),"#N/A")</f>
        <v>#N/A</v>
      </c>
      <c r="H59" s="35" t="str">
        <f t="shared" si="6"/>
        <v/>
      </c>
      <c r="I59" s="35" t="str">
        <f t="shared" si="7"/>
        <v/>
      </c>
      <c r="J59" s="37" t="str">
        <f>IFERROR(__xludf.DUMMYFUNCTION("IFERROR(
  IF(C59="""",, 
    IFERROR(
      GOOGLEFINANCE(C59, ""price"") * GOOGLEFINANCE(C59, ""volumeavg""), 
      GOOGLEFINANCE(C59, ""price"") * AVERAGE(QUERY(GOOGLEFINANCE(C59, ""volume"", TODAY()-40, TODAY()), ""SELECT Col2 WHERE Col2 IS NOT NULL "&amp;"ORDER BY Col1 DESC LIMIT 20"", 0))
    )
  ), 
"""")"),"")</f>
        <v/>
      </c>
      <c r="K59" s="21" t="str">
        <f>IFERROR(__xludf.DUMMYFUNCTION("IFERROR(GOOGLEFINANCE(C59, ""changepct"") / 100, """")"),"")</f>
        <v/>
      </c>
      <c r="L59" s="21" t="str">
        <f>IFERROR(__xludf.DUMMYFUNCTION("IFERROR((GOOGLEFINANCE(C59, ""price"") / INDEX(GOOGLEFINANCE(C59, ""price"", TODAY()-7, TODAY()), 2, 2)) - 1, """")"),"")</f>
        <v/>
      </c>
      <c r="M59" s="21" t="str">
        <f>IFERROR(__xludf.DUMMYFUNCTION("IFERROR((GOOGLEFINANCE(C59, ""price"") / INDEX(GOOGLEFINANCE(C59, ""price"", EDATE(TODAY(), -1), TODAY()), 2, 2)) - 1, """")"),"")</f>
        <v/>
      </c>
      <c r="N59" s="21" t="str">
        <f>IFERROR(__xludf.DUMMYFUNCTION("IFERROR((GOOGLEFINANCE(C59, ""price"") / INDEX(GOOGLEFINANCE(C59, ""price"", EDATE(TODAY(), -3), TODAY()), 2, 2)) - 1, """")"),"")</f>
        <v/>
      </c>
      <c r="O59" s="21" t="str">
        <f>IFERROR(__xludf.DUMMYFUNCTION("IFERROR((GOOGLEFINANCE(C59, ""price"") / INDEX(GOOGLEFINANCE(C59, ""price"", EDATE(TODAY(), -6), TODAY()), 2, 2)) - 1, """")"),"")</f>
        <v/>
      </c>
      <c r="P59" s="21" t="str">
        <f>IFERROR(__xludf.DUMMYFUNCTION("IFERROR((GOOGLEFINANCE(C59, ""price"") / INDEX(GOOGLEFINANCE(C59, ""price"", EDATE(TODAY(), -12), TODAY()), 2, 2)) - 1, """")"),"")</f>
        <v/>
      </c>
      <c r="Q59" s="6" t="str">
        <f>IFERROR(__xludf.DUMMYFUNCTION("AVERAGE(QUERY(GOOGLEFINANCE(C59, ""price"", TODAY()-80, TODAY()), ""SELECT Col2 WHERE Col2 IS NOT NULL ORDER BY Col1 DESC LIMIT 50"", 0))"),"#N/A")</f>
        <v>#N/A</v>
      </c>
      <c r="R59" s="24" t="str">
        <f>IFERROR(__xludf.DUMMYFUNCTION("IFERROR(
  LET(
    data, QUERY(GOOGLEFINANCE(C59,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GOOGLEFINANCE(C59, ""price"")) * 100,
    IF(calc=0, G59, calc)
  ), 
G59)"),"#N/A")</f>
        <v>#N/A</v>
      </c>
      <c r="S59" s="8" t="s">
        <v>15</v>
      </c>
      <c r="T59" s="26" t="str">
        <f>IFERROR(__xludf.DUMMYFUNCTION("IFERROR(TRANSPOSE(QUERY(IFERROR(SORT(GOOGLEFINANCE(C59, ""price"", WORKDAY(TODAY(), -40), TODAY()), 1, FALSE)), ""select Col2 where Col2 is not null limit 22 label Col2 ''"", 0)), """")"),"")</f>
        <v/>
      </c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8"/>
      <c r="AO59" s="28"/>
      <c r="AP59" s="29"/>
      <c r="AQ59" s="29" t="str">
        <f t="shared" ref="AQ59:BL59" si="62">T59/T$2</f>
        <v>#N/A</v>
      </c>
      <c r="AR59" s="29" t="str">
        <f t="shared" si="62"/>
        <v>#DIV/0!</v>
      </c>
      <c r="AS59" s="29" t="str">
        <f t="shared" si="62"/>
        <v>#DIV/0!</v>
      </c>
      <c r="AT59" s="29" t="str">
        <f t="shared" si="62"/>
        <v>#DIV/0!</v>
      </c>
      <c r="AU59" s="29" t="str">
        <f t="shared" si="62"/>
        <v>#DIV/0!</v>
      </c>
      <c r="AV59" s="29" t="str">
        <f t="shared" si="62"/>
        <v>#DIV/0!</v>
      </c>
      <c r="AW59" s="29" t="str">
        <f t="shared" si="62"/>
        <v>#DIV/0!</v>
      </c>
      <c r="AX59" s="29" t="str">
        <f t="shared" si="62"/>
        <v>#DIV/0!</v>
      </c>
      <c r="AY59" s="29" t="str">
        <f t="shared" si="62"/>
        <v>#DIV/0!</v>
      </c>
      <c r="AZ59" s="29" t="str">
        <f t="shared" si="62"/>
        <v>#DIV/0!</v>
      </c>
      <c r="BA59" s="29" t="str">
        <f t="shared" si="62"/>
        <v>#DIV/0!</v>
      </c>
      <c r="BB59" s="29" t="str">
        <f t="shared" si="62"/>
        <v>#DIV/0!</v>
      </c>
      <c r="BC59" s="29" t="str">
        <f t="shared" si="62"/>
        <v>#DIV/0!</v>
      </c>
      <c r="BD59" s="29" t="str">
        <f t="shared" si="62"/>
        <v>#DIV/0!</v>
      </c>
      <c r="BE59" s="29" t="str">
        <f t="shared" si="62"/>
        <v>#DIV/0!</v>
      </c>
      <c r="BF59" s="29" t="str">
        <f t="shared" si="62"/>
        <v>#DIV/0!</v>
      </c>
      <c r="BG59" s="29" t="str">
        <f t="shared" si="62"/>
        <v>#DIV/0!</v>
      </c>
      <c r="BH59" s="29" t="str">
        <f t="shared" si="62"/>
        <v>#DIV/0!</v>
      </c>
      <c r="BI59" s="29" t="str">
        <f t="shared" si="62"/>
        <v>#DIV/0!</v>
      </c>
      <c r="BJ59" s="29" t="str">
        <f t="shared" si="62"/>
        <v>#DIV/0!</v>
      </c>
      <c r="BK59" s="29" t="str">
        <f t="shared" si="62"/>
        <v>#DIV/0!</v>
      </c>
      <c r="BL59" s="29" t="str">
        <f t="shared" si="62"/>
        <v>#DIV/0!</v>
      </c>
      <c r="BM59" s="29" t="str">
        <f t="shared" si="3"/>
        <v>#DIV/0!</v>
      </c>
    </row>
    <row r="60">
      <c r="A60" s="16" t="str">
        <f>IFERROR(__xludf.DUMMYFUNCTION("IFERROR(SPARKLINE(SORT(MAP(TRANSPOSE(AQ60:BL60), LAMBDA(val, IF(ISNUMBER(val), PERCENTRANK(AQ60:BL60, val)+0.01, 0))), SEQUENCE(COLUMNS(AQ60:BL60)), FALSE), {""charttype"",""column""; ""color"",""chartreuse""; ""ymin"", 0; ""ymax"", 1.01; ""highcolor"", "&amp;"""darkgreen""; ""lowcolor"", ""red""}), """")"),"")</f>
        <v/>
      </c>
      <c r="B60" s="17" t="str">
        <f t="shared" si="4"/>
        <v/>
      </c>
      <c r="C60" s="1" t="s">
        <v>316</v>
      </c>
      <c r="D60" s="30" t="str">
        <f>IFERROR(__xludf.DUMMYFUNCTION("IFERROR(GOOGLEFINANCE(C60, ""NAME""))"),"Ermenegildo Zegna NV")</f>
        <v>Ermenegildo Zegna NV</v>
      </c>
      <c r="E60" s="30" t="s">
        <v>317</v>
      </c>
      <c r="F60" s="33" t="str">
        <f>IFERROR(__xludf.DUMMYFUNCTION("( (GOOGLEFINANCE(C60, ""price"") - Q60) / Q60 ) / (R60 / 100)"),"Loading...")</f>
        <v>Loading...</v>
      </c>
      <c r="G60" s="20" t="str">
        <f>IFERROR(__xludf.DUMMYFUNCTION("AVERAGE(ARRAYFORMULA(100 * (QUERY(GOOGLEFINANCE(C60, ""high"", TODAY()-40, TODAY()), ""SELECT Col2 WHERE Col2 IS NOT NULL ORDER BY Col1 DESC LIMIT 20"", 0) / QUERY(GOOGLEFINANCE(C60, ""low"", TODAY()-40, TODAY()), ""SELECT Col2 WHERE Col2 IS NOT NULL ORDE"&amp;"R BY Col1 DESC LIMIT 20"", 0) - 1)))"),"#N/A")</f>
        <v>#N/A</v>
      </c>
      <c r="H60" s="35" t="str">
        <f t="shared" si="6"/>
        <v/>
      </c>
      <c r="I60" s="35" t="str">
        <f t="shared" si="7"/>
        <v/>
      </c>
      <c r="J60" s="37" t="str">
        <f>IFERROR(__xludf.DUMMYFUNCTION("IFERROR(
  IF(C60="""",, 
    IFERROR(
      GOOGLEFINANCE(C60, ""price"") * GOOGLEFINANCE(C60, ""volumeavg""), 
      GOOGLEFINANCE(C60, ""price"") * AVERAGE(QUERY(GOOGLEFINANCE(C60, ""volume"", TODAY()-40, TODAY()), ""SELECT Col2 WHERE Col2 IS NOT NULL "&amp;"ORDER BY Col1 DESC LIMIT 20"", 0))
    )
  ), 
"""")"),"")</f>
        <v/>
      </c>
      <c r="K60" s="21" t="str">
        <f>IFERROR(__xludf.DUMMYFUNCTION("IFERROR(GOOGLEFINANCE(C60, ""changepct"") / 100, """")"),"")</f>
        <v/>
      </c>
      <c r="L60" s="21" t="str">
        <f>IFERROR(__xludf.DUMMYFUNCTION("IFERROR((GOOGLEFINANCE(C60, ""price"") / INDEX(GOOGLEFINANCE(C60, ""price"", TODAY()-7, TODAY()), 2, 2)) - 1, """")"),"")</f>
        <v/>
      </c>
      <c r="M60" s="21" t="str">
        <f>IFERROR(__xludf.DUMMYFUNCTION("IFERROR((GOOGLEFINANCE(C60, ""price"") / INDEX(GOOGLEFINANCE(C60, ""price"", EDATE(TODAY(), -1), TODAY()), 2, 2)) - 1, """")"),"")</f>
        <v/>
      </c>
      <c r="N60" s="21" t="str">
        <f>IFERROR(__xludf.DUMMYFUNCTION("IFERROR((GOOGLEFINANCE(C60, ""price"") / INDEX(GOOGLEFINANCE(C60, ""price"", EDATE(TODAY(), -3), TODAY()), 2, 2)) - 1, """")"),"")</f>
        <v/>
      </c>
      <c r="O60" s="21" t="str">
        <f>IFERROR(__xludf.DUMMYFUNCTION("IFERROR((GOOGLEFINANCE(C60, ""price"") / INDEX(GOOGLEFINANCE(C60, ""price"", EDATE(TODAY(), -6), TODAY()), 2, 2)) - 1, """")"),"")</f>
        <v/>
      </c>
      <c r="P60" s="21" t="str">
        <f>IFERROR(__xludf.DUMMYFUNCTION("IFERROR((GOOGLEFINANCE(C60, ""price"") / INDEX(GOOGLEFINANCE(C60, ""price"", EDATE(TODAY(), -12), TODAY()), 2, 2)) - 1, """")"),"")</f>
        <v/>
      </c>
      <c r="Q60" s="6" t="str">
        <f>IFERROR(__xludf.DUMMYFUNCTION("AVERAGE(QUERY(GOOGLEFINANCE(C60, ""price"", TODAY()-80, TODAY()), ""SELECT Col2 WHERE Col2 IS NOT NULL ORDER BY Col1 DESC LIMIT 50"", 0))"),"#N/A")</f>
        <v>#N/A</v>
      </c>
      <c r="R60" s="24" t="str">
        <f>IFERROR(__xludf.DUMMYFUNCTION("IFERROR(
  LET(
    data, QUERY(GOOGLEFINANCE(C60,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GOOGLEFINANCE(C60, ""price"")) * 100,
    IF(calc=0, G60, calc)
  ), 
G60)"),"#N/A")</f>
        <v>#N/A</v>
      </c>
      <c r="S60" s="8" t="s">
        <v>15</v>
      </c>
      <c r="T60" s="26" t="str">
        <f>IFERROR(__xludf.DUMMYFUNCTION("IFERROR(TRANSPOSE(QUERY(IFERROR(SORT(GOOGLEFINANCE(C60, ""price"", WORKDAY(TODAY(), -40), TODAY()), 1, FALSE)), ""select Col2 where Col2 is not null limit 22 label Col2 ''"", 0)), """")"),"")</f>
        <v/>
      </c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8"/>
      <c r="AO60" s="28"/>
      <c r="AP60" s="29"/>
      <c r="AQ60" s="29" t="str">
        <f t="shared" ref="AQ60:BL60" si="63">T60/T$2</f>
        <v>#N/A</v>
      </c>
      <c r="AR60" s="29" t="str">
        <f t="shared" si="63"/>
        <v>#DIV/0!</v>
      </c>
      <c r="AS60" s="29" t="str">
        <f t="shared" si="63"/>
        <v>#DIV/0!</v>
      </c>
      <c r="AT60" s="29" t="str">
        <f t="shared" si="63"/>
        <v>#DIV/0!</v>
      </c>
      <c r="AU60" s="29" t="str">
        <f t="shared" si="63"/>
        <v>#DIV/0!</v>
      </c>
      <c r="AV60" s="29" t="str">
        <f t="shared" si="63"/>
        <v>#DIV/0!</v>
      </c>
      <c r="AW60" s="29" t="str">
        <f t="shared" si="63"/>
        <v>#DIV/0!</v>
      </c>
      <c r="AX60" s="29" t="str">
        <f t="shared" si="63"/>
        <v>#DIV/0!</v>
      </c>
      <c r="AY60" s="29" t="str">
        <f t="shared" si="63"/>
        <v>#DIV/0!</v>
      </c>
      <c r="AZ60" s="29" t="str">
        <f t="shared" si="63"/>
        <v>#DIV/0!</v>
      </c>
      <c r="BA60" s="29" t="str">
        <f t="shared" si="63"/>
        <v>#DIV/0!</v>
      </c>
      <c r="BB60" s="29" t="str">
        <f t="shared" si="63"/>
        <v>#DIV/0!</v>
      </c>
      <c r="BC60" s="29" t="str">
        <f t="shared" si="63"/>
        <v>#DIV/0!</v>
      </c>
      <c r="BD60" s="29" t="str">
        <f t="shared" si="63"/>
        <v>#DIV/0!</v>
      </c>
      <c r="BE60" s="29" t="str">
        <f t="shared" si="63"/>
        <v>#DIV/0!</v>
      </c>
      <c r="BF60" s="29" t="str">
        <f t="shared" si="63"/>
        <v>#DIV/0!</v>
      </c>
      <c r="BG60" s="29" t="str">
        <f t="shared" si="63"/>
        <v>#DIV/0!</v>
      </c>
      <c r="BH60" s="29" t="str">
        <f t="shared" si="63"/>
        <v>#DIV/0!</v>
      </c>
      <c r="BI60" s="29" t="str">
        <f t="shared" si="63"/>
        <v>#DIV/0!</v>
      </c>
      <c r="BJ60" s="29" t="str">
        <f t="shared" si="63"/>
        <v>#DIV/0!</v>
      </c>
      <c r="BK60" s="29" t="str">
        <f t="shared" si="63"/>
        <v>#DIV/0!</v>
      </c>
      <c r="BL60" s="29" t="str">
        <f t="shared" si="63"/>
        <v>#DIV/0!</v>
      </c>
      <c r="BM60" s="29" t="str">
        <f t="shared" si="3"/>
        <v>#DIV/0!</v>
      </c>
    </row>
    <row r="61">
      <c r="A61" s="16" t="str">
        <f>IFERROR(__xludf.DUMMYFUNCTION("IFERROR(SPARKLINE(SORT(MAP(TRANSPOSE(AQ61:BL61), LAMBDA(val, IF(ISNUMBER(val), PERCENTRANK(AQ61:BL61, val)+0.01, 0))), SEQUENCE(COLUMNS(AQ61:BL61)), FALSE), {""charttype"",""column""; ""color"",""chartreuse""; ""ymin"", 0; ""ymax"", 1.01; ""highcolor"", "&amp;"""darkgreen""; ""lowcolor"", ""red""}), """")"),"")</f>
        <v/>
      </c>
      <c r="B61" s="17" t="str">
        <f t="shared" si="4"/>
        <v/>
      </c>
      <c r="C61" s="1" t="s">
        <v>321</v>
      </c>
      <c r="D61" s="30" t="str">
        <f>IFERROR(__xludf.DUMMYFUNCTION("IFERROR(GOOGLEFINANCE(C61, ""NAME""))"),"Ambitions Enterprise Management Co LLC")</f>
        <v>Ambitions Enterprise Management Co LLC</v>
      </c>
      <c r="E61" s="30" t="s">
        <v>248</v>
      </c>
      <c r="F61" s="33" t="str">
        <f>IFERROR(__xludf.DUMMYFUNCTION("( (GOOGLEFINANCE(C61, ""price"") - Q61) / Q61 ) / (R61 / 100)"),"Loading...")</f>
        <v>Loading...</v>
      </c>
      <c r="G61" s="20" t="str">
        <f>IFERROR(__xludf.DUMMYFUNCTION("AVERAGE(ARRAYFORMULA(100 * (QUERY(GOOGLEFINANCE(C61, ""high"", TODAY()-40, TODAY()), ""SELECT Col2 WHERE Col2 IS NOT NULL ORDER BY Col1 DESC LIMIT 20"", 0) / QUERY(GOOGLEFINANCE(C61, ""low"", TODAY()-40, TODAY()), ""SELECT Col2 WHERE Col2 IS NOT NULL ORDE"&amp;"R BY Col1 DESC LIMIT 20"", 0) - 1)))"),"#N/A")</f>
        <v>#N/A</v>
      </c>
      <c r="H61" s="35" t="str">
        <f t="shared" si="6"/>
        <v/>
      </c>
      <c r="I61" s="35" t="str">
        <f t="shared" si="7"/>
        <v/>
      </c>
      <c r="J61" s="37" t="str">
        <f>IFERROR(__xludf.DUMMYFUNCTION("IFERROR(
  IF(C61="""",, 
    IFERROR(
      GOOGLEFINANCE(C61, ""price"") * GOOGLEFINANCE(C61, ""volumeavg""), 
      GOOGLEFINANCE(C61, ""price"") * AVERAGE(QUERY(GOOGLEFINANCE(C61, ""volume"", TODAY()-40, TODAY()), ""SELECT Col2 WHERE Col2 IS NOT NULL "&amp;"ORDER BY Col1 DESC LIMIT 20"", 0))
    )
  ), 
"""")"),"")</f>
        <v/>
      </c>
      <c r="K61" s="21" t="str">
        <f>IFERROR(__xludf.DUMMYFUNCTION("IFERROR(GOOGLEFINANCE(C61, ""changepct"") / 100, """")"),"")</f>
        <v/>
      </c>
      <c r="L61" s="21" t="str">
        <f>IFERROR(__xludf.DUMMYFUNCTION("IFERROR((GOOGLEFINANCE(C61, ""price"") / INDEX(GOOGLEFINANCE(C61, ""price"", TODAY()-7, TODAY()), 2, 2)) - 1, """")"),"")</f>
        <v/>
      </c>
      <c r="M61" s="21" t="str">
        <f>IFERROR(__xludf.DUMMYFUNCTION("IFERROR((GOOGLEFINANCE(C61, ""price"") / INDEX(GOOGLEFINANCE(C61, ""price"", EDATE(TODAY(), -1), TODAY()), 2, 2)) - 1, """")"),"")</f>
        <v/>
      </c>
      <c r="N61" s="21" t="str">
        <f>IFERROR(__xludf.DUMMYFUNCTION("IFERROR((GOOGLEFINANCE(C61, ""price"") / INDEX(GOOGLEFINANCE(C61, ""price"", EDATE(TODAY(), -3), TODAY()), 2, 2)) - 1, """")"),"")</f>
        <v/>
      </c>
      <c r="O61" s="21" t="str">
        <f>IFERROR(__xludf.DUMMYFUNCTION("IFERROR((GOOGLEFINANCE(C61, ""price"") / INDEX(GOOGLEFINANCE(C61, ""price"", EDATE(TODAY(), -6), TODAY()), 2, 2)) - 1, """")"),"")</f>
        <v/>
      </c>
      <c r="P61" s="21" t="str">
        <f>IFERROR(__xludf.DUMMYFUNCTION("IFERROR((GOOGLEFINANCE(C61, ""price"") / INDEX(GOOGLEFINANCE(C61, ""price"", EDATE(TODAY(), -12), TODAY()), 2, 2)) - 1, """")"),"")</f>
        <v/>
      </c>
      <c r="Q61" s="6" t="str">
        <f>IFERROR(__xludf.DUMMYFUNCTION("AVERAGE(QUERY(GOOGLEFINANCE(C61, ""price"", TODAY()-80, TODAY()), ""SELECT Col2 WHERE Col2 IS NOT NULL ORDER BY Col1 DESC LIMIT 50"", 0))"),"#N/A")</f>
        <v>#N/A</v>
      </c>
      <c r="R61" s="24" t="str">
        <f>IFERROR(__xludf.DUMMYFUNCTION("IFERROR(
  LET(
    data, QUERY(GOOGLEFINANCE(C61,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GOOGLEFINANCE(C61, ""price"")) * 100,
    IF(calc=0, G61, calc)
  ), 
G61)"),"#N/A")</f>
        <v>#N/A</v>
      </c>
      <c r="S61" s="8" t="s">
        <v>15</v>
      </c>
      <c r="T61" s="26" t="str">
        <f>IFERROR(__xludf.DUMMYFUNCTION("IFERROR(TRANSPOSE(QUERY(IFERROR(SORT(GOOGLEFINANCE(C61, ""price"", WORKDAY(TODAY(), -40), TODAY()), 1, FALSE)), ""select Col2 where Col2 is not null limit 22 label Col2 ''"", 0)), """")"),"")</f>
        <v/>
      </c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8"/>
      <c r="AO61" s="28"/>
      <c r="AP61" s="29"/>
      <c r="AQ61" s="29" t="str">
        <f t="shared" ref="AQ61:BL61" si="64">T61/T$2</f>
        <v>#N/A</v>
      </c>
      <c r="AR61" s="29" t="str">
        <f t="shared" si="64"/>
        <v>#DIV/0!</v>
      </c>
      <c r="AS61" s="29" t="str">
        <f t="shared" si="64"/>
        <v>#DIV/0!</v>
      </c>
      <c r="AT61" s="29" t="str">
        <f t="shared" si="64"/>
        <v>#DIV/0!</v>
      </c>
      <c r="AU61" s="29" t="str">
        <f t="shared" si="64"/>
        <v>#DIV/0!</v>
      </c>
      <c r="AV61" s="29" t="str">
        <f t="shared" si="64"/>
        <v>#DIV/0!</v>
      </c>
      <c r="AW61" s="29" t="str">
        <f t="shared" si="64"/>
        <v>#DIV/0!</v>
      </c>
      <c r="AX61" s="29" t="str">
        <f t="shared" si="64"/>
        <v>#DIV/0!</v>
      </c>
      <c r="AY61" s="29" t="str">
        <f t="shared" si="64"/>
        <v>#DIV/0!</v>
      </c>
      <c r="AZ61" s="29" t="str">
        <f t="shared" si="64"/>
        <v>#DIV/0!</v>
      </c>
      <c r="BA61" s="29" t="str">
        <f t="shared" si="64"/>
        <v>#DIV/0!</v>
      </c>
      <c r="BB61" s="29" t="str">
        <f t="shared" si="64"/>
        <v>#DIV/0!</v>
      </c>
      <c r="BC61" s="29" t="str">
        <f t="shared" si="64"/>
        <v>#DIV/0!</v>
      </c>
      <c r="BD61" s="29" t="str">
        <f t="shared" si="64"/>
        <v>#DIV/0!</v>
      </c>
      <c r="BE61" s="29" t="str">
        <f t="shared" si="64"/>
        <v>#DIV/0!</v>
      </c>
      <c r="BF61" s="29" t="str">
        <f t="shared" si="64"/>
        <v>#DIV/0!</v>
      </c>
      <c r="BG61" s="29" t="str">
        <f t="shared" si="64"/>
        <v>#DIV/0!</v>
      </c>
      <c r="BH61" s="29" t="str">
        <f t="shared" si="64"/>
        <v>#DIV/0!</v>
      </c>
      <c r="BI61" s="29" t="str">
        <f t="shared" si="64"/>
        <v>#DIV/0!</v>
      </c>
      <c r="BJ61" s="29" t="str">
        <f t="shared" si="64"/>
        <v>#DIV/0!</v>
      </c>
      <c r="BK61" s="29" t="str">
        <f t="shared" si="64"/>
        <v>#DIV/0!</v>
      </c>
      <c r="BL61" s="29" t="str">
        <f t="shared" si="64"/>
        <v>#DIV/0!</v>
      </c>
      <c r="BM61" s="29" t="str">
        <f t="shared" si="3"/>
        <v>#DIV/0!</v>
      </c>
    </row>
    <row r="62">
      <c r="A62" s="16" t="str">
        <f>IFERROR(__xludf.DUMMYFUNCTION("IFERROR(SPARKLINE(SORT(MAP(TRANSPOSE(AQ62:BL62), LAMBDA(val, IF(ISNUMBER(val), PERCENTRANK(AQ62:BL62, val)+0.01, 0))), SEQUENCE(COLUMNS(AQ62:BL62)), FALSE), {""charttype"",""column""; ""color"",""chartreuse""; ""ymin"", 0; ""ymax"", 1.01; ""highcolor"", "&amp;"""darkgreen""; ""lowcolor"", ""red""}), """")"),"")</f>
        <v/>
      </c>
      <c r="B62" s="17" t="str">
        <f t="shared" si="4"/>
        <v/>
      </c>
      <c r="C62" s="1" t="s">
        <v>325</v>
      </c>
      <c r="D62" s="30" t="str">
        <f>IFERROR(__xludf.DUMMYFUNCTION("IFERROR(GOOGLEFINANCE(C62, ""NAME""))"),"Li Auto Inc")</f>
        <v>Li Auto Inc</v>
      </c>
      <c r="E62" s="30" t="s">
        <v>129</v>
      </c>
      <c r="F62" s="33" t="str">
        <f>IFERROR(__xludf.DUMMYFUNCTION("( (GOOGLEFINANCE(C62, ""price"") - Q62) / Q62 ) / (R62 / 100)"),"Loading...")</f>
        <v>Loading...</v>
      </c>
      <c r="G62" s="20" t="str">
        <f>IFERROR(__xludf.DUMMYFUNCTION("AVERAGE(ARRAYFORMULA(100 * (QUERY(GOOGLEFINANCE(C62, ""high"", TODAY()-40, TODAY()), ""SELECT Col2 WHERE Col2 IS NOT NULL ORDER BY Col1 DESC LIMIT 20"", 0) / QUERY(GOOGLEFINANCE(C62, ""low"", TODAY()-40, TODAY()), ""SELECT Col2 WHERE Col2 IS NOT NULL ORDE"&amp;"R BY Col1 DESC LIMIT 20"", 0) - 1)))"),"#N/A")</f>
        <v>#N/A</v>
      </c>
      <c r="H62" s="35" t="str">
        <f t="shared" si="6"/>
        <v/>
      </c>
      <c r="I62" s="35" t="str">
        <f t="shared" si="7"/>
        <v/>
      </c>
      <c r="J62" s="37" t="str">
        <f>IFERROR(__xludf.DUMMYFUNCTION("IFERROR(
  IF(C62="""",, 
    IFERROR(
      GOOGLEFINANCE(C62, ""price"") * GOOGLEFINANCE(C62, ""volumeavg""), 
      GOOGLEFINANCE(C62, ""price"") * AVERAGE(QUERY(GOOGLEFINANCE(C62, ""volume"", TODAY()-40, TODAY()), ""SELECT Col2 WHERE Col2 IS NOT NULL "&amp;"ORDER BY Col1 DESC LIMIT 20"", 0))
    )
  ), 
"""")"),"")</f>
        <v/>
      </c>
      <c r="K62" s="21" t="str">
        <f>IFERROR(__xludf.DUMMYFUNCTION("IFERROR(GOOGLEFINANCE(C62, ""changepct"") / 100, """")"),"")</f>
        <v/>
      </c>
      <c r="L62" s="21" t="str">
        <f>IFERROR(__xludf.DUMMYFUNCTION("IFERROR((GOOGLEFINANCE(C62, ""price"") / INDEX(GOOGLEFINANCE(C62, ""price"", TODAY()-7, TODAY()), 2, 2)) - 1, """")"),"")</f>
        <v/>
      </c>
      <c r="M62" s="21" t="str">
        <f>IFERROR(__xludf.DUMMYFUNCTION("IFERROR((GOOGLEFINANCE(C62, ""price"") / INDEX(GOOGLEFINANCE(C62, ""price"", EDATE(TODAY(), -1), TODAY()), 2, 2)) - 1, """")"),"")</f>
        <v/>
      </c>
      <c r="N62" s="21" t="str">
        <f>IFERROR(__xludf.DUMMYFUNCTION("IFERROR((GOOGLEFINANCE(C62, ""price"") / INDEX(GOOGLEFINANCE(C62, ""price"", EDATE(TODAY(), -3), TODAY()), 2, 2)) - 1, """")"),"")</f>
        <v/>
      </c>
      <c r="O62" s="21" t="str">
        <f>IFERROR(__xludf.DUMMYFUNCTION("IFERROR((GOOGLEFINANCE(C62, ""price"") / INDEX(GOOGLEFINANCE(C62, ""price"", EDATE(TODAY(), -6), TODAY()), 2, 2)) - 1, """")"),"")</f>
        <v/>
      </c>
      <c r="P62" s="21" t="str">
        <f>IFERROR(__xludf.DUMMYFUNCTION("IFERROR((GOOGLEFINANCE(C62, ""price"") / INDEX(GOOGLEFINANCE(C62, ""price"", EDATE(TODAY(), -12), TODAY()), 2, 2)) - 1, """")"),"")</f>
        <v/>
      </c>
      <c r="Q62" s="6" t="str">
        <f>IFERROR(__xludf.DUMMYFUNCTION("AVERAGE(QUERY(GOOGLEFINANCE(C62, ""price"", TODAY()-80, TODAY()), ""SELECT Col2 WHERE Col2 IS NOT NULL ORDER BY Col1 DESC LIMIT 50"", 0))"),"#N/A")</f>
        <v>#N/A</v>
      </c>
      <c r="R62" s="24" t="str">
        <f>IFERROR(__xludf.DUMMYFUNCTION("IFERROR(
  LET(
    data, QUERY(GOOGLEFINANCE(C62,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GOOGLEFINANCE(C62, ""price"")) * 100,
    IF(calc=0, G62, calc)
  ), 
G62)"),"#N/A")</f>
        <v>#N/A</v>
      </c>
      <c r="S62" s="8" t="s">
        <v>15</v>
      </c>
      <c r="T62" s="26" t="str">
        <f>IFERROR(__xludf.DUMMYFUNCTION("IFERROR(TRANSPOSE(QUERY(IFERROR(SORT(GOOGLEFINANCE(C62, ""price"", WORKDAY(TODAY(), -40), TODAY()), 1, FALSE)), ""select Col2 where Col2 is not null limit 22 label Col2 ''"", 0)), """")"),"")</f>
        <v/>
      </c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8"/>
      <c r="AO62" s="28"/>
      <c r="AP62" s="29"/>
      <c r="AQ62" s="29" t="str">
        <f t="shared" ref="AQ62:BL62" si="65">T62/T$2</f>
        <v>#N/A</v>
      </c>
      <c r="AR62" s="29" t="str">
        <f t="shared" si="65"/>
        <v>#DIV/0!</v>
      </c>
      <c r="AS62" s="29" t="str">
        <f t="shared" si="65"/>
        <v>#DIV/0!</v>
      </c>
      <c r="AT62" s="29" t="str">
        <f t="shared" si="65"/>
        <v>#DIV/0!</v>
      </c>
      <c r="AU62" s="29" t="str">
        <f t="shared" si="65"/>
        <v>#DIV/0!</v>
      </c>
      <c r="AV62" s="29" t="str">
        <f t="shared" si="65"/>
        <v>#DIV/0!</v>
      </c>
      <c r="AW62" s="29" t="str">
        <f t="shared" si="65"/>
        <v>#DIV/0!</v>
      </c>
      <c r="AX62" s="29" t="str">
        <f t="shared" si="65"/>
        <v>#DIV/0!</v>
      </c>
      <c r="AY62" s="29" t="str">
        <f t="shared" si="65"/>
        <v>#DIV/0!</v>
      </c>
      <c r="AZ62" s="29" t="str">
        <f t="shared" si="65"/>
        <v>#DIV/0!</v>
      </c>
      <c r="BA62" s="29" t="str">
        <f t="shared" si="65"/>
        <v>#DIV/0!</v>
      </c>
      <c r="BB62" s="29" t="str">
        <f t="shared" si="65"/>
        <v>#DIV/0!</v>
      </c>
      <c r="BC62" s="29" t="str">
        <f t="shared" si="65"/>
        <v>#DIV/0!</v>
      </c>
      <c r="BD62" s="29" t="str">
        <f t="shared" si="65"/>
        <v>#DIV/0!</v>
      </c>
      <c r="BE62" s="29" t="str">
        <f t="shared" si="65"/>
        <v>#DIV/0!</v>
      </c>
      <c r="BF62" s="29" t="str">
        <f t="shared" si="65"/>
        <v>#DIV/0!</v>
      </c>
      <c r="BG62" s="29" t="str">
        <f t="shared" si="65"/>
        <v>#DIV/0!</v>
      </c>
      <c r="BH62" s="29" t="str">
        <f t="shared" si="65"/>
        <v>#DIV/0!</v>
      </c>
      <c r="BI62" s="29" t="str">
        <f t="shared" si="65"/>
        <v>#DIV/0!</v>
      </c>
      <c r="BJ62" s="29" t="str">
        <f t="shared" si="65"/>
        <v>#DIV/0!</v>
      </c>
      <c r="BK62" s="29" t="str">
        <f t="shared" si="65"/>
        <v>#DIV/0!</v>
      </c>
      <c r="BL62" s="29" t="str">
        <f t="shared" si="65"/>
        <v>#DIV/0!</v>
      </c>
      <c r="BM62" s="29" t="str">
        <f t="shared" si="3"/>
        <v>#DIV/0!</v>
      </c>
    </row>
    <row r="63">
      <c r="A63" s="16" t="str">
        <f>IFERROR(__xludf.DUMMYFUNCTION("IFERROR(SPARKLINE(SORT(MAP(TRANSPOSE(AQ63:BL63), LAMBDA(val, IF(ISNUMBER(val), PERCENTRANK(AQ63:BL63, val)+0.01, 0))), SEQUENCE(COLUMNS(AQ63:BL63)), FALSE), {""charttype"",""column""; ""color"",""chartreuse""; ""ymin"", 0; ""ymax"", 1.01; ""highcolor"", "&amp;"""darkgreen""; ""lowcolor"", ""red""}), """")"),"")</f>
        <v/>
      </c>
      <c r="B63" s="17" t="str">
        <f t="shared" si="4"/>
        <v/>
      </c>
      <c r="C63" s="1" t="s">
        <v>328</v>
      </c>
      <c r="D63" s="30" t="str">
        <f>IFERROR(__xludf.DUMMYFUNCTION("IFERROR(GOOGLEFINANCE(C63, ""NAME""))"),"Adient PLC")</f>
        <v>Adient PLC</v>
      </c>
      <c r="E63" s="30" t="s">
        <v>109</v>
      </c>
      <c r="F63" s="38" t="str">
        <f>IFERROR(__xludf.DUMMYFUNCTION("( (GOOGLEFINANCE(C63, ""price"") - Q63) / Q63 ) / (R63 / 100)"),"Loading...")</f>
        <v>Loading...</v>
      </c>
      <c r="G63" s="20" t="str">
        <f>IFERROR(__xludf.DUMMYFUNCTION("AVERAGE(ARRAYFORMULA(100 * (QUERY(GOOGLEFINANCE(C63, ""high"", TODAY()-40, TODAY()), ""SELECT Col2 WHERE Col2 IS NOT NULL ORDER BY Col1 DESC LIMIT 20"", 0) / QUERY(GOOGLEFINANCE(C63, ""low"", TODAY()-40, TODAY()), ""SELECT Col2 WHERE Col2 IS NOT NULL ORDE"&amp;"R BY Col1 DESC LIMIT 20"", 0) - 1)))"),"#N/A")</f>
        <v>#N/A</v>
      </c>
      <c r="H63" s="35" t="str">
        <f t="shared" si="6"/>
        <v/>
      </c>
      <c r="I63" s="35" t="str">
        <f t="shared" si="7"/>
        <v/>
      </c>
      <c r="J63" s="37" t="str">
        <f>IFERROR(__xludf.DUMMYFUNCTION("IFERROR(
  IF(C63="""",, 
    IFERROR(
      GOOGLEFINANCE(C63, ""price"") * GOOGLEFINANCE(C63, ""volumeavg""), 
      GOOGLEFINANCE(C63, ""price"") * AVERAGE(QUERY(GOOGLEFINANCE(C63, ""volume"", TODAY()-40, TODAY()), ""SELECT Col2 WHERE Col2 IS NOT NULL "&amp;"ORDER BY Col1 DESC LIMIT 20"", 0))
    )
  ), 
"""")"),"")</f>
        <v/>
      </c>
      <c r="K63" s="21" t="str">
        <f>IFERROR(__xludf.DUMMYFUNCTION("IFERROR(GOOGLEFINANCE(C63, ""changepct"") / 100, """")"),"")</f>
        <v/>
      </c>
      <c r="L63" s="21" t="str">
        <f>IFERROR(__xludf.DUMMYFUNCTION("IFERROR((GOOGLEFINANCE(C63, ""price"") / INDEX(GOOGLEFINANCE(C63, ""price"", TODAY()-7, TODAY()), 2, 2)) - 1, """")"),"")</f>
        <v/>
      </c>
      <c r="M63" s="21" t="str">
        <f>IFERROR(__xludf.DUMMYFUNCTION("IFERROR((GOOGLEFINANCE(C63, ""price"") / INDEX(GOOGLEFINANCE(C63, ""price"", EDATE(TODAY(), -1), TODAY()), 2, 2)) - 1, """")"),"")</f>
        <v/>
      </c>
      <c r="N63" s="21" t="str">
        <f>IFERROR(__xludf.DUMMYFUNCTION("IFERROR((GOOGLEFINANCE(C63, ""price"") / INDEX(GOOGLEFINANCE(C63, ""price"", EDATE(TODAY(), -3), TODAY()), 2, 2)) - 1, """")"),"")</f>
        <v/>
      </c>
      <c r="O63" s="21" t="str">
        <f>IFERROR(__xludf.DUMMYFUNCTION("IFERROR((GOOGLEFINANCE(C63, ""price"") / INDEX(GOOGLEFINANCE(C63, ""price"", EDATE(TODAY(), -6), TODAY()), 2, 2)) - 1, """")"),"")</f>
        <v/>
      </c>
      <c r="P63" s="21" t="str">
        <f>IFERROR(__xludf.DUMMYFUNCTION("IFERROR((GOOGLEFINANCE(C63, ""price"") / INDEX(GOOGLEFINANCE(C63, ""price"", EDATE(TODAY(), -12), TODAY()), 2, 2)) - 1, """")"),"")</f>
        <v/>
      </c>
      <c r="Q63" s="6" t="str">
        <f>IFERROR(__xludf.DUMMYFUNCTION("AVERAGE(QUERY(GOOGLEFINANCE(C63, ""price"", TODAY()-80, TODAY()), ""SELECT Col2 WHERE Col2 IS NOT NULL ORDER BY Col1 DESC LIMIT 50"", 0))"),"#N/A")</f>
        <v>#N/A</v>
      </c>
      <c r="R63" s="24" t="str">
        <f>IFERROR(__xludf.DUMMYFUNCTION("IFERROR(
  LET(
    data, QUERY(GOOGLEFINANCE(C63,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GOOGLEFINANCE(C63, ""price"")) * 100,
    IF(calc=0, G63, calc)
  ), 
G63)"),"#N/A")</f>
        <v>#N/A</v>
      </c>
      <c r="S63" s="8" t="s">
        <v>15</v>
      </c>
      <c r="T63" s="26" t="str">
        <f>IFERROR(__xludf.DUMMYFUNCTION("IFERROR(TRANSPOSE(QUERY(IFERROR(SORT(GOOGLEFINANCE(C63, ""price"", WORKDAY(TODAY(), -40), TODAY()), 1, FALSE)), ""select Col2 where Col2 is not null limit 22 label Col2 ''"", 0)), """")"),"")</f>
        <v/>
      </c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8"/>
      <c r="AO63" s="28"/>
      <c r="AP63" s="29"/>
      <c r="AQ63" s="29" t="str">
        <f t="shared" ref="AQ63:BL63" si="66">T63/T$2</f>
        <v>#N/A</v>
      </c>
      <c r="AR63" s="29" t="str">
        <f t="shared" si="66"/>
        <v>#DIV/0!</v>
      </c>
      <c r="AS63" s="29" t="str">
        <f t="shared" si="66"/>
        <v>#DIV/0!</v>
      </c>
      <c r="AT63" s="29" t="str">
        <f t="shared" si="66"/>
        <v>#DIV/0!</v>
      </c>
      <c r="AU63" s="29" t="str">
        <f t="shared" si="66"/>
        <v>#DIV/0!</v>
      </c>
      <c r="AV63" s="29" t="str">
        <f t="shared" si="66"/>
        <v>#DIV/0!</v>
      </c>
      <c r="AW63" s="29" t="str">
        <f t="shared" si="66"/>
        <v>#DIV/0!</v>
      </c>
      <c r="AX63" s="29" t="str">
        <f t="shared" si="66"/>
        <v>#DIV/0!</v>
      </c>
      <c r="AY63" s="29" t="str">
        <f t="shared" si="66"/>
        <v>#DIV/0!</v>
      </c>
      <c r="AZ63" s="29" t="str">
        <f t="shared" si="66"/>
        <v>#DIV/0!</v>
      </c>
      <c r="BA63" s="29" t="str">
        <f t="shared" si="66"/>
        <v>#DIV/0!</v>
      </c>
      <c r="BB63" s="29" t="str">
        <f t="shared" si="66"/>
        <v>#DIV/0!</v>
      </c>
      <c r="BC63" s="29" t="str">
        <f t="shared" si="66"/>
        <v>#DIV/0!</v>
      </c>
      <c r="BD63" s="29" t="str">
        <f t="shared" si="66"/>
        <v>#DIV/0!</v>
      </c>
      <c r="BE63" s="29" t="str">
        <f t="shared" si="66"/>
        <v>#DIV/0!</v>
      </c>
      <c r="BF63" s="29" t="str">
        <f t="shared" si="66"/>
        <v>#DIV/0!</v>
      </c>
      <c r="BG63" s="29" t="str">
        <f t="shared" si="66"/>
        <v>#DIV/0!</v>
      </c>
      <c r="BH63" s="29" t="str">
        <f t="shared" si="66"/>
        <v>#DIV/0!</v>
      </c>
      <c r="BI63" s="29" t="str">
        <f t="shared" si="66"/>
        <v>#DIV/0!</v>
      </c>
      <c r="BJ63" s="29" t="str">
        <f t="shared" si="66"/>
        <v>#DIV/0!</v>
      </c>
      <c r="BK63" s="29" t="str">
        <f t="shared" si="66"/>
        <v>#DIV/0!</v>
      </c>
      <c r="BL63" s="29" t="str">
        <f t="shared" si="66"/>
        <v>#DIV/0!</v>
      </c>
      <c r="BM63" s="29" t="str">
        <f t="shared" si="3"/>
        <v>#DIV/0!</v>
      </c>
    </row>
    <row r="64">
      <c r="A64" s="16" t="str">
        <f>IFERROR(__xludf.DUMMYFUNCTION("IFERROR(SPARKLINE(SORT(MAP(TRANSPOSE(AQ64:BL64), LAMBDA(val, IF(ISNUMBER(val), PERCENTRANK(AQ64:BL64, val)+0.01, 0))), SEQUENCE(COLUMNS(AQ64:BL64)), FALSE), {""charttype"",""column""; ""color"",""chartreuse""; ""ymin"", 0; ""ymax"", 1.01; ""highcolor"", "&amp;"""darkgreen""; ""lowcolor"", ""red""}), """")"),"")</f>
        <v/>
      </c>
      <c r="B64" s="17" t="str">
        <f t="shared" si="4"/>
        <v/>
      </c>
      <c r="C64" s="1" t="s">
        <v>333</v>
      </c>
      <c r="D64" s="30" t="str">
        <f>IFERROR(__xludf.DUMMYFUNCTION("IFERROR(GOOGLEFINANCE(C64, ""NAME""))"),"Legacy Housing Corp (Texas)")</f>
        <v>Legacy Housing Corp (Texas)</v>
      </c>
      <c r="E64" s="30" t="s">
        <v>261</v>
      </c>
      <c r="F64" s="33" t="str">
        <f>IFERROR(__xludf.DUMMYFUNCTION("( (GOOGLEFINANCE(C64, ""price"") - Q64) / Q64 ) / (R64 / 100)"),"Loading...")</f>
        <v>Loading...</v>
      </c>
      <c r="G64" s="20" t="str">
        <f>IFERROR(__xludf.DUMMYFUNCTION("AVERAGE(ARRAYFORMULA(100 * (QUERY(GOOGLEFINANCE(C64, ""high"", TODAY()-40, TODAY()), ""SELECT Col2 WHERE Col2 IS NOT NULL ORDER BY Col1 DESC LIMIT 20"", 0) / QUERY(GOOGLEFINANCE(C64, ""low"", TODAY()-40, TODAY()), ""SELECT Col2 WHERE Col2 IS NOT NULL ORDE"&amp;"R BY Col1 DESC LIMIT 20"", 0) - 1)))"),"#N/A")</f>
        <v>#N/A</v>
      </c>
      <c r="H64" s="35" t="str">
        <f t="shared" si="6"/>
        <v/>
      </c>
      <c r="I64" s="35" t="str">
        <f t="shared" si="7"/>
        <v/>
      </c>
      <c r="J64" s="37" t="str">
        <f>IFERROR(__xludf.DUMMYFUNCTION("IFERROR(
  IF(C64="""",, 
    IFERROR(
      GOOGLEFINANCE(C64, ""price"") * GOOGLEFINANCE(C64, ""volumeavg""), 
      GOOGLEFINANCE(C64, ""price"") * AVERAGE(QUERY(GOOGLEFINANCE(C64, ""volume"", TODAY()-40, TODAY()), ""SELECT Col2 WHERE Col2 IS NOT NULL "&amp;"ORDER BY Col1 DESC LIMIT 20"", 0))
    )
  ), 
"""")"),"")</f>
        <v/>
      </c>
      <c r="K64" s="21" t="str">
        <f>IFERROR(__xludf.DUMMYFUNCTION("IFERROR(GOOGLEFINANCE(C64, ""changepct"") / 100, """")"),"")</f>
        <v/>
      </c>
      <c r="L64" s="21" t="str">
        <f>IFERROR(__xludf.DUMMYFUNCTION("IFERROR((GOOGLEFINANCE(C64, ""price"") / INDEX(GOOGLEFINANCE(C64, ""price"", TODAY()-7, TODAY()), 2, 2)) - 1, """")"),"")</f>
        <v/>
      </c>
      <c r="M64" s="21" t="str">
        <f>IFERROR(__xludf.DUMMYFUNCTION("IFERROR((GOOGLEFINANCE(C64, ""price"") / INDEX(GOOGLEFINANCE(C64, ""price"", EDATE(TODAY(), -1), TODAY()), 2, 2)) - 1, """")"),"")</f>
        <v/>
      </c>
      <c r="N64" s="21" t="str">
        <f>IFERROR(__xludf.DUMMYFUNCTION("IFERROR((GOOGLEFINANCE(C64, ""price"") / INDEX(GOOGLEFINANCE(C64, ""price"", EDATE(TODAY(), -3), TODAY()), 2, 2)) - 1, """")"),"")</f>
        <v/>
      </c>
      <c r="O64" s="21" t="str">
        <f>IFERROR(__xludf.DUMMYFUNCTION("IFERROR((GOOGLEFINANCE(C64, ""price"") / INDEX(GOOGLEFINANCE(C64, ""price"", EDATE(TODAY(), -6), TODAY()), 2, 2)) - 1, """")"),"")</f>
        <v/>
      </c>
      <c r="P64" s="21" t="str">
        <f>IFERROR(__xludf.DUMMYFUNCTION("IFERROR((GOOGLEFINANCE(C64, ""price"") / INDEX(GOOGLEFINANCE(C64, ""price"", EDATE(TODAY(), -12), TODAY()), 2, 2)) - 1, """")"),"")</f>
        <v/>
      </c>
      <c r="Q64" s="6" t="str">
        <f>IFERROR(__xludf.DUMMYFUNCTION("AVERAGE(QUERY(GOOGLEFINANCE(C64, ""price"", TODAY()-80, TODAY()), ""SELECT Col2 WHERE Col2 IS NOT NULL ORDER BY Col1 DESC LIMIT 50"", 0))"),"#N/A")</f>
        <v>#N/A</v>
      </c>
      <c r="R64" s="24" t="str">
        <f>IFERROR(__xludf.DUMMYFUNCTION("IFERROR(
  LET(
    data, QUERY(GOOGLEFINANCE(C64,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GOOGLEFINANCE(C64, ""price"")) * 100,
    IF(calc=0, G64, calc)
  ), 
G64)"),"#N/A")</f>
        <v>#N/A</v>
      </c>
      <c r="S64" s="8" t="s">
        <v>15</v>
      </c>
      <c r="T64" s="26" t="str">
        <f>IFERROR(__xludf.DUMMYFUNCTION("IFERROR(TRANSPOSE(QUERY(IFERROR(SORT(GOOGLEFINANCE(C64, ""price"", WORKDAY(TODAY(), -40), TODAY()), 1, FALSE)), ""select Col2 where Col2 is not null limit 22 label Col2 ''"", 0)), """")"),"")</f>
        <v/>
      </c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8"/>
      <c r="AO64" s="28"/>
      <c r="AP64" s="29"/>
      <c r="AQ64" s="29" t="str">
        <f t="shared" ref="AQ64:BL64" si="67">T64/T$2</f>
        <v>#N/A</v>
      </c>
      <c r="AR64" s="29" t="str">
        <f t="shared" si="67"/>
        <v>#DIV/0!</v>
      </c>
      <c r="AS64" s="29" t="str">
        <f t="shared" si="67"/>
        <v>#DIV/0!</v>
      </c>
      <c r="AT64" s="29" t="str">
        <f t="shared" si="67"/>
        <v>#DIV/0!</v>
      </c>
      <c r="AU64" s="29" t="str">
        <f t="shared" si="67"/>
        <v>#DIV/0!</v>
      </c>
      <c r="AV64" s="29" t="str">
        <f t="shared" si="67"/>
        <v>#DIV/0!</v>
      </c>
      <c r="AW64" s="29" t="str">
        <f t="shared" si="67"/>
        <v>#DIV/0!</v>
      </c>
      <c r="AX64" s="29" t="str">
        <f t="shared" si="67"/>
        <v>#DIV/0!</v>
      </c>
      <c r="AY64" s="29" t="str">
        <f t="shared" si="67"/>
        <v>#DIV/0!</v>
      </c>
      <c r="AZ64" s="29" t="str">
        <f t="shared" si="67"/>
        <v>#DIV/0!</v>
      </c>
      <c r="BA64" s="29" t="str">
        <f t="shared" si="67"/>
        <v>#DIV/0!</v>
      </c>
      <c r="BB64" s="29" t="str">
        <f t="shared" si="67"/>
        <v>#DIV/0!</v>
      </c>
      <c r="BC64" s="29" t="str">
        <f t="shared" si="67"/>
        <v>#DIV/0!</v>
      </c>
      <c r="BD64" s="29" t="str">
        <f t="shared" si="67"/>
        <v>#DIV/0!</v>
      </c>
      <c r="BE64" s="29" t="str">
        <f t="shared" si="67"/>
        <v>#DIV/0!</v>
      </c>
      <c r="BF64" s="29" t="str">
        <f t="shared" si="67"/>
        <v>#DIV/0!</v>
      </c>
      <c r="BG64" s="29" t="str">
        <f t="shared" si="67"/>
        <v>#DIV/0!</v>
      </c>
      <c r="BH64" s="29" t="str">
        <f t="shared" si="67"/>
        <v>#DIV/0!</v>
      </c>
      <c r="BI64" s="29" t="str">
        <f t="shared" si="67"/>
        <v>#DIV/0!</v>
      </c>
      <c r="BJ64" s="29" t="str">
        <f t="shared" si="67"/>
        <v>#DIV/0!</v>
      </c>
      <c r="BK64" s="29" t="str">
        <f t="shared" si="67"/>
        <v>#DIV/0!</v>
      </c>
      <c r="BL64" s="29" t="str">
        <f t="shared" si="67"/>
        <v>#DIV/0!</v>
      </c>
      <c r="BM64" s="29" t="str">
        <f t="shared" si="3"/>
        <v>#DIV/0!</v>
      </c>
    </row>
    <row r="65">
      <c r="A65" s="16" t="str">
        <f>IFERROR(__xludf.DUMMYFUNCTION("IFERROR(SPARKLINE(SORT(MAP(TRANSPOSE(AQ65:BL65), LAMBDA(val, IF(ISNUMBER(val), PERCENTRANK(AQ65:BL65, val)+0.01, 0))), SEQUENCE(COLUMNS(AQ65:BL65)), FALSE), {""charttype"",""column""; ""color"",""chartreuse""; ""ymin"", 0; ""ymax"", 1.01; ""highcolor"", "&amp;"""darkgreen""; ""lowcolor"", ""red""}), """")"),"")</f>
        <v/>
      </c>
      <c r="B65" s="17" t="str">
        <f t="shared" si="4"/>
        <v/>
      </c>
      <c r="C65" s="1" t="s">
        <v>337</v>
      </c>
      <c r="D65" s="30" t="str">
        <f>IFERROR(__xludf.DUMMYFUNCTION("IFERROR(GOOGLEFINANCE(C65, ""NAME""))"),"Autoliv Inc")</f>
        <v>Autoliv Inc</v>
      </c>
      <c r="E65" s="30" t="s">
        <v>109</v>
      </c>
      <c r="F65" s="33" t="str">
        <f>IFERROR(__xludf.DUMMYFUNCTION("( (GOOGLEFINANCE(C65, ""price"") - Q65) / Q65 ) / (R65 / 100)"),"Loading...")</f>
        <v>Loading...</v>
      </c>
      <c r="G65" s="20" t="str">
        <f>IFERROR(__xludf.DUMMYFUNCTION("AVERAGE(ARRAYFORMULA(100 * (QUERY(GOOGLEFINANCE(C65, ""high"", TODAY()-40, TODAY()), ""SELECT Col2 WHERE Col2 IS NOT NULL ORDER BY Col1 DESC LIMIT 20"", 0) / QUERY(GOOGLEFINANCE(C65, ""low"", TODAY()-40, TODAY()), ""SELECT Col2 WHERE Col2 IS NOT NULL ORDE"&amp;"R BY Col1 DESC LIMIT 20"", 0) - 1)))"),"#N/A")</f>
        <v>#N/A</v>
      </c>
      <c r="H65" s="35" t="str">
        <f t="shared" si="6"/>
        <v/>
      </c>
      <c r="I65" s="35" t="str">
        <f t="shared" si="7"/>
        <v/>
      </c>
      <c r="J65" s="37" t="str">
        <f>IFERROR(__xludf.DUMMYFUNCTION("IFERROR(
  IF(C65="""",, 
    IFERROR(
      GOOGLEFINANCE(C65, ""price"") * GOOGLEFINANCE(C65, ""volumeavg""), 
      GOOGLEFINANCE(C65, ""price"") * AVERAGE(QUERY(GOOGLEFINANCE(C65, ""volume"", TODAY()-40, TODAY()), ""SELECT Col2 WHERE Col2 IS NOT NULL "&amp;"ORDER BY Col1 DESC LIMIT 20"", 0))
    )
  ), 
"""")"),"")</f>
        <v/>
      </c>
      <c r="K65" s="21" t="str">
        <f>IFERROR(__xludf.DUMMYFUNCTION("IFERROR(GOOGLEFINANCE(C65, ""changepct"") / 100, """")"),"")</f>
        <v/>
      </c>
      <c r="L65" s="21" t="str">
        <f>IFERROR(__xludf.DUMMYFUNCTION("IFERROR((GOOGLEFINANCE(C65, ""price"") / INDEX(GOOGLEFINANCE(C65, ""price"", TODAY()-7, TODAY()), 2, 2)) - 1, """")"),"")</f>
        <v/>
      </c>
      <c r="M65" s="21" t="str">
        <f>IFERROR(__xludf.DUMMYFUNCTION("IFERROR((GOOGLEFINANCE(C65, ""price"") / INDEX(GOOGLEFINANCE(C65, ""price"", EDATE(TODAY(), -1), TODAY()), 2, 2)) - 1, """")"),"")</f>
        <v/>
      </c>
      <c r="N65" s="21" t="str">
        <f>IFERROR(__xludf.DUMMYFUNCTION("IFERROR((GOOGLEFINANCE(C65, ""price"") / INDEX(GOOGLEFINANCE(C65, ""price"", EDATE(TODAY(), -3), TODAY()), 2, 2)) - 1, """")"),"")</f>
        <v/>
      </c>
      <c r="O65" s="21" t="str">
        <f>IFERROR(__xludf.DUMMYFUNCTION("IFERROR((GOOGLEFINANCE(C65, ""price"") / INDEX(GOOGLEFINANCE(C65, ""price"", EDATE(TODAY(), -6), TODAY()), 2, 2)) - 1, """")"),"")</f>
        <v/>
      </c>
      <c r="P65" s="21" t="str">
        <f>IFERROR(__xludf.DUMMYFUNCTION("IFERROR((GOOGLEFINANCE(C65, ""price"") / INDEX(GOOGLEFINANCE(C65, ""price"", EDATE(TODAY(), -12), TODAY()), 2, 2)) - 1, """")"),"")</f>
        <v/>
      </c>
      <c r="Q65" s="6" t="str">
        <f>IFERROR(__xludf.DUMMYFUNCTION("AVERAGE(QUERY(GOOGLEFINANCE(C65, ""price"", TODAY()-80, TODAY()), ""SELECT Col2 WHERE Col2 IS NOT NULL ORDER BY Col1 DESC LIMIT 50"", 0))"),"#N/A")</f>
        <v>#N/A</v>
      </c>
      <c r="R65" s="24" t="str">
        <f>IFERROR(__xludf.DUMMYFUNCTION("IFERROR(
  LET(
    data, QUERY(GOOGLEFINANCE(C65,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GOOGLEFINANCE(C65, ""price"")) * 100,
    IF(calc=0, G65, calc)
  ), 
G65)"),"#N/A")</f>
        <v>#N/A</v>
      </c>
      <c r="S65" s="8" t="s">
        <v>15</v>
      </c>
      <c r="T65" s="26" t="str">
        <f>IFERROR(__xludf.DUMMYFUNCTION("IFERROR(TRANSPOSE(QUERY(IFERROR(SORT(GOOGLEFINANCE(C65, ""price"", WORKDAY(TODAY(), -40), TODAY()), 1, FALSE)), ""select Col2 where Col2 is not null limit 22 label Col2 ''"", 0)), """")"),"")</f>
        <v/>
      </c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8"/>
      <c r="AO65" s="28"/>
      <c r="AP65" s="29"/>
      <c r="AQ65" s="29" t="str">
        <f t="shared" ref="AQ65:BL65" si="68">T65/T$2</f>
        <v>#N/A</v>
      </c>
      <c r="AR65" s="29" t="str">
        <f t="shared" si="68"/>
        <v>#DIV/0!</v>
      </c>
      <c r="AS65" s="29" t="str">
        <f t="shared" si="68"/>
        <v>#DIV/0!</v>
      </c>
      <c r="AT65" s="29" t="str">
        <f t="shared" si="68"/>
        <v>#DIV/0!</v>
      </c>
      <c r="AU65" s="29" t="str">
        <f t="shared" si="68"/>
        <v>#DIV/0!</v>
      </c>
      <c r="AV65" s="29" t="str">
        <f t="shared" si="68"/>
        <v>#DIV/0!</v>
      </c>
      <c r="AW65" s="29" t="str">
        <f t="shared" si="68"/>
        <v>#DIV/0!</v>
      </c>
      <c r="AX65" s="29" t="str">
        <f t="shared" si="68"/>
        <v>#DIV/0!</v>
      </c>
      <c r="AY65" s="29" t="str">
        <f t="shared" si="68"/>
        <v>#DIV/0!</v>
      </c>
      <c r="AZ65" s="29" t="str">
        <f t="shared" si="68"/>
        <v>#DIV/0!</v>
      </c>
      <c r="BA65" s="29" t="str">
        <f t="shared" si="68"/>
        <v>#DIV/0!</v>
      </c>
      <c r="BB65" s="29" t="str">
        <f t="shared" si="68"/>
        <v>#DIV/0!</v>
      </c>
      <c r="BC65" s="29" t="str">
        <f t="shared" si="68"/>
        <v>#DIV/0!</v>
      </c>
      <c r="BD65" s="29" t="str">
        <f t="shared" si="68"/>
        <v>#DIV/0!</v>
      </c>
      <c r="BE65" s="29" t="str">
        <f t="shared" si="68"/>
        <v>#DIV/0!</v>
      </c>
      <c r="BF65" s="29" t="str">
        <f t="shared" si="68"/>
        <v>#DIV/0!</v>
      </c>
      <c r="BG65" s="29" t="str">
        <f t="shared" si="68"/>
        <v>#DIV/0!</v>
      </c>
      <c r="BH65" s="29" t="str">
        <f t="shared" si="68"/>
        <v>#DIV/0!</v>
      </c>
      <c r="BI65" s="29" t="str">
        <f t="shared" si="68"/>
        <v>#DIV/0!</v>
      </c>
      <c r="BJ65" s="29" t="str">
        <f t="shared" si="68"/>
        <v>#DIV/0!</v>
      </c>
      <c r="BK65" s="29" t="str">
        <f t="shared" si="68"/>
        <v>#DIV/0!</v>
      </c>
      <c r="BL65" s="29" t="str">
        <f t="shared" si="68"/>
        <v>#DIV/0!</v>
      </c>
      <c r="BM65" s="29" t="str">
        <f t="shared" si="3"/>
        <v>#DIV/0!</v>
      </c>
    </row>
    <row r="66">
      <c r="A66" s="16" t="str">
        <f>IFERROR(__xludf.DUMMYFUNCTION("IFERROR(SPARKLINE(SORT(MAP(TRANSPOSE(AQ66:BL66), LAMBDA(val, IF(ISNUMBER(val), PERCENTRANK(AQ66:BL66, val)+0.01, 0))), SEQUENCE(COLUMNS(AQ66:BL66)), FALSE), {""charttype"",""column""; ""color"",""chartreuse""; ""ymin"", 0; ""ymax"", 1.01; ""highcolor"", "&amp;"""darkgreen""; ""lowcolor"", ""red""}), """")"),"")</f>
        <v/>
      </c>
      <c r="B66" s="17" t="str">
        <f t="shared" si="4"/>
        <v/>
      </c>
      <c r="C66" s="1" t="s">
        <v>341</v>
      </c>
      <c r="D66" s="30" t="str">
        <f>IFERROR(__xludf.DUMMYFUNCTION("IFERROR(GOOGLEFINANCE(C66, ""NAME""))"),"Amazon.com Inc")</f>
        <v>Amazon.com Inc</v>
      </c>
      <c r="E66" s="30" t="s">
        <v>137</v>
      </c>
      <c r="F66" s="33" t="str">
        <f>IFERROR(__xludf.DUMMYFUNCTION("( (GOOGLEFINANCE(C66, ""price"") - Q66) / Q66 ) / (R66 / 100)"),"Loading...")</f>
        <v>Loading...</v>
      </c>
      <c r="G66" s="20" t="str">
        <f>IFERROR(__xludf.DUMMYFUNCTION("AVERAGE(ARRAYFORMULA(100 * (QUERY(GOOGLEFINANCE(C66, ""high"", TODAY()-40, TODAY()), ""SELECT Col2 WHERE Col2 IS NOT NULL ORDER BY Col1 DESC LIMIT 20"", 0) / QUERY(GOOGLEFINANCE(C66, ""low"", TODAY()-40, TODAY()), ""SELECT Col2 WHERE Col2 IS NOT NULL ORDE"&amp;"R BY Col1 DESC LIMIT 20"", 0) - 1)))"),"#N/A")</f>
        <v>#N/A</v>
      </c>
      <c r="H66" s="35" t="str">
        <f t="shared" si="6"/>
        <v/>
      </c>
      <c r="I66" s="35" t="str">
        <f t="shared" si="7"/>
        <v/>
      </c>
      <c r="J66" s="37" t="str">
        <f>IFERROR(__xludf.DUMMYFUNCTION("IFERROR(
  IF(C66="""",, 
    IFERROR(
      GOOGLEFINANCE(C66, ""price"") * GOOGLEFINANCE(C66, ""volumeavg""), 
      GOOGLEFINANCE(C66, ""price"") * AVERAGE(QUERY(GOOGLEFINANCE(C66, ""volume"", TODAY()-40, TODAY()), ""SELECT Col2 WHERE Col2 IS NOT NULL "&amp;"ORDER BY Col1 DESC LIMIT 20"", 0))
    )
  ), 
"""")"),"")</f>
        <v/>
      </c>
      <c r="K66" s="21" t="str">
        <f>IFERROR(__xludf.DUMMYFUNCTION("IFERROR(GOOGLEFINANCE(C66, ""changepct"") / 100, """")"),"")</f>
        <v/>
      </c>
      <c r="L66" s="21" t="str">
        <f>IFERROR(__xludf.DUMMYFUNCTION("IFERROR((GOOGLEFINANCE(C66, ""price"") / INDEX(GOOGLEFINANCE(C66, ""price"", TODAY()-7, TODAY()), 2, 2)) - 1, """")"),"")</f>
        <v/>
      </c>
      <c r="M66" s="21" t="str">
        <f>IFERROR(__xludf.DUMMYFUNCTION("IFERROR((GOOGLEFINANCE(C66, ""price"") / INDEX(GOOGLEFINANCE(C66, ""price"", EDATE(TODAY(), -1), TODAY()), 2, 2)) - 1, """")"),"")</f>
        <v/>
      </c>
      <c r="N66" s="21" t="str">
        <f>IFERROR(__xludf.DUMMYFUNCTION("IFERROR((GOOGLEFINANCE(C66, ""price"") / INDEX(GOOGLEFINANCE(C66, ""price"", EDATE(TODAY(), -3), TODAY()), 2, 2)) - 1, """")"),"")</f>
        <v/>
      </c>
      <c r="O66" s="21" t="str">
        <f>IFERROR(__xludf.DUMMYFUNCTION("IFERROR((GOOGLEFINANCE(C66, ""price"") / INDEX(GOOGLEFINANCE(C66, ""price"", EDATE(TODAY(), -6), TODAY()), 2, 2)) - 1, """")"),"")</f>
        <v/>
      </c>
      <c r="P66" s="21" t="str">
        <f>IFERROR(__xludf.DUMMYFUNCTION("IFERROR((GOOGLEFINANCE(C66, ""price"") / INDEX(GOOGLEFINANCE(C66, ""price"", EDATE(TODAY(), -12), TODAY()), 2, 2)) - 1, """")"),"")</f>
        <v/>
      </c>
      <c r="Q66" s="6" t="str">
        <f>IFERROR(__xludf.DUMMYFUNCTION("AVERAGE(QUERY(GOOGLEFINANCE(C66, ""price"", TODAY()-80, TODAY()), ""SELECT Col2 WHERE Col2 IS NOT NULL ORDER BY Col1 DESC LIMIT 50"", 0))"),"#N/A")</f>
        <v>#N/A</v>
      </c>
      <c r="R66" s="24" t="str">
        <f>IFERROR(__xludf.DUMMYFUNCTION("IFERROR(
  LET(
    data, QUERY(GOOGLEFINANCE(C66,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GOOGLEFINANCE(C66, ""price"")) * 100,
    IF(calc=0, G66, calc)
  ), 
G66)"),"#N/A")</f>
        <v>#N/A</v>
      </c>
      <c r="S66" s="8" t="s">
        <v>15</v>
      </c>
      <c r="T66" s="26" t="str">
        <f>IFERROR(__xludf.DUMMYFUNCTION("IFERROR(TRANSPOSE(QUERY(IFERROR(SORT(GOOGLEFINANCE(C66, ""price"", WORKDAY(TODAY(), -40), TODAY()), 1, FALSE)), ""select Col2 where Col2 is not null limit 22 label Col2 ''"", 0)), """")"),"")</f>
        <v/>
      </c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8"/>
      <c r="AO66" s="28"/>
      <c r="AP66" s="29"/>
      <c r="AQ66" s="29" t="str">
        <f t="shared" ref="AQ66:BL66" si="69">T66/T$2</f>
        <v>#N/A</v>
      </c>
      <c r="AR66" s="29" t="str">
        <f t="shared" si="69"/>
        <v>#DIV/0!</v>
      </c>
      <c r="AS66" s="29" t="str">
        <f t="shared" si="69"/>
        <v>#DIV/0!</v>
      </c>
      <c r="AT66" s="29" t="str">
        <f t="shared" si="69"/>
        <v>#DIV/0!</v>
      </c>
      <c r="AU66" s="29" t="str">
        <f t="shared" si="69"/>
        <v>#DIV/0!</v>
      </c>
      <c r="AV66" s="29" t="str">
        <f t="shared" si="69"/>
        <v>#DIV/0!</v>
      </c>
      <c r="AW66" s="29" t="str">
        <f t="shared" si="69"/>
        <v>#DIV/0!</v>
      </c>
      <c r="AX66" s="29" t="str">
        <f t="shared" si="69"/>
        <v>#DIV/0!</v>
      </c>
      <c r="AY66" s="29" t="str">
        <f t="shared" si="69"/>
        <v>#DIV/0!</v>
      </c>
      <c r="AZ66" s="29" t="str">
        <f t="shared" si="69"/>
        <v>#DIV/0!</v>
      </c>
      <c r="BA66" s="29" t="str">
        <f t="shared" si="69"/>
        <v>#DIV/0!</v>
      </c>
      <c r="BB66" s="29" t="str">
        <f t="shared" si="69"/>
        <v>#DIV/0!</v>
      </c>
      <c r="BC66" s="29" t="str">
        <f t="shared" si="69"/>
        <v>#DIV/0!</v>
      </c>
      <c r="BD66" s="29" t="str">
        <f t="shared" si="69"/>
        <v>#DIV/0!</v>
      </c>
      <c r="BE66" s="29" t="str">
        <f t="shared" si="69"/>
        <v>#DIV/0!</v>
      </c>
      <c r="BF66" s="29" t="str">
        <f t="shared" si="69"/>
        <v>#DIV/0!</v>
      </c>
      <c r="BG66" s="29" t="str">
        <f t="shared" si="69"/>
        <v>#DIV/0!</v>
      </c>
      <c r="BH66" s="29" t="str">
        <f t="shared" si="69"/>
        <v>#DIV/0!</v>
      </c>
      <c r="BI66" s="29" t="str">
        <f t="shared" si="69"/>
        <v>#DIV/0!</v>
      </c>
      <c r="BJ66" s="29" t="str">
        <f t="shared" si="69"/>
        <v>#DIV/0!</v>
      </c>
      <c r="BK66" s="29" t="str">
        <f t="shared" si="69"/>
        <v>#DIV/0!</v>
      </c>
      <c r="BL66" s="29" t="str">
        <f t="shared" si="69"/>
        <v>#DIV/0!</v>
      </c>
      <c r="BM66" s="29" t="str">
        <f t="shared" si="3"/>
        <v>#DIV/0!</v>
      </c>
    </row>
    <row r="67">
      <c r="A67" s="16" t="str">
        <f>IFERROR(__xludf.DUMMYFUNCTION("IFERROR(SPARKLINE(SORT(MAP(TRANSPOSE(AQ67:BL67), LAMBDA(val, IF(ISNUMBER(val), PERCENTRANK(AQ67:BL67, val)+0.01, 0))), SEQUENCE(COLUMNS(AQ67:BL67)), FALSE), {""charttype"",""column""; ""color"",""chartreuse""; ""ymin"", 0; ""ymax"", 1.01; ""highcolor"", "&amp;"""darkgreen""; ""lowcolor"", ""red""}), """")"),"")</f>
        <v/>
      </c>
      <c r="B67" s="17" t="str">
        <f t="shared" si="4"/>
        <v/>
      </c>
      <c r="C67" s="1" t="s">
        <v>344</v>
      </c>
      <c r="D67" s="30" t="str">
        <f>IFERROR(__xludf.DUMMYFUNCTION("IFERROR(GOOGLEFINANCE(C67, ""NAME""))"),"Seeing Machines Ltd")</f>
        <v>Seeing Machines Ltd</v>
      </c>
      <c r="E67" s="30" t="s">
        <v>195</v>
      </c>
      <c r="F67" s="33" t="str">
        <f>IFERROR(__xludf.DUMMYFUNCTION("( (GOOGLEFINANCE(C67, ""price"") - Q67) / Q67 ) / (R67 / 100)"),"Loading...")</f>
        <v>Loading...</v>
      </c>
      <c r="G67" s="20" t="str">
        <f>IFERROR(__xludf.DUMMYFUNCTION("AVERAGE(ARRAYFORMULA(100 * (QUERY(GOOGLEFINANCE(C67, ""high"", TODAY()-40, TODAY()), ""SELECT Col2 WHERE Col2 IS NOT NULL ORDER BY Col1 DESC LIMIT 20"", 0) / QUERY(GOOGLEFINANCE(C67, ""low"", TODAY()-40, TODAY()), ""SELECT Col2 WHERE Col2 IS NOT NULL ORDE"&amp;"R BY Col1 DESC LIMIT 20"", 0) - 1)))"),"#N/A")</f>
        <v>#N/A</v>
      </c>
      <c r="H67" s="35" t="str">
        <f t="shared" si="6"/>
        <v/>
      </c>
      <c r="I67" s="35" t="str">
        <f t="shared" si="7"/>
        <v/>
      </c>
      <c r="J67" s="37" t="str">
        <f>IFERROR(__xludf.DUMMYFUNCTION("IFERROR(
  IF(C67="""",, 
    IFERROR(
      GOOGLEFINANCE(C67, ""price"") * GOOGLEFINANCE(C67, ""volumeavg""), 
      GOOGLEFINANCE(C67, ""price"") * AVERAGE(QUERY(GOOGLEFINANCE(C67, ""volume"", TODAY()-40, TODAY()), ""SELECT Col2 WHERE Col2 IS NOT NULL "&amp;"ORDER BY Col1 DESC LIMIT 20"", 0))
    )
  ), 
"""")"),"")</f>
        <v/>
      </c>
      <c r="K67" s="21" t="str">
        <f>IFERROR(__xludf.DUMMYFUNCTION("IFERROR(GOOGLEFINANCE(C67, ""changepct"") / 100, """")"),"")</f>
        <v/>
      </c>
      <c r="L67" s="21" t="str">
        <f>IFERROR(__xludf.DUMMYFUNCTION("IFERROR((GOOGLEFINANCE(C67, ""price"") / INDEX(GOOGLEFINANCE(C67, ""price"", TODAY()-7, TODAY()), 2, 2)) - 1, """")"),"")</f>
        <v/>
      </c>
      <c r="M67" s="21" t="str">
        <f>IFERROR(__xludf.DUMMYFUNCTION("IFERROR((GOOGLEFINANCE(C67, ""price"") / INDEX(GOOGLEFINANCE(C67, ""price"", EDATE(TODAY(), -1), TODAY()), 2, 2)) - 1, """")"),"")</f>
        <v/>
      </c>
      <c r="N67" s="21" t="str">
        <f>IFERROR(__xludf.DUMMYFUNCTION("IFERROR((GOOGLEFINANCE(C67, ""price"") / INDEX(GOOGLEFINANCE(C67, ""price"", EDATE(TODAY(), -3), TODAY()), 2, 2)) - 1, """")"),"")</f>
        <v/>
      </c>
      <c r="O67" s="21" t="str">
        <f>IFERROR(__xludf.DUMMYFUNCTION("IFERROR((GOOGLEFINANCE(C67, ""price"") / INDEX(GOOGLEFINANCE(C67, ""price"", EDATE(TODAY(), -6), TODAY()), 2, 2)) - 1, """")"),"")</f>
        <v/>
      </c>
      <c r="P67" s="21" t="str">
        <f>IFERROR(__xludf.DUMMYFUNCTION("IFERROR((GOOGLEFINANCE(C67, ""price"") / INDEX(GOOGLEFINANCE(C67, ""price"", EDATE(TODAY(), -12), TODAY()), 2, 2)) - 1, """")"),"")</f>
        <v/>
      </c>
      <c r="Q67" s="6" t="str">
        <f>IFERROR(__xludf.DUMMYFUNCTION("AVERAGE(QUERY(GOOGLEFINANCE(C67, ""price"", TODAY()-80, TODAY()), ""SELECT Col2 WHERE Col2 IS NOT NULL ORDER BY Col1 DESC LIMIT 50"", 0))"),"#N/A")</f>
        <v>#N/A</v>
      </c>
      <c r="R67" s="24" t="str">
        <f>IFERROR(__xludf.DUMMYFUNCTION("IFERROR(
  LET(
    data, QUERY(GOOGLEFINANCE(C67,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GOOGLEFINANCE(C67, ""price"")) * 100,
    IF(calc=0, G67, calc)
  ), 
G67)"),"#N/A")</f>
        <v>#N/A</v>
      </c>
      <c r="S67" s="8" t="s">
        <v>15</v>
      </c>
      <c r="T67" s="26" t="str">
        <f>IFERROR(__xludf.DUMMYFUNCTION("IFERROR(TRANSPOSE(QUERY(IFERROR(SORT(GOOGLEFINANCE(C67, ""price"", WORKDAY(TODAY(), -40), TODAY()), 1, FALSE)), ""select Col2 where Col2 is not null limit 22 label Col2 ''"", 0)), """")"),"")</f>
        <v/>
      </c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8"/>
      <c r="AO67" s="28"/>
      <c r="AP67" s="29"/>
      <c r="AQ67" s="29" t="str">
        <f t="shared" ref="AQ67:BL67" si="70">T67/T$2</f>
        <v>#N/A</v>
      </c>
      <c r="AR67" s="29" t="str">
        <f t="shared" si="70"/>
        <v>#DIV/0!</v>
      </c>
      <c r="AS67" s="29" t="str">
        <f t="shared" si="70"/>
        <v>#DIV/0!</v>
      </c>
      <c r="AT67" s="29" t="str">
        <f t="shared" si="70"/>
        <v>#DIV/0!</v>
      </c>
      <c r="AU67" s="29" t="str">
        <f t="shared" si="70"/>
        <v>#DIV/0!</v>
      </c>
      <c r="AV67" s="29" t="str">
        <f t="shared" si="70"/>
        <v>#DIV/0!</v>
      </c>
      <c r="AW67" s="29" t="str">
        <f t="shared" si="70"/>
        <v>#DIV/0!</v>
      </c>
      <c r="AX67" s="29" t="str">
        <f t="shared" si="70"/>
        <v>#DIV/0!</v>
      </c>
      <c r="AY67" s="29" t="str">
        <f t="shared" si="70"/>
        <v>#DIV/0!</v>
      </c>
      <c r="AZ67" s="29" t="str">
        <f t="shared" si="70"/>
        <v>#DIV/0!</v>
      </c>
      <c r="BA67" s="29" t="str">
        <f t="shared" si="70"/>
        <v>#DIV/0!</v>
      </c>
      <c r="BB67" s="29" t="str">
        <f t="shared" si="70"/>
        <v>#DIV/0!</v>
      </c>
      <c r="BC67" s="29" t="str">
        <f t="shared" si="70"/>
        <v>#DIV/0!</v>
      </c>
      <c r="BD67" s="29" t="str">
        <f t="shared" si="70"/>
        <v>#DIV/0!</v>
      </c>
      <c r="BE67" s="29" t="str">
        <f t="shared" si="70"/>
        <v>#DIV/0!</v>
      </c>
      <c r="BF67" s="29" t="str">
        <f t="shared" si="70"/>
        <v>#DIV/0!</v>
      </c>
      <c r="BG67" s="29" t="str">
        <f t="shared" si="70"/>
        <v>#DIV/0!</v>
      </c>
      <c r="BH67" s="29" t="str">
        <f t="shared" si="70"/>
        <v>#DIV/0!</v>
      </c>
      <c r="BI67" s="29" t="str">
        <f t="shared" si="70"/>
        <v>#DIV/0!</v>
      </c>
      <c r="BJ67" s="29" t="str">
        <f t="shared" si="70"/>
        <v>#DIV/0!</v>
      </c>
      <c r="BK67" s="29" t="str">
        <f t="shared" si="70"/>
        <v>#DIV/0!</v>
      </c>
      <c r="BL67" s="29" t="str">
        <f t="shared" si="70"/>
        <v>#DIV/0!</v>
      </c>
      <c r="BM67" s="29" t="str">
        <f t="shared" si="3"/>
        <v>#DIV/0!</v>
      </c>
    </row>
    <row r="68">
      <c r="A68" s="16" t="str">
        <f>IFERROR(__xludf.DUMMYFUNCTION("IFERROR(SPARKLINE(SORT(MAP(TRANSPOSE(AQ68:BL68), LAMBDA(val, IF(ISNUMBER(val), PERCENTRANK(AQ68:BL68, val)+0.01, 0))), SEQUENCE(COLUMNS(AQ68:BL68)), FALSE), {""charttype"",""column""; ""color"",""chartreuse""; ""ymin"", 0; ""ymax"", 1.01; ""highcolor"", "&amp;"""darkgreen""; ""lowcolor"", ""red""}), """")"),"")</f>
        <v/>
      </c>
      <c r="B68" s="17" t="str">
        <f t="shared" si="4"/>
        <v/>
      </c>
      <c r="C68" s="1" t="s">
        <v>347</v>
      </c>
      <c r="D68" s="30" t="str">
        <f>IFERROR(__xludf.DUMMYFUNCTION("IFERROR(GOOGLEFINANCE(C68, ""NAME""))"),"")</f>
        <v/>
      </c>
      <c r="E68" s="30" t="s">
        <v>248</v>
      </c>
      <c r="F68" s="33" t="str">
        <f>IFERROR(__xludf.DUMMYFUNCTION("( (GOOGLEFINANCE(C68, ""price"") - Q68) / Q68 ) / (R68 / 100)"),"Loading...")</f>
        <v>Loading...</v>
      </c>
      <c r="G68" s="20" t="str">
        <f>IFERROR(__xludf.DUMMYFUNCTION("AVERAGE(ARRAYFORMULA(100 * (QUERY(GOOGLEFINANCE(C68, ""high"", TODAY()-40, TODAY()), ""SELECT Col2 WHERE Col2 IS NOT NULL ORDER BY Col1 DESC LIMIT 20"", 0) / QUERY(GOOGLEFINANCE(C68, ""low"", TODAY()-40, TODAY()), ""SELECT Col2 WHERE Col2 IS NOT NULL ORDE"&amp;"R BY Col1 DESC LIMIT 20"", 0) - 1)))"),"#N/A")</f>
        <v>#N/A</v>
      </c>
      <c r="H68" s="35" t="str">
        <f t="shared" si="6"/>
        <v/>
      </c>
      <c r="I68" s="35" t="str">
        <f t="shared" si="7"/>
        <v/>
      </c>
      <c r="J68" s="37" t="str">
        <f>IFERROR(__xludf.DUMMYFUNCTION("IFERROR(
  IF(C68="""",, 
    IFERROR(
      GOOGLEFINANCE(C68, ""price"") * GOOGLEFINANCE(C68, ""volumeavg""), 
      GOOGLEFINANCE(C68, ""price"") * AVERAGE(QUERY(GOOGLEFINANCE(C68, ""volume"", TODAY()-40, TODAY()), ""SELECT Col2 WHERE Col2 IS NOT NULL "&amp;"ORDER BY Col1 DESC LIMIT 20"", 0))
    )
  ), 
"""")"),"")</f>
        <v/>
      </c>
      <c r="K68" s="21" t="str">
        <f>IFERROR(__xludf.DUMMYFUNCTION("IFERROR(GOOGLEFINANCE(C68, ""changepct"") / 100, """")"),"")</f>
        <v/>
      </c>
      <c r="L68" s="21" t="str">
        <f>IFERROR(__xludf.DUMMYFUNCTION("IFERROR((GOOGLEFINANCE(C68, ""price"") / INDEX(GOOGLEFINANCE(C68, ""price"", TODAY()-7, TODAY()), 2, 2)) - 1, """")"),"")</f>
        <v/>
      </c>
      <c r="M68" s="21" t="str">
        <f>IFERROR(__xludf.DUMMYFUNCTION("IFERROR((GOOGLEFINANCE(C68, ""price"") / INDEX(GOOGLEFINANCE(C68, ""price"", EDATE(TODAY(), -1), TODAY()), 2, 2)) - 1, """")"),"")</f>
        <v/>
      </c>
      <c r="N68" s="21" t="str">
        <f>IFERROR(__xludf.DUMMYFUNCTION("IFERROR((GOOGLEFINANCE(C68, ""price"") / INDEX(GOOGLEFINANCE(C68, ""price"", EDATE(TODAY(), -3), TODAY()), 2, 2)) - 1, """")"),"")</f>
        <v/>
      </c>
      <c r="O68" s="21" t="str">
        <f>IFERROR(__xludf.DUMMYFUNCTION("IFERROR((GOOGLEFINANCE(C68, ""price"") / INDEX(GOOGLEFINANCE(C68, ""price"", EDATE(TODAY(), -6), TODAY()), 2, 2)) - 1, """")"),"")</f>
        <v/>
      </c>
      <c r="P68" s="21" t="str">
        <f>IFERROR(__xludf.DUMMYFUNCTION("IFERROR((GOOGLEFINANCE(C68, ""price"") / INDEX(GOOGLEFINANCE(C68, ""price"", EDATE(TODAY(), -12), TODAY()), 2, 2)) - 1, """")"),"")</f>
        <v/>
      </c>
      <c r="Q68" s="6" t="str">
        <f>IFERROR(__xludf.DUMMYFUNCTION("AVERAGE(QUERY(GOOGLEFINANCE(C68, ""price"", TODAY()-80, TODAY()), ""SELECT Col2 WHERE Col2 IS NOT NULL ORDER BY Col1 DESC LIMIT 50"", 0))"),"#N/A")</f>
        <v>#N/A</v>
      </c>
      <c r="R68" s="24" t="str">
        <f>IFERROR(__xludf.DUMMYFUNCTION("IFERROR(
  LET(
    data, QUERY(GOOGLEFINANCE(C68,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GOOGLEFINANCE(C68, ""price"")) * 100,
    IF(calc=0, G68, calc)
  ), 
G68)"),"#N/A")</f>
        <v>#N/A</v>
      </c>
      <c r="S68" s="8" t="s">
        <v>15</v>
      </c>
      <c r="T68" s="26" t="str">
        <f>IFERROR(__xludf.DUMMYFUNCTION("IFERROR(TRANSPOSE(QUERY(IFERROR(SORT(GOOGLEFINANCE(C68, ""price"", WORKDAY(TODAY(), -40), TODAY()), 1, FALSE)), ""select Col2 where Col2 is not null limit 22 label Col2 ''"", 0)), """")"),"")</f>
        <v/>
      </c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8"/>
      <c r="AO68" s="28"/>
      <c r="AP68" s="29"/>
      <c r="AQ68" s="29" t="str">
        <f t="shared" ref="AQ68:BL68" si="71">T68/T$2</f>
        <v>#N/A</v>
      </c>
      <c r="AR68" s="29" t="str">
        <f t="shared" si="71"/>
        <v>#DIV/0!</v>
      </c>
      <c r="AS68" s="29" t="str">
        <f t="shared" si="71"/>
        <v>#DIV/0!</v>
      </c>
      <c r="AT68" s="29" t="str">
        <f t="shared" si="71"/>
        <v>#DIV/0!</v>
      </c>
      <c r="AU68" s="29" t="str">
        <f t="shared" si="71"/>
        <v>#DIV/0!</v>
      </c>
      <c r="AV68" s="29" t="str">
        <f t="shared" si="71"/>
        <v>#DIV/0!</v>
      </c>
      <c r="AW68" s="29" t="str">
        <f t="shared" si="71"/>
        <v>#DIV/0!</v>
      </c>
      <c r="AX68" s="29" t="str">
        <f t="shared" si="71"/>
        <v>#DIV/0!</v>
      </c>
      <c r="AY68" s="29" t="str">
        <f t="shared" si="71"/>
        <v>#DIV/0!</v>
      </c>
      <c r="AZ68" s="29" t="str">
        <f t="shared" si="71"/>
        <v>#DIV/0!</v>
      </c>
      <c r="BA68" s="29" t="str">
        <f t="shared" si="71"/>
        <v>#DIV/0!</v>
      </c>
      <c r="BB68" s="29" t="str">
        <f t="shared" si="71"/>
        <v>#DIV/0!</v>
      </c>
      <c r="BC68" s="29" t="str">
        <f t="shared" si="71"/>
        <v>#DIV/0!</v>
      </c>
      <c r="BD68" s="29" t="str">
        <f t="shared" si="71"/>
        <v>#DIV/0!</v>
      </c>
      <c r="BE68" s="29" t="str">
        <f t="shared" si="71"/>
        <v>#DIV/0!</v>
      </c>
      <c r="BF68" s="29" t="str">
        <f t="shared" si="71"/>
        <v>#DIV/0!</v>
      </c>
      <c r="BG68" s="29" t="str">
        <f t="shared" si="71"/>
        <v>#DIV/0!</v>
      </c>
      <c r="BH68" s="29" t="str">
        <f t="shared" si="71"/>
        <v>#DIV/0!</v>
      </c>
      <c r="BI68" s="29" t="str">
        <f t="shared" si="71"/>
        <v>#DIV/0!</v>
      </c>
      <c r="BJ68" s="29" t="str">
        <f t="shared" si="71"/>
        <v>#DIV/0!</v>
      </c>
      <c r="BK68" s="29" t="str">
        <f t="shared" si="71"/>
        <v>#DIV/0!</v>
      </c>
      <c r="BL68" s="29" t="str">
        <f t="shared" si="71"/>
        <v>#DIV/0!</v>
      </c>
      <c r="BM68" s="29" t="str">
        <f t="shared" si="3"/>
        <v>#DIV/0!</v>
      </c>
    </row>
    <row r="69">
      <c r="A69" s="16" t="str">
        <f>IFERROR(__xludf.DUMMYFUNCTION("IFERROR(SPARKLINE(SORT(MAP(TRANSPOSE(AQ69:BL69), LAMBDA(val, IF(ISNUMBER(val), PERCENTRANK(AQ69:BL69, val)+0.01, 0))), SEQUENCE(COLUMNS(AQ69:BL69)), FALSE), {""charttype"",""column""; ""color"",""chartreuse""; ""ymin"", 0; ""ymax"", 1.01; ""highcolor"", "&amp;"""darkgreen""; ""lowcolor"", ""red""}), """")"),"")</f>
        <v/>
      </c>
      <c r="B69" s="17" t="str">
        <f t="shared" si="4"/>
        <v/>
      </c>
      <c r="C69" s="1" t="s">
        <v>353</v>
      </c>
      <c r="D69" s="30" t="str">
        <f>IFERROR(__xludf.DUMMYFUNCTION("IFERROR(GOOGLEFINANCE(C69, ""NAME""))"),"Monarch Casino &amp; Resort Inc")</f>
        <v>Monarch Casino &amp; Resort Inc</v>
      </c>
      <c r="E69" s="30" t="s">
        <v>354</v>
      </c>
      <c r="F69" s="33" t="str">
        <f>IFERROR(__xludf.DUMMYFUNCTION("( (GOOGLEFINANCE(C69, ""price"") - Q69) / Q69 ) / (R69 / 100)"),"Loading...")</f>
        <v>Loading...</v>
      </c>
      <c r="G69" s="20" t="str">
        <f>IFERROR(__xludf.DUMMYFUNCTION("AVERAGE(ARRAYFORMULA(100 * (QUERY(GOOGLEFINANCE(C69, ""high"", TODAY()-40, TODAY()), ""SELECT Col2 WHERE Col2 IS NOT NULL ORDER BY Col1 DESC LIMIT 20"", 0) / QUERY(GOOGLEFINANCE(C69, ""low"", TODAY()-40, TODAY()), ""SELECT Col2 WHERE Col2 IS NOT NULL ORDE"&amp;"R BY Col1 DESC LIMIT 20"", 0) - 1)))"),"#N/A")</f>
        <v>#N/A</v>
      </c>
      <c r="H69" s="35" t="str">
        <f t="shared" si="6"/>
        <v/>
      </c>
      <c r="I69" s="35" t="str">
        <f t="shared" si="7"/>
        <v/>
      </c>
      <c r="J69" s="37" t="str">
        <f>IFERROR(__xludf.DUMMYFUNCTION("IFERROR(
  IF(C69="""",, 
    IFERROR(
      GOOGLEFINANCE(C69, ""price"") * GOOGLEFINANCE(C69, ""volumeavg""), 
      GOOGLEFINANCE(C69, ""price"") * AVERAGE(QUERY(GOOGLEFINANCE(C69, ""volume"", TODAY()-40, TODAY()), ""SELECT Col2 WHERE Col2 IS NOT NULL "&amp;"ORDER BY Col1 DESC LIMIT 20"", 0))
    )
  ), 
"""")"),"")</f>
        <v/>
      </c>
      <c r="K69" s="21" t="str">
        <f>IFERROR(__xludf.DUMMYFUNCTION("IFERROR(GOOGLEFINANCE(C69, ""changepct"") / 100, """")"),"")</f>
        <v/>
      </c>
      <c r="L69" s="21" t="str">
        <f>IFERROR(__xludf.DUMMYFUNCTION("IFERROR((GOOGLEFINANCE(C69, ""price"") / INDEX(GOOGLEFINANCE(C69, ""price"", TODAY()-7, TODAY()), 2, 2)) - 1, """")"),"")</f>
        <v/>
      </c>
      <c r="M69" s="21" t="str">
        <f>IFERROR(__xludf.DUMMYFUNCTION("IFERROR((GOOGLEFINANCE(C69, ""price"") / INDEX(GOOGLEFINANCE(C69, ""price"", EDATE(TODAY(), -1), TODAY()), 2, 2)) - 1, """")"),"")</f>
        <v/>
      </c>
      <c r="N69" s="21" t="str">
        <f>IFERROR(__xludf.DUMMYFUNCTION("IFERROR((GOOGLEFINANCE(C69, ""price"") / INDEX(GOOGLEFINANCE(C69, ""price"", EDATE(TODAY(), -3), TODAY()), 2, 2)) - 1, """")"),"")</f>
        <v/>
      </c>
      <c r="O69" s="21" t="str">
        <f>IFERROR(__xludf.DUMMYFUNCTION("IFERROR((GOOGLEFINANCE(C69, ""price"") / INDEX(GOOGLEFINANCE(C69, ""price"", EDATE(TODAY(), -6), TODAY()), 2, 2)) - 1, """")"),"")</f>
        <v/>
      </c>
      <c r="P69" s="21" t="str">
        <f>IFERROR(__xludf.DUMMYFUNCTION("IFERROR((GOOGLEFINANCE(C69, ""price"") / INDEX(GOOGLEFINANCE(C69, ""price"", EDATE(TODAY(), -12), TODAY()), 2, 2)) - 1, """")"),"")</f>
        <v/>
      </c>
      <c r="Q69" s="6" t="str">
        <f>IFERROR(__xludf.DUMMYFUNCTION("AVERAGE(QUERY(GOOGLEFINANCE(C69, ""price"", TODAY()-80, TODAY()), ""SELECT Col2 WHERE Col2 IS NOT NULL ORDER BY Col1 DESC LIMIT 50"", 0))"),"#N/A")</f>
        <v>#N/A</v>
      </c>
      <c r="R69" s="24" t="str">
        <f>IFERROR(__xludf.DUMMYFUNCTION("IFERROR(
  LET(
    data, QUERY(GOOGLEFINANCE(C69,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GOOGLEFINANCE(C69, ""price"")) * 100,
    IF(calc=0, G69, calc)
  ), 
G69)"),"#N/A")</f>
        <v>#N/A</v>
      </c>
      <c r="S69" s="8" t="s">
        <v>15</v>
      </c>
      <c r="T69" s="26" t="str">
        <f>IFERROR(__xludf.DUMMYFUNCTION("IFERROR(TRANSPOSE(QUERY(IFERROR(SORT(GOOGLEFINANCE(C69, ""price"", WORKDAY(TODAY(), -40), TODAY()), 1, FALSE)), ""select Col2 where Col2 is not null limit 22 label Col2 ''"", 0)), """")"),"")</f>
        <v/>
      </c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8"/>
      <c r="AO69" s="28"/>
      <c r="AP69" s="29"/>
      <c r="AQ69" s="29" t="str">
        <f t="shared" ref="AQ69:BL69" si="72">T69/T$2</f>
        <v>#N/A</v>
      </c>
      <c r="AR69" s="29" t="str">
        <f t="shared" si="72"/>
        <v>#DIV/0!</v>
      </c>
      <c r="AS69" s="29" t="str">
        <f t="shared" si="72"/>
        <v>#DIV/0!</v>
      </c>
      <c r="AT69" s="29" t="str">
        <f t="shared" si="72"/>
        <v>#DIV/0!</v>
      </c>
      <c r="AU69" s="29" t="str">
        <f t="shared" si="72"/>
        <v>#DIV/0!</v>
      </c>
      <c r="AV69" s="29" t="str">
        <f t="shared" si="72"/>
        <v>#DIV/0!</v>
      </c>
      <c r="AW69" s="29" t="str">
        <f t="shared" si="72"/>
        <v>#DIV/0!</v>
      </c>
      <c r="AX69" s="29" t="str">
        <f t="shared" si="72"/>
        <v>#DIV/0!</v>
      </c>
      <c r="AY69" s="29" t="str">
        <f t="shared" si="72"/>
        <v>#DIV/0!</v>
      </c>
      <c r="AZ69" s="29" t="str">
        <f t="shared" si="72"/>
        <v>#DIV/0!</v>
      </c>
      <c r="BA69" s="29" t="str">
        <f t="shared" si="72"/>
        <v>#DIV/0!</v>
      </c>
      <c r="BB69" s="29" t="str">
        <f t="shared" si="72"/>
        <v>#DIV/0!</v>
      </c>
      <c r="BC69" s="29" t="str">
        <f t="shared" si="72"/>
        <v>#DIV/0!</v>
      </c>
      <c r="BD69" s="29" t="str">
        <f t="shared" si="72"/>
        <v>#DIV/0!</v>
      </c>
      <c r="BE69" s="29" t="str">
        <f t="shared" si="72"/>
        <v>#DIV/0!</v>
      </c>
      <c r="BF69" s="29" t="str">
        <f t="shared" si="72"/>
        <v>#DIV/0!</v>
      </c>
      <c r="BG69" s="29" t="str">
        <f t="shared" si="72"/>
        <v>#DIV/0!</v>
      </c>
      <c r="BH69" s="29" t="str">
        <f t="shared" si="72"/>
        <v>#DIV/0!</v>
      </c>
      <c r="BI69" s="29" t="str">
        <f t="shared" si="72"/>
        <v>#DIV/0!</v>
      </c>
      <c r="BJ69" s="29" t="str">
        <f t="shared" si="72"/>
        <v>#DIV/0!</v>
      </c>
      <c r="BK69" s="29" t="str">
        <f t="shared" si="72"/>
        <v>#DIV/0!</v>
      </c>
      <c r="BL69" s="29" t="str">
        <f t="shared" si="72"/>
        <v>#DIV/0!</v>
      </c>
      <c r="BM69" s="29" t="str">
        <f t="shared" si="3"/>
        <v>#DIV/0!</v>
      </c>
    </row>
    <row r="70">
      <c r="A70" s="16" t="str">
        <f>IFERROR(__xludf.DUMMYFUNCTION("IFERROR(SPARKLINE(SORT(MAP(TRANSPOSE(AQ70:BL70), LAMBDA(val, IF(ISNUMBER(val), PERCENTRANK(AQ70:BL70, val)+0.01, 0))), SEQUENCE(COLUMNS(AQ70:BL70)), FALSE), {""charttype"",""column""; ""color"",""chartreuse""; ""ymin"", 0; ""ymax"", 1.01; ""highcolor"", "&amp;"""darkgreen""; ""lowcolor"", ""red""}), """")"),"")</f>
        <v/>
      </c>
      <c r="B70" s="17" t="str">
        <f t="shared" si="4"/>
        <v/>
      </c>
      <c r="C70" s="1" t="s">
        <v>356</v>
      </c>
      <c r="D70" s="30" t="str">
        <f>IFERROR(__xludf.DUMMYFUNCTION("IFERROR(GOOGLEFINANCE(C70, ""NAME""))"),"Frontdoor Inc")</f>
        <v>Frontdoor Inc</v>
      </c>
      <c r="E70" s="30" t="s">
        <v>154</v>
      </c>
      <c r="F70" s="38" t="str">
        <f>IFERROR(__xludf.DUMMYFUNCTION("( (GOOGLEFINANCE(C70, ""price"") - Q70) / Q70 ) / (R70 / 100)"),"Loading...")</f>
        <v>Loading...</v>
      </c>
      <c r="G70" s="20" t="str">
        <f>IFERROR(__xludf.DUMMYFUNCTION("AVERAGE(ARRAYFORMULA(100 * (QUERY(GOOGLEFINANCE(C70, ""high"", TODAY()-40, TODAY()), ""SELECT Col2 WHERE Col2 IS NOT NULL ORDER BY Col1 DESC LIMIT 20"", 0) / QUERY(GOOGLEFINANCE(C70, ""low"", TODAY()-40, TODAY()), ""SELECT Col2 WHERE Col2 IS NOT NULL ORDE"&amp;"R BY Col1 DESC LIMIT 20"", 0) - 1)))"),"#N/A")</f>
        <v>#N/A</v>
      </c>
      <c r="H70" s="35" t="str">
        <f t="shared" si="6"/>
        <v/>
      </c>
      <c r="I70" s="35" t="str">
        <f t="shared" si="7"/>
        <v/>
      </c>
      <c r="J70" s="37" t="str">
        <f>IFERROR(__xludf.DUMMYFUNCTION("IFERROR(
  IF(C70="""",, 
    IFERROR(
      GOOGLEFINANCE(C70, ""price"") * GOOGLEFINANCE(C70, ""volumeavg""), 
      GOOGLEFINANCE(C70, ""price"") * AVERAGE(QUERY(GOOGLEFINANCE(C70, ""volume"", TODAY()-40, TODAY()), ""SELECT Col2 WHERE Col2 IS NOT NULL "&amp;"ORDER BY Col1 DESC LIMIT 20"", 0))
    )
  ), 
"""")"),"")</f>
        <v/>
      </c>
      <c r="K70" s="21" t="str">
        <f>IFERROR(__xludf.DUMMYFUNCTION("IFERROR(GOOGLEFINANCE(C70, ""changepct"") / 100, """")"),"")</f>
        <v/>
      </c>
      <c r="L70" s="21" t="str">
        <f>IFERROR(__xludf.DUMMYFUNCTION("IFERROR((GOOGLEFINANCE(C70, ""price"") / INDEX(GOOGLEFINANCE(C70, ""price"", TODAY()-7, TODAY()), 2, 2)) - 1, """")"),"")</f>
        <v/>
      </c>
      <c r="M70" s="21" t="str">
        <f>IFERROR(__xludf.DUMMYFUNCTION("IFERROR((GOOGLEFINANCE(C70, ""price"") / INDEX(GOOGLEFINANCE(C70, ""price"", EDATE(TODAY(), -1), TODAY()), 2, 2)) - 1, """")"),"")</f>
        <v/>
      </c>
      <c r="N70" s="21" t="str">
        <f>IFERROR(__xludf.DUMMYFUNCTION("IFERROR((GOOGLEFINANCE(C70, ""price"") / INDEX(GOOGLEFINANCE(C70, ""price"", EDATE(TODAY(), -3), TODAY()), 2, 2)) - 1, """")"),"")</f>
        <v/>
      </c>
      <c r="O70" s="21" t="str">
        <f>IFERROR(__xludf.DUMMYFUNCTION("IFERROR((GOOGLEFINANCE(C70, ""price"") / INDEX(GOOGLEFINANCE(C70, ""price"", EDATE(TODAY(), -6), TODAY()), 2, 2)) - 1, """")"),"")</f>
        <v/>
      </c>
      <c r="P70" s="21" t="str">
        <f>IFERROR(__xludf.DUMMYFUNCTION("IFERROR((GOOGLEFINANCE(C70, ""price"") / INDEX(GOOGLEFINANCE(C70, ""price"", EDATE(TODAY(), -12), TODAY()), 2, 2)) - 1, """")"),"")</f>
        <v/>
      </c>
      <c r="Q70" s="6" t="str">
        <f>IFERROR(__xludf.DUMMYFUNCTION("AVERAGE(QUERY(GOOGLEFINANCE(C70, ""price"", TODAY()-80, TODAY()), ""SELECT Col2 WHERE Col2 IS NOT NULL ORDER BY Col1 DESC LIMIT 50"", 0))"),"#N/A")</f>
        <v>#N/A</v>
      </c>
      <c r="R70" s="24" t="str">
        <f>IFERROR(__xludf.DUMMYFUNCTION("IFERROR(
  LET(
    data, QUERY(GOOGLEFINANCE(C70,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GOOGLEFINANCE(C70, ""price"")) * 100,
    IF(calc=0, G70, calc)
  ), 
G70)"),"#N/A")</f>
        <v>#N/A</v>
      </c>
      <c r="S70" s="8" t="s">
        <v>15</v>
      </c>
      <c r="T70" s="26" t="str">
        <f>IFERROR(__xludf.DUMMYFUNCTION("IFERROR(TRANSPOSE(QUERY(IFERROR(SORT(GOOGLEFINANCE(C70, ""price"", WORKDAY(TODAY(), -40), TODAY()), 1, FALSE)), ""select Col2 where Col2 is not null limit 22 label Col2 ''"", 0)), """")"),"")</f>
        <v/>
      </c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8"/>
      <c r="AO70" s="28"/>
      <c r="AP70" s="29"/>
      <c r="AQ70" s="29" t="str">
        <f t="shared" ref="AQ70:BL70" si="73">T70/T$2</f>
        <v>#N/A</v>
      </c>
      <c r="AR70" s="29" t="str">
        <f t="shared" si="73"/>
        <v>#DIV/0!</v>
      </c>
      <c r="AS70" s="29" t="str">
        <f t="shared" si="73"/>
        <v>#DIV/0!</v>
      </c>
      <c r="AT70" s="29" t="str">
        <f t="shared" si="73"/>
        <v>#DIV/0!</v>
      </c>
      <c r="AU70" s="29" t="str">
        <f t="shared" si="73"/>
        <v>#DIV/0!</v>
      </c>
      <c r="AV70" s="29" t="str">
        <f t="shared" si="73"/>
        <v>#DIV/0!</v>
      </c>
      <c r="AW70" s="29" t="str">
        <f t="shared" si="73"/>
        <v>#DIV/0!</v>
      </c>
      <c r="AX70" s="29" t="str">
        <f t="shared" si="73"/>
        <v>#DIV/0!</v>
      </c>
      <c r="AY70" s="29" t="str">
        <f t="shared" si="73"/>
        <v>#DIV/0!</v>
      </c>
      <c r="AZ70" s="29" t="str">
        <f t="shared" si="73"/>
        <v>#DIV/0!</v>
      </c>
      <c r="BA70" s="29" t="str">
        <f t="shared" si="73"/>
        <v>#DIV/0!</v>
      </c>
      <c r="BB70" s="29" t="str">
        <f t="shared" si="73"/>
        <v>#DIV/0!</v>
      </c>
      <c r="BC70" s="29" t="str">
        <f t="shared" si="73"/>
        <v>#DIV/0!</v>
      </c>
      <c r="BD70" s="29" t="str">
        <f t="shared" si="73"/>
        <v>#DIV/0!</v>
      </c>
      <c r="BE70" s="29" t="str">
        <f t="shared" si="73"/>
        <v>#DIV/0!</v>
      </c>
      <c r="BF70" s="29" t="str">
        <f t="shared" si="73"/>
        <v>#DIV/0!</v>
      </c>
      <c r="BG70" s="29" t="str">
        <f t="shared" si="73"/>
        <v>#DIV/0!</v>
      </c>
      <c r="BH70" s="29" t="str">
        <f t="shared" si="73"/>
        <v>#DIV/0!</v>
      </c>
      <c r="BI70" s="29" t="str">
        <f t="shared" si="73"/>
        <v>#DIV/0!</v>
      </c>
      <c r="BJ70" s="29" t="str">
        <f t="shared" si="73"/>
        <v>#DIV/0!</v>
      </c>
      <c r="BK70" s="29" t="str">
        <f t="shared" si="73"/>
        <v>#DIV/0!</v>
      </c>
      <c r="BL70" s="29" t="str">
        <f t="shared" si="73"/>
        <v>#DIV/0!</v>
      </c>
      <c r="BM70" s="29" t="str">
        <f t="shared" si="3"/>
        <v>#DIV/0!</v>
      </c>
    </row>
    <row r="71">
      <c r="A71" s="16" t="str">
        <f>IFERROR(__xludf.DUMMYFUNCTION("IFERROR(SPARKLINE(SORT(MAP(TRANSPOSE(AQ71:BL71), LAMBDA(val, IF(ISNUMBER(val), PERCENTRANK(AQ71:BL71, val)+0.01, 0))), SEQUENCE(COLUMNS(AQ71:BL71)), FALSE), {""charttype"",""column""; ""color"",""chartreuse""; ""ymin"", 0; ""ymax"", 1.01; ""highcolor"", "&amp;"""darkgreen""; ""lowcolor"", ""red""}), """")"),"")</f>
        <v/>
      </c>
      <c r="B71" s="17" t="str">
        <f t="shared" si="4"/>
        <v/>
      </c>
      <c r="C71" s="1" t="s">
        <v>360</v>
      </c>
      <c r="D71" s="30" t="str">
        <f>IFERROR(__xludf.DUMMYFUNCTION("IFERROR(GOOGLEFINANCE(C71, ""NAME""))"),"Polibeli Group Ltd")</f>
        <v>Polibeli Group Ltd</v>
      </c>
      <c r="E71" s="30" t="s">
        <v>361</v>
      </c>
      <c r="F71" s="38" t="str">
        <f>IFERROR(__xludf.DUMMYFUNCTION("( (GOOGLEFINANCE(C71, ""price"") - Q71) / Q71 ) / (R71 / 100)"),"Loading...")</f>
        <v>Loading...</v>
      </c>
      <c r="G71" s="20" t="str">
        <f>IFERROR(__xludf.DUMMYFUNCTION("AVERAGE(ARRAYFORMULA(100 * (QUERY(GOOGLEFINANCE(C71, ""high"", TODAY()-40, TODAY()), ""SELECT Col2 WHERE Col2 IS NOT NULL ORDER BY Col1 DESC LIMIT 20"", 0) / QUERY(GOOGLEFINANCE(C71, ""low"", TODAY()-40, TODAY()), ""SELECT Col2 WHERE Col2 IS NOT NULL ORDE"&amp;"R BY Col1 DESC LIMIT 20"", 0) - 1)))"),"#N/A")</f>
        <v>#N/A</v>
      </c>
      <c r="H71" s="35" t="str">
        <f t="shared" si="6"/>
        <v/>
      </c>
      <c r="I71" s="35" t="str">
        <f t="shared" si="7"/>
        <v/>
      </c>
      <c r="J71" s="37" t="str">
        <f>IFERROR(__xludf.DUMMYFUNCTION("IFERROR(
  IF(C71="""",, 
    IFERROR(
      GOOGLEFINANCE(C71, ""price"") * GOOGLEFINANCE(C71, ""volumeavg""), 
      GOOGLEFINANCE(C71, ""price"") * AVERAGE(QUERY(GOOGLEFINANCE(C71, ""volume"", TODAY()-40, TODAY()), ""SELECT Col2 WHERE Col2 IS NOT NULL "&amp;"ORDER BY Col1 DESC LIMIT 20"", 0))
    )
  ), 
"""")"),"")</f>
        <v/>
      </c>
      <c r="K71" s="21" t="str">
        <f>IFERROR(__xludf.DUMMYFUNCTION("IFERROR(GOOGLEFINANCE(C71, ""changepct"") / 100, """")"),"")</f>
        <v/>
      </c>
      <c r="L71" s="21" t="str">
        <f>IFERROR(__xludf.DUMMYFUNCTION("IFERROR((GOOGLEFINANCE(C71, ""price"") / INDEX(GOOGLEFINANCE(C71, ""price"", TODAY()-7, TODAY()), 2, 2)) - 1, """")"),"")</f>
        <v/>
      </c>
      <c r="M71" s="21" t="str">
        <f>IFERROR(__xludf.DUMMYFUNCTION("IFERROR((GOOGLEFINANCE(C71, ""price"") / INDEX(GOOGLEFINANCE(C71, ""price"", EDATE(TODAY(), -1), TODAY()), 2, 2)) - 1, """")"),"")</f>
        <v/>
      </c>
      <c r="N71" s="21" t="str">
        <f>IFERROR(__xludf.DUMMYFUNCTION("IFERROR((GOOGLEFINANCE(C71, ""price"") / INDEX(GOOGLEFINANCE(C71, ""price"", EDATE(TODAY(), -3), TODAY()), 2, 2)) - 1, """")"),"")</f>
        <v/>
      </c>
      <c r="O71" s="21" t="str">
        <f>IFERROR(__xludf.DUMMYFUNCTION("IFERROR((GOOGLEFINANCE(C71, ""price"") / INDEX(GOOGLEFINANCE(C71, ""price"", EDATE(TODAY(), -6), TODAY()), 2, 2)) - 1, """")"),"")</f>
        <v/>
      </c>
      <c r="P71" s="21" t="str">
        <f>IFERROR(__xludf.DUMMYFUNCTION("IFERROR((GOOGLEFINANCE(C71, ""price"") / INDEX(GOOGLEFINANCE(C71, ""price"", EDATE(TODAY(), -12), TODAY()), 2, 2)) - 1, """")"),"")</f>
        <v/>
      </c>
      <c r="Q71" s="6" t="str">
        <f>IFERROR(__xludf.DUMMYFUNCTION("AVERAGE(QUERY(GOOGLEFINANCE(C71, ""price"", TODAY()-80, TODAY()), ""SELECT Col2 WHERE Col2 IS NOT NULL ORDER BY Col1 DESC LIMIT 50"", 0))"),"#N/A")</f>
        <v>#N/A</v>
      </c>
      <c r="R71" s="24" t="str">
        <f>IFERROR(__xludf.DUMMYFUNCTION("IFERROR(
  LET(
    data, QUERY(GOOGLEFINANCE(C71,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GOOGLEFINANCE(C71, ""price"")) * 100,
    IF(calc=0, G71, calc)
  ), 
G71)"),"#N/A")</f>
        <v>#N/A</v>
      </c>
      <c r="S71" s="8" t="s">
        <v>15</v>
      </c>
      <c r="T71" s="26" t="str">
        <f>IFERROR(__xludf.DUMMYFUNCTION("IFERROR(TRANSPOSE(QUERY(IFERROR(SORT(GOOGLEFINANCE(C71, ""price"", WORKDAY(TODAY(), -40), TODAY()), 1, FALSE)), ""select Col2 where Col2 is not null limit 22 label Col2 ''"", 0)), """")"),"")</f>
        <v/>
      </c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8"/>
      <c r="AO71" s="28"/>
      <c r="AP71" s="29"/>
      <c r="AQ71" s="29" t="str">
        <f t="shared" ref="AQ71:BL71" si="74">T71/T$2</f>
        <v>#N/A</v>
      </c>
      <c r="AR71" s="29" t="str">
        <f t="shared" si="74"/>
        <v>#DIV/0!</v>
      </c>
      <c r="AS71" s="29" t="str">
        <f t="shared" si="74"/>
        <v>#DIV/0!</v>
      </c>
      <c r="AT71" s="29" t="str">
        <f t="shared" si="74"/>
        <v>#DIV/0!</v>
      </c>
      <c r="AU71" s="29" t="str">
        <f t="shared" si="74"/>
        <v>#DIV/0!</v>
      </c>
      <c r="AV71" s="29" t="str">
        <f t="shared" si="74"/>
        <v>#DIV/0!</v>
      </c>
      <c r="AW71" s="29" t="str">
        <f t="shared" si="74"/>
        <v>#DIV/0!</v>
      </c>
      <c r="AX71" s="29" t="str">
        <f t="shared" si="74"/>
        <v>#DIV/0!</v>
      </c>
      <c r="AY71" s="29" t="str">
        <f t="shared" si="74"/>
        <v>#DIV/0!</v>
      </c>
      <c r="AZ71" s="29" t="str">
        <f t="shared" si="74"/>
        <v>#DIV/0!</v>
      </c>
      <c r="BA71" s="29" t="str">
        <f t="shared" si="74"/>
        <v>#DIV/0!</v>
      </c>
      <c r="BB71" s="29" t="str">
        <f t="shared" si="74"/>
        <v>#DIV/0!</v>
      </c>
      <c r="BC71" s="29" t="str">
        <f t="shared" si="74"/>
        <v>#DIV/0!</v>
      </c>
      <c r="BD71" s="29" t="str">
        <f t="shared" si="74"/>
        <v>#DIV/0!</v>
      </c>
      <c r="BE71" s="29" t="str">
        <f t="shared" si="74"/>
        <v>#DIV/0!</v>
      </c>
      <c r="BF71" s="29" t="str">
        <f t="shared" si="74"/>
        <v>#DIV/0!</v>
      </c>
      <c r="BG71" s="29" t="str">
        <f t="shared" si="74"/>
        <v>#DIV/0!</v>
      </c>
      <c r="BH71" s="29" t="str">
        <f t="shared" si="74"/>
        <v>#DIV/0!</v>
      </c>
      <c r="BI71" s="29" t="str">
        <f t="shared" si="74"/>
        <v>#DIV/0!</v>
      </c>
      <c r="BJ71" s="29" t="str">
        <f t="shared" si="74"/>
        <v>#DIV/0!</v>
      </c>
      <c r="BK71" s="29" t="str">
        <f t="shared" si="74"/>
        <v>#DIV/0!</v>
      </c>
      <c r="BL71" s="29" t="str">
        <f t="shared" si="74"/>
        <v>#DIV/0!</v>
      </c>
      <c r="BM71" s="29" t="str">
        <f t="shared" si="3"/>
        <v>#DIV/0!</v>
      </c>
    </row>
    <row r="72">
      <c r="A72" s="16" t="str">
        <f>IFERROR(__xludf.DUMMYFUNCTION("IFERROR(SPARKLINE(SORT(MAP(TRANSPOSE(AQ72:BL72), LAMBDA(val, IF(ISNUMBER(val), PERCENTRANK(AQ72:BL72, val)+0.01, 0))), SEQUENCE(COLUMNS(AQ72:BL72)), FALSE), {""charttype"",""column""; ""color"",""chartreuse""; ""ymin"", 0; ""ymax"", 1.01; ""highcolor"", "&amp;"""darkgreen""; ""lowcolor"", ""red""}), """")"),"")</f>
        <v/>
      </c>
      <c r="B72" s="17" t="str">
        <f t="shared" si="4"/>
        <v/>
      </c>
      <c r="C72" s="1" t="s">
        <v>365</v>
      </c>
      <c r="D72" s="30" t="str">
        <f>IFERROR(__xludf.DUMMYFUNCTION("IFERROR(GOOGLEFINANCE(C72, ""NAME""))"),"Lindblad Expeditions Holdings Inc")</f>
        <v>Lindblad Expeditions Holdings Inc</v>
      </c>
      <c r="E72" s="30" t="s">
        <v>248</v>
      </c>
      <c r="F72" s="33" t="str">
        <f>IFERROR(__xludf.DUMMYFUNCTION("( (GOOGLEFINANCE(C72, ""price"") - Q72) / Q72 ) / (R72 / 100)"),"Loading...")</f>
        <v>Loading...</v>
      </c>
      <c r="G72" s="20" t="str">
        <f>IFERROR(__xludf.DUMMYFUNCTION("AVERAGE(ARRAYFORMULA(100 * (QUERY(GOOGLEFINANCE(C72, ""high"", TODAY()-40, TODAY()), ""SELECT Col2 WHERE Col2 IS NOT NULL ORDER BY Col1 DESC LIMIT 20"", 0) / QUERY(GOOGLEFINANCE(C72, ""low"", TODAY()-40, TODAY()), ""SELECT Col2 WHERE Col2 IS NOT NULL ORDE"&amp;"R BY Col1 DESC LIMIT 20"", 0) - 1)))"),"#N/A")</f>
        <v>#N/A</v>
      </c>
      <c r="H72" s="35" t="str">
        <f t="shared" si="6"/>
        <v/>
      </c>
      <c r="I72" s="35" t="str">
        <f t="shared" si="7"/>
        <v/>
      </c>
      <c r="J72" s="37" t="str">
        <f>IFERROR(__xludf.DUMMYFUNCTION("IFERROR(
  IF(C72="""",, 
    IFERROR(
      GOOGLEFINANCE(C72, ""price"") * GOOGLEFINANCE(C72, ""volumeavg""), 
      GOOGLEFINANCE(C72, ""price"") * AVERAGE(QUERY(GOOGLEFINANCE(C72, ""volume"", TODAY()-40, TODAY()), ""SELECT Col2 WHERE Col2 IS NOT NULL "&amp;"ORDER BY Col1 DESC LIMIT 20"", 0))
    )
  ), 
"""")"),"")</f>
        <v/>
      </c>
      <c r="K72" s="21" t="str">
        <f>IFERROR(__xludf.DUMMYFUNCTION("IFERROR(GOOGLEFINANCE(C72, ""changepct"") / 100, """")"),"")</f>
        <v/>
      </c>
      <c r="L72" s="21" t="str">
        <f>IFERROR(__xludf.DUMMYFUNCTION("IFERROR((GOOGLEFINANCE(C72, ""price"") / INDEX(GOOGLEFINANCE(C72, ""price"", TODAY()-7, TODAY()), 2, 2)) - 1, """")"),"")</f>
        <v/>
      </c>
      <c r="M72" s="21" t="str">
        <f>IFERROR(__xludf.DUMMYFUNCTION("IFERROR((GOOGLEFINANCE(C72, ""price"") / INDEX(GOOGLEFINANCE(C72, ""price"", EDATE(TODAY(), -1), TODAY()), 2, 2)) - 1, """")"),"")</f>
        <v/>
      </c>
      <c r="N72" s="21" t="str">
        <f>IFERROR(__xludf.DUMMYFUNCTION("IFERROR((GOOGLEFINANCE(C72, ""price"") / INDEX(GOOGLEFINANCE(C72, ""price"", EDATE(TODAY(), -3), TODAY()), 2, 2)) - 1, """")"),"")</f>
        <v/>
      </c>
      <c r="O72" s="21" t="str">
        <f>IFERROR(__xludf.DUMMYFUNCTION("IFERROR((GOOGLEFINANCE(C72, ""price"") / INDEX(GOOGLEFINANCE(C72, ""price"", EDATE(TODAY(), -6), TODAY()), 2, 2)) - 1, """")"),"")</f>
        <v/>
      </c>
      <c r="P72" s="21" t="str">
        <f>IFERROR(__xludf.DUMMYFUNCTION("IFERROR((GOOGLEFINANCE(C72, ""price"") / INDEX(GOOGLEFINANCE(C72, ""price"", EDATE(TODAY(), -12), TODAY()), 2, 2)) - 1, """")"),"")</f>
        <v/>
      </c>
      <c r="Q72" s="6" t="str">
        <f>IFERROR(__xludf.DUMMYFUNCTION("AVERAGE(QUERY(GOOGLEFINANCE(C72, ""price"", TODAY()-80, TODAY()), ""SELECT Col2 WHERE Col2 IS NOT NULL ORDER BY Col1 DESC LIMIT 50"", 0))"),"#N/A")</f>
        <v>#N/A</v>
      </c>
      <c r="R72" s="24" t="str">
        <f>IFERROR(__xludf.DUMMYFUNCTION("IFERROR(
  LET(
    data, QUERY(GOOGLEFINANCE(C72,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GOOGLEFINANCE(C72, ""price"")) * 100,
    IF(calc=0, G72, calc)
  ), 
G72)"),"#N/A")</f>
        <v>#N/A</v>
      </c>
      <c r="S72" s="8" t="s">
        <v>15</v>
      </c>
      <c r="T72" s="26" t="str">
        <f>IFERROR(__xludf.DUMMYFUNCTION("IFERROR(TRANSPOSE(QUERY(IFERROR(SORT(GOOGLEFINANCE(C72, ""price"", WORKDAY(TODAY(), -40), TODAY()), 1, FALSE)), ""select Col2 where Col2 is not null limit 22 label Col2 ''"", 0)), """")"),"")</f>
        <v/>
      </c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8"/>
      <c r="AO72" s="28"/>
      <c r="AP72" s="29"/>
      <c r="AQ72" s="29" t="str">
        <f t="shared" ref="AQ72:BL72" si="75">T72/T$2</f>
        <v>#N/A</v>
      </c>
      <c r="AR72" s="29" t="str">
        <f t="shared" si="75"/>
        <v>#DIV/0!</v>
      </c>
      <c r="AS72" s="29" t="str">
        <f t="shared" si="75"/>
        <v>#DIV/0!</v>
      </c>
      <c r="AT72" s="29" t="str">
        <f t="shared" si="75"/>
        <v>#DIV/0!</v>
      </c>
      <c r="AU72" s="29" t="str">
        <f t="shared" si="75"/>
        <v>#DIV/0!</v>
      </c>
      <c r="AV72" s="29" t="str">
        <f t="shared" si="75"/>
        <v>#DIV/0!</v>
      </c>
      <c r="AW72" s="29" t="str">
        <f t="shared" si="75"/>
        <v>#DIV/0!</v>
      </c>
      <c r="AX72" s="29" t="str">
        <f t="shared" si="75"/>
        <v>#DIV/0!</v>
      </c>
      <c r="AY72" s="29" t="str">
        <f t="shared" si="75"/>
        <v>#DIV/0!</v>
      </c>
      <c r="AZ72" s="29" t="str">
        <f t="shared" si="75"/>
        <v>#DIV/0!</v>
      </c>
      <c r="BA72" s="29" t="str">
        <f t="shared" si="75"/>
        <v>#DIV/0!</v>
      </c>
      <c r="BB72" s="29" t="str">
        <f t="shared" si="75"/>
        <v>#DIV/0!</v>
      </c>
      <c r="BC72" s="29" t="str">
        <f t="shared" si="75"/>
        <v>#DIV/0!</v>
      </c>
      <c r="BD72" s="29" t="str">
        <f t="shared" si="75"/>
        <v>#DIV/0!</v>
      </c>
      <c r="BE72" s="29" t="str">
        <f t="shared" si="75"/>
        <v>#DIV/0!</v>
      </c>
      <c r="BF72" s="29" t="str">
        <f t="shared" si="75"/>
        <v>#DIV/0!</v>
      </c>
      <c r="BG72" s="29" t="str">
        <f t="shared" si="75"/>
        <v>#DIV/0!</v>
      </c>
      <c r="BH72" s="29" t="str">
        <f t="shared" si="75"/>
        <v>#DIV/0!</v>
      </c>
      <c r="BI72" s="29" t="str">
        <f t="shared" si="75"/>
        <v>#DIV/0!</v>
      </c>
      <c r="BJ72" s="29" t="str">
        <f t="shared" si="75"/>
        <v>#DIV/0!</v>
      </c>
      <c r="BK72" s="29" t="str">
        <f t="shared" si="75"/>
        <v>#DIV/0!</v>
      </c>
      <c r="BL72" s="29" t="str">
        <f t="shared" si="75"/>
        <v>#DIV/0!</v>
      </c>
      <c r="BM72" s="29" t="str">
        <f t="shared" si="3"/>
        <v>#DIV/0!</v>
      </c>
    </row>
    <row r="73">
      <c r="A73" s="16" t="str">
        <f>IFERROR(__xludf.DUMMYFUNCTION("IFERROR(SPARKLINE(SORT(MAP(TRANSPOSE(AQ73:BL73), LAMBDA(val, IF(ISNUMBER(val), PERCENTRANK(AQ73:BL73, val)+0.01, 0))), SEQUENCE(COLUMNS(AQ73:BL73)), FALSE), {""charttype"",""column""; ""color"",""chartreuse""; ""ymin"", 0; ""ymax"", 1.01; ""highcolor"", "&amp;"""darkgreen""; ""lowcolor"", ""red""}), """")"),"")</f>
        <v/>
      </c>
      <c r="B73" s="17" t="str">
        <f t="shared" si="4"/>
        <v/>
      </c>
      <c r="C73" s="1" t="s">
        <v>368</v>
      </c>
      <c r="D73" s="30" t="str">
        <f>IFERROR(__xludf.DUMMYFUNCTION("IFERROR(GOOGLEFINANCE(C73, ""NAME""))"),"ATRenew Inc")</f>
        <v>ATRenew Inc</v>
      </c>
      <c r="E73" s="30" t="s">
        <v>137</v>
      </c>
      <c r="F73" s="33" t="str">
        <f>IFERROR(__xludf.DUMMYFUNCTION("( (GOOGLEFINANCE(C73, ""price"") - Q73) / Q73 ) / (R73 / 100)"),"Loading...")</f>
        <v>Loading...</v>
      </c>
      <c r="G73" s="20" t="str">
        <f>IFERROR(__xludf.DUMMYFUNCTION("AVERAGE(ARRAYFORMULA(100 * (QUERY(GOOGLEFINANCE(C73, ""high"", TODAY()-40, TODAY()), ""SELECT Col2 WHERE Col2 IS NOT NULL ORDER BY Col1 DESC LIMIT 20"", 0) / QUERY(GOOGLEFINANCE(C73, ""low"", TODAY()-40, TODAY()), ""SELECT Col2 WHERE Col2 IS NOT NULL ORDE"&amp;"R BY Col1 DESC LIMIT 20"", 0) - 1)))"),"#N/A")</f>
        <v>#N/A</v>
      </c>
      <c r="H73" s="35" t="str">
        <f t="shared" si="6"/>
        <v/>
      </c>
      <c r="I73" s="35" t="str">
        <f t="shared" si="7"/>
        <v/>
      </c>
      <c r="J73" s="37" t="str">
        <f>IFERROR(__xludf.DUMMYFUNCTION("IFERROR(
  IF(C73="""",, 
    IFERROR(
      GOOGLEFINANCE(C73, ""price"") * GOOGLEFINANCE(C73, ""volumeavg""), 
      GOOGLEFINANCE(C73, ""price"") * AVERAGE(QUERY(GOOGLEFINANCE(C73, ""volume"", TODAY()-40, TODAY()), ""SELECT Col2 WHERE Col2 IS NOT NULL "&amp;"ORDER BY Col1 DESC LIMIT 20"", 0))
    )
  ), 
"""")"),"")</f>
        <v/>
      </c>
      <c r="K73" s="21" t="str">
        <f>IFERROR(__xludf.DUMMYFUNCTION("IFERROR(GOOGLEFINANCE(C73, ""changepct"") / 100, """")"),"")</f>
        <v/>
      </c>
      <c r="L73" s="21" t="str">
        <f>IFERROR(__xludf.DUMMYFUNCTION("IFERROR((GOOGLEFINANCE(C73, ""price"") / INDEX(GOOGLEFINANCE(C73, ""price"", TODAY()-7, TODAY()), 2, 2)) - 1, """")"),"")</f>
        <v/>
      </c>
      <c r="M73" s="21" t="str">
        <f>IFERROR(__xludf.DUMMYFUNCTION("IFERROR((GOOGLEFINANCE(C73, ""price"") / INDEX(GOOGLEFINANCE(C73, ""price"", EDATE(TODAY(), -1), TODAY()), 2, 2)) - 1, """")"),"")</f>
        <v/>
      </c>
      <c r="N73" s="21" t="str">
        <f>IFERROR(__xludf.DUMMYFUNCTION("IFERROR((GOOGLEFINANCE(C73, ""price"") / INDEX(GOOGLEFINANCE(C73, ""price"", EDATE(TODAY(), -3), TODAY()), 2, 2)) - 1, """")"),"")</f>
        <v/>
      </c>
      <c r="O73" s="21" t="str">
        <f>IFERROR(__xludf.DUMMYFUNCTION("IFERROR((GOOGLEFINANCE(C73, ""price"") / INDEX(GOOGLEFINANCE(C73, ""price"", EDATE(TODAY(), -6), TODAY()), 2, 2)) - 1, """")"),"")</f>
        <v/>
      </c>
      <c r="P73" s="21" t="str">
        <f>IFERROR(__xludf.DUMMYFUNCTION("IFERROR((GOOGLEFINANCE(C73, ""price"") / INDEX(GOOGLEFINANCE(C73, ""price"", EDATE(TODAY(), -12), TODAY()), 2, 2)) - 1, """")"),"")</f>
        <v/>
      </c>
      <c r="Q73" s="6" t="str">
        <f>IFERROR(__xludf.DUMMYFUNCTION("AVERAGE(QUERY(GOOGLEFINANCE(C73, ""price"", TODAY()-80, TODAY()), ""SELECT Col2 WHERE Col2 IS NOT NULL ORDER BY Col1 DESC LIMIT 50"", 0))"),"#N/A")</f>
        <v>#N/A</v>
      </c>
      <c r="R73" s="24" t="str">
        <f>IFERROR(__xludf.DUMMYFUNCTION("IFERROR(
  LET(
    data, QUERY(GOOGLEFINANCE(C73,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GOOGLEFINANCE(C73, ""price"")) * 100,
    IF(calc=0, G73, calc)
  ), 
G73)"),"#N/A")</f>
        <v>#N/A</v>
      </c>
      <c r="S73" s="8" t="s">
        <v>15</v>
      </c>
      <c r="T73" s="26" t="str">
        <f>IFERROR(__xludf.DUMMYFUNCTION("IFERROR(TRANSPOSE(QUERY(IFERROR(SORT(GOOGLEFINANCE(C73, ""price"", WORKDAY(TODAY(), -40), TODAY()), 1, FALSE)), ""select Col2 where Col2 is not null limit 22 label Col2 ''"", 0)), """")"),"")</f>
        <v/>
      </c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8"/>
      <c r="AO73" s="28"/>
      <c r="AP73" s="29"/>
      <c r="AQ73" s="29" t="str">
        <f t="shared" ref="AQ73:BL73" si="76">T73/T$2</f>
        <v>#N/A</v>
      </c>
      <c r="AR73" s="29" t="str">
        <f t="shared" si="76"/>
        <v>#DIV/0!</v>
      </c>
      <c r="AS73" s="29" t="str">
        <f t="shared" si="76"/>
        <v>#DIV/0!</v>
      </c>
      <c r="AT73" s="29" t="str">
        <f t="shared" si="76"/>
        <v>#DIV/0!</v>
      </c>
      <c r="AU73" s="29" t="str">
        <f t="shared" si="76"/>
        <v>#DIV/0!</v>
      </c>
      <c r="AV73" s="29" t="str">
        <f t="shared" si="76"/>
        <v>#DIV/0!</v>
      </c>
      <c r="AW73" s="29" t="str">
        <f t="shared" si="76"/>
        <v>#DIV/0!</v>
      </c>
      <c r="AX73" s="29" t="str">
        <f t="shared" si="76"/>
        <v>#DIV/0!</v>
      </c>
      <c r="AY73" s="29" t="str">
        <f t="shared" si="76"/>
        <v>#DIV/0!</v>
      </c>
      <c r="AZ73" s="29" t="str">
        <f t="shared" si="76"/>
        <v>#DIV/0!</v>
      </c>
      <c r="BA73" s="29" t="str">
        <f t="shared" si="76"/>
        <v>#DIV/0!</v>
      </c>
      <c r="BB73" s="29" t="str">
        <f t="shared" si="76"/>
        <v>#DIV/0!</v>
      </c>
      <c r="BC73" s="29" t="str">
        <f t="shared" si="76"/>
        <v>#DIV/0!</v>
      </c>
      <c r="BD73" s="29" t="str">
        <f t="shared" si="76"/>
        <v>#DIV/0!</v>
      </c>
      <c r="BE73" s="29" t="str">
        <f t="shared" si="76"/>
        <v>#DIV/0!</v>
      </c>
      <c r="BF73" s="29" t="str">
        <f t="shared" si="76"/>
        <v>#DIV/0!</v>
      </c>
      <c r="BG73" s="29" t="str">
        <f t="shared" si="76"/>
        <v>#DIV/0!</v>
      </c>
      <c r="BH73" s="29" t="str">
        <f t="shared" si="76"/>
        <v>#DIV/0!</v>
      </c>
      <c r="BI73" s="29" t="str">
        <f t="shared" si="76"/>
        <v>#DIV/0!</v>
      </c>
      <c r="BJ73" s="29" t="str">
        <f t="shared" si="76"/>
        <v>#DIV/0!</v>
      </c>
      <c r="BK73" s="29" t="str">
        <f t="shared" si="76"/>
        <v>#DIV/0!</v>
      </c>
      <c r="BL73" s="29" t="str">
        <f t="shared" si="76"/>
        <v>#DIV/0!</v>
      </c>
      <c r="BM73" s="29" t="str">
        <f t="shared" si="3"/>
        <v>#DIV/0!</v>
      </c>
    </row>
    <row r="74">
      <c r="A74" s="16" t="str">
        <f>IFERROR(__xludf.DUMMYFUNCTION("IFERROR(SPARKLINE(SORT(MAP(TRANSPOSE(AQ74:BL74), LAMBDA(val, IF(ISNUMBER(val), PERCENTRANK(AQ74:BL74, val)+0.01, 0))), SEQUENCE(COLUMNS(AQ74:BL74)), FALSE), {""charttype"",""column""; ""color"",""chartreuse""; ""ymin"", 0; ""ymax"", 1.01; ""highcolor"", "&amp;"""darkgreen""; ""lowcolor"", ""red""}), """")"),"")</f>
        <v/>
      </c>
      <c r="B74" s="17" t="str">
        <f t="shared" si="4"/>
        <v/>
      </c>
      <c r="C74" s="1" t="s">
        <v>373</v>
      </c>
      <c r="D74" s="30" t="str">
        <f>IFERROR(__xludf.DUMMYFUNCTION("IFERROR(GOOGLEFINANCE(C74, ""NAME""))"),"Magna International Inc")</f>
        <v>Magna International Inc</v>
      </c>
      <c r="E74" s="30" t="s">
        <v>109</v>
      </c>
      <c r="F74" s="33" t="str">
        <f>IFERROR(__xludf.DUMMYFUNCTION("( (GOOGLEFINANCE(C74, ""price"") - Q74) / Q74 ) / (R74 / 100)"),"Loading...")</f>
        <v>Loading...</v>
      </c>
      <c r="G74" s="20" t="str">
        <f>IFERROR(__xludf.DUMMYFUNCTION("AVERAGE(ARRAYFORMULA(100 * (QUERY(GOOGLEFINANCE(C74, ""high"", TODAY()-40, TODAY()), ""SELECT Col2 WHERE Col2 IS NOT NULL ORDER BY Col1 DESC LIMIT 20"", 0) / QUERY(GOOGLEFINANCE(C74, ""low"", TODAY()-40, TODAY()), ""SELECT Col2 WHERE Col2 IS NOT NULL ORDE"&amp;"R BY Col1 DESC LIMIT 20"", 0) - 1)))"),"#N/A")</f>
        <v>#N/A</v>
      </c>
      <c r="H74" s="35" t="str">
        <f t="shared" si="6"/>
        <v/>
      </c>
      <c r="I74" s="35" t="str">
        <f t="shared" si="7"/>
        <v/>
      </c>
      <c r="J74" s="37" t="str">
        <f>IFERROR(__xludf.DUMMYFUNCTION("IFERROR(
  IF(C74="""",, 
    IFERROR(
      GOOGLEFINANCE(C74, ""price"") * GOOGLEFINANCE(C74, ""volumeavg""), 
      GOOGLEFINANCE(C74, ""price"") * AVERAGE(QUERY(GOOGLEFINANCE(C74, ""volume"", TODAY()-40, TODAY()), ""SELECT Col2 WHERE Col2 IS NOT NULL "&amp;"ORDER BY Col1 DESC LIMIT 20"", 0))
    )
  ), 
"""")"),"")</f>
        <v/>
      </c>
      <c r="K74" s="21" t="str">
        <f>IFERROR(__xludf.DUMMYFUNCTION("IFERROR(GOOGLEFINANCE(C74, ""changepct"") / 100, """")"),"")</f>
        <v/>
      </c>
      <c r="L74" s="21" t="str">
        <f>IFERROR(__xludf.DUMMYFUNCTION("IFERROR((GOOGLEFINANCE(C74, ""price"") / INDEX(GOOGLEFINANCE(C74, ""price"", TODAY()-7, TODAY()), 2, 2)) - 1, """")"),"")</f>
        <v/>
      </c>
      <c r="M74" s="21" t="str">
        <f>IFERROR(__xludf.DUMMYFUNCTION("IFERROR((GOOGLEFINANCE(C74, ""price"") / INDEX(GOOGLEFINANCE(C74, ""price"", EDATE(TODAY(), -1), TODAY()), 2, 2)) - 1, """")"),"")</f>
        <v/>
      </c>
      <c r="N74" s="21" t="str">
        <f>IFERROR(__xludf.DUMMYFUNCTION("IFERROR((GOOGLEFINANCE(C74, ""price"") / INDEX(GOOGLEFINANCE(C74, ""price"", EDATE(TODAY(), -3), TODAY()), 2, 2)) - 1, """")"),"")</f>
        <v/>
      </c>
      <c r="O74" s="21" t="str">
        <f>IFERROR(__xludf.DUMMYFUNCTION("IFERROR((GOOGLEFINANCE(C74, ""price"") / INDEX(GOOGLEFINANCE(C74, ""price"", EDATE(TODAY(), -6), TODAY()), 2, 2)) - 1, """")"),"")</f>
        <v/>
      </c>
      <c r="P74" s="21" t="str">
        <f>IFERROR(__xludf.DUMMYFUNCTION("IFERROR((GOOGLEFINANCE(C74, ""price"") / INDEX(GOOGLEFINANCE(C74, ""price"", EDATE(TODAY(), -12), TODAY()), 2, 2)) - 1, """")"),"")</f>
        <v/>
      </c>
      <c r="Q74" s="6" t="str">
        <f>IFERROR(__xludf.DUMMYFUNCTION("AVERAGE(QUERY(GOOGLEFINANCE(C74, ""price"", TODAY()-80, TODAY()), ""SELECT Col2 WHERE Col2 IS NOT NULL ORDER BY Col1 DESC LIMIT 50"", 0))"),"#N/A")</f>
        <v>#N/A</v>
      </c>
      <c r="R74" s="24" t="str">
        <f>IFERROR(__xludf.DUMMYFUNCTION("IFERROR(
  LET(
    data, QUERY(GOOGLEFINANCE(C74,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GOOGLEFINANCE(C74, ""price"")) * 100,
    IF(calc=0, G74, calc)
  ), 
G74)"),"#N/A")</f>
        <v>#N/A</v>
      </c>
      <c r="S74" s="8" t="s">
        <v>15</v>
      </c>
      <c r="T74" s="26" t="str">
        <f>IFERROR(__xludf.DUMMYFUNCTION("IFERROR(TRANSPOSE(QUERY(IFERROR(SORT(GOOGLEFINANCE(C74, ""price"", WORKDAY(TODAY(), -40), TODAY()), 1, FALSE)), ""select Col2 where Col2 is not null limit 22 label Col2 ''"", 0)), """")"),"")</f>
        <v/>
      </c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8"/>
      <c r="AO74" s="28"/>
      <c r="AP74" s="29"/>
      <c r="AQ74" s="29" t="str">
        <f t="shared" ref="AQ74:BL74" si="77">T74/T$2</f>
        <v>#N/A</v>
      </c>
      <c r="AR74" s="29" t="str">
        <f t="shared" si="77"/>
        <v>#DIV/0!</v>
      </c>
      <c r="AS74" s="29" t="str">
        <f t="shared" si="77"/>
        <v>#DIV/0!</v>
      </c>
      <c r="AT74" s="29" t="str">
        <f t="shared" si="77"/>
        <v>#DIV/0!</v>
      </c>
      <c r="AU74" s="29" t="str">
        <f t="shared" si="77"/>
        <v>#DIV/0!</v>
      </c>
      <c r="AV74" s="29" t="str">
        <f t="shared" si="77"/>
        <v>#DIV/0!</v>
      </c>
      <c r="AW74" s="29" t="str">
        <f t="shared" si="77"/>
        <v>#DIV/0!</v>
      </c>
      <c r="AX74" s="29" t="str">
        <f t="shared" si="77"/>
        <v>#DIV/0!</v>
      </c>
      <c r="AY74" s="29" t="str">
        <f t="shared" si="77"/>
        <v>#DIV/0!</v>
      </c>
      <c r="AZ74" s="29" t="str">
        <f t="shared" si="77"/>
        <v>#DIV/0!</v>
      </c>
      <c r="BA74" s="29" t="str">
        <f t="shared" si="77"/>
        <v>#DIV/0!</v>
      </c>
      <c r="BB74" s="29" t="str">
        <f t="shared" si="77"/>
        <v>#DIV/0!</v>
      </c>
      <c r="BC74" s="29" t="str">
        <f t="shared" si="77"/>
        <v>#DIV/0!</v>
      </c>
      <c r="BD74" s="29" t="str">
        <f t="shared" si="77"/>
        <v>#DIV/0!</v>
      </c>
      <c r="BE74" s="29" t="str">
        <f t="shared" si="77"/>
        <v>#DIV/0!</v>
      </c>
      <c r="BF74" s="29" t="str">
        <f t="shared" si="77"/>
        <v>#DIV/0!</v>
      </c>
      <c r="BG74" s="29" t="str">
        <f t="shared" si="77"/>
        <v>#DIV/0!</v>
      </c>
      <c r="BH74" s="29" t="str">
        <f t="shared" si="77"/>
        <v>#DIV/0!</v>
      </c>
      <c r="BI74" s="29" t="str">
        <f t="shared" si="77"/>
        <v>#DIV/0!</v>
      </c>
      <c r="BJ74" s="29" t="str">
        <f t="shared" si="77"/>
        <v>#DIV/0!</v>
      </c>
      <c r="BK74" s="29" t="str">
        <f t="shared" si="77"/>
        <v>#DIV/0!</v>
      </c>
      <c r="BL74" s="29" t="str">
        <f t="shared" si="77"/>
        <v>#DIV/0!</v>
      </c>
      <c r="BM74" s="29" t="str">
        <f t="shared" si="3"/>
        <v>#DIV/0!</v>
      </c>
    </row>
    <row r="75">
      <c r="A75" s="16" t="str">
        <f>IFERROR(__xludf.DUMMYFUNCTION("IFERROR(SPARKLINE(SORT(MAP(TRANSPOSE(AQ75:BL75), LAMBDA(val, IF(ISNUMBER(val), PERCENTRANK(AQ75:BL75, val)+0.01, 0))), SEQUENCE(COLUMNS(AQ75:BL75)), FALSE), {""charttype"",""column""; ""color"",""chartreuse""; ""ymin"", 0; ""ymax"", 1.01; ""highcolor"", "&amp;"""darkgreen""; ""lowcolor"", ""red""}), """")"),"")</f>
        <v/>
      </c>
      <c r="B75" s="17" t="str">
        <f t="shared" si="4"/>
        <v/>
      </c>
      <c r="C75" s="1" t="s">
        <v>377</v>
      </c>
      <c r="D75" s="30" t="str">
        <f>IFERROR(__xludf.DUMMYFUNCTION("IFERROR(GOOGLEFINANCE(C75, ""NAME""))"),"")</f>
        <v/>
      </c>
      <c r="E75" s="30" t="s">
        <v>190</v>
      </c>
      <c r="F75" s="33" t="str">
        <f>IFERROR(__xludf.DUMMYFUNCTION("( (GOOGLEFINANCE(C75, ""price"") - Q75) / Q75 ) / (R75 / 100)"),"Loading...")</f>
        <v>Loading...</v>
      </c>
      <c r="G75" s="20" t="str">
        <f>IFERROR(__xludf.DUMMYFUNCTION("AVERAGE(ARRAYFORMULA(100 * (QUERY(GOOGLEFINANCE(C75, ""high"", TODAY()-40, TODAY()), ""SELECT Col2 WHERE Col2 IS NOT NULL ORDER BY Col1 DESC LIMIT 20"", 0) / QUERY(GOOGLEFINANCE(C75, ""low"", TODAY()-40, TODAY()), ""SELECT Col2 WHERE Col2 IS NOT NULL ORDE"&amp;"R BY Col1 DESC LIMIT 20"", 0) - 1)))"),"#N/A")</f>
        <v>#N/A</v>
      </c>
      <c r="H75" s="35" t="str">
        <f t="shared" si="6"/>
        <v/>
      </c>
      <c r="I75" s="35" t="str">
        <f t="shared" si="7"/>
        <v/>
      </c>
      <c r="J75" s="37" t="str">
        <f>IFERROR(__xludf.DUMMYFUNCTION("IFERROR(
  IF(C75="""",, 
    IFERROR(
      GOOGLEFINANCE(C75, ""price"") * GOOGLEFINANCE(C75, ""volumeavg""), 
      GOOGLEFINANCE(C75, ""price"") * AVERAGE(QUERY(GOOGLEFINANCE(C75, ""volume"", TODAY()-40, TODAY()), ""SELECT Col2 WHERE Col2 IS NOT NULL "&amp;"ORDER BY Col1 DESC LIMIT 20"", 0))
    )
  ), 
"""")"),"")</f>
        <v/>
      </c>
      <c r="K75" s="21" t="str">
        <f>IFERROR(__xludf.DUMMYFUNCTION("IFERROR(GOOGLEFINANCE(C75, ""changepct"") / 100, """")"),"")</f>
        <v/>
      </c>
      <c r="L75" s="21" t="str">
        <f>IFERROR(__xludf.DUMMYFUNCTION("IFERROR((GOOGLEFINANCE(C75, ""price"") / INDEX(GOOGLEFINANCE(C75, ""price"", TODAY()-7, TODAY()), 2, 2)) - 1, """")"),"")</f>
        <v/>
      </c>
      <c r="M75" s="21" t="str">
        <f>IFERROR(__xludf.DUMMYFUNCTION("IFERROR((GOOGLEFINANCE(C75, ""price"") / INDEX(GOOGLEFINANCE(C75, ""price"", EDATE(TODAY(), -1), TODAY()), 2, 2)) - 1, """")"),"")</f>
        <v/>
      </c>
      <c r="N75" s="21" t="str">
        <f>IFERROR(__xludf.DUMMYFUNCTION("IFERROR((GOOGLEFINANCE(C75, ""price"") / INDEX(GOOGLEFINANCE(C75, ""price"", EDATE(TODAY(), -3), TODAY()), 2, 2)) - 1, """")"),"")</f>
        <v/>
      </c>
      <c r="O75" s="21" t="str">
        <f>IFERROR(__xludf.DUMMYFUNCTION("IFERROR((GOOGLEFINANCE(C75, ""price"") / INDEX(GOOGLEFINANCE(C75, ""price"", EDATE(TODAY(), -6), TODAY()), 2, 2)) - 1, """")"),"")</f>
        <v/>
      </c>
      <c r="P75" s="21" t="str">
        <f>IFERROR(__xludf.DUMMYFUNCTION("IFERROR((GOOGLEFINANCE(C75, ""price"") / INDEX(GOOGLEFINANCE(C75, ""price"", EDATE(TODAY(), -12), TODAY()), 2, 2)) - 1, """")"),"")</f>
        <v/>
      </c>
      <c r="Q75" s="6" t="str">
        <f>IFERROR(__xludf.DUMMYFUNCTION("AVERAGE(QUERY(GOOGLEFINANCE(C75, ""price"", TODAY()-80, TODAY()), ""SELECT Col2 WHERE Col2 IS NOT NULL ORDER BY Col1 DESC LIMIT 50"", 0))"),"#N/A")</f>
        <v>#N/A</v>
      </c>
      <c r="R75" s="24" t="str">
        <f>IFERROR(__xludf.DUMMYFUNCTION("IFERROR(
  LET(
    data, QUERY(GOOGLEFINANCE(C75,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GOOGLEFINANCE(C75, ""price"")) * 100,
    IF(calc=0, G75, calc)
  ), 
G75)"),"#N/A")</f>
        <v>#N/A</v>
      </c>
      <c r="S75" s="8" t="s">
        <v>15</v>
      </c>
      <c r="T75" s="26" t="str">
        <f>IFERROR(__xludf.DUMMYFUNCTION("IFERROR(TRANSPOSE(QUERY(IFERROR(SORT(GOOGLEFINANCE(C75, ""price"", WORKDAY(TODAY(), -40), TODAY()), 1, FALSE)), ""select Col2 where Col2 is not null limit 22 label Col2 ''"", 0)), """")"),"")</f>
        <v/>
      </c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8"/>
      <c r="AO75" s="28"/>
      <c r="AP75" s="29"/>
      <c r="AQ75" s="29" t="str">
        <f t="shared" ref="AQ75:BL75" si="78">T75/T$2</f>
        <v>#N/A</v>
      </c>
      <c r="AR75" s="29" t="str">
        <f t="shared" si="78"/>
        <v>#DIV/0!</v>
      </c>
      <c r="AS75" s="29" t="str">
        <f t="shared" si="78"/>
        <v>#DIV/0!</v>
      </c>
      <c r="AT75" s="29" t="str">
        <f t="shared" si="78"/>
        <v>#DIV/0!</v>
      </c>
      <c r="AU75" s="29" t="str">
        <f t="shared" si="78"/>
        <v>#DIV/0!</v>
      </c>
      <c r="AV75" s="29" t="str">
        <f t="shared" si="78"/>
        <v>#DIV/0!</v>
      </c>
      <c r="AW75" s="29" t="str">
        <f t="shared" si="78"/>
        <v>#DIV/0!</v>
      </c>
      <c r="AX75" s="29" t="str">
        <f t="shared" si="78"/>
        <v>#DIV/0!</v>
      </c>
      <c r="AY75" s="29" t="str">
        <f t="shared" si="78"/>
        <v>#DIV/0!</v>
      </c>
      <c r="AZ75" s="29" t="str">
        <f t="shared" si="78"/>
        <v>#DIV/0!</v>
      </c>
      <c r="BA75" s="29" t="str">
        <f t="shared" si="78"/>
        <v>#DIV/0!</v>
      </c>
      <c r="BB75" s="29" t="str">
        <f t="shared" si="78"/>
        <v>#DIV/0!</v>
      </c>
      <c r="BC75" s="29" t="str">
        <f t="shared" si="78"/>
        <v>#DIV/0!</v>
      </c>
      <c r="BD75" s="29" t="str">
        <f t="shared" si="78"/>
        <v>#DIV/0!</v>
      </c>
      <c r="BE75" s="29" t="str">
        <f t="shared" si="78"/>
        <v>#DIV/0!</v>
      </c>
      <c r="BF75" s="29" t="str">
        <f t="shared" si="78"/>
        <v>#DIV/0!</v>
      </c>
      <c r="BG75" s="29" t="str">
        <f t="shared" si="78"/>
        <v>#DIV/0!</v>
      </c>
      <c r="BH75" s="29" t="str">
        <f t="shared" si="78"/>
        <v>#DIV/0!</v>
      </c>
      <c r="BI75" s="29" t="str">
        <f t="shared" si="78"/>
        <v>#DIV/0!</v>
      </c>
      <c r="BJ75" s="29" t="str">
        <f t="shared" si="78"/>
        <v>#DIV/0!</v>
      </c>
      <c r="BK75" s="29" t="str">
        <f t="shared" si="78"/>
        <v>#DIV/0!</v>
      </c>
      <c r="BL75" s="29" t="str">
        <f t="shared" si="78"/>
        <v>#DIV/0!</v>
      </c>
      <c r="BM75" s="29" t="str">
        <f t="shared" si="3"/>
        <v>#DIV/0!</v>
      </c>
    </row>
    <row r="76">
      <c r="A76" s="16" t="str">
        <f>IFERROR(__xludf.DUMMYFUNCTION("IFERROR(SPARKLINE(SORT(MAP(TRANSPOSE(AQ76:BL76), LAMBDA(val, IF(ISNUMBER(val), PERCENTRANK(AQ76:BL76, val)+0.01, 0))), SEQUENCE(COLUMNS(AQ76:BL76)), FALSE), {""charttype"",""column""; ""color"",""chartreuse""; ""ymin"", 0; ""ymax"", 1.01; ""highcolor"", "&amp;"""darkgreen""; ""lowcolor"", ""red""}), """")"),"")</f>
        <v/>
      </c>
      <c r="B76" s="17" t="str">
        <f t="shared" si="4"/>
        <v/>
      </c>
      <c r="C76" s="1" t="s">
        <v>381</v>
      </c>
      <c r="D76" s="30" t="str">
        <f>IFERROR(__xludf.DUMMYFUNCTION("IFERROR(GOOGLEFINANCE(C76, ""NAME""))"),"Reynolds Consumer Products Inc")</f>
        <v>Reynolds Consumer Products Inc</v>
      </c>
      <c r="E76" s="30" t="s">
        <v>195</v>
      </c>
      <c r="F76" s="38" t="str">
        <f>IFERROR(__xludf.DUMMYFUNCTION("( (GOOGLEFINANCE(C76, ""price"") - Q76) / Q76 ) / (R76 / 100)"),"Loading...")</f>
        <v>Loading...</v>
      </c>
      <c r="G76" s="20" t="str">
        <f>IFERROR(__xludf.DUMMYFUNCTION("AVERAGE(ARRAYFORMULA(100 * (QUERY(GOOGLEFINANCE(C76, ""high"", TODAY()-40, TODAY()), ""SELECT Col2 WHERE Col2 IS NOT NULL ORDER BY Col1 DESC LIMIT 20"", 0) / QUERY(GOOGLEFINANCE(C76, ""low"", TODAY()-40, TODAY()), ""SELECT Col2 WHERE Col2 IS NOT NULL ORDE"&amp;"R BY Col1 DESC LIMIT 20"", 0) - 1)))"),"#N/A")</f>
        <v>#N/A</v>
      </c>
      <c r="H76" s="35" t="str">
        <f t="shared" si="6"/>
        <v/>
      </c>
      <c r="I76" s="35" t="str">
        <f t="shared" si="7"/>
        <v/>
      </c>
      <c r="J76" s="37" t="str">
        <f>IFERROR(__xludf.DUMMYFUNCTION("IFERROR(
  IF(C76="""",, 
    IFERROR(
      GOOGLEFINANCE(C76, ""price"") * GOOGLEFINANCE(C76, ""volumeavg""), 
      GOOGLEFINANCE(C76, ""price"") * AVERAGE(QUERY(GOOGLEFINANCE(C76, ""volume"", TODAY()-40, TODAY()), ""SELECT Col2 WHERE Col2 IS NOT NULL "&amp;"ORDER BY Col1 DESC LIMIT 20"", 0))
    )
  ), 
"""")"),"")</f>
        <v/>
      </c>
      <c r="K76" s="21" t="str">
        <f>IFERROR(__xludf.DUMMYFUNCTION("IFERROR(GOOGLEFINANCE(C76, ""changepct"") / 100, """")"),"")</f>
        <v/>
      </c>
      <c r="L76" s="21" t="str">
        <f>IFERROR(__xludf.DUMMYFUNCTION("IFERROR((GOOGLEFINANCE(C76, ""price"") / INDEX(GOOGLEFINANCE(C76, ""price"", TODAY()-7, TODAY()), 2, 2)) - 1, """")"),"")</f>
        <v/>
      </c>
      <c r="M76" s="21" t="str">
        <f>IFERROR(__xludf.DUMMYFUNCTION("IFERROR((GOOGLEFINANCE(C76, ""price"") / INDEX(GOOGLEFINANCE(C76, ""price"", EDATE(TODAY(), -1), TODAY()), 2, 2)) - 1, """")"),"")</f>
        <v/>
      </c>
      <c r="N76" s="21" t="str">
        <f>IFERROR(__xludf.DUMMYFUNCTION("IFERROR((GOOGLEFINANCE(C76, ""price"") / INDEX(GOOGLEFINANCE(C76, ""price"", EDATE(TODAY(), -3), TODAY()), 2, 2)) - 1, """")"),"")</f>
        <v/>
      </c>
      <c r="O76" s="21" t="str">
        <f>IFERROR(__xludf.DUMMYFUNCTION("IFERROR((GOOGLEFINANCE(C76, ""price"") / INDEX(GOOGLEFINANCE(C76, ""price"", EDATE(TODAY(), -6), TODAY()), 2, 2)) - 1, """")"),"")</f>
        <v/>
      </c>
      <c r="P76" s="21" t="str">
        <f>IFERROR(__xludf.DUMMYFUNCTION("IFERROR((GOOGLEFINANCE(C76, ""price"") / INDEX(GOOGLEFINANCE(C76, ""price"", EDATE(TODAY(), -12), TODAY()), 2, 2)) - 1, """")"),"")</f>
        <v/>
      </c>
      <c r="Q76" s="6" t="str">
        <f>IFERROR(__xludf.DUMMYFUNCTION("AVERAGE(QUERY(GOOGLEFINANCE(C76, ""price"", TODAY()-80, TODAY()), ""SELECT Col2 WHERE Col2 IS NOT NULL ORDER BY Col1 DESC LIMIT 50"", 0))"),"#N/A")</f>
        <v>#N/A</v>
      </c>
      <c r="R76" s="24" t="str">
        <f>IFERROR(__xludf.DUMMYFUNCTION("IFERROR(
  LET(
    data, QUERY(GOOGLEFINANCE(C76,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GOOGLEFINANCE(C76, ""price"")) * 100,
    IF(calc=0, G76, calc)
  ), 
G76)"),"#N/A")</f>
        <v>#N/A</v>
      </c>
      <c r="S76" s="8" t="s">
        <v>15</v>
      </c>
      <c r="T76" s="26" t="str">
        <f>IFERROR(__xludf.DUMMYFUNCTION("IFERROR(TRANSPOSE(QUERY(IFERROR(SORT(GOOGLEFINANCE(C76, ""price"", WORKDAY(TODAY(), -40), TODAY()), 1, FALSE)), ""select Col2 where Col2 is not null limit 22 label Col2 ''"", 0)), """")"),"")</f>
        <v/>
      </c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8"/>
      <c r="AO76" s="28"/>
      <c r="AP76" s="29"/>
      <c r="AQ76" s="29" t="str">
        <f t="shared" ref="AQ76:BL76" si="79">T76/T$2</f>
        <v>#N/A</v>
      </c>
      <c r="AR76" s="29" t="str">
        <f t="shared" si="79"/>
        <v>#DIV/0!</v>
      </c>
      <c r="AS76" s="29" t="str">
        <f t="shared" si="79"/>
        <v>#DIV/0!</v>
      </c>
      <c r="AT76" s="29" t="str">
        <f t="shared" si="79"/>
        <v>#DIV/0!</v>
      </c>
      <c r="AU76" s="29" t="str">
        <f t="shared" si="79"/>
        <v>#DIV/0!</v>
      </c>
      <c r="AV76" s="29" t="str">
        <f t="shared" si="79"/>
        <v>#DIV/0!</v>
      </c>
      <c r="AW76" s="29" t="str">
        <f t="shared" si="79"/>
        <v>#DIV/0!</v>
      </c>
      <c r="AX76" s="29" t="str">
        <f t="shared" si="79"/>
        <v>#DIV/0!</v>
      </c>
      <c r="AY76" s="29" t="str">
        <f t="shared" si="79"/>
        <v>#DIV/0!</v>
      </c>
      <c r="AZ76" s="29" t="str">
        <f t="shared" si="79"/>
        <v>#DIV/0!</v>
      </c>
      <c r="BA76" s="29" t="str">
        <f t="shared" si="79"/>
        <v>#DIV/0!</v>
      </c>
      <c r="BB76" s="29" t="str">
        <f t="shared" si="79"/>
        <v>#DIV/0!</v>
      </c>
      <c r="BC76" s="29" t="str">
        <f t="shared" si="79"/>
        <v>#DIV/0!</v>
      </c>
      <c r="BD76" s="29" t="str">
        <f t="shared" si="79"/>
        <v>#DIV/0!</v>
      </c>
      <c r="BE76" s="29" t="str">
        <f t="shared" si="79"/>
        <v>#DIV/0!</v>
      </c>
      <c r="BF76" s="29" t="str">
        <f t="shared" si="79"/>
        <v>#DIV/0!</v>
      </c>
      <c r="BG76" s="29" t="str">
        <f t="shared" si="79"/>
        <v>#DIV/0!</v>
      </c>
      <c r="BH76" s="29" t="str">
        <f t="shared" si="79"/>
        <v>#DIV/0!</v>
      </c>
      <c r="BI76" s="29" t="str">
        <f t="shared" si="79"/>
        <v>#DIV/0!</v>
      </c>
      <c r="BJ76" s="29" t="str">
        <f t="shared" si="79"/>
        <v>#DIV/0!</v>
      </c>
      <c r="BK76" s="29" t="str">
        <f t="shared" si="79"/>
        <v>#DIV/0!</v>
      </c>
      <c r="BL76" s="29" t="str">
        <f t="shared" si="79"/>
        <v>#DIV/0!</v>
      </c>
      <c r="BM76" s="29" t="str">
        <f t="shared" si="3"/>
        <v>#DIV/0!</v>
      </c>
    </row>
    <row r="77">
      <c r="A77" s="16" t="str">
        <f>IFERROR(__xludf.DUMMYFUNCTION("IFERROR(SPARKLINE(SORT(MAP(TRANSPOSE(AQ77:BL77), LAMBDA(val, IF(ISNUMBER(val), PERCENTRANK(AQ77:BL77, val)+0.01, 0))), SEQUENCE(COLUMNS(AQ77:BL77)), FALSE), {""charttype"",""column""; ""color"",""chartreuse""; ""ymin"", 0; ""ymax"", 1.01; ""highcolor"", "&amp;"""darkgreen""; ""lowcolor"", ""red""}), """")"),"")</f>
        <v/>
      </c>
      <c r="B77" s="17" t="str">
        <f t="shared" si="4"/>
        <v/>
      </c>
      <c r="C77" s="1" t="s">
        <v>383</v>
      </c>
      <c r="D77" s="30" t="str">
        <f>IFERROR(__xludf.DUMMYFUNCTION("IFERROR(GOOGLEFINANCE(C77, ""NAME""))"),"Nio Inc - ADR")</f>
        <v>Nio Inc - ADR</v>
      </c>
      <c r="E77" s="30" t="s">
        <v>129</v>
      </c>
      <c r="F77" s="38" t="str">
        <f>IFERROR(__xludf.DUMMYFUNCTION("( (GOOGLEFINANCE(C77, ""price"") - Q77) / Q77 ) / (R77 / 100)"),"Loading...")</f>
        <v>Loading...</v>
      </c>
      <c r="G77" s="20" t="str">
        <f>IFERROR(__xludf.DUMMYFUNCTION("AVERAGE(ARRAYFORMULA(100 * (QUERY(GOOGLEFINANCE(C77, ""high"", TODAY()-40, TODAY()), ""SELECT Col2 WHERE Col2 IS NOT NULL ORDER BY Col1 DESC LIMIT 20"", 0) / QUERY(GOOGLEFINANCE(C77, ""low"", TODAY()-40, TODAY()), ""SELECT Col2 WHERE Col2 IS NOT NULL ORDE"&amp;"R BY Col1 DESC LIMIT 20"", 0) - 1)))"),"#N/A")</f>
        <v>#N/A</v>
      </c>
      <c r="H77" s="35" t="str">
        <f t="shared" si="6"/>
        <v/>
      </c>
      <c r="I77" s="35" t="str">
        <f t="shared" si="7"/>
        <v/>
      </c>
      <c r="J77" s="37" t="str">
        <f>IFERROR(__xludf.DUMMYFUNCTION("IFERROR(
  IF(C77="""",, 
    IFERROR(
      GOOGLEFINANCE(C77, ""price"") * GOOGLEFINANCE(C77, ""volumeavg""), 
      GOOGLEFINANCE(C77, ""price"") * AVERAGE(QUERY(GOOGLEFINANCE(C77, ""volume"", TODAY()-40, TODAY()), ""SELECT Col2 WHERE Col2 IS NOT NULL "&amp;"ORDER BY Col1 DESC LIMIT 20"", 0))
    )
  ), 
"""")"),"")</f>
        <v/>
      </c>
      <c r="K77" s="21" t="str">
        <f>IFERROR(__xludf.DUMMYFUNCTION("IFERROR(GOOGLEFINANCE(C77, ""changepct"") / 100, """")"),"")</f>
        <v/>
      </c>
      <c r="L77" s="21" t="str">
        <f>IFERROR(__xludf.DUMMYFUNCTION("IFERROR((GOOGLEFINANCE(C77, ""price"") / INDEX(GOOGLEFINANCE(C77, ""price"", TODAY()-7, TODAY()), 2, 2)) - 1, """")"),"")</f>
        <v/>
      </c>
      <c r="M77" s="21" t="str">
        <f>IFERROR(__xludf.DUMMYFUNCTION("IFERROR((GOOGLEFINANCE(C77, ""price"") / INDEX(GOOGLEFINANCE(C77, ""price"", EDATE(TODAY(), -1), TODAY()), 2, 2)) - 1, """")"),"")</f>
        <v/>
      </c>
      <c r="N77" s="21" t="str">
        <f>IFERROR(__xludf.DUMMYFUNCTION("IFERROR((GOOGLEFINANCE(C77, ""price"") / INDEX(GOOGLEFINANCE(C77, ""price"", EDATE(TODAY(), -3), TODAY()), 2, 2)) - 1, """")"),"")</f>
        <v/>
      </c>
      <c r="O77" s="21" t="str">
        <f>IFERROR(__xludf.DUMMYFUNCTION("IFERROR((GOOGLEFINANCE(C77, ""price"") / INDEX(GOOGLEFINANCE(C77, ""price"", EDATE(TODAY(), -6), TODAY()), 2, 2)) - 1, """")"),"")</f>
        <v/>
      </c>
      <c r="P77" s="21" t="str">
        <f>IFERROR(__xludf.DUMMYFUNCTION("IFERROR((GOOGLEFINANCE(C77, ""price"") / INDEX(GOOGLEFINANCE(C77, ""price"", EDATE(TODAY(), -12), TODAY()), 2, 2)) - 1, """")"),"")</f>
        <v/>
      </c>
      <c r="Q77" s="6" t="str">
        <f>IFERROR(__xludf.DUMMYFUNCTION("AVERAGE(QUERY(GOOGLEFINANCE(C77, ""price"", TODAY()-80, TODAY()), ""SELECT Col2 WHERE Col2 IS NOT NULL ORDER BY Col1 DESC LIMIT 50"", 0))"),"#N/A")</f>
        <v>#N/A</v>
      </c>
      <c r="R77" s="24" t="str">
        <f>IFERROR(__xludf.DUMMYFUNCTION("IFERROR(
  LET(
    data, QUERY(GOOGLEFINANCE(C77,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GOOGLEFINANCE(C77, ""price"")) * 100,
    IF(calc=0, G77, calc)
  ), 
G77)"),"#N/A")</f>
        <v>#N/A</v>
      </c>
      <c r="S77" s="8" t="s">
        <v>15</v>
      </c>
      <c r="T77" s="26" t="str">
        <f>IFERROR(__xludf.DUMMYFUNCTION("IFERROR(TRANSPOSE(QUERY(IFERROR(SORT(GOOGLEFINANCE(C77, ""price"", WORKDAY(TODAY(), -40), TODAY()), 1, FALSE)), ""select Col2 where Col2 is not null limit 22 label Col2 ''"", 0)), """")"),"")</f>
        <v/>
      </c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8"/>
      <c r="AO77" s="28"/>
      <c r="AP77" s="29"/>
      <c r="AQ77" s="29" t="str">
        <f t="shared" ref="AQ77:BL77" si="80">T77/T$2</f>
        <v>#N/A</v>
      </c>
      <c r="AR77" s="29" t="str">
        <f t="shared" si="80"/>
        <v>#DIV/0!</v>
      </c>
      <c r="AS77" s="29" t="str">
        <f t="shared" si="80"/>
        <v>#DIV/0!</v>
      </c>
      <c r="AT77" s="29" t="str">
        <f t="shared" si="80"/>
        <v>#DIV/0!</v>
      </c>
      <c r="AU77" s="29" t="str">
        <f t="shared" si="80"/>
        <v>#DIV/0!</v>
      </c>
      <c r="AV77" s="29" t="str">
        <f t="shared" si="80"/>
        <v>#DIV/0!</v>
      </c>
      <c r="AW77" s="29" t="str">
        <f t="shared" si="80"/>
        <v>#DIV/0!</v>
      </c>
      <c r="AX77" s="29" t="str">
        <f t="shared" si="80"/>
        <v>#DIV/0!</v>
      </c>
      <c r="AY77" s="29" t="str">
        <f t="shared" si="80"/>
        <v>#DIV/0!</v>
      </c>
      <c r="AZ77" s="29" t="str">
        <f t="shared" si="80"/>
        <v>#DIV/0!</v>
      </c>
      <c r="BA77" s="29" t="str">
        <f t="shared" si="80"/>
        <v>#DIV/0!</v>
      </c>
      <c r="BB77" s="29" t="str">
        <f t="shared" si="80"/>
        <v>#DIV/0!</v>
      </c>
      <c r="BC77" s="29" t="str">
        <f t="shared" si="80"/>
        <v>#DIV/0!</v>
      </c>
      <c r="BD77" s="29" t="str">
        <f t="shared" si="80"/>
        <v>#DIV/0!</v>
      </c>
      <c r="BE77" s="29" t="str">
        <f t="shared" si="80"/>
        <v>#DIV/0!</v>
      </c>
      <c r="BF77" s="29" t="str">
        <f t="shared" si="80"/>
        <v>#DIV/0!</v>
      </c>
      <c r="BG77" s="29" t="str">
        <f t="shared" si="80"/>
        <v>#DIV/0!</v>
      </c>
      <c r="BH77" s="29" t="str">
        <f t="shared" si="80"/>
        <v>#DIV/0!</v>
      </c>
      <c r="BI77" s="29" t="str">
        <f t="shared" si="80"/>
        <v>#DIV/0!</v>
      </c>
      <c r="BJ77" s="29" t="str">
        <f t="shared" si="80"/>
        <v>#DIV/0!</v>
      </c>
      <c r="BK77" s="29" t="str">
        <f t="shared" si="80"/>
        <v>#DIV/0!</v>
      </c>
      <c r="BL77" s="29" t="str">
        <f t="shared" si="80"/>
        <v>#DIV/0!</v>
      </c>
      <c r="BM77" s="29" t="str">
        <f t="shared" si="3"/>
        <v>#DIV/0!</v>
      </c>
    </row>
    <row r="78">
      <c r="A78" s="16" t="str">
        <f>IFERROR(__xludf.DUMMYFUNCTION("IFERROR(SPARKLINE(SORT(MAP(TRANSPOSE(AQ78:BL78), LAMBDA(val, IF(ISNUMBER(val), PERCENTRANK(AQ78:BL78, val)+0.01, 0))), SEQUENCE(COLUMNS(AQ78:BL78)), FALSE), {""charttype"",""column""; ""color"",""chartreuse""; ""ymin"", 0; ""ymax"", 1.01; ""highcolor"", "&amp;"""darkgreen""; ""lowcolor"", ""red""}), """")"),"")</f>
        <v/>
      </c>
      <c r="B78" s="17" t="str">
        <f t="shared" si="4"/>
        <v/>
      </c>
      <c r="C78" s="1" t="s">
        <v>387</v>
      </c>
      <c r="D78" s="30" t="str">
        <f>IFERROR(__xludf.DUMMYFUNCTION("IFERROR(GOOGLEFINANCE(C78, ""NAME""))"),"Darden Restaurants Inc")</f>
        <v>Darden Restaurants Inc</v>
      </c>
      <c r="E78" s="30" t="s">
        <v>126</v>
      </c>
      <c r="F78" s="33" t="str">
        <f>IFERROR(__xludf.DUMMYFUNCTION("( (GOOGLEFINANCE(C78, ""price"") - Q78) / Q78 ) / (R78 / 100)"),"Loading...")</f>
        <v>Loading...</v>
      </c>
      <c r="G78" s="20" t="str">
        <f>IFERROR(__xludf.DUMMYFUNCTION("AVERAGE(ARRAYFORMULA(100 * (QUERY(GOOGLEFINANCE(C78, ""high"", TODAY()-40, TODAY()), ""SELECT Col2 WHERE Col2 IS NOT NULL ORDER BY Col1 DESC LIMIT 20"", 0) / QUERY(GOOGLEFINANCE(C78, ""low"", TODAY()-40, TODAY()), ""SELECT Col2 WHERE Col2 IS NOT NULL ORDE"&amp;"R BY Col1 DESC LIMIT 20"", 0) - 1)))"),"#N/A")</f>
        <v>#N/A</v>
      </c>
      <c r="H78" s="35" t="str">
        <f t="shared" si="6"/>
        <v/>
      </c>
      <c r="I78" s="35" t="str">
        <f t="shared" si="7"/>
        <v/>
      </c>
      <c r="J78" s="37" t="str">
        <f>IFERROR(__xludf.DUMMYFUNCTION("IFERROR(
  IF(C78="""",, 
    IFERROR(
      GOOGLEFINANCE(C78, ""price"") * GOOGLEFINANCE(C78, ""volumeavg""), 
      GOOGLEFINANCE(C78, ""price"") * AVERAGE(QUERY(GOOGLEFINANCE(C78, ""volume"", TODAY()-40, TODAY()), ""SELECT Col2 WHERE Col2 IS NOT NULL "&amp;"ORDER BY Col1 DESC LIMIT 20"", 0))
    )
  ), 
"""")"),"")</f>
        <v/>
      </c>
      <c r="K78" s="21" t="str">
        <f>IFERROR(__xludf.DUMMYFUNCTION("IFERROR(GOOGLEFINANCE(C78, ""changepct"") / 100, """")"),"")</f>
        <v/>
      </c>
      <c r="L78" s="21" t="str">
        <f>IFERROR(__xludf.DUMMYFUNCTION("IFERROR((GOOGLEFINANCE(C78, ""price"") / INDEX(GOOGLEFINANCE(C78, ""price"", TODAY()-7, TODAY()), 2, 2)) - 1, """")"),"")</f>
        <v/>
      </c>
      <c r="M78" s="21" t="str">
        <f>IFERROR(__xludf.DUMMYFUNCTION("IFERROR((GOOGLEFINANCE(C78, ""price"") / INDEX(GOOGLEFINANCE(C78, ""price"", EDATE(TODAY(), -1), TODAY()), 2, 2)) - 1, """")"),"")</f>
        <v/>
      </c>
      <c r="N78" s="21" t="str">
        <f>IFERROR(__xludf.DUMMYFUNCTION("IFERROR((GOOGLEFINANCE(C78, ""price"") / INDEX(GOOGLEFINANCE(C78, ""price"", EDATE(TODAY(), -3), TODAY()), 2, 2)) - 1, """")"),"")</f>
        <v/>
      </c>
      <c r="O78" s="21" t="str">
        <f>IFERROR(__xludf.DUMMYFUNCTION("IFERROR((GOOGLEFINANCE(C78, ""price"") / INDEX(GOOGLEFINANCE(C78, ""price"", EDATE(TODAY(), -6), TODAY()), 2, 2)) - 1, """")"),"")</f>
        <v/>
      </c>
      <c r="P78" s="21" t="str">
        <f>IFERROR(__xludf.DUMMYFUNCTION("IFERROR((GOOGLEFINANCE(C78, ""price"") / INDEX(GOOGLEFINANCE(C78, ""price"", EDATE(TODAY(), -12), TODAY()), 2, 2)) - 1, """")"),"")</f>
        <v/>
      </c>
      <c r="Q78" s="6" t="str">
        <f>IFERROR(__xludf.DUMMYFUNCTION("AVERAGE(QUERY(GOOGLEFINANCE(C78, ""price"", TODAY()-80, TODAY()), ""SELECT Col2 WHERE Col2 IS NOT NULL ORDER BY Col1 DESC LIMIT 50"", 0))"),"#N/A")</f>
        <v>#N/A</v>
      </c>
      <c r="R78" s="24" t="str">
        <f>IFERROR(__xludf.DUMMYFUNCTION("IFERROR(
  LET(
    data, QUERY(GOOGLEFINANCE(C78,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GOOGLEFINANCE(C78, ""price"")) * 100,
    IF(calc=0, G78, calc)
  ), 
G78)"),"#N/A")</f>
        <v>#N/A</v>
      </c>
      <c r="S78" s="8" t="s">
        <v>15</v>
      </c>
      <c r="T78" s="26" t="str">
        <f>IFERROR(__xludf.DUMMYFUNCTION("IFERROR(TRANSPOSE(QUERY(IFERROR(SORT(GOOGLEFINANCE(C78, ""price"", WORKDAY(TODAY(), -40), TODAY()), 1, FALSE)), ""select Col2 where Col2 is not null limit 22 label Col2 ''"", 0)), """")"),"")</f>
        <v/>
      </c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8"/>
      <c r="AO78" s="28"/>
      <c r="AP78" s="29"/>
      <c r="AQ78" s="29" t="str">
        <f t="shared" ref="AQ78:BL78" si="81">T78/T$2</f>
        <v>#N/A</v>
      </c>
      <c r="AR78" s="29" t="str">
        <f t="shared" si="81"/>
        <v>#DIV/0!</v>
      </c>
      <c r="AS78" s="29" t="str">
        <f t="shared" si="81"/>
        <v>#DIV/0!</v>
      </c>
      <c r="AT78" s="29" t="str">
        <f t="shared" si="81"/>
        <v>#DIV/0!</v>
      </c>
      <c r="AU78" s="29" t="str">
        <f t="shared" si="81"/>
        <v>#DIV/0!</v>
      </c>
      <c r="AV78" s="29" t="str">
        <f t="shared" si="81"/>
        <v>#DIV/0!</v>
      </c>
      <c r="AW78" s="29" t="str">
        <f t="shared" si="81"/>
        <v>#DIV/0!</v>
      </c>
      <c r="AX78" s="29" t="str">
        <f t="shared" si="81"/>
        <v>#DIV/0!</v>
      </c>
      <c r="AY78" s="29" t="str">
        <f t="shared" si="81"/>
        <v>#DIV/0!</v>
      </c>
      <c r="AZ78" s="29" t="str">
        <f t="shared" si="81"/>
        <v>#DIV/0!</v>
      </c>
      <c r="BA78" s="29" t="str">
        <f t="shared" si="81"/>
        <v>#DIV/0!</v>
      </c>
      <c r="BB78" s="29" t="str">
        <f t="shared" si="81"/>
        <v>#DIV/0!</v>
      </c>
      <c r="BC78" s="29" t="str">
        <f t="shared" si="81"/>
        <v>#DIV/0!</v>
      </c>
      <c r="BD78" s="29" t="str">
        <f t="shared" si="81"/>
        <v>#DIV/0!</v>
      </c>
      <c r="BE78" s="29" t="str">
        <f t="shared" si="81"/>
        <v>#DIV/0!</v>
      </c>
      <c r="BF78" s="29" t="str">
        <f t="shared" si="81"/>
        <v>#DIV/0!</v>
      </c>
      <c r="BG78" s="29" t="str">
        <f t="shared" si="81"/>
        <v>#DIV/0!</v>
      </c>
      <c r="BH78" s="29" t="str">
        <f t="shared" si="81"/>
        <v>#DIV/0!</v>
      </c>
      <c r="BI78" s="29" t="str">
        <f t="shared" si="81"/>
        <v>#DIV/0!</v>
      </c>
      <c r="BJ78" s="29" t="str">
        <f t="shared" si="81"/>
        <v>#DIV/0!</v>
      </c>
      <c r="BK78" s="29" t="str">
        <f t="shared" si="81"/>
        <v>#DIV/0!</v>
      </c>
      <c r="BL78" s="29" t="str">
        <f t="shared" si="81"/>
        <v>#DIV/0!</v>
      </c>
      <c r="BM78" s="29" t="str">
        <f t="shared" si="3"/>
        <v>#DIV/0!</v>
      </c>
    </row>
    <row r="79">
      <c r="A79" s="16" t="str">
        <f>IFERROR(__xludf.DUMMYFUNCTION("IFERROR(SPARKLINE(SORT(MAP(TRANSPOSE(AQ79:BL79), LAMBDA(val, IF(ISNUMBER(val), PERCENTRANK(AQ79:BL79, val)+0.01, 0))), SEQUENCE(COLUMNS(AQ79:BL79)), FALSE), {""charttype"",""column""; ""color"",""chartreuse""; ""ymin"", 0; ""ymax"", 1.01; ""highcolor"", "&amp;"""darkgreen""; ""lowcolor"", ""red""}), """")"),"")</f>
        <v/>
      </c>
      <c r="B79" s="17" t="str">
        <f t="shared" si="4"/>
        <v/>
      </c>
      <c r="C79" s="1" t="s">
        <v>391</v>
      </c>
      <c r="D79" s="30" t="str">
        <f>IFERROR(__xludf.DUMMYFUNCTION("IFERROR(GOOGLEFINANCE(C79, ""NAME""))"),"Ardagh Metal Packaging SA")</f>
        <v>Ardagh Metal Packaging SA</v>
      </c>
      <c r="E79" s="30" t="s">
        <v>195</v>
      </c>
      <c r="F79" s="33" t="str">
        <f>IFERROR(__xludf.DUMMYFUNCTION("( (GOOGLEFINANCE(C79, ""price"") - Q79) / Q79 ) / (R79 / 100)"),"Loading...")</f>
        <v>Loading...</v>
      </c>
      <c r="G79" s="20" t="str">
        <f>IFERROR(__xludf.DUMMYFUNCTION("AVERAGE(ARRAYFORMULA(100 * (QUERY(GOOGLEFINANCE(C79, ""high"", TODAY()-40, TODAY()), ""SELECT Col2 WHERE Col2 IS NOT NULL ORDER BY Col1 DESC LIMIT 20"", 0) / QUERY(GOOGLEFINANCE(C79, ""low"", TODAY()-40, TODAY()), ""SELECT Col2 WHERE Col2 IS NOT NULL ORDE"&amp;"R BY Col1 DESC LIMIT 20"", 0) - 1)))"),"#N/A")</f>
        <v>#N/A</v>
      </c>
      <c r="H79" s="35" t="str">
        <f t="shared" si="6"/>
        <v/>
      </c>
      <c r="I79" s="35" t="str">
        <f t="shared" si="7"/>
        <v/>
      </c>
      <c r="J79" s="37" t="str">
        <f>IFERROR(__xludf.DUMMYFUNCTION("IFERROR(
  IF(C79="""",, 
    IFERROR(
      GOOGLEFINANCE(C79, ""price"") * GOOGLEFINANCE(C79, ""volumeavg""), 
      GOOGLEFINANCE(C79, ""price"") * AVERAGE(QUERY(GOOGLEFINANCE(C79, ""volume"", TODAY()-40, TODAY()), ""SELECT Col2 WHERE Col2 IS NOT NULL "&amp;"ORDER BY Col1 DESC LIMIT 20"", 0))
    )
  ), 
"""")"),"")</f>
        <v/>
      </c>
      <c r="K79" s="21" t="str">
        <f>IFERROR(__xludf.DUMMYFUNCTION("IFERROR(GOOGLEFINANCE(C79, ""changepct"") / 100, """")"),"")</f>
        <v/>
      </c>
      <c r="L79" s="21" t="str">
        <f>IFERROR(__xludf.DUMMYFUNCTION("IFERROR((GOOGLEFINANCE(C79, ""price"") / INDEX(GOOGLEFINANCE(C79, ""price"", TODAY()-7, TODAY()), 2, 2)) - 1, """")"),"")</f>
        <v/>
      </c>
      <c r="M79" s="21" t="str">
        <f>IFERROR(__xludf.DUMMYFUNCTION("IFERROR((GOOGLEFINANCE(C79, ""price"") / INDEX(GOOGLEFINANCE(C79, ""price"", EDATE(TODAY(), -1), TODAY()), 2, 2)) - 1, """")"),"")</f>
        <v/>
      </c>
      <c r="N79" s="21" t="str">
        <f>IFERROR(__xludf.DUMMYFUNCTION("IFERROR((GOOGLEFINANCE(C79, ""price"") / INDEX(GOOGLEFINANCE(C79, ""price"", EDATE(TODAY(), -3), TODAY()), 2, 2)) - 1, """")"),"")</f>
        <v/>
      </c>
      <c r="O79" s="21" t="str">
        <f>IFERROR(__xludf.DUMMYFUNCTION("IFERROR((GOOGLEFINANCE(C79, ""price"") / INDEX(GOOGLEFINANCE(C79, ""price"", EDATE(TODAY(), -6), TODAY()), 2, 2)) - 1, """")"),"")</f>
        <v/>
      </c>
      <c r="P79" s="21" t="str">
        <f>IFERROR(__xludf.DUMMYFUNCTION("IFERROR((GOOGLEFINANCE(C79, ""price"") / INDEX(GOOGLEFINANCE(C79, ""price"", EDATE(TODAY(), -12), TODAY()), 2, 2)) - 1, """")"),"")</f>
        <v/>
      </c>
      <c r="Q79" s="6" t="str">
        <f>IFERROR(__xludf.DUMMYFUNCTION("AVERAGE(QUERY(GOOGLEFINANCE(C79, ""price"", TODAY()-80, TODAY()), ""SELECT Col2 WHERE Col2 IS NOT NULL ORDER BY Col1 DESC LIMIT 50"", 0))"),"#N/A")</f>
        <v>#N/A</v>
      </c>
      <c r="R79" s="24" t="str">
        <f>IFERROR(__xludf.DUMMYFUNCTION("IFERROR(
  LET(
    data, QUERY(GOOGLEFINANCE(C79,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GOOGLEFINANCE(C79, ""price"")) * 100,
    IF(calc=0, G79, calc)
  ), 
G79)"),"#N/A")</f>
        <v>#N/A</v>
      </c>
      <c r="S79" s="8" t="s">
        <v>15</v>
      </c>
      <c r="T79" s="26" t="str">
        <f>IFERROR(__xludf.DUMMYFUNCTION("IFERROR(TRANSPOSE(QUERY(IFERROR(SORT(GOOGLEFINANCE(C79, ""price"", WORKDAY(TODAY(), -40), TODAY()), 1, FALSE)), ""select Col2 where Col2 is not null limit 22 label Col2 ''"", 0)), """")"),"")</f>
        <v/>
      </c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8"/>
      <c r="AO79" s="28"/>
      <c r="AP79" s="29"/>
      <c r="AQ79" s="29" t="str">
        <f t="shared" ref="AQ79:BL79" si="82">T79/T$2</f>
        <v>#N/A</v>
      </c>
      <c r="AR79" s="29" t="str">
        <f t="shared" si="82"/>
        <v>#DIV/0!</v>
      </c>
      <c r="AS79" s="29" t="str">
        <f t="shared" si="82"/>
        <v>#DIV/0!</v>
      </c>
      <c r="AT79" s="29" t="str">
        <f t="shared" si="82"/>
        <v>#DIV/0!</v>
      </c>
      <c r="AU79" s="29" t="str">
        <f t="shared" si="82"/>
        <v>#DIV/0!</v>
      </c>
      <c r="AV79" s="29" t="str">
        <f t="shared" si="82"/>
        <v>#DIV/0!</v>
      </c>
      <c r="AW79" s="29" t="str">
        <f t="shared" si="82"/>
        <v>#DIV/0!</v>
      </c>
      <c r="AX79" s="29" t="str">
        <f t="shared" si="82"/>
        <v>#DIV/0!</v>
      </c>
      <c r="AY79" s="29" t="str">
        <f t="shared" si="82"/>
        <v>#DIV/0!</v>
      </c>
      <c r="AZ79" s="29" t="str">
        <f t="shared" si="82"/>
        <v>#DIV/0!</v>
      </c>
      <c r="BA79" s="29" t="str">
        <f t="shared" si="82"/>
        <v>#DIV/0!</v>
      </c>
      <c r="BB79" s="29" t="str">
        <f t="shared" si="82"/>
        <v>#DIV/0!</v>
      </c>
      <c r="BC79" s="29" t="str">
        <f t="shared" si="82"/>
        <v>#DIV/0!</v>
      </c>
      <c r="BD79" s="29" t="str">
        <f t="shared" si="82"/>
        <v>#DIV/0!</v>
      </c>
      <c r="BE79" s="29" t="str">
        <f t="shared" si="82"/>
        <v>#DIV/0!</v>
      </c>
      <c r="BF79" s="29" t="str">
        <f t="shared" si="82"/>
        <v>#DIV/0!</v>
      </c>
      <c r="BG79" s="29" t="str">
        <f t="shared" si="82"/>
        <v>#DIV/0!</v>
      </c>
      <c r="BH79" s="29" t="str">
        <f t="shared" si="82"/>
        <v>#DIV/0!</v>
      </c>
      <c r="BI79" s="29" t="str">
        <f t="shared" si="82"/>
        <v>#DIV/0!</v>
      </c>
      <c r="BJ79" s="29" t="str">
        <f t="shared" si="82"/>
        <v>#DIV/0!</v>
      </c>
      <c r="BK79" s="29" t="str">
        <f t="shared" si="82"/>
        <v>#DIV/0!</v>
      </c>
      <c r="BL79" s="29" t="str">
        <f t="shared" si="82"/>
        <v>#DIV/0!</v>
      </c>
      <c r="BM79" s="29" t="str">
        <f t="shared" si="3"/>
        <v>#DIV/0!</v>
      </c>
    </row>
    <row r="80">
      <c r="A80" s="16" t="str">
        <f>IFERROR(__xludf.DUMMYFUNCTION("IFERROR(SPARKLINE(SORT(MAP(TRANSPOSE(AQ80:BL80), LAMBDA(val, IF(ISNUMBER(val), PERCENTRANK(AQ80:BL80, val)+0.01, 0))), SEQUENCE(COLUMNS(AQ80:BL80)), FALSE), {""charttype"",""column""; ""color"",""chartreuse""; ""ymin"", 0; ""ymax"", 1.01; ""highcolor"", "&amp;"""darkgreen""; ""lowcolor"", ""red""}), """")"),"")</f>
        <v/>
      </c>
      <c r="B80" s="17" t="str">
        <f t="shared" si="4"/>
        <v/>
      </c>
      <c r="C80" s="1" t="s">
        <v>395</v>
      </c>
      <c r="D80" s="30" t="str">
        <f>IFERROR(__xludf.DUMMYFUNCTION("IFERROR(GOOGLEFINANCE(C80, ""NAME""))"),"Madison Square Garden Entertainment Corp")</f>
        <v>Madison Square Garden Entertainment Corp</v>
      </c>
      <c r="E80" s="30" t="s">
        <v>158</v>
      </c>
      <c r="F80" s="33" t="str">
        <f>IFERROR(__xludf.DUMMYFUNCTION("( (GOOGLEFINANCE(C80, ""price"") - Q80) / Q80 ) / (R80 / 100)"),"Loading...")</f>
        <v>Loading...</v>
      </c>
      <c r="G80" s="20" t="str">
        <f>IFERROR(__xludf.DUMMYFUNCTION("AVERAGE(ARRAYFORMULA(100 * (QUERY(GOOGLEFINANCE(C80, ""high"", TODAY()-40, TODAY()), ""SELECT Col2 WHERE Col2 IS NOT NULL ORDER BY Col1 DESC LIMIT 20"", 0) / QUERY(GOOGLEFINANCE(C80, ""low"", TODAY()-40, TODAY()), ""SELECT Col2 WHERE Col2 IS NOT NULL ORDE"&amp;"R BY Col1 DESC LIMIT 20"", 0) - 1)))"),"#N/A")</f>
        <v>#N/A</v>
      </c>
      <c r="H80" s="35" t="str">
        <f t="shared" si="6"/>
        <v/>
      </c>
      <c r="I80" s="35" t="str">
        <f t="shared" si="7"/>
        <v/>
      </c>
      <c r="J80" s="37" t="str">
        <f>IFERROR(__xludf.DUMMYFUNCTION("IFERROR(
  IF(C80="""",, 
    IFERROR(
      GOOGLEFINANCE(C80, ""price"") * GOOGLEFINANCE(C80, ""volumeavg""), 
      GOOGLEFINANCE(C80, ""price"") * AVERAGE(QUERY(GOOGLEFINANCE(C80, ""volume"", TODAY()-40, TODAY()), ""SELECT Col2 WHERE Col2 IS NOT NULL "&amp;"ORDER BY Col1 DESC LIMIT 20"", 0))
    )
  ), 
"""")"),"")</f>
        <v/>
      </c>
      <c r="K80" s="21" t="str">
        <f>IFERROR(__xludf.DUMMYFUNCTION("IFERROR(GOOGLEFINANCE(C80, ""changepct"") / 100, """")"),"")</f>
        <v/>
      </c>
      <c r="L80" s="21" t="str">
        <f>IFERROR(__xludf.DUMMYFUNCTION("IFERROR((GOOGLEFINANCE(C80, ""price"") / INDEX(GOOGLEFINANCE(C80, ""price"", TODAY()-7, TODAY()), 2, 2)) - 1, """")"),"")</f>
        <v/>
      </c>
      <c r="M80" s="21" t="str">
        <f>IFERROR(__xludf.DUMMYFUNCTION("IFERROR((GOOGLEFINANCE(C80, ""price"") / INDEX(GOOGLEFINANCE(C80, ""price"", EDATE(TODAY(), -1), TODAY()), 2, 2)) - 1, """")"),"")</f>
        <v/>
      </c>
      <c r="N80" s="21" t="str">
        <f>IFERROR(__xludf.DUMMYFUNCTION("IFERROR((GOOGLEFINANCE(C80, ""price"") / INDEX(GOOGLEFINANCE(C80, ""price"", EDATE(TODAY(), -3), TODAY()), 2, 2)) - 1, """")"),"")</f>
        <v/>
      </c>
      <c r="O80" s="21" t="str">
        <f>IFERROR(__xludf.DUMMYFUNCTION("IFERROR((GOOGLEFINANCE(C80, ""price"") / INDEX(GOOGLEFINANCE(C80, ""price"", EDATE(TODAY(), -6), TODAY()), 2, 2)) - 1, """")"),"")</f>
        <v/>
      </c>
      <c r="P80" s="21" t="str">
        <f>IFERROR(__xludf.DUMMYFUNCTION("IFERROR((GOOGLEFINANCE(C80, ""price"") / INDEX(GOOGLEFINANCE(C80, ""price"", EDATE(TODAY(), -12), TODAY()), 2, 2)) - 1, """")"),"")</f>
        <v/>
      </c>
      <c r="Q80" s="6" t="str">
        <f>IFERROR(__xludf.DUMMYFUNCTION("AVERAGE(QUERY(GOOGLEFINANCE(C80, ""price"", TODAY()-80, TODAY()), ""SELECT Col2 WHERE Col2 IS NOT NULL ORDER BY Col1 DESC LIMIT 50"", 0))"),"#N/A")</f>
        <v>#N/A</v>
      </c>
      <c r="R80" s="24" t="str">
        <f>IFERROR(__xludf.DUMMYFUNCTION("IFERROR(
  LET(
    data, QUERY(GOOGLEFINANCE(C80,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GOOGLEFINANCE(C80, ""price"")) * 100,
    IF(calc=0, G80, calc)
  ), 
G80)"),"#N/A")</f>
        <v>#N/A</v>
      </c>
      <c r="S80" s="8" t="s">
        <v>15</v>
      </c>
      <c r="T80" s="26" t="str">
        <f>IFERROR(__xludf.DUMMYFUNCTION("IFERROR(TRANSPOSE(QUERY(IFERROR(SORT(GOOGLEFINANCE(C80, ""price"", WORKDAY(TODAY(), -40), TODAY()), 1, FALSE)), ""select Col2 where Col2 is not null limit 22 label Col2 ''"", 0)), """")"),"")</f>
        <v/>
      </c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8"/>
      <c r="AO80" s="28"/>
      <c r="AP80" s="29"/>
      <c r="AQ80" s="29" t="str">
        <f t="shared" ref="AQ80:BL80" si="83">T80/T$2</f>
        <v>#N/A</v>
      </c>
      <c r="AR80" s="29" t="str">
        <f t="shared" si="83"/>
        <v>#DIV/0!</v>
      </c>
      <c r="AS80" s="29" t="str">
        <f t="shared" si="83"/>
        <v>#DIV/0!</v>
      </c>
      <c r="AT80" s="29" t="str">
        <f t="shared" si="83"/>
        <v>#DIV/0!</v>
      </c>
      <c r="AU80" s="29" t="str">
        <f t="shared" si="83"/>
        <v>#DIV/0!</v>
      </c>
      <c r="AV80" s="29" t="str">
        <f t="shared" si="83"/>
        <v>#DIV/0!</v>
      </c>
      <c r="AW80" s="29" t="str">
        <f t="shared" si="83"/>
        <v>#DIV/0!</v>
      </c>
      <c r="AX80" s="29" t="str">
        <f t="shared" si="83"/>
        <v>#DIV/0!</v>
      </c>
      <c r="AY80" s="29" t="str">
        <f t="shared" si="83"/>
        <v>#DIV/0!</v>
      </c>
      <c r="AZ80" s="29" t="str">
        <f t="shared" si="83"/>
        <v>#DIV/0!</v>
      </c>
      <c r="BA80" s="29" t="str">
        <f t="shared" si="83"/>
        <v>#DIV/0!</v>
      </c>
      <c r="BB80" s="29" t="str">
        <f t="shared" si="83"/>
        <v>#DIV/0!</v>
      </c>
      <c r="BC80" s="29" t="str">
        <f t="shared" si="83"/>
        <v>#DIV/0!</v>
      </c>
      <c r="BD80" s="29" t="str">
        <f t="shared" si="83"/>
        <v>#DIV/0!</v>
      </c>
      <c r="BE80" s="29" t="str">
        <f t="shared" si="83"/>
        <v>#DIV/0!</v>
      </c>
      <c r="BF80" s="29" t="str">
        <f t="shared" si="83"/>
        <v>#DIV/0!</v>
      </c>
      <c r="BG80" s="29" t="str">
        <f t="shared" si="83"/>
        <v>#DIV/0!</v>
      </c>
      <c r="BH80" s="29" t="str">
        <f t="shared" si="83"/>
        <v>#DIV/0!</v>
      </c>
      <c r="BI80" s="29" t="str">
        <f t="shared" si="83"/>
        <v>#DIV/0!</v>
      </c>
      <c r="BJ80" s="29" t="str">
        <f t="shared" si="83"/>
        <v>#DIV/0!</v>
      </c>
      <c r="BK80" s="29" t="str">
        <f t="shared" si="83"/>
        <v>#DIV/0!</v>
      </c>
      <c r="BL80" s="29" t="str">
        <f t="shared" si="83"/>
        <v>#DIV/0!</v>
      </c>
      <c r="BM80" s="29" t="str">
        <f t="shared" si="3"/>
        <v>#DIV/0!</v>
      </c>
    </row>
    <row r="81">
      <c r="A81" s="16" t="str">
        <f>IFERROR(__xludf.DUMMYFUNCTION("IFERROR(SPARKLINE(SORT(MAP(TRANSPOSE(AQ81:BL81), LAMBDA(val, IF(ISNUMBER(val), PERCENTRANK(AQ81:BL81, val)+0.01, 0))), SEQUENCE(COLUMNS(AQ81:BL81)), FALSE), {""charttype"",""column""; ""color"",""chartreuse""; ""ymin"", 0; ""ymax"", 1.01; ""highcolor"", "&amp;"""darkgreen""; ""lowcolor"", ""red""}), """")"),"")</f>
        <v/>
      </c>
      <c r="B81" s="17" t="str">
        <f t="shared" si="4"/>
        <v/>
      </c>
      <c r="C81" s="1" t="s">
        <v>399</v>
      </c>
      <c r="D81" s="30" t="str">
        <f>IFERROR(__xludf.DUMMYFUNCTION("IFERROR(GOOGLEFINANCE(C81, ""NAME""))"),"Packaging Corp Of America")</f>
        <v>Packaging Corp Of America</v>
      </c>
      <c r="E81" s="30" t="s">
        <v>195</v>
      </c>
      <c r="F81" s="33" t="str">
        <f>IFERROR(__xludf.DUMMYFUNCTION("( (GOOGLEFINANCE(C81, ""price"") - Q81) / Q81 ) / (R81 / 100)"),"Loading...")</f>
        <v>Loading...</v>
      </c>
      <c r="G81" s="20" t="str">
        <f>IFERROR(__xludf.DUMMYFUNCTION("AVERAGE(ARRAYFORMULA(100 * (QUERY(GOOGLEFINANCE(C81, ""high"", TODAY()-40, TODAY()), ""SELECT Col2 WHERE Col2 IS NOT NULL ORDER BY Col1 DESC LIMIT 20"", 0) / QUERY(GOOGLEFINANCE(C81, ""low"", TODAY()-40, TODAY()), ""SELECT Col2 WHERE Col2 IS NOT NULL ORDE"&amp;"R BY Col1 DESC LIMIT 20"", 0) - 1)))"),"#N/A")</f>
        <v>#N/A</v>
      </c>
      <c r="H81" s="35" t="str">
        <f t="shared" si="6"/>
        <v/>
      </c>
      <c r="I81" s="35" t="str">
        <f t="shared" si="7"/>
        <v/>
      </c>
      <c r="J81" s="37" t="str">
        <f>IFERROR(__xludf.DUMMYFUNCTION("IFERROR(
  IF(C81="""",, 
    IFERROR(
      GOOGLEFINANCE(C81, ""price"") * GOOGLEFINANCE(C81, ""volumeavg""), 
      GOOGLEFINANCE(C81, ""price"") * AVERAGE(QUERY(GOOGLEFINANCE(C81, ""volume"", TODAY()-40, TODAY()), ""SELECT Col2 WHERE Col2 IS NOT NULL "&amp;"ORDER BY Col1 DESC LIMIT 20"", 0))
    )
  ), 
"""")"),"")</f>
        <v/>
      </c>
      <c r="K81" s="21" t="str">
        <f>IFERROR(__xludf.DUMMYFUNCTION("IFERROR(GOOGLEFINANCE(C81, ""changepct"") / 100, """")"),"")</f>
        <v/>
      </c>
      <c r="L81" s="21" t="str">
        <f>IFERROR(__xludf.DUMMYFUNCTION("IFERROR((GOOGLEFINANCE(C81, ""price"") / INDEX(GOOGLEFINANCE(C81, ""price"", TODAY()-7, TODAY()), 2, 2)) - 1, """")"),"")</f>
        <v/>
      </c>
      <c r="M81" s="21" t="str">
        <f>IFERROR(__xludf.DUMMYFUNCTION("IFERROR((GOOGLEFINANCE(C81, ""price"") / INDEX(GOOGLEFINANCE(C81, ""price"", EDATE(TODAY(), -1), TODAY()), 2, 2)) - 1, """")"),"")</f>
        <v/>
      </c>
      <c r="N81" s="21" t="str">
        <f>IFERROR(__xludf.DUMMYFUNCTION("IFERROR((GOOGLEFINANCE(C81, ""price"") / INDEX(GOOGLEFINANCE(C81, ""price"", EDATE(TODAY(), -3), TODAY()), 2, 2)) - 1, """")"),"")</f>
        <v/>
      </c>
      <c r="O81" s="21" t="str">
        <f>IFERROR(__xludf.DUMMYFUNCTION("IFERROR((GOOGLEFINANCE(C81, ""price"") / INDEX(GOOGLEFINANCE(C81, ""price"", EDATE(TODAY(), -6), TODAY()), 2, 2)) - 1, """")"),"")</f>
        <v/>
      </c>
      <c r="P81" s="21" t="str">
        <f>IFERROR(__xludf.DUMMYFUNCTION("IFERROR((GOOGLEFINANCE(C81, ""price"") / INDEX(GOOGLEFINANCE(C81, ""price"", EDATE(TODAY(), -12), TODAY()), 2, 2)) - 1, """")"),"")</f>
        <v/>
      </c>
      <c r="Q81" s="6" t="str">
        <f>IFERROR(__xludf.DUMMYFUNCTION("AVERAGE(QUERY(GOOGLEFINANCE(C81, ""price"", TODAY()-80, TODAY()), ""SELECT Col2 WHERE Col2 IS NOT NULL ORDER BY Col1 DESC LIMIT 50"", 0))"),"#N/A")</f>
        <v>#N/A</v>
      </c>
      <c r="R81" s="24" t="str">
        <f>IFERROR(__xludf.DUMMYFUNCTION("IFERROR(
  LET(
    data, QUERY(GOOGLEFINANCE(C81,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GOOGLEFINANCE(C81, ""price"")) * 100,
    IF(calc=0, G81, calc)
  ), 
G81)"),"#N/A")</f>
        <v>#N/A</v>
      </c>
      <c r="S81" s="8" t="s">
        <v>15</v>
      </c>
      <c r="T81" s="26" t="str">
        <f>IFERROR(__xludf.DUMMYFUNCTION("IFERROR(TRANSPOSE(QUERY(IFERROR(SORT(GOOGLEFINANCE(C81, ""price"", WORKDAY(TODAY(), -40), TODAY()), 1, FALSE)), ""select Col2 where Col2 is not null limit 22 label Col2 ''"", 0)), """")"),"")</f>
        <v/>
      </c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8"/>
      <c r="AO81" s="28"/>
      <c r="AP81" s="29"/>
      <c r="AQ81" s="29" t="str">
        <f t="shared" ref="AQ81:BL81" si="84">T81/T$2</f>
        <v>#N/A</v>
      </c>
      <c r="AR81" s="29" t="str">
        <f t="shared" si="84"/>
        <v>#DIV/0!</v>
      </c>
      <c r="AS81" s="29" t="str">
        <f t="shared" si="84"/>
        <v>#DIV/0!</v>
      </c>
      <c r="AT81" s="29" t="str">
        <f t="shared" si="84"/>
        <v>#DIV/0!</v>
      </c>
      <c r="AU81" s="29" t="str">
        <f t="shared" si="84"/>
        <v>#DIV/0!</v>
      </c>
      <c r="AV81" s="29" t="str">
        <f t="shared" si="84"/>
        <v>#DIV/0!</v>
      </c>
      <c r="AW81" s="29" t="str">
        <f t="shared" si="84"/>
        <v>#DIV/0!</v>
      </c>
      <c r="AX81" s="29" t="str">
        <f t="shared" si="84"/>
        <v>#DIV/0!</v>
      </c>
      <c r="AY81" s="29" t="str">
        <f t="shared" si="84"/>
        <v>#DIV/0!</v>
      </c>
      <c r="AZ81" s="29" t="str">
        <f t="shared" si="84"/>
        <v>#DIV/0!</v>
      </c>
      <c r="BA81" s="29" t="str">
        <f t="shared" si="84"/>
        <v>#DIV/0!</v>
      </c>
      <c r="BB81" s="29" t="str">
        <f t="shared" si="84"/>
        <v>#DIV/0!</v>
      </c>
      <c r="BC81" s="29" t="str">
        <f t="shared" si="84"/>
        <v>#DIV/0!</v>
      </c>
      <c r="BD81" s="29" t="str">
        <f t="shared" si="84"/>
        <v>#DIV/0!</v>
      </c>
      <c r="BE81" s="29" t="str">
        <f t="shared" si="84"/>
        <v>#DIV/0!</v>
      </c>
      <c r="BF81" s="29" t="str">
        <f t="shared" si="84"/>
        <v>#DIV/0!</v>
      </c>
      <c r="BG81" s="29" t="str">
        <f t="shared" si="84"/>
        <v>#DIV/0!</v>
      </c>
      <c r="BH81" s="29" t="str">
        <f t="shared" si="84"/>
        <v>#DIV/0!</v>
      </c>
      <c r="BI81" s="29" t="str">
        <f t="shared" si="84"/>
        <v>#DIV/0!</v>
      </c>
      <c r="BJ81" s="29" t="str">
        <f t="shared" si="84"/>
        <v>#DIV/0!</v>
      </c>
      <c r="BK81" s="29" t="str">
        <f t="shared" si="84"/>
        <v>#DIV/0!</v>
      </c>
      <c r="BL81" s="29" t="str">
        <f t="shared" si="84"/>
        <v>#DIV/0!</v>
      </c>
      <c r="BM81" s="29" t="str">
        <f t="shared" si="3"/>
        <v>#DIV/0!</v>
      </c>
    </row>
    <row r="82">
      <c r="A82" s="16" t="str">
        <f>IFERROR(__xludf.DUMMYFUNCTION("IFERROR(SPARKLINE(SORT(MAP(TRANSPOSE(AQ82:BL82), LAMBDA(val, IF(ISNUMBER(val), PERCENTRANK(AQ82:BL82, val)+0.01, 0))), SEQUENCE(COLUMNS(AQ82:BL82)), FALSE), {""charttype"",""column""; ""color"",""chartreuse""; ""ymin"", 0; ""ymax"", 1.01; ""highcolor"", "&amp;"""darkgreen""; ""lowcolor"", ""red""}), """")"),"")</f>
        <v/>
      </c>
      <c r="B82" s="17" t="str">
        <f t="shared" si="4"/>
        <v/>
      </c>
      <c r="C82" s="1" t="s">
        <v>403</v>
      </c>
      <c r="D82" s="30" t="str">
        <f>IFERROR(__xludf.DUMMYFUNCTION("IFERROR(GOOGLEFINANCE(C82, ""NAME""))"),"LGI Homes Inc")</f>
        <v>LGI Homes Inc</v>
      </c>
      <c r="E82" s="30" t="s">
        <v>261</v>
      </c>
      <c r="F82" s="33" t="str">
        <f>IFERROR(__xludf.DUMMYFUNCTION("( (GOOGLEFINANCE(C82, ""price"") - Q82) / Q82 ) / (R82 / 100)"),"Loading...")</f>
        <v>Loading...</v>
      </c>
      <c r="G82" s="20" t="str">
        <f>IFERROR(__xludf.DUMMYFUNCTION("AVERAGE(ARRAYFORMULA(100 * (QUERY(GOOGLEFINANCE(C82, ""high"", TODAY()-40, TODAY()), ""SELECT Col2 WHERE Col2 IS NOT NULL ORDER BY Col1 DESC LIMIT 20"", 0) / QUERY(GOOGLEFINANCE(C82, ""low"", TODAY()-40, TODAY()), ""SELECT Col2 WHERE Col2 IS NOT NULL ORDE"&amp;"R BY Col1 DESC LIMIT 20"", 0) - 1)))"),"#N/A")</f>
        <v>#N/A</v>
      </c>
      <c r="H82" s="35" t="str">
        <f t="shared" si="6"/>
        <v/>
      </c>
      <c r="I82" s="35" t="str">
        <f t="shared" si="7"/>
        <v/>
      </c>
      <c r="J82" s="37" t="str">
        <f>IFERROR(__xludf.DUMMYFUNCTION("IFERROR(
  IF(C82="""",, 
    IFERROR(
      GOOGLEFINANCE(C82, ""price"") * GOOGLEFINANCE(C82, ""volumeavg""), 
      GOOGLEFINANCE(C82, ""price"") * AVERAGE(QUERY(GOOGLEFINANCE(C82, ""volume"", TODAY()-40, TODAY()), ""SELECT Col2 WHERE Col2 IS NOT NULL "&amp;"ORDER BY Col1 DESC LIMIT 20"", 0))
    )
  ), 
"""")"),"")</f>
        <v/>
      </c>
      <c r="K82" s="21" t="str">
        <f>IFERROR(__xludf.DUMMYFUNCTION("IFERROR(GOOGLEFINANCE(C82, ""changepct"") / 100, """")"),"")</f>
        <v/>
      </c>
      <c r="L82" s="21" t="str">
        <f>IFERROR(__xludf.DUMMYFUNCTION("IFERROR((GOOGLEFINANCE(C82, ""price"") / INDEX(GOOGLEFINANCE(C82, ""price"", TODAY()-7, TODAY()), 2, 2)) - 1, """")"),"")</f>
        <v/>
      </c>
      <c r="M82" s="21" t="str">
        <f>IFERROR(__xludf.DUMMYFUNCTION("IFERROR((GOOGLEFINANCE(C82, ""price"") / INDEX(GOOGLEFINANCE(C82, ""price"", EDATE(TODAY(), -1), TODAY()), 2, 2)) - 1, """")"),"")</f>
        <v/>
      </c>
      <c r="N82" s="21" t="str">
        <f>IFERROR(__xludf.DUMMYFUNCTION("IFERROR((GOOGLEFINANCE(C82, ""price"") / INDEX(GOOGLEFINANCE(C82, ""price"", EDATE(TODAY(), -3), TODAY()), 2, 2)) - 1, """")"),"")</f>
        <v/>
      </c>
      <c r="O82" s="21" t="str">
        <f>IFERROR(__xludf.DUMMYFUNCTION("IFERROR((GOOGLEFINANCE(C82, ""price"") / INDEX(GOOGLEFINANCE(C82, ""price"", EDATE(TODAY(), -6), TODAY()), 2, 2)) - 1, """")"),"")</f>
        <v/>
      </c>
      <c r="P82" s="21" t="str">
        <f>IFERROR(__xludf.DUMMYFUNCTION("IFERROR((GOOGLEFINANCE(C82, ""price"") / INDEX(GOOGLEFINANCE(C82, ""price"", EDATE(TODAY(), -12), TODAY()), 2, 2)) - 1, """")"),"")</f>
        <v/>
      </c>
      <c r="Q82" s="6" t="str">
        <f>IFERROR(__xludf.DUMMYFUNCTION("AVERAGE(QUERY(GOOGLEFINANCE(C82, ""price"", TODAY()-80, TODAY()), ""SELECT Col2 WHERE Col2 IS NOT NULL ORDER BY Col1 DESC LIMIT 50"", 0))"),"#N/A")</f>
        <v>#N/A</v>
      </c>
      <c r="R82" s="24" t="str">
        <f>IFERROR(__xludf.DUMMYFUNCTION("IFERROR(
  LET(
    data, QUERY(GOOGLEFINANCE(C82,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GOOGLEFINANCE(C82, ""price"")) * 100,
    IF(calc=0, G82, calc)
  ), 
G82)"),"#N/A")</f>
        <v>#N/A</v>
      </c>
      <c r="S82" s="8" t="s">
        <v>15</v>
      </c>
      <c r="T82" s="26" t="str">
        <f>IFERROR(__xludf.DUMMYFUNCTION("IFERROR(TRANSPOSE(QUERY(IFERROR(SORT(GOOGLEFINANCE(C82, ""price"", WORKDAY(TODAY(), -40), TODAY()), 1, FALSE)), ""select Col2 where Col2 is not null limit 22 label Col2 ''"", 0)), """")"),"")</f>
        <v/>
      </c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8"/>
      <c r="AO82" s="28"/>
      <c r="AP82" s="29"/>
      <c r="AQ82" s="29" t="str">
        <f t="shared" ref="AQ82:BL82" si="85">T82/T$2</f>
        <v>#N/A</v>
      </c>
      <c r="AR82" s="29" t="str">
        <f t="shared" si="85"/>
        <v>#DIV/0!</v>
      </c>
      <c r="AS82" s="29" t="str">
        <f t="shared" si="85"/>
        <v>#DIV/0!</v>
      </c>
      <c r="AT82" s="29" t="str">
        <f t="shared" si="85"/>
        <v>#DIV/0!</v>
      </c>
      <c r="AU82" s="29" t="str">
        <f t="shared" si="85"/>
        <v>#DIV/0!</v>
      </c>
      <c r="AV82" s="29" t="str">
        <f t="shared" si="85"/>
        <v>#DIV/0!</v>
      </c>
      <c r="AW82" s="29" t="str">
        <f t="shared" si="85"/>
        <v>#DIV/0!</v>
      </c>
      <c r="AX82" s="29" t="str">
        <f t="shared" si="85"/>
        <v>#DIV/0!</v>
      </c>
      <c r="AY82" s="29" t="str">
        <f t="shared" si="85"/>
        <v>#DIV/0!</v>
      </c>
      <c r="AZ82" s="29" t="str">
        <f t="shared" si="85"/>
        <v>#DIV/0!</v>
      </c>
      <c r="BA82" s="29" t="str">
        <f t="shared" si="85"/>
        <v>#DIV/0!</v>
      </c>
      <c r="BB82" s="29" t="str">
        <f t="shared" si="85"/>
        <v>#DIV/0!</v>
      </c>
      <c r="BC82" s="29" t="str">
        <f t="shared" si="85"/>
        <v>#DIV/0!</v>
      </c>
      <c r="BD82" s="29" t="str">
        <f t="shared" si="85"/>
        <v>#DIV/0!</v>
      </c>
      <c r="BE82" s="29" t="str">
        <f t="shared" si="85"/>
        <v>#DIV/0!</v>
      </c>
      <c r="BF82" s="29" t="str">
        <f t="shared" si="85"/>
        <v>#DIV/0!</v>
      </c>
      <c r="BG82" s="29" t="str">
        <f t="shared" si="85"/>
        <v>#DIV/0!</v>
      </c>
      <c r="BH82" s="29" t="str">
        <f t="shared" si="85"/>
        <v>#DIV/0!</v>
      </c>
      <c r="BI82" s="29" t="str">
        <f t="shared" si="85"/>
        <v>#DIV/0!</v>
      </c>
      <c r="BJ82" s="29" t="str">
        <f t="shared" si="85"/>
        <v>#DIV/0!</v>
      </c>
      <c r="BK82" s="29" t="str">
        <f t="shared" si="85"/>
        <v>#DIV/0!</v>
      </c>
      <c r="BL82" s="29" t="str">
        <f t="shared" si="85"/>
        <v>#DIV/0!</v>
      </c>
      <c r="BM82" s="29" t="str">
        <f t="shared" si="3"/>
        <v>#DIV/0!</v>
      </c>
    </row>
    <row r="83">
      <c r="A83" s="16" t="str">
        <f>IFERROR(__xludf.DUMMYFUNCTION("IFERROR(SPARKLINE(SORT(MAP(TRANSPOSE(AQ83:BL83), LAMBDA(val, IF(ISNUMBER(val), PERCENTRANK(AQ83:BL83, val)+0.01, 0))), SEQUENCE(COLUMNS(AQ83:BL83)), FALSE), {""charttype"",""column""; ""color"",""chartreuse""; ""ymin"", 0; ""ymax"", 1.01; ""highcolor"", "&amp;"""darkgreen""; ""lowcolor"", ""red""}), """")"),"")</f>
        <v/>
      </c>
      <c r="B83" s="17" t="str">
        <f t="shared" si="4"/>
        <v/>
      </c>
      <c r="C83" s="1" t="s">
        <v>407</v>
      </c>
      <c r="D83" s="30" t="str">
        <f>IFERROR(__xludf.DUMMYFUNCTION("IFERROR(GOOGLEFINANCE(C83, ""NAME""))"),"Mattel Inc")</f>
        <v>Mattel Inc</v>
      </c>
      <c r="E83" s="30" t="s">
        <v>158</v>
      </c>
      <c r="F83" s="33" t="str">
        <f>IFERROR(__xludf.DUMMYFUNCTION("( (GOOGLEFINANCE(C83, ""price"") - Q83) / Q83 ) / (R83 / 100)"),"Loading...")</f>
        <v>Loading...</v>
      </c>
      <c r="G83" s="20" t="str">
        <f>IFERROR(__xludf.DUMMYFUNCTION("AVERAGE(ARRAYFORMULA(100 * (QUERY(GOOGLEFINANCE(C83, ""high"", TODAY()-40, TODAY()), ""SELECT Col2 WHERE Col2 IS NOT NULL ORDER BY Col1 DESC LIMIT 20"", 0) / QUERY(GOOGLEFINANCE(C83, ""low"", TODAY()-40, TODAY()), ""SELECT Col2 WHERE Col2 IS NOT NULL ORDE"&amp;"R BY Col1 DESC LIMIT 20"", 0) - 1)))"),"#N/A")</f>
        <v>#N/A</v>
      </c>
      <c r="H83" s="35" t="str">
        <f t="shared" si="6"/>
        <v/>
      </c>
      <c r="I83" s="35" t="str">
        <f t="shared" si="7"/>
        <v/>
      </c>
      <c r="J83" s="37" t="str">
        <f>IFERROR(__xludf.DUMMYFUNCTION("IFERROR(
  IF(C83="""",, 
    IFERROR(
      GOOGLEFINANCE(C83, ""price"") * GOOGLEFINANCE(C83, ""volumeavg""), 
      GOOGLEFINANCE(C83, ""price"") * AVERAGE(QUERY(GOOGLEFINANCE(C83, ""volume"", TODAY()-40, TODAY()), ""SELECT Col2 WHERE Col2 IS NOT NULL "&amp;"ORDER BY Col1 DESC LIMIT 20"", 0))
    )
  ), 
"""")"),"")</f>
        <v/>
      </c>
      <c r="K83" s="21" t="str">
        <f>IFERROR(__xludf.DUMMYFUNCTION("IFERROR(GOOGLEFINANCE(C83, ""changepct"") / 100, """")"),"")</f>
        <v/>
      </c>
      <c r="L83" s="21" t="str">
        <f>IFERROR(__xludf.DUMMYFUNCTION("IFERROR((GOOGLEFINANCE(C83, ""price"") / INDEX(GOOGLEFINANCE(C83, ""price"", TODAY()-7, TODAY()), 2, 2)) - 1, """")"),"")</f>
        <v/>
      </c>
      <c r="M83" s="21" t="str">
        <f>IFERROR(__xludf.DUMMYFUNCTION("IFERROR((GOOGLEFINANCE(C83, ""price"") / INDEX(GOOGLEFINANCE(C83, ""price"", EDATE(TODAY(), -1), TODAY()), 2, 2)) - 1, """")"),"")</f>
        <v/>
      </c>
      <c r="N83" s="21" t="str">
        <f>IFERROR(__xludf.DUMMYFUNCTION("IFERROR((GOOGLEFINANCE(C83, ""price"") / INDEX(GOOGLEFINANCE(C83, ""price"", EDATE(TODAY(), -3), TODAY()), 2, 2)) - 1, """")"),"")</f>
        <v/>
      </c>
      <c r="O83" s="21" t="str">
        <f>IFERROR(__xludf.DUMMYFUNCTION("IFERROR((GOOGLEFINANCE(C83, ""price"") / INDEX(GOOGLEFINANCE(C83, ""price"", EDATE(TODAY(), -6), TODAY()), 2, 2)) - 1, """")"),"")</f>
        <v/>
      </c>
      <c r="P83" s="21" t="str">
        <f>IFERROR(__xludf.DUMMYFUNCTION("IFERROR((GOOGLEFINANCE(C83, ""price"") / INDEX(GOOGLEFINANCE(C83, ""price"", EDATE(TODAY(), -12), TODAY()), 2, 2)) - 1, """")"),"")</f>
        <v/>
      </c>
      <c r="Q83" s="6" t="str">
        <f>IFERROR(__xludf.DUMMYFUNCTION("AVERAGE(QUERY(GOOGLEFINANCE(C83, ""price"", TODAY()-80, TODAY()), ""SELECT Col2 WHERE Col2 IS NOT NULL ORDER BY Col1 DESC LIMIT 50"", 0))"),"#N/A")</f>
        <v>#N/A</v>
      </c>
      <c r="R83" s="24" t="str">
        <f>IFERROR(__xludf.DUMMYFUNCTION("IFERROR(
  LET(
    data, QUERY(GOOGLEFINANCE(C83,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GOOGLEFINANCE(C83, ""price"")) * 100,
    IF(calc=0, G83, calc)
  ), 
G83)"),"#N/A")</f>
        <v>#N/A</v>
      </c>
      <c r="S83" s="8" t="s">
        <v>15</v>
      </c>
      <c r="T83" s="26" t="str">
        <f>IFERROR(__xludf.DUMMYFUNCTION("IFERROR(TRANSPOSE(QUERY(IFERROR(SORT(GOOGLEFINANCE(C83, ""price"", WORKDAY(TODAY(), -40), TODAY()), 1, FALSE)), ""select Col2 where Col2 is not null limit 22 label Col2 ''"", 0)), """")"),"")</f>
        <v/>
      </c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8"/>
      <c r="AO83" s="28"/>
      <c r="AP83" s="29"/>
      <c r="AQ83" s="29" t="str">
        <f t="shared" ref="AQ83:BL83" si="86">T83/T$2</f>
        <v>#N/A</v>
      </c>
      <c r="AR83" s="29" t="str">
        <f t="shared" si="86"/>
        <v>#DIV/0!</v>
      </c>
      <c r="AS83" s="29" t="str">
        <f t="shared" si="86"/>
        <v>#DIV/0!</v>
      </c>
      <c r="AT83" s="29" t="str">
        <f t="shared" si="86"/>
        <v>#DIV/0!</v>
      </c>
      <c r="AU83" s="29" t="str">
        <f t="shared" si="86"/>
        <v>#DIV/0!</v>
      </c>
      <c r="AV83" s="29" t="str">
        <f t="shared" si="86"/>
        <v>#DIV/0!</v>
      </c>
      <c r="AW83" s="29" t="str">
        <f t="shared" si="86"/>
        <v>#DIV/0!</v>
      </c>
      <c r="AX83" s="29" t="str">
        <f t="shared" si="86"/>
        <v>#DIV/0!</v>
      </c>
      <c r="AY83" s="29" t="str">
        <f t="shared" si="86"/>
        <v>#DIV/0!</v>
      </c>
      <c r="AZ83" s="29" t="str">
        <f t="shared" si="86"/>
        <v>#DIV/0!</v>
      </c>
      <c r="BA83" s="29" t="str">
        <f t="shared" si="86"/>
        <v>#DIV/0!</v>
      </c>
      <c r="BB83" s="29" t="str">
        <f t="shared" si="86"/>
        <v>#DIV/0!</v>
      </c>
      <c r="BC83" s="29" t="str">
        <f t="shared" si="86"/>
        <v>#DIV/0!</v>
      </c>
      <c r="BD83" s="29" t="str">
        <f t="shared" si="86"/>
        <v>#DIV/0!</v>
      </c>
      <c r="BE83" s="29" t="str">
        <f t="shared" si="86"/>
        <v>#DIV/0!</v>
      </c>
      <c r="BF83" s="29" t="str">
        <f t="shared" si="86"/>
        <v>#DIV/0!</v>
      </c>
      <c r="BG83" s="29" t="str">
        <f t="shared" si="86"/>
        <v>#DIV/0!</v>
      </c>
      <c r="BH83" s="29" t="str">
        <f t="shared" si="86"/>
        <v>#DIV/0!</v>
      </c>
      <c r="BI83" s="29" t="str">
        <f t="shared" si="86"/>
        <v>#DIV/0!</v>
      </c>
      <c r="BJ83" s="29" t="str">
        <f t="shared" si="86"/>
        <v>#DIV/0!</v>
      </c>
      <c r="BK83" s="29" t="str">
        <f t="shared" si="86"/>
        <v>#DIV/0!</v>
      </c>
      <c r="BL83" s="29" t="str">
        <f t="shared" si="86"/>
        <v>#DIV/0!</v>
      </c>
      <c r="BM83" s="29" t="str">
        <f t="shared" si="3"/>
        <v>#DIV/0!</v>
      </c>
    </row>
    <row r="84">
      <c r="A84" s="16" t="str">
        <f>IFERROR(__xludf.DUMMYFUNCTION("IFERROR(SPARKLINE(SORT(MAP(TRANSPOSE(AQ84:BL84), LAMBDA(val, IF(ISNUMBER(val), PERCENTRANK(AQ84:BL84, val)+0.01, 0))), SEQUENCE(COLUMNS(AQ84:BL84)), FALSE), {""charttype"",""column""; ""color"",""chartreuse""; ""ymin"", 0; ""ymax"", 1.01; ""highcolor"", "&amp;"""darkgreen""; ""lowcolor"", ""red""}), """")"),"")</f>
        <v/>
      </c>
      <c r="B84" s="17" t="str">
        <f t="shared" si="4"/>
        <v/>
      </c>
      <c r="C84" s="1" t="s">
        <v>410</v>
      </c>
      <c r="D84" s="30" t="str">
        <f>IFERROR(__xludf.DUMMYFUNCTION("IFERROR(GOOGLEFINANCE(C84, ""NAME""))"),"Forward Industries Inc")</f>
        <v>Forward Industries Inc</v>
      </c>
      <c r="E84" s="30" t="s">
        <v>411</v>
      </c>
      <c r="F84" s="33" t="str">
        <f>IFERROR(__xludf.DUMMYFUNCTION("( (GOOGLEFINANCE(C84, ""price"") - Q84) / Q84 ) / (R84 / 100)"),"Loading...")</f>
        <v>Loading...</v>
      </c>
      <c r="G84" s="20" t="str">
        <f>IFERROR(__xludf.DUMMYFUNCTION("AVERAGE(ARRAYFORMULA(100 * (QUERY(GOOGLEFINANCE(C84, ""high"", TODAY()-40, TODAY()), ""SELECT Col2 WHERE Col2 IS NOT NULL ORDER BY Col1 DESC LIMIT 20"", 0) / QUERY(GOOGLEFINANCE(C84, ""low"", TODAY()-40, TODAY()), ""SELECT Col2 WHERE Col2 IS NOT NULL ORDE"&amp;"R BY Col1 DESC LIMIT 20"", 0) - 1)))"),"#N/A")</f>
        <v>#N/A</v>
      </c>
      <c r="H84" s="35" t="str">
        <f t="shared" si="6"/>
        <v/>
      </c>
      <c r="I84" s="35" t="str">
        <f t="shared" si="7"/>
        <v/>
      </c>
      <c r="J84" s="37" t="str">
        <f>IFERROR(__xludf.DUMMYFUNCTION("IFERROR(
  IF(C84="""",, 
    IFERROR(
      GOOGLEFINANCE(C84, ""price"") * GOOGLEFINANCE(C84, ""volumeavg""), 
      GOOGLEFINANCE(C84, ""price"") * AVERAGE(QUERY(GOOGLEFINANCE(C84, ""volume"", TODAY()-40, TODAY()), ""SELECT Col2 WHERE Col2 IS NOT NULL "&amp;"ORDER BY Col1 DESC LIMIT 20"", 0))
    )
  ), 
"""")"),"")</f>
        <v/>
      </c>
      <c r="K84" s="21" t="str">
        <f>IFERROR(__xludf.DUMMYFUNCTION("IFERROR(GOOGLEFINANCE(C84, ""changepct"") / 100, """")"),"")</f>
        <v/>
      </c>
      <c r="L84" s="21" t="str">
        <f>IFERROR(__xludf.DUMMYFUNCTION("IFERROR((GOOGLEFINANCE(C84, ""price"") / INDEX(GOOGLEFINANCE(C84, ""price"", TODAY()-7, TODAY()), 2, 2)) - 1, """")"),"")</f>
        <v/>
      </c>
      <c r="M84" s="21" t="str">
        <f>IFERROR(__xludf.DUMMYFUNCTION("IFERROR((GOOGLEFINANCE(C84, ""price"") / INDEX(GOOGLEFINANCE(C84, ""price"", EDATE(TODAY(), -1), TODAY()), 2, 2)) - 1, """")"),"")</f>
        <v/>
      </c>
      <c r="N84" s="21" t="str">
        <f>IFERROR(__xludf.DUMMYFUNCTION("IFERROR((GOOGLEFINANCE(C84, ""price"") / INDEX(GOOGLEFINANCE(C84, ""price"", EDATE(TODAY(), -3), TODAY()), 2, 2)) - 1, """")"),"")</f>
        <v/>
      </c>
      <c r="O84" s="21" t="str">
        <f>IFERROR(__xludf.DUMMYFUNCTION("IFERROR((GOOGLEFINANCE(C84, ""price"") / INDEX(GOOGLEFINANCE(C84, ""price"", EDATE(TODAY(), -6), TODAY()), 2, 2)) - 1, """")"),"")</f>
        <v/>
      </c>
      <c r="P84" s="21" t="str">
        <f>IFERROR(__xludf.DUMMYFUNCTION("IFERROR((GOOGLEFINANCE(C84, ""price"") / INDEX(GOOGLEFINANCE(C84, ""price"", EDATE(TODAY(), -12), TODAY()), 2, 2)) - 1, """")"),"")</f>
        <v/>
      </c>
      <c r="Q84" s="6" t="str">
        <f>IFERROR(__xludf.DUMMYFUNCTION("AVERAGE(QUERY(GOOGLEFINANCE(C84, ""price"", TODAY()-80, TODAY()), ""SELECT Col2 WHERE Col2 IS NOT NULL ORDER BY Col1 DESC LIMIT 50"", 0))"),"#N/A")</f>
        <v>#N/A</v>
      </c>
      <c r="R84" s="24" t="str">
        <f>IFERROR(__xludf.DUMMYFUNCTION("IFERROR(
  LET(
    data, QUERY(GOOGLEFINANCE(C84,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GOOGLEFINANCE(C84, ""price"")) * 100,
    IF(calc=0, G84, calc)
  ), 
G84)"),"#N/A")</f>
        <v>#N/A</v>
      </c>
      <c r="S84" s="8" t="s">
        <v>15</v>
      </c>
      <c r="T84" s="26" t="str">
        <f>IFERROR(__xludf.DUMMYFUNCTION("IFERROR(TRANSPOSE(QUERY(IFERROR(SORT(GOOGLEFINANCE(C84, ""price"", WORKDAY(TODAY(), -40), TODAY()), 1, FALSE)), ""select Col2 where Col2 is not null limit 22 label Col2 ''"", 0)), """")"),"")</f>
        <v/>
      </c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8"/>
      <c r="AO84" s="28"/>
      <c r="AP84" s="29"/>
      <c r="AQ84" s="29" t="str">
        <f t="shared" ref="AQ84:BL84" si="87">T84/T$2</f>
        <v>#N/A</v>
      </c>
      <c r="AR84" s="29" t="str">
        <f t="shared" si="87"/>
        <v>#DIV/0!</v>
      </c>
      <c r="AS84" s="29" t="str">
        <f t="shared" si="87"/>
        <v>#DIV/0!</v>
      </c>
      <c r="AT84" s="29" t="str">
        <f t="shared" si="87"/>
        <v>#DIV/0!</v>
      </c>
      <c r="AU84" s="29" t="str">
        <f t="shared" si="87"/>
        <v>#DIV/0!</v>
      </c>
      <c r="AV84" s="29" t="str">
        <f t="shared" si="87"/>
        <v>#DIV/0!</v>
      </c>
      <c r="AW84" s="29" t="str">
        <f t="shared" si="87"/>
        <v>#DIV/0!</v>
      </c>
      <c r="AX84" s="29" t="str">
        <f t="shared" si="87"/>
        <v>#DIV/0!</v>
      </c>
      <c r="AY84" s="29" t="str">
        <f t="shared" si="87"/>
        <v>#DIV/0!</v>
      </c>
      <c r="AZ84" s="29" t="str">
        <f t="shared" si="87"/>
        <v>#DIV/0!</v>
      </c>
      <c r="BA84" s="29" t="str">
        <f t="shared" si="87"/>
        <v>#DIV/0!</v>
      </c>
      <c r="BB84" s="29" t="str">
        <f t="shared" si="87"/>
        <v>#DIV/0!</v>
      </c>
      <c r="BC84" s="29" t="str">
        <f t="shared" si="87"/>
        <v>#DIV/0!</v>
      </c>
      <c r="BD84" s="29" t="str">
        <f t="shared" si="87"/>
        <v>#DIV/0!</v>
      </c>
      <c r="BE84" s="29" t="str">
        <f t="shared" si="87"/>
        <v>#DIV/0!</v>
      </c>
      <c r="BF84" s="29" t="str">
        <f t="shared" si="87"/>
        <v>#DIV/0!</v>
      </c>
      <c r="BG84" s="29" t="str">
        <f t="shared" si="87"/>
        <v>#DIV/0!</v>
      </c>
      <c r="BH84" s="29" t="str">
        <f t="shared" si="87"/>
        <v>#DIV/0!</v>
      </c>
      <c r="BI84" s="29" t="str">
        <f t="shared" si="87"/>
        <v>#DIV/0!</v>
      </c>
      <c r="BJ84" s="29" t="str">
        <f t="shared" si="87"/>
        <v>#DIV/0!</v>
      </c>
      <c r="BK84" s="29" t="str">
        <f t="shared" si="87"/>
        <v>#DIV/0!</v>
      </c>
      <c r="BL84" s="29" t="str">
        <f t="shared" si="87"/>
        <v>#DIV/0!</v>
      </c>
      <c r="BM84" s="29" t="str">
        <f t="shared" si="3"/>
        <v>#DIV/0!</v>
      </c>
    </row>
    <row r="85">
      <c r="A85" s="16" t="str">
        <f>IFERROR(__xludf.DUMMYFUNCTION("IFERROR(SPARKLINE(SORT(MAP(TRANSPOSE(AQ85:BL85), LAMBDA(val, IF(ISNUMBER(val), PERCENTRANK(AQ85:BL85, val)+0.01, 0))), SEQUENCE(COLUMNS(AQ85:BL85)), FALSE), {""charttype"",""column""; ""color"",""chartreuse""; ""ymin"", 0; ""ymax"", 1.01; ""highcolor"", "&amp;"""darkgreen""; ""lowcolor"", ""red""}), """")"),"")</f>
        <v/>
      </c>
      <c r="B85" s="17" t="str">
        <f t="shared" si="4"/>
        <v/>
      </c>
      <c r="C85" s="1" t="s">
        <v>413</v>
      </c>
      <c r="D85" s="30" t="str">
        <f>IFERROR(__xludf.DUMMYFUNCTION("IFERROR(GOOGLEFINANCE(C85, ""NAME""))"),"BRP Inc")</f>
        <v>BRP Inc</v>
      </c>
      <c r="E85" s="30" t="s">
        <v>165</v>
      </c>
      <c r="F85" s="38" t="str">
        <f>IFERROR(__xludf.DUMMYFUNCTION("( (GOOGLEFINANCE(C85, ""price"") - Q85) / Q85 ) / (R85 / 100)"),"Loading...")</f>
        <v>Loading...</v>
      </c>
      <c r="G85" s="20" t="str">
        <f>IFERROR(__xludf.DUMMYFUNCTION("AVERAGE(ARRAYFORMULA(100 * (QUERY(GOOGLEFINANCE(C85, ""high"", TODAY()-40, TODAY()), ""SELECT Col2 WHERE Col2 IS NOT NULL ORDER BY Col1 DESC LIMIT 20"", 0) / QUERY(GOOGLEFINANCE(C85, ""low"", TODAY()-40, TODAY()), ""SELECT Col2 WHERE Col2 IS NOT NULL ORDE"&amp;"R BY Col1 DESC LIMIT 20"", 0) - 1)))"),"#N/A")</f>
        <v>#N/A</v>
      </c>
      <c r="H85" s="35" t="str">
        <f t="shared" si="6"/>
        <v/>
      </c>
      <c r="I85" s="35" t="str">
        <f t="shared" si="7"/>
        <v/>
      </c>
      <c r="J85" s="37" t="str">
        <f>IFERROR(__xludf.DUMMYFUNCTION("IFERROR(
  IF(C85="""",, 
    IFERROR(
      GOOGLEFINANCE(C85, ""price"") * GOOGLEFINANCE(C85, ""volumeavg""), 
      GOOGLEFINANCE(C85, ""price"") * AVERAGE(QUERY(GOOGLEFINANCE(C85, ""volume"", TODAY()-40, TODAY()), ""SELECT Col2 WHERE Col2 IS NOT NULL "&amp;"ORDER BY Col1 DESC LIMIT 20"", 0))
    )
  ), 
"""")"),"")</f>
        <v/>
      </c>
      <c r="K85" s="21" t="str">
        <f>IFERROR(__xludf.DUMMYFUNCTION("IFERROR(GOOGLEFINANCE(C85, ""changepct"") / 100, """")"),"")</f>
        <v/>
      </c>
      <c r="L85" s="21" t="str">
        <f>IFERROR(__xludf.DUMMYFUNCTION("IFERROR((GOOGLEFINANCE(C85, ""price"") / INDEX(GOOGLEFINANCE(C85, ""price"", TODAY()-7, TODAY()), 2, 2)) - 1, """")"),"")</f>
        <v/>
      </c>
      <c r="M85" s="21" t="str">
        <f>IFERROR(__xludf.DUMMYFUNCTION("IFERROR((GOOGLEFINANCE(C85, ""price"") / INDEX(GOOGLEFINANCE(C85, ""price"", EDATE(TODAY(), -1), TODAY()), 2, 2)) - 1, """")"),"")</f>
        <v/>
      </c>
      <c r="N85" s="21" t="str">
        <f>IFERROR(__xludf.DUMMYFUNCTION("IFERROR((GOOGLEFINANCE(C85, ""price"") / INDEX(GOOGLEFINANCE(C85, ""price"", EDATE(TODAY(), -3), TODAY()), 2, 2)) - 1, """")"),"")</f>
        <v/>
      </c>
      <c r="O85" s="21" t="str">
        <f>IFERROR(__xludf.DUMMYFUNCTION("IFERROR((GOOGLEFINANCE(C85, ""price"") / INDEX(GOOGLEFINANCE(C85, ""price"", EDATE(TODAY(), -6), TODAY()), 2, 2)) - 1, """")"),"")</f>
        <v/>
      </c>
      <c r="P85" s="21" t="str">
        <f>IFERROR(__xludf.DUMMYFUNCTION("IFERROR((GOOGLEFINANCE(C85, ""price"") / INDEX(GOOGLEFINANCE(C85, ""price"", EDATE(TODAY(), -12), TODAY()), 2, 2)) - 1, """")"),"")</f>
        <v/>
      </c>
      <c r="Q85" s="6" t="str">
        <f>IFERROR(__xludf.DUMMYFUNCTION("AVERAGE(QUERY(GOOGLEFINANCE(C85, ""price"", TODAY()-80, TODAY()), ""SELECT Col2 WHERE Col2 IS NOT NULL ORDER BY Col1 DESC LIMIT 50"", 0))"),"#N/A")</f>
        <v>#N/A</v>
      </c>
      <c r="R85" s="24" t="str">
        <f>IFERROR(__xludf.DUMMYFUNCTION("IFERROR(
  LET(
    data, QUERY(GOOGLEFINANCE(C85,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GOOGLEFINANCE(C85, ""price"")) * 100,
    IF(calc=0, G85, calc)
  ), 
G85)"),"#N/A")</f>
        <v>#N/A</v>
      </c>
      <c r="S85" s="8" t="s">
        <v>15</v>
      </c>
      <c r="T85" s="26" t="str">
        <f>IFERROR(__xludf.DUMMYFUNCTION("IFERROR(TRANSPOSE(QUERY(IFERROR(SORT(GOOGLEFINANCE(C85, ""price"", WORKDAY(TODAY(), -40), TODAY()), 1, FALSE)), ""select Col2 where Col2 is not null limit 22 label Col2 ''"", 0)), """")"),"")</f>
        <v/>
      </c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8"/>
      <c r="AO85" s="28"/>
      <c r="AP85" s="29"/>
      <c r="AQ85" s="29" t="str">
        <f t="shared" ref="AQ85:BL85" si="88">T85/T$2</f>
        <v>#N/A</v>
      </c>
      <c r="AR85" s="29" t="str">
        <f t="shared" si="88"/>
        <v>#DIV/0!</v>
      </c>
      <c r="AS85" s="29" t="str">
        <f t="shared" si="88"/>
        <v>#DIV/0!</v>
      </c>
      <c r="AT85" s="29" t="str">
        <f t="shared" si="88"/>
        <v>#DIV/0!</v>
      </c>
      <c r="AU85" s="29" t="str">
        <f t="shared" si="88"/>
        <v>#DIV/0!</v>
      </c>
      <c r="AV85" s="29" t="str">
        <f t="shared" si="88"/>
        <v>#DIV/0!</v>
      </c>
      <c r="AW85" s="29" t="str">
        <f t="shared" si="88"/>
        <v>#DIV/0!</v>
      </c>
      <c r="AX85" s="29" t="str">
        <f t="shared" si="88"/>
        <v>#DIV/0!</v>
      </c>
      <c r="AY85" s="29" t="str">
        <f t="shared" si="88"/>
        <v>#DIV/0!</v>
      </c>
      <c r="AZ85" s="29" t="str">
        <f t="shared" si="88"/>
        <v>#DIV/0!</v>
      </c>
      <c r="BA85" s="29" t="str">
        <f t="shared" si="88"/>
        <v>#DIV/0!</v>
      </c>
      <c r="BB85" s="29" t="str">
        <f t="shared" si="88"/>
        <v>#DIV/0!</v>
      </c>
      <c r="BC85" s="29" t="str">
        <f t="shared" si="88"/>
        <v>#DIV/0!</v>
      </c>
      <c r="BD85" s="29" t="str">
        <f t="shared" si="88"/>
        <v>#DIV/0!</v>
      </c>
      <c r="BE85" s="29" t="str">
        <f t="shared" si="88"/>
        <v>#DIV/0!</v>
      </c>
      <c r="BF85" s="29" t="str">
        <f t="shared" si="88"/>
        <v>#DIV/0!</v>
      </c>
      <c r="BG85" s="29" t="str">
        <f t="shared" si="88"/>
        <v>#DIV/0!</v>
      </c>
      <c r="BH85" s="29" t="str">
        <f t="shared" si="88"/>
        <v>#DIV/0!</v>
      </c>
      <c r="BI85" s="29" t="str">
        <f t="shared" si="88"/>
        <v>#DIV/0!</v>
      </c>
      <c r="BJ85" s="29" t="str">
        <f t="shared" si="88"/>
        <v>#DIV/0!</v>
      </c>
      <c r="BK85" s="29" t="str">
        <f t="shared" si="88"/>
        <v>#DIV/0!</v>
      </c>
      <c r="BL85" s="29" t="str">
        <f t="shared" si="88"/>
        <v>#DIV/0!</v>
      </c>
      <c r="BM85" s="29" t="str">
        <f t="shared" si="3"/>
        <v>#DIV/0!</v>
      </c>
    </row>
    <row r="86">
      <c r="A86" s="16" t="str">
        <f>IFERROR(__xludf.DUMMYFUNCTION("IFERROR(SPARKLINE(SORT(MAP(TRANSPOSE(AQ86:BL86), LAMBDA(val, IF(ISNUMBER(val), PERCENTRANK(AQ86:BL86, val)+0.01, 0))), SEQUENCE(COLUMNS(AQ86:BL86)), FALSE), {""charttype"",""column""; ""color"",""chartreuse""; ""ymin"", 0; ""ymax"", 1.01; ""highcolor"", "&amp;"""darkgreen""; ""lowcolor"", ""red""}), """")"),"")</f>
        <v/>
      </c>
      <c r="B86" s="17" t="str">
        <f t="shared" si="4"/>
        <v/>
      </c>
      <c r="C86" s="1" t="s">
        <v>415</v>
      </c>
      <c r="D86" s="30" t="str">
        <f>IFERROR(__xludf.DUMMYFUNCTION("IFERROR(GOOGLEFINANCE(C86, ""NAME""))"),"Bath &amp; Body Works Inc")</f>
        <v>Bath &amp; Body Works Inc</v>
      </c>
      <c r="E86" s="30" t="s">
        <v>184</v>
      </c>
      <c r="F86" s="33" t="str">
        <f>IFERROR(__xludf.DUMMYFUNCTION("( (GOOGLEFINANCE(C86, ""price"") - Q86) / Q86 ) / (R86 / 100)"),"Loading...")</f>
        <v>Loading...</v>
      </c>
      <c r="G86" s="20" t="str">
        <f>IFERROR(__xludf.DUMMYFUNCTION("AVERAGE(ARRAYFORMULA(100 * (QUERY(GOOGLEFINANCE(C86, ""high"", TODAY()-40, TODAY()), ""SELECT Col2 WHERE Col2 IS NOT NULL ORDER BY Col1 DESC LIMIT 20"", 0) / QUERY(GOOGLEFINANCE(C86, ""low"", TODAY()-40, TODAY()), ""SELECT Col2 WHERE Col2 IS NOT NULL ORDE"&amp;"R BY Col1 DESC LIMIT 20"", 0) - 1)))"),"#N/A")</f>
        <v>#N/A</v>
      </c>
      <c r="H86" s="35" t="str">
        <f t="shared" si="6"/>
        <v/>
      </c>
      <c r="I86" s="35" t="str">
        <f t="shared" si="7"/>
        <v/>
      </c>
      <c r="J86" s="37" t="str">
        <f>IFERROR(__xludf.DUMMYFUNCTION("IFERROR(
  IF(C86="""",, 
    IFERROR(
      GOOGLEFINANCE(C86, ""price"") * GOOGLEFINANCE(C86, ""volumeavg""), 
      GOOGLEFINANCE(C86, ""price"") * AVERAGE(QUERY(GOOGLEFINANCE(C86, ""volume"", TODAY()-40, TODAY()), ""SELECT Col2 WHERE Col2 IS NOT NULL "&amp;"ORDER BY Col1 DESC LIMIT 20"", 0))
    )
  ), 
"""")"),"")</f>
        <v/>
      </c>
      <c r="K86" s="21" t="str">
        <f>IFERROR(__xludf.DUMMYFUNCTION("IFERROR(GOOGLEFINANCE(C86, ""changepct"") / 100, """")"),"")</f>
        <v/>
      </c>
      <c r="L86" s="21" t="str">
        <f>IFERROR(__xludf.DUMMYFUNCTION("IFERROR((GOOGLEFINANCE(C86, ""price"") / INDEX(GOOGLEFINANCE(C86, ""price"", TODAY()-7, TODAY()), 2, 2)) - 1, """")"),"")</f>
        <v/>
      </c>
      <c r="M86" s="21" t="str">
        <f>IFERROR(__xludf.DUMMYFUNCTION("IFERROR((GOOGLEFINANCE(C86, ""price"") / INDEX(GOOGLEFINANCE(C86, ""price"", EDATE(TODAY(), -1), TODAY()), 2, 2)) - 1, """")"),"")</f>
        <v/>
      </c>
      <c r="N86" s="21" t="str">
        <f>IFERROR(__xludf.DUMMYFUNCTION("IFERROR((GOOGLEFINANCE(C86, ""price"") / INDEX(GOOGLEFINANCE(C86, ""price"", EDATE(TODAY(), -3), TODAY()), 2, 2)) - 1, """")"),"")</f>
        <v/>
      </c>
      <c r="O86" s="21" t="str">
        <f>IFERROR(__xludf.DUMMYFUNCTION("IFERROR((GOOGLEFINANCE(C86, ""price"") / INDEX(GOOGLEFINANCE(C86, ""price"", EDATE(TODAY(), -6), TODAY()), 2, 2)) - 1, """")"),"")</f>
        <v/>
      </c>
      <c r="P86" s="21" t="str">
        <f>IFERROR(__xludf.DUMMYFUNCTION("IFERROR((GOOGLEFINANCE(C86, ""price"") / INDEX(GOOGLEFINANCE(C86, ""price"", EDATE(TODAY(), -12), TODAY()), 2, 2)) - 1, """")"),"")</f>
        <v/>
      </c>
      <c r="Q86" s="6" t="str">
        <f>IFERROR(__xludf.DUMMYFUNCTION("AVERAGE(QUERY(GOOGLEFINANCE(C86, ""price"", TODAY()-80, TODAY()), ""SELECT Col2 WHERE Col2 IS NOT NULL ORDER BY Col1 DESC LIMIT 50"", 0))"),"#N/A")</f>
        <v>#N/A</v>
      </c>
      <c r="R86" s="24" t="str">
        <f>IFERROR(__xludf.DUMMYFUNCTION("IFERROR(
  LET(
    data, QUERY(GOOGLEFINANCE(C86,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GOOGLEFINANCE(C86, ""price"")) * 100,
    IF(calc=0, G86, calc)
  ), 
G86)"),"#N/A")</f>
        <v>#N/A</v>
      </c>
      <c r="S86" s="8" t="s">
        <v>15</v>
      </c>
      <c r="T86" s="26" t="str">
        <f>IFERROR(__xludf.DUMMYFUNCTION("IFERROR(TRANSPOSE(QUERY(IFERROR(SORT(GOOGLEFINANCE(C86, ""price"", WORKDAY(TODAY(), -40), TODAY()), 1, FALSE)), ""select Col2 where Col2 is not null limit 22 label Col2 ''"", 0)), """")"),"")</f>
        <v/>
      </c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8"/>
      <c r="AO86" s="28"/>
      <c r="AP86" s="29"/>
      <c r="AQ86" s="29" t="str">
        <f t="shared" ref="AQ86:BL86" si="89">T86/T$2</f>
        <v>#N/A</v>
      </c>
      <c r="AR86" s="29" t="str">
        <f t="shared" si="89"/>
        <v>#DIV/0!</v>
      </c>
      <c r="AS86" s="29" t="str">
        <f t="shared" si="89"/>
        <v>#DIV/0!</v>
      </c>
      <c r="AT86" s="29" t="str">
        <f t="shared" si="89"/>
        <v>#DIV/0!</v>
      </c>
      <c r="AU86" s="29" t="str">
        <f t="shared" si="89"/>
        <v>#DIV/0!</v>
      </c>
      <c r="AV86" s="29" t="str">
        <f t="shared" si="89"/>
        <v>#DIV/0!</v>
      </c>
      <c r="AW86" s="29" t="str">
        <f t="shared" si="89"/>
        <v>#DIV/0!</v>
      </c>
      <c r="AX86" s="29" t="str">
        <f t="shared" si="89"/>
        <v>#DIV/0!</v>
      </c>
      <c r="AY86" s="29" t="str">
        <f t="shared" si="89"/>
        <v>#DIV/0!</v>
      </c>
      <c r="AZ86" s="29" t="str">
        <f t="shared" si="89"/>
        <v>#DIV/0!</v>
      </c>
      <c r="BA86" s="29" t="str">
        <f t="shared" si="89"/>
        <v>#DIV/0!</v>
      </c>
      <c r="BB86" s="29" t="str">
        <f t="shared" si="89"/>
        <v>#DIV/0!</v>
      </c>
      <c r="BC86" s="29" t="str">
        <f t="shared" si="89"/>
        <v>#DIV/0!</v>
      </c>
      <c r="BD86" s="29" t="str">
        <f t="shared" si="89"/>
        <v>#DIV/0!</v>
      </c>
      <c r="BE86" s="29" t="str">
        <f t="shared" si="89"/>
        <v>#DIV/0!</v>
      </c>
      <c r="BF86" s="29" t="str">
        <f t="shared" si="89"/>
        <v>#DIV/0!</v>
      </c>
      <c r="BG86" s="29" t="str">
        <f t="shared" si="89"/>
        <v>#DIV/0!</v>
      </c>
      <c r="BH86" s="29" t="str">
        <f t="shared" si="89"/>
        <v>#DIV/0!</v>
      </c>
      <c r="BI86" s="29" t="str">
        <f t="shared" si="89"/>
        <v>#DIV/0!</v>
      </c>
      <c r="BJ86" s="29" t="str">
        <f t="shared" si="89"/>
        <v>#DIV/0!</v>
      </c>
      <c r="BK86" s="29" t="str">
        <f t="shared" si="89"/>
        <v>#DIV/0!</v>
      </c>
      <c r="BL86" s="29" t="str">
        <f t="shared" si="89"/>
        <v>#DIV/0!</v>
      </c>
      <c r="BM86" s="29" t="str">
        <f t="shared" si="3"/>
        <v>#DIV/0!</v>
      </c>
    </row>
    <row r="87">
      <c r="A87" s="16" t="str">
        <f>IFERROR(__xludf.DUMMYFUNCTION("IFERROR(SPARKLINE(SORT(MAP(TRANSPOSE(AQ87:BL87), LAMBDA(val, IF(ISNUMBER(val), PERCENTRANK(AQ87:BL87, val)+0.01, 0))), SEQUENCE(COLUMNS(AQ87:BL87)), FALSE), {""charttype"",""column""; ""color"",""chartreuse""; ""ymin"", 0; ""ymax"", 1.01; ""highcolor"", "&amp;"""darkgreen""; ""lowcolor"", ""red""}), """")"),"")</f>
        <v/>
      </c>
      <c r="B87" s="17" t="str">
        <f t="shared" si="4"/>
        <v/>
      </c>
      <c r="C87" s="1" t="s">
        <v>419</v>
      </c>
      <c r="D87" s="30" t="str">
        <f>IFERROR(__xludf.DUMMYFUNCTION("IFERROR(GOOGLEFINANCE(C87, ""NAME""))"),"Amcor PLC")</f>
        <v>Amcor PLC</v>
      </c>
      <c r="E87" s="30" t="s">
        <v>195</v>
      </c>
      <c r="F87" s="33" t="str">
        <f>IFERROR(__xludf.DUMMYFUNCTION("( (GOOGLEFINANCE(C87, ""price"") - Q87) / Q87 ) / (R87 / 100)"),"Loading...")</f>
        <v>Loading...</v>
      </c>
      <c r="G87" s="20" t="str">
        <f>IFERROR(__xludf.DUMMYFUNCTION("AVERAGE(ARRAYFORMULA(100 * (QUERY(GOOGLEFINANCE(C87, ""high"", TODAY()-40, TODAY()), ""SELECT Col2 WHERE Col2 IS NOT NULL ORDER BY Col1 DESC LIMIT 20"", 0) / QUERY(GOOGLEFINANCE(C87, ""low"", TODAY()-40, TODAY()), ""SELECT Col2 WHERE Col2 IS NOT NULL ORDE"&amp;"R BY Col1 DESC LIMIT 20"", 0) - 1)))"),"#N/A")</f>
        <v>#N/A</v>
      </c>
      <c r="H87" s="35" t="str">
        <f t="shared" si="6"/>
        <v/>
      </c>
      <c r="I87" s="35" t="str">
        <f t="shared" si="7"/>
        <v/>
      </c>
      <c r="J87" s="37" t="str">
        <f>IFERROR(__xludf.DUMMYFUNCTION("IFERROR(
  IF(C87="""",, 
    IFERROR(
      GOOGLEFINANCE(C87, ""price"") * GOOGLEFINANCE(C87, ""volumeavg""), 
      GOOGLEFINANCE(C87, ""price"") * AVERAGE(QUERY(GOOGLEFINANCE(C87, ""volume"", TODAY()-40, TODAY()), ""SELECT Col2 WHERE Col2 IS NOT NULL "&amp;"ORDER BY Col1 DESC LIMIT 20"", 0))
    )
  ), 
"""")"),"")</f>
        <v/>
      </c>
      <c r="K87" s="21" t="str">
        <f>IFERROR(__xludf.DUMMYFUNCTION("IFERROR(GOOGLEFINANCE(C87, ""changepct"") / 100, """")"),"")</f>
        <v/>
      </c>
      <c r="L87" s="21" t="str">
        <f>IFERROR(__xludf.DUMMYFUNCTION("IFERROR((GOOGLEFINANCE(C87, ""price"") / INDEX(GOOGLEFINANCE(C87, ""price"", TODAY()-7, TODAY()), 2, 2)) - 1, """")"),"")</f>
        <v/>
      </c>
      <c r="M87" s="21" t="str">
        <f>IFERROR(__xludf.DUMMYFUNCTION("IFERROR((GOOGLEFINANCE(C87, ""price"") / INDEX(GOOGLEFINANCE(C87, ""price"", EDATE(TODAY(), -1), TODAY()), 2, 2)) - 1, """")"),"")</f>
        <v/>
      </c>
      <c r="N87" s="21" t="str">
        <f>IFERROR(__xludf.DUMMYFUNCTION("IFERROR((GOOGLEFINANCE(C87, ""price"") / INDEX(GOOGLEFINANCE(C87, ""price"", EDATE(TODAY(), -3), TODAY()), 2, 2)) - 1, """")"),"")</f>
        <v/>
      </c>
      <c r="O87" s="21" t="str">
        <f>IFERROR(__xludf.DUMMYFUNCTION("IFERROR((GOOGLEFINANCE(C87, ""price"") / INDEX(GOOGLEFINANCE(C87, ""price"", EDATE(TODAY(), -6), TODAY()), 2, 2)) - 1, """")"),"")</f>
        <v/>
      </c>
      <c r="P87" s="21" t="str">
        <f>IFERROR(__xludf.DUMMYFUNCTION("IFERROR((GOOGLEFINANCE(C87, ""price"") / INDEX(GOOGLEFINANCE(C87, ""price"", EDATE(TODAY(), -12), TODAY()), 2, 2)) - 1, """")"),"")</f>
        <v/>
      </c>
      <c r="Q87" s="6" t="str">
        <f>IFERROR(__xludf.DUMMYFUNCTION("AVERAGE(QUERY(GOOGLEFINANCE(C87, ""price"", TODAY()-80, TODAY()), ""SELECT Col2 WHERE Col2 IS NOT NULL ORDER BY Col1 DESC LIMIT 50"", 0))"),"#N/A")</f>
        <v>#N/A</v>
      </c>
      <c r="R87" s="24" t="str">
        <f>IFERROR(__xludf.DUMMYFUNCTION("IFERROR(
  LET(
    data, QUERY(GOOGLEFINANCE(C87,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GOOGLEFINANCE(C87, ""price"")) * 100,
    IF(calc=0, G87, calc)
  ), 
G87)"),"#N/A")</f>
        <v>#N/A</v>
      </c>
      <c r="S87" s="8" t="s">
        <v>15</v>
      </c>
      <c r="T87" s="26" t="str">
        <f>IFERROR(__xludf.DUMMYFUNCTION("IFERROR(TRANSPOSE(QUERY(IFERROR(SORT(GOOGLEFINANCE(C87, ""price"", WORKDAY(TODAY(), -40), TODAY()), 1, FALSE)), ""select Col2 where Col2 is not null limit 22 label Col2 ''"", 0)), """")"),"")</f>
        <v/>
      </c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8"/>
      <c r="AO87" s="28"/>
      <c r="AP87" s="29"/>
      <c r="AQ87" s="29" t="str">
        <f t="shared" ref="AQ87:BL87" si="90">T87/T$2</f>
        <v>#N/A</v>
      </c>
      <c r="AR87" s="29" t="str">
        <f t="shared" si="90"/>
        <v>#DIV/0!</v>
      </c>
      <c r="AS87" s="29" t="str">
        <f t="shared" si="90"/>
        <v>#DIV/0!</v>
      </c>
      <c r="AT87" s="29" t="str">
        <f t="shared" si="90"/>
        <v>#DIV/0!</v>
      </c>
      <c r="AU87" s="29" t="str">
        <f t="shared" si="90"/>
        <v>#DIV/0!</v>
      </c>
      <c r="AV87" s="29" t="str">
        <f t="shared" si="90"/>
        <v>#DIV/0!</v>
      </c>
      <c r="AW87" s="29" t="str">
        <f t="shared" si="90"/>
        <v>#DIV/0!</v>
      </c>
      <c r="AX87" s="29" t="str">
        <f t="shared" si="90"/>
        <v>#DIV/0!</v>
      </c>
      <c r="AY87" s="29" t="str">
        <f t="shared" si="90"/>
        <v>#DIV/0!</v>
      </c>
      <c r="AZ87" s="29" t="str">
        <f t="shared" si="90"/>
        <v>#DIV/0!</v>
      </c>
      <c r="BA87" s="29" t="str">
        <f t="shared" si="90"/>
        <v>#DIV/0!</v>
      </c>
      <c r="BB87" s="29" t="str">
        <f t="shared" si="90"/>
        <v>#DIV/0!</v>
      </c>
      <c r="BC87" s="29" t="str">
        <f t="shared" si="90"/>
        <v>#DIV/0!</v>
      </c>
      <c r="BD87" s="29" t="str">
        <f t="shared" si="90"/>
        <v>#DIV/0!</v>
      </c>
      <c r="BE87" s="29" t="str">
        <f t="shared" si="90"/>
        <v>#DIV/0!</v>
      </c>
      <c r="BF87" s="29" t="str">
        <f t="shared" si="90"/>
        <v>#DIV/0!</v>
      </c>
      <c r="BG87" s="29" t="str">
        <f t="shared" si="90"/>
        <v>#DIV/0!</v>
      </c>
      <c r="BH87" s="29" t="str">
        <f t="shared" si="90"/>
        <v>#DIV/0!</v>
      </c>
      <c r="BI87" s="29" t="str">
        <f t="shared" si="90"/>
        <v>#DIV/0!</v>
      </c>
      <c r="BJ87" s="29" t="str">
        <f t="shared" si="90"/>
        <v>#DIV/0!</v>
      </c>
      <c r="BK87" s="29" t="str">
        <f t="shared" si="90"/>
        <v>#DIV/0!</v>
      </c>
      <c r="BL87" s="29" t="str">
        <f t="shared" si="90"/>
        <v>#DIV/0!</v>
      </c>
      <c r="BM87" s="29" t="str">
        <f t="shared" si="3"/>
        <v>#DIV/0!</v>
      </c>
    </row>
    <row r="88">
      <c r="A88" s="16" t="str">
        <f>IFERROR(__xludf.DUMMYFUNCTION("IFERROR(SPARKLINE(SORT(MAP(TRANSPOSE(AQ88:BL88), LAMBDA(val, IF(ISNUMBER(val), PERCENTRANK(AQ88:BL88, val)+0.01, 0))), SEQUENCE(COLUMNS(AQ88:BL88)), FALSE), {""charttype"",""column""; ""color"",""chartreuse""; ""ymin"", 0; ""ymax"", 1.01; ""highcolor"", "&amp;"""darkgreen""; ""lowcolor"", ""red""}), """")"),"")</f>
        <v/>
      </c>
      <c r="B88" s="17" t="str">
        <f t="shared" si="4"/>
        <v/>
      </c>
      <c r="C88" s="1" t="s">
        <v>423</v>
      </c>
      <c r="D88" s="30" t="str">
        <f>IFERROR(__xludf.DUMMYFUNCTION("IFERROR(GOOGLEFINANCE(C88, ""NAME""))"),"Atmus Filtration Technologies Inc")</f>
        <v>Atmus Filtration Technologies Inc</v>
      </c>
      <c r="E88" s="30" t="s">
        <v>109</v>
      </c>
      <c r="F88" s="33" t="str">
        <f>IFERROR(__xludf.DUMMYFUNCTION("( (GOOGLEFINANCE(C88, ""price"") - Q88) / Q88 ) / (R88 / 100)"),"Loading...")</f>
        <v>Loading...</v>
      </c>
      <c r="G88" s="20" t="str">
        <f>IFERROR(__xludf.DUMMYFUNCTION("AVERAGE(ARRAYFORMULA(100 * (QUERY(GOOGLEFINANCE(C88, ""high"", TODAY()-40, TODAY()), ""SELECT Col2 WHERE Col2 IS NOT NULL ORDER BY Col1 DESC LIMIT 20"", 0) / QUERY(GOOGLEFINANCE(C88, ""low"", TODAY()-40, TODAY()), ""SELECT Col2 WHERE Col2 IS NOT NULL ORDE"&amp;"R BY Col1 DESC LIMIT 20"", 0) - 1)))"),"#N/A")</f>
        <v>#N/A</v>
      </c>
      <c r="H88" s="35" t="str">
        <f t="shared" si="6"/>
        <v/>
      </c>
      <c r="I88" s="35" t="str">
        <f t="shared" si="7"/>
        <v/>
      </c>
      <c r="J88" s="37" t="str">
        <f>IFERROR(__xludf.DUMMYFUNCTION("IFERROR(
  IF(C88="""",, 
    IFERROR(
      GOOGLEFINANCE(C88, ""price"") * GOOGLEFINANCE(C88, ""volumeavg""), 
      GOOGLEFINANCE(C88, ""price"") * AVERAGE(QUERY(GOOGLEFINANCE(C88, ""volume"", TODAY()-40, TODAY()), ""SELECT Col2 WHERE Col2 IS NOT NULL "&amp;"ORDER BY Col1 DESC LIMIT 20"", 0))
    )
  ), 
"""")"),"")</f>
        <v/>
      </c>
      <c r="K88" s="21" t="str">
        <f>IFERROR(__xludf.DUMMYFUNCTION("IFERROR(GOOGLEFINANCE(C88, ""changepct"") / 100, """")"),"")</f>
        <v/>
      </c>
      <c r="L88" s="21" t="str">
        <f>IFERROR(__xludf.DUMMYFUNCTION("IFERROR((GOOGLEFINANCE(C88, ""price"") / INDEX(GOOGLEFINANCE(C88, ""price"", TODAY()-7, TODAY()), 2, 2)) - 1, """")"),"")</f>
        <v/>
      </c>
      <c r="M88" s="21" t="str">
        <f>IFERROR(__xludf.DUMMYFUNCTION("IFERROR((GOOGLEFINANCE(C88, ""price"") / INDEX(GOOGLEFINANCE(C88, ""price"", EDATE(TODAY(), -1), TODAY()), 2, 2)) - 1, """")"),"")</f>
        <v/>
      </c>
      <c r="N88" s="21" t="str">
        <f>IFERROR(__xludf.DUMMYFUNCTION("IFERROR((GOOGLEFINANCE(C88, ""price"") / INDEX(GOOGLEFINANCE(C88, ""price"", EDATE(TODAY(), -3), TODAY()), 2, 2)) - 1, """")"),"")</f>
        <v/>
      </c>
      <c r="O88" s="21" t="str">
        <f>IFERROR(__xludf.DUMMYFUNCTION("IFERROR((GOOGLEFINANCE(C88, ""price"") / INDEX(GOOGLEFINANCE(C88, ""price"", EDATE(TODAY(), -6), TODAY()), 2, 2)) - 1, """")"),"")</f>
        <v/>
      </c>
      <c r="P88" s="21" t="str">
        <f>IFERROR(__xludf.DUMMYFUNCTION("IFERROR((GOOGLEFINANCE(C88, ""price"") / INDEX(GOOGLEFINANCE(C88, ""price"", EDATE(TODAY(), -12), TODAY()), 2, 2)) - 1, """")"),"")</f>
        <v/>
      </c>
      <c r="Q88" s="6" t="str">
        <f>IFERROR(__xludf.DUMMYFUNCTION("AVERAGE(QUERY(GOOGLEFINANCE(C88, ""price"", TODAY()-80, TODAY()), ""SELECT Col2 WHERE Col2 IS NOT NULL ORDER BY Col1 DESC LIMIT 50"", 0))"),"#N/A")</f>
        <v>#N/A</v>
      </c>
      <c r="R88" s="24" t="str">
        <f>IFERROR(__xludf.DUMMYFUNCTION("IFERROR(
  LET(
    data, QUERY(GOOGLEFINANCE(C88,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GOOGLEFINANCE(C88, ""price"")) * 100,
    IF(calc=0, G88, calc)
  ), 
G88)"),"#N/A")</f>
        <v>#N/A</v>
      </c>
      <c r="S88" s="8" t="s">
        <v>15</v>
      </c>
      <c r="T88" s="26" t="str">
        <f>IFERROR(__xludf.DUMMYFUNCTION("IFERROR(TRANSPOSE(QUERY(IFERROR(SORT(GOOGLEFINANCE(C88, ""price"", WORKDAY(TODAY(), -40), TODAY()), 1, FALSE)), ""select Col2 where Col2 is not null limit 22 label Col2 ''"", 0)), """")"),"")</f>
        <v/>
      </c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8"/>
      <c r="AO88" s="28"/>
      <c r="AP88" s="29"/>
      <c r="AQ88" s="29" t="str">
        <f t="shared" ref="AQ88:BL88" si="91">T88/T$2</f>
        <v>#N/A</v>
      </c>
      <c r="AR88" s="29" t="str">
        <f t="shared" si="91"/>
        <v>#DIV/0!</v>
      </c>
      <c r="AS88" s="29" t="str">
        <f t="shared" si="91"/>
        <v>#DIV/0!</v>
      </c>
      <c r="AT88" s="29" t="str">
        <f t="shared" si="91"/>
        <v>#DIV/0!</v>
      </c>
      <c r="AU88" s="29" t="str">
        <f t="shared" si="91"/>
        <v>#DIV/0!</v>
      </c>
      <c r="AV88" s="29" t="str">
        <f t="shared" si="91"/>
        <v>#DIV/0!</v>
      </c>
      <c r="AW88" s="29" t="str">
        <f t="shared" si="91"/>
        <v>#DIV/0!</v>
      </c>
      <c r="AX88" s="29" t="str">
        <f t="shared" si="91"/>
        <v>#DIV/0!</v>
      </c>
      <c r="AY88" s="29" t="str">
        <f t="shared" si="91"/>
        <v>#DIV/0!</v>
      </c>
      <c r="AZ88" s="29" t="str">
        <f t="shared" si="91"/>
        <v>#DIV/0!</v>
      </c>
      <c r="BA88" s="29" t="str">
        <f t="shared" si="91"/>
        <v>#DIV/0!</v>
      </c>
      <c r="BB88" s="29" t="str">
        <f t="shared" si="91"/>
        <v>#DIV/0!</v>
      </c>
      <c r="BC88" s="29" t="str">
        <f t="shared" si="91"/>
        <v>#DIV/0!</v>
      </c>
      <c r="BD88" s="29" t="str">
        <f t="shared" si="91"/>
        <v>#DIV/0!</v>
      </c>
      <c r="BE88" s="29" t="str">
        <f t="shared" si="91"/>
        <v>#DIV/0!</v>
      </c>
      <c r="BF88" s="29" t="str">
        <f t="shared" si="91"/>
        <v>#DIV/0!</v>
      </c>
      <c r="BG88" s="29" t="str">
        <f t="shared" si="91"/>
        <v>#DIV/0!</v>
      </c>
      <c r="BH88" s="29" t="str">
        <f t="shared" si="91"/>
        <v>#DIV/0!</v>
      </c>
      <c r="BI88" s="29" t="str">
        <f t="shared" si="91"/>
        <v>#DIV/0!</v>
      </c>
      <c r="BJ88" s="29" t="str">
        <f t="shared" si="91"/>
        <v>#DIV/0!</v>
      </c>
      <c r="BK88" s="29" t="str">
        <f t="shared" si="91"/>
        <v>#DIV/0!</v>
      </c>
      <c r="BL88" s="29" t="str">
        <f t="shared" si="91"/>
        <v>#DIV/0!</v>
      </c>
      <c r="BM88" s="29" t="str">
        <f t="shared" si="3"/>
        <v>#DIV/0!</v>
      </c>
    </row>
    <row r="89">
      <c r="A89" s="16" t="str">
        <f>IFERROR(__xludf.DUMMYFUNCTION("IFERROR(SPARKLINE(SORT(MAP(TRANSPOSE(AQ89:BL89), LAMBDA(val, IF(ISNUMBER(val), PERCENTRANK(AQ89:BL89, val)+0.01, 0))), SEQUENCE(COLUMNS(AQ89:BL89)), FALSE), {""charttype"",""column""; ""color"",""chartreuse""; ""ymin"", 0; ""ymax"", 1.01; ""highcolor"", "&amp;"""darkgreen""; ""lowcolor"", ""red""}), """")"),"")</f>
        <v/>
      </c>
      <c r="B89" s="17" t="str">
        <f t="shared" si="4"/>
        <v/>
      </c>
      <c r="C89" s="1" t="s">
        <v>427</v>
      </c>
      <c r="D89" s="30" t="str">
        <f>IFERROR(__xludf.DUMMYFUNCTION("IFERROR(GOOGLEFINANCE(C89, ""NAME""))"),"International Paper Co")</f>
        <v>International Paper Co</v>
      </c>
      <c r="E89" s="30" t="s">
        <v>195</v>
      </c>
      <c r="F89" s="33" t="str">
        <f>IFERROR(__xludf.DUMMYFUNCTION("( (GOOGLEFINANCE(C89, ""price"") - Q89) / Q89 ) / (R89 / 100)"),"Loading...")</f>
        <v>Loading...</v>
      </c>
      <c r="G89" s="20" t="str">
        <f>IFERROR(__xludf.DUMMYFUNCTION("AVERAGE(ARRAYFORMULA(100 * (QUERY(GOOGLEFINANCE(C89, ""high"", TODAY()-40, TODAY()), ""SELECT Col2 WHERE Col2 IS NOT NULL ORDER BY Col1 DESC LIMIT 20"", 0) / QUERY(GOOGLEFINANCE(C89, ""low"", TODAY()-40, TODAY()), ""SELECT Col2 WHERE Col2 IS NOT NULL ORDE"&amp;"R BY Col1 DESC LIMIT 20"", 0) - 1)))"),"#N/A")</f>
        <v>#N/A</v>
      </c>
      <c r="H89" s="35" t="str">
        <f t="shared" si="6"/>
        <v/>
      </c>
      <c r="I89" s="35" t="str">
        <f t="shared" si="7"/>
        <v/>
      </c>
      <c r="J89" s="37" t="str">
        <f>IFERROR(__xludf.DUMMYFUNCTION("IFERROR(
  IF(C89="""",, 
    IFERROR(
      GOOGLEFINANCE(C89, ""price"") * GOOGLEFINANCE(C89, ""volumeavg""), 
      GOOGLEFINANCE(C89, ""price"") * AVERAGE(QUERY(GOOGLEFINANCE(C89, ""volume"", TODAY()-40, TODAY()), ""SELECT Col2 WHERE Col2 IS NOT NULL "&amp;"ORDER BY Col1 DESC LIMIT 20"", 0))
    )
  ), 
"""")"),"")</f>
        <v/>
      </c>
      <c r="K89" s="21" t="str">
        <f>IFERROR(__xludf.DUMMYFUNCTION("IFERROR(GOOGLEFINANCE(C89, ""changepct"") / 100, """")"),"")</f>
        <v/>
      </c>
      <c r="L89" s="21" t="str">
        <f>IFERROR(__xludf.DUMMYFUNCTION("IFERROR((GOOGLEFINANCE(C89, ""price"") / INDEX(GOOGLEFINANCE(C89, ""price"", TODAY()-7, TODAY()), 2, 2)) - 1, """")"),"")</f>
        <v/>
      </c>
      <c r="M89" s="21" t="str">
        <f>IFERROR(__xludf.DUMMYFUNCTION("IFERROR((GOOGLEFINANCE(C89, ""price"") / INDEX(GOOGLEFINANCE(C89, ""price"", EDATE(TODAY(), -1), TODAY()), 2, 2)) - 1, """")"),"")</f>
        <v/>
      </c>
      <c r="N89" s="21" t="str">
        <f>IFERROR(__xludf.DUMMYFUNCTION("IFERROR((GOOGLEFINANCE(C89, ""price"") / INDEX(GOOGLEFINANCE(C89, ""price"", EDATE(TODAY(), -3), TODAY()), 2, 2)) - 1, """")"),"")</f>
        <v/>
      </c>
      <c r="O89" s="21" t="str">
        <f>IFERROR(__xludf.DUMMYFUNCTION("IFERROR((GOOGLEFINANCE(C89, ""price"") / INDEX(GOOGLEFINANCE(C89, ""price"", EDATE(TODAY(), -6), TODAY()), 2, 2)) - 1, """")"),"")</f>
        <v/>
      </c>
      <c r="P89" s="21" t="str">
        <f>IFERROR(__xludf.DUMMYFUNCTION("IFERROR((GOOGLEFINANCE(C89, ""price"") / INDEX(GOOGLEFINANCE(C89, ""price"", EDATE(TODAY(), -12), TODAY()), 2, 2)) - 1, """")"),"")</f>
        <v/>
      </c>
      <c r="Q89" s="6" t="str">
        <f>IFERROR(__xludf.DUMMYFUNCTION("AVERAGE(QUERY(GOOGLEFINANCE(C89, ""price"", TODAY()-80, TODAY()), ""SELECT Col2 WHERE Col2 IS NOT NULL ORDER BY Col1 DESC LIMIT 50"", 0))"),"#N/A")</f>
        <v>#N/A</v>
      </c>
      <c r="R89" s="24" t="str">
        <f>IFERROR(__xludf.DUMMYFUNCTION("IFERROR(
  LET(
    data, QUERY(GOOGLEFINANCE(C89,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GOOGLEFINANCE(C89, ""price"")) * 100,
    IF(calc=0, G89, calc)
  ), 
G89)"),"#N/A")</f>
        <v>#N/A</v>
      </c>
      <c r="S89" s="8" t="s">
        <v>15</v>
      </c>
      <c r="T89" s="26" t="str">
        <f>IFERROR(__xludf.DUMMYFUNCTION("IFERROR(TRANSPOSE(QUERY(IFERROR(SORT(GOOGLEFINANCE(C89, ""price"", WORKDAY(TODAY(), -40), TODAY()), 1, FALSE)), ""select Col2 where Col2 is not null limit 22 label Col2 ''"", 0)), """")"),"")</f>
        <v/>
      </c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8"/>
      <c r="AO89" s="28"/>
      <c r="AP89" s="29"/>
      <c r="AQ89" s="29" t="str">
        <f t="shared" ref="AQ89:BL89" si="92">T89/T$2</f>
        <v>#N/A</v>
      </c>
      <c r="AR89" s="29" t="str">
        <f t="shared" si="92"/>
        <v>#DIV/0!</v>
      </c>
      <c r="AS89" s="29" t="str">
        <f t="shared" si="92"/>
        <v>#DIV/0!</v>
      </c>
      <c r="AT89" s="29" t="str">
        <f t="shared" si="92"/>
        <v>#DIV/0!</v>
      </c>
      <c r="AU89" s="29" t="str">
        <f t="shared" si="92"/>
        <v>#DIV/0!</v>
      </c>
      <c r="AV89" s="29" t="str">
        <f t="shared" si="92"/>
        <v>#DIV/0!</v>
      </c>
      <c r="AW89" s="29" t="str">
        <f t="shared" si="92"/>
        <v>#DIV/0!</v>
      </c>
      <c r="AX89" s="29" t="str">
        <f t="shared" si="92"/>
        <v>#DIV/0!</v>
      </c>
      <c r="AY89" s="29" t="str">
        <f t="shared" si="92"/>
        <v>#DIV/0!</v>
      </c>
      <c r="AZ89" s="29" t="str">
        <f t="shared" si="92"/>
        <v>#DIV/0!</v>
      </c>
      <c r="BA89" s="29" t="str">
        <f t="shared" si="92"/>
        <v>#DIV/0!</v>
      </c>
      <c r="BB89" s="29" t="str">
        <f t="shared" si="92"/>
        <v>#DIV/0!</v>
      </c>
      <c r="BC89" s="29" t="str">
        <f t="shared" si="92"/>
        <v>#DIV/0!</v>
      </c>
      <c r="BD89" s="29" t="str">
        <f t="shared" si="92"/>
        <v>#DIV/0!</v>
      </c>
      <c r="BE89" s="29" t="str">
        <f t="shared" si="92"/>
        <v>#DIV/0!</v>
      </c>
      <c r="BF89" s="29" t="str">
        <f t="shared" si="92"/>
        <v>#DIV/0!</v>
      </c>
      <c r="BG89" s="29" t="str">
        <f t="shared" si="92"/>
        <v>#DIV/0!</v>
      </c>
      <c r="BH89" s="29" t="str">
        <f t="shared" si="92"/>
        <v>#DIV/0!</v>
      </c>
      <c r="BI89" s="29" t="str">
        <f t="shared" si="92"/>
        <v>#DIV/0!</v>
      </c>
      <c r="BJ89" s="29" t="str">
        <f t="shared" si="92"/>
        <v>#DIV/0!</v>
      </c>
      <c r="BK89" s="29" t="str">
        <f t="shared" si="92"/>
        <v>#DIV/0!</v>
      </c>
      <c r="BL89" s="29" t="str">
        <f t="shared" si="92"/>
        <v>#DIV/0!</v>
      </c>
      <c r="BM89" s="29" t="str">
        <f t="shared" si="3"/>
        <v>#DIV/0!</v>
      </c>
    </row>
    <row r="90">
      <c r="A90" s="16" t="str">
        <f>IFERROR(__xludf.DUMMYFUNCTION("IFERROR(SPARKLINE(SORT(MAP(TRANSPOSE(AQ90:BL90), LAMBDA(val, IF(ISNUMBER(val), PERCENTRANK(AQ90:BL90, val)+0.01, 0))), SEQUENCE(COLUMNS(AQ90:BL90)), FALSE), {""charttype"",""column""; ""color"",""chartreuse""; ""ymin"", 0; ""ymax"", 1.01; ""highcolor"", "&amp;"""darkgreen""; ""lowcolor"", ""red""}), """")"),"")</f>
        <v/>
      </c>
      <c r="B90" s="17" t="str">
        <f t="shared" si="4"/>
        <v/>
      </c>
      <c r="C90" s="1" t="s">
        <v>431</v>
      </c>
      <c r="D90" s="30" t="str">
        <f>IFERROR(__xludf.DUMMYFUNCTION("IFERROR(GOOGLEFINANCE(C90, ""NAME""))"),"Choice Hotels International Inc")</f>
        <v>Choice Hotels International Inc</v>
      </c>
      <c r="E90" s="30" t="s">
        <v>258</v>
      </c>
      <c r="F90" s="33" t="str">
        <f>IFERROR(__xludf.DUMMYFUNCTION("( (GOOGLEFINANCE(C90, ""price"") - Q90) / Q90 ) / (R90 / 100)"),"Loading...")</f>
        <v>Loading...</v>
      </c>
      <c r="G90" s="20" t="str">
        <f>IFERROR(__xludf.DUMMYFUNCTION("AVERAGE(ARRAYFORMULA(100 * (QUERY(GOOGLEFINANCE(C90, ""high"", TODAY()-40, TODAY()), ""SELECT Col2 WHERE Col2 IS NOT NULL ORDER BY Col1 DESC LIMIT 20"", 0) / QUERY(GOOGLEFINANCE(C90, ""low"", TODAY()-40, TODAY()), ""SELECT Col2 WHERE Col2 IS NOT NULL ORDE"&amp;"R BY Col1 DESC LIMIT 20"", 0) - 1)))"),"#N/A")</f>
        <v>#N/A</v>
      </c>
      <c r="H90" s="35" t="str">
        <f t="shared" si="6"/>
        <v/>
      </c>
      <c r="I90" s="35" t="str">
        <f t="shared" si="7"/>
        <v/>
      </c>
      <c r="J90" s="37" t="str">
        <f>IFERROR(__xludf.DUMMYFUNCTION("IFERROR(
  IF(C90="""",, 
    IFERROR(
      GOOGLEFINANCE(C90, ""price"") * GOOGLEFINANCE(C90, ""volumeavg""), 
      GOOGLEFINANCE(C90, ""price"") * AVERAGE(QUERY(GOOGLEFINANCE(C90, ""volume"", TODAY()-40, TODAY()), ""SELECT Col2 WHERE Col2 IS NOT NULL "&amp;"ORDER BY Col1 DESC LIMIT 20"", 0))
    )
  ), 
"""")"),"")</f>
        <v/>
      </c>
      <c r="K90" s="21" t="str">
        <f>IFERROR(__xludf.DUMMYFUNCTION("IFERROR(GOOGLEFINANCE(C90, ""changepct"") / 100, """")"),"")</f>
        <v/>
      </c>
      <c r="L90" s="21" t="str">
        <f>IFERROR(__xludf.DUMMYFUNCTION("IFERROR((GOOGLEFINANCE(C90, ""price"") / INDEX(GOOGLEFINANCE(C90, ""price"", TODAY()-7, TODAY()), 2, 2)) - 1, """")"),"")</f>
        <v/>
      </c>
      <c r="M90" s="21" t="str">
        <f>IFERROR(__xludf.DUMMYFUNCTION("IFERROR((GOOGLEFINANCE(C90, ""price"") / INDEX(GOOGLEFINANCE(C90, ""price"", EDATE(TODAY(), -1), TODAY()), 2, 2)) - 1, """")"),"")</f>
        <v/>
      </c>
      <c r="N90" s="21" t="str">
        <f>IFERROR(__xludf.DUMMYFUNCTION("IFERROR((GOOGLEFINANCE(C90, ""price"") / INDEX(GOOGLEFINANCE(C90, ""price"", EDATE(TODAY(), -3), TODAY()), 2, 2)) - 1, """")"),"")</f>
        <v/>
      </c>
      <c r="O90" s="21" t="str">
        <f>IFERROR(__xludf.DUMMYFUNCTION("IFERROR((GOOGLEFINANCE(C90, ""price"") / INDEX(GOOGLEFINANCE(C90, ""price"", EDATE(TODAY(), -6), TODAY()), 2, 2)) - 1, """")"),"")</f>
        <v/>
      </c>
      <c r="P90" s="21" t="str">
        <f>IFERROR(__xludf.DUMMYFUNCTION("IFERROR((GOOGLEFINANCE(C90, ""price"") / INDEX(GOOGLEFINANCE(C90, ""price"", EDATE(TODAY(), -12), TODAY()), 2, 2)) - 1, """")"),"")</f>
        <v/>
      </c>
      <c r="Q90" s="6" t="str">
        <f>IFERROR(__xludf.DUMMYFUNCTION("AVERAGE(QUERY(GOOGLEFINANCE(C90, ""price"", TODAY()-80, TODAY()), ""SELECT Col2 WHERE Col2 IS NOT NULL ORDER BY Col1 DESC LIMIT 50"", 0))"),"#N/A")</f>
        <v>#N/A</v>
      </c>
      <c r="R90" s="24" t="str">
        <f>IFERROR(__xludf.DUMMYFUNCTION("IFERROR(
  LET(
    data, QUERY(GOOGLEFINANCE(C90,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GOOGLEFINANCE(C90, ""price"")) * 100,
    IF(calc=0, G90, calc)
  ), 
G90)"),"#N/A")</f>
        <v>#N/A</v>
      </c>
      <c r="S90" s="8" t="s">
        <v>15</v>
      </c>
      <c r="T90" s="26" t="str">
        <f>IFERROR(__xludf.DUMMYFUNCTION("IFERROR(TRANSPOSE(QUERY(IFERROR(SORT(GOOGLEFINANCE(C90, ""price"", WORKDAY(TODAY(), -40), TODAY()), 1, FALSE)), ""select Col2 where Col2 is not null limit 22 label Col2 ''"", 0)), """")"),"")</f>
        <v/>
      </c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8"/>
      <c r="AO90" s="28"/>
      <c r="AP90" s="29"/>
      <c r="AQ90" s="29" t="str">
        <f t="shared" ref="AQ90:BL90" si="93">T90/T$2</f>
        <v>#N/A</v>
      </c>
      <c r="AR90" s="29" t="str">
        <f t="shared" si="93"/>
        <v>#DIV/0!</v>
      </c>
      <c r="AS90" s="29" t="str">
        <f t="shared" si="93"/>
        <v>#DIV/0!</v>
      </c>
      <c r="AT90" s="29" t="str">
        <f t="shared" si="93"/>
        <v>#DIV/0!</v>
      </c>
      <c r="AU90" s="29" t="str">
        <f t="shared" si="93"/>
        <v>#DIV/0!</v>
      </c>
      <c r="AV90" s="29" t="str">
        <f t="shared" si="93"/>
        <v>#DIV/0!</v>
      </c>
      <c r="AW90" s="29" t="str">
        <f t="shared" si="93"/>
        <v>#DIV/0!</v>
      </c>
      <c r="AX90" s="29" t="str">
        <f t="shared" si="93"/>
        <v>#DIV/0!</v>
      </c>
      <c r="AY90" s="29" t="str">
        <f t="shared" si="93"/>
        <v>#DIV/0!</v>
      </c>
      <c r="AZ90" s="29" t="str">
        <f t="shared" si="93"/>
        <v>#DIV/0!</v>
      </c>
      <c r="BA90" s="29" t="str">
        <f t="shared" si="93"/>
        <v>#DIV/0!</v>
      </c>
      <c r="BB90" s="29" t="str">
        <f t="shared" si="93"/>
        <v>#DIV/0!</v>
      </c>
      <c r="BC90" s="29" t="str">
        <f t="shared" si="93"/>
        <v>#DIV/0!</v>
      </c>
      <c r="BD90" s="29" t="str">
        <f t="shared" si="93"/>
        <v>#DIV/0!</v>
      </c>
      <c r="BE90" s="29" t="str">
        <f t="shared" si="93"/>
        <v>#DIV/0!</v>
      </c>
      <c r="BF90" s="29" t="str">
        <f t="shared" si="93"/>
        <v>#DIV/0!</v>
      </c>
      <c r="BG90" s="29" t="str">
        <f t="shared" si="93"/>
        <v>#DIV/0!</v>
      </c>
      <c r="BH90" s="29" t="str">
        <f t="shared" si="93"/>
        <v>#DIV/0!</v>
      </c>
      <c r="BI90" s="29" t="str">
        <f t="shared" si="93"/>
        <v>#DIV/0!</v>
      </c>
      <c r="BJ90" s="29" t="str">
        <f t="shared" si="93"/>
        <v>#DIV/0!</v>
      </c>
      <c r="BK90" s="29" t="str">
        <f t="shared" si="93"/>
        <v>#DIV/0!</v>
      </c>
      <c r="BL90" s="29" t="str">
        <f t="shared" si="93"/>
        <v>#DIV/0!</v>
      </c>
      <c r="BM90" s="29" t="str">
        <f t="shared" si="3"/>
        <v>#DIV/0!</v>
      </c>
    </row>
    <row r="91">
      <c r="A91" s="16" t="str">
        <f>IFERROR(__xludf.DUMMYFUNCTION("IFERROR(SPARKLINE(SORT(MAP(TRANSPOSE(AQ91:BL91), LAMBDA(val, IF(ISNUMBER(val), PERCENTRANK(AQ91:BL91, val)+0.01, 0))), SEQUENCE(COLUMNS(AQ91:BL91)), FALSE), {""charttype"",""column""; ""color"",""chartreuse""; ""ymin"", 0; ""ymax"", 1.01; ""highcolor"", "&amp;"""darkgreen""; ""lowcolor"", ""red""}), """")"),"")</f>
        <v/>
      </c>
      <c r="B91" s="17" t="str">
        <f t="shared" si="4"/>
        <v/>
      </c>
      <c r="C91" s="1" t="s">
        <v>436</v>
      </c>
      <c r="D91" s="30" t="str">
        <f>IFERROR(__xludf.DUMMYFUNCTION("IFERROR(GOOGLEFINANCE(C91, ""NAME""))"),"Codere Online Luxembourg SA")</f>
        <v>Codere Online Luxembourg SA</v>
      </c>
      <c r="E91" s="30" t="s">
        <v>234</v>
      </c>
      <c r="F91" s="33" t="str">
        <f>IFERROR(__xludf.DUMMYFUNCTION("( (GOOGLEFINANCE(C91, ""price"") - Q91) / Q91 ) / (R91 / 100)"),"Loading...")</f>
        <v>Loading...</v>
      </c>
      <c r="G91" s="20" t="str">
        <f>IFERROR(__xludf.DUMMYFUNCTION("AVERAGE(ARRAYFORMULA(100 * (QUERY(GOOGLEFINANCE(C91, ""high"", TODAY()-40, TODAY()), ""SELECT Col2 WHERE Col2 IS NOT NULL ORDER BY Col1 DESC LIMIT 20"", 0) / QUERY(GOOGLEFINANCE(C91, ""low"", TODAY()-40, TODAY()), ""SELECT Col2 WHERE Col2 IS NOT NULL ORDE"&amp;"R BY Col1 DESC LIMIT 20"", 0) - 1)))"),"#N/A")</f>
        <v>#N/A</v>
      </c>
      <c r="H91" s="35" t="str">
        <f t="shared" si="6"/>
        <v/>
      </c>
      <c r="I91" s="35" t="str">
        <f t="shared" si="7"/>
        <v/>
      </c>
      <c r="J91" s="37" t="str">
        <f>IFERROR(__xludf.DUMMYFUNCTION("IFERROR(
  IF(C91="""",, 
    IFERROR(
      GOOGLEFINANCE(C91, ""price"") * GOOGLEFINANCE(C91, ""volumeavg""), 
      GOOGLEFINANCE(C91, ""price"") * AVERAGE(QUERY(GOOGLEFINANCE(C91, ""volume"", TODAY()-40, TODAY()), ""SELECT Col2 WHERE Col2 IS NOT NULL "&amp;"ORDER BY Col1 DESC LIMIT 20"", 0))
    )
  ), 
"""")"),"")</f>
        <v/>
      </c>
      <c r="K91" s="21" t="str">
        <f>IFERROR(__xludf.DUMMYFUNCTION("IFERROR(GOOGLEFINANCE(C91, ""changepct"") / 100, """")"),"")</f>
        <v/>
      </c>
      <c r="L91" s="21" t="str">
        <f>IFERROR(__xludf.DUMMYFUNCTION("IFERROR((GOOGLEFINANCE(C91, ""price"") / INDEX(GOOGLEFINANCE(C91, ""price"", TODAY()-7, TODAY()), 2, 2)) - 1, """")"),"")</f>
        <v/>
      </c>
      <c r="M91" s="21" t="str">
        <f>IFERROR(__xludf.DUMMYFUNCTION("IFERROR((GOOGLEFINANCE(C91, ""price"") / INDEX(GOOGLEFINANCE(C91, ""price"", EDATE(TODAY(), -1), TODAY()), 2, 2)) - 1, """")"),"")</f>
        <v/>
      </c>
      <c r="N91" s="21" t="str">
        <f>IFERROR(__xludf.DUMMYFUNCTION("IFERROR((GOOGLEFINANCE(C91, ""price"") / INDEX(GOOGLEFINANCE(C91, ""price"", EDATE(TODAY(), -3), TODAY()), 2, 2)) - 1, """")"),"")</f>
        <v/>
      </c>
      <c r="O91" s="21" t="str">
        <f>IFERROR(__xludf.DUMMYFUNCTION("IFERROR((GOOGLEFINANCE(C91, ""price"") / INDEX(GOOGLEFINANCE(C91, ""price"", EDATE(TODAY(), -6), TODAY()), 2, 2)) - 1, """")"),"")</f>
        <v/>
      </c>
      <c r="P91" s="21" t="str">
        <f>IFERROR(__xludf.DUMMYFUNCTION("IFERROR((GOOGLEFINANCE(C91, ""price"") / INDEX(GOOGLEFINANCE(C91, ""price"", EDATE(TODAY(), -12), TODAY()), 2, 2)) - 1, """")"),"")</f>
        <v/>
      </c>
      <c r="Q91" s="6" t="str">
        <f>IFERROR(__xludf.DUMMYFUNCTION("AVERAGE(QUERY(GOOGLEFINANCE(C91, ""price"", TODAY()-80, TODAY()), ""SELECT Col2 WHERE Col2 IS NOT NULL ORDER BY Col1 DESC LIMIT 50"", 0))"),"#N/A")</f>
        <v>#N/A</v>
      </c>
      <c r="R91" s="24" t="str">
        <f>IFERROR(__xludf.DUMMYFUNCTION("IFERROR(
  LET(
    data, QUERY(GOOGLEFINANCE(C91,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GOOGLEFINANCE(C91, ""price"")) * 100,
    IF(calc=0, G91, calc)
  ), 
G91)"),"#N/A")</f>
        <v>#N/A</v>
      </c>
      <c r="S91" s="8" t="s">
        <v>15</v>
      </c>
      <c r="T91" s="26" t="str">
        <f>IFERROR(__xludf.DUMMYFUNCTION("IFERROR(TRANSPOSE(QUERY(IFERROR(SORT(GOOGLEFINANCE(C91, ""price"", WORKDAY(TODAY(), -40), TODAY()), 1, FALSE)), ""select Col2 where Col2 is not null limit 22 label Col2 ''"", 0)), """")"),"")</f>
        <v/>
      </c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8"/>
      <c r="AO91" s="28"/>
      <c r="AP91" s="29"/>
      <c r="AQ91" s="29" t="str">
        <f t="shared" ref="AQ91:BL91" si="94">T91/T$2</f>
        <v>#N/A</v>
      </c>
      <c r="AR91" s="29" t="str">
        <f t="shared" si="94"/>
        <v>#DIV/0!</v>
      </c>
      <c r="AS91" s="29" t="str">
        <f t="shared" si="94"/>
        <v>#DIV/0!</v>
      </c>
      <c r="AT91" s="29" t="str">
        <f t="shared" si="94"/>
        <v>#DIV/0!</v>
      </c>
      <c r="AU91" s="29" t="str">
        <f t="shared" si="94"/>
        <v>#DIV/0!</v>
      </c>
      <c r="AV91" s="29" t="str">
        <f t="shared" si="94"/>
        <v>#DIV/0!</v>
      </c>
      <c r="AW91" s="29" t="str">
        <f t="shared" si="94"/>
        <v>#DIV/0!</v>
      </c>
      <c r="AX91" s="29" t="str">
        <f t="shared" si="94"/>
        <v>#DIV/0!</v>
      </c>
      <c r="AY91" s="29" t="str">
        <f t="shared" si="94"/>
        <v>#DIV/0!</v>
      </c>
      <c r="AZ91" s="29" t="str">
        <f t="shared" si="94"/>
        <v>#DIV/0!</v>
      </c>
      <c r="BA91" s="29" t="str">
        <f t="shared" si="94"/>
        <v>#DIV/0!</v>
      </c>
      <c r="BB91" s="29" t="str">
        <f t="shared" si="94"/>
        <v>#DIV/0!</v>
      </c>
      <c r="BC91" s="29" t="str">
        <f t="shared" si="94"/>
        <v>#DIV/0!</v>
      </c>
      <c r="BD91" s="29" t="str">
        <f t="shared" si="94"/>
        <v>#DIV/0!</v>
      </c>
      <c r="BE91" s="29" t="str">
        <f t="shared" si="94"/>
        <v>#DIV/0!</v>
      </c>
      <c r="BF91" s="29" t="str">
        <f t="shared" si="94"/>
        <v>#DIV/0!</v>
      </c>
      <c r="BG91" s="29" t="str">
        <f t="shared" si="94"/>
        <v>#DIV/0!</v>
      </c>
      <c r="BH91" s="29" t="str">
        <f t="shared" si="94"/>
        <v>#DIV/0!</v>
      </c>
      <c r="BI91" s="29" t="str">
        <f t="shared" si="94"/>
        <v>#DIV/0!</v>
      </c>
      <c r="BJ91" s="29" t="str">
        <f t="shared" si="94"/>
        <v>#DIV/0!</v>
      </c>
      <c r="BK91" s="29" t="str">
        <f t="shared" si="94"/>
        <v>#DIV/0!</v>
      </c>
      <c r="BL91" s="29" t="str">
        <f t="shared" si="94"/>
        <v>#DIV/0!</v>
      </c>
      <c r="BM91" s="29" t="str">
        <f t="shared" si="3"/>
        <v>#DIV/0!</v>
      </c>
    </row>
    <row r="92">
      <c r="A92" s="16" t="str">
        <f>IFERROR(__xludf.DUMMYFUNCTION("IFERROR(SPARKLINE(SORT(MAP(TRANSPOSE(AQ92:BL92), LAMBDA(val, IF(ISNUMBER(val), PERCENTRANK(AQ92:BL92, val)+0.01, 0))), SEQUENCE(COLUMNS(AQ92:BL92)), FALSE), {""charttype"",""column""; ""color"",""chartreuse""; ""ymin"", 0; ""ymax"", 1.01; ""highcolor"", "&amp;"""darkgreen""; ""lowcolor"", ""red""}), """")"),"")</f>
        <v/>
      </c>
      <c r="B92" s="17" t="str">
        <f t="shared" si="4"/>
        <v/>
      </c>
      <c r="C92" s="1" t="s">
        <v>440</v>
      </c>
      <c r="D92" s="30" t="str">
        <f>IFERROR(__xludf.DUMMYFUNCTION("IFERROR(GOOGLEFINANCE(C92, ""NAME""))"),"Xpeng Inc - ADR")</f>
        <v>Xpeng Inc - ADR</v>
      </c>
      <c r="E92" s="30" t="s">
        <v>129</v>
      </c>
      <c r="F92" s="33" t="str">
        <f>IFERROR(__xludf.DUMMYFUNCTION("( (GOOGLEFINANCE(C92, ""price"") - Q92) / Q92 ) / (R92 / 100)"),"Loading...")</f>
        <v>Loading...</v>
      </c>
      <c r="G92" s="20" t="str">
        <f>IFERROR(__xludf.DUMMYFUNCTION("AVERAGE(ARRAYFORMULA(100 * (QUERY(GOOGLEFINANCE(C92, ""high"", TODAY()-40, TODAY()), ""SELECT Col2 WHERE Col2 IS NOT NULL ORDER BY Col1 DESC LIMIT 20"", 0) / QUERY(GOOGLEFINANCE(C92, ""low"", TODAY()-40, TODAY()), ""SELECT Col2 WHERE Col2 IS NOT NULL ORDE"&amp;"R BY Col1 DESC LIMIT 20"", 0) - 1)))"),"#N/A")</f>
        <v>#N/A</v>
      </c>
      <c r="H92" s="35" t="str">
        <f t="shared" si="6"/>
        <v/>
      </c>
      <c r="I92" s="35" t="str">
        <f t="shared" si="7"/>
        <v/>
      </c>
      <c r="J92" s="37" t="str">
        <f>IFERROR(__xludf.DUMMYFUNCTION("IFERROR(
  IF(C92="""",, 
    IFERROR(
      GOOGLEFINANCE(C92, ""price"") * GOOGLEFINANCE(C92, ""volumeavg""), 
      GOOGLEFINANCE(C92, ""price"") * AVERAGE(QUERY(GOOGLEFINANCE(C92, ""volume"", TODAY()-40, TODAY()), ""SELECT Col2 WHERE Col2 IS NOT NULL "&amp;"ORDER BY Col1 DESC LIMIT 20"", 0))
    )
  ), 
"""")"),"")</f>
        <v/>
      </c>
      <c r="K92" s="21" t="str">
        <f>IFERROR(__xludf.DUMMYFUNCTION("IFERROR(GOOGLEFINANCE(C92, ""changepct"") / 100, """")"),"")</f>
        <v/>
      </c>
      <c r="L92" s="21" t="str">
        <f>IFERROR(__xludf.DUMMYFUNCTION("IFERROR((GOOGLEFINANCE(C92, ""price"") / INDEX(GOOGLEFINANCE(C92, ""price"", TODAY()-7, TODAY()), 2, 2)) - 1, """")"),"")</f>
        <v/>
      </c>
      <c r="M92" s="21" t="str">
        <f>IFERROR(__xludf.DUMMYFUNCTION("IFERROR((GOOGLEFINANCE(C92, ""price"") / INDEX(GOOGLEFINANCE(C92, ""price"", EDATE(TODAY(), -1), TODAY()), 2, 2)) - 1, """")"),"")</f>
        <v/>
      </c>
      <c r="N92" s="21" t="str">
        <f>IFERROR(__xludf.DUMMYFUNCTION("IFERROR((GOOGLEFINANCE(C92, ""price"") / INDEX(GOOGLEFINANCE(C92, ""price"", EDATE(TODAY(), -3), TODAY()), 2, 2)) - 1, """")"),"")</f>
        <v/>
      </c>
      <c r="O92" s="21" t="str">
        <f>IFERROR(__xludf.DUMMYFUNCTION("IFERROR((GOOGLEFINANCE(C92, ""price"") / INDEX(GOOGLEFINANCE(C92, ""price"", EDATE(TODAY(), -6), TODAY()), 2, 2)) - 1, """")"),"")</f>
        <v/>
      </c>
      <c r="P92" s="21" t="str">
        <f>IFERROR(__xludf.DUMMYFUNCTION("IFERROR((GOOGLEFINANCE(C92, ""price"") / INDEX(GOOGLEFINANCE(C92, ""price"", EDATE(TODAY(), -12), TODAY()), 2, 2)) - 1, """")"),"")</f>
        <v/>
      </c>
      <c r="Q92" s="6" t="str">
        <f>IFERROR(__xludf.DUMMYFUNCTION("AVERAGE(QUERY(GOOGLEFINANCE(C92, ""price"", TODAY()-80, TODAY()), ""SELECT Col2 WHERE Col2 IS NOT NULL ORDER BY Col1 DESC LIMIT 50"", 0))"),"#N/A")</f>
        <v>#N/A</v>
      </c>
      <c r="R92" s="24" t="str">
        <f>IFERROR(__xludf.DUMMYFUNCTION("IFERROR(
  LET(
    data, QUERY(GOOGLEFINANCE(C92,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GOOGLEFINANCE(C92, ""price"")) * 100,
    IF(calc=0, G92, calc)
  ), 
G92)"),"#N/A")</f>
        <v>#N/A</v>
      </c>
      <c r="S92" s="8" t="s">
        <v>15</v>
      </c>
      <c r="T92" s="26" t="str">
        <f>IFERROR(__xludf.DUMMYFUNCTION("IFERROR(TRANSPOSE(QUERY(IFERROR(SORT(GOOGLEFINANCE(C92, ""price"", WORKDAY(TODAY(), -40), TODAY()), 1, FALSE)), ""select Col2 where Col2 is not null limit 22 label Col2 ''"", 0)), """")"),"")</f>
        <v/>
      </c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8"/>
      <c r="AO92" s="28"/>
      <c r="AP92" s="29"/>
      <c r="AQ92" s="29" t="str">
        <f t="shared" ref="AQ92:BL92" si="95">T92/T$2</f>
        <v>#N/A</v>
      </c>
      <c r="AR92" s="29" t="str">
        <f t="shared" si="95"/>
        <v>#DIV/0!</v>
      </c>
      <c r="AS92" s="29" t="str">
        <f t="shared" si="95"/>
        <v>#DIV/0!</v>
      </c>
      <c r="AT92" s="29" t="str">
        <f t="shared" si="95"/>
        <v>#DIV/0!</v>
      </c>
      <c r="AU92" s="29" t="str">
        <f t="shared" si="95"/>
        <v>#DIV/0!</v>
      </c>
      <c r="AV92" s="29" t="str">
        <f t="shared" si="95"/>
        <v>#DIV/0!</v>
      </c>
      <c r="AW92" s="29" t="str">
        <f t="shared" si="95"/>
        <v>#DIV/0!</v>
      </c>
      <c r="AX92" s="29" t="str">
        <f t="shared" si="95"/>
        <v>#DIV/0!</v>
      </c>
      <c r="AY92" s="29" t="str">
        <f t="shared" si="95"/>
        <v>#DIV/0!</v>
      </c>
      <c r="AZ92" s="29" t="str">
        <f t="shared" si="95"/>
        <v>#DIV/0!</v>
      </c>
      <c r="BA92" s="29" t="str">
        <f t="shared" si="95"/>
        <v>#DIV/0!</v>
      </c>
      <c r="BB92" s="29" t="str">
        <f t="shared" si="95"/>
        <v>#DIV/0!</v>
      </c>
      <c r="BC92" s="29" t="str">
        <f t="shared" si="95"/>
        <v>#DIV/0!</v>
      </c>
      <c r="BD92" s="29" t="str">
        <f t="shared" si="95"/>
        <v>#DIV/0!</v>
      </c>
      <c r="BE92" s="29" t="str">
        <f t="shared" si="95"/>
        <v>#DIV/0!</v>
      </c>
      <c r="BF92" s="29" t="str">
        <f t="shared" si="95"/>
        <v>#DIV/0!</v>
      </c>
      <c r="BG92" s="29" t="str">
        <f t="shared" si="95"/>
        <v>#DIV/0!</v>
      </c>
      <c r="BH92" s="29" t="str">
        <f t="shared" si="95"/>
        <v>#DIV/0!</v>
      </c>
      <c r="BI92" s="29" t="str">
        <f t="shared" si="95"/>
        <v>#DIV/0!</v>
      </c>
      <c r="BJ92" s="29" t="str">
        <f t="shared" si="95"/>
        <v>#DIV/0!</v>
      </c>
      <c r="BK92" s="29" t="str">
        <f t="shared" si="95"/>
        <v>#DIV/0!</v>
      </c>
      <c r="BL92" s="29" t="str">
        <f t="shared" si="95"/>
        <v>#DIV/0!</v>
      </c>
      <c r="BM92" s="29" t="str">
        <f t="shared" si="3"/>
        <v>#DIV/0!</v>
      </c>
    </row>
    <row r="93">
      <c r="A93" s="16" t="str">
        <f>IFERROR(__xludf.DUMMYFUNCTION("IFERROR(SPARKLINE(SORT(MAP(TRANSPOSE(AQ93:BL93), LAMBDA(val, IF(ISNUMBER(val), PERCENTRANK(AQ93:BL93, val)+0.01, 0))), SEQUENCE(COLUMNS(AQ93:BL93)), FALSE), {""charttype"",""column""; ""color"",""chartreuse""; ""ymin"", 0; ""ymax"", 1.01; ""highcolor"", "&amp;"""darkgreen""; ""lowcolor"", ""red""}), """")"),"")</f>
        <v/>
      </c>
      <c r="B93" s="17" t="str">
        <f t="shared" si="4"/>
        <v/>
      </c>
      <c r="C93" s="1" t="s">
        <v>445</v>
      </c>
      <c r="D93" s="30" t="str">
        <f>IFERROR(__xludf.DUMMYFUNCTION("IFERROR(GOOGLEFINANCE(C93, ""NAME""))"),"Six Flags Entertainment Corp")</f>
        <v>Six Flags Entertainment Corp</v>
      </c>
      <c r="E93" s="30" t="s">
        <v>158</v>
      </c>
      <c r="F93" s="33" t="str">
        <f>IFERROR(__xludf.DUMMYFUNCTION("( (GOOGLEFINANCE(C93, ""price"") - Q93) / Q93 ) / (R93 / 100)"),"Loading...")</f>
        <v>Loading...</v>
      </c>
      <c r="G93" s="20" t="str">
        <f>IFERROR(__xludf.DUMMYFUNCTION("AVERAGE(ARRAYFORMULA(100 * (QUERY(GOOGLEFINANCE(C93, ""high"", TODAY()-40, TODAY()), ""SELECT Col2 WHERE Col2 IS NOT NULL ORDER BY Col1 DESC LIMIT 20"", 0) / QUERY(GOOGLEFINANCE(C93, ""low"", TODAY()-40, TODAY()), ""SELECT Col2 WHERE Col2 IS NOT NULL ORDE"&amp;"R BY Col1 DESC LIMIT 20"", 0) - 1)))"),"#N/A")</f>
        <v>#N/A</v>
      </c>
      <c r="H93" s="35" t="str">
        <f t="shared" si="6"/>
        <v/>
      </c>
      <c r="I93" s="35" t="str">
        <f t="shared" si="7"/>
        <v/>
      </c>
      <c r="J93" s="37" t="str">
        <f>IFERROR(__xludf.DUMMYFUNCTION("IFERROR(
  IF(C93="""",, 
    IFERROR(
      GOOGLEFINANCE(C93, ""price"") * GOOGLEFINANCE(C93, ""volumeavg""), 
      GOOGLEFINANCE(C93, ""price"") * AVERAGE(QUERY(GOOGLEFINANCE(C93, ""volume"", TODAY()-40, TODAY()), ""SELECT Col2 WHERE Col2 IS NOT NULL "&amp;"ORDER BY Col1 DESC LIMIT 20"", 0))
    )
  ), 
"""")"),"")</f>
        <v/>
      </c>
      <c r="K93" s="21" t="str">
        <f>IFERROR(__xludf.DUMMYFUNCTION("IFERROR(GOOGLEFINANCE(C93, ""changepct"") / 100, """")"),"")</f>
        <v/>
      </c>
      <c r="L93" s="21" t="str">
        <f>IFERROR(__xludf.DUMMYFUNCTION("IFERROR((GOOGLEFINANCE(C93, ""price"") / INDEX(GOOGLEFINANCE(C93, ""price"", TODAY()-7, TODAY()), 2, 2)) - 1, """")"),"")</f>
        <v/>
      </c>
      <c r="M93" s="21" t="str">
        <f>IFERROR(__xludf.DUMMYFUNCTION("IFERROR((GOOGLEFINANCE(C93, ""price"") / INDEX(GOOGLEFINANCE(C93, ""price"", EDATE(TODAY(), -1), TODAY()), 2, 2)) - 1, """")"),"")</f>
        <v/>
      </c>
      <c r="N93" s="21" t="str">
        <f>IFERROR(__xludf.DUMMYFUNCTION("IFERROR((GOOGLEFINANCE(C93, ""price"") / INDEX(GOOGLEFINANCE(C93, ""price"", EDATE(TODAY(), -3), TODAY()), 2, 2)) - 1, """")"),"")</f>
        <v/>
      </c>
      <c r="O93" s="21" t="str">
        <f>IFERROR(__xludf.DUMMYFUNCTION("IFERROR((GOOGLEFINANCE(C93, ""price"") / INDEX(GOOGLEFINANCE(C93, ""price"", EDATE(TODAY(), -6), TODAY()), 2, 2)) - 1, """")"),"")</f>
        <v/>
      </c>
      <c r="P93" s="21" t="str">
        <f>IFERROR(__xludf.DUMMYFUNCTION("IFERROR((GOOGLEFINANCE(C93, ""price"") / INDEX(GOOGLEFINANCE(C93, ""price"", EDATE(TODAY(), -12), TODAY()), 2, 2)) - 1, """")"),"")</f>
        <v/>
      </c>
      <c r="Q93" s="6" t="str">
        <f>IFERROR(__xludf.DUMMYFUNCTION("AVERAGE(QUERY(GOOGLEFINANCE(C93, ""price"", TODAY()-80, TODAY()), ""SELECT Col2 WHERE Col2 IS NOT NULL ORDER BY Col1 DESC LIMIT 50"", 0))"),"#N/A")</f>
        <v>#N/A</v>
      </c>
      <c r="R93" s="24" t="str">
        <f>IFERROR(__xludf.DUMMYFUNCTION("IFERROR(
  LET(
    data, QUERY(GOOGLEFINANCE(C93,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GOOGLEFINANCE(C93, ""price"")) * 100,
    IF(calc=0, G93, calc)
  ), 
G93)"),"#N/A")</f>
        <v>#N/A</v>
      </c>
      <c r="S93" s="8" t="s">
        <v>15</v>
      </c>
      <c r="T93" s="26" t="str">
        <f>IFERROR(__xludf.DUMMYFUNCTION("IFERROR(TRANSPOSE(QUERY(IFERROR(SORT(GOOGLEFINANCE(C93, ""price"", WORKDAY(TODAY(), -40), TODAY()), 1, FALSE)), ""select Col2 where Col2 is not null limit 22 label Col2 ''"", 0)), """")"),"")</f>
        <v/>
      </c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8"/>
      <c r="AO93" s="28"/>
      <c r="AP93" s="29"/>
      <c r="AQ93" s="29" t="str">
        <f t="shared" ref="AQ93:BL93" si="96">T93/T$2</f>
        <v>#N/A</v>
      </c>
      <c r="AR93" s="29" t="str">
        <f t="shared" si="96"/>
        <v>#DIV/0!</v>
      </c>
      <c r="AS93" s="29" t="str">
        <f t="shared" si="96"/>
        <v>#DIV/0!</v>
      </c>
      <c r="AT93" s="29" t="str">
        <f t="shared" si="96"/>
        <v>#DIV/0!</v>
      </c>
      <c r="AU93" s="29" t="str">
        <f t="shared" si="96"/>
        <v>#DIV/0!</v>
      </c>
      <c r="AV93" s="29" t="str">
        <f t="shared" si="96"/>
        <v>#DIV/0!</v>
      </c>
      <c r="AW93" s="29" t="str">
        <f t="shared" si="96"/>
        <v>#DIV/0!</v>
      </c>
      <c r="AX93" s="29" t="str">
        <f t="shared" si="96"/>
        <v>#DIV/0!</v>
      </c>
      <c r="AY93" s="29" t="str">
        <f t="shared" si="96"/>
        <v>#DIV/0!</v>
      </c>
      <c r="AZ93" s="29" t="str">
        <f t="shared" si="96"/>
        <v>#DIV/0!</v>
      </c>
      <c r="BA93" s="29" t="str">
        <f t="shared" si="96"/>
        <v>#DIV/0!</v>
      </c>
      <c r="BB93" s="29" t="str">
        <f t="shared" si="96"/>
        <v>#DIV/0!</v>
      </c>
      <c r="BC93" s="29" t="str">
        <f t="shared" si="96"/>
        <v>#DIV/0!</v>
      </c>
      <c r="BD93" s="29" t="str">
        <f t="shared" si="96"/>
        <v>#DIV/0!</v>
      </c>
      <c r="BE93" s="29" t="str">
        <f t="shared" si="96"/>
        <v>#DIV/0!</v>
      </c>
      <c r="BF93" s="29" t="str">
        <f t="shared" si="96"/>
        <v>#DIV/0!</v>
      </c>
      <c r="BG93" s="29" t="str">
        <f t="shared" si="96"/>
        <v>#DIV/0!</v>
      </c>
      <c r="BH93" s="29" t="str">
        <f t="shared" si="96"/>
        <v>#DIV/0!</v>
      </c>
      <c r="BI93" s="29" t="str">
        <f t="shared" si="96"/>
        <v>#DIV/0!</v>
      </c>
      <c r="BJ93" s="29" t="str">
        <f t="shared" si="96"/>
        <v>#DIV/0!</v>
      </c>
      <c r="BK93" s="29" t="str">
        <f t="shared" si="96"/>
        <v>#DIV/0!</v>
      </c>
      <c r="BL93" s="29" t="str">
        <f t="shared" si="96"/>
        <v>#DIV/0!</v>
      </c>
      <c r="BM93" s="29" t="str">
        <f t="shared" si="3"/>
        <v>#DIV/0!</v>
      </c>
    </row>
    <row r="94">
      <c r="A94" s="16" t="str">
        <f>IFERROR(__xludf.DUMMYFUNCTION("IFERROR(SPARKLINE(SORT(MAP(TRANSPOSE(AQ94:BL94), LAMBDA(val, IF(ISNUMBER(val), PERCENTRANK(AQ94:BL94, val)+0.01, 0))), SEQUENCE(COLUMNS(AQ94:BL94)), FALSE), {""charttype"",""column""; ""color"",""chartreuse""; ""ymin"", 0; ""ymax"", 1.01; ""highcolor"", "&amp;"""darkgreen""; ""lowcolor"", ""red""}), """")"),"")</f>
        <v/>
      </c>
      <c r="B94" s="17" t="str">
        <f t="shared" si="4"/>
        <v/>
      </c>
      <c r="C94" s="1" t="s">
        <v>448</v>
      </c>
      <c r="D94" s="30" t="str">
        <f>IFERROR(__xludf.DUMMYFUNCTION("IFERROR(GOOGLEFINANCE(C94, ""NAME""))"),"United Parks &amp; Resorts Inc")</f>
        <v>United Parks &amp; Resorts Inc</v>
      </c>
      <c r="E94" s="30" t="s">
        <v>158</v>
      </c>
      <c r="F94" s="33" t="str">
        <f>IFERROR(__xludf.DUMMYFUNCTION("( (GOOGLEFINANCE(C94, ""price"") - Q94) / Q94 ) / (R94 / 100)"),"Loading...")</f>
        <v>Loading...</v>
      </c>
      <c r="G94" s="20" t="str">
        <f>IFERROR(__xludf.DUMMYFUNCTION("AVERAGE(ARRAYFORMULA(100 * (QUERY(GOOGLEFINANCE(C94, ""high"", TODAY()-40, TODAY()), ""SELECT Col2 WHERE Col2 IS NOT NULL ORDER BY Col1 DESC LIMIT 20"", 0) / QUERY(GOOGLEFINANCE(C94, ""low"", TODAY()-40, TODAY()), ""SELECT Col2 WHERE Col2 IS NOT NULL ORDE"&amp;"R BY Col1 DESC LIMIT 20"", 0) - 1)))"),"#N/A")</f>
        <v>#N/A</v>
      </c>
      <c r="H94" s="35" t="str">
        <f t="shared" si="6"/>
        <v/>
      </c>
      <c r="I94" s="35" t="str">
        <f t="shared" si="7"/>
        <v/>
      </c>
      <c r="J94" s="37" t="str">
        <f>IFERROR(__xludf.DUMMYFUNCTION("IFERROR(
  IF(C94="""",, 
    IFERROR(
      GOOGLEFINANCE(C94, ""price"") * GOOGLEFINANCE(C94, ""volumeavg""), 
      GOOGLEFINANCE(C94, ""price"") * AVERAGE(QUERY(GOOGLEFINANCE(C94, ""volume"", TODAY()-40, TODAY()), ""SELECT Col2 WHERE Col2 IS NOT NULL "&amp;"ORDER BY Col1 DESC LIMIT 20"", 0))
    )
  ), 
"""")"),"")</f>
        <v/>
      </c>
      <c r="K94" s="21" t="str">
        <f>IFERROR(__xludf.DUMMYFUNCTION("IFERROR(GOOGLEFINANCE(C94, ""changepct"") / 100, """")"),"")</f>
        <v/>
      </c>
      <c r="L94" s="21" t="str">
        <f>IFERROR(__xludf.DUMMYFUNCTION("IFERROR((GOOGLEFINANCE(C94, ""price"") / INDEX(GOOGLEFINANCE(C94, ""price"", TODAY()-7, TODAY()), 2, 2)) - 1, """")"),"")</f>
        <v/>
      </c>
      <c r="M94" s="21" t="str">
        <f>IFERROR(__xludf.DUMMYFUNCTION("IFERROR((GOOGLEFINANCE(C94, ""price"") / INDEX(GOOGLEFINANCE(C94, ""price"", EDATE(TODAY(), -1), TODAY()), 2, 2)) - 1, """")"),"")</f>
        <v/>
      </c>
      <c r="N94" s="21" t="str">
        <f>IFERROR(__xludf.DUMMYFUNCTION("IFERROR((GOOGLEFINANCE(C94, ""price"") / INDEX(GOOGLEFINANCE(C94, ""price"", EDATE(TODAY(), -3), TODAY()), 2, 2)) - 1, """")"),"")</f>
        <v/>
      </c>
      <c r="O94" s="21" t="str">
        <f>IFERROR(__xludf.DUMMYFUNCTION("IFERROR((GOOGLEFINANCE(C94, ""price"") / INDEX(GOOGLEFINANCE(C94, ""price"", EDATE(TODAY(), -6), TODAY()), 2, 2)) - 1, """")"),"")</f>
        <v/>
      </c>
      <c r="P94" s="21" t="str">
        <f>IFERROR(__xludf.DUMMYFUNCTION("IFERROR((GOOGLEFINANCE(C94, ""price"") / INDEX(GOOGLEFINANCE(C94, ""price"", EDATE(TODAY(), -12), TODAY()), 2, 2)) - 1, """")"),"")</f>
        <v/>
      </c>
      <c r="Q94" s="6" t="str">
        <f>IFERROR(__xludf.DUMMYFUNCTION("AVERAGE(QUERY(GOOGLEFINANCE(C94, ""price"", TODAY()-80, TODAY()), ""SELECT Col2 WHERE Col2 IS NOT NULL ORDER BY Col1 DESC LIMIT 50"", 0))"),"#N/A")</f>
        <v>#N/A</v>
      </c>
      <c r="R94" s="24" t="str">
        <f>IFERROR(__xludf.DUMMYFUNCTION("IFERROR(
  LET(
    data, QUERY(GOOGLEFINANCE(C94,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GOOGLEFINANCE(C94, ""price"")) * 100,
    IF(calc=0, G94, calc)
  ), 
G94)"),"#N/A")</f>
        <v>#N/A</v>
      </c>
      <c r="S94" s="8" t="s">
        <v>15</v>
      </c>
      <c r="T94" s="26" t="str">
        <f>IFERROR(__xludf.DUMMYFUNCTION("IFERROR(TRANSPOSE(QUERY(IFERROR(SORT(GOOGLEFINANCE(C94, ""price"", WORKDAY(TODAY(), -40), TODAY()), 1, FALSE)), ""select Col2 where Col2 is not null limit 22 label Col2 ''"", 0)), """")"),"")</f>
        <v/>
      </c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8"/>
      <c r="AO94" s="28"/>
      <c r="AP94" s="29"/>
      <c r="AQ94" s="29" t="str">
        <f t="shared" ref="AQ94:BL94" si="97">T94/T$2</f>
        <v>#N/A</v>
      </c>
      <c r="AR94" s="29" t="str">
        <f t="shared" si="97"/>
        <v>#DIV/0!</v>
      </c>
      <c r="AS94" s="29" t="str">
        <f t="shared" si="97"/>
        <v>#DIV/0!</v>
      </c>
      <c r="AT94" s="29" t="str">
        <f t="shared" si="97"/>
        <v>#DIV/0!</v>
      </c>
      <c r="AU94" s="29" t="str">
        <f t="shared" si="97"/>
        <v>#DIV/0!</v>
      </c>
      <c r="AV94" s="29" t="str">
        <f t="shared" si="97"/>
        <v>#DIV/0!</v>
      </c>
      <c r="AW94" s="29" t="str">
        <f t="shared" si="97"/>
        <v>#DIV/0!</v>
      </c>
      <c r="AX94" s="29" t="str">
        <f t="shared" si="97"/>
        <v>#DIV/0!</v>
      </c>
      <c r="AY94" s="29" t="str">
        <f t="shared" si="97"/>
        <v>#DIV/0!</v>
      </c>
      <c r="AZ94" s="29" t="str">
        <f t="shared" si="97"/>
        <v>#DIV/0!</v>
      </c>
      <c r="BA94" s="29" t="str">
        <f t="shared" si="97"/>
        <v>#DIV/0!</v>
      </c>
      <c r="BB94" s="29" t="str">
        <f t="shared" si="97"/>
        <v>#DIV/0!</v>
      </c>
      <c r="BC94" s="29" t="str">
        <f t="shared" si="97"/>
        <v>#DIV/0!</v>
      </c>
      <c r="BD94" s="29" t="str">
        <f t="shared" si="97"/>
        <v>#DIV/0!</v>
      </c>
      <c r="BE94" s="29" t="str">
        <f t="shared" si="97"/>
        <v>#DIV/0!</v>
      </c>
      <c r="BF94" s="29" t="str">
        <f t="shared" si="97"/>
        <v>#DIV/0!</v>
      </c>
      <c r="BG94" s="29" t="str">
        <f t="shared" si="97"/>
        <v>#DIV/0!</v>
      </c>
      <c r="BH94" s="29" t="str">
        <f t="shared" si="97"/>
        <v>#DIV/0!</v>
      </c>
      <c r="BI94" s="29" t="str">
        <f t="shared" si="97"/>
        <v>#DIV/0!</v>
      </c>
      <c r="BJ94" s="29" t="str">
        <f t="shared" si="97"/>
        <v>#DIV/0!</v>
      </c>
      <c r="BK94" s="29" t="str">
        <f t="shared" si="97"/>
        <v>#DIV/0!</v>
      </c>
      <c r="BL94" s="29" t="str">
        <f t="shared" si="97"/>
        <v>#DIV/0!</v>
      </c>
      <c r="BM94" s="29" t="str">
        <f t="shared" si="3"/>
        <v>#DIV/0!</v>
      </c>
    </row>
    <row r="95">
      <c r="A95" s="16" t="str">
        <f>IFERROR(__xludf.DUMMYFUNCTION("IFERROR(SPARKLINE(SORT(MAP(TRANSPOSE(AQ95:BL95), LAMBDA(val, IF(ISNUMBER(val), PERCENTRANK(AQ95:BL95, val)+0.01, 0))), SEQUENCE(COLUMNS(AQ95:BL95)), FALSE), {""charttype"",""column""; ""color"",""chartreuse""; ""ymin"", 0; ""ymax"", 1.01; ""highcolor"", "&amp;"""darkgreen""; ""lowcolor"", ""red""}), """")"),"")</f>
        <v/>
      </c>
      <c r="B95" s="17" t="str">
        <f t="shared" si="4"/>
        <v/>
      </c>
      <c r="C95" s="1" t="s">
        <v>452</v>
      </c>
      <c r="D95" s="30" t="str">
        <f>IFERROR(__xludf.DUMMYFUNCTION("IFERROR(GOOGLEFINANCE(C95, ""NAME""))"),"Steven Madden Ltd")</f>
        <v>Steven Madden Ltd</v>
      </c>
      <c r="E95" s="30" t="s">
        <v>411</v>
      </c>
      <c r="F95" s="33" t="str">
        <f>IFERROR(__xludf.DUMMYFUNCTION("( (GOOGLEFINANCE(C95, ""price"") - Q95) / Q95 ) / (R95 / 100)"),"Loading...")</f>
        <v>Loading...</v>
      </c>
      <c r="G95" s="20" t="str">
        <f>IFERROR(__xludf.DUMMYFUNCTION("AVERAGE(ARRAYFORMULA(100 * (QUERY(GOOGLEFINANCE(C95, ""high"", TODAY()-40, TODAY()), ""SELECT Col2 WHERE Col2 IS NOT NULL ORDER BY Col1 DESC LIMIT 20"", 0) / QUERY(GOOGLEFINANCE(C95, ""low"", TODAY()-40, TODAY()), ""SELECT Col2 WHERE Col2 IS NOT NULL ORDE"&amp;"R BY Col1 DESC LIMIT 20"", 0) - 1)))"),"#N/A")</f>
        <v>#N/A</v>
      </c>
      <c r="H95" s="35" t="str">
        <f t="shared" si="6"/>
        <v/>
      </c>
      <c r="I95" s="35" t="str">
        <f t="shared" si="7"/>
        <v/>
      </c>
      <c r="J95" s="37" t="str">
        <f>IFERROR(__xludf.DUMMYFUNCTION("IFERROR(
  IF(C95="""",, 
    IFERROR(
      GOOGLEFINANCE(C95, ""price"") * GOOGLEFINANCE(C95, ""volumeavg""), 
      GOOGLEFINANCE(C95, ""price"") * AVERAGE(QUERY(GOOGLEFINANCE(C95, ""volume"", TODAY()-40, TODAY()), ""SELECT Col2 WHERE Col2 IS NOT NULL "&amp;"ORDER BY Col1 DESC LIMIT 20"", 0))
    )
  ), 
"""")"),"")</f>
        <v/>
      </c>
      <c r="K95" s="21" t="str">
        <f>IFERROR(__xludf.DUMMYFUNCTION("IFERROR(GOOGLEFINANCE(C95, ""changepct"") / 100, """")"),"")</f>
        <v/>
      </c>
      <c r="L95" s="21" t="str">
        <f>IFERROR(__xludf.DUMMYFUNCTION("IFERROR((GOOGLEFINANCE(C95, ""price"") / INDEX(GOOGLEFINANCE(C95, ""price"", TODAY()-7, TODAY()), 2, 2)) - 1, """")"),"")</f>
        <v/>
      </c>
      <c r="M95" s="21" t="str">
        <f>IFERROR(__xludf.DUMMYFUNCTION("IFERROR((GOOGLEFINANCE(C95, ""price"") / INDEX(GOOGLEFINANCE(C95, ""price"", EDATE(TODAY(), -1), TODAY()), 2, 2)) - 1, """")"),"")</f>
        <v/>
      </c>
      <c r="N95" s="21" t="str">
        <f>IFERROR(__xludf.DUMMYFUNCTION("IFERROR((GOOGLEFINANCE(C95, ""price"") / INDEX(GOOGLEFINANCE(C95, ""price"", EDATE(TODAY(), -3), TODAY()), 2, 2)) - 1, """")"),"")</f>
        <v/>
      </c>
      <c r="O95" s="21" t="str">
        <f>IFERROR(__xludf.DUMMYFUNCTION("IFERROR((GOOGLEFINANCE(C95, ""price"") / INDEX(GOOGLEFINANCE(C95, ""price"", EDATE(TODAY(), -6), TODAY()), 2, 2)) - 1, """")"),"")</f>
        <v/>
      </c>
      <c r="P95" s="21" t="str">
        <f>IFERROR(__xludf.DUMMYFUNCTION("IFERROR((GOOGLEFINANCE(C95, ""price"") / INDEX(GOOGLEFINANCE(C95, ""price"", EDATE(TODAY(), -12), TODAY()), 2, 2)) - 1, """")"),"")</f>
        <v/>
      </c>
      <c r="Q95" s="6" t="str">
        <f>IFERROR(__xludf.DUMMYFUNCTION("AVERAGE(QUERY(GOOGLEFINANCE(C95, ""price"", TODAY()-80, TODAY()), ""SELECT Col2 WHERE Col2 IS NOT NULL ORDER BY Col1 DESC LIMIT 50"", 0))"),"#N/A")</f>
        <v>#N/A</v>
      </c>
      <c r="R95" s="24" t="str">
        <f>IFERROR(__xludf.DUMMYFUNCTION("IFERROR(
  LET(
    data, QUERY(GOOGLEFINANCE(C95,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GOOGLEFINANCE(C95, ""price"")) * 100,
    IF(calc=0, G95, calc)
  ), 
G95)"),"#N/A")</f>
        <v>#N/A</v>
      </c>
      <c r="S95" s="8" t="s">
        <v>15</v>
      </c>
      <c r="T95" s="26" t="str">
        <f>IFERROR(__xludf.DUMMYFUNCTION("IFERROR(TRANSPOSE(QUERY(IFERROR(SORT(GOOGLEFINANCE(C95, ""price"", WORKDAY(TODAY(), -40), TODAY()), 1, FALSE)), ""select Col2 where Col2 is not null limit 22 label Col2 ''"", 0)), """")"),"")</f>
        <v/>
      </c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8"/>
      <c r="AO95" s="28"/>
      <c r="AP95" s="29"/>
      <c r="AQ95" s="29" t="str">
        <f t="shared" ref="AQ95:BL95" si="98">T95/T$2</f>
        <v>#N/A</v>
      </c>
      <c r="AR95" s="29" t="str">
        <f t="shared" si="98"/>
        <v>#DIV/0!</v>
      </c>
      <c r="AS95" s="29" t="str">
        <f t="shared" si="98"/>
        <v>#DIV/0!</v>
      </c>
      <c r="AT95" s="29" t="str">
        <f t="shared" si="98"/>
        <v>#DIV/0!</v>
      </c>
      <c r="AU95" s="29" t="str">
        <f t="shared" si="98"/>
        <v>#DIV/0!</v>
      </c>
      <c r="AV95" s="29" t="str">
        <f t="shared" si="98"/>
        <v>#DIV/0!</v>
      </c>
      <c r="AW95" s="29" t="str">
        <f t="shared" si="98"/>
        <v>#DIV/0!</v>
      </c>
      <c r="AX95" s="29" t="str">
        <f t="shared" si="98"/>
        <v>#DIV/0!</v>
      </c>
      <c r="AY95" s="29" t="str">
        <f t="shared" si="98"/>
        <v>#DIV/0!</v>
      </c>
      <c r="AZ95" s="29" t="str">
        <f t="shared" si="98"/>
        <v>#DIV/0!</v>
      </c>
      <c r="BA95" s="29" t="str">
        <f t="shared" si="98"/>
        <v>#DIV/0!</v>
      </c>
      <c r="BB95" s="29" t="str">
        <f t="shared" si="98"/>
        <v>#DIV/0!</v>
      </c>
      <c r="BC95" s="29" t="str">
        <f t="shared" si="98"/>
        <v>#DIV/0!</v>
      </c>
      <c r="BD95" s="29" t="str">
        <f t="shared" si="98"/>
        <v>#DIV/0!</v>
      </c>
      <c r="BE95" s="29" t="str">
        <f t="shared" si="98"/>
        <v>#DIV/0!</v>
      </c>
      <c r="BF95" s="29" t="str">
        <f t="shared" si="98"/>
        <v>#DIV/0!</v>
      </c>
      <c r="BG95" s="29" t="str">
        <f t="shared" si="98"/>
        <v>#DIV/0!</v>
      </c>
      <c r="BH95" s="29" t="str">
        <f t="shared" si="98"/>
        <v>#DIV/0!</v>
      </c>
      <c r="BI95" s="29" t="str">
        <f t="shared" si="98"/>
        <v>#DIV/0!</v>
      </c>
      <c r="BJ95" s="29" t="str">
        <f t="shared" si="98"/>
        <v>#DIV/0!</v>
      </c>
      <c r="BK95" s="29" t="str">
        <f t="shared" si="98"/>
        <v>#DIV/0!</v>
      </c>
      <c r="BL95" s="29" t="str">
        <f t="shared" si="98"/>
        <v>#DIV/0!</v>
      </c>
      <c r="BM95" s="29" t="str">
        <f t="shared" si="3"/>
        <v>#DIV/0!</v>
      </c>
    </row>
    <row r="96">
      <c r="A96" s="16" t="str">
        <f>IFERROR(__xludf.DUMMYFUNCTION("IFERROR(SPARKLINE(SORT(MAP(TRANSPOSE(AQ96:BL96), LAMBDA(val, IF(ISNUMBER(val), PERCENTRANK(AQ96:BL96, val)+0.01, 0))), SEQUENCE(COLUMNS(AQ96:BL96)), FALSE), {""charttype"",""column""; ""color"",""chartreuse""; ""ymin"", 0; ""ymax"", 1.01; ""highcolor"", "&amp;"""darkgreen""; ""lowcolor"", ""red""}), """")"),"")</f>
        <v/>
      </c>
      <c r="B96" s="17" t="str">
        <f t="shared" si="4"/>
        <v/>
      </c>
      <c r="C96" s="1" t="s">
        <v>455</v>
      </c>
      <c r="D96" s="30" t="str">
        <f>IFERROR(__xludf.DUMMYFUNCTION("IFERROR(GOOGLEFINANCE(C96, ""NAME""))"),"Interface Inc")</f>
        <v>Interface Inc</v>
      </c>
      <c r="E96" s="30" t="s">
        <v>456</v>
      </c>
      <c r="F96" s="33" t="str">
        <f>IFERROR(__xludf.DUMMYFUNCTION("( (GOOGLEFINANCE(C96, ""price"") - Q96) / Q96 ) / (R96 / 100)"),"Loading...")</f>
        <v>Loading...</v>
      </c>
      <c r="G96" s="20" t="str">
        <f>IFERROR(__xludf.DUMMYFUNCTION("AVERAGE(ARRAYFORMULA(100 * (QUERY(GOOGLEFINANCE(C96, ""high"", TODAY()-40, TODAY()), ""SELECT Col2 WHERE Col2 IS NOT NULL ORDER BY Col1 DESC LIMIT 20"", 0) / QUERY(GOOGLEFINANCE(C96, ""low"", TODAY()-40, TODAY()), ""SELECT Col2 WHERE Col2 IS NOT NULL ORDE"&amp;"R BY Col1 DESC LIMIT 20"", 0) - 1)))"),"#N/A")</f>
        <v>#N/A</v>
      </c>
      <c r="H96" s="35" t="str">
        <f t="shared" si="6"/>
        <v/>
      </c>
      <c r="I96" s="35" t="str">
        <f t="shared" si="7"/>
        <v/>
      </c>
      <c r="J96" s="37" t="str">
        <f>IFERROR(__xludf.DUMMYFUNCTION("IFERROR(
  IF(C96="""",, 
    IFERROR(
      GOOGLEFINANCE(C96, ""price"") * GOOGLEFINANCE(C96, ""volumeavg""), 
      GOOGLEFINANCE(C96, ""price"") * AVERAGE(QUERY(GOOGLEFINANCE(C96, ""volume"", TODAY()-40, TODAY()), ""SELECT Col2 WHERE Col2 IS NOT NULL "&amp;"ORDER BY Col1 DESC LIMIT 20"", 0))
    )
  ), 
"""")"),"")</f>
        <v/>
      </c>
      <c r="K96" s="21" t="str">
        <f>IFERROR(__xludf.DUMMYFUNCTION("IFERROR(GOOGLEFINANCE(C96, ""changepct"") / 100, """")"),"")</f>
        <v/>
      </c>
      <c r="L96" s="21" t="str">
        <f>IFERROR(__xludf.DUMMYFUNCTION("IFERROR((GOOGLEFINANCE(C96, ""price"") / INDEX(GOOGLEFINANCE(C96, ""price"", TODAY()-7, TODAY()), 2, 2)) - 1, """")"),"")</f>
        <v/>
      </c>
      <c r="M96" s="21" t="str">
        <f>IFERROR(__xludf.DUMMYFUNCTION("IFERROR((GOOGLEFINANCE(C96, ""price"") / INDEX(GOOGLEFINANCE(C96, ""price"", EDATE(TODAY(), -1), TODAY()), 2, 2)) - 1, """")"),"")</f>
        <v/>
      </c>
      <c r="N96" s="21" t="str">
        <f>IFERROR(__xludf.DUMMYFUNCTION("IFERROR((GOOGLEFINANCE(C96, ""price"") / INDEX(GOOGLEFINANCE(C96, ""price"", EDATE(TODAY(), -3), TODAY()), 2, 2)) - 1, """")"),"")</f>
        <v/>
      </c>
      <c r="O96" s="21" t="str">
        <f>IFERROR(__xludf.DUMMYFUNCTION("IFERROR((GOOGLEFINANCE(C96, ""price"") / INDEX(GOOGLEFINANCE(C96, ""price"", EDATE(TODAY(), -6), TODAY()), 2, 2)) - 1, """")"),"")</f>
        <v/>
      </c>
      <c r="P96" s="21" t="str">
        <f>IFERROR(__xludf.DUMMYFUNCTION("IFERROR((GOOGLEFINANCE(C96, ""price"") / INDEX(GOOGLEFINANCE(C96, ""price"", EDATE(TODAY(), -12), TODAY()), 2, 2)) - 1, """")"),"")</f>
        <v/>
      </c>
      <c r="Q96" s="6" t="str">
        <f>IFERROR(__xludf.DUMMYFUNCTION("AVERAGE(QUERY(GOOGLEFINANCE(C96, ""price"", TODAY()-80, TODAY()), ""SELECT Col2 WHERE Col2 IS NOT NULL ORDER BY Col1 DESC LIMIT 50"", 0))"),"#N/A")</f>
        <v>#N/A</v>
      </c>
      <c r="R96" s="24" t="str">
        <f>IFERROR(__xludf.DUMMYFUNCTION("IFERROR(
  LET(
    data, QUERY(GOOGLEFINANCE(C96,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GOOGLEFINANCE(C96, ""price"")) * 100,
    IF(calc=0, G96, calc)
  ), 
G96)"),"#N/A")</f>
        <v>#N/A</v>
      </c>
      <c r="S96" s="8" t="s">
        <v>15</v>
      </c>
      <c r="T96" s="26" t="str">
        <f>IFERROR(__xludf.DUMMYFUNCTION("IFERROR(TRANSPOSE(QUERY(IFERROR(SORT(GOOGLEFINANCE(C96, ""price"", WORKDAY(TODAY(), -40), TODAY()), 1, FALSE)), ""select Col2 where Col2 is not null limit 22 label Col2 ''"", 0)), """")"),"")</f>
        <v/>
      </c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8"/>
      <c r="AO96" s="28"/>
      <c r="AP96" s="29"/>
      <c r="AQ96" s="29" t="str">
        <f t="shared" ref="AQ96:BL96" si="99">T96/T$2</f>
        <v>#N/A</v>
      </c>
      <c r="AR96" s="29" t="str">
        <f t="shared" si="99"/>
        <v>#DIV/0!</v>
      </c>
      <c r="AS96" s="29" t="str">
        <f t="shared" si="99"/>
        <v>#DIV/0!</v>
      </c>
      <c r="AT96" s="29" t="str">
        <f t="shared" si="99"/>
        <v>#DIV/0!</v>
      </c>
      <c r="AU96" s="29" t="str">
        <f t="shared" si="99"/>
        <v>#DIV/0!</v>
      </c>
      <c r="AV96" s="29" t="str">
        <f t="shared" si="99"/>
        <v>#DIV/0!</v>
      </c>
      <c r="AW96" s="29" t="str">
        <f t="shared" si="99"/>
        <v>#DIV/0!</v>
      </c>
      <c r="AX96" s="29" t="str">
        <f t="shared" si="99"/>
        <v>#DIV/0!</v>
      </c>
      <c r="AY96" s="29" t="str">
        <f t="shared" si="99"/>
        <v>#DIV/0!</v>
      </c>
      <c r="AZ96" s="29" t="str">
        <f t="shared" si="99"/>
        <v>#DIV/0!</v>
      </c>
      <c r="BA96" s="29" t="str">
        <f t="shared" si="99"/>
        <v>#DIV/0!</v>
      </c>
      <c r="BB96" s="29" t="str">
        <f t="shared" si="99"/>
        <v>#DIV/0!</v>
      </c>
      <c r="BC96" s="29" t="str">
        <f t="shared" si="99"/>
        <v>#DIV/0!</v>
      </c>
      <c r="BD96" s="29" t="str">
        <f t="shared" si="99"/>
        <v>#DIV/0!</v>
      </c>
      <c r="BE96" s="29" t="str">
        <f t="shared" si="99"/>
        <v>#DIV/0!</v>
      </c>
      <c r="BF96" s="29" t="str">
        <f t="shared" si="99"/>
        <v>#DIV/0!</v>
      </c>
      <c r="BG96" s="29" t="str">
        <f t="shared" si="99"/>
        <v>#DIV/0!</v>
      </c>
      <c r="BH96" s="29" t="str">
        <f t="shared" si="99"/>
        <v>#DIV/0!</v>
      </c>
      <c r="BI96" s="29" t="str">
        <f t="shared" si="99"/>
        <v>#DIV/0!</v>
      </c>
      <c r="BJ96" s="29" t="str">
        <f t="shared" si="99"/>
        <v>#DIV/0!</v>
      </c>
      <c r="BK96" s="29" t="str">
        <f t="shared" si="99"/>
        <v>#DIV/0!</v>
      </c>
      <c r="BL96" s="29" t="str">
        <f t="shared" si="99"/>
        <v>#DIV/0!</v>
      </c>
      <c r="BM96" s="29" t="str">
        <f t="shared" si="3"/>
        <v>#DIV/0!</v>
      </c>
    </row>
    <row r="97">
      <c r="A97" s="16" t="str">
        <f>IFERROR(__xludf.DUMMYFUNCTION("IFERROR(SPARKLINE(SORT(MAP(TRANSPOSE(AQ97:BL97), LAMBDA(val, IF(ISNUMBER(val), PERCENTRANK(AQ97:BL97, val)+0.01, 0))), SEQUENCE(COLUMNS(AQ97:BL97)), FALSE), {""charttype"",""column""; ""color"",""chartreuse""; ""ymin"", 0; ""ymax"", 1.01; ""highcolor"", "&amp;"""darkgreen""; ""lowcolor"", ""red""}), """")"),"")</f>
        <v/>
      </c>
      <c r="B97" s="17" t="str">
        <f t="shared" si="4"/>
        <v/>
      </c>
      <c r="C97" s="1" t="s">
        <v>460</v>
      </c>
      <c r="D97" s="30" t="str">
        <f>IFERROR(__xludf.DUMMYFUNCTION("IFERROR(GOOGLEFINANCE(C97, ""NAME""))"),"El Pollo LoCo Holdings Inc")</f>
        <v>El Pollo LoCo Holdings Inc</v>
      </c>
      <c r="E97" s="30" t="s">
        <v>126</v>
      </c>
      <c r="F97" s="33" t="str">
        <f>IFERROR(__xludf.DUMMYFUNCTION("( (GOOGLEFINANCE(C97, ""price"") - Q97) / Q97 ) / (R97 / 100)"),"Loading...")</f>
        <v>Loading...</v>
      </c>
      <c r="G97" s="20" t="str">
        <f>IFERROR(__xludf.DUMMYFUNCTION("AVERAGE(ARRAYFORMULA(100 * (QUERY(GOOGLEFINANCE(C97, ""high"", TODAY()-40, TODAY()), ""SELECT Col2 WHERE Col2 IS NOT NULL ORDER BY Col1 DESC LIMIT 20"", 0) / QUERY(GOOGLEFINANCE(C97, ""low"", TODAY()-40, TODAY()), ""SELECT Col2 WHERE Col2 IS NOT NULL ORDE"&amp;"R BY Col1 DESC LIMIT 20"", 0) - 1)))"),"#N/A")</f>
        <v>#N/A</v>
      </c>
      <c r="H97" s="35" t="str">
        <f t="shared" si="6"/>
        <v/>
      </c>
      <c r="I97" s="35" t="str">
        <f t="shared" si="7"/>
        <v/>
      </c>
      <c r="J97" s="37" t="str">
        <f>IFERROR(__xludf.DUMMYFUNCTION("IFERROR(
  IF(C97="""",, 
    IFERROR(
      GOOGLEFINANCE(C97, ""price"") * GOOGLEFINANCE(C97, ""volumeavg""), 
      GOOGLEFINANCE(C97, ""price"") * AVERAGE(QUERY(GOOGLEFINANCE(C97, ""volume"", TODAY()-40, TODAY()), ""SELECT Col2 WHERE Col2 IS NOT NULL "&amp;"ORDER BY Col1 DESC LIMIT 20"", 0))
    )
  ), 
"""")"),"")</f>
        <v/>
      </c>
      <c r="K97" s="21" t="str">
        <f>IFERROR(__xludf.DUMMYFUNCTION("IFERROR(GOOGLEFINANCE(C97, ""changepct"") / 100, """")"),"")</f>
        <v/>
      </c>
      <c r="L97" s="21" t="str">
        <f>IFERROR(__xludf.DUMMYFUNCTION("IFERROR((GOOGLEFINANCE(C97, ""price"") / INDEX(GOOGLEFINANCE(C97, ""price"", TODAY()-7, TODAY()), 2, 2)) - 1, """")"),"")</f>
        <v/>
      </c>
      <c r="M97" s="21" t="str">
        <f>IFERROR(__xludf.DUMMYFUNCTION("IFERROR((GOOGLEFINANCE(C97, ""price"") / INDEX(GOOGLEFINANCE(C97, ""price"", EDATE(TODAY(), -1), TODAY()), 2, 2)) - 1, """")"),"")</f>
        <v/>
      </c>
      <c r="N97" s="21" t="str">
        <f>IFERROR(__xludf.DUMMYFUNCTION("IFERROR((GOOGLEFINANCE(C97, ""price"") / INDEX(GOOGLEFINANCE(C97, ""price"", EDATE(TODAY(), -3), TODAY()), 2, 2)) - 1, """")"),"")</f>
        <v/>
      </c>
      <c r="O97" s="21" t="str">
        <f>IFERROR(__xludf.DUMMYFUNCTION("IFERROR((GOOGLEFINANCE(C97, ""price"") / INDEX(GOOGLEFINANCE(C97, ""price"", EDATE(TODAY(), -6), TODAY()), 2, 2)) - 1, """")"),"")</f>
        <v/>
      </c>
      <c r="P97" s="21" t="str">
        <f>IFERROR(__xludf.DUMMYFUNCTION("IFERROR((GOOGLEFINANCE(C97, ""price"") / INDEX(GOOGLEFINANCE(C97, ""price"", EDATE(TODAY(), -12), TODAY()), 2, 2)) - 1, """")"),"")</f>
        <v/>
      </c>
      <c r="Q97" s="6" t="str">
        <f>IFERROR(__xludf.DUMMYFUNCTION("AVERAGE(QUERY(GOOGLEFINANCE(C97, ""price"", TODAY()-80, TODAY()), ""SELECT Col2 WHERE Col2 IS NOT NULL ORDER BY Col1 DESC LIMIT 50"", 0))"),"#N/A")</f>
        <v>#N/A</v>
      </c>
      <c r="R97" s="24" t="str">
        <f>IFERROR(__xludf.DUMMYFUNCTION("IFERROR(
  LET(
    data, QUERY(GOOGLEFINANCE(C97,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GOOGLEFINANCE(C97, ""price"")) * 100,
    IF(calc=0, G97, calc)
  ), 
G97)"),"#N/A")</f>
        <v>#N/A</v>
      </c>
      <c r="S97" s="8" t="s">
        <v>15</v>
      </c>
      <c r="T97" s="26" t="str">
        <f>IFERROR(__xludf.DUMMYFUNCTION("IFERROR(TRANSPOSE(QUERY(IFERROR(SORT(GOOGLEFINANCE(C97, ""price"", WORKDAY(TODAY(), -40), TODAY()), 1, FALSE)), ""select Col2 where Col2 is not null limit 22 label Col2 ''"", 0)), """")"),"")</f>
        <v/>
      </c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8"/>
      <c r="AO97" s="28"/>
      <c r="AP97" s="29"/>
      <c r="AQ97" s="29" t="str">
        <f t="shared" ref="AQ97:BL97" si="100">T97/T$2</f>
        <v>#N/A</v>
      </c>
      <c r="AR97" s="29" t="str">
        <f t="shared" si="100"/>
        <v>#DIV/0!</v>
      </c>
      <c r="AS97" s="29" t="str">
        <f t="shared" si="100"/>
        <v>#DIV/0!</v>
      </c>
      <c r="AT97" s="29" t="str">
        <f t="shared" si="100"/>
        <v>#DIV/0!</v>
      </c>
      <c r="AU97" s="29" t="str">
        <f t="shared" si="100"/>
        <v>#DIV/0!</v>
      </c>
      <c r="AV97" s="29" t="str">
        <f t="shared" si="100"/>
        <v>#DIV/0!</v>
      </c>
      <c r="AW97" s="29" t="str">
        <f t="shared" si="100"/>
        <v>#DIV/0!</v>
      </c>
      <c r="AX97" s="29" t="str">
        <f t="shared" si="100"/>
        <v>#DIV/0!</v>
      </c>
      <c r="AY97" s="29" t="str">
        <f t="shared" si="100"/>
        <v>#DIV/0!</v>
      </c>
      <c r="AZ97" s="29" t="str">
        <f t="shared" si="100"/>
        <v>#DIV/0!</v>
      </c>
      <c r="BA97" s="29" t="str">
        <f t="shared" si="100"/>
        <v>#DIV/0!</v>
      </c>
      <c r="BB97" s="29" t="str">
        <f t="shared" si="100"/>
        <v>#DIV/0!</v>
      </c>
      <c r="BC97" s="29" t="str">
        <f t="shared" si="100"/>
        <v>#DIV/0!</v>
      </c>
      <c r="BD97" s="29" t="str">
        <f t="shared" si="100"/>
        <v>#DIV/0!</v>
      </c>
      <c r="BE97" s="29" t="str">
        <f t="shared" si="100"/>
        <v>#DIV/0!</v>
      </c>
      <c r="BF97" s="29" t="str">
        <f t="shared" si="100"/>
        <v>#DIV/0!</v>
      </c>
      <c r="BG97" s="29" t="str">
        <f t="shared" si="100"/>
        <v>#DIV/0!</v>
      </c>
      <c r="BH97" s="29" t="str">
        <f t="shared" si="100"/>
        <v>#DIV/0!</v>
      </c>
      <c r="BI97" s="29" t="str">
        <f t="shared" si="100"/>
        <v>#DIV/0!</v>
      </c>
      <c r="BJ97" s="29" t="str">
        <f t="shared" si="100"/>
        <v>#DIV/0!</v>
      </c>
      <c r="BK97" s="29" t="str">
        <f t="shared" si="100"/>
        <v>#DIV/0!</v>
      </c>
      <c r="BL97" s="29" t="str">
        <f t="shared" si="100"/>
        <v>#DIV/0!</v>
      </c>
      <c r="BM97" s="29" t="str">
        <f t="shared" si="3"/>
        <v>#DIV/0!</v>
      </c>
    </row>
    <row r="98">
      <c r="A98" s="16" t="str">
        <f>IFERROR(__xludf.DUMMYFUNCTION("IFERROR(SPARKLINE(SORT(MAP(TRANSPOSE(AQ98:BL98), LAMBDA(val, IF(ISNUMBER(val), PERCENTRANK(AQ98:BL98, val)+0.01, 0))), SEQUENCE(COLUMNS(AQ98:BL98)), FALSE), {""charttype"",""column""; ""color"",""chartreuse""; ""ymin"", 0; ""ymax"", 1.01; ""highcolor"", "&amp;"""darkgreen""; ""lowcolor"", ""red""}), """")"),"")</f>
        <v/>
      </c>
      <c r="B98" s="17" t="str">
        <f t="shared" si="4"/>
        <v/>
      </c>
      <c r="C98" s="1" t="s">
        <v>462</v>
      </c>
      <c r="D98" s="30" t="str">
        <f>IFERROR(__xludf.DUMMYFUNCTION("IFERROR(GOOGLEFINANCE(C98, ""NAME""))"),"Gentherm Inc")</f>
        <v>Gentherm Inc</v>
      </c>
      <c r="E98" s="30" t="s">
        <v>109</v>
      </c>
      <c r="F98" s="33" t="str">
        <f>IFERROR(__xludf.DUMMYFUNCTION("( (GOOGLEFINANCE(C98, ""price"") - Q98) / Q98 ) / (R98 / 100)"),"Loading...")</f>
        <v>Loading...</v>
      </c>
      <c r="G98" s="20" t="str">
        <f>IFERROR(__xludf.DUMMYFUNCTION("AVERAGE(ARRAYFORMULA(100 * (QUERY(GOOGLEFINANCE(C98, ""high"", TODAY()-40, TODAY()), ""SELECT Col2 WHERE Col2 IS NOT NULL ORDER BY Col1 DESC LIMIT 20"", 0) / QUERY(GOOGLEFINANCE(C98, ""low"", TODAY()-40, TODAY()), ""SELECT Col2 WHERE Col2 IS NOT NULL ORDE"&amp;"R BY Col1 DESC LIMIT 20"", 0) - 1)))"),"#N/A")</f>
        <v>#N/A</v>
      </c>
      <c r="H98" s="35" t="str">
        <f t="shared" si="6"/>
        <v/>
      </c>
      <c r="I98" s="35" t="str">
        <f t="shared" si="7"/>
        <v/>
      </c>
      <c r="J98" s="37" t="str">
        <f>IFERROR(__xludf.DUMMYFUNCTION("IFERROR(
  IF(C98="""",, 
    IFERROR(
      GOOGLEFINANCE(C98, ""price"") * GOOGLEFINANCE(C98, ""volumeavg""), 
      GOOGLEFINANCE(C98, ""price"") * AVERAGE(QUERY(GOOGLEFINANCE(C98, ""volume"", TODAY()-40, TODAY()), ""SELECT Col2 WHERE Col2 IS NOT NULL "&amp;"ORDER BY Col1 DESC LIMIT 20"", 0))
    )
  ), 
"""")"),"")</f>
        <v/>
      </c>
      <c r="K98" s="21" t="str">
        <f>IFERROR(__xludf.DUMMYFUNCTION("IFERROR(GOOGLEFINANCE(C98, ""changepct"") / 100, """")"),"")</f>
        <v/>
      </c>
      <c r="L98" s="21" t="str">
        <f>IFERROR(__xludf.DUMMYFUNCTION("IFERROR((GOOGLEFINANCE(C98, ""price"") / INDEX(GOOGLEFINANCE(C98, ""price"", TODAY()-7, TODAY()), 2, 2)) - 1, """")"),"")</f>
        <v/>
      </c>
      <c r="M98" s="21" t="str">
        <f>IFERROR(__xludf.DUMMYFUNCTION("IFERROR((GOOGLEFINANCE(C98, ""price"") / INDEX(GOOGLEFINANCE(C98, ""price"", EDATE(TODAY(), -1), TODAY()), 2, 2)) - 1, """")"),"")</f>
        <v/>
      </c>
      <c r="N98" s="21" t="str">
        <f>IFERROR(__xludf.DUMMYFUNCTION("IFERROR((GOOGLEFINANCE(C98, ""price"") / INDEX(GOOGLEFINANCE(C98, ""price"", EDATE(TODAY(), -3), TODAY()), 2, 2)) - 1, """")"),"")</f>
        <v/>
      </c>
      <c r="O98" s="21" t="str">
        <f>IFERROR(__xludf.DUMMYFUNCTION("IFERROR((GOOGLEFINANCE(C98, ""price"") / INDEX(GOOGLEFINANCE(C98, ""price"", EDATE(TODAY(), -6), TODAY()), 2, 2)) - 1, """")"),"")</f>
        <v/>
      </c>
      <c r="P98" s="21" t="str">
        <f>IFERROR(__xludf.DUMMYFUNCTION("IFERROR((GOOGLEFINANCE(C98, ""price"") / INDEX(GOOGLEFINANCE(C98, ""price"", EDATE(TODAY(), -12), TODAY()), 2, 2)) - 1, """")"),"")</f>
        <v/>
      </c>
      <c r="Q98" s="6" t="str">
        <f>IFERROR(__xludf.DUMMYFUNCTION("AVERAGE(QUERY(GOOGLEFINANCE(C98, ""price"", TODAY()-80, TODAY()), ""SELECT Col2 WHERE Col2 IS NOT NULL ORDER BY Col1 DESC LIMIT 50"", 0))"),"#N/A")</f>
        <v>#N/A</v>
      </c>
      <c r="R98" s="24" t="str">
        <f>IFERROR(__xludf.DUMMYFUNCTION("IFERROR(
  LET(
    data, QUERY(GOOGLEFINANCE(C98,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GOOGLEFINANCE(C98, ""price"")) * 100,
    IF(calc=0, G98, calc)
  ), 
G98)"),"#N/A")</f>
        <v>#N/A</v>
      </c>
      <c r="S98" s="8" t="s">
        <v>15</v>
      </c>
      <c r="T98" s="26" t="str">
        <f>IFERROR(__xludf.DUMMYFUNCTION("IFERROR(TRANSPOSE(QUERY(IFERROR(SORT(GOOGLEFINANCE(C98, ""price"", WORKDAY(TODAY(), -40), TODAY()), 1, FALSE)), ""select Col2 where Col2 is not null limit 22 label Col2 ''"", 0)), """")"),"")</f>
        <v/>
      </c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8"/>
      <c r="AO98" s="28"/>
      <c r="AP98" s="29"/>
      <c r="AQ98" s="29" t="str">
        <f t="shared" ref="AQ98:BL98" si="101">T98/T$2</f>
        <v>#N/A</v>
      </c>
      <c r="AR98" s="29" t="str">
        <f t="shared" si="101"/>
        <v>#DIV/0!</v>
      </c>
      <c r="AS98" s="29" t="str">
        <f t="shared" si="101"/>
        <v>#DIV/0!</v>
      </c>
      <c r="AT98" s="29" t="str">
        <f t="shared" si="101"/>
        <v>#DIV/0!</v>
      </c>
      <c r="AU98" s="29" t="str">
        <f t="shared" si="101"/>
        <v>#DIV/0!</v>
      </c>
      <c r="AV98" s="29" t="str">
        <f t="shared" si="101"/>
        <v>#DIV/0!</v>
      </c>
      <c r="AW98" s="29" t="str">
        <f t="shared" si="101"/>
        <v>#DIV/0!</v>
      </c>
      <c r="AX98" s="29" t="str">
        <f t="shared" si="101"/>
        <v>#DIV/0!</v>
      </c>
      <c r="AY98" s="29" t="str">
        <f t="shared" si="101"/>
        <v>#DIV/0!</v>
      </c>
      <c r="AZ98" s="29" t="str">
        <f t="shared" si="101"/>
        <v>#DIV/0!</v>
      </c>
      <c r="BA98" s="29" t="str">
        <f t="shared" si="101"/>
        <v>#DIV/0!</v>
      </c>
      <c r="BB98" s="29" t="str">
        <f t="shared" si="101"/>
        <v>#DIV/0!</v>
      </c>
      <c r="BC98" s="29" t="str">
        <f t="shared" si="101"/>
        <v>#DIV/0!</v>
      </c>
      <c r="BD98" s="29" t="str">
        <f t="shared" si="101"/>
        <v>#DIV/0!</v>
      </c>
      <c r="BE98" s="29" t="str">
        <f t="shared" si="101"/>
        <v>#DIV/0!</v>
      </c>
      <c r="BF98" s="29" t="str">
        <f t="shared" si="101"/>
        <v>#DIV/0!</v>
      </c>
      <c r="BG98" s="29" t="str">
        <f t="shared" si="101"/>
        <v>#DIV/0!</v>
      </c>
      <c r="BH98" s="29" t="str">
        <f t="shared" si="101"/>
        <v>#DIV/0!</v>
      </c>
      <c r="BI98" s="29" t="str">
        <f t="shared" si="101"/>
        <v>#DIV/0!</v>
      </c>
      <c r="BJ98" s="29" t="str">
        <f t="shared" si="101"/>
        <v>#DIV/0!</v>
      </c>
      <c r="BK98" s="29" t="str">
        <f t="shared" si="101"/>
        <v>#DIV/0!</v>
      </c>
      <c r="BL98" s="29" t="str">
        <f t="shared" si="101"/>
        <v>#DIV/0!</v>
      </c>
      <c r="BM98" s="29" t="str">
        <f t="shared" si="3"/>
        <v>#DIV/0!</v>
      </c>
    </row>
    <row r="99">
      <c r="A99" s="16" t="str">
        <f>IFERROR(__xludf.DUMMYFUNCTION("IFERROR(SPARKLINE(SORT(MAP(TRANSPOSE(AQ99:BL99), LAMBDA(val, IF(ISNUMBER(val), PERCENTRANK(AQ99:BL99, val)+0.01, 0))), SEQUENCE(COLUMNS(AQ99:BL99)), FALSE), {""charttype"",""column""; ""color"",""chartreuse""; ""ymin"", 0; ""ymax"", 1.01; ""highcolor"", "&amp;"""darkgreen""; ""lowcolor"", ""red""}), """")"),"")</f>
        <v/>
      </c>
      <c r="B99" s="17" t="str">
        <f t="shared" si="4"/>
        <v/>
      </c>
      <c r="C99" s="1" t="s">
        <v>466</v>
      </c>
      <c r="D99" s="30" t="str">
        <f>IFERROR(__xludf.DUMMYFUNCTION("IFERROR(GOOGLEFINANCE(C99, ""NAME""))"),"Smurfit WestRock PLC")</f>
        <v>Smurfit WestRock PLC</v>
      </c>
      <c r="E99" s="30" t="s">
        <v>195</v>
      </c>
      <c r="F99" s="33" t="str">
        <f>IFERROR(__xludf.DUMMYFUNCTION("( (GOOGLEFINANCE(C99, ""price"") - Q99) / Q99 ) / (R99 / 100)"),"Loading...")</f>
        <v>Loading...</v>
      </c>
      <c r="G99" s="20" t="str">
        <f>IFERROR(__xludf.DUMMYFUNCTION("AVERAGE(ARRAYFORMULA(100 * (QUERY(GOOGLEFINANCE(C99, ""high"", TODAY()-40, TODAY()), ""SELECT Col2 WHERE Col2 IS NOT NULL ORDER BY Col1 DESC LIMIT 20"", 0) / QUERY(GOOGLEFINANCE(C99, ""low"", TODAY()-40, TODAY()), ""SELECT Col2 WHERE Col2 IS NOT NULL ORDE"&amp;"R BY Col1 DESC LIMIT 20"", 0) - 1)))"),"#N/A")</f>
        <v>#N/A</v>
      </c>
      <c r="H99" s="35" t="str">
        <f t="shared" si="6"/>
        <v/>
      </c>
      <c r="I99" s="35" t="str">
        <f t="shared" si="7"/>
        <v/>
      </c>
      <c r="J99" s="37" t="str">
        <f>IFERROR(__xludf.DUMMYFUNCTION("IFERROR(
  IF(C99="""",, 
    IFERROR(
      GOOGLEFINANCE(C99, ""price"") * GOOGLEFINANCE(C99, ""volumeavg""), 
      GOOGLEFINANCE(C99, ""price"") * AVERAGE(QUERY(GOOGLEFINANCE(C99, ""volume"", TODAY()-40, TODAY()), ""SELECT Col2 WHERE Col2 IS NOT NULL "&amp;"ORDER BY Col1 DESC LIMIT 20"", 0))
    )
  ), 
"""")"),"")</f>
        <v/>
      </c>
      <c r="K99" s="21" t="str">
        <f>IFERROR(__xludf.DUMMYFUNCTION("IFERROR(GOOGLEFINANCE(C99, ""changepct"") / 100, """")"),"")</f>
        <v/>
      </c>
      <c r="L99" s="21" t="str">
        <f>IFERROR(__xludf.DUMMYFUNCTION("IFERROR((GOOGLEFINANCE(C99, ""price"") / INDEX(GOOGLEFINANCE(C99, ""price"", TODAY()-7, TODAY()), 2, 2)) - 1, """")"),"")</f>
        <v/>
      </c>
      <c r="M99" s="21" t="str">
        <f>IFERROR(__xludf.DUMMYFUNCTION("IFERROR((GOOGLEFINANCE(C99, ""price"") / INDEX(GOOGLEFINANCE(C99, ""price"", EDATE(TODAY(), -1), TODAY()), 2, 2)) - 1, """")"),"")</f>
        <v/>
      </c>
      <c r="N99" s="21" t="str">
        <f>IFERROR(__xludf.DUMMYFUNCTION("IFERROR((GOOGLEFINANCE(C99, ""price"") / INDEX(GOOGLEFINANCE(C99, ""price"", EDATE(TODAY(), -3), TODAY()), 2, 2)) - 1, """")"),"")</f>
        <v/>
      </c>
      <c r="O99" s="21" t="str">
        <f>IFERROR(__xludf.DUMMYFUNCTION("IFERROR((GOOGLEFINANCE(C99, ""price"") / INDEX(GOOGLEFINANCE(C99, ""price"", EDATE(TODAY(), -6), TODAY()), 2, 2)) - 1, """")"),"")</f>
        <v/>
      </c>
      <c r="P99" s="21" t="str">
        <f>IFERROR(__xludf.DUMMYFUNCTION("IFERROR((GOOGLEFINANCE(C99, ""price"") / INDEX(GOOGLEFINANCE(C99, ""price"", EDATE(TODAY(), -12), TODAY()), 2, 2)) - 1, """")"),"")</f>
        <v/>
      </c>
      <c r="Q99" s="6" t="str">
        <f>IFERROR(__xludf.DUMMYFUNCTION("AVERAGE(QUERY(GOOGLEFINANCE(C99, ""price"", TODAY()-80, TODAY()), ""SELECT Col2 WHERE Col2 IS NOT NULL ORDER BY Col1 DESC LIMIT 50"", 0))"),"#N/A")</f>
        <v>#N/A</v>
      </c>
      <c r="R99" s="24" t="str">
        <f>IFERROR(__xludf.DUMMYFUNCTION("IFERROR(
  LET(
    data, QUERY(GOOGLEFINANCE(C99,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GOOGLEFINANCE(C99, ""price"")) * 100,
    IF(calc=0, G99, calc)
  ), 
G99)"),"#N/A")</f>
        <v>#N/A</v>
      </c>
      <c r="S99" s="8" t="s">
        <v>15</v>
      </c>
      <c r="T99" s="26" t="str">
        <f>IFERROR(__xludf.DUMMYFUNCTION("IFERROR(TRANSPOSE(QUERY(IFERROR(SORT(GOOGLEFINANCE(C99, ""price"", WORKDAY(TODAY(), -40), TODAY()), 1, FALSE)), ""select Col2 where Col2 is not null limit 22 label Col2 ''"", 0)), """")"),"")</f>
        <v/>
      </c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8"/>
      <c r="AO99" s="28"/>
      <c r="AP99" s="29"/>
      <c r="AQ99" s="29" t="str">
        <f t="shared" ref="AQ99:BL99" si="102">T99/T$2</f>
        <v>#N/A</v>
      </c>
      <c r="AR99" s="29" t="str">
        <f t="shared" si="102"/>
        <v>#DIV/0!</v>
      </c>
      <c r="AS99" s="29" t="str">
        <f t="shared" si="102"/>
        <v>#DIV/0!</v>
      </c>
      <c r="AT99" s="29" t="str">
        <f t="shared" si="102"/>
        <v>#DIV/0!</v>
      </c>
      <c r="AU99" s="29" t="str">
        <f t="shared" si="102"/>
        <v>#DIV/0!</v>
      </c>
      <c r="AV99" s="29" t="str">
        <f t="shared" si="102"/>
        <v>#DIV/0!</v>
      </c>
      <c r="AW99" s="29" t="str">
        <f t="shared" si="102"/>
        <v>#DIV/0!</v>
      </c>
      <c r="AX99" s="29" t="str">
        <f t="shared" si="102"/>
        <v>#DIV/0!</v>
      </c>
      <c r="AY99" s="29" t="str">
        <f t="shared" si="102"/>
        <v>#DIV/0!</v>
      </c>
      <c r="AZ99" s="29" t="str">
        <f t="shared" si="102"/>
        <v>#DIV/0!</v>
      </c>
      <c r="BA99" s="29" t="str">
        <f t="shared" si="102"/>
        <v>#DIV/0!</v>
      </c>
      <c r="BB99" s="29" t="str">
        <f t="shared" si="102"/>
        <v>#DIV/0!</v>
      </c>
      <c r="BC99" s="29" t="str">
        <f t="shared" si="102"/>
        <v>#DIV/0!</v>
      </c>
      <c r="BD99" s="29" t="str">
        <f t="shared" si="102"/>
        <v>#DIV/0!</v>
      </c>
      <c r="BE99" s="29" t="str">
        <f t="shared" si="102"/>
        <v>#DIV/0!</v>
      </c>
      <c r="BF99" s="29" t="str">
        <f t="shared" si="102"/>
        <v>#DIV/0!</v>
      </c>
      <c r="BG99" s="29" t="str">
        <f t="shared" si="102"/>
        <v>#DIV/0!</v>
      </c>
      <c r="BH99" s="29" t="str">
        <f t="shared" si="102"/>
        <v>#DIV/0!</v>
      </c>
      <c r="BI99" s="29" t="str">
        <f t="shared" si="102"/>
        <v>#DIV/0!</v>
      </c>
      <c r="BJ99" s="29" t="str">
        <f t="shared" si="102"/>
        <v>#DIV/0!</v>
      </c>
      <c r="BK99" s="29" t="str">
        <f t="shared" si="102"/>
        <v>#DIV/0!</v>
      </c>
      <c r="BL99" s="29" t="str">
        <f t="shared" si="102"/>
        <v>#DIV/0!</v>
      </c>
      <c r="BM99" s="29" t="str">
        <f t="shared" si="3"/>
        <v>#DIV/0!</v>
      </c>
    </row>
    <row r="100">
      <c r="A100" s="16" t="str">
        <f>IFERROR(__xludf.DUMMYFUNCTION("IFERROR(SPARKLINE(SORT(MAP(TRANSPOSE(AQ100:BL100), LAMBDA(val, IF(ISNUMBER(val), PERCENTRANK(AQ100:BL100, val)+0.01, 0))), SEQUENCE(COLUMNS(AQ100:BL100)), FALSE), {""charttype"",""column""; ""color"",""chartreuse""; ""ymin"", 0; ""ymax"", 1.01; ""highcolo"&amp;"r"", ""darkgreen""; ""lowcolor"", ""red""}), """")"),"")</f>
        <v/>
      </c>
      <c r="B100" s="17" t="str">
        <f t="shared" si="4"/>
        <v/>
      </c>
      <c r="C100" s="1" t="s">
        <v>470</v>
      </c>
      <c r="D100" s="30" t="str">
        <f>IFERROR(__xludf.DUMMYFUNCTION("IFERROR(GOOGLEFINANCE(C100, ""NAME""))"),"Arrow Exploration Corp")</f>
        <v>Arrow Exploration Corp</v>
      </c>
      <c r="E100" s="30" t="s">
        <v>109</v>
      </c>
      <c r="F100" s="33" t="str">
        <f>IFERROR(__xludf.DUMMYFUNCTION("( (GOOGLEFINANCE(C100, ""price"") - Q100) / Q100 ) / (R100 / 100)"),"Loading...")</f>
        <v>Loading...</v>
      </c>
      <c r="G100" s="20" t="str">
        <f>IFERROR(__xludf.DUMMYFUNCTION("AVERAGE(ARRAYFORMULA(100 * (QUERY(GOOGLEFINANCE(C100, ""high"", TODAY()-40, TODAY()), ""SELECT Col2 WHERE Col2 IS NOT NULL ORDER BY Col1 DESC LIMIT 20"", 0) / QUERY(GOOGLEFINANCE(C100, ""low"", TODAY()-40, TODAY()), ""SELECT Col2 WHERE Col2 IS NOT NULL OR"&amp;"DER BY Col1 DESC LIMIT 20"", 0) - 1)))"),"#N/A")</f>
        <v>#N/A</v>
      </c>
      <c r="H100" s="35" t="str">
        <f t="shared" si="6"/>
        <v/>
      </c>
      <c r="I100" s="35" t="str">
        <f t="shared" si="7"/>
        <v/>
      </c>
      <c r="J100" s="37" t="str">
        <f>IFERROR(__xludf.DUMMYFUNCTION("IFERROR(
  IF(C100="""",, 
    IFERROR(
      GOOGLEFINANCE(C100, ""price"") * GOOGLEFINANCE(C100, ""volumeavg""), 
      GOOGLEFINANCE(C100, ""price"") * AVERAGE(QUERY(GOOGLEFINANCE(C100, ""volume"", TODAY()-40, TODAY()), ""SELECT Col2 WHERE Col2 IS NOT "&amp;"NULL ORDER BY Col1 DESC LIMIT 20"", 0))
    )
  ), 
"""")"),"")</f>
        <v/>
      </c>
      <c r="K100" s="21" t="str">
        <f>IFERROR(__xludf.DUMMYFUNCTION("IFERROR(GOOGLEFINANCE(C100, ""changepct"") / 100, """")"),"")</f>
        <v/>
      </c>
      <c r="L100" s="21" t="str">
        <f>IFERROR(__xludf.DUMMYFUNCTION("IFERROR((GOOGLEFINANCE(C100, ""price"") / INDEX(GOOGLEFINANCE(C100, ""price"", TODAY()-7, TODAY()), 2, 2)) - 1, """")"),"")</f>
        <v/>
      </c>
      <c r="M100" s="21" t="str">
        <f>IFERROR(__xludf.DUMMYFUNCTION("IFERROR((GOOGLEFINANCE(C100, ""price"") / INDEX(GOOGLEFINANCE(C100, ""price"", EDATE(TODAY(), -1), TODAY()), 2, 2)) - 1, """")"),"")</f>
        <v/>
      </c>
      <c r="N100" s="21" t="str">
        <f>IFERROR(__xludf.DUMMYFUNCTION("IFERROR((GOOGLEFINANCE(C100, ""price"") / INDEX(GOOGLEFINANCE(C100, ""price"", EDATE(TODAY(), -3), TODAY()), 2, 2)) - 1, """")"),"")</f>
        <v/>
      </c>
      <c r="O100" s="21" t="str">
        <f>IFERROR(__xludf.DUMMYFUNCTION("IFERROR((GOOGLEFINANCE(C100, ""price"") / INDEX(GOOGLEFINANCE(C100, ""price"", EDATE(TODAY(), -6), TODAY()), 2, 2)) - 1, """")"),"")</f>
        <v/>
      </c>
      <c r="P100" s="21" t="str">
        <f>IFERROR(__xludf.DUMMYFUNCTION("IFERROR((GOOGLEFINANCE(C100, ""price"") / INDEX(GOOGLEFINANCE(C100, ""price"", EDATE(TODAY(), -12), TODAY()), 2, 2)) - 1, """")"),"")</f>
        <v/>
      </c>
      <c r="Q100" s="6" t="str">
        <f>IFERROR(__xludf.DUMMYFUNCTION("AVERAGE(QUERY(GOOGLEFINANCE(C100, ""price"", TODAY()-80, TODAY()), ""SELECT Col2 WHERE Col2 IS NOT NULL ORDER BY Col1 DESC LIMIT 50"", 0))"),"#N/A")</f>
        <v>#N/A</v>
      </c>
      <c r="R100" s="24" t="str">
        <f>IFERROR(__xludf.DUMMYFUNCTION("IFERROR(
  LET(
    data, QUERY(GOOGLEFINANCE(C100,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GOOGLEFINANCE(C100, ""price"")) * 100,
    IF(calc=0, G100, calc)
  ), 
G100)"),"#N/A")</f>
        <v>#N/A</v>
      </c>
      <c r="S100" s="8" t="s">
        <v>15</v>
      </c>
      <c r="T100" s="26" t="str">
        <f>IFERROR(__xludf.DUMMYFUNCTION("IFERROR(TRANSPOSE(QUERY(IFERROR(SORT(GOOGLEFINANCE(C100, ""price"", WORKDAY(TODAY(), -40), TODAY()), 1, FALSE)), ""select Col2 where Col2 is not null limit 22 label Col2 ''"", 0)), """")"),"")</f>
        <v/>
      </c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8"/>
      <c r="AO100" s="28"/>
      <c r="AP100" s="29"/>
      <c r="AQ100" s="29" t="str">
        <f t="shared" ref="AQ100:BL100" si="103">T100/T$2</f>
        <v>#N/A</v>
      </c>
      <c r="AR100" s="29" t="str">
        <f t="shared" si="103"/>
        <v>#DIV/0!</v>
      </c>
      <c r="AS100" s="29" t="str">
        <f t="shared" si="103"/>
        <v>#DIV/0!</v>
      </c>
      <c r="AT100" s="29" t="str">
        <f t="shared" si="103"/>
        <v>#DIV/0!</v>
      </c>
      <c r="AU100" s="29" t="str">
        <f t="shared" si="103"/>
        <v>#DIV/0!</v>
      </c>
      <c r="AV100" s="29" t="str">
        <f t="shared" si="103"/>
        <v>#DIV/0!</v>
      </c>
      <c r="AW100" s="29" t="str">
        <f t="shared" si="103"/>
        <v>#DIV/0!</v>
      </c>
      <c r="AX100" s="29" t="str">
        <f t="shared" si="103"/>
        <v>#DIV/0!</v>
      </c>
      <c r="AY100" s="29" t="str">
        <f t="shared" si="103"/>
        <v>#DIV/0!</v>
      </c>
      <c r="AZ100" s="29" t="str">
        <f t="shared" si="103"/>
        <v>#DIV/0!</v>
      </c>
      <c r="BA100" s="29" t="str">
        <f t="shared" si="103"/>
        <v>#DIV/0!</v>
      </c>
      <c r="BB100" s="29" t="str">
        <f t="shared" si="103"/>
        <v>#DIV/0!</v>
      </c>
      <c r="BC100" s="29" t="str">
        <f t="shared" si="103"/>
        <v>#DIV/0!</v>
      </c>
      <c r="BD100" s="29" t="str">
        <f t="shared" si="103"/>
        <v>#DIV/0!</v>
      </c>
      <c r="BE100" s="29" t="str">
        <f t="shared" si="103"/>
        <v>#DIV/0!</v>
      </c>
      <c r="BF100" s="29" t="str">
        <f t="shared" si="103"/>
        <v>#DIV/0!</v>
      </c>
      <c r="BG100" s="29" t="str">
        <f t="shared" si="103"/>
        <v>#DIV/0!</v>
      </c>
      <c r="BH100" s="29" t="str">
        <f t="shared" si="103"/>
        <v>#DIV/0!</v>
      </c>
      <c r="BI100" s="29" t="str">
        <f t="shared" si="103"/>
        <v>#DIV/0!</v>
      </c>
      <c r="BJ100" s="29" t="str">
        <f t="shared" si="103"/>
        <v>#DIV/0!</v>
      </c>
      <c r="BK100" s="29" t="str">
        <f t="shared" si="103"/>
        <v>#DIV/0!</v>
      </c>
      <c r="BL100" s="29" t="str">
        <f t="shared" si="103"/>
        <v>#DIV/0!</v>
      </c>
      <c r="BM100" s="29" t="str">
        <f t="shared" si="3"/>
        <v>#DIV/0!</v>
      </c>
    </row>
    <row r="101">
      <c r="A101" s="16" t="str">
        <f>IFERROR(__xludf.DUMMYFUNCTION("IFERROR(SPARKLINE(SORT(MAP(TRANSPOSE(AQ101:BL101), LAMBDA(val, IF(ISNUMBER(val), PERCENTRANK(AQ101:BL101, val)+0.01, 0))), SEQUENCE(COLUMNS(AQ101:BL101)), FALSE), {""charttype"",""column""; ""color"",""chartreuse""; ""ymin"", 0; ""ymax"", 1.01; ""highcolo"&amp;"r"", ""darkgreen""; ""lowcolor"", ""red""}), """")"),"")</f>
        <v/>
      </c>
      <c r="B101" s="17" t="str">
        <f t="shared" si="4"/>
        <v/>
      </c>
      <c r="C101" s="1" t="s">
        <v>474</v>
      </c>
      <c r="D101" s="30" t="str">
        <f>IFERROR(__xludf.DUMMYFUNCTION("IFERROR(GOOGLEFINANCE(C101, ""NAME""))"),"Hyatt Hotels Corporation")</f>
        <v>Hyatt Hotels Corporation</v>
      </c>
      <c r="E101" s="30" t="s">
        <v>258</v>
      </c>
      <c r="F101" s="33" t="str">
        <f>IFERROR(__xludf.DUMMYFUNCTION("( (GOOGLEFINANCE(C101, ""price"") - Q101) / Q101 ) / (R101 / 100)"),"Loading...")</f>
        <v>Loading...</v>
      </c>
      <c r="G101" s="20" t="str">
        <f>IFERROR(__xludf.DUMMYFUNCTION("AVERAGE(ARRAYFORMULA(100 * (QUERY(GOOGLEFINANCE(C101, ""high"", TODAY()-40, TODAY()), ""SELECT Col2 WHERE Col2 IS NOT NULL ORDER BY Col1 DESC LIMIT 20"", 0) / QUERY(GOOGLEFINANCE(C101, ""low"", TODAY()-40, TODAY()), ""SELECT Col2 WHERE Col2 IS NOT NULL OR"&amp;"DER BY Col1 DESC LIMIT 20"", 0) - 1)))"),"#N/A")</f>
        <v>#N/A</v>
      </c>
      <c r="H101" s="35" t="str">
        <f t="shared" si="6"/>
        <v/>
      </c>
      <c r="I101" s="35" t="str">
        <f t="shared" si="7"/>
        <v/>
      </c>
      <c r="J101" s="37" t="str">
        <f>IFERROR(__xludf.DUMMYFUNCTION("IFERROR(
  IF(C101="""",, 
    IFERROR(
      GOOGLEFINANCE(C101, ""price"") * GOOGLEFINANCE(C101, ""volumeavg""), 
      GOOGLEFINANCE(C101, ""price"") * AVERAGE(QUERY(GOOGLEFINANCE(C101, ""volume"", TODAY()-40, TODAY()), ""SELECT Col2 WHERE Col2 IS NOT "&amp;"NULL ORDER BY Col1 DESC LIMIT 20"", 0))
    )
  ), 
"""")"),"")</f>
        <v/>
      </c>
      <c r="K101" s="21" t="str">
        <f>IFERROR(__xludf.DUMMYFUNCTION("IFERROR(GOOGLEFINANCE(C101, ""changepct"") / 100, """")"),"")</f>
        <v/>
      </c>
      <c r="L101" s="21" t="str">
        <f>IFERROR(__xludf.DUMMYFUNCTION("IFERROR((GOOGLEFINANCE(C101, ""price"") / INDEX(GOOGLEFINANCE(C101, ""price"", TODAY()-7, TODAY()), 2, 2)) - 1, """")"),"")</f>
        <v/>
      </c>
      <c r="M101" s="21" t="str">
        <f>IFERROR(__xludf.DUMMYFUNCTION("IFERROR((GOOGLEFINANCE(C101, ""price"") / INDEX(GOOGLEFINANCE(C101, ""price"", EDATE(TODAY(), -1), TODAY()), 2, 2)) - 1, """")"),"")</f>
        <v/>
      </c>
      <c r="N101" s="21" t="str">
        <f>IFERROR(__xludf.DUMMYFUNCTION("IFERROR((GOOGLEFINANCE(C101, ""price"") / INDEX(GOOGLEFINANCE(C101, ""price"", EDATE(TODAY(), -3), TODAY()), 2, 2)) - 1, """")"),"")</f>
        <v/>
      </c>
      <c r="O101" s="21" t="str">
        <f>IFERROR(__xludf.DUMMYFUNCTION("IFERROR((GOOGLEFINANCE(C101, ""price"") / INDEX(GOOGLEFINANCE(C101, ""price"", EDATE(TODAY(), -6), TODAY()), 2, 2)) - 1, """")"),"")</f>
        <v/>
      </c>
      <c r="P101" s="21" t="str">
        <f>IFERROR(__xludf.DUMMYFUNCTION("IFERROR((GOOGLEFINANCE(C101, ""price"") / INDEX(GOOGLEFINANCE(C101, ""price"", EDATE(TODAY(), -12), TODAY()), 2, 2)) - 1, """")"),"")</f>
        <v/>
      </c>
      <c r="Q101" s="6" t="str">
        <f>IFERROR(__xludf.DUMMYFUNCTION("AVERAGE(QUERY(GOOGLEFINANCE(C101, ""price"", TODAY()-80, TODAY()), ""SELECT Col2 WHERE Col2 IS NOT NULL ORDER BY Col1 DESC LIMIT 50"", 0))"),"#N/A")</f>
        <v>#N/A</v>
      </c>
      <c r="R101" s="24" t="str">
        <f>IFERROR(__xludf.DUMMYFUNCTION("IFERROR(
  LET(
    data, QUERY(GOOGLEFINANCE(C101,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GOOGLEFINANCE(C101, ""price"")) * 100,
    IF(calc=0, G101, calc)
  ), 
G101)"),"#N/A")</f>
        <v>#N/A</v>
      </c>
      <c r="S101" s="8" t="s">
        <v>15</v>
      </c>
      <c r="T101" s="26" t="str">
        <f>IFERROR(__xludf.DUMMYFUNCTION("IFERROR(TRANSPOSE(QUERY(IFERROR(SORT(GOOGLEFINANCE(C101, ""price"", WORKDAY(TODAY(), -40), TODAY()), 1, FALSE)), ""select Col2 where Col2 is not null limit 22 label Col2 ''"", 0)), """")"),"")</f>
        <v/>
      </c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8"/>
      <c r="AO101" s="28"/>
      <c r="AP101" s="29"/>
      <c r="AQ101" s="29" t="str">
        <f t="shared" ref="AQ101:BL101" si="104">T101/T$2</f>
        <v>#N/A</v>
      </c>
      <c r="AR101" s="29" t="str">
        <f t="shared" si="104"/>
        <v>#DIV/0!</v>
      </c>
      <c r="AS101" s="29" t="str">
        <f t="shared" si="104"/>
        <v>#DIV/0!</v>
      </c>
      <c r="AT101" s="29" t="str">
        <f t="shared" si="104"/>
        <v>#DIV/0!</v>
      </c>
      <c r="AU101" s="29" t="str">
        <f t="shared" si="104"/>
        <v>#DIV/0!</v>
      </c>
      <c r="AV101" s="29" t="str">
        <f t="shared" si="104"/>
        <v>#DIV/0!</v>
      </c>
      <c r="AW101" s="29" t="str">
        <f t="shared" si="104"/>
        <v>#DIV/0!</v>
      </c>
      <c r="AX101" s="29" t="str">
        <f t="shared" si="104"/>
        <v>#DIV/0!</v>
      </c>
      <c r="AY101" s="29" t="str">
        <f t="shared" si="104"/>
        <v>#DIV/0!</v>
      </c>
      <c r="AZ101" s="29" t="str">
        <f t="shared" si="104"/>
        <v>#DIV/0!</v>
      </c>
      <c r="BA101" s="29" t="str">
        <f t="shared" si="104"/>
        <v>#DIV/0!</v>
      </c>
      <c r="BB101" s="29" t="str">
        <f t="shared" si="104"/>
        <v>#DIV/0!</v>
      </c>
      <c r="BC101" s="29" t="str">
        <f t="shared" si="104"/>
        <v>#DIV/0!</v>
      </c>
      <c r="BD101" s="29" t="str">
        <f t="shared" si="104"/>
        <v>#DIV/0!</v>
      </c>
      <c r="BE101" s="29" t="str">
        <f t="shared" si="104"/>
        <v>#DIV/0!</v>
      </c>
      <c r="BF101" s="29" t="str">
        <f t="shared" si="104"/>
        <v>#DIV/0!</v>
      </c>
      <c r="BG101" s="29" t="str">
        <f t="shared" si="104"/>
        <v>#DIV/0!</v>
      </c>
      <c r="BH101" s="29" t="str">
        <f t="shared" si="104"/>
        <v>#DIV/0!</v>
      </c>
      <c r="BI101" s="29" t="str">
        <f t="shared" si="104"/>
        <v>#DIV/0!</v>
      </c>
      <c r="BJ101" s="29" t="str">
        <f t="shared" si="104"/>
        <v>#DIV/0!</v>
      </c>
      <c r="BK101" s="29" t="str">
        <f t="shared" si="104"/>
        <v>#DIV/0!</v>
      </c>
      <c r="BL101" s="29" t="str">
        <f t="shared" si="104"/>
        <v>#DIV/0!</v>
      </c>
      <c r="BM101" s="29" t="str">
        <f t="shared" si="3"/>
        <v>#DIV/0!</v>
      </c>
    </row>
    <row r="102">
      <c r="A102" s="16" t="str">
        <f>IFERROR(__xludf.DUMMYFUNCTION("IFERROR(SPARKLINE(SORT(MAP(TRANSPOSE(AQ102:BL102), LAMBDA(val, IF(ISNUMBER(val), PERCENTRANK(AQ102:BL102, val)+0.01, 0))), SEQUENCE(COLUMNS(AQ102:BL102)), FALSE), {""charttype"",""column""; ""color"",""chartreuse""; ""ymin"", 0; ""ymax"", 1.01; ""highcolo"&amp;"r"", ""darkgreen""; ""lowcolor"", ""red""}), """")"),"")</f>
        <v/>
      </c>
      <c r="B102" s="17" t="str">
        <f t="shared" si="4"/>
        <v/>
      </c>
      <c r="C102" s="1" t="s">
        <v>479</v>
      </c>
      <c r="D102" s="30" t="str">
        <f>IFERROR(__xludf.DUMMYFUNCTION("IFERROR(GOOGLEFINANCE(C102, ""NAME""))"),"SES AI Corp")</f>
        <v>SES AI Corp</v>
      </c>
      <c r="E102" s="30" t="s">
        <v>109</v>
      </c>
      <c r="F102" s="33" t="str">
        <f>IFERROR(__xludf.DUMMYFUNCTION("( (GOOGLEFINANCE(C102, ""price"") - Q102) / Q102 ) / (R102 / 100)"),"Loading...")</f>
        <v>Loading...</v>
      </c>
      <c r="G102" s="20" t="str">
        <f>IFERROR(__xludf.DUMMYFUNCTION("AVERAGE(ARRAYFORMULA(100 * (QUERY(GOOGLEFINANCE(C102, ""high"", TODAY()-40, TODAY()), ""SELECT Col2 WHERE Col2 IS NOT NULL ORDER BY Col1 DESC LIMIT 20"", 0) / QUERY(GOOGLEFINANCE(C102, ""low"", TODAY()-40, TODAY()), ""SELECT Col2 WHERE Col2 IS NOT NULL OR"&amp;"DER BY Col1 DESC LIMIT 20"", 0) - 1)))"),"#N/A")</f>
        <v>#N/A</v>
      </c>
      <c r="H102" s="35" t="str">
        <f t="shared" si="6"/>
        <v/>
      </c>
      <c r="I102" s="35" t="str">
        <f t="shared" si="7"/>
        <v/>
      </c>
      <c r="J102" s="37" t="str">
        <f>IFERROR(__xludf.DUMMYFUNCTION("IFERROR(
  IF(C102="""",, 
    IFERROR(
      GOOGLEFINANCE(C102, ""price"") * GOOGLEFINANCE(C102, ""volumeavg""), 
      GOOGLEFINANCE(C102, ""price"") * AVERAGE(QUERY(GOOGLEFINANCE(C102, ""volume"", TODAY()-40, TODAY()), ""SELECT Col2 WHERE Col2 IS NOT "&amp;"NULL ORDER BY Col1 DESC LIMIT 20"", 0))
    )
  ), 
"""")"),"")</f>
        <v/>
      </c>
      <c r="K102" s="21" t="str">
        <f>IFERROR(__xludf.DUMMYFUNCTION("IFERROR(GOOGLEFINANCE(C102, ""changepct"") / 100, """")"),"")</f>
        <v/>
      </c>
      <c r="L102" s="21" t="str">
        <f>IFERROR(__xludf.DUMMYFUNCTION("IFERROR((GOOGLEFINANCE(C102, ""price"") / INDEX(GOOGLEFINANCE(C102, ""price"", TODAY()-7, TODAY()), 2, 2)) - 1, """")"),"")</f>
        <v/>
      </c>
      <c r="M102" s="21" t="str">
        <f>IFERROR(__xludf.DUMMYFUNCTION("IFERROR((GOOGLEFINANCE(C102, ""price"") / INDEX(GOOGLEFINANCE(C102, ""price"", EDATE(TODAY(), -1), TODAY()), 2, 2)) - 1, """")"),"")</f>
        <v/>
      </c>
      <c r="N102" s="21" t="str">
        <f>IFERROR(__xludf.DUMMYFUNCTION("IFERROR((GOOGLEFINANCE(C102, ""price"") / INDEX(GOOGLEFINANCE(C102, ""price"", EDATE(TODAY(), -3), TODAY()), 2, 2)) - 1, """")"),"")</f>
        <v/>
      </c>
      <c r="O102" s="21" t="str">
        <f>IFERROR(__xludf.DUMMYFUNCTION("IFERROR((GOOGLEFINANCE(C102, ""price"") / INDEX(GOOGLEFINANCE(C102, ""price"", EDATE(TODAY(), -6), TODAY()), 2, 2)) - 1, """")"),"")</f>
        <v/>
      </c>
      <c r="P102" s="21" t="str">
        <f>IFERROR(__xludf.DUMMYFUNCTION("IFERROR((GOOGLEFINANCE(C102, ""price"") / INDEX(GOOGLEFINANCE(C102, ""price"", EDATE(TODAY(), -12), TODAY()), 2, 2)) - 1, """")"),"")</f>
        <v/>
      </c>
      <c r="Q102" s="6" t="str">
        <f>IFERROR(__xludf.DUMMYFUNCTION("AVERAGE(QUERY(GOOGLEFINANCE(C102, ""price"", TODAY()-80, TODAY()), ""SELECT Col2 WHERE Col2 IS NOT NULL ORDER BY Col1 DESC LIMIT 50"", 0))"),"#N/A")</f>
        <v>#N/A</v>
      </c>
      <c r="R102" s="24" t="str">
        <f>IFERROR(__xludf.DUMMYFUNCTION("IFERROR(
  LET(
    data, QUERY(GOOGLEFINANCE(C102,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GOOGLEFINANCE(C102, ""price"")) * 100,
    IF(calc=0, G102, calc)
  ), 
G102)"),"#N/A")</f>
        <v>#N/A</v>
      </c>
      <c r="S102" s="8" t="s">
        <v>15</v>
      </c>
      <c r="T102" s="26" t="str">
        <f>IFERROR(__xludf.DUMMYFUNCTION("IFERROR(TRANSPOSE(QUERY(IFERROR(SORT(GOOGLEFINANCE(C102, ""price"", WORKDAY(TODAY(), -40), TODAY()), 1, FALSE)), ""select Col2 where Col2 is not null limit 22 label Col2 ''"", 0)), """")"),"")</f>
        <v/>
      </c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8"/>
      <c r="AO102" s="28"/>
      <c r="AP102" s="29"/>
      <c r="AQ102" s="29" t="str">
        <f t="shared" ref="AQ102:BL102" si="105">T102/T$2</f>
        <v>#N/A</v>
      </c>
      <c r="AR102" s="29" t="str">
        <f t="shared" si="105"/>
        <v>#DIV/0!</v>
      </c>
      <c r="AS102" s="29" t="str">
        <f t="shared" si="105"/>
        <v>#DIV/0!</v>
      </c>
      <c r="AT102" s="29" t="str">
        <f t="shared" si="105"/>
        <v>#DIV/0!</v>
      </c>
      <c r="AU102" s="29" t="str">
        <f t="shared" si="105"/>
        <v>#DIV/0!</v>
      </c>
      <c r="AV102" s="29" t="str">
        <f t="shared" si="105"/>
        <v>#DIV/0!</v>
      </c>
      <c r="AW102" s="29" t="str">
        <f t="shared" si="105"/>
        <v>#DIV/0!</v>
      </c>
      <c r="AX102" s="29" t="str">
        <f t="shared" si="105"/>
        <v>#DIV/0!</v>
      </c>
      <c r="AY102" s="29" t="str">
        <f t="shared" si="105"/>
        <v>#DIV/0!</v>
      </c>
      <c r="AZ102" s="29" t="str">
        <f t="shared" si="105"/>
        <v>#DIV/0!</v>
      </c>
      <c r="BA102" s="29" t="str">
        <f t="shared" si="105"/>
        <v>#DIV/0!</v>
      </c>
      <c r="BB102" s="29" t="str">
        <f t="shared" si="105"/>
        <v>#DIV/0!</v>
      </c>
      <c r="BC102" s="29" t="str">
        <f t="shared" si="105"/>
        <v>#DIV/0!</v>
      </c>
      <c r="BD102" s="29" t="str">
        <f t="shared" si="105"/>
        <v>#DIV/0!</v>
      </c>
      <c r="BE102" s="29" t="str">
        <f t="shared" si="105"/>
        <v>#DIV/0!</v>
      </c>
      <c r="BF102" s="29" t="str">
        <f t="shared" si="105"/>
        <v>#DIV/0!</v>
      </c>
      <c r="BG102" s="29" t="str">
        <f t="shared" si="105"/>
        <v>#DIV/0!</v>
      </c>
      <c r="BH102" s="29" t="str">
        <f t="shared" si="105"/>
        <v>#DIV/0!</v>
      </c>
      <c r="BI102" s="29" t="str">
        <f t="shared" si="105"/>
        <v>#DIV/0!</v>
      </c>
      <c r="BJ102" s="29" t="str">
        <f t="shared" si="105"/>
        <v>#DIV/0!</v>
      </c>
      <c r="BK102" s="29" t="str">
        <f t="shared" si="105"/>
        <v>#DIV/0!</v>
      </c>
      <c r="BL102" s="29" t="str">
        <f t="shared" si="105"/>
        <v>#DIV/0!</v>
      </c>
      <c r="BM102" s="29" t="str">
        <f t="shared" si="3"/>
        <v>#DIV/0!</v>
      </c>
    </row>
    <row r="103">
      <c r="A103" s="16" t="str">
        <f>IFERROR(__xludf.DUMMYFUNCTION("IFERROR(SPARKLINE(SORT(MAP(TRANSPOSE(AQ103:BL103), LAMBDA(val, IF(ISNUMBER(val), PERCENTRANK(AQ103:BL103, val)+0.01, 0))), SEQUENCE(COLUMNS(AQ103:BL103)), FALSE), {""charttype"",""column""; ""color"",""chartreuse""; ""ymin"", 0; ""ymax"", 1.01; ""highcolo"&amp;"r"", ""darkgreen""; ""lowcolor"", ""red""}), """")"),"")</f>
        <v/>
      </c>
      <c r="B103" s="17" t="str">
        <f t="shared" si="4"/>
        <v/>
      </c>
      <c r="C103" s="1" t="s">
        <v>483</v>
      </c>
      <c r="D103" s="30" t="str">
        <f>IFERROR(__xludf.DUMMYFUNCTION("IFERROR(GOOGLEFINANCE(C103, ""NAME""))"),"Melco Resorts &amp; Entertainment Ltd")</f>
        <v>Melco Resorts &amp; Entertainment Ltd</v>
      </c>
      <c r="E103" s="30" t="s">
        <v>354</v>
      </c>
      <c r="F103" s="33" t="str">
        <f>IFERROR(__xludf.DUMMYFUNCTION("( (GOOGLEFINANCE(C103, ""price"") - Q103) / Q103 ) / (R103 / 100)"),"Loading...")</f>
        <v>Loading...</v>
      </c>
      <c r="G103" s="20" t="str">
        <f>IFERROR(__xludf.DUMMYFUNCTION("AVERAGE(ARRAYFORMULA(100 * (QUERY(GOOGLEFINANCE(C103, ""high"", TODAY()-40, TODAY()), ""SELECT Col2 WHERE Col2 IS NOT NULL ORDER BY Col1 DESC LIMIT 20"", 0) / QUERY(GOOGLEFINANCE(C103, ""low"", TODAY()-40, TODAY()), ""SELECT Col2 WHERE Col2 IS NOT NULL OR"&amp;"DER BY Col1 DESC LIMIT 20"", 0) - 1)))"),"#N/A")</f>
        <v>#N/A</v>
      </c>
      <c r="H103" s="35" t="str">
        <f t="shared" si="6"/>
        <v/>
      </c>
      <c r="I103" s="35" t="str">
        <f t="shared" si="7"/>
        <v/>
      </c>
      <c r="J103" s="37" t="str">
        <f>IFERROR(__xludf.DUMMYFUNCTION("IFERROR(
  IF(C103="""",, 
    IFERROR(
      GOOGLEFINANCE(C103, ""price"") * GOOGLEFINANCE(C103, ""volumeavg""), 
      GOOGLEFINANCE(C103, ""price"") * AVERAGE(QUERY(GOOGLEFINANCE(C103, ""volume"", TODAY()-40, TODAY()), ""SELECT Col2 WHERE Col2 IS NOT "&amp;"NULL ORDER BY Col1 DESC LIMIT 20"", 0))
    )
  ), 
"""")"),"")</f>
        <v/>
      </c>
      <c r="K103" s="21" t="str">
        <f>IFERROR(__xludf.DUMMYFUNCTION("IFERROR(GOOGLEFINANCE(C103, ""changepct"") / 100, """")"),"")</f>
        <v/>
      </c>
      <c r="L103" s="21" t="str">
        <f>IFERROR(__xludf.DUMMYFUNCTION("IFERROR((GOOGLEFINANCE(C103, ""price"") / INDEX(GOOGLEFINANCE(C103, ""price"", TODAY()-7, TODAY()), 2, 2)) - 1, """")"),"")</f>
        <v/>
      </c>
      <c r="M103" s="21" t="str">
        <f>IFERROR(__xludf.DUMMYFUNCTION("IFERROR((GOOGLEFINANCE(C103, ""price"") / INDEX(GOOGLEFINANCE(C103, ""price"", EDATE(TODAY(), -1), TODAY()), 2, 2)) - 1, """")"),"")</f>
        <v/>
      </c>
      <c r="N103" s="21" t="str">
        <f>IFERROR(__xludf.DUMMYFUNCTION("IFERROR((GOOGLEFINANCE(C103, ""price"") / INDEX(GOOGLEFINANCE(C103, ""price"", EDATE(TODAY(), -3), TODAY()), 2, 2)) - 1, """")"),"")</f>
        <v/>
      </c>
      <c r="O103" s="21" t="str">
        <f>IFERROR(__xludf.DUMMYFUNCTION("IFERROR((GOOGLEFINANCE(C103, ""price"") / INDEX(GOOGLEFINANCE(C103, ""price"", EDATE(TODAY(), -6), TODAY()), 2, 2)) - 1, """")"),"")</f>
        <v/>
      </c>
      <c r="P103" s="21" t="str">
        <f>IFERROR(__xludf.DUMMYFUNCTION("IFERROR((GOOGLEFINANCE(C103, ""price"") / INDEX(GOOGLEFINANCE(C103, ""price"", EDATE(TODAY(), -12), TODAY()), 2, 2)) - 1, """")"),"")</f>
        <v/>
      </c>
      <c r="Q103" s="6" t="str">
        <f>IFERROR(__xludf.DUMMYFUNCTION("AVERAGE(QUERY(GOOGLEFINANCE(C103, ""price"", TODAY()-80, TODAY()), ""SELECT Col2 WHERE Col2 IS NOT NULL ORDER BY Col1 DESC LIMIT 50"", 0))"),"#N/A")</f>
        <v>#N/A</v>
      </c>
      <c r="R103" s="24" t="str">
        <f>IFERROR(__xludf.DUMMYFUNCTION("IFERROR(
  LET(
    data, QUERY(GOOGLEFINANCE(C103,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GOOGLEFINANCE(C103, ""price"")) * 100,
    IF(calc=0, G103, calc)
  ), 
G103)"),"#N/A")</f>
        <v>#N/A</v>
      </c>
      <c r="S103" s="8" t="s">
        <v>15</v>
      </c>
      <c r="T103" s="26" t="str">
        <f>IFERROR(__xludf.DUMMYFUNCTION("IFERROR(TRANSPOSE(QUERY(IFERROR(SORT(GOOGLEFINANCE(C103, ""price"", WORKDAY(TODAY(), -40), TODAY()), 1, FALSE)), ""select Col2 where Col2 is not null limit 22 label Col2 ''"", 0)), """")"),"")</f>
        <v/>
      </c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8"/>
      <c r="AO103" s="28"/>
      <c r="AP103" s="29"/>
      <c r="AQ103" s="29" t="str">
        <f t="shared" ref="AQ103:BL103" si="106">T103/T$2</f>
        <v>#N/A</v>
      </c>
      <c r="AR103" s="29" t="str">
        <f t="shared" si="106"/>
        <v>#DIV/0!</v>
      </c>
      <c r="AS103" s="29" t="str">
        <f t="shared" si="106"/>
        <v>#DIV/0!</v>
      </c>
      <c r="AT103" s="29" t="str">
        <f t="shared" si="106"/>
        <v>#DIV/0!</v>
      </c>
      <c r="AU103" s="29" t="str">
        <f t="shared" si="106"/>
        <v>#DIV/0!</v>
      </c>
      <c r="AV103" s="29" t="str">
        <f t="shared" si="106"/>
        <v>#DIV/0!</v>
      </c>
      <c r="AW103" s="29" t="str">
        <f t="shared" si="106"/>
        <v>#DIV/0!</v>
      </c>
      <c r="AX103" s="29" t="str">
        <f t="shared" si="106"/>
        <v>#DIV/0!</v>
      </c>
      <c r="AY103" s="29" t="str">
        <f t="shared" si="106"/>
        <v>#DIV/0!</v>
      </c>
      <c r="AZ103" s="29" t="str">
        <f t="shared" si="106"/>
        <v>#DIV/0!</v>
      </c>
      <c r="BA103" s="29" t="str">
        <f t="shared" si="106"/>
        <v>#DIV/0!</v>
      </c>
      <c r="BB103" s="29" t="str">
        <f t="shared" si="106"/>
        <v>#DIV/0!</v>
      </c>
      <c r="BC103" s="29" t="str">
        <f t="shared" si="106"/>
        <v>#DIV/0!</v>
      </c>
      <c r="BD103" s="29" t="str">
        <f t="shared" si="106"/>
        <v>#DIV/0!</v>
      </c>
      <c r="BE103" s="29" t="str">
        <f t="shared" si="106"/>
        <v>#DIV/0!</v>
      </c>
      <c r="BF103" s="29" t="str">
        <f t="shared" si="106"/>
        <v>#DIV/0!</v>
      </c>
      <c r="BG103" s="29" t="str">
        <f t="shared" si="106"/>
        <v>#DIV/0!</v>
      </c>
      <c r="BH103" s="29" t="str">
        <f t="shared" si="106"/>
        <v>#DIV/0!</v>
      </c>
      <c r="BI103" s="29" t="str">
        <f t="shared" si="106"/>
        <v>#DIV/0!</v>
      </c>
      <c r="BJ103" s="29" t="str">
        <f t="shared" si="106"/>
        <v>#DIV/0!</v>
      </c>
      <c r="BK103" s="29" t="str">
        <f t="shared" si="106"/>
        <v>#DIV/0!</v>
      </c>
      <c r="BL103" s="29" t="str">
        <f t="shared" si="106"/>
        <v>#DIV/0!</v>
      </c>
      <c r="BM103" s="29" t="str">
        <f t="shared" si="3"/>
        <v>#DIV/0!</v>
      </c>
    </row>
    <row r="104">
      <c r="A104" s="16" t="str">
        <f>IFERROR(__xludf.DUMMYFUNCTION("IFERROR(SPARKLINE(SORT(MAP(TRANSPOSE(AQ104:BL104), LAMBDA(val, IF(ISNUMBER(val), PERCENTRANK(AQ104:BL104, val)+0.01, 0))), SEQUENCE(COLUMNS(AQ104:BL104)), FALSE), {""charttype"",""column""; ""color"",""chartreuse""; ""ymin"", 0; ""ymax"", 1.01; ""highcolo"&amp;"r"", ""darkgreen""; ""lowcolor"", ""red""}), """")"),"")</f>
        <v/>
      </c>
      <c r="B104" s="17" t="str">
        <f t="shared" si="4"/>
        <v/>
      </c>
      <c r="C104" s="1" t="s">
        <v>487</v>
      </c>
      <c r="D104" s="30" t="str">
        <f>IFERROR(__xludf.DUMMYFUNCTION("IFERROR(GOOGLEFINANCE(C104, ""NAME""))"),"Papa John's International Inc")</f>
        <v>Papa John's International Inc</v>
      </c>
      <c r="E104" s="30" t="s">
        <v>126</v>
      </c>
      <c r="F104" s="33" t="str">
        <f>IFERROR(__xludf.DUMMYFUNCTION("( (GOOGLEFINANCE(C104, ""price"") - Q104) / Q104 ) / (R104 / 100)"),"Loading...")</f>
        <v>Loading...</v>
      </c>
      <c r="G104" s="20" t="str">
        <f>IFERROR(__xludf.DUMMYFUNCTION("AVERAGE(ARRAYFORMULA(100 * (QUERY(GOOGLEFINANCE(C104, ""high"", TODAY()-40, TODAY()), ""SELECT Col2 WHERE Col2 IS NOT NULL ORDER BY Col1 DESC LIMIT 20"", 0) / QUERY(GOOGLEFINANCE(C104, ""low"", TODAY()-40, TODAY()), ""SELECT Col2 WHERE Col2 IS NOT NULL OR"&amp;"DER BY Col1 DESC LIMIT 20"", 0) - 1)))"),"#N/A")</f>
        <v>#N/A</v>
      </c>
      <c r="H104" s="35" t="str">
        <f t="shared" si="6"/>
        <v/>
      </c>
      <c r="I104" s="35" t="str">
        <f t="shared" si="7"/>
        <v/>
      </c>
      <c r="J104" s="37" t="str">
        <f>IFERROR(__xludf.DUMMYFUNCTION("IFERROR(
  IF(C104="""",, 
    IFERROR(
      GOOGLEFINANCE(C104, ""price"") * GOOGLEFINANCE(C104, ""volumeavg""), 
      GOOGLEFINANCE(C104, ""price"") * AVERAGE(QUERY(GOOGLEFINANCE(C104, ""volume"", TODAY()-40, TODAY()), ""SELECT Col2 WHERE Col2 IS NOT "&amp;"NULL ORDER BY Col1 DESC LIMIT 20"", 0))
    )
  ), 
"""")"),"")</f>
        <v/>
      </c>
      <c r="K104" s="21" t="str">
        <f>IFERROR(__xludf.DUMMYFUNCTION("IFERROR(GOOGLEFINANCE(C104, ""changepct"") / 100, """")"),"")</f>
        <v/>
      </c>
      <c r="L104" s="21" t="str">
        <f>IFERROR(__xludf.DUMMYFUNCTION("IFERROR((GOOGLEFINANCE(C104, ""price"") / INDEX(GOOGLEFINANCE(C104, ""price"", TODAY()-7, TODAY()), 2, 2)) - 1, """")"),"")</f>
        <v/>
      </c>
      <c r="M104" s="21" t="str">
        <f>IFERROR(__xludf.DUMMYFUNCTION("IFERROR((GOOGLEFINANCE(C104, ""price"") / INDEX(GOOGLEFINANCE(C104, ""price"", EDATE(TODAY(), -1), TODAY()), 2, 2)) - 1, """")"),"")</f>
        <v/>
      </c>
      <c r="N104" s="21" t="str">
        <f>IFERROR(__xludf.DUMMYFUNCTION("IFERROR((GOOGLEFINANCE(C104, ""price"") / INDEX(GOOGLEFINANCE(C104, ""price"", EDATE(TODAY(), -3), TODAY()), 2, 2)) - 1, """")"),"")</f>
        <v/>
      </c>
      <c r="O104" s="21" t="str">
        <f>IFERROR(__xludf.DUMMYFUNCTION("IFERROR((GOOGLEFINANCE(C104, ""price"") / INDEX(GOOGLEFINANCE(C104, ""price"", EDATE(TODAY(), -6), TODAY()), 2, 2)) - 1, """")"),"")</f>
        <v/>
      </c>
      <c r="P104" s="21" t="str">
        <f>IFERROR(__xludf.DUMMYFUNCTION("IFERROR((GOOGLEFINANCE(C104, ""price"") / INDEX(GOOGLEFINANCE(C104, ""price"", EDATE(TODAY(), -12), TODAY()), 2, 2)) - 1, """")"),"")</f>
        <v/>
      </c>
      <c r="Q104" s="6" t="str">
        <f>IFERROR(__xludf.DUMMYFUNCTION("AVERAGE(QUERY(GOOGLEFINANCE(C104, ""price"", TODAY()-80, TODAY()), ""SELECT Col2 WHERE Col2 IS NOT NULL ORDER BY Col1 DESC LIMIT 50"", 0))"),"#N/A")</f>
        <v>#N/A</v>
      </c>
      <c r="R104" s="24" t="str">
        <f>IFERROR(__xludf.DUMMYFUNCTION("IFERROR(
  LET(
    data, QUERY(GOOGLEFINANCE(C104,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GOOGLEFINANCE(C104, ""price"")) * 100,
    IF(calc=0, G104, calc)
  ), 
G104)"),"#N/A")</f>
        <v>#N/A</v>
      </c>
      <c r="S104" s="8" t="s">
        <v>15</v>
      </c>
      <c r="T104" s="26" t="str">
        <f>IFERROR(__xludf.DUMMYFUNCTION("IFERROR(TRANSPOSE(QUERY(IFERROR(SORT(GOOGLEFINANCE(C104, ""price"", WORKDAY(TODAY(), -40), TODAY()), 1, FALSE)), ""select Col2 where Col2 is not null limit 22 label Col2 ''"", 0)), """")"),"")</f>
        <v/>
      </c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8"/>
      <c r="AO104" s="28"/>
      <c r="AP104" s="29"/>
      <c r="AQ104" s="29" t="str">
        <f t="shared" ref="AQ104:BL104" si="107">T104/T$2</f>
        <v>#N/A</v>
      </c>
      <c r="AR104" s="29" t="str">
        <f t="shared" si="107"/>
        <v>#DIV/0!</v>
      </c>
      <c r="AS104" s="29" t="str">
        <f t="shared" si="107"/>
        <v>#DIV/0!</v>
      </c>
      <c r="AT104" s="29" t="str">
        <f t="shared" si="107"/>
        <v>#DIV/0!</v>
      </c>
      <c r="AU104" s="29" t="str">
        <f t="shared" si="107"/>
        <v>#DIV/0!</v>
      </c>
      <c r="AV104" s="29" t="str">
        <f t="shared" si="107"/>
        <v>#DIV/0!</v>
      </c>
      <c r="AW104" s="29" t="str">
        <f t="shared" si="107"/>
        <v>#DIV/0!</v>
      </c>
      <c r="AX104" s="29" t="str">
        <f t="shared" si="107"/>
        <v>#DIV/0!</v>
      </c>
      <c r="AY104" s="29" t="str">
        <f t="shared" si="107"/>
        <v>#DIV/0!</v>
      </c>
      <c r="AZ104" s="29" t="str">
        <f t="shared" si="107"/>
        <v>#DIV/0!</v>
      </c>
      <c r="BA104" s="29" t="str">
        <f t="shared" si="107"/>
        <v>#DIV/0!</v>
      </c>
      <c r="BB104" s="29" t="str">
        <f t="shared" si="107"/>
        <v>#DIV/0!</v>
      </c>
      <c r="BC104" s="29" t="str">
        <f t="shared" si="107"/>
        <v>#DIV/0!</v>
      </c>
      <c r="BD104" s="29" t="str">
        <f t="shared" si="107"/>
        <v>#DIV/0!</v>
      </c>
      <c r="BE104" s="29" t="str">
        <f t="shared" si="107"/>
        <v>#DIV/0!</v>
      </c>
      <c r="BF104" s="29" t="str">
        <f t="shared" si="107"/>
        <v>#DIV/0!</v>
      </c>
      <c r="BG104" s="29" t="str">
        <f t="shared" si="107"/>
        <v>#DIV/0!</v>
      </c>
      <c r="BH104" s="29" t="str">
        <f t="shared" si="107"/>
        <v>#DIV/0!</v>
      </c>
      <c r="BI104" s="29" t="str">
        <f t="shared" si="107"/>
        <v>#DIV/0!</v>
      </c>
      <c r="BJ104" s="29" t="str">
        <f t="shared" si="107"/>
        <v>#DIV/0!</v>
      </c>
      <c r="BK104" s="29" t="str">
        <f t="shared" si="107"/>
        <v>#DIV/0!</v>
      </c>
      <c r="BL104" s="29" t="str">
        <f t="shared" si="107"/>
        <v>#DIV/0!</v>
      </c>
      <c r="BM104" s="29" t="str">
        <f t="shared" si="3"/>
        <v>#DIV/0!</v>
      </c>
    </row>
    <row r="105">
      <c r="A105" s="16" t="str">
        <f>IFERROR(__xludf.DUMMYFUNCTION("IFERROR(SPARKLINE(SORT(MAP(TRANSPOSE(AQ105:BL105), LAMBDA(val, IF(ISNUMBER(val), PERCENTRANK(AQ105:BL105, val)+0.01, 0))), SEQUENCE(COLUMNS(AQ105:BL105)), FALSE), {""charttype"",""column""; ""color"",""chartreuse""; ""ymin"", 0; ""ymax"", 1.01; ""highcolo"&amp;"r"", ""darkgreen""; ""lowcolor"", ""red""}), """")"),"")</f>
        <v/>
      </c>
      <c r="B105" s="17" t="str">
        <f t="shared" si="4"/>
        <v/>
      </c>
      <c r="C105" s="1" t="s">
        <v>491</v>
      </c>
      <c r="D105" s="30" t="str">
        <f>IFERROR(__xludf.DUMMYFUNCTION("IFERROR(GOOGLEFINANCE(C105, ""NAME""))"),"Marriott Vacations Worldwide Corp")</f>
        <v>Marriott Vacations Worldwide Corp</v>
      </c>
      <c r="E105" s="30" t="s">
        <v>354</v>
      </c>
      <c r="F105" s="33" t="str">
        <f>IFERROR(__xludf.DUMMYFUNCTION("( (GOOGLEFINANCE(C105, ""price"") - Q105) / Q105 ) / (R105 / 100)"),"Loading...")</f>
        <v>Loading...</v>
      </c>
      <c r="G105" s="20" t="str">
        <f>IFERROR(__xludf.DUMMYFUNCTION("AVERAGE(ARRAYFORMULA(100 * (QUERY(GOOGLEFINANCE(C105, ""high"", TODAY()-40, TODAY()), ""SELECT Col2 WHERE Col2 IS NOT NULL ORDER BY Col1 DESC LIMIT 20"", 0) / QUERY(GOOGLEFINANCE(C105, ""low"", TODAY()-40, TODAY()), ""SELECT Col2 WHERE Col2 IS NOT NULL OR"&amp;"DER BY Col1 DESC LIMIT 20"", 0) - 1)))"),"#N/A")</f>
        <v>#N/A</v>
      </c>
      <c r="H105" s="35" t="str">
        <f t="shared" si="6"/>
        <v/>
      </c>
      <c r="I105" s="35" t="str">
        <f t="shared" si="7"/>
        <v/>
      </c>
      <c r="J105" s="37" t="str">
        <f>IFERROR(__xludf.DUMMYFUNCTION("IFERROR(
  IF(C105="""",, 
    IFERROR(
      GOOGLEFINANCE(C105, ""price"") * GOOGLEFINANCE(C105, ""volumeavg""), 
      GOOGLEFINANCE(C105, ""price"") * AVERAGE(QUERY(GOOGLEFINANCE(C105, ""volume"", TODAY()-40, TODAY()), ""SELECT Col2 WHERE Col2 IS NOT "&amp;"NULL ORDER BY Col1 DESC LIMIT 20"", 0))
    )
  ), 
"""")"),"")</f>
        <v/>
      </c>
      <c r="K105" s="21" t="str">
        <f>IFERROR(__xludf.DUMMYFUNCTION("IFERROR(GOOGLEFINANCE(C105, ""changepct"") / 100, """")"),"")</f>
        <v/>
      </c>
      <c r="L105" s="21" t="str">
        <f>IFERROR(__xludf.DUMMYFUNCTION("IFERROR((GOOGLEFINANCE(C105, ""price"") / INDEX(GOOGLEFINANCE(C105, ""price"", TODAY()-7, TODAY()), 2, 2)) - 1, """")"),"")</f>
        <v/>
      </c>
      <c r="M105" s="21" t="str">
        <f>IFERROR(__xludf.DUMMYFUNCTION("IFERROR((GOOGLEFINANCE(C105, ""price"") / INDEX(GOOGLEFINANCE(C105, ""price"", EDATE(TODAY(), -1), TODAY()), 2, 2)) - 1, """")"),"")</f>
        <v/>
      </c>
      <c r="N105" s="21" t="str">
        <f>IFERROR(__xludf.DUMMYFUNCTION("IFERROR((GOOGLEFINANCE(C105, ""price"") / INDEX(GOOGLEFINANCE(C105, ""price"", EDATE(TODAY(), -3), TODAY()), 2, 2)) - 1, """")"),"")</f>
        <v/>
      </c>
      <c r="O105" s="21" t="str">
        <f>IFERROR(__xludf.DUMMYFUNCTION("IFERROR((GOOGLEFINANCE(C105, ""price"") / INDEX(GOOGLEFINANCE(C105, ""price"", EDATE(TODAY(), -6), TODAY()), 2, 2)) - 1, """")"),"")</f>
        <v/>
      </c>
      <c r="P105" s="21" t="str">
        <f>IFERROR(__xludf.DUMMYFUNCTION("IFERROR((GOOGLEFINANCE(C105, ""price"") / INDEX(GOOGLEFINANCE(C105, ""price"", EDATE(TODAY(), -12), TODAY()), 2, 2)) - 1, """")"),"")</f>
        <v/>
      </c>
      <c r="Q105" s="6" t="str">
        <f>IFERROR(__xludf.DUMMYFUNCTION("AVERAGE(QUERY(GOOGLEFINANCE(C105, ""price"", TODAY()-80, TODAY()), ""SELECT Col2 WHERE Col2 IS NOT NULL ORDER BY Col1 DESC LIMIT 50"", 0))"),"#N/A")</f>
        <v>#N/A</v>
      </c>
      <c r="R105" s="24" t="str">
        <f>IFERROR(__xludf.DUMMYFUNCTION("IFERROR(
  LET(
    data, QUERY(GOOGLEFINANCE(C105,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GOOGLEFINANCE(C105, ""price"")) * 100,
    IF(calc=0, G105, calc)
  ), 
G105)"),"#N/A")</f>
        <v>#N/A</v>
      </c>
      <c r="S105" s="8" t="s">
        <v>15</v>
      </c>
      <c r="T105" s="26" t="str">
        <f>IFERROR(__xludf.DUMMYFUNCTION("IFERROR(TRANSPOSE(QUERY(IFERROR(SORT(GOOGLEFINANCE(C105, ""price"", WORKDAY(TODAY(), -40), TODAY()), 1, FALSE)), ""select Col2 where Col2 is not null limit 22 label Col2 ''"", 0)), """")"),"")</f>
        <v/>
      </c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8"/>
      <c r="AO105" s="28"/>
      <c r="AP105" s="29"/>
      <c r="AQ105" s="29" t="str">
        <f t="shared" ref="AQ105:BL105" si="108">T105/T$2</f>
        <v>#N/A</v>
      </c>
      <c r="AR105" s="29" t="str">
        <f t="shared" si="108"/>
        <v>#DIV/0!</v>
      </c>
      <c r="AS105" s="29" t="str">
        <f t="shared" si="108"/>
        <v>#DIV/0!</v>
      </c>
      <c r="AT105" s="29" t="str">
        <f t="shared" si="108"/>
        <v>#DIV/0!</v>
      </c>
      <c r="AU105" s="29" t="str">
        <f t="shared" si="108"/>
        <v>#DIV/0!</v>
      </c>
      <c r="AV105" s="29" t="str">
        <f t="shared" si="108"/>
        <v>#DIV/0!</v>
      </c>
      <c r="AW105" s="29" t="str">
        <f t="shared" si="108"/>
        <v>#DIV/0!</v>
      </c>
      <c r="AX105" s="29" t="str">
        <f t="shared" si="108"/>
        <v>#DIV/0!</v>
      </c>
      <c r="AY105" s="29" t="str">
        <f t="shared" si="108"/>
        <v>#DIV/0!</v>
      </c>
      <c r="AZ105" s="29" t="str">
        <f t="shared" si="108"/>
        <v>#DIV/0!</v>
      </c>
      <c r="BA105" s="29" t="str">
        <f t="shared" si="108"/>
        <v>#DIV/0!</v>
      </c>
      <c r="BB105" s="29" t="str">
        <f t="shared" si="108"/>
        <v>#DIV/0!</v>
      </c>
      <c r="BC105" s="29" t="str">
        <f t="shared" si="108"/>
        <v>#DIV/0!</v>
      </c>
      <c r="BD105" s="29" t="str">
        <f t="shared" si="108"/>
        <v>#DIV/0!</v>
      </c>
      <c r="BE105" s="29" t="str">
        <f t="shared" si="108"/>
        <v>#DIV/0!</v>
      </c>
      <c r="BF105" s="29" t="str">
        <f t="shared" si="108"/>
        <v>#DIV/0!</v>
      </c>
      <c r="BG105" s="29" t="str">
        <f t="shared" si="108"/>
        <v>#DIV/0!</v>
      </c>
      <c r="BH105" s="29" t="str">
        <f t="shared" si="108"/>
        <v>#DIV/0!</v>
      </c>
      <c r="BI105" s="29" t="str">
        <f t="shared" si="108"/>
        <v>#DIV/0!</v>
      </c>
      <c r="BJ105" s="29" t="str">
        <f t="shared" si="108"/>
        <v>#DIV/0!</v>
      </c>
      <c r="BK105" s="29" t="str">
        <f t="shared" si="108"/>
        <v>#DIV/0!</v>
      </c>
      <c r="BL105" s="29" t="str">
        <f t="shared" si="108"/>
        <v>#DIV/0!</v>
      </c>
      <c r="BM105" s="29" t="str">
        <f t="shared" si="3"/>
        <v>#DIV/0!</v>
      </c>
    </row>
    <row r="106">
      <c r="A106" s="16" t="str">
        <f>IFERROR(__xludf.DUMMYFUNCTION("IFERROR(SPARKLINE(SORT(MAP(TRANSPOSE(AQ106:BL106), LAMBDA(val, IF(ISNUMBER(val), PERCENTRANK(AQ106:BL106, val)+0.01, 0))), SEQUENCE(COLUMNS(AQ106:BL106)), FALSE), {""charttype"",""column""; ""color"",""chartreuse""; ""ymin"", 0; ""ymax"", 1.01; ""highcolo"&amp;"r"", ""darkgreen""; ""lowcolor"", ""red""}), """")"),"")</f>
        <v/>
      </c>
      <c r="B106" s="17" t="str">
        <f t="shared" si="4"/>
        <v/>
      </c>
      <c r="C106" s="1" t="s">
        <v>493</v>
      </c>
      <c r="D106" s="30" t="str">
        <f>IFERROR(__xludf.DUMMYFUNCTION("IFERROR(GOOGLEFINANCE(C106, ""NAME""))"),"WEYCO Group Inc")</f>
        <v>WEYCO Group Inc</v>
      </c>
      <c r="E106" s="30" t="s">
        <v>411</v>
      </c>
      <c r="F106" s="33" t="str">
        <f>IFERROR(__xludf.DUMMYFUNCTION("( (GOOGLEFINANCE(C106, ""price"") - Q106) / Q106 ) / (R106 / 100)"),"Loading...")</f>
        <v>Loading...</v>
      </c>
      <c r="G106" s="20" t="str">
        <f>IFERROR(__xludf.DUMMYFUNCTION("AVERAGE(ARRAYFORMULA(100 * (QUERY(GOOGLEFINANCE(C106, ""high"", TODAY()-40, TODAY()), ""SELECT Col2 WHERE Col2 IS NOT NULL ORDER BY Col1 DESC LIMIT 20"", 0) / QUERY(GOOGLEFINANCE(C106, ""low"", TODAY()-40, TODAY()), ""SELECT Col2 WHERE Col2 IS NOT NULL OR"&amp;"DER BY Col1 DESC LIMIT 20"", 0) - 1)))"),"#N/A")</f>
        <v>#N/A</v>
      </c>
      <c r="H106" s="35" t="str">
        <f t="shared" si="6"/>
        <v/>
      </c>
      <c r="I106" s="35" t="str">
        <f t="shared" si="7"/>
        <v/>
      </c>
      <c r="J106" s="37" t="str">
        <f>IFERROR(__xludf.DUMMYFUNCTION("IFERROR(
  IF(C106="""",, 
    IFERROR(
      GOOGLEFINANCE(C106, ""price"") * GOOGLEFINANCE(C106, ""volumeavg""), 
      GOOGLEFINANCE(C106, ""price"") * AVERAGE(QUERY(GOOGLEFINANCE(C106, ""volume"", TODAY()-40, TODAY()), ""SELECT Col2 WHERE Col2 IS NOT "&amp;"NULL ORDER BY Col1 DESC LIMIT 20"", 0))
    )
  ), 
"""")"),"")</f>
        <v/>
      </c>
      <c r="K106" s="21" t="str">
        <f>IFERROR(__xludf.DUMMYFUNCTION("IFERROR(GOOGLEFINANCE(C106, ""changepct"") / 100, """")"),"")</f>
        <v/>
      </c>
      <c r="L106" s="21" t="str">
        <f>IFERROR(__xludf.DUMMYFUNCTION("IFERROR((GOOGLEFINANCE(C106, ""price"") / INDEX(GOOGLEFINANCE(C106, ""price"", TODAY()-7, TODAY()), 2, 2)) - 1, """")"),"")</f>
        <v/>
      </c>
      <c r="M106" s="21" t="str">
        <f>IFERROR(__xludf.DUMMYFUNCTION("IFERROR((GOOGLEFINANCE(C106, ""price"") / INDEX(GOOGLEFINANCE(C106, ""price"", EDATE(TODAY(), -1), TODAY()), 2, 2)) - 1, """")"),"")</f>
        <v/>
      </c>
      <c r="N106" s="21" t="str">
        <f>IFERROR(__xludf.DUMMYFUNCTION("IFERROR((GOOGLEFINANCE(C106, ""price"") / INDEX(GOOGLEFINANCE(C106, ""price"", EDATE(TODAY(), -3), TODAY()), 2, 2)) - 1, """")"),"")</f>
        <v/>
      </c>
      <c r="O106" s="21" t="str">
        <f>IFERROR(__xludf.DUMMYFUNCTION("IFERROR((GOOGLEFINANCE(C106, ""price"") / INDEX(GOOGLEFINANCE(C106, ""price"", EDATE(TODAY(), -6), TODAY()), 2, 2)) - 1, """")"),"")</f>
        <v/>
      </c>
      <c r="P106" s="21" t="str">
        <f>IFERROR(__xludf.DUMMYFUNCTION("IFERROR((GOOGLEFINANCE(C106, ""price"") / INDEX(GOOGLEFINANCE(C106, ""price"", EDATE(TODAY(), -12), TODAY()), 2, 2)) - 1, """")"),"")</f>
        <v/>
      </c>
      <c r="Q106" s="6" t="str">
        <f>IFERROR(__xludf.DUMMYFUNCTION("AVERAGE(QUERY(GOOGLEFINANCE(C106, ""price"", TODAY()-80, TODAY()), ""SELECT Col2 WHERE Col2 IS NOT NULL ORDER BY Col1 DESC LIMIT 50"", 0))"),"#N/A")</f>
        <v>#N/A</v>
      </c>
      <c r="R106" s="24" t="str">
        <f>IFERROR(__xludf.DUMMYFUNCTION("IFERROR(
  LET(
    data, QUERY(GOOGLEFINANCE(C106,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GOOGLEFINANCE(C106, ""price"")) * 100,
    IF(calc=0, G106, calc)
  ), 
G106)"),"#N/A")</f>
        <v>#N/A</v>
      </c>
      <c r="S106" s="8" t="s">
        <v>15</v>
      </c>
      <c r="T106" s="26" t="str">
        <f>IFERROR(__xludf.DUMMYFUNCTION("IFERROR(TRANSPOSE(QUERY(IFERROR(SORT(GOOGLEFINANCE(C106, ""price"", WORKDAY(TODAY(), -40), TODAY()), 1, FALSE)), ""select Col2 where Col2 is not null limit 22 label Col2 ''"", 0)), """")"),"")</f>
        <v/>
      </c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8"/>
      <c r="AO106" s="28"/>
      <c r="AP106" s="29"/>
      <c r="AQ106" s="29" t="str">
        <f t="shared" ref="AQ106:BL106" si="109">T106/T$2</f>
        <v>#N/A</v>
      </c>
      <c r="AR106" s="29" t="str">
        <f t="shared" si="109"/>
        <v>#DIV/0!</v>
      </c>
      <c r="AS106" s="29" t="str">
        <f t="shared" si="109"/>
        <v>#DIV/0!</v>
      </c>
      <c r="AT106" s="29" t="str">
        <f t="shared" si="109"/>
        <v>#DIV/0!</v>
      </c>
      <c r="AU106" s="29" t="str">
        <f t="shared" si="109"/>
        <v>#DIV/0!</v>
      </c>
      <c r="AV106" s="29" t="str">
        <f t="shared" si="109"/>
        <v>#DIV/0!</v>
      </c>
      <c r="AW106" s="29" t="str">
        <f t="shared" si="109"/>
        <v>#DIV/0!</v>
      </c>
      <c r="AX106" s="29" t="str">
        <f t="shared" si="109"/>
        <v>#DIV/0!</v>
      </c>
      <c r="AY106" s="29" t="str">
        <f t="shared" si="109"/>
        <v>#DIV/0!</v>
      </c>
      <c r="AZ106" s="29" t="str">
        <f t="shared" si="109"/>
        <v>#DIV/0!</v>
      </c>
      <c r="BA106" s="29" t="str">
        <f t="shared" si="109"/>
        <v>#DIV/0!</v>
      </c>
      <c r="BB106" s="29" t="str">
        <f t="shared" si="109"/>
        <v>#DIV/0!</v>
      </c>
      <c r="BC106" s="29" t="str">
        <f t="shared" si="109"/>
        <v>#DIV/0!</v>
      </c>
      <c r="BD106" s="29" t="str">
        <f t="shared" si="109"/>
        <v>#DIV/0!</v>
      </c>
      <c r="BE106" s="29" t="str">
        <f t="shared" si="109"/>
        <v>#DIV/0!</v>
      </c>
      <c r="BF106" s="29" t="str">
        <f t="shared" si="109"/>
        <v>#DIV/0!</v>
      </c>
      <c r="BG106" s="29" t="str">
        <f t="shared" si="109"/>
        <v>#DIV/0!</v>
      </c>
      <c r="BH106" s="29" t="str">
        <f t="shared" si="109"/>
        <v>#DIV/0!</v>
      </c>
      <c r="BI106" s="29" t="str">
        <f t="shared" si="109"/>
        <v>#DIV/0!</v>
      </c>
      <c r="BJ106" s="29" t="str">
        <f t="shared" si="109"/>
        <v>#DIV/0!</v>
      </c>
      <c r="BK106" s="29" t="str">
        <f t="shared" si="109"/>
        <v>#DIV/0!</v>
      </c>
      <c r="BL106" s="29" t="str">
        <f t="shared" si="109"/>
        <v>#DIV/0!</v>
      </c>
      <c r="BM106" s="29" t="str">
        <f t="shared" si="3"/>
        <v>#DIV/0!</v>
      </c>
    </row>
    <row r="107">
      <c r="A107" s="16" t="str">
        <f>IFERROR(__xludf.DUMMYFUNCTION("IFERROR(SPARKLINE(SORT(MAP(TRANSPOSE(AQ107:BL107), LAMBDA(val, IF(ISNUMBER(val), PERCENTRANK(AQ107:BL107, val)+0.01, 0))), SEQUENCE(COLUMNS(AQ107:BL107)), FALSE), {""charttype"",""column""; ""color"",""chartreuse""; ""ymin"", 0; ""ymax"", 1.01; ""highcolo"&amp;"r"", ""darkgreen""; ""lowcolor"", ""red""}), """")"),"")</f>
        <v/>
      </c>
      <c r="B107" s="17" t="str">
        <f t="shared" si="4"/>
        <v/>
      </c>
      <c r="C107" s="1" t="s">
        <v>497</v>
      </c>
      <c r="D107" s="30" t="str">
        <f>IFERROR(__xludf.DUMMYFUNCTION("IFERROR(GOOGLEFINANCE(C107, ""NAME""))"),"Barnes &amp; Noble Education Inc")</f>
        <v>Barnes &amp; Noble Education Inc</v>
      </c>
      <c r="E107" s="30" t="s">
        <v>184</v>
      </c>
      <c r="F107" s="33" t="str">
        <f>IFERROR(__xludf.DUMMYFUNCTION("( (GOOGLEFINANCE(C107, ""price"") - Q107) / Q107 ) / (R107 / 100)"),"Loading...")</f>
        <v>Loading...</v>
      </c>
      <c r="G107" s="20" t="str">
        <f>IFERROR(__xludf.DUMMYFUNCTION("AVERAGE(ARRAYFORMULA(100 * (QUERY(GOOGLEFINANCE(C107, ""high"", TODAY()-40, TODAY()), ""SELECT Col2 WHERE Col2 IS NOT NULL ORDER BY Col1 DESC LIMIT 20"", 0) / QUERY(GOOGLEFINANCE(C107, ""low"", TODAY()-40, TODAY()), ""SELECT Col2 WHERE Col2 IS NOT NULL OR"&amp;"DER BY Col1 DESC LIMIT 20"", 0) - 1)))"),"#N/A")</f>
        <v>#N/A</v>
      </c>
      <c r="H107" s="35" t="str">
        <f t="shared" si="6"/>
        <v/>
      </c>
      <c r="I107" s="35" t="str">
        <f t="shared" si="7"/>
        <v/>
      </c>
      <c r="J107" s="37" t="str">
        <f>IFERROR(__xludf.DUMMYFUNCTION("IFERROR(
  IF(C107="""",, 
    IFERROR(
      GOOGLEFINANCE(C107, ""price"") * GOOGLEFINANCE(C107, ""volumeavg""), 
      GOOGLEFINANCE(C107, ""price"") * AVERAGE(QUERY(GOOGLEFINANCE(C107, ""volume"", TODAY()-40, TODAY()), ""SELECT Col2 WHERE Col2 IS NOT "&amp;"NULL ORDER BY Col1 DESC LIMIT 20"", 0))
    )
  ), 
"""")"),"")</f>
        <v/>
      </c>
      <c r="K107" s="21" t="str">
        <f>IFERROR(__xludf.DUMMYFUNCTION("IFERROR(GOOGLEFINANCE(C107, ""changepct"") / 100, """")"),"")</f>
        <v/>
      </c>
      <c r="L107" s="21" t="str">
        <f>IFERROR(__xludf.DUMMYFUNCTION("IFERROR((GOOGLEFINANCE(C107, ""price"") / INDEX(GOOGLEFINANCE(C107, ""price"", TODAY()-7, TODAY()), 2, 2)) - 1, """")"),"")</f>
        <v/>
      </c>
      <c r="M107" s="21" t="str">
        <f>IFERROR(__xludf.DUMMYFUNCTION("IFERROR((GOOGLEFINANCE(C107, ""price"") / INDEX(GOOGLEFINANCE(C107, ""price"", EDATE(TODAY(), -1), TODAY()), 2, 2)) - 1, """")"),"")</f>
        <v/>
      </c>
      <c r="N107" s="21" t="str">
        <f>IFERROR(__xludf.DUMMYFUNCTION("IFERROR((GOOGLEFINANCE(C107, ""price"") / INDEX(GOOGLEFINANCE(C107, ""price"", EDATE(TODAY(), -3), TODAY()), 2, 2)) - 1, """")"),"")</f>
        <v/>
      </c>
      <c r="O107" s="21" t="str">
        <f>IFERROR(__xludf.DUMMYFUNCTION("IFERROR((GOOGLEFINANCE(C107, ""price"") / INDEX(GOOGLEFINANCE(C107, ""price"", EDATE(TODAY(), -6), TODAY()), 2, 2)) - 1, """")"),"")</f>
        <v/>
      </c>
      <c r="P107" s="21" t="str">
        <f>IFERROR(__xludf.DUMMYFUNCTION("IFERROR((GOOGLEFINANCE(C107, ""price"") / INDEX(GOOGLEFINANCE(C107, ""price"", EDATE(TODAY(), -12), TODAY()), 2, 2)) - 1, """")"),"")</f>
        <v/>
      </c>
      <c r="Q107" s="6" t="str">
        <f>IFERROR(__xludf.DUMMYFUNCTION("AVERAGE(QUERY(GOOGLEFINANCE(C107, ""price"", TODAY()-80, TODAY()), ""SELECT Col2 WHERE Col2 IS NOT NULL ORDER BY Col1 DESC LIMIT 50"", 0))"),"#N/A")</f>
        <v>#N/A</v>
      </c>
      <c r="R107" s="24" t="str">
        <f>IFERROR(__xludf.DUMMYFUNCTION("IFERROR(
  LET(
    data, QUERY(GOOGLEFINANCE(C107,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GOOGLEFINANCE(C107, ""price"")) * 100,
    IF(calc=0, G107, calc)
  ), 
G107)"),"#N/A")</f>
        <v>#N/A</v>
      </c>
      <c r="S107" s="8" t="s">
        <v>15</v>
      </c>
      <c r="T107" s="26" t="str">
        <f>IFERROR(__xludf.DUMMYFUNCTION("IFERROR(TRANSPOSE(QUERY(IFERROR(SORT(GOOGLEFINANCE(C107, ""price"", WORKDAY(TODAY(), -40), TODAY()), 1, FALSE)), ""select Col2 where Col2 is not null limit 22 label Col2 ''"", 0)), """")"),"")</f>
        <v/>
      </c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8"/>
      <c r="AO107" s="28"/>
      <c r="AP107" s="29"/>
      <c r="AQ107" s="29" t="str">
        <f t="shared" ref="AQ107:BL107" si="110">T107/T$2</f>
        <v>#N/A</v>
      </c>
      <c r="AR107" s="29" t="str">
        <f t="shared" si="110"/>
        <v>#DIV/0!</v>
      </c>
      <c r="AS107" s="29" t="str">
        <f t="shared" si="110"/>
        <v>#DIV/0!</v>
      </c>
      <c r="AT107" s="29" t="str">
        <f t="shared" si="110"/>
        <v>#DIV/0!</v>
      </c>
      <c r="AU107" s="29" t="str">
        <f t="shared" si="110"/>
        <v>#DIV/0!</v>
      </c>
      <c r="AV107" s="29" t="str">
        <f t="shared" si="110"/>
        <v>#DIV/0!</v>
      </c>
      <c r="AW107" s="29" t="str">
        <f t="shared" si="110"/>
        <v>#DIV/0!</v>
      </c>
      <c r="AX107" s="29" t="str">
        <f t="shared" si="110"/>
        <v>#DIV/0!</v>
      </c>
      <c r="AY107" s="29" t="str">
        <f t="shared" si="110"/>
        <v>#DIV/0!</v>
      </c>
      <c r="AZ107" s="29" t="str">
        <f t="shared" si="110"/>
        <v>#DIV/0!</v>
      </c>
      <c r="BA107" s="29" t="str">
        <f t="shared" si="110"/>
        <v>#DIV/0!</v>
      </c>
      <c r="BB107" s="29" t="str">
        <f t="shared" si="110"/>
        <v>#DIV/0!</v>
      </c>
      <c r="BC107" s="29" t="str">
        <f t="shared" si="110"/>
        <v>#DIV/0!</v>
      </c>
      <c r="BD107" s="29" t="str">
        <f t="shared" si="110"/>
        <v>#DIV/0!</v>
      </c>
      <c r="BE107" s="29" t="str">
        <f t="shared" si="110"/>
        <v>#DIV/0!</v>
      </c>
      <c r="BF107" s="29" t="str">
        <f t="shared" si="110"/>
        <v>#DIV/0!</v>
      </c>
      <c r="BG107" s="29" t="str">
        <f t="shared" si="110"/>
        <v>#DIV/0!</v>
      </c>
      <c r="BH107" s="29" t="str">
        <f t="shared" si="110"/>
        <v>#DIV/0!</v>
      </c>
      <c r="BI107" s="29" t="str">
        <f t="shared" si="110"/>
        <v>#DIV/0!</v>
      </c>
      <c r="BJ107" s="29" t="str">
        <f t="shared" si="110"/>
        <v>#DIV/0!</v>
      </c>
      <c r="BK107" s="29" t="str">
        <f t="shared" si="110"/>
        <v>#DIV/0!</v>
      </c>
      <c r="BL107" s="29" t="str">
        <f t="shared" si="110"/>
        <v>#DIV/0!</v>
      </c>
      <c r="BM107" s="29" t="str">
        <f t="shared" si="3"/>
        <v>#DIV/0!</v>
      </c>
    </row>
    <row r="108">
      <c r="A108" s="16" t="str">
        <f>IFERROR(__xludf.DUMMYFUNCTION("IFERROR(SPARKLINE(SORT(MAP(TRANSPOSE(AQ108:BL108), LAMBDA(val, IF(ISNUMBER(val), PERCENTRANK(AQ108:BL108, val)+0.01, 0))), SEQUENCE(COLUMNS(AQ108:BL108)), FALSE), {""charttype"",""column""; ""color"",""chartreuse""; ""ymin"", 0; ""ymax"", 1.01; ""highcolo"&amp;"r"", ""darkgreen""; ""lowcolor"", ""red""}), """")"),"")</f>
        <v/>
      </c>
      <c r="B108" s="17" t="str">
        <f t="shared" si="4"/>
        <v/>
      </c>
      <c r="C108" s="1" t="s">
        <v>500</v>
      </c>
      <c r="D108" s="30" t="str">
        <f>IFERROR(__xludf.DUMMYFUNCTION("IFERROR(GOOGLEFINANCE(C108, ""NAME""))"),"Stellantis NV")</f>
        <v>Stellantis NV</v>
      </c>
      <c r="E108" s="30" t="s">
        <v>129</v>
      </c>
      <c r="F108" s="33" t="str">
        <f>IFERROR(__xludf.DUMMYFUNCTION("( (GOOGLEFINANCE(C108, ""price"") - Q108) / Q108 ) / (R108 / 100)"),"Loading...")</f>
        <v>Loading...</v>
      </c>
      <c r="G108" s="20" t="str">
        <f>IFERROR(__xludf.DUMMYFUNCTION("AVERAGE(ARRAYFORMULA(100 * (QUERY(GOOGLEFINANCE(C108, ""high"", TODAY()-40, TODAY()), ""SELECT Col2 WHERE Col2 IS NOT NULL ORDER BY Col1 DESC LIMIT 20"", 0) / QUERY(GOOGLEFINANCE(C108, ""low"", TODAY()-40, TODAY()), ""SELECT Col2 WHERE Col2 IS NOT NULL OR"&amp;"DER BY Col1 DESC LIMIT 20"", 0) - 1)))"),"#N/A")</f>
        <v>#N/A</v>
      </c>
      <c r="H108" s="35" t="str">
        <f t="shared" si="6"/>
        <v/>
      </c>
      <c r="I108" s="35" t="str">
        <f t="shared" si="7"/>
        <v/>
      </c>
      <c r="J108" s="37" t="str">
        <f>IFERROR(__xludf.DUMMYFUNCTION("IFERROR(
  IF(C108="""",, 
    IFERROR(
      GOOGLEFINANCE(C108, ""price"") * GOOGLEFINANCE(C108, ""volumeavg""), 
      GOOGLEFINANCE(C108, ""price"") * AVERAGE(QUERY(GOOGLEFINANCE(C108, ""volume"", TODAY()-40, TODAY()), ""SELECT Col2 WHERE Col2 IS NOT "&amp;"NULL ORDER BY Col1 DESC LIMIT 20"", 0))
    )
  ), 
"""")"),"")</f>
        <v/>
      </c>
      <c r="K108" s="21" t="str">
        <f>IFERROR(__xludf.DUMMYFUNCTION("IFERROR(GOOGLEFINANCE(C108, ""changepct"") / 100, """")"),"")</f>
        <v/>
      </c>
      <c r="L108" s="21" t="str">
        <f>IFERROR(__xludf.DUMMYFUNCTION("IFERROR((GOOGLEFINANCE(C108, ""price"") / INDEX(GOOGLEFINANCE(C108, ""price"", TODAY()-7, TODAY()), 2, 2)) - 1, """")"),"")</f>
        <v/>
      </c>
      <c r="M108" s="21" t="str">
        <f>IFERROR(__xludf.DUMMYFUNCTION("IFERROR((GOOGLEFINANCE(C108, ""price"") / INDEX(GOOGLEFINANCE(C108, ""price"", EDATE(TODAY(), -1), TODAY()), 2, 2)) - 1, """")"),"")</f>
        <v/>
      </c>
      <c r="N108" s="21" t="str">
        <f>IFERROR(__xludf.DUMMYFUNCTION("IFERROR((GOOGLEFINANCE(C108, ""price"") / INDEX(GOOGLEFINANCE(C108, ""price"", EDATE(TODAY(), -3), TODAY()), 2, 2)) - 1, """")"),"")</f>
        <v/>
      </c>
      <c r="O108" s="21" t="str">
        <f>IFERROR(__xludf.DUMMYFUNCTION("IFERROR((GOOGLEFINANCE(C108, ""price"") / INDEX(GOOGLEFINANCE(C108, ""price"", EDATE(TODAY(), -6), TODAY()), 2, 2)) - 1, """")"),"")</f>
        <v/>
      </c>
      <c r="P108" s="21" t="str">
        <f>IFERROR(__xludf.DUMMYFUNCTION("IFERROR((GOOGLEFINANCE(C108, ""price"") / INDEX(GOOGLEFINANCE(C108, ""price"", EDATE(TODAY(), -12), TODAY()), 2, 2)) - 1, """")"),"")</f>
        <v/>
      </c>
      <c r="Q108" s="6" t="str">
        <f>IFERROR(__xludf.DUMMYFUNCTION("AVERAGE(QUERY(GOOGLEFINANCE(C108, ""price"", TODAY()-80, TODAY()), ""SELECT Col2 WHERE Col2 IS NOT NULL ORDER BY Col1 DESC LIMIT 50"", 0))"),"#N/A")</f>
        <v>#N/A</v>
      </c>
      <c r="R108" s="24" t="str">
        <f>IFERROR(__xludf.DUMMYFUNCTION("IFERROR(
  LET(
    data, QUERY(GOOGLEFINANCE(C108,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GOOGLEFINANCE(C108, ""price"")) * 100,
    IF(calc=0, G108, calc)
  ), 
G108)"),"#N/A")</f>
        <v>#N/A</v>
      </c>
      <c r="S108" s="8" t="s">
        <v>15</v>
      </c>
      <c r="T108" s="26" t="str">
        <f>IFERROR(__xludf.DUMMYFUNCTION("IFERROR(TRANSPOSE(QUERY(IFERROR(SORT(GOOGLEFINANCE(C108, ""price"", WORKDAY(TODAY(), -40), TODAY()), 1, FALSE)), ""select Col2 where Col2 is not null limit 22 label Col2 ''"", 0)), """")"),"")</f>
        <v/>
      </c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8"/>
      <c r="AO108" s="28"/>
      <c r="AP108" s="29"/>
      <c r="AQ108" s="29" t="str">
        <f t="shared" ref="AQ108:BL108" si="111">T108/T$2</f>
        <v>#N/A</v>
      </c>
      <c r="AR108" s="29" t="str">
        <f t="shared" si="111"/>
        <v>#DIV/0!</v>
      </c>
      <c r="AS108" s="29" t="str">
        <f t="shared" si="111"/>
        <v>#DIV/0!</v>
      </c>
      <c r="AT108" s="29" t="str">
        <f t="shared" si="111"/>
        <v>#DIV/0!</v>
      </c>
      <c r="AU108" s="29" t="str">
        <f t="shared" si="111"/>
        <v>#DIV/0!</v>
      </c>
      <c r="AV108" s="29" t="str">
        <f t="shared" si="111"/>
        <v>#DIV/0!</v>
      </c>
      <c r="AW108" s="29" t="str">
        <f t="shared" si="111"/>
        <v>#DIV/0!</v>
      </c>
      <c r="AX108" s="29" t="str">
        <f t="shared" si="111"/>
        <v>#DIV/0!</v>
      </c>
      <c r="AY108" s="29" t="str">
        <f t="shared" si="111"/>
        <v>#DIV/0!</v>
      </c>
      <c r="AZ108" s="29" t="str">
        <f t="shared" si="111"/>
        <v>#DIV/0!</v>
      </c>
      <c r="BA108" s="29" t="str">
        <f t="shared" si="111"/>
        <v>#DIV/0!</v>
      </c>
      <c r="BB108" s="29" t="str">
        <f t="shared" si="111"/>
        <v>#DIV/0!</v>
      </c>
      <c r="BC108" s="29" t="str">
        <f t="shared" si="111"/>
        <v>#DIV/0!</v>
      </c>
      <c r="BD108" s="29" t="str">
        <f t="shared" si="111"/>
        <v>#DIV/0!</v>
      </c>
      <c r="BE108" s="29" t="str">
        <f t="shared" si="111"/>
        <v>#DIV/0!</v>
      </c>
      <c r="BF108" s="29" t="str">
        <f t="shared" si="111"/>
        <v>#DIV/0!</v>
      </c>
      <c r="BG108" s="29" t="str">
        <f t="shared" si="111"/>
        <v>#DIV/0!</v>
      </c>
      <c r="BH108" s="29" t="str">
        <f t="shared" si="111"/>
        <v>#DIV/0!</v>
      </c>
      <c r="BI108" s="29" t="str">
        <f t="shared" si="111"/>
        <v>#DIV/0!</v>
      </c>
      <c r="BJ108" s="29" t="str">
        <f t="shared" si="111"/>
        <v>#DIV/0!</v>
      </c>
      <c r="BK108" s="29" t="str">
        <f t="shared" si="111"/>
        <v>#DIV/0!</v>
      </c>
      <c r="BL108" s="29" t="str">
        <f t="shared" si="111"/>
        <v>#DIV/0!</v>
      </c>
      <c r="BM108" s="29" t="str">
        <f t="shared" si="3"/>
        <v>#DIV/0!</v>
      </c>
    </row>
    <row r="109">
      <c r="A109" s="16" t="str">
        <f>IFERROR(__xludf.DUMMYFUNCTION("IFERROR(SPARKLINE(SORT(MAP(TRANSPOSE(AQ109:BL109), LAMBDA(val, IF(ISNUMBER(val), PERCENTRANK(AQ109:BL109, val)+0.01, 0))), SEQUENCE(COLUMNS(AQ109:BL109)), FALSE), {""charttype"",""column""; ""color"",""chartreuse""; ""ymin"", 0; ""ymax"", 1.01; ""highcolo"&amp;"r"", ""darkgreen""; ""lowcolor"", ""red""}), """")"),"")</f>
        <v/>
      </c>
      <c r="B109" s="17" t="str">
        <f t="shared" si="4"/>
        <v/>
      </c>
      <c r="C109" s="1" t="s">
        <v>504</v>
      </c>
      <c r="D109" s="30" t="str">
        <f>IFERROR(__xludf.DUMMYFUNCTION("IFERROR(GOOGLEFINANCE(C109, ""NAME""))"),"Patrick Industries Inc")</f>
        <v>Patrick Industries Inc</v>
      </c>
      <c r="E109" s="30" t="s">
        <v>165</v>
      </c>
      <c r="F109" s="33" t="str">
        <f>IFERROR(__xludf.DUMMYFUNCTION("( (GOOGLEFINANCE(C109, ""price"") - Q109) / Q109 ) / (R109 / 100)"),"Loading...")</f>
        <v>Loading...</v>
      </c>
      <c r="G109" s="20" t="str">
        <f>IFERROR(__xludf.DUMMYFUNCTION("AVERAGE(ARRAYFORMULA(100 * (QUERY(GOOGLEFINANCE(C109, ""high"", TODAY()-40, TODAY()), ""SELECT Col2 WHERE Col2 IS NOT NULL ORDER BY Col1 DESC LIMIT 20"", 0) / QUERY(GOOGLEFINANCE(C109, ""low"", TODAY()-40, TODAY()), ""SELECT Col2 WHERE Col2 IS NOT NULL OR"&amp;"DER BY Col1 DESC LIMIT 20"", 0) - 1)))"),"#N/A")</f>
        <v>#N/A</v>
      </c>
      <c r="H109" s="35" t="str">
        <f t="shared" si="6"/>
        <v/>
      </c>
      <c r="I109" s="35" t="str">
        <f t="shared" si="7"/>
        <v/>
      </c>
      <c r="J109" s="37" t="str">
        <f>IFERROR(__xludf.DUMMYFUNCTION("IFERROR(
  IF(C109="""",, 
    IFERROR(
      GOOGLEFINANCE(C109, ""price"") * GOOGLEFINANCE(C109, ""volumeavg""), 
      GOOGLEFINANCE(C109, ""price"") * AVERAGE(QUERY(GOOGLEFINANCE(C109, ""volume"", TODAY()-40, TODAY()), ""SELECT Col2 WHERE Col2 IS NOT "&amp;"NULL ORDER BY Col1 DESC LIMIT 20"", 0))
    )
  ), 
"""")"),"")</f>
        <v/>
      </c>
      <c r="K109" s="21" t="str">
        <f>IFERROR(__xludf.DUMMYFUNCTION("IFERROR(GOOGLEFINANCE(C109, ""changepct"") / 100, """")"),"")</f>
        <v/>
      </c>
      <c r="L109" s="21" t="str">
        <f>IFERROR(__xludf.DUMMYFUNCTION("IFERROR((GOOGLEFINANCE(C109, ""price"") / INDEX(GOOGLEFINANCE(C109, ""price"", TODAY()-7, TODAY()), 2, 2)) - 1, """")"),"")</f>
        <v/>
      </c>
      <c r="M109" s="21" t="str">
        <f>IFERROR(__xludf.DUMMYFUNCTION("IFERROR((GOOGLEFINANCE(C109, ""price"") / INDEX(GOOGLEFINANCE(C109, ""price"", EDATE(TODAY(), -1), TODAY()), 2, 2)) - 1, """")"),"")</f>
        <v/>
      </c>
      <c r="N109" s="21" t="str">
        <f>IFERROR(__xludf.DUMMYFUNCTION("IFERROR((GOOGLEFINANCE(C109, ""price"") / INDEX(GOOGLEFINANCE(C109, ""price"", EDATE(TODAY(), -3), TODAY()), 2, 2)) - 1, """")"),"")</f>
        <v/>
      </c>
      <c r="O109" s="21" t="str">
        <f>IFERROR(__xludf.DUMMYFUNCTION("IFERROR((GOOGLEFINANCE(C109, ""price"") / INDEX(GOOGLEFINANCE(C109, ""price"", EDATE(TODAY(), -6), TODAY()), 2, 2)) - 1, """")"),"")</f>
        <v/>
      </c>
      <c r="P109" s="21" t="str">
        <f>IFERROR(__xludf.DUMMYFUNCTION("IFERROR((GOOGLEFINANCE(C109, ""price"") / INDEX(GOOGLEFINANCE(C109, ""price"", EDATE(TODAY(), -12), TODAY()), 2, 2)) - 1, """")"),"")</f>
        <v/>
      </c>
      <c r="Q109" s="6" t="str">
        <f>IFERROR(__xludf.DUMMYFUNCTION("AVERAGE(QUERY(GOOGLEFINANCE(C109, ""price"", TODAY()-80, TODAY()), ""SELECT Col2 WHERE Col2 IS NOT NULL ORDER BY Col1 DESC LIMIT 50"", 0))"),"#N/A")</f>
        <v>#N/A</v>
      </c>
      <c r="R109" s="24" t="str">
        <f>IFERROR(__xludf.DUMMYFUNCTION("IFERROR(
  LET(
    data, QUERY(GOOGLEFINANCE(C109,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GOOGLEFINANCE(C109, ""price"")) * 100,
    IF(calc=0, G109, calc)
  ), 
G109)"),"#N/A")</f>
        <v>#N/A</v>
      </c>
      <c r="S109" s="8" t="s">
        <v>15</v>
      </c>
      <c r="T109" s="26" t="str">
        <f>IFERROR(__xludf.DUMMYFUNCTION("IFERROR(TRANSPOSE(QUERY(IFERROR(SORT(GOOGLEFINANCE(C109, ""price"", WORKDAY(TODAY(), -40), TODAY()), 1, FALSE)), ""select Col2 where Col2 is not null limit 22 label Col2 ''"", 0)), """")"),"")</f>
        <v/>
      </c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8"/>
      <c r="AO109" s="28"/>
      <c r="AP109" s="29"/>
      <c r="AQ109" s="29" t="str">
        <f t="shared" ref="AQ109:BL109" si="112">T109/T$2</f>
        <v>#N/A</v>
      </c>
      <c r="AR109" s="29" t="str">
        <f t="shared" si="112"/>
        <v>#DIV/0!</v>
      </c>
      <c r="AS109" s="29" t="str">
        <f t="shared" si="112"/>
        <v>#DIV/0!</v>
      </c>
      <c r="AT109" s="29" t="str">
        <f t="shared" si="112"/>
        <v>#DIV/0!</v>
      </c>
      <c r="AU109" s="29" t="str">
        <f t="shared" si="112"/>
        <v>#DIV/0!</v>
      </c>
      <c r="AV109" s="29" t="str">
        <f t="shared" si="112"/>
        <v>#DIV/0!</v>
      </c>
      <c r="AW109" s="29" t="str">
        <f t="shared" si="112"/>
        <v>#DIV/0!</v>
      </c>
      <c r="AX109" s="29" t="str">
        <f t="shared" si="112"/>
        <v>#DIV/0!</v>
      </c>
      <c r="AY109" s="29" t="str">
        <f t="shared" si="112"/>
        <v>#DIV/0!</v>
      </c>
      <c r="AZ109" s="29" t="str">
        <f t="shared" si="112"/>
        <v>#DIV/0!</v>
      </c>
      <c r="BA109" s="29" t="str">
        <f t="shared" si="112"/>
        <v>#DIV/0!</v>
      </c>
      <c r="BB109" s="29" t="str">
        <f t="shared" si="112"/>
        <v>#DIV/0!</v>
      </c>
      <c r="BC109" s="29" t="str">
        <f t="shared" si="112"/>
        <v>#DIV/0!</v>
      </c>
      <c r="BD109" s="29" t="str">
        <f t="shared" si="112"/>
        <v>#DIV/0!</v>
      </c>
      <c r="BE109" s="29" t="str">
        <f t="shared" si="112"/>
        <v>#DIV/0!</v>
      </c>
      <c r="BF109" s="29" t="str">
        <f t="shared" si="112"/>
        <v>#DIV/0!</v>
      </c>
      <c r="BG109" s="29" t="str">
        <f t="shared" si="112"/>
        <v>#DIV/0!</v>
      </c>
      <c r="BH109" s="29" t="str">
        <f t="shared" si="112"/>
        <v>#DIV/0!</v>
      </c>
      <c r="BI109" s="29" t="str">
        <f t="shared" si="112"/>
        <v>#DIV/0!</v>
      </c>
      <c r="BJ109" s="29" t="str">
        <f t="shared" si="112"/>
        <v>#DIV/0!</v>
      </c>
      <c r="BK109" s="29" t="str">
        <f t="shared" si="112"/>
        <v>#DIV/0!</v>
      </c>
      <c r="BL109" s="29" t="str">
        <f t="shared" si="112"/>
        <v>#DIV/0!</v>
      </c>
      <c r="BM109" s="29" t="str">
        <f t="shared" si="3"/>
        <v>#DIV/0!</v>
      </c>
    </row>
    <row r="110">
      <c r="A110" s="16" t="str">
        <f>IFERROR(__xludf.DUMMYFUNCTION("IFERROR(SPARKLINE(SORT(MAP(TRANSPOSE(AQ110:BL110), LAMBDA(val, IF(ISNUMBER(val), PERCENTRANK(AQ110:BL110, val)+0.01, 0))), SEQUENCE(COLUMNS(AQ110:BL110)), FALSE), {""charttype"",""column""; ""color"",""chartreuse""; ""ymin"", 0; ""ymax"", 1.01; ""highcolo"&amp;"r"", ""darkgreen""; ""lowcolor"", ""red""}), """")"),"")</f>
        <v/>
      </c>
      <c r="B110" s="17" t="str">
        <f t="shared" si="4"/>
        <v/>
      </c>
      <c r="C110" s="1" t="s">
        <v>508</v>
      </c>
      <c r="D110" s="30" t="str">
        <f>IFERROR(__xludf.DUMMYFUNCTION("IFERROR(GOOGLEFINANCE(C110, ""NAME""))"),"RH")</f>
        <v>RH</v>
      </c>
      <c r="E110" s="30" t="s">
        <v>184</v>
      </c>
      <c r="F110" s="33" t="str">
        <f>IFERROR(__xludf.DUMMYFUNCTION("( (GOOGLEFINANCE(C110, ""price"") - Q110) / Q110 ) / (R110 / 100)"),"Loading...")</f>
        <v>Loading...</v>
      </c>
      <c r="G110" s="20" t="str">
        <f>IFERROR(__xludf.DUMMYFUNCTION("AVERAGE(ARRAYFORMULA(100 * (QUERY(GOOGLEFINANCE(C110, ""high"", TODAY()-40, TODAY()), ""SELECT Col2 WHERE Col2 IS NOT NULL ORDER BY Col1 DESC LIMIT 20"", 0) / QUERY(GOOGLEFINANCE(C110, ""low"", TODAY()-40, TODAY()), ""SELECT Col2 WHERE Col2 IS NOT NULL OR"&amp;"DER BY Col1 DESC LIMIT 20"", 0) - 1)))"),"#N/A")</f>
        <v>#N/A</v>
      </c>
      <c r="H110" s="35" t="str">
        <f t="shared" si="6"/>
        <v/>
      </c>
      <c r="I110" s="35" t="str">
        <f t="shared" si="7"/>
        <v/>
      </c>
      <c r="J110" s="37" t="str">
        <f>IFERROR(__xludf.DUMMYFUNCTION("IFERROR(
  IF(C110="""",, 
    IFERROR(
      GOOGLEFINANCE(C110, ""price"") * GOOGLEFINANCE(C110, ""volumeavg""), 
      GOOGLEFINANCE(C110, ""price"") * AVERAGE(QUERY(GOOGLEFINANCE(C110, ""volume"", TODAY()-40, TODAY()), ""SELECT Col2 WHERE Col2 IS NOT "&amp;"NULL ORDER BY Col1 DESC LIMIT 20"", 0))
    )
  ), 
"""")"),"")</f>
        <v/>
      </c>
      <c r="K110" s="21" t="str">
        <f>IFERROR(__xludf.DUMMYFUNCTION("IFERROR(GOOGLEFINANCE(C110, ""changepct"") / 100, """")"),"")</f>
        <v/>
      </c>
      <c r="L110" s="21" t="str">
        <f>IFERROR(__xludf.DUMMYFUNCTION("IFERROR((GOOGLEFINANCE(C110, ""price"") / INDEX(GOOGLEFINANCE(C110, ""price"", TODAY()-7, TODAY()), 2, 2)) - 1, """")"),"")</f>
        <v/>
      </c>
      <c r="M110" s="21" t="str">
        <f>IFERROR(__xludf.DUMMYFUNCTION("IFERROR((GOOGLEFINANCE(C110, ""price"") / INDEX(GOOGLEFINANCE(C110, ""price"", EDATE(TODAY(), -1), TODAY()), 2, 2)) - 1, """")"),"")</f>
        <v/>
      </c>
      <c r="N110" s="21" t="str">
        <f>IFERROR(__xludf.DUMMYFUNCTION("IFERROR((GOOGLEFINANCE(C110, ""price"") / INDEX(GOOGLEFINANCE(C110, ""price"", EDATE(TODAY(), -3), TODAY()), 2, 2)) - 1, """")"),"")</f>
        <v/>
      </c>
      <c r="O110" s="21" t="str">
        <f>IFERROR(__xludf.DUMMYFUNCTION("IFERROR((GOOGLEFINANCE(C110, ""price"") / INDEX(GOOGLEFINANCE(C110, ""price"", EDATE(TODAY(), -6), TODAY()), 2, 2)) - 1, """")"),"")</f>
        <v/>
      </c>
      <c r="P110" s="21" t="str">
        <f>IFERROR(__xludf.DUMMYFUNCTION("IFERROR((GOOGLEFINANCE(C110, ""price"") / INDEX(GOOGLEFINANCE(C110, ""price"", EDATE(TODAY(), -12), TODAY()), 2, 2)) - 1, """")"),"")</f>
        <v/>
      </c>
      <c r="Q110" s="6" t="str">
        <f>IFERROR(__xludf.DUMMYFUNCTION("AVERAGE(QUERY(GOOGLEFINANCE(C110, ""price"", TODAY()-80, TODAY()), ""SELECT Col2 WHERE Col2 IS NOT NULL ORDER BY Col1 DESC LIMIT 50"", 0))"),"#N/A")</f>
        <v>#N/A</v>
      </c>
      <c r="R110" s="24" t="str">
        <f>IFERROR(__xludf.DUMMYFUNCTION("IFERROR(
  LET(
    data, QUERY(GOOGLEFINANCE(C110,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GOOGLEFINANCE(C110, ""price"")) * 100,
    IF(calc=0, G110, calc)
  ), 
G110)"),"#N/A")</f>
        <v>#N/A</v>
      </c>
      <c r="S110" s="8" t="s">
        <v>15</v>
      </c>
      <c r="T110" s="26" t="str">
        <f>IFERROR(__xludf.DUMMYFUNCTION("IFERROR(TRANSPOSE(QUERY(IFERROR(SORT(GOOGLEFINANCE(C110, ""price"", WORKDAY(TODAY(), -40), TODAY()), 1, FALSE)), ""select Col2 where Col2 is not null limit 22 label Col2 ''"", 0)), """")"),"")</f>
        <v/>
      </c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8"/>
      <c r="AO110" s="28"/>
      <c r="AP110" s="29"/>
      <c r="AQ110" s="29" t="str">
        <f t="shared" ref="AQ110:BL110" si="113">T110/T$2</f>
        <v>#N/A</v>
      </c>
      <c r="AR110" s="29" t="str">
        <f t="shared" si="113"/>
        <v>#DIV/0!</v>
      </c>
      <c r="AS110" s="29" t="str">
        <f t="shared" si="113"/>
        <v>#DIV/0!</v>
      </c>
      <c r="AT110" s="29" t="str">
        <f t="shared" si="113"/>
        <v>#DIV/0!</v>
      </c>
      <c r="AU110" s="29" t="str">
        <f t="shared" si="113"/>
        <v>#DIV/0!</v>
      </c>
      <c r="AV110" s="29" t="str">
        <f t="shared" si="113"/>
        <v>#DIV/0!</v>
      </c>
      <c r="AW110" s="29" t="str">
        <f t="shared" si="113"/>
        <v>#DIV/0!</v>
      </c>
      <c r="AX110" s="29" t="str">
        <f t="shared" si="113"/>
        <v>#DIV/0!</v>
      </c>
      <c r="AY110" s="29" t="str">
        <f t="shared" si="113"/>
        <v>#DIV/0!</v>
      </c>
      <c r="AZ110" s="29" t="str">
        <f t="shared" si="113"/>
        <v>#DIV/0!</v>
      </c>
      <c r="BA110" s="29" t="str">
        <f t="shared" si="113"/>
        <v>#DIV/0!</v>
      </c>
      <c r="BB110" s="29" t="str">
        <f t="shared" si="113"/>
        <v>#DIV/0!</v>
      </c>
      <c r="BC110" s="29" t="str">
        <f t="shared" si="113"/>
        <v>#DIV/0!</v>
      </c>
      <c r="BD110" s="29" t="str">
        <f t="shared" si="113"/>
        <v>#DIV/0!</v>
      </c>
      <c r="BE110" s="29" t="str">
        <f t="shared" si="113"/>
        <v>#DIV/0!</v>
      </c>
      <c r="BF110" s="29" t="str">
        <f t="shared" si="113"/>
        <v>#DIV/0!</v>
      </c>
      <c r="BG110" s="29" t="str">
        <f t="shared" si="113"/>
        <v>#DIV/0!</v>
      </c>
      <c r="BH110" s="29" t="str">
        <f t="shared" si="113"/>
        <v>#DIV/0!</v>
      </c>
      <c r="BI110" s="29" t="str">
        <f t="shared" si="113"/>
        <v>#DIV/0!</v>
      </c>
      <c r="BJ110" s="29" t="str">
        <f t="shared" si="113"/>
        <v>#DIV/0!</v>
      </c>
      <c r="BK110" s="29" t="str">
        <f t="shared" si="113"/>
        <v>#DIV/0!</v>
      </c>
      <c r="BL110" s="29" t="str">
        <f t="shared" si="113"/>
        <v>#DIV/0!</v>
      </c>
      <c r="BM110" s="29" t="str">
        <f t="shared" si="3"/>
        <v>#DIV/0!</v>
      </c>
    </row>
    <row r="111">
      <c r="A111" s="16" t="str">
        <f>IFERROR(__xludf.DUMMYFUNCTION("IFERROR(SPARKLINE(SORT(MAP(TRANSPOSE(AQ111:BL111), LAMBDA(val, IF(ISNUMBER(val), PERCENTRANK(AQ111:BL111, val)+0.01, 0))), SEQUENCE(COLUMNS(AQ111:BL111)), FALSE), {""charttype"",""column""; ""color"",""chartreuse""; ""ymin"", 0; ""ymax"", 1.01; ""highcolo"&amp;"r"", ""darkgreen""; ""lowcolor"", ""red""}), """")"),"")</f>
        <v/>
      </c>
      <c r="B111" s="17" t="str">
        <f t="shared" si="4"/>
        <v/>
      </c>
      <c r="C111" s="1" t="s">
        <v>512</v>
      </c>
      <c r="D111" s="30" t="str">
        <f>IFERROR(__xludf.DUMMYFUNCTION("IFERROR(GOOGLEFINANCE(C111, ""NAME""))"),"La-Z-Boy Inc")</f>
        <v>La-Z-Boy Inc</v>
      </c>
      <c r="E111" s="30" t="s">
        <v>456</v>
      </c>
      <c r="F111" s="33" t="str">
        <f>IFERROR(__xludf.DUMMYFUNCTION("( (GOOGLEFINANCE(C111, ""price"") - Q111) / Q111 ) / (R111 / 100)"),"Loading...")</f>
        <v>Loading...</v>
      </c>
      <c r="G111" s="20" t="str">
        <f>IFERROR(__xludf.DUMMYFUNCTION("AVERAGE(ARRAYFORMULA(100 * (QUERY(GOOGLEFINANCE(C111, ""high"", TODAY()-40, TODAY()), ""SELECT Col2 WHERE Col2 IS NOT NULL ORDER BY Col1 DESC LIMIT 20"", 0) / QUERY(GOOGLEFINANCE(C111, ""low"", TODAY()-40, TODAY()), ""SELECT Col2 WHERE Col2 IS NOT NULL OR"&amp;"DER BY Col1 DESC LIMIT 20"", 0) - 1)))"),"#N/A")</f>
        <v>#N/A</v>
      </c>
      <c r="H111" s="35" t="str">
        <f t="shared" si="6"/>
        <v/>
      </c>
      <c r="I111" s="35" t="str">
        <f t="shared" si="7"/>
        <v/>
      </c>
      <c r="J111" s="37" t="str">
        <f>IFERROR(__xludf.DUMMYFUNCTION("IFERROR(
  IF(C111="""",, 
    IFERROR(
      GOOGLEFINANCE(C111, ""price"") * GOOGLEFINANCE(C111, ""volumeavg""), 
      GOOGLEFINANCE(C111, ""price"") * AVERAGE(QUERY(GOOGLEFINANCE(C111, ""volume"", TODAY()-40, TODAY()), ""SELECT Col2 WHERE Col2 IS NOT "&amp;"NULL ORDER BY Col1 DESC LIMIT 20"", 0))
    )
  ), 
"""")"),"")</f>
        <v/>
      </c>
      <c r="K111" s="21" t="str">
        <f>IFERROR(__xludf.DUMMYFUNCTION("IFERROR(GOOGLEFINANCE(C111, ""changepct"") / 100, """")"),"")</f>
        <v/>
      </c>
      <c r="L111" s="21" t="str">
        <f>IFERROR(__xludf.DUMMYFUNCTION("IFERROR((GOOGLEFINANCE(C111, ""price"") / INDEX(GOOGLEFINANCE(C111, ""price"", TODAY()-7, TODAY()), 2, 2)) - 1, """")"),"")</f>
        <v/>
      </c>
      <c r="M111" s="21" t="str">
        <f>IFERROR(__xludf.DUMMYFUNCTION("IFERROR((GOOGLEFINANCE(C111, ""price"") / INDEX(GOOGLEFINANCE(C111, ""price"", EDATE(TODAY(), -1), TODAY()), 2, 2)) - 1, """")"),"")</f>
        <v/>
      </c>
      <c r="N111" s="21" t="str">
        <f>IFERROR(__xludf.DUMMYFUNCTION("IFERROR((GOOGLEFINANCE(C111, ""price"") / INDEX(GOOGLEFINANCE(C111, ""price"", EDATE(TODAY(), -3), TODAY()), 2, 2)) - 1, """")"),"")</f>
        <v/>
      </c>
      <c r="O111" s="21" t="str">
        <f>IFERROR(__xludf.DUMMYFUNCTION("IFERROR((GOOGLEFINANCE(C111, ""price"") / INDEX(GOOGLEFINANCE(C111, ""price"", EDATE(TODAY(), -6), TODAY()), 2, 2)) - 1, """")"),"")</f>
        <v/>
      </c>
      <c r="P111" s="21" t="str">
        <f>IFERROR(__xludf.DUMMYFUNCTION("IFERROR((GOOGLEFINANCE(C111, ""price"") / INDEX(GOOGLEFINANCE(C111, ""price"", EDATE(TODAY(), -12), TODAY()), 2, 2)) - 1, """")"),"")</f>
        <v/>
      </c>
      <c r="Q111" s="6" t="str">
        <f>IFERROR(__xludf.DUMMYFUNCTION("AVERAGE(QUERY(GOOGLEFINANCE(C111, ""price"", TODAY()-80, TODAY()), ""SELECT Col2 WHERE Col2 IS NOT NULL ORDER BY Col1 DESC LIMIT 50"", 0))"),"#N/A")</f>
        <v>#N/A</v>
      </c>
      <c r="R111" s="24" t="str">
        <f>IFERROR(__xludf.DUMMYFUNCTION("IFERROR(
  LET(
    data, QUERY(GOOGLEFINANCE(C111,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GOOGLEFINANCE(C111, ""price"")) * 100,
    IF(calc=0, G111, calc)
  ), 
G111)"),"#N/A")</f>
        <v>#N/A</v>
      </c>
      <c r="S111" s="8" t="s">
        <v>15</v>
      </c>
      <c r="T111" s="26" t="str">
        <f>IFERROR(__xludf.DUMMYFUNCTION("IFERROR(TRANSPOSE(QUERY(IFERROR(SORT(GOOGLEFINANCE(C111, ""price"", WORKDAY(TODAY(), -40), TODAY()), 1, FALSE)), ""select Col2 where Col2 is not null limit 22 label Col2 ''"", 0)), """")"),"")</f>
        <v/>
      </c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8"/>
      <c r="AO111" s="28"/>
      <c r="AP111" s="29"/>
      <c r="AQ111" s="29" t="str">
        <f t="shared" ref="AQ111:BL111" si="114">T111/T$2</f>
        <v>#N/A</v>
      </c>
      <c r="AR111" s="29" t="str">
        <f t="shared" si="114"/>
        <v>#DIV/0!</v>
      </c>
      <c r="AS111" s="29" t="str">
        <f t="shared" si="114"/>
        <v>#DIV/0!</v>
      </c>
      <c r="AT111" s="29" t="str">
        <f t="shared" si="114"/>
        <v>#DIV/0!</v>
      </c>
      <c r="AU111" s="29" t="str">
        <f t="shared" si="114"/>
        <v>#DIV/0!</v>
      </c>
      <c r="AV111" s="29" t="str">
        <f t="shared" si="114"/>
        <v>#DIV/0!</v>
      </c>
      <c r="AW111" s="29" t="str">
        <f t="shared" si="114"/>
        <v>#DIV/0!</v>
      </c>
      <c r="AX111" s="29" t="str">
        <f t="shared" si="114"/>
        <v>#DIV/0!</v>
      </c>
      <c r="AY111" s="29" t="str">
        <f t="shared" si="114"/>
        <v>#DIV/0!</v>
      </c>
      <c r="AZ111" s="29" t="str">
        <f t="shared" si="114"/>
        <v>#DIV/0!</v>
      </c>
      <c r="BA111" s="29" t="str">
        <f t="shared" si="114"/>
        <v>#DIV/0!</v>
      </c>
      <c r="BB111" s="29" t="str">
        <f t="shared" si="114"/>
        <v>#DIV/0!</v>
      </c>
      <c r="BC111" s="29" t="str">
        <f t="shared" si="114"/>
        <v>#DIV/0!</v>
      </c>
      <c r="BD111" s="29" t="str">
        <f t="shared" si="114"/>
        <v>#DIV/0!</v>
      </c>
      <c r="BE111" s="29" t="str">
        <f t="shared" si="114"/>
        <v>#DIV/0!</v>
      </c>
      <c r="BF111" s="29" t="str">
        <f t="shared" si="114"/>
        <v>#DIV/0!</v>
      </c>
      <c r="BG111" s="29" t="str">
        <f t="shared" si="114"/>
        <v>#DIV/0!</v>
      </c>
      <c r="BH111" s="29" t="str">
        <f t="shared" si="114"/>
        <v>#DIV/0!</v>
      </c>
      <c r="BI111" s="29" t="str">
        <f t="shared" si="114"/>
        <v>#DIV/0!</v>
      </c>
      <c r="BJ111" s="29" t="str">
        <f t="shared" si="114"/>
        <v>#DIV/0!</v>
      </c>
      <c r="BK111" s="29" t="str">
        <f t="shared" si="114"/>
        <v>#DIV/0!</v>
      </c>
      <c r="BL111" s="29" t="str">
        <f t="shared" si="114"/>
        <v>#DIV/0!</v>
      </c>
      <c r="BM111" s="29" t="str">
        <f t="shared" si="3"/>
        <v>#DIV/0!</v>
      </c>
    </row>
    <row r="112">
      <c r="A112" s="16" t="str">
        <f>IFERROR(__xludf.DUMMYFUNCTION("IFERROR(SPARKLINE(SORT(MAP(TRANSPOSE(AQ112:BL112), LAMBDA(val, IF(ISNUMBER(val), PERCENTRANK(AQ112:BL112, val)+0.01, 0))), SEQUENCE(COLUMNS(AQ112:BL112)), FALSE), {""charttype"",""column""; ""color"",""chartreuse""; ""ymin"", 0; ""ymax"", 1.01; ""highcolo"&amp;"r"", ""darkgreen""; ""lowcolor"", ""red""}), """")"),"")</f>
        <v/>
      </c>
      <c r="B112" s="17" t="str">
        <f t="shared" si="4"/>
        <v/>
      </c>
      <c r="C112" s="1" t="s">
        <v>516</v>
      </c>
      <c r="D112" s="30" t="str">
        <f>IFERROR(__xludf.DUMMYFUNCTION("IFERROR(GOOGLEFINANCE(C112, ""NAME""))"),"Planet Fitness Inc")</f>
        <v>Planet Fitness Inc</v>
      </c>
      <c r="E112" s="30" t="s">
        <v>158</v>
      </c>
      <c r="F112" s="33" t="str">
        <f>IFERROR(__xludf.DUMMYFUNCTION("( (GOOGLEFINANCE(C112, ""price"") - Q112) / Q112 ) / (R112 / 100)"),"Loading...")</f>
        <v>Loading...</v>
      </c>
      <c r="G112" s="20" t="str">
        <f>IFERROR(__xludf.DUMMYFUNCTION("AVERAGE(ARRAYFORMULA(100 * (QUERY(GOOGLEFINANCE(C112, ""high"", TODAY()-40, TODAY()), ""SELECT Col2 WHERE Col2 IS NOT NULL ORDER BY Col1 DESC LIMIT 20"", 0) / QUERY(GOOGLEFINANCE(C112, ""low"", TODAY()-40, TODAY()), ""SELECT Col2 WHERE Col2 IS NOT NULL OR"&amp;"DER BY Col1 DESC LIMIT 20"", 0) - 1)))"),"#N/A")</f>
        <v>#N/A</v>
      </c>
      <c r="H112" s="35" t="str">
        <f t="shared" si="6"/>
        <v/>
      </c>
      <c r="I112" s="35" t="str">
        <f t="shared" si="7"/>
        <v/>
      </c>
      <c r="J112" s="37" t="str">
        <f>IFERROR(__xludf.DUMMYFUNCTION("IFERROR(
  IF(C112="""",, 
    IFERROR(
      GOOGLEFINANCE(C112, ""price"") * GOOGLEFINANCE(C112, ""volumeavg""), 
      GOOGLEFINANCE(C112, ""price"") * AVERAGE(QUERY(GOOGLEFINANCE(C112, ""volume"", TODAY()-40, TODAY()), ""SELECT Col2 WHERE Col2 IS NOT "&amp;"NULL ORDER BY Col1 DESC LIMIT 20"", 0))
    )
  ), 
"""")"),"")</f>
        <v/>
      </c>
      <c r="K112" s="21" t="str">
        <f>IFERROR(__xludf.DUMMYFUNCTION("IFERROR(GOOGLEFINANCE(C112, ""changepct"") / 100, """")"),"")</f>
        <v/>
      </c>
      <c r="L112" s="21" t="str">
        <f>IFERROR(__xludf.DUMMYFUNCTION("IFERROR((GOOGLEFINANCE(C112, ""price"") / INDEX(GOOGLEFINANCE(C112, ""price"", TODAY()-7, TODAY()), 2, 2)) - 1, """")"),"")</f>
        <v/>
      </c>
      <c r="M112" s="21" t="str">
        <f>IFERROR(__xludf.DUMMYFUNCTION("IFERROR((GOOGLEFINANCE(C112, ""price"") / INDEX(GOOGLEFINANCE(C112, ""price"", EDATE(TODAY(), -1), TODAY()), 2, 2)) - 1, """")"),"")</f>
        <v/>
      </c>
      <c r="N112" s="21" t="str">
        <f>IFERROR(__xludf.DUMMYFUNCTION("IFERROR((GOOGLEFINANCE(C112, ""price"") / INDEX(GOOGLEFINANCE(C112, ""price"", EDATE(TODAY(), -3), TODAY()), 2, 2)) - 1, """")"),"")</f>
        <v/>
      </c>
      <c r="O112" s="21" t="str">
        <f>IFERROR(__xludf.DUMMYFUNCTION("IFERROR((GOOGLEFINANCE(C112, ""price"") / INDEX(GOOGLEFINANCE(C112, ""price"", EDATE(TODAY(), -6), TODAY()), 2, 2)) - 1, """")"),"")</f>
        <v/>
      </c>
      <c r="P112" s="21" t="str">
        <f>IFERROR(__xludf.DUMMYFUNCTION("IFERROR((GOOGLEFINANCE(C112, ""price"") / INDEX(GOOGLEFINANCE(C112, ""price"", EDATE(TODAY(), -12), TODAY()), 2, 2)) - 1, """")"),"")</f>
        <v/>
      </c>
      <c r="Q112" s="6" t="str">
        <f>IFERROR(__xludf.DUMMYFUNCTION("AVERAGE(QUERY(GOOGLEFINANCE(C112, ""price"", TODAY()-80, TODAY()), ""SELECT Col2 WHERE Col2 IS NOT NULL ORDER BY Col1 DESC LIMIT 50"", 0))"),"#N/A")</f>
        <v>#N/A</v>
      </c>
      <c r="R112" s="24" t="str">
        <f>IFERROR(__xludf.DUMMYFUNCTION("IFERROR(
  LET(
    data, QUERY(GOOGLEFINANCE(C112,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GOOGLEFINANCE(C112, ""price"")) * 100,
    IF(calc=0, G112, calc)
  ), 
G112)"),"#N/A")</f>
        <v>#N/A</v>
      </c>
      <c r="S112" s="8" t="s">
        <v>15</v>
      </c>
      <c r="T112" s="26" t="str">
        <f>IFERROR(__xludf.DUMMYFUNCTION("IFERROR(TRANSPOSE(QUERY(IFERROR(SORT(GOOGLEFINANCE(C112, ""price"", WORKDAY(TODAY(), -40), TODAY()), 1, FALSE)), ""select Col2 where Col2 is not null limit 22 label Col2 ''"", 0)), """")"),"")</f>
        <v/>
      </c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8"/>
      <c r="AO112" s="28"/>
      <c r="AP112" s="29"/>
      <c r="AQ112" s="29" t="str">
        <f t="shared" ref="AQ112:BL112" si="115">T112/T$2</f>
        <v>#N/A</v>
      </c>
      <c r="AR112" s="29" t="str">
        <f t="shared" si="115"/>
        <v>#DIV/0!</v>
      </c>
      <c r="AS112" s="29" t="str">
        <f t="shared" si="115"/>
        <v>#DIV/0!</v>
      </c>
      <c r="AT112" s="29" t="str">
        <f t="shared" si="115"/>
        <v>#DIV/0!</v>
      </c>
      <c r="AU112" s="29" t="str">
        <f t="shared" si="115"/>
        <v>#DIV/0!</v>
      </c>
      <c r="AV112" s="29" t="str">
        <f t="shared" si="115"/>
        <v>#DIV/0!</v>
      </c>
      <c r="AW112" s="29" t="str">
        <f t="shared" si="115"/>
        <v>#DIV/0!</v>
      </c>
      <c r="AX112" s="29" t="str">
        <f t="shared" si="115"/>
        <v>#DIV/0!</v>
      </c>
      <c r="AY112" s="29" t="str">
        <f t="shared" si="115"/>
        <v>#DIV/0!</v>
      </c>
      <c r="AZ112" s="29" t="str">
        <f t="shared" si="115"/>
        <v>#DIV/0!</v>
      </c>
      <c r="BA112" s="29" t="str">
        <f t="shared" si="115"/>
        <v>#DIV/0!</v>
      </c>
      <c r="BB112" s="29" t="str">
        <f t="shared" si="115"/>
        <v>#DIV/0!</v>
      </c>
      <c r="BC112" s="29" t="str">
        <f t="shared" si="115"/>
        <v>#DIV/0!</v>
      </c>
      <c r="BD112" s="29" t="str">
        <f t="shared" si="115"/>
        <v>#DIV/0!</v>
      </c>
      <c r="BE112" s="29" t="str">
        <f t="shared" si="115"/>
        <v>#DIV/0!</v>
      </c>
      <c r="BF112" s="29" t="str">
        <f t="shared" si="115"/>
        <v>#DIV/0!</v>
      </c>
      <c r="BG112" s="29" t="str">
        <f t="shared" si="115"/>
        <v>#DIV/0!</v>
      </c>
      <c r="BH112" s="29" t="str">
        <f t="shared" si="115"/>
        <v>#DIV/0!</v>
      </c>
      <c r="BI112" s="29" t="str">
        <f t="shared" si="115"/>
        <v>#DIV/0!</v>
      </c>
      <c r="BJ112" s="29" t="str">
        <f t="shared" si="115"/>
        <v>#DIV/0!</v>
      </c>
      <c r="BK112" s="29" t="str">
        <f t="shared" si="115"/>
        <v>#DIV/0!</v>
      </c>
      <c r="BL112" s="29" t="str">
        <f t="shared" si="115"/>
        <v>#DIV/0!</v>
      </c>
      <c r="BM112" s="29" t="str">
        <f t="shared" si="3"/>
        <v>#DIV/0!</v>
      </c>
    </row>
    <row r="113">
      <c r="A113" s="16" t="str">
        <f>IFERROR(__xludf.DUMMYFUNCTION("IFERROR(SPARKLINE(SORT(MAP(TRANSPOSE(AQ113:BL113), LAMBDA(val, IF(ISNUMBER(val), PERCENTRANK(AQ113:BL113, val)+0.01, 0))), SEQUENCE(COLUMNS(AQ113:BL113)), FALSE), {""charttype"",""column""; ""color"",""chartreuse""; ""ymin"", 0; ""ymax"", 1.01; ""highcolo"&amp;"r"", ""darkgreen""; ""lowcolor"", ""red""}), """")"),"")</f>
        <v/>
      </c>
      <c r="B113" s="17" t="str">
        <f t="shared" si="4"/>
        <v/>
      </c>
      <c r="C113" s="1" t="s">
        <v>520</v>
      </c>
      <c r="D113" s="30" t="str">
        <f>IFERROR(__xludf.DUMMYFUNCTION("IFERROR(GOOGLEFINANCE(C113, ""NAME""))"),"Bright Horizons Family Solutions Inc")</f>
        <v>Bright Horizons Family Solutions Inc</v>
      </c>
      <c r="E113" s="30" t="s">
        <v>154</v>
      </c>
      <c r="F113" s="33" t="str">
        <f>IFERROR(__xludf.DUMMYFUNCTION("( (GOOGLEFINANCE(C113, ""price"") - Q113) / Q113 ) / (R113 / 100)"),"Loading...")</f>
        <v>Loading...</v>
      </c>
      <c r="G113" s="20" t="str">
        <f>IFERROR(__xludf.DUMMYFUNCTION("AVERAGE(ARRAYFORMULA(100 * (QUERY(GOOGLEFINANCE(C113, ""high"", TODAY()-40, TODAY()), ""SELECT Col2 WHERE Col2 IS NOT NULL ORDER BY Col1 DESC LIMIT 20"", 0) / QUERY(GOOGLEFINANCE(C113, ""low"", TODAY()-40, TODAY()), ""SELECT Col2 WHERE Col2 IS NOT NULL OR"&amp;"DER BY Col1 DESC LIMIT 20"", 0) - 1)))"),"#N/A")</f>
        <v>#N/A</v>
      </c>
      <c r="H113" s="35" t="str">
        <f t="shared" si="6"/>
        <v/>
      </c>
      <c r="I113" s="35" t="str">
        <f t="shared" si="7"/>
        <v/>
      </c>
      <c r="J113" s="37" t="str">
        <f>IFERROR(__xludf.DUMMYFUNCTION("IFERROR(
  IF(C113="""",, 
    IFERROR(
      GOOGLEFINANCE(C113, ""price"") * GOOGLEFINANCE(C113, ""volumeavg""), 
      GOOGLEFINANCE(C113, ""price"") * AVERAGE(QUERY(GOOGLEFINANCE(C113, ""volume"", TODAY()-40, TODAY()), ""SELECT Col2 WHERE Col2 IS NOT "&amp;"NULL ORDER BY Col1 DESC LIMIT 20"", 0))
    )
  ), 
"""")"),"")</f>
        <v/>
      </c>
      <c r="K113" s="21" t="str">
        <f>IFERROR(__xludf.DUMMYFUNCTION("IFERROR(GOOGLEFINANCE(C113, ""changepct"") / 100, """")"),"")</f>
        <v/>
      </c>
      <c r="L113" s="21" t="str">
        <f>IFERROR(__xludf.DUMMYFUNCTION("IFERROR((GOOGLEFINANCE(C113, ""price"") / INDEX(GOOGLEFINANCE(C113, ""price"", TODAY()-7, TODAY()), 2, 2)) - 1, """")"),"")</f>
        <v/>
      </c>
      <c r="M113" s="21" t="str">
        <f>IFERROR(__xludf.DUMMYFUNCTION("IFERROR((GOOGLEFINANCE(C113, ""price"") / INDEX(GOOGLEFINANCE(C113, ""price"", EDATE(TODAY(), -1), TODAY()), 2, 2)) - 1, """")"),"")</f>
        <v/>
      </c>
      <c r="N113" s="21" t="str">
        <f>IFERROR(__xludf.DUMMYFUNCTION("IFERROR((GOOGLEFINANCE(C113, ""price"") / INDEX(GOOGLEFINANCE(C113, ""price"", EDATE(TODAY(), -3), TODAY()), 2, 2)) - 1, """")"),"")</f>
        <v/>
      </c>
      <c r="O113" s="21" t="str">
        <f>IFERROR(__xludf.DUMMYFUNCTION("IFERROR((GOOGLEFINANCE(C113, ""price"") / INDEX(GOOGLEFINANCE(C113, ""price"", EDATE(TODAY(), -6), TODAY()), 2, 2)) - 1, """")"),"")</f>
        <v/>
      </c>
      <c r="P113" s="21" t="str">
        <f>IFERROR(__xludf.DUMMYFUNCTION("IFERROR((GOOGLEFINANCE(C113, ""price"") / INDEX(GOOGLEFINANCE(C113, ""price"", EDATE(TODAY(), -12), TODAY()), 2, 2)) - 1, """")"),"")</f>
        <v/>
      </c>
      <c r="Q113" s="6" t="str">
        <f>IFERROR(__xludf.DUMMYFUNCTION("AVERAGE(QUERY(GOOGLEFINANCE(C113, ""price"", TODAY()-80, TODAY()), ""SELECT Col2 WHERE Col2 IS NOT NULL ORDER BY Col1 DESC LIMIT 50"", 0))"),"#N/A")</f>
        <v>#N/A</v>
      </c>
      <c r="R113" s="24" t="str">
        <f>IFERROR(__xludf.DUMMYFUNCTION("IFERROR(
  LET(
    data, QUERY(GOOGLEFINANCE(C113,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GOOGLEFINANCE(C113, ""price"")) * 100,
    IF(calc=0, G113, calc)
  ), 
G113)"),"#N/A")</f>
        <v>#N/A</v>
      </c>
      <c r="S113" s="8" t="s">
        <v>15</v>
      </c>
      <c r="T113" s="26" t="str">
        <f>IFERROR(__xludf.DUMMYFUNCTION("IFERROR(TRANSPOSE(QUERY(IFERROR(SORT(GOOGLEFINANCE(C113, ""price"", WORKDAY(TODAY(), -40), TODAY()), 1, FALSE)), ""select Col2 where Col2 is not null limit 22 label Col2 ''"", 0)), """")"),"")</f>
        <v/>
      </c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8"/>
      <c r="AO113" s="28"/>
      <c r="AP113" s="29"/>
      <c r="AQ113" s="29" t="str">
        <f t="shared" ref="AQ113:BL113" si="116">T113/T$2</f>
        <v>#N/A</v>
      </c>
      <c r="AR113" s="29" t="str">
        <f t="shared" si="116"/>
        <v>#DIV/0!</v>
      </c>
      <c r="AS113" s="29" t="str">
        <f t="shared" si="116"/>
        <v>#DIV/0!</v>
      </c>
      <c r="AT113" s="29" t="str">
        <f t="shared" si="116"/>
        <v>#DIV/0!</v>
      </c>
      <c r="AU113" s="29" t="str">
        <f t="shared" si="116"/>
        <v>#DIV/0!</v>
      </c>
      <c r="AV113" s="29" t="str">
        <f t="shared" si="116"/>
        <v>#DIV/0!</v>
      </c>
      <c r="AW113" s="29" t="str">
        <f t="shared" si="116"/>
        <v>#DIV/0!</v>
      </c>
      <c r="AX113" s="29" t="str">
        <f t="shared" si="116"/>
        <v>#DIV/0!</v>
      </c>
      <c r="AY113" s="29" t="str">
        <f t="shared" si="116"/>
        <v>#DIV/0!</v>
      </c>
      <c r="AZ113" s="29" t="str">
        <f t="shared" si="116"/>
        <v>#DIV/0!</v>
      </c>
      <c r="BA113" s="29" t="str">
        <f t="shared" si="116"/>
        <v>#DIV/0!</v>
      </c>
      <c r="BB113" s="29" t="str">
        <f t="shared" si="116"/>
        <v>#DIV/0!</v>
      </c>
      <c r="BC113" s="29" t="str">
        <f t="shared" si="116"/>
        <v>#DIV/0!</v>
      </c>
      <c r="BD113" s="29" t="str">
        <f t="shared" si="116"/>
        <v>#DIV/0!</v>
      </c>
      <c r="BE113" s="29" t="str">
        <f t="shared" si="116"/>
        <v>#DIV/0!</v>
      </c>
      <c r="BF113" s="29" t="str">
        <f t="shared" si="116"/>
        <v>#DIV/0!</v>
      </c>
      <c r="BG113" s="29" t="str">
        <f t="shared" si="116"/>
        <v>#DIV/0!</v>
      </c>
      <c r="BH113" s="29" t="str">
        <f t="shared" si="116"/>
        <v>#DIV/0!</v>
      </c>
      <c r="BI113" s="29" t="str">
        <f t="shared" si="116"/>
        <v>#DIV/0!</v>
      </c>
      <c r="BJ113" s="29" t="str">
        <f t="shared" si="116"/>
        <v>#DIV/0!</v>
      </c>
      <c r="BK113" s="29" t="str">
        <f t="shared" si="116"/>
        <v>#DIV/0!</v>
      </c>
      <c r="BL113" s="29" t="str">
        <f t="shared" si="116"/>
        <v>#DIV/0!</v>
      </c>
      <c r="BM113" s="29" t="str">
        <f t="shared" si="3"/>
        <v>#DIV/0!</v>
      </c>
    </row>
    <row r="114">
      <c r="A114" s="16" t="str">
        <f>IFERROR(__xludf.DUMMYFUNCTION("IFERROR(SPARKLINE(SORT(MAP(TRANSPOSE(AQ114:BL114), LAMBDA(val, IF(ISNUMBER(val), PERCENTRANK(AQ114:BL114, val)+0.01, 0))), SEQUENCE(COLUMNS(AQ114:BL114)), FALSE), {""charttype"",""column""; ""color"",""chartreuse""; ""ymin"", 0; ""ymax"", 1.01; ""highcolo"&amp;"r"", ""darkgreen""; ""lowcolor"", ""red""}), """")"),"")</f>
        <v/>
      </c>
      <c r="B114" s="17" t="str">
        <f t="shared" si="4"/>
        <v/>
      </c>
      <c r="C114" s="1" t="s">
        <v>523</v>
      </c>
      <c r="D114" s="30" t="str">
        <f>IFERROR(__xludf.DUMMYFUNCTION("IFERROR(GOOGLEFINANCE(C114, ""NAME""))"),"H World Group Ltd")</f>
        <v>H World Group Ltd</v>
      </c>
      <c r="E114" s="30" t="s">
        <v>258</v>
      </c>
      <c r="F114" s="33" t="str">
        <f>IFERROR(__xludf.DUMMYFUNCTION("( (GOOGLEFINANCE(C114, ""price"") - Q114) / Q114 ) / (R114 / 100)"),"Loading...")</f>
        <v>Loading...</v>
      </c>
      <c r="G114" s="20" t="str">
        <f>IFERROR(__xludf.DUMMYFUNCTION("AVERAGE(ARRAYFORMULA(100 * (QUERY(GOOGLEFINANCE(C114, ""high"", TODAY()-40, TODAY()), ""SELECT Col2 WHERE Col2 IS NOT NULL ORDER BY Col1 DESC LIMIT 20"", 0) / QUERY(GOOGLEFINANCE(C114, ""low"", TODAY()-40, TODAY()), ""SELECT Col2 WHERE Col2 IS NOT NULL OR"&amp;"DER BY Col1 DESC LIMIT 20"", 0) - 1)))"),"#N/A")</f>
        <v>#N/A</v>
      </c>
      <c r="H114" s="35" t="str">
        <f t="shared" si="6"/>
        <v/>
      </c>
      <c r="I114" s="35" t="str">
        <f t="shared" si="7"/>
        <v/>
      </c>
      <c r="J114" s="37" t="str">
        <f>IFERROR(__xludf.DUMMYFUNCTION("IFERROR(
  IF(C114="""",, 
    IFERROR(
      GOOGLEFINANCE(C114, ""price"") * GOOGLEFINANCE(C114, ""volumeavg""), 
      GOOGLEFINANCE(C114, ""price"") * AVERAGE(QUERY(GOOGLEFINANCE(C114, ""volume"", TODAY()-40, TODAY()), ""SELECT Col2 WHERE Col2 IS NOT "&amp;"NULL ORDER BY Col1 DESC LIMIT 20"", 0))
    )
  ), 
"""")"),"")</f>
        <v/>
      </c>
      <c r="K114" s="21" t="str">
        <f>IFERROR(__xludf.DUMMYFUNCTION("IFERROR(GOOGLEFINANCE(C114, ""changepct"") / 100, """")"),"")</f>
        <v/>
      </c>
      <c r="L114" s="21" t="str">
        <f>IFERROR(__xludf.DUMMYFUNCTION("IFERROR((GOOGLEFINANCE(C114, ""price"") / INDEX(GOOGLEFINANCE(C114, ""price"", TODAY()-7, TODAY()), 2, 2)) - 1, """")"),"")</f>
        <v/>
      </c>
      <c r="M114" s="21" t="str">
        <f>IFERROR(__xludf.DUMMYFUNCTION("IFERROR((GOOGLEFINANCE(C114, ""price"") / INDEX(GOOGLEFINANCE(C114, ""price"", EDATE(TODAY(), -1), TODAY()), 2, 2)) - 1, """")"),"")</f>
        <v/>
      </c>
      <c r="N114" s="21" t="str">
        <f>IFERROR(__xludf.DUMMYFUNCTION("IFERROR((GOOGLEFINANCE(C114, ""price"") / INDEX(GOOGLEFINANCE(C114, ""price"", EDATE(TODAY(), -3), TODAY()), 2, 2)) - 1, """")"),"")</f>
        <v/>
      </c>
      <c r="O114" s="21" t="str">
        <f>IFERROR(__xludf.DUMMYFUNCTION("IFERROR((GOOGLEFINANCE(C114, ""price"") / INDEX(GOOGLEFINANCE(C114, ""price"", EDATE(TODAY(), -6), TODAY()), 2, 2)) - 1, """")"),"")</f>
        <v/>
      </c>
      <c r="P114" s="21" t="str">
        <f>IFERROR(__xludf.DUMMYFUNCTION("IFERROR((GOOGLEFINANCE(C114, ""price"") / INDEX(GOOGLEFINANCE(C114, ""price"", EDATE(TODAY(), -12), TODAY()), 2, 2)) - 1, """")"),"")</f>
        <v/>
      </c>
      <c r="Q114" s="6" t="str">
        <f>IFERROR(__xludf.DUMMYFUNCTION("AVERAGE(QUERY(GOOGLEFINANCE(C114, ""price"", TODAY()-80, TODAY()), ""SELECT Col2 WHERE Col2 IS NOT NULL ORDER BY Col1 DESC LIMIT 50"", 0))"),"#N/A")</f>
        <v>#N/A</v>
      </c>
      <c r="R114" s="24" t="str">
        <f>IFERROR(__xludf.DUMMYFUNCTION("IFERROR(
  LET(
    data, QUERY(GOOGLEFINANCE(C114,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GOOGLEFINANCE(C114, ""price"")) * 100,
    IF(calc=0, G114, calc)
  ), 
G114)"),"#N/A")</f>
        <v>#N/A</v>
      </c>
      <c r="S114" s="8" t="s">
        <v>15</v>
      </c>
      <c r="T114" s="26" t="str">
        <f>IFERROR(__xludf.DUMMYFUNCTION("IFERROR(TRANSPOSE(QUERY(IFERROR(SORT(GOOGLEFINANCE(C114, ""price"", WORKDAY(TODAY(), -40), TODAY()), 1, FALSE)), ""select Col2 where Col2 is not null limit 22 label Col2 ''"", 0)), """")"),"")</f>
        <v/>
      </c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8"/>
      <c r="AO114" s="28"/>
      <c r="AP114" s="29"/>
      <c r="AQ114" s="29" t="str">
        <f t="shared" ref="AQ114:BL114" si="117">T114/T$2</f>
        <v>#N/A</v>
      </c>
      <c r="AR114" s="29" t="str">
        <f t="shared" si="117"/>
        <v>#DIV/0!</v>
      </c>
      <c r="AS114" s="29" t="str">
        <f t="shared" si="117"/>
        <v>#DIV/0!</v>
      </c>
      <c r="AT114" s="29" t="str">
        <f t="shared" si="117"/>
        <v>#DIV/0!</v>
      </c>
      <c r="AU114" s="29" t="str">
        <f t="shared" si="117"/>
        <v>#DIV/0!</v>
      </c>
      <c r="AV114" s="29" t="str">
        <f t="shared" si="117"/>
        <v>#DIV/0!</v>
      </c>
      <c r="AW114" s="29" t="str">
        <f t="shared" si="117"/>
        <v>#DIV/0!</v>
      </c>
      <c r="AX114" s="29" t="str">
        <f t="shared" si="117"/>
        <v>#DIV/0!</v>
      </c>
      <c r="AY114" s="29" t="str">
        <f t="shared" si="117"/>
        <v>#DIV/0!</v>
      </c>
      <c r="AZ114" s="29" t="str">
        <f t="shared" si="117"/>
        <v>#DIV/0!</v>
      </c>
      <c r="BA114" s="29" t="str">
        <f t="shared" si="117"/>
        <v>#DIV/0!</v>
      </c>
      <c r="BB114" s="29" t="str">
        <f t="shared" si="117"/>
        <v>#DIV/0!</v>
      </c>
      <c r="BC114" s="29" t="str">
        <f t="shared" si="117"/>
        <v>#DIV/0!</v>
      </c>
      <c r="BD114" s="29" t="str">
        <f t="shared" si="117"/>
        <v>#DIV/0!</v>
      </c>
      <c r="BE114" s="29" t="str">
        <f t="shared" si="117"/>
        <v>#DIV/0!</v>
      </c>
      <c r="BF114" s="29" t="str">
        <f t="shared" si="117"/>
        <v>#DIV/0!</v>
      </c>
      <c r="BG114" s="29" t="str">
        <f t="shared" si="117"/>
        <v>#DIV/0!</v>
      </c>
      <c r="BH114" s="29" t="str">
        <f t="shared" si="117"/>
        <v>#DIV/0!</v>
      </c>
      <c r="BI114" s="29" t="str">
        <f t="shared" si="117"/>
        <v>#DIV/0!</v>
      </c>
      <c r="BJ114" s="29" t="str">
        <f t="shared" si="117"/>
        <v>#DIV/0!</v>
      </c>
      <c r="BK114" s="29" t="str">
        <f t="shared" si="117"/>
        <v>#DIV/0!</v>
      </c>
      <c r="BL114" s="29" t="str">
        <f t="shared" si="117"/>
        <v>#DIV/0!</v>
      </c>
      <c r="BM114" s="29" t="str">
        <f t="shared" si="3"/>
        <v>#DIV/0!</v>
      </c>
    </row>
    <row r="115">
      <c r="A115" s="16" t="str">
        <f>IFERROR(__xludf.DUMMYFUNCTION("IFERROR(SPARKLINE(SORT(MAP(TRANSPOSE(AQ115:BL115), LAMBDA(val, IF(ISNUMBER(val), PERCENTRANK(AQ115:BL115, val)+0.01, 0))), SEQUENCE(COLUMNS(AQ115:BL115)), FALSE), {""charttype"",""column""; ""color"",""chartreuse""; ""ymin"", 0; ""ymax"", 1.01; ""highcolo"&amp;"r"", ""darkgreen""; ""lowcolor"", ""red""}), """")"),"")</f>
        <v/>
      </c>
      <c r="B115" s="17" t="str">
        <f t="shared" si="4"/>
        <v/>
      </c>
      <c r="C115" s="1" t="s">
        <v>528</v>
      </c>
      <c r="D115" s="30" t="str">
        <f>IFERROR(__xludf.DUMMYFUNCTION("IFERROR(GOOGLEFINANCE(C115, ""NAME""))"),"ThredUp Inc")</f>
        <v>ThredUp Inc</v>
      </c>
      <c r="E115" s="30" t="s">
        <v>137</v>
      </c>
      <c r="F115" s="33" t="str">
        <f>IFERROR(__xludf.DUMMYFUNCTION("( (GOOGLEFINANCE(C115, ""price"") - Q115) / Q115 ) / (R115 / 100)"),"Loading...")</f>
        <v>Loading...</v>
      </c>
      <c r="G115" s="20" t="str">
        <f>IFERROR(__xludf.DUMMYFUNCTION("AVERAGE(ARRAYFORMULA(100 * (QUERY(GOOGLEFINANCE(C115, ""high"", TODAY()-40, TODAY()), ""SELECT Col2 WHERE Col2 IS NOT NULL ORDER BY Col1 DESC LIMIT 20"", 0) / QUERY(GOOGLEFINANCE(C115, ""low"", TODAY()-40, TODAY()), ""SELECT Col2 WHERE Col2 IS NOT NULL OR"&amp;"DER BY Col1 DESC LIMIT 20"", 0) - 1)))"),"#N/A")</f>
        <v>#N/A</v>
      </c>
      <c r="H115" s="35" t="str">
        <f t="shared" si="6"/>
        <v/>
      </c>
      <c r="I115" s="35" t="str">
        <f t="shared" si="7"/>
        <v/>
      </c>
      <c r="J115" s="37" t="str">
        <f>IFERROR(__xludf.DUMMYFUNCTION("IFERROR(
  IF(C115="""",, 
    IFERROR(
      GOOGLEFINANCE(C115, ""price"") * GOOGLEFINANCE(C115, ""volumeavg""), 
      GOOGLEFINANCE(C115, ""price"") * AVERAGE(QUERY(GOOGLEFINANCE(C115, ""volume"", TODAY()-40, TODAY()), ""SELECT Col2 WHERE Col2 IS NOT "&amp;"NULL ORDER BY Col1 DESC LIMIT 20"", 0))
    )
  ), 
"""")"),"")</f>
        <v/>
      </c>
      <c r="K115" s="21" t="str">
        <f>IFERROR(__xludf.DUMMYFUNCTION("IFERROR(GOOGLEFINANCE(C115, ""changepct"") / 100, """")"),"")</f>
        <v/>
      </c>
      <c r="L115" s="21" t="str">
        <f>IFERROR(__xludf.DUMMYFUNCTION("IFERROR((GOOGLEFINANCE(C115, ""price"") / INDEX(GOOGLEFINANCE(C115, ""price"", TODAY()-7, TODAY()), 2, 2)) - 1, """")"),"")</f>
        <v/>
      </c>
      <c r="M115" s="21" t="str">
        <f>IFERROR(__xludf.DUMMYFUNCTION("IFERROR((GOOGLEFINANCE(C115, ""price"") / INDEX(GOOGLEFINANCE(C115, ""price"", EDATE(TODAY(), -1), TODAY()), 2, 2)) - 1, """")"),"")</f>
        <v/>
      </c>
      <c r="N115" s="21" t="str">
        <f>IFERROR(__xludf.DUMMYFUNCTION("IFERROR((GOOGLEFINANCE(C115, ""price"") / INDEX(GOOGLEFINANCE(C115, ""price"", EDATE(TODAY(), -3), TODAY()), 2, 2)) - 1, """")"),"")</f>
        <v/>
      </c>
      <c r="O115" s="21" t="str">
        <f>IFERROR(__xludf.DUMMYFUNCTION("IFERROR((GOOGLEFINANCE(C115, ""price"") / INDEX(GOOGLEFINANCE(C115, ""price"", EDATE(TODAY(), -6), TODAY()), 2, 2)) - 1, """")"),"")</f>
        <v/>
      </c>
      <c r="P115" s="21" t="str">
        <f>IFERROR(__xludf.DUMMYFUNCTION("IFERROR((GOOGLEFINANCE(C115, ""price"") / INDEX(GOOGLEFINANCE(C115, ""price"", EDATE(TODAY(), -12), TODAY()), 2, 2)) - 1, """")"),"")</f>
        <v/>
      </c>
      <c r="Q115" s="6" t="str">
        <f>IFERROR(__xludf.DUMMYFUNCTION("AVERAGE(QUERY(GOOGLEFINANCE(C115, ""price"", TODAY()-80, TODAY()), ""SELECT Col2 WHERE Col2 IS NOT NULL ORDER BY Col1 DESC LIMIT 50"", 0))"),"#N/A")</f>
        <v>#N/A</v>
      </c>
      <c r="R115" s="24" t="str">
        <f>IFERROR(__xludf.DUMMYFUNCTION("IFERROR(
  LET(
    data, QUERY(GOOGLEFINANCE(C115,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GOOGLEFINANCE(C115, ""price"")) * 100,
    IF(calc=0, G115, calc)
  ), 
G115)"),"#N/A")</f>
        <v>#N/A</v>
      </c>
      <c r="S115" s="8" t="s">
        <v>15</v>
      </c>
      <c r="T115" s="26" t="str">
        <f>IFERROR(__xludf.DUMMYFUNCTION("IFERROR(TRANSPOSE(QUERY(IFERROR(SORT(GOOGLEFINANCE(C115, ""price"", WORKDAY(TODAY(), -40), TODAY()), 1, FALSE)), ""select Col2 where Col2 is not null limit 22 label Col2 ''"", 0)), """")"),"")</f>
        <v/>
      </c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8"/>
      <c r="AO115" s="28"/>
      <c r="AP115" s="29"/>
      <c r="AQ115" s="29" t="str">
        <f t="shared" ref="AQ115:BL115" si="118">T115/T$2</f>
        <v>#N/A</v>
      </c>
      <c r="AR115" s="29" t="str">
        <f t="shared" si="118"/>
        <v>#DIV/0!</v>
      </c>
      <c r="AS115" s="29" t="str">
        <f t="shared" si="118"/>
        <v>#DIV/0!</v>
      </c>
      <c r="AT115" s="29" t="str">
        <f t="shared" si="118"/>
        <v>#DIV/0!</v>
      </c>
      <c r="AU115" s="29" t="str">
        <f t="shared" si="118"/>
        <v>#DIV/0!</v>
      </c>
      <c r="AV115" s="29" t="str">
        <f t="shared" si="118"/>
        <v>#DIV/0!</v>
      </c>
      <c r="AW115" s="29" t="str">
        <f t="shared" si="118"/>
        <v>#DIV/0!</v>
      </c>
      <c r="AX115" s="29" t="str">
        <f t="shared" si="118"/>
        <v>#DIV/0!</v>
      </c>
      <c r="AY115" s="29" t="str">
        <f t="shared" si="118"/>
        <v>#DIV/0!</v>
      </c>
      <c r="AZ115" s="29" t="str">
        <f t="shared" si="118"/>
        <v>#DIV/0!</v>
      </c>
      <c r="BA115" s="29" t="str">
        <f t="shared" si="118"/>
        <v>#DIV/0!</v>
      </c>
      <c r="BB115" s="29" t="str">
        <f t="shared" si="118"/>
        <v>#DIV/0!</v>
      </c>
      <c r="BC115" s="29" t="str">
        <f t="shared" si="118"/>
        <v>#DIV/0!</v>
      </c>
      <c r="BD115" s="29" t="str">
        <f t="shared" si="118"/>
        <v>#DIV/0!</v>
      </c>
      <c r="BE115" s="29" t="str">
        <f t="shared" si="118"/>
        <v>#DIV/0!</v>
      </c>
      <c r="BF115" s="29" t="str">
        <f t="shared" si="118"/>
        <v>#DIV/0!</v>
      </c>
      <c r="BG115" s="29" t="str">
        <f t="shared" si="118"/>
        <v>#DIV/0!</v>
      </c>
      <c r="BH115" s="29" t="str">
        <f t="shared" si="118"/>
        <v>#DIV/0!</v>
      </c>
      <c r="BI115" s="29" t="str">
        <f t="shared" si="118"/>
        <v>#DIV/0!</v>
      </c>
      <c r="BJ115" s="29" t="str">
        <f t="shared" si="118"/>
        <v>#DIV/0!</v>
      </c>
      <c r="BK115" s="29" t="str">
        <f t="shared" si="118"/>
        <v>#DIV/0!</v>
      </c>
      <c r="BL115" s="29" t="str">
        <f t="shared" si="118"/>
        <v>#DIV/0!</v>
      </c>
      <c r="BM115" s="29" t="str">
        <f t="shared" si="3"/>
        <v>#DIV/0!</v>
      </c>
    </row>
    <row r="116">
      <c r="A116" s="16" t="str">
        <f>IFERROR(__xludf.DUMMYFUNCTION("IFERROR(SPARKLINE(SORT(MAP(TRANSPOSE(AQ116:BL116), LAMBDA(val, IF(ISNUMBER(val), PERCENTRANK(AQ116:BL116, val)+0.01, 0))), SEQUENCE(COLUMNS(AQ116:BL116)), FALSE), {""charttype"",""column""; ""color"",""chartreuse""; ""ymin"", 0; ""ymax"", 1.01; ""highcolo"&amp;"r"", ""darkgreen""; ""lowcolor"", ""red""}), """")"),"")</f>
        <v/>
      </c>
      <c r="B116" s="17" t="str">
        <f t="shared" si="4"/>
        <v/>
      </c>
      <c r="C116" s="1" t="s">
        <v>530</v>
      </c>
      <c r="D116" s="30" t="str">
        <f>IFERROR(__xludf.DUMMYFUNCTION("IFERROR(GOOGLEFINANCE(C116, ""NAME""))"),"Carmax Inc")</f>
        <v>Carmax Inc</v>
      </c>
      <c r="E116" s="30" t="s">
        <v>190</v>
      </c>
      <c r="F116" s="33" t="str">
        <f>IFERROR(__xludf.DUMMYFUNCTION("( (GOOGLEFINANCE(C116, ""price"") - Q116) / Q116 ) / (R116 / 100)"),"Loading...")</f>
        <v>Loading...</v>
      </c>
      <c r="G116" s="20" t="str">
        <f>IFERROR(__xludf.DUMMYFUNCTION("AVERAGE(ARRAYFORMULA(100 * (QUERY(GOOGLEFINANCE(C116, ""high"", TODAY()-40, TODAY()), ""SELECT Col2 WHERE Col2 IS NOT NULL ORDER BY Col1 DESC LIMIT 20"", 0) / QUERY(GOOGLEFINANCE(C116, ""low"", TODAY()-40, TODAY()), ""SELECT Col2 WHERE Col2 IS NOT NULL OR"&amp;"DER BY Col1 DESC LIMIT 20"", 0) - 1)))"),"#N/A")</f>
        <v>#N/A</v>
      </c>
      <c r="H116" s="35" t="str">
        <f t="shared" si="6"/>
        <v/>
      </c>
      <c r="I116" s="35" t="str">
        <f t="shared" si="7"/>
        <v/>
      </c>
      <c r="J116" s="37" t="str">
        <f>IFERROR(__xludf.DUMMYFUNCTION("IFERROR(
  IF(C116="""",, 
    IFERROR(
      GOOGLEFINANCE(C116, ""price"") * GOOGLEFINANCE(C116, ""volumeavg""), 
      GOOGLEFINANCE(C116, ""price"") * AVERAGE(QUERY(GOOGLEFINANCE(C116, ""volume"", TODAY()-40, TODAY()), ""SELECT Col2 WHERE Col2 IS NOT "&amp;"NULL ORDER BY Col1 DESC LIMIT 20"", 0))
    )
  ), 
"""")"),"")</f>
        <v/>
      </c>
      <c r="K116" s="21" t="str">
        <f>IFERROR(__xludf.DUMMYFUNCTION("IFERROR(GOOGLEFINANCE(C116, ""changepct"") / 100, """")"),"")</f>
        <v/>
      </c>
      <c r="L116" s="21" t="str">
        <f>IFERROR(__xludf.DUMMYFUNCTION("IFERROR((GOOGLEFINANCE(C116, ""price"") / INDEX(GOOGLEFINANCE(C116, ""price"", TODAY()-7, TODAY()), 2, 2)) - 1, """")"),"")</f>
        <v/>
      </c>
      <c r="M116" s="21" t="str">
        <f>IFERROR(__xludf.DUMMYFUNCTION("IFERROR((GOOGLEFINANCE(C116, ""price"") / INDEX(GOOGLEFINANCE(C116, ""price"", EDATE(TODAY(), -1), TODAY()), 2, 2)) - 1, """")"),"")</f>
        <v/>
      </c>
      <c r="N116" s="21" t="str">
        <f>IFERROR(__xludf.DUMMYFUNCTION("IFERROR((GOOGLEFINANCE(C116, ""price"") / INDEX(GOOGLEFINANCE(C116, ""price"", EDATE(TODAY(), -3), TODAY()), 2, 2)) - 1, """")"),"")</f>
        <v/>
      </c>
      <c r="O116" s="21" t="str">
        <f>IFERROR(__xludf.DUMMYFUNCTION("IFERROR((GOOGLEFINANCE(C116, ""price"") / INDEX(GOOGLEFINANCE(C116, ""price"", EDATE(TODAY(), -6), TODAY()), 2, 2)) - 1, """")"),"")</f>
        <v/>
      </c>
      <c r="P116" s="21" t="str">
        <f>IFERROR(__xludf.DUMMYFUNCTION("IFERROR((GOOGLEFINANCE(C116, ""price"") / INDEX(GOOGLEFINANCE(C116, ""price"", EDATE(TODAY(), -12), TODAY()), 2, 2)) - 1, """")"),"")</f>
        <v/>
      </c>
      <c r="Q116" s="6" t="str">
        <f>IFERROR(__xludf.DUMMYFUNCTION("AVERAGE(QUERY(GOOGLEFINANCE(C116, ""price"", TODAY()-80, TODAY()), ""SELECT Col2 WHERE Col2 IS NOT NULL ORDER BY Col1 DESC LIMIT 50"", 0))"),"#N/A")</f>
        <v>#N/A</v>
      </c>
      <c r="R116" s="24" t="str">
        <f>IFERROR(__xludf.DUMMYFUNCTION("IFERROR(
  LET(
    data, QUERY(GOOGLEFINANCE(C116,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GOOGLEFINANCE(C116, ""price"")) * 100,
    IF(calc=0, G116, calc)
  ), 
G116)"),"#N/A")</f>
        <v>#N/A</v>
      </c>
      <c r="S116" s="8" t="s">
        <v>15</v>
      </c>
      <c r="T116" s="26" t="str">
        <f>IFERROR(__xludf.DUMMYFUNCTION("IFERROR(TRANSPOSE(QUERY(IFERROR(SORT(GOOGLEFINANCE(C116, ""price"", WORKDAY(TODAY(), -40), TODAY()), 1, FALSE)), ""select Col2 where Col2 is not null limit 22 label Col2 ''"", 0)), """")"),"")</f>
        <v/>
      </c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8"/>
      <c r="AO116" s="28"/>
      <c r="AP116" s="29"/>
      <c r="AQ116" s="29" t="str">
        <f t="shared" ref="AQ116:BL116" si="119">T116/T$2</f>
        <v>#N/A</v>
      </c>
      <c r="AR116" s="29" t="str">
        <f t="shared" si="119"/>
        <v>#DIV/0!</v>
      </c>
      <c r="AS116" s="29" t="str">
        <f t="shared" si="119"/>
        <v>#DIV/0!</v>
      </c>
      <c r="AT116" s="29" t="str">
        <f t="shared" si="119"/>
        <v>#DIV/0!</v>
      </c>
      <c r="AU116" s="29" t="str">
        <f t="shared" si="119"/>
        <v>#DIV/0!</v>
      </c>
      <c r="AV116" s="29" t="str">
        <f t="shared" si="119"/>
        <v>#DIV/0!</v>
      </c>
      <c r="AW116" s="29" t="str">
        <f t="shared" si="119"/>
        <v>#DIV/0!</v>
      </c>
      <c r="AX116" s="29" t="str">
        <f t="shared" si="119"/>
        <v>#DIV/0!</v>
      </c>
      <c r="AY116" s="29" t="str">
        <f t="shared" si="119"/>
        <v>#DIV/0!</v>
      </c>
      <c r="AZ116" s="29" t="str">
        <f t="shared" si="119"/>
        <v>#DIV/0!</v>
      </c>
      <c r="BA116" s="29" t="str">
        <f t="shared" si="119"/>
        <v>#DIV/0!</v>
      </c>
      <c r="BB116" s="29" t="str">
        <f t="shared" si="119"/>
        <v>#DIV/0!</v>
      </c>
      <c r="BC116" s="29" t="str">
        <f t="shared" si="119"/>
        <v>#DIV/0!</v>
      </c>
      <c r="BD116" s="29" t="str">
        <f t="shared" si="119"/>
        <v>#DIV/0!</v>
      </c>
      <c r="BE116" s="29" t="str">
        <f t="shared" si="119"/>
        <v>#DIV/0!</v>
      </c>
      <c r="BF116" s="29" t="str">
        <f t="shared" si="119"/>
        <v>#DIV/0!</v>
      </c>
      <c r="BG116" s="29" t="str">
        <f t="shared" si="119"/>
        <v>#DIV/0!</v>
      </c>
      <c r="BH116" s="29" t="str">
        <f t="shared" si="119"/>
        <v>#DIV/0!</v>
      </c>
      <c r="BI116" s="29" t="str">
        <f t="shared" si="119"/>
        <v>#DIV/0!</v>
      </c>
      <c r="BJ116" s="29" t="str">
        <f t="shared" si="119"/>
        <v>#DIV/0!</v>
      </c>
      <c r="BK116" s="29" t="str">
        <f t="shared" si="119"/>
        <v>#DIV/0!</v>
      </c>
      <c r="BL116" s="29" t="str">
        <f t="shared" si="119"/>
        <v>#DIV/0!</v>
      </c>
      <c r="BM116" s="29" t="str">
        <f t="shared" si="3"/>
        <v>#DIV/0!</v>
      </c>
    </row>
    <row r="117">
      <c r="A117" s="16" t="str">
        <f>IFERROR(__xludf.DUMMYFUNCTION("IFERROR(SPARKLINE(SORT(MAP(TRANSPOSE(AQ117:BL117), LAMBDA(val, IF(ISNUMBER(val), PERCENTRANK(AQ117:BL117, val)+0.01, 0))), SEQUENCE(COLUMNS(AQ117:BL117)), FALSE), {""charttype"",""column""; ""color"",""chartreuse""; ""ymin"", 0; ""ymax"", 1.01; ""highcolo"&amp;"r"", ""darkgreen""; ""lowcolor"", ""red""}), """")"),"")</f>
        <v/>
      </c>
      <c r="B117" s="17" t="str">
        <f t="shared" si="4"/>
        <v/>
      </c>
      <c r="C117" s="1" t="s">
        <v>533</v>
      </c>
      <c r="D117" s="30" t="str">
        <f>IFERROR(__xludf.DUMMYFUNCTION("IFERROR(GOOGLEFINANCE(C117, ""NAME""))"),"Yeti Holdings Inc")</f>
        <v>Yeti Holdings Inc</v>
      </c>
      <c r="E117" s="30" t="s">
        <v>158</v>
      </c>
      <c r="F117" s="33" t="str">
        <f>IFERROR(__xludf.DUMMYFUNCTION("( (GOOGLEFINANCE(C117, ""price"") - Q117) / Q117 ) / (R117 / 100)"),"Loading...")</f>
        <v>Loading...</v>
      </c>
      <c r="G117" s="20" t="str">
        <f>IFERROR(__xludf.DUMMYFUNCTION("AVERAGE(ARRAYFORMULA(100 * (QUERY(GOOGLEFINANCE(C117, ""high"", TODAY()-40, TODAY()), ""SELECT Col2 WHERE Col2 IS NOT NULL ORDER BY Col1 DESC LIMIT 20"", 0) / QUERY(GOOGLEFINANCE(C117, ""low"", TODAY()-40, TODAY()), ""SELECT Col2 WHERE Col2 IS NOT NULL OR"&amp;"DER BY Col1 DESC LIMIT 20"", 0) - 1)))"),"#N/A")</f>
        <v>#N/A</v>
      </c>
      <c r="H117" s="35" t="str">
        <f t="shared" si="6"/>
        <v/>
      </c>
      <c r="I117" s="35" t="str">
        <f t="shared" si="7"/>
        <v/>
      </c>
      <c r="J117" s="37" t="str">
        <f>IFERROR(__xludf.DUMMYFUNCTION("IFERROR(
  IF(C117="""",, 
    IFERROR(
      GOOGLEFINANCE(C117, ""price"") * GOOGLEFINANCE(C117, ""volumeavg""), 
      GOOGLEFINANCE(C117, ""price"") * AVERAGE(QUERY(GOOGLEFINANCE(C117, ""volume"", TODAY()-40, TODAY()), ""SELECT Col2 WHERE Col2 IS NOT "&amp;"NULL ORDER BY Col1 DESC LIMIT 20"", 0))
    )
  ), 
"""")"),"")</f>
        <v/>
      </c>
      <c r="K117" s="21" t="str">
        <f>IFERROR(__xludf.DUMMYFUNCTION("IFERROR(GOOGLEFINANCE(C117, ""changepct"") / 100, """")"),"")</f>
        <v/>
      </c>
      <c r="L117" s="21" t="str">
        <f>IFERROR(__xludf.DUMMYFUNCTION("IFERROR((GOOGLEFINANCE(C117, ""price"") / INDEX(GOOGLEFINANCE(C117, ""price"", TODAY()-7, TODAY()), 2, 2)) - 1, """")"),"")</f>
        <v/>
      </c>
      <c r="M117" s="21" t="str">
        <f>IFERROR(__xludf.DUMMYFUNCTION("IFERROR((GOOGLEFINANCE(C117, ""price"") / INDEX(GOOGLEFINANCE(C117, ""price"", EDATE(TODAY(), -1), TODAY()), 2, 2)) - 1, """")"),"")</f>
        <v/>
      </c>
      <c r="N117" s="21" t="str">
        <f>IFERROR(__xludf.DUMMYFUNCTION("IFERROR((GOOGLEFINANCE(C117, ""price"") / INDEX(GOOGLEFINANCE(C117, ""price"", EDATE(TODAY(), -3), TODAY()), 2, 2)) - 1, """")"),"")</f>
        <v/>
      </c>
      <c r="O117" s="21" t="str">
        <f>IFERROR(__xludf.DUMMYFUNCTION("IFERROR((GOOGLEFINANCE(C117, ""price"") / INDEX(GOOGLEFINANCE(C117, ""price"", EDATE(TODAY(), -6), TODAY()), 2, 2)) - 1, """")"),"")</f>
        <v/>
      </c>
      <c r="P117" s="21" t="str">
        <f>IFERROR(__xludf.DUMMYFUNCTION("IFERROR((GOOGLEFINANCE(C117, ""price"") / INDEX(GOOGLEFINANCE(C117, ""price"", EDATE(TODAY(), -12), TODAY()), 2, 2)) - 1, """")"),"")</f>
        <v/>
      </c>
      <c r="Q117" s="6" t="str">
        <f>IFERROR(__xludf.DUMMYFUNCTION("AVERAGE(QUERY(GOOGLEFINANCE(C117, ""price"", TODAY()-80, TODAY()), ""SELECT Col2 WHERE Col2 IS NOT NULL ORDER BY Col1 DESC LIMIT 50"", 0))"),"#N/A")</f>
        <v>#N/A</v>
      </c>
      <c r="R117" s="24" t="str">
        <f>IFERROR(__xludf.DUMMYFUNCTION("IFERROR(
  LET(
    data, QUERY(GOOGLEFINANCE(C117,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GOOGLEFINANCE(C117, ""price"")) * 100,
    IF(calc=0, G117, calc)
  ), 
G117)"),"#N/A")</f>
        <v>#N/A</v>
      </c>
      <c r="S117" s="8" t="s">
        <v>15</v>
      </c>
      <c r="T117" s="26" t="str">
        <f>IFERROR(__xludf.DUMMYFUNCTION("IFERROR(TRANSPOSE(QUERY(IFERROR(SORT(GOOGLEFINANCE(C117, ""price"", WORKDAY(TODAY(), -40), TODAY()), 1, FALSE)), ""select Col2 where Col2 is not null limit 22 label Col2 ''"", 0)), """")"),"")</f>
        <v/>
      </c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8"/>
      <c r="AO117" s="28"/>
      <c r="AP117" s="29"/>
      <c r="AQ117" s="29" t="str">
        <f t="shared" ref="AQ117:BL117" si="120">T117/T$2</f>
        <v>#N/A</v>
      </c>
      <c r="AR117" s="29" t="str">
        <f t="shared" si="120"/>
        <v>#DIV/0!</v>
      </c>
      <c r="AS117" s="29" t="str">
        <f t="shared" si="120"/>
        <v>#DIV/0!</v>
      </c>
      <c r="AT117" s="29" t="str">
        <f t="shared" si="120"/>
        <v>#DIV/0!</v>
      </c>
      <c r="AU117" s="29" t="str">
        <f t="shared" si="120"/>
        <v>#DIV/0!</v>
      </c>
      <c r="AV117" s="29" t="str">
        <f t="shared" si="120"/>
        <v>#DIV/0!</v>
      </c>
      <c r="AW117" s="29" t="str">
        <f t="shared" si="120"/>
        <v>#DIV/0!</v>
      </c>
      <c r="AX117" s="29" t="str">
        <f t="shared" si="120"/>
        <v>#DIV/0!</v>
      </c>
      <c r="AY117" s="29" t="str">
        <f t="shared" si="120"/>
        <v>#DIV/0!</v>
      </c>
      <c r="AZ117" s="29" t="str">
        <f t="shared" si="120"/>
        <v>#DIV/0!</v>
      </c>
      <c r="BA117" s="29" t="str">
        <f t="shared" si="120"/>
        <v>#DIV/0!</v>
      </c>
      <c r="BB117" s="29" t="str">
        <f t="shared" si="120"/>
        <v>#DIV/0!</v>
      </c>
      <c r="BC117" s="29" t="str">
        <f t="shared" si="120"/>
        <v>#DIV/0!</v>
      </c>
      <c r="BD117" s="29" t="str">
        <f t="shared" si="120"/>
        <v>#DIV/0!</v>
      </c>
      <c r="BE117" s="29" t="str">
        <f t="shared" si="120"/>
        <v>#DIV/0!</v>
      </c>
      <c r="BF117" s="29" t="str">
        <f t="shared" si="120"/>
        <v>#DIV/0!</v>
      </c>
      <c r="BG117" s="29" t="str">
        <f t="shared" si="120"/>
        <v>#DIV/0!</v>
      </c>
      <c r="BH117" s="29" t="str">
        <f t="shared" si="120"/>
        <v>#DIV/0!</v>
      </c>
      <c r="BI117" s="29" t="str">
        <f t="shared" si="120"/>
        <v>#DIV/0!</v>
      </c>
      <c r="BJ117" s="29" t="str">
        <f t="shared" si="120"/>
        <v>#DIV/0!</v>
      </c>
      <c r="BK117" s="29" t="str">
        <f t="shared" si="120"/>
        <v>#DIV/0!</v>
      </c>
      <c r="BL117" s="29" t="str">
        <f t="shared" si="120"/>
        <v>#DIV/0!</v>
      </c>
      <c r="BM117" s="29" t="str">
        <f t="shared" si="3"/>
        <v>#DIV/0!</v>
      </c>
    </row>
    <row r="118">
      <c r="A118" s="16" t="str">
        <f>IFERROR(__xludf.DUMMYFUNCTION("IFERROR(SPARKLINE(SORT(MAP(TRANSPOSE(AQ118:BL118), LAMBDA(val, IF(ISNUMBER(val), PERCENTRANK(AQ118:BL118, val)+0.01, 0))), SEQUENCE(COLUMNS(AQ118:BL118)), FALSE), {""charttype"",""column""; ""color"",""chartreuse""; ""ymin"", 0; ""ymax"", 1.01; ""highcolo"&amp;"r"", ""darkgreen""; ""lowcolor"", ""red""}), """")"),"")</f>
        <v/>
      </c>
      <c r="B118" s="17" t="str">
        <f t="shared" si="4"/>
        <v/>
      </c>
      <c r="C118" s="1" t="s">
        <v>537</v>
      </c>
      <c r="D118" s="30" t="str">
        <f>IFERROR(__xludf.DUMMYFUNCTION("IFERROR(GOOGLEFINANCE(C118, ""NAME""))"),"TRON Inc")</f>
        <v>TRON Inc</v>
      </c>
      <c r="E118" s="30" t="s">
        <v>158</v>
      </c>
      <c r="F118" s="33" t="str">
        <f>IFERROR(__xludf.DUMMYFUNCTION("( (GOOGLEFINANCE(C118, ""price"") - Q118) / Q118 ) / (R118 / 100)"),"Loading...")</f>
        <v>Loading...</v>
      </c>
      <c r="G118" s="20" t="str">
        <f>IFERROR(__xludf.DUMMYFUNCTION("AVERAGE(ARRAYFORMULA(100 * (QUERY(GOOGLEFINANCE(C118, ""high"", TODAY()-40, TODAY()), ""SELECT Col2 WHERE Col2 IS NOT NULL ORDER BY Col1 DESC LIMIT 20"", 0) / QUERY(GOOGLEFINANCE(C118, ""low"", TODAY()-40, TODAY()), ""SELECT Col2 WHERE Col2 IS NOT NULL OR"&amp;"DER BY Col1 DESC LIMIT 20"", 0) - 1)))"),"#N/A")</f>
        <v>#N/A</v>
      </c>
      <c r="H118" s="35" t="str">
        <f t="shared" si="6"/>
        <v/>
      </c>
      <c r="I118" s="35" t="str">
        <f t="shared" si="7"/>
        <v/>
      </c>
      <c r="J118" s="37" t="str">
        <f>IFERROR(__xludf.DUMMYFUNCTION("IFERROR(
  IF(C118="""",, 
    IFERROR(
      GOOGLEFINANCE(C118, ""price"") * GOOGLEFINANCE(C118, ""volumeavg""), 
      GOOGLEFINANCE(C118, ""price"") * AVERAGE(QUERY(GOOGLEFINANCE(C118, ""volume"", TODAY()-40, TODAY()), ""SELECT Col2 WHERE Col2 IS NOT "&amp;"NULL ORDER BY Col1 DESC LIMIT 20"", 0))
    )
  ), 
"""")"),"")</f>
        <v/>
      </c>
      <c r="K118" s="21" t="str">
        <f>IFERROR(__xludf.DUMMYFUNCTION("IFERROR(GOOGLEFINANCE(C118, ""changepct"") / 100, """")"),"")</f>
        <v/>
      </c>
      <c r="L118" s="21" t="str">
        <f>IFERROR(__xludf.DUMMYFUNCTION("IFERROR((GOOGLEFINANCE(C118, ""price"") / INDEX(GOOGLEFINANCE(C118, ""price"", TODAY()-7, TODAY()), 2, 2)) - 1, """")"),"")</f>
        <v/>
      </c>
      <c r="M118" s="21" t="str">
        <f>IFERROR(__xludf.DUMMYFUNCTION("IFERROR((GOOGLEFINANCE(C118, ""price"") / INDEX(GOOGLEFINANCE(C118, ""price"", EDATE(TODAY(), -1), TODAY()), 2, 2)) - 1, """")"),"")</f>
        <v/>
      </c>
      <c r="N118" s="21" t="str">
        <f>IFERROR(__xludf.DUMMYFUNCTION("IFERROR((GOOGLEFINANCE(C118, ""price"") / INDEX(GOOGLEFINANCE(C118, ""price"", EDATE(TODAY(), -3), TODAY()), 2, 2)) - 1, """")"),"")</f>
        <v/>
      </c>
      <c r="O118" s="21" t="str">
        <f>IFERROR(__xludf.DUMMYFUNCTION("IFERROR((GOOGLEFINANCE(C118, ""price"") / INDEX(GOOGLEFINANCE(C118, ""price"", EDATE(TODAY(), -6), TODAY()), 2, 2)) - 1, """")"),"")</f>
        <v/>
      </c>
      <c r="P118" s="21" t="str">
        <f>IFERROR(__xludf.DUMMYFUNCTION("IFERROR((GOOGLEFINANCE(C118, ""price"") / INDEX(GOOGLEFINANCE(C118, ""price"", EDATE(TODAY(), -12), TODAY()), 2, 2)) - 1, """")"),"")</f>
        <v/>
      </c>
      <c r="Q118" s="6" t="str">
        <f>IFERROR(__xludf.DUMMYFUNCTION("AVERAGE(QUERY(GOOGLEFINANCE(C118, ""price"", TODAY()-80, TODAY()), ""SELECT Col2 WHERE Col2 IS NOT NULL ORDER BY Col1 DESC LIMIT 50"", 0))"),"#N/A")</f>
        <v>#N/A</v>
      </c>
      <c r="R118" s="24" t="str">
        <f>IFERROR(__xludf.DUMMYFUNCTION("IFERROR(
  LET(
    data, QUERY(GOOGLEFINANCE(C118,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GOOGLEFINANCE(C118, ""price"")) * 100,
    IF(calc=0, G118, calc)
  ), 
G118)"),"#N/A")</f>
        <v>#N/A</v>
      </c>
      <c r="S118" s="8" t="s">
        <v>15</v>
      </c>
      <c r="T118" s="26" t="str">
        <f>IFERROR(__xludf.DUMMYFUNCTION("IFERROR(TRANSPOSE(QUERY(IFERROR(SORT(GOOGLEFINANCE(C118, ""price"", WORKDAY(TODAY(), -40), TODAY()), 1, FALSE)), ""select Col2 where Col2 is not null limit 22 label Col2 ''"", 0)), """")"),"")</f>
        <v/>
      </c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8"/>
      <c r="AO118" s="28"/>
      <c r="AP118" s="29"/>
      <c r="AQ118" s="29" t="str">
        <f t="shared" ref="AQ118:BL118" si="121">T118/T$2</f>
        <v>#N/A</v>
      </c>
      <c r="AR118" s="29" t="str">
        <f t="shared" si="121"/>
        <v>#DIV/0!</v>
      </c>
      <c r="AS118" s="29" t="str">
        <f t="shared" si="121"/>
        <v>#DIV/0!</v>
      </c>
      <c r="AT118" s="29" t="str">
        <f t="shared" si="121"/>
        <v>#DIV/0!</v>
      </c>
      <c r="AU118" s="29" t="str">
        <f t="shared" si="121"/>
        <v>#DIV/0!</v>
      </c>
      <c r="AV118" s="29" t="str">
        <f t="shared" si="121"/>
        <v>#DIV/0!</v>
      </c>
      <c r="AW118" s="29" t="str">
        <f t="shared" si="121"/>
        <v>#DIV/0!</v>
      </c>
      <c r="AX118" s="29" t="str">
        <f t="shared" si="121"/>
        <v>#DIV/0!</v>
      </c>
      <c r="AY118" s="29" t="str">
        <f t="shared" si="121"/>
        <v>#DIV/0!</v>
      </c>
      <c r="AZ118" s="29" t="str">
        <f t="shared" si="121"/>
        <v>#DIV/0!</v>
      </c>
      <c r="BA118" s="29" t="str">
        <f t="shared" si="121"/>
        <v>#DIV/0!</v>
      </c>
      <c r="BB118" s="29" t="str">
        <f t="shared" si="121"/>
        <v>#DIV/0!</v>
      </c>
      <c r="BC118" s="29" t="str">
        <f t="shared" si="121"/>
        <v>#DIV/0!</v>
      </c>
      <c r="BD118" s="29" t="str">
        <f t="shared" si="121"/>
        <v>#DIV/0!</v>
      </c>
      <c r="BE118" s="29" t="str">
        <f t="shared" si="121"/>
        <v>#DIV/0!</v>
      </c>
      <c r="BF118" s="29" t="str">
        <f t="shared" si="121"/>
        <v>#DIV/0!</v>
      </c>
      <c r="BG118" s="29" t="str">
        <f t="shared" si="121"/>
        <v>#DIV/0!</v>
      </c>
      <c r="BH118" s="29" t="str">
        <f t="shared" si="121"/>
        <v>#DIV/0!</v>
      </c>
      <c r="BI118" s="29" t="str">
        <f t="shared" si="121"/>
        <v>#DIV/0!</v>
      </c>
      <c r="BJ118" s="29" t="str">
        <f t="shared" si="121"/>
        <v>#DIV/0!</v>
      </c>
      <c r="BK118" s="29" t="str">
        <f t="shared" si="121"/>
        <v>#DIV/0!</v>
      </c>
      <c r="BL118" s="29" t="str">
        <f t="shared" si="121"/>
        <v>#DIV/0!</v>
      </c>
      <c r="BM118" s="29" t="str">
        <f t="shared" si="3"/>
        <v>#DIV/0!</v>
      </c>
    </row>
    <row r="119">
      <c r="A119" s="16" t="str">
        <f>IFERROR(__xludf.DUMMYFUNCTION("IFERROR(SPARKLINE(SORT(MAP(TRANSPOSE(AQ119:BL119), LAMBDA(val, IF(ISNUMBER(val), PERCENTRANK(AQ119:BL119, val)+0.01, 0))), SEQUENCE(COLUMNS(AQ119:BL119)), FALSE), {""charttype"",""column""; ""color"",""chartreuse""; ""ymin"", 0; ""ymax"", 1.01; ""highcolo"&amp;"r"", ""darkgreen""; ""lowcolor"", ""red""}), """")"),"")</f>
        <v/>
      </c>
      <c r="B119" s="17" t="str">
        <f t="shared" si="4"/>
        <v/>
      </c>
      <c r="C119" s="1" t="s">
        <v>542</v>
      </c>
      <c r="D119" s="30" t="str">
        <f>IFERROR(__xludf.DUMMYFUNCTION("IFERROR(GOOGLEFINANCE(C119, ""NAME""))"),"M/I Homes Inc")</f>
        <v>M/I Homes Inc</v>
      </c>
      <c r="E119" s="30" t="s">
        <v>261</v>
      </c>
      <c r="F119" s="33" t="str">
        <f>IFERROR(__xludf.DUMMYFUNCTION("( (GOOGLEFINANCE(C119, ""price"") - Q119) / Q119 ) / (R119 / 100)"),"Loading...")</f>
        <v>Loading...</v>
      </c>
      <c r="G119" s="20" t="str">
        <f>IFERROR(__xludf.DUMMYFUNCTION("AVERAGE(ARRAYFORMULA(100 * (QUERY(GOOGLEFINANCE(C119, ""high"", TODAY()-40, TODAY()), ""SELECT Col2 WHERE Col2 IS NOT NULL ORDER BY Col1 DESC LIMIT 20"", 0) / QUERY(GOOGLEFINANCE(C119, ""low"", TODAY()-40, TODAY()), ""SELECT Col2 WHERE Col2 IS NOT NULL OR"&amp;"DER BY Col1 DESC LIMIT 20"", 0) - 1)))"),"#N/A")</f>
        <v>#N/A</v>
      </c>
      <c r="H119" s="35" t="str">
        <f t="shared" si="6"/>
        <v/>
      </c>
      <c r="I119" s="35" t="str">
        <f t="shared" si="7"/>
        <v/>
      </c>
      <c r="J119" s="37" t="str">
        <f>IFERROR(__xludf.DUMMYFUNCTION("IFERROR(
  IF(C119="""",, 
    IFERROR(
      GOOGLEFINANCE(C119, ""price"") * GOOGLEFINANCE(C119, ""volumeavg""), 
      GOOGLEFINANCE(C119, ""price"") * AVERAGE(QUERY(GOOGLEFINANCE(C119, ""volume"", TODAY()-40, TODAY()), ""SELECT Col2 WHERE Col2 IS NOT "&amp;"NULL ORDER BY Col1 DESC LIMIT 20"", 0))
    )
  ), 
"""")"),"")</f>
        <v/>
      </c>
      <c r="K119" s="21" t="str">
        <f>IFERROR(__xludf.DUMMYFUNCTION("IFERROR(GOOGLEFINANCE(C119, ""changepct"") / 100, """")"),"")</f>
        <v/>
      </c>
      <c r="L119" s="21" t="str">
        <f>IFERROR(__xludf.DUMMYFUNCTION("IFERROR((GOOGLEFINANCE(C119, ""price"") / INDEX(GOOGLEFINANCE(C119, ""price"", TODAY()-7, TODAY()), 2, 2)) - 1, """")"),"")</f>
        <v/>
      </c>
      <c r="M119" s="21" t="str">
        <f>IFERROR(__xludf.DUMMYFUNCTION("IFERROR((GOOGLEFINANCE(C119, ""price"") / INDEX(GOOGLEFINANCE(C119, ""price"", EDATE(TODAY(), -1), TODAY()), 2, 2)) - 1, """")"),"")</f>
        <v/>
      </c>
      <c r="N119" s="21" t="str">
        <f>IFERROR(__xludf.DUMMYFUNCTION("IFERROR((GOOGLEFINANCE(C119, ""price"") / INDEX(GOOGLEFINANCE(C119, ""price"", EDATE(TODAY(), -3), TODAY()), 2, 2)) - 1, """")"),"")</f>
        <v/>
      </c>
      <c r="O119" s="21" t="str">
        <f>IFERROR(__xludf.DUMMYFUNCTION("IFERROR((GOOGLEFINANCE(C119, ""price"") / INDEX(GOOGLEFINANCE(C119, ""price"", EDATE(TODAY(), -6), TODAY()), 2, 2)) - 1, """")"),"")</f>
        <v/>
      </c>
      <c r="P119" s="21" t="str">
        <f>IFERROR(__xludf.DUMMYFUNCTION("IFERROR((GOOGLEFINANCE(C119, ""price"") / INDEX(GOOGLEFINANCE(C119, ""price"", EDATE(TODAY(), -12), TODAY()), 2, 2)) - 1, """")"),"")</f>
        <v/>
      </c>
      <c r="Q119" s="6" t="str">
        <f>IFERROR(__xludf.DUMMYFUNCTION("AVERAGE(QUERY(GOOGLEFINANCE(C119, ""price"", TODAY()-80, TODAY()), ""SELECT Col2 WHERE Col2 IS NOT NULL ORDER BY Col1 DESC LIMIT 50"", 0))"),"#N/A")</f>
        <v>#N/A</v>
      </c>
      <c r="R119" s="24" t="str">
        <f>IFERROR(__xludf.DUMMYFUNCTION("IFERROR(
  LET(
    data, QUERY(GOOGLEFINANCE(C119,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GOOGLEFINANCE(C119, ""price"")) * 100,
    IF(calc=0, G119, calc)
  ), 
G119)"),"#N/A")</f>
        <v>#N/A</v>
      </c>
      <c r="S119" s="8" t="s">
        <v>15</v>
      </c>
      <c r="T119" s="26" t="str">
        <f>IFERROR(__xludf.DUMMYFUNCTION("IFERROR(TRANSPOSE(QUERY(IFERROR(SORT(GOOGLEFINANCE(C119, ""price"", WORKDAY(TODAY(), -40), TODAY()), 1, FALSE)), ""select Col2 where Col2 is not null limit 22 label Col2 ''"", 0)), """")"),"")</f>
        <v/>
      </c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8"/>
      <c r="AO119" s="28"/>
      <c r="AP119" s="29"/>
      <c r="AQ119" s="29" t="str">
        <f t="shared" ref="AQ119:BL119" si="122">T119/T$2</f>
        <v>#N/A</v>
      </c>
      <c r="AR119" s="29" t="str">
        <f t="shared" si="122"/>
        <v>#DIV/0!</v>
      </c>
      <c r="AS119" s="29" t="str">
        <f t="shared" si="122"/>
        <v>#DIV/0!</v>
      </c>
      <c r="AT119" s="29" t="str">
        <f t="shared" si="122"/>
        <v>#DIV/0!</v>
      </c>
      <c r="AU119" s="29" t="str">
        <f t="shared" si="122"/>
        <v>#DIV/0!</v>
      </c>
      <c r="AV119" s="29" t="str">
        <f t="shared" si="122"/>
        <v>#DIV/0!</v>
      </c>
      <c r="AW119" s="29" t="str">
        <f t="shared" si="122"/>
        <v>#DIV/0!</v>
      </c>
      <c r="AX119" s="29" t="str">
        <f t="shared" si="122"/>
        <v>#DIV/0!</v>
      </c>
      <c r="AY119" s="29" t="str">
        <f t="shared" si="122"/>
        <v>#DIV/0!</v>
      </c>
      <c r="AZ119" s="29" t="str">
        <f t="shared" si="122"/>
        <v>#DIV/0!</v>
      </c>
      <c r="BA119" s="29" t="str">
        <f t="shared" si="122"/>
        <v>#DIV/0!</v>
      </c>
      <c r="BB119" s="29" t="str">
        <f t="shared" si="122"/>
        <v>#DIV/0!</v>
      </c>
      <c r="BC119" s="29" t="str">
        <f t="shared" si="122"/>
        <v>#DIV/0!</v>
      </c>
      <c r="BD119" s="29" t="str">
        <f t="shared" si="122"/>
        <v>#DIV/0!</v>
      </c>
      <c r="BE119" s="29" t="str">
        <f t="shared" si="122"/>
        <v>#DIV/0!</v>
      </c>
      <c r="BF119" s="29" t="str">
        <f t="shared" si="122"/>
        <v>#DIV/0!</v>
      </c>
      <c r="BG119" s="29" t="str">
        <f t="shared" si="122"/>
        <v>#DIV/0!</v>
      </c>
      <c r="BH119" s="29" t="str">
        <f t="shared" si="122"/>
        <v>#DIV/0!</v>
      </c>
      <c r="BI119" s="29" t="str">
        <f t="shared" si="122"/>
        <v>#DIV/0!</v>
      </c>
      <c r="BJ119" s="29" t="str">
        <f t="shared" si="122"/>
        <v>#DIV/0!</v>
      </c>
      <c r="BK119" s="29" t="str">
        <f t="shared" si="122"/>
        <v>#DIV/0!</v>
      </c>
      <c r="BL119" s="29" t="str">
        <f t="shared" si="122"/>
        <v>#DIV/0!</v>
      </c>
      <c r="BM119" s="29" t="str">
        <f t="shared" si="3"/>
        <v>#DIV/0!</v>
      </c>
    </row>
    <row r="120">
      <c r="A120" s="16" t="str">
        <f>IFERROR(__xludf.DUMMYFUNCTION("IFERROR(SPARKLINE(SORT(MAP(TRANSPOSE(AQ120:BL120), LAMBDA(val, IF(ISNUMBER(val), PERCENTRANK(AQ120:BL120, val)+0.01, 0))), SEQUENCE(COLUMNS(AQ120:BL120)), FALSE), {""charttype"",""column""; ""color"",""chartreuse""; ""ymin"", 0; ""ymax"", 1.01; ""highcolo"&amp;"r"", ""darkgreen""; ""lowcolor"", ""red""}), """")"),"")</f>
        <v/>
      </c>
      <c r="B120" s="17" t="str">
        <f t="shared" si="4"/>
        <v/>
      </c>
      <c r="C120" s="1" t="s">
        <v>546</v>
      </c>
      <c r="D120" s="30" t="str">
        <f>IFERROR(__xludf.DUMMYFUNCTION("IFERROR(GOOGLEFINANCE(C120, ""NAME""))"),"Ford Motor Co")</f>
        <v>Ford Motor Co</v>
      </c>
      <c r="E120" s="30" t="s">
        <v>129</v>
      </c>
      <c r="F120" s="33" t="str">
        <f>IFERROR(__xludf.DUMMYFUNCTION("( (GOOGLEFINANCE(C120, ""price"") - Q120) / Q120 ) / (R120 / 100)"),"Loading...")</f>
        <v>Loading...</v>
      </c>
      <c r="G120" s="20" t="str">
        <f>IFERROR(__xludf.DUMMYFUNCTION("AVERAGE(ARRAYFORMULA(100 * (QUERY(GOOGLEFINANCE(C120, ""high"", TODAY()-40, TODAY()), ""SELECT Col2 WHERE Col2 IS NOT NULL ORDER BY Col1 DESC LIMIT 20"", 0) / QUERY(GOOGLEFINANCE(C120, ""low"", TODAY()-40, TODAY()), ""SELECT Col2 WHERE Col2 IS NOT NULL OR"&amp;"DER BY Col1 DESC LIMIT 20"", 0) - 1)))"),"#N/A")</f>
        <v>#N/A</v>
      </c>
      <c r="H120" s="35" t="str">
        <f t="shared" si="6"/>
        <v/>
      </c>
      <c r="I120" s="35" t="str">
        <f t="shared" si="7"/>
        <v/>
      </c>
      <c r="J120" s="37" t="str">
        <f>IFERROR(__xludf.DUMMYFUNCTION("IFERROR(
  IF(C120="""",, 
    IFERROR(
      GOOGLEFINANCE(C120, ""price"") * GOOGLEFINANCE(C120, ""volumeavg""), 
      GOOGLEFINANCE(C120, ""price"") * AVERAGE(QUERY(GOOGLEFINANCE(C120, ""volume"", TODAY()-40, TODAY()), ""SELECT Col2 WHERE Col2 IS NOT "&amp;"NULL ORDER BY Col1 DESC LIMIT 20"", 0))
    )
  ), 
"""")"),"")</f>
        <v/>
      </c>
      <c r="K120" s="21" t="str">
        <f>IFERROR(__xludf.DUMMYFUNCTION("IFERROR(GOOGLEFINANCE(C120, ""changepct"") / 100, """")"),"")</f>
        <v/>
      </c>
      <c r="L120" s="21" t="str">
        <f>IFERROR(__xludf.DUMMYFUNCTION("IFERROR((GOOGLEFINANCE(C120, ""price"") / INDEX(GOOGLEFINANCE(C120, ""price"", TODAY()-7, TODAY()), 2, 2)) - 1, """")"),"")</f>
        <v/>
      </c>
      <c r="M120" s="21" t="str">
        <f>IFERROR(__xludf.DUMMYFUNCTION("IFERROR((GOOGLEFINANCE(C120, ""price"") / INDEX(GOOGLEFINANCE(C120, ""price"", EDATE(TODAY(), -1), TODAY()), 2, 2)) - 1, """")"),"")</f>
        <v/>
      </c>
      <c r="N120" s="21" t="str">
        <f>IFERROR(__xludf.DUMMYFUNCTION("IFERROR((GOOGLEFINANCE(C120, ""price"") / INDEX(GOOGLEFINANCE(C120, ""price"", EDATE(TODAY(), -3), TODAY()), 2, 2)) - 1, """")"),"")</f>
        <v/>
      </c>
      <c r="O120" s="21" t="str">
        <f>IFERROR(__xludf.DUMMYFUNCTION("IFERROR((GOOGLEFINANCE(C120, ""price"") / INDEX(GOOGLEFINANCE(C120, ""price"", EDATE(TODAY(), -6), TODAY()), 2, 2)) - 1, """")"),"")</f>
        <v/>
      </c>
      <c r="P120" s="21" t="str">
        <f>IFERROR(__xludf.DUMMYFUNCTION("IFERROR((GOOGLEFINANCE(C120, ""price"") / INDEX(GOOGLEFINANCE(C120, ""price"", EDATE(TODAY(), -12), TODAY()), 2, 2)) - 1, """")"),"")</f>
        <v/>
      </c>
      <c r="Q120" s="6" t="str">
        <f>IFERROR(__xludf.DUMMYFUNCTION("AVERAGE(QUERY(GOOGLEFINANCE(C120, ""price"", TODAY()-80, TODAY()), ""SELECT Col2 WHERE Col2 IS NOT NULL ORDER BY Col1 DESC LIMIT 50"", 0))"),"#N/A")</f>
        <v>#N/A</v>
      </c>
      <c r="R120" s="24" t="str">
        <f>IFERROR(__xludf.DUMMYFUNCTION("IFERROR(
  LET(
    data, QUERY(GOOGLEFINANCE(C120,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GOOGLEFINANCE(C120, ""price"")) * 100,
    IF(calc=0, G120, calc)
  ), 
G120)"),"#N/A")</f>
        <v>#N/A</v>
      </c>
      <c r="S120" s="8" t="s">
        <v>15</v>
      </c>
      <c r="T120" s="26" t="str">
        <f>IFERROR(__xludf.DUMMYFUNCTION("IFERROR(TRANSPOSE(QUERY(IFERROR(SORT(GOOGLEFINANCE(C120, ""price"", WORKDAY(TODAY(), -40), TODAY()), 1, FALSE)), ""select Col2 where Col2 is not null limit 22 label Col2 ''"", 0)), """")"),"")</f>
        <v/>
      </c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8"/>
      <c r="AO120" s="28"/>
      <c r="AP120" s="29"/>
      <c r="AQ120" s="29" t="str">
        <f t="shared" ref="AQ120:BL120" si="123">T120/T$2</f>
        <v>#N/A</v>
      </c>
      <c r="AR120" s="29" t="str">
        <f t="shared" si="123"/>
        <v>#DIV/0!</v>
      </c>
      <c r="AS120" s="29" t="str">
        <f t="shared" si="123"/>
        <v>#DIV/0!</v>
      </c>
      <c r="AT120" s="29" t="str">
        <f t="shared" si="123"/>
        <v>#DIV/0!</v>
      </c>
      <c r="AU120" s="29" t="str">
        <f t="shared" si="123"/>
        <v>#DIV/0!</v>
      </c>
      <c r="AV120" s="29" t="str">
        <f t="shared" si="123"/>
        <v>#DIV/0!</v>
      </c>
      <c r="AW120" s="29" t="str">
        <f t="shared" si="123"/>
        <v>#DIV/0!</v>
      </c>
      <c r="AX120" s="29" t="str">
        <f t="shared" si="123"/>
        <v>#DIV/0!</v>
      </c>
      <c r="AY120" s="29" t="str">
        <f t="shared" si="123"/>
        <v>#DIV/0!</v>
      </c>
      <c r="AZ120" s="29" t="str">
        <f t="shared" si="123"/>
        <v>#DIV/0!</v>
      </c>
      <c r="BA120" s="29" t="str">
        <f t="shared" si="123"/>
        <v>#DIV/0!</v>
      </c>
      <c r="BB120" s="29" t="str">
        <f t="shared" si="123"/>
        <v>#DIV/0!</v>
      </c>
      <c r="BC120" s="29" t="str">
        <f t="shared" si="123"/>
        <v>#DIV/0!</v>
      </c>
      <c r="BD120" s="29" t="str">
        <f t="shared" si="123"/>
        <v>#DIV/0!</v>
      </c>
      <c r="BE120" s="29" t="str">
        <f t="shared" si="123"/>
        <v>#DIV/0!</v>
      </c>
      <c r="BF120" s="29" t="str">
        <f t="shared" si="123"/>
        <v>#DIV/0!</v>
      </c>
      <c r="BG120" s="29" t="str">
        <f t="shared" si="123"/>
        <v>#DIV/0!</v>
      </c>
      <c r="BH120" s="29" t="str">
        <f t="shared" si="123"/>
        <v>#DIV/0!</v>
      </c>
      <c r="BI120" s="29" t="str">
        <f t="shared" si="123"/>
        <v>#DIV/0!</v>
      </c>
      <c r="BJ120" s="29" t="str">
        <f t="shared" si="123"/>
        <v>#DIV/0!</v>
      </c>
      <c r="BK120" s="29" t="str">
        <f t="shared" si="123"/>
        <v>#DIV/0!</v>
      </c>
      <c r="BL120" s="29" t="str">
        <f t="shared" si="123"/>
        <v>#DIV/0!</v>
      </c>
      <c r="BM120" s="29" t="str">
        <f t="shared" si="3"/>
        <v>#DIV/0!</v>
      </c>
    </row>
    <row r="121">
      <c r="A121" s="16" t="str">
        <f>IFERROR(__xludf.DUMMYFUNCTION("IFERROR(SPARKLINE(SORT(MAP(TRANSPOSE(AQ121:BL121), LAMBDA(val, IF(ISNUMBER(val), PERCENTRANK(AQ121:BL121, val)+0.01, 0))), SEQUENCE(COLUMNS(AQ121:BL121)), FALSE), {""charttype"",""column""; ""color"",""chartreuse""; ""ymin"", 0; ""ymax"", 1.01; ""highcolo"&amp;"r"", ""darkgreen""; ""lowcolor"", ""red""}), """")"),"")</f>
        <v/>
      </c>
      <c r="B121" s="17" t="str">
        <f t="shared" si="4"/>
        <v/>
      </c>
      <c r="C121" s="1" t="s">
        <v>549</v>
      </c>
      <c r="D121" s="30" t="str">
        <f>IFERROR(__xludf.DUMMYFUNCTION("IFERROR(GOOGLEFINANCE(C121, ""NAME""))"),"Mohawk Industries Inc")</f>
        <v>Mohawk Industries Inc</v>
      </c>
      <c r="E121" s="30" t="s">
        <v>456</v>
      </c>
      <c r="F121" s="33" t="str">
        <f>IFERROR(__xludf.DUMMYFUNCTION("( (GOOGLEFINANCE(C121, ""price"") - Q121) / Q121 ) / (R121 / 100)"),"Loading...")</f>
        <v>Loading...</v>
      </c>
      <c r="G121" s="20" t="str">
        <f>IFERROR(__xludf.DUMMYFUNCTION("AVERAGE(ARRAYFORMULA(100 * (QUERY(GOOGLEFINANCE(C121, ""high"", TODAY()-40, TODAY()), ""SELECT Col2 WHERE Col2 IS NOT NULL ORDER BY Col1 DESC LIMIT 20"", 0) / QUERY(GOOGLEFINANCE(C121, ""low"", TODAY()-40, TODAY()), ""SELECT Col2 WHERE Col2 IS NOT NULL OR"&amp;"DER BY Col1 DESC LIMIT 20"", 0) - 1)))"),"#N/A")</f>
        <v>#N/A</v>
      </c>
      <c r="H121" s="35" t="str">
        <f t="shared" si="6"/>
        <v/>
      </c>
      <c r="I121" s="35" t="str">
        <f t="shared" si="7"/>
        <v/>
      </c>
      <c r="J121" s="37" t="str">
        <f>IFERROR(__xludf.DUMMYFUNCTION("IFERROR(
  IF(C121="""",, 
    IFERROR(
      GOOGLEFINANCE(C121, ""price"") * GOOGLEFINANCE(C121, ""volumeavg""), 
      GOOGLEFINANCE(C121, ""price"") * AVERAGE(QUERY(GOOGLEFINANCE(C121, ""volume"", TODAY()-40, TODAY()), ""SELECT Col2 WHERE Col2 IS NOT "&amp;"NULL ORDER BY Col1 DESC LIMIT 20"", 0))
    )
  ), 
"""")"),"")</f>
        <v/>
      </c>
      <c r="K121" s="21" t="str">
        <f>IFERROR(__xludf.DUMMYFUNCTION("IFERROR(GOOGLEFINANCE(C121, ""changepct"") / 100, """")"),"")</f>
        <v/>
      </c>
      <c r="L121" s="21" t="str">
        <f>IFERROR(__xludf.DUMMYFUNCTION("IFERROR((GOOGLEFINANCE(C121, ""price"") / INDEX(GOOGLEFINANCE(C121, ""price"", TODAY()-7, TODAY()), 2, 2)) - 1, """")"),"")</f>
        <v/>
      </c>
      <c r="M121" s="21" t="str">
        <f>IFERROR(__xludf.DUMMYFUNCTION("IFERROR((GOOGLEFINANCE(C121, ""price"") / INDEX(GOOGLEFINANCE(C121, ""price"", EDATE(TODAY(), -1), TODAY()), 2, 2)) - 1, """")"),"")</f>
        <v/>
      </c>
      <c r="N121" s="21" t="str">
        <f>IFERROR(__xludf.DUMMYFUNCTION("IFERROR((GOOGLEFINANCE(C121, ""price"") / INDEX(GOOGLEFINANCE(C121, ""price"", EDATE(TODAY(), -3), TODAY()), 2, 2)) - 1, """")"),"")</f>
        <v/>
      </c>
      <c r="O121" s="21" t="str">
        <f>IFERROR(__xludf.DUMMYFUNCTION("IFERROR((GOOGLEFINANCE(C121, ""price"") / INDEX(GOOGLEFINANCE(C121, ""price"", EDATE(TODAY(), -6), TODAY()), 2, 2)) - 1, """")"),"")</f>
        <v/>
      </c>
      <c r="P121" s="21" t="str">
        <f>IFERROR(__xludf.DUMMYFUNCTION("IFERROR((GOOGLEFINANCE(C121, ""price"") / INDEX(GOOGLEFINANCE(C121, ""price"", EDATE(TODAY(), -12), TODAY()), 2, 2)) - 1, """")"),"")</f>
        <v/>
      </c>
      <c r="Q121" s="6" t="str">
        <f>IFERROR(__xludf.DUMMYFUNCTION("AVERAGE(QUERY(GOOGLEFINANCE(C121, ""price"", TODAY()-80, TODAY()), ""SELECT Col2 WHERE Col2 IS NOT NULL ORDER BY Col1 DESC LIMIT 50"", 0))"),"#N/A")</f>
        <v>#N/A</v>
      </c>
      <c r="R121" s="24" t="str">
        <f>IFERROR(__xludf.DUMMYFUNCTION("IFERROR(
  LET(
    data, QUERY(GOOGLEFINANCE(C121,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GOOGLEFINANCE(C121, ""price"")) * 100,
    IF(calc=0, G121, calc)
  ), 
G121)"),"#N/A")</f>
        <v>#N/A</v>
      </c>
      <c r="S121" s="8" t="s">
        <v>15</v>
      </c>
      <c r="T121" s="26" t="str">
        <f>IFERROR(__xludf.DUMMYFUNCTION("IFERROR(TRANSPOSE(QUERY(IFERROR(SORT(GOOGLEFINANCE(C121, ""price"", WORKDAY(TODAY(), -40), TODAY()), 1, FALSE)), ""select Col2 where Col2 is not null limit 22 label Col2 ''"", 0)), """")"),"")</f>
        <v/>
      </c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8"/>
      <c r="AO121" s="28"/>
      <c r="AP121" s="29"/>
      <c r="AQ121" s="29" t="str">
        <f t="shared" ref="AQ121:BL121" si="124">T121/T$2</f>
        <v>#N/A</v>
      </c>
      <c r="AR121" s="29" t="str">
        <f t="shared" si="124"/>
        <v>#DIV/0!</v>
      </c>
      <c r="AS121" s="29" t="str">
        <f t="shared" si="124"/>
        <v>#DIV/0!</v>
      </c>
      <c r="AT121" s="29" t="str">
        <f t="shared" si="124"/>
        <v>#DIV/0!</v>
      </c>
      <c r="AU121" s="29" t="str">
        <f t="shared" si="124"/>
        <v>#DIV/0!</v>
      </c>
      <c r="AV121" s="29" t="str">
        <f t="shared" si="124"/>
        <v>#DIV/0!</v>
      </c>
      <c r="AW121" s="29" t="str">
        <f t="shared" si="124"/>
        <v>#DIV/0!</v>
      </c>
      <c r="AX121" s="29" t="str">
        <f t="shared" si="124"/>
        <v>#DIV/0!</v>
      </c>
      <c r="AY121" s="29" t="str">
        <f t="shared" si="124"/>
        <v>#DIV/0!</v>
      </c>
      <c r="AZ121" s="29" t="str">
        <f t="shared" si="124"/>
        <v>#DIV/0!</v>
      </c>
      <c r="BA121" s="29" t="str">
        <f t="shared" si="124"/>
        <v>#DIV/0!</v>
      </c>
      <c r="BB121" s="29" t="str">
        <f t="shared" si="124"/>
        <v>#DIV/0!</v>
      </c>
      <c r="BC121" s="29" t="str">
        <f t="shared" si="124"/>
        <v>#DIV/0!</v>
      </c>
      <c r="BD121" s="29" t="str">
        <f t="shared" si="124"/>
        <v>#DIV/0!</v>
      </c>
      <c r="BE121" s="29" t="str">
        <f t="shared" si="124"/>
        <v>#DIV/0!</v>
      </c>
      <c r="BF121" s="29" t="str">
        <f t="shared" si="124"/>
        <v>#DIV/0!</v>
      </c>
      <c r="BG121" s="29" t="str">
        <f t="shared" si="124"/>
        <v>#DIV/0!</v>
      </c>
      <c r="BH121" s="29" t="str">
        <f t="shared" si="124"/>
        <v>#DIV/0!</v>
      </c>
      <c r="BI121" s="29" t="str">
        <f t="shared" si="124"/>
        <v>#DIV/0!</v>
      </c>
      <c r="BJ121" s="29" t="str">
        <f t="shared" si="124"/>
        <v>#DIV/0!</v>
      </c>
      <c r="BK121" s="29" t="str">
        <f t="shared" si="124"/>
        <v>#DIV/0!</v>
      </c>
      <c r="BL121" s="29" t="str">
        <f t="shared" si="124"/>
        <v>#DIV/0!</v>
      </c>
      <c r="BM121" s="29" t="str">
        <f t="shared" si="3"/>
        <v>#DIV/0!</v>
      </c>
    </row>
    <row r="122">
      <c r="A122" s="16" t="str">
        <f>IFERROR(__xludf.DUMMYFUNCTION("IFERROR(SPARKLINE(SORT(MAP(TRANSPOSE(AQ122:BL122), LAMBDA(val, IF(ISNUMBER(val), PERCENTRANK(AQ122:BL122, val)+0.01, 0))), SEQUENCE(COLUMNS(AQ122:BL122)), FALSE), {""charttype"",""column""; ""color"",""chartreuse""; ""ymin"", 0; ""ymax"", 1.01; ""highcolo"&amp;"r"", ""darkgreen""; ""lowcolor"", ""red""}), """")"),"")</f>
        <v/>
      </c>
      <c r="B122" s="17" t="str">
        <f t="shared" si="4"/>
        <v/>
      </c>
      <c r="C122" s="1" t="s">
        <v>553</v>
      </c>
      <c r="D122" s="30" t="str">
        <f>IFERROR(__xludf.DUMMYFUNCTION("IFERROR(GOOGLEFINANCE(C122, ""NAME""))"),"Atour Lifestyle Holdings Ltd - ADR")</f>
        <v>Atour Lifestyle Holdings Ltd - ADR</v>
      </c>
      <c r="E122" s="30" t="s">
        <v>258</v>
      </c>
      <c r="F122" s="33" t="str">
        <f>IFERROR(__xludf.DUMMYFUNCTION("( (GOOGLEFINANCE(C122, ""price"") - Q122) / Q122 ) / (R122 / 100)"),"Loading...")</f>
        <v>Loading...</v>
      </c>
      <c r="G122" s="20" t="str">
        <f>IFERROR(__xludf.DUMMYFUNCTION("AVERAGE(ARRAYFORMULA(100 * (QUERY(GOOGLEFINANCE(C122, ""high"", TODAY()-40, TODAY()), ""SELECT Col2 WHERE Col2 IS NOT NULL ORDER BY Col1 DESC LIMIT 20"", 0) / QUERY(GOOGLEFINANCE(C122, ""low"", TODAY()-40, TODAY()), ""SELECT Col2 WHERE Col2 IS NOT NULL OR"&amp;"DER BY Col1 DESC LIMIT 20"", 0) - 1)))"),"#N/A")</f>
        <v>#N/A</v>
      </c>
      <c r="H122" s="35" t="str">
        <f t="shared" si="6"/>
        <v/>
      </c>
      <c r="I122" s="35" t="str">
        <f t="shared" si="7"/>
        <v/>
      </c>
      <c r="J122" s="37" t="str">
        <f>IFERROR(__xludf.DUMMYFUNCTION("IFERROR(
  IF(C122="""",, 
    IFERROR(
      GOOGLEFINANCE(C122, ""price"") * GOOGLEFINANCE(C122, ""volumeavg""), 
      GOOGLEFINANCE(C122, ""price"") * AVERAGE(QUERY(GOOGLEFINANCE(C122, ""volume"", TODAY()-40, TODAY()), ""SELECT Col2 WHERE Col2 IS NOT "&amp;"NULL ORDER BY Col1 DESC LIMIT 20"", 0))
    )
  ), 
"""")"),"")</f>
        <v/>
      </c>
      <c r="K122" s="21" t="str">
        <f>IFERROR(__xludf.DUMMYFUNCTION("IFERROR(GOOGLEFINANCE(C122, ""changepct"") / 100, """")"),"")</f>
        <v/>
      </c>
      <c r="L122" s="21" t="str">
        <f>IFERROR(__xludf.DUMMYFUNCTION("IFERROR((GOOGLEFINANCE(C122, ""price"") / INDEX(GOOGLEFINANCE(C122, ""price"", TODAY()-7, TODAY()), 2, 2)) - 1, """")"),"")</f>
        <v/>
      </c>
      <c r="M122" s="21" t="str">
        <f>IFERROR(__xludf.DUMMYFUNCTION("IFERROR((GOOGLEFINANCE(C122, ""price"") / INDEX(GOOGLEFINANCE(C122, ""price"", EDATE(TODAY(), -1), TODAY()), 2, 2)) - 1, """")"),"")</f>
        <v/>
      </c>
      <c r="N122" s="21" t="str">
        <f>IFERROR(__xludf.DUMMYFUNCTION("IFERROR((GOOGLEFINANCE(C122, ""price"") / INDEX(GOOGLEFINANCE(C122, ""price"", EDATE(TODAY(), -3), TODAY()), 2, 2)) - 1, """")"),"")</f>
        <v/>
      </c>
      <c r="O122" s="21" t="str">
        <f>IFERROR(__xludf.DUMMYFUNCTION("IFERROR((GOOGLEFINANCE(C122, ""price"") / INDEX(GOOGLEFINANCE(C122, ""price"", EDATE(TODAY(), -6), TODAY()), 2, 2)) - 1, """")"),"")</f>
        <v/>
      </c>
      <c r="P122" s="21" t="str">
        <f>IFERROR(__xludf.DUMMYFUNCTION("IFERROR((GOOGLEFINANCE(C122, ""price"") / INDEX(GOOGLEFINANCE(C122, ""price"", EDATE(TODAY(), -12), TODAY()), 2, 2)) - 1, """")"),"")</f>
        <v/>
      </c>
      <c r="Q122" s="6" t="str">
        <f>IFERROR(__xludf.DUMMYFUNCTION("AVERAGE(QUERY(GOOGLEFINANCE(C122, ""price"", TODAY()-80, TODAY()), ""SELECT Col2 WHERE Col2 IS NOT NULL ORDER BY Col1 DESC LIMIT 50"", 0))"),"#N/A")</f>
        <v>#N/A</v>
      </c>
      <c r="R122" s="24" t="str">
        <f>IFERROR(__xludf.DUMMYFUNCTION("IFERROR(
  LET(
    data, QUERY(GOOGLEFINANCE(C122,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GOOGLEFINANCE(C122, ""price"")) * 100,
    IF(calc=0, G122, calc)
  ), 
G122)"),"#N/A")</f>
        <v>#N/A</v>
      </c>
      <c r="S122" s="8" t="s">
        <v>15</v>
      </c>
      <c r="T122" s="26" t="str">
        <f>IFERROR(__xludf.DUMMYFUNCTION("IFERROR(TRANSPOSE(QUERY(IFERROR(SORT(GOOGLEFINANCE(C122, ""price"", WORKDAY(TODAY(), -40), TODAY()), 1, FALSE)), ""select Col2 where Col2 is not null limit 22 label Col2 ''"", 0)), """")"),"")</f>
        <v/>
      </c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8"/>
      <c r="AO122" s="28"/>
      <c r="AP122" s="29"/>
      <c r="AQ122" s="29" t="str">
        <f t="shared" ref="AQ122:BL122" si="125">T122/T$2</f>
        <v>#N/A</v>
      </c>
      <c r="AR122" s="29" t="str">
        <f t="shared" si="125"/>
        <v>#DIV/0!</v>
      </c>
      <c r="AS122" s="29" t="str">
        <f t="shared" si="125"/>
        <v>#DIV/0!</v>
      </c>
      <c r="AT122" s="29" t="str">
        <f t="shared" si="125"/>
        <v>#DIV/0!</v>
      </c>
      <c r="AU122" s="29" t="str">
        <f t="shared" si="125"/>
        <v>#DIV/0!</v>
      </c>
      <c r="AV122" s="29" t="str">
        <f t="shared" si="125"/>
        <v>#DIV/0!</v>
      </c>
      <c r="AW122" s="29" t="str">
        <f t="shared" si="125"/>
        <v>#DIV/0!</v>
      </c>
      <c r="AX122" s="29" t="str">
        <f t="shared" si="125"/>
        <v>#DIV/0!</v>
      </c>
      <c r="AY122" s="29" t="str">
        <f t="shared" si="125"/>
        <v>#DIV/0!</v>
      </c>
      <c r="AZ122" s="29" t="str">
        <f t="shared" si="125"/>
        <v>#DIV/0!</v>
      </c>
      <c r="BA122" s="29" t="str">
        <f t="shared" si="125"/>
        <v>#DIV/0!</v>
      </c>
      <c r="BB122" s="29" t="str">
        <f t="shared" si="125"/>
        <v>#DIV/0!</v>
      </c>
      <c r="BC122" s="29" t="str">
        <f t="shared" si="125"/>
        <v>#DIV/0!</v>
      </c>
      <c r="BD122" s="29" t="str">
        <f t="shared" si="125"/>
        <v>#DIV/0!</v>
      </c>
      <c r="BE122" s="29" t="str">
        <f t="shared" si="125"/>
        <v>#DIV/0!</v>
      </c>
      <c r="BF122" s="29" t="str">
        <f t="shared" si="125"/>
        <v>#DIV/0!</v>
      </c>
      <c r="BG122" s="29" t="str">
        <f t="shared" si="125"/>
        <v>#DIV/0!</v>
      </c>
      <c r="BH122" s="29" t="str">
        <f t="shared" si="125"/>
        <v>#DIV/0!</v>
      </c>
      <c r="BI122" s="29" t="str">
        <f t="shared" si="125"/>
        <v>#DIV/0!</v>
      </c>
      <c r="BJ122" s="29" t="str">
        <f t="shared" si="125"/>
        <v>#DIV/0!</v>
      </c>
      <c r="BK122" s="29" t="str">
        <f t="shared" si="125"/>
        <v>#DIV/0!</v>
      </c>
      <c r="BL122" s="29" t="str">
        <f t="shared" si="125"/>
        <v>#DIV/0!</v>
      </c>
      <c r="BM122" s="29" t="str">
        <f t="shared" si="3"/>
        <v>#DIV/0!</v>
      </c>
    </row>
    <row r="123">
      <c r="A123" s="16" t="str">
        <f>IFERROR(__xludf.DUMMYFUNCTION("IFERROR(SPARKLINE(SORT(MAP(TRANSPOSE(AQ123:BL123), LAMBDA(val, IF(ISNUMBER(val), PERCENTRANK(AQ123:BL123, val)+0.01, 0))), SEQUENCE(COLUMNS(AQ123:BL123)), FALSE), {""charttype"",""column""; ""color"",""chartreuse""; ""ymin"", 0; ""ymax"", 1.01; ""highcolo"&amp;"r"", ""darkgreen""; ""lowcolor"", ""red""}), """")"),"")</f>
        <v/>
      </c>
      <c r="B123" s="17" t="str">
        <f t="shared" si="4"/>
        <v/>
      </c>
      <c r="C123" s="1" t="s">
        <v>557</v>
      </c>
      <c r="D123" s="30" t="str">
        <f>IFERROR(__xludf.DUMMYFUNCTION("IFERROR(GOOGLEFINANCE(C123, ""NAME""))"),"Sonoco Products Co")</f>
        <v>Sonoco Products Co</v>
      </c>
      <c r="E123" s="30" t="s">
        <v>195</v>
      </c>
      <c r="F123" s="33" t="str">
        <f>IFERROR(__xludf.DUMMYFUNCTION("( (GOOGLEFINANCE(C123, ""price"") - Q123) / Q123 ) / (R123 / 100)"),"Loading...")</f>
        <v>Loading...</v>
      </c>
      <c r="G123" s="20" t="str">
        <f>IFERROR(__xludf.DUMMYFUNCTION("AVERAGE(ARRAYFORMULA(100 * (QUERY(GOOGLEFINANCE(C123, ""high"", TODAY()-40, TODAY()), ""SELECT Col2 WHERE Col2 IS NOT NULL ORDER BY Col1 DESC LIMIT 20"", 0) / QUERY(GOOGLEFINANCE(C123, ""low"", TODAY()-40, TODAY()), ""SELECT Col2 WHERE Col2 IS NOT NULL OR"&amp;"DER BY Col1 DESC LIMIT 20"", 0) - 1)))"),"#N/A")</f>
        <v>#N/A</v>
      </c>
      <c r="H123" s="35" t="str">
        <f t="shared" si="6"/>
        <v/>
      </c>
      <c r="I123" s="35" t="str">
        <f t="shared" si="7"/>
        <v/>
      </c>
      <c r="J123" s="37" t="str">
        <f>IFERROR(__xludf.DUMMYFUNCTION("IFERROR(
  IF(C123="""",, 
    IFERROR(
      GOOGLEFINANCE(C123, ""price"") * GOOGLEFINANCE(C123, ""volumeavg""), 
      GOOGLEFINANCE(C123, ""price"") * AVERAGE(QUERY(GOOGLEFINANCE(C123, ""volume"", TODAY()-40, TODAY()), ""SELECT Col2 WHERE Col2 IS NOT "&amp;"NULL ORDER BY Col1 DESC LIMIT 20"", 0))
    )
  ), 
"""")"),"")</f>
        <v/>
      </c>
      <c r="K123" s="21" t="str">
        <f>IFERROR(__xludf.DUMMYFUNCTION("IFERROR(GOOGLEFINANCE(C123, ""changepct"") / 100, """")"),"")</f>
        <v/>
      </c>
      <c r="L123" s="21" t="str">
        <f>IFERROR(__xludf.DUMMYFUNCTION("IFERROR((GOOGLEFINANCE(C123, ""price"") / INDEX(GOOGLEFINANCE(C123, ""price"", TODAY()-7, TODAY()), 2, 2)) - 1, """")"),"")</f>
        <v/>
      </c>
      <c r="M123" s="21" t="str">
        <f>IFERROR(__xludf.DUMMYFUNCTION("IFERROR((GOOGLEFINANCE(C123, ""price"") / INDEX(GOOGLEFINANCE(C123, ""price"", EDATE(TODAY(), -1), TODAY()), 2, 2)) - 1, """")"),"")</f>
        <v/>
      </c>
      <c r="N123" s="21" t="str">
        <f>IFERROR(__xludf.DUMMYFUNCTION("IFERROR((GOOGLEFINANCE(C123, ""price"") / INDEX(GOOGLEFINANCE(C123, ""price"", EDATE(TODAY(), -3), TODAY()), 2, 2)) - 1, """")"),"")</f>
        <v/>
      </c>
      <c r="O123" s="21" t="str">
        <f>IFERROR(__xludf.DUMMYFUNCTION("IFERROR((GOOGLEFINANCE(C123, ""price"") / INDEX(GOOGLEFINANCE(C123, ""price"", EDATE(TODAY(), -6), TODAY()), 2, 2)) - 1, """")"),"")</f>
        <v/>
      </c>
      <c r="P123" s="21" t="str">
        <f>IFERROR(__xludf.DUMMYFUNCTION("IFERROR((GOOGLEFINANCE(C123, ""price"") / INDEX(GOOGLEFINANCE(C123, ""price"", EDATE(TODAY(), -12), TODAY()), 2, 2)) - 1, """")"),"")</f>
        <v/>
      </c>
      <c r="Q123" s="6" t="str">
        <f>IFERROR(__xludf.DUMMYFUNCTION("AVERAGE(QUERY(GOOGLEFINANCE(C123, ""price"", TODAY()-80, TODAY()), ""SELECT Col2 WHERE Col2 IS NOT NULL ORDER BY Col1 DESC LIMIT 50"", 0))"),"#N/A")</f>
        <v>#N/A</v>
      </c>
      <c r="R123" s="24" t="str">
        <f>IFERROR(__xludf.DUMMYFUNCTION("IFERROR(
  LET(
    data, QUERY(GOOGLEFINANCE(C123,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GOOGLEFINANCE(C123, ""price"")) * 100,
    IF(calc=0, G123, calc)
  ), 
G123)"),"#N/A")</f>
        <v>#N/A</v>
      </c>
      <c r="S123" s="8" t="s">
        <v>15</v>
      </c>
      <c r="T123" s="26" t="str">
        <f>IFERROR(__xludf.DUMMYFUNCTION("IFERROR(TRANSPOSE(QUERY(IFERROR(SORT(GOOGLEFINANCE(C123, ""price"", WORKDAY(TODAY(), -40), TODAY()), 1, FALSE)), ""select Col2 where Col2 is not null limit 22 label Col2 ''"", 0)), """")"),"")</f>
        <v/>
      </c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8"/>
      <c r="AO123" s="28"/>
      <c r="AP123" s="29"/>
      <c r="AQ123" s="29" t="str">
        <f t="shared" ref="AQ123:BL123" si="126">T123/T$2</f>
        <v>#N/A</v>
      </c>
      <c r="AR123" s="29" t="str">
        <f t="shared" si="126"/>
        <v>#DIV/0!</v>
      </c>
      <c r="AS123" s="29" t="str">
        <f t="shared" si="126"/>
        <v>#DIV/0!</v>
      </c>
      <c r="AT123" s="29" t="str">
        <f t="shared" si="126"/>
        <v>#DIV/0!</v>
      </c>
      <c r="AU123" s="29" t="str">
        <f t="shared" si="126"/>
        <v>#DIV/0!</v>
      </c>
      <c r="AV123" s="29" t="str">
        <f t="shared" si="126"/>
        <v>#DIV/0!</v>
      </c>
      <c r="AW123" s="29" t="str">
        <f t="shared" si="126"/>
        <v>#DIV/0!</v>
      </c>
      <c r="AX123" s="29" t="str">
        <f t="shared" si="126"/>
        <v>#DIV/0!</v>
      </c>
      <c r="AY123" s="29" t="str">
        <f t="shared" si="126"/>
        <v>#DIV/0!</v>
      </c>
      <c r="AZ123" s="29" t="str">
        <f t="shared" si="126"/>
        <v>#DIV/0!</v>
      </c>
      <c r="BA123" s="29" t="str">
        <f t="shared" si="126"/>
        <v>#DIV/0!</v>
      </c>
      <c r="BB123" s="29" t="str">
        <f t="shared" si="126"/>
        <v>#DIV/0!</v>
      </c>
      <c r="BC123" s="29" t="str">
        <f t="shared" si="126"/>
        <v>#DIV/0!</v>
      </c>
      <c r="BD123" s="29" t="str">
        <f t="shared" si="126"/>
        <v>#DIV/0!</v>
      </c>
      <c r="BE123" s="29" t="str">
        <f t="shared" si="126"/>
        <v>#DIV/0!</v>
      </c>
      <c r="BF123" s="29" t="str">
        <f t="shared" si="126"/>
        <v>#DIV/0!</v>
      </c>
      <c r="BG123" s="29" t="str">
        <f t="shared" si="126"/>
        <v>#DIV/0!</v>
      </c>
      <c r="BH123" s="29" t="str">
        <f t="shared" si="126"/>
        <v>#DIV/0!</v>
      </c>
      <c r="BI123" s="29" t="str">
        <f t="shared" si="126"/>
        <v>#DIV/0!</v>
      </c>
      <c r="BJ123" s="29" t="str">
        <f t="shared" si="126"/>
        <v>#DIV/0!</v>
      </c>
      <c r="BK123" s="29" t="str">
        <f t="shared" si="126"/>
        <v>#DIV/0!</v>
      </c>
      <c r="BL123" s="29" t="str">
        <f t="shared" si="126"/>
        <v>#DIV/0!</v>
      </c>
      <c r="BM123" s="29" t="str">
        <f t="shared" si="3"/>
        <v>#DIV/0!</v>
      </c>
    </row>
    <row r="124">
      <c r="A124" s="16" t="str">
        <f>IFERROR(__xludf.DUMMYFUNCTION("IFERROR(SPARKLINE(SORT(MAP(TRANSPOSE(AQ124:BL124), LAMBDA(val, IF(ISNUMBER(val), PERCENTRANK(AQ124:BL124, val)+0.01, 0))), SEQUENCE(COLUMNS(AQ124:BL124)), FALSE), {""charttype"",""column""; ""color"",""chartreuse""; ""ymin"", 0; ""ymax"", 1.01; ""highcolo"&amp;"r"", ""darkgreen""; ""lowcolor"", ""red""}), """")"),"")</f>
        <v/>
      </c>
      <c r="B124" s="17" t="str">
        <f t="shared" si="4"/>
        <v/>
      </c>
      <c r="C124" s="1" t="s">
        <v>561</v>
      </c>
      <c r="D124" s="30" t="str">
        <f>IFERROR(__xludf.DUMMYFUNCTION("IFERROR(GOOGLEFINANCE(C124, ""NAME""))"),"Vail Resorts Inc")</f>
        <v>Vail Resorts Inc</v>
      </c>
      <c r="E124" s="30" t="s">
        <v>354</v>
      </c>
      <c r="F124" s="33" t="str">
        <f>IFERROR(__xludf.DUMMYFUNCTION("( (GOOGLEFINANCE(C124, ""price"") - Q124) / Q124 ) / (R124 / 100)"),"Loading...")</f>
        <v>Loading...</v>
      </c>
      <c r="G124" s="20" t="str">
        <f>IFERROR(__xludf.DUMMYFUNCTION("AVERAGE(ARRAYFORMULA(100 * (QUERY(GOOGLEFINANCE(C124, ""high"", TODAY()-40, TODAY()), ""SELECT Col2 WHERE Col2 IS NOT NULL ORDER BY Col1 DESC LIMIT 20"", 0) / QUERY(GOOGLEFINANCE(C124, ""low"", TODAY()-40, TODAY()), ""SELECT Col2 WHERE Col2 IS NOT NULL OR"&amp;"DER BY Col1 DESC LIMIT 20"", 0) - 1)))"),"#N/A")</f>
        <v>#N/A</v>
      </c>
      <c r="H124" s="35" t="str">
        <f t="shared" si="6"/>
        <v/>
      </c>
      <c r="I124" s="35" t="str">
        <f t="shared" si="7"/>
        <v/>
      </c>
      <c r="J124" s="37" t="str">
        <f>IFERROR(__xludf.DUMMYFUNCTION("IFERROR(
  IF(C124="""",, 
    IFERROR(
      GOOGLEFINANCE(C124, ""price"") * GOOGLEFINANCE(C124, ""volumeavg""), 
      GOOGLEFINANCE(C124, ""price"") * AVERAGE(QUERY(GOOGLEFINANCE(C124, ""volume"", TODAY()-40, TODAY()), ""SELECT Col2 WHERE Col2 IS NOT "&amp;"NULL ORDER BY Col1 DESC LIMIT 20"", 0))
    )
  ), 
"""")"),"")</f>
        <v/>
      </c>
      <c r="K124" s="21" t="str">
        <f>IFERROR(__xludf.DUMMYFUNCTION("IFERROR(GOOGLEFINANCE(C124, ""changepct"") / 100, """")"),"")</f>
        <v/>
      </c>
      <c r="L124" s="21" t="str">
        <f>IFERROR(__xludf.DUMMYFUNCTION("IFERROR((GOOGLEFINANCE(C124, ""price"") / INDEX(GOOGLEFINANCE(C124, ""price"", TODAY()-7, TODAY()), 2, 2)) - 1, """")"),"")</f>
        <v/>
      </c>
      <c r="M124" s="21" t="str">
        <f>IFERROR(__xludf.DUMMYFUNCTION("IFERROR((GOOGLEFINANCE(C124, ""price"") / INDEX(GOOGLEFINANCE(C124, ""price"", EDATE(TODAY(), -1), TODAY()), 2, 2)) - 1, """")"),"")</f>
        <v/>
      </c>
      <c r="N124" s="21" t="str">
        <f>IFERROR(__xludf.DUMMYFUNCTION("IFERROR((GOOGLEFINANCE(C124, ""price"") / INDEX(GOOGLEFINANCE(C124, ""price"", EDATE(TODAY(), -3), TODAY()), 2, 2)) - 1, """")"),"")</f>
        <v/>
      </c>
      <c r="O124" s="21" t="str">
        <f>IFERROR(__xludf.DUMMYFUNCTION("IFERROR((GOOGLEFINANCE(C124, ""price"") / INDEX(GOOGLEFINANCE(C124, ""price"", EDATE(TODAY(), -6), TODAY()), 2, 2)) - 1, """")"),"")</f>
        <v/>
      </c>
      <c r="P124" s="21" t="str">
        <f>IFERROR(__xludf.DUMMYFUNCTION("IFERROR((GOOGLEFINANCE(C124, ""price"") / INDEX(GOOGLEFINANCE(C124, ""price"", EDATE(TODAY(), -12), TODAY()), 2, 2)) - 1, """")"),"")</f>
        <v/>
      </c>
      <c r="Q124" s="6" t="str">
        <f>IFERROR(__xludf.DUMMYFUNCTION("AVERAGE(QUERY(GOOGLEFINANCE(C124, ""price"", TODAY()-80, TODAY()), ""SELECT Col2 WHERE Col2 IS NOT NULL ORDER BY Col1 DESC LIMIT 50"", 0))"),"#N/A")</f>
        <v>#N/A</v>
      </c>
      <c r="R124" s="24" t="str">
        <f>IFERROR(__xludf.DUMMYFUNCTION("IFERROR(
  LET(
    data, QUERY(GOOGLEFINANCE(C124,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GOOGLEFINANCE(C124, ""price"")) * 100,
    IF(calc=0, G124, calc)
  ), 
G124)"),"#N/A")</f>
        <v>#N/A</v>
      </c>
      <c r="S124" s="8" t="s">
        <v>15</v>
      </c>
      <c r="T124" s="26" t="str">
        <f>IFERROR(__xludf.DUMMYFUNCTION("IFERROR(TRANSPOSE(QUERY(IFERROR(SORT(GOOGLEFINANCE(C124, ""price"", WORKDAY(TODAY(), -40), TODAY()), 1, FALSE)), ""select Col2 where Col2 is not null limit 22 label Col2 ''"", 0)), """")"),"")</f>
        <v/>
      </c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8"/>
      <c r="AO124" s="28"/>
      <c r="AP124" s="29"/>
      <c r="AQ124" s="29" t="str">
        <f t="shared" ref="AQ124:BL124" si="127">T124/T$2</f>
        <v>#N/A</v>
      </c>
      <c r="AR124" s="29" t="str">
        <f t="shared" si="127"/>
        <v>#DIV/0!</v>
      </c>
      <c r="AS124" s="29" t="str">
        <f t="shared" si="127"/>
        <v>#DIV/0!</v>
      </c>
      <c r="AT124" s="29" t="str">
        <f t="shared" si="127"/>
        <v>#DIV/0!</v>
      </c>
      <c r="AU124" s="29" t="str">
        <f t="shared" si="127"/>
        <v>#DIV/0!</v>
      </c>
      <c r="AV124" s="29" t="str">
        <f t="shared" si="127"/>
        <v>#DIV/0!</v>
      </c>
      <c r="AW124" s="29" t="str">
        <f t="shared" si="127"/>
        <v>#DIV/0!</v>
      </c>
      <c r="AX124" s="29" t="str">
        <f t="shared" si="127"/>
        <v>#DIV/0!</v>
      </c>
      <c r="AY124" s="29" t="str">
        <f t="shared" si="127"/>
        <v>#DIV/0!</v>
      </c>
      <c r="AZ124" s="29" t="str">
        <f t="shared" si="127"/>
        <v>#DIV/0!</v>
      </c>
      <c r="BA124" s="29" t="str">
        <f t="shared" si="127"/>
        <v>#DIV/0!</v>
      </c>
      <c r="BB124" s="29" t="str">
        <f t="shared" si="127"/>
        <v>#DIV/0!</v>
      </c>
      <c r="BC124" s="29" t="str">
        <f t="shared" si="127"/>
        <v>#DIV/0!</v>
      </c>
      <c r="BD124" s="29" t="str">
        <f t="shared" si="127"/>
        <v>#DIV/0!</v>
      </c>
      <c r="BE124" s="29" t="str">
        <f t="shared" si="127"/>
        <v>#DIV/0!</v>
      </c>
      <c r="BF124" s="29" t="str">
        <f t="shared" si="127"/>
        <v>#DIV/0!</v>
      </c>
      <c r="BG124" s="29" t="str">
        <f t="shared" si="127"/>
        <v>#DIV/0!</v>
      </c>
      <c r="BH124" s="29" t="str">
        <f t="shared" si="127"/>
        <v>#DIV/0!</v>
      </c>
      <c r="BI124" s="29" t="str">
        <f t="shared" si="127"/>
        <v>#DIV/0!</v>
      </c>
      <c r="BJ124" s="29" t="str">
        <f t="shared" si="127"/>
        <v>#DIV/0!</v>
      </c>
      <c r="BK124" s="29" t="str">
        <f t="shared" si="127"/>
        <v>#DIV/0!</v>
      </c>
      <c r="BL124" s="29" t="str">
        <f t="shared" si="127"/>
        <v>#DIV/0!</v>
      </c>
      <c r="BM124" s="29" t="str">
        <f t="shared" si="3"/>
        <v>#DIV/0!</v>
      </c>
    </row>
    <row r="125">
      <c r="A125" s="16" t="str">
        <f>IFERROR(__xludf.DUMMYFUNCTION("IFERROR(SPARKLINE(SORT(MAP(TRANSPOSE(AQ125:BL125), LAMBDA(val, IF(ISNUMBER(val), PERCENTRANK(AQ125:BL125, val)+0.01, 0))), SEQUENCE(COLUMNS(AQ125:BL125)), FALSE), {""charttype"",""column""; ""color"",""chartreuse""; ""ymin"", 0; ""ymax"", 1.01; ""highcolo"&amp;"r"", ""darkgreen""; ""lowcolor"", ""red""}), """")"),"")</f>
        <v/>
      </c>
      <c r="B125" s="17" t="str">
        <f t="shared" si="4"/>
        <v/>
      </c>
      <c r="C125" s="1" t="s">
        <v>565</v>
      </c>
      <c r="D125" s="30" t="str">
        <f>IFERROR(__xludf.DUMMYFUNCTION("IFERROR(GOOGLEFINANCE(C125, ""NAME""))"),"Gentex Corp")</f>
        <v>Gentex Corp</v>
      </c>
      <c r="E125" s="30" t="s">
        <v>109</v>
      </c>
      <c r="F125" s="33" t="str">
        <f>IFERROR(__xludf.DUMMYFUNCTION("( (GOOGLEFINANCE(C125, ""price"") - Q125) / Q125 ) / (R125 / 100)"),"Loading...")</f>
        <v>Loading...</v>
      </c>
      <c r="G125" s="20" t="str">
        <f>IFERROR(__xludf.DUMMYFUNCTION("AVERAGE(ARRAYFORMULA(100 * (QUERY(GOOGLEFINANCE(C125, ""high"", TODAY()-40, TODAY()), ""SELECT Col2 WHERE Col2 IS NOT NULL ORDER BY Col1 DESC LIMIT 20"", 0) / QUERY(GOOGLEFINANCE(C125, ""low"", TODAY()-40, TODAY()), ""SELECT Col2 WHERE Col2 IS NOT NULL OR"&amp;"DER BY Col1 DESC LIMIT 20"", 0) - 1)))"),"#N/A")</f>
        <v>#N/A</v>
      </c>
      <c r="H125" s="35" t="str">
        <f t="shared" si="6"/>
        <v/>
      </c>
      <c r="I125" s="35" t="str">
        <f t="shared" si="7"/>
        <v/>
      </c>
      <c r="J125" s="37" t="str">
        <f>IFERROR(__xludf.DUMMYFUNCTION("IFERROR(
  IF(C125="""",, 
    IFERROR(
      GOOGLEFINANCE(C125, ""price"") * GOOGLEFINANCE(C125, ""volumeavg""), 
      GOOGLEFINANCE(C125, ""price"") * AVERAGE(QUERY(GOOGLEFINANCE(C125, ""volume"", TODAY()-40, TODAY()), ""SELECT Col2 WHERE Col2 IS NOT "&amp;"NULL ORDER BY Col1 DESC LIMIT 20"", 0))
    )
  ), 
"""")"),"")</f>
        <v/>
      </c>
      <c r="K125" s="21" t="str">
        <f>IFERROR(__xludf.DUMMYFUNCTION("IFERROR(GOOGLEFINANCE(C125, ""changepct"") / 100, """")"),"")</f>
        <v/>
      </c>
      <c r="L125" s="21" t="str">
        <f>IFERROR(__xludf.DUMMYFUNCTION("IFERROR((GOOGLEFINANCE(C125, ""price"") / INDEX(GOOGLEFINANCE(C125, ""price"", TODAY()-7, TODAY()), 2, 2)) - 1, """")"),"")</f>
        <v/>
      </c>
      <c r="M125" s="21" t="str">
        <f>IFERROR(__xludf.DUMMYFUNCTION("IFERROR((GOOGLEFINANCE(C125, ""price"") / INDEX(GOOGLEFINANCE(C125, ""price"", EDATE(TODAY(), -1), TODAY()), 2, 2)) - 1, """")"),"")</f>
        <v/>
      </c>
      <c r="N125" s="21" t="str">
        <f>IFERROR(__xludf.DUMMYFUNCTION("IFERROR((GOOGLEFINANCE(C125, ""price"") / INDEX(GOOGLEFINANCE(C125, ""price"", EDATE(TODAY(), -3), TODAY()), 2, 2)) - 1, """")"),"")</f>
        <v/>
      </c>
      <c r="O125" s="21" t="str">
        <f>IFERROR(__xludf.DUMMYFUNCTION("IFERROR((GOOGLEFINANCE(C125, ""price"") / INDEX(GOOGLEFINANCE(C125, ""price"", EDATE(TODAY(), -6), TODAY()), 2, 2)) - 1, """")"),"")</f>
        <v/>
      </c>
      <c r="P125" s="21" t="str">
        <f>IFERROR(__xludf.DUMMYFUNCTION("IFERROR((GOOGLEFINANCE(C125, ""price"") / INDEX(GOOGLEFINANCE(C125, ""price"", EDATE(TODAY(), -12), TODAY()), 2, 2)) - 1, """")"),"")</f>
        <v/>
      </c>
      <c r="Q125" s="6" t="str">
        <f>IFERROR(__xludf.DUMMYFUNCTION("AVERAGE(QUERY(GOOGLEFINANCE(C125, ""price"", TODAY()-80, TODAY()), ""SELECT Col2 WHERE Col2 IS NOT NULL ORDER BY Col1 DESC LIMIT 50"", 0))"),"#N/A")</f>
        <v>#N/A</v>
      </c>
      <c r="R125" s="24" t="str">
        <f>IFERROR(__xludf.DUMMYFUNCTION("IFERROR(
  LET(
    data, QUERY(GOOGLEFINANCE(C125,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GOOGLEFINANCE(C125, ""price"")) * 100,
    IF(calc=0, G125, calc)
  ), 
G125)"),"#N/A")</f>
        <v>#N/A</v>
      </c>
      <c r="S125" s="8" t="s">
        <v>15</v>
      </c>
      <c r="T125" s="26" t="str">
        <f>IFERROR(__xludf.DUMMYFUNCTION("IFERROR(TRANSPOSE(QUERY(IFERROR(SORT(GOOGLEFINANCE(C125, ""price"", WORKDAY(TODAY(), -40), TODAY()), 1, FALSE)), ""select Col2 where Col2 is not null limit 22 label Col2 ''"", 0)), """")"),"")</f>
        <v/>
      </c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8"/>
      <c r="AO125" s="28"/>
      <c r="AP125" s="29"/>
      <c r="AQ125" s="29" t="str">
        <f t="shared" ref="AQ125:BL125" si="128">T125/T$2</f>
        <v>#N/A</v>
      </c>
      <c r="AR125" s="29" t="str">
        <f t="shared" si="128"/>
        <v>#DIV/0!</v>
      </c>
      <c r="AS125" s="29" t="str">
        <f t="shared" si="128"/>
        <v>#DIV/0!</v>
      </c>
      <c r="AT125" s="29" t="str">
        <f t="shared" si="128"/>
        <v>#DIV/0!</v>
      </c>
      <c r="AU125" s="29" t="str">
        <f t="shared" si="128"/>
        <v>#DIV/0!</v>
      </c>
      <c r="AV125" s="29" t="str">
        <f t="shared" si="128"/>
        <v>#DIV/0!</v>
      </c>
      <c r="AW125" s="29" t="str">
        <f t="shared" si="128"/>
        <v>#DIV/0!</v>
      </c>
      <c r="AX125" s="29" t="str">
        <f t="shared" si="128"/>
        <v>#DIV/0!</v>
      </c>
      <c r="AY125" s="29" t="str">
        <f t="shared" si="128"/>
        <v>#DIV/0!</v>
      </c>
      <c r="AZ125" s="29" t="str">
        <f t="shared" si="128"/>
        <v>#DIV/0!</v>
      </c>
      <c r="BA125" s="29" t="str">
        <f t="shared" si="128"/>
        <v>#DIV/0!</v>
      </c>
      <c r="BB125" s="29" t="str">
        <f t="shared" si="128"/>
        <v>#DIV/0!</v>
      </c>
      <c r="BC125" s="29" t="str">
        <f t="shared" si="128"/>
        <v>#DIV/0!</v>
      </c>
      <c r="BD125" s="29" t="str">
        <f t="shared" si="128"/>
        <v>#DIV/0!</v>
      </c>
      <c r="BE125" s="29" t="str">
        <f t="shared" si="128"/>
        <v>#DIV/0!</v>
      </c>
      <c r="BF125" s="29" t="str">
        <f t="shared" si="128"/>
        <v>#DIV/0!</v>
      </c>
      <c r="BG125" s="29" t="str">
        <f t="shared" si="128"/>
        <v>#DIV/0!</v>
      </c>
      <c r="BH125" s="29" t="str">
        <f t="shared" si="128"/>
        <v>#DIV/0!</v>
      </c>
      <c r="BI125" s="29" t="str">
        <f t="shared" si="128"/>
        <v>#DIV/0!</v>
      </c>
      <c r="BJ125" s="29" t="str">
        <f t="shared" si="128"/>
        <v>#DIV/0!</v>
      </c>
      <c r="BK125" s="29" t="str">
        <f t="shared" si="128"/>
        <v>#DIV/0!</v>
      </c>
      <c r="BL125" s="29" t="str">
        <f t="shared" si="128"/>
        <v>#DIV/0!</v>
      </c>
      <c r="BM125" s="29" t="str">
        <f t="shared" si="3"/>
        <v>#DIV/0!</v>
      </c>
    </row>
    <row r="126">
      <c r="A126" s="16" t="str">
        <f>IFERROR(__xludf.DUMMYFUNCTION("IFERROR(SPARKLINE(SORT(MAP(TRANSPOSE(AQ126:BL126), LAMBDA(val, IF(ISNUMBER(val), PERCENTRANK(AQ126:BL126, val)+0.01, 0))), SEQUENCE(COLUMNS(AQ126:BL126)), FALSE), {""charttype"",""column""; ""color"",""chartreuse""; ""ymin"", 0; ""ymax"", 1.01; ""highcolo"&amp;"r"", ""darkgreen""; ""lowcolor"", ""red""}), """")"),"")</f>
        <v/>
      </c>
      <c r="B126" s="17" t="str">
        <f t="shared" si="4"/>
        <v/>
      </c>
      <c r="C126" s="1" t="s">
        <v>568</v>
      </c>
      <c r="D126" s="30" t="str">
        <f>IFERROR(__xludf.DUMMYFUNCTION("IFERROR(GOOGLEFINANCE(C126, ""NAME""))"),"Accel Entertainment Inc")</f>
        <v>Accel Entertainment Inc</v>
      </c>
      <c r="E126" s="30" t="s">
        <v>234</v>
      </c>
      <c r="F126" s="33" t="str">
        <f>IFERROR(__xludf.DUMMYFUNCTION("( (GOOGLEFINANCE(C126, ""price"") - Q126) / Q126 ) / (R126 / 100)"),"Loading...")</f>
        <v>Loading...</v>
      </c>
      <c r="G126" s="20" t="str">
        <f>IFERROR(__xludf.DUMMYFUNCTION("AVERAGE(ARRAYFORMULA(100 * (QUERY(GOOGLEFINANCE(C126, ""high"", TODAY()-40, TODAY()), ""SELECT Col2 WHERE Col2 IS NOT NULL ORDER BY Col1 DESC LIMIT 20"", 0) / QUERY(GOOGLEFINANCE(C126, ""low"", TODAY()-40, TODAY()), ""SELECT Col2 WHERE Col2 IS NOT NULL OR"&amp;"DER BY Col1 DESC LIMIT 20"", 0) - 1)))"),"#N/A")</f>
        <v>#N/A</v>
      </c>
      <c r="H126" s="35" t="str">
        <f t="shared" si="6"/>
        <v/>
      </c>
      <c r="I126" s="35" t="str">
        <f t="shared" si="7"/>
        <v/>
      </c>
      <c r="J126" s="37" t="str">
        <f>IFERROR(__xludf.DUMMYFUNCTION("IFERROR(
  IF(C126="""",, 
    IFERROR(
      GOOGLEFINANCE(C126, ""price"") * GOOGLEFINANCE(C126, ""volumeavg""), 
      GOOGLEFINANCE(C126, ""price"") * AVERAGE(QUERY(GOOGLEFINANCE(C126, ""volume"", TODAY()-40, TODAY()), ""SELECT Col2 WHERE Col2 IS NOT "&amp;"NULL ORDER BY Col1 DESC LIMIT 20"", 0))
    )
  ), 
"""")"),"")</f>
        <v/>
      </c>
      <c r="K126" s="21" t="str">
        <f>IFERROR(__xludf.DUMMYFUNCTION("IFERROR(GOOGLEFINANCE(C126, ""changepct"") / 100, """")"),"")</f>
        <v/>
      </c>
      <c r="L126" s="21" t="str">
        <f>IFERROR(__xludf.DUMMYFUNCTION("IFERROR((GOOGLEFINANCE(C126, ""price"") / INDEX(GOOGLEFINANCE(C126, ""price"", TODAY()-7, TODAY()), 2, 2)) - 1, """")"),"")</f>
        <v/>
      </c>
      <c r="M126" s="21" t="str">
        <f>IFERROR(__xludf.DUMMYFUNCTION("IFERROR((GOOGLEFINANCE(C126, ""price"") / INDEX(GOOGLEFINANCE(C126, ""price"", EDATE(TODAY(), -1), TODAY()), 2, 2)) - 1, """")"),"")</f>
        <v/>
      </c>
      <c r="N126" s="21" t="str">
        <f>IFERROR(__xludf.DUMMYFUNCTION("IFERROR((GOOGLEFINANCE(C126, ""price"") / INDEX(GOOGLEFINANCE(C126, ""price"", EDATE(TODAY(), -3), TODAY()), 2, 2)) - 1, """")"),"")</f>
        <v/>
      </c>
      <c r="O126" s="21" t="str">
        <f>IFERROR(__xludf.DUMMYFUNCTION("IFERROR((GOOGLEFINANCE(C126, ""price"") / INDEX(GOOGLEFINANCE(C126, ""price"", EDATE(TODAY(), -6), TODAY()), 2, 2)) - 1, """")"),"")</f>
        <v/>
      </c>
      <c r="P126" s="21" t="str">
        <f>IFERROR(__xludf.DUMMYFUNCTION("IFERROR((GOOGLEFINANCE(C126, ""price"") / INDEX(GOOGLEFINANCE(C126, ""price"", EDATE(TODAY(), -12), TODAY()), 2, 2)) - 1, """")"),"")</f>
        <v/>
      </c>
      <c r="Q126" s="6" t="str">
        <f>IFERROR(__xludf.DUMMYFUNCTION("AVERAGE(QUERY(GOOGLEFINANCE(C126, ""price"", TODAY()-80, TODAY()), ""SELECT Col2 WHERE Col2 IS NOT NULL ORDER BY Col1 DESC LIMIT 50"", 0))"),"#N/A")</f>
        <v>#N/A</v>
      </c>
      <c r="R126" s="24" t="str">
        <f>IFERROR(__xludf.DUMMYFUNCTION("IFERROR(
  LET(
    data, QUERY(GOOGLEFINANCE(C126,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GOOGLEFINANCE(C126, ""price"")) * 100,
    IF(calc=0, G126, calc)
  ), 
G126)"),"#N/A")</f>
        <v>#N/A</v>
      </c>
      <c r="S126" s="8" t="s">
        <v>15</v>
      </c>
      <c r="T126" s="26" t="str">
        <f>IFERROR(__xludf.DUMMYFUNCTION("IFERROR(TRANSPOSE(QUERY(IFERROR(SORT(GOOGLEFINANCE(C126, ""price"", WORKDAY(TODAY(), -40), TODAY()), 1, FALSE)), ""select Col2 where Col2 is not null limit 22 label Col2 ''"", 0)), """")"),"")</f>
        <v/>
      </c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8"/>
      <c r="AO126" s="28"/>
      <c r="AP126" s="29"/>
      <c r="AQ126" s="29" t="str">
        <f t="shared" ref="AQ126:BL126" si="129">T126/T$2</f>
        <v>#N/A</v>
      </c>
      <c r="AR126" s="29" t="str">
        <f t="shared" si="129"/>
        <v>#DIV/0!</v>
      </c>
      <c r="AS126" s="29" t="str">
        <f t="shared" si="129"/>
        <v>#DIV/0!</v>
      </c>
      <c r="AT126" s="29" t="str">
        <f t="shared" si="129"/>
        <v>#DIV/0!</v>
      </c>
      <c r="AU126" s="29" t="str">
        <f t="shared" si="129"/>
        <v>#DIV/0!</v>
      </c>
      <c r="AV126" s="29" t="str">
        <f t="shared" si="129"/>
        <v>#DIV/0!</v>
      </c>
      <c r="AW126" s="29" t="str">
        <f t="shared" si="129"/>
        <v>#DIV/0!</v>
      </c>
      <c r="AX126" s="29" t="str">
        <f t="shared" si="129"/>
        <v>#DIV/0!</v>
      </c>
      <c r="AY126" s="29" t="str">
        <f t="shared" si="129"/>
        <v>#DIV/0!</v>
      </c>
      <c r="AZ126" s="29" t="str">
        <f t="shared" si="129"/>
        <v>#DIV/0!</v>
      </c>
      <c r="BA126" s="29" t="str">
        <f t="shared" si="129"/>
        <v>#DIV/0!</v>
      </c>
      <c r="BB126" s="29" t="str">
        <f t="shared" si="129"/>
        <v>#DIV/0!</v>
      </c>
      <c r="BC126" s="29" t="str">
        <f t="shared" si="129"/>
        <v>#DIV/0!</v>
      </c>
      <c r="BD126" s="29" t="str">
        <f t="shared" si="129"/>
        <v>#DIV/0!</v>
      </c>
      <c r="BE126" s="29" t="str">
        <f t="shared" si="129"/>
        <v>#DIV/0!</v>
      </c>
      <c r="BF126" s="29" t="str">
        <f t="shared" si="129"/>
        <v>#DIV/0!</v>
      </c>
      <c r="BG126" s="29" t="str">
        <f t="shared" si="129"/>
        <v>#DIV/0!</v>
      </c>
      <c r="BH126" s="29" t="str">
        <f t="shared" si="129"/>
        <v>#DIV/0!</v>
      </c>
      <c r="BI126" s="29" t="str">
        <f t="shared" si="129"/>
        <v>#DIV/0!</v>
      </c>
      <c r="BJ126" s="29" t="str">
        <f t="shared" si="129"/>
        <v>#DIV/0!</v>
      </c>
      <c r="BK126" s="29" t="str">
        <f t="shared" si="129"/>
        <v>#DIV/0!</v>
      </c>
      <c r="BL126" s="29" t="str">
        <f t="shared" si="129"/>
        <v>#DIV/0!</v>
      </c>
      <c r="BM126" s="29" t="str">
        <f t="shared" si="3"/>
        <v>#DIV/0!</v>
      </c>
    </row>
    <row r="127">
      <c r="A127" s="16" t="str">
        <f>IFERROR(__xludf.DUMMYFUNCTION("IFERROR(SPARKLINE(SORT(MAP(TRANSPOSE(AQ127:BL127), LAMBDA(val, IF(ISNUMBER(val), PERCENTRANK(AQ127:BL127, val)+0.01, 0))), SEQUENCE(COLUMNS(AQ127:BL127)), FALSE), {""charttype"",""column""; ""color"",""chartreuse""; ""ymin"", 0; ""ymax"", 1.01; ""highcolo"&amp;"r"", ""darkgreen""; ""lowcolor"", ""red""}), """")"),"")</f>
        <v/>
      </c>
      <c r="B127" s="17" t="str">
        <f t="shared" si="4"/>
        <v/>
      </c>
      <c r="C127" s="1" t="s">
        <v>571</v>
      </c>
      <c r="D127" s="30" t="str">
        <f>IFERROR(__xludf.DUMMYFUNCTION("IFERROR(GOOGLEFINANCE(C127, ""NAME""))"),"Vipshop Holdings Ltd - ADR")</f>
        <v>Vipshop Holdings Ltd - ADR</v>
      </c>
      <c r="E127" s="30" t="s">
        <v>137</v>
      </c>
      <c r="F127" s="33" t="str">
        <f>IFERROR(__xludf.DUMMYFUNCTION("( (GOOGLEFINANCE(C127, ""price"") - Q127) / Q127 ) / (R127 / 100)"),"Loading...")</f>
        <v>Loading...</v>
      </c>
      <c r="G127" s="20" t="str">
        <f>IFERROR(__xludf.DUMMYFUNCTION("AVERAGE(ARRAYFORMULA(100 * (QUERY(GOOGLEFINANCE(C127, ""high"", TODAY()-40, TODAY()), ""SELECT Col2 WHERE Col2 IS NOT NULL ORDER BY Col1 DESC LIMIT 20"", 0) / QUERY(GOOGLEFINANCE(C127, ""low"", TODAY()-40, TODAY()), ""SELECT Col2 WHERE Col2 IS NOT NULL OR"&amp;"DER BY Col1 DESC LIMIT 20"", 0) - 1)))"),"#N/A")</f>
        <v>#N/A</v>
      </c>
      <c r="H127" s="35" t="str">
        <f t="shared" si="6"/>
        <v/>
      </c>
      <c r="I127" s="35" t="str">
        <f t="shared" si="7"/>
        <v/>
      </c>
      <c r="J127" s="37" t="str">
        <f>IFERROR(__xludf.DUMMYFUNCTION("IFERROR(
  IF(C127="""",, 
    IFERROR(
      GOOGLEFINANCE(C127, ""price"") * GOOGLEFINANCE(C127, ""volumeavg""), 
      GOOGLEFINANCE(C127, ""price"") * AVERAGE(QUERY(GOOGLEFINANCE(C127, ""volume"", TODAY()-40, TODAY()), ""SELECT Col2 WHERE Col2 IS NOT "&amp;"NULL ORDER BY Col1 DESC LIMIT 20"", 0))
    )
  ), 
"""")"),"")</f>
        <v/>
      </c>
      <c r="K127" s="21" t="str">
        <f>IFERROR(__xludf.DUMMYFUNCTION("IFERROR(GOOGLEFINANCE(C127, ""changepct"") / 100, """")"),"")</f>
        <v/>
      </c>
      <c r="L127" s="21" t="str">
        <f>IFERROR(__xludf.DUMMYFUNCTION("IFERROR((GOOGLEFINANCE(C127, ""price"") / INDEX(GOOGLEFINANCE(C127, ""price"", TODAY()-7, TODAY()), 2, 2)) - 1, """")"),"")</f>
        <v/>
      </c>
      <c r="M127" s="21" t="str">
        <f>IFERROR(__xludf.DUMMYFUNCTION("IFERROR((GOOGLEFINANCE(C127, ""price"") / INDEX(GOOGLEFINANCE(C127, ""price"", EDATE(TODAY(), -1), TODAY()), 2, 2)) - 1, """")"),"")</f>
        <v/>
      </c>
      <c r="N127" s="21" t="str">
        <f>IFERROR(__xludf.DUMMYFUNCTION("IFERROR((GOOGLEFINANCE(C127, ""price"") / INDEX(GOOGLEFINANCE(C127, ""price"", EDATE(TODAY(), -3), TODAY()), 2, 2)) - 1, """")"),"")</f>
        <v/>
      </c>
      <c r="O127" s="21" t="str">
        <f>IFERROR(__xludf.DUMMYFUNCTION("IFERROR((GOOGLEFINANCE(C127, ""price"") / INDEX(GOOGLEFINANCE(C127, ""price"", EDATE(TODAY(), -6), TODAY()), 2, 2)) - 1, """")"),"")</f>
        <v/>
      </c>
      <c r="P127" s="21" t="str">
        <f>IFERROR(__xludf.DUMMYFUNCTION("IFERROR((GOOGLEFINANCE(C127, ""price"") / INDEX(GOOGLEFINANCE(C127, ""price"", EDATE(TODAY(), -12), TODAY()), 2, 2)) - 1, """")"),"")</f>
        <v/>
      </c>
      <c r="Q127" s="6" t="str">
        <f>IFERROR(__xludf.DUMMYFUNCTION("AVERAGE(QUERY(GOOGLEFINANCE(C127, ""price"", TODAY()-80, TODAY()), ""SELECT Col2 WHERE Col2 IS NOT NULL ORDER BY Col1 DESC LIMIT 50"", 0))"),"#N/A")</f>
        <v>#N/A</v>
      </c>
      <c r="R127" s="24" t="str">
        <f>IFERROR(__xludf.DUMMYFUNCTION("IFERROR(
  LET(
    data, QUERY(GOOGLEFINANCE(C127,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GOOGLEFINANCE(C127, ""price"")) * 100,
    IF(calc=0, G127, calc)
  ), 
G127)"),"#N/A")</f>
        <v>#N/A</v>
      </c>
      <c r="S127" s="8" t="s">
        <v>15</v>
      </c>
      <c r="T127" s="26" t="str">
        <f>IFERROR(__xludf.DUMMYFUNCTION("IFERROR(TRANSPOSE(QUERY(IFERROR(SORT(GOOGLEFINANCE(C127, ""price"", WORKDAY(TODAY(), -40), TODAY()), 1, FALSE)), ""select Col2 where Col2 is not null limit 22 label Col2 ''"", 0)), """")"),"")</f>
        <v/>
      </c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8"/>
      <c r="AO127" s="28"/>
      <c r="AP127" s="29"/>
      <c r="AQ127" s="29" t="str">
        <f t="shared" ref="AQ127:BL127" si="130">T127/T$2</f>
        <v>#N/A</v>
      </c>
      <c r="AR127" s="29" t="str">
        <f t="shared" si="130"/>
        <v>#DIV/0!</v>
      </c>
      <c r="AS127" s="29" t="str">
        <f t="shared" si="130"/>
        <v>#DIV/0!</v>
      </c>
      <c r="AT127" s="29" t="str">
        <f t="shared" si="130"/>
        <v>#DIV/0!</v>
      </c>
      <c r="AU127" s="29" t="str">
        <f t="shared" si="130"/>
        <v>#DIV/0!</v>
      </c>
      <c r="AV127" s="29" t="str">
        <f t="shared" si="130"/>
        <v>#DIV/0!</v>
      </c>
      <c r="AW127" s="29" t="str">
        <f t="shared" si="130"/>
        <v>#DIV/0!</v>
      </c>
      <c r="AX127" s="29" t="str">
        <f t="shared" si="130"/>
        <v>#DIV/0!</v>
      </c>
      <c r="AY127" s="29" t="str">
        <f t="shared" si="130"/>
        <v>#DIV/0!</v>
      </c>
      <c r="AZ127" s="29" t="str">
        <f t="shared" si="130"/>
        <v>#DIV/0!</v>
      </c>
      <c r="BA127" s="29" t="str">
        <f t="shared" si="130"/>
        <v>#DIV/0!</v>
      </c>
      <c r="BB127" s="29" t="str">
        <f t="shared" si="130"/>
        <v>#DIV/0!</v>
      </c>
      <c r="BC127" s="29" t="str">
        <f t="shared" si="130"/>
        <v>#DIV/0!</v>
      </c>
      <c r="BD127" s="29" t="str">
        <f t="shared" si="130"/>
        <v>#DIV/0!</v>
      </c>
      <c r="BE127" s="29" t="str">
        <f t="shared" si="130"/>
        <v>#DIV/0!</v>
      </c>
      <c r="BF127" s="29" t="str">
        <f t="shared" si="130"/>
        <v>#DIV/0!</v>
      </c>
      <c r="BG127" s="29" t="str">
        <f t="shared" si="130"/>
        <v>#DIV/0!</v>
      </c>
      <c r="BH127" s="29" t="str">
        <f t="shared" si="130"/>
        <v>#DIV/0!</v>
      </c>
      <c r="BI127" s="29" t="str">
        <f t="shared" si="130"/>
        <v>#DIV/0!</v>
      </c>
      <c r="BJ127" s="29" t="str">
        <f t="shared" si="130"/>
        <v>#DIV/0!</v>
      </c>
      <c r="BK127" s="29" t="str">
        <f t="shared" si="130"/>
        <v>#DIV/0!</v>
      </c>
      <c r="BL127" s="29" t="str">
        <f t="shared" si="130"/>
        <v>#DIV/0!</v>
      </c>
      <c r="BM127" s="29" t="str">
        <f t="shared" si="3"/>
        <v>#DIV/0!</v>
      </c>
    </row>
    <row r="128">
      <c r="A128" s="16" t="str">
        <f>IFERROR(__xludf.DUMMYFUNCTION("IFERROR(SPARKLINE(SORT(MAP(TRANSPOSE(AQ128:BL128), LAMBDA(val, IF(ISNUMBER(val), PERCENTRANK(AQ128:BL128, val)+0.01, 0))), SEQUENCE(COLUMNS(AQ128:BL128)), FALSE), {""charttype"",""column""; ""color"",""chartreuse""; ""ymin"", 0; ""ymax"", 1.01; ""highcolo"&amp;"r"", ""darkgreen""; ""lowcolor"", ""red""}), """")"),"")</f>
        <v/>
      </c>
      <c r="B128" s="17" t="str">
        <f t="shared" si="4"/>
        <v/>
      </c>
      <c r="C128" s="1" t="s">
        <v>573</v>
      </c>
      <c r="D128" s="30" t="str">
        <f>IFERROR(__xludf.DUMMYFUNCTION("IFERROR(GOOGLEFINANCE(C128, ""NAME""))"),"Pursuit Attractions and Hospitality Inc")</f>
        <v>Pursuit Attractions and Hospitality Inc</v>
      </c>
      <c r="E128" s="30" t="s">
        <v>248</v>
      </c>
      <c r="F128" s="33" t="str">
        <f>IFERROR(__xludf.DUMMYFUNCTION("( (GOOGLEFINANCE(C128, ""price"") - Q128) / Q128 ) / (R128 / 100)"),"Loading...")</f>
        <v>Loading...</v>
      </c>
      <c r="G128" s="20" t="str">
        <f>IFERROR(__xludf.DUMMYFUNCTION("AVERAGE(ARRAYFORMULA(100 * (QUERY(GOOGLEFINANCE(C128, ""high"", TODAY()-40, TODAY()), ""SELECT Col2 WHERE Col2 IS NOT NULL ORDER BY Col1 DESC LIMIT 20"", 0) / QUERY(GOOGLEFINANCE(C128, ""low"", TODAY()-40, TODAY()), ""SELECT Col2 WHERE Col2 IS NOT NULL OR"&amp;"DER BY Col1 DESC LIMIT 20"", 0) - 1)))"),"#N/A")</f>
        <v>#N/A</v>
      </c>
      <c r="H128" s="35" t="str">
        <f t="shared" si="6"/>
        <v/>
      </c>
      <c r="I128" s="35" t="str">
        <f t="shared" si="7"/>
        <v/>
      </c>
      <c r="J128" s="37" t="str">
        <f>IFERROR(__xludf.DUMMYFUNCTION("IFERROR(
  IF(C128="""",, 
    IFERROR(
      GOOGLEFINANCE(C128, ""price"") * GOOGLEFINANCE(C128, ""volumeavg""), 
      GOOGLEFINANCE(C128, ""price"") * AVERAGE(QUERY(GOOGLEFINANCE(C128, ""volume"", TODAY()-40, TODAY()), ""SELECT Col2 WHERE Col2 IS NOT "&amp;"NULL ORDER BY Col1 DESC LIMIT 20"", 0))
    )
  ), 
"""")"),"")</f>
        <v/>
      </c>
      <c r="K128" s="21" t="str">
        <f>IFERROR(__xludf.DUMMYFUNCTION("IFERROR(GOOGLEFINANCE(C128, ""changepct"") / 100, """")"),"")</f>
        <v/>
      </c>
      <c r="L128" s="21" t="str">
        <f>IFERROR(__xludf.DUMMYFUNCTION("IFERROR((GOOGLEFINANCE(C128, ""price"") / INDEX(GOOGLEFINANCE(C128, ""price"", TODAY()-7, TODAY()), 2, 2)) - 1, """")"),"")</f>
        <v/>
      </c>
      <c r="M128" s="21" t="str">
        <f>IFERROR(__xludf.DUMMYFUNCTION("IFERROR((GOOGLEFINANCE(C128, ""price"") / INDEX(GOOGLEFINANCE(C128, ""price"", EDATE(TODAY(), -1), TODAY()), 2, 2)) - 1, """")"),"")</f>
        <v/>
      </c>
      <c r="N128" s="21" t="str">
        <f>IFERROR(__xludf.DUMMYFUNCTION("IFERROR((GOOGLEFINANCE(C128, ""price"") / INDEX(GOOGLEFINANCE(C128, ""price"", EDATE(TODAY(), -3), TODAY()), 2, 2)) - 1, """")"),"")</f>
        <v/>
      </c>
      <c r="O128" s="21" t="str">
        <f>IFERROR(__xludf.DUMMYFUNCTION("IFERROR((GOOGLEFINANCE(C128, ""price"") / INDEX(GOOGLEFINANCE(C128, ""price"", EDATE(TODAY(), -6), TODAY()), 2, 2)) - 1, """")"),"")</f>
        <v/>
      </c>
      <c r="P128" s="21" t="str">
        <f>IFERROR(__xludf.DUMMYFUNCTION("IFERROR((GOOGLEFINANCE(C128, ""price"") / INDEX(GOOGLEFINANCE(C128, ""price"", EDATE(TODAY(), -12), TODAY()), 2, 2)) - 1, """")"),"")</f>
        <v/>
      </c>
      <c r="Q128" s="6" t="str">
        <f>IFERROR(__xludf.DUMMYFUNCTION("AVERAGE(QUERY(GOOGLEFINANCE(C128, ""price"", TODAY()-80, TODAY()), ""SELECT Col2 WHERE Col2 IS NOT NULL ORDER BY Col1 DESC LIMIT 50"", 0))"),"#N/A")</f>
        <v>#N/A</v>
      </c>
      <c r="R128" s="24" t="str">
        <f>IFERROR(__xludf.DUMMYFUNCTION("IFERROR(
  LET(
    data, QUERY(GOOGLEFINANCE(C128,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GOOGLEFINANCE(C128, ""price"")) * 100,
    IF(calc=0, G128, calc)
  ), 
G128)"),"#N/A")</f>
        <v>#N/A</v>
      </c>
      <c r="S128" s="8" t="s">
        <v>15</v>
      </c>
      <c r="T128" s="26" t="str">
        <f>IFERROR(__xludf.DUMMYFUNCTION("IFERROR(TRANSPOSE(QUERY(IFERROR(SORT(GOOGLEFINANCE(C128, ""price"", WORKDAY(TODAY(), -40), TODAY()), 1, FALSE)), ""select Col2 where Col2 is not null limit 22 label Col2 ''"", 0)), """")"),"")</f>
        <v/>
      </c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8"/>
      <c r="AO128" s="28"/>
      <c r="AP128" s="29"/>
      <c r="AQ128" s="29" t="str">
        <f t="shared" ref="AQ128:BL128" si="131">T128/T$2</f>
        <v>#N/A</v>
      </c>
      <c r="AR128" s="29" t="str">
        <f t="shared" si="131"/>
        <v>#DIV/0!</v>
      </c>
      <c r="AS128" s="29" t="str">
        <f t="shared" si="131"/>
        <v>#DIV/0!</v>
      </c>
      <c r="AT128" s="29" t="str">
        <f t="shared" si="131"/>
        <v>#DIV/0!</v>
      </c>
      <c r="AU128" s="29" t="str">
        <f t="shared" si="131"/>
        <v>#DIV/0!</v>
      </c>
      <c r="AV128" s="29" t="str">
        <f t="shared" si="131"/>
        <v>#DIV/0!</v>
      </c>
      <c r="AW128" s="29" t="str">
        <f t="shared" si="131"/>
        <v>#DIV/0!</v>
      </c>
      <c r="AX128" s="29" t="str">
        <f t="shared" si="131"/>
        <v>#DIV/0!</v>
      </c>
      <c r="AY128" s="29" t="str">
        <f t="shared" si="131"/>
        <v>#DIV/0!</v>
      </c>
      <c r="AZ128" s="29" t="str">
        <f t="shared" si="131"/>
        <v>#DIV/0!</v>
      </c>
      <c r="BA128" s="29" t="str">
        <f t="shared" si="131"/>
        <v>#DIV/0!</v>
      </c>
      <c r="BB128" s="29" t="str">
        <f t="shared" si="131"/>
        <v>#DIV/0!</v>
      </c>
      <c r="BC128" s="29" t="str">
        <f t="shared" si="131"/>
        <v>#DIV/0!</v>
      </c>
      <c r="BD128" s="29" t="str">
        <f t="shared" si="131"/>
        <v>#DIV/0!</v>
      </c>
      <c r="BE128" s="29" t="str">
        <f t="shared" si="131"/>
        <v>#DIV/0!</v>
      </c>
      <c r="BF128" s="29" t="str">
        <f t="shared" si="131"/>
        <v>#DIV/0!</v>
      </c>
      <c r="BG128" s="29" t="str">
        <f t="shared" si="131"/>
        <v>#DIV/0!</v>
      </c>
      <c r="BH128" s="29" t="str">
        <f t="shared" si="131"/>
        <v>#DIV/0!</v>
      </c>
      <c r="BI128" s="29" t="str">
        <f t="shared" si="131"/>
        <v>#DIV/0!</v>
      </c>
      <c r="BJ128" s="29" t="str">
        <f t="shared" si="131"/>
        <v>#DIV/0!</v>
      </c>
      <c r="BK128" s="29" t="str">
        <f t="shared" si="131"/>
        <v>#DIV/0!</v>
      </c>
      <c r="BL128" s="29" t="str">
        <f t="shared" si="131"/>
        <v>#DIV/0!</v>
      </c>
      <c r="BM128" s="29" t="str">
        <f t="shared" si="3"/>
        <v>#DIV/0!</v>
      </c>
    </row>
    <row r="129">
      <c r="A129" s="16" t="str">
        <f>IFERROR(__xludf.DUMMYFUNCTION("IFERROR(SPARKLINE(SORT(MAP(TRANSPOSE(AQ129:BL129), LAMBDA(val, IF(ISNUMBER(val), PERCENTRANK(AQ129:BL129, val)+0.01, 0))), SEQUENCE(COLUMNS(AQ129:BL129)), FALSE), {""charttype"",""column""; ""color"",""chartreuse""; ""ymin"", 0; ""ymax"", 1.01; ""highcolo"&amp;"r"", ""darkgreen""; ""lowcolor"", ""red""}), """")"),"")</f>
        <v/>
      </c>
      <c r="B129" s="17" t="str">
        <f t="shared" si="4"/>
        <v/>
      </c>
      <c r="C129" s="1" t="s">
        <v>577</v>
      </c>
      <c r="D129" s="30" t="str">
        <f>IFERROR(__xludf.DUMMYFUNCTION("IFERROR(GOOGLEFINANCE(C129, ""NAME""))"),"Holley Inc")</f>
        <v>Holley Inc</v>
      </c>
      <c r="E129" s="30" t="s">
        <v>109</v>
      </c>
      <c r="F129" s="33" t="str">
        <f>IFERROR(__xludf.DUMMYFUNCTION("( (GOOGLEFINANCE(C129, ""price"") - Q129) / Q129 ) / (R129 / 100)"),"Loading...")</f>
        <v>Loading...</v>
      </c>
      <c r="G129" s="20" t="str">
        <f>IFERROR(__xludf.DUMMYFUNCTION("AVERAGE(ARRAYFORMULA(100 * (QUERY(GOOGLEFINANCE(C129, ""high"", TODAY()-40, TODAY()), ""SELECT Col2 WHERE Col2 IS NOT NULL ORDER BY Col1 DESC LIMIT 20"", 0) / QUERY(GOOGLEFINANCE(C129, ""low"", TODAY()-40, TODAY()), ""SELECT Col2 WHERE Col2 IS NOT NULL OR"&amp;"DER BY Col1 DESC LIMIT 20"", 0) - 1)))"),"#N/A")</f>
        <v>#N/A</v>
      </c>
      <c r="H129" s="35" t="str">
        <f t="shared" si="6"/>
        <v/>
      </c>
      <c r="I129" s="35" t="str">
        <f t="shared" si="7"/>
        <v/>
      </c>
      <c r="J129" s="37" t="str">
        <f>IFERROR(__xludf.DUMMYFUNCTION("IFERROR(
  IF(C129="""",, 
    IFERROR(
      GOOGLEFINANCE(C129, ""price"") * GOOGLEFINANCE(C129, ""volumeavg""), 
      GOOGLEFINANCE(C129, ""price"") * AVERAGE(QUERY(GOOGLEFINANCE(C129, ""volume"", TODAY()-40, TODAY()), ""SELECT Col2 WHERE Col2 IS NOT "&amp;"NULL ORDER BY Col1 DESC LIMIT 20"", 0))
    )
  ), 
"""")"),"")</f>
        <v/>
      </c>
      <c r="K129" s="21" t="str">
        <f>IFERROR(__xludf.DUMMYFUNCTION("IFERROR(GOOGLEFINANCE(C129, ""changepct"") / 100, """")"),"")</f>
        <v/>
      </c>
      <c r="L129" s="21" t="str">
        <f>IFERROR(__xludf.DUMMYFUNCTION("IFERROR((GOOGLEFINANCE(C129, ""price"") / INDEX(GOOGLEFINANCE(C129, ""price"", TODAY()-7, TODAY()), 2, 2)) - 1, """")"),"")</f>
        <v/>
      </c>
      <c r="M129" s="21" t="str">
        <f>IFERROR(__xludf.DUMMYFUNCTION("IFERROR((GOOGLEFINANCE(C129, ""price"") / INDEX(GOOGLEFINANCE(C129, ""price"", EDATE(TODAY(), -1), TODAY()), 2, 2)) - 1, """")"),"")</f>
        <v/>
      </c>
      <c r="N129" s="21" t="str">
        <f>IFERROR(__xludf.DUMMYFUNCTION("IFERROR((GOOGLEFINANCE(C129, ""price"") / INDEX(GOOGLEFINANCE(C129, ""price"", EDATE(TODAY(), -3), TODAY()), 2, 2)) - 1, """")"),"")</f>
        <v/>
      </c>
      <c r="O129" s="21" t="str">
        <f>IFERROR(__xludf.DUMMYFUNCTION("IFERROR((GOOGLEFINANCE(C129, ""price"") / INDEX(GOOGLEFINANCE(C129, ""price"", EDATE(TODAY(), -6), TODAY()), 2, 2)) - 1, """")"),"")</f>
        <v/>
      </c>
      <c r="P129" s="21" t="str">
        <f>IFERROR(__xludf.DUMMYFUNCTION("IFERROR((GOOGLEFINANCE(C129, ""price"") / INDEX(GOOGLEFINANCE(C129, ""price"", EDATE(TODAY(), -12), TODAY()), 2, 2)) - 1, """")"),"")</f>
        <v/>
      </c>
      <c r="Q129" s="6" t="str">
        <f>IFERROR(__xludf.DUMMYFUNCTION("AVERAGE(QUERY(GOOGLEFINANCE(C129, ""price"", TODAY()-80, TODAY()), ""SELECT Col2 WHERE Col2 IS NOT NULL ORDER BY Col1 DESC LIMIT 50"", 0))"),"#N/A")</f>
        <v>#N/A</v>
      </c>
      <c r="R129" s="24" t="str">
        <f>IFERROR(__xludf.DUMMYFUNCTION("IFERROR(
  LET(
    data, QUERY(GOOGLEFINANCE(C129,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GOOGLEFINANCE(C129, ""price"")) * 100,
    IF(calc=0, G129, calc)
  ), 
G129)"),"#N/A")</f>
        <v>#N/A</v>
      </c>
      <c r="S129" s="8" t="s">
        <v>15</v>
      </c>
      <c r="T129" s="26" t="str">
        <f>IFERROR(__xludf.DUMMYFUNCTION("IFERROR(TRANSPOSE(QUERY(IFERROR(SORT(GOOGLEFINANCE(C129, ""price"", WORKDAY(TODAY(), -40), TODAY()), 1, FALSE)), ""select Col2 where Col2 is not null limit 22 label Col2 ''"", 0)), """")"),"")</f>
        <v/>
      </c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8"/>
      <c r="AO129" s="28"/>
      <c r="AP129" s="29"/>
      <c r="AQ129" s="29" t="str">
        <f t="shared" ref="AQ129:BL129" si="132">T129/T$2</f>
        <v>#N/A</v>
      </c>
      <c r="AR129" s="29" t="str">
        <f t="shared" si="132"/>
        <v>#DIV/0!</v>
      </c>
      <c r="AS129" s="29" t="str">
        <f t="shared" si="132"/>
        <v>#DIV/0!</v>
      </c>
      <c r="AT129" s="29" t="str">
        <f t="shared" si="132"/>
        <v>#DIV/0!</v>
      </c>
      <c r="AU129" s="29" t="str">
        <f t="shared" si="132"/>
        <v>#DIV/0!</v>
      </c>
      <c r="AV129" s="29" t="str">
        <f t="shared" si="132"/>
        <v>#DIV/0!</v>
      </c>
      <c r="AW129" s="29" t="str">
        <f t="shared" si="132"/>
        <v>#DIV/0!</v>
      </c>
      <c r="AX129" s="29" t="str">
        <f t="shared" si="132"/>
        <v>#DIV/0!</v>
      </c>
      <c r="AY129" s="29" t="str">
        <f t="shared" si="132"/>
        <v>#DIV/0!</v>
      </c>
      <c r="AZ129" s="29" t="str">
        <f t="shared" si="132"/>
        <v>#DIV/0!</v>
      </c>
      <c r="BA129" s="29" t="str">
        <f t="shared" si="132"/>
        <v>#DIV/0!</v>
      </c>
      <c r="BB129" s="29" t="str">
        <f t="shared" si="132"/>
        <v>#DIV/0!</v>
      </c>
      <c r="BC129" s="29" t="str">
        <f t="shared" si="132"/>
        <v>#DIV/0!</v>
      </c>
      <c r="BD129" s="29" t="str">
        <f t="shared" si="132"/>
        <v>#DIV/0!</v>
      </c>
      <c r="BE129" s="29" t="str">
        <f t="shared" si="132"/>
        <v>#DIV/0!</v>
      </c>
      <c r="BF129" s="29" t="str">
        <f t="shared" si="132"/>
        <v>#DIV/0!</v>
      </c>
      <c r="BG129" s="29" t="str">
        <f t="shared" si="132"/>
        <v>#DIV/0!</v>
      </c>
      <c r="BH129" s="29" t="str">
        <f t="shared" si="132"/>
        <v>#DIV/0!</v>
      </c>
      <c r="BI129" s="29" t="str">
        <f t="shared" si="132"/>
        <v>#DIV/0!</v>
      </c>
      <c r="BJ129" s="29" t="str">
        <f t="shared" si="132"/>
        <v>#DIV/0!</v>
      </c>
      <c r="BK129" s="29" t="str">
        <f t="shared" si="132"/>
        <v>#DIV/0!</v>
      </c>
      <c r="BL129" s="29" t="str">
        <f t="shared" si="132"/>
        <v>#DIV/0!</v>
      </c>
      <c r="BM129" s="29" t="str">
        <f t="shared" si="3"/>
        <v>#DIV/0!</v>
      </c>
    </row>
    <row r="130">
      <c r="A130" s="16" t="str">
        <f>IFERROR(__xludf.DUMMYFUNCTION("IFERROR(SPARKLINE(SORT(MAP(TRANSPOSE(AQ130:BL130), LAMBDA(val, IF(ISNUMBER(val), PERCENTRANK(AQ130:BL130, val)+0.01, 0))), SEQUENCE(COLUMNS(AQ130:BL130)), FALSE), {""charttype"",""column""; ""color"",""chartreuse""; ""ymin"", 0; ""ymax"", 1.01; ""highcolo"&amp;"r"", ""darkgreen""; ""lowcolor"", ""red""}), """")"),"")</f>
        <v/>
      </c>
      <c r="B130" s="17" t="str">
        <f t="shared" si="4"/>
        <v/>
      </c>
      <c r="C130" s="1" t="s">
        <v>581</v>
      </c>
      <c r="D130" s="30" t="str">
        <f>IFERROR(__xludf.DUMMYFUNCTION("IFERROR(GOOGLEFINANCE(C130, ""NAME""))"),"Restaurant Brands International Inc")</f>
        <v>Restaurant Brands International Inc</v>
      </c>
      <c r="E130" s="30" t="s">
        <v>126</v>
      </c>
      <c r="F130" s="38" t="str">
        <f>IFERROR(__xludf.DUMMYFUNCTION("( (GOOGLEFINANCE(C130, ""price"") - Q130) / Q130 ) / (R130 / 100)"),"Loading...")</f>
        <v>Loading...</v>
      </c>
      <c r="G130" s="20" t="str">
        <f>IFERROR(__xludf.DUMMYFUNCTION("AVERAGE(ARRAYFORMULA(100 * (QUERY(GOOGLEFINANCE(C130, ""high"", TODAY()-40, TODAY()), ""SELECT Col2 WHERE Col2 IS NOT NULL ORDER BY Col1 DESC LIMIT 20"", 0) / QUERY(GOOGLEFINANCE(C130, ""low"", TODAY()-40, TODAY()), ""SELECT Col2 WHERE Col2 IS NOT NULL OR"&amp;"DER BY Col1 DESC LIMIT 20"", 0) - 1)))"),"#N/A")</f>
        <v>#N/A</v>
      </c>
      <c r="H130" s="35" t="str">
        <f t="shared" si="6"/>
        <v/>
      </c>
      <c r="I130" s="35" t="str">
        <f t="shared" si="7"/>
        <v/>
      </c>
      <c r="J130" s="37" t="str">
        <f>IFERROR(__xludf.DUMMYFUNCTION("IFERROR(
  IF(C130="""",, 
    IFERROR(
      GOOGLEFINANCE(C130, ""price"") * GOOGLEFINANCE(C130, ""volumeavg""), 
      GOOGLEFINANCE(C130, ""price"") * AVERAGE(QUERY(GOOGLEFINANCE(C130, ""volume"", TODAY()-40, TODAY()), ""SELECT Col2 WHERE Col2 IS NOT "&amp;"NULL ORDER BY Col1 DESC LIMIT 20"", 0))
    )
  ), 
"""")"),"")</f>
        <v/>
      </c>
      <c r="K130" s="21" t="str">
        <f>IFERROR(__xludf.DUMMYFUNCTION("IFERROR(GOOGLEFINANCE(C130, ""changepct"") / 100, """")"),"")</f>
        <v/>
      </c>
      <c r="L130" s="21" t="str">
        <f>IFERROR(__xludf.DUMMYFUNCTION("IFERROR((GOOGLEFINANCE(C130, ""price"") / INDEX(GOOGLEFINANCE(C130, ""price"", TODAY()-7, TODAY()), 2, 2)) - 1, """")"),"")</f>
        <v/>
      </c>
      <c r="M130" s="21" t="str">
        <f>IFERROR(__xludf.DUMMYFUNCTION("IFERROR((GOOGLEFINANCE(C130, ""price"") / INDEX(GOOGLEFINANCE(C130, ""price"", EDATE(TODAY(), -1), TODAY()), 2, 2)) - 1, """")"),"")</f>
        <v/>
      </c>
      <c r="N130" s="21" t="str">
        <f>IFERROR(__xludf.DUMMYFUNCTION("IFERROR((GOOGLEFINANCE(C130, ""price"") / INDEX(GOOGLEFINANCE(C130, ""price"", EDATE(TODAY(), -3), TODAY()), 2, 2)) - 1, """")"),"")</f>
        <v/>
      </c>
      <c r="O130" s="21" t="str">
        <f>IFERROR(__xludf.DUMMYFUNCTION("IFERROR((GOOGLEFINANCE(C130, ""price"") / INDEX(GOOGLEFINANCE(C130, ""price"", EDATE(TODAY(), -6), TODAY()), 2, 2)) - 1, """")"),"")</f>
        <v/>
      </c>
      <c r="P130" s="21" t="str">
        <f>IFERROR(__xludf.DUMMYFUNCTION("IFERROR((GOOGLEFINANCE(C130, ""price"") / INDEX(GOOGLEFINANCE(C130, ""price"", EDATE(TODAY(), -12), TODAY()), 2, 2)) - 1, """")"),"")</f>
        <v/>
      </c>
      <c r="Q130" s="6" t="str">
        <f>IFERROR(__xludf.DUMMYFUNCTION("AVERAGE(QUERY(GOOGLEFINANCE(C130, ""price"", TODAY()-80, TODAY()), ""SELECT Col2 WHERE Col2 IS NOT NULL ORDER BY Col1 DESC LIMIT 50"", 0))"),"#N/A")</f>
        <v>#N/A</v>
      </c>
      <c r="R130" s="24" t="str">
        <f>IFERROR(__xludf.DUMMYFUNCTION("IFERROR(
  LET(
    data, QUERY(GOOGLEFINANCE(C130,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GOOGLEFINANCE(C130, ""price"")) * 100,
    IF(calc=0, G130, calc)
  ), 
G130)"),"#N/A")</f>
        <v>#N/A</v>
      </c>
      <c r="S130" s="8" t="s">
        <v>15</v>
      </c>
      <c r="T130" s="26" t="str">
        <f>IFERROR(__xludf.DUMMYFUNCTION("IFERROR(TRANSPOSE(QUERY(IFERROR(SORT(GOOGLEFINANCE(C130, ""price"", WORKDAY(TODAY(), -40), TODAY()), 1, FALSE)), ""select Col2 where Col2 is not null limit 22 label Col2 ''"", 0)), """")"),"")</f>
        <v/>
      </c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8"/>
      <c r="AO130" s="28"/>
      <c r="AP130" s="29"/>
      <c r="AQ130" s="29" t="str">
        <f t="shared" ref="AQ130:BL130" si="133">T130/T$2</f>
        <v>#N/A</v>
      </c>
      <c r="AR130" s="29" t="str">
        <f t="shared" si="133"/>
        <v>#DIV/0!</v>
      </c>
      <c r="AS130" s="29" t="str">
        <f t="shared" si="133"/>
        <v>#DIV/0!</v>
      </c>
      <c r="AT130" s="29" t="str">
        <f t="shared" si="133"/>
        <v>#DIV/0!</v>
      </c>
      <c r="AU130" s="29" t="str">
        <f t="shared" si="133"/>
        <v>#DIV/0!</v>
      </c>
      <c r="AV130" s="29" t="str">
        <f t="shared" si="133"/>
        <v>#DIV/0!</v>
      </c>
      <c r="AW130" s="29" t="str">
        <f t="shared" si="133"/>
        <v>#DIV/0!</v>
      </c>
      <c r="AX130" s="29" t="str">
        <f t="shared" si="133"/>
        <v>#DIV/0!</v>
      </c>
      <c r="AY130" s="29" t="str">
        <f t="shared" si="133"/>
        <v>#DIV/0!</v>
      </c>
      <c r="AZ130" s="29" t="str">
        <f t="shared" si="133"/>
        <v>#DIV/0!</v>
      </c>
      <c r="BA130" s="29" t="str">
        <f t="shared" si="133"/>
        <v>#DIV/0!</v>
      </c>
      <c r="BB130" s="29" t="str">
        <f t="shared" si="133"/>
        <v>#DIV/0!</v>
      </c>
      <c r="BC130" s="29" t="str">
        <f t="shared" si="133"/>
        <v>#DIV/0!</v>
      </c>
      <c r="BD130" s="29" t="str">
        <f t="shared" si="133"/>
        <v>#DIV/0!</v>
      </c>
      <c r="BE130" s="29" t="str">
        <f t="shared" si="133"/>
        <v>#DIV/0!</v>
      </c>
      <c r="BF130" s="29" t="str">
        <f t="shared" si="133"/>
        <v>#DIV/0!</v>
      </c>
      <c r="BG130" s="29" t="str">
        <f t="shared" si="133"/>
        <v>#DIV/0!</v>
      </c>
      <c r="BH130" s="29" t="str">
        <f t="shared" si="133"/>
        <v>#DIV/0!</v>
      </c>
      <c r="BI130" s="29" t="str">
        <f t="shared" si="133"/>
        <v>#DIV/0!</v>
      </c>
      <c r="BJ130" s="29" t="str">
        <f t="shared" si="133"/>
        <v>#DIV/0!</v>
      </c>
      <c r="BK130" s="29" t="str">
        <f t="shared" si="133"/>
        <v>#DIV/0!</v>
      </c>
      <c r="BL130" s="29" t="str">
        <f t="shared" si="133"/>
        <v>#DIV/0!</v>
      </c>
      <c r="BM130" s="29" t="str">
        <f t="shared" si="3"/>
        <v>#DIV/0!</v>
      </c>
    </row>
    <row r="131">
      <c r="A131" s="16" t="str">
        <f>IFERROR(__xludf.DUMMYFUNCTION("IFERROR(SPARKLINE(SORT(MAP(TRANSPOSE(AQ131:BL131), LAMBDA(val, IF(ISNUMBER(val), PERCENTRANK(AQ131:BL131, val)+0.01, 0))), SEQUENCE(COLUMNS(AQ131:BL131)), FALSE), {""charttype"",""column""; ""color"",""chartreuse""; ""ymin"", 0; ""ymax"", 1.01; ""highcolo"&amp;"r"", ""darkgreen""; ""lowcolor"", ""red""}), """")"),"")</f>
        <v/>
      </c>
      <c r="B131" s="17" t="str">
        <f t="shared" si="4"/>
        <v/>
      </c>
      <c r="C131" s="1" t="s">
        <v>586</v>
      </c>
      <c r="D131" s="30" t="str">
        <f>IFERROR(__xludf.DUMMYFUNCTION("IFERROR(GOOGLEFINANCE(C131, ""NAME""))"),"Global-E Online Ltd")</f>
        <v>Global-E Online Ltd</v>
      </c>
      <c r="E131" s="30" t="s">
        <v>137</v>
      </c>
      <c r="F131" s="33" t="str">
        <f>IFERROR(__xludf.DUMMYFUNCTION("( (GOOGLEFINANCE(C131, ""price"") - Q131) / Q131 ) / (R131 / 100)"),"Loading...")</f>
        <v>Loading...</v>
      </c>
      <c r="G131" s="20" t="str">
        <f>IFERROR(__xludf.DUMMYFUNCTION("AVERAGE(ARRAYFORMULA(100 * (QUERY(GOOGLEFINANCE(C131, ""high"", TODAY()-40, TODAY()), ""SELECT Col2 WHERE Col2 IS NOT NULL ORDER BY Col1 DESC LIMIT 20"", 0) / QUERY(GOOGLEFINANCE(C131, ""low"", TODAY()-40, TODAY()), ""SELECT Col2 WHERE Col2 IS NOT NULL OR"&amp;"DER BY Col1 DESC LIMIT 20"", 0) - 1)))"),"#N/A")</f>
        <v>#N/A</v>
      </c>
      <c r="H131" s="35" t="str">
        <f t="shared" si="6"/>
        <v/>
      </c>
      <c r="I131" s="35" t="str">
        <f t="shared" si="7"/>
        <v/>
      </c>
      <c r="J131" s="37" t="str">
        <f>IFERROR(__xludf.DUMMYFUNCTION("IFERROR(
  IF(C131="""",, 
    IFERROR(
      GOOGLEFINANCE(C131, ""price"") * GOOGLEFINANCE(C131, ""volumeavg""), 
      GOOGLEFINANCE(C131, ""price"") * AVERAGE(QUERY(GOOGLEFINANCE(C131, ""volume"", TODAY()-40, TODAY()), ""SELECT Col2 WHERE Col2 IS NOT "&amp;"NULL ORDER BY Col1 DESC LIMIT 20"", 0))
    )
  ), 
"""")"),"")</f>
        <v/>
      </c>
      <c r="K131" s="21" t="str">
        <f>IFERROR(__xludf.DUMMYFUNCTION("IFERROR(GOOGLEFINANCE(C131, ""changepct"") / 100, """")"),"")</f>
        <v/>
      </c>
      <c r="L131" s="21" t="str">
        <f>IFERROR(__xludf.DUMMYFUNCTION("IFERROR((GOOGLEFINANCE(C131, ""price"") / INDEX(GOOGLEFINANCE(C131, ""price"", TODAY()-7, TODAY()), 2, 2)) - 1, """")"),"")</f>
        <v/>
      </c>
      <c r="M131" s="21" t="str">
        <f>IFERROR(__xludf.DUMMYFUNCTION("IFERROR((GOOGLEFINANCE(C131, ""price"") / INDEX(GOOGLEFINANCE(C131, ""price"", EDATE(TODAY(), -1), TODAY()), 2, 2)) - 1, """")"),"")</f>
        <v/>
      </c>
      <c r="N131" s="21" t="str">
        <f>IFERROR(__xludf.DUMMYFUNCTION("IFERROR((GOOGLEFINANCE(C131, ""price"") / INDEX(GOOGLEFINANCE(C131, ""price"", EDATE(TODAY(), -3), TODAY()), 2, 2)) - 1, """")"),"")</f>
        <v/>
      </c>
      <c r="O131" s="21" t="str">
        <f>IFERROR(__xludf.DUMMYFUNCTION("IFERROR((GOOGLEFINANCE(C131, ""price"") / INDEX(GOOGLEFINANCE(C131, ""price"", EDATE(TODAY(), -6), TODAY()), 2, 2)) - 1, """")"),"")</f>
        <v/>
      </c>
      <c r="P131" s="21" t="str">
        <f>IFERROR(__xludf.DUMMYFUNCTION("IFERROR((GOOGLEFINANCE(C131, ""price"") / INDEX(GOOGLEFINANCE(C131, ""price"", EDATE(TODAY(), -12), TODAY()), 2, 2)) - 1, """")"),"")</f>
        <v/>
      </c>
      <c r="Q131" s="6" t="str">
        <f>IFERROR(__xludf.DUMMYFUNCTION("AVERAGE(QUERY(GOOGLEFINANCE(C131, ""price"", TODAY()-80, TODAY()), ""SELECT Col2 WHERE Col2 IS NOT NULL ORDER BY Col1 DESC LIMIT 50"", 0))"),"#N/A")</f>
        <v>#N/A</v>
      </c>
      <c r="R131" s="24" t="str">
        <f>IFERROR(__xludf.DUMMYFUNCTION("IFERROR(
  LET(
    data, QUERY(GOOGLEFINANCE(C131,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GOOGLEFINANCE(C131, ""price"")) * 100,
    IF(calc=0, G131, calc)
  ), 
G131)"),"#N/A")</f>
        <v>#N/A</v>
      </c>
      <c r="S131" s="8" t="s">
        <v>15</v>
      </c>
      <c r="T131" s="26" t="str">
        <f>IFERROR(__xludf.DUMMYFUNCTION("IFERROR(TRANSPOSE(QUERY(IFERROR(SORT(GOOGLEFINANCE(C131, ""price"", WORKDAY(TODAY(), -40), TODAY()), 1, FALSE)), ""select Col2 where Col2 is not null limit 22 label Col2 ''"", 0)), """")"),"")</f>
        <v/>
      </c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8"/>
      <c r="AO131" s="28"/>
      <c r="AP131" s="29"/>
      <c r="AQ131" s="29" t="str">
        <f t="shared" ref="AQ131:BL131" si="134">T131/T$2</f>
        <v>#N/A</v>
      </c>
      <c r="AR131" s="29" t="str">
        <f t="shared" si="134"/>
        <v>#DIV/0!</v>
      </c>
      <c r="AS131" s="29" t="str">
        <f t="shared" si="134"/>
        <v>#DIV/0!</v>
      </c>
      <c r="AT131" s="29" t="str">
        <f t="shared" si="134"/>
        <v>#DIV/0!</v>
      </c>
      <c r="AU131" s="29" t="str">
        <f t="shared" si="134"/>
        <v>#DIV/0!</v>
      </c>
      <c r="AV131" s="29" t="str">
        <f t="shared" si="134"/>
        <v>#DIV/0!</v>
      </c>
      <c r="AW131" s="29" t="str">
        <f t="shared" si="134"/>
        <v>#DIV/0!</v>
      </c>
      <c r="AX131" s="29" t="str">
        <f t="shared" si="134"/>
        <v>#DIV/0!</v>
      </c>
      <c r="AY131" s="29" t="str">
        <f t="shared" si="134"/>
        <v>#DIV/0!</v>
      </c>
      <c r="AZ131" s="29" t="str">
        <f t="shared" si="134"/>
        <v>#DIV/0!</v>
      </c>
      <c r="BA131" s="29" t="str">
        <f t="shared" si="134"/>
        <v>#DIV/0!</v>
      </c>
      <c r="BB131" s="29" t="str">
        <f t="shared" si="134"/>
        <v>#DIV/0!</v>
      </c>
      <c r="BC131" s="29" t="str">
        <f t="shared" si="134"/>
        <v>#DIV/0!</v>
      </c>
      <c r="BD131" s="29" t="str">
        <f t="shared" si="134"/>
        <v>#DIV/0!</v>
      </c>
      <c r="BE131" s="29" t="str">
        <f t="shared" si="134"/>
        <v>#DIV/0!</v>
      </c>
      <c r="BF131" s="29" t="str">
        <f t="shared" si="134"/>
        <v>#DIV/0!</v>
      </c>
      <c r="BG131" s="29" t="str">
        <f t="shared" si="134"/>
        <v>#DIV/0!</v>
      </c>
      <c r="BH131" s="29" t="str">
        <f t="shared" si="134"/>
        <v>#DIV/0!</v>
      </c>
      <c r="BI131" s="29" t="str">
        <f t="shared" si="134"/>
        <v>#DIV/0!</v>
      </c>
      <c r="BJ131" s="29" t="str">
        <f t="shared" si="134"/>
        <v>#DIV/0!</v>
      </c>
      <c r="BK131" s="29" t="str">
        <f t="shared" si="134"/>
        <v>#DIV/0!</v>
      </c>
      <c r="BL131" s="29" t="str">
        <f t="shared" si="134"/>
        <v>#DIV/0!</v>
      </c>
      <c r="BM131" s="29" t="str">
        <f t="shared" si="3"/>
        <v>#DIV/0!</v>
      </c>
    </row>
    <row r="132">
      <c r="A132" s="16" t="str">
        <f>IFERROR(__xludf.DUMMYFUNCTION("IFERROR(SPARKLINE(SORT(MAP(TRANSPOSE(AQ132:BL132), LAMBDA(val, IF(ISNUMBER(val), PERCENTRANK(AQ132:BL132, val)+0.01, 0))), SEQUENCE(COLUMNS(AQ132:BL132)), FALSE), {""charttype"",""column""; ""color"",""chartreuse""; ""ymin"", 0; ""ymax"", 1.01; ""highcolo"&amp;"r"", ""darkgreen""; ""lowcolor"", ""red""}), """")"),"")</f>
        <v/>
      </c>
      <c r="B132" s="17" t="str">
        <f t="shared" si="4"/>
        <v/>
      </c>
      <c r="C132" s="1" t="s">
        <v>589</v>
      </c>
      <c r="D132" s="30" t="str">
        <f>IFERROR(__xludf.DUMMYFUNCTION("IFERROR(GOOGLEFINANCE(C132, ""NAME""))"),"Chipotle Mexican Grill Inc")</f>
        <v>Chipotle Mexican Grill Inc</v>
      </c>
      <c r="E132" s="30" t="s">
        <v>126</v>
      </c>
      <c r="F132" s="33" t="str">
        <f>IFERROR(__xludf.DUMMYFUNCTION("( (GOOGLEFINANCE(C132, ""price"") - Q132) / Q132 ) / (R132 / 100)"),"Loading...")</f>
        <v>Loading...</v>
      </c>
      <c r="G132" s="20" t="str">
        <f>IFERROR(__xludf.DUMMYFUNCTION("AVERAGE(ARRAYFORMULA(100 * (QUERY(GOOGLEFINANCE(C132, ""high"", TODAY()-40, TODAY()), ""SELECT Col2 WHERE Col2 IS NOT NULL ORDER BY Col1 DESC LIMIT 20"", 0) / QUERY(GOOGLEFINANCE(C132, ""low"", TODAY()-40, TODAY()), ""SELECT Col2 WHERE Col2 IS NOT NULL OR"&amp;"DER BY Col1 DESC LIMIT 20"", 0) - 1)))"),"#N/A")</f>
        <v>#N/A</v>
      </c>
      <c r="H132" s="35" t="str">
        <f t="shared" si="6"/>
        <v/>
      </c>
      <c r="I132" s="35" t="str">
        <f t="shared" si="7"/>
        <v/>
      </c>
      <c r="J132" s="37" t="str">
        <f>IFERROR(__xludf.DUMMYFUNCTION("IFERROR(
  IF(C132="""",, 
    IFERROR(
      GOOGLEFINANCE(C132, ""price"") * GOOGLEFINANCE(C132, ""volumeavg""), 
      GOOGLEFINANCE(C132, ""price"") * AVERAGE(QUERY(GOOGLEFINANCE(C132, ""volume"", TODAY()-40, TODAY()), ""SELECT Col2 WHERE Col2 IS NOT "&amp;"NULL ORDER BY Col1 DESC LIMIT 20"", 0))
    )
  ), 
"""")"),"")</f>
        <v/>
      </c>
      <c r="K132" s="21" t="str">
        <f>IFERROR(__xludf.DUMMYFUNCTION("IFERROR(GOOGLEFINANCE(C132, ""changepct"") / 100, """")"),"")</f>
        <v/>
      </c>
      <c r="L132" s="21" t="str">
        <f>IFERROR(__xludf.DUMMYFUNCTION("IFERROR((GOOGLEFINANCE(C132, ""price"") / INDEX(GOOGLEFINANCE(C132, ""price"", TODAY()-7, TODAY()), 2, 2)) - 1, """")"),"")</f>
        <v/>
      </c>
      <c r="M132" s="21" t="str">
        <f>IFERROR(__xludf.DUMMYFUNCTION("IFERROR((GOOGLEFINANCE(C132, ""price"") / INDEX(GOOGLEFINANCE(C132, ""price"", EDATE(TODAY(), -1), TODAY()), 2, 2)) - 1, """")"),"")</f>
        <v/>
      </c>
      <c r="N132" s="21" t="str">
        <f>IFERROR(__xludf.DUMMYFUNCTION("IFERROR((GOOGLEFINANCE(C132, ""price"") / INDEX(GOOGLEFINANCE(C132, ""price"", EDATE(TODAY(), -3), TODAY()), 2, 2)) - 1, """")"),"")</f>
        <v/>
      </c>
      <c r="O132" s="21" t="str">
        <f>IFERROR(__xludf.DUMMYFUNCTION("IFERROR((GOOGLEFINANCE(C132, ""price"") / INDEX(GOOGLEFINANCE(C132, ""price"", EDATE(TODAY(), -6), TODAY()), 2, 2)) - 1, """")"),"")</f>
        <v/>
      </c>
      <c r="P132" s="21" t="str">
        <f>IFERROR(__xludf.DUMMYFUNCTION("IFERROR((GOOGLEFINANCE(C132, ""price"") / INDEX(GOOGLEFINANCE(C132, ""price"", EDATE(TODAY(), -12), TODAY()), 2, 2)) - 1, """")"),"")</f>
        <v/>
      </c>
      <c r="Q132" s="6" t="str">
        <f>IFERROR(__xludf.DUMMYFUNCTION("AVERAGE(QUERY(GOOGLEFINANCE(C132, ""price"", TODAY()-80, TODAY()), ""SELECT Col2 WHERE Col2 IS NOT NULL ORDER BY Col1 DESC LIMIT 50"", 0))"),"#N/A")</f>
        <v>#N/A</v>
      </c>
      <c r="R132" s="24" t="str">
        <f>IFERROR(__xludf.DUMMYFUNCTION("IFERROR(
  LET(
    data, QUERY(GOOGLEFINANCE(C132,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GOOGLEFINANCE(C132, ""price"")) * 100,
    IF(calc=0, G132, calc)
  ), 
G132)"),"#N/A")</f>
        <v>#N/A</v>
      </c>
      <c r="S132" s="8" t="s">
        <v>15</v>
      </c>
      <c r="T132" s="26" t="str">
        <f>IFERROR(__xludf.DUMMYFUNCTION("IFERROR(TRANSPOSE(QUERY(IFERROR(SORT(GOOGLEFINANCE(C132, ""price"", WORKDAY(TODAY(), -40), TODAY()), 1, FALSE)), ""select Col2 where Col2 is not null limit 22 label Col2 ''"", 0)), """")"),"")</f>
        <v/>
      </c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8"/>
      <c r="AO132" s="28"/>
      <c r="AP132" s="29"/>
      <c r="AQ132" s="29" t="str">
        <f t="shared" ref="AQ132:BL132" si="135">T132/T$2</f>
        <v>#N/A</v>
      </c>
      <c r="AR132" s="29" t="str">
        <f t="shared" si="135"/>
        <v>#DIV/0!</v>
      </c>
      <c r="AS132" s="29" t="str">
        <f t="shared" si="135"/>
        <v>#DIV/0!</v>
      </c>
      <c r="AT132" s="29" t="str">
        <f t="shared" si="135"/>
        <v>#DIV/0!</v>
      </c>
      <c r="AU132" s="29" t="str">
        <f t="shared" si="135"/>
        <v>#DIV/0!</v>
      </c>
      <c r="AV132" s="29" t="str">
        <f t="shared" si="135"/>
        <v>#DIV/0!</v>
      </c>
      <c r="AW132" s="29" t="str">
        <f t="shared" si="135"/>
        <v>#DIV/0!</v>
      </c>
      <c r="AX132" s="29" t="str">
        <f t="shared" si="135"/>
        <v>#DIV/0!</v>
      </c>
      <c r="AY132" s="29" t="str">
        <f t="shared" si="135"/>
        <v>#DIV/0!</v>
      </c>
      <c r="AZ132" s="29" t="str">
        <f t="shared" si="135"/>
        <v>#DIV/0!</v>
      </c>
      <c r="BA132" s="29" t="str">
        <f t="shared" si="135"/>
        <v>#DIV/0!</v>
      </c>
      <c r="BB132" s="29" t="str">
        <f t="shared" si="135"/>
        <v>#DIV/0!</v>
      </c>
      <c r="BC132" s="29" t="str">
        <f t="shared" si="135"/>
        <v>#DIV/0!</v>
      </c>
      <c r="BD132" s="29" t="str">
        <f t="shared" si="135"/>
        <v>#DIV/0!</v>
      </c>
      <c r="BE132" s="29" t="str">
        <f t="shared" si="135"/>
        <v>#DIV/0!</v>
      </c>
      <c r="BF132" s="29" t="str">
        <f t="shared" si="135"/>
        <v>#DIV/0!</v>
      </c>
      <c r="BG132" s="29" t="str">
        <f t="shared" si="135"/>
        <v>#DIV/0!</v>
      </c>
      <c r="BH132" s="29" t="str">
        <f t="shared" si="135"/>
        <v>#DIV/0!</v>
      </c>
      <c r="BI132" s="29" t="str">
        <f t="shared" si="135"/>
        <v>#DIV/0!</v>
      </c>
      <c r="BJ132" s="29" t="str">
        <f t="shared" si="135"/>
        <v>#DIV/0!</v>
      </c>
      <c r="BK132" s="29" t="str">
        <f t="shared" si="135"/>
        <v>#DIV/0!</v>
      </c>
      <c r="BL132" s="29" t="str">
        <f t="shared" si="135"/>
        <v>#DIV/0!</v>
      </c>
      <c r="BM132" s="29" t="str">
        <f t="shared" si="3"/>
        <v>#DIV/0!</v>
      </c>
    </row>
    <row r="133">
      <c r="A133" s="16" t="str">
        <f>IFERROR(__xludf.DUMMYFUNCTION("IFERROR(SPARKLINE(SORT(MAP(TRANSPOSE(AQ133:BL133), LAMBDA(val, IF(ISNUMBER(val), PERCENTRANK(AQ133:BL133, val)+0.01, 0))), SEQUENCE(COLUMNS(AQ133:BL133)), FALSE), {""charttype"",""column""; ""color"",""chartreuse""; ""ymin"", 0; ""ymax"", 1.01; ""highcolo"&amp;"r"", ""darkgreen""; ""lowcolor"", ""red""}), """")"),"")</f>
        <v/>
      </c>
      <c r="B133" s="17" t="str">
        <f t="shared" si="4"/>
        <v/>
      </c>
      <c r="C133" s="1" t="s">
        <v>593</v>
      </c>
      <c r="D133" s="30" t="str">
        <f>IFERROR(__xludf.DUMMYFUNCTION("IFERROR(GOOGLEFINANCE(C133, ""NAME""))"),"")</f>
        <v/>
      </c>
      <c r="E133" s="30" t="s">
        <v>190</v>
      </c>
      <c r="F133" s="33" t="str">
        <f>IFERROR(__xludf.DUMMYFUNCTION("( (GOOGLEFINANCE(C133, ""price"") - Q133) / Q133 ) / (R133 / 100)"),"Loading...")</f>
        <v>Loading...</v>
      </c>
      <c r="G133" s="20" t="str">
        <f>IFERROR(__xludf.DUMMYFUNCTION("AVERAGE(ARRAYFORMULA(100 * (QUERY(GOOGLEFINANCE(C133, ""high"", TODAY()-40, TODAY()), ""SELECT Col2 WHERE Col2 IS NOT NULL ORDER BY Col1 DESC LIMIT 20"", 0) / QUERY(GOOGLEFINANCE(C133, ""low"", TODAY()-40, TODAY()), ""SELECT Col2 WHERE Col2 IS NOT NULL OR"&amp;"DER BY Col1 DESC LIMIT 20"", 0) - 1)))"),"#N/A")</f>
        <v>#N/A</v>
      </c>
      <c r="H133" s="35" t="str">
        <f t="shared" si="6"/>
        <v/>
      </c>
      <c r="I133" s="35" t="str">
        <f t="shared" si="7"/>
        <v/>
      </c>
      <c r="J133" s="37" t="str">
        <f>IFERROR(__xludf.DUMMYFUNCTION("IFERROR(
  IF(C133="""",, 
    IFERROR(
      GOOGLEFINANCE(C133, ""price"") * GOOGLEFINANCE(C133, ""volumeavg""), 
      GOOGLEFINANCE(C133, ""price"") * AVERAGE(QUERY(GOOGLEFINANCE(C133, ""volume"", TODAY()-40, TODAY()), ""SELECT Col2 WHERE Col2 IS NOT "&amp;"NULL ORDER BY Col1 DESC LIMIT 20"", 0))
    )
  ), 
"""")"),"")</f>
        <v/>
      </c>
      <c r="K133" s="21" t="str">
        <f>IFERROR(__xludf.DUMMYFUNCTION("IFERROR(GOOGLEFINANCE(C133, ""changepct"") / 100, """")"),"")</f>
        <v/>
      </c>
      <c r="L133" s="21" t="str">
        <f>IFERROR(__xludf.DUMMYFUNCTION("IFERROR((GOOGLEFINANCE(C133, ""price"") / INDEX(GOOGLEFINANCE(C133, ""price"", TODAY()-7, TODAY()), 2, 2)) - 1, """")"),"")</f>
        <v/>
      </c>
      <c r="M133" s="21" t="str">
        <f>IFERROR(__xludf.DUMMYFUNCTION("IFERROR((GOOGLEFINANCE(C133, ""price"") / INDEX(GOOGLEFINANCE(C133, ""price"", EDATE(TODAY(), -1), TODAY()), 2, 2)) - 1, """")"),"")</f>
        <v/>
      </c>
      <c r="N133" s="21" t="str">
        <f>IFERROR(__xludf.DUMMYFUNCTION("IFERROR((GOOGLEFINANCE(C133, ""price"") / INDEX(GOOGLEFINANCE(C133, ""price"", EDATE(TODAY(), -3), TODAY()), 2, 2)) - 1, """")"),"")</f>
        <v/>
      </c>
      <c r="O133" s="21" t="str">
        <f>IFERROR(__xludf.DUMMYFUNCTION("IFERROR((GOOGLEFINANCE(C133, ""price"") / INDEX(GOOGLEFINANCE(C133, ""price"", EDATE(TODAY(), -6), TODAY()), 2, 2)) - 1, """")"),"")</f>
        <v/>
      </c>
      <c r="P133" s="21" t="str">
        <f>IFERROR(__xludf.DUMMYFUNCTION("IFERROR((GOOGLEFINANCE(C133, ""price"") / INDEX(GOOGLEFINANCE(C133, ""price"", EDATE(TODAY(), -12), TODAY()), 2, 2)) - 1, """")"),"")</f>
        <v/>
      </c>
      <c r="Q133" s="6" t="str">
        <f>IFERROR(__xludf.DUMMYFUNCTION("AVERAGE(QUERY(GOOGLEFINANCE(C133, ""price"", TODAY()-80, TODAY()), ""SELECT Col2 WHERE Col2 IS NOT NULL ORDER BY Col1 DESC LIMIT 50"", 0))"),"#N/A")</f>
        <v>#N/A</v>
      </c>
      <c r="R133" s="24" t="str">
        <f>IFERROR(__xludf.DUMMYFUNCTION("IFERROR(
  LET(
    data, QUERY(GOOGLEFINANCE(C133,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GOOGLEFINANCE(C133, ""price"")) * 100,
    IF(calc=0, G133, calc)
  ), 
G133)"),"#N/A")</f>
        <v>#N/A</v>
      </c>
      <c r="S133" s="8" t="s">
        <v>15</v>
      </c>
      <c r="T133" s="26" t="str">
        <f>IFERROR(__xludf.DUMMYFUNCTION("IFERROR(TRANSPOSE(QUERY(IFERROR(SORT(GOOGLEFINANCE(C133, ""price"", WORKDAY(TODAY(), -40), TODAY()), 1, FALSE)), ""select Col2 where Col2 is not null limit 22 label Col2 ''"", 0)), """")"),"")</f>
        <v/>
      </c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8"/>
      <c r="AO133" s="28"/>
      <c r="AP133" s="29"/>
      <c r="AQ133" s="29" t="str">
        <f t="shared" ref="AQ133:BL133" si="136">T133/T$2</f>
        <v>#N/A</v>
      </c>
      <c r="AR133" s="29" t="str">
        <f t="shared" si="136"/>
        <v>#DIV/0!</v>
      </c>
      <c r="AS133" s="29" t="str">
        <f t="shared" si="136"/>
        <v>#DIV/0!</v>
      </c>
      <c r="AT133" s="29" t="str">
        <f t="shared" si="136"/>
        <v>#DIV/0!</v>
      </c>
      <c r="AU133" s="29" t="str">
        <f t="shared" si="136"/>
        <v>#DIV/0!</v>
      </c>
      <c r="AV133" s="29" t="str">
        <f t="shared" si="136"/>
        <v>#DIV/0!</v>
      </c>
      <c r="AW133" s="29" t="str">
        <f t="shared" si="136"/>
        <v>#DIV/0!</v>
      </c>
      <c r="AX133" s="29" t="str">
        <f t="shared" si="136"/>
        <v>#DIV/0!</v>
      </c>
      <c r="AY133" s="29" t="str">
        <f t="shared" si="136"/>
        <v>#DIV/0!</v>
      </c>
      <c r="AZ133" s="29" t="str">
        <f t="shared" si="136"/>
        <v>#DIV/0!</v>
      </c>
      <c r="BA133" s="29" t="str">
        <f t="shared" si="136"/>
        <v>#DIV/0!</v>
      </c>
      <c r="BB133" s="29" t="str">
        <f t="shared" si="136"/>
        <v>#DIV/0!</v>
      </c>
      <c r="BC133" s="29" t="str">
        <f t="shared" si="136"/>
        <v>#DIV/0!</v>
      </c>
      <c r="BD133" s="29" t="str">
        <f t="shared" si="136"/>
        <v>#DIV/0!</v>
      </c>
      <c r="BE133" s="29" t="str">
        <f t="shared" si="136"/>
        <v>#DIV/0!</v>
      </c>
      <c r="BF133" s="29" t="str">
        <f t="shared" si="136"/>
        <v>#DIV/0!</v>
      </c>
      <c r="BG133" s="29" t="str">
        <f t="shared" si="136"/>
        <v>#DIV/0!</v>
      </c>
      <c r="BH133" s="29" t="str">
        <f t="shared" si="136"/>
        <v>#DIV/0!</v>
      </c>
      <c r="BI133" s="29" t="str">
        <f t="shared" si="136"/>
        <v>#DIV/0!</v>
      </c>
      <c r="BJ133" s="29" t="str">
        <f t="shared" si="136"/>
        <v>#DIV/0!</v>
      </c>
      <c r="BK133" s="29" t="str">
        <f t="shared" si="136"/>
        <v>#DIV/0!</v>
      </c>
      <c r="BL133" s="29" t="str">
        <f t="shared" si="136"/>
        <v>#DIV/0!</v>
      </c>
      <c r="BM133" s="29" t="str">
        <f t="shared" si="3"/>
        <v>#DIV/0!</v>
      </c>
    </row>
    <row r="134">
      <c r="A134" s="16" t="str">
        <f>IFERROR(__xludf.DUMMYFUNCTION("IFERROR(SPARKLINE(SORT(MAP(TRANSPOSE(AQ134:BL134), LAMBDA(val, IF(ISNUMBER(val), PERCENTRANK(AQ134:BL134, val)+0.01, 0))), SEQUENCE(COLUMNS(AQ134:BL134)), FALSE), {""charttype"",""column""; ""color"",""chartreuse""; ""ymin"", 0; ""ymax"", 1.01; ""highcolo"&amp;"r"", ""darkgreen""; ""lowcolor"", ""red""}), """")"),"")</f>
        <v/>
      </c>
      <c r="B134" s="17" t="str">
        <f t="shared" si="4"/>
        <v/>
      </c>
      <c r="C134" s="1" t="s">
        <v>598</v>
      </c>
      <c r="D134" s="30" t="str">
        <f>IFERROR(__xludf.DUMMYFUNCTION("IFERROR(GOOGLEFINANCE(C134, ""NAME""))"),"Yum China Holdings Inc")</f>
        <v>Yum China Holdings Inc</v>
      </c>
      <c r="E134" s="30" t="s">
        <v>126</v>
      </c>
      <c r="F134" s="33" t="str">
        <f>IFERROR(__xludf.DUMMYFUNCTION("( (GOOGLEFINANCE(C134, ""price"") - Q134) / Q134 ) / (R134 / 100)"),"Loading...")</f>
        <v>Loading...</v>
      </c>
      <c r="G134" s="20" t="str">
        <f>IFERROR(__xludf.DUMMYFUNCTION("AVERAGE(ARRAYFORMULA(100 * (QUERY(GOOGLEFINANCE(C134, ""high"", TODAY()-40, TODAY()), ""SELECT Col2 WHERE Col2 IS NOT NULL ORDER BY Col1 DESC LIMIT 20"", 0) / QUERY(GOOGLEFINANCE(C134, ""low"", TODAY()-40, TODAY()), ""SELECT Col2 WHERE Col2 IS NOT NULL OR"&amp;"DER BY Col1 DESC LIMIT 20"", 0) - 1)))"),"#N/A")</f>
        <v>#N/A</v>
      </c>
      <c r="H134" s="35" t="str">
        <f t="shared" si="6"/>
        <v/>
      </c>
      <c r="I134" s="35" t="str">
        <f t="shared" si="7"/>
        <v/>
      </c>
      <c r="J134" s="37" t="str">
        <f>IFERROR(__xludf.DUMMYFUNCTION("IFERROR(
  IF(C134="""",, 
    IFERROR(
      GOOGLEFINANCE(C134, ""price"") * GOOGLEFINANCE(C134, ""volumeavg""), 
      GOOGLEFINANCE(C134, ""price"") * AVERAGE(QUERY(GOOGLEFINANCE(C134, ""volume"", TODAY()-40, TODAY()), ""SELECT Col2 WHERE Col2 IS NOT "&amp;"NULL ORDER BY Col1 DESC LIMIT 20"", 0))
    )
  ), 
"""")"),"")</f>
        <v/>
      </c>
      <c r="K134" s="21" t="str">
        <f>IFERROR(__xludf.DUMMYFUNCTION("IFERROR(GOOGLEFINANCE(C134, ""changepct"") / 100, """")"),"")</f>
        <v/>
      </c>
      <c r="L134" s="21" t="str">
        <f>IFERROR(__xludf.DUMMYFUNCTION("IFERROR((GOOGLEFINANCE(C134, ""price"") / INDEX(GOOGLEFINANCE(C134, ""price"", TODAY()-7, TODAY()), 2, 2)) - 1, """")"),"")</f>
        <v/>
      </c>
      <c r="M134" s="21" t="str">
        <f>IFERROR(__xludf.DUMMYFUNCTION("IFERROR((GOOGLEFINANCE(C134, ""price"") / INDEX(GOOGLEFINANCE(C134, ""price"", EDATE(TODAY(), -1), TODAY()), 2, 2)) - 1, """")"),"")</f>
        <v/>
      </c>
      <c r="N134" s="21" t="str">
        <f>IFERROR(__xludf.DUMMYFUNCTION("IFERROR((GOOGLEFINANCE(C134, ""price"") / INDEX(GOOGLEFINANCE(C134, ""price"", EDATE(TODAY(), -3), TODAY()), 2, 2)) - 1, """")"),"")</f>
        <v/>
      </c>
      <c r="O134" s="21" t="str">
        <f>IFERROR(__xludf.DUMMYFUNCTION("IFERROR((GOOGLEFINANCE(C134, ""price"") / INDEX(GOOGLEFINANCE(C134, ""price"", EDATE(TODAY(), -6), TODAY()), 2, 2)) - 1, """")"),"")</f>
        <v/>
      </c>
      <c r="P134" s="21" t="str">
        <f>IFERROR(__xludf.DUMMYFUNCTION("IFERROR((GOOGLEFINANCE(C134, ""price"") / INDEX(GOOGLEFINANCE(C134, ""price"", EDATE(TODAY(), -12), TODAY()), 2, 2)) - 1, """")"),"")</f>
        <v/>
      </c>
      <c r="Q134" s="6" t="str">
        <f>IFERROR(__xludf.DUMMYFUNCTION("AVERAGE(QUERY(GOOGLEFINANCE(C134, ""price"", TODAY()-80, TODAY()), ""SELECT Col2 WHERE Col2 IS NOT NULL ORDER BY Col1 DESC LIMIT 50"", 0))"),"#N/A")</f>
        <v>#N/A</v>
      </c>
      <c r="R134" s="24" t="str">
        <f>IFERROR(__xludf.DUMMYFUNCTION("IFERROR(
  LET(
    data, QUERY(GOOGLEFINANCE(C134,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GOOGLEFINANCE(C134, ""price"")) * 100,
    IF(calc=0, G134, calc)
  ), 
G134)"),"#N/A")</f>
        <v>#N/A</v>
      </c>
      <c r="S134" s="8" t="s">
        <v>15</v>
      </c>
      <c r="T134" s="26" t="str">
        <f>IFERROR(__xludf.DUMMYFUNCTION("IFERROR(TRANSPOSE(QUERY(IFERROR(SORT(GOOGLEFINANCE(C134, ""price"", WORKDAY(TODAY(), -40), TODAY()), 1, FALSE)), ""select Col2 where Col2 is not null limit 22 label Col2 ''"", 0)), """")"),"")</f>
        <v/>
      </c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8"/>
      <c r="AO134" s="28"/>
      <c r="AP134" s="29"/>
      <c r="AQ134" s="29" t="str">
        <f t="shared" ref="AQ134:BL134" si="137">T134/T$2</f>
        <v>#N/A</v>
      </c>
      <c r="AR134" s="29" t="str">
        <f t="shared" si="137"/>
        <v>#DIV/0!</v>
      </c>
      <c r="AS134" s="29" t="str">
        <f t="shared" si="137"/>
        <v>#DIV/0!</v>
      </c>
      <c r="AT134" s="29" t="str">
        <f t="shared" si="137"/>
        <v>#DIV/0!</v>
      </c>
      <c r="AU134" s="29" t="str">
        <f t="shared" si="137"/>
        <v>#DIV/0!</v>
      </c>
      <c r="AV134" s="29" t="str">
        <f t="shared" si="137"/>
        <v>#DIV/0!</v>
      </c>
      <c r="AW134" s="29" t="str">
        <f t="shared" si="137"/>
        <v>#DIV/0!</v>
      </c>
      <c r="AX134" s="29" t="str">
        <f t="shared" si="137"/>
        <v>#DIV/0!</v>
      </c>
      <c r="AY134" s="29" t="str">
        <f t="shared" si="137"/>
        <v>#DIV/0!</v>
      </c>
      <c r="AZ134" s="29" t="str">
        <f t="shared" si="137"/>
        <v>#DIV/0!</v>
      </c>
      <c r="BA134" s="29" t="str">
        <f t="shared" si="137"/>
        <v>#DIV/0!</v>
      </c>
      <c r="BB134" s="29" t="str">
        <f t="shared" si="137"/>
        <v>#DIV/0!</v>
      </c>
      <c r="BC134" s="29" t="str">
        <f t="shared" si="137"/>
        <v>#DIV/0!</v>
      </c>
      <c r="BD134" s="29" t="str">
        <f t="shared" si="137"/>
        <v>#DIV/0!</v>
      </c>
      <c r="BE134" s="29" t="str">
        <f t="shared" si="137"/>
        <v>#DIV/0!</v>
      </c>
      <c r="BF134" s="29" t="str">
        <f t="shared" si="137"/>
        <v>#DIV/0!</v>
      </c>
      <c r="BG134" s="29" t="str">
        <f t="shared" si="137"/>
        <v>#DIV/0!</v>
      </c>
      <c r="BH134" s="29" t="str">
        <f t="shared" si="137"/>
        <v>#DIV/0!</v>
      </c>
      <c r="BI134" s="29" t="str">
        <f t="shared" si="137"/>
        <v>#DIV/0!</v>
      </c>
      <c r="BJ134" s="29" t="str">
        <f t="shared" si="137"/>
        <v>#DIV/0!</v>
      </c>
      <c r="BK134" s="29" t="str">
        <f t="shared" si="137"/>
        <v>#DIV/0!</v>
      </c>
      <c r="BL134" s="29" t="str">
        <f t="shared" si="137"/>
        <v>#DIV/0!</v>
      </c>
      <c r="BM134" s="29" t="str">
        <f t="shared" si="3"/>
        <v>#DIV/0!</v>
      </c>
    </row>
    <row r="135">
      <c r="A135" s="16" t="str">
        <f>IFERROR(__xludf.DUMMYFUNCTION("IFERROR(SPARKLINE(SORT(MAP(TRANSPOSE(AQ135:BL135), LAMBDA(val, IF(ISNUMBER(val), PERCENTRANK(AQ135:BL135, val)+0.01, 0))), SEQUENCE(COLUMNS(AQ135:BL135)), FALSE), {""charttype"",""column""; ""color"",""chartreuse""; ""ymin"", 0; ""ymax"", 1.01; ""highcolo"&amp;"r"", ""darkgreen""; ""lowcolor"", ""red""}), """")"),"")</f>
        <v/>
      </c>
      <c r="B135" s="17" t="str">
        <f t="shared" si="4"/>
        <v/>
      </c>
      <c r="C135" s="1" t="s">
        <v>602</v>
      </c>
      <c r="D135" s="30" t="str">
        <f>IFERROR(__xludf.DUMMYFUNCTION("IFERROR(GOOGLEFINANCE(C135, ""NAME""))"),"Yum! Brands Inc")</f>
        <v>Yum! Brands Inc</v>
      </c>
      <c r="E135" s="30" t="s">
        <v>126</v>
      </c>
      <c r="F135" s="33" t="str">
        <f>IFERROR(__xludf.DUMMYFUNCTION("( (GOOGLEFINANCE(C135, ""price"") - Q135) / Q135 ) / (R135 / 100)"),"Loading...")</f>
        <v>Loading...</v>
      </c>
      <c r="G135" s="20" t="str">
        <f>IFERROR(__xludf.DUMMYFUNCTION("AVERAGE(ARRAYFORMULA(100 * (QUERY(GOOGLEFINANCE(C135, ""high"", TODAY()-40, TODAY()), ""SELECT Col2 WHERE Col2 IS NOT NULL ORDER BY Col1 DESC LIMIT 20"", 0) / QUERY(GOOGLEFINANCE(C135, ""low"", TODAY()-40, TODAY()), ""SELECT Col2 WHERE Col2 IS NOT NULL OR"&amp;"DER BY Col1 DESC LIMIT 20"", 0) - 1)))"),"#N/A")</f>
        <v>#N/A</v>
      </c>
      <c r="H135" s="35" t="str">
        <f t="shared" si="6"/>
        <v/>
      </c>
      <c r="I135" s="35" t="str">
        <f t="shared" si="7"/>
        <v/>
      </c>
      <c r="J135" s="37" t="str">
        <f>IFERROR(__xludf.DUMMYFUNCTION("IFERROR(
  IF(C135="""",, 
    IFERROR(
      GOOGLEFINANCE(C135, ""price"") * GOOGLEFINANCE(C135, ""volumeavg""), 
      GOOGLEFINANCE(C135, ""price"") * AVERAGE(QUERY(GOOGLEFINANCE(C135, ""volume"", TODAY()-40, TODAY()), ""SELECT Col2 WHERE Col2 IS NOT "&amp;"NULL ORDER BY Col1 DESC LIMIT 20"", 0))
    )
  ), 
"""")"),"")</f>
        <v/>
      </c>
      <c r="K135" s="21" t="str">
        <f>IFERROR(__xludf.DUMMYFUNCTION("IFERROR(GOOGLEFINANCE(C135, ""changepct"") / 100, """")"),"")</f>
        <v/>
      </c>
      <c r="L135" s="21" t="str">
        <f>IFERROR(__xludf.DUMMYFUNCTION("IFERROR((GOOGLEFINANCE(C135, ""price"") / INDEX(GOOGLEFINANCE(C135, ""price"", TODAY()-7, TODAY()), 2, 2)) - 1, """")"),"")</f>
        <v/>
      </c>
      <c r="M135" s="21" t="str">
        <f>IFERROR(__xludf.DUMMYFUNCTION("IFERROR((GOOGLEFINANCE(C135, ""price"") / INDEX(GOOGLEFINANCE(C135, ""price"", EDATE(TODAY(), -1), TODAY()), 2, 2)) - 1, """")"),"")</f>
        <v/>
      </c>
      <c r="N135" s="21" t="str">
        <f>IFERROR(__xludf.DUMMYFUNCTION("IFERROR((GOOGLEFINANCE(C135, ""price"") / INDEX(GOOGLEFINANCE(C135, ""price"", EDATE(TODAY(), -3), TODAY()), 2, 2)) - 1, """")"),"")</f>
        <v/>
      </c>
      <c r="O135" s="21" t="str">
        <f>IFERROR(__xludf.DUMMYFUNCTION("IFERROR((GOOGLEFINANCE(C135, ""price"") / INDEX(GOOGLEFINANCE(C135, ""price"", EDATE(TODAY(), -6), TODAY()), 2, 2)) - 1, """")"),"")</f>
        <v/>
      </c>
      <c r="P135" s="21" t="str">
        <f>IFERROR(__xludf.DUMMYFUNCTION("IFERROR((GOOGLEFINANCE(C135, ""price"") / INDEX(GOOGLEFINANCE(C135, ""price"", EDATE(TODAY(), -12), TODAY()), 2, 2)) - 1, """")"),"")</f>
        <v/>
      </c>
      <c r="Q135" s="6" t="str">
        <f>IFERROR(__xludf.DUMMYFUNCTION("AVERAGE(QUERY(GOOGLEFINANCE(C135, ""price"", TODAY()-80, TODAY()), ""SELECT Col2 WHERE Col2 IS NOT NULL ORDER BY Col1 DESC LIMIT 50"", 0))"),"#N/A")</f>
        <v>#N/A</v>
      </c>
      <c r="R135" s="24" t="str">
        <f>IFERROR(__xludf.DUMMYFUNCTION("IFERROR(
  LET(
    data, QUERY(GOOGLEFINANCE(C135,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GOOGLEFINANCE(C135, ""price"")) * 100,
    IF(calc=0, G135, calc)
  ), 
G135)"),"#N/A")</f>
        <v>#N/A</v>
      </c>
      <c r="S135" s="8" t="s">
        <v>15</v>
      </c>
      <c r="T135" s="26" t="str">
        <f>IFERROR(__xludf.DUMMYFUNCTION("IFERROR(TRANSPOSE(QUERY(IFERROR(SORT(GOOGLEFINANCE(C135, ""price"", WORKDAY(TODAY(), -40), TODAY()), 1, FALSE)), ""select Col2 where Col2 is not null limit 22 label Col2 ''"", 0)), """")"),"")</f>
        <v/>
      </c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8"/>
      <c r="AO135" s="28"/>
      <c r="AP135" s="29"/>
      <c r="AQ135" s="29" t="str">
        <f t="shared" ref="AQ135:BL135" si="138">T135/T$2</f>
        <v>#N/A</v>
      </c>
      <c r="AR135" s="29" t="str">
        <f t="shared" si="138"/>
        <v>#DIV/0!</v>
      </c>
      <c r="AS135" s="29" t="str">
        <f t="shared" si="138"/>
        <v>#DIV/0!</v>
      </c>
      <c r="AT135" s="29" t="str">
        <f t="shared" si="138"/>
        <v>#DIV/0!</v>
      </c>
      <c r="AU135" s="29" t="str">
        <f t="shared" si="138"/>
        <v>#DIV/0!</v>
      </c>
      <c r="AV135" s="29" t="str">
        <f t="shared" si="138"/>
        <v>#DIV/0!</v>
      </c>
      <c r="AW135" s="29" t="str">
        <f t="shared" si="138"/>
        <v>#DIV/0!</v>
      </c>
      <c r="AX135" s="29" t="str">
        <f t="shared" si="138"/>
        <v>#DIV/0!</v>
      </c>
      <c r="AY135" s="29" t="str">
        <f t="shared" si="138"/>
        <v>#DIV/0!</v>
      </c>
      <c r="AZ135" s="29" t="str">
        <f t="shared" si="138"/>
        <v>#DIV/0!</v>
      </c>
      <c r="BA135" s="29" t="str">
        <f t="shared" si="138"/>
        <v>#DIV/0!</v>
      </c>
      <c r="BB135" s="29" t="str">
        <f t="shared" si="138"/>
        <v>#DIV/0!</v>
      </c>
      <c r="BC135" s="29" t="str">
        <f t="shared" si="138"/>
        <v>#DIV/0!</v>
      </c>
      <c r="BD135" s="29" t="str">
        <f t="shared" si="138"/>
        <v>#DIV/0!</v>
      </c>
      <c r="BE135" s="29" t="str">
        <f t="shared" si="138"/>
        <v>#DIV/0!</v>
      </c>
      <c r="BF135" s="29" t="str">
        <f t="shared" si="138"/>
        <v>#DIV/0!</v>
      </c>
      <c r="BG135" s="29" t="str">
        <f t="shared" si="138"/>
        <v>#DIV/0!</v>
      </c>
      <c r="BH135" s="29" t="str">
        <f t="shared" si="138"/>
        <v>#DIV/0!</v>
      </c>
      <c r="BI135" s="29" t="str">
        <f t="shared" si="138"/>
        <v>#DIV/0!</v>
      </c>
      <c r="BJ135" s="29" t="str">
        <f t="shared" si="138"/>
        <v>#DIV/0!</v>
      </c>
      <c r="BK135" s="29" t="str">
        <f t="shared" si="138"/>
        <v>#DIV/0!</v>
      </c>
      <c r="BL135" s="29" t="str">
        <f t="shared" si="138"/>
        <v>#DIV/0!</v>
      </c>
      <c r="BM135" s="29" t="str">
        <f t="shared" si="3"/>
        <v>#DIV/0!</v>
      </c>
    </row>
    <row r="136">
      <c r="A136" s="16" t="str">
        <f>IFERROR(__xludf.DUMMYFUNCTION("IFERROR(SPARKLINE(SORT(MAP(TRANSPOSE(AQ136:BL136), LAMBDA(val, IF(ISNUMBER(val), PERCENTRANK(AQ136:BL136, val)+0.01, 0))), SEQUENCE(COLUMNS(AQ136:BL136)), FALSE), {""charttype"",""column""; ""color"",""chartreuse""; ""ymin"", 0; ""ymax"", 1.01; ""highcolo"&amp;"r"", ""darkgreen""; ""lowcolor"", ""red""}), """")"),"")</f>
        <v/>
      </c>
      <c r="B136" s="17" t="str">
        <f t="shared" si="4"/>
        <v/>
      </c>
      <c r="C136" s="1" t="s">
        <v>605</v>
      </c>
      <c r="D136" s="30" t="str">
        <f>IFERROR(__xludf.DUMMYFUNCTION("IFERROR(GOOGLEFINANCE(C136, ""NAME""))"),"Standard Motor Products Inc")</f>
        <v>Standard Motor Products Inc</v>
      </c>
      <c r="E136" s="30" t="s">
        <v>109</v>
      </c>
      <c r="F136" s="33" t="str">
        <f>IFERROR(__xludf.DUMMYFUNCTION("( (GOOGLEFINANCE(C136, ""price"") - Q136) / Q136 ) / (R136 / 100)"),"Loading...")</f>
        <v>Loading...</v>
      </c>
      <c r="G136" s="20" t="str">
        <f>IFERROR(__xludf.DUMMYFUNCTION("AVERAGE(ARRAYFORMULA(100 * (QUERY(GOOGLEFINANCE(C136, ""high"", TODAY()-40, TODAY()), ""SELECT Col2 WHERE Col2 IS NOT NULL ORDER BY Col1 DESC LIMIT 20"", 0) / QUERY(GOOGLEFINANCE(C136, ""low"", TODAY()-40, TODAY()), ""SELECT Col2 WHERE Col2 IS NOT NULL OR"&amp;"DER BY Col1 DESC LIMIT 20"", 0) - 1)))"),"#N/A")</f>
        <v>#N/A</v>
      </c>
      <c r="H136" s="35" t="str">
        <f t="shared" si="6"/>
        <v/>
      </c>
      <c r="I136" s="35" t="str">
        <f t="shared" si="7"/>
        <v/>
      </c>
      <c r="J136" s="37" t="str">
        <f>IFERROR(__xludf.DUMMYFUNCTION("IFERROR(
  IF(C136="""",, 
    IFERROR(
      GOOGLEFINANCE(C136, ""price"") * GOOGLEFINANCE(C136, ""volumeavg""), 
      GOOGLEFINANCE(C136, ""price"") * AVERAGE(QUERY(GOOGLEFINANCE(C136, ""volume"", TODAY()-40, TODAY()), ""SELECT Col2 WHERE Col2 IS NOT "&amp;"NULL ORDER BY Col1 DESC LIMIT 20"", 0))
    )
  ), 
"""")"),"")</f>
        <v/>
      </c>
      <c r="K136" s="21" t="str">
        <f>IFERROR(__xludf.DUMMYFUNCTION("IFERROR(GOOGLEFINANCE(C136, ""changepct"") / 100, """")"),"")</f>
        <v/>
      </c>
      <c r="L136" s="21" t="str">
        <f>IFERROR(__xludf.DUMMYFUNCTION("IFERROR((GOOGLEFINANCE(C136, ""price"") / INDEX(GOOGLEFINANCE(C136, ""price"", TODAY()-7, TODAY()), 2, 2)) - 1, """")"),"")</f>
        <v/>
      </c>
      <c r="M136" s="21" t="str">
        <f>IFERROR(__xludf.DUMMYFUNCTION("IFERROR((GOOGLEFINANCE(C136, ""price"") / INDEX(GOOGLEFINANCE(C136, ""price"", EDATE(TODAY(), -1), TODAY()), 2, 2)) - 1, """")"),"")</f>
        <v/>
      </c>
      <c r="N136" s="21" t="str">
        <f>IFERROR(__xludf.DUMMYFUNCTION("IFERROR((GOOGLEFINANCE(C136, ""price"") / INDEX(GOOGLEFINANCE(C136, ""price"", EDATE(TODAY(), -3), TODAY()), 2, 2)) - 1, """")"),"")</f>
        <v/>
      </c>
      <c r="O136" s="21" t="str">
        <f>IFERROR(__xludf.DUMMYFUNCTION("IFERROR((GOOGLEFINANCE(C136, ""price"") / INDEX(GOOGLEFINANCE(C136, ""price"", EDATE(TODAY(), -6), TODAY()), 2, 2)) - 1, """")"),"")</f>
        <v/>
      </c>
      <c r="P136" s="21" t="str">
        <f>IFERROR(__xludf.DUMMYFUNCTION("IFERROR((GOOGLEFINANCE(C136, ""price"") / INDEX(GOOGLEFINANCE(C136, ""price"", EDATE(TODAY(), -12), TODAY()), 2, 2)) - 1, """")"),"")</f>
        <v/>
      </c>
      <c r="Q136" s="6" t="str">
        <f>IFERROR(__xludf.DUMMYFUNCTION("AVERAGE(QUERY(GOOGLEFINANCE(C136, ""price"", TODAY()-80, TODAY()), ""SELECT Col2 WHERE Col2 IS NOT NULL ORDER BY Col1 DESC LIMIT 50"", 0))"),"#N/A")</f>
        <v>#N/A</v>
      </c>
      <c r="R136" s="24" t="str">
        <f>IFERROR(__xludf.DUMMYFUNCTION("IFERROR(
  LET(
    data, QUERY(GOOGLEFINANCE(C136,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GOOGLEFINANCE(C136, ""price"")) * 100,
    IF(calc=0, G136, calc)
  ), 
G136)"),"#N/A")</f>
        <v>#N/A</v>
      </c>
      <c r="S136" s="8" t="s">
        <v>15</v>
      </c>
      <c r="T136" s="26" t="str">
        <f>IFERROR(__xludf.DUMMYFUNCTION("IFERROR(TRANSPOSE(QUERY(IFERROR(SORT(GOOGLEFINANCE(C136, ""price"", WORKDAY(TODAY(), -40), TODAY()), 1, FALSE)), ""select Col2 where Col2 is not null limit 22 label Col2 ''"", 0)), """")"),"")</f>
        <v/>
      </c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8"/>
      <c r="AO136" s="28"/>
      <c r="AP136" s="29"/>
      <c r="AQ136" s="29" t="str">
        <f t="shared" ref="AQ136:BL136" si="139">T136/T$2</f>
        <v>#N/A</v>
      </c>
      <c r="AR136" s="29" t="str">
        <f t="shared" si="139"/>
        <v>#DIV/0!</v>
      </c>
      <c r="AS136" s="29" t="str">
        <f t="shared" si="139"/>
        <v>#DIV/0!</v>
      </c>
      <c r="AT136" s="29" t="str">
        <f t="shared" si="139"/>
        <v>#DIV/0!</v>
      </c>
      <c r="AU136" s="29" t="str">
        <f t="shared" si="139"/>
        <v>#DIV/0!</v>
      </c>
      <c r="AV136" s="29" t="str">
        <f t="shared" si="139"/>
        <v>#DIV/0!</v>
      </c>
      <c r="AW136" s="29" t="str">
        <f t="shared" si="139"/>
        <v>#DIV/0!</v>
      </c>
      <c r="AX136" s="29" t="str">
        <f t="shared" si="139"/>
        <v>#DIV/0!</v>
      </c>
      <c r="AY136" s="29" t="str">
        <f t="shared" si="139"/>
        <v>#DIV/0!</v>
      </c>
      <c r="AZ136" s="29" t="str">
        <f t="shared" si="139"/>
        <v>#DIV/0!</v>
      </c>
      <c r="BA136" s="29" t="str">
        <f t="shared" si="139"/>
        <v>#DIV/0!</v>
      </c>
      <c r="BB136" s="29" t="str">
        <f t="shared" si="139"/>
        <v>#DIV/0!</v>
      </c>
      <c r="BC136" s="29" t="str">
        <f t="shared" si="139"/>
        <v>#DIV/0!</v>
      </c>
      <c r="BD136" s="29" t="str">
        <f t="shared" si="139"/>
        <v>#DIV/0!</v>
      </c>
      <c r="BE136" s="29" t="str">
        <f t="shared" si="139"/>
        <v>#DIV/0!</v>
      </c>
      <c r="BF136" s="29" t="str">
        <f t="shared" si="139"/>
        <v>#DIV/0!</v>
      </c>
      <c r="BG136" s="29" t="str">
        <f t="shared" si="139"/>
        <v>#DIV/0!</v>
      </c>
      <c r="BH136" s="29" t="str">
        <f t="shared" si="139"/>
        <v>#DIV/0!</v>
      </c>
      <c r="BI136" s="29" t="str">
        <f t="shared" si="139"/>
        <v>#DIV/0!</v>
      </c>
      <c r="BJ136" s="29" t="str">
        <f t="shared" si="139"/>
        <v>#DIV/0!</v>
      </c>
      <c r="BK136" s="29" t="str">
        <f t="shared" si="139"/>
        <v>#DIV/0!</v>
      </c>
      <c r="BL136" s="29" t="str">
        <f t="shared" si="139"/>
        <v>#DIV/0!</v>
      </c>
      <c r="BM136" s="29" t="str">
        <f t="shared" si="3"/>
        <v>#DIV/0!</v>
      </c>
    </row>
    <row r="137">
      <c r="A137" s="16" t="str">
        <f>IFERROR(__xludf.DUMMYFUNCTION("IFERROR(SPARKLINE(SORT(MAP(TRANSPOSE(AQ137:BL137), LAMBDA(val, IF(ISNUMBER(val), PERCENTRANK(AQ137:BL137, val)+0.01, 0))), SEQUENCE(COLUMNS(AQ137:BL137)), FALSE), {""charttype"",""column""; ""color"",""chartreuse""; ""ymin"", 0; ""ymax"", 1.01; ""highcolo"&amp;"r"", ""darkgreen""; ""lowcolor"", ""red""}), """")"),"")</f>
        <v/>
      </c>
      <c r="B137" s="17" t="str">
        <f t="shared" si="4"/>
        <v/>
      </c>
      <c r="C137" s="1" t="s">
        <v>609</v>
      </c>
      <c r="D137" s="30" t="str">
        <f>IFERROR(__xludf.DUMMYFUNCTION("IFERROR(GOOGLEFINANCE(C137, ""NAME""))"),"Sweetgreen Inc")</f>
        <v>Sweetgreen Inc</v>
      </c>
      <c r="E137" s="30" t="s">
        <v>126</v>
      </c>
      <c r="F137" s="33" t="str">
        <f>IFERROR(__xludf.DUMMYFUNCTION("( (GOOGLEFINANCE(C137, ""price"") - Q137) / Q137 ) / (R137 / 100)"),"Loading...")</f>
        <v>Loading...</v>
      </c>
      <c r="G137" s="20" t="str">
        <f>IFERROR(__xludf.DUMMYFUNCTION("AVERAGE(ARRAYFORMULA(100 * (QUERY(GOOGLEFINANCE(C137, ""high"", TODAY()-40, TODAY()), ""SELECT Col2 WHERE Col2 IS NOT NULL ORDER BY Col1 DESC LIMIT 20"", 0) / QUERY(GOOGLEFINANCE(C137, ""low"", TODAY()-40, TODAY()), ""SELECT Col2 WHERE Col2 IS NOT NULL OR"&amp;"DER BY Col1 DESC LIMIT 20"", 0) - 1)))"),"#N/A")</f>
        <v>#N/A</v>
      </c>
      <c r="H137" s="35" t="str">
        <f t="shared" si="6"/>
        <v/>
      </c>
      <c r="I137" s="35" t="str">
        <f t="shared" si="7"/>
        <v/>
      </c>
      <c r="J137" s="37" t="str">
        <f>IFERROR(__xludf.DUMMYFUNCTION("IFERROR(
  IF(C137="""",, 
    IFERROR(
      GOOGLEFINANCE(C137, ""price"") * GOOGLEFINANCE(C137, ""volumeavg""), 
      GOOGLEFINANCE(C137, ""price"") * AVERAGE(QUERY(GOOGLEFINANCE(C137, ""volume"", TODAY()-40, TODAY()), ""SELECT Col2 WHERE Col2 IS NOT "&amp;"NULL ORDER BY Col1 DESC LIMIT 20"", 0))
    )
  ), 
"""")"),"")</f>
        <v/>
      </c>
      <c r="K137" s="21" t="str">
        <f>IFERROR(__xludf.DUMMYFUNCTION("IFERROR(GOOGLEFINANCE(C137, ""changepct"") / 100, """")"),"")</f>
        <v/>
      </c>
      <c r="L137" s="21" t="str">
        <f>IFERROR(__xludf.DUMMYFUNCTION("IFERROR((GOOGLEFINANCE(C137, ""price"") / INDEX(GOOGLEFINANCE(C137, ""price"", TODAY()-7, TODAY()), 2, 2)) - 1, """")"),"")</f>
        <v/>
      </c>
      <c r="M137" s="21" t="str">
        <f>IFERROR(__xludf.DUMMYFUNCTION("IFERROR((GOOGLEFINANCE(C137, ""price"") / INDEX(GOOGLEFINANCE(C137, ""price"", EDATE(TODAY(), -1), TODAY()), 2, 2)) - 1, """")"),"")</f>
        <v/>
      </c>
      <c r="N137" s="21" t="str">
        <f>IFERROR(__xludf.DUMMYFUNCTION("IFERROR((GOOGLEFINANCE(C137, ""price"") / INDEX(GOOGLEFINANCE(C137, ""price"", EDATE(TODAY(), -3), TODAY()), 2, 2)) - 1, """")"),"")</f>
        <v/>
      </c>
      <c r="O137" s="21" t="str">
        <f>IFERROR(__xludf.DUMMYFUNCTION("IFERROR((GOOGLEFINANCE(C137, ""price"") / INDEX(GOOGLEFINANCE(C137, ""price"", EDATE(TODAY(), -6), TODAY()), 2, 2)) - 1, """")"),"")</f>
        <v/>
      </c>
      <c r="P137" s="21" t="str">
        <f>IFERROR(__xludf.DUMMYFUNCTION("IFERROR((GOOGLEFINANCE(C137, ""price"") / INDEX(GOOGLEFINANCE(C137, ""price"", EDATE(TODAY(), -12), TODAY()), 2, 2)) - 1, """")"),"")</f>
        <v/>
      </c>
      <c r="Q137" s="6" t="str">
        <f>IFERROR(__xludf.DUMMYFUNCTION("AVERAGE(QUERY(GOOGLEFINANCE(C137, ""price"", TODAY()-80, TODAY()), ""SELECT Col2 WHERE Col2 IS NOT NULL ORDER BY Col1 DESC LIMIT 50"", 0))"),"#N/A")</f>
        <v>#N/A</v>
      </c>
      <c r="R137" s="24" t="str">
        <f>IFERROR(__xludf.DUMMYFUNCTION("IFERROR(
  LET(
    data, QUERY(GOOGLEFINANCE(C137,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GOOGLEFINANCE(C137, ""price"")) * 100,
    IF(calc=0, G137, calc)
  ), 
G137)"),"#N/A")</f>
        <v>#N/A</v>
      </c>
      <c r="S137" s="8" t="s">
        <v>15</v>
      </c>
      <c r="T137" s="26" t="str">
        <f>IFERROR(__xludf.DUMMYFUNCTION("IFERROR(TRANSPOSE(QUERY(IFERROR(SORT(GOOGLEFINANCE(C137, ""price"", WORKDAY(TODAY(), -40), TODAY()), 1, FALSE)), ""select Col2 where Col2 is not null limit 22 label Col2 ''"", 0)), """")"),"")</f>
        <v/>
      </c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8"/>
      <c r="AO137" s="28"/>
      <c r="AP137" s="29"/>
      <c r="AQ137" s="29" t="str">
        <f t="shared" ref="AQ137:BL137" si="140">T137/T$2</f>
        <v>#N/A</v>
      </c>
      <c r="AR137" s="29" t="str">
        <f t="shared" si="140"/>
        <v>#DIV/0!</v>
      </c>
      <c r="AS137" s="29" t="str">
        <f t="shared" si="140"/>
        <v>#DIV/0!</v>
      </c>
      <c r="AT137" s="29" t="str">
        <f t="shared" si="140"/>
        <v>#DIV/0!</v>
      </c>
      <c r="AU137" s="29" t="str">
        <f t="shared" si="140"/>
        <v>#DIV/0!</v>
      </c>
      <c r="AV137" s="29" t="str">
        <f t="shared" si="140"/>
        <v>#DIV/0!</v>
      </c>
      <c r="AW137" s="29" t="str">
        <f t="shared" si="140"/>
        <v>#DIV/0!</v>
      </c>
      <c r="AX137" s="29" t="str">
        <f t="shared" si="140"/>
        <v>#DIV/0!</v>
      </c>
      <c r="AY137" s="29" t="str">
        <f t="shared" si="140"/>
        <v>#DIV/0!</v>
      </c>
      <c r="AZ137" s="29" t="str">
        <f t="shared" si="140"/>
        <v>#DIV/0!</v>
      </c>
      <c r="BA137" s="29" t="str">
        <f t="shared" si="140"/>
        <v>#DIV/0!</v>
      </c>
      <c r="BB137" s="29" t="str">
        <f t="shared" si="140"/>
        <v>#DIV/0!</v>
      </c>
      <c r="BC137" s="29" t="str">
        <f t="shared" si="140"/>
        <v>#DIV/0!</v>
      </c>
      <c r="BD137" s="29" t="str">
        <f t="shared" si="140"/>
        <v>#DIV/0!</v>
      </c>
      <c r="BE137" s="29" t="str">
        <f t="shared" si="140"/>
        <v>#DIV/0!</v>
      </c>
      <c r="BF137" s="29" t="str">
        <f t="shared" si="140"/>
        <v>#DIV/0!</v>
      </c>
      <c r="BG137" s="29" t="str">
        <f t="shared" si="140"/>
        <v>#DIV/0!</v>
      </c>
      <c r="BH137" s="29" t="str">
        <f t="shared" si="140"/>
        <v>#DIV/0!</v>
      </c>
      <c r="BI137" s="29" t="str">
        <f t="shared" si="140"/>
        <v>#DIV/0!</v>
      </c>
      <c r="BJ137" s="29" t="str">
        <f t="shared" si="140"/>
        <v>#DIV/0!</v>
      </c>
      <c r="BK137" s="29" t="str">
        <f t="shared" si="140"/>
        <v>#DIV/0!</v>
      </c>
      <c r="BL137" s="29" t="str">
        <f t="shared" si="140"/>
        <v>#DIV/0!</v>
      </c>
      <c r="BM137" s="29" t="str">
        <f t="shared" si="3"/>
        <v>#DIV/0!</v>
      </c>
    </row>
    <row r="138">
      <c r="A138" s="16" t="str">
        <f>IFERROR(__xludf.DUMMYFUNCTION("IFERROR(SPARKLINE(SORT(MAP(TRANSPOSE(AQ138:BL138), LAMBDA(val, IF(ISNUMBER(val), PERCENTRANK(AQ138:BL138, val)+0.01, 0))), SEQUENCE(COLUMNS(AQ138:BL138)), FALSE), {""charttype"",""column""; ""color"",""chartreuse""; ""ymin"", 0; ""ymax"", 1.01; ""highcolo"&amp;"r"", ""darkgreen""; ""lowcolor"", ""red""}), """")"),"")</f>
        <v/>
      </c>
      <c r="B138" s="17" t="str">
        <f t="shared" si="4"/>
        <v/>
      </c>
      <c r="C138" s="1" t="s">
        <v>612</v>
      </c>
      <c r="D138" s="30" t="str">
        <f>IFERROR(__xludf.DUMMYFUNCTION("IFERROR(GOOGLEFINANCE(C138, ""NAME""))"),"Cracker Barrel Old Country Store Inc")</f>
        <v>Cracker Barrel Old Country Store Inc</v>
      </c>
      <c r="E138" s="30" t="s">
        <v>126</v>
      </c>
      <c r="F138" s="38" t="str">
        <f>IFERROR(__xludf.DUMMYFUNCTION("( (GOOGLEFINANCE(C138, ""price"") - Q138) / Q138 ) / (R138 / 100)"),"Loading...")</f>
        <v>Loading...</v>
      </c>
      <c r="G138" s="20" t="str">
        <f>IFERROR(__xludf.DUMMYFUNCTION("AVERAGE(ARRAYFORMULA(100 * (QUERY(GOOGLEFINANCE(C138, ""high"", TODAY()-40, TODAY()), ""SELECT Col2 WHERE Col2 IS NOT NULL ORDER BY Col1 DESC LIMIT 20"", 0) / QUERY(GOOGLEFINANCE(C138, ""low"", TODAY()-40, TODAY()), ""SELECT Col2 WHERE Col2 IS NOT NULL OR"&amp;"DER BY Col1 DESC LIMIT 20"", 0) - 1)))"),"#N/A")</f>
        <v>#N/A</v>
      </c>
      <c r="H138" s="35" t="str">
        <f t="shared" si="6"/>
        <v/>
      </c>
      <c r="I138" s="35" t="str">
        <f t="shared" si="7"/>
        <v/>
      </c>
      <c r="J138" s="37" t="str">
        <f>IFERROR(__xludf.DUMMYFUNCTION("IFERROR(
  IF(C138="""",, 
    IFERROR(
      GOOGLEFINANCE(C138, ""price"") * GOOGLEFINANCE(C138, ""volumeavg""), 
      GOOGLEFINANCE(C138, ""price"") * AVERAGE(QUERY(GOOGLEFINANCE(C138, ""volume"", TODAY()-40, TODAY()), ""SELECT Col2 WHERE Col2 IS NOT "&amp;"NULL ORDER BY Col1 DESC LIMIT 20"", 0))
    )
  ), 
"""")"),"")</f>
        <v/>
      </c>
      <c r="K138" s="21" t="str">
        <f>IFERROR(__xludf.DUMMYFUNCTION("IFERROR(GOOGLEFINANCE(C138, ""changepct"") / 100, """")"),"")</f>
        <v/>
      </c>
      <c r="L138" s="21" t="str">
        <f>IFERROR(__xludf.DUMMYFUNCTION("IFERROR((GOOGLEFINANCE(C138, ""price"") / INDEX(GOOGLEFINANCE(C138, ""price"", TODAY()-7, TODAY()), 2, 2)) - 1, """")"),"")</f>
        <v/>
      </c>
      <c r="M138" s="21" t="str">
        <f>IFERROR(__xludf.DUMMYFUNCTION("IFERROR((GOOGLEFINANCE(C138, ""price"") / INDEX(GOOGLEFINANCE(C138, ""price"", EDATE(TODAY(), -1), TODAY()), 2, 2)) - 1, """")"),"")</f>
        <v/>
      </c>
      <c r="N138" s="21" t="str">
        <f>IFERROR(__xludf.DUMMYFUNCTION("IFERROR((GOOGLEFINANCE(C138, ""price"") / INDEX(GOOGLEFINANCE(C138, ""price"", EDATE(TODAY(), -3), TODAY()), 2, 2)) - 1, """")"),"")</f>
        <v/>
      </c>
      <c r="O138" s="21" t="str">
        <f>IFERROR(__xludf.DUMMYFUNCTION("IFERROR((GOOGLEFINANCE(C138, ""price"") / INDEX(GOOGLEFINANCE(C138, ""price"", EDATE(TODAY(), -6), TODAY()), 2, 2)) - 1, """")"),"")</f>
        <v/>
      </c>
      <c r="P138" s="21" t="str">
        <f>IFERROR(__xludf.DUMMYFUNCTION("IFERROR((GOOGLEFINANCE(C138, ""price"") / INDEX(GOOGLEFINANCE(C138, ""price"", EDATE(TODAY(), -12), TODAY()), 2, 2)) - 1, """")"),"")</f>
        <v/>
      </c>
      <c r="Q138" s="6" t="str">
        <f>IFERROR(__xludf.DUMMYFUNCTION("AVERAGE(QUERY(GOOGLEFINANCE(C138, ""price"", TODAY()-80, TODAY()), ""SELECT Col2 WHERE Col2 IS NOT NULL ORDER BY Col1 DESC LIMIT 50"", 0))"),"#N/A")</f>
        <v>#N/A</v>
      </c>
      <c r="R138" s="24" t="str">
        <f>IFERROR(__xludf.DUMMYFUNCTION("IFERROR(
  LET(
    data, QUERY(GOOGLEFINANCE(C138,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GOOGLEFINANCE(C138, ""price"")) * 100,
    IF(calc=0, G138, calc)
  ), 
G138)"),"#N/A")</f>
        <v>#N/A</v>
      </c>
      <c r="S138" s="8" t="s">
        <v>15</v>
      </c>
      <c r="T138" s="26" t="str">
        <f>IFERROR(__xludf.DUMMYFUNCTION("IFERROR(TRANSPOSE(QUERY(IFERROR(SORT(GOOGLEFINANCE(C138, ""price"", WORKDAY(TODAY(), -40), TODAY()), 1, FALSE)), ""select Col2 where Col2 is not null limit 22 label Col2 ''"", 0)), """")"),"")</f>
        <v/>
      </c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8"/>
      <c r="AO138" s="28"/>
      <c r="AP138" s="29"/>
      <c r="AQ138" s="29" t="str">
        <f t="shared" ref="AQ138:BL138" si="141">T138/T$2</f>
        <v>#N/A</v>
      </c>
      <c r="AR138" s="29" t="str">
        <f t="shared" si="141"/>
        <v>#DIV/0!</v>
      </c>
      <c r="AS138" s="29" t="str">
        <f t="shared" si="141"/>
        <v>#DIV/0!</v>
      </c>
      <c r="AT138" s="29" t="str">
        <f t="shared" si="141"/>
        <v>#DIV/0!</v>
      </c>
      <c r="AU138" s="29" t="str">
        <f t="shared" si="141"/>
        <v>#DIV/0!</v>
      </c>
      <c r="AV138" s="29" t="str">
        <f t="shared" si="141"/>
        <v>#DIV/0!</v>
      </c>
      <c r="AW138" s="29" t="str">
        <f t="shared" si="141"/>
        <v>#DIV/0!</v>
      </c>
      <c r="AX138" s="29" t="str">
        <f t="shared" si="141"/>
        <v>#DIV/0!</v>
      </c>
      <c r="AY138" s="29" t="str">
        <f t="shared" si="141"/>
        <v>#DIV/0!</v>
      </c>
      <c r="AZ138" s="29" t="str">
        <f t="shared" si="141"/>
        <v>#DIV/0!</v>
      </c>
      <c r="BA138" s="29" t="str">
        <f t="shared" si="141"/>
        <v>#DIV/0!</v>
      </c>
      <c r="BB138" s="29" t="str">
        <f t="shared" si="141"/>
        <v>#DIV/0!</v>
      </c>
      <c r="BC138" s="29" t="str">
        <f t="shared" si="141"/>
        <v>#DIV/0!</v>
      </c>
      <c r="BD138" s="29" t="str">
        <f t="shared" si="141"/>
        <v>#DIV/0!</v>
      </c>
      <c r="BE138" s="29" t="str">
        <f t="shared" si="141"/>
        <v>#DIV/0!</v>
      </c>
      <c r="BF138" s="29" t="str">
        <f t="shared" si="141"/>
        <v>#DIV/0!</v>
      </c>
      <c r="BG138" s="29" t="str">
        <f t="shared" si="141"/>
        <v>#DIV/0!</v>
      </c>
      <c r="BH138" s="29" t="str">
        <f t="shared" si="141"/>
        <v>#DIV/0!</v>
      </c>
      <c r="BI138" s="29" t="str">
        <f t="shared" si="141"/>
        <v>#DIV/0!</v>
      </c>
      <c r="BJ138" s="29" t="str">
        <f t="shared" si="141"/>
        <v>#DIV/0!</v>
      </c>
      <c r="BK138" s="29" t="str">
        <f t="shared" si="141"/>
        <v>#DIV/0!</v>
      </c>
      <c r="BL138" s="29" t="str">
        <f t="shared" si="141"/>
        <v>#DIV/0!</v>
      </c>
      <c r="BM138" s="29" t="str">
        <f t="shared" si="3"/>
        <v>#DIV/0!</v>
      </c>
    </row>
    <row r="139">
      <c r="A139" s="16" t="str">
        <f>IFERROR(__xludf.DUMMYFUNCTION("IFERROR(SPARKLINE(SORT(MAP(TRANSPOSE(AQ139:BL139), LAMBDA(val, IF(ISNUMBER(val), PERCENTRANK(AQ139:BL139, val)+0.01, 0))), SEQUENCE(COLUMNS(AQ139:BL139)), FALSE), {""charttype"",""column""; ""color"",""chartreuse""; ""ymin"", 0; ""ymax"", 1.01; ""highcolo"&amp;"r"", ""darkgreen""; ""lowcolor"", ""red""}), """")"),"")</f>
        <v/>
      </c>
      <c r="B139" s="17" t="str">
        <f t="shared" si="4"/>
        <v/>
      </c>
      <c r="C139" s="1" t="s">
        <v>616</v>
      </c>
      <c r="D139" s="30" t="str">
        <f>IFERROR(__xludf.DUMMYFUNCTION("IFERROR(GOOGLEFINANCE(C139, ""NAME""))"),"Hilton Grand Vacations Inc")</f>
        <v>Hilton Grand Vacations Inc</v>
      </c>
      <c r="E139" s="30" t="s">
        <v>354</v>
      </c>
      <c r="F139" s="33" t="str">
        <f>IFERROR(__xludf.DUMMYFUNCTION("( (GOOGLEFINANCE(C139, ""price"") - Q139) / Q139 ) / (R139 / 100)"),"Loading...")</f>
        <v>Loading...</v>
      </c>
      <c r="G139" s="20" t="str">
        <f>IFERROR(__xludf.DUMMYFUNCTION("AVERAGE(ARRAYFORMULA(100 * (QUERY(GOOGLEFINANCE(C139, ""high"", TODAY()-40, TODAY()), ""SELECT Col2 WHERE Col2 IS NOT NULL ORDER BY Col1 DESC LIMIT 20"", 0) / QUERY(GOOGLEFINANCE(C139, ""low"", TODAY()-40, TODAY()), ""SELECT Col2 WHERE Col2 IS NOT NULL OR"&amp;"DER BY Col1 DESC LIMIT 20"", 0) - 1)))"),"#N/A")</f>
        <v>#N/A</v>
      </c>
      <c r="H139" s="35" t="str">
        <f t="shared" si="6"/>
        <v/>
      </c>
      <c r="I139" s="35" t="str">
        <f t="shared" si="7"/>
        <v/>
      </c>
      <c r="J139" s="37" t="str">
        <f>IFERROR(__xludf.DUMMYFUNCTION("IFERROR(
  IF(C139="""",, 
    IFERROR(
      GOOGLEFINANCE(C139, ""price"") * GOOGLEFINANCE(C139, ""volumeavg""), 
      GOOGLEFINANCE(C139, ""price"") * AVERAGE(QUERY(GOOGLEFINANCE(C139, ""volume"", TODAY()-40, TODAY()), ""SELECT Col2 WHERE Col2 IS NOT "&amp;"NULL ORDER BY Col1 DESC LIMIT 20"", 0))
    )
  ), 
"""")"),"")</f>
        <v/>
      </c>
      <c r="K139" s="21" t="str">
        <f>IFERROR(__xludf.DUMMYFUNCTION("IFERROR(GOOGLEFINANCE(C139, ""changepct"") / 100, """")"),"")</f>
        <v/>
      </c>
      <c r="L139" s="21" t="str">
        <f>IFERROR(__xludf.DUMMYFUNCTION("IFERROR((GOOGLEFINANCE(C139, ""price"") / INDEX(GOOGLEFINANCE(C139, ""price"", TODAY()-7, TODAY()), 2, 2)) - 1, """")"),"")</f>
        <v/>
      </c>
      <c r="M139" s="21" t="str">
        <f>IFERROR(__xludf.DUMMYFUNCTION("IFERROR((GOOGLEFINANCE(C139, ""price"") / INDEX(GOOGLEFINANCE(C139, ""price"", EDATE(TODAY(), -1), TODAY()), 2, 2)) - 1, """")"),"")</f>
        <v/>
      </c>
      <c r="N139" s="21" t="str">
        <f>IFERROR(__xludf.DUMMYFUNCTION("IFERROR((GOOGLEFINANCE(C139, ""price"") / INDEX(GOOGLEFINANCE(C139, ""price"", EDATE(TODAY(), -3), TODAY()), 2, 2)) - 1, """")"),"")</f>
        <v/>
      </c>
      <c r="O139" s="21" t="str">
        <f>IFERROR(__xludf.DUMMYFUNCTION("IFERROR((GOOGLEFINANCE(C139, ""price"") / INDEX(GOOGLEFINANCE(C139, ""price"", EDATE(TODAY(), -6), TODAY()), 2, 2)) - 1, """")"),"")</f>
        <v/>
      </c>
      <c r="P139" s="21" t="str">
        <f>IFERROR(__xludf.DUMMYFUNCTION("IFERROR((GOOGLEFINANCE(C139, ""price"") / INDEX(GOOGLEFINANCE(C139, ""price"", EDATE(TODAY(), -12), TODAY()), 2, 2)) - 1, """")"),"")</f>
        <v/>
      </c>
      <c r="Q139" s="6" t="str">
        <f>IFERROR(__xludf.DUMMYFUNCTION("AVERAGE(QUERY(GOOGLEFINANCE(C139, ""price"", TODAY()-80, TODAY()), ""SELECT Col2 WHERE Col2 IS NOT NULL ORDER BY Col1 DESC LIMIT 50"", 0))"),"#N/A")</f>
        <v>#N/A</v>
      </c>
      <c r="R139" s="24" t="str">
        <f>IFERROR(__xludf.DUMMYFUNCTION("IFERROR(
  LET(
    data, QUERY(GOOGLEFINANCE(C139,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GOOGLEFINANCE(C139, ""price"")) * 100,
    IF(calc=0, G139, calc)
  ), 
G139)"),"#N/A")</f>
        <v>#N/A</v>
      </c>
      <c r="S139" s="8" t="s">
        <v>15</v>
      </c>
      <c r="T139" s="26" t="str">
        <f>IFERROR(__xludf.DUMMYFUNCTION("IFERROR(TRANSPOSE(QUERY(IFERROR(SORT(GOOGLEFINANCE(C139, ""price"", WORKDAY(TODAY(), -40), TODAY()), 1, FALSE)), ""select Col2 where Col2 is not null limit 22 label Col2 ''"", 0)), """")"),"")</f>
        <v/>
      </c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8"/>
      <c r="AO139" s="28"/>
      <c r="AP139" s="29"/>
      <c r="AQ139" s="29" t="str">
        <f t="shared" ref="AQ139:BL139" si="142">T139/T$2</f>
        <v>#N/A</v>
      </c>
      <c r="AR139" s="29" t="str">
        <f t="shared" si="142"/>
        <v>#DIV/0!</v>
      </c>
      <c r="AS139" s="29" t="str">
        <f t="shared" si="142"/>
        <v>#DIV/0!</v>
      </c>
      <c r="AT139" s="29" t="str">
        <f t="shared" si="142"/>
        <v>#DIV/0!</v>
      </c>
      <c r="AU139" s="29" t="str">
        <f t="shared" si="142"/>
        <v>#DIV/0!</v>
      </c>
      <c r="AV139" s="29" t="str">
        <f t="shared" si="142"/>
        <v>#DIV/0!</v>
      </c>
      <c r="AW139" s="29" t="str">
        <f t="shared" si="142"/>
        <v>#DIV/0!</v>
      </c>
      <c r="AX139" s="29" t="str">
        <f t="shared" si="142"/>
        <v>#DIV/0!</v>
      </c>
      <c r="AY139" s="29" t="str">
        <f t="shared" si="142"/>
        <v>#DIV/0!</v>
      </c>
      <c r="AZ139" s="29" t="str">
        <f t="shared" si="142"/>
        <v>#DIV/0!</v>
      </c>
      <c r="BA139" s="29" t="str">
        <f t="shared" si="142"/>
        <v>#DIV/0!</v>
      </c>
      <c r="BB139" s="29" t="str">
        <f t="shared" si="142"/>
        <v>#DIV/0!</v>
      </c>
      <c r="BC139" s="29" t="str">
        <f t="shared" si="142"/>
        <v>#DIV/0!</v>
      </c>
      <c r="BD139" s="29" t="str">
        <f t="shared" si="142"/>
        <v>#DIV/0!</v>
      </c>
      <c r="BE139" s="29" t="str">
        <f t="shared" si="142"/>
        <v>#DIV/0!</v>
      </c>
      <c r="BF139" s="29" t="str">
        <f t="shared" si="142"/>
        <v>#DIV/0!</v>
      </c>
      <c r="BG139" s="29" t="str">
        <f t="shared" si="142"/>
        <v>#DIV/0!</v>
      </c>
      <c r="BH139" s="29" t="str">
        <f t="shared" si="142"/>
        <v>#DIV/0!</v>
      </c>
      <c r="BI139" s="29" t="str">
        <f t="shared" si="142"/>
        <v>#DIV/0!</v>
      </c>
      <c r="BJ139" s="29" t="str">
        <f t="shared" si="142"/>
        <v>#DIV/0!</v>
      </c>
      <c r="BK139" s="29" t="str">
        <f t="shared" si="142"/>
        <v>#DIV/0!</v>
      </c>
      <c r="BL139" s="29" t="str">
        <f t="shared" si="142"/>
        <v>#DIV/0!</v>
      </c>
      <c r="BM139" s="29" t="str">
        <f t="shared" si="3"/>
        <v>#DIV/0!</v>
      </c>
    </row>
    <row r="140">
      <c r="A140" s="16" t="str">
        <f>IFERROR(__xludf.DUMMYFUNCTION("IFERROR(SPARKLINE(SORT(MAP(TRANSPOSE(AQ140:BL140), LAMBDA(val, IF(ISNUMBER(val), PERCENTRANK(AQ140:BL140, val)+0.01, 0))), SEQUENCE(COLUMNS(AQ140:BL140)), FALSE), {""charttype"",""column""; ""color"",""chartreuse""; ""ymin"", 0; ""ymax"", 1.01; ""highcolo"&amp;"r"", ""darkgreen""; ""lowcolor"", ""red""}), """")"),"")</f>
        <v/>
      </c>
      <c r="B140" s="17" t="str">
        <f t="shared" si="4"/>
        <v/>
      </c>
      <c r="C140" s="1" t="s">
        <v>621</v>
      </c>
      <c r="D140" s="30" t="str">
        <f>IFERROR(__xludf.DUMMYFUNCTION("IFERROR(GOOGLEFINANCE(C140, ""NAME""))"),"Hasbro Inc")</f>
        <v>Hasbro Inc</v>
      </c>
      <c r="E140" s="30" t="s">
        <v>158</v>
      </c>
      <c r="F140" s="38" t="str">
        <f>IFERROR(__xludf.DUMMYFUNCTION("( (GOOGLEFINANCE(C140, ""price"") - Q140) / Q140 ) / (R140 / 100)"),"Loading...")</f>
        <v>Loading...</v>
      </c>
      <c r="G140" s="20" t="str">
        <f>IFERROR(__xludf.DUMMYFUNCTION("AVERAGE(ARRAYFORMULA(100 * (QUERY(GOOGLEFINANCE(C140, ""high"", TODAY()-40, TODAY()), ""SELECT Col2 WHERE Col2 IS NOT NULL ORDER BY Col1 DESC LIMIT 20"", 0) / QUERY(GOOGLEFINANCE(C140, ""low"", TODAY()-40, TODAY()), ""SELECT Col2 WHERE Col2 IS NOT NULL OR"&amp;"DER BY Col1 DESC LIMIT 20"", 0) - 1)))"),"#N/A")</f>
        <v>#N/A</v>
      </c>
      <c r="H140" s="35" t="str">
        <f t="shared" si="6"/>
        <v/>
      </c>
      <c r="I140" s="35" t="str">
        <f t="shared" si="7"/>
        <v/>
      </c>
      <c r="J140" s="37" t="str">
        <f>IFERROR(__xludf.DUMMYFUNCTION("IFERROR(
  IF(C140="""",, 
    IFERROR(
      GOOGLEFINANCE(C140, ""price"") * GOOGLEFINANCE(C140, ""volumeavg""), 
      GOOGLEFINANCE(C140, ""price"") * AVERAGE(QUERY(GOOGLEFINANCE(C140, ""volume"", TODAY()-40, TODAY()), ""SELECT Col2 WHERE Col2 IS NOT "&amp;"NULL ORDER BY Col1 DESC LIMIT 20"", 0))
    )
  ), 
"""")"),"")</f>
        <v/>
      </c>
      <c r="K140" s="21" t="str">
        <f>IFERROR(__xludf.DUMMYFUNCTION("IFERROR(GOOGLEFINANCE(C140, ""changepct"") / 100, """")"),"")</f>
        <v/>
      </c>
      <c r="L140" s="21" t="str">
        <f>IFERROR(__xludf.DUMMYFUNCTION("IFERROR((GOOGLEFINANCE(C140, ""price"") / INDEX(GOOGLEFINANCE(C140, ""price"", TODAY()-7, TODAY()), 2, 2)) - 1, """")"),"")</f>
        <v/>
      </c>
      <c r="M140" s="21" t="str">
        <f>IFERROR(__xludf.DUMMYFUNCTION("IFERROR((GOOGLEFINANCE(C140, ""price"") / INDEX(GOOGLEFINANCE(C140, ""price"", EDATE(TODAY(), -1), TODAY()), 2, 2)) - 1, """")"),"")</f>
        <v/>
      </c>
      <c r="N140" s="21" t="str">
        <f>IFERROR(__xludf.DUMMYFUNCTION("IFERROR((GOOGLEFINANCE(C140, ""price"") / INDEX(GOOGLEFINANCE(C140, ""price"", EDATE(TODAY(), -3), TODAY()), 2, 2)) - 1, """")"),"")</f>
        <v/>
      </c>
      <c r="O140" s="21" t="str">
        <f>IFERROR(__xludf.DUMMYFUNCTION("IFERROR((GOOGLEFINANCE(C140, ""price"") / INDEX(GOOGLEFINANCE(C140, ""price"", EDATE(TODAY(), -6), TODAY()), 2, 2)) - 1, """")"),"")</f>
        <v/>
      </c>
      <c r="P140" s="21" t="str">
        <f>IFERROR(__xludf.DUMMYFUNCTION("IFERROR((GOOGLEFINANCE(C140, ""price"") / INDEX(GOOGLEFINANCE(C140, ""price"", EDATE(TODAY(), -12), TODAY()), 2, 2)) - 1, """")"),"")</f>
        <v/>
      </c>
      <c r="Q140" s="6" t="str">
        <f>IFERROR(__xludf.DUMMYFUNCTION("AVERAGE(QUERY(GOOGLEFINANCE(C140, ""price"", TODAY()-80, TODAY()), ""SELECT Col2 WHERE Col2 IS NOT NULL ORDER BY Col1 DESC LIMIT 50"", 0))"),"#N/A")</f>
        <v>#N/A</v>
      </c>
      <c r="R140" s="24" t="str">
        <f>IFERROR(__xludf.DUMMYFUNCTION("IFERROR(
  LET(
    data, QUERY(GOOGLEFINANCE(C140,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GOOGLEFINANCE(C140, ""price"")) * 100,
    IF(calc=0, G140, calc)
  ), 
G140)"),"#N/A")</f>
        <v>#N/A</v>
      </c>
      <c r="S140" s="8" t="s">
        <v>15</v>
      </c>
      <c r="T140" s="26" t="str">
        <f>IFERROR(__xludf.DUMMYFUNCTION("IFERROR(TRANSPOSE(QUERY(IFERROR(SORT(GOOGLEFINANCE(C140, ""price"", WORKDAY(TODAY(), -40), TODAY()), 1, FALSE)), ""select Col2 where Col2 is not null limit 22 label Col2 ''"", 0)), """")"),"")</f>
        <v/>
      </c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8"/>
      <c r="AO140" s="28"/>
      <c r="AP140" s="29"/>
      <c r="AQ140" s="29" t="str">
        <f t="shared" ref="AQ140:BL140" si="143">T140/T$2</f>
        <v>#N/A</v>
      </c>
      <c r="AR140" s="29" t="str">
        <f t="shared" si="143"/>
        <v>#DIV/0!</v>
      </c>
      <c r="AS140" s="29" t="str">
        <f t="shared" si="143"/>
        <v>#DIV/0!</v>
      </c>
      <c r="AT140" s="29" t="str">
        <f t="shared" si="143"/>
        <v>#DIV/0!</v>
      </c>
      <c r="AU140" s="29" t="str">
        <f t="shared" si="143"/>
        <v>#DIV/0!</v>
      </c>
      <c r="AV140" s="29" t="str">
        <f t="shared" si="143"/>
        <v>#DIV/0!</v>
      </c>
      <c r="AW140" s="29" t="str">
        <f t="shared" si="143"/>
        <v>#DIV/0!</v>
      </c>
      <c r="AX140" s="29" t="str">
        <f t="shared" si="143"/>
        <v>#DIV/0!</v>
      </c>
      <c r="AY140" s="29" t="str">
        <f t="shared" si="143"/>
        <v>#DIV/0!</v>
      </c>
      <c r="AZ140" s="29" t="str">
        <f t="shared" si="143"/>
        <v>#DIV/0!</v>
      </c>
      <c r="BA140" s="29" t="str">
        <f t="shared" si="143"/>
        <v>#DIV/0!</v>
      </c>
      <c r="BB140" s="29" t="str">
        <f t="shared" si="143"/>
        <v>#DIV/0!</v>
      </c>
      <c r="BC140" s="29" t="str">
        <f t="shared" si="143"/>
        <v>#DIV/0!</v>
      </c>
      <c r="BD140" s="29" t="str">
        <f t="shared" si="143"/>
        <v>#DIV/0!</v>
      </c>
      <c r="BE140" s="29" t="str">
        <f t="shared" si="143"/>
        <v>#DIV/0!</v>
      </c>
      <c r="BF140" s="29" t="str">
        <f t="shared" si="143"/>
        <v>#DIV/0!</v>
      </c>
      <c r="BG140" s="29" t="str">
        <f t="shared" si="143"/>
        <v>#DIV/0!</v>
      </c>
      <c r="BH140" s="29" t="str">
        <f t="shared" si="143"/>
        <v>#DIV/0!</v>
      </c>
      <c r="BI140" s="29" t="str">
        <f t="shared" si="143"/>
        <v>#DIV/0!</v>
      </c>
      <c r="BJ140" s="29" t="str">
        <f t="shared" si="143"/>
        <v>#DIV/0!</v>
      </c>
      <c r="BK140" s="29" t="str">
        <f t="shared" si="143"/>
        <v>#DIV/0!</v>
      </c>
      <c r="BL140" s="29" t="str">
        <f t="shared" si="143"/>
        <v>#DIV/0!</v>
      </c>
      <c r="BM140" s="29" t="str">
        <f t="shared" si="3"/>
        <v>#DIV/0!</v>
      </c>
    </row>
    <row r="141">
      <c r="A141" s="16" t="str">
        <f>IFERROR(__xludf.DUMMYFUNCTION("IFERROR(SPARKLINE(SORT(MAP(TRANSPOSE(AQ141:BL141), LAMBDA(val, IF(ISNUMBER(val), PERCENTRANK(AQ141:BL141, val)+0.01, 0))), SEQUENCE(COLUMNS(AQ141:BL141)), FALSE), {""charttype"",""column""; ""color"",""chartreuse""; ""ymin"", 0; ""ymax"", 1.01; ""highcolo"&amp;"r"", ""darkgreen""; ""lowcolor"", ""red""}), """")"),"")</f>
        <v/>
      </c>
      <c r="B141" s="17" t="str">
        <f t="shared" si="4"/>
        <v/>
      </c>
      <c r="C141" s="1" t="s">
        <v>625</v>
      </c>
      <c r="D141" s="30" t="str">
        <f>IFERROR(__xludf.DUMMYFUNCTION("IFERROR(GOOGLEFINANCE(C141, ""NAME""))"),"Brunswick Corp")</f>
        <v>Brunswick Corp</v>
      </c>
      <c r="E141" s="30" t="s">
        <v>165</v>
      </c>
      <c r="F141" s="33" t="str">
        <f>IFERROR(__xludf.DUMMYFUNCTION("( (GOOGLEFINANCE(C141, ""price"") - Q141) / Q141 ) / (R141 / 100)"),"Loading...")</f>
        <v>Loading...</v>
      </c>
      <c r="G141" s="20" t="str">
        <f>IFERROR(__xludf.DUMMYFUNCTION("AVERAGE(ARRAYFORMULA(100 * (QUERY(GOOGLEFINANCE(C141, ""high"", TODAY()-40, TODAY()), ""SELECT Col2 WHERE Col2 IS NOT NULL ORDER BY Col1 DESC LIMIT 20"", 0) / QUERY(GOOGLEFINANCE(C141, ""low"", TODAY()-40, TODAY()), ""SELECT Col2 WHERE Col2 IS NOT NULL OR"&amp;"DER BY Col1 DESC LIMIT 20"", 0) - 1)))"),"#N/A")</f>
        <v>#N/A</v>
      </c>
      <c r="H141" s="35" t="str">
        <f t="shared" si="6"/>
        <v/>
      </c>
      <c r="I141" s="35" t="str">
        <f t="shared" si="7"/>
        <v/>
      </c>
      <c r="J141" s="37" t="str">
        <f>IFERROR(__xludf.DUMMYFUNCTION("IFERROR(
  IF(C141="""",, 
    IFERROR(
      GOOGLEFINANCE(C141, ""price"") * GOOGLEFINANCE(C141, ""volumeavg""), 
      GOOGLEFINANCE(C141, ""price"") * AVERAGE(QUERY(GOOGLEFINANCE(C141, ""volume"", TODAY()-40, TODAY()), ""SELECT Col2 WHERE Col2 IS NOT "&amp;"NULL ORDER BY Col1 DESC LIMIT 20"", 0))
    )
  ), 
"""")"),"")</f>
        <v/>
      </c>
      <c r="K141" s="21" t="str">
        <f>IFERROR(__xludf.DUMMYFUNCTION("IFERROR(GOOGLEFINANCE(C141, ""changepct"") / 100, """")"),"")</f>
        <v/>
      </c>
      <c r="L141" s="21" t="str">
        <f>IFERROR(__xludf.DUMMYFUNCTION("IFERROR((GOOGLEFINANCE(C141, ""price"") / INDEX(GOOGLEFINANCE(C141, ""price"", TODAY()-7, TODAY()), 2, 2)) - 1, """")"),"")</f>
        <v/>
      </c>
      <c r="M141" s="21" t="str">
        <f>IFERROR(__xludf.DUMMYFUNCTION("IFERROR((GOOGLEFINANCE(C141, ""price"") / INDEX(GOOGLEFINANCE(C141, ""price"", EDATE(TODAY(), -1), TODAY()), 2, 2)) - 1, """")"),"")</f>
        <v/>
      </c>
      <c r="N141" s="21" t="str">
        <f>IFERROR(__xludf.DUMMYFUNCTION("IFERROR((GOOGLEFINANCE(C141, ""price"") / INDEX(GOOGLEFINANCE(C141, ""price"", EDATE(TODAY(), -3), TODAY()), 2, 2)) - 1, """")"),"")</f>
        <v/>
      </c>
      <c r="O141" s="21" t="str">
        <f>IFERROR(__xludf.DUMMYFUNCTION("IFERROR((GOOGLEFINANCE(C141, ""price"") / INDEX(GOOGLEFINANCE(C141, ""price"", EDATE(TODAY(), -6), TODAY()), 2, 2)) - 1, """")"),"")</f>
        <v/>
      </c>
      <c r="P141" s="21" t="str">
        <f>IFERROR(__xludf.DUMMYFUNCTION("IFERROR((GOOGLEFINANCE(C141, ""price"") / INDEX(GOOGLEFINANCE(C141, ""price"", EDATE(TODAY(), -12), TODAY()), 2, 2)) - 1, """")"),"")</f>
        <v/>
      </c>
      <c r="Q141" s="6" t="str">
        <f>IFERROR(__xludf.DUMMYFUNCTION("AVERAGE(QUERY(GOOGLEFINANCE(C141, ""price"", TODAY()-80, TODAY()), ""SELECT Col2 WHERE Col2 IS NOT NULL ORDER BY Col1 DESC LIMIT 50"", 0))"),"#N/A")</f>
        <v>#N/A</v>
      </c>
      <c r="R141" s="24" t="str">
        <f>IFERROR(__xludf.DUMMYFUNCTION("IFERROR(
  LET(
    data, QUERY(GOOGLEFINANCE(C141,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GOOGLEFINANCE(C141, ""price"")) * 100,
    IF(calc=0, G141, calc)
  ), 
G141)"),"#N/A")</f>
        <v>#N/A</v>
      </c>
      <c r="S141" s="8" t="s">
        <v>15</v>
      </c>
      <c r="T141" s="26" t="str">
        <f>IFERROR(__xludf.DUMMYFUNCTION("IFERROR(TRANSPOSE(QUERY(IFERROR(SORT(GOOGLEFINANCE(C141, ""price"", WORKDAY(TODAY(), -40), TODAY()), 1, FALSE)), ""select Col2 where Col2 is not null limit 22 label Col2 ''"", 0)), """")"),"")</f>
        <v/>
      </c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8"/>
      <c r="AO141" s="28"/>
      <c r="AP141" s="29"/>
      <c r="AQ141" s="29" t="str">
        <f t="shared" ref="AQ141:BL141" si="144">T141/T$2</f>
        <v>#N/A</v>
      </c>
      <c r="AR141" s="29" t="str">
        <f t="shared" si="144"/>
        <v>#DIV/0!</v>
      </c>
      <c r="AS141" s="29" t="str">
        <f t="shared" si="144"/>
        <v>#DIV/0!</v>
      </c>
      <c r="AT141" s="29" t="str">
        <f t="shared" si="144"/>
        <v>#DIV/0!</v>
      </c>
      <c r="AU141" s="29" t="str">
        <f t="shared" si="144"/>
        <v>#DIV/0!</v>
      </c>
      <c r="AV141" s="29" t="str">
        <f t="shared" si="144"/>
        <v>#DIV/0!</v>
      </c>
      <c r="AW141" s="29" t="str">
        <f t="shared" si="144"/>
        <v>#DIV/0!</v>
      </c>
      <c r="AX141" s="29" t="str">
        <f t="shared" si="144"/>
        <v>#DIV/0!</v>
      </c>
      <c r="AY141" s="29" t="str">
        <f t="shared" si="144"/>
        <v>#DIV/0!</v>
      </c>
      <c r="AZ141" s="29" t="str">
        <f t="shared" si="144"/>
        <v>#DIV/0!</v>
      </c>
      <c r="BA141" s="29" t="str">
        <f t="shared" si="144"/>
        <v>#DIV/0!</v>
      </c>
      <c r="BB141" s="29" t="str">
        <f t="shared" si="144"/>
        <v>#DIV/0!</v>
      </c>
      <c r="BC141" s="29" t="str">
        <f t="shared" si="144"/>
        <v>#DIV/0!</v>
      </c>
      <c r="BD141" s="29" t="str">
        <f t="shared" si="144"/>
        <v>#DIV/0!</v>
      </c>
      <c r="BE141" s="29" t="str">
        <f t="shared" si="144"/>
        <v>#DIV/0!</v>
      </c>
      <c r="BF141" s="29" t="str">
        <f t="shared" si="144"/>
        <v>#DIV/0!</v>
      </c>
      <c r="BG141" s="29" t="str">
        <f t="shared" si="144"/>
        <v>#DIV/0!</v>
      </c>
      <c r="BH141" s="29" t="str">
        <f t="shared" si="144"/>
        <v>#DIV/0!</v>
      </c>
      <c r="BI141" s="29" t="str">
        <f t="shared" si="144"/>
        <v>#DIV/0!</v>
      </c>
      <c r="BJ141" s="29" t="str">
        <f t="shared" si="144"/>
        <v>#DIV/0!</v>
      </c>
      <c r="BK141" s="29" t="str">
        <f t="shared" si="144"/>
        <v>#DIV/0!</v>
      </c>
      <c r="BL141" s="29" t="str">
        <f t="shared" si="144"/>
        <v>#DIV/0!</v>
      </c>
      <c r="BM141" s="29" t="str">
        <f t="shared" si="3"/>
        <v>#DIV/0!</v>
      </c>
    </row>
    <row r="142">
      <c r="A142" s="16" t="str">
        <f>IFERROR(__xludf.DUMMYFUNCTION("IFERROR(SPARKLINE(SORT(MAP(TRANSPOSE(AQ142:BL142), LAMBDA(val, IF(ISNUMBER(val), PERCENTRANK(AQ142:BL142, val)+0.01, 0))), SEQUENCE(COLUMNS(AQ142:BL142)), FALSE), {""charttype"",""column""; ""color"",""chartreuse""; ""ymin"", 0; ""ymax"", 1.01; ""highcolo"&amp;"r"", ""darkgreen""; ""lowcolor"", ""red""}), """")"),"")</f>
        <v/>
      </c>
      <c r="B142" s="17" t="str">
        <f t="shared" si="4"/>
        <v/>
      </c>
      <c r="C142" s="1" t="s">
        <v>629</v>
      </c>
      <c r="D142" s="30" t="str">
        <f>IFERROR(__xludf.DUMMYFUNCTION("IFERROR(GOOGLEFINANCE(C142, ""NAME""))"),"Biglari Holdings Inc Class B")</f>
        <v>Biglari Holdings Inc Class B</v>
      </c>
      <c r="E142" s="30" t="s">
        <v>126</v>
      </c>
      <c r="F142" s="33" t="str">
        <f>IFERROR(__xludf.DUMMYFUNCTION("( (GOOGLEFINANCE(C142, ""price"") - Q142) / Q142 ) / (R142 / 100)"),"Loading...")</f>
        <v>Loading...</v>
      </c>
      <c r="G142" s="20" t="str">
        <f>IFERROR(__xludf.DUMMYFUNCTION("AVERAGE(ARRAYFORMULA(100 * (QUERY(GOOGLEFINANCE(C142, ""high"", TODAY()-40, TODAY()), ""SELECT Col2 WHERE Col2 IS NOT NULL ORDER BY Col1 DESC LIMIT 20"", 0) / QUERY(GOOGLEFINANCE(C142, ""low"", TODAY()-40, TODAY()), ""SELECT Col2 WHERE Col2 IS NOT NULL OR"&amp;"DER BY Col1 DESC LIMIT 20"", 0) - 1)))"),"#N/A")</f>
        <v>#N/A</v>
      </c>
      <c r="H142" s="35" t="str">
        <f t="shared" si="6"/>
        <v/>
      </c>
      <c r="I142" s="35" t="str">
        <f t="shared" si="7"/>
        <v/>
      </c>
      <c r="J142" s="37" t="str">
        <f>IFERROR(__xludf.DUMMYFUNCTION("IFERROR(
  IF(C142="""",, 
    IFERROR(
      GOOGLEFINANCE(C142, ""price"") * GOOGLEFINANCE(C142, ""volumeavg""), 
      GOOGLEFINANCE(C142, ""price"") * AVERAGE(QUERY(GOOGLEFINANCE(C142, ""volume"", TODAY()-40, TODAY()), ""SELECT Col2 WHERE Col2 IS NOT "&amp;"NULL ORDER BY Col1 DESC LIMIT 20"", 0))
    )
  ), 
"""")"),"")</f>
        <v/>
      </c>
      <c r="K142" s="21" t="str">
        <f>IFERROR(__xludf.DUMMYFUNCTION("IFERROR(GOOGLEFINANCE(C142, ""changepct"") / 100, """")"),"")</f>
        <v/>
      </c>
      <c r="L142" s="21" t="str">
        <f>IFERROR(__xludf.DUMMYFUNCTION("IFERROR((GOOGLEFINANCE(C142, ""price"") / INDEX(GOOGLEFINANCE(C142, ""price"", TODAY()-7, TODAY()), 2, 2)) - 1, """")"),"")</f>
        <v/>
      </c>
      <c r="M142" s="21" t="str">
        <f>IFERROR(__xludf.DUMMYFUNCTION("IFERROR((GOOGLEFINANCE(C142, ""price"") / INDEX(GOOGLEFINANCE(C142, ""price"", EDATE(TODAY(), -1), TODAY()), 2, 2)) - 1, """")"),"")</f>
        <v/>
      </c>
      <c r="N142" s="21" t="str">
        <f>IFERROR(__xludf.DUMMYFUNCTION("IFERROR((GOOGLEFINANCE(C142, ""price"") / INDEX(GOOGLEFINANCE(C142, ""price"", EDATE(TODAY(), -3), TODAY()), 2, 2)) - 1, """")"),"")</f>
        <v/>
      </c>
      <c r="O142" s="21" t="str">
        <f>IFERROR(__xludf.DUMMYFUNCTION("IFERROR((GOOGLEFINANCE(C142, ""price"") / INDEX(GOOGLEFINANCE(C142, ""price"", EDATE(TODAY(), -6), TODAY()), 2, 2)) - 1, """")"),"")</f>
        <v/>
      </c>
      <c r="P142" s="21" t="str">
        <f>IFERROR(__xludf.DUMMYFUNCTION("IFERROR((GOOGLEFINANCE(C142, ""price"") / INDEX(GOOGLEFINANCE(C142, ""price"", EDATE(TODAY(), -12), TODAY()), 2, 2)) - 1, """")"),"")</f>
        <v/>
      </c>
      <c r="Q142" s="6" t="str">
        <f>IFERROR(__xludf.DUMMYFUNCTION("AVERAGE(QUERY(GOOGLEFINANCE(C142, ""price"", TODAY()-80, TODAY()), ""SELECT Col2 WHERE Col2 IS NOT NULL ORDER BY Col1 DESC LIMIT 50"", 0))"),"#N/A")</f>
        <v>#N/A</v>
      </c>
      <c r="R142" s="24" t="str">
        <f>IFERROR(__xludf.DUMMYFUNCTION("IFERROR(
  LET(
    data, QUERY(GOOGLEFINANCE(C142,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GOOGLEFINANCE(C142, ""price"")) * 100,
    IF(calc=0, G142, calc)
  ), 
G142)"),"#N/A")</f>
        <v>#N/A</v>
      </c>
      <c r="S142" s="8" t="s">
        <v>15</v>
      </c>
      <c r="T142" s="26" t="str">
        <f>IFERROR(__xludf.DUMMYFUNCTION("IFERROR(TRANSPOSE(QUERY(IFERROR(SORT(GOOGLEFINANCE(C142, ""price"", WORKDAY(TODAY(), -40), TODAY()), 1, FALSE)), ""select Col2 where Col2 is not null limit 22 label Col2 ''"", 0)), """")"),"")</f>
        <v/>
      </c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8"/>
      <c r="AO142" s="28"/>
      <c r="AP142" s="29"/>
      <c r="AQ142" s="29" t="str">
        <f t="shared" ref="AQ142:BL142" si="145">T142/T$2</f>
        <v>#N/A</v>
      </c>
      <c r="AR142" s="29" t="str">
        <f t="shared" si="145"/>
        <v>#DIV/0!</v>
      </c>
      <c r="AS142" s="29" t="str">
        <f t="shared" si="145"/>
        <v>#DIV/0!</v>
      </c>
      <c r="AT142" s="29" t="str">
        <f t="shared" si="145"/>
        <v>#DIV/0!</v>
      </c>
      <c r="AU142" s="29" t="str">
        <f t="shared" si="145"/>
        <v>#DIV/0!</v>
      </c>
      <c r="AV142" s="29" t="str">
        <f t="shared" si="145"/>
        <v>#DIV/0!</v>
      </c>
      <c r="AW142" s="29" t="str">
        <f t="shared" si="145"/>
        <v>#DIV/0!</v>
      </c>
      <c r="AX142" s="29" t="str">
        <f t="shared" si="145"/>
        <v>#DIV/0!</v>
      </c>
      <c r="AY142" s="29" t="str">
        <f t="shared" si="145"/>
        <v>#DIV/0!</v>
      </c>
      <c r="AZ142" s="29" t="str">
        <f t="shared" si="145"/>
        <v>#DIV/0!</v>
      </c>
      <c r="BA142" s="29" t="str">
        <f t="shared" si="145"/>
        <v>#DIV/0!</v>
      </c>
      <c r="BB142" s="29" t="str">
        <f t="shared" si="145"/>
        <v>#DIV/0!</v>
      </c>
      <c r="BC142" s="29" t="str">
        <f t="shared" si="145"/>
        <v>#DIV/0!</v>
      </c>
      <c r="BD142" s="29" t="str">
        <f t="shared" si="145"/>
        <v>#DIV/0!</v>
      </c>
      <c r="BE142" s="29" t="str">
        <f t="shared" si="145"/>
        <v>#DIV/0!</v>
      </c>
      <c r="BF142" s="29" t="str">
        <f t="shared" si="145"/>
        <v>#DIV/0!</v>
      </c>
      <c r="BG142" s="29" t="str">
        <f t="shared" si="145"/>
        <v>#DIV/0!</v>
      </c>
      <c r="BH142" s="29" t="str">
        <f t="shared" si="145"/>
        <v>#DIV/0!</v>
      </c>
      <c r="BI142" s="29" t="str">
        <f t="shared" si="145"/>
        <v>#DIV/0!</v>
      </c>
      <c r="BJ142" s="29" t="str">
        <f t="shared" si="145"/>
        <v>#DIV/0!</v>
      </c>
      <c r="BK142" s="29" t="str">
        <f t="shared" si="145"/>
        <v>#DIV/0!</v>
      </c>
      <c r="BL142" s="29" t="str">
        <f t="shared" si="145"/>
        <v>#DIV/0!</v>
      </c>
      <c r="BM142" s="29" t="str">
        <f t="shared" si="3"/>
        <v>#DIV/0!</v>
      </c>
    </row>
    <row r="143">
      <c r="A143" s="16" t="str">
        <f>IFERROR(__xludf.DUMMYFUNCTION("IFERROR(SPARKLINE(SORT(MAP(TRANSPOSE(AQ143:BL143), LAMBDA(val, IF(ISNUMBER(val), PERCENTRANK(AQ143:BL143, val)+0.01, 0))), SEQUENCE(COLUMNS(AQ143:BL143)), FALSE), {""charttype"",""column""; ""color"",""chartreuse""; ""ymin"", 0; ""ymax"", 1.01; ""highcolo"&amp;"r"", ""darkgreen""; ""lowcolor"", ""red""}), """")"),"")</f>
        <v/>
      </c>
      <c r="B143" s="17" t="str">
        <f t="shared" si="4"/>
        <v/>
      </c>
      <c r="C143" s="1" t="s">
        <v>631</v>
      </c>
      <c r="D143" s="30" t="str">
        <f>IFERROR(__xludf.DUMMYFUNCTION("IFERROR(GOOGLEFINANCE(C143, ""NAME""))"),"Studio City International Hldg Ltd")</f>
        <v>Studio City International Hldg Ltd</v>
      </c>
      <c r="E143" s="30" t="s">
        <v>354</v>
      </c>
      <c r="F143" s="38" t="str">
        <f>IFERROR(__xludf.DUMMYFUNCTION("( (GOOGLEFINANCE(C143, ""price"") - Q143) / Q143 ) / (R143 / 100)"),"Loading...")</f>
        <v>Loading...</v>
      </c>
      <c r="G143" s="20" t="str">
        <f>IFERROR(__xludf.DUMMYFUNCTION("AVERAGE(ARRAYFORMULA(100 * (QUERY(GOOGLEFINANCE(C143, ""high"", TODAY()-40, TODAY()), ""SELECT Col2 WHERE Col2 IS NOT NULL ORDER BY Col1 DESC LIMIT 20"", 0) / QUERY(GOOGLEFINANCE(C143, ""low"", TODAY()-40, TODAY()), ""SELECT Col2 WHERE Col2 IS NOT NULL OR"&amp;"DER BY Col1 DESC LIMIT 20"", 0) - 1)))"),"#N/A")</f>
        <v>#N/A</v>
      </c>
      <c r="H143" s="35" t="str">
        <f t="shared" si="6"/>
        <v/>
      </c>
      <c r="I143" s="35" t="str">
        <f t="shared" si="7"/>
        <v/>
      </c>
      <c r="J143" s="37" t="str">
        <f>IFERROR(__xludf.DUMMYFUNCTION("IFERROR(
  IF(C143="""",, 
    IFERROR(
      GOOGLEFINANCE(C143, ""price"") * GOOGLEFINANCE(C143, ""volumeavg""), 
      GOOGLEFINANCE(C143, ""price"") * AVERAGE(QUERY(GOOGLEFINANCE(C143, ""volume"", TODAY()-40, TODAY()), ""SELECT Col2 WHERE Col2 IS NOT "&amp;"NULL ORDER BY Col1 DESC LIMIT 20"", 0))
    )
  ), 
"""")"),"")</f>
        <v/>
      </c>
      <c r="K143" s="21" t="str">
        <f>IFERROR(__xludf.DUMMYFUNCTION("IFERROR(GOOGLEFINANCE(C143, ""changepct"") / 100, """")"),"")</f>
        <v/>
      </c>
      <c r="L143" s="21" t="str">
        <f>IFERROR(__xludf.DUMMYFUNCTION("IFERROR((GOOGLEFINANCE(C143, ""price"") / INDEX(GOOGLEFINANCE(C143, ""price"", TODAY()-7, TODAY()), 2, 2)) - 1, """")"),"")</f>
        <v/>
      </c>
      <c r="M143" s="21" t="str">
        <f>IFERROR(__xludf.DUMMYFUNCTION("IFERROR((GOOGLEFINANCE(C143, ""price"") / INDEX(GOOGLEFINANCE(C143, ""price"", EDATE(TODAY(), -1), TODAY()), 2, 2)) - 1, """")"),"")</f>
        <v/>
      </c>
      <c r="N143" s="21" t="str">
        <f>IFERROR(__xludf.DUMMYFUNCTION("IFERROR((GOOGLEFINANCE(C143, ""price"") / INDEX(GOOGLEFINANCE(C143, ""price"", EDATE(TODAY(), -3), TODAY()), 2, 2)) - 1, """")"),"")</f>
        <v/>
      </c>
      <c r="O143" s="21" t="str">
        <f>IFERROR(__xludf.DUMMYFUNCTION("IFERROR((GOOGLEFINANCE(C143, ""price"") / INDEX(GOOGLEFINANCE(C143, ""price"", EDATE(TODAY(), -6), TODAY()), 2, 2)) - 1, """")"),"")</f>
        <v/>
      </c>
      <c r="P143" s="21" t="str">
        <f>IFERROR(__xludf.DUMMYFUNCTION("IFERROR((GOOGLEFINANCE(C143, ""price"") / INDEX(GOOGLEFINANCE(C143, ""price"", EDATE(TODAY(), -12), TODAY()), 2, 2)) - 1, """")"),"")</f>
        <v/>
      </c>
      <c r="Q143" s="6" t="str">
        <f>IFERROR(__xludf.DUMMYFUNCTION("AVERAGE(QUERY(GOOGLEFINANCE(C143, ""price"", TODAY()-80, TODAY()), ""SELECT Col2 WHERE Col2 IS NOT NULL ORDER BY Col1 DESC LIMIT 50"", 0))"),"#N/A")</f>
        <v>#N/A</v>
      </c>
      <c r="R143" s="24" t="str">
        <f>IFERROR(__xludf.DUMMYFUNCTION("IFERROR(
  LET(
    data, QUERY(GOOGLEFINANCE(C143,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GOOGLEFINANCE(C143, ""price"")) * 100,
    IF(calc=0, G143, calc)
  ), 
G143)"),"#N/A")</f>
        <v>#N/A</v>
      </c>
      <c r="S143" s="8" t="s">
        <v>15</v>
      </c>
      <c r="T143" s="26" t="str">
        <f>IFERROR(__xludf.DUMMYFUNCTION("IFERROR(TRANSPOSE(QUERY(IFERROR(SORT(GOOGLEFINANCE(C143, ""price"", WORKDAY(TODAY(), -40), TODAY()), 1, FALSE)), ""select Col2 where Col2 is not null limit 22 label Col2 ''"", 0)), """")"),"")</f>
        <v/>
      </c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8"/>
      <c r="AO143" s="28"/>
      <c r="AP143" s="29"/>
      <c r="AQ143" s="29" t="str">
        <f t="shared" ref="AQ143:BL143" si="146">T143/T$2</f>
        <v>#N/A</v>
      </c>
      <c r="AR143" s="29" t="str">
        <f t="shared" si="146"/>
        <v>#DIV/0!</v>
      </c>
      <c r="AS143" s="29" t="str">
        <f t="shared" si="146"/>
        <v>#DIV/0!</v>
      </c>
      <c r="AT143" s="29" t="str">
        <f t="shared" si="146"/>
        <v>#DIV/0!</v>
      </c>
      <c r="AU143" s="29" t="str">
        <f t="shared" si="146"/>
        <v>#DIV/0!</v>
      </c>
      <c r="AV143" s="29" t="str">
        <f t="shared" si="146"/>
        <v>#DIV/0!</v>
      </c>
      <c r="AW143" s="29" t="str">
        <f t="shared" si="146"/>
        <v>#DIV/0!</v>
      </c>
      <c r="AX143" s="29" t="str">
        <f t="shared" si="146"/>
        <v>#DIV/0!</v>
      </c>
      <c r="AY143" s="29" t="str">
        <f t="shared" si="146"/>
        <v>#DIV/0!</v>
      </c>
      <c r="AZ143" s="29" t="str">
        <f t="shared" si="146"/>
        <v>#DIV/0!</v>
      </c>
      <c r="BA143" s="29" t="str">
        <f t="shared" si="146"/>
        <v>#DIV/0!</v>
      </c>
      <c r="BB143" s="29" t="str">
        <f t="shared" si="146"/>
        <v>#DIV/0!</v>
      </c>
      <c r="BC143" s="29" t="str">
        <f t="shared" si="146"/>
        <v>#DIV/0!</v>
      </c>
      <c r="BD143" s="29" t="str">
        <f t="shared" si="146"/>
        <v>#DIV/0!</v>
      </c>
      <c r="BE143" s="29" t="str">
        <f t="shared" si="146"/>
        <v>#DIV/0!</v>
      </c>
      <c r="BF143" s="29" t="str">
        <f t="shared" si="146"/>
        <v>#DIV/0!</v>
      </c>
      <c r="BG143" s="29" t="str">
        <f t="shared" si="146"/>
        <v>#DIV/0!</v>
      </c>
      <c r="BH143" s="29" t="str">
        <f t="shared" si="146"/>
        <v>#DIV/0!</v>
      </c>
      <c r="BI143" s="29" t="str">
        <f t="shared" si="146"/>
        <v>#DIV/0!</v>
      </c>
      <c r="BJ143" s="29" t="str">
        <f t="shared" si="146"/>
        <v>#DIV/0!</v>
      </c>
      <c r="BK143" s="29" t="str">
        <f t="shared" si="146"/>
        <v>#DIV/0!</v>
      </c>
      <c r="BL143" s="29" t="str">
        <f t="shared" si="146"/>
        <v>#DIV/0!</v>
      </c>
      <c r="BM143" s="29" t="str">
        <f t="shared" si="3"/>
        <v>#DIV/0!</v>
      </c>
    </row>
    <row r="144">
      <c r="A144" s="16" t="str">
        <f>IFERROR(__xludf.DUMMYFUNCTION("IFERROR(SPARKLINE(SORT(MAP(TRANSPOSE(AQ144:BL144), LAMBDA(val, IF(ISNUMBER(val), PERCENTRANK(AQ144:BL144, val)+0.01, 0))), SEQUENCE(COLUMNS(AQ144:BL144)), FALSE), {""charttype"",""column""; ""color"",""chartreuse""; ""ymin"", 0; ""ymax"", 1.01; ""highcolo"&amp;"r"", ""darkgreen""; ""lowcolor"", ""red""}), """")"),"")</f>
        <v/>
      </c>
      <c r="B144" s="17" t="str">
        <f t="shared" si="4"/>
        <v/>
      </c>
      <c r="C144" s="1" t="s">
        <v>634</v>
      </c>
      <c r="D144" s="30" t="str">
        <f>IFERROR(__xludf.DUMMYFUNCTION("IFERROR(GOOGLEFINANCE(C144, ""NAME""))"),"LCI Industries")</f>
        <v>LCI Industries</v>
      </c>
      <c r="E144" s="30" t="s">
        <v>165</v>
      </c>
      <c r="F144" s="33" t="str">
        <f>IFERROR(__xludf.DUMMYFUNCTION("( (GOOGLEFINANCE(C144, ""price"") - Q144) / Q144 ) / (R144 / 100)"),"Loading...")</f>
        <v>Loading...</v>
      </c>
      <c r="G144" s="20" t="str">
        <f>IFERROR(__xludf.DUMMYFUNCTION("AVERAGE(ARRAYFORMULA(100 * (QUERY(GOOGLEFINANCE(C144, ""high"", TODAY()-40, TODAY()), ""SELECT Col2 WHERE Col2 IS NOT NULL ORDER BY Col1 DESC LIMIT 20"", 0) / QUERY(GOOGLEFINANCE(C144, ""low"", TODAY()-40, TODAY()), ""SELECT Col2 WHERE Col2 IS NOT NULL OR"&amp;"DER BY Col1 DESC LIMIT 20"", 0) - 1)))"),"#N/A")</f>
        <v>#N/A</v>
      </c>
      <c r="H144" s="35" t="str">
        <f t="shared" si="6"/>
        <v/>
      </c>
      <c r="I144" s="35" t="str">
        <f t="shared" si="7"/>
        <v/>
      </c>
      <c r="J144" s="37" t="str">
        <f>IFERROR(__xludf.DUMMYFUNCTION("IFERROR(
  IF(C144="""",, 
    IFERROR(
      GOOGLEFINANCE(C144, ""price"") * GOOGLEFINANCE(C144, ""volumeavg""), 
      GOOGLEFINANCE(C144, ""price"") * AVERAGE(QUERY(GOOGLEFINANCE(C144, ""volume"", TODAY()-40, TODAY()), ""SELECT Col2 WHERE Col2 IS NOT "&amp;"NULL ORDER BY Col1 DESC LIMIT 20"", 0))
    )
  ), 
"""")"),"")</f>
        <v/>
      </c>
      <c r="K144" s="21" t="str">
        <f>IFERROR(__xludf.DUMMYFUNCTION("IFERROR(GOOGLEFINANCE(C144, ""changepct"") / 100, """")"),"")</f>
        <v/>
      </c>
      <c r="L144" s="21" t="str">
        <f>IFERROR(__xludf.DUMMYFUNCTION("IFERROR((GOOGLEFINANCE(C144, ""price"") / INDEX(GOOGLEFINANCE(C144, ""price"", TODAY()-7, TODAY()), 2, 2)) - 1, """")"),"")</f>
        <v/>
      </c>
      <c r="M144" s="21" t="str">
        <f>IFERROR(__xludf.DUMMYFUNCTION("IFERROR((GOOGLEFINANCE(C144, ""price"") / INDEX(GOOGLEFINANCE(C144, ""price"", EDATE(TODAY(), -1), TODAY()), 2, 2)) - 1, """")"),"")</f>
        <v/>
      </c>
      <c r="N144" s="21" t="str">
        <f>IFERROR(__xludf.DUMMYFUNCTION("IFERROR((GOOGLEFINANCE(C144, ""price"") / INDEX(GOOGLEFINANCE(C144, ""price"", EDATE(TODAY(), -3), TODAY()), 2, 2)) - 1, """")"),"")</f>
        <v/>
      </c>
      <c r="O144" s="21" t="str">
        <f>IFERROR(__xludf.DUMMYFUNCTION("IFERROR((GOOGLEFINANCE(C144, ""price"") / INDEX(GOOGLEFINANCE(C144, ""price"", EDATE(TODAY(), -6), TODAY()), 2, 2)) - 1, """")"),"")</f>
        <v/>
      </c>
      <c r="P144" s="21" t="str">
        <f>IFERROR(__xludf.DUMMYFUNCTION("IFERROR((GOOGLEFINANCE(C144, ""price"") / INDEX(GOOGLEFINANCE(C144, ""price"", EDATE(TODAY(), -12), TODAY()), 2, 2)) - 1, """")"),"")</f>
        <v/>
      </c>
      <c r="Q144" s="6" t="str">
        <f>IFERROR(__xludf.DUMMYFUNCTION("AVERAGE(QUERY(GOOGLEFINANCE(C144, ""price"", TODAY()-80, TODAY()), ""SELECT Col2 WHERE Col2 IS NOT NULL ORDER BY Col1 DESC LIMIT 50"", 0))"),"#N/A")</f>
        <v>#N/A</v>
      </c>
      <c r="R144" s="24" t="str">
        <f>IFERROR(__xludf.DUMMYFUNCTION("IFERROR(
  LET(
    data, QUERY(GOOGLEFINANCE(C144,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GOOGLEFINANCE(C144, ""price"")) * 100,
    IF(calc=0, G144, calc)
  ), 
G144)"),"#N/A")</f>
        <v>#N/A</v>
      </c>
      <c r="S144" s="8" t="s">
        <v>15</v>
      </c>
      <c r="T144" s="26" t="str">
        <f>IFERROR(__xludf.DUMMYFUNCTION("IFERROR(TRANSPOSE(QUERY(IFERROR(SORT(GOOGLEFINANCE(C144, ""price"", WORKDAY(TODAY(), -40), TODAY()), 1, FALSE)), ""select Col2 where Col2 is not null limit 22 label Col2 ''"", 0)), """")"),"")</f>
        <v/>
      </c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8"/>
      <c r="AO144" s="28"/>
      <c r="AP144" s="29"/>
      <c r="AQ144" s="29" t="str">
        <f t="shared" ref="AQ144:BL144" si="147">T144/T$2</f>
        <v>#N/A</v>
      </c>
      <c r="AR144" s="29" t="str">
        <f t="shared" si="147"/>
        <v>#DIV/0!</v>
      </c>
      <c r="AS144" s="29" t="str">
        <f t="shared" si="147"/>
        <v>#DIV/0!</v>
      </c>
      <c r="AT144" s="29" t="str">
        <f t="shared" si="147"/>
        <v>#DIV/0!</v>
      </c>
      <c r="AU144" s="29" t="str">
        <f t="shared" si="147"/>
        <v>#DIV/0!</v>
      </c>
      <c r="AV144" s="29" t="str">
        <f t="shared" si="147"/>
        <v>#DIV/0!</v>
      </c>
      <c r="AW144" s="29" t="str">
        <f t="shared" si="147"/>
        <v>#DIV/0!</v>
      </c>
      <c r="AX144" s="29" t="str">
        <f t="shared" si="147"/>
        <v>#DIV/0!</v>
      </c>
      <c r="AY144" s="29" t="str">
        <f t="shared" si="147"/>
        <v>#DIV/0!</v>
      </c>
      <c r="AZ144" s="29" t="str">
        <f t="shared" si="147"/>
        <v>#DIV/0!</v>
      </c>
      <c r="BA144" s="29" t="str">
        <f t="shared" si="147"/>
        <v>#DIV/0!</v>
      </c>
      <c r="BB144" s="29" t="str">
        <f t="shared" si="147"/>
        <v>#DIV/0!</v>
      </c>
      <c r="BC144" s="29" t="str">
        <f t="shared" si="147"/>
        <v>#DIV/0!</v>
      </c>
      <c r="BD144" s="29" t="str">
        <f t="shared" si="147"/>
        <v>#DIV/0!</v>
      </c>
      <c r="BE144" s="29" t="str">
        <f t="shared" si="147"/>
        <v>#DIV/0!</v>
      </c>
      <c r="BF144" s="29" t="str">
        <f t="shared" si="147"/>
        <v>#DIV/0!</v>
      </c>
      <c r="BG144" s="29" t="str">
        <f t="shared" si="147"/>
        <v>#DIV/0!</v>
      </c>
      <c r="BH144" s="29" t="str">
        <f t="shared" si="147"/>
        <v>#DIV/0!</v>
      </c>
      <c r="BI144" s="29" t="str">
        <f t="shared" si="147"/>
        <v>#DIV/0!</v>
      </c>
      <c r="BJ144" s="29" t="str">
        <f t="shared" si="147"/>
        <v>#DIV/0!</v>
      </c>
      <c r="BK144" s="29" t="str">
        <f t="shared" si="147"/>
        <v>#DIV/0!</v>
      </c>
      <c r="BL144" s="29" t="str">
        <f t="shared" si="147"/>
        <v>#DIV/0!</v>
      </c>
      <c r="BM144" s="29" t="str">
        <f t="shared" si="3"/>
        <v>#DIV/0!</v>
      </c>
    </row>
    <row r="145">
      <c r="A145" s="16" t="str">
        <f>IFERROR(__xludf.DUMMYFUNCTION("IFERROR(SPARKLINE(SORT(MAP(TRANSPOSE(AQ145:BL145), LAMBDA(val, IF(ISNUMBER(val), PERCENTRANK(AQ145:BL145, val)+0.01, 0))), SEQUENCE(COLUMNS(AQ145:BL145)), FALSE), {""charttype"",""column""; ""color"",""chartreuse""; ""ymin"", 0; ""ymax"", 1.01; ""highcolo"&amp;"r"", ""darkgreen""; ""lowcolor"", ""red""}), """")"),"")</f>
        <v/>
      </c>
      <c r="B145" s="17" t="str">
        <f t="shared" si="4"/>
        <v/>
      </c>
      <c r="C145" s="1" t="s">
        <v>638</v>
      </c>
      <c r="D145" s="30" t="str">
        <f>IFERROR(__xludf.DUMMYFUNCTION("IFERROR(GOOGLEFINANCE(C145, ""NAME""))"),"General Motors Co")</f>
        <v>General Motors Co</v>
      </c>
      <c r="E145" s="30" t="s">
        <v>129</v>
      </c>
      <c r="F145" s="33" t="str">
        <f>IFERROR(__xludf.DUMMYFUNCTION("( (GOOGLEFINANCE(C145, ""price"") - Q145) / Q145 ) / (R145 / 100)"),"Loading...")</f>
        <v>Loading...</v>
      </c>
      <c r="G145" s="20" t="str">
        <f>IFERROR(__xludf.DUMMYFUNCTION("AVERAGE(ARRAYFORMULA(100 * (QUERY(GOOGLEFINANCE(C145, ""high"", TODAY()-40, TODAY()), ""SELECT Col2 WHERE Col2 IS NOT NULL ORDER BY Col1 DESC LIMIT 20"", 0) / QUERY(GOOGLEFINANCE(C145, ""low"", TODAY()-40, TODAY()), ""SELECT Col2 WHERE Col2 IS NOT NULL OR"&amp;"DER BY Col1 DESC LIMIT 20"", 0) - 1)))"),"#N/A")</f>
        <v>#N/A</v>
      </c>
      <c r="H145" s="35" t="str">
        <f t="shared" si="6"/>
        <v/>
      </c>
      <c r="I145" s="35" t="str">
        <f t="shared" si="7"/>
        <v/>
      </c>
      <c r="J145" s="37" t="str">
        <f>IFERROR(__xludf.DUMMYFUNCTION("IFERROR(
  IF(C145="""",, 
    IFERROR(
      GOOGLEFINANCE(C145, ""price"") * GOOGLEFINANCE(C145, ""volumeavg""), 
      GOOGLEFINANCE(C145, ""price"") * AVERAGE(QUERY(GOOGLEFINANCE(C145, ""volume"", TODAY()-40, TODAY()), ""SELECT Col2 WHERE Col2 IS NOT "&amp;"NULL ORDER BY Col1 DESC LIMIT 20"", 0))
    )
  ), 
"""")"),"")</f>
        <v/>
      </c>
      <c r="K145" s="21" t="str">
        <f>IFERROR(__xludf.DUMMYFUNCTION("IFERROR(GOOGLEFINANCE(C145, ""changepct"") / 100, """")"),"")</f>
        <v/>
      </c>
      <c r="L145" s="21" t="str">
        <f>IFERROR(__xludf.DUMMYFUNCTION("IFERROR((GOOGLEFINANCE(C145, ""price"") / INDEX(GOOGLEFINANCE(C145, ""price"", TODAY()-7, TODAY()), 2, 2)) - 1, """")"),"")</f>
        <v/>
      </c>
      <c r="M145" s="21" t="str">
        <f>IFERROR(__xludf.DUMMYFUNCTION("IFERROR((GOOGLEFINANCE(C145, ""price"") / INDEX(GOOGLEFINANCE(C145, ""price"", EDATE(TODAY(), -1), TODAY()), 2, 2)) - 1, """")"),"")</f>
        <v/>
      </c>
      <c r="N145" s="21" t="str">
        <f>IFERROR(__xludf.DUMMYFUNCTION("IFERROR((GOOGLEFINANCE(C145, ""price"") / INDEX(GOOGLEFINANCE(C145, ""price"", EDATE(TODAY(), -3), TODAY()), 2, 2)) - 1, """")"),"")</f>
        <v/>
      </c>
      <c r="O145" s="21" t="str">
        <f>IFERROR(__xludf.DUMMYFUNCTION("IFERROR((GOOGLEFINANCE(C145, ""price"") / INDEX(GOOGLEFINANCE(C145, ""price"", EDATE(TODAY(), -6), TODAY()), 2, 2)) - 1, """")"),"")</f>
        <v/>
      </c>
      <c r="P145" s="21" t="str">
        <f>IFERROR(__xludf.DUMMYFUNCTION("IFERROR((GOOGLEFINANCE(C145, ""price"") / INDEX(GOOGLEFINANCE(C145, ""price"", EDATE(TODAY(), -12), TODAY()), 2, 2)) - 1, """")"),"")</f>
        <v/>
      </c>
      <c r="Q145" s="6" t="str">
        <f>IFERROR(__xludf.DUMMYFUNCTION("AVERAGE(QUERY(GOOGLEFINANCE(C145, ""price"", TODAY()-80, TODAY()), ""SELECT Col2 WHERE Col2 IS NOT NULL ORDER BY Col1 DESC LIMIT 50"", 0))"),"#N/A")</f>
        <v>#N/A</v>
      </c>
      <c r="R145" s="24" t="str">
        <f>IFERROR(__xludf.DUMMYFUNCTION("IFERROR(
  LET(
    data, QUERY(GOOGLEFINANCE(C145,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GOOGLEFINANCE(C145, ""price"")) * 100,
    IF(calc=0, G145, calc)
  ), 
G145)"),"#N/A")</f>
        <v>#N/A</v>
      </c>
      <c r="S145" s="8" t="s">
        <v>15</v>
      </c>
      <c r="T145" s="26" t="str">
        <f>IFERROR(__xludf.DUMMYFUNCTION("IFERROR(TRANSPOSE(QUERY(IFERROR(SORT(GOOGLEFINANCE(C145, ""price"", WORKDAY(TODAY(), -40), TODAY()), 1, FALSE)), ""select Col2 where Col2 is not null limit 22 label Col2 ''"", 0)), """")"),"")</f>
        <v/>
      </c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8"/>
      <c r="AO145" s="28"/>
      <c r="AP145" s="29"/>
      <c r="AQ145" s="29" t="str">
        <f t="shared" ref="AQ145:BL145" si="148">T145/T$2</f>
        <v>#N/A</v>
      </c>
      <c r="AR145" s="29" t="str">
        <f t="shared" si="148"/>
        <v>#DIV/0!</v>
      </c>
      <c r="AS145" s="29" t="str">
        <f t="shared" si="148"/>
        <v>#DIV/0!</v>
      </c>
      <c r="AT145" s="29" t="str">
        <f t="shared" si="148"/>
        <v>#DIV/0!</v>
      </c>
      <c r="AU145" s="29" t="str">
        <f t="shared" si="148"/>
        <v>#DIV/0!</v>
      </c>
      <c r="AV145" s="29" t="str">
        <f t="shared" si="148"/>
        <v>#DIV/0!</v>
      </c>
      <c r="AW145" s="29" t="str">
        <f t="shared" si="148"/>
        <v>#DIV/0!</v>
      </c>
      <c r="AX145" s="29" t="str">
        <f t="shared" si="148"/>
        <v>#DIV/0!</v>
      </c>
      <c r="AY145" s="29" t="str">
        <f t="shared" si="148"/>
        <v>#DIV/0!</v>
      </c>
      <c r="AZ145" s="29" t="str">
        <f t="shared" si="148"/>
        <v>#DIV/0!</v>
      </c>
      <c r="BA145" s="29" t="str">
        <f t="shared" si="148"/>
        <v>#DIV/0!</v>
      </c>
      <c r="BB145" s="29" t="str">
        <f t="shared" si="148"/>
        <v>#DIV/0!</v>
      </c>
      <c r="BC145" s="29" t="str">
        <f t="shared" si="148"/>
        <v>#DIV/0!</v>
      </c>
      <c r="BD145" s="29" t="str">
        <f t="shared" si="148"/>
        <v>#DIV/0!</v>
      </c>
      <c r="BE145" s="29" t="str">
        <f t="shared" si="148"/>
        <v>#DIV/0!</v>
      </c>
      <c r="BF145" s="29" t="str">
        <f t="shared" si="148"/>
        <v>#DIV/0!</v>
      </c>
      <c r="BG145" s="29" t="str">
        <f t="shared" si="148"/>
        <v>#DIV/0!</v>
      </c>
      <c r="BH145" s="29" t="str">
        <f t="shared" si="148"/>
        <v>#DIV/0!</v>
      </c>
      <c r="BI145" s="29" t="str">
        <f t="shared" si="148"/>
        <v>#DIV/0!</v>
      </c>
      <c r="BJ145" s="29" t="str">
        <f t="shared" si="148"/>
        <v>#DIV/0!</v>
      </c>
      <c r="BK145" s="29" t="str">
        <f t="shared" si="148"/>
        <v>#DIV/0!</v>
      </c>
      <c r="BL145" s="29" t="str">
        <f t="shared" si="148"/>
        <v>#DIV/0!</v>
      </c>
      <c r="BM145" s="29" t="str">
        <f t="shared" si="3"/>
        <v>#DIV/0!</v>
      </c>
    </row>
    <row r="146">
      <c r="A146" s="16" t="str">
        <f>IFERROR(__xludf.DUMMYFUNCTION("IFERROR(SPARKLINE(SORT(MAP(TRANSPOSE(AQ146:BL146), LAMBDA(val, IF(ISNUMBER(val), PERCENTRANK(AQ146:BL146, val)+0.01, 0))), SEQUENCE(COLUMNS(AQ146:BL146)), FALSE), {""charttype"",""column""; ""color"",""chartreuse""; ""ymin"", 0; ""ymax"", 1.01; ""highcolo"&amp;"r"", ""darkgreen""; ""lowcolor"", ""red""}), """")"),"")</f>
        <v/>
      </c>
      <c r="B146" s="17" t="str">
        <f t="shared" si="4"/>
        <v/>
      </c>
      <c r="C146" s="1" t="s">
        <v>641</v>
      </c>
      <c r="D146" s="30" t="str">
        <f>IFERROR(__xludf.DUMMYFUNCTION("IFERROR(GOOGLEFINANCE(C146, ""NAME""))"),"Bally's Corp")</f>
        <v>Bally's Corp</v>
      </c>
      <c r="E146" s="30" t="s">
        <v>354</v>
      </c>
      <c r="F146" s="33" t="str">
        <f>IFERROR(__xludf.DUMMYFUNCTION("( (GOOGLEFINANCE(C146, ""price"") - Q146) / Q146 ) / (R146 / 100)"),"Loading...")</f>
        <v>Loading...</v>
      </c>
      <c r="G146" s="20" t="str">
        <f>IFERROR(__xludf.DUMMYFUNCTION("AVERAGE(ARRAYFORMULA(100 * (QUERY(GOOGLEFINANCE(C146, ""high"", TODAY()-40, TODAY()), ""SELECT Col2 WHERE Col2 IS NOT NULL ORDER BY Col1 DESC LIMIT 20"", 0) / QUERY(GOOGLEFINANCE(C146, ""low"", TODAY()-40, TODAY()), ""SELECT Col2 WHERE Col2 IS NOT NULL OR"&amp;"DER BY Col1 DESC LIMIT 20"", 0) - 1)))"),"#N/A")</f>
        <v>#N/A</v>
      </c>
      <c r="H146" s="35" t="str">
        <f t="shared" si="6"/>
        <v/>
      </c>
      <c r="I146" s="35" t="str">
        <f t="shared" si="7"/>
        <v/>
      </c>
      <c r="J146" s="37" t="str">
        <f>IFERROR(__xludf.DUMMYFUNCTION("IFERROR(
  IF(C146="""",, 
    IFERROR(
      GOOGLEFINANCE(C146, ""price"") * GOOGLEFINANCE(C146, ""volumeavg""), 
      GOOGLEFINANCE(C146, ""price"") * AVERAGE(QUERY(GOOGLEFINANCE(C146, ""volume"", TODAY()-40, TODAY()), ""SELECT Col2 WHERE Col2 IS NOT "&amp;"NULL ORDER BY Col1 DESC LIMIT 20"", 0))
    )
  ), 
"""")"),"")</f>
        <v/>
      </c>
      <c r="K146" s="21" t="str">
        <f>IFERROR(__xludf.DUMMYFUNCTION("IFERROR(GOOGLEFINANCE(C146, ""changepct"") / 100, """")"),"")</f>
        <v/>
      </c>
      <c r="L146" s="21" t="str">
        <f>IFERROR(__xludf.DUMMYFUNCTION("IFERROR((GOOGLEFINANCE(C146, ""price"") / INDEX(GOOGLEFINANCE(C146, ""price"", TODAY()-7, TODAY()), 2, 2)) - 1, """")"),"")</f>
        <v/>
      </c>
      <c r="M146" s="21" t="str">
        <f>IFERROR(__xludf.DUMMYFUNCTION("IFERROR((GOOGLEFINANCE(C146, ""price"") / INDEX(GOOGLEFINANCE(C146, ""price"", EDATE(TODAY(), -1), TODAY()), 2, 2)) - 1, """")"),"")</f>
        <v/>
      </c>
      <c r="N146" s="21" t="str">
        <f>IFERROR(__xludf.DUMMYFUNCTION("IFERROR((GOOGLEFINANCE(C146, ""price"") / INDEX(GOOGLEFINANCE(C146, ""price"", EDATE(TODAY(), -3), TODAY()), 2, 2)) - 1, """")"),"")</f>
        <v/>
      </c>
      <c r="O146" s="21" t="str">
        <f>IFERROR(__xludf.DUMMYFUNCTION("IFERROR((GOOGLEFINANCE(C146, ""price"") / INDEX(GOOGLEFINANCE(C146, ""price"", EDATE(TODAY(), -6), TODAY()), 2, 2)) - 1, """")"),"")</f>
        <v/>
      </c>
      <c r="P146" s="21" t="str">
        <f>IFERROR(__xludf.DUMMYFUNCTION("IFERROR((GOOGLEFINANCE(C146, ""price"") / INDEX(GOOGLEFINANCE(C146, ""price"", EDATE(TODAY(), -12), TODAY()), 2, 2)) - 1, """")"),"")</f>
        <v/>
      </c>
      <c r="Q146" s="6" t="str">
        <f>IFERROR(__xludf.DUMMYFUNCTION("AVERAGE(QUERY(GOOGLEFINANCE(C146, ""price"", TODAY()-80, TODAY()), ""SELECT Col2 WHERE Col2 IS NOT NULL ORDER BY Col1 DESC LIMIT 50"", 0))"),"#N/A")</f>
        <v>#N/A</v>
      </c>
      <c r="R146" s="24" t="str">
        <f>IFERROR(__xludf.DUMMYFUNCTION("IFERROR(
  LET(
    data, QUERY(GOOGLEFINANCE(C146,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GOOGLEFINANCE(C146, ""price"")) * 100,
    IF(calc=0, G146, calc)
  ), 
G146)"),"#N/A")</f>
        <v>#N/A</v>
      </c>
      <c r="S146" s="8" t="s">
        <v>15</v>
      </c>
      <c r="T146" s="26" t="str">
        <f>IFERROR(__xludf.DUMMYFUNCTION("IFERROR(TRANSPOSE(QUERY(IFERROR(SORT(GOOGLEFINANCE(C146, ""price"", WORKDAY(TODAY(), -40), TODAY()), 1, FALSE)), ""select Col2 where Col2 is not null limit 22 label Col2 ''"", 0)), """")"),"")</f>
        <v/>
      </c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8"/>
      <c r="AO146" s="28"/>
      <c r="AP146" s="29"/>
      <c r="AQ146" s="29" t="str">
        <f t="shared" ref="AQ146:BL146" si="149">T146/T$2</f>
        <v>#N/A</v>
      </c>
      <c r="AR146" s="29" t="str">
        <f t="shared" si="149"/>
        <v>#DIV/0!</v>
      </c>
      <c r="AS146" s="29" t="str">
        <f t="shared" si="149"/>
        <v>#DIV/0!</v>
      </c>
      <c r="AT146" s="29" t="str">
        <f t="shared" si="149"/>
        <v>#DIV/0!</v>
      </c>
      <c r="AU146" s="29" t="str">
        <f t="shared" si="149"/>
        <v>#DIV/0!</v>
      </c>
      <c r="AV146" s="29" t="str">
        <f t="shared" si="149"/>
        <v>#DIV/0!</v>
      </c>
      <c r="AW146" s="29" t="str">
        <f t="shared" si="149"/>
        <v>#DIV/0!</v>
      </c>
      <c r="AX146" s="29" t="str">
        <f t="shared" si="149"/>
        <v>#DIV/0!</v>
      </c>
      <c r="AY146" s="29" t="str">
        <f t="shared" si="149"/>
        <v>#DIV/0!</v>
      </c>
      <c r="AZ146" s="29" t="str">
        <f t="shared" si="149"/>
        <v>#DIV/0!</v>
      </c>
      <c r="BA146" s="29" t="str">
        <f t="shared" si="149"/>
        <v>#DIV/0!</v>
      </c>
      <c r="BB146" s="29" t="str">
        <f t="shared" si="149"/>
        <v>#DIV/0!</v>
      </c>
      <c r="BC146" s="29" t="str">
        <f t="shared" si="149"/>
        <v>#DIV/0!</v>
      </c>
      <c r="BD146" s="29" t="str">
        <f t="shared" si="149"/>
        <v>#DIV/0!</v>
      </c>
      <c r="BE146" s="29" t="str">
        <f t="shared" si="149"/>
        <v>#DIV/0!</v>
      </c>
      <c r="BF146" s="29" t="str">
        <f t="shared" si="149"/>
        <v>#DIV/0!</v>
      </c>
      <c r="BG146" s="29" t="str">
        <f t="shared" si="149"/>
        <v>#DIV/0!</v>
      </c>
      <c r="BH146" s="29" t="str">
        <f t="shared" si="149"/>
        <v>#DIV/0!</v>
      </c>
      <c r="BI146" s="29" t="str">
        <f t="shared" si="149"/>
        <v>#DIV/0!</v>
      </c>
      <c r="BJ146" s="29" t="str">
        <f t="shared" si="149"/>
        <v>#DIV/0!</v>
      </c>
      <c r="BK146" s="29" t="str">
        <f t="shared" si="149"/>
        <v>#DIV/0!</v>
      </c>
      <c r="BL146" s="29" t="str">
        <f t="shared" si="149"/>
        <v>#DIV/0!</v>
      </c>
      <c r="BM146" s="29" t="str">
        <f t="shared" si="3"/>
        <v>#DIV/0!</v>
      </c>
    </row>
    <row r="147">
      <c r="A147" s="16" t="str">
        <f>IFERROR(__xludf.DUMMYFUNCTION("IFERROR(SPARKLINE(SORT(MAP(TRANSPOSE(AQ147:BL147), LAMBDA(val, IF(ISNUMBER(val), PERCENTRANK(AQ147:BL147, val)+0.01, 0))), SEQUENCE(COLUMNS(AQ147:BL147)), FALSE), {""charttype"",""column""; ""color"",""chartreuse""; ""ymin"", 0; ""ymax"", 1.01; ""highcolo"&amp;"r"", ""darkgreen""; ""lowcolor"", ""red""}), """")"),"")</f>
        <v/>
      </c>
      <c r="B147" s="17" t="str">
        <f t="shared" si="4"/>
        <v/>
      </c>
      <c r="C147" s="1" t="s">
        <v>643</v>
      </c>
      <c r="D147" s="30" t="str">
        <f>IFERROR(__xludf.DUMMYFUNCTION("IFERROR(GOOGLEFINANCE(C147, ""NAME""))"),"Alliance Laundry Holdings Inc")</f>
        <v>Alliance Laundry Holdings Inc</v>
      </c>
      <c r="E147" s="30" t="s">
        <v>456</v>
      </c>
      <c r="F147" s="33" t="str">
        <f>IFERROR(__xludf.DUMMYFUNCTION("( (GOOGLEFINANCE(C147, ""price"") - Q147) / Q147 ) / (R147 / 100)"),"Loading...")</f>
        <v>Loading...</v>
      </c>
      <c r="G147" s="20" t="str">
        <f>IFERROR(__xludf.DUMMYFUNCTION("AVERAGE(ARRAYFORMULA(100 * (QUERY(GOOGLEFINANCE(C147, ""high"", TODAY()-40, TODAY()), ""SELECT Col2 WHERE Col2 IS NOT NULL ORDER BY Col1 DESC LIMIT 20"", 0) / QUERY(GOOGLEFINANCE(C147, ""low"", TODAY()-40, TODAY()), ""SELECT Col2 WHERE Col2 IS NOT NULL OR"&amp;"DER BY Col1 DESC LIMIT 20"", 0) - 1)))"),"#N/A")</f>
        <v>#N/A</v>
      </c>
      <c r="H147" s="35" t="str">
        <f t="shared" si="6"/>
        <v/>
      </c>
      <c r="I147" s="35" t="str">
        <f t="shared" si="7"/>
        <v/>
      </c>
      <c r="J147" s="37" t="str">
        <f>IFERROR(__xludf.DUMMYFUNCTION("IFERROR(
  IF(C147="""",, 
    IFERROR(
      GOOGLEFINANCE(C147, ""price"") * GOOGLEFINANCE(C147, ""volumeavg""), 
      GOOGLEFINANCE(C147, ""price"") * AVERAGE(QUERY(GOOGLEFINANCE(C147, ""volume"", TODAY()-40, TODAY()), ""SELECT Col2 WHERE Col2 IS NOT "&amp;"NULL ORDER BY Col1 DESC LIMIT 20"", 0))
    )
  ), 
"""")"),"")</f>
        <v/>
      </c>
      <c r="K147" s="21" t="str">
        <f>IFERROR(__xludf.DUMMYFUNCTION("IFERROR(GOOGLEFINANCE(C147, ""changepct"") / 100, """")"),"")</f>
        <v/>
      </c>
      <c r="L147" s="21" t="str">
        <f>IFERROR(__xludf.DUMMYFUNCTION("IFERROR((GOOGLEFINANCE(C147, ""price"") / INDEX(GOOGLEFINANCE(C147, ""price"", TODAY()-7, TODAY()), 2, 2)) - 1, """")"),"")</f>
        <v/>
      </c>
      <c r="M147" s="21" t="str">
        <f>IFERROR(__xludf.DUMMYFUNCTION("IFERROR((GOOGLEFINANCE(C147, ""price"") / INDEX(GOOGLEFINANCE(C147, ""price"", EDATE(TODAY(), -1), TODAY()), 2, 2)) - 1, """")"),"")</f>
        <v/>
      </c>
      <c r="N147" s="21" t="str">
        <f>IFERROR(__xludf.DUMMYFUNCTION("IFERROR((GOOGLEFINANCE(C147, ""price"") / INDEX(GOOGLEFINANCE(C147, ""price"", EDATE(TODAY(), -3), TODAY()), 2, 2)) - 1, """")"),"")</f>
        <v/>
      </c>
      <c r="O147" s="21" t="str">
        <f>IFERROR(__xludf.DUMMYFUNCTION("IFERROR((GOOGLEFINANCE(C147, ""price"") / INDEX(GOOGLEFINANCE(C147, ""price"", EDATE(TODAY(), -6), TODAY()), 2, 2)) - 1, """")"),"")</f>
        <v/>
      </c>
      <c r="P147" s="21" t="str">
        <f>IFERROR(__xludf.DUMMYFUNCTION("IFERROR((GOOGLEFINANCE(C147, ""price"") / INDEX(GOOGLEFINANCE(C147, ""price"", EDATE(TODAY(), -12), TODAY()), 2, 2)) - 1, """")"),"")</f>
        <v/>
      </c>
      <c r="Q147" s="6" t="str">
        <f>IFERROR(__xludf.DUMMYFUNCTION("AVERAGE(QUERY(GOOGLEFINANCE(C147, ""price"", TODAY()-80, TODAY()), ""SELECT Col2 WHERE Col2 IS NOT NULL ORDER BY Col1 DESC LIMIT 50"", 0))"),"#N/A")</f>
        <v>#N/A</v>
      </c>
      <c r="R147" s="24" t="str">
        <f>IFERROR(__xludf.DUMMYFUNCTION("IFERROR(
  LET(
    data, QUERY(GOOGLEFINANCE(C147,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GOOGLEFINANCE(C147, ""price"")) * 100,
    IF(calc=0, G147, calc)
  ), 
G147)"),"#N/A")</f>
        <v>#N/A</v>
      </c>
      <c r="S147" s="8" t="s">
        <v>15</v>
      </c>
      <c r="T147" s="26" t="str">
        <f>IFERROR(__xludf.DUMMYFUNCTION("IFERROR(TRANSPOSE(QUERY(IFERROR(SORT(GOOGLEFINANCE(C147, ""price"", WORKDAY(TODAY(), -40), TODAY()), 1, FALSE)), ""select Col2 where Col2 is not null limit 22 label Col2 ''"", 0)), """")"),"")</f>
        <v/>
      </c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8"/>
      <c r="AO147" s="28"/>
      <c r="AP147" s="29"/>
      <c r="AQ147" s="29" t="str">
        <f t="shared" ref="AQ147:BL147" si="150">T147/T$2</f>
        <v>#N/A</v>
      </c>
      <c r="AR147" s="29" t="str">
        <f t="shared" si="150"/>
        <v>#DIV/0!</v>
      </c>
      <c r="AS147" s="29" t="str">
        <f t="shared" si="150"/>
        <v>#DIV/0!</v>
      </c>
      <c r="AT147" s="29" t="str">
        <f t="shared" si="150"/>
        <v>#DIV/0!</v>
      </c>
      <c r="AU147" s="29" t="str">
        <f t="shared" si="150"/>
        <v>#DIV/0!</v>
      </c>
      <c r="AV147" s="29" t="str">
        <f t="shared" si="150"/>
        <v>#DIV/0!</v>
      </c>
      <c r="AW147" s="29" t="str">
        <f t="shared" si="150"/>
        <v>#DIV/0!</v>
      </c>
      <c r="AX147" s="29" t="str">
        <f t="shared" si="150"/>
        <v>#DIV/0!</v>
      </c>
      <c r="AY147" s="29" t="str">
        <f t="shared" si="150"/>
        <v>#DIV/0!</v>
      </c>
      <c r="AZ147" s="29" t="str">
        <f t="shared" si="150"/>
        <v>#DIV/0!</v>
      </c>
      <c r="BA147" s="29" t="str">
        <f t="shared" si="150"/>
        <v>#DIV/0!</v>
      </c>
      <c r="BB147" s="29" t="str">
        <f t="shared" si="150"/>
        <v>#DIV/0!</v>
      </c>
      <c r="BC147" s="29" t="str">
        <f t="shared" si="150"/>
        <v>#DIV/0!</v>
      </c>
      <c r="BD147" s="29" t="str">
        <f t="shared" si="150"/>
        <v>#DIV/0!</v>
      </c>
      <c r="BE147" s="29" t="str">
        <f t="shared" si="150"/>
        <v>#DIV/0!</v>
      </c>
      <c r="BF147" s="29" t="str">
        <f t="shared" si="150"/>
        <v>#DIV/0!</v>
      </c>
      <c r="BG147" s="29" t="str">
        <f t="shared" si="150"/>
        <v>#DIV/0!</v>
      </c>
      <c r="BH147" s="29" t="str">
        <f t="shared" si="150"/>
        <v>#DIV/0!</v>
      </c>
      <c r="BI147" s="29" t="str">
        <f t="shared" si="150"/>
        <v>#DIV/0!</v>
      </c>
      <c r="BJ147" s="29" t="str">
        <f t="shared" si="150"/>
        <v>#DIV/0!</v>
      </c>
      <c r="BK147" s="29" t="str">
        <f t="shared" si="150"/>
        <v>#DIV/0!</v>
      </c>
      <c r="BL147" s="29" t="str">
        <f t="shared" si="150"/>
        <v>#DIV/0!</v>
      </c>
      <c r="BM147" s="29" t="str">
        <f t="shared" si="3"/>
        <v>#DIV/0!</v>
      </c>
    </row>
    <row r="148">
      <c r="A148" s="16" t="str">
        <f>IFERROR(__xludf.DUMMYFUNCTION("IFERROR(SPARKLINE(SORT(MAP(TRANSPOSE(AQ148:BL148), LAMBDA(val, IF(ISNUMBER(val), PERCENTRANK(AQ148:BL148, val)+0.01, 0))), SEQUENCE(COLUMNS(AQ148:BL148)), FALSE), {""charttype"",""column""; ""color"",""chartreuse""; ""ymin"", 0; ""ymax"", 1.01; ""highcolo"&amp;"r"", ""darkgreen""; ""lowcolor"", ""red""}), """")"),"")</f>
        <v/>
      </c>
      <c r="B148" s="17" t="str">
        <f t="shared" si="4"/>
        <v/>
      </c>
      <c r="C148" s="1" t="s">
        <v>646</v>
      </c>
      <c r="D148" s="30" t="str">
        <f>IFERROR(__xludf.DUMMYFUNCTION("IFERROR(GOOGLEFINANCE(C148, ""NAME""))"),"Carter's Inc")</f>
        <v>Carter's Inc</v>
      </c>
      <c r="E148" s="30" t="s">
        <v>647</v>
      </c>
      <c r="F148" s="33" t="str">
        <f>IFERROR(__xludf.DUMMYFUNCTION("( (GOOGLEFINANCE(C148, ""price"") - Q148) / Q148 ) / (R148 / 100)"),"Loading...")</f>
        <v>Loading...</v>
      </c>
      <c r="G148" s="20" t="str">
        <f>IFERROR(__xludf.DUMMYFUNCTION("AVERAGE(ARRAYFORMULA(100 * (QUERY(GOOGLEFINANCE(C148, ""high"", TODAY()-40, TODAY()), ""SELECT Col2 WHERE Col2 IS NOT NULL ORDER BY Col1 DESC LIMIT 20"", 0) / QUERY(GOOGLEFINANCE(C148, ""low"", TODAY()-40, TODAY()), ""SELECT Col2 WHERE Col2 IS NOT NULL OR"&amp;"DER BY Col1 DESC LIMIT 20"", 0) - 1)))"),"#N/A")</f>
        <v>#N/A</v>
      </c>
      <c r="H148" s="35" t="str">
        <f t="shared" si="6"/>
        <v/>
      </c>
      <c r="I148" s="35" t="str">
        <f t="shared" si="7"/>
        <v/>
      </c>
      <c r="J148" s="37" t="str">
        <f>IFERROR(__xludf.DUMMYFUNCTION("IFERROR(
  IF(C148="""",, 
    IFERROR(
      GOOGLEFINANCE(C148, ""price"") * GOOGLEFINANCE(C148, ""volumeavg""), 
      GOOGLEFINANCE(C148, ""price"") * AVERAGE(QUERY(GOOGLEFINANCE(C148, ""volume"", TODAY()-40, TODAY()), ""SELECT Col2 WHERE Col2 IS NOT "&amp;"NULL ORDER BY Col1 DESC LIMIT 20"", 0))
    )
  ), 
"""")"),"")</f>
        <v/>
      </c>
      <c r="K148" s="21" t="str">
        <f>IFERROR(__xludf.DUMMYFUNCTION("IFERROR(GOOGLEFINANCE(C148, ""changepct"") / 100, """")"),"")</f>
        <v/>
      </c>
      <c r="L148" s="21" t="str">
        <f>IFERROR(__xludf.DUMMYFUNCTION("IFERROR((GOOGLEFINANCE(C148, ""price"") / INDEX(GOOGLEFINANCE(C148, ""price"", TODAY()-7, TODAY()), 2, 2)) - 1, """")"),"")</f>
        <v/>
      </c>
      <c r="M148" s="21" t="str">
        <f>IFERROR(__xludf.DUMMYFUNCTION("IFERROR((GOOGLEFINANCE(C148, ""price"") / INDEX(GOOGLEFINANCE(C148, ""price"", EDATE(TODAY(), -1), TODAY()), 2, 2)) - 1, """")"),"")</f>
        <v/>
      </c>
      <c r="N148" s="21" t="str">
        <f>IFERROR(__xludf.DUMMYFUNCTION("IFERROR((GOOGLEFINANCE(C148, ""price"") / INDEX(GOOGLEFINANCE(C148, ""price"", EDATE(TODAY(), -3), TODAY()), 2, 2)) - 1, """")"),"")</f>
        <v/>
      </c>
      <c r="O148" s="21" t="str">
        <f>IFERROR(__xludf.DUMMYFUNCTION("IFERROR((GOOGLEFINANCE(C148, ""price"") / INDEX(GOOGLEFINANCE(C148, ""price"", EDATE(TODAY(), -6), TODAY()), 2, 2)) - 1, """")"),"")</f>
        <v/>
      </c>
      <c r="P148" s="21" t="str">
        <f>IFERROR(__xludf.DUMMYFUNCTION("IFERROR((GOOGLEFINANCE(C148, ""price"") / INDEX(GOOGLEFINANCE(C148, ""price"", EDATE(TODAY(), -12), TODAY()), 2, 2)) - 1, """")"),"")</f>
        <v/>
      </c>
      <c r="Q148" s="6" t="str">
        <f>IFERROR(__xludf.DUMMYFUNCTION("AVERAGE(QUERY(GOOGLEFINANCE(C148, ""price"", TODAY()-80, TODAY()), ""SELECT Col2 WHERE Col2 IS NOT NULL ORDER BY Col1 DESC LIMIT 50"", 0))"),"#N/A")</f>
        <v>#N/A</v>
      </c>
      <c r="R148" s="24" t="str">
        <f>IFERROR(__xludf.DUMMYFUNCTION("IFERROR(
  LET(
    data, QUERY(GOOGLEFINANCE(C148,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GOOGLEFINANCE(C148, ""price"")) * 100,
    IF(calc=0, G148, calc)
  ), 
G148)"),"#N/A")</f>
        <v>#N/A</v>
      </c>
      <c r="S148" s="8" t="s">
        <v>15</v>
      </c>
      <c r="T148" s="26" t="str">
        <f>IFERROR(__xludf.DUMMYFUNCTION("IFERROR(TRANSPOSE(QUERY(IFERROR(SORT(GOOGLEFINANCE(C148, ""price"", WORKDAY(TODAY(), -40), TODAY()), 1, FALSE)), ""select Col2 where Col2 is not null limit 22 label Col2 ''"", 0)), """")"),"")</f>
        <v/>
      </c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8"/>
      <c r="AO148" s="28"/>
      <c r="AP148" s="29"/>
      <c r="AQ148" s="29" t="str">
        <f t="shared" ref="AQ148:BL148" si="151">T148/T$2</f>
        <v>#N/A</v>
      </c>
      <c r="AR148" s="29" t="str">
        <f t="shared" si="151"/>
        <v>#DIV/0!</v>
      </c>
      <c r="AS148" s="29" t="str">
        <f t="shared" si="151"/>
        <v>#DIV/0!</v>
      </c>
      <c r="AT148" s="29" t="str">
        <f t="shared" si="151"/>
        <v>#DIV/0!</v>
      </c>
      <c r="AU148" s="29" t="str">
        <f t="shared" si="151"/>
        <v>#DIV/0!</v>
      </c>
      <c r="AV148" s="29" t="str">
        <f t="shared" si="151"/>
        <v>#DIV/0!</v>
      </c>
      <c r="AW148" s="29" t="str">
        <f t="shared" si="151"/>
        <v>#DIV/0!</v>
      </c>
      <c r="AX148" s="29" t="str">
        <f t="shared" si="151"/>
        <v>#DIV/0!</v>
      </c>
      <c r="AY148" s="29" t="str">
        <f t="shared" si="151"/>
        <v>#DIV/0!</v>
      </c>
      <c r="AZ148" s="29" t="str">
        <f t="shared" si="151"/>
        <v>#DIV/0!</v>
      </c>
      <c r="BA148" s="29" t="str">
        <f t="shared" si="151"/>
        <v>#DIV/0!</v>
      </c>
      <c r="BB148" s="29" t="str">
        <f t="shared" si="151"/>
        <v>#DIV/0!</v>
      </c>
      <c r="BC148" s="29" t="str">
        <f t="shared" si="151"/>
        <v>#DIV/0!</v>
      </c>
      <c r="BD148" s="29" t="str">
        <f t="shared" si="151"/>
        <v>#DIV/0!</v>
      </c>
      <c r="BE148" s="29" t="str">
        <f t="shared" si="151"/>
        <v>#DIV/0!</v>
      </c>
      <c r="BF148" s="29" t="str">
        <f t="shared" si="151"/>
        <v>#DIV/0!</v>
      </c>
      <c r="BG148" s="29" t="str">
        <f t="shared" si="151"/>
        <v>#DIV/0!</v>
      </c>
      <c r="BH148" s="29" t="str">
        <f t="shared" si="151"/>
        <v>#DIV/0!</v>
      </c>
      <c r="BI148" s="29" t="str">
        <f t="shared" si="151"/>
        <v>#DIV/0!</v>
      </c>
      <c r="BJ148" s="29" t="str">
        <f t="shared" si="151"/>
        <v>#DIV/0!</v>
      </c>
      <c r="BK148" s="29" t="str">
        <f t="shared" si="151"/>
        <v>#DIV/0!</v>
      </c>
      <c r="BL148" s="29" t="str">
        <f t="shared" si="151"/>
        <v>#DIV/0!</v>
      </c>
      <c r="BM148" s="29" t="str">
        <f t="shared" si="3"/>
        <v>#DIV/0!</v>
      </c>
    </row>
    <row r="149">
      <c r="A149" s="16" t="str">
        <f>IFERROR(__xludf.DUMMYFUNCTION("IFERROR(SPARKLINE(SORT(MAP(TRANSPOSE(AQ149:BL149), LAMBDA(val, IF(ISNUMBER(val), PERCENTRANK(AQ149:BL149, val)+0.01, 0))), SEQUENCE(COLUMNS(AQ149:BL149)), FALSE), {""charttype"",""column""; ""color"",""chartreuse""; ""ymin"", 0; ""ymax"", 1.01; ""highcolo"&amp;"r"", ""darkgreen""; ""lowcolor"", ""red""}), """")"),"")</f>
        <v/>
      </c>
      <c r="B149" s="17" t="str">
        <f t="shared" si="4"/>
        <v/>
      </c>
      <c r="C149" s="1" t="s">
        <v>650</v>
      </c>
      <c r="D149" s="30" t="str">
        <f>IFERROR(__xludf.DUMMYFUNCTION("IFERROR(GOOGLEFINANCE(C149, ""NAME""))"),"Brinker International Inc")</f>
        <v>Brinker International Inc</v>
      </c>
      <c r="E149" s="30" t="s">
        <v>126</v>
      </c>
      <c r="F149" s="33" t="str">
        <f>IFERROR(__xludf.DUMMYFUNCTION("( (GOOGLEFINANCE(C149, ""price"") - Q149) / Q149 ) / (R149 / 100)"),"Loading...")</f>
        <v>Loading...</v>
      </c>
      <c r="G149" s="20" t="str">
        <f>IFERROR(__xludf.DUMMYFUNCTION("AVERAGE(ARRAYFORMULA(100 * (QUERY(GOOGLEFINANCE(C149, ""high"", TODAY()-40, TODAY()), ""SELECT Col2 WHERE Col2 IS NOT NULL ORDER BY Col1 DESC LIMIT 20"", 0) / QUERY(GOOGLEFINANCE(C149, ""low"", TODAY()-40, TODAY()), ""SELECT Col2 WHERE Col2 IS NOT NULL OR"&amp;"DER BY Col1 DESC LIMIT 20"", 0) - 1)))"),"#N/A")</f>
        <v>#N/A</v>
      </c>
      <c r="H149" s="35" t="str">
        <f t="shared" si="6"/>
        <v/>
      </c>
      <c r="I149" s="35" t="str">
        <f t="shared" si="7"/>
        <v/>
      </c>
      <c r="J149" s="37" t="str">
        <f>IFERROR(__xludf.DUMMYFUNCTION("IFERROR(
  IF(C149="""",, 
    IFERROR(
      GOOGLEFINANCE(C149, ""price"") * GOOGLEFINANCE(C149, ""volumeavg""), 
      GOOGLEFINANCE(C149, ""price"") * AVERAGE(QUERY(GOOGLEFINANCE(C149, ""volume"", TODAY()-40, TODAY()), ""SELECT Col2 WHERE Col2 IS NOT "&amp;"NULL ORDER BY Col1 DESC LIMIT 20"", 0))
    )
  ), 
"""")"),"")</f>
        <v/>
      </c>
      <c r="K149" s="21" t="str">
        <f>IFERROR(__xludf.DUMMYFUNCTION("IFERROR(GOOGLEFINANCE(C149, ""changepct"") / 100, """")"),"")</f>
        <v/>
      </c>
      <c r="L149" s="21" t="str">
        <f>IFERROR(__xludf.DUMMYFUNCTION("IFERROR((GOOGLEFINANCE(C149, ""price"") / INDEX(GOOGLEFINANCE(C149, ""price"", TODAY()-7, TODAY()), 2, 2)) - 1, """")"),"")</f>
        <v/>
      </c>
      <c r="M149" s="21" t="str">
        <f>IFERROR(__xludf.DUMMYFUNCTION("IFERROR((GOOGLEFINANCE(C149, ""price"") / INDEX(GOOGLEFINANCE(C149, ""price"", EDATE(TODAY(), -1), TODAY()), 2, 2)) - 1, """")"),"")</f>
        <v/>
      </c>
      <c r="N149" s="21" t="str">
        <f>IFERROR(__xludf.DUMMYFUNCTION("IFERROR((GOOGLEFINANCE(C149, ""price"") / INDEX(GOOGLEFINANCE(C149, ""price"", EDATE(TODAY(), -3), TODAY()), 2, 2)) - 1, """")"),"")</f>
        <v/>
      </c>
      <c r="O149" s="21" t="str">
        <f>IFERROR(__xludf.DUMMYFUNCTION("IFERROR((GOOGLEFINANCE(C149, ""price"") / INDEX(GOOGLEFINANCE(C149, ""price"", EDATE(TODAY(), -6), TODAY()), 2, 2)) - 1, """")"),"")</f>
        <v/>
      </c>
      <c r="P149" s="21" t="str">
        <f>IFERROR(__xludf.DUMMYFUNCTION("IFERROR((GOOGLEFINANCE(C149, ""price"") / INDEX(GOOGLEFINANCE(C149, ""price"", EDATE(TODAY(), -12), TODAY()), 2, 2)) - 1, """")"),"")</f>
        <v/>
      </c>
      <c r="Q149" s="6" t="str">
        <f>IFERROR(__xludf.DUMMYFUNCTION("AVERAGE(QUERY(GOOGLEFINANCE(C149, ""price"", TODAY()-80, TODAY()), ""SELECT Col2 WHERE Col2 IS NOT NULL ORDER BY Col1 DESC LIMIT 50"", 0))"),"#N/A")</f>
        <v>#N/A</v>
      </c>
      <c r="R149" s="24" t="str">
        <f>IFERROR(__xludf.DUMMYFUNCTION("IFERROR(
  LET(
    data, QUERY(GOOGLEFINANCE(C149,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GOOGLEFINANCE(C149, ""price"")) * 100,
    IF(calc=0, G149, calc)
  ), 
G149)"),"#N/A")</f>
        <v>#N/A</v>
      </c>
      <c r="S149" s="8" t="s">
        <v>15</v>
      </c>
      <c r="T149" s="26" t="str">
        <f>IFERROR(__xludf.DUMMYFUNCTION("IFERROR(TRANSPOSE(QUERY(IFERROR(SORT(GOOGLEFINANCE(C149, ""price"", WORKDAY(TODAY(), -40), TODAY()), 1, FALSE)), ""select Col2 where Col2 is not null limit 22 label Col2 ''"", 0)), """")"),"")</f>
        <v/>
      </c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8"/>
      <c r="AO149" s="28"/>
      <c r="AP149" s="29"/>
      <c r="AQ149" s="29" t="str">
        <f t="shared" ref="AQ149:BL149" si="152">T149/T$2</f>
        <v>#N/A</v>
      </c>
      <c r="AR149" s="29" t="str">
        <f t="shared" si="152"/>
        <v>#DIV/0!</v>
      </c>
      <c r="AS149" s="29" t="str">
        <f t="shared" si="152"/>
        <v>#DIV/0!</v>
      </c>
      <c r="AT149" s="29" t="str">
        <f t="shared" si="152"/>
        <v>#DIV/0!</v>
      </c>
      <c r="AU149" s="29" t="str">
        <f t="shared" si="152"/>
        <v>#DIV/0!</v>
      </c>
      <c r="AV149" s="29" t="str">
        <f t="shared" si="152"/>
        <v>#DIV/0!</v>
      </c>
      <c r="AW149" s="29" t="str">
        <f t="shared" si="152"/>
        <v>#DIV/0!</v>
      </c>
      <c r="AX149" s="29" t="str">
        <f t="shared" si="152"/>
        <v>#DIV/0!</v>
      </c>
      <c r="AY149" s="29" t="str">
        <f t="shared" si="152"/>
        <v>#DIV/0!</v>
      </c>
      <c r="AZ149" s="29" t="str">
        <f t="shared" si="152"/>
        <v>#DIV/0!</v>
      </c>
      <c r="BA149" s="29" t="str">
        <f t="shared" si="152"/>
        <v>#DIV/0!</v>
      </c>
      <c r="BB149" s="29" t="str">
        <f t="shared" si="152"/>
        <v>#DIV/0!</v>
      </c>
      <c r="BC149" s="29" t="str">
        <f t="shared" si="152"/>
        <v>#DIV/0!</v>
      </c>
      <c r="BD149" s="29" t="str">
        <f t="shared" si="152"/>
        <v>#DIV/0!</v>
      </c>
      <c r="BE149" s="29" t="str">
        <f t="shared" si="152"/>
        <v>#DIV/0!</v>
      </c>
      <c r="BF149" s="29" t="str">
        <f t="shared" si="152"/>
        <v>#DIV/0!</v>
      </c>
      <c r="BG149" s="29" t="str">
        <f t="shared" si="152"/>
        <v>#DIV/0!</v>
      </c>
      <c r="BH149" s="29" t="str">
        <f t="shared" si="152"/>
        <v>#DIV/0!</v>
      </c>
      <c r="BI149" s="29" t="str">
        <f t="shared" si="152"/>
        <v>#DIV/0!</v>
      </c>
      <c r="BJ149" s="29" t="str">
        <f t="shared" si="152"/>
        <v>#DIV/0!</v>
      </c>
      <c r="BK149" s="29" t="str">
        <f t="shared" si="152"/>
        <v>#DIV/0!</v>
      </c>
      <c r="BL149" s="29" t="str">
        <f t="shared" si="152"/>
        <v>#DIV/0!</v>
      </c>
      <c r="BM149" s="29" t="str">
        <f t="shared" si="3"/>
        <v>#DIV/0!</v>
      </c>
    </row>
    <row r="150">
      <c r="A150" s="16" t="str">
        <f>IFERROR(__xludf.DUMMYFUNCTION("IFERROR(SPARKLINE(SORT(MAP(TRANSPOSE(AQ150:BL150), LAMBDA(val, IF(ISNUMBER(val), PERCENTRANK(AQ150:BL150, val)+0.01, 0))), SEQUENCE(COLUMNS(AQ150:BL150)), FALSE), {""charttype"",""column""; ""color"",""chartreuse""; ""ymin"", 0; ""ymax"", 1.01; ""highcolo"&amp;"r"", ""darkgreen""; ""lowcolor"", ""red""}), """")"),"")</f>
        <v/>
      </c>
      <c r="B150" s="17" t="str">
        <f t="shared" si="4"/>
        <v/>
      </c>
      <c r="C150" s="1" t="s">
        <v>654</v>
      </c>
      <c r="D150" s="30" t="str">
        <f>IFERROR(__xludf.DUMMYFUNCTION("IFERROR(GOOGLEFINANCE(C150, ""NAME""))"),"Rush Enterprises Inc Class A")</f>
        <v>Rush Enterprises Inc Class A</v>
      </c>
      <c r="E150" s="30" t="s">
        <v>190</v>
      </c>
      <c r="F150" s="33" t="str">
        <f>IFERROR(__xludf.DUMMYFUNCTION("( (GOOGLEFINANCE(C150, ""price"") - Q150) / Q150 ) / (R150 / 100)"),"Loading...")</f>
        <v>Loading...</v>
      </c>
      <c r="G150" s="20" t="str">
        <f>IFERROR(__xludf.DUMMYFUNCTION("AVERAGE(ARRAYFORMULA(100 * (QUERY(GOOGLEFINANCE(C150, ""high"", TODAY()-40, TODAY()), ""SELECT Col2 WHERE Col2 IS NOT NULL ORDER BY Col1 DESC LIMIT 20"", 0) / QUERY(GOOGLEFINANCE(C150, ""low"", TODAY()-40, TODAY()), ""SELECT Col2 WHERE Col2 IS NOT NULL OR"&amp;"DER BY Col1 DESC LIMIT 20"", 0) - 1)))"),"#N/A")</f>
        <v>#N/A</v>
      </c>
      <c r="H150" s="35" t="str">
        <f t="shared" si="6"/>
        <v/>
      </c>
      <c r="I150" s="35" t="str">
        <f t="shared" si="7"/>
        <v/>
      </c>
      <c r="J150" s="37" t="str">
        <f>IFERROR(__xludf.DUMMYFUNCTION("IFERROR(
  IF(C150="""",, 
    IFERROR(
      GOOGLEFINANCE(C150, ""price"") * GOOGLEFINANCE(C150, ""volumeavg""), 
      GOOGLEFINANCE(C150, ""price"") * AVERAGE(QUERY(GOOGLEFINANCE(C150, ""volume"", TODAY()-40, TODAY()), ""SELECT Col2 WHERE Col2 IS NOT "&amp;"NULL ORDER BY Col1 DESC LIMIT 20"", 0))
    )
  ), 
"""")"),"")</f>
        <v/>
      </c>
      <c r="K150" s="21" t="str">
        <f>IFERROR(__xludf.DUMMYFUNCTION("IFERROR(GOOGLEFINANCE(C150, ""changepct"") / 100, """")"),"")</f>
        <v/>
      </c>
      <c r="L150" s="21" t="str">
        <f>IFERROR(__xludf.DUMMYFUNCTION("IFERROR((GOOGLEFINANCE(C150, ""price"") / INDEX(GOOGLEFINANCE(C150, ""price"", TODAY()-7, TODAY()), 2, 2)) - 1, """")"),"")</f>
        <v/>
      </c>
      <c r="M150" s="21" t="str">
        <f>IFERROR(__xludf.DUMMYFUNCTION("IFERROR((GOOGLEFINANCE(C150, ""price"") / INDEX(GOOGLEFINANCE(C150, ""price"", EDATE(TODAY(), -1), TODAY()), 2, 2)) - 1, """")"),"")</f>
        <v/>
      </c>
      <c r="N150" s="21" t="str">
        <f>IFERROR(__xludf.DUMMYFUNCTION("IFERROR((GOOGLEFINANCE(C150, ""price"") / INDEX(GOOGLEFINANCE(C150, ""price"", EDATE(TODAY(), -3), TODAY()), 2, 2)) - 1, """")"),"")</f>
        <v/>
      </c>
      <c r="O150" s="21" t="str">
        <f>IFERROR(__xludf.DUMMYFUNCTION("IFERROR((GOOGLEFINANCE(C150, ""price"") / INDEX(GOOGLEFINANCE(C150, ""price"", EDATE(TODAY(), -6), TODAY()), 2, 2)) - 1, """")"),"")</f>
        <v/>
      </c>
      <c r="P150" s="21" t="str">
        <f>IFERROR(__xludf.DUMMYFUNCTION("IFERROR((GOOGLEFINANCE(C150, ""price"") / INDEX(GOOGLEFINANCE(C150, ""price"", EDATE(TODAY(), -12), TODAY()), 2, 2)) - 1, """")"),"")</f>
        <v/>
      </c>
      <c r="Q150" s="6" t="str">
        <f>IFERROR(__xludf.DUMMYFUNCTION("AVERAGE(QUERY(GOOGLEFINANCE(C150, ""price"", TODAY()-80, TODAY()), ""SELECT Col2 WHERE Col2 IS NOT NULL ORDER BY Col1 DESC LIMIT 50"", 0))"),"#N/A")</f>
        <v>#N/A</v>
      </c>
      <c r="R150" s="24" t="str">
        <f>IFERROR(__xludf.DUMMYFUNCTION("IFERROR(
  LET(
    data, QUERY(GOOGLEFINANCE(C150,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GOOGLEFINANCE(C150, ""price"")) * 100,
    IF(calc=0, G150, calc)
  ), 
G150)"),"#N/A")</f>
        <v>#N/A</v>
      </c>
      <c r="S150" s="8" t="s">
        <v>15</v>
      </c>
      <c r="T150" s="26" t="str">
        <f>IFERROR(__xludf.DUMMYFUNCTION("IFERROR(TRANSPOSE(QUERY(IFERROR(SORT(GOOGLEFINANCE(C150, ""price"", WORKDAY(TODAY(), -40), TODAY()), 1, FALSE)), ""select Col2 where Col2 is not null limit 22 label Col2 ''"", 0)), """")"),"")</f>
        <v/>
      </c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8"/>
      <c r="AO150" s="28"/>
      <c r="AP150" s="29"/>
      <c r="AQ150" s="29" t="str">
        <f t="shared" ref="AQ150:BL150" si="153">T150/T$2</f>
        <v>#N/A</v>
      </c>
      <c r="AR150" s="29" t="str">
        <f t="shared" si="153"/>
        <v>#DIV/0!</v>
      </c>
      <c r="AS150" s="29" t="str">
        <f t="shared" si="153"/>
        <v>#DIV/0!</v>
      </c>
      <c r="AT150" s="29" t="str">
        <f t="shared" si="153"/>
        <v>#DIV/0!</v>
      </c>
      <c r="AU150" s="29" t="str">
        <f t="shared" si="153"/>
        <v>#DIV/0!</v>
      </c>
      <c r="AV150" s="29" t="str">
        <f t="shared" si="153"/>
        <v>#DIV/0!</v>
      </c>
      <c r="AW150" s="29" t="str">
        <f t="shared" si="153"/>
        <v>#DIV/0!</v>
      </c>
      <c r="AX150" s="29" t="str">
        <f t="shared" si="153"/>
        <v>#DIV/0!</v>
      </c>
      <c r="AY150" s="29" t="str">
        <f t="shared" si="153"/>
        <v>#DIV/0!</v>
      </c>
      <c r="AZ150" s="29" t="str">
        <f t="shared" si="153"/>
        <v>#DIV/0!</v>
      </c>
      <c r="BA150" s="29" t="str">
        <f t="shared" si="153"/>
        <v>#DIV/0!</v>
      </c>
      <c r="BB150" s="29" t="str">
        <f t="shared" si="153"/>
        <v>#DIV/0!</v>
      </c>
      <c r="BC150" s="29" t="str">
        <f t="shared" si="153"/>
        <v>#DIV/0!</v>
      </c>
      <c r="BD150" s="29" t="str">
        <f t="shared" si="153"/>
        <v>#DIV/0!</v>
      </c>
      <c r="BE150" s="29" t="str">
        <f t="shared" si="153"/>
        <v>#DIV/0!</v>
      </c>
      <c r="BF150" s="29" t="str">
        <f t="shared" si="153"/>
        <v>#DIV/0!</v>
      </c>
      <c r="BG150" s="29" t="str">
        <f t="shared" si="153"/>
        <v>#DIV/0!</v>
      </c>
      <c r="BH150" s="29" t="str">
        <f t="shared" si="153"/>
        <v>#DIV/0!</v>
      </c>
      <c r="BI150" s="29" t="str">
        <f t="shared" si="153"/>
        <v>#DIV/0!</v>
      </c>
      <c r="BJ150" s="29" t="str">
        <f t="shared" si="153"/>
        <v>#DIV/0!</v>
      </c>
      <c r="BK150" s="29" t="str">
        <f t="shared" si="153"/>
        <v>#DIV/0!</v>
      </c>
      <c r="BL150" s="29" t="str">
        <f t="shared" si="153"/>
        <v>#DIV/0!</v>
      </c>
      <c r="BM150" s="29" t="str">
        <f t="shared" si="3"/>
        <v>#DIV/0!</v>
      </c>
    </row>
    <row r="151">
      <c r="A151" s="16" t="str">
        <f>IFERROR(__xludf.DUMMYFUNCTION("IFERROR(SPARKLINE(SORT(MAP(TRANSPOSE(AQ151:BL151), LAMBDA(val, IF(ISNUMBER(val), PERCENTRANK(AQ151:BL151, val)+0.01, 0))), SEQUENCE(COLUMNS(AQ151:BL151)), FALSE), {""charttype"",""column""; ""color"",""chartreuse""; ""ymin"", 0; ""ymax"", 1.01; ""highcolo"&amp;"r"", ""darkgreen""; ""lowcolor"", ""red""}), """")"),"")</f>
        <v/>
      </c>
      <c r="B151" s="17" t="str">
        <f t="shared" si="4"/>
        <v/>
      </c>
      <c r="C151" s="1" t="s">
        <v>658</v>
      </c>
      <c r="D151" s="30" t="str">
        <f>IFERROR(__xludf.DUMMYFUNCTION("IFERROR(GOOGLEFINANCE(C151, ""NAME""))"),"Haverty Furniture Companies Inc")</f>
        <v>Haverty Furniture Companies Inc</v>
      </c>
      <c r="E151" s="30" t="s">
        <v>659</v>
      </c>
      <c r="F151" s="33" t="str">
        <f>IFERROR(__xludf.DUMMYFUNCTION("( (GOOGLEFINANCE(C151, ""price"") - Q151) / Q151 ) / (R151 / 100)"),"Loading...")</f>
        <v>Loading...</v>
      </c>
      <c r="G151" s="20" t="str">
        <f>IFERROR(__xludf.DUMMYFUNCTION("AVERAGE(ARRAYFORMULA(100 * (QUERY(GOOGLEFINANCE(C151, ""high"", TODAY()-40, TODAY()), ""SELECT Col2 WHERE Col2 IS NOT NULL ORDER BY Col1 DESC LIMIT 20"", 0) / QUERY(GOOGLEFINANCE(C151, ""low"", TODAY()-40, TODAY()), ""SELECT Col2 WHERE Col2 IS NOT NULL OR"&amp;"DER BY Col1 DESC LIMIT 20"", 0) - 1)))"),"#N/A")</f>
        <v>#N/A</v>
      </c>
      <c r="H151" s="35" t="str">
        <f t="shared" si="6"/>
        <v/>
      </c>
      <c r="I151" s="35" t="str">
        <f t="shared" si="7"/>
        <v/>
      </c>
      <c r="J151" s="37" t="str">
        <f>IFERROR(__xludf.DUMMYFUNCTION("IFERROR(
  IF(C151="""",, 
    IFERROR(
      GOOGLEFINANCE(C151, ""price"") * GOOGLEFINANCE(C151, ""volumeavg""), 
      GOOGLEFINANCE(C151, ""price"") * AVERAGE(QUERY(GOOGLEFINANCE(C151, ""volume"", TODAY()-40, TODAY()), ""SELECT Col2 WHERE Col2 IS NOT "&amp;"NULL ORDER BY Col1 DESC LIMIT 20"", 0))
    )
  ), 
"""")"),"")</f>
        <v/>
      </c>
      <c r="K151" s="21" t="str">
        <f>IFERROR(__xludf.DUMMYFUNCTION("IFERROR(GOOGLEFINANCE(C151, ""changepct"") / 100, """")"),"")</f>
        <v/>
      </c>
      <c r="L151" s="21" t="str">
        <f>IFERROR(__xludf.DUMMYFUNCTION("IFERROR((GOOGLEFINANCE(C151, ""price"") / INDEX(GOOGLEFINANCE(C151, ""price"", TODAY()-7, TODAY()), 2, 2)) - 1, """")"),"")</f>
        <v/>
      </c>
      <c r="M151" s="21" t="str">
        <f>IFERROR(__xludf.DUMMYFUNCTION("IFERROR((GOOGLEFINANCE(C151, ""price"") / INDEX(GOOGLEFINANCE(C151, ""price"", EDATE(TODAY(), -1), TODAY()), 2, 2)) - 1, """")"),"")</f>
        <v/>
      </c>
      <c r="N151" s="21" t="str">
        <f>IFERROR(__xludf.DUMMYFUNCTION("IFERROR((GOOGLEFINANCE(C151, ""price"") / INDEX(GOOGLEFINANCE(C151, ""price"", EDATE(TODAY(), -3), TODAY()), 2, 2)) - 1, """")"),"")</f>
        <v/>
      </c>
      <c r="O151" s="21" t="str">
        <f>IFERROR(__xludf.DUMMYFUNCTION("IFERROR((GOOGLEFINANCE(C151, ""price"") / INDEX(GOOGLEFINANCE(C151, ""price"", EDATE(TODAY(), -6), TODAY()), 2, 2)) - 1, """")"),"")</f>
        <v/>
      </c>
      <c r="P151" s="21" t="str">
        <f>IFERROR(__xludf.DUMMYFUNCTION("IFERROR((GOOGLEFINANCE(C151, ""price"") / INDEX(GOOGLEFINANCE(C151, ""price"", EDATE(TODAY(), -12), TODAY()), 2, 2)) - 1, """")"),"")</f>
        <v/>
      </c>
      <c r="Q151" s="6" t="str">
        <f>IFERROR(__xludf.DUMMYFUNCTION("AVERAGE(QUERY(GOOGLEFINANCE(C151, ""price"", TODAY()-80, TODAY()), ""SELECT Col2 WHERE Col2 IS NOT NULL ORDER BY Col1 DESC LIMIT 50"", 0))"),"#N/A")</f>
        <v>#N/A</v>
      </c>
      <c r="R151" s="24" t="str">
        <f>IFERROR(__xludf.DUMMYFUNCTION("IFERROR(
  LET(
    data, QUERY(GOOGLEFINANCE(C151,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GOOGLEFINANCE(C151, ""price"")) * 100,
    IF(calc=0, G151, calc)
  ), 
G151)"),"#N/A")</f>
        <v>#N/A</v>
      </c>
      <c r="S151" s="8" t="s">
        <v>15</v>
      </c>
      <c r="T151" s="26" t="str">
        <f>IFERROR(__xludf.DUMMYFUNCTION("IFERROR(TRANSPOSE(QUERY(IFERROR(SORT(GOOGLEFINANCE(C151, ""price"", WORKDAY(TODAY(), -40), TODAY()), 1, FALSE)), ""select Col2 where Col2 is not null limit 22 label Col2 ''"", 0)), """")"),"")</f>
        <v/>
      </c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8"/>
      <c r="AO151" s="28"/>
      <c r="AP151" s="29"/>
      <c r="AQ151" s="29" t="str">
        <f t="shared" ref="AQ151:BL151" si="154">T151/T$2</f>
        <v>#N/A</v>
      </c>
      <c r="AR151" s="29" t="str">
        <f t="shared" si="154"/>
        <v>#DIV/0!</v>
      </c>
      <c r="AS151" s="29" t="str">
        <f t="shared" si="154"/>
        <v>#DIV/0!</v>
      </c>
      <c r="AT151" s="29" t="str">
        <f t="shared" si="154"/>
        <v>#DIV/0!</v>
      </c>
      <c r="AU151" s="29" t="str">
        <f t="shared" si="154"/>
        <v>#DIV/0!</v>
      </c>
      <c r="AV151" s="29" t="str">
        <f t="shared" si="154"/>
        <v>#DIV/0!</v>
      </c>
      <c r="AW151" s="29" t="str">
        <f t="shared" si="154"/>
        <v>#DIV/0!</v>
      </c>
      <c r="AX151" s="29" t="str">
        <f t="shared" si="154"/>
        <v>#DIV/0!</v>
      </c>
      <c r="AY151" s="29" t="str">
        <f t="shared" si="154"/>
        <v>#DIV/0!</v>
      </c>
      <c r="AZ151" s="29" t="str">
        <f t="shared" si="154"/>
        <v>#DIV/0!</v>
      </c>
      <c r="BA151" s="29" t="str">
        <f t="shared" si="154"/>
        <v>#DIV/0!</v>
      </c>
      <c r="BB151" s="29" t="str">
        <f t="shared" si="154"/>
        <v>#DIV/0!</v>
      </c>
      <c r="BC151" s="29" t="str">
        <f t="shared" si="154"/>
        <v>#DIV/0!</v>
      </c>
      <c r="BD151" s="29" t="str">
        <f t="shared" si="154"/>
        <v>#DIV/0!</v>
      </c>
      <c r="BE151" s="29" t="str">
        <f t="shared" si="154"/>
        <v>#DIV/0!</v>
      </c>
      <c r="BF151" s="29" t="str">
        <f t="shared" si="154"/>
        <v>#DIV/0!</v>
      </c>
      <c r="BG151" s="29" t="str">
        <f t="shared" si="154"/>
        <v>#DIV/0!</v>
      </c>
      <c r="BH151" s="29" t="str">
        <f t="shared" si="154"/>
        <v>#DIV/0!</v>
      </c>
      <c r="BI151" s="29" t="str">
        <f t="shared" si="154"/>
        <v>#DIV/0!</v>
      </c>
      <c r="BJ151" s="29" t="str">
        <f t="shared" si="154"/>
        <v>#DIV/0!</v>
      </c>
      <c r="BK151" s="29" t="str">
        <f t="shared" si="154"/>
        <v>#DIV/0!</v>
      </c>
      <c r="BL151" s="29" t="str">
        <f t="shared" si="154"/>
        <v>#DIV/0!</v>
      </c>
      <c r="BM151" s="29" t="str">
        <f t="shared" si="3"/>
        <v>#DIV/0!</v>
      </c>
    </row>
    <row r="152">
      <c r="A152" s="16" t="str">
        <f>IFERROR(__xludf.DUMMYFUNCTION("IFERROR(SPARKLINE(SORT(MAP(TRANSPOSE(AQ152:BL152), LAMBDA(val, IF(ISNUMBER(val), PERCENTRANK(AQ152:BL152, val)+0.01, 0))), SEQUENCE(COLUMNS(AQ152:BL152)), FALSE), {""charttype"",""column""; ""color"",""chartreuse""; ""ymin"", 0; ""ymax"", 1.01; ""highcolo"&amp;"r"", ""darkgreen""; ""lowcolor"", ""red""}), """")"),"")</f>
        <v/>
      </c>
      <c r="B152" s="17" t="str">
        <f t="shared" si="4"/>
        <v/>
      </c>
      <c r="C152" s="1" t="s">
        <v>662</v>
      </c>
      <c r="D152" s="30" t="str">
        <f>IFERROR(__xludf.DUMMYFUNCTION("IFERROR(GOOGLEFINANCE(C152, ""NAME""))"),"Hovnanian Enterprises Inc Class A")</f>
        <v>Hovnanian Enterprises Inc Class A</v>
      </c>
      <c r="E152" s="30" t="s">
        <v>261</v>
      </c>
      <c r="F152" s="33" t="str">
        <f>IFERROR(__xludf.DUMMYFUNCTION("( (GOOGLEFINANCE(C152, ""price"") - Q152) / Q152 ) / (R152 / 100)"),"Loading...")</f>
        <v>Loading...</v>
      </c>
      <c r="G152" s="20" t="str">
        <f>IFERROR(__xludf.DUMMYFUNCTION("AVERAGE(ARRAYFORMULA(100 * (QUERY(GOOGLEFINANCE(C152, ""high"", TODAY()-40, TODAY()), ""SELECT Col2 WHERE Col2 IS NOT NULL ORDER BY Col1 DESC LIMIT 20"", 0) / QUERY(GOOGLEFINANCE(C152, ""low"", TODAY()-40, TODAY()), ""SELECT Col2 WHERE Col2 IS NOT NULL OR"&amp;"DER BY Col1 DESC LIMIT 20"", 0) - 1)))"),"#N/A")</f>
        <v>#N/A</v>
      </c>
      <c r="H152" s="35" t="str">
        <f t="shared" si="6"/>
        <v/>
      </c>
      <c r="I152" s="35" t="str">
        <f t="shared" si="7"/>
        <v/>
      </c>
      <c r="J152" s="37" t="str">
        <f>IFERROR(__xludf.DUMMYFUNCTION("IFERROR(
  IF(C152="""",, 
    IFERROR(
      GOOGLEFINANCE(C152, ""price"") * GOOGLEFINANCE(C152, ""volumeavg""), 
      GOOGLEFINANCE(C152, ""price"") * AVERAGE(QUERY(GOOGLEFINANCE(C152, ""volume"", TODAY()-40, TODAY()), ""SELECT Col2 WHERE Col2 IS NOT "&amp;"NULL ORDER BY Col1 DESC LIMIT 20"", 0))
    )
  ), 
"""")"),"")</f>
        <v/>
      </c>
      <c r="K152" s="21" t="str">
        <f>IFERROR(__xludf.DUMMYFUNCTION("IFERROR(GOOGLEFINANCE(C152, ""changepct"") / 100, """")"),"")</f>
        <v/>
      </c>
      <c r="L152" s="21" t="str">
        <f>IFERROR(__xludf.DUMMYFUNCTION("IFERROR((GOOGLEFINANCE(C152, ""price"") / INDEX(GOOGLEFINANCE(C152, ""price"", TODAY()-7, TODAY()), 2, 2)) - 1, """")"),"")</f>
        <v/>
      </c>
      <c r="M152" s="21" t="str">
        <f>IFERROR(__xludf.DUMMYFUNCTION("IFERROR((GOOGLEFINANCE(C152, ""price"") / INDEX(GOOGLEFINANCE(C152, ""price"", EDATE(TODAY(), -1), TODAY()), 2, 2)) - 1, """")"),"")</f>
        <v/>
      </c>
      <c r="N152" s="21" t="str">
        <f>IFERROR(__xludf.DUMMYFUNCTION("IFERROR((GOOGLEFINANCE(C152, ""price"") / INDEX(GOOGLEFINANCE(C152, ""price"", EDATE(TODAY(), -3), TODAY()), 2, 2)) - 1, """")"),"")</f>
        <v/>
      </c>
      <c r="O152" s="21" t="str">
        <f>IFERROR(__xludf.DUMMYFUNCTION("IFERROR((GOOGLEFINANCE(C152, ""price"") / INDEX(GOOGLEFINANCE(C152, ""price"", EDATE(TODAY(), -6), TODAY()), 2, 2)) - 1, """")"),"")</f>
        <v/>
      </c>
      <c r="P152" s="21" t="str">
        <f>IFERROR(__xludf.DUMMYFUNCTION("IFERROR((GOOGLEFINANCE(C152, ""price"") / INDEX(GOOGLEFINANCE(C152, ""price"", EDATE(TODAY(), -12), TODAY()), 2, 2)) - 1, """")"),"")</f>
        <v/>
      </c>
      <c r="Q152" s="6" t="str">
        <f>IFERROR(__xludf.DUMMYFUNCTION("AVERAGE(QUERY(GOOGLEFINANCE(C152, ""price"", TODAY()-80, TODAY()), ""SELECT Col2 WHERE Col2 IS NOT NULL ORDER BY Col1 DESC LIMIT 50"", 0))"),"#N/A")</f>
        <v>#N/A</v>
      </c>
      <c r="R152" s="24" t="str">
        <f>IFERROR(__xludf.DUMMYFUNCTION("IFERROR(
  LET(
    data, QUERY(GOOGLEFINANCE(C152,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GOOGLEFINANCE(C152, ""price"")) * 100,
    IF(calc=0, G152, calc)
  ), 
G152)"),"#N/A")</f>
        <v>#N/A</v>
      </c>
      <c r="S152" s="8" t="s">
        <v>15</v>
      </c>
      <c r="T152" s="26" t="str">
        <f>IFERROR(__xludf.DUMMYFUNCTION("IFERROR(TRANSPOSE(QUERY(IFERROR(SORT(GOOGLEFINANCE(C152, ""price"", WORKDAY(TODAY(), -40), TODAY()), 1, FALSE)), ""select Col2 where Col2 is not null limit 22 label Col2 ''"", 0)), """")"),"")</f>
        <v/>
      </c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8"/>
      <c r="AO152" s="28"/>
      <c r="AP152" s="29"/>
      <c r="AQ152" s="29" t="str">
        <f t="shared" ref="AQ152:BL152" si="155">T152/T$2</f>
        <v>#N/A</v>
      </c>
      <c r="AR152" s="29" t="str">
        <f t="shared" si="155"/>
        <v>#DIV/0!</v>
      </c>
      <c r="AS152" s="29" t="str">
        <f t="shared" si="155"/>
        <v>#DIV/0!</v>
      </c>
      <c r="AT152" s="29" t="str">
        <f t="shared" si="155"/>
        <v>#DIV/0!</v>
      </c>
      <c r="AU152" s="29" t="str">
        <f t="shared" si="155"/>
        <v>#DIV/0!</v>
      </c>
      <c r="AV152" s="29" t="str">
        <f t="shared" si="155"/>
        <v>#DIV/0!</v>
      </c>
      <c r="AW152" s="29" t="str">
        <f t="shared" si="155"/>
        <v>#DIV/0!</v>
      </c>
      <c r="AX152" s="29" t="str">
        <f t="shared" si="155"/>
        <v>#DIV/0!</v>
      </c>
      <c r="AY152" s="29" t="str">
        <f t="shared" si="155"/>
        <v>#DIV/0!</v>
      </c>
      <c r="AZ152" s="29" t="str">
        <f t="shared" si="155"/>
        <v>#DIV/0!</v>
      </c>
      <c r="BA152" s="29" t="str">
        <f t="shared" si="155"/>
        <v>#DIV/0!</v>
      </c>
      <c r="BB152" s="29" t="str">
        <f t="shared" si="155"/>
        <v>#DIV/0!</v>
      </c>
      <c r="BC152" s="29" t="str">
        <f t="shared" si="155"/>
        <v>#DIV/0!</v>
      </c>
      <c r="BD152" s="29" t="str">
        <f t="shared" si="155"/>
        <v>#DIV/0!</v>
      </c>
      <c r="BE152" s="29" t="str">
        <f t="shared" si="155"/>
        <v>#DIV/0!</v>
      </c>
      <c r="BF152" s="29" t="str">
        <f t="shared" si="155"/>
        <v>#DIV/0!</v>
      </c>
      <c r="BG152" s="29" t="str">
        <f t="shared" si="155"/>
        <v>#DIV/0!</v>
      </c>
      <c r="BH152" s="29" t="str">
        <f t="shared" si="155"/>
        <v>#DIV/0!</v>
      </c>
      <c r="BI152" s="29" t="str">
        <f t="shared" si="155"/>
        <v>#DIV/0!</v>
      </c>
      <c r="BJ152" s="29" t="str">
        <f t="shared" si="155"/>
        <v>#DIV/0!</v>
      </c>
      <c r="BK152" s="29" t="str">
        <f t="shared" si="155"/>
        <v>#DIV/0!</v>
      </c>
      <c r="BL152" s="29" t="str">
        <f t="shared" si="155"/>
        <v>#DIV/0!</v>
      </c>
      <c r="BM152" s="29" t="str">
        <f t="shared" si="3"/>
        <v>#DIV/0!</v>
      </c>
    </row>
    <row r="153">
      <c r="A153" s="16" t="str">
        <f>IFERROR(__xludf.DUMMYFUNCTION("IFERROR(SPARKLINE(SORT(MAP(TRANSPOSE(AQ153:BL153), LAMBDA(val, IF(ISNUMBER(val), PERCENTRANK(AQ153:BL153, val)+0.01, 0))), SEQUENCE(COLUMNS(AQ153:BL153)), FALSE), {""charttype"",""column""; ""color"",""chartreuse""; ""ymin"", 0; ""ymax"", 1.01; ""highcolo"&amp;"r"", ""darkgreen""; ""lowcolor"", ""red""}), """")"),"")</f>
        <v/>
      </c>
      <c r="B153" s="17" t="str">
        <f t="shared" si="4"/>
        <v/>
      </c>
      <c r="C153" s="1" t="s">
        <v>664</v>
      </c>
      <c r="D153" s="30" t="str">
        <f>IFERROR(__xludf.DUMMYFUNCTION("IFERROR(GOOGLEFINANCE(C153, ""NAME""))"),"Ferrari NV")</f>
        <v>Ferrari NV</v>
      </c>
      <c r="E153" s="30" t="s">
        <v>129</v>
      </c>
      <c r="F153" s="33" t="str">
        <f>IFERROR(__xludf.DUMMYFUNCTION("( (GOOGLEFINANCE(C153, ""price"") - Q153) / Q153 ) / (R153 / 100)"),"Loading...")</f>
        <v>Loading...</v>
      </c>
      <c r="G153" s="20" t="str">
        <f>IFERROR(__xludf.DUMMYFUNCTION("AVERAGE(ARRAYFORMULA(100 * (QUERY(GOOGLEFINANCE(C153, ""high"", TODAY()-40, TODAY()), ""SELECT Col2 WHERE Col2 IS NOT NULL ORDER BY Col1 DESC LIMIT 20"", 0) / QUERY(GOOGLEFINANCE(C153, ""low"", TODAY()-40, TODAY()), ""SELECT Col2 WHERE Col2 IS NOT NULL OR"&amp;"DER BY Col1 DESC LIMIT 20"", 0) - 1)))"),"#N/A")</f>
        <v>#N/A</v>
      </c>
      <c r="H153" s="35" t="str">
        <f t="shared" si="6"/>
        <v/>
      </c>
      <c r="I153" s="35" t="str">
        <f t="shared" si="7"/>
        <v/>
      </c>
      <c r="J153" s="37" t="str">
        <f>IFERROR(__xludf.DUMMYFUNCTION("IFERROR(
  IF(C153="""",, 
    IFERROR(
      GOOGLEFINANCE(C153, ""price"") * GOOGLEFINANCE(C153, ""volumeavg""), 
      GOOGLEFINANCE(C153, ""price"") * AVERAGE(QUERY(GOOGLEFINANCE(C153, ""volume"", TODAY()-40, TODAY()), ""SELECT Col2 WHERE Col2 IS NOT "&amp;"NULL ORDER BY Col1 DESC LIMIT 20"", 0))
    )
  ), 
"""")"),"")</f>
        <v/>
      </c>
      <c r="K153" s="21" t="str">
        <f>IFERROR(__xludf.DUMMYFUNCTION("IFERROR(GOOGLEFINANCE(C153, ""changepct"") / 100, """")"),"")</f>
        <v/>
      </c>
      <c r="L153" s="21" t="str">
        <f>IFERROR(__xludf.DUMMYFUNCTION("IFERROR((GOOGLEFINANCE(C153, ""price"") / INDEX(GOOGLEFINANCE(C153, ""price"", TODAY()-7, TODAY()), 2, 2)) - 1, """")"),"")</f>
        <v/>
      </c>
      <c r="M153" s="21" t="str">
        <f>IFERROR(__xludf.DUMMYFUNCTION("IFERROR((GOOGLEFINANCE(C153, ""price"") / INDEX(GOOGLEFINANCE(C153, ""price"", EDATE(TODAY(), -1), TODAY()), 2, 2)) - 1, """")"),"")</f>
        <v/>
      </c>
      <c r="N153" s="21" t="str">
        <f>IFERROR(__xludf.DUMMYFUNCTION("IFERROR((GOOGLEFINANCE(C153, ""price"") / INDEX(GOOGLEFINANCE(C153, ""price"", EDATE(TODAY(), -3), TODAY()), 2, 2)) - 1, """")"),"")</f>
        <v/>
      </c>
      <c r="O153" s="21" t="str">
        <f>IFERROR(__xludf.DUMMYFUNCTION("IFERROR((GOOGLEFINANCE(C153, ""price"") / INDEX(GOOGLEFINANCE(C153, ""price"", EDATE(TODAY(), -6), TODAY()), 2, 2)) - 1, """")"),"")</f>
        <v/>
      </c>
      <c r="P153" s="21" t="str">
        <f>IFERROR(__xludf.DUMMYFUNCTION("IFERROR((GOOGLEFINANCE(C153, ""price"") / INDEX(GOOGLEFINANCE(C153, ""price"", EDATE(TODAY(), -12), TODAY()), 2, 2)) - 1, """")"),"")</f>
        <v/>
      </c>
      <c r="Q153" s="6" t="str">
        <f>IFERROR(__xludf.DUMMYFUNCTION("AVERAGE(QUERY(GOOGLEFINANCE(C153, ""price"", TODAY()-80, TODAY()), ""SELECT Col2 WHERE Col2 IS NOT NULL ORDER BY Col1 DESC LIMIT 50"", 0))"),"#N/A")</f>
        <v>#N/A</v>
      </c>
      <c r="R153" s="24" t="str">
        <f>IFERROR(__xludf.DUMMYFUNCTION("IFERROR(
  LET(
    data, QUERY(GOOGLEFINANCE(C153,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GOOGLEFINANCE(C153, ""price"")) * 100,
    IF(calc=0, G153, calc)
  ), 
G153)"),"#N/A")</f>
        <v>#N/A</v>
      </c>
      <c r="S153" s="8" t="s">
        <v>15</v>
      </c>
      <c r="T153" s="26" t="str">
        <f>IFERROR(__xludf.DUMMYFUNCTION("IFERROR(TRANSPOSE(QUERY(IFERROR(SORT(GOOGLEFINANCE(C153, ""price"", WORKDAY(TODAY(), -40), TODAY()), 1, FALSE)), ""select Col2 where Col2 is not null limit 22 label Col2 ''"", 0)), """")"),"")</f>
        <v/>
      </c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8"/>
      <c r="AO153" s="28"/>
      <c r="AP153" s="29"/>
      <c r="AQ153" s="29" t="str">
        <f t="shared" ref="AQ153:BL153" si="156">T153/T$2</f>
        <v>#N/A</v>
      </c>
      <c r="AR153" s="29" t="str">
        <f t="shared" si="156"/>
        <v>#DIV/0!</v>
      </c>
      <c r="AS153" s="29" t="str">
        <f t="shared" si="156"/>
        <v>#DIV/0!</v>
      </c>
      <c r="AT153" s="29" t="str">
        <f t="shared" si="156"/>
        <v>#DIV/0!</v>
      </c>
      <c r="AU153" s="29" t="str">
        <f t="shared" si="156"/>
        <v>#DIV/0!</v>
      </c>
      <c r="AV153" s="29" t="str">
        <f t="shared" si="156"/>
        <v>#DIV/0!</v>
      </c>
      <c r="AW153" s="29" t="str">
        <f t="shared" si="156"/>
        <v>#DIV/0!</v>
      </c>
      <c r="AX153" s="29" t="str">
        <f t="shared" si="156"/>
        <v>#DIV/0!</v>
      </c>
      <c r="AY153" s="29" t="str">
        <f t="shared" si="156"/>
        <v>#DIV/0!</v>
      </c>
      <c r="AZ153" s="29" t="str">
        <f t="shared" si="156"/>
        <v>#DIV/0!</v>
      </c>
      <c r="BA153" s="29" t="str">
        <f t="shared" si="156"/>
        <v>#DIV/0!</v>
      </c>
      <c r="BB153" s="29" t="str">
        <f t="shared" si="156"/>
        <v>#DIV/0!</v>
      </c>
      <c r="BC153" s="29" t="str">
        <f t="shared" si="156"/>
        <v>#DIV/0!</v>
      </c>
      <c r="BD153" s="29" t="str">
        <f t="shared" si="156"/>
        <v>#DIV/0!</v>
      </c>
      <c r="BE153" s="29" t="str">
        <f t="shared" si="156"/>
        <v>#DIV/0!</v>
      </c>
      <c r="BF153" s="29" t="str">
        <f t="shared" si="156"/>
        <v>#DIV/0!</v>
      </c>
      <c r="BG153" s="29" t="str">
        <f t="shared" si="156"/>
        <v>#DIV/0!</v>
      </c>
      <c r="BH153" s="29" t="str">
        <f t="shared" si="156"/>
        <v>#DIV/0!</v>
      </c>
      <c r="BI153" s="29" t="str">
        <f t="shared" si="156"/>
        <v>#DIV/0!</v>
      </c>
      <c r="BJ153" s="29" t="str">
        <f t="shared" si="156"/>
        <v>#DIV/0!</v>
      </c>
      <c r="BK153" s="29" t="str">
        <f t="shared" si="156"/>
        <v>#DIV/0!</v>
      </c>
      <c r="BL153" s="29" t="str">
        <f t="shared" si="156"/>
        <v>#DIV/0!</v>
      </c>
      <c r="BM153" s="29" t="str">
        <f t="shared" si="3"/>
        <v>#DIV/0!</v>
      </c>
    </row>
    <row r="154">
      <c r="A154" s="16" t="str">
        <f>IFERROR(__xludf.DUMMYFUNCTION("IFERROR(SPARKLINE(SORT(MAP(TRANSPOSE(AQ154:BL154), LAMBDA(val, IF(ISNUMBER(val), PERCENTRANK(AQ154:BL154, val)+0.01, 0))), SEQUENCE(COLUMNS(AQ154:BL154)), FALSE), {""charttype"",""column""; ""color"",""chartreuse""; ""ymin"", 0; ""ymax"", 1.01; ""highcolo"&amp;"r"", ""darkgreen""; ""lowcolor"", ""red""}), """")"),"")</f>
        <v/>
      </c>
      <c r="B154" s="17" t="str">
        <f t="shared" si="4"/>
        <v/>
      </c>
      <c r="C154" s="1" t="s">
        <v>668</v>
      </c>
      <c r="D154" s="30" t="str">
        <f>IFERROR(__xludf.DUMMYFUNCTION("IFERROR(GOOGLEFINANCE(C154, ""NAME""))"),"Nike Inc")</f>
        <v>Nike Inc</v>
      </c>
      <c r="E154" s="30" t="s">
        <v>411</v>
      </c>
      <c r="F154" s="33" t="str">
        <f>IFERROR(__xludf.DUMMYFUNCTION("( (GOOGLEFINANCE(C154, ""price"") - Q154) / Q154 ) / (R154 / 100)"),"Loading...")</f>
        <v>Loading...</v>
      </c>
      <c r="G154" s="20" t="str">
        <f>IFERROR(__xludf.DUMMYFUNCTION("AVERAGE(ARRAYFORMULA(100 * (QUERY(GOOGLEFINANCE(C154, ""high"", TODAY()-40, TODAY()), ""SELECT Col2 WHERE Col2 IS NOT NULL ORDER BY Col1 DESC LIMIT 20"", 0) / QUERY(GOOGLEFINANCE(C154, ""low"", TODAY()-40, TODAY()), ""SELECT Col2 WHERE Col2 IS NOT NULL OR"&amp;"DER BY Col1 DESC LIMIT 20"", 0) - 1)))"),"#N/A")</f>
        <v>#N/A</v>
      </c>
      <c r="H154" s="35" t="str">
        <f t="shared" si="6"/>
        <v/>
      </c>
      <c r="I154" s="35" t="str">
        <f t="shared" si="7"/>
        <v/>
      </c>
      <c r="J154" s="37" t="str">
        <f>IFERROR(__xludf.DUMMYFUNCTION("IFERROR(
  IF(C154="""",, 
    IFERROR(
      GOOGLEFINANCE(C154, ""price"") * GOOGLEFINANCE(C154, ""volumeavg""), 
      GOOGLEFINANCE(C154, ""price"") * AVERAGE(QUERY(GOOGLEFINANCE(C154, ""volume"", TODAY()-40, TODAY()), ""SELECT Col2 WHERE Col2 IS NOT "&amp;"NULL ORDER BY Col1 DESC LIMIT 20"", 0))
    )
  ), 
"""")"),"")</f>
        <v/>
      </c>
      <c r="K154" s="21" t="str">
        <f>IFERROR(__xludf.DUMMYFUNCTION("IFERROR(GOOGLEFINANCE(C154, ""changepct"") / 100, """")"),"")</f>
        <v/>
      </c>
      <c r="L154" s="21" t="str">
        <f>IFERROR(__xludf.DUMMYFUNCTION("IFERROR((GOOGLEFINANCE(C154, ""price"") / INDEX(GOOGLEFINANCE(C154, ""price"", TODAY()-7, TODAY()), 2, 2)) - 1, """")"),"")</f>
        <v/>
      </c>
      <c r="M154" s="21" t="str">
        <f>IFERROR(__xludf.DUMMYFUNCTION("IFERROR((GOOGLEFINANCE(C154, ""price"") / INDEX(GOOGLEFINANCE(C154, ""price"", EDATE(TODAY(), -1), TODAY()), 2, 2)) - 1, """")"),"")</f>
        <v/>
      </c>
      <c r="N154" s="21" t="str">
        <f>IFERROR(__xludf.DUMMYFUNCTION("IFERROR((GOOGLEFINANCE(C154, ""price"") / INDEX(GOOGLEFINANCE(C154, ""price"", EDATE(TODAY(), -3), TODAY()), 2, 2)) - 1, """")"),"")</f>
        <v/>
      </c>
      <c r="O154" s="21" t="str">
        <f>IFERROR(__xludf.DUMMYFUNCTION("IFERROR((GOOGLEFINANCE(C154, ""price"") / INDEX(GOOGLEFINANCE(C154, ""price"", EDATE(TODAY(), -6), TODAY()), 2, 2)) - 1, """")"),"")</f>
        <v/>
      </c>
      <c r="P154" s="21" t="str">
        <f>IFERROR(__xludf.DUMMYFUNCTION("IFERROR((GOOGLEFINANCE(C154, ""price"") / INDEX(GOOGLEFINANCE(C154, ""price"", EDATE(TODAY(), -12), TODAY()), 2, 2)) - 1, """")"),"")</f>
        <v/>
      </c>
      <c r="Q154" s="6" t="str">
        <f>IFERROR(__xludf.DUMMYFUNCTION("AVERAGE(QUERY(GOOGLEFINANCE(C154, ""price"", TODAY()-80, TODAY()), ""SELECT Col2 WHERE Col2 IS NOT NULL ORDER BY Col1 DESC LIMIT 50"", 0))"),"#N/A")</f>
        <v>#N/A</v>
      </c>
      <c r="R154" s="24" t="str">
        <f>IFERROR(__xludf.DUMMYFUNCTION("IFERROR(
  LET(
    data, QUERY(GOOGLEFINANCE(C154,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GOOGLEFINANCE(C154, ""price"")) * 100,
    IF(calc=0, G154, calc)
  ), 
G154)"),"#N/A")</f>
        <v>#N/A</v>
      </c>
      <c r="S154" s="8" t="s">
        <v>15</v>
      </c>
      <c r="T154" s="26" t="str">
        <f>IFERROR(__xludf.DUMMYFUNCTION("IFERROR(TRANSPOSE(QUERY(IFERROR(SORT(GOOGLEFINANCE(C154, ""price"", WORKDAY(TODAY(), -40), TODAY()), 1, FALSE)), ""select Col2 where Col2 is not null limit 22 label Col2 ''"", 0)), """")"),"")</f>
        <v/>
      </c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8"/>
      <c r="AO154" s="28"/>
      <c r="AP154" s="29"/>
      <c r="AQ154" s="29" t="str">
        <f t="shared" ref="AQ154:BL154" si="157">T154/T$2</f>
        <v>#N/A</v>
      </c>
      <c r="AR154" s="29" t="str">
        <f t="shared" si="157"/>
        <v>#DIV/0!</v>
      </c>
      <c r="AS154" s="29" t="str">
        <f t="shared" si="157"/>
        <v>#DIV/0!</v>
      </c>
      <c r="AT154" s="29" t="str">
        <f t="shared" si="157"/>
        <v>#DIV/0!</v>
      </c>
      <c r="AU154" s="29" t="str">
        <f t="shared" si="157"/>
        <v>#DIV/0!</v>
      </c>
      <c r="AV154" s="29" t="str">
        <f t="shared" si="157"/>
        <v>#DIV/0!</v>
      </c>
      <c r="AW154" s="29" t="str">
        <f t="shared" si="157"/>
        <v>#DIV/0!</v>
      </c>
      <c r="AX154" s="29" t="str">
        <f t="shared" si="157"/>
        <v>#DIV/0!</v>
      </c>
      <c r="AY154" s="29" t="str">
        <f t="shared" si="157"/>
        <v>#DIV/0!</v>
      </c>
      <c r="AZ154" s="29" t="str">
        <f t="shared" si="157"/>
        <v>#DIV/0!</v>
      </c>
      <c r="BA154" s="29" t="str">
        <f t="shared" si="157"/>
        <v>#DIV/0!</v>
      </c>
      <c r="BB154" s="29" t="str">
        <f t="shared" si="157"/>
        <v>#DIV/0!</v>
      </c>
      <c r="BC154" s="29" t="str">
        <f t="shared" si="157"/>
        <v>#DIV/0!</v>
      </c>
      <c r="BD154" s="29" t="str">
        <f t="shared" si="157"/>
        <v>#DIV/0!</v>
      </c>
      <c r="BE154" s="29" t="str">
        <f t="shared" si="157"/>
        <v>#DIV/0!</v>
      </c>
      <c r="BF154" s="29" t="str">
        <f t="shared" si="157"/>
        <v>#DIV/0!</v>
      </c>
      <c r="BG154" s="29" t="str">
        <f t="shared" si="157"/>
        <v>#DIV/0!</v>
      </c>
      <c r="BH154" s="29" t="str">
        <f t="shared" si="157"/>
        <v>#DIV/0!</v>
      </c>
      <c r="BI154" s="29" t="str">
        <f t="shared" si="157"/>
        <v>#DIV/0!</v>
      </c>
      <c r="BJ154" s="29" t="str">
        <f t="shared" si="157"/>
        <v>#DIV/0!</v>
      </c>
      <c r="BK154" s="29" t="str">
        <f t="shared" si="157"/>
        <v>#DIV/0!</v>
      </c>
      <c r="BL154" s="29" t="str">
        <f t="shared" si="157"/>
        <v>#DIV/0!</v>
      </c>
      <c r="BM154" s="29" t="str">
        <f t="shared" si="3"/>
        <v>#DIV/0!</v>
      </c>
    </row>
    <row r="155">
      <c r="A155" s="16" t="str">
        <f>IFERROR(__xludf.DUMMYFUNCTION("IFERROR(SPARKLINE(SORT(MAP(TRANSPOSE(AQ155:BL155), LAMBDA(val, IF(ISNUMBER(val), PERCENTRANK(AQ155:BL155, val)+0.01, 0))), SEQUENCE(COLUMNS(AQ155:BL155)), FALSE), {""charttype"",""column""; ""color"",""chartreuse""; ""ymin"", 0; ""ymax"", 1.01; ""highcolo"&amp;"r"", ""darkgreen""; ""lowcolor"", ""red""}), """")"),"")</f>
        <v/>
      </c>
      <c r="B155" s="17" t="str">
        <f t="shared" si="4"/>
        <v/>
      </c>
      <c r="C155" s="1" t="s">
        <v>672</v>
      </c>
      <c r="D155" s="30" t="str">
        <f>IFERROR(__xludf.DUMMYFUNCTION("IFERROR(GOOGLEFINANCE(C155, ""NAME""))"),"Evgo Inc")</f>
        <v>Evgo Inc</v>
      </c>
      <c r="E155" s="30" t="s">
        <v>184</v>
      </c>
      <c r="F155" s="33" t="str">
        <f>IFERROR(__xludf.DUMMYFUNCTION("( (GOOGLEFINANCE(C155, ""price"") - Q155) / Q155 ) / (R155 / 100)"),"Loading...")</f>
        <v>Loading...</v>
      </c>
      <c r="G155" s="20" t="str">
        <f>IFERROR(__xludf.DUMMYFUNCTION("AVERAGE(ARRAYFORMULA(100 * (QUERY(GOOGLEFINANCE(C155, ""high"", TODAY()-40, TODAY()), ""SELECT Col2 WHERE Col2 IS NOT NULL ORDER BY Col1 DESC LIMIT 20"", 0) / QUERY(GOOGLEFINANCE(C155, ""low"", TODAY()-40, TODAY()), ""SELECT Col2 WHERE Col2 IS NOT NULL OR"&amp;"DER BY Col1 DESC LIMIT 20"", 0) - 1)))"),"#N/A")</f>
        <v>#N/A</v>
      </c>
      <c r="H155" s="35" t="str">
        <f t="shared" si="6"/>
        <v/>
      </c>
      <c r="I155" s="35" t="str">
        <f t="shared" si="7"/>
        <v/>
      </c>
      <c r="J155" s="37" t="str">
        <f>IFERROR(__xludf.DUMMYFUNCTION("IFERROR(
  IF(C155="""",, 
    IFERROR(
      GOOGLEFINANCE(C155, ""price"") * GOOGLEFINANCE(C155, ""volumeavg""), 
      GOOGLEFINANCE(C155, ""price"") * AVERAGE(QUERY(GOOGLEFINANCE(C155, ""volume"", TODAY()-40, TODAY()), ""SELECT Col2 WHERE Col2 IS NOT "&amp;"NULL ORDER BY Col1 DESC LIMIT 20"", 0))
    )
  ), 
"""")"),"")</f>
        <v/>
      </c>
      <c r="K155" s="21" t="str">
        <f>IFERROR(__xludf.DUMMYFUNCTION("IFERROR(GOOGLEFINANCE(C155, ""changepct"") / 100, """")"),"")</f>
        <v/>
      </c>
      <c r="L155" s="21" t="str">
        <f>IFERROR(__xludf.DUMMYFUNCTION("IFERROR((GOOGLEFINANCE(C155, ""price"") / INDEX(GOOGLEFINANCE(C155, ""price"", TODAY()-7, TODAY()), 2, 2)) - 1, """")"),"")</f>
        <v/>
      </c>
      <c r="M155" s="21" t="str">
        <f>IFERROR(__xludf.DUMMYFUNCTION("IFERROR((GOOGLEFINANCE(C155, ""price"") / INDEX(GOOGLEFINANCE(C155, ""price"", EDATE(TODAY(), -1), TODAY()), 2, 2)) - 1, """")"),"")</f>
        <v/>
      </c>
      <c r="N155" s="21" t="str">
        <f>IFERROR(__xludf.DUMMYFUNCTION("IFERROR((GOOGLEFINANCE(C155, ""price"") / INDEX(GOOGLEFINANCE(C155, ""price"", EDATE(TODAY(), -3), TODAY()), 2, 2)) - 1, """")"),"")</f>
        <v/>
      </c>
      <c r="O155" s="21" t="str">
        <f>IFERROR(__xludf.DUMMYFUNCTION("IFERROR((GOOGLEFINANCE(C155, ""price"") / INDEX(GOOGLEFINANCE(C155, ""price"", EDATE(TODAY(), -6), TODAY()), 2, 2)) - 1, """")"),"")</f>
        <v/>
      </c>
      <c r="P155" s="21" t="str">
        <f>IFERROR(__xludf.DUMMYFUNCTION("IFERROR((GOOGLEFINANCE(C155, ""price"") / INDEX(GOOGLEFINANCE(C155, ""price"", EDATE(TODAY(), -12), TODAY()), 2, 2)) - 1, """")"),"")</f>
        <v/>
      </c>
      <c r="Q155" s="6" t="str">
        <f>IFERROR(__xludf.DUMMYFUNCTION("AVERAGE(QUERY(GOOGLEFINANCE(C155, ""price"", TODAY()-80, TODAY()), ""SELECT Col2 WHERE Col2 IS NOT NULL ORDER BY Col1 DESC LIMIT 50"", 0))"),"#N/A")</f>
        <v>#N/A</v>
      </c>
      <c r="R155" s="24" t="str">
        <f>IFERROR(__xludf.DUMMYFUNCTION("IFERROR(
  LET(
    data, QUERY(GOOGLEFINANCE(C155,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GOOGLEFINANCE(C155, ""price"")) * 100,
    IF(calc=0, G155, calc)
  ), 
G155)"),"#N/A")</f>
        <v>#N/A</v>
      </c>
      <c r="S155" s="8" t="s">
        <v>15</v>
      </c>
      <c r="T155" s="26" t="str">
        <f>IFERROR(__xludf.DUMMYFUNCTION("IFERROR(TRANSPOSE(QUERY(IFERROR(SORT(GOOGLEFINANCE(C155, ""price"", WORKDAY(TODAY(), -40), TODAY()), 1, FALSE)), ""select Col2 where Col2 is not null limit 22 label Col2 ''"", 0)), """")"),"")</f>
        <v/>
      </c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8"/>
      <c r="AO155" s="28"/>
      <c r="AP155" s="29"/>
      <c r="AQ155" s="29" t="str">
        <f t="shared" ref="AQ155:BL155" si="158">T155/T$2</f>
        <v>#N/A</v>
      </c>
      <c r="AR155" s="29" t="str">
        <f t="shared" si="158"/>
        <v>#DIV/0!</v>
      </c>
      <c r="AS155" s="29" t="str">
        <f t="shared" si="158"/>
        <v>#DIV/0!</v>
      </c>
      <c r="AT155" s="29" t="str">
        <f t="shared" si="158"/>
        <v>#DIV/0!</v>
      </c>
      <c r="AU155" s="29" t="str">
        <f t="shared" si="158"/>
        <v>#DIV/0!</v>
      </c>
      <c r="AV155" s="29" t="str">
        <f t="shared" si="158"/>
        <v>#DIV/0!</v>
      </c>
      <c r="AW155" s="29" t="str">
        <f t="shared" si="158"/>
        <v>#DIV/0!</v>
      </c>
      <c r="AX155" s="29" t="str">
        <f t="shared" si="158"/>
        <v>#DIV/0!</v>
      </c>
      <c r="AY155" s="29" t="str">
        <f t="shared" si="158"/>
        <v>#DIV/0!</v>
      </c>
      <c r="AZ155" s="29" t="str">
        <f t="shared" si="158"/>
        <v>#DIV/0!</v>
      </c>
      <c r="BA155" s="29" t="str">
        <f t="shared" si="158"/>
        <v>#DIV/0!</v>
      </c>
      <c r="BB155" s="29" t="str">
        <f t="shared" si="158"/>
        <v>#DIV/0!</v>
      </c>
      <c r="BC155" s="29" t="str">
        <f t="shared" si="158"/>
        <v>#DIV/0!</v>
      </c>
      <c r="BD155" s="29" t="str">
        <f t="shared" si="158"/>
        <v>#DIV/0!</v>
      </c>
      <c r="BE155" s="29" t="str">
        <f t="shared" si="158"/>
        <v>#DIV/0!</v>
      </c>
      <c r="BF155" s="29" t="str">
        <f t="shared" si="158"/>
        <v>#DIV/0!</v>
      </c>
      <c r="BG155" s="29" t="str">
        <f t="shared" si="158"/>
        <v>#DIV/0!</v>
      </c>
      <c r="BH155" s="29" t="str">
        <f t="shared" si="158"/>
        <v>#DIV/0!</v>
      </c>
      <c r="BI155" s="29" t="str">
        <f t="shared" si="158"/>
        <v>#DIV/0!</v>
      </c>
      <c r="BJ155" s="29" t="str">
        <f t="shared" si="158"/>
        <v>#DIV/0!</v>
      </c>
      <c r="BK155" s="29" t="str">
        <f t="shared" si="158"/>
        <v>#DIV/0!</v>
      </c>
      <c r="BL155" s="29" t="str">
        <f t="shared" si="158"/>
        <v>#DIV/0!</v>
      </c>
      <c r="BM155" s="29" t="str">
        <f t="shared" si="3"/>
        <v>#DIV/0!</v>
      </c>
    </row>
    <row r="156">
      <c r="A156" s="16" t="str">
        <f>IFERROR(__xludf.DUMMYFUNCTION("IFERROR(SPARKLINE(SORT(MAP(TRANSPOSE(AQ156:BL156), LAMBDA(val, IF(ISNUMBER(val), PERCENTRANK(AQ156:BL156, val)+0.01, 0))), SEQUENCE(COLUMNS(AQ156:BL156)), FALSE), {""charttype"",""column""; ""color"",""chartreuse""; ""ymin"", 0; ""ymax"", 1.01; ""highcolo"&amp;"r"", ""darkgreen""; ""lowcolor"", ""red""}), """")"),"")</f>
        <v/>
      </c>
      <c r="B156" s="17" t="str">
        <f t="shared" si="4"/>
        <v/>
      </c>
      <c r="C156" s="1" t="s">
        <v>676</v>
      </c>
      <c r="D156" s="30" t="str">
        <f>IFERROR(__xludf.DUMMYFUNCTION("IFERROR(GOOGLEFINANCE(C156, ""NAME""))"),"Solid Power, Inc")</f>
        <v>Solid Power, Inc</v>
      </c>
      <c r="E156" s="30" t="s">
        <v>109</v>
      </c>
      <c r="F156" s="33" t="str">
        <f>IFERROR(__xludf.DUMMYFUNCTION("( (GOOGLEFINANCE(C156, ""price"") - Q156) / Q156 ) / (R156 / 100)"),"Loading...")</f>
        <v>Loading...</v>
      </c>
      <c r="G156" s="20" t="str">
        <f>IFERROR(__xludf.DUMMYFUNCTION("AVERAGE(ARRAYFORMULA(100 * (QUERY(GOOGLEFINANCE(C156, ""high"", TODAY()-40, TODAY()), ""SELECT Col2 WHERE Col2 IS NOT NULL ORDER BY Col1 DESC LIMIT 20"", 0) / QUERY(GOOGLEFINANCE(C156, ""low"", TODAY()-40, TODAY()), ""SELECT Col2 WHERE Col2 IS NOT NULL OR"&amp;"DER BY Col1 DESC LIMIT 20"", 0) - 1)))"),"#N/A")</f>
        <v>#N/A</v>
      </c>
      <c r="H156" s="35" t="str">
        <f t="shared" si="6"/>
        <v/>
      </c>
      <c r="I156" s="35" t="str">
        <f t="shared" si="7"/>
        <v/>
      </c>
      <c r="J156" s="37" t="str">
        <f>IFERROR(__xludf.DUMMYFUNCTION("IFERROR(
  IF(C156="""",, 
    IFERROR(
      GOOGLEFINANCE(C156, ""price"") * GOOGLEFINANCE(C156, ""volumeavg""), 
      GOOGLEFINANCE(C156, ""price"") * AVERAGE(QUERY(GOOGLEFINANCE(C156, ""volume"", TODAY()-40, TODAY()), ""SELECT Col2 WHERE Col2 IS NOT "&amp;"NULL ORDER BY Col1 DESC LIMIT 20"", 0))
    )
  ), 
"""")"),"")</f>
        <v/>
      </c>
      <c r="K156" s="21" t="str">
        <f>IFERROR(__xludf.DUMMYFUNCTION("IFERROR(GOOGLEFINANCE(C156, ""changepct"") / 100, """")"),"")</f>
        <v/>
      </c>
      <c r="L156" s="21" t="str">
        <f>IFERROR(__xludf.DUMMYFUNCTION("IFERROR((GOOGLEFINANCE(C156, ""price"") / INDEX(GOOGLEFINANCE(C156, ""price"", TODAY()-7, TODAY()), 2, 2)) - 1, """")"),"")</f>
        <v/>
      </c>
      <c r="M156" s="21" t="str">
        <f>IFERROR(__xludf.DUMMYFUNCTION("IFERROR((GOOGLEFINANCE(C156, ""price"") / INDEX(GOOGLEFINANCE(C156, ""price"", EDATE(TODAY(), -1), TODAY()), 2, 2)) - 1, """")"),"")</f>
        <v/>
      </c>
      <c r="N156" s="21" t="str">
        <f>IFERROR(__xludf.DUMMYFUNCTION("IFERROR((GOOGLEFINANCE(C156, ""price"") / INDEX(GOOGLEFINANCE(C156, ""price"", EDATE(TODAY(), -3), TODAY()), 2, 2)) - 1, """")"),"")</f>
        <v/>
      </c>
      <c r="O156" s="21" t="str">
        <f>IFERROR(__xludf.DUMMYFUNCTION("IFERROR((GOOGLEFINANCE(C156, ""price"") / INDEX(GOOGLEFINANCE(C156, ""price"", EDATE(TODAY(), -6), TODAY()), 2, 2)) - 1, """")"),"")</f>
        <v/>
      </c>
      <c r="P156" s="21" t="str">
        <f>IFERROR(__xludf.DUMMYFUNCTION("IFERROR((GOOGLEFINANCE(C156, ""price"") / INDEX(GOOGLEFINANCE(C156, ""price"", EDATE(TODAY(), -12), TODAY()), 2, 2)) - 1, """")"),"")</f>
        <v/>
      </c>
      <c r="Q156" s="6" t="str">
        <f>IFERROR(__xludf.DUMMYFUNCTION("AVERAGE(QUERY(GOOGLEFINANCE(C156, ""price"", TODAY()-80, TODAY()), ""SELECT Col2 WHERE Col2 IS NOT NULL ORDER BY Col1 DESC LIMIT 50"", 0))"),"#N/A")</f>
        <v>#N/A</v>
      </c>
      <c r="R156" s="24" t="str">
        <f>IFERROR(__xludf.DUMMYFUNCTION("IFERROR(
  LET(
    data, QUERY(GOOGLEFINANCE(C156,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GOOGLEFINANCE(C156, ""price"")) * 100,
    IF(calc=0, G156, calc)
  ), 
G156)"),"#N/A")</f>
        <v>#N/A</v>
      </c>
      <c r="S156" s="8" t="s">
        <v>15</v>
      </c>
      <c r="T156" s="26" t="str">
        <f>IFERROR(__xludf.DUMMYFUNCTION("IFERROR(TRANSPOSE(QUERY(IFERROR(SORT(GOOGLEFINANCE(C156, ""price"", WORKDAY(TODAY(), -40), TODAY()), 1, FALSE)), ""select Col2 where Col2 is not null limit 22 label Col2 ''"", 0)), """")"),"")</f>
        <v/>
      </c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8"/>
      <c r="AO156" s="28"/>
      <c r="AP156" s="29"/>
      <c r="AQ156" s="29" t="str">
        <f t="shared" ref="AQ156:BL156" si="159">T156/T$2</f>
        <v>#N/A</v>
      </c>
      <c r="AR156" s="29" t="str">
        <f t="shared" si="159"/>
        <v>#DIV/0!</v>
      </c>
      <c r="AS156" s="29" t="str">
        <f t="shared" si="159"/>
        <v>#DIV/0!</v>
      </c>
      <c r="AT156" s="29" t="str">
        <f t="shared" si="159"/>
        <v>#DIV/0!</v>
      </c>
      <c r="AU156" s="29" t="str">
        <f t="shared" si="159"/>
        <v>#DIV/0!</v>
      </c>
      <c r="AV156" s="29" t="str">
        <f t="shared" si="159"/>
        <v>#DIV/0!</v>
      </c>
      <c r="AW156" s="29" t="str">
        <f t="shared" si="159"/>
        <v>#DIV/0!</v>
      </c>
      <c r="AX156" s="29" t="str">
        <f t="shared" si="159"/>
        <v>#DIV/0!</v>
      </c>
      <c r="AY156" s="29" t="str">
        <f t="shared" si="159"/>
        <v>#DIV/0!</v>
      </c>
      <c r="AZ156" s="29" t="str">
        <f t="shared" si="159"/>
        <v>#DIV/0!</v>
      </c>
      <c r="BA156" s="29" t="str">
        <f t="shared" si="159"/>
        <v>#DIV/0!</v>
      </c>
      <c r="BB156" s="29" t="str">
        <f t="shared" si="159"/>
        <v>#DIV/0!</v>
      </c>
      <c r="BC156" s="29" t="str">
        <f t="shared" si="159"/>
        <v>#DIV/0!</v>
      </c>
      <c r="BD156" s="29" t="str">
        <f t="shared" si="159"/>
        <v>#DIV/0!</v>
      </c>
      <c r="BE156" s="29" t="str">
        <f t="shared" si="159"/>
        <v>#DIV/0!</v>
      </c>
      <c r="BF156" s="29" t="str">
        <f t="shared" si="159"/>
        <v>#DIV/0!</v>
      </c>
      <c r="BG156" s="29" t="str">
        <f t="shared" si="159"/>
        <v>#DIV/0!</v>
      </c>
      <c r="BH156" s="29" t="str">
        <f t="shared" si="159"/>
        <v>#DIV/0!</v>
      </c>
      <c r="BI156" s="29" t="str">
        <f t="shared" si="159"/>
        <v>#DIV/0!</v>
      </c>
      <c r="BJ156" s="29" t="str">
        <f t="shared" si="159"/>
        <v>#DIV/0!</v>
      </c>
      <c r="BK156" s="29" t="str">
        <f t="shared" si="159"/>
        <v>#DIV/0!</v>
      </c>
      <c r="BL156" s="29" t="str">
        <f t="shared" si="159"/>
        <v>#DIV/0!</v>
      </c>
      <c r="BM156" s="29" t="str">
        <f t="shared" si="3"/>
        <v>#DIV/0!</v>
      </c>
    </row>
    <row r="157">
      <c r="A157" s="16" t="str">
        <f>IFERROR(__xludf.DUMMYFUNCTION("IFERROR(SPARKLINE(SORT(MAP(TRANSPOSE(AQ157:BL157), LAMBDA(val, IF(ISNUMBER(val), PERCENTRANK(AQ157:BL157, val)+0.01, 0))), SEQUENCE(COLUMNS(AQ157:BL157)), FALSE), {""charttype"",""column""; ""color"",""chartreuse""; ""ymin"", 0; ""ymax"", 1.01; ""highcolo"&amp;"r"", ""darkgreen""; ""lowcolor"", ""red""}), """")"),"")</f>
        <v/>
      </c>
      <c r="B157" s="17" t="str">
        <f t="shared" si="4"/>
        <v/>
      </c>
      <c r="C157" s="1" t="s">
        <v>680</v>
      </c>
      <c r="D157" s="30" t="str">
        <f>IFERROR(__xludf.DUMMYFUNCTION("IFERROR(GOOGLEFINANCE(C157, ""NAME""))"),"PENN Entertainment Inc")</f>
        <v>PENN Entertainment Inc</v>
      </c>
      <c r="E157" s="30" t="s">
        <v>354</v>
      </c>
      <c r="F157" s="33" t="str">
        <f>IFERROR(__xludf.DUMMYFUNCTION("( (GOOGLEFINANCE(C157, ""price"") - Q157) / Q157 ) / (R157 / 100)"),"Loading...")</f>
        <v>Loading...</v>
      </c>
      <c r="G157" s="20" t="str">
        <f>IFERROR(__xludf.DUMMYFUNCTION("AVERAGE(ARRAYFORMULA(100 * (QUERY(GOOGLEFINANCE(C157, ""high"", TODAY()-40, TODAY()), ""SELECT Col2 WHERE Col2 IS NOT NULL ORDER BY Col1 DESC LIMIT 20"", 0) / QUERY(GOOGLEFINANCE(C157, ""low"", TODAY()-40, TODAY()), ""SELECT Col2 WHERE Col2 IS NOT NULL OR"&amp;"DER BY Col1 DESC LIMIT 20"", 0) - 1)))"),"#N/A")</f>
        <v>#N/A</v>
      </c>
      <c r="H157" s="35" t="str">
        <f t="shared" si="6"/>
        <v/>
      </c>
      <c r="I157" s="35" t="str">
        <f t="shared" si="7"/>
        <v/>
      </c>
      <c r="J157" s="37" t="str">
        <f>IFERROR(__xludf.DUMMYFUNCTION("IFERROR(
  IF(C157="""",, 
    IFERROR(
      GOOGLEFINANCE(C157, ""price"") * GOOGLEFINANCE(C157, ""volumeavg""), 
      GOOGLEFINANCE(C157, ""price"") * AVERAGE(QUERY(GOOGLEFINANCE(C157, ""volume"", TODAY()-40, TODAY()), ""SELECT Col2 WHERE Col2 IS NOT "&amp;"NULL ORDER BY Col1 DESC LIMIT 20"", 0))
    )
  ), 
"""")"),"")</f>
        <v/>
      </c>
      <c r="K157" s="21" t="str">
        <f>IFERROR(__xludf.DUMMYFUNCTION("IFERROR(GOOGLEFINANCE(C157, ""changepct"") / 100, """")"),"")</f>
        <v/>
      </c>
      <c r="L157" s="21" t="str">
        <f>IFERROR(__xludf.DUMMYFUNCTION("IFERROR((GOOGLEFINANCE(C157, ""price"") / INDEX(GOOGLEFINANCE(C157, ""price"", TODAY()-7, TODAY()), 2, 2)) - 1, """")"),"")</f>
        <v/>
      </c>
      <c r="M157" s="21" t="str">
        <f>IFERROR(__xludf.DUMMYFUNCTION("IFERROR((GOOGLEFINANCE(C157, ""price"") / INDEX(GOOGLEFINANCE(C157, ""price"", EDATE(TODAY(), -1), TODAY()), 2, 2)) - 1, """")"),"")</f>
        <v/>
      </c>
      <c r="N157" s="21" t="str">
        <f>IFERROR(__xludf.DUMMYFUNCTION("IFERROR((GOOGLEFINANCE(C157, ""price"") / INDEX(GOOGLEFINANCE(C157, ""price"", EDATE(TODAY(), -3), TODAY()), 2, 2)) - 1, """")"),"")</f>
        <v/>
      </c>
      <c r="O157" s="21" t="str">
        <f>IFERROR(__xludf.DUMMYFUNCTION("IFERROR((GOOGLEFINANCE(C157, ""price"") / INDEX(GOOGLEFINANCE(C157, ""price"", EDATE(TODAY(), -6), TODAY()), 2, 2)) - 1, """")"),"")</f>
        <v/>
      </c>
      <c r="P157" s="21" t="str">
        <f>IFERROR(__xludf.DUMMYFUNCTION("IFERROR((GOOGLEFINANCE(C157, ""price"") / INDEX(GOOGLEFINANCE(C157, ""price"", EDATE(TODAY(), -12), TODAY()), 2, 2)) - 1, """")"),"")</f>
        <v/>
      </c>
      <c r="Q157" s="6" t="str">
        <f>IFERROR(__xludf.DUMMYFUNCTION("AVERAGE(QUERY(GOOGLEFINANCE(C157, ""price"", TODAY()-80, TODAY()), ""SELECT Col2 WHERE Col2 IS NOT NULL ORDER BY Col1 DESC LIMIT 50"", 0))"),"#N/A")</f>
        <v>#N/A</v>
      </c>
      <c r="R157" s="24" t="str">
        <f>IFERROR(__xludf.DUMMYFUNCTION("IFERROR(
  LET(
    data, QUERY(GOOGLEFINANCE(C157,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GOOGLEFINANCE(C157, ""price"")) * 100,
    IF(calc=0, G157, calc)
  ), 
G157)"),"#N/A")</f>
        <v>#N/A</v>
      </c>
      <c r="S157" s="8" t="s">
        <v>15</v>
      </c>
      <c r="T157" s="26" t="str">
        <f>IFERROR(__xludf.DUMMYFUNCTION("IFERROR(TRANSPOSE(QUERY(IFERROR(SORT(GOOGLEFINANCE(C157, ""price"", WORKDAY(TODAY(), -40), TODAY()), 1, FALSE)), ""select Col2 where Col2 is not null limit 22 label Col2 ''"", 0)), """")"),"")</f>
        <v/>
      </c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8"/>
      <c r="AO157" s="28"/>
      <c r="AP157" s="29"/>
      <c r="AQ157" s="29" t="str">
        <f t="shared" ref="AQ157:BL157" si="160">T157/T$2</f>
        <v>#N/A</v>
      </c>
      <c r="AR157" s="29" t="str">
        <f t="shared" si="160"/>
        <v>#DIV/0!</v>
      </c>
      <c r="AS157" s="29" t="str">
        <f t="shared" si="160"/>
        <v>#DIV/0!</v>
      </c>
      <c r="AT157" s="29" t="str">
        <f t="shared" si="160"/>
        <v>#DIV/0!</v>
      </c>
      <c r="AU157" s="29" t="str">
        <f t="shared" si="160"/>
        <v>#DIV/0!</v>
      </c>
      <c r="AV157" s="29" t="str">
        <f t="shared" si="160"/>
        <v>#DIV/0!</v>
      </c>
      <c r="AW157" s="29" t="str">
        <f t="shared" si="160"/>
        <v>#DIV/0!</v>
      </c>
      <c r="AX157" s="29" t="str">
        <f t="shared" si="160"/>
        <v>#DIV/0!</v>
      </c>
      <c r="AY157" s="29" t="str">
        <f t="shared" si="160"/>
        <v>#DIV/0!</v>
      </c>
      <c r="AZ157" s="29" t="str">
        <f t="shared" si="160"/>
        <v>#DIV/0!</v>
      </c>
      <c r="BA157" s="29" t="str">
        <f t="shared" si="160"/>
        <v>#DIV/0!</v>
      </c>
      <c r="BB157" s="29" t="str">
        <f t="shared" si="160"/>
        <v>#DIV/0!</v>
      </c>
      <c r="BC157" s="29" t="str">
        <f t="shared" si="160"/>
        <v>#DIV/0!</v>
      </c>
      <c r="BD157" s="29" t="str">
        <f t="shared" si="160"/>
        <v>#DIV/0!</v>
      </c>
      <c r="BE157" s="29" t="str">
        <f t="shared" si="160"/>
        <v>#DIV/0!</v>
      </c>
      <c r="BF157" s="29" t="str">
        <f t="shared" si="160"/>
        <v>#DIV/0!</v>
      </c>
      <c r="BG157" s="29" t="str">
        <f t="shared" si="160"/>
        <v>#DIV/0!</v>
      </c>
      <c r="BH157" s="29" t="str">
        <f t="shared" si="160"/>
        <v>#DIV/0!</v>
      </c>
      <c r="BI157" s="29" t="str">
        <f t="shared" si="160"/>
        <v>#DIV/0!</v>
      </c>
      <c r="BJ157" s="29" t="str">
        <f t="shared" si="160"/>
        <v>#DIV/0!</v>
      </c>
      <c r="BK157" s="29" t="str">
        <f t="shared" si="160"/>
        <v>#DIV/0!</v>
      </c>
      <c r="BL157" s="29" t="str">
        <f t="shared" si="160"/>
        <v>#DIV/0!</v>
      </c>
      <c r="BM157" s="29" t="str">
        <f t="shared" si="3"/>
        <v>#DIV/0!</v>
      </c>
    </row>
    <row r="158">
      <c r="A158" s="16" t="str">
        <f>IFERROR(__xludf.DUMMYFUNCTION("IFERROR(SPARKLINE(SORT(MAP(TRANSPOSE(AQ158:BL158), LAMBDA(val, IF(ISNUMBER(val), PERCENTRANK(AQ158:BL158, val)+0.01, 0))), SEQUENCE(COLUMNS(AQ158:BL158)), FALSE), {""charttype"",""column""; ""color"",""chartreuse""; ""ymin"", 0; ""ymax"", 1.01; ""highcolo"&amp;"r"", ""darkgreen""; ""lowcolor"", ""red""}), """")"),"")</f>
        <v/>
      </c>
      <c r="B158" s="17" t="str">
        <f t="shared" si="4"/>
        <v/>
      </c>
      <c r="C158" s="1" t="s">
        <v>683</v>
      </c>
      <c r="D158" s="30" t="str">
        <f>IFERROR(__xludf.DUMMYFUNCTION("IFERROR(GOOGLEFINANCE(C158, ""NAME""))"),"Lucid Group Inc")</f>
        <v>Lucid Group Inc</v>
      </c>
      <c r="E158" s="30" t="s">
        <v>129</v>
      </c>
      <c r="F158" s="33" t="str">
        <f>IFERROR(__xludf.DUMMYFUNCTION("( (GOOGLEFINANCE(C158, ""price"") - Q158) / Q158 ) / (R158 / 100)"),"Loading...")</f>
        <v>Loading...</v>
      </c>
      <c r="G158" s="20" t="str">
        <f>IFERROR(__xludf.DUMMYFUNCTION("AVERAGE(ARRAYFORMULA(100 * (QUERY(GOOGLEFINANCE(C158, ""high"", TODAY()-40, TODAY()), ""SELECT Col2 WHERE Col2 IS NOT NULL ORDER BY Col1 DESC LIMIT 20"", 0) / QUERY(GOOGLEFINANCE(C158, ""low"", TODAY()-40, TODAY()), ""SELECT Col2 WHERE Col2 IS NOT NULL OR"&amp;"DER BY Col1 DESC LIMIT 20"", 0) - 1)))"),"#N/A")</f>
        <v>#N/A</v>
      </c>
      <c r="H158" s="35" t="str">
        <f t="shared" si="6"/>
        <v/>
      </c>
      <c r="I158" s="35" t="str">
        <f t="shared" si="7"/>
        <v/>
      </c>
      <c r="J158" s="37" t="str">
        <f>IFERROR(__xludf.DUMMYFUNCTION("IFERROR(
  IF(C158="""",, 
    IFERROR(
      GOOGLEFINANCE(C158, ""price"") * GOOGLEFINANCE(C158, ""volumeavg""), 
      GOOGLEFINANCE(C158, ""price"") * AVERAGE(QUERY(GOOGLEFINANCE(C158, ""volume"", TODAY()-40, TODAY()), ""SELECT Col2 WHERE Col2 IS NOT "&amp;"NULL ORDER BY Col1 DESC LIMIT 20"", 0))
    )
  ), 
"""")"),"")</f>
        <v/>
      </c>
      <c r="K158" s="21" t="str">
        <f>IFERROR(__xludf.DUMMYFUNCTION("IFERROR(GOOGLEFINANCE(C158, ""changepct"") / 100, """")"),"")</f>
        <v/>
      </c>
      <c r="L158" s="21" t="str">
        <f>IFERROR(__xludf.DUMMYFUNCTION("IFERROR((GOOGLEFINANCE(C158, ""price"") / INDEX(GOOGLEFINANCE(C158, ""price"", TODAY()-7, TODAY()), 2, 2)) - 1, """")"),"")</f>
        <v/>
      </c>
      <c r="M158" s="21" t="str">
        <f>IFERROR(__xludf.DUMMYFUNCTION("IFERROR((GOOGLEFINANCE(C158, ""price"") / INDEX(GOOGLEFINANCE(C158, ""price"", EDATE(TODAY(), -1), TODAY()), 2, 2)) - 1, """")"),"")</f>
        <v/>
      </c>
      <c r="N158" s="21" t="str">
        <f>IFERROR(__xludf.DUMMYFUNCTION("IFERROR((GOOGLEFINANCE(C158, ""price"") / INDEX(GOOGLEFINANCE(C158, ""price"", EDATE(TODAY(), -3), TODAY()), 2, 2)) - 1, """")"),"")</f>
        <v/>
      </c>
      <c r="O158" s="21" t="str">
        <f>IFERROR(__xludf.DUMMYFUNCTION("IFERROR((GOOGLEFINANCE(C158, ""price"") / INDEX(GOOGLEFINANCE(C158, ""price"", EDATE(TODAY(), -6), TODAY()), 2, 2)) - 1, """")"),"")</f>
        <v/>
      </c>
      <c r="P158" s="21" t="str">
        <f>IFERROR(__xludf.DUMMYFUNCTION("IFERROR((GOOGLEFINANCE(C158, ""price"") / INDEX(GOOGLEFINANCE(C158, ""price"", EDATE(TODAY(), -12), TODAY()), 2, 2)) - 1, """")"),"")</f>
        <v/>
      </c>
      <c r="Q158" s="6" t="str">
        <f>IFERROR(__xludf.DUMMYFUNCTION("AVERAGE(QUERY(GOOGLEFINANCE(C158, ""price"", TODAY()-80, TODAY()), ""SELECT Col2 WHERE Col2 IS NOT NULL ORDER BY Col1 DESC LIMIT 50"", 0))"),"#N/A")</f>
        <v>#N/A</v>
      </c>
      <c r="R158" s="24" t="str">
        <f>IFERROR(__xludf.DUMMYFUNCTION("IFERROR(
  LET(
    data, QUERY(GOOGLEFINANCE(C158,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GOOGLEFINANCE(C158, ""price"")) * 100,
    IF(calc=0, G158, calc)
  ), 
G158)"),"#N/A")</f>
        <v>#N/A</v>
      </c>
      <c r="S158" s="8" t="s">
        <v>15</v>
      </c>
      <c r="T158" s="26" t="str">
        <f>IFERROR(__xludf.DUMMYFUNCTION("IFERROR(TRANSPOSE(QUERY(IFERROR(SORT(GOOGLEFINANCE(C158, ""price"", WORKDAY(TODAY(), -40), TODAY()), 1, FALSE)), ""select Col2 where Col2 is not null limit 22 label Col2 ''"", 0)), """")"),"")</f>
        <v/>
      </c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8"/>
      <c r="AO158" s="28"/>
      <c r="AP158" s="29"/>
      <c r="AQ158" s="29" t="str">
        <f t="shared" ref="AQ158:BL158" si="161">T158/T$2</f>
        <v>#N/A</v>
      </c>
      <c r="AR158" s="29" t="str">
        <f t="shared" si="161"/>
        <v>#DIV/0!</v>
      </c>
      <c r="AS158" s="29" t="str">
        <f t="shared" si="161"/>
        <v>#DIV/0!</v>
      </c>
      <c r="AT158" s="29" t="str">
        <f t="shared" si="161"/>
        <v>#DIV/0!</v>
      </c>
      <c r="AU158" s="29" t="str">
        <f t="shared" si="161"/>
        <v>#DIV/0!</v>
      </c>
      <c r="AV158" s="29" t="str">
        <f t="shared" si="161"/>
        <v>#DIV/0!</v>
      </c>
      <c r="AW158" s="29" t="str">
        <f t="shared" si="161"/>
        <v>#DIV/0!</v>
      </c>
      <c r="AX158" s="29" t="str">
        <f t="shared" si="161"/>
        <v>#DIV/0!</v>
      </c>
      <c r="AY158" s="29" t="str">
        <f t="shared" si="161"/>
        <v>#DIV/0!</v>
      </c>
      <c r="AZ158" s="29" t="str">
        <f t="shared" si="161"/>
        <v>#DIV/0!</v>
      </c>
      <c r="BA158" s="29" t="str">
        <f t="shared" si="161"/>
        <v>#DIV/0!</v>
      </c>
      <c r="BB158" s="29" t="str">
        <f t="shared" si="161"/>
        <v>#DIV/0!</v>
      </c>
      <c r="BC158" s="29" t="str">
        <f t="shared" si="161"/>
        <v>#DIV/0!</v>
      </c>
      <c r="BD158" s="29" t="str">
        <f t="shared" si="161"/>
        <v>#DIV/0!</v>
      </c>
      <c r="BE158" s="29" t="str">
        <f t="shared" si="161"/>
        <v>#DIV/0!</v>
      </c>
      <c r="BF158" s="29" t="str">
        <f t="shared" si="161"/>
        <v>#DIV/0!</v>
      </c>
      <c r="BG158" s="29" t="str">
        <f t="shared" si="161"/>
        <v>#DIV/0!</v>
      </c>
      <c r="BH158" s="29" t="str">
        <f t="shared" si="161"/>
        <v>#DIV/0!</v>
      </c>
      <c r="BI158" s="29" t="str">
        <f t="shared" si="161"/>
        <v>#DIV/0!</v>
      </c>
      <c r="BJ158" s="29" t="str">
        <f t="shared" si="161"/>
        <v>#DIV/0!</v>
      </c>
      <c r="BK158" s="29" t="str">
        <f t="shared" si="161"/>
        <v>#DIV/0!</v>
      </c>
      <c r="BL158" s="29" t="str">
        <f t="shared" si="161"/>
        <v>#DIV/0!</v>
      </c>
      <c r="BM158" s="29" t="str">
        <f t="shared" si="3"/>
        <v>#DIV/0!</v>
      </c>
    </row>
    <row r="159">
      <c r="A159" s="16" t="str">
        <f>IFERROR(__xludf.DUMMYFUNCTION("IFERROR(SPARKLINE(SORT(MAP(TRANSPOSE(AQ159:BL159), LAMBDA(val, IF(ISNUMBER(val), PERCENTRANK(AQ159:BL159, val)+0.01, 0))), SEQUENCE(COLUMNS(AQ159:BL159)), FALSE), {""charttype"",""column""; ""color"",""chartreuse""; ""ymin"", 0; ""ymax"", 1.01; ""highcolo"&amp;"r"", ""darkgreen""; ""lowcolor"", ""red""}), """")"),"")</f>
        <v/>
      </c>
      <c r="B159" s="17" t="str">
        <f t="shared" si="4"/>
        <v/>
      </c>
      <c r="C159" s="1" t="s">
        <v>687</v>
      </c>
      <c r="D159" s="30" t="str">
        <f>IFERROR(__xludf.DUMMYFUNCTION("IFERROR(GOOGLEFINANCE(C159, ""NAME""))"),"Tapestry Inc")</f>
        <v>Tapestry Inc</v>
      </c>
      <c r="E159" s="30" t="s">
        <v>170</v>
      </c>
      <c r="F159" s="33" t="str">
        <f>IFERROR(__xludf.DUMMYFUNCTION("( (GOOGLEFINANCE(C159, ""price"") - Q159) / Q159 ) / (R159 / 100)"),"Loading...")</f>
        <v>Loading...</v>
      </c>
      <c r="G159" s="20" t="str">
        <f>IFERROR(__xludf.DUMMYFUNCTION("AVERAGE(ARRAYFORMULA(100 * (QUERY(GOOGLEFINANCE(C159, ""high"", TODAY()-40, TODAY()), ""SELECT Col2 WHERE Col2 IS NOT NULL ORDER BY Col1 DESC LIMIT 20"", 0) / QUERY(GOOGLEFINANCE(C159, ""low"", TODAY()-40, TODAY()), ""SELECT Col2 WHERE Col2 IS NOT NULL OR"&amp;"DER BY Col1 DESC LIMIT 20"", 0) - 1)))"),"#N/A")</f>
        <v>#N/A</v>
      </c>
      <c r="H159" s="35" t="str">
        <f t="shared" si="6"/>
        <v/>
      </c>
      <c r="I159" s="35" t="str">
        <f t="shared" si="7"/>
        <v/>
      </c>
      <c r="J159" s="37" t="str">
        <f>IFERROR(__xludf.DUMMYFUNCTION("IFERROR(
  IF(C159="""",, 
    IFERROR(
      GOOGLEFINANCE(C159, ""price"") * GOOGLEFINANCE(C159, ""volumeavg""), 
      GOOGLEFINANCE(C159, ""price"") * AVERAGE(QUERY(GOOGLEFINANCE(C159, ""volume"", TODAY()-40, TODAY()), ""SELECT Col2 WHERE Col2 IS NOT "&amp;"NULL ORDER BY Col1 DESC LIMIT 20"", 0))
    )
  ), 
"""")"),"")</f>
        <v/>
      </c>
      <c r="K159" s="21" t="str">
        <f>IFERROR(__xludf.DUMMYFUNCTION("IFERROR(GOOGLEFINANCE(C159, ""changepct"") / 100, """")"),"")</f>
        <v/>
      </c>
      <c r="L159" s="21" t="str">
        <f>IFERROR(__xludf.DUMMYFUNCTION("IFERROR((GOOGLEFINANCE(C159, ""price"") / INDEX(GOOGLEFINANCE(C159, ""price"", TODAY()-7, TODAY()), 2, 2)) - 1, """")"),"")</f>
        <v/>
      </c>
      <c r="M159" s="21" t="str">
        <f>IFERROR(__xludf.DUMMYFUNCTION("IFERROR((GOOGLEFINANCE(C159, ""price"") / INDEX(GOOGLEFINANCE(C159, ""price"", EDATE(TODAY(), -1), TODAY()), 2, 2)) - 1, """")"),"")</f>
        <v/>
      </c>
      <c r="N159" s="21" t="str">
        <f>IFERROR(__xludf.DUMMYFUNCTION("IFERROR((GOOGLEFINANCE(C159, ""price"") / INDEX(GOOGLEFINANCE(C159, ""price"", EDATE(TODAY(), -3), TODAY()), 2, 2)) - 1, """")"),"")</f>
        <v/>
      </c>
      <c r="O159" s="21" t="str">
        <f>IFERROR(__xludf.DUMMYFUNCTION("IFERROR((GOOGLEFINANCE(C159, ""price"") / INDEX(GOOGLEFINANCE(C159, ""price"", EDATE(TODAY(), -6), TODAY()), 2, 2)) - 1, """")"),"")</f>
        <v/>
      </c>
      <c r="P159" s="21" t="str">
        <f>IFERROR(__xludf.DUMMYFUNCTION("IFERROR((GOOGLEFINANCE(C159, ""price"") / INDEX(GOOGLEFINANCE(C159, ""price"", EDATE(TODAY(), -12), TODAY()), 2, 2)) - 1, """")"),"")</f>
        <v/>
      </c>
      <c r="Q159" s="6" t="str">
        <f>IFERROR(__xludf.DUMMYFUNCTION("AVERAGE(QUERY(GOOGLEFINANCE(C159, ""price"", TODAY()-80, TODAY()), ""SELECT Col2 WHERE Col2 IS NOT NULL ORDER BY Col1 DESC LIMIT 50"", 0))"),"#N/A")</f>
        <v>#N/A</v>
      </c>
      <c r="R159" s="24" t="str">
        <f>IFERROR(__xludf.DUMMYFUNCTION("IFERROR(
  LET(
    data, QUERY(GOOGLEFINANCE(C159,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GOOGLEFINANCE(C159, ""price"")) * 100,
    IF(calc=0, G159, calc)
  ), 
G159)"),"#N/A")</f>
        <v>#N/A</v>
      </c>
      <c r="S159" s="8" t="s">
        <v>15</v>
      </c>
      <c r="T159" s="26" t="str">
        <f>IFERROR(__xludf.DUMMYFUNCTION("IFERROR(TRANSPOSE(QUERY(IFERROR(SORT(GOOGLEFINANCE(C159, ""price"", WORKDAY(TODAY(), -40), TODAY()), 1, FALSE)), ""select Col2 where Col2 is not null limit 22 label Col2 ''"", 0)), """")"),"")</f>
        <v/>
      </c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8"/>
      <c r="AO159" s="28"/>
      <c r="AP159" s="29"/>
      <c r="AQ159" s="29" t="str">
        <f t="shared" ref="AQ159:BL159" si="162">T159/T$2</f>
        <v>#N/A</v>
      </c>
      <c r="AR159" s="29" t="str">
        <f t="shared" si="162"/>
        <v>#DIV/0!</v>
      </c>
      <c r="AS159" s="29" t="str">
        <f t="shared" si="162"/>
        <v>#DIV/0!</v>
      </c>
      <c r="AT159" s="29" t="str">
        <f t="shared" si="162"/>
        <v>#DIV/0!</v>
      </c>
      <c r="AU159" s="29" t="str">
        <f t="shared" si="162"/>
        <v>#DIV/0!</v>
      </c>
      <c r="AV159" s="29" t="str">
        <f t="shared" si="162"/>
        <v>#DIV/0!</v>
      </c>
      <c r="AW159" s="29" t="str">
        <f t="shared" si="162"/>
        <v>#DIV/0!</v>
      </c>
      <c r="AX159" s="29" t="str">
        <f t="shared" si="162"/>
        <v>#DIV/0!</v>
      </c>
      <c r="AY159" s="29" t="str">
        <f t="shared" si="162"/>
        <v>#DIV/0!</v>
      </c>
      <c r="AZ159" s="29" t="str">
        <f t="shared" si="162"/>
        <v>#DIV/0!</v>
      </c>
      <c r="BA159" s="29" t="str">
        <f t="shared" si="162"/>
        <v>#DIV/0!</v>
      </c>
      <c r="BB159" s="29" t="str">
        <f t="shared" si="162"/>
        <v>#DIV/0!</v>
      </c>
      <c r="BC159" s="29" t="str">
        <f t="shared" si="162"/>
        <v>#DIV/0!</v>
      </c>
      <c r="BD159" s="29" t="str">
        <f t="shared" si="162"/>
        <v>#DIV/0!</v>
      </c>
      <c r="BE159" s="29" t="str">
        <f t="shared" si="162"/>
        <v>#DIV/0!</v>
      </c>
      <c r="BF159" s="29" t="str">
        <f t="shared" si="162"/>
        <v>#DIV/0!</v>
      </c>
      <c r="BG159" s="29" t="str">
        <f t="shared" si="162"/>
        <v>#DIV/0!</v>
      </c>
      <c r="BH159" s="29" t="str">
        <f t="shared" si="162"/>
        <v>#DIV/0!</v>
      </c>
      <c r="BI159" s="29" t="str">
        <f t="shared" si="162"/>
        <v>#DIV/0!</v>
      </c>
      <c r="BJ159" s="29" t="str">
        <f t="shared" si="162"/>
        <v>#DIV/0!</v>
      </c>
      <c r="BK159" s="29" t="str">
        <f t="shared" si="162"/>
        <v>#DIV/0!</v>
      </c>
      <c r="BL159" s="29" t="str">
        <f t="shared" si="162"/>
        <v>#DIV/0!</v>
      </c>
      <c r="BM159" s="29" t="str">
        <f t="shared" si="3"/>
        <v>#DIV/0!</v>
      </c>
    </row>
    <row r="160">
      <c r="A160" s="16" t="str">
        <f>IFERROR(__xludf.DUMMYFUNCTION("IFERROR(SPARKLINE(SORT(MAP(TRANSPOSE(AQ160:BL160), LAMBDA(val, IF(ISNUMBER(val), PERCENTRANK(AQ160:BL160, val)+0.01, 0))), SEQUENCE(COLUMNS(AQ160:BL160)), FALSE), {""charttype"",""column""; ""color"",""chartreuse""; ""ymin"", 0; ""ymax"", 1.01; ""highcolo"&amp;"r"", ""darkgreen""; ""lowcolor"", ""red""}), """")"),"")</f>
        <v/>
      </c>
      <c r="B160" s="17" t="str">
        <f t="shared" si="4"/>
        <v/>
      </c>
      <c r="C160" s="1" t="s">
        <v>690</v>
      </c>
      <c r="D160" s="30" t="str">
        <f>IFERROR(__xludf.DUMMYFUNCTION("IFERROR(GOOGLEFINANCE(C160, ""NAME""))"),"")</f>
        <v/>
      </c>
      <c r="E160" s="30" t="s">
        <v>647</v>
      </c>
      <c r="F160" s="33" t="str">
        <f>IFERROR(__xludf.DUMMYFUNCTION("( (GOOGLEFINANCE(C160, ""price"") - Q160) / Q160 ) / (R160 / 100)"),"Loading...")</f>
        <v>Loading...</v>
      </c>
      <c r="G160" s="20" t="str">
        <f>IFERROR(__xludf.DUMMYFUNCTION("AVERAGE(ARRAYFORMULA(100 * (QUERY(GOOGLEFINANCE(C160, ""high"", TODAY()-40, TODAY()), ""SELECT Col2 WHERE Col2 IS NOT NULL ORDER BY Col1 DESC LIMIT 20"", 0) / QUERY(GOOGLEFINANCE(C160, ""low"", TODAY()-40, TODAY()), ""SELECT Col2 WHERE Col2 IS NOT NULL OR"&amp;"DER BY Col1 DESC LIMIT 20"", 0) - 1)))"),"#N/A")</f>
        <v>#N/A</v>
      </c>
      <c r="H160" s="35" t="str">
        <f t="shared" si="6"/>
        <v/>
      </c>
      <c r="I160" s="35" t="str">
        <f t="shared" si="7"/>
        <v/>
      </c>
      <c r="J160" s="37" t="str">
        <f>IFERROR(__xludf.DUMMYFUNCTION("IFERROR(
  IF(C160="""",, 
    IFERROR(
      GOOGLEFINANCE(C160, ""price"") * GOOGLEFINANCE(C160, ""volumeavg""), 
      GOOGLEFINANCE(C160, ""price"") * AVERAGE(QUERY(GOOGLEFINANCE(C160, ""volume"", TODAY()-40, TODAY()), ""SELECT Col2 WHERE Col2 IS NOT "&amp;"NULL ORDER BY Col1 DESC LIMIT 20"", 0))
    )
  ), 
"""")"),"")</f>
        <v/>
      </c>
      <c r="K160" s="21" t="str">
        <f>IFERROR(__xludf.DUMMYFUNCTION("IFERROR(GOOGLEFINANCE(C160, ""changepct"") / 100, """")"),"")</f>
        <v/>
      </c>
      <c r="L160" s="21" t="str">
        <f>IFERROR(__xludf.DUMMYFUNCTION("IFERROR((GOOGLEFINANCE(C160, ""price"") / INDEX(GOOGLEFINANCE(C160, ""price"", TODAY()-7, TODAY()), 2, 2)) - 1, """")"),"")</f>
        <v/>
      </c>
      <c r="M160" s="21" t="str">
        <f>IFERROR(__xludf.DUMMYFUNCTION("IFERROR((GOOGLEFINANCE(C160, ""price"") / INDEX(GOOGLEFINANCE(C160, ""price"", EDATE(TODAY(), -1), TODAY()), 2, 2)) - 1, """")"),"")</f>
        <v/>
      </c>
      <c r="N160" s="21" t="str">
        <f>IFERROR(__xludf.DUMMYFUNCTION("IFERROR((GOOGLEFINANCE(C160, ""price"") / INDEX(GOOGLEFINANCE(C160, ""price"", EDATE(TODAY(), -3), TODAY()), 2, 2)) - 1, """")"),"")</f>
        <v/>
      </c>
      <c r="O160" s="21" t="str">
        <f>IFERROR(__xludf.DUMMYFUNCTION("IFERROR((GOOGLEFINANCE(C160, ""price"") / INDEX(GOOGLEFINANCE(C160, ""price"", EDATE(TODAY(), -6), TODAY()), 2, 2)) - 1, """")"),"")</f>
        <v/>
      </c>
      <c r="P160" s="21" t="str">
        <f>IFERROR(__xludf.DUMMYFUNCTION("IFERROR((GOOGLEFINANCE(C160, ""price"") / INDEX(GOOGLEFINANCE(C160, ""price"", EDATE(TODAY(), -12), TODAY()), 2, 2)) - 1, """")"),"")</f>
        <v/>
      </c>
      <c r="Q160" s="6" t="str">
        <f>IFERROR(__xludf.DUMMYFUNCTION("AVERAGE(QUERY(GOOGLEFINANCE(C160, ""price"", TODAY()-80, TODAY()), ""SELECT Col2 WHERE Col2 IS NOT NULL ORDER BY Col1 DESC LIMIT 50"", 0))"),"#N/A")</f>
        <v>#N/A</v>
      </c>
      <c r="R160" s="24" t="str">
        <f>IFERROR(__xludf.DUMMYFUNCTION("IFERROR(
  LET(
    data, QUERY(GOOGLEFINANCE(C160,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GOOGLEFINANCE(C160, ""price"")) * 100,
    IF(calc=0, G160, calc)
  ), 
G160)"),"#N/A")</f>
        <v>#N/A</v>
      </c>
      <c r="S160" s="8" t="s">
        <v>15</v>
      </c>
      <c r="T160" s="26" t="str">
        <f>IFERROR(__xludf.DUMMYFUNCTION("IFERROR(TRANSPOSE(QUERY(IFERROR(SORT(GOOGLEFINANCE(C160, ""price"", WORKDAY(TODAY(), -40), TODAY()), 1, FALSE)), ""select Col2 where Col2 is not null limit 22 label Col2 ''"", 0)), """")"),"")</f>
        <v/>
      </c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8"/>
      <c r="AO160" s="28"/>
      <c r="AP160" s="29"/>
      <c r="AQ160" s="29" t="str">
        <f t="shared" ref="AQ160:BL160" si="163">T160/T$2</f>
        <v>#N/A</v>
      </c>
      <c r="AR160" s="29" t="str">
        <f t="shared" si="163"/>
        <v>#DIV/0!</v>
      </c>
      <c r="AS160" s="29" t="str">
        <f t="shared" si="163"/>
        <v>#DIV/0!</v>
      </c>
      <c r="AT160" s="29" t="str">
        <f t="shared" si="163"/>
        <v>#DIV/0!</v>
      </c>
      <c r="AU160" s="29" t="str">
        <f t="shared" si="163"/>
        <v>#DIV/0!</v>
      </c>
      <c r="AV160" s="29" t="str">
        <f t="shared" si="163"/>
        <v>#DIV/0!</v>
      </c>
      <c r="AW160" s="29" t="str">
        <f t="shared" si="163"/>
        <v>#DIV/0!</v>
      </c>
      <c r="AX160" s="29" t="str">
        <f t="shared" si="163"/>
        <v>#DIV/0!</v>
      </c>
      <c r="AY160" s="29" t="str">
        <f t="shared" si="163"/>
        <v>#DIV/0!</v>
      </c>
      <c r="AZ160" s="29" t="str">
        <f t="shared" si="163"/>
        <v>#DIV/0!</v>
      </c>
      <c r="BA160" s="29" t="str">
        <f t="shared" si="163"/>
        <v>#DIV/0!</v>
      </c>
      <c r="BB160" s="29" t="str">
        <f t="shared" si="163"/>
        <v>#DIV/0!</v>
      </c>
      <c r="BC160" s="29" t="str">
        <f t="shared" si="163"/>
        <v>#DIV/0!</v>
      </c>
      <c r="BD160" s="29" t="str">
        <f t="shared" si="163"/>
        <v>#DIV/0!</v>
      </c>
      <c r="BE160" s="29" t="str">
        <f t="shared" si="163"/>
        <v>#DIV/0!</v>
      </c>
      <c r="BF160" s="29" t="str">
        <f t="shared" si="163"/>
        <v>#DIV/0!</v>
      </c>
      <c r="BG160" s="29" t="str">
        <f t="shared" si="163"/>
        <v>#DIV/0!</v>
      </c>
      <c r="BH160" s="29" t="str">
        <f t="shared" si="163"/>
        <v>#DIV/0!</v>
      </c>
      <c r="BI160" s="29" t="str">
        <f t="shared" si="163"/>
        <v>#DIV/0!</v>
      </c>
      <c r="BJ160" s="29" t="str">
        <f t="shared" si="163"/>
        <v>#DIV/0!</v>
      </c>
      <c r="BK160" s="29" t="str">
        <f t="shared" si="163"/>
        <v>#DIV/0!</v>
      </c>
      <c r="BL160" s="29" t="str">
        <f t="shared" si="163"/>
        <v>#DIV/0!</v>
      </c>
      <c r="BM160" s="29" t="str">
        <f t="shared" si="3"/>
        <v>#DIV/0!</v>
      </c>
    </row>
    <row r="161">
      <c r="A161" s="16" t="str">
        <f>IFERROR(__xludf.DUMMYFUNCTION("IFERROR(SPARKLINE(SORT(MAP(TRANSPOSE(AQ161:BL161), LAMBDA(val, IF(ISNUMBER(val), PERCENTRANK(AQ161:BL161, val)+0.01, 0))), SEQUENCE(COLUMNS(AQ161:BL161)), FALSE), {""charttype"",""column""; ""color"",""chartreuse""; ""ymin"", 0; ""ymax"", 1.01; ""highcolo"&amp;"r"", ""darkgreen""; ""lowcolor"", ""red""}), """")"),"")</f>
        <v/>
      </c>
      <c r="B161" s="17" t="str">
        <f t="shared" si="4"/>
        <v/>
      </c>
      <c r="C161" s="1" t="s">
        <v>693</v>
      </c>
      <c r="D161" s="30" t="str">
        <f>IFERROR(__xludf.DUMMYFUNCTION("IFERROR(GOOGLEFINANCE(C161, ""NAME""))"),"Flutter Entertainment PLC")</f>
        <v>Flutter Entertainment PLC</v>
      </c>
      <c r="E161" s="30" t="s">
        <v>234</v>
      </c>
      <c r="F161" s="33" t="str">
        <f>IFERROR(__xludf.DUMMYFUNCTION("( (GOOGLEFINANCE(C161, ""price"") - Q161) / Q161 ) / (R161 / 100)"),"Loading...")</f>
        <v>Loading...</v>
      </c>
      <c r="G161" s="20" t="str">
        <f>IFERROR(__xludf.DUMMYFUNCTION("AVERAGE(ARRAYFORMULA(100 * (QUERY(GOOGLEFINANCE(C161, ""high"", TODAY()-40, TODAY()), ""SELECT Col2 WHERE Col2 IS NOT NULL ORDER BY Col1 DESC LIMIT 20"", 0) / QUERY(GOOGLEFINANCE(C161, ""low"", TODAY()-40, TODAY()), ""SELECT Col2 WHERE Col2 IS NOT NULL OR"&amp;"DER BY Col1 DESC LIMIT 20"", 0) - 1)))"),"#N/A")</f>
        <v>#N/A</v>
      </c>
      <c r="H161" s="35" t="str">
        <f t="shared" si="6"/>
        <v/>
      </c>
      <c r="I161" s="35" t="str">
        <f t="shared" si="7"/>
        <v/>
      </c>
      <c r="J161" s="37" t="str">
        <f>IFERROR(__xludf.DUMMYFUNCTION("IFERROR(
  IF(C161="""",, 
    IFERROR(
      GOOGLEFINANCE(C161, ""price"") * GOOGLEFINANCE(C161, ""volumeavg""), 
      GOOGLEFINANCE(C161, ""price"") * AVERAGE(QUERY(GOOGLEFINANCE(C161, ""volume"", TODAY()-40, TODAY()), ""SELECT Col2 WHERE Col2 IS NOT "&amp;"NULL ORDER BY Col1 DESC LIMIT 20"", 0))
    )
  ), 
"""")"),"")</f>
        <v/>
      </c>
      <c r="K161" s="21" t="str">
        <f>IFERROR(__xludf.DUMMYFUNCTION("IFERROR(GOOGLEFINANCE(C161, ""changepct"") / 100, """")"),"")</f>
        <v/>
      </c>
      <c r="L161" s="21" t="str">
        <f>IFERROR(__xludf.DUMMYFUNCTION("IFERROR((GOOGLEFINANCE(C161, ""price"") / INDEX(GOOGLEFINANCE(C161, ""price"", TODAY()-7, TODAY()), 2, 2)) - 1, """")"),"")</f>
        <v/>
      </c>
      <c r="M161" s="21" t="str">
        <f>IFERROR(__xludf.DUMMYFUNCTION("IFERROR((GOOGLEFINANCE(C161, ""price"") / INDEX(GOOGLEFINANCE(C161, ""price"", EDATE(TODAY(), -1), TODAY()), 2, 2)) - 1, """")"),"")</f>
        <v/>
      </c>
      <c r="N161" s="21" t="str">
        <f>IFERROR(__xludf.DUMMYFUNCTION("IFERROR((GOOGLEFINANCE(C161, ""price"") / INDEX(GOOGLEFINANCE(C161, ""price"", EDATE(TODAY(), -3), TODAY()), 2, 2)) - 1, """")"),"")</f>
        <v/>
      </c>
      <c r="O161" s="21" t="str">
        <f>IFERROR(__xludf.DUMMYFUNCTION("IFERROR((GOOGLEFINANCE(C161, ""price"") / INDEX(GOOGLEFINANCE(C161, ""price"", EDATE(TODAY(), -6), TODAY()), 2, 2)) - 1, """")"),"")</f>
        <v/>
      </c>
      <c r="P161" s="21" t="str">
        <f>IFERROR(__xludf.DUMMYFUNCTION("IFERROR((GOOGLEFINANCE(C161, ""price"") / INDEX(GOOGLEFINANCE(C161, ""price"", EDATE(TODAY(), -12), TODAY()), 2, 2)) - 1, """")"),"")</f>
        <v/>
      </c>
      <c r="Q161" s="6" t="str">
        <f>IFERROR(__xludf.DUMMYFUNCTION("AVERAGE(QUERY(GOOGLEFINANCE(C161, ""price"", TODAY()-80, TODAY()), ""SELECT Col2 WHERE Col2 IS NOT NULL ORDER BY Col1 DESC LIMIT 50"", 0))"),"#N/A")</f>
        <v>#N/A</v>
      </c>
      <c r="R161" s="24" t="str">
        <f>IFERROR(__xludf.DUMMYFUNCTION("IFERROR(
  LET(
    data, QUERY(GOOGLEFINANCE(C161,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GOOGLEFINANCE(C161, ""price"")) * 100,
    IF(calc=0, G161, calc)
  ), 
G161)"),"#N/A")</f>
        <v>#N/A</v>
      </c>
      <c r="S161" s="8" t="s">
        <v>15</v>
      </c>
      <c r="T161" s="26" t="str">
        <f>IFERROR(__xludf.DUMMYFUNCTION("IFERROR(TRANSPOSE(QUERY(IFERROR(SORT(GOOGLEFINANCE(C161, ""price"", WORKDAY(TODAY(), -40), TODAY()), 1, FALSE)), ""select Col2 where Col2 is not null limit 22 label Col2 ''"", 0)), """")"),"")</f>
        <v/>
      </c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8"/>
      <c r="AO161" s="28"/>
      <c r="AP161" s="29"/>
      <c r="AQ161" s="29" t="str">
        <f t="shared" ref="AQ161:BL161" si="164">T161/T$2</f>
        <v>#N/A</v>
      </c>
      <c r="AR161" s="29" t="str">
        <f t="shared" si="164"/>
        <v>#DIV/0!</v>
      </c>
      <c r="AS161" s="29" t="str">
        <f t="shared" si="164"/>
        <v>#DIV/0!</v>
      </c>
      <c r="AT161" s="29" t="str">
        <f t="shared" si="164"/>
        <v>#DIV/0!</v>
      </c>
      <c r="AU161" s="29" t="str">
        <f t="shared" si="164"/>
        <v>#DIV/0!</v>
      </c>
      <c r="AV161" s="29" t="str">
        <f t="shared" si="164"/>
        <v>#DIV/0!</v>
      </c>
      <c r="AW161" s="29" t="str">
        <f t="shared" si="164"/>
        <v>#DIV/0!</v>
      </c>
      <c r="AX161" s="29" t="str">
        <f t="shared" si="164"/>
        <v>#DIV/0!</v>
      </c>
      <c r="AY161" s="29" t="str">
        <f t="shared" si="164"/>
        <v>#DIV/0!</v>
      </c>
      <c r="AZ161" s="29" t="str">
        <f t="shared" si="164"/>
        <v>#DIV/0!</v>
      </c>
      <c r="BA161" s="29" t="str">
        <f t="shared" si="164"/>
        <v>#DIV/0!</v>
      </c>
      <c r="BB161" s="29" t="str">
        <f t="shared" si="164"/>
        <v>#DIV/0!</v>
      </c>
      <c r="BC161" s="29" t="str">
        <f t="shared" si="164"/>
        <v>#DIV/0!</v>
      </c>
      <c r="BD161" s="29" t="str">
        <f t="shared" si="164"/>
        <v>#DIV/0!</v>
      </c>
      <c r="BE161" s="29" t="str">
        <f t="shared" si="164"/>
        <v>#DIV/0!</v>
      </c>
      <c r="BF161" s="29" t="str">
        <f t="shared" si="164"/>
        <v>#DIV/0!</v>
      </c>
      <c r="BG161" s="29" t="str">
        <f t="shared" si="164"/>
        <v>#DIV/0!</v>
      </c>
      <c r="BH161" s="29" t="str">
        <f t="shared" si="164"/>
        <v>#DIV/0!</v>
      </c>
      <c r="BI161" s="29" t="str">
        <f t="shared" si="164"/>
        <v>#DIV/0!</v>
      </c>
      <c r="BJ161" s="29" t="str">
        <f t="shared" si="164"/>
        <v>#DIV/0!</v>
      </c>
      <c r="BK161" s="29" t="str">
        <f t="shared" si="164"/>
        <v>#DIV/0!</v>
      </c>
      <c r="BL161" s="29" t="str">
        <f t="shared" si="164"/>
        <v>#DIV/0!</v>
      </c>
      <c r="BM161" s="29" t="str">
        <f t="shared" si="3"/>
        <v>#DIV/0!</v>
      </c>
    </row>
    <row r="162">
      <c r="A162" s="16" t="str">
        <f>IFERROR(__xludf.DUMMYFUNCTION("IFERROR(SPARKLINE(SORT(MAP(TRANSPOSE(AQ162:BL162), LAMBDA(val, IF(ISNUMBER(val), PERCENTRANK(AQ162:BL162, val)+0.01, 0))), SEQUENCE(COLUMNS(AQ162:BL162)), FALSE), {""charttype"",""column""; ""color"",""chartreuse""; ""ymin"", 0; ""ymax"", 1.01; ""highcolo"&amp;"r"", ""darkgreen""; ""lowcolor"", ""red""}), """")"),"")</f>
        <v/>
      </c>
      <c r="B162" s="17" t="str">
        <f t="shared" si="4"/>
        <v/>
      </c>
      <c r="C162" s="1" t="s">
        <v>696</v>
      </c>
      <c r="D162" s="30" t="str">
        <f>IFERROR(__xludf.DUMMYFUNCTION("IFERROR(GOOGLEFINANCE(C162, ""NAME""))"),"Instacart")</f>
        <v>Instacart</v>
      </c>
      <c r="E162" s="30" t="s">
        <v>137</v>
      </c>
      <c r="F162" s="33" t="str">
        <f>IFERROR(__xludf.DUMMYFUNCTION("( (GOOGLEFINANCE(C162, ""price"") - Q162) / Q162 ) / (R162 / 100)"),"Loading...")</f>
        <v>Loading...</v>
      </c>
      <c r="G162" s="20" t="str">
        <f>IFERROR(__xludf.DUMMYFUNCTION("AVERAGE(ARRAYFORMULA(100 * (QUERY(GOOGLEFINANCE(C162, ""high"", TODAY()-40, TODAY()), ""SELECT Col2 WHERE Col2 IS NOT NULL ORDER BY Col1 DESC LIMIT 20"", 0) / QUERY(GOOGLEFINANCE(C162, ""low"", TODAY()-40, TODAY()), ""SELECT Col2 WHERE Col2 IS NOT NULL OR"&amp;"DER BY Col1 DESC LIMIT 20"", 0) - 1)))"),"#N/A")</f>
        <v>#N/A</v>
      </c>
      <c r="H162" s="35" t="str">
        <f t="shared" si="6"/>
        <v/>
      </c>
      <c r="I162" s="35" t="str">
        <f t="shared" si="7"/>
        <v/>
      </c>
      <c r="J162" s="37" t="str">
        <f>IFERROR(__xludf.DUMMYFUNCTION("IFERROR(
  IF(C162="""",, 
    IFERROR(
      GOOGLEFINANCE(C162, ""price"") * GOOGLEFINANCE(C162, ""volumeavg""), 
      GOOGLEFINANCE(C162, ""price"") * AVERAGE(QUERY(GOOGLEFINANCE(C162, ""volume"", TODAY()-40, TODAY()), ""SELECT Col2 WHERE Col2 IS NOT "&amp;"NULL ORDER BY Col1 DESC LIMIT 20"", 0))
    )
  ), 
"""")"),"")</f>
        <v/>
      </c>
      <c r="K162" s="21" t="str">
        <f>IFERROR(__xludf.DUMMYFUNCTION("IFERROR(GOOGLEFINANCE(C162, ""changepct"") / 100, """")"),"")</f>
        <v/>
      </c>
      <c r="L162" s="21" t="str">
        <f>IFERROR(__xludf.DUMMYFUNCTION("IFERROR((GOOGLEFINANCE(C162, ""price"") / INDEX(GOOGLEFINANCE(C162, ""price"", TODAY()-7, TODAY()), 2, 2)) - 1, """")"),"")</f>
        <v/>
      </c>
      <c r="M162" s="21" t="str">
        <f>IFERROR(__xludf.DUMMYFUNCTION("IFERROR((GOOGLEFINANCE(C162, ""price"") / INDEX(GOOGLEFINANCE(C162, ""price"", EDATE(TODAY(), -1), TODAY()), 2, 2)) - 1, """")"),"")</f>
        <v/>
      </c>
      <c r="N162" s="21" t="str">
        <f>IFERROR(__xludf.DUMMYFUNCTION("IFERROR((GOOGLEFINANCE(C162, ""price"") / INDEX(GOOGLEFINANCE(C162, ""price"", EDATE(TODAY(), -3), TODAY()), 2, 2)) - 1, """")"),"")</f>
        <v/>
      </c>
      <c r="O162" s="21" t="str">
        <f>IFERROR(__xludf.DUMMYFUNCTION("IFERROR((GOOGLEFINANCE(C162, ""price"") / INDEX(GOOGLEFINANCE(C162, ""price"", EDATE(TODAY(), -6), TODAY()), 2, 2)) - 1, """")"),"")</f>
        <v/>
      </c>
      <c r="P162" s="21" t="str">
        <f>IFERROR(__xludf.DUMMYFUNCTION("IFERROR((GOOGLEFINANCE(C162, ""price"") / INDEX(GOOGLEFINANCE(C162, ""price"", EDATE(TODAY(), -12), TODAY()), 2, 2)) - 1, """")"),"")</f>
        <v/>
      </c>
      <c r="Q162" s="6" t="str">
        <f>IFERROR(__xludf.DUMMYFUNCTION("AVERAGE(QUERY(GOOGLEFINANCE(C162, ""price"", TODAY()-80, TODAY()), ""SELECT Col2 WHERE Col2 IS NOT NULL ORDER BY Col1 DESC LIMIT 50"", 0))"),"#N/A")</f>
        <v>#N/A</v>
      </c>
      <c r="R162" s="24" t="str">
        <f>IFERROR(__xludf.DUMMYFUNCTION("IFERROR(
  LET(
    data, QUERY(GOOGLEFINANCE(C162,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GOOGLEFINANCE(C162, ""price"")) * 100,
    IF(calc=0, G162, calc)
  ), 
G162)"),"#N/A")</f>
        <v>#N/A</v>
      </c>
      <c r="S162" s="8" t="s">
        <v>15</v>
      </c>
      <c r="T162" s="26" t="str">
        <f>IFERROR(__xludf.DUMMYFUNCTION("IFERROR(TRANSPOSE(QUERY(IFERROR(SORT(GOOGLEFINANCE(C162, ""price"", WORKDAY(TODAY(), -40), TODAY()), 1, FALSE)), ""select Col2 where Col2 is not null limit 22 label Col2 ''"", 0)), """")"),"")</f>
        <v/>
      </c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8"/>
      <c r="AO162" s="28"/>
      <c r="AP162" s="29"/>
      <c r="AQ162" s="29" t="str">
        <f t="shared" ref="AQ162:BL162" si="165">T162/T$2</f>
        <v>#N/A</v>
      </c>
      <c r="AR162" s="29" t="str">
        <f t="shared" si="165"/>
        <v>#DIV/0!</v>
      </c>
      <c r="AS162" s="29" t="str">
        <f t="shared" si="165"/>
        <v>#DIV/0!</v>
      </c>
      <c r="AT162" s="29" t="str">
        <f t="shared" si="165"/>
        <v>#DIV/0!</v>
      </c>
      <c r="AU162" s="29" t="str">
        <f t="shared" si="165"/>
        <v>#DIV/0!</v>
      </c>
      <c r="AV162" s="29" t="str">
        <f t="shared" si="165"/>
        <v>#DIV/0!</v>
      </c>
      <c r="AW162" s="29" t="str">
        <f t="shared" si="165"/>
        <v>#DIV/0!</v>
      </c>
      <c r="AX162" s="29" t="str">
        <f t="shared" si="165"/>
        <v>#DIV/0!</v>
      </c>
      <c r="AY162" s="29" t="str">
        <f t="shared" si="165"/>
        <v>#DIV/0!</v>
      </c>
      <c r="AZ162" s="29" t="str">
        <f t="shared" si="165"/>
        <v>#DIV/0!</v>
      </c>
      <c r="BA162" s="29" t="str">
        <f t="shared" si="165"/>
        <v>#DIV/0!</v>
      </c>
      <c r="BB162" s="29" t="str">
        <f t="shared" si="165"/>
        <v>#DIV/0!</v>
      </c>
      <c r="BC162" s="29" t="str">
        <f t="shared" si="165"/>
        <v>#DIV/0!</v>
      </c>
      <c r="BD162" s="29" t="str">
        <f t="shared" si="165"/>
        <v>#DIV/0!</v>
      </c>
      <c r="BE162" s="29" t="str">
        <f t="shared" si="165"/>
        <v>#DIV/0!</v>
      </c>
      <c r="BF162" s="29" t="str">
        <f t="shared" si="165"/>
        <v>#DIV/0!</v>
      </c>
      <c r="BG162" s="29" t="str">
        <f t="shared" si="165"/>
        <v>#DIV/0!</v>
      </c>
      <c r="BH162" s="29" t="str">
        <f t="shared" si="165"/>
        <v>#DIV/0!</v>
      </c>
      <c r="BI162" s="29" t="str">
        <f t="shared" si="165"/>
        <v>#DIV/0!</v>
      </c>
      <c r="BJ162" s="29" t="str">
        <f t="shared" si="165"/>
        <v>#DIV/0!</v>
      </c>
      <c r="BK162" s="29" t="str">
        <f t="shared" si="165"/>
        <v>#DIV/0!</v>
      </c>
      <c r="BL162" s="29" t="str">
        <f t="shared" si="165"/>
        <v>#DIV/0!</v>
      </c>
      <c r="BM162" s="29" t="str">
        <f t="shared" si="3"/>
        <v>#DIV/0!</v>
      </c>
    </row>
    <row r="163">
      <c r="A163" s="16" t="str">
        <f>IFERROR(__xludf.DUMMYFUNCTION("IFERROR(SPARKLINE(SORT(MAP(TRANSPOSE(AQ163:BL163), LAMBDA(val, IF(ISNUMBER(val), PERCENTRANK(AQ163:BL163, val)+0.01, 0))), SEQUENCE(COLUMNS(AQ163:BL163)), FALSE), {""charttype"",""column""; ""color"",""chartreuse""; ""ymin"", 0; ""ymax"", 1.01; ""highcolo"&amp;"r"", ""darkgreen""; ""lowcolor"", ""red""}), """")"),"")</f>
        <v/>
      </c>
      <c r="B163" s="17" t="str">
        <f t="shared" si="4"/>
        <v/>
      </c>
      <c r="C163" s="1" t="s">
        <v>700</v>
      </c>
      <c r="D163" s="30" t="str">
        <f>IFERROR(__xludf.DUMMYFUNCTION("IFERROR(GOOGLEFINANCE(C163, ""NAME""))"),"American Eagle Outfitters Inc")</f>
        <v>American Eagle Outfitters Inc</v>
      </c>
      <c r="E163" s="30" t="s">
        <v>647</v>
      </c>
      <c r="F163" s="33" t="str">
        <f>IFERROR(__xludf.DUMMYFUNCTION("( (GOOGLEFINANCE(C163, ""price"") - Q163) / Q163 ) / (R163 / 100)"),"Loading...")</f>
        <v>Loading...</v>
      </c>
      <c r="G163" s="20" t="str">
        <f>IFERROR(__xludf.DUMMYFUNCTION("AVERAGE(ARRAYFORMULA(100 * (QUERY(GOOGLEFINANCE(C163, ""high"", TODAY()-40, TODAY()), ""SELECT Col2 WHERE Col2 IS NOT NULL ORDER BY Col1 DESC LIMIT 20"", 0) / QUERY(GOOGLEFINANCE(C163, ""low"", TODAY()-40, TODAY()), ""SELECT Col2 WHERE Col2 IS NOT NULL OR"&amp;"DER BY Col1 DESC LIMIT 20"", 0) - 1)))"),"#N/A")</f>
        <v>#N/A</v>
      </c>
      <c r="H163" s="35" t="str">
        <f t="shared" si="6"/>
        <v/>
      </c>
      <c r="I163" s="35" t="str">
        <f t="shared" si="7"/>
        <v/>
      </c>
      <c r="J163" s="37" t="str">
        <f>IFERROR(__xludf.DUMMYFUNCTION("IFERROR(
  IF(C163="""",, 
    IFERROR(
      GOOGLEFINANCE(C163, ""price"") * GOOGLEFINANCE(C163, ""volumeavg""), 
      GOOGLEFINANCE(C163, ""price"") * AVERAGE(QUERY(GOOGLEFINANCE(C163, ""volume"", TODAY()-40, TODAY()), ""SELECT Col2 WHERE Col2 IS NOT "&amp;"NULL ORDER BY Col1 DESC LIMIT 20"", 0))
    )
  ), 
"""")"),"")</f>
        <v/>
      </c>
      <c r="K163" s="21" t="str">
        <f>IFERROR(__xludf.DUMMYFUNCTION("IFERROR(GOOGLEFINANCE(C163, ""changepct"") / 100, """")"),"")</f>
        <v/>
      </c>
      <c r="L163" s="21" t="str">
        <f>IFERROR(__xludf.DUMMYFUNCTION("IFERROR((GOOGLEFINANCE(C163, ""price"") / INDEX(GOOGLEFINANCE(C163, ""price"", TODAY()-7, TODAY()), 2, 2)) - 1, """")"),"")</f>
        <v/>
      </c>
      <c r="M163" s="21" t="str">
        <f>IFERROR(__xludf.DUMMYFUNCTION("IFERROR((GOOGLEFINANCE(C163, ""price"") / INDEX(GOOGLEFINANCE(C163, ""price"", EDATE(TODAY(), -1), TODAY()), 2, 2)) - 1, """")"),"")</f>
        <v/>
      </c>
      <c r="N163" s="21" t="str">
        <f>IFERROR(__xludf.DUMMYFUNCTION("IFERROR((GOOGLEFINANCE(C163, ""price"") / INDEX(GOOGLEFINANCE(C163, ""price"", EDATE(TODAY(), -3), TODAY()), 2, 2)) - 1, """")"),"")</f>
        <v/>
      </c>
      <c r="O163" s="21" t="str">
        <f>IFERROR(__xludf.DUMMYFUNCTION("IFERROR((GOOGLEFINANCE(C163, ""price"") / INDEX(GOOGLEFINANCE(C163, ""price"", EDATE(TODAY(), -6), TODAY()), 2, 2)) - 1, """")"),"")</f>
        <v/>
      </c>
      <c r="P163" s="21" t="str">
        <f>IFERROR(__xludf.DUMMYFUNCTION("IFERROR((GOOGLEFINANCE(C163, ""price"") / INDEX(GOOGLEFINANCE(C163, ""price"", EDATE(TODAY(), -12), TODAY()), 2, 2)) - 1, """")"),"")</f>
        <v/>
      </c>
      <c r="Q163" s="6" t="str">
        <f>IFERROR(__xludf.DUMMYFUNCTION("AVERAGE(QUERY(GOOGLEFINANCE(C163, ""price"", TODAY()-80, TODAY()), ""SELECT Col2 WHERE Col2 IS NOT NULL ORDER BY Col1 DESC LIMIT 50"", 0))"),"#N/A")</f>
        <v>#N/A</v>
      </c>
      <c r="R163" s="24" t="str">
        <f>IFERROR(__xludf.DUMMYFUNCTION("IFERROR(
  LET(
    data, QUERY(GOOGLEFINANCE(C163,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GOOGLEFINANCE(C163, ""price"")) * 100,
    IF(calc=0, G163, calc)
  ), 
G163)"),"#N/A")</f>
        <v>#N/A</v>
      </c>
      <c r="S163" s="8" t="s">
        <v>15</v>
      </c>
      <c r="T163" s="26" t="str">
        <f>IFERROR(__xludf.DUMMYFUNCTION("IFERROR(TRANSPOSE(QUERY(IFERROR(SORT(GOOGLEFINANCE(C163, ""price"", WORKDAY(TODAY(), -40), TODAY()), 1, FALSE)), ""select Col2 where Col2 is not null limit 22 label Col2 ''"", 0)), """")"),"")</f>
        <v/>
      </c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8"/>
      <c r="AO163" s="28"/>
      <c r="AP163" s="29"/>
      <c r="AQ163" s="29" t="str">
        <f t="shared" ref="AQ163:BL163" si="166">T163/T$2</f>
        <v>#N/A</v>
      </c>
      <c r="AR163" s="29" t="str">
        <f t="shared" si="166"/>
        <v>#DIV/0!</v>
      </c>
      <c r="AS163" s="29" t="str">
        <f t="shared" si="166"/>
        <v>#DIV/0!</v>
      </c>
      <c r="AT163" s="29" t="str">
        <f t="shared" si="166"/>
        <v>#DIV/0!</v>
      </c>
      <c r="AU163" s="29" t="str">
        <f t="shared" si="166"/>
        <v>#DIV/0!</v>
      </c>
      <c r="AV163" s="29" t="str">
        <f t="shared" si="166"/>
        <v>#DIV/0!</v>
      </c>
      <c r="AW163" s="29" t="str">
        <f t="shared" si="166"/>
        <v>#DIV/0!</v>
      </c>
      <c r="AX163" s="29" t="str">
        <f t="shared" si="166"/>
        <v>#DIV/0!</v>
      </c>
      <c r="AY163" s="29" t="str">
        <f t="shared" si="166"/>
        <v>#DIV/0!</v>
      </c>
      <c r="AZ163" s="29" t="str">
        <f t="shared" si="166"/>
        <v>#DIV/0!</v>
      </c>
      <c r="BA163" s="29" t="str">
        <f t="shared" si="166"/>
        <v>#DIV/0!</v>
      </c>
      <c r="BB163" s="29" t="str">
        <f t="shared" si="166"/>
        <v>#DIV/0!</v>
      </c>
      <c r="BC163" s="29" t="str">
        <f t="shared" si="166"/>
        <v>#DIV/0!</v>
      </c>
      <c r="BD163" s="29" t="str">
        <f t="shared" si="166"/>
        <v>#DIV/0!</v>
      </c>
      <c r="BE163" s="29" t="str">
        <f t="shared" si="166"/>
        <v>#DIV/0!</v>
      </c>
      <c r="BF163" s="29" t="str">
        <f t="shared" si="166"/>
        <v>#DIV/0!</v>
      </c>
      <c r="BG163" s="29" t="str">
        <f t="shared" si="166"/>
        <v>#DIV/0!</v>
      </c>
      <c r="BH163" s="29" t="str">
        <f t="shared" si="166"/>
        <v>#DIV/0!</v>
      </c>
      <c r="BI163" s="29" t="str">
        <f t="shared" si="166"/>
        <v>#DIV/0!</v>
      </c>
      <c r="BJ163" s="29" t="str">
        <f t="shared" si="166"/>
        <v>#DIV/0!</v>
      </c>
      <c r="BK163" s="29" t="str">
        <f t="shared" si="166"/>
        <v>#DIV/0!</v>
      </c>
      <c r="BL163" s="29" t="str">
        <f t="shared" si="166"/>
        <v>#DIV/0!</v>
      </c>
      <c r="BM163" s="29" t="str">
        <f t="shared" si="3"/>
        <v>#DIV/0!</v>
      </c>
    </row>
    <row r="164">
      <c r="A164" s="16" t="str">
        <f>IFERROR(__xludf.DUMMYFUNCTION("IFERROR(SPARKLINE(SORT(MAP(TRANSPOSE(AQ164:BL164), LAMBDA(val, IF(ISNUMBER(val), PERCENTRANK(AQ164:BL164, val)+0.01, 0))), SEQUENCE(COLUMNS(AQ164:BL164)), FALSE), {""charttype"",""column""; ""color"",""chartreuse""; ""ymin"", 0; ""ymax"", 1.01; ""highcolo"&amp;"r"", ""darkgreen""; ""lowcolor"", ""red""}), """")"),"")</f>
        <v/>
      </c>
      <c r="B164" s="17" t="str">
        <f t="shared" si="4"/>
        <v/>
      </c>
      <c r="C164" s="1" t="s">
        <v>702</v>
      </c>
      <c r="D164" s="30" t="str">
        <f>IFERROR(__xludf.DUMMYFUNCTION("IFERROR(GOOGLEFINANCE(C164, ""NAME""))"),"Ross Stores Inc")</f>
        <v>Ross Stores Inc</v>
      </c>
      <c r="E164" s="30" t="s">
        <v>647</v>
      </c>
      <c r="F164" s="33" t="str">
        <f>IFERROR(__xludf.DUMMYFUNCTION("( (GOOGLEFINANCE(C164, ""price"") - Q164) / Q164 ) / (R164 / 100)"),"Loading...")</f>
        <v>Loading...</v>
      </c>
      <c r="G164" s="20" t="str">
        <f>IFERROR(__xludf.DUMMYFUNCTION("AVERAGE(ARRAYFORMULA(100 * (QUERY(GOOGLEFINANCE(C164, ""high"", TODAY()-40, TODAY()), ""SELECT Col2 WHERE Col2 IS NOT NULL ORDER BY Col1 DESC LIMIT 20"", 0) / QUERY(GOOGLEFINANCE(C164, ""low"", TODAY()-40, TODAY()), ""SELECT Col2 WHERE Col2 IS NOT NULL OR"&amp;"DER BY Col1 DESC LIMIT 20"", 0) - 1)))"),"#N/A")</f>
        <v>#N/A</v>
      </c>
      <c r="H164" s="35" t="str">
        <f t="shared" si="6"/>
        <v/>
      </c>
      <c r="I164" s="35" t="str">
        <f t="shared" si="7"/>
        <v/>
      </c>
      <c r="J164" s="37" t="str">
        <f>IFERROR(__xludf.DUMMYFUNCTION("IFERROR(
  IF(C164="""",, 
    IFERROR(
      GOOGLEFINANCE(C164, ""price"") * GOOGLEFINANCE(C164, ""volumeavg""), 
      GOOGLEFINANCE(C164, ""price"") * AVERAGE(QUERY(GOOGLEFINANCE(C164, ""volume"", TODAY()-40, TODAY()), ""SELECT Col2 WHERE Col2 IS NOT "&amp;"NULL ORDER BY Col1 DESC LIMIT 20"", 0))
    )
  ), 
"""")"),"")</f>
        <v/>
      </c>
      <c r="K164" s="21" t="str">
        <f>IFERROR(__xludf.DUMMYFUNCTION("IFERROR(GOOGLEFINANCE(C164, ""changepct"") / 100, """")"),"")</f>
        <v/>
      </c>
      <c r="L164" s="21" t="str">
        <f>IFERROR(__xludf.DUMMYFUNCTION("IFERROR((GOOGLEFINANCE(C164, ""price"") / INDEX(GOOGLEFINANCE(C164, ""price"", TODAY()-7, TODAY()), 2, 2)) - 1, """")"),"")</f>
        <v/>
      </c>
      <c r="M164" s="21" t="str">
        <f>IFERROR(__xludf.DUMMYFUNCTION("IFERROR((GOOGLEFINANCE(C164, ""price"") / INDEX(GOOGLEFINANCE(C164, ""price"", EDATE(TODAY(), -1), TODAY()), 2, 2)) - 1, """")"),"")</f>
        <v/>
      </c>
      <c r="N164" s="21" t="str">
        <f>IFERROR(__xludf.DUMMYFUNCTION("IFERROR((GOOGLEFINANCE(C164, ""price"") / INDEX(GOOGLEFINANCE(C164, ""price"", EDATE(TODAY(), -3), TODAY()), 2, 2)) - 1, """")"),"")</f>
        <v/>
      </c>
      <c r="O164" s="21" t="str">
        <f>IFERROR(__xludf.DUMMYFUNCTION("IFERROR((GOOGLEFINANCE(C164, ""price"") / INDEX(GOOGLEFINANCE(C164, ""price"", EDATE(TODAY(), -6), TODAY()), 2, 2)) - 1, """")"),"")</f>
        <v/>
      </c>
      <c r="P164" s="21" t="str">
        <f>IFERROR(__xludf.DUMMYFUNCTION("IFERROR((GOOGLEFINANCE(C164, ""price"") / INDEX(GOOGLEFINANCE(C164, ""price"", EDATE(TODAY(), -12), TODAY()), 2, 2)) - 1, """")"),"")</f>
        <v/>
      </c>
      <c r="Q164" s="6" t="str">
        <f>IFERROR(__xludf.DUMMYFUNCTION("AVERAGE(QUERY(GOOGLEFINANCE(C164, ""price"", TODAY()-80, TODAY()), ""SELECT Col2 WHERE Col2 IS NOT NULL ORDER BY Col1 DESC LIMIT 50"", 0))"),"#N/A")</f>
        <v>#N/A</v>
      </c>
      <c r="R164" s="24" t="str">
        <f>IFERROR(__xludf.DUMMYFUNCTION("IFERROR(
  LET(
    data, QUERY(GOOGLEFINANCE(C164,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GOOGLEFINANCE(C164, ""price"")) * 100,
    IF(calc=0, G164, calc)
  ), 
G164)"),"#N/A")</f>
        <v>#N/A</v>
      </c>
      <c r="S164" s="8" t="s">
        <v>15</v>
      </c>
      <c r="T164" s="26" t="str">
        <f>IFERROR(__xludf.DUMMYFUNCTION("IFERROR(TRANSPOSE(QUERY(IFERROR(SORT(GOOGLEFINANCE(C164, ""price"", WORKDAY(TODAY(), -40), TODAY()), 1, FALSE)), ""select Col2 where Col2 is not null limit 22 label Col2 ''"", 0)), """")"),"")</f>
        <v/>
      </c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8"/>
      <c r="AO164" s="28"/>
      <c r="AP164" s="29"/>
      <c r="AQ164" s="29" t="str">
        <f t="shared" ref="AQ164:BL164" si="167">T164/T$2</f>
        <v>#N/A</v>
      </c>
      <c r="AR164" s="29" t="str">
        <f t="shared" si="167"/>
        <v>#DIV/0!</v>
      </c>
      <c r="AS164" s="29" t="str">
        <f t="shared" si="167"/>
        <v>#DIV/0!</v>
      </c>
      <c r="AT164" s="29" t="str">
        <f t="shared" si="167"/>
        <v>#DIV/0!</v>
      </c>
      <c r="AU164" s="29" t="str">
        <f t="shared" si="167"/>
        <v>#DIV/0!</v>
      </c>
      <c r="AV164" s="29" t="str">
        <f t="shared" si="167"/>
        <v>#DIV/0!</v>
      </c>
      <c r="AW164" s="29" t="str">
        <f t="shared" si="167"/>
        <v>#DIV/0!</v>
      </c>
      <c r="AX164" s="29" t="str">
        <f t="shared" si="167"/>
        <v>#DIV/0!</v>
      </c>
      <c r="AY164" s="29" t="str">
        <f t="shared" si="167"/>
        <v>#DIV/0!</v>
      </c>
      <c r="AZ164" s="29" t="str">
        <f t="shared" si="167"/>
        <v>#DIV/0!</v>
      </c>
      <c r="BA164" s="29" t="str">
        <f t="shared" si="167"/>
        <v>#DIV/0!</v>
      </c>
      <c r="BB164" s="29" t="str">
        <f t="shared" si="167"/>
        <v>#DIV/0!</v>
      </c>
      <c r="BC164" s="29" t="str">
        <f t="shared" si="167"/>
        <v>#DIV/0!</v>
      </c>
      <c r="BD164" s="29" t="str">
        <f t="shared" si="167"/>
        <v>#DIV/0!</v>
      </c>
      <c r="BE164" s="29" t="str">
        <f t="shared" si="167"/>
        <v>#DIV/0!</v>
      </c>
      <c r="BF164" s="29" t="str">
        <f t="shared" si="167"/>
        <v>#DIV/0!</v>
      </c>
      <c r="BG164" s="29" t="str">
        <f t="shared" si="167"/>
        <v>#DIV/0!</v>
      </c>
      <c r="BH164" s="29" t="str">
        <f t="shared" si="167"/>
        <v>#DIV/0!</v>
      </c>
      <c r="BI164" s="29" t="str">
        <f t="shared" si="167"/>
        <v>#DIV/0!</v>
      </c>
      <c r="BJ164" s="29" t="str">
        <f t="shared" si="167"/>
        <v>#DIV/0!</v>
      </c>
      <c r="BK164" s="29" t="str">
        <f t="shared" si="167"/>
        <v>#DIV/0!</v>
      </c>
      <c r="BL164" s="29" t="str">
        <f t="shared" si="167"/>
        <v>#DIV/0!</v>
      </c>
      <c r="BM164" s="29" t="str">
        <f t="shared" si="3"/>
        <v>#DIV/0!</v>
      </c>
    </row>
    <row r="165">
      <c r="A165" s="16" t="str">
        <f>IFERROR(__xludf.DUMMYFUNCTION("IFERROR(SPARKLINE(SORT(MAP(TRANSPOSE(AQ165:BL165), LAMBDA(val, IF(ISNUMBER(val), PERCENTRANK(AQ165:BL165, val)+0.01, 0))), SEQUENCE(COLUMNS(AQ165:BL165)), FALSE), {""charttype"",""column""; ""color"",""chartreuse""; ""ymin"", 0; ""ymax"", 1.01; ""highcolo"&amp;"r"", ""darkgreen""; ""lowcolor"", ""red""}), """")"),"")</f>
        <v/>
      </c>
      <c r="B165" s="17" t="str">
        <f t="shared" si="4"/>
        <v/>
      </c>
      <c r="C165" s="1" t="s">
        <v>706</v>
      </c>
      <c r="D165" s="30" t="str">
        <f>IFERROR(__xludf.DUMMYFUNCTION("IFERROR(GOOGLEFINANCE(C165, ""NAME""))"),"Arcos Dorados Holdings Inc")</f>
        <v>Arcos Dorados Holdings Inc</v>
      </c>
      <c r="E165" s="30" t="s">
        <v>126</v>
      </c>
      <c r="F165" s="33" t="str">
        <f>IFERROR(__xludf.DUMMYFUNCTION("( (GOOGLEFINANCE(C165, ""price"") - Q165) / Q165 ) / (R165 / 100)"),"Loading...")</f>
        <v>Loading...</v>
      </c>
      <c r="G165" s="20" t="str">
        <f>IFERROR(__xludf.DUMMYFUNCTION("AVERAGE(ARRAYFORMULA(100 * (QUERY(GOOGLEFINANCE(C165, ""high"", TODAY()-40, TODAY()), ""SELECT Col2 WHERE Col2 IS NOT NULL ORDER BY Col1 DESC LIMIT 20"", 0) / QUERY(GOOGLEFINANCE(C165, ""low"", TODAY()-40, TODAY()), ""SELECT Col2 WHERE Col2 IS NOT NULL OR"&amp;"DER BY Col1 DESC LIMIT 20"", 0) - 1)))"),"#N/A")</f>
        <v>#N/A</v>
      </c>
      <c r="H165" s="35" t="str">
        <f t="shared" si="6"/>
        <v/>
      </c>
      <c r="I165" s="35" t="str">
        <f t="shared" si="7"/>
        <v/>
      </c>
      <c r="J165" s="37" t="str">
        <f>IFERROR(__xludf.DUMMYFUNCTION("IFERROR(
  IF(C165="""",, 
    IFERROR(
      GOOGLEFINANCE(C165, ""price"") * GOOGLEFINANCE(C165, ""volumeavg""), 
      GOOGLEFINANCE(C165, ""price"") * AVERAGE(QUERY(GOOGLEFINANCE(C165, ""volume"", TODAY()-40, TODAY()), ""SELECT Col2 WHERE Col2 IS NOT "&amp;"NULL ORDER BY Col1 DESC LIMIT 20"", 0))
    )
  ), 
"""")"),"")</f>
        <v/>
      </c>
      <c r="K165" s="21" t="str">
        <f>IFERROR(__xludf.DUMMYFUNCTION("IFERROR(GOOGLEFINANCE(C165, ""changepct"") / 100, """")"),"")</f>
        <v/>
      </c>
      <c r="L165" s="21" t="str">
        <f>IFERROR(__xludf.DUMMYFUNCTION("IFERROR((GOOGLEFINANCE(C165, ""price"") / INDEX(GOOGLEFINANCE(C165, ""price"", TODAY()-7, TODAY()), 2, 2)) - 1, """")"),"")</f>
        <v/>
      </c>
      <c r="M165" s="21" t="str">
        <f>IFERROR(__xludf.DUMMYFUNCTION("IFERROR((GOOGLEFINANCE(C165, ""price"") / INDEX(GOOGLEFINANCE(C165, ""price"", EDATE(TODAY(), -1), TODAY()), 2, 2)) - 1, """")"),"")</f>
        <v/>
      </c>
      <c r="N165" s="21" t="str">
        <f>IFERROR(__xludf.DUMMYFUNCTION("IFERROR((GOOGLEFINANCE(C165, ""price"") / INDEX(GOOGLEFINANCE(C165, ""price"", EDATE(TODAY(), -3), TODAY()), 2, 2)) - 1, """")"),"")</f>
        <v/>
      </c>
      <c r="O165" s="21" t="str">
        <f>IFERROR(__xludf.DUMMYFUNCTION("IFERROR((GOOGLEFINANCE(C165, ""price"") / INDEX(GOOGLEFINANCE(C165, ""price"", EDATE(TODAY(), -6), TODAY()), 2, 2)) - 1, """")"),"")</f>
        <v/>
      </c>
      <c r="P165" s="21" t="str">
        <f>IFERROR(__xludf.DUMMYFUNCTION("IFERROR((GOOGLEFINANCE(C165, ""price"") / INDEX(GOOGLEFINANCE(C165, ""price"", EDATE(TODAY(), -12), TODAY()), 2, 2)) - 1, """")"),"")</f>
        <v/>
      </c>
      <c r="Q165" s="6" t="str">
        <f>IFERROR(__xludf.DUMMYFUNCTION("AVERAGE(QUERY(GOOGLEFINANCE(C165, ""price"", TODAY()-80, TODAY()), ""SELECT Col2 WHERE Col2 IS NOT NULL ORDER BY Col1 DESC LIMIT 50"", 0))"),"#N/A")</f>
        <v>#N/A</v>
      </c>
      <c r="R165" s="24" t="str">
        <f>IFERROR(__xludf.DUMMYFUNCTION("IFERROR(
  LET(
    data, QUERY(GOOGLEFINANCE(C165,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GOOGLEFINANCE(C165, ""price"")) * 100,
    IF(calc=0, G165, calc)
  ), 
G165)"),"#N/A")</f>
        <v>#N/A</v>
      </c>
      <c r="S165" s="8" t="s">
        <v>15</v>
      </c>
      <c r="T165" s="26" t="str">
        <f>IFERROR(__xludf.DUMMYFUNCTION("IFERROR(TRANSPOSE(QUERY(IFERROR(SORT(GOOGLEFINANCE(C165, ""price"", WORKDAY(TODAY(), -40), TODAY()), 1, FALSE)), ""select Col2 where Col2 is not null limit 22 label Col2 ''"", 0)), """")"),"")</f>
        <v/>
      </c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8"/>
      <c r="AO165" s="28"/>
      <c r="AP165" s="29"/>
      <c r="AQ165" s="29" t="str">
        <f t="shared" ref="AQ165:BL165" si="168">T165/T$2</f>
        <v>#N/A</v>
      </c>
      <c r="AR165" s="29" t="str">
        <f t="shared" si="168"/>
        <v>#DIV/0!</v>
      </c>
      <c r="AS165" s="29" t="str">
        <f t="shared" si="168"/>
        <v>#DIV/0!</v>
      </c>
      <c r="AT165" s="29" t="str">
        <f t="shared" si="168"/>
        <v>#DIV/0!</v>
      </c>
      <c r="AU165" s="29" t="str">
        <f t="shared" si="168"/>
        <v>#DIV/0!</v>
      </c>
      <c r="AV165" s="29" t="str">
        <f t="shared" si="168"/>
        <v>#DIV/0!</v>
      </c>
      <c r="AW165" s="29" t="str">
        <f t="shared" si="168"/>
        <v>#DIV/0!</v>
      </c>
      <c r="AX165" s="29" t="str">
        <f t="shared" si="168"/>
        <v>#DIV/0!</v>
      </c>
      <c r="AY165" s="29" t="str">
        <f t="shared" si="168"/>
        <v>#DIV/0!</v>
      </c>
      <c r="AZ165" s="29" t="str">
        <f t="shared" si="168"/>
        <v>#DIV/0!</v>
      </c>
      <c r="BA165" s="29" t="str">
        <f t="shared" si="168"/>
        <v>#DIV/0!</v>
      </c>
      <c r="BB165" s="29" t="str">
        <f t="shared" si="168"/>
        <v>#DIV/0!</v>
      </c>
      <c r="BC165" s="29" t="str">
        <f t="shared" si="168"/>
        <v>#DIV/0!</v>
      </c>
      <c r="BD165" s="29" t="str">
        <f t="shared" si="168"/>
        <v>#DIV/0!</v>
      </c>
      <c r="BE165" s="29" t="str">
        <f t="shared" si="168"/>
        <v>#DIV/0!</v>
      </c>
      <c r="BF165" s="29" t="str">
        <f t="shared" si="168"/>
        <v>#DIV/0!</v>
      </c>
      <c r="BG165" s="29" t="str">
        <f t="shared" si="168"/>
        <v>#DIV/0!</v>
      </c>
      <c r="BH165" s="29" t="str">
        <f t="shared" si="168"/>
        <v>#DIV/0!</v>
      </c>
      <c r="BI165" s="29" t="str">
        <f t="shared" si="168"/>
        <v>#DIV/0!</v>
      </c>
      <c r="BJ165" s="29" t="str">
        <f t="shared" si="168"/>
        <v>#DIV/0!</v>
      </c>
      <c r="BK165" s="29" t="str">
        <f t="shared" si="168"/>
        <v>#DIV/0!</v>
      </c>
      <c r="BL165" s="29" t="str">
        <f t="shared" si="168"/>
        <v>#DIV/0!</v>
      </c>
      <c r="BM165" s="29" t="str">
        <f t="shared" si="3"/>
        <v>#DIV/0!</v>
      </c>
    </row>
    <row r="166">
      <c r="A166" s="16" t="str">
        <f>IFERROR(__xludf.DUMMYFUNCTION("IFERROR(SPARKLINE(SORT(MAP(TRANSPOSE(AQ166:BL166), LAMBDA(val, IF(ISNUMBER(val), PERCENTRANK(AQ166:BL166, val)+0.01, 0))), SEQUENCE(COLUMNS(AQ166:BL166)), FALSE), {""charttype"",""column""; ""color"",""chartreuse""; ""ymin"", 0; ""ymax"", 1.01; ""highcolo"&amp;"r"", ""darkgreen""; ""lowcolor"", ""red""}), """")"),"")</f>
        <v/>
      </c>
      <c r="B166" s="17" t="str">
        <f t="shared" si="4"/>
        <v/>
      </c>
      <c r="C166" s="1" t="s">
        <v>709</v>
      </c>
      <c r="D166" s="30" t="str">
        <f>IFERROR(__xludf.DUMMYFUNCTION("IFERROR(GOOGLEFINANCE(C166, ""NAME""))"),"Thor Industries Inc")</f>
        <v>Thor Industries Inc</v>
      </c>
      <c r="E166" s="30" t="s">
        <v>165</v>
      </c>
      <c r="F166" s="33" t="str">
        <f>IFERROR(__xludf.DUMMYFUNCTION("( (GOOGLEFINANCE(C166, ""price"") - Q166) / Q166 ) / (R166 / 100)"),"Loading...")</f>
        <v>Loading...</v>
      </c>
      <c r="G166" s="20" t="str">
        <f>IFERROR(__xludf.DUMMYFUNCTION("AVERAGE(ARRAYFORMULA(100 * (QUERY(GOOGLEFINANCE(C166, ""high"", TODAY()-40, TODAY()), ""SELECT Col2 WHERE Col2 IS NOT NULL ORDER BY Col1 DESC LIMIT 20"", 0) / QUERY(GOOGLEFINANCE(C166, ""low"", TODAY()-40, TODAY()), ""SELECT Col2 WHERE Col2 IS NOT NULL OR"&amp;"DER BY Col1 DESC LIMIT 20"", 0) - 1)))"),"#N/A")</f>
        <v>#N/A</v>
      </c>
      <c r="H166" s="35" t="str">
        <f t="shared" si="6"/>
        <v/>
      </c>
      <c r="I166" s="35" t="str">
        <f t="shared" si="7"/>
        <v/>
      </c>
      <c r="J166" s="37" t="str">
        <f>IFERROR(__xludf.DUMMYFUNCTION("IFERROR(
  IF(C166="""",, 
    IFERROR(
      GOOGLEFINANCE(C166, ""price"") * GOOGLEFINANCE(C166, ""volumeavg""), 
      GOOGLEFINANCE(C166, ""price"") * AVERAGE(QUERY(GOOGLEFINANCE(C166, ""volume"", TODAY()-40, TODAY()), ""SELECT Col2 WHERE Col2 IS NOT "&amp;"NULL ORDER BY Col1 DESC LIMIT 20"", 0))
    )
  ), 
"""")"),"")</f>
        <v/>
      </c>
      <c r="K166" s="21" t="str">
        <f>IFERROR(__xludf.DUMMYFUNCTION("IFERROR(GOOGLEFINANCE(C166, ""changepct"") / 100, """")"),"")</f>
        <v/>
      </c>
      <c r="L166" s="21" t="str">
        <f>IFERROR(__xludf.DUMMYFUNCTION("IFERROR((GOOGLEFINANCE(C166, ""price"") / INDEX(GOOGLEFINANCE(C166, ""price"", TODAY()-7, TODAY()), 2, 2)) - 1, """")"),"")</f>
        <v/>
      </c>
      <c r="M166" s="21" t="str">
        <f>IFERROR(__xludf.DUMMYFUNCTION("IFERROR((GOOGLEFINANCE(C166, ""price"") / INDEX(GOOGLEFINANCE(C166, ""price"", EDATE(TODAY(), -1), TODAY()), 2, 2)) - 1, """")"),"")</f>
        <v/>
      </c>
      <c r="N166" s="21" t="str">
        <f>IFERROR(__xludf.DUMMYFUNCTION("IFERROR((GOOGLEFINANCE(C166, ""price"") / INDEX(GOOGLEFINANCE(C166, ""price"", EDATE(TODAY(), -3), TODAY()), 2, 2)) - 1, """")"),"")</f>
        <v/>
      </c>
      <c r="O166" s="21" t="str">
        <f>IFERROR(__xludf.DUMMYFUNCTION("IFERROR((GOOGLEFINANCE(C166, ""price"") / INDEX(GOOGLEFINANCE(C166, ""price"", EDATE(TODAY(), -6), TODAY()), 2, 2)) - 1, """")"),"")</f>
        <v/>
      </c>
      <c r="P166" s="21" t="str">
        <f>IFERROR(__xludf.DUMMYFUNCTION("IFERROR((GOOGLEFINANCE(C166, ""price"") / INDEX(GOOGLEFINANCE(C166, ""price"", EDATE(TODAY(), -12), TODAY()), 2, 2)) - 1, """")"),"")</f>
        <v/>
      </c>
      <c r="Q166" s="6" t="str">
        <f>IFERROR(__xludf.DUMMYFUNCTION("AVERAGE(QUERY(GOOGLEFINANCE(C166, ""price"", TODAY()-80, TODAY()), ""SELECT Col2 WHERE Col2 IS NOT NULL ORDER BY Col1 DESC LIMIT 50"", 0))"),"#N/A")</f>
        <v>#N/A</v>
      </c>
      <c r="R166" s="24" t="str">
        <f>IFERROR(__xludf.DUMMYFUNCTION("IFERROR(
  LET(
    data, QUERY(GOOGLEFINANCE(C166,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GOOGLEFINANCE(C166, ""price"")) * 100,
    IF(calc=0, G166, calc)
  ), 
G166)"),"#N/A")</f>
        <v>#N/A</v>
      </c>
      <c r="S166" s="8" t="s">
        <v>15</v>
      </c>
      <c r="T166" s="26" t="str">
        <f>IFERROR(__xludf.DUMMYFUNCTION("IFERROR(TRANSPOSE(QUERY(IFERROR(SORT(GOOGLEFINANCE(C166, ""price"", WORKDAY(TODAY(), -40), TODAY()), 1, FALSE)), ""select Col2 where Col2 is not null limit 22 label Col2 ''"", 0)), """")"),"")</f>
        <v/>
      </c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8"/>
      <c r="AO166" s="28"/>
      <c r="AP166" s="29"/>
      <c r="AQ166" s="29" t="str">
        <f t="shared" ref="AQ166:BL166" si="169">T166/T$2</f>
        <v>#N/A</v>
      </c>
      <c r="AR166" s="29" t="str">
        <f t="shared" si="169"/>
        <v>#DIV/0!</v>
      </c>
      <c r="AS166" s="29" t="str">
        <f t="shared" si="169"/>
        <v>#DIV/0!</v>
      </c>
      <c r="AT166" s="29" t="str">
        <f t="shared" si="169"/>
        <v>#DIV/0!</v>
      </c>
      <c r="AU166" s="29" t="str">
        <f t="shared" si="169"/>
        <v>#DIV/0!</v>
      </c>
      <c r="AV166" s="29" t="str">
        <f t="shared" si="169"/>
        <v>#DIV/0!</v>
      </c>
      <c r="AW166" s="29" t="str">
        <f t="shared" si="169"/>
        <v>#DIV/0!</v>
      </c>
      <c r="AX166" s="29" t="str">
        <f t="shared" si="169"/>
        <v>#DIV/0!</v>
      </c>
      <c r="AY166" s="29" t="str">
        <f t="shared" si="169"/>
        <v>#DIV/0!</v>
      </c>
      <c r="AZ166" s="29" t="str">
        <f t="shared" si="169"/>
        <v>#DIV/0!</v>
      </c>
      <c r="BA166" s="29" t="str">
        <f t="shared" si="169"/>
        <v>#DIV/0!</v>
      </c>
      <c r="BB166" s="29" t="str">
        <f t="shared" si="169"/>
        <v>#DIV/0!</v>
      </c>
      <c r="BC166" s="29" t="str">
        <f t="shared" si="169"/>
        <v>#DIV/0!</v>
      </c>
      <c r="BD166" s="29" t="str">
        <f t="shared" si="169"/>
        <v>#DIV/0!</v>
      </c>
      <c r="BE166" s="29" t="str">
        <f t="shared" si="169"/>
        <v>#DIV/0!</v>
      </c>
      <c r="BF166" s="29" t="str">
        <f t="shared" si="169"/>
        <v>#DIV/0!</v>
      </c>
      <c r="BG166" s="29" t="str">
        <f t="shared" si="169"/>
        <v>#DIV/0!</v>
      </c>
      <c r="BH166" s="29" t="str">
        <f t="shared" si="169"/>
        <v>#DIV/0!</v>
      </c>
      <c r="BI166" s="29" t="str">
        <f t="shared" si="169"/>
        <v>#DIV/0!</v>
      </c>
      <c r="BJ166" s="29" t="str">
        <f t="shared" si="169"/>
        <v>#DIV/0!</v>
      </c>
      <c r="BK166" s="29" t="str">
        <f t="shared" si="169"/>
        <v>#DIV/0!</v>
      </c>
      <c r="BL166" s="29" t="str">
        <f t="shared" si="169"/>
        <v>#DIV/0!</v>
      </c>
      <c r="BM166" s="29" t="str">
        <f t="shared" si="3"/>
        <v>#DIV/0!</v>
      </c>
    </row>
    <row r="167">
      <c r="A167" s="16" t="str">
        <f>IFERROR(__xludf.DUMMYFUNCTION("IFERROR(SPARKLINE(SORT(MAP(TRANSPOSE(AQ167:BL167), LAMBDA(val, IF(ISNUMBER(val), PERCENTRANK(AQ167:BL167, val)+0.01, 0))), SEQUENCE(COLUMNS(AQ167:BL167)), FALSE), {""charttype"",""column""; ""color"",""chartreuse""; ""ymin"", 0; ""ymax"", 1.01; ""highcolo"&amp;"r"", ""darkgreen""; ""lowcolor"", ""red""}), """")"),"")</f>
        <v/>
      </c>
      <c r="B167" s="17" t="str">
        <f t="shared" si="4"/>
        <v/>
      </c>
      <c r="C167" s="1" t="s">
        <v>712</v>
      </c>
      <c r="D167" s="30" t="str">
        <f>IFERROR(__xludf.DUMMYFUNCTION("IFERROR(GOOGLEFINANCE(C167, ""NAME""))"),"Revolve Group Inc")</f>
        <v>Revolve Group Inc</v>
      </c>
      <c r="E167" s="30" t="s">
        <v>137</v>
      </c>
      <c r="F167" s="38" t="str">
        <f>IFERROR(__xludf.DUMMYFUNCTION("( (GOOGLEFINANCE(C167, ""price"") - Q167) / Q167 ) / (R167 / 100)"),"Loading...")</f>
        <v>Loading...</v>
      </c>
      <c r="G167" s="20" t="str">
        <f>IFERROR(__xludf.DUMMYFUNCTION("AVERAGE(ARRAYFORMULA(100 * (QUERY(GOOGLEFINANCE(C167, ""high"", TODAY()-40, TODAY()), ""SELECT Col2 WHERE Col2 IS NOT NULL ORDER BY Col1 DESC LIMIT 20"", 0) / QUERY(GOOGLEFINANCE(C167, ""low"", TODAY()-40, TODAY()), ""SELECT Col2 WHERE Col2 IS NOT NULL OR"&amp;"DER BY Col1 DESC LIMIT 20"", 0) - 1)))"),"#N/A")</f>
        <v>#N/A</v>
      </c>
      <c r="H167" s="35" t="str">
        <f t="shared" si="6"/>
        <v/>
      </c>
      <c r="I167" s="35" t="str">
        <f t="shared" si="7"/>
        <v/>
      </c>
      <c r="J167" s="37" t="str">
        <f>IFERROR(__xludf.DUMMYFUNCTION("IFERROR(
  IF(C167="""",, 
    IFERROR(
      GOOGLEFINANCE(C167, ""price"") * GOOGLEFINANCE(C167, ""volumeavg""), 
      GOOGLEFINANCE(C167, ""price"") * AVERAGE(QUERY(GOOGLEFINANCE(C167, ""volume"", TODAY()-40, TODAY()), ""SELECT Col2 WHERE Col2 IS NOT "&amp;"NULL ORDER BY Col1 DESC LIMIT 20"", 0))
    )
  ), 
"""")"),"")</f>
        <v/>
      </c>
      <c r="K167" s="21" t="str">
        <f>IFERROR(__xludf.DUMMYFUNCTION("IFERROR(GOOGLEFINANCE(C167, ""changepct"") / 100, """")"),"")</f>
        <v/>
      </c>
      <c r="L167" s="21" t="str">
        <f>IFERROR(__xludf.DUMMYFUNCTION("IFERROR((GOOGLEFINANCE(C167, ""price"") / INDEX(GOOGLEFINANCE(C167, ""price"", TODAY()-7, TODAY()), 2, 2)) - 1, """")"),"")</f>
        <v/>
      </c>
      <c r="M167" s="21" t="str">
        <f>IFERROR(__xludf.DUMMYFUNCTION("IFERROR((GOOGLEFINANCE(C167, ""price"") / INDEX(GOOGLEFINANCE(C167, ""price"", EDATE(TODAY(), -1), TODAY()), 2, 2)) - 1, """")"),"")</f>
        <v/>
      </c>
      <c r="N167" s="21" t="str">
        <f>IFERROR(__xludf.DUMMYFUNCTION("IFERROR((GOOGLEFINANCE(C167, ""price"") / INDEX(GOOGLEFINANCE(C167, ""price"", EDATE(TODAY(), -3), TODAY()), 2, 2)) - 1, """")"),"")</f>
        <v/>
      </c>
      <c r="O167" s="21" t="str">
        <f>IFERROR(__xludf.DUMMYFUNCTION("IFERROR((GOOGLEFINANCE(C167, ""price"") / INDEX(GOOGLEFINANCE(C167, ""price"", EDATE(TODAY(), -6), TODAY()), 2, 2)) - 1, """")"),"")</f>
        <v/>
      </c>
      <c r="P167" s="21" t="str">
        <f>IFERROR(__xludf.DUMMYFUNCTION("IFERROR((GOOGLEFINANCE(C167, ""price"") / INDEX(GOOGLEFINANCE(C167, ""price"", EDATE(TODAY(), -12), TODAY()), 2, 2)) - 1, """")"),"")</f>
        <v/>
      </c>
      <c r="Q167" s="6" t="str">
        <f>IFERROR(__xludf.DUMMYFUNCTION("AVERAGE(QUERY(GOOGLEFINANCE(C167, ""price"", TODAY()-80, TODAY()), ""SELECT Col2 WHERE Col2 IS NOT NULL ORDER BY Col1 DESC LIMIT 50"", 0))"),"#N/A")</f>
        <v>#N/A</v>
      </c>
      <c r="R167" s="24" t="str">
        <f>IFERROR(__xludf.DUMMYFUNCTION("IFERROR(
  LET(
    data, QUERY(GOOGLEFINANCE(C167,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GOOGLEFINANCE(C167, ""price"")) * 100,
    IF(calc=0, G167, calc)
  ), 
G167)"),"#N/A")</f>
        <v>#N/A</v>
      </c>
      <c r="S167" s="8" t="s">
        <v>15</v>
      </c>
      <c r="T167" s="26" t="str">
        <f>IFERROR(__xludf.DUMMYFUNCTION("IFERROR(TRANSPOSE(QUERY(IFERROR(SORT(GOOGLEFINANCE(C167, ""price"", WORKDAY(TODAY(), -40), TODAY()), 1, FALSE)), ""select Col2 where Col2 is not null limit 22 label Col2 ''"", 0)), """")"),"")</f>
        <v/>
      </c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8"/>
      <c r="AO167" s="28"/>
      <c r="AP167" s="29"/>
      <c r="AQ167" s="29" t="str">
        <f t="shared" ref="AQ167:BL167" si="170">T167/T$2</f>
        <v>#N/A</v>
      </c>
      <c r="AR167" s="29" t="str">
        <f t="shared" si="170"/>
        <v>#DIV/0!</v>
      </c>
      <c r="AS167" s="29" t="str">
        <f t="shared" si="170"/>
        <v>#DIV/0!</v>
      </c>
      <c r="AT167" s="29" t="str">
        <f t="shared" si="170"/>
        <v>#DIV/0!</v>
      </c>
      <c r="AU167" s="29" t="str">
        <f t="shared" si="170"/>
        <v>#DIV/0!</v>
      </c>
      <c r="AV167" s="29" t="str">
        <f t="shared" si="170"/>
        <v>#DIV/0!</v>
      </c>
      <c r="AW167" s="29" t="str">
        <f t="shared" si="170"/>
        <v>#DIV/0!</v>
      </c>
      <c r="AX167" s="29" t="str">
        <f t="shared" si="170"/>
        <v>#DIV/0!</v>
      </c>
      <c r="AY167" s="29" t="str">
        <f t="shared" si="170"/>
        <v>#DIV/0!</v>
      </c>
      <c r="AZ167" s="29" t="str">
        <f t="shared" si="170"/>
        <v>#DIV/0!</v>
      </c>
      <c r="BA167" s="29" t="str">
        <f t="shared" si="170"/>
        <v>#DIV/0!</v>
      </c>
      <c r="BB167" s="29" t="str">
        <f t="shared" si="170"/>
        <v>#DIV/0!</v>
      </c>
      <c r="BC167" s="29" t="str">
        <f t="shared" si="170"/>
        <v>#DIV/0!</v>
      </c>
      <c r="BD167" s="29" t="str">
        <f t="shared" si="170"/>
        <v>#DIV/0!</v>
      </c>
      <c r="BE167" s="29" t="str">
        <f t="shared" si="170"/>
        <v>#DIV/0!</v>
      </c>
      <c r="BF167" s="29" t="str">
        <f t="shared" si="170"/>
        <v>#DIV/0!</v>
      </c>
      <c r="BG167" s="29" t="str">
        <f t="shared" si="170"/>
        <v>#DIV/0!</v>
      </c>
      <c r="BH167" s="29" t="str">
        <f t="shared" si="170"/>
        <v>#DIV/0!</v>
      </c>
      <c r="BI167" s="29" t="str">
        <f t="shared" si="170"/>
        <v>#DIV/0!</v>
      </c>
      <c r="BJ167" s="29" t="str">
        <f t="shared" si="170"/>
        <v>#DIV/0!</v>
      </c>
      <c r="BK167" s="29" t="str">
        <f t="shared" si="170"/>
        <v>#DIV/0!</v>
      </c>
      <c r="BL167" s="29" t="str">
        <f t="shared" si="170"/>
        <v>#DIV/0!</v>
      </c>
      <c r="BM167" s="29" t="str">
        <f t="shared" si="3"/>
        <v>#DIV/0!</v>
      </c>
    </row>
    <row r="168">
      <c r="A168" s="16" t="str">
        <f>IFERROR(__xludf.DUMMYFUNCTION("IFERROR(SPARKLINE(SORT(MAP(TRANSPOSE(AQ168:BL168), LAMBDA(val, IF(ISNUMBER(val), PERCENTRANK(AQ168:BL168, val)+0.01, 0))), SEQUENCE(COLUMNS(AQ168:BL168)), FALSE), {""charttype"",""column""; ""color"",""chartreuse""; ""ymin"", 0; ""ymax"", 1.01; ""highcolo"&amp;"r"", ""darkgreen""; ""lowcolor"", ""red""}), """")"),"")</f>
        <v/>
      </c>
      <c r="B168" s="17" t="str">
        <f t="shared" si="4"/>
        <v/>
      </c>
      <c r="C168" s="1" t="s">
        <v>717</v>
      </c>
      <c r="D168" s="30" t="str">
        <f>IFERROR(__xludf.DUMMYFUNCTION("IFERROR(GOOGLEFINANCE(C168, ""NAME""))"),"Honda Motor Co Ltd")</f>
        <v>Honda Motor Co Ltd</v>
      </c>
      <c r="E168" s="30" t="s">
        <v>129</v>
      </c>
      <c r="F168" s="33" t="str">
        <f>IFERROR(__xludf.DUMMYFUNCTION("( (GOOGLEFINANCE(C168, ""price"") - Q168) / Q168 ) / (R168 / 100)"),"Loading...")</f>
        <v>Loading...</v>
      </c>
      <c r="G168" s="20" t="str">
        <f>IFERROR(__xludf.DUMMYFUNCTION("AVERAGE(ARRAYFORMULA(100 * (QUERY(GOOGLEFINANCE(C168, ""high"", TODAY()-40, TODAY()), ""SELECT Col2 WHERE Col2 IS NOT NULL ORDER BY Col1 DESC LIMIT 20"", 0) / QUERY(GOOGLEFINANCE(C168, ""low"", TODAY()-40, TODAY()), ""SELECT Col2 WHERE Col2 IS NOT NULL OR"&amp;"DER BY Col1 DESC LIMIT 20"", 0) - 1)))"),"#N/A")</f>
        <v>#N/A</v>
      </c>
      <c r="H168" s="35" t="str">
        <f t="shared" si="6"/>
        <v/>
      </c>
      <c r="I168" s="35" t="str">
        <f t="shared" si="7"/>
        <v/>
      </c>
      <c r="J168" s="37" t="str">
        <f>IFERROR(__xludf.DUMMYFUNCTION("IFERROR(
  IF(C168="""",, 
    IFERROR(
      GOOGLEFINANCE(C168, ""price"") * GOOGLEFINANCE(C168, ""volumeavg""), 
      GOOGLEFINANCE(C168, ""price"") * AVERAGE(QUERY(GOOGLEFINANCE(C168, ""volume"", TODAY()-40, TODAY()), ""SELECT Col2 WHERE Col2 IS NOT "&amp;"NULL ORDER BY Col1 DESC LIMIT 20"", 0))
    )
  ), 
"""")"),"")</f>
        <v/>
      </c>
      <c r="K168" s="21" t="str">
        <f>IFERROR(__xludf.DUMMYFUNCTION("IFERROR(GOOGLEFINANCE(C168, ""changepct"") / 100, """")"),"")</f>
        <v/>
      </c>
      <c r="L168" s="21" t="str">
        <f>IFERROR(__xludf.DUMMYFUNCTION("IFERROR((GOOGLEFINANCE(C168, ""price"") / INDEX(GOOGLEFINANCE(C168, ""price"", TODAY()-7, TODAY()), 2, 2)) - 1, """")"),"")</f>
        <v/>
      </c>
      <c r="M168" s="21" t="str">
        <f>IFERROR(__xludf.DUMMYFUNCTION("IFERROR((GOOGLEFINANCE(C168, ""price"") / INDEX(GOOGLEFINANCE(C168, ""price"", EDATE(TODAY(), -1), TODAY()), 2, 2)) - 1, """")"),"")</f>
        <v/>
      </c>
      <c r="N168" s="21" t="str">
        <f>IFERROR(__xludf.DUMMYFUNCTION("IFERROR((GOOGLEFINANCE(C168, ""price"") / INDEX(GOOGLEFINANCE(C168, ""price"", EDATE(TODAY(), -3), TODAY()), 2, 2)) - 1, """")"),"")</f>
        <v/>
      </c>
      <c r="O168" s="21" t="str">
        <f>IFERROR(__xludf.DUMMYFUNCTION("IFERROR((GOOGLEFINANCE(C168, ""price"") / INDEX(GOOGLEFINANCE(C168, ""price"", EDATE(TODAY(), -6), TODAY()), 2, 2)) - 1, """")"),"")</f>
        <v/>
      </c>
      <c r="P168" s="21" t="str">
        <f>IFERROR(__xludf.DUMMYFUNCTION("IFERROR((GOOGLEFINANCE(C168, ""price"") / INDEX(GOOGLEFINANCE(C168, ""price"", EDATE(TODAY(), -12), TODAY()), 2, 2)) - 1, """")"),"")</f>
        <v/>
      </c>
      <c r="Q168" s="6" t="str">
        <f>IFERROR(__xludf.DUMMYFUNCTION("AVERAGE(QUERY(GOOGLEFINANCE(C168, ""price"", TODAY()-80, TODAY()), ""SELECT Col2 WHERE Col2 IS NOT NULL ORDER BY Col1 DESC LIMIT 50"", 0))"),"#N/A")</f>
        <v>#N/A</v>
      </c>
      <c r="R168" s="24" t="str">
        <f>IFERROR(__xludf.DUMMYFUNCTION("IFERROR(
  LET(
    data, QUERY(GOOGLEFINANCE(C168,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GOOGLEFINANCE(C168, ""price"")) * 100,
    IF(calc=0, G168, calc)
  ), 
G168)"),"#N/A")</f>
        <v>#N/A</v>
      </c>
      <c r="S168" s="8" t="s">
        <v>15</v>
      </c>
      <c r="T168" s="26" t="str">
        <f>IFERROR(__xludf.DUMMYFUNCTION("IFERROR(TRANSPOSE(QUERY(IFERROR(SORT(GOOGLEFINANCE(C168, ""price"", WORKDAY(TODAY(), -40), TODAY()), 1, FALSE)), ""select Col2 where Col2 is not null limit 22 label Col2 ''"", 0)), """")"),"")</f>
        <v/>
      </c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8"/>
      <c r="AO168" s="28"/>
      <c r="AP168" s="29"/>
      <c r="AQ168" s="29" t="str">
        <f t="shared" ref="AQ168:BL168" si="171">T168/T$2</f>
        <v>#N/A</v>
      </c>
      <c r="AR168" s="29" t="str">
        <f t="shared" si="171"/>
        <v>#DIV/0!</v>
      </c>
      <c r="AS168" s="29" t="str">
        <f t="shared" si="171"/>
        <v>#DIV/0!</v>
      </c>
      <c r="AT168" s="29" t="str">
        <f t="shared" si="171"/>
        <v>#DIV/0!</v>
      </c>
      <c r="AU168" s="29" t="str">
        <f t="shared" si="171"/>
        <v>#DIV/0!</v>
      </c>
      <c r="AV168" s="29" t="str">
        <f t="shared" si="171"/>
        <v>#DIV/0!</v>
      </c>
      <c r="AW168" s="29" t="str">
        <f t="shared" si="171"/>
        <v>#DIV/0!</v>
      </c>
      <c r="AX168" s="29" t="str">
        <f t="shared" si="171"/>
        <v>#DIV/0!</v>
      </c>
      <c r="AY168" s="29" t="str">
        <f t="shared" si="171"/>
        <v>#DIV/0!</v>
      </c>
      <c r="AZ168" s="29" t="str">
        <f t="shared" si="171"/>
        <v>#DIV/0!</v>
      </c>
      <c r="BA168" s="29" t="str">
        <f t="shared" si="171"/>
        <v>#DIV/0!</v>
      </c>
      <c r="BB168" s="29" t="str">
        <f t="shared" si="171"/>
        <v>#DIV/0!</v>
      </c>
      <c r="BC168" s="29" t="str">
        <f t="shared" si="171"/>
        <v>#DIV/0!</v>
      </c>
      <c r="BD168" s="29" t="str">
        <f t="shared" si="171"/>
        <v>#DIV/0!</v>
      </c>
      <c r="BE168" s="29" t="str">
        <f t="shared" si="171"/>
        <v>#DIV/0!</v>
      </c>
      <c r="BF168" s="29" t="str">
        <f t="shared" si="171"/>
        <v>#DIV/0!</v>
      </c>
      <c r="BG168" s="29" t="str">
        <f t="shared" si="171"/>
        <v>#DIV/0!</v>
      </c>
      <c r="BH168" s="29" t="str">
        <f t="shared" si="171"/>
        <v>#DIV/0!</v>
      </c>
      <c r="BI168" s="29" t="str">
        <f t="shared" si="171"/>
        <v>#DIV/0!</v>
      </c>
      <c r="BJ168" s="29" t="str">
        <f t="shared" si="171"/>
        <v>#DIV/0!</v>
      </c>
      <c r="BK168" s="29" t="str">
        <f t="shared" si="171"/>
        <v>#DIV/0!</v>
      </c>
      <c r="BL168" s="29" t="str">
        <f t="shared" si="171"/>
        <v>#DIV/0!</v>
      </c>
      <c r="BM168" s="29" t="str">
        <f t="shared" si="3"/>
        <v>#DIV/0!</v>
      </c>
    </row>
    <row r="169">
      <c r="A169" s="16" t="str">
        <f>IFERROR(__xludf.DUMMYFUNCTION("IFERROR(SPARKLINE(SORT(MAP(TRANSPOSE(AQ169:BL169), LAMBDA(val, IF(ISNUMBER(val), PERCENTRANK(AQ169:BL169, val)+0.01, 0))), SEQUENCE(COLUMNS(AQ169:BL169)), FALSE), {""charttype"",""column""; ""color"",""chartreuse""; ""ymin"", 0; ""ymax"", 1.01; ""highcolo"&amp;"r"", ""darkgreen""; ""lowcolor"", ""red""}), """")"),"")</f>
        <v/>
      </c>
      <c r="B169" s="17" t="str">
        <f t="shared" si="4"/>
        <v/>
      </c>
      <c r="C169" s="1" t="s">
        <v>721</v>
      </c>
      <c r="D169" s="30" t="str">
        <f>IFERROR(__xludf.DUMMYFUNCTION("IFERROR(GOOGLEFINANCE(C169, ""NAME""))"),"Five Below Inc")</f>
        <v>Five Below Inc</v>
      </c>
      <c r="E169" s="30" t="s">
        <v>184</v>
      </c>
      <c r="F169" s="33" t="str">
        <f>IFERROR(__xludf.DUMMYFUNCTION("( (GOOGLEFINANCE(C169, ""price"") - Q169) / Q169 ) / (R169 / 100)"),"Loading...")</f>
        <v>Loading...</v>
      </c>
      <c r="G169" s="20" t="str">
        <f>IFERROR(__xludf.DUMMYFUNCTION("AVERAGE(ARRAYFORMULA(100 * (QUERY(GOOGLEFINANCE(C169, ""high"", TODAY()-40, TODAY()), ""SELECT Col2 WHERE Col2 IS NOT NULL ORDER BY Col1 DESC LIMIT 20"", 0) / QUERY(GOOGLEFINANCE(C169, ""low"", TODAY()-40, TODAY()), ""SELECT Col2 WHERE Col2 IS NOT NULL OR"&amp;"DER BY Col1 DESC LIMIT 20"", 0) - 1)))"),"#N/A")</f>
        <v>#N/A</v>
      </c>
      <c r="H169" s="35" t="str">
        <f t="shared" si="6"/>
        <v/>
      </c>
      <c r="I169" s="35" t="str">
        <f t="shared" si="7"/>
        <v/>
      </c>
      <c r="J169" s="37" t="str">
        <f>IFERROR(__xludf.DUMMYFUNCTION("IFERROR(
  IF(C169="""",, 
    IFERROR(
      GOOGLEFINANCE(C169, ""price"") * GOOGLEFINANCE(C169, ""volumeavg""), 
      GOOGLEFINANCE(C169, ""price"") * AVERAGE(QUERY(GOOGLEFINANCE(C169, ""volume"", TODAY()-40, TODAY()), ""SELECT Col2 WHERE Col2 IS NOT "&amp;"NULL ORDER BY Col1 DESC LIMIT 20"", 0))
    )
  ), 
"""")"),"")</f>
        <v/>
      </c>
      <c r="K169" s="21" t="str">
        <f>IFERROR(__xludf.DUMMYFUNCTION("IFERROR(GOOGLEFINANCE(C169, ""changepct"") / 100, """")"),"")</f>
        <v/>
      </c>
      <c r="L169" s="21" t="str">
        <f>IFERROR(__xludf.DUMMYFUNCTION("IFERROR((GOOGLEFINANCE(C169, ""price"") / INDEX(GOOGLEFINANCE(C169, ""price"", TODAY()-7, TODAY()), 2, 2)) - 1, """")"),"")</f>
        <v/>
      </c>
      <c r="M169" s="21" t="str">
        <f>IFERROR(__xludf.DUMMYFUNCTION("IFERROR((GOOGLEFINANCE(C169, ""price"") / INDEX(GOOGLEFINANCE(C169, ""price"", EDATE(TODAY(), -1), TODAY()), 2, 2)) - 1, """")"),"")</f>
        <v/>
      </c>
      <c r="N169" s="21" t="str">
        <f>IFERROR(__xludf.DUMMYFUNCTION("IFERROR((GOOGLEFINANCE(C169, ""price"") / INDEX(GOOGLEFINANCE(C169, ""price"", EDATE(TODAY(), -3), TODAY()), 2, 2)) - 1, """")"),"")</f>
        <v/>
      </c>
      <c r="O169" s="21" t="str">
        <f>IFERROR(__xludf.DUMMYFUNCTION("IFERROR((GOOGLEFINANCE(C169, ""price"") / INDEX(GOOGLEFINANCE(C169, ""price"", EDATE(TODAY(), -6), TODAY()), 2, 2)) - 1, """")"),"")</f>
        <v/>
      </c>
      <c r="P169" s="21" t="str">
        <f>IFERROR(__xludf.DUMMYFUNCTION("IFERROR((GOOGLEFINANCE(C169, ""price"") / INDEX(GOOGLEFINANCE(C169, ""price"", EDATE(TODAY(), -12), TODAY()), 2, 2)) - 1, """")"),"")</f>
        <v/>
      </c>
      <c r="Q169" s="6" t="str">
        <f>IFERROR(__xludf.DUMMYFUNCTION("AVERAGE(QUERY(GOOGLEFINANCE(C169, ""price"", TODAY()-80, TODAY()), ""SELECT Col2 WHERE Col2 IS NOT NULL ORDER BY Col1 DESC LIMIT 50"", 0))"),"#N/A")</f>
        <v>#N/A</v>
      </c>
      <c r="R169" s="24" t="str">
        <f>IFERROR(__xludf.DUMMYFUNCTION("IFERROR(
  LET(
    data, QUERY(GOOGLEFINANCE(C169,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GOOGLEFINANCE(C169, ""price"")) * 100,
    IF(calc=0, G169, calc)
  ), 
G169)"),"#N/A")</f>
        <v>#N/A</v>
      </c>
      <c r="S169" s="8" t="s">
        <v>15</v>
      </c>
      <c r="T169" s="26" t="str">
        <f>IFERROR(__xludf.DUMMYFUNCTION("IFERROR(TRANSPOSE(QUERY(IFERROR(SORT(GOOGLEFINANCE(C169, ""price"", WORKDAY(TODAY(), -40), TODAY()), 1, FALSE)), ""select Col2 where Col2 is not null limit 22 label Col2 ''"", 0)), """")"),"")</f>
        <v/>
      </c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8"/>
      <c r="AO169" s="28"/>
      <c r="AP169" s="29"/>
      <c r="AQ169" s="29" t="str">
        <f t="shared" ref="AQ169:BL169" si="172">T169/T$2</f>
        <v>#N/A</v>
      </c>
      <c r="AR169" s="29" t="str">
        <f t="shared" si="172"/>
        <v>#DIV/0!</v>
      </c>
      <c r="AS169" s="29" t="str">
        <f t="shared" si="172"/>
        <v>#DIV/0!</v>
      </c>
      <c r="AT169" s="29" t="str">
        <f t="shared" si="172"/>
        <v>#DIV/0!</v>
      </c>
      <c r="AU169" s="29" t="str">
        <f t="shared" si="172"/>
        <v>#DIV/0!</v>
      </c>
      <c r="AV169" s="29" t="str">
        <f t="shared" si="172"/>
        <v>#DIV/0!</v>
      </c>
      <c r="AW169" s="29" t="str">
        <f t="shared" si="172"/>
        <v>#DIV/0!</v>
      </c>
      <c r="AX169" s="29" t="str">
        <f t="shared" si="172"/>
        <v>#DIV/0!</v>
      </c>
      <c r="AY169" s="29" t="str">
        <f t="shared" si="172"/>
        <v>#DIV/0!</v>
      </c>
      <c r="AZ169" s="29" t="str">
        <f t="shared" si="172"/>
        <v>#DIV/0!</v>
      </c>
      <c r="BA169" s="29" t="str">
        <f t="shared" si="172"/>
        <v>#DIV/0!</v>
      </c>
      <c r="BB169" s="29" t="str">
        <f t="shared" si="172"/>
        <v>#DIV/0!</v>
      </c>
      <c r="BC169" s="29" t="str">
        <f t="shared" si="172"/>
        <v>#DIV/0!</v>
      </c>
      <c r="BD169" s="29" t="str">
        <f t="shared" si="172"/>
        <v>#DIV/0!</v>
      </c>
      <c r="BE169" s="29" t="str">
        <f t="shared" si="172"/>
        <v>#DIV/0!</v>
      </c>
      <c r="BF169" s="29" t="str">
        <f t="shared" si="172"/>
        <v>#DIV/0!</v>
      </c>
      <c r="BG169" s="29" t="str">
        <f t="shared" si="172"/>
        <v>#DIV/0!</v>
      </c>
      <c r="BH169" s="29" t="str">
        <f t="shared" si="172"/>
        <v>#DIV/0!</v>
      </c>
      <c r="BI169" s="29" t="str">
        <f t="shared" si="172"/>
        <v>#DIV/0!</v>
      </c>
      <c r="BJ169" s="29" t="str">
        <f t="shared" si="172"/>
        <v>#DIV/0!</v>
      </c>
      <c r="BK169" s="29" t="str">
        <f t="shared" si="172"/>
        <v>#DIV/0!</v>
      </c>
      <c r="BL169" s="29" t="str">
        <f t="shared" si="172"/>
        <v>#DIV/0!</v>
      </c>
      <c r="BM169" s="29" t="str">
        <f t="shared" si="3"/>
        <v>#DIV/0!</v>
      </c>
    </row>
    <row r="170">
      <c r="A170" s="16" t="str">
        <f>IFERROR(__xludf.DUMMYFUNCTION("IFERROR(SPARKLINE(SORT(MAP(TRANSPOSE(AQ170:BL170), LAMBDA(val, IF(ISNUMBER(val), PERCENTRANK(AQ170:BL170, val)+0.01, 0))), SEQUENCE(COLUMNS(AQ170:BL170)), FALSE), {""charttype"",""column""; ""color"",""chartreuse""; ""ymin"", 0; ""ymax"", 1.01; ""highcolo"&amp;"r"", ""darkgreen""; ""lowcolor"", ""red""}), """")"),"")</f>
        <v/>
      </c>
      <c r="B170" s="17" t="str">
        <f t="shared" si="4"/>
        <v/>
      </c>
      <c r="C170" s="1" t="s">
        <v>722</v>
      </c>
      <c r="D170" s="30" t="str">
        <f>IFERROR(__xludf.DUMMYFUNCTION("IFERROR(GOOGLEFINANCE(C170, ""NAME""))"),"Super Hi International Holding American Depositary Shares")</f>
        <v>Super Hi International Holding American Depositary Shares</v>
      </c>
      <c r="E170" s="30" t="s">
        <v>126</v>
      </c>
      <c r="F170" s="33" t="str">
        <f>IFERROR(__xludf.DUMMYFUNCTION("( (GOOGLEFINANCE(C170, ""price"") - Q170) / Q170 ) / (R170 / 100)"),"Loading...")</f>
        <v>Loading...</v>
      </c>
      <c r="G170" s="20" t="str">
        <f>IFERROR(__xludf.DUMMYFUNCTION("AVERAGE(ARRAYFORMULA(100 * (QUERY(GOOGLEFINANCE(C170, ""high"", TODAY()-40, TODAY()), ""SELECT Col2 WHERE Col2 IS NOT NULL ORDER BY Col1 DESC LIMIT 20"", 0) / QUERY(GOOGLEFINANCE(C170, ""low"", TODAY()-40, TODAY()), ""SELECT Col2 WHERE Col2 IS NOT NULL OR"&amp;"DER BY Col1 DESC LIMIT 20"", 0) - 1)))"),"#N/A")</f>
        <v>#N/A</v>
      </c>
      <c r="H170" s="35" t="str">
        <f t="shared" si="6"/>
        <v/>
      </c>
      <c r="I170" s="35" t="str">
        <f t="shared" si="7"/>
        <v/>
      </c>
      <c r="J170" s="37" t="str">
        <f>IFERROR(__xludf.DUMMYFUNCTION("IFERROR(
  IF(C170="""",, 
    IFERROR(
      GOOGLEFINANCE(C170, ""price"") * GOOGLEFINANCE(C170, ""volumeavg""), 
      GOOGLEFINANCE(C170, ""price"") * AVERAGE(QUERY(GOOGLEFINANCE(C170, ""volume"", TODAY()-40, TODAY()), ""SELECT Col2 WHERE Col2 IS NOT "&amp;"NULL ORDER BY Col1 DESC LIMIT 20"", 0))
    )
  ), 
"""")"),"")</f>
        <v/>
      </c>
      <c r="K170" s="21" t="str">
        <f>IFERROR(__xludf.DUMMYFUNCTION("IFERROR(GOOGLEFINANCE(C170, ""changepct"") / 100, """")"),"")</f>
        <v/>
      </c>
      <c r="L170" s="21" t="str">
        <f>IFERROR(__xludf.DUMMYFUNCTION("IFERROR((GOOGLEFINANCE(C170, ""price"") / INDEX(GOOGLEFINANCE(C170, ""price"", TODAY()-7, TODAY()), 2, 2)) - 1, """")"),"")</f>
        <v/>
      </c>
      <c r="M170" s="21" t="str">
        <f>IFERROR(__xludf.DUMMYFUNCTION("IFERROR((GOOGLEFINANCE(C170, ""price"") / INDEX(GOOGLEFINANCE(C170, ""price"", EDATE(TODAY(), -1), TODAY()), 2, 2)) - 1, """")"),"")</f>
        <v/>
      </c>
      <c r="N170" s="21" t="str">
        <f>IFERROR(__xludf.DUMMYFUNCTION("IFERROR((GOOGLEFINANCE(C170, ""price"") / INDEX(GOOGLEFINANCE(C170, ""price"", EDATE(TODAY(), -3), TODAY()), 2, 2)) - 1, """")"),"")</f>
        <v/>
      </c>
      <c r="O170" s="21" t="str">
        <f>IFERROR(__xludf.DUMMYFUNCTION("IFERROR((GOOGLEFINANCE(C170, ""price"") / INDEX(GOOGLEFINANCE(C170, ""price"", EDATE(TODAY(), -6), TODAY()), 2, 2)) - 1, """")"),"")</f>
        <v/>
      </c>
      <c r="P170" s="21" t="str">
        <f>IFERROR(__xludf.DUMMYFUNCTION("IFERROR((GOOGLEFINANCE(C170, ""price"") / INDEX(GOOGLEFINANCE(C170, ""price"", EDATE(TODAY(), -12), TODAY()), 2, 2)) - 1, """")"),"")</f>
        <v/>
      </c>
      <c r="Q170" s="6" t="str">
        <f>IFERROR(__xludf.DUMMYFUNCTION("AVERAGE(QUERY(GOOGLEFINANCE(C170, ""price"", TODAY()-80, TODAY()), ""SELECT Col2 WHERE Col2 IS NOT NULL ORDER BY Col1 DESC LIMIT 50"", 0))"),"#N/A")</f>
        <v>#N/A</v>
      </c>
      <c r="R170" s="24" t="str">
        <f>IFERROR(__xludf.DUMMYFUNCTION("IFERROR(
  LET(
    data, QUERY(GOOGLEFINANCE(C170,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GOOGLEFINANCE(C170, ""price"")) * 100,
    IF(calc=0, G170, calc)
  ), 
G170)"),"#N/A")</f>
        <v>#N/A</v>
      </c>
      <c r="S170" s="8" t="s">
        <v>15</v>
      </c>
      <c r="T170" s="26" t="str">
        <f>IFERROR(__xludf.DUMMYFUNCTION("IFERROR(TRANSPOSE(QUERY(IFERROR(SORT(GOOGLEFINANCE(C170, ""price"", WORKDAY(TODAY(), -40), TODAY()), 1, FALSE)), ""select Col2 where Col2 is not null limit 22 label Col2 ''"", 0)), """")"),"")</f>
        <v/>
      </c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8"/>
      <c r="AO170" s="28"/>
      <c r="AP170" s="29"/>
      <c r="AQ170" s="29" t="str">
        <f t="shared" ref="AQ170:BL170" si="173">T170/T$2</f>
        <v>#N/A</v>
      </c>
      <c r="AR170" s="29" t="str">
        <f t="shared" si="173"/>
        <v>#DIV/0!</v>
      </c>
      <c r="AS170" s="29" t="str">
        <f t="shared" si="173"/>
        <v>#DIV/0!</v>
      </c>
      <c r="AT170" s="29" t="str">
        <f t="shared" si="173"/>
        <v>#DIV/0!</v>
      </c>
      <c r="AU170" s="29" t="str">
        <f t="shared" si="173"/>
        <v>#DIV/0!</v>
      </c>
      <c r="AV170" s="29" t="str">
        <f t="shared" si="173"/>
        <v>#DIV/0!</v>
      </c>
      <c r="AW170" s="29" t="str">
        <f t="shared" si="173"/>
        <v>#DIV/0!</v>
      </c>
      <c r="AX170" s="29" t="str">
        <f t="shared" si="173"/>
        <v>#DIV/0!</v>
      </c>
      <c r="AY170" s="29" t="str">
        <f t="shared" si="173"/>
        <v>#DIV/0!</v>
      </c>
      <c r="AZ170" s="29" t="str">
        <f t="shared" si="173"/>
        <v>#DIV/0!</v>
      </c>
      <c r="BA170" s="29" t="str">
        <f t="shared" si="173"/>
        <v>#DIV/0!</v>
      </c>
      <c r="BB170" s="29" t="str">
        <f t="shared" si="173"/>
        <v>#DIV/0!</v>
      </c>
      <c r="BC170" s="29" t="str">
        <f t="shared" si="173"/>
        <v>#DIV/0!</v>
      </c>
      <c r="BD170" s="29" t="str">
        <f t="shared" si="173"/>
        <v>#DIV/0!</v>
      </c>
      <c r="BE170" s="29" t="str">
        <f t="shared" si="173"/>
        <v>#DIV/0!</v>
      </c>
      <c r="BF170" s="29" t="str">
        <f t="shared" si="173"/>
        <v>#DIV/0!</v>
      </c>
      <c r="BG170" s="29" t="str">
        <f t="shared" si="173"/>
        <v>#DIV/0!</v>
      </c>
      <c r="BH170" s="29" t="str">
        <f t="shared" si="173"/>
        <v>#DIV/0!</v>
      </c>
      <c r="BI170" s="29" t="str">
        <f t="shared" si="173"/>
        <v>#DIV/0!</v>
      </c>
      <c r="BJ170" s="29" t="str">
        <f t="shared" si="173"/>
        <v>#DIV/0!</v>
      </c>
      <c r="BK170" s="29" t="str">
        <f t="shared" si="173"/>
        <v>#DIV/0!</v>
      </c>
      <c r="BL170" s="29" t="str">
        <f t="shared" si="173"/>
        <v>#DIV/0!</v>
      </c>
      <c r="BM170" s="29" t="str">
        <f t="shared" si="3"/>
        <v>#DIV/0!</v>
      </c>
    </row>
    <row r="171">
      <c r="A171" s="16" t="str">
        <f>IFERROR(__xludf.DUMMYFUNCTION("IFERROR(SPARKLINE(SORT(MAP(TRANSPOSE(AQ171:BL171), LAMBDA(val, IF(ISNUMBER(val), PERCENTRANK(AQ171:BL171, val)+0.01, 0))), SEQUENCE(COLUMNS(AQ171:BL171)), FALSE), {""charttype"",""column""; ""color"",""chartreuse""; ""ymin"", 0; ""ymax"", 1.01; ""highcolo"&amp;"r"", ""darkgreen""; ""lowcolor"", ""red""}), """")"),"")</f>
        <v/>
      </c>
      <c r="B171" s="17" t="str">
        <f t="shared" si="4"/>
        <v/>
      </c>
      <c r="C171" s="1" t="s">
        <v>726</v>
      </c>
      <c r="D171" s="30" t="str">
        <f>IFERROR(__xludf.DUMMYFUNCTION("IFERROR(GOOGLEFINANCE(C171, ""NAME""))"),"Shake Shack Inc")</f>
        <v>Shake Shack Inc</v>
      </c>
      <c r="E171" s="30" t="s">
        <v>126</v>
      </c>
      <c r="F171" s="33" t="str">
        <f>IFERROR(__xludf.DUMMYFUNCTION("( (GOOGLEFINANCE(C171, ""price"") - Q171) / Q171 ) / (R171 / 100)"),"Loading...")</f>
        <v>Loading...</v>
      </c>
      <c r="G171" s="20" t="str">
        <f>IFERROR(__xludf.DUMMYFUNCTION("AVERAGE(ARRAYFORMULA(100 * (QUERY(GOOGLEFINANCE(C171, ""high"", TODAY()-40, TODAY()), ""SELECT Col2 WHERE Col2 IS NOT NULL ORDER BY Col1 DESC LIMIT 20"", 0) / QUERY(GOOGLEFINANCE(C171, ""low"", TODAY()-40, TODAY()), ""SELECT Col2 WHERE Col2 IS NOT NULL OR"&amp;"DER BY Col1 DESC LIMIT 20"", 0) - 1)))"),"#N/A")</f>
        <v>#N/A</v>
      </c>
      <c r="H171" s="35" t="str">
        <f t="shared" si="6"/>
        <v/>
      </c>
      <c r="I171" s="35" t="str">
        <f t="shared" si="7"/>
        <v/>
      </c>
      <c r="J171" s="37" t="str">
        <f>IFERROR(__xludf.DUMMYFUNCTION("IFERROR(
  IF(C171="""",, 
    IFERROR(
      GOOGLEFINANCE(C171, ""price"") * GOOGLEFINANCE(C171, ""volumeavg""), 
      GOOGLEFINANCE(C171, ""price"") * AVERAGE(QUERY(GOOGLEFINANCE(C171, ""volume"", TODAY()-40, TODAY()), ""SELECT Col2 WHERE Col2 IS NOT "&amp;"NULL ORDER BY Col1 DESC LIMIT 20"", 0))
    )
  ), 
"""")"),"")</f>
        <v/>
      </c>
      <c r="K171" s="21" t="str">
        <f>IFERROR(__xludf.DUMMYFUNCTION("IFERROR(GOOGLEFINANCE(C171, ""changepct"") / 100, """")"),"")</f>
        <v/>
      </c>
      <c r="L171" s="21" t="str">
        <f>IFERROR(__xludf.DUMMYFUNCTION("IFERROR((GOOGLEFINANCE(C171, ""price"") / INDEX(GOOGLEFINANCE(C171, ""price"", TODAY()-7, TODAY()), 2, 2)) - 1, """")"),"")</f>
        <v/>
      </c>
      <c r="M171" s="21" t="str">
        <f>IFERROR(__xludf.DUMMYFUNCTION("IFERROR((GOOGLEFINANCE(C171, ""price"") / INDEX(GOOGLEFINANCE(C171, ""price"", EDATE(TODAY(), -1), TODAY()), 2, 2)) - 1, """")"),"")</f>
        <v/>
      </c>
      <c r="N171" s="21" t="str">
        <f>IFERROR(__xludf.DUMMYFUNCTION("IFERROR((GOOGLEFINANCE(C171, ""price"") / INDEX(GOOGLEFINANCE(C171, ""price"", EDATE(TODAY(), -3), TODAY()), 2, 2)) - 1, """")"),"")</f>
        <v/>
      </c>
      <c r="O171" s="21" t="str">
        <f>IFERROR(__xludf.DUMMYFUNCTION("IFERROR((GOOGLEFINANCE(C171, ""price"") / INDEX(GOOGLEFINANCE(C171, ""price"", EDATE(TODAY(), -6), TODAY()), 2, 2)) - 1, """")"),"")</f>
        <v/>
      </c>
      <c r="P171" s="21" t="str">
        <f>IFERROR(__xludf.DUMMYFUNCTION("IFERROR((GOOGLEFINANCE(C171, ""price"") / INDEX(GOOGLEFINANCE(C171, ""price"", EDATE(TODAY(), -12), TODAY()), 2, 2)) - 1, """")"),"")</f>
        <v/>
      </c>
      <c r="Q171" s="6" t="str">
        <f>IFERROR(__xludf.DUMMYFUNCTION("AVERAGE(QUERY(GOOGLEFINANCE(C171, ""price"", TODAY()-80, TODAY()), ""SELECT Col2 WHERE Col2 IS NOT NULL ORDER BY Col1 DESC LIMIT 50"", 0))"),"#N/A")</f>
        <v>#N/A</v>
      </c>
      <c r="R171" s="24" t="str">
        <f>IFERROR(__xludf.DUMMYFUNCTION("IFERROR(
  LET(
    data, QUERY(GOOGLEFINANCE(C171,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GOOGLEFINANCE(C171, ""price"")) * 100,
    IF(calc=0, G171, calc)
  ), 
G171)"),"#N/A")</f>
        <v>#N/A</v>
      </c>
      <c r="S171" s="8" t="s">
        <v>15</v>
      </c>
      <c r="T171" s="26" t="str">
        <f>IFERROR(__xludf.DUMMYFUNCTION("IFERROR(TRANSPOSE(QUERY(IFERROR(SORT(GOOGLEFINANCE(C171, ""price"", WORKDAY(TODAY(), -40), TODAY()), 1, FALSE)), ""select Col2 where Col2 is not null limit 22 label Col2 ''"", 0)), """")"),"")</f>
        <v/>
      </c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8"/>
      <c r="AO171" s="28"/>
      <c r="AP171" s="29"/>
      <c r="AQ171" s="29" t="str">
        <f t="shared" ref="AQ171:BL171" si="174">T171/T$2</f>
        <v>#N/A</v>
      </c>
      <c r="AR171" s="29" t="str">
        <f t="shared" si="174"/>
        <v>#DIV/0!</v>
      </c>
      <c r="AS171" s="29" t="str">
        <f t="shared" si="174"/>
        <v>#DIV/0!</v>
      </c>
      <c r="AT171" s="29" t="str">
        <f t="shared" si="174"/>
        <v>#DIV/0!</v>
      </c>
      <c r="AU171" s="29" t="str">
        <f t="shared" si="174"/>
        <v>#DIV/0!</v>
      </c>
      <c r="AV171" s="29" t="str">
        <f t="shared" si="174"/>
        <v>#DIV/0!</v>
      </c>
      <c r="AW171" s="29" t="str">
        <f t="shared" si="174"/>
        <v>#DIV/0!</v>
      </c>
      <c r="AX171" s="29" t="str">
        <f t="shared" si="174"/>
        <v>#DIV/0!</v>
      </c>
      <c r="AY171" s="29" t="str">
        <f t="shared" si="174"/>
        <v>#DIV/0!</v>
      </c>
      <c r="AZ171" s="29" t="str">
        <f t="shared" si="174"/>
        <v>#DIV/0!</v>
      </c>
      <c r="BA171" s="29" t="str">
        <f t="shared" si="174"/>
        <v>#DIV/0!</v>
      </c>
      <c r="BB171" s="29" t="str">
        <f t="shared" si="174"/>
        <v>#DIV/0!</v>
      </c>
      <c r="BC171" s="29" t="str">
        <f t="shared" si="174"/>
        <v>#DIV/0!</v>
      </c>
      <c r="BD171" s="29" t="str">
        <f t="shared" si="174"/>
        <v>#DIV/0!</v>
      </c>
      <c r="BE171" s="29" t="str">
        <f t="shared" si="174"/>
        <v>#DIV/0!</v>
      </c>
      <c r="BF171" s="29" t="str">
        <f t="shared" si="174"/>
        <v>#DIV/0!</v>
      </c>
      <c r="BG171" s="29" t="str">
        <f t="shared" si="174"/>
        <v>#DIV/0!</v>
      </c>
      <c r="BH171" s="29" t="str">
        <f t="shared" si="174"/>
        <v>#DIV/0!</v>
      </c>
      <c r="BI171" s="29" t="str">
        <f t="shared" si="174"/>
        <v>#DIV/0!</v>
      </c>
      <c r="BJ171" s="29" t="str">
        <f t="shared" si="174"/>
        <v>#DIV/0!</v>
      </c>
      <c r="BK171" s="29" t="str">
        <f t="shared" si="174"/>
        <v>#DIV/0!</v>
      </c>
      <c r="BL171" s="29" t="str">
        <f t="shared" si="174"/>
        <v>#DIV/0!</v>
      </c>
      <c r="BM171" s="29" t="str">
        <f t="shared" si="3"/>
        <v>#DIV/0!</v>
      </c>
    </row>
    <row r="172">
      <c r="A172" s="16" t="str">
        <f>IFERROR(__xludf.DUMMYFUNCTION("IFERROR(SPARKLINE(SORT(MAP(TRANSPOSE(AQ172:BL172), LAMBDA(val, IF(ISNUMBER(val), PERCENTRANK(AQ172:BL172, val)+0.01, 0))), SEQUENCE(COLUMNS(AQ172:BL172)), FALSE), {""charttype"",""column""; ""color"",""chartreuse""; ""ymin"", 0; ""ymax"", 1.01; ""highcolo"&amp;"r"", ""darkgreen""; ""lowcolor"", ""red""}), """")"),"")</f>
        <v/>
      </c>
      <c r="B172" s="17" t="str">
        <f t="shared" si="4"/>
        <v/>
      </c>
      <c r="C172" s="1" t="s">
        <v>729</v>
      </c>
      <c r="D172" s="30" t="str">
        <f>IFERROR(__xludf.DUMMYFUNCTION("IFERROR(GOOGLEFINANCE(C172, ""NAME""))"),"Venu Holding Corp")</f>
        <v>Venu Holding Corp</v>
      </c>
      <c r="E172" s="30" t="s">
        <v>126</v>
      </c>
      <c r="F172" s="33" t="str">
        <f>IFERROR(__xludf.DUMMYFUNCTION("( (GOOGLEFINANCE(C172, ""price"") - Q172) / Q172 ) / (R172 / 100)"),"Loading...")</f>
        <v>Loading...</v>
      </c>
      <c r="G172" s="20" t="str">
        <f>IFERROR(__xludf.DUMMYFUNCTION("AVERAGE(ARRAYFORMULA(100 * (QUERY(GOOGLEFINANCE(C172, ""high"", TODAY()-40, TODAY()), ""SELECT Col2 WHERE Col2 IS NOT NULL ORDER BY Col1 DESC LIMIT 20"", 0) / QUERY(GOOGLEFINANCE(C172, ""low"", TODAY()-40, TODAY()), ""SELECT Col2 WHERE Col2 IS NOT NULL OR"&amp;"DER BY Col1 DESC LIMIT 20"", 0) - 1)))"),"#N/A")</f>
        <v>#N/A</v>
      </c>
      <c r="H172" s="35" t="str">
        <f t="shared" si="6"/>
        <v/>
      </c>
      <c r="I172" s="35" t="str">
        <f t="shared" si="7"/>
        <v/>
      </c>
      <c r="J172" s="37" t="str">
        <f>IFERROR(__xludf.DUMMYFUNCTION("IFERROR(
  IF(C172="""",, 
    IFERROR(
      GOOGLEFINANCE(C172, ""price"") * GOOGLEFINANCE(C172, ""volumeavg""), 
      GOOGLEFINANCE(C172, ""price"") * AVERAGE(QUERY(GOOGLEFINANCE(C172, ""volume"", TODAY()-40, TODAY()), ""SELECT Col2 WHERE Col2 IS NOT "&amp;"NULL ORDER BY Col1 DESC LIMIT 20"", 0))
    )
  ), 
"""")"),"")</f>
        <v/>
      </c>
      <c r="K172" s="21" t="str">
        <f>IFERROR(__xludf.DUMMYFUNCTION("IFERROR(GOOGLEFINANCE(C172, ""changepct"") / 100, """")"),"")</f>
        <v/>
      </c>
      <c r="L172" s="21" t="str">
        <f>IFERROR(__xludf.DUMMYFUNCTION("IFERROR((GOOGLEFINANCE(C172, ""price"") / INDEX(GOOGLEFINANCE(C172, ""price"", TODAY()-7, TODAY()), 2, 2)) - 1, """")"),"")</f>
        <v/>
      </c>
      <c r="M172" s="21" t="str">
        <f>IFERROR(__xludf.DUMMYFUNCTION("IFERROR((GOOGLEFINANCE(C172, ""price"") / INDEX(GOOGLEFINANCE(C172, ""price"", EDATE(TODAY(), -1), TODAY()), 2, 2)) - 1, """")"),"")</f>
        <v/>
      </c>
      <c r="N172" s="21" t="str">
        <f>IFERROR(__xludf.DUMMYFUNCTION("IFERROR((GOOGLEFINANCE(C172, ""price"") / INDEX(GOOGLEFINANCE(C172, ""price"", EDATE(TODAY(), -3), TODAY()), 2, 2)) - 1, """")"),"")</f>
        <v/>
      </c>
      <c r="O172" s="21" t="str">
        <f>IFERROR(__xludf.DUMMYFUNCTION("IFERROR((GOOGLEFINANCE(C172, ""price"") / INDEX(GOOGLEFINANCE(C172, ""price"", EDATE(TODAY(), -6), TODAY()), 2, 2)) - 1, """")"),"")</f>
        <v/>
      </c>
      <c r="P172" s="21" t="str">
        <f>IFERROR(__xludf.DUMMYFUNCTION("IFERROR((GOOGLEFINANCE(C172, ""price"") / INDEX(GOOGLEFINANCE(C172, ""price"", EDATE(TODAY(), -12), TODAY()), 2, 2)) - 1, """")"),"")</f>
        <v/>
      </c>
      <c r="Q172" s="6" t="str">
        <f>IFERROR(__xludf.DUMMYFUNCTION("AVERAGE(QUERY(GOOGLEFINANCE(C172, ""price"", TODAY()-80, TODAY()), ""SELECT Col2 WHERE Col2 IS NOT NULL ORDER BY Col1 DESC LIMIT 50"", 0))"),"#N/A")</f>
        <v>#N/A</v>
      </c>
      <c r="R172" s="24" t="str">
        <f>IFERROR(__xludf.DUMMYFUNCTION("IFERROR(
  LET(
    data, QUERY(GOOGLEFINANCE(C172,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GOOGLEFINANCE(C172, ""price"")) * 100,
    IF(calc=0, G172, calc)
  ), 
G172)"),"#N/A")</f>
        <v>#N/A</v>
      </c>
      <c r="S172" s="8" t="s">
        <v>15</v>
      </c>
      <c r="T172" s="26" t="str">
        <f>IFERROR(__xludf.DUMMYFUNCTION("IFERROR(TRANSPOSE(QUERY(IFERROR(SORT(GOOGLEFINANCE(C172, ""price"", WORKDAY(TODAY(), -40), TODAY()), 1, FALSE)), ""select Col2 where Col2 is not null limit 22 label Col2 ''"", 0)), """")"),"")</f>
        <v/>
      </c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8"/>
      <c r="AO172" s="28"/>
      <c r="AP172" s="29"/>
      <c r="AQ172" s="29" t="str">
        <f t="shared" ref="AQ172:BL172" si="175">T172/T$2</f>
        <v>#N/A</v>
      </c>
      <c r="AR172" s="29" t="str">
        <f t="shared" si="175"/>
        <v>#DIV/0!</v>
      </c>
      <c r="AS172" s="29" t="str">
        <f t="shared" si="175"/>
        <v>#DIV/0!</v>
      </c>
      <c r="AT172" s="29" t="str">
        <f t="shared" si="175"/>
        <v>#DIV/0!</v>
      </c>
      <c r="AU172" s="29" t="str">
        <f t="shared" si="175"/>
        <v>#DIV/0!</v>
      </c>
      <c r="AV172" s="29" t="str">
        <f t="shared" si="175"/>
        <v>#DIV/0!</v>
      </c>
      <c r="AW172" s="29" t="str">
        <f t="shared" si="175"/>
        <v>#DIV/0!</v>
      </c>
      <c r="AX172" s="29" t="str">
        <f t="shared" si="175"/>
        <v>#DIV/0!</v>
      </c>
      <c r="AY172" s="29" t="str">
        <f t="shared" si="175"/>
        <v>#DIV/0!</v>
      </c>
      <c r="AZ172" s="29" t="str">
        <f t="shared" si="175"/>
        <v>#DIV/0!</v>
      </c>
      <c r="BA172" s="29" t="str">
        <f t="shared" si="175"/>
        <v>#DIV/0!</v>
      </c>
      <c r="BB172" s="29" t="str">
        <f t="shared" si="175"/>
        <v>#DIV/0!</v>
      </c>
      <c r="BC172" s="29" t="str">
        <f t="shared" si="175"/>
        <v>#DIV/0!</v>
      </c>
      <c r="BD172" s="29" t="str">
        <f t="shared" si="175"/>
        <v>#DIV/0!</v>
      </c>
      <c r="BE172" s="29" t="str">
        <f t="shared" si="175"/>
        <v>#DIV/0!</v>
      </c>
      <c r="BF172" s="29" t="str">
        <f t="shared" si="175"/>
        <v>#DIV/0!</v>
      </c>
      <c r="BG172" s="29" t="str">
        <f t="shared" si="175"/>
        <v>#DIV/0!</v>
      </c>
      <c r="BH172" s="29" t="str">
        <f t="shared" si="175"/>
        <v>#DIV/0!</v>
      </c>
      <c r="BI172" s="29" t="str">
        <f t="shared" si="175"/>
        <v>#DIV/0!</v>
      </c>
      <c r="BJ172" s="29" t="str">
        <f t="shared" si="175"/>
        <v>#DIV/0!</v>
      </c>
      <c r="BK172" s="29" t="str">
        <f t="shared" si="175"/>
        <v>#DIV/0!</v>
      </c>
      <c r="BL172" s="29" t="str">
        <f t="shared" si="175"/>
        <v>#DIV/0!</v>
      </c>
      <c r="BM172" s="29" t="str">
        <f t="shared" si="3"/>
        <v>#DIV/0!</v>
      </c>
    </row>
    <row r="173">
      <c r="A173" s="16" t="str">
        <f>IFERROR(__xludf.DUMMYFUNCTION("IFERROR(SPARKLINE(SORT(MAP(TRANSPOSE(AQ173:BL173), LAMBDA(val, IF(ISNUMBER(val), PERCENTRANK(AQ173:BL173, val)+0.01, 0))), SEQUENCE(COLUMNS(AQ173:BL173)), FALSE), {""charttype"",""column""; ""color"",""chartreuse""; ""ymin"", 0; ""ymax"", 1.01; ""highcolo"&amp;"r"", ""darkgreen""; ""lowcolor"", ""red""}), """")"),"")</f>
        <v/>
      </c>
      <c r="B173" s="17" t="str">
        <f t="shared" si="4"/>
        <v/>
      </c>
      <c r="C173" s="1" t="s">
        <v>731</v>
      </c>
      <c r="D173" s="30" t="str">
        <f>IFERROR(__xludf.DUMMYFUNCTION("IFERROR(GOOGLEFINANCE(C173, ""NAME""))"),"Chagee Holdings Ltd")</f>
        <v>Chagee Holdings Ltd</v>
      </c>
      <c r="E173" s="30" t="s">
        <v>126</v>
      </c>
      <c r="F173" s="33" t="str">
        <f>IFERROR(__xludf.DUMMYFUNCTION("( (GOOGLEFINANCE(C173, ""price"") - Q173) / Q173 ) / (R173 / 100)"),"Loading...")</f>
        <v>Loading...</v>
      </c>
      <c r="G173" s="20" t="str">
        <f>IFERROR(__xludf.DUMMYFUNCTION("AVERAGE(ARRAYFORMULA(100 * (QUERY(GOOGLEFINANCE(C173, ""high"", TODAY()-40, TODAY()), ""SELECT Col2 WHERE Col2 IS NOT NULL ORDER BY Col1 DESC LIMIT 20"", 0) / QUERY(GOOGLEFINANCE(C173, ""low"", TODAY()-40, TODAY()), ""SELECT Col2 WHERE Col2 IS NOT NULL OR"&amp;"DER BY Col1 DESC LIMIT 20"", 0) - 1)))"),"#N/A")</f>
        <v>#N/A</v>
      </c>
      <c r="H173" s="35" t="str">
        <f t="shared" si="6"/>
        <v/>
      </c>
      <c r="I173" s="35" t="str">
        <f t="shared" si="7"/>
        <v/>
      </c>
      <c r="J173" s="37" t="str">
        <f>IFERROR(__xludf.DUMMYFUNCTION("IFERROR(
  IF(C173="""",, 
    IFERROR(
      GOOGLEFINANCE(C173, ""price"") * GOOGLEFINANCE(C173, ""volumeavg""), 
      GOOGLEFINANCE(C173, ""price"") * AVERAGE(QUERY(GOOGLEFINANCE(C173, ""volume"", TODAY()-40, TODAY()), ""SELECT Col2 WHERE Col2 IS NOT "&amp;"NULL ORDER BY Col1 DESC LIMIT 20"", 0))
    )
  ), 
"""")"),"")</f>
        <v/>
      </c>
      <c r="K173" s="21" t="str">
        <f>IFERROR(__xludf.DUMMYFUNCTION("IFERROR(GOOGLEFINANCE(C173, ""changepct"") / 100, """")"),"")</f>
        <v/>
      </c>
      <c r="L173" s="21" t="str">
        <f>IFERROR(__xludf.DUMMYFUNCTION("IFERROR((GOOGLEFINANCE(C173, ""price"") / INDEX(GOOGLEFINANCE(C173, ""price"", TODAY()-7, TODAY()), 2, 2)) - 1, """")"),"")</f>
        <v/>
      </c>
      <c r="M173" s="21" t="str">
        <f>IFERROR(__xludf.DUMMYFUNCTION("IFERROR((GOOGLEFINANCE(C173, ""price"") / INDEX(GOOGLEFINANCE(C173, ""price"", EDATE(TODAY(), -1), TODAY()), 2, 2)) - 1, """")"),"")</f>
        <v/>
      </c>
      <c r="N173" s="21" t="str">
        <f>IFERROR(__xludf.DUMMYFUNCTION("IFERROR((GOOGLEFINANCE(C173, ""price"") / INDEX(GOOGLEFINANCE(C173, ""price"", EDATE(TODAY(), -3), TODAY()), 2, 2)) - 1, """")"),"")</f>
        <v/>
      </c>
      <c r="O173" s="21" t="str">
        <f>IFERROR(__xludf.DUMMYFUNCTION("IFERROR((GOOGLEFINANCE(C173, ""price"") / INDEX(GOOGLEFINANCE(C173, ""price"", EDATE(TODAY(), -6), TODAY()), 2, 2)) - 1, """")"),"")</f>
        <v/>
      </c>
      <c r="P173" s="21" t="str">
        <f>IFERROR(__xludf.DUMMYFUNCTION("IFERROR((GOOGLEFINANCE(C173, ""price"") / INDEX(GOOGLEFINANCE(C173, ""price"", EDATE(TODAY(), -12), TODAY()), 2, 2)) - 1, """")"),"")</f>
        <v/>
      </c>
      <c r="Q173" s="6" t="str">
        <f>IFERROR(__xludf.DUMMYFUNCTION("AVERAGE(QUERY(GOOGLEFINANCE(C173, ""price"", TODAY()-80, TODAY()), ""SELECT Col2 WHERE Col2 IS NOT NULL ORDER BY Col1 DESC LIMIT 50"", 0))"),"#N/A")</f>
        <v>#N/A</v>
      </c>
      <c r="R173" s="24" t="str">
        <f>IFERROR(__xludf.DUMMYFUNCTION("IFERROR(
  LET(
    data, QUERY(GOOGLEFINANCE(C173,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GOOGLEFINANCE(C173, ""price"")) * 100,
    IF(calc=0, G173, calc)
  ), 
G173)"),"#N/A")</f>
        <v>#N/A</v>
      </c>
      <c r="S173" s="8" t="s">
        <v>15</v>
      </c>
      <c r="T173" s="26" t="str">
        <f>IFERROR(__xludf.DUMMYFUNCTION("IFERROR(TRANSPOSE(QUERY(IFERROR(SORT(GOOGLEFINANCE(C173, ""price"", WORKDAY(TODAY(), -40), TODAY()), 1, FALSE)), ""select Col2 where Col2 is not null limit 22 label Col2 ''"", 0)), """")"),"")</f>
        <v/>
      </c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8"/>
      <c r="AO173" s="28"/>
      <c r="AP173" s="29"/>
      <c r="AQ173" s="29" t="str">
        <f t="shared" ref="AQ173:BL173" si="176">T173/T$2</f>
        <v>#N/A</v>
      </c>
      <c r="AR173" s="29" t="str">
        <f t="shared" si="176"/>
        <v>#DIV/0!</v>
      </c>
      <c r="AS173" s="29" t="str">
        <f t="shared" si="176"/>
        <v>#DIV/0!</v>
      </c>
      <c r="AT173" s="29" t="str">
        <f t="shared" si="176"/>
        <v>#DIV/0!</v>
      </c>
      <c r="AU173" s="29" t="str">
        <f t="shared" si="176"/>
        <v>#DIV/0!</v>
      </c>
      <c r="AV173" s="29" t="str">
        <f t="shared" si="176"/>
        <v>#DIV/0!</v>
      </c>
      <c r="AW173" s="29" t="str">
        <f t="shared" si="176"/>
        <v>#DIV/0!</v>
      </c>
      <c r="AX173" s="29" t="str">
        <f t="shared" si="176"/>
        <v>#DIV/0!</v>
      </c>
      <c r="AY173" s="29" t="str">
        <f t="shared" si="176"/>
        <v>#DIV/0!</v>
      </c>
      <c r="AZ173" s="29" t="str">
        <f t="shared" si="176"/>
        <v>#DIV/0!</v>
      </c>
      <c r="BA173" s="29" t="str">
        <f t="shared" si="176"/>
        <v>#DIV/0!</v>
      </c>
      <c r="BB173" s="29" t="str">
        <f t="shared" si="176"/>
        <v>#DIV/0!</v>
      </c>
      <c r="BC173" s="29" t="str">
        <f t="shared" si="176"/>
        <v>#DIV/0!</v>
      </c>
      <c r="BD173" s="29" t="str">
        <f t="shared" si="176"/>
        <v>#DIV/0!</v>
      </c>
      <c r="BE173" s="29" t="str">
        <f t="shared" si="176"/>
        <v>#DIV/0!</v>
      </c>
      <c r="BF173" s="29" t="str">
        <f t="shared" si="176"/>
        <v>#DIV/0!</v>
      </c>
      <c r="BG173" s="29" t="str">
        <f t="shared" si="176"/>
        <v>#DIV/0!</v>
      </c>
      <c r="BH173" s="29" t="str">
        <f t="shared" si="176"/>
        <v>#DIV/0!</v>
      </c>
      <c r="BI173" s="29" t="str">
        <f t="shared" si="176"/>
        <v>#DIV/0!</v>
      </c>
      <c r="BJ173" s="29" t="str">
        <f t="shared" si="176"/>
        <v>#DIV/0!</v>
      </c>
      <c r="BK173" s="29" t="str">
        <f t="shared" si="176"/>
        <v>#DIV/0!</v>
      </c>
      <c r="BL173" s="29" t="str">
        <f t="shared" si="176"/>
        <v>#DIV/0!</v>
      </c>
      <c r="BM173" s="29" t="str">
        <f t="shared" si="3"/>
        <v>#DIV/0!</v>
      </c>
    </row>
    <row r="174">
      <c r="A174" s="16" t="str">
        <f>IFERROR(__xludf.DUMMYFUNCTION("IFERROR(SPARKLINE(SORT(MAP(TRANSPOSE(AQ174:BL174), LAMBDA(val, IF(ISNUMBER(val), PERCENTRANK(AQ174:BL174, val)+0.01, 0))), SEQUENCE(COLUMNS(AQ174:BL174)), FALSE), {""charttype"",""column""; ""color"",""chartreuse""; ""ymin"", 0; ""ymax"", 1.01; ""highcolo"&amp;"r"", ""darkgreen""; ""lowcolor"", ""red""}), """")"),"")</f>
        <v/>
      </c>
      <c r="B174" s="17" t="str">
        <f t="shared" si="4"/>
        <v/>
      </c>
      <c r="C174" s="1" t="s">
        <v>737</v>
      </c>
      <c r="D174" s="30" t="str">
        <f>IFERROR(__xludf.DUMMYFUNCTION("IFERROR(GOOGLEFINANCE(C174, ""NAME""))"),"Karat Packaging Inc")</f>
        <v>Karat Packaging Inc</v>
      </c>
      <c r="E174" s="30" t="s">
        <v>195</v>
      </c>
      <c r="F174" s="33" t="str">
        <f>IFERROR(__xludf.DUMMYFUNCTION("( (GOOGLEFINANCE(C174, ""price"") - Q174) / Q174 ) / (R174 / 100)"),"Loading...")</f>
        <v>Loading...</v>
      </c>
      <c r="G174" s="20" t="str">
        <f>IFERROR(__xludf.DUMMYFUNCTION("AVERAGE(ARRAYFORMULA(100 * (QUERY(GOOGLEFINANCE(C174, ""high"", TODAY()-40, TODAY()), ""SELECT Col2 WHERE Col2 IS NOT NULL ORDER BY Col1 DESC LIMIT 20"", 0) / QUERY(GOOGLEFINANCE(C174, ""low"", TODAY()-40, TODAY()), ""SELECT Col2 WHERE Col2 IS NOT NULL OR"&amp;"DER BY Col1 DESC LIMIT 20"", 0) - 1)))"),"#N/A")</f>
        <v>#N/A</v>
      </c>
      <c r="H174" s="35" t="str">
        <f t="shared" si="6"/>
        <v/>
      </c>
      <c r="I174" s="35" t="str">
        <f t="shared" si="7"/>
        <v/>
      </c>
      <c r="J174" s="37" t="str">
        <f>IFERROR(__xludf.DUMMYFUNCTION("IFERROR(
  IF(C174="""",, 
    IFERROR(
      GOOGLEFINANCE(C174, ""price"") * GOOGLEFINANCE(C174, ""volumeavg""), 
      GOOGLEFINANCE(C174, ""price"") * AVERAGE(QUERY(GOOGLEFINANCE(C174, ""volume"", TODAY()-40, TODAY()), ""SELECT Col2 WHERE Col2 IS NOT "&amp;"NULL ORDER BY Col1 DESC LIMIT 20"", 0))
    )
  ), 
"""")"),"")</f>
        <v/>
      </c>
      <c r="K174" s="21" t="str">
        <f>IFERROR(__xludf.DUMMYFUNCTION("IFERROR(GOOGLEFINANCE(C174, ""changepct"") / 100, """")"),"")</f>
        <v/>
      </c>
      <c r="L174" s="21" t="str">
        <f>IFERROR(__xludf.DUMMYFUNCTION("IFERROR((GOOGLEFINANCE(C174, ""price"") / INDEX(GOOGLEFINANCE(C174, ""price"", TODAY()-7, TODAY()), 2, 2)) - 1, """")"),"")</f>
        <v/>
      </c>
      <c r="M174" s="21" t="str">
        <f>IFERROR(__xludf.DUMMYFUNCTION("IFERROR((GOOGLEFINANCE(C174, ""price"") / INDEX(GOOGLEFINANCE(C174, ""price"", EDATE(TODAY(), -1), TODAY()), 2, 2)) - 1, """")"),"")</f>
        <v/>
      </c>
      <c r="N174" s="21" t="str">
        <f>IFERROR(__xludf.DUMMYFUNCTION("IFERROR((GOOGLEFINANCE(C174, ""price"") / INDEX(GOOGLEFINANCE(C174, ""price"", EDATE(TODAY(), -3), TODAY()), 2, 2)) - 1, """")"),"")</f>
        <v/>
      </c>
      <c r="O174" s="21" t="str">
        <f>IFERROR(__xludf.DUMMYFUNCTION("IFERROR((GOOGLEFINANCE(C174, ""price"") / INDEX(GOOGLEFINANCE(C174, ""price"", EDATE(TODAY(), -6), TODAY()), 2, 2)) - 1, """")"),"")</f>
        <v/>
      </c>
      <c r="P174" s="21" t="str">
        <f>IFERROR(__xludf.DUMMYFUNCTION("IFERROR((GOOGLEFINANCE(C174, ""price"") / INDEX(GOOGLEFINANCE(C174, ""price"", EDATE(TODAY(), -12), TODAY()), 2, 2)) - 1, """")"),"")</f>
        <v/>
      </c>
      <c r="Q174" s="6" t="str">
        <f>IFERROR(__xludf.DUMMYFUNCTION("AVERAGE(QUERY(GOOGLEFINANCE(C174, ""price"", TODAY()-80, TODAY()), ""SELECT Col2 WHERE Col2 IS NOT NULL ORDER BY Col1 DESC LIMIT 50"", 0))"),"#N/A")</f>
        <v>#N/A</v>
      </c>
      <c r="R174" s="24" t="str">
        <f>IFERROR(__xludf.DUMMYFUNCTION("IFERROR(
  LET(
    data, QUERY(GOOGLEFINANCE(C174,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GOOGLEFINANCE(C174, ""price"")) * 100,
    IF(calc=0, G174, calc)
  ), 
G174)"),"#N/A")</f>
        <v>#N/A</v>
      </c>
      <c r="S174" s="8" t="s">
        <v>15</v>
      </c>
      <c r="T174" s="26" t="str">
        <f>IFERROR(__xludf.DUMMYFUNCTION("IFERROR(TRANSPOSE(QUERY(IFERROR(SORT(GOOGLEFINANCE(C174, ""price"", WORKDAY(TODAY(), -40), TODAY()), 1, FALSE)), ""select Col2 where Col2 is not null limit 22 label Col2 ''"", 0)), """")"),"")</f>
        <v/>
      </c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8"/>
      <c r="AO174" s="28"/>
      <c r="AP174" s="29"/>
      <c r="AQ174" s="29" t="str">
        <f t="shared" ref="AQ174:BL174" si="177">T174/T$2</f>
        <v>#N/A</v>
      </c>
      <c r="AR174" s="29" t="str">
        <f t="shared" si="177"/>
        <v>#DIV/0!</v>
      </c>
      <c r="AS174" s="29" t="str">
        <f t="shared" si="177"/>
        <v>#DIV/0!</v>
      </c>
      <c r="AT174" s="29" t="str">
        <f t="shared" si="177"/>
        <v>#DIV/0!</v>
      </c>
      <c r="AU174" s="29" t="str">
        <f t="shared" si="177"/>
        <v>#DIV/0!</v>
      </c>
      <c r="AV174" s="29" t="str">
        <f t="shared" si="177"/>
        <v>#DIV/0!</v>
      </c>
      <c r="AW174" s="29" t="str">
        <f t="shared" si="177"/>
        <v>#DIV/0!</v>
      </c>
      <c r="AX174" s="29" t="str">
        <f t="shared" si="177"/>
        <v>#DIV/0!</v>
      </c>
      <c r="AY174" s="29" t="str">
        <f t="shared" si="177"/>
        <v>#DIV/0!</v>
      </c>
      <c r="AZ174" s="29" t="str">
        <f t="shared" si="177"/>
        <v>#DIV/0!</v>
      </c>
      <c r="BA174" s="29" t="str">
        <f t="shared" si="177"/>
        <v>#DIV/0!</v>
      </c>
      <c r="BB174" s="29" t="str">
        <f t="shared" si="177"/>
        <v>#DIV/0!</v>
      </c>
      <c r="BC174" s="29" t="str">
        <f t="shared" si="177"/>
        <v>#DIV/0!</v>
      </c>
      <c r="BD174" s="29" t="str">
        <f t="shared" si="177"/>
        <v>#DIV/0!</v>
      </c>
      <c r="BE174" s="29" t="str">
        <f t="shared" si="177"/>
        <v>#DIV/0!</v>
      </c>
      <c r="BF174" s="29" t="str">
        <f t="shared" si="177"/>
        <v>#DIV/0!</v>
      </c>
      <c r="BG174" s="29" t="str">
        <f t="shared" si="177"/>
        <v>#DIV/0!</v>
      </c>
      <c r="BH174" s="29" t="str">
        <f t="shared" si="177"/>
        <v>#DIV/0!</v>
      </c>
      <c r="BI174" s="29" t="str">
        <f t="shared" si="177"/>
        <v>#DIV/0!</v>
      </c>
      <c r="BJ174" s="29" t="str">
        <f t="shared" si="177"/>
        <v>#DIV/0!</v>
      </c>
      <c r="BK174" s="29" t="str">
        <f t="shared" si="177"/>
        <v>#DIV/0!</v>
      </c>
      <c r="BL174" s="29" t="str">
        <f t="shared" si="177"/>
        <v>#DIV/0!</v>
      </c>
      <c r="BM174" s="29" t="str">
        <f t="shared" si="3"/>
        <v>#DIV/0!</v>
      </c>
    </row>
    <row r="175">
      <c r="A175" s="16" t="str">
        <f>IFERROR(__xludf.DUMMYFUNCTION("IFERROR(SPARKLINE(SORT(MAP(TRANSPOSE(AQ175:BL175), LAMBDA(val, IF(ISNUMBER(val), PERCENTRANK(AQ175:BL175, val)+0.01, 0))), SEQUENCE(COLUMNS(AQ175:BL175)), FALSE), {""charttype"",""column""; ""color"",""chartreuse""; ""ymin"", 0; ""ymax"", 1.01; ""highcolo"&amp;"r"", ""darkgreen""; ""lowcolor"", ""red""}), """")"),"")</f>
        <v/>
      </c>
      <c r="B175" s="17" t="str">
        <f t="shared" si="4"/>
        <v/>
      </c>
      <c r="C175" s="1" t="s">
        <v>741</v>
      </c>
      <c r="D175" s="30" t="str">
        <f>IFERROR(__xludf.DUMMYFUNCTION("IFERROR(GOOGLEFINANCE(C175, ""NAME""))"),"O'Reilly Automotive Inc")</f>
        <v>O'Reilly Automotive Inc</v>
      </c>
      <c r="E175" s="30" t="s">
        <v>109</v>
      </c>
      <c r="F175" s="33" t="str">
        <f>IFERROR(__xludf.DUMMYFUNCTION("( (GOOGLEFINANCE(C175, ""price"") - Q175) / Q175 ) / (R175 / 100)"),"Loading...")</f>
        <v>Loading...</v>
      </c>
      <c r="G175" s="20" t="str">
        <f>IFERROR(__xludf.DUMMYFUNCTION("AVERAGE(ARRAYFORMULA(100 * (QUERY(GOOGLEFINANCE(C175, ""high"", TODAY()-40, TODAY()), ""SELECT Col2 WHERE Col2 IS NOT NULL ORDER BY Col1 DESC LIMIT 20"", 0) / QUERY(GOOGLEFINANCE(C175, ""low"", TODAY()-40, TODAY()), ""SELECT Col2 WHERE Col2 IS NOT NULL OR"&amp;"DER BY Col1 DESC LIMIT 20"", 0) - 1)))"),"#N/A")</f>
        <v>#N/A</v>
      </c>
      <c r="H175" s="35" t="str">
        <f t="shared" si="6"/>
        <v/>
      </c>
      <c r="I175" s="35" t="str">
        <f t="shared" si="7"/>
        <v/>
      </c>
      <c r="J175" s="37" t="str">
        <f>IFERROR(__xludf.DUMMYFUNCTION("IFERROR(
  IF(C175="""",, 
    IFERROR(
      GOOGLEFINANCE(C175, ""price"") * GOOGLEFINANCE(C175, ""volumeavg""), 
      GOOGLEFINANCE(C175, ""price"") * AVERAGE(QUERY(GOOGLEFINANCE(C175, ""volume"", TODAY()-40, TODAY()), ""SELECT Col2 WHERE Col2 IS NOT "&amp;"NULL ORDER BY Col1 DESC LIMIT 20"", 0))
    )
  ), 
"""")"),"")</f>
        <v/>
      </c>
      <c r="K175" s="21" t="str">
        <f>IFERROR(__xludf.DUMMYFUNCTION("IFERROR(GOOGLEFINANCE(C175, ""changepct"") / 100, """")"),"")</f>
        <v/>
      </c>
      <c r="L175" s="21" t="str">
        <f>IFERROR(__xludf.DUMMYFUNCTION("IFERROR((GOOGLEFINANCE(C175, ""price"") / INDEX(GOOGLEFINANCE(C175, ""price"", TODAY()-7, TODAY()), 2, 2)) - 1, """")"),"")</f>
        <v/>
      </c>
      <c r="M175" s="21" t="str">
        <f>IFERROR(__xludf.DUMMYFUNCTION("IFERROR((GOOGLEFINANCE(C175, ""price"") / INDEX(GOOGLEFINANCE(C175, ""price"", EDATE(TODAY(), -1), TODAY()), 2, 2)) - 1, """")"),"")</f>
        <v/>
      </c>
      <c r="N175" s="21" t="str">
        <f>IFERROR(__xludf.DUMMYFUNCTION("IFERROR((GOOGLEFINANCE(C175, ""price"") / INDEX(GOOGLEFINANCE(C175, ""price"", EDATE(TODAY(), -3), TODAY()), 2, 2)) - 1, """")"),"")</f>
        <v/>
      </c>
      <c r="O175" s="21" t="str">
        <f>IFERROR(__xludf.DUMMYFUNCTION("IFERROR((GOOGLEFINANCE(C175, ""price"") / INDEX(GOOGLEFINANCE(C175, ""price"", EDATE(TODAY(), -6), TODAY()), 2, 2)) - 1, """")"),"")</f>
        <v/>
      </c>
      <c r="P175" s="21" t="str">
        <f>IFERROR(__xludf.DUMMYFUNCTION("IFERROR((GOOGLEFINANCE(C175, ""price"") / INDEX(GOOGLEFINANCE(C175, ""price"", EDATE(TODAY(), -12), TODAY()), 2, 2)) - 1, """")"),"")</f>
        <v/>
      </c>
      <c r="Q175" s="6" t="str">
        <f>IFERROR(__xludf.DUMMYFUNCTION("AVERAGE(QUERY(GOOGLEFINANCE(C175, ""price"", TODAY()-80, TODAY()), ""SELECT Col2 WHERE Col2 IS NOT NULL ORDER BY Col1 DESC LIMIT 50"", 0))"),"#N/A")</f>
        <v>#N/A</v>
      </c>
      <c r="R175" s="24" t="str">
        <f>IFERROR(__xludf.DUMMYFUNCTION("IFERROR(
  LET(
    data, QUERY(GOOGLEFINANCE(C175,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GOOGLEFINANCE(C175, ""price"")) * 100,
    IF(calc=0, G175, calc)
  ), 
G175)"),"#N/A")</f>
        <v>#N/A</v>
      </c>
      <c r="S175" s="8" t="s">
        <v>15</v>
      </c>
      <c r="T175" s="26" t="str">
        <f>IFERROR(__xludf.DUMMYFUNCTION("IFERROR(TRANSPOSE(QUERY(IFERROR(SORT(GOOGLEFINANCE(C175, ""price"", WORKDAY(TODAY(), -40), TODAY()), 1, FALSE)), ""select Col2 where Col2 is not null limit 22 label Col2 ''"", 0)), """")"),"")</f>
        <v/>
      </c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8"/>
      <c r="AO175" s="28"/>
      <c r="AP175" s="29"/>
      <c r="AQ175" s="29" t="str">
        <f t="shared" ref="AQ175:BL175" si="178">T175/T$2</f>
        <v>#N/A</v>
      </c>
      <c r="AR175" s="29" t="str">
        <f t="shared" si="178"/>
        <v>#DIV/0!</v>
      </c>
      <c r="AS175" s="29" t="str">
        <f t="shared" si="178"/>
        <v>#DIV/0!</v>
      </c>
      <c r="AT175" s="29" t="str">
        <f t="shared" si="178"/>
        <v>#DIV/0!</v>
      </c>
      <c r="AU175" s="29" t="str">
        <f t="shared" si="178"/>
        <v>#DIV/0!</v>
      </c>
      <c r="AV175" s="29" t="str">
        <f t="shared" si="178"/>
        <v>#DIV/0!</v>
      </c>
      <c r="AW175" s="29" t="str">
        <f t="shared" si="178"/>
        <v>#DIV/0!</v>
      </c>
      <c r="AX175" s="29" t="str">
        <f t="shared" si="178"/>
        <v>#DIV/0!</v>
      </c>
      <c r="AY175" s="29" t="str">
        <f t="shared" si="178"/>
        <v>#DIV/0!</v>
      </c>
      <c r="AZ175" s="29" t="str">
        <f t="shared" si="178"/>
        <v>#DIV/0!</v>
      </c>
      <c r="BA175" s="29" t="str">
        <f t="shared" si="178"/>
        <v>#DIV/0!</v>
      </c>
      <c r="BB175" s="29" t="str">
        <f t="shared" si="178"/>
        <v>#DIV/0!</v>
      </c>
      <c r="BC175" s="29" t="str">
        <f t="shared" si="178"/>
        <v>#DIV/0!</v>
      </c>
      <c r="BD175" s="29" t="str">
        <f t="shared" si="178"/>
        <v>#DIV/0!</v>
      </c>
      <c r="BE175" s="29" t="str">
        <f t="shared" si="178"/>
        <v>#DIV/0!</v>
      </c>
      <c r="BF175" s="29" t="str">
        <f t="shared" si="178"/>
        <v>#DIV/0!</v>
      </c>
      <c r="BG175" s="29" t="str">
        <f t="shared" si="178"/>
        <v>#DIV/0!</v>
      </c>
      <c r="BH175" s="29" t="str">
        <f t="shared" si="178"/>
        <v>#DIV/0!</v>
      </c>
      <c r="BI175" s="29" t="str">
        <f t="shared" si="178"/>
        <v>#DIV/0!</v>
      </c>
      <c r="BJ175" s="29" t="str">
        <f t="shared" si="178"/>
        <v>#DIV/0!</v>
      </c>
      <c r="BK175" s="29" t="str">
        <f t="shared" si="178"/>
        <v>#DIV/0!</v>
      </c>
      <c r="BL175" s="29" t="str">
        <f t="shared" si="178"/>
        <v>#DIV/0!</v>
      </c>
      <c r="BM175" s="29" t="str">
        <f t="shared" si="3"/>
        <v>#DIV/0!</v>
      </c>
    </row>
    <row r="176">
      <c r="A176" s="16" t="str">
        <f>IFERROR(__xludf.DUMMYFUNCTION("IFERROR(SPARKLINE(SORT(MAP(TRANSPOSE(AQ176:BL176), LAMBDA(val, IF(ISNUMBER(val), PERCENTRANK(AQ176:BL176, val)+0.01, 0))), SEQUENCE(COLUMNS(AQ176:BL176)), FALSE), {""charttype"",""column""; ""color"",""chartreuse""; ""ymin"", 0; ""ymax"", 1.01; ""highcolo"&amp;"r"", ""darkgreen""; ""lowcolor"", ""red""}), """")"),"")</f>
        <v/>
      </c>
      <c r="B176" s="17" t="str">
        <f t="shared" si="4"/>
        <v/>
      </c>
      <c r="C176" s="1" t="s">
        <v>745</v>
      </c>
      <c r="D176" s="30" t="str">
        <f>IFERROR(__xludf.DUMMYFUNCTION("IFERROR(GOOGLEFINANCE(C176, ""NAME""))"),"Strattec Security Corp")</f>
        <v>Strattec Security Corp</v>
      </c>
      <c r="E176" s="30" t="s">
        <v>109</v>
      </c>
      <c r="F176" s="33" t="str">
        <f>IFERROR(__xludf.DUMMYFUNCTION("( (GOOGLEFINANCE(C176, ""price"") - Q176) / Q176 ) / (R176 / 100)"),"Loading...")</f>
        <v>Loading...</v>
      </c>
      <c r="G176" s="20" t="str">
        <f>IFERROR(__xludf.DUMMYFUNCTION("AVERAGE(ARRAYFORMULA(100 * (QUERY(GOOGLEFINANCE(C176, ""high"", TODAY()-40, TODAY()), ""SELECT Col2 WHERE Col2 IS NOT NULL ORDER BY Col1 DESC LIMIT 20"", 0) / QUERY(GOOGLEFINANCE(C176, ""low"", TODAY()-40, TODAY()), ""SELECT Col2 WHERE Col2 IS NOT NULL OR"&amp;"DER BY Col1 DESC LIMIT 20"", 0) - 1)))"),"#N/A")</f>
        <v>#N/A</v>
      </c>
      <c r="H176" s="35" t="str">
        <f t="shared" si="6"/>
        <v/>
      </c>
      <c r="I176" s="35" t="str">
        <f t="shared" si="7"/>
        <v/>
      </c>
      <c r="J176" s="37" t="str">
        <f>IFERROR(__xludf.DUMMYFUNCTION("IFERROR(
  IF(C176="""",, 
    IFERROR(
      GOOGLEFINANCE(C176, ""price"") * GOOGLEFINANCE(C176, ""volumeavg""), 
      GOOGLEFINANCE(C176, ""price"") * AVERAGE(QUERY(GOOGLEFINANCE(C176, ""volume"", TODAY()-40, TODAY()), ""SELECT Col2 WHERE Col2 IS NOT "&amp;"NULL ORDER BY Col1 DESC LIMIT 20"", 0))
    )
  ), 
"""")"),"")</f>
        <v/>
      </c>
      <c r="K176" s="21" t="str">
        <f>IFERROR(__xludf.DUMMYFUNCTION("IFERROR(GOOGLEFINANCE(C176, ""changepct"") / 100, """")"),"")</f>
        <v/>
      </c>
      <c r="L176" s="21" t="str">
        <f>IFERROR(__xludf.DUMMYFUNCTION("IFERROR((GOOGLEFINANCE(C176, ""price"") / INDEX(GOOGLEFINANCE(C176, ""price"", TODAY()-7, TODAY()), 2, 2)) - 1, """")"),"")</f>
        <v/>
      </c>
      <c r="M176" s="21" t="str">
        <f>IFERROR(__xludf.DUMMYFUNCTION("IFERROR((GOOGLEFINANCE(C176, ""price"") / INDEX(GOOGLEFINANCE(C176, ""price"", EDATE(TODAY(), -1), TODAY()), 2, 2)) - 1, """")"),"")</f>
        <v/>
      </c>
      <c r="N176" s="21" t="str">
        <f>IFERROR(__xludf.DUMMYFUNCTION("IFERROR((GOOGLEFINANCE(C176, ""price"") / INDEX(GOOGLEFINANCE(C176, ""price"", EDATE(TODAY(), -3), TODAY()), 2, 2)) - 1, """")"),"")</f>
        <v/>
      </c>
      <c r="O176" s="21" t="str">
        <f>IFERROR(__xludf.DUMMYFUNCTION("IFERROR((GOOGLEFINANCE(C176, ""price"") / INDEX(GOOGLEFINANCE(C176, ""price"", EDATE(TODAY(), -6), TODAY()), 2, 2)) - 1, """")"),"")</f>
        <v/>
      </c>
      <c r="P176" s="21" t="str">
        <f>IFERROR(__xludf.DUMMYFUNCTION("IFERROR((GOOGLEFINANCE(C176, ""price"") / INDEX(GOOGLEFINANCE(C176, ""price"", EDATE(TODAY(), -12), TODAY()), 2, 2)) - 1, """")"),"")</f>
        <v/>
      </c>
      <c r="Q176" s="6" t="str">
        <f>IFERROR(__xludf.DUMMYFUNCTION("AVERAGE(QUERY(GOOGLEFINANCE(C176, ""price"", TODAY()-80, TODAY()), ""SELECT Col2 WHERE Col2 IS NOT NULL ORDER BY Col1 DESC LIMIT 50"", 0))"),"#N/A")</f>
        <v>#N/A</v>
      </c>
      <c r="R176" s="24" t="str">
        <f>IFERROR(__xludf.DUMMYFUNCTION("IFERROR(
  LET(
    data, QUERY(GOOGLEFINANCE(C176,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GOOGLEFINANCE(C176, ""price"")) * 100,
    IF(calc=0, G176, calc)
  ), 
G176)"),"#N/A")</f>
        <v>#N/A</v>
      </c>
      <c r="S176" s="8" t="s">
        <v>15</v>
      </c>
      <c r="T176" s="26" t="str">
        <f>IFERROR(__xludf.DUMMYFUNCTION("IFERROR(TRANSPOSE(QUERY(IFERROR(SORT(GOOGLEFINANCE(C176, ""price"", WORKDAY(TODAY(), -40), TODAY()), 1, FALSE)), ""select Col2 where Col2 is not null limit 22 label Col2 ''"", 0)), """")"),"")</f>
        <v/>
      </c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8"/>
      <c r="AO176" s="28"/>
      <c r="AP176" s="29"/>
      <c r="AQ176" s="29" t="str">
        <f t="shared" ref="AQ176:BL176" si="179">T176/T$2</f>
        <v>#N/A</v>
      </c>
      <c r="AR176" s="29" t="str">
        <f t="shared" si="179"/>
        <v>#DIV/0!</v>
      </c>
      <c r="AS176" s="29" t="str">
        <f t="shared" si="179"/>
        <v>#DIV/0!</v>
      </c>
      <c r="AT176" s="29" t="str">
        <f t="shared" si="179"/>
        <v>#DIV/0!</v>
      </c>
      <c r="AU176" s="29" t="str">
        <f t="shared" si="179"/>
        <v>#DIV/0!</v>
      </c>
      <c r="AV176" s="29" t="str">
        <f t="shared" si="179"/>
        <v>#DIV/0!</v>
      </c>
      <c r="AW176" s="29" t="str">
        <f t="shared" si="179"/>
        <v>#DIV/0!</v>
      </c>
      <c r="AX176" s="29" t="str">
        <f t="shared" si="179"/>
        <v>#DIV/0!</v>
      </c>
      <c r="AY176" s="29" t="str">
        <f t="shared" si="179"/>
        <v>#DIV/0!</v>
      </c>
      <c r="AZ176" s="29" t="str">
        <f t="shared" si="179"/>
        <v>#DIV/0!</v>
      </c>
      <c r="BA176" s="29" t="str">
        <f t="shared" si="179"/>
        <v>#DIV/0!</v>
      </c>
      <c r="BB176" s="29" t="str">
        <f t="shared" si="179"/>
        <v>#DIV/0!</v>
      </c>
      <c r="BC176" s="29" t="str">
        <f t="shared" si="179"/>
        <v>#DIV/0!</v>
      </c>
      <c r="BD176" s="29" t="str">
        <f t="shared" si="179"/>
        <v>#DIV/0!</v>
      </c>
      <c r="BE176" s="29" t="str">
        <f t="shared" si="179"/>
        <v>#DIV/0!</v>
      </c>
      <c r="BF176" s="29" t="str">
        <f t="shared" si="179"/>
        <v>#DIV/0!</v>
      </c>
      <c r="BG176" s="29" t="str">
        <f t="shared" si="179"/>
        <v>#DIV/0!</v>
      </c>
      <c r="BH176" s="29" t="str">
        <f t="shared" si="179"/>
        <v>#DIV/0!</v>
      </c>
      <c r="BI176" s="29" t="str">
        <f t="shared" si="179"/>
        <v>#DIV/0!</v>
      </c>
      <c r="BJ176" s="29" t="str">
        <f t="shared" si="179"/>
        <v>#DIV/0!</v>
      </c>
      <c r="BK176" s="29" t="str">
        <f t="shared" si="179"/>
        <v>#DIV/0!</v>
      </c>
      <c r="BL176" s="29" t="str">
        <f t="shared" si="179"/>
        <v>#DIV/0!</v>
      </c>
      <c r="BM176" s="29" t="str">
        <f t="shared" si="3"/>
        <v>#DIV/0!</v>
      </c>
    </row>
    <row r="177">
      <c r="A177" s="16" t="str">
        <f>IFERROR(__xludf.DUMMYFUNCTION("IFERROR(SPARKLINE(SORT(MAP(TRANSPOSE(AQ177:BL177), LAMBDA(val, IF(ISNUMBER(val), PERCENTRANK(AQ177:BL177, val)+0.01, 0))), SEQUENCE(COLUMNS(AQ177:BL177)), FALSE), {""charttype"",""column""; ""color"",""chartreuse""; ""ymin"", 0; ""ymax"", 1.01; ""highcolo"&amp;"r"", ""darkgreen""; ""lowcolor"", ""red""}), """")"),"")</f>
        <v/>
      </c>
      <c r="B177" s="17" t="str">
        <f t="shared" si="4"/>
        <v/>
      </c>
      <c r="C177" s="1" t="s">
        <v>749</v>
      </c>
      <c r="D177" s="30" t="str">
        <f>IFERROR(__xludf.DUMMYFUNCTION("IFERROR(GOOGLEFINANCE(C177, ""NAME""))"),"Advance Auto Parts Inc")</f>
        <v>Advance Auto Parts Inc</v>
      </c>
      <c r="E177" s="30" t="s">
        <v>109</v>
      </c>
      <c r="F177" s="33" t="str">
        <f>IFERROR(__xludf.DUMMYFUNCTION("( (GOOGLEFINANCE(C177, ""price"") - Q177) / Q177 ) / (R177 / 100)"),"Loading...")</f>
        <v>Loading...</v>
      </c>
      <c r="G177" s="20" t="str">
        <f>IFERROR(__xludf.DUMMYFUNCTION("AVERAGE(ARRAYFORMULA(100 * (QUERY(GOOGLEFINANCE(C177, ""high"", TODAY()-40, TODAY()), ""SELECT Col2 WHERE Col2 IS NOT NULL ORDER BY Col1 DESC LIMIT 20"", 0) / QUERY(GOOGLEFINANCE(C177, ""low"", TODAY()-40, TODAY()), ""SELECT Col2 WHERE Col2 IS NOT NULL OR"&amp;"DER BY Col1 DESC LIMIT 20"", 0) - 1)))"),"#N/A")</f>
        <v>#N/A</v>
      </c>
      <c r="H177" s="35" t="str">
        <f t="shared" si="6"/>
        <v/>
      </c>
      <c r="I177" s="35" t="str">
        <f t="shared" si="7"/>
        <v/>
      </c>
      <c r="J177" s="37" t="str">
        <f>IFERROR(__xludf.DUMMYFUNCTION("IFERROR(
  IF(C177="""",, 
    IFERROR(
      GOOGLEFINANCE(C177, ""price"") * GOOGLEFINANCE(C177, ""volumeavg""), 
      GOOGLEFINANCE(C177, ""price"") * AVERAGE(QUERY(GOOGLEFINANCE(C177, ""volume"", TODAY()-40, TODAY()), ""SELECT Col2 WHERE Col2 IS NOT "&amp;"NULL ORDER BY Col1 DESC LIMIT 20"", 0))
    )
  ), 
"""")"),"")</f>
        <v/>
      </c>
      <c r="K177" s="21" t="str">
        <f>IFERROR(__xludf.DUMMYFUNCTION("IFERROR(GOOGLEFINANCE(C177, ""changepct"") / 100, """")"),"")</f>
        <v/>
      </c>
      <c r="L177" s="21" t="str">
        <f>IFERROR(__xludf.DUMMYFUNCTION("IFERROR((GOOGLEFINANCE(C177, ""price"") / INDEX(GOOGLEFINANCE(C177, ""price"", TODAY()-7, TODAY()), 2, 2)) - 1, """")"),"")</f>
        <v/>
      </c>
      <c r="M177" s="21" t="str">
        <f>IFERROR(__xludf.DUMMYFUNCTION("IFERROR((GOOGLEFINANCE(C177, ""price"") / INDEX(GOOGLEFINANCE(C177, ""price"", EDATE(TODAY(), -1), TODAY()), 2, 2)) - 1, """")"),"")</f>
        <v/>
      </c>
      <c r="N177" s="21" t="str">
        <f>IFERROR(__xludf.DUMMYFUNCTION("IFERROR((GOOGLEFINANCE(C177, ""price"") / INDEX(GOOGLEFINANCE(C177, ""price"", EDATE(TODAY(), -3), TODAY()), 2, 2)) - 1, """")"),"")</f>
        <v/>
      </c>
      <c r="O177" s="21" t="str">
        <f>IFERROR(__xludf.DUMMYFUNCTION("IFERROR((GOOGLEFINANCE(C177, ""price"") / INDEX(GOOGLEFINANCE(C177, ""price"", EDATE(TODAY(), -6), TODAY()), 2, 2)) - 1, """")"),"")</f>
        <v/>
      </c>
      <c r="P177" s="21" t="str">
        <f>IFERROR(__xludf.DUMMYFUNCTION("IFERROR((GOOGLEFINANCE(C177, ""price"") / INDEX(GOOGLEFINANCE(C177, ""price"", EDATE(TODAY(), -12), TODAY()), 2, 2)) - 1, """")"),"")</f>
        <v/>
      </c>
      <c r="Q177" s="6" t="str">
        <f>IFERROR(__xludf.DUMMYFUNCTION("AVERAGE(QUERY(GOOGLEFINANCE(C177, ""price"", TODAY()-80, TODAY()), ""SELECT Col2 WHERE Col2 IS NOT NULL ORDER BY Col1 DESC LIMIT 50"", 0))"),"#N/A")</f>
        <v>#N/A</v>
      </c>
      <c r="R177" s="24" t="str">
        <f>IFERROR(__xludf.DUMMYFUNCTION("IFERROR(
  LET(
    data, QUERY(GOOGLEFINANCE(C177,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GOOGLEFINANCE(C177, ""price"")) * 100,
    IF(calc=0, G177, calc)
  ), 
G177)"),"#N/A")</f>
        <v>#N/A</v>
      </c>
      <c r="S177" s="8" t="s">
        <v>15</v>
      </c>
      <c r="T177" s="26" t="str">
        <f>IFERROR(__xludf.DUMMYFUNCTION("IFERROR(TRANSPOSE(QUERY(IFERROR(SORT(GOOGLEFINANCE(C177, ""price"", WORKDAY(TODAY(), -40), TODAY()), 1, FALSE)), ""select Col2 where Col2 is not null limit 22 label Col2 ''"", 0)), """")"),"")</f>
        <v/>
      </c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8"/>
      <c r="AO177" s="28"/>
      <c r="AP177" s="29"/>
      <c r="AQ177" s="29" t="str">
        <f t="shared" ref="AQ177:BL177" si="180">T177/T$2</f>
        <v>#N/A</v>
      </c>
      <c r="AR177" s="29" t="str">
        <f t="shared" si="180"/>
        <v>#DIV/0!</v>
      </c>
      <c r="AS177" s="29" t="str">
        <f t="shared" si="180"/>
        <v>#DIV/0!</v>
      </c>
      <c r="AT177" s="29" t="str">
        <f t="shared" si="180"/>
        <v>#DIV/0!</v>
      </c>
      <c r="AU177" s="29" t="str">
        <f t="shared" si="180"/>
        <v>#DIV/0!</v>
      </c>
      <c r="AV177" s="29" t="str">
        <f t="shared" si="180"/>
        <v>#DIV/0!</v>
      </c>
      <c r="AW177" s="29" t="str">
        <f t="shared" si="180"/>
        <v>#DIV/0!</v>
      </c>
      <c r="AX177" s="29" t="str">
        <f t="shared" si="180"/>
        <v>#DIV/0!</v>
      </c>
      <c r="AY177" s="29" t="str">
        <f t="shared" si="180"/>
        <v>#DIV/0!</v>
      </c>
      <c r="AZ177" s="29" t="str">
        <f t="shared" si="180"/>
        <v>#DIV/0!</v>
      </c>
      <c r="BA177" s="29" t="str">
        <f t="shared" si="180"/>
        <v>#DIV/0!</v>
      </c>
      <c r="BB177" s="29" t="str">
        <f t="shared" si="180"/>
        <v>#DIV/0!</v>
      </c>
      <c r="BC177" s="29" t="str">
        <f t="shared" si="180"/>
        <v>#DIV/0!</v>
      </c>
      <c r="BD177" s="29" t="str">
        <f t="shared" si="180"/>
        <v>#DIV/0!</v>
      </c>
      <c r="BE177" s="29" t="str">
        <f t="shared" si="180"/>
        <v>#DIV/0!</v>
      </c>
      <c r="BF177" s="29" t="str">
        <f t="shared" si="180"/>
        <v>#DIV/0!</v>
      </c>
      <c r="BG177" s="29" t="str">
        <f t="shared" si="180"/>
        <v>#DIV/0!</v>
      </c>
      <c r="BH177" s="29" t="str">
        <f t="shared" si="180"/>
        <v>#DIV/0!</v>
      </c>
      <c r="BI177" s="29" t="str">
        <f t="shared" si="180"/>
        <v>#DIV/0!</v>
      </c>
      <c r="BJ177" s="29" t="str">
        <f t="shared" si="180"/>
        <v>#DIV/0!</v>
      </c>
      <c r="BK177" s="29" t="str">
        <f t="shared" si="180"/>
        <v>#DIV/0!</v>
      </c>
      <c r="BL177" s="29" t="str">
        <f t="shared" si="180"/>
        <v>#DIV/0!</v>
      </c>
      <c r="BM177" s="29" t="str">
        <f t="shared" si="3"/>
        <v>#DIV/0!</v>
      </c>
    </row>
    <row r="178">
      <c r="A178" s="16" t="str">
        <f>IFERROR(__xludf.DUMMYFUNCTION("IFERROR(SPARKLINE(SORT(MAP(TRANSPOSE(AQ178:BL178), LAMBDA(val, IF(ISNUMBER(val), PERCENTRANK(AQ178:BL178, val)+0.01, 0))), SEQUENCE(COLUMNS(AQ178:BL178)), FALSE), {""charttype"",""column""; ""color"",""chartreuse""; ""ymin"", 0; ""ymax"", 1.01; ""highcolo"&amp;"r"", ""darkgreen""; ""lowcolor"", ""red""}), """")"),"")</f>
        <v/>
      </c>
      <c r="B178" s="17" t="str">
        <f t="shared" si="4"/>
        <v/>
      </c>
      <c r="C178" s="1" t="s">
        <v>753</v>
      </c>
      <c r="D178" s="30" t="str">
        <f>IFERROR(__xludf.DUMMYFUNCTION("IFERROR(GOOGLEFINANCE(C178, ""NAME""))"),"Dana Inc")</f>
        <v>Dana Inc</v>
      </c>
      <c r="E178" s="30" t="s">
        <v>109</v>
      </c>
      <c r="F178" s="33" t="str">
        <f>IFERROR(__xludf.DUMMYFUNCTION("( (GOOGLEFINANCE(C178, ""price"") - Q178) / Q178 ) / (R178 / 100)"),"Loading...")</f>
        <v>Loading...</v>
      </c>
      <c r="G178" s="20" t="str">
        <f>IFERROR(__xludf.DUMMYFUNCTION("AVERAGE(ARRAYFORMULA(100 * (QUERY(GOOGLEFINANCE(C178, ""high"", TODAY()-40, TODAY()), ""SELECT Col2 WHERE Col2 IS NOT NULL ORDER BY Col1 DESC LIMIT 20"", 0) / QUERY(GOOGLEFINANCE(C178, ""low"", TODAY()-40, TODAY()), ""SELECT Col2 WHERE Col2 IS NOT NULL OR"&amp;"DER BY Col1 DESC LIMIT 20"", 0) - 1)))"),"#N/A")</f>
        <v>#N/A</v>
      </c>
      <c r="H178" s="35" t="str">
        <f t="shared" si="6"/>
        <v/>
      </c>
      <c r="I178" s="35" t="str">
        <f t="shared" si="7"/>
        <v/>
      </c>
      <c r="J178" s="37" t="str">
        <f>IFERROR(__xludf.DUMMYFUNCTION("IFERROR(
  IF(C178="""",, 
    IFERROR(
      GOOGLEFINANCE(C178, ""price"") * GOOGLEFINANCE(C178, ""volumeavg""), 
      GOOGLEFINANCE(C178, ""price"") * AVERAGE(QUERY(GOOGLEFINANCE(C178, ""volume"", TODAY()-40, TODAY()), ""SELECT Col2 WHERE Col2 IS NOT "&amp;"NULL ORDER BY Col1 DESC LIMIT 20"", 0))
    )
  ), 
"""")"),"")</f>
        <v/>
      </c>
      <c r="K178" s="21" t="str">
        <f>IFERROR(__xludf.DUMMYFUNCTION("IFERROR(GOOGLEFINANCE(C178, ""changepct"") / 100, """")"),"")</f>
        <v/>
      </c>
      <c r="L178" s="21" t="str">
        <f>IFERROR(__xludf.DUMMYFUNCTION("IFERROR((GOOGLEFINANCE(C178, ""price"") / INDEX(GOOGLEFINANCE(C178, ""price"", TODAY()-7, TODAY()), 2, 2)) - 1, """")"),"")</f>
        <v/>
      </c>
      <c r="M178" s="21" t="str">
        <f>IFERROR(__xludf.DUMMYFUNCTION("IFERROR((GOOGLEFINANCE(C178, ""price"") / INDEX(GOOGLEFINANCE(C178, ""price"", EDATE(TODAY(), -1), TODAY()), 2, 2)) - 1, """")"),"")</f>
        <v/>
      </c>
      <c r="N178" s="21" t="str">
        <f>IFERROR(__xludf.DUMMYFUNCTION("IFERROR((GOOGLEFINANCE(C178, ""price"") / INDEX(GOOGLEFINANCE(C178, ""price"", EDATE(TODAY(), -3), TODAY()), 2, 2)) - 1, """")"),"")</f>
        <v/>
      </c>
      <c r="O178" s="21" t="str">
        <f>IFERROR(__xludf.DUMMYFUNCTION("IFERROR((GOOGLEFINANCE(C178, ""price"") / INDEX(GOOGLEFINANCE(C178, ""price"", EDATE(TODAY(), -6), TODAY()), 2, 2)) - 1, """")"),"")</f>
        <v/>
      </c>
      <c r="P178" s="21" t="str">
        <f>IFERROR(__xludf.DUMMYFUNCTION("IFERROR((GOOGLEFINANCE(C178, ""price"") / INDEX(GOOGLEFINANCE(C178, ""price"", EDATE(TODAY(), -12), TODAY()), 2, 2)) - 1, """")"),"")</f>
        <v/>
      </c>
      <c r="Q178" s="6" t="str">
        <f>IFERROR(__xludf.DUMMYFUNCTION("AVERAGE(QUERY(GOOGLEFINANCE(C178, ""price"", TODAY()-80, TODAY()), ""SELECT Col2 WHERE Col2 IS NOT NULL ORDER BY Col1 DESC LIMIT 50"", 0))"),"#N/A")</f>
        <v>#N/A</v>
      </c>
      <c r="R178" s="24" t="str">
        <f>IFERROR(__xludf.DUMMYFUNCTION("IFERROR(
  LET(
    data, QUERY(GOOGLEFINANCE(C178,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GOOGLEFINANCE(C178, ""price"")) * 100,
    IF(calc=0, G178, calc)
  ), 
G178)"),"#N/A")</f>
        <v>#N/A</v>
      </c>
      <c r="S178" s="8" t="s">
        <v>15</v>
      </c>
      <c r="T178" s="26" t="str">
        <f>IFERROR(__xludf.DUMMYFUNCTION("IFERROR(TRANSPOSE(QUERY(IFERROR(SORT(GOOGLEFINANCE(C178, ""price"", WORKDAY(TODAY(), -40), TODAY()), 1, FALSE)), ""select Col2 where Col2 is not null limit 22 label Col2 ''"", 0)), """")"),"")</f>
        <v/>
      </c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8"/>
      <c r="AO178" s="28"/>
      <c r="AP178" s="29"/>
      <c r="AQ178" s="29" t="str">
        <f t="shared" ref="AQ178:BL178" si="181">T178/T$2</f>
        <v>#N/A</v>
      </c>
      <c r="AR178" s="29" t="str">
        <f t="shared" si="181"/>
        <v>#DIV/0!</v>
      </c>
      <c r="AS178" s="29" t="str">
        <f t="shared" si="181"/>
        <v>#DIV/0!</v>
      </c>
      <c r="AT178" s="29" t="str">
        <f t="shared" si="181"/>
        <v>#DIV/0!</v>
      </c>
      <c r="AU178" s="29" t="str">
        <f t="shared" si="181"/>
        <v>#DIV/0!</v>
      </c>
      <c r="AV178" s="29" t="str">
        <f t="shared" si="181"/>
        <v>#DIV/0!</v>
      </c>
      <c r="AW178" s="29" t="str">
        <f t="shared" si="181"/>
        <v>#DIV/0!</v>
      </c>
      <c r="AX178" s="29" t="str">
        <f t="shared" si="181"/>
        <v>#DIV/0!</v>
      </c>
      <c r="AY178" s="29" t="str">
        <f t="shared" si="181"/>
        <v>#DIV/0!</v>
      </c>
      <c r="AZ178" s="29" t="str">
        <f t="shared" si="181"/>
        <v>#DIV/0!</v>
      </c>
      <c r="BA178" s="29" t="str">
        <f t="shared" si="181"/>
        <v>#DIV/0!</v>
      </c>
      <c r="BB178" s="29" t="str">
        <f t="shared" si="181"/>
        <v>#DIV/0!</v>
      </c>
      <c r="BC178" s="29" t="str">
        <f t="shared" si="181"/>
        <v>#DIV/0!</v>
      </c>
      <c r="BD178" s="29" t="str">
        <f t="shared" si="181"/>
        <v>#DIV/0!</v>
      </c>
      <c r="BE178" s="29" t="str">
        <f t="shared" si="181"/>
        <v>#DIV/0!</v>
      </c>
      <c r="BF178" s="29" t="str">
        <f t="shared" si="181"/>
        <v>#DIV/0!</v>
      </c>
      <c r="BG178" s="29" t="str">
        <f t="shared" si="181"/>
        <v>#DIV/0!</v>
      </c>
      <c r="BH178" s="29" t="str">
        <f t="shared" si="181"/>
        <v>#DIV/0!</v>
      </c>
      <c r="BI178" s="29" t="str">
        <f t="shared" si="181"/>
        <v>#DIV/0!</v>
      </c>
      <c r="BJ178" s="29" t="str">
        <f t="shared" si="181"/>
        <v>#DIV/0!</v>
      </c>
      <c r="BK178" s="29" t="str">
        <f t="shared" si="181"/>
        <v>#DIV/0!</v>
      </c>
      <c r="BL178" s="29" t="str">
        <f t="shared" si="181"/>
        <v>#DIV/0!</v>
      </c>
      <c r="BM178" s="29" t="str">
        <f t="shared" si="3"/>
        <v>#DIV/0!</v>
      </c>
    </row>
    <row r="179">
      <c r="A179" s="16" t="str">
        <f>IFERROR(__xludf.DUMMYFUNCTION("IFERROR(SPARKLINE(SORT(MAP(TRANSPOSE(AQ179:BL179), LAMBDA(val, IF(ISNUMBER(val), PERCENTRANK(AQ179:BL179, val)+0.01, 0))), SEQUENCE(COLUMNS(AQ179:BL179)), FALSE), {""charttype"",""column""; ""color"",""chartreuse""; ""ymin"", 0; ""ymax"", 1.01; ""highcolo"&amp;"r"", ""darkgreen""; ""lowcolor"", ""red""}), """")"),"")</f>
        <v/>
      </c>
      <c r="B179" s="17" t="str">
        <f t="shared" si="4"/>
        <v/>
      </c>
      <c r="C179" s="1" t="s">
        <v>758</v>
      </c>
      <c r="D179" s="30" t="str">
        <f>IFERROR(__xludf.DUMMYFUNCTION("IFERROR(GOOGLEFINANCE(C179, ""NAME""))"),"MercadoLibre Inc")</f>
        <v>MercadoLibre Inc</v>
      </c>
      <c r="E179" s="30" t="s">
        <v>137</v>
      </c>
      <c r="F179" s="33" t="str">
        <f>IFERROR(__xludf.DUMMYFUNCTION("( (GOOGLEFINANCE(C179, ""price"") - Q179) / Q179 ) / (R179 / 100)"),"Loading...")</f>
        <v>Loading...</v>
      </c>
      <c r="G179" s="20" t="str">
        <f>IFERROR(__xludf.DUMMYFUNCTION("AVERAGE(ARRAYFORMULA(100 * (QUERY(GOOGLEFINANCE(C179, ""high"", TODAY()-40, TODAY()), ""SELECT Col2 WHERE Col2 IS NOT NULL ORDER BY Col1 DESC LIMIT 20"", 0) / QUERY(GOOGLEFINANCE(C179, ""low"", TODAY()-40, TODAY()), ""SELECT Col2 WHERE Col2 IS NOT NULL OR"&amp;"DER BY Col1 DESC LIMIT 20"", 0) - 1)))"),"#N/A")</f>
        <v>#N/A</v>
      </c>
      <c r="H179" s="35" t="str">
        <f t="shared" si="6"/>
        <v/>
      </c>
      <c r="I179" s="35" t="str">
        <f t="shared" si="7"/>
        <v/>
      </c>
      <c r="J179" s="37" t="str">
        <f>IFERROR(__xludf.DUMMYFUNCTION("IFERROR(
  IF(C179="""",, 
    IFERROR(
      GOOGLEFINANCE(C179, ""price"") * GOOGLEFINANCE(C179, ""volumeavg""), 
      GOOGLEFINANCE(C179, ""price"") * AVERAGE(QUERY(GOOGLEFINANCE(C179, ""volume"", TODAY()-40, TODAY()), ""SELECT Col2 WHERE Col2 IS NOT "&amp;"NULL ORDER BY Col1 DESC LIMIT 20"", 0))
    )
  ), 
"""")"),"")</f>
        <v/>
      </c>
      <c r="K179" s="21" t="str">
        <f>IFERROR(__xludf.DUMMYFUNCTION("IFERROR(GOOGLEFINANCE(C179, ""changepct"") / 100, """")"),"")</f>
        <v/>
      </c>
      <c r="L179" s="21" t="str">
        <f>IFERROR(__xludf.DUMMYFUNCTION("IFERROR((GOOGLEFINANCE(C179, ""price"") / INDEX(GOOGLEFINANCE(C179, ""price"", TODAY()-7, TODAY()), 2, 2)) - 1, """")"),"")</f>
        <v/>
      </c>
      <c r="M179" s="21" t="str">
        <f>IFERROR(__xludf.DUMMYFUNCTION("IFERROR((GOOGLEFINANCE(C179, ""price"") / INDEX(GOOGLEFINANCE(C179, ""price"", EDATE(TODAY(), -1), TODAY()), 2, 2)) - 1, """")"),"")</f>
        <v/>
      </c>
      <c r="N179" s="21" t="str">
        <f>IFERROR(__xludf.DUMMYFUNCTION("IFERROR((GOOGLEFINANCE(C179, ""price"") / INDEX(GOOGLEFINANCE(C179, ""price"", EDATE(TODAY(), -3), TODAY()), 2, 2)) - 1, """")"),"")</f>
        <v/>
      </c>
      <c r="O179" s="21" t="str">
        <f>IFERROR(__xludf.DUMMYFUNCTION("IFERROR((GOOGLEFINANCE(C179, ""price"") / INDEX(GOOGLEFINANCE(C179, ""price"", EDATE(TODAY(), -6), TODAY()), 2, 2)) - 1, """")"),"")</f>
        <v/>
      </c>
      <c r="P179" s="21" t="str">
        <f>IFERROR(__xludf.DUMMYFUNCTION("IFERROR((GOOGLEFINANCE(C179, ""price"") / INDEX(GOOGLEFINANCE(C179, ""price"", EDATE(TODAY(), -12), TODAY()), 2, 2)) - 1, """")"),"")</f>
        <v/>
      </c>
      <c r="Q179" s="6" t="str">
        <f>IFERROR(__xludf.DUMMYFUNCTION("AVERAGE(QUERY(GOOGLEFINANCE(C179, ""price"", TODAY()-80, TODAY()), ""SELECT Col2 WHERE Col2 IS NOT NULL ORDER BY Col1 DESC LIMIT 50"", 0))"),"#N/A")</f>
        <v>#N/A</v>
      </c>
      <c r="R179" s="24" t="str">
        <f>IFERROR(__xludf.DUMMYFUNCTION("IFERROR(
  LET(
    data, QUERY(GOOGLEFINANCE(C179,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GOOGLEFINANCE(C179, ""price"")) * 100,
    IF(calc=0, G179, calc)
  ), 
G179)"),"#N/A")</f>
        <v>#N/A</v>
      </c>
      <c r="S179" s="8" t="s">
        <v>15</v>
      </c>
      <c r="T179" s="26" t="str">
        <f>IFERROR(__xludf.DUMMYFUNCTION("IFERROR(TRANSPOSE(QUERY(IFERROR(SORT(GOOGLEFINANCE(C179, ""price"", WORKDAY(TODAY(), -40), TODAY()), 1, FALSE)), ""select Col2 where Col2 is not null limit 22 label Col2 ''"", 0)), """")"),"")</f>
        <v/>
      </c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8"/>
      <c r="AO179" s="28"/>
      <c r="AP179" s="29"/>
      <c r="AQ179" s="29" t="str">
        <f t="shared" ref="AQ179:BL179" si="182">T179/T$2</f>
        <v>#N/A</v>
      </c>
      <c r="AR179" s="29" t="str">
        <f t="shared" si="182"/>
        <v>#DIV/0!</v>
      </c>
      <c r="AS179" s="29" t="str">
        <f t="shared" si="182"/>
        <v>#DIV/0!</v>
      </c>
      <c r="AT179" s="29" t="str">
        <f t="shared" si="182"/>
        <v>#DIV/0!</v>
      </c>
      <c r="AU179" s="29" t="str">
        <f t="shared" si="182"/>
        <v>#DIV/0!</v>
      </c>
      <c r="AV179" s="29" t="str">
        <f t="shared" si="182"/>
        <v>#DIV/0!</v>
      </c>
      <c r="AW179" s="29" t="str">
        <f t="shared" si="182"/>
        <v>#DIV/0!</v>
      </c>
      <c r="AX179" s="29" t="str">
        <f t="shared" si="182"/>
        <v>#DIV/0!</v>
      </c>
      <c r="AY179" s="29" t="str">
        <f t="shared" si="182"/>
        <v>#DIV/0!</v>
      </c>
      <c r="AZ179" s="29" t="str">
        <f t="shared" si="182"/>
        <v>#DIV/0!</v>
      </c>
      <c r="BA179" s="29" t="str">
        <f t="shared" si="182"/>
        <v>#DIV/0!</v>
      </c>
      <c r="BB179" s="29" t="str">
        <f t="shared" si="182"/>
        <v>#DIV/0!</v>
      </c>
      <c r="BC179" s="29" t="str">
        <f t="shared" si="182"/>
        <v>#DIV/0!</v>
      </c>
      <c r="BD179" s="29" t="str">
        <f t="shared" si="182"/>
        <v>#DIV/0!</v>
      </c>
      <c r="BE179" s="29" t="str">
        <f t="shared" si="182"/>
        <v>#DIV/0!</v>
      </c>
      <c r="BF179" s="29" t="str">
        <f t="shared" si="182"/>
        <v>#DIV/0!</v>
      </c>
      <c r="BG179" s="29" t="str">
        <f t="shared" si="182"/>
        <v>#DIV/0!</v>
      </c>
      <c r="BH179" s="29" t="str">
        <f t="shared" si="182"/>
        <v>#DIV/0!</v>
      </c>
      <c r="BI179" s="29" t="str">
        <f t="shared" si="182"/>
        <v>#DIV/0!</v>
      </c>
      <c r="BJ179" s="29" t="str">
        <f t="shared" si="182"/>
        <v>#DIV/0!</v>
      </c>
      <c r="BK179" s="29" t="str">
        <f t="shared" si="182"/>
        <v>#DIV/0!</v>
      </c>
      <c r="BL179" s="29" t="str">
        <f t="shared" si="182"/>
        <v>#DIV/0!</v>
      </c>
      <c r="BM179" s="29" t="str">
        <f t="shared" si="3"/>
        <v>#DIV/0!</v>
      </c>
    </row>
    <row r="180">
      <c r="A180" s="16" t="str">
        <f>IFERROR(__xludf.DUMMYFUNCTION("IFERROR(SPARKLINE(SORT(MAP(TRANSPOSE(AQ180:BL180), LAMBDA(val, IF(ISNUMBER(val), PERCENTRANK(AQ180:BL180, val)+0.01, 0))), SEQUENCE(COLUMNS(AQ180:BL180)), FALSE), {""charttype"",""column""; ""color"",""chartreuse""; ""ymin"", 0; ""ymax"", 1.01; ""highcolo"&amp;"r"", ""darkgreen""; ""lowcolor"", ""red""}), """")"),"")</f>
        <v/>
      </c>
      <c r="B180" s="17" t="str">
        <f t="shared" si="4"/>
        <v/>
      </c>
      <c r="C180" s="1" t="s">
        <v>764</v>
      </c>
      <c r="D180" s="30" t="str">
        <f>IFERROR(__xludf.DUMMYFUNCTION("IFERROR(GOOGLEFINANCE(C180, ""NAME""))"),"Whirlpool Corp")</f>
        <v>Whirlpool Corp</v>
      </c>
      <c r="E180" s="30" t="s">
        <v>456</v>
      </c>
      <c r="F180" s="33" t="str">
        <f>IFERROR(__xludf.DUMMYFUNCTION("( (GOOGLEFINANCE(C180, ""price"") - Q180) / Q180 ) / (R180 / 100)"),"Loading...")</f>
        <v>Loading...</v>
      </c>
      <c r="G180" s="20" t="str">
        <f>IFERROR(__xludf.DUMMYFUNCTION("AVERAGE(ARRAYFORMULA(100 * (QUERY(GOOGLEFINANCE(C180, ""high"", TODAY()-40, TODAY()), ""SELECT Col2 WHERE Col2 IS NOT NULL ORDER BY Col1 DESC LIMIT 20"", 0) / QUERY(GOOGLEFINANCE(C180, ""low"", TODAY()-40, TODAY()), ""SELECT Col2 WHERE Col2 IS NOT NULL OR"&amp;"DER BY Col1 DESC LIMIT 20"", 0) - 1)))"),"#N/A")</f>
        <v>#N/A</v>
      </c>
      <c r="H180" s="35" t="str">
        <f t="shared" si="6"/>
        <v/>
      </c>
      <c r="I180" s="35" t="str">
        <f t="shared" si="7"/>
        <v/>
      </c>
      <c r="J180" s="37" t="str">
        <f>IFERROR(__xludf.DUMMYFUNCTION("IFERROR(
  IF(C180="""",, 
    IFERROR(
      GOOGLEFINANCE(C180, ""price"") * GOOGLEFINANCE(C180, ""volumeavg""), 
      GOOGLEFINANCE(C180, ""price"") * AVERAGE(QUERY(GOOGLEFINANCE(C180, ""volume"", TODAY()-40, TODAY()), ""SELECT Col2 WHERE Col2 IS NOT "&amp;"NULL ORDER BY Col1 DESC LIMIT 20"", 0))
    )
  ), 
"""")"),"")</f>
        <v/>
      </c>
      <c r="K180" s="21" t="str">
        <f>IFERROR(__xludf.DUMMYFUNCTION("IFERROR(GOOGLEFINANCE(C180, ""changepct"") / 100, """")"),"")</f>
        <v/>
      </c>
      <c r="L180" s="21" t="str">
        <f>IFERROR(__xludf.DUMMYFUNCTION("IFERROR((GOOGLEFINANCE(C180, ""price"") / INDEX(GOOGLEFINANCE(C180, ""price"", TODAY()-7, TODAY()), 2, 2)) - 1, """")"),"")</f>
        <v/>
      </c>
      <c r="M180" s="21" t="str">
        <f>IFERROR(__xludf.DUMMYFUNCTION("IFERROR((GOOGLEFINANCE(C180, ""price"") / INDEX(GOOGLEFINANCE(C180, ""price"", EDATE(TODAY(), -1), TODAY()), 2, 2)) - 1, """")"),"")</f>
        <v/>
      </c>
      <c r="N180" s="21" t="str">
        <f>IFERROR(__xludf.DUMMYFUNCTION("IFERROR((GOOGLEFINANCE(C180, ""price"") / INDEX(GOOGLEFINANCE(C180, ""price"", EDATE(TODAY(), -3), TODAY()), 2, 2)) - 1, """")"),"")</f>
        <v/>
      </c>
      <c r="O180" s="21" t="str">
        <f>IFERROR(__xludf.DUMMYFUNCTION("IFERROR((GOOGLEFINANCE(C180, ""price"") / INDEX(GOOGLEFINANCE(C180, ""price"", EDATE(TODAY(), -6), TODAY()), 2, 2)) - 1, """")"),"")</f>
        <v/>
      </c>
      <c r="P180" s="21" t="str">
        <f>IFERROR(__xludf.DUMMYFUNCTION("IFERROR((GOOGLEFINANCE(C180, ""price"") / INDEX(GOOGLEFINANCE(C180, ""price"", EDATE(TODAY(), -12), TODAY()), 2, 2)) - 1, """")"),"")</f>
        <v/>
      </c>
      <c r="Q180" s="6" t="str">
        <f>IFERROR(__xludf.DUMMYFUNCTION("AVERAGE(QUERY(GOOGLEFINANCE(C180, ""price"", TODAY()-80, TODAY()), ""SELECT Col2 WHERE Col2 IS NOT NULL ORDER BY Col1 DESC LIMIT 50"", 0))"),"#N/A")</f>
        <v>#N/A</v>
      </c>
      <c r="R180" s="24" t="str">
        <f>IFERROR(__xludf.DUMMYFUNCTION("IFERROR(
  LET(
    data, QUERY(GOOGLEFINANCE(C180,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GOOGLEFINANCE(C180, ""price"")) * 100,
    IF(calc=0, G180, calc)
  ), 
G180)"),"#N/A")</f>
        <v>#N/A</v>
      </c>
      <c r="S180" s="8" t="s">
        <v>15</v>
      </c>
      <c r="T180" s="26" t="str">
        <f>IFERROR(__xludf.DUMMYFUNCTION("IFERROR(TRANSPOSE(QUERY(IFERROR(SORT(GOOGLEFINANCE(C180, ""price"", WORKDAY(TODAY(), -40), TODAY()), 1, FALSE)), ""select Col2 where Col2 is not null limit 22 label Col2 ''"", 0)), """")"),"")</f>
        <v/>
      </c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8"/>
      <c r="AO180" s="28"/>
      <c r="AP180" s="29"/>
      <c r="AQ180" s="29" t="str">
        <f t="shared" ref="AQ180:BL180" si="183">T180/T$2</f>
        <v>#N/A</v>
      </c>
      <c r="AR180" s="29" t="str">
        <f t="shared" si="183"/>
        <v>#DIV/0!</v>
      </c>
      <c r="AS180" s="29" t="str">
        <f t="shared" si="183"/>
        <v>#DIV/0!</v>
      </c>
      <c r="AT180" s="29" t="str">
        <f t="shared" si="183"/>
        <v>#DIV/0!</v>
      </c>
      <c r="AU180" s="29" t="str">
        <f t="shared" si="183"/>
        <v>#DIV/0!</v>
      </c>
      <c r="AV180" s="29" t="str">
        <f t="shared" si="183"/>
        <v>#DIV/0!</v>
      </c>
      <c r="AW180" s="29" t="str">
        <f t="shared" si="183"/>
        <v>#DIV/0!</v>
      </c>
      <c r="AX180" s="29" t="str">
        <f t="shared" si="183"/>
        <v>#DIV/0!</v>
      </c>
      <c r="AY180" s="29" t="str">
        <f t="shared" si="183"/>
        <v>#DIV/0!</v>
      </c>
      <c r="AZ180" s="29" t="str">
        <f t="shared" si="183"/>
        <v>#DIV/0!</v>
      </c>
      <c r="BA180" s="29" t="str">
        <f t="shared" si="183"/>
        <v>#DIV/0!</v>
      </c>
      <c r="BB180" s="29" t="str">
        <f t="shared" si="183"/>
        <v>#DIV/0!</v>
      </c>
      <c r="BC180" s="29" t="str">
        <f t="shared" si="183"/>
        <v>#DIV/0!</v>
      </c>
      <c r="BD180" s="29" t="str">
        <f t="shared" si="183"/>
        <v>#DIV/0!</v>
      </c>
      <c r="BE180" s="29" t="str">
        <f t="shared" si="183"/>
        <v>#DIV/0!</v>
      </c>
      <c r="BF180" s="29" t="str">
        <f t="shared" si="183"/>
        <v>#DIV/0!</v>
      </c>
      <c r="BG180" s="29" t="str">
        <f t="shared" si="183"/>
        <v>#DIV/0!</v>
      </c>
      <c r="BH180" s="29" t="str">
        <f t="shared" si="183"/>
        <v>#DIV/0!</v>
      </c>
      <c r="BI180" s="29" t="str">
        <f t="shared" si="183"/>
        <v>#DIV/0!</v>
      </c>
      <c r="BJ180" s="29" t="str">
        <f t="shared" si="183"/>
        <v>#DIV/0!</v>
      </c>
      <c r="BK180" s="29" t="str">
        <f t="shared" si="183"/>
        <v>#DIV/0!</v>
      </c>
      <c r="BL180" s="29" t="str">
        <f t="shared" si="183"/>
        <v>#DIV/0!</v>
      </c>
      <c r="BM180" s="29" t="str">
        <f t="shared" si="3"/>
        <v>#DIV/0!</v>
      </c>
    </row>
    <row r="181">
      <c r="A181" s="16" t="str">
        <f>IFERROR(__xludf.DUMMYFUNCTION("IFERROR(SPARKLINE(SORT(MAP(TRANSPOSE(AQ181:BL181), LAMBDA(val, IF(ISNUMBER(val), PERCENTRANK(AQ181:BL181, val)+0.01, 0))), SEQUENCE(COLUMNS(AQ181:BL181)), FALSE), {""charttype"",""column""; ""color"",""chartreuse""; ""ymin"", 0; ""ymax"", 1.01; ""highcolo"&amp;"r"", ""darkgreen""; ""lowcolor"", ""red""}), """")"),"")</f>
        <v/>
      </c>
      <c r="B181" s="17" t="str">
        <f t="shared" si="4"/>
        <v/>
      </c>
      <c r="C181" s="1" t="s">
        <v>768</v>
      </c>
      <c r="D181" s="30" t="str">
        <f>IFERROR(__xludf.DUMMYFUNCTION("IFERROR(GOOGLEFINANCE(C181, ""NAME""))"),"Churchill Downs Inc")</f>
        <v>Churchill Downs Inc</v>
      </c>
      <c r="E181" s="30" t="s">
        <v>234</v>
      </c>
      <c r="F181" s="38" t="str">
        <f>IFERROR(__xludf.DUMMYFUNCTION("( (GOOGLEFINANCE(C181, ""price"") - Q181) / Q181 ) / (R181 / 100)"),"Loading...")</f>
        <v>Loading...</v>
      </c>
      <c r="G181" s="20" t="str">
        <f>IFERROR(__xludf.DUMMYFUNCTION("AVERAGE(ARRAYFORMULA(100 * (QUERY(GOOGLEFINANCE(C181, ""high"", TODAY()-40, TODAY()), ""SELECT Col2 WHERE Col2 IS NOT NULL ORDER BY Col1 DESC LIMIT 20"", 0) / QUERY(GOOGLEFINANCE(C181, ""low"", TODAY()-40, TODAY()), ""SELECT Col2 WHERE Col2 IS NOT NULL OR"&amp;"DER BY Col1 DESC LIMIT 20"", 0) - 1)))"),"#N/A")</f>
        <v>#N/A</v>
      </c>
      <c r="H181" s="35" t="str">
        <f t="shared" si="6"/>
        <v/>
      </c>
      <c r="I181" s="35" t="str">
        <f t="shared" si="7"/>
        <v/>
      </c>
      <c r="J181" s="37" t="str">
        <f>IFERROR(__xludf.DUMMYFUNCTION("IFERROR(
  IF(C181="""",, 
    IFERROR(
      GOOGLEFINANCE(C181, ""price"") * GOOGLEFINANCE(C181, ""volumeavg""), 
      GOOGLEFINANCE(C181, ""price"") * AVERAGE(QUERY(GOOGLEFINANCE(C181, ""volume"", TODAY()-40, TODAY()), ""SELECT Col2 WHERE Col2 IS NOT "&amp;"NULL ORDER BY Col1 DESC LIMIT 20"", 0))
    )
  ), 
"""")"),"")</f>
        <v/>
      </c>
      <c r="K181" s="21" t="str">
        <f>IFERROR(__xludf.DUMMYFUNCTION("IFERROR(GOOGLEFINANCE(C181, ""changepct"") / 100, """")"),"")</f>
        <v/>
      </c>
      <c r="L181" s="21" t="str">
        <f>IFERROR(__xludf.DUMMYFUNCTION("IFERROR((GOOGLEFINANCE(C181, ""price"") / INDEX(GOOGLEFINANCE(C181, ""price"", TODAY()-7, TODAY()), 2, 2)) - 1, """")"),"")</f>
        <v/>
      </c>
      <c r="M181" s="21" t="str">
        <f>IFERROR(__xludf.DUMMYFUNCTION("IFERROR((GOOGLEFINANCE(C181, ""price"") / INDEX(GOOGLEFINANCE(C181, ""price"", EDATE(TODAY(), -1), TODAY()), 2, 2)) - 1, """")"),"")</f>
        <v/>
      </c>
      <c r="N181" s="21" t="str">
        <f>IFERROR(__xludf.DUMMYFUNCTION("IFERROR((GOOGLEFINANCE(C181, ""price"") / INDEX(GOOGLEFINANCE(C181, ""price"", EDATE(TODAY(), -3), TODAY()), 2, 2)) - 1, """")"),"")</f>
        <v/>
      </c>
      <c r="O181" s="21" t="str">
        <f>IFERROR(__xludf.DUMMYFUNCTION("IFERROR((GOOGLEFINANCE(C181, ""price"") / INDEX(GOOGLEFINANCE(C181, ""price"", EDATE(TODAY(), -6), TODAY()), 2, 2)) - 1, """")"),"")</f>
        <v/>
      </c>
      <c r="P181" s="21" t="str">
        <f>IFERROR(__xludf.DUMMYFUNCTION("IFERROR((GOOGLEFINANCE(C181, ""price"") / INDEX(GOOGLEFINANCE(C181, ""price"", EDATE(TODAY(), -12), TODAY()), 2, 2)) - 1, """")"),"")</f>
        <v/>
      </c>
      <c r="Q181" s="6" t="str">
        <f>IFERROR(__xludf.DUMMYFUNCTION("AVERAGE(QUERY(GOOGLEFINANCE(C181, ""price"", TODAY()-80, TODAY()), ""SELECT Col2 WHERE Col2 IS NOT NULL ORDER BY Col1 DESC LIMIT 50"", 0))"),"#N/A")</f>
        <v>#N/A</v>
      </c>
      <c r="R181" s="24" t="str">
        <f>IFERROR(__xludf.DUMMYFUNCTION("IFERROR(
  LET(
    data, QUERY(GOOGLEFINANCE(C181,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GOOGLEFINANCE(C181, ""price"")) * 100,
    IF(calc=0, G181, calc)
  ), 
G181)"),"#N/A")</f>
        <v>#N/A</v>
      </c>
      <c r="S181" s="8" t="s">
        <v>15</v>
      </c>
      <c r="T181" s="26" t="str">
        <f>IFERROR(__xludf.DUMMYFUNCTION("IFERROR(TRANSPOSE(QUERY(IFERROR(SORT(GOOGLEFINANCE(C181, ""price"", WORKDAY(TODAY(), -40), TODAY()), 1, FALSE)), ""select Col2 where Col2 is not null limit 22 label Col2 ''"", 0)), """")"),"")</f>
        <v/>
      </c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8"/>
      <c r="AO181" s="28"/>
      <c r="AP181" s="29"/>
      <c r="AQ181" s="29" t="str">
        <f t="shared" ref="AQ181:BL181" si="184">T181/T$2</f>
        <v>#N/A</v>
      </c>
      <c r="AR181" s="29" t="str">
        <f t="shared" si="184"/>
        <v>#DIV/0!</v>
      </c>
      <c r="AS181" s="29" t="str">
        <f t="shared" si="184"/>
        <v>#DIV/0!</v>
      </c>
      <c r="AT181" s="29" t="str">
        <f t="shared" si="184"/>
        <v>#DIV/0!</v>
      </c>
      <c r="AU181" s="29" t="str">
        <f t="shared" si="184"/>
        <v>#DIV/0!</v>
      </c>
      <c r="AV181" s="29" t="str">
        <f t="shared" si="184"/>
        <v>#DIV/0!</v>
      </c>
      <c r="AW181" s="29" t="str">
        <f t="shared" si="184"/>
        <v>#DIV/0!</v>
      </c>
      <c r="AX181" s="29" t="str">
        <f t="shared" si="184"/>
        <v>#DIV/0!</v>
      </c>
      <c r="AY181" s="29" t="str">
        <f t="shared" si="184"/>
        <v>#DIV/0!</v>
      </c>
      <c r="AZ181" s="29" t="str">
        <f t="shared" si="184"/>
        <v>#DIV/0!</v>
      </c>
      <c r="BA181" s="29" t="str">
        <f t="shared" si="184"/>
        <v>#DIV/0!</v>
      </c>
      <c r="BB181" s="29" t="str">
        <f t="shared" si="184"/>
        <v>#DIV/0!</v>
      </c>
      <c r="BC181" s="29" t="str">
        <f t="shared" si="184"/>
        <v>#DIV/0!</v>
      </c>
      <c r="BD181" s="29" t="str">
        <f t="shared" si="184"/>
        <v>#DIV/0!</v>
      </c>
      <c r="BE181" s="29" t="str">
        <f t="shared" si="184"/>
        <v>#DIV/0!</v>
      </c>
      <c r="BF181" s="29" t="str">
        <f t="shared" si="184"/>
        <v>#DIV/0!</v>
      </c>
      <c r="BG181" s="29" t="str">
        <f t="shared" si="184"/>
        <v>#DIV/0!</v>
      </c>
      <c r="BH181" s="29" t="str">
        <f t="shared" si="184"/>
        <v>#DIV/0!</v>
      </c>
      <c r="BI181" s="29" t="str">
        <f t="shared" si="184"/>
        <v>#DIV/0!</v>
      </c>
      <c r="BJ181" s="29" t="str">
        <f t="shared" si="184"/>
        <v>#DIV/0!</v>
      </c>
      <c r="BK181" s="29" t="str">
        <f t="shared" si="184"/>
        <v>#DIV/0!</v>
      </c>
      <c r="BL181" s="29" t="str">
        <f t="shared" si="184"/>
        <v>#DIV/0!</v>
      </c>
      <c r="BM181" s="29" t="str">
        <f t="shared" si="3"/>
        <v>#DIV/0!</v>
      </c>
    </row>
    <row r="182">
      <c r="A182" s="16" t="str">
        <f>IFERROR(__xludf.DUMMYFUNCTION("IFERROR(SPARKLINE(SORT(MAP(TRANSPOSE(AQ182:BL182), LAMBDA(val, IF(ISNUMBER(val), PERCENTRANK(AQ182:BL182, val)+0.01, 0))), SEQUENCE(COLUMNS(AQ182:BL182)), FALSE), {""charttype"",""column""; ""color"",""chartreuse""; ""ymin"", 0; ""ymax"", 1.01; ""highcolo"&amp;"r"", ""darkgreen""; ""lowcolor"", ""red""}), """")"),"")</f>
        <v/>
      </c>
      <c r="B182" s="17" t="str">
        <f t="shared" si="4"/>
        <v/>
      </c>
      <c r="C182" s="1" t="s">
        <v>773</v>
      </c>
      <c r="D182" s="30" t="str">
        <f>IFERROR(__xludf.DUMMYFUNCTION("IFERROR(GOOGLEFINANCE(C182, ""NAME""))"),"Expedia Group, Inc.")</f>
        <v>Expedia Group, Inc.</v>
      </c>
      <c r="E182" s="30" t="s">
        <v>248</v>
      </c>
      <c r="F182" s="33" t="str">
        <f>IFERROR(__xludf.DUMMYFUNCTION("( (GOOGLEFINANCE(C182, ""price"") - Q182) / Q182 ) / (R182 / 100)"),"Loading...")</f>
        <v>Loading...</v>
      </c>
      <c r="G182" s="20" t="str">
        <f>IFERROR(__xludf.DUMMYFUNCTION("AVERAGE(ARRAYFORMULA(100 * (QUERY(GOOGLEFINANCE(C182, ""high"", TODAY()-40, TODAY()), ""SELECT Col2 WHERE Col2 IS NOT NULL ORDER BY Col1 DESC LIMIT 20"", 0) / QUERY(GOOGLEFINANCE(C182, ""low"", TODAY()-40, TODAY()), ""SELECT Col2 WHERE Col2 IS NOT NULL OR"&amp;"DER BY Col1 DESC LIMIT 20"", 0) - 1)))"),"#N/A")</f>
        <v>#N/A</v>
      </c>
      <c r="H182" s="35" t="str">
        <f t="shared" si="6"/>
        <v/>
      </c>
      <c r="I182" s="35" t="str">
        <f t="shared" si="7"/>
        <v/>
      </c>
      <c r="J182" s="37" t="str">
        <f>IFERROR(__xludf.DUMMYFUNCTION("IFERROR(
  IF(C182="""",, 
    IFERROR(
      GOOGLEFINANCE(C182, ""price"") * GOOGLEFINANCE(C182, ""volumeavg""), 
      GOOGLEFINANCE(C182, ""price"") * AVERAGE(QUERY(GOOGLEFINANCE(C182, ""volume"", TODAY()-40, TODAY()), ""SELECT Col2 WHERE Col2 IS NOT "&amp;"NULL ORDER BY Col1 DESC LIMIT 20"", 0))
    )
  ), 
"""")"),"")</f>
        <v/>
      </c>
      <c r="K182" s="21" t="str">
        <f>IFERROR(__xludf.DUMMYFUNCTION("IFERROR(GOOGLEFINANCE(C182, ""changepct"") / 100, """")"),"")</f>
        <v/>
      </c>
      <c r="L182" s="21" t="str">
        <f>IFERROR(__xludf.DUMMYFUNCTION("IFERROR((GOOGLEFINANCE(C182, ""price"") / INDEX(GOOGLEFINANCE(C182, ""price"", TODAY()-7, TODAY()), 2, 2)) - 1, """")"),"")</f>
        <v/>
      </c>
      <c r="M182" s="21" t="str">
        <f>IFERROR(__xludf.DUMMYFUNCTION("IFERROR((GOOGLEFINANCE(C182, ""price"") / INDEX(GOOGLEFINANCE(C182, ""price"", EDATE(TODAY(), -1), TODAY()), 2, 2)) - 1, """")"),"")</f>
        <v/>
      </c>
      <c r="N182" s="21" t="str">
        <f>IFERROR(__xludf.DUMMYFUNCTION("IFERROR((GOOGLEFINANCE(C182, ""price"") / INDEX(GOOGLEFINANCE(C182, ""price"", EDATE(TODAY(), -3), TODAY()), 2, 2)) - 1, """")"),"")</f>
        <v/>
      </c>
      <c r="O182" s="21" t="str">
        <f>IFERROR(__xludf.DUMMYFUNCTION("IFERROR((GOOGLEFINANCE(C182, ""price"") / INDEX(GOOGLEFINANCE(C182, ""price"", EDATE(TODAY(), -6), TODAY()), 2, 2)) - 1, """")"),"")</f>
        <v/>
      </c>
      <c r="P182" s="21" t="str">
        <f>IFERROR(__xludf.DUMMYFUNCTION("IFERROR((GOOGLEFINANCE(C182, ""price"") / INDEX(GOOGLEFINANCE(C182, ""price"", EDATE(TODAY(), -12), TODAY()), 2, 2)) - 1, """")"),"")</f>
        <v/>
      </c>
      <c r="Q182" s="6" t="str">
        <f>IFERROR(__xludf.DUMMYFUNCTION("AVERAGE(QUERY(GOOGLEFINANCE(C182, ""price"", TODAY()-80, TODAY()), ""SELECT Col2 WHERE Col2 IS NOT NULL ORDER BY Col1 DESC LIMIT 50"", 0))"),"#N/A")</f>
        <v>#N/A</v>
      </c>
      <c r="R182" s="24" t="str">
        <f>IFERROR(__xludf.DUMMYFUNCTION("IFERROR(
  LET(
    data, QUERY(GOOGLEFINANCE(C182,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GOOGLEFINANCE(C182, ""price"")) * 100,
    IF(calc=0, G182, calc)
  ), 
G182)"),"#N/A")</f>
        <v>#N/A</v>
      </c>
      <c r="S182" s="8" t="s">
        <v>15</v>
      </c>
      <c r="T182" s="26" t="str">
        <f>IFERROR(__xludf.DUMMYFUNCTION("IFERROR(TRANSPOSE(QUERY(IFERROR(SORT(GOOGLEFINANCE(C182, ""price"", WORKDAY(TODAY(), -40), TODAY()), 1, FALSE)), ""select Col2 where Col2 is not null limit 22 label Col2 ''"", 0)), """")"),"")</f>
        <v/>
      </c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8"/>
      <c r="AO182" s="28"/>
      <c r="AP182" s="29"/>
      <c r="AQ182" s="29" t="str">
        <f t="shared" ref="AQ182:BL182" si="185">T182/T$2</f>
        <v>#N/A</v>
      </c>
      <c r="AR182" s="29" t="str">
        <f t="shared" si="185"/>
        <v>#DIV/0!</v>
      </c>
      <c r="AS182" s="29" t="str">
        <f t="shared" si="185"/>
        <v>#DIV/0!</v>
      </c>
      <c r="AT182" s="29" t="str">
        <f t="shared" si="185"/>
        <v>#DIV/0!</v>
      </c>
      <c r="AU182" s="29" t="str">
        <f t="shared" si="185"/>
        <v>#DIV/0!</v>
      </c>
      <c r="AV182" s="29" t="str">
        <f t="shared" si="185"/>
        <v>#DIV/0!</v>
      </c>
      <c r="AW182" s="29" t="str">
        <f t="shared" si="185"/>
        <v>#DIV/0!</v>
      </c>
      <c r="AX182" s="29" t="str">
        <f t="shared" si="185"/>
        <v>#DIV/0!</v>
      </c>
      <c r="AY182" s="29" t="str">
        <f t="shared" si="185"/>
        <v>#DIV/0!</v>
      </c>
      <c r="AZ182" s="29" t="str">
        <f t="shared" si="185"/>
        <v>#DIV/0!</v>
      </c>
      <c r="BA182" s="29" t="str">
        <f t="shared" si="185"/>
        <v>#DIV/0!</v>
      </c>
      <c r="BB182" s="29" t="str">
        <f t="shared" si="185"/>
        <v>#DIV/0!</v>
      </c>
      <c r="BC182" s="29" t="str">
        <f t="shared" si="185"/>
        <v>#DIV/0!</v>
      </c>
      <c r="BD182" s="29" t="str">
        <f t="shared" si="185"/>
        <v>#DIV/0!</v>
      </c>
      <c r="BE182" s="29" t="str">
        <f t="shared" si="185"/>
        <v>#DIV/0!</v>
      </c>
      <c r="BF182" s="29" t="str">
        <f t="shared" si="185"/>
        <v>#DIV/0!</v>
      </c>
      <c r="BG182" s="29" t="str">
        <f t="shared" si="185"/>
        <v>#DIV/0!</v>
      </c>
      <c r="BH182" s="29" t="str">
        <f t="shared" si="185"/>
        <v>#DIV/0!</v>
      </c>
      <c r="BI182" s="29" t="str">
        <f t="shared" si="185"/>
        <v>#DIV/0!</v>
      </c>
      <c r="BJ182" s="29" t="str">
        <f t="shared" si="185"/>
        <v>#DIV/0!</v>
      </c>
      <c r="BK182" s="29" t="str">
        <f t="shared" si="185"/>
        <v>#DIV/0!</v>
      </c>
      <c r="BL182" s="29" t="str">
        <f t="shared" si="185"/>
        <v>#DIV/0!</v>
      </c>
      <c r="BM182" s="29" t="str">
        <f t="shared" si="3"/>
        <v>#DIV/0!</v>
      </c>
    </row>
    <row r="183">
      <c r="A183" s="16" t="str">
        <f>IFERROR(__xludf.DUMMYFUNCTION("IFERROR(SPARKLINE(SORT(MAP(TRANSPOSE(AQ183:BL183), LAMBDA(val, IF(ISNUMBER(val), PERCENTRANK(AQ183:BL183, val)+0.01, 0))), SEQUENCE(COLUMNS(AQ183:BL183)), FALSE), {""charttype"",""column""; ""color"",""chartreuse""; ""ymin"", 0; ""ymax"", 1.01; ""highcolo"&amp;"r"", ""darkgreen""; ""lowcolor"", ""red""}), """")"),"")</f>
        <v/>
      </c>
      <c r="B183" s="17" t="str">
        <f t="shared" si="4"/>
        <v/>
      </c>
      <c r="C183" s="1" t="s">
        <v>777</v>
      </c>
      <c r="D183" s="30" t="str">
        <f>IFERROR(__xludf.DUMMYFUNCTION("IFERROR(GOOGLEFINANCE(C183, ""NAME""))"),"TJX Companies Inc")</f>
        <v>TJX Companies Inc</v>
      </c>
      <c r="E183" s="30" t="s">
        <v>647</v>
      </c>
      <c r="F183" s="33" t="str">
        <f>IFERROR(__xludf.DUMMYFUNCTION("( (GOOGLEFINANCE(C183, ""price"") - Q183) / Q183 ) / (R183 / 100)"),"Loading...")</f>
        <v>Loading...</v>
      </c>
      <c r="G183" s="20" t="str">
        <f>IFERROR(__xludf.DUMMYFUNCTION("AVERAGE(ARRAYFORMULA(100 * (QUERY(GOOGLEFINANCE(C183, ""high"", TODAY()-40, TODAY()), ""SELECT Col2 WHERE Col2 IS NOT NULL ORDER BY Col1 DESC LIMIT 20"", 0) / QUERY(GOOGLEFINANCE(C183, ""low"", TODAY()-40, TODAY()), ""SELECT Col2 WHERE Col2 IS NOT NULL OR"&amp;"DER BY Col1 DESC LIMIT 20"", 0) - 1)))"),"#N/A")</f>
        <v>#N/A</v>
      </c>
      <c r="H183" s="35" t="str">
        <f t="shared" si="6"/>
        <v/>
      </c>
      <c r="I183" s="35" t="str">
        <f t="shared" si="7"/>
        <v/>
      </c>
      <c r="J183" s="37" t="str">
        <f>IFERROR(__xludf.DUMMYFUNCTION("IFERROR(
  IF(C183="""",, 
    IFERROR(
      GOOGLEFINANCE(C183, ""price"") * GOOGLEFINANCE(C183, ""volumeavg""), 
      GOOGLEFINANCE(C183, ""price"") * AVERAGE(QUERY(GOOGLEFINANCE(C183, ""volume"", TODAY()-40, TODAY()), ""SELECT Col2 WHERE Col2 IS NOT "&amp;"NULL ORDER BY Col1 DESC LIMIT 20"", 0))
    )
  ), 
"""")"),"")</f>
        <v/>
      </c>
      <c r="K183" s="21" t="str">
        <f>IFERROR(__xludf.DUMMYFUNCTION("IFERROR(GOOGLEFINANCE(C183, ""changepct"") / 100, """")"),"")</f>
        <v/>
      </c>
      <c r="L183" s="21" t="str">
        <f>IFERROR(__xludf.DUMMYFUNCTION("IFERROR((GOOGLEFINANCE(C183, ""price"") / INDEX(GOOGLEFINANCE(C183, ""price"", TODAY()-7, TODAY()), 2, 2)) - 1, """")"),"")</f>
        <v/>
      </c>
      <c r="M183" s="21" t="str">
        <f>IFERROR(__xludf.DUMMYFUNCTION("IFERROR((GOOGLEFINANCE(C183, ""price"") / INDEX(GOOGLEFINANCE(C183, ""price"", EDATE(TODAY(), -1), TODAY()), 2, 2)) - 1, """")"),"")</f>
        <v/>
      </c>
      <c r="N183" s="21" t="str">
        <f>IFERROR(__xludf.DUMMYFUNCTION("IFERROR((GOOGLEFINANCE(C183, ""price"") / INDEX(GOOGLEFINANCE(C183, ""price"", EDATE(TODAY(), -3), TODAY()), 2, 2)) - 1, """")"),"")</f>
        <v/>
      </c>
      <c r="O183" s="21" t="str">
        <f>IFERROR(__xludf.DUMMYFUNCTION("IFERROR((GOOGLEFINANCE(C183, ""price"") / INDEX(GOOGLEFINANCE(C183, ""price"", EDATE(TODAY(), -6), TODAY()), 2, 2)) - 1, """")"),"")</f>
        <v/>
      </c>
      <c r="P183" s="21" t="str">
        <f>IFERROR(__xludf.DUMMYFUNCTION("IFERROR((GOOGLEFINANCE(C183, ""price"") / INDEX(GOOGLEFINANCE(C183, ""price"", EDATE(TODAY(), -12), TODAY()), 2, 2)) - 1, """")"),"")</f>
        <v/>
      </c>
      <c r="Q183" s="6" t="str">
        <f>IFERROR(__xludf.DUMMYFUNCTION("AVERAGE(QUERY(GOOGLEFINANCE(C183, ""price"", TODAY()-80, TODAY()), ""SELECT Col2 WHERE Col2 IS NOT NULL ORDER BY Col1 DESC LIMIT 50"", 0))"),"#N/A")</f>
        <v>#N/A</v>
      </c>
      <c r="R183" s="24" t="str">
        <f>IFERROR(__xludf.DUMMYFUNCTION("IFERROR(
  LET(
    data, QUERY(GOOGLEFINANCE(C183,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GOOGLEFINANCE(C183, ""price"")) * 100,
    IF(calc=0, G183, calc)
  ), 
G183)"),"#N/A")</f>
        <v>#N/A</v>
      </c>
      <c r="S183" s="8" t="s">
        <v>15</v>
      </c>
      <c r="T183" s="26" t="str">
        <f>IFERROR(__xludf.DUMMYFUNCTION("IFERROR(TRANSPOSE(QUERY(IFERROR(SORT(GOOGLEFINANCE(C183, ""price"", WORKDAY(TODAY(), -40), TODAY()), 1, FALSE)), ""select Col2 where Col2 is not null limit 22 label Col2 ''"", 0)), """")"),"")</f>
        <v/>
      </c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8"/>
      <c r="AO183" s="28"/>
      <c r="AP183" s="29"/>
      <c r="AQ183" s="29" t="str">
        <f t="shared" ref="AQ183:BL183" si="186">T183/T$2</f>
        <v>#N/A</v>
      </c>
      <c r="AR183" s="29" t="str">
        <f t="shared" si="186"/>
        <v>#DIV/0!</v>
      </c>
      <c r="AS183" s="29" t="str">
        <f t="shared" si="186"/>
        <v>#DIV/0!</v>
      </c>
      <c r="AT183" s="29" t="str">
        <f t="shared" si="186"/>
        <v>#DIV/0!</v>
      </c>
      <c r="AU183" s="29" t="str">
        <f t="shared" si="186"/>
        <v>#DIV/0!</v>
      </c>
      <c r="AV183" s="29" t="str">
        <f t="shared" si="186"/>
        <v>#DIV/0!</v>
      </c>
      <c r="AW183" s="29" t="str">
        <f t="shared" si="186"/>
        <v>#DIV/0!</v>
      </c>
      <c r="AX183" s="29" t="str">
        <f t="shared" si="186"/>
        <v>#DIV/0!</v>
      </c>
      <c r="AY183" s="29" t="str">
        <f t="shared" si="186"/>
        <v>#DIV/0!</v>
      </c>
      <c r="AZ183" s="29" t="str">
        <f t="shared" si="186"/>
        <v>#DIV/0!</v>
      </c>
      <c r="BA183" s="29" t="str">
        <f t="shared" si="186"/>
        <v>#DIV/0!</v>
      </c>
      <c r="BB183" s="29" t="str">
        <f t="shared" si="186"/>
        <v>#DIV/0!</v>
      </c>
      <c r="BC183" s="29" t="str">
        <f t="shared" si="186"/>
        <v>#DIV/0!</v>
      </c>
      <c r="BD183" s="29" t="str">
        <f t="shared" si="186"/>
        <v>#DIV/0!</v>
      </c>
      <c r="BE183" s="29" t="str">
        <f t="shared" si="186"/>
        <v>#DIV/0!</v>
      </c>
      <c r="BF183" s="29" t="str">
        <f t="shared" si="186"/>
        <v>#DIV/0!</v>
      </c>
      <c r="BG183" s="29" t="str">
        <f t="shared" si="186"/>
        <v>#DIV/0!</v>
      </c>
      <c r="BH183" s="29" t="str">
        <f t="shared" si="186"/>
        <v>#DIV/0!</v>
      </c>
      <c r="BI183" s="29" t="str">
        <f t="shared" si="186"/>
        <v>#DIV/0!</v>
      </c>
      <c r="BJ183" s="29" t="str">
        <f t="shared" si="186"/>
        <v>#DIV/0!</v>
      </c>
      <c r="BK183" s="29" t="str">
        <f t="shared" si="186"/>
        <v>#DIV/0!</v>
      </c>
      <c r="BL183" s="29" t="str">
        <f t="shared" si="186"/>
        <v>#DIV/0!</v>
      </c>
      <c r="BM183" s="29" t="str">
        <f t="shared" si="3"/>
        <v>#DIV/0!</v>
      </c>
    </row>
    <row r="184">
      <c r="A184" s="16" t="str">
        <f>IFERROR(__xludf.DUMMYFUNCTION("IFERROR(SPARKLINE(SORT(MAP(TRANSPOSE(AQ184:BL184), LAMBDA(val, IF(ISNUMBER(val), PERCENTRANK(AQ184:BL184, val)+0.01, 0))), SEQUENCE(COLUMNS(AQ184:BL184)), FALSE), {""charttype"",""column""; ""color"",""chartreuse""; ""ymin"", 0; ""ymax"", 1.01; ""highcolo"&amp;"r"", ""darkgreen""; ""lowcolor"", ""red""}), """")"),"")</f>
        <v/>
      </c>
      <c r="B184" s="17" t="str">
        <f t="shared" si="4"/>
        <v/>
      </c>
      <c r="C184" s="1" t="s">
        <v>781</v>
      </c>
      <c r="D184" s="30" t="str">
        <f>IFERROR(__xludf.DUMMYFUNCTION("IFERROR(GOOGLEFINANCE(C184, ""NAME""))"),"Abercrombie &amp; Fitch Co")</f>
        <v>Abercrombie &amp; Fitch Co</v>
      </c>
      <c r="E184" s="30" t="s">
        <v>647</v>
      </c>
      <c r="F184" s="33" t="str">
        <f>IFERROR(__xludf.DUMMYFUNCTION("( (GOOGLEFINANCE(C184, ""price"") - Q184) / Q184 ) / (R184 / 100)"),"Loading...")</f>
        <v>Loading...</v>
      </c>
      <c r="G184" s="20" t="str">
        <f>IFERROR(__xludf.DUMMYFUNCTION("AVERAGE(ARRAYFORMULA(100 * (QUERY(GOOGLEFINANCE(C184, ""high"", TODAY()-40, TODAY()), ""SELECT Col2 WHERE Col2 IS NOT NULL ORDER BY Col1 DESC LIMIT 20"", 0) / QUERY(GOOGLEFINANCE(C184, ""low"", TODAY()-40, TODAY()), ""SELECT Col2 WHERE Col2 IS NOT NULL OR"&amp;"DER BY Col1 DESC LIMIT 20"", 0) - 1)))"),"#N/A")</f>
        <v>#N/A</v>
      </c>
      <c r="H184" s="35" t="str">
        <f t="shared" si="6"/>
        <v/>
      </c>
      <c r="I184" s="35" t="str">
        <f t="shared" si="7"/>
        <v/>
      </c>
      <c r="J184" s="37" t="str">
        <f>IFERROR(__xludf.DUMMYFUNCTION("IFERROR(
  IF(C184="""",, 
    IFERROR(
      GOOGLEFINANCE(C184, ""price"") * GOOGLEFINANCE(C184, ""volumeavg""), 
      GOOGLEFINANCE(C184, ""price"") * AVERAGE(QUERY(GOOGLEFINANCE(C184, ""volume"", TODAY()-40, TODAY()), ""SELECT Col2 WHERE Col2 IS NOT "&amp;"NULL ORDER BY Col1 DESC LIMIT 20"", 0))
    )
  ), 
"""")"),"")</f>
        <v/>
      </c>
      <c r="K184" s="21" t="str">
        <f>IFERROR(__xludf.DUMMYFUNCTION("IFERROR(GOOGLEFINANCE(C184, ""changepct"") / 100, """")"),"")</f>
        <v/>
      </c>
      <c r="L184" s="21" t="str">
        <f>IFERROR(__xludf.DUMMYFUNCTION("IFERROR((GOOGLEFINANCE(C184, ""price"") / INDEX(GOOGLEFINANCE(C184, ""price"", TODAY()-7, TODAY()), 2, 2)) - 1, """")"),"")</f>
        <v/>
      </c>
      <c r="M184" s="21" t="str">
        <f>IFERROR(__xludf.DUMMYFUNCTION("IFERROR((GOOGLEFINANCE(C184, ""price"") / INDEX(GOOGLEFINANCE(C184, ""price"", EDATE(TODAY(), -1), TODAY()), 2, 2)) - 1, """")"),"")</f>
        <v/>
      </c>
      <c r="N184" s="21" t="str">
        <f>IFERROR(__xludf.DUMMYFUNCTION("IFERROR((GOOGLEFINANCE(C184, ""price"") / INDEX(GOOGLEFINANCE(C184, ""price"", EDATE(TODAY(), -3), TODAY()), 2, 2)) - 1, """")"),"")</f>
        <v/>
      </c>
      <c r="O184" s="21" t="str">
        <f>IFERROR(__xludf.DUMMYFUNCTION("IFERROR((GOOGLEFINANCE(C184, ""price"") / INDEX(GOOGLEFINANCE(C184, ""price"", EDATE(TODAY(), -6), TODAY()), 2, 2)) - 1, """")"),"")</f>
        <v/>
      </c>
      <c r="P184" s="21" t="str">
        <f>IFERROR(__xludf.DUMMYFUNCTION("IFERROR((GOOGLEFINANCE(C184, ""price"") / INDEX(GOOGLEFINANCE(C184, ""price"", EDATE(TODAY(), -12), TODAY()), 2, 2)) - 1, """")"),"")</f>
        <v/>
      </c>
      <c r="Q184" s="6" t="str">
        <f>IFERROR(__xludf.DUMMYFUNCTION("AVERAGE(QUERY(GOOGLEFINANCE(C184, ""price"", TODAY()-80, TODAY()), ""SELECT Col2 WHERE Col2 IS NOT NULL ORDER BY Col1 DESC LIMIT 50"", 0))"),"#N/A")</f>
        <v>#N/A</v>
      </c>
      <c r="R184" s="24" t="str">
        <f>IFERROR(__xludf.DUMMYFUNCTION("IFERROR(
  LET(
    data, QUERY(GOOGLEFINANCE(C184,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GOOGLEFINANCE(C184, ""price"")) * 100,
    IF(calc=0, G184, calc)
  ), 
G184)"),"#N/A")</f>
        <v>#N/A</v>
      </c>
      <c r="S184" s="8" t="s">
        <v>15</v>
      </c>
      <c r="T184" s="26" t="str">
        <f>IFERROR(__xludf.DUMMYFUNCTION("IFERROR(TRANSPOSE(QUERY(IFERROR(SORT(GOOGLEFINANCE(C184, ""price"", WORKDAY(TODAY(), -40), TODAY()), 1, FALSE)), ""select Col2 where Col2 is not null limit 22 label Col2 ''"", 0)), """")"),"")</f>
        <v/>
      </c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8"/>
      <c r="AO184" s="28"/>
      <c r="AP184" s="29"/>
      <c r="AQ184" s="29" t="str">
        <f t="shared" ref="AQ184:BL184" si="187">T184/T$2</f>
        <v>#N/A</v>
      </c>
      <c r="AR184" s="29" t="str">
        <f t="shared" si="187"/>
        <v>#DIV/0!</v>
      </c>
      <c r="AS184" s="29" t="str">
        <f t="shared" si="187"/>
        <v>#DIV/0!</v>
      </c>
      <c r="AT184" s="29" t="str">
        <f t="shared" si="187"/>
        <v>#DIV/0!</v>
      </c>
      <c r="AU184" s="29" t="str">
        <f t="shared" si="187"/>
        <v>#DIV/0!</v>
      </c>
      <c r="AV184" s="29" t="str">
        <f t="shared" si="187"/>
        <v>#DIV/0!</v>
      </c>
      <c r="AW184" s="29" t="str">
        <f t="shared" si="187"/>
        <v>#DIV/0!</v>
      </c>
      <c r="AX184" s="29" t="str">
        <f t="shared" si="187"/>
        <v>#DIV/0!</v>
      </c>
      <c r="AY184" s="29" t="str">
        <f t="shared" si="187"/>
        <v>#DIV/0!</v>
      </c>
      <c r="AZ184" s="29" t="str">
        <f t="shared" si="187"/>
        <v>#DIV/0!</v>
      </c>
      <c r="BA184" s="29" t="str">
        <f t="shared" si="187"/>
        <v>#DIV/0!</v>
      </c>
      <c r="BB184" s="29" t="str">
        <f t="shared" si="187"/>
        <v>#DIV/0!</v>
      </c>
      <c r="BC184" s="29" t="str">
        <f t="shared" si="187"/>
        <v>#DIV/0!</v>
      </c>
      <c r="BD184" s="29" t="str">
        <f t="shared" si="187"/>
        <v>#DIV/0!</v>
      </c>
      <c r="BE184" s="29" t="str">
        <f t="shared" si="187"/>
        <v>#DIV/0!</v>
      </c>
      <c r="BF184" s="29" t="str">
        <f t="shared" si="187"/>
        <v>#DIV/0!</v>
      </c>
      <c r="BG184" s="29" t="str">
        <f t="shared" si="187"/>
        <v>#DIV/0!</v>
      </c>
      <c r="BH184" s="29" t="str">
        <f t="shared" si="187"/>
        <v>#DIV/0!</v>
      </c>
      <c r="BI184" s="29" t="str">
        <f t="shared" si="187"/>
        <v>#DIV/0!</v>
      </c>
      <c r="BJ184" s="29" t="str">
        <f t="shared" si="187"/>
        <v>#DIV/0!</v>
      </c>
      <c r="BK184" s="29" t="str">
        <f t="shared" si="187"/>
        <v>#DIV/0!</v>
      </c>
      <c r="BL184" s="29" t="str">
        <f t="shared" si="187"/>
        <v>#DIV/0!</v>
      </c>
      <c r="BM184" s="29" t="str">
        <f t="shared" si="3"/>
        <v>#DIV/0!</v>
      </c>
    </row>
    <row r="185">
      <c r="A185" s="16" t="str">
        <f>IFERROR(__xludf.DUMMYFUNCTION("IFERROR(SPARKLINE(SORT(MAP(TRANSPOSE(AQ185:BL185), LAMBDA(val, IF(ISNUMBER(val), PERCENTRANK(AQ185:BL185, val)+0.01, 0))), SEQUENCE(COLUMNS(AQ185:BL185)), FALSE), {""charttype"",""column""; ""color"",""chartreuse""; ""ymin"", 0; ""ymax"", 1.01; ""highcolo"&amp;"r"", ""darkgreen""; ""lowcolor"", ""red""}), """")"),"")</f>
        <v/>
      </c>
      <c r="B185" s="17" t="str">
        <f t="shared" si="4"/>
        <v/>
      </c>
      <c r="C185" s="1" t="s">
        <v>785</v>
      </c>
      <c r="D185" s="30" t="str">
        <f>IFERROR(__xludf.DUMMYFUNCTION("IFERROR(GOOGLEFINANCE(C185, ""NAME""))"),"Uxin Ltd")</f>
        <v>Uxin Ltd</v>
      </c>
      <c r="E185" s="30" t="s">
        <v>190</v>
      </c>
      <c r="F185" s="33" t="str">
        <f>IFERROR(__xludf.DUMMYFUNCTION("( (GOOGLEFINANCE(C185, ""price"") - Q185) / Q185 ) / (R185 / 100)"),"Loading...")</f>
        <v>Loading...</v>
      </c>
      <c r="G185" s="20" t="str">
        <f>IFERROR(__xludf.DUMMYFUNCTION("AVERAGE(ARRAYFORMULA(100 * (QUERY(GOOGLEFINANCE(C185, ""high"", TODAY()-40, TODAY()), ""SELECT Col2 WHERE Col2 IS NOT NULL ORDER BY Col1 DESC LIMIT 20"", 0) / QUERY(GOOGLEFINANCE(C185, ""low"", TODAY()-40, TODAY()), ""SELECT Col2 WHERE Col2 IS NOT NULL OR"&amp;"DER BY Col1 DESC LIMIT 20"", 0) - 1)))"),"#N/A")</f>
        <v>#N/A</v>
      </c>
      <c r="H185" s="35" t="str">
        <f t="shared" si="6"/>
        <v/>
      </c>
      <c r="I185" s="35" t="str">
        <f t="shared" si="7"/>
        <v/>
      </c>
      <c r="J185" s="37" t="str">
        <f>IFERROR(__xludf.DUMMYFUNCTION("IFERROR(
  IF(C185="""",, 
    IFERROR(
      GOOGLEFINANCE(C185, ""price"") * GOOGLEFINANCE(C185, ""volumeavg""), 
      GOOGLEFINANCE(C185, ""price"") * AVERAGE(QUERY(GOOGLEFINANCE(C185, ""volume"", TODAY()-40, TODAY()), ""SELECT Col2 WHERE Col2 IS NOT "&amp;"NULL ORDER BY Col1 DESC LIMIT 20"", 0))
    )
  ), 
"""")"),"")</f>
        <v/>
      </c>
      <c r="K185" s="21" t="str">
        <f>IFERROR(__xludf.DUMMYFUNCTION("IFERROR(GOOGLEFINANCE(C185, ""changepct"") / 100, """")"),"")</f>
        <v/>
      </c>
      <c r="L185" s="21" t="str">
        <f>IFERROR(__xludf.DUMMYFUNCTION("IFERROR((GOOGLEFINANCE(C185, ""price"") / INDEX(GOOGLEFINANCE(C185, ""price"", TODAY()-7, TODAY()), 2, 2)) - 1, """")"),"")</f>
        <v/>
      </c>
      <c r="M185" s="21" t="str">
        <f>IFERROR(__xludf.DUMMYFUNCTION("IFERROR((GOOGLEFINANCE(C185, ""price"") / INDEX(GOOGLEFINANCE(C185, ""price"", EDATE(TODAY(), -1), TODAY()), 2, 2)) - 1, """")"),"")</f>
        <v/>
      </c>
      <c r="N185" s="21" t="str">
        <f>IFERROR(__xludf.DUMMYFUNCTION("IFERROR((GOOGLEFINANCE(C185, ""price"") / INDEX(GOOGLEFINANCE(C185, ""price"", EDATE(TODAY(), -3), TODAY()), 2, 2)) - 1, """")"),"")</f>
        <v/>
      </c>
      <c r="O185" s="21" t="str">
        <f>IFERROR(__xludf.DUMMYFUNCTION("IFERROR((GOOGLEFINANCE(C185, ""price"") / INDEX(GOOGLEFINANCE(C185, ""price"", EDATE(TODAY(), -6), TODAY()), 2, 2)) - 1, """")"),"")</f>
        <v/>
      </c>
      <c r="P185" s="21" t="str">
        <f>IFERROR(__xludf.DUMMYFUNCTION("IFERROR((GOOGLEFINANCE(C185, ""price"") / INDEX(GOOGLEFINANCE(C185, ""price"", EDATE(TODAY(), -12), TODAY()), 2, 2)) - 1, """")"),"")</f>
        <v/>
      </c>
      <c r="Q185" s="6" t="str">
        <f>IFERROR(__xludf.DUMMYFUNCTION("AVERAGE(QUERY(GOOGLEFINANCE(C185, ""price"", TODAY()-80, TODAY()), ""SELECT Col2 WHERE Col2 IS NOT NULL ORDER BY Col1 DESC LIMIT 50"", 0))"),"#N/A")</f>
        <v>#N/A</v>
      </c>
      <c r="R185" s="24" t="str">
        <f>IFERROR(__xludf.DUMMYFUNCTION("IFERROR(
  LET(
    data, QUERY(GOOGLEFINANCE(C185,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GOOGLEFINANCE(C185, ""price"")) * 100,
    IF(calc=0, G185, calc)
  ), 
G185)"),"#N/A")</f>
        <v>#N/A</v>
      </c>
      <c r="S185" s="8" t="s">
        <v>15</v>
      </c>
      <c r="T185" s="26" t="str">
        <f>IFERROR(__xludf.DUMMYFUNCTION("IFERROR(TRANSPOSE(QUERY(IFERROR(SORT(GOOGLEFINANCE(C185, ""price"", WORKDAY(TODAY(), -40), TODAY()), 1, FALSE)), ""select Col2 where Col2 is not null limit 22 label Col2 ''"", 0)), """")"),"")</f>
        <v/>
      </c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8"/>
      <c r="AO185" s="28"/>
      <c r="AP185" s="29"/>
      <c r="AQ185" s="29" t="str">
        <f t="shared" ref="AQ185:BL185" si="188">T185/T$2</f>
        <v>#N/A</v>
      </c>
      <c r="AR185" s="29" t="str">
        <f t="shared" si="188"/>
        <v>#DIV/0!</v>
      </c>
      <c r="AS185" s="29" t="str">
        <f t="shared" si="188"/>
        <v>#DIV/0!</v>
      </c>
      <c r="AT185" s="29" t="str">
        <f t="shared" si="188"/>
        <v>#DIV/0!</v>
      </c>
      <c r="AU185" s="29" t="str">
        <f t="shared" si="188"/>
        <v>#DIV/0!</v>
      </c>
      <c r="AV185" s="29" t="str">
        <f t="shared" si="188"/>
        <v>#DIV/0!</v>
      </c>
      <c r="AW185" s="29" t="str">
        <f t="shared" si="188"/>
        <v>#DIV/0!</v>
      </c>
      <c r="AX185" s="29" t="str">
        <f t="shared" si="188"/>
        <v>#DIV/0!</v>
      </c>
      <c r="AY185" s="29" t="str">
        <f t="shared" si="188"/>
        <v>#DIV/0!</v>
      </c>
      <c r="AZ185" s="29" t="str">
        <f t="shared" si="188"/>
        <v>#DIV/0!</v>
      </c>
      <c r="BA185" s="29" t="str">
        <f t="shared" si="188"/>
        <v>#DIV/0!</v>
      </c>
      <c r="BB185" s="29" t="str">
        <f t="shared" si="188"/>
        <v>#DIV/0!</v>
      </c>
      <c r="BC185" s="29" t="str">
        <f t="shared" si="188"/>
        <v>#DIV/0!</v>
      </c>
      <c r="BD185" s="29" t="str">
        <f t="shared" si="188"/>
        <v>#DIV/0!</v>
      </c>
      <c r="BE185" s="29" t="str">
        <f t="shared" si="188"/>
        <v>#DIV/0!</v>
      </c>
      <c r="BF185" s="29" t="str">
        <f t="shared" si="188"/>
        <v>#DIV/0!</v>
      </c>
      <c r="BG185" s="29" t="str">
        <f t="shared" si="188"/>
        <v>#DIV/0!</v>
      </c>
      <c r="BH185" s="29" t="str">
        <f t="shared" si="188"/>
        <v>#DIV/0!</v>
      </c>
      <c r="BI185" s="29" t="str">
        <f t="shared" si="188"/>
        <v>#DIV/0!</v>
      </c>
      <c r="BJ185" s="29" t="str">
        <f t="shared" si="188"/>
        <v>#DIV/0!</v>
      </c>
      <c r="BK185" s="29" t="str">
        <f t="shared" si="188"/>
        <v>#DIV/0!</v>
      </c>
      <c r="BL185" s="29" t="str">
        <f t="shared" si="188"/>
        <v>#DIV/0!</v>
      </c>
      <c r="BM185" s="29" t="str">
        <f t="shared" si="3"/>
        <v>#DIV/0!</v>
      </c>
    </row>
    <row r="186">
      <c r="A186" s="16" t="str">
        <f>IFERROR(__xludf.DUMMYFUNCTION("IFERROR(SPARKLINE(SORT(MAP(TRANSPOSE(AQ186:BL186), LAMBDA(val, IF(ISNUMBER(val), PERCENTRANK(AQ186:BL186, val)+0.01, 0))), SEQUENCE(COLUMNS(AQ186:BL186)), FALSE), {""charttype"",""column""; ""color"",""chartreuse""; ""ymin"", 0; ""ymax"", 1.01; ""highcolo"&amp;"r"", ""darkgreen""; ""lowcolor"", ""red""}), """")"),"")</f>
        <v/>
      </c>
      <c r="B186" s="17" t="str">
        <f t="shared" si="4"/>
        <v/>
      </c>
      <c r="C186" s="1" t="s">
        <v>788</v>
      </c>
      <c r="D186" s="30" t="str">
        <f>IFERROR(__xludf.DUMMYFUNCTION("IFERROR(GOOGLEFINANCE(C186, ""NAME""))"),"Sharkninja Inc")</f>
        <v>Sharkninja Inc</v>
      </c>
      <c r="E186" s="30" t="s">
        <v>456</v>
      </c>
      <c r="F186" s="38" t="str">
        <f>IFERROR(__xludf.DUMMYFUNCTION("( (GOOGLEFINANCE(C186, ""price"") - Q186) / Q186 ) / (R186 / 100)"),"Loading...")</f>
        <v>Loading...</v>
      </c>
      <c r="G186" s="20" t="str">
        <f>IFERROR(__xludf.DUMMYFUNCTION("AVERAGE(ARRAYFORMULA(100 * (QUERY(GOOGLEFINANCE(C186, ""high"", TODAY()-40, TODAY()), ""SELECT Col2 WHERE Col2 IS NOT NULL ORDER BY Col1 DESC LIMIT 20"", 0) / QUERY(GOOGLEFINANCE(C186, ""low"", TODAY()-40, TODAY()), ""SELECT Col2 WHERE Col2 IS NOT NULL OR"&amp;"DER BY Col1 DESC LIMIT 20"", 0) - 1)))"),"#N/A")</f>
        <v>#N/A</v>
      </c>
      <c r="H186" s="35" t="str">
        <f t="shared" si="6"/>
        <v/>
      </c>
      <c r="I186" s="35" t="str">
        <f t="shared" si="7"/>
        <v/>
      </c>
      <c r="J186" s="37" t="str">
        <f>IFERROR(__xludf.DUMMYFUNCTION("IFERROR(
  IF(C186="""",, 
    IFERROR(
      GOOGLEFINANCE(C186, ""price"") * GOOGLEFINANCE(C186, ""volumeavg""), 
      GOOGLEFINANCE(C186, ""price"") * AVERAGE(QUERY(GOOGLEFINANCE(C186, ""volume"", TODAY()-40, TODAY()), ""SELECT Col2 WHERE Col2 IS NOT "&amp;"NULL ORDER BY Col1 DESC LIMIT 20"", 0))
    )
  ), 
"""")"),"")</f>
        <v/>
      </c>
      <c r="K186" s="21" t="str">
        <f>IFERROR(__xludf.DUMMYFUNCTION("IFERROR(GOOGLEFINANCE(C186, ""changepct"") / 100, """")"),"")</f>
        <v/>
      </c>
      <c r="L186" s="21" t="str">
        <f>IFERROR(__xludf.DUMMYFUNCTION("IFERROR((GOOGLEFINANCE(C186, ""price"") / INDEX(GOOGLEFINANCE(C186, ""price"", TODAY()-7, TODAY()), 2, 2)) - 1, """")"),"")</f>
        <v/>
      </c>
      <c r="M186" s="21" t="str">
        <f>IFERROR(__xludf.DUMMYFUNCTION("IFERROR((GOOGLEFINANCE(C186, ""price"") / INDEX(GOOGLEFINANCE(C186, ""price"", EDATE(TODAY(), -1), TODAY()), 2, 2)) - 1, """")"),"")</f>
        <v/>
      </c>
      <c r="N186" s="21" t="str">
        <f>IFERROR(__xludf.DUMMYFUNCTION("IFERROR((GOOGLEFINANCE(C186, ""price"") / INDEX(GOOGLEFINANCE(C186, ""price"", EDATE(TODAY(), -3), TODAY()), 2, 2)) - 1, """")"),"")</f>
        <v/>
      </c>
      <c r="O186" s="21" t="str">
        <f>IFERROR(__xludf.DUMMYFUNCTION("IFERROR((GOOGLEFINANCE(C186, ""price"") / INDEX(GOOGLEFINANCE(C186, ""price"", EDATE(TODAY(), -6), TODAY()), 2, 2)) - 1, """")"),"")</f>
        <v/>
      </c>
      <c r="P186" s="21" t="str">
        <f>IFERROR(__xludf.DUMMYFUNCTION("IFERROR((GOOGLEFINANCE(C186, ""price"") / INDEX(GOOGLEFINANCE(C186, ""price"", EDATE(TODAY(), -12), TODAY()), 2, 2)) - 1, """")"),"")</f>
        <v/>
      </c>
      <c r="Q186" s="6" t="str">
        <f>IFERROR(__xludf.DUMMYFUNCTION("AVERAGE(QUERY(GOOGLEFINANCE(C186, ""price"", TODAY()-80, TODAY()), ""SELECT Col2 WHERE Col2 IS NOT NULL ORDER BY Col1 DESC LIMIT 50"", 0))"),"#N/A")</f>
        <v>#N/A</v>
      </c>
      <c r="R186" s="24" t="str">
        <f>IFERROR(__xludf.DUMMYFUNCTION("IFERROR(
  LET(
    data, QUERY(GOOGLEFINANCE(C186,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GOOGLEFINANCE(C186, ""price"")) * 100,
    IF(calc=0, G186, calc)
  ), 
G186)"),"#N/A")</f>
        <v>#N/A</v>
      </c>
      <c r="S186" s="8" t="s">
        <v>15</v>
      </c>
      <c r="T186" s="26" t="str">
        <f>IFERROR(__xludf.DUMMYFUNCTION("IFERROR(TRANSPOSE(QUERY(IFERROR(SORT(GOOGLEFINANCE(C186, ""price"", WORKDAY(TODAY(), -40), TODAY()), 1, FALSE)), ""select Col2 where Col2 is not null limit 22 label Col2 ''"", 0)), """")"),"")</f>
        <v/>
      </c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8"/>
      <c r="AO186" s="28"/>
      <c r="AP186" s="29"/>
      <c r="AQ186" s="29" t="str">
        <f t="shared" ref="AQ186:BL186" si="189">T186/T$2</f>
        <v>#N/A</v>
      </c>
      <c r="AR186" s="29" t="str">
        <f t="shared" si="189"/>
        <v>#DIV/0!</v>
      </c>
      <c r="AS186" s="29" t="str">
        <f t="shared" si="189"/>
        <v>#DIV/0!</v>
      </c>
      <c r="AT186" s="29" t="str">
        <f t="shared" si="189"/>
        <v>#DIV/0!</v>
      </c>
      <c r="AU186" s="29" t="str">
        <f t="shared" si="189"/>
        <v>#DIV/0!</v>
      </c>
      <c r="AV186" s="29" t="str">
        <f t="shared" si="189"/>
        <v>#DIV/0!</v>
      </c>
      <c r="AW186" s="29" t="str">
        <f t="shared" si="189"/>
        <v>#DIV/0!</v>
      </c>
      <c r="AX186" s="29" t="str">
        <f t="shared" si="189"/>
        <v>#DIV/0!</v>
      </c>
      <c r="AY186" s="29" t="str">
        <f t="shared" si="189"/>
        <v>#DIV/0!</v>
      </c>
      <c r="AZ186" s="29" t="str">
        <f t="shared" si="189"/>
        <v>#DIV/0!</v>
      </c>
      <c r="BA186" s="29" t="str">
        <f t="shared" si="189"/>
        <v>#DIV/0!</v>
      </c>
      <c r="BB186" s="29" t="str">
        <f t="shared" si="189"/>
        <v>#DIV/0!</v>
      </c>
      <c r="BC186" s="29" t="str">
        <f t="shared" si="189"/>
        <v>#DIV/0!</v>
      </c>
      <c r="BD186" s="29" t="str">
        <f t="shared" si="189"/>
        <v>#DIV/0!</v>
      </c>
      <c r="BE186" s="29" t="str">
        <f t="shared" si="189"/>
        <v>#DIV/0!</v>
      </c>
      <c r="BF186" s="29" t="str">
        <f t="shared" si="189"/>
        <v>#DIV/0!</v>
      </c>
      <c r="BG186" s="29" t="str">
        <f t="shared" si="189"/>
        <v>#DIV/0!</v>
      </c>
      <c r="BH186" s="29" t="str">
        <f t="shared" si="189"/>
        <v>#DIV/0!</v>
      </c>
      <c r="BI186" s="29" t="str">
        <f t="shared" si="189"/>
        <v>#DIV/0!</v>
      </c>
      <c r="BJ186" s="29" t="str">
        <f t="shared" si="189"/>
        <v>#DIV/0!</v>
      </c>
      <c r="BK186" s="29" t="str">
        <f t="shared" si="189"/>
        <v>#DIV/0!</v>
      </c>
      <c r="BL186" s="29" t="str">
        <f t="shared" si="189"/>
        <v>#DIV/0!</v>
      </c>
      <c r="BM186" s="29" t="str">
        <f t="shared" si="3"/>
        <v>#DIV/0!</v>
      </c>
    </row>
    <row r="187">
      <c r="A187" s="16" t="str">
        <f>IFERROR(__xludf.DUMMYFUNCTION("IFERROR(SPARKLINE(SORT(MAP(TRANSPOSE(AQ187:BL187), LAMBDA(val, IF(ISNUMBER(val), PERCENTRANK(AQ187:BL187, val)+0.01, 0))), SEQUENCE(COLUMNS(AQ187:BL187)), FALSE), {""charttype"",""column""; ""color"",""chartreuse""; ""ymin"", 0; ""ymax"", 1.01; ""highcolo"&amp;"r"", ""darkgreen""; ""lowcolor"", ""red""}), """")"),"")</f>
        <v/>
      </c>
      <c r="B187" s="17" t="str">
        <f t="shared" si="4"/>
        <v/>
      </c>
      <c r="C187" s="1" t="s">
        <v>791</v>
      </c>
      <c r="D187" s="30" t="str">
        <f>IFERROR(__xludf.DUMMYFUNCTION("IFERROR(GOOGLEFINANCE(C187, ""NAME""))"),"Chewy Inc")</f>
        <v>Chewy Inc</v>
      </c>
      <c r="E187" s="30" t="s">
        <v>137</v>
      </c>
      <c r="F187" s="33" t="str">
        <f>IFERROR(__xludf.DUMMYFUNCTION("( (GOOGLEFINANCE(C187, ""price"") - Q187) / Q187 ) / (R187 / 100)"),"Loading...")</f>
        <v>Loading...</v>
      </c>
      <c r="G187" s="20" t="str">
        <f>IFERROR(__xludf.DUMMYFUNCTION("AVERAGE(ARRAYFORMULA(100 * (QUERY(GOOGLEFINANCE(C187, ""high"", TODAY()-40, TODAY()), ""SELECT Col2 WHERE Col2 IS NOT NULL ORDER BY Col1 DESC LIMIT 20"", 0) / QUERY(GOOGLEFINANCE(C187, ""low"", TODAY()-40, TODAY()), ""SELECT Col2 WHERE Col2 IS NOT NULL OR"&amp;"DER BY Col1 DESC LIMIT 20"", 0) - 1)))"),"#N/A")</f>
        <v>#N/A</v>
      </c>
      <c r="H187" s="35" t="str">
        <f t="shared" si="6"/>
        <v/>
      </c>
      <c r="I187" s="35" t="str">
        <f t="shared" si="7"/>
        <v/>
      </c>
      <c r="J187" s="37" t="str">
        <f>IFERROR(__xludf.DUMMYFUNCTION("IFERROR(
  IF(C187="""",, 
    IFERROR(
      GOOGLEFINANCE(C187, ""price"") * GOOGLEFINANCE(C187, ""volumeavg""), 
      GOOGLEFINANCE(C187, ""price"") * AVERAGE(QUERY(GOOGLEFINANCE(C187, ""volume"", TODAY()-40, TODAY()), ""SELECT Col2 WHERE Col2 IS NOT "&amp;"NULL ORDER BY Col1 DESC LIMIT 20"", 0))
    )
  ), 
"""")"),"")</f>
        <v/>
      </c>
      <c r="K187" s="21" t="str">
        <f>IFERROR(__xludf.DUMMYFUNCTION("IFERROR(GOOGLEFINANCE(C187, ""changepct"") / 100, """")"),"")</f>
        <v/>
      </c>
      <c r="L187" s="21" t="str">
        <f>IFERROR(__xludf.DUMMYFUNCTION("IFERROR((GOOGLEFINANCE(C187, ""price"") / INDEX(GOOGLEFINANCE(C187, ""price"", TODAY()-7, TODAY()), 2, 2)) - 1, """")"),"")</f>
        <v/>
      </c>
      <c r="M187" s="21" t="str">
        <f>IFERROR(__xludf.DUMMYFUNCTION("IFERROR((GOOGLEFINANCE(C187, ""price"") / INDEX(GOOGLEFINANCE(C187, ""price"", EDATE(TODAY(), -1), TODAY()), 2, 2)) - 1, """")"),"")</f>
        <v/>
      </c>
      <c r="N187" s="21" t="str">
        <f>IFERROR(__xludf.DUMMYFUNCTION("IFERROR((GOOGLEFINANCE(C187, ""price"") / INDEX(GOOGLEFINANCE(C187, ""price"", EDATE(TODAY(), -3), TODAY()), 2, 2)) - 1, """")"),"")</f>
        <v/>
      </c>
      <c r="O187" s="21" t="str">
        <f>IFERROR(__xludf.DUMMYFUNCTION("IFERROR((GOOGLEFINANCE(C187, ""price"") / INDEX(GOOGLEFINANCE(C187, ""price"", EDATE(TODAY(), -6), TODAY()), 2, 2)) - 1, """")"),"")</f>
        <v/>
      </c>
      <c r="P187" s="21" t="str">
        <f>IFERROR(__xludf.DUMMYFUNCTION("IFERROR((GOOGLEFINANCE(C187, ""price"") / INDEX(GOOGLEFINANCE(C187, ""price"", EDATE(TODAY(), -12), TODAY()), 2, 2)) - 1, """")"),"")</f>
        <v/>
      </c>
      <c r="Q187" s="6" t="str">
        <f>IFERROR(__xludf.DUMMYFUNCTION("AVERAGE(QUERY(GOOGLEFINANCE(C187, ""price"", TODAY()-80, TODAY()), ""SELECT Col2 WHERE Col2 IS NOT NULL ORDER BY Col1 DESC LIMIT 50"", 0))"),"#N/A")</f>
        <v>#N/A</v>
      </c>
      <c r="R187" s="24" t="str">
        <f>IFERROR(__xludf.DUMMYFUNCTION("IFERROR(
  LET(
    data, QUERY(GOOGLEFINANCE(C187,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GOOGLEFINANCE(C187, ""price"")) * 100,
    IF(calc=0, G187, calc)
  ), 
G187)"),"#N/A")</f>
        <v>#N/A</v>
      </c>
      <c r="S187" s="8" t="s">
        <v>15</v>
      </c>
      <c r="T187" s="26" t="str">
        <f>IFERROR(__xludf.DUMMYFUNCTION("IFERROR(TRANSPOSE(QUERY(IFERROR(SORT(GOOGLEFINANCE(C187, ""price"", WORKDAY(TODAY(), -40), TODAY()), 1, FALSE)), ""select Col2 where Col2 is not null limit 22 label Col2 ''"", 0)), """")"),"")</f>
        <v/>
      </c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8"/>
      <c r="AO187" s="28"/>
      <c r="AP187" s="29"/>
      <c r="AQ187" s="29" t="str">
        <f t="shared" ref="AQ187:BL187" si="190">T187/T$2</f>
        <v>#N/A</v>
      </c>
      <c r="AR187" s="29" t="str">
        <f t="shared" si="190"/>
        <v>#DIV/0!</v>
      </c>
      <c r="AS187" s="29" t="str">
        <f t="shared" si="190"/>
        <v>#DIV/0!</v>
      </c>
      <c r="AT187" s="29" t="str">
        <f t="shared" si="190"/>
        <v>#DIV/0!</v>
      </c>
      <c r="AU187" s="29" t="str">
        <f t="shared" si="190"/>
        <v>#DIV/0!</v>
      </c>
      <c r="AV187" s="29" t="str">
        <f t="shared" si="190"/>
        <v>#DIV/0!</v>
      </c>
      <c r="AW187" s="29" t="str">
        <f t="shared" si="190"/>
        <v>#DIV/0!</v>
      </c>
      <c r="AX187" s="29" t="str">
        <f t="shared" si="190"/>
        <v>#DIV/0!</v>
      </c>
      <c r="AY187" s="29" t="str">
        <f t="shared" si="190"/>
        <v>#DIV/0!</v>
      </c>
      <c r="AZ187" s="29" t="str">
        <f t="shared" si="190"/>
        <v>#DIV/0!</v>
      </c>
      <c r="BA187" s="29" t="str">
        <f t="shared" si="190"/>
        <v>#DIV/0!</v>
      </c>
      <c r="BB187" s="29" t="str">
        <f t="shared" si="190"/>
        <v>#DIV/0!</v>
      </c>
      <c r="BC187" s="29" t="str">
        <f t="shared" si="190"/>
        <v>#DIV/0!</v>
      </c>
      <c r="BD187" s="29" t="str">
        <f t="shared" si="190"/>
        <v>#DIV/0!</v>
      </c>
      <c r="BE187" s="29" t="str">
        <f t="shared" si="190"/>
        <v>#DIV/0!</v>
      </c>
      <c r="BF187" s="29" t="str">
        <f t="shared" si="190"/>
        <v>#DIV/0!</v>
      </c>
      <c r="BG187" s="29" t="str">
        <f t="shared" si="190"/>
        <v>#DIV/0!</v>
      </c>
      <c r="BH187" s="29" t="str">
        <f t="shared" si="190"/>
        <v>#DIV/0!</v>
      </c>
      <c r="BI187" s="29" t="str">
        <f t="shared" si="190"/>
        <v>#DIV/0!</v>
      </c>
      <c r="BJ187" s="29" t="str">
        <f t="shared" si="190"/>
        <v>#DIV/0!</v>
      </c>
      <c r="BK187" s="29" t="str">
        <f t="shared" si="190"/>
        <v>#DIV/0!</v>
      </c>
      <c r="BL187" s="29" t="str">
        <f t="shared" si="190"/>
        <v>#DIV/0!</v>
      </c>
      <c r="BM187" s="29" t="str">
        <f t="shared" si="3"/>
        <v>#DIV/0!</v>
      </c>
    </row>
    <row r="188">
      <c r="A188" s="16" t="str">
        <f>IFERROR(__xludf.DUMMYFUNCTION("IFERROR(SPARKLINE(SORT(MAP(TRANSPOSE(AQ188:BL188), LAMBDA(val, IF(ISNUMBER(val), PERCENTRANK(AQ188:BL188, val)+0.01, 0))), SEQUENCE(COLUMNS(AQ188:BL188)), FALSE), {""charttype"",""column""; ""color"",""chartreuse""; ""ymin"", 0; ""ymax"", 1.01; ""highcolo"&amp;"r"", ""darkgreen""; ""lowcolor"", ""red""}), """")"),"")</f>
        <v/>
      </c>
      <c r="B188" s="17" t="str">
        <f t="shared" si="4"/>
        <v/>
      </c>
      <c r="C188" s="1" t="s">
        <v>794</v>
      </c>
      <c r="D188" s="30" t="str">
        <f>IFERROR(__xludf.DUMMYFUNCTION("IFERROR(GOOGLEFINANCE(C188, ""NAME""))"),"Service Corporation International")</f>
        <v>Service Corporation International</v>
      </c>
      <c r="E188" s="30" t="s">
        <v>154</v>
      </c>
      <c r="F188" s="33" t="str">
        <f>IFERROR(__xludf.DUMMYFUNCTION("( (GOOGLEFINANCE(C188, ""price"") - Q188) / Q188 ) / (R188 / 100)"),"Loading...")</f>
        <v>Loading...</v>
      </c>
      <c r="G188" s="20" t="str">
        <f>IFERROR(__xludf.DUMMYFUNCTION("AVERAGE(ARRAYFORMULA(100 * (QUERY(GOOGLEFINANCE(C188, ""high"", TODAY()-40, TODAY()), ""SELECT Col2 WHERE Col2 IS NOT NULL ORDER BY Col1 DESC LIMIT 20"", 0) / QUERY(GOOGLEFINANCE(C188, ""low"", TODAY()-40, TODAY()), ""SELECT Col2 WHERE Col2 IS NOT NULL OR"&amp;"DER BY Col1 DESC LIMIT 20"", 0) - 1)))"),"#N/A")</f>
        <v>#N/A</v>
      </c>
      <c r="H188" s="35" t="str">
        <f t="shared" si="6"/>
        <v/>
      </c>
      <c r="I188" s="35" t="str">
        <f t="shared" si="7"/>
        <v/>
      </c>
      <c r="J188" s="37" t="str">
        <f>IFERROR(__xludf.DUMMYFUNCTION("IFERROR(
  IF(C188="""",, 
    IFERROR(
      GOOGLEFINANCE(C188, ""price"") * GOOGLEFINANCE(C188, ""volumeavg""), 
      GOOGLEFINANCE(C188, ""price"") * AVERAGE(QUERY(GOOGLEFINANCE(C188, ""volume"", TODAY()-40, TODAY()), ""SELECT Col2 WHERE Col2 IS NOT "&amp;"NULL ORDER BY Col1 DESC LIMIT 20"", 0))
    )
  ), 
"""")"),"")</f>
        <v/>
      </c>
      <c r="K188" s="21" t="str">
        <f>IFERROR(__xludf.DUMMYFUNCTION("IFERROR(GOOGLEFINANCE(C188, ""changepct"") / 100, """")"),"")</f>
        <v/>
      </c>
      <c r="L188" s="21" t="str">
        <f>IFERROR(__xludf.DUMMYFUNCTION("IFERROR((GOOGLEFINANCE(C188, ""price"") / INDEX(GOOGLEFINANCE(C188, ""price"", TODAY()-7, TODAY()), 2, 2)) - 1, """")"),"")</f>
        <v/>
      </c>
      <c r="M188" s="21" t="str">
        <f>IFERROR(__xludf.DUMMYFUNCTION("IFERROR((GOOGLEFINANCE(C188, ""price"") / INDEX(GOOGLEFINANCE(C188, ""price"", EDATE(TODAY(), -1), TODAY()), 2, 2)) - 1, """")"),"")</f>
        <v/>
      </c>
      <c r="N188" s="21" t="str">
        <f>IFERROR(__xludf.DUMMYFUNCTION("IFERROR((GOOGLEFINANCE(C188, ""price"") / INDEX(GOOGLEFINANCE(C188, ""price"", EDATE(TODAY(), -3), TODAY()), 2, 2)) - 1, """")"),"")</f>
        <v/>
      </c>
      <c r="O188" s="21" t="str">
        <f>IFERROR(__xludf.DUMMYFUNCTION("IFERROR((GOOGLEFINANCE(C188, ""price"") / INDEX(GOOGLEFINANCE(C188, ""price"", EDATE(TODAY(), -6), TODAY()), 2, 2)) - 1, """")"),"")</f>
        <v/>
      </c>
      <c r="P188" s="21" t="str">
        <f>IFERROR(__xludf.DUMMYFUNCTION("IFERROR((GOOGLEFINANCE(C188, ""price"") / INDEX(GOOGLEFINANCE(C188, ""price"", EDATE(TODAY(), -12), TODAY()), 2, 2)) - 1, """")"),"")</f>
        <v/>
      </c>
      <c r="Q188" s="6" t="str">
        <f>IFERROR(__xludf.DUMMYFUNCTION("AVERAGE(QUERY(GOOGLEFINANCE(C188, ""price"", TODAY()-80, TODAY()), ""SELECT Col2 WHERE Col2 IS NOT NULL ORDER BY Col1 DESC LIMIT 50"", 0))"),"#N/A")</f>
        <v>#N/A</v>
      </c>
      <c r="R188" s="24" t="str">
        <f>IFERROR(__xludf.DUMMYFUNCTION("IFERROR(
  LET(
    data, QUERY(GOOGLEFINANCE(C188,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GOOGLEFINANCE(C188, ""price"")) * 100,
    IF(calc=0, G188, calc)
  ), 
G188)"),"#N/A")</f>
        <v>#N/A</v>
      </c>
      <c r="S188" s="8" t="s">
        <v>15</v>
      </c>
      <c r="T188" s="26" t="str">
        <f>IFERROR(__xludf.DUMMYFUNCTION("IFERROR(TRANSPOSE(QUERY(IFERROR(SORT(GOOGLEFINANCE(C188, ""price"", WORKDAY(TODAY(), -40), TODAY()), 1, FALSE)), ""select Col2 where Col2 is not null limit 22 label Col2 ''"", 0)), """")"),"")</f>
        <v/>
      </c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8"/>
      <c r="AO188" s="28"/>
      <c r="AP188" s="29"/>
      <c r="AQ188" s="29" t="str">
        <f t="shared" ref="AQ188:BL188" si="191">T188/T$2</f>
        <v>#N/A</v>
      </c>
      <c r="AR188" s="29" t="str">
        <f t="shared" si="191"/>
        <v>#DIV/0!</v>
      </c>
      <c r="AS188" s="29" t="str">
        <f t="shared" si="191"/>
        <v>#DIV/0!</v>
      </c>
      <c r="AT188" s="29" t="str">
        <f t="shared" si="191"/>
        <v>#DIV/0!</v>
      </c>
      <c r="AU188" s="29" t="str">
        <f t="shared" si="191"/>
        <v>#DIV/0!</v>
      </c>
      <c r="AV188" s="29" t="str">
        <f t="shared" si="191"/>
        <v>#DIV/0!</v>
      </c>
      <c r="AW188" s="29" t="str">
        <f t="shared" si="191"/>
        <v>#DIV/0!</v>
      </c>
      <c r="AX188" s="29" t="str">
        <f t="shared" si="191"/>
        <v>#DIV/0!</v>
      </c>
      <c r="AY188" s="29" t="str">
        <f t="shared" si="191"/>
        <v>#DIV/0!</v>
      </c>
      <c r="AZ188" s="29" t="str">
        <f t="shared" si="191"/>
        <v>#DIV/0!</v>
      </c>
      <c r="BA188" s="29" t="str">
        <f t="shared" si="191"/>
        <v>#DIV/0!</v>
      </c>
      <c r="BB188" s="29" t="str">
        <f t="shared" si="191"/>
        <v>#DIV/0!</v>
      </c>
      <c r="BC188" s="29" t="str">
        <f t="shared" si="191"/>
        <v>#DIV/0!</v>
      </c>
      <c r="BD188" s="29" t="str">
        <f t="shared" si="191"/>
        <v>#DIV/0!</v>
      </c>
      <c r="BE188" s="29" t="str">
        <f t="shared" si="191"/>
        <v>#DIV/0!</v>
      </c>
      <c r="BF188" s="29" t="str">
        <f t="shared" si="191"/>
        <v>#DIV/0!</v>
      </c>
      <c r="BG188" s="29" t="str">
        <f t="shared" si="191"/>
        <v>#DIV/0!</v>
      </c>
      <c r="BH188" s="29" t="str">
        <f t="shared" si="191"/>
        <v>#DIV/0!</v>
      </c>
      <c r="BI188" s="29" t="str">
        <f t="shared" si="191"/>
        <v>#DIV/0!</v>
      </c>
      <c r="BJ188" s="29" t="str">
        <f t="shared" si="191"/>
        <v>#DIV/0!</v>
      </c>
      <c r="BK188" s="29" t="str">
        <f t="shared" si="191"/>
        <v>#DIV/0!</v>
      </c>
      <c r="BL188" s="29" t="str">
        <f t="shared" si="191"/>
        <v>#DIV/0!</v>
      </c>
      <c r="BM188" s="29" t="str">
        <f t="shared" si="3"/>
        <v>#DIV/0!</v>
      </c>
    </row>
    <row r="189">
      <c r="A189" s="16" t="str">
        <f>IFERROR(__xludf.DUMMYFUNCTION("IFERROR(SPARKLINE(SORT(MAP(TRANSPOSE(AQ189:BL189), LAMBDA(val, IF(ISNUMBER(val), PERCENTRANK(AQ189:BL189, val)+0.01, 0))), SEQUENCE(COLUMNS(AQ189:BL189)), FALSE), {""charttype"",""column""; ""color"",""chartreuse""; ""ymin"", 0; ""ymax"", 1.01; ""highcolo"&amp;"r"", ""darkgreen""; ""lowcolor"", ""red""}), """")"),"")</f>
        <v/>
      </c>
      <c r="B189" s="17" t="str">
        <f t="shared" si="4"/>
        <v/>
      </c>
      <c r="C189" s="1" t="s">
        <v>798</v>
      </c>
      <c r="D189" s="30" t="str">
        <f>IFERROR(__xludf.DUMMYFUNCTION("IFERROR(GOOGLEFINANCE(C189, ""NAME""))"),"Rollins Inc")</f>
        <v>Rollins Inc</v>
      </c>
      <c r="E189" s="30" t="s">
        <v>154</v>
      </c>
      <c r="F189" s="33" t="str">
        <f>IFERROR(__xludf.DUMMYFUNCTION("( (GOOGLEFINANCE(C189, ""price"") - Q189) / Q189 ) / (R189 / 100)"),"Loading...")</f>
        <v>Loading...</v>
      </c>
      <c r="G189" s="20" t="str">
        <f>IFERROR(__xludf.DUMMYFUNCTION("AVERAGE(ARRAYFORMULA(100 * (QUERY(GOOGLEFINANCE(C189, ""high"", TODAY()-40, TODAY()), ""SELECT Col2 WHERE Col2 IS NOT NULL ORDER BY Col1 DESC LIMIT 20"", 0) / QUERY(GOOGLEFINANCE(C189, ""low"", TODAY()-40, TODAY()), ""SELECT Col2 WHERE Col2 IS NOT NULL OR"&amp;"DER BY Col1 DESC LIMIT 20"", 0) - 1)))"),"#N/A")</f>
        <v>#N/A</v>
      </c>
      <c r="H189" s="35" t="str">
        <f t="shared" si="6"/>
        <v/>
      </c>
      <c r="I189" s="35" t="str">
        <f t="shared" si="7"/>
        <v/>
      </c>
      <c r="J189" s="37" t="str">
        <f>IFERROR(__xludf.DUMMYFUNCTION("IFERROR(
  IF(C189="""",, 
    IFERROR(
      GOOGLEFINANCE(C189, ""price"") * GOOGLEFINANCE(C189, ""volumeavg""), 
      GOOGLEFINANCE(C189, ""price"") * AVERAGE(QUERY(GOOGLEFINANCE(C189, ""volume"", TODAY()-40, TODAY()), ""SELECT Col2 WHERE Col2 IS NOT "&amp;"NULL ORDER BY Col1 DESC LIMIT 20"", 0))
    )
  ), 
"""")"),"")</f>
        <v/>
      </c>
      <c r="K189" s="21" t="str">
        <f>IFERROR(__xludf.DUMMYFUNCTION("IFERROR(GOOGLEFINANCE(C189, ""changepct"") / 100, """")"),"")</f>
        <v/>
      </c>
      <c r="L189" s="21" t="str">
        <f>IFERROR(__xludf.DUMMYFUNCTION("IFERROR((GOOGLEFINANCE(C189, ""price"") / INDEX(GOOGLEFINANCE(C189, ""price"", TODAY()-7, TODAY()), 2, 2)) - 1, """")"),"")</f>
        <v/>
      </c>
      <c r="M189" s="21" t="str">
        <f>IFERROR(__xludf.DUMMYFUNCTION("IFERROR((GOOGLEFINANCE(C189, ""price"") / INDEX(GOOGLEFINANCE(C189, ""price"", EDATE(TODAY(), -1), TODAY()), 2, 2)) - 1, """")"),"")</f>
        <v/>
      </c>
      <c r="N189" s="21" t="str">
        <f>IFERROR(__xludf.DUMMYFUNCTION("IFERROR((GOOGLEFINANCE(C189, ""price"") / INDEX(GOOGLEFINANCE(C189, ""price"", EDATE(TODAY(), -3), TODAY()), 2, 2)) - 1, """")"),"")</f>
        <v/>
      </c>
      <c r="O189" s="21" t="str">
        <f>IFERROR(__xludf.DUMMYFUNCTION("IFERROR((GOOGLEFINANCE(C189, ""price"") / INDEX(GOOGLEFINANCE(C189, ""price"", EDATE(TODAY(), -6), TODAY()), 2, 2)) - 1, """")"),"")</f>
        <v/>
      </c>
      <c r="P189" s="21" t="str">
        <f>IFERROR(__xludf.DUMMYFUNCTION("IFERROR((GOOGLEFINANCE(C189, ""price"") / INDEX(GOOGLEFINANCE(C189, ""price"", EDATE(TODAY(), -12), TODAY()), 2, 2)) - 1, """")"),"")</f>
        <v/>
      </c>
      <c r="Q189" s="6" t="str">
        <f>IFERROR(__xludf.DUMMYFUNCTION("AVERAGE(QUERY(GOOGLEFINANCE(C189, ""price"", TODAY()-80, TODAY()), ""SELECT Col2 WHERE Col2 IS NOT NULL ORDER BY Col1 DESC LIMIT 50"", 0))"),"#N/A")</f>
        <v>#N/A</v>
      </c>
      <c r="R189" s="24" t="str">
        <f>IFERROR(__xludf.DUMMYFUNCTION("IFERROR(
  LET(
    data, QUERY(GOOGLEFINANCE(C189,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GOOGLEFINANCE(C189, ""price"")) * 100,
    IF(calc=0, G189, calc)
  ), 
G189)"),"#N/A")</f>
        <v>#N/A</v>
      </c>
      <c r="S189" s="8" t="s">
        <v>15</v>
      </c>
      <c r="T189" s="26" t="str">
        <f>IFERROR(__xludf.DUMMYFUNCTION("IFERROR(TRANSPOSE(QUERY(IFERROR(SORT(GOOGLEFINANCE(C189, ""price"", WORKDAY(TODAY(), -40), TODAY()), 1, FALSE)), ""select Col2 where Col2 is not null limit 22 label Col2 ''"", 0)), """")"),"")</f>
        <v/>
      </c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8"/>
      <c r="AO189" s="28"/>
      <c r="AP189" s="29"/>
      <c r="AQ189" s="29" t="str">
        <f t="shared" ref="AQ189:BL189" si="192">T189/T$2</f>
        <v>#N/A</v>
      </c>
      <c r="AR189" s="29" t="str">
        <f t="shared" si="192"/>
        <v>#DIV/0!</v>
      </c>
      <c r="AS189" s="29" t="str">
        <f t="shared" si="192"/>
        <v>#DIV/0!</v>
      </c>
      <c r="AT189" s="29" t="str">
        <f t="shared" si="192"/>
        <v>#DIV/0!</v>
      </c>
      <c r="AU189" s="29" t="str">
        <f t="shared" si="192"/>
        <v>#DIV/0!</v>
      </c>
      <c r="AV189" s="29" t="str">
        <f t="shared" si="192"/>
        <v>#DIV/0!</v>
      </c>
      <c r="AW189" s="29" t="str">
        <f t="shared" si="192"/>
        <v>#DIV/0!</v>
      </c>
      <c r="AX189" s="29" t="str">
        <f t="shared" si="192"/>
        <v>#DIV/0!</v>
      </c>
      <c r="AY189" s="29" t="str">
        <f t="shared" si="192"/>
        <v>#DIV/0!</v>
      </c>
      <c r="AZ189" s="29" t="str">
        <f t="shared" si="192"/>
        <v>#DIV/0!</v>
      </c>
      <c r="BA189" s="29" t="str">
        <f t="shared" si="192"/>
        <v>#DIV/0!</v>
      </c>
      <c r="BB189" s="29" t="str">
        <f t="shared" si="192"/>
        <v>#DIV/0!</v>
      </c>
      <c r="BC189" s="29" t="str">
        <f t="shared" si="192"/>
        <v>#DIV/0!</v>
      </c>
      <c r="BD189" s="29" t="str">
        <f t="shared" si="192"/>
        <v>#DIV/0!</v>
      </c>
      <c r="BE189" s="29" t="str">
        <f t="shared" si="192"/>
        <v>#DIV/0!</v>
      </c>
      <c r="BF189" s="29" t="str">
        <f t="shared" si="192"/>
        <v>#DIV/0!</v>
      </c>
      <c r="BG189" s="29" t="str">
        <f t="shared" si="192"/>
        <v>#DIV/0!</v>
      </c>
      <c r="BH189" s="29" t="str">
        <f t="shared" si="192"/>
        <v>#DIV/0!</v>
      </c>
      <c r="BI189" s="29" t="str">
        <f t="shared" si="192"/>
        <v>#DIV/0!</v>
      </c>
      <c r="BJ189" s="29" t="str">
        <f t="shared" si="192"/>
        <v>#DIV/0!</v>
      </c>
      <c r="BK189" s="29" t="str">
        <f t="shared" si="192"/>
        <v>#DIV/0!</v>
      </c>
      <c r="BL189" s="29" t="str">
        <f t="shared" si="192"/>
        <v>#DIV/0!</v>
      </c>
      <c r="BM189" s="29" t="str">
        <f t="shared" si="3"/>
        <v>#DIV/0!</v>
      </c>
    </row>
    <row r="190">
      <c r="A190" s="16" t="str">
        <f>IFERROR(__xludf.DUMMYFUNCTION("IFERROR(SPARKLINE(SORT(MAP(TRANSPOSE(AQ190:BL190), LAMBDA(val, IF(ISNUMBER(val), PERCENTRANK(AQ190:BL190, val)+0.01, 0))), SEQUENCE(COLUMNS(AQ190:BL190)), FALSE), {""charttype"",""column""; ""color"",""chartreuse""; ""ymin"", 0; ""ymax"", 1.01; ""highcolo"&amp;"r"", ""darkgreen""; ""lowcolor"", ""red""}), """")"),"")</f>
        <v/>
      </c>
      <c r="B190" s="17" t="str">
        <f t="shared" si="4"/>
        <v/>
      </c>
      <c r="C190" s="1" t="s">
        <v>802</v>
      </c>
      <c r="D190" s="30" t="str">
        <f>IFERROR(__xludf.DUMMYFUNCTION("IFERROR(GOOGLEFINANCE(C190, ""NAME""))"),"")</f>
        <v/>
      </c>
      <c r="E190" s="30" t="s">
        <v>261</v>
      </c>
      <c r="F190" s="33" t="str">
        <f>IFERROR(__xludf.DUMMYFUNCTION("( (GOOGLEFINANCE(C190, ""price"") - Q190) / Q190 ) / (R190 / 100)"),"Loading...")</f>
        <v>Loading...</v>
      </c>
      <c r="G190" s="20" t="str">
        <f>IFERROR(__xludf.DUMMYFUNCTION("AVERAGE(ARRAYFORMULA(100 * (QUERY(GOOGLEFINANCE(C190, ""high"", TODAY()-40, TODAY()), ""SELECT Col2 WHERE Col2 IS NOT NULL ORDER BY Col1 DESC LIMIT 20"", 0) / QUERY(GOOGLEFINANCE(C190, ""low"", TODAY()-40, TODAY()), ""SELECT Col2 WHERE Col2 IS NOT NULL OR"&amp;"DER BY Col1 DESC LIMIT 20"", 0) - 1)))"),"#N/A")</f>
        <v>#N/A</v>
      </c>
      <c r="H190" s="35" t="str">
        <f t="shared" si="6"/>
        <v/>
      </c>
      <c r="I190" s="35" t="str">
        <f t="shared" si="7"/>
        <v/>
      </c>
      <c r="J190" s="37" t="str">
        <f>IFERROR(__xludf.DUMMYFUNCTION("IFERROR(
  IF(C190="""",, 
    IFERROR(
      GOOGLEFINANCE(C190, ""price"") * GOOGLEFINANCE(C190, ""volumeavg""), 
      GOOGLEFINANCE(C190, ""price"") * AVERAGE(QUERY(GOOGLEFINANCE(C190, ""volume"", TODAY()-40, TODAY()), ""SELECT Col2 WHERE Col2 IS NOT "&amp;"NULL ORDER BY Col1 DESC LIMIT 20"", 0))
    )
  ), 
"""")"),"")</f>
        <v/>
      </c>
      <c r="K190" s="21" t="str">
        <f>IFERROR(__xludf.DUMMYFUNCTION("IFERROR(GOOGLEFINANCE(C190, ""changepct"") / 100, """")"),"")</f>
        <v/>
      </c>
      <c r="L190" s="21" t="str">
        <f>IFERROR(__xludf.DUMMYFUNCTION("IFERROR((GOOGLEFINANCE(C190, ""price"") / INDEX(GOOGLEFINANCE(C190, ""price"", TODAY()-7, TODAY()), 2, 2)) - 1, """")"),"")</f>
        <v/>
      </c>
      <c r="M190" s="21" t="str">
        <f>IFERROR(__xludf.DUMMYFUNCTION("IFERROR((GOOGLEFINANCE(C190, ""price"") / INDEX(GOOGLEFINANCE(C190, ""price"", EDATE(TODAY(), -1), TODAY()), 2, 2)) - 1, """")"),"")</f>
        <v/>
      </c>
      <c r="N190" s="21" t="str">
        <f>IFERROR(__xludf.DUMMYFUNCTION("IFERROR((GOOGLEFINANCE(C190, ""price"") / INDEX(GOOGLEFINANCE(C190, ""price"", EDATE(TODAY(), -3), TODAY()), 2, 2)) - 1, """")"),"")</f>
        <v/>
      </c>
      <c r="O190" s="21" t="str">
        <f>IFERROR(__xludf.DUMMYFUNCTION("IFERROR((GOOGLEFINANCE(C190, ""price"") / INDEX(GOOGLEFINANCE(C190, ""price"", EDATE(TODAY(), -6), TODAY()), 2, 2)) - 1, """")"),"")</f>
        <v/>
      </c>
      <c r="P190" s="21" t="str">
        <f>IFERROR(__xludf.DUMMYFUNCTION("IFERROR((GOOGLEFINANCE(C190, ""price"") / INDEX(GOOGLEFINANCE(C190, ""price"", EDATE(TODAY(), -12), TODAY()), 2, 2)) - 1, """")"),"")</f>
        <v/>
      </c>
      <c r="Q190" s="6" t="str">
        <f>IFERROR(__xludf.DUMMYFUNCTION("AVERAGE(QUERY(GOOGLEFINANCE(C190, ""price"", TODAY()-80, TODAY()), ""SELECT Col2 WHERE Col2 IS NOT NULL ORDER BY Col1 DESC LIMIT 50"", 0))"),"#N/A")</f>
        <v>#N/A</v>
      </c>
      <c r="R190" s="24" t="str">
        <f>IFERROR(__xludf.DUMMYFUNCTION("IFERROR(
  LET(
    data, QUERY(GOOGLEFINANCE(C190,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GOOGLEFINANCE(C190, ""price"")) * 100,
    IF(calc=0, G190, calc)
  ), 
G190)"),"#N/A")</f>
        <v>#N/A</v>
      </c>
      <c r="S190" s="8" t="s">
        <v>15</v>
      </c>
      <c r="T190" s="26" t="str">
        <f>IFERROR(__xludf.DUMMYFUNCTION("IFERROR(TRANSPOSE(QUERY(IFERROR(SORT(GOOGLEFINANCE(C190, ""price"", WORKDAY(TODAY(), -40), TODAY()), 1, FALSE)), ""select Col2 where Col2 is not null limit 22 label Col2 ''"", 0)), """")"),"")</f>
        <v/>
      </c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8"/>
      <c r="AO190" s="28"/>
      <c r="AP190" s="29"/>
      <c r="AQ190" s="29" t="str">
        <f t="shared" ref="AQ190:BL190" si="193">T190/T$2</f>
        <v>#N/A</v>
      </c>
      <c r="AR190" s="29" t="str">
        <f t="shared" si="193"/>
        <v>#DIV/0!</v>
      </c>
      <c r="AS190" s="29" t="str">
        <f t="shared" si="193"/>
        <v>#DIV/0!</v>
      </c>
      <c r="AT190" s="29" t="str">
        <f t="shared" si="193"/>
        <v>#DIV/0!</v>
      </c>
      <c r="AU190" s="29" t="str">
        <f t="shared" si="193"/>
        <v>#DIV/0!</v>
      </c>
      <c r="AV190" s="29" t="str">
        <f t="shared" si="193"/>
        <v>#DIV/0!</v>
      </c>
      <c r="AW190" s="29" t="str">
        <f t="shared" si="193"/>
        <v>#DIV/0!</v>
      </c>
      <c r="AX190" s="29" t="str">
        <f t="shared" si="193"/>
        <v>#DIV/0!</v>
      </c>
      <c r="AY190" s="29" t="str">
        <f t="shared" si="193"/>
        <v>#DIV/0!</v>
      </c>
      <c r="AZ190" s="29" t="str">
        <f t="shared" si="193"/>
        <v>#DIV/0!</v>
      </c>
      <c r="BA190" s="29" t="str">
        <f t="shared" si="193"/>
        <v>#DIV/0!</v>
      </c>
      <c r="BB190" s="29" t="str">
        <f t="shared" si="193"/>
        <v>#DIV/0!</v>
      </c>
      <c r="BC190" s="29" t="str">
        <f t="shared" si="193"/>
        <v>#DIV/0!</v>
      </c>
      <c r="BD190" s="29" t="str">
        <f t="shared" si="193"/>
        <v>#DIV/0!</v>
      </c>
      <c r="BE190" s="29" t="str">
        <f t="shared" si="193"/>
        <v>#DIV/0!</v>
      </c>
      <c r="BF190" s="29" t="str">
        <f t="shared" si="193"/>
        <v>#DIV/0!</v>
      </c>
      <c r="BG190" s="29" t="str">
        <f t="shared" si="193"/>
        <v>#DIV/0!</v>
      </c>
      <c r="BH190" s="29" t="str">
        <f t="shared" si="193"/>
        <v>#DIV/0!</v>
      </c>
      <c r="BI190" s="29" t="str">
        <f t="shared" si="193"/>
        <v>#DIV/0!</v>
      </c>
      <c r="BJ190" s="29" t="str">
        <f t="shared" si="193"/>
        <v>#DIV/0!</v>
      </c>
      <c r="BK190" s="29" t="str">
        <f t="shared" si="193"/>
        <v>#DIV/0!</v>
      </c>
      <c r="BL190" s="29" t="str">
        <f t="shared" si="193"/>
        <v>#DIV/0!</v>
      </c>
      <c r="BM190" s="29" t="str">
        <f t="shared" si="3"/>
        <v>#DIV/0!</v>
      </c>
    </row>
    <row r="191">
      <c r="A191" s="16" t="str">
        <f>IFERROR(__xludf.DUMMYFUNCTION("IFERROR(SPARKLINE(SORT(MAP(TRANSPOSE(AQ191:BL191), LAMBDA(val, IF(ISNUMBER(val), PERCENTRANK(AQ191:BL191, val)+0.01, 0))), SEQUENCE(COLUMNS(AQ191:BL191)), FALSE), {""charttype"",""column""; ""color"",""chartreuse""; ""ymin"", 0; ""ymax"", 1.01; ""highcolo"&amp;"r"", ""darkgreen""; ""lowcolor"", ""red""}), """")"),"")</f>
        <v/>
      </c>
      <c r="B191" s="17" t="str">
        <f t="shared" si="4"/>
        <v/>
      </c>
      <c r="C191" s="1" t="s">
        <v>805</v>
      </c>
      <c r="D191" s="30" t="str">
        <f>IFERROR(__xludf.DUMMYFUNCTION("IFERROR(GOOGLEFINANCE(C191, ""NAME""))"),"Red Rock Resources Plc")</f>
        <v>Red Rock Resources Plc</v>
      </c>
      <c r="E191" s="30" t="s">
        <v>354</v>
      </c>
      <c r="F191" s="33" t="str">
        <f>IFERROR(__xludf.DUMMYFUNCTION("( (GOOGLEFINANCE(C191, ""price"") - Q191) / Q191 ) / (R191 / 100)"),"Loading...")</f>
        <v>Loading...</v>
      </c>
      <c r="G191" s="20" t="str">
        <f>IFERROR(__xludf.DUMMYFUNCTION("AVERAGE(ARRAYFORMULA(100 * (QUERY(GOOGLEFINANCE(C191, ""high"", TODAY()-40, TODAY()), ""SELECT Col2 WHERE Col2 IS NOT NULL ORDER BY Col1 DESC LIMIT 20"", 0) / QUERY(GOOGLEFINANCE(C191, ""low"", TODAY()-40, TODAY()), ""SELECT Col2 WHERE Col2 IS NOT NULL OR"&amp;"DER BY Col1 DESC LIMIT 20"", 0) - 1)))"),"#N/A")</f>
        <v>#N/A</v>
      </c>
      <c r="H191" s="35" t="str">
        <f t="shared" si="6"/>
        <v/>
      </c>
      <c r="I191" s="35" t="str">
        <f t="shared" si="7"/>
        <v/>
      </c>
      <c r="J191" s="37" t="str">
        <f>IFERROR(__xludf.DUMMYFUNCTION("IFERROR(
  IF(C191="""",, 
    IFERROR(
      GOOGLEFINANCE(C191, ""price"") * GOOGLEFINANCE(C191, ""volumeavg""), 
      GOOGLEFINANCE(C191, ""price"") * AVERAGE(QUERY(GOOGLEFINANCE(C191, ""volume"", TODAY()-40, TODAY()), ""SELECT Col2 WHERE Col2 IS NOT "&amp;"NULL ORDER BY Col1 DESC LIMIT 20"", 0))
    )
  ), 
"""")"),"")</f>
        <v/>
      </c>
      <c r="K191" s="21" t="str">
        <f>IFERROR(__xludf.DUMMYFUNCTION("IFERROR(GOOGLEFINANCE(C191, ""changepct"") / 100, """")"),"")</f>
        <v/>
      </c>
      <c r="L191" s="21" t="str">
        <f>IFERROR(__xludf.DUMMYFUNCTION("IFERROR((GOOGLEFINANCE(C191, ""price"") / INDEX(GOOGLEFINANCE(C191, ""price"", TODAY()-7, TODAY()), 2, 2)) - 1, """")"),"")</f>
        <v/>
      </c>
      <c r="M191" s="21" t="str">
        <f>IFERROR(__xludf.DUMMYFUNCTION("IFERROR((GOOGLEFINANCE(C191, ""price"") / INDEX(GOOGLEFINANCE(C191, ""price"", EDATE(TODAY(), -1), TODAY()), 2, 2)) - 1, """")"),"")</f>
        <v/>
      </c>
      <c r="N191" s="21" t="str">
        <f>IFERROR(__xludf.DUMMYFUNCTION("IFERROR((GOOGLEFINANCE(C191, ""price"") / INDEX(GOOGLEFINANCE(C191, ""price"", EDATE(TODAY(), -3), TODAY()), 2, 2)) - 1, """")"),"")</f>
        <v/>
      </c>
      <c r="O191" s="21" t="str">
        <f>IFERROR(__xludf.DUMMYFUNCTION("IFERROR((GOOGLEFINANCE(C191, ""price"") / INDEX(GOOGLEFINANCE(C191, ""price"", EDATE(TODAY(), -6), TODAY()), 2, 2)) - 1, """")"),"")</f>
        <v/>
      </c>
      <c r="P191" s="21" t="str">
        <f>IFERROR(__xludf.DUMMYFUNCTION("IFERROR((GOOGLEFINANCE(C191, ""price"") / INDEX(GOOGLEFINANCE(C191, ""price"", EDATE(TODAY(), -12), TODAY()), 2, 2)) - 1, """")"),"")</f>
        <v/>
      </c>
      <c r="Q191" s="6" t="str">
        <f>IFERROR(__xludf.DUMMYFUNCTION("AVERAGE(QUERY(GOOGLEFINANCE(C191, ""price"", TODAY()-80, TODAY()), ""SELECT Col2 WHERE Col2 IS NOT NULL ORDER BY Col1 DESC LIMIT 50"", 0))"),"#N/A")</f>
        <v>#N/A</v>
      </c>
      <c r="R191" s="24" t="str">
        <f>IFERROR(__xludf.DUMMYFUNCTION("IFERROR(
  LET(
    data, QUERY(GOOGLEFINANCE(C191,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GOOGLEFINANCE(C191, ""price"")) * 100,
    IF(calc=0, G191, calc)
  ), 
G191)"),"#N/A")</f>
        <v>#N/A</v>
      </c>
      <c r="S191" s="8" t="s">
        <v>15</v>
      </c>
      <c r="T191" s="26" t="str">
        <f>IFERROR(__xludf.DUMMYFUNCTION("IFERROR(TRANSPOSE(QUERY(IFERROR(SORT(GOOGLEFINANCE(C191, ""price"", WORKDAY(TODAY(), -40), TODAY()), 1, FALSE)), ""select Col2 where Col2 is not null limit 22 label Col2 ''"", 0)), """")"),"")</f>
        <v/>
      </c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8"/>
      <c r="AO191" s="28"/>
      <c r="AP191" s="29"/>
      <c r="AQ191" s="29" t="str">
        <f t="shared" ref="AQ191:BL191" si="194">T191/T$2</f>
        <v>#N/A</v>
      </c>
      <c r="AR191" s="29" t="str">
        <f t="shared" si="194"/>
        <v>#DIV/0!</v>
      </c>
      <c r="AS191" s="29" t="str">
        <f t="shared" si="194"/>
        <v>#DIV/0!</v>
      </c>
      <c r="AT191" s="29" t="str">
        <f t="shared" si="194"/>
        <v>#DIV/0!</v>
      </c>
      <c r="AU191" s="29" t="str">
        <f t="shared" si="194"/>
        <v>#DIV/0!</v>
      </c>
      <c r="AV191" s="29" t="str">
        <f t="shared" si="194"/>
        <v>#DIV/0!</v>
      </c>
      <c r="AW191" s="29" t="str">
        <f t="shared" si="194"/>
        <v>#DIV/0!</v>
      </c>
      <c r="AX191" s="29" t="str">
        <f t="shared" si="194"/>
        <v>#DIV/0!</v>
      </c>
      <c r="AY191" s="29" t="str">
        <f t="shared" si="194"/>
        <v>#DIV/0!</v>
      </c>
      <c r="AZ191" s="29" t="str">
        <f t="shared" si="194"/>
        <v>#DIV/0!</v>
      </c>
      <c r="BA191" s="29" t="str">
        <f t="shared" si="194"/>
        <v>#DIV/0!</v>
      </c>
      <c r="BB191" s="29" t="str">
        <f t="shared" si="194"/>
        <v>#DIV/0!</v>
      </c>
      <c r="BC191" s="29" t="str">
        <f t="shared" si="194"/>
        <v>#DIV/0!</v>
      </c>
      <c r="BD191" s="29" t="str">
        <f t="shared" si="194"/>
        <v>#DIV/0!</v>
      </c>
      <c r="BE191" s="29" t="str">
        <f t="shared" si="194"/>
        <v>#DIV/0!</v>
      </c>
      <c r="BF191" s="29" t="str">
        <f t="shared" si="194"/>
        <v>#DIV/0!</v>
      </c>
      <c r="BG191" s="29" t="str">
        <f t="shared" si="194"/>
        <v>#DIV/0!</v>
      </c>
      <c r="BH191" s="29" t="str">
        <f t="shared" si="194"/>
        <v>#DIV/0!</v>
      </c>
      <c r="BI191" s="29" t="str">
        <f t="shared" si="194"/>
        <v>#DIV/0!</v>
      </c>
      <c r="BJ191" s="29" t="str">
        <f t="shared" si="194"/>
        <v>#DIV/0!</v>
      </c>
      <c r="BK191" s="29" t="str">
        <f t="shared" si="194"/>
        <v>#DIV/0!</v>
      </c>
      <c r="BL191" s="29" t="str">
        <f t="shared" si="194"/>
        <v>#DIV/0!</v>
      </c>
      <c r="BM191" s="29" t="str">
        <f t="shared" si="3"/>
        <v>#DIV/0!</v>
      </c>
    </row>
    <row r="192">
      <c r="A192" s="16" t="str">
        <f>IFERROR(__xludf.DUMMYFUNCTION("IFERROR(SPARKLINE(SORT(MAP(TRANSPOSE(AQ192:BL192), LAMBDA(val, IF(ISNUMBER(val), PERCENTRANK(AQ192:BL192, val)+0.01, 0))), SEQUENCE(COLUMNS(AQ192:BL192)), FALSE), {""charttype"",""column""; ""color"",""chartreuse""; ""ymin"", 0; ""ymax"", 1.01; ""highcolo"&amp;"r"", ""darkgreen""; ""lowcolor"", ""red""}), """")"),"")</f>
        <v/>
      </c>
      <c r="B192" s="17" t="str">
        <f t="shared" si="4"/>
        <v/>
      </c>
      <c r="C192" s="1" t="s">
        <v>809</v>
      </c>
      <c r="D192" s="30" t="str">
        <f>IFERROR(__xludf.DUMMYFUNCTION("IFERROR(GOOGLEFINANCE(C192, ""NAME""))"),"McDonald's Corp")</f>
        <v>McDonald's Corp</v>
      </c>
      <c r="E192" s="30" t="s">
        <v>126</v>
      </c>
      <c r="F192" s="33" t="str">
        <f>IFERROR(__xludf.DUMMYFUNCTION("( (GOOGLEFINANCE(C192, ""price"") - Q192) / Q192 ) / (R192 / 100)"),"Loading...")</f>
        <v>Loading...</v>
      </c>
      <c r="G192" s="20" t="str">
        <f>IFERROR(__xludf.DUMMYFUNCTION("AVERAGE(ARRAYFORMULA(100 * (QUERY(GOOGLEFINANCE(C192, ""high"", TODAY()-40, TODAY()), ""SELECT Col2 WHERE Col2 IS NOT NULL ORDER BY Col1 DESC LIMIT 20"", 0) / QUERY(GOOGLEFINANCE(C192, ""low"", TODAY()-40, TODAY()), ""SELECT Col2 WHERE Col2 IS NOT NULL OR"&amp;"DER BY Col1 DESC LIMIT 20"", 0) - 1)))"),"#N/A")</f>
        <v>#N/A</v>
      </c>
      <c r="H192" s="35" t="str">
        <f t="shared" si="6"/>
        <v/>
      </c>
      <c r="I192" s="35" t="str">
        <f t="shared" si="7"/>
        <v/>
      </c>
      <c r="J192" s="37" t="str">
        <f>IFERROR(__xludf.DUMMYFUNCTION("IFERROR(
  IF(C192="""",, 
    IFERROR(
      GOOGLEFINANCE(C192, ""price"") * GOOGLEFINANCE(C192, ""volumeavg""), 
      GOOGLEFINANCE(C192, ""price"") * AVERAGE(QUERY(GOOGLEFINANCE(C192, ""volume"", TODAY()-40, TODAY()), ""SELECT Col2 WHERE Col2 IS NOT "&amp;"NULL ORDER BY Col1 DESC LIMIT 20"", 0))
    )
  ), 
"""")"),"")</f>
        <v/>
      </c>
      <c r="K192" s="21" t="str">
        <f>IFERROR(__xludf.DUMMYFUNCTION("IFERROR(GOOGLEFINANCE(C192, ""changepct"") / 100, """")"),"")</f>
        <v/>
      </c>
      <c r="L192" s="21" t="str">
        <f>IFERROR(__xludf.DUMMYFUNCTION("IFERROR((GOOGLEFINANCE(C192, ""price"") / INDEX(GOOGLEFINANCE(C192, ""price"", TODAY()-7, TODAY()), 2, 2)) - 1, """")"),"")</f>
        <v/>
      </c>
      <c r="M192" s="21" t="str">
        <f>IFERROR(__xludf.DUMMYFUNCTION("IFERROR((GOOGLEFINANCE(C192, ""price"") / INDEX(GOOGLEFINANCE(C192, ""price"", EDATE(TODAY(), -1), TODAY()), 2, 2)) - 1, """")"),"")</f>
        <v/>
      </c>
      <c r="N192" s="21" t="str">
        <f>IFERROR(__xludf.DUMMYFUNCTION("IFERROR((GOOGLEFINANCE(C192, ""price"") / INDEX(GOOGLEFINANCE(C192, ""price"", EDATE(TODAY(), -3), TODAY()), 2, 2)) - 1, """")"),"")</f>
        <v/>
      </c>
      <c r="O192" s="21" t="str">
        <f>IFERROR(__xludf.DUMMYFUNCTION("IFERROR((GOOGLEFINANCE(C192, ""price"") / INDEX(GOOGLEFINANCE(C192, ""price"", EDATE(TODAY(), -6), TODAY()), 2, 2)) - 1, """")"),"")</f>
        <v/>
      </c>
      <c r="P192" s="21" t="str">
        <f>IFERROR(__xludf.DUMMYFUNCTION("IFERROR((GOOGLEFINANCE(C192, ""price"") / INDEX(GOOGLEFINANCE(C192, ""price"", EDATE(TODAY(), -12), TODAY()), 2, 2)) - 1, """")"),"")</f>
        <v/>
      </c>
      <c r="Q192" s="6" t="str">
        <f>IFERROR(__xludf.DUMMYFUNCTION("AVERAGE(QUERY(GOOGLEFINANCE(C192, ""price"", TODAY()-80, TODAY()), ""SELECT Col2 WHERE Col2 IS NOT NULL ORDER BY Col1 DESC LIMIT 50"", 0))"),"#N/A")</f>
        <v>#N/A</v>
      </c>
      <c r="R192" s="24" t="str">
        <f>IFERROR(__xludf.DUMMYFUNCTION("IFERROR(
  LET(
    data, QUERY(GOOGLEFINANCE(C192,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GOOGLEFINANCE(C192, ""price"")) * 100,
    IF(calc=0, G192, calc)
  ), 
G192)"),"#N/A")</f>
        <v>#N/A</v>
      </c>
      <c r="S192" s="8" t="s">
        <v>15</v>
      </c>
      <c r="T192" s="26" t="str">
        <f>IFERROR(__xludf.DUMMYFUNCTION("IFERROR(TRANSPOSE(QUERY(IFERROR(SORT(GOOGLEFINANCE(C192, ""price"", WORKDAY(TODAY(), -40), TODAY()), 1, FALSE)), ""select Col2 where Col2 is not null limit 22 label Col2 ''"", 0)), """")"),"")</f>
        <v/>
      </c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8"/>
      <c r="AO192" s="28"/>
      <c r="AP192" s="29"/>
      <c r="AQ192" s="29" t="str">
        <f t="shared" ref="AQ192:BL192" si="195">T192/T$2</f>
        <v>#N/A</v>
      </c>
      <c r="AR192" s="29" t="str">
        <f t="shared" si="195"/>
        <v>#DIV/0!</v>
      </c>
      <c r="AS192" s="29" t="str">
        <f t="shared" si="195"/>
        <v>#DIV/0!</v>
      </c>
      <c r="AT192" s="29" t="str">
        <f t="shared" si="195"/>
        <v>#DIV/0!</v>
      </c>
      <c r="AU192" s="29" t="str">
        <f t="shared" si="195"/>
        <v>#DIV/0!</v>
      </c>
      <c r="AV192" s="29" t="str">
        <f t="shared" si="195"/>
        <v>#DIV/0!</v>
      </c>
      <c r="AW192" s="29" t="str">
        <f t="shared" si="195"/>
        <v>#DIV/0!</v>
      </c>
      <c r="AX192" s="29" t="str">
        <f t="shared" si="195"/>
        <v>#DIV/0!</v>
      </c>
      <c r="AY192" s="29" t="str">
        <f t="shared" si="195"/>
        <v>#DIV/0!</v>
      </c>
      <c r="AZ192" s="29" t="str">
        <f t="shared" si="195"/>
        <v>#DIV/0!</v>
      </c>
      <c r="BA192" s="29" t="str">
        <f t="shared" si="195"/>
        <v>#DIV/0!</v>
      </c>
      <c r="BB192" s="29" t="str">
        <f t="shared" si="195"/>
        <v>#DIV/0!</v>
      </c>
      <c r="BC192" s="29" t="str">
        <f t="shared" si="195"/>
        <v>#DIV/0!</v>
      </c>
      <c r="BD192" s="29" t="str">
        <f t="shared" si="195"/>
        <v>#DIV/0!</v>
      </c>
      <c r="BE192" s="29" t="str">
        <f t="shared" si="195"/>
        <v>#DIV/0!</v>
      </c>
      <c r="BF192" s="29" t="str">
        <f t="shared" si="195"/>
        <v>#DIV/0!</v>
      </c>
      <c r="BG192" s="29" t="str">
        <f t="shared" si="195"/>
        <v>#DIV/0!</v>
      </c>
      <c r="BH192" s="29" t="str">
        <f t="shared" si="195"/>
        <v>#DIV/0!</v>
      </c>
      <c r="BI192" s="29" t="str">
        <f t="shared" si="195"/>
        <v>#DIV/0!</v>
      </c>
      <c r="BJ192" s="29" t="str">
        <f t="shared" si="195"/>
        <v>#DIV/0!</v>
      </c>
      <c r="BK192" s="29" t="str">
        <f t="shared" si="195"/>
        <v>#DIV/0!</v>
      </c>
      <c r="BL192" s="29" t="str">
        <f t="shared" si="195"/>
        <v>#DIV/0!</v>
      </c>
      <c r="BM192" s="29" t="str">
        <f t="shared" si="3"/>
        <v>#DIV/0!</v>
      </c>
    </row>
    <row r="193">
      <c r="A193" s="16" t="str">
        <f>IFERROR(__xludf.DUMMYFUNCTION("IFERROR(SPARKLINE(SORT(MAP(TRANSPOSE(AQ193:BL193), LAMBDA(val, IF(ISNUMBER(val), PERCENTRANK(AQ193:BL193, val)+0.01, 0))), SEQUENCE(COLUMNS(AQ193:BL193)), FALSE), {""charttype"",""column""; ""color"",""chartreuse""; ""ymin"", 0; ""ymax"", 1.01; ""highcolo"&amp;"r"", ""darkgreen""; ""lowcolor"", ""red""}), """")"),"")</f>
        <v/>
      </c>
      <c r="B193" s="17" t="str">
        <f t="shared" si="4"/>
        <v/>
      </c>
      <c r="C193" s="1" t="s">
        <v>812</v>
      </c>
      <c r="D193" s="30" t="str">
        <f>IFERROR(__xludf.DUMMYFUNCTION("IFERROR(GOOGLEFINANCE(C193, ""NAME""))"),"")</f>
        <v/>
      </c>
      <c r="E193" s="30" t="s">
        <v>184</v>
      </c>
      <c r="F193" s="33" t="str">
        <f>IFERROR(__xludf.DUMMYFUNCTION("( (GOOGLEFINANCE(C193, ""price"") - Q193) / Q193 ) / (R193 / 100)"),"Loading...")</f>
        <v>Loading...</v>
      </c>
      <c r="G193" s="20" t="str">
        <f>IFERROR(__xludf.DUMMYFUNCTION("AVERAGE(ARRAYFORMULA(100 * (QUERY(GOOGLEFINANCE(C193, ""high"", TODAY()-40, TODAY()), ""SELECT Col2 WHERE Col2 IS NOT NULL ORDER BY Col1 DESC LIMIT 20"", 0) / QUERY(GOOGLEFINANCE(C193, ""low"", TODAY()-40, TODAY()), ""SELECT Col2 WHERE Col2 IS NOT NULL OR"&amp;"DER BY Col1 DESC LIMIT 20"", 0) - 1)))"),"#N/A")</f>
        <v>#N/A</v>
      </c>
      <c r="H193" s="35" t="str">
        <f t="shared" si="6"/>
        <v/>
      </c>
      <c r="I193" s="35" t="str">
        <f t="shared" si="7"/>
        <v/>
      </c>
      <c r="J193" s="37" t="str">
        <f>IFERROR(__xludf.DUMMYFUNCTION("IFERROR(
  IF(C193="""",, 
    IFERROR(
      GOOGLEFINANCE(C193, ""price"") * GOOGLEFINANCE(C193, ""volumeavg""), 
      GOOGLEFINANCE(C193, ""price"") * AVERAGE(QUERY(GOOGLEFINANCE(C193, ""volume"", TODAY()-40, TODAY()), ""SELECT Col2 WHERE Col2 IS NOT "&amp;"NULL ORDER BY Col1 DESC LIMIT 20"", 0))
    )
  ), 
"""")"),"")</f>
        <v/>
      </c>
      <c r="K193" s="21" t="str">
        <f>IFERROR(__xludf.DUMMYFUNCTION("IFERROR(GOOGLEFINANCE(C193, ""changepct"") / 100, """")"),"")</f>
        <v/>
      </c>
      <c r="L193" s="21" t="str">
        <f>IFERROR(__xludf.DUMMYFUNCTION("IFERROR((GOOGLEFINANCE(C193, ""price"") / INDEX(GOOGLEFINANCE(C193, ""price"", TODAY()-7, TODAY()), 2, 2)) - 1, """")"),"")</f>
        <v/>
      </c>
      <c r="M193" s="21" t="str">
        <f>IFERROR(__xludf.DUMMYFUNCTION("IFERROR((GOOGLEFINANCE(C193, ""price"") / INDEX(GOOGLEFINANCE(C193, ""price"", EDATE(TODAY(), -1), TODAY()), 2, 2)) - 1, """")"),"")</f>
        <v/>
      </c>
      <c r="N193" s="21" t="str">
        <f>IFERROR(__xludf.DUMMYFUNCTION("IFERROR((GOOGLEFINANCE(C193, ""price"") / INDEX(GOOGLEFINANCE(C193, ""price"", EDATE(TODAY(), -3), TODAY()), 2, 2)) - 1, """")"),"")</f>
        <v/>
      </c>
      <c r="O193" s="21" t="str">
        <f>IFERROR(__xludf.DUMMYFUNCTION("IFERROR((GOOGLEFINANCE(C193, ""price"") / INDEX(GOOGLEFINANCE(C193, ""price"", EDATE(TODAY(), -6), TODAY()), 2, 2)) - 1, """")"),"")</f>
        <v/>
      </c>
      <c r="P193" s="21" t="str">
        <f>IFERROR(__xludf.DUMMYFUNCTION("IFERROR((GOOGLEFINANCE(C193, ""price"") / INDEX(GOOGLEFINANCE(C193, ""price"", EDATE(TODAY(), -12), TODAY()), 2, 2)) - 1, """")"),"")</f>
        <v/>
      </c>
      <c r="Q193" s="6" t="str">
        <f>IFERROR(__xludf.DUMMYFUNCTION("AVERAGE(QUERY(GOOGLEFINANCE(C193, ""price"", TODAY()-80, TODAY()), ""SELECT Col2 WHERE Col2 IS NOT NULL ORDER BY Col1 DESC LIMIT 50"", 0))"),"#N/A")</f>
        <v>#N/A</v>
      </c>
      <c r="R193" s="24" t="str">
        <f>IFERROR(__xludf.DUMMYFUNCTION("IFERROR(
  LET(
    data, QUERY(GOOGLEFINANCE(C193,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GOOGLEFINANCE(C193, ""price"")) * 100,
    IF(calc=0, G193, calc)
  ), 
G193)"),"#N/A")</f>
        <v>#N/A</v>
      </c>
      <c r="S193" s="8" t="s">
        <v>15</v>
      </c>
      <c r="T193" s="26" t="str">
        <f>IFERROR(__xludf.DUMMYFUNCTION("IFERROR(TRANSPOSE(QUERY(IFERROR(SORT(GOOGLEFINANCE(C193, ""price"", WORKDAY(TODAY(), -40), TODAY()), 1, FALSE)), ""select Col2 where Col2 is not null limit 22 label Col2 ''"", 0)), """")"),"")</f>
        <v/>
      </c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8"/>
      <c r="AO193" s="28"/>
      <c r="AP193" s="29"/>
      <c r="AQ193" s="29" t="str">
        <f t="shared" ref="AQ193:BL193" si="196">T193/T$2</f>
        <v>#N/A</v>
      </c>
      <c r="AR193" s="29" t="str">
        <f t="shared" si="196"/>
        <v>#DIV/0!</v>
      </c>
      <c r="AS193" s="29" t="str">
        <f t="shared" si="196"/>
        <v>#DIV/0!</v>
      </c>
      <c r="AT193" s="29" t="str">
        <f t="shared" si="196"/>
        <v>#DIV/0!</v>
      </c>
      <c r="AU193" s="29" t="str">
        <f t="shared" si="196"/>
        <v>#DIV/0!</v>
      </c>
      <c r="AV193" s="29" t="str">
        <f t="shared" si="196"/>
        <v>#DIV/0!</v>
      </c>
      <c r="AW193" s="29" t="str">
        <f t="shared" si="196"/>
        <v>#DIV/0!</v>
      </c>
      <c r="AX193" s="29" t="str">
        <f t="shared" si="196"/>
        <v>#DIV/0!</v>
      </c>
      <c r="AY193" s="29" t="str">
        <f t="shared" si="196"/>
        <v>#DIV/0!</v>
      </c>
      <c r="AZ193" s="29" t="str">
        <f t="shared" si="196"/>
        <v>#DIV/0!</v>
      </c>
      <c r="BA193" s="29" t="str">
        <f t="shared" si="196"/>
        <v>#DIV/0!</v>
      </c>
      <c r="BB193" s="29" t="str">
        <f t="shared" si="196"/>
        <v>#DIV/0!</v>
      </c>
      <c r="BC193" s="29" t="str">
        <f t="shared" si="196"/>
        <v>#DIV/0!</v>
      </c>
      <c r="BD193" s="29" t="str">
        <f t="shared" si="196"/>
        <v>#DIV/0!</v>
      </c>
      <c r="BE193" s="29" t="str">
        <f t="shared" si="196"/>
        <v>#DIV/0!</v>
      </c>
      <c r="BF193" s="29" t="str">
        <f t="shared" si="196"/>
        <v>#DIV/0!</v>
      </c>
      <c r="BG193" s="29" t="str">
        <f t="shared" si="196"/>
        <v>#DIV/0!</v>
      </c>
      <c r="BH193" s="29" t="str">
        <f t="shared" si="196"/>
        <v>#DIV/0!</v>
      </c>
      <c r="BI193" s="29" t="str">
        <f t="shared" si="196"/>
        <v>#DIV/0!</v>
      </c>
      <c r="BJ193" s="29" t="str">
        <f t="shared" si="196"/>
        <v>#DIV/0!</v>
      </c>
      <c r="BK193" s="29" t="str">
        <f t="shared" si="196"/>
        <v>#DIV/0!</v>
      </c>
      <c r="BL193" s="29" t="str">
        <f t="shared" si="196"/>
        <v>#DIV/0!</v>
      </c>
      <c r="BM193" s="29" t="str">
        <f t="shared" si="3"/>
        <v>#DIV/0!</v>
      </c>
    </row>
    <row r="194">
      <c r="A194" s="16" t="str">
        <f>IFERROR(__xludf.DUMMYFUNCTION("IFERROR(SPARKLINE(SORT(MAP(TRANSPOSE(AQ194:BL194), LAMBDA(val, IF(ISNUMBER(val), PERCENTRANK(AQ194:BL194, val)+0.01, 0))), SEQUENCE(COLUMNS(AQ194:BL194)), FALSE), {""charttype"",""column""; ""color"",""chartreuse""; ""ymin"", 0; ""ymax"", 1.01; ""highcolo"&amp;"r"", ""darkgreen""; ""lowcolor"", ""red""}), """")"),"")</f>
        <v/>
      </c>
      <c r="B194" s="17" t="str">
        <f t="shared" si="4"/>
        <v/>
      </c>
      <c r="C194" s="1" t="s">
        <v>815</v>
      </c>
      <c r="D194" s="30" t="str">
        <f>IFERROR(__xludf.DUMMYFUNCTION("IFERROR(GOOGLEFINANCE(C194, ""NAME""))"),"Tractor Supply Co")</f>
        <v>Tractor Supply Co</v>
      </c>
      <c r="E194" s="30" t="s">
        <v>184</v>
      </c>
      <c r="F194" s="33" t="str">
        <f>IFERROR(__xludf.DUMMYFUNCTION("( (GOOGLEFINANCE(C194, ""price"") - Q194) / Q194 ) / (R194 / 100)"),"Loading...")</f>
        <v>Loading...</v>
      </c>
      <c r="G194" s="20" t="str">
        <f>IFERROR(__xludf.DUMMYFUNCTION("AVERAGE(ARRAYFORMULA(100 * (QUERY(GOOGLEFINANCE(C194, ""high"", TODAY()-40, TODAY()), ""SELECT Col2 WHERE Col2 IS NOT NULL ORDER BY Col1 DESC LIMIT 20"", 0) / QUERY(GOOGLEFINANCE(C194, ""low"", TODAY()-40, TODAY()), ""SELECT Col2 WHERE Col2 IS NOT NULL OR"&amp;"DER BY Col1 DESC LIMIT 20"", 0) - 1)))"),"#N/A")</f>
        <v>#N/A</v>
      </c>
      <c r="H194" s="35" t="str">
        <f t="shared" si="6"/>
        <v/>
      </c>
      <c r="I194" s="35" t="str">
        <f t="shared" si="7"/>
        <v/>
      </c>
      <c r="J194" s="37" t="str">
        <f>IFERROR(__xludf.DUMMYFUNCTION("IFERROR(
  IF(C194="""",, 
    IFERROR(
      GOOGLEFINANCE(C194, ""price"") * GOOGLEFINANCE(C194, ""volumeavg""), 
      GOOGLEFINANCE(C194, ""price"") * AVERAGE(QUERY(GOOGLEFINANCE(C194, ""volume"", TODAY()-40, TODAY()), ""SELECT Col2 WHERE Col2 IS NOT "&amp;"NULL ORDER BY Col1 DESC LIMIT 20"", 0))
    )
  ), 
"""")"),"")</f>
        <v/>
      </c>
      <c r="K194" s="21" t="str">
        <f>IFERROR(__xludf.DUMMYFUNCTION("IFERROR(GOOGLEFINANCE(C194, ""changepct"") / 100, """")"),"")</f>
        <v/>
      </c>
      <c r="L194" s="21" t="str">
        <f>IFERROR(__xludf.DUMMYFUNCTION("IFERROR((GOOGLEFINANCE(C194, ""price"") / INDEX(GOOGLEFINANCE(C194, ""price"", TODAY()-7, TODAY()), 2, 2)) - 1, """")"),"")</f>
        <v/>
      </c>
      <c r="M194" s="21" t="str">
        <f>IFERROR(__xludf.DUMMYFUNCTION("IFERROR((GOOGLEFINANCE(C194, ""price"") / INDEX(GOOGLEFINANCE(C194, ""price"", EDATE(TODAY(), -1), TODAY()), 2, 2)) - 1, """")"),"")</f>
        <v/>
      </c>
      <c r="N194" s="21" t="str">
        <f>IFERROR(__xludf.DUMMYFUNCTION("IFERROR((GOOGLEFINANCE(C194, ""price"") / INDEX(GOOGLEFINANCE(C194, ""price"", EDATE(TODAY(), -3), TODAY()), 2, 2)) - 1, """")"),"")</f>
        <v/>
      </c>
      <c r="O194" s="21" t="str">
        <f>IFERROR(__xludf.DUMMYFUNCTION("IFERROR((GOOGLEFINANCE(C194, ""price"") / INDEX(GOOGLEFINANCE(C194, ""price"", EDATE(TODAY(), -6), TODAY()), 2, 2)) - 1, """")"),"")</f>
        <v/>
      </c>
      <c r="P194" s="21" t="str">
        <f>IFERROR(__xludf.DUMMYFUNCTION("IFERROR((GOOGLEFINANCE(C194, ""price"") / INDEX(GOOGLEFINANCE(C194, ""price"", EDATE(TODAY(), -12), TODAY()), 2, 2)) - 1, """")"),"")</f>
        <v/>
      </c>
      <c r="Q194" s="6" t="str">
        <f>IFERROR(__xludf.DUMMYFUNCTION("AVERAGE(QUERY(GOOGLEFINANCE(C194, ""price"", TODAY()-80, TODAY()), ""SELECT Col2 WHERE Col2 IS NOT NULL ORDER BY Col1 DESC LIMIT 50"", 0))"),"#N/A")</f>
        <v>#N/A</v>
      </c>
      <c r="R194" s="24" t="str">
        <f>IFERROR(__xludf.DUMMYFUNCTION("IFERROR(
  LET(
    data, QUERY(GOOGLEFINANCE(C194,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GOOGLEFINANCE(C194, ""price"")) * 100,
    IF(calc=0, G194, calc)
  ), 
G194)"),"#N/A")</f>
        <v>#N/A</v>
      </c>
      <c r="S194" s="8" t="s">
        <v>15</v>
      </c>
      <c r="T194" s="26" t="str">
        <f>IFERROR(__xludf.DUMMYFUNCTION("IFERROR(TRANSPOSE(QUERY(IFERROR(SORT(GOOGLEFINANCE(C194, ""price"", WORKDAY(TODAY(), -40), TODAY()), 1, FALSE)), ""select Col2 where Col2 is not null limit 22 label Col2 ''"", 0)), """")"),"")</f>
        <v/>
      </c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8"/>
      <c r="AO194" s="28"/>
      <c r="AP194" s="29"/>
      <c r="AQ194" s="29" t="str">
        <f t="shared" ref="AQ194:BL194" si="197">T194/T$2</f>
        <v>#N/A</v>
      </c>
      <c r="AR194" s="29" t="str">
        <f t="shared" si="197"/>
        <v>#DIV/0!</v>
      </c>
      <c r="AS194" s="29" t="str">
        <f t="shared" si="197"/>
        <v>#DIV/0!</v>
      </c>
      <c r="AT194" s="29" t="str">
        <f t="shared" si="197"/>
        <v>#DIV/0!</v>
      </c>
      <c r="AU194" s="29" t="str">
        <f t="shared" si="197"/>
        <v>#DIV/0!</v>
      </c>
      <c r="AV194" s="29" t="str">
        <f t="shared" si="197"/>
        <v>#DIV/0!</v>
      </c>
      <c r="AW194" s="29" t="str">
        <f t="shared" si="197"/>
        <v>#DIV/0!</v>
      </c>
      <c r="AX194" s="29" t="str">
        <f t="shared" si="197"/>
        <v>#DIV/0!</v>
      </c>
      <c r="AY194" s="29" t="str">
        <f t="shared" si="197"/>
        <v>#DIV/0!</v>
      </c>
      <c r="AZ194" s="29" t="str">
        <f t="shared" si="197"/>
        <v>#DIV/0!</v>
      </c>
      <c r="BA194" s="29" t="str">
        <f t="shared" si="197"/>
        <v>#DIV/0!</v>
      </c>
      <c r="BB194" s="29" t="str">
        <f t="shared" si="197"/>
        <v>#DIV/0!</v>
      </c>
      <c r="BC194" s="29" t="str">
        <f t="shared" si="197"/>
        <v>#DIV/0!</v>
      </c>
      <c r="BD194" s="29" t="str">
        <f t="shared" si="197"/>
        <v>#DIV/0!</v>
      </c>
      <c r="BE194" s="29" t="str">
        <f t="shared" si="197"/>
        <v>#DIV/0!</v>
      </c>
      <c r="BF194" s="29" t="str">
        <f t="shared" si="197"/>
        <v>#DIV/0!</v>
      </c>
      <c r="BG194" s="29" t="str">
        <f t="shared" si="197"/>
        <v>#DIV/0!</v>
      </c>
      <c r="BH194" s="29" t="str">
        <f t="shared" si="197"/>
        <v>#DIV/0!</v>
      </c>
      <c r="BI194" s="29" t="str">
        <f t="shared" si="197"/>
        <v>#DIV/0!</v>
      </c>
      <c r="BJ194" s="29" t="str">
        <f t="shared" si="197"/>
        <v>#DIV/0!</v>
      </c>
      <c r="BK194" s="29" t="str">
        <f t="shared" si="197"/>
        <v>#DIV/0!</v>
      </c>
      <c r="BL194" s="29" t="str">
        <f t="shared" si="197"/>
        <v>#DIV/0!</v>
      </c>
      <c r="BM194" s="29" t="str">
        <f t="shared" si="3"/>
        <v>#DIV/0!</v>
      </c>
    </row>
    <row r="195">
      <c r="A195" s="16" t="str">
        <f>IFERROR(__xludf.DUMMYFUNCTION("IFERROR(SPARKLINE(SORT(MAP(TRANSPOSE(AQ195:BL195), LAMBDA(val, IF(ISNUMBER(val), PERCENTRANK(AQ195:BL195, val)+0.01, 0))), SEQUENCE(COLUMNS(AQ195:BL195)), FALSE), {""charttype"",""column""; ""color"",""chartreuse""; ""ymin"", 0; ""ymax"", 1.01; ""highcolo"&amp;"r"", ""darkgreen""; ""lowcolor"", ""red""}), """")"),"")</f>
        <v/>
      </c>
      <c r="B195" s="17" t="str">
        <f t="shared" si="4"/>
        <v/>
      </c>
      <c r="C195" s="1" t="s">
        <v>818</v>
      </c>
      <c r="D195" s="30" t="str">
        <f>IFERROR(__xludf.DUMMYFUNCTION("IFERROR(GOOGLEFINANCE(C195, ""NAME""))"),"Booking Holdings Inc")</f>
        <v>Booking Holdings Inc</v>
      </c>
      <c r="E195" s="30" t="s">
        <v>248</v>
      </c>
      <c r="F195" s="33" t="str">
        <f>IFERROR(__xludf.DUMMYFUNCTION("( (GOOGLEFINANCE(C195, ""price"") - Q195) / Q195 ) / (R195 / 100)"),"Loading...")</f>
        <v>Loading...</v>
      </c>
      <c r="G195" s="20" t="str">
        <f>IFERROR(__xludf.DUMMYFUNCTION("AVERAGE(ARRAYFORMULA(100 * (QUERY(GOOGLEFINANCE(C195, ""high"", TODAY()-40, TODAY()), ""SELECT Col2 WHERE Col2 IS NOT NULL ORDER BY Col1 DESC LIMIT 20"", 0) / QUERY(GOOGLEFINANCE(C195, ""low"", TODAY()-40, TODAY()), ""SELECT Col2 WHERE Col2 IS NOT NULL OR"&amp;"DER BY Col1 DESC LIMIT 20"", 0) - 1)))"),"#N/A")</f>
        <v>#N/A</v>
      </c>
      <c r="H195" s="35" t="str">
        <f t="shared" si="6"/>
        <v/>
      </c>
      <c r="I195" s="35" t="str">
        <f t="shared" si="7"/>
        <v/>
      </c>
      <c r="J195" s="37" t="str">
        <f>IFERROR(__xludf.DUMMYFUNCTION("IFERROR(
  IF(C195="""",, 
    IFERROR(
      GOOGLEFINANCE(C195, ""price"") * GOOGLEFINANCE(C195, ""volumeavg""), 
      GOOGLEFINANCE(C195, ""price"") * AVERAGE(QUERY(GOOGLEFINANCE(C195, ""volume"", TODAY()-40, TODAY()), ""SELECT Col2 WHERE Col2 IS NOT "&amp;"NULL ORDER BY Col1 DESC LIMIT 20"", 0))
    )
  ), 
"""")"),"")</f>
        <v/>
      </c>
      <c r="K195" s="21" t="str">
        <f>IFERROR(__xludf.DUMMYFUNCTION("IFERROR(GOOGLEFINANCE(C195, ""changepct"") / 100, """")"),"")</f>
        <v/>
      </c>
      <c r="L195" s="21" t="str">
        <f>IFERROR(__xludf.DUMMYFUNCTION("IFERROR((GOOGLEFINANCE(C195, ""price"") / INDEX(GOOGLEFINANCE(C195, ""price"", TODAY()-7, TODAY()), 2, 2)) - 1, """")"),"")</f>
        <v/>
      </c>
      <c r="M195" s="21" t="str">
        <f>IFERROR(__xludf.DUMMYFUNCTION("IFERROR((GOOGLEFINANCE(C195, ""price"") / INDEX(GOOGLEFINANCE(C195, ""price"", EDATE(TODAY(), -1), TODAY()), 2, 2)) - 1, """")"),"")</f>
        <v/>
      </c>
      <c r="N195" s="21" t="str">
        <f>IFERROR(__xludf.DUMMYFUNCTION("IFERROR((GOOGLEFINANCE(C195, ""price"") / INDEX(GOOGLEFINANCE(C195, ""price"", EDATE(TODAY(), -3), TODAY()), 2, 2)) - 1, """")"),"")</f>
        <v/>
      </c>
      <c r="O195" s="21" t="str">
        <f>IFERROR(__xludf.DUMMYFUNCTION("IFERROR((GOOGLEFINANCE(C195, ""price"") / INDEX(GOOGLEFINANCE(C195, ""price"", EDATE(TODAY(), -6), TODAY()), 2, 2)) - 1, """")"),"")</f>
        <v/>
      </c>
      <c r="P195" s="21" t="str">
        <f>IFERROR(__xludf.DUMMYFUNCTION("IFERROR((GOOGLEFINANCE(C195, ""price"") / INDEX(GOOGLEFINANCE(C195, ""price"", EDATE(TODAY(), -12), TODAY()), 2, 2)) - 1, """")"),"")</f>
        <v/>
      </c>
      <c r="Q195" s="6" t="str">
        <f>IFERROR(__xludf.DUMMYFUNCTION("AVERAGE(QUERY(GOOGLEFINANCE(C195, ""price"", TODAY()-80, TODAY()), ""SELECT Col2 WHERE Col2 IS NOT NULL ORDER BY Col1 DESC LIMIT 50"", 0))"),"#N/A")</f>
        <v>#N/A</v>
      </c>
      <c r="R195" s="24" t="str">
        <f>IFERROR(__xludf.DUMMYFUNCTION("IFERROR(
  LET(
    data, QUERY(GOOGLEFINANCE(C195,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GOOGLEFINANCE(C195, ""price"")) * 100,
    IF(calc=0, G195, calc)
  ), 
G195)"),"#N/A")</f>
        <v>#N/A</v>
      </c>
      <c r="S195" s="8" t="s">
        <v>15</v>
      </c>
      <c r="T195" s="26" t="str">
        <f>IFERROR(__xludf.DUMMYFUNCTION("IFERROR(TRANSPOSE(QUERY(IFERROR(SORT(GOOGLEFINANCE(C195, ""price"", WORKDAY(TODAY(), -40), TODAY()), 1, FALSE)), ""select Col2 where Col2 is not null limit 22 label Col2 ''"", 0)), """")"),"")</f>
        <v/>
      </c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8"/>
      <c r="AO195" s="28"/>
      <c r="AP195" s="29"/>
      <c r="AQ195" s="29" t="str">
        <f t="shared" ref="AQ195:BL195" si="198">T195/T$2</f>
        <v>#N/A</v>
      </c>
      <c r="AR195" s="29" t="str">
        <f t="shared" si="198"/>
        <v>#DIV/0!</v>
      </c>
      <c r="AS195" s="29" t="str">
        <f t="shared" si="198"/>
        <v>#DIV/0!</v>
      </c>
      <c r="AT195" s="29" t="str">
        <f t="shared" si="198"/>
        <v>#DIV/0!</v>
      </c>
      <c r="AU195" s="29" t="str">
        <f t="shared" si="198"/>
        <v>#DIV/0!</v>
      </c>
      <c r="AV195" s="29" t="str">
        <f t="shared" si="198"/>
        <v>#DIV/0!</v>
      </c>
      <c r="AW195" s="29" t="str">
        <f t="shared" si="198"/>
        <v>#DIV/0!</v>
      </c>
      <c r="AX195" s="29" t="str">
        <f t="shared" si="198"/>
        <v>#DIV/0!</v>
      </c>
      <c r="AY195" s="29" t="str">
        <f t="shared" si="198"/>
        <v>#DIV/0!</v>
      </c>
      <c r="AZ195" s="29" t="str">
        <f t="shared" si="198"/>
        <v>#DIV/0!</v>
      </c>
      <c r="BA195" s="29" t="str">
        <f t="shared" si="198"/>
        <v>#DIV/0!</v>
      </c>
      <c r="BB195" s="29" t="str">
        <f t="shared" si="198"/>
        <v>#DIV/0!</v>
      </c>
      <c r="BC195" s="29" t="str">
        <f t="shared" si="198"/>
        <v>#DIV/0!</v>
      </c>
      <c r="BD195" s="29" t="str">
        <f t="shared" si="198"/>
        <v>#DIV/0!</v>
      </c>
      <c r="BE195" s="29" t="str">
        <f t="shared" si="198"/>
        <v>#DIV/0!</v>
      </c>
      <c r="BF195" s="29" t="str">
        <f t="shared" si="198"/>
        <v>#DIV/0!</v>
      </c>
      <c r="BG195" s="29" t="str">
        <f t="shared" si="198"/>
        <v>#DIV/0!</v>
      </c>
      <c r="BH195" s="29" t="str">
        <f t="shared" si="198"/>
        <v>#DIV/0!</v>
      </c>
      <c r="BI195" s="29" t="str">
        <f t="shared" si="198"/>
        <v>#DIV/0!</v>
      </c>
      <c r="BJ195" s="29" t="str">
        <f t="shared" si="198"/>
        <v>#DIV/0!</v>
      </c>
      <c r="BK195" s="29" t="str">
        <f t="shared" si="198"/>
        <v>#DIV/0!</v>
      </c>
      <c r="BL195" s="29" t="str">
        <f t="shared" si="198"/>
        <v>#DIV/0!</v>
      </c>
      <c r="BM195" s="29" t="str">
        <f t="shared" si="3"/>
        <v>#DIV/0!</v>
      </c>
    </row>
    <row r="196">
      <c r="A196" s="16" t="str">
        <f>IFERROR(__xludf.DUMMYFUNCTION("IFERROR(SPARKLINE(SORT(MAP(TRANSPOSE(AQ196:BL196), LAMBDA(val, IF(ISNUMBER(val), PERCENTRANK(AQ196:BL196, val)+0.01, 0))), SEQUENCE(COLUMNS(AQ196:BL196)), FALSE), {""charttype"",""column""; ""color"",""chartreuse""; ""ymin"", 0; ""ymax"", 1.01; ""highcolo"&amp;"r"", ""darkgreen""; ""lowcolor"", ""red""}), """")"),"")</f>
        <v/>
      </c>
      <c r="B196" s="17" t="str">
        <f t="shared" si="4"/>
        <v/>
      </c>
      <c r="C196" s="1" t="s">
        <v>821</v>
      </c>
      <c r="D196" s="30" t="str">
        <f>IFERROR(__xludf.DUMMYFUNCTION("IFERROR(GOOGLEFINANCE(C196, ""NAME""))"),"Cannae Holdings Inc")</f>
        <v>Cannae Holdings Inc</v>
      </c>
      <c r="E196" s="30" t="s">
        <v>126</v>
      </c>
      <c r="F196" s="33" t="str">
        <f>IFERROR(__xludf.DUMMYFUNCTION("( (GOOGLEFINANCE(C196, ""price"") - Q196) / Q196 ) / (R196 / 100)"),"Loading...")</f>
        <v>Loading...</v>
      </c>
      <c r="G196" s="20" t="str">
        <f>IFERROR(__xludf.DUMMYFUNCTION("AVERAGE(ARRAYFORMULA(100 * (QUERY(GOOGLEFINANCE(C196, ""high"", TODAY()-40, TODAY()), ""SELECT Col2 WHERE Col2 IS NOT NULL ORDER BY Col1 DESC LIMIT 20"", 0) / QUERY(GOOGLEFINANCE(C196, ""low"", TODAY()-40, TODAY()), ""SELECT Col2 WHERE Col2 IS NOT NULL OR"&amp;"DER BY Col1 DESC LIMIT 20"", 0) - 1)))"),"#N/A")</f>
        <v>#N/A</v>
      </c>
      <c r="H196" s="35" t="str">
        <f t="shared" si="6"/>
        <v/>
      </c>
      <c r="I196" s="35" t="str">
        <f t="shared" si="7"/>
        <v/>
      </c>
      <c r="J196" s="37" t="str">
        <f>IFERROR(__xludf.DUMMYFUNCTION("IFERROR(
  IF(C196="""",, 
    IFERROR(
      GOOGLEFINANCE(C196, ""price"") * GOOGLEFINANCE(C196, ""volumeavg""), 
      GOOGLEFINANCE(C196, ""price"") * AVERAGE(QUERY(GOOGLEFINANCE(C196, ""volume"", TODAY()-40, TODAY()), ""SELECT Col2 WHERE Col2 IS NOT "&amp;"NULL ORDER BY Col1 DESC LIMIT 20"", 0))
    )
  ), 
"""")"),"")</f>
        <v/>
      </c>
      <c r="K196" s="21" t="str">
        <f>IFERROR(__xludf.DUMMYFUNCTION("IFERROR(GOOGLEFINANCE(C196, ""changepct"") / 100, """")"),"")</f>
        <v/>
      </c>
      <c r="L196" s="21" t="str">
        <f>IFERROR(__xludf.DUMMYFUNCTION("IFERROR((GOOGLEFINANCE(C196, ""price"") / INDEX(GOOGLEFINANCE(C196, ""price"", TODAY()-7, TODAY()), 2, 2)) - 1, """")"),"")</f>
        <v/>
      </c>
      <c r="M196" s="21" t="str">
        <f>IFERROR(__xludf.DUMMYFUNCTION("IFERROR((GOOGLEFINANCE(C196, ""price"") / INDEX(GOOGLEFINANCE(C196, ""price"", EDATE(TODAY(), -1), TODAY()), 2, 2)) - 1, """")"),"")</f>
        <v/>
      </c>
      <c r="N196" s="21" t="str">
        <f>IFERROR(__xludf.DUMMYFUNCTION("IFERROR((GOOGLEFINANCE(C196, ""price"") / INDEX(GOOGLEFINANCE(C196, ""price"", EDATE(TODAY(), -3), TODAY()), 2, 2)) - 1, """")"),"")</f>
        <v/>
      </c>
      <c r="O196" s="21" t="str">
        <f>IFERROR(__xludf.DUMMYFUNCTION("IFERROR((GOOGLEFINANCE(C196, ""price"") / INDEX(GOOGLEFINANCE(C196, ""price"", EDATE(TODAY(), -6), TODAY()), 2, 2)) - 1, """")"),"")</f>
        <v/>
      </c>
      <c r="P196" s="21" t="str">
        <f>IFERROR(__xludf.DUMMYFUNCTION("IFERROR((GOOGLEFINANCE(C196, ""price"") / INDEX(GOOGLEFINANCE(C196, ""price"", EDATE(TODAY(), -12), TODAY()), 2, 2)) - 1, """")"),"")</f>
        <v/>
      </c>
      <c r="Q196" s="6" t="str">
        <f>IFERROR(__xludf.DUMMYFUNCTION("AVERAGE(QUERY(GOOGLEFINANCE(C196, ""price"", TODAY()-80, TODAY()), ""SELECT Col2 WHERE Col2 IS NOT NULL ORDER BY Col1 DESC LIMIT 50"", 0))"),"#N/A")</f>
        <v>#N/A</v>
      </c>
      <c r="R196" s="24" t="str">
        <f>IFERROR(__xludf.DUMMYFUNCTION("IFERROR(
  LET(
    data, QUERY(GOOGLEFINANCE(C196,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GOOGLEFINANCE(C196, ""price"")) * 100,
    IF(calc=0, G196, calc)
  ), 
G196)"),"#N/A")</f>
        <v>#N/A</v>
      </c>
      <c r="S196" s="8" t="s">
        <v>15</v>
      </c>
      <c r="T196" s="26" t="str">
        <f>IFERROR(__xludf.DUMMYFUNCTION("IFERROR(TRANSPOSE(QUERY(IFERROR(SORT(GOOGLEFINANCE(C196, ""price"", WORKDAY(TODAY(), -40), TODAY()), 1, FALSE)), ""select Col2 where Col2 is not null limit 22 label Col2 ''"", 0)), """")"),"")</f>
        <v/>
      </c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8"/>
      <c r="AO196" s="28"/>
      <c r="AP196" s="29"/>
      <c r="AQ196" s="29" t="str">
        <f t="shared" ref="AQ196:BL196" si="199">T196/T$2</f>
        <v>#N/A</v>
      </c>
      <c r="AR196" s="29" t="str">
        <f t="shared" si="199"/>
        <v>#DIV/0!</v>
      </c>
      <c r="AS196" s="29" t="str">
        <f t="shared" si="199"/>
        <v>#DIV/0!</v>
      </c>
      <c r="AT196" s="29" t="str">
        <f t="shared" si="199"/>
        <v>#DIV/0!</v>
      </c>
      <c r="AU196" s="29" t="str">
        <f t="shared" si="199"/>
        <v>#DIV/0!</v>
      </c>
      <c r="AV196" s="29" t="str">
        <f t="shared" si="199"/>
        <v>#DIV/0!</v>
      </c>
      <c r="AW196" s="29" t="str">
        <f t="shared" si="199"/>
        <v>#DIV/0!</v>
      </c>
      <c r="AX196" s="29" t="str">
        <f t="shared" si="199"/>
        <v>#DIV/0!</v>
      </c>
      <c r="AY196" s="29" t="str">
        <f t="shared" si="199"/>
        <v>#DIV/0!</v>
      </c>
      <c r="AZ196" s="29" t="str">
        <f t="shared" si="199"/>
        <v>#DIV/0!</v>
      </c>
      <c r="BA196" s="29" t="str">
        <f t="shared" si="199"/>
        <v>#DIV/0!</v>
      </c>
      <c r="BB196" s="29" t="str">
        <f t="shared" si="199"/>
        <v>#DIV/0!</v>
      </c>
      <c r="BC196" s="29" t="str">
        <f t="shared" si="199"/>
        <v>#DIV/0!</v>
      </c>
      <c r="BD196" s="29" t="str">
        <f t="shared" si="199"/>
        <v>#DIV/0!</v>
      </c>
      <c r="BE196" s="29" t="str">
        <f t="shared" si="199"/>
        <v>#DIV/0!</v>
      </c>
      <c r="BF196" s="29" t="str">
        <f t="shared" si="199"/>
        <v>#DIV/0!</v>
      </c>
      <c r="BG196" s="29" t="str">
        <f t="shared" si="199"/>
        <v>#DIV/0!</v>
      </c>
      <c r="BH196" s="29" t="str">
        <f t="shared" si="199"/>
        <v>#DIV/0!</v>
      </c>
      <c r="BI196" s="29" t="str">
        <f t="shared" si="199"/>
        <v>#DIV/0!</v>
      </c>
      <c r="BJ196" s="29" t="str">
        <f t="shared" si="199"/>
        <v>#DIV/0!</v>
      </c>
      <c r="BK196" s="29" t="str">
        <f t="shared" si="199"/>
        <v>#DIV/0!</v>
      </c>
      <c r="BL196" s="29" t="str">
        <f t="shared" si="199"/>
        <v>#DIV/0!</v>
      </c>
      <c r="BM196" s="29" t="str">
        <f t="shared" si="3"/>
        <v>#DIV/0!</v>
      </c>
    </row>
    <row r="197">
      <c r="A197" s="16" t="str">
        <f>IFERROR(__xludf.DUMMYFUNCTION("IFERROR(SPARKLINE(SORT(MAP(TRANSPOSE(AQ197:BL197), LAMBDA(val, IF(ISNUMBER(val), PERCENTRANK(AQ197:BL197, val)+0.01, 0))), SEQUENCE(COLUMNS(AQ197:BL197)), FALSE), {""charttype"",""column""; ""color"",""chartreuse""; ""ymin"", 0; ""ymax"", 1.01; ""highcolo"&amp;"r"", ""darkgreen""; ""lowcolor"", ""red""}), """")"),"")</f>
        <v/>
      </c>
      <c r="B197" s="17" t="str">
        <f t="shared" si="4"/>
        <v/>
      </c>
      <c r="C197" s="1" t="s">
        <v>824</v>
      </c>
      <c r="D197" s="30" t="str">
        <f>IFERROR(__xludf.DUMMYFUNCTION("IFERROR(GOOGLEFINANCE(C197, ""NAME""))"),"Microvast Holdings Inc")</f>
        <v>Microvast Holdings Inc</v>
      </c>
      <c r="E197" s="30" t="s">
        <v>109</v>
      </c>
      <c r="F197" s="33" t="str">
        <f>IFERROR(__xludf.DUMMYFUNCTION("( (GOOGLEFINANCE(C197, ""price"") - Q197) / Q197 ) / (R197 / 100)"),"Loading...")</f>
        <v>Loading...</v>
      </c>
      <c r="G197" s="20" t="str">
        <f>IFERROR(__xludf.DUMMYFUNCTION("AVERAGE(ARRAYFORMULA(100 * (QUERY(GOOGLEFINANCE(C197, ""high"", TODAY()-40, TODAY()), ""SELECT Col2 WHERE Col2 IS NOT NULL ORDER BY Col1 DESC LIMIT 20"", 0) / QUERY(GOOGLEFINANCE(C197, ""low"", TODAY()-40, TODAY()), ""SELECT Col2 WHERE Col2 IS NOT NULL OR"&amp;"DER BY Col1 DESC LIMIT 20"", 0) - 1)))"),"#N/A")</f>
        <v>#N/A</v>
      </c>
      <c r="H197" s="35" t="str">
        <f t="shared" si="6"/>
        <v/>
      </c>
      <c r="I197" s="35" t="str">
        <f t="shared" si="7"/>
        <v/>
      </c>
      <c r="J197" s="37" t="str">
        <f>IFERROR(__xludf.DUMMYFUNCTION("IFERROR(
  IF(C197="""",, 
    IFERROR(
      GOOGLEFINANCE(C197, ""price"") * GOOGLEFINANCE(C197, ""volumeavg""), 
      GOOGLEFINANCE(C197, ""price"") * AVERAGE(QUERY(GOOGLEFINANCE(C197, ""volume"", TODAY()-40, TODAY()), ""SELECT Col2 WHERE Col2 IS NOT "&amp;"NULL ORDER BY Col1 DESC LIMIT 20"", 0))
    )
  ), 
"""")"),"")</f>
        <v/>
      </c>
      <c r="K197" s="21" t="str">
        <f>IFERROR(__xludf.DUMMYFUNCTION("IFERROR(GOOGLEFINANCE(C197, ""changepct"") / 100, """")"),"")</f>
        <v/>
      </c>
      <c r="L197" s="21" t="str">
        <f>IFERROR(__xludf.DUMMYFUNCTION("IFERROR((GOOGLEFINANCE(C197, ""price"") / INDEX(GOOGLEFINANCE(C197, ""price"", TODAY()-7, TODAY()), 2, 2)) - 1, """")"),"")</f>
        <v/>
      </c>
      <c r="M197" s="21" t="str">
        <f>IFERROR(__xludf.DUMMYFUNCTION("IFERROR((GOOGLEFINANCE(C197, ""price"") / INDEX(GOOGLEFINANCE(C197, ""price"", EDATE(TODAY(), -1), TODAY()), 2, 2)) - 1, """")"),"")</f>
        <v/>
      </c>
      <c r="N197" s="21" t="str">
        <f>IFERROR(__xludf.DUMMYFUNCTION("IFERROR((GOOGLEFINANCE(C197, ""price"") / INDEX(GOOGLEFINANCE(C197, ""price"", EDATE(TODAY(), -3), TODAY()), 2, 2)) - 1, """")"),"")</f>
        <v/>
      </c>
      <c r="O197" s="21" t="str">
        <f>IFERROR(__xludf.DUMMYFUNCTION("IFERROR((GOOGLEFINANCE(C197, ""price"") / INDEX(GOOGLEFINANCE(C197, ""price"", EDATE(TODAY(), -6), TODAY()), 2, 2)) - 1, """")"),"")</f>
        <v/>
      </c>
      <c r="P197" s="21" t="str">
        <f>IFERROR(__xludf.DUMMYFUNCTION("IFERROR((GOOGLEFINANCE(C197, ""price"") / INDEX(GOOGLEFINANCE(C197, ""price"", EDATE(TODAY(), -12), TODAY()), 2, 2)) - 1, """")"),"")</f>
        <v/>
      </c>
      <c r="Q197" s="6" t="str">
        <f>IFERROR(__xludf.DUMMYFUNCTION("AVERAGE(QUERY(GOOGLEFINANCE(C197, ""price"", TODAY()-80, TODAY()), ""SELECT Col2 WHERE Col2 IS NOT NULL ORDER BY Col1 DESC LIMIT 50"", 0))"),"#N/A")</f>
        <v>#N/A</v>
      </c>
      <c r="R197" s="24" t="str">
        <f>IFERROR(__xludf.DUMMYFUNCTION("IFERROR(
  LET(
    data, QUERY(GOOGLEFINANCE(C197,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GOOGLEFINANCE(C197, ""price"")) * 100,
    IF(calc=0, G197, calc)
  ), 
G197)"),"#N/A")</f>
        <v>#N/A</v>
      </c>
      <c r="S197" s="8" t="s">
        <v>15</v>
      </c>
      <c r="T197" s="26" t="str">
        <f>IFERROR(__xludf.DUMMYFUNCTION("IFERROR(TRANSPOSE(QUERY(IFERROR(SORT(GOOGLEFINANCE(C197, ""price"", WORKDAY(TODAY(), -40), TODAY()), 1, FALSE)), ""select Col2 where Col2 is not null limit 22 label Col2 ''"", 0)), """")"),"")</f>
        <v/>
      </c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8"/>
      <c r="AO197" s="28"/>
      <c r="AP197" s="29"/>
      <c r="AQ197" s="29" t="str">
        <f t="shared" ref="AQ197:BL197" si="200">T197/T$2</f>
        <v>#N/A</v>
      </c>
      <c r="AR197" s="29" t="str">
        <f t="shared" si="200"/>
        <v>#DIV/0!</v>
      </c>
      <c r="AS197" s="29" t="str">
        <f t="shared" si="200"/>
        <v>#DIV/0!</v>
      </c>
      <c r="AT197" s="29" t="str">
        <f t="shared" si="200"/>
        <v>#DIV/0!</v>
      </c>
      <c r="AU197" s="29" t="str">
        <f t="shared" si="200"/>
        <v>#DIV/0!</v>
      </c>
      <c r="AV197" s="29" t="str">
        <f t="shared" si="200"/>
        <v>#DIV/0!</v>
      </c>
      <c r="AW197" s="29" t="str">
        <f t="shared" si="200"/>
        <v>#DIV/0!</v>
      </c>
      <c r="AX197" s="29" t="str">
        <f t="shared" si="200"/>
        <v>#DIV/0!</v>
      </c>
      <c r="AY197" s="29" t="str">
        <f t="shared" si="200"/>
        <v>#DIV/0!</v>
      </c>
      <c r="AZ197" s="29" t="str">
        <f t="shared" si="200"/>
        <v>#DIV/0!</v>
      </c>
      <c r="BA197" s="29" t="str">
        <f t="shared" si="200"/>
        <v>#DIV/0!</v>
      </c>
      <c r="BB197" s="29" t="str">
        <f t="shared" si="200"/>
        <v>#DIV/0!</v>
      </c>
      <c r="BC197" s="29" t="str">
        <f t="shared" si="200"/>
        <v>#DIV/0!</v>
      </c>
      <c r="BD197" s="29" t="str">
        <f t="shared" si="200"/>
        <v>#DIV/0!</v>
      </c>
      <c r="BE197" s="29" t="str">
        <f t="shared" si="200"/>
        <v>#DIV/0!</v>
      </c>
      <c r="BF197" s="29" t="str">
        <f t="shared" si="200"/>
        <v>#DIV/0!</v>
      </c>
      <c r="BG197" s="29" t="str">
        <f t="shared" si="200"/>
        <v>#DIV/0!</v>
      </c>
      <c r="BH197" s="29" t="str">
        <f t="shared" si="200"/>
        <v>#DIV/0!</v>
      </c>
      <c r="BI197" s="29" t="str">
        <f t="shared" si="200"/>
        <v>#DIV/0!</v>
      </c>
      <c r="BJ197" s="29" t="str">
        <f t="shared" si="200"/>
        <v>#DIV/0!</v>
      </c>
      <c r="BK197" s="29" t="str">
        <f t="shared" si="200"/>
        <v>#DIV/0!</v>
      </c>
      <c r="BL197" s="29" t="str">
        <f t="shared" si="200"/>
        <v>#DIV/0!</v>
      </c>
      <c r="BM197" s="29" t="str">
        <f t="shared" si="3"/>
        <v>#DIV/0!</v>
      </c>
    </row>
    <row r="198">
      <c r="A198" s="16" t="str">
        <f>IFERROR(__xludf.DUMMYFUNCTION("IFERROR(SPARKLINE(SORT(MAP(TRANSPOSE(AQ198:BL198), LAMBDA(val, IF(ISNUMBER(val), PERCENTRANK(AQ198:BL198, val)+0.01, 0))), SEQUENCE(COLUMNS(AQ198:BL198)), FALSE), {""charttype"",""column""; ""color"",""chartreuse""; ""ymin"", 0; ""ymax"", 1.01; ""highcolo"&amp;"r"", ""darkgreen""; ""lowcolor"", ""red""}), """")"),"")</f>
        <v/>
      </c>
      <c r="B198" s="17" t="str">
        <f t="shared" si="4"/>
        <v/>
      </c>
      <c r="C198" s="1" t="s">
        <v>827</v>
      </c>
      <c r="D198" s="30" t="str">
        <f>IFERROR(__xludf.DUMMYFUNCTION("IFERROR(GOOGLEFINANCE(C198, ""NAME""))"),"Sharplink Inc")</f>
        <v>Sharplink Inc</v>
      </c>
      <c r="E198" s="30" t="s">
        <v>234</v>
      </c>
      <c r="F198" s="33" t="str">
        <f>IFERROR(__xludf.DUMMYFUNCTION("( (GOOGLEFINANCE(C198, ""price"") - Q198) / Q198 ) / (R198 / 100)"),"Loading...")</f>
        <v>Loading...</v>
      </c>
      <c r="G198" s="20" t="str">
        <f>IFERROR(__xludf.DUMMYFUNCTION("AVERAGE(ARRAYFORMULA(100 * (QUERY(GOOGLEFINANCE(C198, ""high"", TODAY()-40, TODAY()), ""SELECT Col2 WHERE Col2 IS NOT NULL ORDER BY Col1 DESC LIMIT 20"", 0) / QUERY(GOOGLEFINANCE(C198, ""low"", TODAY()-40, TODAY()), ""SELECT Col2 WHERE Col2 IS NOT NULL OR"&amp;"DER BY Col1 DESC LIMIT 20"", 0) - 1)))"),"#N/A")</f>
        <v>#N/A</v>
      </c>
      <c r="H198" s="35" t="str">
        <f t="shared" si="6"/>
        <v/>
      </c>
      <c r="I198" s="35" t="str">
        <f t="shared" si="7"/>
        <v/>
      </c>
      <c r="J198" s="37" t="str">
        <f>IFERROR(__xludf.DUMMYFUNCTION("IFERROR(
  IF(C198="""",, 
    IFERROR(
      GOOGLEFINANCE(C198, ""price"") * GOOGLEFINANCE(C198, ""volumeavg""), 
      GOOGLEFINANCE(C198, ""price"") * AVERAGE(QUERY(GOOGLEFINANCE(C198, ""volume"", TODAY()-40, TODAY()), ""SELECT Col2 WHERE Col2 IS NOT "&amp;"NULL ORDER BY Col1 DESC LIMIT 20"", 0))
    )
  ), 
"""")"),"")</f>
        <v/>
      </c>
      <c r="K198" s="21" t="str">
        <f>IFERROR(__xludf.DUMMYFUNCTION("IFERROR(GOOGLEFINANCE(C198, ""changepct"") / 100, """")"),"")</f>
        <v/>
      </c>
      <c r="L198" s="21" t="str">
        <f>IFERROR(__xludf.DUMMYFUNCTION("IFERROR((GOOGLEFINANCE(C198, ""price"") / INDEX(GOOGLEFINANCE(C198, ""price"", TODAY()-7, TODAY()), 2, 2)) - 1, """")"),"")</f>
        <v/>
      </c>
      <c r="M198" s="21" t="str">
        <f>IFERROR(__xludf.DUMMYFUNCTION("IFERROR((GOOGLEFINANCE(C198, ""price"") / INDEX(GOOGLEFINANCE(C198, ""price"", EDATE(TODAY(), -1), TODAY()), 2, 2)) - 1, """")"),"")</f>
        <v/>
      </c>
      <c r="N198" s="21" t="str">
        <f>IFERROR(__xludf.DUMMYFUNCTION("IFERROR((GOOGLEFINANCE(C198, ""price"") / INDEX(GOOGLEFINANCE(C198, ""price"", EDATE(TODAY(), -3), TODAY()), 2, 2)) - 1, """")"),"")</f>
        <v/>
      </c>
      <c r="O198" s="21" t="str">
        <f>IFERROR(__xludf.DUMMYFUNCTION("IFERROR((GOOGLEFINANCE(C198, ""price"") / INDEX(GOOGLEFINANCE(C198, ""price"", EDATE(TODAY(), -6), TODAY()), 2, 2)) - 1, """")"),"")</f>
        <v/>
      </c>
      <c r="P198" s="21" t="str">
        <f>IFERROR(__xludf.DUMMYFUNCTION("IFERROR((GOOGLEFINANCE(C198, ""price"") / INDEX(GOOGLEFINANCE(C198, ""price"", EDATE(TODAY(), -12), TODAY()), 2, 2)) - 1, """")"),"")</f>
        <v/>
      </c>
      <c r="Q198" s="6" t="str">
        <f>IFERROR(__xludf.DUMMYFUNCTION("AVERAGE(QUERY(GOOGLEFINANCE(C198, ""price"", TODAY()-80, TODAY()), ""SELECT Col2 WHERE Col2 IS NOT NULL ORDER BY Col1 DESC LIMIT 50"", 0))"),"#N/A")</f>
        <v>#N/A</v>
      </c>
      <c r="R198" s="24" t="str">
        <f>IFERROR(__xludf.DUMMYFUNCTION("IFERROR(
  LET(
    data, QUERY(GOOGLEFINANCE(C198,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GOOGLEFINANCE(C198, ""price"")) * 100,
    IF(calc=0, G198, calc)
  ), 
G198)"),"#N/A")</f>
        <v>#N/A</v>
      </c>
      <c r="S198" s="8" t="s">
        <v>15</v>
      </c>
      <c r="T198" s="26" t="str">
        <f>IFERROR(__xludf.DUMMYFUNCTION("IFERROR(TRANSPOSE(QUERY(IFERROR(SORT(GOOGLEFINANCE(C198, ""price"", WORKDAY(TODAY(), -40), TODAY()), 1, FALSE)), ""select Col2 where Col2 is not null limit 22 label Col2 ''"", 0)), """")"),"")</f>
        <v/>
      </c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8"/>
      <c r="AO198" s="28"/>
      <c r="AP198" s="29"/>
      <c r="AQ198" s="29" t="str">
        <f t="shared" ref="AQ198:BL198" si="201">T198/T$2</f>
        <v>#N/A</v>
      </c>
      <c r="AR198" s="29" t="str">
        <f t="shared" si="201"/>
        <v>#DIV/0!</v>
      </c>
      <c r="AS198" s="29" t="str">
        <f t="shared" si="201"/>
        <v>#DIV/0!</v>
      </c>
      <c r="AT198" s="29" t="str">
        <f t="shared" si="201"/>
        <v>#DIV/0!</v>
      </c>
      <c r="AU198" s="29" t="str">
        <f t="shared" si="201"/>
        <v>#DIV/0!</v>
      </c>
      <c r="AV198" s="29" t="str">
        <f t="shared" si="201"/>
        <v>#DIV/0!</v>
      </c>
      <c r="AW198" s="29" t="str">
        <f t="shared" si="201"/>
        <v>#DIV/0!</v>
      </c>
      <c r="AX198" s="29" t="str">
        <f t="shared" si="201"/>
        <v>#DIV/0!</v>
      </c>
      <c r="AY198" s="29" t="str">
        <f t="shared" si="201"/>
        <v>#DIV/0!</v>
      </c>
      <c r="AZ198" s="29" t="str">
        <f t="shared" si="201"/>
        <v>#DIV/0!</v>
      </c>
      <c r="BA198" s="29" t="str">
        <f t="shared" si="201"/>
        <v>#DIV/0!</v>
      </c>
      <c r="BB198" s="29" t="str">
        <f t="shared" si="201"/>
        <v>#DIV/0!</v>
      </c>
      <c r="BC198" s="29" t="str">
        <f t="shared" si="201"/>
        <v>#DIV/0!</v>
      </c>
      <c r="BD198" s="29" t="str">
        <f t="shared" si="201"/>
        <v>#DIV/0!</v>
      </c>
      <c r="BE198" s="29" t="str">
        <f t="shared" si="201"/>
        <v>#DIV/0!</v>
      </c>
      <c r="BF198" s="29" t="str">
        <f t="shared" si="201"/>
        <v>#DIV/0!</v>
      </c>
      <c r="BG198" s="29" t="str">
        <f t="shared" si="201"/>
        <v>#DIV/0!</v>
      </c>
      <c r="BH198" s="29" t="str">
        <f t="shared" si="201"/>
        <v>#DIV/0!</v>
      </c>
      <c r="BI198" s="29" t="str">
        <f t="shared" si="201"/>
        <v>#DIV/0!</v>
      </c>
      <c r="BJ198" s="29" t="str">
        <f t="shared" si="201"/>
        <v>#DIV/0!</v>
      </c>
      <c r="BK198" s="29" t="str">
        <f t="shared" si="201"/>
        <v>#DIV/0!</v>
      </c>
      <c r="BL198" s="29" t="str">
        <f t="shared" si="201"/>
        <v>#DIV/0!</v>
      </c>
      <c r="BM198" s="29" t="str">
        <f t="shared" si="3"/>
        <v>#DIV/0!</v>
      </c>
    </row>
    <row r="199">
      <c r="A199" s="16" t="str">
        <f>IFERROR(__xludf.DUMMYFUNCTION("IFERROR(SPARKLINE(SORT(MAP(TRANSPOSE(AQ199:BL199), LAMBDA(val, IF(ISNUMBER(val), PERCENTRANK(AQ199:BL199, val)+0.01, 0))), SEQUENCE(COLUMNS(AQ199:BL199)), FALSE), {""charttype"",""column""; ""color"",""chartreuse""; ""ymin"", 0; ""ymax"", 1.01; ""highcolo"&amp;"r"", ""darkgreen""; ""lowcolor"", ""red""}), """")"),"")</f>
        <v/>
      </c>
      <c r="B199" s="17" t="str">
        <f t="shared" si="4"/>
        <v/>
      </c>
      <c r="C199" s="1" t="s">
        <v>831</v>
      </c>
      <c r="D199" s="30" t="str">
        <f>IFERROR(__xludf.DUMMYFUNCTION("IFERROR(GOOGLEFINANCE(C199, ""NAME""))"),"Lithia Motors Inc")</f>
        <v>Lithia Motors Inc</v>
      </c>
      <c r="E199" s="30" t="s">
        <v>190</v>
      </c>
      <c r="F199" s="33" t="str">
        <f>IFERROR(__xludf.DUMMYFUNCTION("( (GOOGLEFINANCE(C199, ""price"") - Q199) / Q199 ) / (R199 / 100)"),"Loading...")</f>
        <v>Loading...</v>
      </c>
      <c r="G199" s="20" t="str">
        <f>IFERROR(__xludf.DUMMYFUNCTION("AVERAGE(ARRAYFORMULA(100 * (QUERY(GOOGLEFINANCE(C199, ""high"", TODAY()-40, TODAY()), ""SELECT Col2 WHERE Col2 IS NOT NULL ORDER BY Col1 DESC LIMIT 20"", 0) / QUERY(GOOGLEFINANCE(C199, ""low"", TODAY()-40, TODAY()), ""SELECT Col2 WHERE Col2 IS NOT NULL OR"&amp;"DER BY Col1 DESC LIMIT 20"", 0) - 1)))"),"#N/A")</f>
        <v>#N/A</v>
      </c>
      <c r="H199" s="35" t="str">
        <f t="shared" si="6"/>
        <v/>
      </c>
      <c r="I199" s="35" t="str">
        <f t="shared" si="7"/>
        <v/>
      </c>
      <c r="J199" s="37" t="str">
        <f>IFERROR(__xludf.DUMMYFUNCTION("IFERROR(
  IF(C199="""",, 
    IFERROR(
      GOOGLEFINANCE(C199, ""price"") * GOOGLEFINANCE(C199, ""volumeavg""), 
      GOOGLEFINANCE(C199, ""price"") * AVERAGE(QUERY(GOOGLEFINANCE(C199, ""volume"", TODAY()-40, TODAY()), ""SELECT Col2 WHERE Col2 IS NOT "&amp;"NULL ORDER BY Col1 DESC LIMIT 20"", 0))
    )
  ), 
"""")"),"")</f>
        <v/>
      </c>
      <c r="K199" s="21" t="str">
        <f>IFERROR(__xludf.DUMMYFUNCTION("IFERROR(GOOGLEFINANCE(C199, ""changepct"") / 100, """")"),"")</f>
        <v/>
      </c>
      <c r="L199" s="21" t="str">
        <f>IFERROR(__xludf.DUMMYFUNCTION("IFERROR((GOOGLEFINANCE(C199, ""price"") / INDEX(GOOGLEFINANCE(C199, ""price"", TODAY()-7, TODAY()), 2, 2)) - 1, """")"),"")</f>
        <v/>
      </c>
      <c r="M199" s="21" t="str">
        <f>IFERROR(__xludf.DUMMYFUNCTION("IFERROR((GOOGLEFINANCE(C199, ""price"") / INDEX(GOOGLEFINANCE(C199, ""price"", EDATE(TODAY(), -1), TODAY()), 2, 2)) - 1, """")"),"")</f>
        <v/>
      </c>
      <c r="N199" s="21" t="str">
        <f>IFERROR(__xludf.DUMMYFUNCTION("IFERROR((GOOGLEFINANCE(C199, ""price"") / INDEX(GOOGLEFINANCE(C199, ""price"", EDATE(TODAY(), -3), TODAY()), 2, 2)) - 1, """")"),"")</f>
        <v/>
      </c>
      <c r="O199" s="21" t="str">
        <f>IFERROR(__xludf.DUMMYFUNCTION("IFERROR((GOOGLEFINANCE(C199, ""price"") / INDEX(GOOGLEFINANCE(C199, ""price"", EDATE(TODAY(), -6), TODAY()), 2, 2)) - 1, """")"),"")</f>
        <v/>
      </c>
      <c r="P199" s="21" t="str">
        <f>IFERROR(__xludf.DUMMYFUNCTION("IFERROR((GOOGLEFINANCE(C199, ""price"") / INDEX(GOOGLEFINANCE(C199, ""price"", EDATE(TODAY(), -12), TODAY()), 2, 2)) - 1, """")"),"")</f>
        <v/>
      </c>
      <c r="Q199" s="6" t="str">
        <f>IFERROR(__xludf.DUMMYFUNCTION("AVERAGE(QUERY(GOOGLEFINANCE(C199, ""price"", TODAY()-80, TODAY()), ""SELECT Col2 WHERE Col2 IS NOT NULL ORDER BY Col1 DESC LIMIT 50"", 0))"),"#N/A")</f>
        <v>#N/A</v>
      </c>
      <c r="R199" s="24" t="str">
        <f>IFERROR(__xludf.DUMMYFUNCTION("IFERROR(
  LET(
    data, QUERY(GOOGLEFINANCE(C199,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GOOGLEFINANCE(C199, ""price"")) * 100,
    IF(calc=0, G199, calc)
  ), 
G199)"),"#N/A")</f>
        <v>#N/A</v>
      </c>
      <c r="S199" s="8" t="s">
        <v>15</v>
      </c>
      <c r="T199" s="26" t="str">
        <f>IFERROR(__xludf.DUMMYFUNCTION("IFERROR(TRANSPOSE(QUERY(IFERROR(SORT(GOOGLEFINANCE(C199, ""price"", WORKDAY(TODAY(), -40), TODAY()), 1, FALSE)), ""select Col2 where Col2 is not null limit 22 label Col2 ''"", 0)), """")"),"")</f>
        <v/>
      </c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8"/>
      <c r="AO199" s="28"/>
      <c r="AP199" s="29"/>
      <c r="AQ199" s="29" t="str">
        <f t="shared" ref="AQ199:BL199" si="202">T199/T$2</f>
        <v>#N/A</v>
      </c>
      <c r="AR199" s="29" t="str">
        <f t="shared" si="202"/>
        <v>#DIV/0!</v>
      </c>
      <c r="AS199" s="29" t="str">
        <f t="shared" si="202"/>
        <v>#DIV/0!</v>
      </c>
      <c r="AT199" s="29" t="str">
        <f t="shared" si="202"/>
        <v>#DIV/0!</v>
      </c>
      <c r="AU199" s="29" t="str">
        <f t="shared" si="202"/>
        <v>#DIV/0!</v>
      </c>
      <c r="AV199" s="29" t="str">
        <f t="shared" si="202"/>
        <v>#DIV/0!</v>
      </c>
      <c r="AW199" s="29" t="str">
        <f t="shared" si="202"/>
        <v>#DIV/0!</v>
      </c>
      <c r="AX199" s="29" t="str">
        <f t="shared" si="202"/>
        <v>#DIV/0!</v>
      </c>
      <c r="AY199" s="29" t="str">
        <f t="shared" si="202"/>
        <v>#DIV/0!</v>
      </c>
      <c r="AZ199" s="29" t="str">
        <f t="shared" si="202"/>
        <v>#DIV/0!</v>
      </c>
      <c r="BA199" s="29" t="str">
        <f t="shared" si="202"/>
        <v>#DIV/0!</v>
      </c>
      <c r="BB199" s="29" t="str">
        <f t="shared" si="202"/>
        <v>#DIV/0!</v>
      </c>
      <c r="BC199" s="29" t="str">
        <f t="shared" si="202"/>
        <v>#DIV/0!</v>
      </c>
      <c r="BD199" s="29" t="str">
        <f t="shared" si="202"/>
        <v>#DIV/0!</v>
      </c>
      <c r="BE199" s="29" t="str">
        <f t="shared" si="202"/>
        <v>#DIV/0!</v>
      </c>
      <c r="BF199" s="29" t="str">
        <f t="shared" si="202"/>
        <v>#DIV/0!</v>
      </c>
      <c r="BG199" s="29" t="str">
        <f t="shared" si="202"/>
        <v>#DIV/0!</v>
      </c>
      <c r="BH199" s="29" t="str">
        <f t="shared" si="202"/>
        <v>#DIV/0!</v>
      </c>
      <c r="BI199" s="29" t="str">
        <f t="shared" si="202"/>
        <v>#DIV/0!</v>
      </c>
      <c r="BJ199" s="29" t="str">
        <f t="shared" si="202"/>
        <v>#DIV/0!</v>
      </c>
      <c r="BK199" s="29" t="str">
        <f t="shared" si="202"/>
        <v>#DIV/0!</v>
      </c>
      <c r="BL199" s="29" t="str">
        <f t="shared" si="202"/>
        <v>#DIV/0!</v>
      </c>
      <c r="BM199" s="29" t="str">
        <f t="shared" si="3"/>
        <v>#DIV/0!</v>
      </c>
    </row>
    <row r="200">
      <c r="A200" s="16" t="str">
        <f>IFERROR(__xludf.DUMMYFUNCTION("IFERROR(SPARKLINE(SORT(MAP(TRANSPOSE(AQ200:BL200), LAMBDA(val, IF(ISNUMBER(val), PERCENTRANK(AQ200:BL200, val)+0.01, 0))), SEQUENCE(COLUMNS(AQ200:BL200)), FALSE), {""charttype"",""column""; ""color"",""chartreuse""; ""ymin"", 0; ""ymax"", 1.01; ""highcolo"&amp;"r"", ""darkgreen""; ""lowcolor"", ""red""}), """")"),"")</f>
        <v/>
      </c>
      <c r="B200" s="17" t="str">
        <f t="shared" si="4"/>
        <v/>
      </c>
      <c r="C200" s="1" t="s">
        <v>835</v>
      </c>
      <c r="D200" s="30" t="str">
        <f>IFERROR(__xludf.DUMMYFUNCTION("IFERROR(GOOGLEFINANCE(C200, ""NAME""))"),"Liquidity Services Inc")</f>
        <v>Liquidity Services Inc</v>
      </c>
      <c r="E200" s="30" t="s">
        <v>137</v>
      </c>
      <c r="F200" s="33" t="str">
        <f>IFERROR(__xludf.DUMMYFUNCTION("( (GOOGLEFINANCE(C200, ""price"") - Q200) / Q200 ) / (R200 / 100)"),"Loading...")</f>
        <v>Loading...</v>
      </c>
      <c r="G200" s="20" t="str">
        <f>IFERROR(__xludf.DUMMYFUNCTION("AVERAGE(ARRAYFORMULA(100 * (QUERY(GOOGLEFINANCE(C200, ""high"", TODAY()-40, TODAY()), ""SELECT Col2 WHERE Col2 IS NOT NULL ORDER BY Col1 DESC LIMIT 20"", 0) / QUERY(GOOGLEFINANCE(C200, ""low"", TODAY()-40, TODAY()), ""SELECT Col2 WHERE Col2 IS NOT NULL OR"&amp;"DER BY Col1 DESC LIMIT 20"", 0) - 1)))"),"#N/A")</f>
        <v>#N/A</v>
      </c>
      <c r="H200" s="35" t="str">
        <f t="shared" si="6"/>
        <v/>
      </c>
      <c r="I200" s="35" t="str">
        <f t="shared" si="7"/>
        <v/>
      </c>
      <c r="J200" s="37" t="str">
        <f>IFERROR(__xludf.DUMMYFUNCTION("IFERROR(
  IF(C200="""",, 
    IFERROR(
      GOOGLEFINANCE(C200, ""price"") * GOOGLEFINANCE(C200, ""volumeavg""), 
      GOOGLEFINANCE(C200, ""price"") * AVERAGE(QUERY(GOOGLEFINANCE(C200, ""volume"", TODAY()-40, TODAY()), ""SELECT Col2 WHERE Col2 IS NOT "&amp;"NULL ORDER BY Col1 DESC LIMIT 20"", 0))
    )
  ), 
"""")"),"")</f>
        <v/>
      </c>
      <c r="K200" s="21" t="str">
        <f>IFERROR(__xludf.DUMMYFUNCTION("IFERROR(GOOGLEFINANCE(C200, ""changepct"") / 100, """")"),"")</f>
        <v/>
      </c>
      <c r="L200" s="21" t="str">
        <f>IFERROR(__xludf.DUMMYFUNCTION("IFERROR((GOOGLEFINANCE(C200, ""price"") / INDEX(GOOGLEFINANCE(C200, ""price"", TODAY()-7, TODAY()), 2, 2)) - 1, """")"),"")</f>
        <v/>
      </c>
      <c r="M200" s="21" t="str">
        <f>IFERROR(__xludf.DUMMYFUNCTION("IFERROR((GOOGLEFINANCE(C200, ""price"") / INDEX(GOOGLEFINANCE(C200, ""price"", EDATE(TODAY(), -1), TODAY()), 2, 2)) - 1, """")"),"")</f>
        <v/>
      </c>
      <c r="N200" s="21" t="str">
        <f>IFERROR(__xludf.DUMMYFUNCTION("IFERROR((GOOGLEFINANCE(C200, ""price"") / INDEX(GOOGLEFINANCE(C200, ""price"", EDATE(TODAY(), -3), TODAY()), 2, 2)) - 1, """")"),"")</f>
        <v/>
      </c>
      <c r="O200" s="21" t="str">
        <f>IFERROR(__xludf.DUMMYFUNCTION("IFERROR((GOOGLEFINANCE(C200, ""price"") / INDEX(GOOGLEFINANCE(C200, ""price"", EDATE(TODAY(), -6), TODAY()), 2, 2)) - 1, """")"),"")</f>
        <v/>
      </c>
      <c r="P200" s="21" t="str">
        <f>IFERROR(__xludf.DUMMYFUNCTION("IFERROR((GOOGLEFINANCE(C200, ""price"") / INDEX(GOOGLEFINANCE(C200, ""price"", EDATE(TODAY(), -12), TODAY()), 2, 2)) - 1, """")"),"")</f>
        <v/>
      </c>
      <c r="Q200" s="6" t="str">
        <f>IFERROR(__xludf.DUMMYFUNCTION("AVERAGE(QUERY(GOOGLEFINANCE(C200, ""price"", TODAY()-80, TODAY()), ""SELECT Col2 WHERE Col2 IS NOT NULL ORDER BY Col1 DESC LIMIT 50"", 0))"),"#N/A")</f>
        <v>#N/A</v>
      </c>
      <c r="R200" s="24" t="str">
        <f>IFERROR(__xludf.DUMMYFUNCTION("IFERROR(
  LET(
    data, QUERY(GOOGLEFINANCE(C200,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GOOGLEFINANCE(C200, ""price"")) * 100,
    IF(calc=0, G200, calc)
  ), 
G200)"),"#N/A")</f>
        <v>#N/A</v>
      </c>
      <c r="S200" s="8" t="s">
        <v>15</v>
      </c>
      <c r="T200" s="26" t="str">
        <f>IFERROR(__xludf.DUMMYFUNCTION("IFERROR(TRANSPOSE(QUERY(IFERROR(SORT(GOOGLEFINANCE(C200, ""price"", WORKDAY(TODAY(), -40), TODAY()), 1, FALSE)), ""select Col2 where Col2 is not null limit 22 label Col2 ''"", 0)), """")"),"")</f>
        <v/>
      </c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8"/>
      <c r="AO200" s="28"/>
      <c r="AP200" s="29"/>
      <c r="AQ200" s="29" t="str">
        <f t="shared" ref="AQ200:BL200" si="203">T200/T$2</f>
        <v>#N/A</v>
      </c>
      <c r="AR200" s="29" t="str">
        <f t="shared" si="203"/>
        <v>#DIV/0!</v>
      </c>
      <c r="AS200" s="29" t="str">
        <f t="shared" si="203"/>
        <v>#DIV/0!</v>
      </c>
      <c r="AT200" s="29" t="str">
        <f t="shared" si="203"/>
        <v>#DIV/0!</v>
      </c>
      <c r="AU200" s="29" t="str">
        <f t="shared" si="203"/>
        <v>#DIV/0!</v>
      </c>
      <c r="AV200" s="29" t="str">
        <f t="shared" si="203"/>
        <v>#DIV/0!</v>
      </c>
      <c r="AW200" s="29" t="str">
        <f t="shared" si="203"/>
        <v>#DIV/0!</v>
      </c>
      <c r="AX200" s="29" t="str">
        <f t="shared" si="203"/>
        <v>#DIV/0!</v>
      </c>
      <c r="AY200" s="29" t="str">
        <f t="shared" si="203"/>
        <v>#DIV/0!</v>
      </c>
      <c r="AZ200" s="29" t="str">
        <f t="shared" si="203"/>
        <v>#DIV/0!</v>
      </c>
      <c r="BA200" s="29" t="str">
        <f t="shared" si="203"/>
        <v>#DIV/0!</v>
      </c>
      <c r="BB200" s="29" t="str">
        <f t="shared" si="203"/>
        <v>#DIV/0!</v>
      </c>
      <c r="BC200" s="29" t="str">
        <f t="shared" si="203"/>
        <v>#DIV/0!</v>
      </c>
      <c r="BD200" s="29" t="str">
        <f t="shared" si="203"/>
        <v>#DIV/0!</v>
      </c>
      <c r="BE200" s="29" t="str">
        <f t="shared" si="203"/>
        <v>#DIV/0!</v>
      </c>
      <c r="BF200" s="29" t="str">
        <f t="shared" si="203"/>
        <v>#DIV/0!</v>
      </c>
      <c r="BG200" s="29" t="str">
        <f t="shared" si="203"/>
        <v>#DIV/0!</v>
      </c>
      <c r="BH200" s="29" t="str">
        <f t="shared" si="203"/>
        <v>#DIV/0!</v>
      </c>
      <c r="BI200" s="29" t="str">
        <f t="shared" si="203"/>
        <v>#DIV/0!</v>
      </c>
      <c r="BJ200" s="29" t="str">
        <f t="shared" si="203"/>
        <v>#DIV/0!</v>
      </c>
      <c r="BK200" s="29" t="str">
        <f t="shared" si="203"/>
        <v>#DIV/0!</v>
      </c>
      <c r="BL200" s="29" t="str">
        <f t="shared" si="203"/>
        <v>#DIV/0!</v>
      </c>
      <c r="BM200" s="29" t="str">
        <f t="shared" si="3"/>
        <v>#DIV/0!</v>
      </c>
    </row>
    <row r="201">
      <c r="A201" s="16" t="str">
        <f>IFERROR(__xludf.DUMMYFUNCTION("IFERROR(SPARKLINE(SORT(MAP(TRANSPOSE(AQ201:BL201), LAMBDA(val, IF(ISNUMBER(val), PERCENTRANK(AQ201:BL201, val)+0.01, 0))), SEQUENCE(COLUMNS(AQ201:BL201)), FALSE), {""charttype"",""column""; ""color"",""chartreuse""; ""ymin"", 0; ""ymax"", 1.01; ""highcolo"&amp;"r"", ""darkgreen""; ""lowcolor"", ""red""}), """")"),"")</f>
        <v/>
      </c>
      <c r="B201" s="17" t="str">
        <f t="shared" si="4"/>
        <v/>
      </c>
      <c r="C201" s="1" t="s">
        <v>841</v>
      </c>
      <c r="D201" s="30" t="str">
        <f>IFERROR(__xludf.DUMMYFUNCTION("IFERROR(GOOGLEFINANCE(C201, ""NAME""))"),"Valvoline Inc")</f>
        <v>Valvoline Inc</v>
      </c>
      <c r="E201" s="30" t="s">
        <v>190</v>
      </c>
      <c r="F201" s="33" t="str">
        <f>IFERROR(__xludf.DUMMYFUNCTION("( (GOOGLEFINANCE(C201, ""price"") - Q201) / Q201 ) / (R201 / 100)"),"Loading...")</f>
        <v>Loading...</v>
      </c>
      <c r="G201" s="20" t="str">
        <f>IFERROR(__xludf.DUMMYFUNCTION("AVERAGE(ARRAYFORMULA(100 * (QUERY(GOOGLEFINANCE(C201, ""high"", TODAY()-40, TODAY()), ""SELECT Col2 WHERE Col2 IS NOT NULL ORDER BY Col1 DESC LIMIT 20"", 0) / QUERY(GOOGLEFINANCE(C201, ""low"", TODAY()-40, TODAY()), ""SELECT Col2 WHERE Col2 IS NOT NULL OR"&amp;"DER BY Col1 DESC LIMIT 20"", 0) - 1)))"),"#N/A")</f>
        <v>#N/A</v>
      </c>
      <c r="H201" s="35" t="str">
        <f t="shared" si="6"/>
        <v/>
      </c>
      <c r="I201" s="35" t="str">
        <f t="shared" si="7"/>
        <v/>
      </c>
      <c r="J201" s="37" t="str">
        <f>IFERROR(__xludf.DUMMYFUNCTION("IFERROR(
  IF(C201="""",, 
    IFERROR(
      GOOGLEFINANCE(C201, ""price"") * GOOGLEFINANCE(C201, ""volumeavg""), 
      GOOGLEFINANCE(C201, ""price"") * AVERAGE(QUERY(GOOGLEFINANCE(C201, ""volume"", TODAY()-40, TODAY()), ""SELECT Col2 WHERE Col2 IS NOT "&amp;"NULL ORDER BY Col1 DESC LIMIT 20"", 0))
    )
  ), 
"""")"),"")</f>
        <v/>
      </c>
      <c r="K201" s="21" t="str">
        <f>IFERROR(__xludf.DUMMYFUNCTION("IFERROR(GOOGLEFINANCE(C201, ""changepct"") / 100, """")"),"")</f>
        <v/>
      </c>
      <c r="L201" s="21" t="str">
        <f>IFERROR(__xludf.DUMMYFUNCTION("IFERROR((GOOGLEFINANCE(C201, ""price"") / INDEX(GOOGLEFINANCE(C201, ""price"", TODAY()-7, TODAY()), 2, 2)) - 1, """")"),"")</f>
        <v/>
      </c>
      <c r="M201" s="21" t="str">
        <f>IFERROR(__xludf.DUMMYFUNCTION("IFERROR((GOOGLEFINANCE(C201, ""price"") / INDEX(GOOGLEFINANCE(C201, ""price"", EDATE(TODAY(), -1), TODAY()), 2, 2)) - 1, """")"),"")</f>
        <v/>
      </c>
      <c r="N201" s="21" t="str">
        <f>IFERROR(__xludf.DUMMYFUNCTION("IFERROR((GOOGLEFINANCE(C201, ""price"") / INDEX(GOOGLEFINANCE(C201, ""price"", EDATE(TODAY(), -3), TODAY()), 2, 2)) - 1, """")"),"")</f>
        <v/>
      </c>
      <c r="O201" s="21" t="str">
        <f>IFERROR(__xludf.DUMMYFUNCTION("IFERROR((GOOGLEFINANCE(C201, ""price"") / INDEX(GOOGLEFINANCE(C201, ""price"", EDATE(TODAY(), -6), TODAY()), 2, 2)) - 1, """")"),"")</f>
        <v/>
      </c>
      <c r="P201" s="21" t="str">
        <f>IFERROR(__xludf.DUMMYFUNCTION("IFERROR((GOOGLEFINANCE(C201, ""price"") / INDEX(GOOGLEFINANCE(C201, ""price"", EDATE(TODAY(), -12), TODAY()), 2, 2)) - 1, """")"),"")</f>
        <v/>
      </c>
      <c r="Q201" s="6" t="str">
        <f>IFERROR(__xludf.DUMMYFUNCTION("AVERAGE(QUERY(GOOGLEFINANCE(C201, ""price"", TODAY()-80, TODAY()), ""SELECT Col2 WHERE Col2 IS NOT NULL ORDER BY Col1 DESC LIMIT 50"", 0))"),"#N/A")</f>
        <v>#N/A</v>
      </c>
      <c r="R201" s="24" t="str">
        <f>IFERROR(__xludf.DUMMYFUNCTION("IFERROR(
  LET(
    data, QUERY(GOOGLEFINANCE(C201,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GOOGLEFINANCE(C201, ""price"")) * 100,
    IF(calc=0, G201, calc)
  ), 
G201)"),"#N/A")</f>
        <v>#N/A</v>
      </c>
      <c r="S201" s="8" t="s">
        <v>15</v>
      </c>
      <c r="T201" s="26" t="str">
        <f>IFERROR(__xludf.DUMMYFUNCTION("IFERROR(TRANSPOSE(QUERY(IFERROR(SORT(GOOGLEFINANCE(C201, ""price"", WORKDAY(TODAY(), -40), TODAY()), 1, FALSE)), ""select Col2 where Col2 is not null limit 22 label Col2 ''"", 0)), """")"),"")</f>
        <v/>
      </c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8"/>
      <c r="AO201" s="28"/>
      <c r="AP201" s="29"/>
      <c r="AQ201" s="29" t="str">
        <f t="shared" ref="AQ201:BL201" si="204">T201/T$2</f>
        <v>#N/A</v>
      </c>
      <c r="AR201" s="29" t="str">
        <f t="shared" si="204"/>
        <v>#DIV/0!</v>
      </c>
      <c r="AS201" s="29" t="str">
        <f t="shared" si="204"/>
        <v>#DIV/0!</v>
      </c>
      <c r="AT201" s="29" t="str">
        <f t="shared" si="204"/>
        <v>#DIV/0!</v>
      </c>
      <c r="AU201" s="29" t="str">
        <f t="shared" si="204"/>
        <v>#DIV/0!</v>
      </c>
      <c r="AV201" s="29" t="str">
        <f t="shared" si="204"/>
        <v>#DIV/0!</v>
      </c>
      <c r="AW201" s="29" t="str">
        <f t="shared" si="204"/>
        <v>#DIV/0!</v>
      </c>
      <c r="AX201" s="29" t="str">
        <f t="shared" si="204"/>
        <v>#DIV/0!</v>
      </c>
      <c r="AY201" s="29" t="str">
        <f t="shared" si="204"/>
        <v>#DIV/0!</v>
      </c>
      <c r="AZ201" s="29" t="str">
        <f t="shared" si="204"/>
        <v>#DIV/0!</v>
      </c>
      <c r="BA201" s="29" t="str">
        <f t="shared" si="204"/>
        <v>#DIV/0!</v>
      </c>
      <c r="BB201" s="29" t="str">
        <f t="shared" si="204"/>
        <v>#DIV/0!</v>
      </c>
      <c r="BC201" s="29" t="str">
        <f t="shared" si="204"/>
        <v>#DIV/0!</v>
      </c>
      <c r="BD201" s="29" t="str">
        <f t="shared" si="204"/>
        <v>#DIV/0!</v>
      </c>
      <c r="BE201" s="29" t="str">
        <f t="shared" si="204"/>
        <v>#DIV/0!</v>
      </c>
      <c r="BF201" s="29" t="str">
        <f t="shared" si="204"/>
        <v>#DIV/0!</v>
      </c>
      <c r="BG201" s="29" t="str">
        <f t="shared" si="204"/>
        <v>#DIV/0!</v>
      </c>
      <c r="BH201" s="29" t="str">
        <f t="shared" si="204"/>
        <v>#DIV/0!</v>
      </c>
      <c r="BI201" s="29" t="str">
        <f t="shared" si="204"/>
        <v>#DIV/0!</v>
      </c>
      <c r="BJ201" s="29" t="str">
        <f t="shared" si="204"/>
        <v>#DIV/0!</v>
      </c>
      <c r="BK201" s="29" t="str">
        <f t="shared" si="204"/>
        <v>#DIV/0!</v>
      </c>
      <c r="BL201" s="29" t="str">
        <f t="shared" si="204"/>
        <v>#DIV/0!</v>
      </c>
      <c r="BM201" s="29" t="str">
        <f t="shared" si="3"/>
        <v>#DIV/0!</v>
      </c>
    </row>
    <row r="202">
      <c r="A202" s="16" t="str">
        <f>IFERROR(__xludf.DUMMYFUNCTION("IFERROR(SPARKLINE(SORT(MAP(TRANSPOSE(AQ202:BL202), LAMBDA(val, IF(ISNUMBER(val), PERCENTRANK(AQ202:BL202, val)+0.01, 0))), SEQUENCE(COLUMNS(AQ202:BL202)), FALSE), {""charttype"",""column""; ""color"",""chartreuse""; ""ymin"", 0; ""ymax"", 1.01; ""highcolo"&amp;"r"", ""darkgreen""; ""lowcolor"", ""red""}), """")"),"")</f>
        <v/>
      </c>
      <c r="B202" s="17" t="str">
        <f t="shared" si="4"/>
        <v/>
      </c>
      <c r="C202" s="1" t="s">
        <v>845</v>
      </c>
      <c r="D202" s="30" t="str">
        <f>IFERROR(__xludf.DUMMYFUNCTION("IFERROR(GOOGLEFINANCE(C202, ""NAME""))"),"Columbia Sportswear Co")</f>
        <v>Columbia Sportswear Co</v>
      </c>
      <c r="E202" s="30" t="s">
        <v>317</v>
      </c>
      <c r="F202" s="33" t="str">
        <f>IFERROR(__xludf.DUMMYFUNCTION("( (GOOGLEFINANCE(C202, ""price"") - Q202) / Q202 ) / (R202 / 100)"),"Loading...")</f>
        <v>Loading...</v>
      </c>
      <c r="G202" s="20" t="str">
        <f>IFERROR(__xludf.DUMMYFUNCTION("AVERAGE(ARRAYFORMULA(100 * (QUERY(GOOGLEFINANCE(C202, ""high"", TODAY()-40, TODAY()), ""SELECT Col2 WHERE Col2 IS NOT NULL ORDER BY Col1 DESC LIMIT 20"", 0) / QUERY(GOOGLEFINANCE(C202, ""low"", TODAY()-40, TODAY()), ""SELECT Col2 WHERE Col2 IS NOT NULL OR"&amp;"DER BY Col1 DESC LIMIT 20"", 0) - 1)))"),"#N/A")</f>
        <v>#N/A</v>
      </c>
      <c r="H202" s="35" t="str">
        <f t="shared" si="6"/>
        <v/>
      </c>
      <c r="I202" s="35" t="str">
        <f t="shared" si="7"/>
        <v/>
      </c>
      <c r="J202" s="37" t="str">
        <f>IFERROR(__xludf.DUMMYFUNCTION("IFERROR(
  IF(C202="""",, 
    IFERROR(
      GOOGLEFINANCE(C202, ""price"") * GOOGLEFINANCE(C202, ""volumeavg""), 
      GOOGLEFINANCE(C202, ""price"") * AVERAGE(QUERY(GOOGLEFINANCE(C202, ""volume"", TODAY()-40, TODAY()), ""SELECT Col2 WHERE Col2 IS NOT "&amp;"NULL ORDER BY Col1 DESC LIMIT 20"", 0))
    )
  ), 
"""")"),"")</f>
        <v/>
      </c>
      <c r="K202" s="21" t="str">
        <f>IFERROR(__xludf.DUMMYFUNCTION("IFERROR(GOOGLEFINANCE(C202, ""changepct"") / 100, """")"),"")</f>
        <v/>
      </c>
      <c r="L202" s="21" t="str">
        <f>IFERROR(__xludf.DUMMYFUNCTION("IFERROR((GOOGLEFINANCE(C202, ""price"") / INDEX(GOOGLEFINANCE(C202, ""price"", TODAY()-7, TODAY()), 2, 2)) - 1, """")"),"")</f>
        <v/>
      </c>
      <c r="M202" s="21" t="str">
        <f>IFERROR(__xludf.DUMMYFUNCTION("IFERROR((GOOGLEFINANCE(C202, ""price"") / INDEX(GOOGLEFINANCE(C202, ""price"", EDATE(TODAY(), -1), TODAY()), 2, 2)) - 1, """")"),"")</f>
        <v/>
      </c>
      <c r="N202" s="21" t="str">
        <f>IFERROR(__xludf.DUMMYFUNCTION("IFERROR((GOOGLEFINANCE(C202, ""price"") / INDEX(GOOGLEFINANCE(C202, ""price"", EDATE(TODAY(), -3), TODAY()), 2, 2)) - 1, """")"),"")</f>
        <v/>
      </c>
      <c r="O202" s="21" t="str">
        <f>IFERROR(__xludf.DUMMYFUNCTION("IFERROR((GOOGLEFINANCE(C202, ""price"") / INDEX(GOOGLEFINANCE(C202, ""price"", EDATE(TODAY(), -6), TODAY()), 2, 2)) - 1, """")"),"")</f>
        <v/>
      </c>
      <c r="P202" s="21" t="str">
        <f>IFERROR(__xludf.DUMMYFUNCTION("IFERROR((GOOGLEFINANCE(C202, ""price"") / INDEX(GOOGLEFINANCE(C202, ""price"", EDATE(TODAY(), -12), TODAY()), 2, 2)) - 1, """")"),"")</f>
        <v/>
      </c>
      <c r="Q202" s="6" t="str">
        <f>IFERROR(__xludf.DUMMYFUNCTION("AVERAGE(QUERY(GOOGLEFINANCE(C202, ""price"", TODAY()-80, TODAY()), ""SELECT Col2 WHERE Col2 IS NOT NULL ORDER BY Col1 DESC LIMIT 50"", 0))"),"#N/A")</f>
        <v>#N/A</v>
      </c>
      <c r="R202" s="24" t="str">
        <f>IFERROR(__xludf.DUMMYFUNCTION("IFERROR(
  LET(
    data, QUERY(GOOGLEFINANCE(C202,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GOOGLEFINANCE(C202, ""price"")) * 100,
    IF(calc=0, G202, calc)
  ), 
G202)"),"#N/A")</f>
        <v>#N/A</v>
      </c>
      <c r="S202" s="8" t="s">
        <v>15</v>
      </c>
      <c r="T202" s="26" t="str">
        <f>IFERROR(__xludf.DUMMYFUNCTION("IFERROR(TRANSPOSE(QUERY(IFERROR(SORT(GOOGLEFINANCE(C202, ""price"", WORKDAY(TODAY(), -40), TODAY()), 1, FALSE)), ""select Col2 where Col2 is not null limit 22 label Col2 ''"", 0)), """")"),"")</f>
        <v/>
      </c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8"/>
      <c r="AO202" s="28"/>
      <c r="AP202" s="29"/>
      <c r="AQ202" s="29" t="str">
        <f t="shared" ref="AQ202:BL202" si="205">T202/T$2</f>
        <v>#N/A</v>
      </c>
      <c r="AR202" s="29" t="str">
        <f t="shared" si="205"/>
        <v>#DIV/0!</v>
      </c>
      <c r="AS202" s="29" t="str">
        <f t="shared" si="205"/>
        <v>#DIV/0!</v>
      </c>
      <c r="AT202" s="29" t="str">
        <f t="shared" si="205"/>
        <v>#DIV/0!</v>
      </c>
      <c r="AU202" s="29" t="str">
        <f t="shared" si="205"/>
        <v>#DIV/0!</v>
      </c>
      <c r="AV202" s="29" t="str">
        <f t="shared" si="205"/>
        <v>#DIV/0!</v>
      </c>
      <c r="AW202" s="29" t="str">
        <f t="shared" si="205"/>
        <v>#DIV/0!</v>
      </c>
      <c r="AX202" s="29" t="str">
        <f t="shared" si="205"/>
        <v>#DIV/0!</v>
      </c>
      <c r="AY202" s="29" t="str">
        <f t="shared" si="205"/>
        <v>#DIV/0!</v>
      </c>
      <c r="AZ202" s="29" t="str">
        <f t="shared" si="205"/>
        <v>#DIV/0!</v>
      </c>
      <c r="BA202" s="29" t="str">
        <f t="shared" si="205"/>
        <v>#DIV/0!</v>
      </c>
      <c r="BB202" s="29" t="str">
        <f t="shared" si="205"/>
        <v>#DIV/0!</v>
      </c>
      <c r="BC202" s="29" t="str">
        <f t="shared" si="205"/>
        <v>#DIV/0!</v>
      </c>
      <c r="BD202" s="29" t="str">
        <f t="shared" si="205"/>
        <v>#DIV/0!</v>
      </c>
      <c r="BE202" s="29" t="str">
        <f t="shared" si="205"/>
        <v>#DIV/0!</v>
      </c>
      <c r="BF202" s="29" t="str">
        <f t="shared" si="205"/>
        <v>#DIV/0!</v>
      </c>
      <c r="BG202" s="29" t="str">
        <f t="shared" si="205"/>
        <v>#DIV/0!</v>
      </c>
      <c r="BH202" s="29" t="str">
        <f t="shared" si="205"/>
        <v>#DIV/0!</v>
      </c>
      <c r="BI202" s="29" t="str">
        <f t="shared" si="205"/>
        <v>#DIV/0!</v>
      </c>
      <c r="BJ202" s="29" t="str">
        <f t="shared" si="205"/>
        <v>#DIV/0!</v>
      </c>
      <c r="BK202" s="29" t="str">
        <f t="shared" si="205"/>
        <v>#DIV/0!</v>
      </c>
      <c r="BL202" s="29" t="str">
        <f t="shared" si="205"/>
        <v>#DIV/0!</v>
      </c>
      <c r="BM202" s="29" t="str">
        <f t="shared" si="3"/>
        <v>#DIV/0!</v>
      </c>
    </row>
    <row r="203">
      <c r="A203" s="16" t="str">
        <f>IFERROR(__xludf.DUMMYFUNCTION("IFERROR(SPARKLINE(SORT(MAP(TRANSPOSE(AQ203:BL203), LAMBDA(val, IF(ISNUMBER(val), PERCENTRANK(AQ203:BL203, val)+0.01, 0))), SEQUENCE(COLUMNS(AQ203:BL203)), FALSE), {""charttype"",""column""; ""color"",""chartreuse""; ""ymin"", 0; ""ymax"", 1.01; ""highcolo"&amp;"r"", ""darkgreen""; ""lowcolor"", ""red""}), """")"),"")</f>
        <v/>
      </c>
      <c r="B203" s="17" t="str">
        <f t="shared" si="4"/>
        <v/>
      </c>
      <c r="C203" s="1" t="s">
        <v>850</v>
      </c>
      <c r="D203" s="30" t="str">
        <f>IFERROR(__xludf.DUMMYFUNCTION("IFERROR(GOOGLEFINANCE(C203, ""NAME""))"),"Monro Inc")</f>
        <v>Monro Inc</v>
      </c>
      <c r="E203" s="30" t="s">
        <v>109</v>
      </c>
      <c r="F203" s="33" t="str">
        <f>IFERROR(__xludf.DUMMYFUNCTION("( (GOOGLEFINANCE(C203, ""price"") - Q203) / Q203 ) / (R203 / 100)"),"Loading...")</f>
        <v>Loading...</v>
      </c>
      <c r="G203" s="20" t="str">
        <f>IFERROR(__xludf.DUMMYFUNCTION("AVERAGE(ARRAYFORMULA(100 * (QUERY(GOOGLEFINANCE(C203, ""high"", TODAY()-40, TODAY()), ""SELECT Col2 WHERE Col2 IS NOT NULL ORDER BY Col1 DESC LIMIT 20"", 0) / QUERY(GOOGLEFINANCE(C203, ""low"", TODAY()-40, TODAY()), ""SELECT Col2 WHERE Col2 IS NOT NULL OR"&amp;"DER BY Col1 DESC LIMIT 20"", 0) - 1)))"),"#N/A")</f>
        <v>#N/A</v>
      </c>
      <c r="H203" s="35" t="str">
        <f t="shared" si="6"/>
        <v/>
      </c>
      <c r="I203" s="35" t="str">
        <f t="shared" si="7"/>
        <v/>
      </c>
      <c r="J203" s="37" t="str">
        <f>IFERROR(__xludf.DUMMYFUNCTION("IFERROR(
  IF(C203="""",, 
    IFERROR(
      GOOGLEFINANCE(C203, ""price"") * GOOGLEFINANCE(C203, ""volumeavg""), 
      GOOGLEFINANCE(C203, ""price"") * AVERAGE(QUERY(GOOGLEFINANCE(C203, ""volume"", TODAY()-40, TODAY()), ""SELECT Col2 WHERE Col2 IS NOT "&amp;"NULL ORDER BY Col1 DESC LIMIT 20"", 0))
    )
  ), 
"""")"),"")</f>
        <v/>
      </c>
      <c r="K203" s="21" t="str">
        <f>IFERROR(__xludf.DUMMYFUNCTION("IFERROR(GOOGLEFINANCE(C203, ""changepct"") / 100, """")"),"")</f>
        <v/>
      </c>
      <c r="L203" s="21" t="str">
        <f>IFERROR(__xludf.DUMMYFUNCTION("IFERROR((GOOGLEFINANCE(C203, ""price"") / INDEX(GOOGLEFINANCE(C203, ""price"", TODAY()-7, TODAY()), 2, 2)) - 1, """")"),"")</f>
        <v/>
      </c>
      <c r="M203" s="21" t="str">
        <f>IFERROR(__xludf.DUMMYFUNCTION("IFERROR((GOOGLEFINANCE(C203, ""price"") / INDEX(GOOGLEFINANCE(C203, ""price"", EDATE(TODAY(), -1), TODAY()), 2, 2)) - 1, """")"),"")</f>
        <v/>
      </c>
      <c r="N203" s="21" t="str">
        <f>IFERROR(__xludf.DUMMYFUNCTION("IFERROR((GOOGLEFINANCE(C203, ""price"") / INDEX(GOOGLEFINANCE(C203, ""price"", EDATE(TODAY(), -3), TODAY()), 2, 2)) - 1, """")"),"")</f>
        <v/>
      </c>
      <c r="O203" s="21" t="str">
        <f>IFERROR(__xludf.DUMMYFUNCTION("IFERROR((GOOGLEFINANCE(C203, ""price"") / INDEX(GOOGLEFINANCE(C203, ""price"", EDATE(TODAY(), -6), TODAY()), 2, 2)) - 1, """")"),"")</f>
        <v/>
      </c>
      <c r="P203" s="21" t="str">
        <f>IFERROR(__xludf.DUMMYFUNCTION("IFERROR((GOOGLEFINANCE(C203, ""price"") / INDEX(GOOGLEFINANCE(C203, ""price"", EDATE(TODAY(), -12), TODAY()), 2, 2)) - 1, """")"),"")</f>
        <v/>
      </c>
      <c r="Q203" s="6" t="str">
        <f>IFERROR(__xludf.DUMMYFUNCTION("AVERAGE(QUERY(GOOGLEFINANCE(C203, ""price"", TODAY()-80, TODAY()), ""SELECT Col2 WHERE Col2 IS NOT NULL ORDER BY Col1 DESC LIMIT 50"", 0))"),"#N/A")</f>
        <v>#N/A</v>
      </c>
      <c r="R203" s="24" t="str">
        <f>IFERROR(__xludf.DUMMYFUNCTION("IFERROR(
  LET(
    data, QUERY(GOOGLEFINANCE(C203,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GOOGLEFINANCE(C203, ""price"")) * 100,
    IF(calc=0, G203, calc)
  ), 
G203)"),"#N/A")</f>
        <v>#N/A</v>
      </c>
      <c r="S203" s="8" t="s">
        <v>15</v>
      </c>
      <c r="T203" s="26" t="str">
        <f>IFERROR(__xludf.DUMMYFUNCTION("IFERROR(TRANSPOSE(QUERY(IFERROR(SORT(GOOGLEFINANCE(C203, ""price"", WORKDAY(TODAY(), -40), TODAY()), 1, FALSE)), ""select Col2 where Col2 is not null limit 22 label Col2 ''"", 0)), """")"),"")</f>
        <v/>
      </c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8"/>
      <c r="AO203" s="28"/>
      <c r="AP203" s="29"/>
      <c r="AQ203" s="29" t="str">
        <f t="shared" ref="AQ203:BL203" si="206">T203/T$2</f>
        <v>#N/A</v>
      </c>
      <c r="AR203" s="29" t="str">
        <f t="shared" si="206"/>
        <v>#DIV/0!</v>
      </c>
      <c r="AS203" s="29" t="str">
        <f t="shared" si="206"/>
        <v>#DIV/0!</v>
      </c>
      <c r="AT203" s="29" t="str">
        <f t="shared" si="206"/>
        <v>#DIV/0!</v>
      </c>
      <c r="AU203" s="29" t="str">
        <f t="shared" si="206"/>
        <v>#DIV/0!</v>
      </c>
      <c r="AV203" s="29" t="str">
        <f t="shared" si="206"/>
        <v>#DIV/0!</v>
      </c>
      <c r="AW203" s="29" t="str">
        <f t="shared" si="206"/>
        <v>#DIV/0!</v>
      </c>
      <c r="AX203" s="29" t="str">
        <f t="shared" si="206"/>
        <v>#DIV/0!</v>
      </c>
      <c r="AY203" s="29" t="str">
        <f t="shared" si="206"/>
        <v>#DIV/0!</v>
      </c>
      <c r="AZ203" s="29" t="str">
        <f t="shared" si="206"/>
        <v>#DIV/0!</v>
      </c>
      <c r="BA203" s="29" t="str">
        <f t="shared" si="206"/>
        <v>#DIV/0!</v>
      </c>
      <c r="BB203" s="29" t="str">
        <f t="shared" si="206"/>
        <v>#DIV/0!</v>
      </c>
      <c r="BC203" s="29" t="str">
        <f t="shared" si="206"/>
        <v>#DIV/0!</v>
      </c>
      <c r="BD203" s="29" t="str">
        <f t="shared" si="206"/>
        <v>#DIV/0!</v>
      </c>
      <c r="BE203" s="29" t="str">
        <f t="shared" si="206"/>
        <v>#DIV/0!</v>
      </c>
      <c r="BF203" s="29" t="str">
        <f t="shared" si="206"/>
        <v>#DIV/0!</v>
      </c>
      <c r="BG203" s="29" t="str">
        <f t="shared" si="206"/>
        <v>#DIV/0!</v>
      </c>
      <c r="BH203" s="29" t="str">
        <f t="shared" si="206"/>
        <v>#DIV/0!</v>
      </c>
      <c r="BI203" s="29" t="str">
        <f t="shared" si="206"/>
        <v>#DIV/0!</v>
      </c>
      <c r="BJ203" s="29" t="str">
        <f t="shared" si="206"/>
        <v>#DIV/0!</v>
      </c>
      <c r="BK203" s="29" t="str">
        <f t="shared" si="206"/>
        <v>#DIV/0!</v>
      </c>
      <c r="BL203" s="29" t="str">
        <f t="shared" si="206"/>
        <v>#DIV/0!</v>
      </c>
      <c r="BM203" s="29" t="str">
        <f t="shared" si="3"/>
        <v>#DIV/0!</v>
      </c>
    </row>
    <row r="204">
      <c r="A204" s="16" t="str">
        <f>IFERROR(__xludf.DUMMYFUNCTION("IFERROR(SPARKLINE(SORT(MAP(TRANSPOSE(AQ204:BL204), LAMBDA(val, IF(ISNUMBER(val), PERCENTRANK(AQ204:BL204, val)+0.01, 0))), SEQUENCE(COLUMNS(AQ204:BL204)), FALSE), {""charttype"",""column""; ""color"",""chartreuse""; ""ymin"", 0; ""ymax"", 1.01; ""highcolo"&amp;"r"", ""darkgreen""; ""lowcolor"", ""red""}), """")"),"")</f>
        <v/>
      </c>
      <c r="B204" s="17" t="str">
        <f t="shared" si="4"/>
        <v/>
      </c>
      <c r="C204" s="1" t="s">
        <v>854</v>
      </c>
      <c r="D204" s="30" t="str">
        <f>IFERROR(__xludf.DUMMYFUNCTION("IFERROR(GOOGLEFINANCE(C204, ""NAME""))"),"G-III Apparel Group Ltd")</f>
        <v>G-III Apparel Group Ltd</v>
      </c>
      <c r="E204" s="30" t="s">
        <v>317</v>
      </c>
      <c r="F204" s="33" t="str">
        <f>IFERROR(__xludf.DUMMYFUNCTION("( (GOOGLEFINANCE(C204, ""price"") - Q204) / Q204 ) / (R204 / 100)"),"Loading...")</f>
        <v>Loading...</v>
      </c>
      <c r="G204" s="20" t="str">
        <f>IFERROR(__xludf.DUMMYFUNCTION("AVERAGE(ARRAYFORMULA(100 * (QUERY(GOOGLEFINANCE(C204, ""high"", TODAY()-40, TODAY()), ""SELECT Col2 WHERE Col2 IS NOT NULL ORDER BY Col1 DESC LIMIT 20"", 0) / QUERY(GOOGLEFINANCE(C204, ""low"", TODAY()-40, TODAY()), ""SELECT Col2 WHERE Col2 IS NOT NULL OR"&amp;"DER BY Col1 DESC LIMIT 20"", 0) - 1)))"),"#N/A")</f>
        <v>#N/A</v>
      </c>
      <c r="H204" s="35" t="str">
        <f t="shared" si="6"/>
        <v/>
      </c>
      <c r="I204" s="35" t="str">
        <f t="shared" si="7"/>
        <v/>
      </c>
      <c r="J204" s="37" t="str">
        <f>IFERROR(__xludf.DUMMYFUNCTION("IFERROR(
  IF(C204="""",, 
    IFERROR(
      GOOGLEFINANCE(C204, ""price"") * GOOGLEFINANCE(C204, ""volumeavg""), 
      GOOGLEFINANCE(C204, ""price"") * AVERAGE(QUERY(GOOGLEFINANCE(C204, ""volume"", TODAY()-40, TODAY()), ""SELECT Col2 WHERE Col2 IS NOT "&amp;"NULL ORDER BY Col1 DESC LIMIT 20"", 0))
    )
  ), 
"""")"),"")</f>
        <v/>
      </c>
      <c r="K204" s="21" t="str">
        <f>IFERROR(__xludf.DUMMYFUNCTION("IFERROR(GOOGLEFINANCE(C204, ""changepct"") / 100, """")"),"")</f>
        <v/>
      </c>
      <c r="L204" s="21" t="str">
        <f>IFERROR(__xludf.DUMMYFUNCTION("IFERROR((GOOGLEFINANCE(C204, ""price"") / INDEX(GOOGLEFINANCE(C204, ""price"", TODAY()-7, TODAY()), 2, 2)) - 1, """")"),"")</f>
        <v/>
      </c>
      <c r="M204" s="21" t="str">
        <f>IFERROR(__xludf.DUMMYFUNCTION("IFERROR((GOOGLEFINANCE(C204, ""price"") / INDEX(GOOGLEFINANCE(C204, ""price"", EDATE(TODAY(), -1), TODAY()), 2, 2)) - 1, """")"),"")</f>
        <v/>
      </c>
      <c r="N204" s="21" t="str">
        <f>IFERROR(__xludf.DUMMYFUNCTION("IFERROR((GOOGLEFINANCE(C204, ""price"") / INDEX(GOOGLEFINANCE(C204, ""price"", EDATE(TODAY(), -3), TODAY()), 2, 2)) - 1, """")"),"")</f>
        <v/>
      </c>
      <c r="O204" s="21" t="str">
        <f>IFERROR(__xludf.DUMMYFUNCTION("IFERROR((GOOGLEFINANCE(C204, ""price"") / INDEX(GOOGLEFINANCE(C204, ""price"", EDATE(TODAY(), -6), TODAY()), 2, 2)) - 1, """")"),"")</f>
        <v/>
      </c>
      <c r="P204" s="21" t="str">
        <f>IFERROR(__xludf.DUMMYFUNCTION("IFERROR((GOOGLEFINANCE(C204, ""price"") / INDEX(GOOGLEFINANCE(C204, ""price"", EDATE(TODAY(), -12), TODAY()), 2, 2)) - 1, """")"),"")</f>
        <v/>
      </c>
      <c r="Q204" s="6" t="str">
        <f>IFERROR(__xludf.DUMMYFUNCTION("AVERAGE(QUERY(GOOGLEFINANCE(C204, ""price"", TODAY()-80, TODAY()), ""SELECT Col2 WHERE Col2 IS NOT NULL ORDER BY Col1 DESC LIMIT 50"", 0))"),"#N/A")</f>
        <v>#N/A</v>
      </c>
      <c r="R204" s="24" t="str">
        <f>IFERROR(__xludf.DUMMYFUNCTION("IFERROR(
  LET(
    data, QUERY(GOOGLEFINANCE(C204,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GOOGLEFINANCE(C204, ""price"")) * 100,
    IF(calc=0, G204, calc)
  ), 
G204)"),"#N/A")</f>
        <v>#N/A</v>
      </c>
      <c r="S204" s="8" t="s">
        <v>15</v>
      </c>
      <c r="T204" s="26" t="str">
        <f>IFERROR(__xludf.DUMMYFUNCTION("IFERROR(TRANSPOSE(QUERY(IFERROR(SORT(GOOGLEFINANCE(C204, ""price"", WORKDAY(TODAY(), -40), TODAY()), 1, FALSE)), ""select Col2 where Col2 is not null limit 22 label Col2 ''"", 0)), """")"),"")</f>
        <v/>
      </c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8"/>
      <c r="AO204" s="28"/>
      <c r="AP204" s="29"/>
      <c r="AQ204" s="29" t="str">
        <f t="shared" ref="AQ204:BL204" si="207">T204/T$2</f>
        <v>#N/A</v>
      </c>
      <c r="AR204" s="29" t="str">
        <f t="shared" si="207"/>
        <v>#DIV/0!</v>
      </c>
      <c r="AS204" s="29" t="str">
        <f t="shared" si="207"/>
        <v>#DIV/0!</v>
      </c>
      <c r="AT204" s="29" t="str">
        <f t="shared" si="207"/>
        <v>#DIV/0!</v>
      </c>
      <c r="AU204" s="29" t="str">
        <f t="shared" si="207"/>
        <v>#DIV/0!</v>
      </c>
      <c r="AV204" s="29" t="str">
        <f t="shared" si="207"/>
        <v>#DIV/0!</v>
      </c>
      <c r="AW204" s="29" t="str">
        <f t="shared" si="207"/>
        <v>#DIV/0!</v>
      </c>
      <c r="AX204" s="29" t="str">
        <f t="shared" si="207"/>
        <v>#DIV/0!</v>
      </c>
      <c r="AY204" s="29" t="str">
        <f t="shared" si="207"/>
        <v>#DIV/0!</v>
      </c>
      <c r="AZ204" s="29" t="str">
        <f t="shared" si="207"/>
        <v>#DIV/0!</v>
      </c>
      <c r="BA204" s="29" t="str">
        <f t="shared" si="207"/>
        <v>#DIV/0!</v>
      </c>
      <c r="BB204" s="29" t="str">
        <f t="shared" si="207"/>
        <v>#DIV/0!</v>
      </c>
      <c r="BC204" s="29" t="str">
        <f t="shared" si="207"/>
        <v>#DIV/0!</v>
      </c>
      <c r="BD204" s="29" t="str">
        <f t="shared" si="207"/>
        <v>#DIV/0!</v>
      </c>
      <c r="BE204" s="29" t="str">
        <f t="shared" si="207"/>
        <v>#DIV/0!</v>
      </c>
      <c r="BF204" s="29" t="str">
        <f t="shared" si="207"/>
        <v>#DIV/0!</v>
      </c>
      <c r="BG204" s="29" t="str">
        <f t="shared" si="207"/>
        <v>#DIV/0!</v>
      </c>
      <c r="BH204" s="29" t="str">
        <f t="shared" si="207"/>
        <v>#DIV/0!</v>
      </c>
      <c r="BI204" s="29" t="str">
        <f t="shared" si="207"/>
        <v>#DIV/0!</v>
      </c>
      <c r="BJ204" s="29" t="str">
        <f t="shared" si="207"/>
        <v>#DIV/0!</v>
      </c>
      <c r="BK204" s="29" t="str">
        <f t="shared" si="207"/>
        <v>#DIV/0!</v>
      </c>
      <c r="BL204" s="29" t="str">
        <f t="shared" si="207"/>
        <v>#DIV/0!</v>
      </c>
      <c r="BM204" s="29" t="str">
        <f t="shared" si="3"/>
        <v>#DIV/0!</v>
      </c>
    </row>
    <row r="205">
      <c r="A205" s="16" t="str">
        <f>IFERROR(__xludf.DUMMYFUNCTION("IFERROR(SPARKLINE(SORT(MAP(TRANSPOSE(AQ205:BL205), LAMBDA(val, IF(ISNUMBER(val), PERCENTRANK(AQ205:BL205, val)+0.01, 0))), SEQUENCE(COLUMNS(AQ205:BL205)), FALSE), {""charttype"",""column""; ""color"",""chartreuse""; ""ymin"", 0; ""ymax"", 1.01; ""highcolo"&amp;"r"", ""darkgreen""; ""lowcolor"", ""red""}), """")"),"")</f>
        <v/>
      </c>
      <c r="B205" s="17" t="str">
        <f t="shared" si="4"/>
        <v/>
      </c>
      <c r="C205" s="1" t="s">
        <v>859</v>
      </c>
      <c r="D205" s="30" t="str">
        <f>IFERROR(__xludf.DUMMYFUNCTION("IFERROR(GOOGLEFINANCE(C205, ""NAME""))"),"Makemytrip Ltd")</f>
        <v>Makemytrip Ltd</v>
      </c>
      <c r="E205" s="30" t="s">
        <v>248</v>
      </c>
      <c r="F205" s="38" t="str">
        <f>IFERROR(__xludf.DUMMYFUNCTION("( (GOOGLEFINANCE(C205, ""price"") - Q205) / Q205 ) / (R205 / 100)"),"Loading...")</f>
        <v>Loading...</v>
      </c>
      <c r="G205" s="20" t="str">
        <f>IFERROR(__xludf.DUMMYFUNCTION("AVERAGE(ARRAYFORMULA(100 * (QUERY(GOOGLEFINANCE(C205, ""high"", TODAY()-40, TODAY()), ""SELECT Col2 WHERE Col2 IS NOT NULL ORDER BY Col1 DESC LIMIT 20"", 0) / QUERY(GOOGLEFINANCE(C205, ""low"", TODAY()-40, TODAY()), ""SELECT Col2 WHERE Col2 IS NOT NULL OR"&amp;"DER BY Col1 DESC LIMIT 20"", 0) - 1)))"),"#N/A")</f>
        <v>#N/A</v>
      </c>
      <c r="H205" s="35" t="str">
        <f t="shared" si="6"/>
        <v/>
      </c>
      <c r="I205" s="35" t="str">
        <f t="shared" si="7"/>
        <v/>
      </c>
      <c r="J205" s="37" t="str">
        <f>IFERROR(__xludf.DUMMYFUNCTION("IFERROR(
  IF(C205="""",, 
    IFERROR(
      GOOGLEFINANCE(C205, ""price"") * GOOGLEFINANCE(C205, ""volumeavg""), 
      GOOGLEFINANCE(C205, ""price"") * AVERAGE(QUERY(GOOGLEFINANCE(C205, ""volume"", TODAY()-40, TODAY()), ""SELECT Col2 WHERE Col2 IS NOT "&amp;"NULL ORDER BY Col1 DESC LIMIT 20"", 0))
    )
  ), 
"""")"),"")</f>
        <v/>
      </c>
      <c r="K205" s="21" t="str">
        <f>IFERROR(__xludf.DUMMYFUNCTION("IFERROR(GOOGLEFINANCE(C205, ""changepct"") / 100, """")"),"")</f>
        <v/>
      </c>
      <c r="L205" s="21" t="str">
        <f>IFERROR(__xludf.DUMMYFUNCTION("IFERROR((GOOGLEFINANCE(C205, ""price"") / INDEX(GOOGLEFINANCE(C205, ""price"", TODAY()-7, TODAY()), 2, 2)) - 1, """")"),"")</f>
        <v/>
      </c>
      <c r="M205" s="21" t="str">
        <f>IFERROR(__xludf.DUMMYFUNCTION("IFERROR((GOOGLEFINANCE(C205, ""price"") / INDEX(GOOGLEFINANCE(C205, ""price"", EDATE(TODAY(), -1), TODAY()), 2, 2)) - 1, """")"),"")</f>
        <v/>
      </c>
      <c r="N205" s="21" t="str">
        <f>IFERROR(__xludf.DUMMYFUNCTION("IFERROR((GOOGLEFINANCE(C205, ""price"") / INDEX(GOOGLEFINANCE(C205, ""price"", EDATE(TODAY(), -3), TODAY()), 2, 2)) - 1, """")"),"")</f>
        <v/>
      </c>
      <c r="O205" s="21" t="str">
        <f>IFERROR(__xludf.DUMMYFUNCTION("IFERROR((GOOGLEFINANCE(C205, ""price"") / INDEX(GOOGLEFINANCE(C205, ""price"", EDATE(TODAY(), -6), TODAY()), 2, 2)) - 1, """")"),"")</f>
        <v/>
      </c>
      <c r="P205" s="21" t="str">
        <f>IFERROR(__xludf.DUMMYFUNCTION("IFERROR((GOOGLEFINANCE(C205, ""price"") / INDEX(GOOGLEFINANCE(C205, ""price"", EDATE(TODAY(), -12), TODAY()), 2, 2)) - 1, """")"),"")</f>
        <v/>
      </c>
      <c r="Q205" s="6" t="str">
        <f>IFERROR(__xludf.DUMMYFUNCTION("AVERAGE(QUERY(GOOGLEFINANCE(C205, ""price"", TODAY()-80, TODAY()), ""SELECT Col2 WHERE Col2 IS NOT NULL ORDER BY Col1 DESC LIMIT 50"", 0))"),"#N/A")</f>
        <v>#N/A</v>
      </c>
      <c r="R205" s="24" t="str">
        <f>IFERROR(__xludf.DUMMYFUNCTION("IFERROR(
  LET(
    data, QUERY(GOOGLEFINANCE(C205,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GOOGLEFINANCE(C205, ""price"")) * 100,
    IF(calc=0, G205, calc)
  ), 
G205)"),"#N/A")</f>
        <v>#N/A</v>
      </c>
      <c r="S205" s="8" t="s">
        <v>15</v>
      </c>
      <c r="T205" s="26" t="str">
        <f>IFERROR(__xludf.DUMMYFUNCTION("IFERROR(TRANSPOSE(QUERY(IFERROR(SORT(GOOGLEFINANCE(C205, ""price"", WORKDAY(TODAY(), -40), TODAY()), 1, FALSE)), ""select Col2 where Col2 is not null limit 22 label Col2 ''"", 0)), """")"),"")</f>
        <v/>
      </c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8"/>
      <c r="AO205" s="28"/>
      <c r="AP205" s="29"/>
      <c r="AQ205" s="29" t="str">
        <f t="shared" ref="AQ205:BL205" si="208">T205/T$2</f>
        <v>#N/A</v>
      </c>
      <c r="AR205" s="29" t="str">
        <f t="shared" si="208"/>
        <v>#DIV/0!</v>
      </c>
      <c r="AS205" s="29" t="str">
        <f t="shared" si="208"/>
        <v>#DIV/0!</v>
      </c>
      <c r="AT205" s="29" t="str">
        <f t="shared" si="208"/>
        <v>#DIV/0!</v>
      </c>
      <c r="AU205" s="29" t="str">
        <f t="shared" si="208"/>
        <v>#DIV/0!</v>
      </c>
      <c r="AV205" s="29" t="str">
        <f t="shared" si="208"/>
        <v>#DIV/0!</v>
      </c>
      <c r="AW205" s="29" t="str">
        <f t="shared" si="208"/>
        <v>#DIV/0!</v>
      </c>
      <c r="AX205" s="29" t="str">
        <f t="shared" si="208"/>
        <v>#DIV/0!</v>
      </c>
      <c r="AY205" s="29" t="str">
        <f t="shared" si="208"/>
        <v>#DIV/0!</v>
      </c>
      <c r="AZ205" s="29" t="str">
        <f t="shared" si="208"/>
        <v>#DIV/0!</v>
      </c>
      <c r="BA205" s="29" t="str">
        <f t="shared" si="208"/>
        <v>#DIV/0!</v>
      </c>
      <c r="BB205" s="29" t="str">
        <f t="shared" si="208"/>
        <v>#DIV/0!</v>
      </c>
      <c r="BC205" s="29" t="str">
        <f t="shared" si="208"/>
        <v>#DIV/0!</v>
      </c>
      <c r="BD205" s="29" t="str">
        <f t="shared" si="208"/>
        <v>#DIV/0!</v>
      </c>
      <c r="BE205" s="29" t="str">
        <f t="shared" si="208"/>
        <v>#DIV/0!</v>
      </c>
      <c r="BF205" s="29" t="str">
        <f t="shared" si="208"/>
        <v>#DIV/0!</v>
      </c>
      <c r="BG205" s="29" t="str">
        <f t="shared" si="208"/>
        <v>#DIV/0!</v>
      </c>
      <c r="BH205" s="29" t="str">
        <f t="shared" si="208"/>
        <v>#DIV/0!</v>
      </c>
      <c r="BI205" s="29" t="str">
        <f t="shared" si="208"/>
        <v>#DIV/0!</v>
      </c>
      <c r="BJ205" s="29" t="str">
        <f t="shared" si="208"/>
        <v>#DIV/0!</v>
      </c>
      <c r="BK205" s="29" t="str">
        <f t="shared" si="208"/>
        <v>#DIV/0!</v>
      </c>
      <c r="BL205" s="29" t="str">
        <f t="shared" si="208"/>
        <v>#DIV/0!</v>
      </c>
      <c r="BM205" s="29" t="str">
        <f t="shared" si="3"/>
        <v>#DIV/0!</v>
      </c>
    </row>
    <row r="206">
      <c r="A206" s="16" t="str">
        <f>IFERROR(__xludf.DUMMYFUNCTION("IFERROR(SPARKLINE(SORT(MAP(TRANSPOSE(AQ206:BL206), LAMBDA(val, IF(ISNUMBER(val), PERCENTRANK(AQ206:BL206, val)+0.01, 0))), SEQUENCE(COLUMNS(AQ206:BL206)), FALSE), {""charttype"",""column""; ""color"",""chartreuse""; ""ymin"", 0; ""ymax"", 1.01; ""highcolo"&amp;"r"", ""darkgreen""; ""lowcolor"", ""red""}), """")"),"")</f>
        <v/>
      </c>
      <c r="B206" s="17" t="str">
        <f t="shared" si="4"/>
        <v/>
      </c>
      <c r="C206" s="1" t="s">
        <v>862</v>
      </c>
      <c r="D206" s="30" t="str">
        <f>IFERROR(__xludf.DUMMYFUNCTION("IFERROR(GOOGLEFINANCE(C206, ""NAME""))"),"Floor &amp; Decor Holdings Inc")</f>
        <v>Floor &amp; Decor Holdings Inc</v>
      </c>
      <c r="E206" s="30" t="s">
        <v>659</v>
      </c>
      <c r="F206" s="33" t="str">
        <f>IFERROR(__xludf.DUMMYFUNCTION("( (GOOGLEFINANCE(C206, ""price"") - Q206) / Q206 ) / (R206 / 100)"),"Loading...")</f>
        <v>Loading...</v>
      </c>
      <c r="G206" s="20" t="str">
        <f>IFERROR(__xludf.DUMMYFUNCTION("AVERAGE(ARRAYFORMULA(100 * (QUERY(GOOGLEFINANCE(C206, ""high"", TODAY()-40, TODAY()), ""SELECT Col2 WHERE Col2 IS NOT NULL ORDER BY Col1 DESC LIMIT 20"", 0) / QUERY(GOOGLEFINANCE(C206, ""low"", TODAY()-40, TODAY()), ""SELECT Col2 WHERE Col2 IS NOT NULL OR"&amp;"DER BY Col1 DESC LIMIT 20"", 0) - 1)))"),"#N/A")</f>
        <v>#N/A</v>
      </c>
      <c r="H206" s="35" t="str">
        <f t="shared" si="6"/>
        <v/>
      </c>
      <c r="I206" s="35" t="str">
        <f t="shared" si="7"/>
        <v/>
      </c>
      <c r="J206" s="37" t="str">
        <f>IFERROR(__xludf.DUMMYFUNCTION("IFERROR(
  IF(C206="""",, 
    IFERROR(
      GOOGLEFINANCE(C206, ""price"") * GOOGLEFINANCE(C206, ""volumeavg""), 
      GOOGLEFINANCE(C206, ""price"") * AVERAGE(QUERY(GOOGLEFINANCE(C206, ""volume"", TODAY()-40, TODAY()), ""SELECT Col2 WHERE Col2 IS NOT "&amp;"NULL ORDER BY Col1 DESC LIMIT 20"", 0))
    )
  ), 
"""")"),"")</f>
        <v/>
      </c>
      <c r="K206" s="21" t="str">
        <f>IFERROR(__xludf.DUMMYFUNCTION("IFERROR(GOOGLEFINANCE(C206, ""changepct"") / 100, """")"),"")</f>
        <v/>
      </c>
      <c r="L206" s="21" t="str">
        <f>IFERROR(__xludf.DUMMYFUNCTION("IFERROR((GOOGLEFINANCE(C206, ""price"") / INDEX(GOOGLEFINANCE(C206, ""price"", TODAY()-7, TODAY()), 2, 2)) - 1, """")"),"")</f>
        <v/>
      </c>
      <c r="M206" s="21" t="str">
        <f>IFERROR(__xludf.DUMMYFUNCTION("IFERROR((GOOGLEFINANCE(C206, ""price"") / INDEX(GOOGLEFINANCE(C206, ""price"", EDATE(TODAY(), -1), TODAY()), 2, 2)) - 1, """")"),"")</f>
        <v/>
      </c>
      <c r="N206" s="21" t="str">
        <f>IFERROR(__xludf.DUMMYFUNCTION("IFERROR((GOOGLEFINANCE(C206, ""price"") / INDEX(GOOGLEFINANCE(C206, ""price"", EDATE(TODAY(), -3), TODAY()), 2, 2)) - 1, """")"),"")</f>
        <v/>
      </c>
      <c r="O206" s="21" t="str">
        <f>IFERROR(__xludf.DUMMYFUNCTION("IFERROR((GOOGLEFINANCE(C206, ""price"") / INDEX(GOOGLEFINANCE(C206, ""price"", EDATE(TODAY(), -6), TODAY()), 2, 2)) - 1, """")"),"")</f>
        <v/>
      </c>
      <c r="P206" s="21" t="str">
        <f>IFERROR(__xludf.DUMMYFUNCTION("IFERROR((GOOGLEFINANCE(C206, ""price"") / INDEX(GOOGLEFINANCE(C206, ""price"", EDATE(TODAY(), -12), TODAY()), 2, 2)) - 1, """")"),"")</f>
        <v/>
      </c>
      <c r="Q206" s="6" t="str">
        <f>IFERROR(__xludf.DUMMYFUNCTION("AVERAGE(QUERY(GOOGLEFINANCE(C206, ""price"", TODAY()-80, TODAY()), ""SELECT Col2 WHERE Col2 IS NOT NULL ORDER BY Col1 DESC LIMIT 50"", 0))"),"#N/A")</f>
        <v>#N/A</v>
      </c>
      <c r="R206" s="24" t="str">
        <f>IFERROR(__xludf.DUMMYFUNCTION("IFERROR(
  LET(
    data, QUERY(GOOGLEFINANCE(C206,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GOOGLEFINANCE(C206, ""price"")) * 100,
    IF(calc=0, G206, calc)
  ), 
G206)"),"#N/A")</f>
        <v>#N/A</v>
      </c>
      <c r="S206" s="8" t="s">
        <v>15</v>
      </c>
      <c r="T206" s="26" t="str">
        <f>IFERROR(__xludf.DUMMYFUNCTION("IFERROR(TRANSPOSE(QUERY(IFERROR(SORT(GOOGLEFINANCE(C206, ""price"", WORKDAY(TODAY(), -40), TODAY()), 1, FALSE)), ""select Col2 where Col2 is not null limit 22 label Col2 ''"", 0)), """")"),"")</f>
        <v/>
      </c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8"/>
      <c r="AO206" s="28"/>
      <c r="AP206" s="29"/>
      <c r="AQ206" s="29" t="str">
        <f t="shared" ref="AQ206:BL206" si="209">T206/T$2</f>
        <v>#N/A</v>
      </c>
      <c r="AR206" s="29" t="str">
        <f t="shared" si="209"/>
        <v>#DIV/0!</v>
      </c>
      <c r="AS206" s="29" t="str">
        <f t="shared" si="209"/>
        <v>#DIV/0!</v>
      </c>
      <c r="AT206" s="29" t="str">
        <f t="shared" si="209"/>
        <v>#DIV/0!</v>
      </c>
      <c r="AU206" s="29" t="str">
        <f t="shared" si="209"/>
        <v>#DIV/0!</v>
      </c>
      <c r="AV206" s="29" t="str">
        <f t="shared" si="209"/>
        <v>#DIV/0!</v>
      </c>
      <c r="AW206" s="29" t="str">
        <f t="shared" si="209"/>
        <v>#DIV/0!</v>
      </c>
      <c r="AX206" s="29" t="str">
        <f t="shared" si="209"/>
        <v>#DIV/0!</v>
      </c>
      <c r="AY206" s="29" t="str">
        <f t="shared" si="209"/>
        <v>#DIV/0!</v>
      </c>
      <c r="AZ206" s="29" t="str">
        <f t="shared" si="209"/>
        <v>#DIV/0!</v>
      </c>
      <c r="BA206" s="29" t="str">
        <f t="shared" si="209"/>
        <v>#DIV/0!</v>
      </c>
      <c r="BB206" s="29" t="str">
        <f t="shared" si="209"/>
        <v>#DIV/0!</v>
      </c>
      <c r="BC206" s="29" t="str">
        <f t="shared" si="209"/>
        <v>#DIV/0!</v>
      </c>
      <c r="BD206" s="29" t="str">
        <f t="shared" si="209"/>
        <v>#DIV/0!</v>
      </c>
      <c r="BE206" s="29" t="str">
        <f t="shared" si="209"/>
        <v>#DIV/0!</v>
      </c>
      <c r="BF206" s="29" t="str">
        <f t="shared" si="209"/>
        <v>#DIV/0!</v>
      </c>
      <c r="BG206" s="29" t="str">
        <f t="shared" si="209"/>
        <v>#DIV/0!</v>
      </c>
      <c r="BH206" s="29" t="str">
        <f t="shared" si="209"/>
        <v>#DIV/0!</v>
      </c>
      <c r="BI206" s="29" t="str">
        <f t="shared" si="209"/>
        <v>#DIV/0!</v>
      </c>
      <c r="BJ206" s="29" t="str">
        <f t="shared" si="209"/>
        <v>#DIV/0!</v>
      </c>
      <c r="BK206" s="29" t="str">
        <f t="shared" si="209"/>
        <v>#DIV/0!</v>
      </c>
      <c r="BL206" s="29" t="str">
        <f t="shared" si="209"/>
        <v>#DIV/0!</v>
      </c>
      <c r="BM206" s="29" t="str">
        <f t="shared" si="3"/>
        <v>#DIV/0!</v>
      </c>
    </row>
    <row r="207">
      <c r="A207" s="16" t="str">
        <f>IFERROR(__xludf.DUMMYFUNCTION("IFERROR(SPARKLINE(SORT(MAP(TRANSPOSE(AQ207:BL207), LAMBDA(val, IF(ISNUMBER(val), PERCENTRANK(AQ207:BL207, val)+0.01, 0))), SEQUENCE(COLUMNS(AQ207:BL207)), FALSE), {""charttype"",""column""; ""color"",""chartreuse""; ""ymin"", 0; ""ymax"", 1.01; ""highcolo"&amp;"r"", ""darkgreen""; ""lowcolor"", ""red""}), """")"),"")</f>
        <v/>
      </c>
      <c r="B207" s="17" t="str">
        <f t="shared" si="4"/>
        <v/>
      </c>
      <c r="C207" s="1" t="s">
        <v>867</v>
      </c>
      <c r="D207" s="30" t="str">
        <f>IFERROR(__xludf.DUMMYFUNCTION("IFERROR(GOOGLEFINANCE(C207, ""NAME""))"),"Build-A-Bear Workshop, Inc")</f>
        <v>Build-A-Bear Workshop, Inc</v>
      </c>
      <c r="E207" s="30" t="s">
        <v>184</v>
      </c>
      <c r="F207" s="33" t="str">
        <f>IFERROR(__xludf.DUMMYFUNCTION("( (GOOGLEFINANCE(C207, ""price"") - Q207) / Q207 ) / (R207 / 100)"),"Loading...")</f>
        <v>Loading...</v>
      </c>
      <c r="G207" s="20" t="str">
        <f>IFERROR(__xludf.DUMMYFUNCTION("AVERAGE(ARRAYFORMULA(100 * (QUERY(GOOGLEFINANCE(C207, ""high"", TODAY()-40, TODAY()), ""SELECT Col2 WHERE Col2 IS NOT NULL ORDER BY Col1 DESC LIMIT 20"", 0) / QUERY(GOOGLEFINANCE(C207, ""low"", TODAY()-40, TODAY()), ""SELECT Col2 WHERE Col2 IS NOT NULL OR"&amp;"DER BY Col1 DESC LIMIT 20"", 0) - 1)))"),"#N/A")</f>
        <v>#N/A</v>
      </c>
      <c r="H207" s="35" t="str">
        <f t="shared" si="6"/>
        <v/>
      </c>
      <c r="I207" s="35" t="str">
        <f t="shared" si="7"/>
        <v/>
      </c>
      <c r="J207" s="37" t="str">
        <f>IFERROR(__xludf.DUMMYFUNCTION("IFERROR(
  IF(C207="""",, 
    IFERROR(
      GOOGLEFINANCE(C207, ""price"") * GOOGLEFINANCE(C207, ""volumeavg""), 
      GOOGLEFINANCE(C207, ""price"") * AVERAGE(QUERY(GOOGLEFINANCE(C207, ""volume"", TODAY()-40, TODAY()), ""SELECT Col2 WHERE Col2 IS NOT "&amp;"NULL ORDER BY Col1 DESC LIMIT 20"", 0))
    )
  ), 
"""")"),"")</f>
        <v/>
      </c>
      <c r="K207" s="21" t="str">
        <f>IFERROR(__xludf.DUMMYFUNCTION("IFERROR(GOOGLEFINANCE(C207, ""changepct"") / 100, """")"),"")</f>
        <v/>
      </c>
      <c r="L207" s="21" t="str">
        <f>IFERROR(__xludf.DUMMYFUNCTION("IFERROR((GOOGLEFINANCE(C207, ""price"") / INDEX(GOOGLEFINANCE(C207, ""price"", TODAY()-7, TODAY()), 2, 2)) - 1, """")"),"")</f>
        <v/>
      </c>
      <c r="M207" s="21" t="str">
        <f>IFERROR(__xludf.DUMMYFUNCTION("IFERROR((GOOGLEFINANCE(C207, ""price"") / INDEX(GOOGLEFINANCE(C207, ""price"", EDATE(TODAY(), -1), TODAY()), 2, 2)) - 1, """")"),"")</f>
        <v/>
      </c>
      <c r="N207" s="21" t="str">
        <f>IFERROR(__xludf.DUMMYFUNCTION("IFERROR((GOOGLEFINANCE(C207, ""price"") / INDEX(GOOGLEFINANCE(C207, ""price"", EDATE(TODAY(), -3), TODAY()), 2, 2)) - 1, """")"),"")</f>
        <v/>
      </c>
      <c r="O207" s="21" t="str">
        <f>IFERROR(__xludf.DUMMYFUNCTION("IFERROR((GOOGLEFINANCE(C207, ""price"") / INDEX(GOOGLEFINANCE(C207, ""price"", EDATE(TODAY(), -6), TODAY()), 2, 2)) - 1, """")"),"")</f>
        <v/>
      </c>
      <c r="P207" s="21" t="str">
        <f>IFERROR(__xludf.DUMMYFUNCTION("IFERROR((GOOGLEFINANCE(C207, ""price"") / INDEX(GOOGLEFINANCE(C207, ""price"", EDATE(TODAY(), -12), TODAY()), 2, 2)) - 1, """")"),"")</f>
        <v/>
      </c>
      <c r="Q207" s="6" t="str">
        <f>IFERROR(__xludf.DUMMYFUNCTION("AVERAGE(QUERY(GOOGLEFINANCE(C207, ""price"", TODAY()-80, TODAY()), ""SELECT Col2 WHERE Col2 IS NOT NULL ORDER BY Col1 DESC LIMIT 50"", 0))"),"#N/A")</f>
        <v>#N/A</v>
      </c>
      <c r="R207" s="24" t="str">
        <f>IFERROR(__xludf.DUMMYFUNCTION("IFERROR(
  LET(
    data, QUERY(GOOGLEFINANCE(C207,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GOOGLEFINANCE(C207, ""price"")) * 100,
    IF(calc=0, G207, calc)
  ), 
G207)"),"#N/A")</f>
        <v>#N/A</v>
      </c>
      <c r="S207" s="8" t="s">
        <v>15</v>
      </c>
      <c r="T207" s="26" t="str">
        <f>IFERROR(__xludf.DUMMYFUNCTION("IFERROR(TRANSPOSE(QUERY(IFERROR(SORT(GOOGLEFINANCE(C207, ""price"", WORKDAY(TODAY(), -40), TODAY()), 1, FALSE)), ""select Col2 where Col2 is not null limit 22 label Col2 ''"", 0)), """")"),"")</f>
        <v/>
      </c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8"/>
      <c r="AO207" s="28"/>
      <c r="AP207" s="29"/>
      <c r="AQ207" s="29" t="str">
        <f t="shared" ref="AQ207:BL207" si="210">T207/T$2</f>
        <v>#N/A</v>
      </c>
      <c r="AR207" s="29" t="str">
        <f t="shared" si="210"/>
        <v>#DIV/0!</v>
      </c>
      <c r="AS207" s="29" t="str">
        <f t="shared" si="210"/>
        <v>#DIV/0!</v>
      </c>
      <c r="AT207" s="29" t="str">
        <f t="shared" si="210"/>
        <v>#DIV/0!</v>
      </c>
      <c r="AU207" s="29" t="str">
        <f t="shared" si="210"/>
        <v>#DIV/0!</v>
      </c>
      <c r="AV207" s="29" t="str">
        <f t="shared" si="210"/>
        <v>#DIV/0!</v>
      </c>
      <c r="AW207" s="29" t="str">
        <f t="shared" si="210"/>
        <v>#DIV/0!</v>
      </c>
      <c r="AX207" s="29" t="str">
        <f t="shared" si="210"/>
        <v>#DIV/0!</v>
      </c>
      <c r="AY207" s="29" t="str">
        <f t="shared" si="210"/>
        <v>#DIV/0!</v>
      </c>
      <c r="AZ207" s="29" t="str">
        <f t="shared" si="210"/>
        <v>#DIV/0!</v>
      </c>
      <c r="BA207" s="29" t="str">
        <f t="shared" si="210"/>
        <v>#DIV/0!</v>
      </c>
      <c r="BB207" s="29" t="str">
        <f t="shared" si="210"/>
        <v>#DIV/0!</v>
      </c>
      <c r="BC207" s="29" t="str">
        <f t="shared" si="210"/>
        <v>#DIV/0!</v>
      </c>
      <c r="BD207" s="29" t="str">
        <f t="shared" si="210"/>
        <v>#DIV/0!</v>
      </c>
      <c r="BE207" s="29" t="str">
        <f t="shared" si="210"/>
        <v>#DIV/0!</v>
      </c>
      <c r="BF207" s="29" t="str">
        <f t="shared" si="210"/>
        <v>#DIV/0!</v>
      </c>
      <c r="BG207" s="29" t="str">
        <f t="shared" si="210"/>
        <v>#DIV/0!</v>
      </c>
      <c r="BH207" s="29" t="str">
        <f t="shared" si="210"/>
        <v>#DIV/0!</v>
      </c>
      <c r="BI207" s="29" t="str">
        <f t="shared" si="210"/>
        <v>#DIV/0!</v>
      </c>
      <c r="BJ207" s="29" t="str">
        <f t="shared" si="210"/>
        <v>#DIV/0!</v>
      </c>
      <c r="BK207" s="29" t="str">
        <f t="shared" si="210"/>
        <v>#DIV/0!</v>
      </c>
      <c r="BL207" s="29" t="str">
        <f t="shared" si="210"/>
        <v>#DIV/0!</v>
      </c>
      <c r="BM207" s="29" t="str">
        <f t="shared" si="3"/>
        <v>#DIV/0!</v>
      </c>
    </row>
    <row r="208">
      <c r="A208" s="16" t="str">
        <f>IFERROR(__xludf.DUMMYFUNCTION("IFERROR(SPARKLINE(SORT(MAP(TRANSPOSE(AQ208:BL208), LAMBDA(val, IF(ISNUMBER(val), PERCENTRANK(AQ208:BL208, val)+0.01, 0))), SEQUENCE(COLUMNS(AQ208:BL208)), FALSE), {""charttype"",""column""; ""color"",""chartreuse""; ""ymin"", 0; ""ymax"", 1.01; ""highcolo"&amp;"r"", ""darkgreen""; ""lowcolor"", ""red""}), """")"),"")</f>
        <v/>
      </c>
      <c r="B208" s="17" t="str">
        <f t="shared" si="4"/>
        <v/>
      </c>
      <c r="C208" s="1" t="s">
        <v>872</v>
      </c>
      <c r="D208" s="30" t="str">
        <f>IFERROR(__xludf.DUMMYFUNCTION("IFERROR(GOOGLEFINANCE(C208, ""NAME""))"),"Oxford Industries Inc")</f>
        <v>Oxford Industries Inc</v>
      </c>
      <c r="E208" s="30" t="s">
        <v>317</v>
      </c>
      <c r="F208" s="33" t="str">
        <f>IFERROR(__xludf.DUMMYFUNCTION("( (GOOGLEFINANCE(C208, ""price"") - Q208) / Q208 ) / (R208 / 100)"),"Loading...")</f>
        <v>Loading...</v>
      </c>
      <c r="G208" s="20" t="str">
        <f>IFERROR(__xludf.DUMMYFUNCTION("AVERAGE(ARRAYFORMULA(100 * (QUERY(GOOGLEFINANCE(C208, ""high"", TODAY()-40, TODAY()), ""SELECT Col2 WHERE Col2 IS NOT NULL ORDER BY Col1 DESC LIMIT 20"", 0) / QUERY(GOOGLEFINANCE(C208, ""low"", TODAY()-40, TODAY()), ""SELECT Col2 WHERE Col2 IS NOT NULL OR"&amp;"DER BY Col1 DESC LIMIT 20"", 0) - 1)))"),"#N/A")</f>
        <v>#N/A</v>
      </c>
      <c r="H208" s="35" t="str">
        <f t="shared" si="6"/>
        <v/>
      </c>
      <c r="I208" s="35" t="str">
        <f t="shared" si="7"/>
        <v/>
      </c>
      <c r="J208" s="37" t="str">
        <f>IFERROR(__xludf.DUMMYFUNCTION("IFERROR(
  IF(C208="""",, 
    IFERROR(
      GOOGLEFINANCE(C208, ""price"") * GOOGLEFINANCE(C208, ""volumeavg""), 
      GOOGLEFINANCE(C208, ""price"") * AVERAGE(QUERY(GOOGLEFINANCE(C208, ""volume"", TODAY()-40, TODAY()), ""SELECT Col2 WHERE Col2 IS NOT "&amp;"NULL ORDER BY Col1 DESC LIMIT 20"", 0))
    )
  ), 
"""")"),"")</f>
        <v/>
      </c>
      <c r="K208" s="21" t="str">
        <f>IFERROR(__xludf.DUMMYFUNCTION("IFERROR(GOOGLEFINANCE(C208, ""changepct"") / 100, """")"),"")</f>
        <v/>
      </c>
      <c r="L208" s="21" t="str">
        <f>IFERROR(__xludf.DUMMYFUNCTION("IFERROR((GOOGLEFINANCE(C208, ""price"") / INDEX(GOOGLEFINANCE(C208, ""price"", TODAY()-7, TODAY()), 2, 2)) - 1, """")"),"")</f>
        <v/>
      </c>
      <c r="M208" s="21" t="str">
        <f>IFERROR(__xludf.DUMMYFUNCTION("IFERROR((GOOGLEFINANCE(C208, ""price"") / INDEX(GOOGLEFINANCE(C208, ""price"", EDATE(TODAY(), -1), TODAY()), 2, 2)) - 1, """")"),"")</f>
        <v/>
      </c>
      <c r="N208" s="21" t="str">
        <f>IFERROR(__xludf.DUMMYFUNCTION("IFERROR((GOOGLEFINANCE(C208, ""price"") / INDEX(GOOGLEFINANCE(C208, ""price"", EDATE(TODAY(), -3), TODAY()), 2, 2)) - 1, """")"),"")</f>
        <v/>
      </c>
      <c r="O208" s="21" t="str">
        <f>IFERROR(__xludf.DUMMYFUNCTION("IFERROR((GOOGLEFINANCE(C208, ""price"") / INDEX(GOOGLEFINANCE(C208, ""price"", EDATE(TODAY(), -6), TODAY()), 2, 2)) - 1, """")"),"")</f>
        <v/>
      </c>
      <c r="P208" s="21" t="str">
        <f>IFERROR(__xludf.DUMMYFUNCTION("IFERROR((GOOGLEFINANCE(C208, ""price"") / INDEX(GOOGLEFINANCE(C208, ""price"", EDATE(TODAY(), -12), TODAY()), 2, 2)) - 1, """")"),"")</f>
        <v/>
      </c>
      <c r="Q208" s="6" t="str">
        <f>IFERROR(__xludf.DUMMYFUNCTION("AVERAGE(QUERY(GOOGLEFINANCE(C208, ""price"", TODAY()-80, TODAY()), ""SELECT Col2 WHERE Col2 IS NOT NULL ORDER BY Col1 DESC LIMIT 50"", 0))"),"#N/A")</f>
        <v>#N/A</v>
      </c>
      <c r="R208" s="24" t="str">
        <f>IFERROR(__xludf.DUMMYFUNCTION("IFERROR(
  LET(
    data, QUERY(GOOGLEFINANCE(C208,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GOOGLEFINANCE(C208, ""price"")) * 100,
    IF(calc=0, G208, calc)
  ), 
G208)"),"#N/A")</f>
        <v>#N/A</v>
      </c>
      <c r="S208" s="8" t="s">
        <v>15</v>
      </c>
      <c r="T208" s="26" t="str">
        <f>IFERROR(__xludf.DUMMYFUNCTION("IFERROR(TRANSPOSE(QUERY(IFERROR(SORT(GOOGLEFINANCE(C208, ""price"", WORKDAY(TODAY(), -40), TODAY()), 1, FALSE)), ""select Col2 where Col2 is not null limit 22 label Col2 ''"", 0)), """")"),"")</f>
        <v/>
      </c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8"/>
      <c r="AO208" s="28"/>
      <c r="AP208" s="29"/>
      <c r="AQ208" s="29" t="str">
        <f t="shared" ref="AQ208:BL208" si="211">T208/T$2</f>
        <v>#N/A</v>
      </c>
      <c r="AR208" s="29" t="str">
        <f t="shared" si="211"/>
        <v>#DIV/0!</v>
      </c>
      <c r="AS208" s="29" t="str">
        <f t="shared" si="211"/>
        <v>#DIV/0!</v>
      </c>
      <c r="AT208" s="29" t="str">
        <f t="shared" si="211"/>
        <v>#DIV/0!</v>
      </c>
      <c r="AU208" s="29" t="str">
        <f t="shared" si="211"/>
        <v>#DIV/0!</v>
      </c>
      <c r="AV208" s="29" t="str">
        <f t="shared" si="211"/>
        <v>#DIV/0!</v>
      </c>
      <c r="AW208" s="29" t="str">
        <f t="shared" si="211"/>
        <v>#DIV/0!</v>
      </c>
      <c r="AX208" s="29" t="str">
        <f t="shared" si="211"/>
        <v>#DIV/0!</v>
      </c>
      <c r="AY208" s="29" t="str">
        <f t="shared" si="211"/>
        <v>#DIV/0!</v>
      </c>
      <c r="AZ208" s="29" t="str">
        <f t="shared" si="211"/>
        <v>#DIV/0!</v>
      </c>
      <c r="BA208" s="29" t="str">
        <f t="shared" si="211"/>
        <v>#DIV/0!</v>
      </c>
      <c r="BB208" s="29" t="str">
        <f t="shared" si="211"/>
        <v>#DIV/0!</v>
      </c>
      <c r="BC208" s="29" t="str">
        <f t="shared" si="211"/>
        <v>#DIV/0!</v>
      </c>
      <c r="BD208" s="29" t="str">
        <f t="shared" si="211"/>
        <v>#DIV/0!</v>
      </c>
      <c r="BE208" s="29" t="str">
        <f t="shared" si="211"/>
        <v>#DIV/0!</v>
      </c>
      <c r="BF208" s="29" t="str">
        <f t="shared" si="211"/>
        <v>#DIV/0!</v>
      </c>
      <c r="BG208" s="29" t="str">
        <f t="shared" si="211"/>
        <v>#DIV/0!</v>
      </c>
      <c r="BH208" s="29" t="str">
        <f t="shared" si="211"/>
        <v>#DIV/0!</v>
      </c>
      <c r="BI208" s="29" t="str">
        <f t="shared" si="211"/>
        <v>#DIV/0!</v>
      </c>
      <c r="BJ208" s="29" t="str">
        <f t="shared" si="211"/>
        <v>#DIV/0!</v>
      </c>
      <c r="BK208" s="29" t="str">
        <f t="shared" si="211"/>
        <v>#DIV/0!</v>
      </c>
      <c r="BL208" s="29" t="str">
        <f t="shared" si="211"/>
        <v>#DIV/0!</v>
      </c>
      <c r="BM208" s="29" t="str">
        <f t="shared" si="3"/>
        <v>#DIV/0!</v>
      </c>
    </row>
    <row r="209">
      <c r="A209" s="16" t="str">
        <f>IFERROR(__xludf.DUMMYFUNCTION("IFERROR(SPARKLINE(SORT(MAP(TRANSPOSE(AQ209:BL209), LAMBDA(val, IF(ISNUMBER(val), PERCENTRANK(AQ209:BL209, val)+0.01, 0))), SEQUENCE(COLUMNS(AQ209:BL209)), FALSE), {""charttype"",""column""; ""color"",""chartreuse""; ""ymin"", 0; ""ymax"", 1.01; ""highcolo"&amp;"r"", ""darkgreen""; ""lowcolor"", ""red""}), """")"),"")</f>
        <v/>
      </c>
      <c r="B209" s="17" t="str">
        <f t="shared" si="4"/>
        <v/>
      </c>
      <c r="C209" s="1" t="s">
        <v>875</v>
      </c>
      <c r="D209" s="30" t="str">
        <f>IFERROR(__xludf.DUMMYFUNCTION("IFERROR(GOOGLEFINANCE(C209, ""NAME""))"),"Genesco Inc")</f>
        <v>Genesco Inc</v>
      </c>
      <c r="E209" s="30" t="s">
        <v>647</v>
      </c>
      <c r="F209" s="33" t="str">
        <f>IFERROR(__xludf.DUMMYFUNCTION("( (GOOGLEFINANCE(C209, ""price"") - Q209) / Q209 ) / (R209 / 100)"),"Loading...")</f>
        <v>Loading...</v>
      </c>
      <c r="G209" s="20" t="str">
        <f>IFERROR(__xludf.DUMMYFUNCTION("AVERAGE(ARRAYFORMULA(100 * (QUERY(GOOGLEFINANCE(C209, ""high"", TODAY()-40, TODAY()), ""SELECT Col2 WHERE Col2 IS NOT NULL ORDER BY Col1 DESC LIMIT 20"", 0) / QUERY(GOOGLEFINANCE(C209, ""low"", TODAY()-40, TODAY()), ""SELECT Col2 WHERE Col2 IS NOT NULL OR"&amp;"DER BY Col1 DESC LIMIT 20"", 0) - 1)))"),"#N/A")</f>
        <v>#N/A</v>
      </c>
      <c r="H209" s="35" t="str">
        <f t="shared" si="6"/>
        <v/>
      </c>
      <c r="I209" s="35" t="str">
        <f t="shared" si="7"/>
        <v/>
      </c>
      <c r="J209" s="37" t="str">
        <f>IFERROR(__xludf.DUMMYFUNCTION("IFERROR(
  IF(C209="""",, 
    IFERROR(
      GOOGLEFINANCE(C209, ""price"") * GOOGLEFINANCE(C209, ""volumeavg""), 
      GOOGLEFINANCE(C209, ""price"") * AVERAGE(QUERY(GOOGLEFINANCE(C209, ""volume"", TODAY()-40, TODAY()), ""SELECT Col2 WHERE Col2 IS NOT "&amp;"NULL ORDER BY Col1 DESC LIMIT 20"", 0))
    )
  ), 
"""")"),"")</f>
        <v/>
      </c>
      <c r="K209" s="21" t="str">
        <f>IFERROR(__xludf.DUMMYFUNCTION("IFERROR(GOOGLEFINANCE(C209, ""changepct"") / 100, """")"),"")</f>
        <v/>
      </c>
      <c r="L209" s="21" t="str">
        <f>IFERROR(__xludf.DUMMYFUNCTION("IFERROR((GOOGLEFINANCE(C209, ""price"") / INDEX(GOOGLEFINANCE(C209, ""price"", TODAY()-7, TODAY()), 2, 2)) - 1, """")"),"")</f>
        <v/>
      </c>
      <c r="M209" s="21" t="str">
        <f>IFERROR(__xludf.DUMMYFUNCTION("IFERROR((GOOGLEFINANCE(C209, ""price"") / INDEX(GOOGLEFINANCE(C209, ""price"", EDATE(TODAY(), -1), TODAY()), 2, 2)) - 1, """")"),"")</f>
        <v/>
      </c>
      <c r="N209" s="21" t="str">
        <f>IFERROR(__xludf.DUMMYFUNCTION("IFERROR((GOOGLEFINANCE(C209, ""price"") / INDEX(GOOGLEFINANCE(C209, ""price"", EDATE(TODAY(), -3), TODAY()), 2, 2)) - 1, """")"),"")</f>
        <v/>
      </c>
      <c r="O209" s="21" t="str">
        <f>IFERROR(__xludf.DUMMYFUNCTION("IFERROR((GOOGLEFINANCE(C209, ""price"") / INDEX(GOOGLEFINANCE(C209, ""price"", EDATE(TODAY(), -6), TODAY()), 2, 2)) - 1, """")"),"")</f>
        <v/>
      </c>
      <c r="P209" s="21" t="str">
        <f>IFERROR(__xludf.DUMMYFUNCTION("IFERROR((GOOGLEFINANCE(C209, ""price"") / INDEX(GOOGLEFINANCE(C209, ""price"", EDATE(TODAY(), -12), TODAY()), 2, 2)) - 1, """")"),"")</f>
        <v/>
      </c>
      <c r="Q209" s="6" t="str">
        <f>IFERROR(__xludf.DUMMYFUNCTION("AVERAGE(QUERY(GOOGLEFINANCE(C209, ""price"", TODAY()-80, TODAY()), ""SELECT Col2 WHERE Col2 IS NOT NULL ORDER BY Col1 DESC LIMIT 50"", 0))"),"#N/A")</f>
        <v>#N/A</v>
      </c>
      <c r="R209" s="24" t="str">
        <f>IFERROR(__xludf.DUMMYFUNCTION("IFERROR(
  LET(
    data, QUERY(GOOGLEFINANCE(C209,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GOOGLEFINANCE(C209, ""price"")) * 100,
    IF(calc=0, G209, calc)
  ), 
G209)"),"#N/A")</f>
        <v>#N/A</v>
      </c>
      <c r="S209" s="8" t="s">
        <v>15</v>
      </c>
      <c r="T209" s="26" t="str">
        <f>IFERROR(__xludf.DUMMYFUNCTION("IFERROR(TRANSPOSE(QUERY(IFERROR(SORT(GOOGLEFINANCE(C209, ""price"", WORKDAY(TODAY(), -40), TODAY()), 1, FALSE)), ""select Col2 where Col2 is not null limit 22 label Col2 ''"", 0)), """")"),"")</f>
        <v/>
      </c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8"/>
      <c r="AO209" s="28"/>
      <c r="AP209" s="29"/>
      <c r="AQ209" s="29" t="str">
        <f t="shared" ref="AQ209:BL209" si="212">T209/T$2</f>
        <v>#N/A</v>
      </c>
      <c r="AR209" s="29" t="str">
        <f t="shared" si="212"/>
        <v>#DIV/0!</v>
      </c>
      <c r="AS209" s="29" t="str">
        <f t="shared" si="212"/>
        <v>#DIV/0!</v>
      </c>
      <c r="AT209" s="29" t="str">
        <f t="shared" si="212"/>
        <v>#DIV/0!</v>
      </c>
      <c r="AU209" s="29" t="str">
        <f t="shared" si="212"/>
        <v>#DIV/0!</v>
      </c>
      <c r="AV209" s="29" t="str">
        <f t="shared" si="212"/>
        <v>#DIV/0!</v>
      </c>
      <c r="AW209" s="29" t="str">
        <f t="shared" si="212"/>
        <v>#DIV/0!</v>
      </c>
      <c r="AX209" s="29" t="str">
        <f t="shared" si="212"/>
        <v>#DIV/0!</v>
      </c>
      <c r="AY209" s="29" t="str">
        <f t="shared" si="212"/>
        <v>#DIV/0!</v>
      </c>
      <c r="AZ209" s="29" t="str">
        <f t="shared" si="212"/>
        <v>#DIV/0!</v>
      </c>
      <c r="BA209" s="29" t="str">
        <f t="shared" si="212"/>
        <v>#DIV/0!</v>
      </c>
      <c r="BB209" s="29" t="str">
        <f t="shared" si="212"/>
        <v>#DIV/0!</v>
      </c>
      <c r="BC209" s="29" t="str">
        <f t="shared" si="212"/>
        <v>#DIV/0!</v>
      </c>
      <c r="BD209" s="29" t="str">
        <f t="shared" si="212"/>
        <v>#DIV/0!</v>
      </c>
      <c r="BE209" s="29" t="str">
        <f t="shared" si="212"/>
        <v>#DIV/0!</v>
      </c>
      <c r="BF209" s="29" t="str">
        <f t="shared" si="212"/>
        <v>#DIV/0!</v>
      </c>
      <c r="BG209" s="29" t="str">
        <f t="shared" si="212"/>
        <v>#DIV/0!</v>
      </c>
      <c r="BH209" s="29" t="str">
        <f t="shared" si="212"/>
        <v>#DIV/0!</v>
      </c>
      <c r="BI209" s="29" t="str">
        <f t="shared" si="212"/>
        <v>#DIV/0!</v>
      </c>
      <c r="BJ209" s="29" t="str">
        <f t="shared" si="212"/>
        <v>#DIV/0!</v>
      </c>
      <c r="BK209" s="29" t="str">
        <f t="shared" si="212"/>
        <v>#DIV/0!</v>
      </c>
      <c r="BL209" s="29" t="str">
        <f t="shared" si="212"/>
        <v>#DIV/0!</v>
      </c>
      <c r="BM209" s="29" t="str">
        <f t="shared" si="3"/>
        <v>#DIV/0!</v>
      </c>
    </row>
    <row r="210">
      <c r="A210" s="16" t="str">
        <f>IFERROR(__xludf.DUMMYFUNCTION("IFERROR(SPARKLINE(SORT(MAP(TRANSPOSE(AQ210:BL210), LAMBDA(val, IF(ISNUMBER(val), PERCENTRANK(AQ210:BL210, val)+0.01, 0))), SEQUENCE(COLUMNS(AQ210:BL210)), FALSE), {""charttype"",""column""; ""color"",""chartreuse""; ""ymin"", 0; ""ymax"", 1.01; ""highcolo"&amp;"r"", ""darkgreen""; ""lowcolor"", ""red""}), """")"),"")</f>
        <v/>
      </c>
      <c r="B210" s="17" t="str">
        <f t="shared" si="4"/>
        <v/>
      </c>
      <c r="C210" s="1" t="s">
        <v>878</v>
      </c>
      <c r="D210" s="30" t="str">
        <f>IFERROR(__xludf.DUMMYFUNCTION("IFERROR(GOOGLEFINANCE(C210, ""NAME""))"),"Driven Brands Holdings Inc")</f>
        <v>Driven Brands Holdings Inc</v>
      </c>
      <c r="E210" s="30" t="s">
        <v>190</v>
      </c>
      <c r="F210" s="33" t="str">
        <f>IFERROR(__xludf.DUMMYFUNCTION("( (GOOGLEFINANCE(C210, ""price"") - Q210) / Q210 ) / (R210 / 100)"),"Loading...")</f>
        <v>Loading...</v>
      </c>
      <c r="G210" s="20" t="str">
        <f>IFERROR(__xludf.DUMMYFUNCTION("AVERAGE(ARRAYFORMULA(100 * (QUERY(GOOGLEFINANCE(C210, ""high"", TODAY()-40, TODAY()), ""SELECT Col2 WHERE Col2 IS NOT NULL ORDER BY Col1 DESC LIMIT 20"", 0) / QUERY(GOOGLEFINANCE(C210, ""low"", TODAY()-40, TODAY()), ""SELECT Col2 WHERE Col2 IS NOT NULL OR"&amp;"DER BY Col1 DESC LIMIT 20"", 0) - 1)))"),"#N/A")</f>
        <v>#N/A</v>
      </c>
      <c r="H210" s="35" t="str">
        <f t="shared" si="6"/>
        <v/>
      </c>
      <c r="I210" s="35" t="str">
        <f t="shared" si="7"/>
        <v/>
      </c>
      <c r="J210" s="37" t="str">
        <f>IFERROR(__xludf.DUMMYFUNCTION("IFERROR(
  IF(C210="""",, 
    IFERROR(
      GOOGLEFINANCE(C210, ""price"") * GOOGLEFINANCE(C210, ""volumeavg""), 
      GOOGLEFINANCE(C210, ""price"") * AVERAGE(QUERY(GOOGLEFINANCE(C210, ""volume"", TODAY()-40, TODAY()), ""SELECT Col2 WHERE Col2 IS NOT "&amp;"NULL ORDER BY Col1 DESC LIMIT 20"", 0))
    )
  ), 
"""")"),"")</f>
        <v/>
      </c>
      <c r="K210" s="21" t="str">
        <f>IFERROR(__xludf.DUMMYFUNCTION("IFERROR(GOOGLEFINANCE(C210, ""changepct"") / 100, """")"),"")</f>
        <v/>
      </c>
      <c r="L210" s="21" t="str">
        <f>IFERROR(__xludf.DUMMYFUNCTION("IFERROR((GOOGLEFINANCE(C210, ""price"") / INDEX(GOOGLEFINANCE(C210, ""price"", TODAY()-7, TODAY()), 2, 2)) - 1, """")"),"")</f>
        <v/>
      </c>
      <c r="M210" s="21" t="str">
        <f>IFERROR(__xludf.DUMMYFUNCTION("IFERROR((GOOGLEFINANCE(C210, ""price"") / INDEX(GOOGLEFINANCE(C210, ""price"", EDATE(TODAY(), -1), TODAY()), 2, 2)) - 1, """")"),"")</f>
        <v/>
      </c>
      <c r="N210" s="21" t="str">
        <f>IFERROR(__xludf.DUMMYFUNCTION("IFERROR((GOOGLEFINANCE(C210, ""price"") / INDEX(GOOGLEFINANCE(C210, ""price"", EDATE(TODAY(), -3), TODAY()), 2, 2)) - 1, """")"),"")</f>
        <v/>
      </c>
      <c r="O210" s="21" t="str">
        <f>IFERROR(__xludf.DUMMYFUNCTION("IFERROR((GOOGLEFINANCE(C210, ""price"") / INDEX(GOOGLEFINANCE(C210, ""price"", EDATE(TODAY(), -6), TODAY()), 2, 2)) - 1, """")"),"")</f>
        <v/>
      </c>
      <c r="P210" s="21" t="str">
        <f>IFERROR(__xludf.DUMMYFUNCTION("IFERROR((GOOGLEFINANCE(C210, ""price"") / INDEX(GOOGLEFINANCE(C210, ""price"", EDATE(TODAY(), -12), TODAY()), 2, 2)) - 1, """")"),"")</f>
        <v/>
      </c>
      <c r="Q210" s="6" t="str">
        <f>IFERROR(__xludf.DUMMYFUNCTION("AVERAGE(QUERY(GOOGLEFINANCE(C210, ""price"", TODAY()-80, TODAY()), ""SELECT Col2 WHERE Col2 IS NOT NULL ORDER BY Col1 DESC LIMIT 50"", 0))"),"#N/A")</f>
        <v>#N/A</v>
      </c>
      <c r="R210" s="24" t="str">
        <f>IFERROR(__xludf.DUMMYFUNCTION("IFERROR(
  LET(
    data, QUERY(GOOGLEFINANCE(C210,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GOOGLEFINANCE(C210, ""price"")) * 100,
    IF(calc=0, G210, calc)
  ), 
G210)"),"#N/A")</f>
        <v>#N/A</v>
      </c>
      <c r="S210" s="8" t="s">
        <v>15</v>
      </c>
      <c r="T210" s="26" t="str">
        <f>IFERROR(__xludf.DUMMYFUNCTION("IFERROR(TRANSPOSE(QUERY(IFERROR(SORT(GOOGLEFINANCE(C210, ""price"", WORKDAY(TODAY(), -40), TODAY()), 1, FALSE)), ""select Col2 where Col2 is not null limit 22 label Col2 ''"", 0)), """")"),"")</f>
        <v/>
      </c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8"/>
      <c r="AO210" s="28"/>
      <c r="AP210" s="29"/>
      <c r="AQ210" s="29" t="str">
        <f t="shared" ref="AQ210:BL210" si="213">T210/T$2</f>
        <v>#N/A</v>
      </c>
      <c r="AR210" s="29" t="str">
        <f t="shared" si="213"/>
        <v>#DIV/0!</v>
      </c>
      <c r="AS210" s="29" t="str">
        <f t="shared" si="213"/>
        <v>#DIV/0!</v>
      </c>
      <c r="AT210" s="29" t="str">
        <f t="shared" si="213"/>
        <v>#DIV/0!</v>
      </c>
      <c r="AU210" s="29" t="str">
        <f t="shared" si="213"/>
        <v>#DIV/0!</v>
      </c>
      <c r="AV210" s="29" t="str">
        <f t="shared" si="213"/>
        <v>#DIV/0!</v>
      </c>
      <c r="AW210" s="29" t="str">
        <f t="shared" si="213"/>
        <v>#DIV/0!</v>
      </c>
      <c r="AX210" s="29" t="str">
        <f t="shared" si="213"/>
        <v>#DIV/0!</v>
      </c>
      <c r="AY210" s="29" t="str">
        <f t="shared" si="213"/>
        <v>#DIV/0!</v>
      </c>
      <c r="AZ210" s="29" t="str">
        <f t="shared" si="213"/>
        <v>#DIV/0!</v>
      </c>
      <c r="BA210" s="29" t="str">
        <f t="shared" si="213"/>
        <v>#DIV/0!</v>
      </c>
      <c r="BB210" s="29" t="str">
        <f t="shared" si="213"/>
        <v>#DIV/0!</v>
      </c>
      <c r="BC210" s="29" t="str">
        <f t="shared" si="213"/>
        <v>#DIV/0!</v>
      </c>
      <c r="BD210" s="29" t="str">
        <f t="shared" si="213"/>
        <v>#DIV/0!</v>
      </c>
      <c r="BE210" s="29" t="str">
        <f t="shared" si="213"/>
        <v>#DIV/0!</v>
      </c>
      <c r="BF210" s="29" t="str">
        <f t="shared" si="213"/>
        <v>#DIV/0!</v>
      </c>
      <c r="BG210" s="29" t="str">
        <f t="shared" si="213"/>
        <v>#DIV/0!</v>
      </c>
      <c r="BH210" s="29" t="str">
        <f t="shared" si="213"/>
        <v>#DIV/0!</v>
      </c>
      <c r="BI210" s="29" t="str">
        <f t="shared" si="213"/>
        <v>#DIV/0!</v>
      </c>
      <c r="BJ210" s="29" t="str">
        <f t="shared" si="213"/>
        <v>#DIV/0!</v>
      </c>
      <c r="BK210" s="29" t="str">
        <f t="shared" si="213"/>
        <v>#DIV/0!</v>
      </c>
      <c r="BL210" s="29" t="str">
        <f t="shared" si="213"/>
        <v>#DIV/0!</v>
      </c>
      <c r="BM210" s="29" t="str">
        <f t="shared" si="3"/>
        <v>#DIV/0!</v>
      </c>
    </row>
    <row r="211">
      <c r="A211" s="16" t="str">
        <f>IFERROR(__xludf.DUMMYFUNCTION("IFERROR(SPARKLINE(SORT(MAP(TRANSPOSE(AQ211:BL211), LAMBDA(val, IF(ISNUMBER(val), PERCENTRANK(AQ211:BL211, val)+0.01, 0))), SEQUENCE(COLUMNS(AQ211:BL211)), FALSE), {""charttype"",""column""; ""color"",""chartreuse""; ""ymin"", 0; ""ymax"", 1.01; ""highcolo"&amp;"r"", ""darkgreen""; ""lowcolor"", ""red""}), """")"),"")</f>
        <v/>
      </c>
      <c r="B211" s="17" t="str">
        <f t="shared" si="4"/>
        <v/>
      </c>
      <c r="C211" s="1" t="s">
        <v>882</v>
      </c>
      <c r="D211" s="30" t="str">
        <f>IFERROR(__xludf.DUMMYFUNCTION("IFERROR(GOOGLEFINANCE(C211, ""NAME""))"),"Carvana Co")</f>
        <v>Carvana Co</v>
      </c>
      <c r="E211" s="30" t="s">
        <v>190</v>
      </c>
      <c r="F211" s="33" t="str">
        <f>IFERROR(__xludf.DUMMYFUNCTION("( (GOOGLEFINANCE(C211, ""price"") - Q211) / Q211 ) / (R211 / 100)"),"Loading...")</f>
        <v>Loading...</v>
      </c>
      <c r="G211" s="20" t="str">
        <f>IFERROR(__xludf.DUMMYFUNCTION("AVERAGE(ARRAYFORMULA(100 * (QUERY(GOOGLEFINANCE(C211, ""high"", TODAY()-40, TODAY()), ""SELECT Col2 WHERE Col2 IS NOT NULL ORDER BY Col1 DESC LIMIT 20"", 0) / QUERY(GOOGLEFINANCE(C211, ""low"", TODAY()-40, TODAY()), ""SELECT Col2 WHERE Col2 IS NOT NULL OR"&amp;"DER BY Col1 DESC LIMIT 20"", 0) - 1)))"),"#N/A")</f>
        <v>#N/A</v>
      </c>
      <c r="H211" s="35" t="str">
        <f t="shared" si="6"/>
        <v/>
      </c>
      <c r="I211" s="35" t="str">
        <f t="shared" si="7"/>
        <v/>
      </c>
      <c r="J211" s="37" t="str">
        <f>IFERROR(__xludf.DUMMYFUNCTION("IFERROR(
  IF(C211="""",, 
    IFERROR(
      GOOGLEFINANCE(C211, ""price"") * GOOGLEFINANCE(C211, ""volumeavg""), 
      GOOGLEFINANCE(C211, ""price"") * AVERAGE(QUERY(GOOGLEFINANCE(C211, ""volume"", TODAY()-40, TODAY()), ""SELECT Col2 WHERE Col2 IS NOT "&amp;"NULL ORDER BY Col1 DESC LIMIT 20"", 0))
    )
  ), 
"""")"),"")</f>
        <v/>
      </c>
      <c r="K211" s="21" t="str">
        <f>IFERROR(__xludf.DUMMYFUNCTION("IFERROR(GOOGLEFINANCE(C211, ""changepct"") / 100, """")"),"")</f>
        <v/>
      </c>
      <c r="L211" s="21" t="str">
        <f>IFERROR(__xludf.DUMMYFUNCTION("IFERROR((GOOGLEFINANCE(C211, ""price"") / INDEX(GOOGLEFINANCE(C211, ""price"", TODAY()-7, TODAY()), 2, 2)) - 1, """")"),"")</f>
        <v/>
      </c>
      <c r="M211" s="21" t="str">
        <f>IFERROR(__xludf.DUMMYFUNCTION("IFERROR((GOOGLEFINANCE(C211, ""price"") / INDEX(GOOGLEFINANCE(C211, ""price"", EDATE(TODAY(), -1), TODAY()), 2, 2)) - 1, """")"),"")</f>
        <v/>
      </c>
      <c r="N211" s="21" t="str">
        <f>IFERROR(__xludf.DUMMYFUNCTION("IFERROR((GOOGLEFINANCE(C211, ""price"") / INDEX(GOOGLEFINANCE(C211, ""price"", EDATE(TODAY(), -3), TODAY()), 2, 2)) - 1, """")"),"")</f>
        <v/>
      </c>
      <c r="O211" s="21" t="str">
        <f>IFERROR(__xludf.DUMMYFUNCTION("IFERROR((GOOGLEFINANCE(C211, ""price"") / INDEX(GOOGLEFINANCE(C211, ""price"", EDATE(TODAY(), -6), TODAY()), 2, 2)) - 1, """")"),"")</f>
        <v/>
      </c>
      <c r="P211" s="21" t="str">
        <f>IFERROR(__xludf.DUMMYFUNCTION("IFERROR((GOOGLEFINANCE(C211, ""price"") / INDEX(GOOGLEFINANCE(C211, ""price"", EDATE(TODAY(), -12), TODAY()), 2, 2)) - 1, """")"),"")</f>
        <v/>
      </c>
      <c r="Q211" s="6" t="str">
        <f>IFERROR(__xludf.DUMMYFUNCTION("AVERAGE(QUERY(GOOGLEFINANCE(C211, ""price"", TODAY()-80, TODAY()), ""SELECT Col2 WHERE Col2 IS NOT NULL ORDER BY Col1 DESC LIMIT 50"", 0))"),"#N/A")</f>
        <v>#N/A</v>
      </c>
      <c r="R211" s="24" t="str">
        <f>IFERROR(__xludf.DUMMYFUNCTION("IFERROR(
  LET(
    data, QUERY(GOOGLEFINANCE(C211,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GOOGLEFINANCE(C211, ""price"")) * 100,
    IF(calc=0, G211, calc)
  ), 
G211)"),"#N/A")</f>
        <v>#N/A</v>
      </c>
      <c r="S211" s="8" t="s">
        <v>15</v>
      </c>
      <c r="T211" s="26" t="str">
        <f>IFERROR(__xludf.DUMMYFUNCTION("IFERROR(TRANSPOSE(QUERY(IFERROR(SORT(GOOGLEFINANCE(C211, ""price"", WORKDAY(TODAY(), -40), TODAY()), 1, FALSE)), ""select Col2 where Col2 is not null limit 22 label Col2 ''"", 0)), """")"),"")</f>
        <v/>
      </c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8"/>
      <c r="AO211" s="28"/>
      <c r="AP211" s="29"/>
      <c r="AQ211" s="29" t="str">
        <f t="shared" ref="AQ211:BL211" si="214">T211/T$2</f>
        <v>#N/A</v>
      </c>
      <c r="AR211" s="29" t="str">
        <f t="shared" si="214"/>
        <v>#DIV/0!</v>
      </c>
      <c r="AS211" s="29" t="str">
        <f t="shared" si="214"/>
        <v>#DIV/0!</v>
      </c>
      <c r="AT211" s="29" t="str">
        <f t="shared" si="214"/>
        <v>#DIV/0!</v>
      </c>
      <c r="AU211" s="29" t="str">
        <f t="shared" si="214"/>
        <v>#DIV/0!</v>
      </c>
      <c r="AV211" s="29" t="str">
        <f t="shared" si="214"/>
        <v>#DIV/0!</v>
      </c>
      <c r="AW211" s="29" t="str">
        <f t="shared" si="214"/>
        <v>#DIV/0!</v>
      </c>
      <c r="AX211" s="29" t="str">
        <f t="shared" si="214"/>
        <v>#DIV/0!</v>
      </c>
      <c r="AY211" s="29" t="str">
        <f t="shared" si="214"/>
        <v>#DIV/0!</v>
      </c>
      <c r="AZ211" s="29" t="str">
        <f t="shared" si="214"/>
        <v>#DIV/0!</v>
      </c>
      <c r="BA211" s="29" t="str">
        <f t="shared" si="214"/>
        <v>#DIV/0!</v>
      </c>
      <c r="BB211" s="29" t="str">
        <f t="shared" si="214"/>
        <v>#DIV/0!</v>
      </c>
      <c r="BC211" s="29" t="str">
        <f t="shared" si="214"/>
        <v>#DIV/0!</v>
      </c>
      <c r="BD211" s="29" t="str">
        <f t="shared" si="214"/>
        <v>#DIV/0!</v>
      </c>
      <c r="BE211" s="29" t="str">
        <f t="shared" si="214"/>
        <v>#DIV/0!</v>
      </c>
      <c r="BF211" s="29" t="str">
        <f t="shared" si="214"/>
        <v>#DIV/0!</v>
      </c>
      <c r="BG211" s="29" t="str">
        <f t="shared" si="214"/>
        <v>#DIV/0!</v>
      </c>
      <c r="BH211" s="29" t="str">
        <f t="shared" si="214"/>
        <v>#DIV/0!</v>
      </c>
      <c r="BI211" s="29" t="str">
        <f t="shared" si="214"/>
        <v>#DIV/0!</v>
      </c>
      <c r="BJ211" s="29" t="str">
        <f t="shared" si="214"/>
        <v>#DIV/0!</v>
      </c>
      <c r="BK211" s="29" t="str">
        <f t="shared" si="214"/>
        <v>#DIV/0!</v>
      </c>
      <c r="BL211" s="29" t="str">
        <f t="shared" si="214"/>
        <v>#DIV/0!</v>
      </c>
      <c r="BM211" s="29" t="str">
        <f t="shared" si="3"/>
        <v>#DIV/0!</v>
      </c>
    </row>
    <row r="212">
      <c r="A212" s="16" t="str">
        <f>IFERROR(__xludf.DUMMYFUNCTION("IFERROR(SPARKLINE(SORT(MAP(TRANSPOSE(AQ212:BL212), LAMBDA(val, IF(ISNUMBER(val), PERCENTRANK(AQ212:BL212, val)+0.01, 0))), SEQUENCE(COLUMNS(AQ212:BL212)), FALSE), {""charttype"",""column""; ""color"",""chartreuse""; ""ymin"", 0; ""ymax"", 1.01; ""highcolo"&amp;"r"", ""darkgreen""; ""lowcolor"", ""red""}), """")"),"")</f>
        <v/>
      </c>
      <c r="B212" s="17" t="str">
        <f t="shared" si="4"/>
        <v/>
      </c>
      <c r="C212" s="1" t="s">
        <v>886</v>
      </c>
      <c r="D212" s="30" t="str">
        <f>IFERROR(__xludf.DUMMYFUNCTION("IFERROR(GOOGLEFINANCE(C212, ""NAME""))"),"Canada Goose Holdings Inc")</f>
        <v>Canada Goose Holdings Inc</v>
      </c>
      <c r="E212" s="30" t="s">
        <v>317</v>
      </c>
      <c r="F212" s="33" t="str">
        <f>IFERROR(__xludf.DUMMYFUNCTION("( (GOOGLEFINANCE(C212, ""price"") - Q212) / Q212 ) / (R212 / 100)"),"Loading...")</f>
        <v>Loading...</v>
      </c>
      <c r="G212" s="20" t="str">
        <f>IFERROR(__xludf.DUMMYFUNCTION("AVERAGE(ARRAYFORMULA(100 * (QUERY(GOOGLEFINANCE(C212, ""high"", TODAY()-40, TODAY()), ""SELECT Col2 WHERE Col2 IS NOT NULL ORDER BY Col1 DESC LIMIT 20"", 0) / QUERY(GOOGLEFINANCE(C212, ""low"", TODAY()-40, TODAY()), ""SELECT Col2 WHERE Col2 IS NOT NULL OR"&amp;"DER BY Col1 DESC LIMIT 20"", 0) - 1)))"),"#N/A")</f>
        <v>#N/A</v>
      </c>
      <c r="H212" s="35" t="str">
        <f t="shared" si="6"/>
        <v/>
      </c>
      <c r="I212" s="35" t="str">
        <f t="shared" si="7"/>
        <v/>
      </c>
      <c r="J212" s="37" t="str">
        <f>IFERROR(__xludf.DUMMYFUNCTION("IFERROR(
  IF(C212="""",, 
    IFERROR(
      GOOGLEFINANCE(C212, ""price"") * GOOGLEFINANCE(C212, ""volumeavg""), 
      GOOGLEFINANCE(C212, ""price"") * AVERAGE(QUERY(GOOGLEFINANCE(C212, ""volume"", TODAY()-40, TODAY()), ""SELECT Col2 WHERE Col2 IS NOT "&amp;"NULL ORDER BY Col1 DESC LIMIT 20"", 0))
    )
  ), 
"""")"),"")</f>
        <v/>
      </c>
      <c r="K212" s="21" t="str">
        <f>IFERROR(__xludf.DUMMYFUNCTION("IFERROR(GOOGLEFINANCE(C212, ""changepct"") / 100, """")"),"")</f>
        <v/>
      </c>
      <c r="L212" s="21" t="str">
        <f>IFERROR(__xludf.DUMMYFUNCTION("IFERROR((GOOGLEFINANCE(C212, ""price"") / INDEX(GOOGLEFINANCE(C212, ""price"", TODAY()-7, TODAY()), 2, 2)) - 1, """")"),"")</f>
        <v/>
      </c>
      <c r="M212" s="21" t="str">
        <f>IFERROR(__xludf.DUMMYFUNCTION("IFERROR((GOOGLEFINANCE(C212, ""price"") / INDEX(GOOGLEFINANCE(C212, ""price"", EDATE(TODAY(), -1), TODAY()), 2, 2)) - 1, """")"),"")</f>
        <v/>
      </c>
      <c r="N212" s="21" t="str">
        <f>IFERROR(__xludf.DUMMYFUNCTION("IFERROR((GOOGLEFINANCE(C212, ""price"") / INDEX(GOOGLEFINANCE(C212, ""price"", EDATE(TODAY(), -3), TODAY()), 2, 2)) - 1, """")"),"")</f>
        <v/>
      </c>
      <c r="O212" s="21" t="str">
        <f>IFERROR(__xludf.DUMMYFUNCTION("IFERROR((GOOGLEFINANCE(C212, ""price"") / INDEX(GOOGLEFINANCE(C212, ""price"", EDATE(TODAY(), -6), TODAY()), 2, 2)) - 1, """")"),"")</f>
        <v/>
      </c>
      <c r="P212" s="21" t="str">
        <f>IFERROR(__xludf.DUMMYFUNCTION("IFERROR((GOOGLEFINANCE(C212, ""price"") / INDEX(GOOGLEFINANCE(C212, ""price"", EDATE(TODAY(), -12), TODAY()), 2, 2)) - 1, """")"),"")</f>
        <v/>
      </c>
      <c r="Q212" s="6" t="str">
        <f>IFERROR(__xludf.DUMMYFUNCTION("AVERAGE(QUERY(GOOGLEFINANCE(C212, ""price"", TODAY()-80, TODAY()), ""SELECT Col2 WHERE Col2 IS NOT NULL ORDER BY Col1 DESC LIMIT 50"", 0))"),"#N/A")</f>
        <v>#N/A</v>
      </c>
      <c r="R212" s="24" t="str">
        <f>IFERROR(__xludf.DUMMYFUNCTION("IFERROR(
  LET(
    data, QUERY(GOOGLEFINANCE(C212,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GOOGLEFINANCE(C212, ""price"")) * 100,
    IF(calc=0, G212, calc)
  ), 
G212)"),"#N/A")</f>
        <v>#N/A</v>
      </c>
      <c r="S212" s="8" t="s">
        <v>15</v>
      </c>
      <c r="T212" s="26" t="str">
        <f>IFERROR(__xludf.DUMMYFUNCTION("IFERROR(TRANSPOSE(QUERY(IFERROR(SORT(GOOGLEFINANCE(C212, ""price"", WORKDAY(TODAY(), -40), TODAY()), 1, FALSE)), ""select Col2 where Col2 is not null limit 22 label Col2 ''"", 0)), """")"),"")</f>
        <v/>
      </c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8"/>
      <c r="AO212" s="28"/>
      <c r="AP212" s="29"/>
      <c r="AQ212" s="29" t="str">
        <f t="shared" ref="AQ212:BL212" si="215">T212/T$2</f>
        <v>#N/A</v>
      </c>
      <c r="AR212" s="29" t="str">
        <f t="shared" si="215"/>
        <v>#DIV/0!</v>
      </c>
      <c r="AS212" s="29" t="str">
        <f t="shared" si="215"/>
        <v>#DIV/0!</v>
      </c>
      <c r="AT212" s="29" t="str">
        <f t="shared" si="215"/>
        <v>#DIV/0!</v>
      </c>
      <c r="AU212" s="29" t="str">
        <f t="shared" si="215"/>
        <v>#DIV/0!</v>
      </c>
      <c r="AV212" s="29" t="str">
        <f t="shared" si="215"/>
        <v>#DIV/0!</v>
      </c>
      <c r="AW212" s="29" t="str">
        <f t="shared" si="215"/>
        <v>#DIV/0!</v>
      </c>
      <c r="AX212" s="29" t="str">
        <f t="shared" si="215"/>
        <v>#DIV/0!</v>
      </c>
      <c r="AY212" s="29" t="str">
        <f t="shared" si="215"/>
        <v>#DIV/0!</v>
      </c>
      <c r="AZ212" s="29" t="str">
        <f t="shared" si="215"/>
        <v>#DIV/0!</v>
      </c>
      <c r="BA212" s="29" t="str">
        <f t="shared" si="215"/>
        <v>#DIV/0!</v>
      </c>
      <c r="BB212" s="29" t="str">
        <f t="shared" si="215"/>
        <v>#DIV/0!</v>
      </c>
      <c r="BC212" s="29" t="str">
        <f t="shared" si="215"/>
        <v>#DIV/0!</v>
      </c>
      <c r="BD212" s="29" t="str">
        <f t="shared" si="215"/>
        <v>#DIV/0!</v>
      </c>
      <c r="BE212" s="29" t="str">
        <f t="shared" si="215"/>
        <v>#DIV/0!</v>
      </c>
      <c r="BF212" s="29" t="str">
        <f t="shared" si="215"/>
        <v>#DIV/0!</v>
      </c>
      <c r="BG212" s="29" t="str">
        <f t="shared" si="215"/>
        <v>#DIV/0!</v>
      </c>
      <c r="BH212" s="29" t="str">
        <f t="shared" si="215"/>
        <v>#DIV/0!</v>
      </c>
      <c r="BI212" s="29" t="str">
        <f t="shared" si="215"/>
        <v>#DIV/0!</v>
      </c>
      <c r="BJ212" s="29" t="str">
        <f t="shared" si="215"/>
        <v>#DIV/0!</v>
      </c>
      <c r="BK212" s="29" t="str">
        <f t="shared" si="215"/>
        <v>#DIV/0!</v>
      </c>
      <c r="BL212" s="29" t="str">
        <f t="shared" si="215"/>
        <v>#DIV/0!</v>
      </c>
      <c r="BM212" s="29" t="str">
        <f t="shared" si="3"/>
        <v>#DIV/0!</v>
      </c>
    </row>
    <row r="213">
      <c r="A213" s="16" t="str">
        <f>IFERROR(__xludf.DUMMYFUNCTION("IFERROR(SPARKLINE(SORT(MAP(TRANSPOSE(AQ213:BL213), LAMBDA(val, IF(ISNUMBER(val), PERCENTRANK(AQ213:BL213, val)+0.01, 0))), SEQUENCE(COLUMNS(AQ213:BL213)), FALSE), {""charttype"",""column""; ""color"",""chartreuse""; ""ymin"", 0; ""ymax"", 1.01; ""highcolo"&amp;"r"", ""darkgreen""; ""lowcolor"", ""red""}), """")"),"")</f>
        <v/>
      </c>
      <c r="B213" s="17" t="str">
        <f t="shared" si="4"/>
        <v/>
      </c>
      <c r="C213" s="1" t="s">
        <v>891</v>
      </c>
      <c r="D213" s="30" t="str">
        <f>IFERROR(__xludf.DUMMYFUNCTION("IFERROR(GOOGLEFINANCE(C213, ""NAME""))"),"Urban Outfitters Inc")</f>
        <v>Urban Outfitters Inc</v>
      </c>
      <c r="E213" s="30" t="s">
        <v>647</v>
      </c>
      <c r="F213" s="38" t="str">
        <f>IFERROR(__xludf.DUMMYFUNCTION("( (GOOGLEFINANCE(C213, ""price"") - Q213) / Q213 ) / (R213 / 100)"),"Loading...")</f>
        <v>Loading...</v>
      </c>
      <c r="G213" s="20" t="str">
        <f>IFERROR(__xludf.DUMMYFUNCTION("AVERAGE(ARRAYFORMULA(100 * (QUERY(GOOGLEFINANCE(C213, ""high"", TODAY()-40, TODAY()), ""SELECT Col2 WHERE Col2 IS NOT NULL ORDER BY Col1 DESC LIMIT 20"", 0) / QUERY(GOOGLEFINANCE(C213, ""low"", TODAY()-40, TODAY()), ""SELECT Col2 WHERE Col2 IS NOT NULL OR"&amp;"DER BY Col1 DESC LIMIT 20"", 0) - 1)))"),"#N/A")</f>
        <v>#N/A</v>
      </c>
      <c r="H213" s="35" t="str">
        <f t="shared" si="6"/>
        <v/>
      </c>
      <c r="I213" s="35" t="str">
        <f t="shared" si="7"/>
        <v/>
      </c>
      <c r="J213" s="37" t="str">
        <f>IFERROR(__xludf.DUMMYFUNCTION("IFERROR(
  IF(C213="""",, 
    IFERROR(
      GOOGLEFINANCE(C213, ""price"") * GOOGLEFINANCE(C213, ""volumeavg""), 
      GOOGLEFINANCE(C213, ""price"") * AVERAGE(QUERY(GOOGLEFINANCE(C213, ""volume"", TODAY()-40, TODAY()), ""SELECT Col2 WHERE Col2 IS NOT "&amp;"NULL ORDER BY Col1 DESC LIMIT 20"", 0))
    )
  ), 
"""")"),"")</f>
        <v/>
      </c>
      <c r="K213" s="21" t="str">
        <f>IFERROR(__xludf.DUMMYFUNCTION("IFERROR(GOOGLEFINANCE(C213, ""changepct"") / 100, """")"),"")</f>
        <v/>
      </c>
      <c r="L213" s="21" t="str">
        <f>IFERROR(__xludf.DUMMYFUNCTION("IFERROR((GOOGLEFINANCE(C213, ""price"") / INDEX(GOOGLEFINANCE(C213, ""price"", TODAY()-7, TODAY()), 2, 2)) - 1, """")"),"")</f>
        <v/>
      </c>
      <c r="M213" s="21" t="str">
        <f>IFERROR(__xludf.DUMMYFUNCTION("IFERROR((GOOGLEFINANCE(C213, ""price"") / INDEX(GOOGLEFINANCE(C213, ""price"", EDATE(TODAY(), -1), TODAY()), 2, 2)) - 1, """")"),"")</f>
        <v/>
      </c>
      <c r="N213" s="21" t="str">
        <f>IFERROR(__xludf.DUMMYFUNCTION("IFERROR((GOOGLEFINANCE(C213, ""price"") / INDEX(GOOGLEFINANCE(C213, ""price"", EDATE(TODAY(), -3), TODAY()), 2, 2)) - 1, """")"),"")</f>
        <v/>
      </c>
      <c r="O213" s="21" t="str">
        <f>IFERROR(__xludf.DUMMYFUNCTION("IFERROR((GOOGLEFINANCE(C213, ""price"") / INDEX(GOOGLEFINANCE(C213, ""price"", EDATE(TODAY(), -6), TODAY()), 2, 2)) - 1, """")"),"")</f>
        <v/>
      </c>
      <c r="P213" s="21" t="str">
        <f>IFERROR(__xludf.DUMMYFUNCTION("IFERROR((GOOGLEFINANCE(C213, ""price"") / INDEX(GOOGLEFINANCE(C213, ""price"", EDATE(TODAY(), -12), TODAY()), 2, 2)) - 1, """")"),"")</f>
        <v/>
      </c>
      <c r="Q213" s="6" t="str">
        <f>IFERROR(__xludf.DUMMYFUNCTION("AVERAGE(QUERY(GOOGLEFINANCE(C213, ""price"", TODAY()-80, TODAY()), ""SELECT Col2 WHERE Col2 IS NOT NULL ORDER BY Col1 DESC LIMIT 50"", 0))"),"#N/A")</f>
        <v>#N/A</v>
      </c>
      <c r="R213" s="24" t="str">
        <f>IFERROR(__xludf.DUMMYFUNCTION("IFERROR(
  LET(
    data, QUERY(GOOGLEFINANCE(C213,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GOOGLEFINANCE(C213, ""price"")) * 100,
    IF(calc=0, G213, calc)
  ), 
G213)"),"#N/A")</f>
        <v>#N/A</v>
      </c>
      <c r="S213" s="8" t="s">
        <v>15</v>
      </c>
      <c r="T213" s="26" t="str">
        <f>IFERROR(__xludf.DUMMYFUNCTION("IFERROR(TRANSPOSE(QUERY(IFERROR(SORT(GOOGLEFINANCE(C213, ""price"", WORKDAY(TODAY(), -40), TODAY()), 1, FALSE)), ""select Col2 where Col2 is not null limit 22 label Col2 ''"", 0)), """")"),"")</f>
        <v/>
      </c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8"/>
      <c r="AO213" s="28"/>
      <c r="AP213" s="29"/>
      <c r="AQ213" s="29" t="str">
        <f t="shared" ref="AQ213:BL213" si="216">T213/T$2</f>
        <v>#N/A</v>
      </c>
      <c r="AR213" s="29" t="str">
        <f t="shared" si="216"/>
        <v>#DIV/0!</v>
      </c>
      <c r="AS213" s="29" t="str">
        <f t="shared" si="216"/>
        <v>#DIV/0!</v>
      </c>
      <c r="AT213" s="29" t="str">
        <f t="shared" si="216"/>
        <v>#DIV/0!</v>
      </c>
      <c r="AU213" s="29" t="str">
        <f t="shared" si="216"/>
        <v>#DIV/0!</v>
      </c>
      <c r="AV213" s="29" t="str">
        <f t="shared" si="216"/>
        <v>#DIV/0!</v>
      </c>
      <c r="AW213" s="29" t="str">
        <f t="shared" si="216"/>
        <v>#DIV/0!</v>
      </c>
      <c r="AX213" s="29" t="str">
        <f t="shared" si="216"/>
        <v>#DIV/0!</v>
      </c>
      <c r="AY213" s="29" t="str">
        <f t="shared" si="216"/>
        <v>#DIV/0!</v>
      </c>
      <c r="AZ213" s="29" t="str">
        <f t="shared" si="216"/>
        <v>#DIV/0!</v>
      </c>
      <c r="BA213" s="29" t="str">
        <f t="shared" si="216"/>
        <v>#DIV/0!</v>
      </c>
      <c r="BB213" s="29" t="str">
        <f t="shared" si="216"/>
        <v>#DIV/0!</v>
      </c>
      <c r="BC213" s="29" t="str">
        <f t="shared" si="216"/>
        <v>#DIV/0!</v>
      </c>
      <c r="BD213" s="29" t="str">
        <f t="shared" si="216"/>
        <v>#DIV/0!</v>
      </c>
      <c r="BE213" s="29" t="str">
        <f t="shared" si="216"/>
        <v>#DIV/0!</v>
      </c>
      <c r="BF213" s="29" t="str">
        <f t="shared" si="216"/>
        <v>#DIV/0!</v>
      </c>
      <c r="BG213" s="29" t="str">
        <f t="shared" si="216"/>
        <v>#DIV/0!</v>
      </c>
      <c r="BH213" s="29" t="str">
        <f t="shared" si="216"/>
        <v>#DIV/0!</v>
      </c>
      <c r="BI213" s="29" t="str">
        <f t="shared" si="216"/>
        <v>#DIV/0!</v>
      </c>
      <c r="BJ213" s="29" t="str">
        <f t="shared" si="216"/>
        <v>#DIV/0!</v>
      </c>
      <c r="BK213" s="29" t="str">
        <f t="shared" si="216"/>
        <v>#DIV/0!</v>
      </c>
      <c r="BL213" s="29" t="str">
        <f t="shared" si="216"/>
        <v>#DIV/0!</v>
      </c>
      <c r="BM213" s="29" t="str">
        <f t="shared" si="3"/>
        <v>#DIV/0!</v>
      </c>
    </row>
    <row r="214">
      <c r="A214" s="16" t="str">
        <f>IFERROR(__xludf.DUMMYFUNCTION("IFERROR(SPARKLINE(SORT(MAP(TRANSPOSE(AQ214:BL214), LAMBDA(val, IF(ISNUMBER(val), PERCENTRANK(AQ214:BL214, val)+0.01, 0))), SEQUENCE(COLUMNS(AQ214:BL214)), FALSE), {""charttype"",""column""; ""color"",""chartreuse""; ""ymin"", 0; ""ymax"", 1.01; ""highcolo"&amp;"r"", ""darkgreen""; ""lowcolor"", ""red""}), """")"),"")</f>
        <v/>
      </c>
      <c r="B214" s="17" t="str">
        <f t="shared" si="4"/>
        <v/>
      </c>
      <c r="C214" s="1" t="s">
        <v>897</v>
      </c>
      <c r="D214" s="30" t="str">
        <f>IFERROR(__xludf.DUMMYFUNCTION("IFERROR(GOOGLEFINANCE(C214, ""NAME""))"),"Fox Factory Holding Corp")</f>
        <v>Fox Factory Holding Corp</v>
      </c>
      <c r="E214" s="30" t="s">
        <v>109</v>
      </c>
      <c r="F214" s="33" t="str">
        <f>IFERROR(__xludf.DUMMYFUNCTION("( (GOOGLEFINANCE(C214, ""price"") - Q214) / Q214 ) / (R214 / 100)"),"Loading...")</f>
        <v>Loading...</v>
      </c>
      <c r="G214" s="20" t="str">
        <f>IFERROR(__xludf.DUMMYFUNCTION("AVERAGE(ARRAYFORMULA(100 * (QUERY(GOOGLEFINANCE(C214, ""high"", TODAY()-40, TODAY()), ""SELECT Col2 WHERE Col2 IS NOT NULL ORDER BY Col1 DESC LIMIT 20"", 0) / QUERY(GOOGLEFINANCE(C214, ""low"", TODAY()-40, TODAY()), ""SELECT Col2 WHERE Col2 IS NOT NULL OR"&amp;"DER BY Col1 DESC LIMIT 20"", 0) - 1)))"),"#N/A")</f>
        <v>#N/A</v>
      </c>
      <c r="H214" s="35" t="str">
        <f t="shared" si="6"/>
        <v/>
      </c>
      <c r="I214" s="35" t="str">
        <f t="shared" si="7"/>
        <v/>
      </c>
      <c r="J214" s="37" t="str">
        <f>IFERROR(__xludf.DUMMYFUNCTION("IFERROR(
  IF(C214="""",, 
    IFERROR(
      GOOGLEFINANCE(C214, ""price"") * GOOGLEFINANCE(C214, ""volumeavg""), 
      GOOGLEFINANCE(C214, ""price"") * AVERAGE(QUERY(GOOGLEFINANCE(C214, ""volume"", TODAY()-40, TODAY()), ""SELECT Col2 WHERE Col2 IS NOT "&amp;"NULL ORDER BY Col1 DESC LIMIT 20"", 0))
    )
  ), 
"""")"),"")</f>
        <v/>
      </c>
      <c r="K214" s="21" t="str">
        <f>IFERROR(__xludf.DUMMYFUNCTION("IFERROR(GOOGLEFINANCE(C214, ""changepct"") / 100, """")"),"")</f>
        <v/>
      </c>
      <c r="L214" s="21" t="str">
        <f>IFERROR(__xludf.DUMMYFUNCTION("IFERROR((GOOGLEFINANCE(C214, ""price"") / INDEX(GOOGLEFINANCE(C214, ""price"", TODAY()-7, TODAY()), 2, 2)) - 1, """")"),"")</f>
        <v/>
      </c>
      <c r="M214" s="21" t="str">
        <f>IFERROR(__xludf.DUMMYFUNCTION("IFERROR((GOOGLEFINANCE(C214, ""price"") / INDEX(GOOGLEFINANCE(C214, ""price"", EDATE(TODAY(), -1), TODAY()), 2, 2)) - 1, """")"),"")</f>
        <v/>
      </c>
      <c r="N214" s="21" t="str">
        <f>IFERROR(__xludf.DUMMYFUNCTION("IFERROR((GOOGLEFINANCE(C214, ""price"") / INDEX(GOOGLEFINANCE(C214, ""price"", EDATE(TODAY(), -3), TODAY()), 2, 2)) - 1, """")"),"")</f>
        <v/>
      </c>
      <c r="O214" s="21" t="str">
        <f>IFERROR(__xludf.DUMMYFUNCTION("IFERROR((GOOGLEFINANCE(C214, ""price"") / INDEX(GOOGLEFINANCE(C214, ""price"", EDATE(TODAY(), -6), TODAY()), 2, 2)) - 1, """")"),"")</f>
        <v/>
      </c>
      <c r="P214" s="21" t="str">
        <f>IFERROR(__xludf.DUMMYFUNCTION("IFERROR((GOOGLEFINANCE(C214, ""price"") / INDEX(GOOGLEFINANCE(C214, ""price"", EDATE(TODAY(), -12), TODAY()), 2, 2)) - 1, """")"),"")</f>
        <v/>
      </c>
      <c r="Q214" s="6" t="str">
        <f>IFERROR(__xludf.DUMMYFUNCTION("AVERAGE(QUERY(GOOGLEFINANCE(C214, ""price"", TODAY()-80, TODAY()), ""SELECT Col2 WHERE Col2 IS NOT NULL ORDER BY Col1 DESC LIMIT 50"", 0))"),"#N/A")</f>
        <v>#N/A</v>
      </c>
      <c r="R214" s="24" t="str">
        <f>IFERROR(__xludf.DUMMYFUNCTION("IFERROR(
  LET(
    data, QUERY(GOOGLEFINANCE(C214,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GOOGLEFINANCE(C214, ""price"")) * 100,
    IF(calc=0, G214, calc)
  ), 
G214)"),"#N/A")</f>
        <v>#N/A</v>
      </c>
      <c r="S214" s="8" t="s">
        <v>15</v>
      </c>
      <c r="T214" s="26" t="str">
        <f>IFERROR(__xludf.DUMMYFUNCTION("IFERROR(TRANSPOSE(QUERY(IFERROR(SORT(GOOGLEFINANCE(C214, ""price"", WORKDAY(TODAY(), -40), TODAY()), 1, FALSE)), ""select Col2 where Col2 is not null limit 22 label Col2 ''"", 0)), """")"),"")</f>
        <v/>
      </c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8"/>
      <c r="AO214" s="28"/>
      <c r="AP214" s="29"/>
      <c r="AQ214" s="29" t="str">
        <f t="shared" ref="AQ214:BL214" si="217">T214/T$2</f>
        <v>#N/A</v>
      </c>
      <c r="AR214" s="29" t="str">
        <f t="shared" si="217"/>
        <v>#DIV/0!</v>
      </c>
      <c r="AS214" s="29" t="str">
        <f t="shared" si="217"/>
        <v>#DIV/0!</v>
      </c>
      <c r="AT214" s="29" t="str">
        <f t="shared" si="217"/>
        <v>#DIV/0!</v>
      </c>
      <c r="AU214" s="29" t="str">
        <f t="shared" si="217"/>
        <v>#DIV/0!</v>
      </c>
      <c r="AV214" s="29" t="str">
        <f t="shared" si="217"/>
        <v>#DIV/0!</v>
      </c>
      <c r="AW214" s="29" t="str">
        <f t="shared" si="217"/>
        <v>#DIV/0!</v>
      </c>
      <c r="AX214" s="29" t="str">
        <f t="shared" si="217"/>
        <v>#DIV/0!</v>
      </c>
      <c r="AY214" s="29" t="str">
        <f t="shared" si="217"/>
        <v>#DIV/0!</v>
      </c>
      <c r="AZ214" s="29" t="str">
        <f t="shared" si="217"/>
        <v>#DIV/0!</v>
      </c>
      <c r="BA214" s="29" t="str">
        <f t="shared" si="217"/>
        <v>#DIV/0!</v>
      </c>
      <c r="BB214" s="29" t="str">
        <f t="shared" si="217"/>
        <v>#DIV/0!</v>
      </c>
      <c r="BC214" s="29" t="str">
        <f t="shared" si="217"/>
        <v>#DIV/0!</v>
      </c>
      <c r="BD214" s="29" t="str">
        <f t="shared" si="217"/>
        <v>#DIV/0!</v>
      </c>
      <c r="BE214" s="29" t="str">
        <f t="shared" si="217"/>
        <v>#DIV/0!</v>
      </c>
      <c r="BF214" s="29" t="str">
        <f t="shared" si="217"/>
        <v>#DIV/0!</v>
      </c>
      <c r="BG214" s="29" t="str">
        <f t="shared" si="217"/>
        <v>#DIV/0!</v>
      </c>
      <c r="BH214" s="29" t="str">
        <f t="shared" si="217"/>
        <v>#DIV/0!</v>
      </c>
      <c r="BI214" s="29" t="str">
        <f t="shared" si="217"/>
        <v>#DIV/0!</v>
      </c>
      <c r="BJ214" s="29" t="str">
        <f t="shared" si="217"/>
        <v>#DIV/0!</v>
      </c>
      <c r="BK214" s="29" t="str">
        <f t="shared" si="217"/>
        <v>#DIV/0!</v>
      </c>
      <c r="BL214" s="29" t="str">
        <f t="shared" si="217"/>
        <v>#DIV/0!</v>
      </c>
      <c r="BM214" s="29" t="str">
        <f t="shared" si="3"/>
        <v>#DIV/0!</v>
      </c>
    </row>
    <row r="215">
      <c r="A215" s="16" t="str">
        <f>IFERROR(__xludf.DUMMYFUNCTION("IFERROR(SPARKLINE(SORT(MAP(TRANSPOSE(AQ215:BL215), LAMBDA(val, IF(ISNUMBER(val), PERCENTRANK(AQ215:BL215, val)+0.01, 0))), SEQUENCE(COLUMNS(AQ215:BL215)), FALSE), {""charttype"",""column""; ""color"",""chartreuse""; ""ymin"", 0; ""ymax"", 1.01; ""highcolo"&amp;"r"", ""darkgreen""; ""lowcolor"", ""red""}), """")"),"")</f>
        <v/>
      </c>
      <c r="B215" s="17" t="str">
        <f t="shared" si="4"/>
        <v/>
      </c>
      <c r="C215" s="1" t="s">
        <v>901</v>
      </c>
      <c r="D215" s="30" t="str">
        <f>IFERROR(__xludf.DUMMYFUNCTION("IFERROR(GOOGLEFINANCE(C215, ""NAME""))"),"Caleres Inc")</f>
        <v>Caleres Inc</v>
      </c>
      <c r="E215" s="30" t="s">
        <v>647</v>
      </c>
      <c r="F215" s="38" t="str">
        <f>IFERROR(__xludf.DUMMYFUNCTION("( (GOOGLEFINANCE(C215, ""price"") - Q215) / Q215 ) / (R215 / 100)"),"Loading...")</f>
        <v>Loading...</v>
      </c>
      <c r="G215" s="20" t="str">
        <f>IFERROR(__xludf.DUMMYFUNCTION("AVERAGE(ARRAYFORMULA(100 * (QUERY(GOOGLEFINANCE(C215, ""high"", TODAY()-40, TODAY()), ""SELECT Col2 WHERE Col2 IS NOT NULL ORDER BY Col1 DESC LIMIT 20"", 0) / QUERY(GOOGLEFINANCE(C215, ""low"", TODAY()-40, TODAY()), ""SELECT Col2 WHERE Col2 IS NOT NULL OR"&amp;"DER BY Col1 DESC LIMIT 20"", 0) - 1)))"),"#N/A")</f>
        <v>#N/A</v>
      </c>
      <c r="H215" s="35" t="str">
        <f t="shared" si="6"/>
        <v/>
      </c>
      <c r="I215" s="35" t="str">
        <f t="shared" si="7"/>
        <v/>
      </c>
      <c r="J215" s="37" t="str">
        <f>IFERROR(__xludf.DUMMYFUNCTION("IFERROR(
  IF(C215="""",, 
    IFERROR(
      GOOGLEFINANCE(C215, ""price"") * GOOGLEFINANCE(C215, ""volumeavg""), 
      GOOGLEFINANCE(C215, ""price"") * AVERAGE(QUERY(GOOGLEFINANCE(C215, ""volume"", TODAY()-40, TODAY()), ""SELECT Col2 WHERE Col2 IS NOT "&amp;"NULL ORDER BY Col1 DESC LIMIT 20"", 0))
    )
  ), 
"""")"),"")</f>
        <v/>
      </c>
      <c r="K215" s="21" t="str">
        <f>IFERROR(__xludf.DUMMYFUNCTION("IFERROR(GOOGLEFINANCE(C215, ""changepct"") / 100, """")"),"")</f>
        <v/>
      </c>
      <c r="L215" s="21" t="str">
        <f>IFERROR(__xludf.DUMMYFUNCTION("IFERROR((GOOGLEFINANCE(C215, ""price"") / INDEX(GOOGLEFINANCE(C215, ""price"", TODAY()-7, TODAY()), 2, 2)) - 1, """")"),"")</f>
        <v/>
      </c>
      <c r="M215" s="21" t="str">
        <f>IFERROR(__xludf.DUMMYFUNCTION("IFERROR((GOOGLEFINANCE(C215, ""price"") / INDEX(GOOGLEFINANCE(C215, ""price"", EDATE(TODAY(), -1), TODAY()), 2, 2)) - 1, """")"),"")</f>
        <v/>
      </c>
      <c r="N215" s="21" t="str">
        <f>IFERROR(__xludf.DUMMYFUNCTION("IFERROR((GOOGLEFINANCE(C215, ""price"") / INDEX(GOOGLEFINANCE(C215, ""price"", EDATE(TODAY(), -3), TODAY()), 2, 2)) - 1, """")"),"")</f>
        <v/>
      </c>
      <c r="O215" s="21" t="str">
        <f>IFERROR(__xludf.DUMMYFUNCTION("IFERROR((GOOGLEFINANCE(C215, ""price"") / INDEX(GOOGLEFINANCE(C215, ""price"", EDATE(TODAY(), -6), TODAY()), 2, 2)) - 1, """")"),"")</f>
        <v/>
      </c>
      <c r="P215" s="21" t="str">
        <f>IFERROR(__xludf.DUMMYFUNCTION("IFERROR((GOOGLEFINANCE(C215, ""price"") / INDEX(GOOGLEFINANCE(C215, ""price"", EDATE(TODAY(), -12), TODAY()), 2, 2)) - 1, """")"),"")</f>
        <v/>
      </c>
      <c r="Q215" s="6" t="str">
        <f>IFERROR(__xludf.DUMMYFUNCTION("AVERAGE(QUERY(GOOGLEFINANCE(C215, ""price"", TODAY()-80, TODAY()), ""SELECT Col2 WHERE Col2 IS NOT NULL ORDER BY Col1 DESC LIMIT 50"", 0))"),"#N/A")</f>
        <v>#N/A</v>
      </c>
      <c r="R215" s="24" t="str">
        <f>IFERROR(__xludf.DUMMYFUNCTION("IFERROR(
  LET(
    data, QUERY(GOOGLEFINANCE(C215,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GOOGLEFINANCE(C215, ""price"")) * 100,
    IF(calc=0, G215, calc)
  ), 
G215)"),"#N/A")</f>
        <v>#N/A</v>
      </c>
      <c r="S215" s="8" t="s">
        <v>15</v>
      </c>
      <c r="T215" s="26" t="str">
        <f>IFERROR(__xludf.DUMMYFUNCTION("IFERROR(TRANSPOSE(QUERY(IFERROR(SORT(GOOGLEFINANCE(C215, ""price"", WORKDAY(TODAY(), -40), TODAY()), 1, FALSE)), ""select Col2 where Col2 is not null limit 22 label Col2 ''"", 0)), """")"),"")</f>
        <v/>
      </c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8"/>
      <c r="AO215" s="28"/>
      <c r="AP215" s="29"/>
      <c r="AQ215" s="29" t="str">
        <f t="shared" ref="AQ215:BL215" si="218">T215/T$2</f>
        <v>#N/A</v>
      </c>
      <c r="AR215" s="29" t="str">
        <f t="shared" si="218"/>
        <v>#DIV/0!</v>
      </c>
      <c r="AS215" s="29" t="str">
        <f t="shared" si="218"/>
        <v>#DIV/0!</v>
      </c>
      <c r="AT215" s="29" t="str">
        <f t="shared" si="218"/>
        <v>#DIV/0!</v>
      </c>
      <c r="AU215" s="29" t="str">
        <f t="shared" si="218"/>
        <v>#DIV/0!</v>
      </c>
      <c r="AV215" s="29" t="str">
        <f t="shared" si="218"/>
        <v>#DIV/0!</v>
      </c>
      <c r="AW215" s="29" t="str">
        <f t="shared" si="218"/>
        <v>#DIV/0!</v>
      </c>
      <c r="AX215" s="29" t="str">
        <f t="shared" si="218"/>
        <v>#DIV/0!</v>
      </c>
      <c r="AY215" s="29" t="str">
        <f t="shared" si="218"/>
        <v>#DIV/0!</v>
      </c>
      <c r="AZ215" s="29" t="str">
        <f t="shared" si="218"/>
        <v>#DIV/0!</v>
      </c>
      <c r="BA215" s="29" t="str">
        <f t="shared" si="218"/>
        <v>#DIV/0!</v>
      </c>
      <c r="BB215" s="29" t="str">
        <f t="shared" si="218"/>
        <v>#DIV/0!</v>
      </c>
      <c r="BC215" s="29" t="str">
        <f t="shared" si="218"/>
        <v>#DIV/0!</v>
      </c>
      <c r="BD215" s="29" t="str">
        <f t="shared" si="218"/>
        <v>#DIV/0!</v>
      </c>
      <c r="BE215" s="29" t="str">
        <f t="shared" si="218"/>
        <v>#DIV/0!</v>
      </c>
      <c r="BF215" s="29" t="str">
        <f t="shared" si="218"/>
        <v>#DIV/0!</v>
      </c>
      <c r="BG215" s="29" t="str">
        <f t="shared" si="218"/>
        <v>#DIV/0!</v>
      </c>
      <c r="BH215" s="29" t="str">
        <f t="shared" si="218"/>
        <v>#DIV/0!</v>
      </c>
      <c r="BI215" s="29" t="str">
        <f t="shared" si="218"/>
        <v>#DIV/0!</v>
      </c>
      <c r="BJ215" s="29" t="str">
        <f t="shared" si="218"/>
        <v>#DIV/0!</v>
      </c>
      <c r="BK215" s="29" t="str">
        <f t="shared" si="218"/>
        <v>#DIV/0!</v>
      </c>
      <c r="BL215" s="29" t="str">
        <f t="shared" si="218"/>
        <v>#DIV/0!</v>
      </c>
      <c r="BM215" s="29" t="str">
        <f t="shared" si="3"/>
        <v>#DIV/0!</v>
      </c>
    </row>
    <row r="216">
      <c r="A216" s="16" t="str">
        <f>IFERROR(__xludf.DUMMYFUNCTION("IFERROR(SPARKLINE(SORT(MAP(TRANSPOSE(AQ216:BL216), LAMBDA(val, IF(ISNUMBER(val), PERCENTRANK(AQ216:BL216, val)+0.01, 0))), SEQUENCE(COLUMNS(AQ216:BL216)), FALSE), {""charttype"",""column""; ""color"",""chartreuse""; ""ymin"", 0; ""ymax"", 1.01; ""highcolo"&amp;"r"", ""darkgreen""; ""lowcolor"", ""red""}), """")"),"")</f>
        <v/>
      </c>
      <c r="B216" s="17" t="str">
        <f t="shared" si="4"/>
        <v/>
      </c>
      <c r="C216" s="1" t="s">
        <v>905</v>
      </c>
      <c r="D216" s="30" t="str">
        <f>IFERROR(__xludf.DUMMYFUNCTION("IFERROR(GOOGLEFINANCE(C216, ""NAME""))"),"O-i Glass, Inc")</f>
        <v>O-i Glass, Inc</v>
      </c>
      <c r="E216" s="30" t="s">
        <v>195</v>
      </c>
      <c r="F216" s="33" t="str">
        <f>IFERROR(__xludf.DUMMYFUNCTION("( (GOOGLEFINANCE(C216, ""price"") - Q216) / Q216 ) / (R216 / 100)"),"Loading...")</f>
        <v>Loading...</v>
      </c>
      <c r="G216" s="20" t="str">
        <f>IFERROR(__xludf.DUMMYFUNCTION("AVERAGE(ARRAYFORMULA(100 * (QUERY(GOOGLEFINANCE(C216, ""high"", TODAY()-40, TODAY()), ""SELECT Col2 WHERE Col2 IS NOT NULL ORDER BY Col1 DESC LIMIT 20"", 0) / QUERY(GOOGLEFINANCE(C216, ""low"", TODAY()-40, TODAY()), ""SELECT Col2 WHERE Col2 IS NOT NULL OR"&amp;"DER BY Col1 DESC LIMIT 20"", 0) - 1)))"),"#N/A")</f>
        <v>#N/A</v>
      </c>
      <c r="H216" s="35" t="str">
        <f t="shared" si="6"/>
        <v/>
      </c>
      <c r="I216" s="35" t="str">
        <f t="shared" si="7"/>
        <v/>
      </c>
      <c r="J216" s="37" t="str">
        <f>IFERROR(__xludf.DUMMYFUNCTION("IFERROR(
  IF(C216="""",, 
    IFERROR(
      GOOGLEFINANCE(C216, ""price"") * GOOGLEFINANCE(C216, ""volumeavg""), 
      GOOGLEFINANCE(C216, ""price"") * AVERAGE(QUERY(GOOGLEFINANCE(C216, ""volume"", TODAY()-40, TODAY()), ""SELECT Col2 WHERE Col2 IS NOT "&amp;"NULL ORDER BY Col1 DESC LIMIT 20"", 0))
    )
  ), 
"""")"),"")</f>
        <v/>
      </c>
      <c r="K216" s="21" t="str">
        <f>IFERROR(__xludf.DUMMYFUNCTION("IFERROR(GOOGLEFINANCE(C216, ""changepct"") / 100, """")"),"")</f>
        <v/>
      </c>
      <c r="L216" s="21" t="str">
        <f>IFERROR(__xludf.DUMMYFUNCTION("IFERROR((GOOGLEFINANCE(C216, ""price"") / INDEX(GOOGLEFINANCE(C216, ""price"", TODAY()-7, TODAY()), 2, 2)) - 1, """")"),"")</f>
        <v/>
      </c>
      <c r="M216" s="21" t="str">
        <f>IFERROR(__xludf.DUMMYFUNCTION("IFERROR((GOOGLEFINANCE(C216, ""price"") / INDEX(GOOGLEFINANCE(C216, ""price"", EDATE(TODAY(), -1), TODAY()), 2, 2)) - 1, """")"),"")</f>
        <v/>
      </c>
      <c r="N216" s="21" t="str">
        <f>IFERROR(__xludf.DUMMYFUNCTION("IFERROR((GOOGLEFINANCE(C216, ""price"") / INDEX(GOOGLEFINANCE(C216, ""price"", EDATE(TODAY(), -3), TODAY()), 2, 2)) - 1, """")"),"")</f>
        <v/>
      </c>
      <c r="O216" s="21" t="str">
        <f>IFERROR(__xludf.DUMMYFUNCTION("IFERROR((GOOGLEFINANCE(C216, ""price"") / INDEX(GOOGLEFINANCE(C216, ""price"", EDATE(TODAY(), -6), TODAY()), 2, 2)) - 1, """")"),"")</f>
        <v/>
      </c>
      <c r="P216" s="21" t="str">
        <f>IFERROR(__xludf.DUMMYFUNCTION("IFERROR((GOOGLEFINANCE(C216, ""price"") / INDEX(GOOGLEFINANCE(C216, ""price"", EDATE(TODAY(), -12), TODAY()), 2, 2)) - 1, """")"),"")</f>
        <v/>
      </c>
      <c r="Q216" s="6" t="str">
        <f>IFERROR(__xludf.DUMMYFUNCTION("AVERAGE(QUERY(GOOGLEFINANCE(C216, ""price"", TODAY()-80, TODAY()), ""SELECT Col2 WHERE Col2 IS NOT NULL ORDER BY Col1 DESC LIMIT 50"", 0))"),"#N/A")</f>
        <v>#N/A</v>
      </c>
      <c r="R216" s="24" t="str">
        <f>IFERROR(__xludf.DUMMYFUNCTION("IFERROR(
  LET(
    data, QUERY(GOOGLEFINANCE(C216,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GOOGLEFINANCE(C216, ""price"")) * 100,
    IF(calc=0, G216, calc)
  ), 
G216)"),"#N/A")</f>
        <v>#N/A</v>
      </c>
      <c r="S216" s="8" t="s">
        <v>15</v>
      </c>
      <c r="T216" s="26" t="str">
        <f>IFERROR(__xludf.DUMMYFUNCTION("IFERROR(TRANSPOSE(QUERY(IFERROR(SORT(GOOGLEFINANCE(C216, ""price"", WORKDAY(TODAY(), -40), TODAY()), 1, FALSE)), ""select Col2 where Col2 is not null limit 22 label Col2 ''"", 0)), """")"),"")</f>
        <v/>
      </c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8"/>
      <c r="AO216" s="28"/>
      <c r="AP216" s="29"/>
      <c r="AQ216" s="29" t="str">
        <f t="shared" ref="AQ216:BL216" si="219">T216/T$2</f>
        <v>#N/A</v>
      </c>
      <c r="AR216" s="29" t="str">
        <f t="shared" si="219"/>
        <v>#DIV/0!</v>
      </c>
      <c r="AS216" s="29" t="str">
        <f t="shared" si="219"/>
        <v>#DIV/0!</v>
      </c>
      <c r="AT216" s="29" t="str">
        <f t="shared" si="219"/>
        <v>#DIV/0!</v>
      </c>
      <c r="AU216" s="29" t="str">
        <f t="shared" si="219"/>
        <v>#DIV/0!</v>
      </c>
      <c r="AV216" s="29" t="str">
        <f t="shared" si="219"/>
        <v>#DIV/0!</v>
      </c>
      <c r="AW216" s="29" t="str">
        <f t="shared" si="219"/>
        <v>#DIV/0!</v>
      </c>
      <c r="AX216" s="29" t="str">
        <f t="shared" si="219"/>
        <v>#DIV/0!</v>
      </c>
      <c r="AY216" s="29" t="str">
        <f t="shared" si="219"/>
        <v>#DIV/0!</v>
      </c>
      <c r="AZ216" s="29" t="str">
        <f t="shared" si="219"/>
        <v>#DIV/0!</v>
      </c>
      <c r="BA216" s="29" t="str">
        <f t="shared" si="219"/>
        <v>#DIV/0!</v>
      </c>
      <c r="BB216" s="29" t="str">
        <f t="shared" si="219"/>
        <v>#DIV/0!</v>
      </c>
      <c r="BC216" s="29" t="str">
        <f t="shared" si="219"/>
        <v>#DIV/0!</v>
      </c>
      <c r="BD216" s="29" t="str">
        <f t="shared" si="219"/>
        <v>#DIV/0!</v>
      </c>
      <c r="BE216" s="29" t="str">
        <f t="shared" si="219"/>
        <v>#DIV/0!</v>
      </c>
      <c r="BF216" s="29" t="str">
        <f t="shared" si="219"/>
        <v>#DIV/0!</v>
      </c>
      <c r="BG216" s="29" t="str">
        <f t="shared" si="219"/>
        <v>#DIV/0!</v>
      </c>
      <c r="BH216" s="29" t="str">
        <f t="shared" si="219"/>
        <v>#DIV/0!</v>
      </c>
      <c r="BI216" s="29" t="str">
        <f t="shared" si="219"/>
        <v>#DIV/0!</v>
      </c>
      <c r="BJ216" s="29" t="str">
        <f t="shared" si="219"/>
        <v>#DIV/0!</v>
      </c>
      <c r="BK216" s="29" t="str">
        <f t="shared" si="219"/>
        <v>#DIV/0!</v>
      </c>
      <c r="BL216" s="29" t="str">
        <f t="shared" si="219"/>
        <v>#DIV/0!</v>
      </c>
      <c r="BM216" s="29" t="str">
        <f t="shared" si="3"/>
        <v>#DIV/0!</v>
      </c>
    </row>
    <row r="217">
      <c r="A217" s="16" t="str">
        <f>IFERROR(__xludf.DUMMYFUNCTION("IFERROR(SPARKLINE(SORT(MAP(TRANSPOSE(AQ217:BL217), LAMBDA(val, IF(ISNUMBER(val), PERCENTRANK(AQ217:BL217, val)+0.01, 0))), SEQUENCE(COLUMNS(AQ217:BL217)), FALSE), {""charttype"",""column""; ""color"",""chartreuse""; ""ymin"", 0; ""ymax"", 1.01; ""highcolo"&amp;"r"", ""darkgreen""; ""lowcolor"", ""red""}), """")"),"")</f>
        <v/>
      </c>
      <c r="B217" s="17" t="str">
        <f t="shared" si="4"/>
        <v/>
      </c>
      <c r="C217" s="1" t="s">
        <v>908</v>
      </c>
      <c r="D217" s="30" t="str">
        <f>IFERROR(__xludf.DUMMYFUNCTION("IFERROR(GOOGLEFINANCE(C217, ""NAME""))"),"Amer Sports Inc")</f>
        <v>Amer Sports Inc</v>
      </c>
      <c r="E217" s="30" t="s">
        <v>158</v>
      </c>
      <c r="F217" s="33" t="str">
        <f>IFERROR(__xludf.DUMMYFUNCTION("( (GOOGLEFINANCE(C217, ""price"") - Q217) / Q217 ) / (R217 / 100)"),"Loading...")</f>
        <v>Loading...</v>
      </c>
      <c r="G217" s="20" t="str">
        <f>IFERROR(__xludf.DUMMYFUNCTION("AVERAGE(ARRAYFORMULA(100 * (QUERY(GOOGLEFINANCE(C217, ""high"", TODAY()-40, TODAY()), ""SELECT Col2 WHERE Col2 IS NOT NULL ORDER BY Col1 DESC LIMIT 20"", 0) / QUERY(GOOGLEFINANCE(C217, ""low"", TODAY()-40, TODAY()), ""SELECT Col2 WHERE Col2 IS NOT NULL OR"&amp;"DER BY Col1 DESC LIMIT 20"", 0) - 1)))"),"#N/A")</f>
        <v>#N/A</v>
      </c>
      <c r="H217" s="35" t="str">
        <f t="shared" si="6"/>
        <v/>
      </c>
      <c r="I217" s="35" t="str">
        <f t="shared" si="7"/>
        <v/>
      </c>
      <c r="J217" s="37" t="str">
        <f>IFERROR(__xludf.DUMMYFUNCTION("IFERROR(
  IF(C217="""",, 
    IFERROR(
      GOOGLEFINANCE(C217, ""price"") * GOOGLEFINANCE(C217, ""volumeavg""), 
      GOOGLEFINANCE(C217, ""price"") * AVERAGE(QUERY(GOOGLEFINANCE(C217, ""volume"", TODAY()-40, TODAY()), ""SELECT Col2 WHERE Col2 IS NOT "&amp;"NULL ORDER BY Col1 DESC LIMIT 20"", 0))
    )
  ), 
"""")"),"")</f>
        <v/>
      </c>
      <c r="K217" s="21" t="str">
        <f>IFERROR(__xludf.DUMMYFUNCTION("IFERROR(GOOGLEFINANCE(C217, ""changepct"") / 100, """")"),"")</f>
        <v/>
      </c>
      <c r="L217" s="21" t="str">
        <f>IFERROR(__xludf.DUMMYFUNCTION("IFERROR((GOOGLEFINANCE(C217, ""price"") / INDEX(GOOGLEFINANCE(C217, ""price"", TODAY()-7, TODAY()), 2, 2)) - 1, """")"),"")</f>
        <v/>
      </c>
      <c r="M217" s="21" t="str">
        <f>IFERROR(__xludf.DUMMYFUNCTION("IFERROR((GOOGLEFINANCE(C217, ""price"") / INDEX(GOOGLEFINANCE(C217, ""price"", EDATE(TODAY(), -1), TODAY()), 2, 2)) - 1, """")"),"")</f>
        <v/>
      </c>
      <c r="N217" s="21" t="str">
        <f>IFERROR(__xludf.DUMMYFUNCTION("IFERROR((GOOGLEFINANCE(C217, ""price"") / INDEX(GOOGLEFINANCE(C217, ""price"", EDATE(TODAY(), -3), TODAY()), 2, 2)) - 1, """")"),"")</f>
        <v/>
      </c>
      <c r="O217" s="21" t="str">
        <f>IFERROR(__xludf.DUMMYFUNCTION("IFERROR((GOOGLEFINANCE(C217, ""price"") / INDEX(GOOGLEFINANCE(C217, ""price"", EDATE(TODAY(), -6), TODAY()), 2, 2)) - 1, """")"),"")</f>
        <v/>
      </c>
      <c r="P217" s="21" t="str">
        <f>IFERROR(__xludf.DUMMYFUNCTION("IFERROR((GOOGLEFINANCE(C217, ""price"") / INDEX(GOOGLEFINANCE(C217, ""price"", EDATE(TODAY(), -12), TODAY()), 2, 2)) - 1, """")"),"")</f>
        <v/>
      </c>
      <c r="Q217" s="6" t="str">
        <f>IFERROR(__xludf.DUMMYFUNCTION("AVERAGE(QUERY(GOOGLEFINANCE(C217, ""price"", TODAY()-80, TODAY()), ""SELECT Col2 WHERE Col2 IS NOT NULL ORDER BY Col1 DESC LIMIT 50"", 0))"),"#N/A")</f>
        <v>#N/A</v>
      </c>
      <c r="R217" s="24" t="str">
        <f>IFERROR(__xludf.DUMMYFUNCTION("IFERROR(
  LET(
    data, QUERY(GOOGLEFINANCE(C217,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GOOGLEFINANCE(C217, ""price"")) * 100,
    IF(calc=0, G217, calc)
  ), 
G217)"),"#N/A")</f>
        <v>#N/A</v>
      </c>
      <c r="S217" s="8" t="s">
        <v>15</v>
      </c>
      <c r="T217" s="26" t="str">
        <f>IFERROR(__xludf.DUMMYFUNCTION("IFERROR(TRANSPOSE(QUERY(IFERROR(SORT(GOOGLEFINANCE(C217, ""price"", WORKDAY(TODAY(), -40), TODAY()), 1, FALSE)), ""select Col2 where Col2 is not null limit 22 label Col2 ''"", 0)), """")"),"")</f>
        <v/>
      </c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8"/>
      <c r="AO217" s="28"/>
      <c r="AP217" s="29"/>
      <c r="AQ217" s="29" t="str">
        <f t="shared" ref="AQ217:BL217" si="220">T217/T$2</f>
        <v>#N/A</v>
      </c>
      <c r="AR217" s="29" t="str">
        <f t="shared" si="220"/>
        <v>#DIV/0!</v>
      </c>
      <c r="AS217" s="29" t="str">
        <f t="shared" si="220"/>
        <v>#DIV/0!</v>
      </c>
      <c r="AT217" s="29" t="str">
        <f t="shared" si="220"/>
        <v>#DIV/0!</v>
      </c>
      <c r="AU217" s="29" t="str">
        <f t="shared" si="220"/>
        <v>#DIV/0!</v>
      </c>
      <c r="AV217" s="29" t="str">
        <f t="shared" si="220"/>
        <v>#DIV/0!</v>
      </c>
      <c r="AW217" s="29" t="str">
        <f t="shared" si="220"/>
        <v>#DIV/0!</v>
      </c>
      <c r="AX217" s="29" t="str">
        <f t="shared" si="220"/>
        <v>#DIV/0!</v>
      </c>
      <c r="AY217" s="29" t="str">
        <f t="shared" si="220"/>
        <v>#DIV/0!</v>
      </c>
      <c r="AZ217" s="29" t="str">
        <f t="shared" si="220"/>
        <v>#DIV/0!</v>
      </c>
      <c r="BA217" s="29" t="str">
        <f t="shared" si="220"/>
        <v>#DIV/0!</v>
      </c>
      <c r="BB217" s="29" t="str">
        <f t="shared" si="220"/>
        <v>#DIV/0!</v>
      </c>
      <c r="BC217" s="29" t="str">
        <f t="shared" si="220"/>
        <v>#DIV/0!</v>
      </c>
      <c r="BD217" s="29" t="str">
        <f t="shared" si="220"/>
        <v>#DIV/0!</v>
      </c>
      <c r="BE217" s="29" t="str">
        <f t="shared" si="220"/>
        <v>#DIV/0!</v>
      </c>
      <c r="BF217" s="29" t="str">
        <f t="shared" si="220"/>
        <v>#DIV/0!</v>
      </c>
      <c r="BG217" s="29" t="str">
        <f t="shared" si="220"/>
        <v>#DIV/0!</v>
      </c>
      <c r="BH217" s="29" t="str">
        <f t="shared" si="220"/>
        <v>#DIV/0!</v>
      </c>
      <c r="BI217" s="29" t="str">
        <f t="shared" si="220"/>
        <v>#DIV/0!</v>
      </c>
      <c r="BJ217" s="29" t="str">
        <f t="shared" si="220"/>
        <v>#DIV/0!</v>
      </c>
      <c r="BK217" s="29" t="str">
        <f t="shared" si="220"/>
        <v>#DIV/0!</v>
      </c>
      <c r="BL217" s="29" t="str">
        <f t="shared" si="220"/>
        <v>#DIV/0!</v>
      </c>
      <c r="BM217" s="29" t="str">
        <f t="shared" si="3"/>
        <v>#DIV/0!</v>
      </c>
    </row>
    <row r="218">
      <c r="A218" s="16" t="str">
        <f>IFERROR(__xludf.DUMMYFUNCTION("IFERROR(SPARKLINE(SORT(MAP(TRANSPOSE(AQ218:BL218), LAMBDA(val, IF(ISNUMBER(val), PERCENTRANK(AQ218:BL218, val)+0.01, 0))), SEQUENCE(COLUMNS(AQ218:BL218)), FALSE), {""charttype"",""column""; ""color"",""chartreuse""; ""ymin"", 0; ""ymax"", 1.01; ""highcolo"&amp;"r"", ""darkgreen""; ""lowcolor"", ""red""}), """")"),"")</f>
        <v/>
      </c>
      <c r="B218" s="17" t="str">
        <f t="shared" si="4"/>
        <v/>
      </c>
      <c r="C218" s="1" t="s">
        <v>912</v>
      </c>
      <c r="D218" s="30" t="str">
        <f>IFERROR(__xludf.DUMMYFUNCTION("IFERROR(GOOGLEFINANCE(C218, ""NAME""))"),"Travel + Leisure Co")</f>
        <v>Travel + Leisure Co</v>
      </c>
      <c r="E218" s="30" t="s">
        <v>248</v>
      </c>
      <c r="F218" s="33" t="str">
        <f>IFERROR(__xludf.DUMMYFUNCTION("( (GOOGLEFINANCE(C218, ""price"") - Q218) / Q218 ) / (R218 / 100)"),"Loading...")</f>
        <v>Loading...</v>
      </c>
      <c r="G218" s="20" t="str">
        <f>IFERROR(__xludf.DUMMYFUNCTION("AVERAGE(ARRAYFORMULA(100 * (QUERY(GOOGLEFINANCE(C218, ""high"", TODAY()-40, TODAY()), ""SELECT Col2 WHERE Col2 IS NOT NULL ORDER BY Col1 DESC LIMIT 20"", 0) / QUERY(GOOGLEFINANCE(C218, ""low"", TODAY()-40, TODAY()), ""SELECT Col2 WHERE Col2 IS NOT NULL OR"&amp;"DER BY Col1 DESC LIMIT 20"", 0) - 1)))"),"#N/A")</f>
        <v>#N/A</v>
      </c>
      <c r="H218" s="35" t="str">
        <f t="shared" si="6"/>
        <v/>
      </c>
      <c r="I218" s="35" t="str">
        <f t="shared" si="7"/>
        <v/>
      </c>
      <c r="J218" s="37" t="str">
        <f>IFERROR(__xludf.DUMMYFUNCTION("IFERROR(
  IF(C218="""",, 
    IFERROR(
      GOOGLEFINANCE(C218, ""price"") * GOOGLEFINANCE(C218, ""volumeavg""), 
      GOOGLEFINANCE(C218, ""price"") * AVERAGE(QUERY(GOOGLEFINANCE(C218, ""volume"", TODAY()-40, TODAY()), ""SELECT Col2 WHERE Col2 IS NOT "&amp;"NULL ORDER BY Col1 DESC LIMIT 20"", 0))
    )
  ), 
"""")"),"")</f>
        <v/>
      </c>
      <c r="K218" s="21" t="str">
        <f>IFERROR(__xludf.DUMMYFUNCTION("IFERROR(GOOGLEFINANCE(C218, ""changepct"") / 100, """")"),"")</f>
        <v/>
      </c>
      <c r="L218" s="21" t="str">
        <f>IFERROR(__xludf.DUMMYFUNCTION("IFERROR((GOOGLEFINANCE(C218, ""price"") / INDEX(GOOGLEFINANCE(C218, ""price"", TODAY()-7, TODAY()), 2, 2)) - 1, """")"),"")</f>
        <v/>
      </c>
      <c r="M218" s="21" t="str">
        <f>IFERROR(__xludf.DUMMYFUNCTION("IFERROR((GOOGLEFINANCE(C218, ""price"") / INDEX(GOOGLEFINANCE(C218, ""price"", EDATE(TODAY(), -1), TODAY()), 2, 2)) - 1, """")"),"")</f>
        <v/>
      </c>
      <c r="N218" s="21" t="str">
        <f>IFERROR(__xludf.DUMMYFUNCTION("IFERROR((GOOGLEFINANCE(C218, ""price"") / INDEX(GOOGLEFINANCE(C218, ""price"", EDATE(TODAY(), -3), TODAY()), 2, 2)) - 1, """")"),"")</f>
        <v/>
      </c>
      <c r="O218" s="21" t="str">
        <f>IFERROR(__xludf.DUMMYFUNCTION("IFERROR((GOOGLEFINANCE(C218, ""price"") / INDEX(GOOGLEFINANCE(C218, ""price"", EDATE(TODAY(), -6), TODAY()), 2, 2)) - 1, """")"),"")</f>
        <v/>
      </c>
      <c r="P218" s="21" t="str">
        <f>IFERROR(__xludf.DUMMYFUNCTION("IFERROR((GOOGLEFINANCE(C218, ""price"") / INDEX(GOOGLEFINANCE(C218, ""price"", EDATE(TODAY(), -12), TODAY()), 2, 2)) - 1, """")"),"")</f>
        <v/>
      </c>
      <c r="Q218" s="6" t="str">
        <f>IFERROR(__xludf.DUMMYFUNCTION("AVERAGE(QUERY(GOOGLEFINANCE(C218, ""price"", TODAY()-80, TODAY()), ""SELECT Col2 WHERE Col2 IS NOT NULL ORDER BY Col1 DESC LIMIT 50"", 0))"),"#N/A")</f>
        <v>#N/A</v>
      </c>
      <c r="R218" s="24" t="str">
        <f>IFERROR(__xludf.DUMMYFUNCTION("IFERROR(
  LET(
    data, QUERY(GOOGLEFINANCE(C218,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GOOGLEFINANCE(C218, ""price"")) * 100,
    IF(calc=0, G218, calc)
  ), 
G218)"),"#N/A")</f>
        <v>#N/A</v>
      </c>
      <c r="S218" s="8" t="s">
        <v>15</v>
      </c>
      <c r="T218" s="26" t="str">
        <f>IFERROR(__xludf.DUMMYFUNCTION("IFERROR(TRANSPOSE(QUERY(IFERROR(SORT(GOOGLEFINANCE(C218, ""price"", WORKDAY(TODAY(), -40), TODAY()), 1, FALSE)), ""select Col2 where Col2 is not null limit 22 label Col2 ''"", 0)), """")"),"")</f>
        <v/>
      </c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8"/>
      <c r="AO218" s="28"/>
      <c r="AP218" s="29"/>
      <c r="AQ218" s="29" t="str">
        <f t="shared" ref="AQ218:BL218" si="221">T218/T$2</f>
        <v>#N/A</v>
      </c>
      <c r="AR218" s="29" t="str">
        <f t="shared" si="221"/>
        <v>#DIV/0!</v>
      </c>
      <c r="AS218" s="29" t="str">
        <f t="shared" si="221"/>
        <v>#DIV/0!</v>
      </c>
      <c r="AT218" s="29" t="str">
        <f t="shared" si="221"/>
        <v>#DIV/0!</v>
      </c>
      <c r="AU218" s="29" t="str">
        <f t="shared" si="221"/>
        <v>#DIV/0!</v>
      </c>
      <c r="AV218" s="29" t="str">
        <f t="shared" si="221"/>
        <v>#DIV/0!</v>
      </c>
      <c r="AW218" s="29" t="str">
        <f t="shared" si="221"/>
        <v>#DIV/0!</v>
      </c>
      <c r="AX218" s="29" t="str">
        <f t="shared" si="221"/>
        <v>#DIV/0!</v>
      </c>
      <c r="AY218" s="29" t="str">
        <f t="shared" si="221"/>
        <v>#DIV/0!</v>
      </c>
      <c r="AZ218" s="29" t="str">
        <f t="shared" si="221"/>
        <v>#DIV/0!</v>
      </c>
      <c r="BA218" s="29" t="str">
        <f t="shared" si="221"/>
        <v>#DIV/0!</v>
      </c>
      <c r="BB218" s="29" t="str">
        <f t="shared" si="221"/>
        <v>#DIV/0!</v>
      </c>
      <c r="BC218" s="29" t="str">
        <f t="shared" si="221"/>
        <v>#DIV/0!</v>
      </c>
      <c r="BD218" s="29" t="str">
        <f t="shared" si="221"/>
        <v>#DIV/0!</v>
      </c>
      <c r="BE218" s="29" t="str">
        <f t="shared" si="221"/>
        <v>#DIV/0!</v>
      </c>
      <c r="BF218" s="29" t="str">
        <f t="shared" si="221"/>
        <v>#DIV/0!</v>
      </c>
      <c r="BG218" s="29" t="str">
        <f t="shared" si="221"/>
        <v>#DIV/0!</v>
      </c>
      <c r="BH218" s="29" t="str">
        <f t="shared" si="221"/>
        <v>#DIV/0!</v>
      </c>
      <c r="BI218" s="29" t="str">
        <f t="shared" si="221"/>
        <v>#DIV/0!</v>
      </c>
      <c r="BJ218" s="29" t="str">
        <f t="shared" si="221"/>
        <v>#DIV/0!</v>
      </c>
      <c r="BK218" s="29" t="str">
        <f t="shared" si="221"/>
        <v>#DIV/0!</v>
      </c>
      <c r="BL218" s="29" t="str">
        <f t="shared" si="221"/>
        <v>#DIV/0!</v>
      </c>
      <c r="BM218" s="29" t="str">
        <f t="shared" si="3"/>
        <v>#DIV/0!</v>
      </c>
    </row>
    <row r="219">
      <c r="A219" s="16" t="str">
        <f>IFERROR(__xludf.DUMMYFUNCTION("IFERROR(SPARKLINE(SORT(MAP(TRANSPOSE(AQ219:BL219), LAMBDA(val, IF(ISNUMBER(val), PERCENTRANK(AQ219:BL219, val)+0.01, 0))), SEQUENCE(COLUMNS(AQ219:BL219)), FALSE), {""charttype"",""column""; ""color"",""chartreuse""; ""ymin"", 0; ""ymax"", 1.01; ""highcolo"&amp;"r"", ""darkgreen""; ""lowcolor"", ""red""}), """")"),"")</f>
        <v/>
      </c>
      <c r="B219" s="17" t="str">
        <f t="shared" si="4"/>
        <v/>
      </c>
      <c r="C219" s="1" t="s">
        <v>917</v>
      </c>
      <c r="D219" s="30" t="str">
        <f>IFERROR(__xludf.DUMMYFUNCTION("IFERROR(GOOGLEFINANCE(C219, ""NAME""))"),"Cheesecake Factory Inc")</f>
        <v>Cheesecake Factory Inc</v>
      </c>
      <c r="E219" s="30" t="s">
        <v>126</v>
      </c>
      <c r="F219" s="33" t="str">
        <f>IFERROR(__xludf.DUMMYFUNCTION("( (GOOGLEFINANCE(C219, ""price"") - Q219) / Q219 ) / (R219 / 100)"),"Loading...")</f>
        <v>Loading...</v>
      </c>
      <c r="G219" s="20" t="str">
        <f>IFERROR(__xludf.DUMMYFUNCTION("AVERAGE(ARRAYFORMULA(100 * (QUERY(GOOGLEFINANCE(C219, ""high"", TODAY()-40, TODAY()), ""SELECT Col2 WHERE Col2 IS NOT NULL ORDER BY Col1 DESC LIMIT 20"", 0) / QUERY(GOOGLEFINANCE(C219, ""low"", TODAY()-40, TODAY()), ""SELECT Col2 WHERE Col2 IS NOT NULL OR"&amp;"DER BY Col1 DESC LIMIT 20"", 0) - 1)))"),"#N/A")</f>
        <v>#N/A</v>
      </c>
      <c r="H219" s="35" t="str">
        <f t="shared" si="6"/>
        <v/>
      </c>
      <c r="I219" s="35" t="str">
        <f t="shared" si="7"/>
        <v/>
      </c>
      <c r="J219" s="37" t="str">
        <f>IFERROR(__xludf.DUMMYFUNCTION("IFERROR(
  IF(C219="""",, 
    IFERROR(
      GOOGLEFINANCE(C219, ""price"") * GOOGLEFINANCE(C219, ""volumeavg""), 
      GOOGLEFINANCE(C219, ""price"") * AVERAGE(QUERY(GOOGLEFINANCE(C219, ""volume"", TODAY()-40, TODAY()), ""SELECT Col2 WHERE Col2 IS NOT "&amp;"NULL ORDER BY Col1 DESC LIMIT 20"", 0))
    )
  ), 
"""")"),"")</f>
        <v/>
      </c>
      <c r="K219" s="21" t="str">
        <f>IFERROR(__xludf.DUMMYFUNCTION("IFERROR(GOOGLEFINANCE(C219, ""changepct"") / 100, """")"),"")</f>
        <v/>
      </c>
      <c r="L219" s="21" t="str">
        <f>IFERROR(__xludf.DUMMYFUNCTION("IFERROR((GOOGLEFINANCE(C219, ""price"") / INDEX(GOOGLEFINANCE(C219, ""price"", TODAY()-7, TODAY()), 2, 2)) - 1, """")"),"")</f>
        <v/>
      </c>
      <c r="M219" s="21" t="str">
        <f>IFERROR(__xludf.DUMMYFUNCTION("IFERROR((GOOGLEFINANCE(C219, ""price"") / INDEX(GOOGLEFINANCE(C219, ""price"", EDATE(TODAY(), -1), TODAY()), 2, 2)) - 1, """")"),"")</f>
        <v/>
      </c>
      <c r="N219" s="21" t="str">
        <f>IFERROR(__xludf.DUMMYFUNCTION("IFERROR((GOOGLEFINANCE(C219, ""price"") / INDEX(GOOGLEFINANCE(C219, ""price"", EDATE(TODAY(), -3), TODAY()), 2, 2)) - 1, """")"),"")</f>
        <v/>
      </c>
      <c r="O219" s="21" t="str">
        <f>IFERROR(__xludf.DUMMYFUNCTION("IFERROR((GOOGLEFINANCE(C219, ""price"") / INDEX(GOOGLEFINANCE(C219, ""price"", EDATE(TODAY(), -6), TODAY()), 2, 2)) - 1, """")"),"")</f>
        <v/>
      </c>
      <c r="P219" s="21" t="str">
        <f>IFERROR(__xludf.DUMMYFUNCTION("IFERROR((GOOGLEFINANCE(C219, ""price"") / INDEX(GOOGLEFINANCE(C219, ""price"", EDATE(TODAY(), -12), TODAY()), 2, 2)) - 1, """")"),"")</f>
        <v/>
      </c>
      <c r="Q219" s="6" t="str">
        <f>IFERROR(__xludf.DUMMYFUNCTION("AVERAGE(QUERY(GOOGLEFINANCE(C219, ""price"", TODAY()-80, TODAY()), ""SELECT Col2 WHERE Col2 IS NOT NULL ORDER BY Col1 DESC LIMIT 50"", 0))"),"#N/A")</f>
        <v>#N/A</v>
      </c>
      <c r="R219" s="24" t="str">
        <f>IFERROR(__xludf.DUMMYFUNCTION("IFERROR(
  LET(
    data, QUERY(GOOGLEFINANCE(C219,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GOOGLEFINANCE(C219, ""price"")) * 100,
    IF(calc=0, G219, calc)
  ), 
G219)"),"#N/A")</f>
        <v>#N/A</v>
      </c>
      <c r="S219" s="8" t="s">
        <v>15</v>
      </c>
      <c r="T219" s="26" t="str">
        <f>IFERROR(__xludf.DUMMYFUNCTION("IFERROR(TRANSPOSE(QUERY(IFERROR(SORT(GOOGLEFINANCE(C219, ""price"", WORKDAY(TODAY(), -40), TODAY()), 1, FALSE)), ""select Col2 where Col2 is not null limit 22 label Col2 ''"", 0)), """")"),"")</f>
        <v/>
      </c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8"/>
      <c r="AO219" s="28"/>
      <c r="AP219" s="29"/>
      <c r="AQ219" s="29" t="str">
        <f t="shared" ref="AQ219:BL219" si="222">T219/T$2</f>
        <v>#N/A</v>
      </c>
      <c r="AR219" s="29" t="str">
        <f t="shared" si="222"/>
        <v>#DIV/0!</v>
      </c>
      <c r="AS219" s="29" t="str">
        <f t="shared" si="222"/>
        <v>#DIV/0!</v>
      </c>
      <c r="AT219" s="29" t="str">
        <f t="shared" si="222"/>
        <v>#DIV/0!</v>
      </c>
      <c r="AU219" s="29" t="str">
        <f t="shared" si="222"/>
        <v>#DIV/0!</v>
      </c>
      <c r="AV219" s="29" t="str">
        <f t="shared" si="222"/>
        <v>#DIV/0!</v>
      </c>
      <c r="AW219" s="29" t="str">
        <f t="shared" si="222"/>
        <v>#DIV/0!</v>
      </c>
      <c r="AX219" s="29" t="str">
        <f t="shared" si="222"/>
        <v>#DIV/0!</v>
      </c>
      <c r="AY219" s="29" t="str">
        <f t="shared" si="222"/>
        <v>#DIV/0!</v>
      </c>
      <c r="AZ219" s="29" t="str">
        <f t="shared" si="222"/>
        <v>#DIV/0!</v>
      </c>
      <c r="BA219" s="29" t="str">
        <f t="shared" si="222"/>
        <v>#DIV/0!</v>
      </c>
      <c r="BB219" s="29" t="str">
        <f t="shared" si="222"/>
        <v>#DIV/0!</v>
      </c>
      <c r="BC219" s="29" t="str">
        <f t="shared" si="222"/>
        <v>#DIV/0!</v>
      </c>
      <c r="BD219" s="29" t="str">
        <f t="shared" si="222"/>
        <v>#DIV/0!</v>
      </c>
      <c r="BE219" s="29" t="str">
        <f t="shared" si="222"/>
        <v>#DIV/0!</v>
      </c>
      <c r="BF219" s="29" t="str">
        <f t="shared" si="222"/>
        <v>#DIV/0!</v>
      </c>
      <c r="BG219" s="29" t="str">
        <f t="shared" si="222"/>
        <v>#DIV/0!</v>
      </c>
      <c r="BH219" s="29" t="str">
        <f t="shared" si="222"/>
        <v>#DIV/0!</v>
      </c>
      <c r="BI219" s="29" t="str">
        <f t="shared" si="222"/>
        <v>#DIV/0!</v>
      </c>
      <c r="BJ219" s="29" t="str">
        <f t="shared" si="222"/>
        <v>#DIV/0!</v>
      </c>
      <c r="BK219" s="29" t="str">
        <f t="shared" si="222"/>
        <v>#DIV/0!</v>
      </c>
      <c r="BL219" s="29" t="str">
        <f t="shared" si="222"/>
        <v>#DIV/0!</v>
      </c>
      <c r="BM219" s="29" t="str">
        <f t="shared" si="3"/>
        <v>#DIV/0!</v>
      </c>
    </row>
    <row r="220">
      <c r="A220" s="16" t="str">
        <f>IFERROR(__xludf.DUMMYFUNCTION("IFERROR(SPARKLINE(SORT(MAP(TRANSPOSE(AQ220:BL220), LAMBDA(val, IF(ISNUMBER(val), PERCENTRANK(AQ220:BL220, val)+0.01, 0))), SEQUENCE(COLUMNS(AQ220:BL220)), FALSE), {""charttype"",""column""; ""color"",""chartreuse""; ""ymin"", 0; ""ymax"", 1.01; ""highcolo"&amp;"r"", ""darkgreen""; ""lowcolor"", ""red""}), """")"),"")</f>
        <v/>
      </c>
      <c r="B220" s="17" t="str">
        <f t="shared" si="4"/>
        <v/>
      </c>
      <c r="C220" s="1" t="s">
        <v>921</v>
      </c>
      <c r="D220" s="30" t="str">
        <f>IFERROR(__xludf.DUMMYFUNCTION("IFERROR(GOOGLEFINANCE(C220, ""NAME""))"),"Best Buy Co Inc")</f>
        <v>Best Buy Co Inc</v>
      </c>
      <c r="E220" s="30" t="s">
        <v>184</v>
      </c>
      <c r="F220" s="33" t="str">
        <f>IFERROR(__xludf.DUMMYFUNCTION("( (GOOGLEFINANCE(C220, ""price"") - Q220) / Q220 ) / (R220 / 100)"),"Loading...")</f>
        <v>Loading...</v>
      </c>
      <c r="G220" s="20" t="str">
        <f>IFERROR(__xludf.DUMMYFUNCTION("AVERAGE(ARRAYFORMULA(100 * (QUERY(GOOGLEFINANCE(C220, ""high"", TODAY()-40, TODAY()), ""SELECT Col2 WHERE Col2 IS NOT NULL ORDER BY Col1 DESC LIMIT 20"", 0) / QUERY(GOOGLEFINANCE(C220, ""low"", TODAY()-40, TODAY()), ""SELECT Col2 WHERE Col2 IS NOT NULL OR"&amp;"DER BY Col1 DESC LIMIT 20"", 0) - 1)))"),"#N/A")</f>
        <v>#N/A</v>
      </c>
      <c r="H220" s="35" t="str">
        <f t="shared" si="6"/>
        <v/>
      </c>
      <c r="I220" s="35" t="str">
        <f t="shared" si="7"/>
        <v/>
      </c>
      <c r="J220" s="37" t="str">
        <f>IFERROR(__xludf.DUMMYFUNCTION("IFERROR(
  IF(C220="""",, 
    IFERROR(
      GOOGLEFINANCE(C220, ""price"") * GOOGLEFINANCE(C220, ""volumeavg""), 
      GOOGLEFINANCE(C220, ""price"") * AVERAGE(QUERY(GOOGLEFINANCE(C220, ""volume"", TODAY()-40, TODAY()), ""SELECT Col2 WHERE Col2 IS NOT "&amp;"NULL ORDER BY Col1 DESC LIMIT 20"", 0))
    )
  ), 
"""")"),"")</f>
        <v/>
      </c>
      <c r="K220" s="21" t="str">
        <f>IFERROR(__xludf.DUMMYFUNCTION("IFERROR(GOOGLEFINANCE(C220, ""changepct"") / 100, """")"),"")</f>
        <v/>
      </c>
      <c r="L220" s="21" t="str">
        <f>IFERROR(__xludf.DUMMYFUNCTION("IFERROR((GOOGLEFINANCE(C220, ""price"") / INDEX(GOOGLEFINANCE(C220, ""price"", TODAY()-7, TODAY()), 2, 2)) - 1, """")"),"")</f>
        <v/>
      </c>
      <c r="M220" s="21" t="str">
        <f>IFERROR(__xludf.DUMMYFUNCTION("IFERROR((GOOGLEFINANCE(C220, ""price"") / INDEX(GOOGLEFINANCE(C220, ""price"", EDATE(TODAY(), -1), TODAY()), 2, 2)) - 1, """")"),"")</f>
        <v/>
      </c>
      <c r="N220" s="21" t="str">
        <f>IFERROR(__xludf.DUMMYFUNCTION("IFERROR((GOOGLEFINANCE(C220, ""price"") / INDEX(GOOGLEFINANCE(C220, ""price"", EDATE(TODAY(), -3), TODAY()), 2, 2)) - 1, """")"),"")</f>
        <v/>
      </c>
      <c r="O220" s="21" t="str">
        <f>IFERROR(__xludf.DUMMYFUNCTION("IFERROR((GOOGLEFINANCE(C220, ""price"") / INDEX(GOOGLEFINANCE(C220, ""price"", EDATE(TODAY(), -6), TODAY()), 2, 2)) - 1, """")"),"")</f>
        <v/>
      </c>
      <c r="P220" s="21" t="str">
        <f>IFERROR(__xludf.DUMMYFUNCTION("IFERROR((GOOGLEFINANCE(C220, ""price"") / INDEX(GOOGLEFINANCE(C220, ""price"", EDATE(TODAY(), -12), TODAY()), 2, 2)) - 1, """")"),"")</f>
        <v/>
      </c>
      <c r="Q220" s="6" t="str">
        <f>IFERROR(__xludf.DUMMYFUNCTION("AVERAGE(QUERY(GOOGLEFINANCE(C220, ""price"", TODAY()-80, TODAY()), ""SELECT Col2 WHERE Col2 IS NOT NULL ORDER BY Col1 DESC LIMIT 50"", 0))"),"#N/A")</f>
        <v>#N/A</v>
      </c>
      <c r="R220" s="24" t="str">
        <f>IFERROR(__xludf.DUMMYFUNCTION("IFERROR(
  LET(
    data, QUERY(GOOGLEFINANCE(C220,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GOOGLEFINANCE(C220, ""price"")) * 100,
    IF(calc=0, G220, calc)
  ), 
G220)"),"#N/A")</f>
        <v>#N/A</v>
      </c>
      <c r="S220" s="8" t="s">
        <v>15</v>
      </c>
      <c r="T220" s="26" t="str">
        <f>IFERROR(__xludf.DUMMYFUNCTION("IFERROR(TRANSPOSE(QUERY(IFERROR(SORT(GOOGLEFINANCE(C220, ""price"", WORKDAY(TODAY(), -40), TODAY()), 1, FALSE)), ""select Col2 where Col2 is not null limit 22 label Col2 ''"", 0)), """")"),"")</f>
        <v/>
      </c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8"/>
      <c r="AO220" s="28"/>
      <c r="AP220" s="29"/>
      <c r="AQ220" s="29" t="str">
        <f t="shared" ref="AQ220:BL220" si="223">T220/T$2</f>
        <v>#N/A</v>
      </c>
      <c r="AR220" s="29" t="str">
        <f t="shared" si="223"/>
        <v>#DIV/0!</v>
      </c>
      <c r="AS220" s="29" t="str">
        <f t="shared" si="223"/>
        <v>#DIV/0!</v>
      </c>
      <c r="AT220" s="29" t="str">
        <f t="shared" si="223"/>
        <v>#DIV/0!</v>
      </c>
      <c r="AU220" s="29" t="str">
        <f t="shared" si="223"/>
        <v>#DIV/0!</v>
      </c>
      <c r="AV220" s="29" t="str">
        <f t="shared" si="223"/>
        <v>#DIV/0!</v>
      </c>
      <c r="AW220" s="29" t="str">
        <f t="shared" si="223"/>
        <v>#DIV/0!</v>
      </c>
      <c r="AX220" s="29" t="str">
        <f t="shared" si="223"/>
        <v>#DIV/0!</v>
      </c>
      <c r="AY220" s="29" t="str">
        <f t="shared" si="223"/>
        <v>#DIV/0!</v>
      </c>
      <c r="AZ220" s="29" t="str">
        <f t="shared" si="223"/>
        <v>#DIV/0!</v>
      </c>
      <c r="BA220" s="29" t="str">
        <f t="shared" si="223"/>
        <v>#DIV/0!</v>
      </c>
      <c r="BB220" s="29" t="str">
        <f t="shared" si="223"/>
        <v>#DIV/0!</v>
      </c>
      <c r="BC220" s="29" t="str">
        <f t="shared" si="223"/>
        <v>#DIV/0!</v>
      </c>
      <c r="BD220" s="29" t="str">
        <f t="shared" si="223"/>
        <v>#DIV/0!</v>
      </c>
      <c r="BE220" s="29" t="str">
        <f t="shared" si="223"/>
        <v>#DIV/0!</v>
      </c>
      <c r="BF220" s="29" t="str">
        <f t="shared" si="223"/>
        <v>#DIV/0!</v>
      </c>
      <c r="BG220" s="29" t="str">
        <f t="shared" si="223"/>
        <v>#DIV/0!</v>
      </c>
      <c r="BH220" s="29" t="str">
        <f t="shared" si="223"/>
        <v>#DIV/0!</v>
      </c>
      <c r="BI220" s="29" t="str">
        <f t="shared" si="223"/>
        <v>#DIV/0!</v>
      </c>
      <c r="BJ220" s="29" t="str">
        <f t="shared" si="223"/>
        <v>#DIV/0!</v>
      </c>
      <c r="BK220" s="29" t="str">
        <f t="shared" si="223"/>
        <v>#DIV/0!</v>
      </c>
      <c r="BL220" s="29" t="str">
        <f t="shared" si="223"/>
        <v>#DIV/0!</v>
      </c>
      <c r="BM220" s="29" t="str">
        <f t="shared" si="3"/>
        <v>#DIV/0!</v>
      </c>
    </row>
    <row r="221">
      <c r="A221" s="16" t="str">
        <f>IFERROR(__xludf.DUMMYFUNCTION("IFERROR(SPARKLINE(SORT(MAP(TRANSPOSE(AQ221:BL221), LAMBDA(val, IF(ISNUMBER(val), PERCENTRANK(AQ221:BL221, val)+0.01, 0))), SEQUENCE(COLUMNS(AQ221:BL221)), FALSE), {""charttype"",""column""; ""color"",""chartreuse""; ""ymin"", 0; ""ymax"", 1.01; ""highcolo"&amp;"r"", ""darkgreen""; ""lowcolor"", ""red""}), """")"),"")</f>
        <v/>
      </c>
      <c r="B221" s="17" t="str">
        <f t="shared" si="4"/>
        <v/>
      </c>
      <c r="C221" s="1" t="s">
        <v>925</v>
      </c>
      <c r="D221" s="30" t="str">
        <f>IFERROR(__xludf.DUMMYFUNCTION("IFERROR(GOOGLEFINANCE(C221, ""NAME""))"),"National Vision Holdings Inc")</f>
        <v>National Vision Holdings Inc</v>
      </c>
      <c r="E221" s="30" t="s">
        <v>184</v>
      </c>
      <c r="F221" s="33" t="str">
        <f>IFERROR(__xludf.DUMMYFUNCTION("( (GOOGLEFINANCE(C221, ""price"") - Q221) / Q221 ) / (R221 / 100)"),"Loading...")</f>
        <v>Loading...</v>
      </c>
      <c r="G221" s="20" t="str">
        <f>IFERROR(__xludf.DUMMYFUNCTION("AVERAGE(ARRAYFORMULA(100 * (QUERY(GOOGLEFINANCE(C221, ""high"", TODAY()-40, TODAY()), ""SELECT Col2 WHERE Col2 IS NOT NULL ORDER BY Col1 DESC LIMIT 20"", 0) / QUERY(GOOGLEFINANCE(C221, ""low"", TODAY()-40, TODAY()), ""SELECT Col2 WHERE Col2 IS NOT NULL OR"&amp;"DER BY Col1 DESC LIMIT 20"", 0) - 1)))"),"#N/A")</f>
        <v>#N/A</v>
      </c>
      <c r="H221" s="35" t="str">
        <f t="shared" si="6"/>
        <v/>
      </c>
      <c r="I221" s="35" t="str">
        <f t="shared" si="7"/>
        <v/>
      </c>
      <c r="J221" s="37" t="str">
        <f>IFERROR(__xludf.DUMMYFUNCTION("IFERROR(
  IF(C221="""",, 
    IFERROR(
      GOOGLEFINANCE(C221, ""price"") * GOOGLEFINANCE(C221, ""volumeavg""), 
      GOOGLEFINANCE(C221, ""price"") * AVERAGE(QUERY(GOOGLEFINANCE(C221, ""volume"", TODAY()-40, TODAY()), ""SELECT Col2 WHERE Col2 IS NOT "&amp;"NULL ORDER BY Col1 DESC LIMIT 20"", 0))
    )
  ), 
"""")"),"")</f>
        <v/>
      </c>
      <c r="K221" s="21" t="str">
        <f>IFERROR(__xludf.DUMMYFUNCTION("IFERROR(GOOGLEFINANCE(C221, ""changepct"") / 100, """")"),"")</f>
        <v/>
      </c>
      <c r="L221" s="21" t="str">
        <f>IFERROR(__xludf.DUMMYFUNCTION("IFERROR((GOOGLEFINANCE(C221, ""price"") / INDEX(GOOGLEFINANCE(C221, ""price"", TODAY()-7, TODAY()), 2, 2)) - 1, """")"),"")</f>
        <v/>
      </c>
      <c r="M221" s="21" t="str">
        <f>IFERROR(__xludf.DUMMYFUNCTION("IFERROR((GOOGLEFINANCE(C221, ""price"") / INDEX(GOOGLEFINANCE(C221, ""price"", EDATE(TODAY(), -1), TODAY()), 2, 2)) - 1, """")"),"")</f>
        <v/>
      </c>
      <c r="N221" s="21" t="str">
        <f>IFERROR(__xludf.DUMMYFUNCTION("IFERROR((GOOGLEFINANCE(C221, ""price"") / INDEX(GOOGLEFINANCE(C221, ""price"", EDATE(TODAY(), -3), TODAY()), 2, 2)) - 1, """")"),"")</f>
        <v/>
      </c>
      <c r="O221" s="21" t="str">
        <f>IFERROR(__xludf.DUMMYFUNCTION("IFERROR((GOOGLEFINANCE(C221, ""price"") / INDEX(GOOGLEFINANCE(C221, ""price"", EDATE(TODAY(), -6), TODAY()), 2, 2)) - 1, """")"),"")</f>
        <v/>
      </c>
      <c r="P221" s="21" t="str">
        <f>IFERROR(__xludf.DUMMYFUNCTION("IFERROR((GOOGLEFINANCE(C221, ""price"") / INDEX(GOOGLEFINANCE(C221, ""price"", EDATE(TODAY(), -12), TODAY()), 2, 2)) - 1, """")"),"")</f>
        <v/>
      </c>
      <c r="Q221" s="6" t="str">
        <f>IFERROR(__xludf.DUMMYFUNCTION("AVERAGE(QUERY(GOOGLEFINANCE(C221, ""price"", TODAY()-80, TODAY()), ""SELECT Col2 WHERE Col2 IS NOT NULL ORDER BY Col1 DESC LIMIT 50"", 0))"),"#N/A")</f>
        <v>#N/A</v>
      </c>
      <c r="R221" s="24" t="str">
        <f>IFERROR(__xludf.DUMMYFUNCTION("IFERROR(
  LET(
    data, QUERY(GOOGLEFINANCE(C221,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GOOGLEFINANCE(C221, ""price"")) * 100,
    IF(calc=0, G221, calc)
  ), 
G221)"),"#N/A")</f>
        <v>#N/A</v>
      </c>
      <c r="S221" s="8" t="s">
        <v>15</v>
      </c>
      <c r="T221" s="26" t="str">
        <f>IFERROR(__xludf.DUMMYFUNCTION("IFERROR(TRANSPOSE(QUERY(IFERROR(SORT(GOOGLEFINANCE(C221, ""price"", WORKDAY(TODAY(), -40), TODAY()), 1, FALSE)), ""select Col2 where Col2 is not null limit 22 label Col2 ''"", 0)), """")"),"")</f>
        <v/>
      </c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8"/>
      <c r="AO221" s="28"/>
      <c r="AP221" s="29"/>
      <c r="AQ221" s="29" t="str">
        <f t="shared" ref="AQ221:BL221" si="224">T221/T$2</f>
        <v>#N/A</v>
      </c>
      <c r="AR221" s="29" t="str">
        <f t="shared" si="224"/>
        <v>#DIV/0!</v>
      </c>
      <c r="AS221" s="29" t="str">
        <f t="shared" si="224"/>
        <v>#DIV/0!</v>
      </c>
      <c r="AT221" s="29" t="str">
        <f t="shared" si="224"/>
        <v>#DIV/0!</v>
      </c>
      <c r="AU221" s="29" t="str">
        <f t="shared" si="224"/>
        <v>#DIV/0!</v>
      </c>
      <c r="AV221" s="29" t="str">
        <f t="shared" si="224"/>
        <v>#DIV/0!</v>
      </c>
      <c r="AW221" s="29" t="str">
        <f t="shared" si="224"/>
        <v>#DIV/0!</v>
      </c>
      <c r="AX221" s="29" t="str">
        <f t="shared" si="224"/>
        <v>#DIV/0!</v>
      </c>
      <c r="AY221" s="29" t="str">
        <f t="shared" si="224"/>
        <v>#DIV/0!</v>
      </c>
      <c r="AZ221" s="29" t="str">
        <f t="shared" si="224"/>
        <v>#DIV/0!</v>
      </c>
      <c r="BA221" s="29" t="str">
        <f t="shared" si="224"/>
        <v>#DIV/0!</v>
      </c>
      <c r="BB221" s="29" t="str">
        <f t="shared" si="224"/>
        <v>#DIV/0!</v>
      </c>
      <c r="BC221" s="29" t="str">
        <f t="shared" si="224"/>
        <v>#DIV/0!</v>
      </c>
      <c r="BD221" s="29" t="str">
        <f t="shared" si="224"/>
        <v>#DIV/0!</v>
      </c>
      <c r="BE221" s="29" t="str">
        <f t="shared" si="224"/>
        <v>#DIV/0!</v>
      </c>
      <c r="BF221" s="29" t="str">
        <f t="shared" si="224"/>
        <v>#DIV/0!</v>
      </c>
      <c r="BG221" s="29" t="str">
        <f t="shared" si="224"/>
        <v>#DIV/0!</v>
      </c>
      <c r="BH221" s="29" t="str">
        <f t="shared" si="224"/>
        <v>#DIV/0!</v>
      </c>
      <c r="BI221" s="29" t="str">
        <f t="shared" si="224"/>
        <v>#DIV/0!</v>
      </c>
      <c r="BJ221" s="29" t="str">
        <f t="shared" si="224"/>
        <v>#DIV/0!</v>
      </c>
      <c r="BK221" s="29" t="str">
        <f t="shared" si="224"/>
        <v>#DIV/0!</v>
      </c>
      <c r="BL221" s="29" t="str">
        <f t="shared" si="224"/>
        <v>#DIV/0!</v>
      </c>
      <c r="BM221" s="29" t="str">
        <f t="shared" si="3"/>
        <v>#DIV/0!</v>
      </c>
    </row>
    <row r="222">
      <c r="A222" s="16" t="str">
        <f>IFERROR(__xludf.DUMMYFUNCTION("IFERROR(SPARKLINE(SORT(MAP(TRANSPOSE(AQ222:BL222), LAMBDA(val, IF(ISNUMBER(val), PERCENTRANK(AQ222:BL222, val)+0.01, 0))), SEQUENCE(COLUMNS(AQ222:BL222)), FALSE), {""charttype"",""column""; ""color"",""chartreuse""; ""ymin"", 0; ""ymax"", 1.01; ""highcolo"&amp;"r"", ""darkgreen""; ""lowcolor"", ""red""}), """")"),"")</f>
        <v/>
      </c>
      <c r="B222" s="17" t="str">
        <f t="shared" si="4"/>
        <v/>
      </c>
      <c r="C222" s="1" t="s">
        <v>928</v>
      </c>
      <c r="D222" s="30" t="str">
        <f>IFERROR(__xludf.DUMMYFUNCTION("IFERROR(GOOGLEFINANCE(C222, ""NAME""))"),"Etsy Inc")</f>
        <v>Etsy Inc</v>
      </c>
      <c r="E222" s="30" t="s">
        <v>137</v>
      </c>
      <c r="F222" s="33" t="str">
        <f>IFERROR(__xludf.DUMMYFUNCTION("( (GOOGLEFINANCE(C222, ""price"") - Q222) / Q222 ) / (R222 / 100)"),"Loading...")</f>
        <v>Loading...</v>
      </c>
      <c r="G222" s="20" t="str">
        <f>IFERROR(__xludf.DUMMYFUNCTION("AVERAGE(ARRAYFORMULA(100 * (QUERY(GOOGLEFINANCE(C222, ""high"", TODAY()-40, TODAY()), ""SELECT Col2 WHERE Col2 IS NOT NULL ORDER BY Col1 DESC LIMIT 20"", 0) / QUERY(GOOGLEFINANCE(C222, ""low"", TODAY()-40, TODAY()), ""SELECT Col2 WHERE Col2 IS NOT NULL OR"&amp;"DER BY Col1 DESC LIMIT 20"", 0) - 1)))"),"#N/A")</f>
        <v>#N/A</v>
      </c>
      <c r="H222" s="35" t="str">
        <f t="shared" si="6"/>
        <v/>
      </c>
      <c r="I222" s="35" t="str">
        <f t="shared" si="7"/>
        <v/>
      </c>
      <c r="J222" s="37" t="str">
        <f>IFERROR(__xludf.DUMMYFUNCTION("IFERROR(
  IF(C222="""",, 
    IFERROR(
      GOOGLEFINANCE(C222, ""price"") * GOOGLEFINANCE(C222, ""volumeavg""), 
      GOOGLEFINANCE(C222, ""price"") * AVERAGE(QUERY(GOOGLEFINANCE(C222, ""volume"", TODAY()-40, TODAY()), ""SELECT Col2 WHERE Col2 IS NOT "&amp;"NULL ORDER BY Col1 DESC LIMIT 20"", 0))
    )
  ), 
"""")"),"")</f>
        <v/>
      </c>
      <c r="K222" s="21" t="str">
        <f>IFERROR(__xludf.DUMMYFUNCTION("IFERROR(GOOGLEFINANCE(C222, ""changepct"") / 100, """")"),"")</f>
        <v/>
      </c>
      <c r="L222" s="21" t="str">
        <f>IFERROR(__xludf.DUMMYFUNCTION("IFERROR((GOOGLEFINANCE(C222, ""price"") / INDEX(GOOGLEFINANCE(C222, ""price"", TODAY()-7, TODAY()), 2, 2)) - 1, """")"),"")</f>
        <v/>
      </c>
      <c r="M222" s="21" t="str">
        <f>IFERROR(__xludf.DUMMYFUNCTION("IFERROR((GOOGLEFINANCE(C222, ""price"") / INDEX(GOOGLEFINANCE(C222, ""price"", EDATE(TODAY(), -1), TODAY()), 2, 2)) - 1, """")"),"")</f>
        <v/>
      </c>
      <c r="N222" s="21" t="str">
        <f>IFERROR(__xludf.DUMMYFUNCTION("IFERROR((GOOGLEFINANCE(C222, ""price"") / INDEX(GOOGLEFINANCE(C222, ""price"", EDATE(TODAY(), -3), TODAY()), 2, 2)) - 1, """")"),"")</f>
        <v/>
      </c>
      <c r="O222" s="21" t="str">
        <f>IFERROR(__xludf.DUMMYFUNCTION("IFERROR((GOOGLEFINANCE(C222, ""price"") / INDEX(GOOGLEFINANCE(C222, ""price"", EDATE(TODAY(), -6), TODAY()), 2, 2)) - 1, """")"),"")</f>
        <v/>
      </c>
      <c r="P222" s="21" t="str">
        <f>IFERROR(__xludf.DUMMYFUNCTION("IFERROR((GOOGLEFINANCE(C222, ""price"") / INDEX(GOOGLEFINANCE(C222, ""price"", EDATE(TODAY(), -12), TODAY()), 2, 2)) - 1, """")"),"")</f>
        <v/>
      </c>
      <c r="Q222" s="6" t="str">
        <f>IFERROR(__xludf.DUMMYFUNCTION("AVERAGE(QUERY(GOOGLEFINANCE(C222, ""price"", TODAY()-80, TODAY()), ""SELECT Col2 WHERE Col2 IS NOT NULL ORDER BY Col1 DESC LIMIT 50"", 0))"),"#N/A")</f>
        <v>#N/A</v>
      </c>
      <c r="R222" s="24" t="str">
        <f>IFERROR(__xludf.DUMMYFUNCTION("IFERROR(
  LET(
    data, QUERY(GOOGLEFINANCE(C222,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GOOGLEFINANCE(C222, ""price"")) * 100,
    IF(calc=0, G222, calc)
  ), 
G222)"),"#N/A")</f>
        <v>#N/A</v>
      </c>
      <c r="S222" s="8" t="s">
        <v>15</v>
      </c>
      <c r="T222" s="26" t="str">
        <f>IFERROR(__xludf.DUMMYFUNCTION("IFERROR(TRANSPOSE(QUERY(IFERROR(SORT(GOOGLEFINANCE(C222, ""price"", WORKDAY(TODAY(), -40), TODAY()), 1, FALSE)), ""select Col2 where Col2 is not null limit 22 label Col2 ''"", 0)), """")"),"")</f>
        <v/>
      </c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8"/>
      <c r="AO222" s="28"/>
      <c r="AP222" s="29"/>
      <c r="AQ222" s="29" t="str">
        <f t="shared" ref="AQ222:BL222" si="225">T222/T$2</f>
        <v>#N/A</v>
      </c>
      <c r="AR222" s="29" t="str">
        <f t="shared" si="225"/>
        <v>#DIV/0!</v>
      </c>
      <c r="AS222" s="29" t="str">
        <f t="shared" si="225"/>
        <v>#DIV/0!</v>
      </c>
      <c r="AT222" s="29" t="str">
        <f t="shared" si="225"/>
        <v>#DIV/0!</v>
      </c>
      <c r="AU222" s="29" t="str">
        <f t="shared" si="225"/>
        <v>#DIV/0!</v>
      </c>
      <c r="AV222" s="29" t="str">
        <f t="shared" si="225"/>
        <v>#DIV/0!</v>
      </c>
      <c r="AW222" s="29" t="str">
        <f t="shared" si="225"/>
        <v>#DIV/0!</v>
      </c>
      <c r="AX222" s="29" t="str">
        <f t="shared" si="225"/>
        <v>#DIV/0!</v>
      </c>
      <c r="AY222" s="29" t="str">
        <f t="shared" si="225"/>
        <v>#DIV/0!</v>
      </c>
      <c r="AZ222" s="29" t="str">
        <f t="shared" si="225"/>
        <v>#DIV/0!</v>
      </c>
      <c r="BA222" s="29" t="str">
        <f t="shared" si="225"/>
        <v>#DIV/0!</v>
      </c>
      <c r="BB222" s="29" t="str">
        <f t="shared" si="225"/>
        <v>#DIV/0!</v>
      </c>
      <c r="BC222" s="29" t="str">
        <f t="shared" si="225"/>
        <v>#DIV/0!</v>
      </c>
      <c r="BD222" s="29" t="str">
        <f t="shared" si="225"/>
        <v>#DIV/0!</v>
      </c>
      <c r="BE222" s="29" t="str">
        <f t="shared" si="225"/>
        <v>#DIV/0!</v>
      </c>
      <c r="BF222" s="29" t="str">
        <f t="shared" si="225"/>
        <v>#DIV/0!</v>
      </c>
      <c r="BG222" s="29" t="str">
        <f t="shared" si="225"/>
        <v>#DIV/0!</v>
      </c>
      <c r="BH222" s="29" t="str">
        <f t="shared" si="225"/>
        <v>#DIV/0!</v>
      </c>
      <c r="BI222" s="29" t="str">
        <f t="shared" si="225"/>
        <v>#DIV/0!</v>
      </c>
      <c r="BJ222" s="29" t="str">
        <f t="shared" si="225"/>
        <v>#DIV/0!</v>
      </c>
      <c r="BK222" s="29" t="str">
        <f t="shared" si="225"/>
        <v>#DIV/0!</v>
      </c>
      <c r="BL222" s="29" t="str">
        <f t="shared" si="225"/>
        <v>#DIV/0!</v>
      </c>
      <c r="BM222" s="29" t="str">
        <f t="shared" si="3"/>
        <v>#DIV/0!</v>
      </c>
    </row>
    <row r="223">
      <c r="A223" s="16" t="str">
        <f>IFERROR(__xludf.DUMMYFUNCTION("IFERROR(SPARKLINE(SORT(MAP(TRANSPOSE(AQ223:BL223), LAMBDA(val, IF(ISNUMBER(val), PERCENTRANK(AQ223:BL223, val)+0.01, 0))), SEQUENCE(COLUMNS(AQ223:BL223)), FALSE), {""charttype"",""column""; ""color"",""chartreuse""; ""ymin"", 0; ""ymax"", 1.01; ""highcolo"&amp;"r"", ""darkgreen""; ""lowcolor"", ""red""}), """")"),"")</f>
        <v/>
      </c>
      <c r="B223" s="17" t="str">
        <f t="shared" si="4"/>
        <v/>
      </c>
      <c r="C223" s="1" t="s">
        <v>932</v>
      </c>
      <c r="D223" s="30" t="str">
        <f>IFERROR(__xludf.DUMMYFUNCTION("IFERROR(GOOGLEFINANCE(C223, ""NAME""))"),"Birkenstock Holding PLC")</f>
        <v>Birkenstock Holding PLC</v>
      </c>
      <c r="E223" s="30" t="s">
        <v>411</v>
      </c>
      <c r="F223" s="38" t="str">
        <f>IFERROR(__xludf.DUMMYFUNCTION("( (GOOGLEFINANCE(C223, ""price"") - Q223) / Q223 ) / (R223 / 100)"),"Loading...")</f>
        <v>Loading...</v>
      </c>
      <c r="G223" s="20" t="str">
        <f>IFERROR(__xludf.DUMMYFUNCTION("AVERAGE(ARRAYFORMULA(100 * (QUERY(GOOGLEFINANCE(C223, ""high"", TODAY()-40, TODAY()), ""SELECT Col2 WHERE Col2 IS NOT NULL ORDER BY Col1 DESC LIMIT 20"", 0) / QUERY(GOOGLEFINANCE(C223, ""low"", TODAY()-40, TODAY()), ""SELECT Col2 WHERE Col2 IS NOT NULL OR"&amp;"DER BY Col1 DESC LIMIT 20"", 0) - 1)))"),"#N/A")</f>
        <v>#N/A</v>
      </c>
      <c r="H223" s="35" t="str">
        <f t="shared" si="6"/>
        <v/>
      </c>
      <c r="I223" s="35" t="str">
        <f t="shared" si="7"/>
        <v/>
      </c>
      <c r="J223" s="37" t="str">
        <f>IFERROR(__xludf.DUMMYFUNCTION("IFERROR(
  IF(C223="""",, 
    IFERROR(
      GOOGLEFINANCE(C223, ""price"") * GOOGLEFINANCE(C223, ""volumeavg""), 
      GOOGLEFINANCE(C223, ""price"") * AVERAGE(QUERY(GOOGLEFINANCE(C223, ""volume"", TODAY()-40, TODAY()), ""SELECT Col2 WHERE Col2 IS NOT "&amp;"NULL ORDER BY Col1 DESC LIMIT 20"", 0))
    )
  ), 
"""")"),"")</f>
        <v/>
      </c>
      <c r="K223" s="21" t="str">
        <f>IFERROR(__xludf.DUMMYFUNCTION("IFERROR(GOOGLEFINANCE(C223, ""changepct"") / 100, """")"),"")</f>
        <v/>
      </c>
      <c r="L223" s="21" t="str">
        <f>IFERROR(__xludf.DUMMYFUNCTION("IFERROR((GOOGLEFINANCE(C223, ""price"") / INDEX(GOOGLEFINANCE(C223, ""price"", TODAY()-7, TODAY()), 2, 2)) - 1, """")"),"")</f>
        <v/>
      </c>
      <c r="M223" s="21" t="str">
        <f>IFERROR(__xludf.DUMMYFUNCTION("IFERROR((GOOGLEFINANCE(C223, ""price"") / INDEX(GOOGLEFINANCE(C223, ""price"", EDATE(TODAY(), -1), TODAY()), 2, 2)) - 1, """")"),"")</f>
        <v/>
      </c>
      <c r="N223" s="21" t="str">
        <f>IFERROR(__xludf.DUMMYFUNCTION("IFERROR((GOOGLEFINANCE(C223, ""price"") / INDEX(GOOGLEFINANCE(C223, ""price"", EDATE(TODAY(), -3), TODAY()), 2, 2)) - 1, """")"),"")</f>
        <v/>
      </c>
      <c r="O223" s="21" t="str">
        <f>IFERROR(__xludf.DUMMYFUNCTION("IFERROR((GOOGLEFINANCE(C223, ""price"") / INDEX(GOOGLEFINANCE(C223, ""price"", EDATE(TODAY(), -6), TODAY()), 2, 2)) - 1, """")"),"")</f>
        <v/>
      </c>
      <c r="P223" s="21" t="str">
        <f>IFERROR(__xludf.DUMMYFUNCTION("IFERROR((GOOGLEFINANCE(C223, ""price"") / INDEX(GOOGLEFINANCE(C223, ""price"", EDATE(TODAY(), -12), TODAY()), 2, 2)) - 1, """")"),"")</f>
        <v/>
      </c>
      <c r="Q223" s="6" t="str">
        <f>IFERROR(__xludf.DUMMYFUNCTION("AVERAGE(QUERY(GOOGLEFINANCE(C223, ""price"", TODAY()-80, TODAY()), ""SELECT Col2 WHERE Col2 IS NOT NULL ORDER BY Col1 DESC LIMIT 50"", 0))"),"#N/A")</f>
        <v>#N/A</v>
      </c>
      <c r="R223" s="24" t="str">
        <f>IFERROR(__xludf.DUMMYFUNCTION("IFERROR(
  LET(
    data, QUERY(GOOGLEFINANCE(C223,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GOOGLEFINANCE(C223, ""price"")) * 100,
    IF(calc=0, G223, calc)
  ), 
G223)"),"#N/A")</f>
        <v>#N/A</v>
      </c>
      <c r="S223" s="8" t="s">
        <v>15</v>
      </c>
      <c r="T223" s="26" t="str">
        <f>IFERROR(__xludf.DUMMYFUNCTION("IFERROR(TRANSPOSE(QUERY(IFERROR(SORT(GOOGLEFINANCE(C223, ""price"", WORKDAY(TODAY(), -40), TODAY()), 1, FALSE)), ""select Col2 where Col2 is not null limit 22 label Col2 ''"", 0)), """")"),"")</f>
        <v/>
      </c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8"/>
      <c r="AO223" s="28"/>
      <c r="AP223" s="29"/>
      <c r="AQ223" s="29" t="str">
        <f t="shared" ref="AQ223:BL223" si="226">T223/T$2</f>
        <v>#N/A</v>
      </c>
      <c r="AR223" s="29" t="str">
        <f t="shared" si="226"/>
        <v>#DIV/0!</v>
      </c>
      <c r="AS223" s="29" t="str">
        <f t="shared" si="226"/>
        <v>#DIV/0!</v>
      </c>
      <c r="AT223" s="29" t="str">
        <f t="shared" si="226"/>
        <v>#DIV/0!</v>
      </c>
      <c r="AU223" s="29" t="str">
        <f t="shared" si="226"/>
        <v>#DIV/0!</v>
      </c>
      <c r="AV223" s="29" t="str">
        <f t="shared" si="226"/>
        <v>#DIV/0!</v>
      </c>
      <c r="AW223" s="29" t="str">
        <f t="shared" si="226"/>
        <v>#DIV/0!</v>
      </c>
      <c r="AX223" s="29" t="str">
        <f t="shared" si="226"/>
        <v>#DIV/0!</v>
      </c>
      <c r="AY223" s="29" t="str">
        <f t="shared" si="226"/>
        <v>#DIV/0!</v>
      </c>
      <c r="AZ223" s="29" t="str">
        <f t="shared" si="226"/>
        <v>#DIV/0!</v>
      </c>
      <c r="BA223" s="29" t="str">
        <f t="shared" si="226"/>
        <v>#DIV/0!</v>
      </c>
      <c r="BB223" s="29" t="str">
        <f t="shared" si="226"/>
        <v>#DIV/0!</v>
      </c>
      <c r="BC223" s="29" t="str">
        <f t="shared" si="226"/>
        <v>#DIV/0!</v>
      </c>
      <c r="BD223" s="29" t="str">
        <f t="shared" si="226"/>
        <v>#DIV/0!</v>
      </c>
      <c r="BE223" s="29" t="str">
        <f t="shared" si="226"/>
        <v>#DIV/0!</v>
      </c>
      <c r="BF223" s="29" t="str">
        <f t="shared" si="226"/>
        <v>#DIV/0!</v>
      </c>
      <c r="BG223" s="29" t="str">
        <f t="shared" si="226"/>
        <v>#DIV/0!</v>
      </c>
      <c r="BH223" s="29" t="str">
        <f t="shared" si="226"/>
        <v>#DIV/0!</v>
      </c>
      <c r="BI223" s="29" t="str">
        <f t="shared" si="226"/>
        <v>#DIV/0!</v>
      </c>
      <c r="BJ223" s="29" t="str">
        <f t="shared" si="226"/>
        <v>#DIV/0!</v>
      </c>
      <c r="BK223" s="29" t="str">
        <f t="shared" si="226"/>
        <v>#DIV/0!</v>
      </c>
      <c r="BL223" s="29" t="str">
        <f t="shared" si="226"/>
        <v>#DIV/0!</v>
      </c>
      <c r="BM223" s="29" t="str">
        <f t="shared" si="3"/>
        <v>#DIV/0!</v>
      </c>
    </row>
    <row r="224">
      <c r="A224" s="16" t="str">
        <f>IFERROR(__xludf.DUMMYFUNCTION("IFERROR(SPARKLINE(SORT(MAP(TRANSPOSE(AQ224:BL224), LAMBDA(val, IF(ISNUMBER(val), PERCENTRANK(AQ224:BL224, val)+0.01, 0))), SEQUENCE(COLUMNS(AQ224:BL224)), FALSE), {""charttype"",""column""; ""color"",""chartreuse""; ""ymin"", 0; ""ymax"", 1.01; ""highcolo"&amp;"r"", ""darkgreen""; ""lowcolor"", ""red""}), """")"),"")</f>
        <v/>
      </c>
      <c r="B224" s="17" t="str">
        <f t="shared" si="4"/>
        <v/>
      </c>
      <c r="C224" s="1" t="s">
        <v>937</v>
      </c>
      <c r="D224" s="30" t="str">
        <f>IFERROR(__xludf.DUMMYFUNCTION("IFERROR(GOOGLEFINANCE(C224, ""NAME""))"),"Zumiez Inc")</f>
        <v>Zumiez Inc</v>
      </c>
      <c r="E224" s="30" t="s">
        <v>647</v>
      </c>
      <c r="F224" s="33" t="str">
        <f>IFERROR(__xludf.DUMMYFUNCTION("( (GOOGLEFINANCE(C224, ""price"") - Q224) / Q224 ) / (R224 / 100)"),"Loading...")</f>
        <v>Loading...</v>
      </c>
      <c r="G224" s="20" t="str">
        <f>IFERROR(__xludf.DUMMYFUNCTION("AVERAGE(ARRAYFORMULA(100 * (QUERY(GOOGLEFINANCE(C224, ""high"", TODAY()-40, TODAY()), ""SELECT Col2 WHERE Col2 IS NOT NULL ORDER BY Col1 DESC LIMIT 20"", 0) / QUERY(GOOGLEFINANCE(C224, ""low"", TODAY()-40, TODAY()), ""SELECT Col2 WHERE Col2 IS NOT NULL OR"&amp;"DER BY Col1 DESC LIMIT 20"", 0) - 1)))"),"#N/A")</f>
        <v>#N/A</v>
      </c>
      <c r="H224" s="35" t="str">
        <f t="shared" si="6"/>
        <v/>
      </c>
      <c r="I224" s="35" t="str">
        <f t="shared" si="7"/>
        <v/>
      </c>
      <c r="J224" s="37" t="str">
        <f>IFERROR(__xludf.DUMMYFUNCTION("IFERROR(
  IF(C224="""",, 
    IFERROR(
      GOOGLEFINANCE(C224, ""price"") * GOOGLEFINANCE(C224, ""volumeavg""), 
      GOOGLEFINANCE(C224, ""price"") * AVERAGE(QUERY(GOOGLEFINANCE(C224, ""volume"", TODAY()-40, TODAY()), ""SELECT Col2 WHERE Col2 IS NOT "&amp;"NULL ORDER BY Col1 DESC LIMIT 20"", 0))
    )
  ), 
"""")"),"")</f>
        <v/>
      </c>
      <c r="K224" s="21" t="str">
        <f>IFERROR(__xludf.DUMMYFUNCTION("IFERROR(GOOGLEFINANCE(C224, ""changepct"") / 100, """")"),"")</f>
        <v/>
      </c>
      <c r="L224" s="21" t="str">
        <f>IFERROR(__xludf.DUMMYFUNCTION("IFERROR((GOOGLEFINANCE(C224, ""price"") / INDEX(GOOGLEFINANCE(C224, ""price"", TODAY()-7, TODAY()), 2, 2)) - 1, """")"),"")</f>
        <v/>
      </c>
      <c r="M224" s="21" t="str">
        <f>IFERROR(__xludf.DUMMYFUNCTION("IFERROR((GOOGLEFINANCE(C224, ""price"") / INDEX(GOOGLEFINANCE(C224, ""price"", EDATE(TODAY(), -1), TODAY()), 2, 2)) - 1, """")"),"")</f>
        <v/>
      </c>
      <c r="N224" s="21" t="str">
        <f>IFERROR(__xludf.DUMMYFUNCTION("IFERROR((GOOGLEFINANCE(C224, ""price"") / INDEX(GOOGLEFINANCE(C224, ""price"", EDATE(TODAY(), -3), TODAY()), 2, 2)) - 1, """")"),"")</f>
        <v/>
      </c>
      <c r="O224" s="21" t="str">
        <f>IFERROR(__xludf.DUMMYFUNCTION("IFERROR((GOOGLEFINANCE(C224, ""price"") / INDEX(GOOGLEFINANCE(C224, ""price"", EDATE(TODAY(), -6), TODAY()), 2, 2)) - 1, """")"),"")</f>
        <v/>
      </c>
      <c r="P224" s="21" t="str">
        <f>IFERROR(__xludf.DUMMYFUNCTION("IFERROR((GOOGLEFINANCE(C224, ""price"") / INDEX(GOOGLEFINANCE(C224, ""price"", EDATE(TODAY(), -12), TODAY()), 2, 2)) - 1, """")"),"")</f>
        <v/>
      </c>
      <c r="Q224" s="6" t="str">
        <f>IFERROR(__xludf.DUMMYFUNCTION("AVERAGE(QUERY(GOOGLEFINANCE(C224, ""price"", TODAY()-80, TODAY()), ""SELECT Col2 WHERE Col2 IS NOT NULL ORDER BY Col1 DESC LIMIT 50"", 0))"),"#N/A")</f>
        <v>#N/A</v>
      </c>
      <c r="R224" s="24" t="str">
        <f>IFERROR(__xludf.DUMMYFUNCTION("IFERROR(
  LET(
    data, QUERY(GOOGLEFINANCE(C224,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GOOGLEFINANCE(C224, ""price"")) * 100,
    IF(calc=0, G224, calc)
  ), 
G224)"),"#N/A")</f>
        <v>#N/A</v>
      </c>
      <c r="S224" s="8" t="s">
        <v>15</v>
      </c>
      <c r="T224" s="26" t="str">
        <f>IFERROR(__xludf.DUMMYFUNCTION("IFERROR(TRANSPOSE(QUERY(IFERROR(SORT(GOOGLEFINANCE(C224, ""price"", WORKDAY(TODAY(), -40), TODAY()), 1, FALSE)), ""select Col2 where Col2 is not null limit 22 label Col2 ''"", 0)), """")"),"")</f>
        <v/>
      </c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8"/>
      <c r="AO224" s="28"/>
      <c r="AP224" s="29"/>
      <c r="AQ224" s="29" t="str">
        <f t="shared" ref="AQ224:BL224" si="227">T224/T$2</f>
        <v>#N/A</v>
      </c>
      <c r="AR224" s="29" t="str">
        <f t="shared" si="227"/>
        <v>#DIV/0!</v>
      </c>
      <c r="AS224" s="29" t="str">
        <f t="shared" si="227"/>
        <v>#DIV/0!</v>
      </c>
      <c r="AT224" s="29" t="str">
        <f t="shared" si="227"/>
        <v>#DIV/0!</v>
      </c>
      <c r="AU224" s="29" t="str">
        <f t="shared" si="227"/>
        <v>#DIV/0!</v>
      </c>
      <c r="AV224" s="29" t="str">
        <f t="shared" si="227"/>
        <v>#DIV/0!</v>
      </c>
      <c r="AW224" s="29" t="str">
        <f t="shared" si="227"/>
        <v>#DIV/0!</v>
      </c>
      <c r="AX224" s="29" t="str">
        <f t="shared" si="227"/>
        <v>#DIV/0!</v>
      </c>
      <c r="AY224" s="29" t="str">
        <f t="shared" si="227"/>
        <v>#DIV/0!</v>
      </c>
      <c r="AZ224" s="29" t="str">
        <f t="shared" si="227"/>
        <v>#DIV/0!</v>
      </c>
      <c r="BA224" s="29" t="str">
        <f t="shared" si="227"/>
        <v>#DIV/0!</v>
      </c>
      <c r="BB224" s="29" t="str">
        <f t="shared" si="227"/>
        <v>#DIV/0!</v>
      </c>
      <c r="BC224" s="29" t="str">
        <f t="shared" si="227"/>
        <v>#DIV/0!</v>
      </c>
      <c r="BD224" s="29" t="str">
        <f t="shared" si="227"/>
        <v>#DIV/0!</v>
      </c>
      <c r="BE224" s="29" t="str">
        <f t="shared" si="227"/>
        <v>#DIV/0!</v>
      </c>
      <c r="BF224" s="29" t="str">
        <f t="shared" si="227"/>
        <v>#DIV/0!</v>
      </c>
      <c r="BG224" s="29" t="str">
        <f t="shared" si="227"/>
        <v>#DIV/0!</v>
      </c>
      <c r="BH224" s="29" t="str">
        <f t="shared" si="227"/>
        <v>#DIV/0!</v>
      </c>
      <c r="BI224" s="29" t="str">
        <f t="shared" si="227"/>
        <v>#DIV/0!</v>
      </c>
      <c r="BJ224" s="29" t="str">
        <f t="shared" si="227"/>
        <v>#DIV/0!</v>
      </c>
      <c r="BK224" s="29" t="str">
        <f t="shared" si="227"/>
        <v>#DIV/0!</v>
      </c>
      <c r="BL224" s="29" t="str">
        <f t="shared" si="227"/>
        <v>#DIV/0!</v>
      </c>
      <c r="BM224" s="29" t="str">
        <f t="shared" si="3"/>
        <v>#DIV/0!</v>
      </c>
    </row>
    <row r="225">
      <c r="A225" s="16" t="str">
        <f>IFERROR(__xludf.DUMMYFUNCTION("IFERROR(SPARKLINE(SORT(MAP(TRANSPOSE(AQ225:BL225), LAMBDA(val, IF(ISNUMBER(val), PERCENTRANK(AQ225:BL225, val)+0.01, 0))), SEQUENCE(COLUMNS(AQ225:BL225)), FALSE), {""charttype"",""column""; ""color"",""chartreuse""; ""ymin"", 0; ""ymax"", 1.01; ""highcolo"&amp;"r"", ""darkgreen""; ""lowcolor"", ""red""}), """")"),"")</f>
        <v/>
      </c>
      <c r="B225" s="17" t="str">
        <f t="shared" si="4"/>
        <v/>
      </c>
      <c r="C225" s="1" t="s">
        <v>940</v>
      </c>
      <c r="D225" s="30" t="str">
        <f>IFERROR(__xludf.DUMMYFUNCTION("IFERROR(GOOGLEFINANCE(C225, ""NAME""))"),"VF Corp")</f>
        <v>VF Corp</v>
      </c>
      <c r="E225" s="30" t="s">
        <v>317</v>
      </c>
      <c r="F225" s="33" t="str">
        <f>IFERROR(__xludf.DUMMYFUNCTION("( (GOOGLEFINANCE(C225, ""price"") - Q225) / Q225 ) / (R225 / 100)"),"Loading...")</f>
        <v>Loading...</v>
      </c>
      <c r="G225" s="20" t="str">
        <f>IFERROR(__xludf.DUMMYFUNCTION("AVERAGE(ARRAYFORMULA(100 * (QUERY(GOOGLEFINANCE(C225, ""high"", TODAY()-40, TODAY()), ""SELECT Col2 WHERE Col2 IS NOT NULL ORDER BY Col1 DESC LIMIT 20"", 0) / QUERY(GOOGLEFINANCE(C225, ""low"", TODAY()-40, TODAY()), ""SELECT Col2 WHERE Col2 IS NOT NULL OR"&amp;"DER BY Col1 DESC LIMIT 20"", 0) - 1)))"),"#N/A")</f>
        <v>#N/A</v>
      </c>
      <c r="H225" s="35" t="str">
        <f t="shared" si="6"/>
        <v/>
      </c>
      <c r="I225" s="35" t="str">
        <f t="shared" si="7"/>
        <v/>
      </c>
      <c r="J225" s="37" t="str">
        <f>IFERROR(__xludf.DUMMYFUNCTION("IFERROR(
  IF(C225="""",, 
    IFERROR(
      GOOGLEFINANCE(C225, ""price"") * GOOGLEFINANCE(C225, ""volumeavg""), 
      GOOGLEFINANCE(C225, ""price"") * AVERAGE(QUERY(GOOGLEFINANCE(C225, ""volume"", TODAY()-40, TODAY()), ""SELECT Col2 WHERE Col2 IS NOT "&amp;"NULL ORDER BY Col1 DESC LIMIT 20"", 0))
    )
  ), 
"""")"),"")</f>
        <v/>
      </c>
      <c r="K225" s="21" t="str">
        <f>IFERROR(__xludf.DUMMYFUNCTION("IFERROR(GOOGLEFINANCE(C225, ""changepct"") / 100, """")"),"")</f>
        <v/>
      </c>
      <c r="L225" s="21" t="str">
        <f>IFERROR(__xludf.DUMMYFUNCTION("IFERROR((GOOGLEFINANCE(C225, ""price"") / INDEX(GOOGLEFINANCE(C225, ""price"", TODAY()-7, TODAY()), 2, 2)) - 1, """")"),"")</f>
        <v/>
      </c>
      <c r="M225" s="21" t="str">
        <f>IFERROR(__xludf.DUMMYFUNCTION("IFERROR((GOOGLEFINANCE(C225, ""price"") / INDEX(GOOGLEFINANCE(C225, ""price"", EDATE(TODAY(), -1), TODAY()), 2, 2)) - 1, """")"),"")</f>
        <v/>
      </c>
      <c r="N225" s="21" t="str">
        <f>IFERROR(__xludf.DUMMYFUNCTION("IFERROR((GOOGLEFINANCE(C225, ""price"") / INDEX(GOOGLEFINANCE(C225, ""price"", EDATE(TODAY(), -3), TODAY()), 2, 2)) - 1, """")"),"")</f>
        <v/>
      </c>
      <c r="O225" s="21" t="str">
        <f>IFERROR(__xludf.DUMMYFUNCTION("IFERROR((GOOGLEFINANCE(C225, ""price"") / INDEX(GOOGLEFINANCE(C225, ""price"", EDATE(TODAY(), -6), TODAY()), 2, 2)) - 1, """")"),"")</f>
        <v/>
      </c>
      <c r="P225" s="21" t="str">
        <f>IFERROR(__xludf.DUMMYFUNCTION("IFERROR((GOOGLEFINANCE(C225, ""price"") / INDEX(GOOGLEFINANCE(C225, ""price"", EDATE(TODAY(), -12), TODAY()), 2, 2)) - 1, """")"),"")</f>
        <v/>
      </c>
      <c r="Q225" s="6" t="str">
        <f>IFERROR(__xludf.DUMMYFUNCTION("AVERAGE(QUERY(GOOGLEFINANCE(C225, ""price"", TODAY()-80, TODAY()), ""SELECT Col2 WHERE Col2 IS NOT NULL ORDER BY Col1 DESC LIMIT 50"", 0))"),"#N/A")</f>
        <v>#N/A</v>
      </c>
      <c r="R225" s="24" t="str">
        <f>IFERROR(__xludf.DUMMYFUNCTION("IFERROR(
  LET(
    data, QUERY(GOOGLEFINANCE(C225,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GOOGLEFINANCE(C225, ""price"")) * 100,
    IF(calc=0, G225, calc)
  ), 
G225)"),"#N/A")</f>
        <v>#N/A</v>
      </c>
      <c r="S225" s="8" t="s">
        <v>15</v>
      </c>
      <c r="T225" s="26" t="str">
        <f>IFERROR(__xludf.DUMMYFUNCTION("IFERROR(TRANSPOSE(QUERY(IFERROR(SORT(GOOGLEFINANCE(C225, ""price"", WORKDAY(TODAY(), -40), TODAY()), 1, FALSE)), ""select Col2 where Col2 is not null limit 22 label Col2 ''"", 0)), """")"),"")</f>
        <v/>
      </c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8"/>
      <c r="AO225" s="28"/>
      <c r="AP225" s="29"/>
      <c r="AQ225" s="29" t="str">
        <f t="shared" ref="AQ225:BL225" si="228">T225/T$2</f>
        <v>#N/A</v>
      </c>
      <c r="AR225" s="29" t="str">
        <f t="shared" si="228"/>
        <v>#DIV/0!</v>
      </c>
      <c r="AS225" s="29" t="str">
        <f t="shared" si="228"/>
        <v>#DIV/0!</v>
      </c>
      <c r="AT225" s="29" t="str">
        <f t="shared" si="228"/>
        <v>#DIV/0!</v>
      </c>
      <c r="AU225" s="29" t="str">
        <f t="shared" si="228"/>
        <v>#DIV/0!</v>
      </c>
      <c r="AV225" s="29" t="str">
        <f t="shared" si="228"/>
        <v>#DIV/0!</v>
      </c>
      <c r="AW225" s="29" t="str">
        <f t="shared" si="228"/>
        <v>#DIV/0!</v>
      </c>
      <c r="AX225" s="29" t="str">
        <f t="shared" si="228"/>
        <v>#DIV/0!</v>
      </c>
      <c r="AY225" s="29" t="str">
        <f t="shared" si="228"/>
        <v>#DIV/0!</v>
      </c>
      <c r="AZ225" s="29" t="str">
        <f t="shared" si="228"/>
        <v>#DIV/0!</v>
      </c>
      <c r="BA225" s="29" t="str">
        <f t="shared" si="228"/>
        <v>#DIV/0!</v>
      </c>
      <c r="BB225" s="29" t="str">
        <f t="shared" si="228"/>
        <v>#DIV/0!</v>
      </c>
      <c r="BC225" s="29" t="str">
        <f t="shared" si="228"/>
        <v>#DIV/0!</v>
      </c>
      <c r="BD225" s="29" t="str">
        <f t="shared" si="228"/>
        <v>#DIV/0!</v>
      </c>
      <c r="BE225" s="29" t="str">
        <f t="shared" si="228"/>
        <v>#DIV/0!</v>
      </c>
      <c r="BF225" s="29" t="str">
        <f t="shared" si="228"/>
        <v>#DIV/0!</v>
      </c>
      <c r="BG225" s="29" t="str">
        <f t="shared" si="228"/>
        <v>#DIV/0!</v>
      </c>
      <c r="BH225" s="29" t="str">
        <f t="shared" si="228"/>
        <v>#DIV/0!</v>
      </c>
      <c r="BI225" s="29" t="str">
        <f t="shared" si="228"/>
        <v>#DIV/0!</v>
      </c>
      <c r="BJ225" s="29" t="str">
        <f t="shared" si="228"/>
        <v>#DIV/0!</v>
      </c>
      <c r="BK225" s="29" t="str">
        <f t="shared" si="228"/>
        <v>#DIV/0!</v>
      </c>
      <c r="BL225" s="29" t="str">
        <f t="shared" si="228"/>
        <v>#DIV/0!</v>
      </c>
      <c r="BM225" s="29" t="str">
        <f t="shared" si="3"/>
        <v>#DIV/0!</v>
      </c>
    </row>
    <row r="226">
      <c r="A226" s="16" t="str">
        <f>IFERROR(__xludf.DUMMYFUNCTION("IFERROR(SPARKLINE(SORT(MAP(TRANSPOSE(AQ226:BL226), LAMBDA(val, IF(ISNUMBER(val), PERCENTRANK(AQ226:BL226, val)+0.01, 0))), SEQUENCE(COLUMNS(AQ226:BL226)), FALSE), {""charttype"",""column""; ""color"",""chartreuse""; ""ymin"", 0; ""ymax"", 1.01; ""highcolo"&amp;"r"", ""darkgreen""; ""lowcolor"", ""red""}), """")"),"")</f>
        <v/>
      </c>
      <c r="B226" s="17" t="str">
        <f t="shared" si="4"/>
        <v/>
      </c>
      <c r="C226" s="1" t="s">
        <v>942</v>
      </c>
      <c r="D226" s="30" t="str">
        <f>IFERROR(__xludf.DUMMYFUNCTION("IFERROR(GOOGLEFINANCE(C226, ""NAME""))"),"MillerKnoll Inc")</f>
        <v>MillerKnoll Inc</v>
      </c>
      <c r="E226" s="30" t="s">
        <v>456</v>
      </c>
      <c r="F226" s="33" t="str">
        <f>IFERROR(__xludf.DUMMYFUNCTION("( (GOOGLEFINANCE(C226, ""price"") - Q226) / Q226 ) / (R226 / 100)"),"Loading...")</f>
        <v>Loading...</v>
      </c>
      <c r="G226" s="20" t="str">
        <f>IFERROR(__xludf.DUMMYFUNCTION("AVERAGE(ARRAYFORMULA(100 * (QUERY(GOOGLEFINANCE(C226, ""high"", TODAY()-40, TODAY()), ""SELECT Col2 WHERE Col2 IS NOT NULL ORDER BY Col1 DESC LIMIT 20"", 0) / QUERY(GOOGLEFINANCE(C226, ""low"", TODAY()-40, TODAY()), ""SELECT Col2 WHERE Col2 IS NOT NULL OR"&amp;"DER BY Col1 DESC LIMIT 20"", 0) - 1)))"),"#N/A")</f>
        <v>#N/A</v>
      </c>
      <c r="H226" s="35" t="str">
        <f t="shared" si="6"/>
        <v/>
      </c>
      <c r="I226" s="35" t="str">
        <f t="shared" si="7"/>
        <v/>
      </c>
      <c r="J226" s="37" t="str">
        <f>IFERROR(__xludf.DUMMYFUNCTION("IFERROR(
  IF(C226="""",, 
    IFERROR(
      GOOGLEFINANCE(C226, ""price"") * GOOGLEFINANCE(C226, ""volumeavg""), 
      GOOGLEFINANCE(C226, ""price"") * AVERAGE(QUERY(GOOGLEFINANCE(C226, ""volume"", TODAY()-40, TODAY()), ""SELECT Col2 WHERE Col2 IS NOT "&amp;"NULL ORDER BY Col1 DESC LIMIT 20"", 0))
    )
  ), 
"""")"),"")</f>
        <v/>
      </c>
      <c r="K226" s="21" t="str">
        <f>IFERROR(__xludf.DUMMYFUNCTION("IFERROR(GOOGLEFINANCE(C226, ""changepct"") / 100, """")"),"")</f>
        <v/>
      </c>
      <c r="L226" s="21" t="str">
        <f>IFERROR(__xludf.DUMMYFUNCTION("IFERROR((GOOGLEFINANCE(C226, ""price"") / INDEX(GOOGLEFINANCE(C226, ""price"", TODAY()-7, TODAY()), 2, 2)) - 1, """")"),"")</f>
        <v/>
      </c>
      <c r="M226" s="21" t="str">
        <f>IFERROR(__xludf.DUMMYFUNCTION("IFERROR((GOOGLEFINANCE(C226, ""price"") / INDEX(GOOGLEFINANCE(C226, ""price"", EDATE(TODAY(), -1), TODAY()), 2, 2)) - 1, """")"),"")</f>
        <v/>
      </c>
      <c r="N226" s="21" t="str">
        <f>IFERROR(__xludf.DUMMYFUNCTION("IFERROR((GOOGLEFINANCE(C226, ""price"") / INDEX(GOOGLEFINANCE(C226, ""price"", EDATE(TODAY(), -3), TODAY()), 2, 2)) - 1, """")"),"")</f>
        <v/>
      </c>
      <c r="O226" s="21" t="str">
        <f>IFERROR(__xludf.DUMMYFUNCTION("IFERROR((GOOGLEFINANCE(C226, ""price"") / INDEX(GOOGLEFINANCE(C226, ""price"", EDATE(TODAY(), -6), TODAY()), 2, 2)) - 1, """")"),"")</f>
        <v/>
      </c>
      <c r="P226" s="21" t="str">
        <f>IFERROR(__xludf.DUMMYFUNCTION("IFERROR((GOOGLEFINANCE(C226, ""price"") / INDEX(GOOGLEFINANCE(C226, ""price"", EDATE(TODAY(), -12), TODAY()), 2, 2)) - 1, """")"),"")</f>
        <v/>
      </c>
      <c r="Q226" s="6" t="str">
        <f>IFERROR(__xludf.DUMMYFUNCTION("AVERAGE(QUERY(GOOGLEFINANCE(C226, ""price"", TODAY()-80, TODAY()), ""SELECT Col2 WHERE Col2 IS NOT NULL ORDER BY Col1 DESC LIMIT 50"", 0))"),"#N/A")</f>
        <v>#N/A</v>
      </c>
      <c r="R226" s="24" t="str">
        <f>IFERROR(__xludf.DUMMYFUNCTION("IFERROR(
  LET(
    data, QUERY(GOOGLEFINANCE(C226,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GOOGLEFINANCE(C226, ""price"")) * 100,
    IF(calc=0, G226, calc)
  ), 
G226)"),"#N/A")</f>
        <v>#N/A</v>
      </c>
      <c r="S226" s="8" t="s">
        <v>15</v>
      </c>
      <c r="T226" s="26" t="str">
        <f>IFERROR(__xludf.DUMMYFUNCTION("IFERROR(TRANSPOSE(QUERY(IFERROR(SORT(GOOGLEFINANCE(C226, ""price"", WORKDAY(TODAY(), -40), TODAY()), 1, FALSE)), ""select Col2 where Col2 is not null limit 22 label Col2 ''"", 0)), """")"),"")</f>
        <v/>
      </c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8"/>
      <c r="AO226" s="28"/>
      <c r="AP226" s="29"/>
      <c r="AQ226" s="29" t="str">
        <f t="shared" ref="AQ226:BL226" si="229">T226/T$2</f>
        <v>#N/A</v>
      </c>
      <c r="AR226" s="29" t="str">
        <f t="shared" si="229"/>
        <v>#DIV/0!</v>
      </c>
      <c r="AS226" s="29" t="str">
        <f t="shared" si="229"/>
        <v>#DIV/0!</v>
      </c>
      <c r="AT226" s="29" t="str">
        <f t="shared" si="229"/>
        <v>#DIV/0!</v>
      </c>
      <c r="AU226" s="29" t="str">
        <f t="shared" si="229"/>
        <v>#DIV/0!</v>
      </c>
      <c r="AV226" s="29" t="str">
        <f t="shared" si="229"/>
        <v>#DIV/0!</v>
      </c>
      <c r="AW226" s="29" t="str">
        <f t="shared" si="229"/>
        <v>#DIV/0!</v>
      </c>
      <c r="AX226" s="29" t="str">
        <f t="shared" si="229"/>
        <v>#DIV/0!</v>
      </c>
      <c r="AY226" s="29" t="str">
        <f t="shared" si="229"/>
        <v>#DIV/0!</v>
      </c>
      <c r="AZ226" s="29" t="str">
        <f t="shared" si="229"/>
        <v>#DIV/0!</v>
      </c>
      <c r="BA226" s="29" t="str">
        <f t="shared" si="229"/>
        <v>#DIV/0!</v>
      </c>
      <c r="BB226" s="29" t="str">
        <f t="shared" si="229"/>
        <v>#DIV/0!</v>
      </c>
      <c r="BC226" s="29" t="str">
        <f t="shared" si="229"/>
        <v>#DIV/0!</v>
      </c>
      <c r="BD226" s="29" t="str">
        <f t="shared" si="229"/>
        <v>#DIV/0!</v>
      </c>
      <c r="BE226" s="29" t="str">
        <f t="shared" si="229"/>
        <v>#DIV/0!</v>
      </c>
      <c r="BF226" s="29" t="str">
        <f t="shared" si="229"/>
        <v>#DIV/0!</v>
      </c>
      <c r="BG226" s="29" t="str">
        <f t="shared" si="229"/>
        <v>#DIV/0!</v>
      </c>
      <c r="BH226" s="29" t="str">
        <f t="shared" si="229"/>
        <v>#DIV/0!</v>
      </c>
      <c r="BI226" s="29" t="str">
        <f t="shared" si="229"/>
        <v>#DIV/0!</v>
      </c>
      <c r="BJ226" s="29" t="str">
        <f t="shared" si="229"/>
        <v>#DIV/0!</v>
      </c>
      <c r="BK226" s="29" t="str">
        <f t="shared" si="229"/>
        <v>#DIV/0!</v>
      </c>
      <c r="BL226" s="29" t="str">
        <f t="shared" si="229"/>
        <v>#DIV/0!</v>
      </c>
      <c r="BM226" s="29" t="str">
        <f t="shared" si="3"/>
        <v>#DIV/0!</v>
      </c>
    </row>
    <row r="227">
      <c r="A227" s="16" t="str">
        <f>IFERROR(__xludf.DUMMYFUNCTION("IFERROR(SPARKLINE(SORT(MAP(TRANSPOSE(AQ227:BL227), LAMBDA(val, IF(ISNUMBER(val), PERCENTRANK(AQ227:BL227, val)+0.01, 0))), SEQUENCE(COLUMNS(AQ227:BL227)), FALSE), {""charttype"",""column""; ""color"",""chartreuse""; ""ymin"", 0; ""ymax"", 1.01; ""highcolo"&amp;"r"", ""darkgreen""; ""lowcolor"", ""red""}), """")"),"")</f>
        <v/>
      </c>
      <c r="B227" s="17" t="str">
        <f t="shared" si="4"/>
        <v/>
      </c>
      <c r="C227" s="1" t="s">
        <v>945</v>
      </c>
      <c r="D227" s="30" t="str">
        <f>IFERROR(__xludf.DUMMYFUNCTION("IFERROR(GOOGLEFINANCE(C227, ""NAME""))"),"Dream Finders Homes Inc (Texas)")</f>
        <v>Dream Finders Homes Inc (Texas)</v>
      </c>
      <c r="E227" s="30" t="s">
        <v>261</v>
      </c>
      <c r="F227" s="33" t="str">
        <f>IFERROR(__xludf.DUMMYFUNCTION("( (GOOGLEFINANCE(C227, ""price"") - Q227) / Q227 ) / (R227 / 100)"),"Loading...")</f>
        <v>Loading...</v>
      </c>
      <c r="G227" s="20" t="str">
        <f>IFERROR(__xludf.DUMMYFUNCTION("AVERAGE(ARRAYFORMULA(100 * (QUERY(GOOGLEFINANCE(C227, ""high"", TODAY()-40, TODAY()), ""SELECT Col2 WHERE Col2 IS NOT NULL ORDER BY Col1 DESC LIMIT 20"", 0) / QUERY(GOOGLEFINANCE(C227, ""low"", TODAY()-40, TODAY()), ""SELECT Col2 WHERE Col2 IS NOT NULL OR"&amp;"DER BY Col1 DESC LIMIT 20"", 0) - 1)))"),"#N/A")</f>
        <v>#N/A</v>
      </c>
      <c r="H227" s="35" t="str">
        <f t="shared" si="6"/>
        <v/>
      </c>
      <c r="I227" s="35" t="str">
        <f t="shared" si="7"/>
        <v/>
      </c>
      <c r="J227" s="37" t="str">
        <f>IFERROR(__xludf.DUMMYFUNCTION("IFERROR(
  IF(C227="""",, 
    IFERROR(
      GOOGLEFINANCE(C227, ""price"") * GOOGLEFINANCE(C227, ""volumeavg""), 
      GOOGLEFINANCE(C227, ""price"") * AVERAGE(QUERY(GOOGLEFINANCE(C227, ""volume"", TODAY()-40, TODAY()), ""SELECT Col2 WHERE Col2 IS NOT "&amp;"NULL ORDER BY Col1 DESC LIMIT 20"", 0))
    )
  ), 
"""")"),"")</f>
        <v/>
      </c>
      <c r="K227" s="21" t="str">
        <f>IFERROR(__xludf.DUMMYFUNCTION("IFERROR(GOOGLEFINANCE(C227, ""changepct"") / 100, """")"),"")</f>
        <v/>
      </c>
      <c r="L227" s="21" t="str">
        <f>IFERROR(__xludf.DUMMYFUNCTION("IFERROR((GOOGLEFINANCE(C227, ""price"") / INDEX(GOOGLEFINANCE(C227, ""price"", TODAY()-7, TODAY()), 2, 2)) - 1, """")"),"")</f>
        <v/>
      </c>
      <c r="M227" s="21" t="str">
        <f>IFERROR(__xludf.DUMMYFUNCTION("IFERROR((GOOGLEFINANCE(C227, ""price"") / INDEX(GOOGLEFINANCE(C227, ""price"", EDATE(TODAY(), -1), TODAY()), 2, 2)) - 1, """")"),"")</f>
        <v/>
      </c>
      <c r="N227" s="21" t="str">
        <f>IFERROR(__xludf.DUMMYFUNCTION("IFERROR((GOOGLEFINANCE(C227, ""price"") / INDEX(GOOGLEFINANCE(C227, ""price"", EDATE(TODAY(), -3), TODAY()), 2, 2)) - 1, """")"),"")</f>
        <v/>
      </c>
      <c r="O227" s="21" t="str">
        <f>IFERROR(__xludf.DUMMYFUNCTION("IFERROR((GOOGLEFINANCE(C227, ""price"") / INDEX(GOOGLEFINANCE(C227, ""price"", EDATE(TODAY(), -6), TODAY()), 2, 2)) - 1, """")"),"")</f>
        <v/>
      </c>
      <c r="P227" s="21" t="str">
        <f>IFERROR(__xludf.DUMMYFUNCTION("IFERROR((GOOGLEFINANCE(C227, ""price"") / INDEX(GOOGLEFINANCE(C227, ""price"", EDATE(TODAY(), -12), TODAY()), 2, 2)) - 1, """")"),"")</f>
        <v/>
      </c>
      <c r="Q227" s="6" t="str">
        <f>IFERROR(__xludf.DUMMYFUNCTION("AVERAGE(QUERY(GOOGLEFINANCE(C227, ""price"", TODAY()-80, TODAY()), ""SELECT Col2 WHERE Col2 IS NOT NULL ORDER BY Col1 DESC LIMIT 50"", 0))"),"#N/A")</f>
        <v>#N/A</v>
      </c>
      <c r="R227" s="24" t="str">
        <f>IFERROR(__xludf.DUMMYFUNCTION("IFERROR(
  LET(
    data, QUERY(GOOGLEFINANCE(C227,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GOOGLEFINANCE(C227, ""price"")) * 100,
    IF(calc=0, G227, calc)
  ), 
G227)"),"#N/A")</f>
        <v>#N/A</v>
      </c>
      <c r="S227" s="8" t="s">
        <v>15</v>
      </c>
      <c r="T227" s="26" t="str">
        <f>IFERROR(__xludf.DUMMYFUNCTION("IFERROR(TRANSPOSE(QUERY(IFERROR(SORT(GOOGLEFINANCE(C227, ""price"", WORKDAY(TODAY(), -40), TODAY()), 1, FALSE)), ""select Col2 where Col2 is not null limit 22 label Col2 ''"", 0)), """")"),"")</f>
        <v/>
      </c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8"/>
      <c r="AO227" s="28"/>
      <c r="AP227" s="29"/>
      <c r="AQ227" s="29" t="str">
        <f t="shared" ref="AQ227:BL227" si="230">T227/T$2</f>
        <v>#N/A</v>
      </c>
      <c r="AR227" s="29" t="str">
        <f t="shared" si="230"/>
        <v>#DIV/0!</v>
      </c>
      <c r="AS227" s="29" t="str">
        <f t="shared" si="230"/>
        <v>#DIV/0!</v>
      </c>
      <c r="AT227" s="29" t="str">
        <f t="shared" si="230"/>
        <v>#DIV/0!</v>
      </c>
      <c r="AU227" s="29" t="str">
        <f t="shared" si="230"/>
        <v>#DIV/0!</v>
      </c>
      <c r="AV227" s="29" t="str">
        <f t="shared" si="230"/>
        <v>#DIV/0!</v>
      </c>
      <c r="AW227" s="29" t="str">
        <f t="shared" si="230"/>
        <v>#DIV/0!</v>
      </c>
      <c r="AX227" s="29" t="str">
        <f t="shared" si="230"/>
        <v>#DIV/0!</v>
      </c>
      <c r="AY227" s="29" t="str">
        <f t="shared" si="230"/>
        <v>#DIV/0!</v>
      </c>
      <c r="AZ227" s="29" t="str">
        <f t="shared" si="230"/>
        <v>#DIV/0!</v>
      </c>
      <c r="BA227" s="29" t="str">
        <f t="shared" si="230"/>
        <v>#DIV/0!</v>
      </c>
      <c r="BB227" s="29" t="str">
        <f t="shared" si="230"/>
        <v>#DIV/0!</v>
      </c>
      <c r="BC227" s="29" t="str">
        <f t="shared" si="230"/>
        <v>#DIV/0!</v>
      </c>
      <c r="BD227" s="29" t="str">
        <f t="shared" si="230"/>
        <v>#DIV/0!</v>
      </c>
      <c r="BE227" s="29" t="str">
        <f t="shared" si="230"/>
        <v>#DIV/0!</v>
      </c>
      <c r="BF227" s="29" t="str">
        <f t="shared" si="230"/>
        <v>#DIV/0!</v>
      </c>
      <c r="BG227" s="29" t="str">
        <f t="shared" si="230"/>
        <v>#DIV/0!</v>
      </c>
      <c r="BH227" s="29" t="str">
        <f t="shared" si="230"/>
        <v>#DIV/0!</v>
      </c>
      <c r="BI227" s="29" t="str">
        <f t="shared" si="230"/>
        <v>#DIV/0!</v>
      </c>
      <c r="BJ227" s="29" t="str">
        <f t="shared" si="230"/>
        <v>#DIV/0!</v>
      </c>
      <c r="BK227" s="29" t="str">
        <f t="shared" si="230"/>
        <v>#DIV/0!</v>
      </c>
      <c r="BL227" s="29" t="str">
        <f t="shared" si="230"/>
        <v>#DIV/0!</v>
      </c>
      <c r="BM227" s="29" t="str">
        <f t="shared" si="3"/>
        <v>#DIV/0!</v>
      </c>
    </row>
    <row r="228">
      <c r="A228" s="16" t="str">
        <f>IFERROR(__xludf.DUMMYFUNCTION("IFERROR(SPARKLINE(SORT(MAP(TRANSPOSE(AQ228:BL228), LAMBDA(val, IF(ISNUMBER(val), PERCENTRANK(AQ228:BL228, val)+0.01, 0))), SEQUENCE(COLUMNS(AQ228:BL228)), FALSE), {""charttype"",""column""; ""color"",""chartreuse""; ""ymin"", 0; ""ymax"", 1.01; ""highcolo"&amp;"r"", ""darkgreen""; ""lowcolor"", ""red""}), """")"),"")</f>
        <v/>
      </c>
      <c r="B228" s="17" t="str">
        <f t="shared" si="4"/>
        <v/>
      </c>
      <c r="C228" s="1" t="s">
        <v>947</v>
      </c>
      <c r="D228" s="30" t="str">
        <f>IFERROR(__xludf.DUMMYFUNCTION("IFERROR(GOOGLEFINANCE(C228, ""NAME""))"),"Wayfair Inc")</f>
        <v>Wayfair Inc</v>
      </c>
      <c r="E228" s="30" t="s">
        <v>137</v>
      </c>
      <c r="F228" s="33" t="str">
        <f>IFERROR(__xludf.DUMMYFUNCTION("( (GOOGLEFINANCE(C228, ""price"") - Q228) / Q228 ) / (R228 / 100)"),"Loading...")</f>
        <v>Loading...</v>
      </c>
      <c r="G228" s="20" t="str">
        <f>IFERROR(__xludf.DUMMYFUNCTION("AVERAGE(ARRAYFORMULA(100 * (QUERY(GOOGLEFINANCE(C228, ""high"", TODAY()-40, TODAY()), ""SELECT Col2 WHERE Col2 IS NOT NULL ORDER BY Col1 DESC LIMIT 20"", 0) / QUERY(GOOGLEFINANCE(C228, ""low"", TODAY()-40, TODAY()), ""SELECT Col2 WHERE Col2 IS NOT NULL OR"&amp;"DER BY Col1 DESC LIMIT 20"", 0) - 1)))"),"#N/A")</f>
        <v>#N/A</v>
      </c>
      <c r="H228" s="35" t="str">
        <f t="shared" si="6"/>
        <v/>
      </c>
      <c r="I228" s="35" t="str">
        <f t="shared" si="7"/>
        <v/>
      </c>
      <c r="J228" s="37" t="str">
        <f>IFERROR(__xludf.DUMMYFUNCTION("IFERROR(
  IF(C228="""",, 
    IFERROR(
      GOOGLEFINANCE(C228, ""price"") * GOOGLEFINANCE(C228, ""volumeavg""), 
      GOOGLEFINANCE(C228, ""price"") * AVERAGE(QUERY(GOOGLEFINANCE(C228, ""volume"", TODAY()-40, TODAY()), ""SELECT Col2 WHERE Col2 IS NOT "&amp;"NULL ORDER BY Col1 DESC LIMIT 20"", 0))
    )
  ), 
"""")"),"")</f>
        <v/>
      </c>
      <c r="K228" s="21" t="str">
        <f>IFERROR(__xludf.DUMMYFUNCTION("IFERROR(GOOGLEFINANCE(C228, ""changepct"") / 100, """")"),"")</f>
        <v/>
      </c>
      <c r="L228" s="21" t="str">
        <f>IFERROR(__xludf.DUMMYFUNCTION("IFERROR((GOOGLEFINANCE(C228, ""price"") / INDEX(GOOGLEFINANCE(C228, ""price"", TODAY()-7, TODAY()), 2, 2)) - 1, """")"),"")</f>
        <v/>
      </c>
      <c r="M228" s="21" t="str">
        <f>IFERROR(__xludf.DUMMYFUNCTION("IFERROR((GOOGLEFINANCE(C228, ""price"") / INDEX(GOOGLEFINANCE(C228, ""price"", EDATE(TODAY(), -1), TODAY()), 2, 2)) - 1, """")"),"")</f>
        <v/>
      </c>
      <c r="N228" s="21" t="str">
        <f>IFERROR(__xludf.DUMMYFUNCTION("IFERROR((GOOGLEFINANCE(C228, ""price"") / INDEX(GOOGLEFINANCE(C228, ""price"", EDATE(TODAY(), -3), TODAY()), 2, 2)) - 1, """")"),"")</f>
        <v/>
      </c>
      <c r="O228" s="21" t="str">
        <f>IFERROR(__xludf.DUMMYFUNCTION("IFERROR((GOOGLEFINANCE(C228, ""price"") / INDEX(GOOGLEFINANCE(C228, ""price"", EDATE(TODAY(), -6), TODAY()), 2, 2)) - 1, """")"),"")</f>
        <v/>
      </c>
      <c r="P228" s="21" t="str">
        <f>IFERROR(__xludf.DUMMYFUNCTION("IFERROR((GOOGLEFINANCE(C228, ""price"") / INDEX(GOOGLEFINANCE(C228, ""price"", EDATE(TODAY(), -12), TODAY()), 2, 2)) - 1, """")"),"")</f>
        <v/>
      </c>
      <c r="Q228" s="6" t="str">
        <f>IFERROR(__xludf.DUMMYFUNCTION("AVERAGE(QUERY(GOOGLEFINANCE(C228, ""price"", TODAY()-80, TODAY()), ""SELECT Col2 WHERE Col2 IS NOT NULL ORDER BY Col1 DESC LIMIT 50"", 0))"),"#N/A")</f>
        <v>#N/A</v>
      </c>
      <c r="R228" s="24" t="str">
        <f>IFERROR(__xludf.DUMMYFUNCTION("IFERROR(
  LET(
    data, QUERY(GOOGLEFINANCE(C228,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GOOGLEFINANCE(C228, ""price"")) * 100,
    IF(calc=0, G228, calc)
  ), 
G228)"),"#N/A")</f>
        <v>#N/A</v>
      </c>
      <c r="S228" s="8" t="s">
        <v>15</v>
      </c>
      <c r="T228" s="26" t="str">
        <f>IFERROR(__xludf.DUMMYFUNCTION("IFERROR(TRANSPOSE(QUERY(IFERROR(SORT(GOOGLEFINANCE(C228, ""price"", WORKDAY(TODAY(), -40), TODAY()), 1, FALSE)), ""select Col2 where Col2 is not null limit 22 label Col2 ''"", 0)), """")"),"")</f>
        <v/>
      </c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8"/>
      <c r="AO228" s="28"/>
      <c r="AP228" s="29"/>
      <c r="AQ228" s="29" t="str">
        <f t="shared" ref="AQ228:BL228" si="231">T228/T$2</f>
        <v>#N/A</v>
      </c>
      <c r="AR228" s="29" t="str">
        <f t="shared" si="231"/>
        <v>#DIV/0!</v>
      </c>
      <c r="AS228" s="29" t="str">
        <f t="shared" si="231"/>
        <v>#DIV/0!</v>
      </c>
      <c r="AT228" s="29" t="str">
        <f t="shared" si="231"/>
        <v>#DIV/0!</v>
      </c>
      <c r="AU228" s="29" t="str">
        <f t="shared" si="231"/>
        <v>#DIV/0!</v>
      </c>
      <c r="AV228" s="29" t="str">
        <f t="shared" si="231"/>
        <v>#DIV/0!</v>
      </c>
      <c r="AW228" s="29" t="str">
        <f t="shared" si="231"/>
        <v>#DIV/0!</v>
      </c>
      <c r="AX228" s="29" t="str">
        <f t="shared" si="231"/>
        <v>#DIV/0!</v>
      </c>
      <c r="AY228" s="29" t="str">
        <f t="shared" si="231"/>
        <v>#DIV/0!</v>
      </c>
      <c r="AZ228" s="29" t="str">
        <f t="shared" si="231"/>
        <v>#DIV/0!</v>
      </c>
      <c r="BA228" s="29" t="str">
        <f t="shared" si="231"/>
        <v>#DIV/0!</v>
      </c>
      <c r="BB228" s="29" t="str">
        <f t="shared" si="231"/>
        <v>#DIV/0!</v>
      </c>
      <c r="BC228" s="29" t="str">
        <f t="shared" si="231"/>
        <v>#DIV/0!</v>
      </c>
      <c r="BD228" s="29" t="str">
        <f t="shared" si="231"/>
        <v>#DIV/0!</v>
      </c>
      <c r="BE228" s="29" t="str">
        <f t="shared" si="231"/>
        <v>#DIV/0!</v>
      </c>
      <c r="BF228" s="29" t="str">
        <f t="shared" si="231"/>
        <v>#DIV/0!</v>
      </c>
      <c r="BG228" s="29" t="str">
        <f t="shared" si="231"/>
        <v>#DIV/0!</v>
      </c>
      <c r="BH228" s="29" t="str">
        <f t="shared" si="231"/>
        <v>#DIV/0!</v>
      </c>
      <c r="BI228" s="29" t="str">
        <f t="shared" si="231"/>
        <v>#DIV/0!</v>
      </c>
      <c r="BJ228" s="29" t="str">
        <f t="shared" si="231"/>
        <v>#DIV/0!</v>
      </c>
      <c r="BK228" s="29" t="str">
        <f t="shared" si="231"/>
        <v>#DIV/0!</v>
      </c>
      <c r="BL228" s="29" t="str">
        <f t="shared" si="231"/>
        <v>#DIV/0!</v>
      </c>
      <c r="BM228" s="29" t="str">
        <f t="shared" si="3"/>
        <v>#DIV/0!</v>
      </c>
    </row>
    <row r="229">
      <c r="A229" s="16" t="str">
        <f>IFERROR(__xludf.DUMMYFUNCTION("IFERROR(SPARKLINE(SORT(MAP(TRANSPOSE(AQ229:BL229), LAMBDA(val, IF(ISNUMBER(val), PERCENTRANK(AQ229:BL229, val)+0.01, 0))), SEQUENCE(COLUMNS(AQ229:BL229)), FALSE), {""charttype"",""column""; ""color"",""chartreuse""; ""ymin"", 0; ""ymax"", 1.01; ""highcolo"&amp;"r"", ""darkgreen""; ""lowcolor"", ""red""}), """")"),"")</f>
        <v/>
      </c>
      <c r="B229" s="17" t="str">
        <f t="shared" si="4"/>
        <v/>
      </c>
      <c r="C229" s="1" t="s">
        <v>950</v>
      </c>
      <c r="D229" s="30" t="str">
        <f>IFERROR(__xludf.DUMMYFUNCTION("IFERROR(GOOGLEFINANCE(C229, ""NAME""))"),"Asbury Automotive Group Inc")</f>
        <v>Asbury Automotive Group Inc</v>
      </c>
      <c r="E229" s="30" t="s">
        <v>190</v>
      </c>
      <c r="F229" s="38" t="str">
        <f>IFERROR(__xludf.DUMMYFUNCTION("( (GOOGLEFINANCE(C229, ""price"") - Q229) / Q229 ) / (R229 / 100)"),"Loading...")</f>
        <v>Loading...</v>
      </c>
      <c r="G229" s="20" t="str">
        <f>IFERROR(__xludf.DUMMYFUNCTION("AVERAGE(ARRAYFORMULA(100 * (QUERY(GOOGLEFINANCE(C229, ""high"", TODAY()-40, TODAY()), ""SELECT Col2 WHERE Col2 IS NOT NULL ORDER BY Col1 DESC LIMIT 20"", 0) / QUERY(GOOGLEFINANCE(C229, ""low"", TODAY()-40, TODAY()), ""SELECT Col2 WHERE Col2 IS NOT NULL OR"&amp;"DER BY Col1 DESC LIMIT 20"", 0) - 1)))"),"#N/A")</f>
        <v>#N/A</v>
      </c>
      <c r="H229" s="35" t="str">
        <f t="shared" si="6"/>
        <v/>
      </c>
      <c r="I229" s="35" t="str">
        <f t="shared" si="7"/>
        <v/>
      </c>
      <c r="J229" s="37" t="str">
        <f>IFERROR(__xludf.DUMMYFUNCTION("IFERROR(
  IF(C229="""",, 
    IFERROR(
      GOOGLEFINANCE(C229, ""price"") * GOOGLEFINANCE(C229, ""volumeavg""), 
      GOOGLEFINANCE(C229, ""price"") * AVERAGE(QUERY(GOOGLEFINANCE(C229, ""volume"", TODAY()-40, TODAY()), ""SELECT Col2 WHERE Col2 IS NOT "&amp;"NULL ORDER BY Col1 DESC LIMIT 20"", 0))
    )
  ), 
"""")"),"")</f>
        <v/>
      </c>
      <c r="K229" s="21" t="str">
        <f>IFERROR(__xludf.DUMMYFUNCTION("IFERROR(GOOGLEFINANCE(C229, ""changepct"") / 100, """")"),"")</f>
        <v/>
      </c>
      <c r="L229" s="21" t="str">
        <f>IFERROR(__xludf.DUMMYFUNCTION("IFERROR((GOOGLEFINANCE(C229, ""price"") / INDEX(GOOGLEFINANCE(C229, ""price"", TODAY()-7, TODAY()), 2, 2)) - 1, """")"),"")</f>
        <v/>
      </c>
      <c r="M229" s="21" t="str">
        <f>IFERROR(__xludf.DUMMYFUNCTION("IFERROR((GOOGLEFINANCE(C229, ""price"") / INDEX(GOOGLEFINANCE(C229, ""price"", EDATE(TODAY(), -1), TODAY()), 2, 2)) - 1, """")"),"")</f>
        <v/>
      </c>
      <c r="N229" s="21" t="str">
        <f>IFERROR(__xludf.DUMMYFUNCTION("IFERROR((GOOGLEFINANCE(C229, ""price"") / INDEX(GOOGLEFINANCE(C229, ""price"", EDATE(TODAY(), -3), TODAY()), 2, 2)) - 1, """")"),"")</f>
        <v/>
      </c>
      <c r="O229" s="21" t="str">
        <f>IFERROR(__xludf.DUMMYFUNCTION("IFERROR((GOOGLEFINANCE(C229, ""price"") / INDEX(GOOGLEFINANCE(C229, ""price"", EDATE(TODAY(), -6), TODAY()), 2, 2)) - 1, """")"),"")</f>
        <v/>
      </c>
      <c r="P229" s="21" t="str">
        <f>IFERROR(__xludf.DUMMYFUNCTION("IFERROR((GOOGLEFINANCE(C229, ""price"") / INDEX(GOOGLEFINANCE(C229, ""price"", EDATE(TODAY(), -12), TODAY()), 2, 2)) - 1, """")"),"")</f>
        <v/>
      </c>
      <c r="Q229" s="6" t="str">
        <f>IFERROR(__xludf.DUMMYFUNCTION("AVERAGE(QUERY(GOOGLEFINANCE(C229, ""price"", TODAY()-80, TODAY()), ""SELECT Col2 WHERE Col2 IS NOT NULL ORDER BY Col1 DESC LIMIT 50"", 0))"),"#N/A")</f>
        <v>#N/A</v>
      </c>
      <c r="R229" s="24" t="str">
        <f>IFERROR(__xludf.DUMMYFUNCTION("IFERROR(
  LET(
    data, QUERY(GOOGLEFINANCE(C229,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GOOGLEFINANCE(C229, ""price"")) * 100,
    IF(calc=0, G229, calc)
  ), 
G229)"),"#N/A")</f>
        <v>#N/A</v>
      </c>
      <c r="S229" s="8" t="s">
        <v>15</v>
      </c>
      <c r="T229" s="26" t="str">
        <f>IFERROR(__xludf.DUMMYFUNCTION("IFERROR(TRANSPOSE(QUERY(IFERROR(SORT(GOOGLEFINANCE(C229, ""price"", WORKDAY(TODAY(), -40), TODAY()), 1, FALSE)), ""select Col2 where Col2 is not null limit 22 label Col2 ''"", 0)), """")"),"")</f>
        <v/>
      </c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8"/>
      <c r="AO229" s="28"/>
      <c r="AP229" s="29"/>
      <c r="AQ229" s="29" t="str">
        <f t="shared" ref="AQ229:BL229" si="232">T229/T$2</f>
        <v>#N/A</v>
      </c>
      <c r="AR229" s="29" t="str">
        <f t="shared" si="232"/>
        <v>#DIV/0!</v>
      </c>
      <c r="AS229" s="29" t="str">
        <f t="shared" si="232"/>
        <v>#DIV/0!</v>
      </c>
      <c r="AT229" s="29" t="str">
        <f t="shared" si="232"/>
        <v>#DIV/0!</v>
      </c>
      <c r="AU229" s="29" t="str">
        <f t="shared" si="232"/>
        <v>#DIV/0!</v>
      </c>
      <c r="AV229" s="29" t="str">
        <f t="shared" si="232"/>
        <v>#DIV/0!</v>
      </c>
      <c r="AW229" s="29" t="str">
        <f t="shared" si="232"/>
        <v>#DIV/0!</v>
      </c>
      <c r="AX229" s="29" t="str">
        <f t="shared" si="232"/>
        <v>#DIV/0!</v>
      </c>
      <c r="AY229" s="29" t="str">
        <f t="shared" si="232"/>
        <v>#DIV/0!</v>
      </c>
      <c r="AZ229" s="29" t="str">
        <f t="shared" si="232"/>
        <v>#DIV/0!</v>
      </c>
      <c r="BA229" s="29" t="str">
        <f t="shared" si="232"/>
        <v>#DIV/0!</v>
      </c>
      <c r="BB229" s="29" t="str">
        <f t="shared" si="232"/>
        <v>#DIV/0!</v>
      </c>
      <c r="BC229" s="29" t="str">
        <f t="shared" si="232"/>
        <v>#DIV/0!</v>
      </c>
      <c r="BD229" s="29" t="str">
        <f t="shared" si="232"/>
        <v>#DIV/0!</v>
      </c>
      <c r="BE229" s="29" t="str">
        <f t="shared" si="232"/>
        <v>#DIV/0!</v>
      </c>
      <c r="BF229" s="29" t="str">
        <f t="shared" si="232"/>
        <v>#DIV/0!</v>
      </c>
      <c r="BG229" s="29" t="str">
        <f t="shared" si="232"/>
        <v>#DIV/0!</v>
      </c>
      <c r="BH229" s="29" t="str">
        <f t="shared" si="232"/>
        <v>#DIV/0!</v>
      </c>
      <c r="BI229" s="29" t="str">
        <f t="shared" si="232"/>
        <v>#DIV/0!</v>
      </c>
      <c r="BJ229" s="29" t="str">
        <f t="shared" si="232"/>
        <v>#DIV/0!</v>
      </c>
      <c r="BK229" s="29" t="str">
        <f t="shared" si="232"/>
        <v>#DIV/0!</v>
      </c>
      <c r="BL229" s="29" t="str">
        <f t="shared" si="232"/>
        <v>#DIV/0!</v>
      </c>
      <c r="BM229" s="29" t="str">
        <f t="shared" si="3"/>
        <v>#DIV/0!</v>
      </c>
    </row>
    <row r="230">
      <c r="A230" s="16" t="str">
        <f>IFERROR(__xludf.DUMMYFUNCTION("IFERROR(SPARKLINE(SORT(MAP(TRANSPOSE(AQ230:BL230), LAMBDA(val, IF(ISNUMBER(val), PERCENTRANK(AQ230:BL230, val)+0.01, 0))), SEQUENCE(COLUMNS(AQ230:BL230)), FALSE), {""charttype"",""column""; ""color"",""chartreuse""; ""ymin"", 0; ""ymax"", 1.01; ""highcolo"&amp;"r"", ""darkgreen""; ""lowcolor"", ""red""}), """")"),"")</f>
        <v/>
      </c>
      <c r="B230" s="17" t="str">
        <f t="shared" si="4"/>
        <v/>
      </c>
      <c r="C230" s="1" t="s">
        <v>953</v>
      </c>
      <c r="D230" s="30" t="str">
        <f>IFERROR(__xludf.DUMMYFUNCTION("IFERROR(GOOGLEFINANCE(C230, ""NAME""))"),"Meritage Homes Corp")</f>
        <v>Meritage Homes Corp</v>
      </c>
      <c r="E230" s="30" t="s">
        <v>261</v>
      </c>
      <c r="F230" s="33" t="str">
        <f>IFERROR(__xludf.DUMMYFUNCTION("( (GOOGLEFINANCE(C230, ""price"") - Q230) / Q230 ) / (R230 / 100)"),"Loading...")</f>
        <v>Loading...</v>
      </c>
      <c r="G230" s="20" t="str">
        <f>IFERROR(__xludf.DUMMYFUNCTION("AVERAGE(ARRAYFORMULA(100 * (QUERY(GOOGLEFINANCE(C230, ""high"", TODAY()-40, TODAY()), ""SELECT Col2 WHERE Col2 IS NOT NULL ORDER BY Col1 DESC LIMIT 20"", 0) / QUERY(GOOGLEFINANCE(C230, ""low"", TODAY()-40, TODAY()), ""SELECT Col2 WHERE Col2 IS NOT NULL OR"&amp;"DER BY Col1 DESC LIMIT 20"", 0) - 1)))"),"#N/A")</f>
        <v>#N/A</v>
      </c>
      <c r="H230" s="35" t="str">
        <f t="shared" si="6"/>
        <v/>
      </c>
      <c r="I230" s="35" t="str">
        <f t="shared" si="7"/>
        <v/>
      </c>
      <c r="J230" s="37" t="str">
        <f>IFERROR(__xludf.DUMMYFUNCTION("IFERROR(
  IF(C230="""",, 
    IFERROR(
      GOOGLEFINANCE(C230, ""price"") * GOOGLEFINANCE(C230, ""volumeavg""), 
      GOOGLEFINANCE(C230, ""price"") * AVERAGE(QUERY(GOOGLEFINANCE(C230, ""volume"", TODAY()-40, TODAY()), ""SELECT Col2 WHERE Col2 IS NOT "&amp;"NULL ORDER BY Col1 DESC LIMIT 20"", 0))
    )
  ), 
"""")"),"")</f>
        <v/>
      </c>
      <c r="K230" s="21" t="str">
        <f>IFERROR(__xludf.DUMMYFUNCTION("IFERROR(GOOGLEFINANCE(C230, ""changepct"") / 100, """")"),"")</f>
        <v/>
      </c>
      <c r="L230" s="21" t="str">
        <f>IFERROR(__xludf.DUMMYFUNCTION("IFERROR((GOOGLEFINANCE(C230, ""price"") / INDEX(GOOGLEFINANCE(C230, ""price"", TODAY()-7, TODAY()), 2, 2)) - 1, """")"),"")</f>
        <v/>
      </c>
      <c r="M230" s="21" t="str">
        <f>IFERROR(__xludf.DUMMYFUNCTION("IFERROR((GOOGLEFINANCE(C230, ""price"") / INDEX(GOOGLEFINANCE(C230, ""price"", EDATE(TODAY(), -1), TODAY()), 2, 2)) - 1, """")"),"")</f>
        <v/>
      </c>
      <c r="N230" s="21" t="str">
        <f>IFERROR(__xludf.DUMMYFUNCTION("IFERROR((GOOGLEFINANCE(C230, ""price"") / INDEX(GOOGLEFINANCE(C230, ""price"", EDATE(TODAY(), -3), TODAY()), 2, 2)) - 1, """")"),"")</f>
        <v/>
      </c>
      <c r="O230" s="21" t="str">
        <f>IFERROR(__xludf.DUMMYFUNCTION("IFERROR((GOOGLEFINANCE(C230, ""price"") / INDEX(GOOGLEFINANCE(C230, ""price"", EDATE(TODAY(), -6), TODAY()), 2, 2)) - 1, """")"),"")</f>
        <v/>
      </c>
      <c r="P230" s="21" t="str">
        <f>IFERROR(__xludf.DUMMYFUNCTION("IFERROR((GOOGLEFINANCE(C230, ""price"") / INDEX(GOOGLEFINANCE(C230, ""price"", EDATE(TODAY(), -12), TODAY()), 2, 2)) - 1, """")"),"")</f>
        <v/>
      </c>
      <c r="Q230" s="6" t="str">
        <f>IFERROR(__xludf.DUMMYFUNCTION("AVERAGE(QUERY(GOOGLEFINANCE(C230, ""price"", TODAY()-80, TODAY()), ""SELECT Col2 WHERE Col2 IS NOT NULL ORDER BY Col1 DESC LIMIT 50"", 0))"),"#N/A")</f>
        <v>#N/A</v>
      </c>
      <c r="R230" s="24" t="str">
        <f>IFERROR(__xludf.DUMMYFUNCTION("IFERROR(
  LET(
    data, QUERY(GOOGLEFINANCE(C230,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GOOGLEFINANCE(C230, ""price"")) * 100,
    IF(calc=0, G230, calc)
  ), 
G230)"),"#N/A")</f>
        <v>#N/A</v>
      </c>
      <c r="S230" s="8" t="s">
        <v>15</v>
      </c>
      <c r="T230" s="26" t="str">
        <f>IFERROR(__xludf.DUMMYFUNCTION("IFERROR(TRANSPOSE(QUERY(IFERROR(SORT(GOOGLEFINANCE(C230, ""price"", WORKDAY(TODAY(), -40), TODAY()), 1, FALSE)), ""select Col2 where Col2 is not null limit 22 label Col2 ''"", 0)), """")"),"")</f>
        <v/>
      </c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8"/>
      <c r="AO230" s="28"/>
      <c r="AP230" s="29"/>
      <c r="AQ230" s="29" t="str">
        <f t="shared" ref="AQ230:BL230" si="233">T230/T$2</f>
        <v>#N/A</v>
      </c>
      <c r="AR230" s="29" t="str">
        <f t="shared" si="233"/>
        <v>#DIV/0!</v>
      </c>
      <c r="AS230" s="29" t="str">
        <f t="shared" si="233"/>
        <v>#DIV/0!</v>
      </c>
      <c r="AT230" s="29" t="str">
        <f t="shared" si="233"/>
        <v>#DIV/0!</v>
      </c>
      <c r="AU230" s="29" t="str">
        <f t="shared" si="233"/>
        <v>#DIV/0!</v>
      </c>
      <c r="AV230" s="29" t="str">
        <f t="shared" si="233"/>
        <v>#DIV/0!</v>
      </c>
      <c r="AW230" s="29" t="str">
        <f t="shared" si="233"/>
        <v>#DIV/0!</v>
      </c>
      <c r="AX230" s="29" t="str">
        <f t="shared" si="233"/>
        <v>#DIV/0!</v>
      </c>
      <c r="AY230" s="29" t="str">
        <f t="shared" si="233"/>
        <v>#DIV/0!</v>
      </c>
      <c r="AZ230" s="29" t="str">
        <f t="shared" si="233"/>
        <v>#DIV/0!</v>
      </c>
      <c r="BA230" s="29" t="str">
        <f t="shared" si="233"/>
        <v>#DIV/0!</v>
      </c>
      <c r="BB230" s="29" t="str">
        <f t="shared" si="233"/>
        <v>#DIV/0!</v>
      </c>
      <c r="BC230" s="29" t="str">
        <f t="shared" si="233"/>
        <v>#DIV/0!</v>
      </c>
      <c r="BD230" s="29" t="str">
        <f t="shared" si="233"/>
        <v>#DIV/0!</v>
      </c>
      <c r="BE230" s="29" t="str">
        <f t="shared" si="233"/>
        <v>#DIV/0!</v>
      </c>
      <c r="BF230" s="29" t="str">
        <f t="shared" si="233"/>
        <v>#DIV/0!</v>
      </c>
      <c r="BG230" s="29" t="str">
        <f t="shared" si="233"/>
        <v>#DIV/0!</v>
      </c>
      <c r="BH230" s="29" t="str">
        <f t="shared" si="233"/>
        <v>#DIV/0!</v>
      </c>
      <c r="BI230" s="29" t="str">
        <f t="shared" si="233"/>
        <v>#DIV/0!</v>
      </c>
      <c r="BJ230" s="29" t="str">
        <f t="shared" si="233"/>
        <v>#DIV/0!</v>
      </c>
      <c r="BK230" s="29" t="str">
        <f t="shared" si="233"/>
        <v>#DIV/0!</v>
      </c>
      <c r="BL230" s="29" t="str">
        <f t="shared" si="233"/>
        <v>#DIV/0!</v>
      </c>
      <c r="BM230" s="29" t="str">
        <f t="shared" si="3"/>
        <v>#DIV/0!</v>
      </c>
    </row>
    <row r="231">
      <c r="A231" s="16" t="str">
        <f>IFERROR(__xludf.DUMMYFUNCTION("IFERROR(SPARKLINE(SORT(MAP(TRANSPOSE(AQ231:BL231), LAMBDA(val, IF(ISNUMBER(val), PERCENTRANK(AQ231:BL231, val)+0.01, 0))), SEQUENCE(COLUMNS(AQ231:BL231)), FALSE), {""charttype"",""column""; ""color"",""chartreuse""; ""ymin"", 0; ""ymax"", 1.01; ""highcolo"&amp;"r"", ""darkgreen""; ""lowcolor"", ""red""}), """")"),"")</f>
        <v/>
      </c>
      <c r="B231" s="17" t="str">
        <f t="shared" si="4"/>
        <v/>
      </c>
      <c r="C231" s="1" t="s">
        <v>957</v>
      </c>
      <c r="D231" s="30" t="str">
        <f>IFERROR(__xludf.DUMMYFUNCTION("IFERROR(GOOGLEFINANCE(C231, ""NAME""))"),"")</f>
        <v/>
      </c>
      <c r="E231" s="30" t="s">
        <v>647</v>
      </c>
      <c r="F231" s="33" t="str">
        <f>IFERROR(__xludf.DUMMYFUNCTION("( (GOOGLEFINANCE(C231, ""price"") - Q231) / Q231 ) / (R231 / 100)"),"Loading...")</f>
        <v>Loading...</v>
      </c>
      <c r="G231" s="20" t="str">
        <f>IFERROR(__xludf.DUMMYFUNCTION("AVERAGE(ARRAYFORMULA(100 * (QUERY(GOOGLEFINANCE(C231, ""high"", TODAY()-40, TODAY()), ""SELECT Col2 WHERE Col2 IS NOT NULL ORDER BY Col1 DESC LIMIT 20"", 0) / QUERY(GOOGLEFINANCE(C231, ""low"", TODAY()-40, TODAY()), ""SELECT Col2 WHERE Col2 IS NOT NULL OR"&amp;"DER BY Col1 DESC LIMIT 20"", 0) - 1)))"),"#N/A")</f>
        <v>#N/A</v>
      </c>
      <c r="H231" s="35" t="str">
        <f t="shared" si="6"/>
        <v/>
      </c>
      <c r="I231" s="35" t="str">
        <f t="shared" si="7"/>
        <v/>
      </c>
      <c r="J231" s="37" t="str">
        <f>IFERROR(__xludf.DUMMYFUNCTION("IFERROR(
  IF(C231="""",, 
    IFERROR(
      GOOGLEFINANCE(C231, ""price"") * GOOGLEFINANCE(C231, ""volumeavg""), 
      GOOGLEFINANCE(C231, ""price"") * AVERAGE(QUERY(GOOGLEFINANCE(C231, ""volume"", TODAY()-40, TODAY()), ""SELECT Col2 WHERE Col2 IS NOT "&amp;"NULL ORDER BY Col1 DESC LIMIT 20"", 0))
    )
  ), 
"""")"),"")</f>
        <v/>
      </c>
      <c r="K231" s="21" t="str">
        <f>IFERROR(__xludf.DUMMYFUNCTION("IFERROR(GOOGLEFINANCE(C231, ""changepct"") / 100, """")"),"")</f>
        <v/>
      </c>
      <c r="L231" s="21" t="str">
        <f>IFERROR(__xludf.DUMMYFUNCTION("IFERROR((GOOGLEFINANCE(C231, ""price"") / INDEX(GOOGLEFINANCE(C231, ""price"", TODAY()-7, TODAY()), 2, 2)) - 1, """")"),"")</f>
        <v/>
      </c>
      <c r="M231" s="21" t="str">
        <f>IFERROR(__xludf.DUMMYFUNCTION("IFERROR((GOOGLEFINANCE(C231, ""price"") / INDEX(GOOGLEFINANCE(C231, ""price"", EDATE(TODAY(), -1), TODAY()), 2, 2)) - 1, """")"),"")</f>
        <v/>
      </c>
      <c r="N231" s="21" t="str">
        <f>IFERROR(__xludf.DUMMYFUNCTION("IFERROR((GOOGLEFINANCE(C231, ""price"") / INDEX(GOOGLEFINANCE(C231, ""price"", EDATE(TODAY(), -3), TODAY()), 2, 2)) - 1, """")"),"")</f>
        <v/>
      </c>
      <c r="O231" s="21" t="str">
        <f>IFERROR(__xludf.DUMMYFUNCTION("IFERROR((GOOGLEFINANCE(C231, ""price"") / INDEX(GOOGLEFINANCE(C231, ""price"", EDATE(TODAY(), -6), TODAY()), 2, 2)) - 1, """")"),"")</f>
        <v/>
      </c>
      <c r="P231" s="21" t="str">
        <f>IFERROR(__xludf.DUMMYFUNCTION("IFERROR((GOOGLEFINANCE(C231, ""price"") / INDEX(GOOGLEFINANCE(C231, ""price"", EDATE(TODAY(), -12), TODAY()), 2, 2)) - 1, """")"),"")</f>
        <v/>
      </c>
      <c r="Q231" s="6" t="str">
        <f>IFERROR(__xludf.DUMMYFUNCTION("AVERAGE(QUERY(GOOGLEFINANCE(C231, ""price"", TODAY()-80, TODAY()), ""SELECT Col2 WHERE Col2 IS NOT NULL ORDER BY Col1 DESC LIMIT 50"", 0))"),"#N/A")</f>
        <v>#N/A</v>
      </c>
      <c r="R231" s="24" t="str">
        <f>IFERROR(__xludf.DUMMYFUNCTION("IFERROR(
  LET(
    data, QUERY(GOOGLEFINANCE(C231,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GOOGLEFINANCE(C231, ""price"")) * 100,
    IF(calc=0, G231, calc)
  ), 
G231)"),"#N/A")</f>
        <v>#N/A</v>
      </c>
      <c r="S231" s="8" t="s">
        <v>15</v>
      </c>
      <c r="T231" s="26" t="str">
        <f>IFERROR(__xludf.DUMMYFUNCTION("IFERROR(TRANSPOSE(QUERY(IFERROR(SORT(GOOGLEFINANCE(C231, ""price"", WORKDAY(TODAY(), -40), TODAY()), 1, FALSE)), ""select Col2 where Col2 is not null limit 22 label Col2 ''"", 0)), """")"),"")</f>
        <v/>
      </c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8"/>
      <c r="AO231" s="28"/>
      <c r="AP231" s="29"/>
      <c r="AQ231" s="29" t="str">
        <f t="shared" ref="AQ231:BL231" si="234">T231/T$2</f>
        <v>#N/A</v>
      </c>
      <c r="AR231" s="29" t="str">
        <f t="shared" si="234"/>
        <v>#DIV/0!</v>
      </c>
      <c r="AS231" s="29" t="str">
        <f t="shared" si="234"/>
        <v>#DIV/0!</v>
      </c>
      <c r="AT231" s="29" t="str">
        <f t="shared" si="234"/>
        <v>#DIV/0!</v>
      </c>
      <c r="AU231" s="29" t="str">
        <f t="shared" si="234"/>
        <v>#DIV/0!</v>
      </c>
      <c r="AV231" s="29" t="str">
        <f t="shared" si="234"/>
        <v>#DIV/0!</v>
      </c>
      <c r="AW231" s="29" t="str">
        <f t="shared" si="234"/>
        <v>#DIV/0!</v>
      </c>
      <c r="AX231" s="29" t="str">
        <f t="shared" si="234"/>
        <v>#DIV/0!</v>
      </c>
      <c r="AY231" s="29" t="str">
        <f t="shared" si="234"/>
        <v>#DIV/0!</v>
      </c>
      <c r="AZ231" s="29" t="str">
        <f t="shared" si="234"/>
        <v>#DIV/0!</v>
      </c>
      <c r="BA231" s="29" t="str">
        <f t="shared" si="234"/>
        <v>#DIV/0!</v>
      </c>
      <c r="BB231" s="29" t="str">
        <f t="shared" si="234"/>
        <v>#DIV/0!</v>
      </c>
      <c r="BC231" s="29" t="str">
        <f t="shared" si="234"/>
        <v>#DIV/0!</v>
      </c>
      <c r="BD231" s="29" t="str">
        <f t="shared" si="234"/>
        <v>#DIV/0!</v>
      </c>
      <c r="BE231" s="29" t="str">
        <f t="shared" si="234"/>
        <v>#DIV/0!</v>
      </c>
      <c r="BF231" s="29" t="str">
        <f t="shared" si="234"/>
        <v>#DIV/0!</v>
      </c>
      <c r="BG231" s="29" t="str">
        <f t="shared" si="234"/>
        <v>#DIV/0!</v>
      </c>
      <c r="BH231" s="29" t="str">
        <f t="shared" si="234"/>
        <v>#DIV/0!</v>
      </c>
      <c r="BI231" s="29" t="str">
        <f t="shared" si="234"/>
        <v>#DIV/0!</v>
      </c>
      <c r="BJ231" s="29" t="str">
        <f t="shared" si="234"/>
        <v>#DIV/0!</v>
      </c>
      <c r="BK231" s="29" t="str">
        <f t="shared" si="234"/>
        <v>#DIV/0!</v>
      </c>
      <c r="BL231" s="29" t="str">
        <f t="shared" si="234"/>
        <v>#DIV/0!</v>
      </c>
      <c r="BM231" s="29" t="str">
        <f t="shared" si="3"/>
        <v>#DIV/0!</v>
      </c>
    </row>
    <row r="232">
      <c r="A232" s="16" t="str">
        <f>IFERROR(__xludf.DUMMYFUNCTION("IFERROR(SPARKLINE(SORT(MAP(TRANSPOSE(AQ232:BL232), LAMBDA(val, IF(ISNUMBER(val), PERCENTRANK(AQ232:BL232, val)+0.01, 0))), SEQUENCE(COLUMNS(AQ232:BL232)), FALSE), {""charttype"",""column""; ""color"",""chartreuse""; ""ymin"", 0; ""ymax"", 1.01; ""highcolo"&amp;"r"", ""darkgreen""; ""lowcolor"", ""red""}), """")"),"")</f>
        <v/>
      </c>
      <c r="B232" s="17" t="str">
        <f t="shared" si="4"/>
        <v/>
      </c>
      <c r="C232" s="1" t="s">
        <v>959</v>
      </c>
      <c r="D232" s="30" t="str">
        <f>IFERROR(__xludf.DUMMYFUNCTION("IFERROR(GOOGLEFINANCE(C232, ""NAME""))"),"Levi Strauss &amp; Co")</f>
        <v>Levi Strauss &amp; Co</v>
      </c>
      <c r="E232" s="30" t="s">
        <v>317</v>
      </c>
      <c r="F232" s="33" t="str">
        <f>IFERROR(__xludf.DUMMYFUNCTION("( (GOOGLEFINANCE(C232, ""price"") - Q232) / Q232 ) / (R232 / 100)"),"Loading...")</f>
        <v>Loading...</v>
      </c>
      <c r="G232" s="20" t="str">
        <f>IFERROR(__xludf.DUMMYFUNCTION("AVERAGE(ARRAYFORMULA(100 * (QUERY(GOOGLEFINANCE(C232, ""high"", TODAY()-40, TODAY()), ""SELECT Col2 WHERE Col2 IS NOT NULL ORDER BY Col1 DESC LIMIT 20"", 0) / QUERY(GOOGLEFINANCE(C232, ""low"", TODAY()-40, TODAY()), ""SELECT Col2 WHERE Col2 IS NOT NULL OR"&amp;"DER BY Col1 DESC LIMIT 20"", 0) - 1)))"),"#N/A")</f>
        <v>#N/A</v>
      </c>
      <c r="H232" s="35" t="str">
        <f t="shared" si="6"/>
        <v/>
      </c>
      <c r="I232" s="35" t="str">
        <f t="shared" si="7"/>
        <v/>
      </c>
      <c r="J232" s="37" t="str">
        <f>IFERROR(__xludf.DUMMYFUNCTION("IFERROR(
  IF(C232="""",, 
    IFERROR(
      GOOGLEFINANCE(C232, ""price"") * GOOGLEFINANCE(C232, ""volumeavg""), 
      GOOGLEFINANCE(C232, ""price"") * AVERAGE(QUERY(GOOGLEFINANCE(C232, ""volume"", TODAY()-40, TODAY()), ""SELECT Col2 WHERE Col2 IS NOT "&amp;"NULL ORDER BY Col1 DESC LIMIT 20"", 0))
    )
  ), 
"""")"),"")</f>
        <v/>
      </c>
      <c r="K232" s="21" t="str">
        <f>IFERROR(__xludf.DUMMYFUNCTION("IFERROR(GOOGLEFINANCE(C232, ""changepct"") / 100, """")"),"")</f>
        <v/>
      </c>
      <c r="L232" s="21" t="str">
        <f>IFERROR(__xludf.DUMMYFUNCTION("IFERROR((GOOGLEFINANCE(C232, ""price"") / INDEX(GOOGLEFINANCE(C232, ""price"", TODAY()-7, TODAY()), 2, 2)) - 1, """")"),"")</f>
        <v/>
      </c>
      <c r="M232" s="21" t="str">
        <f>IFERROR(__xludf.DUMMYFUNCTION("IFERROR((GOOGLEFINANCE(C232, ""price"") / INDEX(GOOGLEFINANCE(C232, ""price"", EDATE(TODAY(), -1), TODAY()), 2, 2)) - 1, """")"),"")</f>
        <v/>
      </c>
      <c r="N232" s="21" t="str">
        <f>IFERROR(__xludf.DUMMYFUNCTION("IFERROR((GOOGLEFINANCE(C232, ""price"") / INDEX(GOOGLEFINANCE(C232, ""price"", EDATE(TODAY(), -3), TODAY()), 2, 2)) - 1, """")"),"")</f>
        <v/>
      </c>
      <c r="O232" s="21" t="str">
        <f>IFERROR(__xludf.DUMMYFUNCTION("IFERROR((GOOGLEFINANCE(C232, ""price"") / INDEX(GOOGLEFINANCE(C232, ""price"", EDATE(TODAY(), -6), TODAY()), 2, 2)) - 1, """")"),"")</f>
        <v/>
      </c>
      <c r="P232" s="21" t="str">
        <f>IFERROR(__xludf.DUMMYFUNCTION("IFERROR((GOOGLEFINANCE(C232, ""price"") / INDEX(GOOGLEFINANCE(C232, ""price"", EDATE(TODAY(), -12), TODAY()), 2, 2)) - 1, """")"),"")</f>
        <v/>
      </c>
      <c r="Q232" s="6" t="str">
        <f>IFERROR(__xludf.DUMMYFUNCTION("AVERAGE(QUERY(GOOGLEFINANCE(C232, ""price"", TODAY()-80, TODAY()), ""SELECT Col2 WHERE Col2 IS NOT NULL ORDER BY Col1 DESC LIMIT 50"", 0))"),"#N/A")</f>
        <v>#N/A</v>
      </c>
      <c r="R232" s="24" t="str">
        <f>IFERROR(__xludf.DUMMYFUNCTION("IFERROR(
  LET(
    data, QUERY(GOOGLEFINANCE(C232,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GOOGLEFINANCE(C232, ""price"")) * 100,
    IF(calc=0, G232, calc)
  ), 
G232)"),"#N/A")</f>
        <v>#N/A</v>
      </c>
      <c r="S232" s="8" t="s">
        <v>15</v>
      </c>
      <c r="T232" s="26" t="str">
        <f>IFERROR(__xludf.DUMMYFUNCTION("IFERROR(TRANSPOSE(QUERY(IFERROR(SORT(GOOGLEFINANCE(C232, ""price"", WORKDAY(TODAY(), -40), TODAY()), 1, FALSE)), ""select Col2 where Col2 is not null limit 22 label Col2 ''"", 0)), """")"),"")</f>
        <v/>
      </c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8"/>
      <c r="AO232" s="28"/>
      <c r="AP232" s="29"/>
      <c r="AQ232" s="29" t="str">
        <f t="shared" ref="AQ232:BL232" si="235">T232/T$2</f>
        <v>#N/A</v>
      </c>
      <c r="AR232" s="29" t="str">
        <f t="shared" si="235"/>
        <v>#DIV/0!</v>
      </c>
      <c r="AS232" s="29" t="str">
        <f t="shared" si="235"/>
        <v>#DIV/0!</v>
      </c>
      <c r="AT232" s="29" t="str">
        <f t="shared" si="235"/>
        <v>#DIV/0!</v>
      </c>
      <c r="AU232" s="29" t="str">
        <f t="shared" si="235"/>
        <v>#DIV/0!</v>
      </c>
      <c r="AV232" s="29" t="str">
        <f t="shared" si="235"/>
        <v>#DIV/0!</v>
      </c>
      <c r="AW232" s="29" t="str">
        <f t="shared" si="235"/>
        <v>#DIV/0!</v>
      </c>
      <c r="AX232" s="29" t="str">
        <f t="shared" si="235"/>
        <v>#DIV/0!</v>
      </c>
      <c r="AY232" s="29" t="str">
        <f t="shared" si="235"/>
        <v>#DIV/0!</v>
      </c>
      <c r="AZ232" s="29" t="str">
        <f t="shared" si="235"/>
        <v>#DIV/0!</v>
      </c>
      <c r="BA232" s="29" t="str">
        <f t="shared" si="235"/>
        <v>#DIV/0!</v>
      </c>
      <c r="BB232" s="29" t="str">
        <f t="shared" si="235"/>
        <v>#DIV/0!</v>
      </c>
      <c r="BC232" s="29" t="str">
        <f t="shared" si="235"/>
        <v>#DIV/0!</v>
      </c>
      <c r="BD232" s="29" t="str">
        <f t="shared" si="235"/>
        <v>#DIV/0!</v>
      </c>
      <c r="BE232" s="29" t="str">
        <f t="shared" si="235"/>
        <v>#DIV/0!</v>
      </c>
      <c r="BF232" s="29" t="str">
        <f t="shared" si="235"/>
        <v>#DIV/0!</v>
      </c>
      <c r="BG232" s="29" t="str">
        <f t="shared" si="235"/>
        <v>#DIV/0!</v>
      </c>
      <c r="BH232" s="29" t="str">
        <f t="shared" si="235"/>
        <v>#DIV/0!</v>
      </c>
      <c r="BI232" s="29" t="str">
        <f t="shared" si="235"/>
        <v>#DIV/0!</v>
      </c>
      <c r="BJ232" s="29" t="str">
        <f t="shared" si="235"/>
        <v>#DIV/0!</v>
      </c>
      <c r="BK232" s="29" t="str">
        <f t="shared" si="235"/>
        <v>#DIV/0!</v>
      </c>
      <c r="BL232" s="29" t="str">
        <f t="shared" si="235"/>
        <v>#DIV/0!</v>
      </c>
      <c r="BM232" s="29" t="str">
        <f t="shared" si="3"/>
        <v>#DIV/0!</v>
      </c>
    </row>
    <row r="233">
      <c r="A233" s="16" t="str">
        <f>IFERROR(__xludf.DUMMYFUNCTION("IFERROR(SPARKLINE(SORT(MAP(TRANSPOSE(AQ233:BL233), LAMBDA(val, IF(ISNUMBER(val), PERCENTRANK(AQ233:BL233, val)+0.01, 0))), SEQUENCE(COLUMNS(AQ233:BL233)), FALSE), {""charttype"",""column""; ""color"",""chartreuse""; ""ymin"", 0; ""ymax"", 1.01; ""highcolo"&amp;"r"", ""darkgreen""; ""lowcolor"", ""red""}), """")"),"")</f>
        <v/>
      </c>
      <c r="B233" s="17" t="str">
        <f t="shared" si="4"/>
        <v/>
      </c>
      <c r="C233" s="1" t="s">
        <v>963</v>
      </c>
      <c r="D233" s="30" t="str">
        <f>IFERROR(__xludf.DUMMYFUNCTION("IFERROR(GOOGLEFINANCE(C233, ""NAME""))"),"Douglas Dynamics Inc")</f>
        <v>Douglas Dynamics Inc</v>
      </c>
      <c r="E233" s="30" t="s">
        <v>109</v>
      </c>
      <c r="F233" s="38" t="str">
        <f>IFERROR(__xludf.DUMMYFUNCTION("( (GOOGLEFINANCE(C233, ""price"") - Q233) / Q233 ) / (R233 / 100)"),"Loading...")</f>
        <v>Loading...</v>
      </c>
      <c r="G233" s="20" t="str">
        <f>IFERROR(__xludf.DUMMYFUNCTION("AVERAGE(ARRAYFORMULA(100 * (QUERY(GOOGLEFINANCE(C233, ""high"", TODAY()-40, TODAY()), ""SELECT Col2 WHERE Col2 IS NOT NULL ORDER BY Col1 DESC LIMIT 20"", 0) / QUERY(GOOGLEFINANCE(C233, ""low"", TODAY()-40, TODAY()), ""SELECT Col2 WHERE Col2 IS NOT NULL OR"&amp;"DER BY Col1 DESC LIMIT 20"", 0) - 1)))"),"#N/A")</f>
        <v>#N/A</v>
      </c>
      <c r="H233" s="35" t="str">
        <f t="shared" si="6"/>
        <v/>
      </c>
      <c r="I233" s="35" t="str">
        <f t="shared" si="7"/>
        <v/>
      </c>
      <c r="J233" s="37" t="str">
        <f>IFERROR(__xludf.DUMMYFUNCTION("IFERROR(
  IF(C233="""",, 
    IFERROR(
      GOOGLEFINANCE(C233, ""price"") * GOOGLEFINANCE(C233, ""volumeavg""), 
      GOOGLEFINANCE(C233, ""price"") * AVERAGE(QUERY(GOOGLEFINANCE(C233, ""volume"", TODAY()-40, TODAY()), ""SELECT Col2 WHERE Col2 IS NOT "&amp;"NULL ORDER BY Col1 DESC LIMIT 20"", 0))
    )
  ), 
"""")"),"")</f>
        <v/>
      </c>
      <c r="K233" s="21" t="str">
        <f>IFERROR(__xludf.DUMMYFUNCTION("IFERROR(GOOGLEFINANCE(C233, ""changepct"") / 100, """")"),"")</f>
        <v/>
      </c>
      <c r="L233" s="21" t="str">
        <f>IFERROR(__xludf.DUMMYFUNCTION("IFERROR((GOOGLEFINANCE(C233, ""price"") / INDEX(GOOGLEFINANCE(C233, ""price"", TODAY()-7, TODAY()), 2, 2)) - 1, """")"),"")</f>
        <v/>
      </c>
      <c r="M233" s="21" t="str">
        <f>IFERROR(__xludf.DUMMYFUNCTION("IFERROR((GOOGLEFINANCE(C233, ""price"") / INDEX(GOOGLEFINANCE(C233, ""price"", EDATE(TODAY(), -1), TODAY()), 2, 2)) - 1, """")"),"")</f>
        <v/>
      </c>
      <c r="N233" s="21" t="str">
        <f>IFERROR(__xludf.DUMMYFUNCTION("IFERROR((GOOGLEFINANCE(C233, ""price"") / INDEX(GOOGLEFINANCE(C233, ""price"", EDATE(TODAY(), -3), TODAY()), 2, 2)) - 1, """")"),"")</f>
        <v/>
      </c>
      <c r="O233" s="21" t="str">
        <f>IFERROR(__xludf.DUMMYFUNCTION("IFERROR((GOOGLEFINANCE(C233, ""price"") / INDEX(GOOGLEFINANCE(C233, ""price"", EDATE(TODAY(), -6), TODAY()), 2, 2)) - 1, """")"),"")</f>
        <v/>
      </c>
      <c r="P233" s="21" t="str">
        <f>IFERROR(__xludf.DUMMYFUNCTION("IFERROR((GOOGLEFINANCE(C233, ""price"") / INDEX(GOOGLEFINANCE(C233, ""price"", EDATE(TODAY(), -12), TODAY()), 2, 2)) - 1, """")"),"")</f>
        <v/>
      </c>
      <c r="Q233" s="6" t="str">
        <f>IFERROR(__xludf.DUMMYFUNCTION("AVERAGE(QUERY(GOOGLEFINANCE(C233, ""price"", TODAY()-80, TODAY()), ""SELECT Col2 WHERE Col2 IS NOT NULL ORDER BY Col1 DESC LIMIT 50"", 0))"),"#N/A")</f>
        <v>#N/A</v>
      </c>
      <c r="R233" s="24" t="str">
        <f>IFERROR(__xludf.DUMMYFUNCTION("IFERROR(
  LET(
    data, QUERY(GOOGLEFINANCE(C233,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GOOGLEFINANCE(C233, ""price"")) * 100,
    IF(calc=0, G233, calc)
  ), 
G233)"),"#N/A")</f>
        <v>#N/A</v>
      </c>
      <c r="S233" s="8" t="s">
        <v>15</v>
      </c>
      <c r="T233" s="26" t="str">
        <f>IFERROR(__xludf.DUMMYFUNCTION("IFERROR(TRANSPOSE(QUERY(IFERROR(SORT(GOOGLEFINANCE(C233, ""price"", WORKDAY(TODAY(), -40), TODAY()), 1, FALSE)), ""select Col2 where Col2 is not null limit 22 label Col2 ''"", 0)), """")"),"")</f>
        <v/>
      </c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8"/>
      <c r="AO233" s="28"/>
      <c r="AP233" s="29"/>
      <c r="AQ233" s="29" t="str">
        <f t="shared" ref="AQ233:BL233" si="236">T233/T$2</f>
        <v>#N/A</v>
      </c>
      <c r="AR233" s="29" t="str">
        <f t="shared" si="236"/>
        <v>#DIV/0!</v>
      </c>
      <c r="AS233" s="29" t="str">
        <f t="shared" si="236"/>
        <v>#DIV/0!</v>
      </c>
      <c r="AT233" s="29" t="str">
        <f t="shared" si="236"/>
        <v>#DIV/0!</v>
      </c>
      <c r="AU233" s="29" t="str">
        <f t="shared" si="236"/>
        <v>#DIV/0!</v>
      </c>
      <c r="AV233" s="29" t="str">
        <f t="shared" si="236"/>
        <v>#DIV/0!</v>
      </c>
      <c r="AW233" s="29" t="str">
        <f t="shared" si="236"/>
        <v>#DIV/0!</v>
      </c>
      <c r="AX233" s="29" t="str">
        <f t="shared" si="236"/>
        <v>#DIV/0!</v>
      </c>
      <c r="AY233" s="29" t="str">
        <f t="shared" si="236"/>
        <v>#DIV/0!</v>
      </c>
      <c r="AZ233" s="29" t="str">
        <f t="shared" si="236"/>
        <v>#DIV/0!</v>
      </c>
      <c r="BA233" s="29" t="str">
        <f t="shared" si="236"/>
        <v>#DIV/0!</v>
      </c>
      <c r="BB233" s="29" t="str">
        <f t="shared" si="236"/>
        <v>#DIV/0!</v>
      </c>
      <c r="BC233" s="29" t="str">
        <f t="shared" si="236"/>
        <v>#DIV/0!</v>
      </c>
      <c r="BD233" s="29" t="str">
        <f t="shared" si="236"/>
        <v>#DIV/0!</v>
      </c>
      <c r="BE233" s="29" t="str">
        <f t="shared" si="236"/>
        <v>#DIV/0!</v>
      </c>
      <c r="BF233" s="29" t="str">
        <f t="shared" si="236"/>
        <v>#DIV/0!</v>
      </c>
      <c r="BG233" s="29" t="str">
        <f t="shared" si="236"/>
        <v>#DIV/0!</v>
      </c>
      <c r="BH233" s="29" t="str">
        <f t="shared" si="236"/>
        <v>#DIV/0!</v>
      </c>
      <c r="BI233" s="29" t="str">
        <f t="shared" si="236"/>
        <v>#DIV/0!</v>
      </c>
      <c r="BJ233" s="29" t="str">
        <f t="shared" si="236"/>
        <v>#DIV/0!</v>
      </c>
      <c r="BK233" s="29" t="str">
        <f t="shared" si="236"/>
        <v>#DIV/0!</v>
      </c>
      <c r="BL233" s="29" t="str">
        <f t="shared" si="236"/>
        <v>#DIV/0!</v>
      </c>
      <c r="BM233" s="29" t="str">
        <f t="shared" si="3"/>
        <v>#DIV/0!</v>
      </c>
    </row>
    <row r="234">
      <c r="A234" s="16" t="str">
        <f>IFERROR(__xludf.DUMMYFUNCTION("IFERROR(SPARKLINE(SORT(MAP(TRANSPOSE(AQ234:BL234), LAMBDA(val, IF(ISNUMBER(val), PERCENTRANK(AQ234:BL234, val)+0.01, 0))), SEQUENCE(COLUMNS(AQ234:BL234)), FALSE), {""charttype"",""column""; ""color"",""chartreuse""; ""ymin"", 0; ""ymax"", 1.01; ""highcolo"&amp;"r"", ""darkgreen""; ""lowcolor"", ""red""}), """")"),"")</f>
        <v/>
      </c>
      <c r="B234" s="17" t="str">
        <f t="shared" si="4"/>
        <v/>
      </c>
      <c r="C234" s="1" t="s">
        <v>966</v>
      </c>
      <c r="D234" s="30" t="str">
        <f>IFERROR(__xludf.DUMMYFUNCTION("IFERROR(GOOGLEFINANCE(C234, ""NAME""))"),"Group 1 Automotive Inc")</f>
        <v>Group 1 Automotive Inc</v>
      </c>
      <c r="E234" s="30" t="s">
        <v>190</v>
      </c>
      <c r="F234" s="33" t="str">
        <f>IFERROR(__xludf.DUMMYFUNCTION("( (GOOGLEFINANCE(C234, ""price"") - Q234) / Q234 ) / (R234 / 100)"),"Loading...")</f>
        <v>Loading...</v>
      </c>
      <c r="G234" s="20" t="str">
        <f>IFERROR(__xludf.DUMMYFUNCTION("AVERAGE(ARRAYFORMULA(100 * (QUERY(GOOGLEFINANCE(C234, ""high"", TODAY()-40, TODAY()), ""SELECT Col2 WHERE Col2 IS NOT NULL ORDER BY Col1 DESC LIMIT 20"", 0) / QUERY(GOOGLEFINANCE(C234, ""low"", TODAY()-40, TODAY()), ""SELECT Col2 WHERE Col2 IS NOT NULL OR"&amp;"DER BY Col1 DESC LIMIT 20"", 0) - 1)))"),"#N/A")</f>
        <v>#N/A</v>
      </c>
      <c r="H234" s="35" t="str">
        <f t="shared" si="6"/>
        <v/>
      </c>
      <c r="I234" s="35" t="str">
        <f t="shared" si="7"/>
        <v/>
      </c>
      <c r="J234" s="37" t="str">
        <f>IFERROR(__xludf.DUMMYFUNCTION("IFERROR(
  IF(C234="""",, 
    IFERROR(
      GOOGLEFINANCE(C234, ""price"") * GOOGLEFINANCE(C234, ""volumeavg""), 
      GOOGLEFINANCE(C234, ""price"") * AVERAGE(QUERY(GOOGLEFINANCE(C234, ""volume"", TODAY()-40, TODAY()), ""SELECT Col2 WHERE Col2 IS NOT "&amp;"NULL ORDER BY Col1 DESC LIMIT 20"", 0))
    )
  ), 
"""")"),"")</f>
        <v/>
      </c>
      <c r="K234" s="21" t="str">
        <f>IFERROR(__xludf.DUMMYFUNCTION("IFERROR(GOOGLEFINANCE(C234, ""changepct"") / 100, """")"),"")</f>
        <v/>
      </c>
      <c r="L234" s="21" t="str">
        <f>IFERROR(__xludf.DUMMYFUNCTION("IFERROR((GOOGLEFINANCE(C234, ""price"") / INDEX(GOOGLEFINANCE(C234, ""price"", TODAY()-7, TODAY()), 2, 2)) - 1, """")"),"")</f>
        <v/>
      </c>
      <c r="M234" s="21" t="str">
        <f>IFERROR(__xludf.DUMMYFUNCTION("IFERROR((GOOGLEFINANCE(C234, ""price"") / INDEX(GOOGLEFINANCE(C234, ""price"", EDATE(TODAY(), -1), TODAY()), 2, 2)) - 1, """")"),"")</f>
        <v/>
      </c>
      <c r="N234" s="21" t="str">
        <f>IFERROR(__xludf.DUMMYFUNCTION("IFERROR((GOOGLEFINANCE(C234, ""price"") / INDEX(GOOGLEFINANCE(C234, ""price"", EDATE(TODAY(), -3), TODAY()), 2, 2)) - 1, """")"),"")</f>
        <v/>
      </c>
      <c r="O234" s="21" t="str">
        <f>IFERROR(__xludf.DUMMYFUNCTION("IFERROR((GOOGLEFINANCE(C234, ""price"") / INDEX(GOOGLEFINANCE(C234, ""price"", EDATE(TODAY(), -6), TODAY()), 2, 2)) - 1, """")"),"")</f>
        <v/>
      </c>
      <c r="P234" s="21" t="str">
        <f>IFERROR(__xludf.DUMMYFUNCTION("IFERROR((GOOGLEFINANCE(C234, ""price"") / INDEX(GOOGLEFINANCE(C234, ""price"", EDATE(TODAY(), -12), TODAY()), 2, 2)) - 1, """")"),"")</f>
        <v/>
      </c>
      <c r="Q234" s="6" t="str">
        <f>IFERROR(__xludf.DUMMYFUNCTION("AVERAGE(QUERY(GOOGLEFINANCE(C234, ""price"", TODAY()-80, TODAY()), ""SELECT Col2 WHERE Col2 IS NOT NULL ORDER BY Col1 DESC LIMIT 50"", 0))"),"#N/A")</f>
        <v>#N/A</v>
      </c>
      <c r="R234" s="24" t="str">
        <f>IFERROR(__xludf.DUMMYFUNCTION("IFERROR(
  LET(
    data, QUERY(GOOGLEFINANCE(C234,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GOOGLEFINANCE(C234, ""price"")) * 100,
    IF(calc=0, G234, calc)
  ), 
G234)"),"#N/A")</f>
        <v>#N/A</v>
      </c>
      <c r="S234" s="8" t="s">
        <v>15</v>
      </c>
      <c r="T234" s="26" t="str">
        <f>IFERROR(__xludf.DUMMYFUNCTION("IFERROR(TRANSPOSE(QUERY(IFERROR(SORT(GOOGLEFINANCE(C234, ""price"", WORKDAY(TODAY(), -40), TODAY()), 1, FALSE)), ""select Col2 where Col2 is not null limit 22 label Col2 ''"", 0)), """")"),"")</f>
        <v/>
      </c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8"/>
      <c r="AO234" s="28"/>
      <c r="AP234" s="29"/>
      <c r="AQ234" s="29" t="str">
        <f t="shared" ref="AQ234:BL234" si="237">T234/T$2</f>
        <v>#N/A</v>
      </c>
      <c r="AR234" s="29" t="str">
        <f t="shared" si="237"/>
        <v>#DIV/0!</v>
      </c>
      <c r="AS234" s="29" t="str">
        <f t="shared" si="237"/>
        <v>#DIV/0!</v>
      </c>
      <c r="AT234" s="29" t="str">
        <f t="shared" si="237"/>
        <v>#DIV/0!</v>
      </c>
      <c r="AU234" s="29" t="str">
        <f t="shared" si="237"/>
        <v>#DIV/0!</v>
      </c>
      <c r="AV234" s="29" t="str">
        <f t="shared" si="237"/>
        <v>#DIV/0!</v>
      </c>
      <c r="AW234" s="29" t="str">
        <f t="shared" si="237"/>
        <v>#DIV/0!</v>
      </c>
      <c r="AX234" s="29" t="str">
        <f t="shared" si="237"/>
        <v>#DIV/0!</v>
      </c>
      <c r="AY234" s="29" t="str">
        <f t="shared" si="237"/>
        <v>#DIV/0!</v>
      </c>
      <c r="AZ234" s="29" t="str">
        <f t="shared" si="237"/>
        <v>#DIV/0!</v>
      </c>
      <c r="BA234" s="29" t="str">
        <f t="shared" si="237"/>
        <v>#DIV/0!</v>
      </c>
      <c r="BB234" s="29" t="str">
        <f t="shared" si="237"/>
        <v>#DIV/0!</v>
      </c>
      <c r="BC234" s="29" t="str">
        <f t="shared" si="237"/>
        <v>#DIV/0!</v>
      </c>
      <c r="BD234" s="29" t="str">
        <f t="shared" si="237"/>
        <v>#DIV/0!</v>
      </c>
      <c r="BE234" s="29" t="str">
        <f t="shared" si="237"/>
        <v>#DIV/0!</v>
      </c>
      <c r="BF234" s="29" t="str">
        <f t="shared" si="237"/>
        <v>#DIV/0!</v>
      </c>
      <c r="BG234" s="29" t="str">
        <f t="shared" si="237"/>
        <v>#DIV/0!</v>
      </c>
      <c r="BH234" s="29" t="str">
        <f t="shared" si="237"/>
        <v>#DIV/0!</v>
      </c>
      <c r="BI234" s="29" t="str">
        <f t="shared" si="237"/>
        <v>#DIV/0!</v>
      </c>
      <c r="BJ234" s="29" t="str">
        <f t="shared" si="237"/>
        <v>#DIV/0!</v>
      </c>
      <c r="BK234" s="29" t="str">
        <f t="shared" si="237"/>
        <v>#DIV/0!</v>
      </c>
      <c r="BL234" s="29" t="str">
        <f t="shared" si="237"/>
        <v>#DIV/0!</v>
      </c>
      <c r="BM234" s="29" t="str">
        <f t="shared" si="3"/>
        <v>#DIV/0!</v>
      </c>
    </row>
    <row r="235">
      <c r="A235" s="16" t="str">
        <f>IFERROR(__xludf.DUMMYFUNCTION("IFERROR(SPARKLINE(SORT(MAP(TRANSPOSE(AQ235:BL235), LAMBDA(val, IF(ISNUMBER(val), PERCENTRANK(AQ235:BL235, val)+0.01, 0))), SEQUENCE(COLUMNS(AQ235:BL235)), FALSE), {""charttype"",""column""; ""color"",""chartreuse""; ""ymin"", 0; ""ymax"", 1.01; ""highcolo"&amp;"r"", ""darkgreen""; ""lowcolor"", ""red""}), """")"),"")</f>
        <v/>
      </c>
      <c r="B235" s="17" t="str">
        <f t="shared" si="4"/>
        <v/>
      </c>
      <c r="C235" s="1" t="s">
        <v>970</v>
      </c>
      <c r="D235" s="30" t="str">
        <f>IFERROR(__xludf.DUMMYFUNCTION("IFERROR(GOOGLEFINANCE(C235, ""NAME""))"),"Kura Sushi USA Inc")</f>
        <v>Kura Sushi USA Inc</v>
      </c>
      <c r="E235" s="30" t="s">
        <v>126</v>
      </c>
      <c r="F235" s="33" t="str">
        <f>IFERROR(__xludf.DUMMYFUNCTION("( (GOOGLEFINANCE(C235, ""price"") - Q235) / Q235 ) / (R235 / 100)"),"Loading...")</f>
        <v>Loading...</v>
      </c>
      <c r="G235" s="20" t="str">
        <f>IFERROR(__xludf.DUMMYFUNCTION("AVERAGE(ARRAYFORMULA(100 * (QUERY(GOOGLEFINANCE(C235, ""high"", TODAY()-40, TODAY()), ""SELECT Col2 WHERE Col2 IS NOT NULL ORDER BY Col1 DESC LIMIT 20"", 0) / QUERY(GOOGLEFINANCE(C235, ""low"", TODAY()-40, TODAY()), ""SELECT Col2 WHERE Col2 IS NOT NULL OR"&amp;"DER BY Col1 DESC LIMIT 20"", 0) - 1)))"),"#N/A")</f>
        <v>#N/A</v>
      </c>
      <c r="H235" s="35" t="str">
        <f t="shared" si="6"/>
        <v/>
      </c>
      <c r="I235" s="35" t="str">
        <f t="shared" si="7"/>
        <v/>
      </c>
      <c r="J235" s="37" t="str">
        <f>IFERROR(__xludf.DUMMYFUNCTION("IFERROR(
  IF(C235="""",, 
    IFERROR(
      GOOGLEFINANCE(C235, ""price"") * GOOGLEFINANCE(C235, ""volumeavg""), 
      GOOGLEFINANCE(C235, ""price"") * AVERAGE(QUERY(GOOGLEFINANCE(C235, ""volume"", TODAY()-40, TODAY()), ""SELECT Col2 WHERE Col2 IS NOT "&amp;"NULL ORDER BY Col1 DESC LIMIT 20"", 0))
    )
  ), 
"""")"),"")</f>
        <v/>
      </c>
      <c r="K235" s="21" t="str">
        <f>IFERROR(__xludf.DUMMYFUNCTION("IFERROR(GOOGLEFINANCE(C235, ""changepct"") / 100, """")"),"")</f>
        <v/>
      </c>
      <c r="L235" s="21" t="str">
        <f>IFERROR(__xludf.DUMMYFUNCTION("IFERROR((GOOGLEFINANCE(C235, ""price"") / INDEX(GOOGLEFINANCE(C235, ""price"", TODAY()-7, TODAY()), 2, 2)) - 1, """")"),"")</f>
        <v/>
      </c>
      <c r="M235" s="21" t="str">
        <f>IFERROR(__xludf.DUMMYFUNCTION("IFERROR((GOOGLEFINANCE(C235, ""price"") / INDEX(GOOGLEFINANCE(C235, ""price"", EDATE(TODAY(), -1), TODAY()), 2, 2)) - 1, """")"),"")</f>
        <v/>
      </c>
      <c r="N235" s="21" t="str">
        <f>IFERROR(__xludf.DUMMYFUNCTION("IFERROR((GOOGLEFINANCE(C235, ""price"") / INDEX(GOOGLEFINANCE(C235, ""price"", EDATE(TODAY(), -3), TODAY()), 2, 2)) - 1, """")"),"")</f>
        <v/>
      </c>
      <c r="O235" s="21" t="str">
        <f>IFERROR(__xludf.DUMMYFUNCTION("IFERROR((GOOGLEFINANCE(C235, ""price"") / INDEX(GOOGLEFINANCE(C235, ""price"", EDATE(TODAY(), -6), TODAY()), 2, 2)) - 1, """")"),"")</f>
        <v/>
      </c>
      <c r="P235" s="21" t="str">
        <f>IFERROR(__xludf.DUMMYFUNCTION("IFERROR((GOOGLEFINANCE(C235, ""price"") / INDEX(GOOGLEFINANCE(C235, ""price"", EDATE(TODAY(), -12), TODAY()), 2, 2)) - 1, """")"),"")</f>
        <v/>
      </c>
      <c r="Q235" s="6" t="str">
        <f>IFERROR(__xludf.DUMMYFUNCTION("AVERAGE(QUERY(GOOGLEFINANCE(C235, ""price"", TODAY()-80, TODAY()), ""SELECT Col2 WHERE Col2 IS NOT NULL ORDER BY Col1 DESC LIMIT 50"", 0))"),"#N/A")</f>
        <v>#N/A</v>
      </c>
      <c r="R235" s="24" t="str">
        <f>IFERROR(__xludf.DUMMYFUNCTION("IFERROR(
  LET(
    data, QUERY(GOOGLEFINANCE(C235,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GOOGLEFINANCE(C235, ""price"")) * 100,
    IF(calc=0, G235, calc)
  ), 
G235)"),"#N/A")</f>
        <v>#N/A</v>
      </c>
      <c r="S235" s="8" t="s">
        <v>15</v>
      </c>
      <c r="T235" s="26" t="str">
        <f>IFERROR(__xludf.DUMMYFUNCTION("IFERROR(TRANSPOSE(QUERY(IFERROR(SORT(GOOGLEFINANCE(C235, ""price"", WORKDAY(TODAY(), -40), TODAY()), 1, FALSE)), ""select Col2 where Col2 is not null limit 22 label Col2 ''"", 0)), """")"),"")</f>
        <v/>
      </c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8"/>
      <c r="AO235" s="28"/>
      <c r="AP235" s="29"/>
      <c r="AQ235" s="29" t="str">
        <f t="shared" ref="AQ235:BL235" si="238">T235/T$2</f>
        <v>#N/A</v>
      </c>
      <c r="AR235" s="29" t="str">
        <f t="shared" si="238"/>
        <v>#DIV/0!</v>
      </c>
      <c r="AS235" s="29" t="str">
        <f t="shared" si="238"/>
        <v>#DIV/0!</v>
      </c>
      <c r="AT235" s="29" t="str">
        <f t="shared" si="238"/>
        <v>#DIV/0!</v>
      </c>
      <c r="AU235" s="29" t="str">
        <f t="shared" si="238"/>
        <v>#DIV/0!</v>
      </c>
      <c r="AV235" s="29" t="str">
        <f t="shared" si="238"/>
        <v>#DIV/0!</v>
      </c>
      <c r="AW235" s="29" t="str">
        <f t="shared" si="238"/>
        <v>#DIV/0!</v>
      </c>
      <c r="AX235" s="29" t="str">
        <f t="shared" si="238"/>
        <v>#DIV/0!</v>
      </c>
      <c r="AY235" s="29" t="str">
        <f t="shared" si="238"/>
        <v>#DIV/0!</v>
      </c>
      <c r="AZ235" s="29" t="str">
        <f t="shared" si="238"/>
        <v>#DIV/0!</v>
      </c>
      <c r="BA235" s="29" t="str">
        <f t="shared" si="238"/>
        <v>#DIV/0!</v>
      </c>
      <c r="BB235" s="29" t="str">
        <f t="shared" si="238"/>
        <v>#DIV/0!</v>
      </c>
      <c r="BC235" s="29" t="str">
        <f t="shared" si="238"/>
        <v>#DIV/0!</v>
      </c>
      <c r="BD235" s="29" t="str">
        <f t="shared" si="238"/>
        <v>#DIV/0!</v>
      </c>
      <c r="BE235" s="29" t="str">
        <f t="shared" si="238"/>
        <v>#DIV/0!</v>
      </c>
      <c r="BF235" s="29" t="str">
        <f t="shared" si="238"/>
        <v>#DIV/0!</v>
      </c>
      <c r="BG235" s="29" t="str">
        <f t="shared" si="238"/>
        <v>#DIV/0!</v>
      </c>
      <c r="BH235" s="29" t="str">
        <f t="shared" si="238"/>
        <v>#DIV/0!</v>
      </c>
      <c r="BI235" s="29" t="str">
        <f t="shared" si="238"/>
        <v>#DIV/0!</v>
      </c>
      <c r="BJ235" s="29" t="str">
        <f t="shared" si="238"/>
        <v>#DIV/0!</v>
      </c>
      <c r="BK235" s="29" t="str">
        <f t="shared" si="238"/>
        <v>#DIV/0!</v>
      </c>
      <c r="BL235" s="29" t="str">
        <f t="shared" si="238"/>
        <v>#DIV/0!</v>
      </c>
      <c r="BM235" s="29" t="str">
        <f t="shared" si="3"/>
        <v>#DIV/0!</v>
      </c>
    </row>
    <row r="236">
      <c r="A236" s="16" t="str">
        <f>IFERROR(__xludf.DUMMYFUNCTION("IFERROR(SPARKLINE(SORT(MAP(TRANSPOSE(AQ236:BL236), LAMBDA(val, IF(ISNUMBER(val), PERCENTRANK(AQ236:BL236, val)+0.01, 0))), SEQUENCE(COLUMNS(AQ236:BL236)), FALSE), {""charttype"",""column""; ""color"",""chartreuse""; ""ymin"", 0; ""ymax"", 1.01; ""highcolo"&amp;"r"", ""darkgreen""; ""lowcolor"", ""red""}), """")"),"")</f>
        <v/>
      </c>
      <c r="B236" s="17" t="str">
        <f t="shared" si="4"/>
        <v/>
      </c>
      <c r="C236" s="1" t="s">
        <v>973</v>
      </c>
      <c r="D236" s="30" t="str">
        <f>IFERROR(__xludf.DUMMYFUNCTION("IFERROR(GOOGLEFINANCE(C236, ""NAME""))"),"Lands' End Inc")</f>
        <v>Lands' End Inc</v>
      </c>
      <c r="E236" s="30" t="s">
        <v>647</v>
      </c>
      <c r="F236" s="33" t="str">
        <f>IFERROR(__xludf.DUMMYFUNCTION("( (GOOGLEFINANCE(C236, ""price"") - Q236) / Q236 ) / (R236 / 100)"),"Loading...")</f>
        <v>Loading...</v>
      </c>
      <c r="G236" s="20" t="str">
        <f>IFERROR(__xludf.DUMMYFUNCTION("AVERAGE(ARRAYFORMULA(100 * (QUERY(GOOGLEFINANCE(C236, ""high"", TODAY()-40, TODAY()), ""SELECT Col2 WHERE Col2 IS NOT NULL ORDER BY Col1 DESC LIMIT 20"", 0) / QUERY(GOOGLEFINANCE(C236, ""low"", TODAY()-40, TODAY()), ""SELECT Col2 WHERE Col2 IS NOT NULL OR"&amp;"DER BY Col1 DESC LIMIT 20"", 0) - 1)))"),"#N/A")</f>
        <v>#N/A</v>
      </c>
      <c r="H236" s="35" t="str">
        <f t="shared" si="6"/>
        <v/>
      </c>
      <c r="I236" s="35" t="str">
        <f t="shared" si="7"/>
        <v/>
      </c>
      <c r="J236" s="37" t="str">
        <f>IFERROR(__xludf.DUMMYFUNCTION("IFERROR(
  IF(C236="""",, 
    IFERROR(
      GOOGLEFINANCE(C236, ""price"") * GOOGLEFINANCE(C236, ""volumeavg""), 
      GOOGLEFINANCE(C236, ""price"") * AVERAGE(QUERY(GOOGLEFINANCE(C236, ""volume"", TODAY()-40, TODAY()), ""SELECT Col2 WHERE Col2 IS NOT "&amp;"NULL ORDER BY Col1 DESC LIMIT 20"", 0))
    )
  ), 
"""")"),"")</f>
        <v/>
      </c>
      <c r="K236" s="21" t="str">
        <f>IFERROR(__xludf.DUMMYFUNCTION("IFERROR(GOOGLEFINANCE(C236, ""changepct"") / 100, """")"),"")</f>
        <v/>
      </c>
      <c r="L236" s="21" t="str">
        <f>IFERROR(__xludf.DUMMYFUNCTION("IFERROR((GOOGLEFINANCE(C236, ""price"") / INDEX(GOOGLEFINANCE(C236, ""price"", TODAY()-7, TODAY()), 2, 2)) - 1, """")"),"")</f>
        <v/>
      </c>
      <c r="M236" s="21" t="str">
        <f>IFERROR(__xludf.DUMMYFUNCTION("IFERROR((GOOGLEFINANCE(C236, ""price"") / INDEX(GOOGLEFINANCE(C236, ""price"", EDATE(TODAY(), -1), TODAY()), 2, 2)) - 1, """")"),"")</f>
        <v/>
      </c>
      <c r="N236" s="21" t="str">
        <f>IFERROR(__xludf.DUMMYFUNCTION("IFERROR((GOOGLEFINANCE(C236, ""price"") / INDEX(GOOGLEFINANCE(C236, ""price"", EDATE(TODAY(), -3), TODAY()), 2, 2)) - 1, """")"),"")</f>
        <v/>
      </c>
      <c r="O236" s="21" t="str">
        <f>IFERROR(__xludf.DUMMYFUNCTION("IFERROR((GOOGLEFINANCE(C236, ""price"") / INDEX(GOOGLEFINANCE(C236, ""price"", EDATE(TODAY(), -6), TODAY()), 2, 2)) - 1, """")"),"")</f>
        <v/>
      </c>
      <c r="P236" s="21" t="str">
        <f>IFERROR(__xludf.DUMMYFUNCTION("IFERROR((GOOGLEFINANCE(C236, ""price"") / INDEX(GOOGLEFINANCE(C236, ""price"", EDATE(TODAY(), -12), TODAY()), 2, 2)) - 1, """")"),"")</f>
        <v/>
      </c>
      <c r="Q236" s="6" t="str">
        <f>IFERROR(__xludf.DUMMYFUNCTION("AVERAGE(QUERY(GOOGLEFINANCE(C236, ""price"", TODAY()-80, TODAY()), ""SELECT Col2 WHERE Col2 IS NOT NULL ORDER BY Col1 DESC LIMIT 50"", 0))"),"#N/A")</f>
        <v>#N/A</v>
      </c>
      <c r="R236" s="24" t="str">
        <f>IFERROR(__xludf.DUMMYFUNCTION("IFERROR(
  LET(
    data, QUERY(GOOGLEFINANCE(C236,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GOOGLEFINANCE(C236, ""price"")) * 100,
    IF(calc=0, G236, calc)
  ), 
G236)"),"#N/A")</f>
        <v>#N/A</v>
      </c>
      <c r="S236" s="8" t="s">
        <v>15</v>
      </c>
      <c r="T236" s="26" t="str">
        <f>IFERROR(__xludf.DUMMYFUNCTION("IFERROR(TRANSPOSE(QUERY(IFERROR(SORT(GOOGLEFINANCE(C236, ""price"", WORKDAY(TODAY(), -40), TODAY()), 1, FALSE)), ""select Col2 where Col2 is not null limit 22 label Col2 ''"", 0)), """")"),"")</f>
        <v/>
      </c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8"/>
      <c r="AO236" s="28"/>
      <c r="AP236" s="29"/>
      <c r="AQ236" s="29" t="str">
        <f t="shared" ref="AQ236:BL236" si="239">T236/T$2</f>
        <v>#N/A</v>
      </c>
      <c r="AR236" s="29" t="str">
        <f t="shared" si="239"/>
        <v>#DIV/0!</v>
      </c>
      <c r="AS236" s="29" t="str">
        <f t="shared" si="239"/>
        <v>#DIV/0!</v>
      </c>
      <c r="AT236" s="29" t="str">
        <f t="shared" si="239"/>
        <v>#DIV/0!</v>
      </c>
      <c r="AU236" s="29" t="str">
        <f t="shared" si="239"/>
        <v>#DIV/0!</v>
      </c>
      <c r="AV236" s="29" t="str">
        <f t="shared" si="239"/>
        <v>#DIV/0!</v>
      </c>
      <c r="AW236" s="29" t="str">
        <f t="shared" si="239"/>
        <v>#DIV/0!</v>
      </c>
      <c r="AX236" s="29" t="str">
        <f t="shared" si="239"/>
        <v>#DIV/0!</v>
      </c>
      <c r="AY236" s="29" t="str">
        <f t="shared" si="239"/>
        <v>#DIV/0!</v>
      </c>
      <c r="AZ236" s="29" t="str">
        <f t="shared" si="239"/>
        <v>#DIV/0!</v>
      </c>
      <c r="BA236" s="29" t="str">
        <f t="shared" si="239"/>
        <v>#DIV/0!</v>
      </c>
      <c r="BB236" s="29" t="str">
        <f t="shared" si="239"/>
        <v>#DIV/0!</v>
      </c>
      <c r="BC236" s="29" t="str">
        <f t="shared" si="239"/>
        <v>#DIV/0!</v>
      </c>
      <c r="BD236" s="29" t="str">
        <f t="shared" si="239"/>
        <v>#DIV/0!</v>
      </c>
      <c r="BE236" s="29" t="str">
        <f t="shared" si="239"/>
        <v>#DIV/0!</v>
      </c>
      <c r="BF236" s="29" t="str">
        <f t="shared" si="239"/>
        <v>#DIV/0!</v>
      </c>
      <c r="BG236" s="29" t="str">
        <f t="shared" si="239"/>
        <v>#DIV/0!</v>
      </c>
      <c r="BH236" s="29" t="str">
        <f t="shared" si="239"/>
        <v>#DIV/0!</v>
      </c>
      <c r="BI236" s="29" t="str">
        <f t="shared" si="239"/>
        <v>#DIV/0!</v>
      </c>
      <c r="BJ236" s="29" t="str">
        <f t="shared" si="239"/>
        <v>#DIV/0!</v>
      </c>
      <c r="BK236" s="29" t="str">
        <f t="shared" si="239"/>
        <v>#DIV/0!</v>
      </c>
      <c r="BL236" s="29" t="str">
        <f t="shared" si="239"/>
        <v>#DIV/0!</v>
      </c>
      <c r="BM236" s="29" t="str">
        <f t="shared" si="3"/>
        <v>#DIV/0!</v>
      </c>
    </row>
    <row r="237">
      <c r="A237" s="16" t="str">
        <f>IFERROR(__xludf.DUMMYFUNCTION("IFERROR(SPARKLINE(SORT(MAP(TRANSPOSE(AQ237:BL237), LAMBDA(val, IF(ISNUMBER(val), PERCENTRANK(AQ237:BL237, val)+0.01, 0))), SEQUENCE(COLUMNS(AQ237:BL237)), FALSE), {""charttype"",""column""; ""color"",""chartreuse""; ""ymin"", 0; ""ymax"", 1.01; ""highcolo"&amp;"r"", ""darkgreen""; ""lowcolor"", ""red""}), """")"),"")</f>
        <v/>
      </c>
      <c r="B237" s="17" t="str">
        <f t="shared" si="4"/>
        <v/>
      </c>
      <c r="C237" s="1" t="s">
        <v>976</v>
      </c>
      <c r="D237" s="30" t="str">
        <f>IFERROR(__xludf.DUMMYFUNCTION("IFERROR(GOOGLEFINANCE(C237, ""NAME""))"),"Cooper-Standard Holdings Inc")</f>
        <v>Cooper-Standard Holdings Inc</v>
      </c>
      <c r="E237" s="30" t="s">
        <v>109</v>
      </c>
      <c r="F237" s="38" t="str">
        <f>IFERROR(__xludf.DUMMYFUNCTION("( (GOOGLEFINANCE(C237, ""price"") - Q237) / Q237 ) / (R237 / 100)"),"Loading...")</f>
        <v>Loading...</v>
      </c>
      <c r="G237" s="20" t="str">
        <f>IFERROR(__xludf.DUMMYFUNCTION("AVERAGE(ARRAYFORMULA(100 * (QUERY(GOOGLEFINANCE(C237, ""high"", TODAY()-40, TODAY()), ""SELECT Col2 WHERE Col2 IS NOT NULL ORDER BY Col1 DESC LIMIT 20"", 0) / QUERY(GOOGLEFINANCE(C237, ""low"", TODAY()-40, TODAY()), ""SELECT Col2 WHERE Col2 IS NOT NULL OR"&amp;"DER BY Col1 DESC LIMIT 20"", 0) - 1)))"),"#N/A")</f>
        <v>#N/A</v>
      </c>
      <c r="H237" s="35" t="str">
        <f t="shared" si="6"/>
        <v/>
      </c>
      <c r="I237" s="35" t="str">
        <f t="shared" si="7"/>
        <v/>
      </c>
      <c r="J237" s="37" t="str">
        <f>IFERROR(__xludf.DUMMYFUNCTION("IFERROR(
  IF(C237="""",, 
    IFERROR(
      GOOGLEFINANCE(C237, ""price"") * GOOGLEFINANCE(C237, ""volumeavg""), 
      GOOGLEFINANCE(C237, ""price"") * AVERAGE(QUERY(GOOGLEFINANCE(C237, ""volume"", TODAY()-40, TODAY()), ""SELECT Col2 WHERE Col2 IS NOT "&amp;"NULL ORDER BY Col1 DESC LIMIT 20"", 0))
    )
  ), 
"""")"),"")</f>
        <v/>
      </c>
      <c r="K237" s="21" t="str">
        <f>IFERROR(__xludf.DUMMYFUNCTION("IFERROR(GOOGLEFINANCE(C237, ""changepct"") / 100, """")"),"")</f>
        <v/>
      </c>
      <c r="L237" s="21" t="str">
        <f>IFERROR(__xludf.DUMMYFUNCTION("IFERROR((GOOGLEFINANCE(C237, ""price"") / INDEX(GOOGLEFINANCE(C237, ""price"", TODAY()-7, TODAY()), 2, 2)) - 1, """")"),"")</f>
        <v/>
      </c>
      <c r="M237" s="21" t="str">
        <f>IFERROR(__xludf.DUMMYFUNCTION("IFERROR((GOOGLEFINANCE(C237, ""price"") / INDEX(GOOGLEFINANCE(C237, ""price"", EDATE(TODAY(), -1), TODAY()), 2, 2)) - 1, """")"),"")</f>
        <v/>
      </c>
      <c r="N237" s="21" t="str">
        <f>IFERROR(__xludf.DUMMYFUNCTION("IFERROR((GOOGLEFINANCE(C237, ""price"") / INDEX(GOOGLEFINANCE(C237, ""price"", EDATE(TODAY(), -3), TODAY()), 2, 2)) - 1, """")"),"")</f>
        <v/>
      </c>
      <c r="O237" s="21" t="str">
        <f>IFERROR(__xludf.DUMMYFUNCTION("IFERROR((GOOGLEFINANCE(C237, ""price"") / INDEX(GOOGLEFINANCE(C237, ""price"", EDATE(TODAY(), -6), TODAY()), 2, 2)) - 1, """")"),"")</f>
        <v/>
      </c>
      <c r="P237" s="21" t="str">
        <f>IFERROR(__xludf.DUMMYFUNCTION("IFERROR((GOOGLEFINANCE(C237, ""price"") / INDEX(GOOGLEFINANCE(C237, ""price"", EDATE(TODAY(), -12), TODAY()), 2, 2)) - 1, """")"),"")</f>
        <v/>
      </c>
      <c r="Q237" s="6" t="str">
        <f>IFERROR(__xludf.DUMMYFUNCTION("AVERAGE(QUERY(GOOGLEFINANCE(C237, ""price"", TODAY()-80, TODAY()), ""SELECT Col2 WHERE Col2 IS NOT NULL ORDER BY Col1 DESC LIMIT 50"", 0))"),"#N/A")</f>
        <v>#N/A</v>
      </c>
      <c r="R237" s="24" t="str">
        <f>IFERROR(__xludf.DUMMYFUNCTION("IFERROR(
  LET(
    data, QUERY(GOOGLEFINANCE(C237,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GOOGLEFINANCE(C237, ""price"")) * 100,
    IF(calc=0, G237, calc)
  ), 
G237)"),"#N/A")</f>
        <v>#N/A</v>
      </c>
      <c r="S237" s="8" t="s">
        <v>15</v>
      </c>
      <c r="T237" s="26" t="str">
        <f>IFERROR(__xludf.DUMMYFUNCTION("IFERROR(TRANSPOSE(QUERY(IFERROR(SORT(GOOGLEFINANCE(C237, ""price"", WORKDAY(TODAY(), -40), TODAY()), 1, FALSE)), ""select Col2 where Col2 is not null limit 22 label Col2 ''"", 0)), """")"),"")</f>
        <v/>
      </c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8"/>
      <c r="AO237" s="28"/>
      <c r="AP237" s="29"/>
      <c r="AQ237" s="29" t="str">
        <f t="shared" ref="AQ237:BL237" si="240">T237/T$2</f>
        <v>#N/A</v>
      </c>
      <c r="AR237" s="29" t="str">
        <f t="shared" si="240"/>
        <v>#DIV/0!</v>
      </c>
      <c r="AS237" s="29" t="str">
        <f t="shared" si="240"/>
        <v>#DIV/0!</v>
      </c>
      <c r="AT237" s="29" t="str">
        <f t="shared" si="240"/>
        <v>#DIV/0!</v>
      </c>
      <c r="AU237" s="29" t="str">
        <f t="shared" si="240"/>
        <v>#DIV/0!</v>
      </c>
      <c r="AV237" s="29" t="str">
        <f t="shared" si="240"/>
        <v>#DIV/0!</v>
      </c>
      <c r="AW237" s="29" t="str">
        <f t="shared" si="240"/>
        <v>#DIV/0!</v>
      </c>
      <c r="AX237" s="29" t="str">
        <f t="shared" si="240"/>
        <v>#DIV/0!</v>
      </c>
      <c r="AY237" s="29" t="str">
        <f t="shared" si="240"/>
        <v>#DIV/0!</v>
      </c>
      <c r="AZ237" s="29" t="str">
        <f t="shared" si="240"/>
        <v>#DIV/0!</v>
      </c>
      <c r="BA237" s="29" t="str">
        <f t="shared" si="240"/>
        <v>#DIV/0!</v>
      </c>
      <c r="BB237" s="29" t="str">
        <f t="shared" si="240"/>
        <v>#DIV/0!</v>
      </c>
      <c r="BC237" s="29" t="str">
        <f t="shared" si="240"/>
        <v>#DIV/0!</v>
      </c>
      <c r="BD237" s="29" t="str">
        <f t="shared" si="240"/>
        <v>#DIV/0!</v>
      </c>
      <c r="BE237" s="29" t="str">
        <f t="shared" si="240"/>
        <v>#DIV/0!</v>
      </c>
      <c r="BF237" s="29" t="str">
        <f t="shared" si="240"/>
        <v>#DIV/0!</v>
      </c>
      <c r="BG237" s="29" t="str">
        <f t="shared" si="240"/>
        <v>#DIV/0!</v>
      </c>
      <c r="BH237" s="29" t="str">
        <f t="shared" si="240"/>
        <v>#DIV/0!</v>
      </c>
      <c r="BI237" s="29" t="str">
        <f t="shared" si="240"/>
        <v>#DIV/0!</v>
      </c>
      <c r="BJ237" s="29" t="str">
        <f t="shared" si="240"/>
        <v>#DIV/0!</v>
      </c>
      <c r="BK237" s="29" t="str">
        <f t="shared" si="240"/>
        <v>#DIV/0!</v>
      </c>
      <c r="BL237" s="29" t="str">
        <f t="shared" si="240"/>
        <v>#DIV/0!</v>
      </c>
      <c r="BM237" s="29" t="str">
        <f t="shared" si="3"/>
        <v>#DIV/0!</v>
      </c>
    </row>
    <row r="238">
      <c r="A238" s="16" t="str">
        <f>IFERROR(__xludf.DUMMYFUNCTION("IFERROR(SPARKLINE(SORT(MAP(TRANSPOSE(AQ238:BL238), LAMBDA(val, IF(ISNUMBER(val), PERCENTRANK(AQ238:BL238, val)+0.01, 0))), SEQUENCE(COLUMNS(AQ238:BL238)), FALSE), {""charttype"",""column""; ""color"",""chartreuse""; ""ymin"", 0; ""ymax"", 1.01; ""highcolo"&amp;"r"", ""darkgreen""; ""lowcolor"", ""red""}), """")"),"")</f>
        <v/>
      </c>
      <c r="B238" s="17" t="str">
        <f t="shared" si="4"/>
        <v/>
      </c>
      <c r="C238" s="1" t="s">
        <v>978</v>
      </c>
      <c r="D238" s="30" t="str">
        <f>IFERROR(__xludf.DUMMYFUNCTION("IFERROR(GOOGLEFINANCE(C238, ""NAME""))"),"Brightstar Lottery PLC")</f>
        <v>Brightstar Lottery PLC</v>
      </c>
      <c r="E238" s="30" t="s">
        <v>234</v>
      </c>
      <c r="F238" s="33" t="str">
        <f>IFERROR(__xludf.DUMMYFUNCTION("( (GOOGLEFINANCE(C238, ""price"") - Q238) / Q238 ) / (R238 / 100)"),"Loading...")</f>
        <v>Loading...</v>
      </c>
      <c r="G238" s="20" t="str">
        <f>IFERROR(__xludf.DUMMYFUNCTION("AVERAGE(ARRAYFORMULA(100 * (QUERY(GOOGLEFINANCE(C238, ""high"", TODAY()-40, TODAY()), ""SELECT Col2 WHERE Col2 IS NOT NULL ORDER BY Col1 DESC LIMIT 20"", 0) / QUERY(GOOGLEFINANCE(C238, ""low"", TODAY()-40, TODAY()), ""SELECT Col2 WHERE Col2 IS NOT NULL OR"&amp;"DER BY Col1 DESC LIMIT 20"", 0) - 1)))"),"#N/A")</f>
        <v>#N/A</v>
      </c>
      <c r="H238" s="35" t="str">
        <f t="shared" si="6"/>
        <v/>
      </c>
      <c r="I238" s="35" t="str">
        <f t="shared" si="7"/>
        <v/>
      </c>
      <c r="J238" s="37" t="str">
        <f>IFERROR(__xludf.DUMMYFUNCTION("IFERROR(
  IF(C238="""",, 
    IFERROR(
      GOOGLEFINANCE(C238, ""price"") * GOOGLEFINANCE(C238, ""volumeavg""), 
      GOOGLEFINANCE(C238, ""price"") * AVERAGE(QUERY(GOOGLEFINANCE(C238, ""volume"", TODAY()-40, TODAY()), ""SELECT Col2 WHERE Col2 IS NOT "&amp;"NULL ORDER BY Col1 DESC LIMIT 20"", 0))
    )
  ), 
"""")"),"")</f>
        <v/>
      </c>
      <c r="K238" s="21" t="str">
        <f>IFERROR(__xludf.DUMMYFUNCTION("IFERROR(GOOGLEFINANCE(C238, ""changepct"") / 100, """")"),"")</f>
        <v/>
      </c>
      <c r="L238" s="21" t="str">
        <f>IFERROR(__xludf.DUMMYFUNCTION("IFERROR((GOOGLEFINANCE(C238, ""price"") / INDEX(GOOGLEFINANCE(C238, ""price"", TODAY()-7, TODAY()), 2, 2)) - 1, """")"),"")</f>
        <v/>
      </c>
      <c r="M238" s="21" t="str">
        <f>IFERROR(__xludf.DUMMYFUNCTION("IFERROR((GOOGLEFINANCE(C238, ""price"") / INDEX(GOOGLEFINANCE(C238, ""price"", EDATE(TODAY(), -1), TODAY()), 2, 2)) - 1, """")"),"")</f>
        <v/>
      </c>
      <c r="N238" s="21" t="str">
        <f>IFERROR(__xludf.DUMMYFUNCTION("IFERROR((GOOGLEFINANCE(C238, ""price"") / INDEX(GOOGLEFINANCE(C238, ""price"", EDATE(TODAY(), -3), TODAY()), 2, 2)) - 1, """")"),"")</f>
        <v/>
      </c>
      <c r="O238" s="21" t="str">
        <f>IFERROR(__xludf.DUMMYFUNCTION("IFERROR((GOOGLEFINANCE(C238, ""price"") / INDEX(GOOGLEFINANCE(C238, ""price"", EDATE(TODAY(), -6), TODAY()), 2, 2)) - 1, """")"),"")</f>
        <v/>
      </c>
      <c r="P238" s="21" t="str">
        <f>IFERROR(__xludf.DUMMYFUNCTION("IFERROR((GOOGLEFINANCE(C238, ""price"") / INDEX(GOOGLEFINANCE(C238, ""price"", EDATE(TODAY(), -12), TODAY()), 2, 2)) - 1, """")"),"")</f>
        <v/>
      </c>
      <c r="Q238" s="6" t="str">
        <f>IFERROR(__xludf.DUMMYFUNCTION("AVERAGE(QUERY(GOOGLEFINANCE(C238, ""price"", TODAY()-80, TODAY()), ""SELECT Col2 WHERE Col2 IS NOT NULL ORDER BY Col1 DESC LIMIT 50"", 0))"),"#N/A")</f>
        <v>#N/A</v>
      </c>
      <c r="R238" s="24" t="str">
        <f>IFERROR(__xludf.DUMMYFUNCTION("IFERROR(
  LET(
    data, QUERY(GOOGLEFINANCE(C238,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GOOGLEFINANCE(C238, ""price"")) * 100,
    IF(calc=0, G238, calc)
  ), 
G238)"),"#N/A")</f>
        <v>#N/A</v>
      </c>
      <c r="S238" s="8" t="s">
        <v>15</v>
      </c>
      <c r="T238" s="26" t="str">
        <f>IFERROR(__xludf.DUMMYFUNCTION("IFERROR(TRANSPOSE(QUERY(IFERROR(SORT(GOOGLEFINANCE(C238, ""price"", WORKDAY(TODAY(), -40), TODAY()), 1, FALSE)), ""select Col2 where Col2 is not null limit 22 label Col2 ''"", 0)), """")"),"")</f>
        <v/>
      </c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8"/>
      <c r="AO238" s="28"/>
      <c r="AP238" s="29"/>
      <c r="AQ238" s="29" t="str">
        <f t="shared" ref="AQ238:BL238" si="241">T238/T$2</f>
        <v>#N/A</v>
      </c>
      <c r="AR238" s="29" t="str">
        <f t="shared" si="241"/>
        <v>#DIV/0!</v>
      </c>
      <c r="AS238" s="29" t="str">
        <f t="shared" si="241"/>
        <v>#DIV/0!</v>
      </c>
      <c r="AT238" s="29" t="str">
        <f t="shared" si="241"/>
        <v>#DIV/0!</v>
      </c>
      <c r="AU238" s="29" t="str">
        <f t="shared" si="241"/>
        <v>#DIV/0!</v>
      </c>
      <c r="AV238" s="29" t="str">
        <f t="shared" si="241"/>
        <v>#DIV/0!</v>
      </c>
      <c r="AW238" s="29" t="str">
        <f t="shared" si="241"/>
        <v>#DIV/0!</v>
      </c>
      <c r="AX238" s="29" t="str">
        <f t="shared" si="241"/>
        <v>#DIV/0!</v>
      </c>
      <c r="AY238" s="29" t="str">
        <f t="shared" si="241"/>
        <v>#DIV/0!</v>
      </c>
      <c r="AZ238" s="29" t="str">
        <f t="shared" si="241"/>
        <v>#DIV/0!</v>
      </c>
      <c r="BA238" s="29" t="str">
        <f t="shared" si="241"/>
        <v>#DIV/0!</v>
      </c>
      <c r="BB238" s="29" t="str">
        <f t="shared" si="241"/>
        <v>#DIV/0!</v>
      </c>
      <c r="BC238" s="29" t="str">
        <f t="shared" si="241"/>
        <v>#DIV/0!</v>
      </c>
      <c r="BD238" s="29" t="str">
        <f t="shared" si="241"/>
        <v>#DIV/0!</v>
      </c>
      <c r="BE238" s="29" t="str">
        <f t="shared" si="241"/>
        <v>#DIV/0!</v>
      </c>
      <c r="BF238" s="29" t="str">
        <f t="shared" si="241"/>
        <v>#DIV/0!</v>
      </c>
      <c r="BG238" s="29" t="str">
        <f t="shared" si="241"/>
        <v>#DIV/0!</v>
      </c>
      <c r="BH238" s="29" t="str">
        <f t="shared" si="241"/>
        <v>#DIV/0!</v>
      </c>
      <c r="BI238" s="29" t="str">
        <f t="shared" si="241"/>
        <v>#DIV/0!</v>
      </c>
      <c r="BJ238" s="29" t="str">
        <f t="shared" si="241"/>
        <v>#DIV/0!</v>
      </c>
      <c r="BK238" s="29" t="str">
        <f t="shared" si="241"/>
        <v>#DIV/0!</v>
      </c>
      <c r="BL238" s="29" t="str">
        <f t="shared" si="241"/>
        <v>#DIV/0!</v>
      </c>
      <c r="BM238" s="29" t="str">
        <f t="shared" si="3"/>
        <v>#DIV/0!</v>
      </c>
    </row>
    <row r="239">
      <c r="A239" s="16" t="str">
        <f>IFERROR(__xludf.DUMMYFUNCTION("IFERROR(SPARKLINE(SORT(MAP(TRANSPOSE(AQ239:BL239), LAMBDA(val, IF(ISNUMBER(val), PERCENTRANK(AQ239:BL239, val)+0.01, 0))), SEQUENCE(COLUMNS(AQ239:BL239)), FALSE), {""charttype"",""column""; ""color"",""chartreuse""; ""ymin"", 0; ""ymax"", 1.01; ""highcolo"&amp;"r"", ""darkgreen""; ""lowcolor"", ""red""}), """")"),"")</f>
        <v/>
      </c>
      <c r="B239" s="17" t="str">
        <f t="shared" si="4"/>
        <v/>
      </c>
      <c r="C239" s="1" t="s">
        <v>981</v>
      </c>
      <c r="D239" s="30" t="str">
        <f>IFERROR(__xludf.DUMMYFUNCTION("IFERROR(GOOGLEFINANCE(C239, ""NAME""))"),"Wyndham Hotels &amp; Resorts Inc")</f>
        <v>Wyndham Hotels &amp; Resorts Inc</v>
      </c>
      <c r="E239" s="30" t="s">
        <v>258</v>
      </c>
      <c r="F239" s="33" t="str">
        <f>IFERROR(__xludf.DUMMYFUNCTION("( (GOOGLEFINANCE(C239, ""price"") - Q239) / Q239 ) / (R239 / 100)"),"Loading...")</f>
        <v>Loading...</v>
      </c>
      <c r="G239" s="20" t="str">
        <f>IFERROR(__xludf.DUMMYFUNCTION("AVERAGE(ARRAYFORMULA(100 * (QUERY(GOOGLEFINANCE(C239, ""high"", TODAY()-40, TODAY()), ""SELECT Col2 WHERE Col2 IS NOT NULL ORDER BY Col1 DESC LIMIT 20"", 0) / QUERY(GOOGLEFINANCE(C239, ""low"", TODAY()-40, TODAY()), ""SELECT Col2 WHERE Col2 IS NOT NULL OR"&amp;"DER BY Col1 DESC LIMIT 20"", 0) - 1)))"),"#N/A")</f>
        <v>#N/A</v>
      </c>
      <c r="H239" s="35" t="str">
        <f t="shared" si="6"/>
        <v/>
      </c>
      <c r="I239" s="35" t="str">
        <f t="shared" si="7"/>
        <v/>
      </c>
      <c r="J239" s="37" t="str">
        <f>IFERROR(__xludf.DUMMYFUNCTION("IFERROR(
  IF(C239="""",, 
    IFERROR(
      GOOGLEFINANCE(C239, ""price"") * GOOGLEFINANCE(C239, ""volumeavg""), 
      GOOGLEFINANCE(C239, ""price"") * AVERAGE(QUERY(GOOGLEFINANCE(C239, ""volume"", TODAY()-40, TODAY()), ""SELECT Col2 WHERE Col2 IS NOT "&amp;"NULL ORDER BY Col1 DESC LIMIT 20"", 0))
    )
  ), 
"""")"),"")</f>
        <v/>
      </c>
      <c r="K239" s="21" t="str">
        <f>IFERROR(__xludf.DUMMYFUNCTION("IFERROR(GOOGLEFINANCE(C239, ""changepct"") / 100, """")"),"")</f>
        <v/>
      </c>
      <c r="L239" s="21" t="str">
        <f>IFERROR(__xludf.DUMMYFUNCTION("IFERROR((GOOGLEFINANCE(C239, ""price"") / INDEX(GOOGLEFINANCE(C239, ""price"", TODAY()-7, TODAY()), 2, 2)) - 1, """")"),"")</f>
        <v/>
      </c>
      <c r="M239" s="21" t="str">
        <f>IFERROR(__xludf.DUMMYFUNCTION("IFERROR((GOOGLEFINANCE(C239, ""price"") / INDEX(GOOGLEFINANCE(C239, ""price"", EDATE(TODAY(), -1), TODAY()), 2, 2)) - 1, """")"),"")</f>
        <v/>
      </c>
      <c r="N239" s="21" t="str">
        <f>IFERROR(__xludf.DUMMYFUNCTION("IFERROR((GOOGLEFINANCE(C239, ""price"") / INDEX(GOOGLEFINANCE(C239, ""price"", EDATE(TODAY(), -3), TODAY()), 2, 2)) - 1, """")"),"")</f>
        <v/>
      </c>
      <c r="O239" s="21" t="str">
        <f>IFERROR(__xludf.DUMMYFUNCTION("IFERROR((GOOGLEFINANCE(C239, ""price"") / INDEX(GOOGLEFINANCE(C239, ""price"", EDATE(TODAY(), -6), TODAY()), 2, 2)) - 1, """")"),"")</f>
        <v/>
      </c>
      <c r="P239" s="21" t="str">
        <f>IFERROR(__xludf.DUMMYFUNCTION("IFERROR((GOOGLEFINANCE(C239, ""price"") / INDEX(GOOGLEFINANCE(C239, ""price"", EDATE(TODAY(), -12), TODAY()), 2, 2)) - 1, """")"),"")</f>
        <v/>
      </c>
      <c r="Q239" s="6" t="str">
        <f>IFERROR(__xludf.DUMMYFUNCTION("AVERAGE(QUERY(GOOGLEFINANCE(C239, ""price"", TODAY()-80, TODAY()), ""SELECT Col2 WHERE Col2 IS NOT NULL ORDER BY Col1 DESC LIMIT 50"", 0))"),"#N/A")</f>
        <v>#N/A</v>
      </c>
      <c r="R239" s="24" t="str">
        <f>IFERROR(__xludf.DUMMYFUNCTION("IFERROR(
  LET(
    data, QUERY(GOOGLEFINANCE(C239,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GOOGLEFINANCE(C239, ""price"")) * 100,
    IF(calc=0, G239, calc)
  ), 
G239)"),"#N/A")</f>
        <v>#N/A</v>
      </c>
      <c r="S239" s="8" t="s">
        <v>15</v>
      </c>
      <c r="T239" s="26" t="str">
        <f>IFERROR(__xludf.DUMMYFUNCTION("IFERROR(TRANSPOSE(QUERY(IFERROR(SORT(GOOGLEFINANCE(C239, ""price"", WORKDAY(TODAY(), -40), TODAY()), 1, FALSE)), ""select Col2 where Col2 is not null limit 22 label Col2 ''"", 0)), """")"),"")</f>
        <v/>
      </c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8"/>
      <c r="AO239" s="28"/>
      <c r="AP239" s="29"/>
      <c r="AQ239" s="29" t="str">
        <f t="shared" ref="AQ239:BL239" si="242">T239/T$2</f>
        <v>#N/A</v>
      </c>
      <c r="AR239" s="29" t="str">
        <f t="shared" si="242"/>
        <v>#DIV/0!</v>
      </c>
      <c r="AS239" s="29" t="str">
        <f t="shared" si="242"/>
        <v>#DIV/0!</v>
      </c>
      <c r="AT239" s="29" t="str">
        <f t="shared" si="242"/>
        <v>#DIV/0!</v>
      </c>
      <c r="AU239" s="29" t="str">
        <f t="shared" si="242"/>
        <v>#DIV/0!</v>
      </c>
      <c r="AV239" s="29" t="str">
        <f t="shared" si="242"/>
        <v>#DIV/0!</v>
      </c>
      <c r="AW239" s="29" t="str">
        <f t="shared" si="242"/>
        <v>#DIV/0!</v>
      </c>
      <c r="AX239" s="29" t="str">
        <f t="shared" si="242"/>
        <v>#DIV/0!</v>
      </c>
      <c r="AY239" s="29" t="str">
        <f t="shared" si="242"/>
        <v>#DIV/0!</v>
      </c>
      <c r="AZ239" s="29" t="str">
        <f t="shared" si="242"/>
        <v>#DIV/0!</v>
      </c>
      <c r="BA239" s="29" t="str">
        <f t="shared" si="242"/>
        <v>#DIV/0!</v>
      </c>
      <c r="BB239" s="29" t="str">
        <f t="shared" si="242"/>
        <v>#DIV/0!</v>
      </c>
      <c r="BC239" s="29" t="str">
        <f t="shared" si="242"/>
        <v>#DIV/0!</v>
      </c>
      <c r="BD239" s="29" t="str">
        <f t="shared" si="242"/>
        <v>#DIV/0!</v>
      </c>
      <c r="BE239" s="29" t="str">
        <f t="shared" si="242"/>
        <v>#DIV/0!</v>
      </c>
      <c r="BF239" s="29" t="str">
        <f t="shared" si="242"/>
        <v>#DIV/0!</v>
      </c>
      <c r="BG239" s="29" t="str">
        <f t="shared" si="242"/>
        <v>#DIV/0!</v>
      </c>
      <c r="BH239" s="29" t="str">
        <f t="shared" si="242"/>
        <v>#DIV/0!</v>
      </c>
      <c r="BI239" s="29" t="str">
        <f t="shared" si="242"/>
        <v>#DIV/0!</v>
      </c>
      <c r="BJ239" s="29" t="str">
        <f t="shared" si="242"/>
        <v>#DIV/0!</v>
      </c>
      <c r="BK239" s="29" t="str">
        <f t="shared" si="242"/>
        <v>#DIV/0!</v>
      </c>
      <c r="BL239" s="29" t="str">
        <f t="shared" si="242"/>
        <v>#DIV/0!</v>
      </c>
      <c r="BM239" s="29" t="str">
        <f t="shared" si="3"/>
        <v>#DIV/0!</v>
      </c>
    </row>
    <row r="240">
      <c r="A240" s="16" t="str">
        <f>IFERROR(__xludf.DUMMYFUNCTION("IFERROR(SPARKLINE(SORT(MAP(TRANSPOSE(AQ240:BL240), LAMBDA(val, IF(ISNUMBER(val), PERCENTRANK(AQ240:BL240, val)+0.01, 0))), SEQUENCE(COLUMNS(AQ240:BL240)), FALSE), {""charttype"",""column""; ""color"",""chartreuse""; ""ymin"", 0; ""ymax"", 1.01; ""highcolo"&amp;"r"", ""darkgreen""; ""lowcolor"", ""red""}), """")"),"")</f>
        <v/>
      </c>
      <c r="B240" s="17" t="str">
        <f t="shared" si="4"/>
        <v/>
      </c>
      <c r="C240" s="1" t="s">
        <v>984</v>
      </c>
      <c r="D240" s="30" t="str">
        <f>IFERROR(__xludf.DUMMYFUNCTION("IFERROR(GOOGLEFINANCE(C240, ""NAME""))"),"Winnebago Industries Inc")</f>
        <v>Winnebago Industries Inc</v>
      </c>
      <c r="E240" s="30" t="s">
        <v>165</v>
      </c>
      <c r="F240" s="33" t="str">
        <f>IFERROR(__xludf.DUMMYFUNCTION("( (GOOGLEFINANCE(C240, ""price"") - Q240) / Q240 ) / (R240 / 100)"),"Loading...")</f>
        <v>Loading...</v>
      </c>
      <c r="G240" s="20" t="str">
        <f>IFERROR(__xludf.DUMMYFUNCTION("AVERAGE(ARRAYFORMULA(100 * (QUERY(GOOGLEFINANCE(C240, ""high"", TODAY()-40, TODAY()), ""SELECT Col2 WHERE Col2 IS NOT NULL ORDER BY Col1 DESC LIMIT 20"", 0) / QUERY(GOOGLEFINANCE(C240, ""low"", TODAY()-40, TODAY()), ""SELECT Col2 WHERE Col2 IS NOT NULL OR"&amp;"DER BY Col1 DESC LIMIT 20"", 0) - 1)))"),"#N/A")</f>
        <v>#N/A</v>
      </c>
      <c r="H240" s="35" t="str">
        <f t="shared" si="6"/>
        <v/>
      </c>
      <c r="I240" s="35" t="str">
        <f t="shared" si="7"/>
        <v/>
      </c>
      <c r="J240" s="37" t="str">
        <f>IFERROR(__xludf.DUMMYFUNCTION("IFERROR(
  IF(C240="""",, 
    IFERROR(
      GOOGLEFINANCE(C240, ""price"") * GOOGLEFINANCE(C240, ""volumeavg""), 
      GOOGLEFINANCE(C240, ""price"") * AVERAGE(QUERY(GOOGLEFINANCE(C240, ""volume"", TODAY()-40, TODAY()), ""SELECT Col2 WHERE Col2 IS NOT "&amp;"NULL ORDER BY Col1 DESC LIMIT 20"", 0))
    )
  ), 
"""")"),"")</f>
        <v/>
      </c>
      <c r="K240" s="21" t="str">
        <f>IFERROR(__xludf.DUMMYFUNCTION("IFERROR(GOOGLEFINANCE(C240, ""changepct"") / 100, """")"),"")</f>
        <v/>
      </c>
      <c r="L240" s="21" t="str">
        <f>IFERROR(__xludf.DUMMYFUNCTION("IFERROR((GOOGLEFINANCE(C240, ""price"") / INDEX(GOOGLEFINANCE(C240, ""price"", TODAY()-7, TODAY()), 2, 2)) - 1, """")"),"")</f>
        <v/>
      </c>
      <c r="M240" s="21" t="str">
        <f>IFERROR(__xludf.DUMMYFUNCTION("IFERROR((GOOGLEFINANCE(C240, ""price"") / INDEX(GOOGLEFINANCE(C240, ""price"", EDATE(TODAY(), -1), TODAY()), 2, 2)) - 1, """")"),"")</f>
        <v/>
      </c>
      <c r="N240" s="21" t="str">
        <f>IFERROR(__xludf.DUMMYFUNCTION("IFERROR((GOOGLEFINANCE(C240, ""price"") / INDEX(GOOGLEFINANCE(C240, ""price"", EDATE(TODAY(), -3), TODAY()), 2, 2)) - 1, """")"),"")</f>
        <v/>
      </c>
      <c r="O240" s="21" t="str">
        <f>IFERROR(__xludf.DUMMYFUNCTION("IFERROR((GOOGLEFINANCE(C240, ""price"") / INDEX(GOOGLEFINANCE(C240, ""price"", EDATE(TODAY(), -6), TODAY()), 2, 2)) - 1, """")"),"")</f>
        <v/>
      </c>
      <c r="P240" s="21" t="str">
        <f>IFERROR(__xludf.DUMMYFUNCTION("IFERROR((GOOGLEFINANCE(C240, ""price"") / INDEX(GOOGLEFINANCE(C240, ""price"", EDATE(TODAY(), -12), TODAY()), 2, 2)) - 1, """")"),"")</f>
        <v/>
      </c>
      <c r="Q240" s="6" t="str">
        <f>IFERROR(__xludf.DUMMYFUNCTION("AVERAGE(QUERY(GOOGLEFINANCE(C240, ""price"", TODAY()-80, TODAY()), ""SELECT Col2 WHERE Col2 IS NOT NULL ORDER BY Col1 DESC LIMIT 50"", 0))"),"#N/A")</f>
        <v>#N/A</v>
      </c>
      <c r="R240" s="24" t="str">
        <f>IFERROR(__xludf.DUMMYFUNCTION("IFERROR(
  LET(
    data, QUERY(GOOGLEFINANCE(C240,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GOOGLEFINANCE(C240, ""price"")) * 100,
    IF(calc=0, G240, calc)
  ), 
G240)"),"#N/A")</f>
        <v>#N/A</v>
      </c>
      <c r="S240" s="8" t="s">
        <v>15</v>
      </c>
      <c r="T240" s="26" t="str">
        <f>IFERROR(__xludf.DUMMYFUNCTION("IFERROR(TRANSPOSE(QUERY(IFERROR(SORT(GOOGLEFINANCE(C240, ""price"", WORKDAY(TODAY(), -40), TODAY()), 1, FALSE)), ""select Col2 where Col2 is not null limit 22 label Col2 ''"", 0)), """")"),"")</f>
        <v/>
      </c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8"/>
      <c r="AO240" s="28"/>
      <c r="AP240" s="29"/>
      <c r="AQ240" s="29" t="str">
        <f t="shared" ref="AQ240:BL240" si="243">T240/T$2</f>
        <v>#N/A</v>
      </c>
      <c r="AR240" s="29" t="str">
        <f t="shared" si="243"/>
        <v>#DIV/0!</v>
      </c>
      <c r="AS240" s="29" t="str">
        <f t="shared" si="243"/>
        <v>#DIV/0!</v>
      </c>
      <c r="AT240" s="29" t="str">
        <f t="shared" si="243"/>
        <v>#DIV/0!</v>
      </c>
      <c r="AU240" s="29" t="str">
        <f t="shared" si="243"/>
        <v>#DIV/0!</v>
      </c>
      <c r="AV240" s="29" t="str">
        <f t="shared" si="243"/>
        <v>#DIV/0!</v>
      </c>
      <c r="AW240" s="29" t="str">
        <f t="shared" si="243"/>
        <v>#DIV/0!</v>
      </c>
      <c r="AX240" s="29" t="str">
        <f t="shared" si="243"/>
        <v>#DIV/0!</v>
      </c>
      <c r="AY240" s="29" t="str">
        <f t="shared" si="243"/>
        <v>#DIV/0!</v>
      </c>
      <c r="AZ240" s="29" t="str">
        <f t="shared" si="243"/>
        <v>#DIV/0!</v>
      </c>
      <c r="BA240" s="29" t="str">
        <f t="shared" si="243"/>
        <v>#DIV/0!</v>
      </c>
      <c r="BB240" s="29" t="str">
        <f t="shared" si="243"/>
        <v>#DIV/0!</v>
      </c>
      <c r="BC240" s="29" t="str">
        <f t="shared" si="243"/>
        <v>#DIV/0!</v>
      </c>
      <c r="BD240" s="29" t="str">
        <f t="shared" si="243"/>
        <v>#DIV/0!</v>
      </c>
      <c r="BE240" s="29" t="str">
        <f t="shared" si="243"/>
        <v>#DIV/0!</v>
      </c>
      <c r="BF240" s="29" t="str">
        <f t="shared" si="243"/>
        <v>#DIV/0!</v>
      </c>
      <c r="BG240" s="29" t="str">
        <f t="shared" si="243"/>
        <v>#DIV/0!</v>
      </c>
      <c r="BH240" s="29" t="str">
        <f t="shared" si="243"/>
        <v>#DIV/0!</v>
      </c>
      <c r="BI240" s="29" t="str">
        <f t="shared" si="243"/>
        <v>#DIV/0!</v>
      </c>
      <c r="BJ240" s="29" t="str">
        <f t="shared" si="243"/>
        <v>#DIV/0!</v>
      </c>
      <c r="BK240" s="29" t="str">
        <f t="shared" si="243"/>
        <v>#DIV/0!</v>
      </c>
      <c r="BL240" s="29" t="str">
        <f t="shared" si="243"/>
        <v>#DIV/0!</v>
      </c>
      <c r="BM240" s="29" t="str">
        <f t="shared" si="3"/>
        <v>#DIV/0!</v>
      </c>
    </row>
    <row r="241">
      <c r="A241" s="16" t="str">
        <f>IFERROR(__xludf.DUMMYFUNCTION("IFERROR(SPARKLINE(SORT(MAP(TRANSPOSE(AQ241:BL241), LAMBDA(val, IF(ISNUMBER(val), PERCENTRANK(AQ241:BL241, val)+0.01, 0))), SEQUENCE(COLUMNS(AQ241:BL241)), FALSE), {""charttype"",""column""; ""color"",""chartreuse""; ""ymin"", 0; ""ymax"", 1.01; ""highcolo"&amp;"r"", ""darkgreen""; ""lowcolor"", ""red""}), """")"),"")</f>
        <v/>
      </c>
      <c r="B241" s="17" t="str">
        <f t="shared" si="4"/>
        <v/>
      </c>
      <c r="C241" s="1" t="s">
        <v>988</v>
      </c>
      <c r="D241" s="30" t="str">
        <f>IFERROR(__xludf.DUMMYFUNCTION("IFERROR(GOOGLEFINANCE(C241, ""NAME""))"),"Gildan Activewear Inc")</f>
        <v>Gildan Activewear Inc</v>
      </c>
      <c r="E241" s="30" t="s">
        <v>317</v>
      </c>
      <c r="F241" s="33" t="str">
        <f>IFERROR(__xludf.DUMMYFUNCTION("( (GOOGLEFINANCE(C241, ""price"") - Q241) / Q241 ) / (R241 / 100)"),"Loading...")</f>
        <v>Loading...</v>
      </c>
      <c r="G241" s="20" t="str">
        <f>IFERROR(__xludf.DUMMYFUNCTION("AVERAGE(ARRAYFORMULA(100 * (QUERY(GOOGLEFINANCE(C241, ""high"", TODAY()-40, TODAY()), ""SELECT Col2 WHERE Col2 IS NOT NULL ORDER BY Col1 DESC LIMIT 20"", 0) / QUERY(GOOGLEFINANCE(C241, ""low"", TODAY()-40, TODAY()), ""SELECT Col2 WHERE Col2 IS NOT NULL OR"&amp;"DER BY Col1 DESC LIMIT 20"", 0) - 1)))"),"#N/A")</f>
        <v>#N/A</v>
      </c>
      <c r="H241" s="35" t="str">
        <f t="shared" si="6"/>
        <v/>
      </c>
      <c r="I241" s="35" t="str">
        <f t="shared" si="7"/>
        <v/>
      </c>
      <c r="J241" s="37" t="str">
        <f>IFERROR(__xludf.DUMMYFUNCTION("IFERROR(
  IF(C241="""",, 
    IFERROR(
      GOOGLEFINANCE(C241, ""price"") * GOOGLEFINANCE(C241, ""volumeavg""), 
      GOOGLEFINANCE(C241, ""price"") * AVERAGE(QUERY(GOOGLEFINANCE(C241, ""volume"", TODAY()-40, TODAY()), ""SELECT Col2 WHERE Col2 IS NOT "&amp;"NULL ORDER BY Col1 DESC LIMIT 20"", 0))
    )
  ), 
"""")"),"")</f>
        <v/>
      </c>
      <c r="K241" s="21" t="str">
        <f>IFERROR(__xludf.DUMMYFUNCTION("IFERROR(GOOGLEFINANCE(C241, ""changepct"") / 100, """")"),"")</f>
        <v/>
      </c>
      <c r="L241" s="21" t="str">
        <f>IFERROR(__xludf.DUMMYFUNCTION("IFERROR((GOOGLEFINANCE(C241, ""price"") / INDEX(GOOGLEFINANCE(C241, ""price"", TODAY()-7, TODAY()), 2, 2)) - 1, """")"),"")</f>
        <v/>
      </c>
      <c r="M241" s="21" t="str">
        <f>IFERROR(__xludf.DUMMYFUNCTION("IFERROR((GOOGLEFINANCE(C241, ""price"") / INDEX(GOOGLEFINANCE(C241, ""price"", EDATE(TODAY(), -1), TODAY()), 2, 2)) - 1, """")"),"")</f>
        <v/>
      </c>
      <c r="N241" s="21" t="str">
        <f>IFERROR(__xludf.DUMMYFUNCTION("IFERROR((GOOGLEFINANCE(C241, ""price"") / INDEX(GOOGLEFINANCE(C241, ""price"", EDATE(TODAY(), -3), TODAY()), 2, 2)) - 1, """")"),"")</f>
        <v/>
      </c>
      <c r="O241" s="21" t="str">
        <f>IFERROR(__xludf.DUMMYFUNCTION("IFERROR((GOOGLEFINANCE(C241, ""price"") / INDEX(GOOGLEFINANCE(C241, ""price"", EDATE(TODAY(), -6), TODAY()), 2, 2)) - 1, """")"),"")</f>
        <v/>
      </c>
      <c r="P241" s="21" t="str">
        <f>IFERROR(__xludf.DUMMYFUNCTION("IFERROR((GOOGLEFINANCE(C241, ""price"") / INDEX(GOOGLEFINANCE(C241, ""price"", EDATE(TODAY(), -12), TODAY()), 2, 2)) - 1, """")"),"")</f>
        <v/>
      </c>
      <c r="Q241" s="6" t="str">
        <f>IFERROR(__xludf.DUMMYFUNCTION("AVERAGE(QUERY(GOOGLEFINANCE(C241, ""price"", TODAY()-80, TODAY()), ""SELECT Col2 WHERE Col2 IS NOT NULL ORDER BY Col1 DESC LIMIT 50"", 0))"),"#N/A")</f>
        <v>#N/A</v>
      </c>
      <c r="R241" s="24" t="str">
        <f>IFERROR(__xludf.DUMMYFUNCTION("IFERROR(
  LET(
    data, QUERY(GOOGLEFINANCE(C241,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GOOGLEFINANCE(C241, ""price"")) * 100,
    IF(calc=0, G241, calc)
  ), 
G241)"),"#N/A")</f>
        <v>#N/A</v>
      </c>
      <c r="S241" s="8" t="s">
        <v>15</v>
      </c>
      <c r="T241" s="26" t="str">
        <f>IFERROR(__xludf.DUMMYFUNCTION("IFERROR(TRANSPOSE(QUERY(IFERROR(SORT(GOOGLEFINANCE(C241, ""price"", WORKDAY(TODAY(), -40), TODAY()), 1, FALSE)), ""select Col2 where Col2 is not null limit 22 label Col2 ''"", 0)), """")"),"")</f>
        <v/>
      </c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8"/>
      <c r="AO241" s="28"/>
      <c r="AP241" s="29"/>
      <c r="AQ241" s="29" t="str">
        <f t="shared" ref="AQ241:BL241" si="244">T241/T$2</f>
        <v>#N/A</v>
      </c>
      <c r="AR241" s="29" t="str">
        <f t="shared" si="244"/>
        <v>#DIV/0!</v>
      </c>
      <c r="AS241" s="29" t="str">
        <f t="shared" si="244"/>
        <v>#DIV/0!</v>
      </c>
      <c r="AT241" s="29" t="str">
        <f t="shared" si="244"/>
        <v>#DIV/0!</v>
      </c>
      <c r="AU241" s="29" t="str">
        <f t="shared" si="244"/>
        <v>#DIV/0!</v>
      </c>
      <c r="AV241" s="29" t="str">
        <f t="shared" si="244"/>
        <v>#DIV/0!</v>
      </c>
      <c r="AW241" s="29" t="str">
        <f t="shared" si="244"/>
        <v>#DIV/0!</v>
      </c>
      <c r="AX241" s="29" t="str">
        <f t="shared" si="244"/>
        <v>#DIV/0!</v>
      </c>
      <c r="AY241" s="29" t="str">
        <f t="shared" si="244"/>
        <v>#DIV/0!</v>
      </c>
      <c r="AZ241" s="29" t="str">
        <f t="shared" si="244"/>
        <v>#DIV/0!</v>
      </c>
      <c r="BA241" s="29" t="str">
        <f t="shared" si="244"/>
        <v>#DIV/0!</v>
      </c>
      <c r="BB241" s="29" t="str">
        <f t="shared" si="244"/>
        <v>#DIV/0!</v>
      </c>
      <c r="BC241" s="29" t="str">
        <f t="shared" si="244"/>
        <v>#DIV/0!</v>
      </c>
      <c r="BD241" s="29" t="str">
        <f t="shared" si="244"/>
        <v>#DIV/0!</v>
      </c>
      <c r="BE241" s="29" t="str">
        <f t="shared" si="244"/>
        <v>#DIV/0!</v>
      </c>
      <c r="BF241" s="29" t="str">
        <f t="shared" si="244"/>
        <v>#DIV/0!</v>
      </c>
      <c r="BG241" s="29" t="str">
        <f t="shared" si="244"/>
        <v>#DIV/0!</v>
      </c>
      <c r="BH241" s="29" t="str">
        <f t="shared" si="244"/>
        <v>#DIV/0!</v>
      </c>
      <c r="BI241" s="29" t="str">
        <f t="shared" si="244"/>
        <v>#DIV/0!</v>
      </c>
      <c r="BJ241" s="29" t="str">
        <f t="shared" si="244"/>
        <v>#DIV/0!</v>
      </c>
      <c r="BK241" s="29" t="str">
        <f t="shared" si="244"/>
        <v>#DIV/0!</v>
      </c>
      <c r="BL241" s="29" t="str">
        <f t="shared" si="244"/>
        <v>#DIV/0!</v>
      </c>
      <c r="BM241" s="29" t="str">
        <f t="shared" si="3"/>
        <v>#DIV/0!</v>
      </c>
    </row>
    <row r="242">
      <c r="A242" s="16" t="str">
        <f>IFERROR(__xludf.DUMMYFUNCTION("IFERROR(SPARKLINE(SORT(MAP(TRANSPOSE(AQ242:BL242), LAMBDA(val, IF(ISNUMBER(val), PERCENTRANK(AQ242:BL242, val)+0.01, 0))), SEQUENCE(COLUMNS(AQ242:BL242)), FALSE), {""charttype"",""column""; ""color"",""chartreuse""; ""ymin"", 0; ""ymax"", 1.01; ""highcolo"&amp;"r"", ""darkgreen""; ""lowcolor"", ""red""}), """")"),"")</f>
        <v/>
      </c>
      <c r="B242" s="17" t="str">
        <f t="shared" si="4"/>
        <v/>
      </c>
      <c r="C242" s="1" t="s">
        <v>993</v>
      </c>
      <c r="D242" s="30" t="str">
        <f>IFERROR(__xludf.DUMMYFUNCTION("IFERROR(GOOGLEFINANCE(C242, ""NAME""))"),"On Holding AG")</f>
        <v>On Holding AG</v>
      </c>
      <c r="E242" s="30" t="s">
        <v>411</v>
      </c>
      <c r="F242" s="33" t="str">
        <f>IFERROR(__xludf.DUMMYFUNCTION("( (GOOGLEFINANCE(C242, ""price"") - Q242) / Q242 ) / (R242 / 100)"),"Loading...")</f>
        <v>Loading...</v>
      </c>
      <c r="G242" s="20" t="str">
        <f>IFERROR(__xludf.DUMMYFUNCTION("AVERAGE(ARRAYFORMULA(100 * (QUERY(GOOGLEFINANCE(C242, ""high"", TODAY()-40, TODAY()), ""SELECT Col2 WHERE Col2 IS NOT NULL ORDER BY Col1 DESC LIMIT 20"", 0) / QUERY(GOOGLEFINANCE(C242, ""low"", TODAY()-40, TODAY()), ""SELECT Col2 WHERE Col2 IS NOT NULL OR"&amp;"DER BY Col1 DESC LIMIT 20"", 0) - 1)))"),"#N/A")</f>
        <v>#N/A</v>
      </c>
      <c r="H242" s="35" t="str">
        <f t="shared" si="6"/>
        <v/>
      </c>
      <c r="I242" s="35" t="str">
        <f t="shared" si="7"/>
        <v/>
      </c>
      <c r="J242" s="37" t="str">
        <f>IFERROR(__xludf.DUMMYFUNCTION("IFERROR(
  IF(C242="""",, 
    IFERROR(
      GOOGLEFINANCE(C242, ""price"") * GOOGLEFINANCE(C242, ""volumeavg""), 
      GOOGLEFINANCE(C242, ""price"") * AVERAGE(QUERY(GOOGLEFINANCE(C242, ""volume"", TODAY()-40, TODAY()), ""SELECT Col2 WHERE Col2 IS NOT "&amp;"NULL ORDER BY Col1 DESC LIMIT 20"", 0))
    )
  ), 
"""")"),"")</f>
        <v/>
      </c>
      <c r="K242" s="21" t="str">
        <f>IFERROR(__xludf.DUMMYFUNCTION("IFERROR(GOOGLEFINANCE(C242, ""changepct"") / 100, """")"),"")</f>
        <v/>
      </c>
      <c r="L242" s="21" t="str">
        <f>IFERROR(__xludf.DUMMYFUNCTION("IFERROR((GOOGLEFINANCE(C242, ""price"") / INDEX(GOOGLEFINANCE(C242, ""price"", TODAY()-7, TODAY()), 2, 2)) - 1, """")"),"")</f>
        <v/>
      </c>
      <c r="M242" s="21" t="str">
        <f>IFERROR(__xludf.DUMMYFUNCTION("IFERROR((GOOGLEFINANCE(C242, ""price"") / INDEX(GOOGLEFINANCE(C242, ""price"", EDATE(TODAY(), -1), TODAY()), 2, 2)) - 1, """")"),"")</f>
        <v/>
      </c>
      <c r="N242" s="21" t="str">
        <f>IFERROR(__xludf.DUMMYFUNCTION("IFERROR((GOOGLEFINANCE(C242, ""price"") / INDEX(GOOGLEFINANCE(C242, ""price"", EDATE(TODAY(), -3), TODAY()), 2, 2)) - 1, """")"),"")</f>
        <v/>
      </c>
      <c r="O242" s="21" t="str">
        <f>IFERROR(__xludf.DUMMYFUNCTION("IFERROR((GOOGLEFINANCE(C242, ""price"") / INDEX(GOOGLEFINANCE(C242, ""price"", EDATE(TODAY(), -6), TODAY()), 2, 2)) - 1, """")"),"")</f>
        <v/>
      </c>
      <c r="P242" s="21" t="str">
        <f>IFERROR(__xludf.DUMMYFUNCTION("IFERROR((GOOGLEFINANCE(C242, ""price"") / INDEX(GOOGLEFINANCE(C242, ""price"", EDATE(TODAY(), -12), TODAY()), 2, 2)) - 1, """")"),"")</f>
        <v/>
      </c>
      <c r="Q242" s="6" t="str">
        <f>IFERROR(__xludf.DUMMYFUNCTION("AVERAGE(QUERY(GOOGLEFINANCE(C242, ""price"", TODAY()-80, TODAY()), ""SELECT Col2 WHERE Col2 IS NOT NULL ORDER BY Col1 DESC LIMIT 50"", 0))"),"#N/A")</f>
        <v>#N/A</v>
      </c>
      <c r="R242" s="24" t="str">
        <f>IFERROR(__xludf.DUMMYFUNCTION("IFERROR(
  LET(
    data, QUERY(GOOGLEFINANCE(C242,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GOOGLEFINANCE(C242, ""price"")) * 100,
    IF(calc=0, G242, calc)
  ), 
G242)"),"#N/A")</f>
        <v>#N/A</v>
      </c>
      <c r="S242" s="8" t="s">
        <v>15</v>
      </c>
      <c r="T242" s="26" t="str">
        <f>IFERROR(__xludf.DUMMYFUNCTION("IFERROR(TRANSPOSE(QUERY(IFERROR(SORT(GOOGLEFINANCE(C242, ""price"", WORKDAY(TODAY(), -40), TODAY()), 1, FALSE)), ""select Col2 where Col2 is not null limit 22 label Col2 ''"", 0)), """")"),"")</f>
        <v/>
      </c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8"/>
      <c r="AO242" s="28"/>
      <c r="AP242" s="29"/>
      <c r="AQ242" s="29" t="str">
        <f t="shared" ref="AQ242:BL242" si="245">T242/T$2</f>
        <v>#N/A</v>
      </c>
      <c r="AR242" s="29" t="str">
        <f t="shared" si="245"/>
        <v>#DIV/0!</v>
      </c>
      <c r="AS242" s="29" t="str">
        <f t="shared" si="245"/>
        <v>#DIV/0!</v>
      </c>
      <c r="AT242" s="29" t="str">
        <f t="shared" si="245"/>
        <v>#DIV/0!</v>
      </c>
      <c r="AU242" s="29" t="str">
        <f t="shared" si="245"/>
        <v>#DIV/0!</v>
      </c>
      <c r="AV242" s="29" t="str">
        <f t="shared" si="245"/>
        <v>#DIV/0!</v>
      </c>
      <c r="AW242" s="29" t="str">
        <f t="shared" si="245"/>
        <v>#DIV/0!</v>
      </c>
      <c r="AX242" s="29" t="str">
        <f t="shared" si="245"/>
        <v>#DIV/0!</v>
      </c>
      <c r="AY242" s="29" t="str">
        <f t="shared" si="245"/>
        <v>#DIV/0!</v>
      </c>
      <c r="AZ242" s="29" t="str">
        <f t="shared" si="245"/>
        <v>#DIV/0!</v>
      </c>
      <c r="BA242" s="29" t="str">
        <f t="shared" si="245"/>
        <v>#DIV/0!</v>
      </c>
      <c r="BB242" s="29" t="str">
        <f t="shared" si="245"/>
        <v>#DIV/0!</v>
      </c>
      <c r="BC242" s="29" t="str">
        <f t="shared" si="245"/>
        <v>#DIV/0!</v>
      </c>
      <c r="BD242" s="29" t="str">
        <f t="shared" si="245"/>
        <v>#DIV/0!</v>
      </c>
      <c r="BE242" s="29" t="str">
        <f t="shared" si="245"/>
        <v>#DIV/0!</v>
      </c>
      <c r="BF242" s="29" t="str">
        <f t="shared" si="245"/>
        <v>#DIV/0!</v>
      </c>
      <c r="BG242" s="29" t="str">
        <f t="shared" si="245"/>
        <v>#DIV/0!</v>
      </c>
      <c r="BH242" s="29" t="str">
        <f t="shared" si="245"/>
        <v>#DIV/0!</v>
      </c>
      <c r="BI242" s="29" t="str">
        <f t="shared" si="245"/>
        <v>#DIV/0!</v>
      </c>
      <c r="BJ242" s="29" t="str">
        <f t="shared" si="245"/>
        <v>#DIV/0!</v>
      </c>
      <c r="BK242" s="29" t="str">
        <f t="shared" si="245"/>
        <v>#DIV/0!</v>
      </c>
      <c r="BL242" s="29" t="str">
        <f t="shared" si="245"/>
        <v>#DIV/0!</v>
      </c>
      <c r="BM242" s="29" t="str">
        <f t="shared" si="3"/>
        <v>#DIV/0!</v>
      </c>
    </row>
    <row r="243">
      <c r="A243" s="16" t="str">
        <f>IFERROR(__xludf.DUMMYFUNCTION("IFERROR(SPARKLINE(SORT(MAP(TRANSPOSE(AQ243:BL243), LAMBDA(val, IF(ISNUMBER(val), PERCENTRANK(AQ243:BL243, val)+0.01, 0))), SEQUENCE(COLUMNS(AQ243:BL243)), FALSE), {""charttype"",""column""; ""color"",""chartreuse""; ""ymin"", 0; ""ymax"", 1.01; ""highcolo"&amp;"r"", ""darkgreen""; ""lowcolor"", ""red""}), """")"),"")</f>
        <v/>
      </c>
      <c r="B243" s="17" t="str">
        <f t="shared" si="4"/>
        <v/>
      </c>
      <c r="C243" s="1" t="s">
        <v>997</v>
      </c>
      <c r="D243" s="30" t="str">
        <f>IFERROR(__xludf.DUMMYFUNCTION("IFERROR(GOOGLEFINANCE(C243, ""NAME""))"),"Williams-Sonoma Inc")</f>
        <v>Williams-Sonoma Inc</v>
      </c>
      <c r="E243" s="30" t="s">
        <v>184</v>
      </c>
      <c r="F243" s="33" t="str">
        <f>IFERROR(__xludf.DUMMYFUNCTION("( (GOOGLEFINANCE(C243, ""price"") - Q243) / Q243 ) / (R243 / 100)"),"Loading...")</f>
        <v>Loading...</v>
      </c>
      <c r="G243" s="20" t="str">
        <f>IFERROR(__xludf.DUMMYFUNCTION("AVERAGE(ARRAYFORMULA(100 * (QUERY(GOOGLEFINANCE(C243, ""high"", TODAY()-40, TODAY()), ""SELECT Col2 WHERE Col2 IS NOT NULL ORDER BY Col1 DESC LIMIT 20"", 0) / QUERY(GOOGLEFINANCE(C243, ""low"", TODAY()-40, TODAY()), ""SELECT Col2 WHERE Col2 IS NOT NULL OR"&amp;"DER BY Col1 DESC LIMIT 20"", 0) - 1)))"),"#N/A")</f>
        <v>#N/A</v>
      </c>
      <c r="H243" s="35" t="str">
        <f t="shared" si="6"/>
        <v/>
      </c>
      <c r="I243" s="35" t="str">
        <f t="shared" si="7"/>
        <v/>
      </c>
      <c r="J243" s="37" t="str">
        <f>IFERROR(__xludf.DUMMYFUNCTION("IFERROR(
  IF(C243="""",, 
    IFERROR(
      GOOGLEFINANCE(C243, ""price"") * GOOGLEFINANCE(C243, ""volumeavg""), 
      GOOGLEFINANCE(C243, ""price"") * AVERAGE(QUERY(GOOGLEFINANCE(C243, ""volume"", TODAY()-40, TODAY()), ""SELECT Col2 WHERE Col2 IS NOT "&amp;"NULL ORDER BY Col1 DESC LIMIT 20"", 0))
    )
  ), 
"""")"),"")</f>
        <v/>
      </c>
      <c r="K243" s="21" t="str">
        <f>IFERROR(__xludf.DUMMYFUNCTION("IFERROR(GOOGLEFINANCE(C243, ""changepct"") / 100, """")"),"")</f>
        <v/>
      </c>
      <c r="L243" s="21" t="str">
        <f>IFERROR(__xludf.DUMMYFUNCTION("IFERROR((GOOGLEFINANCE(C243, ""price"") / INDEX(GOOGLEFINANCE(C243, ""price"", TODAY()-7, TODAY()), 2, 2)) - 1, """")"),"")</f>
        <v/>
      </c>
      <c r="M243" s="21" t="str">
        <f>IFERROR(__xludf.DUMMYFUNCTION("IFERROR((GOOGLEFINANCE(C243, ""price"") / INDEX(GOOGLEFINANCE(C243, ""price"", EDATE(TODAY(), -1), TODAY()), 2, 2)) - 1, """")"),"")</f>
        <v/>
      </c>
      <c r="N243" s="21" t="str">
        <f>IFERROR(__xludf.DUMMYFUNCTION("IFERROR((GOOGLEFINANCE(C243, ""price"") / INDEX(GOOGLEFINANCE(C243, ""price"", EDATE(TODAY(), -3), TODAY()), 2, 2)) - 1, """")"),"")</f>
        <v/>
      </c>
      <c r="O243" s="21" t="str">
        <f>IFERROR(__xludf.DUMMYFUNCTION("IFERROR((GOOGLEFINANCE(C243, ""price"") / INDEX(GOOGLEFINANCE(C243, ""price"", EDATE(TODAY(), -6), TODAY()), 2, 2)) - 1, """")"),"")</f>
        <v/>
      </c>
      <c r="P243" s="21" t="str">
        <f>IFERROR(__xludf.DUMMYFUNCTION("IFERROR((GOOGLEFINANCE(C243, ""price"") / INDEX(GOOGLEFINANCE(C243, ""price"", EDATE(TODAY(), -12), TODAY()), 2, 2)) - 1, """")"),"")</f>
        <v/>
      </c>
      <c r="Q243" s="6" t="str">
        <f>IFERROR(__xludf.DUMMYFUNCTION("AVERAGE(QUERY(GOOGLEFINANCE(C243, ""price"", TODAY()-80, TODAY()), ""SELECT Col2 WHERE Col2 IS NOT NULL ORDER BY Col1 DESC LIMIT 50"", 0))"),"#N/A")</f>
        <v>#N/A</v>
      </c>
      <c r="R243" s="24" t="str">
        <f>IFERROR(__xludf.DUMMYFUNCTION("IFERROR(
  LET(
    data, QUERY(GOOGLEFINANCE(C243,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GOOGLEFINANCE(C243, ""price"")) * 100,
    IF(calc=0, G243, calc)
  ), 
G243)"),"#N/A")</f>
        <v>#N/A</v>
      </c>
      <c r="S243" s="8" t="s">
        <v>15</v>
      </c>
      <c r="T243" s="26" t="str">
        <f>IFERROR(__xludf.DUMMYFUNCTION("IFERROR(TRANSPOSE(QUERY(IFERROR(SORT(GOOGLEFINANCE(C243, ""price"", WORKDAY(TODAY(), -40), TODAY()), 1, FALSE)), ""select Col2 where Col2 is not null limit 22 label Col2 ''"", 0)), """")"),"")</f>
        <v/>
      </c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8"/>
      <c r="AO243" s="28"/>
      <c r="AP243" s="29"/>
      <c r="AQ243" s="29" t="str">
        <f t="shared" ref="AQ243:BL243" si="246">T243/T$2</f>
        <v>#N/A</v>
      </c>
      <c r="AR243" s="29" t="str">
        <f t="shared" si="246"/>
        <v>#DIV/0!</v>
      </c>
      <c r="AS243" s="29" t="str">
        <f t="shared" si="246"/>
        <v>#DIV/0!</v>
      </c>
      <c r="AT243" s="29" t="str">
        <f t="shared" si="246"/>
        <v>#DIV/0!</v>
      </c>
      <c r="AU243" s="29" t="str">
        <f t="shared" si="246"/>
        <v>#DIV/0!</v>
      </c>
      <c r="AV243" s="29" t="str">
        <f t="shared" si="246"/>
        <v>#DIV/0!</v>
      </c>
      <c r="AW243" s="29" t="str">
        <f t="shared" si="246"/>
        <v>#DIV/0!</v>
      </c>
      <c r="AX243" s="29" t="str">
        <f t="shared" si="246"/>
        <v>#DIV/0!</v>
      </c>
      <c r="AY243" s="29" t="str">
        <f t="shared" si="246"/>
        <v>#DIV/0!</v>
      </c>
      <c r="AZ243" s="29" t="str">
        <f t="shared" si="246"/>
        <v>#DIV/0!</v>
      </c>
      <c r="BA243" s="29" t="str">
        <f t="shared" si="246"/>
        <v>#DIV/0!</v>
      </c>
      <c r="BB243" s="29" t="str">
        <f t="shared" si="246"/>
        <v>#DIV/0!</v>
      </c>
      <c r="BC243" s="29" t="str">
        <f t="shared" si="246"/>
        <v>#DIV/0!</v>
      </c>
      <c r="BD243" s="29" t="str">
        <f t="shared" si="246"/>
        <v>#DIV/0!</v>
      </c>
      <c r="BE243" s="29" t="str">
        <f t="shared" si="246"/>
        <v>#DIV/0!</v>
      </c>
      <c r="BF243" s="29" t="str">
        <f t="shared" si="246"/>
        <v>#DIV/0!</v>
      </c>
      <c r="BG243" s="29" t="str">
        <f t="shared" si="246"/>
        <v>#DIV/0!</v>
      </c>
      <c r="BH243" s="29" t="str">
        <f t="shared" si="246"/>
        <v>#DIV/0!</v>
      </c>
      <c r="BI243" s="29" t="str">
        <f t="shared" si="246"/>
        <v>#DIV/0!</v>
      </c>
      <c r="BJ243" s="29" t="str">
        <f t="shared" si="246"/>
        <v>#DIV/0!</v>
      </c>
      <c r="BK243" s="29" t="str">
        <f t="shared" si="246"/>
        <v>#DIV/0!</v>
      </c>
      <c r="BL243" s="29" t="str">
        <f t="shared" si="246"/>
        <v>#DIV/0!</v>
      </c>
      <c r="BM243" s="29" t="str">
        <f t="shared" si="3"/>
        <v>#DIV/0!</v>
      </c>
    </row>
    <row r="244">
      <c r="A244" s="16" t="str">
        <f>IFERROR(__xludf.DUMMYFUNCTION("IFERROR(SPARKLINE(SORT(MAP(TRANSPOSE(AQ244:BL244), LAMBDA(val, IF(ISNUMBER(val), PERCENTRANK(AQ244:BL244, val)+0.01, 0))), SEQUENCE(COLUMNS(AQ244:BL244)), FALSE), {""charttype"",""column""; ""color"",""chartreuse""; ""ymin"", 0; ""ymax"", 1.01; ""highcolo"&amp;"r"", ""darkgreen""; ""lowcolor"", ""red""}), """")"),"")</f>
        <v/>
      </c>
      <c r="B244" s="17" t="str">
        <f t="shared" si="4"/>
        <v/>
      </c>
      <c r="C244" s="1" t="s">
        <v>1003</v>
      </c>
      <c r="D244" s="30" t="str">
        <f>IFERROR(__xludf.DUMMYFUNCTION("IFERROR(GOOGLEFINANCE(C244, ""NAME""))"),"Deckers Outdoor Corp")</f>
        <v>Deckers Outdoor Corp</v>
      </c>
      <c r="E244" s="30" t="s">
        <v>411</v>
      </c>
      <c r="F244" s="38" t="str">
        <f>IFERROR(__xludf.DUMMYFUNCTION("( (GOOGLEFINANCE(C244, ""price"") - Q244) / Q244 ) / (R244 / 100)"),"Loading...")</f>
        <v>Loading...</v>
      </c>
      <c r="G244" s="20" t="str">
        <f>IFERROR(__xludf.DUMMYFUNCTION("AVERAGE(ARRAYFORMULA(100 * (QUERY(GOOGLEFINANCE(C244, ""high"", TODAY()-40, TODAY()), ""SELECT Col2 WHERE Col2 IS NOT NULL ORDER BY Col1 DESC LIMIT 20"", 0) / QUERY(GOOGLEFINANCE(C244, ""low"", TODAY()-40, TODAY()), ""SELECT Col2 WHERE Col2 IS NOT NULL OR"&amp;"DER BY Col1 DESC LIMIT 20"", 0) - 1)))"),"#N/A")</f>
        <v>#N/A</v>
      </c>
      <c r="H244" s="35" t="str">
        <f t="shared" si="6"/>
        <v/>
      </c>
      <c r="I244" s="35" t="str">
        <f t="shared" si="7"/>
        <v/>
      </c>
      <c r="J244" s="37" t="str">
        <f>IFERROR(__xludf.DUMMYFUNCTION("IFERROR(
  IF(C244="""",, 
    IFERROR(
      GOOGLEFINANCE(C244, ""price"") * GOOGLEFINANCE(C244, ""volumeavg""), 
      GOOGLEFINANCE(C244, ""price"") * AVERAGE(QUERY(GOOGLEFINANCE(C244, ""volume"", TODAY()-40, TODAY()), ""SELECT Col2 WHERE Col2 IS NOT "&amp;"NULL ORDER BY Col1 DESC LIMIT 20"", 0))
    )
  ), 
"""")"),"")</f>
        <v/>
      </c>
      <c r="K244" s="21" t="str">
        <f>IFERROR(__xludf.DUMMYFUNCTION("IFERROR(GOOGLEFINANCE(C244, ""changepct"") / 100, """")"),"")</f>
        <v/>
      </c>
      <c r="L244" s="21" t="str">
        <f>IFERROR(__xludf.DUMMYFUNCTION("IFERROR((GOOGLEFINANCE(C244, ""price"") / INDEX(GOOGLEFINANCE(C244, ""price"", TODAY()-7, TODAY()), 2, 2)) - 1, """")"),"")</f>
        <v/>
      </c>
      <c r="M244" s="21" t="str">
        <f>IFERROR(__xludf.DUMMYFUNCTION("IFERROR((GOOGLEFINANCE(C244, ""price"") / INDEX(GOOGLEFINANCE(C244, ""price"", EDATE(TODAY(), -1), TODAY()), 2, 2)) - 1, """")"),"")</f>
        <v/>
      </c>
      <c r="N244" s="21" t="str">
        <f>IFERROR(__xludf.DUMMYFUNCTION("IFERROR((GOOGLEFINANCE(C244, ""price"") / INDEX(GOOGLEFINANCE(C244, ""price"", EDATE(TODAY(), -3), TODAY()), 2, 2)) - 1, """")"),"")</f>
        <v/>
      </c>
      <c r="O244" s="21" t="str">
        <f>IFERROR(__xludf.DUMMYFUNCTION("IFERROR((GOOGLEFINANCE(C244, ""price"") / INDEX(GOOGLEFINANCE(C244, ""price"", EDATE(TODAY(), -6), TODAY()), 2, 2)) - 1, """")"),"")</f>
        <v/>
      </c>
      <c r="P244" s="21" t="str">
        <f>IFERROR(__xludf.DUMMYFUNCTION("IFERROR((GOOGLEFINANCE(C244, ""price"") / INDEX(GOOGLEFINANCE(C244, ""price"", EDATE(TODAY(), -12), TODAY()), 2, 2)) - 1, """")"),"")</f>
        <v/>
      </c>
      <c r="Q244" s="6" t="str">
        <f>IFERROR(__xludf.DUMMYFUNCTION("AVERAGE(QUERY(GOOGLEFINANCE(C244, ""price"", TODAY()-80, TODAY()), ""SELECT Col2 WHERE Col2 IS NOT NULL ORDER BY Col1 DESC LIMIT 50"", 0))"),"#N/A")</f>
        <v>#N/A</v>
      </c>
      <c r="R244" s="24" t="str">
        <f>IFERROR(__xludf.DUMMYFUNCTION("IFERROR(
  LET(
    data, QUERY(GOOGLEFINANCE(C244,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GOOGLEFINANCE(C244, ""price"")) * 100,
    IF(calc=0, G244, calc)
  ), 
G244)"),"#N/A")</f>
        <v>#N/A</v>
      </c>
      <c r="S244" s="8" t="s">
        <v>15</v>
      </c>
      <c r="T244" s="26" t="str">
        <f>IFERROR(__xludf.DUMMYFUNCTION("IFERROR(TRANSPOSE(QUERY(IFERROR(SORT(GOOGLEFINANCE(C244, ""price"", WORKDAY(TODAY(), -40), TODAY()), 1, FALSE)), ""select Col2 where Col2 is not null limit 22 label Col2 ''"", 0)), """")"),"")</f>
        <v/>
      </c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8"/>
      <c r="AO244" s="28"/>
      <c r="AP244" s="29"/>
      <c r="AQ244" s="29" t="str">
        <f t="shared" ref="AQ244:BL244" si="247">T244/T$2</f>
        <v>#N/A</v>
      </c>
      <c r="AR244" s="29" t="str">
        <f t="shared" si="247"/>
        <v>#DIV/0!</v>
      </c>
      <c r="AS244" s="29" t="str">
        <f t="shared" si="247"/>
        <v>#DIV/0!</v>
      </c>
      <c r="AT244" s="29" t="str">
        <f t="shared" si="247"/>
        <v>#DIV/0!</v>
      </c>
      <c r="AU244" s="29" t="str">
        <f t="shared" si="247"/>
        <v>#DIV/0!</v>
      </c>
      <c r="AV244" s="29" t="str">
        <f t="shared" si="247"/>
        <v>#DIV/0!</v>
      </c>
      <c r="AW244" s="29" t="str">
        <f t="shared" si="247"/>
        <v>#DIV/0!</v>
      </c>
      <c r="AX244" s="29" t="str">
        <f t="shared" si="247"/>
        <v>#DIV/0!</v>
      </c>
      <c r="AY244" s="29" t="str">
        <f t="shared" si="247"/>
        <v>#DIV/0!</v>
      </c>
      <c r="AZ244" s="29" t="str">
        <f t="shared" si="247"/>
        <v>#DIV/0!</v>
      </c>
      <c r="BA244" s="29" t="str">
        <f t="shared" si="247"/>
        <v>#DIV/0!</v>
      </c>
      <c r="BB244" s="29" t="str">
        <f t="shared" si="247"/>
        <v>#DIV/0!</v>
      </c>
      <c r="BC244" s="29" t="str">
        <f t="shared" si="247"/>
        <v>#DIV/0!</v>
      </c>
      <c r="BD244" s="29" t="str">
        <f t="shared" si="247"/>
        <v>#DIV/0!</v>
      </c>
      <c r="BE244" s="29" t="str">
        <f t="shared" si="247"/>
        <v>#DIV/0!</v>
      </c>
      <c r="BF244" s="29" t="str">
        <f t="shared" si="247"/>
        <v>#DIV/0!</v>
      </c>
      <c r="BG244" s="29" t="str">
        <f t="shared" si="247"/>
        <v>#DIV/0!</v>
      </c>
      <c r="BH244" s="29" t="str">
        <f t="shared" si="247"/>
        <v>#DIV/0!</v>
      </c>
      <c r="BI244" s="29" t="str">
        <f t="shared" si="247"/>
        <v>#DIV/0!</v>
      </c>
      <c r="BJ244" s="29" t="str">
        <f t="shared" si="247"/>
        <v>#DIV/0!</v>
      </c>
      <c r="BK244" s="29" t="str">
        <f t="shared" si="247"/>
        <v>#DIV/0!</v>
      </c>
      <c r="BL244" s="29" t="str">
        <f t="shared" si="247"/>
        <v>#DIV/0!</v>
      </c>
      <c r="BM244" s="29" t="str">
        <f t="shared" si="3"/>
        <v>#DIV/0!</v>
      </c>
    </row>
    <row r="245">
      <c r="A245" s="16" t="str">
        <f>IFERROR(__xludf.DUMMYFUNCTION("IFERROR(SPARKLINE(SORT(MAP(TRANSPOSE(AQ245:BL245), LAMBDA(val, IF(ISNUMBER(val), PERCENTRANK(AQ245:BL245, val)+0.01, 0))), SEQUENCE(COLUMNS(AQ245:BL245)), FALSE), {""charttype"",""column""; ""color"",""chartreuse""; ""ymin"", 0; ""ymax"", 1.01; ""highcolo"&amp;"r"", ""darkgreen""; ""lowcolor"", ""red""}), """")"),"")</f>
        <v/>
      </c>
      <c r="B245" s="17" t="str">
        <f t="shared" si="4"/>
        <v/>
      </c>
      <c r="C245" s="1" t="s">
        <v>1006</v>
      </c>
      <c r="D245" s="30" t="str">
        <f>IFERROR(__xludf.DUMMYFUNCTION("IFERROR(GOOGLEFINANCE(C245, ""NAME""))"),"AutoNation Inc")</f>
        <v>AutoNation Inc</v>
      </c>
      <c r="E245" s="30" t="s">
        <v>190</v>
      </c>
      <c r="F245" s="33" t="str">
        <f>IFERROR(__xludf.DUMMYFUNCTION("( (GOOGLEFINANCE(C245, ""price"") - Q245) / Q245 ) / (R245 / 100)"),"Loading...")</f>
        <v>Loading...</v>
      </c>
      <c r="G245" s="20" t="str">
        <f>IFERROR(__xludf.DUMMYFUNCTION("AVERAGE(ARRAYFORMULA(100 * (QUERY(GOOGLEFINANCE(C245, ""high"", TODAY()-40, TODAY()), ""SELECT Col2 WHERE Col2 IS NOT NULL ORDER BY Col1 DESC LIMIT 20"", 0) / QUERY(GOOGLEFINANCE(C245, ""low"", TODAY()-40, TODAY()), ""SELECT Col2 WHERE Col2 IS NOT NULL OR"&amp;"DER BY Col1 DESC LIMIT 20"", 0) - 1)))"),"#N/A")</f>
        <v>#N/A</v>
      </c>
      <c r="H245" s="35" t="str">
        <f t="shared" si="6"/>
        <v/>
      </c>
      <c r="I245" s="35" t="str">
        <f t="shared" si="7"/>
        <v/>
      </c>
      <c r="J245" s="37" t="str">
        <f>IFERROR(__xludf.DUMMYFUNCTION("IFERROR(
  IF(C245="""",, 
    IFERROR(
      GOOGLEFINANCE(C245, ""price"") * GOOGLEFINANCE(C245, ""volumeavg""), 
      GOOGLEFINANCE(C245, ""price"") * AVERAGE(QUERY(GOOGLEFINANCE(C245, ""volume"", TODAY()-40, TODAY()), ""SELECT Col2 WHERE Col2 IS NOT "&amp;"NULL ORDER BY Col1 DESC LIMIT 20"", 0))
    )
  ), 
"""")"),"")</f>
        <v/>
      </c>
      <c r="K245" s="21" t="str">
        <f>IFERROR(__xludf.DUMMYFUNCTION("IFERROR(GOOGLEFINANCE(C245, ""changepct"") / 100, """")"),"")</f>
        <v/>
      </c>
      <c r="L245" s="21" t="str">
        <f>IFERROR(__xludf.DUMMYFUNCTION("IFERROR((GOOGLEFINANCE(C245, ""price"") / INDEX(GOOGLEFINANCE(C245, ""price"", TODAY()-7, TODAY()), 2, 2)) - 1, """")"),"")</f>
        <v/>
      </c>
      <c r="M245" s="21" t="str">
        <f>IFERROR(__xludf.DUMMYFUNCTION("IFERROR((GOOGLEFINANCE(C245, ""price"") / INDEX(GOOGLEFINANCE(C245, ""price"", EDATE(TODAY(), -1), TODAY()), 2, 2)) - 1, """")"),"")</f>
        <v/>
      </c>
      <c r="N245" s="21" t="str">
        <f>IFERROR(__xludf.DUMMYFUNCTION("IFERROR((GOOGLEFINANCE(C245, ""price"") / INDEX(GOOGLEFINANCE(C245, ""price"", EDATE(TODAY(), -3), TODAY()), 2, 2)) - 1, """")"),"")</f>
        <v/>
      </c>
      <c r="O245" s="21" t="str">
        <f>IFERROR(__xludf.DUMMYFUNCTION("IFERROR((GOOGLEFINANCE(C245, ""price"") / INDEX(GOOGLEFINANCE(C245, ""price"", EDATE(TODAY(), -6), TODAY()), 2, 2)) - 1, """")"),"")</f>
        <v/>
      </c>
      <c r="P245" s="21" t="str">
        <f>IFERROR(__xludf.DUMMYFUNCTION("IFERROR((GOOGLEFINANCE(C245, ""price"") / INDEX(GOOGLEFINANCE(C245, ""price"", EDATE(TODAY(), -12), TODAY()), 2, 2)) - 1, """")"),"")</f>
        <v/>
      </c>
      <c r="Q245" s="6" t="str">
        <f>IFERROR(__xludf.DUMMYFUNCTION("AVERAGE(QUERY(GOOGLEFINANCE(C245, ""price"", TODAY()-80, TODAY()), ""SELECT Col2 WHERE Col2 IS NOT NULL ORDER BY Col1 DESC LIMIT 50"", 0))"),"#N/A")</f>
        <v>#N/A</v>
      </c>
      <c r="R245" s="24" t="str">
        <f>IFERROR(__xludf.DUMMYFUNCTION("IFERROR(
  LET(
    data, QUERY(GOOGLEFINANCE(C245,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GOOGLEFINANCE(C245, ""price"")) * 100,
    IF(calc=0, G245, calc)
  ), 
G245)"),"#N/A")</f>
        <v>#N/A</v>
      </c>
      <c r="S245" s="8" t="s">
        <v>15</v>
      </c>
      <c r="T245" s="26" t="str">
        <f>IFERROR(__xludf.DUMMYFUNCTION("IFERROR(TRANSPOSE(QUERY(IFERROR(SORT(GOOGLEFINANCE(C245, ""price"", WORKDAY(TODAY(), -40), TODAY()), 1, FALSE)), ""select Col2 where Col2 is not null limit 22 label Col2 ''"", 0)), """")"),"")</f>
        <v/>
      </c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8"/>
      <c r="AO245" s="28"/>
      <c r="AP245" s="29"/>
      <c r="AQ245" s="29" t="str">
        <f t="shared" ref="AQ245:BL245" si="248">T245/T$2</f>
        <v>#N/A</v>
      </c>
      <c r="AR245" s="29" t="str">
        <f t="shared" si="248"/>
        <v>#DIV/0!</v>
      </c>
      <c r="AS245" s="29" t="str">
        <f t="shared" si="248"/>
        <v>#DIV/0!</v>
      </c>
      <c r="AT245" s="29" t="str">
        <f t="shared" si="248"/>
        <v>#DIV/0!</v>
      </c>
      <c r="AU245" s="29" t="str">
        <f t="shared" si="248"/>
        <v>#DIV/0!</v>
      </c>
      <c r="AV245" s="29" t="str">
        <f t="shared" si="248"/>
        <v>#DIV/0!</v>
      </c>
      <c r="AW245" s="29" t="str">
        <f t="shared" si="248"/>
        <v>#DIV/0!</v>
      </c>
      <c r="AX245" s="29" t="str">
        <f t="shared" si="248"/>
        <v>#DIV/0!</v>
      </c>
      <c r="AY245" s="29" t="str">
        <f t="shared" si="248"/>
        <v>#DIV/0!</v>
      </c>
      <c r="AZ245" s="29" t="str">
        <f t="shared" si="248"/>
        <v>#DIV/0!</v>
      </c>
      <c r="BA245" s="29" t="str">
        <f t="shared" si="248"/>
        <v>#DIV/0!</v>
      </c>
      <c r="BB245" s="29" t="str">
        <f t="shared" si="248"/>
        <v>#DIV/0!</v>
      </c>
      <c r="BC245" s="29" t="str">
        <f t="shared" si="248"/>
        <v>#DIV/0!</v>
      </c>
      <c r="BD245" s="29" t="str">
        <f t="shared" si="248"/>
        <v>#DIV/0!</v>
      </c>
      <c r="BE245" s="29" t="str">
        <f t="shared" si="248"/>
        <v>#DIV/0!</v>
      </c>
      <c r="BF245" s="29" t="str">
        <f t="shared" si="248"/>
        <v>#DIV/0!</v>
      </c>
      <c r="BG245" s="29" t="str">
        <f t="shared" si="248"/>
        <v>#DIV/0!</v>
      </c>
      <c r="BH245" s="29" t="str">
        <f t="shared" si="248"/>
        <v>#DIV/0!</v>
      </c>
      <c r="BI245" s="29" t="str">
        <f t="shared" si="248"/>
        <v>#DIV/0!</v>
      </c>
      <c r="BJ245" s="29" t="str">
        <f t="shared" si="248"/>
        <v>#DIV/0!</v>
      </c>
      <c r="BK245" s="29" t="str">
        <f t="shared" si="248"/>
        <v>#DIV/0!</v>
      </c>
      <c r="BL245" s="29" t="str">
        <f t="shared" si="248"/>
        <v>#DIV/0!</v>
      </c>
      <c r="BM245" s="29" t="str">
        <f t="shared" si="3"/>
        <v>#DIV/0!</v>
      </c>
    </row>
    <row r="246">
      <c r="A246" s="16" t="str">
        <f>IFERROR(__xludf.DUMMYFUNCTION("IFERROR(SPARKLINE(SORT(MAP(TRANSPOSE(AQ246:BL246), LAMBDA(val, IF(ISNUMBER(val), PERCENTRANK(AQ246:BL246, val)+0.01, 0))), SEQUENCE(COLUMNS(AQ246:BL246)), FALSE), {""charttype"",""column""; ""color"",""chartreuse""; ""ymin"", 0; ""ymax"", 1.01; ""highcolo"&amp;"r"", ""darkgreen""; ""lowcolor"", ""red""}), """")"),"")</f>
        <v/>
      </c>
      <c r="B246" s="17" t="str">
        <f t="shared" si="4"/>
        <v/>
      </c>
      <c r="C246" s="1" t="s">
        <v>1011</v>
      </c>
      <c r="D246" s="30" t="str">
        <f>IFERROR(__xludf.DUMMYFUNCTION("IFERROR(GOOGLEFINANCE(C246, ""NAME""))"),"Lowe's Companies Inc")</f>
        <v>Lowe's Companies Inc</v>
      </c>
      <c r="E246" s="30" t="s">
        <v>659</v>
      </c>
      <c r="F246" s="33" t="str">
        <f>IFERROR(__xludf.DUMMYFUNCTION("( (GOOGLEFINANCE(C246, ""price"") - Q246) / Q246 ) / (R246 / 100)"),"Loading...")</f>
        <v>Loading...</v>
      </c>
      <c r="G246" s="20" t="str">
        <f>IFERROR(__xludf.DUMMYFUNCTION("AVERAGE(ARRAYFORMULA(100 * (QUERY(GOOGLEFINANCE(C246, ""high"", TODAY()-40, TODAY()), ""SELECT Col2 WHERE Col2 IS NOT NULL ORDER BY Col1 DESC LIMIT 20"", 0) / QUERY(GOOGLEFINANCE(C246, ""low"", TODAY()-40, TODAY()), ""SELECT Col2 WHERE Col2 IS NOT NULL OR"&amp;"DER BY Col1 DESC LIMIT 20"", 0) - 1)))"),"#N/A")</f>
        <v>#N/A</v>
      </c>
      <c r="H246" s="35" t="str">
        <f t="shared" si="6"/>
        <v/>
      </c>
      <c r="I246" s="35" t="str">
        <f t="shared" si="7"/>
        <v/>
      </c>
      <c r="J246" s="37" t="str">
        <f>IFERROR(__xludf.DUMMYFUNCTION("IFERROR(
  IF(C246="""",, 
    IFERROR(
      GOOGLEFINANCE(C246, ""price"") * GOOGLEFINANCE(C246, ""volumeavg""), 
      GOOGLEFINANCE(C246, ""price"") * AVERAGE(QUERY(GOOGLEFINANCE(C246, ""volume"", TODAY()-40, TODAY()), ""SELECT Col2 WHERE Col2 IS NOT "&amp;"NULL ORDER BY Col1 DESC LIMIT 20"", 0))
    )
  ), 
"""")"),"")</f>
        <v/>
      </c>
      <c r="K246" s="21" t="str">
        <f>IFERROR(__xludf.DUMMYFUNCTION("IFERROR(GOOGLEFINANCE(C246, ""changepct"") / 100, """")"),"")</f>
        <v/>
      </c>
      <c r="L246" s="21" t="str">
        <f>IFERROR(__xludf.DUMMYFUNCTION("IFERROR((GOOGLEFINANCE(C246, ""price"") / INDEX(GOOGLEFINANCE(C246, ""price"", TODAY()-7, TODAY()), 2, 2)) - 1, """")"),"")</f>
        <v/>
      </c>
      <c r="M246" s="21" t="str">
        <f>IFERROR(__xludf.DUMMYFUNCTION("IFERROR((GOOGLEFINANCE(C246, ""price"") / INDEX(GOOGLEFINANCE(C246, ""price"", EDATE(TODAY(), -1), TODAY()), 2, 2)) - 1, """")"),"")</f>
        <v/>
      </c>
      <c r="N246" s="21" t="str">
        <f>IFERROR(__xludf.DUMMYFUNCTION("IFERROR((GOOGLEFINANCE(C246, ""price"") / INDEX(GOOGLEFINANCE(C246, ""price"", EDATE(TODAY(), -3), TODAY()), 2, 2)) - 1, """")"),"")</f>
        <v/>
      </c>
      <c r="O246" s="21" t="str">
        <f>IFERROR(__xludf.DUMMYFUNCTION("IFERROR((GOOGLEFINANCE(C246, ""price"") / INDEX(GOOGLEFINANCE(C246, ""price"", EDATE(TODAY(), -6), TODAY()), 2, 2)) - 1, """")"),"")</f>
        <v/>
      </c>
      <c r="P246" s="21" t="str">
        <f>IFERROR(__xludf.DUMMYFUNCTION("IFERROR((GOOGLEFINANCE(C246, ""price"") / INDEX(GOOGLEFINANCE(C246, ""price"", EDATE(TODAY(), -12), TODAY()), 2, 2)) - 1, """")"),"")</f>
        <v/>
      </c>
      <c r="Q246" s="6" t="str">
        <f>IFERROR(__xludf.DUMMYFUNCTION("AVERAGE(QUERY(GOOGLEFINANCE(C246, ""price"", TODAY()-80, TODAY()), ""SELECT Col2 WHERE Col2 IS NOT NULL ORDER BY Col1 DESC LIMIT 50"", 0))"),"#N/A")</f>
        <v>#N/A</v>
      </c>
      <c r="R246" s="24" t="str">
        <f>IFERROR(__xludf.DUMMYFUNCTION("IFERROR(
  LET(
    data, QUERY(GOOGLEFINANCE(C246,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GOOGLEFINANCE(C246, ""price"")) * 100,
    IF(calc=0, G246, calc)
  ), 
G246)"),"#N/A")</f>
        <v>#N/A</v>
      </c>
      <c r="S246" s="8" t="s">
        <v>15</v>
      </c>
      <c r="T246" s="26" t="str">
        <f>IFERROR(__xludf.DUMMYFUNCTION("IFERROR(TRANSPOSE(QUERY(IFERROR(SORT(GOOGLEFINANCE(C246, ""price"", WORKDAY(TODAY(), -40), TODAY()), 1, FALSE)), ""select Col2 where Col2 is not null limit 22 label Col2 ''"", 0)), """")"),"")</f>
        <v/>
      </c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8"/>
      <c r="AO246" s="28"/>
      <c r="AP246" s="29"/>
      <c r="AQ246" s="29" t="str">
        <f t="shared" ref="AQ246:BL246" si="249">T246/T$2</f>
        <v>#N/A</v>
      </c>
      <c r="AR246" s="29" t="str">
        <f t="shared" si="249"/>
        <v>#DIV/0!</v>
      </c>
      <c r="AS246" s="29" t="str">
        <f t="shared" si="249"/>
        <v>#DIV/0!</v>
      </c>
      <c r="AT246" s="29" t="str">
        <f t="shared" si="249"/>
        <v>#DIV/0!</v>
      </c>
      <c r="AU246" s="29" t="str">
        <f t="shared" si="249"/>
        <v>#DIV/0!</v>
      </c>
      <c r="AV246" s="29" t="str">
        <f t="shared" si="249"/>
        <v>#DIV/0!</v>
      </c>
      <c r="AW246" s="29" t="str">
        <f t="shared" si="249"/>
        <v>#DIV/0!</v>
      </c>
      <c r="AX246" s="29" t="str">
        <f t="shared" si="249"/>
        <v>#DIV/0!</v>
      </c>
      <c r="AY246" s="29" t="str">
        <f t="shared" si="249"/>
        <v>#DIV/0!</v>
      </c>
      <c r="AZ246" s="29" t="str">
        <f t="shared" si="249"/>
        <v>#DIV/0!</v>
      </c>
      <c r="BA246" s="29" t="str">
        <f t="shared" si="249"/>
        <v>#DIV/0!</v>
      </c>
      <c r="BB246" s="29" t="str">
        <f t="shared" si="249"/>
        <v>#DIV/0!</v>
      </c>
      <c r="BC246" s="29" t="str">
        <f t="shared" si="249"/>
        <v>#DIV/0!</v>
      </c>
      <c r="BD246" s="29" t="str">
        <f t="shared" si="249"/>
        <v>#DIV/0!</v>
      </c>
      <c r="BE246" s="29" t="str">
        <f t="shared" si="249"/>
        <v>#DIV/0!</v>
      </c>
      <c r="BF246" s="29" t="str">
        <f t="shared" si="249"/>
        <v>#DIV/0!</v>
      </c>
      <c r="BG246" s="29" t="str">
        <f t="shared" si="249"/>
        <v>#DIV/0!</v>
      </c>
      <c r="BH246" s="29" t="str">
        <f t="shared" si="249"/>
        <v>#DIV/0!</v>
      </c>
      <c r="BI246" s="29" t="str">
        <f t="shared" si="249"/>
        <v>#DIV/0!</v>
      </c>
      <c r="BJ246" s="29" t="str">
        <f t="shared" si="249"/>
        <v>#DIV/0!</v>
      </c>
      <c r="BK246" s="29" t="str">
        <f t="shared" si="249"/>
        <v>#DIV/0!</v>
      </c>
      <c r="BL246" s="29" t="str">
        <f t="shared" si="249"/>
        <v>#DIV/0!</v>
      </c>
      <c r="BM246" s="29" t="str">
        <f t="shared" si="3"/>
        <v>#DIV/0!</v>
      </c>
    </row>
    <row r="247">
      <c r="A247" s="16" t="str">
        <f>IFERROR(__xludf.DUMMYFUNCTION("IFERROR(SPARKLINE(SORT(MAP(TRANSPOSE(AQ247:BL247), LAMBDA(val, IF(ISNUMBER(val), PERCENTRANK(AQ247:BL247, val)+0.01, 0))), SEQUENCE(COLUMNS(AQ247:BL247)), FALSE), {""charttype"",""column""; ""color"",""chartreuse""; ""ymin"", 0; ""ymax"", 1.01; ""highcolo"&amp;"r"", ""darkgreen""; ""lowcolor"", ""red""}), """")"),"")</f>
        <v/>
      </c>
      <c r="B247" s="17" t="str">
        <f t="shared" si="4"/>
        <v/>
      </c>
      <c r="C247" s="1" t="s">
        <v>1015</v>
      </c>
      <c r="D247" s="30" t="str">
        <f>IFERROR(__xludf.DUMMYFUNCTION("IFERROR(GOOGLEFINANCE(C247, ""NAME""))"),"Green Brick Partners Inc")</f>
        <v>Green Brick Partners Inc</v>
      </c>
      <c r="E247" s="30" t="s">
        <v>261</v>
      </c>
      <c r="F247" s="33" t="str">
        <f>IFERROR(__xludf.DUMMYFUNCTION("( (GOOGLEFINANCE(C247, ""price"") - Q247) / Q247 ) / (R247 / 100)"),"Loading...")</f>
        <v>Loading...</v>
      </c>
      <c r="G247" s="20" t="str">
        <f>IFERROR(__xludf.DUMMYFUNCTION("AVERAGE(ARRAYFORMULA(100 * (QUERY(GOOGLEFINANCE(C247, ""high"", TODAY()-40, TODAY()), ""SELECT Col2 WHERE Col2 IS NOT NULL ORDER BY Col1 DESC LIMIT 20"", 0) / QUERY(GOOGLEFINANCE(C247, ""low"", TODAY()-40, TODAY()), ""SELECT Col2 WHERE Col2 IS NOT NULL OR"&amp;"DER BY Col1 DESC LIMIT 20"", 0) - 1)))"),"#N/A")</f>
        <v>#N/A</v>
      </c>
      <c r="H247" s="35" t="str">
        <f t="shared" si="6"/>
        <v/>
      </c>
      <c r="I247" s="35" t="str">
        <f t="shared" si="7"/>
        <v/>
      </c>
      <c r="J247" s="37" t="str">
        <f>IFERROR(__xludf.DUMMYFUNCTION("IFERROR(
  IF(C247="""",, 
    IFERROR(
      GOOGLEFINANCE(C247, ""price"") * GOOGLEFINANCE(C247, ""volumeavg""), 
      GOOGLEFINANCE(C247, ""price"") * AVERAGE(QUERY(GOOGLEFINANCE(C247, ""volume"", TODAY()-40, TODAY()), ""SELECT Col2 WHERE Col2 IS NOT "&amp;"NULL ORDER BY Col1 DESC LIMIT 20"", 0))
    )
  ), 
"""")"),"")</f>
        <v/>
      </c>
      <c r="K247" s="21" t="str">
        <f>IFERROR(__xludf.DUMMYFUNCTION("IFERROR(GOOGLEFINANCE(C247, ""changepct"") / 100, """")"),"")</f>
        <v/>
      </c>
      <c r="L247" s="21" t="str">
        <f>IFERROR(__xludf.DUMMYFUNCTION("IFERROR((GOOGLEFINANCE(C247, ""price"") / INDEX(GOOGLEFINANCE(C247, ""price"", TODAY()-7, TODAY()), 2, 2)) - 1, """")"),"")</f>
        <v/>
      </c>
      <c r="M247" s="21" t="str">
        <f>IFERROR(__xludf.DUMMYFUNCTION("IFERROR((GOOGLEFINANCE(C247, ""price"") / INDEX(GOOGLEFINANCE(C247, ""price"", EDATE(TODAY(), -1), TODAY()), 2, 2)) - 1, """")"),"")</f>
        <v/>
      </c>
      <c r="N247" s="21" t="str">
        <f>IFERROR(__xludf.DUMMYFUNCTION("IFERROR((GOOGLEFINANCE(C247, ""price"") / INDEX(GOOGLEFINANCE(C247, ""price"", EDATE(TODAY(), -3), TODAY()), 2, 2)) - 1, """")"),"")</f>
        <v/>
      </c>
      <c r="O247" s="21" t="str">
        <f>IFERROR(__xludf.DUMMYFUNCTION("IFERROR((GOOGLEFINANCE(C247, ""price"") / INDEX(GOOGLEFINANCE(C247, ""price"", EDATE(TODAY(), -6), TODAY()), 2, 2)) - 1, """")"),"")</f>
        <v/>
      </c>
      <c r="P247" s="21" t="str">
        <f>IFERROR(__xludf.DUMMYFUNCTION("IFERROR((GOOGLEFINANCE(C247, ""price"") / INDEX(GOOGLEFINANCE(C247, ""price"", EDATE(TODAY(), -12), TODAY()), 2, 2)) - 1, """")"),"")</f>
        <v/>
      </c>
      <c r="Q247" s="6" t="str">
        <f>IFERROR(__xludf.DUMMYFUNCTION("AVERAGE(QUERY(GOOGLEFINANCE(C247, ""price"", TODAY()-80, TODAY()), ""SELECT Col2 WHERE Col2 IS NOT NULL ORDER BY Col1 DESC LIMIT 50"", 0))"),"#N/A")</f>
        <v>#N/A</v>
      </c>
      <c r="R247" s="24" t="str">
        <f>IFERROR(__xludf.DUMMYFUNCTION("IFERROR(
  LET(
    data, QUERY(GOOGLEFINANCE(C247,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GOOGLEFINANCE(C247, ""price"")) * 100,
    IF(calc=0, G247, calc)
  ), 
G247)"),"#N/A")</f>
        <v>#N/A</v>
      </c>
      <c r="S247" s="8" t="s">
        <v>15</v>
      </c>
      <c r="T247" s="26" t="str">
        <f>IFERROR(__xludf.DUMMYFUNCTION("IFERROR(TRANSPOSE(QUERY(IFERROR(SORT(GOOGLEFINANCE(C247, ""price"", WORKDAY(TODAY(), -40), TODAY()), 1, FALSE)), ""select Col2 where Col2 is not null limit 22 label Col2 ''"", 0)), """")"),"")</f>
        <v/>
      </c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8"/>
      <c r="AO247" s="28"/>
      <c r="AP247" s="29"/>
      <c r="AQ247" s="29" t="str">
        <f t="shared" ref="AQ247:BL247" si="250">T247/T$2</f>
        <v>#N/A</v>
      </c>
      <c r="AR247" s="29" t="str">
        <f t="shared" si="250"/>
        <v>#DIV/0!</v>
      </c>
      <c r="AS247" s="29" t="str">
        <f t="shared" si="250"/>
        <v>#DIV/0!</v>
      </c>
      <c r="AT247" s="29" t="str">
        <f t="shared" si="250"/>
        <v>#DIV/0!</v>
      </c>
      <c r="AU247" s="29" t="str">
        <f t="shared" si="250"/>
        <v>#DIV/0!</v>
      </c>
      <c r="AV247" s="29" t="str">
        <f t="shared" si="250"/>
        <v>#DIV/0!</v>
      </c>
      <c r="AW247" s="29" t="str">
        <f t="shared" si="250"/>
        <v>#DIV/0!</v>
      </c>
      <c r="AX247" s="29" t="str">
        <f t="shared" si="250"/>
        <v>#DIV/0!</v>
      </c>
      <c r="AY247" s="29" t="str">
        <f t="shared" si="250"/>
        <v>#DIV/0!</v>
      </c>
      <c r="AZ247" s="29" t="str">
        <f t="shared" si="250"/>
        <v>#DIV/0!</v>
      </c>
      <c r="BA247" s="29" t="str">
        <f t="shared" si="250"/>
        <v>#DIV/0!</v>
      </c>
      <c r="BB247" s="29" t="str">
        <f t="shared" si="250"/>
        <v>#DIV/0!</v>
      </c>
      <c r="BC247" s="29" t="str">
        <f t="shared" si="250"/>
        <v>#DIV/0!</v>
      </c>
      <c r="BD247" s="29" t="str">
        <f t="shared" si="250"/>
        <v>#DIV/0!</v>
      </c>
      <c r="BE247" s="29" t="str">
        <f t="shared" si="250"/>
        <v>#DIV/0!</v>
      </c>
      <c r="BF247" s="29" t="str">
        <f t="shared" si="250"/>
        <v>#DIV/0!</v>
      </c>
      <c r="BG247" s="29" t="str">
        <f t="shared" si="250"/>
        <v>#DIV/0!</v>
      </c>
      <c r="BH247" s="29" t="str">
        <f t="shared" si="250"/>
        <v>#DIV/0!</v>
      </c>
      <c r="BI247" s="29" t="str">
        <f t="shared" si="250"/>
        <v>#DIV/0!</v>
      </c>
      <c r="BJ247" s="29" t="str">
        <f t="shared" si="250"/>
        <v>#DIV/0!</v>
      </c>
      <c r="BK247" s="29" t="str">
        <f t="shared" si="250"/>
        <v>#DIV/0!</v>
      </c>
      <c r="BL247" s="29" t="str">
        <f t="shared" si="250"/>
        <v>#DIV/0!</v>
      </c>
      <c r="BM247" s="29" t="str">
        <f t="shared" si="3"/>
        <v>#DIV/0!</v>
      </c>
    </row>
    <row r="248">
      <c r="A248" s="16" t="str">
        <f>IFERROR(__xludf.DUMMYFUNCTION("IFERROR(SPARKLINE(SORT(MAP(TRANSPOSE(AQ248:BL248), LAMBDA(val, IF(ISNUMBER(val), PERCENTRANK(AQ248:BL248, val)+0.01, 0))), SEQUENCE(COLUMNS(AQ248:BL248)), FALSE), {""charttype"",""column""; ""color"",""chartreuse""; ""ymin"", 0; ""ymax"", 1.01; ""highcolo"&amp;"r"", ""darkgreen""; ""lowcolor"", ""red""}), """")"),"")</f>
        <v/>
      </c>
      <c r="B248" s="17" t="str">
        <f t="shared" si="4"/>
        <v/>
      </c>
      <c r="C248" s="1" t="s">
        <v>1021</v>
      </c>
      <c r="D248" s="30" t="str">
        <f>IFERROR(__xludf.DUMMYFUNCTION("IFERROR(GOOGLEFINANCE(C248, ""NAME""))"),"Movado Group Inc")</f>
        <v>Movado Group Inc</v>
      </c>
      <c r="E248" s="30" t="s">
        <v>170</v>
      </c>
      <c r="F248" s="33" t="str">
        <f>IFERROR(__xludf.DUMMYFUNCTION("( (GOOGLEFINANCE(C248, ""price"") - Q248) / Q248 ) / (R248 / 100)"),"Loading...")</f>
        <v>Loading...</v>
      </c>
      <c r="G248" s="20" t="str">
        <f>IFERROR(__xludf.DUMMYFUNCTION("AVERAGE(ARRAYFORMULA(100 * (QUERY(GOOGLEFINANCE(C248, ""high"", TODAY()-40, TODAY()), ""SELECT Col2 WHERE Col2 IS NOT NULL ORDER BY Col1 DESC LIMIT 20"", 0) / QUERY(GOOGLEFINANCE(C248, ""low"", TODAY()-40, TODAY()), ""SELECT Col2 WHERE Col2 IS NOT NULL OR"&amp;"DER BY Col1 DESC LIMIT 20"", 0) - 1)))"),"#N/A")</f>
        <v>#N/A</v>
      </c>
      <c r="H248" s="35" t="str">
        <f t="shared" si="6"/>
        <v/>
      </c>
      <c r="I248" s="35" t="str">
        <f t="shared" si="7"/>
        <v/>
      </c>
      <c r="J248" s="37" t="str">
        <f>IFERROR(__xludf.DUMMYFUNCTION("IFERROR(
  IF(C248="""",, 
    IFERROR(
      GOOGLEFINANCE(C248, ""price"") * GOOGLEFINANCE(C248, ""volumeavg""), 
      GOOGLEFINANCE(C248, ""price"") * AVERAGE(QUERY(GOOGLEFINANCE(C248, ""volume"", TODAY()-40, TODAY()), ""SELECT Col2 WHERE Col2 IS NOT "&amp;"NULL ORDER BY Col1 DESC LIMIT 20"", 0))
    )
  ), 
"""")"),"")</f>
        <v/>
      </c>
      <c r="K248" s="21" t="str">
        <f>IFERROR(__xludf.DUMMYFUNCTION("IFERROR(GOOGLEFINANCE(C248, ""changepct"") / 100, """")"),"")</f>
        <v/>
      </c>
      <c r="L248" s="21" t="str">
        <f>IFERROR(__xludf.DUMMYFUNCTION("IFERROR((GOOGLEFINANCE(C248, ""price"") / INDEX(GOOGLEFINANCE(C248, ""price"", TODAY()-7, TODAY()), 2, 2)) - 1, """")"),"")</f>
        <v/>
      </c>
      <c r="M248" s="21" t="str">
        <f>IFERROR(__xludf.DUMMYFUNCTION("IFERROR((GOOGLEFINANCE(C248, ""price"") / INDEX(GOOGLEFINANCE(C248, ""price"", EDATE(TODAY(), -1), TODAY()), 2, 2)) - 1, """")"),"")</f>
        <v/>
      </c>
      <c r="N248" s="21" t="str">
        <f>IFERROR(__xludf.DUMMYFUNCTION("IFERROR((GOOGLEFINANCE(C248, ""price"") / INDEX(GOOGLEFINANCE(C248, ""price"", EDATE(TODAY(), -3), TODAY()), 2, 2)) - 1, """")"),"")</f>
        <v/>
      </c>
      <c r="O248" s="21" t="str">
        <f>IFERROR(__xludf.DUMMYFUNCTION("IFERROR((GOOGLEFINANCE(C248, ""price"") / INDEX(GOOGLEFINANCE(C248, ""price"", EDATE(TODAY(), -6), TODAY()), 2, 2)) - 1, """")"),"")</f>
        <v/>
      </c>
      <c r="P248" s="21" t="str">
        <f>IFERROR(__xludf.DUMMYFUNCTION("IFERROR((GOOGLEFINANCE(C248, ""price"") / INDEX(GOOGLEFINANCE(C248, ""price"", EDATE(TODAY(), -12), TODAY()), 2, 2)) - 1, """")"),"")</f>
        <v/>
      </c>
      <c r="Q248" s="6" t="str">
        <f>IFERROR(__xludf.DUMMYFUNCTION("AVERAGE(QUERY(GOOGLEFINANCE(C248, ""price"", TODAY()-80, TODAY()), ""SELECT Col2 WHERE Col2 IS NOT NULL ORDER BY Col1 DESC LIMIT 50"", 0))"),"#N/A")</f>
        <v>#N/A</v>
      </c>
      <c r="R248" s="24" t="str">
        <f>IFERROR(__xludf.DUMMYFUNCTION("IFERROR(
  LET(
    data, QUERY(GOOGLEFINANCE(C248,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GOOGLEFINANCE(C248, ""price"")) * 100,
    IF(calc=0, G248, calc)
  ), 
G248)"),"#N/A")</f>
        <v>#N/A</v>
      </c>
      <c r="S248" s="8" t="s">
        <v>15</v>
      </c>
      <c r="T248" s="26" t="str">
        <f>IFERROR(__xludf.DUMMYFUNCTION("IFERROR(TRANSPOSE(QUERY(IFERROR(SORT(GOOGLEFINANCE(C248, ""price"", WORKDAY(TODAY(), -40), TODAY()), 1, FALSE)), ""select Col2 where Col2 is not null limit 22 label Col2 ''"", 0)), """")"),"")</f>
        <v/>
      </c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8"/>
      <c r="AO248" s="28"/>
      <c r="AP248" s="29"/>
      <c r="AQ248" s="29" t="str">
        <f t="shared" ref="AQ248:BL248" si="251">T248/T$2</f>
        <v>#N/A</v>
      </c>
      <c r="AR248" s="29" t="str">
        <f t="shared" si="251"/>
        <v>#DIV/0!</v>
      </c>
      <c r="AS248" s="29" t="str">
        <f t="shared" si="251"/>
        <v>#DIV/0!</v>
      </c>
      <c r="AT248" s="29" t="str">
        <f t="shared" si="251"/>
        <v>#DIV/0!</v>
      </c>
      <c r="AU248" s="29" t="str">
        <f t="shared" si="251"/>
        <v>#DIV/0!</v>
      </c>
      <c r="AV248" s="29" t="str">
        <f t="shared" si="251"/>
        <v>#DIV/0!</v>
      </c>
      <c r="AW248" s="29" t="str">
        <f t="shared" si="251"/>
        <v>#DIV/0!</v>
      </c>
      <c r="AX248" s="29" t="str">
        <f t="shared" si="251"/>
        <v>#DIV/0!</v>
      </c>
      <c r="AY248" s="29" t="str">
        <f t="shared" si="251"/>
        <v>#DIV/0!</v>
      </c>
      <c r="AZ248" s="29" t="str">
        <f t="shared" si="251"/>
        <v>#DIV/0!</v>
      </c>
      <c r="BA248" s="29" t="str">
        <f t="shared" si="251"/>
        <v>#DIV/0!</v>
      </c>
      <c r="BB248" s="29" t="str">
        <f t="shared" si="251"/>
        <v>#DIV/0!</v>
      </c>
      <c r="BC248" s="29" t="str">
        <f t="shared" si="251"/>
        <v>#DIV/0!</v>
      </c>
      <c r="BD248" s="29" t="str">
        <f t="shared" si="251"/>
        <v>#DIV/0!</v>
      </c>
      <c r="BE248" s="29" t="str">
        <f t="shared" si="251"/>
        <v>#DIV/0!</v>
      </c>
      <c r="BF248" s="29" t="str">
        <f t="shared" si="251"/>
        <v>#DIV/0!</v>
      </c>
      <c r="BG248" s="29" t="str">
        <f t="shared" si="251"/>
        <v>#DIV/0!</v>
      </c>
      <c r="BH248" s="29" t="str">
        <f t="shared" si="251"/>
        <v>#DIV/0!</v>
      </c>
      <c r="BI248" s="29" t="str">
        <f t="shared" si="251"/>
        <v>#DIV/0!</v>
      </c>
      <c r="BJ248" s="29" t="str">
        <f t="shared" si="251"/>
        <v>#DIV/0!</v>
      </c>
      <c r="BK248" s="29" t="str">
        <f t="shared" si="251"/>
        <v>#DIV/0!</v>
      </c>
      <c r="BL248" s="29" t="str">
        <f t="shared" si="251"/>
        <v>#DIV/0!</v>
      </c>
      <c r="BM248" s="29" t="str">
        <f t="shared" si="3"/>
        <v>#DIV/0!</v>
      </c>
    </row>
    <row r="249">
      <c r="A249" s="16" t="str">
        <f>IFERROR(__xludf.DUMMYFUNCTION("IFERROR(SPARKLINE(SORT(MAP(TRANSPOSE(AQ249:BL249), LAMBDA(val, IF(ISNUMBER(val), PERCENTRANK(AQ249:BL249, val)+0.01, 0))), SEQUENCE(COLUMNS(AQ249:BL249)), FALSE), {""charttype"",""column""; ""color"",""chartreuse""; ""ymin"", 0; ""ymax"", 1.01; ""highcolo"&amp;"r"", ""darkgreen""; ""lowcolor"", ""red""}), """")"),"")</f>
        <v/>
      </c>
      <c r="B249" s="17" t="str">
        <f t="shared" si="4"/>
        <v/>
      </c>
      <c r="C249" s="1" t="s">
        <v>1025</v>
      </c>
      <c r="D249" s="30" t="str">
        <f>IFERROR(__xludf.DUMMYFUNCTION("IFERROR(GOOGLEFINANCE(C249, ""NAME""))"),"DICK'S Sporting Goods Inc")</f>
        <v>DICK'S Sporting Goods Inc</v>
      </c>
      <c r="E249" s="30" t="s">
        <v>184</v>
      </c>
      <c r="F249" s="33" t="str">
        <f>IFERROR(__xludf.DUMMYFUNCTION("( (GOOGLEFINANCE(C249, ""price"") - Q249) / Q249 ) / (R249 / 100)"),"Loading...")</f>
        <v>Loading...</v>
      </c>
      <c r="G249" s="20" t="str">
        <f>IFERROR(__xludf.DUMMYFUNCTION("AVERAGE(ARRAYFORMULA(100 * (QUERY(GOOGLEFINANCE(C249, ""high"", TODAY()-40, TODAY()), ""SELECT Col2 WHERE Col2 IS NOT NULL ORDER BY Col1 DESC LIMIT 20"", 0) / QUERY(GOOGLEFINANCE(C249, ""low"", TODAY()-40, TODAY()), ""SELECT Col2 WHERE Col2 IS NOT NULL OR"&amp;"DER BY Col1 DESC LIMIT 20"", 0) - 1)))"),"#N/A")</f>
        <v>#N/A</v>
      </c>
      <c r="H249" s="35" t="str">
        <f t="shared" si="6"/>
        <v/>
      </c>
      <c r="I249" s="35" t="str">
        <f t="shared" si="7"/>
        <v/>
      </c>
      <c r="J249" s="37" t="str">
        <f>IFERROR(__xludf.DUMMYFUNCTION("IFERROR(
  IF(C249="""",, 
    IFERROR(
      GOOGLEFINANCE(C249, ""price"") * GOOGLEFINANCE(C249, ""volumeavg""), 
      GOOGLEFINANCE(C249, ""price"") * AVERAGE(QUERY(GOOGLEFINANCE(C249, ""volume"", TODAY()-40, TODAY()), ""SELECT Col2 WHERE Col2 IS NOT "&amp;"NULL ORDER BY Col1 DESC LIMIT 20"", 0))
    )
  ), 
"""")"),"")</f>
        <v/>
      </c>
      <c r="K249" s="21" t="str">
        <f>IFERROR(__xludf.DUMMYFUNCTION("IFERROR(GOOGLEFINANCE(C249, ""changepct"") / 100, """")"),"")</f>
        <v/>
      </c>
      <c r="L249" s="21" t="str">
        <f>IFERROR(__xludf.DUMMYFUNCTION("IFERROR((GOOGLEFINANCE(C249, ""price"") / INDEX(GOOGLEFINANCE(C249, ""price"", TODAY()-7, TODAY()), 2, 2)) - 1, """")"),"")</f>
        <v/>
      </c>
      <c r="M249" s="21" t="str">
        <f>IFERROR(__xludf.DUMMYFUNCTION("IFERROR((GOOGLEFINANCE(C249, ""price"") / INDEX(GOOGLEFINANCE(C249, ""price"", EDATE(TODAY(), -1), TODAY()), 2, 2)) - 1, """")"),"")</f>
        <v/>
      </c>
      <c r="N249" s="21" t="str">
        <f>IFERROR(__xludf.DUMMYFUNCTION("IFERROR((GOOGLEFINANCE(C249, ""price"") / INDEX(GOOGLEFINANCE(C249, ""price"", EDATE(TODAY(), -3), TODAY()), 2, 2)) - 1, """")"),"")</f>
        <v/>
      </c>
      <c r="O249" s="21" t="str">
        <f>IFERROR(__xludf.DUMMYFUNCTION("IFERROR((GOOGLEFINANCE(C249, ""price"") / INDEX(GOOGLEFINANCE(C249, ""price"", EDATE(TODAY(), -6), TODAY()), 2, 2)) - 1, """")"),"")</f>
        <v/>
      </c>
      <c r="P249" s="21" t="str">
        <f>IFERROR(__xludf.DUMMYFUNCTION("IFERROR((GOOGLEFINANCE(C249, ""price"") / INDEX(GOOGLEFINANCE(C249, ""price"", EDATE(TODAY(), -12), TODAY()), 2, 2)) - 1, """")"),"")</f>
        <v/>
      </c>
      <c r="Q249" s="6" t="str">
        <f>IFERROR(__xludf.DUMMYFUNCTION("AVERAGE(QUERY(GOOGLEFINANCE(C249, ""price"", TODAY()-80, TODAY()), ""SELECT Col2 WHERE Col2 IS NOT NULL ORDER BY Col1 DESC LIMIT 50"", 0))"),"#N/A")</f>
        <v>#N/A</v>
      </c>
      <c r="R249" s="24" t="str">
        <f>IFERROR(__xludf.DUMMYFUNCTION("IFERROR(
  LET(
    data, QUERY(GOOGLEFINANCE(C249,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GOOGLEFINANCE(C249, ""price"")) * 100,
    IF(calc=0, G249, calc)
  ), 
G249)"),"#N/A")</f>
        <v>#N/A</v>
      </c>
      <c r="S249" s="8" t="s">
        <v>15</v>
      </c>
      <c r="T249" s="26" t="str">
        <f>IFERROR(__xludf.DUMMYFUNCTION("IFERROR(TRANSPOSE(QUERY(IFERROR(SORT(GOOGLEFINANCE(C249, ""price"", WORKDAY(TODAY(), -40), TODAY()), 1, FALSE)), ""select Col2 where Col2 is not null limit 22 label Col2 ''"", 0)), """")"),"")</f>
        <v/>
      </c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8"/>
      <c r="AO249" s="28"/>
      <c r="AP249" s="29"/>
      <c r="AQ249" s="29" t="str">
        <f t="shared" ref="AQ249:BL249" si="252">T249/T$2</f>
        <v>#N/A</v>
      </c>
      <c r="AR249" s="29" t="str">
        <f t="shared" si="252"/>
        <v>#DIV/0!</v>
      </c>
      <c r="AS249" s="29" t="str">
        <f t="shared" si="252"/>
        <v>#DIV/0!</v>
      </c>
      <c r="AT249" s="29" t="str">
        <f t="shared" si="252"/>
        <v>#DIV/0!</v>
      </c>
      <c r="AU249" s="29" t="str">
        <f t="shared" si="252"/>
        <v>#DIV/0!</v>
      </c>
      <c r="AV249" s="29" t="str">
        <f t="shared" si="252"/>
        <v>#DIV/0!</v>
      </c>
      <c r="AW249" s="29" t="str">
        <f t="shared" si="252"/>
        <v>#DIV/0!</v>
      </c>
      <c r="AX249" s="29" t="str">
        <f t="shared" si="252"/>
        <v>#DIV/0!</v>
      </c>
      <c r="AY249" s="29" t="str">
        <f t="shared" si="252"/>
        <v>#DIV/0!</v>
      </c>
      <c r="AZ249" s="29" t="str">
        <f t="shared" si="252"/>
        <v>#DIV/0!</v>
      </c>
      <c r="BA249" s="29" t="str">
        <f t="shared" si="252"/>
        <v>#DIV/0!</v>
      </c>
      <c r="BB249" s="29" t="str">
        <f t="shared" si="252"/>
        <v>#DIV/0!</v>
      </c>
      <c r="BC249" s="29" t="str">
        <f t="shared" si="252"/>
        <v>#DIV/0!</v>
      </c>
      <c r="BD249" s="29" t="str">
        <f t="shared" si="252"/>
        <v>#DIV/0!</v>
      </c>
      <c r="BE249" s="29" t="str">
        <f t="shared" si="252"/>
        <v>#DIV/0!</v>
      </c>
      <c r="BF249" s="29" t="str">
        <f t="shared" si="252"/>
        <v>#DIV/0!</v>
      </c>
      <c r="BG249" s="29" t="str">
        <f t="shared" si="252"/>
        <v>#DIV/0!</v>
      </c>
      <c r="BH249" s="29" t="str">
        <f t="shared" si="252"/>
        <v>#DIV/0!</v>
      </c>
      <c r="BI249" s="29" t="str">
        <f t="shared" si="252"/>
        <v>#DIV/0!</v>
      </c>
      <c r="BJ249" s="29" t="str">
        <f t="shared" si="252"/>
        <v>#DIV/0!</v>
      </c>
      <c r="BK249" s="29" t="str">
        <f t="shared" si="252"/>
        <v>#DIV/0!</v>
      </c>
      <c r="BL249" s="29" t="str">
        <f t="shared" si="252"/>
        <v>#DIV/0!</v>
      </c>
      <c r="BM249" s="29" t="str">
        <f t="shared" si="3"/>
        <v>#DIV/0!</v>
      </c>
    </row>
    <row r="250">
      <c r="A250" s="16" t="str">
        <f>IFERROR(__xludf.DUMMYFUNCTION("IFERROR(SPARKLINE(SORT(MAP(TRANSPOSE(AQ250:BL250), LAMBDA(val, IF(ISNUMBER(val), PERCENTRANK(AQ250:BL250, val)+0.01, 0))), SEQUENCE(COLUMNS(AQ250:BL250)), FALSE), {""charttype"",""column""; ""color"",""chartreuse""; ""ymin"", 0; ""ymax"", 1.01; ""highcolo"&amp;"r"", ""darkgreen""; ""lowcolor"", ""red""}), """")"),"")</f>
        <v/>
      </c>
      <c r="B250" s="17" t="str">
        <f t="shared" si="4"/>
        <v/>
      </c>
      <c r="C250" s="1" t="s">
        <v>1029</v>
      </c>
      <c r="D250" s="30" t="str">
        <f>IFERROR(__xludf.DUMMYFUNCTION("IFERROR(GOOGLEFINANCE(C250, ""NAME""))"),"Lennar Corporation Class A")</f>
        <v>Lennar Corporation Class A</v>
      </c>
      <c r="E250" s="30" t="s">
        <v>261</v>
      </c>
      <c r="F250" s="33" t="str">
        <f>IFERROR(__xludf.DUMMYFUNCTION("( (GOOGLEFINANCE(C250, ""price"") - Q250) / Q250 ) / (R250 / 100)"),"Loading...")</f>
        <v>Loading...</v>
      </c>
      <c r="G250" s="20" t="str">
        <f>IFERROR(__xludf.DUMMYFUNCTION("AVERAGE(ARRAYFORMULA(100 * (QUERY(GOOGLEFINANCE(C250, ""high"", TODAY()-40, TODAY()), ""SELECT Col2 WHERE Col2 IS NOT NULL ORDER BY Col1 DESC LIMIT 20"", 0) / QUERY(GOOGLEFINANCE(C250, ""low"", TODAY()-40, TODAY()), ""SELECT Col2 WHERE Col2 IS NOT NULL OR"&amp;"DER BY Col1 DESC LIMIT 20"", 0) - 1)))"),"#N/A")</f>
        <v>#N/A</v>
      </c>
      <c r="H250" s="35" t="str">
        <f t="shared" si="6"/>
        <v/>
      </c>
      <c r="I250" s="35" t="str">
        <f t="shared" si="7"/>
        <v/>
      </c>
      <c r="J250" s="37" t="str">
        <f>IFERROR(__xludf.DUMMYFUNCTION("IFERROR(
  IF(C250="""",, 
    IFERROR(
      GOOGLEFINANCE(C250, ""price"") * GOOGLEFINANCE(C250, ""volumeavg""), 
      GOOGLEFINANCE(C250, ""price"") * AVERAGE(QUERY(GOOGLEFINANCE(C250, ""volume"", TODAY()-40, TODAY()), ""SELECT Col2 WHERE Col2 IS NOT "&amp;"NULL ORDER BY Col1 DESC LIMIT 20"", 0))
    )
  ), 
"""")"),"")</f>
        <v/>
      </c>
      <c r="K250" s="21" t="str">
        <f>IFERROR(__xludf.DUMMYFUNCTION("IFERROR(GOOGLEFINANCE(C250, ""changepct"") / 100, """")"),"")</f>
        <v/>
      </c>
      <c r="L250" s="21" t="str">
        <f>IFERROR(__xludf.DUMMYFUNCTION("IFERROR((GOOGLEFINANCE(C250, ""price"") / INDEX(GOOGLEFINANCE(C250, ""price"", TODAY()-7, TODAY()), 2, 2)) - 1, """")"),"")</f>
        <v/>
      </c>
      <c r="M250" s="21" t="str">
        <f>IFERROR(__xludf.DUMMYFUNCTION("IFERROR((GOOGLEFINANCE(C250, ""price"") / INDEX(GOOGLEFINANCE(C250, ""price"", EDATE(TODAY(), -1), TODAY()), 2, 2)) - 1, """")"),"")</f>
        <v/>
      </c>
      <c r="N250" s="21" t="str">
        <f>IFERROR(__xludf.DUMMYFUNCTION("IFERROR((GOOGLEFINANCE(C250, ""price"") / INDEX(GOOGLEFINANCE(C250, ""price"", EDATE(TODAY(), -3), TODAY()), 2, 2)) - 1, """")"),"")</f>
        <v/>
      </c>
      <c r="O250" s="21" t="str">
        <f>IFERROR(__xludf.DUMMYFUNCTION("IFERROR((GOOGLEFINANCE(C250, ""price"") / INDEX(GOOGLEFINANCE(C250, ""price"", EDATE(TODAY(), -6), TODAY()), 2, 2)) - 1, """")"),"")</f>
        <v/>
      </c>
      <c r="P250" s="21" t="str">
        <f>IFERROR(__xludf.DUMMYFUNCTION("IFERROR((GOOGLEFINANCE(C250, ""price"") / INDEX(GOOGLEFINANCE(C250, ""price"", EDATE(TODAY(), -12), TODAY()), 2, 2)) - 1, """")"),"")</f>
        <v/>
      </c>
      <c r="Q250" s="6" t="str">
        <f>IFERROR(__xludf.DUMMYFUNCTION("AVERAGE(QUERY(GOOGLEFINANCE(C250, ""price"", TODAY()-80, TODAY()), ""SELECT Col2 WHERE Col2 IS NOT NULL ORDER BY Col1 DESC LIMIT 50"", 0))"),"#N/A")</f>
        <v>#N/A</v>
      </c>
      <c r="R250" s="24" t="str">
        <f>IFERROR(__xludf.DUMMYFUNCTION("IFERROR(
  LET(
    data, QUERY(GOOGLEFINANCE(C250,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GOOGLEFINANCE(C250, ""price"")) * 100,
    IF(calc=0, G250, calc)
  ), 
G250)"),"#N/A")</f>
        <v>#N/A</v>
      </c>
      <c r="S250" s="8" t="s">
        <v>15</v>
      </c>
      <c r="T250" s="26" t="str">
        <f>IFERROR(__xludf.DUMMYFUNCTION("IFERROR(TRANSPOSE(QUERY(IFERROR(SORT(GOOGLEFINANCE(C250, ""price"", WORKDAY(TODAY(), -40), TODAY()), 1, FALSE)), ""select Col2 where Col2 is not null limit 22 label Col2 ''"", 0)), """")"),"")</f>
        <v/>
      </c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8"/>
      <c r="AO250" s="28"/>
      <c r="AP250" s="29"/>
      <c r="AQ250" s="29" t="str">
        <f t="shared" ref="AQ250:BL250" si="253">T250/T$2</f>
        <v>#N/A</v>
      </c>
      <c r="AR250" s="29" t="str">
        <f t="shared" si="253"/>
        <v>#DIV/0!</v>
      </c>
      <c r="AS250" s="29" t="str">
        <f t="shared" si="253"/>
        <v>#DIV/0!</v>
      </c>
      <c r="AT250" s="29" t="str">
        <f t="shared" si="253"/>
        <v>#DIV/0!</v>
      </c>
      <c r="AU250" s="29" t="str">
        <f t="shared" si="253"/>
        <v>#DIV/0!</v>
      </c>
      <c r="AV250" s="29" t="str">
        <f t="shared" si="253"/>
        <v>#DIV/0!</v>
      </c>
      <c r="AW250" s="29" t="str">
        <f t="shared" si="253"/>
        <v>#DIV/0!</v>
      </c>
      <c r="AX250" s="29" t="str">
        <f t="shared" si="253"/>
        <v>#DIV/0!</v>
      </c>
      <c r="AY250" s="29" t="str">
        <f t="shared" si="253"/>
        <v>#DIV/0!</v>
      </c>
      <c r="AZ250" s="29" t="str">
        <f t="shared" si="253"/>
        <v>#DIV/0!</v>
      </c>
      <c r="BA250" s="29" t="str">
        <f t="shared" si="253"/>
        <v>#DIV/0!</v>
      </c>
      <c r="BB250" s="29" t="str">
        <f t="shared" si="253"/>
        <v>#DIV/0!</v>
      </c>
      <c r="BC250" s="29" t="str">
        <f t="shared" si="253"/>
        <v>#DIV/0!</v>
      </c>
      <c r="BD250" s="29" t="str">
        <f t="shared" si="253"/>
        <v>#DIV/0!</v>
      </c>
      <c r="BE250" s="29" t="str">
        <f t="shared" si="253"/>
        <v>#DIV/0!</v>
      </c>
      <c r="BF250" s="29" t="str">
        <f t="shared" si="253"/>
        <v>#DIV/0!</v>
      </c>
      <c r="BG250" s="29" t="str">
        <f t="shared" si="253"/>
        <v>#DIV/0!</v>
      </c>
      <c r="BH250" s="29" t="str">
        <f t="shared" si="253"/>
        <v>#DIV/0!</v>
      </c>
      <c r="BI250" s="29" t="str">
        <f t="shared" si="253"/>
        <v>#DIV/0!</v>
      </c>
      <c r="BJ250" s="29" t="str">
        <f t="shared" si="253"/>
        <v>#DIV/0!</v>
      </c>
      <c r="BK250" s="29" t="str">
        <f t="shared" si="253"/>
        <v>#DIV/0!</v>
      </c>
      <c r="BL250" s="29" t="str">
        <f t="shared" si="253"/>
        <v>#DIV/0!</v>
      </c>
      <c r="BM250" s="29" t="str">
        <f t="shared" si="3"/>
        <v>#DIV/0!</v>
      </c>
    </row>
    <row r="251">
      <c r="A251" s="16" t="str">
        <f>IFERROR(__xludf.DUMMYFUNCTION("IFERROR(SPARKLINE(SORT(MAP(TRANSPOSE(AQ251:BL251), LAMBDA(val, IF(ISNUMBER(val), PERCENTRANK(AQ251:BL251, val)+0.01, 0))), SEQUENCE(COLUMNS(AQ251:BL251)), FALSE), {""charttype"",""column""; ""color"",""chartreuse""; ""ymin"", 0; ""ymax"", 1.01; ""highcolo"&amp;"r"", ""darkgreen""; ""lowcolor"", ""red""}), """")"),"")</f>
        <v/>
      </c>
      <c r="B251" s="17" t="str">
        <f t="shared" si="4"/>
        <v/>
      </c>
      <c r="C251" s="1" t="s">
        <v>1033</v>
      </c>
      <c r="D251" s="30" t="str">
        <f>IFERROR(__xludf.DUMMYFUNCTION("IFERROR(GOOGLEFINANCE(C251, ""NAME""))"),"Acushnet Holdings Corp")</f>
        <v>Acushnet Holdings Corp</v>
      </c>
      <c r="E251" s="30" t="s">
        <v>158</v>
      </c>
      <c r="F251" s="33" t="str">
        <f>IFERROR(__xludf.DUMMYFUNCTION("( (GOOGLEFINANCE(C251, ""price"") - Q251) / Q251 ) / (R251 / 100)"),"Loading...")</f>
        <v>Loading...</v>
      </c>
      <c r="G251" s="20" t="str">
        <f>IFERROR(__xludf.DUMMYFUNCTION("AVERAGE(ARRAYFORMULA(100 * (QUERY(GOOGLEFINANCE(C251, ""high"", TODAY()-40, TODAY()), ""SELECT Col2 WHERE Col2 IS NOT NULL ORDER BY Col1 DESC LIMIT 20"", 0) / QUERY(GOOGLEFINANCE(C251, ""low"", TODAY()-40, TODAY()), ""SELECT Col2 WHERE Col2 IS NOT NULL OR"&amp;"DER BY Col1 DESC LIMIT 20"", 0) - 1)))"),"#N/A")</f>
        <v>#N/A</v>
      </c>
      <c r="H251" s="35" t="str">
        <f t="shared" si="6"/>
        <v/>
      </c>
      <c r="I251" s="35" t="str">
        <f t="shared" si="7"/>
        <v/>
      </c>
      <c r="J251" s="37" t="str">
        <f>IFERROR(__xludf.DUMMYFUNCTION("IFERROR(
  IF(C251="""",, 
    IFERROR(
      GOOGLEFINANCE(C251, ""price"") * GOOGLEFINANCE(C251, ""volumeavg""), 
      GOOGLEFINANCE(C251, ""price"") * AVERAGE(QUERY(GOOGLEFINANCE(C251, ""volume"", TODAY()-40, TODAY()), ""SELECT Col2 WHERE Col2 IS NOT "&amp;"NULL ORDER BY Col1 DESC LIMIT 20"", 0))
    )
  ), 
"""")"),"")</f>
        <v/>
      </c>
      <c r="K251" s="21" t="str">
        <f>IFERROR(__xludf.DUMMYFUNCTION("IFERROR(GOOGLEFINANCE(C251, ""changepct"") / 100, """")"),"")</f>
        <v/>
      </c>
      <c r="L251" s="21" t="str">
        <f>IFERROR(__xludf.DUMMYFUNCTION("IFERROR((GOOGLEFINANCE(C251, ""price"") / INDEX(GOOGLEFINANCE(C251, ""price"", TODAY()-7, TODAY()), 2, 2)) - 1, """")"),"")</f>
        <v/>
      </c>
      <c r="M251" s="21" t="str">
        <f>IFERROR(__xludf.DUMMYFUNCTION("IFERROR((GOOGLEFINANCE(C251, ""price"") / INDEX(GOOGLEFINANCE(C251, ""price"", EDATE(TODAY(), -1), TODAY()), 2, 2)) - 1, """")"),"")</f>
        <v/>
      </c>
      <c r="N251" s="21" t="str">
        <f>IFERROR(__xludf.DUMMYFUNCTION("IFERROR((GOOGLEFINANCE(C251, ""price"") / INDEX(GOOGLEFINANCE(C251, ""price"", EDATE(TODAY(), -3), TODAY()), 2, 2)) - 1, """")"),"")</f>
        <v/>
      </c>
      <c r="O251" s="21" t="str">
        <f>IFERROR(__xludf.DUMMYFUNCTION("IFERROR((GOOGLEFINANCE(C251, ""price"") / INDEX(GOOGLEFINANCE(C251, ""price"", EDATE(TODAY(), -6), TODAY()), 2, 2)) - 1, """")"),"")</f>
        <v/>
      </c>
      <c r="P251" s="21" t="str">
        <f>IFERROR(__xludf.DUMMYFUNCTION("IFERROR((GOOGLEFINANCE(C251, ""price"") / INDEX(GOOGLEFINANCE(C251, ""price"", EDATE(TODAY(), -12), TODAY()), 2, 2)) - 1, """")"),"")</f>
        <v/>
      </c>
      <c r="Q251" s="6" t="str">
        <f>IFERROR(__xludf.DUMMYFUNCTION("AVERAGE(QUERY(GOOGLEFINANCE(C251, ""price"", TODAY()-80, TODAY()), ""SELECT Col2 WHERE Col2 IS NOT NULL ORDER BY Col1 DESC LIMIT 50"", 0))"),"#N/A")</f>
        <v>#N/A</v>
      </c>
      <c r="R251" s="24" t="str">
        <f>IFERROR(__xludf.DUMMYFUNCTION("IFERROR(
  LET(
    data, QUERY(GOOGLEFINANCE(C251,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GOOGLEFINANCE(C251, ""price"")) * 100,
    IF(calc=0, G251, calc)
  ), 
G251)"),"#N/A")</f>
        <v>#N/A</v>
      </c>
      <c r="S251" s="8" t="s">
        <v>15</v>
      </c>
      <c r="T251" s="26" t="str">
        <f>IFERROR(__xludf.DUMMYFUNCTION("IFERROR(TRANSPOSE(QUERY(IFERROR(SORT(GOOGLEFINANCE(C251, ""price"", WORKDAY(TODAY(), -40), TODAY()), 1, FALSE)), ""select Col2 where Col2 is not null limit 22 label Col2 ''"", 0)), """")"),"")</f>
        <v/>
      </c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8"/>
      <c r="AO251" s="28"/>
      <c r="AP251" s="29"/>
      <c r="AQ251" s="29" t="str">
        <f t="shared" ref="AQ251:BL251" si="254">T251/T$2</f>
        <v>#N/A</v>
      </c>
      <c r="AR251" s="29" t="str">
        <f t="shared" si="254"/>
        <v>#DIV/0!</v>
      </c>
      <c r="AS251" s="29" t="str">
        <f t="shared" si="254"/>
        <v>#DIV/0!</v>
      </c>
      <c r="AT251" s="29" t="str">
        <f t="shared" si="254"/>
        <v>#DIV/0!</v>
      </c>
      <c r="AU251" s="29" t="str">
        <f t="shared" si="254"/>
        <v>#DIV/0!</v>
      </c>
      <c r="AV251" s="29" t="str">
        <f t="shared" si="254"/>
        <v>#DIV/0!</v>
      </c>
      <c r="AW251" s="29" t="str">
        <f t="shared" si="254"/>
        <v>#DIV/0!</v>
      </c>
      <c r="AX251" s="29" t="str">
        <f t="shared" si="254"/>
        <v>#DIV/0!</v>
      </c>
      <c r="AY251" s="29" t="str">
        <f t="shared" si="254"/>
        <v>#DIV/0!</v>
      </c>
      <c r="AZ251" s="29" t="str">
        <f t="shared" si="254"/>
        <v>#DIV/0!</v>
      </c>
      <c r="BA251" s="29" t="str">
        <f t="shared" si="254"/>
        <v>#DIV/0!</v>
      </c>
      <c r="BB251" s="29" t="str">
        <f t="shared" si="254"/>
        <v>#DIV/0!</v>
      </c>
      <c r="BC251" s="29" t="str">
        <f t="shared" si="254"/>
        <v>#DIV/0!</v>
      </c>
      <c r="BD251" s="29" t="str">
        <f t="shared" si="254"/>
        <v>#DIV/0!</v>
      </c>
      <c r="BE251" s="29" t="str">
        <f t="shared" si="254"/>
        <v>#DIV/0!</v>
      </c>
      <c r="BF251" s="29" t="str">
        <f t="shared" si="254"/>
        <v>#DIV/0!</v>
      </c>
      <c r="BG251" s="29" t="str">
        <f t="shared" si="254"/>
        <v>#DIV/0!</v>
      </c>
      <c r="BH251" s="29" t="str">
        <f t="shared" si="254"/>
        <v>#DIV/0!</v>
      </c>
      <c r="BI251" s="29" t="str">
        <f t="shared" si="254"/>
        <v>#DIV/0!</v>
      </c>
      <c r="BJ251" s="29" t="str">
        <f t="shared" si="254"/>
        <v>#DIV/0!</v>
      </c>
      <c r="BK251" s="29" t="str">
        <f t="shared" si="254"/>
        <v>#DIV/0!</v>
      </c>
      <c r="BL251" s="29" t="str">
        <f t="shared" si="254"/>
        <v>#DIV/0!</v>
      </c>
      <c r="BM251" s="29" t="str">
        <f t="shared" si="3"/>
        <v>#DIV/0!</v>
      </c>
    </row>
    <row r="252">
      <c r="A252" s="16" t="str">
        <f>IFERROR(__xludf.DUMMYFUNCTION("IFERROR(SPARKLINE(SORT(MAP(TRANSPOSE(AQ252:BL252), LAMBDA(val, IF(ISNUMBER(val), PERCENTRANK(AQ252:BL252, val)+0.01, 0))), SEQUENCE(COLUMNS(AQ252:BL252)), FALSE), {""charttype"",""column""; ""color"",""chartreuse""; ""ymin"", 0; ""ymax"", 1.01; ""highcolo"&amp;"r"", ""darkgreen""; ""lowcolor"", ""red""}), """")"),"")</f>
        <v/>
      </c>
      <c r="B252" s="17" t="str">
        <f t="shared" si="4"/>
        <v/>
      </c>
      <c r="C252" s="1" t="s">
        <v>1038</v>
      </c>
      <c r="D252" s="30" t="str">
        <f>IFERROR(__xludf.DUMMYFUNCTION("IFERROR(GOOGLEFINANCE(C252, ""NAME""))"),"Boot Barn Holdings Inc")</f>
        <v>Boot Barn Holdings Inc</v>
      </c>
      <c r="E252" s="30" t="s">
        <v>647</v>
      </c>
      <c r="F252" s="38" t="str">
        <f>IFERROR(__xludf.DUMMYFUNCTION("( (GOOGLEFINANCE(C252, ""price"") - Q252) / Q252 ) / (R252 / 100)"),"Loading...")</f>
        <v>Loading...</v>
      </c>
      <c r="G252" s="20" t="str">
        <f>IFERROR(__xludf.DUMMYFUNCTION("AVERAGE(ARRAYFORMULA(100 * (QUERY(GOOGLEFINANCE(C252, ""high"", TODAY()-40, TODAY()), ""SELECT Col2 WHERE Col2 IS NOT NULL ORDER BY Col1 DESC LIMIT 20"", 0) / QUERY(GOOGLEFINANCE(C252, ""low"", TODAY()-40, TODAY()), ""SELECT Col2 WHERE Col2 IS NOT NULL OR"&amp;"DER BY Col1 DESC LIMIT 20"", 0) - 1)))"),"#N/A")</f>
        <v>#N/A</v>
      </c>
      <c r="H252" s="35" t="str">
        <f t="shared" si="6"/>
        <v/>
      </c>
      <c r="I252" s="35" t="str">
        <f t="shared" si="7"/>
        <v/>
      </c>
      <c r="J252" s="37" t="str">
        <f>IFERROR(__xludf.DUMMYFUNCTION("IFERROR(
  IF(C252="""",, 
    IFERROR(
      GOOGLEFINANCE(C252, ""price"") * GOOGLEFINANCE(C252, ""volumeavg""), 
      GOOGLEFINANCE(C252, ""price"") * AVERAGE(QUERY(GOOGLEFINANCE(C252, ""volume"", TODAY()-40, TODAY()), ""SELECT Col2 WHERE Col2 IS NOT "&amp;"NULL ORDER BY Col1 DESC LIMIT 20"", 0))
    )
  ), 
"""")"),"")</f>
        <v/>
      </c>
      <c r="K252" s="21" t="str">
        <f>IFERROR(__xludf.DUMMYFUNCTION("IFERROR(GOOGLEFINANCE(C252, ""changepct"") / 100, """")"),"")</f>
        <v/>
      </c>
      <c r="L252" s="21" t="str">
        <f>IFERROR(__xludf.DUMMYFUNCTION("IFERROR((GOOGLEFINANCE(C252, ""price"") / INDEX(GOOGLEFINANCE(C252, ""price"", TODAY()-7, TODAY()), 2, 2)) - 1, """")"),"")</f>
        <v/>
      </c>
      <c r="M252" s="21" t="str">
        <f>IFERROR(__xludf.DUMMYFUNCTION("IFERROR((GOOGLEFINANCE(C252, ""price"") / INDEX(GOOGLEFINANCE(C252, ""price"", EDATE(TODAY(), -1), TODAY()), 2, 2)) - 1, """")"),"")</f>
        <v/>
      </c>
      <c r="N252" s="21" t="str">
        <f>IFERROR(__xludf.DUMMYFUNCTION("IFERROR((GOOGLEFINANCE(C252, ""price"") / INDEX(GOOGLEFINANCE(C252, ""price"", EDATE(TODAY(), -3), TODAY()), 2, 2)) - 1, """")"),"")</f>
        <v/>
      </c>
      <c r="O252" s="21" t="str">
        <f>IFERROR(__xludf.DUMMYFUNCTION("IFERROR((GOOGLEFINANCE(C252, ""price"") / INDEX(GOOGLEFINANCE(C252, ""price"", EDATE(TODAY(), -6), TODAY()), 2, 2)) - 1, """")"),"")</f>
        <v/>
      </c>
      <c r="P252" s="21" t="str">
        <f>IFERROR(__xludf.DUMMYFUNCTION("IFERROR((GOOGLEFINANCE(C252, ""price"") / INDEX(GOOGLEFINANCE(C252, ""price"", EDATE(TODAY(), -12), TODAY()), 2, 2)) - 1, """")"),"")</f>
        <v/>
      </c>
      <c r="Q252" s="6" t="str">
        <f>IFERROR(__xludf.DUMMYFUNCTION("AVERAGE(QUERY(GOOGLEFINANCE(C252, ""price"", TODAY()-80, TODAY()), ""SELECT Col2 WHERE Col2 IS NOT NULL ORDER BY Col1 DESC LIMIT 50"", 0))"),"#N/A")</f>
        <v>#N/A</v>
      </c>
      <c r="R252" s="24" t="str">
        <f>IFERROR(__xludf.DUMMYFUNCTION("IFERROR(
  LET(
    data, QUERY(GOOGLEFINANCE(C252,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GOOGLEFINANCE(C252, ""price"")) * 100,
    IF(calc=0, G252, calc)
  ), 
G252)"),"#N/A")</f>
        <v>#N/A</v>
      </c>
      <c r="S252" s="8" t="s">
        <v>15</v>
      </c>
      <c r="T252" s="26" t="str">
        <f>IFERROR(__xludf.DUMMYFUNCTION("IFERROR(TRANSPOSE(QUERY(IFERROR(SORT(GOOGLEFINANCE(C252, ""price"", WORKDAY(TODAY(), -40), TODAY()), 1, FALSE)), ""select Col2 where Col2 is not null limit 22 label Col2 ''"", 0)), """")"),"")</f>
        <v/>
      </c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8"/>
      <c r="AO252" s="28"/>
      <c r="AP252" s="29"/>
      <c r="AQ252" s="29" t="str">
        <f t="shared" ref="AQ252:BL252" si="255">T252/T$2</f>
        <v>#N/A</v>
      </c>
      <c r="AR252" s="29" t="str">
        <f t="shared" si="255"/>
        <v>#DIV/0!</v>
      </c>
      <c r="AS252" s="29" t="str">
        <f t="shared" si="255"/>
        <v>#DIV/0!</v>
      </c>
      <c r="AT252" s="29" t="str">
        <f t="shared" si="255"/>
        <v>#DIV/0!</v>
      </c>
      <c r="AU252" s="29" t="str">
        <f t="shared" si="255"/>
        <v>#DIV/0!</v>
      </c>
      <c r="AV252" s="29" t="str">
        <f t="shared" si="255"/>
        <v>#DIV/0!</v>
      </c>
      <c r="AW252" s="29" t="str">
        <f t="shared" si="255"/>
        <v>#DIV/0!</v>
      </c>
      <c r="AX252" s="29" t="str">
        <f t="shared" si="255"/>
        <v>#DIV/0!</v>
      </c>
      <c r="AY252" s="29" t="str">
        <f t="shared" si="255"/>
        <v>#DIV/0!</v>
      </c>
      <c r="AZ252" s="29" t="str">
        <f t="shared" si="255"/>
        <v>#DIV/0!</v>
      </c>
      <c r="BA252" s="29" t="str">
        <f t="shared" si="255"/>
        <v>#DIV/0!</v>
      </c>
      <c r="BB252" s="29" t="str">
        <f t="shared" si="255"/>
        <v>#DIV/0!</v>
      </c>
      <c r="BC252" s="29" t="str">
        <f t="shared" si="255"/>
        <v>#DIV/0!</v>
      </c>
      <c r="BD252" s="29" t="str">
        <f t="shared" si="255"/>
        <v>#DIV/0!</v>
      </c>
      <c r="BE252" s="29" t="str">
        <f t="shared" si="255"/>
        <v>#DIV/0!</v>
      </c>
      <c r="BF252" s="29" t="str">
        <f t="shared" si="255"/>
        <v>#DIV/0!</v>
      </c>
      <c r="BG252" s="29" t="str">
        <f t="shared" si="255"/>
        <v>#DIV/0!</v>
      </c>
      <c r="BH252" s="29" t="str">
        <f t="shared" si="255"/>
        <v>#DIV/0!</v>
      </c>
      <c r="BI252" s="29" t="str">
        <f t="shared" si="255"/>
        <v>#DIV/0!</v>
      </c>
      <c r="BJ252" s="29" t="str">
        <f t="shared" si="255"/>
        <v>#DIV/0!</v>
      </c>
      <c r="BK252" s="29" t="str">
        <f t="shared" si="255"/>
        <v>#DIV/0!</v>
      </c>
      <c r="BL252" s="29" t="str">
        <f t="shared" si="255"/>
        <v>#DIV/0!</v>
      </c>
      <c r="BM252" s="29" t="str">
        <f t="shared" si="3"/>
        <v>#DIV/0!</v>
      </c>
    </row>
    <row r="253">
      <c r="A253" s="16" t="str">
        <f>IFERROR(__xludf.DUMMYFUNCTION("IFERROR(SPARKLINE(SORT(MAP(TRANSPOSE(AQ253:BL253), LAMBDA(val, IF(ISNUMBER(val), PERCENTRANK(AQ253:BL253, val)+0.01, 0))), SEQUENCE(COLUMNS(AQ253:BL253)), FALSE), {""charttype"",""column""; ""color"",""chartreuse""; ""ymin"", 0; ""ymax"", 1.01; ""highcolo"&amp;"r"", ""darkgreen""; ""lowcolor"", ""red""}), """")"),"")</f>
        <v/>
      </c>
      <c r="B253" s="17" t="str">
        <f t="shared" si="4"/>
        <v/>
      </c>
      <c r="C253" s="1" t="s">
        <v>1042</v>
      </c>
      <c r="D253" s="30" t="str">
        <f>IFERROR(__xludf.DUMMYFUNCTION("IFERROR(GOOGLEFINANCE(C253, ""NAME""))"),"Installed Building Products Inc")</f>
        <v>Installed Building Products Inc</v>
      </c>
      <c r="E253" s="30" t="s">
        <v>261</v>
      </c>
      <c r="F253" s="33" t="str">
        <f>IFERROR(__xludf.DUMMYFUNCTION("( (GOOGLEFINANCE(C253, ""price"") - Q253) / Q253 ) / (R253 / 100)"),"Loading...")</f>
        <v>Loading...</v>
      </c>
      <c r="G253" s="20" t="str">
        <f>IFERROR(__xludf.DUMMYFUNCTION("AVERAGE(ARRAYFORMULA(100 * (QUERY(GOOGLEFINANCE(C253, ""high"", TODAY()-40, TODAY()), ""SELECT Col2 WHERE Col2 IS NOT NULL ORDER BY Col1 DESC LIMIT 20"", 0) / QUERY(GOOGLEFINANCE(C253, ""low"", TODAY()-40, TODAY()), ""SELECT Col2 WHERE Col2 IS NOT NULL OR"&amp;"DER BY Col1 DESC LIMIT 20"", 0) - 1)))"),"#N/A")</f>
        <v>#N/A</v>
      </c>
      <c r="H253" s="35" t="str">
        <f t="shared" si="6"/>
        <v/>
      </c>
      <c r="I253" s="35" t="str">
        <f t="shared" si="7"/>
        <v/>
      </c>
      <c r="J253" s="37" t="str">
        <f>IFERROR(__xludf.DUMMYFUNCTION("IFERROR(
  IF(C253="""",, 
    IFERROR(
      GOOGLEFINANCE(C253, ""price"") * GOOGLEFINANCE(C253, ""volumeavg""), 
      GOOGLEFINANCE(C253, ""price"") * AVERAGE(QUERY(GOOGLEFINANCE(C253, ""volume"", TODAY()-40, TODAY()), ""SELECT Col2 WHERE Col2 IS NOT "&amp;"NULL ORDER BY Col1 DESC LIMIT 20"", 0))
    )
  ), 
"""")"),"")</f>
        <v/>
      </c>
      <c r="K253" s="21" t="str">
        <f>IFERROR(__xludf.DUMMYFUNCTION("IFERROR(GOOGLEFINANCE(C253, ""changepct"") / 100, """")"),"")</f>
        <v/>
      </c>
      <c r="L253" s="21" t="str">
        <f>IFERROR(__xludf.DUMMYFUNCTION("IFERROR((GOOGLEFINANCE(C253, ""price"") / INDEX(GOOGLEFINANCE(C253, ""price"", TODAY()-7, TODAY()), 2, 2)) - 1, """")"),"")</f>
        <v/>
      </c>
      <c r="M253" s="21" t="str">
        <f>IFERROR(__xludf.DUMMYFUNCTION("IFERROR((GOOGLEFINANCE(C253, ""price"") / INDEX(GOOGLEFINANCE(C253, ""price"", EDATE(TODAY(), -1), TODAY()), 2, 2)) - 1, """")"),"")</f>
        <v/>
      </c>
      <c r="N253" s="21" t="str">
        <f>IFERROR(__xludf.DUMMYFUNCTION("IFERROR((GOOGLEFINANCE(C253, ""price"") / INDEX(GOOGLEFINANCE(C253, ""price"", EDATE(TODAY(), -3), TODAY()), 2, 2)) - 1, """")"),"")</f>
        <v/>
      </c>
      <c r="O253" s="21" t="str">
        <f>IFERROR(__xludf.DUMMYFUNCTION("IFERROR((GOOGLEFINANCE(C253, ""price"") / INDEX(GOOGLEFINANCE(C253, ""price"", EDATE(TODAY(), -6), TODAY()), 2, 2)) - 1, """")"),"")</f>
        <v/>
      </c>
      <c r="P253" s="21" t="str">
        <f>IFERROR(__xludf.DUMMYFUNCTION("IFERROR((GOOGLEFINANCE(C253, ""price"") / INDEX(GOOGLEFINANCE(C253, ""price"", EDATE(TODAY(), -12), TODAY()), 2, 2)) - 1, """")"),"")</f>
        <v/>
      </c>
      <c r="Q253" s="6" t="str">
        <f>IFERROR(__xludf.DUMMYFUNCTION("AVERAGE(QUERY(GOOGLEFINANCE(C253, ""price"", TODAY()-80, TODAY()), ""SELECT Col2 WHERE Col2 IS NOT NULL ORDER BY Col1 DESC LIMIT 50"", 0))"),"#N/A")</f>
        <v>#N/A</v>
      </c>
      <c r="R253" s="24" t="str">
        <f>IFERROR(__xludf.DUMMYFUNCTION("IFERROR(
  LET(
    data, QUERY(GOOGLEFINANCE(C253,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GOOGLEFINANCE(C253, ""price"")) * 100,
    IF(calc=0, G253, calc)
  ), 
G253)"),"#N/A")</f>
        <v>#N/A</v>
      </c>
      <c r="S253" s="8" t="s">
        <v>15</v>
      </c>
      <c r="T253" s="26" t="str">
        <f>IFERROR(__xludf.DUMMYFUNCTION("IFERROR(TRANSPOSE(QUERY(IFERROR(SORT(GOOGLEFINANCE(C253, ""price"", WORKDAY(TODAY(), -40), TODAY()), 1, FALSE)), ""select Col2 where Col2 is not null limit 22 label Col2 ''"", 0)), """")"),"")</f>
        <v/>
      </c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8"/>
      <c r="AO253" s="28"/>
      <c r="AP253" s="29"/>
      <c r="AQ253" s="29" t="str">
        <f t="shared" ref="AQ253:BL253" si="256">T253/T$2</f>
        <v>#N/A</v>
      </c>
      <c r="AR253" s="29" t="str">
        <f t="shared" si="256"/>
        <v>#DIV/0!</v>
      </c>
      <c r="AS253" s="29" t="str">
        <f t="shared" si="256"/>
        <v>#DIV/0!</v>
      </c>
      <c r="AT253" s="29" t="str">
        <f t="shared" si="256"/>
        <v>#DIV/0!</v>
      </c>
      <c r="AU253" s="29" t="str">
        <f t="shared" si="256"/>
        <v>#DIV/0!</v>
      </c>
      <c r="AV253" s="29" t="str">
        <f t="shared" si="256"/>
        <v>#DIV/0!</v>
      </c>
      <c r="AW253" s="29" t="str">
        <f t="shared" si="256"/>
        <v>#DIV/0!</v>
      </c>
      <c r="AX253" s="29" t="str">
        <f t="shared" si="256"/>
        <v>#DIV/0!</v>
      </c>
      <c r="AY253" s="29" t="str">
        <f t="shared" si="256"/>
        <v>#DIV/0!</v>
      </c>
      <c r="AZ253" s="29" t="str">
        <f t="shared" si="256"/>
        <v>#DIV/0!</v>
      </c>
      <c r="BA253" s="29" t="str">
        <f t="shared" si="256"/>
        <v>#DIV/0!</v>
      </c>
      <c r="BB253" s="29" t="str">
        <f t="shared" si="256"/>
        <v>#DIV/0!</v>
      </c>
      <c r="BC253" s="29" t="str">
        <f t="shared" si="256"/>
        <v>#DIV/0!</v>
      </c>
      <c r="BD253" s="29" t="str">
        <f t="shared" si="256"/>
        <v>#DIV/0!</v>
      </c>
      <c r="BE253" s="29" t="str">
        <f t="shared" si="256"/>
        <v>#DIV/0!</v>
      </c>
      <c r="BF253" s="29" t="str">
        <f t="shared" si="256"/>
        <v>#DIV/0!</v>
      </c>
      <c r="BG253" s="29" t="str">
        <f t="shared" si="256"/>
        <v>#DIV/0!</v>
      </c>
      <c r="BH253" s="29" t="str">
        <f t="shared" si="256"/>
        <v>#DIV/0!</v>
      </c>
      <c r="BI253" s="29" t="str">
        <f t="shared" si="256"/>
        <v>#DIV/0!</v>
      </c>
      <c r="BJ253" s="29" t="str">
        <f t="shared" si="256"/>
        <v>#DIV/0!</v>
      </c>
      <c r="BK253" s="29" t="str">
        <f t="shared" si="256"/>
        <v>#DIV/0!</v>
      </c>
      <c r="BL253" s="29" t="str">
        <f t="shared" si="256"/>
        <v>#DIV/0!</v>
      </c>
      <c r="BM253" s="29" t="str">
        <f t="shared" si="3"/>
        <v>#DIV/0!</v>
      </c>
    </row>
    <row r="254">
      <c r="A254" s="16" t="str">
        <f>IFERROR(__xludf.DUMMYFUNCTION("IFERROR(SPARKLINE(SORT(MAP(TRANSPOSE(AQ254:BL254), LAMBDA(val, IF(ISNUMBER(val), PERCENTRANK(AQ254:BL254, val)+0.01, 0))), SEQUENCE(COLUMNS(AQ254:BL254)), FALSE), {""charttype"",""column""; ""color"",""chartreuse""; ""ymin"", 0; ""ymax"", 1.01; ""highcolo"&amp;"r"", ""darkgreen""; ""lowcolor"", ""red""}), """")"),"")</f>
        <v/>
      </c>
      <c r="B254" s="17" t="str">
        <f t="shared" si="4"/>
        <v/>
      </c>
      <c r="C254" s="1" t="s">
        <v>1046</v>
      </c>
      <c r="D254" s="30" t="str">
        <f>IFERROR(__xludf.DUMMYFUNCTION("IFERROR(GOOGLEFINANCE(C254, ""NAME""))"),"GameStop Corp")</f>
        <v>GameStop Corp</v>
      </c>
      <c r="E254" s="30" t="s">
        <v>184</v>
      </c>
      <c r="F254" s="33" t="str">
        <f>IFERROR(__xludf.DUMMYFUNCTION("( (GOOGLEFINANCE(C254, ""price"") - Q254) / Q254 ) / (R254 / 100)"),"Loading...")</f>
        <v>Loading...</v>
      </c>
      <c r="G254" s="20" t="str">
        <f>IFERROR(__xludf.DUMMYFUNCTION("AVERAGE(ARRAYFORMULA(100 * (QUERY(GOOGLEFINANCE(C254, ""high"", TODAY()-40, TODAY()), ""SELECT Col2 WHERE Col2 IS NOT NULL ORDER BY Col1 DESC LIMIT 20"", 0) / QUERY(GOOGLEFINANCE(C254, ""low"", TODAY()-40, TODAY()), ""SELECT Col2 WHERE Col2 IS NOT NULL OR"&amp;"DER BY Col1 DESC LIMIT 20"", 0) - 1)))"),"#N/A")</f>
        <v>#N/A</v>
      </c>
      <c r="H254" s="35" t="str">
        <f t="shared" si="6"/>
        <v/>
      </c>
      <c r="I254" s="35" t="str">
        <f t="shared" si="7"/>
        <v/>
      </c>
      <c r="J254" s="37" t="str">
        <f>IFERROR(__xludf.DUMMYFUNCTION("IFERROR(
  IF(C254="""",, 
    IFERROR(
      GOOGLEFINANCE(C254, ""price"") * GOOGLEFINANCE(C254, ""volumeavg""), 
      GOOGLEFINANCE(C254, ""price"") * AVERAGE(QUERY(GOOGLEFINANCE(C254, ""volume"", TODAY()-40, TODAY()), ""SELECT Col2 WHERE Col2 IS NOT "&amp;"NULL ORDER BY Col1 DESC LIMIT 20"", 0))
    )
  ), 
"""")"),"")</f>
        <v/>
      </c>
      <c r="K254" s="21" t="str">
        <f>IFERROR(__xludf.DUMMYFUNCTION("IFERROR(GOOGLEFINANCE(C254, ""changepct"") / 100, """")"),"")</f>
        <v/>
      </c>
      <c r="L254" s="21" t="str">
        <f>IFERROR(__xludf.DUMMYFUNCTION("IFERROR((GOOGLEFINANCE(C254, ""price"") / INDEX(GOOGLEFINANCE(C254, ""price"", TODAY()-7, TODAY()), 2, 2)) - 1, """")"),"")</f>
        <v/>
      </c>
      <c r="M254" s="21" t="str">
        <f>IFERROR(__xludf.DUMMYFUNCTION("IFERROR((GOOGLEFINANCE(C254, ""price"") / INDEX(GOOGLEFINANCE(C254, ""price"", EDATE(TODAY(), -1), TODAY()), 2, 2)) - 1, """")"),"")</f>
        <v/>
      </c>
      <c r="N254" s="21" t="str">
        <f>IFERROR(__xludf.DUMMYFUNCTION("IFERROR((GOOGLEFINANCE(C254, ""price"") / INDEX(GOOGLEFINANCE(C254, ""price"", EDATE(TODAY(), -3), TODAY()), 2, 2)) - 1, """")"),"")</f>
        <v/>
      </c>
      <c r="O254" s="21" t="str">
        <f>IFERROR(__xludf.DUMMYFUNCTION("IFERROR((GOOGLEFINANCE(C254, ""price"") / INDEX(GOOGLEFINANCE(C254, ""price"", EDATE(TODAY(), -6), TODAY()), 2, 2)) - 1, """")"),"")</f>
        <v/>
      </c>
      <c r="P254" s="21" t="str">
        <f>IFERROR(__xludf.DUMMYFUNCTION("IFERROR((GOOGLEFINANCE(C254, ""price"") / INDEX(GOOGLEFINANCE(C254, ""price"", EDATE(TODAY(), -12), TODAY()), 2, 2)) - 1, """")"),"")</f>
        <v/>
      </c>
      <c r="Q254" s="6" t="str">
        <f>IFERROR(__xludf.DUMMYFUNCTION("AVERAGE(QUERY(GOOGLEFINANCE(C254, ""price"", TODAY()-80, TODAY()), ""SELECT Col2 WHERE Col2 IS NOT NULL ORDER BY Col1 DESC LIMIT 50"", 0))"),"#N/A")</f>
        <v>#N/A</v>
      </c>
      <c r="R254" s="24" t="str">
        <f>IFERROR(__xludf.DUMMYFUNCTION("IFERROR(
  LET(
    data, QUERY(GOOGLEFINANCE(C254,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GOOGLEFINANCE(C254, ""price"")) * 100,
    IF(calc=0, G254, calc)
  ), 
G254)"),"#N/A")</f>
        <v>#N/A</v>
      </c>
      <c r="S254" s="8" t="s">
        <v>15</v>
      </c>
      <c r="T254" s="26" t="str">
        <f>IFERROR(__xludf.DUMMYFUNCTION("IFERROR(TRANSPOSE(QUERY(IFERROR(SORT(GOOGLEFINANCE(C254, ""price"", WORKDAY(TODAY(), -40), TODAY()), 1, FALSE)), ""select Col2 where Col2 is not null limit 22 label Col2 ''"", 0)), """")"),"")</f>
        <v/>
      </c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8"/>
      <c r="AO254" s="28"/>
      <c r="AP254" s="29"/>
      <c r="AQ254" s="29" t="str">
        <f t="shared" ref="AQ254:BL254" si="257">T254/T$2</f>
        <v>#N/A</v>
      </c>
      <c r="AR254" s="29" t="str">
        <f t="shared" si="257"/>
        <v>#DIV/0!</v>
      </c>
      <c r="AS254" s="29" t="str">
        <f t="shared" si="257"/>
        <v>#DIV/0!</v>
      </c>
      <c r="AT254" s="29" t="str">
        <f t="shared" si="257"/>
        <v>#DIV/0!</v>
      </c>
      <c r="AU254" s="29" t="str">
        <f t="shared" si="257"/>
        <v>#DIV/0!</v>
      </c>
      <c r="AV254" s="29" t="str">
        <f t="shared" si="257"/>
        <v>#DIV/0!</v>
      </c>
      <c r="AW254" s="29" t="str">
        <f t="shared" si="257"/>
        <v>#DIV/0!</v>
      </c>
      <c r="AX254" s="29" t="str">
        <f t="shared" si="257"/>
        <v>#DIV/0!</v>
      </c>
      <c r="AY254" s="29" t="str">
        <f t="shared" si="257"/>
        <v>#DIV/0!</v>
      </c>
      <c r="AZ254" s="29" t="str">
        <f t="shared" si="257"/>
        <v>#DIV/0!</v>
      </c>
      <c r="BA254" s="29" t="str">
        <f t="shared" si="257"/>
        <v>#DIV/0!</v>
      </c>
      <c r="BB254" s="29" t="str">
        <f t="shared" si="257"/>
        <v>#DIV/0!</v>
      </c>
      <c r="BC254" s="29" t="str">
        <f t="shared" si="257"/>
        <v>#DIV/0!</v>
      </c>
      <c r="BD254" s="29" t="str">
        <f t="shared" si="257"/>
        <v>#DIV/0!</v>
      </c>
      <c r="BE254" s="29" t="str">
        <f t="shared" si="257"/>
        <v>#DIV/0!</v>
      </c>
      <c r="BF254" s="29" t="str">
        <f t="shared" si="257"/>
        <v>#DIV/0!</v>
      </c>
      <c r="BG254" s="29" t="str">
        <f t="shared" si="257"/>
        <v>#DIV/0!</v>
      </c>
      <c r="BH254" s="29" t="str">
        <f t="shared" si="257"/>
        <v>#DIV/0!</v>
      </c>
      <c r="BI254" s="29" t="str">
        <f t="shared" si="257"/>
        <v>#DIV/0!</v>
      </c>
      <c r="BJ254" s="29" t="str">
        <f t="shared" si="257"/>
        <v>#DIV/0!</v>
      </c>
      <c r="BK254" s="29" t="str">
        <f t="shared" si="257"/>
        <v>#DIV/0!</v>
      </c>
      <c r="BL254" s="29" t="str">
        <f t="shared" si="257"/>
        <v>#DIV/0!</v>
      </c>
      <c r="BM254" s="29" t="str">
        <f t="shared" si="3"/>
        <v>#DIV/0!</v>
      </c>
    </row>
    <row r="255">
      <c r="A255" s="16" t="str">
        <f>IFERROR(__xludf.DUMMYFUNCTION("IFERROR(SPARKLINE(SORT(MAP(TRANSPOSE(AQ255:BL255), LAMBDA(val, IF(ISNUMBER(val), PERCENTRANK(AQ255:BL255, val)+0.01, 0))), SEQUENCE(COLUMNS(AQ255:BL255)), FALSE), {""charttype"",""column""; ""color"",""chartreuse""; ""ymin"", 0; ""ymax"", 1.01; ""highcolo"&amp;"r"", ""darkgreen""; ""lowcolor"", ""red""}), """")"),"")</f>
        <v/>
      </c>
      <c r="B255" s="17" t="str">
        <f t="shared" si="4"/>
        <v/>
      </c>
      <c r="C255" s="1" t="s">
        <v>1051</v>
      </c>
      <c r="D255" s="30" t="str">
        <f>IFERROR(__xludf.DUMMYFUNCTION("IFERROR(GOOGLEFINANCE(C255, ""NAME""))"),"Crocs Inc")</f>
        <v>Crocs Inc</v>
      </c>
      <c r="E255" s="30" t="s">
        <v>411</v>
      </c>
      <c r="F255" s="33" t="str">
        <f>IFERROR(__xludf.DUMMYFUNCTION("( (GOOGLEFINANCE(C255, ""price"") - Q255) / Q255 ) / (R255 / 100)"),"Loading...")</f>
        <v>Loading...</v>
      </c>
      <c r="G255" s="20" t="str">
        <f>IFERROR(__xludf.DUMMYFUNCTION("AVERAGE(ARRAYFORMULA(100 * (QUERY(GOOGLEFINANCE(C255, ""high"", TODAY()-40, TODAY()), ""SELECT Col2 WHERE Col2 IS NOT NULL ORDER BY Col1 DESC LIMIT 20"", 0) / QUERY(GOOGLEFINANCE(C255, ""low"", TODAY()-40, TODAY()), ""SELECT Col2 WHERE Col2 IS NOT NULL OR"&amp;"DER BY Col1 DESC LIMIT 20"", 0) - 1)))"),"#N/A")</f>
        <v>#N/A</v>
      </c>
      <c r="H255" s="35" t="str">
        <f t="shared" si="6"/>
        <v/>
      </c>
      <c r="I255" s="35" t="str">
        <f t="shared" si="7"/>
        <v/>
      </c>
      <c r="J255" s="37" t="str">
        <f>IFERROR(__xludf.DUMMYFUNCTION("IFERROR(
  IF(C255="""",, 
    IFERROR(
      GOOGLEFINANCE(C255, ""price"") * GOOGLEFINANCE(C255, ""volumeavg""), 
      GOOGLEFINANCE(C255, ""price"") * AVERAGE(QUERY(GOOGLEFINANCE(C255, ""volume"", TODAY()-40, TODAY()), ""SELECT Col2 WHERE Col2 IS NOT "&amp;"NULL ORDER BY Col1 DESC LIMIT 20"", 0))
    )
  ), 
"""")"),"")</f>
        <v/>
      </c>
      <c r="K255" s="21" t="str">
        <f>IFERROR(__xludf.DUMMYFUNCTION("IFERROR(GOOGLEFINANCE(C255, ""changepct"") / 100, """")"),"")</f>
        <v/>
      </c>
      <c r="L255" s="21" t="str">
        <f>IFERROR(__xludf.DUMMYFUNCTION("IFERROR((GOOGLEFINANCE(C255, ""price"") / INDEX(GOOGLEFINANCE(C255, ""price"", TODAY()-7, TODAY()), 2, 2)) - 1, """")"),"")</f>
        <v/>
      </c>
      <c r="M255" s="21" t="str">
        <f>IFERROR(__xludf.DUMMYFUNCTION("IFERROR((GOOGLEFINANCE(C255, ""price"") / INDEX(GOOGLEFINANCE(C255, ""price"", EDATE(TODAY(), -1), TODAY()), 2, 2)) - 1, """")"),"")</f>
        <v/>
      </c>
      <c r="N255" s="21" t="str">
        <f>IFERROR(__xludf.DUMMYFUNCTION("IFERROR((GOOGLEFINANCE(C255, ""price"") / INDEX(GOOGLEFINANCE(C255, ""price"", EDATE(TODAY(), -3), TODAY()), 2, 2)) - 1, """")"),"")</f>
        <v/>
      </c>
      <c r="O255" s="21" t="str">
        <f>IFERROR(__xludf.DUMMYFUNCTION("IFERROR((GOOGLEFINANCE(C255, ""price"") / INDEX(GOOGLEFINANCE(C255, ""price"", EDATE(TODAY(), -6), TODAY()), 2, 2)) - 1, """")"),"")</f>
        <v/>
      </c>
      <c r="P255" s="21" t="str">
        <f>IFERROR(__xludf.DUMMYFUNCTION("IFERROR((GOOGLEFINANCE(C255, ""price"") / INDEX(GOOGLEFINANCE(C255, ""price"", EDATE(TODAY(), -12), TODAY()), 2, 2)) - 1, """")"),"")</f>
        <v/>
      </c>
      <c r="Q255" s="6" t="str">
        <f>IFERROR(__xludf.DUMMYFUNCTION("AVERAGE(QUERY(GOOGLEFINANCE(C255, ""price"", TODAY()-80, TODAY()), ""SELECT Col2 WHERE Col2 IS NOT NULL ORDER BY Col1 DESC LIMIT 50"", 0))"),"#N/A")</f>
        <v>#N/A</v>
      </c>
      <c r="R255" s="24" t="str">
        <f>IFERROR(__xludf.DUMMYFUNCTION("IFERROR(
  LET(
    data, QUERY(GOOGLEFINANCE(C255,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GOOGLEFINANCE(C255, ""price"")) * 100,
    IF(calc=0, G255, calc)
  ), 
G255)"),"#N/A")</f>
        <v>#N/A</v>
      </c>
      <c r="S255" s="8" t="s">
        <v>15</v>
      </c>
      <c r="T255" s="26" t="str">
        <f>IFERROR(__xludf.DUMMYFUNCTION("IFERROR(TRANSPOSE(QUERY(IFERROR(SORT(GOOGLEFINANCE(C255, ""price"", WORKDAY(TODAY(), -40), TODAY()), 1, FALSE)), ""select Col2 where Col2 is not null limit 22 label Col2 ''"", 0)), """")"),"")</f>
        <v/>
      </c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8"/>
      <c r="AO255" s="28"/>
      <c r="AP255" s="29"/>
      <c r="AQ255" s="29" t="str">
        <f t="shared" ref="AQ255:BL255" si="258">T255/T$2</f>
        <v>#N/A</v>
      </c>
      <c r="AR255" s="29" t="str">
        <f t="shared" si="258"/>
        <v>#DIV/0!</v>
      </c>
      <c r="AS255" s="29" t="str">
        <f t="shared" si="258"/>
        <v>#DIV/0!</v>
      </c>
      <c r="AT255" s="29" t="str">
        <f t="shared" si="258"/>
        <v>#DIV/0!</v>
      </c>
      <c r="AU255" s="29" t="str">
        <f t="shared" si="258"/>
        <v>#DIV/0!</v>
      </c>
      <c r="AV255" s="29" t="str">
        <f t="shared" si="258"/>
        <v>#DIV/0!</v>
      </c>
      <c r="AW255" s="29" t="str">
        <f t="shared" si="258"/>
        <v>#DIV/0!</v>
      </c>
      <c r="AX255" s="29" t="str">
        <f t="shared" si="258"/>
        <v>#DIV/0!</v>
      </c>
      <c r="AY255" s="29" t="str">
        <f t="shared" si="258"/>
        <v>#DIV/0!</v>
      </c>
      <c r="AZ255" s="29" t="str">
        <f t="shared" si="258"/>
        <v>#DIV/0!</v>
      </c>
      <c r="BA255" s="29" t="str">
        <f t="shared" si="258"/>
        <v>#DIV/0!</v>
      </c>
      <c r="BB255" s="29" t="str">
        <f t="shared" si="258"/>
        <v>#DIV/0!</v>
      </c>
      <c r="BC255" s="29" t="str">
        <f t="shared" si="258"/>
        <v>#DIV/0!</v>
      </c>
      <c r="BD255" s="29" t="str">
        <f t="shared" si="258"/>
        <v>#DIV/0!</v>
      </c>
      <c r="BE255" s="29" t="str">
        <f t="shared" si="258"/>
        <v>#DIV/0!</v>
      </c>
      <c r="BF255" s="29" t="str">
        <f t="shared" si="258"/>
        <v>#DIV/0!</v>
      </c>
      <c r="BG255" s="29" t="str">
        <f t="shared" si="258"/>
        <v>#DIV/0!</v>
      </c>
      <c r="BH255" s="29" t="str">
        <f t="shared" si="258"/>
        <v>#DIV/0!</v>
      </c>
      <c r="BI255" s="29" t="str">
        <f t="shared" si="258"/>
        <v>#DIV/0!</v>
      </c>
      <c r="BJ255" s="29" t="str">
        <f t="shared" si="258"/>
        <v>#DIV/0!</v>
      </c>
      <c r="BK255" s="29" t="str">
        <f t="shared" si="258"/>
        <v>#DIV/0!</v>
      </c>
      <c r="BL255" s="29" t="str">
        <f t="shared" si="258"/>
        <v>#DIV/0!</v>
      </c>
      <c r="BM255" s="29" t="str">
        <f t="shared" si="3"/>
        <v>#DIV/0!</v>
      </c>
    </row>
    <row r="256">
      <c r="A256" s="16" t="str">
        <f>IFERROR(__xludf.DUMMYFUNCTION("IFERROR(SPARKLINE(SORT(MAP(TRANSPOSE(AQ256:BL256), LAMBDA(val, IF(ISNUMBER(val), PERCENTRANK(AQ256:BL256, val)+0.01, 0))), SEQUENCE(COLUMNS(AQ256:BL256)), FALSE), {""charttype"",""column""; ""color"",""chartreuse""; ""ymin"", 0; ""ymax"", 1.01; ""highcolo"&amp;"r"", ""darkgreen""; ""lowcolor"", ""red""}), """")"),"")</f>
        <v/>
      </c>
      <c r="B256" s="17" t="str">
        <f t="shared" si="4"/>
        <v/>
      </c>
      <c r="C256" s="1" t="s">
        <v>1056</v>
      </c>
      <c r="D256" s="30" t="str">
        <f>IFERROR(__xludf.DUMMYFUNCTION("IFERROR(GOOGLEFINANCE(C256, ""NAME""))"),"Hesai Group - ADR")</f>
        <v>Hesai Group - ADR</v>
      </c>
      <c r="E256" s="30" t="s">
        <v>109</v>
      </c>
      <c r="F256" s="33" t="str">
        <f>IFERROR(__xludf.DUMMYFUNCTION("( (GOOGLEFINANCE(C256, ""price"") - Q256) / Q256 ) / (R256 / 100)"),"Loading...")</f>
        <v>Loading...</v>
      </c>
      <c r="G256" s="20" t="str">
        <f>IFERROR(__xludf.DUMMYFUNCTION("AVERAGE(ARRAYFORMULA(100 * (QUERY(GOOGLEFINANCE(C256, ""high"", TODAY()-40, TODAY()), ""SELECT Col2 WHERE Col2 IS NOT NULL ORDER BY Col1 DESC LIMIT 20"", 0) / QUERY(GOOGLEFINANCE(C256, ""low"", TODAY()-40, TODAY()), ""SELECT Col2 WHERE Col2 IS NOT NULL OR"&amp;"DER BY Col1 DESC LIMIT 20"", 0) - 1)))"),"#N/A")</f>
        <v>#N/A</v>
      </c>
      <c r="H256" s="35" t="str">
        <f t="shared" si="6"/>
        <v/>
      </c>
      <c r="I256" s="35" t="str">
        <f t="shared" si="7"/>
        <v/>
      </c>
      <c r="J256" s="37" t="str">
        <f>IFERROR(__xludf.DUMMYFUNCTION("IFERROR(
  IF(C256="""",, 
    IFERROR(
      GOOGLEFINANCE(C256, ""price"") * GOOGLEFINANCE(C256, ""volumeavg""), 
      GOOGLEFINANCE(C256, ""price"") * AVERAGE(QUERY(GOOGLEFINANCE(C256, ""volume"", TODAY()-40, TODAY()), ""SELECT Col2 WHERE Col2 IS NOT "&amp;"NULL ORDER BY Col1 DESC LIMIT 20"", 0))
    )
  ), 
"""")"),"")</f>
        <v/>
      </c>
      <c r="K256" s="21" t="str">
        <f>IFERROR(__xludf.DUMMYFUNCTION("IFERROR(GOOGLEFINANCE(C256, ""changepct"") / 100, """")"),"")</f>
        <v/>
      </c>
      <c r="L256" s="21" t="str">
        <f>IFERROR(__xludf.DUMMYFUNCTION("IFERROR((GOOGLEFINANCE(C256, ""price"") / INDEX(GOOGLEFINANCE(C256, ""price"", TODAY()-7, TODAY()), 2, 2)) - 1, """")"),"")</f>
        <v/>
      </c>
      <c r="M256" s="21" t="str">
        <f>IFERROR(__xludf.DUMMYFUNCTION("IFERROR((GOOGLEFINANCE(C256, ""price"") / INDEX(GOOGLEFINANCE(C256, ""price"", EDATE(TODAY(), -1), TODAY()), 2, 2)) - 1, """")"),"")</f>
        <v/>
      </c>
      <c r="N256" s="21" t="str">
        <f>IFERROR(__xludf.DUMMYFUNCTION("IFERROR((GOOGLEFINANCE(C256, ""price"") / INDEX(GOOGLEFINANCE(C256, ""price"", EDATE(TODAY(), -3), TODAY()), 2, 2)) - 1, """")"),"")</f>
        <v/>
      </c>
      <c r="O256" s="21" t="str">
        <f>IFERROR(__xludf.DUMMYFUNCTION("IFERROR((GOOGLEFINANCE(C256, ""price"") / INDEX(GOOGLEFINANCE(C256, ""price"", EDATE(TODAY(), -6), TODAY()), 2, 2)) - 1, """")"),"")</f>
        <v/>
      </c>
      <c r="P256" s="21" t="str">
        <f>IFERROR(__xludf.DUMMYFUNCTION("IFERROR((GOOGLEFINANCE(C256, ""price"") / INDEX(GOOGLEFINANCE(C256, ""price"", EDATE(TODAY(), -12), TODAY()), 2, 2)) - 1, """")"),"")</f>
        <v/>
      </c>
      <c r="Q256" s="6" t="str">
        <f>IFERROR(__xludf.DUMMYFUNCTION("AVERAGE(QUERY(GOOGLEFINANCE(C256, ""price"", TODAY()-80, TODAY()), ""SELECT Col2 WHERE Col2 IS NOT NULL ORDER BY Col1 DESC LIMIT 50"", 0))"),"#N/A")</f>
        <v>#N/A</v>
      </c>
      <c r="R256" s="24" t="str">
        <f>IFERROR(__xludf.DUMMYFUNCTION("IFERROR(
  LET(
    data, QUERY(GOOGLEFINANCE(C256,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GOOGLEFINANCE(C256, ""price"")) * 100,
    IF(calc=0, G256, calc)
  ), 
G256)"),"#N/A")</f>
        <v>#N/A</v>
      </c>
      <c r="S256" s="8" t="s">
        <v>15</v>
      </c>
      <c r="T256" s="26" t="str">
        <f>IFERROR(__xludf.DUMMYFUNCTION("IFERROR(TRANSPOSE(QUERY(IFERROR(SORT(GOOGLEFINANCE(C256, ""price"", WORKDAY(TODAY(), -40), TODAY()), 1, FALSE)), ""select Col2 where Col2 is not null limit 22 label Col2 ''"", 0)), """")"),"")</f>
        <v/>
      </c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8"/>
      <c r="AO256" s="28"/>
      <c r="AP256" s="29"/>
      <c r="AQ256" s="29" t="str">
        <f t="shared" ref="AQ256:BL256" si="259">T256/T$2</f>
        <v>#N/A</v>
      </c>
      <c r="AR256" s="29" t="str">
        <f t="shared" si="259"/>
        <v>#DIV/0!</v>
      </c>
      <c r="AS256" s="29" t="str">
        <f t="shared" si="259"/>
        <v>#DIV/0!</v>
      </c>
      <c r="AT256" s="29" t="str">
        <f t="shared" si="259"/>
        <v>#DIV/0!</v>
      </c>
      <c r="AU256" s="29" t="str">
        <f t="shared" si="259"/>
        <v>#DIV/0!</v>
      </c>
      <c r="AV256" s="29" t="str">
        <f t="shared" si="259"/>
        <v>#DIV/0!</v>
      </c>
      <c r="AW256" s="29" t="str">
        <f t="shared" si="259"/>
        <v>#DIV/0!</v>
      </c>
      <c r="AX256" s="29" t="str">
        <f t="shared" si="259"/>
        <v>#DIV/0!</v>
      </c>
      <c r="AY256" s="29" t="str">
        <f t="shared" si="259"/>
        <v>#DIV/0!</v>
      </c>
      <c r="AZ256" s="29" t="str">
        <f t="shared" si="259"/>
        <v>#DIV/0!</v>
      </c>
      <c r="BA256" s="29" t="str">
        <f t="shared" si="259"/>
        <v>#DIV/0!</v>
      </c>
      <c r="BB256" s="29" t="str">
        <f t="shared" si="259"/>
        <v>#DIV/0!</v>
      </c>
      <c r="BC256" s="29" t="str">
        <f t="shared" si="259"/>
        <v>#DIV/0!</v>
      </c>
      <c r="BD256" s="29" t="str">
        <f t="shared" si="259"/>
        <v>#DIV/0!</v>
      </c>
      <c r="BE256" s="29" t="str">
        <f t="shared" si="259"/>
        <v>#DIV/0!</v>
      </c>
      <c r="BF256" s="29" t="str">
        <f t="shared" si="259"/>
        <v>#DIV/0!</v>
      </c>
      <c r="BG256" s="29" t="str">
        <f t="shared" si="259"/>
        <v>#DIV/0!</v>
      </c>
      <c r="BH256" s="29" t="str">
        <f t="shared" si="259"/>
        <v>#DIV/0!</v>
      </c>
      <c r="BI256" s="29" t="str">
        <f t="shared" si="259"/>
        <v>#DIV/0!</v>
      </c>
      <c r="BJ256" s="29" t="str">
        <f t="shared" si="259"/>
        <v>#DIV/0!</v>
      </c>
      <c r="BK256" s="29" t="str">
        <f t="shared" si="259"/>
        <v>#DIV/0!</v>
      </c>
      <c r="BL256" s="29" t="str">
        <f t="shared" si="259"/>
        <v>#DIV/0!</v>
      </c>
      <c r="BM256" s="29" t="str">
        <f t="shared" si="3"/>
        <v>#DIV/0!</v>
      </c>
    </row>
    <row r="257">
      <c r="A257" s="16" t="str">
        <f>IFERROR(__xludf.DUMMYFUNCTION("IFERROR(SPARKLINE(SORT(MAP(TRANSPOSE(AQ257:BL257), LAMBDA(val, IF(ISNUMBER(val), PERCENTRANK(AQ257:BL257, val)+0.01, 0))), SEQUENCE(COLUMNS(AQ257:BL257)), FALSE), {""charttype"",""column""; ""color"",""chartreuse""; ""ymin"", 0; ""ymax"", 1.01; ""highcolo"&amp;"r"", ""darkgreen""; ""lowcolor"", ""red""}), """")"),"")</f>
        <v/>
      </c>
      <c r="B257" s="17" t="str">
        <f t="shared" si="4"/>
        <v/>
      </c>
      <c r="C257" s="1" t="s">
        <v>1063</v>
      </c>
      <c r="D257" s="30" t="str">
        <f>IFERROR(__xludf.DUMMYFUNCTION("IFERROR(GOOGLEFINANCE(C257, ""NAME""))"),"Hilton Hotels Corporation Common Stock")</f>
        <v>Hilton Hotels Corporation Common Stock</v>
      </c>
      <c r="E257" s="30" t="s">
        <v>258</v>
      </c>
      <c r="F257" s="33" t="str">
        <f>IFERROR(__xludf.DUMMYFUNCTION("( (GOOGLEFINANCE(C257, ""price"") - Q257) / Q257 ) / (R257 / 100)"),"Loading...")</f>
        <v>Loading...</v>
      </c>
      <c r="G257" s="20" t="str">
        <f>IFERROR(__xludf.DUMMYFUNCTION("AVERAGE(ARRAYFORMULA(100 * (QUERY(GOOGLEFINANCE(C257, ""high"", TODAY()-40, TODAY()), ""SELECT Col2 WHERE Col2 IS NOT NULL ORDER BY Col1 DESC LIMIT 20"", 0) / QUERY(GOOGLEFINANCE(C257, ""low"", TODAY()-40, TODAY()), ""SELECT Col2 WHERE Col2 IS NOT NULL OR"&amp;"DER BY Col1 DESC LIMIT 20"", 0) - 1)))"),"#N/A")</f>
        <v>#N/A</v>
      </c>
      <c r="H257" s="35" t="str">
        <f t="shared" si="6"/>
        <v/>
      </c>
      <c r="I257" s="35" t="str">
        <f t="shared" si="7"/>
        <v/>
      </c>
      <c r="J257" s="37" t="str">
        <f>IFERROR(__xludf.DUMMYFUNCTION("IFERROR(
  IF(C257="""",, 
    IFERROR(
      GOOGLEFINANCE(C257, ""price"") * GOOGLEFINANCE(C257, ""volumeavg""), 
      GOOGLEFINANCE(C257, ""price"") * AVERAGE(QUERY(GOOGLEFINANCE(C257, ""volume"", TODAY()-40, TODAY()), ""SELECT Col2 WHERE Col2 IS NOT "&amp;"NULL ORDER BY Col1 DESC LIMIT 20"", 0))
    )
  ), 
"""")"),"")</f>
        <v/>
      </c>
      <c r="K257" s="21" t="str">
        <f>IFERROR(__xludf.DUMMYFUNCTION("IFERROR(GOOGLEFINANCE(C257, ""changepct"") / 100, """")"),"")</f>
        <v/>
      </c>
      <c r="L257" s="21" t="str">
        <f>IFERROR(__xludf.DUMMYFUNCTION("IFERROR((GOOGLEFINANCE(C257, ""price"") / INDEX(GOOGLEFINANCE(C257, ""price"", TODAY()-7, TODAY()), 2, 2)) - 1, """")"),"")</f>
        <v/>
      </c>
      <c r="M257" s="21" t="str">
        <f>IFERROR(__xludf.DUMMYFUNCTION("IFERROR((GOOGLEFINANCE(C257, ""price"") / INDEX(GOOGLEFINANCE(C257, ""price"", EDATE(TODAY(), -1), TODAY()), 2, 2)) - 1, """")"),"")</f>
        <v/>
      </c>
      <c r="N257" s="21" t="str">
        <f>IFERROR(__xludf.DUMMYFUNCTION("IFERROR((GOOGLEFINANCE(C257, ""price"") / INDEX(GOOGLEFINANCE(C257, ""price"", EDATE(TODAY(), -3), TODAY()), 2, 2)) - 1, """")"),"")</f>
        <v/>
      </c>
      <c r="O257" s="21" t="str">
        <f>IFERROR(__xludf.DUMMYFUNCTION("IFERROR((GOOGLEFINANCE(C257, ""price"") / INDEX(GOOGLEFINANCE(C257, ""price"", EDATE(TODAY(), -6), TODAY()), 2, 2)) - 1, """")"),"")</f>
        <v/>
      </c>
      <c r="P257" s="21" t="str">
        <f>IFERROR(__xludf.DUMMYFUNCTION("IFERROR((GOOGLEFINANCE(C257, ""price"") / INDEX(GOOGLEFINANCE(C257, ""price"", EDATE(TODAY(), -12), TODAY()), 2, 2)) - 1, """")"),"")</f>
        <v/>
      </c>
      <c r="Q257" s="6" t="str">
        <f>IFERROR(__xludf.DUMMYFUNCTION("AVERAGE(QUERY(GOOGLEFINANCE(C257, ""price"", TODAY()-80, TODAY()), ""SELECT Col2 WHERE Col2 IS NOT NULL ORDER BY Col1 DESC LIMIT 50"", 0))"),"#N/A")</f>
        <v>#N/A</v>
      </c>
      <c r="R257" s="24" t="str">
        <f>IFERROR(__xludf.DUMMYFUNCTION("IFERROR(
  LET(
    data, QUERY(GOOGLEFINANCE(C257,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GOOGLEFINANCE(C257, ""price"")) * 100,
    IF(calc=0, G257, calc)
  ), 
G257)"),"#N/A")</f>
        <v>#N/A</v>
      </c>
      <c r="S257" s="8" t="s">
        <v>15</v>
      </c>
      <c r="T257" s="26" t="str">
        <f>IFERROR(__xludf.DUMMYFUNCTION("IFERROR(TRANSPOSE(QUERY(IFERROR(SORT(GOOGLEFINANCE(C257, ""price"", WORKDAY(TODAY(), -40), TODAY()), 1, FALSE)), ""select Col2 where Col2 is not null limit 22 label Col2 ''"", 0)), """")"),"")</f>
        <v/>
      </c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8"/>
      <c r="AO257" s="28"/>
      <c r="AP257" s="29"/>
      <c r="AQ257" s="29" t="str">
        <f t="shared" ref="AQ257:BL257" si="260">T257/T$2</f>
        <v>#N/A</v>
      </c>
      <c r="AR257" s="29" t="str">
        <f t="shared" si="260"/>
        <v>#DIV/0!</v>
      </c>
      <c r="AS257" s="29" t="str">
        <f t="shared" si="260"/>
        <v>#DIV/0!</v>
      </c>
      <c r="AT257" s="29" t="str">
        <f t="shared" si="260"/>
        <v>#DIV/0!</v>
      </c>
      <c r="AU257" s="29" t="str">
        <f t="shared" si="260"/>
        <v>#DIV/0!</v>
      </c>
      <c r="AV257" s="29" t="str">
        <f t="shared" si="260"/>
        <v>#DIV/0!</v>
      </c>
      <c r="AW257" s="29" t="str">
        <f t="shared" si="260"/>
        <v>#DIV/0!</v>
      </c>
      <c r="AX257" s="29" t="str">
        <f t="shared" si="260"/>
        <v>#DIV/0!</v>
      </c>
      <c r="AY257" s="29" t="str">
        <f t="shared" si="260"/>
        <v>#DIV/0!</v>
      </c>
      <c r="AZ257" s="29" t="str">
        <f t="shared" si="260"/>
        <v>#DIV/0!</v>
      </c>
      <c r="BA257" s="29" t="str">
        <f t="shared" si="260"/>
        <v>#DIV/0!</v>
      </c>
      <c r="BB257" s="29" t="str">
        <f t="shared" si="260"/>
        <v>#DIV/0!</v>
      </c>
      <c r="BC257" s="29" t="str">
        <f t="shared" si="260"/>
        <v>#DIV/0!</v>
      </c>
      <c r="BD257" s="29" t="str">
        <f t="shared" si="260"/>
        <v>#DIV/0!</v>
      </c>
      <c r="BE257" s="29" t="str">
        <f t="shared" si="260"/>
        <v>#DIV/0!</v>
      </c>
      <c r="BF257" s="29" t="str">
        <f t="shared" si="260"/>
        <v>#DIV/0!</v>
      </c>
      <c r="BG257" s="29" t="str">
        <f t="shared" si="260"/>
        <v>#DIV/0!</v>
      </c>
      <c r="BH257" s="29" t="str">
        <f t="shared" si="260"/>
        <v>#DIV/0!</v>
      </c>
      <c r="BI257" s="29" t="str">
        <f t="shared" si="260"/>
        <v>#DIV/0!</v>
      </c>
      <c r="BJ257" s="29" t="str">
        <f t="shared" si="260"/>
        <v>#DIV/0!</v>
      </c>
      <c r="BK257" s="29" t="str">
        <f t="shared" si="260"/>
        <v>#DIV/0!</v>
      </c>
      <c r="BL257" s="29" t="str">
        <f t="shared" si="260"/>
        <v>#DIV/0!</v>
      </c>
      <c r="BM257" s="29" t="str">
        <f t="shared" si="3"/>
        <v>#DIV/0!</v>
      </c>
    </row>
    <row r="258">
      <c r="A258" s="16" t="str">
        <f>IFERROR(__xludf.DUMMYFUNCTION("IFERROR(SPARKLINE(SORT(MAP(TRANSPOSE(AQ258:BL258), LAMBDA(val, IF(ISNUMBER(val), PERCENTRANK(AQ258:BL258, val)+0.01, 0))), SEQUENCE(COLUMNS(AQ258:BL258)), FALSE), {""charttype"",""column""; ""color"",""chartreuse""; ""ymin"", 0; ""ymax"", 1.01; ""highcolo"&amp;"r"", ""darkgreen""; ""lowcolor"", ""red""}), """")"),"")</f>
        <v/>
      </c>
      <c r="B258" s="17" t="str">
        <f t="shared" si="4"/>
        <v/>
      </c>
      <c r="C258" s="1" t="s">
        <v>1067</v>
      </c>
      <c r="D258" s="30" t="str">
        <f>IFERROR(__xludf.DUMMYFUNCTION("IFERROR(GOOGLEFINANCE(C258, ""NAME""))"),"Cavco Industries Inc")</f>
        <v>Cavco Industries Inc</v>
      </c>
      <c r="E258" s="30" t="s">
        <v>261</v>
      </c>
      <c r="F258" s="33" t="str">
        <f>IFERROR(__xludf.DUMMYFUNCTION("( (GOOGLEFINANCE(C258, ""price"") - Q258) / Q258 ) / (R258 / 100)"),"Loading...")</f>
        <v>Loading...</v>
      </c>
      <c r="G258" s="20" t="str">
        <f>IFERROR(__xludf.DUMMYFUNCTION("AVERAGE(ARRAYFORMULA(100 * (QUERY(GOOGLEFINANCE(C258, ""high"", TODAY()-40, TODAY()), ""SELECT Col2 WHERE Col2 IS NOT NULL ORDER BY Col1 DESC LIMIT 20"", 0) / QUERY(GOOGLEFINANCE(C258, ""low"", TODAY()-40, TODAY()), ""SELECT Col2 WHERE Col2 IS NOT NULL OR"&amp;"DER BY Col1 DESC LIMIT 20"", 0) - 1)))"),"#N/A")</f>
        <v>#N/A</v>
      </c>
      <c r="H258" s="35" t="str">
        <f t="shared" si="6"/>
        <v/>
      </c>
      <c r="I258" s="35" t="str">
        <f t="shared" si="7"/>
        <v/>
      </c>
      <c r="J258" s="37" t="str">
        <f>IFERROR(__xludf.DUMMYFUNCTION("IFERROR(
  IF(C258="""",, 
    IFERROR(
      GOOGLEFINANCE(C258, ""price"") * GOOGLEFINANCE(C258, ""volumeavg""), 
      GOOGLEFINANCE(C258, ""price"") * AVERAGE(QUERY(GOOGLEFINANCE(C258, ""volume"", TODAY()-40, TODAY()), ""SELECT Col2 WHERE Col2 IS NOT "&amp;"NULL ORDER BY Col1 DESC LIMIT 20"", 0))
    )
  ), 
"""")"),"")</f>
        <v/>
      </c>
      <c r="K258" s="21" t="str">
        <f>IFERROR(__xludf.DUMMYFUNCTION("IFERROR(GOOGLEFINANCE(C258, ""changepct"") / 100, """")"),"")</f>
        <v/>
      </c>
      <c r="L258" s="21" t="str">
        <f>IFERROR(__xludf.DUMMYFUNCTION("IFERROR((GOOGLEFINANCE(C258, ""price"") / INDEX(GOOGLEFINANCE(C258, ""price"", TODAY()-7, TODAY()), 2, 2)) - 1, """")"),"")</f>
        <v/>
      </c>
      <c r="M258" s="21" t="str">
        <f>IFERROR(__xludf.DUMMYFUNCTION("IFERROR((GOOGLEFINANCE(C258, ""price"") / INDEX(GOOGLEFINANCE(C258, ""price"", EDATE(TODAY(), -1), TODAY()), 2, 2)) - 1, """")"),"")</f>
        <v/>
      </c>
      <c r="N258" s="21" t="str">
        <f>IFERROR(__xludf.DUMMYFUNCTION("IFERROR((GOOGLEFINANCE(C258, ""price"") / INDEX(GOOGLEFINANCE(C258, ""price"", EDATE(TODAY(), -3), TODAY()), 2, 2)) - 1, """")"),"")</f>
        <v/>
      </c>
      <c r="O258" s="21" t="str">
        <f>IFERROR(__xludf.DUMMYFUNCTION("IFERROR((GOOGLEFINANCE(C258, ""price"") / INDEX(GOOGLEFINANCE(C258, ""price"", EDATE(TODAY(), -6), TODAY()), 2, 2)) - 1, """")"),"")</f>
        <v/>
      </c>
      <c r="P258" s="21" t="str">
        <f>IFERROR(__xludf.DUMMYFUNCTION("IFERROR((GOOGLEFINANCE(C258, ""price"") / INDEX(GOOGLEFINANCE(C258, ""price"", EDATE(TODAY(), -12), TODAY()), 2, 2)) - 1, """")"),"")</f>
        <v/>
      </c>
      <c r="Q258" s="6" t="str">
        <f>IFERROR(__xludf.DUMMYFUNCTION("AVERAGE(QUERY(GOOGLEFINANCE(C258, ""price"", TODAY()-80, TODAY()), ""SELECT Col2 WHERE Col2 IS NOT NULL ORDER BY Col1 DESC LIMIT 50"", 0))"),"#N/A")</f>
        <v>#N/A</v>
      </c>
      <c r="R258" s="24" t="str">
        <f>IFERROR(__xludf.DUMMYFUNCTION("IFERROR(
  LET(
    data, QUERY(GOOGLEFINANCE(C258,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GOOGLEFINANCE(C258, ""price"")) * 100,
    IF(calc=0, G258, calc)
  ), 
G258)"),"#N/A")</f>
        <v>#N/A</v>
      </c>
      <c r="S258" s="8" t="s">
        <v>15</v>
      </c>
      <c r="T258" s="26" t="str">
        <f>IFERROR(__xludf.DUMMYFUNCTION("IFERROR(TRANSPOSE(QUERY(IFERROR(SORT(GOOGLEFINANCE(C258, ""price"", WORKDAY(TODAY(), -40), TODAY()), 1, FALSE)), ""select Col2 where Col2 is not null limit 22 label Col2 ''"", 0)), """")"),"")</f>
        <v/>
      </c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8"/>
      <c r="AO258" s="28"/>
      <c r="AP258" s="29"/>
      <c r="AQ258" s="29" t="str">
        <f t="shared" ref="AQ258:BL258" si="261">T258/T$2</f>
        <v>#N/A</v>
      </c>
      <c r="AR258" s="29" t="str">
        <f t="shared" si="261"/>
        <v>#DIV/0!</v>
      </c>
      <c r="AS258" s="29" t="str">
        <f t="shared" si="261"/>
        <v>#DIV/0!</v>
      </c>
      <c r="AT258" s="29" t="str">
        <f t="shared" si="261"/>
        <v>#DIV/0!</v>
      </c>
      <c r="AU258" s="29" t="str">
        <f t="shared" si="261"/>
        <v>#DIV/0!</v>
      </c>
      <c r="AV258" s="29" t="str">
        <f t="shared" si="261"/>
        <v>#DIV/0!</v>
      </c>
      <c r="AW258" s="29" t="str">
        <f t="shared" si="261"/>
        <v>#DIV/0!</v>
      </c>
      <c r="AX258" s="29" t="str">
        <f t="shared" si="261"/>
        <v>#DIV/0!</v>
      </c>
      <c r="AY258" s="29" t="str">
        <f t="shared" si="261"/>
        <v>#DIV/0!</v>
      </c>
      <c r="AZ258" s="29" t="str">
        <f t="shared" si="261"/>
        <v>#DIV/0!</v>
      </c>
      <c r="BA258" s="29" t="str">
        <f t="shared" si="261"/>
        <v>#DIV/0!</v>
      </c>
      <c r="BB258" s="29" t="str">
        <f t="shared" si="261"/>
        <v>#DIV/0!</v>
      </c>
      <c r="BC258" s="29" t="str">
        <f t="shared" si="261"/>
        <v>#DIV/0!</v>
      </c>
      <c r="BD258" s="29" t="str">
        <f t="shared" si="261"/>
        <v>#DIV/0!</v>
      </c>
      <c r="BE258" s="29" t="str">
        <f t="shared" si="261"/>
        <v>#DIV/0!</v>
      </c>
      <c r="BF258" s="29" t="str">
        <f t="shared" si="261"/>
        <v>#DIV/0!</v>
      </c>
      <c r="BG258" s="29" t="str">
        <f t="shared" si="261"/>
        <v>#DIV/0!</v>
      </c>
      <c r="BH258" s="29" t="str">
        <f t="shared" si="261"/>
        <v>#DIV/0!</v>
      </c>
      <c r="BI258" s="29" t="str">
        <f t="shared" si="261"/>
        <v>#DIV/0!</v>
      </c>
      <c r="BJ258" s="29" t="str">
        <f t="shared" si="261"/>
        <v>#DIV/0!</v>
      </c>
      <c r="BK258" s="29" t="str">
        <f t="shared" si="261"/>
        <v>#DIV/0!</v>
      </c>
      <c r="BL258" s="29" t="str">
        <f t="shared" si="261"/>
        <v>#DIV/0!</v>
      </c>
      <c r="BM258" s="29" t="str">
        <f t="shared" si="3"/>
        <v>#DIV/0!</v>
      </c>
    </row>
    <row r="259">
      <c r="A259" s="16" t="str">
        <f>IFERROR(__xludf.DUMMYFUNCTION("IFERROR(SPARKLINE(SORT(MAP(TRANSPOSE(AQ259:BL259), LAMBDA(val, IF(ISNUMBER(val), PERCENTRANK(AQ259:BL259, val)+0.01, 0))), SEQUENCE(COLUMNS(AQ259:BL259)), FALSE), {""charttype"",""column""; ""color"",""chartreuse""; ""ymin"", 0; ""ymax"", 1.01; ""highcolo"&amp;"r"", ""darkgreen""; ""lowcolor"", ""red""}), """")"),"")</f>
        <v/>
      </c>
      <c r="B259" s="17" t="str">
        <f t="shared" si="4"/>
        <v/>
      </c>
      <c r="C259" s="1" t="s">
        <v>1071</v>
      </c>
      <c r="D259" s="30" t="str">
        <f>IFERROR(__xludf.DUMMYFUNCTION("IFERROR(GOOGLEFINANCE(C259, ""NAME""))"),"Pultegroup Inc")</f>
        <v>Pultegroup Inc</v>
      </c>
      <c r="E259" s="30" t="s">
        <v>261</v>
      </c>
      <c r="F259" s="33" t="str">
        <f>IFERROR(__xludf.DUMMYFUNCTION("( (GOOGLEFINANCE(C259, ""price"") - Q259) / Q259 ) / (R259 / 100)"),"Loading...")</f>
        <v>Loading...</v>
      </c>
      <c r="G259" s="20" t="str">
        <f>IFERROR(__xludf.DUMMYFUNCTION("AVERAGE(ARRAYFORMULA(100 * (QUERY(GOOGLEFINANCE(C259, ""high"", TODAY()-40, TODAY()), ""SELECT Col2 WHERE Col2 IS NOT NULL ORDER BY Col1 DESC LIMIT 20"", 0) / QUERY(GOOGLEFINANCE(C259, ""low"", TODAY()-40, TODAY()), ""SELECT Col2 WHERE Col2 IS NOT NULL OR"&amp;"DER BY Col1 DESC LIMIT 20"", 0) - 1)))"),"#N/A")</f>
        <v>#N/A</v>
      </c>
      <c r="H259" s="35" t="str">
        <f t="shared" si="6"/>
        <v/>
      </c>
      <c r="I259" s="35" t="str">
        <f t="shared" si="7"/>
        <v/>
      </c>
      <c r="J259" s="37" t="str">
        <f>IFERROR(__xludf.DUMMYFUNCTION("IFERROR(
  IF(C259="""",, 
    IFERROR(
      GOOGLEFINANCE(C259, ""price"") * GOOGLEFINANCE(C259, ""volumeavg""), 
      GOOGLEFINANCE(C259, ""price"") * AVERAGE(QUERY(GOOGLEFINANCE(C259, ""volume"", TODAY()-40, TODAY()), ""SELECT Col2 WHERE Col2 IS NOT "&amp;"NULL ORDER BY Col1 DESC LIMIT 20"", 0))
    )
  ), 
"""")"),"")</f>
        <v/>
      </c>
      <c r="K259" s="21" t="str">
        <f>IFERROR(__xludf.DUMMYFUNCTION("IFERROR(GOOGLEFINANCE(C259, ""changepct"") / 100, """")"),"")</f>
        <v/>
      </c>
      <c r="L259" s="21" t="str">
        <f>IFERROR(__xludf.DUMMYFUNCTION("IFERROR((GOOGLEFINANCE(C259, ""price"") / INDEX(GOOGLEFINANCE(C259, ""price"", TODAY()-7, TODAY()), 2, 2)) - 1, """")"),"")</f>
        <v/>
      </c>
      <c r="M259" s="21" t="str">
        <f>IFERROR(__xludf.DUMMYFUNCTION("IFERROR((GOOGLEFINANCE(C259, ""price"") / INDEX(GOOGLEFINANCE(C259, ""price"", EDATE(TODAY(), -1), TODAY()), 2, 2)) - 1, """")"),"")</f>
        <v/>
      </c>
      <c r="N259" s="21" t="str">
        <f>IFERROR(__xludf.DUMMYFUNCTION("IFERROR((GOOGLEFINANCE(C259, ""price"") / INDEX(GOOGLEFINANCE(C259, ""price"", EDATE(TODAY(), -3), TODAY()), 2, 2)) - 1, """")"),"")</f>
        <v/>
      </c>
      <c r="O259" s="21" t="str">
        <f>IFERROR(__xludf.DUMMYFUNCTION("IFERROR((GOOGLEFINANCE(C259, ""price"") / INDEX(GOOGLEFINANCE(C259, ""price"", EDATE(TODAY(), -6), TODAY()), 2, 2)) - 1, """")"),"")</f>
        <v/>
      </c>
      <c r="P259" s="21" t="str">
        <f>IFERROR(__xludf.DUMMYFUNCTION("IFERROR((GOOGLEFINANCE(C259, ""price"") / INDEX(GOOGLEFINANCE(C259, ""price"", EDATE(TODAY(), -12), TODAY()), 2, 2)) - 1, """")"),"")</f>
        <v/>
      </c>
      <c r="Q259" s="6" t="str">
        <f>IFERROR(__xludf.DUMMYFUNCTION("AVERAGE(QUERY(GOOGLEFINANCE(C259, ""price"", TODAY()-80, TODAY()), ""SELECT Col2 WHERE Col2 IS NOT NULL ORDER BY Col1 DESC LIMIT 50"", 0))"),"#N/A")</f>
        <v>#N/A</v>
      </c>
      <c r="R259" s="24" t="str">
        <f>IFERROR(__xludf.DUMMYFUNCTION("IFERROR(
  LET(
    data, QUERY(GOOGLEFINANCE(C259,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GOOGLEFINANCE(C259, ""price"")) * 100,
    IF(calc=0, G259, calc)
  ), 
G259)"),"#N/A")</f>
        <v>#N/A</v>
      </c>
      <c r="S259" s="8" t="s">
        <v>15</v>
      </c>
      <c r="T259" s="26" t="str">
        <f>IFERROR(__xludf.DUMMYFUNCTION("IFERROR(TRANSPOSE(QUERY(IFERROR(SORT(GOOGLEFINANCE(C259, ""price"", WORKDAY(TODAY(), -40), TODAY()), 1, FALSE)), ""select Col2 where Col2 is not null limit 22 label Col2 ''"", 0)), """")"),"")</f>
        <v/>
      </c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8"/>
      <c r="AO259" s="28"/>
      <c r="AP259" s="29"/>
      <c r="AQ259" s="29" t="str">
        <f t="shared" ref="AQ259:BL259" si="262">T259/T$2</f>
        <v>#N/A</v>
      </c>
      <c r="AR259" s="29" t="str">
        <f t="shared" si="262"/>
        <v>#DIV/0!</v>
      </c>
      <c r="AS259" s="29" t="str">
        <f t="shared" si="262"/>
        <v>#DIV/0!</v>
      </c>
      <c r="AT259" s="29" t="str">
        <f t="shared" si="262"/>
        <v>#DIV/0!</v>
      </c>
      <c r="AU259" s="29" t="str">
        <f t="shared" si="262"/>
        <v>#DIV/0!</v>
      </c>
      <c r="AV259" s="29" t="str">
        <f t="shared" si="262"/>
        <v>#DIV/0!</v>
      </c>
      <c r="AW259" s="29" t="str">
        <f t="shared" si="262"/>
        <v>#DIV/0!</v>
      </c>
      <c r="AX259" s="29" t="str">
        <f t="shared" si="262"/>
        <v>#DIV/0!</v>
      </c>
      <c r="AY259" s="29" t="str">
        <f t="shared" si="262"/>
        <v>#DIV/0!</v>
      </c>
      <c r="AZ259" s="29" t="str">
        <f t="shared" si="262"/>
        <v>#DIV/0!</v>
      </c>
      <c r="BA259" s="29" t="str">
        <f t="shared" si="262"/>
        <v>#DIV/0!</v>
      </c>
      <c r="BB259" s="29" t="str">
        <f t="shared" si="262"/>
        <v>#DIV/0!</v>
      </c>
      <c r="BC259" s="29" t="str">
        <f t="shared" si="262"/>
        <v>#DIV/0!</v>
      </c>
      <c r="BD259" s="29" t="str">
        <f t="shared" si="262"/>
        <v>#DIV/0!</v>
      </c>
      <c r="BE259" s="29" t="str">
        <f t="shared" si="262"/>
        <v>#DIV/0!</v>
      </c>
      <c r="BF259" s="29" t="str">
        <f t="shared" si="262"/>
        <v>#DIV/0!</v>
      </c>
      <c r="BG259" s="29" t="str">
        <f t="shared" si="262"/>
        <v>#DIV/0!</v>
      </c>
      <c r="BH259" s="29" t="str">
        <f t="shared" si="262"/>
        <v>#DIV/0!</v>
      </c>
      <c r="BI259" s="29" t="str">
        <f t="shared" si="262"/>
        <v>#DIV/0!</v>
      </c>
      <c r="BJ259" s="29" t="str">
        <f t="shared" si="262"/>
        <v>#DIV/0!</v>
      </c>
      <c r="BK259" s="29" t="str">
        <f t="shared" si="262"/>
        <v>#DIV/0!</v>
      </c>
      <c r="BL259" s="29" t="str">
        <f t="shared" si="262"/>
        <v>#DIV/0!</v>
      </c>
      <c r="BM259" s="29" t="str">
        <f t="shared" si="3"/>
        <v>#DIV/0!</v>
      </c>
    </row>
    <row r="260">
      <c r="A260" s="16" t="str">
        <f>IFERROR(__xludf.DUMMYFUNCTION("IFERROR(SPARKLINE(SORT(MAP(TRANSPOSE(AQ260:BL260), LAMBDA(val, IF(ISNUMBER(val), PERCENTRANK(AQ260:BL260, val)+0.01, 0))), SEQUENCE(COLUMNS(AQ260:BL260)), FALSE), {""charttype"",""column""; ""color"",""chartreuse""; ""ymin"", 0; ""ymax"", 1.01; ""highcolo"&amp;"r"", ""darkgreen""; ""lowcolor"", ""red""}), """")"),"")</f>
        <v/>
      </c>
      <c r="B260" s="17" t="str">
        <f t="shared" si="4"/>
        <v/>
      </c>
      <c r="C260" s="1" t="s">
        <v>1075</v>
      </c>
      <c r="D260" s="30" t="str">
        <f>IFERROR(__xludf.DUMMYFUNCTION("IFERROR(GOOGLEFINANCE(C260, ""NAME""))"),"Marriott International Inc")</f>
        <v>Marriott International Inc</v>
      </c>
      <c r="E260" s="30" t="s">
        <v>258</v>
      </c>
      <c r="F260" s="33" t="str">
        <f>IFERROR(__xludf.DUMMYFUNCTION("( (GOOGLEFINANCE(C260, ""price"") - Q260) / Q260 ) / (R260 / 100)"),"Loading...")</f>
        <v>Loading...</v>
      </c>
      <c r="G260" s="20" t="str">
        <f>IFERROR(__xludf.DUMMYFUNCTION("AVERAGE(ARRAYFORMULA(100 * (QUERY(GOOGLEFINANCE(C260, ""high"", TODAY()-40, TODAY()), ""SELECT Col2 WHERE Col2 IS NOT NULL ORDER BY Col1 DESC LIMIT 20"", 0) / QUERY(GOOGLEFINANCE(C260, ""low"", TODAY()-40, TODAY()), ""SELECT Col2 WHERE Col2 IS NOT NULL OR"&amp;"DER BY Col1 DESC LIMIT 20"", 0) - 1)))"),"#N/A")</f>
        <v>#N/A</v>
      </c>
      <c r="H260" s="35" t="str">
        <f t="shared" si="6"/>
        <v/>
      </c>
      <c r="I260" s="35" t="str">
        <f t="shared" si="7"/>
        <v/>
      </c>
      <c r="J260" s="37" t="str">
        <f>IFERROR(__xludf.DUMMYFUNCTION("IFERROR(
  IF(C260="""",, 
    IFERROR(
      GOOGLEFINANCE(C260, ""price"") * GOOGLEFINANCE(C260, ""volumeavg""), 
      GOOGLEFINANCE(C260, ""price"") * AVERAGE(QUERY(GOOGLEFINANCE(C260, ""volume"", TODAY()-40, TODAY()), ""SELECT Col2 WHERE Col2 IS NOT "&amp;"NULL ORDER BY Col1 DESC LIMIT 20"", 0))
    )
  ), 
"""")"),"")</f>
        <v/>
      </c>
      <c r="K260" s="21" t="str">
        <f>IFERROR(__xludf.DUMMYFUNCTION("IFERROR(GOOGLEFINANCE(C260, ""changepct"") / 100, """")"),"")</f>
        <v/>
      </c>
      <c r="L260" s="21" t="str">
        <f>IFERROR(__xludf.DUMMYFUNCTION("IFERROR((GOOGLEFINANCE(C260, ""price"") / INDEX(GOOGLEFINANCE(C260, ""price"", TODAY()-7, TODAY()), 2, 2)) - 1, """")"),"")</f>
        <v/>
      </c>
      <c r="M260" s="21" t="str">
        <f>IFERROR(__xludf.DUMMYFUNCTION("IFERROR((GOOGLEFINANCE(C260, ""price"") / INDEX(GOOGLEFINANCE(C260, ""price"", EDATE(TODAY(), -1), TODAY()), 2, 2)) - 1, """")"),"")</f>
        <v/>
      </c>
      <c r="N260" s="21" t="str">
        <f>IFERROR(__xludf.DUMMYFUNCTION("IFERROR((GOOGLEFINANCE(C260, ""price"") / INDEX(GOOGLEFINANCE(C260, ""price"", EDATE(TODAY(), -3), TODAY()), 2, 2)) - 1, """")"),"")</f>
        <v/>
      </c>
      <c r="O260" s="21" t="str">
        <f>IFERROR(__xludf.DUMMYFUNCTION("IFERROR((GOOGLEFINANCE(C260, ""price"") / INDEX(GOOGLEFINANCE(C260, ""price"", EDATE(TODAY(), -6), TODAY()), 2, 2)) - 1, """")"),"")</f>
        <v/>
      </c>
      <c r="P260" s="21" t="str">
        <f>IFERROR(__xludf.DUMMYFUNCTION("IFERROR((GOOGLEFINANCE(C260, ""price"") / INDEX(GOOGLEFINANCE(C260, ""price"", EDATE(TODAY(), -12), TODAY()), 2, 2)) - 1, """")"),"")</f>
        <v/>
      </c>
      <c r="Q260" s="6" t="str">
        <f>IFERROR(__xludf.DUMMYFUNCTION("AVERAGE(QUERY(GOOGLEFINANCE(C260, ""price"", TODAY()-80, TODAY()), ""SELECT Col2 WHERE Col2 IS NOT NULL ORDER BY Col1 DESC LIMIT 50"", 0))"),"#N/A")</f>
        <v>#N/A</v>
      </c>
      <c r="R260" s="24" t="str">
        <f>IFERROR(__xludf.DUMMYFUNCTION("IFERROR(
  LET(
    data, QUERY(GOOGLEFINANCE(C260,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GOOGLEFINANCE(C260, ""price"")) * 100,
    IF(calc=0, G260, calc)
  ), 
G260)"),"#N/A")</f>
        <v>#N/A</v>
      </c>
      <c r="S260" s="8" t="s">
        <v>15</v>
      </c>
      <c r="T260" s="26" t="str">
        <f>IFERROR(__xludf.DUMMYFUNCTION("IFERROR(TRANSPOSE(QUERY(IFERROR(SORT(GOOGLEFINANCE(C260, ""price"", WORKDAY(TODAY(), -40), TODAY()), 1, FALSE)), ""select Col2 where Col2 is not null limit 22 label Col2 ''"", 0)), """")"),"")</f>
        <v/>
      </c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8"/>
      <c r="AO260" s="28"/>
      <c r="AP260" s="29"/>
      <c r="AQ260" s="29" t="str">
        <f t="shared" ref="AQ260:BL260" si="263">T260/T$2</f>
        <v>#N/A</v>
      </c>
      <c r="AR260" s="29" t="str">
        <f t="shared" si="263"/>
        <v>#DIV/0!</v>
      </c>
      <c r="AS260" s="29" t="str">
        <f t="shared" si="263"/>
        <v>#DIV/0!</v>
      </c>
      <c r="AT260" s="29" t="str">
        <f t="shared" si="263"/>
        <v>#DIV/0!</v>
      </c>
      <c r="AU260" s="29" t="str">
        <f t="shared" si="263"/>
        <v>#DIV/0!</v>
      </c>
      <c r="AV260" s="29" t="str">
        <f t="shared" si="263"/>
        <v>#DIV/0!</v>
      </c>
      <c r="AW260" s="29" t="str">
        <f t="shared" si="263"/>
        <v>#DIV/0!</v>
      </c>
      <c r="AX260" s="29" t="str">
        <f t="shared" si="263"/>
        <v>#DIV/0!</v>
      </c>
      <c r="AY260" s="29" t="str">
        <f t="shared" si="263"/>
        <v>#DIV/0!</v>
      </c>
      <c r="AZ260" s="29" t="str">
        <f t="shared" si="263"/>
        <v>#DIV/0!</v>
      </c>
      <c r="BA260" s="29" t="str">
        <f t="shared" si="263"/>
        <v>#DIV/0!</v>
      </c>
      <c r="BB260" s="29" t="str">
        <f t="shared" si="263"/>
        <v>#DIV/0!</v>
      </c>
      <c r="BC260" s="29" t="str">
        <f t="shared" si="263"/>
        <v>#DIV/0!</v>
      </c>
      <c r="BD260" s="29" t="str">
        <f t="shared" si="263"/>
        <v>#DIV/0!</v>
      </c>
      <c r="BE260" s="29" t="str">
        <f t="shared" si="263"/>
        <v>#DIV/0!</v>
      </c>
      <c r="BF260" s="29" t="str">
        <f t="shared" si="263"/>
        <v>#DIV/0!</v>
      </c>
      <c r="BG260" s="29" t="str">
        <f t="shared" si="263"/>
        <v>#DIV/0!</v>
      </c>
      <c r="BH260" s="29" t="str">
        <f t="shared" si="263"/>
        <v>#DIV/0!</v>
      </c>
      <c r="BI260" s="29" t="str">
        <f t="shared" si="263"/>
        <v>#DIV/0!</v>
      </c>
      <c r="BJ260" s="29" t="str">
        <f t="shared" si="263"/>
        <v>#DIV/0!</v>
      </c>
      <c r="BK260" s="29" t="str">
        <f t="shared" si="263"/>
        <v>#DIV/0!</v>
      </c>
      <c r="BL260" s="29" t="str">
        <f t="shared" si="263"/>
        <v>#DIV/0!</v>
      </c>
      <c r="BM260" s="29" t="str">
        <f t="shared" si="3"/>
        <v>#DIV/0!</v>
      </c>
    </row>
    <row r="261">
      <c r="A261" s="16" t="str">
        <f>IFERROR(__xludf.DUMMYFUNCTION("IFERROR(SPARKLINE(SORT(MAP(TRANSPOSE(AQ261:BL261), LAMBDA(val, IF(ISNUMBER(val), PERCENTRANK(AQ261:BL261, val)+0.01, 0))), SEQUENCE(COLUMNS(AQ261:BL261)), FALSE), {""charttype"",""column""; ""color"",""chartreuse""; ""ymin"", 0; ""ymax"", 1.01; ""highcolo"&amp;"r"", ""darkgreen""; ""lowcolor"", ""red""}), """")"),"")</f>
        <v/>
      </c>
      <c r="B261" s="17" t="str">
        <f t="shared" si="4"/>
        <v/>
      </c>
      <c r="C261" s="1" t="s">
        <v>1080</v>
      </c>
      <c r="D261" s="30" t="str">
        <f>IFERROR(__xludf.DUMMYFUNCTION("IFERROR(GOOGLEFINANCE(C261, ""NAME""))"),"Rivian Automotive Inc")</f>
        <v>Rivian Automotive Inc</v>
      </c>
      <c r="E261" s="30" t="s">
        <v>129</v>
      </c>
      <c r="F261" s="33" t="str">
        <f>IFERROR(__xludf.DUMMYFUNCTION("( (GOOGLEFINANCE(C261, ""price"") - Q261) / Q261 ) / (R261 / 100)"),"Loading...")</f>
        <v>Loading...</v>
      </c>
      <c r="G261" s="20" t="str">
        <f>IFERROR(__xludf.DUMMYFUNCTION("AVERAGE(ARRAYFORMULA(100 * (QUERY(GOOGLEFINANCE(C261, ""high"", TODAY()-40, TODAY()), ""SELECT Col2 WHERE Col2 IS NOT NULL ORDER BY Col1 DESC LIMIT 20"", 0) / QUERY(GOOGLEFINANCE(C261, ""low"", TODAY()-40, TODAY()), ""SELECT Col2 WHERE Col2 IS NOT NULL OR"&amp;"DER BY Col1 DESC LIMIT 20"", 0) - 1)))"),"#N/A")</f>
        <v>#N/A</v>
      </c>
      <c r="H261" s="35" t="str">
        <f t="shared" si="6"/>
        <v/>
      </c>
      <c r="I261" s="35" t="str">
        <f t="shared" si="7"/>
        <v/>
      </c>
      <c r="J261" s="37" t="str">
        <f>IFERROR(__xludf.DUMMYFUNCTION("IFERROR(
  IF(C261="""",, 
    IFERROR(
      GOOGLEFINANCE(C261, ""price"") * GOOGLEFINANCE(C261, ""volumeavg""), 
      GOOGLEFINANCE(C261, ""price"") * AVERAGE(QUERY(GOOGLEFINANCE(C261, ""volume"", TODAY()-40, TODAY()), ""SELECT Col2 WHERE Col2 IS NOT "&amp;"NULL ORDER BY Col1 DESC LIMIT 20"", 0))
    )
  ), 
"""")"),"")</f>
        <v/>
      </c>
      <c r="K261" s="21" t="str">
        <f>IFERROR(__xludf.DUMMYFUNCTION("IFERROR(GOOGLEFINANCE(C261, ""changepct"") / 100, """")"),"")</f>
        <v/>
      </c>
      <c r="L261" s="21" t="str">
        <f>IFERROR(__xludf.DUMMYFUNCTION("IFERROR((GOOGLEFINANCE(C261, ""price"") / INDEX(GOOGLEFINANCE(C261, ""price"", TODAY()-7, TODAY()), 2, 2)) - 1, """")"),"")</f>
        <v/>
      </c>
      <c r="M261" s="21" t="str">
        <f>IFERROR(__xludf.DUMMYFUNCTION("IFERROR((GOOGLEFINANCE(C261, ""price"") / INDEX(GOOGLEFINANCE(C261, ""price"", EDATE(TODAY(), -1), TODAY()), 2, 2)) - 1, """")"),"")</f>
        <v/>
      </c>
      <c r="N261" s="21" t="str">
        <f>IFERROR(__xludf.DUMMYFUNCTION("IFERROR((GOOGLEFINANCE(C261, ""price"") / INDEX(GOOGLEFINANCE(C261, ""price"", EDATE(TODAY(), -3), TODAY()), 2, 2)) - 1, """")"),"")</f>
        <v/>
      </c>
      <c r="O261" s="21" t="str">
        <f>IFERROR(__xludf.DUMMYFUNCTION("IFERROR((GOOGLEFINANCE(C261, ""price"") / INDEX(GOOGLEFINANCE(C261, ""price"", EDATE(TODAY(), -6), TODAY()), 2, 2)) - 1, """")"),"")</f>
        <v/>
      </c>
      <c r="P261" s="21" t="str">
        <f>IFERROR(__xludf.DUMMYFUNCTION("IFERROR((GOOGLEFINANCE(C261, ""price"") / INDEX(GOOGLEFINANCE(C261, ""price"", EDATE(TODAY(), -12), TODAY()), 2, 2)) - 1, """")"),"")</f>
        <v/>
      </c>
      <c r="Q261" s="6" t="str">
        <f>IFERROR(__xludf.DUMMYFUNCTION("AVERAGE(QUERY(GOOGLEFINANCE(C261, ""price"", TODAY()-80, TODAY()), ""SELECT Col2 WHERE Col2 IS NOT NULL ORDER BY Col1 DESC LIMIT 50"", 0))"),"#N/A")</f>
        <v>#N/A</v>
      </c>
      <c r="R261" s="24" t="str">
        <f>IFERROR(__xludf.DUMMYFUNCTION("IFERROR(
  LET(
    data, QUERY(GOOGLEFINANCE(C261,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GOOGLEFINANCE(C261, ""price"")) * 100,
    IF(calc=0, G261, calc)
  ), 
G261)"),"#N/A")</f>
        <v>#N/A</v>
      </c>
      <c r="S261" s="8" t="s">
        <v>15</v>
      </c>
      <c r="T261" s="26" t="str">
        <f>IFERROR(__xludf.DUMMYFUNCTION("IFERROR(TRANSPOSE(QUERY(IFERROR(SORT(GOOGLEFINANCE(C261, ""price"", WORKDAY(TODAY(), -40), TODAY()), 1, FALSE)), ""select Col2 where Col2 is not null limit 22 label Col2 ''"", 0)), """")"),"")</f>
        <v/>
      </c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8"/>
      <c r="AO261" s="28"/>
      <c r="AP261" s="29"/>
      <c r="AQ261" s="29" t="str">
        <f t="shared" ref="AQ261:BL261" si="264">T261/T$2</f>
        <v>#N/A</v>
      </c>
      <c r="AR261" s="29" t="str">
        <f t="shared" si="264"/>
        <v>#DIV/0!</v>
      </c>
      <c r="AS261" s="29" t="str">
        <f t="shared" si="264"/>
        <v>#DIV/0!</v>
      </c>
      <c r="AT261" s="29" t="str">
        <f t="shared" si="264"/>
        <v>#DIV/0!</v>
      </c>
      <c r="AU261" s="29" t="str">
        <f t="shared" si="264"/>
        <v>#DIV/0!</v>
      </c>
      <c r="AV261" s="29" t="str">
        <f t="shared" si="264"/>
        <v>#DIV/0!</v>
      </c>
      <c r="AW261" s="29" t="str">
        <f t="shared" si="264"/>
        <v>#DIV/0!</v>
      </c>
      <c r="AX261" s="29" t="str">
        <f t="shared" si="264"/>
        <v>#DIV/0!</v>
      </c>
      <c r="AY261" s="29" t="str">
        <f t="shared" si="264"/>
        <v>#DIV/0!</v>
      </c>
      <c r="AZ261" s="29" t="str">
        <f t="shared" si="264"/>
        <v>#DIV/0!</v>
      </c>
      <c r="BA261" s="29" t="str">
        <f t="shared" si="264"/>
        <v>#DIV/0!</v>
      </c>
      <c r="BB261" s="29" t="str">
        <f t="shared" si="264"/>
        <v>#DIV/0!</v>
      </c>
      <c r="BC261" s="29" t="str">
        <f t="shared" si="264"/>
        <v>#DIV/0!</v>
      </c>
      <c r="BD261" s="29" t="str">
        <f t="shared" si="264"/>
        <v>#DIV/0!</v>
      </c>
      <c r="BE261" s="29" t="str">
        <f t="shared" si="264"/>
        <v>#DIV/0!</v>
      </c>
      <c r="BF261" s="29" t="str">
        <f t="shared" si="264"/>
        <v>#DIV/0!</v>
      </c>
      <c r="BG261" s="29" t="str">
        <f t="shared" si="264"/>
        <v>#DIV/0!</v>
      </c>
      <c r="BH261" s="29" t="str">
        <f t="shared" si="264"/>
        <v>#DIV/0!</v>
      </c>
      <c r="BI261" s="29" t="str">
        <f t="shared" si="264"/>
        <v>#DIV/0!</v>
      </c>
      <c r="BJ261" s="29" t="str">
        <f t="shared" si="264"/>
        <v>#DIV/0!</v>
      </c>
      <c r="BK261" s="29" t="str">
        <f t="shared" si="264"/>
        <v>#DIV/0!</v>
      </c>
      <c r="BL261" s="29" t="str">
        <f t="shared" si="264"/>
        <v>#DIV/0!</v>
      </c>
      <c r="BM261" s="29" t="str">
        <f t="shared" si="3"/>
        <v>#DIV/0!</v>
      </c>
    </row>
    <row r="262">
      <c r="A262" s="16" t="str">
        <f>IFERROR(__xludf.DUMMYFUNCTION("IFERROR(SPARKLINE(SORT(MAP(TRANSPOSE(AQ262:BL262), LAMBDA(val, IF(ISNUMBER(val), PERCENTRANK(AQ262:BL262, val)+0.01, 0))), SEQUENCE(COLUMNS(AQ262:BL262)), FALSE), {""charttype"",""column""; ""color"",""chartreuse""; ""ymin"", 0; ""ymax"", 1.01; ""highcolo"&amp;"r"", ""darkgreen""; ""lowcolor"", ""red""}), """")"),"")</f>
        <v/>
      </c>
      <c r="B262" s="17" t="str">
        <f t="shared" si="4"/>
        <v/>
      </c>
      <c r="C262" s="1" t="s">
        <v>1084</v>
      </c>
      <c r="D262" s="30" t="str">
        <f>IFERROR(__xludf.DUMMYFUNCTION("IFERROR(GOOGLEFINANCE(C262, ""NAME""))"),"ZKH Group Ltd")</f>
        <v>ZKH Group Ltd</v>
      </c>
      <c r="E262" s="30" t="s">
        <v>137</v>
      </c>
      <c r="F262" s="33" t="str">
        <f>IFERROR(__xludf.DUMMYFUNCTION("( (GOOGLEFINANCE(C262, ""price"") - Q262) / Q262 ) / (R262 / 100)"),"Loading...")</f>
        <v>Loading...</v>
      </c>
      <c r="G262" s="20" t="str">
        <f>IFERROR(__xludf.DUMMYFUNCTION("AVERAGE(ARRAYFORMULA(100 * (QUERY(GOOGLEFINANCE(C262, ""high"", TODAY()-40, TODAY()), ""SELECT Col2 WHERE Col2 IS NOT NULL ORDER BY Col1 DESC LIMIT 20"", 0) / QUERY(GOOGLEFINANCE(C262, ""low"", TODAY()-40, TODAY()), ""SELECT Col2 WHERE Col2 IS NOT NULL OR"&amp;"DER BY Col1 DESC LIMIT 20"", 0) - 1)))"),"#N/A")</f>
        <v>#N/A</v>
      </c>
      <c r="H262" s="35" t="str">
        <f t="shared" si="6"/>
        <v/>
      </c>
      <c r="I262" s="35" t="str">
        <f t="shared" si="7"/>
        <v/>
      </c>
      <c r="J262" s="37" t="str">
        <f>IFERROR(__xludf.DUMMYFUNCTION("IFERROR(
  IF(C262="""",, 
    IFERROR(
      GOOGLEFINANCE(C262, ""price"") * GOOGLEFINANCE(C262, ""volumeavg""), 
      GOOGLEFINANCE(C262, ""price"") * AVERAGE(QUERY(GOOGLEFINANCE(C262, ""volume"", TODAY()-40, TODAY()), ""SELECT Col2 WHERE Col2 IS NOT "&amp;"NULL ORDER BY Col1 DESC LIMIT 20"", 0))
    )
  ), 
"""")"),"")</f>
        <v/>
      </c>
      <c r="K262" s="21" t="str">
        <f>IFERROR(__xludf.DUMMYFUNCTION("IFERROR(GOOGLEFINANCE(C262, ""changepct"") / 100, """")"),"")</f>
        <v/>
      </c>
      <c r="L262" s="21" t="str">
        <f>IFERROR(__xludf.DUMMYFUNCTION("IFERROR((GOOGLEFINANCE(C262, ""price"") / INDEX(GOOGLEFINANCE(C262, ""price"", TODAY()-7, TODAY()), 2, 2)) - 1, """")"),"")</f>
        <v/>
      </c>
      <c r="M262" s="21" t="str">
        <f>IFERROR(__xludf.DUMMYFUNCTION("IFERROR((GOOGLEFINANCE(C262, ""price"") / INDEX(GOOGLEFINANCE(C262, ""price"", EDATE(TODAY(), -1), TODAY()), 2, 2)) - 1, """")"),"")</f>
        <v/>
      </c>
      <c r="N262" s="21" t="str">
        <f>IFERROR(__xludf.DUMMYFUNCTION("IFERROR((GOOGLEFINANCE(C262, ""price"") / INDEX(GOOGLEFINANCE(C262, ""price"", EDATE(TODAY(), -3), TODAY()), 2, 2)) - 1, """")"),"")</f>
        <v/>
      </c>
      <c r="O262" s="21" t="str">
        <f>IFERROR(__xludf.DUMMYFUNCTION("IFERROR((GOOGLEFINANCE(C262, ""price"") / INDEX(GOOGLEFINANCE(C262, ""price"", EDATE(TODAY(), -6), TODAY()), 2, 2)) - 1, """")"),"")</f>
        <v/>
      </c>
      <c r="P262" s="21" t="str">
        <f>IFERROR(__xludf.DUMMYFUNCTION("IFERROR((GOOGLEFINANCE(C262, ""price"") / INDEX(GOOGLEFINANCE(C262, ""price"", EDATE(TODAY(), -12), TODAY()), 2, 2)) - 1, """")"),"")</f>
        <v/>
      </c>
      <c r="Q262" s="6" t="str">
        <f>IFERROR(__xludf.DUMMYFUNCTION("AVERAGE(QUERY(GOOGLEFINANCE(C262, ""price"", TODAY()-80, TODAY()), ""SELECT Col2 WHERE Col2 IS NOT NULL ORDER BY Col1 DESC LIMIT 50"", 0))"),"#N/A")</f>
        <v>#N/A</v>
      </c>
      <c r="R262" s="24" t="str">
        <f>IFERROR(__xludf.DUMMYFUNCTION("IFERROR(
  LET(
    data, QUERY(GOOGLEFINANCE(C262,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GOOGLEFINANCE(C262, ""price"")) * 100,
    IF(calc=0, G262, calc)
  ), 
G262)"),"#N/A")</f>
        <v>#N/A</v>
      </c>
      <c r="S262" s="8" t="s">
        <v>15</v>
      </c>
      <c r="T262" s="26" t="str">
        <f>IFERROR(__xludf.DUMMYFUNCTION("IFERROR(TRANSPOSE(QUERY(IFERROR(SORT(GOOGLEFINANCE(C262, ""price"", WORKDAY(TODAY(), -40), TODAY()), 1, FALSE)), ""select Col2 where Col2 is not null limit 22 label Col2 ''"", 0)), """")"),"")</f>
        <v/>
      </c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8"/>
      <c r="AO262" s="28"/>
      <c r="AP262" s="29"/>
      <c r="AQ262" s="29" t="str">
        <f t="shared" ref="AQ262:BL262" si="265">T262/T$2</f>
        <v>#N/A</v>
      </c>
      <c r="AR262" s="29" t="str">
        <f t="shared" si="265"/>
        <v>#DIV/0!</v>
      </c>
      <c r="AS262" s="29" t="str">
        <f t="shared" si="265"/>
        <v>#DIV/0!</v>
      </c>
      <c r="AT262" s="29" t="str">
        <f t="shared" si="265"/>
        <v>#DIV/0!</v>
      </c>
      <c r="AU262" s="29" t="str">
        <f t="shared" si="265"/>
        <v>#DIV/0!</v>
      </c>
      <c r="AV262" s="29" t="str">
        <f t="shared" si="265"/>
        <v>#DIV/0!</v>
      </c>
      <c r="AW262" s="29" t="str">
        <f t="shared" si="265"/>
        <v>#DIV/0!</v>
      </c>
      <c r="AX262" s="29" t="str">
        <f t="shared" si="265"/>
        <v>#DIV/0!</v>
      </c>
      <c r="AY262" s="29" t="str">
        <f t="shared" si="265"/>
        <v>#DIV/0!</v>
      </c>
      <c r="AZ262" s="29" t="str">
        <f t="shared" si="265"/>
        <v>#DIV/0!</v>
      </c>
      <c r="BA262" s="29" t="str">
        <f t="shared" si="265"/>
        <v>#DIV/0!</v>
      </c>
      <c r="BB262" s="29" t="str">
        <f t="shared" si="265"/>
        <v>#DIV/0!</v>
      </c>
      <c r="BC262" s="29" t="str">
        <f t="shared" si="265"/>
        <v>#DIV/0!</v>
      </c>
      <c r="BD262" s="29" t="str">
        <f t="shared" si="265"/>
        <v>#DIV/0!</v>
      </c>
      <c r="BE262" s="29" t="str">
        <f t="shared" si="265"/>
        <v>#DIV/0!</v>
      </c>
      <c r="BF262" s="29" t="str">
        <f t="shared" si="265"/>
        <v>#DIV/0!</v>
      </c>
      <c r="BG262" s="29" t="str">
        <f t="shared" si="265"/>
        <v>#DIV/0!</v>
      </c>
      <c r="BH262" s="29" t="str">
        <f t="shared" si="265"/>
        <v>#DIV/0!</v>
      </c>
      <c r="BI262" s="29" t="str">
        <f t="shared" si="265"/>
        <v>#DIV/0!</v>
      </c>
      <c r="BJ262" s="29" t="str">
        <f t="shared" si="265"/>
        <v>#DIV/0!</v>
      </c>
      <c r="BK262" s="29" t="str">
        <f t="shared" si="265"/>
        <v>#DIV/0!</v>
      </c>
      <c r="BL262" s="29" t="str">
        <f t="shared" si="265"/>
        <v>#DIV/0!</v>
      </c>
      <c r="BM262" s="29" t="str">
        <f t="shared" si="3"/>
        <v>#DIV/0!</v>
      </c>
    </row>
    <row r="263">
      <c r="A263" s="16" t="str">
        <f>IFERROR(__xludf.DUMMYFUNCTION("IFERROR(SPARKLINE(SORT(MAP(TRANSPOSE(AQ263:BL263), LAMBDA(val, IF(ISNUMBER(val), PERCENTRANK(AQ263:BL263, val)+0.01, 0))), SEQUENCE(COLUMNS(AQ263:BL263)), FALSE), {""charttype"",""column""; ""color"",""chartreuse""; ""ymin"", 0; ""ymax"", 1.01; ""highcolo"&amp;"r"", ""darkgreen""; ""lowcolor"", ""red""}), """")"),"")</f>
        <v/>
      </c>
      <c r="B263" s="17" t="str">
        <f t="shared" si="4"/>
        <v/>
      </c>
      <c r="C263" s="1" t="s">
        <v>1088</v>
      </c>
      <c r="D263" s="30" t="str">
        <f>IFERROR(__xludf.DUMMYFUNCTION("IFERROR(GOOGLEFINANCE(C263, ""NAME""))"),"MINISO Group Holding Ltd - ADR ADR")</f>
        <v>MINISO Group Holding Ltd - ADR ADR</v>
      </c>
      <c r="E263" s="30" t="s">
        <v>184</v>
      </c>
      <c r="F263" s="33" t="str">
        <f>IFERROR(__xludf.DUMMYFUNCTION("( (GOOGLEFINANCE(C263, ""price"") - Q263) / Q263 ) / (R263 / 100)"),"Loading...")</f>
        <v>Loading...</v>
      </c>
      <c r="G263" s="20" t="str">
        <f>IFERROR(__xludf.DUMMYFUNCTION("AVERAGE(ARRAYFORMULA(100 * (QUERY(GOOGLEFINANCE(C263, ""high"", TODAY()-40, TODAY()), ""SELECT Col2 WHERE Col2 IS NOT NULL ORDER BY Col1 DESC LIMIT 20"", 0) / QUERY(GOOGLEFINANCE(C263, ""low"", TODAY()-40, TODAY()), ""SELECT Col2 WHERE Col2 IS NOT NULL OR"&amp;"DER BY Col1 DESC LIMIT 20"", 0) - 1)))"),"#N/A")</f>
        <v>#N/A</v>
      </c>
      <c r="H263" s="35" t="str">
        <f t="shared" si="6"/>
        <v/>
      </c>
      <c r="I263" s="35" t="str">
        <f t="shared" si="7"/>
        <v/>
      </c>
      <c r="J263" s="37" t="str">
        <f>IFERROR(__xludf.DUMMYFUNCTION("IFERROR(
  IF(C263="""",, 
    IFERROR(
      GOOGLEFINANCE(C263, ""price"") * GOOGLEFINANCE(C263, ""volumeavg""), 
      GOOGLEFINANCE(C263, ""price"") * AVERAGE(QUERY(GOOGLEFINANCE(C263, ""volume"", TODAY()-40, TODAY()), ""SELECT Col2 WHERE Col2 IS NOT "&amp;"NULL ORDER BY Col1 DESC LIMIT 20"", 0))
    )
  ), 
"""")"),"")</f>
        <v/>
      </c>
      <c r="K263" s="21" t="str">
        <f>IFERROR(__xludf.DUMMYFUNCTION("IFERROR(GOOGLEFINANCE(C263, ""changepct"") / 100, """")"),"")</f>
        <v/>
      </c>
      <c r="L263" s="21" t="str">
        <f>IFERROR(__xludf.DUMMYFUNCTION("IFERROR((GOOGLEFINANCE(C263, ""price"") / INDEX(GOOGLEFINANCE(C263, ""price"", TODAY()-7, TODAY()), 2, 2)) - 1, """")"),"")</f>
        <v/>
      </c>
      <c r="M263" s="21" t="str">
        <f>IFERROR(__xludf.DUMMYFUNCTION("IFERROR((GOOGLEFINANCE(C263, ""price"") / INDEX(GOOGLEFINANCE(C263, ""price"", EDATE(TODAY(), -1), TODAY()), 2, 2)) - 1, """")"),"")</f>
        <v/>
      </c>
      <c r="N263" s="21" t="str">
        <f>IFERROR(__xludf.DUMMYFUNCTION("IFERROR((GOOGLEFINANCE(C263, ""price"") / INDEX(GOOGLEFINANCE(C263, ""price"", EDATE(TODAY(), -3), TODAY()), 2, 2)) - 1, """")"),"")</f>
        <v/>
      </c>
      <c r="O263" s="21" t="str">
        <f>IFERROR(__xludf.DUMMYFUNCTION("IFERROR((GOOGLEFINANCE(C263, ""price"") / INDEX(GOOGLEFINANCE(C263, ""price"", EDATE(TODAY(), -6), TODAY()), 2, 2)) - 1, """")"),"")</f>
        <v/>
      </c>
      <c r="P263" s="21" t="str">
        <f>IFERROR(__xludf.DUMMYFUNCTION("IFERROR((GOOGLEFINANCE(C263, ""price"") / INDEX(GOOGLEFINANCE(C263, ""price"", EDATE(TODAY(), -12), TODAY()), 2, 2)) - 1, """")"),"")</f>
        <v/>
      </c>
      <c r="Q263" s="6" t="str">
        <f>IFERROR(__xludf.DUMMYFUNCTION("AVERAGE(QUERY(GOOGLEFINANCE(C263, ""price"", TODAY()-80, TODAY()), ""SELECT Col2 WHERE Col2 IS NOT NULL ORDER BY Col1 DESC LIMIT 50"", 0))"),"#N/A")</f>
        <v>#N/A</v>
      </c>
      <c r="R263" s="24" t="str">
        <f>IFERROR(__xludf.DUMMYFUNCTION("IFERROR(
  LET(
    data, QUERY(GOOGLEFINANCE(C263,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GOOGLEFINANCE(C263, ""price"")) * 100,
    IF(calc=0, G263, calc)
  ), 
G263)"),"#N/A")</f>
        <v>#N/A</v>
      </c>
      <c r="S263" s="8" t="s">
        <v>15</v>
      </c>
      <c r="T263" s="26" t="str">
        <f>IFERROR(__xludf.DUMMYFUNCTION("IFERROR(TRANSPOSE(QUERY(IFERROR(SORT(GOOGLEFINANCE(C263, ""price"", WORKDAY(TODAY(), -40), TODAY()), 1, FALSE)), ""select Col2 where Col2 is not null limit 22 label Col2 ''"", 0)), """")"),"")</f>
        <v/>
      </c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8"/>
      <c r="AO263" s="28"/>
      <c r="AP263" s="29"/>
      <c r="AQ263" s="29" t="str">
        <f t="shared" ref="AQ263:BL263" si="266">T263/T$2</f>
        <v>#N/A</v>
      </c>
      <c r="AR263" s="29" t="str">
        <f t="shared" si="266"/>
        <v>#DIV/0!</v>
      </c>
      <c r="AS263" s="29" t="str">
        <f t="shared" si="266"/>
        <v>#DIV/0!</v>
      </c>
      <c r="AT263" s="29" t="str">
        <f t="shared" si="266"/>
        <v>#DIV/0!</v>
      </c>
      <c r="AU263" s="29" t="str">
        <f t="shared" si="266"/>
        <v>#DIV/0!</v>
      </c>
      <c r="AV263" s="29" t="str">
        <f t="shared" si="266"/>
        <v>#DIV/0!</v>
      </c>
      <c r="AW263" s="29" t="str">
        <f t="shared" si="266"/>
        <v>#DIV/0!</v>
      </c>
      <c r="AX263" s="29" t="str">
        <f t="shared" si="266"/>
        <v>#DIV/0!</v>
      </c>
      <c r="AY263" s="29" t="str">
        <f t="shared" si="266"/>
        <v>#DIV/0!</v>
      </c>
      <c r="AZ263" s="29" t="str">
        <f t="shared" si="266"/>
        <v>#DIV/0!</v>
      </c>
      <c r="BA263" s="29" t="str">
        <f t="shared" si="266"/>
        <v>#DIV/0!</v>
      </c>
      <c r="BB263" s="29" t="str">
        <f t="shared" si="266"/>
        <v>#DIV/0!</v>
      </c>
      <c r="BC263" s="29" t="str">
        <f t="shared" si="266"/>
        <v>#DIV/0!</v>
      </c>
      <c r="BD263" s="29" t="str">
        <f t="shared" si="266"/>
        <v>#DIV/0!</v>
      </c>
      <c r="BE263" s="29" t="str">
        <f t="shared" si="266"/>
        <v>#DIV/0!</v>
      </c>
      <c r="BF263" s="29" t="str">
        <f t="shared" si="266"/>
        <v>#DIV/0!</v>
      </c>
      <c r="BG263" s="29" t="str">
        <f t="shared" si="266"/>
        <v>#DIV/0!</v>
      </c>
      <c r="BH263" s="29" t="str">
        <f t="shared" si="266"/>
        <v>#DIV/0!</v>
      </c>
      <c r="BI263" s="29" t="str">
        <f t="shared" si="266"/>
        <v>#DIV/0!</v>
      </c>
      <c r="BJ263" s="29" t="str">
        <f t="shared" si="266"/>
        <v>#DIV/0!</v>
      </c>
      <c r="BK263" s="29" t="str">
        <f t="shared" si="266"/>
        <v>#DIV/0!</v>
      </c>
      <c r="BL263" s="29" t="str">
        <f t="shared" si="266"/>
        <v>#DIV/0!</v>
      </c>
      <c r="BM263" s="29" t="str">
        <f t="shared" si="3"/>
        <v>#DIV/0!</v>
      </c>
    </row>
    <row r="264">
      <c r="A264" s="16" t="str">
        <f>IFERROR(__xludf.DUMMYFUNCTION("IFERROR(SPARKLINE(SORT(MAP(TRANSPOSE(AQ264:BL264), LAMBDA(val, IF(ISNUMBER(val), PERCENTRANK(AQ264:BL264, val)+0.01, 0))), SEQUENCE(COLUMNS(AQ264:BL264)), FALSE), {""charttype"",""column""; ""color"",""chartreuse""; ""ymin"", 0; ""ymax"", 1.01; ""highcolo"&amp;"r"", ""darkgreen""; ""lowcolor"", ""red""}), """")"),"")</f>
        <v/>
      </c>
      <c r="B264" s="17" t="str">
        <f t="shared" si="4"/>
        <v/>
      </c>
      <c r="C264" s="1" t="s">
        <v>1092</v>
      </c>
      <c r="D264" s="30" t="str">
        <f>IFERROR(__xludf.DUMMYFUNCTION("IFERROR(GOOGLEFINANCE(C264, ""NAME""))"),"Royal Caribbean Cruises Ltd")</f>
        <v>Royal Caribbean Cruises Ltd</v>
      </c>
      <c r="E264" s="30" t="s">
        <v>248</v>
      </c>
      <c r="F264" s="33" t="str">
        <f>IFERROR(__xludf.DUMMYFUNCTION("( (GOOGLEFINANCE(C264, ""price"") - Q264) / Q264 ) / (R264 / 100)"),"Loading...")</f>
        <v>Loading...</v>
      </c>
      <c r="G264" s="20" t="str">
        <f>IFERROR(__xludf.DUMMYFUNCTION("AVERAGE(ARRAYFORMULA(100 * (QUERY(GOOGLEFINANCE(C264, ""high"", TODAY()-40, TODAY()), ""SELECT Col2 WHERE Col2 IS NOT NULL ORDER BY Col1 DESC LIMIT 20"", 0) / QUERY(GOOGLEFINANCE(C264, ""low"", TODAY()-40, TODAY()), ""SELECT Col2 WHERE Col2 IS NOT NULL OR"&amp;"DER BY Col1 DESC LIMIT 20"", 0) - 1)))"),"#N/A")</f>
        <v>#N/A</v>
      </c>
      <c r="H264" s="35" t="str">
        <f t="shared" si="6"/>
        <v/>
      </c>
      <c r="I264" s="35" t="str">
        <f t="shared" si="7"/>
        <v/>
      </c>
      <c r="J264" s="37" t="str">
        <f>IFERROR(__xludf.DUMMYFUNCTION("IFERROR(
  IF(C264="""",, 
    IFERROR(
      GOOGLEFINANCE(C264, ""price"") * GOOGLEFINANCE(C264, ""volumeavg""), 
      GOOGLEFINANCE(C264, ""price"") * AVERAGE(QUERY(GOOGLEFINANCE(C264, ""volume"", TODAY()-40, TODAY()), ""SELECT Col2 WHERE Col2 IS NOT "&amp;"NULL ORDER BY Col1 DESC LIMIT 20"", 0))
    )
  ), 
"""")"),"")</f>
        <v/>
      </c>
      <c r="K264" s="21" t="str">
        <f>IFERROR(__xludf.DUMMYFUNCTION("IFERROR(GOOGLEFINANCE(C264, ""changepct"") / 100, """")"),"")</f>
        <v/>
      </c>
      <c r="L264" s="21" t="str">
        <f>IFERROR(__xludf.DUMMYFUNCTION("IFERROR((GOOGLEFINANCE(C264, ""price"") / INDEX(GOOGLEFINANCE(C264, ""price"", TODAY()-7, TODAY()), 2, 2)) - 1, """")"),"")</f>
        <v/>
      </c>
      <c r="M264" s="21" t="str">
        <f>IFERROR(__xludf.DUMMYFUNCTION("IFERROR((GOOGLEFINANCE(C264, ""price"") / INDEX(GOOGLEFINANCE(C264, ""price"", EDATE(TODAY(), -1), TODAY()), 2, 2)) - 1, """")"),"")</f>
        <v/>
      </c>
      <c r="N264" s="21" t="str">
        <f>IFERROR(__xludf.DUMMYFUNCTION("IFERROR((GOOGLEFINANCE(C264, ""price"") / INDEX(GOOGLEFINANCE(C264, ""price"", EDATE(TODAY(), -3), TODAY()), 2, 2)) - 1, """")"),"")</f>
        <v/>
      </c>
      <c r="O264" s="21" t="str">
        <f>IFERROR(__xludf.DUMMYFUNCTION("IFERROR((GOOGLEFINANCE(C264, ""price"") / INDEX(GOOGLEFINANCE(C264, ""price"", EDATE(TODAY(), -6), TODAY()), 2, 2)) - 1, """")"),"")</f>
        <v/>
      </c>
      <c r="P264" s="21" t="str">
        <f>IFERROR(__xludf.DUMMYFUNCTION("IFERROR((GOOGLEFINANCE(C264, ""price"") / INDEX(GOOGLEFINANCE(C264, ""price"", EDATE(TODAY(), -12), TODAY()), 2, 2)) - 1, """")"),"")</f>
        <v/>
      </c>
      <c r="Q264" s="6" t="str">
        <f>IFERROR(__xludf.DUMMYFUNCTION("AVERAGE(QUERY(GOOGLEFINANCE(C264, ""price"", TODAY()-80, TODAY()), ""SELECT Col2 WHERE Col2 IS NOT NULL ORDER BY Col1 DESC LIMIT 50"", 0))"),"#N/A")</f>
        <v>#N/A</v>
      </c>
      <c r="R264" s="24" t="str">
        <f>IFERROR(__xludf.DUMMYFUNCTION("IFERROR(
  LET(
    data, QUERY(GOOGLEFINANCE(C264,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GOOGLEFINANCE(C264, ""price"")) * 100,
    IF(calc=0, G264, calc)
  ), 
G264)"),"#N/A")</f>
        <v>#N/A</v>
      </c>
      <c r="S264" s="8" t="s">
        <v>15</v>
      </c>
      <c r="T264" s="26" t="str">
        <f>IFERROR(__xludf.DUMMYFUNCTION("IFERROR(TRANSPOSE(QUERY(IFERROR(SORT(GOOGLEFINANCE(C264, ""price"", WORKDAY(TODAY(), -40), TODAY()), 1, FALSE)), ""select Col2 where Col2 is not null limit 22 label Col2 ''"", 0)), """")"),"")</f>
        <v/>
      </c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8"/>
      <c r="AO264" s="28"/>
      <c r="AP264" s="29"/>
      <c r="AQ264" s="29" t="str">
        <f t="shared" ref="AQ264:BL264" si="267">T264/T$2</f>
        <v>#N/A</v>
      </c>
      <c r="AR264" s="29" t="str">
        <f t="shared" si="267"/>
        <v>#DIV/0!</v>
      </c>
      <c r="AS264" s="29" t="str">
        <f t="shared" si="267"/>
        <v>#DIV/0!</v>
      </c>
      <c r="AT264" s="29" t="str">
        <f t="shared" si="267"/>
        <v>#DIV/0!</v>
      </c>
      <c r="AU264" s="29" t="str">
        <f t="shared" si="267"/>
        <v>#DIV/0!</v>
      </c>
      <c r="AV264" s="29" t="str">
        <f t="shared" si="267"/>
        <v>#DIV/0!</v>
      </c>
      <c r="AW264" s="29" t="str">
        <f t="shared" si="267"/>
        <v>#DIV/0!</v>
      </c>
      <c r="AX264" s="29" t="str">
        <f t="shared" si="267"/>
        <v>#DIV/0!</v>
      </c>
      <c r="AY264" s="29" t="str">
        <f t="shared" si="267"/>
        <v>#DIV/0!</v>
      </c>
      <c r="AZ264" s="29" t="str">
        <f t="shared" si="267"/>
        <v>#DIV/0!</v>
      </c>
      <c r="BA264" s="29" t="str">
        <f t="shared" si="267"/>
        <v>#DIV/0!</v>
      </c>
      <c r="BB264" s="29" t="str">
        <f t="shared" si="267"/>
        <v>#DIV/0!</v>
      </c>
      <c r="BC264" s="29" t="str">
        <f t="shared" si="267"/>
        <v>#DIV/0!</v>
      </c>
      <c r="BD264" s="29" t="str">
        <f t="shared" si="267"/>
        <v>#DIV/0!</v>
      </c>
      <c r="BE264" s="29" t="str">
        <f t="shared" si="267"/>
        <v>#DIV/0!</v>
      </c>
      <c r="BF264" s="29" t="str">
        <f t="shared" si="267"/>
        <v>#DIV/0!</v>
      </c>
      <c r="BG264" s="29" t="str">
        <f t="shared" si="267"/>
        <v>#DIV/0!</v>
      </c>
      <c r="BH264" s="29" t="str">
        <f t="shared" si="267"/>
        <v>#DIV/0!</v>
      </c>
      <c r="BI264" s="29" t="str">
        <f t="shared" si="267"/>
        <v>#DIV/0!</v>
      </c>
      <c r="BJ264" s="29" t="str">
        <f t="shared" si="267"/>
        <v>#DIV/0!</v>
      </c>
      <c r="BK264" s="29" t="str">
        <f t="shared" si="267"/>
        <v>#DIV/0!</v>
      </c>
      <c r="BL264" s="29" t="str">
        <f t="shared" si="267"/>
        <v>#DIV/0!</v>
      </c>
      <c r="BM264" s="29" t="str">
        <f t="shared" si="3"/>
        <v>#DIV/0!</v>
      </c>
    </row>
    <row r="265">
      <c r="A265" s="16" t="str">
        <f>IFERROR(__xludf.DUMMYFUNCTION("IFERROR(SPARKLINE(SORT(MAP(TRANSPOSE(AQ265:BL265), LAMBDA(val, IF(ISNUMBER(val), PERCENTRANK(AQ265:BL265, val)+0.01, 0))), SEQUENCE(COLUMNS(AQ265:BL265)), FALSE), {""charttype"",""column""; ""color"",""chartreuse""; ""ymin"", 0; ""ymax"", 1.01; ""highcolo"&amp;"r"", ""darkgreen""; ""lowcolor"", ""red""}), """")"),"")</f>
        <v/>
      </c>
      <c r="B265" s="17" t="str">
        <f t="shared" si="4"/>
        <v/>
      </c>
      <c r="C265" s="1" t="s">
        <v>1096</v>
      </c>
      <c r="D265" s="30" t="str">
        <f>IFERROR(__xludf.DUMMYFUNCTION("IFERROR(GOOGLEFINANCE(C265, ""NAME""))"),"")</f>
        <v/>
      </c>
      <c r="E265" s="30" t="s">
        <v>137</v>
      </c>
      <c r="F265" s="33" t="str">
        <f>IFERROR(__xludf.DUMMYFUNCTION("( (GOOGLEFINANCE(C265, ""price"") - Q265) / Q265 ) / (R265 / 100)"),"Loading...")</f>
        <v>Loading...</v>
      </c>
      <c r="G265" s="20" t="str">
        <f>IFERROR(__xludf.DUMMYFUNCTION("AVERAGE(ARRAYFORMULA(100 * (QUERY(GOOGLEFINANCE(C265, ""high"", TODAY()-40, TODAY()), ""SELECT Col2 WHERE Col2 IS NOT NULL ORDER BY Col1 DESC LIMIT 20"", 0) / QUERY(GOOGLEFINANCE(C265, ""low"", TODAY()-40, TODAY()), ""SELECT Col2 WHERE Col2 IS NOT NULL OR"&amp;"DER BY Col1 DESC LIMIT 20"", 0) - 1)))"),"#N/A")</f>
        <v>#N/A</v>
      </c>
      <c r="H265" s="35" t="str">
        <f t="shared" si="6"/>
        <v/>
      </c>
      <c r="I265" s="35" t="str">
        <f t="shared" si="7"/>
        <v/>
      </c>
      <c r="J265" s="37" t="str">
        <f>IFERROR(__xludf.DUMMYFUNCTION("IFERROR(
  IF(C265="""",, 
    IFERROR(
      GOOGLEFINANCE(C265, ""price"") * GOOGLEFINANCE(C265, ""volumeavg""), 
      GOOGLEFINANCE(C265, ""price"") * AVERAGE(QUERY(GOOGLEFINANCE(C265, ""volume"", TODAY()-40, TODAY()), ""SELECT Col2 WHERE Col2 IS NOT "&amp;"NULL ORDER BY Col1 DESC LIMIT 20"", 0))
    )
  ), 
"""")"),"")</f>
        <v/>
      </c>
      <c r="K265" s="21" t="str">
        <f>IFERROR(__xludf.DUMMYFUNCTION("IFERROR(GOOGLEFINANCE(C265, ""changepct"") / 100, """")"),"")</f>
        <v/>
      </c>
      <c r="L265" s="21" t="str">
        <f>IFERROR(__xludf.DUMMYFUNCTION("IFERROR((GOOGLEFINANCE(C265, ""price"") / INDEX(GOOGLEFINANCE(C265, ""price"", TODAY()-7, TODAY()), 2, 2)) - 1, """")"),"")</f>
        <v/>
      </c>
      <c r="M265" s="21" t="str">
        <f>IFERROR(__xludf.DUMMYFUNCTION("IFERROR((GOOGLEFINANCE(C265, ""price"") / INDEX(GOOGLEFINANCE(C265, ""price"", EDATE(TODAY(), -1), TODAY()), 2, 2)) - 1, """")"),"")</f>
        <v/>
      </c>
      <c r="N265" s="21" t="str">
        <f>IFERROR(__xludf.DUMMYFUNCTION("IFERROR((GOOGLEFINANCE(C265, ""price"") / INDEX(GOOGLEFINANCE(C265, ""price"", EDATE(TODAY(), -3), TODAY()), 2, 2)) - 1, """")"),"")</f>
        <v/>
      </c>
      <c r="O265" s="21" t="str">
        <f>IFERROR(__xludf.DUMMYFUNCTION("IFERROR((GOOGLEFINANCE(C265, ""price"") / INDEX(GOOGLEFINANCE(C265, ""price"", EDATE(TODAY(), -6), TODAY()), 2, 2)) - 1, """")"),"")</f>
        <v/>
      </c>
      <c r="P265" s="21" t="str">
        <f>IFERROR(__xludf.DUMMYFUNCTION("IFERROR((GOOGLEFINANCE(C265, ""price"") / INDEX(GOOGLEFINANCE(C265, ""price"", EDATE(TODAY(), -12), TODAY()), 2, 2)) - 1, """")"),"")</f>
        <v/>
      </c>
      <c r="Q265" s="6" t="str">
        <f>IFERROR(__xludf.DUMMYFUNCTION("AVERAGE(QUERY(GOOGLEFINANCE(C265, ""price"", TODAY()-80, TODAY()), ""SELECT Col2 WHERE Col2 IS NOT NULL ORDER BY Col1 DESC LIMIT 50"", 0))"),"#N/A")</f>
        <v>#N/A</v>
      </c>
      <c r="R265" s="24" t="str">
        <f>IFERROR(__xludf.DUMMYFUNCTION("IFERROR(
  LET(
    data, QUERY(GOOGLEFINANCE(C265,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GOOGLEFINANCE(C265, ""price"")) * 100,
    IF(calc=0, G265, calc)
  ), 
G265)"),"#N/A")</f>
        <v>#N/A</v>
      </c>
      <c r="S265" s="8" t="s">
        <v>15</v>
      </c>
      <c r="T265" s="26" t="str">
        <f>IFERROR(__xludf.DUMMYFUNCTION("IFERROR(TRANSPOSE(QUERY(IFERROR(SORT(GOOGLEFINANCE(C265, ""price"", WORKDAY(TODAY(), -40), TODAY()), 1, FALSE)), ""select Col2 where Col2 is not null limit 22 label Col2 ''"", 0)), """")"),"")</f>
        <v/>
      </c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8"/>
      <c r="AO265" s="28"/>
      <c r="AP265" s="29"/>
      <c r="AQ265" s="29" t="str">
        <f t="shared" ref="AQ265:BL265" si="268">T265/T$2</f>
        <v>#N/A</v>
      </c>
      <c r="AR265" s="29" t="str">
        <f t="shared" si="268"/>
        <v>#DIV/0!</v>
      </c>
      <c r="AS265" s="29" t="str">
        <f t="shared" si="268"/>
        <v>#DIV/0!</v>
      </c>
      <c r="AT265" s="29" t="str">
        <f t="shared" si="268"/>
        <v>#DIV/0!</v>
      </c>
      <c r="AU265" s="29" t="str">
        <f t="shared" si="268"/>
        <v>#DIV/0!</v>
      </c>
      <c r="AV265" s="29" t="str">
        <f t="shared" si="268"/>
        <v>#DIV/0!</v>
      </c>
      <c r="AW265" s="29" t="str">
        <f t="shared" si="268"/>
        <v>#DIV/0!</v>
      </c>
      <c r="AX265" s="29" t="str">
        <f t="shared" si="268"/>
        <v>#DIV/0!</v>
      </c>
      <c r="AY265" s="29" t="str">
        <f t="shared" si="268"/>
        <v>#DIV/0!</v>
      </c>
      <c r="AZ265" s="29" t="str">
        <f t="shared" si="268"/>
        <v>#DIV/0!</v>
      </c>
      <c r="BA265" s="29" t="str">
        <f t="shared" si="268"/>
        <v>#DIV/0!</v>
      </c>
      <c r="BB265" s="29" t="str">
        <f t="shared" si="268"/>
        <v>#DIV/0!</v>
      </c>
      <c r="BC265" s="29" t="str">
        <f t="shared" si="268"/>
        <v>#DIV/0!</v>
      </c>
      <c r="BD265" s="29" t="str">
        <f t="shared" si="268"/>
        <v>#DIV/0!</v>
      </c>
      <c r="BE265" s="29" t="str">
        <f t="shared" si="268"/>
        <v>#DIV/0!</v>
      </c>
      <c r="BF265" s="29" t="str">
        <f t="shared" si="268"/>
        <v>#DIV/0!</v>
      </c>
      <c r="BG265" s="29" t="str">
        <f t="shared" si="268"/>
        <v>#DIV/0!</v>
      </c>
      <c r="BH265" s="29" t="str">
        <f t="shared" si="268"/>
        <v>#DIV/0!</v>
      </c>
      <c r="BI265" s="29" t="str">
        <f t="shared" si="268"/>
        <v>#DIV/0!</v>
      </c>
      <c r="BJ265" s="29" t="str">
        <f t="shared" si="268"/>
        <v>#DIV/0!</v>
      </c>
      <c r="BK265" s="29" t="str">
        <f t="shared" si="268"/>
        <v>#DIV/0!</v>
      </c>
      <c r="BL265" s="29" t="str">
        <f t="shared" si="268"/>
        <v>#DIV/0!</v>
      </c>
      <c r="BM265" s="29" t="str">
        <f t="shared" si="3"/>
        <v>#DIV/0!</v>
      </c>
    </row>
    <row r="266">
      <c r="A266" s="16" t="str">
        <f>IFERROR(__xludf.DUMMYFUNCTION("IFERROR(SPARKLINE(SORT(MAP(TRANSPOSE(AQ266:BL266), LAMBDA(val, IF(ISNUMBER(val), PERCENTRANK(AQ266:BL266, val)+0.01, 0))), SEQUENCE(COLUMNS(AQ266:BL266)), FALSE), {""charttype"",""column""; ""color"",""chartreuse""; ""ymin"", 0; ""ymax"", 1.01; ""highcolo"&amp;"r"", ""darkgreen""; ""lowcolor"", ""red""}), """")"),"")</f>
        <v/>
      </c>
      <c r="B266" s="17" t="str">
        <f t="shared" si="4"/>
        <v/>
      </c>
      <c r="C266" s="1" t="s">
        <v>1100</v>
      </c>
      <c r="D266" s="30" t="str">
        <f>IFERROR(__xludf.DUMMYFUNCTION("IFERROR(GOOGLEFINANCE(C266, ""NAME""))"),"OneSpaWorld Holdings Ltd")</f>
        <v>OneSpaWorld Holdings Ltd</v>
      </c>
      <c r="E266" s="30" t="s">
        <v>158</v>
      </c>
      <c r="F266" s="33" t="str">
        <f>IFERROR(__xludf.DUMMYFUNCTION("( (GOOGLEFINANCE(C266, ""price"") - Q266) / Q266 ) / (R266 / 100)"),"Loading...")</f>
        <v>Loading...</v>
      </c>
      <c r="G266" s="20" t="str">
        <f>IFERROR(__xludf.DUMMYFUNCTION("AVERAGE(ARRAYFORMULA(100 * (QUERY(GOOGLEFINANCE(C266, ""high"", TODAY()-40, TODAY()), ""SELECT Col2 WHERE Col2 IS NOT NULL ORDER BY Col1 DESC LIMIT 20"", 0) / QUERY(GOOGLEFINANCE(C266, ""low"", TODAY()-40, TODAY()), ""SELECT Col2 WHERE Col2 IS NOT NULL OR"&amp;"DER BY Col1 DESC LIMIT 20"", 0) - 1)))"),"#N/A")</f>
        <v>#N/A</v>
      </c>
      <c r="H266" s="35" t="str">
        <f t="shared" si="6"/>
        <v/>
      </c>
      <c r="I266" s="35" t="str">
        <f t="shared" si="7"/>
        <v/>
      </c>
      <c r="J266" s="37" t="str">
        <f>IFERROR(__xludf.DUMMYFUNCTION("IFERROR(
  IF(C266="""",, 
    IFERROR(
      GOOGLEFINANCE(C266, ""price"") * GOOGLEFINANCE(C266, ""volumeavg""), 
      GOOGLEFINANCE(C266, ""price"") * AVERAGE(QUERY(GOOGLEFINANCE(C266, ""volume"", TODAY()-40, TODAY()), ""SELECT Col2 WHERE Col2 IS NOT "&amp;"NULL ORDER BY Col1 DESC LIMIT 20"", 0))
    )
  ), 
"""")"),"")</f>
        <v/>
      </c>
      <c r="K266" s="21" t="str">
        <f>IFERROR(__xludf.DUMMYFUNCTION("IFERROR(GOOGLEFINANCE(C266, ""changepct"") / 100, """")"),"")</f>
        <v/>
      </c>
      <c r="L266" s="21" t="str">
        <f>IFERROR(__xludf.DUMMYFUNCTION("IFERROR((GOOGLEFINANCE(C266, ""price"") / INDEX(GOOGLEFINANCE(C266, ""price"", TODAY()-7, TODAY()), 2, 2)) - 1, """")"),"")</f>
        <v/>
      </c>
      <c r="M266" s="21" t="str">
        <f>IFERROR(__xludf.DUMMYFUNCTION("IFERROR((GOOGLEFINANCE(C266, ""price"") / INDEX(GOOGLEFINANCE(C266, ""price"", EDATE(TODAY(), -1), TODAY()), 2, 2)) - 1, """")"),"")</f>
        <v/>
      </c>
      <c r="N266" s="21" t="str">
        <f>IFERROR(__xludf.DUMMYFUNCTION("IFERROR((GOOGLEFINANCE(C266, ""price"") / INDEX(GOOGLEFINANCE(C266, ""price"", EDATE(TODAY(), -3), TODAY()), 2, 2)) - 1, """")"),"")</f>
        <v/>
      </c>
      <c r="O266" s="21" t="str">
        <f>IFERROR(__xludf.DUMMYFUNCTION("IFERROR((GOOGLEFINANCE(C266, ""price"") / INDEX(GOOGLEFINANCE(C266, ""price"", EDATE(TODAY(), -6), TODAY()), 2, 2)) - 1, """")"),"")</f>
        <v/>
      </c>
      <c r="P266" s="21" t="str">
        <f>IFERROR(__xludf.DUMMYFUNCTION("IFERROR((GOOGLEFINANCE(C266, ""price"") / INDEX(GOOGLEFINANCE(C266, ""price"", EDATE(TODAY(), -12), TODAY()), 2, 2)) - 1, """")"),"")</f>
        <v/>
      </c>
      <c r="Q266" s="6" t="str">
        <f>IFERROR(__xludf.DUMMYFUNCTION("AVERAGE(QUERY(GOOGLEFINANCE(C266, ""price"", TODAY()-80, TODAY()), ""SELECT Col2 WHERE Col2 IS NOT NULL ORDER BY Col1 DESC LIMIT 50"", 0))"),"#N/A")</f>
        <v>#N/A</v>
      </c>
      <c r="R266" s="24" t="str">
        <f>IFERROR(__xludf.DUMMYFUNCTION("IFERROR(
  LET(
    data, QUERY(GOOGLEFINANCE(C266,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GOOGLEFINANCE(C266, ""price"")) * 100,
    IF(calc=0, G266, calc)
  ), 
G266)"),"#N/A")</f>
        <v>#N/A</v>
      </c>
      <c r="S266" s="8" t="s">
        <v>15</v>
      </c>
      <c r="T266" s="26" t="str">
        <f>IFERROR(__xludf.DUMMYFUNCTION("IFERROR(TRANSPOSE(QUERY(IFERROR(SORT(GOOGLEFINANCE(C266, ""price"", WORKDAY(TODAY(), -40), TODAY()), 1, FALSE)), ""select Col2 where Col2 is not null limit 22 label Col2 ''"", 0)), """")"),"")</f>
        <v/>
      </c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8"/>
      <c r="AO266" s="28"/>
      <c r="AP266" s="29"/>
      <c r="AQ266" s="29" t="str">
        <f t="shared" ref="AQ266:BL266" si="269">T266/T$2</f>
        <v>#N/A</v>
      </c>
      <c r="AR266" s="29" t="str">
        <f t="shared" si="269"/>
        <v>#DIV/0!</v>
      </c>
      <c r="AS266" s="29" t="str">
        <f t="shared" si="269"/>
        <v>#DIV/0!</v>
      </c>
      <c r="AT266" s="29" t="str">
        <f t="shared" si="269"/>
        <v>#DIV/0!</v>
      </c>
      <c r="AU266" s="29" t="str">
        <f t="shared" si="269"/>
        <v>#DIV/0!</v>
      </c>
      <c r="AV266" s="29" t="str">
        <f t="shared" si="269"/>
        <v>#DIV/0!</v>
      </c>
      <c r="AW266" s="29" t="str">
        <f t="shared" si="269"/>
        <v>#DIV/0!</v>
      </c>
      <c r="AX266" s="29" t="str">
        <f t="shared" si="269"/>
        <v>#DIV/0!</v>
      </c>
      <c r="AY266" s="29" t="str">
        <f t="shared" si="269"/>
        <v>#DIV/0!</v>
      </c>
      <c r="AZ266" s="29" t="str">
        <f t="shared" si="269"/>
        <v>#DIV/0!</v>
      </c>
      <c r="BA266" s="29" t="str">
        <f t="shared" si="269"/>
        <v>#DIV/0!</v>
      </c>
      <c r="BB266" s="29" t="str">
        <f t="shared" si="269"/>
        <v>#DIV/0!</v>
      </c>
      <c r="BC266" s="29" t="str">
        <f t="shared" si="269"/>
        <v>#DIV/0!</v>
      </c>
      <c r="BD266" s="29" t="str">
        <f t="shared" si="269"/>
        <v>#DIV/0!</v>
      </c>
      <c r="BE266" s="29" t="str">
        <f t="shared" si="269"/>
        <v>#DIV/0!</v>
      </c>
      <c r="BF266" s="29" t="str">
        <f t="shared" si="269"/>
        <v>#DIV/0!</v>
      </c>
      <c r="BG266" s="29" t="str">
        <f t="shared" si="269"/>
        <v>#DIV/0!</v>
      </c>
      <c r="BH266" s="29" t="str">
        <f t="shared" si="269"/>
        <v>#DIV/0!</v>
      </c>
      <c r="BI266" s="29" t="str">
        <f t="shared" si="269"/>
        <v>#DIV/0!</v>
      </c>
      <c r="BJ266" s="29" t="str">
        <f t="shared" si="269"/>
        <v>#DIV/0!</v>
      </c>
      <c r="BK266" s="29" t="str">
        <f t="shared" si="269"/>
        <v>#DIV/0!</v>
      </c>
      <c r="BL266" s="29" t="str">
        <f t="shared" si="269"/>
        <v>#DIV/0!</v>
      </c>
      <c r="BM266" s="29" t="str">
        <f t="shared" si="3"/>
        <v>#DIV/0!</v>
      </c>
    </row>
    <row r="267">
      <c r="A267" s="16" t="str">
        <f>IFERROR(__xludf.DUMMYFUNCTION("IFERROR(SPARKLINE(SORT(MAP(TRANSPOSE(AQ267:BL267), LAMBDA(val, IF(ISNUMBER(val), PERCENTRANK(AQ267:BL267, val)+0.01, 0))), SEQUENCE(COLUMNS(AQ267:BL267)), FALSE), {""charttype"",""column""; ""color"",""chartreuse""; ""ymin"", 0; ""ymax"", 1.01; ""highcolo"&amp;"r"", ""darkgreen""; ""lowcolor"", ""red""}), """")"),"")</f>
        <v/>
      </c>
      <c r="B267" s="17" t="str">
        <f t="shared" si="4"/>
        <v/>
      </c>
      <c r="C267" s="1" t="s">
        <v>1103</v>
      </c>
      <c r="D267" s="30" t="str">
        <f>IFERROR(__xludf.DUMMYFUNCTION("IFERROR(GOOGLEFINANCE(C267, ""NAME""))"),"Camping World Holdings Inc")</f>
        <v>Camping World Holdings Inc</v>
      </c>
      <c r="E267" s="30" t="s">
        <v>190</v>
      </c>
      <c r="F267" s="33" t="str">
        <f>IFERROR(__xludf.DUMMYFUNCTION("( (GOOGLEFINANCE(C267, ""price"") - Q267) / Q267 ) / (R267 / 100)"),"Loading...")</f>
        <v>Loading...</v>
      </c>
      <c r="G267" s="20" t="str">
        <f>IFERROR(__xludf.DUMMYFUNCTION("AVERAGE(ARRAYFORMULA(100 * (QUERY(GOOGLEFINANCE(C267, ""high"", TODAY()-40, TODAY()), ""SELECT Col2 WHERE Col2 IS NOT NULL ORDER BY Col1 DESC LIMIT 20"", 0) / QUERY(GOOGLEFINANCE(C267, ""low"", TODAY()-40, TODAY()), ""SELECT Col2 WHERE Col2 IS NOT NULL OR"&amp;"DER BY Col1 DESC LIMIT 20"", 0) - 1)))"),"#N/A")</f>
        <v>#N/A</v>
      </c>
      <c r="H267" s="35" t="str">
        <f t="shared" si="6"/>
        <v/>
      </c>
      <c r="I267" s="35" t="str">
        <f t="shared" si="7"/>
        <v/>
      </c>
      <c r="J267" s="37" t="str">
        <f>IFERROR(__xludf.DUMMYFUNCTION("IFERROR(
  IF(C267="""",, 
    IFERROR(
      GOOGLEFINANCE(C267, ""price"") * GOOGLEFINANCE(C267, ""volumeavg""), 
      GOOGLEFINANCE(C267, ""price"") * AVERAGE(QUERY(GOOGLEFINANCE(C267, ""volume"", TODAY()-40, TODAY()), ""SELECT Col2 WHERE Col2 IS NOT "&amp;"NULL ORDER BY Col1 DESC LIMIT 20"", 0))
    )
  ), 
"""")"),"")</f>
        <v/>
      </c>
      <c r="K267" s="21" t="str">
        <f>IFERROR(__xludf.DUMMYFUNCTION("IFERROR(GOOGLEFINANCE(C267, ""changepct"") / 100, """")"),"")</f>
        <v/>
      </c>
      <c r="L267" s="21" t="str">
        <f>IFERROR(__xludf.DUMMYFUNCTION("IFERROR((GOOGLEFINANCE(C267, ""price"") / INDEX(GOOGLEFINANCE(C267, ""price"", TODAY()-7, TODAY()), 2, 2)) - 1, """")"),"")</f>
        <v/>
      </c>
      <c r="M267" s="21" t="str">
        <f>IFERROR(__xludf.DUMMYFUNCTION("IFERROR((GOOGLEFINANCE(C267, ""price"") / INDEX(GOOGLEFINANCE(C267, ""price"", EDATE(TODAY(), -1), TODAY()), 2, 2)) - 1, """")"),"")</f>
        <v/>
      </c>
      <c r="N267" s="21" t="str">
        <f>IFERROR(__xludf.DUMMYFUNCTION("IFERROR((GOOGLEFINANCE(C267, ""price"") / INDEX(GOOGLEFINANCE(C267, ""price"", EDATE(TODAY(), -3), TODAY()), 2, 2)) - 1, """")"),"")</f>
        <v/>
      </c>
      <c r="O267" s="21" t="str">
        <f>IFERROR(__xludf.DUMMYFUNCTION("IFERROR((GOOGLEFINANCE(C267, ""price"") / INDEX(GOOGLEFINANCE(C267, ""price"", EDATE(TODAY(), -6), TODAY()), 2, 2)) - 1, """")"),"")</f>
        <v/>
      </c>
      <c r="P267" s="21" t="str">
        <f>IFERROR(__xludf.DUMMYFUNCTION("IFERROR((GOOGLEFINANCE(C267, ""price"") / INDEX(GOOGLEFINANCE(C267, ""price"", EDATE(TODAY(), -12), TODAY()), 2, 2)) - 1, """")"),"")</f>
        <v/>
      </c>
      <c r="Q267" s="6" t="str">
        <f>IFERROR(__xludf.DUMMYFUNCTION("AVERAGE(QUERY(GOOGLEFINANCE(C267, ""price"", TODAY()-80, TODAY()), ""SELECT Col2 WHERE Col2 IS NOT NULL ORDER BY Col1 DESC LIMIT 50"", 0))"),"#N/A")</f>
        <v>#N/A</v>
      </c>
      <c r="R267" s="24" t="str">
        <f>IFERROR(__xludf.DUMMYFUNCTION("IFERROR(
  LET(
    data, QUERY(GOOGLEFINANCE(C267,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GOOGLEFINANCE(C267, ""price"")) * 100,
    IF(calc=0, G267, calc)
  ), 
G267)"),"#N/A")</f>
        <v>#N/A</v>
      </c>
      <c r="S267" s="8" t="s">
        <v>15</v>
      </c>
      <c r="T267" s="26" t="str">
        <f>IFERROR(__xludf.DUMMYFUNCTION("IFERROR(TRANSPOSE(QUERY(IFERROR(SORT(GOOGLEFINANCE(C267, ""price"", WORKDAY(TODAY(), -40), TODAY()), 1, FALSE)), ""select Col2 where Col2 is not null limit 22 label Col2 ''"", 0)), """")"),"")</f>
        <v/>
      </c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8"/>
      <c r="AO267" s="28"/>
      <c r="AP267" s="29"/>
      <c r="AQ267" s="29" t="str">
        <f t="shared" ref="AQ267:BL267" si="270">T267/T$2</f>
        <v>#N/A</v>
      </c>
      <c r="AR267" s="29" t="str">
        <f t="shared" si="270"/>
        <v>#DIV/0!</v>
      </c>
      <c r="AS267" s="29" t="str">
        <f t="shared" si="270"/>
        <v>#DIV/0!</v>
      </c>
      <c r="AT267" s="29" t="str">
        <f t="shared" si="270"/>
        <v>#DIV/0!</v>
      </c>
      <c r="AU267" s="29" t="str">
        <f t="shared" si="270"/>
        <v>#DIV/0!</v>
      </c>
      <c r="AV267" s="29" t="str">
        <f t="shared" si="270"/>
        <v>#DIV/0!</v>
      </c>
      <c r="AW267" s="29" t="str">
        <f t="shared" si="270"/>
        <v>#DIV/0!</v>
      </c>
      <c r="AX267" s="29" t="str">
        <f t="shared" si="270"/>
        <v>#DIV/0!</v>
      </c>
      <c r="AY267" s="29" t="str">
        <f t="shared" si="270"/>
        <v>#DIV/0!</v>
      </c>
      <c r="AZ267" s="29" t="str">
        <f t="shared" si="270"/>
        <v>#DIV/0!</v>
      </c>
      <c r="BA267" s="29" t="str">
        <f t="shared" si="270"/>
        <v>#DIV/0!</v>
      </c>
      <c r="BB267" s="29" t="str">
        <f t="shared" si="270"/>
        <v>#DIV/0!</v>
      </c>
      <c r="BC267" s="29" t="str">
        <f t="shared" si="270"/>
        <v>#DIV/0!</v>
      </c>
      <c r="BD267" s="29" t="str">
        <f t="shared" si="270"/>
        <v>#DIV/0!</v>
      </c>
      <c r="BE267" s="29" t="str">
        <f t="shared" si="270"/>
        <v>#DIV/0!</v>
      </c>
      <c r="BF267" s="29" t="str">
        <f t="shared" si="270"/>
        <v>#DIV/0!</v>
      </c>
      <c r="BG267" s="29" t="str">
        <f t="shared" si="270"/>
        <v>#DIV/0!</v>
      </c>
      <c r="BH267" s="29" t="str">
        <f t="shared" si="270"/>
        <v>#DIV/0!</v>
      </c>
      <c r="BI267" s="29" t="str">
        <f t="shared" si="270"/>
        <v>#DIV/0!</v>
      </c>
      <c r="BJ267" s="29" t="str">
        <f t="shared" si="270"/>
        <v>#DIV/0!</v>
      </c>
      <c r="BK267" s="29" t="str">
        <f t="shared" si="270"/>
        <v>#DIV/0!</v>
      </c>
      <c r="BL267" s="29" t="str">
        <f t="shared" si="270"/>
        <v>#DIV/0!</v>
      </c>
      <c r="BM267" s="29" t="str">
        <f t="shared" si="3"/>
        <v>#DIV/0!</v>
      </c>
    </row>
    <row r="268">
      <c r="A268" s="16" t="str">
        <f>IFERROR(__xludf.DUMMYFUNCTION("IFERROR(SPARKLINE(SORT(MAP(TRANSPOSE(AQ268:BL268), LAMBDA(val, IF(ISNUMBER(val), PERCENTRANK(AQ268:BL268, val)+0.01, 0))), SEQUENCE(COLUMNS(AQ268:BL268)), FALSE), {""charttype"",""column""; ""color"",""chartreuse""; ""ymin"", 0; ""ymax"", 1.01; ""highcolo"&amp;"r"", ""darkgreen""; ""lowcolor"", ""red""}), """")"),"")</f>
        <v/>
      </c>
      <c r="B268" s="17" t="str">
        <f t="shared" si="4"/>
        <v/>
      </c>
      <c r="C268" s="1" t="s">
        <v>1105</v>
      </c>
      <c r="D268" s="30" t="str">
        <f>IFERROR(__xludf.DUMMYFUNCTION("IFERROR(GOOGLEFINANCE(C268, ""NAME""))"),"Under Armour Inc Class C")</f>
        <v>Under Armour Inc Class C</v>
      </c>
      <c r="E268" s="30" t="s">
        <v>317</v>
      </c>
      <c r="F268" s="33" t="str">
        <f>IFERROR(__xludf.DUMMYFUNCTION("( (GOOGLEFINANCE(C268, ""price"") - Q268) / Q268 ) / (R268 / 100)"),"Loading...")</f>
        <v>Loading...</v>
      </c>
      <c r="G268" s="20" t="str">
        <f>IFERROR(__xludf.DUMMYFUNCTION("AVERAGE(ARRAYFORMULA(100 * (QUERY(GOOGLEFINANCE(C268, ""high"", TODAY()-40, TODAY()), ""SELECT Col2 WHERE Col2 IS NOT NULL ORDER BY Col1 DESC LIMIT 20"", 0) / QUERY(GOOGLEFINANCE(C268, ""low"", TODAY()-40, TODAY()), ""SELECT Col2 WHERE Col2 IS NOT NULL OR"&amp;"DER BY Col1 DESC LIMIT 20"", 0) - 1)))"),"#N/A")</f>
        <v>#N/A</v>
      </c>
      <c r="H268" s="35" t="str">
        <f t="shared" si="6"/>
        <v/>
      </c>
      <c r="I268" s="35" t="str">
        <f t="shared" si="7"/>
        <v/>
      </c>
      <c r="J268" s="37" t="str">
        <f>IFERROR(__xludf.DUMMYFUNCTION("IFERROR(
  IF(C268="""",, 
    IFERROR(
      GOOGLEFINANCE(C268, ""price"") * GOOGLEFINANCE(C268, ""volumeavg""), 
      GOOGLEFINANCE(C268, ""price"") * AVERAGE(QUERY(GOOGLEFINANCE(C268, ""volume"", TODAY()-40, TODAY()), ""SELECT Col2 WHERE Col2 IS NOT "&amp;"NULL ORDER BY Col1 DESC LIMIT 20"", 0))
    )
  ), 
"""")"),"")</f>
        <v/>
      </c>
      <c r="K268" s="21" t="str">
        <f>IFERROR(__xludf.DUMMYFUNCTION("IFERROR(GOOGLEFINANCE(C268, ""changepct"") / 100, """")"),"")</f>
        <v/>
      </c>
      <c r="L268" s="21" t="str">
        <f>IFERROR(__xludf.DUMMYFUNCTION("IFERROR((GOOGLEFINANCE(C268, ""price"") / INDEX(GOOGLEFINANCE(C268, ""price"", TODAY()-7, TODAY()), 2, 2)) - 1, """")"),"")</f>
        <v/>
      </c>
      <c r="M268" s="21" t="str">
        <f>IFERROR(__xludf.DUMMYFUNCTION("IFERROR((GOOGLEFINANCE(C268, ""price"") / INDEX(GOOGLEFINANCE(C268, ""price"", EDATE(TODAY(), -1), TODAY()), 2, 2)) - 1, """")"),"")</f>
        <v/>
      </c>
      <c r="N268" s="21" t="str">
        <f>IFERROR(__xludf.DUMMYFUNCTION("IFERROR((GOOGLEFINANCE(C268, ""price"") / INDEX(GOOGLEFINANCE(C268, ""price"", EDATE(TODAY(), -3), TODAY()), 2, 2)) - 1, """")"),"")</f>
        <v/>
      </c>
      <c r="O268" s="21" t="str">
        <f>IFERROR(__xludf.DUMMYFUNCTION("IFERROR((GOOGLEFINANCE(C268, ""price"") / INDEX(GOOGLEFINANCE(C268, ""price"", EDATE(TODAY(), -6), TODAY()), 2, 2)) - 1, """")"),"")</f>
        <v/>
      </c>
      <c r="P268" s="21" t="str">
        <f>IFERROR(__xludf.DUMMYFUNCTION("IFERROR((GOOGLEFINANCE(C268, ""price"") / INDEX(GOOGLEFINANCE(C268, ""price"", EDATE(TODAY(), -12), TODAY()), 2, 2)) - 1, """")"),"")</f>
        <v/>
      </c>
      <c r="Q268" s="6" t="str">
        <f>IFERROR(__xludf.DUMMYFUNCTION("AVERAGE(QUERY(GOOGLEFINANCE(C268, ""price"", TODAY()-80, TODAY()), ""SELECT Col2 WHERE Col2 IS NOT NULL ORDER BY Col1 DESC LIMIT 50"", 0))"),"#N/A")</f>
        <v>#N/A</v>
      </c>
      <c r="R268" s="24" t="str">
        <f>IFERROR(__xludf.DUMMYFUNCTION("IFERROR(
  LET(
    data, QUERY(GOOGLEFINANCE(C268,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GOOGLEFINANCE(C268, ""price"")) * 100,
    IF(calc=0, G268, calc)
  ), 
G268)"),"#N/A")</f>
        <v>#N/A</v>
      </c>
      <c r="S268" s="8" t="s">
        <v>15</v>
      </c>
      <c r="T268" s="26" t="str">
        <f>IFERROR(__xludf.DUMMYFUNCTION("IFERROR(TRANSPOSE(QUERY(IFERROR(SORT(GOOGLEFINANCE(C268, ""price"", WORKDAY(TODAY(), -40), TODAY()), 1, FALSE)), ""select Col2 where Col2 is not null limit 22 label Col2 ''"", 0)), """")"),"")</f>
        <v/>
      </c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8"/>
      <c r="AO268" s="28"/>
      <c r="AP268" s="29"/>
      <c r="AQ268" s="29" t="str">
        <f t="shared" ref="AQ268:BL268" si="271">T268/T$2</f>
        <v>#N/A</v>
      </c>
      <c r="AR268" s="29" t="str">
        <f t="shared" si="271"/>
        <v>#DIV/0!</v>
      </c>
      <c r="AS268" s="29" t="str">
        <f t="shared" si="271"/>
        <v>#DIV/0!</v>
      </c>
      <c r="AT268" s="29" t="str">
        <f t="shared" si="271"/>
        <v>#DIV/0!</v>
      </c>
      <c r="AU268" s="29" t="str">
        <f t="shared" si="271"/>
        <v>#DIV/0!</v>
      </c>
      <c r="AV268" s="29" t="str">
        <f t="shared" si="271"/>
        <v>#DIV/0!</v>
      </c>
      <c r="AW268" s="29" t="str">
        <f t="shared" si="271"/>
        <v>#DIV/0!</v>
      </c>
      <c r="AX268" s="29" t="str">
        <f t="shared" si="271"/>
        <v>#DIV/0!</v>
      </c>
      <c r="AY268" s="29" t="str">
        <f t="shared" si="271"/>
        <v>#DIV/0!</v>
      </c>
      <c r="AZ268" s="29" t="str">
        <f t="shared" si="271"/>
        <v>#DIV/0!</v>
      </c>
      <c r="BA268" s="29" t="str">
        <f t="shared" si="271"/>
        <v>#DIV/0!</v>
      </c>
      <c r="BB268" s="29" t="str">
        <f t="shared" si="271"/>
        <v>#DIV/0!</v>
      </c>
      <c r="BC268" s="29" t="str">
        <f t="shared" si="271"/>
        <v>#DIV/0!</v>
      </c>
      <c r="BD268" s="29" t="str">
        <f t="shared" si="271"/>
        <v>#DIV/0!</v>
      </c>
      <c r="BE268" s="29" t="str">
        <f t="shared" si="271"/>
        <v>#DIV/0!</v>
      </c>
      <c r="BF268" s="29" t="str">
        <f t="shared" si="271"/>
        <v>#DIV/0!</v>
      </c>
      <c r="BG268" s="29" t="str">
        <f t="shared" si="271"/>
        <v>#DIV/0!</v>
      </c>
      <c r="BH268" s="29" t="str">
        <f t="shared" si="271"/>
        <v>#DIV/0!</v>
      </c>
      <c r="BI268" s="29" t="str">
        <f t="shared" si="271"/>
        <v>#DIV/0!</v>
      </c>
      <c r="BJ268" s="29" t="str">
        <f t="shared" si="271"/>
        <v>#DIV/0!</v>
      </c>
      <c r="BK268" s="29" t="str">
        <f t="shared" si="271"/>
        <v>#DIV/0!</v>
      </c>
      <c r="BL268" s="29" t="str">
        <f t="shared" si="271"/>
        <v>#DIV/0!</v>
      </c>
      <c r="BM268" s="29" t="str">
        <f t="shared" si="3"/>
        <v>#DIV/0!</v>
      </c>
    </row>
    <row r="269">
      <c r="A269" s="16" t="str">
        <f>IFERROR(__xludf.DUMMYFUNCTION("IFERROR(SPARKLINE(SORT(MAP(TRANSPOSE(AQ269:BL269), LAMBDA(val, IF(ISNUMBER(val), PERCENTRANK(AQ269:BL269, val)+0.01, 0))), SEQUENCE(COLUMNS(AQ269:BL269)), FALSE), {""charttype"",""column""; ""color"",""chartreuse""; ""ymin"", 0; ""ymax"", 1.01; ""highcolo"&amp;"r"", ""darkgreen""; ""lowcolor"", ""red""}), """")"),"")</f>
        <v/>
      </c>
      <c r="B269" s="17" t="str">
        <f t="shared" si="4"/>
        <v/>
      </c>
      <c r="C269" s="1" t="s">
        <v>1108</v>
      </c>
      <c r="D269" s="30" t="str">
        <f>IFERROR(__xludf.DUMMYFUNCTION("IFERROR(GOOGLEFINANCE(C269, ""NAME""))"),"Kohls Corp")</f>
        <v>Kohls Corp</v>
      </c>
      <c r="E269" s="30" t="s">
        <v>361</v>
      </c>
      <c r="F269" s="33" t="str">
        <f>IFERROR(__xludf.DUMMYFUNCTION("( (GOOGLEFINANCE(C269, ""price"") - Q269) / Q269 ) / (R269 / 100)"),"Loading...")</f>
        <v>Loading...</v>
      </c>
      <c r="G269" s="20" t="str">
        <f>IFERROR(__xludf.DUMMYFUNCTION("AVERAGE(ARRAYFORMULA(100 * (QUERY(GOOGLEFINANCE(C269, ""high"", TODAY()-40, TODAY()), ""SELECT Col2 WHERE Col2 IS NOT NULL ORDER BY Col1 DESC LIMIT 20"", 0) / QUERY(GOOGLEFINANCE(C269, ""low"", TODAY()-40, TODAY()), ""SELECT Col2 WHERE Col2 IS NOT NULL OR"&amp;"DER BY Col1 DESC LIMIT 20"", 0) - 1)))"),"#N/A")</f>
        <v>#N/A</v>
      </c>
      <c r="H269" s="35" t="str">
        <f t="shared" si="6"/>
        <v/>
      </c>
      <c r="I269" s="35" t="str">
        <f t="shared" si="7"/>
        <v/>
      </c>
      <c r="J269" s="37" t="str">
        <f>IFERROR(__xludf.DUMMYFUNCTION("IFERROR(
  IF(C269="""",, 
    IFERROR(
      GOOGLEFINANCE(C269, ""price"") * GOOGLEFINANCE(C269, ""volumeavg""), 
      GOOGLEFINANCE(C269, ""price"") * AVERAGE(QUERY(GOOGLEFINANCE(C269, ""volume"", TODAY()-40, TODAY()), ""SELECT Col2 WHERE Col2 IS NOT "&amp;"NULL ORDER BY Col1 DESC LIMIT 20"", 0))
    )
  ), 
"""")"),"")</f>
        <v/>
      </c>
      <c r="K269" s="21" t="str">
        <f>IFERROR(__xludf.DUMMYFUNCTION("IFERROR(GOOGLEFINANCE(C269, ""changepct"") / 100, """")"),"")</f>
        <v/>
      </c>
      <c r="L269" s="21" t="str">
        <f>IFERROR(__xludf.DUMMYFUNCTION("IFERROR((GOOGLEFINANCE(C269, ""price"") / INDEX(GOOGLEFINANCE(C269, ""price"", TODAY()-7, TODAY()), 2, 2)) - 1, """")"),"")</f>
        <v/>
      </c>
      <c r="M269" s="21" t="str">
        <f>IFERROR(__xludf.DUMMYFUNCTION("IFERROR((GOOGLEFINANCE(C269, ""price"") / INDEX(GOOGLEFINANCE(C269, ""price"", EDATE(TODAY(), -1), TODAY()), 2, 2)) - 1, """")"),"")</f>
        <v/>
      </c>
      <c r="N269" s="21" t="str">
        <f>IFERROR(__xludf.DUMMYFUNCTION("IFERROR((GOOGLEFINANCE(C269, ""price"") / INDEX(GOOGLEFINANCE(C269, ""price"", EDATE(TODAY(), -3), TODAY()), 2, 2)) - 1, """")"),"")</f>
        <v/>
      </c>
      <c r="O269" s="21" t="str">
        <f>IFERROR(__xludf.DUMMYFUNCTION("IFERROR((GOOGLEFINANCE(C269, ""price"") / INDEX(GOOGLEFINANCE(C269, ""price"", EDATE(TODAY(), -6), TODAY()), 2, 2)) - 1, """")"),"")</f>
        <v/>
      </c>
      <c r="P269" s="21" t="str">
        <f>IFERROR(__xludf.DUMMYFUNCTION("IFERROR((GOOGLEFINANCE(C269, ""price"") / INDEX(GOOGLEFINANCE(C269, ""price"", EDATE(TODAY(), -12), TODAY()), 2, 2)) - 1, """")"),"")</f>
        <v/>
      </c>
      <c r="Q269" s="6" t="str">
        <f>IFERROR(__xludf.DUMMYFUNCTION("AVERAGE(QUERY(GOOGLEFINANCE(C269, ""price"", TODAY()-80, TODAY()), ""SELECT Col2 WHERE Col2 IS NOT NULL ORDER BY Col1 DESC LIMIT 50"", 0))"),"#N/A")</f>
        <v>#N/A</v>
      </c>
      <c r="R269" s="24" t="str">
        <f>IFERROR(__xludf.DUMMYFUNCTION("IFERROR(
  LET(
    data, QUERY(GOOGLEFINANCE(C269,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GOOGLEFINANCE(C269, ""price"")) * 100,
    IF(calc=0, G269, calc)
  ), 
G269)"),"#N/A")</f>
        <v>#N/A</v>
      </c>
      <c r="S269" s="8" t="s">
        <v>15</v>
      </c>
      <c r="T269" s="26" t="str">
        <f>IFERROR(__xludf.DUMMYFUNCTION("IFERROR(TRANSPOSE(QUERY(IFERROR(SORT(GOOGLEFINANCE(C269, ""price"", WORKDAY(TODAY(), -40), TODAY()), 1, FALSE)), ""select Col2 where Col2 is not null limit 22 label Col2 ''"", 0)), """")"),"")</f>
        <v/>
      </c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8"/>
      <c r="AO269" s="28"/>
      <c r="AP269" s="29"/>
      <c r="AQ269" s="29" t="str">
        <f t="shared" ref="AQ269:BL269" si="272">T269/T$2</f>
        <v>#N/A</v>
      </c>
      <c r="AR269" s="29" t="str">
        <f t="shared" si="272"/>
        <v>#DIV/0!</v>
      </c>
      <c r="AS269" s="29" t="str">
        <f t="shared" si="272"/>
        <v>#DIV/0!</v>
      </c>
      <c r="AT269" s="29" t="str">
        <f t="shared" si="272"/>
        <v>#DIV/0!</v>
      </c>
      <c r="AU269" s="29" t="str">
        <f t="shared" si="272"/>
        <v>#DIV/0!</v>
      </c>
      <c r="AV269" s="29" t="str">
        <f t="shared" si="272"/>
        <v>#DIV/0!</v>
      </c>
      <c r="AW269" s="29" t="str">
        <f t="shared" si="272"/>
        <v>#DIV/0!</v>
      </c>
      <c r="AX269" s="29" t="str">
        <f t="shared" si="272"/>
        <v>#DIV/0!</v>
      </c>
      <c r="AY269" s="29" t="str">
        <f t="shared" si="272"/>
        <v>#DIV/0!</v>
      </c>
      <c r="AZ269" s="29" t="str">
        <f t="shared" si="272"/>
        <v>#DIV/0!</v>
      </c>
      <c r="BA269" s="29" t="str">
        <f t="shared" si="272"/>
        <v>#DIV/0!</v>
      </c>
      <c r="BB269" s="29" t="str">
        <f t="shared" si="272"/>
        <v>#DIV/0!</v>
      </c>
      <c r="BC269" s="29" t="str">
        <f t="shared" si="272"/>
        <v>#DIV/0!</v>
      </c>
      <c r="BD269" s="29" t="str">
        <f t="shared" si="272"/>
        <v>#DIV/0!</v>
      </c>
      <c r="BE269" s="29" t="str">
        <f t="shared" si="272"/>
        <v>#DIV/0!</v>
      </c>
      <c r="BF269" s="29" t="str">
        <f t="shared" si="272"/>
        <v>#DIV/0!</v>
      </c>
      <c r="BG269" s="29" t="str">
        <f t="shared" si="272"/>
        <v>#DIV/0!</v>
      </c>
      <c r="BH269" s="29" t="str">
        <f t="shared" si="272"/>
        <v>#DIV/0!</v>
      </c>
      <c r="BI269" s="29" t="str">
        <f t="shared" si="272"/>
        <v>#DIV/0!</v>
      </c>
      <c r="BJ269" s="29" t="str">
        <f t="shared" si="272"/>
        <v>#DIV/0!</v>
      </c>
      <c r="BK269" s="29" t="str">
        <f t="shared" si="272"/>
        <v>#DIV/0!</v>
      </c>
      <c r="BL269" s="29" t="str">
        <f t="shared" si="272"/>
        <v>#DIV/0!</v>
      </c>
      <c r="BM269" s="29" t="str">
        <f t="shared" si="3"/>
        <v>#DIV/0!</v>
      </c>
    </row>
    <row r="270">
      <c r="A270" s="16" t="str">
        <f>IFERROR(__xludf.DUMMYFUNCTION("IFERROR(SPARKLINE(SORT(MAP(TRANSPOSE(AQ270:BL270), LAMBDA(val, IF(ISNUMBER(val), PERCENTRANK(AQ270:BL270, val)+0.01, 0))), SEQUENCE(COLUMNS(AQ270:BL270)), FALSE), {""charttype"",""column""; ""color"",""chartreuse""; ""ymin"", 0; ""ymax"", 1.01; ""highcolo"&amp;"r"", ""darkgreen""; ""lowcolor"", ""red""}), """")"),"")</f>
        <v/>
      </c>
      <c r="B270" s="17" t="str">
        <f t="shared" si="4"/>
        <v/>
      </c>
      <c r="C270" s="1" t="s">
        <v>1113</v>
      </c>
      <c r="D270" s="30" t="str">
        <f>IFERROR(__xludf.DUMMYFUNCTION("IFERROR(GOOGLEFINANCE(C270, ""NAME""))"),"VinFast Auto Ltd")</f>
        <v>VinFast Auto Ltd</v>
      </c>
      <c r="E270" s="30" t="s">
        <v>129</v>
      </c>
      <c r="F270" s="33" t="str">
        <f>IFERROR(__xludf.DUMMYFUNCTION("( (GOOGLEFINANCE(C270, ""price"") - Q270) / Q270 ) / (R270 / 100)"),"Loading...")</f>
        <v>Loading...</v>
      </c>
      <c r="G270" s="20" t="str">
        <f>IFERROR(__xludf.DUMMYFUNCTION("AVERAGE(ARRAYFORMULA(100 * (QUERY(GOOGLEFINANCE(C270, ""high"", TODAY()-40, TODAY()), ""SELECT Col2 WHERE Col2 IS NOT NULL ORDER BY Col1 DESC LIMIT 20"", 0) / QUERY(GOOGLEFINANCE(C270, ""low"", TODAY()-40, TODAY()), ""SELECT Col2 WHERE Col2 IS NOT NULL OR"&amp;"DER BY Col1 DESC LIMIT 20"", 0) - 1)))"),"#N/A")</f>
        <v>#N/A</v>
      </c>
      <c r="H270" s="35" t="str">
        <f t="shared" si="6"/>
        <v/>
      </c>
      <c r="I270" s="35" t="str">
        <f t="shared" si="7"/>
        <v/>
      </c>
      <c r="J270" s="37" t="str">
        <f>IFERROR(__xludf.DUMMYFUNCTION("IFERROR(
  IF(C270="""",, 
    IFERROR(
      GOOGLEFINANCE(C270, ""price"") * GOOGLEFINANCE(C270, ""volumeavg""), 
      GOOGLEFINANCE(C270, ""price"") * AVERAGE(QUERY(GOOGLEFINANCE(C270, ""volume"", TODAY()-40, TODAY()), ""SELECT Col2 WHERE Col2 IS NOT "&amp;"NULL ORDER BY Col1 DESC LIMIT 20"", 0))
    )
  ), 
"""")"),"")</f>
        <v/>
      </c>
      <c r="K270" s="21" t="str">
        <f>IFERROR(__xludf.DUMMYFUNCTION("IFERROR(GOOGLEFINANCE(C270, ""changepct"") / 100, """")"),"")</f>
        <v/>
      </c>
      <c r="L270" s="21" t="str">
        <f>IFERROR(__xludf.DUMMYFUNCTION("IFERROR((GOOGLEFINANCE(C270, ""price"") / INDEX(GOOGLEFINANCE(C270, ""price"", TODAY()-7, TODAY()), 2, 2)) - 1, """")"),"")</f>
        <v/>
      </c>
      <c r="M270" s="21" t="str">
        <f>IFERROR(__xludf.DUMMYFUNCTION("IFERROR((GOOGLEFINANCE(C270, ""price"") / INDEX(GOOGLEFINANCE(C270, ""price"", EDATE(TODAY(), -1), TODAY()), 2, 2)) - 1, """")"),"")</f>
        <v/>
      </c>
      <c r="N270" s="21" t="str">
        <f>IFERROR(__xludf.DUMMYFUNCTION("IFERROR((GOOGLEFINANCE(C270, ""price"") / INDEX(GOOGLEFINANCE(C270, ""price"", EDATE(TODAY(), -3), TODAY()), 2, 2)) - 1, """")"),"")</f>
        <v/>
      </c>
      <c r="O270" s="21" t="str">
        <f>IFERROR(__xludf.DUMMYFUNCTION("IFERROR((GOOGLEFINANCE(C270, ""price"") / INDEX(GOOGLEFINANCE(C270, ""price"", EDATE(TODAY(), -6), TODAY()), 2, 2)) - 1, """")"),"")</f>
        <v/>
      </c>
      <c r="P270" s="21" t="str">
        <f>IFERROR(__xludf.DUMMYFUNCTION("IFERROR((GOOGLEFINANCE(C270, ""price"") / INDEX(GOOGLEFINANCE(C270, ""price"", EDATE(TODAY(), -12), TODAY()), 2, 2)) - 1, """")"),"")</f>
        <v/>
      </c>
      <c r="Q270" s="6" t="str">
        <f>IFERROR(__xludf.DUMMYFUNCTION("AVERAGE(QUERY(GOOGLEFINANCE(C270, ""price"", TODAY()-80, TODAY()), ""SELECT Col2 WHERE Col2 IS NOT NULL ORDER BY Col1 DESC LIMIT 50"", 0))"),"#N/A")</f>
        <v>#N/A</v>
      </c>
      <c r="R270" s="24" t="str">
        <f>IFERROR(__xludf.DUMMYFUNCTION("IFERROR(
  LET(
    data, QUERY(GOOGLEFINANCE(C270,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GOOGLEFINANCE(C270, ""price"")) * 100,
    IF(calc=0, G270, calc)
  ), 
G270)"),"#N/A")</f>
        <v>#N/A</v>
      </c>
      <c r="S270" s="8" t="s">
        <v>15</v>
      </c>
      <c r="T270" s="26" t="str">
        <f>IFERROR(__xludf.DUMMYFUNCTION("IFERROR(TRANSPOSE(QUERY(IFERROR(SORT(GOOGLEFINANCE(C270, ""price"", WORKDAY(TODAY(), -40), TODAY()), 1, FALSE)), ""select Col2 where Col2 is not null limit 22 label Col2 ''"", 0)), """")"),"")</f>
        <v/>
      </c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8"/>
      <c r="AO270" s="28"/>
      <c r="AP270" s="29"/>
      <c r="AQ270" s="29" t="str">
        <f t="shared" ref="AQ270:BL270" si="273">T270/T$2</f>
        <v>#N/A</v>
      </c>
      <c r="AR270" s="29" t="str">
        <f t="shared" si="273"/>
        <v>#DIV/0!</v>
      </c>
      <c r="AS270" s="29" t="str">
        <f t="shared" si="273"/>
        <v>#DIV/0!</v>
      </c>
      <c r="AT270" s="29" t="str">
        <f t="shared" si="273"/>
        <v>#DIV/0!</v>
      </c>
      <c r="AU270" s="29" t="str">
        <f t="shared" si="273"/>
        <v>#DIV/0!</v>
      </c>
      <c r="AV270" s="29" t="str">
        <f t="shared" si="273"/>
        <v>#DIV/0!</v>
      </c>
      <c r="AW270" s="29" t="str">
        <f t="shared" si="273"/>
        <v>#DIV/0!</v>
      </c>
      <c r="AX270" s="29" t="str">
        <f t="shared" si="273"/>
        <v>#DIV/0!</v>
      </c>
      <c r="AY270" s="29" t="str">
        <f t="shared" si="273"/>
        <v>#DIV/0!</v>
      </c>
      <c r="AZ270" s="29" t="str">
        <f t="shared" si="273"/>
        <v>#DIV/0!</v>
      </c>
      <c r="BA270" s="29" t="str">
        <f t="shared" si="273"/>
        <v>#DIV/0!</v>
      </c>
      <c r="BB270" s="29" t="str">
        <f t="shared" si="273"/>
        <v>#DIV/0!</v>
      </c>
      <c r="BC270" s="29" t="str">
        <f t="shared" si="273"/>
        <v>#DIV/0!</v>
      </c>
      <c r="BD270" s="29" t="str">
        <f t="shared" si="273"/>
        <v>#DIV/0!</v>
      </c>
      <c r="BE270" s="29" t="str">
        <f t="shared" si="273"/>
        <v>#DIV/0!</v>
      </c>
      <c r="BF270" s="29" t="str">
        <f t="shared" si="273"/>
        <v>#DIV/0!</v>
      </c>
      <c r="BG270" s="29" t="str">
        <f t="shared" si="273"/>
        <v>#DIV/0!</v>
      </c>
      <c r="BH270" s="29" t="str">
        <f t="shared" si="273"/>
        <v>#DIV/0!</v>
      </c>
      <c r="BI270" s="29" t="str">
        <f t="shared" si="273"/>
        <v>#DIV/0!</v>
      </c>
      <c r="BJ270" s="29" t="str">
        <f t="shared" si="273"/>
        <v>#DIV/0!</v>
      </c>
      <c r="BK270" s="29" t="str">
        <f t="shared" si="273"/>
        <v>#DIV/0!</v>
      </c>
      <c r="BL270" s="29" t="str">
        <f t="shared" si="273"/>
        <v>#DIV/0!</v>
      </c>
      <c r="BM270" s="29" t="str">
        <f t="shared" si="3"/>
        <v>#DIV/0!</v>
      </c>
    </row>
    <row r="271">
      <c r="A271" s="16" t="str">
        <f>IFERROR(__xludf.DUMMYFUNCTION("IFERROR(SPARKLINE(SORT(MAP(TRANSPOSE(AQ271:BL271), LAMBDA(val, IF(ISNUMBER(val), PERCENTRANK(AQ271:BL271, val)+0.01, 0))), SEQUENCE(COLUMNS(AQ271:BL271)), FALSE), {""charttype"",""column""; ""color"",""chartreuse""; ""ymin"", 0; ""ymax"", 1.01; ""highcolo"&amp;"r"", ""darkgreen""; ""lowcolor"", ""red""}), """")"),"")</f>
        <v/>
      </c>
      <c r="B271" s="17" t="str">
        <f t="shared" si="4"/>
        <v/>
      </c>
      <c r="C271" s="1" t="s">
        <v>1120</v>
      </c>
      <c r="D271" s="30" t="str">
        <f>IFERROR(__xludf.DUMMYFUNCTION("IFERROR(GOOGLEFINANCE(C271, ""NAME""))"),"Ecarx Holdings Inc.")</f>
        <v>Ecarx Holdings Inc.</v>
      </c>
      <c r="E271" s="30" t="s">
        <v>109</v>
      </c>
      <c r="F271" s="33" t="str">
        <f>IFERROR(__xludf.DUMMYFUNCTION("( (GOOGLEFINANCE(C271, ""price"") - Q271) / Q271 ) / (R271 / 100)"),"Loading...")</f>
        <v>Loading...</v>
      </c>
      <c r="G271" s="20" t="str">
        <f>IFERROR(__xludf.DUMMYFUNCTION("AVERAGE(ARRAYFORMULA(100 * (QUERY(GOOGLEFINANCE(C271, ""high"", TODAY()-40, TODAY()), ""SELECT Col2 WHERE Col2 IS NOT NULL ORDER BY Col1 DESC LIMIT 20"", 0) / QUERY(GOOGLEFINANCE(C271, ""low"", TODAY()-40, TODAY()), ""SELECT Col2 WHERE Col2 IS NOT NULL OR"&amp;"DER BY Col1 DESC LIMIT 20"", 0) - 1)))"),"#N/A")</f>
        <v>#N/A</v>
      </c>
      <c r="H271" s="35" t="str">
        <f t="shared" si="6"/>
        <v/>
      </c>
      <c r="I271" s="35" t="str">
        <f t="shared" si="7"/>
        <v/>
      </c>
      <c r="J271" s="37" t="str">
        <f>IFERROR(__xludf.DUMMYFUNCTION("IFERROR(
  IF(C271="""",, 
    IFERROR(
      GOOGLEFINANCE(C271, ""price"") * GOOGLEFINANCE(C271, ""volumeavg""), 
      GOOGLEFINANCE(C271, ""price"") * AVERAGE(QUERY(GOOGLEFINANCE(C271, ""volume"", TODAY()-40, TODAY()), ""SELECT Col2 WHERE Col2 IS NOT "&amp;"NULL ORDER BY Col1 DESC LIMIT 20"", 0))
    )
  ), 
"""")"),"")</f>
        <v/>
      </c>
      <c r="K271" s="21" t="str">
        <f>IFERROR(__xludf.DUMMYFUNCTION("IFERROR(GOOGLEFINANCE(C271, ""changepct"") / 100, """")"),"")</f>
        <v/>
      </c>
      <c r="L271" s="21" t="str">
        <f>IFERROR(__xludf.DUMMYFUNCTION("IFERROR((GOOGLEFINANCE(C271, ""price"") / INDEX(GOOGLEFINANCE(C271, ""price"", TODAY()-7, TODAY()), 2, 2)) - 1, """")"),"")</f>
        <v/>
      </c>
      <c r="M271" s="21" t="str">
        <f>IFERROR(__xludf.DUMMYFUNCTION("IFERROR((GOOGLEFINANCE(C271, ""price"") / INDEX(GOOGLEFINANCE(C271, ""price"", EDATE(TODAY(), -1), TODAY()), 2, 2)) - 1, """")"),"")</f>
        <v/>
      </c>
      <c r="N271" s="21" t="str">
        <f>IFERROR(__xludf.DUMMYFUNCTION("IFERROR((GOOGLEFINANCE(C271, ""price"") / INDEX(GOOGLEFINANCE(C271, ""price"", EDATE(TODAY(), -3), TODAY()), 2, 2)) - 1, """")"),"")</f>
        <v/>
      </c>
      <c r="O271" s="21" t="str">
        <f>IFERROR(__xludf.DUMMYFUNCTION("IFERROR((GOOGLEFINANCE(C271, ""price"") / INDEX(GOOGLEFINANCE(C271, ""price"", EDATE(TODAY(), -6), TODAY()), 2, 2)) - 1, """")"),"")</f>
        <v/>
      </c>
      <c r="P271" s="21" t="str">
        <f>IFERROR(__xludf.DUMMYFUNCTION("IFERROR((GOOGLEFINANCE(C271, ""price"") / INDEX(GOOGLEFINANCE(C271, ""price"", EDATE(TODAY(), -12), TODAY()), 2, 2)) - 1, """")"),"")</f>
        <v/>
      </c>
      <c r="Q271" s="6" t="str">
        <f>IFERROR(__xludf.DUMMYFUNCTION("AVERAGE(QUERY(GOOGLEFINANCE(C271, ""price"", TODAY()-80, TODAY()), ""SELECT Col2 WHERE Col2 IS NOT NULL ORDER BY Col1 DESC LIMIT 50"", 0))"),"#N/A")</f>
        <v>#N/A</v>
      </c>
      <c r="R271" s="24" t="str">
        <f>IFERROR(__xludf.DUMMYFUNCTION("IFERROR(
  LET(
    data, QUERY(GOOGLEFINANCE(C271,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GOOGLEFINANCE(C271, ""price"")) * 100,
    IF(calc=0, G271, calc)
  ), 
G271)"),"#N/A")</f>
        <v>#N/A</v>
      </c>
      <c r="S271" s="8" t="s">
        <v>15</v>
      </c>
      <c r="T271" s="26" t="str">
        <f>IFERROR(__xludf.DUMMYFUNCTION("IFERROR(TRANSPOSE(QUERY(IFERROR(SORT(GOOGLEFINANCE(C271, ""price"", WORKDAY(TODAY(), -40), TODAY()), 1, FALSE)), ""select Col2 where Col2 is not null limit 22 label Col2 ''"", 0)), """")"),"")</f>
        <v/>
      </c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8"/>
      <c r="AO271" s="28"/>
      <c r="AP271" s="29"/>
      <c r="AQ271" s="29" t="str">
        <f t="shared" ref="AQ271:BL271" si="274">T271/T$2</f>
        <v>#N/A</v>
      </c>
      <c r="AR271" s="29" t="str">
        <f t="shared" si="274"/>
        <v>#DIV/0!</v>
      </c>
      <c r="AS271" s="29" t="str">
        <f t="shared" si="274"/>
        <v>#DIV/0!</v>
      </c>
      <c r="AT271" s="29" t="str">
        <f t="shared" si="274"/>
        <v>#DIV/0!</v>
      </c>
      <c r="AU271" s="29" t="str">
        <f t="shared" si="274"/>
        <v>#DIV/0!</v>
      </c>
      <c r="AV271" s="29" t="str">
        <f t="shared" si="274"/>
        <v>#DIV/0!</v>
      </c>
      <c r="AW271" s="29" t="str">
        <f t="shared" si="274"/>
        <v>#DIV/0!</v>
      </c>
      <c r="AX271" s="29" t="str">
        <f t="shared" si="274"/>
        <v>#DIV/0!</v>
      </c>
      <c r="AY271" s="29" t="str">
        <f t="shared" si="274"/>
        <v>#DIV/0!</v>
      </c>
      <c r="AZ271" s="29" t="str">
        <f t="shared" si="274"/>
        <v>#DIV/0!</v>
      </c>
      <c r="BA271" s="29" t="str">
        <f t="shared" si="274"/>
        <v>#DIV/0!</v>
      </c>
      <c r="BB271" s="29" t="str">
        <f t="shared" si="274"/>
        <v>#DIV/0!</v>
      </c>
      <c r="BC271" s="29" t="str">
        <f t="shared" si="274"/>
        <v>#DIV/0!</v>
      </c>
      <c r="BD271" s="29" t="str">
        <f t="shared" si="274"/>
        <v>#DIV/0!</v>
      </c>
      <c r="BE271" s="29" t="str">
        <f t="shared" si="274"/>
        <v>#DIV/0!</v>
      </c>
      <c r="BF271" s="29" t="str">
        <f t="shared" si="274"/>
        <v>#DIV/0!</v>
      </c>
      <c r="BG271" s="29" t="str">
        <f t="shared" si="274"/>
        <v>#DIV/0!</v>
      </c>
      <c r="BH271" s="29" t="str">
        <f t="shared" si="274"/>
        <v>#DIV/0!</v>
      </c>
      <c r="BI271" s="29" t="str">
        <f t="shared" si="274"/>
        <v>#DIV/0!</v>
      </c>
      <c r="BJ271" s="29" t="str">
        <f t="shared" si="274"/>
        <v>#DIV/0!</v>
      </c>
      <c r="BK271" s="29" t="str">
        <f t="shared" si="274"/>
        <v>#DIV/0!</v>
      </c>
      <c r="BL271" s="29" t="str">
        <f t="shared" si="274"/>
        <v>#DIV/0!</v>
      </c>
      <c r="BM271" s="29" t="str">
        <f t="shared" si="3"/>
        <v>#DIV/0!</v>
      </c>
    </row>
    <row r="272">
      <c r="A272" s="16" t="str">
        <f>IFERROR(__xludf.DUMMYFUNCTION("IFERROR(SPARKLINE(SORT(MAP(TRANSPOSE(AQ272:BL272), LAMBDA(val, IF(ISNUMBER(val), PERCENTRANK(AQ272:BL272, val)+0.01, 0))), SEQUENCE(COLUMNS(AQ272:BL272)), FALSE), {""charttype"",""column""; ""color"",""chartreuse""; ""ymin"", 0; ""ymax"", 1.01; ""highcolo"&amp;"r"", ""darkgreen""; ""lowcolor"", ""red""}), """")"),"")</f>
        <v/>
      </c>
      <c r="B272" s="17" t="str">
        <f t="shared" si="4"/>
        <v/>
      </c>
      <c r="C272" s="1" t="s">
        <v>1127</v>
      </c>
      <c r="D272" s="30" t="str">
        <f>IFERROR(__xludf.DUMMYFUNCTION("IFERROR(GOOGLEFINANCE(C272, ""NAME""))"),"Under Armour Inc Class A")</f>
        <v>Under Armour Inc Class A</v>
      </c>
      <c r="E272" s="30" t="s">
        <v>317</v>
      </c>
      <c r="F272" s="33" t="str">
        <f>IFERROR(__xludf.DUMMYFUNCTION("( (GOOGLEFINANCE(C272, ""price"") - Q272) / Q272 ) / (R272 / 100)"),"Loading...")</f>
        <v>Loading...</v>
      </c>
      <c r="G272" s="20" t="str">
        <f>IFERROR(__xludf.DUMMYFUNCTION("AVERAGE(ARRAYFORMULA(100 * (QUERY(GOOGLEFINANCE(C272, ""high"", TODAY()-40, TODAY()), ""SELECT Col2 WHERE Col2 IS NOT NULL ORDER BY Col1 DESC LIMIT 20"", 0) / QUERY(GOOGLEFINANCE(C272, ""low"", TODAY()-40, TODAY()), ""SELECT Col2 WHERE Col2 IS NOT NULL OR"&amp;"DER BY Col1 DESC LIMIT 20"", 0) - 1)))"),"#N/A")</f>
        <v>#N/A</v>
      </c>
      <c r="H272" s="35" t="str">
        <f t="shared" si="6"/>
        <v/>
      </c>
      <c r="I272" s="35" t="str">
        <f t="shared" si="7"/>
        <v/>
      </c>
      <c r="J272" s="37" t="str">
        <f>IFERROR(__xludf.DUMMYFUNCTION("IFERROR(
  IF(C272="""",, 
    IFERROR(
      GOOGLEFINANCE(C272, ""price"") * GOOGLEFINANCE(C272, ""volumeavg""), 
      GOOGLEFINANCE(C272, ""price"") * AVERAGE(QUERY(GOOGLEFINANCE(C272, ""volume"", TODAY()-40, TODAY()), ""SELECT Col2 WHERE Col2 IS NOT "&amp;"NULL ORDER BY Col1 DESC LIMIT 20"", 0))
    )
  ), 
"""")"),"")</f>
        <v/>
      </c>
      <c r="K272" s="21" t="str">
        <f>IFERROR(__xludf.DUMMYFUNCTION("IFERROR(GOOGLEFINANCE(C272, ""changepct"") / 100, """")"),"")</f>
        <v/>
      </c>
      <c r="L272" s="21" t="str">
        <f>IFERROR(__xludf.DUMMYFUNCTION("IFERROR((GOOGLEFINANCE(C272, ""price"") / INDEX(GOOGLEFINANCE(C272, ""price"", TODAY()-7, TODAY()), 2, 2)) - 1, """")"),"")</f>
        <v/>
      </c>
      <c r="M272" s="21" t="str">
        <f>IFERROR(__xludf.DUMMYFUNCTION("IFERROR((GOOGLEFINANCE(C272, ""price"") / INDEX(GOOGLEFINANCE(C272, ""price"", EDATE(TODAY(), -1), TODAY()), 2, 2)) - 1, """")"),"")</f>
        <v/>
      </c>
      <c r="N272" s="21" t="str">
        <f>IFERROR(__xludf.DUMMYFUNCTION("IFERROR((GOOGLEFINANCE(C272, ""price"") / INDEX(GOOGLEFINANCE(C272, ""price"", EDATE(TODAY(), -3), TODAY()), 2, 2)) - 1, """")"),"")</f>
        <v/>
      </c>
      <c r="O272" s="21" t="str">
        <f>IFERROR(__xludf.DUMMYFUNCTION("IFERROR((GOOGLEFINANCE(C272, ""price"") / INDEX(GOOGLEFINANCE(C272, ""price"", EDATE(TODAY(), -6), TODAY()), 2, 2)) - 1, """")"),"")</f>
        <v/>
      </c>
      <c r="P272" s="21" t="str">
        <f>IFERROR(__xludf.DUMMYFUNCTION("IFERROR((GOOGLEFINANCE(C272, ""price"") / INDEX(GOOGLEFINANCE(C272, ""price"", EDATE(TODAY(), -12), TODAY()), 2, 2)) - 1, """")"),"")</f>
        <v/>
      </c>
      <c r="Q272" s="6" t="str">
        <f>IFERROR(__xludf.DUMMYFUNCTION("AVERAGE(QUERY(GOOGLEFINANCE(C272, ""price"", TODAY()-80, TODAY()), ""SELECT Col2 WHERE Col2 IS NOT NULL ORDER BY Col1 DESC LIMIT 50"", 0))"),"#N/A")</f>
        <v>#N/A</v>
      </c>
      <c r="R272" s="24" t="str">
        <f>IFERROR(__xludf.DUMMYFUNCTION("IFERROR(
  LET(
    data, QUERY(GOOGLEFINANCE(C272,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GOOGLEFINANCE(C272, ""price"")) * 100,
    IF(calc=0, G272, calc)
  ), 
G272)"),"#N/A")</f>
        <v>#N/A</v>
      </c>
      <c r="S272" s="8" t="s">
        <v>15</v>
      </c>
      <c r="T272" s="26" t="str">
        <f>IFERROR(__xludf.DUMMYFUNCTION("IFERROR(TRANSPOSE(QUERY(IFERROR(SORT(GOOGLEFINANCE(C272, ""price"", WORKDAY(TODAY(), -40), TODAY()), 1, FALSE)), ""select Col2 where Col2 is not null limit 22 label Col2 ''"", 0)), """")"),"")</f>
        <v/>
      </c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8"/>
      <c r="AO272" s="28"/>
      <c r="AP272" s="29"/>
      <c r="AQ272" s="29" t="str">
        <f t="shared" ref="AQ272:BL272" si="275">T272/T$2</f>
        <v>#N/A</v>
      </c>
      <c r="AR272" s="29" t="str">
        <f t="shared" si="275"/>
        <v>#DIV/0!</v>
      </c>
      <c r="AS272" s="29" t="str">
        <f t="shared" si="275"/>
        <v>#DIV/0!</v>
      </c>
      <c r="AT272" s="29" t="str">
        <f t="shared" si="275"/>
        <v>#DIV/0!</v>
      </c>
      <c r="AU272" s="29" t="str">
        <f t="shared" si="275"/>
        <v>#DIV/0!</v>
      </c>
      <c r="AV272" s="29" t="str">
        <f t="shared" si="275"/>
        <v>#DIV/0!</v>
      </c>
      <c r="AW272" s="29" t="str">
        <f t="shared" si="275"/>
        <v>#DIV/0!</v>
      </c>
      <c r="AX272" s="29" t="str">
        <f t="shared" si="275"/>
        <v>#DIV/0!</v>
      </c>
      <c r="AY272" s="29" t="str">
        <f t="shared" si="275"/>
        <v>#DIV/0!</v>
      </c>
      <c r="AZ272" s="29" t="str">
        <f t="shared" si="275"/>
        <v>#DIV/0!</v>
      </c>
      <c r="BA272" s="29" t="str">
        <f t="shared" si="275"/>
        <v>#DIV/0!</v>
      </c>
      <c r="BB272" s="29" t="str">
        <f t="shared" si="275"/>
        <v>#DIV/0!</v>
      </c>
      <c r="BC272" s="29" t="str">
        <f t="shared" si="275"/>
        <v>#DIV/0!</v>
      </c>
      <c r="BD272" s="29" t="str">
        <f t="shared" si="275"/>
        <v>#DIV/0!</v>
      </c>
      <c r="BE272" s="29" t="str">
        <f t="shared" si="275"/>
        <v>#DIV/0!</v>
      </c>
      <c r="BF272" s="29" t="str">
        <f t="shared" si="275"/>
        <v>#DIV/0!</v>
      </c>
      <c r="BG272" s="29" t="str">
        <f t="shared" si="275"/>
        <v>#DIV/0!</v>
      </c>
      <c r="BH272" s="29" t="str">
        <f t="shared" si="275"/>
        <v>#DIV/0!</v>
      </c>
      <c r="BI272" s="29" t="str">
        <f t="shared" si="275"/>
        <v>#DIV/0!</v>
      </c>
      <c r="BJ272" s="29" t="str">
        <f t="shared" si="275"/>
        <v>#DIV/0!</v>
      </c>
      <c r="BK272" s="29" t="str">
        <f t="shared" si="275"/>
        <v>#DIV/0!</v>
      </c>
      <c r="BL272" s="29" t="str">
        <f t="shared" si="275"/>
        <v>#DIV/0!</v>
      </c>
      <c r="BM272" s="29" t="str">
        <f t="shared" si="3"/>
        <v>#DIV/0!</v>
      </c>
    </row>
    <row r="273">
      <c r="A273" s="16" t="str">
        <f>IFERROR(__xludf.DUMMYFUNCTION("IFERROR(SPARKLINE(SORT(MAP(TRANSPOSE(AQ273:BL273), LAMBDA(val, IF(ISNUMBER(val), PERCENTRANK(AQ273:BL273, val)+0.01, 0))), SEQUENCE(COLUMNS(AQ273:BL273)), FALSE), {""charttype"",""column""; ""color"",""chartreuse""; ""ymin"", 0; ""ymax"", 1.01; ""highcolo"&amp;"r"", ""darkgreen""; ""lowcolor"", ""red""}), """")"),"")</f>
        <v/>
      </c>
      <c r="B273" s="17" t="str">
        <f t="shared" si="4"/>
        <v/>
      </c>
      <c r="C273" s="1" t="s">
        <v>1131</v>
      </c>
      <c r="D273" s="30" t="str">
        <f>IFERROR(__xludf.DUMMYFUNCTION("IFERROR(GOOGLEFINANCE(C273, ""NAME""))"),"Stitch Fix Inc")</f>
        <v>Stitch Fix Inc</v>
      </c>
      <c r="E273" s="30" t="s">
        <v>647</v>
      </c>
      <c r="F273" s="33" t="str">
        <f>IFERROR(__xludf.DUMMYFUNCTION("( (GOOGLEFINANCE(C273, ""price"") - Q273) / Q273 ) / (R273 / 100)"),"Loading...")</f>
        <v>Loading...</v>
      </c>
      <c r="G273" s="20" t="str">
        <f>IFERROR(__xludf.DUMMYFUNCTION("AVERAGE(ARRAYFORMULA(100 * (QUERY(GOOGLEFINANCE(C273, ""high"", TODAY()-40, TODAY()), ""SELECT Col2 WHERE Col2 IS NOT NULL ORDER BY Col1 DESC LIMIT 20"", 0) / QUERY(GOOGLEFINANCE(C273, ""low"", TODAY()-40, TODAY()), ""SELECT Col2 WHERE Col2 IS NOT NULL OR"&amp;"DER BY Col1 DESC LIMIT 20"", 0) - 1)))"),"#N/A")</f>
        <v>#N/A</v>
      </c>
      <c r="H273" s="35" t="str">
        <f t="shared" si="6"/>
        <v/>
      </c>
      <c r="I273" s="35" t="str">
        <f t="shared" si="7"/>
        <v/>
      </c>
      <c r="J273" s="37" t="str">
        <f>IFERROR(__xludf.DUMMYFUNCTION("IFERROR(
  IF(C273="""",, 
    IFERROR(
      GOOGLEFINANCE(C273, ""price"") * GOOGLEFINANCE(C273, ""volumeavg""), 
      GOOGLEFINANCE(C273, ""price"") * AVERAGE(QUERY(GOOGLEFINANCE(C273, ""volume"", TODAY()-40, TODAY()), ""SELECT Col2 WHERE Col2 IS NOT "&amp;"NULL ORDER BY Col1 DESC LIMIT 20"", 0))
    )
  ), 
"""")"),"")</f>
        <v/>
      </c>
      <c r="K273" s="21" t="str">
        <f>IFERROR(__xludf.DUMMYFUNCTION("IFERROR(GOOGLEFINANCE(C273, ""changepct"") / 100, """")"),"")</f>
        <v/>
      </c>
      <c r="L273" s="21" t="str">
        <f>IFERROR(__xludf.DUMMYFUNCTION("IFERROR((GOOGLEFINANCE(C273, ""price"") / INDEX(GOOGLEFINANCE(C273, ""price"", TODAY()-7, TODAY()), 2, 2)) - 1, """")"),"")</f>
        <v/>
      </c>
      <c r="M273" s="21" t="str">
        <f>IFERROR(__xludf.DUMMYFUNCTION("IFERROR((GOOGLEFINANCE(C273, ""price"") / INDEX(GOOGLEFINANCE(C273, ""price"", EDATE(TODAY(), -1), TODAY()), 2, 2)) - 1, """")"),"")</f>
        <v/>
      </c>
      <c r="N273" s="21" t="str">
        <f>IFERROR(__xludf.DUMMYFUNCTION("IFERROR((GOOGLEFINANCE(C273, ""price"") / INDEX(GOOGLEFINANCE(C273, ""price"", EDATE(TODAY(), -3), TODAY()), 2, 2)) - 1, """")"),"")</f>
        <v/>
      </c>
      <c r="O273" s="21" t="str">
        <f>IFERROR(__xludf.DUMMYFUNCTION("IFERROR((GOOGLEFINANCE(C273, ""price"") / INDEX(GOOGLEFINANCE(C273, ""price"", EDATE(TODAY(), -6), TODAY()), 2, 2)) - 1, """")"),"")</f>
        <v/>
      </c>
      <c r="P273" s="21" t="str">
        <f>IFERROR(__xludf.DUMMYFUNCTION("IFERROR((GOOGLEFINANCE(C273, ""price"") / INDEX(GOOGLEFINANCE(C273, ""price"", EDATE(TODAY(), -12), TODAY()), 2, 2)) - 1, """")"),"")</f>
        <v/>
      </c>
      <c r="Q273" s="6" t="str">
        <f>IFERROR(__xludf.DUMMYFUNCTION("AVERAGE(QUERY(GOOGLEFINANCE(C273, ""price"", TODAY()-80, TODAY()), ""SELECT Col2 WHERE Col2 IS NOT NULL ORDER BY Col1 DESC LIMIT 50"", 0))"),"#N/A")</f>
        <v>#N/A</v>
      </c>
      <c r="R273" s="24" t="str">
        <f>IFERROR(__xludf.DUMMYFUNCTION("IFERROR(
  LET(
    data, QUERY(GOOGLEFINANCE(C273,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GOOGLEFINANCE(C273, ""price"")) * 100,
    IF(calc=0, G273, calc)
  ), 
G273)"),"#N/A")</f>
        <v>#N/A</v>
      </c>
      <c r="S273" s="8" t="s">
        <v>15</v>
      </c>
      <c r="T273" s="26" t="str">
        <f>IFERROR(__xludf.DUMMYFUNCTION("IFERROR(TRANSPOSE(QUERY(IFERROR(SORT(GOOGLEFINANCE(C273, ""price"", WORKDAY(TODAY(), -40), TODAY()), 1, FALSE)), ""select Col2 where Col2 is not null limit 22 label Col2 ''"", 0)), """")"),"")</f>
        <v/>
      </c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8"/>
      <c r="AO273" s="28"/>
      <c r="AP273" s="29"/>
      <c r="AQ273" s="29" t="str">
        <f t="shared" ref="AQ273:BL273" si="276">T273/T$2</f>
        <v>#N/A</v>
      </c>
      <c r="AR273" s="29" t="str">
        <f t="shared" si="276"/>
        <v>#DIV/0!</v>
      </c>
      <c r="AS273" s="29" t="str">
        <f t="shared" si="276"/>
        <v>#DIV/0!</v>
      </c>
      <c r="AT273" s="29" t="str">
        <f t="shared" si="276"/>
        <v>#DIV/0!</v>
      </c>
      <c r="AU273" s="29" t="str">
        <f t="shared" si="276"/>
        <v>#DIV/0!</v>
      </c>
      <c r="AV273" s="29" t="str">
        <f t="shared" si="276"/>
        <v>#DIV/0!</v>
      </c>
      <c r="AW273" s="29" t="str">
        <f t="shared" si="276"/>
        <v>#DIV/0!</v>
      </c>
      <c r="AX273" s="29" t="str">
        <f t="shared" si="276"/>
        <v>#DIV/0!</v>
      </c>
      <c r="AY273" s="29" t="str">
        <f t="shared" si="276"/>
        <v>#DIV/0!</v>
      </c>
      <c r="AZ273" s="29" t="str">
        <f t="shared" si="276"/>
        <v>#DIV/0!</v>
      </c>
      <c r="BA273" s="29" t="str">
        <f t="shared" si="276"/>
        <v>#DIV/0!</v>
      </c>
      <c r="BB273" s="29" t="str">
        <f t="shared" si="276"/>
        <v>#DIV/0!</v>
      </c>
      <c r="BC273" s="29" t="str">
        <f t="shared" si="276"/>
        <v>#DIV/0!</v>
      </c>
      <c r="BD273" s="29" t="str">
        <f t="shared" si="276"/>
        <v>#DIV/0!</v>
      </c>
      <c r="BE273" s="29" t="str">
        <f t="shared" si="276"/>
        <v>#DIV/0!</v>
      </c>
      <c r="BF273" s="29" t="str">
        <f t="shared" si="276"/>
        <v>#DIV/0!</v>
      </c>
      <c r="BG273" s="29" t="str">
        <f t="shared" si="276"/>
        <v>#DIV/0!</v>
      </c>
      <c r="BH273" s="29" t="str">
        <f t="shared" si="276"/>
        <v>#DIV/0!</v>
      </c>
      <c r="BI273" s="29" t="str">
        <f t="shared" si="276"/>
        <v>#DIV/0!</v>
      </c>
      <c r="BJ273" s="29" t="str">
        <f t="shared" si="276"/>
        <v>#DIV/0!</v>
      </c>
      <c r="BK273" s="29" t="str">
        <f t="shared" si="276"/>
        <v>#DIV/0!</v>
      </c>
      <c r="BL273" s="29" t="str">
        <f t="shared" si="276"/>
        <v>#DIV/0!</v>
      </c>
      <c r="BM273" s="29" t="str">
        <f t="shared" si="3"/>
        <v>#DIV/0!</v>
      </c>
    </row>
    <row r="274">
      <c r="A274" s="16" t="str">
        <f>IFERROR(__xludf.DUMMYFUNCTION("IFERROR(SPARKLINE(SORT(MAP(TRANSPOSE(AQ274:BL274), LAMBDA(val, IF(ISNUMBER(val), PERCENTRANK(AQ274:BL274, val)+0.01, 0))), SEQUENCE(COLUMNS(AQ274:BL274)), FALSE), {""charttype"",""column""; ""color"",""chartreuse""; ""ymin"", 0; ""ymax"", 1.01; ""highcolo"&amp;"r"", ""darkgreen""; ""lowcolor"", ""red""}), """")"),"")</f>
        <v/>
      </c>
      <c r="B274" s="17" t="str">
        <f t="shared" si="4"/>
        <v/>
      </c>
      <c r="C274" s="1" t="s">
        <v>1136</v>
      </c>
      <c r="D274" s="30" t="str">
        <f>IFERROR(__xludf.DUMMYFUNCTION("IFERROR(GOOGLEFINANCE(C274, ""NAME""))"),"Airbnb Inc")</f>
        <v>Airbnb Inc</v>
      </c>
      <c r="E274" s="30" t="s">
        <v>248</v>
      </c>
      <c r="F274" s="33" t="str">
        <f>IFERROR(__xludf.DUMMYFUNCTION("( (GOOGLEFINANCE(C274, ""price"") - Q274) / Q274 ) / (R274 / 100)"),"Loading...")</f>
        <v>Loading...</v>
      </c>
      <c r="G274" s="20" t="str">
        <f>IFERROR(__xludf.DUMMYFUNCTION("AVERAGE(ARRAYFORMULA(100 * (QUERY(GOOGLEFINANCE(C274, ""high"", TODAY()-40, TODAY()), ""SELECT Col2 WHERE Col2 IS NOT NULL ORDER BY Col1 DESC LIMIT 20"", 0) / QUERY(GOOGLEFINANCE(C274, ""low"", TODAY()-40, TODAY()), ""SELECT Col2 WHERE Col2 IS NOT NULL OR"&amp;"DER BY Col1 DESC LIMIT 20"", 0) - 1)))"),"#N/A")</f>
        <v>#N/A</v>
      </c>
      <c r="H274" s="35" t="str">
        <f t="shared" si="6"/>
        <v/>
      </c>
      <c r="I274" s="35" t="str">
        <f t="shared" si="7"/>
        <v/>
      </c>
      <c r="J274" s="37" t="str">
        <f>IFERROR(__xludf.DUMMYFUNCTION("IFERROR(
  IF(C274="""",, 
    IFERROR(
      GOOGLEFINANCE(C274, ""price"") * GOOGLEFINANCE(C274, ""volumeavg""), 
      GOOGLEFINANCE(C274, ""price"") * AVERAGE(QUERY(GOOGLEFINANCE(C274, ""volume"", TODAY()-40, TODAY()), ""SELECT Col2 WHERE Col2 IS NOT "&amp;"NULL ORDER BY Col1 DESC LIMIT 20"", 0))
    )
  ), 
"""")"),"")</f>
        <v/>
      </c>
      <c r="K274" s="21" t="str">
        <f>IFERROR(__xludf.DUMMYFUNCTION("IFERROR(GOOGLEFINANCE(C274, ""changepct"") / 100, """")"),"")</f>
        <v/>
      </c>
      <c r="L274" s="21" t="str">
        <f>IFERROR(__xludf.DUMMYFUNCTION("IFERROR((GOOGLEFINANCE(C274, ""price"") / INDEX(GOOGLEFINANCE(C274, ""price"", TODAY()-7, TODAY()), 2, 2)) - 1, """")"),"")</f>
        <v/>
      </c>
      <c r="M274" s="21" t="str">
        <f>IFERROR(__xludf.DUMMYFUNCTION("IFERROR((GOOGLEFINANCE(C274, ""price"") / INDEX(GOOGLEFINANCE(C274, ""price"", EDATE(TODAY(), -1), TODAY()), 2, 2)) - 1, """")"),"")</f>
        <v/>
      </c>
      <c r="N274" s="21" t="str">
        <f>IFERROR(__xludf.DUMMYFUNCTION("IFERROR((GOOGLEFINANCE(C274, ""price"") / INDEX(GOOGLEFINANCE(C274, ""price"", EDATE(TODAY(), -3), TODAY()), 2, 2)) - 1, """")"),"")</f>
        <v/>
      </c>
      <c r="O274" s="21" t="str">
        <f>IFERROR(__xludf.DUMMYFUNCTION("IFERROR((GOOGLEFINANCE(C274, ""price"") / INDEX(GOOGLEFINANCE(C274, ""price"", EDATE(TODAY(), -6), TODAY()), 2, 2)) - 1, """")"),"")</f>
        <v/>
      </c>
      <c r="P274" s="21" t="str">
        <f>IFERROR(__xludf.DUMMYFUNCTION("IFERROR((GOOGLEFINANCE(C274, ""price"") / INDEX(GOOGLEFINANCE(C274, ""price"", EDATE(TODAY(), -12), TODAY()), 2, 2)) - 1, """")"),"")</f>
        <v/>
      </c>
      <c r="Q274" s="6" t="str">
        <f>IFERROR(__xludf.DUMMYFUNCTION("AVERAGE(QUERY(GOOGLEFINANCE(C274, ""price"", TODAY()-80, TODAY()), ""SELECT Col2 WHERE Col2 IS NOT NULL ORDER BY Col1 DESC LIMIT 50"", 0))"),"#N/A")</f>
        <v>#N/A</v>
      </c>
      <c r="R274" s="24" t="str">
        <f>IFERROR(__xludf.DUMMYFUNCTION("IFERROR(
  LET(
    data, QUERY(GOOGLEFINANCE(C274,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GOOGLEFINANCE(C274, ""price"")) * 100,
    IF(calc=0, G274, calc)
  ), 
G274)"),"#N/A")</f>
        <v>#N/A</v>
      </c>
      <c r="S274" s="8" t="s">
        <v>15</v>
      </c>
      <c r="T274" s="26" t="str">
        <f>IFERROR(__xludf.DUMMYFUNCTION("IFERROR(TRANSPOSE(QUERY(IFERROR(SORT(GOOGLEFINANCE(C274, ""price"", WORKDAY(TODAY(), -40), TODAY()), 1, FALSE)), ""select Col2 where Col2 is not null limit 22 label Col2 ''"", 0)), """")"),"")</f>
        <v/>
      </c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8"/>
      <c r="AO274" s="28"/>
      <c r="AP274" s="29"/>
      <c r="AQ274" s="29" t="str">
        <f t="shared" ref="AQ274:BL274" si="277">T274/T$2</f>
        <v>#N/A</v>
      </c>
      <c r="AR274" s="29" t="str">
        <f t="shared" si="277"/>
        <v>#DIV/0!</v>
      </c>
      <c r="AS274" s="29" t="str">
        <f t="shared" si="277"/>
        <v>#DIV/0!</v>
      </c>
      <c r="AT274" s="29" t="str">
        <f t="shared" si="277"/>
        <v>#DIV/0!</v>
      </c>
      <c r="AU274" s="29" t="str">
        <f t="shared" si="277"/>
        <v>#DIV/0!</v>
      </c>
      <c r="AV274" s="29" t="str">
        <f t="shared" si="277"/>
        <v>#DIV/0!</v>
      </c>
      <c r="AW274" s="29" t="str">
        <f t="shared" si="277"/>
        <v>#DIV/0!</v>
      </c>
      <c r="AX274" s="29" t="str">
        <f t="shared" si="277"/>
        <v>#DIV/0!</v>
      </c>
      <c r="AY274" s="29" t="str">
        <f t="shared" si="277"/>
        <v>#DIV/0!</v>
      </c>
      <c r="AZ274" s="29" t="str">
        <f t="shared" si="277"/>
        <v>#DIV/0!</v>
      </c>
      <c r="BA274" s="29" t="str">
        <f t="shared" si="277"/>
        <v>#DIV/0!</v>
      </c>
      <c r="BB274" s="29" t="str">
        <f t="shared" si="277"/>
        <v>#DIV/0!</v>
      </c>
      <c r="BC274" s="29" t="str">
        <f t="shared" si="277"/>
        <v>#DIV/0!</v>
      </c>
      <c r="BD274" s="29" t="str">
        <f t="shared" si="277"/>
        <v>#DIV/0!</v>
      </c>
      <c r="BE274" s="29" t="str">
        <f t="shared" si="277"/>
        <v>#DIV/0!</v>
      </c>
      <c r="BF274" s="29" t="str">
        <f t="shared" si="277"/>
        <v>#DIV/0!</v>
      </c>
      <c r="BG274" s="29" t="str">
        <f t="shared" si="277"/>
        <v>#DIV/0!</v>
      </c>
      <c r="BH274" s="29" t="str">
        <f t="shared" si="277"/>
        <v>#DIV/0!</v>
      </c>
      <c r="BI274" s="29" t="str">
        <f t="shared" si="277"/>
        <v>#DIV/0!</v>
      </c>
      <c r="BJ274" s="29" t="str">
        <f t="shared" si="277"/>
        <v>#DIV/0!</v>
      </c>
      <c r="BK274" s="29" t="str">
        <f t="shared" si="277"/>
        <v>#DIV/0!</v>
      </c>
      <c r="BL274" s="29" t="str">
        <f t="shared" si="277"/>
        <v>#DIV/0!</v>
      </c>
      <c r="BM274" s="29" t="str">
        <f t="shared" si="3"/>
        <v>#DIV/0!</v>
      </c>
    </row>
    <row r="275">
      <c r="A275" s="16" t="str">
        <f>IFERROR(__xludf.DUMMYFUNCTION("IFERROR(SPARKLINE(SORT(MAP(TRANSPOSE(AQ275:BL275), LAMBDA(val, IF(ISNUMBER(val), PERCENTRANK(AQ275:BL275, val)+0.01, 0))), SEQUENCE(COLUMNS(AQ275:BL275)), FALSE), {""charttype"",""column""; ""color"",""chartreuse""; ""ymin"", 0; ""ymax"", 1.01; ""highcolo"&amp;"r"", ""darkgreen""; ""lowcolor"", ""red""}), """")"),"")</f>
        <v/>
      </c>
      <c r="B275" s="17" t="str">
        <f t="shared" si="4"/>
        <v/>
      </c>
      <c r="C275" s="1" t="s">
        <v>1140</v>
      </c>
      <c r="D275" s="30" t="str">
        <f>IFERROR(__xludf.DUMMYFUNCTION("IFERROR(GOOGLEFINANCE(C275, ""NAME""))"),"Viking Holdings Ltd")</f>
        <v>Viking Holdings Ltd</v>
      </c>
      <c r="E275" s="30" t="s">
        <v>248</v>
      </c>
      <c r="F275" s="33" t="str">
        <f>IFERROR(__xludf.DUMMYFUNCTION("( (GOOGLEFINANCE(C275, ""price"") - Q275) / Q275 ) / (R275 / 100)"),"Loading...")</f>
        <v>Loading...</v>
      </c>
      <c r="G275" s="20" t="str">
        <f>IFERROR(__xludf.DUMMYFUNCTION("AVERAGE(ARRAYFORMULA(100 * (QUERY(GOOGLEFINANCE(C275, ""high"", TODAY()-40, TODAY()), ""SELECT Col2 WHERE Col2 IS NOT NULL ORDER BY Col1 DESC LIMIT 20"", 0) / QUERY(GOOGLEFINANCE(C275, ""low"", TODAY()-40, TODAY()), ""SELECT Col2 WHERE Col2 IS NOT NULL OR"&amp;"DER BY Col1 DESC LIMIT 20"", 0) - 1)))"),"#N/A")</f>
        <v>#N/A</v>
      </c>
      <c r="H275" s="35" t="str">
        <f t="shared" si="6"/>
        <v/>
      </c>
      <c r="I275" s="35" t="str">
        <f t="shared" si="7"/>
        <v/>
      </c>
      <c r="J275" s="37" t="str">
        <f>IFERROR(__xludf.DUMMYFUNCTION("IFERROR(
  IF(C275="""",, 
    IFERROR(
      GOOGLEFINANCE(C275, ""price"") * GOOGLEFINANCE(C275, ""volumeavg""), 
      GOOGLEFINANCE(C275, ""price"") * AVERAGE(QUERY(GOOGLEFINANCE(C275, ""volume"", TODAY()-40, TODAY()), ""SELECT Col2 WHERE Col2 IS NOT "&amp;"NULL ORDER BY Col1 DESC LIMIT 20"", 0))
    )
  ), 
"""")"),"")</f>
        <v/>
      </c>
      <c r="K275" s="21" t="str">
        <f>IFERROR(__xludf.DUMMYFUNCTION("IFERROR(GOOGLEFINANCE(C275, ""changepct"") / 100, """")"),"")</f>
        <v/>
      </c>
      <c r="L275" s="21" t="str">
        <f>IFERROR(__xludf.DUMMYFUNCTION("IFERROR((GOOGLEFINANCE(C275, ""price"") / INDEX(GOOGLEFINANCE(C275, ""price"", TODAY()-7, TODAY()), 2, 2)) - 1, """")"),"")</f>
        <v/>
      </c>
      <c r="M275" s="21" t="str">
        <f>IFERROR(__xludf.DUMMYFUNCTION("IFERROR((GOOGLEFINANCE(C275, ""price"") / INDEX(GOOGLEFINANCE(C275, ""price"", EDATE(TODAY(), -1), TODAY()), 2, 2)) - 1, """")"),"")</f>
        <v/>
      </c>
      <c r="N275" s="21" t="str">
        <f>IFERROR(__xludf.DUMMYFUNCTION("IFERROR((GOOGLEFINANCE(C275, ""price"") / INDEX(GOOGLEFINANCE(C275, ""price"", EDATE(TODAY(), -3), TODAY()), 2, 2)) - 1, """")"),"")</f>
        <v/>
      </c>
      <c r="O275" s="21" t="str">
        <f>IFERROR(__xludf.DUMMYFUNCTION("IFERROR((GOOGLEFINANCE(C275, ""price"") / INDEX(GOOGLEFINANCE(C275, ""price"", EDATE(TODAY(), -6), TODAY()), 2, 2)) - 1, """")"),"")</f>
        <v/>
      </c>
      <c r="P275" s="21" t="str">
        <f>IFERROR(__xludf.DUMMYFUNCTION("IFERROR((GOOGLEFINANCE(C275, ""price"") / INDEX(GOOGLEFINANCE(C275, ""price"", EDATE(TODAY(), -12), TODAY()), 2, 2)) - 1, """")"),"")</f>
        <v/>
      </c>
      <c r="Q275" s="6" t="str">
        <f>IFERROR(__xludf.DUMMYFUNCTION("AVERAGE(QUERY(GOOGLEFINANCE(C275, ""price"", TODAY()-80, TODAY()), ""SELECT Col2 WHERE Col2 IS NOT NULL ORDER BY Col1 DESC LIMIT 50"", 0))"),"#N/A")</f>
        <v>#N/A</v>
      </c>
      <c r="R275" s="24" t="str">
        <f>IFERROR(__xludf.DUMMYFUNCTION("IFERROR(
  LET(
    data, QUERY(GOOGLEFINANCE(C275,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GOOGLEFINANCE(C275, ""price"")) * 100,
    IF(calc=0, G275, calc)
  ), 
G275)"),"#N/A")</f>
        <v>#N/A</v>
      </c>
      <c r="S275" s="8" t="s">
        <v>15</v>
      </c>
      <c r="T275" s="26" t="str">
        <f>IFERROR(__xludf.DUMMYFUNCTION("IFERROR(TRANSPOSE(QUERY(IFERROR(SORT(GOOGLEFINANCE(C275, ""price"", WORKDAY(TODAY(), -40), TODAY()), 1, FALSE)), ""select Col2 where Col2 is not null limit 22 label Col2 ''"", 0)), """")"),"")</f>
        <v/>
      </c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8"/>
      <c r="AO275" s="28"/>
      <c r="AP275" s="29"/>
      <c r="AQ275" s="29" t="str">
        <f t="shared" ref="AQ275:BL275" si="278">T275/T$2</f>
        <v>#N/A</v>
      </c>
      <c r="AR275" s="29" t="str">
        <f t="shared" si="278"/>
        <v>#DIV/0!</v>
      </c>
      <c r="AS275" s="29" t="str">
        <f t="shared" si="278"/>
        <v>#DIV/0!</v>
      </c>
      <c r="AT275" s="29" t="str">
        <f t="shared" si="278"/>
        <v>#DIV/0!</v>
      </c>
      <c r="AU275" s="29" t="str">
        <f t="shared" si="278"/>
        <v>#DIV/0!</v>
      </c>
      <c r="AV275" s="29" t="str">
        <f t="shared" si="278"/>
        <v>#DIV/0!</v>
      </c>
      <c r="AW275" s="29" t="str">
        <f t="shared" si="278"/>
        <v>#DIV/0!</v>
      </c>
      <c r="AX275" s="29" t="str">
        <f t="shared" si="278"/>
        <v>#DIV/0!</v>
      </c>
      <c r="AY275" s="29" t="str">
        <f t="shared" si="278"/>
        <v>#DIV/0!</v>
      </c>
      <c r="AZ275" s="29" t="str">
        <f t="shared" si="278"/>
        <v>#DIV/0!</v>
      </c>
      <c r="BA275" s="29" t="str">
        <f t="shared" si="278"/>
        <v>#DIV/0!</v>
      </c>
      <c r="BB275" s="29" t="str">
        <f t="shared" si="278"/>
        <v>#DIV/0!</v>
      </c>
      <c r="BC275" s="29" t="str">
        <f t="shared" si="278"/>
        <v>#DIV/0!</v>
      </c>
      <c r="BD275" s="29" t="str">
        <f t="shared" si="278"/>
        <v>#DIV/0!</v>
      </c>
      <c r="BE275" s="29" t="str">
        <f t="shared" si="278"/>
        <v>#DIV/0!</v>
      </c>
      <c r="BF275" s="29" t="str">
        <f t="shared" si="278"/>
        <v>#DIV/0!</v>
      </c>
      <c r="BG275" s="29" t="str">
        <f t="shared" si="278"/>
        <v>#DIV/0!</v>
      </c>
      <c r="BH275" s="29" t="str">
        <f t="shared" si="278"/>
        <v>#DIV/0!</v>
      </c>
      <c r="BI275" s="29" t="str">
        <f t="shared" si="278"/>
        <v>#DIV/0!</v>
      </c>
      <c r="BJ275" s="29" t="str">
        <f t="shared" si="278"/>
        <v>#DIV/0!</v>
      </c>
      <c r="BK275" s="29" t="str">
        <f t="shared" si="278"/>
        <v>#DIV/0!</v>
      </c>
      <c r="BL275" s="29" t="str">
        <f t="shared" si="278"/>
        <v>#DIV/0!</v>
      </c>
      <c r="BM275" s="29" t="str">
        <f t="shared" si="3"/>
        <v>#DIV/0!</v>
      </c>
    </row>
    <row r="276">
      <c r="A276" s="16" t="str">
        <f>IFERROR(__xludf.DUMMYFUNCTION("IFERROR(SPARKLINE(SORT(MAP(TRANSPOSE(AQ276:BL276), LAMBDA(val, IF(ISNUMBER(val), PERCENTRANK(AQ276:BL276, val)+0.01, 0))), SEQUENCE(COLUMNS(AQ276:BL276)), FALSE), {""charttype"",""column""; ""color"",""chartreuse""; ""ymin"", 0; ""ymax"", 1.01; ""highcolo"&amp;"r"", ""darkgreen""; ""lowcolor"", ""red""}), """")"),"")</f>
        <v/>
      </c>
      <c r="B276" s="17" t="str">
        <f t="shared" si="4"/>
        <v/>
      </c>
      <c r="C276" s="1" t="s">
        <v>1144</v>
      </c>
      <c r="D276" s="30" t="str">
        <f>IFERROR(__xludf.DUMMYFUNCTION("IFERROR(GOOGLEFINANCE(C276, ""NAME""))"),"Kontoor Brands Inc")</f>
        <v>Kontoor Brands Inc</v>
      </c>
      <c r="E276" s="30" t="s">
        <v>317</v>
      </c>
      <c r="F276" s="33" t="str">
        <f>IFERROR(__xludf.DUMMYFUNCTION("( (GOOGLEFINANCE(C276, ""price"") - Q276) / Q276 ) / (R276 / 100)"),"Loading...")</f>
        <v>Loading...</v>
      </c>
      <c r="G276" s="20" t="str">
        <f>IFERROR(__xludf.DUMMYFUNCTION("AVERAGE(ARRAYFORMULA(100 * (QUERY(GOOGLEFINANCE(C276, ""high"", TODAY()-40, TODAY()), ""SELECT Col2 WHERE Col2 IS NOT NULL ORDER BY Col1 DESC LIMIT 20"", 0) / QUERY(GOOGLEFINANCE(C276, ""low"", TODAY()-40, TODAY()), ""SELECT Col2 WHERE Col2 IS NOT NULL OR"&amp;"DER BY Col1 DESC LIMIT 20"", 0) - 1)))"),"#N/A")</f>
        <v>#N/A</v>
      </c>
      <c r="H276" s="35" t="str">
        <f t="shared" si="6"/>
        <v/>
      </c>
      <c r="I276" s="35" t="str">
        <f t="shared" si="7"/>
        <v/>
      </c>
      <c r="J276" s="37" t="str">
        <f>IFERROR(__xludf.DUMMYFUNCTION("IFERROR(
  IF(C276="""",, 
    IFERROR(
      GOOGLEFINANCE(C276, ""price"") * GOOGLEFINANCE(C276, ""volumeavg""), 
      GOOGLEFINANCE(C276, ""price"") * AVERAGE(QUERY(GOOGLEFINANCE(C276, ""volume"", TODAY()-40, TODAY()), ""SELECT Col2 WHERE Col2 IS NOT "&amp;"NULL ORDER BY Col1 DESC LIMIT 20"", 0))
    )
  ), 
"""")"),"")</f>
        <v/>
      </c>
      <c r="K276" s="21" t="str">
        <f>IFERROR(__xludf.DUMMYFUNCTION("IFERROR(GOOGLEFINANCE(C276, ""changepct"") / 100, """")"),"")</f>
        <v/>
      </c>
      <c r="L276" s="21" t="str">
        <f>IFERROR(__xludf.DUMMYFUNCTION("IFERROR((GOOGLEFINANCE(C276, ""price"") / INDEX(GOOGLEFINANCE(C276, ""price"", TODAY()-7, TODAY()), 2, 2)) - 1, """")"),"")</f>
        <v/>
      </c>
      <c r="M276" s="21" t="str">
        <f>IFERROR(__xludf.DUMMYFUNCTION("IFERROR((GOOGLEFINANCE(C276, ""price"") / INDEX(GOOGLEFINANCE(C276, ""price"", EDATE(TODAY(), -1), TODAY()), 2, 2)) - 1, """")"),"")</f>
        <v/>
      </c>
      <c r="N276" s="21" t="str">
        <f>IFERROR(__xludf.DUMMYFUNCTION("IFERROR((GOOGLEFINANCE(C276, ""price"") / INDEX(GOOGLEFINANCE(C276, ""price"", EDATE(TODAY(), -3), TODAY()), 2, 2)) - 1, """")"),"")</f>
        <v/>
      </c>
      <c r="O276" s="21" t="str">
        <f>IFERROR(__xludf.DUMMYFUNCTION("IFERROR((GOOGLEFINANCE(C276, ""price"") / INDEX(GOOGLEFINANCE(C276, ""price"", EDATE(TODAY(), -6), TODAY()), 2, 2)) - 1, """")"),"")</f>
        <v/>
      </c>
      <c r="P276" s="21" t="str">
        <f>IFERROR(__xludf.DUMMYFUNCTION("IFERROR((GOOGLEFINANCE(C276, ""price"") / INDEX(GOOGLEFINANCE(C276, ""price"", EDATE(TODAY(), -12), TODAY()), 2, 2)) - 1, """")"),"")</f>
        <v/>
      </c>
      <c r="Q276" s="6" t="str">
        <f>IFERROR(__xludf.DUMMYFUNCTION("AVERAGE(QUERY(GOOGLEFINANCE(C276, ""price"", TODAY()-80, TODAY()), ""SELECT Col2 WHERE Col2 IS NOT NULL ORDER BY Col1 DESC LIMIT 50"", 0))"),"#N/A")</f>
        <v>#N/A</v>
      </c>
      <c r="R276" s="24" t="str">
        <f>IFERROR(__xludf.DUMMYFUNCTION("IFERROR(
  LET(
    data, QUERY(GOOGLEFINANCE(C276,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GOOGLEFINANCE(C276, ""price"")) * 100,
    IF(calc=0, G276, calc)
  ), 
G276)"),"#N/A")</f>
        <v>#N/A</v>
      </c>
      <c r="S276" s="8" t="s">
        <v>15</v>
      </c>
      <c r="T276" s="26" t="str">
        <f>IFERROR(__xludf.DUMMYFUNCTION("IFERROR(TRANSPOSE(QUERY(IFERROR(SORT(GOOGLEFINANCE(C276, ""price"", WORKDAY(TODAY(), -40), TODAY()), 1, FALSE)), ""select Col2 where Col2 is not null limit 22 label Col2 ''"", 0)), """")"),"")</f>
        <v/>
      </c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8"/>
      <c r="AO276" s="28"/>
      <c r="AP276" s="29"/>
      <c r="AQ276" s="29" t="str">
        <f t="shared" ref="AQ276:BL276" si="279">T276/T$2</f>
        <v>#N/A</v>
      </c>
      <c r="AR276" s="29" t="str">
        <f t="shared" si="279"/>
        <v>#DIV/0!</v>
      </c>
      <c r="AS276" s="29" t="str">
        <f t="shared" si="279"/>
        <v>#DIV/0!</v>
      </c>
      <c r="AT276" s="29" t="str">
        <f t="shared" si="279"/>
        <v>#DIV/0!</v>
      </c>
      <c r="AU276" s="29" t="str">
        <f t="shared" si="279"/>
        <v>#DIV/0!</v>
      </c>
      <c r="AV276" s="29" t="str">
        <f t="shared" si="279"/>
        <v>#DIV/0!</v>
      </c>
      <c r="AW276" s="29" t="str">
        <f t="shared" si="279"/>
        <v>#DIV/0!</v>
      </c>
      <c r="AX276" s="29" t="str">
        <f t="shared" si="279"/>
        <v>#DIV/0!</v>
      </c>
      <c r="AY276" s="29" t="str">
        <f t="shared" si="279"/>
        <v>#DIV/0!</v>
      </c>
      <c r="AZ276" s="29" t="str">
        <f t="shared" si="279"/>
        <v>#DIV/0!</v>
      </c>
      <c r="BA276" s="29" t="str">
        <f t="shared" si="279"/>
        <v>#DIV/0!</v>
      </c>
      <c r="BB276" s="29" t="str">
        <f t="shared" si="279"/>
        <v>#DIV/0!</v>
      </c>
      <c r="BC276" s="29" t="str">
        <f t="shared" si="279"/>
        <v>#DIV/0!</v>
      </c>
      <c r="BD276" s="29" t="str">
        <f t="shared" si="279"/>
        <v>#DIV/0!</v>
      </c>
      <c r="BE276" s="29" t="str">
        <f t="shared" si="279"/>
        <v>#DIV/0!</v>
      </c>
      <c r="BF276" s="29" t="str">
        <f t="shared" si="279"/>
        <v>#DIV/0!</v>
      </c>
      <c r="BG276" s="29" t="str">
        <f t="shared" si="279"/>
        <v>#DIV/0!</v>
      </c>
      <c r="BH276" s="29" t="str">
        <f t="shared" si="279"/>
        <v>#DIV/0!</v>
      </c>
      <c r="BI276" s="29" t="str">
        <f t="shared" si="279"/>
        <v>#DIV/0!</v>
      </c>
      <c r="BJ276" s="29" t="str">
        <f t="shared" si="279"/>
        <v>#DIV/0!</v>
      </c>
      <c r="BK276" s="29" t="str">
        <f t="shared" si="279"/>
        <v>#DIV/0!</v>
      </c>
      <c r="BL276" s="29" t="str">
        <f t="shared" si="279"/>
        <v>#DIV/0!</v>
      </c>
      <c r="BM276" s="29" t="str">
        <f t="shared" si="3"/>
        <v>#DIV/0!</v>
      </c>
    </row>
    <row r="277">
      <c r="A277" s="16" t="str">
        <f>IFERROR(__xludf.DUMMYFUNCTION("IFERROR(SPARKLINE(SORT(MAP(TRANSPOSE(AQ277:BL277), LAMBDA(val, IF(ISNUMBER(val), PERCENTRANK(AQ277:BL277, val)+0.01, 0))), SEQUENCE(COLUMNS(AQ277:BL277)), FALSE), {""charttype"",""column""; ""color"",""chartreuse""; ""ymin"", 0; ""ymax"", 1.01; ""highcolo"&amp;"r"", ""darkgreen""; ""lowcolor"", ""red""}), """")"),"")</f>
        <v/>
      </c>
      <c r="B277" s="17" t="str">
        <f t="shared" si="4"/>
        <v/>
      </c>
      <c r="C277" s="1" t="s">
        <v>1149</v>
      </c>
      <c r="D277" s="30" t="str">
        <f>IFERROR(__xludf.DUMMYFUNCTION("IFERROR(GOOGLEFINANCE(C277, ""NAME""))"),"Greif Inc Class A")</f>
        <v>Greif Inc Class A</v>
      </c>
      <c r="E277" s="30" t="s">
        <v>195</v>
      </c>
      <c r="F277" s="33" t="str">
        <f>IFERROR(__xludf.DUMMYFUNCTION("( (GOOGLEFINANCE(C277, ""price"") - Q277) / Q277 ) / (R277 / 100)"),"Loading...")</f>
        <v>Loading...</v>
      </c>
      <c r="G277" s="20" t="str">
        <f>IFERROR(__xludf.DUMMYFUNCTION("AVERAGE(ARRAYFORMULA(100 * (QUERY(GOOGLEFINANCE(C277, ""high"", TODAY()-40, TODAY()), ""SELECT Col2 WHERE Col2 IS NOT NULL ORDER BY Col1 DESC LIMIT 20"", 0) / QUERY(GOOGLEFINANCE(C277, ""low"", TODAY()-40, TODAY()), ""SELECT Col2 WHERE Col2 IS NOT NULL OR"&amp;"DER BY Col1 DESC LIMIT 20"", 0) - 1)))"),"#N/A")</f>
        <v>#N/A</v>
      </c>
      <c r="H277" s="35" t="str">
        <f t="shared" si="6"/>
        <v/>
      </c>
      <c r="I277" s="35" t="str">
        <f t="shared" si="7"/>
        <v/>
      </c>
      <c r="J277" s="37" t="str">
        <f>IFERROR(__xludf.DUMMYFUNCTION("IFERROR(
  IF(C277="""",, 
    IFERROR(
      GOOGLEFINANCE(C277, ""price"") * GOOGLEFINANCE(C277, ""volumeavg""), 
      GOOGLEFINANCE(C277, ""price"") * AVERAGE(QUERY(GOOGLEFINANCE(C277, ""volume"", TODAY()-40, TODAY()), ""SELECT Col2 WHERE Col2 IS NOT "&amp;"NULL ORDER BY Col1 DESC LIMIT 20"", 0))
    )
  ), 
"""")"),"")</f>
        <v/>
      </c>
      <c r="K277" s="21" t="str">
        <f>IFERROR(__xludf.DUMMYFUNCTION("IFERROR(GOOGLEFINANCE(C277, ""changepct"") / 100, """")"),"")</f>
        <v/>
      </c>
      <c r="L277" s="21" t="str">
        <f>IFERROR(__xludf.DUMMYFUNCTION("IFERROR((GOOGLEFINANCE(C277, ""price"") / INDEX(GOOGLEFINANCE(C277, ""price"", TODAY()-7, TODAY()), 2, 2)) - 1, """")"),"")</f>
        <v/>
      </c>
      <c r="M277" s="21" t="str">
        <f>IFERROR(__xludf.DUMMYFUNCTION("IFERROR((GOOGLEFINANCE(C277, ""price"") / INDEX(GOOGLEFINANCE(C277, ""price"", EDATE(TODAY(), -1), TODAY()), 2, 2)) - 1, """")"),"")</f>
        <v/>
      </c>
      <c r="N277" s="21" t="str">
        <f>IFERROR(__xludf.DUMMYFUNCTION("IFERROR((GOOGLEFINANCE(C277, ""price"") / INDEX(GOOGLEFINANCE(C277, ""price"", EDATE(TODAY(), -3), TODAY()), 2, 2)) - 1, """")"),"")</f>
        <v/>
      </c>
      <c r="O277" s="21" t="str">
        <f>IFERROR(__xludf.DUMMYFUNCTION("IFERROR((GOOGLEFINANCE(C277, ""price"") / INDEX(GOOGLEFINANCE(C277, ""price"", EDATE(TODAY(), -6), TODAY()), 2, 2)) - 1, """")"),"")</f>
        <v/>
      </c>
      <c r="P277" s="21" t="str">
        <f>IFERROR(__xludf.DUMMYFUNCTION("IFERROR((GOOGLEFINANCE(C277, ""price"") / INDEX(GOOGLEFINANCE(C277, ""price"", EDATE(TODAY(), -12), TODAY()), 2, 2)) - 1, """")"),"")</f>
        <v/>
      </c>
      <c r="Q277" s="6" t="str">
        <f>IFERROR(__xludf.DUMMYFUNCTION("AVERAGE(QUERY(GOOGLEFINANCE(C277, ""price"", TODAY()-80, TODAY()), ""SELECT Col2 WHERE Col2 IS NOT NULL ORDER BY Col1 DESC LIMIT 50"", 0))"),"#N/A")</f>
        <v>#N/A</v>
      </c>
      <c r="R277" s="24" t="str">
        <f>IFERROR(__xludf.DUMMYFUNCTION("IFERROR(
  LET(
    data, QUERY(GOOGLEFINANCE(C277,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GOOGLEFINANCE(C277, ""price"")) * 100,
    IF(calc=0, G277, calc)
  ), 
G277)"),"#N/A")</f>
        <v>#N/A</v>
      </c>
      <c r="S277" s="8" t="s">
        <v>15</v>
      </c>
      <c r="T277" s="26" t="str">
        <f>IFERROR(__xludf.DUMMYFUNCTION("IFERROR(TRANSPOSE(QUERY(IFERROR(SORT(GOOGLEFINANCE(C277, ""price"", WORKDAY(TODAY(), -40), TODAY()), 1, FALSE)), ""select Col2 where Col2 is not null limit 22 label Col2 ''"", 0)), """")"),"")</f>
        <v/>
      </c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8"/>
      <c r="AO277" s="28"/>
      <c r="AP277" s="29"/>
      <c r="AQ277" s="29" t="str">
        <f t="shared" ref="AQ277:BL277" si="280">T277/T$2</f>
        <v>#N/A</v>
      </c>
      <c r="AR277" s="29" t="str">
        <f t="shared" si="280"/>
        <v>#DIV/0!</v>
      </c>
      <c r="AS277" s="29" t="str">
        <f t="shared" si="280"/>
        <v>#DIV/0!</v>
      </c>
      <c r="AT277" s="29" t="str">
        <f t="shared" si="280"/>
        <v>#DIV/0!</v>
      </c>
      <c r="AU277" s="29" t="str">
        <f t="shared" si="280"/>
        <v>#DIV/0!</v>
      </c>
      <c r="AV277" s="29" t="str">
        <f t="shared" si="280"/>
        <v>#DIV/0!</v>
      </c>
      <c r="AW277" s="29" t="str">
        <f t="shared" si="280"/>
        <v>#DIV/0!</v>
      </c>
      <c r="AX277" s="29" t="str">
        <f t="shared" si="280"/>
        <v>#DIV/0!</v>
      </c>
      <c r="AY277" s="29" t="str">
        <f t="shared" si="280"/>
        <v>#DIV/0!</v>
      </c>
      <c r="AZ277" s="29" t="str">
        <f t="shared" si="280"/>
        <v>#DIV/0!</v>
      </c>
      <c r="BA277" s="29" t="str">
        <f t="shared" si="280"/>
        <v>#DIV/0!</v>
      </c>
      <c r="BB277" s="29" t="str">
        <f t="shared" si="280"/>
        <v>#DIV/0!</v>
      </c>
      <c r="BC277" s="29" t="str">
        <f t="shared" si="280"/>
        <v>#DIV/0!</v>
      </c>
      <c r="BD277" s="29" t="str">
        <f t="shared" si="280"/>
        <v>#DIV/0!</v>
      </c>
      <c r="BE277" s="29" t="str">
        <f t="shared" si="280"/>
        <v>#DIV/0!</v>
      </c>
      <c r="BF277" s="29" t="str">
        <f t="shared" si="280"/>
        <v>#DIV/0!</v>
      </c>
      <c r="BG277" s="29" t="str">
        <f t="shared" si="280"/>
        <v>#DIV/0!</v>
      </c>
      <c r="BH277" s="29" t="str">
        <f t="shared" si="280"/>
        <v>#DIV/0!</v>
      </c>
      <c r="BI277" s="29" t="str">
        <f t="shared" si="280"/>
        <v>#DIV/0!</v>
      </c>
      <c r="BJ277" s="29" t="str">
        <f t="shared" si="280"/>
        <v>#DIV/0!</v>
      </c>
      <c r="BK277" s="29" t="str">
        <f t="shared" si="280"/>
        <v>#DIV/0!</v>
      </c>
      <c r="BL277" s="29" t="str">
        <f t="shared" si="280"/>
        <v>#DIV/0!</v>
      </c>
      <c r="BM277" s="29" t="str">
        <f t="shared" si="3"/>
        <v>#DIV/0!</v>
      </c>
    </row>
    <row r="278">
      <c r="A278" s="16" t="str">
        <f>IFERROR(__xludf.DUMMYFUNCTION("IFERROR(SPARKLINE(SORT(MAP(TRANSPOSE(AQ278:BL278), LAMBDA(val, IF(ISNUMBER(val), PERCENTRANK(AQ278:BL278, val)+0.01, 0))), SEQUENCE(COLUMNS(AQ278:BL278)), FALSE), {""charttype"",""column""; ""color"",""chartreuse""; ""ymin"", 0; ""ymax"", 1.01; ""highcolo"&amp;"r"", ""darkgreen""; ""lowcolor"", ""red""}), """")"),"")</f>
        <v/>
      </c>
      <c r="B278" s="17" t="str">
        <f t="shared" si="4"/>
        <v/>
      </c>
      <c r="C278" s="1" t="s">
        <v>1152</v>
      </c>
      <c r="D278" s="30" t="str">
        <f>IFERROR(__xludf.DUMMYFUNCTION("IFERROR(GOOGLEFINANCE(C278, ""NAME""))"),"Sally Beauty Holdings Inc")</f>
        <v>Sally Beauty Holdings Inc</v>
      </c>
      <c r="E278" s="30" t="s">
        <v>184</v>
      </c>
      <c r="F278" s="38" t="str">
        <f>IFERROR(__xludf.DUMMYFUNCTION("( (GOOGLEFINANCE(C278, ""price"") - Q278) / Q278 ) / (R278 / 100)"),"Loading...")</f>
        <v>Loading...</v>
      </c>
      <c r="G278" s="20" t="str">
        <f>IFERROR(__xludf.DUMMYFUNCTION("AVERAGE(ARRAYFORMULA(100 * (QUERY(GOOGLEFINANCE(C278, ""high"", TODAY()-40, TODAY()), ""SELECT Col2 WHERE Col2 IS NOT NULL ORDER BY Col1 DESC LIMIT 20"", 0) / QUERY(GOOGLEFINANCE(C278, ""low"", TODAY()-40, TODAY()), ""SELECT Col2 WHERE Col2 IS NOT NULL OR"&amp;"DER BY Col1 DESC LIMIT 20"", 0) - 1)))"),"#N/A")</f>
        <v>#N/A</v>
      </c>
      <c r="H278" s="35" t="str">
        <f t="shared" si="6"/>
        <v/>
      </c>
      <c r="I278" s="35" t="str">
        <f t="shared" si="7"/>
        <v/>
      </c>
      <c r="J278" s="37" t="str">
        <f>IFERROR(__xludf.DUMMYFUNCTION("IFERROR(
  IF(C278="""",, 
    IFERROR(
      GOOGLEFINANCE(C278, ""price"") * GOOGLEFINANCE(C278, ""volumeavg""), 
      GOOGLEFINANCE(C278, ""price"") * AVERAGE(QUERY(GOOGLEFINANCE(C278, ""volume"", TODAY()-40, TODAY()), ""SELECT Col2 WHERE Col2 IS NOT "&amp;"NULL ORDER BY Col1 DESC LIMIT 20"", 0))
    )
  ), 
"""")"),"")</f>
        <v/>
      </c>
      <c r="K278" s="21" t="str">
        <f>IFERROR(__xludf.DUMMYFUNCTION("IFERROR(GOOGLEFINANCE(C278, ""changepct"") / 100, """")"),"")</f>
        <v/>
      </c>
      <c r="L278" s="21" t="str">
        <f>IFERROR(__xludf.DUMMYFUNCTION("IFERROR((GOOGLEFINANCE(C278, ""price"") / INDEX(GOOGLEFINANCE(C278, ""price"", TODAY()-7, TODAY()), 2, 2)) - 1, """")"),"")</f>
        <v/>
      </c>
      <c r="M278" s="21" t="str">
        <f>IFERROR(__xludf.DUMMYFUNCTION("IFERROR((GOOGLEFINANCE(C278, ""price"") / INDEX(GOOGLEFINANCE(C278, ""price"", EDATE(TODAY(), -1), TODAY()), 2, 2)) - 1, """")"),"")</f>
        <v/>
      </c>
      <c r="N278" s="21" t="str">
        <f>IFERROR(__xludf.DUMMYFUNCTION("IFERROR((GOOGLEFINANCE(C278, ""price"") / INDEX(GOOGLEFINANCE(C278, ""price"", EDATE(TODAY(), -3), TODAY()), 2, 2)) - 1, """")"),"")</f>
        <v/>
      </c>
      <c r="O278" s="21" t="str">
        <f>IFERROR(__xludf.DUMMYFUNCTION("IFERROR((GOOGLEFINANCE(C278, ""price"") / INDEX(GOOGLEFINANCE(C278, ""price"", EDATE(TODAY(), -6), TODAY()), 2, 2)) - 1, """")"),"")</f>
        <v/>
      </c>
      <c r="P278" s="21" t="str">
        <f>IFERROR(__xludf.DUMMYFUNCTION("IFERROR((GOOGLEFINANCE(C278, ""price"") / INDEX(GOOGLEFINANCE(C278, ""price"", EDATE(TODAY(), -12), TODAY()), 2, 2)) - 1, """")"),"")</f>
        <v/>
      </c>
      <c r="Q278" s="6" t="str">
        <f>IFERROR(__xludf.DUMMYFUNCTION("AVERAGE(QUERY(GOOGLEFINANCE(C278, ""price"", TODAY()-80, TODAY()), ""SELECT Col2 WHERE Col2 IS NOT NULL ORDER BY Col1 DESC LIMIT 50"", 0))"),"#N/A")</f>
        <v>#N/A</v>
      </c>
      <c r="R278" s="24" t="str">
        <f>IFERROR(__xludf.DUMMYFUNCTION("IFERROR(
  LET(
    data, QUERY(GOOGLEFINANCE(C278,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GOOGLEFINANCE(C278, ""price"")) * 100,
    IF(calc=0, G278, calc)
  ), 
G278)"),"#N/A")</f>
        <v>#N/A</v>
      </c>
      <c r="S278" s="8" t="s">
        <v>15</v>
      </c>
      <c r="T278" s="26" t="str">
        <f>IFERROR(__xludf.DUMMYFUNCTION("IFERROR(TRANSPOSE(QUERY(IFERROR(SORT(GOOGLEFINANCE(C278, ""price"", WORKDAY(TODAY(), -40), TODAY()), 1, FALSE)), ""select Col2 where Col2 is not null limit 22 label Col2 ''"", 0)), """")"),"")</f>
        <v/>
      </c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8"/>
      <c r="AO278" s="28"/>
      <c r="AP278" s="29"/>
      <c r="AQ278" s="29" t="str">
        <f t="shared" ref="AQ278:BL278" si="281">T278/T$2</f>
        <v>#N/A</v>
      </c>
      <c r="AR278" s="29" t="str">
        <f t="shared" si="281"/>
        <v>#DIV/0!</v>
      </c>
      <c r="AS278" s="29" t="str">
        <f t="shared" si="281"/>
        <v>#DIV/0!</v>
      </c>
      <c r="AT278" s="29" t="str">
        <f t="shared" si="281"/>
        <v>#DIV/0!</v>
      </c>
      <c r="AU278" s="29" t="str">
        <f t="shared" si="281"/>
        <v>#DIV/0!</v>
      </c>
      <c r="AV278" s="29" t="str">
        <f t="shared" si="281"/>
        <v>#DIV/0!</v>
      </c>
      <c r="AW278" s="29" t="str">
        <f t="shared" si="281"/>
        <v>#DIV/0!</v>
      </c>
      <c r="AX278" s="29" t="str">
        <f t="shared" si="281"/>
        <v>#DIV/0!</v>
      </c>
      <c r="AY278" s="29" t="str">
        <f t="shared" si="281"/>
        <v>#DIV/0!</v>
      </c>
      <c r="AZ278" s="29" t="str">
        <f t="shared" si="281"/>
        <v>#DIV/0!</v>
      </c>
      <c r="BA278" s="29" t="str">
        <f t="shared" si="281"/>
        <v>#DIV/0!</v>
      </c>
      <c r="BB278" s="29" t="str">
        <f t="shared" si="281"/>
        <v>#DIV/0!</v>
      </c>
      <c r="BC278" s="29" t="str">
        <f t="shared" si="281"/>
        <v>#DIV/0!</v>
      </c>
      <c r="BD278" s="29" t="str">
        <f t="shared" si="281"/>
        <v>#DIV/0!</v>
      </c>
      <c r="BE278" s="29" t="str">
        <f t="shared" si="281"/>
        <v>#DIV/0!</v>
      </c>
      <c r="BF278" s="29" t="str">
        <f t="shared" si="281"/>
        <v>#DIV/0!</v>
      </c>
      <c r="BG278" s="29" t="str">
        <f t="shared" si="281"/>
        <v>#DIV/0!</v>
      </c>
      <c r="BH278" s="29" t="str">
        <f t="shared" si="281"/>
        <v>#DIV/0!</v>
      </c>
      <c r="BI278" s="29" t="str">
        <f t="shared" si="281"/>
        <v>#DIV/0!</v>
      </c>
      <c r="BJ278" s="29" t="str">
        <f t="shared" si="281"/>
        <v>#DIV/0!</v>
      </c>
      <c r="BK278" s="29" t="str">
        <f t="shared" si="281"/>
        <v>#DIV/0!</v>
      </c>
      <c r="BL278" s="29" t="str">
        <f t="shared" si="281"/>
        <v>#DIV/0!</v>
      </c>
      <c r="BM278" s="29" t="str">
        <f t="shared" si="3"/>
        <v>#DIV/0!</v>
      </c>
    </row>
    <row r="279">
      <c r="A279" s="16" t="str">
        <f>IFERROR(__xludf.DUMMYFUNCTION("IFERROR(SPARKLINE(SORT(MAP(TRANSPOSE(AQ279:BL279), LAMBDA(val, IF(ISNUMBER(val), PERCENTRANK(AQ279:BL279, val)+0.01, 0))), SEQUENCE(COLUMNS(AQ279:BL279)), FALSE), {""charttype"",""column""; ""color"",""chartreuse""; ""ymin"", 0; ""ymax"", 1.01; ""highcolo"&amp;"r"", ""darkgreen""; ""lowcolor"", ""red""}), """")"),"")</f>
        <v/>
      </c>
      <c r="B279" s="17" t="str">
        <f t="shared" si="4"/>
        <v/>
      </c>
      <c r="C279" s="1" t="s">
        <v>1155</v>
      </c>
      <c r="D279" s="30" t="str">
        <f>IFERROR(__xludf.DUMMYFUNCTION("IFERROR(GOOGLEFINANCE(C279, ""NAME""))"),"Academy Sports and Outdoors Inc")</f>
        <v>Academy Sports and Outdoors Inc</v>
      </c>
      <c r="E279" s="30" t="s">
        <v>184</v>
      </c>
      <c r="F279" s="33" t="str">
        <f>IFERROR(__xludf.DUMMYFUNCTION("( (GOOGLEFINANCE(C279, ""price"") - Q279) / Q279 ) / (R279 / 100)"),"Loading...")</f>
        <v>Loading...</v>
      </c>
      <c r="G279" s="20" t="str">
        <f>IFERROR(__xludf.DUMMYFUNCTION("AVERAGE(ARRAYFORMULA(100 * (QUERY(GOOGLEFINANCE(C279, ""high"", TODAY()-40, TODAY()), ""SELECT Col2 WHERE Col2 IS NOT NULL ORDER BY Col1 DESC LIMIT 20"", 0) / QUERY(GOOGLEFINANCE(C279, ""low"", TODAY()-40, TODAY()), ""SELECT Col2 WHERE Col2 IS NOT NULL OR"&amp;"DER BY Col1 DESC LIMIT 20"", 0) - 1)))"),"#N/A")</f>
        <v>#N/A</v>
      </c>
      <c r="H279" s="35" t="str">
        <f t="shared" si="6"/>
        <v/>
      </c>
      <c r="I279" s="35" t="str">
        <f t="shared" si="7"/>
        <v/>
      </c>
      <c r="J279" s="37" t="str">
        <f>IFERROR(__xludf.DUMMYFUNCTION("IFERROR(
  IF(C279="""",, 
    IFERROR(
      GOOGLEFINANCE(C279, ""price"") * GOOGLEFINANCE(C279, ""volumeavg""), 
      GOOGLEFINANCE(C279, ""price"") * AVERAGE(QUERY(GOOGLEFINANCE(C279, ""volume"", TODAY()-40, TODAY()), ""SELECT Col2 WHERE Col2 IS NOT "&amp;"NULL ORDER BY Col1 DESC LIMIT 20"", 0))
    )
  ), 
"""")"),"")</f>
        <v/>
      </c>
      <c r="K279" s="21" t="str">
        <f>IFERROR(__xludf.DUMMYFUNCTION("IFERROR(GOOGLEFINANCE(C279, ""changepct"") / 100, """")"),"")</f>
        <v/>
      </c>
      <c r="L279" s="21" t="str">
        <f>IFERROR(__xludf.DUMMYFUNCTION("IFERROR((GOOGLEFINANCE(C279, ""price"") / INDEX(GOOGLEFINANCE(C279, ""price"", TODAY()-7, TODAY()), 2, 2)) - 1, """")"),"")</f>
        <v/>
      </c>
      <c r="M279" s="21" t="str">
        <f>IFERROR(__xludf.DUMMYFUNCTION("IFERROR((GOOGLEFINANCE(C279, ""price"") / INDEX(GOOGLEFINANCE(C279, ""price"", EDATE(TODAY(), -1), TODAY()), 2, 2)) - 1, """")"),"")</f>
        <v/>
      </c>
      <c r="N279" s="21" t="str">
        <f>IFERROR(__xludf.DUMMYFUNCTION("IFERROR((GOOGLEFINANCE(C279, ""price"") / INDEX(GOOGLEFINANCE(C279, ""price"", EDATE(TODAY(), -3), TODAY()), 2, 2)) - 1, """")"),"")</f>
        <v/>
      </c>
      <c r="O279" s="21" t="str">
        <f>IFERROR(__xludf.DUMMYFUNCTION("IFERROR((GOOGLEFINANCE(C279, ""price"") / INDEX(GOOGLEFINANCE(C279, ""price"", EDATE(TODAY(), -6), TODAY()), 2, 2)) - 1, """")"),"")</f>
        <v/>
      </c>
      <c r="P279" s="21" t="str">
        <f>IFERROR(__xludf.DUMMYFUNCTION("IFERROR((GOOGLEFINANCE(C279, ""price"") / INDEX(GOOGLEFINANCE(C279, ""price"", EDATE(TODAY(), -12), TODAY()), 2, 2)) - 1, """")"),"")</f>
        <v/>
      </c>
      <c r="Q279" s="6" t="str">
        <f>IFERROR(__xludf.DUMMYFUNCTION("AVERAGE(QUERY(GOOGLEFINANCE(C279, ""price"", TODAY()-80, TODAY()), ""SELECT Col2 WHERE Col2 IS NOT NULL ORDER BY Col1 DESC LIMIT 50"", 0))"),"#N/A")</f>
        <v>#N/A</v>
      </c>
      <c r="R279" s="24" t="str">
        <f>IFERROR(__xludf.DUMMYFUNCTION("IFERROR(
  LET(
    data, QUERY(GOOGLEFINANCE(C279,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GOOGLEFINANCE(C279, ""price"")) * 100,
    IF(calc=0, G279, calc)
  ), 
G279)"),"#N/A")</f>
        <v>#N/A</v>
      </c>
      <c r="S279" s="8" t="s">
        <v>15</v>
      </c>
      <c r="T279" s="26" t="str">
        <f>IFERROR(__xludf.DUMMYFUNCTION("IFERROR(TRANSPOSE(QUERY(IFERROR(SORT(GOOGLEFINANCE(C279, ""price"", WORKDAY(TODAY(), -40), TODAY()), 1, FALSE)), ""select Col2 where Col2 is not null limit 22 label Col2 ''"", 0)), """")"),"")</f>
        <v/>
      </c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8"/>
      <c r="AO279" s="28"/>
      <c r="AP279" s="29"/>
      <c r="AQ279" s="29" t="str">
        <f t="shared" ref="AQ279:BL279" si="282">T279/T$2</f>
        <v>#N/A</v>
      </c>
      <c r="AR279" s="29" t="str">
        <f t="shared" si="282"/>
        <v>#DIV/0!</v>
      </c>
      <c r="AS279" s="29" t="str">
        <f t="shared" si="282"/>
        <v>#DIV/0!</v>
      </c>
      <c r="AT279" s="29" t="str">
        <f t="shared" si="282"/>
        <v>#DIV/0!</v>
      </c>
      <c r="AU279" s="29" t="str">
        <f t="shared" si="282"/>
        <v>#DIV/0!</v>
      </c>
      <c r="AV279" s="29" t="str">
        <f t="shared" si="282"/>
        <v>#DIV/0!</v>
      </c>
      <c r="AW279" s="29" t="str">
        <f t="shared" si="282"/>
        <v>#DIV/0!</v>
      </c>
      <c r="AX279" s="29" t="str">
        <f t="shared" si="282"/>
        <v>#DIV/0!</v>
      </c>
      <c r="AY279" s="29" t="str">
        <f t="shared" si="282"/>
        <v>#DIV/0!</v>
      </c>
      <c r="AZ279" s="29" t="str">
        <f t="shared" si="282"/>
        <v>#DIV/0!</v>
      </c>
      <c r="BA279" s="29" t="str">
        <f t="shared" si="282"/>
        <v>#DIV/0!</v>
      </c>
      <c r="BB279" s="29" t="str">
        <f t="shared" si="282"/>
        <v>#DIV/0!</v>
      </c>
      <c r="BC279" s="29" t="str">
        <f t="shared" si="282"/>
        <v>#DIV/0!</v>
      </c>
      <c r="BD279" s="29" t="str">
        <f t="shared" si="282"/>
        <v>#DIV/0!</v>
      </c>
      <c r="BE279" s="29" t="str">
        <f t="shared" si="282"/>
        <v>#DIV/0!</v>
      </c>
      <c r="BF279" s="29" t="str">
        <f t="shared" si="282"/>
        <v>#DIV/0!</v>
      </c>
      <c r="BG279" s="29" t="str">
        <f t="shared" si="282"/>
        <v>#DIV/0!</v>
      </c>
      <c r="BH279" s="29" t="str">
        <f t="shared" si="282"/>
        <v>#DIV/0!</v>
      </c>
      <c r="BI279" s="29" t="str">
        <f t="shared" si="282"/>
        <v>#DIV/0!</v>
      </c>
      <c r="BJ279" s="29" t="str">
        <f t="shared" si="282"/>
        <v>#DIV/0!</v>
      </c>
      <c r="BK279" s="29" t="str">
        <f t="shared" si="282"/>
        <v>#DIV/0!</v>
      </c>
      <c r="BL279" s="29" t="str">
        <f t="shared" si="282"/>
        <v>#DIV/0!</v>
      </c>
      <c r="BM279" s="29" t="str">
        <f t="shared" si="3"/>
        <v>#DIV/0!</v>
      </c>
    </row>
    <row r="280">
      <c r="A280" s="16" t="str">
        <f>IFERROR(__xludf.DUMMYFUNCTION("IFERROR(SPARKLINE(SORT(MAP(TRANSPOSE(AQ280:BL280), LAMBDA(val, IF(ISNUMBER(val), PERCENTRANK(AQ280:BL280, val)+0.01, 0))), SEQUENCE(COLUMNS(AQ280:BL280)), FALSE), {""charttype"",""column""; ""color"",""chartreuse""; ""ymin"", 0; ""ymax"", 1.01; ""highcolo"&amp;"r"", ""darkgreen""; ""lowcolor"", ""red""}), """")"),"")</f>
        <v/>
      </c>
      <c r="B280" s="17" t="str">
        <f t="shared" si="4"/>
        <v/>
      </c>
      <c r="C280" s="1" t="s">
        <v>1158</v>
      </c>
      <c r="D280" s="30" t="str">
        <f>IFERROR(__xludf.DUMMYFUNCTION("IFERROR(GOOGLEFINANCE(C280, ""NAME""))"),"Aptiv PLC")</f>
        <v>Aptiv PLC</v>
      </c>
      <c r="E280" s="30" t="s">
        <v>109</v>
      </c>
      <c r="F280" s="33" t="str">
        <f>IFERROR(__xludf.DUMMYFUNCTION("( (GOOGLEFINANCE(C280, ""price"") - Q280) / Q280 ) / (R280 / 100)"),"Loading...")</f>
        <v>Loading...</v>
      </c>
      <c r="G280" s="20" t="str">
        <f>IFERROR(__xludf.DUMMYFUNCTION("AVERAGE(ARRAYFORMULA(100 * (QUERY(GOOGLEFINANCE(C280, ""high"", TODAY()-40, TODAY()), ""SELECT Col2 WHERE Col2 IS NOT NULL ORDER BY Col1 DESC LIMIT 20"", 0) / QUERY(GOOGLEFINANCE(C280, ""low"", TODAY()-40, TODAY()), ""SELECT Col2 WHERE Col2 IS NOT NULL OR"&amp;"DER BY Col1 DESC LIMIT 20"", 0) - 1)))"),"#N/A")</f>
        <v>#N/A</v>
      </c>
      <c r="H280" s="35" t="str">
        <f t="shared" si="6"/>
        <v/>
      </c>
      <c r="I280" s="35" t="str">
        <f t="shared" si="7"/>
        <v/>
      </c>
      <c r="J280" s="37" t="str">
        <f>IFERROR(__xludf.DUMMYFUNCTION("IFERROR(
  IF(C280="""",, 
    IFERROR(
      GOOGLEFINANCE(C280, ""price"") * GOOGLEFINANCE(C280, ""volumeavg""), 
      GOOGLEFINANCE(C280, ""price"") * AVERAGE(QUERY(GOOGLEFINANCE(C280, ""volume"", TODAY()-40, TODAY()), ""SELECT Col2 WHERE Col2 IS NOT "&amp;"NULL ORDER BY Col1 DESC LIMIT 20"", 0))
    )
  ), 
"""")"),"")</f>
        <v/>
      </c>
      <c r="K280" s="21" t="str">
        <f>IFERROR(__xludf.DUMMYFUNCTION("IFERROR(GOOGLEFINANCE(C280, ""changepct"") / 100, """")"),"")</f>
        <v/>
      </c>
      <c r="L280" s="21" t="str">
        <f>IFERROR(__xludf.DUMMYFUNCTION("IFERROR((GOOGLEFINANCE(C280, ""price"") / INDEX(GOOGLEFINANCE(C280, ""price"", TODAY()-7, TODAY()), 2, 2)) - 1, """")"),"")</f>
        <v/>
      </c>
      <c r="M280" s="21" t="str">
        <f>IFERROR(__xludf.DUMMYFUNCTION("IFERROR((GOOGLEFINANCE(C280, ""price"") / INDEX(GOOGLEFINANCE(C280, ""price"", EDATE(TODAY(), -1), TODAY()), 2, 2)) - 1, """")"),"")</f>
        <v/>
      </c>
      <c r="N280" s="21" t="str">
        <f>IFERROR(__xludf.DUMMYFUNCTION("IFERROR((GOOGLEFINANCE(C280, ""price"") / INDEX(GOOGLEFINANCE(C280, ""price"", EDATE(TODAY(), -3), TODAY()), 2, 2)) - 1, """")"),"")</f>
        <v/>
      </c>
      <c r="O280" s="21" t="str">
        <f>IFERROR(__xludf.DUMMYFUNCTION("IFERROR((GOOGLEFINANCE(C280, ""price"") / INDEX(GOOGLEFINANCE(C280, ""price"", EDATE(TODAY(), -6), TODAY()), 2, 2)) - 1, """")"),"")</f>
        <v/>
      </c>
      <c r="P280" s="21" t="str">
        <f>IFERROR(__xludf.DUMMYFUNCTION("IFERROR((GOOGLEFINANCE(C280, ""price"") / INDEX(GOOGLEFINANCE(C280, ""price"", EDATE(TODAY(), -12), TODAY()), 2, 2)) - 1, """")"),"")</f>
        <v/>
      </c>
      <c r="Q280" s="6" t="str">
        <f>IFERROR(__xludf.DUMMYFUNCTION("AVERAGE(QUERY(GOOGLEFINANCE(C280, ""price"", TODAY()-80, TODAY()), ""SELECT Col2 WHERE Col2 IS NOT NULL ORDER BY Col1 DESC LIMIT 50"", 0))"),"#N/A")</f>
        <v>#N/A</v>
      </c>
      <c r="R280" s="24" t="str">
        <f>IFERROR(__xludf.DUMMYFUNCTION("IFERROR(
  LET(
    data, QUERY(GOOGLEFINANCE(C280,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GOOGLEFINANCE(C280, ""price"")) * 100,
    IF(calc=0, G280, calc)
  ), 
G280)"),"#N/A")</f>
        <v>#N/A</v>
      </c>
      <c r="S280" s="8" t="s">
        <v>15</v>
      </c>
      <c r="T280" s="26" t="str">
        <f>IFERROR(__xludf.DUMMYFUNCTION("IFERROR(TRANSPOSE(QUERY(IFERROR(SORT(GOOGLEFINANCE(C280, ""price"", WORKDAY(TODAY(), -40), TODAY()), 1, FALSE)), ""select Col2 where Col2 is not null limit 22 label Col2 ''"", 0)), """")"),"")</f>
        <v/>
      </c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8"/>
      <c r="AO280" s="28"/>
      <c r="AP280" s="29"/>
      <c r="AQ280" s="29" t="str">
        <f t="shared" ref="AQ280:BL280" si="283">T280/T$2</f>
        <v>#N/A</v>
      </c>
      <c r="AR280" s="29" t="str">
        <f t="shared" si="283"/>
        <v>#DIV/0!</v>
      </c>
      <c r="AS280" s="29" t="str">
        <f t="shared" si="283"/>
        <v>#DIV/0!</v>
      </c>
      <c r="AT280" s="29" t="str">
        <f t="shared" si="283"/>
        <v>#DIV/0!</v>
      </c>
      <c r="AU280" s="29" t="str">
        <f t="shared" si="283"/>
        <v>#DIV/0!</v>
      </c>
      <c r="AV280" s="29" t="str">
        <f t="shared" si="283"/>
        <v>#DIV/0!</v>
      </c>
      <c r="AW280" s="29" t="str">
        <f t="shared" si="283"/>
        <v>#DIV/0!</v>
      </c>
      <c r="AX280" s="29" t="str">
        <f t="shared" si="283"/>
        <v>#DIV/0!</v>
      </c>
      <c r="AY280" s="29" t="str">
        <f t="shared" si="283"/>
        <v>#DIV/0!</v>
      </c>
      <c r="AZ280" s="29" t="str">
        <f t="shared" si="283"/>
        <v>#DIV/0!</v>
      </c>
      <c r="BA280" s="29" t="str">
        <f t="shared" si="283"/>
        <v>#DIV/0!</v>
      </c>
      <c r="BB280" s="29" t="str">
        <f t="shared" si="283"/>
        <v>#DIV/0!</v>
      </c>
      <c r="BC280" s="29" t="str">
        <f t="shared" si="283"/>
        <v>#DIV/0!</v>
      </c>
      <c r="BD280" s="29" t="str">
        <f t="shared" si="283"/>
        <v>#DIV/0!</v>
      </c>
      <c r="BE280" s="29" t="str">
        <f t="shared" si="283"/>
        <v>#DIV/0!</v>
      </c>
      <c r="BF280" s="29" t="str">
        <f t="shared" si="283"/>
        <v>#DIV/0!</v>
      </c>
      <c r="BG280" s="29" t="str">
        <f t="shared" si="283"/>
        <v>#DIV/0!</v>
      </c>
      <c r="BH280" s="29" t="str">
        <f t="shared" si="283"/>
        <v>#DIV/0!</v>
      </c>
      <c r="BI280" s="29" t="str">
        <f t="shared" si="283"/>
        <v>#DIV/0!</v>
      </c>
      <c r="BJ280" s="29" t="str">
        <f t="shared" si="283"/>
        <v>#DIV/0!</v>
      </c>
      <c r="BK280" s="29" t="str">
        <f t="shared" si="283"/>
        <v>#DIV/0!</v>
      </c>
      <c r="BL280" s="29" t="str">
        <f t="shared" si="283"/>
        <v>#DIV/0!</v>
      </c>
      <c r="BM280" s="29" t="str">
        <f t="shared" si="3"/>
        <v>#DIV/0!</v>
      </c>
    </row>
    <row r="281">
      <c r="A281" s="16" t="str">
        <f>IFERROR(__xludf.DUMMYFUNCTION("IFERROR(SPARKLINE(SORT(MAP(TRANSPOSE(AQ281:BL281), LAMBDA(val, IF(ISNUMBER(val), PERCENTRANK(AQ281:BL281, val)+0.01, 0))), SEQUENCE(COLUMNS(AQ281:BL281)), FALSE), {""charttype"",""column""; ""color"",""chartreuse""; ""ymin"", 0; ""ymax"", 1.01; ""highcolo"&amp;"r"", ""darkgreen""; ""lowcolor"", ""red""}), """")"),"")</f>
        <v/>
      </c>
      <c r="B281" s="17" t="str">
        <f t="shared" si="4"/>
        <v/>
      </c>
      <c r="C281" s="1" t="s">
        <v>1163</v>
      </c>
      <c r="D281" s="30" t="str">
        <f>IFERROR(__xludf.DUMMYFUNCTION("IFERROR(GOOGLEFINANCE(C281, ""NAME""))"),"MGM Resorts International")</f>
        <v>MGM Resorts International</v>
      </c>
      <c r="E281" s="30" t="s">
        <v>354</v>
      </c>
      <c r="F281" s="33" t="str">
        <f>IFERROR(__xludf.DUMMYFUNCTION("( (GOOGLEFINANCE(C281, ""price"") - Q281) / Q281 ) / (R281 / 100)"),"Loading...")</f>
        <v>Loading...</v>
      </c>
      <c r="G281" s="20" t="str">
        <f>IFERROR(__xludf.DUMMYFUNCTION("AVERAGE(ARRAYFORMULA(100 * (QUERY(GOOGLEFINANCE(C281, ""high"", TODAY()-40, TODAY()), ""SELECT Col2 WHERE Col2 IS NOT NULL ORDER BY Col1 DESC LIMIT 20"", 0) / QUERY(GOOGLEFINANCE(C281, ""low"", TODAY()-40, TODAY()), ""SELECT Col2 WHERE Col2 IS NOT NULL OR"&amp;"DER BY Col1 DESC LIMIT 20"", 0) - 1)))"),"#N/A")</f>
        <v>#N/A</v>
      </c>
      <c r="H281" s="35" t="str">
        <f t="shared" si="6"/>
        <v/>
      </c>
      <c r="I281" s="35" t="str">
        <f t="shared" si="7"/>
        <v/>
      </c>
      <c r="J281" s="37" t="str">
        <f>IFERROR(__xludf.DUMMYFUNCTION("IFERROR(
  IF(C281="""",, 
    IFERROR(
      GOOGLEFINANCE(C281, ""price"") * GOOGLEFINANCE(C281, ""volumeavg""), 
      GOOGLEFINANCE(C281, ""price"") * AVERAGE(QUERY(GOOGLEFINANCE(C281, ""volume"", TODAY()-40, TODAY()), ""SELECT Col2 WHERE Col2 IS NOT "&amp;"NULL ORDER BY Col1 DESC LIMIT 20"", 0))
    )
  ), 
"""")"),"")</f>
        <v/>
      </c>
      <c r="K281" s="21" t="str">
        <f>IFERROR(__xludf.DUMMYFUNCTION("IFERROR(GOOGLEFINANCE(C281, ""changepct"") / 100, """")"),"")</f>
        <v/>
      </c>
      <c r="L281" s="21" t="str">
        <f>IFERROR(__xludf.DUMMYFUNCTION("IFERROR((GOOGLEFINANCE(C281, ""price"") / INDEX(GOOGLEFINANCE(C281, ""price"", TODAY()-7, TODAY()), 2, 2)) - 1, """")"),"")</f>
        <v/>
      </c>
      <c r="M281" s="21" t="str">
        <f>IFERROR(__xludf.DUMMYFUNCTION("IFERROR((GOOGLEFINANCE(C281, ""price"") / INDEX(GOOGLEFINANCE(C281, ""price"", EDATE(TODAY(), -1), TODAY()), 2, 2)) - 1, """")"),"")</f>
        <v/>
      </c>
      <c r="N281" s="21" t="str">
        <f>IFERROR(__xludf.DUMMYFUNCTION("IFERROR((GOOGLEFINANCE(C281, ""price"") / INDEX(GOOGLEFINANCE(C281, ""price"", EDATE(TODAY(), -3), TODAY()), 2, 2)) - 1, """")"),"")</f>
        <v/>
      </c>
      <c r="O281" s="21" t="str">
        <f>IFERROR(__xludf.DUMMYFUNCTION("IFERROR((GOOGLEFINANCE(C281, ""price"") / INDEX(GOOGLEFINANCE(C281, ""price"", EDATE(TODAY(), -6), TODAY()), 2, 2)) - 1, """")"),"")</f>
        <v/>
      </c>
      <c r="P281" s="21" t="str">
        <f>IFERROR(__xludf.DUMMYFUNCTION("IFERROR((GOOGLEFINANCE(C281, ""price"") / INDEX(GOOGLEFINANCE(C281, ""price"", EDATE(TODAY(), -12), TODAY()), 2, 2)) - 1, """")"),"")</f>
        <v/>
      </c>
      <c r="Q281" s="6" t="str">
        <f>IFERROR(__xludf.DUMMYFUNCTION("AVERAGE(QUERY(GOOGLEFINANCE(C281, ""price"", TODAY()-80, TODAY()), ""SELECT Col2 WHERE Col2 IS NOT NULL ORDER BY Col1 DESC LIMIT 50"", 0))"),"#N/A")</f>
        <v>#N/A</v>
      </c>
      <c r="R281" s="24" t="str">
        <f>IFERROR(__xludf.DUMMYFUNCTION("IFERROR(
  LET(
    data, QUERY(GOOGLEFINANCE(C281,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GOOGLEFINANCE(C281, ""price"")) * 100,
    IF(calc=0, G281, calc)
  ), 
G281)"),"#N/A")</f>
        <v>#N/A</v>
      </c>
      <c r="S281" s="8" t="s">
        <v>15</v>
      </c>
      <c r="T281" s="26" t="str">
        <f>IFERROR(__xludf.DUMMYFUNCTION("IFERROR(TRANSPOSE(QUERY(IFERROR(SORT(GOOGLEFINANCE(C281, ""price"", WORKDAY(TODAY(), -40), TODAY()), 1, FALSE)), ""select Col2 where Col2 is not null limit 22 label Col2 ''"", 0)), """")"),"")</f>
        <v/>
      </c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8"/>
      <c r="AO281" s="28"/>
      <c r="AP281" s="29"/>
      <c r="AQ281" s="29" t="str">
        <f t="shared" ref="AQ281:BL281" si="284">T281/T$2</f>
        <v>#N/A</v>
      </c>
      <c r="AR281" s="29" t="str">
        <f t="shared" si="284"/>
        <v>#DIV/0!</v>
      </c>
      <c r="AS281" s="29" t="str">
        <f t="shared" si="284"/>
        <v>#DIV/0!</v>
      </c>
      <c r="AT281" s="29" t="str">
        <f t="shared" si="284"/>
        <v>#DIV/0!</v>
      </c>
      <c r="AU281" s="29" t="str">
        <f t="shared" si="284"/>
        <v>#DIV/0!</v>
      </c>
      <c r="AV281" s="29" t="str">
        <f t="shared" si="284"/>
        <v>#DIV/0!</v>
      </c>
      <c r="AW281" s="29" t="str">
        <f t="shared" si="284"/>
        <v>#DIV/0!</v>
      </c>
      <c r="AX281" s="29" t="str">
        <f t="shared" si="284"/>
        <v>#DIV/0!</v>
      </c>
      <c r="AY281" s="29" t="str">
        <f t="shared" si="284"/>
        <v>#DIV/0!</v>
      </c>
      <c r="AZ281" s="29" t="str">
        <f t="shared" si="284"/>
        <v>#DIV/0!</v>
      </c>
      <c r="BA281" s="29" t="str">
        <f t="shared" si="284"/>
        <v>#DIV/0!</v>
      </c>
      <c r="BB281" s="29" t="str">
        <f t="shared" si="284"/>
        <v>#DIV/0!</v>
      </c>
      <c r="BC281" s="29" t="str">
        <f t="shared" si="284"/>
        <v>#DIV/0!</v>
      </c>
      <c r="BD281" s="29" t="str">
        <f t="shared" si="284"/>
        <v>#DIV/0!</v>
      </c>
      <c r="BE281" s="29" t="str">
        <f t="shared" si="284"/>
        <v>#DIV/0!</v>
      </c>
      <c r="BF281" s="29" t="str">
        <f t="shared" si="284"/>
        <v>#DIV/0!</v>
      </c>
      <c r="BG281" s="29" t="str">
        <f t="shared" si="284"/>
        <v>#DIV/0!</v>
      </c>
      <c r="BH281" s="29" t="str">
        <f t="shared" si="284"/>
        <v>#DIV/0!</v>
      </c>
      <c r="BI281" s="29" t="str">
        <f t="shared" si="284"/>
        <v>#DIV/0!</v>
      </c>
      <c r="BJ281" s="29" t="str">
        <f t="shared" si="284"/>
        <v>#DIV/0!</v>
      </c>
      <c r="BK281" s="29" t="str">
        <f t="shared" si="284"/>
        <v>#DIV/0!</v>
      </c>
      <c r="BL281" s="29" t="str">
        <f t="shared" si="284"/>
        <v>#DIV/0!</v>
      </c>
      <c r="BM281" s="29" t="str">
        <f t="shared" si="3"/>
        <v>#DIV/0!</v>
      </c>
    </row>
    <row r="282">
      <c r="A282" s="16" t="str">
        <f>IFERROR(__xludf.DUMMYFUNCTION("IFERROR(SPARKLINE(SORT(MAP(TRANSPOSE(AQ282:BL282), LAMBDA(val, IF(ISNUMBER(val), PERCENTRANK(AQ282:BL282, val)+0.01, 0))), SEQUENCE(COLUMNS(AQ282:BL282)), FALSE), {""charttype"",""column""; ""color"",""chartreuse""; ""ymin"", 0; ""ymax"", 1.01; ""highcolo"&amp;"r"", ""darkgreen""; ""lowcolor"", ""red""}), """")"),"")</f>
        <v/>
      </c>
      <c r="B282" s="17" t="str">
        <f t="shared" si="4"/>
        <v/>
      </c>
      <c r="C282" s="1" t="s">
        <v>1167</v>
      </c>
      <c r="D282" s="30" t="str">
        <f>IFERROR(__xludf.DUMMYFUNCTION("IFERROR(GOOGLEFINANCE(C282, ""NAME""))"),"Petco Health and Wellness Company Inc")</f>
        <v>Petco Health and Wellness Company Inc</v>
      </c>
      <c r="E282" s="30" t="s">
        <v>184</v>
      </c>
      <c r="F282" s="38" t="str">
        <f>IFERROR(__xludf.DUMMYFUNCTION("( (GOOGLEFINANCE(C282, ""price"") - Q282) / Q282 ) / (R282 / 100)"),"Loading...")</f>
        <v>Loading...</v>
      </c>
      <c r="G282" s="20" t="str">
        <f>IFERROR(__xludf.DUMMYFUNCTION("AVERAGE(ARRAYFORMULA(100 * (QUERY(GOOGLEFINANCE(C282, ""high"", TODAY()-40, TODAY()), ""SELECT Col2 WHERE Col2 IS NOT NULL ORDER BY Col1 DESC LIMIT 20"", 0) / QUERY(GOOGLEFINANCE(C282, ""low"", TODAY()-40, TODAY()), ""SELECT Col2 WHERE Col2 IS NOT NULL OR"&amp;"DER BY Col1 DESC LIMIT 20"", 0) - 1)))"),"#N/A")</f>
        <v>#N/A</v>
      </c>
      <c r="H282" s="35" t="str">
        <f t="shared" si="6"/>
        <v/>
      </c>
      <c r="I282" s="35" t="str">
        <f t="shared" si="7"/>
        <v/>
      </c>
      <c r="J282" s="37" t="str">
        <f>IFERROR(__xludf.DUMMYFUNCTION("IFERROR(
  IF(C282="""",, 
    IFERROR(
      GOOGLEFINANCE(C282, ""price"") * GOOGLEFINANCE(C282, ""volumeavg""), 
      GOOGLEFINANCE(C282, ""price"") * AVERAGE(QUERY(GOOGLEFINANCE(C282, ""volume"", TODAY()-40, TODAY()), ""SELECT Col2 WHERE Col2 IS NOT "&amp;"NULL ORDER BY Col1 DESC LIMIT 20"", 0))
    )
  ), 
"""")"),"")</f>
        <v/>
      </c>
      <c r="K282" s="21" t="str">
        <f>IFERROR(__xludf.DUMMYFUNCTION("IFERROR(GOOGLEFINANCE(C282, ""changepct"") / 100, """")"),"")</f>
        <v/>
      </c>
      <c r="L282" s="21" t="str">
        <f>IFERROR(__xludf.DUMMYFUNCTION("IFERROR((GOOGLEFINANCE(C282, ""price"") / INDEX(GOOGLEFINANCE(C282, ""price"", TODAY()-7, TODAY()), 2, 2)) - 1, """")"),"")</f>
        <v/>
      </c>
      <c r="M282" s="21" t="str">
        <f>IFERROR(__xludf.DUMMYFUNCTION("IFERROR((GOOGLEFINANCE(C282, ""price"") / INDEX(GOOGLEFINANCE(C282, ""price"", EDATE(TODAY(), -1), TODAY()), 2, 2)) - 1, """")"),"")</f>
        <v/>
      </c>
      <c r="N282" s="21" t="str">
        <f>IFERROR(__xludf.DUMMYFUNCTION("IFERROR((GOOGLEFINANCE(C282, ""price"") / INDEX(GOOGLEFINANCE(C282, ""price"", EDATE(TODAY(), -3), TODAY()), 2, 2)) - 1, """")"),"")</f>
        <v/>
      </c>
      <c r="O282" s="21" t="str">
        <f>IFERROR(__xludf.DUMMYFUNCTION("IFERROR((GOOGLEFINANCE(C282, ""price"") / INDEX(GOOGLEFINANCE(C282, ""price"", EDATE(TODAY(), -6), TODAY()), 2, 2)) - 1, """")"),"")</f>
        <v/>
      </c>
      <c r="P282" s="21" t="str">
        <f>IFERROR(__xludf.DUMMYFUNCTION("IFERROR((GOOGLEFINANCE(C282, ""price"") / INDEX(GOOGLEFINANCE(C282, ""price"", EDATE(TODAY(), -12), TODAY()), 2, 2)) - 1, """")"),"")</f>
        <v/>
      </c>
      <c r="Q282" s="6" t="str">
        <f>IFERROR(__xludf.DUMMYFUNCTION("AVERAGE(QUERY(GOOGLEFINANCE(C282, ""price"", TODAY()-80, TODAY()), ""SELECT Col2 WHERE Col2 IS NOT NULL ORDER BY Col1 DESC LIMIT 50"", 0))"),"#N/A")</f>
        <v>#N/A</v>
      </c>
      <c r="R282" s="24" t="str">
        <f>IFERROR(__xludf.DUMMYFUNCTION("IFERROR(
  LET(
    data, QUERY(GOOGLEFINANCE(C282,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GOOGLEFINANCE(C282, ""price"")) * 100,
    IF(calc=0, G282, calc)
  ), 
G282)"),"#N/A")</f>
        <v>#N/A</v>
      </c>
      <c r="S282" s="8" t="s">
        <v>15</v>
      </c>
      <c r="T282" s="26" t="str">
        <f>IFERROR(__xludf.DUMMYFUNCTION("IFERROR(TRANSPOSE(QUERY(IFERROR(SORT(GOOGLEFINANCE(C282, ""price"", WORKDAY(TODAY(), -40), TODAY()), 1, FALSE)), ""select Col2 where Col2 is not null limit 22 label Col2 ''"", 0)), """")"),"")</f>
        <v/>
      </c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8"/>
      <c r="AO282" s="28"/>
      <c r="AP282" s="29"/>
      <c r="AQ282" s="29" t="str">
        <f t="shared" ref="AQ282:BL282" si="285">T282/T$2</f>
        <v>#N/A</v>
      </c>
      <c r="AR282" s="29" t="str">
        <f t="shared" si="285"/>
        <v>#DIV/0!</v>
      </c>
      <c r="AS282" s="29" t="str">
        <f t="shared" si="285"/>
        <v>#DIV/0!</v>
      </c>
      <c r="AT282" s="29" t="str">
        <f t="shared" si="285"/>
        <v>#DIV/0!</v>
      </c>
      <c r="AU282" s="29" t="str">
        <f t="shared" si="285"/>
        <v>#DIV/0!</v>
      </c>
      <c r="AV282" s="29" t="str">
        <f t="shared" si="285"/>
        <v>#DIV/0!</v>
      </c>
      <c r="AW282" s="29" t="str">
        <f t="shared" si="285"/>
        <v>#DIV/0!</v>
      </c>
      <c r="AX282" s="29" t="str">
        <f t="shared" si="285"/>
        <v>#DIV/0!</v>
      </c>
      <c r="AY282" s="29" t="str">
        <f t="shared" si="285"/>
        <v>#DIV/0!</v>
      </c>
      <c r="AZ282" s="29" t="str">
        <f t="shared" si="285"/>
        <v>#DIV/0!</v>
      </c>
      <c r="BA282" s="29" t="str">
        <f t="shared" si="285"/>
        <v>#DIV/0!</v>
      </c>
      <c r="BB282" s="29" t="str">
        <f t="shared" si="285"/>
        <v>#DIV/0!</v>
      </c>
      <c r="BC282" s="29" t="str">
        <f t="shared" si="285"/>
        <v>#DIV/0!</v>
      </c>
      <c r="BD282" s="29" t="str">
        <f t="shared" si="285"/>
        <v>#DIV/0!</v>
      </c>
      <c r="BE282" s="29" t="str">
        <f t="shared" si="285"/>
        <v>#DIV/0!</v>
      </c>
      <c r="BF282" s="29" t="str">
        <f t="shared" si="285"/>
        <v>#DIV/0!</v>
      </c>
      <c r="BG282" s="29" t="str">
        <f t="shared" si="285"/>
        <v>#DIV/0!</v>
      </c>
      <c r="BH282" s="29" t="str">
        <f t="shared" si="285"/>
        <v>#DIV/0!</v>
      </c>
      <c r="BI282" s="29" t="str">
        <f t="shared" si="285"/>
        <v>#DIV/0!</v>
      </c>
      <c r="BJ282" s="29" t="str">
        <f t="shared" si="285"/>
        <v>#DIV/0!</v>
      </c>
      <c r="BK282" s="29" t="str">
        <f t="shared" si="285"/>
        <v>#DIV/0!</v>
      </c>
      <c r="BL282" s="29" t="str">
        <f t="shared" si="285"/>
        <v>#DIV/0!</v>
      </c>
      <c r="BM282" s="29" t="str">
        <f t="shared" si="3"/>
        <v>#DIV/0!</v>
      </c>
    </row>
    <row r="283">
      <c r="A283" s="16" t="str">
        <f>IFERROR(__xludf.DUMMYFUNCTION("IFERROR(SPARKLINE(SORT(MAP(TRANSPOSE(AQ283:BL283), LAMBDA(val, IF(ISNUMBER(val), PERCENTRANK(AQ283:BL283, val)+0.01, 0))), SEQUENCE(COLUMNS(AQ283:BL283)), FALSE), {""charttype"",""column""; ""color"",""chartreuse""; ""ymin"", 0; ""ymax"", 1.01; ""highcolo"&amp;"r"", ""darkgreen""; ""lowcolor"", ""red""}), """")"),"")</f>
        <v/>
      </c>
      <c r="B283" s="17" t="str">
        <f t="shared" si="4"/>
        <v/>
      </c>
      <c r="C283" s="1" t="s">
        <v>1171</v>
      </c>
      <c r="D283" s="30" t="str">
        <f>IFERROR(__xludf.DUMMYFUNCTION("IFERROR(GOOGLEFINANCE(C283, ""NAME""))"),"Carnival Corporation Ltd")</f>
        <v>Carnival Corporation Ltd</v>
      </c>
      <c r="E283" s="30" t="s">
        <v>248</v>
      </c>
      <c r="F283" s="33" t="str">
        <f>IFERROR(__xludf.DUMMYFUNCTION("( (GOOGLEFINANCE(C283, ""price"") - Q283) / Q283 ) / (R283 / 100)"),"Loading...")</f>
        <v>Loading...</v>
      </c>
      <c r="G283" s="20" t="str">
        <f>IFERROR(__xludf.DUMMYFUNCTION("AVERAGE(ARRAYFORMULA(100 * (QUERY(GOOGLEFINANCE(C283, ""high"", TODAY()-40, TODAY()), ""SELECT Col2 WHERE Col2 IS NOT NULL ORDER BY Col1 DESC LIMIT 20"", 0) / QUERY(GOOGLEFINANCE(C283, ""low"", TODAY()-40, TODAY()), ""SELECT Col2 WHERE Col2 IS NOT NULL OR"&amp;"DER BY Col1 DESC LIMIT 20"", 0) - 1)))"),"#N/A")</f>
        <v>#N/A</v>
      </c>
      <c r="H283" s="35" t="str">
        <f t="shared" si="6"/>
        <v/>
      </c>
      <c r="I283" s="35" t="str">
        <f t="shared" si="7"/>
        <v/>
      </c>
      <c r="J283" s="37" t="str">
        <f>IFERROR(__xludf.DUMMYFUNCTION("IFERROR(
  IF(C283="""",, 
    IFERROR(
      GOOGLEFINANCE(C283, ""price"") * GOOGLEFINANCE(C283, ""volumeavg""), 
      GOOGLEFINANCE(C283, ""price"") * AVERAGE(QUERY(GOOGLEFINANCE(C283, ""volume"", TODAY()-40, TODAY()), ""SELECT Col2 WHERE Col2 IS NOT "&amp;"NULL ORDER BY Col1 DESC LIMIT 20"", 0))
    )
  ), 
"""")"),"")</f>
        <v/>
      </c>
      <c r="K283" s="21" t="str">
        <f>IFERROR(__xludf.DUMMYFUNCTION("IFERROR(GOOGLEFINANCE(C283, ""changepct"") / 100, """")"),"")</f>
        <v/>
      </c>
      <c r="L283" s="21" t="str">
        <f>IFERROR(__xludf.DUMMYFUNCTION("IFERROR((GOOGLEFINANCE(C283, ""price"") / INDEX(GOOGLEFINANCE(C283, ""price"", TODAY()-7, TODAY()), 2, 2)) - 1, """")"),"")</f>
        <v/>
      </c>
      <c r="M283" s="21" t="str">
        <f>IFERROR(__xludf.DUMMYFUNCTION("IFERROR((GOOGLEFINANCE(C283, ""price"") / INDEX(GOOGLEFINANCE(C283, ""price"", EDATE(TODAY(), -1), TODAY()), 2, 2)) - 1, """")"),"")</f>
        <v/>
      </c>
      <c r="N283" s="21" t="str">
        <f>IFERROR(__xludf.DUMMYFUNCTION("IFERROR((GOOGLEFINANCE(C283, ""price"") / INDEX(GOOGLEFINANCE(C283, ""price"", EDATE(TODAY(), -3), TODAY()), 2, 2)) - 1, """")"),"")</f>
        <v/>
      </c>
      <c r="O283" s="21" t="str">
        <f>IFERROR(__xludf.DUMMYFUNCTION("IFERROR((GOOGLEFINANCE(C283, ""price"") / INDEX(GOOGLEFINANCE(C283, ""price"", EDATE(TODAY(), -6), TODAY()), 2, 2)) - 1, """")"),"")</f>
        <v/>
      </c>
      <c r="P283" s="21" t="str">
        <f>IFERROR(__xludf.DUMMYFUNCTION("IFERROR((GOOGLEFINANCE(C283, ""price"") / INDEX(GOOGLEFINANCE(C283, ""price"", EDATE(TODAY(), -12), TODAY()), 2, 2)) - 1, """")"),"")</f>
        <v/>
      </c>
      <c r="Q283" s="6" t="str">
        <f>IFERROR(__xludf.DUMMYFUNCTION("AVERAGE(QUERY(GOOGLEFINANCE(C283, ""price"", TODAY()-80, TODAY()), ""SELECT Col2 WHERE Col2 IS NOT NULL ORDER BY Col1 DESC LIMIT 50"", 0))"),"#N/A")</f>
        <v>#N/A</v>
      </c>
      <c r="R283" s="24" t="str">
        <f>IFERROR(__xludf.DUMMYFUNCTION("IFERROR(
  LET(
    data, QUERY(GOOGLEFINANCE(C283,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GOOGLEFINANCE(C283, ""price"")) * 100,
    IF(calc=0, G283, calc)
  ), 
G283)"),"#N/A")</f>
        <v>#N/A</v>
      </c>
      <c r="S283" s="8" t="s">
        <v>15</v>
      </c>
      <c r="T283" s="26" t="str">
        <f>IFERROR(__xludf.DUMMYFUNCTION("IFERROR(TRANSPOSE(QUERY(IFERROR(SORT(GOOGLEFINANCE(C283, ""price"", WORKDAY(TODAY(), -40), TODAY()), 1, FALSE)), ""select Col2 where Col2 is not null limit 22 label Col2 ''"", 0)), """")"),"")</f>
        <v/>
      </c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8"/>
      <c r="AO283" s="28"/>
      <c r="AP283" s="29"/>
      <c r="AQ283" s="29" t="str">
        <f t="shared" ref="AQ283:BL283" si="286">T283/T$2</f>
        <v>#N/A</v>
      </c>
      <c r="AR283" s="29" t="str">
        <f t="shared" si="286"/>
        <v>#DIV/0!</v>
      </c>
      <c r="AS283" s="29" t="str">
        <f t="shared" si="286"/>
        <v>#DIV/0!</v>
      </c>
      <c r="AT283" s="29" t="str">
        <f t="shared" si="286"/>
        <v>#DIV/0!</v>
      </c>
      <c r="AU283" s="29" t="str">
        <f t="shared" si="286"/>
        <v>#DIV/0!</v>
      </c>
      <c r="AV283" s="29" t="str">
        <f t="shared" si="286"/>
        <v>#DIV/0!</v>
      </c>
      <c r="AW283" s="29" t="str">
        <f t="shared" si="286"/>
        <v>#DIV/0!</v>
      </c>
      <c r="AX283" s="29" t="str">
        <f t="shared" si="286"/>
        <v>#DIV/0!</v>
      </c>
      <c r="AY283" s="29" t="str">
        <f t="shared" si="286"/>
        <v>#DIV/0!</v>
      </c>
      <c r="AZ283" s="29" t="str">
        <f t="shared" si="286"/>
        <v>#DIV/0!</v>
      </c>
      <c r="BA283" s="29" t="str">
        <f t="shared" si="286"/>
        <v>#DIV/0!</v>
      </c>
      <c r="BB283" s="29" t="str">
        <f t="shared" si="286"/>
        <v>#DIV/0!</v>
      </c>
      <c r="BC283" s="29" t="str">
        <f t="shared" si="286"/>
        <v>#DIV/0!</v>
      </c>
      <c r="BD283" s="29" t="str">
        <f t="shared" si="286"/>
        <v>#DIV/0!</v>
      </c>
      <c r="BE283" s="29" t="str">
        <f t="shared" si="286"/>
        <v>#DIV/0!</v>
      </c>
      <c r="BF283" s="29" t="str">
        <f t="shared" si="286"/>
        <v>#DIV/0!</v>
      </c>
      <c r="BG283" s="29" t="str">
        <f t="shared" si="286"/>
        <v>#DIV/0!</v>
      </c>
      <c r="BH283" s="29" t="str">
        <f t="shared" si="286"/>
        <v>#DIV/0!</v>
      </c>
      <c r="BI283" s="29" t="str">
        <f t="shared" si="286"/>
        <v>#DIV/0!</v>
      </c>
      <c r="BJ283" s="29" t="str">
        <f t="shared" si="286"/>
        <v>#DIV/0!</v>
      </c>
      <c r="BK283" s="29" t="str">
        <f t="shared" si="286"/>
        <v>#DIV/0!</v>
      </c>
      <c r="BL283" s="29" t="str">
        <f t="shared" si="286"/>
        <v>#DIV/0!</v>
      </c>
      <c r="BM283" s="29" t="str">
        <f t="shared" si="3"/>
        <v>#DIV/0!</v>
      </c>
    </row>
    <row r="284">
      <c r="A284" s="16" t="str">
        <f>IFERROR(__xludf.DUMMYFUNCTION("IFERROR(SPARKLINE(SORT(MAP(TRANSPOSE(AQ284:BL284), LAMBDA(val, IF(ISNUMBER(val), PERCENTRANK(AQ284:BL284, val)+0.01, 0))), SEQUENCE(COLUMNS(AQ284:BL284)), FALSE), {""charttype"",""column""; ""color"",""chartreuse""; ""ymin"", 0; ""ymax"", 1.01; ""highcolo"&amp;"r"", ""darkgreen""; ""lowcolor"", ""red""}), """")"),"")</f>
        <v/>
      </c>
      <c r="B284" s="17" t="str">
        <f t="shared" si="4"/>
        <v/>
      </c>
      <c r="C284" s="1" t="s">
        <v>1173</v>
      </c>
      <c r="D284" s="30" t="str">
        <f>IFERROR(__xludf.DUMMYFUNCTION("IFERROR(GOOGLEFINANCE(C284, ""NAME""))"),"Silgan Holdings Inc")</f>
        <v>Silgan Holdings Inc</v>
      </c>
      <c r="E284" s="30" t="s">
        <v>195</v>
      </c>
      <c r="F284" s="33" t="str">
        <f>IFERROR(__xludf.DUMMYFUNCTION("( (GOOGLEFINANCE(C284, ""price"") - Q284) / Q284 ) / (R284 / 100)"),"Loading...")</f>
        <v>Loading...</v>
      </c>
      <c r="G284" s="20" t="str">
        <f>IFERROR(__xludf.DUMMYFUNCTION("AVERAGE(ARRAYFORMULA(100 * (QUERY(GOOGLEFINANCE(C284, ""high"", TODAY()-40, TODAY()), ""SELECT Col2 WHERE Col2 IS NOT NULL ORDER BY Col1 DESC LIMIT 20"", 0) / QUERY(GOOGLEFINANCE(C284, ""low"", TODAY()-40, TODAY()), ""SELECT Col2 WHERE Col2 IS NOT NULL OR"&amp;"DER BY Col1 DESC LIMIT 20"", 0) - 1)))"),"#N/A")</f>
        <v>#N/A</v>
      </c>
      <c r="H284" s="35" t="str">
        <f t="shared" si="6"/>
        <v/>
      </c>
      <c r="I284" s="35" t="str">
        <f t="shared" si="7"/>
        <v/>
      </c>
      <c r="J284" s="37" t="str">
        <f>IFERROR(__xludf.DUMMYFUNCTION("IFERROR(
  IF(C284="""",, 
    IFERROR(
      GOOGLEFINANCE(C284, ""price"") * GOOGLEFINANCE(C284, ""volumeavg""), 
      GOOGLEFINANCE(C284, ""price"") * AVERAGE(QUERY(GOOGLEFINANCE(C284, ""volume"", TODAY()-40, TODAY()), ""SELECT Col2 WHERE Col2 IS NOT "&amp;"NULL ORDER BY Col1 DESC LIMIT 20"", 0))
    )
  ), 
"""")"),"")</f>
        <v/>
      </c>
      <c r="K284" s="21" t="str">
        <f>IFERROR(__xludf.DUMMYFUNCTION("IFERROR(GOOGLEFINANCE(C284, ""changepct"") / 100, """")"),"")</f>
        <v/>
      </c>
      <c r="L284" s="21" t="str">
        <f>IFERROR(__xludf.DUMMYFUNCTION("IFERROR((GOOGLEFINANCE(C284, ""price"") / INDEX(GOOGLEFINANCE(C284, ""price"", TODAY()-7, TODAY()), 2, 2)) - 1, """")"),"")</f>
        <v/>
      </c>
      <c r="M284" s="21" t="str">
        <f>IFERROR(__xludf.DUMMYFUNCTION("IFERROR((GOOGLEFINANCE(C284, ""price"") / INDEX(GOOGLEFINANCE(C284, ""price"", EDATE(TODAY(), -1), TODAY()), 2, 2)) - 1, """")"),"")</f>
        <v/>
      </c>
      <c r="N284" s="21" t="str">
        <f>IFERROR(__xludf.DUMMYFUNCTION("IFERROR((GOOGLEFINANCE(C284, ""price"") / INDEX(GOOGLEFINANCE(C284, ""price"", EDATE(TODAY(), -3), TODAY()), 2, 2)) - 1, """")"),"")</f>
        <v/>
      </c>
      <c r="O284" s="21" t="str">
        <f>IFERROR(__xludf.DUMMYFUNCTION("IFERROR((GOOGLEFINANCE(C284, ""price"") / INDEX(GOOGLEFINANCE(C284, ""price"", EDATE(TODAY(), -6), TODAY()), 2, 2)) - 1, """")"),"")</f>
        <v/>
      </c>
      <c r="P284" s="21" t="str">
        <f>IFERROR(__xludf.DUMMYFUNCTION("IFERROR((GOOGLEFINANCE(C284, ""price"") / INDEX(GOOGLEFINANCE(C284, ""price"", EDATE(TODAY(), -12), TODAY()), 2, 2)) - 1, """")"),"")</f>
        <v/>
      </c>
      <c r="Q284" s="6" t="str">
        <f>IFERROR(__xludf.DUMMYFUNCTION("AVERAGE(QUERY(GOOGLEFINANCE(C284, ""price"", TODAY()-80, TODAY()), ""SELECT Col2 WHERE Col2 IS NOT NULL ORDER BY Col1 DESC LIMIT 50"", 0))"),"#N/A")</f>
        <v>#N/A</v>
      </c>
      <c r="R284" s="24" t="str">
        <f>IFERROR(__xludf.DUMMYFUNCTION("IFERROR(
  LET(
    data, QUERY(GOOGLEFINANCE(C284,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GOOGLEFINANCE(C284, ""price"")) * 100,
    IF(calc=0, G284, calc)
  ), 
G284)"),"#N/A")</f>
        <v>#N/A</v>
      </c>
      <c r="S284" s="8" t="s">
        <v>15</v>
      </c>
      <c r="T284" s="26" t="str">
        <f>IFERROR(__xludf.DUMMYFUNCTION("IFERROR(TRANSPOSE(QUERY(IFERROR(SORT(GOOGLEFINANCE(C284, ""price"", WORKDAY(TODAY(), -40), TODAY()), 1, FALSE)), ""select Col2 where Col2 is not null limit 22 label Col2 ''"", 0)), """")"),"")</f>
        <v/>
      </c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8"/>
      <c r="AO284" s="28"/>
      <c r="AP284" s="29"/>
      <c r="AQ284" s="29" t="str">
        <f t="shared" ref="AQ284:BL284" si="287">T284/T$2</f>
        <v>#N/A</v>
      </c>
      <c r="AR284" s="29" t="str">
        <f t="shared" si="287"/>
        <v>#DIV/0!</v>
      </c>
      <c r="AS284" s="29" t="str">
        <f t="shared" si="287"/>
        <v>#DIV/0!</v>
      </c>
      <c r="AT284" s="29" t="str">
        <f t="shared" si="287"/>
        <v>#DIV/0!</v>
      </c>
      <c r="AU284" s="29" t="str">
        <f t="shared" si="287"/>
        <v>#DIV/0!</v>
      </c>
      <c r="AV284" s="29" t="str">
        <f t="shared" si="287"/>
        <v>#DIV/0!</v>
      </c>
      <c r="AW284" s="29" t="str">
        <f t="shared" si="287"/>
        <v>#DIV/0!</v>
      </c>
      <c r="AX284" s="29" t="str">
        <f t="shared" si="287"/>
        <v>#DIV/0!</v>
      </c>
      <c r="AY284" s="29" t="str">
        <f t="shared" si="287"/>
        <v>#DIV/0!</v>
      </c>
      <c r="AZ284" s="29" t="str">
        <f t="shared" si="287"/>
        <v>#DIV/0!</v>
      </c>
      <c r="BA284" s="29" t="str">
        <f t="shared" si="287"/>
        <v>#DIV/0!</v>
      </c>
      <c r="BB284" s="29" t="str">
        <f t="shared" si="287"/>
        <v>#DIV/0!</v>
      </c>
      <c r="BC284" s="29" t="str">
        <f t="shared" si="287"/>
        <v>#DIV/0!</v>
      </c>
      <c r="BD284" s="29" t="str">
        <f t="shared" si="287"/>
        <v>#DIV/0!</v>
      </c>
      <c r="BE284" s="29" t="str">
        <f t="shared" si="287"/>
        <v>#DIV/0!</v>
      </c>
      <c r="BF284" s="29" t="str">
        <f t="shared" si="287"/>
        <v>#DIV/0!</v>
      </c>
      <c r="BG284" s="29" t="str">
        <f t="shared" si="287"/>
        <v>#DIV/0!</v>
      </c>
      <c r="BH284" s="29" t="str">
        <f t="shared" si="287"/>
        <v>#DIV/0!</v>
      </c>
      <c r="BI284" s="29" t="str">
        <f t="shared" si="287"/>
        <v>#DIV/0!</v>
      </c>
      <c r="BJ284" s="29" t="str">
        <f t="shared" si="287"/>
        <v>#DIV/0!</v>
      </c>
      <c r="BK284" s="29" t="str">
        <f t="shared" si="287"/>
        <v>#DIV/0!</v>
      </c>
      <c r="BL284" s="29" t="str">
        <f t="shared" si="287"/>
        <v>#DIV/0!</v>
      </c>
      <c r="BM284" s="29" t="str">
        <f t="shared" si="3"/>
        <v>#DIV/0!</v>
      </c>
    </row>
    <row r="285">
      <c r="A285" s="16" t="str">
        <f>IFERROR(__xludf.DUMMYFUNCTION("IFERROR(SPARKLINE(SORT(MAP(TRANSPOSE(AQ285:BL285), LAMBDA(val, IF(ISNUMBER(val), PERCENTRANK(AQ285:BL285, val)+0.01, 0))), SEQUENCE(COLUMNS(AQ285:BL285)), FALSE), {""charttype"",""column""; ""color"",""chartreuse""; ""ymin"", 0; ""ymax"", 1.01; ""highcolo"&amp;"r"", ""darkgreen""; ""lowcolor"", ""red""}), """")"),"")</f>
        <v/>
      </c>
      <c r="B285" s="17" t="str">
        <f t="shared" si="4"/>
        <v/>
      </c>
      <c r="C285" s="1" t="s">
        <v>1174</v>
      </c>
      <c r="D285" s="30" t="str">
        <f>IFERROR(__xludf.DUMMYFUNCTION("IFERROR(GOOGLEFINANCE(C285, ""NAME""))"),"Signet Jewelers Ltd")</f>
        <v>Signet Jewelers Ltd</v>
      </c>
      <c r="E285" s="30" t="s">
        <v>170</v>
      </c>
      <c r="F285" s="33" t="str">
        <f>IFERROR(__xludf.DUMMYFUNCTION("( (GOOGLEFINANCE(C285, ""price"") - Q285) / Q285 ) / (R285 / 100)"),"Loading...")</f>
        <v>Loading...</v>
      </c>
      <c r="G285" s="20" t="str">
        <f>IFERROR(__xludf.DUMMYFUNCTION("AVERAGE(ARRAYFORMULA(100 * (QUERY(GOOGLEFINANCE(C285, ""high"", TODAY()-40, TODAY()), ""SELECT Col2 WHERE Col2 IS NOT NULL ORDER BY Col1 DESC LIMIT 20"", 0) / QUERY(GOOGLEFINANCE(C285, ""low"", TODAY()-40, TODAY()), ""SELECT Col2 WHERE Col2 IS NOT NULL OR"&amp;"DER BY Col1 DESC LIMIT 20"", 0) - 1)))"),"#N/A")</f>
        <v>#N/A</v>
      </c>
      <c r="H285" s="35" t="str">
        <f t="shared" si="6"/>
        <v/>
      </c>
      <c r="I285" s="35" t="str">
        <f t="shared" si="7"/>
        <v/>
      </c>
      <c r="J285" s="37" t="str">
        <f>IFERROR(__xludf.DUMMYFUNCTION("IFERROR(
  IF(C285="""",, 
    IFERROR(
      GOOGLEFINANCE(C285, ""price"") * GOOGLEFINANCE(C285, ""volumeavg""), 
      GOOGLEFINANCE(C285, ""price"") * AVERAGE(QUERY(GOOGLEFINANCE(C285, ""volume"", TODAY()-40, TODAY()), ""SELECT Col2 WHERE Col2 IS NOT "&amp;"NULL ORDER BY Col1 DESC LIMIT 20"", 0))
    )
  ), 
"""")"),"")</f>
        <v/>
      </c>
      <c r="K285" s="21" t="str">
        <f>IFERROR(__xludf.DUMMYFUNCTION("IFERROR(GOOGLEFINANCE(C285, ""changepct"") / 100, """")"),"")</f>
        <v/>
      </c>
      <c r="L285" s="21" t="str">
        <f>IFERROR(__xludf.DUMMYFUNCTION("IFERROR((GOOGLEFINANCE(C285, ""price"") / INDEX(GOOGLEFINANCE(C285, ""price"", TODAY()-7, TODAY()), 2, 2)) - 1, """")"),"")</f>
        <v/>
      </c>
      <c r="M285" s="21" t="str">
        <f>IFERROR(__xludf.DUMMYFUNCTION("IFERROR((GOOGLEFINANCE(C285, ""price"") / INDEX(GOOGLEFINANCE(C285, ""price"", EDATE(TODAY(), -1), TODAY()), 2, 2)) - 1, """")"),"")</f>
        <v/>
      </c>
      <c r="N285" s="21" t="str">
        <f>IFERROR(__xludf.DUMMYFUNCTION("IFERROR((GOOGLEFINANCE(C285, ""price"") / INDEX(GOOGLEFINANCE(C285, ""price"", EDATE(TODAY(), -3), TODAY()), 2, 2)) - 1, """")"),"")</f>
        <v/>
      </c>
      <c r="O285" s="21" t="str">
        <f>IFERROR(__xludf.DUMMYFUNCTION("IFERROR((GOOGLEFINANCE(C285, ""price"") / INDEX(GOOGLEFINANCE(C285, ""price"", EDATE(TODAY(), -6), TODAY()), 2, 2)) - 1, """")"),"")</f>
        <v/>
      </c>
      <c r="P285" s="21" t="str">
        <f>IFERROR(__xludf.DUMMYFUNCTION("IFERROR((GOOGLEFINANCE(C285, ""price"") / INDEX(GOOGLEFINANCE(C285, ""price"", EDATE(TODAY(), -12), TODAY()), 2, 2)) - 1, """")"),"")</f>
        <v/>
      </c>
      <c r="Q285" s="6" t="str">
        <f>IFERROR(__xludf.DUMMYFUNCTION("AVERAGE(QUERY(GOOGLEFINANCE(C285, ""price"", TODAY()-80, TODAY()), ""SELECT Col2 WHERE Col2 IS NOT NULL ORDER BY Col1 DESC LIMIT 50"", 0))"),"#N/A")</f>
        <v>#N/A</v>
      </c>
      <c r="R285" s="24" t="str">
        <f>IFERROR(__xludf.DUMMYFUNCTION("IFERROR(
  LET(
    data, QUERY(GOOGLEFINANCE(C285,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GOOGLEFINANCE(C285, ""price"")) * 100,
    IF(calc=0, G285, calc)
  ), 
G285)"),"#N/A")</f>
        <v>#N/A</v>
      </c>
      <c r="S285" s="8" t="s">
        <v>15</v>
      </c>
      <c r="T285" s="26" t="str">
        <f>IFERROR(__xludf.DUMMYFUNCTION("IFERROR(TRANSPOSE(QUERY(IFERROR(SORT(GOOGLEFINANCE(C285, ""price"", WORKDAY(TODAY(), -40), TODAY()), 1, FALSE)), ""select Col2 where Col2 is not null limit 22 label Col2 ''"", 0)), """")"),"")</f>
        <v/>
      </c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8"/>
      <c r="AO285" s="28"/>
      <c r="AP285" s="29"/>
      <c r="AQ285" s="29" t="str">
        <f t="shared" ref="AQ285:BL285" si="288">T285/T$2</f>
        <v>#N/A</v>
      </c>
      <c r="AR285" s="29" t="str">
        <f t="shared" si="288"/>
        <v>#DIV/0!</v>
      </c>
      <c r="AS285" s="29" t="str">
        <f t="shared" si="288"/>
        <v>#DIV/0!</v>
      </c>
      <c r="AT285" s="29" t="str">
        <f t="shared" si="288"/>
        <v>#DIV/0!</v>
      </c>
      <c r="AU285" s="29" t="str">
        <f t="shared" si="288"/>
        <v>#DIV/0!</v>
      </c>
      <c r="AV285" s="29" t="str">
        <f t="shared" si="288"/>
        <v>#DIV/0!</v>
      </c>
      <c r="AW285" s="29" t="str">
        <f t="shared" si="288"/>
        <v>#DIV/0!</v>
      </c>
      <c r="AX285" s="29" t="str">
        <f t="shared" si="288"/>
        <v>#DIV/0!</v>
      </c>
      <c r="AY285" s="29" t="str">
        <f t="shared" si="288"/>
        <v>#DIV/0!</v>
      </c>
      <c r="AZ285" s="29" t="str">
        <f t="shared" si="288"/>
        <v>#DIV/0!</v>
      </c>
      <c r="BA285" s="29" t="str">
        <f t="shared" si="288"/>
        <v>#DIV/0!</v>
      </c>
      <c r="BB285" s="29" t="str">
        <f t="shared" si="288"/>
        <v>#DIV/0!</v>
      </c>
      <c r="BC285" s="29" t="str">
        <f t="shared" si="288"/>
        <v>#DIV/0!</v>
      </c>
      <c r="BD285" s="29" t="str">
        <f t="shared" si="288"/>
        <v>#DIV/0!</v>
      </c>
      <c r="BE285" s="29" t="str">
        <f t="shared" si="288"/>
        <v>#DIV/0!</v>
      </c>
      <c r="BF285" s="29" t="str">
        <f t="shared" si="288"/>
        <v>#DIV/0!</v>
      </c>
      <c r="BG285" s="29" t="str">
        <f t="shared" si="288"/>
        <v>#DIV/0!</v>
      </c>
      <c r="BH285" s="29" t="str">
        <f t="shared" si="288"/>
        <v>#DIV/0!</v>
      </c>
      <c r="BI285" s="29" t="str">
        <f t="shared" si="288"/>
        <v>#DIV/0!</v>
      </c>
      <c r="BJ285" s="29" t="str">
        <f t="shared" si="288"/>
        <v>#DIV/0!</v>
      </c>
      <c r="BK285" s="29" t="str">
        <f t="shared" si="288"/>
        <v>#DIV/0!</v>
      </c>
      <c r="BL285" s="29" t="str">
        <f t="shared" si="288"/>
        <v>#DIV/0!</v>
      </c>
      <c r="BM285" s="29" t="str">
        <f t="shared" si="3"/>
        <v>#DIV/0!</v>
      </c>
    </row>
    <row r="286">
      <c r="A286" s="16" t="str">
        <f>IFERROR(__xludf.DUMMYFUNCTION("IFERROR(SPARKLINE(SORT(MAP(TRANSPOSE(AQ286:BL286), LAMBDA(val, IF(ISNUMBER(val), PERCENTRANK(AQ286:BL286, val)+0.01, 0))), SEQUENCE(COLUMNS(AQ286:BL286)), FALSE), {""charttype"",""column""; ""color"",""chartreuse""; ""ymin"", 0; ""ymax"", 1.01; ""highcolo"&amp;"r"", ""darkgreen""; ""lowcolor"", ""red""}), """")"),"")</f>
        <v/>
      </c>
      <c r="B286" s="17" t="str">
        <f t="shared" si="4"/>
        <v/>
      </c>
      <c r="C286" s="1" t="s">
        <v>1179</v>
      </c>
      <c r="D286" s="30" t="str">
        <f>IFERROR(__xludf.DUMMYFUNCTION("IFERROR(GOOGLEFINANCE(C286, ""NAME""))"),"First Watch Restaurant Group Inc")</f>
        <v>First Watch Restaurant Group Inc</v>
      </c>
      <c r="E286" s="30" t="s">
        <v>126</v>
      </c>
      <c r="F286" s="33" t="str">
        <f>IFERROR(__xludf.DUMMYFUNCTION("( (GOOGLEFINANCE(C286, ""price"") - Q286) / Q286 ) / (R286 / 100)"),"Loading...")</f>
        <v>Loading...</v>
      </c>
      <c r="G286" s="20" t="str">
        <f>IFERROR(__xludf.DUMMYFUNCTION("AVERAGE(ARRAYFORMULA(100 * (QUERY(GOOGLEFINANCE(C286, ""high"", TODAY()-40, TODAY()), ""SELECT Col2 WHERE Col2 IS NOT NULL ORDER BY Col1 DESC LIMIT 20"", 0) / QUERY(GOOGLEFINANCE(C286, ""low"", TODAY()-40, TODAY()), ""SELECT Col2 WHERE Col2 IS NOT NULL OR"&amp;"DER BY Col1 DESC LIMIT 20"", 0) - 1)))"),"#N/A")</f>
        <v>#N/A</v>
      </c>
      <c r="H286" s="35" t="str">
        <f t="shared" si="6"/>
        <v/>
      </c>
      <c r="I286" s="35" t="str">
        <f t="shared" si="7"/>
        <v/>
      </c>
      <c r="J286" s="37" t="str">
        <f>IFERROR(__xludf.DUMMYFUNCTION("IFERROR(
  IF(C286="""",, 
    IFERROR(
      GOOGLEFINANCE(C286, ""price"") * GOOGLEFINANCE(C286, ""volumeavg""), 
      GOOGLEFINANCE(C286, ""price"") * AVERAGE(QUERY(GOOGLEFINANCE(C286, ""volume"", TODAY()-40, TODAY()), ""SELECT Col2 WHERE Col2 IS NOT "&amp;"NULL ORDER BY Col1 DESC LIMIT 20"", 0))
    )
  ), 
"""")"),"")</f>
        <v/>
      </c>
      <c r="K286" s="21" t="str">
        <f>IFERROR(__xludf.DUMMYFUNCTION("IFERROR(GOOGLEFINANCE(C286, ""changepct"") / 100, """")"),"")</f>
        <v/>
      </c>
      <c r="L286" s="21" t="str">
        <f>IFERROR(__xludf.DUMMYFUNCTION("IFERROR((GOOGLEFINANCE(C286, ""price"") / INDEX(GOOGLEFINANCE(C286, ""price"", TODAY()-7, TODAY()), 2, 2)) - 1, """")"),"")</f>
        <v/>
      </c>
      <c r="M286" s="21" t="str">
        <f>IFERROR(__xludf.DUMMYFUNCTION("IFERROR((GOOGLEFINANCE(C286, ""price"") / INDEX(GOOGLEFINANCE(C286, ""price"", EDATE(TODAY(), -1), TODAY()), 2, 2)) - 1, """")"),"")</f>
        <v/>
      </c>
      <c r="N286" s="21" t="str">
        <f>IFERROR(__xludf.DUMMYFUNCTION("IFERROR((GOOGLEFINANCE(C286, ""price"") / INDEX(GOOGLEFINANCE(C286, ""price"", EDATE(TODAY(), -3), TODAY()), 2, 2)) - 1, """")"),"")</f>
        <v/>
      </c>
      <c r="O286" s="21" t="str">
        <f>IFERROR(__xludf.DUMMYFUNCTION("IFERROR((GOOGLEFINANCE(C286, ""price"") / INDEX(GOOGLEFINANCE(C286, ""price"", EDATE(TODAY(), -6), TODAY()), 2, 2)) - 1, """")"),"")</f>
        <v/>
      </c>
      <c r="P286" s="21" t="str">
        <f>IFERROR(__xludf.DUMMYFUNCTION("IFERROR((GOOGLEFINANCE(C286, ""price"") / INDEX(GOOGLEFINANCE(C286, ""price"", EDATE(TODAY(), -12), TODAY()), 2, 2)) - 1, """")"),"")</f>
        <v/>
      </c>
      <c r="Q286" s="6" t="str">
        <f>IFERROR(__xludf.DUMMYFUNCTION("AVERAGE(QUERY(GOOGLEFINANCE(C286, ""price"", TODAY()-80, TODAY()), ""SELECT Col2 WHERE Col2 IS NOT NULL ORDER BY Col1 DESC LIMIT 50"", 0))"),"#N/A")</f>
        <v>#N/A</v>
      </c>
      <c r="R286" s="24" t="str">
        <f>IFERROR(__xludf.DUMMYFUNCTION("IFERROR(
  LET(
    data, QUERY(GOOGLEFINANCE(C286,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GOOGLEFINANCE(C286, ""price"")) * 100,
    IF(calc=0, G286, calc)
  ), 
G286)"),"#N/A")</f>
        <v>#N/A</v>
      </c>
      <c r="S286" s="8" t="s">
        <v>15</v>
      </c>
      <c r="T286" s="26" t="str">
        <f>IFERROR(__xludf.DUMMYFUNCTION("IFERROR(TRANSPOSE(QUERY(IFERROR(SORT(GOOGLEFINANCE(C286, ""price"", WORKDAY(TODAY(), -40), TODAY()), 1, FALSE)), ""select Col2 where Col2 is not null limit 22 label Col2 ''"", 0)), """")"),"")</f>
        <v/>
      </c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8"/>
      <c r="AO286" s="28"/>
      <c r="AP286" s="29"/>
      <c r="AQ286" s="29" t="str">
        <f t="shared" ref="AQ286:BL286" si="289">T286/T$2</f>
        <v>#N/A</v>
      </c>
      <c r="AR286" s="29" t="str">
        <f t="shared" si="289"/>
        <v>#DIV/0!</v>
      </c>
      <c r="AS286" s="29" t="str">
        <f t="shared" si="289"/>
        <v>#DIV/0!</v>
      </c>
      <c r="AT286" s="29" t="str">
        <f t="shared" si="289"/>
        <v>#DIV/0!</v>
      </c>
      <c r="AU286" s="29" t="str">
        <f t="shared" si="289"/>
        <v>#DIV/0!</v>
      </c>
      <c r="AV286" s="29" t="str">
        <f t="shared" si="289"/>
        <v>#DIV/0!</v>
      </c>
      <c r="AW286" s="29" t="str">
        <f t="shared" si="289"/>
        <v>#DIV/0!</v>
      </c>
      <c r="AX286" s="29" t="str">
        <f t="shared" si="289"/>
        <v>#DIV/0!</v>
      </c>
      <c r="AY286" s="29" t="str">
        <f t="shared" si="289"/>
        <v>#DIV/0!</v>
      </c>
      <c r="AZ286" s="29" t="str">
        <f t="shared" si="289"/>
        <v>#DIV/0!</v>
      </c>
      <c r="BA286" s="29" t="str">
        <f t="shared" si="289"/>
        <v>#DIV/0!</v>
      </c>
      <c r="BB286" s="29" t="str">
        <f t="shared" si="289"/>
        <v>#DIV/0!</v>
      </c>
      <c r="BC286" s="29" t="str">
        <f t="shared" si="289"/>
        <v>#DIV/0!</v>
      </c>
      <c r="BD286" s="29" t="str">
        <f t="shared" si="289"/>
        <v>#DIV/0!</v>
      </c>
      <c r="BE286" s="29" t="str">
        <f t="shared" si="289"/>
        <v>#DIV/0!</v>
      </c>
      <c r="BF286" s="29" t="str">
        <f t="shared" si="289"/>
        <v>#DIV/0!</v>
      </c>
      <c r="BG286" s="29" t="str">
        <f t="shared" si="289"/>
        <v>#DIV/0!</v>
      </c>
      <c r="BH286" s="29" t="str">
        <f t="shared" si="289"/>
        <v>#DIV/0!</v>
      </c>
      <c r="BI286" s="29" t="str">
        <f t="shared" si="289"/>
        <v>#DIV/0!</v>
      </c>
      <c r="BJ286" s="29" t="str">
        <f t="shared" si="289"/>
        <v>#DIV/0!</v>
      </c>
      <c r="BK286" s="29" t="str">
        <f t="shared" si="289"/>
        <v>#DIV/0!</v>
      </c>
      <c r="BL286" s="29" t="str">
        <f t="shared" si="289"/>
        <v>#DIV/0!</v>
      </c>
      <c r="BM286" s="29" t="str">
        <f t="shared" si="3"/>
        <v>#DIV/0!</v>
      </c>
    </row>
    <row r="287">
      <c r="A287" s="16" t="str">
        <f>IFERROR(__xludf.DUMMYFUNCTION("IFERROR(SPARKLINE(SORT(MAP(TRANSPOSE(AQ287:BL287), LAMBDA(val, IF(ISNUMBER(val), PERCENTRANK(AQ287:BL287, val)+0.01, 0))), SEQUENCE(COLUMNS(AQ287:BL287)), FALSE), {""charttype"",""column""; ""color"",""chartreuse""; ""ymin"", 0; ""ymax"", 1.01; ""highcolo"&amp;"r"", ""darkgreen""; ""lowcolor"", ""red""}), """")"),"")</f>
        <v/>
      </c>
      <c r="B287" s="17" t="str">
        <f t="shared" si="4"/>
        <v/>
      </c>
      <c r="C287" s="1" t="s">
        <v>1183</v>
      </c>
      <c r="D287" s="30" t="str">
        <f>IFERROR(__xludf.DUMMYFUNCTION("IFERROR(GOOGLEFINANCE(C287, ""NAME""))"),"LKQ Corp")</f>
        <v>LKQ Corp</v>
      </c>
      <c r="E287" s="30" t="s">
        <v>109</v>
      </c>
      <c r="F287" s="33" t="str">
        <f>IFERROR(__xludf.DUMMYFUNCTION("( (GOOGLEFINANCE(C287, ""price"") - Q287) / Q287 ) / (R287 / 100)"),"Loading...")</f>
        <v>Loading...</v>
      </c>
      <c r="G287" s="20" t="str">
        <f>IFERROR(__xludf.DUMMYFUNCTION("AVERAGE(ARRAYFORMULA(100 * (QUERY(GOOGLEFINANCE(C287, ""high"", TODAY()-40, TODAY()), ""SELECT Col2 WHERE Col2 IS NOT NULL ORDER BY Col1 DESC LIMIT 20"", 0) / QUERY(GOOGLEFINANCE(C287, ""low"", TODAY()-40, TODAY()), ""SELECT Col2 WHERE Col2 IS NOT NULL OR"&amp;"DER BY Col1 DESC LIMIT 20"", 0) - 1)))"),"#N/A")</f>
        <v>#N/A</v>
      </c>
      <c r="H287" s="35" t="str">
        <f t="shared" si="6"/>
        <v/>
      </c>
      <c r="I287" s="35" t="str">
        <f t="shared" si="7"/>
        <v/>
      </c>
      <c r="J287" s="37" t="str">
        <f>IFERROR(__xludf.DUMMYFUNCTION("IFERROR(
  IF(C287="""",, 
    IFERROR(
      GOOGLEFINANCE(C287, ""price"") * GOOGLEFINANCE(C287, ""volumeavg""), 
      GOOGLEFINANCE(C287, ""price"") * AVERAGE(QUERY(GOOGLEFINANCE(C287, ""volume"", TODAY()-40, TODAY()), ""SELECT Col2 WHERE Col2 IS NOT "&amp;"NULL ORDER BY Col1 DESC LIMIT 20"", 0))
    )
  ), 
"""")"),"")</f>
        <v/>
      </c>
      <c r="K287" s="21" t="str">
        <f>IFERROR(__xludf.DUMMYFUNCTION("IFERROR(GOOGLEFINANCE(C287, ""changepct"") / 100, """")"),"")</f>
        <v/>
      </c>
      <c r="L287" s="21" t="str">
        <f>IFERROR(__xludf.DUMMYFUNCTION("IFERROR((GOOGLEFINANCE(C287, ""price"") / INDEX(GOOGLEFINANCE(C287, ""price"", TODAY()-7, TODAY()), 2, 2)) - 1, """")"),"")</f>
        <v/>
      </c>
      <c r="M287" s="21" t="str">
        <f>IFERROR(__xludf.DUMMYFUNCTION("IFERROR((GOOGLEFINANCE(C287, ""price"") / INDEX(GOOGLEFINANCE(C287, ""price"", EDATE(TODAY(), -1), TODAY()), 2, 2)) - 1, """")"),"")</f>
        <v/>
      </c>
      <c r="N287" s="21" t="str">
        <f>IFERROR(__xludf.DUMMYFUNCTION("IFERROR((GOOGLEFINANCE(C287, ""price"") / INDEX(GOOGLEFINANCE(C287, ""price"", EDATE(TODAY(), -3), TODAY()), 2, 2)) - 1, """")"),"")</f>
        <v/>
      </c>
      <c r="O287" s="21" t="str">
        <f>IFERROR(__xludf.DUMMYFUNCTION("IFERROR((GOOGLEFINANCE(C287, ""price"") / INDEX(GOOGLEFINANCE(C287, ""price"", EDATE(TODAY(), -6), TODAY()), 2, 2)) - 1, """")"),"")</f>
        <v/>
      </c>
      <c r="P287" s="21" t="str">
        <f>IFERROR(__xludf.DUMMYFUNCTION("IFERROR((GOOGLEFINANCE(C287, ""price"") / INDEX(GOOGLEFINANCE(C287, ""price"", EDATE(TODAY(), -12), TODAY()), 2, 2)) - 1, """")"),"")</f>
        <v/>
      </c>
      <c r="Q287" s="6" t="str">
        <f>IFERROR(__xludf.DUMMYFUNCTION("AVERAGE(QUERY(GOOGLEFINANCE(C287, ""price"", TODAY()-80, TODAY()), ""SELECT Col2 WHERE Col2 IS NOT NULL ORDER BY Col1 DESC LIMIT 50"", 0))"),"#N/A")</f>
        <v>#N/A</v>
      </c>
      <c r="R287" s="24" t="str">
        <f>IFERROR(__xludf.DUMMYFUNCTION("IFERROR(
  LET(
    data, QUERY(GOOGLEFINANCE(C287,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GOOGLEFINANCE(C287, ""price"")) * 100,
    IF(calc=0, G287, calc)
  ), 
G287)"),"#N/A")</f>
        <v>#N/A</v>
      </c>
      <c r="S287" s="8" t="s">
        <v>15</v>
      </c>
      <c r="T287" s="26" t="str">
        <f>IFERROR(__xludf.DUMMYFUNCTION("IFERROR(TRANSPOSE(QUERY(IFERROR(SORT(GOOGLEFINANCE(C287, ""price"", WORKDAY(TODAY(), -40), TODAY()), 1, FALSE)), ""select Col2 where Col2 is not null limit 22 label Col2 ''"", 0)), """")"),"")</f>
        <v/>
      </c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8"/>
      <c r="AO287" s="28"/>
      <c r="AP287" s="29"/>
      <c r="AQ287" s="29" t="str">
        <f t="shared" ref="AQ287:BL287" si="290">T287/T$2</f>
        <v>#N/A</v>
      </c>
      <c r="AR287" s="29" t="str">
        <f t="shared" si="290"/>
        <v>#DIV/0!</v>
      </c>
      <c r="AS287" s="29" t="str">
        <f t="shared" si="290"/>
        <v>#DIV/0!</v>
      </c>
      <c r="AT287" s="29" t="str">
        <f t="shared" si="290"/>
        <v>#DIV/0!</v>
      </c>
      <c r="AU287" s="29" t="str">
        <f t="shared" si="290"/>
        <v>#DIV/0!</v>
      </c>
      <c r="AV287" s="29" t="str">
        <f t="shared" si="290"/>
        <v>#DIV/0!</v>
      </c>
      <c r="AW287" s="29" t="str">
        <f t="shared" si="290"/>
        <v>#DIV/0!</v>
      </c>
      <c r="AX287" s="29" t="str">
        <f t="shared" si="290"/>
        <v>#DIV/0!</v>
      </c>
      <c r="AY287" s="29" t="str">
        <f t="shared" si="290"/>
        <v>#DIV/0!</v>
      </c>
      <c r="AZ287" s="29" t="str">
        <f t="shared" si="290"/>
        <v>#DIV/0!</v>
      </c>
      <c r="BA287" s="29" t="str">
        <f t="shared" si="290"/>
        <v>#DIV/0!</v>
      </c>
      <c r="BB287" s="29" t="str">
        <f t="shared" si="290"/>
        <v>#DIV/0!</v>
      </c>
      <c r="BC287" s="29" t="str">
        <f t="shared" si="290"/>
        <v>#DIV/0!</v>
      </c>
      <c r="BD287" s="29" t="str">
        <f t="shared" si="290"/>
        <v>#DIV/0!</v>
      </c>
      <c r="BE287" s="29" t="str">
        <f t="shared" si="290"/>
        <v>#DIV/0!</v>
      </c>
      <c r="BF287" s="29" t="str">
        <f t="shared" si="290"/>
        <v>#DIV/0!</v>
      </c>
      <c r="BG287" s="29" t="str">
        <f t="shared" si="290"/>
        <v>#DIV/0!</v>
      </c>
      <c r="BH287" s="29" t="str">
        <f t="shared" si="290"/>
        <v>#DIV/0!</v>
      </c>
      <c r="BI287" s="29" t="str">
        <f t="shared" si="290"/>
        <v>#DIV/0!</v>
      </c>
      <c r="BJ287" s="29" t="str">
        <f t="shared" si="290"/>
        <v>#DIV/0!</v>
      </c>
      <c r="BK287" s="29" t="str">
        <f t="shared" si="290"/>
        <v>#DIV/0!</v>
      </c>
      <c r="BL287" s="29" t="str">
        <f t="shared" si="290"/>
        <v>#DIV/0!</v>
      </c>
      <c r="BM287" s="29" t="str">
        <f t="shared" si="3"/>
        <v>#DIV/0!</v>
      </c>
    </row>
    <row r="288">
      <c r="A288" s="16" t="str">
        <f>IFERROR(__xludf.DUMMYFUNCTION("IFERROR(SPARKLINE(SORT(MAP(TRANSPOSE(AQ288:BL288), LAMBDA(val, IF(ISNUMBER(val), PERCENTRANK(AQ288:BL288, val)+0.01, 0))), SEQUENCE(COLUMNS(AQ288:BL288)), FALSE), {""charttype"",""column""; ""color"",""chartreuse""; ""ymin"", 0; ""ymax"", 1.01; ""highcolo"&amp;"r"", ""darkgreen""; ""lowcolor"", ""red""}), """")"),"")</f>
        <v/>
      </c>
      <c r="B288" s="17" t="str">
        <f t="shared" si="4"/>
        <v/>
      </c>
      <c r="C288" s="1" t="s">
        <v>1186</v>
      </c>
      <c r="D288" s="30" t="str">
        <f>IFERROR(__xludf.DUMMYFUNCTION("IFERROR(GOOGLEFINANCE(C288, ""NAME""))"),"Crown Holdings Inc")</f>
        <v>Crown Holdings Inc</v>
      </c>
      <c r="E288" s="30" t="s">
        <v>195</v>
      </c>
      <c r="F288" s="33" t="str">
        <f>IFERROR(__xludf.DUMMYFUNCTION("( (GOOGLEFINANCE(C288, ""price"") - Q288) / Q288 ) / (R288 / 100)"),"Loading...")</f>
        <v>Loading...</v>
      </c>
      <c r="G288" s="20" t="str">
        <f>IFERROR(__xludf.DUMMYFUNCTION("AVERAGE(ARRAYFORMULA(100 * (QUERY(GOOGLEFINANCE(C288, ""high"", TODAY()-40, TODAY()), ""SELECT Col2 WHERE Col2 IS NOT NULL ORDER BY Col1 DESC LIMIT 20"", 0) / QUERY(GOOGLEFINANCE(C288, ""low"", TODAY()-40, TODAY()), ""SELECT Col2 WHERE Col2 IS NOT NULL OR"&amp;"DER BY Col1 DESC LIMIT 20"", 0) - 1)))"),"#N/A")</f>
        <v>#N/A</v>
      </c>
      <c r="H288" s="35" t="str">
        <f t="shared" si="6"/>
        <v/>
      </c>
      <c r="I288" s="35" t="str">
        <f t="shared" si="7"/>
        <v/>
      </c>
      <c r="J288" s="37" t="str">
        <f>IFERROR(__xludf.DUMMYFUNCTION("IFERROR(
  IF(C288="""",, 
    IFERROR(
      GOOGLEFINANCE(C288, ""price"") * GOOGLEFINANCE(C288, ""volumeavg""), 
      GOOGLEFINANCE(C288, ""price"") * AVERAGE(QUERY(GOOGLEFINANCE(C288, ""volume"", TODAY()-40, TODAY()), ""SELECT Col2 WHERE Col2 IS NOT "&amp;"NULL ORDER BY Col1 DESC LIMIT 20"", 0))
    )
  ), 
"""")"),"")</f>
        <v/>
      </c>
      <c r="K288" s="21" t="str">
        <f>IFERROR(__xludf.DUMMYFUNCTION("IFERROR(GOOGLEFINANCE(C288, ""changepct"") / 100, """")"),"")</f>
        <v/>
      </c>
      <c r="L288" s="21" t="str">
        <f>IFERROR(__xludf.DUMMYFUNCTION("IFERROR((GOOGLEFINANCE(C288, ""price"") / INDEX(GOOGLEFINANCE(C288, ""price"", TODAY()-7, TODAY()), 2, 2)) - 1, """")"),"")</f>
        <v/>
      </c>
      <c r="M288" s="21" t="str">
        <f>IFERROR(__xludf.DUMMYFUNCTION("IFERROR((GOOGLEFINANCE(C288, ""price"") / INDEX(GOOGLEFINANCE(C288, ""price"", EDATE(TODAY(), -1), TODAY()), 2, 2)) - 1, """")"),"")</f>
        <v/>
      </c>
      <c r="N288" s="21" t="str">
        <f>IFERROR(__xludf.DUMMYFUNCTION("IFERROR((GOOGLEFINANCE(C288, ""price"") / INDEX(GOOGLEFINANCE(C288, ""price"", EDATE(TODAY(), -3), TODAY()), 2, 2)) - 1, """")"),"")</f>
        <v/>
      </c>
      <c r="O288" s="21" t="str">
        <f>IFERROR(__xludf.DUMMYFUNCTION("IFERROR((GOOGLEFINANCE(C288, ""price"") / INDEX(GOOGLEFINANCE(C288, ""price"", EDATE(TODAY(), -6), TODAY()), 2, 2)) - 1, """")"),"")</f>
        <v/>
      </c>
      <c r="P288" s="21" t="str">
        <f>IFERROR(__xludf.DUMMYFUNCTION("IFERROR((GOOGLEFINANCE(C288, ""price"") / INDEX(GOOGLEFINANCE(C288, ""price"", EDATE(TODAY(), -12), TODAY()), 2, 2)) - 1, """")"),"")</f>
        <v/>
      </c>
      <c r="Q288" s="6" t="str">
        <f>IFERROR(__xludf.DUMMYFUNCTION("AVERAGE(QUERY(GOOGLEFINANCE(C288, ""price"", TODAY()-80, TODAY()), ""SELECT Col2 WHERE Col2 IS NOT NULL ORDER BY Col1 DESC LIMIT 50"", 0))"),"#N/A")</f>
        <v>#N/A</v>
      </c>
      <c r="R288" s="24" t="str">
        <f>IFERROR(__xludf.DUMMYFUNCTION("IFERROR(
  LET(
    data, QUERY(GOOGLEFINANCE(C288,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GOOGLEFINANCE(C288, ""price"")) * 100,
    IF(calc=0, G288, calc)
  ), 
G288)"),"#N/A")</f>
        <v>#N/A</v>
      </c>
      <c r="S288" s="8" t="s">
        <v>15</v>
      </c>
      <c r="T288" s="26" t="str">
        <f>IFERROR(__xludf.DUMMYFUNCTION("IFERROR(TRANSPOSE(QUERY(IFERROR(SORT(GOOGLEFINANCE(C288, ""price"", WORKDAY(TODAY(), -40), TODAY()), 1, FALSE)), ""select Col2 where Col2 is not null limit 22 label Col2 ''"", 0)), """")"),"")</f>
        <v/>
      </c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8"/>
      <c r="AO288" s="28"/>
      <c r="AP288" s="29"/>
      <c r="AQ288" s="29" t="str">
        <f t="shared" ref="AQ288:BL288" si="291">T288/T$2</f>
        <v>#N/A</v>
      </c>
      <c r="AR288" s="29" t="str">
        <f t="shared" si="291"/>
        <v>#DIV/0!</v>
      </c>
      <c r="AS288" s="29" t="str">
        <f t="shared" si="291"/>
        <v>#DIV/0!</v>
      </c>
      <c r="AT288" s="29" t="str">
        <f t="shared" si="291"/>
        <v>#DIV/0!</v>
      </c>
      <c r="AU288" s="29" t="str">
        <f t="shared" si="291"/>
        <v>#DIV/0!</v>
      </c>
      <c r="AV288" s="29" t="str">
        <f t="shared" si="291"/>
        <v>#DIV/0!</v>
      </c>
      <c r="AW288" s="29" t="str">
        <f t="shared" si="291"/>
        <v>#DIV/0!</v>
      </c>
      <c r="AX288" s="29" t="str">
        <f t="shared" si="291"/>
        <v>#DIV/0!</v>
      </c>
      <c r="AY288" s="29" t="str">
        <f t="shared" si="291"/>
        <v>#DIV/0!</v>
      </c>
      <c r="AZ288" s="29" t="str">
        <f t="shared" si="291"/>
        <v>#DIV/0!</v>
      </c>
      <c r="BA288" s="29" t="str">
        <f t="shared" si="291"/>
        <v>#DIV/0!</v>
      </c>
      <c r="BB288" s="29" t="str">
        <f t="shared" si="291"/>
        <v>#DIV/0!</v>
      </c>
      <c r="BC288" s="29" t="str">
        <f t="shared" si="291"/>
        <v>#DIV/0!</v>
      </c>
      <c r="BD288" s="29" t="str">
        <f t="shared" si="291"/>
        <v>#DIV/0!</v>
      </c>
      <c r="BE288" s="29" t="str">
        <f t="shared" si="291"/>
        <v>#DIV/0!</v>
      </c>
      <c r="BF288" s="29" t="str">
        <f t="shared" si="291"/>
        <v>#DIV/0!</v>
      </c>
      <c r="BG288" s="29" t="str">
        <f t="shared" si="291"/>
        <v>#DIV/0!</v>
      </c>
      <c r="BH288" s="29" t="str">
        <f t="shared" si="291"/>
        <v>#DIV/0!</v>
      </c>
      <c r="BI288" s="29" t="str">
        <f t="shared" si="291"/>
        <v>#DIV/0!</v>
      </c>
      <c r="BJ288" s="29" t="str">
        <f t="shared" si="291"/>
        <v>#DIV/0!</v>
      </c>
      <c r="BK288" s="29" t="str">
        <f t="shared" si="291"/>
        <v>#DIV/0!</v>
      </c>
      <c r="BL288" s="29" t="str">
        <f t="shared" si="291"/>
        <v>#DIV/0!</v>
      </c>
      <c r="BM288" s="29" t="str">
        <f t="shared" si="3"/>
        <v>#DIV/0!</v>
      </c>
    </row>
    <row r="289">
      <c r="A289" s="16" t="str">
        <f>IFERROR(__xludf.DUMMYFUNCTION("IFERROR(SPARKLINE(SORT(MAP(TRANSPOSE(AQ289:BL289), LAMBDA(val, IF(ISNUMBER(val), PERCENTRANK(AQ289:BL289, val)+0.01, 0))), SEQUENCE(COLUMNS(AQ289:BL289)), FALSE), {""charttype"",""column""; ""color"",""chartreuse""; ""ymin"", 0; ""ymax"", 1.01; ""highcolo"&amp;"r"", ""darkgreen""; ""lowcolor"", ""red""}), """")"),"")</f>
        <v/>
      </c>
      <c r="B289" s="17" t="str">
        <f t="shared" si="4"/>
        <v/>
      </c>
      <c r="C289" s="1" t="s">
        <v>1189</v>
      </c>
      <c r="D289" s="30" t="str">
        <f>IFERROR(__xludf.DUMMYFUNCTION("IFERROR(GOOGLEFINANCE(C289, ""NAME""))"),"D.R. Horton Inc")</f>
        <v>D.R. Horton Inc</v>
      </c>
      <c r="E289" s="30" t="s">
        <v>261</v>
      </c>
      <c r="F289" s="33" t="str">
        <f>IFERROR(__xludf.DUMMYFUNCTION("( (GOOGLEFINANCE(C289, ""price"") - Q289) / Q289 ) / (R289 / 100)"),"Loading...")</f>
        <v>Loading...</v>
      </c>
      <c r="G289" s="20" t="str">
        <f>IFERROR(__xludf.DUMMYFUNCTION("AVERAGE(ARRAYFORMULA(100 * (QUERY(GOOGLEFINANCE(C289, ""high"", TODAY()-40, TODAY()), ""SELECT Col2 WHERE Col2 IS NOT NULL ORDER BY Col1 DESC LIMIT 20"", 0) / QUERY(GOOGLEFINANCE(C289, ""low"", TODAY()-40, TODAY()), ""SELECT Col2 WHERE Col2 IS NOT NULL OR"&amp;"DER BY Col1 DESC LIMIT 20"", 0) - 1)))"),"#N/A")</f>
        <v>#N/A</v>
      </c>
      <c r="H289" s="35" t="str">
        <f t="shared" si="6"/>
        <v/>
      </c>
      <c r="I289" s="35" t="str">
        <f t="shared" si="7"/>
        <v/>
      </c>
      <c r="J289" s="37" t="str">
        <f>IFERROR(__xludf.DUMMYFUNCTION("IFERROR(
  IF(C289="""",, 
    IFERROR(
      GOOGLEFINANCE(C289, ""price"") * GOOGLEFINANCE(C289, ""volumeavg""), 
      GOOGLEFINANCE(C289, ""price"") * AVERAGE(QUERY(GOOGLEFINANCE(C289, ""volume"", TODAY()-40, TODAY()), ""SELECT Col2 WHERE Col2 IS NOT "&amp;"NULL ORDER BY Col1 DESC LIMIT 20"", 0))
    )
  ), 
"""")"),"")</f>
        <v/>
      </c>
      <c r="K289" s="21" t="str">
        <f>IFERROR(__xludf.DUMMYFUNCTION("IFERROR(GOOGLEFINANCE(C289, ""changepct"") / 100, """")"),"")</f>
        <v/>
      </c>
      <c r="L289" s="21" t="str">
        <f>IFERROR(__xludf.DUMMYFUNCTION("IFERROR((GOOGLEFINANCE(C289, ""price"") / INDEX(GOOGLEFINANCE(C289, ""price"", TODAY()-7, TODAY()), 2, 2)) - 1, """")"),"")</f>
        <v/>
      </c>
      <c r="M289" s="21" t="str">
        <f>IFERROR(__xludf.DUMMYFUNCTION("IFERROR((GOOGLEFINANCE(C289, ""price"") / INDEX(GOOGLEFINANCE(C289, ""price"", EDATE(TODAY(), -1), TODAY()), 2, 2)) - 1, """")"),"")</f>
        <v/>
      </c>
      <c r="N289" s="21" t="str">
        <f>IFERROR(__xludf.DUMMYFUNCTION("IFERROR((GOOGLEFINANCE(C289, ""price"") / INDEX(GOOGLEFINANCE(C289, ""price"", EDATE(TODAY(), -3), TODAY()), 2, 2)) - 1, """")"),"")</f>
        <v/>
      </c>
      <c r="O289" s="21" t="str">
        <f>IFERROR(__xludf.DUMMYFUNCTION("IFERROR((GOOGLEFINANCE(C289, ""price"") / INDEX(GOOGLEFINANCE(C289, ""price"", EDATE(TODAY(), -6), TODAY()), 2, 2)) - 1, """")"),"")</f>
        <v/>
      </c>
      <c r="P289" s="21" t="str">
        <f>IFERROR(__xludf.DUMMYFUNCTION("IFERROR((GOOGLEFINANCE(C289, ""price"") / INDEX(GOOGLEFINANCE(C289, ""price"", EDATE(TODAY(), -12), TODAY()), 2, 2)) - 1, """")"),"")</f>
        <v/>
      </c>
      <c r="Q289" s="6" t="str">
        <f>IFERROR(__xludf.DUMMYFUNCTION("AVERAGE(QUERY(GOOGLEFINANCE(C289, ""price"", TODAY()-80, TODAY()), ""SELECT Col2 WHERE Col2 IS NOT NULL ORDER BY Col1 DESC LIMIT 50"", 0))"),"#N/A")</f>
        <v>#N/A</v>
      </c>
      <c r="R289" s="24" t="str">
        <f>IFERROR(__xludf.DUMMYFUNCTION("IFERROR(
  LET(
    data, QUERY(GOOGLEFINANCE(C289,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GOOGLEFINANCE(C289, ""price"")) * 100,
    IF(calc=0, G289, calc)
  ), 
G289)"),"#N/A")</f>
        <v>#N/A</v>
      </c>
      <c r="S289" s="8" t="s">
        <v>15</v>
      </c>
      <c r="T289" s="26" t="str">
        <f>IFERROR(__xludf.DUMMYFUNCTION("IFERROR(TRANSPOSE(QUERY(IFERROR(SORT(GOOGLEFINANCE(C289, ""price"", WORKDAY(TODAY(), -40), TODAY()), 1, FALSE)), ""select Col2 where Col2 is not null limit 22 label Col2 ''"", 0)), """")"),"")</f>
        <v/>
      </c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8"/>
      <c r="AO289" s="28"/>
      <c r="AP289" s="29"/>
      <c r="AQ289" s="29" t="str">
        <f t="shared" ref="AQ289:BL289" si="292">T289/T$2</f>
        <v>#N/A</v>
      </c>
      <c r="AR289" s="29" t="str">
        <f t="shared" si="292"/>
        <v>#DIV/0!</v>
      </c>
      <c r="AS289" s="29" t="str">
        <f t="shared" si="292"/>
        <v>#DIV/0!</v>
      </c>
      <c r="AT289" s="29" t="str">
        <f t="shared" si="292"/>
        <v>#DIV/0!</v>
      </c>
      <c r="AU289" s="29" t="str">
        <f t="shared" si="292"/>
        <v>#DIV/0!</v>
      </c>
      <c r="AV289" s="29" t="str">
        <f t="shared" si="292"/>
        <v>#DIV/0!</v>
      </c>
      <c r="AW289" s="29" t="str">
        <f t="shared" si="292"/>
        <v>#DIV/0!</v>
      </c>
      <c r="AX289" s="29" t="str">
        <f t="shared" si="292"/>
        <v>#DIV/0!</v>
      </c>
      <c r="AY289" s="29" t="str">
        <f t="shared" si="292"/>
        <v>#DIV/0!</v>
      </c>
      <c r="AZ289" s="29" t="str">
        <f t="shared" si="292"/>
        <v>#DIV/0!</v>
      </c>
      <c r="BA289" s="29" t="str">
        <f t="shared" si="292"/>
        <v>#DIV/0!</v>
      </c>
      <c r="BB289" s="29" t="str">
        <f t="shared" si="292"/>
        <v>#DIV/0!</v>
      </c>
      <c r="BC289" s="29" t="str">
        <f t="shared" si="292"/>
        <v>#DIV/0!</v>
      </c>
      <c r="BD289" s="29" t="str">
        <f t="shared" si="292"/>
        <v>#DIV/0!</v>
      </c>
      <c r="BE289" s="29" t="str">
        <f t="shared" si="292"/>
        <v>#DIV/0!</v>
      </c>
      <c r="BF289" s="29" t="str">
        <f t="shared" si="292"/>
        <v>#DIV/0!</v>
      </c>
      <c r="BG289" s="29" t="str">
        <f t="shared" si="292"/>
        <v>#DIV/0!</v>
      </c>
      <c r="BH289" s="29" t="str">
        <f t="shared" si="292"/>
        <v>#DIV/0!</v>
      </c>
      <c r="BI289" s="29" t="str">
        <f t="shared" si="292"/>
        <v>#DIV/0!</v>
      </c>
      <c r="BJ289" s="29" t="str">
        <f t="shared" si="292"/>
        <v>#DIV/0!</v>
      </c>
      <c r="BK289" s="29" t="str">
        <f t="shared" si="292"/>
        <v>#DIV/0!</v>
      </c>
      <c r="BL289" s="29" t="str">
        <f t="shared" si="292"/>
        <v>#DIV/0!</v>
      </c>
      <c r="BM289" s="29" t="str">
        <f t="shared" si="3"/>
        <v>#DIV/0!</v>
      </c>
    </row>
    <row r="290">
      <c r="A290" s="16" t="str">
        <f>IFERROR(__xludf.DUMMYFUNCTION("IFERROR(SPARKLINE(SORT(MAP(TRANSPOSE(AQ290:BL290), LAMBDA(val, IF(ISNUMBER(val), PERCENTRANK(AQ290:BL290, val)+0.01, 0))), SEQUENCE(COLUMNS(AQ290:BL290)), FALSE), {""charttype"",""column""; ""color"",""chartreuse""; ""ymin"", 0; ""ymax"", 1.01; ""highcolo"&amp;"r"", ""darkgreen""; ""lowcolor"", ""red""}), """")"),"")</f>
        <v/>
      </c>
      <c r="B290" s="17" t="str">
        <f t="shared" si="4"/>
        <v/>
      </c>
      <c r="C290" s="1" t="s">
        <v>1192</v>
      </c>
      <c r="D290" s="30" t="str">
        <f>IFERROR(__xludf.DUMMYFUNCTION("IFERROR(GOOGLEFINANCE(C290, ""NAME""))"),"KB Home")</f>
        <v>KB Home</v>
      </c>
      <c r="E290" s="30" t="s">
        <v>261</v>
      </c>
      <c r="F290" s="33" t="str">
        <f>IFERROR(__xludf.DUMMYFUNCTION("( (GOOGLEFINANCE(C290, ""price"") - Q290) / Q290 ) / (R290 / 100)"),"Loading...")</f>
        <v>Loading...</v>
      </c>
      <c r="G290" s="20" t="str">
        <f>IFERROR(__xludf.DUMMYFUNCTION("AVERAGE(ARRAYFORMULA(100 * (QUERY(GOOGLEFINANCE(C290, ""high"", TODAY()-40, TODAY()), ""SELECT Col2 WHERE Col2 IS NOT NULL ORDER BY Col1 DESC LIMIT 20"", 0) / QUERY(GOOGLEFINANCE(C290, ""low"", TODAY()-40, TODAY()), ""SELECT Col2 WHERE Col2 IS NOT NULL OR"&amp;"DER BY Col1 DESC LIMIT 20"", 0) - 1)))"),"#N/A")</f>
        <v>#N/A</v>
      </c>
      <c r="H290" s="35" t="str">
        <f t="shared" si="6"/>
        <v/>
      </c>
      <c r="I290" s="35" t="str">
        <f t="shared" si="7"/>
        <v/>
      </c>
      <c r="J290" s="37" t="str">
        <f>IFERROR(__xludf.DUMMYFUNCTION("IFERROR(
  IF(C290="""",, 
    IFERROR(
      GOOGLEFINANCE(C290, ""price"") * GOOGLEFINANCE(C290, ""volumeavg""), 
      GOOGLEFINANCE(C290, ""price"") * AVERAGE(QUERY(GOOGLEFINANCE(C290, ""volume"", TODAY()-40, TODAY()), ""SELECT Col2 WHERE Col2 IS NOT "&amp;"NULL ORDER BY Col1 DESC LIMIT 20"", 0))
    )
  ), 
"""")"),"")</f>
        <v/>
      </c>
      <c r="K290" s="21" t="str">
        <f>IFERROR(__xludf.DUMMYFUNCTION("IFERROR(GOOGLEFINANCE(C290, ""changepct"") / 100, """")"),"")</f>
        <v/>
      </c>
      <c r="L290" s="21" t="str">
        <f>IFERROR(__xludf.DUMMYFUNCTION("IFERROR((GOOGLEFINANCE(C290, ""price"") / INDEX(GOOGLEFINANCE(C290, ""price"", TODAY()-7, TODAY()), 2, 2)) - 1, """")"),"")</f>
        <v/>
      </c>
      <c r="M290" s="21" t="str">
        <f>IFERROR(__xludf.DUMMYFUNCTION("IFERROR((GOOGLEFINANCE(C290, ""price"") / INDEX(GOOGLEFINANCE(C290, ""price"", EDATE(TODAY(), -1), TODAY()), 2, 2)) - 1, """")"),"")</f>
        <v/>
      </c>
      <c r="N290" s="21" t="str">
        <f>IFERROR(__xludf.DUMMYFUNCTION("IFERROR((GOOGLEFINANCE(C290, ""price"") / INDEX(GOOGLEFINANCE(C290, ""price"", EDATE(TODAY(), -3), TODAY()), 2, 2)) - 1, """")"),"")</f>
        <v/>
      </c>
      <c r="O290" s="21" t="str">
        <f>IFERROR(__xludf.DUMMYFUNCTION("IFERROR((GOOGLEFINANCE(C290, ""price"") / INDEX(GOOGLEFINANCE(C290, ""price"", EDATE(TODAY(), -6), TODAY()), 2, 2)) - 1, """")"),"")</f>
        <v/>
      </c>
      <c r="P290" s="21" t="str">
        <f>IFERROR(__xludf.DUMMYFUNCTION("IFERROR((GOOGLEFINANCE(C290, ""price"") / INDEX(GOOGLEFINANCE(C290, ""price"", EDATE(TODAY(), -12), TODAY()), 2, 2)) - 1, """")"),"")</f>
        <v/>
      </c>
      <c r="Q290" s="6" t="str">
        <f>IFERROR(__xludf.DUMMYFUNCTION("AVERAGE(QUERY(GOOGLEFINANCE(C290, ""price"", TODAY()-80, TODAY()), ""SELECT Col2 WHERE Col2 IS NOT NULL ORDER BY Col1 DESC LIMIT 50"", 0))"),"#N/A")</f>
        <v>#N/A</v>
      </c>
      <c r="R290" s="24" t="str">
        <f>IFERROR(__xludf.DUMMYFUNCTION("IFERROR(
  LET(
    data, QUERY(GOOGLEFINANCE(C290,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GOOGLEFINANCE(C290, ""price"")) * 100,
    IF(calc=0, G290, calc)
  ), 
G290)"),"#N/A")</f>
        <v>#N/A</v>
      </c>
      <c r="S290" s="8" t="s">
        <v>15</v>
      </c>
      <c r="T290" s="26" t="str">
        <f>IFERROR(__xludf.DUMMYFUNCTION("IFERROR(TRANSPOSE(QUERY(IFERROR(SORT(GOOGLEFINANCE(C290, ""price"", WORKDAY(TODAY(), -40), TODAY()), 1, FALSE)), ""select Col2 where Col2 is not null limit 22 label Col2 ''"", 0)), """")"),"")</f>
        <v/>
      </c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8"/>
      <c r="AO290" s="28"/>
      <c r="AP290" s="29"/>
      <c r="AQ290" s="29" t="str">
        <f t="shared" ref="AQ290:BL290" si="293">T290/T$2</f>
        <v>#N/A</v>
      </c>
      <c r="AR290" s="29" t="str">
        <f t="shared" si="293"/>
        <v>#DIV/0!</v>
      </c>
      <c r="AS290" s="29" t="str">
        <f t="shared" si="293"/>
        <v>#DIV/0!</v>
      </c>
      <c r="AT290" s="29" t="str">
        <f t="shared" si="293"/>
        <v>#DIV/0!</v>
      </c>
      <c r="AU290" s="29" t="str">
        <f t="shared" si="293"/>
        <v>#DIV/0!</v>
      </c>
      <c r="AV290" s="29" t="str">
        <f t="shared" si="293"/>
        <v>#DIV/0!</v>
      </c>
      <c r="AW290" s="29" t="str">
        <f t="shared" si="293"/>
        <v>#DIV/0!</v>
      </c>
      <c r="AX290" s="29" t="str">
        <f t="shared" si="293"/>
        <v>#DIV/0!</v>
      </c>
      <c r="AY290" s="29" t="str">
        <f t="shared" si="293"/>
        <v>#DIV/0!</v>
      </c>
      <c r="AZ290" s="29" t="str">
        <f t="shared" si="293"/>
        <v>#DIV/0!</v>
      </c>
      <c r="BA290" s="29" t="str">
        <f t="shared" si="293"/>
        <v>#DIV/0!</v>
      </c>
      <c r="BB290" s="29" t="str">
        <f t="shared" si="293"/>
        <v>#DIV/0!</v>
      </c>
      <c r="BC290" s="29" t="str">
        <f t="shared" si="293"/>
        <v>#DIV/0!</v>
      </c>
      <c r="BD290" s="29" t="str">
        <f t="shared" si="293"/>
        <v>#DIV/0!</v>
      </c>
      <c r="BE290" s="29" t="str">
        <f t="shared" si="293"/>
        <v>#DIV/0!</v>
      </c>
      <c r="BF290" s="29" t="str">
        <f t="shared" si="293"/>
        <v>#DIV/0!</v>
      </c>
      <c r="BG290" s="29" t="str">
        <f t="shared" si="293"/>
        <v>#DIV/0!</v>
      </c>
      <c r="BH290" s="29" t="str">
        <f t="shared" si="293"/>
        <v>#DIV/0!</v>
      </c>
      <c r="BI290" s="29" t="str">
        <f t="shared" si="293"/>
        <v>#DIV/0!</v>
      </c>
      <c r="BJ290" s="29" t="str">
        <f t="shared" si="293"/>
        <v>#DIV/0!</v>
      </c>
      <c r="BK290" s="29" t="str">
        <f t="shared" si="293"/>
        <v>#DIV/0!</v>
      </c>
      <c r="BL290" s="29" t="str">
        <f t="shared" si="293"/>
        <v>#DIV/0!</v>
      </c>
      <c r="BM290" s="29" t="str">
        <f t="shared" si="3"/>
        <v>#DIV/0!</v>
      </c>
    </row>
    <row r="291">
      <c r="A291" s="16" t="str">
        <f>IFERROR(__xludf.DUMMYFUNCTION("IFERROR(SPARKLINE(SORT(MAP(TRANSPOSE(AQ291:BL291), LAMBDA(val, IF(ISNUMBER(val), PERCENTRANK(AQ291:BL291, val)+0.01, 0))), SEQUENCE(COLUMNS(AQ291:BL291)), FALSE), {""charttype"",""column""; ""color"",""chartreuse""; ""ymin"", 0; ""ymax"", 1.01; ""highcolo"&amp;"r"", ""darkgreen""; ""lowcolor"", ""red""}), """")"),"")</f>
        <v/>
      </c>
      <c r="B291" s="17" t="str">
        <f t="shared" si="4"/>
        <v/>
      </c>
      <c r="C291" s="1" t="s">
        <v>1197</v>
      </c>
      <c r="D291" s="30" t="str">
        <f>IFERROR(__xludf.DUMMYFUNCTION("IFERROR(GOOGLEFINANCE(C291, ""NAME""))"),"Boyd Gaming Corp")</f>
        <v>Boyd Gaming Corp</v>
      </c>
      <c r="E291" s="30" t="s">
        <v>354</v>
      </c>
      <c r="F291" s="33" t="str">
        <f>IFERROR(__xludf.DUMMYFUNCTION("( (GOOGLEFINANCE(C291, ""price"") - Q291) / Q291 ) / (R291 / 100)"),"Loading...")</f>
        <v>Loading...</v>
      </c>
      <c r="G291" s="20" t="str">
        <f>IFERROR(__xludf.DUMMYFUNCTION("AVERAGE(ARRAYFORMULA(100 * (QUERY(GOOGLEFINANCE(C291, ""high"", TODAY()-40, TODAY()), ""SELECT Col2 WHERE Col2 IS NOT NULL ORDER BY Col1 DESC LIMIT 20"", 0) / QUERY(GOOGLEFINANCE(C291, ""low"", TODAY()-40, TODAY()), ""SELECT Col2 WHERE Col2 IS NOT NULL OR"&amp;"DER BY Col1 DESC LIMIT 20"", 0) - 1)))"),"#N/A")</f>
        <v>#N/A</v>
      </c>
      <c r="H291" s="35" t="str">
        <f t="shared" si="6"/>
        <v/>
      </c>
      <c r="I291" s="35" t="str">
        <f t="shared" si="7"/>
        <v/>
      </c>
      <c r="J291" s="37" t="str">
        <f>IFERROR(__xludf.DUMMYFUNCTION("IFERROR(
  IF(C291="""",, 
    IFERROR(
      GOOGLEFINANCE(C291, ""price"") * GOOGLEFINANCE(C291, ""volumeavg""), 
      GOOGLEFINANCE(C291, ""price"") * AVERAGE(QUERY(GOOGLEFINANCE(C291, ""volume"", TODAY()-40, TODAY()), ""SELECT Col2 WHERE Col2 IS NOT "&amp;"NULL ORDER BY Col1 DESC LIMIT 20"", 0))
    )
  ), 
"""")"),"")</f>
        <v/>
      </c>
      <c r="K291" s="21" t="str">
        <f>IFERROR(__xludf.DUMMYFUNCTION("IFERROR(GOOGLEFINANCE(C291, ""changepct"") / 100, """")"),"")</f>
        <v/>
      </c>
      <c r="L291" s="21" t="str">
        <f>IFERROR(__xludf.DUMMYFUNCTION("IFERROR((GOOGLEFINANCE(C291, ""price"") / INDEX(GOOGLEFINANCE(C291, ""price"", TODAY()-7, TODAY()), 2, 2)) - 1, """")"),"")</f>
        <v/>
      </c>
      <c r="M291" s="21" t="str">
        <f>IFERROR(__xludf.DUMMYFUNCTION("IFERROR((GOOGLEFINANCE(C291, ""price"") / INDEX(GOOGLEFINANCE(C291, ""price"", EDATE(TODAY(), -1), TODAY()), 2, 2)) - 1, """")"),"")</f>
        <v/>
      </c>
      <c r="N291" s="21" t="str">
        <f>IFERROR(__xludf.DUMMYFUNCTION("IFERROR((GOOGLEFINANCE(C291, ""price"") / INDEX(GOOGLEFINANCE(C291, ""price"", EDATE(TODAY(), -3), TODAY()), 2, 2)) - 1, """")"),"")</f>
        <v/>
      </c>
      <c r="O291" s="21" t="str">
        <f>IFERROR(__xludf.DUMMYFUNCTION("IFERROR((GOOGLEFINANCE(C291, ""price"") / INDEX(GOOGLEFINANCE(C291, ""price"", EDATE(TODAY(), -6), TODAY()), 2, 2)) - 1, """")"),"")</f>
        <v/>
      </c>
      <c r="P291" s="21" t="str">
        <f>IFERROR(__xludf.DUMMYFUNCTION("IFERROR((GOOGLEFINANCE(C291, ""price"") / INDEX(GOOGLEFINANCE(C291, ""price"", EDATE(TODAY(), -12), TODAY()), 2, 2)) - 1, """")"),"")</f>
        <v/>
      </c>
      <c r="Q291" s="6" t="str">
        <f>IFERROR(__xludf.DUMMYFUNCTION("AVERAGE(QUERY(GOOGLEFINANCE(C291, ""price"", TODAY()-80, TODAY()), ""SELECT Col2 WHERE Col2 IS NOT NULL ORDER BY Col1 DESC LIMIT 50"", 0))"),"#N/A")</f>
        <v>#N/A</v>
      </c>
      <c r="R291" s="24" t="str">
        <f>IFERROR(__xludf.DUMMYFUNCTION("IFERROR(
  LET(
    data, QUERY(GOOGLEFINANCE(C291,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GOOGLEFINANCE(C291, ""price"")) * 100,
    IF(calc=0, G291, calc)
  ), 
G291)"),"#N/A")</f>
        <v>#N/A</v>
      </c>
      <c r="S291" s="8" t="s">
        <v>15</v>
      </c>
      <c r="T291" s="26" t="str">
        <f>IFERROR(__xludf.DUMMYFUNCTION("IFERROR(TRANSPOSE(QUERY(IFERROR(SORT(GOOGLEFINANCE(C291, ""price"", WORKDAY(TODAY(), -40), TODAY()), 1, FALSE)), ""select Col2 where Col2 is not null limit 22 label Col2 ''"", 0)), """")"),"")</f>
        <v/>
      </c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8"/>
      <c r="AO291" s="28"/>
      <c r="AP291" s="29"/>
      <c r="AQ291" s="29" t="str">
        <f t="shared" ref="AQ291:BL291" si="294">T291/T$2</f>
        <v>#N/A</v>
      </c>
      <c r="AR291" s="29" t="str">
        <f t="shared" si="294"/>
        <v>#DIV/0!</v>
      </c>
      <c r="AS291" s="29" t="str">
        <f t="shared" si="294"/>
        <v>#DIV/0!</v>
      </c>
      <c r="AT291" s="29" t="str">
        <f t="shared" si="294"/>
        <v>#DIV/0!</v>
      </c>
      <c r="AU291" s="29" t="str">
        <f t="shared" si="294"/>
        <v>#DIV/0!</v>
      </c>
      <c r="AV291" s="29" t="str">
        <f t="shared" si="294"/>
        <v>#DIV/0!</v>
      </c>
      <c r="AW291" s="29" t="str">
        <f t="shared" si="294"/>
        <v>#DIV/0!</v>
      </c>
      <c r="AX291" s="29" t="str">
        <f t="shared" si="294"/>
        <v>#DIV/0!</v>
      </c>
      <c r="AY291" s="29" t="str">
        <f t="shared" si="294"/>
        <v>#DIV/0!</v>
      </c>
      <c r="AZ291" s="29" t="str">
        <f t="shared" si="294"/>
        <v>#DIV/0!</v>
      </c>
      <c r="BA291" s="29" t="str">
        <f t="shared" si="294"/>
        <v>#DIV/0!</v>
      </c>
      <c r="BB291" s="29" t="str">
        <f t="shared" si="294"/>
        <v>#DIV/0!</v>
      </c>
      <c r="BC291" s="29" t="str">
        <f t="shared" si="294"/>
        <v>#DIV/0!</v>
      </c>
      <c r="BD291" s="29" t="str">
        <f t="shared" si="294"/>
        <v>#DIV/0!</v>
      </c>
      <c r="BE291" s="29" t="str">
        <f t="shared" si="294"/>
        <v>#DIV/0!</v>
      </c>
      <c r="BF291" s="29" t="str">
        <f t="shared" si="294"/>
        <v>#DIV/0!</v>
      </c>
      <c r="BG291" s="29" t="str">
        <f t="shared" si="294"/>
        <v>#DIV/0!</v>
      </c>
      <c r="BH291" s="29" t="str">
        <f t="shared" si="294"/>
        <v>#DIV/0!</v>
      </c>
      <c r="BI291" s="29" t="str">
        <f t="shared" si="294"/>
        <v>#DIV/0!</v>
      </c>
      <c r="BJ291" s="29" t="str">
        <f t="shared" si="294"/>
        <v>#DIV/0!</v>
      </c>
      <c r="BK291" s="29" t="str">
        <f t="shared" si="294"/>
        <v>#DIV/0!</v>
      </c>
      <c r="BL291" s="29" t="str">
        <f t="shared" si="294"/>
        <v>#DIV/0!</v>
      </c>
      <c r="BM291" s="29" t="str">
        <f t="shared" si="3"/>
        <v>#DIV/0!</v>
      </c>
    </row>
    <row r="292">
      <c r="A292" s="16" t="str">
        <f>IFERROR(__xludf.DUMMYFUNCTION("IFERROR(SPARKLINE(SORT(MAP(TRANSPOSE(AQ292:BL292), LAMBDA(val, IF(ISNUMBER(val), PERCENTRANK(AQ292:BL292, val)+0.01, 0))), SEQUENCE(COLUMNS(AQ292:BL292)), FALSE), {""charttype"",""column""; ""color"",""chartreuse""; ""ymin"", 0; ""ymax"", 1.01; ""highcolo"&amp;"r"", ""darkgreen""; ""lowcolor"", ""red""}), """")"),"")</f>
        <v/>
      </c>
      <c r="B292" s="17" t="str">
        <f t="shared" si="4"/>
        <v/>
      </c>
      <c r="C292" s="1" t="s">
        <v>1200</v>
      </c>
      <c r="D292" s="30" t="str">
        <f>IFERROR(__xludf.DUMMYFUNCTION("IFERROR(GOOGLEFINANCE(C292, ""NAME""))"),"D Market Elektronik Hztlr ve Tcrt AS-ADR")</f>
        <v>D Market Elektronik Hztlr ve Tcrt AS-ADR</v>
      </c>
      <c r="E292" s="30" t="s">
        <v>137</v>
      </c>
      <c r="F292" s="33" t="str">
        <f>IFERROR(__xludf.DUMMYFUNCTION("( (GOOGLEFINANCE(C292, ""price"") - Q292) / Q292 ) / (R292 / 100)"),"Loading...")</f>
        <v>Loading...</v>
      </c>
      <c r="G292" s="20" t="str">
        <f>IFERROR(__xludf.DUMMYFUNCTION("AVERAGE(ARRAYFORMULA(100 * (QUERY(GOOGLEFINANCE(C292, ""high"", TODAY()-40, TODAY()), ""SELECT Col2 WHERE Col2 IS NOT NULL ORDER BY Col1 DESC LIMIT 20"", 0) / QUERY(GOOGLEFINANCE(C292, ""low"", TODAY()-40, TODAY()), ""SELECT Col2 WHERE Col2 IS NOT NULL OR"&amp;"DER BY Col1 DESC LIMIT 20"", 0) - 1)))"),"#N/A")</f>
        <v>#N/A</v>
      </c>
      <c r="H292" s="35" t="str">
        <f t="shared" si="6"/>
        <v/>
      </c>
      <c r="I292" s="35" t="str">
        <f t="shared" si="7"/>
        <v/>
      </c>
      <c r="J292" s="37" t="str">
        <f>IFERROR(__xludf.DUMMYFUNCTION("IFERROR(
  IF(C292="""",, 
    IFERROR(
      GOOGLEFINANCE(C292, ""price"") * GOOGLEFINANCE(C292, ""volumeavg""), 
      GOOGLEFINANCE(C292, ""price"") * AVERAGE(QUERY(GOOGLEFINANCE(C292, ""volume"", TODAY()-40, TODAY()), ""SELECT Col2 WHERE Col2 IS NOT "&amp;"NULL ORDER BY Col1 DESC LIMIT 20"", 0))
    )
  ), 
"""")"),"")</f>
        <v/>
      </c>
      <c r="K292" s="21" t="str">
        <f>IFERROR(__xludf.DUMMYFUNCTION("IFERROR(GOOGLEFINANCE(C292, ""changepct"") / 100, """")"),"")</f>
        <v/>
      </c>
      <c r="L292" s="21" t="str">
        <f>IFERROR(__xludf.DUMMYFUNCTION("IFERROR((GOOGLEFINANCE(C292, ""price"") / INDEX(GOOGLEFINANCE(C292, ""price"", TODAY()-7, TODAY()), 2, 2)) - 1, """")"),"")</f>
        <v/>
      </c>
      <c r="M292" s="21" t="str">
        <f>IFERROR(__xludf.DUMMYFUNCTION("IFERROR((GOOGLEFINANCE(C292, ""price"") / INDEX(GOOGLEFINANCE(C292, ""price"", EDATE(TODAY(), -1), TODAY()), 2, 2)) - 1, """")"),"")</f>
        <v/>
      </c>
      <c r="N292" s="21" t="str">
        <f>IFERROR(__xludf.DUMMYFUNCTION("IFERROR((GOOGLEFINANCE(C292, ""price"") / INDEX(GOOGLEFINANCE(C292, ""price"", EDATE(TODAY(), -3), TODAY()), 2, 2)) - 1, """")"),"")</f>
        <v/>
      </c>
      <c r="O292" s="21" t="str">
        <f>IFERROR(__xludf.DUMMYFUNCTION("IFERROR((GOOGLEFINANCE(C292, ""price"") / INDEX(GOOGLEFINANCE(C292, ""price"", EDATE(TODAY(), -6), TODAY()), 2, 2)) - 1, """")"),"")</f>
        <v/>
      </c>
      <c r="P292" s="21" t="str">
        <f>IFERROR(__xludf.DUMMYFUNCTION("IFERROR((GOOGLEFINANCE(C292, ""price"") / INDEX(GOOGLEFINANCE(C292, ""price"", EDATE(TODAY(), -12), TODAY()), 2, 2)) - 1, """")"),"")</f>
        <v/>
      </c>
      <c r="Q292" s="6" t="str">
        <f>IFERROR(__xludf.DUMMYFUNCTION("AVERAGE(QUERY(GOOGLEFINANCE(C292, ""price"", TODAY()-80, TODAY()), ""SELECT Col2 WHERE Col2 IS NOT NULL ORDER BY Col1 DESC LIMIT 50"", 0))"),"#N/A")</f>
        <v>#N/A</v>
      </c>
      <c r="R292" s="24" t="str">
        <f>IFERROR(__xludf.DUMMYFUNCTION("IFERROR(
  LET(
    data, QUERY(GOOGLEFINANCE(C292,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GOOGLEFINANCE(C292, ""price"")) * 100,
    IF(calc=0, G292, calc)
  ), 
G292)"),"#N/A")</f>
        <v>#N/A</v>
      </c>
      <c r="S292" s="8" t="s">
        <v>15</v>
      </c>
      <c r="T292" s="26" t="str">
        <f>IFERROR(__xludf.DUMMYFUNCTION("IFERROR(TRANSPOSE(QUERY(IFERROR(SORT(GOOGLEFINANCE(C292, ""price"", WORKDAY(TODAY(), -40), TODAY()), 1, FALSE)), ""select Col2 where Col2 is not null limit 22 label Col2 ''"", 0)), """")"),"")</f>
        <v/>
      </c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8"/>
      <c r="AO292" s="28"/>
      <c r="AP292" s="29"/>
      <c r="AQ292" s="29" t="str">
        <f t="shared" ref="AQ292:BL292" si="295">T292/T$2</f>
        <v>#N/A</v>
      </c>
      <c r="AR292" s="29" t="str">
        <f t="shared" si="295"/>
        <v>#DIV/0!</v>
      </c>
      <c r="AS292" s="29" t="str">
        <f t="shared" si="295"/>
        <v>#DIV/0!</v>
      </c>
      <c r="AT292" s="29" t="str">
        <f t="shared" si="295"/>
        <v>#DIV/0!</v>
      </c>
      <c r="AU292" s="29" t="str">
        <f t="shared" si="295"/>
        <v>#DIV/0!</v>
      </c>
      <c r="AV292" s="29" t="str">
        <f t="shared" si="295"/>
        <v>#DIV/0!</v>
      </c>
      <c r="AW292" s="29" t="str">
        <f t="shared" si="295"/>
        <v>#DIV/0!</v>
      </c>
      <c r="AX292" s="29" t="str">
        <f t="shared" si="295"/>
        <v>#DIV/0!</v>
      </c>
      <c r="AY292" s="29" t="str">
        <f t="shared" si="295"/>
        <v>#DIV/0!</v>
      </c>
      <c r="AZ292" s="29" t="str">
        <f t="shared" si="295"/>
        <v>#DIV/0!</v>
      </c>
      <c r="BA292" s="29" t="str">
        <f t="shared" si="295"/>
        <v>#DIV/0!</v>
      </c>
      <c r="BB292" s="29" t="str">
        <f t="shared" si="295"/>
        <v>#DIV/0!</v>
      </c>
      <c r="BC292" s="29" t="str">
        <f t="shared" si="295"/>
        <v>#DIV/0!</v>
      </c>
      <c r="BD292" s="29" t="str">
        <f t="shared" si="295"/>
        <v>#DIV/0!</v>
      </c>
      <c r="BE292" s="29" t="str">
        <f t="shared" si="295"/>
        <v>#DIV/0!</v>
      </c>
      <c r="BF292" s="29" t="str">
        <f t="shared" si="295"/>
        <v>#DIV/0!</v>
      </c>
      <c r="BG292" s="29" t="str">
        <f t="shared" si="295"/>
        <v>#DIV/0!</v>
      </c>
      <c r="BH292" s="29" t="str">
        <f t="shared" si="295"/>
        <v>#DIV/0!</v>
      </c>
      <c r="BI292" s="29" t="str">
        <f t="shared" si="295"/>
        <v>#DIV/0!</v>
      </c>
      <c r="BJ292" s="29" t="str">
        <f t="shared" si="295"/>
        <v>#DIV/0!</v>
      </c>
      <c r="BK292" s="29" t="str">
        <f t="shared" si="295"/>
        <v>#DIV/0!</v>
      </c>
      <c r="BL292" s="29" t="str">
        <f t="shared" si="295"/>
        <v>#DIV/0!</v>
      </c>
      <c r="BM292" s="29" t="str">
        <f t="shared" si="3"/>
        <v>#DIV/0!</v>
      </c>
    </row>
    <row r="293">
      <c r="A293" s="16" t="str">
        <f>IFERROR(__xludf.DUMMYFUNCTION("IFERROR(SPARKLINE(SORT(MAP(TRANSPOSE(AQ293:BL293), LAMBDA(val, IF(ISNUMBER(val), PERCENTRANK(AQ293:BL293, val)+0.01, 0))), SEQUENCE(COLUMNS(AQ293:BL293)), FALSE), {""charttype"",""column""; ""color"",""chartreuse""; ""ymin"", 0; ""ymax"", 1.01; ""highcolo"&amp;"r"", ""darkgreen""; ""lowcolor"", ""red""}), """")"),"")</f>
        <v/>
      </c>
      <c r="B293" s="17" t="str">
        <f t="shared" si="4"/>
        <v/>
      </c>
      <c r="C293" s="1" t="s">
        <v>1203</v>
      </c>
      <c r="D293" s="30" t="str">
        <f>IFERROR(__xludf.DUMMYFUNCTION("IFERROR(GOOGLEFINANCE(C293, ""NAME""))"),"Caesars Entertainment Inc")</f>
        <v>Caesars Entertainment Inc</v>
      </c>
      <c r="E293" s="30" t="s">
        <v>354</v>
      </c>
      <c r="F293" s="33" t="str">
        <f>IFERROR(__xludf.DUMMYFUNCTION("( (GOOGLEFINANCE(C293, ""price"") - Q293) / Q293 ) / (R293 / 100)"),"Loading...")</f>
        <v>Loading...</v>
      </c>
      <c r="G293" s="20" t="str">
        <f>IFERROR(__xludf.DUMMYFUNCTION("AVERAGE(ARRAYFORMULA(100 * (QUERY(GOOGLEFINANCE(C293, ""high"", TODAY()-40, TODAY()), ""SELECT Col2 WHERE Col2 IS NOT NULL ORDER BY Col1 DESC LIMIT 20"", 0) / QUERY(GOOGLEFINANCE(C293, ""low"", TODAY()-40, TODAY()), ""SELECT Col2 WHERE Col2 IS NOT NULL OR"&amp;"DER BY Col1 DESC LIMIT 20"", 0) - 1)))"),"#N/A")</f>
        <v>#N/A</v>
      </c>
      <c r="H293" s="35" t="str">
        <f t="shared" si="6"/>
        <v/>
      </c>
      <c r="I293" s="35" t="str">
        <f t="shared" si="7"/>
        <v/>
      </c>
      <c r="J293" s="37" t="str">
        <f>IFERROR(__xludf.DUMMYFUNCTION("IFERROR(
  IF(C293="""",, 
    IFERROR(
      GOOGLEFINANCE(C293, ""price"") * GOOGLEFINANCE(C293, ""volumeavg""), 
      GOOGLEFINANCE(C293, ""price"") * AVERAGE(QUERY(GOOGLEFINANCE(C293, ""volume"", TODAY()-40, TODAY()), ""SELECT Col2 WHERE Col2 IS NOT "&amp;"NULL ORDER BY Col1 DESC LIMIT 20"", 0))
    )
  ), 
"""")"),"")</f>
        <v/>
      </c>
      <c r="K293" s="21" t="str">
        <f>IFERROR(__xludf.DUMMYFUNCTION("IFERROR(GOOGLEFINANCE(C293, ""changepct"") / 100, """")"),"")</f>
        <v/>
      </c>
      <c r="L293" s="21" t="str">
        <f>IFERROR(__xludf.DUMMYFUNCTION("IFERROR((GOOGLEFINANCE(C293, ""price"") / INDEX(GOOGLEFINANCE(C293, ""price"", TODAY()-7, TODAY()), 2, 2)) - 1, """")"),"")</f>
        <v/>
      </c>
      <c r="M293" s="21" t="str">
        <f>IFERROR(__xludf.DUMMYFUNCTION("IFERROR((GOOGLEFINANCE(C293, ""price"") / INDEX(GOOGLEFINANCE(C293, ""price"", EDATE(TODAY(), -1), TODAY()), 2, 2)) - 1, """")"),"")</f>
        <v/>
      </c>
      <c r="N293" s="21" t="str">
        <f>IFERROR(__xludf.DUMMYFUNCTION("IFERROR((GOOGLEFINANCE(C293, ""price"") / INDEX(GOOGLEFINANCE(C293, ""price"", EDATE(TODAY(), -3), TODAY()), 2, 2)) - 1, """")"),"")</f>
        <v/>
      </c>
      <c r="O293" s="21" t="str">
        <f>IFERROR(__xludf.DUMMYFUNCTION("IFERROR((GOOGLEFINANCE(C293, ""price"") / INDEX(GOOGLEFINANCE(C293, ""price"", EDATE(TODAY(), -6), TODAY()), 2, 2)) - 1, """")"),"")</f>
        <v/>
      </c>
      <c r="P293" s="21" t="str">
        <f>IFERROR(__xludf.DUMMYFUNCTION("IFERROR((GOOGLEFINANCE(C293, ""price"") / INDEX(GOOGLEFINANCE(C293, ""price"", EDATE(TODAY(), -12), TODAY()), 2, 2)) - 1, """")"),"")</f>
        <v/>
      </c>
      <c r="Q293" s="6" t="str">
        <f>IFERROR(__xludf.DUMMYFUNCTION("AVERAGE(QUERY(GOOGLEFINANCE(C293, ""price"", TODAY()-80, TODAY()), ""SELECT Col2 WHERE Col2 IS NOT NULL ORDER BY Col1 DESC LIMIT 50"", 0))"),"#N/A")</f>
        <v>#N/A</v>
      </c>
      <c r="R293" s="24" t="str">
        <f>IFERROR(__xludf.DUMMYFUNCTION("IFERROR(
  LET(
    data, QUERY(GOOGLEFINANCE(C293,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GOOGLEFINANCE(C293, ""price"")) * 100,
    IF(calc=0, G293, calc)
  ), 
G293)"),"#N/A")</f>
        <v>#N/A</v>
      </c>
      <c r="S293" s="8" t="s">
        <v>15</v>
      </c>
      <c r="T293" s="26" t="str">
        <f>IFERROR(__xludf.DUMMYFUNCTION("IFERROR(TRANSPOSE(QUERY(IFERROR(SORT(GOOGLEFINANCE(C293, ""price"", WORKDAY(TODAY(), -40), TODAY()), 1, FALSE)), ""select Col2 where Col2 is not null limit 22 label Col2 ''"", 0)), """")"),"")</f>
        <v/>
      </c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8"/>
      <c r="AO293" s="28"/>
      <c r="AP293" s="29"/>
      <c r="AQ293" s="29" t="str">
        <f t="shared" ref="AQ293:BL293" si="296">T293/T$2</f>
        <v>#N/A</v>
      </c>
      <c r="AR293" s="29" t="str">
        <f t="shared" si="296"/>
        <v>#DIV/0!</v>
      </c>
      <c r="AS293" s="29" t="str">
        <f t="shared" si="296"/>
        <v>#DIV/0!</v>
      </c>
      <c r="AT293" s="29" t="str">
        <f t="shared" si="296"/>
        <v>#DIV/0!</v>
      </c>
      <c r="AU293" s="29" t="str">
        <f t="shared" si="296"/>
        <v>#DIV/0!</v>
      </c>
      <c r="AV293" s="29" t="str">
        <f t="shared" si="296"/>
        <v>#DIV/0!</v>
      </c>
      <c r="AW293" s="29" t="str">
        <f t="shared" si="296"/>
        <v>#DIV/0!</v>
      </c>
      <c r="AX293" s="29" t="str">
        <f t="shared" si="296"/>
        <v>#DIV/0!</v>
      </c>
      <c r="AY293" s="29" t="str">
        <f t="shared" si="296"/>
        <v>#DIV/0!</v>
      </c>
      <c r="AZ293" s="29" t="str">
        <f t="shared" si="296"/>
        <v>#DIV/0!</v>
      </c>
      <c r="BA293" s="29" t="str">
        <f t="shared" si="296"/>
        <v>#DIV/0!</v>
      </c>
      <c r="BB293" s="29" t="str">
        <f t="shared" si="296"/>
        <v>#DIV/0!</v>
      </c>
      <c r="BC293" s="29" t="str">
        <f t="shared" si="296"/>
        <v>#DIV/0!</v>
      </c>
      <c r="BD293" s="29" t="str">
        <f t="shared" si="296"/>
        <v>#DIV/0!</v>
      </c>
      <c r="BE293" s="29" t="str">
        <f t="shared" si="296"/>
        <v>#DIV/0!</v>
      </c>
      <c r="BF293" s="29" t="str">
        <f t="shared" si="296"/>
        <v>#DIV/0!</v>
      </c>
      <c r="BG293" s="29" t="str">
        <f t="shared" si="296"/>
        <v>#DIV/0!</v>
      </c>
      <c r="BH293" s="29" t="str">
        <f t="shared" si="296"/>
        <v>#DIV/0!</v>
      </c>
      <c r="BI293" s="29" t="str">
        <f t="shared" si="296"/>
        <v>#DIV/0!</v>
      </c>
      <c r="BJ293" s="29" t="str">
        <f t="shared" si="296"/>
        <v>#DIV/0!</v>
      </c>
      <c r="BK293" s="29" t="str">
        <f t="shared" si="296"/>
        <v>#DIV/0!</v>
      </c>
      <c r="BL293" s="29" t="str">
        <f t="shared" si="296"/>
        <v>#DIV/0!</v>
      </c>
      <c r="BM293" s="29" t="str">
        <f t="shared" si="3"/>
        <v>#DIV/0!</v>
      </c>
    </row>
    <row r="294">
      <c r="A294" s="16" t="str">
        <f>IFERROR(__xludf.DUMMYFUNCTION("IFERROR(SPARKLINE(SORT(MAP(TRANSPOSE(AQ294:BL294), LAMBDA(val, IF(ISNUMBER(val), PERCENTRANK(AQ294:BL294, val)+0.01, 0))), SEQUENCE(COLUMNS(AQ294:BL294)), FALSE), {""charttype"",""column""; ""color"",""chartreuse""; ""ymin"", 0; ""ymax"", 1.01; ""highcolo"&amp;"r"", ""darkgreen""; ""lowcolor"", ""red""}), """")"),"")</f>
        <v/>
      </c>
      <c r="B294" s="17" t="str">
        <f t="shared" si="4"/>
        <v/>
      </c>
      <c r="C294" s="1" t="s">
        <v>1209</v>
      </c>
      <c r="D294" s="30" t="str">
        <f>IFERROR(__xludf.DUMMYFUNCTION("IFERROR(GOOGLEFINANCE(C294, ""NAME""))"),"PDD Holdings Inc - ADR")</f>
        <v>PDD Holdings Inc - ADR</v>
      </c>
      <c r="E294" s="30" t="s">
        <v>137</v>
      </c>
      <c r="F294" s="33" t="str">
        <f>IFERROR(__xludf.DUMMYFUNCTION("( (GOOGLEFINANCE(C294, ""price"") - Q294) / Q294 ) / (R294 / 100)"),"Loading...")</f>
        <v>Loading...</v>
      </c>
      <c r="G294" s="20" t="str">
        <f>IFERROR(__xludf.DUMMYFUNCTION("AVERAGE(ARRAYFORMULA(100 * (QUERY(GOOGLEFINANCE(C294, ""high"", TODAY()-40, TODAY()), ""SELECT Col2 WHERE Col2 IS NOT NULL ORDER BY Col1 DESC LIMIT 20"", 0) / QUERY(GOOGLEFINANCE(C294, ""low"", TODAY()-40, TODAY()), ""SELECT Col2 WHERE Col2 IS NOT NULL OR"&amp;"DER BY Col1 DESC LIMIT 20"", 0) - 1)))"),"#N/A")</f>
        <v>#N/A</v>
      </c>
      <c r="H294" s="35" t="str">
        <f t="shared" si="6"/>
        <v/>
      </c>
      <c r="I294" s="35" t="str">
        <f t="shared" si="7"/>
        <v/>
      </c>
      <c r="J294" s="37" t="str">
        <f>IFERROR(__xludf.DUMMYFUNCTION("IFERROR(
  IF(C294="""",, 
    IFERROR(
      GOOGLEFINANCE(C294, ""price"") * GOOGLEFINANCE(C294, ""volumeavg""), 
      GOOGLEFINANCE(C294, ""price"") * AVERAGE(QUERY(GOOGLEFINANCE(C294, ""volume"", TODAY()-40, TODAY()), ""SELECT Col2 WHERE Col2 IS NOT "&amp;"NULL ORDER BY Col1 DESC LIMIT 20"", 0))
    )
  ), 
"""")"),"")</f>
        <v/>
      </c>
      <c r="K294" s="21" t="str">
        <f>IFERROR(__xludf.DUMMYFUNCTION("IFERROR(GOOGLEFINANCE(C294, ""changepct"") / 100, """")"),"")</f>
        <v/>
      </c>
      <c r="L294" s="21" t="str">
        <f>IFERROR(__xludf.DUMMYFUNCTION("IFERROR((GOOGLEFINANCE(C294, ""price"") / INDEX(GOOGLEFINANCE(C294, ""price"", TODAY()-7, TODAY()), 2, 2)) - 1, """")"),"")</f>
        <v/>
      </c>
      <c r="M294" s="21" t="str">
        <f>IFERROR(__xludf.DUMMYFUNCTION("IFERROR((GOOGLEFINANCE(C294, ""price"") / INDEX(GOOGLEFINANCE(C294, ""price"", EDATE(TODAY(), -1), TODAY()), 2, 2)) - 1, """")"),"")</f>
        <v/>
      </c>
      <c r="N294" s="21" t="str">
        <f>IFERROR(__xludf.DUMMYFUNCTION("IFERROR((GOOGLEFINANCE(C294, ""price"") / INDEX(GOOGLEFINANCE(C294, ""price"", EDATE(TODAY(), -3), TODAY()), 2, 2)) - 1, """")"),"")</f>
        <v/>
      </c>
      <c r="O294" s="21" t="str">
        <f>IFERROR(__xludf.DUMMYFUNCTION("IFERROR((GOOGLEFINANCE(C294, ""price"") / INDEX(GOOGLEFINANCE(C294, ""price"", EDATE(TODAY(), -6), TODAY()), 2, 2)) - 1, """")"),"")</f>
        <v/>
      </c>
      <c r="P294" s="21" t="str">
        <f>IFERROR(__xludf.DUMMYFUNCTION("IFERROR((GOOGLEFINANCE(C294, ""price"") / INDEX(GOOGLEFINANCE(C294, ""price"", EDATE(TODAY(), -12), TODAY()), 2, 2)) - 1, """")"),"")</f>
        <v/>
      </c>
      <c r="Q294" s="6" t="str">
        <f>IFERROR(__xludf.DUMMYFUNCTION("AVERAGE(QUERY(GOOGLEFINANCE(C294, ""price"", TODAY()-80, TODAY()), ""SELECT Col2 WHERE Col2 IS NOT NULL ORDER BY Col1 DESC LIMIT 50"", 0))"),"#N/A")</f>
        <v>#N/A</v>
      </c>
      <c r="R294" s="24" t="str">
        <f>IFERROR(__xludf.DUMMYFUNCTION("IFERROR(
  LET(
    data, QUERY(GOOGLEFINANCE(C294,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GOOGLEFINANCE(C294, ""price"")) * 100,
    IF(calc=0, G294, calc)
  ), 
G294)"),"#N/A")</f>
        <v>#N/A</v>
      </c>
      <c r="S294" s="8" t="s">
        <v>15</v>
      </c>
      <c r="T294" s="26" t="str">
        <f>IFERROR(__xludf.DUMMYFUNCTION("IFERROR(TRANSPOSE(QUERY(IFERROR(SORT(GOOGLEFINANCE(C294, ""price"", WORKDAY(TODAY(), -40), TODAY()), 1, FALSE)), ""select Col2 where Col2 is not null limit 22 label Col2 ''"", 0)), """")"),"")</f>
        <v/>
      </c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8"/>
      <c r="AO294" s="28"/>
      <c r="AP294" s="29"/>
      <c r="AQ294" s="29" t="str">
        <f t="shared" ref="AQ294:BL294" si="297">T294/T$2</f>
        <v>#N/A</v>
      </c>
      <c r="AR294" s="29" t="str">
        <f t="shared" si="297"/>
        <v>#DIV/0!</v>
      </c>
      <c r="AS294" s="29" t="str">
        <f t="shared" si="297"/>
        <v>#DIV/0!</v>
      </c>
      <c r="AT294" s="29" t="str">
        <f t="shared" si="297"/>
        <v>#DIV/0!</v>
      </c>
      <c r="AU294" s="29" t="str">
        <f t="shared" si="297"/>
        <v>#DIV/0!</v>
      </c>
      <c r="AV294" s="29" t="str">
        <f t="shared" si="297"/>
        <v>#DIV/0!</v>
      </c>
      <c r="AW294" s="29" t="str">
        <f t="shared" si="297"/>
        <v>#DIV/0!</v>
      </c>
      <c r="AX294" s="29" t="str">
        <f t="shared" si="297"/>
        <v>#DIV/0!</v>
      </c>
      <c r="AY294" s="29" t="str">
        <f t="shared" si="297"/>
        <v>#DIV/0!</v>
      </c>
      <c r="AZ294" s="29" t="str">
        <f t="shared" si="297"/>
        <v>#DIV/0!</v>
      </c>
      <c r="BA294" s="29" t="str">
        <f t="shared" si="297"/>
        <v>#DIV/0!</v>
      </c>
      <c r="BB294" s="29" t="str">
        <f t="shared" si="297"/>
        <v>#DIV/0!</v>
      </c>
      <c r="BC294" s="29" t="str">
        <f t="shared" si="297"/>
        <v>#DIV/0!</v>
      </c>
      <c r="BD294" s="29" t="str">
        <f t="shared" si="297"/>
        <v>#DIV/0!</v>
      </c>
      <c r="BE294" s="29" t="str">
        <f t="shared" si="297"/>
        <v>#DIV/0!</v>
      </c>
      <c r="BF294" s="29" t="str">
        <f t="shared" si="297"/>
        <v>#DIV/0!</v>
      </c>
      <c r="BG294" s="29" t="str">
        <f t="shared" si="297"/>
        <v>#DIV/0!</v>
      </c>
      <c r="BH294" s="29" t="str">
        <f t="shared" si="297"/>
        <v>#DIV/0!</v>
      </c>
      <c r="BI294" s="29" t="str">
        <f t="shared" si="297"/>
        <v>#DIV/0!</v>
      </c>
      <c r="BJ294" s="29" t="str">
        <f t="shared" si="297"/>
        <v>#DIV/0!</v>
      </c>
      <c r="BK294" s="29" t="str">
        <f t="shared" si="297"/>
        <v>#DIV/0!</v>
      </c>
      <c r="BL294" s="29" t="str">
        <f t="shared" si="297"/>
        <v>#DIV/0!</v>
      </c>
      <c r="BM294" s="29" t="str">
        <f t="shared" si="3"/>
        <v>#DIV/0!</v>
      </c>
    </row>
    <row r="295">
      <c r="A295" s="16" t="str">
        <f>IFERROR(__xludf.DUMMYFUNCTION("IFERROR(SPARKLINE(SORT(MAP(TRANSPOSE(AQ295:BL295), LAMBDA(val, IF(ISNUMBER(val), PERCENTRANK(AQ295:BL295, val)+0.01, 0))), SEQUENCE(COLUMNS(AQ295:BL295)), FALSE), {""charttype"",""column""; ""color"",""chartreuse""; ""ymin"", 0; ""ymax"", 1.01; ""highcolo"&amp;"r"", ""darkgreen""; ""lowcolor"", ""red""}), """")"),"")</f>
        <v/>
      </c>
      <c r="B295" s="17" t="str">
        <f t="shared" si="4"/>
        <v/>
      </c>
      <c r="C295" s="1" t="s">
        <v>1212</v>
      </c>
      <c r="D295" s="30" t="str">
        <f>IFERROR(__xludf.DUMMYFUNCTION("IFERROR(GOOGLEFINANCE(C295, ""NAME""))"),"Ralph Lauren Corp")</f>
        <v>Ralph Lauren Corp</v>
      </c>
      <c r="E295" s="30" t="s">
        <v>317</v>
      </c>
      <c r="F295" s="33" t="str">
        <f>IFERROR(__xludf.DUMMYFUNCTION("( (GOOGLEFINANCE(C295, ""price"") - Q295) / Q295 ) / (R295 / 100)"),"Loading...")</f>
        <v>Loading...</v>
      </c>
      <c r="G295" s="20" t="str">
        <f>IFERROR(__xludf.DUMMYFUNCTION("AVERAGE(ARRAYFORMULA(100 * (QUERY(GOOGLEFINANCE(C295, ""high"", TODAY()-40, TODAY()), ""SELECT Col2 WHERE Col2 IS NOT NULL ORDER BY Col1 DESC LIMIT 20"", 0) / QUERY(GOOGLEFINANCE(C295, ""low"", TODAY()-40, TODAY()), ""SELECT Col2 WHERE Col2 IS NOT NULL OR"&amp;"DER BY Col1 DESC LIMIT 20"", 0) - 1)))"),"#N/A")</f>
        <v>#N/A</v>
      </c>
      <c r="H295" s="35" t="str">
        <f t="shared" si="6"/>
        <v/>
      </c>
      <c r="I295" s="35" t="str">
        <f t="shared" si="7"/>
        <v/>
      </c>
      <c r="J295" s="37" t="str">
        <f>IFERROR(__xludf.DUMMYFUNCTION("IFERROR(
  IF(C295="""",, 
    IFERROR(
      GOOGLEFINANCE(C295, ""price"") * GOOGLEFINANCE(C295, ""volumeavg""), 
      GOOGLEFINANCE(C295, ""price"") * AVERAGE(QUERY(GOOGLEFINANCE(C295, ""volume"", TODAY()-40, TODAY()), ""SELECT Col2 WHERE Col2 IS NOT "&amp;"NULL ORDER BY Col1 DESC LIMIT 20"", 0))
    )
  ), 
"""")"),"")</f>
        <v/>
      </c>
      <c r="K295" s="21" t="str">
        <f>IFERROR(__xludf.DUMMYFUNCTION("IFERROR(GOOGLEFINANCE(C295, ""changepct"") / 100, """")"),"")</f>
        <v/>
      </c>
      <c r="L295" s="21" t="str">
        <f>IFERROR(__xludf.DUMMYFUNCTION("IFERROR((GOOGLEFINANCE(C295, ""price"") / INDEX(GOOGLEFINANCE(C295, ""price"", TODAY()-7, TODAY()), 2, 2)) - 1, """")"),"")</f>
        <v/>
      </c>
      <c r="M295" s="21" t="str">
        <f>IFERROR(__xludf.DUMMYFUNCTION("IFERROR((GOOGLEFINANCE(C295, ""price"") / INDEX(GOOGLEFINANCE(C295, ""price"", EDATE(TODAY(), -1), TODAY()), 2, 2)) - 1, """")"),"")</f>
        <v/>
      </c>
      <c r="N295" s="21" t="str">
        <f>IFERROR(__xludf.DUMMYFUNCTION("IFERROR((GOOGLEFINANCE(C295, ""price"") / INDEX(GOOGLEFINANCE(C295, ""price"", EDATE(TODAY(), -3), TODAY()), 2, 2)) - 1, """")"),"")</f>
        <v/>
      </c>
      <c r="O295" s="21" t="str">
        <f>IFERROR(__xludf.DUMMYFUNCTION("IFERROR((GOOGLEFINANCE(C295, ""price"") / INDEX(GOOGLEFINANCE(C295, ""price"", EDATE(TODAY(), -6), TODAY()), 2, 2)) - 1, """")"),"")</f>
        <v/>
      </c>
      <c r="P295" s="21" t="str">
        <f>IFERROR(__xludf.DUMMYFUNCTION("IFERROR((GOOGLEFINANCE(C295, ""price"") / INDEX(GOOGLEFINANCE(C295, ""price"", EDATE(TODAY(), -12), TODAY()), 2, 2)) - 1, """")"),"")</f>
        <v/>
      </c>
      <c r="Q295" s="6" t="str">
        <f>IFERROR(__xludf.DUMMYFUNCTION("AVERAGE(QUERY(GOOGLEFINANCE(C295, ""price"", TODAY()-80, TODAY()), ""SELECT Col2 WHERE Col2 IS NOT NULL ORDER BY Col1 DESC LIMIT 50"", 0))"),"#N/A")</f>
        <v>#N/A</v>
      </c>
      <c r="R295" s="24" t="str">
        <f>IFERROR(__xludf.DUMMYFUNCTION("IFERROR(
  LET(
    data, QUERY(GOOGLEFINANCE(C295,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GOOGLEFINANCE(C295, ""price"")) * 100,
    IF(calc=0, G295, calc)
  ), 
G295)"),"#N/A")</f>
        <v>#N/A</v>
      </c>
      <c r="S295" s="8" t="s">
        <v>15</v>
      </c>
      <c r="T295" s="26" t="str">
        <f>IFERROR(__xludf.DUMMYFUNCTION("IFERROR(TRANSPOSE(QUERY(IFERROR(SORT(GOOGLEFINANCE(C295, ""price"", WORKDAY(TODAY(), -40), TODAY()), 1, FALSE)), ""select Col2 where Col2 is not null limit 22 label Col2 ''"", 0)), """")"),"")</f>
        <v/>
      </c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8"/>
      <c r="AO295" s="28"/>
      <c r="AP295" s="29"/>
      <c r="AQ295" s="29" t="str">
        <f t="shared" ref="AQ295:BL295" si="298">T295/T$2</f>
        <v>#N/A</v>
      </c>
      <c r="AR295" s="29" t="str">
        <f t="shared" si="298"/>
        <v>#DIV/0!</v>
      </c>
      <c r="AS295" s="29" t="str">
        <f t="shared" si="298"/>
        <v>#DIV/0!</v>
      </c>
      <c r="AT295" s="29" t="str">
        <f t="shared" si="298"/>
        <v>#DIV/0!</v>
      </c>
      <c r="AU295" s="29" t="str">
        <f t="shared" si="298"/>
        <v>#DIV/0!</v>
      </c>
      <c r="AV295" s="29" t="str">
        <f t="shared" si="298"/>
        <v>#DIV/0!</v>
      </c>
      <c r="AW295" s="29" t="str">
        <f t="shared" si="298"/>
        <v>#DIV/0!</v>
      </c>
      <c r="AX295" s="29" t="str">
        <f t="shared" si="298"/>
        <v>#DIV/0!</v>
      </c>
      <c r="AY295" s="29" t="str">
        <f t="shared" si="298"/>
        <v>#DIV/0!</v>
      </c>
      <c r="AZ295" s="29" t="str">
        <f t="shared" si="298"/>
        <v>#DIV/0!</v>
      </c>
      <c r="BA295" s="29" t="str">
        <f t="shared" si="298"/>
        <v>#DIV/0!</v>
      </c>
      <c r="BB295" s="29" t="str">
        <f t="shared" si="298"/>
        <v>#DIV/0!</v>
      </c>
      <c r="BC295" s="29" t="str">
        <f t="shared" si="298"/>
        <v>#DIV/0!</v>
      </c>
      <c r="BD295" s="29" t="str">
        <f t="shared" si="298"/>
        <v>#DIV/0!</v>
      </c>
      <c r="BE295" s="29" t="str">
        <f t="shared" si="298"/>
        <v>#DIV/0!</v>
      </c>
      <c r="BF295" s="29" t="str">
        <f t="shared" si="298"/>
        <v>#DIV/0!</v>
      </c>
      <c r="BG295" s="29" t="str">
        <f t="shared" si="298"/>
        <v>#DIV/0!</v>
      </c>
      <c r="BH295" s="29" t="str">
        <f t="shared" si="298"/>
        <v>#DIV/0!</v>
      </c>
      <c r="BI295" s="29" t="str">
        <f t="shared" si="298"/>
        <v>#DIV/0!</v>
      </c>
      <c r="BJ295" s="29" t="str">
        <f t="shared" si="298"/>
        <v>#DIV/0!</v>
      </c>
      <c r="BK295" s="29" t="str">
        <f t="shared" si="298"/>
        <v>#DIV/0!</v>
      </c>
      <c r="BL295" s="29" t="str">
        <f t="shared" si="298"/>
        <v>#DIV/0!</v>
      </c>
      <c r="BM295" s="29" t="str">
        <f t="shared" si="3"/>
        <v>#DIV/0!</v>
      </c>
    </row>
    <row r="296">
      <c r="A296" s="16" t="str">
        <f>IFERROR(__xludf.DUMMYFUNCTION("IFERROR(SPARKLINE(SORT(MAP(TRANSPOSE(AQ296:BL296), LAMBDA(val, IF(ISNUMBER(val), PERCENTRANK(AQ296:BL296, val)+0.01, 0))), SEQUENCE(COLUMNS(AQ296:BL296)), FALSE), {""charttype"",""column""; ""color"",""chartreuse""; ""ymin"", 0; ""ymax"", 1.01; ""highcolo"&amp;"r"", ""darkgreen""; ""lowcolor"", ""red""}), """")"),"")</f>
        <v/>
      </c>
      <c r="B296" s="17" t="str">
        <f t="shared" si="4"/>
        <v/>
      </c>
      <c r="C296" s="1" t="s">
        <v>1215</v>
      </c>
      <c r="D296" s="30" t="str">
        <f>IFERROR(__xludf.DUMMYFUNCTION("IFERROR(GOOGLEFINANCE(C296, ""NAME""))"),"PVH Corp")</f>
        <v>PVH Corp</v>
      </c>
      <c r="E296" s="30" t="s">
        <v>317</v>
      </c>
      <c r="F296" s="38" t="str">
        <f>IFERROR(__xludf.DUMMYFUNCTION("( (GOOGLEFINANCE(C296, ""price"") - Q296) / Q296 ) / (R296 / 100)"),"Loading...")</f>
        <v>Loading...</v>
      </c>
      <c r="G296" s="20" t="str">
        <f>IFERROR(__xludf.DUMMYFUNCTION("AVERAGE(ARRAYFORMULA(100 * (QUERY(GOOGLEFINANCE(C296, ""high"", TODAY()-40, TODAY()), ""SELECT Col2 WHERE Col2 IS NOT NULL ORDER BY Col1 DESC LIMIT 20"", 0) / QUERY(GOOGLEFINANCE(C296, ""low"", TODAY()-40, TODAY()), ""SELECT Col2 WHERE Col2 IS NOT NULL OR"&amp;"DER BY Col1 DESC LIMIT 20"", 0) - 1)))"),"#N/A")</f>
        <v>#N/A</v>
      </c>
      <c r="H296" s="35" t="str">
        <f t="shared" si="6"/>
        <v/>
      </c>
      <c r="I296" s="35" t="str">
        <f t="shared" si="7"/>
        <v/>
      </c>
      <c r="J296" s="37" t="str">
        <f>IFERROR(__xludf.DUMMYFUNCTION("IFERROR(
  IF(C296="""",, 
    IFERROR(
      GOOGLEFINANCE(C296, ""price"") * GOOGLEFINANCE(C296, ""volumeavg""), 
      GOOGLEFINANCE(C296, ""price"") * AVERAGE(QUERY(GOOGLEFINANCE(C296, ""volume"", TODAY()-40, TODAY()), ""SELECT Col2 WHERE Col2 IS NOT "&amp;"NULL ORDER BY Col1 DESC LIMIT 20"", 0))
    )
  ), 
"""")"),"")</f>
        <v/>
      </c>
      <c r="K296" s="21" t="str">
        <f>IFERROR(__xludf.DUMMYFUNCTION("IFERROR(GOOGLEFINANCE(C296, ""changepct"") / 100, """")"),"")</f>
        <v/>
      </c>
      <c r="L296" s="21" t="str">
        <f>IFERROR(__xludf.DUMMYFUNCTION("IFERROR((GOOGLEFINANCE(C296, ""price"") / INDEX(GOOGLEFINANCE(C296, ""price"", TODAY()-7, TODAY()), 2, 2)) - 1, """")"),"")</f>
        <v/>
      </c>
      <c r="M296" s="21" t="str">
        <f>IFERROR(__xludf.DUMMYFUNCTION("IFERROR((GOOGLEFINANCE(C296, ""price"") / INDEX(GOOGLEFINANCE(C296, ""price"", EDATE(TODAY(), -1), TODAY()), 2, 2)) - 1, """")"),"")</f>
        <v/>
      </c>
      <c r="N296" s="21" t="str">
        <f>IFERROR(__xludf.DUMMYFUNCTION("IFERROR((GOOGLEFINANCE(C296, ""price"") / INDEX(GOOGLEFINANCE(C296, ""price"", EDATE(TODAY(), -3), TODAY()), 2, 2)) - 1, """")"),"")</f>
        <v/>
      </c>
      <c r="O296" s="21" t="str">
        <f>IFERROR(__xludf.DUMMYFUNCTION("IFERROR((GOOGLEFINANCE(C296, ""price"") / INDEX(GOOGLEFINANCE(C296, ""price"", EDATE(TODAY(), -6), TODAY()), 2, 2)) - 1, """")"),"")</f>
        <v/>
      </c>
      <c r="P296" s="21" t="str">
        <f>IFERROR(__xludf.DUMMYFUNCTION("IFERROR((GOOGLEFINANCE(C296, ""price"") / INDEX(GOOGLEFINANCE(C296, ""price"", EDATE(TODAY(), -12), TODAY()), 2, 2)) - 1, """")"),"")</f>
        <v/>
      </c>
      <c r="Q296" s="6" t="str">
        <f>IFERROR(__xludf.DUMMYFUNCTION("AVERAGE(QUERY(GOOGLEFINANCE(C296, ""price"", TODAY()-80, TODAY()), ""SELECT Col2 WHERE Col2 IS NOT NULL ORDER BY Col1 DESC LIMIT 50"", 0))"),"#N/A")</f>
        <v>#N/A</v>
      </c>
      <c r="R296" s="24" t="str">
        <f>IFERROR(__xludf.DUMMYFUNCTION("IFERROR(
  LET(
    data, QUERY(GOOGLEFINANCE(C296,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GOOGLEFINANCE(C296, ""price"")) * 100,
    IF(calc=0, G296, calc)
  ), 
G296)"),"#N/A")</f>
        <v>#N/A</v>
      </c>
      <c r="S296" s="8" t="s">
        <v>15</v>
      </c>
      <c r="T296" s="26" t="str">
        <f>IFERROR(__xludf.DUMMYFUNCTION("IFERROR(TRANSPOSE(QUERY(IFERROR(SORT(GOOGLEFINANCE(C296, ""price"", WORKDAY(TODAY(), -40), TODAY()), 1, FALSE)), ""select Col2 where Col2 is not null limit 22 label Col2 ''"", 0)), """")"),"")</f>
        <v/>
      </c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8"/>
      <c r="AO296" s="28"/>
      <c r="AP296" s="29"/>
      <c r="AQ296" s="29" t="str">
        <f t="shared" ref="AQ296:BL296" si="299">T296/T$2</f>
        <v>#N/A</v>
      </c>
      <c r="AR296" s="29" t="str">
        <f t="shared" si="299"/>
        <v>#DIV/0!</v>
      </c>
      <c r="AS296" s="29" t="str">
        <f t="shared" si="299"/>
        <v>#DIV/0!</v>
      </c>
      <c r="AT296" s="29" t="str">
        <f t="shared" si="299"/>
        <v>#DIV/0!</v>
      </c>
      <c r="AU296" s="29" t="str">
        <f t="shared" si="299"/>
        <v>#DIV/0!</v>
      </c>
      <c r="AV296" s="29" t="str">
        <f t="shared" si="299"/>
        <v>#DIV/0!</v>
      </c>
      <c r="AW296" s="29" t="str">
        <f t="shared" si="299"/>
        <v>#DIV/0!</v>
      </c>
      <c r="AX296" s="29" t="str">
        <f t="shared" si="299"/>
        <v>#DIV/0!</v>
      </c>
      <c r="AY296" s="29" t="str">
        <f t="shared" si="299"/>
        <v>#DIV/0!</v>
      </c>
      <c r="AZ296" s="29" t="str">
        <f t="shared" si="299"/>
        <v>#DIV/0!</v>
      </c>
      <c r="BA296" s="29" t="str">
        <f t="shared" si="299"/>
        <v>#DIV/0!</v>
      </c>
      <c r="BB296" s="29" t="str">
        <f t="shared" si="299"/>
        <v>#DIV/0!</v>
      </c>
      <c r="BC296" s="29" t="str">
        <f t="shared" si="299"/>
        <v>#DIV/0!</v>
      </c>
      <c r="BD296" s="29" t="str">
        <f t="shared" si="299"/>
        <v>#DIV/0!</v>
      </c>
      <c r="BE296" s="29" t="str">
        <f t="shared" si="299"/>
        <v>#DIV/0!</v>
      </c>
      <c r="BF296" s="29" t="str">
        <f t="shared" si="299"/>
        <v>#DIV/0!</v>
      </c>
      <c r="BG296" s="29" t="str">
        <f t="shared" si="299"/>
        <v>#DIV/0!</v>
      </c>
      <c r="BH296" s="29" t="str">
        <f t="shared" si="299"/>
        <v>#DIV/0!</v>
      </c>
      <c r="BI296" s="29" t="str">
        <f t="shared" si="299"/>
        <v>#DIV/0!</v>
      </c>
      <c r="BJ296" s="29" t="str">
        <f t="shared" si="299"/>
        <v>#DIV/0!</v>
      </c>
      <c r="BK296" s="29" t="str">
        <f t="shared" si="299"/>
        <v>#DIV/0!</v>
      </c>
      <c r="BL296" s="29" t="str">
        <f t="shared" si="299"/>
        <v>#DIV/0!</v>
      </c>
      <c r="BM296" s="29" t="str">
        <f t="shared" si="3"/>
        <v>#DIV/0!</v>
      </c>
    </row>
    <row r="297">
      <c r="A297" s="16" t="str">
        <f>IFERROR(__xludf.DUMMYFUNCTION("IFERROR(SPARKLINE(SORT(MAP(TRANSPOSE(AQ297:BL297), LAMBDA(val, IF(ISNUMBER(val), PERCENTRANK(AQ297:BL297, val)+0.01, 0))), SEQUENCE(COLUMNS(AQ297:BL297)), FALSE), {""charttype"",""column""; ""color"",""chartreuse""; ""ymin"", 0; ""ymax"", 1.01; ""highcolo"&amp;"r"", ""darkgreen""; ""lowcolor"", ""red""}), """")"),"")</f>
        <v/>
      </c>
      <c r="B297" s="17" t="str">
        <f t="shared" si="4"/>
        <v/>
      </c>
      <c r="C297" s="1" t="s">
        <v>1219</v>
      </c>
      <c r="D297" s="30" t="str">
        <f>IFERROR(__xludf.DUMMYFUNCTION("IFERROR(GOOGLEFINANCE(C297, ""NAME""))"),"")</f>
        <v/>
      </c>
      <c r="E297" s="30" t="s">
        <v>261</v>
      </c>
      <c r="F297" s="38" t="str">
        <f>IFERROR(__xludf.DUMMYFUNCTION("( (GOOGLEFINANCE(C297, ""price"") - Q297) / Q297 ) / (R297 / 100)"),"Loading...")</f>
        <v>Loading...</v>
      </c>
      <c r="G297" s="20" t="str">
        <f>IFERROR(__xludf.DUMMYFUNCTION("AVERAGE(ARRAYFORMULA(100 * (QUERY(GOOGLEFINANCE(C297, ""high"", TODAY()-40, TODAY()), ""SELECT Col2 WHERE Col2 IS NOT NULL ORDER BY Col1 DESC LIMIT 20"", 0) / QUERY(GOOGLEFINANCE(C297, ""low"", TODAY()-40, TODAY()), ""SELECT Col2 WHERE Col2 IS NOT NULL OR"&amp;"DER BY Col1 DESC LIMIT 20"", 0) - 1)))"),"#N/A")</f>
        <v>#N/A</v>
      </c>
      <c r="H297" s="35" t="str">
        <f t="shared" si="6"/>
        <v/>
      </c>
      <c r="I297" s="35" t="str">
        <f t="shared" si="7"/>
        <v/>
      </c>
      <c r="J297" s="37" t="str">
        <f>IFERROR(__xludf.DUMMYFUNCTION("IFERROR(
  IF(C297="""",, 
    IFERROR(
      GOOGLEFINANCE(C297, ""price"") * GOOGLEFINANCE(C297, ""volumeavg""), 
      GOOGLEFINANCE(C297, ""price"") * AVERAGE(QUERY(GOOGLEFINANCE(C297, ""volume"", TODAY()-40, TODAY()), ""SELECT Col2 WHERE Col2 IS NOT "&amp;"NULL ORDER BY Col1 DESC LIMIT 20"", 0))
    )
  ), 
"""")"),"")</f>
        <v/>
      </c>
      <c r="K297" s="21" t="str">
        <f>IFERROR(__xludf.DUMMYFUNCTION("IFERROR(GOOGLEFINANCE(C297, ""changepct"") / 100, """")"),"")</f>
        <v/>
      </c>
      <c r="L297" s="21" t="str">
        <f>IFERROR(__xludf.DUMMYFUNCTION("IFERROR((GOOGLEFINANCE(C297, ""price"") / INDEX(GOOGLEFINANCE(C297, ""price"", TODAY()-7, TODAY()), 2, 2)) - 1, """")"),"")</f>
        <v/>
      </c>
      <c r="M297" s="21" t="str">
        <f>IFERROR(__xludf.DUMMYFUNCTION("IFERROR((GOOGLEFINANCE(C297, ""price"") / INDEX(GOOGLEFINANCE(C297, ""price"", EDATE(TODAY(), -1), TODAY()), 2, 2)) - 1, """")"),"")</f>
        <v/>
      </c>
      <c r="N297" s="21" t="str">
        <f>IFERROR(__xludf.DUMMYFUNCTION("IFERROR((GOOGLEFINANCE(C297, ""price"") / INDEX(GOOGLEFINANCE(C297, ""price"", EDATE(TODAY(), -3), TODAY()), 2, 2)) - 1, """")"),"")</f>
        <v/>
      </c>
      <c r="O297" s="21" t="str">
        <f>IFERROR(__xludf.DUMMYFUNCTION("IFERROR((GOOGLEFINANCE(C297, ""price"") / INDEX(GOOGLEFINANCE(C297, ""price"", EDATE(TODAY(), -6), TODAY()), 2, 2)) - 1, """")"),"")</f>
        <v/>
      </c>
      <c r="P297" s="21" t="str">
        <f>IFERROR(__xludf.DUMMYFUNCTION("IFERROR((GOOGLEFINANCE(C297, ""price"") / INDEX(GOOGLEFINANCE(C297, ""price"", EDATE(TODAY(), -12), TODAY()), 2, 2)) - 1, """")"),"")</f>
        <v/>
      </c>
      <c r="Q297" s="6" t="str">
        <f>IFERROR(__xludf.DUMMYFUNCTION("AVERAGE(QUERY(GOOGLEFINANCE(C297, ""price"", TODAY()-80, TODAY()), ""SELECT Col2 WHERE Col2 IS NOT NULL ORDER BY Col1 DESC LIMIT 50"", 0))"),"#N/A")</f>
        <v>#N/A</v>
      </c>
      <c r="R297" s="24" t="str">
        <f>IFERROR(__xludf.DUMMYFUNCTION("IFERROR(
  LET(
    data, QUERY(GOOGLEFINANCE(C297,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GOOGLEFINANCE(C297, ""price"")) * 100,
    IF(calc=0, G297, calc)
  ), 
G297)"),"#N/A")</f>
        <v>#N/A</v>
      </c>
      <c r="S297" s="8" t="s">
        <v>15</v>
      </c>
      <c r="T297" s="26" t="str">
        <f>IFERROR(__xludf.DUMMYFUNCTION("IFERROR(TRANSPOSE(QUERY(IFERROR(SORT(GOOGLEFINANCE(C297, ""price"", WORKDAY(TODAY(), -40), TODAY()), 1, FALSE)), ""select Col2 where Col2 is not null limit 22 label Col2 ''"", 0)), """")"),"")</f>
        <v/>
      </c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8"/>
      <c r="AO297" s="28"/>
      <c r="AP297" s="29"/>
      <c r="AQ297" s="29" t="str">
        <f t="shared" ref="AQ297:BL297" si="300">T297/T$2</f>
        <v>#N/A</v>
      </c>
      <c r="AR297" s="29" t="str">
        <f t="shared" si="300"/>
        <v>#DIV/0!</v>
      </c>
      <c r="AS297" s="29" t="str">
        <f t="shared" si="300"/>
        <v>#DIV/0!</v>
      </c>
      <c r="AT297" s="29" t="str">
        <f t="shared" si="300"/>
        <v>#DIV/0!</v>
      </c>
      <c r="AU297" s="29" t="str">
        <f t="shared" si="300"/>
        <v>#DIV/0!</v>
      </c>
      <c r="AV297" s="29" t="str">
        <f t="shared" si="300"/>
        <v>#DIV/0!</v>
      </c>
      <c r="AW297" s="29" t="str">
        <f t="shared" si="300"/>
        <v>#DIV/0!</v>
      </c>
      <c r="AX297" s="29" t="str">
        <f t="shared" si="300"/>
        <v>#DIV/0!</v>
      </c>
      <c r="AY297" s="29" t="str">
        <f t="shared" si="300"/>
        <v>#DIV/0!</v>
      </c>
      <c r="AZ297" s="29" t="str">
        <f t="shared" si="300"/>
        <v>#DIV/0!</v>
      </c>
      <c r="BA297" s="29" t="str">
        <f t="shared" si="300"/>
        <v>#DIV/0!</v>
      </c>
      <c r="BB297" s="29" t="str">
        <f t="shared" si="300"/>
        <v>#DIV/0!</v>
      </c>
      <c r="BC297" s="29" t="str">
        <f t="shared" si="300"/>
        <v>#DIV/0!</v>
      </c>
      <c r="BD297" s="29" t="str">
        <f t="shared" si="300"/>
        <v>#DIV/0!</v>
      </c>
      <c r="BE297" s="29" t="str">
        <f t="shared" si="300"/>
        <v>#DIV/0!</v>
      </c>
      <c r="BF297" s="29" t="str">
        <f t="shared" si="300"/>
        <v>#DIV/0!</v>
      </c>
      <c r="BG297" s="29" t="str">
        <f t="shared" si="300"/>
        <v>#DIV/0!</v>
      </c>
      <c r="BH297" s="29" t="str">
        <f t="shared" si="300"/>
        <v>#DIV/0!</v>
      </c>
      <c r="BI297" s="29" t="str">
        <f t="shared" si="300"/>
        <v>#DIV/0!</v>
      </c>
      <c r="BJ297" s="29" t="str">
        <f t="shared" si="300"/>
        <v>#DIV/0!</v>
      </c>
      <c r="BK297" s="29" t="str">
        <f t="shared" si="300"/>
        <v>#DIV/0!</v>
      </c>
      <c r="BL297" s="29" t="str">
        <f t="shared" si="300"/>
        <v>#DIV/0!</v>
      </c>
      <c r="BM297" s="29" t="str">
        <f t="shared" si="3"/>
        <v>#DIV/0!</v>
      </c>
    </row>
    <row r="298">
      <c r="A298" s="16" t="str">
        <f>IFERROR(__xludf.DUMMYFUNCTION("IFERROR(SPARKLINE(SORT(MAP(TRANSPOSE(AQ298:BL298), LAMBDA(val, IF(ISNUMBER(val), PERCENTRANK(AQ298:BL298, val)+0.01, 0))), SEQUENCE(COLUMNS(AQ298:BL298)), FALSE), {""charttype"",""column""; ""color"",""chartreuse""; ""ymin"", 0; ""ymax"", 1.01; ""highcolo"&amp;"r"", ""darkgreen""; ""lowcolor"", ""red""}), """")"),"")</f>
        <v/>
      </c>
      <c r="B298" s="17" t="str">
        <f t="shared" si="4"/>
        <v/>
      </c>
      <c r="C298" s="1" t="s">
        <v>1223</v>
      </c>
      <c r="D298" s="30" t="str">
        <f>IFERROR(__xludf.DUMMYFUNCTION("IFERROR(GOOGLEFINANCE(C298, ""NAME""))"),"Macy's Inc")</f>
        <v>Macy's Inc</v>
      </c>
      <c r="E298" s="30" t="s">
        <v>361</v>
      </c>
      <c r="F298" s="33" t="str">
        <f>IFERROR(__xludf.DUMMYFUNCTION("( (GOOGLEFINANCE(C298, ""price"") - Q298) / Q298 ) / (R298 / 100)"),"Loading...")</f>
        <v>Loading...</v>
      </c>
      <c r="G298" s="20" t="str">
        <f>IFERROR(__xludf.DUMMYFUNCTION("AVERAGE(ARRAYFORMULA(100 * (QUERY(GOOGLEFINANCE(C298, ""high"", TODAY()-40, TODAY()), ""SELECT Col2 WHERE Col2 IS NOT NULL ORDER BY Col1 DESC LIMIT 20"", 0) / QUERY(GOOGLEFINANCE(C298, ""low"", TODAY()-40, TODAY()), ""SELECT Col2 WHERE Col2 IS NOT NULL OR"&amp;"DER BY Col1 DESC LIMIT 20"", 0) - 1)))"),"#N/A")</f>
        <v>#N/A</v>
      </c>
      <c r="H298" s="35" t="str">
        <f t="shared" si="6"/>
        <v/>
      </c>
      <c r="I298" s="35" t="str">
        <f t="shared" si="7"/>
        <v/>
      </c>
      <c r="J298" s="37" t="str">
        <f>IFERROR(__xludf.DUMMYFUNCTION("IFERROR(
  IF(C298="""",, 
    IFERROR(
      GOOGLEFINANCE(C298, ""price"") * GOOGLEFINANCE(C298, ""volumeavg""), 
      GOOGLEFINANCE(C298, ""price"") * AVERAGE(QUERY(GOOGLEFINANCE(C298, ""volume"", TODAY()-40, TODAY()), ""SELECT Col2 WHERE Col2 IS NOT "&amp;"NULL ORDER BY Col1 DESC LIMIT 20"", 0))
    )
  ), 
"""")"),"")</f>
        <v/>
      </c>
      <c r="K298" s="21" t="str">
        <f>IFERROR(__xludf.DUMMYFUNCTION("IFERROR(GOOGLEFINANCE(C298, ""changepct"") / 100, """")"),"")</f>
        <v/>
      </c>
      <c r="L298" s="21" t="str">
        <f>IFERROR(__xludf.DUMMYFUNCTION("IFERROR((GOOGLEFINANCE(C298, ""price"") / INDEX(GOOGLEFINANCE(C298, ""price"", TODAY()-7, TODAY()), 2, 2)) - 1, """")"),"")</f>
        <v/>
      </c>
      <c r="M298" s="21" t="str">
        <f>IFERROR(__xludf.DUMMYFUNCTION("IFERROR((GOOGLEFINANCE(C298, ""price"") / INDEX(GOOGLEFINANCE(C298, ""price"", EDATE(TODAY(), -1), TODAY()), 2, 2)) - 1, """")"),"")</f>
        <v/>
      </c>
      <c r="N298" s="21" t="str">
        <f>IFERROR(__xludf.DUMMYFUNCTION("IFERROR((GOOGLEFINANCE(C298, ""price"") / INDEX(GOOGLEFINANCE(C298, ""price"", EDATE(TODAY(), -3), TODAY()), 2, 2)) - 1, """")"),"")</f>
        <v/>
      </c>
      <c r="O298" s="21" t="str">
        <f>IFERROR(__xludf.DUMMYFUNCTION("IFERROR((GOOGLEFINANCE(C298, ""price"") / INDEX(GOOGLEFINANCE(C298, ""price"", EDATE(TODAY(), -6), TODAY()), 2, 2)) - 1, """")"),"")</f>
        <v/>
      </c>
      <c r="P298" s="21" t="str">
        <f>IFERROR(__xludf.DUMMYFUNCTION("IFERROR((GOOGLEFINANCE(C298, ""price"") / INDEX(GOOGLEFINANCE(C298, ""price"", EDATE(TODAY(), -12), TODAY()), 2, 2)) - 1, """")"),"")</f>
        <v/>
      </c>
      <c r="Q298" s="6" t="str">
        <f>IFERROR(__xludf.DUMMYFUNCTION("AVERAGE(QUERY(GOOGLEFINANCE(C298, ""price"", TODAY()-80, TODAY()), ""SELECT Col2 WHERE Col2 IS NOT NULL ORDER BY Col1 DESC LIMIT 50"", 0))"),"#N/A")</f>
        <v>#N/A</v>
      </c>
      <c r="R298" s="24" t="str">
        <f>IFERROR(__xludf.DUMMYFUNCTION("IFERROR(
  LET(
    data, QUERY(GOOGLEFINANCE(C298,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GOOGLEFINANCE(C298, ""price"")) * 100,
    IF(calc=0, G298, calc)
  ), 
G298)"),"#N/A")</f>
        <v>#N/A</v>
      </c>
      <c r="S298" s="8" t="s">
        <v>15</v>
      </c>
      <c r="T298" s="26" t="str">
        <f>IFERROR(__xludf.DUMMYFUNCTION("IFERROR(TRANSPOSE(QUERY(IFERROR(SORT(GOOGLEFINANCE(C298, ""price"", WORKDAY(TODAY(), -40), TODAY()), 1, FALSE)), ""select Col2 where Col2 is not null limit 22 label Col2 ''"", 0)), """")"),"")</f>
        <v/>
      </c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8"/>
      <c r="AO298" s="28"/>
      <c r="AP298" s="29"/>
      <c r="AQ298" s="29" t="str">
        <f t="shared" ref="AQ298:BL298" si="301">T298/T$2</f>
        <v>#N/A</v>
      </c>
      <c r="AR298" s="29" t="str">
        <f t="shared" si="301"/>
        <v>#DIV/0!</v>
      </c>
      <c r="AS298" s="29" t="str">
        <f t="shared" si="301"/>
        <v>#DIV/0!</v>
      </c>
      <c r="AT298" s="29" t="str">
        <f t="shared" si="301"/>
        <v>#DIV/0!</v>
      </c>
      <c r="AU298" s="29" t="str">
        <f t="shared" si="301"/>
        <v>#DIV/0!</v>
      </c>
      <c r="AV298" s="29" t="str">
        <f t="shared" si="301"/>
        <v>#DIV/0!</v>
      </c>
      <c r="AW298" s="29" t="str">
        <f t="shared" si="301"/>
        <v>#DIV/0!</v>
      </c>
      <c r="AX298" s="29" t="str">
        <f t="shared" si="301"/>
        <v>#DIV/0!</v>
      </c>
      <c r="AY298" s="29" t="str">
        <f t="shared" si="301"/>
        <v>#DIV/0!</v>
      </c>
      <c r="AZ298" s="29" t="str">
        <f t="shared" si="301"/>
        <v>#DIV/0!</v>
      </c>
      <c r="BA298" s="29" t="str">
        <f t="shared" si="301"/>
        <v>#DIV/0!</v>
      </c>
      <c r="BB298" s="29" t="str">
        <f t="shared" si="301"/>
        <v>#DIV/0!</v>
      </c>
      <c r="BC298" s="29" t="str">
        <f t="shared" si="301"/>
        <v>#DIV/0!</v>
      </c>
      <c r="BD298" s="29" t="str">
        <f t="shared" si="301"/>
        <v>#DIV/0!</v>
      </c>
      <c r="BE298" s="29" t="str">
        <f t="shared" si="301"/>
        <v>#DIV/0!</v>
      </c>
      <c r="BF298" s="29" t="str">
        <f t="shared" si="301"/>
        <v>#DIV/0!</v>
      </c>
      <c r="BG298" s="29" t="str">
        <f t="shared" si="301"/>
        <v>#DIV/0!</v>
      </c>
      <c r="BH298" s="29" t="str">
        <f t="shared" si="301"/>
        <v>#DIV/0!</v>
      </c>
      <c r="BI298" s="29" t="str">
        <f t="shared" si="301"/>
        <v>#DIV/0!</v>
      </c>
      <c r="BJ298" s="29" t="str">
        <f t="shared" si="301"/>
        <v>#DIV/0!</v>
      </c>
      <c r="BK298" s="29" t="str">
        <f t="shared" si="301"/>
        <v>#DIV/0!</v>
      </c>
      <c r="BL298" s="29" t="str">
        <f t="shared" si="301"/>
        <v>#DIV/0!</v>
      </c>
      <c r="BM298" s="29" t="str">
        <f t="shared" si="3"/>
        <v>#DIV/0!</v>
      </c>
    </row>
    <row r="299">
      <c r="A299" s="16" t="str">
        <f>IFERROR(__xludf.DUMMYFUNCTION("IFERROR(SPARKLINE(SORT(MAP(TRANSPOSE(AQ299:BL299), LAMBDA(val, IF(ISNUMBER(val), PERCENTRANK(AQ299:BL299, val)+0.01, 0))), SEQUENCE(COLUMNS(AQ299:BL299)), FALSE), {""charttype"",""column""; ""color"",""chartreuse""; ""ymin"", 0; ""ymax"", 1.01; ""highcolo"&amp;"r"", ""darkgreen""; ""lowcolor"", ""red""}), """")"),"")</f>
        <v/>
      </c>
      <c r="B299" s="17" t="str">
        <f t="shared" si="4"/>
        <v/>
      </c>
      <c r="C299" s="1" t="s">
        <v>1226</v>
      </c>
      <c r="D299" s="30" t="str">
        <f>IFERROR(__xludf.DUMMYFUNCTION("IFERROR(GOOGLEFINANCE(C299, ""NAME""))"),"")</f>
        <v/>
      </c>
      <c r="E299" s="30" t="s">
        <v>361</v>
      </c>
      <c r="F299" s="33" t="str">
        <f>IFERROR(__xludf.DUMMYFUNCTION("( (GOOGLEFINANCE(C299, ""price"") - Q299) / Q299 ) / (R299 / 100)"),"Loading...")</f>
        <v>Loading...</v>
      </c>
      <c r="G299" s="20" t="str">
        <f>IFERROR(__xludf.DUMMYFUNCTION("AVERAGE(ARRAYFORMULA(100 * (QUERY(GOOGLEFINANCE(C299, ""high"", TODAY()-40, TODAY()), ""SELECT Col2 WHERE Col2 IS NOT NULL ORDER BY Col1 DESC LIMIT 20"", 0) / QUERY(GOOGLEFINANCE(C299, ""low"", TODAY()-40, TODAY()), ""SELECT Col2 WHERE Col2 IS NOT NULL OR"&amp;"DER BY Col1 DESC LIMIT 20"", 0) - 1)))"),"#N/A")</f>
        <v>#N/A</v>
      </c>
      <c r="H299" s="35" t="str">
        <f t="shared" si="6"/>
        <v/>
      </c>
      <c r="I299" s="35" t="str">
        <f t="shared" si="7"/>
        <v/>
      </c>
      <c r="J299" s="37" t="str">
        <f>IFERROR(__xludf.DUMMYFUNCTION("IFERROR(
  IF(C299="""",, 
    IFERROR(
      GOOGLEFINANCE(C299, ""price"") * GOOGLEFINANCE(C299, ""volumeavg""), 
      GOOGLEFINANCE(C299, ""price"") * AVERAGE(QUERY(GOOGLEFINANCE(C299, ""volume"", TODAY()-40, TODAY()), ""SELECT Col2 WHERE Col2 IS NOT "&amp;"NULL ORDER BY Col1 DESC LIMIT 20"", 0))
    )
  ), 
"""")"),"")</f>
        <v/>
      </c>
      <c r="K299" s="21" t="str">
        <f>IFERROR(__xludf.DUMMYFUNCTION("IFERROR(GOOGLEFINANCE(C299, ""changepct"") / 100, """")"),"")</f>
        <v/>
      </c>
      <c r="L299" s="21" t="str">
        <f>IFERROR(__xludf.DUMMYFUNCTION("IFERROR((GOOGLEFINANCE(C299, ""price"") / INDEX(GOOGLEFINANCE(C299, ""price"", TODAY()-7, TODAY()), 2, 2)) - 1, """")"),"")</f>
        <v/>
      </c>
      <c r="M299" s="21" t="str">
        <f>IFERROR(__xludf.DUMMYFUNCTION("IFERROR((GOOGLEFINANCE(C299, ""price"") / INDEX(GOOGLEFINANCE(C299, ""price"", EDATE(TODAY(), -1), TODAY()), 2, 2)) - 1, """")"),"")</f>
        <v/>
      </c>
      <c r="N299" s="21" t="str">
        <f>IFERROR(__xludf.DUMMYFUNCTION("IFERROR((GOOGLEFINANCE(C299, ""price"") / INDEX(GOOGLEFINANCE(C299, ""price"", EDATE(TODAY(), -3), TODAY()), 2, 2)) - 1, """")"),"")</f>
        <v/>
      </c>
      <c r="O299" s="21" t="str">
        <f>IFERROR(__xludf.DUMMYFUNCTION("IFERROR((GOOGLEFINANCE(C299, ""price"") / INDEX(GOOGLEFINANCE(C299, ""price"", EDATE(TODAY(), -6), TODAY()), 2, 2)) - 1, """")"),"")</f>
        <v/>
      </c>
      <c r="P299" s="21" t="str">
        <f>IFERROR(__xludf.DUMMYFUNCTION("IFERROR((GOOGLEFINANCE(C299, ""price"") / INDEX(GOOGLEFINANCE(C299, ""price"", EDATE(TODAY(), -12), TODAY()), 2, 2)) - 1, """")"),"")</f>
        <v/>
      </c>
      <c r="Q299" s="6" t="str">
        <f>IFERROR(__xludf.DUMMYFUNCTION("AVERAGE(QUERY(GOOGLEFINANCE(C299, ""price"", TODAY()-80, TODAY()), ""SELECT Col2 WHERE Col2 IS NOT NULL ORDER BY Col1 DESC LIMIT 50"", 0))"),"#N/A")</f>
        <v>#N/A</v>
      </c>
      <c r="R299" s="24" t="str">
        <f>IFERROR(__xludf.DUMMYFUNCTION("IFERROR(
  LET(
    data, QUERY(GOOGLEFINANCE(C299,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GOOGLEFINANCE(C299, ""price"")) * 100,
    IF(calc=0, G299, calc)
  ), 
G299)"),"#N/A")</f>
        <v>#N/A</v>
      </c>
      <c r="S299" s="8" t="s">
        <v>15</v>
      </c>
      <c r="T299" s="26" t="str">
        <f>IFERROR(__xludf.DUMMYFUNCTION("IFERROR(TRANSPOSE(QUERY(IFERROR(SORT(GOOGLEFINANCE(C299, ""price"", WORKDAY(TODAY(), -40), TODAY()), 1, FALSE)), ""select Col2 where Col2 is not null limit 22 label Col2 ''"", 0)), """")"),"")</f>
        <v/>
      </c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8"/>
      <c r="AO299" s="28"/>
      <c r="AP299" s="29"/>
      <c r="AQ299" s="29" t="str">
        <f t="shared" ref="AQ299:BL299" si="302">T299/T$2</f>
        <v>#N/A</v>
      </c>
      <c r="AR299" s="29" t="str">
        <f t="shared" si="302"/>
        <v>#DIV/0!</v>
      </c>
      <c r="AS299" s="29" t="str">
        <f t="shared" si="302"/>
        <v>#DIV/0!</v>
      </c>
      <c r="AT299" s="29" t="str">
        <f t="shared" si="302"/>
        <v>#DIV/0!</v>
      </c>
      <c r="AU299" s="29" t="str">
        <f t="shared" si="302"/>
        <v>#DIV/0!</v>
      </c>
      <c r="AV299" s="29" t="str">
        <f t="shared" si="302"/>
        <v>#DIV/0!</v>
      </c>
      <c r="AW299" s="29" t="str">
        <f t="shared" si="302"/>
        <v>#DIV/0!</v>
      </c>
      <c r="AX299" s="29" t="str">
        <f t="shared" si="302"/>
        <v>#DIV/0!</v>
      </c>
      <c r="AY299" s="29" t="str">
        <f t="shared" si="302"/>
        <v>#DIV/0!</v>
      </c>
      <c r="AZ299" s="29" t="str">
        <f t="shared" si="302"/>
        <v>#DIV/0!</v>
      </c>
      <c r="BA299" s="29" t="str">
        <f t="shared" si="302"/>
        <v>#DIV/0!</v>
      </c>
      <c r="BB299" s="29" t="str">
        <f t="shared" si="302"/>
        <v>#DIV/0!</v>
      </c>
      <c r="BC299" s="29" t="str">
        <f t="shared" si="302"/>
        <v>#DIV/0!</v>
      </c>
      <c r="BD299" s="29" t="str">
        <f t="shared" si="302"/>
        <v>#DIV/0!</v>
      </c>
      <c r="BE299" s="29" t="str">
        <f t="shared" si="302"/>
        <v>#DIV/0!</v>
      </c>
      <c r="BF299" s="29" t="str">
        <f t="shared" si="302"/>
        <v>#DIV/0!</v>
      </c>
      <c r="BG299" s="29" t="str">
        <f t="shared" si="302"/>
        <v>#DIV/0!</v>
      </c>
      <c r="BH299" s="29" t="str">
        <f t="shared" si="302"/>
        <v>#DIV/0!</v>
      </c>
      <c r="BI299" s="29" t="str">
        <f t="shared" si="302"/>
        <v>#DIV/0!</v>
      </c>
      <c r="BJ299" s="29" t="str">
        <f t="shared" si="302"/>
        <v>#DIV/0!</v>
      </c>
      <c r="BK299" s="29" t="str">
        <f t="shared" si="302"/>
        <v>#DIV/0!</v>
      </c>
      <c r="BL299" s="29" t="str">
        <f t="shared" si="302"/>
        <v>#DIV/0!</v>
      </c>
      <c r="BM299" s="29" t="str">
        <f t="shared" si="3"/>
        <v>#DIV/0!</v>
      </c>
    </row>
    <row r="300">
      <c r="A300" s="16" t="str">
        <f>IFERROR(__xludf.DUMMYFUNCTION("IFERROR(SPARKLINE(SORT(MAP(TRANSPOSE(AQ300:BL300), LAMBDA(val, IF(ISNUMBER(val), PERCENTRANK(AQ300:BL300, val)+0.01, 0))), SEQUENCE(COLUMNS(AQ300:BL300)), FALSE), {""charttype"",""column""; ""color"",""chartreuse""; ""ymin"", 0; ""ymax"", 1.01; ""highcolo"&amp;"r"", ""darkgreen""; ""lowcolor"", ""red""}), """")"),"")</f>
        <v/>
      </c>
      <c r="B300" s="17" t="str">
        <f t="shared" si="4"/>
        <v/>
      </c>
      <c r="C300" s="1" t="s">
        <v>1230</v>
      </c>
      <c r="D300" s="30" t="str">
        <f>IFERROR(__xludf.DUMMYFUNCTION("IFERROR(GOOGLEFINANCE(C300, ""NAME""))"),"Ball Corp")</f>
        <v>Ball Corp</v>
      </c>
      <c r="E300" s="30" t="s">
        <v>195</v>
      </c>
      <c r="F300" s="33" t="str">
        <f>IFERROR(__xludf.DUMMYFUNCTION("( (GOOGLEFINANCE(C300, ""price"") - Q300) / Q300 ) / (R300 / 100)"),"Loading...")</f>
        <v>Loading...</v>
      </c>
      <c r="G300" s="20" t="str">
        <f>IFERROR(__xludf.DUMMYFUNCTION("AVERAGE(ARRAYFORMULA(100 * (QUERY(GOOGLEFINANCE(C300, ""high"", TODAY()-40, TODAY()), ""SELECT Col2 WHERE Col2 IS NOT NULL ORDER BY Col1 DESC LIMIT 20"", 0) / QUERY(GOOGLEFINANCE(C300, ""low"", TODAY()-40, TODAY()), ""SELECT Col2 WHERE Col2 IS NOT NULL OR"&amp;"DER BY Col1 DESC LIMIT 20"", 0) - 1)))"),"#N/A")</f>
        <v>#N/A</v>
      </c>
      <c r="H300" s="35" t="str">
        <f t="shared" si="6"/>
        <v/>
      </c>
      <c r="I300" s="35" t="str">
        <f t="shared" si="7"/>
        <v/>
      </c>
      <c r="J300" s="37" t="str">
        <f>IFERROR(__xludf.DUMMYFUNCTION("IFERROR(
  IF(C300="""",, 
    IFERROR(
      GOOGLEFINANCE(C300, ""price"") * GOOGLEFINANCE(C300, ""volumeavg""), 
      GOOGLEFINANCE(C300, ""price"") * AVERAGE(QUERY(GOOGLEFINANCE(C300, ""volume"", TODAY()-40, TODAY()), ""SELECT Col2 WHERE Col2 IS NOT "&amp;"NULL ORDER BY Col1 DESC LIMIT 20"", 0))
    )
  ), 
"""")"),"")</f>
        <v/>
      </c>
      <c r="K300" s="21" t="str">
        <f>IFERROR(__xludf.DUMMYFUNCTION("IFERROR(GOOGLEFINANCE(C300, ""changepct"") / 100, """")"),"")</f>
        <v/>
      </c>
      <c r="L300" s="21" t="str">
        <f>IFERROR(__xludf.DUMMYFUNCTION("IFERROR((GOOGLEFINANCE(C300, ""price"") / INDEX(GOOGLEFINANCE(C300, ""price"", TODAY()-7, TODAY()), 2, 2)) - 1, """")"),"")</f>
        <v/>
      </c>
      <c r="M300" s="21" t="str">
        <f>IFERROR(__xludf.DUMMYFUNCTION("IFERROR((GOOGLEFINANCE(C300, ""price"") / INDEX(GOOGLEFINANCE(C300, ""price"", EDATE(TODAY(), -1), TODAY()), 2, 2)) - 1, """")"),"")</f>
        <v/>
      </c>
      <c r="N300" s="21" t="str">
        <f>IFERROR(__xludf.DUMMYFUNCTION("IFERROR((GOOGLEFINANCE(C300, ""price"") / INDEX(GOOGLEFINANCE(C300, ""price"", EDATE(TODAY(), -3), TODAY()), 2, 2)) - 1, """")"),"")</f>
        <v/>
      </c>
      <c r="O300" s="21" t="str">
        <f>IFERROR(__xludf.DUMMYFUNCTION("IFERROR((GOOGLEFINANCE(C300, ""price"") / INDEX(GOOGLEFINANCE(C300, ""price"", EDATE(TODAY(), -6), TODAY()), 2, 2)) - 1, """")"),"")</f>
        <v/>
      </c>
      <c r="P300" s="21" t="str">
        <f>IFERROR(__xludf.DUMMYFUNCTION("IFERROR((GOOGLEFINANCE(C300, ""price"") / INDEX(GOOGLEFINANCE(C300, ""price"", EDATE(TODAY(), -12), TODAY()), 2, 2)) - 1, """")"),"")</f>
        <v/>
      </c>
      <c r="Q300" s="6" t="str">
        <f>IFERROR(__xludf.DUMMYFUNCTION("AVERAGE(QUERY(GOOGLEFINANCE(C300, ""price"", TODAY()-80, TODAY()), ""SELECT Col2 WHERE Col2 IS NOT NULL ORDER BY Col1 DESC LIMIT 50"", 0))"),"#N/A")</f>
        <v>#N/A</v>
      </c>
      <c r="R300" s="24" t="str">
        <f>IFERROR(__xludf.DUMMYFUNCTION("IFERROR(
  LET(
    data, QUERY(GOOGLEFINANCE(C300,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GOOGLEFINANCE(C300, ""price"")) * 100,
    IF(calc=0, G300, calc)
  ), 
G300)"),"#N/A")</f>
        <v>#N/A</v>
      </c>
      <c r="S300" s="8" t="s">
        <v>15</v>
      </c>
      <c r="T300" s="26" t="str">
        <f>IFERROR(__xludf.DUMMYFUNCTION("IFERROR(TRANSPOSE(QUERY(IFERROR(SORT(GOOGLEFINANCE(C300, ""price"", WORKDAY(TODAY(), -40), TODAY()), 1, FALSE)), ""select Col2 where Col2 is not null limit 22 label Col2 ''"", 0)), """")"),"")</f>
        <v/>
      </c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8"/>
      <c r="AO300" s="28"/>
      <c r="AP300" s="29"/>
      <c r="AQ300" s="29" t="str">
        <f t="shared" ref="AQ300:BL300" si="303">T300/T$2</f>
        <v>#N/A</v>
      </c>
      <c r="AR300" s="29" t="str">
        <f t="shared" si="303"/>
        <v>#DIV/0!</v>
      </c>
      <c r="AS300" s="29" t="str">
        <f t="shared" si="303"/>
        <v>#DIV/0!</v>
      </c>
      <c r="AT300" s="29" t="str">
        <f t="shared" si="303"/>
        <v>#DIV/0!</v>
      </c>
      <c r="AU300" s="29" t="str">
        <f t="shared" si="303"/>
        <v>#DIV/0!</v>
      </c>
      <c r="AV300" s="29" t="str">
        <f t="shared" si="303"/>
        <v>#DIV/0!</v>
      </c>
      <c r="AW300" s="29" t="str">
        <f t="shared" si="303"/>
        <v>#DIV/0!</v>
      </c>
      <c r="AX300" s="29" t="str">
        <f t="shared" si="303"/>
        <v>#DIV/0!</v>
      </c>
      <c r="AY300" s="29" t="str">
        <f t="shared" si="303"/>
        <v>#DIV/0!</v>
      </c>
      <c r="AZ300" s="29" t="str">
        <f t="shared" si="303"/>
        <v>#DIV/0!</v>
      </c>
      <c r="BA300" s="29" t="str">
        <f t="shared" si="303"/>
        <v>#DIV/0!</v>
      </c>
      <c r="BB300" s="29" t="str">
        <f t="shared" si="303"/>
        <v>#DIV/0!</v>
      </c>
      <c r="BC300" s="29" t="str">
        <f t="shared" si="303"/>
        <v>#DIV/0!</v>
      </c>
      <c r="BD300" s="29" t="str">
        <f t="shared" si="303"/>
        <v>#DIV/0!</v>
      </c>
      <c r="BE300" s="29" t="str">
        <f t="shared" si="303"/>
        <v>#DIV/0!</v>
      </c>
      <c r="BF300" s="29" t="str">
        <f t="shared" si="303"/>
        <v>#DIV/0!</v>
      </c>
      <c r="BG300" s="29" t="str">
        <f t="shared" si="303"/>
        <v>#DIV/0!</v>
      </c>
      <c r="BH300" s="29" t="str">
        <f t="shared" si="303"/>
        <v>#DIV/0!</v>
      </c>
      <c r="BI300" s="29" t="str">
        <f t="shared" si="303"/>
        <v>#DIV/0!</v>
      </c>
      <c r="BJ300" s="29" t="str">
        <f t="shared" si="303"/>
        <v>#DIV/0!</v>
      </c>
      <c r="BK300" s="29" t="str">
        <f t="shared" si="303"/>
        <v>#DIV/0!</v>
      </c>
      <c r="BL300" s="29" t="str">
        <f t="shared" si="303"/>
        <v>#DIV/0!</v>
      </c>
      <c r="BM300" s="29" t="str">
        <f t="shared" si="3"/>
        <v>#DIV/0!</v>
      </c>
    </row>
    <row r="301">
      <c r="A301" s="16" t="str">
        <f>IFERROR(__xludf.DUMMYFUNCTION("IFERROR(SPARKLINE(SORT(MAP(TRANSPOSE(AQ301:BL301), LAMBDA(val, IF(ISNUMBER(val), PERCENTRANK(AQ301:BL301, val)+0.01, 0))), SEQUENCE(COLUMNS(AQ301:BL301)), FALSE), {""charttype"",""column""; ""color"",""chartreuse""; ""ymin"", 0; ""ymax"", 1.01; ""highcolo"&amp;"r"", ""darkgreen""; ""lowcolor"", ""red""}), """")"),"")</f>
        <v/>
      </c>
      <c r="B301" s="17" t="str">
        <f t="shared" si="4"/>
        <v/>
      </c>
      <c r="C301" s="1" t="s">
        <v>1234</v>
      </c>
      <c r="D301" s="30" t="str">
        <f>IFERROR(__xludf.DUMMYFUNCTION("IFERROR(GOOGLEFINANCE(C301, ""NAME""))"),"Allison Transmission Holdings Inc")</f>
        <v>Allison Transmission Holdings Inc</v>
      </c>
      <c r="E301" s="30" t="s">
        <v>109</v>
      </c>
      <c r="F301" s="33" t="str">
        <f>IFERROR(__xludf.DUMMYFUNCTION("( (GOOGLEFINANCE(C301, ""price"") - Q301) / Q301 ) / (R301 / 100)"),"Loading...")</f>
        <v>Loading...</v>
      </c>
      <c r="G301" s="20" t="str">
        <f>IFERROR(__xludf.DUMMYFUNCTION("AVERAGE(ARRAYFORMULA(100 * (QUERY(GOOGLEFINANCE(C301, ""high"", TODAY()-40, TODAY()), ""SELECT Col2 WHERE Col2 IS NOT NULL ORDER BY Col1 DESC LIMIT 20"", 0) / QUERY(GOOGLEFINANCE(C301, ""low"", TODAY()-40, TODAY()), ""SELECT Col2 WHERE Col2 IS NOT NULL OR"&amp;"DER BY Col1 DESC LIMIT 20"", 0) - 1)))"),"#N/A")</f>
        <v>#N/A</v>
      </c>
      <c r="H301" s="35" t="str">
        <f t="shared" si="6"/>
        <v/>
      </c>
      <c r="I301" s="35" t="str">
        <f t="shared" si="7"/>
        <v/>
      </c>
      <c r="J301" s="37" t="str">
        <f>IFERROR(__xludf.DUMMYFUNCTION("IFERROR(
  IF(C301="""",, 
    IFERROR(
      GOOGLEFINANCE(C301, ""price"") * GOOGLEFINANCE(C301, ""volumeavg""), 
      GOOGLEFINANCE(C301, ""price"") * AVERAGE(QUERY(GOOGLEFINANCE(C301, ""volume"", TODAY()-40, TODAY()), ""SELECT Col2 WHERE Col2 IS NOT "&amp;"NULL ORDER BY Col1 DESC LIMIT 20"", 0))
    )
  ), 
"""")"),"")</f>
        <v/>
      </c>
      <c r="K301" s="21" t="str">
        <f>IFERROR(__xludf.DUMMYFUNCTION("IFERROR(GOOGLEFINANCE(C301, ""changepct"") / 100, """")"),"")</f>
        <v/>
      </c>
      <c r="L301" s="21" t="str">
        <f>IFERROR(__xludf.DUMMYFUNCTION("IFERROR((GOOGLEFINANCE(C301, ""price"") / INDEX(GOOGLEFINANCE(C301, ""price"", TODAY()-7, TODAY()), 2, 2)) - 1, """")"),"")</f>
        <v/>
      </c>
      <c r="M301" s="21" t="str">
        <f>IFERROR(__xludf.DUMMYFUNCTION("IFERROR((GOOGLEFINANCE(C301, ""price"") / INDEX(GOOGLEFINANCE(C301, ""price"", EDATE(TODAY(), -1), TODAY()), 2, 2)) - 1, """")"),"")</f>
        <v/>
      </c>
      <c r="N301" s="21" t="str">
        <f>IFERROR(__xludf.DUMMYFUNCTION("IFERROR((GOOGLEFINANCE(C301, ""price"") / INDEX(GOOGLEFINANCE(C301, ""price"", EDATE(TODAY(), -3), TODAY()), 2, 2)) - 1, """")"),"")</f>
        <v/>
      </c>
      <c r="O301" s="21" t="str">
        <f>IFERROR(__xludf.DUMMYFUNCTION("IFERROR((GOOGLEFINANCE(C301, ""price"") / INDEX(GOOGLEFINANCE(C301, ""price"", EDATE(TODAY(), -6), TODAY()), 2, 2)) - 1, """")"),"")</f>
        <v/>
      </c>
      <c r="P301" s="21" t="str">
        <f>IFERROR(__xludf.DUMMYFUNCTION("IFERROR((GOOGLEFINANCE(C301, ""price"") / INDEX(GOOGLEFINANCE(C301, ""price"", EDATE(TODAY(), -12), TODAY()), 2, 2)) - 1, """")"),"")</f>
        <v/>
      </c>
      <c r="Q301" s="6" t="str">
        <f>IFERROR(__xludf.DUMMYFUNCTION("AVERAGE(QUERY(GOOGLEFINANCE(C301, ""price"", TODAY()-80, TODAY()), ""SELECT Col2 WHERE Col2 IS NOT NULL ORDER BY Col1 DESC LIMIT 50"", 0))"),"#N/A")</f>
        <v>#N/A</v>
      </c>
      <c r="R301" s="24" t="str">
        <f>IFERROR(__xludf.DUMMYFUNCTION("IFERROR(
  LET(
    data, QUERY(GOOGLEFINANCE(C301,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GOOGLEFINANCE(C301, ""price"")) * 100,
    IF(calc=0, G301, calc)
  ), 
G301)"),"#N/A")</f>
        <v>#N/A</v>
      </c>
      <c r="S301" s="8" t="s">
        <v>15</v>
      </c>
      <c r="T301" s="26" t="str">
        <f>IFERROR(__xludf.DUMMYFUNCTION("IFERROR(TRANSPOSE(QUERY(IFERROR(SORT(GOOGLEFINANCE(C301, ""price"", WORKDAY(TODAY(), -40), TODAY()), 1, FALSE)), ""select Col2 where Col2 is not null limit 22 label Col2 ''"", 0)), """")"),"")</f>
        <v/>
      </c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8"/>
      <c r="AO301" s="28"/>
      <c r="AP301" s="29"/>
      <c r="AQ301" s="29" t="str">
        <f t="shared" ref="AQ301:BL301" si="304">T301/T$2</f>
        <v>#N/A</v>
      </c>
      <c r="AR301" s="29" t="str">
        <f t="shared" si="304"/>
        <v>#DIV/0!</v>
      </c>
      <c r="AS301" s="29" t="str">
        <f t="shared" si="304"/>
        <v>#DIV/0!</v>
      </c>
      <c r="AT301" s="29" t="str">
        <f t="shared" si="304"/>
        <v>#DIV/0!</v>
      </c>
      <c r="AU301" s="29" t="str">
        <f t="shared" si="304"/>
        <v>#DIV/0!</v>
      </c>
      <c r="AV301" s="29" t="str">
        <f t="shared" si="304"/>
        <v>#DIV/0!</v>
      </c>
      <c r="AW301" s="29" t="str">
        <f t="shared" si="304"/>
        <v>#DIV/0!</v>
      </c>
      <c r="AX301" s="29" t="str">
        <f t="shared" si="304"/>
        <v>#DIV/0!</v>
      </c>
      <c r="AY301" s="29" t="str">
        <f t="shared" si="304"/>
        <v>#DIV/0!</v>
      </c>
      <c r="AZ301" s="29" t="str">
        <f t="shared" si="304"/>
        <v>#DIV/0!</v>
      </c>
      <c r="BA301" s="29" t="str">
        <f t="shared" si="304"/>
        <v>#DIV/0!</v>
      </c>
      <c r="BB301" s="29" t="str">
        <f t="shared" si="304"/>
        <v>#DIV/0!</v>
      </c>
      <c r="BC301" s="29" t="str">
        <f t="shared" si="304"/>
        <v>#DIV/0!</v>
      </c>
      <c r="BD301" s="29" t="str">
        <f t="shared" si="304"/>
        <v>#DIV/0!</v>
      </c>
      <c r="BE301" s="29" t="str">
        <f t="shared" si="304"/>
        <v>#DIV/0!</v>
      </c>
      <c r="BF301" s="29" t="str">
        <f t="shared" si="304"/>
        <v>#DIV/0!</v>
      </c>
      <c r="BG301" s="29" t="str">
        <f t="shared" si="304"/>
        <v>#DIV/0!</v>
      </c>
      <c r="BH301" s="29" t="str">
        <f t="shared" si="304"/>
        <v>#DIV/0!</v>
      </c>
      <c r="BI301" s="29" t="str">
        <f t="shared" si="304"/>
        <v>#DIV/0!</v>
      </c>
      <c r="BJ301" s="29" t="str">
        <f t="shared" si="304"/>
        <v>#DIV/0!</v>
      </c>
      <c r="BK301" s="29" t="str">
        <f t="shared" si="304"/>
        <v>#DIV/0!</v>
      </c>
      <c r="BL301" s="29" t="str">
        <f t="shared" si="304"/>
        <v>#DIV/0!</v>
      </c>
      <c r="BM301" s="29" t="str">
        <f t="shared" si="3"/>
        <v>#DIV/0!</v>
      </c>
    </row>
    <row r="302">
      <c r="A302" s="16" t="str">
        <f>IFERROR(__xludf.DUMMYFUNCTION("IFERROR(SPARKLINE(SORT(MAP(TRANSPOSE(AQ302:BL302), LAMBDA(val, IF(ISNUMBER(val), PERCENTRANK(AQ302:BL302, val)+0.01, 0))), SEQUENCE(COLUMNS(AQ302:BL302)), FALSE), {""charttype"",""column""; ""color"",""chartreuse""; ""ymin"", 0; ""ymax"", 1.01; ""highcolo"&amp;"r"", ""darkgreen""; ""lowcolor"", ""red""}), """")"),"")</f>
        <v/>
      </c>
      <c r="B302" s="17" t="str">
        <f t="shared" si="4"/>
        <v/>
      </c>
      <c r="C302" s="1" t="s">
        <v>1238</v>
      </c>
      <c r="D302" s="30" t="str">
        <f>IFERROR(__xludf.DUMMYFUNCTION("IFERROR(GOOGLEFINANCE(C302, ""NAME""))"),"HNI Corp")</f>
        <v>HNI Corp</v>
      </c>
      <c r="E302" s="30" t="s">
        <v>456</v>
      </c>
      <c r="F302" s="33" t="str">
        <f>IFERROR(__xludf.DUMMYFUNCTION("( (GOOGLEFINANCE(C302, ""price"") - Q302) / Q302 ) / (R302 / 100)"),"Loading...")</f>
        <v>Loading...</v>
      </c>
      <c r="G302" s="20" t="str">
        <f>IFERROR(__xludf.DUMMYFUNCTION("AVERAGE(ARRAYFORMULA(100 * (QUERY(GOOGLEFINANCE(C302, ""high"", TODAY()-40, TODAY()), ""SELECT Col2 WHERE Col2 IS NOT NULL ORDER BY Col1 DESC LIMIT 20"", 0) / QUERY(GOOGLEFINANCE(C302, ""low"", TODAY()-40, TODAY()), ""SELECT Col2 WHERE Col2 IS NOT NULL OR"&amp;"DER BY Col1 DESC LIMIT 20"", 0) - 1)))"),"#N/A")</f>
        <v>#N/A</v>
      </c>
      <c r="H302" s="35" t="str">
        <f t="shared" si="6"/>
        <v/>
      </c>
      <c r="I302" s="35" t="str">
        <f t="shared" si="7"/>
        <v/>
      </c>
      <c r="J302" s="37" t="str">
        <f>IFERROR(__xludf.DUMMYFUNCTION("IFERROR(
  IF(C302="""",, 
    IFERROR(
      GOOGLEFINANCE(C302, ""price"") * GOOGLEFINANCE(C302, ""volumeavg""), 
      GOOGLEFINANCE(C302, ""price"") * AVERAGE(QUERY(GOOGLEFINANCE(C302, ""volume"", TODAY()-40, TODAY()), ""SELECT Col2 WHERE Col2 IS NOT "&amp;"NULL ORDER BY Col1 DESC LIMIT 20"", 0))
    )
  ), 
"""")"),"")</f>
        <v/>
      </c>
      <c r="K302" s="21" t="str">
        <f>IFERROR(__xludf.DUMMYFUNCTION("IFERROR(GOOGLEFINANCE(C302, ""changepct"") / 100, """")"),"")</f>
        <v/>
      </c>
      <c r="L302" s="21" t="str">
        <f>IFERROR(__xludf.DUMMYFUNCTION("IFERROR((GOOGLEFINANCE(C302, ""price"") / INDEX(GOOGLEFINANCE(C302, ""price"", TODAY()-7, TODAY()), 2, 2)) - 1, """")"),"")</f>
        <v/>
      </c>
      <c r="M302" s="21" t="str">
        <f>IFERROR(__xludf.DUMMYFUNCTION("IFERROR((GOOGLEFINANCE(C302, ""price"") / INDEX(GOOGLEFINANCE(C302, ""price"", EDATE(TODAY(), -1), TODAY()), 2, 2)) - 1, """")"),"")</f>
        <v/>
      </c>
      <c r="N302" s="21" t="str">
        <f>IFERROR(__xludf.DUMMYFUNCTION("IFERROR((GOOGLEFINANCE(C302, ""price"") / INDEX(GOOGLEFINANCE(C302, ""price"", EDATE(TODAY(), -3), TODAY()), 2, 2)) - 1, """")"),"")</f>
        <v/>
      </c>
      <c r="O302" s="21" t="str">
        <f>IFERROR(__xludf.DUMMYFUNCTION("IFERROR((GOOGLEFINANCE(C302, ""price"") / INDEX(GOOGLEFINANCE(C302, ""price"", EDATE(TODAY(), -6), TODAY()), 2, 2)) - 1, """")"),"")</f>
        <v/>
      </c>
      <c r="P302" s="21" t="str">
        <f>IFERROR(__xludf.DUMMYFUNCTION("IFERROR((GOOGLEFINANCE(C302, ""price"") / INDEX(GOOGLEFINANCE(C302, ""price"", EDATE(TODAY(), -12), TODAY()), 2, 2)) - 1, """")"),"")</f>
        <v/>
      </c>
      <c r="Q302" s="6" t="str">
        <f>IFERROR(__xludf.DUMMYFUNCTION("AVERAGE(QUERY(GOOGLEFINANCE(C302, ""price"", TODAY()-80, TODAY()), ""SELECT Col2 WHERE Col2 IS NOT NULL ORDER BY Col1 DESC LIMIT 50"", 0))"),"#N/A")</f>
        <v>#N/A</v>
      </c>
      <c r="R302" s="24" t="str">
        <f>IFERROR(__xludf.DUMMYFUNCTION("IFERROR(
  LET(
    data, QUERY(GOOGLEFINANCE(C302,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GOOGLEFINANCE(C302, ""price"")) * 100,
    IF(calc=0, G302, calc)
  ), 
G302)"),"#N/A")</f>
        <v>#N/A</v>
      </c>
      <c r="S302" s="8" t="s">
        <v>15</v>
      </c>
      <c r="T302" s="26" t="str">
        <f>IFERROR(__xludf.DUMMYFUNCTION("IFERROR(TRANSPOSE(QUERY(IFERROR(SORT(GOOGLEFINANCE(C302, ""price"", WORKDAY(TODAY(), -40), TODAY()), 1, FALSE)), ""select Col2 where Col2 is not null limit 22 label Col2 ''"", 0)), """")"),"")</f>
        <v/>
      </c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8"/>
      <c r="AO302" s="28"/>
      <c r="AP302" s="29"/>
      <c r="AQ302" s="29" t="str">
        <f t="shared" ref="AQ302:BL302" si="305">T302/T$2</f>
        <v>#N/A</v>
      </c>
      <c r="AR302" s="29" t="str">
        <f t="shared" si="305"/>
        <v>#DIV/0!</v>
      </c>
      <c r="AS302" s="29" t="str">
        <f t="shared" si="305"/>
        <v>#DIV/0!</v>
      </c>
      <c r="AT302" s="29" t="str">
        <f t="shared" si="305"/>
        <v>#DIV/0!</v>
      </c>
      <c r="AU302" s="29" t="str">
        <f t="shared" si="305"/>
        <v>#DIV/0!</v>
      </c>
      <c r="AV302" s="29" t="str">
        <f t="shared" si="305"/>
        <v>#DIV/0!</v>
      </c>
      <c r="AW302" s="29" t="str">
        <f t="shared" si="305"/>
        <v>#DIV/0!</v>
      </c>
      <c r="AX302" s="29" t="str">
        <f t="shared" si="305"/>
        <v>#DIV/0!</v>
      </c>
      <c r="AY302" s="29" t="str">
        <f t="shared" si="305"/>
        <v>#DIV/0!</v>
      </c>
      <c r="AZ302" s="29" t="str">
        <f t="shared" si="305"/>
        <v>#DIV/0!</v>
      </c>
      <c r="BA302" s="29" t="str">
        <f t="shared" si="305"/>
        <v>#DIV/0!</v>
      </c>
      <c r="BB302" s="29" t="str">
        <f t="shared" si="305"/>
        <v>#DIV/0!</v>
      </c>
      <c r="BC302" s="29" t="str">
        <f t="shared" si="305"/>
        <v>#DIV/0!</v>
      </c>
      <c r="BD302" s="29" t="str">
        <f t="shared" si="305"/>
        <v>#DIV/0!</v>
      </c>
      <c r="BE302" s="29" t="str">
        <f t="shared" si="305"/>
        <v>#DIV/0!</v>
      </c>
      <c r="BF302" s="29" t="str">
        <f t="shared" si="305"/>
        <v>#DIV/0!</v>
      </c>
      <c r="BG302" s="29" t="str">
        <f t="shared" si="305"/>
        <v>#DIV/0!</v>
      </c>
      <c r="BH302" s="29" t="str">
        <f t="shared" si="305"/>
        <v>#DIV/0!</v>
      </c>
      <c r="BI302" s="29" t="str">
        <f t="shared" si="305"/>
        <v>#DIV/0!</v>
      </c>
      <c r="BJ302" s="29" t="str">
        <f t="shared" si="305"/>
        <v>#DIV/0!</v>
      </c>
      <c r="BK302" s="29" t="str">
        <f t="shared" si="305"/>
        <v>#DIV/0!</v>
      </c>
      <c r="BL302" s="29" t="str">
        <f t="shared" si="305"/>
        <v>#DIV/0!</v>
      </c>
      <c r="BM302" s="29" t="str">
        <f t="shared" si="3"/>
        <v>#DIV/0!</v>
      </c>
    </row>
    <row r="303">
      <c r="A303" s="16" t="str">
        <f>IFERROR(__xludf.DUMMYFUNCTION("IFERROR(SPARKLINE(SORT(MAP(TRANSPOSE(AQ303:BL303), LAMBDA(val, IF(ISNUMBER(val), PERCENTRANK(AQ303:BL303, val)+0.01, 0))), SEQUENCE(COLUMNS(AQ303:BL303)), FALSE), {""charttype"",""column""; ""color"",""chartreuse""; ""ymin"", 0; ""ymax"", 1.01; ""highcolo"&amp;"r"", ""darkgreen""; ""lowcolor"", ""red""}), """")"),"")</f>
        <v/>
      </c>
      <c r="B303" s="17" t="str">
        <f t="shared" si="4"/>
        <v/>
      </c>
      <c r="C303" s="1" t="s">
        <v>1241</v>
      </c>
      <c r="D303" s="30" t="str">
        <f>IFERROR(__xludf.DUMMYFUNCTION("IFERROR(GOOGLEFINANCE(C303, ""NAME""))"),"Carriage Services Inc")</f>
        <v>Carriage Services Inc</v>
      </c>
      <c r="E303" s="30" t="s">
        <v>154</v>
      </c>
      <c r="F303" s="33" t="str">
        <f>IFERROR(__xludf.DUMMYFUNCTION("( (GOOGLEFINANCE(C303, ""price"") - Q303) / Q303 ) / (R303 / 100)"),"Loading...")</f>
        <v>Loading...</v>
      </c>
      <c r="G303" s="20" t="str">
        <f>IFERROR(__xludf.DUMMYFUNCTION("AVERAGE(ARRAYFORMULA(100 * (QUERY(GOOGLEFINANCE(C303, ""high"", TODAY()-40, TODAY()), ""SELECT Col2 WHERE Col2 IS NOT NULL ORDER BY Col1 DESC LIMIT 20"", 0) / QUERY(GOOGLEFINANCE(C303, ""low"", TODAY()-40, TODAY()), ""SELECT Col2 WHERE Col2 IS NOT NULL OR"&amp;"DER BY Col1 DESC LIMIT 20"", 0) - 1)))"),"#N/A")</f>
        <v>#N/A</v>
      </c>
      <c r="H303" s="35" t="str">
        <f t="shared" si="6"/>
        <v/>
      </c>
      <c r="I303" s="35" t="str">
        <f t="shared" si="7"/>
        <v/>
      </c>
      <c r="J303" s="37" t="str">
        <f>IFERROR(__xludf.DUMMYFUNCTION("IFERROR(
  IF(C303="""",, 
    IFERROR(
      GOOGLEFINANCE(C303, ""price"") * GOOGLEFINANCE(C303, ""volumeavg""), 
      GOOGLEFINANCE(C303, ""price"") * AVERAGE(QUERY(GOOGLEFINANCE(C303, ""volume"", TODAY()-40, TODAY()), ""SELECT Col2 WHERE Col2 IS NOT "&amp;"NULL ORDER BY Col1 DESC LIMIT 20"", 0))
    )
  ), 
"""")"),"")</f>
        <v/>
      </c>
      <c r="K303" s="21" t="str">
        <f>IFERROR(__xludf.DUMMYFUNCTION("IFERROR(GOOGLEFINANCE(C303, ""changepct"") / 100, """")"),"")</f>
        <v/>
      </c>
      <c r="L303" s="21" t="str">
        <f>IFERROR(__xludf.DUMMYFUNCTION("IFERROR((GOOGLEFINANCE(C303, ""price"") / INDEX(GOOGLEFINANCE(C303, ""price"", TODAY()-7, TODAY()), 2, 2)) - 1, """")"),"")</f>
        <v/>
      </c>
      <c r="M303" s="21" t="str">
        <f>IFERROR(__xludf.DUMMYFUNCTION("IFERROR((GOOGLEFINANCE(C303, ""price"") / INDEX(GOOGLEFINANCE(C303, ""price"", EDATE(TODAY(), -1), TODAY()), 2, 2)) - 1, """")"),"")</f>
        <v/>
      </c>
      <c r="N303" s="21" t="str">
        <f>IFERROR(__xludf.DUMMYFUNCTION("IFERROR((GOOGLEFINANCE(C303, ""price"") / INDEX(GOOGLEFINANCE(C303, ""price"", EDATE(TODAY(), -3), TODAY()), 2, 2)) - 1, """")"),"")</f>
        <v/>
      </c>
      <c r="O303" s="21" t="str">
        <f>IFERROR(__xludf.DUMMYFUNCTION("IFERROR((GOOGLEFINANCE(C303, ""price"") / INDEX(GOOGLEFINANCE(C303, ""price"", EDATE(TODAY(), -6), TODAY()), 2, 2)) - 1, """")"),"")</f>
        <v/>
      </c>
      <c r="P303" s="21" t="str">
        <f>IFERROR(__xludf.DUMMYFUNCTION("IFERROR((GOOGLEFINANCE(C303, ""price"") / INDEX(GOOGLEFINANCE(C303, ""price"", EDATE(TODAY(), -12), TODAY()), 2, 2)) - 1, """")"),"")</f>
        <v/>
      </c>
      <c r="Q303" s="6" t="str">
        <f>IFERROR(__xludf.DUMMYFUNCTION("AVERAGE(QUERY(GOOGLEFINANCE(C303, ""price"", TODAY()-80, TODAY()), ""SELECT Col2 WHERE Col2 IS NOT NULL ORDER BY Col1 DESC LIMIT 50"", 0))"),"#N/A")</f>
        <v>#N/A</v>
      </c>
      <c r="R303" s="24" t="str">
        <f>IFERROR(__xludf.DUMMYFUNCTION("IFERROR(
  LET(
    data, QUERY(GOOGLEFINANCE(C303,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GOOGLEFINANCE(C303, ""price"")) * 100,
    IF(calc=0, G303, calc)
  ), 
G303)"),"#N/A")</f>
        <v>#N/A</v>
      </c>
      <c r="S303" s="8" t="s">
        <v>15</v>
      </c>
      <c r="T303" s="26" t="str">
        <f>IFERROR(__xludf.DUMMYFUNCTION("IFERROR(TRANSPOSE(QUERY(IFERROR(SORT(GOOGLEFINANCE(C303, ""price"", WORKDAY(TODAY(), -40), TODAY()), 1, FALSE)), ""select Col2 where Col2 is not null limit 22 label Col2 ''"", 0)), """")"),"")</f>
        <v/>
      </c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8"/>
      <c r="AO303" s="28"/>
      <c r="AP303" s="29"/>
      <c r="AQ303" s="29" t="str">
        <f t="shared" ref="AQ303:BL303" si="306">T303/T$2</f>
        <v>#N/A</v>
      </c>
      <c r="AR303" s="29" t="str">
        <f t="shared" si="306"/>
        <v>#DIV/0!</v>
      </c>
      <c r="AS303" s="29" t="str">
        <f t="shared" si="306"/>
        <v>#DIV/0!</v>
      </c>
      <c r="AT303" s="29" t="str">
        <f t="shared" si="306"/>
        <v>#DIV/0!</v>
      </c>
      <c r="AU303" s="29" t="str">
        <f t="shared" si="306"/>
        <v>#DIV/0!</v>
      </c>
      <c r="AV303" s="29" t="str">
        <f t="shared" si="306"/>
        <v>#DIV/0!</v>
      </c>
      <c r="AW303" s="29" t="str">
        <f t="shared" si="306"/>
        <v>#DIV/0!</v>
      </c>
      <c r="AX303" s="29" t="str">
        <f t="shared" si="306"/>
        <v>#DIV/0!</v>
      </c>
      <c r="AY303" s="29" t="str">
        <f t="shared" si="306"/>
        <v>#DIV/0!</v>
      </c>
      <c r="AZ303" s="29" t="str">
        <f t="shared" si="306"/>
        <v>#DIV/0!</v>
      </c>
      <c r="BA303" s="29" t="str">
        <f t="shared" si="306"/>
        <v>#DIV/0!</v>
      </c>
      <c r="BB303" s="29" t="str">
        <f t="shared" si="306"/>
        <v>#DIV/0!</v>
      </c>
      <c r="BC303" s="29" t="str">
        <f t="shared" si="306"/>
        <v>#DIV/0!</v>
      </c>
      <c r="BD303" s="29" t="str">
        <f t="shared" si="306"/>
        <v>#DIV/0!</v>
      </c>
      <c r="BE303" s="29" t="str">
        <f t="shared" si="306"/>
        <v>#DIV/0!</v>
      </c>
      <c r="BF303" s="29" t="str">
        <f t="shared" si="306"/>
        <v>#DIV/0!</v>
      </c>
      <c r="BG303" s="29" t="str">
        <f t="shared" si="306"/>
        <v>#DIV/0!</v>
      </c>
      <c r="BH303" s="29" t="str">
        <f t="shared" si="306"/>
        <v>#DIV/0!</v>
      </c>
      <c r="BI303" s="29" t="str">
        <f t="shared" si="306"/>
        <v>#DIV/0!</v>
      </c>
      <c r="BJ303" s="29" t="str">
        <f t="shared" si="306"/>
        <v>#DIV/0!</v>
      </c>
      <c r="BK303" s="29" t="str">
        <f t="shared" si="306"/>
        <v>#DIV/0!</v>
      </c>
      <c r="BL303" s="29" t="str">
        <f t="shared" si="306"/>
        <v>#DIV/0!</v>
      </c>
      <c r="BM303" s="29" t="str">
        <f t="shared" si="3"/>
        <v>#DIV/0!</v>
      </c>
    </row>
    <row r="304">
      <c r="A304" s="16" t="str">
        <f>IFERROR(__xludf.DUMMYFUNCTION("IFERROR(SPARKLINE(SORT(MAP(TRANSPOSE(AQ304:BL304), LAMBDA(val, IF(ISNUMBER(val), PERCENTRANK(AQ304:BL304, val)+0.01, 0))), SEQUENCE(COLUMNS(AQ304:BL304)), FALSE), {""charttype"",""column""; ""color"",""chartreuse""; ""ymin"", 0; ""ymax"", 1.01; ""highcolo"&amp;"r"", ""darkgreen""; ""lowcolor"", ""red""}), """")"),"")</f>
        <v/>
      </c>
      <c r="B304" s="17" t="str">
        <f t="shared" si="4"/>
        <v/>
      </c>
      <c r="C304" s="1" t="s">
        <v>1249</v>
      </c>
      <c r="D304" s="30" t="str">
        <f>IFERROR(__xludf.DUMMYFUNCTION("IFERROR(GOOGLEFINANCE(C304, ""NAME""))"),"Winmark Corp")</f>
        <v>Winmark Corp</v>
      </c>
      <c r="E304" s="30" t="s">
        <v>184</v>
      </c>
      <c r="F304" s="33" t="str">
        <f>IFERROR(__xludf.DUMMYFUNCTION("( (GOOGLEFINANCE(C304, ""price"") - Q304) / Q304 ) / (R304 / 100)"),"Loading...")</f>
        <v>Loading...</v>
      </c>
      <c r="G304" s="20" t="str">
        <f>IFERROR(__xludf.DUMMYFUNCTION("AVERAGE(ARRAYFORMULA(100 * (QUERY(GOOGLEFINANCE(C304, ""high"", TODAY()-40, TODAY()), ""SELECT Col2 WHERE Col2 IS NOT NULL ORDER BY Col1 DESC LIMIT 20"", 0) / QUERY(GOOGLEFINANCE(C304, ""low"", TODAY()-40, TODAY()), ""SELECT Col2 WHERE Col2 IS NOT NULL OR"&amp;"DER BY Col1 DESC LIMIT 20"", 0) - 1)))"),"#N/A")</f>
        <v>#N/A</v>
      </c>
      <c r="H304" s="35" t="str">
        <f t="shared" si="6"/>
        <v/>
      </c>
      <c r="I304" s="35" t="str">
        <f t="shared" si="7"/>
        <v/>
      </c>
      <c r="J304" s="37" t="str">
        <f>IFERROR(__xludf.DUMMYFUNCTION("IFERROR(
  IF(C304="""",, 
    IFERROR(
      GOOGLEFINANCE(C304, ""price"") * GOOGLEFINANCE(C304, ""volumeavg""), 
      GOOGLEFINANCE(C304, ""price"") * AVERAGE(QUERY(GOOGLEFINANCE(C304, ""volume"", TODAY()-40, TODAY()), ""SELECT Col2 WHERE Col2 IS NOT "&amp;"NULL ORDER BY Col1 DESC LIMIT 20"", 0))
    )
  ), 
"""")"),"")</f>
        <v/>
      </c>
      <c r="K304" s="21" t="str">
        <f>IFERROR(__xludf.DUMMYFUNCTION("IFERROR(GOOGLEFINANCE(C304, ""changepct"") / 100, """")"),"")</f>
        <v/>
      </c>
      <c r="L304" s="21" t="str">
        <f>IFERROR(__xludf.DUMMYFUNCTION("IFERROR((GOOGLEFINANCE(C304, ""price"") / INDEX(GOOGLEFINANCE(C304, ""price"", TODAY()-7, TODAY()), 2, 2)) - 1, """")"),"")</f>
        <v/>
      </c>
      <c r="M304" s="21" t="str">
        <f>IFERROR(__xludf.DUMMYFUNCTION("IFERROR((GOOGLEFINANCE(C304, ""price"") / INDEX(GOOGLEFINANCE(C304, ""price"", EDATE(TODAY(), -1), TODAY()), 2, 2)) - 1, """")"),"")</f>
        <v/>
      </c>
      <c r="N304" s="21" t="str">
        <f>IFERROR(__xludf.DUMMYFUNCTION("IFERROR((GOOGLEFINANCE(C304, ""price"") / INDEX(GOOGLEFINANCE(C304, ""price"", EDATE(TODAY(), -3), TODAY()), 2, 2)) - 1, """")"),"")</f>
        <v/>
      </c>
      <c r="O304" s="21" t="str">
        <f>IFERROR(__xludf.DUMMYFUNCTION("IFERROR((GOOGLEFINANCE(C304, ""price"") / INDEX(GOOGLEFINANCE(C304, ""price"", EDATE(TODAY(), -6), TODAY()), 2, 2)) - 1, """")"),"")</f>
        <v/>
      </c>
      <c r="P304" s="21" t="str">
        <f>IFERROR(__xludf.DUMMYFUNCTION("IFERROR((GOOGLEFINANCE(C304, ""price"") / INDEX(GOOGLEFINANCE(C304, ""price"", EDATE(TODAY(), -12), TODAY()), 2, 2)) - 1, """")"),"")</f>
        <v/>
      </c>
      <c r="Q304" s="6" t="str">
        <f>IFERROR(__xludf.DUMMYFUNCTION("AVERAGE(QUERY(GOOGLEFINANCE(C304, ""price"", TODAY()-80, TODAY()), ""SELECT Col2 WHERE Col2 IS NOT NULL ORDER BY Col1 DESC LIMIT 50"", 0))"),"#N/A")</f>
        <v>#N/A</v>
      </c>
      <c r="R304" s="24" t="str">
        <f>IFERROR(__xludf.DUMMYFUNCTION("IFERROR(
  LET(
    data, QUERY(GOOGLEFINANCE(C304,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GOOGLEFINANCE(C304, ""price"")) * 100,
    IF(calc=0, G304, calc)
  ), 
G304)"),"#N/A")</f>
        <v>#N/A</v>
      </c>
      <c r="S304" s="8" t="s">
        <v>15</v>
      </c>
      <c r="T304" s="26" t="str">
        <f>IFERROR(__xludf.DUMMYFUNCTION("IFERROR(TRANSPOSE(QUERY(IFERROR(SORT(GOOGLEFINANCE(C304, ""price"", WORKDAY(TODAY(), -40), TODAY()), 1, FALSE)), ""select Col2 where Col2 is not null limit 22 label Col2 ''"", 0)), """")"),"")</f>
        <v/>
      </c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8"/>
      <c r="AO304" s="28"/>
      <c r="AP304" s="29"/>
      <c r="AQ304" s="29" t="str">
        <f t="shared" ref="AQ304:BL304" si="307">T304/T$2</f>
        <v>#N/A</v>
      </c>
      <c r="AR304" s="29" t="str">
        <f t="shared" si="307"/>
        <v>#DIV/0!</v>
      </c>
      <c r="AS304" s="29" t="str">
        <f t="shared" si="307"/>
        <v>#DIV/0!</v>
      </c>
      <c r="AT304" s="29" t="str">
        <f t="shared" si="307"/>
        <v>#DIV/0!</v>
      </c>
      <c r="AU304" s="29" t="str">
        <f t="shared" si="307"/>
        <v>#DIV/0!</v>
      </c>
      <c r="AV304" s="29" t="str">
        <f t="shared" si="307"/>
        <v>#DIV/0!</v>
      </c>
      <c r="AW304" s="29" t="str">
        <f t="shared" si="307"/>
        <v>#DIV/0!</v>
      </c>
      <c r="AX304" s="29" t="str">
        <f t="shared" si="307"/>
        <v>#DIV/0!</v>
      </c>
      <c r="AY304" s="29" t="str">
        <f t="shared" si="307"/>
        <v>#DIV/0!</v>
      </c>
      <c r="AZ304" s="29" t="str">
        <f t="shared" si="307"/>
        <v>#DIV/0!</v>
      </c>
      <c r="BA304" s="29" t="str">
        <f t="shared" si="307"/>
        <v>#DIV/0!</v>
      </c>
      <c r="BB304" s="29" t="str">
        <f t="shared" si="307"/>
        <v>#DIV/0!</v>
      </c>
      <c r="BC304" s="29" t="str">
        <f t="shared" si="307"/>
        <v>#DIV/0!</v>
      </c>
      <c r="BD304" s="29" t="str">
        <f t="shared" si="307"/>
        <v>#DIV/0!</v>
      </c>
      <c r="BE304" s="29" t="str">
        <f t="shared" si="307"/>
        <v>#DIV/0!</v>
      </c>
      <c r="BF304" s="29" t="str">
        <f t="shared" si="307"/>
        <v>#DIV/0!</v>
      </c>
      <c r="BG304" s="29" t="str">
        <f t="shared" si="307"/>
        <v>#DIV/0!</v>
      </c>
      <c r="BH304" s="29" t="str">
        <f t="shared" si="307"/>
        <v>#DIV/0!</v>
      </c>
      <c r="BI304" s="29" t="str">
        <f t="shared" si="307"/>
        <v>#DIV/0!</v>
      </c>
      <c r="BJ304" s="29" t="str">
        <f t="shared" si="307"/>
        <v>#DIV/0!</v>
      </c>
      <c r="BK304" s="29" t="str">
        <f t="shared" si="307"/>
        <v>#DIV/0!</v>
      </c>
      <c r="BL304" s="29" t="str">
        <f t="shared" si="307"/>
        <v>#DIV/0!</v>
      </c>
      <c r="BM304" s="29" t="str">
        <f t="shared" si="3"/>
        <v>#DIV/0!</v>
      </c>
    </row>
    <row r="305">
      <c r="A305" s="16" t="str">
        <f>IFERROR(__xludf.DUMMYFUNCTION("IFERROR(SPARKLINE(SORT(MAP(TRANSPOSE(AQ305:BL305), LAMBDA(val, IF(ISNUMBER(val), PERCENTRANK(AQ305:BL305, val)+0.01, 0))), SEQUENCE(COLUMNS(AQ305:BL305)), FALSE), {""charttype"",""column""; ""color"",""chartreuse""; ""ymin"", 0; ""ymax"", 1.01; ""highcolo"&amp;"r"", ""darkgreen""; ""lowcolor"", ""red""}), """")"),"")</f>
        <v/>
      </c>
      <c r="B305" s="17" t="str">
        <f t="shared" si="4"/>
        <v/>
      </c>
      <c r="C305" s="1" t="s">
        <v>1254</v>
      </c>
      <c r="D305" s="30" t="str">
        <f>IFERROR(__xludf.DUMMYFUNCTION("IFERROR(GOOGLEFINANCE(C305, ""NAME""))"),"RealReal Inc")</f>
        <v>RealReal Inc</v>
      </c>
      <c r="E305" s="30" t="s">
        <v>170</v>
      </c>
      <c r="F305" s="33" t="str">
        <f>IFERROR(__xludf.DUMMYFUNCTION("( (GOOGLEFINANCE(C305, ""price"") - Q305) / Q305 ) / (R305 / 100)"),"Loading...")</f>
        <v>Loading...</v>
      </c>
      <c r="G305" s="20" t="str">
        <f>IFERROR(__xludf.DUMMYFUNCTION("AVERAGE(ARRAYFORMULA(100 * (QUERY(GOOGLEFINANCE(C305, ""high"", TODAY()-40, TODAY()), ""SELECT Col2 WHERE Col2 IS NOT NULL ORDER BY Col1 DESC LIMIT 20"", 0) / QUERY(GOOGLEFINANCE(C305, ""low"", TODAY()-40, TODAY()), ""SELECT Col2 WHERE Col2 IS NOT NULL OR"&amp;"DER BY Col1 DESC LIMIT 20"", 0) - 1)))"),"#N/A")</f>
        <v>#N/A</v>
      </c>
      <c r="H305" s="35" t="str">
        <f t="shared" si="6"/>
        <v/>
      </c>
      <c r="I305" s="35" t="str">
        <f t="shared" si="7"/>
        <v/>
      </c>
      <c r="J305" s="37" t="str">
        <f>IFERROR(__xludf.DUMMYFUNCTION("IFERROR(
  IF(C305="""",, 
    IFERROR(
      GOOGLEFINANCE(C305, ""price"") * GOOGLEFINANCE(C305, ""volumeavg""), 
      GOOGLEFINANCE(C305, ""price"") * AVERAGE(QUERY(GOOGLEFINANCE(C305, ""volume"", TODAY()-40, TODAY()), ""SELECT Col2 WHERE Col2 IS NOT "&amp;"NULL ORDER BY Col1 DESC LIMIT 20"", 0))
    )
  ), 
"""")"),"")</f>
        <v/>
      </c>
      <c r="K305" s="21" t="str">
        <f>IFERROR(__xludf.DUMMYFUNCTION("IFERROR(GOOGLEFINANCE(C305, ""changepct"") / 100, """")"),"")</f>
        <v/>
      </c>
      <c r="L305" s="21" t="str">
        <f>IFERROR(__xludf.DUMMYFUNCTION("IFERROR((GOOGLEFINANCE(C305, ""price"") / INDEX(GOOGLEFINANCE(C305, ""price"", TODAY()-7, TODAY()), 2, 2)) - 1, """")"),"")</f>
        <v/>
      </c>
      <c r="M305" s="21" t="str">
        <f>IFERROR(__xludf.DUMMYFUNCTION("IFERROR((GOOGLEFINANCE(C305, ""price"") / INDEX(GOOGLEFINANCE(C305, ""price"", EDATE(TODAY(), -1), TODAY()), 2, 2)) - 1, """")"),"")</f>
        <v/>
      </c>
      <c r="N305" s="21" t="str">
        <f>IFERROR(__xludf.DUMMYFUNCTION("IFERROR((GOOGLEFINANCE(C305, ""price"") / INDEX(GOOGLEFINANCE(C305, ""price"", EDATE(TODAY(), -3), TODAY()), 2, 2)) - 1, """")"),"")</f>
        <v/>
      </c>
      <c r="O305" s="21" t="str">
        <f>IFERROR(__xludf.DUMMYFUNCTION("IFERROR((GOOGLEFINANCE(C305, ""price"") / INDEX(GOOGLEFINANCE(C305, ""price"", EDATE(TODAY(), -6), TODAY()), 2, 2)) - 1, """")"),"")</f>
        <v/>
      </c>
      <c r="P305" s="21" t="str">
        <f>IFERROR(__xludf.DUMMYFUNCTION("IFERROR((GOOGLEFINANCE(C305, ""price"") / INDEX(GOOGLEFINANCE(C305, ""price"", EDATE(TODAY(), -12), TODAY()), 2, 2)) - 1, """")"),"")</f>
        <v/>
      </c>
      <c r="Q305" s="6" t="str">
        <f>IFERROR(__xludf.DUMMYFUNCTION("AVERAGE(QUERY(GOOGLEFINANCE(C305, ""price"", TODAY()-80, TODAY()), ""SELECT Col2 WHERE Col2 IS NOT NULL ORDER BY Col1 DESC LIMIT 50"", 0))"),"#N/A")</f>
        <v>#N/A</v>
      </c>
      <c r="R305" s="24" t="str">
        <f>IFERROR(__xludf.DUMMYFUNCTION("IFERROR(
  LET(
    data, QUERY(GOOGLEFINANCE(C305,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GOOGLEFINANCE(C305, ""price"")) * 100,
    IF(calc=0, G305, calc)
  ), 
G305)"),"#N/A")</f>
        <v>#N/A</v>
      </c>
      <c r="S305" s="8" t="s">
        <v>15</v>
      </c>
      <c r="T305" s="26" t="str">
        <f>IFERROR(__xludf.DUMMYFUNCTION("IFERROR(TRANSPOSE(QUERY(IFERROR(SORT(GOOGLEFINANCE(C305, ""price"", WORKDAY(TODAY(), -40), TODAY()), 1, FALSE)), ""select Col2 where Col2 is not null limit 22 label Col2 ''"", 0)), """")"),"")</f>
        <v/>
      </c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8"/>
      <c r="AO305" s="28"/>
      <c r="AP305" s="29"/>
      <c r="AQ305" s="29" t="str">
        <f t="shared" ref="AQ305:BL305" si="308">T305/T$2</f>
        <v>#N/A</v>
      </c>
      <c r="AR305" s="29" t="str">
        <f t="shared" si="308"/>
        <v>#DIV/0!</v>
      </c>
      <c r="AS305" s="29" t="str">
        <f t="shared" si="308"/>
        <v>#DIV/0!</v>
      </c>
      <c r="AT305" s="29" t="str">
        <f t="shared" si="308"/>
        <v>#DIV/0!</v>
      </c>
      <c r="AU305" s="29" t="str">
        <f t="shared" si="308"/>
        <v>#DIV/0!</v>
      </c>
      <c r="AV305" s="29" t="str">
        <f t="shared" si="308"/>
        <v>#DIV/0!</v>
      </c>
      <c r="AW305" s="29" t="str">
        <f t="shared" si="308"/>
        <v>#DIV/0!</v>
      </c>
      <c r="AX305" s="29" t="str">
        <f t="shared" si="308"/>
        <v>#DIV/0!</v>
      </c>
      <c r="AY305" s="29" t="str">
        <f t="shared" si="308"/>
        <v>#DIV/0!</v>
      </c>
      <c r="AZ305" s="29" t="str">
        <f t="shared" si="308"/>
        <v>#DIV/0!</v>
      </c>
      <c r="BA305" s="29" t="str">
        <f t="shared" si="308"/>
        <v>#DIV/0!</v>
      </c>
      <c r="BB305" s="29" t="str">
        <f t="shared" si="308"/>
        <v>#DIV/0!</v>
      </c>
      <c r="BC305" s="29" t="str">
        <f t="shared" si="308"/>
        <v>#DIV/0!</v>
      </c>
      <c r="BD305" s="29" t="str">
        <f t="shared" si="308"/>
        <v>#DIV/0!</v>
      </c>
      <c r="BE305" s="29" t="str">
        <f t="shared" si="308"/>
        <v>#DIV/0!</v>
      </c>
      <c r="BF305" s="29" t="str">
        <f t="shared" si="308"/>
        <v>#DIV/0!</v>
      </c>
      <c r="BG305" s="29" t="str">
        <f t="shared" si="308"/>
        <v>#DIV/0!</v>
      </c>
      <c r="BH305" s="29" t="str">
        <f t="shared" si="308"/>
        <v>#DIV/0!</v>
      </c>
      <c r="BI305" s="29" t="str">
        <f t="shared" si="308"/>
        <v>#DIV/0!</v>
      </c>
      <c r="BJ305" s="29" t="str">
        <f t="shared" si="308"/>
        <v>#DIV/0!</v>
      </c>
      <c r="BK305" s="29" t="str">
        <f t="shared" si="308"/>
        <v>#DIV/0!</v>
      </c>
      <c r="BL305" s="29" t="str">
        <f t="shared" si="308"/>
        <v>#DIV/0!</v>
      </c>
      <c r="BM305" s="29" t="str">
        <f t="shared" si="3"/>
        <v>#DIV/0!</v>
      </c>
    </row>
    <row r="306">
      <c r="A306" s="16" t="str">
        <f>IFERROR(__xludf.DUMMYFUNCTION("IFERROR(SPARKLINE(SORT(MAP(TRANSPOSE(AQ306:BL306), LAMBDA(val, IF(ISNUMBER(val), PERCENTRANK(AQ306:BL306, val)+0.01, 0))), SEQUENCE(COLUMNS(AQ306:BL306)), FALSE), {""charttype"",""column""; ""color"",""chartreuse""; ""ymin"", 0; ""ymax"", 1.01; ""highcolo"&amp;"r"", ""darkgreen""; ""lowcolor"", ""red""}), """")"),"")</f>
        <v/>
      </c>
      <c r="B306" s="17" t="str">
        <f t="shared" si="4"/>
        <v/>
      </c>
      <c r="C306" s="1" t="s">
        <v>1257</v>
      </c>
      <c r="D306" s="30" t="str">
        <f>IFERROR(__xludf.DUMMYFUNCTION("IFERROR(GOOGLEFINANCE(C306, ""NAME""))"),"Alibaba Group Holding Ltd - ADR")</f>
        <v>Alibaba Group Holding Ltd - ADR</v>
      </c>
      <c r="E306" s="30" t="s">
        <v>137</v>
      </c>
      <c r="F306" s="33" t="str">
        <f>IFERROR(__xludf.DUMMYFUNCTION("( (GOOGLEFINANCE(C306, ""price"") - Q306) / Q306 ) / (R306 / 100)"),"Loading...")</f>
        <v>Loading...</v>
      </c>
      <c r="G306" s="20" t="str">
        <f>IFERROR(__xludf.DUMMYFUNCTION("AVERAGE(ARRAYFORMULA(100 * (QUERY(GOOGLEFINANCE(C306, ""high"", TODAY()-40, TODAY()), ""SELECT Col2 WHERE Col2 IS NOT NULL ORDER BY Col1 DESC LIMIT 20"", 0) / QUERY(GOOGLEFINANCE(C306, ""low"", TODAY()-40, TODAY()), ""SELECT Col2 WHERE Col2 IS NOT NULL OR"&amp;"DER BY Col1 DESC LIMIT 20"", 0) - 1)))"),"#N/A")</f>
        <v>#N/A</v>
      </c>
      <c r="H306" s="35" t="str">
        <f t="shared" si="6"/>
        <v/>
      </c>
      <c r="I306" s="35" t="str">
        <f t="shared" si="7"/>
        <v/>
      </c>
      <c r="J306" s="37" t="str">
        <f>IFERROR(__xludf.DUMMYFUNCTION("IFERROR(
  IF(C306="""",, 
    IFERROR(
      GOOGLEFINANCE(C306, ""price"") * GOOGLEFINANCE(C306, ""volumeavg""), 
      GOOGLEFINANCE(C306, ""price"") * AVERAGE(QUERY(GOOGLEFINANCE(C306, ""volume"", TODAY()-40, TODAY()), ""SELECT Col2 WHERE Col2 IS NOT "&amp;"NULL ORDER BY Col1 DESC LIMIT 20"", 0))
    )
  ), 
"""")"),"")</f>
        <v/>
      </c>
      <c r="K306" s="21" t="str">
        <f>IFERROR(__xludf.DUMMYFUNCTION("IFERROR(GOOGLEFINANCE(C306, ""changepct"") / 100, """")"),"")</f>
        <v/>
      </c>
      <c r="L306" s="21" t="str">
        <f>IFERROR(__xludf.DUMMYFUNCTION("IFERROR((GOOGLEFINANCE(C306, ""price"") / INDEX(GOOGLEFINANCE(C306, ""price"", TODAY()-7, TODAY()), 2, 2)) - 1, """")"),"")</f>
        <v/>
      </c>
      <c r="M306" s="21" t="str">
        <f>IFERROR(__xludf.DUMMYFUNCTION("IFERROR((GOOGLEFINANCE(C306, ""price"") / INDEX(GOOGLEFINANCE(C306, ""price"", EDATE(TODAY(), -1), TODAY()), 2, 2)) - 1, """")"),"")</f>
        <v/>
      </c>
      <c r="N306" s="21" t="str">
        <f>IFERROR(__xludf.DUMMYFUNCTION("IFERROR((GOOGLEFINANCE(C306, ""price"") / INDEX(GOOGLEFINANCE(C306, ""price"", EDATE(TODAY(), -3), TODAY()), 2, 2)) - 1, """")"),"")</f>
        <v/>
      </c>
      <c r="O306" s="21" t="str">
        <f>IFERROR(__xludf.DUMMYFUNCTION("IFERROR((GOOGLEFINANCE(C306, ""price"") / INDEX(GOOGLEFINANCE(C306, ""price"", EDATE(TODAY(), -6), TODAY()), 2, 2)) - 1, """")"),"")</f>
        <v/>
      </c>
      <c r="P306" s="21" t="str">
        <f>IFERROR(__xludf.DUMMYFUNCTION("IFERROR((GOOGLEFINANCE(C306, ""price"") / INDEX(GOOGLEFINANCE(C306, ""price"", EDATE(TODAY(), -12), TODAY()), 2, 2)) - 1, """")"),"")</f>
        <v/>
      </c>
      <c r="Q306" s="6" t="str">
        <f>IFERROR(__xludf.DUMMYFUNCTION("AVERAGE(QUERY(GOOGLEFINANCE(C306, ""price"", TODAY()-80, TODAY()), ""SELECT Col2 WHERE Col2 IS NOT NULL ORDER BY Col1 DESC LIMIT 50"", 0))"),"#N/A")</f>
        <v>#N/A</v>
      </c>
      <c r="R306" s="24" t="str">
        <f>IFERROR(__xludf.DUMMYFUNCTION("IFERROR(
  LET(
    data, QUERY(GOOGLEFINANCE(C306,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GOOGLEFINANCE(C306, ""price"")) * 100,
    IF(calc=0, G306, calc)
  ), 
G306)"),"#N/A")</f>
        <v>#N/A</v>
      </c>
      <c r="S306" s="8" t="s">
        <v>15</v>
      </c>
      <c r="T306" s="26" t="str">
        <f>IFERROR(__xludf.DUMMYFUNCTION("IFERROR(TRANSPOSE(QUERY(IFERROR(SORT(GOOGLEFINANCE(C306, ""price"", WORKDAY(TODAY(), -40), TODAY()), 1, FALSE)), ""select Col2 where Col2 is not null limit 22 label Col2 ''"", 0)), """")"),"")</f>
        <v/>
      </c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8"/>
      <c r="AO306" s="28"/>
      <c r="AP306" s="29"/>
      <c r="AQ306" s="29" t="str">
        <f t="shared" ref="AQ306:BL306" si="309">T306/T$2</f>
        <v>#N/A</v>
      </c>
      <c r="AR306" s="29" t="str">
        <f t="shared" si="309"/>
        <v>#DIV/0!</v>
      </c>
      <c r="AS306" s="29" t="str">
        <f t="shared" si="309"/>
        <v>#DIV/0!</v>
      </c>
      <c r="AT306" s="29" t="str">
        <f t="shared" si="309"/>
        <v>#DIV/0!</v>
      </c>
      <c r="AU306" s="29" t="str">
        <f t="shared" si="309"/>
        <v>#DIV/0!</v>
      </c>
      <c r="AV306" s="29" t="str">
        <f t="shared" si="309"/>
        <v>#DIV/0!</v>
      </c>
      <c r="AW306" s="29" t="str">
        <f t="shared" si="309"/>
        <v>#DIV/0!</v>
      </c>
      <c r="AX306" s="29" t="str">
        <f t="shared" si="309"/>
        <v>#DIV/0!</v>
      </c>
      <c r="AY306" s="29" t="str">
        <f t="shared" si="309"/>
        <v>#DIV/0!</v>
      </c>
      <c r="AZ306" s="29" t="str">
        <f t="shared" si="309"/>
        <v>#DIV/0!</v>
      </c>
      <c r="BA306" s="29" t="str">
        <f t="shared" si="309"/>
        <v>#DIV/0!</v>
      </c>
      <c r="BB306" s="29" t="str">
        <f t="shared" si="309"/>
        <v>#DIV/0!</v>
      </c>
      <c r="BC306" s="29" t="str">
        <f t="shared" si="309"/>
        <v>#DIV/0!</v>
      </c>
      <c r="BD306" s="29" t="str">
        <f t="shared" si="309"/>
        <v>#DIV/0!</v>
      </c>
      <c r="BE306" s="29" t="str">
        <f t="shared" si="309"/>
        <v>#DIV/0!</v>
      </c>
      <c r="BF306" s="29" t="str">
        <f t="shared" si="309"/>
        <v>#DIV/0!</v>
      </c>
      <c r="BG306" s="29" t="str">
        <f t="shared" si="309"/>
        <v>#DIV/0!</v>
      </c>
      <c r="BH306" s="29" t="str">
        <f t="shared" si="309"/>
        <v>#DIV/0!</v>
      </c>
      <c r="BI306" s="29" t="str">
        <f t="shared" si="309"/>
        <v>#DIV/0!</v>
      </c>
      <c r="BJ306" s="29" t="str">
        <f t="shared" si="309"/>
        <v>#DIV/0!</v>
      </c>
      <c r="BK306" s="29" t="str">
        <f t="shared" si="309"/>
        <v>#DIV/0!</v>
      </c>
      <c r="BL306" s="29" t="str">
        <f t="shared" si="309"/>
        <v>#DIV/0!</v>
      </c>
      <c r="BM306" s="29" t="str">
        <f t="shared" si="3"/>
        <v>#DIV/0!</v>
      </c>
    </row>
    <row r="307">
      <c r="A307" s="16" t="str">
        <f>IFERROR(__xludf.DUMMYFUNCTION("IFERROR(SPARKLINE(SORT(MAP(TRANSPOSE(AQ307:BL307), LAMBDA(val, IF(ISNUMBER(val), PERCENTRANK(AQ307:BL307, val)+0.01, 0))), SEQUENCE(COLUMNS(AQ307:BL307)), FALSE), {""charttype"",""column""; ""color"",""chartreuse""; ""ymin"", 0; ""ymax"", 1.01; ""highcolo"&amp;"r"", ""darkgreen""; ""lowcolor"", ""red""}), """")"),"")</f>
        <v/>
      </c>
      <c r="B307" s="17" t="str">
        <f t="shared" si="4"/>
        <v/>
      </c>
      <c r="C307" s="1" t="s">
        <v>1260</v>
      </c>
      <c r="D307" s="30" t="str">
        <f>IFERROR(__xludf.DUMMYFUNCTION("IFERROR(GOOGLEFINANCE(C307, ""NAME""))"),"Dutch Bros Inc")</f>
        <v>Dutch Bros Inc</v>
      </c>
      <c r="E307" s="30" t="s">
        <v>126</v>
      </c>
      <c r="F307" s="33" t="str">
        <f>IFERROR(__xludf.DUMMYFUNCTION("( (GOOGLEFINANCE(C307, ""price"") - Q307) / Q307 ) / (R307 / 100)"),"Loading...")</f>
        <v>Loading...</v>
      </c>
      <c r="G307" s="20" t="str">
        <f>IFERROR(__xludf.DUMMYFUNCTION("AVERAGE(ARRAYFORMULA(100 * (QUERY(GOOGLEFINANCE(C307, ""high"", TODAY()-40, TODAY()), ""SELECT Col2 WHERE Col2 IS NOT NULL ORDER BY Col1 DESC LIMIT 20"", 0) / QUERY(GOOGLEFINANCE(C307, ""low"", TODAY()-40, TODAY()), ""SELECT Col2 WHERE Col2 IS NOT NULL OR"&amp;"DER BY Col1 DESC LIMIT 20"", 0) - 1)))"),"#N/A")</f>
        <v>#N/A</v>
      </c>
      <c r="H307" s="35" t="str">
        <f t="shared" si="6"/>
        <v/>
      </c>
      <c r="I307" s="35" t="str">
        <f t="shared" si="7"/>
        <v/>
      </c>
      <c r="J307" s="37" t="str">
        <f>IFERROR(__xludf.DUMMYFUNCTION("IFERROR(
  IF(C307="""",, 
    IFERROR(
      GOOGLEFINANCE(C307, ""price"") * GOOGLEFINANCE(C307, ""volumeavg""), 
      GOOGLEFINANCE(C307, ""price"") * AVERAGE(QUERY(GOOGLEFINANCE(C307, ""volume"", TODAY()-40, TODAY()), ""SELECT Col2 WHERE Col2 IS NOT "&amp;"NULL ORDER BY Col1 DESC LIMIT 20"", 0))
    )
  ), 
"""")"),"")</f>
        <v/>
      </c>
      <c r="K307" s="21" t="str">
        <f>IFERROR(__xludf.DUMMYFUNCTION("IFERROR(GOOGLEFINANCE(C307, ""changepct"") / 100, """")"),"")</f>
        <v/>
      </c>
      <c r="L307" s="21" t="str">
        <f>IFERROR(__xludf.DUMMYFUNCTION("IFERROR((GOOGLEFINANCE(C307, ""price"") / INDEX(GOOGLEFINANCE(C307, ""price"", TODAY()-7, TODAY()), 2, 2)) - 1, """")"),"")</f>
        <v/>
      </c>
      <c r="M307" s="21" t="str">
        <f>IFERROR(__xludf.DUMMYFUNCTION("IFERROR((GOOGLEFINANCE(C307, ""price"") / INDEX(GOOGLEFINANCE(C307, ""price"", EDATE(TODAY(), -1), TODAY()), 2, 2)) - 1, """")"),"")</f>
        <v/>
      </c>
      <c r="N307" s="21" t="str">
        <f>IFERROR(__xludf.DUMMYFUNCTION("IFERROR((GOOGLEFINANCE(C307, ""price"") / INDEX(GOOGLEFINANCE(C307, ""price"", EDATE(TODAY(), -3), TODAY()), 2, 2)) - 1, """")"),"")</f>
        <v/>
      </c>
      <c r="O307" s="21" t="str">
        <f>IFERROR(__xludf.DUMMYFUNCTION("IFERROR((GOOGLEFINANCE(C307, ""price"") / INDEX(GOOGLEFINANCE(C307, ""price"", EDATE(TODAY(), -6), TODAY()), 2, 2)) - 1, """")"),"")</f>
        <v/>
      </c>
      <c r="P307" s="21" t="str">
        <f>IFERROR(__xludf.DUMMYFUNCTION("IFERROR((GOOGLEFINANCE(C307, ""price"") / INDEX(GOOGLEFINANCE(C307, ""price"", EDATE(TODAY(), -12), TODAY()), 2, 2)) - 1, """")"),"")</f>
        <v/>
      </c>
      <c r="Q307" s="6" t="str">
        <f>IFERROR(__xludf.DUMMYFUNCTION("AVERAGE(QUERY(GOOGLEFINANCE(C307, ""price"", TODAY()-80, TODAY()), ""SELECT Col2 WHERE Col2 IS NOT NULL ORDER BY Col1 DESC LIMIT 50"", 0))"),"#N/A")</f>
        <v>#N/A</v>
      </c>
      <c r="R307" s="24" t="str">
        <f>IFERROR(__xludf.DUMMYFUNCTION("IFERROR(
  LET(
    data, QUERY(GOOGLEFINANCE(C307,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GOOGLEFINANCE(C307, ""price"")) * 100,
    IF(calc=0, G307, calc)
  ), 
G307)"),"#N/A")</f>
        <v>#N/A</v>
      </c>
      <c r="S307" s="8" t="s">
        <v>15</v>
      </c>
      <c r="T307" s="26" t="str">
        <f>IFERROR(__xludf.DUMMYFUNCTION("IFERROR(TRANSPOSE(QUERY(IFERROR(SORT(GOOGLEFINANCE(C307, ""price"", WORKDAY(TODAY(), -40), TODAY()), 1, FALSE)), ""select Col2 where Col2 is not null limit 22 label Col2 ''"", 0)), """")"),"")</f>
        <v/>
      </c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8"/>
      <c r="AO307" s="28"/>
      <c r="AP307" s="29"/>
      <c r="AQ307" s="29" t="str">
        <f t="shared" ref="AQ307:BL307" si="310">T307/T$2</f>
        <v>#N/A</v>
      </c>
      <c r="AR307" s="29" t="str">
        <f t="shared" si="310"/>
        <v>#DIV/0!</v>
      </c>
      <c r="AS307" s="29" t="str">
        <f t="shared" si="310"/>
        <v>#DIV/0!</v>
      </c>
      <c r="AT307" s="29" t="str">
        <f t="shared" si="310"/>
        <v>#DIV/0!</v>
      </c>
      <c r="AU307" s="29" t="str">
        <f t="shared" si="310"/>
        <v>#DIV/0!</v>
      </c>
      <c r="AV307" s="29" t="str">
        <f t="shared" si="310"/>
        <v>#DIV/0!</v>
      </c>
      <c r="AW307" s="29" t="str">
        <f t="shared" si="310"/>
        <v>#DIV/0!</v>
      </c>
      <c r="AX307" s="29" t="str">
        <f t="shared" si="310"/>
        <v>#DIV/0!</v>
      </c>
      <c r="AY307" s="29" t="str">
        <f t="shared" si="310"/>
        <v>#DIV/0!</v>
      </c>
      <c r="AZ307" s="29" t="str">
        <f t="shared" si="310"/>
        <v>#DIV/0!</v>
      </c>
      <c r="BA307" s="29" t="str">
        <f t="shared" si="310"/>
        <v>#DIV/0!</v>
      </c>
      <c r="BB307" s="29" t="str">
        <f t="shared" si="310"/>
        <v>#DIV/0!</v>
      </c>
      <c r="BC307" s="29" t="str">
        <f t="shared" si="310"/>
        <v>#DIV/0!</v>
      </c>
      <c r="BD307" s="29" t="str">
        <f t="shared" si="310"/>
        <v>#DIV/0!</v>
      </c>
      <c r="BE307" s="29" t="str">
        <f t="shared" si="310"/>
        <v>#DIV/0!</v>
      </c>
      <c r="BF307" s="29" t="str">
        <f t="shared" si="310"/>
        <v>#DIV/0!</v>
      </c>
      <c r="BG307" s="29" t="str">
        <f t="shared" si="310"/>
        <v>#DIV/0!</v>
      </c>
      <c r="BH307" s="29" t="str">
        <f t="shared" si="310"/>
        <v>#DIV/0!</v>
      </c>
      <c r="BI307" s="29" t="str">
        <f t="shared" si="310"/>
        <v>#DIV/0!</v>
      </c>
      <c r="BJ307" s="29" t="str">
        <f t="shared" si="310"/>
        <v>#DIV/0!</v>
      </c>
      <c r="BK307" s="29" t="str">
        <f t="shared" si="310"/>
        <v>#DIV/0!</v>
      </c>
      <c r="BL307" s="29" t="str">
        <f t="shared" si="310"/>
        <v>#DIV/0!</v>
      </c>
      <c r="BM307" s="29" t="str">
        <f t="shared" si="3"/>
        <v>#DIV/0!</v>
      </c>
    </row>
    <row r="308">
      <c r="A308" s="16" t="str">
        <f>IFERROR(__xludf.DUMMYFUNCTION("IFERROR(SPARKLINE(SORT(MAP(TRANSPOSE(AQ308:BL308), LAMBDA(val, IF(ISNUMBER(val), PERCENTRANK(AQ308:BL308, val)+0.01, 0))), SEQUENCE(COLUMNS(AQ308:BL308)), FALSE), {""charttype"",""column""; ""color"",""chartreuse""; ""ymin"", 0; ""ymax"", 1.01; ""highcolo"&amp;"r"", ""darkgreen""; ""lowcolor"", ""red""}), """")"),"")</f>
        <v/>
      </c>
      <c r="B308" s="17" t="str">
        <f t="shared" si="4"/>
        <v/>
      </c>
      <c r="C308" s="1" t="s">
        <v>1264</v>
      </c>
      <c r="D308" s="30" t="str">
        <f>IFERROR(__xludf.DUMMYFUNCTION("IFERROR(GOOGLEFINANCE(C308, ""NAME""))"),"Arhaus Inc")</f>
        <v>Arhaus Inc</v>
      </c>
      <c r="E308" s="30" t="s">
        <v>184</v>
      </c>
      <c r="F308" s="33" t="str">
        <f>IFERROR(__xludf.DUMMYFUNCTION("( (GOOGLEFINANCE(C308, ""price"") - Q308) / Q308 ) / (R308 / 100)"),"Loading...")</f>
        <v>Loading...</v>
      </c>
      <c r="G308" s="20" t="str">
        <f>IFERROR(__xludf.DUMMYFUNCTION("AVERAGE(ARRAYFORMULA(100 * (QUERY(GOOGLEFINANCE(C308, ""high"", TODAY()-40, TODAY()), ""SELECT Col2 WHERE Col2 IS NOT NULL ORDER BY Col1 DESC LIMIT 20"", 0) / QUERY(GOOGLEFINANCE(C308, ""low"", TODAY()-40, TODAY()), ""SELECT Col2 WHERE Col2 IS NOT NULL OR"&amp;"DER BY Col1 DESC LIMIT 20"", 0) - 1)))"),"#N/A")</f>
        <v>#N/A</v>
      </c>
      <c r="H308" s="35" t="str">
        <f t="shared" si="6"/>
        <v/>
      </c>
      <c r="I308" s="35" t="str">
        <f t="shared" si="7"/>
        <v/>
      </c>
      <c r="J308" s="37" t="str">
        <f>IFERROR(__xludf.DUMMYFUNCTION("IFERROR(
  IF(C308="""",, 
    IFERROR(
      GOOGLEFINANCE(C308, ""price"") * GOOGLEFINANCE(C308, ""volumeavg""), 
      GOOGLEFINANCE(C308, ""price"") * AVERAGE(QUERY(GOOGLEFINANCE(C308, ""volume"", TODAY()-40, TODAY()), ""SELECT Col2 WHERE Col2 IS NOT "&amp;"NULL ORDER BY Col1 DESC LIMIT 20"", 0))
    )
  ), 
"""")"),"")</f>
        <v/>
      </c>
      <c r="K308" s="21" t="str">
        <f>IFERROR(__xludf.DUMMYFUNCTION("IFERROR(GOOGLEFINANCE(C308, ""changepct"") / 100, """")"),"")</f>
        <v/>
      </c>
      <c r="L308" s="21" t="str">
        <f>IFERROR(__xludf.DUMMYFUNCTION("IFERROR((GOOGLEFINANCE(C308, ""price"") / INDEX(GOOGLEFINANCE(C308, ""price"", TODAY()-7, TODAY()), 2, 2)) - 1, """")"),"")</f>
        <v/>
      </c>
      <c r="M308" s="21" t="str">
        <f>IFERROR(__xludf.DUMMYFUNCTION("IFERROR((GOOGLEFINANCE(C308, ""price"") / INDEX(GOOGLEFINANCE(C308, ""price"", EDATE(TODAY(), -1), TODAY()), 2, 2)) - 1, """")"),"")</f>
        <v/>
      </c>
      <c r="N308" s="21" t="str">
        <f>IFERROR(__xludf.DUMMYFUNCTION("IFERROR((GOOGLEFINANCE(C308, ""price"") / INDEX(GOOGLEFINANCE(C308, ""price"", EDATE(TODAY(), -3), TODAY()), 2, 2)) - 1, """")"),"")</f>
        <v/>
      </c>
      <c r="O308" s="21" t="str">
        <f>IFERROR(__xludf.DUMMYFUNCTION("IFERROR((GOOGLEFINANCE(C308, ""price"") / INDEX(GOOGLEFINANCE(C308, ""price"", EDATE(TODAY(), -6), TODAY()), 2, 2)) - 1, """")"),"")</f>
        <v/>
      </c>
      <c r="P308" s="21" t="str">
        <f>IFERROR(__xludf.DUMMYFUNCTION("IFERROR((GOOGLEFINANCE(C308, ""price"") / INDEX(GOOGLEFINANCE(C308, ""price"", EDATE(TODAY(), -12), TODAY()), 2, 2)) - 1, """")"),"")</f>
        <v/>
      </c>
      <c r="Q308" s="6" t="str">
        <f>IFERROR(__xludf.DUMMYFUNCTION("AVERAGE(QUERY(GOOGLEFINANCE(C308, ""price"", TODAY()-80, TODAY()), ""SELECT Col2 WHERE Col2 IS NOT NULL ORDER BY Col1 DESC LIMIT 50"", 0))"),"#N/A")</f>
        <v>#N/A</v>
      </c>
      <c r="R308" s="24" t="str">
        <f>IFERROR(__xludf.DUMMYFUNCTION("IFERROR(
  LET(
    data, QUERY(GOOGLEFINANCE(C308,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GOOGLEFINANCE(C308, ""price"")) * 100,
    IF(calc=0, G308, calc)
  ), 
G308)"),"#N/A")</f>
        <v>#N/A</v>
      </c>
      <c r="S308" s="8" t="s">
        <v>15</v>
      </c>
      <c r="T308" s="26" t="str">
        <f>IFERROR(__xludf.DUMMYFUNCTION("IFERROR(TRANSPOSE(QUERY(IFERROR(SORT(GOOGLEFINANCE(C308, ""price"", WORKDAY(TODAY(), -40), TODAY()), 1, FALSE)), ""select Col2 where Col2 is not null limit 22 label Col2 ''"", 0)), """")"),"")</f>
        <v/>
      </c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8"/>
      <c r="AO308" s="28"/>
      <c r="AP308" s="29"/>
      <c r="AQ308" s="29" t="str">
        <f t="shared" ref="AQ308:BL308" si="311">T308/T$2</f>
        <v>#N/A</v>
      </c>
      <c r="AR308" s="29" t="str">
        <f t="shared" si="311"/>
        <v>#DIV/0!</v>
      </c>
      <c r="AS308" s="29" t="str">
        <f t="shared" si="311"/>
        <v>#DIV/0!</v>
      </c>
      <c r="AT308" s="29" t="str">
        <f t="shared" si="311"/>
        <v>#DIV/0!</v>
      </c>
      <c r="AU308" s="29" t="str">
        <f t="shared" si="311"/>
        <v>#DIV/0!</v>
      </c>
      <c r="AV308" s="29" t="str">
        <f t="shared" si="311"/>
        <v>#DIV/0!</v>
      </c>
      <c r="AW308" s="29" t="str">
        <f t="shared" si="311"/>
        <v>#DIV/0!</v>
      </c>
      <c r="AX308" s="29" t="str">
        <f t="shared" si="311"/>
        <v>#DIV/0!</v>
      </c>
      <c r="AY308" s="29" t="str">
        <f t="shared" si="311"/>
        <v>#DIV/0!</v>
      </c>
      <c r="AZ308" s="29" t="str">
        <f t="shared" si="311"/>
        <v>#DIV/0!</v>
      </c>
      <c r="BA308" s="29" t="str">
        <f t="shared" si="311"/>
        <v>#DIV/0!</v>
      </c>
      <c r="BB308" s="29" t="str">
        <f t="shared" si="311"/>
        <v>#DIV/0!</v>
      </c>
      <c r="BC308" s="29" t="str">
        <f t="shared" si="311"/>
        <v>#DIV/0!</v>
      </c>
      <c r="BD308" s="29" t="str">
        <f t="shared" si="311"/>
        <v>#DIV/0!</v>
      </c>
      <c r="BE308" s="29" t="str">
        <f t="shared" si="311"/>
        <v>#DIV/0!</v>
      </c>
      <c r="BF308" s="29" t="str">
        <f t="shared" si="311"/>
        <v>#DIV/0!</v>
      </c>
      <c r="BG308" s="29" t="str">
        <f t="shared" si="311"/>
        <v>#DIV/0!</v>
      </c>
      <c r="BH308" s="29" t="str">
        <f t="shared" si="311"/>
        <v>#DIV/0!</v>
      </c>
      <c r="BI308" s="29" t="str">
        <f t="shared" si="311"/>
        <v>#DIV/0!</v>
      </c>
      <c r="BJ308" s="29" t="str">
        <f t="shared" si="311"/>
        <v>#DIV/0!</v>
      </c>
      <c r="BK308" s="29" t="str">
        <f t="shared" si="311"/>
        <v>#DIV/0!</v>
      </c>
      <c r="BL308" s="29" t="str">
        <f t="shared" si="311"/>
        <v>#DIV/0!</v>
      </c>
      <c r="BM308" s="29" t="str">
        <f t="shared" si="3"/>
        <v>#DIV/0!</v>
      </c>
    </row>
    <row r="309">
      <c r="A309" s="16" t="str">
        <f>IFERROR(__xludf.DUMMYFUNCTION("IFERROR(SPARKLINE(SORT(MAP(TRANSPOSE(AQ309:BL309), LAMBDA(val, IF(ISNUMBER(val), PERCENTRANK(AQ309:BL309, val)+0.01, 0))), SEQUENCE(COLUMNS(AQ309:BL309)), FALSE), {""charttype"",""column""; ""color"",""chartreuse""; ""ymin"", 0; ""ymax"", 1.01; ""highcolo"&amp;"r"", ""darkgreen""; ""lowcolor"", ""red""}), """")"),"")</f>
        <v/>
      </c>
      <c r="B309" s="17" t="str">
        <f t="shared" si="4"/>
        <v/>
      </c>
      <c r="C309" s="1" t="s">
        <v>1267</v>
      </c>
      <c r="D309" s="30" t="str">
        <f>IFERROR(__xludf.DUMMYFUNCTION("IFERROR(GOOGLEFINANCE(C309, ""NAME""))"),"Goodyear Tire &amp; Rubber Co")</f>
        <v>Goodyear Tire &amp; Rubber Co</v>
      </c>
      <c r="E309" s="30" t="s">
        <v>109</v>
      </c>
      <c r="F309" s="33" t="str">
        <f>IFERROR(__xludf.DUMMYFUNCTION("( (GOOGLEFINANCE(C309, ""price"") - Q309) / Q309 ) / (R309 / 100)"),"Loading...")</f>
        <v>Loading...</v>
      </c>
      <c r="G309" s="20" t="str">
        <f>IFERROR(__xludf.DUMMYFUNCTION("AVERAGE(ARRAYFORMULA(100 * (QUERY(GOOGLEFINANCE(C309, ""high"", TODAY()-40, TODAY()), ""SELECT Col2 WHERE Col2 IS NOT NULL ORDER BY Col1 DESC LIMIT 20"", 0) / QUERY(GOOGLEFINANCE(C309, ""low"", TODAY()-40, TODAY()), ""SELECT Col2 WHERE Col2 IS NOT NULL OR"&amp;"DER BY Col1 DESC LIMIT 20"", 0) - 1)))"),"#N/A")</f>
        <v>#N/A</v>
      </c>
      <c r="H309" s="35" t="str">
        <f t="shared" si="6"/>
        <v/>
      </c>
      <c r="I309" s="35" t="str">
        <f t="shared" si="7"/>
        <v/>
      </c>
      <c r="J309" s="37" t="str">
        <f>IFERROR(__xludf.DUMMYFUNCTION("IFERROR(
  IF(C309="""",, 
    IFERROR(
      GOOGLEFINANCE(C309, ""price"") * GOOGLEFINANCE(C309, ""volumeavg""), 
      GOOGLEFINANCE(C309, ""price"") * AVERAGE(QUERY(GOOGLEFINANCE(C309, ""volume"", TODAY()-40, TODAY()), ""SELECT Col2 WHERE Col2 IS NOT "&amp;"NULL ORDER BY Col1 DESC LIMIT 20"", 0))
    )
  ), 
"""")"),"")</f>
        <v/>
      </c>
      <c r="K309" s="21" t="str">
        <f>IFERROR(__xludf.DUMMYFUNCTION("IFERROR(GOOGLEFINANCE(C309, ""changepct"") / 100, """")"),"")</f>
        <v/>
      </c>
      <c r="L309" s="21" t="str">
        <f>IFERROR(__xludf.DUMMYFUNCTION("IFERROR((GOOGLEFINANCE(C309, ""price"") / INDEX(GOOGLEFINANCE(C309, ""price"", TODAY()-7, TODAY()), 2, 2)) - 1, """")"),"")</f>
        <v/>
      </c>
      <c r="M309" s="21" t="str">
        <f>IFERROR(__xludf.DUMMYFUNCTION("IFERROR((GOOGLEFINANCE(C309, ""price"") / INDEX(GOOGLEFINANCE(C309, ""price"", EDATE(TODAY(), -1), TODAY()), 2, 2)) - 1, """")"),"")</f>
        <v/>
      </c>
      <c r="N309" s="21" t="str">
        <f>IFERROR(__xludf.DUMMYFUNCTION("IFERROR((GOOGLEFINANCE(C309, ""price"") / INDEX(GOOGLEFINANCE(C309, ""price"", EDATE(TODAY(), -3), TODAY()), 2, 2)) - 1, """")"),"")</f>
        <v/>
      </c>
      <c r="O309" s="21" t="str">
        <f>IFERROR(__xludf.DUMMYFUNCTION("IFERROR((GOOGLEFINANCE(C309, ""price"") / INDEX(GOOGLEFINANCE(C309, ""price"", EDATE(TODAY(), -6), TODAY()), 2, 2)) - 1, """")"),"")</f>
        <v/>
      </c>
      <c r="P309" s="21" t="str">
        <f>IFERROR(__xludf.DUMMYFUNCTION("IFERROR((GOOGLEFINANCE(C309, ""price"") / INDEX(GOOGLEFINANCE(C309, ""price"", EDATE(TODAY(), -12), TODAY()), 2, 2)) - 1, """")"),"")</f>
        <v/>
      </c>
      <c r="Q309" s="6" t="str">
        <f>IFERROR(__xludf.DUMMYFUNCTION("AVERAGE(QUERY(GOOGLEFINANCE(C309, ""price"", TODAY()-80, TODAY()), ""SELECT Col2 WHERE Col2 IS NOT NULL ORDER BY Col1 DESC LIMIT 50"", 0))"),"#N/A")</f>
        <v>#N/A</v>
      </c>
      <c r="R309" s="24" t="str">
        <f>IFERROR(__xludf.DUMMYFUNCTION("IFERROR(
  LET(
    data, QUERY(GOOGLEFINANCE(C309,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GOOGLEFINANCE(C309, ""price"")) * 100,
    IF(calc=0, G309, calc)
  ), 
G309)"),"#N/A")</f>
        <v>#N/A</v>
      </c>
      <c r="S309" s="8" t="s">
        <v>15</v>
      </c>
      <c r="T309" s="26" t="str">
        <f>IFERROR(__xludf.DUMMYFUNCTION("IFERROR(TRANSPOSE(QUERY(IFERROR(SORT(GOOGLEFINANCE(C309, ""price"", WORKDAY(TODAY(), -40), TODAY()), 1, FALSE)), ""select Col2 where Col2 is not null limit 22 label Col2 ''"", 0)), """")"),"")</f>
        <v/>
      </c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8"/>
      <c r="AO309" s="28"/>
      <c r="AP309" s="29"/>
      <c r="AQ309" s="29" t="str">
        <f t="shared" ref="AQ309:BL309" si="312">T309/T$2</f>
        <v>#N/A</v>
      </c>
      <c r="AR309" s="29" t="str">
        <f t="shared" si="312"/>
        <v>#DIV/0!</v>
      </c>
      <c r="AS309" s="29" t="str">
        <f t="shared" si="312"/>
        <v>#DIV/0!</v>
      </c>
      <c r="AT309" s="29" t="str">
        <f t="shared" si="312"/>
        <v>#DIV/0!</v>
      </c>
      <c r="AU309" s="29" t="str">
        <f t="shared" si="312"/>
        <v>#DIV/0!</v>
      </c>
      <c r="AV309" s="29" t="str">
        <f t="shared" si="312"/>
        <v>#DIV/0!</v>
      </c>
      <c r="AW309" s="29" t="str">
        <f t="shared" si="312"/>
        <v>#DIV/0!</v>
      </c>
      <c r="AX309" s="29" t="str">
        <f t="shared" si="312"/>
        <v>#DIV/0!</v>
      </c>
      <c r="AY309" s="29" t="str">
        <f t="shared" si="312"/>
        <v>#DIV/0!</v>
      </c>
      <c r="AZ309" s="29" t="str">
        <f t="shared" si="312"/>
        <v>#DIV/0!</v>
      </c>
      <c r="BA309" s="29" t="str">
        <f t="shared" si="312"/>
        <v>#DIV/0!</v>
      </c>
      <c r="BB309" s="29" t="str">
        <f t="shared" si="312"/>
        <v>#DIV/0!</v>
      </c>
      <c r="BC309" s="29" t="str">
        <f t="shared" si="312"/>
        <v>#DIV/0!</v>
      </c>
      <c r="BD309" s="29" t="str">
        <f t="shared" si="312"/>
        <v>#DIV/0!</v>
      </c>
      <c r="BE309" s="29" t="str">
        <f t="shared" si="312"/>
        <v>#DIV/0!</v>
      </c>
      <c r="BF309" s="29" t="str">
        <f t="shared" si="312"/>
        <v>#DIV/0!</v>
      </c>
      <c r="BG309" s="29" t="str">
        <f t="shared" si="312"/>
        <v>#DIV/0!</v>
      </c>
      <c r="BH309" s="29" t="str">
        <f t="shared" si="312"/>
        <v>#DIV/0!</v>
      </c>
      <c r="BI309" s="29" t="str">
        <f t="shared" si="312"/>
        <v>#DIV/0!</v>
      </c>
      <c r="BJ309" s="29" t="str">
        <f t="shared" si="312"/>
        <v>#DIV/0!</v>
      </c>
      <c r="BK309" s="29" t="str">
        <f t="shared" si="312"/>
        <v>#DIV/0!</v>
      </c>
      <c r="BL309" s="29" t="str">
        <f t="shared" si="312"/>
        <v>#DIV/0!</v>
      </c>
      <c r="BM309" s="29" t="str">
        <f t="shared" si="3"/>
        <v>#DIV/0!</v>
      </c>
    </row>
    <row r="310">
      <c r="A310" s="16" t="str">
        <f>IFERROR(__xludf.DUMMYFUNCTION("IFERROR(SPARKLINE(SORT(MAP(TRANSPOSE(AQ310:BL310), LAMBDA(val, IF(ISNUMBER(val), PERCENTRANK(AQ310:BL310, val)+0.01, 0))), SEQUENCE(COLUMNS(AQ310:BL310)), FALSE), {""charttype"",""column""; ""color"",""chartreuse""; ""ymin"", 0; ""ymax"", 1.01; ""highcolo"&amp;"r"", ""darkgreen""; ""lowcolor"", ""red""}), """")"),"")</f>
        <v/>
      </c>
      <c r="B310" s="17" t="str">
        <f t="shared" si="4"/>
        <v/>
      </c>
      <c r="C310" s="1" t="s">
        <v>1271</v>
      </c>
      <c r="D310" s="30" t="str">
        <f>IFERROR(__xludf.DUMMYFUNCTION("IFERROR(GOOGLEFINANCE(C310, ""NAME""))"),"Legend Mining Ltd")</f>
        <v>Legend Mining Ltd</v>
      </c>
      <c r="E310" s="30" t="s">
        <v>456</v>
      </c>
      <c r="F310" s="33" t="str">
        <f>IFERROR(__xludf.DUMMYFUNCTION("( (GOOGLEFINANCE(C310, ""price"") - Q310) / Q310 ) / (R310 / 100)"),"Loading...")</f>
        <v>Loading...</v>
      </c>
      <c r="G310" s="20" t="str">
        <f>IFERROR(__xludf.DUMMYFUNCTION("AVERAGE(ARRAYFORMULA(100 * (QUERY(GOOGLEFINANCE(C310, ""high"", TODAY()-40, TODAY()), ""SELECT Col2 WHERE Col2 IS NOT NULL ORDER BY Col1 DESC LIMIT 20"", 0) / QUERY(GOOGLEFINANCE(C310, ""low"", TODAY()-40, TODAY()), ""SELECT Col2 WHERE Col2 IS NOT NULL OR"&amp;"DER BY Col1 DESC LIMIT 20"", 0) - 1)))"),"#N/A")</f>
        <v>#N/A</v>
      </c>
      <c r="H310" s="35" t="str">
        <f t="shared" si="6"/>
        <v/>
      </c>
      <c r="I310" s="35" t="str">
        <f t="shared" si="7"/>
        <v/>
      </c>
      <c r="J310" s="37" t="str">
        <f>IFERROR(__xludf.DUMMYFUNCTION("IFERROR(
  IF(C310="""",, 
    IFERROR(
      GOOGLEFINANCE(C310, ""price"") * GOOGLEFINANCE(C310, ""volumeavg""), 
      GOOGLEFINANCE(C310, ""price"") * AVERAGE(QUERY(GOOGLEFINANCE(C310, ""volume"", TODAY()-40, TODAY()), ""SELECT Col2 WHERE Col2 IS NOT "&amp;"NULL ORDER BY Col1 DESC LIMIT 20"", 0))
    )
  ), 
"""")"),"")</f>
        <v/>
      </c>
      <c r="K310" s="21" t="str">
        <f>IFERROR(__xludf.DUMMYFUNCTION("IFERROR(GOOGLEFINANCE(C310, ""changepct"") / 100, """")"),"")</f>
        <v/>
      </c>
      <c r="L310" s="21" t="str">
        <f>IFERROR(__xludf.DUMMYFUNCTION("IFERROR((GOOGLEFINANCE(C310, ""price"") / INDEX(GOOGLEFINANCE(C310, ""price"", TODAY()-7, TODAY()), 2, 2)) - 1, """")"),"")</f>
        <v/>
      </c>
      <c r="M310" s="21" t="str">
        <f>IFERROR(__xludf.DUMMYFUNCTION("IFERROR((GOOGLEFINANCE(C310, ""price"") / INDEX(GOOGLEFINANCE(C310, ""price"", EDATE(TODAY(), -1), TODAY()), 2, 2)) - 1, """")"),"")</f>
        <v/>
      </c>
      <c r="N310" s="21" t="str">
        <f>IFERROR(__xludf.DUMMYFUNCTION("IFERROR((GOOGLEFINANCE(C310, ""price"") / INDEX(GOOGLEFINANCE(C310, ""price"", EDATE(TODAY(), -3), TODAY()), 2, 2)) - 1, """")"),"")</f>
        <v/>
      </c>
      <c r="O310" s="21" t="str">
        <f>IFERROR(__xludf.DUMMYFUNCTION("IFERROR((GOOGLEFINANCE(C310, ""price"") / INDEX(GOOGLEFINANCE(C310, ""price"", EDATE(TODAY(), -6), TODAY()), 2, 2)) - 1, """")"),"")</f>
        <v/>
      </c>
      <c r="P310" s="21" t="str">
        <f>IFERROR(__xludf.DUMMYFUNCTION("IFERROR((GOOGLEFINANCE(C310, ""price"") / INDEX(GOOGLEFINANCE(C310, ""price"", EDATE(TODAY(), -12), TODAY()), 2, 2)) - 1, """")"),"")</f>
        <v/>
      </c>
      <c r="Q310" s="6" t="str">
        <f>IFERROR(__xludf.DUMMYFUNCTION("AVERAGE(QUERY(GOOGLEFINANCE(C310, ""price"", TODAY()-80, TODAY()), ""SELECT Col2 WHERE Col2 IS NOT NULL ORDER BY Col1 DESC LIMIT 50"", 0))"),"#N/A")</f>
        <v>#N/A</v>
      </c>
      <c r="R310" s="24" t="str">
        <f>IFERROR(__xludf.DUMMYFUNCTION("IFERROR(
  LET(
    data, QUERY(GOOGLEFINANCE(C310,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GOOGLEFINANCE(C310, ""price"")) * 100,
    IF(calc=0, G310, calc)
  ), 
G310)"),"#N/A")</f>
        <v>#N/A</v>
      </c>
      <c r="S310" s="8" t="s">
        <v>15</v>
      </c>
      <c r="T310" s="26" t="str">
        <f>IFERROR(__xludf.DUMMYFUNCTION("IFERROR(TRANSPOSE(QUERY(IFERROR(SORT(GOOGLEFINANCE(C310, ""price"", WORKDAY(TODAY(), -40), TODAY()), 1, FALSE)), ""select Col2 where Col2 is not null limit 22 label Col2 ''"", 0)), """")"),"")</f>
        <v/>
      </c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8"/>
      <c r="AO310" s="28"/>
      <c r="AP310" s="29"/>
      <c r="AQ310" s="29" t="str">
        <f t="shared" ref="AQ310:BL310" si="313">T310/T$2</f>
        <v>#N/A</v>
      </c>
      <c r="AR310" s="29" t="str">
        <f t="shared" si="313"/>
        <v>#DIV/0!</v>
      </c>
      <c r="AS310" s="29" t="str">
        <f t="shared" si="313"/>
        <v>#DIV/0!</v>
      </c>
      <c r="AT310" s="29" t="str">
        <f t="shared" si="313"/>
        <v>#DIV/0!</v>
      </c>
      <c r="AU310" s="29" t="str">
        <f t="shared" si="313"/>
        <v>#DIV/0!</v>
      </c>
      <c r="AV310" s="29" t="str">
        <f t="shared" si="313"/>
        <v>#DIV/0!</v>
      </c>
      <c r="AW310" s="29" t="str">
        <f t="shared" si="313"/>
        <v>#DIV/0!</v>
      </c>
      <c r="AX310" s="29" t="str">
        <f t="shared" si="313"/>
        <v>#DIV/0!</v>
      </c>
      <c r="AY310" s="29" t="str">
        <f t="shared" si="313"/>
        <v>#DIV/0!</v>
      </c>
      <c r="AZ310" s="29" t="str">
        <f t="shared" si="313"/>
        <v>#DIV/0!</v>
      </c>
      <c r="BA310" s="29" t="str">
        <f t="shared" si="313"/>
        <v>#DIV/0!</v>
      </c>
      <c r="BB310" s="29" t="str">
        <f t="shared" si="313"/>
        <v>#DIV/0!</v>
      </c>
      <c r="BC310" s="29" t="str">
        <f t="shared" si="313"/>
        <v>#DIV/0!</v>
      </c>
      <c r="BD310" s="29" t="str">
        <f t="shared" si="313"/>
        <v>#DIV/0!</v>
      </c>
      <c r="BE310" s="29" t="str">
        <f t="shared" si="313"/>
        <v>#DIV/0!</v>
      </c>
      <c r="BF310" s="29" t="str">
        <f t="shared" si="313"/>
        <v>#DIV/0!</v>
      </c>
      <c r="BG310" s="29" t="str">
        <f t="shared" si="313"/>
        <v>#DIV/0!</v>
      </c>
      <c r="BH310" s="29" t="str">
        <f t="shared" si="313"/>
        <v>#DIV/0!</v>
      </c>
      <c r="BI310" s="29" t="str">
        <f t="shared" si="313"/>
        <v>#DIV/0!</v>
      </c>
      <c r="BJ310" s="29" t="str">
        <f t="shared" si="313"/>
        <v>#DIV/0!</v>
      </c>
      <c r="BK310" s="29" t="str">
        <f t="shared" si="313"/>
        <v>#DIV/0!</v>
      </c>
      <c r="BL310" s="29" t="str">
        <f t="shared" si="313"/>
        <v>#DIV/0!</v>
      </c>
      <c r="BM310" s="29" t="str">
        <f t="shared" si="3"/>
        <v>#DIV/0!</v>
      </c>
    </row>
    <row r="311">
      <c r="A311" s="16" t="str">
        <f>IFERROR(__xludf.DUMMYFUNCTION("IFERROR(SPARKLINE(SORT(MAP(TRANSPOSE(AQ311:BL311), LAMBDA(val, IF(ISNUMBER(val), PERCENTRANK(AQ311:BL311, val)+0.01, 0))), SEQUENCE(COLUMNS(AQ311:BL311)), FALSE), {""charttype"",""column""; ""color"",""chartreuse""; ""ymin"", 0; ""ymax"", 1.01; ""highcolo"&amp;"r"", ""darkgreen""; ""lowcolor"", ""red""}), """")"),"")</f>
        <v/>
      </c>
      <c r="B311" s="17" t="str">
        <f t="shared" si="4"/>
        <v/>
      </c>
      <c r="C311" s="1" t="s">
        <v>1275</v>
      </c>
      <c r="D311" s="30" t="str">
        <f>IFERROR(__xludf.DUMMYFUNCTION("IFERROR(GOOGLEFINANCE(C311, ""NAME""))"),"Miller Industries Inc")</f>
        <v>Miller Industries Inc</v>
      </c>
      <c r="E311" s="30" t="s">
        <v>109</v>
      </c>
      <c r="F311" s="33" t="str">
        <f>IFERROR(__xludf.DUMMYFUNCTION("( (GOOGLEFINANCE(C311, ""price"") - Q311) / Q311 ) / (R311 / 100)"),"Loading...")</f>
        <v>Loading...</v>
      </c>
      <c r="G311" s="20" t="str">
        <f>IFERROR(__xludf.DUMMYFUNCTION("AVERAGE(ARRAYFORMULA(100 * (QUERY(GOOGLEFINANCE(C311, ""high"", TODAY()-40, TODAY()), ""SELECT Col2 WHERE Col2 IS NOT NULL ORDER BY Col1 DESC LIMIT 20"", 0) / QUERY(GOOGLEFINANCE(C311, ""low"", TODAY()-40, TODAY()), ""SELECT Col2 WHERE Col2 IS NOT NULL OR"&amp;"DER BY Col1 DESC LIMIT 20"", 0) - 1)))"),"#N/A")</f>
        <v>#N/A</v>
      </c>
      <c r="H311" s="35" t="str">
        <f t="shared" si="6"/>
        <v/>
      </c>
      <c r="I311" s="35" t="str">
        <f t="shared" si="7"/>
        <v/>
      </c>
      <c r="J311" s="37" t="str">
        <f>IFERROR(__xludf.DUMMYFUNCTION("IFERROR(
  IF(C311="""",, 
    IFERROR(
      GOOGLEFINANCE(C311, ""price"") * GOOGLEFINANCE(C311, ""volumeavg""), 
      GOOGLEFINANCE(C311, ""price"") * AVERAGE(QUERY(GOOGLEFINANCE(C311, ""volume"", TODAY()-40, TODAY()), ""SELECT Col2 WHERE Col2 IS NOT "&amp;"NULL ORDER BY Col1 DESC LIMIT 20"", 0))
    )
  ), 
"""")"),"")</f>
        <v/>
      </c>
      <c r="K311" s="21" t="str">
        <f>IFERROR(__xludf.DUMMYFUNCTION("IFERROR(GOOGLEFINANCE(C311, ""changepct"") / 100, """")"),"")</f>
        <v/>
      </c>
      <c r="L311" s="21" t="str">
        <f>IFERROR(__xludf.DUMMYFUNCTION("IFERROR((GOOGLEFINANCE(C311, ""price"") / INDEX(GOOGLEFINANCE(C311, ""price"", TODAY()-7, TODAY()), 2, 2)) - 1, """")"),"")</f>
        <v/>
      </c>
      <c r="M311" s="21" t="str">
        <f>IFERROR(__xludf.DUMMYFUNCTION("IFERROR((GOOGLEFINANCE(C311, ""price"") / INDEX(GOOGLEFINANCE(C311, ""price"", EDATE(TODAY(), -1), TODAY()), 2, 2)) - 1, """")"),"")</f>
        <v/>
      </c>
      <c r="N311" s="21" t="str">
        <f>IFERROR(__xludf.DUMMYFUNCTION("IFERROR((GOOGLEFINANCE(C311, ""price"") / INDEX(GOOGLEFINANCE(C311, ""price"", EDATE(TODAY(), -3), TODAY()), 2, 2)) - 1, """")"),"")</f>
        <v/>
      </c>
      <c r="O311" s="21" t="str">
        <f>IFERROR(__xludf.DUMMYFUNCTION("IFERROR((GOOGLEFINANCE(C311, ""price"") / INDEX(GOOGLEFINANCE(C311, ""price"", EDATE(TODAY(), -6), TODAY()), 2, 2)) - 1, """")"),"")</f>
        <v/>
      </c>
      <c r="P311" s="21" t="str">
        <f>IFERROR(__xludf.DUMMYFUNCTION("IFERROR((GOOGLEFINANCE(C311, ""price"") / INDEX(GOOGLEFINANCE(C311, ""price"", EDATE(TODAY(), -12), TODAY()), 2, 2)) - 1, """")"),"")</f>
        <v/>
      </c>
      <c r="Q311" s="6" t="str">
        <f>IFERROR(__xludf.DUMMYFUNCTION("AVERAGE(QUERY(GOOGLEFINANCE(C311, ""price"", TODAY()-80, TODAY()), ""SELECT Col2 WHERE Col2 IS NOT NULL ORDER BY Col1 DESC LIMIT 50"", 0))"),"#N/A")</f>
        <v>#N/A</v>
      </c>
      <c r="R311" s="24" t="str">
        <f>IFERROR(__xludf.DUMMYFUNCTION("IFERROR(
  LET(
    data, QUERY(GOOGLEFINANCE(C311,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GOOGLEFINANCE(C311, ""price"")) * 100,
    IF(calc=0, G311, calc)
  ), 
G311)"),"#N/A")</f>
        <v>#N/A</v>
      </c>
      <c r="S311" s="8" t="s">
        <v>15</v>
      </c>
      <c r="T311" s="26" t="str">
        <f>IFERROR(__xludf.DUMMYFUNCTION("IFERROR(TRANSPOSE(QUERY(IFERROR(SORT(GOOGLEFINANCE(C311, ""price"", WORKDAY(TODAY(), -40), TODAY()), 1, FALSE)), ""select Col2 where Col2 is not null limit 22 label Col2 ''"", 0)), """")"),"")</f>
        <v/>
      </c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8"/>
      <c r="AO311" s="28"/>
      <c r="AP311" s="29"/>
      <c r="AQ311" s="29" t="str">
        <f t="shared" ref="AQ311:BL311" si="314">T311/T$2</f>
        <v>#N/A</v>
      </c>
      <c r="AR311" s="29" t="str">
        <f t="shared" si="314"/>
        <v>#DIV/0!</v>
      </c>
      <c r="AS311" s="29" t="str">
        <f t="shared" si="314"/>
        <v>#DIV/0!</v>
      </c>
      <c r="AT311" s="29" t="str">
        <f t="shared" si="314"/>
        <v>#DIV/0!</v>
      </c>
      <c r="AU311" s="29" t="str">
        <f t="shared" si="314"/>
        <v>#DIV/0!</v>
      </c>
      <c r="AV311" s="29" t="str">
        <f t="shared" si="314"/>
        <v>#DIV/0!</v>
      </c>
      <c r="AW311" s="29" t="str">
        <f t="shared" si="314"/>
        <v>#DIV/0!</v>
      </c>
      <c r="AX311" s="29" t="str">
        <f t="shared" si="314"/>
        <v>#DIV/0!</v>
      </c>
      <c r="AY311" s="29" t="str">
        <f t="shared" si="314"/>
        <v>#DIV/0!</v>
      </c>
      <c r="AZ311" s="29" t="str">
        <f t="shared" si="314"/>
        <v>#DIV/0!</v>
      </c>
      <c r="BA311" s="29" t="str">
        <f t="shared" si="314"/>
        <v>#DIV/0!</v>
      </c>
      <c r="BB311" s="29" t="str">
        <f t="shared" si="314"/>
        <v>#DIV/0!</v>
      </c>
      <c r="BC311" s="29" t="str">
        <f t="shared" si="314"/>
        <v>#DIV/0!</v>
      </c>
      <c r="BD311" s="29" t="str">
        <f t="shared" si="314"/>
        <v>#DIV/0!</v>
      </c>
      <c r="BE311" s="29" t="str">
        <f t="shared" si="314"/>
        <v>#DIV/0!</v>
      </c>
      <c r="BF311" s="29" t="str">
        <f t="shared" si="314"/>
        <v>#DIV/0!</v>
      </c>
      <c r="BG311" s="29" t="str">
        <f t="shared" si="314"/>
        <v>#DIV/0!</v>
      </c>
      <c r="BH311" s="29" t="str">
        <f t="shared" si="314"/>
        <v>#DIV/0!</v>
      </c>
      <c r="BI311" s="29" t="str">
        <f t="shared" si="314"/>
        <v>#DIV/0!</v>
      </c>
      <c r="BJ311" s="29" t="str">
        <f t="shared" si="314"/>
        <v>#DIV/0!</v>
      </c>
      <c r="BK311" s="29" t="str">
        <f t="shared" si="314"/>
        <v>#DIV/0!</v>
      </c>
      <c r="BL311" s="29" t="str">
        <f t="shared" si="314"/>
        <v>#DIV/0!</v>
      </c>
      <c r="BM311" s="29" t="str">
        <f t="shared" si="3"/>
        <v>#DIV/0!</v>
      </c>
    </row>
    <row r="312">
      <c r="A312" s="16" t="str">
        <f>IFERROR(__xludf.DUMMYFUNCTION("IFERROR(SPARKLINE(SORT(MAP(TRANSPOSE(AQ312:BL312), LAMBDA(val, IF(ISNUMBER(val), PERCENTRANK(AQ312:BL312, val)+0.01, 0))), SEQUENCE(COLUMNS(AQ312:BL312)), FALSE), {""charttype"",""column""; ""color"",""chartreuse""; ""ymin"", 0; ""ymax"", 1.01; ""highcolo"&amp;"r"", ""darkgreen""; ""lowcolor"", ""red""}), """")"),"")</f>
        <v/>
      </c>
      <c r="B312" s="17" t="str">
        <f t="shared" si="4"/>
        <v/>
      </c>
      <c r="C312" s="1" t="s">
        <v>1278</v>
      </c>
      <c r="D312" s="30" t="str">
        <f>IFERROR(__xludf.DUMMYFUNCTION("IFERROR(GOOGLEFINANCE(C312, ""NAME""))"),"Somnigroup International Inc")</f>
        <v>Somnigroup International Inc</v>
      </c>
      <c r="E312" s="30" t="s">
        <v>456</v>
      </c>
      <c r="F312" s="33" t="str">
        <f>IFERROR(__xludf.DUMMYFUNCTION("( (GOOGLEFINANCE(C312, ""price"") - Q312) / Q312 ) / (R312 / 100)"),"Loading...")</f>
        <v>Loading...</v>
      </c>
      <c r="G312" s="20" t="str">
        <f>IFERROR(__xludf.DUMMYFUNCTION("AVERAGE(ARRAYFORMULA(100 * (QUERY(GOOGLEFINANCE(C312, ""high"", TODAY()-40, TODAY()), ""SELECT Col2 WHERE Col2 IS NOT NULL ORDER BY Col1 DESC LIMIT 20"", 0) / QUERY(GOOGLEFINANCE(C312, ""low"", TODAY()-40, TODAY()), ""SELECT Col2 WHERE Col2 IS NOT NULL OR"&amp;"DER BY Col1 DESC LIMIT 20"", 0) - 1)))"),"#N/A")</f>
        <v>#N/A</v>
      </c>
      <c r="H312" s="35" t="str">
        <f t="shared" si="6"/>
        <v/>
      </c>
      <c r="I312" s="35" t="str">
        <f t="shared" si="7"/>
        <v/>
      </c>
      <c r="J312" s="37" t="str">
        <f>IFERROR(__xludf.DUMMYFUNCTION("IFERROR(
  IF(C312="""",, 
    IFERROR(
      GOOGLEFINANCE(C312, ""price"") * GOOGLEFINANCE(C312, ""volumeavg""), 
      GOOGLEFINANCE(C312, ""price"") * AVERAGE(QUERY(GOOGLEFINANCE(C312, ""volume"", TODAY()-40, TODAY()), ""SELECT Col2 WHERE Col2 IS NOT "&amp;"NULL ORDER BY Col1 DESC LIMIT 20"", 0))
    )
  ), 
"""")"),"")</f>
        <v/>
      </c>
      <c r="K312" s="21" t="str">
        <f>IFERROR(__xludf.DUMMYFUNCTION("IFERROR(GOOGLEFINANCE(C312, ""changepct"") / 100, """")"),"")</f>
        <v/>
      </c>
      <c r="L312" s="21" t="str">
        <f>IFERROR(__xludf.DUMMYFUNCTION("IFERROR((GOOGLEFINANCE(C312, ""price"") / INDEX(GOOGLEFINANCE(C312, ""price"", TODAY()-7, TODAY()), 2, 2)) - 1, """")"),"")</f>
        <v/>
      </c>
      <c r="M312" s="21" t="str">
        <f>IFERROR(__xludf.DUMMYFUNCTION("IFERROR((GOOGLEFINANCE(C312, ""price"") / INDEX(GOOGLEFINANCE(C312, ""price"", EDATE(TODAY(), -1), TODAY()), 2, 2)) - 1, """")"),"")</f>
        <v/>
      </c>
      <c r="N312" s="21" t="str">
        <f>IFERROR(__xludf.DUMMYFUNCTION("IFERROR((GOOGLEFINANCE(C312, ""price"") / INDEX(GOOGLEFINANCE(C312, ""price"", EDATE(TODAY(), -3), TODAY()), 2, 2)) - 1, """")"),"")</f>
        <v/>
      </c>
      <c r="O312" s="21" t="str">
        <f>IFERROR(__xludf.DUMMYFUNCTION("IFERROR((GOOGLEFINANCE(C312, ""price"") / INDEX(GOOGLEFINANCE(C312, ""price"", EDATE(TODAY(), -6), TODAY()), 2, 2)) - 1, """")"),"")</f>
        <v/>
      </c>
      <c r="P312" s="21" t="str">
        <f>IFERROR(__xludf.DUMMYFUNCTION("IFERROR((GOOGLEFINANCE(C312, ""price"") / INDEX(GOOGLEFINANCE(C312, ""price"", EDATE(TODAY(), -12), TODAY()), 2, 2)) - 1, """")"),"")</f>
        <v/>
      </c>
      <c r="Q312" s="6" t="str">
        <f>IFERROR(__xludf.DUMMYFUNCTION("AVERAGE(QUERY(GOOGLEFINANCE(C312, ""price"", TODAY()-80, TODAY()), ""SELECT Col2 WHERE Col2 IS NOT NULL ORDER BY Col1 DESC LIMIT 50"", 0))"),"#N/A")</f>
        <v>#N/A</v>
      </c>
      <c r="R312" s="24" t="str">
        <f>IFERROR(__xludf.DUMMYFUNCTION("IFERROR(
  LET(
    data, QUERY(GOOGLEFINANCE(C312,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GOOGLEFINANCE(C312, ""price"")) * 100,
    IF(calc=0, G312, calc)
  ), 
G312)"),"#N/A")</f>
        <v>#N/A</v>
      </c>
      <c r="S312" s="8" t="s">
        <v>15</v>
      </c>
      <c r="T312" s="26" t="str">
        <f>IFERROR(__xludf.DUMMYFUNCTION("IFERROR(TRANSPOSE(QUERY(IFERROR(SORT(GOOGLEFINANCE(C312, ""price"", WORKDAY(TODAY(), -40), TODAY()), 1, FALSE)), ""select Col2 where Col2 is not null limit 22 label Col2 ''"", 0)), """")"),"")</f>
        <v/>
      </c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8"/>
      <c r="AO312" s="28"/>
      <c r="AP312" s="29"/>
      <c r="AQ312" s="29" t="str">
        <f t="shared" ref="AQ312:BL312" si="315">T312/T$2</f>
        <v>#N/A</v>
      </c>
      <c r="AR312" s="29" t="str">
        <f t="shared" si="315"/>
        <v>#DIV/0!</v>
      </c>
      <c r="AS312" s="29" t="str">
        <f t="shared" si="315"/>
        <v>#DIV/0!</v>
      </c>
      <c r="AT312" s="29" t="str">
        <f t="shared" si="315"/>
        <v>#DIV/0!</v>
      </c>
      <c r="AU312" s="29" t="str">
        <f t="shared" si="315"/>
        <v>#DIV/0!</v>
      </c>
      <c r="AV312" s="29" t="str">
        <f t="shared" si="315"/>
        <v>#DIV/0!</v>
      </c>
      <c r="AW312" s="29" t="str">
        <f t="shared" si="315"/>
        <v>#DIV/0!</v>
      </c>
      <c r="AX312" s="29" t="str">
        <f t="shared" si="315"/>
        <v>#DIV/0!</v>
      </c>
      <c r="AY312" s="29" t="str">
        <f t="shared" si="315"/>
        <v>#DIV/0!</v>
      </c>
      <c r="AZ312" s="29" t="str">
        <f t="shared" si="315"/>
        <v>#DIV/0!</v>
      </c>
      <c r="BA312" s="29" t="str">
        <f t="shared" si="315"/>
        <v>#DIV/0!</v>
      </c>
      <c r="BB312" s="29" t="str">
        <f t="shared" si="315"/>
        <v>#DIV/0!</v>
      </c>
      <c r="BC312" s="29" t="str">
        <f t="shared" si="315"/>
        <v>#DIV/0!</v>
      </c>
      <c r="BD312" s="29" t="str">
        <f t="shared" si="315"/>
        <v>#DIV/0!</v>
      </c>
      <c r="BE312" s="29" t="str">
        <f t="shared" si="315"/>
        <v>#DIV/0!</v>
      </c>
      <c r="BF312" s="29" t="str">
        <f t="shared" si="315"/>
        <v>#DIV/0!</v>
      </c>
      <c r="BG312" s="29" t="str">
        <f t="shared" si="315"/>
        <v>#DIV/0!</v>
      </c>
      <c r="BH312" s="29" t="str">
        <f t="shared" si="315"/>
        <v>#DIV/0!</v>
      </c>
      <c r="BI312" s="29" t="str">
        <f t="shared" si="315"/>
        <v>#DIV/0!</v>
      </c>
      <c r="BJ312" s="29" t="str">
        <f t="shared" si="315"/>
        <v>#DIV/0!</v>
      </c>
      <c r="BK312" s="29" t="str">
        <f t="shared" si="315"/>
        <v>#DIV/0!</v>
      </c>
      <c r="BL312" s="29" t="str">
        <f t="shared" si="315"/>
        <v>#DIV/0!</v>
      </c>
      <c r="BM312" s="29" t="str">
        <f t="shared" si="3"/>
        <v>#DIV/0!</v>
      </c>
    </row>
    <row r="313">
      <c r="A313" s="16" t="str">
        <f>IFERROR(__xludf.DUMMYFUNCTION("IFERROR(SPARKLINE(SORT(MAP(TRANSPOSE(AQ313:BL313), LAMBDA(val, IF(ISNUMBER(val), PERCENTRANK(AQ313:BL313, val)+0.01, 0))), SEQUENCE(COLUMNS(AQ313:BL313)), FALSE), {""charttype"",""column""; ""color"",""chartreuse""; ""ymin"", 0; ""ymax"", 1.01; ""highcolo"&amp;"r"", ""darkgreen""; ""lowcolor"", ""red""}), """")"),"")</f>
        <v/>
      </c>
      <c r="B313" s="17" t="str">
        <f t="shared" si="4"/>
        <v/>
      </c>
      <c r="C313" s="1" t="s">
        <v>1282</v>
      </c>
      <c r="D313" s="30" t="str">
        <f>IFERROR(__xludf.DUMMYFUNCTION("IFERROR(GOOGLEFINANCE(C313, ""NAME""))"),"LuxExperience BV-ADR")</f>
        <v>LuxExperience BV-ADR</v>
      </c>
      <c r="E313" s="30" t="s">
        <v>170</v>
      </c>
      <c r="F313" s="33" t="str">
        <f>IFERROR(__xludf.DUMMYFUNCTION("( (GOOGLEFINANCE(C313, ""price"") - Q313) / Q313 ) / (R313 / 100)"),"Loading...")</f>
        <v>Loading...</v>
      </c>
      <c r="G313" s="20" t="str">
        <f>IFERROR(__xludf.DUMMYFUNCTION("AVERAGE(ARRAYFORMULA(100 * (QUERY(GOOGLEFINANCE(C313, ""high"", TODAY()-40, TODAY()), ""SELECT Col2 WHERE Col2 IS NOT NULL ORDER BY Col1 DESC LIMIT 20"", 0) / QUERY(GOOGLEFINANCE(C313, ""low"", TODAY()-40, TODAY()), ""SELECT Col2 WHERE Col2 IS NOT NULL OR"&amp;"DER BY Col1 DESC LIMIT 20"", 0) - 1)))"),"#N/A")</f>
        <v>#N/A</v>
      </c>
      <c r="H313" s="35" t="str">
        <f t="shared" si="6"/>
        <v/>
      </c>
      <c r="I313" s="35" t="str">
        <f t="shared" si="7"/>
        <v/>
      </c>
      <c r="J313" s="37" t="str">
        <f>IFERROR(__xludf.DUMMYFUNCTION("IFERROR(
  IF(C313="""",, 
    IFERROR(
      GOOGLEFINANCE(C313, ""price"") * GOOGLEFINANCE(C313, ""volumeavg""), 
      GOOGLEFINANCE(C313, ""price"") * AVERAGE(QUERY(GOOGLEFINANCE(C313, ""volume"", TODAY()-40, TODAY()), ""SELECT Col2 WHERE Col2 IS NOT "&amp;"NULL ORDER BY Col1 DESC LIMIT 20"", 0))
    )
  ), 
"""")"),"")</f>
        <v/>
      </c>
      <c r="K313" s="21" t="str">
        <f>IFERROR(__xludf.DUMMYFUNCTION("IFERROR(GOOGLEFINANCE(C313, ""changepct"") / 100, """")"),"")</f>
        <v/>
      </c>
      <c r="L313" s="21" t="str">
        <f>IFERROR(__xludf.DUMMYFUNCTION("IFERROR((GOOGLEFINANCE(C313, ""price"") / INDEX(GOOGLEFINANCE(C313, ""price"", TODAY()-7, TODAY()), 2, 2)) - 1, """")"),"")</f>
        <v/>
      </c>
      <c r="M313" s="21" t="str">
        <f>IFERROR(__xludf.DUMMYFUNCTION("IFERROR((GOOGLEFINANCE(C313, ""price"") / INDEX(GOOGLEFINANCE(C313, ""price"", EDATE(TODAY(), -1), TODAY()), 2, 2)) - 1, """")"),"")</f>
        <v/>
      </c>
      <c r="N313" s="21" t="str">
        <f>IFERROR(__xludf.DUMMYFUNCTION("IFERROR((GOOGLEFINANCE(C313, ""price"") / INDEX(GOOGLEFINANCE(C313, ""price"", EDATE(TODAY(), -3), TODAY()), 2, 2)) - 1, """")"),"")</f>
        <v/>
      </c>
      <c r="O313" s="21" t="str">
        <f>IFERROR(__xludf.DUMMYFUNCTION("IFERROR((GOOGLEFINANCE(C313, ""price"") / INDEX(GOOGLEFINANCE(C313, ""price"", EDATE(TODAY(), -6), TODAY()), 2, 2)) - 1, """")"),"")</f>
        <v/>
      </c>
      <c r="P313" s="21" t="str">
        <f>IFERROR(__xludf.DUMMYFUNCTION("IFERROR((GOOGLEFINANCE(C313, ""price"") / INDEX(GOOGLEFINANCE(C313, ""price"", EDATE(TODAY(), -12), TODAY()), 2, 2)) - 1, """")"),"")</f>
        <v/>
      </c>
      <c r="Q313" s="6" t="str">
        <f>IFERROR(__xludf.DUMMYFUNCTION("AVERAGE(QUERY(GOOGLEFINANCE(C313, ""price"", TODAY()-80, TODAY()), ""SELECT Col2 WHERE Col2 IS NOT NULL ORDER BY Col1 DESC LIMIT 50"", 0))"),"#N/A")</f>
        <v>#N/A</v>
      </c>
      <c r="R313" s="24" t="str">
        <f>IFERROR(__xludf.DUMMYFUNCTION("IFERROR(
  LET(
    data, QUERY(GOOGLEFINANCE(C313,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GOOGLEFINANCE(C313, ""price"")) * 100,
    IF(calc=0, G313, calc)
  ), 
G313)"),"#N/A")</f>
        <v>#N/A</v>
      </c>
      <c r="S313" s="8" t="s">
        <v>15</v>
      </c>
      <c r="T313" s="26" t="str">
        <f>IFERROR(__xludf.DUMMYFUNCTION("IFERROR(TRANSPOSE(QUERY(IFERROR(SORT(GOOGLEFINANCE(C313, ""price"", WORKDAY(TODAY(), -40), TODAY()), 1, FALSE)), ""select Col2 where Col2 is not null limit 22 label Col2 ''"", 0)), """")"),"")</f>
        <v/>
      </c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8"/>
      <c r="AO313" s="28"/>
      <c r="AP313" s="29"/>
      <c r="AQ313" s="29" t="str">
        <f t="shared" ref="AQ313:BL313" si="316">T313/T$2</f>
        <v>#N/A</v>
      </c>
      <c r="AR313" s="29" t="str">
        <f t="shared" si="316"/>
        <v>#DIV/0!</v>
      </c>
      <c r="AS313" s="29" t="str">
        <f t="shared" si="316"/>
        <v>#DIV/0!</v>
      </c>
      <c r="AT313" s="29" t="str">
        <f t="shared" si="316"/>
        <v>#DIV/0!</v>
      </c>
      <c r="AU313" s="29" t="str">
        <f t="shared" si="316"/>
        <v>#DIV/0!</v>
      </c>
      <c r="AV313" s="29" t="str">
        <f t="shared" si="316"/>
        <v>#DIV/0!</v>
      </c>
      <c r="AW313" s="29" t="str">
        <f t="shared" si="316"/>
        <v>#DIV/0!</v>
      </c>
      <c r="AX313" s="29" t="str">
        <f t="shared" si="316"/>
        <v>#DIV/0!</v>
      </c>
      <c r="AY313" s="29" t="str">
        <f t="shared" si="316"/>
        <v>#DIV/0!</v>
      </c>
      <c r="AZ313" s="29" t="str">
        <f t="shared" si="316"/>
        <v>#DIV/0!</v>
      </c>
      <c r="BA313" s="29" t="str">
        <f t="shared" si="316"/>
        <v>#DIV/0!</v>
      </c>
      <c r="BB313" s="29" t="str">
        <f t="shared" si="316"/>
        <v>#DIV/0!</v>
      </c>
      <c r="BC313" s="29" t="str">
        <f t="shared" si="316"/>
        <v>#DIV/0!</v>
      </c>
      <c r="BD313" s="29" t="str">
        <f t="shared" si="316"/>
        <v>#DIV/0!</v>
      </c>
      <c r="BE313" s="29" t="str">
        <f t="shared" si="316"/>
        <v>#DIV/0!</v>
      </c>
      <c r="BF313" s="29" t="str">
        <f t="shared" si="316"/>
        <v>#DIV/0!</v>
      </c>
      <c r="BG313" s="29" t="str">
        <f t="shared" si="316"/>
        <v>#DIV/0!</v>
      </c>
      <c r="BH313" s="29" t="str">
        <f t="shared" si="316"/>
        <v>#DIV/0!</v>
      </c>
      <c r="BI313" s="29" t="str">
        <f t="shared" si="316"/>
        <v>#DIV/0!</v>
      </c>
      <c r="BJ313" s="29" t="str">
        <f t="shared" si="316"/>
        <v>#DIV/0!</v>
      </c>
      <c r="BK313" s="29" t="str">
        <f t="shared" si="316"/>
        <v>#DIV/0!</v>
      </c>
      <c r="BL313" s="29" t="str">
        <f t="shared" si="316"/>
        <v>#DIV/0!</v>
      </c>
      <c r="BM313" s="29" t="str">
        <f t="shared" si="3"/>
        <v>#DIV/0!</v>
      </c>
    </row>
    <row r="314">
      <c r="A314" s="16" t="str">
        <f>IFERROR(__xludf.DUMMYFUNCTION("IFERROR(SPARKLINE(SORT(MAP(TRANSPOSE(AQ314:BL314), LAMBDA(val, IF(ISNUMBER(val), PERCENTRANK(AQ314:BL314, val)+0.01, 0))), SEQUENCE(COLUMNS(AQ314:BL314)), FALSE), {""charttype"",""column""; ""color"",""chartreuse""; ""ymin"", 0; ""ymax"", 1.01; ""highcolo"&amp;"r"", ""darkgreen""; ""lowcolor"", ""red""}), """")"),"")</f>
        <v/>
      </c>
      <c r="B314" s="17" t="str">
        <f t="shared" si="4"/>
        <v/>
      </c>
      <c r="C314" s="1" t="s">
        <v>1285</v>
      </c>
      <c r="D314" s="30" t="str">
        <f>IFERROR(__xludf.DUMMYFUNCTION("IFERROR(GOOGLEFINANCE(C314, ""NAME""))"),"CarGurus Inc")</f>
        <v>CarGurus Inc</v>
      </c>
      <c r="E314" s="30" t="s">
        <v>190</v>
      </c>
      <c r="F314" s="33" t="str">
        <f>IFERROR(__xludf.DUMMYFUNCTION("( (GOOGLEFINANCE(C314, ""price"") - Q314) / Q314 ) / (R314 / 100)"),"Loading...")</f>
        <v>Loading...</v>
      </c>
      <c r="G314" s="20" t="str">
        <f>IFERROR(__xludf.DUMMYFUNCTION("AVERAGE(ARRAYFORMULA(100 * (QUERY(GOOGLEFINANCE(C314, ""high"", TODAY()-40, TODAY()), ""SELECT Col2 WHERE Col2 IS NOT NULL ORDER BY Col1 DESC LIMIT 20"", 0) / QUERY(GOOGLEFINANCE(C314, ""low"", TODAY()-40, TODAY()), ""SELECT Col2 WHERE Col2 IS NOT NULL OR"&amp;"DER BY Col1 DESC LIMIT 20"", 0) - 1)))"),"#N/A")</f>
        <v>#N/A</v>
      </c>
      <c r="H314" s="35" t="str">
        <f t="shared" si="6"/>
        <v/>
      </c>
      <c r="I314" s="35" t="str">
        <f t="shared" si="7"/>
        <v/>
      </c>
      <c r="J314" s="37" t="str">
        <f>IFERROR(__xludf.DUMMYFUNCTION("IFERROR(
  IF(C314="""",, 
    IFERROR(
      GOOGLEFINANCE(C314, ""price"") * GOOGLEFINANCE(C314, ""volumeavg""), 
      GOOGLEFINANCE(C314, ""price"") * AVERAGE(QUERY(GOOGLEFINANCE(C314, ""volume"", TODAY()-40, TODAY()), ""SELECT Col2 WHERE Col2 IS NOT "&amp;"NULL ORDER BY Col1 DESC LIMIT 20"", 0))
    )
  ), 
"""")"),"")</f>
        <v/>
      </c>
      <c r="K314" s="21" t="str">
        <f>IFERROR(__xludf.DUMMYFUNCTION("IFERROR(GOOGLEFINANCE(C314, ""changepct"") / 100, """")"),"")</f>
        <v/>
      </c>
      <c r="L314" s="21" t="str">
        <f>IFERROR(__xludf.DUMMYFUNCTION("IFERROR((GOOGLEFINANCE(C314, ""price"") / INDEX(GOOGLEFINANCE(C314, ""price"", TODAY()-7, TODAY()), 2, 2)) - 1, """")"),"")</f>
        <v/>
      </c>
      <c r="M314" s="21" t="str">
        <f>IFERROR(__xludf.DUMMYFUNCTION("IFERROR((GOOGLEFINANCE(C314, ""price"") / INDEX(GOOGLEFINANCE(C314, ""price"", EDATE(TODAY(), -1), TODAY()), 2, 2)) - 1, """")"),"")</f>
        <v/>
      </c>
      <c r="N314" s="21" t="str">
        <f>IFERROR(__xludf.DUMMYFUNCTION("IFERROR((GOOGLEFINANCE(C314, ""price"") / INDEX(GOOGLEFINANCE(C314, ""price"", EDATE(TODAY(), -3), TODAY()), 2, 2)) - 1, """")"),"")</f>
        <v/>
      </c>
      <c r="O314" s="21" t="str">
        <f>IFERROR(__xludf.DUMMYFUNCTION("IFERROR((GOOGLEFINANCE(C314, ""price"") / INDEX(GOOGLEFINANCE(C314, ""price"", EDATE(TODAY(), -6), TODAY()), 2, 2)) - 1, """")"),"")</f>
        <v/>
      </c>
      <c r="P314" s="21" t="str">
        <f>IFERROR(__xludf.DUMMYFUNCTION("IFERROR((GOOGLEFINANCE(C314, ""price"") / INDEX(GOOGLEFINANCE(C314, ""price"", EDATE(TODAY(), -12), TODAY()), 2, 2)) - 1, """")"),"")</f>
        <v/>
      </c>
      <c r="Q314" s="6" t="str">
        <f>IFERROR(__xludf.DUMMYFUNCTION("AVERAGE(QUERY(GOOGLEFINANCE(C314, ""price"", TODAY()-80, TODAY()), ""SELECT Col2 WHERE Col2 IS NOT NULL ORDER BY Col1 DESC LIMIT 50"", 0))"),"#N/A")</f>
        <v>#N/A</v>
      </c>
      <c r="R314" s="24" t="str">
        <f>IFERROR(__xludf.DUMMYFUNCTION("IFERROR(
  LET(
    data, QUERY(GOOGLEFINANCE(C314,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GOOGLEFINANCE(C314, ""price"")) * 100,
    IF(calc=0, G314, calc)
  ), 
G314)"),"#N/A")</f>
        <v>#N/A</v>
      </c>
      <c r="S314" s="8" t="s">
        <v>15</v>
      </c>
      <c r="T314" s="26" t="str">
        <f>IFERROR(__xludf.DUMMYFUNCTION("IFERROR(TRANSPOSE(QUERY(IFERROR(SORT(GOOGLEFINANCE(C314, ""price"", WORKDAY(TODAY(), -40), TODAY()), 1, FALSE)), ""select Col2 where Col2 is not null limit 22 label Col2 ''"", 0)), """")"),"")</f>
        <v/>
      </c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8"/>
      <c r="AO314" s="28"/>
      <c r="AP314" s="29"/>
      <c r="AQ314" s="29" t="str">
        <f t="shared" ref="AQ314:BL314" si="317">T314/T$2</f>
        <v>#N/A</v>
      </c>
      <c r="AR314" s="29" t="str">
        <f t="shared" si="317"/>
        <v>#DIV/0!</v>
      </c>
      <c r="AS314" s="29" t="str">
        <f t="shared" si="317"/>
        <v>#DIV/0!</v>
      </c>
      <c r="AT314" s="29" t="str">
        <f t="shared" si="317"/>
        <v>#DIV/0!</v>
      </c>
      <c r="AU314" s="29" t="str">
        <f t="shared" si="317"/>
        <v>#DIV/0!</v>
      </c>
      <c r="AV314" s="29" t="str">
        <f t="shared" si="317"/>
        <v>#DIV/0!</v>
      </c>
      <c r="AW314" s="29" t="str">
        <f t="shared" si="317"/>
        <v>#DIV/0!</v>
      </c>
      <c r="AX314" s="29" t="str">
        <f t="shared" si="317"/>
        <v>#DIV/0!</v>
      </c>
      <c r="AY314" s="29" t="str">
        <f t="shared" si="317"/>
        <v>#DIV/0!</v>
      </c>
      <c r="AZ314" s="29" t="str">
        <f t="shared" si="317"/>
        <v>#DIV/0!</v>
      </c>
      <c r="BA314" s="29" t="str">
        <f t="shared" si="317"/>
        <v>#DIV/0!</v>
      </c>
      <c r="BB314" s="29" t="str">
        <f t="shared" si="317"/>
        <v>#DIV/0!</v>
      </c>
      <c r="BC314" s="29" t="str">
        <f t="shared" si="317"/>
        <v>#DIV/0!</v>
      </c>
      <c r="BD314" s="29" t="str">
        <f t="shared" si="317"/>
        <v>#DIV/0!</v>
      </c>
      <c r="BE314" s="29" t="str">
        <f t="shared" si="317"/>
        <v>#DIV/0!</v>
      </c>
      <c r="BF314" s="29" t="str">
        <f t="shared" si="317"/>
        <v>#DIV/0!</v>
      </c>
      <c r="BG314" s="29" t="str">
        <f t="shared" si="317"/>
        <v>#DIV/0!</v>
      </c>
      <c r="BH314" s="29" t="str">
        <f t="shared" si="317"/>
        <v>#DIV/0!</v>
      </c>
      <c r="BI314" s="29" t="str">
        <f t="shared" si="317"/>
        <v>#DIV/0!</v>
      </c>
      <c r="BJ314" s="29" t="str">
        <f t="shared" si="317"/>
        <v>#DIV/0!</v>
      </c>
      <c r="BK314" s="29" t="str">
        <f t="shared" si="317"/>
        <v>#DIV/0!</v>
      </c>
      <c r="BL314" s="29" t="str">
        <f t="shared" si="317"/>
        <v>#DIV/0!</v>
      </c>
      <c r="BM314" s="29" t="str">
        <f t="shared" si="3"/>
        <v>#DIV/0!</v>
      </c>
    </row>
    <row r="315">
      <c r="A315" s="16" t="str">
        <f>IFERROR(__xludf.DUMMYFUNCTION("IFERROR(SPARKLINE(SORT(MAP(TRANSPOSE(AQ315:BL315), LAMBDA(val, IF(ISNUMBER(val), PERCENTRANK(AQ315:BL315, val)+0.01, 0))), SEQUENCE(COLUMNS(AQ315:BL315)), FALSE), {""charttype"",""column""; ""color"",""chartreuse""; ""ymin"", 0; ""ymax"", 1.01; ""highcolo"&amp;"r"", ""darkgreen""; ""lowcolor"", ""red""}), """")"),"")</f>
        <v/>
      </c>
      <c r="B315" s="17" t="str">
        <f t="shared" si="4"/>
        <v/>
      </c>
      <c r="C315" s="1" t="s">
        <v>1292</v>
      </c>
      <c r="D315" s="30" t="str">
        <f>IFERROR(__xludf.DUMMYFUNCTION("IFERROR(GOOGLEFINANCE(C315, ""NAME""))"),"Savers Value Village Inc")</f>
        <v>Savers Value Village Inc</v>
      </c>
      <c r="E315" s="30" t="s">
        <v>184</v>
      </c>
      <c r="F315" s="33" t="str">
        <f>IFERROR(__xludf.DUMMYFUNCTION("( (GOOGLEFINANCE(C315, ""price"") - Q315) / Q315 ) / (R315 / 100)"),"Loading...")</f>
        <v>Loading...</v>
      </c>
      <c r="G315" s="20" t="str">
        <f>IFERROR(__xludf.DUMMYFUNCTION("AVERAGE(ARRAYFORMULA(100 * (QUERY(GOOGLEFINANCE(C315, ""high"", TODAY()-40, TODAY()), ""SELECT Col2 WHERE Col2 IS NOT NULL ORDER BY Col1 DESC LIMIT 20"", 0) / QUERY(GOOGLEFINANCE(C315, ""low"", TODAY()-40, TODAY()), ""SELECT Col2 WHERE Col2 IS NOT NULL OR"&amp;"DER BY Col1 DESC LIMIT 20"", 0) - 1)))"),"#N/A")</f>
        <v>#N/A</v>
      </c>
      <c r="H315" s="35" t="str">
        <f t="shared" si="6"/>
        <v/>
      </c>
      <c r="I315" s="35" t="str">
        <f t="shared" si="7"/>
        <v/>
      </c>
      <c r="J315" s="37" t="str">
        <f>IFERROR(__xludf.DUMMYFUNCTION("IFERROR(
  IF(C315="""",, 
    IFERROR(
      GOOGLEFINANCE(C315, ""price"") * GOOGLEFINANCE(C315, ""volumeavg""), 
      GOOGLEFINANCE(C315, ""price"") * AVERAGE(QUERY(GOOGLEFINANCE(C315, ""volume"", TODAY()-40, TODAY()), ""SELECT Col2 WHERE Col2 IS NOT "&amp;"NULL ORDER BY Col1 DESC LIMIT 20"", 0))
    )
  ), 
"""")"),"")</f>
        <v/>
      </c>
      <c r="K315" s="21" t="str">
        <f>IFERROR(__xludf.DUMMYFUNCTION("IFERROR(GOOGLEFINANCE(C315, ""changepct"") / 100, """")"),"")</f>
        <v/>
      </c>
      <c r="L315" s="21" t="str">
        <f>IFERROR(__xludf.DUMMYFUNCTION("IFERROR((GOOGLEFINANCE(C315, ""price"") / INDEX(GOOGLEFINANCE(C315, ""price"", TODAY()-7, TODAY()), 2, 2)) - 1, """")"),"")</f>
        <v/>
      </c>
      <c r="M315" s="21" t="str">
        <f>IFERROR(__xludf.DUMMYFUNCTION("IFERROR((GOOGLEFINANCE(C315, ""price"") / INDEX(GOOGLEFINANCE(C315, ""price"", EDATE(TODAY(), -1), TODAY()), 2, 2)) - 1, """")"),"")</f>
        <v/>
      </c>
      <c r="N315" s="21" t="str">
        <f>IFERROR(__xludf.DUMMYFUNCTION("IFERROR((GOOGLEFINANCE(C315, ""price"") / INDEX(GOOGLEFINANCE(C315, ""price"", EDATE(TODAY(), -3), TODAY()), 2, 2)) - 1, """")"),"")</f>
        <v/>
      </c>
      <c r="O315" s="21" t="str">
        <f>IFERROR(__xludf.DUMMYFUNCTION("IFERROR((GOOGLEFINANCE(C315, ""price"") / INDEX(GOOGLEFINANCE(C315, ""price"", EDATE(TODAY(), -6), TODAY()), 2, 2)) - 1, """")"),"")</f>
        <v/>
      </c>
      <c r="P315" s="21" t="str">
        <f>IFERROR(__xludf.DUMMYFUNCTION("IFERROR((GOOGLEFINANCE(C315, ""price"") / INDEX(GOOGLEFINANCE(C315, ""price"", EDATE(TODAY(), -12), TODAY()), 2, 2)) - 1, """")"),"")</f>
        <v/>
      </c>
      <c r="Q315" s="6" t="str">
        <f>IFERROR(__xludf.DUMMYFUNCTION("AVERAGE(QUERY(GOOGLEFINANCE(C315, ""price"", TODAY()-80, TODAY()), ""SELECT Col2 WHERE Col2 IS NOT NULL ORDER BY Col1 DESC LIMIT 50"", 0))"),"#N/A")</f>
        <v>#N/A</v>
      </c>
      <c r="R315" s="24" t="str">
        <f>IFERROR(__xludf.DUMMYFUNCTION("IFERROR(
  LET(
    data, QUERY(GOOGLEFINANCE(C315,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GOOGLEFINANCE(C315, ""price"")) * 100,
    IF(calc=0, G315, calc)
  ), 
G315)"),"#N/A")</f>
        <v>#N/A</v>
      </c>
      <c r="S315" s="8" t="s">
        <v>15</v>
      </c>
      <c r="T315" s="26" t="str">
        <f>IFERROR(__xludf.DUMMYFUNCTION("IFERROR(TRANSPOSE(QUERY(IFERROR(SORT(GOOGLEFINANCE(C315, ""price"", WORKDAY(TODAY(), -40), TODAY()), 1, FALSE)), ""select Col2 where Col2 is not null limit 22 label Col2 ''"", 0)), """")"),"")</f>
        <v/>
      </c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8"/>
      <c r="AO315" s="28"/>
      <c r="AP315" s="29"/>
      <c r="AQ315" s="29" t="str">
        <f t="shared" ref="AQ315:BL315" si="318">T315/T$2</f>
        <v>#N/A</v>
      </c>
      <c r="AR315" s="29" t="str">
        <f t="shared" si="318"/>
        <v>#DIV/0!</v>
      </c>
      <c r="AS315" s="29" t="str">
        <f t="shared" si="318"/>
        <v>#DIV/0!</v>
      </c>
      <c r="AT315" s="29" t="str">
        <f t="shared" si="318"/>
        <v>#DIV/0!</v>
      </c>
      <c r="AU315" s="29" t="str">
        <f t="shared" si="318"/>
        <v>#DIV/0!</v>
      </c>
      <c r="AV315" s="29" t="str">
        <f t="shared" si="318"/>
        <v>#DIV/0!</v>
      </c>
      <c r="AW315" s="29" t="str">
        <f t="shared" si="318"/>
        <v>#DIV/0!</v>
      </c>
      <c r="AX315" s="29" t="str">
        <f t="shared" si="318"/>
        <v>#DIV/0!</v>
      </c>
      <c r="AY315" s="29" t="str">
        <f t="shared" si="318"/>
        <v>#DIV/0!</v>
      </c>
      <c r="AZ315" s="29" t="str">
        <f t="shared" si="318"/>
        <v>#DIV/0!</v>
      </c>
      <c r="BA315" s="29" t="str">
        <f t="shared" si="318"/>
        <v>#DIV/0!</v>
      </c>
      <c r="BB315" s="29" t="str">
        <f t="shared" si="318"/>
        <v>#DIV/0!</v>
      </c>
      <c r="BC315" s="29" t="str">
        <f t="shared" si="318"/>
        <v>#DIV/0!</v>
      </c>
      <c r="BD315" s="29" t="str">
        <f t="shared" si="318"/>
        <v>#DIV/0!</v>
      </c>
      <c r="BE315" s="29" t="str">
        <f t="shared" si="318"/>
        <v>#DIV/0!</v>
      </c>
      <c r="BF315" s="29" t="str">
        <f t="shared" si="318"/>
        <v>#DIV/0!</v>
      </c>
      <c r="BG315" s="29" t="str">
        <f t="shared" si="318"/>
        <v>#DIV/0!</v>
      </c>
      <c r="BH315" s="29" t="str">
        <f t="shared" si="318"/>
        <v>#DIV/0!</v>
      </c>
      <c r="BI315" s="29" t="str">
        <f t="shared" si="318"/>
        <v>#DIV/0!</v>
      </c>
      <c r="BJ315" s="29" t="str">
        <f t="shared" si="318"/>
        <v>#DIV/0!</v>
      </c>
      <c r="BK315" s="29" t="str">
        <f t="shared" si="318"/>
        <v>#DIV/0!</v>
      </c>
      <c r="BL315" s="29" t="str">
        <f t="shared" si="318"/>
        <v>#DIV/0!</v>
      </c>
      <c r="BM315" s="29" t="str">
        <f t="shared" si="3"/>
        <v>#DIV/0!</v>
      </c>
    </row>
    <row r="316">
      <c r="A316" s="16" t="str">
        <f>IFERROR(__xludf.DUMMYFUNCTION("IFERROR(SPARKLINE(SORT(MAP(TRANSPOSE(AQ316:BL316), LAMBDA(val, IF(ISNUMBER(val), PERCENTRANK(AQ316:BL316, val)+0.01, 0))), SEQUENCE(COLUMNS(AQ316:BL316)), FALSE), {""charttype"",""column""; ""color"",""chartreuse""; ""ymin"", 0; ""ymax"", 1.01; ""highcolo"&amp;"r"", ""darkgreen""; ""lowcolor"", ""red""}), """")"),"")</f>
        <v/>
      </c>
      <c r="B316" s="17" t="str">
        <f t="shared" si="4"/>
        <v/>
      </c>
      <c r="C316" s="1" t="s">
        <v>1296</v>
      </c>
      <c r="D316" s="30" t="str">
        <f>IFERROR(__xludf.DUMMYFUNCTION("IFERROR(GOOGLEFINANCE(C316, ""NAME""))"),"Trip.com Group Ltd")</f>
        <v>Trip.com Group Ltd</v>
      </c>
      <c r="E316" s="30" t="s">
        <v>248</v>
      </c>
      <c r="F316" s="38" t="str">
        <f>IFERROR(__xludf.DUMMYFUNCTION("( (GOOGLEFINANCE(C316, ""price"") - Q316) / Q316 ) / (R316 / 100)"),"Loading...")</f>
        <v>Loading...</v>
      </c>
      <c r="G316" s="20" t="str">
        <f>IFERROR(__xludf.DUMMYFUNCTION("AVERAGE(ARRAYFORMULA(100 * (QUERY(GOOGLEFINANCE(C316, ""high"", TODAY()-40, TODAY()), ""SELECT Col2 WHERE Col2 IS NOT NULL ORDER BY Col1 DESC LIMIT 20"", 0) / QUERY(GOOGLEFINANCE(C316, ""low"", TODAY()-40, TODAY()), ""SELECT Col2 WHERE Col2 IS NOT NULL OR"&amp;"DER BY Col1 DESC LIMIT 20"", 0) - 1)))"),"#N/A")</f>
        <v>#N/A</v>
      </c>
      <c r="H316" s="35" t="str">
        <f t="shared" si="6"/>
        <v/>
      </c>
      <c r="I316" s="35" t="str">
        <f t="shared" si="7"/>
        <v/>
      </c>
      <c r="J316" s="37" t="str">
        <f>IFERROR(__xludf.DUMMYFUNCTION("IFERROR(
  IF(C316="""",, 
    IFERROR(
      GOOGLEFINANCE(C316, ""price"") * GOOGLEFINANCE(C316, ""volumeavg""), 
      GOOGLEFINANCE(C316, ""price"") * AVERAGE(QUERY(GOOGLEFINANCE(C316, ""volume"", TODAY()-40, TODAY()), ""SELECT Col2 WHERE Col2 IS NOT "&amp;"NULL ORDER BY Col1 DESC LIMIT 20"", 0))
    )
  ), 
"""")"),"")</f>
        <v/>
      </c>
      <c r="K316" s="21" t="str">
        <f>IFERROR(__xludf.DUMMYFUNCTION("IFERROR(GOOGLEFINANCE(C316, ""changepct"") / 100, """")"),"")</f>
        <v/>
      </c>
      <c r="L316" s="21" t="str">
        <f>IFERROR(__xludf.DUMMYFUNCTION("IFERROR((GOOGLEFINANCE(C316, ""price"") / INDEX(GOOGLEFINANCE(C316, ""price"", TODAY()-7, TODAY()), 2, 2)) - 1, """")"),"")</f>
        <v/>
      </c>
      <c r="M316" s="21" t="str">
        <f>IFERROR(__xludf.DUMMYFUNCTION("IFERROR((GOOGLEFINANCE(C316, ""price"") / INDEX(GOOGLEFINANCE(C316, ""price"", EDATE(TODAY(), -1), TODAY()), 2, 2)) - 1, """")"),"")</f>
        <v/>
      </c>
      <c r="N316" s="21" t="str">
        <f>IFERROR(__xludf.DUMMYFUNCTION("IFERROR((GOOGLEFINANCE(C316, ""price"") / INDEX(GOOGLEFINANCE(C316, ""price"", EDATE(TODAY(), -3), TODAY()), 2, 2)) - 1, """")"),"")</f>
        <v/>
      </c>
      <c r="O316" s="21" t="str">
        <f>IFERROR(__xludf.DUMMYFUNCTION("IFERROR((GOOGLEFINANCE(C316, ""price"") / INDEX(GOOGLEFINANCE(C316, ""price"", EDATE(TODAY(), -6), TODAY()), 2, 2)) - 1, """")"),"")</f>
        <v/>
      </c>
      <c r="P316" s="21" t="str">
        <f>IFERROR(__xludf.DUMMYFUNCTION("IFERROR((GOOGLEFINANCE(C316, ""price"") / INDEX(GOOGLEFINANCE(C316, ""price"", EDATE(TODAY(), -12), TODAY()), 2, 2)) - 1, """")"),"")</f>
        <v/>
      </c>
      <c r="Q316" s="6" t="str">
        <f>IFERROR(__xludf.DUMMYFUNCTION("AVERAGE(QUERY(GOOGLEFINANCE(C316, ""price"", TODAY()-80, TODAY()), ""SELECT Col2 WHERE Col2 IS NOT NULL ORDER BY Col1 DESC LIMIT 50"", 0))"),"#N/A")</f>
        <v>#N/A</v>
      </c>
      <c r="R316" s="24" t="str">
        <f>IFERROR(__xludf.DUMMYFUNCTION("IFERROR(
  LET(
    data, QUERY(GOOGLEFINANCE(C316,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GOOGLEFINANCE(C316, ""price"")) * 100,
    IF(calc=0, G316, calc)
  ), 
G316)"),"#N/A")</f>
        <v>#N/A</v>
      </c>
      <c r="S316" s="8" t="s">
        <v>15</v>
      </c>
      <c r="T316" s="26" t="str">
        <f>IFERROR(__xludf.DUMMYFUNCTION("IFERROR(TRANSPOSE(QUERY(IFERROR(SORT(GOOGLEFINANCE(C316, ""price"", WORKDAY(TODAY(), -40), TODAY()), 1, FALSE)), ""select Col2 where Col2 is not null limit 22 label Col2 ''"", 0)), """")"),"")</f>
        <v/>
      </c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8"/>
      <c r="AO316" s="28"/>
      <c r="AP316" s="29"/>
      <c r="AQ316" s="29" t="str">
        <f t="shared" ref="AQ316:BL316" si="319">T316/T$2</f>
        <v>#N/A</v>
      </c>
      <c r="AR316" s="29" t="str">
        <f t="shared" si="319"/>
        <v>#DIV/0!</v>
      </c>
      <c r="AS316" s="29" t="str">
        <f t="shared" si="319"/>
        <v>#DIV/0!</v>
      </c>
      <c r="AT316" s="29" t="str">
        <f t="shared" si="319"/>
        <v>#DIV/0!</v>
      </c>
      <c r="AU316" s="29" t="str">
        <f t="shared" si="319"/>
        <v>#DIV/0!</v>
      </c>
      <c r="AV316" s="29" t="str">
        <f t="shared" si="319"/>
        <v>#DIV/0!</v>
      </c>
      <c r="AW316" s="29" t="str">
        <f t="shared" si="319"/>
        <v>#DIV/0!</v>
      </c>
      <c r="AX316" s="29" t="str">
        <f t="shared" si="319"/>
        <v>#DIV/0!</v>
      </c>
      <c r="AY316" s="29" t="str">
        <f t="shared" si="319"/>
        <v>#DIV/0!</v>
      </c>
      <c r="AZ316" s="29" t="str">
        <f t="shared" si="319"/>
        <v>#DIV/0!</v>
      </c>
      <c r="BA316" s="29" t="str">
        <f t="shared" si="319"/>
        <v>#DIV/0!</v>
      </c>
      <c r="BB316" s="29" t="str">
        <f t="shared" si="319"/>
        <v>#DIV/0!</v>
      </c>
      <c r="BC316" s="29" t="str">
        <f t="shared" si="319"/>
        <v>#DIV/0!</v>
      </c>
      <c r="BD316" s="29" t="str">
        <f t="shared" si="319"/>
        <v>#DIV/0!</v>
      </c>
      <c r="BE316" s="29" t="str">
        <f t="shared" si="319"/>
        <v>#DIV/0!</v>
      </c>
      <c r="BF316" s="29" t="str">
        <f t="shared" si="319"/>
        <v>#DIV/0!</v>
      </c>
      <c r="BG316" s="29" t="str">
        <f t="shared" si="319"/>
        <v>#DIV/0!</v>
      </c>
      <c r="BH316" s="29" t="str">
        <f t="shared" si="319"/>
        <v>#DIV/0!</v>
      </c>
      <c r="BI316" s="29" t="str">
        <f t="shared" si="319"/>
        <v>#DIV/0!</v>
      </c>
      <c r="BJ316" s="29" t="str">
        <f t="shared" si="319"/>
        <v>#DIV/0!</v>
      </c>
      <c r="BK316" s="29" t="str">
        <f t="shared" si="319"/>
        <v>#DIV/0!</v>
      </c>
      <c r="BL316" s="29" t="str">
        <f t="shared" si="319"/>
        <v>#DIV/0!</v>
      </c>
      <c r="BM316" s="29" t="str">
        <f t="shared" si="3"/>
        <v>#DIV/0!</v>
      </c>
    </row>
    <row r="317">
      <c r="A317" s="16" t="str">
        <f>IFERROR(__xludf.DUMMYFUNCTION("IFERROR(SPARKLINE(SORT(MAP(TRANSPOSE(AQ317:BL317), LAMBDA(val, IF(ISNUMBER(val), PERCENTRANK(AQ317:BL317, val)+0.01, 0))), SEQUENCE(COLUMNS(AQ317:BL317)), FALSE), {""charttype"",""column""; ""color"",""chartreuse""; ""ymin"", 0; ""ymax"", 1.01; ""highcolo"&amp;"r"", ""darkgreen""; ""lowcolor"", ""red""}), """")"),"")</f>
        <v/>
      </c>
      <c r="B317" s="17" t="str">
        <f t="shared" si="4"/>
        <v/>
      </c>
      <c r="C317" s="1" t="s">
        <v>1300</v>
      </c>
      <c r="D317" s="30" t="str">
        <f>IFERROR(__xludf.DUMMYFUNCTION("IFERROR(GOOGLEFINANCE(C317, ""NAME""))"),"Toyota Motor Corp")</f>
        <v>Toyota Motor Corp</v>
      </c>
      <c r="E317" s="30" t="s">
        <v>129</v>
      </c>
      <c r="F317" s="33" t="str">
        <f>IFERROR(__xludf.DUMMYFUNCTION("( (GOOGLEFINANCE(C317, ""price"") - Q317) / Q317 ) / (R317 / 100)"),"Loading...")</f>
        <v>Loading...</v>
      </c>
      <c r="G317" s="20" t="str">
        <f>IFERROR(__xludf.DUMMYFUNCTION("AVERAGE(ARRAYFORMULA(100 * (QUERY(GOOGLEFINANCE(C317, ""high"", TODAY()-40, TODAY()), ""SELECT Col2 WHERE Col2 IS NOT NULL ORDER BY Col1 DESC LIMIT 20"", 0) / QUERY(GOOGLEFINANCE(C317, ""low"", TODAY()-40, TODAY()), ""SELECT Col2 WHERE Col2 IS NOT NULL OR"&amp;"DER BY Col1 DESC LIMIT 20"", 0) - 1)))"),"#N/A")</f>
        <v>#N/A</v>
      </c>
      <c r="H317" s="35" t="str">
        <f t="shared" si="6"/>
        <v/>
      </c>
      <c r="I317" s="35" t="str">
        <f t="shared" si="7"/>
        <v/>
      </c>
      <c r="J317" s="37" t="str">
        <f>IFERROR(__xludf.DUMMYFUNCTION("IFERROR(
  IF(C317="""",, 
    IFERROR(
      GOOGLEFINANCE(C317, ""price"") * GOOGLEFINANCE(C317, ""volumeavg""), 
      GOOGLEFINANCE(C317, ""price"") * AVERAGE(QUERY(GOOGLEFINANCE(C317, ""volume"", TODAY()-40, TODAY()), ""SELECT Col2 WHERE Col2 IS NOT "&amp;"NULL ORDER BY Col1 DESC LIMIT 20"", 0))
    )
  ), 
"""")"),"")</f>
        <v/>
      </c>
      <c r="K317" s="21" t="str">
        <f>IFERROR(__xludf.DUMMYFUNCTION("IFERROR(GOOGLEFINANCE(C317, ""changepct"") / 100, """")"),"")</f>
        <v/>
      </c>
      <c r="L317" s="21" t="str">
        <f>IFERROR(__xludf.DUMMYFUNCTION("IFERROR((GOOGLEFINANCE(C317, ""price"") / INDEX(GOOGLEFINANCE(C317, ""price"", TODAY()-7, TODAY()), 2, 2)) - 1, """")"),"")</f>
        <v/>
      </c>
      <c r="M317" s="21" t="str">
        <f>IFERROR(__xludf.DUMMYFUNCTION("IFERROR((GOOGLEFINANCE(C317, ""price"") / INDEX(GOOGLEFINANCE(C317, ""price"", EDATE(TODAY(), -1), TODAY()), 2, 2)) - 1, """")"),"")</f>
        <v/>
      </c>
      <c r="N317" s="21" t="str">
        <f>IFERROR(__xludf.DUMMYFUNCTION("IFERROR((GOOGLEFINANCE(C317, ""price"") / INDEX(GOOGLEFINANCE(C317, ""price"", EDATE(TODAY(), -3), TODAY()), 2, 2)) - 1, """")"),"")</f>
        <v/>
      </c>
      <c r="O317" s="21" t="str">
        <f>IFERROR(__xludf.DUMMYFUNCTION("IFERROR((GOOGLEFINANCE(C317, ""price"") / INDEX(GOOGLEFINANCE(C317, ""price"", EDATE(TODAY(), -6), TODAY()), 2, 2)) - 1, """")"),"")</f>
        <v/>
      </c>
      <c r="P317" s="21" t="str">
        <f>IFERROR(__xludf.DUMMYFUNCTION("IFERROR((GOOGLEFINANCE(C317, ""price"") / INDEX(GOOGLEFINANCE(C317, ""price"", EDATE(TODAY(), -12), TODAY()), 2, 2)) - 1, """")"),"")</f>
        <v/>
      </c>
      <c r="Q317" s="6" t="str">
        <f>IFERROR(__xludf.DUMMYFUNCTION("AVERAGE(QUERY(GOOGLEFINANCE(C317, ""price"", TODAY()-80, TODAY()), ""SELECT Col2 WHERE Col2 IS NOT NULL ORDER BY Col1 DESC LIMIT 50"", 0))"),"#N/A")</f>
        <v>#N/A</v>
      </c>
      <c r="R317" s="24" t="str">
        <f>IFERROR(__xludf.DUMMYFUNCTION("IFERROR(
  LET(
    data, QUERY(GOOGLEFINANCE(C317,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GOOGLEFINANCE(C317, ""price"")) * 100,
    IF(calc=0, G317, calc)
  ), 
G317)"),"#N/A")</f>
        <v>#N/A</v>
      </c>
      <c r="S317" s="8" t="s">
        <v>15</v>
      </c>
      <c r="T317" s="26" t="str">
        <f>IFERROR(__xludf.DUMMYFUNCTION("IFERROR(TRANSPOSE(QUERY(IFERROR(SORT(GOOGLEFINANCE(C317, ""price"", WORKDAY(TODAY(), -40), TODAY()), 1, FALSE)), ""select Col2 where Col2 is not null limit 22 label Col2 ''"", 0)), """")"),"")</f>
        <v/>
      </c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8"/>
      <c r="AO317" s="28"/>
      <c r="AP317" s="29"/>
      <c r="AQ317" s="29" t="str">
        <f t="shared" ref="AQ317:BL317" si="320">T317/T$2</f>
        <v>#N/A</v>
      </c>
      <c r="AR317" s="29" t="str">
        <f t="shared" si="320"/>
        <v>#DIV/0!</v>
      </c>
      <c r="AS317" s="29" t="str">
        <f t="shared" si="320"/>
        <v>#DIV/0!</v>
      </c>
      <c r="AT317" s="29" t="str">
        <f t="shared" si="320"/>
        <v>#DIV/0!</v>
      </c>
      <c r="AU317" s="29" t="str">
        <f t="shared" si="320"/>
        <v>#DIV/0!</v>
      </c>
      <c r="AV317" s="29" t="str">
        <f t="shared" si="320"/>
        <v>#DIV/0!</v>
      </c>
      <c r="AW317" s="29" t="str">
        <f t="shared" si="320"/>
        <v>#DIV/0!</v>
      </c>
      <c r="AX317" s="29" t="str">
        <f t="shared" si="320"/>
        <v>#DIV/0!</v>
      </c>
      <c r="AY317" s="29" t="str">
        <f t="shared" si="320"/>
        <v>#DIV/0!</v>
      </c>
      <c r="AZ317" s="29" t="str">
        <f t="shared" si="320"/>
        <v>#DIV/0!</v>
      </c>
      <c r="BA317" s="29" t="str">
        <f t="shared" si="320"/>
        <v>#DIV/0!</v>
      </c>
      <c r="BB317" s="29" t="str">
        <f t="shared" si="320"/>
        <v>#DIV/0!</v>
      </c>
      <c r="BC317" s="29" t="str">
        <f t="shared" si="320"/>
        <v>#DIV/0!</v>
      </c>
      <c r="BD317" s="29" t="str">
        <f t="shared" si="320"/>
        <v>#DIV/0!</v>
      </c>
      <c r="BE317" s="29" t="str">
        <f t="shared" si="320"/>
        <v>#DIV/0!</v>
      </c>
      <c r="BF317" s="29" t="str">
        <f t="shared" si="320"/>
        <v>#DIV/0!</v>
      </c>
      <c r="BG317" s="29" t="str">
        <f t="shared" si="320"/>
        <v>#DIV/0!</v>
      </c>
      <c r="BH317" s="29" t="str">
        <f t="shared" si="320"/>
        <v>#DIV/0!</v>
      </c>
      <c r="BI317" s="29" t="str">
        <f t="shared" si="320"/>
        <v>#DIV/0!</v>
      </c>
      <c r="BJ317" s="29" t="str">
        <f t="shared" si="320"/>
        <v>#DIV/0!</v>
      </c>
      <c r="BK317" s="29" t="str">
        <f t="shared" si="320"/>
        <v>#DIV/0!</v>
      </c>
      <c r="BL317" s="29" t="str">
        <f t="shared" si="320"/>
        <v>#DIV/0!</v>
      </c>
      <c r="BM317" s="29" t="str">
        <f t="shared" si="3"/>
        <v>#DIV/0!</v>
      </c>
    </row>
    <row r="318">
      <c r="A318" s="16" t="str">
        <f>IFERROR(__xludf.DUMMYFUNCTION("IFERROR(SPARKLINE(SORT(MAP(TRANSPOSE(AQ318:BL318), LAMBDA(val, IF(ISNUMBER(val), PERCENTRANK(AQ318:BL318, val)+0.01, 0))), SEQUENCE(COLUMNS(AQ318:BL318)), FALSE), {""charttype"",""column""; ""color"",""chartreuse""; ""ymin"", 0; ""ymax"", 1.01; ""highcolo"&amp;"r"", ""darkgreen""; ""lowcolor"", ""red""}), """")"),"")</f>
        <v/>
      </c>
      <c r="B318" s="17" t="str">
        <f t="shared" si="4"/>
        <v/>
      </c>
      <c r="C318" s="1" t="s">
        <v>1305</v>
      </c>
      <c r="D318" s="30" t="str">
        <f>IFERROR(__xludf.DUMMYFUNCTION("IFERROR(GOOGLEFINANCE(C318, ""NAME""))"),"Designer Brands Inc")</f>
        <v>Designer Brands Inc</v>
      </c>
      <c r="E318" s="30" t="s">
        <v>411</v>
      </c>
      <c r="F318" s="33" t="str">
        <f>IFERROR(__xludf.DUMMYFUNCTION("( (GOOGLEFINANCE(C318, ""price"") - Q318) / Q318 ) / (R318 / 100)"),"Loading...")</f>
        <v>Loading...</v>
      </c>
      <c r="G318" s="20" t="str">
        <f>IFERROR(__xludf.DUMMYFUNCTION("AVERAGE(ARRAYFORMULA(100 * (QUERY(GOOGLEFINANCE(C318, ""high"", TODAY()-40, TODAY()), ""SELECT Col2 WHERE Col2 IS NOT NULL ORDER BY Col1 DESC LIMIT 20"", 0) / QUERY(GOOGLEFINANCE(C318, ""low"", TODAY()-40, TODAY()), ""SELECT Col2 WHERE Col2 IS NOT NULL OR"&amp;"DER BY Col1 DESC LIMIT 20"", 0) - 1)))"),"#N/A")</f>
        <v>#N/A</v>
      </c>
      <c r="H318" s="35" t="str">
        <f t="shared" si="6"/>
        <v/>
      </c>
      <c r="I318" s="35" t="str">
        <f t="shared" si="7"/>
        <v/>
      </c>
      <c r="J318" s="37" t="str">
        <f>IFERROR(__xludf.DUMMYFUNCTION("IFERROR(
  IF(C318="""",, 
    IFERROR(
      GOOGLEFINANCE(C318, ""price"") * GOOGLEFINANCE(C318, ""volumeavg""), 
      GOOGLEFINANCE(C318, ""price"") * AVERAGE(QUERY(GOOGLEFINANCE(C318, ""volume"", TODAY()-40, TODAY()), ""SELECT Col2 WHERE Col2 IS NOT "&amp;"NULL ORDER BY Col1 DESC LIMIT 20"", 0))
    )
  ), 
"""")"),"")</f>
        <v/>
      </c>
      <c r="K318" s="21" t="str">
        <f>IFERROR(__xludf.DUMMYFUNCTION("IFERROR(GOOGLEFINANCE(C318, ""changepct"") / 100, """")"),"")</f>
        <v/>
      </c>
      <c r="L318" s="21" t="str">
        <f>IFERROR(__xludf.DUMMYFUNCTION("IFERROR((GOOGLEFINANCE(C318, ""price"") / INDEX(GOOGLEFINANCE(C318, ""price"", TODAY()-7, TODAY()), 2, 2)) - 1, """")"),"")</f>
        <v/>
      </c>
      <c r="M318" s="21" t="str">
        <f>IFERROR(__xludf.DUMMYFUNCTION("IFERROR((GOOGLEFINANCE(C318, ""price"") / INDEX(GOOGLEFINANCE(C318, ""price"", EDATE(TODAY(), -1), TODAY()), 2, 2)) - 1, """")"),"")</f>
        <v/>
      </c>
      <c r="N318" s="21" t="str">
        <f>IFERROR(__xludf.DUMMYFUNCTION("IFERROR((GOOGLEFINANCE(C318, ""price"") / INDEX(GOOGLEFINANCE(C318, ""price"", EDATE(TODAY(), -3), TODAY()), 2, 2)) - 1, """")"),"")</f>
        <v/>
      </c>
      <c r="O318" s="21" t="str">
        <f>IFERROR(__xludf.DUMMYFUNCTION("IFERROR((GOOGLEFINANCE(C318, ""price"") / INDEX(GOOGLEFINANCE(C318, ""price"", EDATE(TODAY(), -6), TODAY()), 2, 2)) - 1, """")"),"")</f>
        <v/>
      </c>
      <c r="P318" s="21" t="str">
        <f>IFERROR(__xludf.DUMMYFUNCTION("IFERROR((GOOGLEFINANCE(C318, ""price"") / INDEX(GOOGLEFINANCE(C318, ""price"", EDATE(TODAY(), -12), TODAY()), 2, 2)) - 1, """")"),"")</f>
        <v/>
      </c>
      <c r="Q318" s="6" t="str">
        <f>IFERROR(__xludf.DUMMYFUNCTION("AVERAGE(QUERY(GOOGLEFINANCE(C318, ""price"", TODAY()-80, TODAY()), ""SELECT Col2 WHERE Col2 IS NOT NULL ORDER BY Col1 DESC LIMIT 50"", 0))"),"#N/A")</f>
        <v>#N/A</v>
      </c>
      <c r="R318" s="24" t="str">
        <f>IFERROR(__xludf.DUMMYFUNCTION("IFERROR(
  LET(
    data, QUERY(GOOGLEFINANCE(C318,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GOOGLEFINANCE(C318, ""price"")) * 100,
    IF(calc=0, G318, calc)
  ), 
G318)"),"#N/A")</f>
        <v>#N/A</v>
      </c>
      <c r="S318" s="8" t="s">
        <v>15</v>
      </c>
      <c r="T318" s="26" t="str">
        <f>IFERROR(__xludf.DUMMYFUNCTION("IFERROR(TRANSPOSE(QUERY(IFERROR(SORT(GOOGLEFINANCE(C318, ""price"", WORKDAY(TODAY(), -40), TODAY()), 1, FALSE)), ""select Col2 where Col2 is not null limit 22 label Col2 ''"", 0)), """")"),"")</f>
        <v/>
      </c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8"/>
      <c r="AO318" s="28"/>
      <c r="AP318" s="29"/>
      <c r="AQ318" s="29" t="str">
        <f t="shared" ref="AQ318:BL318" si="321">T318/T$2</f>
        <v>#N/A</v>
      </c>
      <c r="AR318" s="29" t="str">
        <f t="shared" si="321"/>
        <v>#DIV/0!</v>
      </c>
      <c r="AS318" s="29" t="str">
        <f t="shared" si="321"/>
        <v>#DIV/0!</v>
      </c>
      <c r="AT318" s="29" t="str">
        <f t="shared" si="321"/>
        <v>#DIV/0!</v>
      </c>
      <c r="AU318" s="29" t="str">
        <f t="shared" si="321"/>
        <v>#DIV/0!</v>
      </c>
      <c r="AV318" s="29" t="str">
        <f t="shared" si="321"/>
        <v>#DIV/0!</v>
      </c>
      <c r="AW318" s="29" t="str">
        <f t="shared" si="321"/>
        <v>#DIV/0!</v>
      </c>
      <c r="AX318" s="29" t="str">
        <f t="shared" si="321"/>
        <v>#DIV/0!</v>
      </c>
      <c r="AY318" s="29" t="str">
        <f t="shared" si="321"/>
        <v>#DIV/0!</v>
      </c>
      <c r="AZ318" s="29" t="str">
        <f t="shared" si="321"/>
        <v>#DIV/0!</v>
      </c>
      <c r="BA318" s="29" t="str">
        <f t="shared" si="321"/>
        <v>#DIV/0!</v>
      </c>
      <c r="BB318" s="29" t="str">
        <f t="shared" si="321"/>
        <v>#DIV/0!</v>
      </c>
      <c r="BC318" s="29" t="str">
        <f t="shared" si="321"/>
        <v>#DIV/0!</v>
      </c>
      <c r="BD318" s="29" t="str">
        <f t="shared" si="321"/>
        <v>#DIV/0!</v>
      </c>
      <c r="BE318" s="29" t="str">
        <f t="shared" si="321"/>
        <v>#DIV/0!</v>
      </c>
      <c r="BF318" s="29" t="str">
        <f t="shared" si="321"/>
        <v>#DIV/0!</v>
      </c>
      <c r="BG318" s="29" t="str">
        <f t="shared" si="321"/>
        <v>#DIV/0!</v>
      </c>
      <c r="BH318" s="29" t="str">
        <f t="shared" si="321"/>
        <v>#DIV/0!</v>
      </c>
      <c r="BI318" s="29" t="str">
        <f t="shared" si="321"/>
        <v>#DIV/0!</v>
      </c>
      <c r="BJ318" s="29" t="str">
        <f t="shared" si="321"/>
        <v>#DIV/0!</v>
      </c>
      <c r="BK318" s="29" t="str">
        <f t="shared" si="321"/>
        <v>#DIV/0!</v>
      </c>
      <c r="BL318" s="29" t="str">
        <f t="shared" si="321"/>
        <v>#DIV/0!</v>
      </c>
      <c r="BM318" s="29" t="str">
        <f t="shared" si="3"/>
        <v>#DIV/0!</v>
      </c>
    </row>
    <row r="319">
      <c r="A319" s="16" t="str">
        <f>IFERROR(__xludf.DUMMYFUNCTION("IFERROR(SPARKLINE(SORT(MAP(TRANSPOSE(AQ319:BL319), LAMBDA(val, IF(ISNUMBER(val), PERCENTRANK(AQ319:BL319, val)+0.01, 0))), SEQUENCE(COLUMNS(AQ319:BL319)), FALSE), {""charttype"",""column""; ""color"",""chartreuse""; ""ymin"", 0; ""ymax"", 1.01; ""highcolo"&amp;"r"", ""darkgreen""; ""lowcolor"", ""red""}), """")"),"")</f>
        <v/>
      </c>
      <c r="B319" s="17" t="str">
        <f t="shared" si="4"/>
        <v/>
      </c>
      <c r="C319" s="1" t="s">
        <v>1309</v>
      </c>
      <c r="D319" s="30" t="str">
        <f>IFERROR(__xludf.DUMMYFUNCTION("IFERROR(GOOGLEFINANCE(C319, ""NAME""))"),"Avery Dennison Corp")</f>
        <v>Avery Dennison Corp</v>
      </c>
      <c r="E319" s="30" t="s">
        <v>195</v>
      </c>
      <c r="F319" s="33" t="str">
        <f>IFERROR(__xludf.DUMMYFUNCTION("( (GOOGLEFINANCE(C319, ""price"") - Q319) / Q319 ) / (R319 / 100)"),"Loading...")</f>
        <v>Loading...</v>
      </c>
      <c r="G319" s="20" t="str">
        <f>IFERROR(__xludf.DUMMYFUNCTION("AVERAGE(ARRAYFORMULA(100 * (QUERY(GOOGLEFINANCE(C319, ""high"", TODAY()-40, TODAY()), ""SELECT Col2 WHERE Col2 IS NOT NULL ORDER BY Col1 DESC LIMIT 20"", 0) / QUERY(GOOGLEFINANCE(C319, ""low"", TODAY()-40, TODAY()), ""SELECT Col2 WHERE Col2 IS NOT NULL OR"&amp;"DER BY Col1 DESC LIMIT 20"", 0) - 1)))"),"#N/A")</f>
        <v>#N/A</v>
      </c>
      <c r="H319" s="35" t="str">
        <f t="shared" si="6"/>
        <v/>
      </c>
      <c r="I319" s="35" t="str">
        <f t="shared" si="7"/>
        <v/>
      </c>
      <c r="J319" s="37" t="str">
        <f>IFERROR(__xludf.DUMMYFUNCTION("IFERROR(
  IF(C319="""",, 
    IFERROR(
      GOOGLEFINANCE(C319, ""price"") * GOOGLEFINANCE(C319, ""volumeavg""), 
      GOOGLEFINANCE(C319, ""price"") * AVERAGE(QUERY(GOOGLEFINANCE(C319, ""volume"", TODAY()-40, TODAY()), ""SELECT Col2 WHERE Col2 IS NOT "&amp;"NULL ORDER BY Col1 DESC LIMIT 20"", 0))
    )
  ), 
"""")"),"")</f>
        <v/>
      </c>
      <c r="K319" s="21" t="str">
        <f>IFERROR(__xludf.DUMMYFUNCTION("IFERROR(GOOGLEFINANCE(C319, ""changepct"") / 100, """")"),"")</f>
        <v/>
      </c>
      <c r="L319" s="21" t="str">
        <f>IFERROR(__xludf.DUMMYFUNCTION("IFERROR((GOOGLEFINANCE(C319, ""price"") / INDEX(GOOGLEFINANCE(C319, ""price"", TODAY()-7, TODAY()), 2, 2)) - 1, """")"),"")</f>
        <v/>
      </c>
      <c r="M319" s="21" t="str">
        <f>IFERROR(__xludf.DUMMYFUNCTION("IFERROR((GOOGLEFINANCE(C319, ""price"") / INDEX(GOOGLEFINANCE(C319, ""price"", EDATE(TODAY(), -1), TODAY()), 2, 2)) - 1, """")"),"")</f>
        <v/>
      </c>
      <c r="N319" s="21" t="str">
        <f>IFERROR(__xludf.DUMMYFUNCTION("IFERROR((GOOGLEFINANCE(C319, ""price"") / INDEX(GOOGLEFINANCE(C319, ""price"", EDATE(TODAY(), -3), TODAY()), 2, 2)) - 1, """")"),"")</f>
        <v/>
      </c>
      <c r="O319" s="21" t="str">
        <f>IFERROR(__xludf.DUMMYFUNCTION("IFERROR((GOOGLEFINANCE(C319, ""price"") / INDEX(GOOGLEFINANCE(C319, ""price"", EDATE(TODAY(), -6), TODAY()), 2, 2)) - 1, """")"),"")</f>
        <v/>
      </c>
      <c r="P319" s="21" t="str">
        <f>IFERROR(__xludf.DUMMYFUNCTION("IFERROR((GOOGLEFINANCE(C319, ""price"") / INDEX(GOOGLEFINANCE(C319, ""price"", EDATE(TODAY(), -12), TODAY()), 2, 2)) - 1, """")"),"")</f>
        <v/>
      </c>
      <c r="Q319" s="6" t="str">
        <f>IFERROR(__xludf.DUMMYFUNCTION("AVERAGE(QUERY(GOOGLEFINANCE(C319, ""price"", TODAY()-80, TODAY()), ""SELECT Col2 WHERE Col2 IS NOT NULL ORDER BY Col1 DESC LIMIT 50"", 0))"),"#N/A")</f>
        <v>#N/A</v>
      </c>
      <c r="R319" s="24" t="str">
        <f>IFERROR(__xludf.DUMMYFUNCTION("IFERROR(
  LET(
    data, QUERY(GOOGLEFINANCE(C319,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GOOGLEFINANCE(C319, ""price"")) * 100,
    IF(calc=0, G319, calc)
  ), 
G319)"),"#N/A")</f>
        <v>#N/A</v>
      </c>
      <c r="S319" s="8" t="s">
        <v>15</v>
      </c>
      <c r="T319" s="26" t="str">
        <f>IFERROR(__xludf.DUMMYFUNCTION("IFERROR(TRANSPOSE(QUERY(IFERROR(SORT(GOOGLEFINANCE(C319, ""price"", WORKDAY(TODAY(), -40), TODAY()), 1, FALSE)), ""select Col2 where Col2 is not null limit 22 label Col2 ''"", 0)), """")"),"")</f>
        <v/>
      </c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8"/>
      <c r="AO319" s="28"/>
      <c r="AP319" s="29"/>
      <c r="AQ319" s="29" t="str">
        <f t="shared" ref="AQ319:BL319" si="322">T319/T$2</f>
        <v>#N/A</v>
      </c>
      <c r="AR319" s="29" t="str">
        <f t="shared" si="322"/>
        <v>#DIV/0!</v>
      </c>
      <c r="AS319" s="29" t="str">
        <f t="shared" si="322"/>
        <v>#DIV/0!</v>
      </c>
      <c r="AT319" s="29" t="str">
        <f t="shared" si="322"/>
        <v>#DIV/0!</v>
      </c>
      <c r="AU319" s="29" t="str">
        <f t="shared" si="322"/>
        <v>#DIV/0!</v>
      </c>
      <c r="AV319" s="29" t="str">
        <f t="shared" si="322"/>
        <v>#DIV/0!</v>
      </c>
      <c r="AW319" s="29" t="str">
        <f t="shared" si="322"/>
        <v>#DIV/0!</v>
      </c>
      <c r="AX319" s="29" t="str">
        <f t="shared" si="322"/>
        <v>#DIV/0!</v>
      </c>
      <c r="AY319" s="29" t="str">
        <f t="shared" si="322"/>
        <v>#DIV/0!</v>
      </c>
      <c r="AZ319" s="29" t="str">
        <f t="shared" si="322"/>
        <v>#DIV/0!</v>
      </c>
      <c r="BA319" s="29" t="str">
        <f t="shared" si="322"/>
        <v>#DIV/0!</v>
      </c>
      <c r="BB319" s="29" t="str">
        <f t="shared" si="322"/>
        <v>#DIV/0!</v>
      </c>
      <c r="BC319" s="29" t="str">
        <f t="shared" si="322"/>
        <v>#DIV/0!</v>
      </c>
      <c r="BD319" s="29" t="str">
        <f t="shared" si="322"/>
        <v>#DIV/0!</v>
      </c>
      <c r="BE319" s="29" t="str">
        <f t="shared" si="322"/>
        <v>#DIV/0!</v>
      </c>
      <c r="BF319" s="29" t="str">
        <f t="shared" si="322"/>
        <v>#DIV/0!</v>
      </c>
      <c r="BG319" s="29" t="str">
        <f t="shared" si="322"/>
        <v>#DIV/0!</v>
      </c>
      <c r="BH319" s="29" t="str">
        <f t="shared" si="322"/>
        <v>#DIV/0!</v>
      </c>
      <c r="BI319" s="29" t="str">
        <f t="shared" si="322"/>
        <v>#DIV/0!</v>
      </c>
      <c r="BJ319" s="29" t="str">
        <f t="shared" si="322"/>
        <v>#DIV/0!</v>
      </c>
      <c r="BK319" s="29" t="str">
        <f t="shared" si="322"/>
        <v>#DIV/0!</v>
      </c>
      <c r="BL319" s="29" t="str">
        <f t="shared" si="322"/>
        <v>#DIV/0!</v>
      </c>
      <c r="BM319" s="29" t="str">
        <f t="shared" si="3"/>
        <v>#DIV/0!</v>
      </c>
    </row>
    <row r="320">
      <c r="A320" s="16" t="str">
        <f>IFERROR(__xludf.DUMMYFUNCTION("IFERROR(SPARKLINE(SORT(MAP(TRANSPOSE(AQ320:BL320), LAMBDA(val, IF(ISNUMBER(val), PERCENTRANK(AQ320:BL320, val)+0.01, 0))), SEQUENCE(COLUMNS(AQ320:BL320)), FALSE), {""charttype"",""column""; ""color"",""chartreuse""; ""ymin"", 0; ""ymax"", 1.01; ""highcolo"&amp;"r"", ""darkgreen""; ""lowcolor"", ""red""}), """")"),"")</f>
        <v/>
      </c>
      <c r="B320" s="17" t="str">
        <f t="shared" si="4"/>
        <v/>
      </c>
      <c r="C320" s="1" t="s">
        <v>1312</v>
      </c>
      <c r="D320" s="30" t="str">
        <f>IFERROR(__xludf.DUMMYFUNCTION("IFERROR(GOOGLEFINANCE(C320, ""NAME""))"),"Gap Inc")</f>
        <v>Gap Inc</v>
      </c>
      <c r="E320" s="30" t="s">
        <v>647</v>
      </c>
      <c r="F320" s="33" t="str">
        <f>IFERROR(__xludf.DUMMYFUNCTION("( (GOOGLEFINANCE(C320, ""price"") - Q320) / Q320 ) / (R320 / 100)"),"Loading...")</f>
        <v>Loading...</v>
      </c>
      <c r="G320" s="20" t="str">
        <f>IFERROR(__xludf.DUMMYFUNCTION("AVERAGE(ARRAYFORMULA(100 * (QUERY(GOOGLEFINANCE(C320, ""high"", TODAY()-40, TODAY()), ""SELECT Col2 WHERE Col2 IS NOT NULL ORDER BY Col1 DESC LIMIT 20"", 0) / QUERY(GOOGLEFINANCE(C320, ""low"", TODAY()-40, TODAY()), ""SELECT Col2 WHERE Col2 IS NOT NULL OR"&amp;"DER BY Col1 DESC LIMIT 20"", 0) - 1)))"),"#N/A")</f>
        <v>#N/A</v>
      </c>
      <c r="H320" s="35" t="str">
        <f t="shared" si="6"/>
        <v/>
      </c>
      <c r="I320" s="35" t="str">
        <f t="shared" si="7"/>
        <v/>
      </c>
      <c r="J320" s="37" t="str">
        <f>IFERROR(__xludf.DUMMYFUNCTION("IFERROR(
  IF(C320="""",, 
    IFERROR(
      GOOGLEFINANCE(C320, ""price"") * GOOGLEFINANCE(C320, ""volumeavg""), 
      GOOGLEFINANCE(C320, ""price"") * AVERAGE(QUERY(GOOGLEFINANCE(C320, ""volume"", TODAY()-40, TODAY()), ""SELECT Col2 WHERE Col2 IS NOT "&amp;"NULL ORDER BY Col1 DESC LIMIT 20"", 0))
    )
  ), 
"""")"),"")</f>
        <v/>
      </c>
      <c r="K320" s="21" t="str">
        <f>IFERROR(__xludf.DUMMYFUNCTION("IFERROR(GOOGLEFINANCE(C320, ""changepct"") / 100, """")"),"")</f>
        <v/>
      </c>
      <c r="L320" s="21" t="str">
        <f>IFERROR(__xludf.DUMMYFUNCTION("IFERROR((GOOGLEFINANCE(C320, ""price"") / INDEX(GOOGLEFINANCE(C320, ""price"", TODAY()-7, TODAY()), 2, 2)) - 1, """")"),"")</f>
        <v/>
      </c>
      <c r="M320" s="21" t="str">
        <f>IFERROR(__xludf.DUMMYFUNCTION("IFERROR((GOOGLEFINANCE(C320, ""price"") / INDEX(GOOGLEFINANCE(C320, ""price"", EDATE(TODAY(), -1), TODAY()), 2, 2)) - 1, """")"),"")</f>
        <v/>
      </c>
      <c r="N320" s="21" t="str">
        <f>IFERROR(__xludf.DUMMYFUNCTION("IFERROR((GOOGLEFINANCE(C320, ""price"") / INDEX(GOOGLEFINANCE(C320, ""price"", EDATE(TODAY(), -3), TODAY()), 2, 2)) - 1, """")"),"")</f>
        <v/>
      </c>
      <c r="O320" s="21" t="str">
        <f>IFERROR(__xludf.DUMMYFUNCTION("IFERROR((GOOGLEFINANCE(C320, ""price"") / INDEX(GOOGLEFINANCE(C320, ""price"", EDATE(TODAY(), -6), TODAY()), 2, 2)) - 1, """")"),"")</f>
        <v/>
      </c>
      <c r="P320" s="21" t="str">
        <f>IFERROR(__xludf.DUMMYFUNCTION("IFERROR((GOOGLEFINANCE(C320, ""price"") / INDEX(GOOGLEFINANCE(C320, ""price"", EDATE(TODAY(), -12), TODAY()), 2, 2)) - 1, """")"),"")</f>
        <v/>
      </c>
      <c r="Q320" s="6" t="str">
        <f>IFERROR(__xludf.DUMMYFUNCTION("AVERAGE(QUERY(GOOGLEFINANCE(C320, ""price"", TODAY()-80, TODAY()), ""SELECT Col2 WHERE Col2 IS NOT NULL ORDER BY Col1 DESC LIMIT 50"", 0))"),"#N/A")</f>
        <v>#N/A</v>
      </c>
      <c r="R320" s="24" t="str">
        <f>IFERROR(__xludf.DUMMYFUNCTION("IFERROR(
  LET(
    data, QUERY(GOOGLEFINANCE(C320,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GOOGLEFINANCE(C320, ""price"")) * 100,
    IF(calc=0, G320, calc)
  ), 
G320)"),"#N/A")</f>
        <v>#N/A</v>
      </c>
      <c r="S320" s="8" t="s">
        <v>15</v>
      </c>
      <c r="T320" s="26" t="str">
        <f>IFERROR(__xludf.DUMMYFUNCTION("IFERROR(TRANSPOSE(QUERY(IFERROR(SORT(GOOGLEFINANCE(C320, ""price"", WORKDAY(TODAY(), -40), TODAY()), 1, FALSE)), ""select Col2 where Col2 is not null limit 22 label Col2 ''"", 0)), """")"),"")</f>
        <v/>
      </c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8"/>
      <c r="AO320" s="28"/>
      <c r="AP320" s="29"/>
      <c r="AQ320" s="29" t="str">
        <f t="shared" ref="AQ320:BL320" si="323">T320/T$2</f>
        <v>#N/A</v>
      </c>
      <c r="AR320" s="29" t="str">
        <f t="shared" si="323"/>
        <v>#DIV/0!</v>
      </c>
      <c r="AS320" s="29" t="str">
        <f t="shared" si="323"/>
        <v>#DIV/0!</v>
      </c>
      <c r="AT320" s="29" t="str">
        <f t="shared" si="323"/>
        <v>#DIV/0!</v>
      </c>
      <c r="AU320" s="29" t="str">
        <f t="shared" si="323"/>
        <v>#DIV/0!</v>
      </c>
      <c r="AV320" s="29" t="str">
        <f t="shared" si="323"/>
        <v>#DIV/0!</v>
      </c>
      <c r="AW320" s="29" t="str">
        <f t="shared" si="323"/>
        <v>#DIV/0!</v>
      </c>
      <c r="AX320" s="29" t="str">
        <f t="shared" si="323"/>
        <v>#DIV/0!</v>
      </c>
      <c r="AY320" s="29" t="str">
        <f t="shared" si="323"/>
        <v>#DIV/0!</v>
      </c>
      <c r="AZ320" s="29" t="str">
        <f t="shared" si="323"/>
        <v>#DIV/0!</v>
      </c>
      <c r="BA320" s="29" t="str">
        <f t="shared" si="323"/>
        <v>#DIV/0!</v>
      </c>
      <c r="BB320" s="29" t="str">
        <f t="shared" si="323"/>
        <v>#DIV/0!</v>
      </c>
      <c r="BC320" s="29" t="str">
        <f t="shared" si="323"/>
        <v>#DIV/0!</v>
      </c>
      <c r="BD320" s="29" t="str">
        <f t="shared" si="323"/>
        <v>#DIV/0!</v>
      </c>
      <c r="BE320" s="29" t="str">
        <f t="shared" si="323"/>
        <v>#DIV/0!</v>
      </c>
      <c r="BF320" s="29" t="str">
        <f t="shared" si="323"/>
        <v>#DIV/0!</v>
      </c>
      <c r="BG320" s="29" t="str">
        <f t="shared" si="323"/>
        <v>#DIV/0!</v>
      </c>
      <c r="BH320" s="29" t="str">
        <f t="shared" si="323"/>
        <v>#DIV/0!</v>
      </c>
      <c r="BI320" s="29" t="str">
        <f t="shared" si="323"/>
        <v>#DIV/0!</v>
      </c>
      <c r="BJ320" s="29" t="str">
        <f t="shared" si="323"/>
        <v>#DIV/0!</v>
      </c>
      <c r="BK320" s="29" t="str">
        <f t="shared" si="323"/>
        <v>#DIV/0!</v>
      </c>
      <c r="BL320" s="29" t="str">
        <f t="shared" si="323"/>
        <v>#DIV/0!</v>
      </c>
      <c r="BM320" s="29" t="str">
        <f t="shared" si="3"/>
        <v>#DIV/0!</v>
      </c>
    </row>
    <row r="321">
      <c r="A321" s="16" t="str">
        <f>IFERROR(__xludf.DUMMYFUNCTION("IFERROR(SPARKLINE(SORT(MAP(TRANSPOSE(AQ321:BL321), LAMBDA(val, IF(ISNUMBER(val), PERCENTRANK(AQ321:BL321, val)+0.01, 0))), SEQUENCE(COLUMNS(AQ321:BL321)), FALSE), {""charttype"",""column""; ""color"",""chartreuse""; ""ymin"", 0; ""ymax"", 1.01; ""highcolo"&amp;"r"", ""darkgreen""; ""lowcolor"", ""red""}), """")"),"")</f>
        <v/>
      </c>
      <c r="B321" s="17" t="str">
        <f t="shared" si="4"/>
        <v/>
      </c>
      <c r="C321" s="1" t="s">
        <v>1315</v>
      </c>
      <c r="D321" s="30" t="str">
        <f>IFERROR(__xludf.DUMMYFUNCTION("IFERROR(GOOGLEFINANCE(C321, ""NAME""))"),"Buckle Inc")</f>
        <v>Buckle Inc</v>
      </c>
      <c r="E321" s="30" t="s">
        <v>647</v>
      </c>
      <c r="F321" s="33" t="str">
        <f>IFERROR(__xludf.DUMMYFUNCTION("( (GOOGLEFINANCE(C321, ""price"") - Q321) / Q321 ) / (R321 / 100)"),"Loading...")</f>
        <v>Loading...</v>
      </c>
      <c r="G321" s="20" t="str">
        <f>IFERROR(__xludf.DUMMYFUNCTION("AVERAGE(ARRAYFORMULA(100 * (QUERY(GOOGLEFINANCE(C321, ""high"", TODAY()-40, TODAY()), ""SELECT Col2 WHERE Col2 IS NOT NULL ORDER BY Col1 DESC LIMIT 20"", 0) / QUERY(GOOGLEFINANCE(C321, ""low"", TODAY()-40, TODAY()), ""SELECT Col2 WHERE Col2 IS NOT NULL OR"&amp;"DER BY Col1 DESC LIMIT 20"", 0) - 1)))"),"#N/A")</f>
        <v>#N/A</v>
      </c>
      <c r="H321" s="35" t="str">
        <f t="shared" si="6"/>
        <v/>
      </c>
      <c r="I321" s="35" t="str">
        <f t="shared" si="7"/>
        <v/>
      </c>
      <c r="J321" s="37" t="str">
        <f>IFERROR(__xludf.DUMMYFUNCTION("IFERROR(
  IF(C321="""",, 
    IFERROR(
      GOOGLEFINANCE(C321, ""price"") * GOOGLEFINANCE(C321, ""volumeavg""), 
      GOOGLEFINANCE(C321, ""price"") * AVERAGE(QUERY(GOOGLEFINANCE(C321, ""volume"", TODAY()-40, TODAY()), ""SELECT Col2 WHERE Col2 IS NOT "&amp;"NULL ORDER BY Col1 DESC LIMIT 20"", 0))
    )
  ), 
"""")"),"")</f>
        <v/>
      </c>
      <c r="K321" s="21" t="str">
        <f>IFERROR(__xludf.DUMMYFUNCTION("IFERROR(GOOGLEFINANCE(C321, ""changepct"") / 100, """")"),"")</f>
        <v/>
      </c>
      <c r="L321" s="21" t="str">
        <f>IFERROR(__xludf.DUMMYFUNCTION("IFERROR((GOOGLEFINANCE(C321, ""price"") / INDEX(GOOGLEFINANCE(C321, ""price"", TODAY()-7, TODAY()), 2, 2)) - 1, """")"),"")</f>
        <v/>
      </c>
      <c r="M321" s="21" t="str">
        <f>IFERROR(__xludf.DUMMYFUNCTION("IFERROR((GOOGLEFINANCE(C321, ""price"") / INDEX(GOOGLEFINANCE(C321, ""price"", EDATE(TODAY(), -1), TODAY()), 2, 2)) - 1, """")"),"")</f>
        <v/>
      </c>
      <c r="N321" s="21" t="str">
        <f>IFERROR(__xludf.DUMMYFUNCTION("IFERROR((GOOGLEFINANCE(C321, ""price"") / INDEX(GOOGLEFINANCE(C321, ""price"", EDATE(TODAY(), -3), TODAY()), 2, 2)) - 1, """")"),"")</f>
        <v/>
      </c>
      <c r="O321" s="21" t="str">
        <f>IFERROR(__xludf.DUMMYFUNCTION("IFERROR((GOOGLEFINANCE(C321, ""price"") / INDEX(GOOGLEFINANCE(C321, ""price"", EDATE(TODAY(), -6), TODAY()), 2, 2)) - 1, """")"),"")</f>
        <v/>
      </c>
      <c r="P321" s="21" t="str">
        <f>IFERROR(__xludf.DUMMYFUNCTION("IFERROR((GOOGLEFINANCE(C321, ""price"") / INDEX(GOOGLEFINANCE(C321, ""price"", EDATE(TODAY(), -12), TODAY()), 2, 2)) - 1, """")"),"")</f>
        <v/>
      </c>
      <c r="Q321" s="6" t="str">
        <f>IFERROR(__xludf.DUMMYFUNCTION("AVERAGE(QUERY(GOOGLEFINANCE(C321, ""price"", TODAY()-80, TODAY()), ""SELECT Col2 WHERE Col2 IS NOT NULL ORDER BY Col1 DESC LIMIT 50"", 0))"),"#N/A")</f>
        <v>#N/A</v>
      </c>
      <c r="R321" s="24" t="str">
        <f>IFERROR(__xludf.DUMMYFUNCTION("IFERROR(
  LET(
    data, QUERY(GOOGLEFINANCE(C321,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GOOGLEFINANCE(C321, ""price"")) * 100,
    IF(calc=0, G321, calc)
  ), 
G321)"),"#N/A")</f>
        <v>#N/A</v>
      </c>
      <c r="S321" s="8" t="s">
        <v>15</v>
      </c>
      <c r="T321" s="26" t="str">
        <f>IFERROR(__xludf.DUMMYFUNCTION("IFERROR(TRANSPOSE(QUERY(IFERROR(SORT(GOOGLEFINANCE(C321, ""price"", WORKDAY(TODAY(), -40), TODAY()), 1, FALSE)), ""select Col2 where Col2 is not null limit 22 label Col2 ''"", 0)), """")"),"")</f>
        <v/>
      </c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8"/>
      <c r="AO321" s="28"/>
      <c r="AP321" s="29"/>
      <c r="AQ321" s="29" t="str">
        <f t="shared" ref="AQ321:BL321" si="324">T321/T$2</f>
        <v>#N/A</v>
      </c>
      <c r="AR321" s="29" t="str">
        <f t="shared" si="324"/>
        <v>#DIV/0!</v>
      </c>
      <c r="AS321" s="29" t="str">
        <f t="shared" si="324"/>
        <v>#DIV/0!</v>
      </c>
      <c r="AT321" s="29" t="str">
        <f t="shared" si="324"/>
        <v>#DIV/0!</v>
      </c>
      <c r="AU321" s="29" t="str">
        <f t="shared" si="324"/>
        <v>#DIV/0!</v>
      </c>
      <c r="AV321" s="29" t="str">
        <f t="shared" si="324"/>
        <v>#DIV/0!</v>
      </c>
      <c r="AW321" s="29" t="str">
        <f t="shared" si="324"/>
        <v>#DIV/0!</v>
      </c>
      <c r="AX321" s="29" t="str">
        <f t="shared" si="324"/>
        <v>#DIV/0!</v>
      </c>
      <c r="AY321" s="29" t="str">
        <f t="shared" si="324"/>
        <v>#DIV/0!</v>
      </c>
      <c r="AZ321" s="29" t="str">
        <f t="shared" si="324"/>
        <v>#DIV/0!</v>
      </c>
      <c r="BA321" s="29" t="str">
        <f t="shared" si="324"/>
        <v>#DIV/0!</v>
      </c>
      <c r="BB321" s="29" t="str">
        <f t="shared" si="324"/>
        <v>#DIV/0!</v>
      </c>
      <c r="BC321" s="29" t="str">
        <f t="shared" si="324"/>
        <v>#DIV/0!</v>
      </c>
      <c r="BD321" s="29" t="str">
        <f t="shared" si="324"/>
        <v>#DIV/0!</v>
      </c>
      <c r="BE321" s="29" t="str">
        <f t="shared" si="324"/>
        <v>#DIV/0!</v>
      </c>
      <c r="BF321" s="29" t="str">
        <f t="shared" si="324"/>
        <v>#DIV/0!</v>
      </c>
      <c r="BG321" s="29" t="str">
        <f t="shared" si="324"/>
        <v>#DIV/0!</v>
      </c>
      <c r="BH321" s="29" t="str">
        <f t="shared" si="324"/>
        <v>#DIV/0!</v>
      </c>
      <c r="BI321" s="29" t="str">
        <f t="shared" si="324"/>
        <v>#DIV/0!</v>
      </c>
      <c r="BJ321" s="29" t="str">
        <f t="shared" si="324"/>
        <v>#DIV/0!</v>
      </c>
      <c r="BK321" s="29" t="str">
        <f t="shared" si="324"/>
        <v>#DIV/0!</v>
      </c>
      <c r="BL321" s="29" t="str">
        <f t="shared" si="324"/>
        <v>#DIV/0!</v>
      </c>
      <c r="BM321" s="29" t="str">
        <f t="shared" si="3"/>
        <v>#DIV/0!</v>
      </c>
    </row>
    <row r="322">
      <c r="A322" s="16" t="str">
        <f>IFERROR(__xludf.DUMMYFUNCTION("IFERROR(SPARKLINE(SORT(MAP(TRANSPOSE(AQ322:BL322), LAMBDA(val, IF(ISNUMBER(val), PERCENTRANK(AQ322:BL322, val)+0.01, 0))), SEQUENCE(COLUMNS(AQ322:BL322)), FALSE), {""charttype"",""column""; ""color"",""chartreuse""; ""ymin"", 0; ""ymax"", 1.01; ""highcolo"&amp;"r"", ""darkgreen""; ""lowcolor"", ""red""}), """")"),"")</f>
        <v/>
      </c>
      <c r="B322" s="17" t="str">
        <f t="shared" si="4"/>
        <v/>
      </c>
      <c r="C322" s="1" t="s">
        <v>1319</v>
      </c>
      <c r="D322" s="30" t="str">
        <f>IFERROR(__xludf.DUMMYFUNCTION("IFERROR(GOOGLEFINANCE(C322, ""NAME""))"),"Lululemon Athletica Inc")</f>
        <v>Lululemon Athletica Inc</v>
      </c>
      <c r="E322" s="30" t="s">
        <v>647</v>
      </c>
      <c r="F322" s="33" t="str">
        <f>IFERROR(__xludf.DUMMYFUNCTION("( (GOOGLEFINANCE(C322, ""price"") - Q322) / Q322 ) / (R322 / 100)"),"Loading...")</f>
        <v>Loading...</v>
      </c>
      <c r="G322" s="20" t="str">
        <f>IFERROR(__xludf.DUMMYFUNCTION("AVERAGE(ARRAYFORMULA(100 * (QUERY(GOOGLEFINANCE(C322, ""high"", TODAY()-40, TODAY()), ""SELECT Col2 WHERE Col2 IS NOT NULL ORDER BY Col1 DESC LIMIT 20"", 0) / QUERY(GOOGLEFINANCE(C322, ""low"", TODAY()-40, TODAY()), ""SELECT Col2 WHERE Col2 IS NOT NULL OR"&amp;"DER BY Col1 DESC LIMIT 20"", 0) - 1)))"),"#N/A")</f>
        <v>#N/A</v>
      </c>
      <c r="H322" s="35" t="str">
        <f t="shared" si="6"/>
        <v/>
      </c>
      <c r="I322" s="35" t="str">
        <f t="shared" si="7"/>
        <v/>
      </c>
      <c r="J322" s="37" t="str">
        <f>IFERROR(__xludf.DUMMYFUNCTION("IFERROR(
  IF(C322="""",, 
    IFERROR(
      GOOGLEFINANCE(C322, ""price"") * GOOGLEFINANCE(C322, ""volumeavg""), 
      GOOGLEFINANCE(C322, ""price"") * AVERAGE(QUERY(GOOGLEFINANCE(C322, ""volume"", TODAY()-40, TODAY()), ""SELECT Col2 WHERE Col2 IS NOT "&amp;"NULL ORDER BY Col1 DESC LIMIT 20"", 0))
    )
  ), 
"""")"),"")</f>
        <v/>
      </c>
      <c r="K322" s="21" t="str">
        <f>IFERROR(__xludf.DUMMYFUNCTION("IFERROR(GOOGLEFINANCE(C322, ""changepct"") / 100, """")"),"")</f>
        <v/>
      </c>
      <c r="L322" s="21" t="str">
        <f>IFERROR(__xludf.DUMMYFUNCTION("IFERROR((GOOGLEFINANCE(C322, ""price"") / INDEX(GOOGLEFINANCE(C322, ""price"", TODAY()-7, TODAY()), 2, 2)) - 1, """")"),"")</f>
        <v/>
      </c>
      <c r="M322" s="21" t="str">
        <f>IFERROR(__xludf.DUMMYFUNCTION("IFERROR((GOOGLEFINANCE(C322, ""price"") / INDEX(GOOGLEFINANCE(C322, ""price"", EDATE(TODAY(), -1), TODAY()), 2, 2)) - 1, """")"),"")</f>
        <v/>
      </c>
      <c r="N322" s="21" t="str">
        <f>IFERROR(__xludf.DUMMYFUNCTION("IFERROR((GOOGLEFINANCE(C322, ""price"") / INDEX(GOOGLEFINANCE(C322, ""price"", EDATE(TODAY(), -3), TODAY()), 2, 2)) - 1, """")"),"")</f>
        <v/>
      </c>
      <c r="O322" s="21" t="str">
        <f>IFERROR(__xludf.DUMMYFUNCTION("IFERROR((GOOGLEFINANCE(C322, ""price"") / INDEX(GOOGLEFINANCE(C322, ""price"", EDATE(TODAY(), -6), TODAY()), 2, 2)) - 1, """")"),"")</f>
        <v/>
      </c>
      <c r="P322" s="21" t="str">
        <f>IFERROR(__xludf.DUMMYFUNCTION("IFERROR((GOOGLEFINANCE(C322, ""price"") / INDEX(GOOGLEFINANCE(C322, ""price"", EDATE(TODAY(), -12), TODAY()), 2, 2)) - 1, """")"),"")</f>
        <v/>
      </c>
      <c r="Q322" s="6" t="str">
        <f>IFERROR(__xludf.DUMMYFUNCTION("AVERAGE(QUERY(GOOGLEFINANCE(C322, ""price"", TODAY()-80, TODAY()), ""SELECT Col2 WHERE Col2 IS NOT NULL ORDER BY Col1 DESC LIMIT 50"", 0))"),"#N/A")</f>
        <v>#N/A</v>
      </c>
      <c r="R322" s="24" t="str">
        <f>IFERROR(__xludf.DUMMYFUNCTION("IFERROR(
  LET(
    data, QUERY(GOOGLEFINANCE(C322,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GOOGLEFINANCE(C322, ""price"")) * 100,
    IF(calc=0, G322, calc)
  ), 
G322)"),"#N/A")</f>
        <v>#N/A</v>
      </c>
      <c r="S322" s="8" t="s">
        <v>15</v>
      </c>
      <c r="T322" s="26" t="str">
        <f>IFERROR(__xludf.DUMMYFUNCTION("IFERROR(TRANSPOSE(QUERY(IFERROR(SORT(GOOGLEFINANCE(C322, ""price"", WORKDAY(TODAY(), -40), TODAY()), 1, FALSE)), ""select Col2 where Col2 is not null limit 22 label Col2 ''"", 0)), """")"),"")</f>
        <v/>
      </c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8"/>
      <c r="AO322" s="28"/>
      <c r="AP322" s="29"/>
      <c r="AQ322" s="29" t="str">
        <f t="shared" ref="AQ322:BL322" si="325">T322/T$2</f>
        <v>#N/A</v>
      </c>
      <c r="AR322" s="29" t="str">
        <f t="shared" si="325"/>
        <v>#DIV/0!</v>
      </c>
      <c r="AS322" s="29" t="str">
        <f t="shared" si="325"/>
        <v>#DIV/0!</v>
      </c>
      <c r="AT322" s="29" t="str">
        <f t="shared" si="325"/>
        <v>#DIV/0!</v>
      </c>
      <c r="AU322" s="29" t="str">
        <f t="shared" si="325"/>
        <v>#DIV/0!</v>
      </c>
      <c r="AV322" s="29" t="str">
        <f t="shared" si="325"/>
        <v>#DIV/0!</v>
      </c>
      <c r="AW322" s="29" t="str">
        <f t="shared" si="325"/>
        <v>#DIV/0!</v>
      </c>
      <c r="AX322" s="29" t="str">
        <f t="shared" si="325"/>
        <v>#DIV/0!</v>
      </c>
      <c r="AY322" s="29" t="str">
        <f t="shared" si="325"/>
        <v>#DIV/0!</v>
      </c>
      <c r="AZ322" s="29" t="str">
        <f t="shared" si="325"/>
        <v>#DIV/0!</v>
      </c>
      <c r="BA322" s="29" t="str">
        <f t="shared" si="325"/>
        <v>#DIV/0!</v>
      </c>
      <c r="BB322" s="29" t="str">
        <f t="shared" si="325"/>
        <v>#DIV/0!</v>
      </c>
      <c r="BC322" s="29" t="str">
        <f t="shared" si="325"/>
        <v>#DIV/0!</v>
      </c>
      <c r="BD322" s="29" t="str">
        <f t="shared" si="325"/>
        <v>#DIV/0!</v>
      </c>
      <c r="BE322" s="29" t="str">
        <f t="shared" si="325"/>
        <v>#DIV/0!</v>
      </c>
      <c r="BF322" s="29" t="str">
        <f t="shared" si="325"/>
        <v>#DIV/0!</v>
      </c>
      <c r="BG322" s="29" t="str">
        <f t="shared" si="325"/>
        <v>#DIV/0!</v>
      </c>
      <c r="BH322" s="29" t="str">
        <f t="shared" si="325"/>
        <v>#DIV/0!</v>
      </c>
      <c r="BI322" s="29" t="str">
        <f t="shared" si="325"/>
        <v>#DIV/0!</v>
      </c>
      <c r="BJ322" s="29" t="str">
        <f t="shared" si="325"/>
        <v>#DIV/0!</v>
      </c>
      <c r="BK322" s="29" t="str">
        <f t="shared" si="325"/>
        <v>#DIV/0!</v>
      </c>
      <c r="BL322" s="29" t="str">
        <f t="shared" si="325"/>
        <v>#DIV/0!</v>
      </c>
      <c r="BM322" s="29" t="str">
        <f t="shared" si="3"/>
        <v>#DIV/0!</v>
      </c>
    </row>
    <row r="323">
      <c r="A323" s="16" t="str">
        <f>IFERROR(__xludf.DUMMYFUNCTION("IFERROR(SPARKLINE(SORT(MAP(TRANSPOSE(AQ323:BL323), LAMBDA(val, IF(ISNUMBER(val), PERCENTRANK(AQ323:BL323, val)+0.01, 0))), SEQUENCE(COLUMNS(AQ323:BL323)), FALSE), {""charttype"",""column""; ""color"",""chartreuse""; ""ymin"", 0; ""ymax"", 1.01; ""highcolo"&amp;"r"", ""darkgreen""; ""lowcolor"", ""red""}), """")"),"")</f>
        <v/>
      </c>
      <c r="B323" s="17" t="str">
        <f t="shared" si="4"/>
        <v/>
      </c>
      <c r="C323" s="1" t="s">
        <v>1326</v>
      </c>
      <c r="D323" s="30" t="str">
        <f>IFERROR(__xludf.DUMMYFUNCTION("IFERROR(GOOGLEFINANCE(C323, ""NAME""))"),"Wolverine World Wide Inc")</f>
        <v>Wolverine World Wide Inc</v>
      </c>
      <c r="E323" s="30" t="s">
        <v>411</v>
      </c>
      <c r="F323" s="33" t="str">
        <f>IFERROR(__xludf.DUMMYFUNCTION("( (GOOGLEFINANCE(C323, ""price"") - Q323) / Q323 ) / (R323 / 100)"),"Loading...")</f>
        <v>Loading...</v>
      </c>
      <c r="G323" s="20" t="str">
        <f>IFERROR(__xludf.DUMMYFUNCTION("AVERAGE(ARRAYFORMULA(100 * (QUERY(GOOGLEFINANCE(C323, ""high"", TODAY()-40, TODAY()), ""SELECT Col2 WHERE Col2 IS NOT NULL ORDER BY Col1 DESC LIMIT 20"", 0) / QUERY(GOOGLEFINANCE(C323, ""low"", TODAY()-40, TODAY()), ""SELECT Col2 WHERE Col2 IS NOT NULL OR"&amp;"DER BY Col1 DESC LIMIT 20"", 0) - 1)))"),"#N/A")</f>
        <v>#N/A</v>
      </c>
      <c r="H323" s="35" t="str">
        <f t="shared" si="6"/>
        <v/>
      </c>
      <c r="I323" s="35" t="str">
        <f t="shared" si="7"/>
        <v/>
      </c>
      <c r="J323" s="37" t="str">
        <f>IFERROR(__xludf.DUMMYFUNCTION("IFERROR(
  IF(C323="""",, 
    IFERROR(
      GOOGLEFINANCE(C323, ""price"") * GOOGLEFINANCE(C323, ""volumeavg""), 
      GOOGLEFINANCE(C323, ""price"") * AVERAGE(QUERY(GOOGLEFINANCE(C323, ""volume"", TODAY()-40, TODAY()), ""SELECT Col2 WHERE Col2 IS NOT "&amp;"NULL ORDER BY Col1 DESC LIMIT 20"", 0))
    )
  ), 
"""")"),"")</f>
        <v/>
      </c>
      <c r="K323" s="21" t="str">
        <f>IFERROR(__xludf.DUMMYFUNCTION("IFERROR(GOOGLEFINANCE(C323, ""changepct"") / 100, """")"),"")</f>
        <v/>
      </c>
      <c r="L323" s="21" t="str">
        <f>IFERROR(__xludf.DUMMYFUNCTION("IFERROR((GOOGLEFINANCE(C323, ""price"") / INDEX(GOOGLEFINANCE(C323, ""price"", TODAY()-7, TODAY()), 2, 2)) - 1, """")"),"")</f>
        <v/>
      </c>
      <c r="M323" s="21" t="str">
        <f>IFERROR(__xludf.DUMMYFUNCTION("IFERROR((GOOGLEFINANCE(C323, ""price"") / INDEX(GOOGLEFINANCE(C323, ""price"", EDATE(TODAY(), -1), TODAY()), 2, 2)) - 1, """")"),"")</f>
        <v/>
      </c>
      <c r="N323" s="21" t="str">
        <f>IFERROR(__xludf.DUMMYFUNCTION("IFERROR((GOOGLEFINANCE(C323, ""price"") / INDEX(GOOGLEFINANCE(C323, ""price"", EDATE(TODAY(), -3), TODAY()), 2, 2)) - 1, """")"),"")</f>
        <v/>
      </c>
      <c r="O323" s="21" t="str">
        <f>IFERROR(__xludf.DUMMYFUNCTION("IFERROR((GOOGLEFINANCE(C323, ""price"") / INDEX(GOOGLEFINANCE(C323, ""price"", EDATE(TODAY(), -6), TODAY()), 2, 2)) - 1, """")"),"")</f>
        <v/>
      </c>
      <c r="P323" s="21" t="str">
        <f>IFERROR(__xludf.DUMMYFUNCTION("IFERROR((GOOGLEFINANCE(C323, ""price"") / INDEX(GOOGLEFINANCE(C323, ""price"", EDATE(TODAY(), -12), TODAY()), 2, 2)) - 1, """")"),"")</f>
        <v/>
      </c>
      <c r="Q323" s="6" t="str">
        <f>IFERROR(__xludf.DUMMYFUNCTION("AVERAGE(QUERY(GOOGLEFINANCE(C323, ""price"", TODAY()-80, TODAY()), ""SELECT Col2 WHERE Col2 IS NOT NULL ORDER BY Col1 DESC LIMIT 50"", 0))"),"#N/A")</f>
        <v>#N/A</v>
      </c>
      <c r="R323" s="24" t="str">
        <f>IFERROR(__xludf.DUMMYFUNCTION("IFERROR(
  LET(
    data, QUERY(GOOGLEFINANCE(C323,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GOOGLEFINANCE(C323, ""price"")) * 100,
    IF(calc=0, G323, calc)
  ), 
G323)"),"#N/A")</f>
        <v>#N/A</v>
      </c>
      <c r="S323" s="8" t="s">
        <v>15</v>
      </c>
      <c r="T323" s="26" t="str">
        <f>IFERROR(__xludf.DUMMYFUNCTION("IFERROR(TRANSPOSE(QUERY(IFERROR(SORT(GOOGLEFINANCE(C323, ""price"", WORKDAY(TODAY(), -40), TODAY()), 1, FALSE)), ""select Col2 where Col2 is not null limit 22 label Col2 ''"", 0)), """")"),"")</f>
        <v/>
      </c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8"/>
      <c r="AO323" s="28"/>
      <c r="AP323" s="29"/>
      <c r="AQ323" s="29" t="str">
        <f t="shared" ref="AQ323:BL323" si="326">T323/T$2</f>
        <v>#N/A</v>
      </c>
      <c r="AR323" s="29" t="str">
        <f t="shared" si="326"/>
        <v>#DIV/0!</v>
      </c>
      <c r="AS323" s="29" t="str">
        <f t="shared" si="326"/>
        <v>#DIV/0!</v>
      </c>
      <c r="AT323" s="29" t="str">
        <f t="shared" si="326"/>
        <v>#DIV/0!</v>
      </c>
      <c r="AU323" s="29" t="str">
        <f t="shared" si="326"/>
        <v>#DIV/0!</v>
      </c>
      <c r="AV323" s="29" t="str">
        <f t="shared" si="326"/>
        <v>#DIV/0!</v>
      </c>
      <c r="AW323" s="29" t="str">
        <f t="shared" si="326"/>
        <v>#DIV/0!</v>
      </c>
      <c r="AX323" s="29" t="str">
        <f t="shared" si="326"/>
        <v>#DIV/0!</v>
      </c>
      <c r="AY323" s="29" t="str">
        <f t="shared" si="326"/>
        <v>#DIV/0!</v>
      </c>
      <c r="AZ323" s="29" t="str">
        <f t="shared" si="326"/>
        <v>#DIV/0!</v>
      </c>
      <c r="BA323" s="29" t="str">
        <f t="shared" si="326"/>
        <v>#DIV/0!</v>
      </c>
      <c r="BB323" s="29" t="str">
        <f t="shared" si="326"/>
        <v>#DIV/0!</v>
      </c>
      <c r="BC323" s="29" t="str">
        <f t="shared" si="326"/>
        <v>#DIV/0!</v>
      </c>
      <c r="BD323" s="29" t="str">
        <f t="shared" si="326"/>
        <v>#DIV/0!</v>
      </c>
      <c r="BE323" s="29" t="str">
        <f t="shared" si="326"/>
        <v>#DIV/0!</v>
      </c>
      <c r="BF323" s="29" t="str">
        <f t="shared" si="326"/>
        <v>#DIV/0!</v>
      </c>
      <c r="BG323" s="29" t="str">
        <f t="shared" si="326"/>
        <v>#DIV/0!</v>
      </c>
      <c r="BH323" s="29" t="str">
        <f t="shared" si="326"/>
        <v>#DIV/0!</v>
      </c>
      <c r="BI323" s="29" t="str">
        <f t="shared" si="326"/>
        <v>#DIV/0!</v>
      </c>
      <c r="BJ323" s="29" t="str">
        <f t="shared" si="326"/>
        <v>#DIV/0!</v>
      </c>
      <c r="BK323" s="29" t="str">
        <f t="shared" si="326"/>
        <v>#DIV/0!</v>
      </c>
      <c r="BL323" s="29" t="str">
        <f t="shared" si="326"/>
        <v>#DIV/0!</v>
      </c>
      <c r="BM323" s="29" t="str">
        <f t="shared" si="3"/>
        <v>#DIV/0!</v>
      </c>
    </row>
    <row r="324">
      <c r="A324" s="16" t="str">
        <f>IFERROR(__xludf.DUMMYFUNCTION("IFERROR(SPARKLINE(SORT(MAP(TRANSPOSE(AQ324:BL324), LAMBDA(val, IF(ISNUMBER(val), PERCENTRANK(AQ324:BL324, val)+0.01, 0))), SEQUENCE(COLUMNS(AQ324:BL324)), FALSE), {""charttype"",""column""; ""color"",""chartreuse""; ""ymin"", 0; ""ymax"", 1.01; ""highcolo"&amp;"r"", ""darkgreen""; ""lowcolor"", ""red""}), """")"),"")</f>
        <v/>
      </c>
      <c r="B324" s="17" t="str">
        <f t="shared" si="4"/>
        <v/>
      </c>
      <c r="C324" s="1" t="s">
        <v>1329</v>
      </c>
      <c r="D324" s="30" t="str">
        <f>IFERROR(__xludf.DUMMYFUNCTION("IFERROR(GOOGLEFINANCE(C324, ""NAME""))"),"Home Depot Inc")</f>
        <v>Home Depot Inc</v>
      </c>
      <c r="E324" s="30" t="s">
        <v>659</v>
      </c>
      <c r="F324" s="33" t="str">
        <f>IFERROR(__xludf.DUMMYFUNCTION("( (GOOGLEFINANCE(C324, ""price"") - Q324) / Q324 ) / (R324 / 100)"),"Loading...")</f>
        <v>Loading...</v>
      </c>
      <c r="G324" s="20" t="str">
        <f>IFERROR(__xludf.DUMMYFUNCTION("AVERAGE(ARRAYFORMULA(100 * (QUERY(GOOGLEFINANCE(C324, ""high"", TODAY()-40, TODAY()), ""SELECT Col2 WHERE Col2 IS NOT NULL ORDER BY Col1 DESC LIMIT 20"", 0) / QUERY(GOOGLEFINANCE(C324, ""low"", TODAY()-40, TODAY()), ""SELECT Col2 WHERE Col2 IS NOT NULL OR"&amp;"DER BY Col1 DESC LIMIT 20"", 0) - 1)))"),"#N/A")</f>
        <v>#N/A</v>
      </c>
      <c r="H324" s="35" t="str">
        <f t="shared" si="6"/>
        <v/>
      </c>
      <c r="I324" s="35" t="str">
        <f t="shared" si="7"/>
        <v/>
      </c>
      <c r="J324" s="37" t="str">
        <f>IFERROR(__xludf.DUMMYFUNCTION("IFERROR(
  IF(C324="""",, 
    IFERROR(
      GOOGLEFINANCE(C324, ""price"") * GOOGLEFINANCE(C324, ""volumeavg""), 
      GOOGLEFINANCE(C324, ""price"") * AVERAGE(QUERY(GOOGLEFINANCE(C324, ""volume"", TODAY()-40, TODAY()), ""SELECT Col2 WHERE Col2 IS NOT "&amp;"NULL ORDER BY Col1 DESC LIMIT 20"", 0))
    )
  ), 
"""")"),"")</f>
        <v/>
      </c>
      <c r="K324" s="21" t="str">
        <f>IFERROR(__xludf.DUMMYFUNCTION("IFERROR(GOOGLEFINANCE(C324, ""changepct"") / 100, """")"),"")</f>
        <v/>
      </c>
      <c r="L324" s="21" t="str">
        <f>IFERROR(__xludf.DUMMYFUNCTION("IFERROR((GOOGLEFINANCE(C324, ""price"") / INDEX(GOOGLEFINANCE(C324, ""price"", TODAY()-7, TODAY()), 2, 2)) - 1, """")"),"")</f>
        <v/>
      </c>
      <c r="M324" s="21" t="str">
        <f>IFERROR(__xludf.DUMMYFUNCTION("IFERROR((GOOGLEFINANCE(C324, ""price"") / INDEX(GOOGLEFINANCE(C324, ""price"", EDATE(TODAY(), -1), TODAY()), 2, 2)) - 1, """")"),"")</f>
        <v/>
      </c>
      <c r="N324" s="21" t="str">
        <f>IFERROR(__xludf.DUMMYFUNCTION("IFERROR((GOOGLEFINANCE(C324, ""price"") / INDEX(GOOGLEFINANCE(C324, ""price"", EDATE(TODAY(), -3), TODAY()), 2, 2)) - 1, """")"),"")</f>
        <v/>
      </c>
      <c r="O324" s="21" t="str">
        <f>IFERROR(__xludf.DUMMYFUNCTION("IFERROR((GOOGLEFINANCE(C324, ""price"") / INDEX(GOOGLEFINANCE(C324, ""price"", EDATE(TODAY(), -6), TODAY()), 2, 2)) - 1, """")"),"")</f>
        <v/>
      </c>
      <c r="P324" s="21" t="str">
        <f>IFERROR(__xludf.DUMMYFUNCTION("IFERROR((GOOGLEFINANCE(C324, ""price"") / INDEX(GOOGLEFINANCE(C324, ""price"", EDATE(TODAY(), -12), TODAY()), 2, 2)) - 1, """")"),"")</f>
        <v/>
      </c>
      <c r="Q324" s="6" t="str">
        <f>IFERROR(__xludf.DUMMYFUNCTION("AVERAGE(QUERY(GOOGLEFINANCE(C324, ""price"", TODAY()-80, TODAY()), ""SELECT Col2 WHERE Col2 IS NOT NULL ORDER BY Col1 DESC LIMIT 50"", 0))"),"#N/A")</f>
        <v>#N/A</v>
      </c>
      <c r="R324" s="24" t="str">
        <f>IFERROR(__xludf.DUMMYFUNCTION("IFERROR(
  LET(
    data, QUERY(GOOGLEFINANCE(C324,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GOOGLEFINANCE(C324, ""price"")) * 100,
    IF(calc=0, G324, calc)
  ), 
G324)"),"#N/A")</f>
        <v>#N/A</v>
      </c>
      <c r="S324" s="8" t="s">
        <v>15</v>
      </c>
      <c r="T324" s="26" t="str">
        <f>IFERROR(__xludf.DUMMYFUNCTION("IFERROR(TRANSPOSE(QUERY(IFERROR(SORT(GOOGLEFINANCE(C324, ""price"", WORKDAY(TODAY(), -40), TODAY()), 1, FALSE)), ""select Col2 where Col2 is not null limit 22 label Col2 ''"", 0)), """")"),"")</f>
        <v/>
      </c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8"/>
      <c r="AO324" s="28"/>
      <c r="AP324" s="29"/>
      <c r="AQ324" s="29" t="str">
        <f t="shared" ref="AQ324:BL324" si="327">T324/T$2</f>
        <v>#N/A</v>
      </c>
      <c r="AR324" s="29" t="str">
        <f t="shared" si="327"/>
        <v>#DIV/0!</v>
      </c>
      <c r="AS324" s="29" t="str">
        <f t="shared" si="327"/>
        <v>#DIV/0!</v>
      </c>
      <c r="AT324" s="29" t="str">
        <f t="shared" si="327"/>
        <v>#DIV/0!</v>
      </c>
      <c r="AU324" s="29" t="str">
        <f t="shared" si="327"/>
        <v>#DIV/0!</v>
      </c>
      <c r="AV324" s="29" t="str">
        <f t="shared" si="327"/>
        <v>#DIV/0!</v>
      </c>
      <c r="AW324" s="29" t="str">
        <f t="shared" si="327"/>
        <v>#DIV/0!</v>
      </c>
      <c r="AX324" s="29" t="str">
        <f t="shared" si="327"/>
        <v>#DIV/0!</v>
      </c>
      <c r="AY324" s="29" t="str">
        <f t="shared" si="327"/>
        <v>#DIV/0!</v>
      </c>
      <c r="AZ324" s="29" t="str">
        <f t="shared" si="327"/>
        <v>#DIV/0!</v>
      </c>
      <c r="BA324" s="29" t="str">
        <f t="shared" si="327"/>
        <v>#DIV/0!</v>
      </c>
      <c r="BB324" s="29" t="str">
        <f t="shared" si="327"/>
        <v>#DIV/0!</v>
      </c>
      <c r="BC324" s="29" t="str">
        <f t="shared" si="327"/>
        <v>#DIV/0!</v>
      </c>
      <c r="BD324" s="29" t="str">
        <f t="shared" si="327"/>
        <v>#DIV/0!</v>
      </c>
      <c r="BE324" s="29" t="str">
        <f t="shared" si="327"/>
        <v>#DIV/0!</v>
      </c>
      <c r="BF324" s="29" t="str">
        <f t="shared" si="327"/>
        <v>#DIV/0!</v>
      </c>
      <c r="BG324" s="29" t="str">
        <f t="shared" si="327"/>
        <v>#DIV/0!</v>
      </c>
      <c r="BH324" s="29" t="str">
        <f t="shared" si="327"/>
        <v>#DIV/0!</v>
      </c>
      <c r="BI324" s="29" t="str">
        <f t="shared" si="327"/>
        <v>#DIV/0!</v>
      </c>
      <c r="BJ324" s="29" t="str">
        <f t="shared" si="327"/>
        <v>#DIV/0!</v>
      </c>
      <c r="BK324" s="29" t="str">
        <f t="shared" si="327"/>
        <v>#DIV/0!</v>
      </c>
      <c r="BL324" s="29" t="str">
        <f t="shared" si="327"/>
        <v>#DIV/0!</v>
      </c>
      <c r="BM324" s="29" t="str">
        <f t="shared" si="3"/>
        <v>#DIV/0!</v>
      </c>
    </row>
    <row r="325">
      <c r="A325" s="16" t="str">
        <f>IFERROR(__xludf.DUMMYFUNCTION("IFERROR(SPARKLINE(SORT(MAP(TRANSPOSE(AQ325:BL325), LAMBDA(val, IF(ISNUMBER(val), PERCENTRANK(AQ325:BL325, val)+0.01, 0))), SEQUENCE(COLUMNS(AQ325:BL325)), FALSE), {""charttype"",""column""; ""color"",""chartreuse""; ""ymin"", 0; ""ymax"", 1.01; ""highcolo"&amp;"r"", ""darkgreen""; ""lowcolor"", ""red""}), """")"),"")</f>
        <v/>
      </c>
      <c r="B325" s="17" t="str">
        <f t="shared" si="4"/>
        <v/>
      </c>
      <c r="C325" s="1" t="s">
        <v>1332</v>
      </c>
      <c r="D325" s="30" t="str">
        <f>IFERROR(__xludf.DUMMYFUNCTION("IFERROR(GOOGLEFINANCE(C325, ""NAME""))"),"Doordash, Inc.")</f>
        <v>Doordash, Inc.</v>
      </c>
      <c r="E325" s="30" t="s">
        <v>137</v>
      </c>
      <c r="F325" s="33" t="str">
        <f>IFERROR(__xludf.DUMMYFUNCTION("( (GOOGLEFINANCE(C325, ""price"") - Q325) / Q325 ) / (R325 / 100)"),"Loading...")</f>
        <v>Loading...</v>
      </c>
      <c r="G325" s="20" t="str">
        <f>IFERROR(__xludf.DUMMYFUNCTION("AVERAGE(ARRAYFORMULA(100 * (QUERY(GOOGLEFINANCE(C325, ""high"", TODAY()-40, TODAY()), ""SELECT Col2 WHERE Col2 IS NOT NULL ORDER BY Col1 DESC LIMIT 20"", 0) / QUERY(GOOGLEFINANCE(C325, ""low"", TODAY()-40, TODAY()), ""SELECT Col2 WHERE Col2 IS NOT NULL OR"&amp;"DER BY Col1 DESC LIMIT 20"", 0) - 1)))"),"#N/A")</f>
        <v>#N/A</v>
      </c>
      <c r="H325" s="35" t="str">
        <f t="shared" si="6"/>
        <v/>
      </c>
      <c r="I325" s="35" t="str">
        <f t="shared" si="7"/>
        <v/>
      </c>
      <c r="J325" s="37" t="str">
        <f>IFERROR(__xludf.DUMMYFUNCTION("IFERROR(
  IF(C325="""",, 
    IFERROR(
      GOOGLEFINANCE(C325, ""price"") * GOOGLEFINANCE(C325, ""volumeavg""), 
      GOOGLEFINANCE(C325, ""price"") * AVERAGE(QUERY(GOOGLEFINANCE(C325, ""volume"", TODAY()-40, TODAY()), ""SELECT Col2 WHERE Col2 IS NOT "&amp;"NULL ORDER BY Col1 DESC LIMIT 20"", 0))
    )
  ), 
"""")"),"")</f>
        <v/>
      </c>
      <c r="K325" s="21" t="str">
        <f>IFERROR(__xludf.DUMMYFUNCTION("IFERROR(GOOGLEFINANCE(C325, ""changepct"") / 100, """")"),"")</f>
        <v/>
      </c>
      <c r="L325" s="21" t="str">
        <f>IFERROR(__xludf.DUMMYFUNCTION("IFERROR((GOOGLEFINANCE(C325, ""price"") / INDEX(GOOGLEFINANCE(C325, ""price"", TODAY()-7, TODAY()), 2, 2)) - 1, """")"),"")</f>
        <v/>
      </c>
      <c r="M325" s="21" t="str">
        <f>IFERROR(__xludf.DUMMYFUNCTION("IFERROR((GOOGLEFINANCE(C325, ""price"") / INDEX(GOOGLEFINANCE(C325, ""price"", EDATE(TODAY(), -1), TODAY()), 2, 2)) - 1, """")"),"")</f>
        <v/>
      </c>
      <c r="N325" s="21" t="str">
        <f>IFERROR(__xludf.DUMMYFUNCTION("IFERROR((GOOGLEFINANCE(C325, ""price"") / INDEX(GOOGLEFINANCE(C325, ""price"", EDATE(TODAY(), -3), TODAY()), 2, 2)) - 1, """")"),"")</f>
        <v/>
      </c>
      <c r="O325" s="21" t="str">
        <f>IFERROR(__xludf.DUMMYFUNCTION("IFERROR((GOOGLEFINANCE(C325, ""price"") / INDEX(GOOGLEFINANCE(C325, ""price"", EDATE(TODAY(), -6), TODAY()), 2, 2)) - 1, """")"),"")</f>
        <v/>
      </c>
      <c r="P325" s="21" t="str">
        <f>IFERROR(__xludf.DUMMYFUNCTION("IFERROR((GOOGLEFINANCE(C325, ""price"") / INDEX(GOOGLEFINANCE(C325, ""price"", EDATE(TODAY(), -12), TODAY()), 2, 2)) - 1, """")"),"")</f>
        <v/>
      </c>
      <c r="Q325" s="6" t="str">
        <f>IFERROR(__xludf.DUMMYFUNCTION("AVERAGE(QUERY(GOOGLEFINANCE(C325, ""price"", TODAY()-80, TODAY()), ""SELECT Col2 WHERE Col2 IS NOT NULL ORDER BY Col1 DESC LIMIT 50"", 0))"),"#N/A")</f>
        <v>#N/A</v>
      </c>
      <c r="R325" s="24" t="str">
        <f>IFERROR(__xludf.DUMMYFUNCTION("IFERROR(
  LET(
    data, QUERY(GOOGLEFINANCE(C325,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GOOGLEFINANCE(C325, ""price"")) * 100,
    IF(calc=0, G325, calc)
  ), 
G325)"),"#N/A")</f>
        <v>#N/A</v>
      </c>
      <c r="S325" s="8" t="s">
        <v>15</v>
      </c>
      <c r="T325" s="26" t="str">
        <f>IFERROR(__xludf.DUMMYFUNCTION("IFERROR(TRANSPOSE(QUERY(IFERROR(SORT(GOOGLEFINANCE(C325, ""price"", WORKDAY(TODAY(), -40), TODAY()), 1, FALSE)), ""select Col2 where Col2 is not null limit 22 label Col2 ''"", 0)), """")"),"")</f>
        <v/>
      </c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8"/>
      <c r="AO325" s="28"/>
      <c r="AP325" s="29"/>
      <c r="AQ325" s="29" t="str">
        <f t="shared" ref="AQ325:BL325" si="328">T325/T$2</f>
        <v>#N/A</v>
      </c>
      <c r="AR325" s="29" t="str">
        <f t="shared" si="328"/>
        <v>#DIV/0!</v>
      </c>
      <c r="AS325" s="29" t="str">
        <f t="shared" si="328"/>
        <v>#DIV/0!</v>
      </c>
      <c r="AT325" s="29" t="str">
        <f t="shared" si="328"/>
        <v>#DIV/0!</v>
      </c>
      <c r="AU325" s="29" t="str">
        <f t="shared" si="328"/>
        <v>#DIV/0!</v>
      </c>
      <c r="AV325" s="29" t="str">
        <f t="shared" si="328"/>
        <v>#DIV/0!</v>
      </c>
      <c r="AW325" s="29" t="str">
        <f t="shared" si="328"/>
        <v>#DIV/0!</v>
      </c>
      <c r="AX325" s="29" t="str">
        <f t="shared" si="328"/>
        <v>#DIV/0!</v>
      </c>
      <c r="AY325" s="29" t="str">
        <f t="shared" si="328"/>
        <v>#DIV/0!</v>
      </c>
      <c r="AZ325" s="29" t="str">
        <f t="shared" si="328"/>
        <v>#DIV/0!</v>
      </c>
      <c r="BA325" s="29" t="str">
        <f t="shared" si="328"/>
        <v>#DIV/0!</v>
      </c>
      <c r="BB325" s="29" t="str">
        <f t="shared" si="328"/>
        <v>#DIV/0!</v>
      </c>
      <c r="BC325" s="29" t="str">
        <f t="shared" si="328"/>
        <v>#DIV/0!</v>
      </c>
      <c r="BD325" s="29" t="str">
        <f t="shared" si="328"/>
        <v>#DIV/0!</v>
      </c>
      <c r="BE325" s="29" t="str">
        <f t="shared" si="328"/>
        <v>#DIV/0!</v>
      </c>
      <c r="BF325" s="29" t="str">
        <f t="shared" si="328"/>
        <v>#DIV/0!</v>
      </c>
      <c r="BG325" s="29" t="str">
        <f t="shared" si="328"/>
        <v>#DIV/0!</v>
      </c>
      <c r="BH325" s="29" t="str">
        <f t="shared" si="328"/>
        <v>#DIV/0!</v>
      </c>
      <c r="BI325" s="29" t="str">
        <f t="shared" si="328"/>
        <v>#DIV/0!</v>
      </c>
      <c r="BJ325" s="29" t="str">
        <f t="shared" si="328"/>
        <v>#DIV/0!</v>
      </c>
      <c r="BK325" s="29" t="str">
        <f t="shared" si="328"/>
        <v>#DIV/0!</v>
      </c>
      <c r="BL325" s="29" t="str">
        <f t="shared" si="328"/>
        <v>#DIV/0!</v>
      </c>
      <c r="BM325" s="29" t="str">
        <f t="shared" si="3"/>
        <v>#DIV/0!</v>
      </c>
    </row>
    <row r="326">
      <c r="A326" s="16" t="str">
        <f>IFERROR(__xludf.DUMMYFUNCTION("IFERROR(SPARKLINE(SORT(MAP(TRANSPOSE(AQ326:BL326), LAMBDA(val, IF(ISNUMBER(val), PERCENTRANK(AQ326:BL326, val)+0.01, 0))), SEQUENCE(COLUMNS(AQ326:BL326)), FALSE), {""charttype"",""column""; ""color"",""chartreuse""; ""ymin"", 0; ""ymax"", 1.01; ""highcolo"&amp;"r"", ""darkgreen""; ""lowcolor"", ""red""}), """")"),"")</f>
        <v/>
      </c>
      <c r="B326" s="17" t="str">
        <f t="shared" si="4"/>
        <v/>
      </c>
      <c r="C326" s="1" t="s">
        <v>1337</v>
      </c>
      <c r="D326" s="30" t="str">
        <f>IFERROR(__xludf.DUMMYFUNCTION("IFERROR(GOOGLEFINANCE(C326, ""NAME""))"),"Johnson Outdoors Inc")</f>
        <v>Johnson Outdoors Inc</v>
      </c>
      <c r="E326" s="30" t="s">
        <v>158</v>
      </c>
      <c r="F326" s="33" t="str">
        <f>IFERROR(__xludf.DUMMYFUNCTION("( (GOOGLEFINANCE(C326, ""price"") - Q326) / Q326 ) / (R326 / 100)"),"Loading...")</f>
        <v>Loading...</v>
      </c>
      <c r="G326" s="20" t="str">
        <f>IFERROR(__xludf.DUMMYFUNCTION("AVERAGE(ARRAYFORMULA(100 * (QUERY(GOOGLEFINANCE(C326, ""high"", TODAY()-40, TODAY()), ""SELECT Col2 WHERE Col2 IS NOT NULL ORDER BY Col1 DESC LIMIT 20"", 0) / QUERY(GOOGLEFINANCE(C326, ""low"", TODAY()-40, TODAY()), ""SELECT Col2 WHERE Col2 IS NOT NULL OR"&amp;"DER BY Col1 DESC LIMIT 20"", 0) - 1)))"),"#N/A")</f>
        <v>#N/A</v>
      </c>
      <c r="H326" s="35" t="str">
        <f t="shared" si="6"/>
        <v/>
      </c>
      <c r="I326" s="35" t="str">
        <f t="shared" si="7"/>
        <v/>
      </c>
      <c r="J326" s="37" t="str">
        <f>IFERROR(__xludf.DUMMYFUNCTION("IFERROR(
  IF(C326="""",, 
    IFERROR(
      GOOGLEFINANCE(C326, ""price"") * GOOGLEFINANCE(C326, ""volumeavg""), 
      GOOGLEFINANCE(C326, ""price"") * AVERAGE(QUERY(GOOGLEFINANCE(C326, ""volume"", TODAY()-40, TODAY()), ""SELECT Col2 WHERE Col2 IS NOT "&amp;"NULL ORDER BY Col1 DESC LIMIT 20"", 0))
    )
  ), 
"""")"),"")</f>
        <v/>
      </c>
      <c r="K326" s="21" t="str">
        <f>IFERROR(__xludf.DUMMYFUNCTION("IFERROR(GOOGLEFINANCE(C326, ""changepct"") / 100, """")"),"")</f>
        <v/>
      </c>
      <c r="L326" s="21" t="str">
        <f>IFERROR(__xludf.DUMMYFUNCTION("IFERROR((GOOGLEFINANCE(C326, ""price"") / INDEX(GOOGLEFINANCE(C326, ""price"", TODAY()-7, TODAY()), 2, 2)) - 1, """")"),"")</f>
        <v/>
      </c>
      <c r="M326" s="21" t="str">
        <f>IFERROR(__xludf.DUMMYFUNCTION("IFERROR((GOOGLEFINANCE(C326, ""price"") / INDEX(GOOGLEFINANCE(C326, ""price"", EDATE(TODAY(), -1), TODAY()), 2, 2)) - 1, """")"),"")</f>
        <v/>
      </c>
      <c r="N326" s="21" t="str">
        <f>IFERROR(__xludf.DUMMYFUNCTION("IFERROR((GOOGLEFINANCE(C326, ""price"") / INDEX(GOOGLEFINANCE(C326, ""price"", EDATE(TODAY(), -3), TODAY()), 2, 2)) - 1, """")"),"")</f>
        <v/>
      </c>
      <c r="O326" s="21" t="str">
        <f>IFERROR(__xludf.DUMMYFUNCTION("IFERROR((GOOGLEFINANCE(C326, ""price"") / INDEX(GOOGLEFINANCE(C326, ""price"", EDATE(TODAY(), -6), TODAY()), 2, 2)) - 1, """")"),"")</f>
        <v/>
      </c>
      <c r="P326" s="21" t="str">
        <f>IFERROR(__xludf.DUMMYFUNCTION("IFERROR((GOOGLEFINANCE(C326, ""price"") / INDEX(GOOGLEFINANCE(C326, ""price"", EDATE(TODAY(), -12), TODAY()), 2, 2)) - 1, """")"),"")</f>
        <v/>
      </c>
      <c r="Q326" s="6" t="str">
        <f>IFERROR(__xludf.DUMMYFUNCTION("AVERAGE(QUERY(GOOGLEFINANCE(C326, ""price"", TODAY()-80, TODAY()), ""SELECT Col2 WHERE Col2 IS NOT NULL ORDER BY Col1 DESC LIMIT 50"", 0))"),"#N/A")</f>
        <v>#N/A</v>
      </c>
      <c r="R326" s="24" t="str">
        <f>IFERROR(__xludf.DUMMYFUNCTION("IFERROR(
  LET(
    data, QUERY(GOOGLEFINANCE(C326,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GOOGLEFINANCE(C326, ""price"")) * 100,
    IF(calc=0, G326, calc)
  ), 
G326)"),"#N/A")</f>
        <v>#N/A</v>
      </c>
      <c r="S326" s="8" t="s">
        <v>15</v>
      </c>
      <c r="T326" s="26" t="str">
        <f>IFERROR(__xludf.DUMMYFUNCTION("IFERROR(TRANSPOSE(QUERY(IFERROR(SORT(GOOGLEFINANCE(C326, ""price"", WORKDAY(TODAY(), -40), TODAY()), 1, FALSE)), ""select Col2 where Col2 is not null limit 22 label Col2 ''"", 0)), """")"),"")</f>
        <v/>
      </c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8"/>
      <c r="AO326" s="28"/>
      <c r="AP326" s="29"/>
      <c r="AQ326" s="29" t="str">
        <f t="shared" ref="AQ326:BL326" si="329">T326/T$2</f>
        <v>#N/A</v>
      </c>
      <c r="AR326" s="29" t="str">
        <f t="shared" si="329"/>
        <v>#DIV/0!</v>
      </c>
      <c r="AS326" s="29" t="str">
        <f t="shared" si="329"/>
        <v>#DIV/0!</v>
      </c>
      <c r="AT326" s="29" t="str">
        <f t="shared" si="329"/>
        <v>#DIV/0!</v>
      </c>
      <c r="AU326" s="29" t="str">
        <f t="shared" si="329"/>
        <v>#DIV/0!</v>
      </c>
      <c r="AV326" s="29" t="str">
        <f t="shared" si="329"/>
        <v>#DIV/0!</v>
      </c>
      <c r="AW326" s="29" t="str">
        <f t="shared" si="329"/>
        <v>#DIV/0!</v>
      </c>
      <c r="AX326" s="29" t="str">
        <f t="shared" si="329"/>
        <v>#DIV/0!</v>
      </c>
      <c r="AY326" s="29" t="str">
        <f t="shared" si="329"/>
        <v>#DIV/0!</v>
      </c>
      <c r="AZ326" s="29" t="str">
        <f t="shared" si="329"/>
        <v>#DIV/0!</v>
      </c>
      <c r="BA326" s="29" t="str">
        <f t="shared" si="329"/>
        <v>#DIV/0!</v>
      </c>
      <c r="BB326" s="29" t="str">
        <f t="shared" si="329"/>
        <v>#DIV/0!</v>
      </c>
      <c r="BC326" s="29" t="str">
        <f t="shared" si="329"/>
        <v>#DIV/0!</v>
      </c>
      <c r="BD326" s="29" t="str">
        <f t="shared" si="329"/>
        <v>#DIV/0!</v>
      </c>
      <c r="BE326" s="29" t="str">
        <f t="shared" si="329"/>
        <v>#DIV/0!</v>
      </c>
      <c r="BF326" s="29" t="str">
        <f t="shared" si="329"/>
        <v>#DIV/0!</v>
      </c>
      <c r="BG326" s="29" t="str">
        <f t="shared" si="329"/>
        <v>#DIV/0!</v>
      </c>
      <c r="BH326" s="29" t="str">
        <f t="shared" si="329"/>
        <v>#DIV/0!</v>
      </c>
      <c r="BI326" s="29" t="str">
        <f t="shared" si="329"/>
        <v>#DIV/0!</v>
      </c>
      <c r="BJ326" s="29" t="str">
        <f t="shared" si="329"/>
        <v>#DIV/0!</v>
      </c>
      <c r="BK326" s="29" t="str">
        <f t="shared" si="329"/>
        <v>#DIV/0!</v>
      </c>
      <c r="BL326" s="29" t="str">
        <f t="shared" si="329"/>
        <v>#DIV/0!</v>
      </c>
      <c r="BM326" s="29" t="str">
        <f t="shared" si="3"/>
        <v>#DIV/0!</v>
      </c>
    </row>
    <row r="327">
      <c r="A327" s="16" t="str">
        <f>IFERROR(__xludf.DUMMYFUNCTION("IFERROR(SPARKLINE(SORT(MAP(TRANSPOSE(AQ327:BL327), LAMBDA(val, IF(ISNUMBER(val), PERCENTRANK(AQ327:BL327, val)+0.01, 0))), SEQUENCE(COLUMNS(AQ327:BL327)), FALSE), {""charttype"",""column""; ""color"",""chartreuse""; ""ymin"", 0; ""ymax"", 1.01; ""highcolo"&amp;"r"", ""darkgreen""; ""lowcolor"", ""red""}), """")"),"")</f>
        <v/>
      </c>
      <c r="B327" s="17" t="str">
        <f t="shared" si="4"/>
        <v/>
      </c>
      <c r="C327" s="1" t="s">
        <v>1341</v>
      </c>
      <c r="D327" s="30" t="str">
        <f>IFERROR(__xludf.DUMMYFUNCTION("IFERROR(GOOGLEFINANCE(C327, ""NAME""))"),"Xponential Fitness Inc")</f>
        <v>Xponential Fitness Inc</v>
      </c>
      <c r="E327" s="30" t="s">
        <v>158</v>
      </c>
      <c r="F327" s="33" t="str">
        <f>IFERROR(__xludf.DUMMYFUNCTION("( (GOOGLEFINANCE(C327, ""price"") - Q327) / Q327 ) / (R327 / 100)"),"Loading...")</f>
        <v>Loading...</v>
      </c>
      <c r="G327" s="20" t="str">
        <f>IFERROR(__xludf.DUMMYFUNCTION("AVERAGE(ARRAYFORMULA(100 * (QUERY(GOOGLEFINANCE(C327, ""high"", TODAY()-40, TODAY()), ""SELECT Col2 WHERE Col2 IS NOT NULL ORDER BY Col1 DESC LIMIT 20"", 0) / QUERY(GOOGLEFINANCE(C327, ""low"", TODAY()-40, TODAY()), ""SELECT Col2 WHERE Col2 IS NOT NULL OR"&amp;"DER BY Col1 DESC LIMIT 20"", 0) - 1)))"),"#N/A")</f>
        <v>#N/A</v>
      </c>
      <c r="H327" s="35" t="str">
        <f t="shared" si="6"/>
        <v/>
      </c>
      <c r="I327" s="35" t="str">
        <f t="shared" si="7"/>
        <v/>
      </c>
      <c r="J327" s="37" t="str">
        <f>IFERROR(__xludf.DUMMYFUNCTION("IFERROR(
  IF(C327="""",, 
    IFERROR(
      GOOGLEFINANCE(C327, ""price"") * GOOGLEFINANCE(C327, ""volumeavg""), 
      GOOGLEFINANCE(C327, ""price"") * AVERAGE(QUERY(GOOGLEFINANCE(C327, ""volume"", TODAY()-40, TODAY()), ""SELECT Col2 WHERE Col2 IS NOT "&amp;"NULL ORDER BY Col1 DESC LIMIT 20"", 0))
    )
  ), 
"""")"),"")</f>
        <v/>
      </c>
      <c r="K327" s="21" t="str">
        <f>IFERROR(__xludf.DUMMYFUNCTION("IFERROR(GOOGLEFINANCE(C327, ""changepct"") / 100, """")"),"")</f>
        <v/>
      </c>
      <c r="L327" s="21" t="str">
        <f>IFERROR(__xludf.DUMMYFUNCTION("IFERROR((GOOGLEFINANCE(C327, ""price"") / INDEX(GOOGLEFINANCE(C327, ""price"", TODAY()-7, TODAY()), 2, 2)) - 1, """")"),"")</f>
        <v/>
      </c>
      <c r="M327" s="21" t="str">
        <f>IFERROR(__xludf.DUMMYFUNCTION("IFERROR((GOOGLEFINANCE(C327, ""price"") / INDEX(GOOGLEFINANCE(C327, ""price"", EDATE(TODAY(), -1), TODAY()), 2, 2)) - 1, """")"),"")</f>
        <v/>
      </c>
      <c r="N327" s="21" t="str">
        <f>IFERROR(__xludf.DUMMYFUNCTION("IFERROR((GOOGLEFINANCE(C327, ""price"") / INDEX(GOOGLEFINANCE(C327, ""price"", EDATE(TODAY(), -3), TODAY()), 2, 2)) - 1, """")"),"")</f>
        <v/>
      </c>
      <c r="O327" s="21" t="str">
        <f>IFERROR(__xludf.DUMMYFUNCTION("IFERROR((GOOGLEFINANCE(C327, ""price"") / INDEX(GOOGLEFINANCE(C327, ""price"", EDATE(TODAY(), -6), TODAY()), 2, 2)) - 1, """")"),"")</f>
        <v/>
      </c>
      <c r="P327" s="21" t="str">
        <f>IFERROR(__xludf.DUMMYFUNCTION("IFERROR((GOOGLEFINANCE(C327, ""price"") / INDEX(GOOGLEFINANCE(C327, ""price"", EDATE(TODAY(), -12), TODAY()), 2, 2)) - 1, """")"),"")</f>
        <v/>
      </c>
      <c r="Q327" s="6" t="str">
        <f>IFERROR(__xludf.DUMMYFUNCTION("AVERAGE(QUERY(GOOGLEFINANCE(C327, ""price"", TODAY()-80, TODAY()), ""SELECT Col2 WHERE Col2 IS NOT NULL ORDER BY Col1 DESC LIMIT 50"", 0))"),"#N/A")</f>
        <v>#N/A</v>
      </c>
      <c r="R327" s="24" t="str">
        <f>IFERROR(__xludf.DUMMYFUNCTION("IFERROR(
  LET(
    data, QUERY(GOOGLEFINANCE(C327,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GOOGLEFINANCE(C327, ""price"")) * 100,
    IF(calc=0, G327, calc)
  ), 
G327)"),"#N/A")</f>
        <v>#N/A</v>
      </c>
      <c r="S327" s="8" t="s">
        <v>15</v>
      </c>
      <c r="T327" s="26" t="str">
        <f>IFERROR(__xludf.DUMMYFUNCTION("IFERROR(TRANSPOSE(QUERY(IFERROR(SORT(GOOGLEFINANCE(C327, ""price"", WORKDAY(TODAY(), -40), TODAY()), 1, FALSE)), ""select Col2 where Col2 is not null limit 22 label Col2 ''"", 0)), """")"),"")</f>
        <v/>
      </c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8"/>
      <c r="AO327" s="28"/>
      <c r="AP327" s="29"/>
      <c r="AQ327" s="29" t="str">
        <f t="shared" ref="AQ327:BL327" si="330">T327/T$2</f>
        <v>#N/A</v>
      </c>
      <c r="AR327" s="29" t="str">
        <f t="shared" si="330"/>
        <v>#DIV/0!</v>
      </c>
      <c r="AS327" s="29" t="str">
        <f t="shared" si="330"/>
        <v>#DIV/0!</v>
      </c>
      <c r="AT327" s="29" t="str">
        <f t="shared" si="330"/>
        <v>#DIV/0!</v>
      </c>
      <c r="AU327" s="29" t="str">
        <f t="shared" si="330"/>
        <v>#DIV/0!</v>
      </c>
      <c r="AV327" s="29" t="str">
        <f t="shared" si="330"/>
        <v>#DIV/0!</v>
      </c>
      <c r="AW327" s="29" t="str">
        <f t="shared" si="330"/>
        <v>#DIV/0!</v>
      </c>
      <c r="AX327" s="29" t="str">
        <f t="shared" si="330"/>
        <v>#DIV/0!</v>
      </c>
      <c r="AY327" s="29" t="str">
        <f t="shared" si="330"/>
        <v>#DIV/0!</v>
      </c>
      <c r="AZ327" s="29" t="str">
        <f t="shared" si="330"/>
        <v>#DIV/0!</v>
      </c>
      <c r="BA327" s="29" t="str">
        <f t="shared" si="330"/>
        <v>#DIV/0!</v>
      </c>
      <c r="BB327" s="29" t="str">
        <f t="shared" si="330"/>
        <v>#DIV/0!</v>
      </c>
      <c r="BC327" s="29" t="str">
        <f t="shared" si="330"/>
        <v>#DIV/0!</v>
      </c>
      <c r="BD327" s="29" t="str">
        <f t="shared" si="330"/>
        <v>#DIV/0!</v>
      </c>
      <c r="BE327" s="29" t="str">
        <f t="shared" si="330"/>
        <v>#DIV/0!</v>
      </c>
      <c r="BF327" s="29" t="str">
        <f t="shared" si="330"/>
        <v>#DIV/0!</v>
      </c>
      <c r="BG327" s="29" t="str">
        <f t="shared" si="330"/>
        <v>#DIV/0!</v>
      </c>
      <c r="BH327" s="29" t="str">
        <f t="shared" si="330"/>
        <v>#DIV/0!</v>
      </c>
      <c r="BI327" s="29" t="str">
        <f t="shared" si="330"/>
        <v>#DIV/0!</v>
      </c>
      <c r="BJ327" s="29" t="str">
        <f t="shared" si="330"/>
        <v>#DIV/0!</v>
      </c>
      <c r="BK327" s="29" t="str">
        <f t="shared" si="330"/>
        <v>#DIV/0!</v>
      </c>
      <c r="BL327" s="29" t="str">
        <f t="shared" si="330"/>
        <v>#DIV/0!</v>
      </c>
      <c r="BM327" s="29" t="str">
        <f t="shared" si="3"/>
        <v>#DIV/0!</v>
      </c>
    </row>
    <row r="328">
      <c r="A328" s="16" t="str">
        <f>IFERROR(__xludf.DUMMYFUNCTION("IFERROR(SPARKLINE(SORT(MAP(TRANSPOSE(AQ328:BL328), LAMBDA(val, IF(ISNUMBER(val), PERCENTRANK(AQ328:BL328, val)+0.01, 0))), SEQUENCE(COLUMNS(AQ328:BL328)), FALSE), {""charttype"",""column""; ""color"",""chartreuse""; ""ymin"", 0; ""ymax"", 1.01; ""highcolo"&amp;"r"", ""darkgreen""; ""lowcolor"", ""red""}), """")"),"")</f>
        <v/>
      </c>
      <c r="B328" s="17" t="str">
        <f t="shared" si="4"/>
        <v/>
      </c>
      <c r="C328" s="1" t="s">
        <v>1344</v>
      </c>
      <c r="D328" s="30" t="str">
        <f>IFERROR(__xludf.DUMMYFUNCTION("IFERROR(GOOGLEFINANCE(C328, ""NAME""))"),"Capri Holdings Ltd")</f>
        <v>Capri Holdings Ltd</v>
      </c>
      <c r="E328" s="30" t="s">
        <v>170</v>
      </c>
      <c r="F328" s="33" t="str">
        <f>IFERROR(__xludf.DUMMYFUNCTION("( (GOOGLEFINANCE(C328, ""price"") - Q328) / Q328 ) / (R328 / 100)"),"Loading...")</f>
        <v>Loading...</v>
      </c>
      <c r="G328" s="20" t="str">
        <f>IFERROR(__xludf.DUMMYFUNCTION("AVERAGE(ARRAYFORMULA(100 * (QUERY(GOOGLEFINANCE(C328, ""high"", TODAY()-40, TODAY()), ""SELECT Col2 WHERE Col2 IS NOT NULL ORDER BY Col1 DESC LIMIT 20"", 0) / QUERY(GOOGLEFINANCE(C328, ""low"", TODAY()-40, TODAY()), ""SELECT Col2 WHERE Col2 IS NOT NULL OR"&amp;"DER BY Col1 DESC LIMIT 20"", 0) - 1)))"),"#N/A")</f>
        <v>#N/A</v>
      </c>
      <c r="H328" s="35" t="str">
        <f t="shared" si="6"/>
        <v/>
      </c>
      <c r="I328" s="35" t="str">
        <f t="shared" si="7"/>
        <v/>
      </c>
      <c r="J328" s="37" t="str">
        <f>IFERROR(__xludf.DUMMYFUNCTION("IFERROR(
  IF(C328="""",, 
    IFERROR(
      GOOGLEFINANCE(C328, ""price"") * GOOGLEFINANCE(C328, ""volumeavg""), 
      GOOGLEFINANCE(C328, ""price"") * AVERAGE(QUERY(GOOGLEFINANCE(C328, ""volume"", TODAY()-40, TODAY()), ""SELECT Col2 WHERE Col2 IS NOT "&amp;"NULL ORDER BY Col1 DESC LIMIT 20"", 0))
    )
  ), 
"""")"),"")</f>
        <v/>
      </c>
      <c r="K328" s="21" t="str">
        <f>IFERROR(__xludf.DUMMYFUNCTION("IFERROR(GOOGLEFINANCE(C328, ""changepct"") / 100, """")"),"")</f>
        <v/>
      </c>
      <c r="L328" s="21" t="str">
        <f>IFERROR(__xludf.DUMMYFUNCTION("IFERROR((GOOGLEFINANCE(C328, ""price"") / INDEX(GOOGLEFINANCE(C328, ""price"", TODAY()-7, TODAY()), 2, 2)) - 1, """")"),"")</f>
        <v/>
      </c>
      <c r="M328" s="21" t="str">
        <f>IFERROR(__xludf.DUMMYFUNCTION("IFERROR((GOOGLEFINANCE(C328, ""price"") / INDEX(GOOGLEFINANCE(C328, ""price"", EDATE(TODAY(), -1), TODAY()), 2, 2)) - 1, """")"),"")</f>
        <v/>
      </c>
      <c r="N328" s="21" t="str">
        <f>IFERROR(__xludf.DUMMYFUNCTION("IFERROR((GOOGLEFINANCE(C328, ""price"") / INDEX(GOOGLEFINANCE(C328, ""price"", EDATE(TODAY(), -3), TODAY()), 2, 2)) - 1, """")"),"")</f>
        <v/>
      </c>
      <c r="O328" s="21" t="str">
        <f>IFERROR(__xludf.DUMMYFUNCTION("IFERROR((GOOGLEFINANCE(C328, ""price"") / INDEX(GOOGLEFINANCE(C328, ""price"", EDATE(TODAY(), -6), TODAY()), 2, 2)) - 1, """")"),"")</f>
        <v/>
      </c>
      <c r="P328" s="21" t="str">
        <f>IFERROR(__xludf.DUMMYFUNCTION("IFERROR((GOOGLEFINANCE(C328, ""price"") / INDEX(GOOGLEFINANCE(C328, ""price"", EDATE(TODAY(), -12), TODAY()), 2, 2)) - 1, """")"),"")</f>
        <v/>
      </c>
      <c r="Q328" s="6" t="str">
        <f>IFERROR(__xludf.DUMMYFUNCTION("AVERAGE(QUERY(GOOGLEFINANCE(C328, ""price"", TODAY()-80, TODAY()), ""SELECT Col2 WHERE Col2 IS NOT NULL ORDER BY Col1 DESC LIMIT 50"", 0))"),"#N/A")</f>
        <v>#N/A</v>
      </c>
      <c r="R328" s="24" t="str">
        <f>IFERROR(__xludf.DUMMYFUNCTION("IFERROR(
  LET(
    data, QUERY(GOOGLEFINANCE(C328,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GOOGLEFINANCE(C328, ""price"")) * 100,
    IF(calc=0, G328, calc)
  ), 
G328)"),"#N/A")</f>
        <v>#N/A</v>
      </c>
      <c r="S328" s="8" t="s">
        <v>15</v>
      </c>
      <c r="T328" s="26" t="str">
        <f>IFERROR(__xludf.DUMMYFUNCTION("IFERROR(TRANSPOSE(QUERY(IFERROR(SORT(GOOGLEFINANCE(C328, ""price"", WORKDAY(TODAY(), -40), TODAY()), 1, FALSE)), ""select Col2 where Col2 is not null limit 22 label Col2 ''"", 0)), """")"),"")</f>
        <v/>
      </c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8"/>
      <c r="AO328" s="28"/>
      <c r="AP328" s="29"/>
      <c r="AQ328" s="29" t="str">
        <f t="shared" ref="AQ328:BL328" si="331">T328/T$2</f>
        <v>#N/A</v>
      </c>
      <c r="AR328" s="29" t="str">
        <f t="shared" si="331"/>
        <v>#DIV/0!</v>
      </c>
      <c r="AS328" s="29" t="str">
        <f t="shared" si="331"/>
        <v>#DIV/0!</v>
      </c>
      <c r="AT328" s="29" t="str">
        <f t="shared" si="331"/>
        <v>#DIV/0!</v>
      </c>
      <c r="AU328" s="29" t="str">
        <f t="shared" si="331"/>
        <v>#DIV/0!</v>
      </c>
      <c r="AV328" s="29" t="str">
        <f t="shared" si="331"/>
        <v>#DIV/0!</v>
      </c>
      <c r="AW328" s="29" t="str">
        <f t="shared" si="331"/>
        <v>#DIV/0!</v>
      </c>
      <c r="AX328" s="29" t="str">
        <f t="shared" si="331"/>
        <v>#DIV/0!</v>
      </c>
      <c r="AY328" s="29" t="str">
        <f t="shared" si="331"/>
        <v>#DIV/0!</v>
      </c>
      <c r="AZ328" s="29" t="str">
        <f t="shared" si="331"/>
        <v>#DIV/0!</v>
      </c>
      <c r="BA328" s="29" t="str">
        <f t="shared" si="331"/>
        <v>#DIV/0!</v>
      </c>
      <c r="BB328" s="29" t="str">
        <f t="shared" si="331"/>
        <v>#DIV/0!</v>
      </c>
      <c r="BC328" s="29" t="str">
        <f t="shared" si="331"/>
        <v>#DIV/0!</v>
      </c>
      <c r="BD328" s="29" t="str">
        <f t="shared" si="331"/>
        <v>#DIV/0!</v>
      </c>
      <c r="BE328" s="29" t="str">
        <f t="shared" si="331"/>
        <v>#DIV/0!</v>
      </c>
      <c r="BF328" s="29" t="str">
        <f t="shared" si="331"/>
        <v>#DIV/0!</v>
      </c>
      <c r="BG328" s="29" t="str">
        <f t="shared" si="331"/>
        <v>#DIV/0!</v>
      </c>
      <c r="BH328" s="29" t="str">
        <f t="shared" si="331"/>
        <v>#DIV/0!</v>
      </c>
      <c r="BI328" s="29" t="str">
        <f t="shared" si="331"/>
        <v>#DIV/0!</v>
      </c>
      <c r="BJ328" s="29" t="str">
        <f t="shared" si="331"/>
        <v>#DIV/0!</v>
      </c>
      <c r="BK328" s="29" t="str">
        <f t="shared" si="331"/>
        <v>#DIV/0!</v>
      </c>
      <c r="BL328" s="29" t="str">
        <f t="shared" si="331"/>
        <v>#DIV/0!</v>
      </c>
      <c r="BM328" s="29" t="str">
        <f t="shared" si="3"/>
        <v>#DIV/0!</v>
      </c>
    </row>
    <row r="329">
      <c r="A329" s="16" t="str">
        <f>IFERROR(__xludf.DUMMYFUNCTION("IFERROR(SPARKLINE(SORT(MAP(TRANSPOSE(AQ329:BL329), LAMBDA(val, IF(ISNUMBER(val), PERCENTRANK(AQ329:BL329, val)+0.01, 0))), SEQUENCE(COLUMNS(AQ329:BL329)), FALSE), {""charttype"",""column""; ""color"",""chartreuse""; ""ymin"", 0; ""ymax"", 1.01; ""highcolo"&amp;"r"", ""darkgreen""; ""lowcolor"", ""red""}), """")"),"")</f>
        <v/>
      </c>
      <c r="B329" s="17" t="str">
        <f t="shared" si="4"/>
        <v/>
      </c>
      <c r="C329" s="1" t="s">
        <v>1349</v>
      </c>
      <c r="D329" s="30" t="str">
        <f>IFERROR(__xludf.DUMMYFUNCTION("IFERROR(GOOGLEFINANCE(C329, ""NAME""))"),"Champion Homes Inc")</f>
        <v>Champion Homes Inc</v>
      </c>
      <c r="E329" s="30" t="s">
        <v>261</v>
      </c>
      <c r="F329" s="33" t="str">
        <f>IFERROR(__xludf.DUMMYFUNCTION("( (GOOGLEFINANCE(C329, ""price"") - Q329) / Q329 ) / (R329 / 100)"),"Loading...")</f>
        <v>Loading...</v>
      </c>
      <c r="G329" s="20" t="str">
        <f>IFERROR(__xludf.DUMMYFUNCTION("AVERAGE(ARRAYFORMULA(100 * (QUERY(GOOGLEFINANCE(C329, ""high"", TODAY()-40, TODAY()), ""SELECT Col2 WHERE Col2 IS NOT NULL ORDER BY Col1 DESC LIMIT 20"", 0) / QUERY(GOOGLEFINANCE(C329, ""low"", TODAY()-40, TODAY()), ""SELECT Col2 WHERE Col2 IS NOT NULL OR"&amp;"DER BY Col1 DESC LIMIT 20"", 0) - 1)))"),"#N/A")</f>
        <v>#N/A</v>
      </c>
      <c r="H329" s="35" t="str">
        <f t="shared" si="6"/>
        <v/>
      </c>
      <c r="I329" s="35" t="str">
        <f t="shared" si="7"/>
        <v/>
      </c>
      <c r="J329" s="37" t="str">
        <f>IFERROR(__xludf.DUMMYFUNCTION("IFERROR(
  IF(C329="""",, 
    IFERROR(
      GOOGLEFINANCE(C329, ""price"") * GOOGLEFINANCE(C329, ""volumeavg""), 
      GOOGLEFINANCE(C329, ""price"") * AVERAGE(QUERY(GOOGLEFINANCE(C329, ""volume"", TODAY()-40, TODAY()), ""SELECT Col2 WHERE Col2 IS NOT "&amp;"NULL ORDER BY Col1 DESC LIMIT 20"", 0))
    )
  ), 
"""")"),"")</f>
        <v/>
      </c>
      <c r="K329" s="21" t="str">
        <f>IFERROR(__xludf.DUMMYFUNCTION("IFERROR(GOOGLEFINANCE(C329, ""changepct"") / 100, """")"),"")</f>
        <v/>
      </c>
      <c r="L329" s="21" t="str">
        <f>IFERROR(__xludf.DUMMYFUNCTION("IFERROR((GOOGLEFINANCE(C329, ""price"") / INDEX(GOOGLEFINANCE(C329, ""price"", TODAY()-7, TODAY()), 2, 2)) - 1, """")"),"")</f>
        <v/>
      </c>
      <c r="M329" s="21" t="str">
        <f>IFERROR(__xludf.DUMMYFUNCTION("IFERROR((GOOGLEFINANCE(C329, ""price"") / INDEX(GOOGLEFINANCE(C329, ""price"", EDATE(TODAY(), -1), TODAY()), 2, 2)) - 1, """")"),"")</f>
        <v/>
      </c>
      <c r="N329" s="21" t="str">
        <f>IFERROR(__xludf.DUMMYFUNCTION("IFERROR((GOOGLEFINANCE(C329, ""price"") / INDEX(GOOGLEFINANCE(C329, ""price"", EDATE(TODAY(), -3), TODAY()), 2, 2)) - 1, """")"),"")</f>
        <v/>
      </c>
      <c r="O329" s="21" t="str">
        <f>IFERROR(__xludf.DUMMYFUNCTION("IFERROR((GOOGLEFINANCE(C329, ""price"") / INDEX(GOOGLEFINANCE(C329, ""price"", EDATE(TODAY(), -6), TODAY()), 2, 2)) - 1, """")"),"")</f>
        <v/>
      </c>
      <c r="P329" s="21" t="str">
        <f>IFERROR(__xludf.DUMMYFUNCTION("IFERROR((GOOGLEFINANCE(C329, ""price"") / INDEX(GOOGLEFINANCE(C329, ""price"", EDATE(TODAY(), -12), TODAY()), 2, 2)) - 1, """")"),"")</f>
        <v/>
      </c>
      <c r="Q329" s="6" t="str">
        <f>IFERROR(__xludf.DUMMYFUNCTION("AVERAGE(QUERY(GOOGLEFINANCE(C329, ""price"", TODAY()-80, TODAY()), ""SELECT Col2 WHERE Col2 IS NOT NULL ORDER BY Col1 DESC LIMIT 50"", 0))"),"#N/A")</f>
        <v>#N/A</v>
      </c>
      <c r="R329" s="24" t="str">
        <f>IFERROR(__xludf.DUMMYFUNCTION("IFERROR(
  LET(
    data, QUERY(GOOGLEFINANCE(C329,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GOOGLEFINANCE(C329, ""price"")) * 100,
    IF(calc=0, G329, calc)
  ), 
G329)"),"#N/A")</f>
        <v>#N/A</v>
      </c>
      <c r="S329" s="8" t="s">
        <v>15</v>
      </c>
      <c r="T329" s="26" t="str">
        <f>IFERROR(__xludf.DUMMYFUNCTION("IFERROR(TRANSPOSE(QUERY(IFERROR(SORT(GOOGLEFINANCE(C329, ""price"", WORKDAY(TODAY(), -40), TODAY()), 1, FALSE)), ""select Col2 where Col2 is not null limit 22 label Col2 ''"", 0)), """")"),"")</f>
        <v/>
      </c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8"/>
      <c r="AO329" s="28"/>
      <c r="AP329" s="29"/>
      <c r="AQ329" s="29" t="str">
        <f t="shared" ref="AQ329:BL329" si="332">T329/T$2</f>
        <v>#N/A</v>
      </c>
      <c r="AR329" s="29" t="str">
        <f t="shared" si="332"/>
        <v>#DIV/0!</v>
      </c>
      <c r="AS329" s="29" t="str">
        <f t="shared" si="332"/>
        <v>#DIV/0!</v>
      </c>
      <c r="AT329" s="29" t="str">
        <f t="shared" si="332"/>
        <v>#DIV/0!</v>
      </c>
      <c r="AU329" s="29" t="str">
        <f t="shared" si="332"/>
        <v>#DIV/0!</v>
      </c>
      <c r="AV329" s="29" t="str">
        <f t="shared" si="332"/>
        <v>#DIV/0!</v>
      </c>
      <c r="AW329" s="29" t="str">
        <f t="shared" si="332"/>
        <v>#DIV/0!</v>
      </c>
      <c r="AX329" s="29" t="str">
        <f t="shared" si="332"/>
        <v>#DIV/0!</v>
      </c>
      <c r="AY329" s="29" t="str">
        <f t="shared" si="332"/>
        <v>#DIV/0!</v>
      </c>
      <c r="AZ329" s="29" t="str">
        <f t="shared" si="332"/>
        <v>#DIV/0!</v>
      </c>
      <c r="BA329" s="29" t="str">
        <f t="shared" si="332"/>
        <v>#DIV/0!</v>
      </c>
      <c r="BB329" s="29" t="str">
        <f t="shared" si="332"/>
        <v>#DIV/0!</v>
      </c>
      <c r="BC329" s="29" t="str">
        <f t="shared" si="332"/>
        <v>#DIV/0!</v>
      </c>
      <c r="BD329" s="29" t="str">
        <f t="shared" si="332"/>
        <v>#DIV/0!</v>
      </c>
      <c r="BE329" s="29" t="str">
        <f t="shared" si="332"/>
        <v>#DIV/0!</v>
      </c>
      <c r="BF329" s="29" t="str">
        <f t="shared" si="332"/>
        <v>#DIV/0!</v>
      </c>
      <c r="BG329" s="29" t="str">
        <f t="shared" si="332"/>
        <v>#DIV/0!</v>
      </c>
      <c r="BH329" s="29" t="str">
        <f t="shared" si="332"/>
        <v>#DIV/0!</v>
      </c>
      <c r="BI329" s="29" t="str">
        <f t="shared" si="332"/>
        <v>#DIV/0!</v>
      </c>
      <c r="BJ329" s="29" t="str">
        <f t="shared" si="332"/>
        <v>#DIV/0!</v>
      </c>
      <c r="BK329" s="29" t="str">
        <f t="shared" si="332"/>
        <v>#DIV/0!</v>
      </c>
      <c r="BL329" s="29" t="str">
        <f t="shared" si="332"/>
        <v>#DIV/0!</v>
      </c>
      <c r="BM329" s="29" t="str">
        <f t="shared" si="3"/>
        <v>#DIV/0!</v>
      </c>
    </row>
    <row r="330">
      <c r="A330" s="16" t="str">
        <f>IFERROR(__xludf.DUMMYFUNCTION("IFERROR(SPARKLINE(SORT(MAP(TRANSPOSE(AQ330:BL330), LAMBDA(val, IF(ISNUMBER(val), PERCENTRANK(AQ330:BL330, val)+0.01, 0))), SEQUENCE(COLUMNS(AQ330:BL330)), FALSE), {""charttype"",""column""; ""color"",""chartreuse""; ""ymin"", 0; ""ymax"", 1.01; ""highcolo"&amp;"r"", ""darkgreen""; ""lowcolor"", ""red""}), """")"),"")</f>
        <v/>
      </c>
      <c r="B330" s="17" t="str">
        <f t="shared" si="4"/>
        <v/>
      </c>
      <c r="C330" s="1" t="s">
        <v>1353</v>
      </c>
      <c r="D330" s="30" t="str">
        <f>IFERROR(__xludf.DUMMYFUNCTION("IFERROR(GOOGLEFINANCE(C330, ""NAME""))"),"Toll Brothers Inc")</f>
        <v>Toll Brothers Inc</v>
      </c>
      <c r="E330" s="30" t="s">
        <v>261</v>
      </c>
      <c r="F330" s="33" t="str">
        <f>IFERROR(__xludf.DUMMYFUNCTION("( (GOOGLEFINANCE(C330, ""price"") - Q330) / Q330 ) / (R330 / 100)"),"Loading...")</f>
        <v>Loading...</v>
      </c>
      <c r="G330" s="20" t="str">
        <f>IFERROR(__xludf.DUMMYFUNCTION("AVERAGE(ARRAYFORMULA(100 * (QUERY(GOOGLEFINANCE(C330, ""high"", TODAY()-40, TODAY()), ""SELECT Col2 WHERE Col2 IS NOT NULL ORDER BY Col1 DESC LIMIT 20"", 0) / QUERY(GOOGLEFINANCE(C330, ""low"", TODAY()-40, TODAY()), ""SELECT Col2 WHERE Col2 IS NOT NULL OR"&amp;"DER BY Col1 DESC LIMIT 20"", 0) - 1)))"),"#N/A")</f>
        <v>#N/A</v>
      </c>
      <c r="H330" s="35" t="str">
        <f t="shared" si="6"/>
        <v/>
      </c>
      <c r="I330" s="35" t="str">
        <f t="shared" si="7"/>
        <v/>
      </c>
      <c r="J330" s="37" t="str">
        <f>IFERROR(__xludf.DUMMYFUNCTION("IFERROR(
  IF(C330="""",, 
    IFERROR(
      GOOGLEFINANCE(C330, ""price"") * GOOGLEFINANCE(C330, ""volumeavg""), 
      GOOGLEFINANCE(C330, ""price"") * AVERAGE(QUERY(GOOGLEFINANCE(C330, ""volume"", TODAY()-40, TODAY()), ""SELECT Col2 WHERE Col2 IS NOT "&amp;"NULL ORDER BY Col1 DESC LIMIT 20"", 0))
    )
  ), 
"""")"),"")</f>
        <v/>
      </c>
      <c r="K330" s="21" t="str">
        <f>IFERROR(__xludf.DUMMYFUNCTION("IFERROR(GOOGLEFINANCE(C330, ""changepct"") / 100, """")"),"")</f>
        <v/>
      </c>
      <c r="L330" s="21" t="str">
        <f>IFERROR(__xludf.DUMMYFUNCTION("IFERROR((GOOGLEFINANCE(C330, ""price"") / INDEX(GOOGLEFINANCE(C330, ""price"", TODAY()-7, TODAY()), 2, 2)) - 1, """")"),"")</f>
        <v/>
      </c>
      <c r="M330" s="21" t="str">
        <f>IFERROR(__xludf.DUMMYFUNCTION("IFERROR((GOOGLEFINANCE(C330, ""price"") / INDEX(GOOGLEFINANCE(C330, ""price"", EDATE(TODAY(), -1), TODAY()), 2, 2)) - 1, """")"),"")</f>
        <v/>
      </c>
      <c r="N330" s="21" t="str">
        <f>IFERROR(__xludf.DUMMYFUNCTION("IFERROR((GOOGLEFINANCE(C330, ""price"") / INDEX(GOOGLEFINANCE(C330, ""price"", EDATE(TODAY(), -3), TODAY()), 2, 2)) - 1, """")"),"")</f>
        <v/>
      </c>
      <c r="O330" s="21" t="str">
        <f>IFERROR(__xludf.DUMMYFUNCTION("IFERROR((GOOGLEFINANCE(C330, ""price"") / INDEX(GOOGLEFINANCE(C330, ""price"", EDATE(TODAY(), -6), TODAY()), 2, 2)) - 1, """")"),"")</f>
        <v/>
      </c>
      <c r="P330" s="21" t="str">
        <f>IFERROR(__xludf.DUMMYFUNCTION("IFERROR((GOOGLEFINANCE(C330, ""price"") / INDEX(GOOGLEFINANCE(C330, ""price"", EDATE(TODAY(), -12), TODAY()), 2, 2)) - 1, """")"),"")</f>
        <v/>
      </c>
      <c r="Q330" s="6" t="str">
        <f>IFERROR(__xludf.DUMMYFUNCTION("AVERAGE(QUERY(GOOGLEFINANCE(C330, ""price"", TODAY()-80, TODAY()), ""SELECT Col2 WHERE Col2 IS NOT NULL ORDER BY Col1 DESC LIMIT 50"", 0))"),"#N/A")</f>
        <v>#N/A</v>
      </c>
      <c r="R330" s="24" t="str">
        <f>IFERROR(__xludf.DUMMYFUNCTION("IFERROR(
  LET(
    data, QUERY(GOOGLEFINANCE(C330,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GOOGLEFINANCE(C330, ""price"")) * 100,
    IF(calc=0, G330, calc)
  ), 
G330)"),"#N/A")</f>
        <v>#N/A</v>
      </c>
      <c r="S330" s="8" t="s">
        <v>15</v>
      </c>
      <c r="T330" s="26" t="str">
        <f>IFERROR(__xludf.DUMMYFUNCTION("IFERROR(TRANSPOSE(QUERY(IFERROR(SORT(GOOGLEFINANCE(C330, ""price"", WORKDAY(TODAY(), -40), TODAY()), 1, FALSE)), ""select Col2 where Col2 is not null limit 22 label Col2 ''"", 0)), """")"),"")</f>
        <v/>
      </c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8"/>
      <c r="AO330" s="28"/>
      <c r="AP330" s="29"/>
      <c r="AQ330" s="29" t="str">
        <f t="shared" ref="AQ330:BL330" si="333">T330/T$2</f>
        <v>#N/A</v>
      </c>
      <c r="AR330" s="29" t="str">
        <f t="shared" si="333"/>
        <v>#DIV/0!</v>
      </c>
      <c r="AS330" s="29" t="str">
        <f t="shared" si="333"/>
        <v>#DIV/0!</v>
      </c>
      <c r="AT330" s="29" t="str">
        <f t="shared" si="333"/>
        <v>#DIV/0!</v>
      </c>
      <c r="AU330" s="29" t="str">
        <f t="shared" si="333"/>
        <v>#DIV/0!</v>
      </c>
      <c r="AV330" s="29" t="str">
        <f t="shared" si="333"/>
        <v>#DIV/0!</v>
      </c>
      <c r="AW330" s="29" t="str">
        <f t="shared" si="333"/>
        <v>#DIV/0!</v>
      </c>
      <c r="AX330" s="29" t="str">
        <f t="shared" si="333"/>
        <v>#DIV/0!</v>
      </c>
      <c r="AY330" s="29" t="str">
        <f t="shared" si="333"/>
        <v>#DIV/0!</v>
      </c>
      <c r="AZ330" s="29" t="str">
        <f t="shared" si="333"/>
        <v>#DIV/0!</v>
      </c>
      <c r="BA330" s="29" t="str">
        <f t="shared" si="333"/>
        <v>#DIV/0!</v>
      </c>
      <c r="BB330" s="29" t="str">
        <f t="shared" si="333"/>
        <v>#DIV/0!</v>
      </c>
      <c r="BC330" s="29" t="str">
        <f t="shared" si="333"/>
        <v>#DIV/0!</v>
      </c>
      <c r="BD330" s="29" t="str">
        <f t="shared" si="333"/>
        <v>#DIV/0!</v>
      </c>
      <c r="BE330" s="29" t="str">
        <f t="shared" si="333"/>
        <v>#DIV/0!</v>
      </c>
      <c r="BF330" s="29" t="str">
        <f t="shared" si="333"/>
        <v>#DIV/0!</v>
      </c>
      <c r="BG330" s="29" t="str">
        <f t="shared" si="333"/>
        <v>#DIV/0!</v>
      </c>
      <c r="BH330" s="29" t="str">
        <f t="shared" si="333"/>
        <v>#DIV/0!</v>
      </c>
      <c r="BI330" s="29" t="str">
        <f t="shared" si="333"/>
        <v>#DIV/0!</v>
      </c>
      <c r="BJ330" s="29" t="str">
        <f t="shared" si="333"/>
        <v>#DIV/0!</v>
      </c>
      <c r="BK330" s="29" t="str">
        <f t="shared" si="333"/>
        <v>#DIV/0!</v>
      </c>
      <c r="BL330" s="29" t="str">
        <f t="shared" si="333"/>
        <v>#DIV/0!</v>
      </c>
      <c r="BM330" s="29" t="str">
        <f t="shared" si="3"/>
        <v>#DIV/0!</v>
      </c>
    </row>
    <row r="331">
      <c r="A331" s="16" t="str">
        <f>IFERROR(__xludf.DUMMYFUNCTION("IFERROR(SPARKLINE(SORT(MAP(TRANSPOSE(AQ331:BL331), LAMBDA(val, IF(ISNUMBER(val), PERCENTRANK(AQ331:BL331, val)+0.01, 0))), SEQUENCE(COLUMNS(AQ331:BL331)), FALSE), {""charttype"",""column""; ""color"",""chartreuse""; ""ymin"", 0; ""ymax"", 1.01; ""highcolo"&amp;"r"", ""darkgreen""; ""lowcolor"", ""red""}), """")"),"")</f>
        <v/>
      </c>
      <c r="B331" s="17" t="str">
        <f t="shared" si="4"/>
        <v/>
      </c>
      <c r="C331" s="1" t="s">
        <v>1357</v>
      </c>
      <c r="D331" s="30" t="str">
        <f>IFERROR(__xludf.DUMMYFUNCTION("IFERROR(GOOGLEFINANCE(C331, ""NAME""))"),"NVR Inc")</f>
        <v>NVR Inc</v>
      </c>
      <c r="E331" s="30" t="s">
        <v>261</v>
      </c>
      <c r="F331" s="33" t="str">
        <f>IFERROR(__xludf.DUMMYFUNCTION("( (GOOGLEFINANCE(C331, ""price"") - Q331) / Q331 ) / (R331 / 100)"),"Loading...")</f>
        <v>Loading...</v>
      </c>
      <c r="G331" s="20" t="str">
        <f>IFERROR(__xludf.DUMMYFUNCTION("AVERAGE(ARRAYFORMULA(100 * (QUERY(GOOGLEFINANCE(C331, ""high"", TODAY()-40, TODAY()), ""SELECT Col2 WHERE Col2 IS NOT NULL ORDER BY Col1 DESC LIMIT 20"", 0) / QUERY(GOOGLEFINANCE(C331, ""low"", TODAY()-40, TODAY()), ""SELECT Col2 WHERE Col2 IS NOT NULL OR"&amp;"DER BY Col1 DESC LIMIT 20"", 0) - 1)))"),"#N/A")</f>
        <v>#N/A</v>
      </c>
      <c r="H331" s="35" t="str">
        <f t="shared" si="6"/>
        <v/>
      </c>
      <c r="I331" s="35" t="str">
        <f t="shared" si="7"/>
        <v/>
      </c>
      <c r="J331" s="37" t="str">
        <f>IFERROR(__xludf.DUMMYFUNCTION("IFERROR(
  IF(C331="""",, 
    IFERROR(
      GOOGLEFINANCE(C331, ""price"") * GOOGLEFINANCE(C331, ""volumeavg""), 
      GOOGLEFINANCE(C331, ""price"") * AVERAGE(QUERY(GOOGLEFINANCE(C331, ""volume"", TODAY()-40, TODAY()), ""SELECT Col2 WHERE Col2 IS NOT "&amp;"NULL ORDER BY Col1 DESC LIMIT 20"", 0))
    )
  ), 
"""")"),"")</f>
        <v/>
      </c>
      <c r="K331" s="21" t="str">
        <f>IFERROR(__xludf.DUMMYFUNCTION("IFERROR(GOOGLEFINANCE(C331, ""changepct"") / 100, """")"),"")</f>
        <v/>
      </c>
      <c r="L331" s="21" t="str">
        <f>IFERROR(__xludf.DUMMYFUNCTION("IFERROR((GOOGLEFINANCE(C331, ""price"") / INDEX(GOOGLEFINANCE(C331, ""price"", TODAY()-7, TODAY()), 2, 2)) - 1, """")"),"")</f>
        <v/>
      </c>
      <c r="M331" s="21" t="str">
        <f>IFERROR(__xludf.DUMMYFUNCTION("IFERROR((GOOGLEFINANCE(C331, ""price"") / INDEX(GOOGLEFINANCE(C331, ""price"", EDATE(TODAY(), -1), TODAY()), 2, 2)) - 1, """")"),"")</f>
        <v/>
      </c>
      <c r="N331" s="21" t="str">
        <f>IFERROR(__xludf.DUMMYFUNCTION("IFERROR((GOOGLEFINANCE(C331, ""price"") / INDEX(GOOGLEFINANCE(C331, ""price"", EDATE(TODAY(), -3), TODAY()), 2, 2)) - 1, """")"),"")</f>
        <v/>
      </c>
      <c r="O331" s="21" t="str">
        <f>IFERROR(__xludf.DUMMYFUNCTION("IFERROR((GOOGLEFINANCE(C331, ""price"") / INDEX(GOOGLEFINANCE(C331, ""price"", EDATE(TODAY(), -6), TODAY()), 2, 2)) - 1, """")"),"")</f>
        <v/>
      </c>
      <c r="P331" s="21" t="str">
        <f>IFERROR(__xludf.DUMMYFUNCTION("IFERROR((GOOGLEFINANCE(C331, ""price"") / INDEX(GOOGLEFINANCE(C331, ""price"", EDATE(TODAY(), -12), TODAY()), 2, 2)) - 1, """")"),"")</f>
        <v/>
      </c>
      <c r="Q331" s="6" t="str">
        <f>IFERROR(__xludf.DUMMYFUNCTION("AVERAGE(QUERY(GOOGLEFINANCE(C331, ""price"", TODAY()-80, TODAY()), ""SELECT Col2 WHERE Col2 IS NOT NULL ORDER BY Col1 DESC LIMIT 50"", 0))"),"#N/A")</f>
        <v>#N/A</v>
      </c>
      <c r="R331" s="24" t="str">
        <f>IFERROR(__xludf.DUMMYFUNCTION("IFERROR(
  LET(
    data, QUERY(GOOGLEFINANCE(C331,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GOOGLEFINANCE(C331, ""price"")) * 100,
    IF(calc=0, G331, calc)
  ), 
G331)"),"#N/A")</f>
        <v>#N/A</v>
      </c>
      <c r="S331" s="8" t="s">
        <v>15</v>
      </c>
      <c r="T331" s="26" t="str">
        <f>IFERROR(__xludf.DUMMYFUNCTION("IFERROR(TRANSPOSE(QUERY(IFERROR(SORT(GOOGLEFINANCE(C331, ""price"", WORKDAY(TODAY(), -40), TODAY()), 1, FALSE)), ""select Col2 where Col2 is not null limit 22 label Col2 ''"", 0)), """")"),"")</f>
        <v/>
      </c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8"/>
      <c r="AO331" s="28"/>
      <c r="AP331" s="29"/>
      <c r="AQ331" s="29" t="str">
        <f t="shared" ref="AQ331:BL331" si="334">T331/T$2</f>
        <v>#N/A</v>
      </c>
      <c r="AR331" s="29" t="str">
        <f t="shared" si="334"/>
        <v>#DIV/0!</v>
      </c>
      <c r="AS331" s="29" t="str">
        <f t="shared" si="334"/>
        <v>#DIV/0!</v>
      </c>
      <c r="AT331" s="29" t="str">
        <f t="shared" si="334"/>
        <v>#DIV/0!</v>
      </c>
      <c r="AU331" s="29" t="str">
        <f t="shared" si="334"/>
        <v>#DIV/0!</v>
      </c>
      <c r="AV331" s="29" t="str">
        <f t="shared" si="334"/>
        <v>#DIV/0!</v>
      </c>
      <c r="AW331" s="29" t="str">
        <f t="shared" si="334"/>
        <v>#DIV/0!</v>
      </c>
      <c r="AX331" s="29" t="str">
        <f t="shared" si="334"/>
        <v>#DIV/0!</v>
      </c>
      <c r="AY331" s="29" t="str">
        <f t="shared" si="334"/>
        <v>#DIV/0!</v>
      </c>
      <c r="AZ331" s="29" t="str">
        <f t="shared" si="334"/>
        <v>#DIV/0!</v>
      </c>
      <c r="BA331" s="29" t="str">
        <f t="shared" si="334"/>
        <v>#DIV/0!</v>
      </c>
      <c r="BB331" s="29" t="str">
        <f t="shared" si="334"/>
        <v>#DIV/0!</v>
      </c>
      <c r="BC331" s="29" t="str">
        <f t="shared" si="334"/>
        <v>#DIV/0!</v>
      </c>
      <c r="BD331" s="29" t="str">
        <f t="shared" si="334"/>
        <v>#DIV/0!</v>
      </c>
      <c r="BE331" s="29" t="str">
        <f t="shared" si="334"/>
        <v>#DIV/0!</v>
      </c>
      <c r="BF331" s="29" t="str">
        <f t="shared" si="334"/>
        <v>#DIV/0!</v>
      </c>
      <c r="BG331" s="29" t="str">
        <f t="shared" si="334"/>
        <v>#DIV/0!</v>
      </c>
      <c r="BH331" s="29" t="str">
        <f t="shared" si="334"/>
        <v>#DIV/0!</v>
      </c>
      <c r="BI331" s="29" t="str">
        <f t="shared" si="334"/>
        <v>#DIV/0!</v>
      </c>
      <c r="BJ331" s="29" t="str">
        <f t="shared" si="334"/>
        <v>#DIV/0!</v>
      </c>
      <c r="BK331" s="29" t="str">
        <f t="shared" si="334"/>
        <v>#DIV/0!</v>
      </c>
      <c r="BL331" s="29" t="str">
        <f t="shared" si="334"/>
        <v>#DIV/0!</v>
      </c>
      <c r="BM331" s="29" t="str">
        <f t="shared" si="3"/>
        <v>#DIV/0!</v>
      </c>
    </row>
    <row r="332">
      <c r="A332" s="16" t="str">
        <f>IFERROR(__xludf.DUMMYFUNCTION("IFERROR(SPARKLINE(SORT(MAP(TRANSPOSE(AQ332:BL332), LAMBDA(val, IF(ISNUMBER(val), PERCENTRANK(AQ332:BL332, val)+0.01, 0))), SEQUENCE(COLUMNS(AQ332:BL332)), FALSE), {""charttype"",""column""; ""color"",""chartreuse""; ""ymin"", 0; ""ymax"", 1.01; ""highcolo"&amp;"r"", ""darkgreen""; ""lowcolor"", ""red""}), """")"),"")</f>
        <v/>
      </c>
      <c r="B332" s="17" t="str">
        <f t="shared" si="4"/>
        <v/>
      </c>
      <c r="C332" s="1" t="s">
        <v>1361</v>
      </c>
      <c r="D332" s="30" t="str">
        <f>IFERROR(__xludf.DUMMYFUNCTION("IFERROR(GOOGLEFINANCE(C332, ""NAME""))"),"Wynn Resorts Ltd")</f>
        <v>Wynn Resorts Ltd</v>
      </c>
      <c r="E332" s="30" t="s">
        <v>354</v>
      </c>
      <c r="F332" s="33" t="str">
        <f>IFERROR(__xludf.DUMMYFUNCTION("( (GOOGLEFINANCE(C332, ""price"") - Q332) / Q332 ) / (R332 / 100)"),"Loading...")</f>
        <v>Loading...</v>
      </c>
      <c r="G332" s="20" t="str">
        <f>IFERROR(__xludf.DUMMYFUNCTION("AVERAGE(ARRAYFORMULA(100 * (QUERY(GOOGLEFINANCE(C332, ""high"", TODAY()-40, TODAY()), ""SELECT Col2 WHERE Col2 IS NOT NULL ORDER BY Col1 DESC LIMIT 20"", 0) / QUERY(GOOGLEFINANCE(C332, ""low"", TODAY()-40, TODAY()), ""SELECT Col2 WHERE Col2 IS NOT NULL OR"&amp;"DER BY Col1 DESC LIMIT 20"", 0) - 1)))"),"#N/A")</f>
        <v>#N/A</v>
      </c>
      <c r="H332" s="35" t="str">
        <f t="shared" si="6"/>
        <v/>
      </c>
      <c r="I332" s="35" t="str">
        <f t="shared" si="7"/>
        <v/>
      </c>
      <c r="J332" s="37" t="str">
        <f>IFERROR(__xludf.DUMMYFUNCTION("IFERROR(
  IF(C332="""",, 
    IFERROR(
      GOOGLEFINANCE(C332, ""price"") * GOOGLEFINANCE(C332, ""volumeavg""), 
      GOOGLEFINANCE(C332, ""price"") * AVERAGE(QUERY(GOOGLEFINANCE(C332, ""volume"", TODAY()-40, TODAY()), ""SELECT Col2 WHERE Col2 IS NOT "&amp;"NULL ORDER BY Col1 DESC LIMIT 20"", 0))
    )
  ), 
"""")"),"")</f>
        <v/>
      </c>
      <c r="K332" s="21" t="str">
        <f>IFERROR(__xludf.DUMMYFUNCTION("IFERROR(GOOGLEFINANCE(C332, ""changepct"") / 100, """")"),"")</f>
        <v/>
      </c>
      <c r="L332" s="21" t="str">
        <f>IFERROR(__xludf.DUMMYFUNCTION("IFERROR((GOOGLEFINANCE(C332, ""price"") / INDEX(GOOGLEFINANCE(C332, ""price"", TODAY()-7, TODAY()), 2, 2)) - 1, """")"),"")</f>
        <v/>
      </c>
      <c r="M332" s="21" t="str">
        <f>IFERROR(__xludf.DUMMYFUNCTION("IFERROR((GOOGLEFINANCE(C332, ""price"") / INDEX(GOOGLEFINANCE(C332, ""price"", EDATE(TODAY(), -1), TODAY()), 2, 2)) - 1, """")"),"")</f>
        <v/>
      </c>
      <c r="N332" s="21" t="str">
        <f>IFERROR(__xludf.DUMMYFUNCTION("IFERROR((GOOGLEFINANCE(C332, ""price"") / INDEX(GOOGLEFINANCE(C332, ""price"", EDATE(TODAY(), -3), TODAY()), 2, 2)) - 1, """")"),"")</f>
        <v/>
      </c>
      <c r="O332" s="21" t="str">
        <f>IFERROR(__xludf.DUMMYFUNCTION("IFERROR((GOOGLEFINANCE(C332, ""price"") / INDEX(GOOGLEFINANCE(C332, ""price"", EDATE(TODAY(), -6), TODAY()), 2, 2)) - 1, """")"),"")</f>
        <v/>
      </c>
      <c r="P332" s="21" t="str">
        <f>IFERROR(__xludf.DUMMYFUNCTION("IFERROR((GOOGLEFINANCE(C332, ""price"") / INDEX(GOOGLEFINANCE(C332, ""price"", EDATE(TODAY(), -12), TODAY()), 2, 2)) - 1, """")"),"")</f>
        <v/>
      </c>
      <c r="Q332" s="6" t="str">
        <f>IFERROR(__xludf.DUMMYFUNCTION("AVERAGE(QUERY(GOOGLEFINANCE(C332, ""price"", TODAY()-80, TODAY()), ""SELECT Col2 WHERE Col2 IS NOT NULL ORDER BY Col1 DESC LIMIT 50"", 0))"),"#N/A")</f>
        <v>#N/A</v>
      </c>
      <c r="R332" s="24" t="str">
        <f>IFERROR(__xludf.DUMMYFUNCTION("IFERROR(
  LET(
    data, QUERY(GOOGLEFINANCE(C332,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GOOGLEFINANCE(C332, ""price"")) * 100,
    IF(calc=0, G332, calc)
  ), 
G332)"),"#N/A")</f>
        <v>#N/A</v>
      </c>
      <c r="S332" s="8" t="s">
        <v>15</v>
      </c>
      <c r="T332" s="26" t="str">
        <f>IFERROR(__xludf.DUMMYFUNCTION("IFERROR(TRANSPOSE(QUERY(IFERROR(SORT(GOOGLEFINANCE(C332, ""price"", WORKDAY(TODAY(), -40), TODAY()), 1, FALSE)), ""select Col2 where Col2 is not null limit 22 label Col2 ''"", 0)), """")"),"")</f>
        <v/>
      </c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8"/>
      <c r="AO332" s="28"/>
      <c r="AP332" s="29"/>
      <c r="AQ332" s="29" t="str">
        <f t="shared" ref="AQ332:BL332" si="335">T332/T$2</f>
        <v>#N/A</v>
      </c>
      <c r="AR332" s="29" t="str">
        <f t="shared" si="335"/>
        <v>#DIV/0!</v>
      </c>
      <c r="AS332" s="29" t="str">
        <f t="shared" si="335"/>
        <v>#DIV/0!</v>
      </c>
      <c r="AT332" s="29" t="str">
        <f t="shared" si="335"/>
        <v>#DIV/0!</v>
      </c>
      <c r="AU332" s="29" t="str">
        <f t="shared" si="335"/>
        <v>#DIV/0!</v>
      </c>
      <c r="AV332" s="29" t="str">
        <f t="shared" si="335"/>
        <v>#DIV/0!</v>
      </c>
      <c r="AW332" s="29" t="str">
        <f t="shared" si="335"/>
        <v>#DIV/0!</v>
      </c>
      <c r="AX332" s="29" t="str">
        <f t="shared" si="335"/>
        <v>#DIV/0!</v>
      </c>
      <c r="AY332" s="29" t="str">
        <f t="shared" si="335"/>
        <v>#DIV/0!</v>
      </c>
      <c r="AZ332" s="29" t="str">
        <f t="shared" si="335"/>
        <v>#DIV/0!</v>
      </c>
      <c r="BA332" s="29" t="str">
        <f t="shared" si="335"/>
        <v>#DIV/0!</v>
      </c>
      <c r="BB332" s="29" t="str">
        <f t="shared" si="335"/>
        <v>#DIV/0!</v>
      </c>
      <c r="BC332" s="29" t="str">
        <f t="shared" si="335"/>
        <v>#DIV/0!</v>
      </c>
      <c r="BD332" s="29" t="str">
        <f t="shared" si="335"/>
        <v>#DIV/0!</v>
      </c>
      <c r="BE332" s="29" t="str">
        <f t="shared" si="335"/>
        <v>#DIV/0!</v>
      </c>
      <c r="BF332" s="29" t="str">
        <f t="shared" si="335"/>
        <v>#DIV/0!</v>
      </c>
      <c r="BG332" s="29" t="str">
        <f t="shared" si="335"/>
        <v>#DIV/0!</v>
      </c>
      <c r="BH332" s="29" t="str">
        <f t="shared" si="335"/>
        <v>#DIV/0!</v>
      </c>
      <c r="BI332" s="29" t="str">
        <f t="shared" si="335"/>
        <v>#DIV/0!</v>
      </c>
      <c r="BJ332" s="29" t="str">
        <f t="shared" si="335"/>
        <v>#DIV/0!</v>
      </c>
      <c r="BK332" s="29" t="str">
        <f t="shared" si="335"/>
        <v>#DIV/0!</v>
      </c>
      <c r="BL332" s="29" t="str">
        <f t="shared" si="335"/>
        <v>#DIV/0!</v>
      </c>
      <c r="BM332" s="29" t="str">
        <f t="shared" si="3"/>
        <v>#DIV/0!</v>
      </c>
    </row>
    <row r="333">
      <c r="A333" s="16" t="str">
        <f>IFERROR(__xludf.DUMMYFUNCTION("IFERROR(SPARKLINE(SORT(MAP(TRANSPOSE(AQ333:BL333), LAMBDA(val, IF(ISNUMBER(val), PERCENTRANK(AQ333:BL333, val)+0.01, 0))), SEQUENCE(COLUMNS(AQ333:BL333)), FALSE), {""charttype"",""column""; ""color"",""chartreuse""; ""ymin"", 0; ""ymax"", 1.01; ""highcolo"&amp;"r"", ""darkgreen""; ""lowcolor"", ""red""}), """")"),"")</f>
        <v/>
      </c>
      <c r="B333" s="17" t="str">
        <f t="shared" si="4"/>
        <v/>
      </c>
      <c r="C333" s="1" t="s">
        <v>1364</v>
      </c>
      <c r="D333" s="30" t="str">
        <f>IFERROR(__xludf.DUMMYFUNCTION("IFERROR(GOOGLEFINANCE(C333, ""NAME""))"),"Las Vegas Sands Corp.")</f>
        <v>Las Vegas Sands Corp.</v>
      </c>
      <c r="E333" s="30" t="s">
        <v>354</v>
      </c>
      <c r="F333" s="33" t="str">
        <f>IFERROR(__xludf.DUMMYFUNCTION("( (GOOGLEFINANCE(C333, ""price"") - Q333) / Q333 ) / (R333 / 100)"),"Loading...")</f>
        <v>Loading...</v>
      </c>
      <c r="G333" s="20" t="str">
        <f>IFERROR(__xludf.DUMMYFUNCTION("AVERAGE(ARRAYFORMULA(100 * (QUERY(GOOGLEFINANCE(C333, ""high"", TODAY()-40, TODAY()), ""SELECT Col2 WHERE Col2 IS NOT NULL ORDER BY Col1 DESC LIMIT 20"", 0) / QUERY(GOOGLEFINANCE(C333, ""low"", TODAY()-40, TODAY()), ""SELECT Col2 WHERE Col2 IS NOT NULL OR"&amp;"DER BY Col1 DESC LIMIT 20"", 0) - 1)))"),"#N/A")</f>
        <v>#N/A</v>
      </c>
      <c r="H333" s="35" t="str">
        <f t="shared" si="6"/>
        <v/>
      </c>
      <c r="I333" s="35" t="str">
        <f t="shared" si="7"/>
        <v/>
      </c>
      <c r="J333" s="37" t="str">
        <f>IFERROR(__xludf.DUMMYFUNCTION("IFERROR(
  IF(C333="""",, 
    IFERROR(
      GOOGLEFINANCE(C333, ""price"") * GOOGLEFINANCE(C333, ""volumeavg""), 
      GOOGLEFINANCE(C333, ""price"") * AVERAGE(QUERY(GOOGLEFINANCE(C333, ""volume"", TODAY()-40, TODAY()), ""SELECT Col2 WHERE Col2 IS NOT "&amp;"NULL ORDER BY Col1 DESC LIMIT 20"", 0))
    )
  ), 
"""")"),"")</f>
        <v/>
      </c>
      <c r="K333" s="21" t="str">
        <f>IFERROR(__xludf.DUMMYFUNCTION("IFERROR(GOOGLEFINANCE(C333, ""changepct"") / 100, """")"),"")</f>
        <v/>
      </c>
      <c r="L333" s="21" t="str">
        <f>IFERROR(__xludf.DUMMYFUNCTION("IFERROR((GOOGLEFINANCE(C333, ""price"") / INDEX(GOOGLEFINANCE(C333, ""price"", TODAY()-7, TODAY()), 2, 2)) - 1, """")"),"")</f>
        <v/>
      </c>
      <c r="M333" s="21" t="str">
        <f>IFERROR(__xludf.DUMMYFUNCTION("IFERROR((GOOGLEFINANCE(C333, ""price"") / INDEX(GOOGLEFINANCE(C333, ""price"", EDATE(TODAY(), -1), TODAY()), 2, 2)) - 1, """")"),"")</f>
        <v/>
      </c>
      <c r="N333" s="21" t="str">
        <f>IFERROR(__xludf.DUMMYFUNCTION("IFERROR((GOOGLEFINANCE(C333, ""price"") / INDEX(GOOGLEFINANCE(C333, ""price"", EDATE(TODAY(), -3), TODAY()), 2, 2)) - 1, """")"),"")</f>
        <v/>
      </c>
      <c r="O333" s="21" t="str">
        <f>IFERROR(__xludf.DUMMYFUNCTION("IFERROR((GOOGLEFINANCE(C333, ""price"") / INDEX(GOOGLEFINANCE(C333, ""price"", EDATE(TODAY(), -6), TODAY()), 2, 2)) - 1, """")"),"")</f>
        <v/>
      </c>
      <c r="P333" s="21" t="str">
        <f>IFERROR(__xludf.DUMMYFUNCTION("IFERROR((GOOGLEFINANCE(C333, ""price"") / INDEX(GOOGLEFINANCE(C333, ""price"", EDATE(TODAY(), -12), TODAY()), 2, 2)) - 1, """")"),"")</f>
        <v/>
      </c>
      <c r="Q333" s="6" t="str">
        <f>IFERROR(__xludf.DUMMYFUNCTION("AVERAGE(QUERY(GOOGLEFINANCE(C333, ""price"", TODAY()-80, TODAY()), ""SELECT Col2 WHERE Col2 IS NOT NULL ORDER BY Col1 DESC LIMIT 50"", 0))"),"#N/A")</f>
        <v>#N/A</v>
      </c>
      <c r="R333" s="24" t="str">
        <f>IFERROR(__xludf.DUMMYFUNCTION("IFERROR(
  LET(
    data, QUERY(GOOGLEFINANCE(C333,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GOOGLEFINANCE(C333, ""price"")) * 100,
    IF(calc=0, G333, calc)
  ), 
G333)"),"#N/A")</f>
        <v>#N/A</v>
      </c>
      <c r="S333" s="8" t="s">
        <v>15</v>
      </c>
      <c r="T333" s="26" t="str">
        <f>IFERROR(__xludf.DUMMYFUNCTION("IFERROR(TRANSPOSE(QUERY(IFERROR(SORT(GOOGLEFINANCE(C333, ""price"", WORKDAY(TODAY(), -40), TODAY()), 1, FALSE)), ""select Col2 where Col2 is not null limit 22 label Col2 ''"", 0)), """")"),"")</f>
        <v/>
      </c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8"/>
      <c r="AO333" s="28"/>
      <c r="AP333" s="29"/>
      <c r="AQ333" s="29" t="str">
        <f t="shared" ref="AQ333:BL333" si="336">T333/T$2</f>
        <v>#N/A</v>
      </c>
      <c r="AR333" s="29" t="str">
        <f t="shared" si="336"/>
        <v>#DIV/0!</v>
      </c>
      <c r="AS333" s="29" t="str">
        <f t="shared" si="336"/>
        <v>#DIV/0!</v>
      </c>
      <c r="AT333" s="29" t="str">
        <f t="shared" si="336"/>
        <v>#DIV/0!</v>
      </c>
      <c r="AU333" s="29" t="str">
        <f t="shared" si="336"/>
        <v>#DIV/0!</v>
      </c>
      <c r="AV333" s="29" t="str">
        <f t="shared" si="336"/>
        <v>#DIV/0!</v>
      </c>
      <c r="AW333" s="29" t="str">
        <f t="shared" si="336"/>
        <v>#DIV/0!</v>
      </c>
      <c r="AX333" s="29" t="str">
        <f t="shared" si="336"/>
        <v>#DIV/0!</v>
      </c>
      <c r="AY333" s="29" t="str">
        <f t="shared" si="336"/>
        <v>#DIV/0!</v>
      </c>
      <c r="AZ333" s="29" t="str">
        <f t="shared" si="336"/>
        <v>#DIV/0!</v>
      </c>
      <c r="BA333" s="29" t="str">
        <f t="shared" si="336"/>
        <v>#DIV/0!</v>
      </c>
      <c r="BB333" s="29" t="str">
        <f t="shared" si="336"/>
        <v>#DIV/0!</v>
      </c>
      <c r="BC333" s="29" t="str">
        <f t="shared" si="336"/>
        <v>#DIV/0!</v>
      </c>
      <c r="BD333" s="29" t="str">
        <f t="shared" si="336"/>
        <v>#DIV/0!</v>
      </c>
      <c r="BE333" s="29" t="str">
        <f t="shared" si="336"/>
        <v>#DIV/0!</v>
      </c>
      <c r="BF333" s="29" t="str">
        <f t="shared" si="336"/>
        <v>#DIV/0!</v>
      </c>
      <c r="BG333" s="29" t="str">
        <f t="shared" si="336"/>
        <v>#DIV/0!</v>
      </c>
      <c r="BH333" s="29" t="str">
        <f t="shared" si="336"/>
        <v>#DIV/0!</v>
      </c>
      <c r="BI333" s="29" t="str">
        <f t="shared" si="336"/>
        <v>#DIV/0!</v>
      </c>
      <c r="BJ333" s="29" t="str">
        <f t="shared" si="336"/>
        <v>#DIV/0!</v>
      </c>
      <c r="BK333" s="29" t="str">
        <f t="shared" si="336"/>
        <v>#DIV/0!</v>
      </c>
      <c r="BL333" s="29" t="str">
        <f t="shared" si="336"/>
        <v>#DIV/0!</v>
      </c>
      <c r="BM333" s="29" t="str">
        <f t="shared" si="3"/>
        <v>#DIV/0!</v>
      </c>
    </row>
    <row r="334">
      <c r="A334" s="16" t="str">
        <f>IFERROR(__xludf.DUMMYFUNCTION("IFERROR(SPARKLINE(SORT(MAP(TRANSPOSE(AQ334:BL334), LAMBDA(val, IF(ISNUMBER(val), PERCENTRANK(AQ334:BL334, val)+0.01, 0))), SEQUENCE(COLUMNS(AQ334:BL334)), FALSE), {""charttype"",""column""; ""color"",""chartreuse""; ""ymin"", 0; ""ymax"", 1.01; ""highcolo"&amp;"r"", ""darkgreen""; ""lowcolor"", ""red""}), """")"),"")</f>
        <v/>
      </c>
      <c r="B334" s="17" t="str">
        <f t="shared" si="4"/>
        <v/>
      </c>
      <c r="C334" s="1" t="s">
        <v>1368</v>
      </c>
      <c r="D334" s="30" t="str">
        <f>IFERROR(__xludf.DUMMYFUNCTION("IFERROR(GOOGLEFINANCE(C334, ""NAME""))"),"Norwegian Cruise Line Holdings Ltd")</f>
        <v>Norwegian Cruise Line Holdings Ltd</v>
      </c>
      <c r="E334" s="30" t="s">
        <v>248</v>
      </c>
      <c r="F334" s="33" t="str">
        <f>IFERROR(__xludf.DUMMYFUNCTION("( (GOOGLEFINANCE(C334, ""price"") - Q334) / Q334 ) / (R334 / 100)"),"Loading...")</f>
        <v>Loading...</v>
      </c>
      <c r="G334" s="20" t="str">
        <f>IFERROR(__xludf.DUMMYFUNCTION("AVERAGE(ARRAYFORMULA(100 * (QUERY(GOOGLEFINANCE(C334, ""high"", TODAY()-40, TODAY()), ""SELECT Col2 WHERE Col2 IS NOT NULL ORDER BY Col1 DESC LIMIT 20"", 0) / QUERY(GOOGLEFINANCE(C334, ""low"", TODAY()-40, TODAY()), ""SELECT Col2 WHERE Col2 IS NOT NULL OR"&amp;"DER BY Col1 DESC LIMIT 20"", 0) - 1)))"),"#N/A")</f>
        <v>#N/A</v>
      </c>
      <c r="H334" s="35" t="str">
        <f t="shared" si="6"/>
        <v/>
      </c>
      <c r="I334" s="35" t="str">
        <f t="shared" si="7"/>
        <v/>
      </c>
      <c r="J334" s="37" t="str">
        <f>IFERROR(__xludf.DUMMYFUNCTION("IFERROR(
  IF(C334="""",, 
    IFERROR(
      GOOGLEFINANCE(C334, ""price"") * GOOGLEFINANCE(C334, ""volumeavg""), 
      GOOGLEFINANCE(C334, ""price"") * AVERAGE(QUERY(GOOGLEFINANCE(C334, ""volume"", TODAY()-40, TODAY()), ""SELECT Col2 WHERE Col2 IS NOT "&amp;"NULL ORDER BY Col1 DESC LIMIT 20"", 0))
    )
  ), 
"""")"),"")</f>
        <v/>
      </c>
      <c r="K334" s="21" t="str">
        <f>IFERROR(__xludf.DUMMYFUNCTION("IFERROR(GOOGLEFINANCE(C334, ""changepct"") / 100, """")"),"")</f>
        <v/>
      </c>
      <c r="L334" s="21" t="str">
        <f>IFERROR(__xludf.DUMMYFUNCTION("IFERROR((GOOGLEFINANCE(C334, ""price"") / INDEX(GOOGLEFINANCE(C334, ""price"", TODAY()-7, TODAY()), 2, 2)) - 1, """")"),"")</f>
        <v/>
      </c>
      <c r="M334" s="21" t="str">
        <f>IFERROR(__xludf.DUMMYFUNCTION("IFERROR((GOOGLEFINANCE(C334, ""price"") / INDEX(GOOGLEFINANCE(C334, ""price"", EDATE(TODAY(), -1), TODAY()), 2, 2)) - 1, """")"),"")</f>
        <v/>
      </c>
      <c r="N334" s="21" t="str">
        <f>IFERROR(__xludf.DUMMYFUNCTION("IFERROR((GOOGLEFINANCE(C334, ""price"") / INDEX(GOOGLEFINANCE(C334, ""price"", EDATE(TODAY(), -3), TODAY()), 2, 2)) - 1, """")"),"")</f>
        <v/>
      </c>
      <c r="O334" s="21" t="str">
        <f>IFERROR(__xludf.DUMMYFUNCTION("IFERROR((GOOGLEFINANCE(C334, ""price"") / INDEX(GOOGLEFINANCE(C334, ""price"", EDATE(TODAY(), -6), TODAY()), 2, 2)) - 1, """")"),"")</f>
        <v/>
      </c>
      <c r="P334" s="21" t="str">
        <f>IFERROR(__xludf.DUMMYFUNCTION("IFERROR((GOOGLEFINANCE(C334, ""price"") / INDEX(GOOGLEFINANCE(C334, ""price"", EDATE(TODAY(), -12), TODAY()), 2, 2)) - 1, """")"),"")</f>
        <v/>
      </c>
      <c r="Q334" s="6" t="str">
        <f>IFERROR(__xludf.DUMMYFUNCTION("AVERAGE(QUERY(GOOGLEFINANCE(C334, ""price"", TODAY()-80, TODAY()), ""SELECT Col2 WHERE Col2 IS NOT NULL ORDER BY Col1 DESC LIMIT 50"", 0))"),"#N/A")</f>
        <v>#N/A</v>
      </c>
      <c r="R334" s="24" t="str">
        <f>IFERROR(__xludf.DUMMYFUNCTION("IFERROR(
  LET(
    data, QUERY(GOOGLEFINANCE(C334,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GOOGLEFINANCE(C334, ""price"")) * 100,
    IF(calc=0, G334, calc)
  ), 
G334)"),"#N/A")</f>
        <v>#N/A</v>
      </c>
      <c r="S334" s="8" t="s">
        <v>15</v>
      </c>
      <c r="T334" s="26" t="str">
        <f>IFERROR(__xludf.DUMMYFUNCTION("IFERROR(TRANSPOSE(QUERY(IFERROR(SORT(GOOGLEFINANCE(C334, ""price"", WORKDAY(TODAY(), -40), TODAY()), 1, FALSE)), ""select Col2 where Col2 is not null limit 22 label Col2 ''"", 0)), """")"),"")</f>
        <v/>
      </c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8"/>
      <c r="AO334" s="28"/>
      <c r="AP334" s="29"/>
      <c r="AQ334" s="29" t="str">
        <f t="shared" ref="AQ334:BL334" si="337">T334/T$2</f>
        <v>#N/A</v>
      </c>
      <c r="AR334" s="29" t="str">
        <f t="shared" si="337"/>
        <v>#DIV/0!</v>
      </c>
      <c r="AS334" s="29" t="str">
        <f t="shared" si="337"/>
        <v>#DIV/0!</v>
      </c>
      <c r="AT334" s="29" t="str">
        <f t="shared" si="337"/>
        <v>#DIV/0!</v>
      </c>
      <c r="AU334" s="29" t="str">
        <f t="shared" si="337"/>
        <v>#DIV/0!</v>
      </c>
      <c r="AV334" s="29" t="str">
        <f t="shared" si="337"/>
        <v>#DIV/0!</v>
      </c>
      <c r="AW334" s="29" t="str">
        <f t="shared" si="337"/>
        <v>#DIV/0!</v>
      </c>
      <c r="AX334" s="29" t="str">
        <f t="shared" si="337"/>
        <v>#DIV/0!</v>
      </c>
      <c r="AY334" s="29" t="str">
        <f t="shared" si="337"/>
        <v>#DIV/0!</v>
      </c>
      <c r="AZ334" s="29" t="str">
        <f t="shared" si="337"/>
        <v>#DIV/0!</v>
      </c>
      <c r="BA334" s="29" t="str">
        <f t="shared" si="337"/>
        <v>#DIV/0!</v>
      </c>
      <c r="BB334" s="29" t="str">
        <f t="shared" si="337"/>
        <v>#DIV/0!</v>
      </c>
      <c r="BC334" s="29" t="str">
        <f t="shared" si="337"/>
        <v>#DIV/0!</v>
      </c>
      <c r="BD334" s="29" t="str">
        <f t="shared" si="337"/>
        <v>#DIV/0!</v>
      </c>
      <c r="BE334" s="29" t="str">
        <f t="shared" si="337"/>
        <v>#DIV/0!</v>
      </c>
      <c r="BF334" s="29" t="str">
        <f t="shared" si="337"/>
        <v>#DIV/0!</v>
      </c>
      <c r="BG334" s="29" t="str">
        <f t="shared" si="337"/>
        <v>#DIV/0!</v>
      </c>
      <c r="BH334" s="29" t="str">
        <f t="shared" si="337"/>
        <v>#DIV/0!</v>
      </c>
      <c r="BI334" s="29" t="str">
        <f t="shared" si="337"/>
        <v>#DIV/0!</v>
      </c>
      <c r="BJ334" s="29" t="str">
        <f t="shared" si="337"/>
        <v>#DIV/0!</v>
      </c>
      <c r="BK334" s="29" t="str">
        <f t="shared" si="337"/>
        <v>#DIV/0!</v>
      </c>
      <c r="BL334" s="29" t="str">
        <f t="shared" si="337"/>
        <v>#DIV/0!</v>
      </c>
      <c r="BM334" s="29" t="str">
        <f t="shared" si="3"/>
        <v>#DIV/0!</v>
      </c>
    </row>
    <row r="335">
      <c r="A335" s="16" t="str">
        <f>IFERROR(__xludf.DUMMYFUNCTION("IFERROR(SPARKLINE(SORT(MAP(TRANSPOSE(AQ335:BL335), LAMBDA(val, IF(ISNUMBER(val), PERCENTRANK(AQ335:BL335, val)+0.01, 0))), SEQUENCE(COLUMNS(AQ335:BL335)), FALSE), {""charttype"",""column""; ""color"",""chartreuse""; ""ymin"", 0; ""ymax"", 1.01; ""highcolo"&amp;"r"", ""darkgreen""; ""lowcolor"", ""red""}), """")"),"")</f>
        <v/>
      </c>
      <c r="B335" s="17" t="str">
        <f t="shared" si="4"/>
        <v/>
      </c>
      <c r="C335" s="1" t="s">
        <v>1373</v>
      </c>
      <c r="D335" s="30" t="str">
        <f>IFERROR(__xludf.DUMMYFUNCTION("IFERROR(GOOGLEFINANCE(C335, ""NAME""))"),"Figs Inc")</f>
        <v>Figs Inc</v>
      </c>
      <c r="E335" s="30" t="s">
        <v>317</v>
      </c>
      <c r="F335" s="33" t="str">
        <f>IFERROR(__xludf.DUMMYFUNCTION("( (GOOGLEFINANCE(C335, ""price"") - Q335) / Q335 ) / (R335 / 100)"),"Loading...")</f>
        <v>Loading...</v>
      </c>
      <c r="G335" s="20" t="str">
        <f>IFERROR(__xludf.DUMMYFUNCTION("AVERAGE(ARRAYFORMULA(100 * (QUERY(GOOGLEFINANCE(C335, ""high"", TODAY()-40, TODAY()), ""SELECT Col2 WHERE Col2 IS NOT NULL ORDER BY Col1 DESC LIMIT 20"", 0) / QUERY(GOOGLEFINANCE(C335, ""low"", TODAY()-40, TODAY()), ""SELECT Col2 WHERE Col2 IS NOT NULL OR"&amp;"DER BY Col1 DESC LIMIT 20"", 0) - 1)))"),"#N/A")</f>
        <v>#N/A</v>
      </c>
      <c r="H335" s="35" t="str">
        <f t="shared" si="6"/>
        <v/>
      </c>
      <c r="I335" s="35" t="str">
        <f t="shared" si="7"/>
        <v/>
      </c>
      <c r="J335" s="37" t="str">
        <f>IFERROR(__xludf.DUMMYFUNCTION("IFERROR(
  IF(C335="""",, 
    IFERROR(
      GOOGLEFINANCE(C335, ""price"") * GOOGLEFINANCE(C335, ""volumeavg""), 
      GOOGLEFINANCE(C335, ""price"") * AVERAGE(QUERY(GOOGLEFINANCE(C335, ""volume"", TODAY()-40, TODAY()), ""SELECT Col2 WHERE Col2 IS NOT "&amp;"NULL ORDER BY Col1 DESC LIMIT 20"", 0))
    )
  ), 
"""")"),"")</f>
        <v/>
      </c>
      <c r="K335" s="21" t="str">
        <f>IFERROR(__xludf.DUMMYFUNCTION("IFERROR(GOOGLEFINANCE(C335, ""changepct"") / 100, """")"),"")</f>
        <v/>
      </c>
      <c r="L335" s="21" t="str">
        <f>IFERROR(__xludf.DUMMYFUNCTION("IFERROR((GOOGLEFINANCE(C335, ""price"") / INDEX(GOOGLEFINANCE(C335, ""price"", TODAY()-7, TODAY()), 2, 2)) - 1, """")"),"")</f>
        <v/>
      </c>
      <c r="M335" s="21" t="str">
        <f>IFERROR(__xludf.DUMMYFUNCTION("IFERROR((GOOGLEFINANCE(C335, ""price"") / INDEX(GOOGLEFINANCE(C335, ""price"", EDATE(TODAY(), -1), TODAY()), 2, 2)) - 1, """")"),"")</f>
        <v/>
      </c>
      <c r="N335" s="21" t="str">
        <f>IFERROR(__xludf.DUMMYFUNCTION("IFERROR((GOOGLEFINANCE(C335, ""price"") / INDEX(GOOGLEFINANCE(C335, ""price"", EDATE(TODAY(), -3), TODAY()), 2, 2)) - 1, """")"),"")</f>
        <v/>
      </c>
      <c r="O335" s="21" t="str">
        <f>IFERROR(__xludf.DUMMYFUNCTION("IFERROR((GOOGLEFINANCE(C335, ""price"") / INDEX(GOOGLEFINANCE(C335, ""price"", EDATE(TODAY(), -6), TODAY()), 2, 2)) - 1, """")"),"")</f>
        <v/>
      </c>
      <c r="P335" s="21" t="str">
        <f>IFERROR(__xludf.DUMMYFUNCTION("IFERROR((GOOGLEFINANCE(C335, ""price"") / INDEX(GOOGLEFINANCE(C335, ""price"", EDATE(TODAY(), -12), TODAY()), 2, 2)) - 1, """")"),"")</f>
        <v/>
      </c>
      <c r="Q335" s="6" t="str">
        <f>IFERROR(__xludf.DUMMYFUNCTION("AVERAGE(QUERY(GOOGLEFINANCE(C335, ""price"", TODAY()-80, TODAY()), ""SELECT Col2 WHERE Col2 IS NOT NULL ORDER BY Col1 DESC LIMIT 50"", 0))"),"#N/A")</f>
        <v>#N/A</v>
      </c>
      <c r="R335" s="24" t="str">
        <f>IFERROR(__xludf.DUMMYFUNCTION("IFERROR(
  LET(
    data, QUERY(GOOGLEFINANCE(C335,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GOOGLEFINANCE(C335, ""price"")) * 100,
    IF(calc=0, G335, calc)
  ), 
G335)"),"#N/A")</f>
        <v>#N/A</v>
      </c>
      <c r="S335" s="8" t="s">
        <v>15</v>
      </c>
      <c r="T335" s="26" t="str">
        <f>IFERROR(__xludf.DUMMYFUNCTION("IFERROR(TRANSPOSE(QUERY(IFERROR(SORT(GOOGLEFINANCE(C335, ""price"", WORKDAY(TODAY(), -40), TODAY()), 1, FALSE)), ""select Col2 where Col2 is not null limit 22 label Col2 ''"", 0)), """")"),"")</f>
        <v/>
      </c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8"/>
      <c r="AO335" s="28"/>
      <c r="AP335" s="29"/>
      <c r="AQ335" s="29" t="str">
        <f t="shared" ref="AQ335:BL335" si="338">T335/T$2</f>
        <v>#N/A</v>
      </c>
      <c r="AR335" s="29" t="str">
        <f t="shared" si="338"/>
        <v>#DIV/0!</v>
      </c>
      <c r="AS335" s="29" t="str">
        <f t="shared" si="338"/>
        <v>#DIV/0!</v>
      </c>
      <c r="AT335" s="29" t="str">
        <f t="shared" si="338"/>
        <v>#DIV/0!</v>
      </c>
      <c r="AU335" s="29" t="str">
        <f t="shared" si="338"/>
        <v>#DIV/0!</v>
      </c>
      <c r="AV335" s="29" t="str">
        <f t="shared" si="338"/>
        <v>#DIV/0!</v>
      </c>
      <c r="AW335" s="29" t="str">
        <f t="shared" si="338"/>
        <v>#DIV/0!</v>
      </c>
      <c r="AX335" s="29" t="str">
        <f t="shared" si="338"/>
        <v>#DIV/0!</v>
      </c>
      <c r="AY335" s="29" t="str">
        <f t="shared" si="338"/>
        <v>#DIV/0!</v>
      </c>
      <c r="AZ335" s="29" t="str">
        <f t="shared" si="338"/>
        <v>#DIV/0!</v>
      </c>
      <c r="BA335" s="29" t="str">
        <f t="shared" si="338"/>
        <v>#DIV/0!</v>
      </c>
      <c r="BB335" s="29" t="str">
        <f t="shared" si="338"/>
        <v>#DIV/0!</v>
      </c>
      <c r="BC335" s="29" t="str">
        <f t="shared" si="338"/>
        <v>#DIV/0!</v>
      </c>
      <c r="BD335" s="29" t="str">
        <f t="shared" si="338"/>
        <v>#DIV/0!</v>
      </c>
      <c r="BE335" s="29" t="str">
        <f t="shared" si="338"/>
        <v>#DIV/0!</v>
      </c>
      <c r="BF335" s="29" t="str">
        <f t="shared" si="338"/>
        <v>#DIV/0!</v>
      </c>
      <c r="BG335" s="29" t="str">
        <f t="shared" si="338"/>
        <v>#DIV/0!</v>
      </c>
      <c r="BH335" s="29" t="str">
        <f t="shared" si="338"/>
        <v>#DIV/0!</v>
      </c>
      <c r="BI335" s="29" t="str">
        <f t="shared" si="338"/>
        <v>#DIV/0!</v>
      </c>
      <c r="BJ335" s="29" t="str">
        <f t="shared" si="338"/>
        <v>#DIV/0!</v>
      </c>
      <c r="BK335" s="29" t="str">
        <f t="shared" si="338"/>
        <v>#DIV/0!</v>
      </c>
      <c r="BL335" s="29" t="str">
        <f t="shared" si="338"/>
        <v>#DIV/0!</v>
      </c>
      <c r="BM335" s="29" t="str">
        <f t="shared" si="3"/>
        <v>#DIV/0!</v>
      </c>
    </row>
    <row r="336">
      <c r="A336" s="16" t="str">
        <f>IFERROR(__xludf.DUMMYFUNCTION("IFERROR(SPARKLINE(SORT(MAP(TRANSPOSE(AQ336:BL336), LAMBDA(val, IF(ISNUMBER(val), PERCENTRANK(AQ336:BL336, val)+0.01, 0))), SEQUENCE(COLUMNS(AQ336:BL336)), FALSE), {""charttype"",""column""; ""color"",""chartreuse""; ""ymin"", 0; ""ymax"", 1.01; ""highcolo"&amp;"r"", ""darkgreen""; ""lowcolor"", ""red""}), """")"),"")</f>
        <v/>
      </c>
      <c r="B336" s="17" t="str">
        <f t="shared" si="4"/>
        <v/>
      </c>
      <c r="C336" s="1" t="s">
        <v>1375</v>
      </c>
      <c r="D336" s="30" t="str">
        <f>IFERROR(__xludf.DUMMYFUNCTION("IFERROR(GOOGLEFINANCE(C336, ""NAME""))"),"Burlington Stores Inc")</f>
        <v>Burlington Stores Inc</v>
      </c>
      <c r="E336" s="30" t="s">
        <v>647</v>
      </c>
      <c r="F336" s="33" t="str">
        <f>IFERROR(__xludf.DUMMYFUNCTION("( (GOOGLEFINANCE(C336, ""price"") - Q336) / Q336 ) / (R336 / 100)"),"Loading...")</f>
        <v>Loading...</v>
      </c>
      <c r="G336" s="20" t="str">
        <f>IFERROR(__xludf.DUMMYFUNCTION("AVERAGE(ARRAYFORMULA(100 * (QUERY(GOOGLEFINANCE(C336, ""high"", TODAY()-40, TODAY()), ""SELECT Col2 WHERE Col2 IS NOT NULL ORDER BY Col1 DESC LIMIT 20"", 0) / QUERY(GOOGLEFINANCE(C336, ""low"", TODAY()-40, TODAY()), ""SELECT Col2 WHERE Col2 IS NOT NULL OR"&amp;"DER BY Col1 DESC LIMIT 20"", 0) - 1)))"),"#N/A")</f>
        <v>#N/A</v>
      </c>
      <c r="H336" s="35" t="str">
        <f t="shared" si="6"/>
        <v/>
      </c>
      <c r="I336" s="35" t="str">
        <f t="shared" si="7"/>
        <v/>
      </c>
      <c r="J336" s="37" t="str">
        <f>IFERROR(__xludf.DUMMYFUNCTION("IFERROR(
  IF(C336="""",, 
    IFERROR(
      GOOGLEFINANCE(C336, ""price"") * GOOGLEFINANCE(C336, ""volumeavg""), 
      GOOGLEFINANCE(C336, ""price"") * AVERAGE(QUERY(GOOGLEFINANCE(C336, ""volume"", TODAY()-40, TODAY()), ""SELECT Col2 WHERE Col2 IS NOT "&amp;"NULL ORDER BY Col1 DESC LIMIT 20"", 0))
    )
  ), 
"""")"),"")</f>
        <v/>
      </c>
      <c r="K336" s="21" t="str">
        <f>IFERROR(__xludf.DUMMYFUNCTION("IFERROR(GOOGLEFINANCE(C336, ""changepct"") / 100, """")"),"")</f>
        <v/>
      </c>
      <c r="L336" s="21" t="str">
        <f>IFERROR(__xludf.DUMMYFUNCTION("IFERROR((GOOGLEFINANCE(C336, ""price"") / INDEX(GOOGLEFINANCE(C336, ""price"", TODAY()-7, TODAY()), 2, 2)) - 1, """")"),"")</f>
        <v/>
      </c>
      <c r="M336" s="21" t="str">
        <f>IFERROR(__xludf.DUMMYFUNCTION("IFERROR((GOOGLEFINANCE(C336, ""price"") / INDEX(GOOGLEFINANCE(C336, ""price"", EDATE(TODAY(), -1), TODAY()), 2, 2)) - 1, """")"),"")</f>
        <v/>
      </c>
      <c r="N336" s="21" t="str">
        <f>IFERROR(__xludf.DUMMYFUNCTION("IFERROR((GOOGLEFINANCE(C336, ""price"") / INDEX(GOOGLEFINANCE(C336, ""price"", EDATE(TODAY(), -3), TODAY()), 2, 2)) - 1, """")"),"")</f>
        <v/>
      </c>
      <c r="O336" s="21" t="str">
        <f>IFERROR(__xludf.DUMMYFUNCTION("IFERROR((GOOGLEFINANCE(C336, ""price"") / INDEX(GOOGLEFINANCE(C336, ""price"", EDATE(TODAY(), -6), TODAY()), 2, 2)) - 1, """")"),"")</f>
        <v/>
      </c>
      <c r="P336" s="21" t="str">
        <f>IFERROR(__xludf.DUMMYFUNCTION("IFERROR((GOOGLEFINANCE(C336, ""price"") / INDEX(GOOGLEFINANCE(C336, ""price"", EDATE(TODAY(), -12), TODAY()), 2, 2)) - 1, """")"),"")</f>
        <v/>
      </c>
      <c r="Q336" s="6" t="str">
        <f>IFERROR(__xludf.DUMMYFUNCTION("AVERAGE(QUERY(GOOGLEFINANCE(C336, ""price"", TODAY()-80, TODAY()), ""SELECT Col2 WHERE Col2 IS NOT NULL ORDER BY Col1 DESC LIMIT 50"", 0))"),"#N/A")</f>
        <v>#N/A</v>
      </c>
      <c r="R336" s="24" t="str">
        <f>IFERROR(__xludf.DUMMYFUNCTION("IFERROR(
  LET(
    data, QUERY(GOOGLEFINANCE(C336,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GOOGLEFINANCE(C336, ""price"")) * 100,
    IF(calc=0, G336, calc)
  ), 
G336)"),"#N/A")</f>
        <v>#N/A</v>
      </c>
      <c r="S336" s="8" t="s">
        <v>15</v>
      </c>
      <c r="T336" s="26" t="str">
        <f>IFERROR(__xludf.DUMMYFUNCTION("IFERROR(TRANSPOSE(QUERY(IFERROR(SORT(GOOGLEFINANCE(C336, ""price"", WORKDAY(TODAY(), -40), TODAY()), 1, FALSE)), ""select Col2 where Col2 is not null limit 22 label Col2 ''"", 0)), """")"),"")</f>
        <v/>
      </c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8"/>
      <c r="AO336" s="28"/>
      <c r="AP336" s="29"/>
      <c r="AQ336" s="29" t="str">
        <f t="shared" ref="AQ336:BL336" si="339">T336/T$2</f>
        <v>#N/A</v>
      </c>
      <c r="AR336" s="29" t="str">
        <f t="shared" si="339"/>
        <v>#DIV/0!</v>
      </c>
      <c r="AS336" s="29" t="str">
        <f t="shared" si="339"/>
        <v>#DIV/0!</v>
      </c>
      <c r="AT336" s="29" t="str">
        <f t="shared" si="339"/>
        <v>#DIV/0!</v>
      </c>
      <c r="AU336" s="29" t="str">
        <f t="shared" si="339"/>
        <v>#DIV/0!</v>
      </c>
      <c r="AV336" s="29" t="str">
        <f t="shared" si="339"/>
        <v>#DIV/0!</v>
      </c>
      <c r="AW336" s="29" t="str">
        <f t="shared" si="339"/>
        <v>#DIV/0!</v>
      </c>
      <c r="AX336" s="29" t="str">
        <f t="shared" si="339"/>
        <v>#DIV/0!</v>
      </c>
      <c r="AY336" s="29" t="str">
        <f t="shared" si="339"/>
        <v>#DIV/0!</v>
      </c>
      <c r="AZ336" s="29" t="str">
        <f t="shared" si="339"/>
        <v>#DIV/0!</v>
      </c>
      <c r="BA336" s="29" t="str">
        <f t="shared" si="339"/>
        <v>#DIV/0!</v>
      </c>
      <c r="BB336" s="29" t="str">
        <f t="shared" si="339"/>
        <v>#DIV/0!</v>
      </c>
      <c r="BC336" s="29" t="str">
        <f t="shared" si="339"/>
        <v>#DIV/0!</v>
      </c>
      <c r="BD336" s="29" t="str">
        <f t="shared" si="339"/>
        <v>#DIV/0!</v>
      </c>
      <c r="BE336" s="29" t="str">
        <f t="shared" si="339"/>
        <v>#DIV/0!</v>
      </c>
      <c r="BF336" s="29" t="str">
        <f t="shared" si="339"/>
        <v>#DIV/0!</v>
      </c>
      <c r="BG336" s="29" t="str">
        <f t="shared" si="339"/>
        <v>#DIV/0!</v>
      </c>
      <c r="BH336" s="29" t="str">
        <f t="shared" si="339"/>
        <v>#DIV/0!</v>
      </c>
      <c r="BI336" s="29" t="str">
        <f t="shared" si="339"/>
        <v>#DIV/0!</v>
      </c>
      <c r="BJ336" s="29" t="str">
        <f t="shared" si="339"/>
        <v>#DIV/0!</v>
      </c>
      <c r="BK336" s="29" t="str">
        <f t="shared" si="339"/>
        <v>#DIV/0!</v>
      </c>
      <c r="BL336" s="29" t="str">
        <f t="shared" si="339"/>
        <v>#DIV/0!</v>
      </c>
      <c r="BM336" s="29" t="str">
        <f t="shared" si="3"/>
        <v>#DIV/0!</v>
      </c>
    </row>
    <row r="337">
      <c r="A337" s="16" t="str">
        <f>IFERROR(__xludf.DUMMYFUNCTION("IFERROR(SPARKLINE(SORT(MAP(TRANSPOSE(AQ337:BL337), LAMBDA(val, IF(ISNUMBER(val), PERCENTRANK(AQ337:BL337, val)+0.01, 0))), SEQUENCE(COLUMNS(AQ337:BL337)), FALSE), {""charttype"",""column""; ""color"",""chartreuse""; ""ymin"", 0; ""ymax"", 1.01; ""highcolo"&amp;"r"", ""darkgreen""; ""lowcolor"", ""red""}), """")"),"")</f>
        <v/>
      </c>
      <c r="B337" s="17" t="str">
        <f t="shared" si="4"/>
        <v/>
      </c>
      <c r="C337" s="1" t="s">
        <v>1379</v>
      </c>
      <c r="D337" s="30" t="str">
        <f>IFERROR(__xludf.DUMMYFUNCTION("IFERROR(GOOGLEFINANCE(C337, ""NAME""))"),"LiveWire Group Inc")</f>
        <v>LiveWire Group Inc</v>
      </c>
      <c r="E337" s="30" t="s">
        <v>129</v>
      </c>
      <c r="F337" s="33" t="str">
        <f>IFERROR(__xludf.DUMMYFUNCTION("( (GOOGLEFINANCE(C337, ""price"") - Q337) / Q337 ) / (R337 / 100)"),"Loading...")</f>
        <v>Loading...</v>
      </c>
      <c r="G337" s="20" t="str">
        <f>IFERROR(__xludf.DUMMYFUNCTION("AVERAGE(ARRAYFORMULA(100 * (QUERY(GOOGLEFINANCE(C337, ""high"", TODAY()-40, TODAY()), ""SELECT Col2 WHERE Col2 IS NOT NULL ORDER BY Col1 DESC LIMIT 20"", 0) / QUERY(GOOGLEFINANCE(C337, ""low"", TODAY()-40, TODAY()), ""SELECT Col2 WHERE Col2 IS NOT NULL OR"&amp;"DER BY Col1 DESC LIMIT 20"", 0) - 1)))"),"#N/A")</f>
        <v>#N/A</v>
      </c>
      <c r="H337" s="35" t="str">
        <f t="shared" si="6"/>
        <v/>
      </c>
      <c r="I337" s="35" t="str">
        <f t="shared" si="7"/>
        <v/>
      </c>
      <c r="J337" s="37" t="str">
        <f>IFERROR(__xludf.DUMMYFUNCTION("IFERROR(
  IF(C337="""",, 
    IFERROR(
      GOOGLEFINANCE(C337, ""price"") * GOOGLEFINANCE(C337, ""volumeavg""), 
      GOOGLEFINANCE(C337, ""price"") * AVERAGE(QUERY(GOOGLEFINANCE(C337, ""volume"", TODAY()-40, TODAY()), ""SELECT Col2 WHERE Col2 IS NOT "&amp;"NULL ORDER BY Col1 DESC LIMIT 20"", 0))
    )
  ), 
"""")"),"")</f>
        <v/>
      </c>
      <c r="K337" s="21" t="str">
        <f>IFERROR(__xludf.DUMMYFUNCTION("IFERROR(GOOGLEFINANCE(C337, ""changepct"") / 100, """")"),"")</f>
        <v/>
      </c>
      <c r="L337" s="21" t="str">
        <f>IFERROR(__xludf.DUMMYFUNCTION("IFERROR((GOOGLEFINANCE(C337, ""price"") / INDEX(GOOGLEFINANCE(C337, ""price"", TODAY()-7, TODAY()), 2, 2)) - 1, """")"),"")</f>
        <v/>
      </c>
      <c r="M337" s="21" t="str">
        <f>IFERROR(__xludf.DUMMYFUNCTION("IFERROR((GOOGLEFINANCE(C337, ""price"") / INDEX(GOOGLEFINANCE(C337, ""price"", EDATE(TODAY(), -1), TODAY()), 2, 2)) - 1, """")"),"")</f>
        <v/>
      </c>
      <c r="N337" s="21" t="str">
        <f>IFERROR(__xludf.DUMMYFUNCTION("IFERROR((GOOGLEFINANCE(C337, ""price"") / INDEX(GOOGLEFINANCE(C337, ""price"", EDATE(TODAY(), -3), TODAY()), 2, 2)) - 1, """")"),"")</f>
        <v/>
      </c>
      <c r="O337" s="21" t="str">
        <f>IFERROR(__xludf.DUMMYFUNCTION("IFERROR((GOOGLEFINANCE(C337, ""price"") / INDEX(GOOGLEFINANCE(C337, ""price"", EDATE(TODAY(), -6), TODAY()), 2, 2)) - 1, """")"),"")</f>
        <v/>
      </c>
      <c r="P337" s="21" t="str">
        <f>IFERROR(__xludf.DUMMYFUNCTION("IFERROR((GOOGLEFINANCE(C337, ""price"") / INDEX(GOOGLEFINANCE(C337, ""price"", EDATE(TODAY(), -12), TODAY()), 2, 2)) - 1, """")"),"")</f>
        <v/>
      </c>
      <c r="Q337" s="6" t="str">
        <f>IFERROR(__xludf.DUMMYFUNCTION("AVERAGE(QUERY(GOOGLEFINANCE(C337, ""price"", TODAY()-80, TODAY()), ""SELECT Col2 WHERE Col2 IS NOT NULL ORDER BY Col1 DESC LIMIT 50"", 0))"),"#N/A")</f>
        <v>#N/A</v>
      </c>
      <c r="R337" s="24" t="str">
        <f>IFERROR(__xludf.DUMMYFUNCTION("IFERROR(
  LET(
    data, QUERY(GOOGLEFINANCE(C337,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GOOGLEFINANCE(C337, ""price"")) * 100,
    IF(calc=0, G337, calc)
  ), 
G337)"),"#N/A")</f>
        <v>#N/A</v>
      </c>
      <c r="S337" s="8" t="s">
        <v>15</v>
      </c>
      <c r="T337" s="26" t="str">
        <f>IFERROR(__xludf.DUMMYFUNCTION("IFERROR(TRANSPOSE(QUERY(IFERROR(SORT(GOOGLEFINANCE(C337, ""price"", WORKDAY(TODAY(), -40), TODAY()), 1, FALSE)), ""select Col2 where Col2 is not null limit 22 label Col2 ''"", 0)), """")"),"")</f>
        <v/>
      </c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8"/>
      <c r="AO337" s="28"/>
      <c r="AP337" s="29"/>
      <c r="AQ337" s="29" t="str">
        <f t="shared" ref="AQ337:BL337" si="340">T337/T$2</f>
        <v>#N/A</v>
      </c>
      <c r="AR337" s="29" t="str">
        <f t="shared" si="340"/>
        <v>#DIV/0!</v>
      </c>
      <c r="AS337" s="29" t="str">
        <f t="shared" si="340"/>
        <v>#DIV/0!</v>
      </c>
      <c r="AT337" s="29" t="str">
        <f t="shared" si="340"/>
        <v>#DIV/0!</v>
      </c>
      <c r="AU337" s="29" t="str">
        <f t="shared" si="340"/>
        <v>#DIV/0!</v>
      </c>
      <c r="AV337" s="29" t="str">
        <f t="shared" si="340"/>
        <v>#DIV/0!</v>
      </c>
      <c r="AW337" s="29" t="str">
        <f t="shared" si="340"/>
        <v>#DIV/0!</v>
      </c>
      <c r="AX337" s="29" t="str">
        <f t="shared" si="340"/>
        <v>#DIV/0!</v>
      </c>
      <c r="AY337" s="29" t="str">
        <f t="shared" si="340"/>
        <v>#DIV/0!</v>
      </c>
      <c r="AZ337" s="29" t="str">
        <f t="shared" si="340"/>
        <v>#DIV/0!</v>
      </c>
      <c r="BA337" s="29" t="str">
        <f t="shared" si="340"/>
        <v>#DIV/0!</v>
      </c>
      <c r="BB337" s="29" t="str">
        <f t="shared" si="340"/>
        <v>#DIV/0!</v>
      </c>
      <c r="BC337" s="29" t="str">
        <f t="shared" si="340"/>
        <v>#DIV/0!</v>
      </c>
      <c r="BD337" s="29" t="str">
        <f t="shared" si="340"/>
        <v>#DIV/0!</v>
      </c>
      <c r="BE337" s="29" t="str">
        <f t="shared" si="340"/>
        <v>#DIV/0!</v>
      </c>
      <c r="BF337" s="29" t="str">
        <f t="shared" si="340"/>
        <v>#DIV/0!</v>
      </c>
      <c r="BG337" s="29" t="str">
        <f t="shared" si="340"/>
        <v>#DIV/0!</v>
      </c>
      <c r="BH337" s="29" t="str">
        <f t="shared" si="340"/>
        <v>#DIV/0!</v>
      </c>
      <c r="BI337" s="29" t="str">
        <f t="shared" si="340"/>
        <v>#DIV/0!</v>
      </c>
      <c r="BJ337" s="29" t="str">
        <f t="shared" si="340"/>
        <v>#DIV/0!</v>
      </c>
      <c r="BK337" s="29" t="str">
        <f t="shared" si="340"/>
        <v>#DIV/0!</v>
      </c>
      <c r="BL337" s="29" t="str">
        <f t="shared" si="340"/>
        <v>#DIV/0!</v>
      </c>
      <c r="BM337" s="29" t="str">
        <f t="shared" si="3"/>
        <v>#DIV/0!</v>
      </c>
    </row>
    <row r="338">
      <c r="A338" s="16" t="str">
        <f>IFERROR(__xludf.DUMMYFUNCTION("IFERROR(SPARKLINE(SORT(MAP(TRANSPOSE(AQ338:BL338), LAMBDA(val, IF(ISNUMBER(val), PERCENTRANK(AQ338:BL338, val)+0.01, 0))), SEQUENCE(COLUMNS(AQ338:BL338)), FALSE), {""charttype"",""column""; ""color"",""chartreuse""; ""ymin"", 0; ""ymax"", 1.01; ""highcolo"&amp;"r"", ""darkgreen""; ""lowcolor"", ""red""}), """")"),"")</f>
        <v/>
      </c>
      <c r="B338" s="17" t="str">
        <f t="shared" si="4"/>
        <v/>
      </c>
      <c r="C338" s="1" t="s">
        <v>1383</v>
      </c>
      <c r="D338" s="30" t="str">
        <f>IFERROR(__xludf.DUMMYFUNCTION("IFERROR(GOOGLEFINANCE(C338, ""NAME""))"),"Ethan Allen Interiors Inc")</f>
        <v>Ethan Allen Interiors Inc</v>
      </c>
      <c r="E338" s="30" t="s">
        <v>456</v>
      </c>
      <c r="F338" s="33" t="str">
        <f>IFERROR(__xludf.DUMMYFUNCTION("( (GOOGLEFINANCE(C338, ""price"") - Q338) / Q338 ) / (R338 / 100)"),"Loading...")</f>
        <v>Loading...</v>
      </c>
      <c r="G338" s="20" t="str">
        <f>IFERROR(__xludf.DUMMYFUNCTION("AVERAGE(ARRAYFORMULA(100 * (QUERY(GOOGLEFINANCE(C338, ""high"", TODAY()-40, TODAY()), ""SELECT Col2 WHERE Col2 IS NOT NULL ORDER BY Col1 DESC LIMIT 20"", 0) / QUERY(GOOGLEFINANCE(C338, ""low"", TODAY()-40, TODAY()), ""SELECT Col2 WHERE Col2 IS NOT NULL OR"&amp;"DER BY Col1 DESC LIMIT 20"", 0) - 1)))"),"#N/A")</f>
        <v>#N/A</v>
      </c>
      <c r="H338" s="35" t="str">
        <f t="shared" si="6"/>
        <v/>
      </c>
      <c r="I338" s="35" t="str">
        <f t="shared" si="7"/>
        <v/>
      </c>
      <c r="J338" s="37" t="str">
        <f>IFERROR(__xludf.DUMMYFUNCTION("IFERROR(
  IF(C338="""",, 
    IFERROR(
      GOOGLEFINANCE(C338, ""price"") * GOOGLEFINANCE(C338, ""volumeavg""), 
      GOOGLEFINANCE(C338, ""price"") * AVERAGE(QUERY(GOOGLEFINANCE(C338, ""volume"", TODAY()-40, TODAY()), ""SELECT Col2 WHERE Col2 IS NOT "&amp;"NULL ORDER BY Col1 DESC LIMIT 20"", 0))
    )
  ), 
"""")"),"")</f>
        <v/>
      </c>
      <c r="K338" s="21" t="str">
        <f>IFERROR(__xludf.DUMMYFUNCTION("IFERROR(GOOGLEFINANCE(C338, ""changepct"") / 100, """")"),"")</f>
        <v/>
      </c>
      <c r="L338" s="21" t="str">
        <f>IFERROR(__xludf.DUMMYFUNCTION("IFERROR((GOOGLEFINANCE(C338, ""price"") / INDEX(GOOGLEFINANCE(C338, ""price"", TODAY()-7, TODAY()), 2, 2)) - 1, """")"),"")</f>
        <v/>
      </c>
      <c r="M338" s="21" t="str">
        <f>IFERROR(__xludf.DUMMYFUNCTION("IFERROR((GOOGLEFINANCE(C338, ""price"") / INDEX(GOOGLEFINANCE(C338, ""price"", EDATE(TODAY(), -1), TODAY()), 2, 2)) - 1, """")"),"")</f>
        <v/>
      </c>
      <c r="N338" s="21" t="str">
        <f>IFERROR(__xludf.DUMMYFUNCTION("IFERROR((GOOGLEFINANCE(C338, ""price"") / INDEX(GOOGLEFINANCE(C338, ""price"", EDATE(TODAY(), -3), TODAY()), 2, 2)) - 1, """")"),"")</f>
        <v/>
      </c>
      <c r="O338" s="21" t="str">
        <f>IFERROR(__xludf.DUMMYFUNCTION("IFERROR((GOOGLEFINANCE(C338, ""price"") / INDEX(GOOGLEFINANCE(C338, ""price"", EDATE(TODAY(), -6), TODAY()), 2, 2)) - 1, """")"),"")</f>
        <v/>
      </c>
      <c r="P338" s="21" t="str">
        <f>IFERROR(__xludf.DUMMYFUNCTION("IFERROR((GOOGLEFINANCE(C338, ""price"") / INDEX(GOOGLEFINANCE(C338, ""price"", EDATE(TODAY(), -12), TODAY()), 2, 2)) - 1, """")"),"")</f>
        <v/>
      </c>
      <c r="Q338" s="6" t="str">
        <f>IFERROR(__xludf.DUMMYFUNCTION("AVERAGE(QUERY(GOOGLEFINANCE(C338, ""price"", TODAY()-80, TODAY()), ""SELECT Col2 WHERE Col2 IS NOT NULL ORDER BY Col1 DESC LIMIT 50"", 0))"),"#N/A")</f>
        <v>#N/A</v>
      </c>
      <c r="R338" s="24" t="str">
        <f>IFERROR(__xludf.DUMMYFUNCTION("IFERROR(
  LET(
    data, QUERY(GOOGLEFINANCE(C338,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GOOGLEFINANCE(C338, ""price"")) * 100,
    IF(calc=0, G338, calc)
  ), 
G338)"),"#N/A")</f>
        <v>#N/A</v>
      </c>
      <c r="S338" s="8" t="s">
        <v>15</v>
      </c>
      <c r="T338" s="26" t="str">
        <f>IFERROR(__xludf.DUMMYFUNCTION("IFERROR(TRANSPOSE(QUERY(IFERROR(SORT(GOOGLEFINANCE(C338, ""price"", WORKDAY(TODAY(), -40), TODAY()), 1, FALSE)), ""select Col2 where Col2 is not null limit 22 label Col2 ''"", 0)), """")"),"")</f>
        <v/>
      </c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8"/>
      <c r="AO338" s="28"/>
      <c r="AP338" s="29"/>
      <c r="AQ338" s="29" t="str">
        <f t="shared" ref="AQ338:BL338" si="341">T338/T$2</f>
        <v>#N/A</v>
      </c>
      <c r="AR338" s="29" t="str">
        <f t="shared" si="341"/>
        <v>#DIV/0!</v>
      </c>
      <c r="AS338" s="29" t="str">
        <f t="shared" si="341"/>
        <v>#DIV/0!</v>
      </c>
      <c r="AT338" s="29" t="str">
        <f t="shared" si="341"/>
        <v>#DIV/0!</v>
      </c>
      <c r="AU338" s="29" t="str">
        <f t="shared" si="341"/>
        <v>#DIV/0!</v>
      </c>
      <c r="AV338" s="29" t="str">
        <f t="shared" si="341"/>
        <v>#DIV/0!</v>
      </c>
      <c r="AW338" s="29" t="str">
        <f t="shared" si="341"/>
        <v>#DIV/0!</v>
      </c>
      <c r="AX338" s="29" t="str">
        <f t="shared" si="341"/>
        <v>#DIV/0!</v>
      </c>
      <c r="AY338" s="29" t="str">
        <f t="shared" si="341"/>
        <v>#DIV/0!</v>
      </c>
      <c r="AZ338" s="29" t="str">
        <f t="shared" si="341"/>
        <v>#DIV/0!</v>
      </c>
      <c r="BA338" s="29" t="str">
        <f t="shared" si="341"/>
        <v>#DIV/0!</v>
      </c>
      <c r="BB338" s="29" t="str">
        <f t="shared" si="341"/>
        <v>#DIV/0!</v>
      </c>
      <c r="BC338" s="29" t="str">
        <f t="shared" si="341"/>
        <v>#DIV/0!</v>
      </c>
      <c r="BD338" s="29" t="str">
        <f t="shared" si="341"/>
        <v>#DIV/0!</v>
      </c>
      <c r="BE338" s="29" t="str">
        <f t="shared" si="341"/>
        <v>#DIV/0!</v>
      </c>
      <c r="BF338" s="29" t="str">
        <f t="shared" si="341"/>
        <v>#DIV/0!</v>
      </c>
      <c r="BG338" s="29" t="str">
        <f t="shared" si="341"/>
        <v>#DIV/0!</v>
      </c>
      <c r="BH338" s="29" t="str">
        <f t="shared" si="341"/>
        <v>#DIV/0!</v>
      </c>
      <c r="BI338" s="29" t="str">
        <f t="shared" si="341"/>
        <v>#DIV/0!</v>
      </c>
      <c r="BJ338" s="29" t="str">
        <f t="shared" si="341"/>
        <v>#DIV/0!</v>
      </c>
      <c r="BK338" s="29" t="str">
        <f t="shared" si="341"/>
        <v>#DIV/0!</v>
      </c>
      <c r="BL338" s="29" t="str">
        <f t="shared" si="341"/>
        <v>#DIV/0!</v>
      </c>
      <c r="BM338" s="29" t="str">
        <f t="shared" si="3"/>
        <v>#DIV/0!</v>
      </c>
    </row>
    <row r="339">
      <c r="A339" s="16" t="str">
        <f>IFERROR(__xludf.DUMMYFUNCTION("IFERROR(SPARKLINE(SORT(MAP(TRANSPOSE(AQ339:BL339), LAMBDA(val, IF(ISNUMBER(val), PERCENTRANK(AQ339:BL339, val)+0.01, 0))), SEQUENCE(COLUMNS(AQ339:BL339)), FALSE), {""charttype"",""column""; ""color"",""chartreuse""; ""ymin"", 0; ""ymax"", 1.01; ""highcolo"&amp;"r"", ""darkgreen""; ""lowcolor"", ""red""}), """")"),"")</f>
        <v/>
      </c>
      <c r="B339" s="17" t="str">
        <f t="shared" si="4"/>
        <v/>
      </c>
      <c r="C339" s="1" t="s">
        <v>1387</v>
      </c>
      <c r="D339" s="30" t="str">
        <f>IFERROR(__xludf.DUMMYFUNCTION("IFERROR(GOOGLEFINANCE(C339, ""NAME""))"),"Newegg Commerce Inc")</f>
        <v>Newegg Commerce Inc</v>
      </c>
      <c r="E339" s="30" t="s">
        <v>137</v>
      </c>
      <c r="F339" s="33" t="str">
        <f>IFERROR(__xludf.DUMMYFUNCTION("( (GOOGLEFINANCE(C339, ""price"") - Q339) / Q339 ) / (R339 / 100)"),"Loading...")</f>
        <v>Loading...</v>
      </c>
      <c r="G339" s="20" t="str">
        <f>IFERROR(__xludf.DUMMYFUNCTION("AVERAGE(ARRAYFORMULA(100 * (QUERY(GOOGLEFINANCE(C339, ""high"", TODAY()-40, TODAY()), ""SELECT Col2 WHERE Col2 IS NOT NULL ORDER BY Col1 DESC LIMIT 20"", 0) / QUERY(GOOGLEFINANCE(C339, ""low"", TODAY()-40, TODAY()), ""SELECT Col2 WHERE Col2 IS NOT NULL OR"&amp;"DER BY Col1 DESC LIMIT 20"", 0) - 1)))"),"#N/A")</f>
        <v>#N/A</v>
      </c>
      <c r="H339" s="35" t="str">
        <f t="shared" si="6"/>
        <v/>
      </c>
      <c r="I339" s="35" t="str">
        <f t="shared" si="7"/>
        <v/>
      </c>
      <c r="J339" s="37" t="str">
        <f>IFERROR(__xludf.DUMMYFUNCTION("IFERROR(
  IF(C339="""",, 
    IFERROR(
      GOOGLEFINANCE(C339, ""price"") * GOOGLEFINANCE(C339, ""volumeavg""), 
      GOOGLEFINANCE(C339, ""price"") * AVERAGE(QUERY(GOOGLEFINANCE(C339, ""volume"", TODAY()-40, TODAY()), ""SELECT Col2 WHERE Col2 IS NOT "&amp;"NULL ORDER BY Col1 DESC LIMIT 20"", 0))
    )
  ), 
"""")"),"")</f>
        <v/>
      </c>
      <c r="K339" s="21" t="str">
        <f>IFERROR(__xludf.DUMMYFUNCTION("IFERROR(GOOGLEFINANCE(C339, ""changepct"") / 100, """")"),"")</f>
        <v/>
      </c>
      <c r="L339" s="21" t="str">
        <f>IFERROR(__xludf.DUMMYFUNCTION("IFERROR((GOOGLEFINANCE(C339, ""price"") / INDEX(GOOGLEFINANCE(C339, ""price"", TODAY()-7, TODAY()), 2, 2)) - 1, """")"),"")</f>
        <v/>
      </c>
      <c r="M339" s="21" t="str">
        <f>IFERROR(__xludf.DUMMYFUNCTION("IFERROR((GOOGLEFINANCE(C339, ""price"") / INDEX(GOOGLEFINANCE(C339, ""price"", EDATE(TODAY(), -1), TODAY()), 2, 2)) - 1, """")"),"")</f>
        <v/>
      </c>
      <c r="N339" s="21" t="str">
        <f>IFERROR(__xludf.DUMMYFUNCTION("IFERROR((GOOGLEFINANCE(C339, ""price"") / INDEX(GOOGLEFINANCE(C339, ""price"", EDATE(TODAY(), -3), TODAY()), 2, 2)) - 1, """")"),"")</f>
        <v/>
      </c>
      <c r="O339" s="21" t="str">
        <f>IFERROR(__xludf.DUMMYFUNCTION("IFERROR((GOOGLEFINANCE(C339, ""price"") / INDEX(GOOGLEFINANCE(C339, ""price"", EDATE(TODAY(), -6), TODAY()), 2, 2)) - 1, """")"),"")</f>
        <v/>
      </c>
      <c r="P339" s="21" t="str">
        <f>IFERROR(__xludf.DUMMYFUNCTION("IFERROR((GOOGLEFINANCE(C339, ""price"") / INDEX(GOOGLEFINANCE(C339, ""price"", EDATE(TODAY(), -12), TODAY()), 2, 2)) - 1, """")"),"")</f>
        <v/>
      </c>
      <c r="Q339" s="6" t="str">
        <f>IFERROR(__xludf.DUMMYFUNCTION("AVERAGE(QUERY(GOOGLEFINANCE(C339, ""price"", TODAY()-80, TODAY()), ""SELECT Col2 WHERE Col2 IS NOT NULL ORDER BY Col1 DESC LIMIT 50"", 0))"),"#N/A")</f>
        <v>#N/A</v>
      </c>
      <c r="R339" s="24" t="str">
        <f>IFERROR(__xludf.DUMMYFUNCTION("IFERROR(
  LET(
    data, QUERY(GOOGLEFINANCE(C339,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GOOGLEFINANCE(C339, ""price"")) * 100,
    IF(calc=0, G339, calc)
  ), 
G339)"),"#N/A")</f>
        <v>#N/A</v>
      </c>
      <c r="S339" s="8" t="s">
        <v>15</v>
      </c>
      <c r="T339" s="26" t="str">
        <f>IFERROR(__xludf.DUMMYFUNCTION("IFERROR(TRANSPOSE(QUERY(IFERROR(SORT(GOOGLEFINANCE(C339, ""price"", WORKDAY(TODAY(), -40), TODAY()), 1, FALSE)), ""select Col2 where Col2 is not null limit 22 label Col2 ''"", 0)), """")"),"")</f>
        <v/>
      </c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8"/>
      <c r="AO339" s="28"/>
      <c r="AP339" s="29"/>
      <c r="AQ339" s="29" t="str">
        <f t="shared" ref="AQ339:BL339" si="342">T339/T$2</f>
        <v>#N/A</v>
      </c>
      <c r="AR339" s="29" t="str">
        <f t="shared" si="342"/>
        <v>#DIV/0!</v>
      </c>
      <c r="AS339" s="29" t="str">
        <f t="shared" si="342"/>
        <v>#DIV/0!</v>
      </c>
      <c r="AT339" s="29" t="str">
        <f t="shared" si="342"/>
        <v>#DIV/0!</v>
      </c>
      <c r="AU339" s="29" t="str">
        <f t="shared" si="342"/>
        <v>#DIV/0!</v>
      </c>
      <c r="AV339" s="29" t="str">
        <f t="shared" si="342"/>
        <v>#DIV/0!</v>
      </c>
      <c r="AW339" s="29" t="str">
        <f t="shared" si="342"/>
        <v>#DIV/0!</v>
      </c>
      <c r="AX339" s="29" t="str">
        <f t="shared" si="342"/>
        <v>#DIV/0!</v>
      </c>
      <c r="AY339" s="29" t="str">
        <f t="shared" si="342"/>
        <v>#DIV/0!</v>
      </c>
      <c r="AZ339" s="29" t="str">
        <f t="shared" si="342"/>
        <v>#DIV/0!</v>
      </c>
      <c r="BA339" s="29" t="str">
        <f t="shared" si="342"/>
        <v>#DIV/0!</v>
      </c>
      <c r="BB339" s="29" t="str">
        <f t="shared" si="342"/>
        <v>#DIV/0!</v>
      </c>
      <c r="BC339" s="29" t="str">
        <f t="shared" si="342"/>
        <v>#DIV/0!</v>
      </c>
      <c r="BD339" s="29" t="str">
        <f t="shared" si="342"/>
        <v>#DIV/0!</v>
      </c>
      <c r="BE339" s="29" t="str">
        <f t="shared" si="342"/>
        <v>#DIV/0!</v>
      </c>
      <c r="BF339" s="29" t="str">
        <f t="shared" si="342"/>
        <v>#DIV/0!</v>
      </c>
      <c r="BG339" s="29" t="str">
        <f t="shared" si="342"/>
        <v>#DIV/0!</v>
      </c>
      <c r="BH339" s="29" t="str">
        <f t="shared" si="342"/>
        <v>#DIV/0!</v>
      </c>
      <c r="BI339" s="29" t="str">
        <f t="shared" si="342"/>
        <v>#DIV/0!</v>
      </c>
      <c r="BJ339" s="29" t="str">
        <f t="shared" si="342"/>
        <v>#DIV/0!</v>
      </c>
      <c r="BK339" s="29" t="str">
        <f t="shared" si="342"/>
        <v>#DIV/0!</v>
      </c>
      <c r="BL339" s="29" t="str">
        <f t="shared" si="342"/>
        <v>#DIV/0!</v>
      </c>
      <c r="BM339" s="29" t="str">
        <f t="shared" si="3"/>
        <v>#DIV/0!</v>
      </c>
    </row>
    <row r="340">
      <c r="A340" s="16" t="str">
        <f>IFERROR(__xludf.DUMMYFUNCTION("IFERROR(SPARKLINE(SORT(MAP(TRANSPOSE(AQ340:BL340), LAMBDA(val, IF(ISNUMBER(val), PERCENTRANK(AQ340:BL340, val)+0.01, 0))), SEQUENCE(COLUMNS(AQ340:BL340)), FALSE), {""charttype"",""column""; ""color"",""chartreuse""; ""ymin"", 0; ""ymax"", 1.01; ""highcolo"&amp;"r"", ""darkgreen""; ""lowcolor"", ""red""}), """")"),"")</f>
        <v/>
      </c>
      <c r="B340" s="17" t="str">
        <f t="shared" si="4"/>
        <v/>
      </c>
      <c r="C340" s="1" t="s">
        <v>1390</v>
      </c>
      <c r="D340" s="30" t="str">
        <f>IFERROR(__xludf.DUMMYFUNCTION("IFERROR(GOOGLEFINANCE(C340, ""NAME""))"),"Black Rock Coffee Bar Inc")</f>
        <v>Black Rock Coffee Bar Inc</v>
      </c>
      <c r="E340" s="30" t="s">
        <v>126</v>
      </c>
      <c r="F340" s="33" t="str">
        <f>IFERROR(__xludf.DUMMYFUNCTION("( (GOOGLEFINANCE(C340, ""price"") - Q340) / Q340 ) / (R340 / 100)"),"Loading...")</f>
        <v>Loading...</v>
      </c>
      <c r="G340" s="20" t="str">
        <f>IFERROR(__xludf.DUMMYFUNCTION("AVERAGE(ARRAYFORMULA(100 * (QUERY(GOOGLEFINANCE(C340, ""high"", TODAY()-40, TODAY()), ""SELECT Col2 WHERE Col2 IS NOT NULL ORDER BY Col1 DESC LIMIT 20"", 0) / QUERY(GOOGLEFINANCE(C340, ""low"", TODAY()-40, TODAY()), ""SELECT Col2 WHERE Col2 IS NOT NULL OR"&amp;"DER BY Col1 DESC LIMIT 20"", 0) - 1)))"),"#N/A")</f>
        <v>#N/A</v>
      </c>
      <c r="H340" s="35" t="str">
        <f t="shared" si="6"/>
        <v/>
      </c>
      <c r="I340" s="35" t="str">
        <f t="shared" si="7"/>
        <v/>
      </c>
      <c r="J340" s="37" t="str">
        <f>IFERROR(__xludf.DUMMYFUNCTION("IFERROR(
  IF(C340="""",, 
    IFERROR(
      GOOGLEFINANCE(C340, ""price"") * GOOGLEFINANCE(C340, ""volumeavg""), 
      GOOGLEFINANCE(C340, ""price"") * AVERAGE(QUERY(GOOGLEFINANCE(C340, ""volume"", TODAY()-40, TODAY()), ""SELECT Col2 WHERE Col2 IS NOT "&amp;"NULL ORDER BY Col1 DESC LIMIT 20"", 0))
    )
  ), 
"""")"),"")</f>
        <v/>
      </c>
      <c r="K340" s="21" t="str">
        <f>IFERROR(__xludf.DUMMYFUNCTION("IFERROR(GOOGLEFINANCE(C340, ""changepct"") / 100, """")"),"")</f>
        <v/>
      </c>
      <c r="L340" s="21" t="str">
        <f>IFERROR(__xludf.DUMMYFUNCTION("IFERROR((GOOGLEFINANCE(C340, ""price"") / INDEX(GOOGLEFINANCE(C340, ""price"", TODAY()-7, TODAY()), 2, 2)) - 1, """")"),"")</f>
        <v/>
      </c>
      <c r="M340" s="21" t="str">
        <f>IFERROR(__xludf.DUMMYFUNCTION("IFERROR((GOOGLEFINANCE(C340, ""price"") / INDEX(GOOGLEFINANCE(C340, ""price"", EDATE(TODAY(), -1), TODAY()), 2, 2)) - 1, """")"),"")</f>
        <v/>
      </c>
      <c r="N340" s="21" t="str">
        <f>IFERROR(__xludf.DUMMYFUNCTION("IFERROR((GOOGLEFINANCE(C340, ""price"") / INDEX(GOOGLEFINANCE(C340, ""price"", EDATE(TODAY(), -3), TODAY()), 2, 2)) - 1, """")"),"")</f>
        <v/>
      </c>
      <c r="O340" s="21" t="str">
        <f>IFERROR(__xludf.DUMMYFUNCTION("IFERROR((GOOGLEFINANCE(C340, ""price"") / INDEX(GOOGLEFINANCE(C340, ""price"", EDATE(TODAY(), -6), TODAY()), 2, 2)) - 1, """")"),"")</f>
        <v/>
      </c>
      <c r="P340" s="21" t="str">
        <f>IFERROR(__xludf.DUMMYFUNCTION("IFERROR((GOOGLEFINANCE(C340, ""price"") / INDEX(GOOGLEFINANCE(C340, ""price"", EDATE(TODAY(), -12), TODAY()), 2, 2)) - 1, """")"),"")</f>
        <v/>
      </c>
      <c r="Q340" s="6" t="str">
        <f>IFERROR(__xludf.DUMMYFUNCTION("AVERAGE(QUERY(GOOGLEFINANCE(C340, ""price"", TODAY()-80, TODAY()), ""SELECT Col2 WHERE Col2 IS NOT NULL ORDER BY Col1 DESC LIMIT 50"", 0))"),"#N/A")</f>
        <v>#N/A</v>
      </c>
      <c r="R340" s="24" t="str">
        <f>IFERROR(__xludf.DUMMYFUNCTION("IFERROR(
  LET(
    data, QUERY(GOOGLEFINANCE(C340,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GOOGLEFINANCE(C340, ""price"")) * 100,
    IF(calc=0, G340, calc)
  ), 
G340)"),"#N/A")</f>
        <v>#N/A</v>
      </c>
      <c r="S340" s="8" t="s">
        <v>15</v>
      </c>
      <c r="T340" s="26" t="str">
        <f>IFERROR(__xludf.DUMMYFUNCTION("IFERROR(TRANSPOSE(QUERY(IFERROR(SORT(GOOGLEFINANCE(C340, ""price"", WORKDAY(TODAY(), -40), TODAY()), 1, FALSE)), ""select Col2 where Col2 is not null limit 22 label Col2 ''"", 0)), """")"),"")</f>
        <v/>
      </c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8"/>
      <c r="AO340" s="28"/>
      <c r="AP340" s="29"/>
      <c r="AQ340" s="29" t="str">
        <f t="shared" ref="AQ340:BL340" si="343">T340/T$2</f>
        <v>#N/A</v>
      </c>
      <c r="AR340" s="29" t="str">
        <f t="shared" si="343"/>
        <v>#DIV/0!</v>
      </c>
      <c r="AS340" s="29" t="str">
        <f t="shared" si="343"/>
        <v>#DIV/0!</v>
      </c>
      <c r="AT340" s="29" t="str">
        <f t="shared" si="343"/>
        <v>#DIV/0!</v>
      </c>
      <c r="AU340" s="29" t="str">
        <f t="shared" si="343"/>
        <v>#DIV/0!</v>
      </c>
      <c r="AV340" s="29" t="str">
        <f t="shared" si="343"/>
        <v>#DIV/0!</v>
      </c>
      <c r="AW340" s="29" t="str">
        <f t="shared" si="343"/>
        <v>#DIV/0!</v>
      </c>
      <c r="AX340" s="29" t="str">
        <f t="shared" si="343"/>
        <v>#DIV/0!</v>
      </c>
      <c r="AY340" s="29" t="str">
        <f t="shared" si="343"/>
        <v>#DIV/0!</v>
      </c>
      <c r="AZ340" s="29" t="str">
        <f t="shared" si="343"/>
        <v>#DIV/0!</v>
      </c>
      <c r="BA340" s="29" t="str">
        <f t="shared" si="343"/>
        <v>#DIV/0!</v>
      </c>
      <c r="BB340" s="29" t="str">
        <f t="shared" si="343"/>
        <v>#DIV/0!</v>
      </c>
      <c r="BC340" s="29" t="str">
        <f t="shared" si="343"/>
        <v>#DIV/0!</v>
      </c>
      <c r="BD340" s="29" t="str">
        <f t="shared" si="343"/>
        <v>#DIV/0!</v>
      </c>
      <c r="BE340" s="29" t="str">
        <f t="shared" si="343"/>
        <v>#DIV/0!</v>
      </c>
      <c r="BF340" s="29" t="str">
        <f t="shared" si="343"/>
        <v>#DIV/0!</v>
      </c>
      <c r="BG340" s="29" t="str">
        <f t="shared" si="343"/>
        <v>#DIV/0!</v>
      </c>
      <c r="BH340" s="29" t="str">
        <f t="shared" si="343"/>
        <v>#DIV/0!</v>
      </c>
      <c r="BI340" s="29" t="str">
        <f t="shared" si="343"/>
        <v>#DIV/0!</v>
      </c>
      <c r="BJ340" s="29" t="str">
        <f t="shared" si="343"/>
        <v>#DIV/0!</v>
      </c>
      <c r="BK340" s="29" t="str">
        <f t="shared" si="343"/>
        <v>#DIV/0!</v>
      </c>
      <c r="BL340" s="29" t="str">
        <f t="shared" si="343"/>
        <v>#DIV/0!</v>
      </c>
      <c r="BM340" s="29" t="str">
        <f t="shared" si="3"/>
        <v>#DIV/0!</v>
      </c>
    </row>
    <row r="341">
      <c r="A341" s="16" t="str">
        <f>IFERROR(__xludf.DUMMYFUNCTION("IFERROR(SPARKLINE(SORT(MAP(TRANSPOSE(AQ341:BL341), LAMBDA(val, IF(ISNUMBER(val), PERCENTRANK(AQ341:BL341, val)+0.01, 0))), SEQUENCE(COLUMNS(AQ341:BL341)), FALSE), {""charttype"",""column""; ""color"",""chartreuse""; ""ymin"", 0; ""ymax"", 1.01; ""highcolo"&amp;"r"", ""darkgreen""; ""lowcolor"", ""red""}), """")"),"")</f>
        <v/>
      </c>
      <c r="B341" s="17" t="str">
        <f t="shared" si="4"/>
        <v/>
      </c>
      <c r="C341" s="1" t="s">
        <v>1393</v>
      </c>
      <c r="D341" s="30" t="str">
        <f>IFERROR(__xludf.DUMMYFUNCTION("IFERROR(GOOGLEFINANCE(C341, ""NAME""))"),"Ulta Beauty Inc")</f>
        <v>Ulta Beauty Inc</v>
      </c>
      <c r="E341" s="30" t="s">
        <v>184</v>
      </c>
      <c r="F341" s="38" t="str">
        <f>IFERROR(__xludf.DUMMYFUNCTION("( (GOOGLEFINANCE(C341, ""price"") - Q341) / Q341 ) / (R341 / 100)"),"Loading...")</f>
        <v>Loading...</v>
      </c>
      <c r="G341" s="20" t="str">
        <f>IFERROR(__xludf.DUMMYFUNCTION("AVERAGE(ARRAYFORMULA(100 * (QUERY(GOOGLEFINANCE(C341, ""high"", TODAY()-40, TODAY()), ""SELECT Col2 WHERE Col2 IS NOT NULL ORDER BY Col1 DESC LIMIT 20"", 0) / QUERY(GOOGLEFINANCE(C341, ""low"", TODAY()-40, TODAY()), ""SELECT Col2 WHERE Col2 IS NOT NULL OR"&amp;"DER BY Col1 DESC LIMIT 20"", 0) - 1)))"),"#N/A")</f>
        <v>#N/A</v>
      </c>
      <c r="H341" s="35" t="str">
        <f t="shared" si="6"/>
        <v/>
      </c>
      <c r="I341" s="35" t="str">
        <f t="shared" si="7"/>
        <v/>
      </c>
      <c r="J341" s="37" t="str">
        <f>IFERROR(__xludf.DUMMYFUNCTION("IFERROR(
  IF(C341="""",, 
    IFERROR(
      GOOGLEFINANCE(C341, ""price"") * GOOGLEFINANCE(C341, ""volumeavg""), 
      GOOGLEFINANCE(C341, ""price"") * AVERAGE(QUERY(GOOGLEFINANCE(C341, ""volume"", TODAY()-40, TODAY()), ""SELECT Col2 WHERE Col2 IS NOT "&amp;"NULL ORDER BY Col1 DESC LIMIT 20"", 0))
    )
  ), 
"""")"),"")</f>
        <v/>
      </c>
      <c r="K341" s="21" t="str">
        <f>IFERROR(__xludf.DUMMYFUNCTION("IFERROR(GOOGLEFINANCE(C341, ""changepct"") / 100, """")"),"")</f>
        <v/>
      </c>
      <c r="L341" s="21" t="str">
        <f>IFERROR(__xludf.DUMMYFUNCTION("IFERROR((GOOGLEFINANCE(C341, ""price"") / INDEX(GOOGLEFINANCE(C341, ""price"", TODAY()-7, TODAY()), 2, 2)) - 1, """")"),"")</f>
        <v/>
      </c>
      <c r="M341" s="21" t="str">
        <f>IFERROR(__xludf.DUMMYFUNCTION("IFERROR((GOOGLEFINANCE(C341, ""price"") / INDEX(GOOGLEFINANCE(C341, ""price"", EDATE(TODAY(), -1), TODAY()), 2, 2)) - 1, """")"),"")</f>
        <v/>
      </c>
      <c r="N341" s="21" t="str">
        <f>IFERROR(__xludf.DUMMYFUNCTION("IFERROR((GOOGLEFINANCE(C341, ""price"") / INDEX(GOOGLEFINANCE(C341, ""price"", EDATE(TODAY(), -3), TODAY()), 2, 2)) - 1, """")"),"")</f>
        <v/>
      </c>
      <c r="O341" s="21" t="str">
        <f>IFERROR(__xludf.DUMMYFUNCTION("IFERROR((GOOGLEFINANCE(C341, ""price"") / INDEX(GOOGLEFINANCE(C341, ""price"", EDATE(TODAY(), -6), TODAY()), 2, 2)) - 1, """")"),"")</f>
        <v/>
      </c>
      <c r="P341" s="21" t="str">
        <f>IFERROR(__xludf.DUMMYFUNCTION("IFERROR((GOOGLEFINANCE(C341, ""price"") / INDEX(GOOGLEFINANCE(C341, ""price"", EDATE(TODAY(), -12), TODAY()), 2, 2)) - 1, """")"),"")</f>
        <v/>
      </c>
      <c r="Q341" s="6" t="str">
        <f>IFERROR(__xludf.DUMMYFUNCTION("AVERAGE(QUERY(GOOGLEFINANCE(C341, ""price"", TODAY()-80, TODAY()), ""SELECT Col2 WHERE Col2 IS NOT NULL ORDER BY Col1 DESC LIMIT 50"", 0))"),"#N/A")</f>
        <v>#N/A</v>
      </c>
      <c r="R341" s="24" t="str">
        <f>IFERROR(__xludf.DUMMYFUNCTION("IFERROR(
  LET(
    data, QUERY(GOOGLEFINANCE(C341,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GOOGLEFINANCE(C341, ""price"")) * 100,
    IF(calc=0, G341, calc)
  ), 
G341)"),"#N/A")</f>
        <v>#N/A</v>
      </c>
      <c r="S341" s="8" t="s">
        <v>15</v>
      </c>
      <c r="T341" s="26" t="str">
        <f>IFERROR(__xludf.DUMMYFUNCTION("IFERROR(TRANSPOSE(QUERY(IFERROR(SORT(GOOGLEFINANCE(C341, ""price"", WORKDAY(TODAY(), -40), TODAY()), 1, FALSE)), ""select Col2 where Col2 is not null limit 22 label Col2 ''"", 0)), """")"),"")</f>
        <v/>
      </c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8"/>
      <c r="AO341" s="28"/>
      <c r="AP341" s="29"/>
      <c r="AQ341" s="29" t="str">
        <f t="shared" ref="AQ341:BL341" si="344">T341/T$2</f>
        <v>#N/A</v>
      </c>
      <c r="AR341" s="29" t="str">
        <f t="shared" si="344"/>
        <v>#DIV/0!</v>
      </c>
      <c r="AS341" s="29" t="str">
        <f t="shared" si="344"/>
        <v>#DIV/0!</v>
      </c>
      <c r="AT341" s="29" t="str">
        <f t="shared" si="344"/>
        <v>#DIV/0!</v>
      </c>
      <c r="AU341" s="29" t="str">
        <f t="shared" si="344"/>
        <v>#DIV/0!</v>
      </c>
      <c r="AV341" s="29" t="str">
        <f t="shared" si="344"/>
        <v>#DIV/0!</v>
      </c>
      <c r="AW341" s="29" t="str">
        <f t="shared" si="344"/>
        <v>#DIV/0!</v>
      </c>
      <c r="AX341" s="29" t="str">
        <f t="shared" si="344"/>
        <v>#DIV/0!</v>
      </c>
      <c r="AY341" s="29" t="str">
        <f t="shared" si="344"/>
        <v>#DIV/0!</v>
      </c>
      <c r="AZ341" s="29" t="str">
        <f t="shared" si="344"/>
        <v>#DIV/0!</v>
      </c>
      <c r="BA341" s="29" t="str">
        <f t="shared" si="344"/>
        <v>#DIV/0!</v>
      </c>
      <c r="BB341" s="29" t="str">
        <f t="shared" si="344"/>
        <v>#DIV/0!</v>
      </c>
      <c r="BC341" s="29" t="str">
        <f t="shared" si="344"/>
        <v>#DIV/0!</v>
      </c>
      <c r="BD341" s="29" t="str">
        <f t="shared" si="344"/>
        <v>#DIV/0!</v>
      </c>
      <c r="BE341" s="29" t="str">
        <f t="shared" si="344"/>
        <v>#DIV/0!</v>
      </c>
      <c r="BF341" s="29" t="str">
        <f t="shared" si="344"/>
        <v>#DIV/0!</v>
      </c>
      <c r="BG341" s="29" t="str">
        <f t="shared" si="344"/>
        <v>#DIV/0!</v>
      </c>
      <c r="BH341" s="29" t="str">
        <f t="shared" si="344"/>
        <v>#DIV/0!</v>
      </c>
      <c r="BI341" s="29" t="str">
        <f t="shared" si="344"/>
        <v>#DIV/0!</v>
      </c>
      <c r="BJ341" s="29" t="str">
        <f t="shared" si="344"/>
        <v>#DIV/0!</v>
      </c>
      <c r="BK341" s="29" t="str">
        <f t="shared" si="344"/>
        <v>#DIV/0!</v>
      </c>
      <c r="BL341" s="29" t="str">
        <f t="shared" si="344"/>
        <v>#DIV/0!</v>
      </c>
      <c r="BM341" s="29" t="str">
        <f t="shared" si="3"/>
        <v>#DIV/0!</v>
      </c>
    </row>
    <row r="342">
      <c r="A342" s="16" t="str">
        <f>IFERROR(__xludf.DUMMYFUNCTION("IFERROR(SPARKLINE(SORT(MAP(TRANSPOSE(AQ342:BL342), LAMBDA(val, IF(ISNUMBER(val), PERCENTRANK(AQ342:BL342, val)+0.01, 0))), SEQUENCE(COLUMNS(AQ342:BL342)), FALSE), {""charttype"",""column""; ""color"",""chartreuse""; ""ymin"", 0; ""ymax"", 1.01; ""highcolo"&amp;"r"", ""darkgreen""; ""lowcolor"", ""red""}), """")"),"")</f>
        <v/>
      </c>
      <c r="B342" s="17" t="str">
        <f t="shared" si="4"/>
        <v/>
      </c>
      <c r="C342" s="1" t="s">
        <v>1396</v>
      </c>
      <c r="D342" s="30" t="str">
        <f>IFERROR(__xludf.DUMMYFUNCTION("IFERROR(GOOGLEFINANCE(C342, ""NAME""))"),"Betterware de Mexico SAPI de CV")</f>
        <v>Betterware de Mexico SAPI de CV</v>
      </c>
      <c r="E342" s="30" t="s">
        <v>184</v>
      </c>
      <c r="F342" s="33" t="str">
        <f>IFERROR(__xludf.DUMMYFUNCTION("( (GOOGLEFINANCE(C342, ""price"") - Q342) / Q342 ) / (R342 / 100)"),"Loading...")</f>
        <v>Loading...</v>
      </c>
      <c r="G342" s="20" t="str">
        <f>IFERROR(__xludf.DUMMYFUNCTION("AVERAGE(ARRAYFORMULA(100 * (QUERY(GOOGLEFINANCE(C342, ""high"", TODAY()-40, TODAY()), ""SELECT Col2 WHERE Col2 IS NOT NULL ORDER BY Col1 DESC LIMIT 20"", 0) / QUERY(GOOGLEFINANCE(C342, ""low"", TODAY()-40, TODAY()), ""SELECT Col2 WHERE Col2 IS NOT NULL OR"&amp;"DER BY Col1 DESC LIMIT 20"", 0) - 1)))"),"#N/A")</f>
        <v>#N/A</v>
      </c>
      <c r="H342" s="35" t="str">
        <f t="shared" si="6"/>
        <v/>
      </c>
      <c r="I342" s="35" t="str">
        <f t="shared" si="7"/>
        <v/>
      </c>
      <c r="J342" s="37" t="str">
        <f>IFERROR(__xludf.DUMMYFUNCTION("IFERROR(
  IF(C342="""",, 
    IFERROR(
      GOOGLEFINANCE(C342, ""price"") * GOOGLEFINANCE(C342, ""volumeavg""), 
      GOOGLEFINANCE(C342, ""price"") * AVERAGE(QUERY(GOOGLEFINANCE(C342, ""volume"", TODAY()-40, TODAY()), ""SELECT Col2 WHERE Col2 IS NOT "&amp;"NULL ORDER BY Col1 DESC LIMIT 20"", 0))
    )
  ), 
"""")"),"")</f>
        <v/>
      </c>
      <c r="K342" s="21" t="str">
        <f>IFERROR(__xludf.DUMMYFUNCTION("IFERROR(GOOGLEFINANCE(C342, ""changepct"") / 100, """")"),"")</f>
        <v/>
      </c>
      <c r="L342" s="21" t="str">
        <f>IFERROR(__xludf.DUMMYFUNCTION("IFERROR((GOOGLEFINANCE(C342, ""price"") / INDEX(GOOGLEFINANCE(C342, ""price"", TODAY()-7, TODAY()), 2, 2)) - 1, """")"),"")</f>
        <v/>
      </c>
      <c r="M342" s="21" t="str">
        <f>IFERROR(__xludf.DUMMYFUNCTION("IFERROR((GOOGLEFINANCE(C342, ""price"") / INDEX(GOOGLEFINANCE(C342, ""price"", EDATE(TODAY(), -1), TODAY()), 2, 2)) - 1, """")"),"")</f>
        <v/>
      </c>
      <c r="N342" s="21" t="str">
        <f>IFERROR(__xludf.DUMMYFUNCTION("IFERROR((GOOGLEFINANCE(C342, ""price"") / INDEX(GOOGLEFINANCE(C342, ""price"", EDATE(TODAY(), -3), TODAY()), 2, 2)) - 1, """")"),"")</f>
        <v/>
      </c>
      <c r="O342" s="21" t="str">
        <f>IFERROR(__xludf.DUMMYFUNCTION("IFERROR((GOOGLEFINANCE(C342, ""price"") / INDEX(GOOGLEFINANCE(C342, ""price"", EDATE(TODAY(), -6), TODAY()), 2, 2)) - 1, """")"),"")</f>
        <v/>
      </c>
      <c r="P342" s="21" t="str">
        <f>IFERROR(__xludf.DUMMYFUNCTION("IFERROR((GOOGLEFINANCE(C342, ""price"") / INDEX(GOOGLEFINANCE(C342, ""price"", EDATE(TODAY(), -12), TODAY()), 2, 2)) - 1, """")"),"")</f>
        <v/>
      </c>
      <c r="Q342" s="6" t="str">
        <f>IFERROR(__xludf.DUMMYFUNCTION("AVERAGE(QUERY(GOOGLEFINANCE(C342, ""price"", TODAY()-80, TODAY()), ""SELECT Col2 WHERE Col2 IS NOT NULL ORDER BY Col1 DESC LIMIT 50"", 0))"),"#N/A")</f>
        <v>#N/A</v>
      </c>
      <c r="R342" s="24" t="str">
        <f>IFERROR(__xludf.DUMMYFUNCTION("IFERROR(
  LET(
    data, QUERY(GOOGLEFINANCE(C342,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GOOGLEFINANCE(C342, ""price"")) * 100,
    IF(calc=0, G342, calc)
  ), 
G342)"),"#N/A")</f>
        <v>#N/A</v>
      </c>
      <c r="S342" s="8" t="s">
        <v>15</v>
      </c>
      <c r="T342" s="26" t="str">
        <f>IFERROR(__xludf.DUMMYFUNCTION("IFERROR(TRANSPOSE(QUERY(IFERROR(SORT(GOOGLEFINANCE(C342, ""price"", WORKDAY(TODAY(), -40), TODAY()), 1, FALSE)), ""select Col2 where Col2 is not null limit 22 label Col2 ''"", 0)), """")"),"")</f>
        <v/>
      </c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8"/>
      <c r="AO342" s="28"/>
      <c r="AP342" s="29"/>
      <c r="AQ342" s="29" t="str">
        <f t="shared" ref="AQ342:BL342" si="345">T342/T$2</f>
        <v>#N/A</v>
      </c>
      <c r="AR342" s="29" t="str">
        <f t="shared" si="345"/>
        <v>#DIV/0!</v>
      </c>
      <c r="AS342" s="29" t="str">
        <f t="shared" si="345"/>
        <v>#DIV/0!</v>
      </c>
      <c r="AT342" s="29" t="str">
        <f t="shared" si="345"/>
        <v>#DIV/0!</v>
      </c>
      <c r="AU342" s="29" t="str">
        <f t="shared" si="345"/>
        <v>#DIV/0!</v>
      </c>
      <c r="AV342" s="29" t="str">
        <f t="shared" si="345"/>
        <v>#DIV/0!</v>
      </c>
      <c r="AW342" s="29" t="str">
        <f t="shared" si="345"/>
        <v>#DIV/0!</v>
      </c>
      <c r="AX342" s="29" t="str">
        <f t="shared" si="345"/>
        <v>#DIV/0!</v>
      </c>
      <c r="AY342" s="29" t="str">
        <f t="shared" si="345"/>
        <v>#DIV/0!</v>
      </c>
      <c r="AZ342" s="29" t="str">
        <f t="shared" si="345"/>
        <v>#DIV/0!</v>
      </c>
      <c r="BA342" s="29" t="str">
        <f t="shared" si="345"/>
        <v>#DIV/0!</v>
      </c>
      <c r="BB342" s="29" t="str">
        <f t="shared" si="345"/>
        <v>#DIV/0!</v>
      </c>
      <c r="BC342" s="29" t="str">
        <f t="shared" si="345"/>
        <v>#DIV/0!</v>
      </c>
      <c r="BD342" s="29" t="str">
        <f t="shared" si="345"/>
        <v>#DIV/0!</v>
      </c>
      <c r="BE342" s="29" t="str">
        <f t="shared" si="345"/>
        <v>#DIV/0!</v>
      </c>
      <c r="BF342" s="29" t="str">
        <f t="shared" si="345"/>
        <v>#DIV/0!</v>
      </c>
      <c r="BG342" s="29" t="str">
        <f t="shared" si="345"/>
        <v>#DIV/0!</v>
      </c>
      <c r="BH342" s="29" t="str">
        <f t="shared" si="345"/>
        <v>#DIV/0!</v>
      </c>
      <c r="BI342" s="29" t="str">
        <f t="shared" si="345"/>
        <v>#DIV/0!</v>
      </c>
      <c r="BJ342" s="29" t="str">
        <f t="shared" si="345"/>
        <v>#DIV/0!</v>
      </c>
      <c r="BK342" s="29" t="str">
        <f t="shared" si="345"/>
        <v>#DIV/0!</v>
      </c>
      <c r="BL342" s="29" t="str">
        <f t="shared" si="345"/>
        <v>#DIV/0!</v>
      </c>
      <c r="BM342" s="29" t="str">
        <f t="shared" si="3"/>
        <v>#DIV/0!</v>
      </c>
    </row>
    <row r="343">
      <c r="A343" s="16" t="str">
        <f>IFERROR(__xludf.DUMMYFUNCTION("IFERROR(SPARKLINE(SORT(MAP(TRANSPOSE(AQ343:BL343), LAMBDA(val, IF(ISNUMBER(val), PERCENTRANK(AQ343:BL343, val)+0.01, 0))), SEQUENCE(COLUMNS(AQ343:BL343)), FALSE), {""charttype"",""column""; ""color"",""chartreuse""; ""ymin"", 0; ""ymax"", 1.01; ""highcolo"&amp;"r"", ""darkgreen""; ""lowcolor"", ""red""}), """")"),"")</f>
        <v/>
      </c>
      <c r="B343" s="17" t="str">
        <f t="shared" si="4"/>
        <v/>
      </c>
      <c r="C343" s="1" t="s">
        <v>1399</v>
      </c>
      <c r="D343" s="30" t="str">
        <f>IFERROR(__xludf.DUMMYFUNCTION("IFERROR(GOOGLEFINANCE(C343, ""NAME""))"),"Citi Trends, Inc.")</f>
        <v>Citi Trends, Inc.</v>
      </c>
      <c r="E343" s="30" t="s">
        <v>647</v>
      </c>
      <c r="F343" s="33" t="str">
        <f>IFERROR(__xludf.DUMMYFUNCTION("( (GOOGLEFINANCE(C343, ""price"") - Q343) / Q343 ) / (R343 / 100)"),"Loading...")</f>
        <v>Loading...</v>
      </c>
      <c r="G343" s="20" t="str">
        <f>IFERROR(__xludf.DUMMYFUNCTION("AVERAGE(ARRAYFORMULA(100 * (QUERY(GOOGLEFINANCE(C343, ""high"", TODAY()-40, TODAY()), ""SELECT Col2 WHERE Col2 IS NOT NULL ORDER BY Col1 DESC LIMIT 20"", 0) / QUERY(GOOGLEFINANCE(C343, ""low"", TODAY()-40, TODAY()), ""SELECT Col2 WHERE Col2 IS NOT NULL OR"&amp;"DER BY Col1 DESC LIMIT 20"", 0) - 1)))"),"#N/A")</f>
        <v>#N/A</v>
      </c>
      <c r="H343" s="35" t="str">
        <f t="shared" si="6"/>
        <v/>
      </c>
      <c r="I343" s="35" t="str">
        <f t="shared" si="7"/>
        <v/>
      </c>
      <c r="J343" s="37" t="str">
        <f>IFERROR(__xludf.DUMMYFUNCTION("IFERROR(
  IF(C343="""",, 
    IFERROR(
      GOOGLEFINANCE(C343, ""price"") * GOOGLEFINANCE(C343, ""volumeavg""), 
      GOOGLEFINANCE(C343, ""price"") * AVERAGE(QUERY(GOOGLEFINANCE(C343, ""volume"", TODAY()-40, TODAY()), ""SELECT Col2 WHERE Col2 IS NOT "&amp;"NULL ORDER BY Col1 DESC LIMIT 20"", 0))
    )
  ), 
"""")"),"")</f>
        <v/>
      </c>
      <c r="K343" s="21" t="str">
        <f>IFERROR(__xludf.DUMMYFUNCTION("IFERROR(GOOGLEFINANCE(C343, ""changepct"") / 100, """")"),"")</f>
        <v/>
      </c>
      <c r="L343" s="21" t="str">
        <f>IFERROR(__xludf.DUMMYFUNCTION("IFERROR((GOOGLEFINANCE(C343, ""price"") / INDEX(GOOGLEFINANCE(C343, ""price"", TODAY()-7, TODAY()), 2, 2)) - 1, """")"),"")</f>
        <v/>
      </c>
      <c r="M343" s="21" t="str">
        <f>IFERROR(__xludf.DUMMYFUNCTION("IFERROR((GOOGLEFINANCE(C343, ""price"") / INDEX(GOOGLEFINANCE(C343, ""price"", EDATE(TODAY(), -1), TODAY()), 2, 2)) - 1, """")"),"")</f>
        <v/>
      </c>
      <c r="N343" s="21" t="str">
        <f>IFERROR(__xludf.DUMMYFUNCTION("IFERROR((GOOGLEFINANCE(C343, ""price"") / INDEX(GOOGLEFINANCE(C343, ""price"", EDATE(TODAY(), -3), TODAY()), 2, 2)) - 1, """")"),"")</f>
        <v/>
      </c>
      <c r="O343" s="21" t="str">
        <f>IFERROR(__xludf.DUMMYFUNCTION("IFERROR((GOOGLEFINANCE(C343, ""price"") / INDEX(GOOGLEFINANCE(C343, ""price"", EDATE(TODAY(), -6), TODAY()), 2, 2)) - 1, """")"),"")</f>
        <v/>
      </c>
      <c r="P343" s="21" t="str">
        <f>IFERROR(__xludf.DUMMYFUNCTION("IFERROR((GOOGLEFINANCE(C343, ""price"") / INDEX(GOOGLEFINANCE(C343, ""price"", EDATE(TODAY(), -12), TODAY()), 2, 2)) - 1, """")"),"")</f>
        <v/>
      </c>
      <c r="Q343" s="6" t="str">
        <f>IFERROR(__xludf.DUMMYFUNCTION("AVERAGE(QUERY(GOOGLEFINANCE(C343, ""price"", TODAY()-80, TODAY()), ""SELECT Col2 WHERE Col2 IS NOT NULL ORDER BY Col1 DESC LIMIT 50"", 0))"),"#N/A")</f>
        <v>#N/A</v>
      </c>
      <c r="R343" s="24" t="str">
        <f>IFERROR(__xludf.DUMMYFUNCTION("IFERROR(
  LET(
    data, QUERY(GOOGLEFINANCE(C343,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GOOGLEFINANCE(C343, ""price"")) * 100,
    IF(calc=0, G343, calc)
  ), 
G343)"),"#N/A")</f>
        <v>#N/A</v>
      </c>
      <c r="S343" s="8" t="s">
        <v>15</v>
      </c>
      <c r="T343" s="26" t="str">
        <f>IFERROR(__xludf.DUMMYFUNCTION("IFERROR(TRANSPOSE(QUERY(IFERROR(SORT(GOOGLEFINANCE(C343, ""price"", WORKDAY(TODAY(), -40), TODAY()), 1, FALSE)), ""select Col2 where Col2 is not null limit 22 label Col2 ''"", 0)), """")"),"")</f>
        <v/>
      </c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8"/>
      <c r="AO343" s="28"/>
      <c r="AP343" s="29"/>
      <c r="AQ343" s="29" t="str">
        <f t="shared" ref="AQ343:BL343" si="346">T343/T$2</f>
        <v>#N/A</v>
      </c>
      <c r="AR343" s="29" t="str">
        <f t="shared" si="346"/>
        <v>#DIV/0!</v>
      </c>
      <c r="AS343" s="29" t="str">
        <f t="shared" si="346"/>
        <v>#DIV/0!</v>
      </c>
      <c r="AT343" s="29" t="str">
        <f t="shared" si="346"/>
        <v>#DIV/0!</v>
      </c>
      <c r="AU343" s="29" t="str">
        <f t="shared" si="346"/>
        <v>#DIV/0!</v>
      </c>
      <c r="AV343" s="29" t="str">
        <f t="shared" si="346"/>
        <v>#DIV/0!</v>
      </c>
      <c r="AW343" s="29" t="str">
        <f t="shared" si="346"/>
        <v>#DIV/0!</v>
      </c>
      <c r="AX343" s="29" t="str">
        <f t="shared" si="346"/>
        <v>#DIV/0!</v>
      </c>
      <c r="AY343" s="29" t="str">
        <f t="shared" si="346"/>
        <v>#DIV/0!</v>
      </c>
      <c r="AZ343" s="29" t="str">
        <f t="shared" si="346"/>
        <v>#DIV/0!</v>
      </c>
      <c r="BA343" s="29" t="str">
        <f t="shared" si="346"/>
        <v>#DIV/0!</v>
      </c>
      <c r="BB343" s="29" t="str">
        <f t="shared" si="346"/>
        <v>#DIV/0!</v>
      </c>
      <c r="BC343" s="29" t="str">
        <f t="shared" si="346"/>
        <v>#DIV/0!</v>
      </c>
      <c r="BD343" s="29" t="str">
        <f t="shared" si="346"/>
        <v>#DIV/0!</v>
      </c>
      <c r="BE343" s="29" t="str">
        <f t="shared" si="346"/>
        <v>#DIV/0!</v>
      </c>
      <c r="BF343" s="29" t="str">
        <f t="shared" si="346"/>
        <v>#DIV/0!</v>
      </c>
      <c r="BG343" s="29" t="str">
        <f t="shared" si="346"/>
        <v>#DIV/0!</v>
      </c>
      <c r="BH343" s="29" t="str">
        <f t="shared" si="346"/>
        <v>#DIV/0!</v>
      </c>
      <c r="BI343" s="29" t="str">
        <f t="shared" si="346"/>
        <v>#DIV/0!</v>
      </c>
      <c r="BJ343" s="29" t="str">
        <f t="shared" si="346"/>
        <v>#DIV/0!</v>
      </c>
      <c r="BK343" s="29" t="str">
        <f t="shared" si="346"/>
        <v>#DIV/0!</v>
      </c>
      <c r="BL343" s="29" t="str">
        <f t="shared" si="346"/>
        <v>#DIV/0!</v>
      </c>
      <c r="BM343" s="29" t="str">
        <f t="shared" si="3"/>
        <v>#DIV/0!</v>
      </c>
    </row>
    <row r="344">
      <c r="A344" s="16" t="str">
        <f>IFERROR(__xludf.DUMMYFUNCTION("IFERROR(SPARKLINE(SORT(MAP(TRANSPOSE(AQ344:BL344), LAMBDA(val, IF(ISNUMBER(val), PERCENTRANK(AQ344:BL344, val)+0.01, 0))), SEQUENCE(COLUMNS(AQ344:BL344)), FALSE), {""charttype"",""column""; ""color"",""chartreuse""; ""ymin"", 0; ""ymax"", 1.01; ""highcolo"&amp;"r"", ""darkgreen""; ""lowcolor"", ""red""}), """")"),"")</f>
        <v/>
      </c>
      <c r="B344" s="17" t="str">
        <f t="shared" si="4"/>
        <v/>
      </c>
      <c r="C344" s="1" t="s">
        <v>1410</v>
      </c>
      <c r="D344" s="30" t="str">
        <f>IFERROR(__xludf.DUMMYFUNCTION("IFERROR(GOOGLEFINANCE(C344, ""NAME""))"),"Boyd Group Services Inc")</f>
        <v>Boyd Group Services Inc</v>
      </c>
      <c r="E344" s="30" t="s">
        <v>190</v>
      </c>
      <c r="F344" s="33" t="str">
        <f>IFERROR(__xludf.DUMMYFUNCTION("( (GOOGLEFINANCE(C344, ""price"") - Q344) / Q344 ) / (R344 / 100)"),"Loading...")</f>
        <v>Loading...</v>
      </c>
      <c r="G344" s="20" t="str">
        <f>IFERROR(__xludf.DUMMYFUNCTION("AVERAGE(ARRAYFORMULA(100 * (QUERY(GOOGLEFINANCE(C344, ""high"", TODAY()-40, TODAY()), ""SELECT Col2 WHERE Col2 IS NOT NULL ORDER BY Col1 DESC LIMIT 20"", 0) / QUERY(GOOGLEFINANCE(C344, ""low"", TODAY()-40, TODAY()), ""SELECT Col2 WHERE Col2 IS NOT NULL OR"&amp;"DER BY Col1 DESC LIMIT 20"", 0) - 1)))"),"#N/A")</f>
        <v>#N/A</v>
      </c>
      <c r="H344" s="35" t="str">
        <f t="shared" si="6"/>
        <v/>
      </c>
      <c r="I344" s="35" t="str">
        <f t="shared" si="7"/>
        <v/>
      </c>
      <c r="J344" s="37" t="str">
        <f>IFERROR(__xludf.DUMMYFUNCTION("IFERROR(
  IF(C344="""",, 
    IFERROR(
      GOOGLEFINANCE(C344, ""price"") * GOOGLEFINANCE(C344, ""volumeavg""), 
      GOOGLEFINANCE(C344, ""price"") * AVERAGE(QUERY(GOOGLEFINANCE(C344, ""volume"", TODAY()-40, TODAY()), ""SELECT Col2 WHERE Col2 IS NOT "&amp;"NULL ORDER BY Col1 DESC LIMIT 20"", 0))
    )
  ), 
"""")"),"")</f>
        <v/>
      </c>
      <c r="K344" s="21" t="str">
        <f>IFERROR(__xludf.DUMMYFUNCTION("IFERROR(GOOGLEFINANCE(C344, ""changepct"") / 100, """")"),"")</f>
        <v/>
      </c>
      <c r="L344" s="21" t="str">
        <f>IFERROR(__xludf.DUMMYFUNCTION("IFERROR((GOOGLEFINANCE(C344, ""price"") / INDEX(GOOGLEFINANCE(C344, ""price"", TODAY()-7, TODAY()), 2, 2)) - 1, """")"),"")</f>
        <v/>
      </c>
      <c r="M344" s="21" t="str">
        <f>IFERROR(__xludf.DUMMYFUNCTION("IFERROR((GOOGLEFINANCE(C344, ""price"") / INDEX(GOOGLEFINANCE(C344, ""price"", EDATE(TODAY(), -1), TODAY()), 2, 2)) - 1, """")"),"")</f>
        <v/>
      </c>
      <c r="N344" s="21" t="str">
        <f>IFERROR(__xludf.DUMMYFUNCTION("IFERROR((GOOGLEFINANCE(C344, ""price"") / INDEX(GOOGLEFINANCE(C344, ""price"", EDATE(TODAY(), -3), TODAY()), 2, 2)) - 1, """")"),"")</f>
        <v/>
      </c>
      <c r="O344" s="21" t="str">
        <f>IFERROR(__xludf.DUMMYFUNCTION("IFERROR((GOOGLEFINANCE(C344, ""price"") / INDEX(GOOGLEFINANCE(C344, ""price"", EDATE(TODAY(), -6), TODAY()), 2, 2)) - 1, """")"),"")</f>
        <v/>
      </c>
      <c r="P344" s="21" t="str">
        <f>IFERROR(__xludf.DUMMYFUNCTION("IFERROR((GOOGLEFINANCE(C344, ""price"") / INDEX(GOOGLEFINANCE(C344, ""price"", EDATE(TODAY(), -12), TODAY()), 2, 2)) - 1, """")"),"")</f>
        <v/>
      </c>
      <c r="Q344" s="6" t="str">
        <f>IFERROR(__xludf.DUMMYFUNCTION("AVERAGE(QUERY(GOOGLEFINANCE(C344, ""price"", TODAY()-80, TODAY()), ""SELECT Col2 WHERE Col2 IS NOT NULL ORDER BY Col1 DESC LIMIT 50"", 0))"),"#N/A")</f>
        <v>#N/A</v>
      </c>
      <c r="R344" s="24" t="str">
        <f>IFERROR(__xludf.DUMMYFUNCTION("IFERROR(
  LET(
    data, QUERY(GOOGLEFINANCE(C344,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GOOGLEFINANCE(C344, ""price"")) * 100,
    IF(calc=0, G344, calc)
  ), 
G344)"),"#N/A")</f>
        <v>#N/A</v>
      </c>
      <c r="S344" s="8" t="s">
        <v>15</v>
      </c>
      <c r="T344" s="26" t="str">
        <f>IFERROR(__xludf.DUMMYFUNCTION("IFERROR(TRANSPOSE(QUERY(IFERROR(SORT(GOOGLEFINANCE(C344, ""price"", WORKDAY(TODAY(), -40), TODAY()), 1, FALSE)), ""select Col2 where Col2 is not null limit 22 label Col2 ''"", 0)), """")"),"")</f>
        <v/>
      </c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8"/>
      <c r="AO344" s="28"/>
      <c r="AP344" s="29"/>
      <c r="AQ344" s="29" t="str">
        <f t="shared" ref="AQ344:BL344" si="347">T344/T$2</f>
        <v>#N/A</v>
      </c>
      <c r="AR344" s="29" t="str">
        <f t="shared" si="347"/>
        <v>#DIV/0!</v>
      </c>
      <c r="AS344" s="29" t="str">
        <f t="shared" si="347"/>
        <v>#DIV/0!</v>
      </c>
      <c r="AT344" s="29" t="str">
        <f t="shared" si="347"/>
        <v>#DIV/0!</v>
      </c>
      <c r="AU344" s="29" t="str">
        <f t="shared" si="347"/>
        <v>#DIV/0!</v>
      </c>
      <c r="AV344" s="29" t="str">
        <f t="shared" si="347"/>
        <v>#DIV/0!</v>
      </c>
      <c r="AW344" s="29" t="str">
        <f t="shared" si="347"/>
        <v>#DIV/0!</v>
      </c>
      <c r="AX344" s="29" t="str">
        <f t="shared" si="347"/>
        <v>#DIV/0!</v>
      </c>
      <c r="AY344" s="29" t="str">
        <f t="shared" si="347"/>
        <v>#DIV/0!</v>
      </c>
      <c r="AZ344" s="29" t="str">
        <f t="shared" si="347"/>
        <v>#DIV/0!</v>
      </c>
      <c r="BA344" s="29" t="str">
        <f t="shared" si="347"/>
        <v>#DIV/0!</v>
      </c>
      <c r="BB344" s="29" t="str">
        <f t="shared" si="347"/>
        <v>#DIV/0!</v>
      </c>
      <c r="BC344" s="29" t="str">
        <f t="shared" si="347"/>
        <v>#DIV/0!</v>
      </c>
      <c r="BD344" s="29" t="str">
        <f t="shared" si="347"/>
        <v>#DIV/0!</v>
      </c>
      <c r="BE344" s="29" t="str">
        <f t="shared" si="347"/>
        <v>#DIV/0!</v>
      </c>
      <c r="BF344" s="29" t="str">
        <f t="shared" si="347"/>
        <v>#DIV/0!</v>
      </c>
      <c r="BG344" s="29" t="str">
        <f t="shared" si="347"/>
        <v>#DIV/0!</v>
      </c>
      <c r="BH344" s="29" t="str">
        <f t="shared" si="347"/>
        <v>#DIV/0!</v>
      </c>
      <c r="BI344" s="29" t="str">
        <f t="shared" si="347"/>
        <v>#DIV/0!</v>
      </c>
      <c r="BJ344" s="29" t="str">
        <f t="shared" si="347"/>
        <v>#DIV/0!</v>
      </c>
      <c r="BK344" s="29" t="str">
        <f t="shared" si="347"/>
        <v>#DIV/0!</v>
      </c>
      <c r="BL344" s="29" t="str">
        <f t="shared" si="347"/>
        <v>#DIV/0!</v>
      </c>
      <c r="BM344" s="29" t="str">
        <f t="shared" si="3"/>
        <v>#DIV/0!</v>
      </c>
    </row>
    <row r="345">
      <c r="A345" s="16" t="str">
        <f>IFERROR(__xludf.DUMMYFUNCTION("IFERROR(SPARKLINE(SORT(MAP(TRANSPOSE(AQ345:BL345), LAMBDA(val, IF(ISNUMBER(val), PERCENTRANK(AQ345:BL345, val)+0.01, 0))), SEQUENCE(COLUMNS(AQ345:BL345)), FALSE), {""charttype"",""column""; ""color"",""chartreuse""; ""ymin"", 0; ""ymax"", 1.01; ""highcolo"&amp;"r"", ""darkgreen""; ""lowcolor"", ""red""}), """")"),"")</f>
        <v/>
      </c>
      <c r="B345" s="17" t="str">
        <f t="shared" si="4"/>
        <v/>
      </c>
      <c r="C345" s="1" t="s">
        <v>1414</v>
      </c>
      <c r="D345" s="30" t="str">
        <f>IFERROR(__xludf.DUMMYFUNCTION("IFERROR(GOOGLEFINANCE(C345, ""NAME""))"),"Xpel Inc")</f>
        <v>Xpel Inc</v>
      </c>
      <c r="E345" s="30" t="s">
        <v>109</v>
      </c>
      <c r="F345" s="33" t="str">
        <f>IFERROR(__xludf.DUMMYFUNCTION("( (GOOGLEFINANCE(C345, ""price"") - Q345) / Q345 ) / (R345 / 100)"),"Loading...")</f>
        <v>Loading...</v>
      </c>
      <c r="G345" s="20" t="str">
        <f>IFERROR(__xludf.DUMMYFUNCTION("AVERAGE(ARRAYFORMULA(100 * (QUERY(GOOGLEFINANCE(C345, ""high"", TODAY()-40, TODAY()), ""SELECT Col2 WHERE Col2 IS NOT NULL ORDER BY Col1 DESC LIMIT 20"", 0) / QUERY(GOOGLEFINANCE(C345, ""low"", TODAY()-40, TODAY()), ""SELECT Col2 WHERE Col2 IS NOT NULL OR"&amp;"DER BY Col1 DESC LIMIT 20"", 0) - 1)))"),"#N/A")</f>
        <v>#N/A</v>
      </c>
      <c r="H345" s="35" t="str">
        <f t="shared" si="6"/>
        <v/>
      </c>
      <c r="I345" s="35" t="str">
        <f t="shared" si="7"/>
        <v/>
      </c>
      <c r="J345" s="37" t="str">
        <f>IFERROR(__xludf.DUMMYFUNCTION("IFERROR(
  IF(C345="""",, 
    IFERROR(
      GOOGLEFINANCE(C345, ""price"") * GOOGLEFINANCE(C345, ""volumeavg""), 
      GOOGLEFINANCE(C345, ""price"") * AVERAGE(QUERY(GOOGLEFINANCE(C345, ""volume"", TODAY()-40, TODAY()), ""SELECT Col2 WHERE Col2 IS NOT "&amp;"NULL ORDER BY Col1 DESC LIMIT 20"", 0))
    )
  ), 
"""")"),"")</f>
        <v/>
      </c>
      <c r="K345" s="21" t="str">
        <f>IFERROR(__xludf.DUMMYFUNCTION("IFERROR(GOOGLEFINANCE(C345, ""changepct"") / 100, """")"),"")</f>
        <v/>
      </c>
      <c r="L345" s="21" t="str">
        <f>IFERROR(__xludf.DUMMYFUNCTION("IFERROR((GOOGLEFINANCE(C345, ""price"") / INDEX(GOOGLEFINANCE(C345, ""price"", TODAY()-7, TODAY()), 2, 2)) - 1, """")"),"")</f>
        <v/>
      </c>
      <c r="M345" s="21" t="str">
        <f>IFERROR(__xludf.DUMMYFUNCTION("IFERROR((GOOGLEFINANCE(C345, ""price"") / INDEX(GOOGLEFINANCE(C345, ""price"", EDATE(TODAY(), -1), TODAY()), 2, 2)) - 1, """")"),"")</f>
        <v/>
      </c>
      <c r="N345" s="21" t="str">
        <f>IFERROR(__xludf.DUMMYFUNCTION("IFERROR((GOOGLEFINANCE(C345, ""price"") / INDEX(GOOGLEFINANCE(C345, ""price"", EDATE(TODAY(), -3), TODAY()), 2, 2)) - 1, """")"),"")</f>
        <v/>
      </c>
      <c r="O345" s="21" t="str">
        <f>IFERROR(__xludf.DUMMYFUNCTION("IFERROR((GOOGLEFINANCE(C345, ""price"") / INDEX(GOOGLEFINANCE(C345, ""price"", EDATE(TODAY(), -6), TODAY()), 2, 2)) - 1, """")"),"")</f>
        <v/>
      </c>
      <c r="P345" s="21" t="str">
        <f>IFERROR(__xludf.DUMMYFUNCTION("IFERROR((GOOGLEFINANCE(C345, ""price"") / INDEX(GOOGLEFINANCE(C345, ""price"", EDATE(TODAY(), -12), TODAY()), 2, 2)) - 1, """")"),"")</f>
        <v/>
      </c>
      <c r="Q345" s="6" t="str">
        <f>IFERROR(__xludf.DUMMYFUNCTION("AVERAGE(QUERY(GOOGLEFINANCE(C345, ""price"", TODAY()-80, TODAY()), ""SELECT Col2 WHERE Col2 IS NOT NULL ORDER BY Col1 DESC LIMIT 50"", 0))"),"#N/A")</f>
        <v>#N/A</v>
      </c>
      <c r="R345" s="24" t="str">
        <f>IFERROR(__xludf.DUMMYFUNCTION("IFERROR(
  LET(
    data, QUERY(GOOGLEFINANCE(C345,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GOOGLEFINANCE(C345, ""price"")) * 100,
    IF(calc=0, G345, calc)
  ), 
G345)"),"#N/A")</f>
        <v>#N/A</v>
      </c>
      <c r="S345" s="8" t="s">
        <v>15</v>
      </c>
      <c r="T345" s="26" t="str">
        <f>IFERROR(__xludf.DUMMYFUNCTION("IFERROR(TRANSPOSE(QUERY(IFERROR(SORT(GOOGLEFINANCE(C345, ""price"", WORKDAY(TODAY(), -40), TODAY()), 1, FALSE)), ""select Col2 where Col2 is not null limit 22 label Col2 ''"", 0)), """")"),"")</f>
        <v/>
      </c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8"/>
      <c r="AO345" s="28"/>
      <c r="AP345" s="29"/>
      <c r="AQ345" s="29" t="str">
        <f t="shared" ref="AQ345:BL345" si="348">T345/T$2</f>
        <v>#N/A</v>
      </c>
      <c r="AR345" s="29" t="str">
        <f t="shared" si="348"/>
        <v>#DIV/0!</v>
      </c>
      <c r="AS345" s="29" t="str">
        <f t="shared" si="348"/>
        <v>#DIV/0!</v>
      </c>
      <c r="AT345" s="29" t="str">
        <f t="shared" si="348"/>
        <v>#DIV/0!</v>
      </c>
      <c r="AU345" s="29" t="str">
        <f t="shared" si="348"/>
        <v>#DIV/0!</v>
      </c>
      <c r="AV345" s="29" t="str">
        <f t="shared" si="348"/>
        <v>#DIV/0!</v>
      </c>
      <c r="AW345" s="29" t="str">
        <f t="shared" si="348"/>
        <v>#DIV/0!</v>
      </c>
      <c r="AX345" s="29" t="str">
        <f t="shared" si="348"/>
        <v>#DIV/0!</v>
      </c>
      <c r="AY345" s="29" t="str">
        <f t="shared" si="348"/>
        <v>#DIV/0!</v>
      </c>
      <c r="AZ345" s="29" t="str">
        <f t="shared" si="348"/>
        <v>#DIV/0!</v>
      </c>
      <c r="BA345" s="29" t="str">
        <f t="shared" si="348"/>
        <v>#DIV/0!</v>
      </c>
      <c r="BB345" s="29" t="str">
        <f t="shared" si="348"/>
        <v>#DIV/0!</v>
      </c>
      <c r="BC345" s="29" t="str">
        <f t="shared" si="348"/>
        <v>#DIV/0!</v>
      </c>
      <c r="BD345" s="29" t="str">
        <f t="shared" si="348"/>
        <v>#DIV/0!</v>
      </c>
      <c r="BE345" s="29" t="str">
        <f t="shared" si="348"/>
        <v>#DIV/0!</v>
      </c>
      <c r="BF345" s="29" t="str">
        <f t="shared" si="348"/>
        <v>#DIV/0!</v>
      </c>
      <c r="BG345" s="29" t="str">
        <f t="shared" si="348"/>
        <v>#DIV/0!</v>
      </c>
      <c r="BH345" s="29" t="str">
        <f t="shared" si="348"/>
        <v>#DIV/0!</v>
      </c>
      <c r="BI345" s="29" t="str">
        <f t="shared" si="348"/>
        <v>#DIV/0!</v>
      </c>
      <c r="BJ345" s="29" t="str">
        <f t="shared" si="348"/>
        <v>#DIV/0!</v>
      </c>
      <c r="BK345" s="29" t="str">
        <f t="shared" si="348"/>
        <v>#DIV/0!</v>
      </c>
      <c r="BL345" s="29" t="str">
        <f t="shared" si="348"/>
        <v>#DIV/0!</v>
      </c>
      <c r="BM345" s="29" t="str">
        <f t="shared" si="3"/>
        <v>#DIV/0!</v>
      </c>
    </row>
    <row r="346">
      <c r="A346" s="16" t="str">
        <f>IFERROR(__xludf.DUMMYFUNCTION("IFERROR(SPARKLINE(SORT(MAP(TRANSPOSE(AQ346:BL346), LAMBDA(val, IF(ISNUMBER(val), PERCENTRANK(AQ346:BL346, val)+0.01, 0))), SEQUENCE(COLUMNS(AQ346:BL346)), FALSE), {""charttype"",""column""; ""color"",""chartreuse""; ""ymin"", 0; ""ymax"", 1.01; ""highcolo"&amp;"r"", ""darkgreen""; ""lowcolor"", ""red""}), """")"),"")</f>
        <v/>
      </c>
      <c r="B346" s="17" t="str">
        <f t="shared" si="4"/>
        <v/>
      </c>
      <c r="C346" s="1" t="s">
        <v>1420</v>
      </c>
      <c r="D346" s="30" t="str">
        <f>IFERROR(__xludf.DUMMYFUNCTION("IFERROR(GOOGLEFINANCE(C346, ""NAME""))"),"Genuine Parts Co")</f>
        <v>Genuine Parts Co</v>
      </c>
      <c r="E346" s="30" t="s">
        <v>109</v>
      </c>
      <c r="F346" s="33" t="str">
        <f>IFERROR(__xludf.DUMMYFUNCTION("( (GOOGLEFINANCE(C346, ""price"") - Q346) / Q346 ) / (R346 / 100)"),"Loading...")</f>
        <v>Loading...</v>
      </c>
      <c r="G346" s="20" t="str">
        <f>IFERROR(__xludf.DUMMYFUNCTION("AVERAGE(ARRAYFORMULA(100 * (QUERY(GOOGLEFINANCE(C346, ""high"", TODAY()-40, TODAY()), ""SELECT Col2 WHERE Col2 IS NOT NULL ORDER BY Col1 DESC LIMIT 20"", 0) / QUERY(GOOGLEFINANCE(C346, ""low"", TODAY()-40, TODAY()), ""SELECT Col2 WHERE Col2 IS NOT NULL OR"&amp;"DER BY Col1 DESC LIMIT 20"", 0) - 1)))"),"#N/A")</f>
        <v>#N/A</v>
      </c>
      <c r="H346" s="35" t="str">
        <f t="shared" si="6"/>
        <v/>
      </c>
      <c r="I346" s="35" t="str">
        <f t="shared" si="7"/>
        <v/>
      </c>
      <c r="J346" s="37" t="str">
        <f>IFERROR(__xludf.DUMMYFUNCTION("IFERROR(
  IF(C346="""",, 
    IFERROR(
      GOOGLEFINANCE(C346, ""price"") * GOOGLEFINANCE(C346, ""volumeavg""), 
      GOOGLEFINANCE(C346, ""price"") * AVERAGE(QUERY(GOOGLEFINANCE(C346, ""volume"", TODAY()-40, TODAY()), ""SELECT Col2 WHERE Col2 IS NOT "&amp;"NULL ORDER BY Col1 DESC LIMIT 20"", 0))
    )
  ), 
"""")"),"")</f>
        <v/>
      </c>
      <c r="K346" s="21" t="str">
        <f>IFERROR(__xludf.DUMMYFUNCTION("IFERROR(GOOGLEFINANCE(C346, ""changepct"") / 100, """")"),"")</f>
        <v/>
      </c>
      <c r="L346" s="21" t="str">
        <f>IFERROR(__xludf.DUMMYFUNCTION("IFERROR((GOOGLEFINANCE(C346, ""price"") / INDEX(GOOGLEFINANCE(C346, ""price"", TODAY()-7, TODAY()), 2, 2)) - 1, """")"),"")</f>
        <v/>
      </c>
      <c r="M346" s="21" t="str">
        <f>IFERROR(__xludf.DUMMYFUNCTION("IFERROR((GOOGLEFINANCE(C346, ""price"") / INDEX(GOOGLEFINANCE(C346, ""price"", EDATE(TODAY(), -1), TODAY()), 2, 2)) - 1, """")"),"")</f>
        <v/>
      </c>
      <c r="N346" s="21" t="str">
        <f>IFERROR(__xludf.DUMMYFUNCTION("IFERROR((GOOGLEFINANCE(C346, ""price"") / INDEX(GOOGLEFINANCE(C346, ""price"", EDATE(TODAY(), -3), TODAY()), 2, 2)) - 1, """")"),"")</f>
        <v/>
      </c>
      <c r="O346" s="21" t="str">
        <f>IFERROR(__xludf.DUMMYFUNCTION("IFERROR((GOOGLEFINANCE(C346, ""price"") / INDEX(GOOGLEFINANCE(C346, ""price"", EDATE(TODAY(), -6), TODAY()), 2, 2)) - 1, """")"),"")</f>
        <v/>
      </c>
      <c r="P346" s="21" t="str">
        <f>IFERROR(__xludf.DUMMYFUNCTION("IFERROR((GOOGLEFINANCE(C346, ""price"") / INDEX(GOOGLEFINANCE(C346, ""price"", EDATE(TODAY(), -12), TODAY()), 2, 2)) - 1, """")"),"")</f>
        <v/>
      </c>
      <c r="Q346" s="6" t="str">
        <f>IFERROR(__xludf.DUMMYFUNCTION("AVERAGE(QUERY(GOOGLEFINANCE(C346, ""price"", TODAY()-80, TODAY()), ""SELECT Col2 WHERE Col2 IS NOT NULL ORDER BY Col1 DESC LIMIT 50"", 0))"),"#N/A")</f>
        <v>#N/A</v>
      </c>
      <c r="R346" s="24" t="str">
        <f>IFERROR(__xludf.DUMMYFUNCTION("IFERROR(
  LET(
    data, QUERY(GOOGLEFINANCE(C346,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GOOGLEFINANCE(C346, ""price"")) * 100,
    IF(calc=0, G346, calc)
  ), 
G346)"),"#N/A")</f>
        <v>#N/A</v>
      </c>
      <c r="S346" s="8" t="s">
        <v>15</v>
      </c>
      <c r="T346" s="26" t="str">
        <f>IFERROR(__xludf.DUMMYFUNCTION("IFERROR(TRANSPOSE(QUERY(IFERROR(SORT(GOOGLEFINANCE(C346, ""price"", WORKDAY(TODAY(), -40), TODAY()), 1, FALSE)), ""select Col2 where Col2 is not null limit 22 label Col2 ''"", 0)), """")"),"")</f>
        <v/>
      </c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8"/>
      <c r="AO346" s="28"/>
      <c r="AP346" s="29"/>
      <c r="AQ346" s="29" t="str">
        <f t="shared" ref="AQ346:BL346" si="349">T346/T$2</f>
        <v>#N/A</v>
      </c>
      <c r="AR346" s="29" t="str">
        <f t="shared" si="349"/>
        <v>#DIV/0!</v>
      </c>
      <c r="AS346" s="29" t="str">
        <f t="shared" si="349"/>
        <v>#DIV/0!</v>
      </c>
      <c r="AT346" s="29" t="str">
        <f t="shared" si="349"/>
        <v>#DIV/0!</v>
      </c>
      <c r="AU346" s="29" t="str">
        <f t="shared" si="349"/>
        <v>#DIV/0!</v>
      </c>
      <c r="AV346" s="29" t="str">
        <f t="shared" si="349"/>
        <v>#DIV/0!</v>
      </c>
      <c r="AW346" s="29" t="str">
        <f t="shared" si="349"/>
        <v>#DIV/0!</v>
      </c>
      <c r="AX346" s="29" t="str">
        <f t="shared" si="349"/>
        <v>#DIV/0!</v>
      </c>
      <c r="AY346" s="29" t="str">
        <f t="shared" si="349"/>
        <v>#DIV/0!</v>
      </c>
      <c r="AZ346" s="29" t="str">
        <f t="shared" si="349"/>
        <v>#DIV/0!</v>
      </c>
      <c r="BA346" s="29" t="str">
        <f t="shared" si="349"/>
        <v>#DIV/0!</v>
      </c>
      <c r="BB346" s="29" t="str">
        <f t="shared" si="349"/>
        <v>#DIV/0!</v>
      </c>
      <c r="BC346" s="29" t="str">
        <f t="shared" si="349"/>
        <v>#DIV/0!</v>
      </c>
      <c r="BD346" s="29" t="str">
        <f t="shared" si="349"/>
        <v>#DIV/0!</v>
      </c>
      <c r="BE346" s="29" t="str">
        <f t="shared" si="349"/>
        <v>#DIV/0!</v>
      </c>
      <c r="BF346" s="29" t="str">
        <f t="shared" si="349"/>
        <v>#DIV/0!</v>
      </c>
      <c r="BG346" s="29" t="str">
        <f t="shared" si="349"/>
        <v>#DIV/0!</v>
      </c>
      <c r="BH346" s="29" t="str">
        <f t="shared" si="349"/>
        <v>#DIV/0!</v>
      </c>
      <c r="BI346" s="29" t="str">
        <f t="shared" si="349"/>
        <v>#DIV/0!</v>
      </c>
      <c r="BJ346" s="29" t="str">
        <f t="shared" si="349"/>
        <v>#DIV/0!</v>
      </c>
      <c r="BK346" s="29" t="str">
        <f t="shared" si="349"/>
        <v>#DIV/0!</v>
      </c>
      <c r="BL346" s="29" t="str">
        <f t="shared" si="349"/>
        <v>#DIV/0!</v>
      </c>
      <c r="BM346" s="29" t="str">
        <f t="shared" si="3"/>
        <v>#DIV/0!</v>
      </c>
    </row>
    <row r="347">
      <c r="A347" s="16" t="str">
        <f>IFERROR(__xludf.DUMMYFUNCTION("IFERROR(SPARKLINE(SORT(MAP(TRANSPOSE(AQ347:BL347), LAMBDA(val, IF(ISNUMBER(val), PERCENTRANK(AQ347:BL347, val)+0.01, 0))), SEQUENCE(COLUMNS(AQ347:BL347)), FALSE), {""charttype"",""column""; ""color"",""chartreuse""; ""ymin"", 0; ""ymax"", 1.01; ""highcolo"&amp;"r"", ""darkgreen""; ""lowcolor"", ""red""}), """")"),"")</f>
        <v/>
      </c>
      <c r="B347" s="17" t="str">
        <f t="shared" si="4"/>
        <v/>
      </c>
      <c r="C347" s="1" t="s">
        <v>1422</v>
      </c>
      <c r="D347" s="30" t="str">
        <f>IFERROR(__xludf.DUMMYFUNCTION("IFERROR(GOOGLEFINANCE(C347, ""NAME""))"),"AutoZone Inc")</f>
        <v>AutoZone Inc</v>
      </c>
      <c r="E347" s="30" t="s">
        <v>109</v>
      </c>
      <c r="F347" s="33" t="str">
        <f>IFERROR(__xludf.DUMMYFUNCTION("( (GOOGLEFINANCE(C347, ""price"") - Q347) / Q347 ) / (R347 / 100)"),"Loading...")</f>
        <v>Loading...</v>
      </c>
      <c r="G347" s="20" t="str">
        <f>IFERROR(__xludf.DUMMYFUNCTION("AVERAGE(ARRAYFORMULA(100 * (QUERY(GOOGLEFINANCE(C347, ""high"", TODAY()-40, TODAY()), ""SELECT Col2 WHERE Col2 IS NOT NULL ORDER BY Col1 DESC LIMIT 20"", 0) / QUERY(GOOGLEFINANCE(C347, ""low"", TODAY()-40, TODAY()), ""SELECT Col2 WHERE Col2 IS NOT NULL OR"&amp;"DER BY Col1 DESC LIMIT 20"", 0) - 1)))"),"#N/A")</f>
        <v>#N/A</v>
      </c>
      <c r="H347" s="35" t="str">
        <f t="shared" si="6"/>
        <v/>
      </c>
      <c r="I347" s="35" t="str">
        <f t="shared" si="7"/>
        <v/>
      </c>
      <c r="J347" s="37" t="str">
        <f>IFERROR(__xludf.DUMMYFUNCTION("IFERROR(
  IF(C347="""",, 
    IFERROR(
      GOOGLEFINANCE(C347, ""price"") * GOOGLEFINANCE(C347, ""volumeavg""), 
      GOOGLEFINANCE(C347, ""price"") * AVERAGE(QUERY(GOOGLEFINANCE(C347, ""volume"", TODAY()-40, TODAY()), ""SELECT Col2 WHERE Col2 IS NOT "&amp;"NULL ORDER BY Col1 DESC LIMIT 20"", 0))
    )
  ), 
"""")"),"")</f>
        <v/>
      </c>
      <c r="K347" s="21" t="str">
        <f>IFERROR(__xludf.DUMMYFUNCTION("IFERROR(GOOGLEFINANCE(C347, ""changepct"") / 100, """")"),"")</f>
        <v/>
      </c>
      <c r="L347" s="21" t="str">
        <f>IFERROR(__xludf.DUMMYFUNCTION("IFERROR((GOOGLEFINANCE(C347, ""price"") / INDEX(GOOGLEFINANCE(C347, ""price"", TODAY()-7, TODAY()), 2, 2)) - 1, """")"),"")</f>
        <v/>
      </c>
      <c r="M347" s="21" t="str">
        <f>IFERROR(__xludf.DUMMYFUNCTION("IFERROR((GOOGLEFINANCE(C347, ""price"") / INDEX(GOOGLEFINANCE(C347, ""price"", EDATE(TODAY(), -1), TODAY()), 2, 2)) - 1, """")"),"")</f>
        <v/>
      </c>
      <c r="N347" s="21" t="str">
        <f>IFERROR(__xludf.DUMMYFUNCTION("IFERROR((GOOGLEFINANCE(C347, ""price"") / INDEX(GOOGLEFINANCE(C347, ""price"", EDATE(TODAY(), -3), TODAY()), 2, 2)) - 1, """")"),"")</f>
        <v/>
      </c>
      <c r="O347" s="21" t="str">
        <f>IFERROR(__xludf.DUMMYFUNCTION("IFERROR((GOOGLEFINANCE(C347, ""price"") / INDEX(GOOGLEFINANCE(C347, ""price"", EDATE(TODAY(), -6), TODAY()), 2, 2)) - 1, """")"),"")</f>
        <v/>
      </c>
      <c r="P347" s="21" t="str">
        <f>IFERROR(__xludf.DUMMYFUNCTION("IFERROR((GOOGLEFINANCE(C347, ""price"") / INDEX(GOOGLEFINANCE(C347, ""price"", EDATE(TODAY(), -12), TODAY()), 2, 2)) - 1, """")"),"")</f>
        <v/>
      </c>
      <c r="Q347" s="6" t="str">
        <f>IFERROR(__xludf.DUMMYFUNCTION("AVERAGE(QUERY(GOOGLEFINANCE(C347, ""price"", TODAY()-80, TODAY()), ""SELECT Col2 WHERE Col2 IS NOT NULL ORDER BY Col1 DESC LIMIT 50"", 0))"),"#N/A")</f>
        <v>#N/A</v>
      </c>
      <c r="R347" s="24" t="str">
        <f>IFERROR(__xludf.DUMMYFUNCTION("IFERROR(
  LET(
    data, QUERY(GOOGLEFINANCE(C347,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GOOGLEFINANCE(C347, ""price"")) * 100,
    IF(calc=0, G347, calc)
  ), 
G347)"),"#N/A")</f>
        <v>#N/A</v>
      </c>
      <c r="S347" s="8" t="s">
        <v>15</v>
      </c>
      <c r="T347" s="26" t="str">
        <f>IFERROR(__xludf.DUMMYFUNCTION("IFERROR(TRANSPOSE(QUERY(IFERROR(SORT(GOOGLEFINANCE(C347, ""price"", WORKDAY(TODAY(), -40), TODAY()), 1, FALSE)), ""select Col2 where Col2 is not null limit 22 label Col2 ''"", 0)), """")"),"")</f>
        <v/>
      </c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8"/>
      <c r="AO347" s="28"/>
      <c r="AP347" s="29"/>
      <c r="AQ347" s="29" t="str">
        <f t="shared" ref="AQ347:BL347" si="350">T347/T$2</f>
        <v>#N/A</v>
      </c>
      <c r="AR347" s="29" t="str">
        <f t="shared" si="350"/>
        <v>#DIV/0!</v>
      </c>
      <c r="AS347" s="29" t="str">
        <f t="shared" si="350"/>
        <v>#DIV/0!</v>
      </c>
      <c r="AT347" s="29" t="str">
        <f t="shared" si="350"/>
        <v>#DIV/0!</v>
      </c>
      <c r="AU347" s="29" t="str">
        <f t="shared" si="350"/>
        <v>#DIV/0!</v>
      </c>
      <c r="AV347" s="29" t="str">
        <f t="shared" si="350"/>
        <v>#DIV/0!</v>
      </c>
      <c r="AW347" s="29" t="str">
        <f t="shared" si="350"/>
        <v>#DIV/0!</v>
      </c>
      <c r="AX347" s="29" t="str">
        <f t="shared" si="350"/>
        <v>#DIV/0!</v>
      </c>
      <c r="AY347" s="29" t="str">
        <f t="shared" si="350"/>
        <v>#DIV/0!</v>
      </c>
      <c r="AZ347" s="29" t="str">
        <f t="shared" si="350"/>
        <v>#DIV/0!</v>
      </c>
      <c r="BA347" s="29" t="str">
        <f t="shared" si="350"/>
        <v>#DIV/0!</v>
      </c>
      <c r="BB347" s="29" t="str">
        <f t="shared" si="350"/>
        <v>#DIV/0!</v>
      </c>
      <c r="BC347" s="29" t="str">
        <f t="shared" si="350"/>
        <v>#DIV/0!</v>
      </c>
      <c r="BD347" s="29" t="str">
        <f t="shared" si="350"/>
        <v>#DIV/0!</v>
      </c>
      <c r="BE347" s="29" t="str">
        <f t="shared" si="350"/>
        <v>#DIV/0!</v>
      </c>
      <c r="BF347" s="29" t="str">
        <f t="shared" si="350"/>
        <v>#DIV/0!</v>
      </c>
      <c r="BG347" s="29" t="str">
        <f t="shared" si="350"/>
        <v>#DIV/0!</v>
      </c>
      <c r="BH347" s="29" t="str">
        <f t="shared" si="350"/>
        <v>#DIV/0!</v>
      </c>
      <c r="BI347" s="29" t="str">
        <f t="shared" si="350"/>
        <v>#DIV/0!</v>
      </c>
      <c r="BJ347" s="29" t="str">
        <f t="shared" si="350"/>
        <v>#DIV/0!</v>
      </c>
      <c r="BK347" s="29" t="str">
        <f t="shared" si="350"/>
        <v>#DIV/0!</v>
      </c>
      <c r="BL347" s="29" t="str">
        <f t="shared" si="350"/>
        <v>#DIV/0!</v>
      </c>
      <c r="BM347" s="29" t="str">
        <f t="shared" si="3"/>
        <v>#DIV/0!</v>
      </c>
    </row>
    <row r="348">
      <c r="A348" s="16" t="str">
        <f>IFERROR(__xludf.DUMMYFUNCTION("IFERROR(SPARKLINE(SORT(MAP(TRANSPOSE(AQ348:BL348), LAMBDA(val, IF(ISNUMBER(val), PERCENTRANK(AQ348:BL348, val)+0.01, 0))), SEQUENCE(COLUMNS(AQ348:BL348)), FALSE), {""charttype"",""column""; ""color"",""chartreuse""; ""ymin"", 0; ""ymax"", 1.01; ""highcolo"&amp;"r"", ""darkgreen""; ""lowcolor"", ""red""}), """")"),"")</f>
        <v/>
      </c>
      <c r="B348" s="17" t="str">
        <f t="shared" si="4"/>
        <v/>
      </c>
      <c r="C348" s="1" t="s">
        <v>1426</v>
      </c>
      <c r="D348" s="30" t="str">
        <f>IFERROR(__xludf.DUMMYFUNCTION("IFERROR(GOOGLEFINANCE(C348, ""NAME""))"),"DAX ALL CAP UCI.CAP.GR EO")</f>
        <v>DAX ALL CAP UCI.CAP.GR EO</v>
      </c>
      <c r="E348" s="30" t="s">
        <v>456</v>
      </c>
      <c r="F348" s="33" t="str">
        <f>IFERROR(__xludf.DUMMYFUNCTION("( (GOOGLEFINANCE(C348, ""price"") - Q348) / Q348 ) / (R348 / 100)"),"Loading...")</f>
        <v>Loading...</v>
      </c>
      <c r="G348" s="20" t="str">
        <f>IFERROR(__xludf.DUMMYFUNCTION("AVERAGE(ARRAYFORMULA(100 * (QUERY(GOOGLEFINANCE(C348, ""high"", TODAY()-40, TODAY()), ""SELECT Col2 WHERE Col2 IS NOT NULL ORDER BY Col1 DESC LIMIT 20"", 0) / QUERY(GOOGLEFINANCE(C348, ""low"", TODAY()-40, TODAY()), ""SELECT Col2 WHERE Col2 IS NOT NULL OR"&amp;"DER BY Col1 DESC LIMIT 20"", 0) - 1)))"),"#N/A")</f>
        <v>#N/A</v>
      </c>
      <c r="H348" s="35" t="str">
        <f t="shared" si="6"/>
        <v/>
      </c>
      <c r="I348" s="35" t="str">
        <f t="shared" si="7"/>
        <v/>
      </c>
      <c r="J348" s="37" t="str">
        <f>IFERROR(__xludf.DUMMYFUNCTION("IFERROR(
  IF(C348="""",, 
    IFERROR(
      GOOGLEFINANCE(C348, ""price"") * GOOGLEFINANCE(C348, ""volumeavg""), 
      GOOGLEFINANCE(C348, ""price"") * AVERAGE(QUERY(GOOGLEFINANCE(C348, ""volume"", TODAY()-40, TODAY()), ""SELECT Col2 WHERE Col2 IS NOT "&amp;"NULL ORDER BY Col1 DESC LIMIT 20"", 0))
    )
  ), 
"""")"),"")</f>
        <v/>
      </c>
      <c r="K348" s="21" t="str">
        <f>IFERROR(__xludf.DUMMYFUNCTION("IFERROR(GOOGLEFINANCE(C348, ""changepct"") / 100, """")"),"")</f>
        <v/>
      </c>
      <c r="L348" s="21" t="str">
        <f>IFERROR(__xludf.DUMMYFUNCTION("IFERROR((GOOGLEFINANCE(C348, ""price"") / INDEX(GOOGLEFINANCE(C348, ""price"", TODAY()-7, TODAY()), 2, 2)) - 1, """")"),"")</f>
        <v/>
      </c>
      <c r="M348" s="21" t="str">
        <f>IFERROR(__xludf.DUMMYFUNCTION("IFERROR((GOOGLEFINANCE(C348, ""price"") / INDEX(GOOGLEFINANCE(C348, ""price"", EDATE(TODAY(), -1), TODAY()), 2, 2)) - 1, """")"),"")</f>
        <v/>
      </c>
      <c r="N348" s="21" t="str">
        <f>IFERROR(__xludf.DUMMYFUNCTION("IFERROR((GOOGLEFINANCE(C348, ""price"") / INDEX(GOOGLEFINANCE(C348, ""price"", EDATE(TODAY(), -3), TODAY()), 2, 2)) - 1, """")"),"")</f>
        <v/>
      </c>
      <c r="O348" s="21" t="str">
        <f>IFERROR(__xludf.DUMMYFUNCTION("IFERROR((GOOGLEFINANCE(C348, ""price"") / INDEX(GOOGLEFINANCE(C348, ""price"", EDATE(TODAY(), -6), TODAY()), 2, 2)) - 1, """")"),"")</f>
        <v/>
      </c>
      <c r="P348" s="21" t="str">
        <f>IFERROR(__xludf.DUMMYFUNCTION("IFERROR((GOOGLEFINANCE(C348, ""price"") / INDEX(GOOGLEFINANCE(C348, ""price"", EDATE(TODAY(), -12), TODAY()), 2, 2)) - 1, """")"),"")</f>
        <v/>
      </c>
      <c r="Q348" s="6" t="str">
        <f>IFERROR(__xludf.DUMMYFUNCTION("AVERAGE(QUERY(GOOGLEFINANCE(C348, ""price"", TODAY()-80, TODAY()), ""SELECT Col2 WHERE Col2 IS NOT NULL ORDER BY Col1 DESC LIMIT 50"", 0))"),"#N/A")</f>
        <v>#N/A</v>
      </c>
      <c r="R348" s="24" t="str">
        <f>IFERROR(__xludf.DUMMYFUNCTION("IFERROR(
  LET(
    data, QUERY(GOOGLEFINANCE(C348,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GOOGLEFINANCE(C348, ""price"")) * 100,
    IF(calc=0, G348, calc)
  ), 
G348)"),"#N/A")</f>
        <v>#N/A</v>
      </c>
      <c r="S348" s="8" t="s">
        <v>15</v>
      </c>
      <c r="T348" s="26" t="str">
        <f>IFERROR(__xludf.DUMMYFUNCTION("IFERROR(TRANSPOSE(QUERY(IFERROR(SORT(GOOGLEFINANCE(C348, ""price"", WORKDAY(TODAY(), -40), TODAY()), 1, FALSE)), ""select Col2 where Col2 is not null limit 22 label Col2 ''"", 0)), """")"),"")</f>
        <v/>
      </c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8"/>
      <c r="AO348" s="28"/>
      <c r="AP348" s="29"/>
      <c r="AQ348" s="29" t="str">
        <f t="shared" ref="AQ348:BL348" si="351">T348/T$2</f>
        <v>#N/A</v>
      </c>
      <c r="AR348" s="29" t="str">
        <f t="shared" si="351"/>
        <v>#DIV/0!</v>
      </c>
      <c r="AS348" s="29" t="str">
        <f t="shared" si="351"/>
        <v>#DIV/0!</v>
      </c>
      <c r="AT348" s="29" t="str">
        <f t="shared" si="351"/>
        <v>#DIV/0!</v>
      </c>
      <c r="AU348" s="29" t="str">
        <f t="shared" si="351"/>
        <v>#DIV/0!</v>
      </c>
      <c r="AV348" s="29" t="str">
        <f t="shared" si="351"/>
        <v>#DIV/0!</v>
      </c>
      <c r="AW348" s="29" t="str">
        <f t="shared" si="351"/>
        <v>#DIV/0!</v>
      </c>
      <c r="AX348" s="29" t="str">
        <f t="shared" si="351"/>
        <v>#DIV/0!</v>
      </c>
      <c r="AY348" s="29" t="str">
        <f t="shared" si="351"/>
        <v>#DIV/0!</v>
      </c>
      <c r="AZ348" s="29" t="str">
        <f t="shared" si="351"/>
        <v>#DIV/0!</v>
      </c>
      <c r="BA348" s="29" t="str">
        <f t="shared" si="351"/>
        <v>#DIV/0!</v>
      </c>
      <c r="BB348" s="29" t="str">
        <f t="shared" si="351"/>
        <v>#DIV/0!</v>
      </c>
      <c r="BC348" s="29" t="str">
        <f t="shared" si="351"/>
        <v>#DIV/0!</v>
      </c>
      <c r="BD348" s="29" t="str">
        <f t="shared" si="351"/>
        <v>#DIV/0!</v>
      </c>
      <c r="BE348" s="29" t="str">
        <f t="shared" si="351"/>
        <v>#DIV/0!</v>
      </c>
      <c r="BF348" s="29" t="str">
        <f t="shared" si="351"/>
        <v>#DIV/0!</v>
      </c>
      <c r="BG348" s="29" t="str">
        <f t="shared" si="351"/>
        <v>#DIV/0!</v>
      </c>
      <c r="BH348" s="29" t="str">
        <f t="shared" si="351"/>
        <v>#DIV/0!</v>
      </c>
      <c r="BI348" s="29" t="str">
        <f t="shared" si="351"/>
        <v>#DIV/0!</v>
      </c>
      <c r="BJ348" s="29" t="str">
        <f t="shared" si="351"/>
        <v>#DIV/0!</v>
      </c>
      <c r="BK348" s="29" t="str">
        <f t="shared" si="351"/>
        <v>#DIV/0!</v>
      </c>
      <c r="BL348" s="29" t="str">
        <f t="shared" si="351"/>
        <v>#DIV/0!</v>
      </c>
      <c r="BM348" s="29" t="str">
        <f t="shared" si="3"/>
        <v>#DIV/0!</v>
      </c>
    </row>
    <row r="349">
      <c r="A349" s="16" t="str">
        <f>IFERROR(__xludf.DUMMYFUNCTION("IFERROR(SPARKLINE(SORT(MAP(TRANSPOSE(AQ349:BL349), LAMBDA(val, IF(ISNUMBER(val), PERCENTRANK(AQ349:BL349, val)+0.01, 0))), SEQUENCE(COLUMNS(AQ349:BL349)), FALSE), {""charttype"",""column""; ""color"",""chartreuse""; ""ymin"", 0; ""ymax"", 1.01; ""highcolo"&amp;"r"", ""darkgreen""; ""lowcolor"", ""red""}), """")"),"")</f>
        <v/>
      </c>
      <c r="B349" s="17" t="str">
        <f t="shared" si="4"/>
        <v/>
      </c>
      <c r="C349" s="1" t="s">
        <v>1429</v>
      </c>
      <c r="D349" s="30" t="str">
        <f>IFERROR(__xludf.DUMMYFUNCTION("IFERROR(GOOGLEFINANCE(C349, ""NAME""))"),"MasterBrand Inc")</f>
        <v>MasterBrand Inc</v>
      </c>
      <c r="E349" s="30" t="s">
        <v>456</v>
      </c>
      <c r="F349" s="33" t="str">
        <f>IFERROR(__xludf.DUMMYFUNCTION("( (GOOGLEFINANCE(C349, ""price"") - Q349) / Q349 ) / (R349 / 100)"),"Loading...")</f>
        <v>Loading...</v>
      </c>
      <c r="G349" s="20" t="str">
        <f>IFERROR(__xludf.DUMMYFUNCTION("AVERAGE(ARRAYFORMULA(100 * (QUERY(GOOGLEFINANCE(C349, ""high"", TODAY()-40, TODAY()), ""SELECT Col2 WHERE Col2 IS NOT NULL ORDER BY Col1 DESC LIMIT 20"", 0) / QUERY(GOOGLEFINANCE(C349, ""low"", TODAY()-40, TODAY()), ""SELECT Col2 WHERE Col2 IS NOT NULL OR"&amp;"DER BY Col1 DESC LIMIT 20"", 0) - 1)))"),"#N/A")</f>
        <v>#N/A</v>
      </c>
      <c r="H349" s="35" t="str">
        <f t="shared" si="6"/>
        <v/>
      </c>
      <c r="I349" s="35" t="str">
        <f t="shared" si="7"/>
        <v/>
      </c>
      <c r="J349" s="37" t="str">
        <f>IFERROR(__xludf.DUMMYFUNCTION("IFERROR(
  IF(C349="""",, 
    IFERROR(
      GOOGLEFINANCE(C349, ""price"") * GOOGLEFINANCE(C349, ""volumeavg""), 
      GOOGLEFINANCE(C349, ""price"") * AVERAGE(QUERY(GOOGLEFINANCE(C349, ""volume"", TODAY()-40, TODAY()), ""SELECT Col2 WHERE Col2 IS NOT "&amp;"NULL ORDER BY Col1 DESC LIMIT 20"", 0))
    )
  ), 
"""")"),"")</f>
        <v/>
      </c>
      <c r="K349" s="21" t="str">
        <f>IFERROR(__xludf.DUMMYFUNCTION("IFERROR(GOOGLEFINANCE(C349, ""changepct"") / 100, """")"),"")</f>
        <v/>
      </c>
      <c r="L349" s="21" t="str">
        <f>IFERROR(__xludf.DUMMYFUNCTION("IFERROR((GOOGLEFINANCE(C349, ""price"") / INDEX(GOOGLEFINANCE(C349, ""price"", TODAY()-7, TODAY()), 2, 2)) - 1, """")"),"")</f>
        <v/>
      </c>
      <c r="M349" s="21" t="str">
        <f>IFERROR(__xludf.DUMMYFUNCTION("IFERROR((GOOGLEFINANCE(C349, ""price"") / INDEX(GOOGLEFINANCE(C349, ""price"", EDATE(TODAY(), -1), TODAY()), 2, 2)) - 1, """")"),"")</f>
        <v/>
      </c>
      <c r="N349" s="21" t="str">
        <f>IFERROR(__xludf.DUMMYFUNCTION("IFERROR((GOOGLEFINANCE(C349, ""price"") / INDEX(GOOGLEFINANCE(C349, ""price"", EDATE(TODAY(), -3), TODAY()), 2, 2)) - 1, """")"),"")</f>
        <v/>
      </c>
      <c r="O349" s="21" t="str">
        <f>IFERROR(__xludf.DUMMYFUNCTION("IFERROR((GOOGLEFINANCE(C349, ""price"") / INDEX(GOOGLEFINANCE(C349, ""price"", EDATE(TODAY(), -6), TODAY()), 2, 2)) - 1, """")"),"")</f>
        <v/>
      </c>
      <c r="P349" s="21" t="str">
        <f>IFERROR(__xludf.DUMMYFUNCTION("IFERROR((GOOGLEFINANCE(C349, ""price"") / INDEX(GOOGLEFINANCE(C349, ""price"", EDATE(TODAY(), -12), TODAY()), 2, 2)) - 1, """")"),"")</f>
        <v/>
      </c>
      <c r="Q349" s="6" t="str">
        <f>IFERROR(__xludf.DUMMYFUNCTION("AVERAGE(QUERY(GOOGLEFINANCE(C349, ""price"", TODAY()-80, TODAY()), ""SELECT Col2 WHERE Col2 IS NOT NULL ORDER BY Col1 DESC LIMIT 50"", 0))"),"#N/A")</f>
        <v>#N/A</v>
      </c>
      <c r="R349" s="24" t="str">
        <f>IFERROR(__xludf.DUMMYFUNCTION("IFERROR(
  LET(
    data, QUERY(GOOGLEFINANCE(C349,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GOOGLEFINANCE(C349, ""price"")) * 100,
    IF(calc=0, G349, calc)
  ), 
G349)"),"#N/A")</f>
        <v>#N/A</v>
      </c>
      <c r="S349" s="8" t="s">
        <v>15</v>
      </c>
      <c r="T349" s="26" t="str">
        <f>IFERROR(__xludf.DUMMYFUNCTION("IFERROR(TRANSPOSE(QUERY(IFERROR(SORT(GOOGLEFINANCE(C349, ""price"", WORKDAY(TODAY(), -40), TODAY()), 1, FALSE)), ""select Col2 where Col2 is not null limit 22 label Col2 ''"", 0)), """")"),"")</f>
        <v/>
      </c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8"/>
      <c r="AO349" s="28"/>
      <c r="AP349" s="29"/>
      <c r="AQ349" s="29" t="str">
        <f t="shared" ref="AQ349:BL349" si="352">T349/T$2</f>
        <v>#N/A</v>
      </c>
      <c r="AR349" s="29" t="str">
        <f t="shared" si="352"/>
        <v>#DIV/0!</v>
      </c>
      <c r="AS349" s="29" t="str">
        <f t="shared" si="352"/>
        <v>#DIV/0!</v>
      </c>
      <c r="AT349" s="29" t="str">
        <f t="shared" si="352"/>
        <v>#DIV/0!</v>
      </c>
      <c r="AU349" s="29" t="str">
        <f t="shared" si="352"/>
        <v>#DIV/0!</v>
      </c>
      <c r="AV349" s="29" t="str">
        <f t="shared" si="352"/>
        <v>#DIV/0!</v>
      </c>
      <c r="AW349" s="29" t="str">
        <f t="shared" si="352"/>
        <v>#DIV/0!</v>
      </c>
      <c r="AX349" s="29" t="str">
        <f t="shared" si="352"/>
        <v>#DIV/0!</v>
      </c>
      <c r="AY349" s="29" t="str">
        <f t="shared" si="352"/>
        <v>#DIV/0!</v>
      </c>
      <c r="AZ349" s="29" t="str">
        <f t="shared" si="352"/>
        <v>#DIV/0!</v>
      </c>
      <c r="BA349" s="29" t="str">
        <f t="shared" si="352"/>
        <v>#DIV/0!</v>
      </c>
      <c r="BB349" s="29" t="str">
        <f t="shared" si="352"/>
        <v>#DIV/0!</v>
      </c>
      <c r="BC349" s="29" t="str">
        <f t="shared" si="352"/>
        <v>#DIV/0!</v>
      </c>
      <c r="BD349" s="29" t="str">
        <f t="shared" si="352"/>
        <v>#DIV/0!</v>
      </c>
      <c r="BE349" s="29" t="str">
        <f t="shared" si="352"/>
        <v>#DIV/0!</v>
      </c>
      <c r="BF349" s="29" t="str">
        <f t="shared" si="352"/>
        <v>#DIV/0!</v>
      </c>
      <c r="BG349" s="29" t="str">
        <f t="shared" si="352"/>
        <v>#DIV/0!</v>
      </c>
      <c r="BH349" s="29" t="str">
        <f t="shared" si="352"/>
        <v>#DIV/0!</v>
      </c>
      <c r="BI349" s="29" t="str">
        <f t="shared" si="352"/>
        <v>#DIV/0!</v>
      </c>
      <c r="BJ349" s="29" t="str">
        <f t="shared" si="352"/>
        <v>#DIV/0!</v>
      </c>
      <c r="BK349" s="29" t="str">
        <f t="shared" si="352"/>
        <v>#DIV/0!</v>
      </c>
      <c r="BL349" s="29" t="str">
        <f t="shared" si="352"/>
        <v>#DIV/0!</v>
      </c>
      <c r="BM349" s="29" t="str">
        <f t="shared" si="3"/>
        <v>#DIV/0!</v>
      </c>
    </row>
    <row r="350">
      <c r="A350" s="16" t="str">
        <f>IFERROR(__xludf.DUMMYFUNCTION("IFERROR(SPARKLINE(SORT(MAP(TRANSPOSE(AQ350:BL350), LAMBDA(val, IF(ISNUMBER(val), PERCENTRANK(AQ350:BL350, val)+0.01, 0))), SEQUENCE(COLUMNS(AQ350:BL350)), FALSE), {""charttype"",""column""; ""color"",""chartreuse""; ""ymin"", 0; ""ymax"", 1.01; ""highcolo"&amp;"r"", ""darkgreen""; ""lowcolor"", ""red""}), """")"),"")</f>
        <v/>
      </c>
      <c r="B350" s="17" t="str">
        <f t="shared" si="4"/>
        <v/>
      </c>
      <c r="C350" s="1" t="s">
        <v>1433</v>
      </c>
      <c r="D350" s="30" t="str">
        <f>IFERROR(__xludf.DUMMYFUNCTION("IFERROR(GOOGLEFINANCE(C350, ""NAME""))"),"Coupang Inc")</f>
        <v>Coupang Inc</v>
      </c>
      <c r="E350" s="30" t="s">
        <v>137</v>
      </c>
      <c r="F350" s="33" t="str">
        <f>IFERROR(__xludf.DUMMYFUNCTION("( (GOOGLEFINANCE(C350, ""price"") - Q350) / Q350 ) / (R350 / 100)"),"Loading...")</f>
        <v>Loading...</v>
      </c>
      <c r="G350" s="20" t="str">
        <f>IFERROR(__xludf.DUMMYFUNCTION("AVERAGE(ARRAYFORMULA(100 * (QUERY(GOOGLEFINANCE(C350, ""high"", TODAY()-40, TODAY()), ""SELECT Col2 WHERE Col2 IS NOT NULL ORDER BY Col1 DESC LIMIT 20"", 0) / QUERY(GOOGLEFINANCE(C350, ""low"", TODAY()-40, TODAY()), ""SELECT Col2 WHERE Col2 IS NOT NULL OR"&amp;"DER BY Col1 DESC LIMIT 20"", 0) - 1)))"),"#N/A")</f>
        <v>#N/A</v>
      </c>
      <c r="H350" s="35" t="str">
        <f t="shared" si="6"/>
        <v/>
      </c>
      <c r="I350" s="35" t="str">
        <f t="shared" si="7"/>
        <v/>
      </c>
      <c r="J350" s="37" t="str">
        <f>IFERROR(__xludf.DUMMYFUNCTION("IFERROR(
  IF(C350="""",, 
    IFERROR(
      GOOGLEFINANCE(C350, ""price"") * GOOGLEFINANCE(C350, ""volumeavg""), 
      GOOGLEFINANCE(C350, ""price"") * AVERAGE(QUERY(GOOGLEFINANCE(C350, ""volume"", TODAY()-40, TODAY()), ""SELECT Col2 WHERE Col2 IS NOT "&amp;"NULL ORDER BY Col1 DESC LIMIT 20"", 0))
    )
  ), 
"""")"),"")</f>
        <v/>
      </c>
      <c r="K350" s="21" t="str">
        <f>IFERROR(__xludf.DUMMYFUNCTION("IFERROR(GOOGLEFINANCE(C350, ""changepct"") / 100, """")"),"")</f>
        <v/>
      </c>
      <c r="L350" s="21" t="str">
        <f>IFERROR(__xludf.DUMMYFUNCTION("IFERROR((GOOGLEFINANCE(C350, ""price"") / INDEX(GOOGLEFINANCE(C350, ""price"", TODAY()-7, TODAY()), 2, 2)) - 1, """")"),"")</f>
        <v/>
      </c>
      <c r="M350" s="21" t="str">
        <f>IFERROR(__xludf.DUMMYFUNCTION("IFERROR((GOOGLEFINANCE(C350, ""price"") / INDEX(GOOGLEFINANCE(C350, ""price"", EDATE(TODAY(), -1), TODAY()), 2, 2)) - 1, """")"),"")</f>
        <v/>
      </c>
      <c r="N350" s="21" t="str">
        <f>IFERROR(__xludf.DUMMYFUNCTION("IFERROR((GOOGLEFINANCE(C350, ""price"") / INDEX(GOOGLEFINANCE(C350, ""price"", EDATE(TODAY(), -3), TODAY()), 2, 2)) - 1, """")"),"")</f>
        <v/>
      </c>
      <c r="O350" s="21" t="str">
        <f>IFERROR(__xludf.DUMMYFUNCTION("IFERROR((GOOGLEFINANCE(C350, ""price"") / INDEX(GOOGLEFINANCE(C350, ""price"", EDATE(TODAY(), -6), TODAY()), 2, 2)) - 1, """")"),"")</f>
        <v/>
      </c>
      <c r="P350" s="21" t="str">
        <f>IFERROR(__xludf.DUMMYFUNCTION("IFERROR((GOOGLEFINANCE(C350, ""price"") / INDEX(GOOGLEFINANCE(C350, ""price"", EDATE(TODAY(), -12), TODAY()), 2, 2)) - 1, """")"),"")</f>
        <v/>
      </c>
      <c r="Q350" s="6" t="str">
        <f>IFERROR(__xludf.DUMMYFUNCTION("AVERAGE(QUERY(GOOGLEFINANCE(C350, ""price"", TODAY()-80, TODAY()), ""SELECT Col2 WHERE Col2 IS NOT NULL ORDER BY Col1 DESC LIMIT 50"", 0))"),"#N/A")</f>
        <v>#N/A</v>
      </c>
      <c r="R350" s="24" t="str">
        <f>IFERROR(__xludf.DUMMYFUNCTION("IFERROR(
  LET(
    data, QUERY(GOOGLEFINANCE(C350,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GOOGLEFINANCE(C350, ""price"")) * 100,
    IF(calc=0, G350, calc)
  ), 
G350)"),"#N/A")</f>
        <v>#N/A</v>
      </c>
      <c r="S350" s="8" t="s">
        <v>15</v>
      </c>
      <c r="T350" s="26" t="str">
        <f>IFERROR(__xludf.DUMMYFUNCTION("IFERROR(TRANSPOSE(QUERY(IFERROR(SORT(GOOGLEFINANCE(C350, ""price"", WORKDAY(TODAY(), -40), TODAY()), 1, FALSE)), ""select Col2 where Col2 is not null limit 22 label Col2 ''"", 0)), """")"),"")</f>
        <v/>
      </c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8"/>
      <c r="AO350" s="28"/>
      <c r="AP350" s="29"/>
      <c r="AQ350" s="29" t="str">
        <f t="shared" ref="AQ350:BL350" si="353">T350/T$2</f>
        <v>#N/A</v>
      </c>
      <c r="AR350" s="29" t="str">
        <f t="shared" si="353"/>
        <v>#DIV/0!</v>
      </c>
      <c r="AS350" s="29" t="str">
        <f t="shared" si="353"/>
        <v>#DIV/0!</v>
      </c>
      <c r="AT350" s="29" t="str">
        <f t="shared" si="353"/>
        <v>#DIV/0!</v>
      </c>
      <c r="AU350" s="29" t="str">
        <f t="shared" si="353"/>
        <v>#DIV/0!</v>
      </c>
      <c r="AV350" s="29" t="str">
        <f t="shared" si="353"/>
        <v>#DIV/0!</v>
      </c>
      <c r="AW350" s="29" t="str">
        <f t="shared" si="353"/>
        <v>#DIV/0!</v>
      </c>
      <c r="AX350" s="29" t="str">
        <f t="shared" si="353"/>
        <v>#DIV/0!</v>
      </c>
      <c r="AY350" s="29" t="str">
        <f t="shared" si="353"/>
        <v>#DIV/0!</v>
      </c>
      <c r="AZ350" s="29" t="str">
        <f t="shared" si="353"/>
        <v>#DIV/0!</v>
      </c>
      <c r="BA350" s="29" t="str">
        <f t="shared" si="353"/>
        <v>#DIV/0!</v>
      </c>
      <c r="BB350" s="29" t="str">
        <f t="shared" si="353"/>
        <v>#DIV/0!</v>
      </c>
      <c r="BC350" s="29" t="str">
        <f t="shared" si="353"/>
        <v>#DIV/0!</v>
      </c>
      <c r="BD350" s="29" t="str">
        <f t="shared" si="353"/>
        <v>#DIV/0!</v>
      </c>
      <c r="BE350" s="29" t="str">
        <f t="shared" si="353"/>
        <v>#DIV/0!</v>
      </c>
      <c r="BF350" s="29" t="str">
        <f t="shared" si="353"/>
        <v>#DIV/0!</v>
      </c>
      <c r="BG350" s="29" t="str">
        <f t="shared" si="353"/>
        <v>#DIV/0!</v>
      </c>
      <c r="BH350" s="29" t="str">
        <f t="shared" si="353"/>
        <v>#DIV/0!</v>
      </c>
      <c r="BI350" s="29" t="str">
        <f t="shared" si="353"/>
        <v>#DIV/0!</v>
      </c>
      <c r="BJ350" s="29" t="str">
        <f t="shared" si="353"/>
        <v>#DIV/0!</v>
      </c>
      <c r="BK350" s="29" t="str">
        <f t="shared" si="353"/>
        <v>#DIV/0!</v>
      </c>
      <c r="BL350" s="29" t="str">
        <f t="shared" si="353"/>
        <v>#DIV/0!</v>
      </c>
      <c r="BM350" s="29" t="str">
        <f t="shared" si="3"/>
        <v>#DIV/0!</v>
      </c>
    </row>
    <row r="351">
      <c r="A351" s="16" t="str">
        <f>IFERROR(__xludf.DUMMYFUNCTION("IFERROR(SPARKLINE(SORT(MAP(TRANSPOSE(AQ351:BL351), LAMBDA(val, IF(ISNUMBER(val), PERCENTRANK(AQ351:BL351, val)+0.01, 0))), SEQUENCE(COLUMNS(AQ351:BL351)), FALSE), {""charttype"",""column""; ""color"",""chartreuse""; ""ymin"", 0; ""ymax"", 1.01; ""highcolo"&amp;"r"", ""darkgreen""; ""lowcolor"", ""red""}), """")"),"")</f>
        <v/>
      </c>
      <c r="B351" s="17" t="str">
        <f t="shared" si="4"/>
        <v/>
      </c>
      <c r="C351" s="1" t="s">
        <v>1437</v>
      </c>
      <c r="D351" s="30" t="str">
        <f>IFERROR(__xludf.DUMMYFUNCTION("IFERROR(GOOGLEFINANCE(C351, ""NAME""))"),"")</f>
        <v/>
      </c>
      <c r="E351" s="30" t="s">
        <v>354</v>
      </c>
      <c r="F351" s="33" t="str">
        <f>IFERROR(__xludf.DUMMYFUNCTION("( (GOOGLEFINANCE(C351, ""price"") - Q351) / Q351 ) / (R351 / 100)"),"Loading...")</f>
        <v>Loading...</v>
      </c>
      <c r="G351" s="20" t="str">
        <f>IFERROR(__xludf.DUMMYFUNCTION("AVERAGE(ARRAYFORMULA(100 * (QUERY(GOOGLEFINANCE(C351, ""high"", TODAY()-40, TODAY()), ""SELECT Col2 WHERE Col2 IS NOT NULL ORDER BY Col1 DESC LIMIT 20"", 0) / QUERY(GOOGLEFINANCE(C351, ""low"", TODAY()-40, TODAY()), ""SELECT Col2 WHERE Col2 IS NOT NULL OR"&amp;"DER BY Col1 DESC LIMIT 20"", 0) - 1)))"),"#N/A")</f>
        <v>#N/A</v>
      </c>
      <c r="H351" s="35" t="str">
        <f t="shared" si="6"/>
        <v/>
      </c>
      <c r="I351" s="35" t="str">
        <f t="shared" si="7"/>
        <v/>
      </c>
      <c r="J351" s="37" t="str">
        <f>IFERROR(__xludf.DUMMYFUNCTION("IFERROR(
  IF(C351="""",, 
    IFERROR(
      GOOGLEFINANCE(C351, ""price"") * GOOGLEFINANCE(C351, ""volumeavg""), 
      GOOGLEFINANCE(C351, ""price"") * AVERAGE(QUERY(GOOGLEFINANCE(C351, ""volume"", TODAY()-40, TODAY()), ""SELECT Col2 WHERE Col2 IS NOT "&amp;"NULL ORDER BY Col1 DESC LIMIT 20"", 0))
    )
  ), 
"""")"),"")</f>
        <v/>
      </c>
      <c r="K351" s="21" t="str">
        <f>IFERROR(__xludf.DUMMYFUNCTION("IFERROR(GOOGLEFINANCE(C351, ""changepct"") / 100, """")"),"")</f>
        <v/>
      </c>
      <c r="L351" s="21" t="str">
        <f>IFERROR(__xludf.DUMMYFUNCTION("IFERROR((GOOGLEFINANCE(C351, ""price"") / INDEX(GOOGLEFINANCE(C351, ""price"", TODAY()-7, TODAY()), 2, 2)) - 1, """")"),"")</f>
        <v/>
      </c>
      <c r="M351" s="21" t="str">
        <f>IFERROR(__xludf.DUMMYFUNCTION("IFERROR((GOOGLEFINANCE(C351, ""price"") / INDEX(GOOGLEFINANCE(C351, ""price"", EDATE(TODAY(), -1), TODAY()), 2, 2)) - 1, """")"),"")</f>
        <v/>
      </c>
      <c r="N351" s="21" t="str">
        <f>IFERROR(__xludf.DUMMYFUNCTION("IFERROR((GOOGLEFINANCE(C351, ""price"") / INDEX(GOOGLEFINANCE(C351, ""price"", EDATE(TODAY(), -3), TODAY()), 2, 2)) - 1, """")"),"")</f>
        <v/>
      </c>
      <c r="O351" s="21" t="str">
        <f>IFERROR(__xludf.DUMMYFUNCTION("IFERROR((GOOGLEFINANCE(C351, ""price"") / INDEX(GOOGLEFINANCE(C351, ""price"", EDATE(TODAY(), -6), TODAY()), 2, 2)) - 1, """")"),"")</f>
        <v/>
      </c>
      <c r="P351" s="21" t="str">
        <f>IFERROR(__xludf.DUMMYFUNCTION("IFERROR((GOOGLEFINANCE(C351, ""price"") / INDEX(GOOGLEFINANCE(C351, ""price"", EDATE(TODAY(), -12), TODAY()), 2, 2)) - 1, """")"),"")</f>
        <v/>
      </c>
      <c r="Q351" s="6" t="str">
        <f>IFERROR(__xludf.DUMMYFUNCTION("AVERAGE(QUERY(GOOGLEFINANCE(C351, ""price"", TODAY()-80, TODAY()), ""SELECT Col2 WHERE Col2 IS NOT NULL ORDER BY Col1 DESC LIMIT 50"", 0))"),"#N/A")</f>
        <v>#N/A</v>
      </c>
      <c r="R351" s="24" t="str">
        <f>IFERROR(__xludf.DUMMYFUNCTION("IFERROR(
  LET(
    data, QUERY(GOOGLEFINANCE(C351,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GOOGLEFINANCE(C351, ""price"")) * 100,
    IF(calc=0, G351, calc)
  ), 
G351)"),"#N/A")</f>
        <v>#N/A</v>
      </c>
      <c r="S351" s="8" t="s">
        <v>15</v>
      </c>
      <c r="T351" s="26" t="str">
        <f>IFERROR(__xludf.DUMMYFUNCTION("IFERROR(TRANSPOSE(QUERY(IFERROR(SORT(GOOGLEFINANCE(C351, ""price"", WORKDAY(TODAY(), -40), TODAY()), 1, FALSE)), ""select Col2 where Col2 is not null limit 22 label Col2 ''"", 0)), """")"),"")</f>
        <v/>
      </c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8"/>
      <c r="AO351" s="28"/>
      <c r="AP351" s="29"/>
      <c r="AQ351" s="29" t="str">
        <f t="shared" ref="AQ351:BL351" si="354">T351/T$2</f>
        <v>#N/A</v>
      </c>
      <c r="AR351" s="29" t="str">
        <f t="shared" si="354"/>
        <v>#DIV/0!</v>
      </c>
      <c r="AS351" s="29" t="str">
        <f t="shared" si="354"/>
        <v>#DIV/0!</v>
      </c>
      <c r="AT351" s="29" t="str">
        <f t="shared" si="354"/>
        <v>#DIV/0!</v>
      </c>
      <c r="AU351" s="29" t="str">
        <f t="shared" si="354"/>
        <v>#DIV/0!</v>
      </c>
      <c r="AV351" s="29" t="str">
        <f t="shared" si="354"/>
        <v>#DIV/0!</v>
      </c>
      <c r="AW351" s="29" t="str">
        <f t="shared" si="354"/>
        <v>#DIV/0!</v>
      </c>
      <c r="AX351" s="29" t="str">
        <f t="shared" si="354"/>
        <v>#DIV/0!</v>
      </c>
      <c r="AY351" s="29" t="str">
        <f t="shared" si="354"/>
        <v>#DIV/0!</v>
      </c>
      <c r="AZ351" s="29" t="str">
        <f t="shared" si="354"/>
        <v>#DIV/0!</v>
      </c>
      <c r="BA351" s="29" t="str">
        <f t="shared" si="354"/>
        <v>#DIV/0!</v>
      </c>
      <c r="BB351" s="29" t="str">
        <f t="shared" si="354"/>
        <v>#DIV/0!</v>
      </c>
      <c r="BC351" s="29" t="str">
        <f t="shared" si="354"/>
        <v>#DIV/0!</v>
      </c>
      <c r="BD351" s="29" t="str">
        <f t="shared" si="354"/>
        <v>#DIV/0!</v>
      </c>
      <c r="BE351" s="29" t="str">
        <f t="shared" si="354"/>
        <v>#DIV/0!</v>
      </c>
      <c r="BF351" s="29" t="str">
        <f t="shared" si="354"/>
        <v>#DIV/0!</v>
      </c>
      <c r="BG351" s="29" t="str">
        <f t="shared" si="354"/>
        <v>#DIV/0!</v>
      </c>
      <c r="BH351" s="29" t="str">
        <f t="shared" si="354"/>
        <v>#DIV/0!</v>
      </c>
      <c r="BI351" s="29" t="str">
        <f t="shared" si="354"/>
        <v>#DIV/0!</v>
      </c>
      <c r="BJ351" s="29" t="str">
        <f t="shared" si="354"/>
        <v>#DIV/0!</v>
      </c>
      <c r="BK351" s="29" t="str">
        <f t="shared" si="354"/>
        <v>#DIV/0!</v>
      </c>
      <c r="BL351" s="29" t="str">
        <f t="shared" si="354"/>
        <v>#DIV/0!</v>
      </c>
      <c r="BM351" s="29" t="str">
        <f t="shared" si="3"/>
        <v>#DIV/0!</v>
      </c>
    </row>
    <row r="352">
      <c r="A352" s="16" t="str">
        <f>IFERROR(__xludf.DUMMYFUNCTION("IFERROR(SPARKLINE(SORT(MAP(TRANSPOSE(AQ352:BL352), LAMBDA(val, IF(ISNUMBER(val), PERCENTRANK(AQ352:BL352, val)+0.01, 0))), SEQUENCE(COLUMNS(AQ352:BL352)), FALSE), {""charttype"",""column""; ""color"",""chartreuse""; ""ymin"", 0; ""ymax"", 1.01; ""highcolo"&amp;"r"", ""darkgreen""; ""lowcolor"", ""red""}), """")"),"")</f>
        <v/>
      </c>
      <c r="B352" s="17" t="str">
        <f t="shared" si="4"/>
        <v/>
      </c>
      <c r="C352" s="1" t="s">
        <v>1441</v>
      </c>
      <c r="D352" s="30" t="str">
        <f>IFERROR(__xludf.DUMMYFUNCTION("IFERROR(GOOGLEFINANCE(C352, ""NAME""))"),"Portillos Inc")</f>
        <v>Portillos Inc</v>
      </c>
      <c r="E352" s="30" t="s">
        <v>126</v>
      </c>
      <c r="F352" s="33" t="str">
        <f>IFERROR(__xludf.DUMMYFUNCTION("( (GOOGLEFINANCE(C352, ""price"") - Q352) / Q352 ) / (R352 / 100)"),"Loading...")</f>
        <v>Loading...</v>
      </c>
      <c r="G352" s="20" t="str">
        <f>IFERROR(__xludf.DUMMYFUNCTION("AVERAGE(ARRAYFORMULA(100 * (QUERY(GOOGLEFINANCE(C352, ""high"", TODAY()-40, TODAY()), ""SELECT Col2 WHERE Col2 IS NOT NULL ORDER BY Col1 DESC LIMIT 20"", 0) / QUERY(GOOGLEFINANCE(C352, ""low"", TODAY()-40, TODAY()), ""SELECT Col2 WHERE Col2 IS NOT NULL OR"&amp;"DER BY Col1 DESC LIMIT 20"", 0) - 1)))"),"#N/A")</f>
        <v>#N/A</v>
      </c>
      <c r="H352" s="35" t="str">
        <f t="shared" si="6"/>
        <v/>
      </c>
      <c r="I352" s="35" t="str">
        <f t="shared" si="7"/>
        <v/>
      </c>
      <c r="J352" s="37" t="str">
        <f>IFERROR(__xludf.DUMMYFUNCTION("IFERROR(
  IF(C352="""",, 
    IFERROR(
      GOOGLEFINANCE(C352, ""price"") * GOOGLEFINANCE(C352, ""volumeavg""), 
      GOOGLEFINANCE(C352, ""price"") * AVERAGE(QUERY(GOOGLEFINANCE(C352, ""volume"", TODAY()-40, TODAY()), ""SELECT Col2 WHERE Col2 IS NOT "&amp;"NULL ORDER BY Col1 DESC LIMIT 20"", 0))
    )
  ), 
"""")"),"")</f>
        <v/>
      </c>
      <c r="K352" s="21" t="str">
        <f>IFERROR(__xludf.DUMMYFUNCTION("IFERROR(GOOGLEFINANCE(C352, ""changepct"") / 100, """")"),"")</f>
        <v/>
      </c>
      <c r="L352" s="21" t="str">
        <f>IFERROR(__xludf.DUMMYFUNCTION("IFERROR((GOOGLEFINANCE(C352, ""price"") / INDEX(GOOGLEFINANCE(C352, ""price"", TODAY()-7, TODAY()), 2, 2)) - 1, """")"),"")</f>
        <v/>
      </c>
      <c r="M352" s="21" t="str">
        <f>IFERROR(__xludf.DUMMYFUNCTION("IFERROR((GOOGLEFINANCE(C352, ""price"") / INDEX(GOOGLEFINANCE(C352, ""price"", EDATE(TODAY(), -1), TODAY()), 2, 2)) - 1, """")"),"")</f>
        <v/>
      </c>
      <c r="N352" s="21" t="str">
        <f>IFERROR(__xludf.DUMMYFUNCTION("IFERROR((GOOGLEFINANCE(C352, ""price"") / INDEX(GOOGLEFINANCE(C352, ""price"", EDATE(TODAY(), -3), TODAY()), 2, 2)) - 1, """")"),"")</f>
        <v/>
      </c>
      <c r="O352" s="21" t="str">
        <f>IFERROR(__xludf.DUMMYFUNCTION("IFERROR((GOOGLEFINANCE(C352, ""price"") / INDEX(GOOGLEFINANCE(C352, ""price"", EDATE(TODAY(), -6), TODAY()), 2, 2)) - 1, """")"),"")</f>
        <v/>
      </c>
      <c r="P352" s="21" t="str">
        <f>IFERROR(__xludf.DUMMYFUNCTION("IFERROR((GOOGLEFINANCE(C352, ""price"") / INDEX(GOOGLEFINANCE(C352, ""price"", EDATE(TODAY(), -12), TODAY()), 2, 2)) - 1, """")"),"")</f>
        <v/>
      </c>
      <c r="Q352" s="6" t="str">
        <f>IFERROR(__xludf.DUMMYFUNCTION("AVERAGE(QUERY(GOOGLEFINANCE(C352, ""price"", TODAY()-80, TODAY()), ""SELECT Col2 WHERE Col2 IS NOT NULL ORDER BY Col1 DESC LIMIT 50"", 0))"),"#N/A")</f>
        <v>#N/A</v>
      </c>
      <c r="R352" s="24" t="str">
        <f>IFERROR(__xludf.DUMMYFUNCTION("IFERROR(
  LET(
    data, QUERY(GOOGLEFINANCE(C352,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GOOGLEFINANCE(C352, ""price"")) * 100,
    IF(calc=0, G352, calc)
  ), 
G352)"),"#N/A")</f>
        <v>#N/A</v>
      </c>
      <c r="S352" s="8" t="s">
        <v>15</v>
      </c>
      <c r="T352" s="26" t="str">
        <f>IFERROR(__xludf.DUMMYFUNCTION("IFERROR(TRANSPOSE(QUERY(IFERROR(SORT(GOOGLEFINANCE(C352, ""price"", WORKDAY(TODAY(), -40), TODAY()), 1, FALSE)), ""select Col2 where Col2 is not null limit 22 label Col2 ''"", 0)), """")"),"")</f>
        <v/>
      </c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8"/>
      <c r="AO352" s="28"/>
      <c r="AP352" s="29"/>
      <c r="AQ352" s="29" t="str">
        <f t="shared" ref="AQ352:BL352" si="355">T352/T$2</f>
        <v>#N/A</v>
      </c>
      <c r="AR352" s="29" t="str">
        <f t="shared" si="355"/>
        <v>#DIV/0!</v>
      </c>
      <c r="AS352" s="29" t="str">
        <f t="shared" si="355"/>
        <v>#DIV/0!</v>
      </c>
      <c r="AT352" s="29" t="str">
        <f t="shared" si="355"/>
        <v>#DIV/0!</v>
      </c>
      <c r="AU352" s="29" t="str">
        <f t="shared" si="355"/>
        <v>#DIV/0!</v>
      </c>
      <c r="AV352" s="29" t="str">
        <f t="shared" si="355"/>
        <v>#DIV/0!</v>
      </c>
      <c r="AW352" s="29" t="str">
        <f t="shared" si="355"/>
        <v>#DIV/0!</v>
      </c>
      <c r="AX352" s="29" t="str">
        <f t="shared" si="355"/>
        <v>#DIV/0!</v>
      </c>
      <c r="AY352" s="29" t="str">
        <f t="shared" si="355"/>
        <v>#DIV/0!</v>
      </c>
      <c r="AZ352" s="29" t="str">
        <f t="shared" si="355"/>
        <v>#DIV/0!</v>
      </c>
      <c r="BA352" s="29" t="str">
        <f t="shared" si="355"/>
        <v>#DIV/0!</v>
      </c>
      <c r="BB352" s="29" t="str">
        <f t="shared" si="355"/>
        <v>#DIV/0!</v>
      </c>
      <c r="BC352" s="29" t="str">
        <f t="shared" si="355"/>
        <v>#DIV/0!</v>
      </c>
      <c r="BD352" s="29" t="str">
        <f t="shared" si="355"/>
        <v>#DIV/0!</v>
      </c>
      <c r="BE352" s="29" t="str">
        <f t="shared" si="355"/>
        <v>#DIV/0!</v>
      </c>
      <c r="BF352" s="29" t="str">
        <f t="shared" si="355"/>
        <v>#DIV/0!</v>
      </c>
      <c r="BG352" s="29" t="str">
        <f t="shared" si="355"/>
        <v>#DIV/0!</v>
      </c>
      <c r="BH352" s="29" t="str">
        <f t="shared" si="355"/>
        <v>#DIV/0!</v>
      </c>
      <c r="BI352" s="29" t="str">
        <f t="shared" si="355"/>
        <v>#DIV/0!</v>
      </c>
      <c r="BJ352" s="29" t="str">
        <f t="shared" si="355"/>
        <v>#DIV/0!</v>
      </c>
      <c r="BK352" s="29" t="str">
        <f t="shared" si="355"/>
        <v>#DIV/0!</v>
      </c>
      <c r="BL352" s="29" t="str">
        <f t="shared" si="355"/>
        <v>#DIV/0!</v>
      </c>
      <c r="BM352" s="29" t="str">
        <f t="shared" si="3"/>
        <v>#DIV/0!</v>
      </c>
    </row>
    <row r="353">
      <c r="A353" s="16" t="str">
        <f>IFERROR(__xludf.DUMMYFUNCTION("IFERROR(SPARKLINE(SORT(MAP(TRANSPOSE(AQ353:BL353), LAMBDA(val, IF(ISNUMBER(val), PERCENTRANK(AQ353:BL353, val)+0.01, 0))), SEQUENCE(COLUMNS(AQ353:BL353)), FALSE), {""charttype"",""column""; ""color"",""chartreuse""; ""ymin"", 0; ""ymax"", 1.01; ""highcolo"&amp;"r"", ""darkgreen""; ""lowcolor"", ""red""}), """")"),"")</f>
        <v/>
      </c>
      <c r="B353" s="17" t="str">
        <f t="shared" si="4"/>
        <v/>
      </c>
      <c r="C353" s="1" t="s">
        <v>1444</v>
      </c>
      <c r="D353" s="30" t="str">
        <f>IFERROR(__xludf.DUMMYFUNCTION("IFERROR(GOOGLEFINANCE(C353, ""NAME""))"),"Nathan's Famous Inc")</f>
        <v>Nathan's Famous Inc</v>
      </c>
      <c r="E353" s="30" t="s">
        <v>126</v>
      </c>
      <c r="F353" s="33" t="str">
        <f>IFERROR(__xludf.DUMMYFUNCTION("( (GOOGLEFINANCE(C353, ""price"") - Q353) / Q353 ) / (R353 / 100)"),"Loading...")</f>
        <v>Loading...</v>
      </c>
      <c r="G353" s="20" t="str">
        <f>IFERROR(__xludf.DUMMYFUNCTION("AVERAGE(ARRAYFORMULA(100 * (QUERY(GOOGLEFINANCE(C353, ""high"", TODAY()-40, TODAY()), ""SELECT Col2 WHERE Col2 IS NOT NULL ORDER BY Col1 DESC LIMIT 20"", 0) / QUERY(GOOGLEFINANCE(C353, ""low"", TODAY()-40, TODAY()), ""SELECT Col2 WHERE Col2 IS NOT NULL OR"&amp;"DER BY Col1 DESC LIMIT 20"", 0) - 1)))"),"#N/A")</f>
        <v>#N/A</v>
      </c>
      <c r="H353" s="35" t="str">
        <f t="shared" si="6"/>
        <v/>
      </c>
      <c r="I353" s="35" t="str">
        <f t="shared" si="7"/>
        <v/>
      </c>
      <c r="J353" s="37" t="str">
        <f>IFERROR(__xludf.DUMMYFUNCTION("IFERROR(
  IF(C353="""",, 
    IFERROR(
      GOOGLEFINANCE(C353, ""price"") * GOOGLEFINANCE(C353, ""volumeavg""), 
      GOOGLEFINANCE(C353, ""price"") * AVERAGE(QUERY(GOOGLEFINANCE(C353, ""volume"", TODAY()-40, TODAY()), ""SELECT Col2 WHERE Col2 IS NOT "&amp;"NULL ORDER BY Col1 DESC LIMIT 20"", 0))
    )
  ), 
"""")"),"")</f>
        <v/>
      </c>
      <c r="K353" s="21" t="str">
        <f>IFERROR(__xludf.DUMMYFUNCTION("IFERROR(GOOGLEFINANCE(C353, ""changepct"") / 100, """")"),"")</f>
        <v/>
      </c>
      <c r="L353" s="21" t="str">
        <f>IFERROR(__xludf.DUMMYFUNCTION("IFERROR((GOOGLEFINANCE(C353, ""price"") / INDEX(GOOGLEFINANCE(C353, ""price"", TODAY()-7, TODAY()), 2, 2)) - 1, """")"),"")</f>
        <v/>
      </c>
      <c r="M353" s="21" t="str">
        <f>IFERROR(__xludf.DUMMYFUNCTION("IFERROR((GOOGLEFINANCE(C353, ""price"") / INDEX(GOOGLEFINANCE(C353, ""price"", EDATE(TODAY(), -1), TODAY()), 2, 2)) - 1, """")"),"")</f>
        <v/>
      </c>
      <c r="N353" s="21" t="str">
        <f>IFERROR(__xludf.DUMMYFUNCTION("IFERROR((GOOGLEFINANCE(C353, ""price"") / INDEX(GOOGLEFINANCE(C353, ""price"", EDATE(TODAY(), -3), TODAY()), 2, 2)) - 1, """")"),"")</f>
        <v/>
      </c>
      <c r="O353" s="21" t="str">
        <f>IFERROR(__xludf.DUMMYFUNCTION("IFERROR((GOOGLEFINANCE(C353, ""price"") / INDEX(GOOGLEFINANCE(C353, ""price"", EDATE(TODAY(), -6), TODAY()), 2, 2)) - 1, """")"),"")</f>
        <v/>
      </c>
      <c r="P353" s="21" t="str">
        <f>IFERROR(__xludf.DUMMYFUNCTION("IFERROR((GOOGLEFINANCE(C353, ""price"") / INDEX(GOOGLEFINANCE(C353, ""price"", EDATE(TODAY(), -12), TODAY()), 2, 2)) - 1, """")"),"")</f>
        <v/>
      </c>
      <c r="Q353" s="6" t="str">
        <f>IFERROR(__xludf.DUMMYFUNCTION("AVERAGE(QUERY(GOOGLEFINANCE(C353, ""price"", TODAY()-80, TODAY()), ""SELECT Col2 WHERE Col2 IS NOT NULL ORDER BY Col1 DESC LIMIT 50"", 0))"),"#N/A")</f>
        <v>#N/A</v>
      </c>
      <c r="R353" s="24" t="str">
        <f>IFERROR(__xludf.DUMMYFUNCTION("IFERROR(
  LET(
    data, QUERY(GOOGLEFINANCE(C353,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GOOGLEFINANCE(C353, ""price"")) * 100,
    IF(calc=0, G353, calc)
  ), 
G353)"),"#N/A")</f>
        <v>#N/A</v>
      </c>
      <c r="S353" s="8" t="s">
        <v>15</v>
      </c>
      <c r="T353" s="26" t="str">
        <f>IFERROR(__xludf.DUMMYFUNCTION("IFERROR(TRANSPOSE(QUERY(IFERROR(SORT(GOOGLEFINANCE(C353, ""price"", WORKDAY(TODAY(), -40), TODAY()), 1, FALSE)), ""select Col2 where Col2 is not null limit 22 label Col2 ''"", 0)), """")"),"")</f>
        <v/>
      </c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8"/>
      <c r="AO353" s="28"/>
      <c r="AP353" s="29"/>
      <c r="AQ353" s="29" t="str">
        <f t="shared" ref="AQ353:BL353" si="356">T353/T$2</f>
        <v>#N/A</v>
      </c>
      <c r="AR353" s="29" t="str">
        <f t="shared" si="356"/>
        <v>#DIV/0!</v>
      </c>
      <c r="AS353" s="29" t="str">
        <f t="shared" si="356"/>
        <v>#DIV/0!</v>
      </c>
      <c r="AT353" s="29" t="str">
        <f t="shared" si="356"/>
        <v>#DIV/0!</v>
      </c>
      <c r="AU353" s="29" t="str">
        <f t="shared" si="356"/>
        <v>#DIV/0!</v>
      </c>
      <c r="AV353" s="29" t="str">
        <f t="shared" si="356"/>
        <v>#DIV/0!</v>
      </c>
      <c r="AW353" s="29" t="str">
        <f t="shared" si="356"/>
        <v>#DIV/0!</v>
      </c>
      <c r="AX353" s="29" t="str">
        <f t="shared" si="356"/>
        <v>#DIV/0!</v>
      </c>
      <c r="AY353" s="29" t="str">
        <f t="shared" si="356"/>
        <v>#DIV/0!</v>
      </c>
      <c r="AZ353" s="29" t="str">
        <f t="shared" si="356"/>
        <v>#DIV/0!</v>
      </c>
      <c r="BA353" s="29" t="str">
        <f t="shared" si="356"/>
        <v>#DIV/0!</v>
      </c>
      <c r="BB353" s="29" t="str">
        <f t="shared" si="356"/>
        <v>#DIV/0!</v>
      </c>
      <c r="BC353" s="29" t="str">
        <f t="shared" si="356"/>
        <v>#DIV/0!</v>
      </c>
      <c r="BD353" s="29" t="str">
        <f t="shared" si="356"/>
        <v>#DIV/0!</v>
      </c>
      <c r="BE353" s="29" t="str">
        <f t="shared" si="356"/>
        <v>#DIV/0!</v>
      </c>
      <c r="BF353" s="29" t="str">
        <f t="shared" si="356"/>
        <v>#DIV/0!</v>
      </c>
      <c r="BG353" s="29" t="str">
        <f t="shared" si="356"/>
        <v>#DIV/0!</v>
      </c>
      <c r="BH353" s="29" t="str">
        <f t="shared" si="356"/>
        <v>#DIV/0!</v>
      </c>
      <c r="BI353" s="29" t="str">
        <f t="shared" si="356"/>
        <v>#DIV/0!</v>
      </c>
      <c r="BJ353" s="29" t="str">
        <f t="shared" si="356"/>
        <v>#DIV/0!</v>
      </c>
      <c r="BK353" s="29" t="str">
        <f t="shared" si="356"/>
        <v>#DIV/0!</v>
      </c>
      <c r="BL353" s="29" t="str">
        <f t="shared" si="356"/>
        <v>#DIV/0!</v>
      </c>
      <c r="BM353" s="29" t="str">
        <f t="shared" si="3"/>
        <v>#DIV/0!</v>
      </c>
    </row>
    <row r="354">
      <c r="A354" s="16" t="str">
        <f>IFERROR(__xludf.DUMMYFUNCTION("IFERROR(SPARKLINE(SORT(MAP(TRANSPOSE(AQ354:BL354), LAMBDA(val, IF(ISNUMBER(val), PERCENTRANK(AQ354:BL354, val)+0.01, 0))), SEQUENCE(COLUMNS(AQ354:BL354)), FALSE), {""charttype"",""column""; ""color"",""chartreuse""; ""ymin"", 0; ""ymax"", 1.01; ""highcolo"&amp;"r"", ""darkgreen""; ""lowcolor"", ""red""}), """")"),"")</f>
        <v/>
      </c>
      <c r="B354" s="17" t="str">
        <f t="shared" si="4"/>
        <v/>
      </c>
      <c r="C354" s="1" t="s">
        <v>1448</v>
      </c>
      <c r="D354" s="30" t="str">
        <f>IFERROR(__xludf.DUMMYFUNCTION("IFERROR(GOOGLEFINANCE(C354, ""NAME""))"),"Domino's Pizza, Inc.")</f>
        <v>Domino's Pizza, Inc.</v>
      </c>
      <c r="E354" s="30" t="s">
        <v>126</v>
      </c>
      <c r="F354" s="33" t="str">
        <f>IFERROR(__xludf.DUMMYFUNCTION("( (GOOGLEFINANCE(C354, ""price"") - Q354) / Q354 ) / (R354 / 100)"),"Loading...")</f>
        <v>Loading...</v>
      </c>
      <c r="G354" s="20" t="str">
        <f>IFERROR(__xludf.DUMMYFUNCTION("AVERAGE(ARRAYFORMULA(100 * (QUERY(GOOGLEFINANCE(C354, ""high"", TODAY()-40, TODAY()), ""SELECT Col2 WHERE Col2 IS NOT NULL ORDER BY Col1 DESC LIMIT 20"", 0) / QUERY(GOOGLEFINANCE(C354, ""low"", TODAY()-40, TODAY()), ""SELECT Col2 WHERE Col2 IS NOT NULL OR"&amp;"DER BY Col1 DESC LIMIT 20"", 0) - 1)))"),"#N/A")</f>
        <v>#N/A</v>
      </c>
      <c r="H354" s="35" t="str">
        <f t="shared" si="6"/>
        <v/>
      </c>
      <c r="I354" s="35" t="str">
        <f t="shared" si="7"/>
        <v/>
      </c>
      <c r="J354" s="37" t="str">
        <f>IFERROR(__xludf.DUMMYFUNCTION("IFERROR(
  IF(C354="""",, 
    IFERROR(
      GOOGLEFINANCE(C354, ""price"") * GOOGLEFINANCE(C354, ""volumeavg""), 
      GOOGLEFINANCE(C354, ""price"") * AVERAGE(QUERY(GOOGLEFINANCE(C354, ""volume"", TODAY()-40, TODAY()), ""SELECT Col2 WHERE Col2 IS NOT "&amp;"NULL ORDER BY Col1 DESC LIMIT 20"", 0))
    )
  ), 
"""")"),"")</f>
        <v/>
      </c>
      <c r="K354" s="21" t="str">
        <f>IFERROR(__xludf.DUMMYFUNCTION("IFERROR(GOOGLEFINANCE(C354, ""changepct"") / 100, """")"),"")</f>
        <v/>
      </c>
      <c r="L354" s="21" t="str">
        <f>IFERROR(__xludf.DUMMYFUNCTION("IFERROR((GOOGLEFINANCE(C354, ""price"") / INDEX(GOOGLEFINANCE(C354, ""price"", TODAY()-7, TODAY()), 2, 2)) - 1, """")"),"")</f>
        <v/>
      </c>
      <c r="M354" s="21" t="str">
        <f>IFERROR(__xludf.DUMMYFUNCTION("IFERROR((GOOGLEFINANCE(C354, ""price"") / INDEX(GOOGLEFINANCE(C354, ""price"", EDATE(TODAY(), -1), TODAY()), 2, 2)) - 1, """")"),"")</f>
        <v/>
      </c>
      <c r="N354" s="21" t="str">
        <f>IFERROR(__xludf.DUMMYFUNCTION("IFERROR((GOOGLEFINANCE(C354, ""price"") / INDEX(GOOGLEFINANCE(C354, ""price"", EDATE(TODAY(), -3), TODAY()), 2, 2)) - 1, """")"),"")</f>
        <v/>
      </c>
      <c r="O354" s="21" t="str">
        <f>IFERROR(__xludf.DUMMYFUNCTION("IFERROR((GOOGLEFINANCE(C354, ""price"") / INDEX(GOOGLEFINANCE(C354, ""price"", EDATE(TODAY(), -6), TODAY()), 2, 2)) - 1, """")"),"")</f>
        <v/>
      </c>
      <c r="P354" s="21" t="str">
        <f>IFERROR(__xludf.DUMMYFUNCTION("IFERROR((GOOGLEFINANCE(C354, ""price"") / INDEX(GOOGLEFINANCE(C354, ""price"", EDATE(TODAY(), -12), TODAY()), 2, 2)) - 1, """")"),"")</f>
        <v/>
      </c>
      <c r="Q354" s="6" t="str">
        <f>IFERROR(__xludf.DUMMYFUNCTION("AVERAGE(QUERY(GOOGLEFINANCE(C354, ""price"", TODAY()-80, TODAY()), ""SELECT Col2 WHERE Col2 IS NOT NULL ORDER BY Col1 DESC LIMIT 50"", 0))"),"#N/A")</f>
        <v>#N/A</v>
      </c>
      <c r="R354" s="24" t="str">
        <f>IFERROR(__xludf.DUMMYFUNCTION("IFERROR(
  LET(
    data, QUERY(GOOGLEFINANCE(C354,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GOOGLEFINANCE(C354, ""price"")) * 100,
    IF(calc=0, G354, calc)
  ), 
G354)"),"#N/A")</f>
        <v>#N/A</v>
      </c>
      <c r="S354" s="8" t="s">
        <v>15</v>
      </c>
      <c r="T354" s="26" t="str">
        <f>IFERROR(__xludf.DUMMYFUNCTION("IFERROR(TRANSPOSE(QUERY(IFERROR(SORT(GOOGLEFINANCE(C354, ""price"", WORKDAY(TODAY(), -40), TODAY()), 1, FALSE)), ""select Col2 where Col2 is not null limit 22 label Col2 ''"", 0)), """")"),"")</f>
        <v/>
      </c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8"/>
      <c r="AO354" s="28"/>
      <c r="AP354" s="29"/>
      <c r="AQ354" s="29" t="str">
        <f t="shared" ref="AQ354:BL354" si="357">T354/T$2</f>
        <v>#N/A</v>
      </c>
      <c r="AR354" s="29" t="str">
        <f t="shared" si="357"/>
        <v>#DIV/0!</v>
      </c>
      <c r="AS354" s="29" t="str">
        <f t="shared" si="357"/>
        <v>#DIV/0!</v>
      </c>
      <c r="AT354" s="29" t="str">
        <f t="shared" si="357"/>
        <v>#DIV/0!</v>
      </c>
      <c r="AU354" s="29" t="str">
        <f t="shared" si="357"/>
        <v>#DIV/0!</v>
      </c>
      <c r="AV354" s="29" t="str">
        <f t="shared" si="357"/>
        <v>#DIV/0!</v>
      </c>
      <c r="AW354" s="29" t="str">
        <f t="shared" si="357"/>
        <v>#DIV/0!</v>
      </c>
      <c r="AX354" s="29" t="str">
        <f t="shared" si="357"/>
        <v>#DIV/0!</v>
      </c>
      <c r="AY354" s="29" t="str">
        <f t="shared" si="357"/>
        <v>#DIV/0!</v>
      </c>
      <c r="AZ354" s="29" t="str">
        <f t="shared" si="357"/>
        <v>#DIV/0!</v>
      </c>
      <c r="BA354" s="29" t="str">
        <f t="shared" si="357"/>
        <v>#DIV/0!</v>
      </c>
      <c r="BB354" s="29" t="str">
        <f t="shared" si="357"/>
        <v>#DIV/0!</v>
      </c>
      <c r="BC354" s="29" t="str">
        <f t="shared" si="357"/>
        <v>#DIV/0!</v>
      </c>
      <c r="BD354" s="29" t="str">
        <f t="shared" si="357"/>
        <v>#DIV/0!</v>
      </c>
      <c r="BE354" s="29" t="str">
        <f t="shared" si="357"/>
        <v>#DIV/0!</v>
      </c>
      <c r="BF354" s="29" t="str">
        <f t="shared" si="357"/>
        <v>#DIV/0!</v>
      </c>
      <c r="BG354" s="29" t="str">
        <f t="shared" si="357"/>
        <v>#DIV/0!</v>
      </c>
      <c r="BH354" s="29" t="str">
        <f t="shared" si="357"/>
        <v>#DIV/0!</v>
      </c>
      <c r="BI354" s="29" t="str">
        <f t="shared" si="357"/>
        <v>#DIV/0!</v>
      </c>
      <c r="BJ354" s="29" t="str">
        <f t="shared" si="357"/>
        <v>#DIV/0!</v>
      </c>
      <c r="BK354" s="29" t="str">
        <f t="shared" si="357"/>
        <v>#DIV/0!</v>
      </c>
      <c r="BL354" s="29" t="str">
        <f t="shared" si="357"/>
        <v>#DIV/0!</v>
      </c>
      <c r="BM354" s="29" t="str">
        <f t="shared" si="3"/>
        <v>#DIV/0!</v>
      </c>
    </row>
    <row r="355">
      <c r="A355" s="16" t="str">
        <f>IFERROR(__xludf.DUMMYFUNCTION("IFERROR(SPARKLINE(SORT(MAP(TRANSPOSE(AQ355:BL355), LAMBDA(val, IF(ISNUMBER(val), PERCENTRANK(AQ355:BL355, val)+0.01, 0))), SEQUENCE(COLUMNS(AQ355:BL355)), FALSE), {""charttype"",""column""; ""color"",""chartreuse""; ""ymin"", 0; ""ymax"", 1.01; ""highcolo"&amp;"r"", ""darkgreen""; ""lowcolor"", ""red""}), """")"),"")</f>
        <v/>
      </c>
      <c r="B355" s="17" t="str">
        <f t="shared" si="4"/>
        <v/>
      </c>
      <c r="C355" s="1" t="s">
        <v>1452</v>
      </c>
      <c r="D355" s="30" t="str">
        <f>IFERROR(__xludf.DUMMYFUNCTION("IFERROR(GOOGLEFINANCE(C355, ""NAME""))"),"Wingstop Inc")</f>
        <v>Wingstop Inc</v>
      </c>
      <c r="E355" s="30" t="s">
        <v>126</v>
      </c>
      <c r="F355" s="33" t="str">
        <f>IFERROR(__xludf.DUMMYFUNCTION("( (GOOGLEFINANCE(C355, ""price"") - Q355) / Q355 ) / (R355 / 100)"),"Loading...")</f>
        <v>Loading...</v>
      </c>
      <c r="G355" s="20" t="str">
        <f>IFERROR(__xludf.DUMMYFUNCTION("AVERAGE(ARRAYFORMULA(100 * (QUERY(GOOGLEFINANCE(C355, ""high"", TODAY()-40, TODAY()), ""SELECT Col2 WHERE Col2 IS NOT NULL ORDER BY Col1 DESC LIMIT 20"", 0) / QUERY(GOOGLEFINANCE(C355, ""low"", TODAY()-40, TODAY()), ""SELECT Col2 WHERE Col2 IS NOT NULL OR"&amp;"DER BY Col1 DESC LIMIT 20"", 0) - 1)))"),"#N/A")</f>
        <v>#N/A</v>
      </c>
      <c r="H355" s="35" t="str">
        <f t="shared" si="6"/>
        <v/>
      </c>
      <c r="I355" s="35" t="str">
        <f t="shared" si="7"/>
        <v/>
      </c>
      <c r="J355" s="37" t="str">
        <f>IFERROR(__xludf.DUMMYFUNCTION("IFERROR(
  IF(C355="""",, 
    IFERROR(
      GOOGLEFINANCE(C355, ""price"") * GOOGLEFINANCE(C355, ""volumeavg""), 
      GOOGLEFINANCE(C355, ""price"") * AVERAGE(QUERY(GOOGLEFINANCE(C355, ""volume"", TODAY()-40, TODAY()), ""SELECT Col2 WHERE Col2 IS NOT "&amp;"NULL ORDER BY Col1 DESC LIMIT 20"", 0))
    )
  ), 
"""")"),"")</f>
        <v/>
      </c>
      <c r="K355" s="21" t="str">
        <f>IFERROR(__xludf.DUMMYFUNCTION("IFERROR(GOOGLEFINANCE(C355, ""changepct"") / 100, """")"),"")</f>
        <v/>
      </c>
      <c r="L355" s="21" t="str">
        <f>IFERROR(__xludf.DUMMYFUNCTION("IFERROR((GOOGLEFINANCE(C355, ""price"") / INDEX(GOOGLEFINANCE(C355, ""price"", TODAY()-7, TODAY()), 2, 2)) - 1, """")"),"")</f>
        <v/>
      </c>
      <c r="M355" s="21" t="str">
        <f>IFERROR(__xludf.DUMMYFUNCTION("IFERROR((GOOGLEFINANCE(C355, ""price"") / INDEX(GOOGLEFINANCE(C355, ""price"", EDATE(TODAY(), -1), TODAY()), 2, 2)) - 1, """")"),"")</f>
        <v/>
      </c>
      <c r="N355" s="21" t="str">
        <f>IFERROR(__xludf.DUMMYFUNCTION("IFERROR((GOOGLEFINANCE(C355, ""price"") / INDEX(GOOGLEFINANCE(C355, ""price"", EDATE(TODAY(), -3), TODAY()), 2, 2)) - 1, """")"),"")</f>
        <v/>
      </c>
      <c r="O355" s="21" t="str">
        <f>IFERROR(__xludf.DUMMYFUNCTION("IFERROR((GOOGLEFINANCE(C355, ""price"") / INDEX(GOOGLEFINANCE(C355, ""price"", EDATE(TODAY(), -6), TODAY()), 2, 2)) - 1, """")"),"")</f>
        <v/>
      </c>
      <c r="P355" s="21" t="str">
        <f>IFERROR(__xludf.DUMMYFUNCTION("IFERROR((GOOGLEFINANCE(C355, ""price"") / INDEX(GOOGLEFINANCE(C355, ""price"", EDATE(TODAY(), -12), TODAY()), 2, 2)) - 1, """")"),"")</f>
        <v/>
      </c>
      <c r="Q355" s="6" t="str">
        <f>IFERROR(__xludf.DUMMYFUNCTION("AVERAGE(QUERY(GOOGLEFINANCE(C355, ""price"", TODAY()-80, TODAY()), ""SELECT Col2 WHERE Col2 IS NOT NULL ORDER BY Col1 DESC LIMIT 50"", 0))"),"#N/A")</f>
        <v>#N/A</v>
      </c>
      <c r="R355" s="24" t="str">
        <f>IFERROR(__xludf.DUMMYFUNCTION("IFERROR(
  LET(
    data, QUERY(GOOGLEFINANCE(C355,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GOOGLEFINANCE(C355, ""price"")) * 100,
    IF(calc=0, G355, calc)
  ), 
G355)"),"#N/A")</f>
        <v>#N/A</v>
      </c>
      <c r="S355" s="8" t="s">
        <v>15</v>
      </c>
      <c r="T355" s="26" t="str">
        <f>IFERROR(__xludf.DUMMYFUNCTION("IFERROR(TRANSPOSE(QUERY(IFERROR(SORT(GOOGLEFINANCE(C355, ""price"", WORKDAY(TODAY(), -40), TODAY()), 1, FALSE)), ""select Col2 where Col2 is not null limit 22 label Col2 ''"", 0)), """")"),"")</f>
        <v/>
      </c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8"/>
      <c r="AO355" s="28"/>
      <c r="AP355" s="29"/>
      <c r="AQ355" s="29" t="str">
        <f t="shared" ref="AQ355:BL355" si="358">T355/T$2</f>
        <v>#N/A</v>
      </c>
      <c r="AR355" s="29" t="str">
        <f t="shared" si="358"/>
        <v>#DIV/0!</v>
      </c>
      <c r="AS355" s="29" t="str">
        <f t="shared" si="358"/>
        <v>#DIV/0!</v>
      </c>
      <c r="AT355" s="29" t="str">
        <f t="shared" si="358"/>
        <v>#DIV/0!</v>
      </c>
      <c r="AU355" s="29" t="str">
        <f t="shared" si="358"/>
        <v>#DIV/0!</v>
      </c>
      <c r="AV355" s="29" t="str">
        <f t="shared" si="358"/>
        <v>#DIV/0!</v>
      </c>
      <c r="AW355" s="29" t="str">
        <f t="shared" si="358"/>
        <v>#DIV/0!</v>
      </c>
      <c r="AX355" s="29" t="str">
        <f t="shared" si="358"/>
        <v>#DIV/0!</v>
      </c>
      <c r="AY355" s="29" t="str">
        <f t="shared" si="358"/>
        <v>#DIV/0!</v>
      </c>
      <c r="AZ355" s="29" t="str">
        <f t="shared" si="358"/>
        <v>#DIV/0!</v>
      </c>
      <c r="BA355" s="29" t="str">
        <f t="shared" si="358"/>
        <v>#DIV/0!</v>
      </c>
      <c r="BB355" s="29" t="str">
        <f t="shared" si="358"/>
        <v>#DIV/0!</v>
      </c>
      <c r="BC355" s="29" t="str">
        <f t="shared" si="358"/>
        <v>#DIV/0!</v>
      </c>
      <c r="BD355" s="29" t="str">
        <f t="shared" si="358"/>
        <v>#DIV/0!</v>
      </c>
      <c r="BE355" s="29" t="str">
        <f t="shared" si="358"/>
        <v>#DIV/0!</v>
      </c>
      <c r="BF355" s="29" t="str">
        <f t="shared" si="358"/>
        <v>#DIV/0!</v>
      </c>
      <c r="BG355" s="29" t="str">
        <f t="shared" si="358"/>
        <v>#DIV/0!</v>
      </c>
      <c r="BH355" s="29" t="str">
        <f t="shared" si="358"/>
        <v>#DIV/0!</v>
      </c>
      <c r="BI355" s="29" t="str">
        <f t="shared" si="358"/>
        <v>#DIV/0!</v>
      </c>
      <c r="BJ355" s="29" t="str">
        <f t="shared" si="358"/>
        <v>#DIV/0!</v>
      </c>
      <c r="BK355" s="29" t="str">
        <f t="shared" si="358"/>
        <v>#DIV/0!</v>
      </c>
      <c r="BL355" s="29" t="str">
        <f t="shared" si="358"/>
        <v>#DIV/0!</v>
      </c>
      <c r="BM355" s="29" t="str">
        <f t="shared" si="3"/>
        <v>#DIV/0!</v>
      </c>
    </row>
    <row r="356">
      <c r="A356" s="16" t="str">
        <f>IFERROR(__xludf.DUMMYFUNCTION("IFERROR(SPARKLINE(SORT(MAP(TRANSPOSE(AQ356:BL356), LAMBDA(val, IF(ISNUMBER(val), PERCENTRANK(AQ356:BL356, val)+0.01, 0))), SEQUENCE(COLUMNS(AQ356:BL356)), FALSE), {""charttype"",""column""; ""color"",""chartreuse""; ""ymin"", 0; ""ymax"", 1.01; ""highcolo"&amp;"r"", ""darkgreen""; ""lowcolor"", ""red""}), """")"),"")</f>
        <v/>
      </c>
      <c r="B356" s="17" t="str">
        <f t="shared" si="4"/>
        <v/>
      </c>
      <c r="C356" s="1" t="s">
        <v>1455</v>
      </c>
      <c r="D356" s="30" t="str">
        <f>IFERROR(__xludf.DUMMYFUNCTION("IFERROR(GOOGLEFINANCE(C356, ""NAME""))"),"CAVA Group Inc")</f>
        <v>CAVA Group Inc</v>
      </c>
      <c r="E356" s="30" t="s">
        <v>126</v>
      </c>
      <c r="F356" s="33" t="str">
        <f>IFERROR(__xludf.DUMMYFUNCTION("( (GOOGLEFINANCE(C356, ""price"") - Q356) / Q356 ) / (R356 / 100)"),"Loading...")</f>
        <v>Loading...</v>
      </c>
      <c r="G356" s="20" t="str">
        <f>IFERROR(__xludf.DUMMYFUNCTION("AVERAGE(ARRAYFORMULA(100 * (QUERY(GOOGLEFINANCE(C356, ""high"", TODAY()-40, TODAY()), ""SELECT Col2 WHERE Col2 IS NOT NULL ORDER BY Col1 DESC LIMIT 20"", 0) / QUERY(GOOGLEFINANCE(C356, ""low"", TODAY()-40, TODAY()), ""SELECT Col2 WHERE Col2 IS NOT NULL OR"&amp;"DER BY Col1 DESC LIMIT 20"", 0) - 1)))"),"#N/A")</f>
        <v>#N/A</v>
      </c>
      <c r="H356" s="35" t="str">
        <f t="shared" si="6"/>
        <v/>
      </c>
      <c r="I356" s="35" t="str">
        <f t="shared" si="7"/>
        <v/>
      </c>
      <c r="J356" s="37" t="str">
        <f>IFERROR(__xludf.DUMMYFUNCTION("IFERROR(
  IF(C356="""",, 
    IFERROR(
      GOOGLEFINANCE(C356, ""price"") * GOOGLEFINANCE(C356, ""volumeavg""), 
      GOOGLEFINANCE(C356, ""price"") * AVERAGE(QUERY(GOOGLEFINANCE(C356, ""volume"", TODAY()-40, TODAY()), ""SELECT Col2 WHERE Col2 IS NOT "&amp;"NULL ORDER BY Col1 DESC LIMIT 20"", 0))
    )
  ), 
"""")"),"")</f>
        <v/>
      </c>
      <c r="K356" s="21" t="str">
        <f>IFERROR(__xludf.DUMMYFUNCTION("IFERROR(GOOGLEFINANCE(C356, ""changepct"") / 100, """")"),"")</f>
        <v/>
      </c>
      <c r="L356" s="21" t="str">
        <f>IFERROR(__xludf.DUMMYFUNCTION("IFERROR((GOOGLEFINANCE(C356, ""price"") / INDEX(GOOGLEFINANCE(C356, ""price"", TODAY()-7, TODAY()), 2, 2)) - 1, """")"),"")</f>
        <v/>
      </c>
      <c r="M356" s="21" t="str">
        <f>IFERROR(__xludf.DUMMYFUNCTION("IFERROR((GOOGLEFINANCE(C356, ""price"") / INDEX(GOOGLEFINANCE(C356, ""price"", EDATE(TODAY(), -1), TODAY()), 2, 2)) - 1, """")"),"")</f>
        <v/>
      </c>
      <c r="N356" s="21" t="str">
        <f>IFERROR(__xludf.DUMMYFUNCTION("IFERROR((GOOGLEFINANCE(C356, ""price"") / INDEX(GOOGLEFINANCE(C356, ""price"", EDATE(TODAY(), -3), TODAY()), 2, 2)) - 1, """")"),"")</f>
        <v/>
      </c>
      <c r="O356" s="21" t="str">
        <f>IFERROR(__xludf.DUMMYFUNCTION("IFERROR((GOOGLEFINANCE(C356, ""price"") / INDEX(GOOGLEFINANCE(C356, ""price"", EDATE(TODAY(), -6), TODAY()), 2, 2)) - 1, """")"),"")</f>
        <v/>
      </c>
      <c r="P356" s="21" t="str">
        <f>IFERROR(__xludf.DUMMYFUNCTION("IFERROR((GOOGLEFINANCE(C356, ""price"") / INDEX(GOOGLEFINANCE(C356, ""price"", EDATE(TODAY(), -12), TODAY()), 2, 2)) - 1, """")"),"")</f>
        <v/>
      </c>
      <c r="Q356" s="6" t="str">
        <f>IFERROR(__xludf.DUMMYFUNCTION("AVERAGE(QUERY(GOOGLEFINANCE(C356, ""price"", TODAY()-80, TODAY()), ""SELECT Col2 WHERE Col2 IS NOT NULL ORDER BY Col1 DESC LIMIT 50"", 0))"),"#N/A")</f>
        <v>#N/A</v>
      </c>
      <c r="R356" s="24" t="str">
        <f>IFERROR(__xludf.DUMMYFUNCTION("IFERROR(
  LET(
    data, QUERY(GOOGLEFINANCE(C356,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GOOGLEFINANCE(C356, ""price"")) * 100,
    IF(calc=0, G356, calc)
  ), 
G356)"),"#N/A")</f>
        <v>#N/A</v>
      </c>
      <c r="S356" s="8" t="s">
        <v>15</v>
      </c>
      <c r="T356" s="26" t="str">
        <f>IFERROR(__xludf.DUMMYFUNCTION("IFERROR(TRANSPOSE(QUERY(IFERROR(SORT(GOOGLEFINANCE(C356, ""price"", WORKDAY(TODAY(), -40), TODAY()), 1, FALSE)), ""select Col2 where Col2 is not null limit 22 label Col2 ''"", 0)), """")"),"")</f>
        <v/>
      </c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8"/>
      <c r="AO356" s="28"/>
      <c r="AP356" s="29"/>
      <c r="AQ356" s="29" t="str">
        <f t="shared" ref="AQ356:BL356" si="359">T356/T$2</f>
        <v>#N/A</v>
      </c>
      <c r="AR356" s="29" t="str">
        <f t="shared" si="359"/>
        <v>#DIV/0!</v>
      </c>
      <c r="AS356" s="29" t="str">
        <f t="shared" si="359"/>
        <v>#DIV/0!</v>
      </c>
      <c r="AT356" s="29" t="str">
        <f t="shared" si="359"/>
        <v>#DIV/0!</v>
      </c>
      <c r="AU356" s="29" t="str">
        <f t="shared" si="359"/>
        <v>#DIV/0!</v>
      </c>
      <c r="AV356" s="29" t="str">
        <f t="shared" si="359"/>
        <v>#DIV/0!</v>
      </c>
      <c r="AW356" s="29" t="str">
        <f t="shared" si="359"/>
        <v>#DIV/0!</v>
      </c>
      <c r="AX356" s="29" t="str">
        <f t="shared" si="359"/>
        <v>#DIV/0!</v>
      </c>
      <c r="AY356" s="29" t="str">
        <f t="shared" si="359"/>
        <v>#DIV/0!</v>
      </c>
      <c r="AZ356" s="29" t="str">
        <f t="shared" si="359"/>
        <v>#DIV/0!</v>
      </c>
      <c r="BA356" s="29" t="str">
        <f t="shared" si="359"/>
        <v>#DIV/0!</v>
      </c>
      <c r="BB356" s="29" t="str">
        <f t="shared" si="359"/>
        <v>#DIV/0!</v>
      </c>
      <c r="BC356" s="29" t="str">
        <f t="shared" si="359"/>
        <v>#DIV/0!</v>
      </c>
      <c r="BD356" s="29" t="str">
        <f t="shared" si="359"/>
        <v>#DIV/0!</v>
      </c>
      <c r="BE356" s="29" t="str">
        <f t="shared" si="359"/>
        <v>#DIV/0!</v>
      </c>
      <c r="BF356" s="29" t="str">
        <f t="shared" si="359"/>
        <v>#DIV/0!</v>
      </c>
      <c r="BG356" s="29" t="str">
        <f t="shared" si="359"/>
        <v>#DIV/0!</v>
      </c>
      <c r="BH356" s="29" t="str">
        <f t="shared" si="359"/>
        <v>#DIV/0!</v>
      </c>
      <c r="BI356" s="29" t="str">
        <f t="shared" si="359"/>
        <v>#DIV/0!</v>
      </c>
      <c r="BJ356" s="29" t="str">
        <f t="shared" si="359"/>
        <v>#DIV/0!</v>
      </c>
      <c r="BK356" s="29" t="str">
        <f t="shared" si="359"/>
        <v>#DIV/0!</v>
      </c>
      <c r="BL356" s="29" t="str">
        <f t="shared" si="359"/>
        <v>#DIV/0!</v>
      </c>
      <c r="BM356" s="29" t="str">
        <f t="shared" si="3"/>
        <v>#DIV/0!</v>
      </c>
    </row>
    <row r="357">
      <c r="A357" s="16" t="str">
        <f>IFERROR(__xludf.DUMMYFUNCTION("IFERROR(SPARKLINE(SORT(MAP(TRANSPOSE(AQ357:BL357), LAMBDA(val, IF(ISNUMBER(val), PERCENTRANK(AQ357:BL357, val)+0.01, 0))), SEQUENCE(COLUMNS(AQ357:BL357)), FALSE), {""charttype"",""column""; ""color"",""chartreuse""; ""ymin"", 0; ""ymax"", 1.01; ""highcolo"&amp;"r"", ""darkgreen""; ""lowcolor"", ""red""}), """")"),"")</f>
        <v/>
      </c>
      <c r="B357" s="17" t="str">
        <f t="shared" si="4"/>
        <v/>
      </c>
      <c r="C357" s="1" t="s">
        <v>1459</v>
      </c>
      <c r="D357" s="30" t="str">
        <f>IFERROR(__xludf.DUMMYFUNCTION("IFERROR(GOOGLEFINANCE(C357, ""NAME""))"),"Tripadvisor Inc Common Stock")</f>
        <v>Tripadvisor Inc Common Stock</v>
      </c>
      <c r="E357" s="30" t="s">
        <v>248</v>
      </c>
      <c r="F357" s="33" t="str">
        <f>IFERROR(__xludf.DUMMYFUNCTION("( (GOOGLEFINANCE(C357, ""price"") - Q357) / Q357 ) / (R357 / 100)"),"Loading...")</f>
        <v>Loading...</v>
      </c>
      <c r="G357" s="20" t="str">
        <f>IFERROR(__xludf.DUMMYFUNCTION("AVERAGE(ARRAYFORMULA(100 * (QUERY(GOOGLEFINANCE(C357, ""high"", TODAY()-40, TODAY()), ""SELECT Col2 WHERE Col2 IS NOT NULL ORDER BY Col1 DESC LIMIT 20"", 0) / QUERY(GOOGLEFINANCE(C357, ""low"", TODAY()-40, TODAY()), ""SELECT Col2 WHERE Col2 IS NOT NULL OR"&amp;"DER BY Col1 DESC LIMIT 20"", 0) - 1)))"),"#N/A")</f>
        <v>#N/A</v>
      </c>
      <c r="H357" s="35" t="str">
        <f t="shared" si="6"/>
        <v/>
      </c>
      <c r="I357" s="35" t="str">
        <f t="shared" si="7"/>
        <v/>
      </c>
      <c r="J357" s="37" t="str">
        <f>IFERROR(__xludf.DUMMYFUNCTION("IFERROR(
  IF(C357="""",, 
    IFERROR(
      GOOGLEFINANCE(C357, ""price"") * GOOGLEFINANCE(C357, ""volumeavg""), 
      GOOGLEFINANCE(C357, ""price"") * AVERAGE(QUERY(GOOGLEFINANCE(C357, ""volume"", TODAY()-40, TODAY()), ""SELECT Col2 WHERE Col2 IS NOT "&amp;"NULL ORDER BY Col1 DESC LIMIT 20"", 0))
    )
  ), 
"""")"),"")</f>
        <v/>
      </c>
      <c r="K357" s="21" t="str">
        <f>IFERROR(__xludf.DUMMYFUNCTION("IFERROR(GOOGLEFINANCE(C357, ""changepct"") / 100, """")"),"")</f>
        <v/>
      </c>
      <c r="L357" s="21" t="str">
        <f>IFERROR(__xludf.DUMMYFUNCTION("IFERROR((GOOGLEFINANCE(C357, ""price"") / INDEX(GOOGLEFINANCE(C357, ""price"", TODAY()-7, TODAY()), 2, 2)) - 1, """")"),"")</f>
        <v/>
      </c>
      <c r="M357" s="21" t="str">
        <f>IFERROR(__xludf.DUMMYFUNCTION("IFERROR((GOOGLEFINANCE(C357, ""price"") / INDEX(GOOGLEFINANCE(C357, ""price"", EDATE(TODAY(), -1), TODAY()), 2, 2)) - 1, """")"),"")</f>
        <v/>
      </c>
      <c r="N357" s="21" t="str">
        <f>IFERROR(__xludf.DUMMYFUNCTION("IFERROR((GOOGLEFINANCE(C357, ""price"") / INDEX(GOOGLEFINANCE(C357, ""price"", EDATE(TODAY(), -3), TODAY()), 2, 2)) - 1, """")"),"")</f>
        <v/>
      </c>
      <c r="O357" s="21" t="str">
        <f>IFERROR(__xludf.DUMMYFUNCTION("IFERROR((GOOGLEFINANCE(C357, ""price"") / INDEX(GOOGLEFINANCE(C357, ""price"", EDATE(TODAY(), -6), TODAY()), 2, 2)) - 1, """")"),"")</f>
        <v/>
      </c>
      <c r="P357" s="21" t="str">
        <f>IFERROR(__xludf.DUMMYFUNCTION("IFERROR((GOOGLEFINANCE(C357, ""price"") / INDEX(GOOGLEFINANCE(C357, ""price"", EDATE(TODAY(), -12), TODAY()), 2, 2)) - 1, """")"),"")</f>
        <v/>
      </c>
      <c r="Q357" s="6" t="str">
        <f>IFERROR(__xludf.DUMMYFUNCTION("AVERAGE(QUERY(GOOGLEFINANCE(C357, ""price"", TODAY()-80, TODAY()), ""SELECT Col2 WHERE Col2 IS NOT NULL ORDER BY Col1 DESC LIMIT 50"", 0))"),"#N/A")</f>
        <v>#N/A</v>
      </c>
      <c r="R357" s="24" t="str">
        <f>IFERROR(__xludf.DUMMYFUNCTION("IFERROR(
  LET(
    data, QUERY(GOOGLEFINANCE(C357,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GOOGLEFINANCE(C357, ""price"")) * 100,
    IF(calc=0, G357, calc)
  ), 
G357)"),"#N/A")</f>
        <v>#N/A</v>
      </c>
      <c r="S357" s="8" t="s">
        <v>15</v>
      </c>
      <c r="T357" s="26" t="str">
        <f>IFERROR(__xludf.DUMMYFUNCTION("IFERROR(TRANSPOSE(QUERY(IFERROR(SORT(GOOGLEFINANCE(C357, ""price"", WORKDAY(TODAY(), -40), TODAY()), 1, FALSE)), ""select Col2 where Col2 is not null limit 22 label Col2 ''"", 0)), """")"),"")</f>
        <v/>
      </c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8"/>
      <c r="AO357" s="28"/>
      <c r="AP357" s="29"/>
      <c r="AQ357" s="29" t="str">
        <f t="shared" ref="AQ357:BL357" si="360">T357/T$2</f>
        <v>#N/A</v>
      </c>
      <c r="AR357" s="29" t="str">
        <f t="shared" si="360"/>
        <v>#DIV/0!</v>
      </c>
      <c r="AS357" s="29" t="str">
        <f t="shared" si="360"/>
        <v>#DIV/0!</v>
      </c>
      <c r="AT357" s="29" t="str">
        <f t="shared" si="360"/>
        <v>#DIV/0!</v>
      </c>
      <c r="AU357" s="29" t="str">
        <f t="shared" si="360"/>
        <v>#DIV/0!</v>
      </c>
      <c r="AV357" s="29" t="str">
        <f t="shared" si="360"/>
        <v>#DIV/0!</v>
      </c>
      <c r="AW357" s="29" t="str">
        <f t="shared" si="360"/>
        <v>#DIV/0!</v>
      </c>
      <c r="AX357" s="29" t="str">
        <f t="shared" si="360"/>
        <v>#DIV/0!</v>
      </c>
      <c r="AY357" s="29" t="str">
        <f t="shared" si="360"/>
        <v>#DIV/0!</v>
      </c>
      <c r="AZ357" s="29" t="str">
        <f t="shared" si="360"/>
        <v>#DIV/0!</v>
      </c>
      <c r="BA357" s="29" t="str">
        <f t="shared" si="360"/>
        <v>#DIV/0!</v>
      </c>
      <c r="BB357" s="29" t="str">
        <f t="shared" si="360"/>
        <v>#DIV/0!</v>
      </c>
      <c r="BC357" s="29" t="str">
        <f t="shared" si="360"/>
        <v>#DIV/0!</v>
      </c>
      <c r="BD357" s="29" t="str">
        <f t="shared" si="360"/>
        <v>#DIV/0!</v>
      </c>
      <c r="BE357" s="29" t="str">
        <f t="shared" si="360"/>
        <v>#DIV/0!</v>
      </c>
      <c r="BF357" s="29" t="str">
        <f t="shared" si="360"/>
        <v>#DIV/0!</v>
      </c>
      <c r="BG357" s="29" t="str">
        <f t="shared" si="360"/>
        <v>#DIV/0!</v>
      </c>
      <c r="BH357" s="29" t="str">
        <f t="shared" si="360"/>
        <v>#DIV/0!</v>
      </c>
      <c r="BI357" s="29" t="str">
        <f t="shared" si="360"/>
        <v>#DIV/0!</v>
      </c>
      <c r="BJ357" s="29" t="str">
        <f t="shared" si="360"/>
        <v>#DIV/0!</v>
      </c>
      <c r="BK357" s="29" t="str">
        <f t="shared" si="360"/>
        <v>#DIV/0!</v>
      </c>
      <c r="BL357" s="29" t="str">
        <f t="shared" si="360"/>
        <v>#DIV/0!</v>
      </c>
      <c r="BM357" s="29" t="str">
        <f t="shared" si="3"/>
        <v>#DIV/0!</v>
      </c>
    </row>
  </sheetData>
  <mergeCells count="5">
    <mergeCell ref="E1:E3"/>
    <mergeCell ref="G1:G3"/>
    <mergeCell ref="H1:H3"/>
    <mergeCell ref="I1:I3"/>
    <mergeCell ref="J1:J3"/>
  </mergeCells>
  <conditionalFormatting sqref="H4:H357">
    <cfRule type="cellIs" dxfId="8" priority="1" operator="equal">
      <formula>"Liquid"</formula>
    </cfRule>
  </conditionalFormatting>
  <conditionalFormatting sqref="I4:I357">
    <cfRule type="containsText" dxfId="8" priority="2" operator="containsText" text="No">
      <formula>NOT(ISERROR(SEARCH(("No"),(I4))))</formula>
    </cfRule>
  </conditionalFormatting>
  <conditionalFormatting sqref="K1:P357">
    <cfRule type="cellIs" dxfId="0" priority="3" operator="lessThan">
      <formula>0</formula>
    </cfRule>
  </conditionalFormatting>
  <conditionalFormatting sqref="A1:BM357">
    <cfRule type="containsBlanks" dxfId="1" priority="4">
      <formula>LEN(TRIM(A1))=0</formula>
    </cfRule>
  </conditionalFormatting>
  <conditionalFormatting sqref="C1:C357">
    <cfRule type="expression" dxfId="2" priority="5">
      <formula>COUNTIF($C:$C, C1) &gt; 1</formula>
    </cfRule>
  </conditionalFormatting>
  <conditionalFormatting sqref="F1:F357">
    <cfRule type="cellIs" dxfId="3" priority="6" operator="greaterThanOrEqual">
      <formula>8</formula>
    </cfRule>
  </conditionalFormatting>
  <conditionalFormatting sqref="F1:F357">
    <cfRule type="cellIs" dxfId="4" priority="7" operator="greaterThanOrEqual">
      <formula>5</formula>
    </cfRule>
  </conditionalFormatting>
  <conditionalFormatting sqref="F1:F357">
    <cfRule type="cellIs" dxfId="5" priority="8" operator="between">
      <formula>5</formula>
      <formula>-1</formula>
    </cfRule>
  </conditionalFormatting>
  <conditionalFormatting sqref="F1:F357">
    <cfRule type="cellIs" dxfId="6" priority="9" operator="lessThan">
      <formula>-5</formula>
    </cfRule>
  </conditionalFormatting>
  <conditionalFormatting sqref="G1:H357">
    <cfRule type="cellIs" dxfId="7" priority="10" operator="greaterThanOrEqual">
      <formula>4</formula>
    </cfRule>
  </conditionalFormatting>
  <conditionalFormatting sqref="F1:F357">
    <cfRule type="cellIs" dxfId="9" priority="11" operator="lessThan">
      <formula>-1</formula>
    </cfRule>
  </conditionalFormatting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2.13"/>
    <col customWidth="1" min="2" max="2" width="9.13"/>
    <col customWidth="1" min="3" max="3" width="8.25"/>
    <col customWidth="1" min="4" max="4" width="37.13"/>
    <col customWidth="1" min="5" max="5" width="25.63"/>
    <col customWidth="1" min="6" max="6" width="11.25"/>
    <col customWidth="1" min="7" max="7" width="8.25"/>
    <col customWidth="1" min="8" max="8" width="6.75"/>
    <col customWidth="1" min="9" max="9" width="14.75"/>
    <col customWidth="1" min="10" max="10" width="13.63"/>
    <col customWidth="1" min="11" max="11" width="6.63"/>
    <col customWidth="1" min="12" max="12" width="7.13"/>
    <col customWidth="1" min="13" max="13" width="7.38"/>
    <col customWidth="1" min="14" max="14" width="7.63"/>
    <col customWidth="1" min="15" max="15" width="8.0"/>
    <col customWidth="1" min="16" max="16" width="8.75"/>
    <col customWidth="1" min="17" max="17" width="9.38"/>
    <col customWidth="1" min="18" max="18" width="8.63"/>
    <col customWidth="1" min="19" max="19" width="1.63"/>
    <col customWidth="1" min="20" max="20" width="9.25"/>
    <col customWidth="1" min="21" max="22" width="10.75"/>
    <col customWidth="1" min="23" max="23" width="10.88"/>
    <col customWidth="1" min="24" max="24" width="10.75"/>
    <col customWidth="1" min="25" max="25" width="10.88"/>
    <col customWidth="1" min="26" max="26" width="10.75"/>
    <col customWidth="1" min="27" max="28" width="10.88"/>
    <col customWidth="1" min="29" max="29" width="11.5"/>
    <col customWidth="1" min="30" max="30" width="11.0"/>
    <col customWidth="1" min="31" max="32" width="11.25"/>
    <col customWidth="1" min="33" max="33" width="11.5"/>
    <col customWidth="1" min="34" max="38" width="11.38"/>
    <col customWidth="1" min="39" max="39" width="11.75"/>
    <col customWidth="1" min="40" max="40" width="11.38"/>
    <col customWidth="1" min="41" max="41" width="11.63"/>
    <col customWidth="1" min="42" max="42" width="14.5"/>
    <col customWidth="1" min="43" max="64" width="5.5"/>
    <col customWidth="1" min="65" max="65" width="5.3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5" t="s">
        <v>5</v>
      </c>
      <c r="F1" s="3" t="s">
        <v>4</v>
      </c>
      <c r="G1" s="9" t="s">
        <v>6</v>
      </c>
      <c r="H1" s="5" t="s">
        <v>17</v>
      </c>
      <c r="I1" s="5" t="s">
        <v>19</v>
      </c>
      <c r="J1" s="5" t="s">
        <v>23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6" t="s">
        <v>13</v>
      </c>
      <c r="R1" s="7" t="s">
        <v>14</v>
      </c>
      <c r="S1" s="8" t="s">
        <v>15</v>
      </c>
      <c r="T1" s="10" t="s">
        <v>16</v>
      </c>
      <c r="U1" s="11" t="s">
        <v>18</v>
      </c>
      <c r="V1" s="12" t="s">
        <v>20</v>
      </c>
      <c r="W1" s="11" t="s">
        <v>21</v>
      </c>
      <c r="X1" s="12" t="s">
        <v>22</v>
      </c>
      <c r="Y1" s="11" t="s">
        <v>24</v>
      </c>
      <c r="Z1" s="11" t="s">
        <v>25</v>
      </c>
      <c r="AA1" s="12" t="s">
        <v>26</v>
      </c>
      <c r="AB1" s="11" t="s">
        <v>27</v>
      </c>
      <c r="AC1" s="12" t="s">
        <v>28</v>
      </c>
      <c r="AD1" s="11" t="s">
        <v>29</v>
      </c>
      <c r="AE1" s="11" t="s">
        <v>30</v>
      </c>
      <c r="AF1" s="12" t="s">
        <v>31</v>
      </c>
      <c r="AG1" s="11" t="s">
        <v>32</v>
      </c>
      <c r="AH1" s="12" t="s">
        <v>33</v>
      </c>
      <c r="AI1" s="11" t="s">
        <v>34</v>
      </c>
      <c r="AJ1" s="11" t="s">
        <v>35</v>
      </c>
      <c r="AK1" s="12" t="s">
        <v>36</v>
      </c>
      <c r="AL1" s="11" t="s">
        <v>37</v>
      </c>
      <c r="AM1" s="12" t="s">
        <v>38</v>
      </c>
      <c r="AN1" s="11" t="s">
        <v>39</v>
      </c>
      <c r="AO1" s="11" t="s">
        <v>40</v>
      </c>
      <c r="AP1" s="13"/>
      <c r="AQ1" s="14">
        <v>1.0</v>
      </c>
      <c r="AR1" s="14">
        <v>2.0</v>
      </c>
      <c r="AS1" s="14">
        <v>3.0</v>
      </c>
      <c r="AT1" s="14">
        <v>4.0</v>
      </c>
      <c r="AU1" s="14">
        <v>5.0</v>
      </c>
      <c r="AV1" s="14">
        <v>6.0</v>
      </c>
      <c r="AW1" s="14">
        <v>7.0</v>
      </c>
      <c r="AX1" s="14">
        <v>8.0</v>
      </c>
      <c r="AY1" s="14">
        <v>9.0</v>
      </c>
      <c r="AZ1" s="14">
        <v>10.0</v>
      </c>
      <c r="BA1" s="14">
        <v>11.0</v>
      </c>
      <c r="BB1" s="14">
        <v>12.0</v>
      </c>
      <c r="BC1" s="14">
        <v>13.0</v>
      </c>
      <c r="BD1" s="14">
        <v>14.0</v>
      </c>
      <c r="BE1" s="14">
        <v>15.0</v>
      </c>
      <c r="BF1" s="14">
        <v>16.0</v>
      </c>
      <c r="BG1" s="14">
        <v>17.0</v>
      </c>
      <c r="BH1" s="14">
        <v>18.0</v>
      </c>
      <c r="BI1" s="14">
        <v>19.0</v>
      </c>
      <c r="BJ1" s="14">
        <v>20.0</v>
      </c>
      <c r="BK1" s="14">
        <v>21.0</v>
      </c>
      <c r="BL1" s="14">
        <v>22.0</v>
      </c>
      <c r="BM1" s="14" t="s">
        <v>41</v>
      </c>
    </row>
    <row r="2">
      <c r="A2" s="16" t="str">
        <f>IFERROR(__xludf.DUMMYFUNCTION("SPARKLINE(SORT(MAP(TRANSPOSE(AQ2:BL2), LAMBDA(val, PERCENTRANK(AQ2:BL2, val)+0.01)), SEQUENCE(COLUMNS(AQ2:BL2)), FALSE), {""charttype"",""column""; ""color"",""chartreuse""; ""ymin"", 0; ""ymax"", 1.01; ""highcolor"", ""darkgreen""; ""lowcolor"", ""red""}"&amp;")"),"#N/A")</f>
        <v>#N/A</v>
      </c>
      <c r="B2" s="17">
        <f>IF(C2="SPY", 1, PERCENTRANK(AQ2:BL2, AQ2))</f>
        <v>1</v>
      </c>
      <c r="C2" s="1" t="s">
        <v>42</v>
      </c>
      <c r="D2" s="18" t="str">
        <f>IFERROR(__xludf.DUMMYFUNCTION("IFERROR(GOOGLEFINANCE(C2, ""NAME""))"),"State Street SPDR S&amp;P 500 ETF Trust")</f>
        <v>State Street SPDR S&amp;P 500 ETF Trust</v>
      </c>
      <c r="E2" s="22"/>
      <c r="F2" s="19" t="str">
        <f>IFERROR(__xludf.DUMMYFUNCTION("( (GOOGLEFINANCE(C2, ""price"") - Q2) / Q2 ) / (R2 / 100)"),"Loading...")</f>
        <v>Loading...</v>
      </c>
      <c r="G2" s="22"/>
      <c r="H2" s="22"/>
      <c r="I2" s="22"/>
      <c r="J2" s="22"/>
      <c r="K2" s="21" t="str">
        <f>IFERROR(__xludf.DUMMYFUNCTION("IFERROR(GOOGLEFINANCE(C2, ""changepct"") / 100, """")"),"")</f>
        <v/>
      </c>
      <c r="L2" s="21" t="str">
        <f>IFERROR(__xludf.DUMMYFUNCTION("IFERROR((GOOGLEFINANCE(C2, ""price"") / INDEX(GOOGLEFINANCE(C2, ""price"", TODAY()-7, TODAY()), 2, 2)) - 1, """")"),"")</f>
        <v/>
      </c>
      <c r="M2" s="21" t="str">
        <f>IFERROR(__xludf.DUMMYFUNCTION("IFERROR((GOOGLEFINANCE(C2, ""price"") / INDEX(GOOGLEFINANCE(C2, ""price"", EDATE(TODAY(), -1), TODAY()), 2, 2)) - 1, """")"),"")</f>
        <v/>
      </c>
      <c r="N2" s="21" t="str">
        <f>IFERROR(__xludf.DUMMYFUNCTION("IFERROR((GOOGLEFINANCE(C2, ""price"") / INDEX(GOOGLEFINANCE(C2, ""price"", EDATE(TODAY(), -3), TODAY()), 2, 2)) - 1, """")"),"")</f>
        <v/>
      </c>
      <c r="O2" s="21" t="str">
        <f>IFERROR(__xludf.DUMMYFUNCTION("IFERROR((GOOGLEFINANCE(C2, ""price"") / INDEX(GOOGLEFINANCE(C2, ""price"", EDATE(TODAY(), -6), TODAY()), 2, 2)) - 1, """")"),"")</f>
        <v/>
      </c>
      <c r="P2" s="21" t="str">
        <f>IFERROR(__xludf.DUMMYFUNCTION("IFERROR((GOOGLEFINANCE(C2, ""price"") / INDEX(GOOGLEFINANCE(C2, ""price"", EDATE(TODAY(), -12), TODAY()), 2, 2)) - 1, """")"),"")</f>
        <v/>
      </c>
      <c r="Q2" s="23" t="str">
        <f>IFERROR(__xludf.DUMMYFUNCTION("AVERAGE(QUERY(GOOGLEFINANCE(C2, ""price"", TODAY()-80, TODAY()), ""SELECT Col2 WHERE Col2 IS NOT NULL ORDER BY Col1 DESC LIMIT 50"", 0))"),"#N/A")</f>
        <v>#N/A</v>
      </c>
      <c r="R2" s="24" t="str">
        <f>IFERROR(__xludf.DUMMYFUNCTION("IFERROR(
  LET(
    data, QUERY(GOOGLEFINANCE(C2,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GOOGLEFINANCE(C2, ""price"")) * 100,
    IF(calc=0, G2, calc)
  ), 
G2)"),"")</f>
        <v/>
      </c>
      <c r="S2" s="8" t="s">
        <v>15</v>
      </c>
      <c r="T2" s="26" t="str">
        <f>IFERROR(__xludf.DUMMYFUNCTION("TRANSPOSE(QUERY(SORT(GOOGLEFINANCE(C2, ""price"", WORKDAY(TODAY(), -40), TODAY()), 1, FALSE), ""select Col2 where Col2 is not null limit 22 label Col2 ''"", 0))"),"#N/A")</f>
        <v>#N/A</v>
      </c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8"/>
      <c r="AO2" s="28"/>
      <c r="AP2" s="29"/>
      <c r="AQ2" s="29" t="str">
        <f t="shared" ref="AQ2:BL2" si="1">T2/T$2</f>
        <v>#N/A</v>
      </c>
      <c r="AR2" s="29" t="str">
        <f t="shared" si="1"/>
        <v>#DIV/0!</v>
      </c>
      <c r="AS2" s="29" t="str">
        <f t="shared" si="1"/>
        <v>#DIV/0!</v>
      </c>
      <c r="AT2" s="29" t="str">
        <f t="shared" si="1"/>
        <v>#DIV/0!</v>
      </c>
      <c r="AU2" s="29" t="str">
        <f t="shared" si="1"/>
        <v>#DIV/0!</v>
      </c>
      <c r="AV2" s="29" t="str">
        <f t="shared" si="1"/>
        <v>#DIV/0!</v>
      </c>
      <c r="AW2" s="29" t="str">
        <f t="shared" si="1"/>
        <v>#DIV/0!</v>
      </c>
      <c r="AX2" s="29" t="str">
        <f t="shared" si="1"/>
        <v>#DIV/0!</v>
      </c>
      <c r="AY2" s="29" t="str">
        <f t="shared" si="1"/>
        <v>#DIV/0!</v>
      </c>
      <c r="AZ2" s="29" t="str">
        <f t="shared" si="1"/>
        <v>#DIV/0!</v>
      </c>
      <c r="BA2" s="29" t="str">
        <f t="shared" si="1"/>
        <v>#DIV/0!</v>
      </c>
      <c r="BB2" s="29" t="str">
        <f t="shared" si="1"/>
        <v>#DIV/0!</v>
      </c>
      <c r="BC2" s="29" t="str">
        <f t="shared" si="1"/>
        <v>#DIV/0!</v>
      </c>
      <c r="BD2" s="29" t="str">
        <f t="shared" si="1"/>
        <v>#DIV/0!</v>
      </c>
      <c r="BE2" s="29" t="str">
        <f t="shared" si="1"/>
        <v>#DIV/0!</v>
      </c>
      <c r="BF2" s="29" t="str">
        <f t="shared" si="1"/>
        <v>#DIV/0!</v>
      </c>
      <c r="BG2" s="29" t="str">
        <f t="shared" si="1"/>
        <v>#DIV/0!</v>
      </c>
      <c r="BH2" s="29" t="str">
        <f t="shared" si="1"/>
        <v>#DIV/0!</v>
      </c>
      <c r="BI2" s="29" t="str">
        <f t="shared" si="1"/>
        <v>#DIV/0!</v>
      </c>
      <c r="BJ2" s="29" t="str">
        <f t="shared" si="1"/>
        <v>#DIV/0!</v>
      </c>
      <c r="BK2" s="29" t="str">
        <f t="shared" si="1"/>
        <v>#DIV/0!</v>
      </c>
      <c r="BL2" s="29" t="str">
        <f t="shared" si="1"/>
        <v>#DIV/0!</v>
      </c>
      <c r="BM2" s="29" t="str">
        <f t="shared" ref="BM2:BM435" si="3">(T2/AO2)/(T$2/AO$2)</f>
        <v>#N/A</v>
      </c>
    </row>
    <row r="3">
      <c r="A3" s="16" t="str">
        <f>IFERROR(__xludf.DUMMYFUNCTION("IFERROR(SPARKLINE(SORT(MAP(TRANSPOSE(AQ3:BL3), LAMBDA(val, IF(ISNUMBER(val), PERCENTRANK(AQ3:BL3, val)+0.01, 0))), SEQUENCE(COLUMNS(AQ3:BL3)), FALSE), {""charttype"",""column""; ""color"",""chartreuse""; ""ymin"", 0; ""ymax"", 1.01; ""highcolor"", ""darkg"&amp;"reen""; ""lowcolor"", ""red""}), """")"),"")</f>
        <v/>
      </c>
      <c r="B3" s="17" t="str">
        <f t="shared" ref="B3:B435" si="4">IFERROR(IF(C3="SPY", 1, IF(ISNUMBER(AQ3), PERCENTRANK(AQ3:BL3, AQ3), "")), "")</f>
        <v/>
      </c>
      <c r="C3" s="1" t="s">
        <v>88</v>
      </c>
      <c r="D3" s="30" t="str">
        <f>IFERROR(__xludf.DUMMYFUNCTION("IFERROR(GOOGLEFINANCE(C3, ""NAME""))"),"State Street Industrial Select Sector SPDR ETF")</f>
        <v>State Street Industrial Select Sector SPDR ETF</v>
      </c>
      <c r="E3" s="31"/>
      <c r="F3" s="33" t="str">
        <f>IFERROR(__xludf.DUMMYFUNCTION("( (GOOGLEFINANCE(C3, ""price"") - Q3) / Q3 ) / (R3 / 100)"),"Loading...")</f>
        <v>Loading...</v>
      </c>
      <c r="G3" s="31"/>
      <c r="H3" s="31"/>
      <c r="I3" s="31"/>
      <c r="J3" s="31"/>
      <c r="K3" s="21" t="str">
        <f>IFERROR(__xludf.DUMMYFUNCTION("IFERROR(GOOGLEFINANCE(C3, ""changepct"") / 100, """")"),"")</f>
        <v/>
      </c>
      <c r="L3" s="21" t="str">
        <f>IFERROR(__xludf.DUMMYFUNCTION("IFERROR((GOOGLEFINANCE(C3, ""price"") / INDEX(GOOGLEFINANCE(C3, ""price"", TODAY()-7, TODAY()), 2, 2)) - 1, """")"),"")</f>
        <v/>
      </c>
      <c r="M3" s="21" t="str">
        <f>IFERROR(__xludf.DUMMYFUNCTION("IFERROR((GOOGLEFINANCE(C3, ""price"") / INDEX(GOOGLEFINANCE(C3, ""price"", EDATE(TODAY(), -1), TODAY()), 2, 2)) - 1, """")"),"")</f>
        <v/>
      </c>
      <c r="N3" s="21" t="str">
        <f>IFERROR(__xludf.DUMMYFUNCTION("IFERROR((GOOGLEFINANCE(C3, ""price"") / INDEX(GOOGLEFINANCE(C3, ""price"", EDATE(TODAY(), -3), TODAY()), 2, 2)) - 1, """")"),"")</f>
        <v/>
      </c>
      <c r="O3" s="21" t="str">
        <f>IFERROR(__xludf.DUMMYFUNCTION("IFERROR((GOOGLEFINANCE(C3, ""price"") / INDEX(GOOGLEFINANCE(C3, ""price"", EDATE(TODAY(), -6), TODAY()), 2, 2)) - 1, """")"),"")</f>
        <v/>
      </c>
      <c r="P3" s="21" t="str">
        <f>IFERROR(__xludf.DUMMYFUNCTION("IFERROR((GOOGLEFINANCE(C3, ""price"") / INDEX(GOOGLEFINANCE(C3, ""price"", EDATE(TODAY(), -12), TODAY()), 2, 2)) - 1, """")"),"")</f>
        <v/>
      </c>
      <c r="Q3" s="6" t="str">
        <f>IFERROR(__xludf.DUMMYFUNCTION("AVERAGE(QUERY(GOOGLEFINANCE(C3, ""price"", TODAY()-80, TODAY()), ""SELECT Col2 WHERE Col2 IS NOT NULL ORDER BY Col1 DESC LIMIT 50"", 0))"),"#N/A")</f>
        <v>#N/A</v>
      </c>
      <c r="R3" s="24" t="str">
        <f>IFERROR(__xludf.DUMMYFUNCTION("IFERROR(
  LET(
    data, QUERY(GOOGLEFINANCE(C3,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GOOGLEFINANCE(C3, ""price"")) * 100,
    IF(calc=0, G3, calc)
  ), 
G3)"),"")</f>
        <v/>
      </c>
      <c r="S3" s="8" t="s">
        <v>15</v>
      </c>
      <c r="T3" s="26" t="str">
        <f>IFERROR(__xludf.DUMMYFUNCTION("IFERROR(TRANSPOSE(QUERY(IFERROR(SORT(GOOGLEFINANCE(C3, ""price"", WORKDAY(TODAY(), -40), TODAY()), 1, FALSE)), ""select Col2 where Col2 is not null limit 22 label Col2 ''"", 0)), """")"),"")</f>
        <v/>
      </c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8"/>
      <c r="AO3" s="28"/>
      <c r="AP3" s="29"/>
      <c r="AQ3" s="29" t="str">
        <f t="shared" ref="AQ3:BL3" si="2">T3/T$2</f>
        <v>#N/A</v>
      </c>
      <c r="AR3" s="29" t="str">
        <f t="shared" si="2"/>
        <v>#DIV/0!</v>
      </c>
      <c r="AS3" s="29" t="str">
        <f t="shared" si="2"/>
        <v>#DIV/0!</v>
      </c>
      <c r="AT3" s="29" t="str">
        <f t="shared" si="2"/>
        <v>#DIV/0!</v>
      </c>
      <c r="AU3" s="29" t="str">
        <f t="shared" si="2"/>
        <v>#DIV/0!</v>
      </c>
      <c r="AV3" s="29" t="str">
        <f t="shared" si="2"/>
        <v>#DIV/0!</v>
      </c>
      <c r="AW3" s="29" t="str">
        <f t="shared" si="2"/>
        <v>#DIV/0!</v>
      </c>
      <c r="AX3" s="29" t="str">
        <f t="shared" si="2"/>
        <v>#DIV/0!</v>
      </c>
      <c r="AY3" s="29" t="str">
        <f t="shared" si="2"/>
        <v>#DIV/0!</v>
      </c>
      <c r="AZ3" s="29" t="str">
        <f t="shared" si="2"/>
        <v>#DIV/0!</v>
      </c>
      <c r="BA3" s="29" t="str">
        <f t="shared" si="2"/>
        <v>#DIV/0!</v>
      </c>
      <c r="BB3" s="29" t="str">
        <f t="shared" si="2"/>
        <v>#DIV/0!</v>
      </c>
      <c r="BC3" s="29" t="str">
        <f t="shared" si="2"/>
        <v>#DIV/0!</v>
      </c>
      <c r="BD3" s="29" t="str">
        <f t="shared" si="2"/>
        <v>#DIV/0!</v>
      </c>
      <c r="BE3" s="29" t="str">
        <f t="shared" si="2"/>
        <v>#DIV/0!</v>
      </c>
      <c r="BF3" s="29" t="str">
        <f t="shared" si="2"/>
        <v>#DIV/0!</v>
      </c>
      <c r="BG3" s="29" t="str">
        <f t="shared" si="2"/>
        <v>#DIV/0!</v>
      </c>
      <c r="BH3" s="29" t="str">
        <f t="shared" si="2"/>
        <v>#DIV/0!</v>
      </c>
      <c r="BI3" s="29" t="str">
        <f t="shared" si="2"/>
        <v>#DIV/0!</v>
      </c>
      <c r="BJ3" s="29" t="str">
        <f t="shared" si="2"/>
        <v>#DIV/0!</v>
      </c>
      <c r="BK3" s="29" t="str">
        <f t="shared" si="2"/>
        <v>#DIV/0!</v>
      </c>
      <c r="BL3" s="29" t="str">
        <f t="shared" si="2"/>
        <v>#DIV/0!</v>
      </c>
      <c r="BM3" s="29" t="str">
        <f t="shared" si="3"/>
        <v>#DIV/0!</v>
      </c>
    </row>
    <row r="4">
      <c r="A4" s="16" t="str">
        <f>IFERROR(__xludf.DUMMYFUNCTION("IFERROR(SPARKLINE(SORT(MAP(TRANSPOSE(AQ4:BL4), LAMBDA(val, IF(ISNUMBER(val), PERCENTRANK(AQ4:BL4, val)+0.01, 0))), SEQUENCE(COLUMNS(AQ4:BL4)), FALSE), {""charttype"",""column""; ""color"",""chartreuse""; ""ymin"", 0; ""ymax"", 1.01; ""highcolor"", ""darkg"&amp;"reen""; ""lowcolor"", ""red""}), """")"),"")</f>
        <v/>
      </c>
      <c r="B4" s="17" t="str">
        <f t="shared" si="4"/>
        <v/>
      </c>
      <c r="C4" s="1" t="s">
        <v>828</v>
      </c>
      <c r="D4" s="30" t="str">
        <f>IFERROR(__xludf.DUMMYFUNCTION("IFERROR(GOOGLEFINANCE(C4, ""NAME""))"),"Xometry Inc")</f>
        <v>Xometry Inc</v>
      </c>
      <c r="E4" s="30" t="s">
        <v>829</v>
      </c>
      <c r="F4" s="33" t="str">
        <f>IFERROR(__xludf.DUMMYFUNCTION("( (GOOGLEFINANCE(C4, ""price"") - Q4) / Q4 ) / (R4 / 100)"),"Loading...")</f>
        <v>Loading...</v>
      </c>
      <c r="G4" s="20" t="str">
        <f>IFERROR(__xludf.DUMMYFUNCTION("AVERAGE(ARRAYFORMULA(100 * (QUERY(GOOGLEFINANCE(C4, ""high"", TODAY()-40, TODAY()), ""SELECT Col2 WHERE Col2 IS NOT NULL ORDER BY Col1 DESC LIMIT 20"", 0) / QUERY(GOOGLEFINANCE(C4, ""low"", TODAY()-40, TODAY()), ""SELECT Col2 WHERE Col2 IS NOT NULL ORDER "&amp;"BY Col1 DESC LIMIT 20"", 0) - 1)))"),"#N/A")</f>
        <v>#N/A</v>
      </c>
      <c r="H4" s="35" t="str">
        <f t="shared" ref="H4:H435" si="6">IFERROR(IF(ISNUMBER(J4), IF(J4 &lt; 50000000, "Illiquid", "Liquid"), ""), "")</f>
        <v/>
      </c>
      <c r="I4" s="35" t="str">
        <f t="shared" ref="I4:I435" si="7">IFERROR(IF(ISNUMBER(J4), IF(J4 &lt; 500000000, "RVol Required", "No RVol Required"), ""), "")</f>
        <v/>
      </c>
      <c r="J4" s="37" t="str">
        <f>IFERROR(__xludf.DUMMYFUNCTION("IFERROR(
  IF(C4="""",, 
    IFERROR(
      GOOGLEFINANCE(C4, ""price"") * GOOGLEFINANCE(C4, ""volumeavg""), 
      GOOGLEFINANCE(C4, ""price"") * AVERAGE(QUERY(GOOGLEFINANCE(C4, ""volume"", TODAY()-40, TODAY()), ""SELECT Col2 WHERE Col2 IS NOT NULL ORDER"&amp;" BY Col1 DESC LIMIT 20"", 0))
    )
  ), 
"""")"),"")</f>
        <v/>
      </c>
      <c r="K4" s="21" t="str">
        <f>IFERROR(__xludf.DUMMYFUNCTION("IFERROR(GOOGLEFINANCE(C4, ""changepct"") / 100, """")"),"")</f>
        <v/>
      </c>
      <c r="L4" s="21" t="str">
        <f>IFERROR(__xludf.DUMMYFUNCTION("IFERROR((GOOGLEFINANCE(C4, ""price"") / INDEX(GOOGLEFINANCE(C4, ""price"", TODAY()-7, TODAY()), 2, 2)) - 1, """")"),"")</f>
        <v/>
      </c>
      <c r="M4" s="21" t="str">
        <f>IFERROR(__xludf.DUMMYFUNCTION("IFERROR((GOOGLEFINANCE(C4, ""price"") / INDEX(GOOGLEFINANCE(C4, ""price"", EDATE(TODAY(), -1), TODAY()), 2, 2)) - 1, """")"),"")</f>
        <v/>
      </c>
      <c r="N4" s="21" t="str">
        <f>IFERROR(__xludf.DUMMYFUNCTION("IFERROR((GOOGLEFINANCE(C4, ""price"") / INDEX(GOOGLEFINANCE(C4, ""price"", EDATE(TODAY(), -3), TODAY()), 2, 2)) - 1, """")"),"")</f>
        <v/>
      </c>
      <c r="O4" s="21" t="str">
        <f>IFERROR(__xludf.DUMMYFUNCTION("IFERROR((GOOGLEFINANCE(C4, ""price"") / INDEX(GOOGLEFINANCE(C4, ""price"", EDATE(TODAY(), -6), TODAY()), 2, 2)) - 1, """")"),"")</f>
        <v/>
      </c>
      <c r="P4" s="21" t="str">
        <f>IFERROR(__xludf.DUMMYFUNCTION("IFERROR((GOOGLEFINANCE(C4, ""price"") / INDEX(GOOGLEFINANCE(C4, ""price"", EDATE(TODAY(), -12), TODAY()), 2, 2)) - 1, """")"),"")</f>
        <v/>
      </c>
      <c r="Q4" s="6" t="str">
        <f>IFERROR(__xludf.DUMMYFUNCTION("AVERAGE(QUERY(GOOGLEFINANCE(C4, ""price"", TODAY()-80, TODAY()), ""SELECT Col2 WHERE Col2 IS NOT NULL ORDER BY Col1 DESC LIMIT 50"", 0))"),"#N/A")</f>
        <v>#N/A</v>
      </c>
      <c r="R4" s="24" t="str">
        <f>IFERROR(__xludf.DUMMYFUNCTION("IFERROR(
  LET(
    data, QUERY(GOOGLEFINANCE(C4,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GOOGLEFINANCE(C4, ""price"")) * 100,
    IF(calc=0, G4, calc)
  ), 
G4)"),"#N/A")</f>
        <v>#N/A</v>
      </c>
      <c r="S4" s="8" t="s">
        <v>15</v>
      </c>
      <c r="T4" s="26" t="str">
        <f>IFERROR(__xludf.DUMMYFUNCTION("IFERROR(TRANSPOSE(QUERY(IFERROR(SORT(GOOGLEFINANCE(C4, ""price"", WORKDAY(TODAY(), -40), TODAY()), 1, FALSE)), ""select Col2 where Col2 is not null limit 22 label Col2 ''"", 0)), """")"),"")</f>
        <v/>
      </c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8"/>
      <c r="AO4" s="28"/>
      <c r="AP4" s="29"/>
      <c r="AQ4" s="29" t="str">
        <f t="shared" ref="AQ4:BL4" si="5">T4/T$2</f>
        <v>#N/A</v>
      </c>
      <c r="AR4" s="29" t="str">
        <f t="shared" si="5"/>
        <v>#DIV/0!</v>
      </c>
      <c r="AS4" s="29" t="str">
        <f t="shared" si="5"/>
        <v>#DIV/0!</v>
      </c>
      <c r="AT4" s="29" t="str">
        <f t="shared" si="5"/>
        <v>#DIV/0!</v>
      </c>
      <c r="AU4" s="29" t="str">
        <f t="shared" si="5"/>
        <v>#DIV/0!</v>
      </c>
      <c r="AV4" s="29" t="str">
        <f t="shared" si="5"/>
        <v>#DIV/0!</v>
      </c>
      <c r="AW4" s="29" t="str">
        <f t="shared" si="5"/>
        <v>#DIV/0!</v>
      </c>
      <c r="AX4" s="29" t="str">
        <f t="shared" si="5"/>
        <v>#DIV/0!</v>
      </c>
      <c r="AY4" s="29" t="str">
        <f t="shared" si="5"/>
        <v>#DIV/0!</v>
      </c>
      <c r="AZ4" s="29" t="str">
        <f t="shared" si="5"/>
        <v>#DIV/0!</v>
      </c>
      <c r="BA4" s="29" t="str">
        <f t="shared" si="5"/>
        <v>#DIV/0!</v>
      </c>
      <c r="BB4" s="29" t="str">
        <f t="shared" si="5"/>
        <v>#DIV/0!</v>
      </c>
      <c r="BC4" s="29" t="str">
        <f t="shared" si="5"/>
        <v>#DIV/0!</v>
      </c>
      <c r="BD4" s="29" t="str">
        <f t="shared" si="5"/>
        <v>#DIV/0!</v>
      </c>
      <c r="BE4" s="29" t="str">
        <f t="shared" si="5"/>
        <v>#DIV/0!</v>
      </c>
      <c r="BF4" s="29" t="str">
        <f t="shared" si="5"/>
        <v>#DIV/0!</v>
      </c>
      <c r="BG4" s="29" t="str">
        <f t="shared" si="5"/>
        <v>#DIV/0!</v>
      </c>
      <c r="BH4" s="29" t="str">
        <f t="shared" si="5"/>
        <v>#DIV/0!</v>
      </c>
      <c r="BI4" s="29" t="str">
        <f t="shared" si="5"/>
        <v>#DIV/0!</v>
      </c>
      <c r="BJ4" s="29" t="str">
        <f t="shared" si="5"/>
        <v>#DIV/0!</v>
      </c>
      <c r="BK4" s="29" t="str">
        <f t="shared" si="5"/>
        <v>#DIV/0!</v>
      </c>
      <c r="BL4" s="29" t="str">
        <f t="shared" si="5"/>
        <v>#DIV/0!</v>
      </c>
      <c r="BM4" s="29" t="str">
        <f t="shared" si="3"/>
        <v>#DIV/0!</v>
      </c>
    </row>
    <row r="5">
      <c r="A5" s="16" t="str">
        <f>IFERROR(__xludf.DUMMYFUNCTION("IFERROR(SPARKLINE(SORT(MAP(TRANSPOSE(AQ5:BL5), LAMBDA(val, IF(ISNUMBER(val), PERCENTRANK(AQ5:BL5, val)+0.01, 0))), SEQUENCE(COLUMNS(AQ5:BL5)), FALSE), {""charttype"",""column""; ""color"",""chartreuse""; ""ymin"", 0; ""ymax"", 1.01; ""highcolor"", ""darkg"&amp;"reen""; ""lowcolor"", ""red""}), """")"),"")</f>
        <v/>
      </c>
      <c r="B5" s="17" t="str">
        <f t="shared" si="4"/>
        <v/>
      </c>
      <c r="C5" s="1" t="s">
        <v>833</v>
      </c>
      <c r="D5" s="30" t="str">
        <f>IFERROR(__xludf.DUMMYFUNCTION("IFERROR(GOOGLEFINANCE(C5, ""NAME""))"),"Genco Shipping &amp; Trading Ltd")</f>
        <v>Genco Shipping &amp; Trading Ltd</v>
      </c>
      <c r="E5" s="30" t="s">
        <v>834</v>
      </c>
      <c r="F5" s="33" t="str">
        <f>IFERROR(__xludf.DUMMYFUNCTION("( (GOOGLEFINANCE(C5, ""price"") - Q5) / Q5 ) / (R5 / 100)"),"Loading...")</f>
        <v>Loading...</v>
      </c>
      <c r="G5" s="20" t="str">
        <f>IFERROR(__xludf.DUMMYFUNCTION("AVERAGE(ARRAYFORMULA(100 * (QUERY(GOOGLEFINANCE(C5, ""high"", TODAY()-40, TODAY()), ""SELECT Col2 WHERE Col2 IS NOT NULL ORDER BY Col1 DESC LIMIT 20"", 0) / QUERY(GOOGLEFINANCE(C5, ""low"", TODAY()-40, TODAY()), ""SELECT Col2 WHERE Col2 IS NOT NULL ORDER "&amp;"BY Col1 DESC LIMIT 20"", 0) - 1)))"),"#N/A")</f>
        <v>#N/A</v>
      </c>
      <c r="H5" s="35" t="str">
        <f t="shared" si="6"/>
        <v/>
      </c>
      <c r="I5" s="35" t="str">
        <f t="shared" si="7"/>
        <v/>
      </c>
      <c r="J5" s="37" t="str">
        <f>IFERROR(__xludf.DUMMYFUNCTION("IFERROR(
  IF(C5="""",, 
    IFERROR(
      GOOGLEFINANCE(C5, ""price"") * GOOGLEFINANCE(C5, ""volumeavg""), 
      GOOGLEFINANCE(C5, ""price"") * AVERAGE(QUERY(GOOGLEFINANCE(C5, ""volume"", TODAY()-40, TODAY()), ""SELECT Col2 WHERE Col2 IS NOT NULL ORDER"&amp;" BY Col1 DESC LIMIT 20"", 0))
    )
  ), 
"""")"),"")</f>
        <v/>
      </c>
      <c r="K5" s="21" t="str">
        <f>IFERROR(__xludf.DUMMYFUNCTION("IFERROR(GOOGLEFINANCE(C5, ""changepct"") / 100, """")"),"")</f>
        <v/>
      </c>
      <c r="L5" s="21" t="str">
        <f>IFERROR(__xludf.DUMMYFUNCTION("IFERROR((GOOGLEFINANCE(C5, ""price"") / INDEX(GOOGLEFINANCE(C5, ""price"", TODAY()-7, TODAY()), 2, 2)) - 1, """")"),"")</f>
        <v/>
      </c>
      <c r="M5" s="21" t="str">
        <f>IFERROR(__xludf.DUMMYFUNCTION("IFERROR((GOOGLEFINANCE(C5, ""price"") / INDEX(GOOGLEFINANCE(C5, ""price"", EDATE(TODAY(), -1), TODAY()), 2, 2)) - 1, """")"),"")</f>
        <v/>
      </c>
      <c r="N5" s="21" t="str">
        <f>IFERROR(__xludf.DUMMYFUNCTION("IFERROR((GOOGLEFINANCE(C5, ""price"") / INDEX(GOOGLEFINANCE(C5, ""price"", EDATE(TODAY(), -3), TODAY()), 2, 2)) - 1, """")"),"")</f>
        <v/>
      </c>
      <c r="O5" s="21" t="str">
        <f>IFERROR(__xludf.DUMMYFUNCTION("IFERROR((GOOGLEFINANCE(C5, ""price"") / INDEX(GOOGLEFINANCE(C5, ""price"", EDATE(TODAY(), -6), TODAY()), 2, 2)) - 1, """")"),"")</f>
        <v/>
      </c>
      <c r="P5" s="21" t="str">
        <f>IFERROR(__xludf.DUMMYFUNCTION("IFERROR((GOOGLEFINANCE(C5, ""price"") / INDEX(GOOGLEFINANCE(C5, ""price"", EDATE(TODAY(), -12), TODAY()), 2, 2)) - 1, """")"),"")</f>
        <v/>
      </c>
      <c r="Q5" s="6" t="str">
        <f>IFERROR(__xludf.DUMMYFUNCTION("AVERAGE(QUERY(GOOGLEFINANCE(C5, ""price"", TODAY()-80, TODAY()), ""SELECT Col2 WHERE Col2 IS NOT NULL ORDER BY Col1 DESC LIMIT 50"", 0))"),"#N/A")</f>
        <v>#N/A</v>
      </c>
      <c r="R5" s="24" t="str">
        <f>IFERROR(__xludf.DUMMYFUNCTION("IFERROR(
  LET(
    data, QUERY(GOOGLEFINANCE(C5,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GOOGLEFINANCE(C5, ""price"")) * 100,
    IF(calc=0, G5, calc)
  ), 
G5)"),"#N/A")</f>
        <v>#N/A</v>
      </c>
      <c r="S5" s="8" t="s">
        <v>15</v>
      </c>
      <c r="T5" s="26" t="str">
        <f>IFERROR(__xludf.DUMMYFUNCTION("IFERROR(TRANSPOSE(QUERY(IFERROR(SORT(GOOGLEFINANCE(C5, ""price"", WORKDAY(TODAY(), -40), TODAY()), 1, FALSE)), ""select Col2 where Col2 is not null limit 22 label Col2 ''"", 0)), """")"),"")</f>
        <v/>
      </c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8"/>
      <c r="AO5" s="28"/>
      <c r="AP5" s="29"/>
      <c r="AQ5" s="29" t="str">
        <f t="shared" ref="AQ5:BL5" si="8">T5/T$2</f>
        <v>#N/A</v>
      </c>
      <c r="AR5" s="29" t="str">
        <f t="shared" si="8"/>
        <v>#DIV/0!</v>
      </c>
      <c r="AS5" s="29" t="str">
        <f t="shared" si="8"/>
        <v>#DIV/0!</v>
      </c>
      <c r="AT5" s="29" t="str">
        <f t="shared" si="8"/>
        <v>#DIV/0!</v>
      </c>
      <c r="AU5" s="29" t="str">
        <f t="shared" si="8"/>
        <v>#DIV/0!</v>
      </c>
      <c r="AV5" s="29" t="str">
        <f t="shared" si="8"/>
        <v>#DIV/0!</v>
      </c>
      <c r="AW5" s="29" t="str">
        <f t="shared" si="8"/>
        <v>#DIV/0!</v>
      </c>
      <c r="AX5" s="29" t="str">
        <f t="shared" si="8"/>
        <v>#DIV/0!</v>
      </c>
      <c r="AY5" s="29" t="str">
        <f t="shared" si="8"/>
        <v>#DIV/0!</v>
      </c>
      <c r="AZ5" s="29" t="str">
        <f t="shared" si="8"/>
        <v>#DIV/0!</v>
      </c>
      <c r="BA5" s="29" t="str">
        <f t="shared" si="8"/>
        <v>#DIV/0!</v>
      </c>
      <c r="BB5" s="29" t="str">
        <f t="shared" si="8"/>
        <v>#DIV/0!</v>
      </c>
      <c r="BC5" s="29" t="str">
        <f t="shared" si="8"/>
        <v>#DIV/0!</v>
      </c>
      <c r="BD5" s="29" t="str">
        <f t="shared" si="8"/>
        <v>#DIV/0!</v>
      </c>
      <c r="BE5" s="29" t="str">
        <f t="shared" si="8"/>
        <v>#DIV/0!</v>
      </c>
      <c r="BF5" s="29" t="str">
        <f t="shared" si="8"/>
        <v>#DIV/0!</v>
      </c>
      <c r="BG5" s="29" t="str">
        <f t="shared" si="8"/>
        <v>#DIV/0!</v>
      </c>
      <c r="BH5" s="29" t="str">
        <f t="shared" si="8"/>
        <v>#DIV/0!</v>
      </c>
      <c r="BI5" s="29" t="str">
        <f t="shared" si="8"/>
        <v>#DIV/0!</v>
      </c>
      <c r="BJ5" s="29" t="str">
        <f t="shared" si="8"/>
        <v>#DIV/0!</v>
      </c>
      <c r="BK5" s="29" t="str">
        <f t="shared" si="8"/>
        <v>#DIV/0!</v>
      </c>
      <c r="BL5" s="29" t="str">
        <f t="shared" si="8"/>
        <v>#DIV/0!</v>
      </c>
      <c r="BM5" s="29" t="str">
        <f t="shared" si="3"/>
        <v>#DIV/0!</v>
      </c>
    </row>
    <row r="6">
      <c r="A6" s="16" t="str">
        <f>IFERROR(__xludf.DUMMYFUNCTION("IFERROR(SPARKLINE(SORT(MAP(TRANSPOSE(AQ6:BL6), LAMBDA(val, IF(ISNUMBER(val), PERCENTRANK(AQ6:BL6, val)+0.01, 0))), SEQUENCE(COLUMNS(AQ6:BL6)), FALSE), {""charttype"",""column""; ""color"",""chartreuse""; ""ymin"", 0; ""ymax"", 1.01; ""highcolor"", ""darkg"&amp;"reen""; ""lowcolor"", ""red""}), """")"),"")</f>
        <v/>
      </c>
      <c r="B6" s="17" t="str">
        <f t="shared" si="4"/>
        <v/>
      </c>
      <c r="C6" s="1" t="s">
        <v>838</v>
      </c>
      <c r="D6" s="30" t="str">
        <f>IFERROR(__xludf.DUMMYFUNCTION("IFERROR(GOOGLEFINANCE(C6, ""NAME""))"),"Rocket Lab Corp")</f>
        <v>Rocket Lab Corp</v>
      </c>
      <c r="E6" s="30" t="s">
        <v>839</v>
      </c>
      <c r="F6" s="33" t="str">
        <f>IFERROR(__xludf.DUMMYFUNCTION("( (GOOGLEFINANCE(C6, ""price"") - Q6) / Q6 ) / (R6 / 100)"),"Loading...")</f>
        <v>Loading...</v>
      </c>
      <c r="G6" s="20" t="str">
        <f>IFERROR(__xludf.DUMMYFUNCTION("AVERAGE(ARRAYFORMULA(100 * (QUERY(GOOGLEFINANCE(C6, ""high"", TODAY()-40, TODAY()), ""SELECT Col2 WHERE Col2 IS NOT NULL ORDER BY Col1 DESC LIMIT 20"", 0) / QUERY(GOOGLEFINANCE(C6, ""low"", TODAY()-40, TODAY()), ""SELECT Col2 WHERE Col2 IS NOT NULL ORDER "&amp;"BY Col1 DESC LIMIT 20"", 0) - 1)))"),"#N/A")</f>
        <v>#N/A</v>
      </c>
      <c r="H6" s="35" t="str">
        <f t="shared" si="6"/>
        <v/>
      </c>
      <c r="I6" s="35" t="str">
        <f t="shared" si="7"/>
        <v/>
      </c>
      <c r="J6" s="37" t="str">
        <f>IFERROR(__xludf.DUMMYFUNCTION("IFERROR(
  IF(C6="""",, 
    IFERROR(
      GOOGLEFINANCE(C6, ""price"") * GOOGLEFINANCE(C6, ""volumeavg""), 
      GOOGLEFINANCE(C6, ""price"") * AVERAGE(QUERY(GOOGLEFINANCE(C6, ""volume"", TODAY()-40, TODAY()), ""SELECT Col2 WHERE Col2 IS NOT NULL ORDER"&amp;" BY Col1 DESC LIMIT 20"", 0))
    )
  ), 
"""")"),"")</f>
        <v/>
      </c>
      <c r="K6" s="21" t="str">
        <f>IFERROR(__xludf.DUMMYFUNCTION("IFERROR(GOOGLEFINANCE(C6, ""changepct"") / 100, """")"),"")</f>
        <v/>
      </c>
      <c r="L6" s="21" t="str">
        <f>IFERROR(__xludf.DUMMYFUNCTION("IFERROR((GOOGLEFINANCE(C6, ""price"") / INDEX(GOOGLEFINANCE(C6, ""price"", TODAY()-7, TODAY()), 2, 2)) - 1, """")"),"")</f>
        <v/>
      </c>
      <c r="M6" s="21" t="str">
        <f>IFERROR(__xludf.DUMMYFUNCTION("IFERROR((GOOGLEFINANCE(C6, ""price"") / INDEX(GOOGLEFINANCE(C6, ""price"", EDATE(TODAY(), -1), TODAY()), 2, 2)) - 1, """")"),"")</f>
        <v/>
      </c>
      <c r="N6" s="21" t="str">
        <f>IFERROR(__xludf.DUMMYFUNCTION("IFERROR((GOOGLEFINANCE(C6, ""price"") / INDEX(GOOGLEFINANCE(C6, ""price"", EDATE(TODAY(), -3), TODAY()), 2, 2)) - 1, """")"),"")</f>
        <v/>
      </c>
      <c r="O6" s="21" t="str">
        <f>IFERROR(__xludf.DUMMYFUNCTION("IFERROR((GOOGLEFINANCE(C6, ""price"") / INDEX(GOOGLEFINANCE(C6, ""price"", EDATE(TODAY(), -6), TODAY()), 2, 2)) - 1, """")"),"")</f>
        <v/>
      </c>
      <c r="P6" s="21" t="str">
        <f>IFERROR(__xludf.DUMMYFUNCTION("IFERROR((GOOGLEFINANCE(C6, ""price"") / INDEX(GOOGLEFINANCE(C6, ""price"", EDATE(TODAY(), -12), TODAY()), 2, 2)) - 1, """")"),"")</f>
        <v/>
      </c>
      <c r="Q6" s="6" t="str">
        <f>IFERROR(__xludf.DUMMYFUNCTION("AVERAGE(QUERY(GOOGLEFINANCE(C6, ""price"", TODAY()-80, TODAY()), ""SELECT Col2 WHERE Col2 IS NOT NULL ORDER BY Col1 DESC LIMIT 50"", 0))"),"#N/A")</f>
        <v>#N/A</v>
      </c>
      <c r="R6" s="24" t="str">
        <f>IFERROR(__xludf.DUMMYFUNCTION("IFERROR(
  LET(
    data, QUERY(GOOGLEFINANCE(C6,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GOOGLEFINANCE(C6, ""price"")) * 100,
    IF(calc=0, G6, calc)
  ), 
G6)"),"#N/A")</f>
        <v>#N/A</v>
      </c>
      <c r="S6" s="8" t="s">
        <v>15</v>
      </c>
      <c r="T6" s="26" t="str">
        <f>IFERROR(__xludf.DUMMYFUNCTION("IFERROR(TRANSPOSE(QUERY(IFERROR(SORT(GOOGLEFINANCE(C6, ""price"", WORKDAY(TODAY(), -40), TODAY()), 1, FALSE)), ""select Col2 where Col2 is not null limit 22 label Col2 ''"", 0)), """")"),"")</f>
        <v/>
      </c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8"/>
      <c r="AO6" s="28"/>
      <c r="AP6" s="29"/>
      <c r="AQ6" s="29" t="str">
        <f t="shared" ref="AQ6:BL6" si="9">T6/T$2</f>
        <v>#N/A</v>
      </c>
      <c r="AR6" s="29" t="str">
        <f t="shared" si="9"/>
        <v>#DIV/0!</v>
      </c>
      <c r="AS6" s="29" t="str">
        <f t="shared" si="9"/>
        <v>#DIV/0!</v>
      </c>
      <c r="AT6" s="29" t="str">
        <f t="shared" si="9"/>
        <v>#DIV/0!</v>
      </c>
      <c r="AU6" s="29" t="str">
        <f t="shared" si="9"/>
        <v>#DIV/0!</v>
      </c>
      <c r="AV6" s="29" t="str">
        <f t="shared" si="9"/>
        <v>#DIV/0!</v>
      </c>
      <c r="AW6" s="29" t="str">
        <f t="shared" si="9"/>
        <v>#DIV/0!</v>
      </c>
      <c r="AX6" s="29" t="str">
        <f t="shared" si="9"/>
        <v>#DIV/0!</v>
      </c>
      <c r="AY6" s="29" t="str">
        <f t="shared" si="9"/>
        <v>#DIV/0!</v>
      </c>
      <c r="AZ6" s="29" t="str">
        <f t="shared" si="9"/>
        <v>#DIV/0!</v>
      </c>
      <c r="BA6" s="29" t="str">
        <f t="shared" si="9"/>
        <v>#DIV/0!</v>
      </c>
      <c r="BB6" s="29" t="str">
        <f t="shared" si="9"/>
        <v>#DIV/0!</v>
      </c>
      <c r="BC6" s="29" t="str">
        <f t="shared" si="9"/>
        <v>#DIV/0!</v>
      </c>
      <c r="BD6" s="29" t="str">
        <f t="shared" si="9"/>
        <v>#DIV/0!</v>
      </c>
      <c r="BE6" s="29" t="str">
        <f t="shared" si="9"/>
        <v>#DIV/0!</v>
      </c>
      <c r="BF6" s="29" t="str">
        <f t="shared" si="9"/>
        <v>#DIV/0!</v>
      </c>
      <c r="BG6" s="29" t="str">
        <f t="shared" si="9"/>
        <v>#DIV/0!</v>
      </c>
      <c r="BH6" s="29" t="str">
        <f t="shared" si="9"/>
        <v>#DIV/0!</v>
      </c>
      <c r="BI6" s="29" t="str">
        <f t="shared" si="9"/>
        <v>#DIV/0!</v>
      </c>
      <c r="BJ6" s="29" t="str">
        <f t="shared" si="9"/>
        <v>#DIV/0!</v>
      </c>
      <c r="BK6" s="29" t="str">
        <f t="shared" si="9"/>
        <v>#DIV/0!</v>
      </c>
      <c r="BL6" s="29" t="str">
        <f t="shared" si="9"/>
        <v>#DIV/0!</v>
      </c>
      <c r="BM6" s="29" t="str">
        <f t="shared" si="3"/>
        <v>#DIV/0!</v>
      </c>
    </row>
    <row r="7">
      <c r="A7" s="16" t="str">
        <f>IFERROR(__xludf.DUMMYFUNCTION("IFERROR(SPARKLINE(SORT(MAP(TRANSPOSE(AQ7:BL7), LAMBDA(val, IF(ISNUMBER(val), PERCENTRANK(AQ7:BL7, val)+0.01, 0))), SEQUENCE(COLUMNS(AQ7:BL7)), FALSE), {""charttype"",""column""; ""color"",""chartreuse""; ""ymin"", 0; ""ymax"", 1.01; ""highcolor"", ""darkg"&amp;"reen""; ""lowcolor"", ""red""}), """")"),"")</f>
        <v/>
      </c>
      <c r="B7" s="17" t="str">
        <f t="shared" si="4"/>
        <v/>
      </c>
      <c r="C7" s="1" t="s">
        <v>842</v>
      </c>
      <c r="D7" s="30" t="str">
        <f>IFERROR(__xludf.DUMMYFUNCTION("IFERROR(GOOGLEFINANCE(C7, ""NAME""))"),"Tetra Technologies Inc")</f>
        <v>Tetra Technologies Inc</v>
      </c>
      <c r="E7" s="30" t="s">
        <v>843</v>
      </c>
      <c r="F7" s="33" t="str">
        <f>IFERROR(__xludf.DUMMYFUNCTION("( (GOOGLEFINANCE(C7, ""price"") - Q7) / Q7 ) / (R7 / 100)"),"Loading...")</f>
        <v>Loading...</v>
      </c>
      <c r="G7" s="20" t="str">
        <f>IFERROR(__xludf.DUMMYFUNCTION("AVERAGE(ARRAYFORMULA(100 * (QUERY(GOOGLEFINANCE(C7, ""high"", TODAY()-40, TODAY()), ""SELECT Col2 WHERE Col2 IS NOT NULL ORDER BY Col1 DESC LIMIT 20"", 0) / QUERY(GOOGLEFINANCE(C7, ""low"", TODAY()-40, TODAY()), ""SELECT Col2 WHERE Col2 IS NOT NULL ORDER "&amp;"BY Col1 DESC LIMIT 20"", 0) - 1)))"),"#N/A")</f>
        <v>#N/A</v>
      </c>
      <c r="H7" s="35" t="str">
        <f t="shared" si="6"/>
        <v/>
      </c>
      <c r="I7" s="35" t="str">
        <f t="shared" si="7"/>
        <v/>
      </c>
      <c r="J7" s="37" t="str">
        <f>IFERROR(__xludf.DUMMYFUNCTION("IFERROR(
  IF(C7="""",, 
    IFERROR(
      GOOGLEFINANCE(C7, ""price"") * GOOGLEFINANCE(C7, ""volumeavg""), 
      GOOGLEFINANCE(C7, ""price"") * AVERAGE(QUERY(GOOGLEFINANCE(C7, ""volume"", TODAY()-40, TODAY()), ""SELECT Col2 WHERE Col2 IS NOT NULL ORDER"&amp;" BY Col1 DESC LIMIT 20"", 0))
    )
  ), 
"""")"),"")</f>
        <v/>
      </c>
      <c r="K7" s="21" t="str">
        <f>IFERROR(__xludf.DUMMYFUNCTION("IFERROR(GOOGLEFINANCE(C7, ""changepct"") / 100, """")"),"")</f>
        <v/>
      </c>
      <c r="L7" s="21" t="str">
        <f>IFERROR(__xludf.DUMMYFUNCTION("IFERROR((GOOGLEFINANCE(C7, ""price"") / INDEX(GOOGLEFINANCE(C7, ""price"", TODAY()-7, TODAY()), 2, 2)) - 1, """")"),"")</f>
        <v/>
      </c>
      <c r="M7" s="21" t="str">
        <f>IFERROR(__xludf.DUMMYFUNCTION("IFERROR((GOOGLEFINANCE(C7, ""price"") / INDEX(GOOGLEFINANCE(C7, ""price"", EDATE(TODAY(), -1), TODAY()), 2, 2)) - 1, """")"),"")</f>
        <v/>
      </c>
      <c r="N7" s="21" t="str">
        <f>IFERROR(__xludf.DUMMYFUNCTION("IFERROR((GOOGLEFINANCE(C7, ""price"") / INDEX(GOOGLEFINANCE(C7, ""price"", EDATE(TODAY(), -3), TODAY()), 2, 2)) - 1, """")"),"")</f>
        <v/>
      </c>
      <c r="O7" s="21" t="str">
        <f>IFERROR(__xludf.DUMMYFUNCTION("IFERROR((GOOGLEFINANCE(C7, ""price"") / INDEX(GOOGLEFINANCE(C7, ""price"", EDATE(TODAY(), -6), TODAY()), 2, 2)) - 1, """")"),"")</f>
        <v/>
      </c>
      <c r="P7" s="21" t="str">
        <f>IFERROR(__xludf.DUMMYFUNCTION("IFERROR((GOOGLEFINANCE(C7, ""price"") / INDEX(GOOGLEFINANCE(C7, ""price"", EDATE(TODAY(), -12), TODAY()), 2, 2)) - 1, """")"),"")</f>
        <v/>
      </c>
      <c r="Q7" s="6" t="str">
        <f>IFERROR(__xludf.DUMMYFUNCTION("AVERAGE(QUERY(GOOGLEFINANCE(C7, ""price"", TODAY()-80, TODAY()), ""SELECT Col2 WHERE Col2 IS NOT NULL ORDER BY Col1 DESC LIMIT 50"", 0))"),"#N/A")</f>
        <v>#N/A</v>
      </c>
      <c r="R7" s="24" t="str">
        <f>IFERROR(__xludf.DUMMYFUNCTION("IFERROR(
  LET(
    data, QUERY(GOOGLEFINANCE(C7,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GOOGLEFINANCE(C7, ""price"")) * 100,
    IF(calc=0, G7, calc)
  ), 
G7)"),"#N/A")</f>
        <v>#N/A</v>
      </c>
      <c r="S7" s="8" t="s">
        <v>15</v>
      </c>
      <c r="T7" s="26" t="str">
        <f>IFERROR(__xludf.DUMMYFUNCTION("IFERROR(TRANSPOSE(QUERY(IFERROR(SORT(GOOGLEFINANCE(C7, ""price"", WORKDAY(TODAY(), -40), TODAY()), 1, FALSE)), ""select Col2 where Col2 is not null limit 22 label Col2 ''"", 0)), """")"),"")</f>
        <v/>
      </c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8"/>
      <c r="AO7" s="28"/>
      <c r="AP7" s="29"/>
      <c r="AQ7" s="29" t="str">
        <f t="shared" ref="AQ7:BL7" si="10">T7/T$2</f>
        <v>#N/A</v>
      </c>
      <c r="AR7" s="29" t="str">
        <f t="shared" si="10"/>
        <v>#DIV/0!</v>
      </c>
      <c r="AS7" s="29" t="str">
        <f t="shared" si="10"/>
        <v>#DIV/0!</v>
      </c>
      <c r="AT7" s="29" t="str">
        <f t="shared" si="10"/>
        <v>#DIV/0!</v>
      </c>
      <c r="AU7" s="29" t="str">
        <f t="shared" si="10"/>
        <v>#DIV/0!</v>
      </c>
      <c r="AV7" s="29" t="str">
        <f t="shared" si="10"/>
        <v>#DIV/0!</v>
      </c>
      <c r="AW7" s="29" t="str">
        <f t="shared" si="10"/>
        <v>#DIV/0!</v>
      </c>
      <c r="AX7" s="29" t="str">
        <f t="shared" si="10"/>
        <v>#DIV/0!</v>
      </c>
      <c r="AY7" s="29" t="str">
        <f t="shared" si="10"/>
        <v>#DIV/0!</v>
      </c>
      <c r="AZ7" s="29" t="str">
        <f t="shared" si="10"/>
        <v>#DIV/0!</v>
      </c>
      <c r="BA7" s="29" t="str">
        <f t="shared" si="10"/>
        <v>#DIV/0!</v>
      </c>
      <c r="BB7" s="29" t="str">
        <f t="shared" si="10"/>
        <v>#DIV/0!</v>
      </c>
      <c r="BC7" s="29" t="str">
        <f t="shared" si="10"/>
        <v>#DIV/0!</v>
      </c>
      <c r="BD7" s="29" t="str">
        <f t="shared" si="10"/>
        <v>#DIV/0!</v>
      </c>
      <c r="BE7" s="29" t="str">
        <f t="shared" si="10"/>
        <v>#DIV/0!</v>
      </c>
      <c r="BF7" s="29" t="str">
        <f t="shared" si="10"/>
        <v>#DIV/0!</v>
      </c>
      <c r="BG7" s="29" t="str">
        <f t="shared" si="10"/>
        <v>#DIV/0!</v>
      </c>
      <c r="BH7" s="29" t="str">
        <f t="shared" si="10"/>
        <v>#DIV/0!</v>
      </c>
      <c r="BI7" s="29" t="str">
        <f t="shared" si="10"/>
        <v>#DIV/0!</v>
      </c>
      <c r="BJ7" s="29" t="str">
        <f t="shared" si="10"/>
        <v>#DIV/0!</v>
      </c>
      <c r="BK7" s="29" t="str">
        <f t="shared" si="10"/>
        <v>#DIV/0!</v>
      </c>
      <c r="BL7" s="29" t="str">
        <f t="shared" si="10"/>
        <v>#DIV/0!</v>
      </c>
      <c r="BM7" s="29" t="str">
        <f t="shared" si="3"/>
        <v>#DIV/0!</v>
      </c>
    </row>
    <row r="8">
      <c r="A8" s="16" t="str">
        <f>IFERROR(__xludf.DUMMYFUNCTION("IFERROR(SPARKLINE(SORT(MAP(TRANSPOSE(AQ8:BL8), LAMBDA(val, IF(ISNUMBER(val), PERCENTRANK(AQ8:BL8, val)+0.01, 0))), SEQUENCE(COLUMNS(AQ8:BL8)), FALSE), {""charttype"",""column""; ""color"",""chartreuse""; ""ymin"", 0; ""ymax"", 1.01; ""highcolor"", ""darkg"&amp;"reen""; ""lowcolor"", ""red""}), """")"),"")</f>
        <v/>
      </c>
      <c r="B8" s="17" t="str">
        <f t="shared" si="4"/>
        <v/>
      </c>
      <c r="C8" s="1" t="s">
        <v>846</v>
      </c>
      <c r="D8" s="30" t="str">
        <f>IFERROR(__xludf.DUMMYFUNCTION("IFERROR(GOOGLEFINANCE(C8, ""NAME""))"),"Proto Labs Inc")</f>
        <v>Proto Labs Inc</v>
      </c>
      <c r="E8" s="30" t="s">
        <v>847</v>
      </c>
      <c r="F8" s="33" t="str">
        <f>IFERROR(__xludf.DUMMYFUNCTION("( (GOOGLEFINANCE(C8, ""price"") - Q8) / Q8 ) / (R8 / 100)"),"Loading...")</f>
        <v>Loading...</v>
      </c>
      <c r="G8" s="20" t="str">
        <f>IFERROR(__xludf.DUMMYFUNCTION("AVERAGE(ARRAYFORMULA(100 * (QUERY(GOOGLEFINANCE(C8, ""high"", TODAY()-40, TODAY()), ""SELECT Col2 WHERE Col2 IS NOT NULL ORDER BY Col1 DESC LIMIT 20"", 0) / QUERY(GOOGLEFINANCE(C8, ""low"", TODAY()-40, TODAY()), ""SELECT Col2 WHERE Col2 IS NOT NULL ORDER "&amp;"BY Col1 DESC LIMIT 20"", 0) - 1)))"),"#N/A")</f>
        <v>#N/A</v>
      </c>
      <c r="H8" s="35" t="str">
        <f t="shared" si="6"/>
        <v/>
      </c>
      <c r="I8" s="35" t="str">
        <f t="shared" si="7"/>
        <v/>
      </c>
      <c r="J8" s="37" t="str">
        <f>IFERROR(__xludf.DUMMYFUNCTION("IFERROR(
  IF(C8="""",, 
    IFERROR(
      GOOGLEFINANCE(C8, ""price"") * GOOGLEFINANCE(C8, ""volumeavg""), 
      GOOGLEFINANCE(C8, ""price"") * AVERAGE(QUERY(GOOGLEFINANCE(C8, ""volume"", TODAY()-40, TODAY()), ""SELECT Col2 WHERE Col2 IS NOT NULL ORDER"&amp;" BY Col1 DESC LIMIT 20"", 0))
    )
  ), 
"""")"),"")</f>
        <v/>
      </c>
      <c r="K8" s="21" t="str">
        <f>IFERROR(__xludf.DUMMYFUNCTION("IFERROR(GOOGLEFINANCE(C8, ""changepct"") / 100, """")"),"")</f>
        <v/>
      </c>
      <c r="L8" s="21" t="str">
        <f>IFERROR(__xludf.DUMMYFUNCTION("IFERROR((GOOGLEFINANCE(C8, ""price"") / INDEX(GOOGLEFINANCE(C8, ""price"", TODAY()-7, TODAY()), 2, 2)) - 1, """")"),"")</f>
        <v/>
      </c>
      <c r="M8" s="21" t="str">
        <f>IFERROR(__xludf.DUMMYFUNCTION("IFERROR((GOOGLEFINANCE(C8, ""price"") / INDEX(GOOGLEFINANCE(C8, ""price"", EDATE(TODAY(), -1), TODAY()), 2, 2)) - 1, """")"),"")</f>
        <v/>
      </c>
      <c r="N8" s="21" t="str">
        <f>IFERROR(__xludf.DUMMYFUNCTION("IFERROR((GOOGLEFINANCE(C8, ""price"") / INDEX(GOOGLEFINANCE(C8, ""price"", EDATE(TODAY(), -3), TODAY()), 2, 2)) - 1, """")"),"")</f>
        <v/>
      </c>
      <c r="O8" s="21" t="str">
        <f>IFERROR(__xludf.DUMMYFUNCTION("IFERROR((GOOGLEFINANCE(C8, ""price"") / INDEX(GOOGLEFINANCE(C8, ""price"", EDATE(TODAY(), -6), TODAY()), 2, 2)) - 1, """")"),"")</f>
        <v/>
      </c>
      <c r="P8" s="21" t="str">
        <f>IFERROR(__xludf.DUMMYFUNCTION("IFERROR((GOOGLEFINANCE(C8, ""price"") / INDEX(GOOGLEFINANCE(C8, ""price"", EDATE(TODAY(), -12), TODAY()), 2, 2)) - 1, """")"),"")</f>
        <v/>
      </c>
      <c r="Q8" s="6" t="str">
        <f>IFERROR(__xludf.DUMMYFUNCTION("AVERAGE(QUERY(GOOGLEFINANCE(C8, ""price"", TODAY()-80, TODAY()), ""SELECT Col2 WHERE Col2 IS NOT NULL ORDER BY Col1 DESC LIMIT 50"", 0))"),"#N/A")</f>
        <v>#N/A</v>
      </c>
      <c r="R8" s="24" t="str">
        <f>IFERROR(__xludf.DUMMYFUNCTION("IFERROR(
  LET(
    data, QUERY(GOOGLEFINANCE(C8,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GOOGLEFINANCE(C8, ""price"")) * 100,
    IF(calc=0, G8, calc)
  ), 
G8)"),"#N/A")</f>
        <v>#N/A</v>
      </c>
      <c r="S8" s="8" t="s">
        <v>15</v>
      </c>
      <c r="T8" s="26" t="str">
        <f>IFERROR(__xludf.DUMMYFUNCTION("IFERROR(TRANSPOSE(QUERY(IFERROR(SORT(GOOGLEFINANCE(C8, ""price"", WORKDAY(TODAY(), -40), TODAY()), 1, FALSE)), ""select Col2 where Col2 is not null limit 22 label Col2 ''"", 0)), """")"),"")</f>
        <v/>
      </c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8"/>
      <c r="AO8" s="28"/>
      <c r="AP8" s="29"/>
      <c r="AQ8" s="29" t="str">
        <f t="shared" ref="AQ8:BL8" si="11">T8/T$2</f>
        <v>#N/A</v>
      </c>
      <c r="AR8" s="29" t="str">
        <f t="shared" si="11"/>
        <v>#DIV/0!</v>
      </c>
      <c r="AS8" s="29" t="str">
        <f t="shared" si="11"/>
        <v>#DIV/0!</v>
      </c>
      <c r="AT8" s="29" t="str">
        <f t="shared" si="11"/>
        <v>#DIV/0!</v>
      </c>
      <c r="AU8" s="29" t="str">
        <f t="shared" si="11"/>
        <v>#DIV/0!</v>
      </c>
      <c r="AV8" s="29" t="str">
        <f t="shared" si="11"/>
        <v>#DIV/0!</v>
      </c>
      <c r="AW8" s="29" t="str">
        <f t="shared" si="11"/>
        <v>#DIV/0!</v>
      </c>
      <c r="AX8" s="29" t="str">
        <f t="shared" si="11"/>
        <v>#DIV/0!</v>
      </c>
      <c r="AY8" s="29" t="str">
        <f t="shared" si="11"/>
        <v>#DIV/0!</v>
      </c>
      <c r="AZ8" s="29" t="str">
        <f t="shared" si="11"/>
        <v>#DIV/0!</v>
      </c>
      <c r="BA8" s="29" t="str">
        <f t="shared" si="11"/>
        <v>#DIV/0!</v>
      </c>
      <c r="BB8" s="29" t="str">
        <f t="shared" si="11"/>
        <v>#DIV/0!</v>
      </c>
      <c r="BC8" s="29" t="str">
        <f t="shared" si="11"/>
        <v>#DIV/0!</v>
      </c>
      <c r="BD8" s="29" t="str">
        <f t="shared" si="11"/>
        <v>#DIV/0!</v>
      </c>
      <c r="BE8" s="29" t="str">
        <f t="shared" si="11"/>
        <v>#DIV/0!</v>
      </c>
      <c r="BF8" s="29" t="str">
        <f t="shared" si="11"/>
        <v>#DIV/0!</v>
      </c>
      <c r="BG8" s="29" t="str">
        <f t="shared" si="11"/>
        <v>#DIV/0!</v>
      </c>
      <c r="BH8" s="29" t="str">
        <f t="shared" si="11"/>
        <v>#DIV/0!</v>
      </c>
      <c r="BI8" s="29" t="str">
        <f t="shared" si="11"/>
        <v>#DIV/0!</v>
      </c>
      <c r="BJ8" s="29" t="str">
        <f t="shared" si="11"/>
        <v>#DIV/0!</v>
      </c>
      <c r="BK8" s="29" t="str">
        <f t="shared" si="11"/>
        <v>#DIV/0!</v>
      </c>
      <c r="BL8" s="29" t="str">
        <f t="shared" si="11"/>
        <v>#DIV/0!</v>
      </c>
      <c r="BM8" s="29" t="str">
        <f t="shared" si="3"/>
        <v>#DIV/0!</v>
      </c>
    </row>
    <row r="9">
      <c r="A9" s="16" t="str">
        <f>IFERROR(__xludf.DUMMYFUNCTION("IFERROR(SPARKLINE(SORT(MAP(TRANSPOSE(AQ9:BL9), LAMBDA(val, IF(ISNUMBER(val), PERCENTRANK(AQ9:BL9, val)+0.01, 0))), SEQUENCE(COLUMNS(AQ9:BL9)), FALSE), {""charttype"",""column""; ""color"",""chartreuse""; ""ymin"", 0; ""ymax"", 1.01; ""highcolor"", ""darkg"&amp;"reen""; ""lowcolor"", ""red""}), """")"),"")</f>
        <v/>
      </c>
      <c r="B9" s="17" t="str">
        <f t="shared" si="4"/>
        <v/>
      </c>
      <c r="C9" s="1" t="s">
        <v>851</v>
      </c>
      <c r="D9" s="30" t="str">
        <f>IFERROR(__xludf.DUMMYFUNCTION("IFERROR(GOOGLEFINANCE(C9, ""NAME""))"),"Mercury Systems Inc")</f>
        <v>Mercury Systems Inc</v>
      </c>
      <c r="E9" s="30" t="s">
        <v>839</v>
      </c>
      <c r="F9" s="33" t="str">
        <f>IFERROR(__xludf.DUMMYFUNCTION("( (GOOGLEFINANCE(C9, ""price"") - Q9) / Q9 ) / (R9 / 100)"),"Loading...")</f>
        <v>Loading...</v>
      </c>
      <c r="G9" s="20" t="str">
        <f>IFERROR(__xludf.DUMMYFUNCTION("AVERAGE(ARRAYFORMULA(100 * (QUERY(GOOGLEFINANCE(C9, ""high"", TODAY()-40, TODAY()), ""SELECT Col2 WHERE Col2 IS NOT NULL ORDER BY Col1 DESC LIMIT 20"", 0) / QUERY(GOOGLEFINANCE(C9, ""low"", TODAY()-40, TODAY()), ""SELECT Col2 WHERE Col2 IS NOT NULL ORDER "&amp;"BY Col1 DESC LIMIT 20"", 0) - 1)))"),"#N/A")</f>
        <v>#N/A</v>
      </c>
      <c r="H9" s="35" t="str">
        <f t="shared" si="6"/>
        <v/>
      </c>
      <c r="I9" s="35" t="str">
        <f t="shared" si="7"/>
        <v/>
      </c>
      <c r="J9" s="37" t="str">
        <f>IFERROR(__xludf.DUMMYFUNCTION("IFERROR(
  IF(C9="""",, 
    IFERROR(
      GOOGLEFINANCE(C9, ""price"") * GOOGLEFINANCE(C9, ""volumeavg""), 
      GOOGLEFINANCE(C9, ""price"") * AVERAGE(QUERY(GOOGLEFINANCE(C9, ""volume"", TODAY()-40, TODAY()), ""SELECT Col2 WHERE Col2 IS NOT NULL ORDER"&amp;" BY Col1 DESC LIMIT 20"", 0))
    )
  ), 
"""")"),"")</f>
        <v/>
      </c>
      <c r="K9" s="21" t="str">
        <f>IFERROR(__xludf.DUMMYFUNCTION("IFERROR(GOOGLEFINANCE(C9, ""changepct"") / 100, """")"),"")</f>
        <v/>
      </c>
      <c r="L9" s="21" t="str">
        <f>IFERROR(__xludf.DUMMYFUNCTION("IFERROR((GOOGLEFINANCE(C9, ""price"") / INDEX(GOOGLEFINANCE(C9, ""price"", TODAY()-7, TODAY()), 2, 2)) - 1, """")"),"")</f>
        <v/>
      </c>
      <c r="M9" s="21" t="str">
        <f>IFERROR(__xludf.DUMMYFUNCTION("IFERROR((GOOGLEFINANCE(C9, ""price"") / INDEX(GOOGLEFINANCE(C9, ""price"", EDATE(TODAY(), -1), TODAY()), 2, 2)) - 1, """")"),"")</f>
        <v/>
      </c>
      <c r="N9" s="21" t="str">
        <f>IFERROR(__xludf.DUMMYFUNCTION("IFERROR((GOOGLEFINANCE(C9, ""price"") / INDEX(GOOGLEFINANCE(C9, ""price"", EDATE(TODAY(), -3), TODAY()), 2, 2)) - 1, """")"),"")</f>
        <v/>
      </c>
      <c r="O9" s="21" t="str">
        <f>IFERROR(__xludf.DUMMYFUNCTION("IFERROR((GOOGLEFINANCE(C9, ""price"") / INDEX(GOOGLEFINANCE(C9, ""price"", EDATE(TODAY(), -6), TODAY()), 2, 2)) - 1, """")"),"")</f>
        <v/>
      </c>
      <c r="P9" s="21" t="str">
        <f>IFERROR(__xludf.DUMMYFUNCTION("IFERROR((GOOGLEFINANCE(C9, ""price"") / INDEX(GOOGLEFINANCE(C9, ""price"", EDATE(TODAY(), -12), TODAY()), 2, 2)) - 1, """")"),"")</f>
        <v/>
      </c>
      <c r="Q9" s="6" t="str">
        <f>IFERROR(__xludf.DUMMYFUNCTION("AVERAGE(QUERY(GOOGLEFINANCE(C9, ""price"", TODAY()-80, TODAY()), ""SELECT Col2 WHERE Col2 IS NOT NULL ORDER BY Col1 DESC LIMIT 50"", 0))"),"#N/A")</f>
        <v>#N/A</v>
      </c>
      <c r="R9" s="24" t="str">
        <f>IFERROR(__xludf.DUMMYFUNCTION("IFERROR(
  LET(
    data, QUERY(GOOGLEFINANCE(C9,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GOOGLEFINANCE(C9, ""price"")) * 100,
    IF(calc=0, G9, calc)
  ), 
G9)"),"#N/A")</f>
        <v>#N/A</v>
      </c>
      <c r="S9" s="8" t="s">
        <v>15</v>
      </c>
      <c r="T9" s="26" t="str">
        <f>IFERROR(__xludf.DUMMYFUNCTION("IFERROR(TRANSPOSE(QUERY(IFERROR(SORT(GOOGLEFINANCE(C9, ""price"", WORKDAY(TODAY(), -40), TODAY()), 1, FALSE)), ""select Col2 where Col2 is not null limit 22 label Col2 ''"", 0)), """")"),"")</f>
        <v/>
      </c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8"/>
      <c r="AO9" s="28"/>
      <c r="AP9" s="29"/>
      <c r="AQ9" s="29" t="str">
        <f t="shared" ref="AQ9:BL9" si="12">T9/T$2</f>
        <v>#N/A</v>
      </c>
      <c r="AR9" s="29" t="str">
        <f t="shared" si="12"/>
        <v>#DIV/0!</v>
      </c>
      <c r="AS9" s="29" t="str">
        <f t="shared" si="12"/>
        <v>#DIV/0!</v>
      </c>
      <c r="AT9" s="29" t="str">
        <f t="shared" si="12"/>
        <v>#DIV/0!</v>
      </c>
      <c r="AU9" s="29" t="str">
        <f t="shared" si="12"/>
        <v>#DIV/0!</v>
      </c>
      <c r="AV9" s="29" t="str">
        <f t="shared" si="12"/>
        <v>#DIV/0!</v>
      </c>
      <c r="AW9" s="29" t="str">
        <f t="shared" si="12"/>
        <v>#DIV/0!</v>
      </c>
      <c r="AX9" s="29" t="str">
        <f t="shared" si="12"/>
        <v>#DIV/0!</v>
      </c>
      <c r="AY9" s="29" t="str">
        <f t="shared" si="12"/>
        <v>#DIV/0!</v>
      </c>
      <c r="AZ9" s="29" t="str">
        <f t="shared" si="12"/>
        <v>#DIV/0!</v>
      </c>
      <c r="BA9" s="29" t="str">
        <f t="shared" si="12"/>
        <v>#DIV/0!</v>
      </c>
      <c r="BB9" s="29" t="str">
        <f t="shared" si="12"/>
        <v>#DIV/0!</v>
      </c>
      <c r="BC9" s="29" t="str">
        <f t="shared" si="12"/>
        <v>#DIV/0!</v>
      </c>
      <c r="BD9" s="29" t="str">
        <f t="shared" si="12"/>
        <v>#DIV/0!</v>
      </c>
      <c r="BE9" s="29" t="str">
        <f t="shared" si="12"/>
        <v>#DIV/0!</v>
      </c>
      <c r="BF9" s="29" t="str">
        <f t="shared" si="12"/>
        <v>#DIV/0!</v>
      </c>
      <c r="BG9" s="29" t="str">
        <f t="shared" si="12"/>
        <v>#DIV/0!</v>
      </c>
      <c r="BH9" s="29" t="str">
        <f t="shared" si="12"/>
        <v>#DIV/0!</v>
      </c>
      <c r="BI9" s="29" t="str">
        <f t="shared" si="12"/>
        <v>#DIV/0!</v>
      </c>
      <c r="BJ9" s="29" t="str">
        <f t="shared" si="12"/>
        <v>#DIV/0!</v>
      </c>
      <c r="BK9" s="29" t="str">
        <f t="shared" si="12"/>
        <v>#DIV/0!</v>
      </c>
      <c r="BL9" s="29" t="str">
        <f t="shared" si="12"/>
        <v>#DIV/0!</v>
      </c>
      <c r="BM9" s="29" t="str">
        <f t="shared" si="3"/>
        <v>#DIV/0!</v>
      </c>
    </row>
    <row r="10">
      <c r="A10" s="16" t="str">
        <f>IFERROR(__xludf.DUMMYFUNCTION("IFERROR(SPARKLINE(SORT(MAP(TRANSPOSE(AQ10:BL10), LAMBDA(val, IF(ISNUMBER(val), PERCENTRANK(AQ10:BL10, val)+0.01, 0))), SEQUENCE(COLUMNS(AQ10:BL10)), FALSE), {""charttype"",""column""; ""color"",""chartreuse""; ""ymin"", 0; ""ymax"", 1.01; ""highcolor"", "&amp;"""darkgreen""; ""lowcolor"", ""red""}), """")"),"")</f>
        <v/>
      </c>
      <c r="B10" s="17" t="str">
        <f t="shared" si="4"/>
        <v/>
      </c>
      <c r="C10" s="1" t="s">
        <v>855</v>
      </c>
      <c r="D10" s="30" t="str">
        <f>IFERROR(__xludf.DUMMYFUNCTION("IFERROR(GOOGLEFINANCE(C10, ""NAME""))"),"Willdan Group, Inc")</f>
        <v>Willdan Group, Inc</v>
      </c>
      <c r="E10" s="30" t="s">
        <v>856</v>
      </c>
      <c r="F10" s="33" t="str">
        <f>IFERROR(__xludf.DUMMYFUNCTION("( (GOOGLEFINANCE(C10, ""price"") - Q10) / Q10 ) / (R10 / 100)"),"Loading...")</f>
        <v>Loading...</v>
      </c>
      <c r="G10" s="20" t="str">
        <f>IFERROR(__xludf.DUMMYFUNCTION("AVERAGE(ARRAYFORMULA(100 * (QUERY(GOOGLEFINANCE(C10, ""high"", TODAY()-40, TODAY()), ""SELECT Col2 WHERE Col2 IS NOT NULL ORDER BY Col1 DESC LIMIT 20"", 0) / QUERY(GOOGLEFINANCE(C10, ""low"", TODAY()-40, TODAY()), ""SELECT Col2 WHERE Col2 IS NOT NULL ORDE"&amp;"R BY Col1 DESC LIMIT 20"", 0) - 1)))"),"#N/A")</f>
        <v>#N/A</v>
      </c>
      <c r="H10" s="35" t="str">
        <f t="shared" si="6"/>
        <v/>
      </c>
      <c r="I10" s="35" t="str">
        <f t="shared" si="7"/>
        <v/>
      </c>
      <c r="J10" s="37" t="str">
        <f>IFERROR(__xludf.DUMMYFUNCTION("IFERROR(
  IF(C10="""",, 
    IFERROR(
      GOOGLEFINANCE(C10, ""price"") * GOOGLEFINANCE(C10, ""volumeavg""), 
      GOOGLEFINANCE(C10, ""price"") * AVERAGE(QUERY(GOOGLEFINANCE(C10, ""volume"", TODAY()-40, TODAY()), ""SELECT Col2 WHERE Col2 IS NOT NULL "&amp;"ORDER BY Col1 DESC LIMIT 20"", 0))
    )
  ), 
"""")"),"")</f>
        <v/>
      </c>
      <c r="K10" s="21" t="str">
        <f>IFERROR(__xludf.DUMMYFUNCTION("IFERROR(GOOGLEFINANCE(C10, ""changepct"") / 100, """")"),"")</f>
        <v/>
      </c>
      <c r="L10" s="21" t="str">
        <f>IFERROR(__xludf.DUMMYFUNCTION("IFERROR((GOOGLEFINANCE(C10, ""price"") / INDEX(GOOGLEFINANCE(C10, ""price"", TODAY()-7, TODAY()), 2, 2)) - 1, """")"),"")</f>
        <v/>
      </c>
      <c r="M10" s="21" t="str">
        <f>IFERROR(__xludf.DUMMYFUNCTION("IFERROR((GOOGLEFINANCE(C10, ""price"") / INDEX(GOOGLEFINANCE(C10, ""price"", EDATE(TODAY(), -1), TODAY()), 2, 2)) - 1, """")"),"")</f>
        <v/>
      </c>
      <c r="N10" s="21" t="str">
        <f>IFERROR(__xludf.DUMMYFUNCTION("IFERROR((GOOGLEFINANCE(C10, ""price"") / INDEX(GOOGLEFINANCE(C10, ""price"", EDATE(TODAY(), -3), TODAY()), 2, 2)) - 1, """")"),"")</f>
        <v/>
      </c>
      <c r="O10" s="21" t="str">
        <f>IFERROR(__xludf.DUMMYFUNCTION("IFERROR((GOOGLEFINANCE(C10, ""price"") / INDEX(GOOGLEFINANCE(C10, ""price"", EDATE(TODAY(), -6), TODAY()), 2, 2)) - 1, """")"),"")</f>
        <v/>
      </c>
      <c r="P10" s="21" t="str">
        <f>IFERROR(__xludf.DUMMYFUNCTION("IFERROR((GOOGLEFINANCE(C10, ""price"") / INDEX(GOOGLEFINANCE(C10, ""price"", EDATE(TODAY(), -12), TODAY()), 2, 2)) - 1, """")"),"")</f>
        <v/>
      </c>
      <c r="Q10" s="6" t="str">
        <f>IFERROR(__xludf.DUMMYFUNCTION("AVERAGE(QUERY(GOOGLEFINANCE(C10, ""price"", TODAY()-80, TODAY()), ""SELECT Col2 WHERE Col2 IS NOT NULL ORDER BY Col1 DESC LIMIT 50"", 0))"),"#N/A")</f>
        <v>#N/A</v>
      </c>
      <c r="R10" s="24" t="str">
        <f>IFERROR(__xludf.DUMMYFUNCTION("IFERROR(
  LET(
    data, QUERY(GOOGLEFINANCE(C10,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GOOGLEFINANCE(C10, ""price"")) * 100,
    IF(calc=0, G10, calc)
  ), 
G10)"),"#N/A")</f>
        <v>#N/A</v>
      </c>
      <c r="S10" s="8" t="s">
        <v>15</v>
      </c>
      <c r="T10" s="26" t="str">
        <f>IFERROR(__xludf.DUMMYFUNCTION("IFERROR(TRANSPOSE(QUERY(IFERROR(SORT(GOOGLEFINANCE(C10, ""price"", WORKDAY(TODAY(), -40), TODAY()), 1, FALSE)), ""select Col2 where Col2 is not null limit 22 label Col2 ''"", 0)), """")"),"")</f>
        <v/>
      </c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8"/>
      <c r="AO10" s="28"/>
      <c r="AP10" s="29"/>
      <c r="AQ10" s="29" t="str">
        <f t="shared" ref="AQ10:BL10" si="13">T10/T$2</f>
        <v>#N/A</v>
      </c>
      <c r="AR10" s="29" t="str">
        <f t="shared" si="13"/>
        <v>#DIV/0!</v>
      </c>
      <c r="AS10" s="29" t="str">
        <f t="shared" si="13"/>
        <v>#DIV/0!</v>
      </c>
      <c r="AT10" s="29" t="str">
        <f t="shared" si="13"/>
        <v>#DIV/0!</v>
      </c>
      <c r="AU10" s="29" t="str">
        <f t="shared" si="13"/>
        <v>#DIV/0!</v>
      </c>
      <c r="AV10" s="29" t="str">
        <f t="shared" si="13"/>
        <v>#DIV/0!</v>
      </c>
      <c r="AW10" s="29" t="str">
        <f t="shared" si="13"/>
        <v>#DIV/0!</v>
      </c>
      <c r="AX10" s="29" t="str">
        <f t="shared" si="13"/>
        <v>#DIV/0!</v>
      </c>
      <c r="AY10" s="29" t="str">
        <f t="shared" si="13"/>
        <v>#DIV/0!</v>
      </c>
      <c r="AZ10" s="29" t="str">
        <f t="shared" si="13"/>
        <v>#DIV/0!</v>
      </c>
      <c r="BA10" s="29" t="str">
        <f t="shared" si="13"/>
        <v>#DIV/0!</v>
      </c>
      <c r="BB10" s="29" t="str">
        <f t="shared" si="13"/>
        <v>#DIV/0!</v>
      </c>
      <c r="BC10" s="29" t="str">
        <f t="shared" si="13"/>
        <v>#DIV/0!</v>
      </c>
      <c r="BD10" s="29" t="str">
        <f t="shared" si="13"/>
        <v>#DIV/0!</v>
      </c>
      <c r="BE10" s="29" t="str">
        <f t="shared" si="13"/>
        <v>#DIV/0!</v>
      </c>
      <c r="BF10" s="29" t="str">
        <f t="shared" si="13"/>
        <v>#DIV/0!</v>
      </c>
      <c r="BG10" s="29" t="str">
        <f t="shared" si="13"/>
        <v>#DIV/0!</v>
      </c>
      <c r="BH10" s="29" t="str">
        <f t="shared" si="13"/>
        <v>#DIV/0!</v>
      </c>
      <c r="BI10" s="29" t="str">
        <f t="shared" si="13"/>
        <v>#DIV/0!</v>
      </c>
      <c r="BJ10" s="29" t="str">
        <f t="shared" si="13"/>
        <v>#DIV/0!</v>
      </c>
      <c r="BK10" s="29" t="str">
        <f t="shared" si="13"/>
        <v>#DIV/0!</v>
      </c>
      <c r="BL10" s="29" t="str">
        <f t="shared" si="13"/>
        <v>#DIV/0!</v>
      </c>
      <c r="BM10" s="29" t="str">
        <f t="shared" si="3"/>
        <v>#DIV/0!</v>
      </c>
    </row>
    <row r="11">
      <c r="A11" s="16" t="str">
        <f>IFERROR(__xludf.DUMMYFUNCTION("IFERROR(SPARKLINE(SORT(MAP(TRANSPOSE(AQ11:BL11), LAMBDA(val, IF(ISNUMBER(val), PERCENTRANK(AQ11:BL11, val)+0.01, 0))), SEQUENCE(COLUMNS(AQ11:BL11)), FALSE), {""charttype"",""column""; ""color"",""chartreuse""; ""ymin"", 0; ""ymax"", 1.01; ""highcolor"", "&amp;"""darkgreen""; ""lowcolor"", ""red""}), """")"),"")</f>
        <v/>
      </c>
      <c r="B11" s="17" t="str">
        <f t="shared" si="4"/>
        <v/>
      </c>
      <c r="C11" s="1" t="s">
        <v>860</v>
      </c>
      <c r="D11" s="30" t="str">
        <f>IFERROR(__xludf.DUMMYFUNCTION("IFERROR(GOOGLEFINANCE(C11, ""NAME""))"),"Safe Bulkers Inc")</f>
        <v>Safe Bulkers Inc</v>
      </c>
      <c r="E11" s="30" t="s">
        <v>834</v>
      </c>
      <c r="F11" s="33" t="str">
        <f>IFERROR(__xludf.DUMMYFUNCTION("( (GOOGLEFINANCE(C11, ""price"") - Q11) / Q11 ) / (R11 / 100)"),"Loading...")</f>
        <v>Loading...</v>
      </c>
      <c r="G11" s="20" t="str">
        <f>IFERROR(__xludf.DUMMYFUNCTION("AVERAGE(ARRAYFORMULA(100 * (QUERY(GOOGLEFINANCE(C11, ""high"", TODAY()-40, TODAY()), ""SELECT Col2 WHERE Col2 IS NOT NULL ORDER BY Col1 DESC LIMIT 20"", 0) / QUERY(GOOGLEFINANCE(C11, ""low"", TODAY()-40, TODAY()), ""SELECT Col2 WHERE Col2 IS NOT NULL ORDE"&amp;"R BY Col1 DESC LIMIT 20"", 0) - 1)))"),"#N/A")</f>
        <v>#N/A</v>
      </c>
      <c r="H11" s="35" t="str">
        <f t="shared" si="6"/>
        <v/>
      </c>
      <c r="I11" s="35" t="str">
        <f t="shared" si="7"/>
        <v/>
      </c>
      <c r="J11" s="37" t="str">
        <f>IFERROR(__xludf.DUMMYFUNCTION("IFERROR(
  IF(C11="""",, 
    IFERROR(
      GOOGLEFINANCE(C11, ""price"") * GOOGLEFINANCE(C11, ""volumeavg""), 
      GOOGLEFINANCE(C11, ""price"") * AVERAGE(QUERY(GOOGLEFINANCE(C11, ""volume"", TODAY()-40, TODAY()), ""SELECT Col2 WHERE Col2 IS NOT NULL "&amp;"ORDER BY Col1 DESC LIMIT 20"", 0))
    )
  ), 
"""")"),"")</f>
        <v/>
      </c>
      <c r="K11" s="21" t="str">
        <f>IFERROR(__xludf.DUMMYFUNCTION("IFERROR(GOOGLEFINANCE(C11, ""changepct"") / 100, """")"),"")</f>
        <v/>
      </c>
      <c r="L11" s="21" t="str">
        <f>IFERROR(__xludf.DUMMYFUNCTION("IFERROR((GOOGLEFINANCE(C11, ""price"") / INDEX(GOOGLEFINANCE(C11, ""price"", TODAY()-7, TODAY()), 2, 2)) - 1, """")"),"")</f>
        <v/>
      </c>
      <c r="M11" s="21" t="str">
        <f>IFERROR(__xludf.DUMMYFUNCTION("IFERROR((GOOGLEFINANCE(C11, ""price"") / INDEX(GOOGLEFINANCE(C11, ""price"", EDATE(TODAY(), -1), TODAY()), 2, 2)) - 1, """")"),"")</f>
        <v/>
      </c>
      <c r="N11" s="21" t="str">
        <f>IFERROR(__xludf.DUMMYFUNCTION("IFERROR((GOOGLEFINANCE(C11, ""price"") / INDEX(GOOGLEFINANCE(C11, ""price"", EDATE(TODAY(), -3), TODAY()), 2, 2)) - 1, """")"),"")</f>
        <v/>
      </c>
      <c r="O11" s="21" t="str">
        <f>IFERROR(__xludf.DUMMYFUNCTION("IFERROR((GOOGLEFINANCE(C11, ""price"") / INDEX(GOOGLEFINANCE(C11, ""price"", EDATE(TODAY(), -6), TODAY()), 2, 2)) - 1, """")"),"")</f>
        <v/>
      </c>
      <c r="P11" s="21" t="str">
        <f>IFERROR(__xludf.DUMMYFUNCTION("IFERROR((GOOGLEFINANCE(C11, ""price"") / INDEX(GOOGLEFINANCE(C11, ""price"", EDATE(TODAY(), -12), TODAY()), 2, 2)) - 1, """")"),"")</f>
        <v/>
      </c>
      <c r="Q11" s="6" t="str">
        <f>IFERROR(__xludf.DUMMYFUNCTION("AVERAGE(QUERY(GOOGLEFINANCE(C11, ""price"", TODAY()-80, TODAY()), ""SELECT Col2 WHERE Col2 IS NOT NULL ORDER BY Col1 DESC LIMIT 50"", 0))"),"#N/A")</f>
        <v>#N/A</v>
      </c>
      <c r="R11" s="24" t="str">
        <f>IFERROR(__xludf.DUMMYFUNCTION("IFERROR(
  LET(
    data, QUERY(GOOGLEFINANCE(C11,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GOOGLEFINANCE(C11, ""price"")) * 100,
    IF(calc=0, G11, calc)
  ), 
G11)"),"#N/A")</f>
        <v>#N/A</v>
      </c>
      <c r="S11" s="8" t="s">
        <v>15</v>
      </c>
      <c r="T11" s="26" t="str">
        <f>IFERROR(__xludf.DUMMYFUNCTION("IFERROR(TRANSPOSE(QUERY(IFERROR(SORT(GOOGLEFINANCE(C11, ""price"", WORKDAY(TODAY(), -40), TODAY()), 1, FALSE)), ""select Col2 where Col2 is not null limit 22 label Col2 ''"", 0)), """")"),"")</f>
        <v/>
      </c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8"/>
      <c r="AO11" s="28"/>
      <c r="AP11" s="29"/>
      <c r="AQ11" s="29" t="str">
        <f t="shared" ref="AQ11:BL11" si="14">T11/T$2</f>
        <v>#N/A</v>
      </c>
      <c r="AR11" s="29" t="str">
        <f t="shared" si="14"/>
        <v>#DIV/0!</v>
      </c>
      <c r="AS11" s="29" t="str">
        <f t="shared" si="14"/>
        <v>#DIV/0!</v>
      </c>
      <c r="AT11" s="29" t="str">
        <f t="shared" si="14"/>
        <v>#DIV/0!</v>
      </c>
      <c r="AU11" s="29" t="str">
        <f t="shared" si="14"/>
        <v>#DIV/0!</v>
      </c>
      <c r="AV11" s="29" t="str">
        <f t="shared" si="14"/>
        <v>#DIV/0!</v>
      </c>
      <c r="AW11" s="29" t="str">
        <f t="shared" si="14"/>
        <v>#DIV/0!</v>
      </c>
      <c r="AX11" s="29" t="str">
        <f t="shared" si="14"/>
        <v>#DIV/0!</v>
      </c>
      <c r="AY11" s="29" t="str">
        <f t="shared" si="14"/>
        <v>#DIV/0!</v>
      </c>
      <c r="AZ11" s="29" t="str">
        <f t="shared" si="14"/>
        <v>#DIV/0!</v>
      </c>
      <c r="BA11" s="29" t="str">
        <f t="shared" si="14"/>
        <v>#DIV/0!</v>
      </c>
      <c r="BB11" s="29" t="str">
        <f t="shared" si="14"/>
        <v>#DIV/0!</v>
      </c>
      <c r="BC11" s="29" t="str">
        <f t="shared" si="14"/>
        <v>#DIV/0!</v>
      </c>
      <c r="BD11" s="29" t="str">
        <f t="shared" si="14"/>
        <v>#DIV/0!</v>
      </c>
      <c r="BE11" s="29" t="str">
        <f t="shared" si="14"/>
        <v>#DIV/0!</v>
      </c>
      <c r="BF11" s="29" t="str">
        <f t="shared" si="14"/>
        <v>#DIV/0!</v>
      </c>
      <c r="BG11" s="29" t="str">
        <f t="shared" si="14"/>
        <v>#DIV/0!</v>
      </c>
      <c r="BH11" s="29" t="str">
        <f t="shared" si="14"/>
        <v>#DIV/0!</v>
      </c>
      <c r="BI11" s="29" t="str">
        <f t="shared" si="14"/>
        <v>#DIV/0!</v>
      </c>
      <c r="BJ11" s="29" t="str">
        <f t="shared" si="14"/>
        <v>#DIV/0!</v>
      </c>
      <c r="BK11" s="29" t="str">
        <f t="shared" si="14"/>
        <v>#DIV/0!</v>
      </c>
      <c r="BL11" s="29" t="str">
        <f t="shared" si="14"/>
        <v>#DIV/0!</v>
      </c>
      <c r="BM11" s="29" t="str">
        <f t="shared" si="3"/>
        <v>#DIV/0!</v>
      </c>
    </row>
    <row r="12">
      <c r="A12" s="16" t="str">
        <f>IFERROR(__xludf.DUMMYFUNCTION("IFERROR(SPARKLINE(SORT(MAP(TRANSPOSE(AQ12:BL12), LAMBDA(val, IF(ISNUMBER(val), PERCENTRANK(AQ12:BL12, val)+0.01, 0))), SEQUENCE(COLUMNS(AQ12:BL12)), FALSE), {""charttype"",""column""; ""color"",""chartreuse""; ""ymin"", 0; ""ymax"", 1.01; ""highcolor"", "&amp;"""darkgreen""; ""lowcolor"", ""red""}), """")"),"")</f>
        <v/>
      </c>
      <c r="B12" s="17" t="str">
        <f t="shared" si="4"/>
        <v/>
      </c>
      <c r="C12" s="1" t="s">
        <v>863</v>
      </c>
      <c r="D12" s="30" t="str">
        <f>IFERROR(__xludf.DUMMYFUNCTION("IFERROR(GOOGLEFINANCE(C12, ""NAME""))"),"Plug Power Inc")</f>
        <v>Plug Power Inc</v>
      </c>
      <c r="E12" s="30" t="s">
        <v>864</v>
      </c>
      <c r="F12" s="33" t="str">
        <f>IFERROR(__xludf.DUMMYFUNCTION("( (GOOGLEFINANCE(C12, ""price"") - Q12) / Q12 ) / (R12 / 100)"),"Loading...")</f>
        <v>Loading...</v>
      </c>
      <c r="G12" s="20" t="str">
        <f>IFERROR(__xludf.DUMMYFUNCTION("AVERAGE(ARRAYFORMULA(100 * (QUERY(GOOGLEFINANCE(C12, ""high"", TODAY()-40, TODAY()), ""SELECT Col2 WHERE Col2 IS NOT NULL ORDER BY Col1 DESC LIMIT 20"", 0) / QUERY(GOOGLEFINANCE(C12, ""low"", TODAY()-40, TODAY()), ""SELECT Col2 WHERE Col2 IS NOT NULL ORDE"&amp;"R BY Col1 DESC LIMIT 20"", 0) - 1)))"),"#N/A")</f>
        <v>#N/A</v>
      </c>
      <c r="H12" s="35" t="str">
        <f t="shared" si="6"/>
        <v/>
      </c>
      <c r="I12" s="35" t="str">
        <f t="shared" si="7"/>
        <v/>
      </c>
      <c r="J12" s="37" t="str">
        <f>IFERROR(__xludf.DUMMYFUNCTION("IFERROR(
  IF(C12="""",, 
    IFERROR(
      GOOGLEFINANCE(C12, ""price"") * GOOGLEFINANCE(C12, ""volumeavg""), 
      GOOGLEFINANCE(C12, ""price"") * AVERAGE(QUERY(GOOGLEFINANCE(C12, ""volume"", TODAY()-40, TODAY()), ""SELECT Col2 WHERE Col2 IS NOT NULL "&amp;"ORDER BY Col1 DESC LIMIT 20"", 0))
    )
  ), 
"""")"),"")</f>
        <v/>
      </c>
      <c r="K12" s="21" t="str">
        <f>IFERROR(__xludf.DUMMYFUNCTION("IFERROR(GOOGLEFINANCE(C12, ""changepct"") / 100, """")"),"")</f>
        <v/>
      </c>
      <c r="L12" s="21" t="str">
        <f>IFERROR(__xludf.DUMMYFUNCTION("IFERROR((GOOGLEFINANCE(C12, ""price"") / INDEX(GOOGLEFINANCE(C12, ""price"", TODAY()-7, TODAY()), 2, 2)) - 1, """")"),"")</f>
        <v/>
      </c>
      <c r="M12" s="21" t="str">
        <f>IFERROR(__xludf.DUMMYFUNCTION("IFERROR((GOOGLEFINANCE(C12, ""price"") / INDEX(GOOGLEFINANCE(C12, ""price"", EDATE(TODAY(), -1), TODAY()), 2, 2)) - 1, """")"),"")</f>
        <v/>
      </c>
      <c r="N12" s="21" t="str">
        <f>IFERROR(__xludf.DUMMYFUNCTION("IFERROR((GOOGLEFINANCE(C12, ""price"") / INDEX(GOOGLEFINANCE(C12, ""price"", EDATE(TODAY(), -3), TODAY()), 2, 2)) - 1, """")"),"")</f>
        <v/>
      </c>
      <c r="O12" s="21" t="str">
        <f>IFERROR(__xludf.DUMMYFUNCTION("IFERROR((GOOGLEFINANCE(C12, ""price"") / INDEX(GOOGLEFINANCE(C12, ""price"", EDATE(TODAY(), -6), TODAY()), 2, 2)) - 1, """")"),"")</f>
        <v/>
      </c>
      <c r="P12" s="21" t="str">
        <f>IFERROR(__xludf.DUMMYFUNCTION("IFERROR((GOOGLEFINANCE(C12, ""price"") / INDEX(GOOGLEFINANCE(C12, ""price"", EDATE(TODAY(), -12), TODAY()), 2, 2)) - 1, """")"),"")</f>
        <v/>
      </c>
      <c r="Q12" s="6" t="str">
        <f>IFERROR(__xludf.DUMMYFUNCTION("AVERAGE(QUERY(GOOGLEFINANCE(C12, ""price"", TODAY()-80, TODAY()), ""SELECT Col2 WHERE Col2 IS NOT NULL ORDER BY Col1 DESC LIMIT 50"", 0))"),"#N/A")</f>
        <v>#N/A</v>
      </c>
      <c r="R12" s="24" t="str">
        <f>IFERROR(__xludf.DUMMYFUNCTION("IFERROR(
  LET(
    data, QUERY(GOOGLEFINANCE(C12,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GOOGLEFINANCE(C12, ""price"")) * 100,
    IF(calc=0, G12, calc)
  ), 
G12)"),"#N/A")</f>
        <v>#N/A</v>
      </c>
      <c r="S12" s="8" t="s">
        <v>15</v>
      </c>
      <c r="T12" s="26" t="str">
        <f>IFERROR(__xludf.DUMMYFUNCTION("IFERROR(TRANSPOSE(QUERY(IFERROR(SORT(GOOGLEFINANCE(C12, ""price"", WORKDAY(TODAY(), -40), TODAY()), 1, FALSE)), ""select Col2 where Col2 is not null limit 22 label Col2 ''"", 0)), """")"),"")</f>
        <v/>
      </c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8"/>
      <c r="AO12" s="28"/>
      <c r="AP12" s="29"/>
      <c r="AQ12" s="29" t="str">
        <f t="shared" ref="AQ12:BL12" si="15">T12/T$2</f>
        <v>#N/A</v>
      </c>
      <c r="AR12" s="29" t="str">
        <f t="shared" si="15"/>
        <v>#DIV/0!</v>
      </c>
      <c r="AS12" s="29" t="str">
        <f t="shared" si="15"/>
        <v>#DIV/0!</v>
      </c>
      <c r="AT12" s="29" t="str">
        <f t="shared" si="15"/>
        <v>#DIV/0!</v>
      </c>
      <c r="AU12" s="29" t="str">
        <f t="shared" si="15"/>
        <v>#DIV/0!</v>
      </c>
      <c r="AV12" s="29" t="str">
        <f t="shared" si="15"/>
        <v>#DIV/0!</v>
      </c>
      <c r="AW12" s="29" t="str">
        <f t="shared" si="15"/>
        <v>#DIV/0!</v>
      </c>
      <c r="AX12" s="29" t="str">
        <f t="shared" si="15"/>
        <v>#DIV/0!</v>
      </c>
      <c r="AY12" s="29" t="str">
        <f t="shared" si="15"/>
        <v>#DIV/0!</v>
      </c>
      <c r="AZ12" s="29" t="str">
        <f t="shared" si="15"/>
        <v>#DIV/0!</v>
      </c>
      <c r="BA12" s="29" t="str">
        <f t="shared" si="15"/>
        <v>#DIV/0!</v>
      </c>
      <c r="BB12" s="29" t="str">
        <f t="shared" si="15"/>
        <v>#DIV/0!</v>
      </c>
      <c r="BC12" s="29" t="str">
        <f t="shared" si="15"/>
        <v>#DIV/0!</v>
      </c>
      <c r="BD12" s="29" t="str">
        <f t="shared" si="15"/>
        <v>#DIV/0!</v>
      </c>
      <c r="BE12" s="29" t="str">
        <f t="shared" si="15"/>
        <v>#DIV/0!</v>
      </c>
      <c r="BF12" s="29" t="str">
        <f t="shared" si="15"/>
        <v>#DIV/0!</v>
      </c>
      <c r="BG12" s="29" t="str">
        <f t="shared" si="15"/>
        <v>#DIV/0!</v>
      </c>
      <c r="BH12" s="29" t="str">
        <f t="shared" si="15"/>
        <v>#DIV/0!</v>
      </c>
      <c r="BI12" s="29" t="str">
        <f t="shared" si="15"/>
        <v>#DIV/0!</v>
      </c>
      <c r="BJ12" s="29" t="str">
        <f t="shared" si="15"/>
        <v>#DIV/0!</v>
      </c>
      <c r="BK12" s="29" t="str">
        <f t="shared" si="15"/>
        <v>#DIV/0!</v>
      </c>
      <c r="BL12" s="29" t="str">
        <f t="shared" si="15"/>
        <v>#DIV/0!</v>
      </c>
      <c r="BM12" s="29" t="str">
        <f t="shared" si="3"/>
        <v>#DIV/0!</v>
      </c>
    </row>
    <row r="13">
      <c r="A13" s="16" t="str">
        <f>IFERROR(__xludf.DUMMYFUNCTION("IFERROR(SPARKLINE(SORT(MAP(TRANSPOSE(AQ13:BL13), LAMBDA(val, IF(ISNUMBER(val), PERCENTRANK(AQ13:BL13, val)+0.01, 0))), SEQUENCE(COLUMNS(AQ13:BL13)), FALSE), {""charttype"",""column""; ""color"",""chartreuse""; ""ymin"", 0; ""ymax"", 1.01; ""highcolor"", "&amp;"""darkgreen""; ""lowcolor"", ""red""}), """")"),"")</f>
        <v/>
      </c>
      <c r="B13" s="17" t="str">
        <f t="shared" si="4"/>
        <v/>
      </c>
      <c r="C13" s="1" t="s">
        <v>868</v>
      </c>
      <c r="D13" s="30" t="str">
        <f>IFERROR(__xludf.DUMMYFUNCTION("IFERROR(GOOGLEFINANCE(C13, ""NAME""))"),"FuelCell Energy Inc")</f>
        <v>FuelCell Energy Inc</v>
      </c>
      <c r="E13" s="30" t="s">
        <v>864</v>
      </c>
      <c r="F13" s="33" t="str">
        <f>IFERROR(__xludf.DUMMYFUNCTION("( (GOOGLEFINANCE(C13, ""price"") - Q13) / Q13 ) / (R13 / 100)"),"Loading...")</f>
        <v>Loading...</v>
      </c>
      <c r="G13" s="20" t="str">
        <f>IFERROR(__xludf.DUMMYFUNCTION("AVERAGE(ARRAYFORMULA(100 * (QUERY(GOOGLEFINANCE(C13, ""high"", TODAY()-40, TODAY()), ""SELECT Col2 WHERE Col2 IS NOT NULL ORDER BY Col1 DESC LIMIT 20"", 0) / QUERY(GOOGLEFINANCE(C13, ""low"", TODAY()-40, TODAY()), ""SELECT Col2 WHERE Col2 IS NOT NULL ORDE"&amp;"R BY Col1 DESC LIMIT 20"", 0) - 1)))"),"#N/A")</f>
        <v>#N/A</v>
      </c>
      <c r="H13" s="35" t="str">
        <f t="shared" si="6"/>
        <v/>
      </c>
      <c r="I13" s="35" t="str">
        <f t="shared" si="7"/>
        <v/>
      </c>
      <c r="J13" s="37" t="str">
        <f>IFERROR(__xludf.DUMMYFUNCTION("IFERROR(
  IF(C13="""",, 
    IFERROR(
      GOOGLEFINANCE(C13, ""price"") * GOOGLEFINANCE(C13, ""volumeavg""), 
      GOOGLEFINANCE(C13, ""price"") * AVERAGE(QUERY(GOOGLEFINANCE(C13, ""volume"", TODAY()-40, TODAY()), ""SELECT Col2 WHERE Col2 IS NOT NULL "&amp;"ORDER BY Col1 DESC LIMIT 20"", 0))
    )
  ), 
"""")"),"")</f>
        <v/>
      </c>
      <c r="K13" s="21" t="str">
        <f>IFERROR(__xludf.DUMMYFUNCTION("IFERROR(GOOGLEFINANCE(C13, ""changepct"") / 100, """")"),"")</f>
        <v/>
      </c>
      <c r="L13" s="21" t="str">
        <f>IFERROR(__xludf.DUMMYFUNCTION("IFERROR((GOOGLEFINANCE(C13, ""price"") / INDEX(GOOGLEFINANCE(C13, ""price"", TODAY()-7, TODAY()), 2, 2)) - 1, """")"),"")</f>
        <v/>
      </c>
      <c r="M13" s="21" t="str">
        <f>IFERROR(__xludf.DUMMYFUNCTION("IFERROR((GOOGLEFINANCE(C13, ""price"") / INDEX(GOOGLEFINANCE(C13, ""price"", EDATE(TODAY(), -1), TODAY()), 2, 2)) - 1, """")"),"")</f>
        <v/>
      </c>
      <c r="N13" s="21" t="str">
        <f>IFERROR(__xludf.DUMMYFUNCTION("IFERROR((GOOGLEFINANCE(C13, ""price"") / INDEX(GOOGLEFINANCE(C13, ""price"", EDATE(TODAY(), -3), TODAY()), 2, 2)) - 1, """")"),"")</f>
        <v/>
      </c>
      <c r="O13" s="21" t="str">
        <f>IFERROR(__xludf.DUMMYFUNCTION("IFERROR((GOOGLEFINANCE(C13, ""price"") / INDEX(GOOGLEFINANCE(C13, ""price"", EDATE(TODAY(), -6), TODAY()), 2, 2)) - 1, """")"),"")</f>
        <v/>
      </c>
      <c r="P13" s="21" t="str">
        <f>IFERROR(__xludf.DUMMYFUNCTION("IFERROR((GOOGLEFINANCE(C13, ""price"") / INDEX(GOOGLEFINANCE(C13, ""price"", EDATE(TODAY(), -12), TODAY()), 2, 2)) - 1, """")"),"")</f>
        <v/>
      </c>
      <c r="Q13" s="6" t="str">
        <f>IFERROR(__xludf.DUMMYFUNCTION("AVERAGE(QUERY(GOOGLEFINANCE(C13, ""price"", TODAY()-80, TODAY()), ""SELECT Col2 WHERE Col2 IS NOT NULL ORDER BY Col1 DESC LIMIT 50"", 0))"),"#N/A")</f>
        <v>#N/A</v>
      </c>
      <c r="R13" s="24" t="str">
        <f>IFERROR(__xludf.DUMMYFUNCTION("IFERROR(
  LET(
    data, QUERY(GOOGLEFINANCE(C13,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GOOGLEFINANCE(C13, ""price"")) * 100,
    IF(calc=0, G13, calc)
  ), 
G13)"),"#N/A")</f>
        <v>#N/A</v>
      </c>
      <c r="S13" s="8" t="s">
        <v>15</v>
      </c>
      <c r="T13" s="26" t="str">
        <f>IFERROR(__xludf.DUMMYFUNCTION("IFERROR(TRANSPOSE(QUERY(IFERROR(SORT(GOOGLEFINANCE(C13, ""price"", WORKDAY(TODAY(), -40), TODAY()), 1, FALSE)), ""select Col2 where Col2 is not null limit 22 label Col2 ''"", 0)), """")"),"")</f>
        <v/>
      </c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8"/>
      <c r="AO13" s="28"/>
      <c r="AP13" s="29"/>
      <c r="AQ13" s="29" t="str">
        <f t="shared" ref="AQ13:BL13" si="16">T13/T$2</f>
        <v>#N/A</v>
      </c>
      <c r="AR13" s="29" t="str">
        <f t="shared" si="16"/>
        <v>#DIV/0!</v>
      </c>
      <c r="AS13" s="29" t="str">
        <f t="shared" si="16"/>
        <v>#DIV/0!</v>
      </c>
      <c r="AT13" s="29" t="str">
        <f t="shared" si="16"/>
        <v>#DIV/0!</v>
      </c>
      <c r="AU13" s="29" t="str">
        <f t="shared" si="16"/>
        <v>#DIV/0!</v>
      </c>
      <c r="AV13" s="29" t="str">
        <f t="shared" si="16"/>
        <v>#DIV/0!</v>
      </c>
      <c r="AW13" s="29" t="str">
        <f t="shared" si="16"/>
        <v>#DIV/0!</v>
      </c>
      <c r="AX13" s="29" t="str">
        <f t="shared" si="16"/>
        <v>#DIV/0!</v>
      </c>
      <c r="AY13" s="29" t="str">
        <f t="shared" si="16"/>
        <v>#DIV/0!</v>
      </c>
      <c r="AZ13" s="29" t="str">
        <f t="shared" si="16"/>
        <v>#DIV/0!</v>
      </c>
      <c r="BA13" s="29" t="str">
        <f t="shared" si="16"/>
        <v>#DIV/0!</v>
      </c>
      <c r="BB13" s="29" t="str">
        <f t="shared" si="16"/>
        <v>#DIV/0!</v>
      </c>
      <c r="BC13" s="29" t="str">
        <f t="shared" si="16"/>
        <v>#DIV/0!</v>
      </c>
      <c r="BD13" s="29" t="str">
        <f t="shared" si="16"/>
        <v>#DIV/0!</v>
      </c>
      <c r="BE13" s="29" t="str">
        <f t="shared" si="16"/>
        <v>#DIV/0!</v>
      </c>
      <c r="BF13" s="29" t="str">
        <f t="shared" si="16"/>
        <v>#DIV/0!</v>
      </c>
      <c r="BG13" s="29" t="str">
        <f t="shared" si="16"/>
        <v>#DIV/0!</v>
      </c>
      <c r="BH13" s="29" t="str">
        <f t="shared" si="16"/>
        <v>#DIV/0!</v>
      </c>
      <c r="BI13" s="29" t="str">
        <f t="shared" si="16"/>
        <v>#DIV/0!</v>
      </c>
      <c r="BJ13" s="29" t="str">
        <f t="shared" si="16"/>
        <v>#DIV/0!</v>
      </c>
      <c r="BK13" s="29" t="str">
        <f t="shared" si="16"/>
        <v>#DIV/0!</v>
      </c>
      <c r="BL13" s="29" t="str">
        <f t="shared" si="16"/>
        <v>#DIV/0!</v>
      </c>
      <c r="BM13" s="29" t="str">
        <f t="shared" si="3"/>
        <v>#DIV/0!</v>
      </c>
    </row>
    <row r="14">
      <c r="A14" s="16" t="str">
        <f>IFERROR(__xludf.DUMMYFUNCTION("IFERROR(SPARKLINE(SORT(MAP(TRANSPOSE(AQ14:BL14), LAMBDA(val, IF(ISNUMBER(val), PERCENTRANK(AQ14:BL14, val)+0.01, 0))), SEQUENCE(COLUMNS(AQ14:BL14)), FALSE), {""charttype"",""column""; ""color"",""chartreuse""; ""ymin"", 0; ""ymax"", 1.01; ""highcolor"", "&amp;"""darkgreen""; ""lowcolor"", ""red""}), """")"),"")</f>
        <v/>
      </c>
      <c r="B14" s="17" t="str">
        <f t="shared" si="4"/>
        <v/>
      </c>
      <c r="C14" s="1" t="s">
        <v>873</v>
      </c>
      <c r="D14" s="30" t="str">
        <f>IFERROR(__xludf.DUMMYFUNCTION("IFERROR(GOOGLEFINANCE(C14, ""NAME""))"),"Eve Holding Inc")</f>
        <v>Eve Holding Inc</v>
      </c>
      <c r="E14" s="30" t="s">
        <v>839</v>
      </c>
      <c r="F14" s="33" t="str">
        <f>IFERROR(__xludf.DUMMYFUNCTION("( (GOOGLEFINANCE(C14, ""price"") - Q14) / Q14 ) / (R14 / 100)"),"Loading...")</f>
        <v>Loading...</v>
      </c>
      <c r="G14" s="20" t="str">
        <f>IFERROR(__xludf.DUMMYFUNCTION("AVERAGE(ARRAYFORMULA(100 * (QUERY(GOOGLEFINANCE(C14, ""high"", TODAY()-40, TODAY()), ""SELECT Col2 WHERE Col2 IS NOT NULL ORDER BY Col1 DESC LIMIT 20"", 0) / QUERY(GOOGLEFINANCE(C14, ""low"", TODAY()-40, TODAY()), ""SELECT Col2 WHERE Col2 IS NOT NULL ORDE"&amp;"R BY Col1 DESC LIMIT 20"", 0) - 1)))"),"#N/A")</f>
        <v>#N/A</v>
      </c>
      <c r="H14" s="35" t="str">
        <f t="shared" si="6"/>
        <v/>
      </c>
      <c r="I14" s="35" t="str">
        <f t="shared" si="7"/>
        <v/>
      </c>
      <c r="J14" s="37" t="str">
        <f>IFERROR(__xludf.DUMMYFUNCTION("IFERROR(
  IF(C14="""",, 
    IFERROR(
      GOOGLEFINANCE(C14, ""price"") * GOOGLEFINANCE(C14, ""volumeavg""), 
      GOOGLEFINANCE(C14, ""price"") * AVERAGE(QUERY(GOOGLEFINANCE(C14, ""volume"", TODAY()-40, TODAY()), ""SELECT Col2 WHERE Col2 IS NOT NULL "&amp;"ORDER BY Col1 DESC LIMIT 20"", 0))
    )
  ), 
"""")"),"")</f>
        <v/>
      </c>
      <c r="K14" s="21" t="str">
        <f>IFERROR(__xludf.DUMMYFUNCTION("IFERROR(GOOGLEFINANCE(C14, ""changepct"") / 100, """")"),"")</f>
        <v/>
      </c>
      <c r="L14" s="21" t="str">
        <f>IFERROR(__xludf.DUMMYFUNCTION("IFERROR((GOOGLEFINANCE(C14, ""price"") / INDEX(GOOGLEFINANCE(C14, ""price"", TODAY()-7, TODAY()), 2, 2)) - 1, """")"),"")</f>
        <v/>
      </c>
      <c r="M14" s="21" t="str">
        <f>IFERROR(__xludf.DUMMYFUNCTION("IFERROR((GOOGLEFINANCE(C14, ""price"") / INDEX(GOOGLEFINANCE(C14, ""price"", EDATE(TODAY(), -1), TODAY()), 2, 2)) - 1, """")"),"")</f>
        <v/>
      </c>
      <c r="N14" s="21" t="str">
        <f>IFERROR(__xludf.DUMMYFUNCTION("IFERROR((GOOGLEFINANCE(C14, ""price"") / INDEX(GOOGLEFINANCE(C14, ""price"", EDATE(TODAY(), -3), TODAY()), 2, 2)) - 1, """")"),"")</f>
        <v/>
      </c>
      <c r="O14" s="21" t="str">
        <f>IFERROR(__xludf.DUMMYFUNCTION("IFERROR((GOOGLEFINANCE(C14, ""price"") / INDEX(GOOGLEFINANCE(C14, ""price"", EDATE(TODAY(), -6), TODAY()), 2, 2)) - 1, """")"),"")</f>
        <v/>
      </c>
      <c r="P14" s="21" t="str">
        <f>IFERROR(__xludf.DUMMYFUNCTION("IFERROR((GOOGLEFINANCE(C14, ""price"") / INDEX(GOOGLEFINANCE(C14, ""price"", EDATE(TODAY(), -12), TODAY()), 2, 2)) - 1, """")"),"")</f>
        <v/>
      </c>
      <c r="Q14" s="6" t="str">
        <f>IFERROR(__xludf.DUMMYFUNCTION("AVERAGE(QUERY(GOOGLEFINANCE(C14, ""price"", TODAY()-80, TODAY()), ""SELECT Col2 WHERE Col2 IS NOT NULL ORDER BY Col1 DESC LIMIT 50"", 0))"),"#N/A")</f>
        <v>#N/A</v>
      </c>
      <c r="R14" s="24" t="str">
        <f>IFERROR(__xludf.DUMMYFUNCTION("IFERROR(
  LET(
    data, QUERY(GOOGLEFINANCE(C14,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GOOGLEFINANCE(C14, ""price"")) * 100,
    IF(calc=0, G14, calc)
  ), 
G14)"),"#N/A")</f>
        <v>#N/A</v>
      </c>
      <c r="S14" s="8" t="s">
        <v>15</v>
      </c>
      <c r="T14" s="26" t="str">
        <f>IFERROR(__xludf.DUMMYFUNCTION("IFERROR(TRANSPOSE(QUERY(IFERROR(SORT(GOOGLEFINANCE(C14, ""price"", WORKDAY(TODAY(), -40), TODAY()), 1, FALSE)), ""select Col2 where Col2 is not null limit 22 label Col2 ''"", 0)), """")"),"")</f>
        <v/>
      </c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8"/>
      <c r="AO14" s="28"/>
      <c r="AP14" s="29"/>
      <c r="AQ14" s="29" t="str">
        <f t="shared" ref="AQ14:BL14" si="17">T14/T$2</f>
        <v>#N/A</v>
      </c>
      <c r="AR14" s="29" t="str">
        <f t="shared" si="17"/>
        <v>#DIV/0!</v>
      </c>
      <c r="AS14" s="29" t="str">
        <f t="shared" si="17"/>
        <v>#DIV/0!</v>
      </c>
      <c r="AT14" s="29" t="str">
        <f t="shared" si="17"/>
        <v>#DIV/0!</v>
      </c>
      <c r="AU14" s="29" t="str">
        <f t="shared" si="17"/>
        <v>#DIV/0!</v>
      </c>
      <c r="AV14" s="29" t="str">
        <f t="shared" si="17"/>
        <v>#DIV/0!</v>
      </c>
      <c r="AW14" s="29" t="str">
        <f t="shared" si="17"/>
        <v>#DIV/0!</v>
      </c>
      <c r="AX14" s="29" t="str">
        <f t="shared" si="17"/>
        <v>#DIV/0!</v>
      </c>
      <c r="AY14" s="29" t="str">
        <f t="shared" si="17"/>
        <v>#DIV/0!</v>
      </c>
      <c r="AZ14" s="29" t="str">
        <f t="shared" si="17"/>
        <v>#DIV/0!</v>
      </c>
      <c r="BA14" s="29" t="str">
        <f t="shared" si="17"/>
        <v>#DIV/0!</v>
      </c>
      <c r="BB14" s="29" t="str">
        <f t="shared" si="17"/>
        <v>#DIV/0!</v>
      </c>
      <c r="BC14" s="29" t="str">
        <f t="shared" si="17"/>
        <v>#DIV/0!</v>
      </c>
      <c r="BD14" s="29" t="str">
        <f t="shared" si="17"/>
        <v>#DIV/0!</v>
      </c>
      <c r="BE14" s="29" t="str">
        <f t="shared" si="17"/>
        <v>#DIV/0!</v>
      </c>
      <c r="BF14" s="29" t="str">
        <f t="shared" si="17"/>
        <v>#DIV/0!</v>
      </c>
      <c r="BG14" s="29" t="str">
        <f t="shared" si="17"/>
        <v>#DIV/0!</v>
      </c>
      <c r="BH14" s="29" t="str">
        <f t="shared" si="17"/>
        <v>#DIV/0!</v>
      </c>
      <c r="BI14" s="29" t="str">
        <f t="shared" si="17"/>
        <v>#DIV/0!</v>
      </c>
      <c r="BJ14" s="29" t="str">
        <f t="shared" si="17"/>
        <v>#DIV/0!</v>
      </c>
      <c r="BK14" s="29" t="str">
        <f t="shared" si="17"/>
        <v>#DIV/0!</v>
      </c>
      <c r="BL14" s="29" t="str">
        <f t="shared" si="17"/>
        <v>#DIV/0!</v>
      </c>
      <c r="BM14" s="29" t="str">
        <f t="shared" si="3"/>
        <v>#DIV/0!</v>
      </c>
    </row>
    <row r="15">
      <c r="A15" s="16" t="str">
        <f>IFERROR(__xludf.DUMMYFUNCTION("IFERROR(SPARKLINE(SORT(MAP(TRANSPOSE(AQ15:BL15), LAMBDA(val, IF(ISNUMBER(val), PERCENTRANK(AQ15:BL15, val)+0.01, 0))), SEQUENCE(COLUMNS(AQ15:BL15)), FALSE), {""charttype"",""column""; ""color"",""chartreuse""; ""ymin"", 0; ""ymax"", 1.01; ""highcolor"", "&amp;"""darkgreen""; ""lowcolor"", ""red""}), """")"),"")</f>
        <v/>
      </c>
      <c r="B15" s="17" t="str">
        <f t="shared" si="4"/>
        <v/>
      </c>
      <c r="C15" s="1" t="s">
        <v>877</v>
      </c>
      <c r="D15" s="30" t="str">
        <f>IFERROR(__xludf.DUMMYFUNCTION("IFERROR(GOOGLEFINANCE(C15, ""NAME""))"),"SFL Corporation Ltd")</f>
        <v>SFL Corporation Ltd</v>
      </c>
      <c r="E15" s="30" t="s">
        <v>834</v>
      </c>
      <c r="F15" s="33" t="str">
        <f>IFERROR(__xludf.DUMMYFUNCTION("( (GOOGLEFINANCE(C15, ""price"") - Q15) / Q15 ) / (R15 / 100)"),"Loading...")</f>
        <v>Loading...</v>
      </c>
      <c r="G15" s="20" t="str">
        <f>IFERROR(__xludf.DUMMYFUNCTION("AVERAGE(ARRAYFORMULA(100 * (QUERY(GOOGLEFINANCE(C15, ""high"", TODAY()-40, TODAY()), ""SELECT Col2 WHERE Col2 IS NOT NULL ORDER BY Col1 DESC LIMIT 20"", 0) / QUERY(GOOGLEFINANCE(C15, ""low"", TODAY()-40, TODAY()), ""SELECT Col2 WHERE Col2 IS NOT NULL ORDE"&amp;"R BY Col1 DESC LIMIT 20"", 0) - 1)))"),"#N/A")</f>
        <v>#N/A</v>
      </c>
      <c r="H15" s="35" t="str">
        <f t="shared" si="6"/>
        <v/>
      </c>
      <c r="I15" s="35" t="str">
        <f t="shared" si="7"/>
        <v/>
      </c>
      <c r="J15" s="37" t="str">
        <f>IFERROR(__xludf.DUMMYFUNCTION("IFERROR(
  IF(C15="""",, 
    IFERROR(
      GOOGLEFINANCE(C15, ""price"") * GOOGLEFINANCE(C15, ""volumeavg""), 
      GOOGLEFINANCE(C15, ""price"") * AVERAGE(QUERY(GOOGLEFINANCE(C15, ""volume"", TODAY()-40, TODAY()), ""SELECT Col2 WHERE Col2 IS NOT NULL "&amp;"ORDER BY Col1 DESC LIMIT 20"", 0))
    )
  ), 
"""")"),"")</f>
        <v/>
      </c>
      <c r="K15" s="21" t="str">
        <f>IFERROR(__xludf.DUMMYFUNCTION("IFERROR(GOOGLEFINANCE(C15, ""changepct"") / 100, """")"),"")</f>
        <v/>
      </c>
      <c r="L15" s="21" t="str">
        <f>IFERROR(__xludf.DUMMYFUNCTION("IFERROR((GOOGLEFINANCE(C15, ""price"") / INDEX(GOOGLEFINANCE(C15, ""price"", TODAY()-7, TODAY()), 2, 2)) - 1, """")"),"")</f>
        <v/>
      </c>
      <c r="M15" s="21" t="str">
        <f>IFERROR(__xludf.DUMMYFUNCTION("IFERROR((GOOGLEFINANCE(C15, ""price"") / INDEX(GOOGLEFINANCE(C15, ""price"", EDATE(TODAY(), -1), TODAY()), 2, 2)) - 1, """")"),"")</f>
        <v/>
      </c>
      <c r="N15" s="21" t="str">
        <f>IFERROR(__xludf.DUMMYFUNCTION("IFERROR((GOOGLEFINANCE(C15, ""price"") / INDEX(GOOGLEFINANCE(C15, ""price"", EDATE(TODAY(), -3), TODAY()), 2, 2)) - 1, """")"),"")</f>
        <v/>
      </c>
      <c r="O15" s="21" t="str">
        <f>IFERROR(__xludf.DUMMYFUNCTION("IFERROR((GOOGLEFINANCE(C15, ""price"") / INDEX(GOOGLEFINANCE(C15, ""price"", EDATE(TODAY(), -6), TODAY()), 2, 2)) - 1, """")"),"")</f>
        <v/>
      </c>
      <c r="P15" s="21" t="str">
        <f>IFERROR(__xludf.DUMMYFUNCTION("IFERROR((GOOGLEFINANCE(C15, ""price"") / INDEX(GOOGLEFINANCE(C15, ""price"", EDATE(TODAY(), -12), TODAY()), 2, 2)) - 1, """")"),"")</f>
        <v/>
      </c>
      <c r="Q15" s="6" t="str">
        <f>IFERROR(__xludf.DUMMYFUNCTION("AVERAGE(QUERY(GOOGLEFINANCE(C15, ""price"", TODAY()-80, TODAY()), ""SELECT Col2 WHERE Col2 IS NOT NULL ORDER BY Col1 DESC LIMIT 50"", 0))"),"#N/A")</f>
        <v>#N/A</v>
      </c>
      <c r="R15" s="24" t="str">
        <f>IFERROR(__xludf.DUMMYFUNCTION("IFERROR(
  LET(
    data, QUERY(GOOGLEFINANCE(C15,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GOOGLEFINANCE(C15, ""price"")) * 100,
    IF(calc=0, G15, calc)
  ), 
G15)"),"#N/A")</f>
        <v>#N/A</v>
      </c>
      <c r="S15" s="8" t="s">
        <v>15</v>
      </c>
      <c r="T15" s="26" t="str">
        <f>IFERROR(__xludf.DUMMYFUNCTION("IFERROR(TRANSPOSE(QUERY(IFERROR(SORT(GOOGLEFINANCE(C15, ""price"", WORKDAY(TODAY(), -40), TODAY()), 1, FALSE)), ""select Col2 where Col2 is not null limit 22 label Col2 ''"", 0)), """")"),"")</f>
        <v/>
      </c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8"/>
      <c r="AO15" s="28"/>
      <c r="AP15" s="29"/>
      <c r="AQ15" s="29" t="str">
        <f t="shared" ref="AQ15:BL15" si="18">T15/T$2</f>
        <v>#N/A</v>
      </c>
      <c r="AR15" s="29" t="str">
        <f t="shared" si="18"/>
        <v>#DIV/0!</v>
      </c>
      <c r="AS15" s="29" t="str">
        <f t="shared" si="18"/>
        <v>#DIV/0!</v>
      </c>
      <c r="AT15" s="29" t="str">
        <f t="shared" si="18"/>
        <v>#DIV/0!</v>
      </c>
      <c r="AU15" s="29" t="str">
        <f t="shared" si="18"/>
        <v>#DIV/0!</v>
      </c>
      <c r="AV15" s="29" t="str">
        <f t="shared" si="18"/>
        <v>#DIV/0!</v>
      </c>
      <c r="AW15" s="29" t="str">
        <f t="shared" si="18"/>
        <v>#DIV/0!</v>
      </c>
      <c r="AX15" s="29" t="str">
        <f t="shared" si="18"/>
        <v>#DIV/0!</v>
      </c>
      <c r="AY15" s="29" t="str">
        <f t="shared" si="18"/>
        <v>#DIV/0!</v>
      </c>
      <c r="AZ15" s="29" t="str">
        <f t="shared" si="18"/>
        <v>#DIV/0!</v>
      </c>
      <c r="BA15" s="29" t="str">
        <f t="shared" si="18"/>
        <v>#DIV/0!</v>
      </c>
      <c r="BB15" s="29" t="str">
        <f t="shared" si="18"/>
        <v>#DIV/0!</v>
      </c>
      <c r="BC15" s="29" t="str">
        <f t="shared" si="18"/>
        <v>#DIV/0!</v>
      </c>
      <c r="BD15" s="29" t="str">
        <f t="shared" si="18"/>
        <v>#DIV/0!</v>
      </c>
      <c r="BE15" s="29" t="str">
        <f t="shared" si="18"/>
        <v>#DIV/0!</v>
      </c>
      <c r="BF15" s="29" t="str">
        <f t="shared" si="18"/>
        <v>#DIV/0!</v>
      </c>
      <c r="BG15" s="29" t="str">
        <f t="shared" si="18"/>
        <v>#DIV/0!</v>
      </c>
      <c r="BH15" s="29" t="str">
        <f t="shared" si="18"/>
        <v>#DIV/0!</v>
      </c>
      <c r="BI15" s="29" t="str">
        <f t="shared" si="18"/>
        <v>#DIV/0!</v>
      </c>
      <c r="BJ15" s="29" t="str">
        <f t="shared" si="18"/>
        <v>#DIV/0!</v>
      </c>
      <c r="BK15" s="29" t="str">
        <f t="shared" si="18"/>
        <v>#DIV/0!</v>
      </c>
      <c r="BL15" s="29" t="str">
        <f t="shared" si="18"/>
        <v>#DIV/0!</v>
      </c>
      <c r="BM15" s="29" t="str">
        <f t="shared" si="3"/>
        <v>#DIV/0!</v>
      </c>
    </row>
    <row r="16">
      <c r="A16" s="16" t="str">
        <f>IFERROR(__xludf.DUMMYFUNCTION("IFERROR(SPARKLINE(SORT(MAP(TRANSPOSE(AQ16:BL16), LAMBDA(val, IF(ISNUMBER(val), PERCENTRANK(AQ16:BL16, val)+0.01, 0))), SEQUENCE(COLUMNS(AQ16:BL16)), FALSE), {""charttype"",""column""; ""color"",""chartreuse""; ""ymin"", 0; ""ymax"", 1.01; ""highcolor"", "&amp;"""darkgreen""; ""lowcolor"", ""red""}), """")"),"")</f>
        <v/>
      </c>
      <c r="B16" s="17" t="str">
        <f t="shared" si="4"/>
        <v/>
      </c>
      <c r="C16" s="1" t="s">
        <v>881</v>
      </c>
      <c r="D16" s="30" t="str">
        <f>IFERROR(__xludf.DUMMYFUNCTION("IFERROR(GOOGLEFINANCE(C16, ""NAME""))"),"Star Bulk Carriers Corp")</f>
        <v>Star Bulk Carriers Corp</v>
      </c>
      <c r="E16" s="30" t="s">
        <v>834</v>
      </c>
      <c r="F16" s="33" t="str">
        <f>IFERROR(__xludf.DUMMYFUNCTION("( (GOOGLEFINANCE(C16, ""price"") - Q16) / Q16 ) / (R16 / 100)"),"Loading...")</f>
        <v>Loading...</v>
      </c>
      <c r="G16" s="20" t="str">
        <f>IFERROR(__xludf.DUMMYFUNCTION("AVERAGE(ARRAYFORMULA(100 * (QUERY(GOOGLEFINANCE(C16, ""high"", TODAY()-40, TODAY()), ""SELECT Col2 WHERE Col2 IS NOT NULL ORDER BY Col1 DESC LIMIT 20"", 0) / QUERY(GOOGLEFINANCE(C16, ""low"", TODAY()-40, TODAY()), ""SELECT Col2 WHERE Col2 IS NOT NULL ORDE"&amp;"R BY Col1 DESC LIMIT 20"", 0) - 1)))"),"#N/A")</f>
        <v>#N/A</v>
      </c>
      <c r="H16" s="35" t="str">
        <f t="shared" si="6"/>
        <v/>
      </c>
      <c r="I16" s="35" t="str">
        <f t="shared" si="7"/>
        <v/>
      </c>
      <c r="J16" s="37" t="str">
        <f>IFERROR(__xludf.DUMMYFUNCTION("IFERROR(
  IF(C16="""",, 
    IFERROR(
      GOOGLEFINANCE(C16, ""price"") * GOOGLEFINANCE(C16, ""volumeavg""), 
      GOOGLEFINANCE(C16, ""price"") * AVERAGE(QUERY(GOOGLEFINANCE(C16, ""volume"", TODAY()-40, TODAY()), ""SELECT Col2 WHERE Col2 IS NOT NULL "&amp;"ORDER BY Col1 DESC LIMIT 20"", 0))
    )
  ), 
"""")"),"")</f>
        <v/>
      </c>
      <c r="K16" s="21" t="str">
        <f>IFERROR(__xludf.DUMMYFUNCTION("IFERROR(GOOGLEFINANCE(C16, ""changepct"") / 100, """")"),"")</f>
        <v/>
      </c>
      <c r="L16" s="21" t="str">
        <f>IFERROR(__xludf.DUMMYFUNCTION("IFERROR((GOOGLEFINANCE(C16, ""price"") / INDEX(GOOGLEFINANCE(C16, ""price"", TODAY()-7, TODAY()), 2, 2)) - 1, """")"),"")</f>
        <v/>
      </c>
      <c r="M16" s="21" t="str">
        <f>IFERROR(__xludf.DUMMYFUNCTION("IFERROR((GOOGLEFINANCE(C16, ""price"") / INDEX(GOOGLEFINANCE(C16, ""price"", EDATE(TODAY(), -1), TODAY()), 2, 2)) - 1, """")"),"")</f>
        <v/>
      </c>
      <c r="N16" s="21" t="str">
        <f>IFERROR(__xludf.DUMMYFUNCTION("IFERROR((GOOGLEFINANCE(C16, ""price"") / INDEX(GOOGLEFINANCE(C16, ""price"", EDATE(TODAY(), -3), TODAY()), 2, 2)) - 1, """")"),"")</f>
        <v/>
      </c>
      <c r="O16" s="21" t="str">
        <f>IFERROR(__xludf.DUMMYFUNCTION("IFERROR((GOOGLEFINANCE(C16, ""price"") / INDEX(GOOGLEFINANCE(C16, ""price"", EDATE(TODAY(), -6), TODAY()), 2, 2)) - 1, """")"),"")</f>
        <v/>
      </c>
      <c r="P16" s="21" t="str">
        <f>IFERROR(__xludf.DUMMYFUNCTION("IFERROR((GOOGLEFINANCE(C16, ""price"") / INDEX(GOOGLEFINANCE(C16, ""price"", EDATE(TODAY(), -12), TODAY()), 2, 2)) - 1, """")"),"")</f>
        <v/>
      </c>
      <c r="Q16" s="6" t="str">
        <f>IFERROR(__xludf.DUMMYFUNCTION("AVERAGE(QUERY(GOOGLEFINANCE(C16, ""price"", TODAY()-80, TODAY()), ""SELECT Col2 WHERE Col2 IS NOT NULL ORDER BY Col1 DESC LIMIT 50"", 0))"),"#N/A")</f>
        <v>#N/A</v>
      </c>
      <c r="R16" s="24" t="str">
        <f>IFERROR(__xludf.DUMMYFUNCTION("IFERROR(
  LET(
    data, QUERY(GOOGLEFINANCE(C16,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GOOGLEFINANCE(C16, ""price"")) * 100,
    IF(calc=0, G16, calc)
  ), 
G16)"),"#N/A")</f>
        <v>#N/A</v>
      </c>
      <c r="S16" s="8" t="s">
        <v>15</v>
      </c>
      <c r="T16" s="26" t="str">
        <f>IFERROR(__xludf.DUMMYFUNCTION("IFERROR(TRANSPOSE(QUERY(IFERROR(SORT(GOOGLEFINANCE(C16, ""price"", WORKDAY(TODAY(), -40), TODAY()), 1, FALSE)), ""select Col2 where Col2 is not null limit 22 label Col2 ''"", 0)), """")"),"")</f>
        <v/>
      </c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8"/>
      <c r="AO16" s="28"/>
      <c r="AP16" s="29"/>
      <c r="AQ16" s="29" t="str">
        <f t="shared" ref="AQ16:BL16" si="19">T16/T$2</f>
        <v>#N/A</v>
      </c>
      <c r="AR16" s="29" t="str">
        <f t="shared" si="19"/>
        <v>#DIV/0!</v>
      </c>
      <c r="AS16" s="29" t="str">
        <f t="shared" si="19"/>
        <v>#DIV/0!</v>
      </c>
      <c r="AT16" s="29" t="str">
        <f t="shared" si="19"/>
        <v>#DIV/0!</v>
      </c>
      <c r="AU16" s="29" t="str">
        <f t="shared" si="19"/>
        <v>#DIV/0!</v>
      </c>
      <c r="AV16" s="29" t="str">
        <f t="shared" si="19"/>
        <v>#DIV/0!</v>
      </c>
      <c r="AW16" s="29" t="str">
        <f t="shared" si="19"/>
        <v>#DIV/0!</v>
      </c>
      <c r="AX16" s="29" t="str">
        <f t="shared" si="19"/>
        <v>#DIV/0!</v>
      </c>
      <c r="AY16" s="29" t="str">
        <f t="shared" si="19"/>
        <v>#DIV/0!</v>
      </c>
      <c r="AZ16" s="29" t="str">
        <f t="shared" si="19"/>
        <v>#DIV/0!</v>
      </c>
      <c r="BA16" s="29" t="str">
        <f t="shared" si="19"/>
        <v>#DIV/0!</v>
      </c>
      <c r="BB16" s="29" t="str">
        <f t="shared" si="19"/>
        <v>#DIV/0!</v>
      </c>
      <c r="BC16" s="29" t="str">
        <f t="shared" si="19"/>
        <v>#DIV/0!</v>
      </c>
      <c r="BD16" s="29" t="str">
        <f t="shared" si="19"/>
        <v>#DIV/0!</v>
      </c>
      <c r="BE16" s="29" t="str">
        <f t="shared" si="19"/>
        <v>#DIV/0!</v>
      </c>
      <c r="BF16" s="29" t="str">
        <f t="shared" si="19"/>
        <v>#DIV/0!</v>
      </c>
      <c r="BG16" s="29" t="str">
        <f t="shared" si="19"/>
        <v>#DIV/0!</v>
      </c>
      <c r="BH16" s="29" t="str">
        <f t="shared" si="19"/>
        <v>#DIV/0!</v>
      </c>
      <c r="BI16" s="29" t="str">
        <f t="shared" si="19"/>
        <v>#DIV/0!</v>
      </c>
      <c r="BJ16" s="29" t="str">
        <f t="shared" si="19"/>
        <v>#DIV/0!</v>
      </c>
      <c r="BK16" s="29" t="str">
        <f t="shared" si="19"/>
        <v>#DIV/0!</v>
      </c>
      <c r="BL16" s="29" t="str">
        <f t="shared" si="19"/>
        <v>#DIV/0!</v>
      </c>
      <c r="BM16" s="29" t="str">
        <f t="shared" si="3"/>
        <v>#DIV/0!</v>
      </c>
    </row>
    <row r="17">
      <c r="A17" s="16" t="str">
        <f>IFERROR(__xludf.DUMMYFUNCTION("IFERROR(SPARKLINE(SORT(MAP(TRANSPOSE(AQ17:BL17), LAMBDA(val, IF(ISNUMBER(val), PERCENTRANK(AQ17:BL17, val)+0.01, 0))), SEQUENCE(COLUMNS(AQ17:BL17)), FALSE), {""charttype"",""column""; ""color"",""chartreuse""; ""ymin"", 0; ""ymax"", 1.01; ""highcolor"", "&amp;"""darkgreen""; ""lowcolor"", ""red""}), """")"),"")</f>
        <v/>
      </c>
      <c r="B17" s="17" t="str">
        <f t="shared" si="4"/>
        <v/>
      </c>
      <c r="C17" s="1" t="s">
        <v>884</v>
      </c>
      <c r="D17" s="30" t="str">
        <f>IFERROR(__xludf.DUMMYFUNCTION("IFERROR(GOOGLEFINANCE(C17, ""NAME""))"),"IES Holdings Inc")</f>
        <v>IES Holdings Inc</v>
      </c>
      <c r="E17" s="30" t="s">
        <v>856</v>
      </c>
      <c r="F17" s="33" t="str">
        <f>IFERROR(__xludf.DUMMYFUNCTION("( (GOOGLEFINANCE(C17, ""price"") - Q17) / Q17 ) / (R17 / 100)"),"Loading...")</f>
        <v>Loading...</v>
      </c>
      <c r="G17" s="20" t="str">
        <f>IFERROR(__xludf.DUMMYFUNCTION("AVERAGE(ARRAYFORMULA(100 * (QUERY(GOOGLEFINANCE(C17, ""high"", TODAY()-40, TODAY()), ""SELECT Col2 WHERE Col2 IS NOT NULL ORDER BY Col1 DESC LIMIT 20"", 0) / QUERY(GOOGLEFINANCE(C17, ""low"", TODAY()-40, TODAY()), ""SELECT Col2 WHERE Col2 IS NOT NULL ORDE"&amp;"R BY Col1 DESC LIMIT 20"", 0) - 1)))"),"#N/A")</f>
        <v>#N/A</v>
      </c>
      <c r="H17" s="35" t="str">
        <f t="shared" si="6"/>
        <v/>
      </c>
      <c r="I17" s="35" t="str">
        <f t="shared" si="7"/>
        <v/>
      </c>
      <c r="J17" s="37" t="str">
        <f>IFERROR(__xludf.DUMMYFUNCTION("IFERROR(
  IF(C17="""",, 
    IFERROR(
      GOOGLEFINANCE(C17, ""price"") * GOOGLEFINANCE(C17, ""volumeavg""), 
      GOOGLEFINANCE(C17, ""price"") * AVERAGE(QUERY(GOOGLEFINANCE(C17, ""volume"", TODAY()-40, TODAY()), ""SELECT Col2 WHERE Col2 IS NOT NULL "&amp;"ORDER BY Col1 DESC LIMIT 20"", 0))
    )
  ), 
"""")"),"")</f>
        <v/>
      </c>
      <c r="K17" s="21" t="str">
        <f>IFERROR(__xludf.DUMMYFUNCTION("IFERROR(GOOGLEFINANCE(C17, ""changepct"") / 100, """")"),"")</f>
        <v/>
      </c>
      <c r="L17" s="21" t="str">
        <f>IFERROR(__xludf.DUMMYFUNCTION("IFERROR((GOOGLEFINANCE(C17, ""price"") / INDEX(GOOGLEFINANCE(C17, ""price"", TODAY()-7, TODAY()), 2, 2)) - 1, """")"),"")</f>
        <v/>
      </c>
      <c r="M17" s="21" t="str">
        <f>IFERROR(__xludf.DUMMYFUNCTION("IFERROR((GOOGLEFINANCE(C17, ""price"") / INDEX(GOOGLEFINANCE(C17, ""price"", EDATE(TODAY(), -1), TODAY()), 2, 2)) - 1, """")"),"")</f>
        <v/>
      </c>
      <c r="N17" s="21" t="str">
        <f>IFERROR(__xludf.DUMMYFUNCTION("IFERROR((GOOGLEFINANCE(C17, ""price"") / INDEX(GOOGLEFINANCE(C17, ""price"", EDATE(TODAY(), -3), TODAY()), 2, 2)) - 1, """")"),"")</f>
        <v/>
      </c>
      <c r="O17" s="21" t="str">
        <f>IFERROR(__xludf.DUMMYFUNCTION("IFERROR((GOOGLEFINANCE(C17, ""price"") / INDEX(GOOGLEFINANCE(C17, ""price"", EDATE(TODAY(), -6), TODAY()), 2, 2)) - 1, """")"),"")</f>
        <v/>
      </c>
      <c r="P17" s="21" t="str">
        <f>IFERROR(__xludf.DUMMYFUNCTION("IFERROR((GOOGLEFINANCE(C17, ""price"") / INDEX(GOOGLEFINANCE(C17, ""price"", EDATE(TODAY(), -12), TODAY()), 2, 2)) - 1, """")"),"")</f>
        <v/>
      </c>
      <c r="Q17" s="6" t="str">
        <f>IFERROR(__xludf.DUMMYFUNCTION("AVERAGE(QUERY(GOOGLEFINANCE(C17, ""price"", TODAY()-80, TODAY()), ""SELECT Col2 WHERE Col2 IS NOT NULL ORDER BY Col1 DESC LIMIT 50"", 0))"),"#N/A")</f>
        <v>#N/A</v>
      </c>
      <c r="R17" s="24" t="str">
        <f>IFERROR(__xludf.DUMMYFUNCTION("IFERROR(
  LET(
    data, QUERY(GOOGLEFINANCE(C17,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GOOGLEFINANCE(C17, ""price"")) * 100,
    IF(calc=0, G17, calc)
  ), 
G17)"),"#N/A")</f>
        <v>#N/A</v>
      </c>
      <c r="S17" s="8" t="s">
        <v>15</v>
      </c>
      <c r="T17" s="26" t="str">
        <f>IFERROR(__xludf.DUMMYFUNCTION("IFERROR(TRANSPOSE(QUERY(IFERROR(SORT(GOOGLEFINANCE(C17, ""price"", WORKDAY(TODAY(), -40), TODAY()), 1, FALSE)), ""select Col2 where Col2 is not null limit 22 label Col2 ''"", 0)), """")"),"")</f>
        <v/>
      </c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8"/>
      <c r="AO17" s="28"/>
      <c r="AP17" s="29"/>
      <c r="AQ17" s="29" t="str">
        <f t="shared" ref="AQ17:BL17" si="20">T17/T$2</f>
        <v>#N/A</v>
      </c>
      <c r="AR17" s="29" t="str">
        <f t="shared" si="20"/>
        <v>#DIV/0!</v>
      </c>
      <c r="AS17" s="29" t="str">
        <f t="shared" si="20"/>
        <v>#DIV/0!</v>
      </c>
      <c r="AT17" s="29" t="str">
        <f t="shared" si="20"/>
        <v>#DIV/0!</v>
      </c>
      <c r="AU17" s="29" t="str">
        <f t="shared" si="20"/>
        <v>#DIV/0!</v>
      </c>
      <c r="AV17" s="29" t="str">
        <f t="shared" si="20"/>
        <v>#DIV/0!</v>
      </c>
      <c r="AW17" s="29" t="str">
        <f t="shared" si="20"/>
        <v>#DIV/0!</v>
      </c>
      <c r="AX17" s="29" t="str">
        <f t="shared" si="20"/>
        <v>#DIV/0!</v>
      </c>
      <c r="AY17" s="29" t="str">
        <f t="shared" si="20"/>
        <v>#DIV/0!</v>
      </c>
      <c r="AZ17" s="29" t="str">
        <f t="shared" si="20"/>
        <v>#DIV/0!</v>
      </c>
      <c r="BA17" s="29" t="str">
        <f t="shared" si="20"/>
        <v>#DIV/0!</v>
      </c>
      <c r="BB17" s="29" t="str">
        <f t="shared" si="20"/>
        <v>#DIV/0!</v>
      </c>
      <c r="BC17" s="29" t="str">
        <f t="shared" si="20"/>
        <v>#DIV/0!</v>
      </c>
      <c r="BD17" s="29" t="str">
        <f t="shared" si="20"/>
        <v>#DIV/0!</v>
      </c>
      <c r="BE17" s="29" t="str">
        <f t="shared" si="20"/>
        <v>#DIV/0!</v>
      </c>
      <c r="BF17" s="29" t="str">
        <f t="shared" si="20"/>
        <v>#DIV/0!</v>
      </c>
      <c r="BG17" s="29" t="str">
        <f t="shared" si="20"/>
        <v>#DIV/0!</v>
      </c>
      <c r="BH17" s="29" t="str">
        <f t="shared" si="20"/>
        <v>#DIV/0!</v>
      </c>
      <c r="BI17" s="29" t="str">
        <f t="shared" si="20"/>
        <v>#DIV/0!</v>
      </c>
      <c r="BJ17" s="29" t="str">
        <f t="shared" si="20"/>
        <v>#DIV/0!</v>
      </c>
      <c r="BK17" s="29" t="str">
        <f t="shared" si="20"/>
        <v>#DIV/0!</v>
      </c>
      <c r="BL17" s="29" t="str">
        <f t="shared" si="20"/>
        <v>#DIV/0!</v>
      </c>
      <c r="BM17" s="29" t="str">
        <f t="shared" si="3"/>
        <v>#DIV/0!</v>
      </c>
    </row>
    <row r="18">
      <c r="A18" s="16" t="str">
        <f>IFERROR(__xludf.DUMMYFUNCTION("IFERROR(SPARKLINE(SORT(MAP(TRANSPOSE(AQ18:BL18), LAMBDA(val, IF(ISNUMBER(val), PERCENTRANK(AQ18:BL18, val)+0.01, 0))), SEQUENCE(COLUMNS(AQ18:BL18)), FALSE), {""charttype"",""column""; ""color"",""chartreuse""; ""ymin"", 0; ""ymax"", 1.01; ""highcolor"", "&amp;"""darkgreen""; ""lowcolor"", ""red""}), """")"),"")</f>
        <v/>
      </c>
      <c r="B18" s="17" t="str">
        <f t="shared" si="4"/>
        <v/>
      </c>
      <c r="C18" s="1" t="s">
        <v>887</v>
      </c>
      <c r="D18" s="30" t="str">
        <f>IFERROR(__xludf.DUMMYFUNCTION("IFERROR(GOOGLEFINANCE(C18, ""NAME""))"),"Herc Holdings Inc")</f>
        <v>Herc Holdings Inc</v>
      </c>
      <c r="E18" s="30" t="s">
        <v>888</v>
      </c>
      <c r="F18" s="38" t="str">
        <f>IFERROR(__xludf.DUMMYFUNCTION("( (GOOGLEFINANCE(C18, ""price"") - Q18) / Q18 ) / (R18 / 100)"),"Loading...")</f>
        <v>Loading...</v>
      </c>
      <c r="G18" s="20" t="str">
        <f>IFERROR(__xludf.DUMMYFUNCTION("AVERAGE(ARRAYFORMULA(100 * (QUERY(GOOGLEFINANCE(C18, ""high"", TODAY()-40, TODAY()), ""SELECT Col2 WHERE Col2 IS NOT NULL ORDER BY Col1 DESC LIMIT 20"", 0) / QUERY(GOOGLEFINANCE(C18, ""low"", TODAY()-40, TODAY()), ""SELECT Col2 WHERE Col2 IS NOT NULL ORDE"&amp;"R BY Col1 DESC LIMIT 20"", 0) - 1)))"),"#N/A")</f>
        <v>#N/A</v>
      </c>
      <c r="H18" s="35" t="str">
        <f t="shared" si="6"/>
        <v/>
      </c>
      <c r="I18" s="35" t="str">
        <f t="shared" si="7"/>
        <v/>
      </c>
      <c r="J18" s="37" t="str">
        <f>IFERROR(__xludf.DUMMYFUNCTION("IFERROR(
  IF(C18="""",, 
    IFERROR(
      GOOGLEFINANCE(C18, ""price"") * GOOGLEFINANCE(C18, ""volumeavg""), 
      GOOGLEFINANCE(C18, ""price"") * AVERAGE(QUERY(GOOGLEFINANCE(C18, ""volume"", TODAY()-40, TODAY()), ""SELECT Col2 WHERE Col2 IS NOT NULL "&amp;"ORDER BY Col1 DESC LIMIT 20"", 0))
    )
  ), 
"""")"),"")</f>
        <v/>
      </c>
      <c r="K18" s="21" t="str">
        <f>IFERROR(__xludf.DUMMYFUNCTION("IFERROR(GOOGLEFINANCE(C18, ""changepct"") / 100, """")"),"")</f>
        <v/>
      </c>
      <c r="L18" s="21" t="str">
        <f>IFERROR(__xludf.DUMMYFUNCTION("IFERROR((GOOGLEFINANCE(C18, ""price"") / INDEX(GOOGLEFINANCE(C18, ""price"", TODAY()-7, TODAY()), 2, 2)) - 1, """")"),"")</f>
        <v/>
      </c>
      <c r="M18" s="21" t="str">
        <f>IFERROR(__xludf.DUMMYFUNCTION("IFERROR((GOOGLEFINANCE(C18, ""price"") / INDEX(GOOGLEFINANCE(C18, ""price"", EDATE(TODAY(), -1), TODAY()), 2, 2)) - 1, """")"),"")</f>
        <v/>
      </c>
      <c r="N18" s="21" t="str">
        <f>IFERROR(__xludf.DUMMYFUNCTION("IFERROR((GOOGLEFINANCE(C18, ""price"") / INDEX(GOOGLEFINANCE(C18, ""price"", EDATE(TODAY(), -3), TODAY()), 2, 2)) - 1, """")"),"")</f>
        <v/>
      </c>
      <c r="O18" s="21" t="str">
        <f>IFERROR(__xludf.DUMMYFUNCTION("IFERROR((GOOGLEFINANCE(C18, ""price"") / INDEX(GOOGLEFINANCE(C18, ""price"", EDATE(TODAY(), -6), TODAY()), 2, 2)) - 1, """")"),"")</f>
        <v/>
      </c>
      <c r="P18" s="21" t="str">
        <f>IFERROR(__xludf.DUMMYFUNCTION("IFERROR((GOOGLEFINANCE(C18, ""price"") / INDEX(GOOGLEFINANCE(C18, ""price"", EDATE(TODAY(), -12), TODAY()), 2, 2)) - 1, """")"),"")</f>
        <v/>
      </c>
      <c r="Q18" s="6" t="str">
        <f>IFERROR(__xludf.DUMMYFUNCTION("AVERAGE(QUERY(GOOGLEFINANCE(C18, ""price"", TODAY()-80, TODAY()), ""SELECT Col2 WHERE Col2 IS NOT NULL ORDER BY Col1 DESC LIMIT 50"", 0))"),"#N/A")</f>
        <v>#N/A</v>
      </c>
      <c r="R18" s="24" t="str">
        <f>IFERROR(__xludf.DUMMYFUNCTION("IFERROR(
  LET(
    data, QUERY(GOOGLEFINANCE(C18,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GOOGLEFINANCE(C18, ""price"")) * 100,
    IF(calc=0, G18, calc)
  ), 
G18)"),"#N/A")</f>
        <v>#N/A</v>
      </c>
      <c r="S18" s="8" t="s">
        <v>15</v>
      </c>
      <c r="T18" s="26" t="str">
        <f>IFERROR(__xludf.DUMMYFUNCTION("IFERROR(TRANSPOSE(QUERY(IFERROR(SORT(GOOGLEFINANCE(C18, ""price"", WORKDAY(TODAY(), -40), TODAY()), 1, FALSE)), ""select Col2 where Col2 is not null limit 22 label Col2 ''"", 0)), """")"),"")</f>
        <v/>
      </c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8"/>
      <c r="AO18" s="28"/>
      <c r="AP18" s="29"/>
      <c r="AQ18" s="29" t="str">
        <f t="shared" ref="AQ18:BL18" si="21">T18/T$2</f>
        <v>#N/A</v>
      </c>
      <c r="AR18" s="29" t="str">
        <f t="shared" si="21"/>
        <v>#DIV/0!</v>
      </c>
      <c r="AS18" s="29" t="str">
        <f t="shared" si="21"/>
        <v>#DIV/0!</v>
      </c>
      <c r="AT18" s="29" t="str">
        <f t="shared" si="21"/>
        <v>#DIV/0!</v>
      </c>
      <c r="AU18" s="29" t="str">
        <f t="shared" si="21"/>
        <v>#DIV/0!</v>
      </c>
      <c r="AV18" s="29" t="str">
        <f t="shared" si="21"/>
        <v>#DIV/0!</v>
      </c>
      <c r="AW18" s="29" t="str">
        <f t="shared" si="21"/>
        <v>#DIV/0!</v>
      </c>
      <c r="AX18" s="29" t="str">
        <f t="shared" si="21"/>
        <v>#DIV/0!</v>
      </c>
      <c r="AY18" s="29" t="str">
        <f t="shared" si="21"/>
        <v>#DIV/0!</v>
      </c>
      <c r="AZ18" s="29" t="str">
        <f t="shared" si="21"/>
        <v>#DIV/0!</v>
      </c>
      <c r="BA18" s="29" t="str">
        <f t="shared" si="21"/>
        <v>#DIV/0!</v>
      </c>
      <c r="BB18" s="29" t="str">
        <f t="shared" si="21"/>
        <v>#DIV/0!</v>
      </c>
      <c r="BC18" s="29" t="str">
        <f t="shared" si="21"/>
        <v>#DIV/0!</v>
      </c>
      <c r="BD18" s="29" t="str">
        <f t="shared" si="21"/>
        <v>#DIV/0!</v>
      </c>
      <c r="BE18" s="29" t="str">
        <f t="shared" si="21"/>
        <v>#DIV/0!</v>
      </c>
      <c r="BF18" s="29" t="str">
        <f t="shared" si="21"/>
        <v>#DIV/0!</v>
      </c>
      <c r="BG18" s="29" t="str">
        <f t="shared" si="21"/>
        <v>#DIV/0!</v>
      </c>
      <c r="BH18" s="29" t="str">
        <f t="shared" si="21"/>
        <v>#DIV/0!</v>
      </c>
      <c r="BI18" s="29" t="str">
        <f t="shared" si="21"/>
        <v>#DIV/0!</v>
      </c>
      <c r="BJ18" s="29" t="str">
        <f t="shared" si="21"/>
        <v>#DIV/0!</v>
      </c>
      <c r="BK18" s="29" t="str">
        <f t="shared" si="21"/>
        <v>#DIV/0!</v>
      </c>
      <c r="BL18" s="29" t="str">
        <f t="shared" si="21"/>
        <v>#DIV/0!</v>
      </c>
      <c r="BM18" s="29" t="str">
        <f t="shared" si="3"/>
        <v>#DIV/0!</v>
      </c>
    </row>
    <row r="19">
      <c r="A19" s="16" t="str">
        <f>IFERROR(__xludf.DUMMYFUNCTION("IFERROR(SPARKLINE(SORT(MAP(TRANSPOSE(AQ19:BL19), LAMBDA(val, IF(ISNUMBER(val), PERCENTRANK(AQ19:BL19, val)+0.01, 0))), SEQUENCE(COLUMNS(AQ19:BL19)), FALSE), {""charttype"",""column""; ""color"",""chartreuse""; ""ymin"", 0; ""ymax"", 1.01; ""highcolor"", "&amp;"""darkgreen""; ""lowcolor"", ""red""}), """")"),"")</f>
        <v/>
      </c>
      <c r="B19" s="17" t="str">
        <f t="shared" si="4"/>
        <v/>
      </c>
      <c r="C19" s="1" t="s">
        <v>892</v>
      </c>
      <c r="D19" s="30" t="str">
        <f>IFERROR(__xludf.DUMMYFUNCTION("IFERROR(GOOGLEFINANCE(C19, ""NAME""))"),"NET Power Inc")</f>
        <v>NET Power Inc</v>
      </c>
      <c r="E19" s="30" t="s">
        <v>893</v>
      </c>
      <c r="F19" s="33" t="str">
        <f>IFERROR(__xludf.DUMMYFUNCTION("( (GOOGLEFINANCE(C19, ""price"") - Q19) / Q19 ) / (R19 / 100)"),"Loading...")</f>
        <v>Loading...</v>
      </c>
      <c r="G19" s="20" t="str">
        <f>IFERROR(__xludf.DUMMYFUNCTION("AVERAGE(ARRAYFORMULA(100 * (QUERY(GOOGLEFINANCE(C19, ""high"", TODAY()-40, TODAY()), ""SELECT Col2 WHERE Col2 IS NOT NULL ORDER BY Col1 DESC LIMIT 20"", 0) / QUERY(GOOGLEFINANCE(C19, ""low"", TODAY()-40, TODAY()), ""SELECT Col2 WHERE Col2 IS NOT NULL ORDE"&amp;"R BY Col1 DESC LIMIT 20"", 0) - 1)))"),"#N/A")</f>
        <v>#N/A</v>
      </c>
      <c r="H19" s="35" t="str">
        <f t="shared" si="6"/>
        <v/>
      </c>
      <c r="I19" s="35" t="str">
        <f t="shared" si="7"/>
        <v/>
      </c>
      <c r="J19" s="37" t="str">
        <f>IFERROR(__xludf.DUMMYFUNCTION("IFERROR(
  IF(C19="""",, 
    IFERROR(
      GOOGLEFINANCE(C19, ""price"") * GOOGLEFINANCE(C19, ""volumeavg""), 
      GOOGLEFINANCE(C19, ""price"") * AVERAGE(QUERY(GOOGLEFINANCE(C19, ""volume"", TODAY()-40, TODAY()), ""SELECT Col2 WHERE Col2 IS NOT NULL "&amp;"ORDER BY Col1 DESC LIMIT 20"", 0))
    )
  ), 
"""")"),"")</f>
        <v/>
      </c>
      <c r="K19" s="21" t="str">
        <f>IFERROR(__xludf.DUMMYFUNCTION("IFERROR(GOOGLEFINANCE(C19, ""changepct"") / 100, """")"),"")</f>
        <v/>
      </c>
      <c r="L19" s="21" t="str">
        <f>IFERROR(__xludf.DUMMYFUNCTION("IFERROR((GOOGLEFINANCE(C19, ""price"") / INDEX(GOOGLEFINANCE(C19, ""price"", TODAY()-7, TODAY()), 2, 2)) - 1, """")"),"")</f>
        <v/>
      </c>
      <c r="M19" s="21" t="str">
        <f>IFERROR(__xludf.DUMMYFUNCTION("IFERROR((GOOGLEFINANCE(C19, ""price"") / INDEX(GOOGLEFINANCE(C19, ""price"", EDATE(TODAY(), -1), TODAY()), 2, 2)) - 1, """")"),"")</f>
        <v/>
      </c>
      <c r="N19" s="21" t="str">
        <f>IFERROR(__xludf.DUMMYFUNCTION("IFERROR((GOOGLEFINANCE(C19, ""price"") / INDEX(GOOGLEFINANCE(C19, ""price"", EDATE(TODAY(), -3), TODAY()), 2, 2)) - 1, """")"),"")</f>
        <v/>
      </c>
      <c r="O19" s="21" t="str">
        <f>IFERROR(__xludf.DUMMYFUNCTION("IFERROR((GOOGLEFINANCE(C19, ""price"") / INDEX(GOOGLEFINANCE(C19, ""price"", EDATE(TODAY(), -6), TODAY()), 2, 2)) - 1, """")"),"")</f>
        <v/>
      </c>
      <c r="P19" s="21" t="str">
        <f>IFERROR(__xludf.DUMMYFUNCTION("IFERROR((GOOGLEFINANCE(C19, ""price"") / INDEX(GOOGLEFINANCE(C19, ""price"", EDATE(TODAY(), -12), TODAY()), 2, 2)) - 1, """")"),"")</f>
        <v/>
      </c>
      <c r="Q19" s="6" t="str">
        <f>IFERROR(__xludf.DUMMYFUNCTION("AVERAGE(QUERY(GOOGLEFINANCE(C19, ""price"", TODAY()-80, TODAY()), ""SELECT Col2 WHERE Col2 IS NOT NULL ORDER BY Col1 DESC LIMIT 50"", 0))"),"#N/A")</f>
        <v>#N/A</v>
      </c>
      <c r="R19" s="24" t="str">
        <f>IFERROR(__xludf.DUMMYFUNCTION("IFERROR(
  LET(
    data, QUERY(GOOGLEFINANCE(C19,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GOOGLEFINANCE(C19, ""price"")) * 100,
    IF(calc=0, G19, calc)
  ), 
G19)"),"#N/A")</f>
        <v>#N/A</v>
      </c>
      <c r="S19" s="8" t="s">
        <v>15</v>
      </c>
      <c r="T19" s="26" t="str">
        <f>IFERROR(__xludf.DUMMYFUNCTION("IFERROR(TRANSPOSE(QUERY(IFERROR(SORT(GOOGLEFINANCE(C19, ""price"", WORKDAY(TODAY(), -40), TODAY()), 1, FALSE)), ""select Col2 where Col2 is not null limit 22 label Col2 ''"", 0)), """")"),"")</f>
        <v/>
      </c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8"/>
      <c r="AO19" s="28"/>
      <c r="AP19" s="29"/>
      <c r="AQ19" s="29" t="str">
        <f t="shared" ref="AQ19:BL19" si="22">T19/T$2</f>
        <v>#N/A</v>
      </c>
      <c r="AR19" s="29" t="str">
        <f t="shared" si="22"/>
        <v>#DIV/0!</v>
      </c>
      <c r="AS19" s="29" t="str">
        <f t="shared" si="22"/>
        <v>#DIV/0!</v>
      </c>
      <c r="AT19" s="29" t="str">
        <f t="shared" si="22"/>
        <v>#DIV/0!</v>
      </c>
      <c r="AU19" s="29" t="str">
        <f t="shared" si="22"/>
        <v>#DIV/0!</v>
      </c>
      <c r="AV19" s="29" t="str">
        <f t="shared" si="22"/>
        <v>#DIV/0!</v>
      </c>
      <c r="AW19" s="29" t="str">
        <f t="shared" si="22"/>
        <v>#DIV/0!</v>
      </c>
      <c r="AX19" s="29" t="str">
        <f t="shared" si="22"/>
        <v>#DIV/0!</v>
      </c>
      <c r="AY19" s="29" t="str">
        <f t="shared" si="22"/>
        <v>#DIV/0!</v>
      </c>
      <c r="AZ19" s="29" t="str">
        <f t="shared" si="22"/>
        <v>#DIV/0!</v>
      </c>
      <c r="BA19" s="29" t="str">
        <f t="shared" si="22"/>
        <v>#DIV/0!</v>
      </c>
      <c r="BB19" s="29" t="str">
        <f t="shared" si="22"/>
        <v>#DIV/0!</v>
      </c>
      <c r="BC19" s="29" t="str">
        <f t="shared" si="22"/>
        <v>#DIV/0!</v>
      </c>
      <c r="BD19" s="29" t="str">
        <f t="shared" si="22"/>
        <v>#DIV/0!</v>
      </c>
      <c r="BE19" s="29" t="str">
        <f t="shared" si="22"/>
        <v>#DIV/0!</v>
      </c>
      <c r="BF19" s="29" t="str">
        <f t="shared" si="22"/>
        <v>#DIV/0!</v>
      </c>
      <c r="BG19" s="29" t="str">
        <f t="shared" si="22"/>
        <v>#DIV/0!</v>
      </c>
      <c r="BH19" s="29" t="str">
        <f t="shared" si="22"/>
        <v>#DIV/0!</v>
      </c>
      <c r="BI19" s="29" t="str">
        <f t="shared" si="22"/>
        <v>#DIV/0!</v>
      </c>
      <c r="BJ19" s="29" t="str">
        <f t="shared" si="22"/>
        <v>#DIV/0!</v>
      </c>
      <c r="BK19" s="29" t="str">
        <f t="shared" si="22"/>
        <v>#DIV/0!</v>
      </c>
      <c r="BL19" s="29" t="str">
        <f t="shared" si="22"/>
        <v>#DIV/0!</v>
      </c>
      <c r="BM19" s="29" t="str">
        <f t="shared" si="3"/>
        <v>#DIV/0!</v>
      </c>
    </row>
    <row r="20">
      <c r="A20" s="16" t="str">
        <f>IFERROR(__xludf.DUMMYFUNCTION("IFERROR(SPARKLINE(SORT(MAP(TRANSPOSE(AQ20:BL20), LAMBDA(val, IF(ISNUMBER(val), PERCENTRANK(AQ20:BL20, val)+0.01, 0))), SEQUENCE(COLUMNS(AQ20:BL20)), FALSE), {""charttype"",""column""; ""color"",""chartreuse""; ""ymin"", 0; ""ymax"", 1.01; ""highcolor"", "&amp;"""darkgreen""; ""lowcolor"", ""red""}), """")"),"")</f>
        <v/>
      </c>
      <c r="B20" s="17" t="str">
        <f t="shared" si="4"/>
        <v/>
      </c>
      <c r="C20" s="1" t="s">
        <v>896</v>
      </c>
      <c r="D20" s="30" t="str">
        <f>IFERROR(__xludf.DUMMYFUNCTION("IFERROR(GOOGLEFINANCE(C20, ""NAME""))"),"Babcock &amp; Wilcox Enterprises Inc")</f>
        <v>Babcock &amp; Wilcox Enterprises Inc</v>
      </c>
      <c r="E20" s="30" t="s">
        <v>893</v>
      </c>
      <c r="F20" s="33" t="str">
        <f>IFERROR(__xludf.DUMMYFUNCTION("( (GOOGLEFINANCE(C20, ""price"") - Q20) / Q20 ) / (R20 / 100)"),"Loading...")</f>
        <v>Loading...</v>
      </c>
      <c r="G20" s="20" t="str">
        <f>IFERROR(__xludf.DUMMYFUNCTION("AVERAGE(ARRAYFORMULA(100 * (QUERY(GOOGLEFINANCE(C20, ""high"", TODAY()-40, TODAY()), ""SELECT Col2 WHERE Col2 IS NOT NULL ORDER BY Col1 DESC LIMIT 20"", 0) / QUERY(GOOGLEFINANCE(C20, ""low"", TODAY()-40, TODAY()), ""SELECT Col2 WHERE Col2 IS NOT NULL ORDE"&amp;"R BY Col1 DESC LIMIT 20"", 0) - 1)))"),"#N/A")</f>
        <v>#N/A</v>
      </c>
      <c r="H20" s="35" t="str">
        <f t="shared" si="6"/>
        <v/>
      </c>
      <c r="I20" s="35" t="str">
        <f t="shared" si="7"/>
        <v/>
      </c>
      <c r="J20" s="37" t="str">
        <f>IFERROR(__xludf.DUMMYFUNCTION("IFERROR(
  IF(C20="""",, 
    IFERROR(
      GOOGLEFINANCE(C20, ""price"") * GOOGLEFINANCE(C20, ""volumeavg""), 
      GOOGLEFINANCE(C20, ""price"") * AVERAGE(QUERY(GOOGLEFINANCE(C20, ""volume"", TODAY()-40, TODAY()), ""SELECT Col2 WHERE Col2 IS NOT NULL "&amp;"ORDER BY Col1 DESC LIMIT 20"", 0))
    )
  ), 
"""")"),"")</f>
        <v/>
      </c>
      <c r="K20" s="21" t="str">
        <f>IFERROR(__xludf.DUMMYFUNCTION("IFERROR(GOOGLEFINANCE(C20, ""changepct"") / 100, """")"),"")</f>
        <v/>
      </c>
      <c r="L20" s="21" t="str">
        <f>IFERROR(__xludf.DUMMYFUNCTION("IFERROR((GOOGLEFINANCE(C20, ""price"") / INDEX(GOOGLEFINANCE(C20, ""price"", TODAY()-7, TODAY()), 2, 2)) - 1, """")"),"")</f>
        <v/>
      </c>
      <c r="M20" s="21" t="str">
        <f>IFERROR(__xludf.DUMMYFUNCTION("IFERROR((GOOGLEFINANCE(C20, ""price"") / INDEX(GOOGLEFINANCE(C20, ""price"", EDATE(TODAY(), -1), TODAY()), 2, 2)) - 1, """")"),"")</f>
        <v/>
      </c>
      <c r="N20" s="21" t="str">
        <f>IFERROR(__xludf.DUMMYFUNCTION("IFERROR((GOOGLEFINANCE(C20, ""price"") / INDEX(GOOGLEFINANCE(C20, ""price"", EDATE(TODAY(), -3), TODAY()), 2, 2)) - 1, """")"),"")</f>
        <v/>
      </c>
      <c r="O20" s="21" t="str">
        <f>IFERROR(__xludf.DUMMYFUNCTION("IFERROR((GOOGLEFINANCE(C20, ""price"") / INDEX(GOOGLEFINANCE(C20, ""price"", EDATE(TODAY(), -6), TODAY()), 2, 2)) - 1, """")"),"")</f>
        <v/>
      </c>
      <c r="P20" s="21" t="str">
        <f>IFERROR(__xludf.DUMMYFUNCTION("IFERROR((GOOGLEFINANCE(C20, ""price"") / INDEX(GOOGLEFINANCE(C20, ""price"", EDATE(TODAY(), -12), TODAY()), 2, 2)) - 1, """")"),"")</f>
        <v/>
      </c>
      <c r="Q20" s="6" t="str">
        <f>IFERROR(__xludf.DUMMYFUNCTION("AVERAGE(QUERY(GOOGLEFINANCE(C20, ""price"", TODAY()-80, TODAY()), ""SELECT Col2 WHERE Col2 IS NOT NULL ORDER BY Col1 DESC LIMIT 50"", 0))"),"#N/A")</f>
        <v>#N/A</v>
      </c>
      <c r="R20" s="24" t="str">
        <f>IFERROR(__xludf.DUMMYFUNCTION("IFERROR(
  LET(
    data, QUERY(GOOGLEFINANCE(C20,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GOOGLEFINANCE(C20, ""price"")) * 100,
    IF(calc=0, G20, calc)
  ), 
G20)"),"#N/A")</f>
        <v>#N/A</v>
      </c>
      <c r="S20" s="8" t="s">
        <v>15</v>
      </c>
      <c r="T20" s="26" t="str">
        <f>IFERROR(__xludf.DUMMYFUNCTION("IFERROR(TRANSPOSE(QUERY(IFERROR(SORT(GOOGLEFINANCE(C20, ""price"", WORKDAY(TODAY(), -40), TODAY()), 1, FALSE)), ""select Col2 where Col2 is not null limit 22 label Col2 ''"", 0)), """")"),"")</f>
        <v/>
      </c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8"/>
      <c r="AO20" s="28"/>
      <c r="AP20" s="29"/>
      <c r="AQ20" s="29" t="str">
        <f t="shared" ref="AQ20:BL20" si="23">T20/T$2</f>
        <v>#N/A</v>
      </c>
      <c r="AR20" s="29" t="str">
        <f t="shared" si="23"/>
        <v>#DIV/0!</v>
      </c>
      <c r="AS20" s="29" t="str">
        <f t="shared" si="23"/>
        <v>#DIV/0!</v>
      </c>
      <c r="AT20" s="29" t="str">
        <f t="shared" si="23"/>
        <v>#DIV/0!</v>
      </c>
      <c r="AU20" s="29" t="str">
        <f t="shared" si="23"/>
        <v>#DIV/0!</v>
      </c>
      <c r="AV20" s="29" t="str">
        <f t="shared" si="23"/>
        <v>#DIV/0!</v>
      </c>
      <c r="AW20" s="29" t="str">
        <f t="shared" si="23"/>
        <v>#DIV/0!</v>
      </c>
      <c r="AX20" s="29" t="str">
        <f t="shared" si="23"/>
        <v>#DIV/0!</v>
      </c>
      <c r="AY20" s="29" t="str">
        <f t="shared" si="23"/>
        <v>#DIV/0!</v>
      </c>
      <c r="AZ20" s="29" t="str">
        <f t="shared" si="23"/>
        <v>#DIV/0!</v>
      </c>
      <c r="BA20" s="29" t="str">
        <f t="shared" si="23"/>
        <v>#DIV/0!</v>
      </c>
      <c r="BB20" s="29" t="str">
        <f t="shared" si="23"/>
        <v>#DIV/0!</v>
      </c>
      <c r="BC20" s="29" t="str">
        <f t="shared" si="23"/>
        <v>#DIV/0!</v>
      </c>
      <c r="BD20" s="29" t="str">
        <f t="shared" si="23"/>
        <v>#DIV/0!</v>
      </c>
      <c r="BE20" s="29" t="str">
        <f t="shared" si="23"/>
        <v>#DIV/0!</v>
      </c>
      <c r="BF20" s="29" t="str">
        <f t="shared" si="23"/>
        <v>#DIV/0!</v>
      </c>
      <c r="BG20" s="29" t="str">
        <f t="shared" si="23"/>
        <v>#DIV/0!</v>
      </c>
      <c r="BH20" s="29" t="str">
        <f t="shared" si="23"/>
        <v>#DIV/0!</v>
      </c>
      <c r="BI20" s="29" t="str">
        <f t="shared" si="23"/>
        <v>#DIV/0!</v>
      </c>
      <c r="BJ20" s="29" t="str">
        <f t="shared" si="23"/>
        <v>#DIV/0!</v>
      </c>
      <c r="BK20" s="29" t="str">
        <f t="shared" si="23"/>
        <v>#DIV/0!</v>
      </c>
      <c r="BL20" s="29" t="str">
        <f t="shared" si="23"/>
        <v>#DIV/0!</v>
      </c>
      <c r="BM20" s="29" t="str">
        <f t="shared" si="3"/>
        <v>#DIV/0!</v>
      </c>
    </row>
    <row r="21">
      <c r="A21" s="16" t="str">
        <f>IFERROR(__xludf.DUMMYFUNCTION("IFERROR(SPARKLINE(SORT(MAP(TRANSPOSE(AQ21:BL21), LAMBDA(val, IF(ISNUMBER(val), PERCENTRANK(AQ21:BL21, val)+0.01, 0))), SEQUENCE(COLUMNS(AQ21:BL21)), FALSE), {""charttype"",""column""; ""color"",""chartreuse""; ""ymin"", 0; ""ymax"", 1.01; ""highcolor"", "&amp;"""darkgreen""; ""lowcolor"", ""red""}), """")"),"")</f>
        <v/>
      </c>
      <c r="B21" s="17" t="str">
        <f t="shared" si="4"/>
        <v/>
      </c>
      <c r="C21" s="1" t="s">
        <v>900</v>
      </c>
      <c r="D21" s="30" t="str">
        <f>IFERROR(__xludf.DUMMYFUNCTION("IFERROR(GOOGLEFINANCE(C21, ""NAME""))"),"Highland Copper Company Inc")</f>
        <v>Highland Copper Company Inc</v>
      </c>
      <c r="E21" s="30" t="s">
        <v>893</v>
      </c>
      <c r="F21" s="33" t="str">
        <f>IFERROR(__xludf.DUMMYFUNCTION("( (GOOGLEFINANCE(C21, ""price"") - Q21) / Q21 ) / (R21 / 100)"),"Loading...")</f>
        <v>Loading...</v>
      </c>
      <c r="G21" s="20" t="str">
        <f>IFERROR(__xludf.DUMMYFUNCTION("AVERAGE(ARRAYFORMULA(100 * (QUERY(GOOGLEFINANCE(C21, ""high"", TODAY()-40, TODAY()), ""SELECT Col2 WHERE Col2 IS NOT NULL ORDER BY Col1 DESC LIMIT 20"", 0) / QUERY(GOOGLEFINANCE(C21, ""low"", TODAY()-40, TODAY()), ""SELECT Col2 WHERE Col2 IS NOT NULL ORDE"&amp;"R BY Col1 DESC LIMIT 20"", 0) - 1)))"),"#N/A")</f>
        <v>#N/A</v>
      </c>
      <c r="H21" s="35" t="str">
        <f t="shared" si="6"/>
        <v/>
      </c>
      <c r="I21" s="35" t="str">
        <f t="shared" si="7"/>
        <v/>
      </c>
      <c r="J21" s="37" t="str">
        <f>IFERROR(__xludf.DUMMYFUNCTION("IFERROR(
  IF(C21="""",, 
    IFERROR(
      GOOGLEFINANCE(C21, ""price"") * GOOGLEFINANCE(C21, ""volumeavg""), 
      GOOGLEFINANCE(C21, ""price"") * AVERAGE(QUERY(GOOGLEFINANCE(C21, ""volume"", TODAY()-40, TODAY()), ""SELECT Col2 WHERE Col2 IS NOT NULL "&amp;"ORDER BY Col1 DESC LIMIT 20"", 0))
    )
  ), 
"""")"),"")</f>
        <v/>
      </c>
      <c r="K21" s="21" t="str">
        <f>IFERROR(__xludf.DUMMYFUNCTION("IFERROR(GOOGLEFINANCE(C21, ""changepct"") / 100, """")"),"")</f>
        <v/>
      </c>
      <c r="L21" s="21" t="str">
        <f>IFERROR(__xludf.DUMMYFUNCTION("IFERROR((GOOGLEFINANCE(C21, ""price"") / INDEX(GOOGLEFINANCE(C21, ""price"", TODAY()-7, TODAY()), 2, 2)) - 1, """")"),"")</f>
        <v/>
      </c>
      <c r="M21" s="21" t="str">
        <f>IFERROR(__xludf.DUMMYFUNCTION("IFERROR((GOOGLEFINANCE(C21, ""price"") / INDEX(GOOGLEFINANCE(C21, ""price"", EDATE(TODAY(), -1), TODAY()), 2, 2)) - 1, """")"),"")</f>
        <v/>
      </c>
      <c r="N21" s="21" t="str">
        <f>IFERROR(__xludf.DUMMYFUNCTION("IFERROR((GOOGLEFINANCE(C21, ""price"") / INDEX(GOOGLEFINANCE(C21, ""price"", EDATE(TODAY(), -3), TODAY()), 2, 2)) - 1, """")"),"")</f>
        <v/>
      </c>
      <c r="O21" s="21" t="str">
        <f>IFERROR(__xludf.DUMMYFUNCTION("IFERROR((GOOGLEFINANCE(C21, ""price"") / INDEX(GOOGLEFINANCE(C21, ""price"", EDATE(TODAY(), -6), TODAY()), 2, 2)) - 1, """")"),"")</f>
        <v/>
      </c>
      <c r="P21" s="21" t="str">
        <f>IFERROR(__xludf.DUMMYFUNCTION("IFERROR((GOOGLEFINANCE(C21, ""price"") / INDEX(GOOGLEFINANCE(C21, ""price"", EDATE(TODAY(), -12), TODAY()), 2, 2)) - 1, """")"),"")</f>
        <v/>
      </c>
      <c r="Q21" s="6" t="str">
        <f>IFERROR(__xludf.DUMMYFUNCTION("AVERAGE(QUERY(GOOGLEFINANCE(C21, ""price"", TODAY()-80, TODAY()), ""SELECT Col2 WHERE Col2 IS NOT NULL ORDER BY Col1 DESC LIMIT 50"", 0))"),"#N/A")</f>
        <v>#N/A</v>
      </c>
      <c r="R21" s="24" t="str">
        <f>IFERROR(__xludf.DUMMYFUNCTION("IFERROR(
  LET(
    data, QUERY(GOOGLEFINANCE(C21,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GOOGLEFINANCE(C21, ""price"")) * 100,
    IF(calc=0, G21, calc)
  ), 
G21)"),"#N/A")</f>
        <v>#N/A</v>
      </c>
      <c r="S21" s="8" t="s">
        <v>15</v>
      </c>
      <c r="T21" s="26" t="str">
        <f>IFERROR(__xludf.DUMMYFUNCTION("IFERROR(TRANSPOSE(QUERY(IFERROR(SORT(GOOGLEFINANCE(C21, ""price"", WORKDAY(TODAY(), -40), TODAY()), 1, FALSE)), ""select Col2 where Col2 is not null limit 22 label Col2 ''"", 0)), """")"),"")</f>
        <v/>
      </c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8"/>
      <c r="AO21" s="28"/>
      <c r="AP21" s="29"/>
      <c r="AQ21" s="29" t="str">
        <f t="shared" ref="AQ21:BL21" si="24">T21/T$2</f>
        <v>#N/A</v>
      </c>
      <c r="AR21" s="29" t="str">
        <f t="shared" si="24"/>
        <v>#DIV/0!</v>
      </c>
      <c r="AS21" s="29" t="str">
        <f t="shared" si="24"/>
        <v>#DIV/0!</v>
      </c>
      <c r="AT21" s="29" t="str">
        <f t="shared" si="24"/>
        <v>#DIV/0!</v>
      </c>
      <c r="AU21" s="29" t="str">
        <f t="shared" si="24"/>
        <v>#DIV/0!</v>
      </c>
      <c r="AV21" s="29" t="str">
        <f t="shared" si="24"/>
        <v>#DIV/0!</v>
      </c>
      <c r="AW21" s="29" t="str">
        <f t="shared" si="24"/>
        <v>#DIV/0!</v>
      </c>
      <c r="AX21" s="29" t="str">
        <f t="shared" si="24"/>
        <v>#DIV/0!</v>
      </c>
      <c r="AY21" s="29" t="str">
        <f t="shared" si="24"/>
        <v>#DIV/0!</v>
      </c>
      <c r="AZ21" s="29" t="str">
        <f t="shared" si="24"/>
        <v>#DIV/0!</v>
      </c>
      <c r="BA21" s="29" t="str">
        <f t="shared" si="24"/>
        <v>#DIV/0!</v>
      </c>
      <c r="BB21" s="29" t="str">
        <f t="shared" si="24"/>
        <v>#DIV/0!</v>
      </c>
      <c r="BC21" s="29" t="str">
        <f t="shared" si="24"/>
        <v>#DIV/0!</v>
      </c>
      <c r="BD21" s="29" t="str">
        <f t="shared" si="24"/>
        <v>#DIV/0!</v>
      </c>
      <c r="BE21" s="29" t="str">
        <f t="shared" si="24"/>
        <v>#DIV/0!</v>
      </c>
      <c r="BF21" s="29" t="str">
        <f t="shared" si="24"/>
        <v>#DIV/0!</v>
      </c>
      <c r="BG21" s="29" t="str">
        <f t="shared" si="24"/>
        <v>#DIV/0!</v>
      </c>
      <c r="BH21" s="29" t="str">
        <f t="shared" si="24"/>
        <v>#DIV/0!</v>
      </c>
      <c r="BI21" s="29" t="str">
        <f t="shared" si="24"/>
        <v>#DIV/0!</v>
      </c>
      <c r="BJ21" s="29" t="str">
        <f t="shared" si="24"/>
        <v>#DIV/0!</v>
      </c>
      <c r="BK21" s="29" t="str">
        <f t="shared" si="24"/>
        <v>#DIV/0!</v>
      </c>
      <c r="BL21" s="29" t="str">
        <f t="shared" si="24"/>
        <v>#DIV/0!</v>
      </c>
      <c r="BM21" s="29" t="str">
        <f t="shared" si="3"/>
        <v>#DIV/0!</v>
      </c>
    </row>
    <row r="22">
      <c r="A22" s="16" t="str">
        <f>IFERROR(__xludf.DUMMYFUNCTION("IFERROR(SPARKLINE(SORT(MAP(TRANSPOSE(AQ22:BL22), LAMBDA(val, IF(ISNUMBER(val), PERCENTRANK(AQ22:BL22, val)+0.01, 0))), SEQUENCE(COLUMNS(AQ22:BL22)), FALSE), {""charttype"",""column""; ""color"",""chartreuse""; ""ymin"", 0; ""ymax"", 1.01; ""highcolor"", "&amp;"""darkgreen""; ""lowcolor"", ""red""}), """")"),"")</f>
        <v/>
      </c>
      <c r="B22" s="17" t="str">
        <f t="shared" si="4"/>
        <v/>
      </c>
      <c r="C22" s="1" t="s">
        <v>903</v>
      </c>
      <c r="D22" s="30" t="str">
        <f>IFERROR(__xludf.DUMMYFUNCTION("IFERROR(GOOGLEFINANCE(C22, ""NAME""))"),"Pangaea Logistics Solutions Ltd")</f>
        <v>Pangaea Logistics Solutions Ltd</v>
      </c>
      <c r="E22" s="30" t="s">
        <v>834</v>
      </c>
      <c r="F22" s="33" t="str">
        <f>IFERROR(__xludf.DUMMYFUNCTION("( (GOOGLEFINANCE(C22, ""price"") - Q22) / Q22 ) / (R22 / 100)"),"Loading...")</f>
        <v>Loading...</v>
      </c>
      <c r="G22" s="20" t="str">
        <f>IFERROR(__xludf.DUMMYFUNCTION("AVERAGE(ARRAYFORMULA(100 * (QUERY(GOOGLEFINANCE(C22, ""high"", TODAY()-40, TODAY()), ""SELECT Col2 WHERE Col2 IS NOT NULL ORDER BY Col1 DESC LIMIT 20"", 0) / QUERY(GOOGLEFINANCE(C22, ""low"", TODAY()-40, TODAY()), ""SELECT Col2 WHERE Col2 IS NOT NULL ORDE"&amp;"R BY Col1 DESC LIMIT 20"", 0) - 1)))"),"#N/A")</f>
        <v>#N/A</v>
      </c>
      <c r="H22" s="35" t="str">
        <f t="shared" si="6"/>
        <v/>
      </c>
      <c r="I22" s="35" t="str">
        <f t="shared" si="7"/>
        <v/>
      </c>
      <c r="J22" s="37" t="str">
        <f>IFERROR(__xludf.DUMMYFUNCTION("IFERROR(
  IF(C22="""",, 
    IFERROR(
      GOOGLEFINANCE(C22, ""price"") * GOOGLEFINANCE(C22, ""volumeavg""), 
      GOOGLEFINANCE(C22, ""price"") * AVERAGE(QUERY(GOOGLEFINANCE(C22, ""volume"", TODAY()-40, TODAY()), ""SELECT Col2 WHERE Col2 IS NOT NULL "&amp;"ORDER BY Col1 DESC LIMIT 20"", 0))
    )
  ), 
"""")"),"")</f>
        <v/>
      </c>
      <c r="K22" s="21" t="str">
        <f>IFERROR(__xludf.DUMMYFUNCTION("IFERROR(GOOGLEFINANCE(C22, ""changepct"") / 100, """")"),"")</f>
        <v/>
      </c>
      <c r="L22" s="21" t="str">
        <f>IFERROR(__xludf.DUMMYFUNCTION("IFERROR((GOOGLEFINANCE(C22, ""price"") / INDEX(GOOGLEFINANCE(C22, ""price"", TODAY()-7, TODAY()), 2, 2)) - 1, """")"),"")</f>
        <v/>
      </c>
      <c r="M22" s="21" t="str">
        <f>IFERROR(__xludf.DUMMYFUNCTION("IFERROR((GOOGLEFINANCE(C22, ""price"") / INDEX(GOOGLEFINANCE(C22, ""price"", EDATE(TODAY(), -1), TODAY()), 2, 2)) - 1, """")"),"")</f>
        <v/>
      </c>
      <c r="N22" s="21" t="str">
        <f>IFERROR(__xludf.DUMMYFUNCTION("IFERROR((GOOGLEFINANCE(C22, ""price"") / INDEX(GOOGLEFINANCE(C22, ""price"", EDATE(TODAY(), -3), TODAY()), 2, 2)) - 1, """")"),"")</f>
        <v/>
      </c>
      <c r="O22" s="21" t="str">
        <f>IFERROR(__xludf.DUMMYFUNCTION("IFERROR((GOOGLEFINANCE(C22, ""price"") / INDEX(GOOGLEFINANCE(C22, ""price"", EDATE(TODAY(), -6), TODAY()), 2, 2)) - 1, """")"),"")</f>
        <v/>
      </c>
      <c r="P22" s="21" t="str">
        <f>IFERROR(__xludf.DUMMYFUNCTION("IFERROR((GOOGLEFINANCE(C22, ""price"") / INDEX(GOOGLEFINANCE(C22, ""price"", EDATE(TODAY(), -12), TODAY()), 2, 2)) - 1, """")"),"")</f>
        <v/>
      </c>
      <c r="Q22" s="6" t="str">
        <f>IFERROR(__xludf.DUMMYFUNCTION("AVERAGE(QUERY(GOOGLEFINANCE(C22, ""price"", TODAY()-80, TODAY()), ""SELECT Col2 WHERE Col2 IS NOT NULL ORDER BY Col1 DESC LIMIT 50"", 0))"),"#N/A")</f>
        <v>#N/A</v>
      </c>
      <c r="R22" s="24" t="str">
        <f>IFERROR(__xludf.DUMMYFUNCTION("IFERROR(
  LET(
    data, QUERY(GOOGLEFINANCE(C22,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GOOGLEFINANCE(C22, ""price"")) * 100,
    IF(calc=0, G22, calc)
  ), 
G22)"),"#N/A")</f>
        <v>#N/A</v>
      </c>
      <c r="S22" s="8" t="s">
        <v>15</v>
      </c>
      <c r="T22" s="26" t="str">
        <f>IFERROR(__xludf.DUMMYFUNCTION("IFERROR(TRANSPOSE(QUERY(IFERROR(SORT(GOOGLEFINANCE(C22, ""price"", WORKDAY(TODAY(), -40), TODAY()), 1, FALSE)), ""select Col2 where Col2 is not null limit 22 label Col2 ''"", 0)), """")"),"")</f>
        <v/>
      </c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8"/>
      <c r="AO22" s="28"/>
      <c r="AP22" s="29"/>
      <c r="AQ22" s="29" t="str">
        <f t="shared" ref="AQ22:BL22" si="25">T22/T$2</f>
        <v>#N/A</v>
      </c>
      <c r="AR22" s="29" t="str">
        <f t="shared" si="25"/>
        <v>#DIV/0!</v>
      </c>
      <c r="AS22" s="29" t="str">
        <f t="shared" si="25"/>
        <v>#DIV/0!</v>
      </c>
      <c r="AT22" s="29" t="str">
        <f t="shared" si="25"/>
        <v>#DIV/0!</v>
      </c>
      <c r="AU22" s="29" t="str">
        <f t="shared" si="25"/>
        <v>#DIV/0!</v>
      </c>
      <c r="AV22" s="29" t="str">
        <f t="shared" si="25"/>
        <v>#DIV/0!</v>
      </c>
      <c r="AW22" s="29" t="str">
        <f t="shared" si="25"/>
        <v>#DIV/0!</v>
      </c>
      <c r="AX22" s="29" t="str">
        <f t="shared" si="25"/>
        <v>#DIV/0!</v>
      </c>
      <c r="AY22" s="29" t="str">
        <f t="shared" si="25"/>
        <v>#DIV/0!</v>
      </c>
      <c r="AZ22" s="29" t="str">
        <f t="shared" si="25"/>
        <v>#DIV/0!</v>
      </c>
      <c r="BA22" s="29" t="str">
        <f t="shared" si="25"/>
        <v>#DIV/0!</v>
      </c>
      <c r="BB22" s="29" t="str">
        <f t="shared" si="25"/>
        <v>#DIV/0!</v>
      </c>
      <c r="BC22" s="29" t="str">
        <f t="shared" si="25"/>
        <v>#DIV/0!</v>
      </c>
      <c r="BD22" s="29" t="str">
        <f t="shared" si="25"/>
        <v>#DIV/0!</v>
      </c>
      <c r="BE22" s="29" t="str">
        <f t="shared" si="25"/>
        <v>#DIV/0!</v>
      </c>
      <c r="BF22" s="29" t="str">
        <f t="shared" si="25"/>
        <v>#DIV/0!</v>
      </c>
      <c r="BG22" s="29" t="str">
        <f t="shared" si="25"/>
        <v>#DIV/0!</v>
      </c>
      <c r="BH22" s="29" t="str">
        <f t="shared" si="25"/>
        <v>#DIV/0!</v>
      </c>
      <c r="BI22" s="29" t="str">
        <f t="shared" si="25"/>
        <v>#DIV/0!</v>
      </c>
      <c r="BJ22" s="29" t="str">
        <f t="shared" si="25"/>
        <v>#DIV/0!</v>
      </c>
      <c r="BK22" s="29" t="str">
        <f t="shared" si="25"/>
        <v>#DIV/0!</v>
      </c>
      <c r="BL22" s="29" t="str">
        <f t="shared" si="25"/>
        <v>#DIV/0!</v>
      </c>
      <c r="BM22" s="29" t="str">
        <f t="shared" si="3"/>
        <v>#DIV/0!</v>
      </c>
    </row>
    <row r="23">
      <c r="A23" s="16" t="str">
        <f>IFERROR(__xludf.DUMMYFUNCTION("IFERROR(SPARKLINE(SORT(MAP(TRANSPOSE(AQ23:BL23), LAMBDA(val, IF(ISNUMBER(val), PERCENTRANK(AQ23:BL23, val)+0.01, 0))), SEQUENCE(COLUMNS(AQ23:BL23)), FALSE), {""charttype"",""column""; ""color"",""chartreuse""; ""ymin"", 0; ""ymax"", 1.01; ""highcolor"", "&amp;"""darkgreen""; ""lowcolor"", ""red""}), """")"),"")</f>
        <v/>
      </c>
      <c r="B23" s="17" t="str">
        <f t="shared" si="4"/>
        <v/>
      </c>
      <c r="C23" s="1" t="s">
        <v>907</v>
      </c>
      <c r="D23" s="30" t="str">
        <f>IFERROR(__xludf.DUMMYFUNCTION("IFERROR(GOOGLEFINANCE(C23, ""NAME""))"),"Helios Technologies Inc")</f>
        <v>Helios Technologies Inc</v>
      </c>
      <c r="E23" s="30" t="s">
        <v>893</v>
      </c>
      <c r="F23" s="33" t="str">
        <f>IFERROR(__xludf.DUMMYFUNCTION("( (GOOGLEFINANCE(C23, ""price"") - Q23) / Q23 ) / (R23 / 100)"),"Loading...")</f>
        <v>Loading...</v>
      </c>
      <c r="G23" s="20" t="str">
        <f>IFERROR(__xludf.DUMMYFUNCTION("AVERAGE(ARRAYFORMULA(100 * (QUERY(GOOGLEFINANCE(C23, ""high"", TODAY()-40, TODAY()), ""SELECT Col2 WHERE Col2 IS NOT NULL ORDER BY Col1 DESC LIMIT 20"", 0) / QUERY(GOOGLEFINANCE(C23, ""low"", TODAY()-40, TODAY()), ""SELECT Col2 WHERE Col2 IS NOT NULL ORDE"&amp;"R BY Col1 DESC LIMIT 20"", 0) - 1)))"),"#N/A")</f>
        <v>#N/A</v>
      </c>
      <c r="H23" s="35" t="str">
        <f t="shared" si="6"/>
        <v/>
      </c>
      <c r="I23" s="35" t="str">
        <f t="shared" si="7"/>
        <v/>
      </c>
      <c r="J23" s="37" t="str">
        <f>IFERROR(__xludf.DUMMYFUNCTION("IFERROR(
  IF(C23="""",, 
    IFERROR(
      GOOGLEFINANCE(C23, ""price"") * GOOGLEFINANCE(C23, ""volumeavg""), 
      GOOGLEFINANCE(C23, ""price"") * AVERAGE(QUERY(GOOGLEFINANCE(C23, ""volume"", TODAY()-40, TODAY()), ""SELECT Col2 WHERE Col2 IS NOT NULL "&amp;"ORDER BY Col1 DESC LIMIT 20"", 0))
    )
  ), 
"""")"),"")</f>
        <v/>
      </c>
      <c r="K23" s="21" t="str">
        <f>IFERROR(__xludf.DUMMYFUNCTION("IFERROR(GOOGLEFINANCE(C23, ""changepct"") / 100, """")"),"")</f>
        <v/>
      </c>
      <c r="L23" s="21" t="str">
        <f>IFERROR(__xludf.DUMMYFUNCTION("IFERROR((GOOGLEFINANCE(C23, ""price"") / INDEX(GOOGLEFINANCE(C23, ""price"", TODAY()-7, TODAY()), 2, 2)) - 1, """")"),"")</f>
        <v/>
      </c>
      <c r="M23" s="21" t="str">
        <f>IFERROR(__xludf.DUMMYFUNCTION("IFERROR((GOOGLEFINANCE(C23, ""price"") / INDEX(GOOGLEFINANCE(C23, ""price"", EDATE(TODAY(), -1), TODAY()), 2, 2)) - 1, """")"),"")</f>
        <v/>
      </c>
      <c r="N23" s="21" t="str">
        <f>IFERROR(__xludf.DUMMYFUNCTION("IFERROR((GOOGLEFINANCE(C23, ""price"") / INDEX(GOOGLEFINANCE(C23, ""price"", EDATE(TODAY(), -3), TODAY()), 2, 2)) - 1, """")"),"")</f>
        <v/>
      </c>
      <c r="O23" s="21" t="str">
        <f>IFERROR(__xludf.DUMMYFUNCTION("IFERROR((GOOGLEFINANCE(C23, ""price"") / INDEX(GOOGLEFINANCE(C23, ""price"", EDATE(TODAY(), -6), TODAY()), 2, 2)) - 1, """")"),"")</f>
        <v/>
      </c>
      <c r="P23" s="21" t="str">
        <f>IFERROR(__xludf.DUMMYFUNCTION("IFERROR((GOOGLEFINANCE(C23, ""price"") / INDEX(GOOGLEFINANCE(C23, ""price"", EDATE(TODAY(), -12), TODAY()), 2, 2)) - 1, """")"),"")</f>
        <v/>
      </c>
      <c r="Q23" s="6" t="str">
        <f>IFERROR(__xludf.DUMMYFUNCTION("AVERAGE(QUERY(GOOGLEFINANCE(C23, ""price"", TODAY()-80, TODAY()), ""SELECT Col2 WHERE Col2 IS NOT NULL ORDER BY Col1 DESC LIMIT 50"", 0))"),"#N/A")</f>
        <v>#N/A</v>
      </c>
      <c r="R23" s="24" t="str">
        <f>IFERROR(__xludf.DUMMYFUNCTION("IFERROR(
  LET(
    data, QUERY(GOOGLEFINANCE(C23,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GOOGLEFINANCE(C23, ""price"")) * 100,
    IF(calc=0, G23, calc)
  ), 
G23)"),"#N/A")</f>
        <v>#N/A</v>
      </c>
      <c r="S23" s="8" t="s">
        <v>15</v>
      </c>
      <c r="T23" s="26" t="str">
        <f>IFERROR(__xludf.DUMMYFUNCTION("IFERROR(TRANSPOSE(QUERY(IFERROR(SORT(GOOGLEFINANCE(C23, ""price"", WORKDAY(TODAY(), -40), TODAY()), 1, FALSE)), ""select Col2 where Col2 is not null limit 22 label Col2 ''"", 0)), """")"),"")</f>
        <v/>
      </c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8"/>
      <c r="AO23" s="28"/>
      <c r="AP23" s="29"/>
      <c r="AQ23" s="29" t="str">
        <f t="shared" ref="AQ23:BL23" si="26">T23/T$2</f>
        <v>#N/A</v>
      </c>
      <c r="AR23" s="29" t="str">
        <f t="shared" si="26"/>
        <v>#DIV/0!</v>
      </c>
      <c r="AS23" s="29" t="str">
        <f t="shared" si="26"/>
        <v>#DIV/0!</v>
      </c>
      <c r="AT23" s="29" t="str">
        <f t="shared" si="26"/>
        <v>#DIV/0!</v>
      </c>
      <c r="AU23" s="29" t="str">
        <f t="shared" si="26"/>
        <v>#DIV/0!</v>
      </c>
      <c r="AV23" s="29" t="str">
        <f t="shared" si="26"/>
        <v>#DIV/0!</v>
      </c>
      <c r="AW23" s="29" t="str">
        <f t="shared" si="26"/>
        <v>#DIV/0!</v>
      </c>
      <c r="AX23" s="29" t="str">
        <f t="shared" si="26"/>
        <v>#DIV/0!</v>
      </c>
      <c r="AY23" s="29" t="str">
        <f t="shared" si="26"/>
        <v>#DIV/0!</v>
      </c>
      <c r="AZ23" s="29" t="str">
        <f t="shared" si="26"/>
        <v>#DIV/0!</v>
      </c>
      <c r="BA23" s="29" t="str">
        <f t="shared" si="26"/>
        <v>#DIV/0!</v>
      </c>
      <c r="BB23" s="29" t="str">
        <f t="shared" si="26"/>
        <v>#DIV/0!</v>
      </c>
      <c r="BC23" s="29" t="str">
        <f t="shared" si="26"/>
        <v>#DIV/0!</v>
      </c>
      <c r="BD23" s="29" t="str">
        <f t="shared" si="26"/>
        <v>#DIV/0!</v>
      </c>
      <c r="BE23" s="29" t="str">
        <f t="shared" si="26"/>
        <v>#DIV/0!</v>
      </c>
      <c r="BF23" s="29" t="str">
        <f t="shared" si="26"/>
        <v>#DIV/0!</v>
      </c>
      <c r="BG23" s="29" t="str">
        <f t="shared" si="26"/>
        <v>#DIV/0!</v>
      </c>
      <c r="BH23" s="29" t="str">
        <f t="shared" si="26"/>
        <v>#DIV/0!</v>
      </c>
      <c r="BI23" s="29" t="str">
        <f t="shared" si="26"/>
        <v>#DIV/0!</v>
      </c>
      <c r="BJ23" s="29" t="str">
        <f t="shared" si="26"/>
        <v>#DIV/0!</v>
      </c>
      <c r="BK23" s="29" t="str">
        <f t="shared" si="26"/>
        <v>#DIV/0!</v>
      </c>
      <c r="BL23" s="29" t="str">
        <f t="shared" si="26"/>
        <v>#DIV/0!</v>
      </c>
      <c r="BM23" s="29" t="str">
        <f t="shared" si="3"/>
        <v>#DIV/0!</v>
      </c>
    </row>
    <row r="24">
      <c r="A24" s="16" t="str">
        <f>IFERROR(__xludf.DUMMYFUNCTION("IFERROR(SPARKLINE(SORT(MAP(TRANSPOSE(AQ24:BL24), LAMBDA(val, IF(ISNUMBER(val), PERCENTRANK(AQ24:BL24, val)+0.01, 0))), SEQUENCE(COLUMNS(AQ24:BL24)), FALSE), {""charttype"",""column""; ""color"",""chartreuse""; ""ymin"", 0; ""ymax"", 1.01; ""highcolor"", "&amp;"""darkgreen""; ""lowcolor"", ""red""}), """")"),"")</f>
        <v/>
      </c>
      <c r="B24" s="17" t="str">
        <f t="shared" si="4"/>
        <v/>
      </c>
      <c r="C24" s="1" t="s">
        <v>911</v>
      </c>
      <c r="D24" s="30" t="str">
        <f>IFERROR(__xludf.DUMMYFUNCTION("IFERROR(GOOGLEFINANCE(C24, ""NAME""))"),"Vestis Corp")</f>
        <v>Vestis Corp</v>
      </c>
      <c r="E24" s="30" t="s">
        <v>888</v>
      </c>
      <c r="F24" s="33" t="str">
        <f>IFERROR(__xludf.DUMMYFUNCTION("( (GOOGLEFINANCE(C24, ""price"") - Q24) / Q24 ) / (R24 / 100)"),"Loading...")</f>
        <v>Loading...</v>
      </c>
      <c r="G24" s="20" t="str">
        <f>IFERROR(__xludf.DUMMYFUNCTION("AVERAGE(ARRAYFORMULA(100 * (QUERY(GOOGLEFINANCE(C24, ""high"", TODAY()-40, TODAY()), ""SELECT Col2 WHERE Col2 IS NOT NULL ORDER BY Col1 DESC LIMIT 20"", 0) / QUERY(GOOGLEFINANCE(C24, ""low"", TODAY()-40, TODAY()), ""SELECT Col2 WHERE Col2 IS NOT NULL ORDE"&amp;"R BY Col1 DESC LIMIT 20"", 0) - 1)))"),"#N/A")</f>
        <v>#N/A</v>
      </c>
      <c r="H24" s="35" t="str">
        <f t="shared" si="6"/>
        <v/>
      </c>
      <c r="I24" s="35" t="str">
        <f t="shared" si="7"/>
        <v/>
      </c>
      <c r="J24" s="37" t="str">
        <f>IFERROR(__xludf.DUMMYFUNCTION("IFERROR(
  IF(C24="""",, 
    IFERROR(
      GOOGLEFINANCE(C24, ""price"") * GOOGLEFINANCE(C24, ""volumeavg""), 
      GOOGLEFINANCE(C24, ""price"") * AVERAGE(QUERY(GOOGLEFINANCE(C24, ""volume"", TODAY()-40, TODAY()), ""SELECT Col2 WHERE Col2 IS NOT NULL "&amp;"ORDER BY Col1 DESC LIMIT 20"", 0))
    )
  ), 
"""")"),"")</f>
        <v/>
      </c>
      <c r="K24" s="21" t="str">
        <f>IFERROR(__xludf.DUMMYFUNCTION("IFERROR(GOOGLEFINANCE(C24, ""changepct"") / 100, """")"),"")</f>
        <v/>
      </c>
      <c r="L24" s="21" t="str">
        <f>IFERROR(__xludf.DUMMYFUNCTION("IFERROR((GOOGLEFINANCE(C24, ""price"") / INDEX(GOOGLEFINANCE(C24, ""price"", TODAY()-7, TODAY()), 2, 2)) - 1, """")"),"")</f>
        <v/>
      </c>
      <c r="M24" s="21" t="str">
        <f>IFERROR(__xludf.DUMMYFUNCTION("IFERROR((GOOGLEFINANCE(C24, ""price"") / INDEX(GOOGLEFINANCE(C24, ""price"", EDATE(TODAY(), -1), TODAY()), 2, 2)) - 1, """")"),"")</f>
        <v/>
      </c>
      <c r="N24" s="21" t="str">
        <f>IFERROR(__xludf.DUMMYFUNCTION("IFERROR((GOOGLEFINANCE(C24, ""price"") / INDEX(GOOGLEFINANCE(C24, ""price"", EDATE(TODAY(), -3), TODAY()), 2, 2)) - 1, """")"),"")</f>
        <v/>
      </c>
      <c r="O24" s="21" t="str">
        <f>IFERROR(__xludf.DUMMYFUNCTION("IFERROR((GOOGLEFINANCE(C24, ""price"") / INDEX(GOOGLEFINANCE(C24, ""price"", EDATE(TODAY(), -6), TODAY()), 2, 2)) - 1, """")"),"")</f>
        <v/>
      </c>
      <c r="P24" s="21" t="str">
        <f>IFERROR(__xludf.DUMMYFUNCTION("IFERROR((GOOGLEFINANCE(C24, ""price"") / INDEX(GOOGLEFINANCE(C24, ""price"", EDATE(TODAY(), -12), TODAY()), 2, 2)) - 1, """")"),"")</f>
        <v/>
      </c>
      <c r="Q24" s="6" t="str">
        <f>IFERROR(__xludf.DUMMYFUNCTION("AVERAGE(QUERY(GOOGLEFINANCE(C24, ""price"", TODAY()-80, TODAY()), ""SELECT Col2 WHERE Col2 IS NOT NULL ORDER BY Col1 DESC LIMIT 50"", 0))"),"#N/A")</f>
        <v>#N/A</v>
      </c>
      <c r="R24" s="24" t="str">
        <f>IFERROR(__xludf.DUMMYFUNCTION("IFERROR(
  LET(
    data, QUERY(GOOGLEFINANCE(C24,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GOOGLEFINANCE(C24, ""price"")) * 100,
    IF(calc=0, G24, calc)
  ), 
G24)"),"#N/A")</f>
        <v>#N/A</v>
      </c>
      <c r="S24" s="8" t="s">
        <v>15</v>
      </c>
      <c r="T24" s="26" t="str">
        <f>IFERROR(__xludf.DUMMYFUNCTION("IFERROR(TRANSPOSE(QUERY(IFERROR(SORT(GOOGLEFINANCE(C24, ""price"", WORKDAY(TODAY(), -40), TODAY()), 1, FALSE)), ""select Col2 where Col2 is not null limit 22 label Col2 ''"", 0)), """")"),"")</f>
        <v/>
      </c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8"/>
      <c r="AO24" s="28"/>
      <c r="AP24" s="29"/>
      <c r="AQ24" s="29" t="str">
        <f t="shared" ref="AQ24:BL24" si="27">T24/T$2</f>
        <v>#N/A</v>
      </c>
      <c r="AR24" s="29" t="str">
        <f t="shared" si="27"/>
        <v>#DIV/0!</v>
      </c>
      <c r="AS24" s="29" t="str">
        <f t="shared" si="27"/>
        <v>#DIV/0!</v>
      </c>
      <c r="AT24" s="29" t="str">
        <f t="shared" si="27"/>
        <v>#DIV/0!</v>
      </c>
      <c r="AU24" s="29" t="str">
        <f t="shared" si="27"/>
        <v>#DIV/0!</v>
      </c>
      <c r="AV24" s="29" t="str">
        <f t="shared" si="27"/>
        <v>#DIV/0!</v>
      </c>
      <c r="AW24" s="29" t="str">
        <f t="shared" si="27"/>
        <v>#DIV/0!</v>
      </c>
      <c r="AX24" s="29" t="str">
        <f t="shared" si="27"/>
        <v>#DIV/0!</v>
      </c>
      <c r="AY24" s="29" t="str">
        <f t="shared" si="27"/>
        <v>#DIV/0!</v>
      </c>
      <c r="AZ24" s="29" t="str">
        <f t="shared" si="27"/>
        <v>#DIV/0!</v>
      </c>
      <c r="BA24" s="29" t="str">
        <f t="shared" si="27"/>
        <v>#DIV/0!</v>
      </c>
      <c r="BB24" s="29" t="str">
        <f t="shared" si="27"/>
        <v>#DIV/0!</v>
      </c>
      <c r="BC24" s="29" t="str">
        <f t="shared" si="27"/>
        <v>#DIV/0!</v>
      </c>
      <c r="BD24" s="29" t="str">
        <f t="shared" si="27"/>
        <v>#DIV/0!</v>
      </c>
      <c r="BE24" s="29" t="str">
        <f t="shared" si="27"/>
        <v>#DIV/0!</v>
      </c>
      <c r="BF24" s="29" t="str">
        <f t="shared" si="27"/>
        <v>#DIV/0!</v>
      </c>
      <c r="BG24" s="29" t="str">
        <f t="shared" si="27"/>
        <v>#DIV/0!</v>
      </c>
      <c r="BH24" s="29" t="str">
        <f t="shared" si="27"/>
        <v>#DIV/0!</v>
      </c>
      <c r="BI24" s="29" t="str">
        <f t="shared" si="27"/>
        <v>#DIV/0!</v>
      </c>
      <c r="BJ24" s="29" t="str">
        <f t="shared" si="27"/>
        <v>#DIV/0!</v>
      </c>
      <c r="BK24" s="29" t="str">
        <f t="shared" si="27"/>
        <v>#DIV/0!</v>
      </c>
      <c r="BL24" s="29" t="str">
        <f t="shared" si="27"/>
        <v>#DIV/0!</v>
      </c>
      <c r="BM24" s="29" t="str">
        <f t="shared" si="3"/>
        <v>#DIV/0!</v>
      </c>
    </row>
    <row r="25">
      <c r="A25" s="16" t="str">
        <f>IFERROR(__xludf.DUMMYFUNCTION("IFERROR(SPARKLINE(SORT(MAP(TRANSPOSE(AQ25:BL25), LAMBDA(val, IF(ISNUMBER(val), PERCENTRANK(AQ25:BL25, val)+0.01, 0))), SEQUENCE(COLUMNS(AQ25:BL25)), FALSE), {""charttype"",""column""; ""color"",""chartreuse""; ""ymin"", 0; ""ymax"", 1.01; ""highcolor"", "&amp;"""darkgreen""; ""lowcolor"", ""red""}), """")"),"")</f>
        <v/>
      </c>
      <c r="B25" s="17" t="str">
        <f t="shared" si="4"/>
        <v/>
      </c>
      <c r="C25" s="1" t="s">
        <v>915</v>
      </c>
      <c r="D25" s="30" t="str">
        <f>IFERROR(__xludf.DUMMYFUNCTION("IFERROR(GOOGLEFINANCE(C25, ""NAME""))"),"Aramark")</f>
        <v>Aramark</v>
      </c>
      <c r="E25" s="30" t="s">
        <v>916</v>
      </c>
      <c r="F25" s="38" t="str">
        <f>IFERROR(__xludf.DUMMYFUNCTION("( (GOOGLEFINANCE(C25, ""price"") - Q25) / Q25 ) / (R25 / 100)"),"Loading...")</f>
        <v>Loading...</v>
      </c>
      <c r="G25" s="20" t="str">
        <f>IFERROR(__xludf.DUMMYFUNCTION("AVERAGE(ARRAYFORMULA(100 * (QUERY(GOOGLEFINANCE(C25, ""high"", TODAY()-40, TODAY()), ""SELECT Col2 WHERE Col2 IS NOT NULL ORDER BY Col1 DESC LIMIT 20"", 0) / QUERY(GOOGLEFINANCE(C25, ""low"", TODAY()-40, TODAY()), ""SELECT Col2 WHERE Col2 IS NOT NULL ORDE"&amp;"R BY Col1 DESC LIMIT 20"", 0) - 1)))"),"#N/A")</f>
        <v>#N/A</v>
      </c>
      <c r="H25" s="35" t="str">
        <f t="shared" si="6"/>
        <v/>
      </c>
      <c r="I25" s="35" t="str">
        <f t="shared" si="7"/>
        <v/>
      </c>
      <c r="J25" s="37" t="str">
        <f>IFERROR(__xludf.DUMMYFUNCTION("IFERROR(
  IF(C25="""",, 
    IFERROR(
      GOOGLEFINANCE(C25, ""price"") * GOOGLEFINANCE(C25, ""volumeavg""), 
      GOOGLEFINANCE(C25, ""price"") * AVERAGE(QUERY(GOOGLEFINANCE(C25, ""volume"", TODAY()-40, TODAY()), ""SELECT Col2 WHERE Col2 IS NOT NULL "&amp;"ORDER BY Col1 DESC LIMIT 20"", 0))
    )
  ), 
"""")"),"")</f>
        <v/>
      </c>
      <c r="K25" s="21" t="str">
        <f>IFERROR(__xludf.DUMMYFUNCTION("IFERROR(GOOGLEFINANCE(C25, ""changepct"") / 100, """")"),"")</f>
        <v/>
      </c>
      <c r="L25" s="21" t="str">
        <f>IFERROR(__xludf.DUMMYFUNCTION("IFERROR((GOOGLEFINANCE(C25, ""price"") / INDEX(GOOGLEFINANCE(C25, ""price"", TODAY()-7, TODAY()), 2, 2)) - 1, """")"),"")</f>
        <v/>
      </c>
      <c r="M25" s="21" t="str">
        <f>IFERROR(__xludf.DUMMYFUNCTION("IFERROR((GOOGLEFINANCE(C25, ""price"") / INDEX(GOOGLEFINANCE(C25, ""price"", EDATE(TODAY(), -1), TODAY()), 2, 2)) - 1, """")"),"")</f>
        <v/>
      </c>
      <c r="N25" s="21" t="str">
        <f>IFERROR(__xludf.DUMMYFUNCTION("IFERROR((GOOGLEFINANCE(C25, ""price"") / INDEX(GOOGLEFINANCE(C25, ""price"", EDATE(TODAY(), -3), TODAY()), 2, 2)) - 1, """")"),"")</f>
        <v/>
      </c>
      <c r="O25" s="21" t="str">
        <f>IFERROR(__xludf.DUMMYFUNCTION("IFERROR((GOOGLEFINANCE(C25, ""price"") / INDEX(GOOGLEFINANCE(C25, ""price"", EDATE(TODAY(), -6), TODAY()), 2, 2)) - 1, """")"),"")</f>
        <v/>
      </c>
      <c r="P25" s="21" t="str">
        <f>IFERROR(__xludf.DUMMYFUNCTION("IFERROR((GOOGLEFINANCE(C25, ""price"") / INDEX(GOOGLEFINANCE(C25, ""price"", EDATE(TODAY(), -12), TODAY()), 2, 2)) - 1, """")"),"")</f>
        <v/>
      </c>
      <c r="Q25" s="6" t="str">
        <f>IFERROR(__xludf.DUMMYFUNCTION("AVERAGE(QUERY(GOOGLEFINANCE(C25, ""price"", TODAY()-80, TODAY()), ""SELECT Col2 WHERE Col2 IS NOT NULL ORDER BY Col1 DESC LIMIT 50"", 0))"),"#N/A")</f>
        <v>#N/A</v>
      </c>
      <c r="R25" s="24" t="str">
        <f>IFERROR(__xludf.DUMMYFUNCTION("IFERROR(
  LET(
    data, QUERY(GOOGLEFINANCE(C25,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GOOGLEFINANCE(C25, ""price"")) * 100,
    IF(calc=0, G25, calc)
  ), 
G25)"),"#N/A")</f>
        <v>#N/A</v>
      </c>
      <c r="S25" s="8" t="s">
        <v>15</v>
      </c>
      <c r="T25" s="26" t="str">
        <f>IFERROR(__xludf.DUMMYFUNCTION("IFERROR(TRANSPOSE(QUERY(IFERROR(SORT(GOOGLEFINANCE(C25, ""price"", WORKDAY(TODAY(), -40), TODAY()), 1, FALSE)), ""select Col2 where Col2 is not null limit 22 label Col2 ''"", 0)), """")"),"")</f>
        <v/>
      </c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8"/>
      <c r="AO25" s="28"/>
      <c r="AP25" s="29"/>
      <c r="AQ25" s="29" t="str">
        <f t="shared" ref="AQ25:BL25" si="28">T25/T$2</f>
        <v>#N/A</v>
      </c>
      <c r="AR25" s="29" t="str">
        <f t="shared" si="28"/>
        <v>#DIV/0!</v>
      </c>
      <c r="AS25" s="29" t="str">
        <f t="shared" si="28"/>
        <v>#DIV/0!</v>
      </c>
      <c r="AT25" s="29" t="str">
        <f t="shared" si="28"/>
        <v>#DIV/0!</v>
      </c>
      <c r="AU25" s="29" t="str">
        <f t="shared" si="28"/>
        <v>#DIV/0!</v>
      </c>
      <c r="AV25" s="29" t="str">
        <f t="shared" si="28"/>
        <v>#DIV/0!</v>
      </c>
      <c r="AW25" s="29" t="str">
        <f t="shared" si="28"/>
        <v>#DIV/0!</v>
      </c>
      <c r="AX25" s="29" t="str">
        <f t="shared" si="28"/>
        <v>#DIV/0!</v>
      </c>
      <c r="AY25" s="29" t="str">
        <f t="shared" si="28"/>
        <v>#DIV/0!</v>
      </c>
      <c r="AZ25" s="29" t="str">
        <f t="shared" si="28"/>
        <v>#DIV/0!</v>
      </c>
      <c r="BA25" s="29" t="str">
        <f t="shared" si="28"/>
        <v>#DIV/0!</v>
      </c>
      <c r="BB25" s="29" t="str">
        <f t="shared" si="28"/>
        <v>#DIV/0!</v>
      </c>
      <c r="BC25" s="29" t="str">
        <f t="shared" si="28"/>
        <v>#DIV/0!</v>
      </c>
      <c r="BD25" s="29" t="str">
        <f t="shared" si="28"/>
        <v>#DIV/0!</v>
      </c>
      <c r="BE25" s="29" t="str">
        <f t="shared" si="28"/>
        <v>#DIV/0!</v>
      </c>
      <c r="BF25" s="29" t="str">
        <f t="shared" si="28"/>
        <v>#DIV/0!</v>
      </c>
      <c r="BG25" s="29" t="str">
        <f t="shared" si="28"/>
        <v>#DIV/0!</v>
      </c>
      <c r="BH25" s="29" t="str">
        <f t="shared" si="28"/>
        <v>#DIV/0!</v>
      </c>
      <c r="BI25" s="29" t="str">
        <f t="shared" si="28"/>
        <v>#DIV/0!</v>
      </c>
      <c r="BJ25" s="29" t="str">
        <f t="shared" si="28"/>
        <v>#DIV/0!</v>
      </c>
      <c r="BK25" s="29" t="str">
        <f t="shared" si="28"/>
        <v>#DIV/0!</v>
      </c>
      <c r="BL25" s="29" t="str">
        <f t="shared" si="28"/>
        <v>#DIV/0!</v>
      </c>
      <c r="BM25" s="29" t="str">
        <f t="shared" si="3"/>
        <v>#DIV/0!</v>
      </c>
    </row>
    <row r="26">
      <c r="A26" s="16" t="str">
        <f>IFERROR(__xludf.DUMMYFUNCTION("IFERROR(SPARKLINE(SORT(MAP(TRANSPOSE(AQ26:BL26), LAMBDA(val, IF(ISNUMBER(val), PERCENTRANK(AQ26:BL26, val)+0.01, 0))), SEQUENCE(COLUMNS(AQ26:BL26)), FALSE), {""charttype"",""column""; ""color"",""chartreuse""; ""ymin"", 0; ""ymax"", 1.01; ""highcolor"", "&amp;"""darkgreen""; ""lowcolor"", ""red""}), """")"),"")</f>
        <v/>
      </c>
      <c r="B26" s="17" t="str">
        <f t="shared" si="4"/>
        <v/>
      </c>
      <c r="C26" s="1" t="s">
        <v>920</v>
      </c>
      <c r="D26" s="30" t="str">
        <f>IFERROR(__xludf.DUMMYFUNCTION("IFERROR(GOOGLEFINANCE(C26, ""NAME""))"),"EnerSys")</f>
        <v>EnerSys</v>
      </c>
      <c r="E26" s="30" t="s">
        <v>864</v>
      </c>
      <c r="F26" s="33" t="str">
        <f>IFERROR(__xludf.DUMMYFUNCTION("( (GOOGLEFINANCE(C26, ""price"") - Q26) / Q26 ) / (R26 / 100)"),"Loading...")</f>
        <v>Loading...</v>
      </c>
      <c r="G26" s="20" t="str">
        <f>IFERROR(__xludf.DUMMYFUNCTION("AVERAGE(ARRAYFORMULA(100 * (QUERY(GOOGLEFINANCE(C26, ""high"", TODAY()-40, TODAY()), ""SELECT Col2 WHERE Col2 IS NOT NULL ORDER BY Col1 DESC LIMIT 20"", 0) / QUERY(GOOGLEFINANCE(C26, ""low"", TODAY()-40, TODAY()), ""SELECT Col2 WHERE Col2 IS NOT NULL ORDE"&amp;"R BY Col1 DESC LIMIT 20"", 0) - 1)))"),"#N/A")</f>
        <v>#N/A</v>
      </c>
      <c r="H26" s="35" t="str">
        <f t="shared" si="6"/>
        <v/>
      </c>
      <c r="I26" s="35" t="str">
        <f t="shared" si="7"/>
        <v/>
      </c>
      <c r="J26" s="37" t="str">
        <f>IFERROR(__xludf.DUMMYFUNCTION("IFERROR(
  IF(C26="""",, 
    IFERROR(
      GOOGLEFINANCE(C26, ""price"") * GOOGLEFINANCE(C26, ""volumeavg""), 
      GOOGLEFINANCE(C26, ""price"") * AVERAGE(QUERY(GOOGLEFINANCE(C26, ""volume"", TODAY()-40, TODAY()), ""SELECT Col2 WHERE Col2 IS NOT NULL "&amp;"ORDER BY Col1 DESC LIMIT 20"", 0))
    )
  ), 
"""")"),"")</f>
        <v/>
      </c>
      <c r="K26" s="21" t="str">
        <f>IFERROR(__xludf.DUMMYFUNCTION("IFERROR(GOOGLEFINANCE(C26, ""changepct"") / 100, """")"),"")</f>
        <v/>
      </c>
      <c r="L26" s="21" t="str">
        <f>IFERROR(__xludf.DUMMYFUNCTION("IFERROR((GOOGLEFINANCE(C26, ""price"") / INDEX(GOOGLEFINANCE(C26, ""price"", TODAY()-7, TODAY()), 2, 2)) - 1, """")"),"")</f>
        <v/>
      </c>
      <c r="M26" s="21" t="str">
        <f>IFERROR(__xludf.DUMMYFUNCTION("IFERROR((GOOGLEFINANCE(C26, ""price"") / INDEX(GOOGLEFINANCE(C26, ""price"", EDATE(TODAY(), -1), TODAY()), 2, 2)) - 1, """")"),"")</f>
        <v/>
      </c>
      <c r="N26" s="21" t="str">
        <f>IFERROR(__xludf.DUMMYFUNCTION("IFERROR((GOOGLEFINANCE(C26, ""price"") / INDEX(GOOGLEFINANCE(C26, ""price"", EDATE(TODAY(), -3), TODAY()), 2, 2)) - 1, """")"),"")</f>
        <v/>
      </c>
      <c r="O26" s="21" t="str">
        <f>IFERROR(__xludf.DUMMYFUNCTION("IFERROR((GOOGLEFINANCE(C26, ""price"") / INDEX(GOOGLEFINANCE(C26, ""price"", EDATE(TODAY(), -6), TODAY()), 2, 2)) - 1, """")"),"")</f>
        <v/>
      </c>
      <c r="P26" s="21" t="str">
        <f>IFERROR(__xludf.DUMMYFUNCTION("IFERROR((GOOGLEFINANCE(C26, ""price"") / INDEX(GOOGLEFINANCE(C26, ""price"", EDATE(TODAY(), -12), TODAY()), 2, 2)) - 1, """")"),"")</f>
        <v/>
      </c>
      <c r="Q26" s="6" t="str">
        <f>IFERROR(__xludf.DUMMYFUNCTION("AVERAGE(QUERY(GOOGLEFINANCE(C26, ""price"", TODAY()-80, TODAY()), ""SELECT Col2 WHERE Col2 IS NOT NULL ORDER BY Col1 DESC LIMIT 50"", 0))"),"#N/A")</f>
        <v>#N/A</v>
      </c>
      <c r="R26" s="24" t="str">
        <f>IFERROR(__xludf.DUMMYFUNCTION("IFERROR(
  LET(
    data, QUERY(GOOGLEFINANCE(C26,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GOOGLEFINANCE(C26, ""price"")) * 100,
    IF(calc=0, G26, calc)
  ), 
G26)"),"#N/A")</f>
        <v>#N/A</v>
      </c>
      <c r="S26" s="8" t="s">
        <v>15</v>
      </c>
      <c r="T26" s="26" t="str">
        <f>IFERROR(__xludf.DUMMYFUNCTION("IFERROR(TRANSPOSE(QUERY(IFERROR(SORT(GOOGLEFINANCE(C26, ""price"", WORKDAY(TODAY(), -40), TODAY()), 1, FALSE)), ""select Col2 where Col2 is not null limit 22 label Col2 ''"", 0)), """")"),"")</f>
        <v/>
      </c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8"/>
      <c r="AO26" s="28"/>
      <c r="AP26" s="29"/>
      <c r="AQ26" s="29" t="str">
        <f t="shared" ref="AQ26:BL26" si="29">T26/T$2</f>
        <v>#N/A</v>
      </c>
      <c r="AR26" s="29" t="str">
        <f t="shared" si="29"/>
        <v>#DIV/0!</v>
      </c>
      <c r="AS26" s="29" t="str">
        <f t="shared" si="29"/>
        <v>#DIV/0!</v>
      </c>
      <c r="AT26" s="29" t="str">
        <f t="shared" si="29"/>
        <v>#DIV/0!</v>
      </c>
      <c r="AU26" s="29" t="str">
        <f t="shared" si="29"/>
        <v>#DIV/0!</v>
      </c>
      <c r="AV26" s="29" t="str">
        <f t="shared" si="29"/>
        <v>#DIV/0!</v>
      </c>
      <c r="AW26" s="29" t="str">
        <f t="shared" si="29"/>
        <v>#DIV/0!</v>
      </c>
      <c r="AX26" s="29" t="str">
        <f t="shared" si="29"/>
        <v>#DIV/0!</v>
      </c>
      <c r="AY26" s="29" t="str">
        <f t="shared" si="29"/>
        <v>#DIV/0!</v>
      </c>
      <c r="AZ26" s="29" t="str">
        <f t="shared" si="29"/>
        <v>#DIV/0!</v>
      </c>
      <c r="BA26" s="29" t="str">
        <f t="shared" si="29"/>
        <v>#DIV/0!</v>
      </c>
      <c r="BB26" s="29" t="str">
        <f t="shared" si="29"/>
        <v>#DIV/0!</v>
      </c>
      <c r="BC26" s="29" t="str">
        <f t="shared" si="29"/>
        <v>#DIV/0!</v>
      </c>
      <c r="BD26" s="29" t="str">
        <f t="shared" si="29"/>
        <v>#DIV/0!</v>
      </c>
      <c r="BE26" s="29" t="str">
        <f t="shared" si="29"/>
        <v>#DIV/0!</v>
      </c>
      <c r="BF26" s="29" t="str">
        <f t="shared" si="29"/>
        <v>#DIV/0!</v>
      </c>
      <c r="BG26" s="29" t="str">
        <f t="shared" si="29"/>
        <v>#DIV/0!</v>
      </c>
      <c r="BH26" s="29" t="str">
        <f t="shared" si="29"/>
        <v>#DIV/0!</v>
      </c>
      <c r="BI26" s="29" t="str">
        <f t="shared" si="29"/>
        <v>#DIV/0!</v>
      </c>
      <c r="BJ26" s="29" t="str">
        <f t="shared" si="29"/>
        <v>#DIV/0!</v>
      </c>
      <c r="BK26" s="29" t="str">
        <f t="shared" si="29"/>
        <v>#DIV/0!</v>
      </c>
      <c r="BL26" s="29" t="str">
        <f t="shared" si="29"/>
        <v>#DIV/0!</v>
      </c>
      <c r="BM26" s="29" t="str">
        <f t="shared" si="3"/>
        <v>#DIV/0!</v>
      </c>
    </row>
    <row r="27">
      <c r="A27" s="16" t="str">
        <f>IFERROR(__xludf.DUMMYFUNCTION("IFERROR(SPARKLINE(SORT(MAP(TRANSPOSE(AQ27:BL27), LAMBDA(val, IF(ISNUMBER(val), PERCENTRANK(AQ27:BL27, val)+0.01, 0))), SEQUENCE(COLUMNS(AQ27:BL27)), FALSE), {""charttype"",""column""; ""color"",""chartreuse""; ""ymin"", 0; ""ymax"", 1.01; ""highcolor"", "&amp;"""darkgreen""; ""lowcolor"", ""red""}), """")"),"")</f>
        <v/>
      </c>
      <c r="B27" s="17" t="str">
        <f t="shared" si="4"/>
        <v/>
      </c>
      <c r="C27" s="1" t="s">
        <v>923</v>
      </c>
      <c r="D27" s="30" t="str">
        <f>IFERROR(__xludf.DUMMYFUNCTION("IFERROR(GOOGLEFINANCE(C27, ""NAME""))"),"Enpro Inc")</f>
        <v>Enpro Inc</v>
      </c>
      <c r="E27" s="30" t="s">
        <v>893</v>
      </c>
      <c r="F27" s="33" t="str">
        <f>IFERROR(__xludf.DUMMYFUNCTION("( (GOOGLEFINANCE(C27, ""price"") - Q27) / Q27 ) / (R27 / 100)"),"Loading...")</f>
        <v>Loading...</v>
      </c>
      <c r="G27" s="20" t="str">
        <f>IFERROR(__xludf.DUMMYFUNCTION("AVERAGE(ARRAYFORMULA(100 * (QUERY(GOOGLEFINANCE(C27, ""high"", TODAY()-40, TODAY()), ""SELECT Col2 WHERE Col2 IS NOT NULL ORDER BY Col1 DESC LIMIT 20"", 0) / QUERY(GOOGLEFINANCE(C27, ""low"", TODAY()-40, TODAY()), ""SELECT Col2 WHERE Col2 IS NOT NULL ORDE"&amp;"R BY Col1 DESC LIMIT 20"", 0) - 1)))"),"#N/A")</f>
        <v>#N/A</v>
      </c>
      <c r="H27" s="35" t="str">
        <f t="shared" si="6"/>
        <v/>
      </c>
      <c r="I27" s="35" t="str">
        <f t="shared" si="7"/>
        <v/>
      </c>
      <c r="J27" s="37" t="str">
        <f>IFERROR(__xludf.DUMMYFUNCTION("IFERROR(
  IF(C27="""",, 
    IFERROR(
      GOOGLEFINANCE(C27, ""price"") * GOOGLEFINANCE(C27, ""volumeavg""), 
      GOOGLEFINANCE(C27, ""price"") * AVERAGE(QUERY(GOOGLEFINANCE(C27, ""volume"", TODAY()-40, TODAY()), ""SELECT Col2 WHERE Col2 IS NOT NULL "&amp;"ORDER BY Col1 DESC LIMIT 20"", 0))
    )
  ), 
"""")"),"")</f>
        <v/>
      </c>
      <c r="K27" s="21" t="str">
        <f>IFERROR(__xludf.DUMMYFUNCTION("IFERROR(GOOGLEFINANCE(C27, ""changepct"") / 100, """")"),"")</f>
        <v/>
      </c>
      <c r="L27" s="21" t="str">
        <f>IFERROR(__xludf.DUMMYFUNCTION("IFERROR((GOOGLEFINANCE(C27, ""price"") / INDEX(GOOGLEFINANCE(C27, ""price"", TODAY()-7, TODAY()), 2, 2)) - 1, """")"),"")</f>
        <v/>
      </c>
      <c r="M27" s="21" t="str">
        <f>IFERROR(__xludf.DUMMYFUNCTION("IFERROR((GOOGLEFINANCE(C27, ""price"") / INDEX(GOOGLEFINANCE(C27, ""price"", EDATE(TODAY(), -1), TODAY()), 2, 2)) - 1, """")"),"")</f>
        <v/>
      </c>
      <c r="N27" s="21" t="str">
        <f>IFERROR(__xludf.DUMMYFUNCTION("IFERROR((GOOGLEFINANCE(C27, ""price"") / INDEX(GOOGLEFINANCE(C27, ""price"", EDATE(TODAY(), -3), TODAY()), 2, 2)) - 1, """")"),"")</f>
        <v/>
      </c>
      <c r="O27" s="21" t="str">
        <f>IFERROR(__xludf.DUMMYFUNCTION("IFERROR((GOOGLEFINANCE(C27, ""price"") / INDEX(GOOGLEFINANCE(C27, ""price"", EDATE(TODAY(), -6), TODAY()), 2, 2)) - 1, """")"),"")</f>
        <v/>
      </c>
      <c r="P27" s="21" t="str">
        <f>IFERROR(__xludf.DUMMYFUNCTION("IFERROR((GOOGLEFINANCE(C27, ""price"") / INDEX(GOOGLEFINANCE(C27, ""price"", EDATE(TODAY(), -12), TODAY()), 2, 2)) - 1, """")"),"")</f>
        <v/>
      </c>
      <c r="Q27" s="6" t="str">
        <f>IFERROR(__xludf.DUMMYFUNCTION("AVERAGE(QUERY(GOOGLEFINANCE(C27, ""price"", TODAY()-80, TODAY()), ""SELECT Col2 WHERE Col2 IS NOT NULL ORDER BY Col1 DESC LIMIT 50"", 0))"),"#N/A")</f>
        <v>#N/A</v>
      </c>
      <c r="R27" s="24" t="str">
        <f>IFERROR(__xludf.DUMMYFUNCTION("IFERROR(
  LET(
    data, QUERY(GOOGLEFINANCE(C27,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GOOGLEFINANCE(C27, ""price"")) * 100,
    IF(calc=0, G27, calc)
  ), 
G27)"),"#N/A")</f>
        <v>#N/A</v>
      </c>
      <c r="S27" s="8" t="s">
        <v>15</v>
      </c>
      <c r="T27" s="26" t="str">
        <f>IFERROR(__xludf.DUMMYFUNCTION("IFERROR(TRANSPOSE(QUERY(IFERROR(SORT(GOOGLEFINANCE(C27, ""price"", WORKDAY(TODAY(), -40), TODAY()), 1, FALSE)), ""select Col2 where Col2 is not null limit 22 label Col2 ''"", 0)), """")"),"")</f>
        <v/>
      </c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8"/>
      <c r="AO27" s="28"/>
      <c r="AP27" s="29"/>
      <c r="AQ27" s="29" t="str">
        <f t="shared" ref="AQ27:BL27" si="30">T27/T$2</f>
        <v>#N/A</v>
      </c>
      <c r="AR27" s="29" t="str">
        <f t="shared" si="30"/>
        <v>#DIV/0!</v>
      </c>
      <c r="AS27" s="29" t="str">
        <f t="shared" si="30"/>
        <v>#DIV/0!</v>
      </c>
      <c r="AT27" s="29" t="str">
        <f t="shared" si="30"/>
        <v>#DIV/0!</v>
      </c>
      <c r="AU27" s="29" t="str">
        <f t="shared" si="30"/>
        <v>#DIV/0!</v>
      </c>
      <c r="AV27" s="29" t="str">
        <f t="shared" si="30"/>
        <v>#DIV/0!</v>
      </c>
      <c r="AW27" s="29" t="str">
        <f t="shared" si="30"/>
        <v>#DIV/0!</v>
      </c>
      <c r="AX27" s="29" t="str">
        <f t="shared" si="30"/>
        <v>#DIV/0!</v>
      </c>
      <c r="AY27" s="29" t="str">
        <f t="shared" si="30"/>
        <v>#DIV/0!</v>
      </c>
      <c r="AZ27" s="29" t="str">
        <f t="shared" si="30"/>
        <v>#DIV/0!</v>
      </c>
      <c r="BA27" s="29" t="str">
        <f t="shared" si="30"/>
        <v>#DIV/0!</v>
      </c>
      <c r="BB27" s="29" t="str">
        <f t="shared" si="30"/>
        <v>#DIV/0!</v>
      </c>
      <c r="BC27" s="29" t="str">
        <f t="shared" si="30"/>
        <v>#DIV/0!</v>
      </c>
      <c r="BD27" s="29" t="str">
        <f t="shared" si="30"/>
        <v>#DIV/0!</v>
      </c>
      <c r="BE27" s="29" t="str">
        <f t="shared" si="30"/>
        <v>#DIV/0!</v>
      </c>
      <c r="BF27" s="29" t="str">
        <f t="shared" si="30"/>
        <v>#DIV/0!</v>
      </c>
      <c r="BG27" s="29" t="str">
        <f t="shared" si="30"/>
        <v>#DIV/0!</v>
      </c>
      <c r="BH27" s="29" t="str">
        <f t="shared" si="30"/>
        <v>#DIV/0!</v>
      </c>
      <c r="BI27" s="29" t="str">
        <f t="shared" si="30"/>
        <v>#DIV/0!</v>
      </c>
      <c r="BJ27" s="29" t="str">
        <f t="shared" si="30"/>
        <v>#DIV/0!</v>
      </c>
      <c r="BK27" s="29" t="str">
        <f t="shared" si="30"/>
        <v>#DIV/0!</v>
      </c>
      <c r="BL27" s="29" t="str">
        <f t="shared" si="30"/>
        <v>#DIV/0!</v>
      </c>
      <c r="BM27" s="29" t="str">
        <f t="shared" si="3"/>
        <v>#DIV/0!</v>
      </c>
    </row>
    <row r="28">
      <c r="A28" s="16" t="str">
        <f>IFERROR(__xludf.DUMMYFUNCTION("IFERROR(SPARKLINE(SORT(MAP(TRANSPOSE(AQ28:BL28), LAMBDA(val, IF(ISNUMBER(val), PERCENTRANK(AQ28:BL28, val)+0.01, 0))), SEQUENCE(COLUMNS(AQ28:BL28)), FALSE), {""charttype"",""column""; ""color"",""chartreuse""; ""ymin"", 0; ""ymax"", 1.01; ""highcolor"", "&amp;"""darkgreen""; ""lowcolor"", ""red""}), """")"),"")</f>
        <v/>
      </c>
      <c r="B28" s="17" t="str">
        <f t="shared" si="4"/>
        <v/>
      </c>
      <c r="C28" s="1" t="s">
        <v>927</v>
      </c>
      <c r="D28" s="30" t="str">
        <f>IFERROR(__xludf.DUMMYFUNCTION("IFERROR(GOOGLEFINANCE(C28, ""NAME""))"),"Willscot Holdings Corp")</f>
        <v>Willscot Holdings Corp</v>
      </c>
      <c r="E28" s="30" t="s">
        <v>888</v>
      </c>
      <c r="F28" s="38" t="str">
        <f>IFERROR(__xludf.DUMMYFUNCTION("( (GOOGLEFINANCE(C28, ""price"") - Q28) / Q28 ) / (R28 / 100)"),"Loading...")</f>
        <v>Loading...</v>
      </c>
      <c r="G28" s="20" t="str">
        <f>IFERROR(__xludf.DUMMYFUNCTION("AVERAGE(ARRAYFORMULA(100 * (QUERY(GOOGLEFINANCE(C28, ""high"", TODAY()-40, TODAY()), ""SELECT Col2 WHERE Col2 IS NOT NULL ORDER BY Col1 DESC LIMIT 20"", 0) / QUERY(GOOGLEFINANCE(C28, ""low"", TODAY()-40, TODAY()), ""SELECT Col2 WHERE Col2 IS NOT NULL ORDE"&amp;"R BY Col1 DESC LIMIT 20"", 0) - 1)))"),"#N/A")</f>
        <v>#N/A</v>
      </c>
      <c r="H28" s="35" t="str">
        <f t="shared" si="6"/>
        <v/>
      </c>
      <c r="I28" s="35" t="str">
        <f t="shared" si="7"/>
        <v/>
      </c>
      <c r="J28" s="37" t="str">
        <f>IFERROR(__xludf.DUMMYFUNCTION("IFERROR(
  IF(C28="""",, 
    IFERROR(
      GOOGLEFINANCE(C28, ""price"") * GOOGLEFINANCE(C28, ""volumeavg""), 
      GOOGLEFINANCE(C28, ""price"") * AVERAGE(QUERY(GOOGLEFINANCE(C28, ""volume"", TODAY()-40, TODAY()), ""SELECT Col2 WHERE Col2 IS NOT NULL "&amp;"ORDER BY Col1 DESC LIMIT 20"", 0))
    )
  ), 
"""")"),"")</f>
        <v/>
      </c>
      <c r="K28" s="21" t="str">
        <f>IFERROR(__xludf.DUMMYFUNCTION("IFERROR(GOOGLEFINANCE(C28, ""changepct"") / 100, """")"),"")</f>
        <v/>
      </c>
      <c r="L28" s="21" t="str">
        <f>IFERROR(__xludf.DUMMYFUNCTION("IFERROR((GOOGLEFINANCE(C28, ""price"") / INDEX(GOOGLEFINANCE(C28, ""price"", TODAY()-7, TODAY()), 2, 2)) - 1, """")"),"")</f>
        <v/>
      </c>
      <c r="M28" s="21" t="str">
        <f>IFERROR(__xludf.DUMMYFUNCTION("IFERROR((GOOGLEFINANCE(C28, ""price"") / INDEX(GOOGLEFINANCE(C28, ""price"", EDATE(TODAY(), -1), TODAY()), 2, 2)) - 1, """")"),"")</f>
        <v/>
      </c>
      <c r="N28" s="21" t="str">
        <f>IFERROR(__xludf.DUMMYFUNCTION("IFERROR((GOOGLEFINANCE(C28, ""price"") / INDEX(GOOGLEFINANCE(C28, ""price"", EDATE(TODAY(), -3), TODAY()), 2, 2)) - 1, """")"),"")</f>
        <v/>
      </c>
      <c r="O28" s="21" t="str">
        <f>IFERROR(__xludf.DUMMYFUNCTION("IFERROR((GOOGLEFINANCE(C28, ""price"") / INDEX(GOOGLEFINANCE(C28, ""price"", EDATE(TODAY(), -6), TODAY()), 2, 2)) - 1, """")"),"")</f>
        <v/>
      </c>
      <c r="P28" s="21" t="str">
        <f>IFERROR(__xludf.DUMMYFUNCTION("IFERROR((GOOGLEFINANCE(C28, ""price"") / INDEX(GOOGLEFINANCE(C28, ""price"", EDATE(TODAY(), -12), TODAY()), 2, 2)) - 1, """")"),"")</f>
        <v/>
      </c>
      <c r="Q28" s="6" t="str">
        <f>IFERROR(__xludf.DUMMYFUNCTION("AVERAGE(QUERY(GOOGLEFINANCE(C28, ""price"", TODAY()-80, TODAY()), ""SELECT Col2 WHERE Col2 IS NOT NULL ORDER BY Col1 DESC LIMIT 50"", 0))"),"#N/A")</f>
        <v>#N/A</v>
      </c>
      <c r="R28" s="24" t="str">
        <f>IFERROR(__xludf.DUMMYFUNCTION("IFERROR(
  LET(
    data, QUERY(GOOGLEFINANCE(C28,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GOOGLEFINANCE(C28, ""price"")) * 100,
    IF(calc=0, G28, calc)
  ), 
G28)"),"#N/A")</f>
        <v>#N/A</v>
      </c>
      <c r="S28" s="8" t="s">
        <v>15</v>
      </c>
      <c r="T28" s="26" t="str">
        <f>IFERROR(__xludf.DUMMYFUNCTION("IFERROR(TRANSPOSE(QUERY(IFERROR(SORT(GOOGLEFINANCE(C28, ""price"", WORKDAY(TODAY(), -40), TODAY()), 1, FALSE)), ""select Col2 where Col2 is not null limit 22 label Col2 ''"", 0)), """")"),"")</f>
        <v/>
      </c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8"/>
      <c r="AO28" s="28"/>
      <c r="AP28" s="29"/>
      <c r="AQ28" s="29" t="str">
        <f t="shared" ref="AQ28:BL28" si="31">T28/T$2</f>
        <v>#N/A</v>
      </c>
      <c r="AR28" s="29" t="str">
        <f t="shared" si="31"/>
        <v>#DIV/0!</v>
      </c>
      <c r="AS28" s="29" t="str">
        <f t="shared" si="31"/>
        <v>#DIV/0!</v>
      </c>
      <c r="AT28" s="29" t="str">
        <f t="shared" si="31"/>
        <v>#DIV/0!</v>
      </c>
      <c r="AU28" s="29" t="str">
        <f t="shared" si="31"/>
        <v>#DIV/0!</v>
      </c>
      <c r="AV28" s="29" t="str">
        <f t="shared" si="31"/>
        <v>#DIV/0!</v>
      </c>
      <c r="AW28" s="29" t="str">
        <f t="shared" si="31"/>
        <v>#DIV/0!</v>
      </c>
      <c r="AX28" s="29" t="str">
        <f t="shared" si="31"/>
        <v>#DIV/0!</v>
      </c>
      <c r="AY28" s="29" t="str">
        <f t="shared" si="31"/>
        <v>#DIV/0!</v>
      </c>
      <c r="AZ28" s="29" t="str">
        <f t="shared" si="31"/>
        <v>#DIV/0!</v>
      </c>
      <c r="BA28" s="29" t="str">
        <f t="shared" si="31"/>
        <v>#DIV/0!</v>
      </c>
      <c r="BB28" s="29" t="str">
        <f t="shared" si="31"/>
        <v>#DIV/0!</v>
      </c>
      <c r="BC28" s="29" t="str">
        <f t="shared" si="31"/>
        <v>#DIV/0!</v>
      </c>
      <c r="BD28" s="29" t="str">
        <f t="shared" si="31"/>
        <v>#DIV/0!</v>
      </c>
      <c r="BE28" s="29" t="str">
        <f t="shared" si="31"/>
        <v>#DIV/0!</v>
      </c>
      <c r="BF28" s="29" t="str">
        <f t="shared" si="31"/>
        <v>#DIV/0!</v>
      </c>
      <c r="BG28" s="29" t="str">
        <f t="shared" si="31"/>
        <v>#DIV/0!</v>
      </c>
      <c r="BH28" s="29" t="str">
        <f t="shared" si="31"/>
        <v>#DIV/0!</v>
      </c>
      <c r="BI28" s="29" t="str">
        <f t="shared" si="31"/>
        <v>#DIV/0!</v>
      </c>
      <c r="BJ28" s="29" t="str">
        <f t="shared" si="31"/>
        <v>#DIV/0!</v>
      </c>
      <c r="BK28" s="29" t="str">
        <f t="shared" si="31"/>
        <v>#DIV/0!</v>
      </c>
      <c r="BL28" s="29" t="str">
        <f t="shared" si="31"/>
        <v>#DIV/0!</v>
      </c>
      <c r="BM28" s="29" t="str">
        <f t="shared" si="3"/>
        <v>#DIV/0!</v>
      </c>
    </row>
    <row r="29">
      <c r="A29" s="16" t="str">
        <f>IFERROR(__xludf.DUMMYFUNCTION("IFERROR(SPARKLINE(SORT(MAP(TRANSPOSE(AQ29:BL29), LAMBDA(val, IF(ISNUMBER(val), PERCENTRANK(AQ29:BL29, val)+0.01, 0))), SEQUENCE(COLUMNS(AQ29:BL29)), FALSE), {""charttype"",""column""; ""color"",""chartreuse""; ""ymin"", 0; ""ymax"", 1.01; ""highcolor"", "&amp;"""darkgreen""; ""lowcolor"", ""red""}), """")"),"")</f>
        <v/>
      </c>
      <c r="B29" s="17" t="str">
        <f t="shared" si="4"/>
        <v/>
      </c>
      <c r="C29" s="1" t="s">
        <v>931</v>
      </c>
      <c r="D29" s="30" t="str">
        <f>IFERROR(__xludf.DUMMYFUNCTION("IFERROR(GOOGLEFINANCE(C29, ""NAME""))"),"Himalaya Shipping Ltd")</f>
        <v>Himalaya Shipping Ltd</v>
      </c>
      <c r="E29" s="30" t="s">
        <v>834</v>
      </c>
      <c r="F29" s="38" t="str">
        <f>IFERROR(__xludf.DUMMYFUNCTION("( (GOOGLEFINANCE(C29, ""price"") - Q29) / Q29 ) / (R29 / 100)"),"Loading...")</f>
        <v>Loading...</v>
      </c>
      <c r="G29" s="20" t="str">
        <f>IFERROR(__xludf.DUMMYFUNCTION("AVERAGE(ARRAYFORMULA(100 * (QUERY(GOOGLEFINANCE(C29, ""high"", TODAY()-40, TODAY()), ""SELECT Col2 WHERE Col2 IS NOT NULL ORDER BY Col1 DESC LIMIT 20"", 0) / QUERY(GOOGLEFINANCE(C29, ""low"", TODAY()-40, TODAY()), ""SELECT Col2 WHERE Col2 IS NOT NULL ORDE"&amp;"R BY Col1 DESC LIMIT 20"", 0) - 1)))"),"#N/A")</f>
        <v>#N/A</v>
      </c>
      <c r="H29" s="35" t="str">
        <f t="shared" si="6"/>
        <v/>
      </c>
      <c r="I29" s="35" t="str">
        <f t="shared" si="7"/>
        <v/>
      </c>
      <c r="J29" s="37" t="str">
        <f>IFERROR(__xludf.DUMMYFUNCTION("IFERROR(
  IF(C29="""",, 
    IFERROR(
      GOOGLEFINANCE(C29, ""price"") * GOOGLEFINANCE(C29, ""volumeavg""), 
      GOOGLEFINANCE(C29, ""price"") * AVERAGE(QUERY(GOOGLEFINANCE(C29, ""volume"", TODAY()-40, TODAY()), ""SELECT Col2 WHERE Col2 IS NOT NULL "&amp;"ORDER BY Col1 DESC LIMIT 20"", 0))
    )
  ), 
"""")"),"")</f>
        <v/>
      </c>
      <c r="K29" s="21" t="str">
        <f>IFERROR(__xludf.DUMMYFUNCTION("IFERROR(GOOGLEFINANCE(C29, ""changepct"") / 100, """")"),"")</f>
        <v/>
      </c>
      <c r="L29" s="21" t="str">
        <f>IFERROR(__xludf.DUMMYFUNCTION("IFERROR((GOOGLEFINANCE(C29, ""price"") / INDEX(GOOGLEFINANCE(C29, ""price"", TODAY()-7, TODAY()), 2, 2)) - 1, """")"),"")</f>
        <v/>
      </c>
      <c r="M29" s="21" t="str">
        <f>IFERROR(__xludf.DUMMYFUNCTION("IFERROR((GOOGLEFINANCE(C29, ""price"") / INDEX(GOOGLEFINANCE(C29, ""price"", EDATE(TODAY(), -1), TODAY()), 2, 2)) - 1, """")"),"")</f>
        <v/>
      </c>
      <c r="N29" s="21" t="str">
        <f>IFERROR(__xludf.DUMMYFUNCTION("IFERROR((GOOGLEFINANCE(C29, ""price"") / INDEX(GOOGLEFINANCE(C29, ""price"", EDATE(TODAY(), -3), TODAY()), 2, 2)) - 1, """")"),"")</f>
        <v/>
      </c>
      <c r="O29" s="21" t="str">
        <f>IFERROR(__xludf.DUMMYFUNCTION("IFERROR((GOOGLEFINANCE(C29, ""price"") / INDEX(GOOGLEFINANCE(C29, ""price"", EDATE(TODAY(), -6), TODAY()), 2, 2)) - 1, """")"),"")</f>
        <v/>
      </c>
      <c r="P29" s="21" t="str">
        <f>IFERROR(__xludf.DUMMYFUNCTION("IFERROR((GOOGLEFINANCE(C29, ""price"") / INDEX(GOOGLEFINANCE(C29, ""price"", EDATE(TODAY(), -12), TODAY()), 2, 2)) - 1, """")"),"")</f>
        <v/>
      </c>
      <c r="Q29" s="6" t="str">
        <f>IFERROR(__xludf.DUMMYFUNCTION("AVERAGE(QUERY(GOOGLEFINANCE(C29, ""price"", TODAY()-80, TODAY()), ""SELECT Col2 WHERE Col2 IS NOT NULL ORDER BY Col1 DESC LIMIT 50"", 0))"),"#N/A")</f>
        <v>#N/A</v>
      </c>
      <c r="R29" s="24" t="str">
        <f>IFERROR(__xludf.DUMMYFUNCTION("IFERROR(
  LET(
    data, QUERY(GOOGLEFINANCE(C29,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GOOGLEFINANCE(C29, ""price"")) * 100,
    IF(calc=0, G29, calc)
  ), 
G29)"),"#N/A")</f>
        <v>#N/A</v>
      </c>
      <c r="S29" s="8" t="s">
        <v>15</v>
      </c>
      <c r="T29" s="26" t="str">
        <f>IFERROR(__xludf.DUMMYFUNCTION("IFERROR(TRANSPOSE(QUERY(IFERROR(SORT(GOOGLEFINANCE(C29, ""price"", WORKDAY(TODAY(), -40), TODAY()), 1, FALSE)), ""select Col2 where Col2 is not null limit 22 label Col2 ''"", 0)), """")"),"")</f>
        <v/>
      </c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8"/>
      <c r="AO29" s="28"/>
      <c r="AP29" s="29"/>
      <c r="AQ29" s="29" t="str">
        <f t="shared" ref="AQ29:BL29" si="32">T29/T$2</f>
        <v>#N/A</v>
      </c>
      <c r="AR29" s="29" t="str">
        <f t="shared" si="32"/>
        <v>#DIV/0!</v>
      </c>
      <c r="AS29" s="29" t="str">
        <f t="shared" si="32"/>
        <v>#DIV/0!</v>
      </c>
      <c r="AT29" s="29" t="str">
        <f t="shared" si="32"/>
        <v>#DIV/0!</v>
      </c>
      <c r="AU29" s="29" t="str">
        <f t="shared" si="32"/>
        <v>#DIV/0!</v>
      </c>
      <c r="AV29" s="29" t="str">
        <f t="shared" si="32"/>
        <v>#DIV/0!</v>
      </c>
      <c r="AW29" s="29" t="str">
        <f t="shared" si="32"/>
        <v>#DIV/0!</v>
      </c>
      <c r="AX29" s="29" t="str">
        <f t="shared" si="32"/>
        <v>#DIV/0!</v>
      </c>
      <c r="AY29" s="29" t="str">
        <f t="shared" si="32"/>
        <v>#DIV/0!</v>
      </c>
      <c r="AZ29" s="29" t="str">
        <f t="shared" si="32"/>
        <v>#DIV/0!</v>
      </c>
      <c r="BA29" s="29" t="str">
        <f t="shared" si="32"/>
        <v>#DIV/0!</v>
      </c>
      <c r="BB29" s="29" t="str">
        <f t="shared" si="32"/>
        <v>#DIV/0!</v>
      </c>
      <c r="BC29" s="29" t="str">
        <f t="shared" si="32"/>
        <v>#DIV/0!</v>
      </c>
      <c r="BD29" s="29" t="str">
        <f t="shared" si="32"/>
        <v>#DIV/0!</v>
      </c>
      <c r="BE29" s="29" t="str">
        <f t="shared" si="32"/>
        <v>#DIV/0!</v>
      </c>
      <c r="BF29" s="29" t="str">
        <f t="shared" si="32"/>
        <v>#DIV/0!</v>
      </c>
      <c r="BG29" s="29" t="str">
        <f t="shared" si="32"/>
        <v>#DIV/0!</v>
      </c>
      <c r="BH29" s="29" t="str">
        <f t="shared" si="32"/>
        <v>#DIV/0!</v>
      </c>
      <c r="BI29" s="29" t="str">
        <f t="shared" si="32"/>
        <v>#DIV/0!</v>
      </c>
      <c r="BJ29" s="29" t="str">
        <f t="shared" si="32"/>
        <v>#DIV/0!</v>
      </c>
      <c r="BK29" s="29" t="str">
        <f t="shared" si="32"/>
        <v>#DIV/0!</v>
      </c>
      <c r="BL29" s="29" t="str">
        <f t="shared" si="32"/>
        <v>#DIV/0!</v>
      </c>
      <c r="BM29" s="29" t="str">
        <f t="shared" si="3"/>
        <v>#DIV/0!</v>
      </c>
    </row>
    <row r="30">
      <c r="A30" s="16" t="str">
        <f>IFERROR(__xludf.DUMMYFUNCTION("IFERROR(SPARKLINE(SORT(MAP(TRANSPOSE(AQ30:BL30), LAMBDA(val, IF(ISNUMBER(val), PERCENTRANK(AQ30:BL30, val)+0.01, 0))), SEQUENCE(COLUMNS(AQ30:BL30)), FALSE), {""charttype"",""column""; ""color"",""chartreuse""; ""ymin"", 0; ""ymax"", 1.01; ""highcolor"", "&amp;"""darkgreen""; ""lowcolor"", ""red""}), """")"),"")</f>
        <v/>
      </c>
      <c r="B30" s="17" t="str">
        <f t="shared" si="4"/>
        <v/>
      </c>
      <c r="C30" s="1" t="s">
        <v>935</v>
      </c>
      <c r="D30" s="30" t="str">
        <f>IFERROR(__xludf.DUMMYFUNCTION("IFERROR(GOOGLEFINANCE(C30, ""NAME""))"),"Purecycle Technologies Inc")</f>
        <v>Purecycle Technologies Inc</v>
      </c>
      <c r="E30" s="30" t="s">
        <v>936</v>
      </c>
      <c r="F30" s="33" t="str">
        <f>IFERROR(__xludf.DUMMYFUNCTION("( (GOOGLEFINANCE(C30, ""price"") - Q30) / Q30 ) / (R30 / 100)"),"Loading...")</f>
        <v>Loading...</v>
      </c>
      <c r="G30" s="20" t="str">
        <f>IFERROR(__xludf.DUMMYFUNCTION("AVERAGE(ARRAYFORMULA(100 * (QUERY(GOOGLEFINANCE(C30, ""high"", TODAY()-40, TODAY()), ""SELECT Col2 WHERE Col2 IS NOT NULL ORDER BY Col1 DESC LIMIT 20"", 0) / QUERY(GOOGLEFINANCE(C30, ""low"", TODAY()-40, TODAY()), ""SELECT Col2 WHERE Col2 IS NOT NULL ORDE"&amp;"R BY Col1 DESC LIMIT 20"", 0) - 1)))"),"#N/A")</f>
        <v>#N/A</v>
      </c>
      <c r="H30" s="35" t="str">
        <f t="shared" si="6"/>
        <v/>
      </c>
      <c r="I30" s="35" t="str">
        <f t="shared" si="7"/>
        <v/>
      </c>
      <c r="J30" s="37" t="str">
        <f>IFERROR(__xludf.DUMMYFUNCTION("IFERROR(
  IF(C30="""",, 
    IFERROR(
      GOOGLEFINANCE(C30, ""price"") * GOOGLEFINANCE(C30, ""volumeavg""), 
      GOOGLEFINANCE(C30, ""price"") * AVERAGE(QUERY(GOOGLEFINANCE(C30, ""volume"", TODAY()-40, TODAY()), ""SELECT Col2 WHERE Col2 IS NOT NULL "&amp;"ORDER BY Col1 DESC LIMIT 20"", 0))
    )
  ), 
"""")"),"")</f>
        <v/>
      </c>
      <c r="K30" s="21" t="str">
        <f>IFERROR(__xludf.DUMMYFUNCTION("IFERROR(GOOGLEFINANCE(C30, ""changepct"") / 100, """")"),"")</f>
        <v/>
      </c>
      <c r="L30" s="21" t="str">
        <f>IFERROR(__xludf.DUMMYFUNCTION("IFERROR((GOOGLEFINANCE(C30, ""price"") / INDEX(GOOGLEFINANCE(C30, ""price"", TODAY()-7, TODAY()), 2, 2)) - 1, """")"),"")</f>
        <v/>
      </c>
      <c r="M30" s="21" t="str">
        <f>IFERROR(__xludf.DUMMYFUNCTION("IFERROR((GOOGLEFINANCE(C30, ""price"") / INDEX(GOOGLEFINANCE(C30, ""price"", EDATE(TODAY(), -1), TODAY()), 2, 2)) - 1, """")"),"")</f>
        <v/>
      </c>
      <c r="N30" s="21" t="str">
        <f>IFERROR(__xludf.DUMMYFUNCTION("IFERROR((GOOGLEFINANCE(C30, ""price"") / INDEX(GOOGLEFINANCE(C30, ""price"", EDATE(TODAY(), -3), TODAY()), 2, 2)) - 1, """")"),"")</f>
        <v/>
      </c>
      <c r="O30" s="21" t="str">
        <f>IFERROR(__xludf.DUMMYFUNCTION("IFERROR((GOOGLEFINANCE(C30, ""price"") / INDEX(GOOGLEFINANCE(C30, ""price"", EDATE(TODAY(), -6), TODAY()), 2, 2)) - 1, """")"),"")</f>
        <v/>
      </c>
      <c r="P30" s="21" t="str">
        <f>IFERROR(__xludf.DUMMYFUNCTION("IFERROR((GOOGLEFINANCE(C30, ""price"") / INDEX(GOOGLEFINANCE(C30, ""price"", EDATE(TODAY(), -12), TODAY()), 2, 2)) - 1, """")"),"")</f>
        <v/>
      </c>
      <c r="Q30" s="6" t="str">
        <f>IFERROR(__xludf.DUMMYFUNCTION("AVERAGE(QUERY(GOOGLEFINANCE(C30, ""price"", TODAY()-80, TODAY()), ""SELECT Col2 WHERE Col2 IS NOT NULL ORDER BY Col1 DESC LIMIT 50"", 0))"),"#N/A")</f>
        <v>#N/A</v>
      </c>
      <c r="R30" s="24" t="str">
        <f>IFERROR(__xludf.DUMMYFUNCTION("IFERROR(
  LET(
    data, QUERY(GOOGLEFINANCE(C30,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GOOGLEFINANCE(C30, ""price"")) * 100,
    IF(calc=0, G30, calc)
  ), 
G30)"),"#N/A")</f>
        <v>#N/A</v>
      </c>
      <c r="S30" s="8" t="s">
        <v>15</v>
      </c>
      <c r="T30" s="26" t="str">
        <f>IFERROR(__xludf.DUMMYFUNCTION("IFERROR(TRANSPOSE(QUERY(IFERROR(SORT(GOOGLEFINANCE(C30, ""price"", WORKDAY(TODAY(), -40), TODAY()), 1, FALSE)), ""select Col2 where Col2 is not null limit 22 label Col2 ''"", 0)), """")"),"")</f>
        <v/>
      </c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8"/>
      <c r="AO30" s="28"/>
      <c r="AP30" s="29"/>
      <c r="AQ30" s="29" t="str">
        <f t="shared" ref="AQ30:BL30" si="33">T30/T$2</f>
        <v>#N/A</v>
      </c>
      <c r="AR30" s="29" t="str">
        <f t="shared" si="33"/>
        <v>#DIV/0!</v>
      </c>
      <c r="AS30" s="29" t="str">
        <f t="shared" si="33"/>
        <v>#DIV/0!</v>
      </c>
      <c r="AT30" s="29" t="str">
        <f t="shared" si="33"/>
        <v>#DIV/0!</v>
      </c>
      <c r="AU30" s="29" t="str">
        <f t="shared" si="33"/>
        <v>#DIV/0!</v>
      </c>
      <c r="AV30" s="29" t="str">
        <f t="shared" si="33"/>
        <v>#DIV/0!</v>
      </c>
      <c r="AW30" s="29" t="str">
        <f t="shared" si="33"/>
        <v>#DIV/0!</v>
      </c>
      <c r="AX30" s="29" t="str">
        <f t="shared" si="33"/>
        <v>#DIV/0!</v>
      </c>
      <c r="AY30" s="29" t="str">
        <f t="shared" si="33"/>
        <v>#DIV/0!</v>
      </c>
      <c r="AZ30" s="29" t="str">
        <f t="shared" si="33"/>
        <v>#DIV/0!</v>
      </c>
      <c r="BA30" s="29" t="str">
        <f t="shared" si="33"/>
        <v>#DIV/0!</v>
      </c>
      <c r="BB30" s="29" t="str">
        <f t="shared" si="33"/>
        <v>#DIV/0!</v>
      </c>
      <c r="BC30" s="29" t="str">
        <f t="shared" si="33"/>
        <v>#DIV/0!</v>
      </c>
      <c r="BD30" s="29" t="str">
        <f t="shared" si="33"/>
        <v>#DIV/0!</v>
      </c>
      <c r="BE30" s="29" t="str">
        <f t="shared" si="33"/>
        <v>#DIV/0!</v>
      </c>
      <c r="BF30" s="29" t="str">
        <f t="shared" si="33"/>
        <v>#DIV/0!</v>
      </c>
      <c r="BG30" s="29" t="str">
        <f t="shared" si="33"/>
        <v>#DIV/0!</v>
      </c>
      <c r="BH30" s="29" t="str">
        <f t="shared" si="33"/>
        <v>#DIV/0!</v>
      </c>
      <c r="BI30" s="29" t="str">
        <f t="shared" si="33"/>
        <v>#DIV/0!</v>
      </c>
      <c r="BJ30" s="29" t="str">
        <f t="shared" si="33"/>
        <v>#DIV/0!</v>
      </c>
      <c r="BK30" s="29" t="str">
        <f t="shared" si="33"/>
        <v>#DIV/0!</v>
      </c>
      <c r="BL30" s="29" t="str">
        <f t="shared" si="33"/>
        <v>#DIV/0!</v>
      </c>
      <c r="BM30" s="29" t="str">
        <f t="shared" si="3"/>
        <v>#DIV/0!</v>
      </c>
    </row>
    <row r="31">
      <c r="A31" s="16" t="str">
        <f>IFERROR(__xludf.DUMMYFUNCTION("IFERROR(SPARKLINE(SORT(MAP(TRANSPOSE(AQ31:BL31), LAMBDA(val, IF(ISNUMBER(val), PERCENTRANK(AQ31:BL31, val)+0.01, 0))), SEQUENCE(COLUMNS(AQ31:BL31)), FALSE), {""charttype"",""column""; ""color"",""chartreuse""; ""ymin"", 0; ""ymax"", 1.01; ""highcolor"", "&amp;"""darkgreen""; ""lowcolor"", ""red""}), """")"),"")</f>
        <v/>
      </c>
      <c r="B31" s="17" t="str">
        <f t="shared" si="4"/>
        <v/>
      </c>
      <c r="C31" s="1" t="s">
        <v>938</v>
      </c>
      <c r="D31" s="30" t="str">
        <f>IFERROR(__xludf.DUMMYFUNCTION("IFERROR(GOOGLEFINANCE(C31, ""NAME""))"),"Eos Energy Enterprises Inc")</f>
        <v>Eos Energy Enterprises Inc</v>
      </c>
      <c r="E31" s="30" t="s">
        <v>864</v>
      </c>
      <c r="F31" s="33" t="str">
        <f>IFERROR(__xludf.DUMMYFUNCTION("( (GOOGLEFINANCE(C31, ""price"") - Q31) / Q31 ) / (R31 / 100)"),"Loading...")</f>
        <v>Loading...</v>
      </c>
      <c r="G31" s="20" t="str">
        <f>IFERROR(__xludf.DUMMYFUNCTION("AVERAGE(ARRAYFORMULA(100 * (QUERY(GOOGLEFINANCE(C31, ""high"", TODAY()-40, TODAY()), ""SELECT Col2 WHERE Col2 IS NOT NULL ORDER BY Col1 DESC LIMIT 20"", 0) / QUERY(GOOGLEFINANCE(C31, ""low"", TODAY()-40, TODAY()), ""SELECT Col2 WHERE Col2 IS NOT NULL ORDE"&amp;"R BY Col1 DESC LIMIT 20"", 0) - 1)))"),"#N/A")</f>
        <v>#N/A</v>
      </c>
      <c r="H31" s="35" t="str">
        <f t="shared" si="6"/>
        <v/>
      </c>
      <c r="I31" s="35" t="str">
        <f t="shared" si="7"/>
        <v/>
      </c>
      <c r="J31" s="37" t="str">
        <f>IFERROR(__xludf.DUMMYFUNCTION("IFERROR(
  IF(C31="""",, 
    IFERROR(
      GOOGLEFINANCE(C31, ""price"") * GOOGLEFINANCE(C31, ""volumeavg""), 
      GOOGLEFINANCE(C31, ""price"") * AVERAGE(QUERY(GOOGLEFINANCE(C31, ""volume"", TODAY()-40, TODAY()), ""SELECT Col2 WHERE Col2 IS NOT NULL "&amp;"ORDER BY Col1 DESC LIMIT 20"", 0))
    )
  ), 
"""")"),"")</f>
        <v/>
      </c>
      <c r="K31" s="21" t="str">
        <f>IFERROR(__xludf.DUMMYFUNCTION("IFERROR(GOOGLEFINANCE(C31, ""changepct"") / 100, """")"),"")</f>
        <v/>
      </c>
      <c r="L31" s="21" t="str">
        <f>IFERROR(__xludf.DUMMYFUNCTION("IFERROR((GOOGLEFINANCE(C31, ""price"") / INDEX(GOOGLEFINANCE(C31, ""price"", TODAY()-7, TODAY()), 2, 2)) - 1, """")"),"")</f>
        <v/>
      </c>
      <c r="M31" s="21" t="str">
        <f>IFERROR(__xludf.DUMMYFUNCTION("IFERROR((GOOGLEFINANCE(C31, ""price"") / INDEX(GOOGLEFINANCE(C31, ""price"", EDATE(TODAY(), -1), TODAY()), 2, 2)) - 1, """")"),"")</f>
        <v/>
      </c>
      <c r="N31" s="21" t="str">
        <f>IFERROR(__xludf.DUMMYFUNCTION("IFERROR((GOOGLEFINANCE(C31, ""price"") / INDEX(GOOGLEFINANCE(C31, ""price"", EDATE(TODAY(), -3), TODAY()), 2, 2)) - 1, """")"),"")</f>
        <v/>
      </c>
      <c r="O31" s="21" t="str">
        <f>IFERROR(__xludf.DUMMYFUNCTION("IFERROR((GOOGLEFINANCE(C31, ""price"") / INDEX(GOOGLEFINANCE(C31, ""price"", EDATE(TODAY(), -6), TODAY()), 2, 2)) - 1, """")"),"")</f>
        <v/>
      </c>
      <c r="P31" s="21" t="str">
        <f>IFERROR(__xludf.DUMMYFUNCTION("IFERROR((GOOGLEFINANCE(C31, ""price"") / INDEX(GOOGLEFINANCE(C31, ""price"", EDATE(TODAY(), -12), TODAY()), 2, 2)) - 1, """")"),"")</f>
        <v/>
      </c>
      <c r="Q31" s="6" t="str">
        <f>IFERROR(__xludf.DUMMYFUNCTION("AVERAGE(QUERY(GOOGLEFINANCE(C31, ""price"", TODAY()-80, TODAY()), ""SELECT Col2 WHERE Col2 IS NOT NULL ORDER BY Col1 DESC LIMIT 50"", 0))"),"#N/A")</f>
        <v>#N/A</v>
      </c>
      <c r="R31" s="24" t="str">
        <f>IFERROR(__xludf.DUMMYFUNCTION("IFERROR(
  LET(
    data, QUERY(GOOGLEFINANCE(C31,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GOOGLEFINANCE(C31, ""price"")) * 100,
    IF(calc=0, G31, calc)
  ), 
G31)"),"#N/A")</f>
        <v>#N/A</v>
      </c>
      <c r="S31" s="8" t="s">
        <v>15</v>
      </c>
      <c r="T31" s="26" t="str">
        <f>IFERROR(__xludf.DUMMYFUNCTION("IFERROR(TRANSPOSE(QUERY(IFERROR(SORT(GOOGLEFINANCE(C31, ""price"", WORKDAY(TODAY(), -40), TODAY()), 1, FALSE)), ""select Col2 where Col2 is not null limit 22 label Col2 ''"", 0)), """")"),"")</f>
        <v/>
      </c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8"/>
      <c r="AO31" s="28"/>
      <c r="AP31" s="29"/>
      <c r="AQ31" s="29" t="str">
        <f t="shared" ref="AQ31:BL31" si="34">T31/T$2</f>
        <v>#N/A</v>
      </c>
      <c r="AR31" s="29" t="str">
        <f t="shared" si="34"/>
        <v>#DIV/0!</v>
      </c>
      <c r="AS31" s="29" t="str">
        <f t="shared" si="34"/>
        <v>#DIV/0!</v>
      </c>
      <c r="AT31" s="29" t="str">
        <f t="shared" si="34"/>
        <v>#DIV/0!</v>
      </c>
      <c r="AU31" s="29" t="str">
        <f t="shared" si="34"/>
        <v>#DIV/0!</v>
      </c>
      <c r="AV31" s="29" t="str">
        <f t="shared" si="34"/>
        <v>#DIV/0!</v>
      </c>
      <c r="AW31" s="29" t="str">
        <f t="shared" si="34"/>
        <v>#DIV/0!</v>
      </c>
      <c r="AX31" s="29" t="str">
        <f t="shared" si="34"/>
        <v>#DIV/0!</v>
      </c>
      <c r="AY31" s="29" t="str">
        <f t="shared" si="34"/>
        <v>#DIV/0!</v>
      </c>
      <c r="AZ31" s="29" t="str">
        <f t="shared" si="34"/>
        <v>#DIV/0!</v>
      </c>
      <c r="BA31" s="29" t="str">
        <f t="shared" si="34"/>
        <v>#DIV/0!</v>
      </c>
      <c r="BB31" s="29" t="str">
        <f t="shared" si="34"/>
        <v>#DIV/0!</v>
      </c>
      <c r="BC31" s="29" t="str">
        <f t="shared" si="34"/>
        <v>#DIV/0!</v>
      </c>
      <c r="BD31" s="29" t="str">
        <f t="shared" si="34"/>
        <v>#DIV/0!</v>
      </c>
      <c r="BE31" s="29" t="str">
        <f t="shared" si="34"/>
        <v>#DIV/0!</v>
      </c>
      <c r="BF31" s="29" t="str">
        <f t="shared" si="34"/>
        <v>#DIV/0!</v>
      </c>
      <c r="BG31" s="29" t="str">
        <f t="shared" si="34"/>
        <v>#DIV/0!</v>
      </c>
      <c r="BH31" s="29" t="str">
        <f t="shared" si="34"/>
        <v>#DIV/0!</v>
      </c>
      <c r="BI31" s="29" t="str">
        <f t="shared" si="34"/>
        <v>#DIV/0!</v>
      </c>
      <c r="BJ31" s="29" t="str">
        <f t="shared" si="34"/>
        <v>#DIV/0!</v>
      </c>
      <c r="BK31" s="29" t="str">
        <f t="shared" si="34"/>
        <v>#DIV/0!</v>
      </c>
      <c r="BL31" s="29" t="str">
        <f t="shared" si="34"/>
        <v>#DIV/0!</v>
      </c>
      <c r="BM31" s="29" t="str">
        <f t="shared" si="3"/>
        <v>#DIV/0!</v>
      </c>
    </row>
    <row r="32">
      <c r="A32" s="16" t="str">
        <f>IFERROR(__xludf.DUMMYFUNCTION("IFERROR(SPARKLINE(SORT(MAP(TRANSPOSE(AQ32:BL32), LAMBDA(val, IF(ISNUMBER(val), PERCENTRANK(AQ32:BL32, val)+0.01, 0))), SEQUENCE(COLUMNS(AQ32:BL32)), FALSE), {""charttype"",""column""; ""color"",""chartreuse""; ""ymin"", 0; ""ymax"", 1.01; ""highcolor"", "&amp;"""darkgreen""; ""lowcolor"", ""red""}), """")"),"")</f>
        <v/>
      </c>
      <c r="B32" s="17" t="str">
        <f t="shared" si="4"/>
        <v/>
      </c>
      <c r="C32" s="1" t="s">
        <v>941</v>
      </c>
      <c r="D32" s="30" t="str">
        <f>IFERROR(__xludf.DUMMYFUNCTION("IFERROR(GOOGLEFINANCE(C32, ""NAME""))"),"Intuitive Machines Inc")</f>
        <v>Intuitive Machines Inc</v>
      </c>
      <c r="E32" s="30" t="s">
        <v>839</v>
      </c>
      <c r="F32" s="33" t="str">
        <f>IFERROR(__xludf.DUMMYFUNCTION("( (GOOGLEFINANCE(C32, ""price"") - Q32) / Q32 ) / (R32 / 100)"),"Loading...")</f>
        <v>Loading...</v>
      </c>
      <c r="G32" s="20" t="str">
        <f>IFERROR(__xludf.DUMMYFUNCTION("AVERAGE(ARRAYFORMULA(100 * (QUERY(GOOGLEFINANCE(C32, ""high"", TODAY()-40, TODAY()), ""SELECT Col2 WHERE Col2 IS NOT NULL ORDER BY Col1 DESC LIMIT 20"", 0) / QUERY(GOOGLEFINANCE(C32, ""low"", TODAY()-40, TODAY()), ""SELECT Col2 WHERE Col2 IS NOT NULL ORDE"&amp;"R BY Col1 DESC LIMIT 20"", 0) - 1)))"),"#N/A")</f>
        <v>#N/A</v>
      </c>
      <c r="H32" s="35" t="str">
        <f t="shared" si="6"/>
        <v/>
      </c>
      <c r="I32" s="35" t="str">
        <f t="shared" si="7"/>
        <v/>
      </c>
      <c r="J32" s="37" t="str">
        <f>IFERROR(__xludf.DUMMYFUNCTION("IFERROR(
  IF(C32="""",, 
    IFERROR(
      GOOGLEFINANCE(C32, ""price"") * GOOGLEFINANCE(C32, ""volumeavg""), 
      GOOGLEFINANCE(C32, ""price"") * AVERAGE(QUERY(GOOGLEFINANCE(C32, ""volume"", TODAY()-40, TODAY()), ""SELECT Col2 WHERE Col2 IS NOT NULL "&amp;"ORDER BY Col1 DESC LIMIT 20"", 0))
    )
  ), 
"""")"),"")</f>
        <v/>
      </c>
      <c r="K32" s="21" t="str">
        <f>IFERROR(__xludf.DUMMYFUNCTION("IFERROR(GOOGLEFINANCE(C32, ""changepct"") / 100, """")"),"")</f>
        <v/>
      </c>
      <c r="L32" s="21" t="str">
        <f>IFERROR(__xludf.DUMMYFUNCTION("IFERROR((GOOGLEFINANCE(C32, ""price"") / INDEX(GOOGLEFINANCE(C32, ""price"", TODAY()-7, TODAY()), 2, 2)) - 1, """")"),"")</f>
        <v/>
      </c>
      <c r="M32" s="21" t="str">
        <f>IFERROR(__xludf.DUMMYFUNCTION("IFERROR((GOOGLEFINANCE(C32, ""price"") / INDEX(GOOGLEFINANCE(C32, ""price"", EDATE(TODAY(), -1), TODAY()), 2, 2)) - 1, """")"),"")</f>
        <v/>
      </c>
      <c r="N32" s="21" t="str">
        <f>IFERROR(__xludf.DUMMYFUNCTION("IFERROR((GOOGLEFINANCE(C32, ""price"") / INDEX(GOOGLEFINANCE(C32, ""price"", EDATE(TODAY(), -3), TODAY()), 2, 2)) - 1, """")"),"")</f>
        <v/>
      </c>
      <c r="O32" s="21" t="str">
        <f>IFERROR(__xludf.DUMMYFUNCTION("IFERROR((GOOGLEFINANCE(C32, ""price"") / INDEX(GOOGLEFINANCE(C32, ""price"", EDATE(TODAY(), -6), TODAY()), 2, 2)) - 1, """")"),"")</f>
        <v/>
      </c>
      <c r="P32" s="21" t="str">
        <f>IFERROR(__xludf.DUMMYFUNCTION("IFERROR((GOOGLEFINANCE(C32, ""price"") / INDEX(GOOGLEFINANCE(C32, ""price"", EDATE(TODAY(), -12), TODAY()), 2, 2)) - 1, """")"),"")</f>
        <v/>
      </c>
      <c r="Q32" s="6" t="str">
        <f>IFERROR(__xludf.DUMMYFUNCTION("AVERAGE(QUERY(GOOGLEFINANCE(C32, ""price"", TODAY()-80, TODAY()), ""SELECT Col2 WHERE Col2 IS NOT NULL ORDER BY Col1 DESC LIMIT 50"", 0))"),"#N/A")</f>
        <v>#N/A</v>
      </c>
      <c r="R32" s="24" t="str">
        <f>IFERROR(__xludf.DUMMYFUNCTION("IFERROR(
  LET(
    data, QUERY(GOOGLEFINANCE(C32,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GOOGLEFINANCE(C32, ""price"")) * 100,
    IF(calc=0, G32, calc)
  ), 
G32)"),"#N/A")</f>
        <v>#N/A</v>
      </c>
      <c r="S32" s="8" t="s">
        <v>15</v>
      </c>
      <c r="T32" s="26" t="str">
        <f>IFERROR(__xludf.DUMMYFUNCTION("IFERROR(TRANSPOSE(QUERY(IFERROR(SORT(GOOGLEFINANCE(C32, ""price"", WORKDAY(TODAY(), -40), TODAY()), 1, FALSE)), ""select Col2 where Col2 is not null limit 22 label Col2 ''"", 0)), """")"),"")</f>
        <v/>
      </c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8"/>
      <c r="AO32" s="28"/>
      <c r="AP32" s="29"/>
      <c r="AQ32" s="29" t="str">
        <f t="shared" ref="AQ32:BL32" si="35">T32/T$2</f>
        <v>#N/A</v>
      </c>
      <c r="AR32" s="29" t="str">
        <f t="shared" si="35"/>
        <v>#DIV/0!</v>
      </c>
      <c r="AS32" s="29" t="str">
        <f t="shared" si="35"/>
        <v>#DIV/0!</v>
      </c>
      <c r="AT32" s="29" t="str">
        <f t="shared" si="35"/>
        <v>#DIV/0!</v>
      </c>
      <c r="AU32" s="29" t="str">
        <f t="shared" si="35"/>
        <v>#DIV/0!</v>
      </c>
      <c r="AV32" s="29" t="str">
        <f t="shared" si="35"/>
        <v>#DIV/0!</v>
      </c>
      <c r="AW32" s="29" t="str">
        <f t="shared" si="35"/>
        <v>#DIV/0!</v>
      </c>
      <c r="AX32" s="29" t="str">
        <f t="shared" si="35"/>
        <v>#DIV/0!</v>
      </c>
      <c r="AY32" s="29" t="str">
        <f t="shared" si="35"/>
        <v>#DIV/0!</v>
      </c>
      <c r="AZ32" s="29" t="str">
        <f t="shared" si="35"/>
        <v>#DIV/0!</v>
      </c>
      <c r="BA32" s="29" t="str">
        <f t="shared" si="35"/>
        <v>#DIV/0!</v>
      </c>
      <c r="BB32" s="29" t="str">
        <f t="shared" si="35"/>
        <v>#DIV/0!</v>
      </c>
      <c r="BC32" s="29" t="str">
        <f t="shared" si="35"/>
        <v>#DIV/0!</v>
      </c>
      <c r="BD32" s="29" t="str">
        <f t="shared" si="35"/>
        <v>#DIV/0!</v>
      </c>
      <c r="BE32" s="29" t="str">
        <f t="shared" si="35"/>
        <v>#DIV/0!</v>
      </c>
      <c r="BF32" s="29" t="str">
        <f t="shared" si="35"/>
        <v>#DIV/0!</v>
      </c>
      <c r="BG32" s="29" t="str">
        <f t="shared" si="35"/>
        <v>#DIV/0!</v>
      </c>
      <c r="BH32" s="29" t="str">
        <f t="shared" si="35"/>
        <v>#DIV/0!</v>
      </c>
      <c r="BI32" s="29" t="str">
        <f t="shared" si="35"/>
        <v>#DIV/0!</v>
      </c>
      <c r="BJ32" s="29" t="str">
        <f t="shared" si="35"/>
        <v>#DIV/0!</v>
      </c>
      <c r="BK32" s="29" t="str">
        <f t="shared" si="35"/>
        <v>#DIV/0!</v>
      </c>
      <c r="BL32" s="29" t="str">
        <f t="shared" si="35"/>
        <v>#DIV/0!</v>
      </c>
      <c r="BM32" s="29" t="str">
        <f t="shared" si="3"/>
        <v>#DIV/0!</v>
      </c>
    </row>
    <row r="33">
      <c r="A33" s="16" t="str">
        <f>IFERROR(__xludf.DUMMYFUNCTION("IFERROR(SPARKLINE(SORT(MAP(TRANSPOSE(AQ33:BL33), LAMBDA(val, IF(ISNUMBER(val), PERCENTRANK(AQ33:BL33, val)+0.01, 0))), SEQUENCE(COLUMNS(AQ33:BL33)), FALSE), {""charttype"",""column""; ""color"",""chartreuse""; ""ymin"", 0; ""ymax"", 1.01; ""highcolor"", "&amp;"""darkgreen""; ""lowcolor"", ""red""}), """")"),"")</f>
        <v/>
      </c>
      <c r="B33" s="17" t="str">
        <f t="shared" si="4"/>
        <v/>
      </c>
      <c r="C33" s="1" t="s">
        <v>944</v>
      </c>
      <c r="D33" s="30" t="str">
        <f>IFERROR(__xludf.DUMMYFUNCTION("IFERROR(GOOGLEFINANCE(C33, ""NAME""))"),"Target Hospitality Corp")</f>
        <v>Target Hospitality Corp</v>
      </c>
      <c r="E33" s="30" t="s">
        <v>916</v>
      </c>
      <c r="F33" s="33" t="str">
        <f>IFERROR(__xludf.DUMMYFUNCTION("( (GOOGLEFINANCE(C33, ""price"") - Q33) / Q33 ) / (R33 / 100)"),"Loading...")</f>
        <v>Loading...</v>
      </c>
      <c r="G33" s="20" t="str">
        <f>IFERROR(__xludf.DUMMYFUNCTION("AVERAGE(ARRAYFORMULA(100 * (QUERY(GOOGLEFINANCE(C33, ""high"", TODAY()-40, TODAY()), ""SELECT Col2 WHERE Col2 IS NOT NULL ORDER BY Col1 DESC LIMIT 20"", 0) / QUERY(GOOGLEFINANCE(C33, ""low"", TODAY()-40, TODAY()), ""SELECT Col2 WHERE Col2 IS NOT NULL ORDE"&amp;"R BY Col1 DESC LIMIT 20"", 0) - 1)))"),"#N/A")</f>
        <v>#N/A</v>
      </c>
      <c r="H33" s="35" t="str">
        <f t="shared" si="6"/>
        <v/>
      </c>
      <c r="I33" s="35" t="str">
        <f t="shared" si="7"/>
        <v/>
      </c>
      <c r="J33" s="37" t="str">
        <f>IFERROR(__xludf.DUMMYFUNCTION("IFERROR(
  IF(C33="""",, 
    IFERROR(
      GOOGLEFINANCE(C33, ""price"") * GOOGLEFINANCE(C33, ""volumeavg""), 
      GOOGLEFINANCE(C33, ""price"") * AVERAGE(QUERY(GOOGLEFINANCE(C33, ""volume"", TODAY()-40, TODAY()), ""SELECT Col2 WHERE Col2 IS NOT NULL "&amp;"ORDER BY Col1 DESC LIMIT 20"", 0))
    )
  ), 
"""")"),"")</f>
        <v/>
      </c>
      <c r="K33" s="21" t="str">
        <f>IFERROR(__xludf.DUMMYFUNCTION("IFERROR(GOOGLEFINANCE(C33, ""changepct"") / 100, """")"),"")</f>
        <v/>
      </c>
      <c r="L33" s="21" t="str">
        <f>IFERROR(__xludf.DUMMYFUNCTION("IFERROR((GOOGLEFINANCE(C33, ""price"") / INDEX(GOOGLEFINANCE(C33, ""price"", TODAY()-7, TODAY()), 2, 2)) - 1, """")"),"")</f>
        <v/>
      </c>
      <c r="M33" s="21" t="str">
        <f>IFERROR(__xludf.DUMMYFUNCTION("IFERROR((GOOGLEFINANCE(C33, ""price"") / INDEX(GOOGLEFINANCE(C33, ""price"", EDATE(TODAY(), -1), TODAY()), 2, 2)) - 1, """")"),"")</f>
        <v/>
      </c>
      <c r="N33" s="21" t="str">
        <f>IFERROR(__xludf.DUMMYFUNCTION("IFERROR((GOOGLEFINANCE(C33, ""price"") / INDEX(GOOGLEFINANCE(C33, ""price"", EDATE(TODAY(), -3), TODAY()), 2, 2)) - 1, """")"),"")</f>
        <v/>
      </c>
      <c r="O33" s="21" t="str">
        <f>IFERROR(__xludf.DUMMYFUNCTION("IFERROR((GOOGLEFINANCE(C33, ""price"") / INDEX(GOOGLEFINANCE(C33, ""price"", EDATE(TODAY(), -6), TODAY()), 2, 2)) - 1, """")"),"")</f>
        <v/>
      </c>
      <c r="P33" s="21" t="str">
        <f>IFERROR(__xludf.DUMMYFUNCTION("IFERROR((GOOGLEFINANCE(C33, ""price"") / INDEX(GOOGLEFINANCE(C33, ""price"", EDATE(TODAY(), -12), TODAY()), 2, 2)) - 1, """")"),"")</f>
        <v/>
      </c>
      <c r="Q33" s="6" t="str">
        <f>IFERROR(__xludf.DUMMYFUNCTION("AVERAGE(QUERY(GOOGLEFINANCE(C33, ""price"", TODAY()-80, TODAY()), ""SELECT Col2 WHERE Col2 IS NOT NULL ORDER BY Col1 DESC LIMIT 50"", 0))"),"#N/A")</f>
        <v>#N/A</v>
      </c>
      <c r="R33" s="24" t="str">
        <f>IFERROR(__xludf.DUMMYFUNCTION("IFERROR(
  LET(
    data, QUERY(GOOGLEFINANCE(C33,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GOOGLEFINANCE(C33, ""price"")) * 100,
    IF(calc=0, G33, calc)
  ), 
G33)"),"#N/A")</f>
        <v>#N/A</v>
      </c>
      <c r="S33" s="8" t="s">
        <v>15</v>
      </c>
      <c r="T33" s="26" t="str">
        <f>IFERROR(__xludf.DUMMYFUNCTION("IFERROR(TRANSPOSE(QUERY(IFERROR(SORT(GOOGLEFINANCE(C33, ""price"", WORKDAY(TODAY(), -40), TODAY()), 1, FALSE)), ""select Col2 where Col2 is not null limit 22 label Col2 ''"", 0)), """")"),"")</f>
        <v/>
      </c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8"/>
      <c r="AO33" s="28"/>
      <c r="AP33" s="29"/>
      <c r="AQ33" s="29" t="str">
        <f t="shared" ref="AQ33:BL33" si="36">T33/T$2</f>
        <v>#N/A</v>
      </c>
      <c r="AR33" s="29" t="str">
        <f t="shared" si="36"/>
        <v>#DIV/0!</v>
      </c>
      <c r="AS33" s="29" t="str">
        <f t="shared" si="36"/>
        <v>#DIV/0!</v>
      </c>
      <c r="AT33" s="29" t="str">
        <f t="shared" si="36"/>
        <v>#DIV/0!</v>
      </c>
      <c r="AU33" s="29" t="str">
        <f t="shared" si="36"/>
        <v>#DIV/0!</v>
      </c>
      <c r="AV33" s="29" t="str">
        <f t="shared" si="36"/>
        <v>#DIV/0!</v>
      </c>
      <c r="AW33" s="29" t="str">
        <f t="shared" si="36"/>
        <v>#DIV/0!</v>
      </c>
      <c r="AX33" s="29" t="str">
        <f t="shared" si="36"/>
        <v>#DIV/0!</v>
      </c>
      <c r="AY33" s="29" t="str">
        <f t="shared" si="36"/>
        <v>#DIV/0!</v>
      </c>
      <c r="AZ33" s="29" t="str">
        <f t="shared" si="36"/>
        <v>#DIV/0!</v>
      </c>
      <c r="BA33" s="29" t="str">
        <f t="shared" si="36"/>
        <v>#DIV/0!</v>
      </c>
      <c r="BB33" s="29" t="str">
        <f t="shared" si="36"/>
        <v>#DIV/0!</v>
      </c>
      <c r="BC33" s="29" t="str">
        <f t="shared" si="36"/>
        <v>#DIV/0!</v>
      </c>
      <c r="BD33" s="29" t="str">
        <f t="shared" si="36"/>
        <v>#DIV/0!</v>
      </c>
      <c r="BE33" s="29" t="str">
        <f t="shared" si="36"/>
        <v>#DIV/0!</v>
      </c>
      <c r="BF33" s="29" t="str">
        <f t="shared" si="36"/>
        <v>#DIV/0!</v>
      </c>
      <c r="BG33" s="29" t="str">
        <f t="shared" si="36"/>
        <v>#DIV/0!</v>
      </c>
      <c r="BH33" s="29" t="str">
        <f t="shared" si="36"/>
        <v>#DIV/0!</v>
      </c>
      <c r="BI33" s="29" t="str">
        <f t="shared" si="36"/>
        <v>#DIV/0!</v>
      </c>
      <c r="BJ33" s="29" t="str">
        <f t="shared" si="36"/>
        <v>#DIV/0!</v>
      </c>
      <c r="BK33" s="29" t="str">
        <f t="shared" si="36"/>
        <v>#DIV/0!</v>
      </c>
      <c r="BL33" s="29" t="str">
        <f t="shared" si="36"/>
        <v>#DIV/0!</v>
      </c>
      <c r="BM33" s="29" t="str">
        <f t="shared" si="3"/>
        <v>#DIV/0!</v>
      </c>
    </row>
    <row r="34">
      <c r="A34" s="16" t="str">
        <f>IFERROR(__xludf.DUMMYFUNCTION("IFERROR(SPARKLINE(SORT(MAP(TRANSPOSE(AQ34:BL34), LAMBDA(val, IF(ISNUMBER(val), PERCENTRANK(AQ34:BL34, val)+0.01, 0))), SEQUENCE(COLUMNS(AQ34:BL34)), FALSE), {""charttype"",""column""; ""color"",""chartreuse""; ""ymin"", 0; ""ymax"", 1.01; ""highcolor"", "&amp;"""darkgreen""; ""lowcolor"", ""red""}), """")"),"")</f>
        <v/>
      </c>
      <c r="B34" s="17" t="str">
        <f t="shared" si="4"/>
        <v/>
      </c>
      <c r="C34" s="1" t="s">
        <v>948</v>
      </c>
      <c r="D34" s="30" t="str">
        <f>IFERROR(__xludf.DUMMYFUNCTION("IFERROR(GOOGLEFINANCE(C34, ""NAME""))"),"Vertiv Holdings Co")</f>
        <v>Vertiv Holdings Co</v>
      </c>
      <c r="E34" s="30" t="s">
        <v>864</v>
      </c>
      <c r="F34" s="38" t="str">
        <f>IFERROR(__xludf.DUMMYFUNCTION("( (GOOGLEFINANCE(C34, ""price"") - Q34) / Q34 ) / (R34 / 100)"),"Loading...")</f>
        <v>Loading...</v>
      </c>
      <c r="G34" s="20" t="str">
        <f>IFERROR(__xludf.DUMMYFUNCTION("AVERAGE(ARRAYFORMULA(100 * (QUERY(GOOGLEFINANCE(C34, ""high"", TODAY()-40, TODAY()), ""SELECT Col2 WHERE Col2 IS NOT NULL ORDER BY Col1 DESC LIMIT 20"", 0) / QUERY(GOOGLEFINANCE(C34, ""low"", TODAY()-40, TODAY()), ""SELECT Col2 WHERE Col2 IS NOT NULL ORDE"&amp;"R BY Col1 DESC LIMIT 20"", 0) - 1)))"),"#N/A")</f>
        <v>#N/A</v>
      </c>
      <c r="H34" s="35" t="str">
        <f t="shared" si="6"/>
        <v/>
      </c>
      <c r="I34" s="35" t="str">
        <f t="shared" si="7"/>
        <v/>
      </c>
      <c r="J34" s="37" t="str">
        <f>IFERROR(__xludf.DUMMYFUNCTION("IFERROR(
  IF(C34="""",, 
    IFERROR(
      GOOGLEFINANCE(C34, ""price"") * GOOGLEFINANCE(C34, ""volumeavg""), 
      GOOGLEFINANCE(C34, ""price"") * AVERAGE(QUERY(GOOGLEFINANCE(C34, ""volume"", TODAY()-40, TODAY()), ""SELECT Col2 WHERE Col2 IS NOT NULL "&amp;"ORDER BY Col1 DESC LIMIT 20"", 0))
    )
  ), 
"""")"),"")</f>
        <v/>
      </c>
      <c r="K34" s="21" t="str">
        <f>IFERROR(__xludf.DUMMYFUNCTION("IFERROR(GOOGLEFINANCE(C34, ""changepct"") / 100, """")"),"")</f>
        <v/>
      </c>
      <c r="L34" s="21" t="str">
        <f>IFERROR(__xludf.DUMMYFUNCTION("IFERROR((GOOGLEFINANCE(C34, ""price"") / INDEX(GOOGLEFINANCE(C34, ""price"", TODAY()-7, TODAY()), 2, 2)) - 1, """")"),"")</f>
        <v/>
      </c>
      <c r="M34" s="21" t="str">
        <f>IFERROR(__xludf.DUMMYFUNCTION("IFERROR((GOOGLEFINANCE(C34, ""price"") / INDEX(GOOGLEFINANCE(C34, ""price"", EDATE(TODAY(), -1), TODAY()), 2, 2)) - 1, """")"),"")</f>
        <v/>
      </c>
      <c r="N34" s="21" t="str">
        <f>IFERROR(__xludf.DUMMYFUNCTION("IFERROR((GOOGLEFINANCE(C34, ""price"") / INDEX(GOOGLEFINANCE(C34, ""price"", EDATE(TODAY(), -3), TODAY()), 2, 2)) - 1, """")"),"")</f>
        <v/>
      </c>
      <c r="O34" s="21" t="str">
        <f>IFERROR(__xludf.DUMMYFUNCTION("IFERROR((GOOGLEFINANCE(C34, ""price"") / INDEX(GOOGLEFINANCE(C34, ""price"", EDATE(TODAY(), -6), TODAY()), 2, 2)) - 1, """")"),"")</f>
        <v/>
      </c>
      <c r="P34" s="21" t="str">
        <f>IFERROR(__xludf.DUMMYFUNCTION("IFERROR((GOOGLEFINANCE(C34, ""price"") / INDEX(GOOGLEFINANCE(C34, ""price"", EDATE(TODAY(), -12), TODAY()), 2, 2)) - 1, """")"),"")</f>
        <v/>
      </c>
      <c r="Q34" s="6" t="str">
        <f>IFERROR(__xludf.DUMMYFUNCTION("AVERAGE(QUERY(GOOGLEFINANCE(C34, ""price"", TODAY()-80, TODAY()), ""SELECT Col2 WHERE Col2 IS NOT NULL ORDER BY Col1 DESC LIMIT 50"", 0))"),"#N/A")</f>
        <v>#N/A</v>
      </c>
      <c r="R34" s="24" t="str">
        <f>IFERROR(__xludf.DUMMYFUNCTION("IFERROR(
  LET(
    data, QUERY(GOOGLEFINANCE(C34,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GOOGLEFINANCE(C34, ""price"")) * 100,
    IF(calc=0, G34, calc)
  ), 
G34)"),"#N/A")</f>
        <v>#N/A</v>
      </c>
      <c r="S34" s="8" t="s">
        <v>15</v>
      </c>
      <c r="T34" s="26" t="str">
        <f>IFERROR(__xludf.DUMMYFUNCTION("IFERROR(TRANSPOSE(QUERY(IFERROR(SORT(GOOGLEFINANCE(C34, ""price"", WORKDAY(TODAY(), -40), TODAY()), 1, FALSE)), ""select Col2 where Col2 is not null limit 22 label Col2 ''"", 0)), """")"),"")</f>
        <v/>
      </c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8"/>
      <c r="AO34" s="28"/>
      <c r="AP34" s="29"/>
      <c r="AQ34" s="29" t="str">
        <f t="shared" ref="AQ34:BL34" si="37">T34/T$2</f>
        <v>#N/A</v>
      </c>
      <c r="AR34" s="29" t="str">
        <f t="shared" si="37"/>
        <v>#DIV/0!</v>
      </c>
      <c r="AS34" s="29" t="str">
        <f t="shared" si="37"/>
        <v>#DIV/0!</v>
      </c>
      <c r="AT34" s="29" t="str">
        <f t="shared" si="37"/>
        <v>#DIV/0!</v>
      </c>
      <c r="AU34" s="29" t="str">
        <f t="shared" si="37"/>
        <v>#DIV/0!</v>
      </c>
      <c r="AV34" s="29" t="str">
        <f t="shared" si="37"/>
        <v>#DIV/0!</v>
      </c>
      <c r="AW34" s="29" t="str">
        <f t="shared" si="37"/>
        <v>#DIV/0!</v>
      </c>
      <c r="AX34" s="29" t="str">
        <f t="shared" si="37"/>
        <v>#DIV/0!</v>
      </c>
      <c r="AY34" s="29" t="str">
        <f t="shared" si="37"/>
        <v>#DIV/0!</v>
      </c>
      <c r="AZ34" s="29" t="str">
        <f t="shared" si="37"/>
        <v>#DIV/0!</v>
      </c>
      <c r="BA34" s="29" t="str">
        <f t="shared" si="37"/>
        <v>#DIV/0!</v>
      </c>
      <c r="BB34" s="29" t="str">
        <f t="shared" si="37"/>
        <v>#DIV/0!</v>
      </c>
      <c r="BC34" s="29" t="str">
        <f t="shared" si="37"/>
        <v>#DIV/0!</v>
      </c>
      <c r="BD34" s="29" t="str">
        <f t="shared" si="37"/>
        <v>#DIV/0!</v>
      </c>
      <c r="BE34" s="29" t="str">
        <f t="shared" si="37"/>
        <v>#DIV/0!</v>
      </c>
      <c r="BF34" s="29" t="str">
        <f t="shared" si="37"/>
        <v>#DIV/0!</v>
      </c>
      <c r="BG34" s="29" t="str">
        <f t="shared" si="37"/>
        <v>#DIV/0!</v>
      </c>
      <c r="BH34" s="29" t="str">
        <f t="shared" si="37"/>
        <v>#DIV/0!</v>
      </c>
      <c r="BI34" s="29" t="str">
        <f t="shared" si="37"/>
        <v>#DIV/0!</v>
      </c>
      <c r="BJ34" s="29" t="str">
        <f t="shared" si="37"/>
        <v>#DIV/0!</v>
      </c>
      <c r="BK34" s="29" t="str">
        <f t="shared" si="37"/>
        <v>#DIV/0!</v>
      </c>
      <c r="BL34" s="29" t="str">
        <f t="shared" si="37"/>
        <v>#DIV/0!</v>
      </c>
      <c r="BM34" s="29" t="str">
        <f t="shared" si="3"/>
        <v>#DIV/0!</v>
      </c>
    </row>
    <row r="35">
      <c r="A35" s="16" t="str">
        <f>IFERROR(__xludf.DUMMYFUNCTION("IFERROR(SPARKLINE(SORT(MAP(TRANSPOSE(AQ35:BL35), LAMBDA(val, IF(ISNUMBER(val), PERCENTRANK(AQ35:BL35, val)+0.01, 0))), SEQUENCE(COLUMNS(AQ35:BL35)), FALSE), {""charttype"",""column""; ""color"",""chartreuse""; ""ymin"", 0; ""ymax"", 1.01; ""highcolor"", "&amp;"""darkgreen""; ""lowcolor"", ""red""}), """")"),"")</f>
        <v/>
      </c>
      <c r="B35" s="17" t="str">
        <f t="shared" si="4"/>
        <v/>
      </c>
      <c r="C35" s="1" t="s">
        <v>951</v>
      </c>
      <c r="D35" s="30" t="str">
        <f>IFERROR(__xludf.DUMMYFUNCTION("IFERROR(GOOGLEFINANCE(C35, ""NAME""))"),"Cummins Inc")</f>
        <v>Cummins Inc</v>
      </c>
      <c r="E35" s="30" t="s">
        <v>893</v>
      </c>
      <c r="F35" s="33" t="str">
        <f>IFERROR(__xludf.DUMMYFUNCTION("( (GOOGLEFINANCE(C35, ""price"") - Q35) / Q35 ) / (R35 / 100)"),"Loading...")</f>
        <v>Loading...</v>
      </c>
      <c r="G35" s="20" t="str">
        <f>IFERROR(__xludf.DUMMYFUNCTION("AVERAGE(ARRAYFORMULA(100 * (QUERY(GOOGLEFINANCE(C35, ""high"", TODAY()-40, TODAY()), ""SELECT Col2 WHERE Col2 IS NOT NULL ORDER BY Col1 DESC LIMIT 20"", 0) / QUERY(GOOGLEFINANCE(C35, ""low"", TODAY()-40, TODAY()), ""SELECT Col2 WHERE Col2 IS NOT NULL ORDE"&amp;"R BY Col1 DESC LIMIT 20"", 0) - 1)))"),"#N/A")</f>
        <v>#N/A</v>
      </c>
      <c r="H35" s="35" t="str">
        <f t="shared" si="6"/>
        <v/>
      </c>
      <c r="I35" s="35" t="str">
        <f t="shared" si="7"/>
        <v/>
      </c>
      <c r="J35" s="37" t="str">
        <f>IFERROR(__xludf.DUMMYFUNCTION("IFERROR(
  IF(C35="""",, 
    IFERROR(
      GOOGLEFINANCE(C35, ""price"") * GOOGLEFINANCE(C35, ""volumeavg""), 
      GOOGLEFINANCE(C35, ""price"") * AVERAGE(QUERY(GOOGLEFINANCE(C35, ""volume"", TODAY()-40, TODAY()), ""SELECT Col2 WHERE Col2 IS NOT NULL "&amp;"ORDER BY Col1 DESC LIMIT 20"", 0))
    )
  ), 
"""")"),"")</f>
        <v/>
      </c>
      <c r="K35" s="21" t="str">
        <f>IFERROR(__xludf.DUMMYFUNCTION("IFERROR(GOOGLEFINANCE(C35, ""changepct"") / 100, """")"),"")</f>
        <v/>
      </c>
      <c r="L35" s="21" t="str">
        <f>IFERROR(__xludf.DUMMYFUNCTION("IFERROR((GOOGLEFINANCE(C35, ""price"") / INDEX(GOOGLEFINANCE(C35, ""price"", TODAY()-7, TODAY()), 2, 2)) - 1, """")"),"")</f>
        <v/>
      </c>
      <c r="M35" s="21" t="str">
        <f>IFERROR(__xludf.DUMMYFUNCTION("IFERROR((GOOGLEFINANCE(C35, ""price"") / INDEX(GOOGLEFINANCE(C35, ""price"", EDATE(TODAY(), -1), TODAY()), 2, 2)) - 1, """")"),"")</f>
        <v/>
      </c>
      <c r="N35" s="21" t="str">
        <f>IFERROR(__xludf.DUMMYFUNCTION("IFERROR((GOOGLEFINANCE(C35, ""price"") / INDEX(GOOGLEFINANCE(C35, ""price"", EDATE(TODAY(), -3), TODAY()), 2, 2)) - 1, """")"),"")</f>
        <v/>
      </c>
      <c r="O35" s="21" t="str">
        <f>IFERROR(__xludf.DUMMYFUNCTION("IFERROR((GOOGLEFINANCE(C35, ""price"") / INDEX(GOOGLEFINANCE(C35, ""price"", EDATE(TODAY(), -6), TODAY()), 2, 2)) - 1, """")"),"")</f>
        <v/>
      </c>
      <c r="P35" s="21" t="str">
        <f>IFERROR(__xludf.DUMMYFUNCTION("IFERROR((GOOGLEFINANCE(C35, ""price"") / INDEX(GOOGLEFINANCE(C35, ""price"", EDATE(TODAY(), -12), TODAY()), 2, 2)) - 1, """")"),"")</f>
        <v/>
      </c>
      <c r="Q35" s="6" t="str">
        <f>IFERROR(__xludf.DUMMYFUNCTION("AVERAGE(QUERY(GOOGLEFINANCE(C35, ""price"", TODAY()-80, TODAY()), ""SELECT Col2 WHERE Col2 IS NOT NULL ORDER BY Col1 DESC LIMIT 50"", 0))"),"#N/A")</f>
        <v>#N/A</v>
      </c>
      <c r="R35" s="24" t="str">
        <f>IFERROR(__xludf.DUMMYFUNCTION("IFERROR(
  LET(
    data, QUERY(GOOGLEFINANCE(C35,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GOOGLEFINANCE(C35, ""price"")) * 100,
    IF(calc=0, G35, calc)
  ), 
G35)"),"#N/A")</f>
        <v>#N/A</v>
      </c>
      <c r="S35" s="8" t="s">
        <v>15</v>
      </c>
      <c r="T35" s="26" t="str">
        <f>IFERROR(__xludf.DUMMYFUNCTION("IFERROR(TRANSPOSE(QUERY(IFERROR(SORT(GOOGLEFINANCE(C35, ""price"", WORKDAY(TODAY(), -40), TODAY()), 1, FALSE)), ""select Col2 where Col2 is not null limit 22 label Col2 ''"", 0)), """")"),"")</f>
        <v/>
      </c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8"/>
      <c r="AO35" s="28"/>
      <c r="AP35" s="29"/>
      <c r="AQ35" s="29" t="str">
        <f t="shared" ref="AQ35:BL35" si="38">T35/T$2</f>
        <v>#N/A</v>
      </c>
      <c r="AR35" s="29" t="str">
        <f t="shared" si="38"/>
        <v>#DIV/0!</v>
      </c>
      <c r="AS35" s="29" t="str">
        <f t="shared" si="38"/>
        <v>#DIV/0!</v>
      </c>
      <c r="AT35" s="29" t="str">
        <f t="shared" si="38"/>
        <v>#DIV/0!</v>
      </c>
      <c r="AU35" s="29" t="str">
        <f t="shared" si="38"/>
        <v>#DIV/0!</v>
      </c>
      <c r="AV35" s="29" t="str">
        <f t="shared" si="38"/>
        <v>#DIV/0!</v>
      </c>
      <c r="AW35" s="29" t="str">
        <f t="shared" si="38"/>
        <v>#DIV/0!</v>
      </c>
      <c r="AX35" s="29" t="str">
        <f t="shared" si="38"/>
        <v>#DIV/0!</v>
      </c>
      <c r="AY35" s="29" t="str">
        <f t="shared" si="38"/>
        <v>#DIV/0!</v>
      </c>
      <c r="AZ35" s="29" t="str">
        <f t="shared" si="38"/>
        <v>#DIV/0!</v>
      </c>
      <c r="BA35" s="29" t="str">
        <f t="shared" si="38"/>
        <v>#DIV/0!</v>
      </c>
      <c r="BB35" s="29" t="str">
        <f t="shared" si="38"/>
        <v>#DIV/0!</v>
      </c>
      <c r="BC35" s="29" t="str">
        <f t="shared" si="38"/>
        <v>#DIV/0!</v>
      </c>
      <c r="BD35" s="29" t="str">
        <f t="shared" si="38"/>
        <v>#DIV/0!</v>
      </c>
      <c r="BE35" s="29" t="str">
        <f t="shared" si="38"/>
        <v>#DIV/0!</v>
      </c>
      <c r="BF35" s="29" t="str">
        <f t="shared" si="38"/>
        <v>#DIV/0!</v>
      </c>
      <c r="BG35" s="29" t="str">
        <f t="shared" si="38"/>
        <v>#DIV/0!</v>
      </c>
      <c r="BH35" s="29" t="str">
        <f t="shared" si="38"/>
        <v>#DIV/0!</v>
      </c>
      <c r="BI35" s="29" t="str">
        <f t="shared" si="38"/>
        <v>#DIV/0!</v>
      </c>
      <c r="BJ35" s="29" t="str">
        <f t="shared" si="38"/>
        <v>#DIV/0!</v>
      </c>
      <c r="BK35" s="29" t="str">
        <f t="shared" si="38"/>
        <v>#DIV/0!</v>
      </c>
      <c r="BL35" s="29" t="str">
        <f t="shared" si="38"/>
        <v>#DIV/0!</v>
      </c>
      <c r="BM35" s="29" t="str">
        <f t="shared" si="3"/>
        <v>#DIV/0!</v>
      </c>
    </row>
    <row r="36">
      <c r="A36" s="16" t="str">
        <f>IFERROR(__xludf.DUMMYFUNCTION("IFERROR(SPARKLINE(SORT(MAP(TRANSPOSE(AQ36:BL36), LAMBDA(val, IF(ISNUMBER(val), PERCENTRANK(AQ36:BL36, val)+0.01, 0))), SEQUENCE(COLUMNS(AQ36:BL36)), FALSE), {""charttype"",""column""; ""color"",""chartreuse""; ""ymin"", 0; ""ymax"", 1.01; ""highcolor"", "&amp;"""darkgreen""; ""lowcolor"", ""red""}), """")"),"")</f>
        <v/>
      </c>
      <c r="B36" s="17" t="str">
        <f t="shared" si="4"/>
        <v/>
      </c>
      <c r="C36" s="1" t="s">
        <v>954</v>
      </c>
      <c r="D36" s="30" t="str">
        <f>IFERROR(__xludf.DUMMYFUNCTION("IFERROR(GOOGLEFINANCE(C36, ""NAME""))"),"CryoPort Inc")</f>
        <v>CryoPort Inc</v>
      </c>
      <c r="E36" s="30" t="s">
        <v>955</v>
      </c>
      <c r="F36" s="38" t="str">
        <f>IFERROR(__xludf.DUMMYFUNCTION("( (GOOGLEFINANCE(C36, ""price"") - Q36) / Q36 ) / (R36 / 100)"),"Loading...")</f>
        <v>Loading...</v>
      </c>
      <c r="G36" s="20" t="str">
        <f>IFERROR(__xludf.DUMMYFUNCTION("AVERAGE(ARRAYFORMULA(100 * (QUERY(GOOGLEFINANCE(C36, ""high"", TODAY()-40, TODAY()), ""SELECT Col2 WHERE Col2 IS NOT NULL ORDER BY Col1 DESC LIMIT 20"", 0) / QUERY(GOOGLEFINANCE(C36, ""low"", TODAY()-40, TODAY()), ""SELECT Col2 WHERE Col2 IS NOT NULL ORDE"&amp;"R BY Col1 DESC LIMIT 20"", 0) - 1)))"),"#N/A")</f>
        <v>#N/A</v>
      </c>
      <c r="H36" s="35" t="str">
        <f t="shared" si="6"/>
        <v/>
      </c>
      <c r="I36" s="35" t="str">
        <f t="shared" si="7"/>
        <v/>
      </c>
      <c r="J36" s="37" t="str">
        <f>IFERROR(__xludf.DUMMYFUNCTION("IFERROR(
  IF(C36="""",, 
    IFERROR(
      GOOGLEFINANCE(C36, ""price"") * GOOGLEFINANCE(C36, ""volumeavg""), 
      GOOGLEFINANCE(C36, ""price"") * AVERAGE(QUERY(GOOGLEFINANCE(C36, ""volume"", TODAY()-40, TODAY()), ""SELECT Col2 WHERE Col2 IS NOT NULL "&amp;"ORDER BY Col1 DESC LIMIT 20"", 0))
    )
  ), 
"""")"),"")</f>
        <v/>
      </c>
      <c r="K36" s="21" t="str">
        <f>IFERROR(__xludf.DUMMYFUNCTION("IFERROR(GOOGLEFINANCE(C36, ""changepct"") / 100, """")"),"")</f>
        <v/>
      </c>
      <c r="L36" s="21" t="str">
        <f>IFERROR(__xludf.DUMMYFUNCTION("IFERROR((GOOGLEFINANCE(C36, ""price"") / INDEX(GOOGLEFINANCE(C36, ""price"", TODAY()-7, TODAY()), 2, 2)) - 1, """")"),"")</f>
        <v/>
      </c>
      <c r="M36" s="21" t="str">
        <f>IFERROR(__xludf.DUMMYFUNCTION("IFERROR((GOOGLEFINANCE(C36, ""price"") / INDEX(GOOGLEFINANCE(C36, ""price"", EDATE(TODAY(), -1), TODAY()), 2, 2)) - 1, """")"),"")</f>
        <v/>
      </c>
      <c r="N36" s="21" t="str">
        <f>IFERROR(__xludf.DUMMYFUNCTION("IFERROR((GOOGLEFINANCE(C36, ""price"") / INDEX(GOOGLEFINANCE(C36, ""price"", EDATE(TODAY(), -3), TODAY()), 2, 2)) - 1, """")"),"")</f>
        <v/>
      </c>
      <c r="O36" s="21" t="str">
        <f>IFERROR(__xludf.DUMMYFUNCTION("IFERROR((GOOGLEFINANCE(C36, ""price"") / INDEX(GOOGLEFINANCE(C36, ""price"", EDATE(TODAY(), -6), TODAY()), 2, 2)) - 1, """")"),"")</f>
        <v/>
      </c>
      <c r="P36" s="21" t="str">
        <f>IFERROR(__xludf.DUMMYFUNCTION("IFERROR((GOOGLEFINANCE(C36, ""price"") / INDEX(GOOGLEFINANCE(C36, ""price"", EDATE(TODAY(), -12), TODAY()), 2, 2)) - 1, """")"),"")</f>
        <v/>
      </c>
      <c r="Q36" s="6" t="str">
        <f>IFERROR(__xludf.DUMMYFUNCTION("AVERAGE(QUERY(GOOGLEFINANCE(C36, ""price"", TODAY()-80, TODAY()), ""SELECT Col2 WHERE Col2 IS NOT NULL ORDER BY Col1 DESC LIMIT 50"", 0))"),"#N/A")</f>
        <v>#N/A</v>
      </c>
      <c r="R36" s="24" t="str">
        <f>IFERROR(__xludf.DUMMYFUNCTION("IFERROR(
  LET(
    data, QUERY(GOOGLEFINANCE(C36,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GOOGLEFINANCE(C36, ""price"")) * 100,
    IF(calc=0, G36, calc)
  ), 
G36)"),"#N/A")</f>
        <v>#N/A</v>
      </c>
      <c r="S36" s="8" t="s">
        <v>15</v>
      </c>
      <c r="T36" s="26" t="str">
        <f>IFERROR(__xludf.DUMMYFUNCTION("IFERROR(TRANSPOSE(QUERY(IFERROR(SORT(GOOGLEFINANCE(C36, ""price"", WORKDAY(TODAY(), -40), TODAY()), 1, FALSE)), ""select Col2 where Col2 is not null limit 22 label Col2 ''"", 0)), """")"),"")</f>
        <v/>
      </c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8"/>
      <c r="AO36" s="28"/>
      <c r="AP36" s="29"/>
      <c r="AQ36" s="29" t="str">
        <f t="shared" ref="AQ36:BL36" si="39">T36/T$2</f>
        <v>#N/A</v>
      </c>
      <c r="AR36" s="29" t="str">
        <f t="shared" si="39"/>
        <v>#DIV/0!</v>
      </c>
      <c r="AS36" s="29" t="str">
        <f t="shared" si="39"/>
        <v>#DIV/0!</v>
      </c>
      <c r="AT36" s="29" t="str">
        <f t="shared" si="39"/>
        <v>#DIV/0!</v>
      </c>
      <c r="AU36" s="29" t="str">
        <f t="shared" si="39"/>
        <v>#DIV/0!</v>
      </c>
      <c r="AV36" s="29" t="str">
        <f t="shared" si="39"/>
        <v>#DIV/0!</v>
      </c>
      <c r="AW36" s="29" t="str">
        <f t="shared" si="39"/>
        <v>#DIV/0!</v>
      </c>
      <c r="AX36" s="29" t="str">
        <f t="shared" si="39"/>
        <v>#DIV/0!</v>
      </c>
      <c r="AY36" s="29" t="str">
        <f t="shared" si="39"/>
        <v>#DIV/0!</v>
      </c>
      <c r="AZ36" s="29" t="str">
        <f t="shared" si="39"/>
        <v>#DIV/0!</v>
      </c>
      <c r="BA36" s="29" t="str">
        <f t="shared" si="39"/>
        <v>#DIV/0!</v>
      </c>
      <c r="BB36" s="29" t="str">
        <f t="shared" si="39"/>
        <v>#DIV/0!</v>
      </c>
      <c r="BC36" s="29" t="str">
        <f t="shared" si="39"/>
        <v>#DIV/0!</v>
      </c>
      <c r="BD36" s="29" t="str">
        <f t="shared" si="39"/>
        <v>#DIV/0!</v>
      </c>
      <c r="BE36" s="29" t="str">
        <f t="shared" si="39"/>
        <v>#DIV/0!</v>
      </c>
      <c r="BF36" s="29" t="str">
        <f t="shared" si="39"/>
        <v>#DIV/0!</v>
      </c>
      <c r="BG36" s="29" t="str">
        <f t="shared" si="39"/>
        <v>#DIV/0!</v>
      </c>
      <c r="BH36" s="29" t="str">
        <f t="shared" si="39"/>
        <v>#DIV/0!</v>
      </c>
      <c r="BI36" s="29" t="str">
        <f t="shared" si="39"/>
        <v>#DIV/0!</v>
      </c>
      <c r="BJ36" s="29" t="str">
        <f t="shared" si="39"/>
        <v>#DIV/0!</v>
      </c>
      <c r="BK36" s="29" t="str">
        <f t="shared" si="39"/>
        <v>#DIV/0!</v>
      </c>
      <c r="BL36" s="29" t="str">
        <f t="shared" si="39"/>
        <v>#DIV/0!</v>
      </c>
      <c r="BM36" s="29" t="str">
        <f t="shared" si="3"/>
        <v>#DIV/0!</v>
      </c>
    </row>
    <row r="37">
      <c r="A37" s="16" t="str">
        <f>IFERROR(__xludf.DUMMYFUNCTION("IFERROR(SPARKLINE(SORT(MAP(TRANSPOSE(AQ37:BL37), LAMBDA(val, IF(ISNUMBER(val), PERCENTRANK(AQ37:BL37, val)+0.01, 0))), SEQUENCE(COLUMNS(AQ37:BL37)), FALSE), {""charttype"",""column""; ""color"",""chartreuse""; ""ymin"", 0; ""ymax"", 1.01; ""highcolor"", "&amp;"""darkgreen""; ""lowcolor"", ""red""}), """")"),"")</f>
        <v/>
      </c>
      <c r="B37" s="17" t="str">
        <f t="shared" si="4"/>
        <v/>
      </c>
      <c r="C37" s="1" t="s">
        <v>958</v>
      </c>
      <c r="D37" s="30" t="str">
        <f>IFERROR(__xludf.DUMMYFUNCTION("IFERROR(GOOGLEFINANCE(C37, ""NAME""))"),"Mayville Engineering Company Inc")</f>
        <v>Mayville Engineering Company Inc</v>
      </c>
      <c r="E37" s="30" t="s">
        <v>847</v>
      </c>
      <c r="F37" s="33" t="str">
        <f>IFERROR(__xludf.DUMMYFUNCTION("( (GOOGLEFINANCE(C37, ""price"") - Q37) / Q37 ) / (R37 / 100)"),"Loading...")</f>
        <v>Loading...</v>
      </c>
      <c r="G37" s="20" t="str">
        <f>IFERROR(__xludf.DUMMYFUNCTION("AVERAGE(ARRAYFORMULA(100 * (QUERY(GOOGLEFINANCE(C37, ""high"", TODAY()-40, TODAY()), ""SELECT Col2 WHERE Col2 IS NOT NULL ORDER BY Col1 DESC LIMIT 20"", 0) / QUERY(GOOGLEFINANCE(C37, ""low"", TODAY()-40, TODAY()), ""SELECT Col2 WHERE Col2 IS NOT NULL ORDE"&amp;"R BY Col1 DESC LIMIT 20"", 0) - 1)))"),"#N/A")</f>
        <v>#N/A</v>
      </c>
      <c r="H37" s="35" t="str">
        <f t="shared" si="6"/>
        <v/>
      </c>
      <c r="I37" s="35" t="str">
        <f t="shared" si="7"/>
        <v/>
      </c>
      <c r="J37" s="37" t="str">
        <f>IFERROR(__xludf.DUMMYFUNCTION("IFERROR(
  IF(C37="""",, 
    IFERROR(
      GOOGLEFINANCE(C37, ""price"") * GOOGLEFINANCE(C37, ""volumeavg""), 
      GOOGLEFINANCE(C37, ""price"") * AVERAGE(QUERY(GOOGLEFINANCE(C37, ""volume"", TODAY()-40, TODAY()), ""SELECT Col2 WHERE Col2 IS NOT NULL "&amp;"ORDER BY Col1 DESC LIMIT 20"", 0))
    )
  ), 
"""")"),"")</f>
        <v/>
      </c>
      <c r="K37" s="21" t="str">
        <f>IFERROR(__xludf.DUMMYFUNCTION("IFERROR(GOOGLEFINANCE(C37, ""changepct"") / 100, """")"),"")</f>
        <v/>
      </c>
      <c r="L37" s="21" t="str">
        <f>IFERROR(__xludf.DUMMYFUNCTION("IFERROR((GOOGLEFINANCE(C37, ""price"") / INDEX(GOOGLEFINANCE(C37, ""price"", TODAY()-7, TODAY()), 2, 2)) - 1, """")"),"")</f>
        <v/>
      </c>
      <c r="M37" s="21" t="str">
        <f>IFERROR(__xludf.DUMMYFUNCTION("IFERROR((GOOGLEFINANCE(C37, ""price"") / INDEX(GOOGLEFINANCE(C37, ""price"", EDATE(TODAY(), -1), TODAY()), 2, 2)) - 1, """")"),"")</f>
        <v/>
      </c>
      <c r="N37" s="21" t="str">
        <f>IFERROR(__xludf.DUMMYFUNCTION("IFERROR((GOOGLEFINANCE(C37, ""price"") / INDEX(GOOGLEFINANCE(C37, ""price"", EDATE(TODAY(), -3), TODAY()), 2, 2)) - 1, """")"),"")</f>
        <v/>
      </c>
      <c r="O37" s="21" t="str">
        <f>IFERROR(__xludf.DUMMYFUNCTION("IFERROR((GOOGLEFINANCE(C37, ""price"") / INDEX(GOOGLEFINANCE(C37, ""price"", EDATE(TODAY(), -6), TODAY()), 2, 2)) - 1, """")"),"")</f>
        <v/>
      </c>
      <c r="P37" s="21" t="str">
        <f>IFERROR(__xludf.DUMMYFUNCTION("IFERROR((GOOGLEFINANCE(C37, ""price"") / INDEX(GOOGLEFINANCE(C37, ""price"", EDATE(TODAY(), -12), TODAY()), 2, 2)) - 1, """")"),"")</f>
        <v/>
      </c>
      <c r="Q37" s="6" t="str">
        <f>IFERROR(__xludf.DUMMYFUNCTION("AVERAGE(QUERY(GOOGLEFINANCE(C37, ""price"", TODAY()-80, TODAY()), ""SELECT Col2 WHERE Col2 IS NOT NULL ORDER BY Col1 DESC LIMIT 50"", 0))"),"#N/A")</f>
        <v>#N/A</v>
      </c>
      <c r="R37" s="24" t="str">
        <f>IFERROR(__xludf.DUMMYFUNCTION("IFERROR(
  LET(
    data, QUERY(GOOGLEFINANCE(C37,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GOOGLEFINANCE(C37, ""price"")) * 100,
    IF(calc=0, G37, calc)
  ), 
G37)"),"#N/A")</f>
        <v>#N/A</v>
      </c>
      <c r="S37" s="8" t="s">
        <v>15</v>
      </c>
      <c r="T37" s="26" t="str">
        <f>IFERROR(__xludf.DUMMYFUNCTION("IFERROR(TRANSPOSE(QUERY(IFERROR(SORT(GOOGLEFINANCE(C37, ""price"", WORKDAY(TODAY(), -40), TODAY()), 1, FALSE)), ""select Col2 where Col2 is not null limit 22 label Col2 ''"", 0)), """")"),"")</f>
        <v/>
      </c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8"/>
      <c r="AO37" s="28"/>
      <c r="AP37" s="29"/>
      <c r="AQ37" s="29" t="str">
        <f t="shared" ref="AQ37:BL37" si="40">T37/T$2</f>
        <v>#N/A</v>
      </c>
      <c r="AR37" s="29" t="str">
        <f t="shared" si="40"/>
        <v>#DIV/0!</v>
      </c>
      <c r="AS37" s="29" t="str">
        <f t="shared" si="40"/>
        <v>#DIV/0!</v>
      </c>
      <c r="AT37" s="29" t="str">
        <f t="shared" si="40"/>
        <v>#DIV/0!</v>
      </c>
      <c r="AU37" s="29" t="str">
        <f t="shared" si="40"/>
        <v>#DIV/0!</v>
      </c>
      <c r="AV37" s="29" t="str">
        <f t="shared" si="40"/>
        <v>#DIV/0!</v>
      </c>
      <c r="AW37" s="29" t="str">
        <f t="shared" si="40"/>
        <v>#DIV/0!</v>
      </c>
      <c r="AX37" s="29" t="str">
        <f t="shared" si="40"/>
        <v>#DIV/0!</v>
      </c>
      <c r="AY37" s="29" t="str">
        <f t="shared" si="40"/>
        <v>#DIV/0!</v>
      </c>
      <c r="AZ37" s="29" t="str">
        <f t="shared" si="40"/>
        <v>#DIV/0!</v>
      </c>
      <c r="BA37" s="29" t="str">
        <f t="shared" si="40"/>
        <v>#DIV/0!</v>
      </c>
      <c r="BB37" s="29" t="str">
        <f t="shared" si="40"/>
        <v>#DIV/0!</v>
      </c>
      <c r="BC37" s="29" t="str">
        <f t="shared" si="40"/>
        <v>#DIV/0!</v>
      </c>
      <c r="BD37" s="29" t="str">
        <f t="shared" si="40"/>
        <v>#DIV/0!</v>
      </c>
      <c r="BE37" s="29" t="str">
        <f t="shared" si="40"/>
        <v>#DIV/0!</v>
      </c>
      <c r="BF37" s="29" t="str">
        <f t="shared" si="40"/>
        <v>#DIV/0!</v>
      </c>
      <c r="BG37" s="29" t="str">
        <f t="shared" si="40"/>
        <v>#DIV/0!</v>
      </c>
      <c r="BH37" s="29" t="str">
        <f t="shared" si="40"/>
        <v>#DIV/0!</v>
      </c>
      <c r="BI37" s="29" t="str">
        <f t="shared" si="40"/>
        <v>#DIV/0!</v>
      </c>
      <c r="BJ37" s="29" t="str">
        <f t="shared" si="40"/>
        <v>#DIV/0!</v>
      </c>
      <c r="BK37" s="29" t="str">
        <f t="shared" si="40"/>
        <v>#DIV/0!</v>
      </c>
      <c r="BL37" s="29" t="str">
        <f t="shared" si="40"/>
        <v>#DIV/0!</v>
      </c>
      <c r="BM37" s="29" t="str">
        <f t="shared" si="3"/>
        <v>#DIV/0!</v>
      </c>
    </row>
    <row r="38">
      <c r="A38" s="16" t="str">
        <f>IFERROR(__xludf.DUMMYFUNCTION("IFERROR(SPARKLINE(SORT(MAP(TRANSPOSE(AQ38:BL38), LAMBDA(val, IF(ISNUMBER(val), PERCENTRANK(AQ38:BL38, val)+0.01, 0))), SEQUENCE(COLUMNS(AQ38:BL38)), FALSE), {""charttype"",""column""; ""color"",""chartreuse""; ""ymin"", 0; ""ymax"", 1.01; ""highcolor"", "&amp;"""darkgreen""; ""lowcolor"", ""red""}), """")"),"")</f>
        <v/>
      </c>
      <c r="B38" s="17" t="str">
        <f t="shared" si="4"/>
        <v/>
      </c>
      <c r="C38" s="1" t="s">
        <v>961</v>
      </c>
      <c r="D38" s="30" t="str">
        <f>IFERROR(__xludf.DUMMYFUNCTION("IFERROR(GOOGLEFINANCE(C38, ""NAME""))"),"L B Foster Co")</f>
        <v>L B Foster Co</v>
      </c>
      <c r="E38" s="30" t="s">
        <v>962</v>
      </c>
      <c r="F38" s="33" t="str">
        <f>IFERROR(__xludf.DUMMYFUNCTION("( (GOOGLEFINANCE(C38, ""price"") - Q38) / Q38 ) / (R38 / 100)"),"Loading...")</f>
        <v>Loading...</v>
      </c>
      <c r="G38" s="20" t="str">
        <f>IFERROR(__xludf.DUMMYFUNCTION("AVERAGE(ARRAYFORMULA(100 * (QUERY(GOOGLEFINANCE(C38, ""high"", TODAY()-40, TODAY()), ""SELECT Col2 WHERE Col2 IS NOT NULL ORDER BY Col1 DESC LIMIT 20"", 0) / QUERY(GOOGLEFINANCE(C38, ""low"", TODAY()-40, TODAY()), ""SELECT Col2 WHERE Col2 IS NOT NULL ORDE"&amp;"R BY Col1 DESC LIMIT 20"", 0) - 1)))"),"#N/A")</f>
        <v>#N/A</v>
      </c>
      <c r="H38" s="35" t="str">
        <f t="shared" si="6"/>
        <v/>
      </c>
      <c r="I38" s="35" t="str">
        <f t="shared" si="7"/>
        <v/>
      </c>
      <c r="J38" s="37" t="str">
        <f>IFERROR(__xludf.DUMMYFUNCTION("IFERROR(
  IF(C38="""",, 
    IFERROR(
      GOOGLEFINANCE(C38, ""price"") * GOOGLEFINANCE(C38, ""volumeavg""), 
      GOOGLEFINANCE(C38, ""price"") * AVERAGE(QUERY(GOOGLEFINANCE(C38, ""volume"", TODAY()-40, TODAY()), ""SELECT Col2 WHERE Col2 IS NOT NULL "&amp;"ORDER BY Col1 DESC LIMIT 20"", 0))
    )
  ), 
"""")"),"")</f>
        <v/>
      </c>
      <c r="K38" s="21" t="str">
        <f>IFERROR(__xludf.DUMMYFUNCTION("IFERROR(GOOGLEFINANCE(C38, ""changepct"") / 100, """")"),"")</f>
        <v/>
      </c>
      <c r="L38" s="21" t="str">
        <f>IFERROR(__xludf.DUMMYFUNCTION("IFERROR((GOOGLEFINANCE(C38, ""price"") / INDEX(GOOGLEFINANCE(C38, ""price"", TODAY()-7, TODAY()), 2, 2)) - 1, """")"),"")</f>
        <v/>
      </c>
      <c r="M38" s="21" t="str">
        <f>IFERROR(__xludf.DUMMYFUNCTION("IFERROR((GOOGLEFINANCE(C38, ""price"") / INDEX(GOOGLEFINANCE(C38, ""price"", EDATE(TODAY(), -1), TODAY()), 2, 2)) - 1, """")"),"")</f>
        <v/>
      </c>
      <c r="N38" s="21" t="str">
        <f>IFERROR(__xludf.DUMMYFUNCTION("IFERROR((GOOGLEFINANCE(C38, ""price"") / INDEX(GOOGLEFINANCE(C38, ""price"", EDATE(TODAY(), -3), TODAY()), 2, 2)) - 1, """")"),"")</f>
        <v/>
      </c>
      <c r="O38" s="21" t="str">
        <f>IFERROR(__xludf.DUMMYFUNCTION("IFERROR((GOOGLEFINANCE(C38, ""price"") / INDEX(GOOGLEFINANCE(C38, ""price"", EDATE(TODAY(), -6), TODAY()), 2, 2)) - 1, """")"),"")</f>
        <v/>
      </c>
      <c r="P38" s="21" t="str">
        <f>IFERROR(__xludf.DUMMYFUNCTION("IFERROR((GOOGLEFINANCE(C38, ""price"") / INDEX(GOOGLEFINANCE(C38, ""price"", EDATE(TODAY(), -12), TODAY()), 2, 2)) - 1, """")"),"")</f>
        <v/>
      </c>
      <c r="Q38" s="6" t="str">
        <f>IFERROR(__xludf.DUMMYFUNCTION("AVERAGE(QUERY(GOOGLEFINANCE(C38, ""price"", TODAY()-80, TODAY()), ""SELECT Col2 WHERE Col2 IS NOT NULL ORDER BY Col1 DESC LIMIT 50"", 0))"),"#N/A")</f>
        <v>#N/A</v>
      </c>
      <c r="R38" s="24" t="str">
        <f>IFERROR(__xludf.DUMMYFUNCTION("IFERROR(
  LET(
    data, QUERY(GOOGLEFINANCE(C38,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GOOGLEFINANCE(C38, ""price"")) * 100,
    IF(calc=0, G38, calc)
  ), 
G38)"),"#N/A")</f>
        <v>#N/A</v>
      </c>
      <c r="S38" s="8" t="s">
        <v>15</v>
      </c>
      <c r="T38" s="26" t="str">
        <f>IFERROR(__xludf.DUMMYFUNCTION("IFERROR(TRANSPOSE(QUERY(IFERROR(SORT(GOOGLEFINANCE(C38, ""price"", WORKDAY(TODAY(), -40), TODAY()), 1, FALSE)), ""select Col2 where Col2 is not null limit 22 label Col2 ''"", 0)), """")"),"")</f>
        <v/>
      </c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8"/>
      <c r="AO38" s="28"/>
      <c r="AP38" s="29"/>
      <c r="AQ38" s="29" t="str">
        <f t="shared" ref="AQ38:BL38" si="41">T38/T$2</f>
        <v>#N/A</v>
      </c>
      <c r="AR38" s="29" t="str">
        <f t="shared" si="41"/>
        <v>#DIV/0!</v>
      </c>
      <c r="AS38" s="29" t="str">
        <f t="shared" si="41"/>
        <v>#DIV/0!</v>
      </c>
      <c r="AT38" s="29" t="str">
        <f t="shared" si="41"/>
        <v>#DIV/0!</v>
      </c>
      <c r="AU38" s="29" t="str">
        <f t="shared" si="41"/>
        <v>#DIV/0!</v>
      </c>
      <c r="AV38" s="29" t="str">
        <f t="shared" si="41"/>
        <v>#DIV/0!</v>
      </c>
      <c r="AW38" s="29" t="str">
        <f t="shared" si="41"/>
        <v>#DIV/0!</v>
      </c>
      <c r="AX38" s="29" t="str">
        <f t="shared" si="41"/>
        <v>#DIV/0!</v>
      </c>
      <c r="AY38" s="29" t="str">
        <f t="shared" si="41"/>
        <v>#DIV/0!</v>
      </c>
      <c r="AZ38" s="29" t="str">
        <f t="shared" si="41"/>
        <v>#DIV/0!</v>
      </c>
      <c r="BA38" s="29" t="str">
        <f t="shared" si="41"/>
        <v>#DIV/0!</v>
      </c>
      <c r="BB38" s="29" t="str">
        <f t="shared" si="41"/>
        <v>#DIV/0!</v>
      </c>
      <c r="BC38" s="29" t="str">
        <f t="shared" si="41"/>
        <v>#DIV/0!</v>
      </c>
      <c r="BD38" s="29" t="str">
        <f t="shared" si="41"/>
        <v>#DIV/0!</v>
      </c>
      <c r="BE38" s="29" t="str">
        <f t="shared" si="41"/>
        <v>#DIV/0!</v>
      </c>
      <c r="BF38" s="29" t="str">
        <f t="shared" si="41"/>
        <v>#DIV/0!</v>
      </c>
      <c r="BG38" s="29" t="str">
        <f t="shared" si="41"/>
        <v>#DIV/0!</v>
      </c>
      <c r="BH38" s="29" t="str">
        <f t="shared" si="41"/>
        <v>#DIV/0!</v>
      </c>
      <c r="BI38" s="29" t="str">
        <f t="shared" si="41"/>
        <v>#DIV/0!</v>
      </c>
      <c r="BJ38" s="29" t="str">
        <f t="shared" si="41"/>
        <v>#DIV/0!</v>
      </c>
      <c r="BK38" s="29" t="str">
        <f t="shared" si="41"/>
        <v>#DIV/0!</v>
      </c>
      <c r="BL38" s="29" t="str">
        <f t="shared" si="41"/>
        <v>#DIV/0!</v>
      </c>
      <c r="BM38" s="29" t="str">
        <f t="shared" si="3"/>
        <v>#DIV/0!</v>
      </c>
    </row>
    <row r="39">
      <c r="A39" s="16" t="str">
        <f>IFERROR(__xludf.DUMMYFUNCTION("IFERROR(SPARKLINE(SORT(MAP(TRANSPOSE(AQ39:BL39), LAMBDA(val, IF(ISNUMBER(val), PERCENTRANK(AQ39:BL39, val)+0.01, 0))), SEQUENCE(COLUMNS(AQ39:BL39)), FALSE), {""charttype"",""column""; ""color"",""chartreuse""; ""ymin"", 0; ""ymax"", 1.01; ""highcolor"", "&amp;"""darkgreen""; ""lowcolor"", ""red""}), """")"),"")</f>
        <v/>
      </c>
      <c r="B39" s="17" t="str">
        <f t="shared" si="4"/>
        <v/>
      </c>
      <c r="C39" s="1" t="s">
        <v>964</v>
      </c>
      <c r="D39" s="30" t="str">
        <f>IFERROR(__xludf.DUMMYFUNCTION("IFERROR(GOOGLEFINANCE(C39, ""NAME""))"),"Generac Holdings Inc")</f>
        <v>Generac Holdings Inc</v>
      </c>
      <c r="E39" s="30" t="s">
        <v>893</v>
      </c>
      <c r="F39" s="33" t="str">
        <f>IFERROR(__xludf.DUMMYFUNCTION("( (GOOGLEFINANCE(C39, ""price"") - Q39) / Q39 ) / (R39 / 100)"),"Loading...")</f>
        <v>Loading...</v>
      </c>
      <c r="G39" s="20" t="str">
        <f>IFERROR(__xludf.DUMMYFUNCTION("AVERAGE(ARRAYFORMULA(100 * (QUERY(GOOGLEFINANCE(C39, ""high"", TODAY()-40, TODAY()), ""SELECT Col2 WHERE Col2 IS NOT NULL ORDER BY Col1 DESC LIMIT 20"", 0) / QUERY(GOOGLEFINANCE(C39, ""low"", TODAY()-40, TODAY()), ""SELECT Col2 WHERE Col2 IS NOT NULL ORDE"&amp;"R BY Col1 DESC LIMIT 20"", 0) - 1)))"),"#N/A")</f>
        <v>#N/A</v>
      </c>
      <c r="H39" s="35" t="str">
        <f t="shared" si="6"/>
        <v/>
      </c>
      <c r="I39" s="35" t="str">
        <f t="shared" si="7"/>
        <v/>
      </c>
      <c r="J39" s="37" t="str">
        <f>IFERROR(__xludf.DUMMYFUNCTION("IFERROR(
  IF(C39="""",, 
    IFERROR(
      GOOGLEFINANCE(C39, ""price"") * GOOGLEFINANCE(C39, ""volumeavg""), 
      GOOGLEFINANCE(C39, ""price"") * AVERAGE(QUERY(GOOGLEFINANCE(C39, ""volume"", TODAY()-40, TODAY()), ""SELECT Col2 WHERE Col2 IS NOT NULL "&amp;"ORDER BY Col1 DESC LIMIT 20"", 0))
    )
  ), 
"""")"),"")</f>
        <v/>
      </c>
      <c r="K39" s="21" t="str">
        <f>IFERROR(__xludf.DUMMYFUNCTION("IFERROR(GOOGLEFINANCE(C39, ""changepct"") / 100, """")"),"")</f>
        <v/>
      </c>
      <c r="L39" s="21" t="str">
        <f>IFERROR(__xludf.DUMMYFUNCTION("IFERROR((GOOGLEFINANCE(C39, ""price"") / INDEX(GOOGLEFINANCE(C39, ""price"", TODAY()-7, TODAY()), 2, 2)) - 1, """")"),"")</f>
        <v/>
      </c>
      <c r="M39" s="21" t="str">
        <f>IFERROR(__xludf.DUMMYFUNCTION("IFERROR((GOOGLEFINANCE(C39, ""price"") / INDEX(GOOGLEFINANCE(C39, ""price"", EDATE(TODAY(), -1), TODAY()), 2, 2)) - 1, """")"),"")</f>
        <v/>
      </c>
      <c r="N39" s="21" t="str">
        <f>IFERROR(__xludf.DUMMYFUNCTION("IFERROR((GOOGLEFINANCE(C39, ""price"") / INDEX(GOOGLEFINANCE(C39, ""price"", EDATE(TODAY(), -3), TODAY()), 2, 2)) - 1, """")"),"")</f>
        <v/>
      </c>
      <c r="O39" s="21" t="str">
        <f>IFERROR(__xludf.DUMMYFUNCTION("IFERROR((GOOGLEFINANCE(C39, ""price"") / INDEX(GOOGLEFINANCE(C39, ""price"", EDATE(TODAY(), -6), TODAY()), 2, 2)) - 1, """")"),"")</f>
        <v/>
      </c>
      <c r="P39" s="21" t="str">
        <f>IFERROR(__xludf.DUMMYFUNCTION("IFERROR((GOOGLEFINANCE(C39, ""price"") / INDEX(GOOGLEFINANCE(C39, ""price"", EDATE(TODAY(), -12), TODAY()), 2, 2)) - 1, """")"),"")</f>
        <v/>
      </c>
      <c r="Q39" s="6" t="str">
        <f>IFERROR(__xludf.DUMMYFUNCTION("AVERAGE(QUERY(GOOGLEFINANCE(C39, ""price"", TODAY()-80, TODAY()), ""SELECT Col2 WHERE Col2 IS NOT NULL ORDER BY Col1 DESC LIMIT 50"", 0))"),"#N/A")</f>
        <v>#N/A</v>
      </c>
      <c r="R39" s="24" t="str">
        <f>IFERROR(__xludf.DUMMYFUNCTION("IFERROR(
  LET(
    data, QUERY(GOOGLEFINANCE(C39,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GOOGLEFINANCE(C39, ""price"")) * 100,
    IF(calc=0, G39, calc)
  ), 
G39)"),"#N/A")</f>
        <v>#N/A</v>
      </c>
      <c r="S39" s="8" t="s">
        <v>15</v>
      </c>
      <c r="T39" s="26" t="str">
        <f>IFERROR(__xludf.DUMMYFUNCTION("IFERROR(TRANSPOSE(QUERY(IFERROR(SORT(GOOGLEFINANCE(C39, ""price"", WORKDAY(TODAY(), -40), TODAY()), 1, FALSE)), ""select Col2 where Col2 is not null limit 22 label Col2 ''"", 0)), """")"),"")</f>
        <v/>
      </c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8"/>
      <c r="AO39" s="28"/>
      <c r="AP39" s="29"/>
      <c r="AQ39" s="29" t="str">
        <f t="shared" ref="AQ39:BL39" si="42">T39/T$2</f>
        <v>#N/A</v>
      </c>
      <c r="AR39" s="29" t="str">
        <f t="shared" si="42"/>
        <v>#DIV/0!</v>
      </c>
      <c r="AS39" s="29" t="str">
        <f t="shared" si="42"/>
        <v>#DIV/0!</v>
      </c>
      <c r="AT39" s="29" t="str">
        <f t="shared" si="42"/>
        <v>#DIV/0!</v>
      </c>
      <c r="AU39" s="29" t="str">
        <f t="shared" si="42"/>
        <v>#DIV/0!</v>
      </c>
      <c r="AV39" s="29" t="str">
        <f t="shared" si="42"/>
        <v>#DIV/0!</v>
      </c>
      <c r="AW39" s="29" t="str">
        <f t="shared" si="42"/>
        <v>#DIV/0!</v>
      </c>
      <c r="AX39" s="29" t="str">
        <f t="shared" si="42"/>
        <v>#DIV/0!</v>
      </c>
      <c r="AY39" s="29" t="str">
        <f t="shared" si="42"/>
        <v>#DIV/0!</v>
      </c>
      <c r="AZ39" s="29" t="str">
        <f t="shared" si="42"/>
        <v>#DIV/0!</v>
      </c>
      <c r="BA39" s="29" t="str">
        <f t="shared" si="42"/>
        <v>#DIV/0!</v>
      </c>
      <c r="BB39" s="29" t="str">
        <f t="shared" si="42"/>
        <v>#DIV/0!</v>
      </c>
      <c r="BC39" s="29" t="str">
        <f t="shared" si="42"/>
        <v>#DIV/0!</v>
      </c>
      <c r="BD39" s="29" t="str">
        <f t="shared" si="42"/>
        <v>#DIV/0!</v>
      </c>
      <c r="BE39" s="29" t="str">
        <f t="shared" si="42"/>
        <v>#DIV/0!</v>
      </c>
      <c r="BF39" s="29" t="str">
        <f t="shared" si="42"/>
        <v>#DIV/0!</v>
      </c>
      <c r="BG39" s="29" t="str">
        <f t="shared" si="42"/>
        <v>#DIV/0!</v>
      </c>
      <c r="BH39" s="29" t="str">
        <f t="shared" si="42"/>
        <v>#DIV/0!</v>
      </c>
      <c r="BI39" s="29" t="str">
        <f t="shared" si="42"/>
        <v>#DIV/0!</v>
      </c>
      <c r="BJ39" s="29" t="str">
        <f t="shared" si="42"/>
        <v>#DIV/0!</v>
      </c>
      <c r="BK39" s="29" t="str">
        <f t="shared" si="42"/>
        <v>#DIV/0!</v>
      </c>
      <c r="BL39" s="29" t="str">
        <f t="shared" si="42"/>
        <v>#DIV/0!</v>
      </c>
      <c r="BM39" s="29" t="str">
        <f t="shared" si="3"/>
        <v>#DIV/0!</v>
      </c>
    </row>
    <row r="40">
      <c r="A40" s="16" t="str">
        <f>IFERROR(__xludf.DUMMYFUNCTION("IFERROR(SPARKLINE(SORT(MAP(TRANSPOSE(AQ40:BL40), LAMBDA(val, IF(ISNUMBER(val), PERCENTRANK(AQ40:BL40, val)+0.01, 0))), SEQUENCE(COLUMNS(AQ40:BL40)), FALSE), {""charttype"",""column""; ""color"",""chartreuse""; ""ymin"", 0; ""ymax"", 1.01; ""highcolor"", "&amp;"""darkgreen""; ""lowcolor"", ""red""}), """")"),"")</f>
        <v/>
      </c>
      <c r="B40" s="17" t="str">
        <f t="shared" si="4"/>
        <v/>
      </c>
      <c r="C40" s="1" t="s">
        <v>967</v>
      </c>
      <c r="D40" s="30" t="str">
        <f>IFERROR(__xludf.DUMMYFUNCTION("IFERROR(GOOGLEFINANCE(C40, ""NAME""))"),"Aaon Inc")</f>
        <v>Aaon Inc</v>
      </c>
      <c r="E40" s="30" t="s">
        <v>968</v>
      </c>
      <c r="F40" s="33" t="str">
        <f>IFERROR(__xludf.DUMMYFUNCTION("( (GOOGLEFINANCE(C40, ""price"") - Q40) / Q40 ) / (R40 / 100)"),"Loading...")</f>
        <v>Loading...</v>
      </c>
      <c r="G40" s="20" t="str">
        <f>IFERROR(__xludf.DUMMYFUNCTION("AVERAGE(ARRAYFORMULA(100 * (QUERY(GOOGLEFINANCE(C40, ""high"", TODAY()-40, TODAY()), ""SELECT Col2 WHERE Col2 IS NOT NULL ORDER BY Col1 DESC LIMIT 20"", 0) / QUERY(GOOGLEFINANCE(C40, ""low"", TODAY()-40, TODAY()), ""SELECT Col2 WHERE Col2 IS NOT NULL ORDE"&amp;"R BY Col1 DESC LIMIT 20"", 0) - 1)))"),"#N/A")</f>
        <v>#N/A</v>
      </c>
      <c r="H40" s="35" t="str">
        <f t="shared" si="6"/>
        <v/>
      </c>
      <c r="I40" s="35" t="str">
        <f t="shared" si="7"/>
        <v/>
      </c>
      <c r="J40" s="37" t="str">
        <f>IFERROR(__xludf.DUMMYFUNCTION("IFERROR(
  IF(C40="""",, 
    IFERROR(
      GOOGLEFINANCE(C40, ""price"") * GOOGLEFINANCE(C40, ""volumeavg""), 
      GOOGLEFINANCE(C40, ""price"") * AVERAGE(QUERY(GOOGLEFINANCE(C40, ""volume"", TODAY()-40, TODAY()), ""SELECT Col2 WHERE Col2 IS NOT NULL "&amp;"ORDER BY Col1 DESC LIMIT 20"", 0))
    )
  ), 
"""")"),"")</f>
        <v/>
      </c>
      <c r="K40" s="21" t="str">
        <f>IFERROR(__xludf.DUMMYFUNCTION("IFERROR(GOOGLEFINANCE(C40, ""changepct"") / 100, """")"),"")</f>
        <v/>
      </c>
      <c r="L40" s="21" t="str">
        <f>IFERROR(__xludf.DUMMYFUNCTION("IFERROR((GOOGLEFINANCE(C40, ""price"") / INDEX(GOOGLEFINANCE(C40, ""price"", TODAY()-7, TODAY()), 2, 2)) - 1, """")"),"")</f>
        <v/>
      </c>
      <c r="M40" s="21" t="str">
        <f>IFERROR(__xludf.DUMMYFUNCTION("IFERROR((GOOGLEFINANCE(C40, ""price"") / INDEX(GOOGLEFINANCE(C40, ""price"", EDATE(TODAY(), -1), TODAY()), 2, 2)) - 1, """")"),"")</f>
        <v/>
      </c>
      <c r="N40" s="21" t="str">
        <f>IFERROR(__xludf.DUMMYFUNCTION("IFERROR((GOOGLEFINANCE(C40, ""price"") / INDEX(GOOGLEFINANCE(C40, ""price"", EDATE(TODAY(), -3), TODAY()), 2, 2)) - 1, """")"),"")</f>
        <v/>
      </c>
      <c r="O40" s="21" t="str">
        <f>IFERROR(__xludf.DUMMYFUNCTION("IFERROR((GOOGLEFINANCE(C40, ""price"") / INDEX(GOOGLEFINANCE(C40, ""price"", EDATE(TODAY(), -6), TODAY()), 2, 2)) - 1, """")"),"")</f>
        <v/>
      </c>
      <c r="P40" s="21" t="str">
        <f>IFERROR(__xludf.DUMMYFUNCTION("IFERROR((GOOGLEFINANCE(C40, ""price"") / INDEX(GOOGLEFINANCE(C40, ""price"", EDATE(TODAY(), -12), TODAY()), 2, 2)) - 1, """")"),"")</f>
        <v/>
      </c>
      <c r="Q40" s="6" t="str">
        <f>IFERROR(__xludf.DUMMYFUNCTION("AVERAGE(QUERY(GOOGLEFINANCE(C40, ""price"", TODAY()-80, TODAY()), ""SELECT Col2 WHERE Col2 IS NOT NULL ORDER BY Col1 DESC LIMIT 50"", 0))"),"#N/A")</f>
        <v>#N/A</v>
      </c>
      <c r="R40" s="24" t="str">
        <f>IFERROR(__xludf.DUMMYFUNCTION("IFERROR(
  LET(
    data, QUERY(GOOGLEFINANCE(C40,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GOOGLEFINANCE(C40, ""price"")) * 100,
    IF(calc=0, G40, calc)
  ), 
G40)"),"#N/A")</f>
        <v>#N/A</v>
      </c>
      <c r="S40" s="8" t="s">
        <v>15</v>
      </c>
      <c r="T40" s="26" t="str">
        <f>IFERROR(__xludf.DUMMYFUNCTION("IFERROR(TRANSPOSE(QUERY(IFERROR(SORT(GOOGLEFINANCE(C40, ""price"", WORKDAY(TODAY(), -40), TODAY()), 1, FALSE)), ""select Col2 where Col2 is not null limit 22 label Col2 ''"", 0)), """")"),"")</f>
        <v/>
      </c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8"/>
      <c r="AO40" s="28"/>
      <c r="AP40" s="29"/>
      <c r="AQ40" s="29" t="str">
        <f t="shared" ref="AQ40:BL40" si="43">T40/T$2</f>
        <v>#N/A</v>
      </c>
      <c r="AR40" s="29" t="str">
        <f t="shared" si="43"/>
        <v>#DIV/0!</v>
      </c>
      <c r="AS40" s="29" t="str">
        <f t="shared" si="43"/>
        <v>#DIV/0!</v>
      </c>
      <c r="AT40" s="29" t="str">
        <f t="shared" si="43"/>
        <v>#DIV/0!</v>
      </c>
      <c r="AU40" s="29" t="str">
        <f t="shared" si="43"/>
        <v>#DIV/0!</v>
      </c>
      <c r="AV40" s="29" t="str">
        <f t="shared" si="43"/>
        <v>#DIV/0!</v>
      </c>
      <c r="AW40" s="29" t="str">
        <f t="shared" si="43"/>
        <v>#DIV/0!</v>
      </c>
      <c r="AX40" s="29" t="str">
        <f t="shared" si="43"/>
        <v>#DIV/0!</v>
      </c>
      <c r="AY40" s="29" t="str">
        <f t="shared" si="43"/>
        <v>#DIV/0!</v>
      </c>
      <c r="AZ40" s="29" t="str">
        <f t="shared" si="43"/>
        <v>#DIV/0!</v>
      </c>
      <c r="BA40" s="29" t="str">
        <f t="shared" si="43"/>
        <v>#DIV/0!</v>
      </c>
      <c r="BB40" s="29" t="str">
        <f t="shared" si="43"/>
        <v>#DIV/0!</v>
      </c>
      <c r="BC40" s="29" t="str">
        <f t="shared" si="43"/>
        <v>#DIV/0!</v>
      </c>
      <c r="BD40" s="29" t="str">
        <f t="shared" si="43"/>
        <v>#DIV/0!</v>
      </c>
      <c r="BE40" s="29" t="str">
        <f t="shared" si="43"/>
        <v>#DIV/0!</v>
      </c>
      <c r="BF40" s="29" t="str">
        <f t="shared" si="43"/>
        <v>#DIV/0!</v>
      </c>
      <c r="BG40" s="29" t="str">
        <f t="shared" si="43"/>
        <v>#DIV/0!</v>
      </c>
      <c r="BH40" s="29" t="str">
        <f t="shared" si="43"/>
        <v>#DIV/0!</v>
      </c>
      <c r="BI40" s="29" t="str">
        <f t="shared" si="43"/>
        <v>#DIV/0!</v>
      </c>
      <c r="BJ40" s="29" t="str">
        <f t="shared" si="43"/>
        <v>#DIV/0!</v>
      </c>
      <c r="BK40" s="29" t="str">
        <f t="shared" si="43"/>
        <v>#DIV/0!</v>
      </c>
      <c r="BL40" s="29" t="str">
        <f t="shared" si="43"/>
        <v>#DIV/0!</v>
      </c>
      <c r="BM40" s="29" t="str">
        <f t="shared" si="3"/>
        <v>#DIV/0!</v>
      </c>
    </row>
    <row r="41">
      <c r="A41" s="16" t="str">
        <f>IFERROR(__xludf.DUMMYFUNCTION("IFERROR(SPARKLINE(SORT(MAP(TRANSPOSE(AQ41:BL41), LAMBDA(val, IF(ISNUMBER(val), PERCENTRANK(AQ41:BL41, val)+0.01, 0))), SEQUENCE(COLUMNS(AQ41:BL41)), FALSE), {""charttype"",""column""; ""color"",""chartreuse""; ""ymin"", 0; ""ymax"", 1.01; ""highcolor"", "&amp;"""darkgreen""; ""lowcolor"", ""red""}), """")"),"")</f>
        <v/>
      </c>
      <c r="B41" s="17" t="str">
        <f t="shared" si="4"/>
        <v/>
      </c>
      <c r="C41" s="1" t="s">
        <v>971</v>
      </c>
      <c r="D41" s="30" t="str">
        <f>IFERROR(__xludf.DUMMYFUNCTION("IFERROR(GOOGLEFINANCE(C41, ""NAME""))"),"Comfort Systems USA Inc")</f>
        <v>Comfort Systems USA Inc</v>
      </c>
      <c r="E41" s="30" t="s">
        <v>856</v>
      </c>
      <c r="F41" s="33" t="str">
        <f>IFERROR(__xludf.DUMMYFUNCTION("( (GOOGLEFINANCE(C41, ""price"") - Q41) / Q41 ) / (R41 / 100)"),"Loading...")</f>
        <v>Loading...</v>
      </c>
      <c r="G41" s="20" t="str">
        <f>IFERROR(__xludf.DUMMYFUNCTION("AVERAGE(ARRAYFORMULA(100 * (QUERY(GOOGLEFINANCE(C41, ""high"", TODAY()-40, TODAY()), ""SELECT Col2 WHERE Col2 IS NOT NULL ORDER BY Col1 DESC LIMIT 20"", 0) / QUERY(GOOGLEFINANCE(C41, ""low"", TODAY()-40, TODAY()), ""SELECT Col2 WHERE Col2 IS NOT NULL ORDE"&amp;"R BY Col1 DESC LIMIT 20"", 0) - 1)))"),"#N/A")</f>
        <v>#N/A</v>
      </c>
      <c r="H41" s="35" t="str">
        <f t="shared" si="6"/>
        <v/>
      </c>
      <c r="I41" s="35" t="str">
        <f t="shared" si="7"/>
        <v/>
      </c>
      <c r="J41" s="37" t="str">
        <f>IFERROR(__xludf.DUMMYFUNCTION("IFERROR(
  IF(C41="""",, 
    IFERROR(
      GOOGLEFINANCE(C41, ""price"") * GOOGLEFINANCE(C41, ""volumeavg""), 
      GOOGLEFINANCE(C41, ""price"") * AVERAGE(QUERY(GOOGLEFINANCE(C41, ""volume"", TODAY()-40, TODAY()), ""SELECT Col2 WHERE Col2 IS NOT NULL "&amp;"ORDER BY Col1 DESC LIMIT 20"", 0))
    )
  ), 
"""")"),"")</f>
        <v/>
      </c>
      <c r="K41" s="21" t="str">
        <f>IFERROR(__xludf.DUMMYFUNCTION("IFERROR(GOOGLEFINANCE(C41, ""changepct"") / 100, """")"),"")</f>
        <v/>
      </c>
      <c r="L41" s="21" t="str">
        <f>IFERROR(__xludf.DUMMYFUNCTION("IFERROR((GOOGLEFINANCE(C41, ""price"") / INDEX(GOOGLEFINANCE(C41, ""price"", TODAY()-7, TODAY()), 2, 2)) - 1, """")"),"")</f>
        <v/>
      </c>
      <c r="M41" s="21" t="str">
        <f>IFERROR(__xludf.DUMMYFUNCTION("IFERROR((GOOGLEFINANCE(C41, ""price"") / INDEX(GOOGLEFINANCE(C41, ""price"", EDATE(TODAY(), -1), TODAY()), 2, 2)) - 1, """")"),"")</f>
        <v/>
      </c>
      <c r="N41" s="21" t="str">
        <f>IFERROR(__xludf.DUMMYFUNCTION("IFERROR((GOOGLEFINANCE(C41, ""price"") / INDEX(GOOGLEFINANCE(C41, ""price"", EDATE(TODAY(), -3), TODAY()), 2, 2)) - 1, """")"),"")</f>
        <v/>
      </c>
      <c r="O41" s="21" t="str">
        <f>IFERROR(__xludf.DUMMYFUNCTION("IFERROR((GOOGLEFINANCE(C41, ""price"") / INDEX(GOOGLEFINANCE(C41, ""price"", EDATE(TODAY(), -6), TODAY()), 2, 2)) - 1, """")"),"")</f>
        <v/>
      </c>
      <c r="P41" s="21" t="str">
        <f>IFERROR(__xludf.DUMMYFUNCTION("IFERROR((GOOGLEFINANCE(C41, ""price"") / INDEX(GOOGLEFINANCE(C41, ""price"", EDATE(TODAY(), -12), TODAY()), 2, 2)) - 1, """")"),"")</f>
        <v/>
      </c>
      <c r="Q41" s="6" t="str">
        <f>IFERROR(__xludf.DUMMYFUNCTION("AVERAGE(QUERY(GOOGLEFINANCE(C41, ""price"", TODAY()-80, TODAY()), ""SELECT Col2 WHERE Col2 IS NOT NULL ORDER BY Col1 DESC LIMIT 50"", 0))"),"#N/A")</f>
        <v>#N/A</v>
      </c>
      <c r="R41" s="24" t="str">
        <f>IFERROR(__xludf.DUMMYFUNCTION("IFERROR(
  LET(
    data, QUERY(GOOGLEFINANCE(C41,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GOOGLEFINANCE(C41, ""price"")) * 100,
    IF(calc=0, G41, calc)
  ), 
G41)"),"#N/A")</f>
        <v>#N/A</v>
      </c>
      <c r="S41" s="8" t="s">
        <v>15</v>
      </c>
      <c r="T41" s="26" t="str">
        <f>IFERROR(__xludf.DUMMYFUNCTION("IFERROR(TRANSPOSE(QUERY(IFERROR(SORT(GOOGLEFINANCE(C41, ""price"", WORKDAY(TODAY(), -40), TODAY()), 1, FALSE)), ""select Col2 where Col2 is not null limit 22 label Col2 ''"", 0)), """")"),"")</f>
        <v/>
      </c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8"/>
      <c r="AO41" s="28"/>
      <c r="AP41" s="29"/>
      <c r="AQ41" s="29" t="str">
        <f t="shared" ref="AQ41:BL41" si="44">T41/T$2</f>
        <v>#N/A</v>
      </c>
      <c r="AR41" s="29" t="str">
        <f t="shared" si="44"/>
        <v>#DIV/0!</v>
      </c>
      <c r="AS41" s="29" t="str">
        <f t="shared" si="44"/>
        <v>#DIV/0!</v>
      </c>
      <c r="AT41" s="29" t="str">
        <f t="shared" si="44"/>
        <v>#DIV/0!</v>
      </c>
      <c r="AU41" s="29" t="str">
        <f t="shared" si="44"/>
        <v>#DIV/0!</v>
      </c>
      <c r="AV41" s="29" t="str">
        <f t="shared" si="44"/>
        <v>#DIV/0!</v>
      </c>
      <c r="AW41" s="29" t="str">
        <f t="shared" si="44"/>
        <v>#DIV/0!</v>
      </c>
      <c r="AX41" s="29" t="str">
        <f t="shared" si="44"/>
        <v>#DIV/0!</v>
      </c>
      <c r="AY41" s="29" t="str">
        <f t="shared" si="44"/>
        <v>#DIV/0!</v>
      </c>
      <c r="AZ41" s="29" t="str">
        <f t="shared" si="44"/>
        <v>#DIV/0!</v>
      </c>
      <c r="BA41" s="29" t="str">
        <f t="shared" si="44"/>
        <v>#DIV/0!</v>
      </c>
      <c r="BB41" s="29" t="str">
        <f t="shared" si="44"/>
        <v>#DIV/0!</v>
      </c>
      <c r="BC41" s="29" t="str">
        <f t="shared" si="44"/>
        <v>#DIV/0!</v>
      </c>
      <c r="BD41" s="29" t="str">
        <f t="shared" si="44"/>
        <v>#DIV/0!</v>
      </c>
      <c r="BE41" s="29" t="str">
        <f t="shared" si="44"/>
        <v>#DIV/0!</v>
      </c>
      <c r="BF41" s="29" t="str">
        <f t="shared" si="44"/>
        <v>#DIV/0!</v>
      </c>
      <c r="BG41" s="29" t="str">
        <f t="shared" si="44"/>
        <v>#DIV/0!</v>
      </c>
      <c r="BH41" s="29" t="str">
        <f t="shared" si="44"/>
        <v>#DIV/0!</v>
      </c>
      <c r="BI41" s="29" t="str">
        <f t="shared" si="44"/>
        <v>#DIV/0!</v>
      </c>
      <c r="BJ41" s="29" t="str">
        <f t="shared" si="44"/>
        <v>#DIV/0!</v>
      </c>
      <c r="BK41" s="29" t="str">
        <f t="shared" si="44"/>
        <v>#DIV/0!</v>
      </c>
      <c r="BL41" s="29" t="str">
        <f t="shared" si="44"/>
        <v>#DIV/0!</v>
      </c>
      <c r="BM41" s="29" t="str">
        <f t="shared" si="3"/>
        <v>#DIV/0!</v>
      </c>
    </row>
    <row r="42">
      <c r="A42" s="16" t="str">
        <f>IFERROR(__xludf.DUMMYFUNCTION("IFERROR(SPARKLINE(SORT(MAP(TRANSPOSE(AQ42:BL42), LAMBDA(val, IF(ISNUMBER(val), PERCENTRANK(AQ42:BL42, val)+0.01, 0))), SEQUENCE(COLUMNS(AQ42:BL42)), FALSE), {""charttype"",""column""; ""color"",""chartreuse""; ""ymin"", 0; ""ymax"", 1.01; ""highcolor"", "&amp;"""darkgreen""; ""lowcolor"", ""red""}), """")"),"")</f>
        <v/>
      </c>
      <c r="B42" s="17" t="str">
        <f t="shared" si="4"/>
        <v/>
      </c>
      <c r="C42" s="1" t="s">
        <v>974</v>
      </c>
      <c r="D42" s="30" t="str">
        <f>IFERROR(__xludf.DUMMYFUNCTION("IFERROR(GOOGLEFINANCE(C42, ""NAME""))"),"T1 Energy Inc")</f>
        <v>T1 Energy Inc</v>
      </c>
      <c r="E42" s="30" t="s">
        <v>864</v>
      </c>
      <c r="F42" s="33" t="str">
        <f>IFERROR(__xludf.DUMMYFUNCTION("( (GOOGLEFINANCE(C42, ""price"") - Q42) / Q42 ) / (R42 / 100)"),"Loading...")</f>
        <v>Loading...</v>
      </c>
      <c r="G42" s="20" t="str">
        <f>IFERROR(__xludf.DUMMYFUNCTION("AVERAGE(ARRAYFORMULA(100 * (QUERY(GOOGLEFINANCE(C42, ""high"", TODAY()-40, TODAY()), ""SELECT Col2 WHERE Col2 IS NOT NULL ORDER BY Col1 DESC LIMIT 20"", 0) / QUERY(GOOGLEFINANCE(C42, ""low"", TODAY()-40, TODAY()), ""SELECT Col2 WHERE Col2 IS NOT NULL ORDE"&amp;"R BY Col1 DESC LIMIT 20"", 0) - 1)))"),"#N/A")</f>
        <v>#N/A</v>
      </c>
      <c r="H42" s="35" t="str">
        <f t="shared" si="6"/>
        <v/>
      </c>
      <c r="I42" s="35" t="str">
        <f t="shared" si="7"/>
        <v/>
      </c>
      <c r="J42" s="37" t="str">
        <f>IFERROR(__xludf.DUMMYFUNCTION("IFERROR(
  IF(C42="""",, 
    IFERROR(
      GOOGLEFINANCE(C42, ""price"") * GOOGLEFINANCE(C42, ""volumeavg""), 
      GOOGLEFINANCE(C42, ""price"") * AVERAGE(QUERY(GOOGLEFINANCE(C42, ""volume"", TODAY()-40, TODAY()), ""SELECT Col2 WHERE Col2 IS NOT NULL "&amp;"ORDER BY Col1 DESC LIMIT 20"", 0))
    )
  ), 
"""")"),"")</f>
        <v/>
      </c>
      <c r="K42" s="21" t="str">
        <f>IFERROR(__xludf.DUMMYFUNCTION("IFERROR(GOOGLEFINANCE(C42, ""changepct"") / 100, """")"),"")</f>
        <v/>
      </c>
      <c r="L42" s="21" t="str">
        <f>IFERROR(__xludf.DUMMYFUNCTION("IFERROR((GOOGLEFINANCE(C42, ""price"") / INDEX(GOOGLEFINANCE(C42, ""price"", TODAY()-7, TODAY()), 2, 2)) - 1, """")"),"")</f>
        <v/>
      </c>
      <c r="M42" s="21" t="str">
        <f>IFERROR(__xludf.DUMMYFUNCTION("IFERROR((GOOGLEFINANCE(C42, ""price"") / INDEX(GOOGLEFINANCE(C42, ""price"", EDATE(TODAY(), -1), TODAY()), 2, 2)) - 1, """")"),"")</f>
        <v/>
      </c>
      <c r="N42" s="21" t="str">
        <f>IFERROR(__xludf.DUMMYFUNCTION("IFERROR((GOOGLEFINANCE(C42, ""price"") / INDEX(GOOGLEFINANCE(C42, ""price"", EDATE(TODAY(), -3), TODAY()), 2, 2)) - 1, """")"),"")</f>
        <v/>
      </c>
      <c r="O42" s="21" t="str">
        <f>IFERROR(__xludf.DUMMYFUNCTION("IFERROR((GOOGLEFINANCE(C42, ""price"") / INDEX(GOOGLEFINANCE(C42, ""price"", EDATE(TODAY(), -6), TODAY()), 2, 2)) - 1, """")"),"")</f>
        <v/>
      </c>
      <c r="P42" s="21" t="str">
        <f>IFERROR(__xludf.DUMMYFUNCTION("IFERROR((GOOGLEFINANCE(C42, ""price"") / INDEX(GOOGLEFINANCE(C42, ""price"", EDATE(TODAY(), -12), TODAY()), 2, 2)) - 1, """")"),"")</f>
        <v/>
      </c>
      <c r="Q42" s="6" t="str">
        <f>IFERROR(__xludf.DUMMYFUNCTION("AVERAGE(QUERY(GOOGLEFINANCE(C42, ""price"", TODAY()-80, TODAY()), ""SELECT Col2 WHERE Col2 IS NOT NULL ORDER BY Col1 DESC LIMIT 50"", 0))"),"#N/A")</f>
        <v>#N/A</v>
      </c>
      <c r="R42" s="24" t="str">
        <f>IFERROR(__xludf.DUMMYFUNCTION("IFERROR(
  LET(
    data, QUERY(GOOGLEFINANCE(C42,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GOOGLEFINANCE(C42, ""price"")) * 100,
    IF(calc=0, G42, calc)
  ), 
G42)"),"#N/A")</f>
        <v>#N/A</v>
      </c>
      <c r="S42" s="8" t="s">
        <v>15</v>
      </c>
      <c r="T42" s="26" t="str">
        <f>IFERROR(__xludf.DUMMYFUNCTION("IFERROR(TRANSPOSE(QUERY(IFERROR(SORT(GOOGLEFINANCE(C42, ""price"", WORKDAY(TODAY(), -40), TODAY()), 1, FALSE)), ""select Col2 where Col2 is not null limit 22 label Col2 ''"", 0)), """")"),"")</f>
        <v/>
      </c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8"/>
      <c r="AO42" s="28"/>
      <c r="AP42" s="29"/>
      <c r="AQ42" s="29" t="str">
        <f t="shared" ref="AQ42:BL42" si="45">T42/T$2</f>
        <v>#N/A</v>
      </c>
      <c r="AR42" s="29" t="str">
        <f t="shared" si="45"/>
        <v>#DIV/0!</v>
      </c>
      <c r="AS42" s="29" t="str">
        <f t="shared" si="45"/>
        <v>#DIV/0!</v>
      </c>
      <c r="AT42" s="29" t="str">
        <f t="shared" si="45"/>
        <v>#DIV/0!</v>
      </c>
      <c r="AU42" s="29" t="str">
        <f t="shared" si="45"/>
        <v>#DIV/0!</v>
      </c>
      <c r="AV42" s="29" t="str">
        <f t="shared" si="45"/>
        <v>#DIV/0!</v>
      </c>
      <c r="AW42" s="29" t="str">
        <f t="shared" si="45"/>
        <v>#DIV/0!</v>
      </c>
      <c r="AX42" s="29" t="str">
        <f t="shared" si="45"/>
        <v>#DIV/0!</v>
      </c>
      <c r="AY42" s="29" t="str">
        <f t="shared" si="45"/>
        <v>#DIV/0!</v>
      </c>
      <c r="AZ42" s="29" t="str">
        <f t="shared" si="45"/>
        <v>#DIV/0!</v>
      </c>
      <c r="BA42" s="29" t="str">
        <f t="shared" si="45"/>
        <v>#DIV/0!</v>
      </c>
      <c r="BB42" s="29" t="str">
        <f t="shared" si="45"/>
        <v>#DIV/0!</v>
      </c>
      <c r="BC42" s="29" t="str">
        <f t="shared" si="45"/>
        <v>#DIV/0!</v>
      </c>
      <c r="BD42" s="29" t="str">
        <f t="shared" si="45"/>
        <v>#DIV/0!</v>
      </c>
      <c r="BE42" s="29" t="str">
        <f t="shared" si="45"/>
        <v>#DIV/0!</v>
      </c>
      <c r="BF42" s="29" t="str">
        <f t="shared" si="45"/>
        <v>#DIV/0!</v>
      </c>
      <c r="BG42" s="29" t="str">
        <f t="shared" si="45"/>
        <v>#DIV/0!</v>
      </c>
      <c r="BH42" s="29" t="str">
        <f t="shared" si="45"/>
        <v>#DIV/0!</v>
      </c>
      <c r="BI42" s="29" t="str">
        <f t="shared" si="45"/>
        <v>#DIV/0!</v>
      </c>
      <c r="BJ42" s="29" t="str">
        <f t="shared" si="45"/>
        <v>#DIV/0!</v>
      </c>
      <c r="BK42" s="29" t="str">
        <f t="shared" si="45"/>
        <v>#DIV/0!</v>
      </c>
      <c r="BL42" s="29" t="str">
        <f t="shared" si="45"/>
        <v>#DIV/0!</v>
      </c>
      <c r="BM42" s="29" t="str">
        <f t="shared" si="3"/>
        <v>#DIV/0!</v>
      </c>
    </row>
    <row r="43">
      <c r="A43" s="16" t="str">
        <f>IFERROR(__xludf.DUMMYFUNCTION("IFERROR(SPARKLINE(SORT(MAP(TRANSPOSE(AQ43:BL43), LAMBDA(val, IF(ISNUMBER(val), PERCENTRANK(AQ43:BL43, val)+0.01, 0))), SEQUENCE(COLUMNS(AQ43:BL43)), FALSE), {""charttype"",""column""; ""color"",""chartreuse""; ""ymin"", 0; ""ymax"", 1.01; ""highcolor"", "&amp;"""darkgreen""; ""lowcolor"", ""red""}), """")"),"")</f>
        <v/>
      </c>
      <c r="B43" s="17" t="str">
        <f t="shared" si="4"/>
        <v/>
      </c>
      <c r="C43" s="1" t="s">
        <v>977</v>
      </c>
      <c r="D43" s="30" t="str">
        <f>IFERROR(__xludf.DUMMYFUNCTION("IFERROR(GOOGLEFINANCE(C43, ""NAME""))"),"Sterling Infrastructure Inc")</f>
        <v>Sterling Infrastructure Inc</v>
      </c>
      <c r="E43" s="30" t="s">
        <v>856</v>
      </c>
      <c r="F43" s="33" t="str">
        <f>IFERROR(__xludf.DUMMYFUNCTION("( (GOOGLEFINANCE(C43, ""price"") - Q43) / Q43 ) / (R43 / 100)"),"Loading...")</f>
        <v>Loading...</v>
      </c>
      <c r="G43" s="20" t="str">
        <f>IFERROR(__xludf.DUMMYFUNCTION("AVERAGE(ARRAYFORMULA(100 * (QUERY(GOOGLEFINANCE(C43, ""high"", TODAY()-40, TODAY()), ""SELECT Col2 WHERE Col2 IS NOT NULL ORDER BY Col1 DESC LIMIT 20"", 0) / QUERY(GOOGLEFINANCE(C43, ""low"", TODAY()-40, TODAY()), ""SELECT Col2 WHERE Col2 IS NOT NULL ORDE"&amp;"R BY Col1 DESC LIMIT 20"", 0) - 1)))"),"#N/A")</f>
        <v>#N/A</v>
      </c>
      <c r="H43" s="35" t="str">
        <f t="shared" si="6"/>
        <v/>
      </c>
      <c r="I43" s="35" t="str">
        <f t="shared" si="7"/>
        <v/>
      </c>
      <c r="J43" s="37" t="str">
        <f>IFERROR(__xludf.DUMMYFUNCTION("IFERROR(
  IF(C43="""",, 
    IFERROR(
      GOOGLEFINANCE(C43, ""price"") * GOOGLEFINANCE(C43, ""volumeavg""), 
      GOOGLEFINANCE(C43, ""price"") * AVERAGE(QUERY(GOOGLEFINANCE(C43, ""volume"", TODAY()-40, TODAY()), ""SELECT Col2 WHERE Col2 IS NOT NULL "&amp;"ORDER BY Col1 DESC LIMIT 20"", 0))
    )
  ), 
"""")"),"")</f>
        <v/>
      </c>
      <c r="K43" s="21" t="str">
        <f>IFERROR(__xludf.DUMMYFUNCTION("IFERROR(GOOGLEFINANCE(C43, ""changepct"") / 100, """")"),"")</f>
        <v/>
      </c>
      <c r="L43" s="21" t="str">
        <f>IFERROR(__xludf.DUMMYFUNCTION("IFERROR((GOOGLEFINANCE(C43, ""price"") / INDEX(GOOGLEFINANCE(C43, ""price"", TODAY()-7, TODAY()), 2, 2)) - 1, """")"),"")</f>
        <v/>
      </c>
      <c r="M43" s="21" t="str">
        <f>IFERROR(__xludf.DUMMYFUNCTION("IFERROR((GOOGLEFINANCE(C43, ""price"") / INDEX(GOOGLEFINANCE(C43, ""price"", EDATE(TODAY(), -1), TODAY()), 2, 2)) - 1, """")"),"")</f>
        <v/>
      </c>
      <c r="N43" s="21" t="str">
        <f>IFERROR(__xludf.DUMMYFUNCTION("IFERROR((GOOGLEFINANCE(C43, ""price"") / INDEX(GOOGLEFINANCE(C43, ""price"", EDATE(TODAY(), -3), TODAY()), 2, 2)) - 1, """")"),"")</f>
        <v/>
      </c>
      <c r="O43" s="21" t="str">
        <f>IFERROR(__xludf.DUMMYFUNCTION("IFERROR((GOOGLEFINANCE(C43, ""price"") / INDEX(GOOGLEFINANCE(C43, ""price"", EDATE(TODAY(), -6), TODAY()), 2, 2)) - 1, """")"),"")</f>
        <v/>
      </c>
      <c r="P43" s="21" t="str">
        <f>IFERROR(__xludf.DUMMYFUNCTION("IFERROR((GOOGLEFINANCE(C43, ""price"") / INDEX(GOOGLEFINANCE(C43, ""price"", EDATE(TODAY(), -12), TODAY()), 2, 2)) - 1, """")"),"")</f>
        <v/>
      </c>
      <c r="Q43" s="6" t="str">
        <f>IFERROR(__xludf.DUMMYFUNCTION("AVERAGE(QUERY(GOOGLEFINANCE(C43, ""price"", TODAY()-80, TODAY()), ""SELECT Col2 WHERE Col2 IS NOT NULL ORDER BY Col1 DESC LIMIT 50"", 0))"),"#N/A")</f>
        <v>#N/A</v>
      </c>
      <c r="R43" s="24" t="str">
        <f>IFERROR(__xludf.DUMMYFUNCTION("IFERROR(
  LET(
    data, QUERY(GOOGLEFINANCE(C43,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GOOGLEFINANCE(C43, ""price"")) * 100,
    IF(calc=0, G43, calc)
  ), 
G43)"),"#N/A")</f>
        <v>#N/A</v>
      </c>
      <c r="S43" s="8" t="s">
        <v>15</v>
      </c>
      <c r="T43" s="26" t="str">
        <f>IFERROR(__xludf.DUMMYFUNCTION("IFERROR(TRANSPOSE(QUERY(IFERROR(SORT(GOOGLEFINANCE(C43, ""price"", WORKDAY(TODAY(), -40), TODAY()), 1, FALSE)), ""select Col2 where Col2 is not null limit 22 label Col2 ''"", 0)), """")"),"")</f>
        <v/>
      </c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8"/>
      <c r="AO43" s="28"/>
      <c r="AP43" s="29"/>
      <c r="AQ43" s="29" t="str">
        <f t="shared" ref="AQ43:BL43" si="46">T43/T$2</f>
        <v>#N/A</v>
      </c>
      <c r="AR43" s="29" t="str">
        <f t="shared" si="46"/>
        <v>#DIV/0!</v>
      </c>
      <c r="AS43" s="29" t="str">
        <f t="shared" si="46"/>
        <v>#DIV/0!</v>
      </c>
      <c r="AT43" s="29" t="str">
        <f t="shared" si="46"/>
        <v>#DIV/0!</v>
      </c>
      <c r="AU43" s="29" t="str">
        <f t="shared" si="46"/>
        <v>#DIV/0!</v>
      </c>
      <c r="AV43" s="29" t="str">
        <f t="shared" si="46"/>
        <v>#DIV/0!</v>
      </c>
      <c r="AW43" s="29" t="str">
        <f t="shared" si="46"/>
        <v>#DIV/0!</v>
      </c>
      <c r="AX43" s="29" t="str">
        <f t="shared" si="46"/>
        <v>#DIV/0!</v>
      </c>
      <c r="AY43" s="29" t="str">
        <f t="shared" si="46"/>
        <v>#DIV/0!</v>
      </c>
      <c r="AZ43" s="29" t="str">
        <f t="shared" si="46"/>
        <v>#DIV/0!</v>
      </c>
      <c r="BA43" s="29" t="str">
        <f t="shared" si="46"/>
        <v>#DIV/0!</v>
      </c>
      <c r="BB43" s="29" t="str">
        <f t="shared" si="46"/>
        <v>#DIV/0!</v>
      </c>
      <c r="BC43" s="29" t="str">
        <f t="shared" si="46"/>
        <v>#DIV/0!</v>
      </c>
      <c r="BD43" s="29" t="str">
        <f t="shared" si="46"/>
        <v>#DIV/0!</v>
      </c>
      <c r="BE43" s="29" t="str">
        <f t="shared" si="46"/>
        <v>#DIV/0!</v>
      </c>
      <c r="BF43" s="29" t="str">
        <f t="shared" si="46"/>
        <v>#DIV/0!</v>
      </c>
      <c r="BG43" s="29" t="str">
        <f t="shared" si="46"/>
        <v>#DIV/0!</v>
      </c>
      <c r="BH43" s="29" t="str">
        <f t="shared" si="46"/>
        <v>#DIV/0!</v>
      </c>
      <c r="BI43" s="29" t="str">
        <f t="shared" si="46"/>
        <v>#DIV/0!</v>
      </c>
      <c r="BJ43" s="29" t="str">
        <f t="shared" si="46"/>
        <v>#DIV/0!</v>
      </c>
      <c r="BK43" s="29" t="str">
        <f t="shared" si="46"/>
        <v>#DIV/0!</v>
      </c>
      <c r="BL43" s="29" t="str">
        <f t="shared" si="46"/>
        <v>#DIV/0!</v>
      </c>
      <c r="BM43" s="29" t="str">
        <f t="shared" si="3"/>
        <v>#DIV/0!</v>
      </c>
    </row>
    <row r="44">
      <c r="A44" s="16" t="str">
        <f>IFERROR(__xludf.DUMMYFUNCTION("IFERROR(SPARKLINE(SORT(MAP(TRANSPOSE(AQ44:BL44), LAMBDA(val, IF(ISNUMBER(val), PERCENTRANK(AQ44:BL44, val)+0.01, 0))), SEQUENCE(COLUMNS(AQ44:BL44)), FALSE), {""charttype"",""column""; ""color"",""chartreuse""; ""ymin"", 0; ""ymax"", 1.01; ""highcolor"", "&amp;"""darkgreen""; ""lowcolor"", ""red""}), """")"),"")</f>
        <v/>
      </c>
      <c r="B44" s="17" t="str">
        <f t="shared" si="4"/>
        <v/>
      </c>
      <c r="C44" s="1" t="s">
        <v>980</v>
      </c>
      <c r="D44" s="30" t="str">
        <f>IFERROR(__xludf.DUMMYFUNCTION("IFERROR(GOOGLEFINANCE(C44, ""NAME""))"),"Rockwell Automation Inc")</f>
        <v>Rockwell Automation Inc</v>
      </c>
      <c r="E44" s="30" t="s">
        <v>893</v>
      </c>
      <c r="F44" s="33" t="str">
        <f>IFERROR(__xludf.DUMMYFUNCTION("( (GOOGLEFINANCE(C44, ""price"") - Q44) / Q44 ) / (R44 / 100)"),"Loading...")</f>
        <v>Loading...</v>
      </c>
      <c r="G44" s="20" t="str">
        <f>IFERROR(__xludf.DUMMYFUNCTION("AVERAGE(ARRAYFORMULA(100 * (QUERY(GOOGLEFINANCE(C44, ""high"", TODAY()-40, TODAY()), ""SELECT Col2 WHERE Col2 IS NOT NULL ORDER BY Col1 DESC LIMIT 20"", 0) / QUERY(GOOGLEFINANCE(C44, ""low"", TODAY()-40, TODAY()), ""SELECT Col2 WHERE Col2 IS NOT NULL ORDE"&amp;"R BY Col1 DESC LIMIT 20"", 0) - 1)))"),"#N/A")</f>
        <v>#N/A</v>
      </c>
      <c r="H44" s="35" t="str">
        <f t="shared" si="6"/>
        <v/>
      </c>
      <c r="I44" s="35" t="str">
        <f t="shared" si="7"/>
        <v/>
      </c>
      <c r="J44" s="37" t="str">
        <f>IFERROR(__xludf.DUMMYFUNCTION("IFERROR(
  IF(C44="""",, 
    IFERROR(
      GOOGLEFINANCE(C44, ""price"") * GOOGLEFINANCE(C44, ""volumeavg""), 
      GOOGLEFINANCE(C44, ""price"") * AVERAGE(QUERY(GOOGLEFINANCE(C44, ""volume"", TODAY()-40, TODAY()), ""SELECT Col2 WHERE Col2 IS NOT NULL "&amp;"ORDER BY Col1 DESC LIMIT 20"", 0))
    )
  ), 
"""")"),"")</f>
        <v/>
      </c>
      <c r="K44" s="21" t="str">
        <f>IFERROR(__xludf.DUMMYFUNCTION("IFERROR(GOOGLEFINANCE(C44, ""changepct"") / 100, """")"),"")</f>
        <v/>
      </c>
      <c r="L44" s="21" t="str">
        <f>IFERROR(__xludf.DUMMYFUNCTION("IFERROR((GOOGLEFINANCE(C44, ""price"") / INDEX(GOOGLEFINANCE(C44, ""price"", TODAY()-7, TODAY()), 2, 2)) - 1, """")"),"")</f>
        <v/>
      </c>
      <c r="M44" s="21" t="str">
        <f>IFERROR(__xludf.DUMMYFUNCTION("IFERROR((GOOGLEFINANCE(C44, ""price"") / INDEX(GOOGLEFINANCE(C44, ""price"", EDATE(TODAY(), -1), TODAY()), 2, 2)) - 1, """")"),"")</f>
        <v/>
      </c>
      <c r="N44" s="21" t="str">
        <f>IFERROR(__xludf.DUMMYFUNCTION("IFERROR((GOOGLEFINANCE(C44, ""price"") / INDEX(GOOGLEFINANCE(C44, ""price"", EDATE(TODAY(), -3), TODAY()), 2, 2)) - 1, """")"),"")</f>
        <v/>
      </c>
      <c r="O44" s="21" t="str">
        <f>IFERROR(__xludf.DUMMYFUNCTION("IFERROR((GOOGLEFINANCE(C44, ""price"") / INDEX(GOOGLEFINANCE(C44, ""price"", EDATE(TODAY(), -6), TODAY()), 2, 2)) - 1, """")"),"")</f>
        <v/>
      </c>
      <c r="P44" s="21" t="str">
        <f>IFERROR(__xludf.DUMMYFUNCTION("IFERROR((GOOGLEFINANCE(C44, ""price"") / INDEX(GOOGLEFINANCE(C44, ""price"", EDATE(TODAY(), -12), TODAY()), 2, 2)) - 1, """")"),"")</f>
        <v/>
      </c>
      <c r="Q44" s="6" t="str">
        <f>IFERROR(__xludf.DUMMYFUNCTION("AVERAGE(QUERY(GOOGLEFINANCE(C44, ""price"", TODAY()-80, TODAY()), ""SELECT Col2 WHERE Col2 IS NOT NULL ORDER BY Col1 DESC LIMIT 50"", 0))"),"#N/A")</f>
        <v>#N/A</v>
      </c>
      <c r="R44" s="24" t="str">
        <f>IFERROR(__xludf.DUMMYFUNCTION("IFERROR(
  LET(
    data, QUERY(GOOGLEFINANCE(C44,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GOOGLEFINANCE(C44, ""price"")) * 100,
    IF(calc=0, G44, calc)
  ), 
G44)"),"#N/A")</f>
        <v>#N/A</v>
      </c>
      <c r="S44" s="8" t="s">
        <v>15</v>
      </c>
      <c r="T44" s="26" t="str">
        <f>IFERROR(__xludf.DUMMYFUNCTION("IFERROR(TRANSPOSE(QUERY(IFERROR(SORT(GOOGLEFINANCE(C44, ""price"", WORKDAY(TODAY(), -40), TODAY()), 1, FALSE)), ""select Col2 where Col2 is not null limit 22 label Col2 ''"", 0)), """")"),"")</f>
        <v/>
      </c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8"/>
      <c r="AO44" s="28"/>
      <c r="AP44" s="29"/>
      <c r="AQ44" s="29" t="str">
        <f t="shared" ref="AQ44:BL44" si="47">T44/T$2</f>
        <v>#N/A</v>
      </c>
      <c r="AR44" s="29" t="str">
        <f t="shared" si="47"/>
        <v>#DIV/0!</v>
      </c>
      <c r="AS44" s="29" t="str">
        <f t="shared" si="47"/>
        <v>#DIV/0!</v>
      </c>
      <c r="AT44" s="29" t="str">
        <f t="shared" si="47"/>
        <v>#DIV/0!</v>
      </c>
      <c r="AU44" s="29" t="str">
        <f t="shared" si="47"/>
        <v>#DIV/0!</v>
      </c>
      <c r="AV44" s="29" t="str">
        <f t="shared" si="47"/>
        <v>#DIV/0!</v>
      </c>
      <c r="AW44" s="29" t="str">
        <f t="shared" si="47"/>
        <v>#DIV/0!</v>
      </c>
      <c r="AX44" s="29" t="str">
        <f t="shared" si="47"/>
        <v>#DIV/0!</v>
      </c>
      <c r="AY44" s="29" t="str">
        <f t="shared" si="47"/>
        <v>#DIV/0!</v>
      </c>
      <c r="AZ44" s="29" t="str">
        <f t="shared" si="47"/>
        <v>#DIV/0!</v>
      </c>
      <c r="BA44" s="29" t="str">
        <f t="shared" si="47"/>
        <v>#DIV/0!</v>
      </c>
      <c r="BB44" s="29" t="str">
        <f t="shared" si="47"/>
        <v>#DIV/0!</v>
      </c>
      <c r="BC44" s="29" t="str">
        <f t="shared" si="47"/>
        <v>#DIV/0!</v>
      </c>
      <c r="BD44" s="29" t="str">
        <f t="shared" si="47"/>
        <v>#DIV/0!</v>
      </c>
      <c r="BE44" s="29" t="str">
        <f t="shared" si="47"/>
        <v>#DIV/0!</v>
      </c>
      <c r="BF44" s="29" t="str">
        <f t="shared" si="47"/>
        <v>#DIV/0!</v>
      </c>
      <c r="BG44" s="29" t="str">
        <f t="shared" si="47"/>
        <v>#DIV/0!</v>
      </c>
      <c r="BH44" s="29" t="str">
        <f t="shared" si="47"/>
        <v>#DIV/0!</v>
      </c>
      <c r="BI44" s="29" t="str">
        <f t="shared" si="47"/>
        <v>#DIV/0!</v>
      </c>
      <c r="BJ44" s="29" t="str">
        <f t="shared" si="47"/>
        <v>#DIV/0!</v>
      </c>
      <c r="BK44" s="29" t="str">
        <f t="shared" si="47"/>
        <v>#DIV/0!</v>
      </c>
      <c r="BL44" s="29" t="str">
        <f t="shared" si="47"/>
        <v>#DIV/0!</v>
      </c>
      <c r="BM44" s="29" t="str">
        <f t="shared" si="3"/>
        <v>#DIV/0!</v>
      </c>
    </row>
    <row r="45">
      <c r="A45" s="16" t="str">
        <f>IFERROR(__xludf.DUMMYFUNCTION("IFERROR(SPARKLINE(SORT(MAP(TRANSPOSE(AQ45:BL45), LAMBDA(val, IF(ISNUMBER(val), PERCENTRANK(AQ45:BL45, val)+0.01, 0))), SEQUENCE(COLUMNS(AQ45:BL45)), FALSE), {""charttype"",""column""; ""color"",""chartreuse""; ""ymin"", 0; ""ymax"", 1.01; ""highcolor"", "&amp;"""darkgreen""; ""lowcolor"", ""red""}), """")"),"")</f>
        <v/>
      </c>
      <c r="B45" s="17" t="str">
        <f t="shared" si="4"/>
        <v/>
      </c>
      <c r="C45" s="1" t="s">
        <v>983</v>
      </c>
      <c r="D45" s="30" t="str">
        <f>IFERROR(__xludf.DUMMYFUNCTION("IFERROR(GOOGLEFINANCE(C45, ""NAME""))"),"Aspen Aerogels Inc")</f>
        <v>Aspen Aerogels Inc</v>
      </c>
      <c r="E45" s="30" t="s">
        <v>968</v>
      </c>
      <c r="F45" s="38" t="str">
        <f>IFERROR(__xludf.DUMMYFUNCTION("( (GOOGLEFINANCE(C45, ""price"") - Q45) / Q45 ) / (R45 / 100)"),"Loading...")</f>
        <v>Loading...</v>
      </c>
      <c r="G45" s="20" t="str">
        <f>IFERROR(__xludf.DUMMYFUNCTION("AVERAGE(ARRAYFORMULA(100 * (QUERY(GOOGLEFINANCE(C45, ""high"", TODAY()-40, TODAY()), ""SELECT Col2 WHERE Col2 IS NOT NULL ORDER BY Col1 DESC LIMIT 20"", 0) / QUERY(GOOGLEFINANCE(C45, ""low"", TODAY()-40, TODAY()), ""SELECT Col2 WHERE Col2 IS NOT NULL ORDE"&amp;"R BY Col1 DESC LIMIT 20"", 0) - 1)))"),"#N/A")</f>
        <v>#N/A</v>
      </c>
      <c r="H45" s="35" t="str">
        <f t="shared" si="6"/>
        <v/>
      </c>
      <c r="I45" s="35" t="str">
        <f t="shared" si="7"/>
        <v/>
      </c>
      <c r="J45" s="37" t="str">
        <f>IFERROR(__xludf.DUMMYFUNCTION("IFERROR(
  IF(C45="""",, 
    IFERROR(
      GOOGLEFINANCE(C45, ""price"") * GOOGLEFINANCE(C45, ""volumeavg""), 
      GOOGLEFINANCE(C45, ""price"") * AVERAGE(QUERY(GOOGLEFINANCE(C45, ""volume"", TODAY()-40, TODAY()), ""SELECT Col2 WHERE Col2 IS NOT NULL "&amp;"ORDER BY Col1 DESC LIMIT 20"", 0))
    )
  ), 
"""")"),"")</f>
        <v/>
      </c>
      <c r="K45" s="21" t="str">
        <f>IFERROR(__xludf.DUMMYFUNCTION("IFERROR(GOOGLEFINANCE(C45, ""changepct"") / 100, """")"),"")</f>
        <v/>
      </c>
      <c r="L45" s="21" t="str">
        <f>IFERROR(__xludf.DUMMYFUNCTION("IFERROR((GOOGLEFINANCE(C45, ""price"") / INDEX(GOOGLEFINANCE(C45, ""price"", TODAY()-7, TODAY()), 2, 2)) - 1, """")"),"")</f>
        <v/>
      </c>
      <c r="M45" s="21" t="str">
        <f>IFERROR(__xludf.DUMMYFUNCTION("IFERROR((GOOGLEFINANCE(C45, ""price"") / INDEX(GOOGLEFINANCE(C45, ""price"", EDATE(TODAY(), -1), TODAY()), 2, 2)) - 1, """")"),"")</f>
        <v/>
      </c>
      <c r="N45" s="21" t="str">
        <f>IFERROR(__xludf.DUMMYFUNCTION("IFERROR((GOOGLEFINANCE(C45, ""price"") / INDEX(GOOGLEFINANCE(C45, ""price"", EDATE(TODAY(), -3), TODAY()), 2, 2)) - 1, """")"),"")</f>
        <v/>
      </c>
      <c r="O45" s="21" t="str">
        <f>IFERROR(__xludf.DUMMYFUNCTION("IFERROR((GOOGLEFINANCE(C45, ""price"") / INDEX(GOOGLEFINANCE(C45, ""price"", EDATE(TODAY(), -6), TODAY()), 2, 2)) - 1, """")"),"")</f>
        <v/>
      </c>
      <c r="P45" s="21" t="str">
        <f>IFERROR(__xludf.DUMMYFUNCTION("IFERROR((GOOGLEFINANCE(C45, ""price"") / INDEX(GOOGLEFINANCE(C45, ""price"", EDATE(TODAY(), -12), TODAY()), 2, 2)) - 1, """")"),"")</f>
        <v/>
      </c>
      <c r="Q45" s="6" t="str">
        <f>IFERROR(__xludf.DUMMYFUNCTION("AVERAGE(QUERY(GOOGLEFINANCE(C45, ""price"", TODAY()-80, TODAY()), ""SELECT Col2 WHERE Col2 IS NOT NULL ORDER BY Col1 DESC LIMIT 50"", 0))"),"#N/A")</f>
        <v>#N/A</v>
      </c>
      <c r="R45" s="24" t="str">
        <f>IFERROR(__xludf.DUMMYFUNCTION("IFERROR(
  LET(
    data, QUERY(GOOGLEFINANCE(C45,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GOOGLEFINANCE(C45, ""price"")) * 100,
    IF(calc=0, G45, calc)
  ), 
G45)"),"#N/A")</f>
        <v>#N/A</v>
      </c>
      <c r="S45" s="8" t="s">
        <v>15</v>
      </c>
      <c r="T45" s="26" t="str">
        <f>IFERROR(__xludf.DUMMYFUNCTION("IFERROR(TRANSPOSE(QUERY(IFERROR(SORT(GOOGLEFINANCE(C45, ""price"", WORKDAY(TODAY(), -40), TODAY()), 1, FALSE)), ""select Col2 where Col2 is not null limit 22 label Col2 ''"", 0)), """")"),"")</f>
        <v/>
      </c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8"/>
      <c r="AO45" s="28"/>
      <c r="AP45" s="29"/>
      <c r="AQ45" s="29" t="str">
        <f t="shared" ref="AQ45:BL45" si="48">T45/T$2</f>
        <v>#N/A</v>
      </c>
      <c r="AR45" s="29" t="str">
        <f t="shared" si="48"/>
        <v>#DIV/0!</v>
      </c>
      <c r="AS45" s="29" t="str">
        <f t="shared" si="48"/>
        <v>#DIV/0!</v>
      </c>
      <c r="AT45" s="29" t="str">
        <f t="shared" si="48"/>
        <v>#DIV/0!</v>
      </c>
      <c r="AU45" s="29" t="str">
        <f t="shared" si="48"/>
        <v>#DIV/0!</v>
      </c>
      <c r="AV45" s="29" t="str">
        <f t="shared" si="48"/>
        <v>#DIV/0!</v>
      </c>
      <c r="AW45" s="29" t="str">
        <f t="shared" si="48"/>
        <v>#DIV/0!</v>
      </c>
      <c r="AX45" s="29" t="str">
        <f t="shared" si="48"/>
        <v>#DIV/0!</v>
      </c>
      <c r="AY45" s="29" t="str">
        <f t="shared" si="48"/>
        <v>#DIV/0!</v>
      </c>
      <c r="AZ45" s="29" t="str">
        <f t="shared" si="48"/>
        <v>#DIV/0!</v>
      </c>
      <c r="BA45" s="29" t="str">
        <f t="shared" si="48"/>
        <v>#DIV/0!</v>
      </c>
      <c r="BB45" s="29" t="str">
        <f t="shared" si="48"/>
        <v>#DIV/0!</v>
      </c>
      <c r="BC45" s="29" t="str">
        <f t="shared" si="48"/>
        <v>#DIV/0!</v>
      </c>
      <c r="BD45" s="29" t="str">
        <f t="shared" si="48"/>
        <v>#DIV/0!</v>
      </c>
      <c r="BE45" s="29" t="str">
        <f t="shared" si="48"/>
        <v>#DIV/0!</v>
      </c>
      <c r="BF45" s="29" t="str">
        <f t="shared" si="48"/>
        <v>#DIV/0!</v>
      </c>
      <c r="BG45" s="29" t="str">
        <f t="shared" si="48"/>
        <v>#DIV/0!</v>
      </c>
      <c r="BH45" s="29" t="str">
        <f t="shared" si="48"/>
        <v>#DIV/0!</v>
      </c>
      <c r="BI45" s="29" t="str">
        <f t="shared" si="48"/>
        <v>#DIV/0!</v>
      </c>
      <c r="BJ45" s="29" t="str">
        <f t="shared" si="48"/>
        <v>#DIV/0!</v>
      </c>
      <c r="BK45" s="29" t="str">
        <f t="shared" si="48"/>
        <v>#DIV/0!</v>
      </c>
      <c r="BL45" s="29" t="str">
        <f t="shared" si="48"/>
        <v>#DIV/0!</v>
      </c>
      <c r="BM45" s="29" t="str">
        <f t="shared" si="3"/>
        <v>#DIV/0!</v>
      </c>
    </row>
    <row r="46">
      <c r="A46" s="16" t="str">
        <f>IFERROR(__xludf.DUMMYFUNCTION("IFERROR(SPARKLINE(SORT(MAP(TRANSPOSE(AQ46:BL46), LAMBDA(val, IF(ISNUMBER(val), PERCENTRANK(AQ46:BL46, val)+0.01, 0))), SEQUENCE(COLUMNS(AQ46:BL46)), FALSE), {""charttype"",""column""; ""color"",""chartreuse""; ""ymin"", 0; ""ymax"", 1.01; ""highcolor"", "&amp;"""darkgreen""; ""lowcolor"", ""red""}), """")"),"")</f>
        <v/>
      </c>
      <c r="B46" s="17" t="str">
        <f t="shared" si="4"/>
        <v/>
      </c>
      <c r="C46" s="1" t="s">
        <v>986</v>
      </c>
      <c r="D46" s="30" t="str">
        <f>IFERROR(__xludf.DUMMYFUNCTION("IFERROR(GOOGLEFINANCE(C46, ""NAME""))"),"Msc Industrial Direct Co., Inc")</f>
        <v>Msc Industrial Direct Co., Inc</v>
      </c>
      <c r="E46" s="30" t="s">
        <v>829</v>
      </c>
      <c r="F46" s="33" t="str">
        <f>IFERROR(__xludf.DUMMYFUNCTION("( (GOOGLEFINANCE(C46, ""price"") - Q46) / Q46 ) / (R46 / 100)"),"Loading...")</f>
        <v>Loading...</v>
      </c>
      <c r="G46" s="20" t="str">
        <f>IFERROR(__xludf.DUMMYFUNCTION("AVERAGE(ARRAYFORMULA(100 * (QUERY(GOOGLEFINANCE(C46, ""high"", TODAY()-40, TODAY()), ""SELECT Col2 WHERE Col2 IS NOT NULL ORDER BY Col1 DESC LIMIT 20"", 0) / QUERY(GOOGLEFINANCE(C46, ""low"", TODAY()-40, TODAY()), ""SELECT Col2 WHERE Col2 IS NOT NULL ORDE"&amp;"R BY Col1 DESC LIMIT 20"", 0) - 1)))"),"#N/A")</f>
        <v>#N/A</v>
      </c>
      <c r="H46" s="35" t="str">
        <f t="shared" si="6"/>
        <v/>
      </c>
      <c r="I46" s="35" t="str">
        <f t="shared" si="7"/>
        <v/>
      </c>
      <c r="J46" s="37" t="str">
        <f>IFERROR(__xludf.DUMMYFUNCTION("IFERROR(
  IF(C46="""",, 
    IFERROR(
      GOOGLEFINANCE(C46, ""price"") * GOOGLEFINANCE(C46, ""volumeavg""), 
      GOOGLEFINANCE(C46, ""price"") * AVERAGE(QUERY(GOOGLEFINANCE(C46, ""volume"", TODAY()-40, TODAY()), ""SELECT Col2 WHERE Col2 IS NOT NULL "&amp;"ORDER BY Col1 DESC LIMIT 20"", 0))
    )
  ), 
"""")"),"")</f>
        <v/>
      </c>
      <c r="K46" s="21" t="str">
        <f>IFERROR(__xludf.DUMMYFUNCTION("IFERROR(GOOGLEFINANCE(C46, ""changepct"") / 100, """")"),"")</f>
        <v/>
      </c>
      <c r="L46" s="21" t="str">
        <f>IFERROR(__xludf.DUMMYFUNCTION("IFERROR((GOOGLEFINANCE(C46, ""price"") / INDEX(GOOGLEFINANCE(C46, ""price"", TODAY()-7, TODAY()), 2, 2)) - 1, """")"),"")</f>
        <v/>
      </c>
      <c r="M46" s="21" t="str">
        <f>IFERROR(__xludf.DUMMYFUNCTION("IFERROR((GOOGLEFINANCE(C46, ""price"") / INDEX(GOOGLEFINANCE(C46, ""price"", EDATE(TODAY(), -1), TODAY()), 2, 2)) - 1, """")"),"")</f>
        <v/>
      </c>
      <c r="N46" s="21" t="str">
        <f>IFERROR(__xludf.DUMMYFUNCTION("IFERROR((GOOGLEFINANCE(C46, ""price"") / INDEX(GOOGLEFINANCE(C46, ""price"", EDATE(TODAY(), -3), TODAY()), 2, 2)) - 1, """")"),"")</f>
        <v/>
      </c>
      <c r="O46" s="21" t="str">
        <f>IFERROR(__xludf.DUMMYFUNCTION("IFERROR((GOOGLEFINANCE(C46, ""price"") / INDEX(GOOGLEFINANCE(C46, ""price"", EDATE(TODAY(), -6), TODAY()), 2, 2)) - 1, """")"),"")</f>
        <v/>
      </c>
      <c r="P46" s="21" t="str">
        <f>IFERROR(__xludf.DUMMYFUNCTION("IFERROR((GOOGLEFINANCE(C46, ""price"") / INDEX(GOOGLEFINANCE(C46, ""price"", EDATE(TODAY(), -12), TODAY()), 2, 2)) - 1, """")"),"")</f>
        <v/>
      </c>
      <c r="Q46" s="6" t="str">
        <f>IFERROR(__xludf.DUMMYFUNCTION("AVERAGE(QUERY(GOOGLEFINANCE(C46, ""price"", TODAY()-80, TODAY()), ""SELECT Col2 WHERE Col2 IS NOT NULL ORDER BY Col1 DESC LIMIT 50"", 0))"),"#N/A")</f>
        <v>#N/A</v>
      </c>
      <c r="R46" s="24" t="str">
        <f>IFERROR(__xludf.DUMMYFUNCTION("IFERROR(
  LET(
    data, QUERY(GOOGLEFINANCE(C46,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GOOGLEFINANCE(C46, ""price"")) * 100,
    IF(calc=0, G46, calc)
  ), 
G46)"),"#N/A")</f>
        <v>#N/A</v>
      </c>
      <c r="S46" s="8" t="s">
        <v>15</v>
      </c>
      <c r="T46" s="26" t="str">
        <f>IFERROR(__xludf.DUMMYFUNCTION("IFERROR(TRANSPOSE(QUERY(IFERROR(SORT(GOOGLEFINANCE(C46, ""price"", WORKDAY(TODAY(), -40), TODAY()), 1, FALSE)), ""select Col2 where Col2 is not null limit 22 label Col2 ''"", 0)), """")"),"")</f>
        <v/>
      </c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8"/>
      <c r="AO46" s="28"/>
      <c r="AP46" s="29"/>
      <c r="AQ46" s="29" t="str">
        <f t="shared" ref="AQ46:BL46" si="49">T46/T$2</f>
        <v>#N/A</v>
      </c>
      <c r="AR46" s="29" t="str">
        <f t="shared" si="49"/>
        <v>#DIV/0!</v>
      </c>
      <c r="AS46" s="29" t="str">
        <f t="shared" si="49"/>
        <v>#DIV/0!</v>
      </c>
      <c r="AT46" s="29" t="str">
        <f t="shared" si="49"/>
        <v>#DIV/0!</v>
      </c>
      <c r="AU46" s="29" t="str">
        <f t="shared" si="49"/>
        <v>#DIV/0!</v>
      </c>
      <c r="AV46" s="29" t="str">
        <f t="shared" si="49"/>
        <v>#DIV/0!</v>
      </c>
      <c r="AW46" s="29" t="str">
        <f t="shared" si="49"/>
        <v>#DIV/0!</v>
      </c>
      <c r="AX46" s="29" t="str">
        <f t="shared" si="49"/>
        <v>#DIV/0!</v>
      </c>
      <c r="AY46" s="29" t="str">
        <f t="shared" si="49"/>
        <v>#DIV/0!</v>
      </c>
      <c r="AZ46" s="29" t="str">
        <f t="shared" si="49"/>
        <v>#DIV/0!</v>
      </c>
      <c r="BA46" s="29" t="str">
        <f t="shared" si="49"/>
        <v>#DIV/0!</v>
      </c>
      <c r="BB46" s="29" t="str">
        <f t="shared" si="49"/>
        <v>#DIV/0!</v>
      </c>
      <c r="BC46" s="29" t="str">
        <f t="shared" si="49"/>
        <v>#DIV/0!</v>
      </c>
      <c r="BD46" s="29" t="str">
        <f t="shared" si="49"/>
        <v>#DIV/0!</v>
      </c>
      <c r="BE46" s="29" t="str">
        <f t="shared" si="49"/>
        <v>#DIV/0!</v>
      </c>
      <c r="BF46" s="29" t="str">
        <f t="shared" si="49"/>
        <v>#DIV/0!</v>
      </c>
      <c r="BG46" s="29" t="str">
        <f t="shared" si="49"/>
        <v>#DIV/0!</v>
      </c>
      <c r="BH46" s="29" t="str">
        <f t="shared" si="49"/>
        <v>#DIV/0!</v>
      </c>
      <c r="BI46" s="29" t="str">
        <f t="shared" si="49"/>
        <v>#DIV/0!</v>
      </c>
      <c r="BJ46" s="29" t="str">
        <f t="shared" si="49"/>
        <v>#DIV/0!</v>
      </c>
      <c r="BK46" s="29" t="str">
        <f t="shared" si="49"/>
        <v>#DIV/0!</v>
      </c>
      <c r="BL46" s="29" t="str">
        <f t="shared" si="49"/>
        <v>#DIV/0!</v>
      </c>
      <c r="BM46" s="29" t="str">
        <f t="shared" si="3"/>
        <v>#DIV/0!</v>
      </c>
    </row>
    <row r="47">
      <c r="A47" s="16" t="str">
        <f>IFERROR(__xludf.DUMMYFUNCTION("IFERROR(SPARKLINE(SORT(MAP(TRANSPOSE(AQ47:BL47), LAMBDA(val, IF(ISNUMBER(val), PERCENTRANK(AQ47:BL47, val)+0.01, 0))), SEQUENCE(COLUMNS(AQ47:BL47)), FALSE), {""charttype"",""column""; ""color"",""chartreuse""; ""ymin"", 0; ""ymax"", 1.01; ""highcolor"", "&amp;"""darkgreen""; ""lowcolor"", ""red""}), """")"),"")</f>
        <v/>
      </c>
      <c r="B47" s="17" t="str">
        <f t="shared" si="4"/>
        <v/>
      </c>
      <c r="C47" s="1" t="s">
        <v>989</v>
      </c>
      <c r="D47" s="30" t="str">
        <f>IFERROR(__xludf.DUMMYFUNCTION("IFERROR(GOOGLEFINANCE(C47, ""NAME""))"),"BW LPG Ltd")</f>
        <v>BW LPG Ltd</v>
      </c>
      <c r="E47" s="30" t="s">
        <v>834</v>
      </c>
      <c r="F47" s="33" t="str">
        <f>IFERROR(__xludf.DUMMYFUNCTION("( (GOOGLEFINANCE(C47, ""price"") - Q47) / Q47 ) / (R47 / 100)"),"Loading...")</f>
        <v>Loading...</v>
      </c>
      <c r="G47" s="20" t="str">
        <f>IFERROR(__xludf.DUMMYFUNCTION("AVERAGE(ARRAYFORMULA(100 * (QUERY(GOOGLEFINANCE(C47, ""high"", TODAY()-40, TODAY()), ""SELECT Col2 WHERE Col2 IS NOT NULL ORDER BY Col1 DESC LIMIT 20"", 0) / QUERY(GOOGLEFINANCE(C47, ""low"", TODAY()-40, TODAY()), ""SELECT Col2 WHERE Col2 IS NOT NULL ORDE"&amp;"R BY Col1 DESC LIMIT 20"", 0) - 1)))"),"#N/A")</f>
        <v>#N/A</v>
      </c>
      <c r="H47" s="35" t="str">
        <f t="shared" si="6"/>
        <v/>
      </c>
      <c r="I47" s="35" t="str">
        <f t="shared" si="7"/>
        <v/>
      </c>
      <c r="J47" s="37" t="str">
        <f>IFERROR(__xludf.DUMMYFUNCTION("IFERROR(
  IF(C47="""",, 
    IFERROR(
      GOOGLEFINANCE(C47, ""price"") * GOOGLEFINANCE(C47, ""volumeavg""), 
      GOOGLEFINANCE(C47, ""price"") * AVERAGE(QUERY(GOOGLEFINANCE(C47, ""volume"", TODAY()-40, TODAY()), ""SELECT Col2 WHERE Col2 IS NOT NULL "&amp;"ORDER BY Col1 DESC LIMIT 20"", 0))
    )
  ), 
"""")"),"")</f>
        <v/>
      </c>
      <c r="K47" s="21" t="str">
        <f>IFERROR(__xludf.DUMMYFUNCTION("IFERROR(GOOGLEFINANCE(C47, ""changepct"") / 100, """")"),"")</f>
        <v/>
      </c>
      <c r="L47" s="21" t="str">
        <f>IFERROR(__xludf.DUMMYFUNCTION("IFERROR((GOOGLEFINANCE(C47, ""price"") / INDEX(GOOGLEFINANCE(C47, ""price"", TODAY()-7, TODAY()), 2, 2)) - 1, """")"),"")</f>
        <v/>
      </c>
      <c r="M47" s="21" t="str">
        <f>IFERROR(__xludf.DUMMYFUNCTION("IFERROR((GOOGLEFINANCE(C47, ""price"") / INDEX(GOOGLEFINANCE(C47, ""price"", EDATE(TODAY(), -1), TODAY()), 2, 2)) - 1, """")"),"")</f>
        <v/>
      </c>
      <c r="N47" s="21" t="str">
        <f>IFERROR(__xludf.DUMMYFUNCTION("IFERROR((GOOGLEFINANCE(C47, ""price"") / INDEX(GOOGLEFINANCE(C47, ""price"", EDATE(TODAY(), -3), TODAY()), 2, 2)) - 1, """")"),"")</f>
        <v/>
      </c>
      <c r="O47" s="21" t="str">
        <f>IFERROR(__xludf.DUMMYFUNCTION("IFERROR((GOOGLEFINANCE(C47, ""price"") / INDEX(GOOGLEFINANCE(C47, ""price"", EDATE(TODAY(), -6), TODAY()), 2, 2)) - 1, """")"),"")</f>
        <v/>
      </c>
      <c r="P47" s="21" t="str">
        <f>IFERROR(__xludf.DUMMYFUNCTION("IFERROR((GOOGLEFINANCE(C47, ""price"") / INDEX(GOOGLEFINANCE(C47, ""price"", EDATE(TODAY(), -12), TODAY()), 2, 2)) - 1, """")"),"")</f>
        <v/>
      </c>
      <c r="Q47" s="6" t="str">
        <f>IFERROR(__xludf.DUMMYFUNCTION("AVERAGE(QUERY(GOOGLEFINANCE(C47, ""price"", TODAY()-80, TODAY()), ""SELECT Col2 WHERE Col2 IS NOT NULL ORDER BY Col1 DESC LIMIT 50"", 0))"),"#N/A")</f>
        <v>#N/A</v>
      </c>
      <c r="R47" s="24" t="str">
        <f>IFERROR(__xludf.DUMMYFUNCTION("IFERROR(
  LET(
    data, QUERY(GOOGLEFINANCE(C47,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GOOGLEFINANCE(C47, ""price"")) * 100,
    IF(calc=0, G47, calc)
  ), 
G47)"),"#N/A")</f>
        <v>#N/A</v>
      </c>
      <c r="S47" s="8" t="s">
        <v>15</v>
      </c>
      <c r="T47" s="26" t="str">
        <f>IFERROR(__xludf.DUMMYFUNCTION("IFERROR(TRANSPOSE(QUERY(IFERROR(SORT(GOOGLEFINANCE(C47, ""price"", WORKDAY(TODAY(), -40), TODAY()), 1, FALSE)), ""select Col2 where Col2 is not null limit 22 label Col2 ''"", 0)), """")"),"")</f>
        <v/>
      </c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8"/>
      <c r="AO47" s="28"/>
      <c r="AP47" s="29"/>
      <c r="AQ47" s="29" t="str">
        <f t="shared" ref="AQ47:BL47" si="50">T47/T$2</f>
        <v>#N/A</v>
      </c>
      <c r="AR47" s="29" t="str">
        <f t="shared" si="50"/>
        <v>#DIV/0!</v>
      </c>
      <c r="AS47" s="29" t="str">
        <f t="shared" si="50"/>
        <v>#DIV/0!</v>
      </c>
      <c r="AT47" s="29" t="str">
        <f t="shared" si="50"/>
        <v>#DIV/0!</v>
      </c>
      <c r="AU47" s="29" t="str">
        <f t="shared" si="50"/>
        <v>#DIV/0!</v>
      </c>
      <c r="AV47" s="29" t="str">
        <f t="shared" si="50"/>
        <v>#DIV/0!</v>
      </c>
      <c r="AW47" s="29" t="str">
        <f t="shared" si="50"/>
        <v>#DIV/0!</v>
      </c>
      <c r="AX47" s="29" t="str">
        <f t="shared" si="50"/>
        <v>#DIV/0!</v>
      </c>
      <c r="AY47" s="29" t="str">
        <f t="shared" si="50"/>
        <v>#DIV/0!</v>
      </c>
      <c r="AZ47" s="29" t="str">
        <f t="shared" si="50"/>
        <v>#DIV/0!</v>
      </c>
      <c r="BA47" s="29" t="str">
        <f t="shared" si="50"/>
        <v>#DIV/0!</v>
      </c>
      <c r="BB47" s="29" t="str">
        <f t="shared" si="50"/>
        <v>#DIV/0!</v>
      </c>
      <c r="BC47" s="29" t="str">
        <f t="shared" si="50"/>
        <v>#DIV/0!</v>
      </c>
      <c r="BD47" s="29" t="str">
        <f t="shared" si="50"/>
        <v>#DIV/0!</v>
      </c>
      <c r="BE47" s="29" t="str">
        <f t="shared" si="50"/>
        <v>#DIV/0!</v>
      </c>
      <c r="BF47" s="29" t="str">
        <f t="shared" si="50"/>
        <v>#DIV/0!</v>
      </c>
      <c r="BG47" s="29" t="str">
        <f t="shared" si="50"/>
        <v>#DIV/0!</v>
      </c>
      <c r="BH47" s="29" t="str">
        <f t="shared" si="50"/>
        <v>#DIV/0!</v>
      </c>
      <c r="BI47" s="29" t="str">
        <f t="shared" si="50"/>
        <v>#DIV/0!</v>
      </c>
      <c r="BJ47" s="29" t="str">
        <f t="shared" si="50"/>
        <v>#DIV/0!</v>
      </c>
      <c r="BK47" s="29" t="str">
        <f t="shared" si="50"/>
        <v>#DIV/0!</v>
      </c>
      <c r="BL47" s="29" t="str">
        <f t="shared" si="50"/>
        <v>#DIV/0!</v>
      </c>
      <c r="BM47" s="29" t="str">
        <f t="shared" si="3"/>
        <v>#DIV/0!</v>
      </c>
    </row>
    <row r="48">
      <c r="A48" s="16" t="str">
        <f>IFERROR(__xludf.DUMMYFUNCTION("IFERROR(SPARKLINE(SORT(MAP(TRANSPOSE(AQ48:BL48), LAMBDA(val, IF(ISNUMBER(val), PERCENTRANK(AQ48:BL48, val)+0.01, 0))), SEQUENCE(COLUMNS(AQ48:BL48)), FALSE), {""charttype"",""column""; ""color"",""chartreuse""; ""ymin"", 0; ""ymax"", 1.01; ""highcolor"", "&amp;"""darkgreen""; ""lowcolor"", ""red""}), """")"),"")</f>
        <v/>
      </c>
      <c r="B48" s="17" t="str">
        <f t="shared" si="4"/>
        <v/>
      </c>
      <c r="C48" s="1" t="s">
        <v>992</v>
      </c>
      <c r="D48" s="30" t="str">
        <f>IFERROR(__xludf.DUMMYFUNCTION("IFERROR(GOOGLEFINANCE(C48, ""NAME""))"),"WW Grainger Inc")</f>
        <v>WW Grainger Inc</v>
      </c>
      <c r="E48" s="30" t="s">
        <v>829</v>
      </c>
      <c r="F48" s="33" t="str">
        <f>IFERROR(__xludf.DUMMYFUNCTION("( (GOOGLEFINANCE(C48, ""price"") - Q48) / Q48 ) / (R48 / 100)"),"Loading...")</f>
        <v>Loading...</v>
      </c>
      <c r="G48" s="20" t="str">
        <f>IFERROR(__xludf.DUMMYFUNCTION("AVERAGE(ARRAYFORMULA(100 * (QUERY(GOOGLEFINANCE(C48, ""high"", TODAY()-40, TODAY()), ""SELECT Col2 WHERE Col2 IS NOT NULL ORDER BY Col1 DESC LIMIT 20"", 0) / QUERY(GOOGLEFINANCE(C48, ""low"", TODAY()-40, TODAY()), ""SELECT Col2 WHERE Col2 IS NOT NULL ORDE"&amp;"R BY Col1 DESC LIMIT 20"", 0) - 1)))"),"#N/A")</f>
        <v>#N/A</v>
      </c>
      <c r="H48" s="35" t="str">
        <f t="shared" si="6"/>
        <v/>
      </c>
      <c r="I48" s="35" t="str">
        <f t="shared" si="7"/>
        <v/>
      </c>
      <c r="J48" s="37" t="str">
        <f>IFERROR(__xludf.DUMMYFUNCTION("IFERROR(
  IF(C48="""",, 
    IFERROR(
      GOOGLEFINANCE(C48, ""price"") * GOOGLEFINANCE(C48, ""volumeavg""), 
      GOOGLEFINANCE(C48, ""price"") * AVERAGE(QUERY(GOOGLEFINANCE(C48, ""volume"", TODAY()-40, TODAY()), ""SELECT Col2 WHERE Col2 IS NOT NULL "&amp;"ORDER BY Col1 DESC LIMIT 20"", 0))
    )
  ), 
"""")"),"")</f>
        <v/>
      </c>
      <c r="K48" s="21" t="str">
        <f>IFERROR(__xludf.DUMMYFUNCTION("IFERROR(GOOGLEFINANCE(C48, ""changepct"") / 100, """")"),"")</f>
        <v/>
      </c>
      <c r="L48" s="21" t="str">
        <f>IFERROR(__xludf.DUMMYFUNCTION("IFERROR((GOOGLEFINANCE(C48, ""price"") / INDEX(GOOGLEFINANCE(C48, ""price"", TODAY()-7, TODAY()), 2, 2)) - 1, """")"),"")</f>
        <v/>
      </c>
      <c r="M48" s="21" t="str">
        <f>IFERROR(__xludf.DUMMYFUNCTION("IFERROR((GOOGLEFINANCE(C48, ""price"") / INDEX(GOOGLEFINANCE(C48, ""price"", EDATE(TODAY(), -1), TODAY()), 2, 2)) - 1, """")"),"")</f>
        <v/>
      </c>
      <c r="N48" s="21" t="str">
        <f>IFERROR(__xludf.DUMMYFUNCTION("IFERROR((GOOGLEFINANCE(C48, ""price"") / INDEX(GOOGLEFINANCE(C48, ""price"", EDATE(TODAY(), -3), TODAY()), 2, 2)) - 1, """")"),"")</f>
        <v/>
      </c>
      <c r="O48" s="21" t="str">
        <f>IFERROR(__xludf.DUMMYFUNCTION("IFERROR((GOOGLEFINANCE(C48, ""price"") / INDEX(GOOGLEFINANCE(C48, ""price"", EDATE(TODAY(), -6), TODAY()), 2, 2)) - 1, """")"),"")</f>
        <v/>
      </c>
      <c r="P48" s="21" t="str">
        <f>IFERROR(__xludf.DUMMYFUNCTION("IFERROR((GOOGLEFINANCE(C48, ""price"") / INDEX(GOOGLEFINANCE(C48, ""price"", EDATE(TODAY(), -12), TODAY()), 2, 2)) - 1, """")"),"")</f>
        <v/>
      </c>
      <c r="Q48" s="6" t="str">
        <f>IFERROR(__xludf.DUMMYFUNCTION("AVERAGE(QUERY(GOOGLEFINANCE(C48, ""price"", TODAY()-80, TODAY()), ""SELECT Col2 WHERE Col2 IS NOT NULL ORDER BY Col1 DESC LIMIT 50"", 0))"),"#N/A")</f>
        <v>#N/A</v>
      </c>
      <c r="R48" s="24" t="str">
        <f>IFERROR(__xludf.DUMMYFUNCTION("IFERROR(
  LET(
    data, QUERY(GOOGLEFINANCE(C48,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GOOGLEFINANCE(C48, ""price"")) * 100,
    IF(calc=0, G48, calc)
  ), 
G48)"),"#N/A")</f>
        <v>#N/A</v>
      </c>
      <c r="S48" s="8" t="s">
        <v>15</v>
      </c>
      <c r="T48" s="26" t="str">
        <f>IFERROR(__xludf.DUMMYFUNCTION("IFERROR(TRANSPOSE(QUERY(IFERROR(SORT(GOOGLEFINANCE(C48, ""price"", WORKDAY(TODAY(), -40), TODAY()), 1, FALSE)), ""select Col2 where Col2 is not null limit 22 label Col2 ''"", 0)), """")"),"")</f>
        <v/>
      </c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8"/>
      <c r="AO48" s="28"/>
      <c r="AP48" s="29"/>
      <c r="AQ48" s="29" t="str">
        <f t="shared" ref="AQ48:BL48" si="51">T48/T$2</f>
        <v>#N/A</v>
      </c>
      <c r="AR48" s="29" t="str">
        <f t="shared" si="51"/>
        <v>#DIV/0!</v>
      </c>
      <c r="AS48" s="29" t="str">
        <f t="shared" si="51"/>
        <v>#DIV/0!</v>
      </c>
      <c r="AT48" s="29" t="str">
        <f t="shared" si="51"/>
        <v>#DIV/0!</v>
      </c>
      <c r="AU48" s="29" t="str">
        <f t="shared" si="51"/>
        <v>#DIV/0!</v>
      </c>
      <c r="AV48" s="29" t="str">
        <f t="shared" si="51"/>
        <v>#DIV/0!</v>
      </c>
      <c r="AW48" s="29" t="str">
        <f t="shared" si="51"/>
        <v>#DIV/0!</v>
      </c>
      <c r="AX48" s="29" t="str">
        <f t="shared" si="51"/>
        <v>#DIV/0!</v>
      </c>
      <c r="AY48" s="29" t="str">
        <f t="shared" si="51"/>
        <v>#DIV/0!</v>
      </c>
      <c r="AZ48" s="29" t="str">
        <f t="shared" si="51"/>
        <v>#DIV/0!</v>
      </c>
      <c r="BA48" s="29" t="str">
        <f t="shared" si="51"/>
        <v>#DIV/0!</v>
      </c>
      <c r="BB48" s="29" t="str">
        <f t="shared" si="51"/>
        <v>#DIV/0!</v>
      </c>
      <c r="BC48" s="29" t="str">
        <f t="shared" si="51"/>
        <v>#DIV/0!</v>
      </c>
      <c r="BD48" s="29" t="str">
        <f t="shared" si="51"/>
        <v>#DIV/0!</v>
      </c>
      <c r="BE48" s="29" t="str">
        <f t="shared" si="51"/>
        <v>#DIV/0!</v>
      </c>
      <c r="BF48" s="29" t="str">
        <f t="shared" si="51"/>
        <v>#DIV/0!</v>
      </c>
      <c r="BG48" s="29" t="str">
        <f t="shared" si="51"/>
        <v>#DIV/0!</v>
      </c>
      <c r="BH48" s="29" t="str">
        <f t="shared" si="51"/>
        <v>#DIV/0!</v>
      </c>
      <c r="BI48" s="29" t="str">
        <f t="shared" si="51"/>
        <v>#DIV/0!</v>
      </c>
      <c r="BJ48" s="29" t="str">
        <f t="shared" si="51"/>
        <v>#DIV/0!</v>
      </c>
      <c r="BK48" s="29" t="str">
        <f t="shared" si="51"/>
        <v>#DIV/0!</v>
      </c>
      <c r="BL48" s="29" t="str">
        <f t="shared" si="51"/>
        <v>#DIV/0!</v>
      </c>
      <c r="BM48" s="29" t="str">
        <f t="shared" si="3"/>
        <v>#DIV/0!</v>
      </c>
    </row>
    <row r="49">
      <c r="A49" s="16" t="str">
        <f>IFERROR(__xludf.DUMMYFUNCTION("IFERROR(SPARKLINE(SORT(MAP(TRANSPOSE(AQ49:BL49), LAMBDA(val, IF(ISNUMBER(val), PERCENTRANK(AQ49:BL49, val)+0.01, 0))), SEQUENCE(COLUMNS(AQ49:BL49)), FALSE), {""charttype"",""column""; ""color"",""chartreuse""; ""ymin"", 0; ""ymax"", 1.01; ""highcolor"", "&amp;"""darkgreen""; ""lowcolor"", ""red""}), """")"),"")</f>
        <v/>
      </c>
      <c r="B49" s="17" t="str">
        <f t="shared" si="4"/>
        <v/>
      </c>
      <c r="C49" s="1" t="s">
        <v>996</v>
      </c>
      <c r="D49" s="30" t="str">
        <f>IFERROR(__xludf.DUMMYFUNCTION("IFERROR(GOOGLEFINANCE(C49, ""NAME""))"),"First Advantage Corp")</f>
        <v>First Advantage Corp</v>
      </c>
      <c r="E49" s="30" t="s">
        <v>916</v>
      </c>
      <c r="F49" s="33" t="str">
        <f>IFERROR(__xludf.DUMMYFUNCTION("( (GOOGLEFINANCE(C49, ""price"") - Q49) / Q49 ) / (R49 / 100)"),"Loading...")</f>
        <v>Loading...</v>
      </c>
      <c r="G49" s="20" t="str">
        <f>IFERROR(__xludf.DUMMYFUNCTION("AVERAGE(ARRAYFORMULA(100 * (QUERY(GOOGLEFINANCE(C49, ""high"", TODAY()-40, TODAY()), ""SELECT Col2 WHERE Col2 IS NOT NULL ORDER BY Col1 DESC LIMIT 20"", 0) / QUERY(GOOGLEFINANCE(C49, ""low"", TODAY()-40, TODAY()), ""SELECT Col2 WHERE Col2 IS NOT NULL ORDE"&amp;"R BY Col1 DESC LIMIT 20"", 0) - 1)))"),"#N/A")</f>
        <v>#N/A</v>
      </c>
      <c r="H49" s="35" t="str">
        <f t="shared" si="6"/>
        <v/>
      </c>
      <c r="I49" s="35" t="str">
        <f t="shared" si="7"/>
        <v/>
      </c>
      <c r="J49" s="37" t="str">
        <f>IFERROR(__xludf.DUMMYFUNCTION("IFERROR(
  IF(C49="""",, 
    IFERROR(
      GOOGLEFINANCE(C49, ""price"") * GOOGLEFINANCE(C49, ""volumeavg""), 
      GOOGLEFINANCE(C49, ""price"") * AVERAGE(QUERY(GOOGLEFINANCE(C49, ""volume"", TODAY()-40, TODAY()), ""SELECT Col2 WHERE Col2 IS NOT NULL "&amp;"ORDER BY Col1 DESC LIMIT 20"", 0))
    )
  ), 
"""")"),"")</f>
        <v/>
      </c>
      <c r="K49" s="21" t="str">
        <f>IFERROR(__xludf.DUMMYFUNCTION("IFERROR(GOOGLEFINANCE(C49, ""changepct"") / 100, """")"),"")</f>
        <v/>
      </c>
      <c r="L49" s="21" t="str">
        <f>IFERROR(__xludf.DUMMYFUNCTION("IFERROR((GOOGLEFINANCE(C49, ""price"") / INDEX(GOOGLEFINANCE(C49, ""price"", TODAY()-7, TODAY()), 2, 2)) - 1, """")"),"")</f>
        <v/>
      </c>
      <c r="M49" s="21" t="str">
        <f>IFERROR(__xludf.DUMMYFUNCTION("IFERROR((GOOGLEFINANCE(C49, ""price"") / INDEX(GOOGLEFINANCE(C49, ""price"", EDATE(TODAY(), -1), TODAY()), 2, 2)) - 1, """")"),"")</f>
        <v/>
      </c>
      <c r="N49" s="21" t="str">
        <f>IFERROR(__xludf.DUMMYFUNCTION("IFERROR((GOOGLEFINANCE(C49, ""price"") / INDEX(GOOGLEFINANCE(C49, ""price"", EDATE(TODAY(), -3), TODAY()), 2, 2)) - 1, """")"),"")</f>
        <v/>
      </c>
      <c r="O49" s="21" t="str">
        <f>IFERROR(__xludf.DUMMYFUNCTION("IFERROR((GOOGLEFINANCE(C49, ""price"") / INDEX(GOOGLEFINANCE(C49, ""price"", EDATE(TODAY(), -6), TODAY()), 2, 2)) - 1, """")"),"")</f>
        <v/>
      </c>
      <c r="P49" s="21" t="str">
        <f>IFERROR(__xludf.DUMMYFUNCTION("IFERROR((GOOGLEFINANCE(C49, ""price"") / INDEX(GOOGLEFINANCE(C49, ""price"", EDATE(TODAY(), -12), TODAY()), 2, 2)) - 1, """")"),"")</f>
        <v/>
      </c>
      <c r="Q49" s="6" t="str">
        <f>IFERROR(__xludf.DUMMYFUNCTION("AVERAGE(QUERY(GOOGLEFINANCE(C49, ""price"", TODAY()-80, TODAY()), ""SELECT Col2 WHERE Col2 IS NOT NULL ORDER BY Col1 DESC LIMIT 50"", 0))"),"#N/A")</f>
        <v>#N/A</v>
      </c>
      <c r="R49" s="24" t="str">
        <f>IFERROR(__xludf.DUMMYFUNCTION("IFERROR(
  LET(
    data, QUERY(GOOGLEFINANCE(C49,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GOOGLEFINANCE(C49, ""price"")) * 100,
    IF(calc=0, G49, calc)
  ), 
G49)"),"#N/A")</f>
        <v>#N/A</v>
      </c>
      <c r="S49" s="8" t="s">
        <v>15</v>
      </c>
      <c r="T49" s="26" t="str">
        <f>IFERROR(__xludf.DUMMYFUNCTION("IFERROR(TRANSPOSE(QUERY(IFERROR(SORT(GOOGLEFINANCE(C49, ""price"", WORKDAY(TODAY(), -40), TODAY()), 1, FALSE)), ""select Col2 where Col2 is not null limit 22 label Col2 ''"", 0)), """")"),"")</f>
        <v/>
      </c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8"/>
      <c r="AO49" s="28"/>
      <c r="AP49" s="29"/>
      <c r="AQ49" s="29" t="str">
        <f t="shared" ref="AQ49:BL49" si="52">T49/T$2</f>
        <v>#N/A</v>
      </c>
      <c r="AR49" s="29" t="str">
        <f t="shared" si="52"/>
        <v>#DIV/0!</v>
      </c>
      <c r="AS49" s="29" t="str">
        <f t="shared" si="52"/>
        <v>#DIV/0!</v>
      </c>
      <c r="AT49" s="29" t="str">
        <f t="shared" si="52"/>
        <v>#DIV/0!</v>
      </c>
      <c r="AU49" s="29" t="str">
        <f t="shared" si="52"/>
        <v>#DIV/0!</v>
      </c>
      <c r="AV49" s="29" t="str">
        <f t="shared" si="52"/>
        <v>#DIV/0!</v>
      </c>
      <c r="AW49" s="29" t="str">
        <f t="shared" si="52"/>
        <v>#DIV/0!</v>
      </c>
      <c r="AX49" s="29" t="str">
        <f t="shared" si="52"/>
        <v>#DIV/0!</v>
      </c>
      <c r="AY49" s="29" t="str">
        <f t="shared" si="52"/>
        <v>#DIV/0!</v>
      </c>
      <c r="AZ49" s="29" t="str">
        <f t="shared" si="52"/>
        <v>#DIV/0!</v>
      </c>
      <c r="BA49" s="29" t="str">
        <f t="shared" si="52"/>
        <v>#DIV/0!</v>
      </c>
      <c r="BB49" s="29" t="str">
        <f t="shared" si="52"/>
        <v>#DIV/0!</v>
      </c>
      <c r="BC49" s="29" t="str">
        <f t="shared" si="52"/>
        <v>#DIV/0!</v>
      </c>
      <c r="BD49" s="29" t="str">
        <f t="shared" si="52"/>
        <v>#DIV/0!</v>
      </c>
      <c r="BE49" s="29" t="str">
        <f t="shared" si="52"/>
        <v>#DIV/0!</v>
      </c>
      <c r="BF49" s="29" t="str">
        <f t="shared" si="52"/>
        <v>#DIV/0!</v>
      </c>
      <c r="BG49" s="29" t="str">
        <f t="shared" si="52"/>
        <v>#DIV/0!</v>
      </c>
      <c r="BH49" s="29" t="str">
        <f t="shared" si="52"/>
        <v>#DIV/0!</v>
      </c>
      <c r="BI49" s="29" t="str">
        <f t="shared" si="52"/>
        <v>#DIV/0!</v>
      </c>
      <c r="BJ49" s="29" t="str">
        <f t="shared" si="52"/>
        <v>#DIV/0!</v>
      </c>
      <c r="BK49" s="29" t="str">
        <f t="shared" si="52"/>
        <v>#DIV/0!</v>
      </c>
      <c r="BL49" s="29" t="str">
        <f t="shared" si="52"/>
        <v>#DIV/0!</v>
      </c>
      <c r="BM49" s="29" t="str">
        <f t="shared" si="3"/>
        <v>#DIV/0!</v>
      </c>
    </row>
    <row r="50">
      <c r="A50" s="16" t="str">
        <f>IFERROR(__xludf.DUMMYFUNCTION("IFERROR(SPARKLINE(SORT(MAP(TRANSPOSE(AQ50:BL50), LAMBDA(val, IF(ISNUMBER(val), PERCENTRANK(AQ50:BL50, val)+0.01, 0))), SEQUENCE(COLUMNS(AQ50:BL50)), FALSE), {""charttype"",""column""; ""color"",""chartreuse""; ""ymin"", 0; ""ymax"", 1.01; ""highcolor"", "&amp;"""darkgreen""; ""lowcolor"", ""red""}), """")"),"")</f>
        <v/>
      </c>
      <c r="B50" s="17" t="str">
        <f t="shared" si="4"/>
        <v/>
      </c>
      <c r="C50" s="1" t="s">
        <v>1000</v>
      </c>
      <c r="D50" s="30" t="str">
        <f>IFERROR(__xludf.DUMMYFUNCTION("IFERROR(GOOGLEFINANCE(C50, ""NAME""))"),"Joby Aviation Inc")</f>
        <v>Joby Aviation Inc</v>
      </c>
      <c r="E50" s="30" t="s">
        <v>1001</v>
      </c>
      <c r="F50" s="33" t="str">
        <f>IFERROR(__xludf.DUMMYFUNCTION("( (GOOGLEFINANCE(C50, ""price"") - Q50) / Q50 ) / (R50 / 100)"),"Loading...")</f>
        <v>Loading...</v>
      </c>
      <c r="G50" s="20" t="str">
        <f>IFERROR(__xludf.DUMMYFUNCTION("AVERAGE(ARRAYFORMULA(100 * (QUERY(GOOGLEFINANCE(C50, ""high"", TODAY()-40, TODAY()), ""SELECT Col2 WHERE Col2 IS NOT NULL ORDER BY Col1 DESC LIMIT 20"", 0) / QUERY(GOOGLEFINANCE(C50, ""low"", TODAY()-40, TODAY()), ""SELECT Col2 WHERE Col2 IS NOT NULL ORDE"&amp;"R BY Col1 DESC LIMIT 20"", 0) - 1)))"),"#N/A")</f>
        <v>#N/A</v>
      </c>
      <c r="H50" s="35" t="str">
        <f t="shared" si="6"/>
        <v/>
      </c>
      <c r="I50" s="35" t="str">
        <f t="shared" si="7"/>
        <v/>
      </c>
      <c r="J50" s="37" t="str">
        <f>IFERROR(__xludf.DUMMYFUNCTION("IFERROR(
  IF(C50="""",, 
    IFERROR(
      GOOGLEFINANCE(C50, ""price"") * GOOGLEFINANCE(C50, ""volumeavg""), 
      GOOGLEFINANCE(C50, ""price"") * AVERAGE(QUERY(GOOGLEFINANCE(C50, ""volume"", TODAY()-40, TODAY()), ""SELECT Col2 WHERE Col2 IS NOT NULL "&amp;"ORDER BY Col1 DESC LIMIT 20"", 0))
    )
  ), 
"""")"),"")</f>
        <v/>
      </c>
      <c r="K50" s="21" t="str">
        <f>IFERROR(__xludf.DUMMYFUNCTION("IFERROR(GOOGLEFINANCE(C50, ""changepct"") / 100, """")"),"")</f>
        <v/>
      </c>
      <c r="L50" s="21" t="str">
        <f>IFERROR(__xludf.DUMMYFUNCTION("IFERROR((GOOGLEFINANCE(C50, ""price"") / INDEX(GOOGLEFINANCE(C50, ""price"", TODAY()-7, TODAY()), 2, 2)) - 1, """")"),"")</f>
        <v/>
      </c>
      <c r="M50" s="21" t="str">
        <f>IFERROR(__xludf.DUMMYFUNCTION("IFERROR((GOOGLEFINANCE(C50, ""price"") / INDEX(GOOGLEFINANCE(C50, ""price"", EDATE(TODAY(), -1), TODAY()), 2, 2)) - 1, """")"),"")</f>
        <v/>
      </c>
      <c r="N50" s="21" t="str">
        <f>IFERROR(__xludf.DUMMYFUNCTION("IFERROR((GOOGLEFINANCE(C50, ""price"") / INDEX(GOOGLEFINANCE(C50, ""price"", EDATE(TODAY(), -3), TODAY()), 2, 2)) - 1, """")"),"")</f>
        <v/>
      </c>
      <c r="O50" s="21" t="str">
        <f>IFERROR(__xludf.DUMMYFUNCTION("IFERROR((GOOGLEFINANCE(C50, ""price"") / INDEX(GOOGLEFINANCE(C50, ""price"", EDATE(TODAY(), -6), TODAY()), 2, 2)) - 1, """")"),"")</f>
        <v/>
      </c>
      <c r="P50" s="21" t="str">
        <f>IFERROR(__xludf.DUMMYFUNCTION("IFERROR((GOOGLEFINANCE(C50, ""price"") / INDEX(GOOGLEFINANCE(C50, ""price"", EDATE(TODAY(), -12), TODAY()), 2, 2)) - 1, """")"),"")</f>
        <v/>
      </c>
      <c r="Q50" s="6" t="str">
        <f>IFERROR(__xludf.DUMMYFUNCTION("AVERAGE(QUERY(GOOGLEFINANCE(C50, ""price"", TODAY()-80, TODAY()), ""SELECT Col2 WHERE Col2 IS NOT NULL ORDER BY Col1 DESC LIMIT 50"", 0))"),"#N/A")</f>
        <v>#N/A</v>
      </c>
      <c r="R50" s="24" t="str">
        <f>IFERROR(__xludf.DUMMYFUNCTION("IFERROR(
  LET(
    data, QUERY(GOOGLEFINANCE(C50,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GOOGLEFINANCE(C50, ""price"")) * 100,
    IF(calc=0, G50, calc)
  ), 
G50)"),"#N/A")</f>
        <v>#N/A</v>
      </c>
      <c r="S50" s="8" t="s">
        <v>15</v>
      </c>
      <c r="T50" s="26" t="str">
        <f>IFERROR(__xludf.DUMMYFUNCTION("IFERROR(TRANSPOSE(QUERY(IFERROR(SORT(GOOGLEFINANCE(C50, ""price"", WORKDAY(TODAY(), -40), TODAY()), 1, FALSE)), ""select Col2 where Col2 is not null limit 22 label Col2 ''"", 0)), """")"),"")</f>
        <v/>
      </c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8"/>
      <c r="AO50" s="28"/>
      <c r="AP50" s="29"/>
      <c r="AQ50" s="29" t="str">
        <f t="shared" ref="AQ50:BL50" si="53">T50/T$2</f>
        <v>#N/A</v>
      </c>
      <c r="AR50" s="29" t="str">
        <f t="shared" si="53"/>
        <v>#DIV/0!</v>
      </c>
      <c r="AS50" s="29" t="str">
        <f t="shared" si="53"/>
        <v>#DIV/0!</v>
      </c>
      <c r="AT50" s="29" t="str">
        <f t="shared" si="53"/>
        <v>#DIV/0!</v>
      </c>
      <c r="AU50" s="29" t="str">
        <f t="shared" si="53"/>
        <v>#DIV/0!</v>
      </c>
      <c r="AV50" s="29" t="str">
        <f t="shared" si="53"/>
        <v>#DIV/0!</v>
      </c>
      <c r="AW50" s="29" t="str">
        <f t="shared" si="53"/>
        <v>#DIV/0!</v>
      </c>
      <c r="AX50" s="29" t="str">
        <f t="shared" si="53"/>
        <v>#DIV/0!</v>
      </c>
      <c r="AY50" s="29" t="str">
        <f t="shared" si="53"/>
        <v>#DIV/0!</v>
      </c>
      <c r="AZ50" s="29" t="str">
        <f t="shared" si="53"/>
        <v>#DIV/0!</v>
      </c>
      <c r="BA50" s="29" t="str">
        <f t="shared" si="53"/>
        <v>#DIV/0!</v>
      </c>
      <c r="BB50" s="29" t="str">
        <f t="shared" si="53"/>
        <v>#DIV/0!</v>
      </c>
      <c r="BC50" s="29" t="str">
        <f t="shared" si="53"/>
        <v>#DIV/0!</v>
      </c>
      <c r="BD50" s="29" t="str">
        <f t="shared" si="53"/>
        <v>#DIV/0!</v>
      </c>
      <c r="BE50" s="29" t="str">
        <f t="shared" si="53"/>
        <v>#DIV/0!</v>
      </c>
      <c r="BF50" s="29" t="str">
        <f t="shared" si="53"/>
        <v>#DIV/0!</v>
      </c>
      <c r="BG50" s="29" t="str">
        <f t="shared" si="53"/>
        <v>#DIV/0!</v>
      </c>
      <c r="BH50" s="29" t="str">
        <f t="shared" si="53"/>
        <v>#DIV/0!</v>
      </c>
      <c r="BI50" s="29" t="str">
        <f t="shared" si="53"/>
        <v>#DIV/0!</v>
      </c>
      <c r="BJ50" s="29" t="str">
        <f t="shared" si="53"/>
        <v>#DIV/0!</v>
      </c>
      <c r="BK50" s="29" t="str">
        <f t="shared" si="53"/>
        <v>#DIV/0!</v>
      </c>
      <c r="BL50" s="29" t="str">
        <f t="shared" si="53"/>
        <v>#DIV/0!</v>
      </c>
      <c r="BM50" s="29" t="str">
        <f t="shared" si="3"/>
        <v>#DIV/0!</v>
      </c>
    </row>
    <row r="51">
      <c r="A51" s="16" t="str">
        <f>IFERROR(__xludf.DUMMYFUNCTION("IFERROR(SPARKLINE(SORT(MAP(TRANSPOSE(AQ51:BL51), LAMBDA(val, IF(ISNUMBER(val), PERCENTRANK(AQ51:BL51, val)+0.01, 0))), SEQUENCE(COLUMNS(AQ51:BL51)), FALSE), {""charttype"",""column""; ""color"",""chartreuse""; ""ymin"", 0; ""ymax"", 1.01; ""highcolor"", "&amp;"""darkgreen""; ""lowcolor"", ""red""}), """")"),"")</f>
        <v/>
      </c>
      <c r="B51" s="17" t="str">
        <f t="shared" si="4"/>
        <v/>
      </c>
      <c r="C51" s="1" t="s">
        <v>1005</v>
      </c>
      <c r="D51" s="30" t="str">
        <f>IFERROR(__xludf.DUMMYFUNCTION("IFERROR(GOOGLEFINANCE(C51, ""NAME""))"),"Planet Labs PBC")</f>
        <v>Planet Labs PBC</v>
      </c>
      <c r="E51" s="30" t="s">
        <v>839</v>
      </c>
      <c r="F51" s="33" t="str">
        <f>IFERROR(__xludf.DUMMYFUNCTION("( (GOOGLEFINANCE(C51, ""price"") - Q51) / Q51 ) / (R51 / 100)"),"Loading...")</f>
        <v>Loading...</v>
      </c>
      <c r="G51" s="20" t="str">
        <f>IFERROR(__xludf.DUMMYFUNCTION("AVERAGE(ARRAYFORMULA(100 * (QUERY(GOOGLEFINANCE(C51, ""high"", TODAY()-40, TODAY()), ""SELECT Col2 WHERE Col2 IS NOT NULL ORDER BY Col1 DESC LIMIT 20"", 0) / QUERY(GOOGLEFINANCE(C51, ""low"", TODAY()-40, TODAY()), ""SELECT Col2 WHERE Col2 IS NOT NULL ORDE"&amp;"R BY Col1 DESC LIMIT 20"", 0) - 1)))"),"#N/A")</f>
        <v>#N/A</v>
      </c>
      <c r="H51" s="35" t="str">
        <f t="shared" si="6"/>
        <v/>
      </c>
      <c r="I51" s="35" t="str">
        <f t="shared" si="7"/>
        <v/>
      </c>
      <c r="J51" s="37" t="str">
        <f>IFERROR(__xludf.DUMMYFUNCTION("IFERROR(
  IF(C51="""",, 
    IFERROR(
      GOOGLEFINANCE(C51, ""price"") * GOOGLEFINANCE(C51, ""volumeavg""), 
      GOOGLEFINANCE(C51, ""price"") * AVERAGE(QUERY(GOOGLEFINANCE(C51, ""volume"", TODAY()-40, TODAY()), ""SELECT Col2 WHERE Col2 IS NOT NULL "&amp;"ORDER BY Col1 DESC LIMIT 20"", 0))
    )
  ), 
"""")"),"")</f>
        <v/>
      </c>
      <c r="K51" s="21" t="str">
        <f>IFERROR(__xludf.DUMMYFUNCTION("IFERROR(GOOGLEFINANCE(C51, ""changepct"") / 100, """")"),"")</f>
        <v/>
      </c>
      <c r="L51" s="21" t="str">
        <f>IFERROR(__xludf.DUMMYFUNCTION("IFERROR((GOOGLEFINANCE(C51, ""price"") / INDEX(GOOGLEFINANCE(C51, ""price"", TODAY()-7, TODAY()), 2, 2)) - 1, """")"),"")</f>
        <v/>
      </c>
      <c r="M51" s="21" t="str">
        <f>IFERROR(__xludf.DUMMYFUNCTION("IFERROR((GOOGLEFINANCE(C51, ""price"") / INDEX(GOOGLEFINANCE(C51, ""price"", EDATE(TODAY(), -1), TODAY()), 2, 2)) - 1, """")"),"")</f>
        <v/>
      </c>
      <c r="N51" s="21" t="str">
        <f>IFERROR(__xludf.DUMMYFUNCTION("IFERROR((GOOGLEFINANCE(C51, ""price"") / INDEX(GOOGLEFINANCE(C51, ""price"", EDATE(TODAY(), -3), TODAY()), 2, 2)) - 1, """")"),"")</f>
        <v/>
      </c>
      <c r="O51" s="21" t="str">
        <f>IFERROR(__xludf.DUMMYFUNCTION("IFERROR((GOOGLEFINANCE(C51, ""price"") / INDEX(GOOGLEFINANCE(C51, ""price"", EDATE(TODAY(), -6), TODAY()), 2, 2)) - 1, """")"),"")</f>
        <v/>
      </c>
      <c r="P51" s="21" t="str">
        <f>IFERROR(__xludf.DUMMYFUNCTION("IFERROR((GOOGLEFINANCE(C51, ""price"") / INDEX(GOOGLEFINANCE(C51, ""price"", EDATE(TODAY(), -12), TODAY()), 2, 2)) - 1, """")"),"")</f>
        <v/>
      </c>
      <c r="Q51" s="6" t="str">
        <f>IFERROR(__xludf.DUMMYFUNCTION("AVERAGE(QUERY(GOOGLEFINANCE(C51, ""price"", TODAY()-80, TODAY()), ""SELECT Col2 WHERE Col2 IS NOT NULL ORDER BY Col1 DESC LIMIT 50"", 0))"),"#N/A")</f>
        <v>#N/A</v>
      </c>
      <c r="R51" s="24" t="str">
        <f>IFERROR(__xludf.DUMMYFUNCTION("IFERROR(
  LET(
    data, QUERY(GOOGLEFINANCE(C51,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GOOGLEFINANCE(C51, ""price"")) * 100,
    IF(calc=0, G51, calc)
  ), 
G51)"),"#N/A")</f>
        <v>#N/A</v>
      </c>
      <c r="S51" s="8" t="s">
        <v>15</v>
      </c>
      <c r="T51" s="26" t="str">
        <f>IFERROR(__xludf.DUMMYFUNCTION("IFERROR(TRANSPOSE(QUERY(IFERROR(SORT(GOOGLEFINANCE(C51, ""price"", WORKDAY(TODAY(), -40), TODAY()), 1, FALSE)), ""select Col2 where Col2 is not null limit 22 label Col2 ''"", 0)), """")"),"")</f>
        <v/>
      </c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8"/>
      <c r="AO51" s="28"/>
      <c r="AP51" s="29"/>
      <c r="AQ51" s="29" t="str">
        <f t="shared" ref="AQ51:BL51" si="54">T51/T$2</f>
        <v>#N/A</v>
      </c>
      <c r="AR51" s="29" t="str">
        <f t="shared" si="54"/>
        <v>#DIV/0!</v>
      </c>
      <c r="AS51" s="29" t="str">
        <f t="shared" si="54"/>
        <v>#DIV/0!</v>
      </c>
      <c r="AT51" s="29" t="str">
        <f t="shared" si="54"/>
        <v>#DIV/0!</v>
      </c>
      <c r="AU51" s="29" t="str">
        <f t="shared" si="54"/>
        <v>#DIV/0!</v>
      </c>
      <c r="AV51" s="29" t="str">
        <f t="shared" si="54"/>
        <v>#DIV/0!</v>
      </c>
      <c r="AW51" s="29" t="str">
        <f t="shared" si="54"/>
        <v>#DIV/0!</v>
      </c>
      <c r="AX51" s="29" t="str">
        <f t="shared" si="54"/>
        <v>#DIV/0!</v>
      </c>
      <c r="AY51" s="29" t="str">
        <f t="shared" si="54"/>
        <v>#DIV/0!</v>
      </c>
      <c r="AZ51" s="29" t="str">
        <f t="shared" si="54"/>
        <v>#DIV/0!</v>
      </c>
      <c r="BA51" s="29" t="str">
        <f t="shared" si="54"/>
        <v>#DIV/0!</v>
      </c>
      <c r="BB51" s="29" t="str">
        <f t="shared" si="54"/>
        <v>#DIV/0!</v>
      </c>
      <c r="BC51" s="29" t="str">
        <f t="shared" si="54"/>
        <v>#DIV/0!</v>
      </c>
      <c r="BD51" s="29" t="str">
        <f t="shared" si="54"/>
        <v>#DIV/0!</v>
      </c>
      <c r="BE51" s="29" t="str">
        <f t="shared" si="54"/>
        <v>#DIV/0!</v>
      </c>
      <c r="BF51" s="29" t="str">
        <f t="shared" si="54"/>
        <v>#DIV/0!</v>
      </c>
      <c r="BG51" s="29" t="str">
        <f t="shared" si="54"/>
        <v>#DIV/0!</v>
      </c>
      <c r="BH51" s="29" t="str">
        <f t="shared" si="54"/>
        <v>#DIV/0!</v>
      </c>
      <c r="BI51" s="29" t="str">
        <f t="shared" si="54"/>
        <v>#DIV/0!</v>
      </c>
      <c r="BJ51" s="29" t="str">
        <f t="shared" si="54"/>
        <v>#DIV/0!</v>
      </c>
      <c r="BK51" s="29" t="str">
        <f t="shared" si="54"/>
        <v>#DIV/0!</v>
      </c>
      <c r="BL51" s="29" t="str">
        <f t="shared" si="54"/>
        <v>#DIV/0!</v>
      </c>
      <c r="BM51" s="29" t="str">
        <f t="shared" si="3"/>
        <v>#DIV/0!</v>
      </c>
    </row>
    <row r="52">
      <c r="A52" s="16" t="str">
        <f>IFERROR(__xludf.DUMMYFUNCTION("IFERROR(SPARKLINE(SORT(MAP(TRANSPOSE(AQ52:BL52), LAMBDA(val, IF(ISNUMBER(val), PERCENTRANK(AQ52:BL52, val)+0.01, 0))), SEQUENCE(COLUMNS(AQ52:BL52)), FALSE), {""charttype"",""column""; ""color"",""chartreuse""; ""ymin"", 0; ""ymax"", 1.01; ""highcolor"", "&amp;"""darkgreen""; ""lowcolor"", ""red""}), """")"),"")</f>
        <v/>
      </c>
      <c r="B52" s="17" t="str">
        <f t="shared" si="4"/>
        <v/>
      </c>
      <c r="C52" s="1" t="s">
        <v>1009</v>
      </c>
      <c r="D52" s="30" t="str">
        <f>IFERROR(__xludf.DUMMYFUNCTION("IFERROR(GOOGLEFINANCE(C52, ""NAME""))"),"Danaos Corp")</f>
        <v>Danaos Corp</v>
      </c>
      <c r="E52" s="30" t="s">
        <v>834</v>
      </c>
      <c r="F52" s="33" t="str">
        <f>IFERROR(__xludf.DUMMYFUNCTION("( (GOOGLEFINANCE(C52, ""price"") - Q52) / Q52 ) / (R52 / 100)"),"Loading...")</f>
        <v>Loading...</v>
      </c>
      <c r="G52" s="20" t="str">
        <f>IFERROR(__xludf.DUMMYFUNCTION("AVERAGE(ARRAYFORMULA(100 * (QUERY(GOOGLEFINANCE(C52, ""high"", TODAY()-40, TODAY()), ""SELECT Col2 WHERE Col2 IS NOT NULL ORDER BY Col1 DESC LIMIT 20"", 0) / QUERY(GOOGLEFINANCE(C52, ""low"", TODAY()-40, TODAY()), ""SELECT Col2 WHERE Col2 IS NOT NULL ORDE"&amp;"R BY Col1 DESC LIMIT 20"", 0) - 1)))"),"#N/A")</f>
        <v>#N/A</v>
      </c>
      <c r="H52" s="35" t="str">
        <f t="shared" si="6"/>
        <v/>
      </c>
      <c r="I52" s="35" t="str">
        <f t="shared" si="7"/>
        <v/>
      </c>
      <c r="J52" s="37" t="str">
        <f>IFERROR(__xludf.DUMMYFUNCTION("IFERROR(
  IF(C52="""",, 
    IFERROR(
      GOOGLEFINANCE(C52, ""price"") * GOOGLEFINANCE(C52, ""volumeavg""), 
      GOOGLEFINANCE(C52, ""price"") * AVERAGE(QUERY(GOOGLEFINANCE(C52, ""volume"", TODAY()-40, TODAY()), ""SELECT Col2 WHERE Col2 IS NOT NULL "&amp;"ORDER BY Col1 DESC LIMIT 20"", 0))
    )
  ), 
"""")"),"")</f>
        <v/>
      </c>
      <c r="K52" s="21" t="str">
        <f>IFERROR(__xludf.DUMMYFUNCTION("IFERROR(GOOGLEFINANCE(C52, ""changepct"") / 100, """")"),"")</f>
        <v/>
      </c>
      <c r="L52" s="21" t="str">
        <f>IFERROR(__xludf.DUMMYFUNCTION("IFERROR((GOOGLEFINANCE(C52, ""price"") / INDEX(GOOGLEFINANCE(C52, ""price"", TODAY()-7, TODAY()), 2, 2)) - 1, """")"),"")</f>
        <v/>
      </c>
      <c r="M52" s="21" t="str">
        <f>IFERROR(__xludf.DUMMYFUNCTION("IFERROR((GOOGLEFINANCE(C52, ""price"") / INDEX(GOOGLEFINANCE(C52, ""price"", EDATE(TODAY(), -1), TODAY()), 2, 2)) - 1, """")"),"")</f>
        <v/>
      </c>
      <c r="N52" s="21" t="str">
        <f>IFERROR(__xludf.DUMMYFUNCTION("IFERROR((GOOGLEFINANCE(C52, ""price"") / INDEX(GOOGLEFINANCE(C52, ""price"", EDATE(TODAY(), -3), TODAY()), 2, 2)) - 1, """")"),"")</f>
        <v/>
      </c>
      <c r="O52" s="21" t="str">
        <f>IFERROR(__xludf.DUMMYFUNCTION("IFERROR((GOOGLEFINANCE(C52, ""price"") / INDEX(GOOGLEFINANCE(C52, ""price"", EDATE(TODAY(), -6), TODAY()), 2, 2)) - 1, """")"),"")</f>
        <v/>
      </c>
      <c r="P52" s="21" t="str">
        <f>IFERROR(__xludf.DUMMYFUNCTION("IFERROR((GOOGLEFINANCE(C52, ""price"") / INDEX(GOOGLEFINANCE(C52, ""price"", EDATE(TODAY(), -12), TODAY()), 2, 2)) - 1, """")"),"")</f>
        <v/>
      </c>
      <c r="Q52" s="6" t="str">
        <f>IFERROR(__xludf.DUMMYFUNCTION("AVERAGE(QUERY(GOOGLEFINANCE(C52, ""price"", TODAY()-80, TODAY()), ""SELECT Col2 WHERE Col2 IS NOT NULL ORDER BY Col1 DESC LIMIT 50"", 0))"),"#N/A")</f>
        <v>#N/A</v>
      </c>
      <c r="R52" s="24" t="str">
        <f>IFERROR(__xludf.DUMMYFUNCTION("IFERROR(
  LET(
    data, QUERY(GOOGLEFINANCE(C52,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GOOGLEFINANCE(C52, ""price"")) * 100,
    IF(calc=0, G52, calc)
  ), 
G52)"),"#N/A")</f>
        <v>#N/A</v>
      </c>
      <c r="S52" s="8" t="s">
        <v>15</v>
      </c>
      <c r="T52" s="26" t="str">
        <f>IFERROR(__xludf.DUMMYFUNCTION("IFERROR(TRANSPOSE(QUERY(IFERROR(SORT(GOOGLEFINANCE(C52, ""price"", WORKDAY(TODAY(), -40), TODAY()), 1, FALSE)), ""select Col2 where Col2 is not null limit 22 label Col2 ''"", 0)), """")"),"")</f>
        <v/>
      </c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8"/>
      <c r="AO52" s="28"/>
      <c r="AP52" s="29"/>
      <c r="AQ52" s="29" t="str">
        <f t="shared" ref="AQ52:BL52" si="55">T52/T$2</f>
        <v>#N/A</v>
      </c>
      <c r="AR52" s="29" t="str">
        <f t="shared" si="55"/>
        <v>#DIV/0!</v>
      </c>
      <c r="AS52" s="29" t="str">
        <f t="shared" si="55"/>
        <v>#DIV/0!</v>
      </c>
      <c r="AT52" s="29" t="str">
        <f t="shared" si="55"/>
        <v>#DIV/0!</v>
      </c>
      <c r="AU52" s="29" t="str">
        <f t="shared" si="55"/>
        <v>#DIV/0!</v>
      </c>
      <c r="AV52" s="29" t="str">
        <f t="shared" si="55"/>
        <v>#DIV/0!</v>
      </c>
      <c r="AW52" s="29" t="str">
        <f t="shared" si="55"/>
        <v>#DIV/0!</v>
      </c>
      <c r="AX52" s="29" t="str">
        <f t="shared" si="55"/>
        <v>#DIV/0!</v>
      </c>
      <c r="AY52" s="29" t="str">
        <f t="shared" si="55"/>
        <v>#DIV/0!</v>
      </c>
      <c r="AZ52" s="29" t="str">
        <f t="shared" si="55"/>
        <v>#DIV/0!</v>
      </c>
      <c r="BA52" s="29" t="str">
        <f t="shared" si="55"/>
        <v>#DIV/0!</v>
      </c>
      <c r="BB52" s="29" t="str">
        <f t="shared" si="55"/>
        <v>#DIV/0!</v>
      </c>
      <c r="BC52" s="29" t="str">
        <f t="shared" si="55"/>
        <v>#DIV/0!</v>
      </c>
      <c r="BD52" s="29" t="str">
        <f t="shared" si="55"/>
        <v>#DIV/0!</v>
      </c>
      <c r="BE52" s="29" t="str">
        <f t="shared" si="55"/>
        <v>#DIV/0!</v>
      </c>
      <c r="BF52" s="29" t="str">
        <f t="shared" si="55"/>
        <v>#DIV/0!</v>
      </c>
      <c r="BG52" s="29" t="str">
        <f t="shared" si="55"/>
        <v>#DIV/0!</v>
      </c>
      <c r="BH52" s="29" t="str">
        <f t="shared" si="55"/>
        <v>#DIV/0!</v>
      </c>
      <c r="BI52" s="29" t="str">
        <f t="shared" si="55"/>
        <v>#DIV/0!</v>
      </c>
      <c r="BJ52" s="29" t="str">
        <f t="shared" si="55"/>
        <v>#DIV/0!</v>
      </c>
      <c r="BK52" s="29" t="str">
        <f t="shared" si="55"/>
        <v>#DIV/0!</v>
      </c>
      <c r="BL52" s="29" t="str">
        <f t="shared" si="55"/>
        <v>#DIV/0!</v>
      </c>
      <c r="BM52" s="29" t="str">
        <f t="shared" si="3"/>
        <v>#DIV/0!</v>
      </c>
    </row>
    <row r="53">
      <c r="A53" s="16" t="str">
        <f>IFERROR(__xludf.DUMMYFUNCTION("IFERROR(SPARKLINE(SORT(MAP(TRANSPOSE(AQ53:BL53), LAMBDA(val, IF(ISNUMBER(val), PERCENTRANK(AQ53:BL53, val)+0.01, 0))), SEQUENCE(COLUMNS(AQ53:BL53)), FALSE), {""charttype"",""column""; ""color"",""chartreuse""; ""ymin"", 0; ""ymax"", 1.01; ""highcolor"", "&amp;"""darkgreen""; ""lowcolor"", ""red""}), """")"),"")</f>
        <v/>
      </c>
      <c r="B53" s="17" t="str">
        <f t="shared" si="4"/>
        <v/>
      </c>
      <c r="C53" s="1" t="s">
        <v>1012</v>
      </c>
      <c r="D53" s="30" t="str">
        <f>IFERROR(__xludf.DUMMYFUNCTION("IFERROR(GOOGLEFINANCE(C53, ""NAME""))"),"nVent Electric PLC")</f>
        <v>nVent Electric PLC</v>
      </c>
      <c r="E53" s="30" t="s">
        <v>864</v>
      </c>
      <c r="F53" s="33" t="str">
        <f>IFERROR(__xludf.DUMMYFUNCTION("( (GOOGLEFINANCE(C53, ""price"") - Q53) / Q53 ) / (R53 / 100)"),"Loading...")</f>
        <v>Loading...</v>
      </c>
      <c r="G53" s="20" t="str">
        <f>IFERROR(__xludf.DUMMYFUNCTION("AVERAGE(ARRAYFORMULA(100 * (QUERY(GOOGLEFINANCE(C53, ""high"", TODAY()-40, TODAY()), ""SELECT Col2 WHERE Col2 IS NOT NULL ORDER BY Col1 DESC LIMIT 20"", 0) / QUERY(GOOGLEFINANCE(C53, ""low"", TODAY()-40, TODAY()), ""SELECT Col2 WHERE Col2 IS NOT NULL ORDE"&amp;"R BY Col1 DESC LIMIT 20"", 0) - 1)))"),"#N/A")</f>
        <v>#N/A</v>
      </c>
      <c r="H53" s="35" t="str">
        <f t="shared" si="6"/>
        <v/>
      </c>
      <c r="I53" s="35" t="str">
        <f t="shared" si="7"/>
        <v/>
      </c>
      <c r="J53" s="37" t="str">
        <f>IFERROR(__xludf.DUMMYFUNCTION("IFERROR(
  IF(C53="""",, 
    IFERROR(
      GOOGLEFINANCE(C53, ""price"") * GOOGLEFINANCE(C53, ""volumeavg""), 
      GOOGLEFINANCE(C53, ""price"") * AVERAGE(QUERY(GOOGLEFINANCE(C53, ""volume"", TODAY()-40, TODAY()), ""SELECT Col2 WHERE Col2 IS NOT NULL "&amp;"ORDER BY Col1 DESC LIMIT 20"", 0))
    )
  ), 
"""")"),"")</f>
        <v/>
      </c>
      <c r="K53" s="21" t="str">
        <f>IFERROR(__xludf.DUMMYFUNCTION("IFERROR(GOOGLEFINANCE(C53, ""changepct"") / 100, """")"),"")</f>
        <v/>
      </c>
      <c r="L53" s="21" t="str">
        <f>IFERROR(__xludf.DUMMYFUNCTION("IFERROR((GOOGLEFINANCE(C53, ""price"") / INDEX(GOOGLEFINANCE(C53, ""price"", TODAY()-7, TODAY()), 2, 2)) - 1, """")"),"")</f>
        <v/>
      </c>
      <c r="M53" s="21" t="str">
        <f>IFERROR(__xludf.DUMMYFUNCTION("IFERROR((GOOGLEFINANCE(C53, ""price"") / INDEX(GOOGLEFINANCE(C53, ""price"", EDATE(TODAY(), -1), TODAY()), 2, 2)) - 1, """")"),"")</f>
        <v/>
      </c>
      <c r="N53" s="21" t="str">
        <f>IFERROR(__xludf.DUMMYFUNCTION("IFERROR((GOOGLEFINANCE(C53, ""price"") / INDEX(GOOGLEFINANCE(C53, ""price"", EDATE(TODAY(), -3), TODAY()), 2, 2)) - 1, """")"),"")</f>
        <v/>
      </c>
      <c r="O53" s="21" t="str">
        <f>IFERROR(__xludf.DUMMYFUNCTION("IFERROR((GOOGLEFINANCE(C53, ""price"") / INDEX(GOOGLEFINANCE(C53, ""price"", EDATE(TODAY(), -6), TODAY()), 2, 2)) - 1, """")"),"")</f>
        <v/>
      </c>
      <c r="P53" s="21" t="str">
        <f>IFERROR(__xludf.DUMMYFUNCTION("IFERROR((GOOGLEFINANCE(C53, ""price"") / INDEX(GOOGLEFINANCE(C53, ""price"", EDATE(TODAY(), -12), TODAY()), 2, 2)) - 1, """")"),"")</f>
        <v/>
      </c>
      <c r="Q53" s="6" t="str">
        <f>IFERROR(__xludf.DUMMYFUNCTION("AVERAGE(QUERY(GOOGLEFINANCE(C53, ""price"", TODAY()-80, TODAY()), ""SELECT Col2 WHERE Col2 IS NOT NULL ORDER BY Col1 DESC LIMIT 50"", 0))"),"#N/A")</f>
        <v>#N/A</v>
      </c>
      <c r="R53" s="24" t="str">
        <f>IFERROR(__xludf.DUMMYFUNCTION("IFERROR(
  LET(
    data, QUERY(GOOGLEFINANCE(C53,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GOOGLEFINANCE(C53, ""price"")) * 100,
    IF(calc=0, G53, calc)
  ), 
G53)"),"#N/A")</f>
        <v>#N/A</v>
      </c>
      <c r="S53" s="8" t="s">
        <v>15</v>
      </c>
      <c r="T53" s="26" t="str">
        <f>IFERROR(__xludf.DUMMYFUNCTION("IFERROR(TRANSPOSE(QUERY(IFERROR(SORT(GOOGLEFINANCE(C53, ""price"", WORKDAY(TODAY(), -40), TODAY()), 1, FALSE)), ""select Col2 where Col2 is not null limit 22 label Col2 ''"", 0)), """")"),"")</f>
        <v/>
      </c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8"/>
      <c r="AO53" s="28"/>
      <c r="AP53" s="29"/>
      <c r="AQ53" s="29" t="str">
        <f t="shared" ref="AQ53:BL53" si="56">T53/T$2</f>
        <v>#N/A</v>
      </c>
      <c r="AR53" s="29" t="str">
        <f t="shared" si="56"/>
        <v>#DIV/0!</v>
      </c>
      <c r="AS53" s="29" t="str">
        <f t="shared" si="56"/>
        <v>#DIV/0!</v>
      </c>
      <c r="AT53" s="29" t="str">
        <f t="shared" si="56"/>
        <v>#DIV/0!</v>
      </c>
      <c r="AU53" s="29" t="str">
        <f t="shared" si="56"/>
        <v>#DIV/0!</v>
      </c>
      <c r="AV53" s="29" t="str">
        <f t="shared" si="56"/>
        <v>#DIV/0!</v>
      </c>
      <c r="AW53" s="29" t="str">
        <f t="shared" si="56"/>
        <v>#DIV/0!</v>
      </c>
      <c r="AX53" s="29" t="str">
        <f t="shared" si="56"/>
        <v>#DIV/0!</v>
      </c>
      <c r="AY53" s="29" t="str">
        <f t="shared" si="56"/>
        <v>#DIV/0!</v>
      </c>
      <c r="AZ53" s="29" t="str">
        <f t="shared" si="56"/>
        <v>#DIV/0!</v>
      </c>
      <c r="BA53" s="29" t="str">
        <f t="shared" si="56"/>
        <v>#DIV/0!</v>
      </c>
      <c r="BB53" s="29" t="str">
        <f t="shared" si="56"/>
        <v>#DIV/0!</v>
      </c>
      <c r="BC53" s="29" t="str">
        <f t="shared" si="56"/>
        <v>#DIV/0!</v>
      </c>
      <c r="BD53" s="29" t="str">
        <f t="shared" si="56"/>
        <v>#DIV/0!</v>
      </c>
      <c r="BE53" s="29" t="str">
        <f t="shared" si="56"/>
        <v>#DIV/0!</v>
      </c>
      <c r="BF53" s="29" t="str">
        <f t="shared" si="56"/>
        <v>#DIV/0!</v>
      </c>
      <c r="BG53" s="29" t="str">
        <f t="shared" si="56"/>
        <v>#DIV/0!</v>
      </c>
      <c r="BH53" s="29" t="str">
        <f t="shared" si="56"/>
        <v>#DIV/0!</v>
      </c>
      <c r="BI53" s="29" t="str">
        <f t="shared" si="56"/>
        <v>#DIV/0!</v>
      </c>
      <c r="BJ53" s="29" t="str">
        <f t="shared" si="56"/>
        <v>#DIV/0!</v>
      </c>
      <c r="BK53" s="29" t="str">
        <f t="shared" si="56"/>
        <v>#DIV/0!</v>
      </c>
      <c r="BL53" s="29" t="str">
        <f t="shared" si="56"/>
        <v>#DIV/0!</v>
      </c>
      <c r="BM53" s="29" t="str">
        <f t="shared" si="3"/>
        <v>#DIV/0!</v>
      </c>
    </row>
    <row r="54">
      <c r="A54" s="16" t="str">
        <f>IFERROR(__xludf.DUMMYFUNCTION("IFERROR(SPARKLINE(SORT(MAP(TRANSPOSE(AQ54:BL54), LAMBDA(val, IF(ISNUMBER(val), PERCENTRANK(AQ54:BL54, val)+0.01, 0))), SEQUENCE(COLUMNS(AQ54:BL54)), FALSE), {""charttype"",""column""; ""color"",""chartreuse""; ""ymin"", 0; ""ymax"", 1.01; ""highcolor"", "&amp;"""darkgreen""; ""lowcolor"", ""red""}), """")"),"")</f>
        <v/>
      </c>
      <c r="B54" s="17" t="str">
        <f t="shared" si="4"/>
        <v/>
      </c>
      <c r="C54" s="1" t="s">
        <v>1016</v>
      </c>
      <c r="D54" s="30" t="str">
        <f>IFERROR(__xludf.DUMMYFUNCTION("IFERROR(GOOGLEFINANCE(C54, ""NAME""))"),"Redwire Corp")</f>
        <v>Redwire Corp</v>
      </c>
      <c r="E54" s="30" t="s">
        <v>839</v>
      </c>
      <c r="F54" s="33" t="str">
        <f>IFERROR(__xludf.DUMMYFUNCTION("( (GOOGLEFINANCE(C54, ""price"") - Q54) / Q54 ) / (R54 / 100)"),"Loading...")</f>
        <v>Loading...</v>
      </c>
      <c r="G54" s="20" t="str">
        <f>IFERROR(__xludf.DUMMYFUNCTION("AVERAGE(ARRAYFORMULA(100 * (QUERY(GOOGLEFINANCE(C54, ""high"", TODAY()-40, TODAY()), ""SELECT Col2 WHERE Col2 IS NOT NULL ORDER BY Col1 DESC LIMIT 20"", 0) / QUERY(GOOGLEFINANCE(C54, ""low"", TODAY()-40, TODAY()), ""SELECT Col2 WHERE Col2 IS NOT NULL ORDE"&amp;"R BY Col1 DESC LIMIT 20"", 0) - 1)))"),"#N/A")</f>
        <v>#N/A</v>
      </c>
      <c r="H54" s="35" t="str">
        <f t="shared" si="6"/>
        <v/>
      </c>
      <c r="I54" s="35" t="str">
        <f t="shared" si="7"/>
        <v/>
      </c>
      <c r="J54" s="37" t="str">
        <f>IFERROR(__xludf.DUMMYFUNCTION("IFERROR(
  IF(C54="""",, 
    IFERROR(
      GOOGLEFINANCE(C54, ""price"") * GOOGLEFINANCE(C54, ""volumeavg""), 
      GOOGLEFINANCE(C54, ""price"") * AVERAGE(QUERY(GOOGLEFINANCE(C54, ""volume"", TODAY()-40, TODAY()), ""SELECT Col2 WHERE Col2 IS NOT NULL "&amp;"ORDER BY Col1 DESC LIMIT 20"", 0))
    )
  ), 
"""")"),"")</f>
        <v/>
      </c>
      <c r="K54" s="21" t="str">
        <f>IFERROR(__xludf.DUMMYFUNCTION("IFERROR(GOOGLEFINANCE(C54, ""changepct"") / 100, """")"),"")</f>
        <v/>
      </c>
      <c r="L54" s="21" t="str">
        <f>IFERROR(__xludf.DUMMYFUNCTION("IFERROR((GOOGLEFINANCE(C54, ""price"") / INDEX(GOOGLEFINANCE(C54, ""price"", TODAY()-7, TODAY()), 2, 2)) - 1, """")"),"")</f>
        <v/>
      </c>
      <c r="M54" s="21" t="str">
        <f>IFERROR(__xludf.DUMMYFUNCTION("IFERROR((GOOGLEFINANCE(C54, ""price"") / INDEX(GOOGLEFINANCE(C54, ""price"", EDATE(TODAY(), -1), TODAY()), 2, 2)) - 1, """")"),"")</f>
        <v/>
      </c>
      <c r="N54" s="21" t="str">
        <f>IFERROR(__xludf.DUMMYFUNCTION("IFERROR((GOOGLEFINANCE(C54, ""price"") / INDEX(GOOGLEFINANCE(C54, ""price"", EDATE(TODAY(), -3), TODAY()), 2, 2)) - 1, """")"),"")</f>
        <v/>
      </c>
      <c r="O54" s="21" t="str">
        <f>IFERROR(__xludf.DUMMYFUNCTION("IFERROR((GOOGLEFINANCE(C54, ""price"") / INDEX(GOOGLEFINANCE(C54, ""price"", EDATE(TODAY(), -6), TODAY()), 2, 2)) - 1, """")"),"")</f>
        <v/>
      </c>
      <c r="P54" s="21" t="str">
        <f>IFERROR(__xludf.DUMMYFUNCTION("IFERROR((GOOGLEFINANCE(C54, ""price"") / INDEX(GOOGLEFINANCE(C54, ""price"", EDATE(TODAY(), -12), TODAY()), 2, 2)) - 1, """")"),"")</f>
        <v/>
      </c>
      <c r="Q54" s="6" t="str">
        <f>IFERROR(__xludf.DUMMYFUNCTION("AVERAGE(QUERY(GOOGLEFINANCE(C54, ""price"", TODAY()-80, TODAY()), ""SELECT Col2 WHERE Col2 IS NOT NULL ORDER BY Col1 DESC LIMIT 50"", 0))"),"#N/A")</f>
        <v>#N/A</v>
      </c>
      <c r="R54" s="24" t="str">
        <f>IFERROR(__xludf.DUMMYFUNCTION("IFERROR(
  LET(
    data, QUERY(GOOGLEFINANCE(C54,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GOOGLEFINANCE(C54, ""price"")) * 100,
    IF(calc=0, G54, calc)
  ), 
G54)"),"#N/A")</f>
        <v>#N/A</v>
      </c>
      <c r="S54" s="8" t="s">
        <v>15</v>
      </c>
      <c r="T54" s="26" t="str">
        <f>IFERROR(__xludf.DUMMYFUNCTION("IFERROR(TRANSPOSE(QUERY(IFERROR(SORT(GOOGLEFINANCE(C54, ""price"", WORKDAY(TODAY(), -40), TODAY()), 1, FALSE)), ""select Col2 where Col2 is not null limit 22 label Col2 ''"", 0)), """")"),"")</f>
        <v/>
      </c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8"/>
      <c r="AO54" s="28"/>
      <c r="AP54" s="29"/>
      <c r="AQ54" s="29" t="str">
        <f t="shared" ref="AQ54:BL54" si="57">T54/T$2</f>
        <v>#N/A</v>
      </c>
      <c r="AR54" s="29" t="str">
        <f t="shared" si="57"/>
        <v>#DIV/0!</v>
      </c>
      <c r="AS54" s="29" t="str">
        <f t="shared" si="57"/>
        <v>#DIV/0!</v>
      </c>
      <c r="AT54" s="29" t="str">
        <f t="shared" si="57"/>
        <v>#DIV/0!</v>
      </c>
      <c r="AU54" s="29" t="str">
        <f t="shared" si="57"/>
        <v>#DIV/0!</v>
      </c>
      <c r="AV54" s="29" t="str">
        <f t="shared" si="57"/>
        <v>#DIV/0!</v>
      </c>
      <c r="AW54" s="29" t="str">
        <f t="shared" si="57"/>
        <v>#DIV/0!</v>
      </c>
      <c r="AX54" s="29" t="str">
        <f t="shared" si="57"/>
        <v>#DIV/0!</v>
      </c>
      <c r="AY54" s="29" t="str">
        <f t="shared" si="57"/>
        <v>#DIV/0!</v>
      </c>
      <c r="AZ54" s="29" t="str">
        <f t="shared" si="57"/>
        <v>#DIV/0!</v>
      </c>
      <c r="BA54" s="29" t="str">
        <f t="shared" si="57"/>
        <v>#DIV/0!</v>
      </c>
      <c r="BB54" s="29" t="str">
        <f t="shared" si="57"/>
        <v>#DIV/0!</v>
      </c>
      <c r="BC54" s="29" t="str">
        <f t="shared" si="57"/>
        <v>#DIV/0!</v>
      </c>
      <c r="BD54" s="29" t="str">
        <f t="shared" si="57"/>
        <v>#DIV/0!</v>
      </c>
      <c r="BE54" s="29" t="str">
        <f t="shared" si="57"/>
        <v>#DIV/0!</v>
      </c>
      <c r="BF54" s="29" t="str">
        <f t="shared" si="57"/>
        <v>#DIV/0!</v>
      </c>
      <c r="BG54" s="29" t="str">
        <f t="shared" si="57"/>
        <v>#DIV/0!</v>
      </c>
      <c r="BH54" s="29" t="str">
        <f t="shared" si="57"/>
        <v>#DIV/0!</v>
      </c>
      <c r="BI54" s="29" t="str">
        <f t="shared" si="57"/>
        <v>#DIV/0!</v>
      </c>
      <c r="BJ54" s="29" t="str">
        <f t="shared" si="57"/>
        <v>#DIV/0!</v>
      </c>
      <c r="BK54" s="29" t="str">
        <f t="shared" si="57"/>
        <v>#DIV/0!</v>
      </c>
      <c r="BL54" s="29" t="str">
        <f t="shared" si="57"/>
        <v>#DIV/0!</v>
      </c>
      <c r="BM54" s="29" t="str">
        <f t="shared" si="3"/>
        <v>#DIV/0!</v>
      </c>
    </row>
    <row r="55">
      <c r="A55" s="16" t="str">
        <f>IFERROR(__xludf.DUMMYFUNCTION("IFERROR(SPARKLINE(SORT(MAP(TRANSPOSE(AQ55:BL55), LAMBDA(val, IF(ISNUMBER(val), PERCENTRANK(AQ55:BL55, val)+0.01, 0))), SEQUENCE(COLUMNS(AQ55:BL55)), FALSE), {""charttype"",""column""; ""color"",""chartreuse""; ""ymin"", 0; ""ymax"", 1.01; ""highcolor"", "&amp;"""darkgreen""; ""lowcolor"", ""red""}), """")"),"")</f>
        <v/>
      </c>
      <c r="B55" s="17" t="str">
        <f t="shared" si="4"/>
        <v/>
      </c>
      <c r="C55" s="1" t="s">
        <v>1019</v>
      </c>
      <c r="D55" s="30" t="str">
        <f>IFERROR(__xludf.DUMMYFUNCTION("IFERROR(GOOGLEFINANCE(C55, ""NAME""))"),"Geo Group Inc")</f>
        <v>Geo Group Inc</v>
      </c>
      <c r="E55" s="30" t="s">
        <v>1020</v>
      </c>
      <c r="F55" s="33" t="str">
        <f>IFERROR(__xludf.DUMMYFUNCTION("( (GOOGLEFINANCE(C55, ""price"") - Q55) / Q55 ) / (R55 / 100)"),"Loading...")</f>
        <v>Loading...</v>
      </c>
      <c r="G55" s="20" t="str">
        <f>IFERROR(__xludf.DUMMYFUNCTION("AVERAGE(ARRAYFORMULA(100 * (QUERY(GOOGLEFINANCE(C55, ""high"", TODAY()-40, TODAY()), ""SELECT Col2 WHERE Col2 IS NOT NULL ORDER BY Col1 DESC LIMIT 20"", 0) / QUERY(GOOGLEFINANCE(C55, ""low"", TODAY()-40, TODAY()), ""SELECT Col2 WHERE Col2 IS NOT NULL ORDE"&amp;"R BY Col1 DESC LIMIT 20"", 0) - 1)))"),"#N/A")</f>
        <v>#N/A</v>
      </c>
      <c r="H55" s="35" t="str">
        <f t="shared" si="6"/>
        <v/>
      </c>
      <c r="I55" s="35" t="str">
        <f t="shared" si="7"/>
        <v/>
      </c>
      <c r="J55" s="37" t="str">
        <f>IFERROR(__xludf.DUMMYFUNCTION("IFERROR(
  IF(C55="""",, 
    IFERROR(
      GOOGLEFINANCE(C55, ""price"") * GOOGLEFINANCE(C55, ""volumeavg""), 
      GOOGLEFINANCE(C55, ""price"") * AVERAGE(QUERY(GOOGLEFINANCE(C55, ""volume"", TODAY()-40, TODAY()), ""SELECT Col2 WHERE Col2 IS NOT NULL "&amp;"ORDER BY Col1 DESC LIMIT 20"", 0))
    )
  ), 
"""")"),"")</f>
        <v/>
      </c>
      <c r="K55" s="21" t="str">
        <f>IFERROR(__xludf.DUMMYFUNCTION("IFERROR(GOOGLEFINANCE(C55, ""changepct"") / 100, """")"),"")</f>
        <v/>
      </c>
      <c r="L55" s="21" t="str">
        <f>IFERROR(__xludf.DUMMYFUNCTION("IFERROR((GOOGLEFINANCE(C55, ""price"") / INDEX(GOOGLEFINANCE(C55, ""price"", TODAY()-7, TODAY()), 2, 2)) - 1, """")"),"")</f>
        <v/>
      </c>
      <c r="M55" s="21" t="str">
        <f>IFERROR(__xludf.DUMMYFUNCTION("IFERROR((GOOGLEFINANCE(C55, ""price"") / INDEX(GOOGLEFINANCE(C55, ""price"", EDATE(TODAY(), -1), TODAY()), 2, 2)) - 1, """")"),"")</f>
        <v/>
      </c>
      <c r="N55" s="21" t="str">
        <f>IFERROR(__xludf.DUMMYFUNCTION("IFERROR((GOOGLEFINANCE(C55, ""price"") / INDEX(GOOGLEFINANCE(C55, ""price"", EDATE(TODAY(), -3), TODAY()), 2, 2)) - 1, """")"),"")</f>
        <v/>
      </c>
      <c r="O55" s="21" t="str">
        <f>IFERROR(__xludf.DUMMYFUNCTION("IFERROR((GOOGLEFINANCE(C55, ""price"") / INDEX(GOOGLEFINANCE(C55, ""price"", EDATE(TODAY(), -6), TODAY()), 2, 2)) - 1, """")"),"")</f>
        <v/>
      </c>
      <c r="P55" s="21" t="str">
        <f>IFERROR(__xludf.DUMMYFUNCTION("IFERROR((GOOGLEFINANCE(C55, ""price"") / INDEX(GOOGLEFINANCE(C55, ""price"", EDATE(TODAY(), -12), TODAY()), 2, 2)) - 1, """")"),"")</f>
        <v/>
      </c>
      <c r="Q55" s="6" t="str">
        <f>IFERROR(__xludf.DUMMYFUNCTION("AVERAGE(QUERY(GOOGLEFINANCE(C55, ""price"", TODAY()-80, TODAY()), ""SELECT Col2 WHERE Col2 IS NOT NULL ORDER BY Col1 DESC LIMIT 50"", 0))"),"#N/A")</f>
        <v>#N/A</v>
      </c>
      <c r="R55" s="24" t="str">
        <f>IFERROR(__xludf.DUMMYFUNCTION("IFERROR(
  LET(
    data, QUERY(GOOGLEFINANCE(C55,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GOOGLEFINANCE(C55, ""price"")) * 100,
    IF(calc=0, G55, calc)
  ), 
G55)"),"#N/A")</f>
        <v>#N/A</v>
      </c>
      <c r="S55" s="8" t="s">
        <v>15</v>
      </c>
      <c r="T55" s="26" t="str">
        <f>IFERROR(__xludf.DUMMYFUNCTION("IFERROR(TRANSPOSE(QUERY(IFERROR(SORT(GOOGLEFINANCE(C55, ""price"", WORKDAY(TODAY(), -40), TODAY()), 1, FALSE)), ""select Col2 where Col2 is not null limit 22 label Col2 ''"", 0)), """")"),"")</f>
        <v/>
      </c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8"/>
      <c r="AO55" s="28"/>
      <c r="AP55" s="29"/>
      <c r="AQ55" s="29" t="str">
        <f t="shared" ref="AQ55:BL55" si="58">T55/T$2</f>
        <v>#N/A</v>
      </c>
      <c r="AR55" s="29" t="str">
        <f t="shared" si="58"/>
        <v>#DIV/0!</v>
      </c>
      <c r="AS55" s="29" t="str">
        <f t="shared" si="58"/>
        <v>#DIV/0!</v>
      </c>
      <c r="AT55" s="29" t="str">
        <f t="shared" si="58"/>
        <v>#DIV/0!</v>
      </c>
      <c r="AU55" s="29" t="str">
        <f t="shared" si="58"/>
        <v>#DIV/0!</v>
      </c>
      <c r="AV55" s="29" t="str">
        <f t="shared" si="58"/>
        <v>#DIV/0!</v>
      </c>
      <c r="AW55" s="29" t="str">
        <f t="shared" si="58"/>
        <v>#DIV/0!</v>
      </c>
      <c r="AX55" s="29" t="str">
        <f t="shared" si="58"/>
        <v>#DIV/0!</v>
      </c>
      <c r="AY55" s="29" t="str">
        <f t="shared" si="58"/>
        <v>#DIV/0!</v>
      </c>
      <c r="AZ55" s="29" t="str">
        <f t="shared" si="58"/>
        <v>#DIV/0!</v>
      </c>
      <c r="BA55" s="29" t="str">
        <f t="shared" si="58"/>
        <v>#DIV/0!</v>
      </c>
      <c r="BB55" s="29" t="str">
        <f t="shared" si="58"/>
        <v>#DIV/0!</v>
      </c>
      <c r="BC55" s="29" t="str">
        <f t="shared" si="58"/>
        <v>#DIV/0!</v>
      </c>
      <c r="BD55" s="29" t="str">
        <f t="shared" si="58"/>
        <v>#DIV/0!</v>
      </c>
      <c r="BE55" s="29" t="str">
        <f t="shared" si="58"/>
        <v>#DIV/0!</v>
      </c>
      <c r="BF55" s="29" t="str">
        <f t="shared" si="58"/>
        <v>#DIV/0!</v>
      </c>
      <c r="BG55" s="29" t="str">
        <f t="shared" si="58"/>
        <v>#DIV/0!</v>
      </c>
      <c r="BH55" s="29" t="str">
        <f t="shared" si="58"/>
        <v>#DIV/0!</v>
      </c>
      <c r="BI55" s="29" t="str">
        <f t="shared" si="58"/>
        <v>#DIV/0!</v>
      </c>
      <c r="BJ55" s="29" t="str">
        <f t="shared" si="58"/>
        <v>#DIV/0!</v>
      </c>
      <c r="BK55" s="29" t="str">
        <f t="shared" si="58"/>
        <v>#DIV/0!</v>
      </c>
      <c r="BL55" s="29" t="str">
        <f t="shared" si="58"/>
        <v>#DIV/0!</v>
      </c>
      <c r="BM55" s="29" t="str">
        <f t="shared" si="3"/>
        <v>#DIV/0!</v>
      </c>
    </row>
    <row r="56">
      <c r="A56" s="16" t="str">
        <f>IFERROR(__xludf.DUMMYFUNCTION("IFERROR(SPARKLINE(SORT(MAP(TRANSPOSE(AQ56:BL56), LAMBDA(val, IF(ISNUMBER(val), PERCENTRANK(AQ56:BL56, val)+0.01, 0))), SEQUENCE(COLUMNS(AQ56:BL56)), FALSE), {""charttype"",""column""; ""color"",""chartreuse""; ""ymin"", 0; ""ymax"", 1.01; ""highcolor"", "&amp;"""darkgreen""; ""lowcolor"", ""red""}), """")"),"")</f>
        <v/>
      </c>
      <c r="B56" s="17" t="str">
        <f t="shared" si="4"/>
        <v/>
      </c>
      <c r="C56" s="1" t="s">
        <v>1024</v>
      </c>
      <c r="D56" s="30" t="str">
        <f>IFERROR(__xludf.DUMMYFUNCTION("IFERROR(GOOGLEFINANCE(C56, ""NAME""))"),"Wesco International Inc")</f>
        <v>Wesco International Inc</v>
      </c>
      <c r="E56" s="30" t="s">
        <v>829</v>
      </c>
      <c r="F56" s="33" t="str">
        <f>IFERROR(__xludf.DUMMYFUNCTION("( (GOOGLEFINANCE(C56, ""price"") - Q56) / Q56 ) / (R56 / 100)"),"Loading...")</f>
        <v>Loading...</v>
      </c>
      <c r="G56" s="20" t="str">
        <f>IFERROR(__xludf.DUMMYFUNCTION("AVERAGE(ARRAYFORMULA(100 * (QUERY(GOOGLEFINANCE(C56, ""high"", TODAY()-40, TODAY()), ""SELECT Col2 WHERE Col2 IS NOT NULL ORDER BY Col1 DESC LIMIT 20"", 0) / QUERY(GOOGLEFINANCE(C56, ""low"", TODAY()-40, TODAY()), ""SELECT Col2 WHERE Col2 IS NOT NULL ORDE"&amp;"R BY Col1 DESC LIMIT 20"", 0) - 1)))"),"#N/A")</f>
        <v>#N/A</v>
      </c>
      <c r="H56" s="35" t="str">
        <f t="shared" si="6"/>
        <v/>
      </c>
      <c r="I56" s="35" t="str">
        <f t="shared" si="7"/>
        <v/>
      </c>
      <c r="J56" s="37" t="str">
        <f>IFERROR(__xludf.DUMMYFUNCTION("IFERROR(
  IF(C56="""",, 
    IFERROR(
      GOOGLEFINANCE(C56, ""price"") * GOOGLEFINANCE(C56, ""volumeavg""), 
      GOOGLEFINANCE(C56, ""price"") * AVERAGE(QUERY(GOOGLEFINANCE(C56, ""volume"", TODAY()-40, TODAY()), ""SELECT Col2 WHERE Col2 IS NOT NULL "&amp;"ORDER BY Col1 DESC LIMIT 20"", 0))
    )
  ), 
"""")"),"")</f>
        <v/>
      </c>
      <c r="K56" s="21" t="str">
        <f>IFERROR(__xludf.DUMMYFUNCTION("IFERROR(GOOGLEFINANCE(C56, ""changepct"") / 100, """")"),"")</f>
        <v/>
      </c>
      <c r="L56" s="21" t="str">
        <f>IFERROR(__xludf.DUMMYFUNCTION("IFERROR((GOOGLEFINANCE(C56, ""price"") / INDEX(GOOGLEFINANCE(C56, ""price"", TODAY()-7, TODAY()), 2, 2)) - 1, """")"),"")</f>
        <v/>
      </c>
      <c r="M56" s="21" t="str">
        <f>IFERROR(__xludf.DUMMYFUNCTION("IFERROR((GOOGLEFINANCE(C56, ""price"") / INDEX(GOOGLEFINANCE(C56, ""price"", EDATE(TODAY(), -1), TODAY()), 2, 2)) - 1, """")"),"")</f>
        <v/>
      </c>
      <c r="N56" s="21" t="str">
        <f>IFERROR(__xludf.DUMMYFUNCTION("IFERROR((GOOGLEFINANCE(C56, ""price"") / INDEX(GOOGLEFINANCE(C56, ""price"", EDATE(TODAY(), -3), TODAY()), 2, 2)) - 1, """")"),"")</f>
        <v/>
      </c>
      <c r="O56" s="21" t="str">
        <f>IFERROR(__xludf.DUMMYFUNCTION("IFERROR((GOOGLEFINANCE(C56, ""price"") / INDEX(GOOGLEFINANCE(C56, ""price"", EDATE(TODAY(), -6), TODAY()), 2, 2)) - 1, """")"),"")</f>
        <v/>
      </c>
      <c r="P56" s="21" t="str">
        <f>IFERROR(__xludf.DUMMYFUNCTION("IFERROR((GOOGLEFINANCE(C56, ""price"") / INDEX(GOOGLEFINANCE(C56, ""price"", EDATE(TODAY(), -12), TODAY()), 2, 2)) - 1, """")"),"")</f>
        <v/>
      </c>
      <c r="Q56" s="6" t="str">
        <f>IFERROR(__xludf.DUMMYFUNCTION("AVERAGE(QUERY(GOOGLEFINANCE(C56, ""price"", TODAY()-80, TODAY()), ""SELECT Col2 WHERE Col2 IS NOT NULL ORDER BY Col1 DESC LIMIT 50"", 0))"),"#N/A")</f>
        <v>#N/A</v>
      </c>
      <c r="R56" s="24" t="str">
        <f>IFERROR(__xludf.DUMMYFUNCTION("IFERROR(
  LET(
    data, QUERY(GOOGLEFINANCE(C56,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GOOGLEFINANCE(C56, ""price"")) * 100,
    IF(calc=0, G56, calc)
  ), 
G56)"),"#N/A")</f>
        <v>#N/A</v>
      </c>
      <c r="S56" s="8" t="s">
        <v>15</v>
      </c>
      <c r="T56" s="26" t="str">
        <f>IFERROR(__xludf.DUMMYFUNCTION("IFERROR(TRANSPOSE(QUERY(IFERROR(SORT(GOOGLEFINANCE(C56, ""price"", WORKDAY(TODAY(), -40), TODAY()), 1, FALSE)), ""select Col2 where Col2 is not null limit 22 label Col2 ''"", 0)), """")"),"")</f>
        <v/>
      </c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8"/>
      <c r="AO56" s="28"/>
      <c r="AP56" s="29"/>
      <c r="AQ56" s="29" t="str">
        <f t="shared" ref="AQ56:BL56" si="59">T56/T$2</f>
        <v>#N/A</v>
      </c>
      <c r="AR56" s="29" t="str">
        <f t="shared" si="59"/>
        <v>#DIV/0!</v>
      </c>
      <c r="AS56" s="29" t="str">
        <f t="shared" si="59"/>
        <v>#DIV/0!</v>
      </c>
      <c r="AT56" s="29" t="str">
        <f t="shared" si="59"/>
        <v>#DIV/0!</v>
      </c>
      <c r="AU56" s="29" t="str">
        <f t="shared" si="59"/>
        <v>#DIV/0!</v>
      </c>
      <c r="AV56" s="29" t="str">
        <f t="shared" si="59"/>
        <v>#DIV/0!</v>
      </c>
      <c r="AW56" s="29" t="str">
        <f t="shared" si="59"/>
        <v>#DIV/0!</v>
      </c>
      <c r="AX56" s="29" t="str">
        <f t="shared" si="59"/>
        <v>#DIV/0!</v>
      </c>
      <c r="AY56" s="29" t="str">
        <f t="shared" si="59"/>
        <v>#DIV/0!</v>
      </c>
      <c r="AZ56" s="29" t="str">
        <f t="shared" si="59"/>
        <v>#DIV/0!</v>
      </c>
      <c r="BA56" s="29" t="str">
        <f t="shared" si="59"/>
        <v>#DIV/0!</v>
      </c>
      <c r="BB56" s="29" t="str">
        <f t="shared" si="59"/>
        <v>#DIV/0!</v>
      </c>
      <c r="BC56" s="29" t="str">
        <f t="shared" si="59"/>
        <v>#DIV/0!</v>
      </c>
      <c r="BD56" s="29" t="str">
        <f t="shared" si="59"/>
        <v>#DIV/0!</v>
      </c>
      <c r="BE56" s="29" t="str">
        <f t="shared" si="59"/>
        <v>#DIV/0!</v>
      </c>
      <c r="BF56" s="29" t="str">
        <f t="shared" si="59"/>
        <v>#DIV/0!</v>
      </c>
      <c r="BG56" s="29" t="str">
        <f t="shared" si="59"/>
        <v>#DIV/0!</v>
      </c>
      <c r="BH56" s="29" t="str">
        <f t="shared" si="59"/>
        <v>#DIV/0!</v>
      </c>
      <c r="BI56" s="29" t="str">
        <f t="shared" si="59"/>
        <v>#DIV/0!</v>
      </c>
      <c r="BJ56" s="29" t="str">
        <f t="shared" si="59"/>
        <v>#DIV/0!</v>
      </c>
      <c r="BK56" s="29" t="str">
        <f t="shared" si="59"/>
        <v>#DIV/0!</v>
      </c>
      <c r="BL56" s="29" t="str">
        <f t="shared" si="59"/>
        <v>#DIV/0!</v>
      </c>
      <c r="BM56" s="29" t="str">
        <f t="shared" si="3"/>
        <v>#DIV/0!</v>
      </c>
    </row>
    <row r="57">
      <c r="A57" s="16" t="str">
        <f>IFERROR(__xludf.DUMMYFUNCTION("IFERROR(SPARKLINE(SORT(MAP(TRANSPOSE(AQ57:BL57), LAMBDA(val, IF(ISNUMBER(val), PERCENTRANK(AQ57:BL57, val)+0.01, 0))), SEQUENCE(COLUMNS(AQ57:BL57)), FALSE), {""charttype"",""column""; ""color"",""chartreuse""; ""ymin"", 0; ""ymax"", 1.01; ""highcolor"", "&amp;"""darkgreen""; ""lowcolor"", ""red""}), """")"),"")</f>
        <v/>
      </c>
      <c r="B57" s="17" t="str">
        <f t="shared" si="4"/>
        <v/>
      </c>
      <c r="C57" s="1" t="s">
        <v>1027</v>
      </c>
      <c r="D57" s="30" t="str">
        <f>IFERROR(__xludf.DUMMYFUNCTION("IFERROR(GOOGLEFINANCE(C57, ""NAME""))"),"Applied Industrial Technologies Inc")</f>
        <v>Applied Industrial Technologies Inc</v>
      </c>
      <c r="E57" s="30" t="s">
        <v>829</v>
      </c>
      <c r="F57" s="33" t="str">
        <f>IFERROR(__xludf.DUMMYFUNCTION("( (GOOGLEFINANCE(C57, ""price"") - Q57) / Q57 ) / (R57 / 100)"),"Loading...")</f>
        <v>Loading...</v>
      </c>
      <c r="G57" s="20" t="str">
        <f>IFERROR(__xludf.DUMMYFUNCTION("AVERAGE(ARRAYFORMULA(100 * (QUERY(GOOGLEFINANCE(C57, ""high"", TODAY()-40, TODAY()), ""SELECT Col2 WHERE Col2 IS NOT NULL ORDER BY Col1 DESC LIMIT 20"", 0) / QUERY(GOOGLEFINANCE(C57, ""low"", TODAY()-40, TODAY()), ""SELECT Col2 WHERE Col2 IS NOT NULL ORDE"&amp;"R BY Col1 DESC LIMIT 20"", 0) - 1)))"),"#N/A")</f>
        <v>#N/A</v>
      </c>
      <c r="H57" s="35" t="str">
        <f t="shared" si="6"/>
        <v/>
      </c>
      <c r="I57" s="35" t="str">
        <f t="shared" si="7"/>
        <v/>
      </c>
      <c r="J57" s="37" t="str">
        <f>IFERROR(__xludf.DUMMYFUNCTION("IFERROR(
  IF(C57="""",, 
    IFERROR(
      GOOGLEFINANCE(C57, ""price"") * GOOGLEFINANCE(C57, ""volumeavg""), 
      GOOGLEFINANCE(C57, ""price"") * AVERAGE(QUERY(GOOGLEFINANCE(C57, ""volume"", TODAY()-40, TODAY()), ""SELECT Col2 WHERE Col2 IS NOT NULL "&amp;"ORDER BY Col1 DESC LIMIT 20"", 0))
    )
  ), 
"""")"),"")</f>
        <v/>
      </c>
      <c r="K57" s="21" t="str">
        <f>IFERROR(__xludf.DUMMYFUNCTION("IFERROR(GOOGLEFINANCE(C57, ""changepct"") / 100, """")"),"")</f>
        <v/>
      </c>
      <c r="L57" s="21" t="str">
        <f>IFERROR(__xludf.DUMMYFUNCTION("IFERROR((GOOGLEFINANCE(C57, ""price"") / INDEX(GOOGLEFINANCE(C57, ""price"", TODAY()-7, TODAY()), 2, 2)) - 1, """")"),"")</f>
        <v/>
      </c>
      <c r="M57" s="21" t="str">
        <f>IFERROR(__xludf.DUMMYFUNCTION("IFERROR((GOOGLEFINANCE(C57, ""price"") / INDEX(GOOGLEFINANCE(C57, ""price"", EDATE(TODAY(), -1), TODAY()), 2, 2)) - 1, """")"),"")</f>
        <v/>
      </c>
      <c r="N57" s="21" t="str">
        <f>IFERROR(__xludf.DUMMYFUNCTION("IFERROR((GOOGLEFINANCE(C57, ""price"") / INDEX(GOOGLEFINANCE(C57, ""price"", EDATE(TODAY(), -3), TODAY()), 2, 2)) - 1, """")"),"")</f>
        <v/>
      </c>
      <c r="O57" s="21" t="str">
        <f>IFERROR(__xludf.DUMMYFUNCTION("IFERROR((GOOGLEFINANCE(C57, ""price"") / INDEX(GOOGLEFINANCE(C57, ""price"", EDATE(TODAY(), -6), TODAY()), 2, 2)) - 1, """")"),"")</f>
        <v/>
      </c>
      <c r="P57" s="21" t="str">
        <f>IFERROR(__xludf.DUMMYFUNCTION("IFERROR((GOOGLEFINANCE(C57, ""price"") / INDEX(GOOGLEFINANCE(C57, ""price"", EDATE(TODAY(), -12), TODAY()), 2, 2)) - 1, """")"),"")</f>
        <v/>
      </c>
      <c r="Q57" s="6" t="str">
        <f>IFERROR(__xludf.DUMMYFUNCTION("AVERAGE(QUERY(GOOGLEFINANCE(C57, ""price"", TODAY()-80, TODAY()), ""SELECT Col2 WHERE Col2 IS NOT NULL ORDER BY Col1 DESC LIMIT 50"", 0))"),"#N/A")</f>
        <v>#N/A</v>
      </c>
      <c r="R57" s="24" t="str">
        <f>IFERROR(__xludf.DUMMYFUNCTION("IFERROR(
  LET(
    data, QUERY(GOOGLEFINANCE(C57,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GOOGLEFINANCE(C57, ""price"")) * 100,
    IF(calc=0, G57, calc)
  ), 
G57)"),"#N/A")</f>
        <v>#N/A</v>
      </c>
      <c r="S57" s="8" t="s">
        <v>15</v>
      </c>
      <c r="T57" s="26" t="str">
        <f>IFERROR(__xludf.DUMMYFUNCTION("IFERROR(TRANSPOSE(QUERY(IFERROR(SORT(GOOGLEFINANCE(C57, ""price"", WORKDAY(TODAY(), -40), TODAY()), 1, FALSE)), ""select Col2 where Col2 is not null limit 22 label Col2 ''"", 0)), """")"),"")</f>
        <v/>
      </c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8"/>
      <c r="AO57" s="28"/>
      <c r="AP57" s="29"/>
      <c r="AQ57" s="29" t="str">
        <f t="shared" ref="AQ57:BL57" si="60">T57/T$2</f>
        <v>#N/A</v>
      </c>
      <c r="AR57" s="29" t="str">
        <f t="shared" si="60"/>
        <v>#DIV/0!</v>
      </c>
      <c r="AS57" s="29" t="str">
        <f t="shared" si="60"/>
        <v>#DIV/0!</v>
      </c>
      <c r="AT57" s="29" t="str">
        <f t="shared" si="60"/>
        <v>#DIV/0!</v>
      </c>
      <c r="AU57" s="29" t="str">
        <f t="shared" si="60"/>
        <v>#DIV/0!</v>
      </c>
      <c r="AV57" s="29" t="str">
        <f t="shared" si="60"/>
        <v>#DIV/0!</v>
      </c>
      <c r="AW57" s="29" t="str">
        <f t="shared" si="60"/>
        <v>#DIV/0!</v>
      </c>
      <c r="AX57" s="29" t="str">
        <f t="shared" si="60"/>
        <v>#DIV/0!</v>
      </c>
      <c r="AY57" s="29" t="str">
        <f t="shared" si="60"/>
        <v>#DIV/0!</v>
      </c>
      <c r="AZ57" s="29" t="str">
        <f t="shared" si="60"/>
        <v>#DIV/0!</v>
      </c>
      <c r="BA57" s="29" t="str">
        <f t="shared" si="60"/>
        <v>#DIV/0!</v>
      </c>
      <c r="BB57" s="29" t="str">
        <f t="shared" si="60"/>
        <v>#DIV/0!</v>
      </c>
      <c r="BC57" s="29" t="str">
        <f t="shared" si="60"/>
        <v>#DIV/0!</v>
      </c>
      <c r="BD57" s="29" t="str">
        <f t="shared" si="60"/>
        <v>#DIV/0!</v>
      </c>
      <c r="BE57" s="29" t="str">
        <f t="shared" si="60"/>
        <v>#DIV/0!</v>
      </c>
      <c r="BF57" s="29" t="str">
        <f t="shared" si="60"/>
        <v>#DIV/0!</v>
      </c>
      <c r="BG57" s="29" t="str">
        <f t="shared" si="60"/>
        <v>#DIV/0!</v>
      </c>
      <c r="BH57" s="29" t="str">
        <f t="shared" si="60"/>
        <v>#DIV/0!</v>
      </c>
      <c r="BI57" s="29" t="str">
        <f t="shared" si="60"/>
        <v>#DIV/0!</v>
      </c>
      <c r="BJ57" s="29" t="str">
        <f t="shared" si="60"/>
        <v>#DIV/0!</v>
      </c>
      <c r="BK57" s="29" t="str">
        <f t="shared" si="60"/>
        <v>#DIV/0!</v>
      </c>
      <c r="BL57" s="29" t="str">
        <f t="shared" si="60"/>
        <v>#DIV/0!</v>
      </c>
      <c r="BM57" s="29" t="str">
        <f t="shared" si="3"/>
        <v>#DIV/0!</v>
      </c>
    </row>
    <row r="58">
      <c r="A58" s="16" t="str">
        <f>IFERROR(__xludf.DUMMYFUNCTION("IFERROR(SPARKLINE(SORT(MAP(TRANSPOSE(AQ58:BL58), LAMBDA(val, IF(ISNUMBER(val), PERCENTRANK(AQ58:BL58, val)+0.01, 0))), SEQUENCE(COLUMNS(AQ58:BL58)), FALSE), {""charttype"",""column""; ""color"",""chartreuse""; ""ymin"", 0; ""ymax"", 1.01; ""highcolor"", "&amp;"""darkgreen""; ""lowcolor"", ""red""}), """")"),"")</f>
        <v/>
      </c>
      <c r="B58" s="17" t="str">
        <f t="shared" si="4"/>
        <v/>
      </c>
      <c r="C58" s="1" t="s">
        <v>1031</v>
      </c>
      <c r="D58" s="30" t="str">
        <f>IFERROR(__xludf.DUMMYFUNCTION("IFERROR(GOOGLEFINANCE(C58, ""NAME""))"),"Powell Industries Inc")</f>
        <v>Powell Industries Inc</v>
      </c>
      <c r="E58" s="30" t="s">
        <v>864</v>
      </c>
      <c r="F58" s="33" t="str">
        <f>IFERROR(__xludf.DUMMYFUNCTION("( (GOOGLEFINANCE(C58, ""price"") - Q58) / Q58 ) / (R58 / 100)"),"Loading...")</f>
        <v>Loading...</v>
      </c>
      <c r="G58" s="20" t="str">
        <f>IFERROR(__xludf.DUMMYFUNCTION("AVERAGE(ARRAYFORMULA(100 * (QUERY(GOOGLEFINANCE(C58, ""high"", TODAY()-40, TODAY()), ""SELECT Col2 WHERE Col2 IS NOT NULL ORDER BY Col1 DESC LIMIT 20"", 0) / QUERY(GOOGLEFINANCE(C58, ""low"", TODAY()-40, TODAY()), ""SELECT Col2 WHERE Col2 IS NOT NULL ORDE"&amp;"R BY Col1 DESC LIMIT 20"", 0) - 1)))"),"#N/A")</f>
        <v>#N/A</v>
      </c>
      <c r="H58" s="35" t="str">
        <f t="shared" si="6"/>
        <v/>
      </c>
      <c r="I58" s="35" t="str">
        <f t="shared" si="7"/>
        <v/>
      </c>
      <c r="J58" s="37" t="str">
        <f>IFERROR(__xludf.DUMMYFUNCTION("IFERROR(
  IF(C58="""",, 
    IFERROR(
      GOOGLEFINANCE(C58, ""price"") * GOOGLEFINANCE(C58, ""volumeavg""), 
      GOOGLEFINANCE(C58, ""price"") * AVERAGE(QUERY(GOOGLEFINANCE(C58, ""volume"", TODAY()-40, TODAY()), ""SELECT Col2 WHERE Col2 IS NOT NULL "&amp;"ORDER BY Col1 DESC LIMIT 20"", 0))
    )
  ), 
"""")"),"")</f>
        <v/>
      </c>
      <c r="K58" s="21" t="str">
        <f>IFERROR(__xludf.DUMMYFUNCTION("IFERROR(GOOGLEFINANCE(C58, ""changepct"") / 100, """")"),"")</f>
        <v/>
      </c>
      <c r="L58" s="21" t="str">
        <f>IFERROR(__xludf.DUMMYFUNCTION("IFERROR((GOOGLEFINANCE(C58, ""price"") / INDEX(GOOGLEFINANCE(C58, ""price"", TODAY()-7, TODAY()), 2, 2)) - 1, """")"),"")</f>
        <v/>
      </c>
      <c r="M58" s="21" t="str">
        <f>IFERROR(__xludf.DUMMYFUNCTION("IFERROR((GOOGLEFINANCE(C58, ""price"") / INDEX(GOOGLEFINANCE(C58, ""price"", EDATE(TODAY(), -1), TODAY()), 2, 2)) - 1, """")"),"")</f>
        <v/>
      </c>
      <c r="N58" s="21" t="str">
        <f>IFERROR(__xludf.DUMMYFUNCTION("IFERROR((GOOGLEFINANCE(C58, ""price"") / INDEX(GOOGLEFINANCE(C58, ""price"", EDATE(TODAY(), -3), TODAY()), 2, 2)) - 1, """")"),"")</f>
        <v/>
      </c>
      <c r="O58" s="21" t="str">
        <f>IFERROR(__xludf.DUMMYFUNCTION("IFERROR((GOOGLEFINANCE(C58, ""price"") / INDEX(GOOGLEFINANCE(C58, ""price"", EDATE(TODAY(), -6), TODAY()), 2, 2)) - 1, """")"),"")</f>
        <v/>
      </c>
      <c r="P58" s="21" t="str">
        <f>IFERROR(__xludf.DUMMYFUNCTION("IFERROR((GOOGLEFINANCE(C58, ""price"") / INDEX(GOOGLEFINANCE(C58, ""price"", EDATE(TODAY(), -12), TODAY()), 2, 2)) - 1, """")"),"")</f>
        <v/>
      </c>
      <c r="Q58" s="6" t="str">
        <f>IFERROR(__xludf.DUMMYFUNCTION("AVERAGE(QUERY(GOOGLEFINANCE(C58, ""price"", TODAY()-80, TODAY()), ""SELECT Col2 WHERE Col2 IS NOT NULL ORDER BY Col1 DESC LIMIT 50"", 0))"),"#N/A")</f>
        <v>#N/A</v>
      </c>
      <c r="R58" s="24" t="str">
        <f>IFERROR(__xludf.DUMMYFUNCTION("IFERROR(
  LET(
    data, QUERY(GOOGLEFINANCE(C58,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GOOGLEFINANCE(C58, ""price"")) * 100,
    IF(calc=0, G58, calc)
  ), 
G58)"),"#N/A")</f>
        <v>#N/A</v>
      </c>
      <c r="S58" s="8" t="s">
        <v>15</v>
      </c>
      <c r="T58" s="26" t="str">
        <f>IFERROR(__xludf.DUMMYFUNCTION("IFERROR(TRANSPOSE(QUERY(IFERROR(SORT(GOOGLEFINANCE(C58, ""price"", WORKDAY(TODAY(), -40), TODAY()), 1, FALSE)), ""select Col2 where Col2 is not null limit 22 label Col2 ''"", 0)), """")"),"")</f>
        <v/>
      </c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8"/>
      <c r="AO58" s="28"/>
      <c r="AP58" s="29"/>
      <c r="AQ58" s="29" t="str">
        <f t="shared" ref="AQ58:BL58" si="61">T58/T$2</f>
        <v>#N/A</v>
      </c>
      <c r="AR58" s="29" t="str">
        <f t="shared" si="61"/>
        <v>#DIV/0!</v>
      </c>
      <c r="AS58" s="29" t="str">
        <f t="shared" si="61"/>
        <v>#DIV/0!</v>
      </c>
      <c r="AT58" s="29" t="str">
        <f t="shared" si="61"/>
        <v>#DIV/0!</v>
      </c>
      <c r="AU58" s="29" t="str">
        <f t="shared" si="61"/>
        <v>#DIV/0!</v>
      </c>
      <c r="AV58" s="29" t="str">
        <f t="shared" si="61"/>
        <v>#DIV/0!</v>
      </c>
      <c r="AW58" s="29" t="str">
        <f t="shared" si="61"/>
        <v>#DIV/0!</v>
      </c>
      <c r="AX58" s="29" t="str">
        <f t="shared" si="61"/>
        <v>#DIV/0!</v>
      </c>
      <c r="AY58" s="29" t="str">
        <f t="shared" si="61"/>
        <v>#DIV/0!</v>
      </c>
      <c r="AZ58" s="29" t="str">
        <f t="shared" si="61"/>
        <v>#DIV/0!</v>
      </c>
      <c r="BA58" s="29" t="str">
        <f t="shared" si="61"/>
        <v>#DIV/0!</v>
      </c>
      <c r="BB58" s="29" t="str">
        <f t="shared" si="61"/>
        <v>#DIV/0!</v>
      </c>
      <c r="BC58" s="29" t="str">
        <f t="shared" si="61"/>
        <v>#DIV/0!</v>
      </c>
      <c r="BD58" s="29" t="str">
        <f t="shared" si="61"/>
        <v>#DIV/0!</v>
      </c>
      <c r="BE58" s="29" t="str">
        <f t="shared" si="61"/>
        <v>#DIV/0!</v>
      </c>
      <c r="BF58" s="29" t="str">
        <f t="shared" si="61"/>
        <v>#DIV/0!</v>
      </c>
      <c r="BG58" s="29" t="str">
        <f t="shared" si="61"/>
        <v>#DIV/0!</v>
      </c>
      <c r="BH58" s="29" t="str">
        <f t="shared" si="61"/>
        <v>#DIV/0!</v>
      </c>
      <c r="BI58" s="29" t="str">
        <f t="shared" si="61"/>
        <v>#DIV/0!</v>
      </c>
      <c r="BJ58" s="29" t="str">
        <f t="shared" si="61"/>
        <v>#DIV/0!</v>
      </c>
      <c r="BK58" s="29" t="str">
        <f t="shared" si="61"/>
        <v>#DIV/0!</v>
      </c>
      <c r="BL58" s="29" t="str">
        <f t="shared" si="61"/>
        <v>#DIV/0!</v>
      </c>
      <c r="BM58" s="29" t="str">
        <f t="shared" si="3"/>
        <v>#DIV/0!</v>
      </c>
    </row>
    <row r="59">
      <c r="A59" s="16" t="str">
        <f>IFERROR(__xludf.DUMMYFUNCTION("IFERROR(SPARKLINE(SORT(MAP(TRANSPOSE(AQ59:BL59), LAMBDA(val, IF(ISNUMBER(val), PERCENTRANK(AQ59:BL59, val)+0.01, 0))), SEQUENCE(COLUMNS(AQ59:BL59)), FALSE), {""charttype"",""column""; ""color"",""chartreuse""; ""ymin"", 0; ""ymax"", 1.01; ""highcolor"", "&amp;"""darkgreen""; ""lowcolor"", ""red""}), """")"),"")</f>
        <v/>
      </c>
      <c r="B59" s="17" t="str">
        <f t="shared" si="4"/>
        <v/>
      </c>
      <c r="C59" s="1" t="s">
        <v>1034</v>
      </c>
      <c r="D59" s="30" t="str">
        <f>IFERROR(__xludf.DUMMYFUNCTION("IFERROR(GOOGLEFINANCE(C59, ""NAME""))"),"Caterpillar Inc")</f>
        <v>Caterpillar Inc</v>
      </c>
      <c r="E59" s="30" t="s">
        <v>1036</v>
      </c>
      <c r="F59" s="33" t="str">
        <f>IFERROR(__xludf.DUMMYFUNCTION("( (GOOGLEFINANCE(C59, ""price"") - Q59) / Q59 ) / (R59 / 100)"),"Loading...")</f>
        <v>Loading...</v>
      </c>
      <c r="G59" s="20" t="str">
        <f>IFERROR(__xludf.DUMMYFUNCTION("AVERAGE(ARRAYFORMULA(100 * (QUERY(GOOGLEFINANCE(C59, ""high"", TODAY()-40, TODAY()), ""SELECT Col2 WHERE Col2 IS NOT NULL ORDER BY Col1 DESC LIMIT 20"", 0) / QUERY(GOOGLEFINANCE(C59, ""low"", TODAY()-40, TODAY()), ""SELECT Col2 WHERE Col2 IS NOT NULL ORDE"&amp;"R BY Col1 DESC LIMIT 20"", 0) - 1)))"),"#N/A")</f>
        <v>#N/A</v>
      </c>
      <c r="H59" s="35" t="str">
        <f t="shared" si="6"/>
        <v/>
      </c>
      <c r="I59" s="35" t="str">
        <f t="shared" si="7"/>
        <v/>
      </c>
      <c r="J59" s="37" t="str">
        <f>IFERROR(__xludf.DUMMYFUNCTION("IFERROR(
  IF(C59="""",, 
    IFERROR(
      GOOGLEFINANCE(C59, ""price"") * GOOGLEFINANCE(C59, ""volumeavg""), 
      GOOGLEFINANCE(C59, ""price"") * AVERAGE(QUERY(GOOGLEFINANCE(C59, ""volume"", TODAY()-40, TODAY()), ""SELECT Col2 WHERE Col2 IS NOT NULL "&amp;"ORDER BY Col1 DESC LIMIT 20"", 0))
    )
  ), 
"""")"),"")</f>
        <v/>
      </c>
      <c r="K59" s="21" t="str">
        <f>IFERROR(__xludf.DUMMYFUNCTION("IFERROR(GOOGLEFINANCE(C59, ""changepct"") / 100, """")"),"")</f>
        <v/>
      </c>
      <c r="L59" s="21" t="str">
        <f>IFERROR(__xludf.DUMMYFUNCTION("IFERROR((GOOGLEFINANCE(C59, ""price"") / INDEX(GOOGLEFINANCE(C59, ""price"", TODAY()-7, TODAY()), 2, 2)) - 1, """")"),"")</f>
        <v/>
      </c>
      <c r="M59" s="21" t="str">
        <f>IFERROR(__xludf.DUMMYFUNCTION("IFERROR((GOOGLEFINANCE(C59, ""price"") / INDEX(GOOGLEFINANCE(C59, ""price"", EDATE(TODAY(), -1), TODAY()), 2, 2)) - 1, """")"),"")</f>
        <v/>
      </c>
      <c r="N59" s="21" t="str">
        <f>IFERROR(__xludf.DUMMYFUNCTION("IFERROR((GOOGLEFINANCE(C59, ""price"") / INDEX(GOOGLEFINANCE(C59, ""price"", EDATE(TODAY(), -3), TODAY()), 2, 2)) - 1, """")"),"")</f>
        <v/>
      </c>
      <c r="O59" s="21" t="str">
        <f>IFERROR(__xludf.DUMMYFUNCTION("IFERROR((GOOGLEFINANCE(C59, ""price"") / INDEX(GOOGLEFINANCE(C59, ""price"", EDATE(TODAY(), -6), TODAY()), 2, 2)) - 1, """")"),"")</f>
        <v/>
      </c>
      <c r="P59" s="21" t="str">
        <f>IFERROR(__xludf.DUMMYFUNCTION("IFERROR((GOOGLEFINANCE(C59, ""price"") / INDEX(GOOGLEFINANCE(C59, ""price"", EDATE(TODAY(), -12), TODAY()), 2, 2)) - 1, """")"),"")</f>
        <v/>
      </c>
      <c r="Q59" s="6" t="str">
        <f>IFERROR(__xludf.DUMMYFUNCTION("AVERAGE(QUERY(GOOGLEFINANCE(C59, ""price"", TODAY()-80, TODAY()), ""SELECT Col2 WHERE Col2 IS NOT NULL ORDER BY Col1 DESC LIMIT 50"", 0))"),"#N/A")</f>
        <v>#N/A</v>
      </c>
      <c r="R59" s="24" t="str">
        <f>IFERROR(__xludf.DUMMYFUNCTION("IFERROR(
  LET(
    data, QUERY(GOOGLEFINANCE(C59,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GOOGLEFINANCE(C59, ""price"")) * 100,
    IF(calc=0, G59, calc)
  ), 
G59)"),"#N/A")</f>
        <v>#N/A</v>
      </c>
      <c r="S59" s="8" t="s">
        <v>15</v>
      </c>
      <c r="T59" s="26" t="str">
        <f>IFERROR(__xludf.DUMMYFUNCTION("IFERROR(TRANSPOSE(QUERY(IFERROR(SORT(GOOGLEFINANCE(C59, ""price"", WORKDAY(TODAY(), -40), TODAY()), 1, FALSE)), ""select Col2 where Col2 is not null limit 22 label Col2 ''"", 0)), """")"),"")</f>
        <v/>
      </c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8"/>
      <c r="AO59" s="28"/>
      <c r="AP59" s="29"/>
      <c r="AQ59" s="29" t="str">
        <f t="shared" ref="AQ59:BL59" si="62">T59/T$2</f>
        <v>#N/A</v>
      </c>
      <c r="AR59" s="29" t="str">
        <f t="shared" si="62"/>
        <v>#DIV/0!</v>
      </c>
      <c r="AS59" s="29" t="str">
        <f t="shared" si="62"/>
        <v>#DIV/0!</v>
      </c>
      <c r="AT59" s="29" t="str">
        <f t="shared" si="62"/>
        <v>#DIV/0!</v>
      </c>
      <c r="AU59" s="29" t="str">
        <f t="shared" si="62"/>
        <v>#DIV/0!</v>
      </c>
      <c r="AV59" s="29" t="str">
        <f t="shared" si="62"/>
        <v>#DIV/0!</v>
      </c>
      <c r="AW59" s="29" t="str">
        <f t="shared" si="62"/>
        <v>#DIV/0!</v>
      </c>
      <c r="AX59" s="29" t="str">
        <f t="shared" si="62"/>
        <v>#DIV/0!</v>
      </c>
      <c r="AY59" s="29" t="str">
        <f t="shared" si="62"/>
        <v>#DIV/0!</v>
      </c>
      <c r="AZ59" s="29" t="str">
        <f t="shared" si="62"/>
        <v>#DIV/0!</v>
      </c>
      <c r="BA59" s="29" t="str">
        <f t="shared" si="62"/>
        <v>#DIV/0!</v>
      </c>
      <c r="BB59" s="29" t="str">
        <f t="shared" si="62"/>
        <v>#DIV/0!</v>
      </c>
      <c r="BC59" s="29" t="str">
        <f t="shared" si="62"/>
        <v>#DIV/0!</v>
      </c>
      <c r="BD59" s="29" t="str">
        <f t="shared" si="62"/>
        <v>#DIV/0!</v>
      </c>
      <c r="BE59" s="29" t="str">
        <f t="shared" si="62"/>
        <v>#DIV/0!</v>
      </c>
      <c r="BF59" s="29" t="str">
        <f t="shared" si="62"/>
        <v>#DIV/0!</v>
      </c>
      <c r="BG59" s="29" t="str">
        <f t="shared" si="62"/>
        <v>#DIV/0!</v>
      </c>
      <c r="BH59" s="29" t="str">
        <f t="shared" si="62"/>
        <v>#DIV/0!</v>
      </c>
      <c r="BI59" s="29" t="str">
        <f t="shared" si="62"/>
        <v>#DIV/0!</v>
      </c>
      <c r="BJ59" s="29" t="str">
        <f t="shared" si="62"/>
        <v>#DIV/0!</v>
      </c>
      <c r="BK59" s="29" t="str">
        <f t="shared" si="62"/>
        <v>#DIV/0!</v>
      </c>
      <c r="BL59" s="29" t="str">
        <f t="shared" si="62"/>
        <v>#DIV/0!</v>
      </c>
      <c r="BM59" s="29" t="str">
        <f t="shared" si="3"/>
        <v>#DIV/0!</v>
      </c>
    </row>
    <row r="60">
      <c r="A60" s="16" t="str">
        <f>IFERROR(__xludf.DUMMYFUNCTION("IFERROR(SPARKLINE(SORT(MAP(TRANSPOSE(AQ60:BL60), LAMBDA(val, IF(ISNUMBER(val), PERCENTRANK(AQ60:BL60, val)+0.01, 0))), SEQUENCE(COLUMNS(AQ60:BL60)), FALSE), {""charttype"",""column""; ""color"",""chartreuse""; ""ymin"", 0; ""ymax"", 1.01; ""highcolor"", "&amp;"""darkgreen""; ""lowcolor"", ""red""}), """")"),"")</f>
        <v/>
      </c>
      <c r="B60" s="17" t="str">
        <f t="shared" si="4"/>
        <v/>
      </c>
      <c r="C60" s="1" t="s">
        <v>1039</v>
      </c>
      <c r="D60" s="30" t="str">
        <f>IFERROR(__xludf.DUMMYFUNCTION("IFERROR(GOOGLEFINANCE(C60, ""NAME""))"),"Blue Bird Corp")</f>
        <v>Blue Bird Corp</v>
      </c>
      <c r="E60" s="30" t="s">
        <v>1036</v>
      </c>
      <c r="F60" s="33" t="str">
        <f>IFERROR(__xludf.DUMMYFUNCTION("( (GOOGLEFINANCE(C60, ""price"") - Q60) / Q60 ) / (R60 / 100)"),"Loading...")</f>
        <v>Loading...</v>
      </c>
      <c r="G60" s="20" t="str">
        <f>IFERROR(__xludf.DUMMYFUNCTION("AVERAGE(ARRAYFORMULA(100 * (QUERY(GOOGLEFINANCE(C60, ""high"", TODAY()-40, TODAY()), ""SELECT Col2 WHERE Col2 IS NOT NULL ORDER BY Col1 DESC LIMIT 20"", 0) / QUERY(GOOGLEFINANCE(C60, ""low"", TODAY()-40, TODAY()), ""SELECT Col2 WHERE Col2 IS NOT NULL ORDE"&amp;"R BY Col1 DESC LIMIT 20"", 0) - 1)))"),"#N/A")</f>
        <v>#N/A</v>
      </c>
      <c r="H60" s="35" t="str">
        <f t="shared" si="6"/>
        <v/>
      </c>
      <c r="I60" s="35" t="str">
        <f t="shared" si="7"/>
        <v/>
      </c>
      <c r="J60" s="37" t="str">
        <f>IFERROR(__xludf.DUMMYFUNCTION("IFERROR(
  IF(C60="""",, 
    IFERROR(
      GOOGLEFINANCE(C60, ""price"") * GOOGLEFINANCE(C60, ""volumeavg""), 
      GOOGLEFINANCE(C60, ""price"") * AVERAGE(QUERY(GOOGLEFINANCE(C60, ""volume"", TODAY()-40, TODAY()), ""SELECT Col2 WHERE Col2 IS NOT NULL "&amp;"ORDER BY Col1 DESC LIMIT 20"", 0))
    )
  ), 
"""")"),"")</f>
        <v/>
      </c>
      <c r="K60" s="21" t="str">
        <f>IFERROR(__xludf.DUMMYFUNCTION("IFERROR(GOOGLEFINANCE(C60, ""changepct"") / 100, """")"),"")</f>
        <v/>
      </c>
      <c r="L60" s="21" t="str">
        <f>IFERROR(__xludf.DUMMYFUNCTION("IFERROR((GOOGLEFINANCE(C60, ""price"") / INDEX(GOOGLEFINANCE(C60, ""price"", TODAY()-7, TODAY()), 2, 2)) - 1, """")"),"")</f>
        <v/>
      </c>
      <c r="M60" s="21" t="str">
        <f>IFERROR(__xludf.DUMMYFUNCTION("IFERROR((GOOGLEFINANCE(C60, ""price"") / INDEX(GOOGLEFINANCE(C60, ""price"", EDATE(TODAY(), -1), TODAY()), 2, 2)) - 1, """")"),"")</f>
        <v/>
      </c>
      <c r="N60" s="21" t="str">
        <f>IFERROR(__xludf.DUMMYFUNCTION("IFERROR((GOOGLEFINANCE(C60, ""price"") / INDEX(GOOGLEFINANCE(C60, ""price"", EDATE(TODAY(), -3), TODAY()), 2, 2)) - 1, """")"),"")</f>
        <v/>
      </c>
      <c r="O60" s="21" t="str">
        <f>IFERROR(__xludf.DUMMYFUNCTION("IFERROR((GOOGLEFINANCE(C60, ""price"") / INDEX(GOOGLEFINANCE(C60, ""price"", EDATE(TODAY(), -6), TODAY()), 2, 2)) - 1, """")"),"")</f>
        <v/>
      </c>
      <c r="P60" s="21" t="str">
        <f>IFERROR(__xludf.DUMMYFUNCTION("IFERROR((GOOGLEFINANCE(C60, ""price"") / INDEX(GOOGLEFINANCE(C60, ""price"", EDATE(TODAY(), -12), TODAY()), 2, 2)) - 1, """")"),"")</f>
        <v/>
      </c>
      <c r="Q60" s="6" t="str">
        <f>IFERROR(__xludf.DUMMYFUNCTION("AVERAGE(QUERY(GOOGLEFINANCE(C60, ""price"", TODAY()-80, TODAY()), ""SELECT Col2 WHERE Col2 IS NOT NULL ORDER BY Col1 DESC LIMIT 50"", 0))"),"#N/A")</f>
        <v>#N/A</v>
      </c>
      <c r="R60" s="24" t="str">
        <f>IFERROR(__xludf.DUMMYFUNCTION("IFERROR(
  LET(
    data, QUERY(GOOGLEFINANCE(C60,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GOOGLEFINANCE(C60, ""price"")) * 100,
    IF(calc=0, G60, calc)
  ), 
G60)"),"#N/A")</f>
        <v>#N/A</v>
      </c>
      <c r="S60" s="8" t="s">
        <v>15</v>
      </c>
      <c r="T60" s="26" t="str">
        <f>IFERROR(__xludf.DUMMYFUNCTION("IFERROR(TRANSPOSE(QUERY(IFERROR(SORT(GOOGLEFINANCE(C60, ""price"", WORKDAY(TODAY(), -40), TODAY()), 1, FALSE)), ""select Col2 where Col2 is not null limit 22 label Col2 ''"", 0)), """")"),"")</f>
        <v/>
      </c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8"/>
      <c r="AO60" s="28"/>
      <c r="AP60" s="29"/>
      <c r="AQ60" s="29" t="str">
        <f t="shared" ref="AQ60:BL60" si="63">T60/T$2</f>
        <v>#N/A</v>
      </c>
      <c r="AR60" s="29" t="str">
        <f t="shared" si="63"/>
        <v>#DIV/0!</v>
      </c>
      <c r="AS60" s="29" t="str">
        <f t="shared" si="63"/>
        <v>#DIV/0!</v>
      </c>
      <c r="AT60" s="29" t="str">
        <f t="shared" si="63"/>
        <v>#DIV/0!</v>
      </c>
      <c r="AU60" s="29" t="str">
        <f t="shared" si="63"/>
        <v>#DIV/0!</v>
      </c>
      <c r="AV60" s="29" t="str">
        <f t="shared" si="63"/>
        <v>#DIV/0!</v>
      </c>
      <c r="AW60" s="29" t="str">
        <f t="shared" si="63"/>
        <v>#DIV/0!</v>
      </c>
      <c r="AX60" s="29" t="str">
        <f t="shared" si="63"/>
        <v>#DIV/0!</v>
      </c>
      <c r="AY60" s="29" t="str">
        <f t="shared" si="63"/>
        <v>#DIV/0!</v>
      </c>
      <c r="AZ60" s="29" t="str">
        <f t="shared" si="63"/>
        <v>#DIV/0!</v>
      </c>
      <c r="BA60" s="29" t="str">
        <f t="shared" si="63"/>
        <v>#DIV/0!</v>
      </c>
      <c r="BB60" s="29" t="str">
        <f t="shared" si="63"/>
        <v>#DIV/0!</v>
      </c>
      <c r="BC60" s="29" t="str">
        <f t="shared" si="63"/>
        <v>#DIV/0!</v>
      </c>
      <c r="BD60" s="29" t="str">
        <f t="shared" si="63"/>
        <v>#DIV/0!</v>
      </c>
      <c r="BE60" s="29" t="str">
        <f t="shared" si="63"/>
        <v>#DIV/0!</v>
      </c>
      <c r="BF60" s="29" t="str">
        <f t="shared" si="63"/>
        <v>#DIV/0!</v>
      </c>
      <c r="BG60" s="29" t="str">
        <f t="shared" si="63"/>
        <v>#DIV/0!</v>
      </c>
      <c r="BH60" s="29" t="str">
        <f t="shared" si="63"/>
        <v>#DIV/0!</v>
      </c>
      <c r="BI60" s="29" t="str">
        <f t="shared" si="63"/>
        <v>#DIV/0!</v>
      </c>
      <c r="BJ60" s="29" t="str">
        <f t="shared" si="63"/>
        <v>#DIV/0!</v>
      </c>
      <c r="BK60" s="29" t="str">
        <f t="shared" si="63"/>
        <v>#DIV/0!</v>
      </c>
      <c r="BL60" s="29" t="str">
        <f t="shared" si="63"/>
        <v>#DIV/0!</v>
      </c>
      <c r="BM60" s="29" t="str">
        <f t="shared" si="3"/>
        <v>#DIV/0!</v>
      </c>
    </row>
    <row r="61">
      <c r="A61" s="16" t="str">
        <f>IFERROR(__xludf.DUMMYFUNCTION("IFERROR(SPARKLINE(SORT(MAP(TRANSPOSE(AQ61:BL61), LAMBDA(val, IF(ISNUMBER(val), PERCENTRANK(AQ61:BL61, val)+0.01, 0))), SEQUENCE(COLUMNS(AQ61:BL61)), FALSE), {""charttype"",""column""; ""color"",""chartreuse""; ""ymin"", 0; ""ymax"", 1.01; ""highcolor"", "&amp;"""darkgreen""; ""lowcolor"", ""red""}), """")"),"")</f>
        <v/>
      </c>
      <c r="B61" s="17" t="str">
        <f t="shared" si="4"/>
        <v/>
      </c>
      <c r="C61" s="1" t="s">
        <v>1043</v>
      </c>
      <c r="D61" s="30" t="str">
        <f>IFERROR(__xludf.DUMMYFUNCTION("IFERROR(GOOGLEFINANCE(C61, ""NAME""))"),"Nano Nuclear Energy Inc")</f>
        <v>Nano Nuclear Energy Inc</v>
      </c>
      <c r="E61" s="30" t="s">
        <v>893</v>
      </c>
      <c r="F61" s="38" t="str">
        <f>IFERROR(__xludf.DUMMYFUNCTION("( (GOOGLEFINANCE(C61, ""price"") - Q61) / Q61 ) / (R61 / 100)"),"Loading...")</f>
        <v>Loading...</v>
      </c>
      <c r="G61" s="20" t="str">
        <f>IFERROR(__xludf.DUMMYFUNCTION("AVERAGE(ARRAYFORMULA(100 * (QUERY(GOOGLEFINANCE(C61, ""high"", TODAY()-40, TODAY()), ""SELECT Col2 WHERE Col2 IS NOT NULL ORDER BY Col1 DESC LIMIT 20"", 0) / QUERY(GOOGLEFINANCE(C61, ""low"", TODAY()-40, TODAY()), ""SELECT Col2 WHERE Col2 IS NOT NULL ORDE"&amp;"R BY Col1 DESC LIMIT 20"", 0) - 1)))"),"#N/A")</f>
        <v>#N/A</v>
      </c>
      <c r="H61" s="35" t="str">
        <f t="shared" si="6"/>
        <v/>
      </c>
      <c r="I61" s="35" t="str">
        <f t="shared" si="7"/>
        <v/>
      </c>
      <c r="J61" s="37" t="str">
        <f>IFERROR(__xludf.DUMMYFUNCTION("IFERROR(
  IF(C61="""",, 
    IFERROR(
      GOOGLEFINANCE(C61, ""price"") * GOOGLEFINANCE(C61, ""volumeavg""), 
      GOOGLEFINANCE(C61, ""price"") * AVERAGE(QUERY(GOOGLEFINANCE(C61, ""volume"", TODAY()-40, TODAY()), ""SELECT Col2 WHERE Col2 IS NOT NULL "&amp;"ORDER BY Col1 DESC LIMIT 20"", 0))
    )
  ), 
"""")"),"")</f>
        <v/>
      </c>
      <c r="K61" s="21" t="str">
        <f>IFERROR(__xludf.DUMMYFUNCTION("IFERROR(GOOGLEFINANCE(C61, ""changepct"") / 100, """")"),"")</f>
        <v/>
      </c>
      <c r="L61" s="21" t="str">
        <f>IFERROR(__xludf.DUMMYFUNCTION("IFERROR((GOOGLEFINANCE(C61, ""price"") / INDEX(GOOGLEFINANCE(C61, ""price"", TODAY()-7, TODAY()), 2, 2)) - 1, """")"),"")</f>
        <v/>
      </c>
      <c r="M61" s="21" t="str">
        <f>IFERROR(__xludf.DUMMYFUNCTION("IFERROR((GOOGLEFINANCE(C61, ""price"") / INDEX(GOOGLEFINANCE(C61, ""price"", EDATE(TODAY(), -1), TODAY()), 2, 2)) - 1, """")"),"")</f>
        <v/>
      </c>
      <c r="N61" s="21" t="str">
        <f>IFERROR(__xludf.DUMMYFUNCTION("IFERROR((GOOGLEFINANCE(C61, ""price"") / INDEX(GOOGLEFINANCE(C61, ""price"", EDATE(TODAY(), -3), TODAY()), 2, 2)) - 1, """")"),"")</f>
        <v/>
      </c>
      <c r="O61" s="21" t="str">
        <f>IFERROR(__xludf.DUMMYFUNCTION("IFERROR((GOOGLEFINANCE(C61, ""price"") / INDEX(GOOGLEFINANCE(C61, ""price"", EDATE(TODAY(), -6), TODAY()), 2, 2)) - 1, """")"),"")</f>
        <v/>
      </c>
      <c r="P61" s="21" t="str">
        <f>IFERROR(__xludf.DUMMYFUNCTION("IFERROR((GOOGLEFINANCE(C61, ""price"") / INDEX(GOOGLEFINANCE(C61, ""price"", EDATE(TODAY(), -12), TODAY()), 2, 2)) - 1, """")"),"")</f>
        <v/>
      </c>
      <c r="Q61" s="6" t="str">
        <f>IFERROR(__xludf.DUMMYFUNCTION("AVERAGE(QUERY(GOOGLEFINANCE(C61, ""price"", TODAY()-80, TODAY()), ""SELECT Col2 WHERE Col2 IS NOT NULL ORDER BY Col1 DESC LIMIT 50"", 0))"),"#N/A")</f>
        <v>#N/A</v>
      </c>
      <c r="R61" s="24" t="str">
        <f>IFERROR(__xludf.DUMMYFUNCTION("IFERROR(
  LET(
    data, QUERY(GOOGLEFINANCE(C61,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GOOGLEFINANCE(C61, ""price"")) * 100,
    IF(calc=0, G61, calc)
  ), 
G61)"),"#N/A")</f>
        <v>#N/A</v>
      </c>
      <c r="S61" s="8" t="s">
        <v>15</v>
      </c>
      <c r="T61" s="26" t="str">
        <f>IFERROR(__xludf.DUMMYFUNCTION("IFERROR(TRANSPOSE(QUERY(IFERROR(SORT(GOOGLEFINANCE(C61, ""price"", WORKDAY(TODAY(), -40), TODAY()), 1, FALSE)), ""select Col2 where Col2 is not null limit 22 label Col2 ''"", 0)), """")"),"")</f>
        <v/>
      </c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8"/>
      <c r="AO61" s="28"/>
      <c r="AP61" s="29"/>
      <c r="AQ61" s="29" t="str">
        <f t="shared" ref="AQ61:BL61" si="64">T61/T$2</f>
        <v>#N/A</v>
      </c>
      <c r="AR61" s="29" t="str">
        <f t="shared" si="64"/>
        <v>#DIV/0!</v>
      </c>
      <c r="AS61" s="29" t="str">
        <f t="shared" si="64"/>
        <v>#DIV/0!</v>
      </c>
      <c r="AT61" s="29" t="str">
        <f t="shared" si="64"/>
        <v>#DIV/0!</v>
      </c>
      <c r="AU61" s="29" t="str">
        <f t="shared" si="64"/>
        <v>#DIV/0!</v>
      </c>
      <c r="AV61" s="29" t="str">
        <f t="shared" si="64"/>
        <v>#DIV/0!</v>
      </c>
      <c r="AW61" s="29" t="str">
        <f t="shared" si="64"/>
        <v>#DIV/0!</v>
      </c>
      <c r="AX61" s="29" t="str">
        <f t="shared" si="64"/>
        <v>#DIV/0!</v>
      </c>
      <c r="AY61" s="29" t="str">
        <f t="shared" si="64"/>
        <v>#DIV/0!</v>
      </c>
      <c r="AZ61" s="29" t="str">
        <f t="shared" si="64"/>
        <v>#DIV/0!</v>
      </c>
      <c r="BA61" s="29" t="str">
        <f t="shared" si="64"/>
        <v>#DIV/0!</v>
      </c>
      <c r="BB61" s="29" t="str">
        <f t="shared" si="64"/>
        <v>#DIV/0!</v>
      </c>
      <c r="BC61" s="29" t="str">
        <f t="shared" si="64"/>
        <v>#DIV/0!</v>
      </c>
      <c r="BD61" s="29" t="str">
        <f t="shared" si="64"/>
        <v>#DIV/0!</v>
      </c>
      <c r="BE61" s="29" t="str">
        <f t="shared" si="64"/>
        <v>#DIV/0!</v>
      </c>
      <c r="BF61" s="29" t="str">
        <f t="shared" si="64"/>
        <v>#DIV/0!</v>
      </c>
      <c r="BG61" s="29" t="str">
        <f t="shared" si="64"/>
        <v>#DIV/0!</v>
      </c>
      <c r="BH61" s="29" t="str">
        <f t="shared" si="64"/>
        <v>#DIV/0!</v>
      </c>
      <c r="BI61" s="29" t="str">
        <f t="shared" si="64"/>
        <v>#DIV/0!</v>
      </c>
      <c r="BJ61" s="29" t="str">
        <f t="shared" si="64"/>
        <v>#DIV/0!</v>
      </c>
      <c r="BK61" s="29" t="str">
        <f t="shared" si="64"/>
        <v>#DIV/0!</v>
      </c>
      <c r="BL61" s="29" t="str">
        <f t="shared" si="64"/>
        <v>#DIV/0!</v>
      </c>
      <c r="BM61" s="29" t="str">
        <f t="shared" si="3"/>
        <v>#DIV/0!</v>
      </c>
    </row>
    <row r="62">
      <c r="A62" s="16" t="str">
        <f>IFERROR(__xludf.DUMMYFUNCTION("IFERROR(SPARKLINE(SORT(MAP(TRANSPOSE(AQ62:BL62), LAMBDA(val, IF(ISNUMBER(val), PERCENTRANK(AQ62:BL62, val)+0.01, 0))), SEQUENCE(COLUMNS(AQ62:BL62)), FALSE), {""charttype"",""column""; ""color"",""chartreuse""; ""ymin"", 0; ""ymax"", 1.01; ""highcolor"", "&amp;"""darkgreen""; ""lowcolor"", ""red""}), """")"),"")</f>
        <v/>
      </c>
      <c r="B62" s="17" t="str">
        <f t="shared" si="4"/>
        <v/>
      </c>
      <c r="C62" s="1" t="s">
        <v>1047</v>
      </c>
      <c r="D62" s="30" t="str">
        <f>IFERROR(__xludf.DUMMYFUNCTION("IFERROR(GOOGLEFINANCE(C62, ""NAME""))"),"MYR Group Inc")</f>
        <v>MYR Group Inc</v>
      </c>
      <c r="E62" s="30" t="s">
        <v>856</v>
      </c>
      <c r="F62" s="33" t="str">
        <f>IFERROR(__xludf.DUMMYFUNCTION("( (GOOGLEFINANCE(C62, ""price"") - Q62) / Q62 ) / (R62 / 100)"),"Loading...")</f>
        <v>Loading...</v>
      </c>
      <c r="G62" s="20" t="str">
        <f>IFERROR(__xludf.DUMMYFUNCTION("AVERAGE(ARRAYFORMULA(100 * (QUERY(GOOGLEFINANCE(C62, ""high"", TODAY()-40, TODAY()), ""SELECT Col2 WHERE Col2 IS NOT NULL ORDER BY Col1 DESC LIMIT 20"", 0) / QUERY(GOOGLEFINANCE(C62, ""low"", TODAY()-40, TODAY()), ""SELECT Col2 WHERE Col2 IS NOT NULL ORDE"&amp;"R BY Col1 DESC LIMIT 20"", 0) - 1)))"),"#N/A")</f>
        <v>#N/A</v>
      </c>
      <c r="H62" s="35" t="str">
        <f t="shared" si="6"/>
        <v/>
      </c>
      <c r="I62" s="35" t="str">
        <f t="shared" si="7"/>
        <v/>
      </c>
      <c r="J62" s="37" t="str">
        <f>IFERROR(__xludf.DUMMYFUNCTION("IFERROR(
  IF(C62="""",, 
    IFERROR(
      GOOGLEFINANCE(C62, ""price"") * GOOGLEFINANCE(C62, ""volumeavg""), 
      GOOGLEFINANCE(C62, ""price"") * AVERAGE(QUERY(GOOGLEFINANCE(C62, ""volume"", TODAY()-40, TODAY()), ""SELECT Col2 WHERE Col2 IS NOT NULL "&amp;"ORDER BY Col1 DESC LIMIT 20"", 0))
    )
  ), 
"""")"),"")</f>
        <v/>
      </c>
      <c r="K62" s="21" t="str">
        <f>IFERROR(__xludf.DUMMYFUNCTION("IFERROR(GOOGLEFINANCE(C62, ""changepct"") / 100, """")"),"")</f>
        <v/>
      </c>
      <c r="L62" s="21" t="str">
        <f>IFERROR(__xludf.DUMMYFUNCTION("IFERROR((GOOGLEFINANCE(C62, ""price"") / INDEX(GOOGLEFINANCE(C62, ""price"", TODAY()-7, TODAY()), 2, 2)) - 1, """")"),"")</f>
        <v/>
      </c>
      <c r="M62" s="21" t="str">
        <f>IFERROR(__xludf.DUMMYFUNCTION("IFERROR((GOOGLEFINANCE(C62, ""price"") / INDEX(GOOGLEFINANCE(C62, ""price"", EDATE(TODAY(), -1), TODAY()), 2, 2)) - 1, """")"),"")</f>
        <v/>
      </c>
      <c r="N62" s="21" t="str">
        <f>IFERROR(__xludf.DUMMYFUNCTION("IFERROR((GOOGLEFINANCE(C62, ""price"") / INDEX(GOOGLEFINANCE(C62, ""price"", EDATE(TODAY(), -3), TODAY()), 2, 2)) - 1, """")"),"")</f>
        <v/>
      </c>
      <c r="O62" s="21" t="str">
        <f>IFERROR(__xludf.DUMMYFUNCTION("IFERROR((GOOGLEFINANCE(C62, ""price"") / INDEX(GOOGLEFINANCE(C62, ""price"", EDATE(TODAY(), -6), TODAY()), 2, 2)) - 1, """")"),"")</f>
        <v/>
      </c>
      <c r="P62" s="21" t="str">
        <f>IFERROR(__xludf.DUMMYFUNCTION("IFERROR((GOOGLEFINANCE(C62, ""price"") / INDEX(GOOGLEFINANCE(C62, ""price"", EDATE(TODAY(), -12), TODAY()), 2, 2)) - 1, """")"),"")</f>
        <v/>
      </c>
      <c r="Q62" s="6" t="str">
        <f>IFERROR(__xludf.DUMMYFUNCTION("AVERAGE(QUERY(GOOGLEFINANCE(C62, ""price"", TODAY()-80, TODAY()), ""SELECT Col2 WHERE Col2 IS NOT NULL ORDER BY Col1 DESC LIMIT 50"", 0))"),"#N/A")</f>
        <v>#N/A</v>
      </c>
      <c r="R62" s="24" t="str">
        <f>IFERROR(__xludf.DUMMYFUNCTION("IFERROR(
  LET(
    data, QUERY(GOOGLEFINANCE(C62,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GOOGLEFINANCE(C62, ""price"")) * 100,
    IF(calc=0, G62, calc)
  ), 
G62)"),"#N/A")</f>
        <v>#N/A</v>
      </c>
      <c r="S62" s="8" t="s">
        <v>15</v>
      </c>
      <c r="T62" s="26" t="str">
        <f>IFERROR(__xludf.DUMMYFUNCTION("IFERROR(TRANSPOSE(QUERY(IFERROR(SORT(GOOGLEFINANCE(C62, ""price"", WORKDAY(TODAY(), -40), TODAY()), 1, FALSE)), ""select Col2 where Col2 is not null limit 22 label Col2 ''"", 0)), """")"),"")</f>
        <v/>
      </c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8"/>
      <c r="AO62" s="28"/>
      <c r="AP62" s="29"/>
      <c r="AQ62" s="29" t="str">
        <f t="shared" ref="AQ62:BL62" si="65">T62/T$2</f>
        <v>#N/A</v>
      </c>
      <c r="AR62" s="29" t="str">
        <f t="shared" si="65"/>
        <v>#DIV/0!</v>
      </c>
      <c r="AS62" s="29" t="str">
        <f t="shared" si="65"/>
        <v>#DIV/0!</v>
      </c>
      <c r="AT62" s="29" t="str">
        <f t="shared" si="65"/>
        <v>#DIV/0!</v>
      </c>
      <c r="AU62" s="29" t="str">
        <f t="shared" si="65"/>
        <v>#DIV/0!</v>
      </c>
      <c r="AV62" s="29" t="str">
        <f t="shared" si="65"/>
        <v>#DIV/0!</v>
      </c>
      <c r="AW62" s="29" t="str">
        <f t="shared" si="65"/>
        <v>#DIV/0!</v>
      </c>
      <c r="AX62" s="29" t="str">
        <f t="shared" si="65"/>
        <v>#DIV/0!</v>
      </c>
      <c r="AY62" s="29" t="str">
        <f t="shared" si="65"/>
        <v>#DIV/0!</v>
      </c>
      <c r="AZ62" s="29" t="str">
        <f t="shared" si="65"/>
        <v>#DIV/0!</v>
      </c>
      <c r="BA62" s="29" t="str">
        <f t="shared" si="65"/>
        <v>#DIV/0!</v>
      </c>
      <c r="BB62" s="29" t="str">
        <f t="shared" si="65"/>
        <v>#DIV/0!</v>
      </c>
      <c r="BC62" s="29" t="str">
        <f t="shared" si="65"/>
        <v>#DIV/0!</v>
      </c>
      <c r="BD62" s="29" t="str">
        <f t="shared" si="65"/>
        <v>#DIV/0!</v>
      </c>
      <c r="BE62" s="29" t="str">
        <f t="shared" si="65"/>
        <v>#DIV/0!</v>
      </c>
      <c r="BF62" s="29" t="str">
        <f t="shared" si="65"/>
        <v>#DIV/0!</v>
      </c>
      <c r="BG62" s="29" t="str">
        <f t="shared" si="65"/>
        <v>#DIV/0!</v>
      </c>
      <c r="BH62" s="29" t="str">
        <f t="shared" si="65"/>
        <v>#DIV/0!</v>
      </c>
      <c r="BI62" s="29" t="str">
        <f t="shared" si="65"/>
        <v>#DIV/0!</v>
      </c>
      <c r="BJ62" s="29" t="str">
        <f t="shared" si="65"/>
        <v>#DIV/0!</v>
      </c>
      <c r="BK62" s="29" t="str">
        <f t="shared" si="65"/>
        <v>#DIV/0!</v>
      </c>
      <c r="BL62" s="29" t="str">
        <f t="shared" si="65"/>
        <v>#DIV/0!</v>
      </c>
      <c r="BM62" s="29" t="str">
        <f t="shared" si="3"/>
        <v>#DIV/0!</v>
      </c>
    </row>
    <row r="63">
      <c r="A63" s="16" t="str">
        <f>IFERROR(__xludf.DUMMYFUNCTION("IFERROR(SPARKLINE(SORT(MAP(TRANSPOSE(AQ63:BL63), LAMBDA(val, IF(ISNUMBER(val), PERCENTRANK(AQ63:BL63, val)+0.01, 0))), SEQUENCE(COLUMNS(AQ63:BL63)), FALSE), {""charttype"",""column""; ""color"",""chartreuse""; ""ymin"", 0; ""ymax"", 1.01; ""highcolor"", "&amp;"""darkgreen""; ""lowcolor"", ""red""}), """")"),"")</f>
        <v/>
      </c>
      <c r="B63" s="17" t="str">
        <f t="shared" si="4"/>
        <v/>
      </c>
      <c r="C63" s="1" t="s">
        <v>1050</v>
      </c>
      <c r="D63" s="30" t="str">
        <f>IFERROR(__xludf.DUMMYFUNCTION("IFERROR(GOOGLEFINANCE(C63, ""NAME""))"),"Quanta Services Inc")</f>
        <v>Quanta Services Inc</v>
      </c>
      <c r="E63" s="30" t="s">
        <v>856</v>
      </c>
      <c r="F63" s="33" t="str">
        <f>IFERROR(__xludf.DUMMYFUNCTION("( (GOOGLEFINANCE(C63, ""price"") - Q63) / Q63 ) / (R63 / 100)"),"Loading...")</f>
        <v>Loading...</v>
      </c>
      <c r="G63" s="20" t="str">
        <f>IFERROR(__xludf.DUMMYFUNCTION("AVERAGE(ARRAYFORMULA(100 * (QUERY(GOOGLEFINANCE(C63, ""high"", TODAY()-40, TODAY()), ""SELECT Col2 WHERE Col2 IS NOT NULL ORDER BY Col1 DESC LIMIT 20"", 0) / QUERY(GOOGLEFINANCE(C63, ""low"", TODAY()-40, TODAY()), ""SELECT Col2 WHERE Col2 IS NOT NULL ORDE"&amp;"R BY Col1 DESC LIMIT 20"", 0) - 1)))"),"#N/A")</f>
        <v>#N/A</v>
      </c>
      <c r="H63" s="35" t="str">
        <f t="shared" si="6"/>
        <v/>
      </c>
      <c r="I63" s="35" t="str">
        <f t="shared" si="7"/>
        <v/>
      </c>
      <c r="J63" s="37" t="str">
        <f>IFERROR(__xludf.DUMMYFUNCTION("IFERROR(
  IF(C63="""",, 
    IFERROR(
      GOOGLEFINANCE(C63, ""price"") * GOOGLEFINANCE(C63, ""volumeavg""), 
      GOOGLEFINANCE(C63, ""price"") * AVERAGE(QUERY(GOOGLEFINANCE(C63, ""volume"", TODAY()-40, TODAY()), ""SELECT Col2 WHERE Col2 IS NOT NULL "&amp;"ORDER BY Col1 DESC LIMIT 20"", 0))
    )
  ), 
"""")"),"")</f>
        <v/>
      </c>
      <c r="K63" s="21" t="str">
        <f>IFERROR(__xludf.DUMMYFUNCTION("IFERROR(GOOGLEFINANCE(C63, ""changepct"") / 100, """")"),"")</f>
        <v/>
      </c>
      <c r="L63" s="21" t="str">
        <f>IFERROR(__xludf.DUMMYFUNCTION("IFERROR((GOOGLEFINANCE(C63, ""price"") / INDEX(GOOGLEFINANCE(C63, ""price"", TODAY()-7, TODAY()), 2, 2)) - 1, """")"),"")</f>
        <v/>
      </c>
      <c r="M63" s="21" t="str">
        <f>IFERROR(__xludf.DUMMYFUNCTION("IFERROR((GOOGLEFINANCE(C63, ""price"") / INDEX(GOOGLEFINANCE(C63, ""price"", EDATE(TODAY(), -1), TODAY()), 2, 2)) - 1, """")"),"")</f>
        <v/>
      </c>
      <c r="N63" s="21" t="str">
        <f>IFERROR(__xludf.DUMMYFUNCTION("IFERROR((GOOGLEFINANCE(C63, ""price"") / INDEX(GOOGLEFINANCE(C63, ""price"", EDATE(TODAY(), -3), TODAY()), 2, 2)) - 1, """")"),"")</f>
        <v/>
      </c>
      <c r="O63" s="21" t="str">
        <f>IFERROR(__xludf.DUMMYFUNCTION("IFERROR((GOOGLEFINANCE(C63, ""price"") / INDEX(GOOGLEFINANCE(C63, ""price"", EDATE(TODAY(), -6), TODAY()), 2, 2)) - 1, """")"),"")</f>
        <v/>
      </c>
      <c r="P63" s="21" t="str">
        <f>IFERROR(__xludf.DUMMYFUNCTION("IFERROR((GOOGLEFINANCE(C63, ""price"") / INDEX(GOOGLEFINANCE(C63, ""price"", EDATE(TODAY(), -12), TODAY()), 2, 2)) - 1, """")"),"")</f>
        <v/>
      </c>
      <c r="Q63" s="6" t="str">
        <f>IFERROR(__xludf.DUMMYFUNCTION("AVERAGE(QUERY(GOOGLEFINANCE(C63, ""price"", TODAY()-80, TODAY()), ""SELECT Col2 WHERE Col2 IS NOT NULL ORDER BY Col1 DESC LIMIT 50"", 0))"),"#N/A")</f>
        <v>#N/A</v>
      </c>
      <c r="R63" s="24" t="str">
        <f>IFERROR(__xludf.DUMMYFUNCTION("IFERROR(
  LET(
    data, QUERY(GOOGLEFINANCE(C63,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GOOGLEFINANCE(C63, ""price"")) * 100,
    IF(calc=0, G63, calc)
  ), 
G63)"),"#N/A")</f>
        <v>#N/A</v>
      </c>
      <c r="S63" s="8" t="s">
        <v>15</v>
      </c>
      <c r="T63" s="26" t="str">
        <f>IFERROR(__xludf.DUMMYFUNCTION("IFERROR(TRANSPOSE(QUERY(IFERROR(SORT(GOOGLEFINANCE(C63, ""price"", WORKDAY(TODAY(), -40), TODAY()), 1, FALSE)), ""select Col2 where Col2 is not null limit 22 label Col2 ''"", 0)), """")"),"")</f>
        <v/>
      </c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8"/>
      <c r="AO63" s="28"/>
      <c r="AP63" s="29"/>
      <c r="AQ63" s="29" t="str">
        <f t="shared" ref="AQ63:BL63" si="66">T63/T$2</f>
        <v>#N/A</v>
      </c>
      <c r="AR63" s="29" t="str">
        <f t="shared" si="66"/>
        <v>#DIV/0!</v>
      </c>
      <c r="AS63" s="29" t="str">
        <f t="shared" si="66"/>
        <v>#DIV/0!</v>
      </c>
      <c r="AT63" s="29" t="str">
        <f t="shared" si="66"/>
        <v>#DIV/0!</v>
      </c>
      <c r="AU63" s="29" t="str">
        <f t="shared" si="66"/>
        <v>#DIV/0!</v>
      </c>
      <c r="AV63" s="29" t="str">
        <f t="shared" si="66"/>
        <v>#DIV/0!</v>
      </c>
      <c r="AW63" s="29" t="str">
        <f t="shared" si="66"/>
        <v>#DIV/0!</v>
      </c>
      <c r="AX63" s="29" t="str">
        <f t="shared" si="66"/>
        <v>#DIV/0!</v>
      </c>
      <c r="AY63" s="29" t="str">
        <f t="shared" si="66"/>
        <v>#DIV/0!</v>
      </c>
      <c r="AZ63" s="29" t="str">
        <f t="shared" si="66"/>
        <v>#DIV/0!</v>
      </c>
      <c r="BA63" s="29" t="str">
        <f t="shared" si="66"/>
        <v>#DIV/0!</v>
      </c>
      <c r="BB63" s="29" t="str">
        <f t="shared" si="66"/>
        <v>#DIV/0!</v>
      </c>
      <c r="BC63" s="29" t="str">
        <f t="shared" si="66"/>
        <v>#DIV/0!</v>
      </c>
      <c r="BD63" s="29" t="str">
        <f t="shared" si="66"/>
        <v>#DIV/0!</v>
      </c>
      <c r="BE63" s="29" t="str">
        <f t="shared" si="66"/>
        <v>#DIV/0!</v>
      </c>
      <c r="BF63" s="29" t="str">
        <f t="shared" si="66"/>
        <v>#DIV/0!</v>
      </c>
      <c r="BG63" s="29" t="str">
        <f t="shared" si="66"/>
        <v>#DIV/0!</v>
      </c>
      <c r="BH63" s="29" t="str">
        <f t="shared" si="66"/>
        <v>#DIV/0!</v>
      </c>
      <c r="BI63" s="29" t="str">
        <f t="shared" si="66"/>
        <v>#DIV/0!</v>
      </c>
      <c r="BJ63" s="29" t="str">
        <f t="shared" si="66"/>
        <v>#DIV/0!</v>
      </c>
      <c r="BK63" s="29" t="str">
        <f t="shared" si="66"/>
        <v>#DIV/0!</v>
      </c>
      <c r="BL63" s="29" t="str">
        <f t="shared" si="66"/>
        <v>#DIV/0!</v>
      </c>
      <c r="BM63" s="29" t="str">
        <f t="shared" si="3"/>
        <v>#DIV/0!</v>
      </c>
    </row>
    <row r="64">
      <c r="A64" s="16" t="str">
        <f>IFERROR(__xludf.DUMMYFUNCTION("IFERROR(SPARKLINE(SORT(MAP(TRANSPOSE(AQ64:BL64), LAMBDA(val, IF(ISNUMBER(val), PERCENTRANK(AQ64:BL64, val)+0.01, 0))), SEQUENCE(COLUMNS(AQ64:BL64)), FALSE), {""charttype"",""column""; ""color"",""chartreuse""; ""ymin"", 0; ""ymax"", 1.01; ""highcolor"", "&amp;"""darkgreen""; ""lowcolor"", ""red""}), """")"),"")</f>
        <v/>
      </c>
      <c r="B64" s="17" t="str">
        <f t="shared" si="4"/>
        <v/>
      </c>
      <c r="C64" s="1" t="s">
        <v>1054</v>
      </c>
      <c r="D64" s="30" t="str">
        <f>IFERROR(__xludf.DUMMYFUNCTION("IFERROR(GOOGLEFINANCE(C64, ""NAME""))"),"Timken Co")</f>
        <v>Timken Co</v>
      </c>
      <c r="E64" s="30" t="s">
        <v>1055</v>
      </c>
      <c r="F64" s="33" t="str">
        <f>IFERROR(__xludf.DUMMYFUNCTION("( (GOOGLEFINANCE(C64, ""price"") - Q64) / Q64 ) / (R64 / 100)"),"Loading...")</f>
        <v>Loading...</v>
      </c>
      <c r="G64" s="20" t="str">
        <f>IFERROR(__xludf.DUMMYFUNCTION("AVERAGE(ARRAYFORMULA(100 * (QUERY(GOOGLEFINANCE(C64, ""high"", TODAY()-40, TODAY()), ""SELECT Col2 WHERE Col2 IS NOT NULL ORDER BY Col1 DESC LIMIT 20"", 0) / QUERY(GOOGLEFINANCE(C64, ""low"", TODAY()-40, TODAY()), ""SELECT Col2 WHERE Col2 IS NOT NULL ORDE"&amp;"R BY Col1 DESC LIMIT 20"", 0) - 1)))"),"#N/A")</f>
        <v>#N/A</v>
      </c>
      <c r="H64" s="35" t="str">
        <f t="shared" si="6"/>
        <v/>
      </c>
      <c r="I64" s="35" t="str">
        <f t="shared" si="7"/>
        <v/>
      </c>
      <c r="J64" s="37" t="str">
        <f>IFERROR(__xludf.DUMMYFUNCTION("IFERROR(
  IF(C64="""",, 
    IFERROR(
      GOOGLEFINANCE(C64, ""price"") * GOOGLEFINANCE(C64, ""volumeavg""), 
      GOOGLEFINANCE(C64, ""price"") * AVERAGE(QUERY(GOOGLEFINANCE(C64, ""volume"", TODAY()-40, TODAY()), ""SELECT Col2 WHERE Col2 IS NOT NULL "&amp;"ORDER BY Col1 DESC LIMIT 20"", 0))
    )
  ), 
"""")"),"")</f>
        <v/>
      </c>
      <c r="K64" s="21" t="str">
        <f>IFERROR(__xludf.DUMMYFUNCTION("IFERROR(GOOGLEFINANCE(C64, ""changepct"") / 100, """")"),"")</f>
        <v/>
      </c>
      <c r="L64" s="21" t="str">
        <f>IFERROR(__xludf.DUMMYFUNCTION("IFERROR((GOOGLEFINANCE(C64, ""price"") / INDEX(GOOGLEFINANCE(C64, ""price"", TODAY()-7, TODAY()), 2, 2)) - 1, """")"),"")</f>
        <v/>
      </c>
      <c r="M64" s="21" t="str">
        <f>IFERROR(__xludf.DUMMYFUNCTION("IFERROR((GOOGLEFINANCE(C64, ""price"") / INDEX(GOOGLEFINANCE(C64, ""price"", EDATE(TODAY(), -1), TODAY()), 2, 2)) - 1, """")"),"")</f>
        <v/>
      </c>
      <c r="N64" s="21" t="str">
        <f>IFERROR(__xludf.DUMMYFUNCTION("IFERROR((GOOGLEFINANCE(C64, ""price"") / INDEX(GOOGLEFINANCE(C64, ""price"", EDATE(TODAY(), -3), TODAY()), 2, 2)) - 1, """")"),"")</f>
        <v/>
      </c>
      <c r="O64" s="21" t="str">
        <f>IFERROR(__xludf.DUMMYFUNCTION("IFERROR((GOOGLEFINANCE(C64, ""price"") / INDEX(GOOGLEFINANCE(C64, ""price"", EDATE(TODAY(), -6), TODAY()), 2, 2)) - 1, """")"),"")</f>
        <v/>
      </c>
      <c r="P64" s="21" t="str">
        <f>IFERROR(__xludf.DUMMYFUNCTION("IFERROR((GOOGLEFINANCE(C64, ""price"") / INDEX(GOOGLEFINANCE(C64, ""price"", EDATE(TODAY(), -12), TODAY()), 2, 2)) - 1, """")"),"")</f>
        <v/>
      </c>
      <c r="Q64" s="6" t="str">
        <f>IFERROR(__xludf.DUMMYFUNCTION("AVERAGE(QUERY(GOOGLEFINANCE(C64, ""price"", TODAY()-80, TODAY()), ""SELECT Col2 WHERE Col2 IS NOT NULL ORDER BY Col1 DESC LIMIT 50"", 0))"),"#N/A")</f>
        <v>#N/A</v>
      </c>
      <c r="R64" s="24" t="str">
        <f>IFERROR(__xludf.DUMMYFUNCTION("IFERROR(
  LET(
    data, QUERY(GOOGLEFINANCE(C64,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GOOGLEFINANCE(C64, ""price"")) * 100,
    IF(calc=0, G64, calc)
  ), 
G64)"),"#N/A")</f>
        <v>#N/A</v>
      </c>
      <c r="S64" s="8" t="s">
        <v>15</v>
      </c>
      <c r="T64" s="26" t="str">
        <f>IFERROR(__xludf.DUMMYFUNCTION("IFERROR(TRANSPOSE(QUERY(IFERROR(SORT(GOOGLEFINANCE(C64, ""price"", WORKDAY(TODAY(), -40), TODAY()), 1, FALSE)), ""select Col2 where Col2 is not null limit 22 label Col2 ''"", 0)), """")"),"")</f>
        <v/>
      </c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8"/>
      <c r="AO64" s="28"/>
      <c r="AP64" s="29"/>
      <c r="AQ64" s="29" t="str">
        <f t="shared" ref="AQ64:BL64" si="67">T64/T$2</f>
        <v>#N/A</v>
      </c>
      <c r="AR64" s="29" t="str">
        <f t="shared" si="67"/>
        <v>#DIV/0!</v>
      </c>
      <c r="AS64" s="29" t="str">
        <f t="shared" si="67"/>
        <v>#DIV/0!</v>
      </c>
      <c r="AT64" s="29" t="str">
        <f t="shared" si="67"/>
        <v>#DIV/0!</v>
      </c>
      <c r="AU64" s="29" t="str">
        <f t="shared" si="67"/>
        <v>#DIV/0!</v>
      </c>
      <c r="AV64" s="29" t="str">
        <f t="shared" si="67"/>
        <v>#DIV/0!</v>
      </c>
      <c r="AW64" s="29" t="str">
        <f t="shared" si="67"/>
        <v>#DIV/0!</v>
      </c>
      <c r="AX64" s="29" t="str">
        <f t="shared" si="67"/>
        <v>#DIV/0!</v>
      </c>
      <c r="AY64" s="29" t="str">
        <f t="shared" si="67"/>
        <v>#DIV/0!</v>
      </c>
      <c r="AZ64" s="29" t="str">
        <f t="shared" si="67"/>
        <v>#DIV/0!</v>
      </c>
      <c r="BA64" s="29" t="str">
        <f t="shared" si="67"/>
        <v>#DIV/0!</v>
      </c>
      <c r="BB64" s="29" t="str">
        <f t="shared" si="67"/>
        <v>#DIV/0!</v>
      </c>
      <c r="BC64" s="29" t="str">
        <f t="shared" si="67"/>
        <v>#DIV/0!</v>
      </c>
      <c r="BD64" s="29" t="str">
        <f t="shared" si="67"/>
        <v>#DIV/0!</v>
      </c>
      <c r="BE64" s="29" t="str">
        <f t="shared" si="67"/>
        <v>#DIV/0!</v>
      </c>
      <c r="BF64" s="29" t="str">
        <f t="shared" si="67"/>
        <v>#DIV/0!</v>
      </c>
      <c r="BG64" s="29" t="str">
        <f t="shared" si="67"/>
        <v>#DIV/0!</v>
      </c>
      <c r="BH64" s="29" t="str">
        <f t="shared" si="67"/>
        <v>#DIV/0!</v>
      </c>
      <c r="BI64" s="29" t="str">
        <f t="shared" si="67"/>
        <v>#DIV/0!</v>
      </c>
      <c r="BJ64" s="29" t="str">
        <f t="shared" si="67"/>
        <v>#DIV/0!</v>
      </c>
      <c r="BK64" s="29" t="str">
        <f t="shared" si="67"/>
        <v>#DIV/0!</v>
      </c>
      <c r="BL64" s="29" t="str">
        <f t="shared" si="67"/>
        <v>#DIV/0!</v>
      </c>
      <c r="BM64" s="29" t="str">
        <f t="shared" si="3"/>
        <v>#DIV/0!</v>
      </c>
    </row>
    <row r="65">
      <c r="A65" s="16" t="str">
        <f>IFERROR(__xludf.DUMMYFUNCTION("IFERROR(SPARKLINE(SORT(MAP(TRANSPOSE(AQ65:BL65), LAMBDA(val, IF(ISNUMBER(val), PERCENTRANK(AQ65:BL65, val)+0.01, 0))), SEQUENCE(COLUMNS(AQ65:BL65)), FALSE), {""charttype"",""column""; ""color"",""chartreuse""; ""ymin"", 0; ""ymax"", 1.01; ""highcolor"", "&amp;"""darkgreen""; ""lowcolor"", ""red""}), """")"),"")</f>
        <v/>
      </c>
      <c r="B65" s="17" t="str">
        <f t="shared" si="4"/>
        <v/>
      </c>
      <c r="C65" s="1" t="s">
        <v>1059</v>
      </c>
      <c r="D65" s="30" t="str">
        <f>IFERROR(__xludf.DUMMYFUNCTION("IFERROR(GOOGLEFINANCE(C65, ""NAME""))"),"Ballard Power Systems Inc")</f>
        <v>Ballard Power Systems Inc</v>
      </c>
      <c r="E65" s="30" t="s">
        <v>864</v>
      </c>
      <c r="F65" s="33" t="str">
        <f>IFERROR(__xludf.DUMMYFUNCTION("( (GOOGLEFINANCE(C65, ""price"") - Q65) / Q65 ) / (R65 / 100)"),"Loading...")</f>
        <v>Loading...</v>
      </c>
      <c r="G65" s="20" t="str">
        <f>IFERROR(__xludf.DUMMYFUNCTION("AVERAGE(ARRAYFORMULA(100 * (QUERY(GOOGLEFINANCE(C65, ""high"", TODAY()-40, TODAY()), ""SELECT Col2 WHERE Col2 IS NOT NULL ORDER BY Col1 DESC LIMIT 20"", 0) / QUERY(GOOGLEFINANCE(C65, ""low"", TODAY()-40, TODAY()), ""SELECT Col2 WHERE Col2 IS NOT NULL ORDE"&amp;"R BY Col1 DESC LIMIT 20"", 0) - 1)))"),"#N/A")</f>
        <v>#N/A</v>
      </c>
      <c r="H65" s="35" t="str">
        <f t="shared" si="6"/>
        <v/>
      </c>
      <c r="I65" s="35" t="str">
        <f t="shared" si="7"/>
        <v/>
      </c>
      <c r="J65" s="37" t="str">
        <f>IFERROR(__xludf.DUMMYFUNCTION("IFERROR(
  IF(C65="""",, 
    IFERROR(
      GOOGLEFINANCE(C65, ""price"") * GOOGLEFINANCE(C65, ""volumeavg""), 
      GOOGLEFINANCE(C65, ""price"") * AVERAGE(QUERY(GOOGLEFINANCE(C65, ""volume"", TODAY()-40, TODAY()), ""SELECT Col2 WHERE Col2 IS NOT NULL "&amp;"ORDER BY Col1 DESC LIMIT 20"", 0))
    )
  ), 
"""")"),"")</f>
        <v/>
      </c>
      <c r="K65" s="21" t="str">
        <f>IFERROR(__xludf.DUMMYFUNCTION("IFERROR(GOOGLEFINANCE(C65, ""changepct"") / 100, """")"),"")</f>
        <v/>
      </c>
      <c r="L65" s="21" t="str">
        <f>IFERROR(__xludf.DUMMYFUNCTION("IFERROR((GOOGLEFINANCE(C65, ""price"") / INDEX(GOOGLEFINANCE(C65, ""price"", TODAY()-7, TODAY()), 2, 2)) - 1, """")"),"")</f>
        <v/>
      </c>
      <c r="M65" s="21" t="str">
        <f>IFERROR(__xludf.DUMMYFUNCTION("IFERROR((GOOGLEFINANCE(C65, ""price"") / INDEX(GOOGLEFINANCE(C65, ""price"", EDATE(TODAY(), -1), TODAY()), 2, 2)) - 1, """")"),"")</f>
        <v/>
      </c>
      <c r="N65" s="21" t="str">
        <f>IFERROR(__xludf.DUMMYFUNCTION("IFERROR((GOOGLEFINANCE(C65, ""price"") / INDEX(GOOGLEFINANCE(C65, ""price"", EDATE(TODAY(), -3), TODAY()), 2, 2)) - 1, """")"),"")</f>
        <v/>
      </c>
      <c r="O65" s="21" t="str">
        <f>IFERROR(__xludf.DUMMYFUNCTION("IFERROR((GOOGLEFINANCE(C65, ""price"") / INDEX(GOOGLEFINANCE(C65, ""price"", EDATE(TODAY(), -6), TODAY()), 2, 2)) - 1, """")"),"")</f>
        <v/>
      </c>
      <c r="P65" s="21" t="str">
        <f>IFERROR(__xludf.DUMMYFUNCTION("IFERROR((GOOGLEFINANCE(C65, ""price"") / INDEX(GOOGLEFINANCE(C65, ""price"", EDATE(TODAY(), -12), TODAY()), 2, 2)) - 1, """")"),"")</f>
        <v/>
      </c>
      <c r="Q65" s="6" t="str">
        <f>IFERROR(__xludf.DUMMYFUNCTION("AVERAGE(QUERY(GOOGLEFINANCE(C65, ""price"", TODAY()-80, TODAY()), ""SELECT Col2 WHERE Col2 IS NOT NULL ORDER BY Col1 DESC LIMIT 50"", 0))"),"#N/A")</f>
        <v>#N/A</v>
      </c>
      <c r="R65" s="24" t="str">
        <f>IFERROR(__xludf.DUMMYFUNCTION("IFERROR(
  LET(
    data, QUERY(GOOGLEFINANCE(C65,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GOOGLEFINANCE(C65, ""price"")) * 100,
    IF(calc=0, G65, calc)
  ), 
G65)"),"#N/A")</f>
        <v>#N/A</v>
      </c>
      <c r="S65" s="8" t="s">
        <v>15</v>
      </c>
      <c r="T65" s="26" t="str">
        <f>IFERROR(__xludf.DUMMYFUNCTION("IFERROR(TRANSPOSE(QUERY(IFERROR(SORT(GOOGLEFINANCE(C65, ""price"", WORKDAY(TODAY(), -40), TODAY()), 1, FALSE)), ""select Col2 where Col2 is not null limit 22 label Col2 ''"", 0)), """")"),"")</f>
        <v/>
      </c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8"/>
      <c r="AO65" s="28"/>
      <c r="AP65" s="29"/>
      <c r="AQ65" s="29" t="str">
        <f t="shared" ref="AQ65:BL65" si="68">T65/T$2</f>
        <v>#N/A</v>
      </c>
      <c r="AR65" s="29" t="str">
        <f t="shared" si="68"/>
        <v>#DIV/0!</v>
      </c>
      <c r="AS65" s="29" t="str">
        <f t="shared" si="68"/>
        <v>#DIV/0!</v>
      </c>
      <c r="AT65" s="29" t="str">
        <f t="shared" si="68"/>
        <v>#DIV/0!</v>
      </c>
      <c r="AU65" s="29" t="str">
        <f t="shared" si="68"/>
        <v>#DIV/0!</v>
      </c>
      <c r="AV65" s="29" t="str">
        <f t="shared" si="68"/>
        <v>#DIV/0!</v>
      </c>
      <c r="AW65" s="29" t="str">
        <f t="shared" si="68"/>
        <v>#DIV/0!</v>
      </c>
      <c r="AX65" s="29" t="str">
        <f t="shared" si="68"/>
        <v>#DIV/0!</v>
      </c>
      <c r="AY65" s="29" t="str">
        <f t="shared" si="68"/>
        <v>#DIV/0!</v>
      </c>
      <c r="AZ65" s="29" t="str">
        <f t="shared" si="68"/>
        <v>#DIV/0!</v>
      </c>
      <c r="BA65" s="29" t="str">
        <f t="shared" si="68"/>
        <v>#DIV/0!</v>
      </c>
      <c r="BB65" s="29" t="str">
        <f t="shared" si="68"/>
        <v>#DIV/0!</v>
      </c>
      <c r="BC65" s="29" t="str">
        <f t="shared" si="68"/>
        <v>#DIV/0!</v>
      </c>
      <c r="BD65" s="29" t="str">
        <f t="shared" si="68"/>
        <v>#DIV/0!</v>
      </c>
      <c r="BE65" s="29" t="str">
        <f t="shared" si="68"/>
        <v>#DIV/0!</v>
      </c>
      <c r="BF65" s="29" t="str">
        <f t="shared" si="68"/>
        <v>#DIV/0!</v>
      </c>
      <c r="BG65" s="29" t="str">
        <f t="shared" si="68"/>
        <v>#DIV/0!</v>
      </c>
      <c r="BH65" s="29" t="str">
        <f t="shared" si="68"/>
        <v>#DIV/0!</v>
      </c>
      <c r="BI65" s="29" t="str">
        <f t="shared" si="68"/>
        <v>#DIV/0!</v>
      </c>
      <c r="BJ65" s="29" t="str">
        <f t="shared" si="68"/>
        <v>#DIV/0!</v>
      </c>
      <c r="BK65" s="29" t="str">
        <f t="shared" si="68"/>
        <v>#DIV/0!</v>
      </c>
      <c r="BL65" s="29" t="str">
        <f t="shared" si="68"/>
        <v>#DIV/0!</v>
      </c>
      <c r="BM65" s="29" t="str">
        <f t="shared" si="3"/>
        <v>#DIV/0!</v>
      </c>
    </row>
    <row r="66">
      <c r="A66" s="16" t="str">
        <f>IFERROR(__xludf.DUMMYFUNCTION("IFERROR(SPARKLINE(SORT(MAP(TRANSPOSE(AQ66:BL66), LAMBDA(val, IF(ISNUMBER(val), PERCENTRANK(AQ66:BL66, val)+0.01, 0))), SEQUENCE(COLUMNS(AQ66:BL66)), FALSE), {""charttype"",""column""; ""color"",""chartreuse""; ""ymin"", 0; ""ymax"", 1.01; ""highcolor"", "&amp;"""darkgreen""; ""lowcolor"", ""red""}), """")"),"")</f>
        <v/>
      </c>
      <c r="B66" s="17" t="str">
        <f t="shared" si="4"/>
        <v/>
      </c>
      <c r="C66" s="1" t="s">
        <v>1062</v>
      </c>
      <c r="D66" s="30" t="str">
        <f>IFERROR(__xludf.DUMMYFUNCTION("IFERROR(GOOGLEFINANCE(C66, ""NAME""))"),"Custom Truck One Source Inc")</f>
        <v>Custom Truck One Source Inc</v>
      </c>
      <c r="E66" s="30" t="s">
        <v>888</v>
      </c>
      <c r="F66" s="33" t="str">
        <f>IFERROR(__xludf.DUMMYFUNCTION("( (GOOGLEFINANCE(C66, ""price"") - Q66) / Q66 ) / (R66 / 100)"),"Loading...")</f>
        <v>Loading...</v>
      </c>
      <c r="G66" s="20" t="str">
        <f>IFERROR(__xludf.DUMMYFUNCTION("AVERAGE(ARRAYFORMULA(100 * (QUERY(GOOGLEFINANCE(C66, ""high"", TODAY()-40, TODAY()), ""SELECT Col2 WHERE Col2 IS NOT NULL ORDER BY Col1 DESC LIMIT 20"", 0) / QUERY(GOOGLEFINANCE(C66, ""low"", TODAY()-40, TODAY()), ""SELECT Col2 WHERE Col2 IS NOT NULL ORDE"&amp;"R BY Col1 DESC LIMIT 20"", 0) - 1)))"),"#N/A")</f>
        <v>#N/A</v>
      </c>
      <c r="H66" s="35" t="str">
        <f t="shared" si="6"/>
        <v/>
      </c>
      <c r="I66" s="35" t="str">
        <f t="shared" si="7"/>
        <v/>
      </c>
      <c r="J66" s="37" t="str">
        <f>IFERROR(__xludf.DUMMYFUNCTION("IFERROR(
  IF(C66="""",, 
    IFERROR(
      GOOGLEFINANCE(C66, ""price"") * GOOGLEFINANCE(C66, ""volumeavg""), 
      GOOGLEFINANCE(C66, ""price"") * AVERAGE(QUERY(GOOGLEFINANCE(C66, ""volume"", TODAY()-40, TODAY()), ""SELECT Col2 WHERE Col2 IS NOT NULL "&amp;"ORDER BY Col1 DESC LIMIT 20"", 0))
    )
  ), 
"""")"),"")</f>
        <v/>
      </c>
      <c r="K66" s="21" t="str">
        <f>IFERROR(__xludf.DUMMYFUNCTION("IFERROR(GOOGLEFINANCE(C66, ""changepct"") / 100, """")"),"")</f>
        <v/>
      </c>
      <c r="L66" s="21" t="str">
        <f>IFERROR(__xludf.DUMMYFUNCTION("IFERROR((GOOGLEFINANCE(C66, ""price"") / INDEX(GOOGLEFINANCE(C66, ""price"", TODAY()-7, TODAY()), 2, 2)) - 1, """")"),"")</f>
        <v/>
      </c>
      <c r="M66" s="21" t="str">
        <f>IFERROR(__xludf.DUMMYFUNCTION("IFERROR((GOOGLEFINANCE(C66, ""price"") / INDEX(GOOGLEFINANCE(C66, ""price"", EDATE(TODAY(), -1), TODAY()), 2, 2)) - 1, """")"),"")</f>
        <v/>
      </c>
      <c r="N66" s="21" t="str">
        <f>IFERROR(__xludf.DUMMYFUNCTION("IFERROR((GOOGLEFINANCE(C66, ""price"") / INDEX(GOOGLEFINANCE(C66, ""price"", EDATE(TODAY(), -3), TODAY()), 2, 2)) - 1, """")"),"")</f>
        <v/>
      </c>
      <c r="O66" s="21" t="str">
        <f>IFERROR(__xludf.DUMMYFUNCTION("IFERROR((GOOGLEFINANCE(C66, ""price"") / INDEX(GOOGLEFINANCE(C66, ""price"", EDATE(TODAY(), -6), TODAY()), 2, 2)) - 1, """")"),"")</f>
        <v/>
      </c>
      <c r="P66" s="21" t="str">
        <f>IFERROR(__xludf.DUMMYFUNCTION("IFERROR((GOOGLEFINANCE(C66, ""price"") / INDEX(GOOGLEFINANCE(C66, ""price"", EDATE(TODAY(), -12), TODAY()), 2, 2)) - 1, """")"),"")</f>
        <v/>
      </c>
      <c r="Q66" s="6" t="str">
        <f>IFERROR(__xludf.DUMMYFUNCTION("AVERAGE(QUERY(GOOGLEFINANCE(C66, ""price"", TODAY()-80, TODAY()), ""SELECT Col2 WHERE Col2 IS NOT NULL ORDER BY Col1 DESC LIMIT 50"", 0))"),"#N/A")</f>
        <v>#N/A</v>
      </c>
      <c r="R66" s="24" t="str">
        <f>IFERROR(__xludf.DUMMYFUNCTION("IFERROR(
  LET(
    data, QUERY(GOOGLEFINANCE(C66,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GOOGLEFINANCE(C66, ""price"")) * 100,
    IF(calc=0, G66, calc)
  ), 
G66)"),"#N/A")</f>
        <v>#N/A</v>
      </c>
      <c r="S66" s="8" t="s">
        <v>15</v>
      </c>
      <c r="T66" s="26" t="str">
        <f>IFERROR(__xludf.DUMMYFUNCTION("IFERROR(TRANSPOSE(QUERY(IFERROR(SORT(GOOGLEFINANCE(C66, ""price"", WORKDAY(TODAY(), -40), TODAY()), 1, FALSE)), ""select Col2 where Col2 is not null limit 22 label Col2 ''"", 0)), """")"),"")</f>
        <v/>
      </c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8"/>
      <c r="AO66" s="28"/>
      <c r="AP66" s="29"/>
      <c r="AQ66" s="29" t="str">
        <f t="shared" ref="AQ66:BL66" si="69">T66/T$2</f>
        <v>#N/A</v>
      </c>
      <c r="AR66" s="29" t="str">
        <f t="shared" si="69"/>
        <v>#DIV/0!</v>
      </c>
      <c r="AS66" s="29" t="str">
        <f t="shared" si="69"/>
        <v>#DIV/0!</v>
      </c>
      <c r="AT66" s="29" t="str">
        <f t="shared" si="69"/>
        <v>#DIV/0!</v>
      </c>
      <c r="AU66" s="29" t="str">
        <f t="shared" si="69"/>
        <v>#DIV/0!</v>
      </c>
      <c r="AV66" s="29" t="str">
        <f t="shared" si="69"/>
        <v>#DIV/0!</v>
      </c>
      <c r="AW66" s="29" t="str">
        <f t="shared" si="69"/>
        <v>#DIV/0!</v>
      </c>
      <c r="AX66" s="29" t="str">
        <f t="shared" si="69"/>
        <v>#DIV/0!</v>
      </c>
      <c r="AY66" s="29" t="str">
        <f t="shared" si="69"/>
        <v>#DIV/0!</v>
      </c>
      <c r="AZ66" s="29" t="str">
        <f t="shared" si="69"/>
        <v>#DIV/0!</v>
      </c>
      <c r="BA66" s="29" t="str">
        <f t="shared" si="69"/>
        <v>#DIV/0!</v>
      </c>
      <c r="BB66" s="29" t="str">
        <f t="shared" si="69"/>
        <v>#DIV/0!</v>
      </c>
      <c r="BC66" s="29" t="str">
        <f t="shared" si="69"/>
        <v>#DIV/0!</v>
      </c>
      <c r="BD66" s="29" t="str">
        <f t="shared" si="69"/>
        <v>#DIV/0!</v>
      </c>
      <c r="BE66" s="29" t="str">
        <f t="shared" si="69"/>
        <v>#DIV/0!</v>
      </c>
      <c r="BF66" s="29" t="str">
        <f t="shared" si="69"/>
        <v>#DIV/0!</v>
      </c>
      <c r="BG66" s="29" t="str">
        <f t="shared" si="69"/>
        <v>#DIV/0!</v>
      </c>
      <c r="BH66" s="29" t="str">
        <f t="shared" si="69"/>
        <v>#DIV/0!</v>
      </c>
      <c r="BI66" s="29" t="str">
        <f t="shared" si="69"/>
        <v>#DIV/0!</v>
      </c>
      <c r="BJ66" s="29" t="str">
        <f t="shared" si="69"/>
        <v>#DIV/0!</v>
      </c>
      <c r="BK66" s="29" t="str">
        <f t="shared" si="69"/>
        <v>#DIV/0!</v>
      </c>
      <c r="BL66" s="29" t="str">
        <f t="shared" si="69"/>
        <v>#DIV/0!</v>
      </c>
      <c r="BM66" s="29" t="str">
        <f t="shared" si="3"/>
        <v>#DIV/0!</v>
      </c>
    </row>
    <row r="67">
      <c r="A67" s="16" t="str">
        <f>IFERROR(__xludf.DUMMYFUNCTION("IFERROR(SPARKLINE(SORT(MAP(TRANSPOSE(AQ67:BL67), LAMBDA(val, IF(ISNUMBER(val), PERCENTRANK(AQ67:BL67, val)+0.01, 0))), SEQUENCE(COLUMNS(AQ67:BL67)), FALSE), {""charttype"",""column""; ""color"",""chartreuse""; ""ymin"", 0; ""ymax"", 1.01; ""highcolor"", "&amp;"""darkgreen""; ""lowcolor"", ""red""}), """")"),"")</f>
        <v/>
      </c>
      <c r="B67" s="17" t="str">
        <f t="shared" si="4"/>
        <v/>
      </c>
      <c r="C67" s="1" t="s">
        <v>1064</v>
      </c>
      <c r="D67" s="30" t="str">
        <f>IFERROR(__xludf.DUMMYFUNCTION("IFERROR(GOOGLEFINANCE(C67, ""NAME""))"),"Costamare Bulkers Holdings Ltd")</f>
        <v>Costamare Bulkers Holdings Ltd</v>
      </c>
      <c r="E67" s="30" t="s">
        <v>834</v>
      </c>
      <c r="F67" s="33" t="str">
        <f>IFERROR(__xludf.DUMMYFUNCTION("( (GOOGLEFINANCE(C67, ""price"") - Q67) / Q67 ) / (R67 / 100)"),"Loading...")</f>
        <v>Loading...</v>
      </c>
      <c r="G67" s="20" t="str">
        <f>IFERROR(__xludf.DUMMYFUNCTION("AVERAGE(ARRAYFORMULA(100 * (QUERY(GOOGLEFINANCE(C67, ""high"", TODAY()-40, TODAY()), ""SELECT Col2 WHERE Col2 IS NOT NULL ORDER BY Col1 DESC LIMIT 20"", 0) / QUERY(GOOGLEFINANCE(C67, ""low"", TODAY()-40, TODAY()), ""SELECT Col2 WHERE Col2 IS NOT NULL ORDE"&amp;"R BY Col1 DESC LIMIT 20"", 0) - 1)))"),"#N/A")</f>
        <v>#N/A</v>
      </c>
      <c r="H67" s="35" t="str">
        <f t="shared" si="6"/>
        <v/>
      </c>
      <c r="I67" s="35" t="str">
        <f t="shared" si="7"/>
        <v/>
      </c>
      <c r="J67" s="37" t="str">
        <f>IFERROR(__xludf.DUMMYFUNCTION("IFERROR(
  IF(C67="""",, 
    IFERROR(
      GOOGLEFINANCE(C67, ""price"") * GOOGLEFINANCE(C67, ""volumeavg""), 
      GOOGLEFINANCE(C67, ""price"") * AVERAGE(QUERY(GOOGLEFINANCE(C67, ""volume"", TODAY()-40, TODAY()), ""SELECT Col2 WHERE Col2 IS NOT NULL "&amp;"ORDER BY Col1 DESC LIMIT 20"", 0))
    )
  ), 
"""")"),"")</f>
        <v/>
      </c>
      <c r="K67" s="21" t="str">
        <f>IFERROR(__xludf.DUMMYFUNCTION("IFERROR(GOOGLEFINANCE(C67, ""changepct"") / 100, """")"),"")</f>
        <v/>
      </c>
      <c r="L67" s="21" t="str">
        <f>IFERROR(__xludf.DUMMYFUNCTION("IFERROR((GOOGLEFINANCE(C67, ""price"") / INDEX(GOOGLEFINANCE(C67, ""price"", TODAY()-7, TODAY()), 2, 2)) - 1, """")"),"")</f>
        <v/>
      </c>
      <c r="M67" s="21" t="str">
        <f>IFERROR(__xludf.DUMMYFUNCTION("IFERROR((GOOGLEFINANCE(C67, ""price"") / INDEX(GOOGLEFINANCE(C67, ""price"", EDATE(TODAY(), -1), TODAY()), 2, 2)) - 1, """")"),"")</f>
        <v/>
      </c>
      <c r="N67" s="21" t="str">
        <f>IFERROR(__xludf.DUMMYFUNCTION("IFERROR((GOOGLEFINANCE(C67, ""price"") / INDEX(GOOGLEFINANCE(C67, ""price"", EDATE(TODAY(), -3), TODAY()), 2, 2)) - 1, """")"),"")</f>
        <v/>
      </c>
      <c r="O67" s="21" t="str">
        <f>IFERROR(__xludf.DUMMYFUNCTION("IFERROR((GOOGLEFINANCE(C67, ""price"") / INDEX(GOOGLEFINANCE(C67, ""price"", EDATE(TODAY(), -6), TODAY()), 2, 2)) - 1, """")"),"")</f>
        <v/>
      </c>
      <c r="P67" s="21" t="str">
        <f>IFERROR(__xludf.DUMMYFUNCTION("IFERROR((GOOGLEFINANCE(C67, ""price"") / INDEX(GOOGLEFINANCE(C67, ""price"", EDATE(TODAY(), -12), TODAY()), 2, 2)) - 1, """")"),"")</f>
        <v/>
      </c>
      <c r="Q67" s="6" t="str">
        <f>IFERROR(__xludf.DUMMYFUNCTION("AVERAGE(QUERY(GOOGLEFINANCE(C67, ""price"", TODAY()-80, TODAY()), ""SELECT Col2 WHERE Col2 IS NOT NULL ORDER BY Col1 DESC LIMIT 50"", 0))"),"#N/A")</f>
        <v>#N/A</v>
      </c>
      <c r="R67" s="24" t="str">
        <f>IFERROR(__xludf.DUMMYFUNCTION("IFERROR(
  LET(
    data, QUERY(GOOGLEFINANCE(C67,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GOOGLEFINANCE(C67, ""price"")) * 100,
    IF(calc=0, G67, calc)
  ), 
G67)"),"#N/A")</f>
        <v>#N/A</v>
      </c>
      <c r="S67" s="8" t="s">
        <v>15</v>
      </c>
      <c r="T67" s="26" t="str">
        <f>IFERROR(__xludf.DUMMYFUNCTION("IFERROR(TRANSPOSE(QUERY(IFERROR(SORT(GOOGLEFINANCE(C67, ""price"", WORKDAY(TODAY(), -40), TODAY()), 1, FALSE)), ""select Col2 where Col2 is not null limit 22 label Col2 ''"", 0)), """")"),"")</f>
        <v/>
      </c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8"/>
      <c r="AO67" s="28"/>
      <c r="AP67" s="29"/>
      <c r="AQ67" s="29" t="str">
        <f t="shared" ref="AQ67:BL67" si="70">T67/T$2</f>
        <v>#N/A</v>
      </c>
      <c r="AR67" s="29" t="str">
        <f t="shared" si="70"/>
        <v>#DIV/0!</v>
      </c>
      <c r="AS67" s="29" t="str">
        <f t="shared" si="70"/>
        <v>#DIV/0!</v>
      </c>
      <c r="AT67" s="29" t="str">
        <f t="shared" si="70"/>
        <v>#DIV/0!</v>
      </c>
      <c r="AU67" s="29" t="str">
        <f t="shared" si="70"/>
        <v>#DIV/0!</v>
      </c>
      <c r="AV67" s="29" t="str">
        <f t="shared" si="70"/>
        <v>#DIV/0!</v>
      </c>
      <c r="AW67" s="29" t="str">
        <f t="shared" si="70"/>
        <v>#DIV/0!</v>
      </c>
      <c r="AX67" s="29" t="str">
        <f t="shared" si="70"/>
        <v>#DIV/0!</v>
      </c>
      <c r="AY67" s="29" t="str">
        <f t="shared" si="70"/>
        <v>#DIV/0!</v>
      </c>
      <c r="AZ67" s="29" t="str">
        <f t="shared" si="70"/>
        <v>#DIV/0!</v>
      </c>
      <c r="BA67" s="29" t="str">
        <f t="shared" si="70"/>
        <v>#DIV/0!</v>
      </c>
      <c r="BB67" s="29" t="str">
        <f t="shared" si="70"/>
        <v>#DIV/0!</v>
      </c>
      <c r="BC67" s="29" t="str">
        <f t="shared" si="70"/>
        <v>#DIV/0!</v>
      </c>
      <c r="BD67" s="29" t="str">
        <f t="shared" si="70"/>
        <v>#DIV/0!</v>
      </c>
      <c r="BE67" s="29" t="str">
        <f t="shared" si="70"/>
        <v>#DIV/0!</v>
      </c>
      <c r="BF67" s="29" t="str">
        <f t="shared" si="70"/>
        <v>#DIV/0!</v>
      </c>
      <c r="BG67" s="29" t="str">
        <f t="shared" si="70"/>
        <v>#DIV/0!</v>
      </c>
      <c r="BH67" s="29" t="str">
        <f t="shared" si="70"/>
        <v>#DIV/0!</v>
      </c>
      <c r="BI67" s="29" t="str">
        <f t="shared" si="70"/>
        <v>#DIV/0!</v>
      </c>
      <c r="BJ67" s="29" t="str">
        <f t="shared" si="70"/>
        <v>#DIV/0!</v>
      </c>
      <c r="BK67" s="29" t="str">
        <f t="shared" si="70"/>
        <v>#DIV/0!</v>
      </c>
      <c r="BL67" s="29" t="str">
        <f t="shared" si="70"/>
        <v>#DIV/0!</v>
      </c>
      <c r="BM67" s="29" t="str">
        <f t="shared" si="3"/>
        <v>#DIV/0!</v>
      </c>
    </row>
    <row r="68">
      <c r="A68" s="16" t="str">
        <f>IFERROR(__xludf.DUMMYFUNCTION("IFERROR(SPARKLINE(SORT(MAP(TRANSPOSE(AQ68:BL68), LAMBDA(val, IF(ISNUMBER(val), PERCENTRANK(AQ68:BL68, val)+0.01, 0))), SEQUENCE(COLUMNS(AQ68:BL68)), FALSE), {""charttype"",""column""; ""color"",""chartreuse""; ""ymin"", 0; ""ymax"", 1.01; ""highcolor"", "&amp;"""darkgreen""; ""lowcolor"", ""red""}), """")"),"")</f>
        <v/>
      </c>
      <c r="B68" s="17" t="str">
        <f t="shared" si="4"/>
        <v/>
      </c>
      <c r="C68" s="1" t="s">
        <v>1068</v>
      </c>
      <c r="D68" s="30" t="str">
        <f>IFERROR(__xludf.DUMMYFUNCTION("IFERROR(GOOGLEFINANCE(C68, ""NAME""))"),"Enovix Corp")</f>
        <v>Enovix Corp</v>
      </c>
      <c r="E68" s="30" t="s">
        <v>864</v>
      </c>
      <c r="F68" s="33" t="str">
        <f>IFERROR(__xludf.DUMMYFUNCTION("( (GOOGLEFINANCE(C68, ""price"") - Q68) / Q68 ) / (R68 / 100)"),"Loading...")</f>
        <v>Loading...</v>
      </c>
      <c r="G68" s="20" t="str">
        <f>IFERROR(__xludf.DUMMYFUNCTION("AVERAGE(ARRAYFORMULA(100 * (QUERY(GOOGLEFINANCE(C68, ""high"", TODAY()-40, TODAY()), ""SELECT Col2 WHERE Col2 IS NOT NULL ORDER BY Col1 DESC LIMIT 20"", 0) / QUERY(GOOGLEFINANCE(C68, ""low"", TODAY()-40, TODAY()), ""SELECT Col2 WHERE Col2 IS NOT NULL ORDE"&amp;"R BY Col1 DESC LIMIT 20"", 0) - 1)))"),"#N/A")</f>
        <v>#N/A</v>
      </c>
      <c r="H68" s="35" t="str">
        <f t="shared" si="6"/>
        <v/>
      </c>
      <c r="I68" s="35" t="str">
        <f t="shared" si="7"/>
        <v/>
      </c>
      <c r="J68" s="37" t="str">
        <f>IFERROR(__xludf.DUMMYFUNCTION("IFERROR(
  IF(C68="""",, 
    IFERROR(
      GOOGLEFINANCE(C68, ""price"") * GOOGLEFINANCE(C68, ""volumeavg""), 
      GOOGLEFINANCE(C68, ""price"") * AVERAGE(QUERY(GOOGLEFINANCE(C68, ""volume"", TODAY()-40, TODAY()), ""SELECT Col2 WHERE Col2 IS NOT NULL "&amp;"ORDER BY Col1 DESC LIMIT 20"", 0))
    )
  ), 
"""")"),"")</f>
        <v/>
      </c>
      <c r="K68" s="21" t="str">
        <f>IFERROR(__xludf.DUMMYFUNCTION("IFERROR(GOOGLEFINANCE(C68, ""changepct"") / 100, """")"),"")</f>
        <v/>
      </c>
      <c r="L68" s="21" t="str">
        <f>IFERROR(__xludf.DUMMYFUNCTION("IFERROR((GOOGLEFINANCE(C68, ""price"") / INDEX(GOOGLEFINANCE(C68, ""price"", TODAY()-7, TODAY()), 2, 2)) - 1, """")"),"")</f>
        <v/>
      </c>
      <c r="M68" s="21" t="str">
        <f>IFERROR(__xludf.DUMMYFUNCTION("IFERROR((GOOGLEFINANCE(C68, ""price"") / INDEX(GOOGLEFINANCE(C68, ""price"", EDATE(TODAY(), -1), TODAY()), 2, 2)) - 1, """")"),"")</f>
        <v/>
      </c>
      <c r="N68" s="21" t="str">
        <f>IFERROR(__xludf.DUMMYFUNCTION("IFERROR((GOOGLEFINANCE(C68, ""price"") / INDEX(GOOGLEFINANCE(C68, ""price"", EDATE(TODAY(), -3), TODAY()), 2, 2)) - 1, """")"),"")</f>
        <v/>
      </c>
      <c r="O68" s="21" t="str">
        <f>IFERROR(__xludf.DUMMYFUNCTION("IFERROR((GOOGLEFINANCE(C68, ""price"") / INDEX(GOOGLEFINANCE(C68, ""price"", EDATE(TODAY(), -6), TODAY()), 2, 2)) - 1, """")"),"")</f>
        <v/>
      </c>
      <c r="P68" s="21" t="str">
        <f>IFERROR(__xludf.DUMMYFUNCTION("IFERROR((GOOGLEFINANCE(C68, ""price"") / INDEX(GOOGLEFINANCE(C68, ""price"", EDATE(TODAY(), -12), TODAY()), 2, 2)) - 1, """")"),"")</f>
        <v/>
      </c>
      <c r="Q68" s="6" t="str">
        <f>IFERROR(__xludf.DUMMYFUNCTION("AVERAGE(QUERY(GOOGLEFINANCE(C68, ""price"", TODAY()-80, TODAY()), ""SELECT Col2 WHERE Col2 IS NOT NULL ORDER BY Col1 DESC LIMIT 50"", 0))"),"#N/A")</f>
        <v>#N/A</v>
      </c>
      <c r="R68" s="24" t="str">
        <f>IFERROR(__xludf.DUMMYFUNCTION("IFERROR(
  LET(
    data, QUERY(GOOGLEFINANCE(C68,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GOOGLEFINANCE(C68, ""price"")) * 100,
    IF(calc=0, G68, calc)
  ), 
G68)"),"#N/A")</f>
        <v>#N/A</v>
      </c>
      <c r="S68" s="8" t="s">
        <v>15</v>
      </c>
      <c r="T68" s="26" t="str">
        <f>IFERROR(__xludf.DUMMYFUNCTION("IFERROR(TRANSPOSE(QUERY(IFERROR(SORT(GOOGLEFINANCE(C68, ""price"", WORKDAY(TODAY(), -40), TODAY()), 1, FALSE)), ""select Col2 where Col2 is not null limit 22 label Col2 ''"", 0)), """")"),"")</f>
        <v/>
      </c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8"/>
      <c r="AO68" s="28"/>
      <c r="AP68" s="29"/>
      <c r="AQ68" s="29" t="str">
        <f t="shared" ref="AQ68:BL68" si="71">T68/T$2</f>
        <v>#N/A</v>
      </c>
      <c r="AR68" s="29" t="str">
        <f t="shared" si="71"/>
        <v>#DIV/0!</v>
      </c>
      <c r="AS68" s="29" t="str">
        <f t="shared" si="71"/>
        <v>#DIV/0!</v>
      </c>
      <c r="AT68" s="29" t="str">
        <f t="shared" si="71"/>
        <v>#DIV/0!</v>
      </c>
      <c r="AU68" s="29" t="str">
        <f t="shared" si="71"/>
        <v>#DIV/0!</v>
      </c>
      <c r="AV68" s="29" t="str">
        <f t="shared" si="71"/>
        <v>#DIV/0!</v>
      </c>
      <c r="AW68" s="29" t="str">
        <f t="shared" si="71"/>
        <v>#DIV/0!</v>
      </c>
      <c r="AX68" s="29" t="str">
        <f t="shared" si="71"/>
        <v>#DIV/0!</v>
      </c>
      <c r="AY68" s="29" t="str">
        <f t="shared" si="71"/>
        <v>#DIV/0!</v>
      </c>
      <c r="AZ68" s="29" t="str">
        <f t="shared" si="71"/>
        <v>#DIV/0!</v>
      </c>
      <c r="BA68" s="29" t="str">
        <f t="shared" si="71"/>
        <v>#DIV/0!</v>
      </c>
      <c r="BB68" s="29" t="str">
        <f t="shared" si="71"/>
        <v>#DIV/0!</v>
      </c>
      <c r="BC68" s="29" t="str">
        <f t="shared" si="71"/>
        <v>#DIV/0!</v>
      </c>
      <c r="BD68" s="29" t="str">
        <f t="shared" si="71"/>
        <v>#DIV/0!</v>
      </c>
      <c r="BE68" s="29" t="str">
        <f t="shared" si="71"/>
        <v>#DIV/0!</v>
      </c>
      <c r="BF68" s="29" t="str">
        <f t="shared" si="71"/>
        <v>#DIV/0!</v>
      </c>
      <c r="BG68" s="29" t="str">
        <f t="shared" si="71"/>
        <v>#DIV/0!</v>
      </c>
      <c r="BH68" s="29" t="str">
        <f t="shared" si="71"/>
        <v>#DIV/0!</v>
      </c>
      <c r="BI68" s="29" t="str">
        <f t="shared" si="71"/>
        <v>#DIV/0!</v>
      </c>
      <c r="BJ68" s="29" t="str">
        <f t="shared" si="71"/>
        <v>#DIV/0!</v>
      </c>
      <c r="BK68" s="29" t="str">
        <f t="shared" si="71"/>
        <v>#DIV/0!</v>
      </c>
      <c r="BL68" s="29" t="str">
        <f t="shared" si="71"/>
        <v>#DIV/0!</v>
      </c>
      <c r="BM68" s="29" t="str">
        <f t="shared" si="3"/>
        <v>#DIV/0!</v>
      </c>
    </row>
    <row r="69">
      <c r="A69" s="16" t="str">
        <f>IFERROR(__xludf.DUMMYFUNCTION("IFERROR(SPARKLINE(SORT(MAP(TRANSPOSE(AQ69:BL69), LAMBDA(val, IF(ISNUMBER(val), PERCENTRANK(AQ69:BL69, val)+0.01, 0))), SEQUENCE(COLUMNS(AQ69:BL69)), FALSE), {""charttype"",""column""; ""color"",""chartreuse""; ""ymin"", 0; ""ymax"", 1.01; ""highcolor"", "&amp;"""darkgreen""; ""lowcolor"", ""red""}), """")"),"")</f>
        <v/>
      </c>
      <c r="B69" s="17" t="str">
        <f t="shared" si="4"/>
        <v/>
      </c>
      <c r="C69" s="1" t="s">
        <v>1072</v>
      </c>
      <c r="D69" s="30" t="str">
        <f>IFERROR(__xludf.DUMMYFUNCTION("IFERROR(GOOGLEFINANCE(C69, ""NAME""))"),"Archer Aviation Inc")</f>
        <v>Archer Aviation Inc</v>
      </c>
      <c r="E69" s="30" t="s">
        <v>839</v>
      </c>
      <c r="F69" s="33" t="str">
        <f>IFERROR(__xludf.DUMMYFUNCTION("( (GOOGLEFINANCE(C69, ""price"") - Q69) / Q69 ) / (R69 / 100)"),"Loading...")</f>
        <v>Loading...</v>
      </c>
      <c r="G69" s="20" t="str">
        <f>IFERROR(__xludf.DUMMYFUNCTION("AVERAGE(ARRAYFORMULA(100 * (QUERY(GOOGLEFINANCE(C69, ""high"", TODAY()-40, TODAY()), ""SELECT Col2 WHERE Col2 IS NOT NULL ORDER BY Col1 DESC LIMIT 20"", 0) / QUERY(GOOGLEFINANCE(C69, ""low"", TODAY()-40, TODAY()), ""SELECT Col2 WHERE Col2 IS NOT NULL ORDE"&amp;"R BY Col1 DESC LIMIT 20"", 0) - 1)))"),"#N/A")</f>
        <v>#N/A</v>
      </c>
      <c r="H69" s="35" t="str">
        <f t="shared" si="6"/>
        <v/>
      </c>
      <c r="I69" s="35" t="str">
        <f t="shared" si="7"/>
        <v/>
      </c>
      <c r="J69" s="37" t="str">
        <f>IFERROR(__xludf.DUMMYFUNCTION("IFERROR(
  IF(C69="""",, 
    IFERROR(
      GOOGLEFINANCE(C69, ""price"") * GOOGLEFINANCE(C69, ""volumeavg""), 
      GOOGLEFINANCE(C69, ""price"") * AVERAGE(QUERY(GOOGLEFINANCE(C69, ""volume"", TODAY()-40, TODAY()), ""SELECT Col2 WHERE Col2 IS NOT NULL "&amp;"ORDER BY Col1 DESC LIMIT 20"", 0))
    )
  ), 
"""")"),"")</f>
        <v/>
      </c>
      <c r="K69" s="21" t="str">
        <f>IFERROR(__xludf.DUMMYFUNCTION("IFERROR(GOOGLEFINANCE(C69, ""changepct"") / 100, """")"),"")</f>
        <v/>
      </c>
      <c r="L69" s="21" t="str">
        <f>IFERROR(__xludf.DUMMYFUNCTION("IFERROR((GOOGLEFINANCE(C69, ""price"") / INDEX(GOOGLEFINANCE(C69, ""price"", TODAY()-7, TODAY()), 2, 2)) - 1, """")"),"")</f>
        <v/>
      </c>
      <c r="M69" s="21" t="str">
        <f>IFERROR(__xludf.DUMMYFUNCTION("IFERROR((GOOGLEFINANCE(C69, ""price"") / INDEX(GOOGLEFINANCE(C69, ""price"", EDATE(TODAY(), -1), TODAY()), 2, 2)) - 1, """")"),"")</f>
        <v/>
      </c>
      <c r="N69" s="21" t="str">
        <f>IFERROR(__xludf.DUMMYFUNCTION("IFERROR((GOOGLEFINANCE(C69, ""price"") / INDEX(GOOGLEFINANCE(C69, ""price"", EDATE(TODAY(), -3), TODAY()), 2, 2)) - 1, """")"),"")</f>
        <v/>
      </c>
      <c r="O69" s="21" t="str">
        <f>IFERROR(__xludf.DUMMYFUNCTION("IFERROR((GOOGLEFINANCE(C69, ""price"") / INDEX(GOOGLEFINANCE(C69, ""price"", EDATE(TODAY(), -6), TODAY()), 2, 2)) - 1, """")"),"")</f>
        <v/>
      </c>
      <c r="P69" s="21" t="str">
        <f>IFERROR(__xludf.DUMMYFUNCTION("IFERROR((GOOGLEFINANCE(C69, ""price"") / INDEX(GOOGLEFINANCE(C69, ""price"", EDATE(TODAY(), -12), TODAY()), 2, 2)) - 1, """")"),"")</f>
        <v/>
      </c>
      <c r="Q69" s="6" t="str">
        <f>IFERROR(__xludf.DUMMYFUNCTION("AVERAGE(QUERY(GOOGLEFINANCE(C69, ""price"", TODAY()-80, TODAY()), ""SELECT Col2 WHERE Col2 IS NOT NULL ORDER BY Col1 DESC LIMIT 50"", 0))"),"#N/A")</f>
        <v>#N/A</v>
      </c>
      <c r="R69" s="24" t="str">
        <f>IFERROR(__xludf.DUMMYFUNCTION("IFERROR(
  LET(
    data, QUERY(GOOGLEFINANCE(C69,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GOOGLEFINANCE(C69, ""price"")) * 100,
    IF(calc=0, G69, calc)
  ), 
G69)"),"#N/A")</f>
        <v>#N/A</v>
      </c>
      <c r="S69" s="8" t="s">
        <v>15</v>
      </c>
      <c r="T69" s="26" t="str">
        <f>IFERROR(__xludf.DUMMYFUNCTION("IFERROR(TRANSPOSE(QUERY(IFERROR(SORT(GOOGLEFINANCE(C69, ""price"", WORKDAY(TODAY(), -40), TODAY()), 1, FALSE)), ""select Col2 where Col2 is not null limit 22 label Col2 ''"", 0)), """")"),"")</f>
        <v/>
      </c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8"/>
      <c r="AO69" s="28"/>
      <c r="AP69" s="29"/>
      <c r="AQ69" s="29" t="str">
        <f t="shared" ref="AQ69:BL69" si="72">T69/T$2</f>
        <v>#N/A</v>
      </c>
      <c r="AR69" s="29" t="str">
        <f t="shared" si="72"/>
        <v>#DIV/0!</v>
      </c>
      <c r="AS69" s="29" t="str">
        <f t="shared" si="72"/>
        <v>#DIV/0!</v>
      </c>
      <c r="AT69" s="29" t="str">
        <f t="shared" si="72"/>
        <v>#DIV/0!</v>
      </c>
      <c r="AU69" s="29" t="str">
        <f t="shared" si="72"/>
        <v>#DIV/0!</v>
      </c>
      <c r="AV69" s="29" t="str">
        <f t="shared" si="72"/>
        <v>#DIV/0!</v>
      </c>
      <c r="AW69" s="29" t="str">
        <f t="shared" si="72"/>
        <v>#DIV/0!</v>
      </c>
      <c r="AX69" s="29" t="str">
        <f t="shared" si="72"/>
        <v>#DIV/0!</v>
      </c>
      <c r="AY69" s="29" t="str">
        <f t="shared" si="72"/>
        <v>#DIV/0!</v>
      </c>
      <c r="AZ69" s="29" t="str">
        <f t="shared" si="72"/>
        <v>#DIV/0!</v>
      </c>
      <c r="BA69" s="29" t="str">
        <f t="shared" si="72"/>
        <v>#DIV/0!</v>
      </c>
      <c r="BB69" s="29" t="str">
        <f t="shared" si="72"/>
        <v>#DIV/0!</v>
      </c>
      <c r="BC69" s="29" t="str">
        <f t="shared" si="72"/>
        <v>#DIV/0!</v>
      </c>
      <c r="BD69" s="29" t="str">
        <f t="shared" si="72"/>
        <v>#DIV/0!</v>
      </c>
      <c r="BE69" s="29" t="str">
        <f t="shared" si="72"/>
        <v>#DIV/0!</v>
      </c>
      <c r="BF69" s="29" t="str">
        <f t="shared" si="72"/>
        <v>#DIV/0!</v>
      </c>
      <c r="BG69" s="29" t="str">
        <f t="shared" si="72"/>
        <v>#DIV/0!</v>
      </c>
      <c r="BH69" s="29" t="str">
        <f t="shared" si="72"/>
        <v>#DIV/0!</v>
      </c>
      <c r="BI69" s="29" t="str">
        <f t="shared" si="72"/>
        <v>#DIV/0!</v>
      </c>
      <c r="BJ69" s="29" t="str">
        <f t="shared" si="72"/>
        <v>#DIV/0!</v>
      </c>
      <c r="BK69" s="29" t="str">
        <f t="shared" si="72"/>
        <v>#DIV/0!</v>
      </c>
      <c r="BL69" s="29" t="str">
        <f t="shared" si="72"/>
        <v>#DIV/0!</v>
      </c>
      <c r="BM69" s="29" t="str">
        <f t="shared" si="3"/>
        <v>#DIV/0!</v>
      </c>
    </row>
    <row r="70">
      <c r="A70" s="16" t="str">
        <f>IFERROR(__xludf.DUMMYFUNCTION("IFERROR(SPARKLINE(SORT(MAP(TRANSPOSE(AQ70:BL70), LAMBDA(val, IF(ISNUMBER(val), PERCENTRANK(AQ70:BL70, val)+0.01, 0))), SEQUENCE(COLUMNS(AQ70:BL70)), FALSE), {""charttype"",""column""; ""color"",""chartreuse""; ""ymin"", 0; ""ymax"", 1.01; ""highcolor"", "&amp;"""darkgreen""; ""lowcolor"", ""red""}), """")"),"")</f>
        <v/>
      </c>
      <c r="B70" s="17" t="str">
        <f t="shared" si="4"/>
        <v/>
      </c>
      <c r="C70" s="1" t="s">
        <v>1074</v>
      </c>
      <c r="D70" s="30" t="str">
        <f>IFERROR(__xludf.DUMMYFUNCTION("IFERROR(GOOGLEFINANCE(C70, ""NAME""))"),"Global Ship Lease Inc")</f>
        <v>Global Ship Lease Inc</v>
      </c>
      <c r="E70" s="30" t="s">
        <v>834</v>
      </c>
      <c r="F70" s="33" t="str">
        <f>IFERROR(__xludf.DUMMYFUNCTION("( (GOOGLEFINANCE(C70, ""price"") - Q70) / Q70 ) / (R70 / 100)"),"Loading...")</f>
        <v>Loading...</v>
      </c>
      <c r="G70" s="20" t="str">
        <f>IFERROR(__xludf.DUMMYFUNCTION("AVERAGE(ARRAYFORMULA(100 * (QUERY(GOOGLEFINANCE(C70, ""high"", TODAY()-40, TODAY()), ""SELECT Col2 WHERE Col2 IS NOT NULL ORDER BY Col1 DESC LIMIT 20"", 0) / QUERY(GOOGLEFINANCE(C70, ""low"", TODAY()-40, TODAY()), ""SELECT Col2 WHERE Col2 IS NOT NULL ORDE"&amp;"R BY Col1 DESC LIMIT 20"", 0) - 1)))"),"#N/A")</f>
        <v>#N/A</v>
      </c>
      <c r="H70" s="35" t="str">
        <f t="shared" si="6"/>
        <v/>
      </c>
      <c r="I70" s="35" t="str">
        <f t="shared" si="7"/>
        <v/>
      </c>
      <c r="J70" s="37" t="str">
        <f>IFERROR(__xludf.DUMMYFUNCTION("IFERROR(
  IF(C70="""",, 
    IFERROR(
      GOOGLEFINANCE(C70, ""price"") * GOOGLEFINANCE(C70, ""volumeavg""), 
      GOOGLEFINANCE(C70, ""price"") * AVERAGE(QUERY(GOOGLEFINANCE(C70, ""volume"", TODAY()-40, TODAY()), ""SELECT Col2 WHERE Col2 IS NOT NULL "&amp;"ORDER BY Col1 DESC LIMIT 20"", 0))
    )
  ), 
"""")"),"")</f>
        <v/>
      </c>
      <c r="K70" s="21" t="str">
        <f>IFERROR(__xludf.DUMMYFUNCTION("IFERROR(GOOGLEFINANCE(C70, ""changepct"") / 100, """")"),"")</f>
        <v/>
      </c>
      <c r="L70" s="21" t="str">
        <f>IFERROR(__xludf.DUMMYFUNCTION("IFERROR((GOOGLEFINANCE(C70, ""price"") / INDEX(GOOGLEFINANCE(C70, ""price"", TODAY()-7, TODAY()), 2, 2)) - 1, """")"),"")</f>
        <v/>
      </c>
      <c r="M70" s="21" t="str">
        <f>IFERROR(__xludf.DUMMYFUNCTION("IFERROR((GOOGLEFINANCE(C70, ""price"") / INDEX(GOOGLEFINANCE(C70, ""price"", EDATE(TODAY(), -1), TODAY()), 2, 2)) - 1, """")"),"")</f>
        <v/>
      </c>
      <c r="N70" s="21" t="str">
        <f>IFERROR(__xludf.DUMMYFUNCTION("IFERROR((GOOGLEFINANCE(C70, ""price"") / INDEX(GOOGLEFINANCE(C70, ""price"", EDATE(TODAY(), -3), TODAY()), 2, 2)) - 1, """")"),"")</f>
        <v/>
      </c>
      <c r="O70" s="21" t="str">
        <f>IFERROR(__xludf.DUMMYFUNCTION("IFERROR((GOOGLEFINANCE(C70, ""price"") / INDEX(GOOGLEFINANCE(C70, ""price"", EDATE(TODAY(), -6), TODAY()), 2, 2)) - 1, """")"),"")</f>
        <v/>
      </c>
      <c r="P70" s="21" t="str">
        <f>IFERROR(__xludf.DUMMYFUNCTION("IFERROR((GOOGLEFINANCE(C70, ""price"") / INDEX(GOOGLEFINANCE(C70, ""price"", EDATE(TODAY(), -12), TODAY()), 2, 2)) - 1, """")"),"")</f>
        <v/>
      </c>
      <c r="Q70" s="6" t="str">
        <f>IFERROR(__xludf.DUMMYFUNCTION("AVERAGE(QUERY(GOOGLEFINANCE(C70, ""price"", TODAY()-80, TODAY()), ""SELECT Col2 WHERE Col2 IS NOT NULL ORDER BY Col1 DESC LIMIT 50"", 0))"),"#N/A")</f>
        <v>#N/A</v>
      </c>
      <c r="R70" s="24" t="str">
        <f>IFERROR(__xludf.DUMMYFUNCTION("IFERROR(
  LET(
    data, QUERY(GOOGLEFINANCE(C70,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GOOGLEFINANCE(C70, ""price"")) * 100,
    IF(calc=0, G70, calc)
  ), 
G70)"),"#N/A")</f>
        <v>#N/A</v>
      </c>
      <c r="S70" s="8" t="s">
        <v>15</v>
      </c>
      <c r="T70" s="26" t="str">
        <f>IFERROR(__xludf.DUMMYFUNCTION("IFERROR(TRANSPOSE(QUERY(IFERROR(SORT(GOOGLEFINANCE(C70, ""price"", WORKDAY(TODAY(), -40), TODAY()), 1, FALSE)), ""select Col2 where Col2 is not null limit 22 label Col2 ''"", 0)), """")"),"")</f>
        <v/>
      </c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8"/>
      <c r="AO70" s="28"/>
      <c r="AP70" s="29"/>
      <c r="AQ70" s="29" t="str">
        <f t="shared" ref="AQ70:BL70" si="73">T70/T$2</f>
        <v>#N/A</v>
      </c>
      <c r="AR70" s="29" t="str">
        <f t="shared" si="73"/>
        <v>#DIV/0!</v>
      </c>
      <c r="AS70" s="29" t="str">
        <f t="shared" si="73"/>
        <v>#DIV/0!</v>
      </c>
      <c r="AT70" s="29" t="str">
        <f t="shared" si="73"/>
        <v>#DIV/0!</v>
      </c>
      <c r="AU70" s="29" t="str">
        <f t="shared" si="73"/>
        <v>#DIV/0!</v>
      </c>
      <c r="AV70" s="29" t="str">
        <f t="shared" si="73"/>
        <v>#DIV/0!</v>
      </c>
      <c r="AW70" s="29" t="str">
        <f t="shared" si="73"/>
        <v>#DIV/0!</v>
      </c>
      <c r="AX70" s="29" t="str">
        <f t="shared" si="73"/>
        <v>#DIV/0!</v>
      </c>
      <c r="AY70" s="29" t="str">
        <f t="shared" si="73"/>
        <v>#DIV/0!</v>
      </c>
      <c r="AZ70" s="29" t="str">
        <f t="shared" si="73"/>
        <v>#DIV/0!</v>
      </c>
      <c r="BA70" s="29" t="str">
        <f t="shared" si="73"/>
        <v>#DIV/0!</v>
      </c>
      <c r="BB70" s="29" t="str">
        <f t="shared" si="73"/>
        <v>#DIV/0!</v>
      </c>
      <c r="BC70" s="29" t="str">
        <f t="shared" si="73"/>
        <v>#DIV/0!</v>
      </c>
      <c r="BD70" s="29" t="str">
        <f t="shared" si="73"/>
        <v>#DIV/0!</v>
      </c>
      <c r="BE70" s="29" t="str">
        <f t="shared" si="73"/>
        <v>#DIV/0!</v>
      </c>
      <c r="BF70" s="29" t="str">
        <f t="shared" si="73"/>
        <v>#DIV/0!</v>
      </c>
      <c r="BG70" s="29" t="str">
        <f t="shared" si="73"/>
        <v>#DIV/0!</v>
      </c>
      <c r="BH70" s="29" t="str">
        <f t="shared" si="73"/>
        <v>#DIV/0!</v>
      </c>
      <c r="BI70" s="29" t="str">
        <f t="shared" si="73"/>
        <v>#DIV/0!</v>
      </c>
      <c r="BJ70" s="29" t="str">
        <f t="shared" si="73"/>
        <v>#DIV/0!</v>
      </c>
      <c r="BK70" s="29" t="str">
        <f t="shared" si="73"/>
        <v>#DIV/0!</v>
      </c>
      <c r="BL70" s="29" t="str">
        <f t="shared" si="73"/>
        <v>#DIV/0!</v>
      </c>
      <c r="BM70" s="29" t="str">
        <f t="shared" si="3"/>
        <v>#DIV/0!</v>
      </c>
    </row>
    <row r="71">
      <c r="A71" s="16" t="str">
        <f>IFERROR(__xludf.DUMMYFUNCTION("IFERROR(SPARKLINE(SORT(MAP(TRANSPOSE(AQ71:BL71), LAMBDA(val, IF(ISNUMBER(val), PERCENTRANK(AQ71:BL71, val)+0.01, 0))), SEQUENCE(COLUMNS(AQ71:BL71)), FALSE), {""charttype"",""column""; ""color"",""chartreuse""; ""ymin"", 0; ""ymax"", 1.01; ""highcolor"", "&amp;"""darkgreen""; ""lowcolor"", ""red""}), """")"),"")</f>
        <v/>
      </c>
      <c r="B71" s="17" t="str">
        <f t="shared" si="4"/>
        <v/>
      </c>
      <c r="C71" s="1" t="s">
        <v>1078</v>
      </c>
      <c r="D71" s="30" t="str">
        <f>IFERROR(__xludf.DUMMYFUNCTION("IFERROR(GOOGLEFINANCE(C71, ""NAME""))"),"Ardmore Shipping Corp")</f>
        <v>Ardmore Shipping Corp</v>
      </c>
      <c r="E71" s="30" t="s">
        <v>834</v>
      </c>
      <c r="F71" s="33" t="str">
        <f>IFERROR(__xludf.DUMMYFUNCTION("( (GOOGLEFINANCE(C71, ""price"") - Q71) / Q71 ) / (R71 / 100)"),"Loading...")</f>
        <v>Loading...</v>
      </c>
      <c r="G71" s="20" t="str">
        <f>IFERROR(__xludf.DUMMYFUNCTION("AVERAGE(ARRAYFORMULA(100 * (QUERY(GOOGLEFINANCE(C71, ""high"", TODAY()-40, TODAY()), ""SELECT Col2 WHERE Col2 IS NOT NULL ORDER BY Col1 DESC LIMIT 20"", 0) / QUERY(GOOGLEFINANCE(C71, ""low"", TODAY()-40, TODAY()), ""SELECT Col2 WHERE Col2 IS NOT NULL ORDE"&amp;"R BY Col1 DESC LIMIT 20"", 0) - 1)))"),"#N/A")</f>
        <v>#N/A</v>
      </c>
      <c r="H71" s="35" t="str">
        <f t="shared" si="6"/>
        <v/>
      </c>
      <c r="I71" s="35" t="str">
        <f t="shared" si="7"/>
        <v/>
      </c>
      <c r="J71" s="37" t="str">
        <f>IFERROR(__xludf.DUMMYFUNCTION("IFERROR(
  IF(C71="""",, 
    IFERROR(
      GOOGLEFINANCE(C71, ""price"") * GOOGLEFINANCE(C71, ""volumeavg""), 
      GOOGLEFINANCE(C71, ""price"") * AVERAGE(QUERY(GOOGLEFINANCE(C71, ""volume"", TODAY()-40, TODAY()), ""SELECT Col2 WHERE Col2 IS NOT NULL "&amp;"ORDER BY Col1 DESC LIMIT 20"", 0))
    )
  ), 
"""")"),"")</f>
        <v/>
      </c>
      <c r="K71" s="21" t="str">
        <f>IFERROR(__xludf.DUMMYFUNCTION("IFERROR(GOOGLEFINANCE(C71, ""changepct"") / 100, """")"),"")</f>
        <v/>
      </c>
      <c r="L71" s="21" t="str">
        <f>IFERROR(__xludf.DUMMYFUNCTION("IFERROR((GOOGLEFINANCE(C71, ""price"") / INDEX(GOOGLEFINANCE(C71, ""price"", TODAY()-7, TODAY()), 2, 2)) - 1, """")"),"")</f>
        <v/>
      </c>
      <c r="M71" s="21" t="str">
        <f>IFERROR(__xludf.DUMMYFUNCTION("IFERROR((GOOGLEFINANCE(C71, ""price"") / INDEX(GOOGLEFINANCE(C71, ""price"", EDATE(TODAY(), -1), TODAY()), 2, 2)) - 1, """")"),"")</f>
        <v/>
      </c>
      <c r="N71" s="21" t="str">
        <f>IFERROR(__xludf.DUMMYFUNCTION("IFERROR((GOOGLEFINANCE(C71, ""price"") / INDEX(GOOGLEFINANCE(C71, ""price"", EDATE(TODAY(), -3), TODAY()), 2, 2)) - 1, """")"),"")</f>
        <v/>
      </c>
      <c r="O71" s="21" t="str">
        <f>IFERROR(__xludf.DUMMYFUNCTION("IFERROR((GOOGLEFINANCE(C71, ""price"") / INDEX(GOOGLEFINANCE(C71, ""price"", EDATE(TODAY(), -6), TODAY()), 2, 2)) - 1, """")"),"")</f>
        <v/>
      </c>
      <c r="P71" s="21" t="str">
        <f>IFERROR(__xludf.DUMMYFUNCTION("IFERROR((GOOGLEFINANCE(C71, ""price"") / INDEX(GOOGLEFINANCE(C71, ""price"", EDATE(TODAY(), -12), TODAY()), 2, 2)) - 1, """")"),"")</f>
        <v/>
      </c>
      <c r="Q71" s="6" t="str">
        <f>IFERROR(__xludf.DUMMYFUNCTION("AVERAGE(QUERY(GOOGLEFINANCE(C71, ""price"", TODAY()-80, TODAY()), ""SELECT Col2 WHERE Col2 IS NOT NULL ORDER BY Col1 DESC LIMIT 50"", 0))"),"#N/A")</f>
        <v>#N/A</v>
      </c>
      <c r="R71" s="24" t="str">
        <f>IFERROR(__xludf.DUMMYFUNCTION("IFERROR(
  LET(
    data, QUERY(GOOGLEFINANCE(C71,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GOOGLEFINANCE(C71, ""price"")) * 100,
    IF(calc=0, G71, calc)
  ), 
G71)"),"#N/A")</f>
        <v>#N/A</v>
      </c>
      <c r="S71" s="8" t="s">
        <v>15</v>
      </c>
      <c r="T71" s="26" t="str">
        <f>IFERROR(__xludf.DUMMYFUNCTION("IFERROR(TRANSPOSE(QUERY(IFERROR(SORT(GOOGLEFINANCE(C71, ""price"", WORKDAY(TODAY(), -40), TODAY()), 1, FALSE)), ""select Col2 where Col2 is not null limit 22 label Col2 ''"", 0)), """")"),"")</f>
        <v/>
      </c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8"/>
      <c r="AO71" s="28"/>
      <c r="AP71" s="29"/>
      <c r="AQ71" s="29" t="str">
        <f t="shared" ref="AQ71:BL71" si="74">T71/T$2</f>
        <v>#N/A</v>
      </c>
      <c r="AR71" s="29" t="str">
        <f t="shared" si="74"/>
        <v>#DIV/0!</v>
      </c>
      <c r="AS71" s="29" t="str">
        <f t="shared" si="74"/>
        <v>#DIV/0!</v>
      </c>
      <c r="AT71" s="29" t="str">
        <f t="shared" si="74"/>
        <v>#DIV/0!</v>
      </c>
      <c r="AU71" s="29" t="str">
        <f t="shared" si="74"/>
        <v>#DIV/0!</v>
      </c>
      <c r="AV71" s="29" t="str">
        <f t="shared" si="74"/>
        <v>#DIV/0!</v>
      </c>
      <c r="AW71" s="29" t="str">
        <f t="shared" si="74"/>
        <v>#DIV/0!</v>
      </c>
      <c r="AX71" s="29" t="str">
        <f t="shared" si="74"/>
        <v>#DIV/0!</v>
      </c>
      <c r="AY71" s="29" t="str">
        <f t="shared" si="74"/>
        <v>#DIV/0!</v>
      </c>
      <c r="AZ71" s="29" t="str">
        <f t="shared" si="74"/>
        <v>#DIV/0!</v>
      </c>
      <c r="BA71" s="29" t="str">
        <f t="shared" si="74"/>
        <v>#DIV/0!</v>
      </c>
      <c r="BB71" s="29" t="str">
        <f t="shared" si="74"/>
        <v>#DIV/0!</v>
      </c>
      <c r="BC71" s="29" t="str">
        <f t="shared" si="74"/>
        <v>#DIV/0!</v>
      </c>
      <c r="BD71" s="29" t="str">
        <f t="shared" si="74"/>
        <v>#DIV/0!</v>
      </c>
      <c r="BE71" s="29" t="str">
        <f t="shared" si="74"/>
        <v>#DIV/0!</v>
      </c>
      <c r="BF71" s="29" t="str">
        <f t="shared" si="74"/>
        <v>#DIV/0!</v>
      </c>
      <c r="BG71" s="29" t="str">
        <f t="shared" si="74"/>
        <v>#DIV/0!</v>
      </c>
      <c r="BH71" s="29" t="str">
        <f t="shared" si="74"/>
        <v>#DIV/0!</v>
      </c>
      <c r="BI71" s="29" t="str">
        <f t="shared" si="74"/>
        <v>#DIV/0!</v>
      </c>
      <c r="BJ71" s="29" t="str">
        <f t="shared" si="74"/>
        <v>#DIV/0!</v>
      </c>
      <c r="BK71" s="29" t="str">
        <f t="shared" si="74"/>
        <v>#DIV/0!</v>
      </c>
      <c r="BL71" s="29" t="str">
        <f t="shared" si="74"/>
        <v>#DIV/0!</v>
      </c>
      <c r="BM71" s="29" t="str">
        <f t="shared" si="3"/>
        <v>#DIV/0!</v>
      </c>
    </row>
    <row r="72">
      <c r="A72" s="16" t="str">
        <f>IFERROR(__xludf.DUMMYFUNCTION("IFERROR(SPARKLINE(SORT(MAP(TRANSPOSE(AQ72:BL72), LAMBDA(val, IF(ISNUMBER(val), PERCENTRANK(AQ72:BL72, val)+0.01, 0))), SEQUENCE(COLUMNS(AQ72:BL72)), FALSE), {""charttype"",""column""; ""color"",""chartreuse""; ""ymin"", 0; ""ymax"", 1.01; ""highcolor"", "&amp;"""darkgreen""; ""lowcolor"", ""red""}), """")"),"")</f>
        <v/>
      </c>
      <c r="B72" s="17" t="str">
        <f t="shared" si="4"/>
        <v/>
      </c>
      <c r="C72" s="1" t="s">
        <v>1083</v>
      </c>
      <c r="D72" s="30" t="str">
        <f>IFERROR(__xludf.DUMMYFUNCTION("IFERROR(GOOGLEFINANCE(C72, ""NAME""))"),"American Superconductor Corp")</f>
        <v>American Superconductor Corp</v>
      </c>
      <c r="E72" s="30" t="s">
        <v>893</v>
      </c>
      <c r="F72" s="33" t="str">
        <f>IFERROR(__xludf.DUMMYFUNCTION("( (GOOGLEFINANCE(C72, ""price"") - Q72) / Q72 ) / (R72 / 100)"),"Loading...")</f>
        <v>Loading...</v>
      </c>
      <c r="G72" s="20" t="str">
        <f>IFERROR(__xludf.DUMMYFUNCTION("AVERAGE(ARRAYFORMULA(100 * (QUERY(GOOGLEFINANCE(C72, ""high"", TODAY()-40, TODAY()), ""SELECT Col2 WHERE Col2 IS NOT NULL ORDER BY Col1 DESC LIMIT 20"", 0) / QUERY(GOOGLEFINANCE(C72, ""low"", TODAY()-40, TODAY()), ""SELECT Col2 WHERE Col2 IS NOT NULL ORDE"&amp;"R BY Col1 DESC LIMIT 20"", 0) - 1)))"),"#N/A")</f>
        <v>#N/A</v>
      </c>
      <c r="H72" s="35" t="str">
        <f t="shared" si="6"/>
        <v/>
      </c>
      <c r="I72" s="35" t="str">
        <f t="shared" si="7"/>
        <v/>
      </c>
      <c r="J72" s="37" t="str">
        <f>IFERROR(__xludf.DUMMYFUNCTION("IFERROR(
  IF(C72="""",, 
    IFERROR(
      GOOGLEFINANCE(C72, ""price"") * GOOGLEFINANCE(C72, ""volumeavg""), 
      GOOGLEFINANCE(C72, ""price"") * AVERAGE(QUERY(GOOGLEFINANCE(C72, ""volume"", TODAY()-40, TODAY()), ""SELECT Col2 WHERE Col2 IS NOT NULL "&amp;"ORDER BY Col1 DESC LIMIT 20"", 0))
    )
  ), 
"""")"),"")</f>
        <v/>
      </c>
      <c r="K72" s="21" t="str">
        <f>IFERROR(__xludf.DUMMYFUNCTION("IFERROR(GOOGLEFINANCE(C72, ""changepct"") / 100, """")"),"")</f>
        <v/>
      </c>
      <c r="L72" s="21" t="str">
        <f>IFERROR(__xludf.DUMMYFUNCTION("IFERROR((GOOGLEFINANCE(C72, ""price"") / INDEX(GOOGLEFINANCE(C72, ""price"", TODAY()-7, TODAY()), 2, 2)) - 1, """")"),"")</f>
        <v/>
      </c>
      <c r="M72" s="21" t="str">
        <f>IFERROR(__xludf.DUMMYFUNCTION("IFERROR((GOOGLEFINANCE(C72, ""price"") / INDEX(GOOGLEFINANCE(C72, ""price"", EDATE(TODAY(), -1), TODAY()), 2, 2)) - 1, """")"),"")</f>
        <v/>
      </c>
      <c r="N72" s="21" t="str">
        <f>IFERROR(__xludf.DUMMYFUNCTION("IFERROR((GOOGLEFINANCE(C72, ""price"") / INDEX(GOOGLEFINANCE(C72, ""price"", EDATE(TODAY(), -3), TODAY()), 2, 2)) - 1, """")"),"")</f>
        <v/>
      </c>
      <c r="O72" s="21" t="str">
        <f>IFERROR(__xludf.DUMMYFUNCTION("IFERROR((GOOGLEFINANCE(C72, ""price"") / INDEX(GOOGLEFINANCE(C72, ""price"", EDATE(TODAY(), -6), TODAY()), 2, 2)) - 1, """")"),"")</f>
        <v/>
      </c>
      <c r="P72" s="21" t="str">
        <f>IFERROR(__xludf.DUMMYFUNCTION("IFERROR((GOOGLEFINANCE(C72, ""price"") / INDEX(GOOGLEFINANCE(C72, ""price"", EDATE(TODAY(), -12), TODAY()), 2, 2)) - 1, """")"),"")</f>
        <v/>
      </c>
      <c r="Q72" s="6" t="str">
        <f>IFERROR(__xludf.DUMMYFUNCTION("AVERAGE(QUERY(GOOGLEFINANCE(C72, ""price"", TODAY()-80, TODAY()), ""SELECT Col2 WHERE Col2 IS NOT NULL ORDER BY Col1 DESC LIMIT 50"", 0))"),"#N/A")</f>
        <v>#N/A</v>
      </c>
      <c r="R72" s="24" t="str">
        <f>IFERROR(__xludf.DUMMYFUNCTION("IFERROR(
  LET(
    data, QUERY(GOOGLEFINANCE(C72,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GOOGLEFINANCE(C72, ""price"")) * 100,
    IF(calc=0, G72, calc)
  ), 
G72)"),"#N/A")</f>
        <v>#N/A</v>
      </c>
      <c r="S72" s="8" t="s">
        <v>15</v>
      </c>
      <c r="T72" s="26" t="str">
        <f>IFERROR(__xludf.DUMMYFUNCTION("IFERROR(TRANSPOSE(QUERY(IFERROR(SORT(GOOGLEFINANCE(C72, ""price"", WORKDAY(TODAY(), -40), TODAY()), 1, FALSE)), ""select Col2 where Col2 is not null limit 22 label Col2 ''"", 0)), """")"),"")</f>
        <v/>
      </c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8"/>
      <c r="AO72" s="28"/>
      <c r="AP72" s="29"/>
      <c r="AQ72" s="29" t="str">
        <f t="shared" ref="AQ72:BL72" si="75">T72/T$2</f>
        <v>#N/A</v>
      </c>
      <c r="AR72" s="29" t="str">
        <f t="shared" si="75"/>
        <v>#DIV/0!</v>
      </c>
      <c r="AS72" s="29" t="str">
        <f t="shared" si="75"/>
        <v>#DIV/0!</v>
      </c>
      <c r="AT72" s="29" t="str">
        <f t="shared" si="75"/>
        <v>#DIV/0!</v>
      </c>
      <c r="AU72" s="29" t="str">
        <f t="shared" si="75"/>
        <v>#DIV/0!</v>
      </c>
      <c r="AV72" s="29" t="str">
        <f t="shared" si="75"/>
        <v>#DIV/0!</v>
      </c>
      <c r="AW72" s="29" t="str">
        <f t="shared" si="75"/>
        <v>#DIV/0!</v>
      </c>
      <c r="AX72" s="29" t="str">
        <f t="shared" si="75"/>
        <v>#DIV/0!</v>
      </c>
      <c r="AY72" s="29" t="str">
        <f t="shared" si="75"/>
        <v>#DIV/0!</v>
      </c>
      <c r="AZ72" s="29" t="str">
        <f t="shared" si="75"/>
        <v>#DIV/0!</v>
      </c>
      <c r="BA72" s="29" t="str">
        <f t="shared" si="75"/>
        <v>#DIV/0!</v>
      </c>
      <c r="BB72" s="29" t="str">
        <f t="shared" si="75"/>
        <v>#DIV/0!</v>
      </c>
      <c r="BC72" s="29" t="str">
        <f t="shared" si="75"/>
        <v>#DIV/0!</v>
      </c>
      <c r="BD72" s="29" t="str">
        <f t="shared" si="75"/>
        <v>#DIV/0!</v>
      </c>
      <c r="BE72" s="29" t="str">
        <f t="shared" si="75"/>
        <v>#DIV/0!</v>
      </c>
      <c r="BF72" s="29" t="str">
        <f t="shared" si="75"/>
        <v>#DIV/0!</v>
      </c>
      <c r="BG72" s="29" t="str">
        <f t="shared" si="75"/>
        <v>#DIV/0!</v>
      </c>
      <c r="BH72" s="29" t="str">
        <f t="shared" si="75"/>
        <v>#DIV/0!</v>
      </c>
      <c r="BI72" s="29" t="str">
        <f t="shared" si="75"/>
        <v>#DIV/0!</v>
      </c>
      <c r="BJ72" s="29" t="str">
        <f t="shared" si="75"/>
        <v>#DIV/0!</v>
      </c>
      <c r="BK72" s="29" t="str">
        <f t="shared" si="75"/>
        <v>#DIV/0!</v>
      </c>
      <c r="BL72" s="29" t="str">
        <f t="shared" si="75"/>
        <v>#DIV/0!</v>
      </c>
      <c r="BM72" s="29" t="str">
        <f t="shared" si="3"/>
        <v>#DIV/0!</v>
      </c>
    </row>
    <row r="73">
      <c r="A73" s="16" t="str">
        <f>IFERROR(__xludf.DUMMYFUNCTION("IFERROR(SPARKLINE(SORT(MAP(TRANSPOSE(AQ73:BL73), LAMBDA(val, IF(ISNUMBER(val), PERCENTRANK(AQ73:BL73, val)+0.01, 0))), SEQUENCE(COLUMNS(AQ73:BL73)), FALSE), {""charttype"",""column""; ""color"",""chartreuse""; ""ymin"", 0; ""ymax"", 1.01; ""highcolor"", "&amp;"""darkgreen""; ""lowcolor"", ""red""}), """")"),"")</f>
        <v/>
      </c>
      <c r="B73" s="17" t="str">
        <f t="shared" si="4"/>
        <v/>
      </c>
      <c r="C73" s="1" t="s">
        <v>1087</v>
      </c>
      <c r="D73" s="30" t="str">
        <f>IFERROR(__xludf.DUMMYFUNCTION("IFERROR(GOOGLEFINANCE(C73, ""NAME""))"),"Everus Construction Group Inc")</f>
        <v>Everus Construction Group Inc</v>
      </c>
      <c r="E73" s="30" t="s">
        <v>856</v>
      </c>
      <c r="F73" s="33" t="str">
        <f>IFERROR(__xludf.DUMMYFUNCTION("( (GOOGLEFINANCE(C73, ""price"") - Q73) / Q73 ) / (R73 / 100)"),"Loading...")</f>
        <v>Loading...</v>
      </c>
      <c r="G73" s="20" t="str">
        <f>IFERROR(__xludf.DUMMYFUNCTION("AVERAGE(ARRAYFORMULA(100 * (QUERY(GOOGLEFINANCE(C73, ""high"", TODAY()-40, TODAY()), ""SELECT Col2 WHERE Col2 IS NOT NULL ORDER BY Col1 DESC LIMIT 20"", 0) / QUERY(GOOGLEFINANCE(C73, ""low"", TODAY()-40, TODAY()), ""SELECT Col2 WHERE Col2 IS NOT NULL ORDE"&amp;"R BY Col1 DESC LIMIT 20"", 0) - 1)))"),"#N/A")</f>
        <v>#N/A</v>
      </c>
      <c r="H73" s="35" t="str">
        <f t="shared" si="6"/>
        <v/>
      </c>
      <c r="I73" s="35" t="str">
        <f t="shared" si="7"/>
        <v/>
      </c>
      <c r="J73" s="37" t="str">
        <f>IFERROR(__xludf.DUMMYFUNCTION("IFERROR(
  IF(C73="""",, 
    IFERROR(
      GOOGLEFINANCE(C73, ""price"") * GOOGLEFINANCE(C73, ""volumeavg""), 
      GOOGLEFINANCE(C73, ""price"") * AVERAGE(QUERY(GOOGLEFINANCE(C73, ""volume"", TODAY()-40, TODAY()), ""SELECT Col2 WHERE Col2 IS NOT NULL "&amp;"ORDER BY Col1 DESC LIMIT 20"", 0))
    )
  ), 
"""")"),"")</f>
        <v/>
      </c>
      <c r="K73" s="21" t="str">
        <f>IFERROR(__xludf.DUMMYFUNCTION("IFERROR(GOOGLEFINANCE(C73, ""changepct"") / 100, """")"),"")</f>
        <v/>
      </c>
      <c r="L73" s="21" t="str">
        <f>IFERROR(__xludf.DUMMYFUNCTION("IFERROR((GOOGLEFINANCE(C73, ""price"") / INDEX(GOOGLEFINANCE(C73, ""price"", TODAY()-7, TODAY()), 2, 2)) - 1, """")"),"")</f>
        <v/>
      </c>
      <c r="M73" s="21" t="str">
        <f>IFERROR(__xludf.DUMMYFUNCTION("IFERROR((GOOGLEFINANCE(C73, ""price"") / INDEX(GOOGLEFINANCE(C73, ""price"", EDATE(TODAY(), -1), TODAY()), 2, 2)) - 1, """")"),"")</f>
        <v/>
      </c>
      <c r="N73" s="21" t="str">
        <f>IFERROR(__xludf.DUMMYFUNCTION("IFERROR((GOOGLEFINANCE(C73, ""price"") / INDEX(GOOGLEFINANCE(C73, ""price"", EDATE(TODAY(), -3), TODAY()), 2, 2)) - 1, """")"),"")</f>
        <v/>
      </c>
      <c r="O73" s="21" t="str">
        <f>IFERROR(__xludf.DUMMYFUNCTION("IFERROR((GOOGLEFINANCE(C73, ""price"") / INDEX(GOOGLEFINANCE(C73, ""price"", EDATE(TODAY(), -6), TODAY()), 2, 2)) - 1, """")"),"")</f>
        <v/>
      </c>
      <c r="P73" s="21" t="str">
        <f>IFERROR(__xludf.DUMMYFUNCTION("IFERROR((GOOGLEFINANCE(C73, ""price"") / INDEX(GOOGLEFINANCE(C73, ""price"", EDATE(TODAY(), -12), TODAY()), 2, 2)) - 1, """")"),"")</f>
        <v/>
      </c>
      <c r="Q73" s="6" t="str">
        <f>IFERROR(__xludf.DUMMYFUNCTION("AVERAGE(QUERY(GOOGLEFINANCE(C73, ""price"", TODAY()-80, TODAY()), ""SELECT Col2 WHERE Col2 IS NOT NULL ORDER BY Col1 DESC LIMIT 50"", 0))"),"#N/A")</f>
        <v>#N/A</v>
      </c>
      <c r="R73" s="24" t="str">
        <f>IFERROR(__xludf.DUMMYFUNCTION("IFERROR(
  LET(
    data, QUERY(GOOGLEFINANCE(C73,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GOOGLEFINANCE(C73, ""price"")) * 100,
    IF(calc=0, G73, calc)
  ), 
G73)"),"#N/A")</f>
        <v>#N/A</v>
      </c>
      <c r="S73" s="8" t="s">
        <v>15</v>
      </c>
      <c r="T73" s="26" t="str">
        <f>IFERROR(__xludf.DUMMYFUNCTION("IFERROR(TRANSPOSE(QUERY(IFERROR(SORT(GOOGLEFINANCE(C73, ""price"", WORKDAY(TODAY(), -40), TODAY()), 1, FALSE)), ""select Col2 where Col2 is not null limit 22 label Col2 ''"", 0)), """")"),"")</f>
        <v/>
      </c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8"/>
      <c r="AO73" s="28"/>
      <c r="AP73" s="29"/>
      <c r="AQ73" s="29" t="str">
        <f t="shared" ref="AQ73:BL73" si="76">T73/T$2</f>
        <v>#N/A</v>
      </c>
      <c r="AR73" s="29" t="str">
        <f t="shared" si="76"/>
        <v>#DIV/0!</v>
      </c>
      <c r="AS73" s="29" t="str">
        <f t="shared" si="76"/>
        <v>#DIV/0!</v>
      </c>
      <c r="AT73" s="29" t="str">
        <f t="shared" si="76"/>
        <v>#DIV/0!</v>
      </c>
      <c r="AU73" s="29" t="str">
        <f t="shared" si="76"/>
        <v>#DIV/0!</v>
      </c>
      <c r="AV73" s="29" t="str">
        <f t="shared" si="76"/>
        <v>#DIV/0!</v>
      </c>
      <c r="AW73" s="29" t="str">
        <f t="shared" si="76"/>
        <v>#DIV/0!</v>
      </c>
      <c r="AX73" s="29" t="str">
        <f t="shared" si="76"/>
        <v>#DIV/0!</v>
      </c>
      <c r="AY73" s="29" t="str">
        <f t="shared" si="76"/>
        <v>#DIV/0!</v>
      </c>
      <c r="AZ73" s="29" t="str">
        <f t="shared" si="76"/>
        <v>#DIV/0!</v>
      </c>
      <c r="BA73" s="29" t="str">
        <f t="shared" si="76"/>
        <v>#DIV/0!</v>
      </c>
      <c r="BB73" s="29" t="str">
        <f t="shared" si="76"/>
        <v>#DIV/0!</v>
      </c>
      <c r="BC73" s="29" t="str">
        <f t="shared" si="76"/>
        <v>#DIV/0!</v>
      </c>
      <c r="BD73" s="29" t="str">
        <f t="shared" si="76"/>
        <v>#DIV/0!</v>
      </c>
      <c r="BE73" s="29" t="str">
        <f t="shared" si="76"/>
        <v>#DIV/0!</v>
      </c>
      <c r="BF73" s="29" t="str">
        <f t="shared" si="76"/>
        <v>#DIV/0!</v>
      </c>
      <c r="BG73" s="29" t="str">
        <f t="shared" si="76"/>
        <v>#DIV/0!</v>
      </c>
      <c r="BH73" s="29" t="str">
        <f t="shared" si="76"/>
        <v>#DIV/0!</v>
      </c>
      <c r="BI73" s="29" t="str">
        <f t="shared" si="76"/>
        <v>#DIV/0!</v>
      </c>
      <c r="BJ73" s="29" t="str">
        <f t="shared" si="76"/>
        <v>#DIV/0!</v>
      </c>
      <c r="BK73" s="29" t="str">
        <f t="shared" si="76"/>
        <v>#DIV/0!</v>
      </c>
      <c r="BL73" s="29" t="str">
        <f t="shared" si="76"/>
        <v>#DIV/0!</v>
      </c>
      <c r="BM73" s="29" t="str">
        <f t="shared" si="3"/>
        <v>#DIV/0!</v>
      </c>
    </row>
    <row r="74">
      <c r="A74" s="16" t="str">
        <f>IFERROR(__xludf.DUMMYFUNCTION("IFERROR(SPARKLINE(SORT(MAP(TRANSPOSE(AQ74:BL74), LAMBDA(val, IF(ISNUMBER(val), PERCENTRANK(AQ74:BL74, val)+0.01, 0))), SEQUENCE(COLUMNS(AQ74:BL74)), FALSE), {""charttype"",""column""; ""color"",""chartreuse""; ""ymin"", 0; ""ymax"", 1.01; ""highcolor"", "&amp;"""darkgreen""; ""lowcolor"", ""red""}), """")"),"")</f>
        <v/>
      </c>
      <c r="B74" s="17" t="str">
        <f t="shared" si="4"/>
        <v/>
      </c>
      <c r="C74" s="1" t="s">
        <v>1089</v>
      </c>
      <c r="D74" s="30" t="str">
        <f>IFERROR(__xludf.DUMMYFUNCTION("IFERROR(GOOGLEFINANCE(C74, ""NAME""))"),"Legence Corp")</f>
        <v>Legence Corp</v>
      </c>
      <c r="E74" s="30" t="s">
        <v>856</v>
      </c>
      <c r="F74" s="33" t="str">
        <f>IFERROR(__xludf.DUMMYFUNCTION("( (GOOGLEFINANCE(C74, ""price"") - Q74) / Q74 ) / (R74 / 100)"),"Loading...")</f>
        <v>Loading...</v>
      </c>
      <c r="G74" s="20" t="str">
        <f>IFERROR(__xludf.DUMMYFUNCTION("AVERAGE(ARRAYFORMULA(100 * (QUERY(GOOGLEFINANCE(C74, ""high"", TODAY()-40, TODAY()), ""SELECT Col2 WHERE Col2 IS NOT NULL ORDER BY Col1 DESC LIMIT 20"", 0) / QUERY(GOOGLEFINANCE(C74, ""low"", TODAY()-40, TODAY()), ""SELECT Col2 WHERE Col2 IS NOT NULL ORDE"&amp;"R BY Col1 DESC LIMIT 20"", 0) - 1)))"),"#N/A")</f>
        <v>#N/A</v>
      </c>
      <c r="H74" s="35" t="str">
        <f t="shared" si="6"/>
        <v/>
      </c>
      <c r="I74" s="35" t="str">
        <f t="shared" si="7"/>
        <v/>
      </c>
      <c r="J74" s="37" t="str">
        <f>IFERROR(__xludf.DUMMYFUNCTION("IFERROR(
  IF(C74="""",, 
    IFERROR(
      GOOGLEFINANCE(C74, ""price"") * GOOGLEFINANCE(C74, ""volumeavg""), 
      GOOGLEFINANCE(C74, ""price"") * AVERAGE(QUERY(GOOGLEFINANCE(C74, ""volume"", TODAY()-40, TODAY()), ""SELECT Col2 WHERE Col2 IS NOT NULL "&amp;"ORDER BY Col1 DESC LIMIT 20"", 0))
    )
  ), 
"""")"),"")</f>
        <v/>
      </c>
      <c r="K74" s="21" t="str">
        <f>IFERROR(__xludf.DUMMYFUNCTION("IFERROR(GOOGLEFINANCE(C74, ""changepct"") / 100, """")"),"")</f>
        <v/>
      </c>
      <c r="L74" s="21" t="str">
        <f>IFERROR(__xludf.DUMMYFUNCTION("IFERROR((GOOGLEFINANCE(C74, ""price"") / INDEX(GOOGLEFINANCE(C74, ""price"", TODAY()-7, TODAY()), 2, 2)) - 1, """")"),"")</f>
        <v/>
      </c>
      <c r="M74" s="21" t="str">
        <f>IFERROR(__xludf.DUMMYFUNCTION("IFERROR((GOOGLEFINANCE(C74, ""price"") / INDEX(GOOGLEFINANCE(C74, ""price"", EDATE(TODAY(), -1), TODAY()), 2, 2)) - 1, """")"),"")</f>
        <v/>
      </c>
      <c r="N74" s="21" t="str">
        <f>IFERROR(__xludf.DUMMYFUNCTION("IFERROR((GOOGLEFINANCE(C74, ""price"") / INDEX(GOOGLEFINANCE(C74, ""price"", EDATE(TODAY(), -3), TODAY()), 2, 2)) - 1, """")"),"")</f>
        <v/>
      </c>
      <c r="O74" s="21" t="str">
        <f>IFERROR(__xludf.DUMMYFUNCTION("IFERROR((GOOGLEFINANCE(C74, ""price"") / INDEX(GOOGLEFINANCE(C74, ""price"", EDATE(TODAY(), -6), TODAY()), 2, 2)) - 1, """")"),"")</f>
        <v/>
      </c>
      <c r="P74" s="21" t="str">
        <f>IFERROR(__xludf.DUMMYFUNCTION("IFERROR((GOOGLEFINANCE(C74, ""price"") / INDEX(GOOGLEFINANCE(C74, ""price"", EDATE(TODAY(), -12), TODAY()), 2, 2)) - 1, """")"),"")</f>
        <v/>
      </c>
      <c r="Q74" s="6" t="str">
        <f>IFERROR(__xludf.DUMMYFUNCTION("AVERAGE(QUERY(GOOGLEFINANCE(C74, ""price"", TODAY()-80, TODAY()), ""SELECT Col2 WHERE Col2 IS NOT NULL ORDER BY Col1 DESC LIMIT 50"", 0))"),"#N/A")</f>
        <v>#N/A</v>
      </c>
      <c r="R74" s="24" t="str">
        <f>IFERROR(__xludf.DUMMYFUNCTION("IFERROR(
  LET(
    data, QUERY(GOOGLEFINANCE(C74,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GOOGLEFINANCE(C74, ""price"")) * 100,
    IF(calc=0, G74, calc)
  ), 
G74)"),"#N/A")</f>
        <v>#N/A</v>
      </c>
      <c r="S74" s="8" t="s">
        <v>15</v>
      </c>
      <c r="T74" s="26" t="str">
        <f>IFERROR(__xludf.DUMMYFUNCTION("IFERROR(TRANSPOSE(QUERY(IFERROR(SORT(GOOGLEFINANCE(C74, ""price"", WORKDAY(TODAY(), -40), TODAY()), 1, FALSE)), ""select Col2 where Col2 is not null limit 22 label Col2 ''"", 0)), """")"),"")</f>
        <v/>
      </c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8"/>
      <c r="AO74" s="28"/>
      <c r="AP74" s="29"/>
      <c r="AQ74" s="29" t="str">
        <f t="shared" ref="AQ74:BL74" si="77">T74/T$2</f>
        <v>#N/A</v>
      </c>
      <c r="AR74" s="29" t="str">
        <f t="shared" si="77"/>
        <v>#DIV/0!</v>
      </c>
      <c r="AS74" s="29" t="str">
        <f t="shared" si="77"/>
        <v>#DIV/0!</v>
      </c>
      <c r="AT74" s="29" t="str">
        <f t="shared" si="77"/>
        <v>#DIV/0!</v>
      </c>
      <c r="AU74" s="29" t="str">
        <f t="shared" si="77"/>
        <v>#DIV/0!</v>
      </c>
      <c r="AV74" s="29" t="str">
        <f t="shared" si="77"/>
        <v>#DIV/0!</v>
      </c>
      <c r="AW74" s="29" t="str">
        <f t="shared" si="77"/>
        <v>#DIV/0!</v>
      </c>
      <c r="AX74" s="29" t="str">
        <f t="shared" si="77"/>
        <v>#DIV/0!</v>
      </c>
      <c r="AY74" s="29" t="str">
        <f t="shared" si="77"/>
        <v>#DIV/0!</v>
      </c>
      <c r="AZ74" s="29" t="str">
        <f t="shared" si="77"/>
        <v>#DIV/0!</v>
      </c>
      <c r="BA74" s="29" t="str">
        <f t="shared" si="77"/>
        <v>#DIV/0!</v>
      </c>
      <c r="BB74" s="29" t="str">
        <f t="shared" si="77"/>
        <v>#DIV/0!</v>
      </c>
      <c r="BC74" s="29" t="str">
        <f t="shared" si="77"/>
        <v>#DIV/0!</v>
      </c>
      <c r="BD74" s="29" t="str">
        <f t="shared" si="77"/>
        <v>#DIV/0!</v>
      </c>
      <c r="BE74" s="29" t="str">
        <f t="shared" si="77"/>
        <v>#DIV/0!</v>
      </c>
      <c r="BF74" s="29" t="str">
        <f t="shared" si="77"/>
        <v>#DIV/0!</v>
      </c>
      <c r="BG74" s="29" t="str">
        <f t="shared" si="77"/>
        <v>#DIV/0!</v>
      </c>
      <c r="BH74" s="29" t="str">
        <f t="shared" si="77"/>
        <v>#DIV/0!</v>
      </c>
      <c r="BI74" s="29" t="str">
        <f t="shared" si="77"/>
        <v>#DIV/0!</v>
      </c>
      <c r="BJ74" s="29" t="str">
        <f t="shared" si="77"/>
        <v>#DIV/0!</v>
      </c>
      <c r="BK74" s="29" t="str">
        <f t="shared" si="77"/>
        <v>#DIV/0!</v>
      </c>
      <c r="BL74" s="29" t="str">
        <f t="shared" si="77"/>
        <v>#DIV/0!</v>
      </c>
      <c r="BM74" s="29" t="str">
        <f t="shared" si="3"/>
        <v>#DIV/0!</v>
      </c>
    </row>
    <row r="75">
      <c r="A75" s="16" t="str">
        <f>IFERROR(__xludf.DUMMYFUNCTION("IFERROR(SPARKLINE(SORT(MAP(TRANSPOSE(AQ75:BL75), LAMBDA(val, IF(ISNUMBER(val), PERCENTRANK(AQ75:BL75, val)+0.01, 0))), SEQUENCE(COLUMNS(AQ75:BL75)), FALSE), {""charttype"",""column""; ""color"",""chartreuse""; ""ymin"", 0; ""ymax"", 1.01; ""highcolor"", "&amp;"""darkgreen""; ""lowcolor"", ""red""}), """")"),"")</f>
        <v/>
      </c>
      <c r="B75" s="17" t="str">
        <f t="shared" si="4"/>
        <v/>
      </c>
      <c r="C75" s="1" t="s">
        <v>1093</v>
      </c>
      <c r="D75" s="30" t="str">
        <f>IFERROR(__xludf.DUMMYFUNCTION("IFERROR(GOOGLEFINANCE(C75, ""NAME""))"),"UL Solutions Inc")</f>
        <v>UL Solutions Inc</v>
      </c>
      <c r="E75" s="30" t="s">
        <v>916</v>
      </c>
      <c r="F75" s="33" t="str">
        <f>IFERROR(__xludf.DUMMYFUNCTION("( (GOOGLEFINANCE(C75, ""price"") - Q75) / Q75 ) / (R75 / 100)"),"Loading...")</f>
        <v>Loading...</v>
      </c>
      <c r="G75" s="20" t="str">
        <f>IFERROR(__xludf.DUMMYFUNCTION("AVERAGE(ARRAYFORMULA(100 * (QUERY(GOOGLEFINANCE(C75, ""high"", TODAY()-40, TODAY()), ""SELECT Col2 WHERE Col2 IS NOT NULL ORDER BY Col1 DESC LIMIT 20"", 0) / QUERY(GOOGLEFINANCE(C75, ""low"", TODAY()-40, TODAY()), ""SELECT Col2 WHERE Col2 IS NOT NULL ORDE"&amp;"R BY Col1 DESC LIMIT 20"", 0) - 1)))"),"#N/A")</f>
        <v>#N/A</v>
      </c>
      <c r="H75" s="35" t="str">
        <f t="shared" si="6"/>
        <v/>
      </c>
      <c r="I75" s="35" t="str">
        <f t="shared" si="7"/>
        <v/>
      </c>
      <c r="J75" s="37" t="str">
        <f>IFERROR(__xludf.DUMMYFUNCTION("IFERROR(
  IF(C75="""",, 
    IFERROR(
      GOOGLEFINANCE(C75, ""price"") * GOOGLEFINANCE(C75, ""volumeavg""), 
      GOOGLEFINANCE(C75, ""price"") * AVERAGE(QUERY(GOOGLEFINANCE(C75, ""volume"", TODAY()-40, TODAY()), ""SELECT Col2 WHERE Col2 IS NOT NULL "&amp;"ORDER BY Col1 DESC LIMIT 20"", 0))
    )
  ), 
"""")"),"")</f>
        <v/>
      </c>
      <c r="K75" s="21" t="str">
        <f>IFERROR(__xludf.DUMMYFUNCTION("IFERROR(GOOGLEFINANCE(C75, ""changepct"") / 100, """")"),"")</f>
        <v/>
      </c>
      <c r="L75" s="21" t="str">
        <f>IFERROR(__xludf.DUMMYFUNCTION("IFERROR((GOOGLEFINANCE(C75, ""price"") / INDEX(GOOGLEFINANCE(C75, ""price"", TODAY()-7, TODAY()), 2, 2)) - 1, """")"),"")</f>
        <v/>
      </c>
      <c r="M75" s="21" t="str">
        <f>IFERROR(__xludf.DUMMYFUNCTION("IFERROR((GOOGLEFINANCE(C75, ""price"") / INDEX(GOOGLEFINANCE(C75, ""price"", EDATE(TODAY(), -1), TODAY()), 2, 2)) - 1, """")"),"")</f>
        <v/>
      </c>
      <c r="N75" s="21" t="str">
        <f>IFERROR(__xludf.DUMMYFUNCTION("IFERROR((GOOGLEFINANCE(C75, ""price"") / INDEX(GOOGLEFINANCE(C75, ""price"", EDATE(TODAY(), -3), TODAY()), 2, 2)) - 1, """")"),"")</f>
        <v/>
      </c>
      <c r="O75" s="21" t="str">
        <f>IFERROR(__xludf.DUMMYFUNCTION("IFERROR((GOOGLEFINANCE(C75, ""price"") / INDEX(GOOGLEFINANCE(C75, ""price"", EDATE(TODAY(), -6), TODAY()), 2, 2)) - 1, """")"),"")</f>
        <v/>
      </c>
      <c r="P75" s="21" t="str">
        <f>IFERROR(__xludf.DUMMYFUNCTION("IFERROR((GOOGLEFINANCE(C75, ""price"") / INDEX(GOOGLEFINANCE(C75, ""price"", EDATE(TODAY(), -12), TODAY()), 2, 2)) - 1, """")"),"")</f>
        <v/>
      </c>
      <c r="Q75" s="6" t="str">
        <f>IFERROR(__xludf.DUMMYFUNCTION("AVERAGE(QUERY(GOOGLEFINANCE(C75, ""price"", TODAY()-80, TODAY()), ""SELECT Col2 WHERE Col2 IS NOT NULL ORDER BY Col1 DESC LIMIT 50"", 0))"),"#N/A")</f>
        <v>#N/A</v>
      </c>
      <c r="R75" s="24" t="str">
        <f>IFERROR(__xludf.DUMMYFUNCTION("IFERROR(
  LET(
    data, QUERY(GOOGLEFINANCE(C75,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GOOGLEFINANCE(C75, ""price"")) * 100,
    IF(calc=0, G75, calc)
  ), 
G75)"),"#N/A")</f>
        <v>#N/A</v>
      </c>
      <c r="S75" s="8" t="s">
        <v>15</v>
      </c>
      <c r="T75" s="26" t="str">
        <f>IFERROR(__xludf.DUMMYFUNCTION("IFERROR(TRANSPOSE(QUERY(IFERROR(SORT(GOOGLEFINANCE(C75, ""price"", WORKDAY(TODAY(), -40), TODAY()), 1, FALSE)), ""select Col2 where Col2 is not null limit 22 label Col2 ''"", 0)), """")"),"")</f>
        <v/>
      </c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8"/>
      <c r="AO75" s="28"/>
      <c r="AP75" s="29"/>
      <c r="AQ75" s="29" t="str">
        <f t="shared" ref="AQ75:BL75" si="78">T75/T$2</f>
        <v>#N/A</v>
      </c>
      <c r="AR75" s="29" t="str">
        <f t="shared" si="78"/>
        <v>#DIV/0!</v>
      </c>
      <c r="AS75" s="29" t="str">
        <f t="shared" si="78"/>
        <v>#DIV/0!</v>
      </c>
      <c r="AT75" s="29" t="str">
        <f t="shared" si="78"/>
        <v>#DIV/0!</v>
      </c>
      <c r="AU75" s="29" t="str">
        <f t="shared" si="78"/>
        <v>#DIV/0!</v>
      </c>
      <c r="AV75" s="29" t="str">
        <f t="shared" si="78"/>
        <v>#DIV/0!</v>
      </c>
      <c r="AW75" s="29" t="str">
        <f t="shared" si="78"/>
        <v>#DIV/0!</v>
      </c>
      <c r="AX75" s="29" t="str">
        <f t="shared" si="78"/>
        <v>#DIV/0!</v>
      </c>
      <c r="AY75" s="29" t="str">
        <f t="shared" si="78"/>
        <v>#DIV/0!</v>
      </c>
      <c r="AZ75" s="29" t="str">
        <f t="shared" si="78"/>
        <v>#DIV/0!</v>
      </c>
      <c r="BA75" s="29" t="str">
        <f t="shared" si="78"/>
        <v>#DIV/0!</v>
      </c>
      <c r="BB75" s="29" t="str">
        <f t="shared" si="78"/>
        <v>#DIV/0!</v>
      </c>
      <c r="BC75" s="29" t="str">
        <f t="shared" si="78"/>
        <v>#DIV/0!</v>
      </c>
      <c r="BD75" s="29" t="str">
        <f t="shared" si="78"/>
        <v>#DIV/0!</v>
      </c>
      <c r="BE75" s="29" t="str">
        <f t="shared" si="78"/>
        <v>#DIV/0!</v>
      </c>
      <c r="BF75" s="29" t="str">
        <f t="shared" si="78"/>
        <v>#DIV/0!</v>
      </c>
      <c r="BG75" s="29" t="str">
        <f t="shared" si="78"/>
        <v>#DIV/0!</v>
      </c>
      <c r="BH75" s="29" t="str">
        <f t="shared" si="78"/>
        <v>#DIV/0!</v>
      </c>
      <c r="BI75" s="29" t="str">
        <f t="shared" si="78"/>
        <v>#DIV/0!</v>
      </c>
      <c r="BJ75" s="29" t="str">
        <f t="shared" si="78"/>
        <v>#DIV/0!</v>
      </c>
      <c r="BK75" s="29" t="str">
        <f t="shared" si="78"/>
        <v>#DIV/0!</v>
      </c>
      <c r="BL75" s="29" t="str">
        <f t="shared" si="78"/>
        <v>#DIV/0!</v>
      </c>
      <c r="BM75" s="29" t="str">
        <f t="shared" si="3"/>
        <v>#DIV/0!</v>
      </c>
    </row>
    <row r="76">
      <c r="A76" s="16" t="str">
        <f>IFERROR(__xludf.DUMMYFUNCTION("IFERROR(SPARKLINE(SORT(MAP(TRANSPOSE(AQ76:BL76), LAMBDA(val, IF(ISNUMBER(val), PERCENTRANK(AQ76:BL76, val)+0.01, 0))), SEQUENCE(COLUMNS(AQ76:BL76)), FALSE), {""charttype"",""column""; ""color"",""chartreuse""; ""ymin"", 0; ""ymax"", 1.01; ""highcolor"", "&amp;"""darkgreen""; ""lowcolor"", ""red""}), """")"),"")</f>
        <v/>
      </c>
      <c r="B76" s="17" t="str">
        <f t="shared" si="4"/>
        <v/>
      </c>
      <c r="C76" s="1" t="s">
        <v>1097</v>
      </c>
      <c r="D76" s="30" t="str">
        <f>IFERROR(__xludf.DUMMYFUNCTION("IFERROR(GOOGLEFINANCE(C76, ""NAME""))"),"CECO Environmental Corp")</f>
        <v>CECO Environmental Corp</v>
      </c>
      <c r="E76" s="30" t="s">
        <v>936</v>
      </c>
      <c r="F76" s="33" t="str">
        <f>IFERROR(__xludf.DUMMYFUNCTION("( (GOOGLEFINANCE(C76, ""price"") - Q76) / Q76 ) / (R76 / 100)"),"Loading...")</f>
        <v>Loading...</v>
      </c>
      <c r="G76" s="20" t="str">
        <f>IFERROR(__xludf.DUMMYFUNCTION("AVERAGE(ARRAYFORMULA(100 * (QUERY(GOOGLEFINANCE(C76, ""high"", TODAY()-40, TODAY()), ""SELECT Col2 WHERE Col2 IS NOT NULL ORDER BY Col1 DESC LIMIT 20"", 0) / QUERY(GOOGLEFINANCE(C76, ""low"", TODAY()-40, TODAY()), ""SELECT Col2 WHERE Col2 IS NOT NULL ORDE"&amp;"R BY Col1 DESC LIMIT 20"", 0) - 1)))"),"#N/A")</f>
        <v>#N/A</v>
      </c>
      <c r="H76" s="35" t="str">
        <f t="shared" si="6"/>
        <v/>
      </c>
      <c r="I76" s="35" t="str">
        <f t="shared" si="7"/>
        <v/>
      </c>
      <c r="J76" s="37" t="str">
        <f>IFERROR(__xludf.DUMMYFUNCTION("IFERROR(
  IF(C76="""",, 
    IFERROR(
      GOOGLEFINANCE(C76, ""price"") * GOOGLEFINANCE(C76, ""volumeavg""), 
      GOOGLEFINANCE(C76, ""price"") * AVERAGE(QUERY(GOOGLEFINANCE(C76, ""volume"", TODAY()-40, TODAY()), ""SELECT Col2 WHERE Col2 IS NOT NULL "&amp;"ORDER BY Col1 DESC LIMIT 20"", 0))
    )
  ), 
"""")"),"")</f>
        <v/>
      </c>
      <c r="K76" s="21" t="str">
        <f>IFERROR(__xludf.DUMMYFUNCTION("IFERROR(GOOGLEFINANCE(C76, ""changepct"") / 100, """")"),"")</f>
        <v/>
      </c>
      <c r="L76" s="21" t="str">
        <f>IFERROR(__xludf.DUMMYFUNCTION("IFERROR((GOOGLEFINANCE(C76, ""price"") / INDEX(GOOGLEFINANCE(C76, ""price"", TODAY()-7, TODAY()), 2, 2)) - 1, """")"),"")</f>
        <v/>
      </c>
      <c r="M76" s="21" t="str">
        <f>IFERROR(__xludf.DUMMYFUNCTION("IFERROR((GOOGLEFINANCE(C76, ""price"") / INDEX(GOOGLEFINANCE(C76, ""price"", EDATE(TODAY(), -1), TODAY()), 2, 2)) - 1, """")"),"")</f>
        <v/>
      </c>
      <c r="N76" s="21" t="str">
        <f>IFERROR(__xludf.DUMMYFUNCTION("IFERROR((GOOGLEFINANCE(C76, ""price"") / INDEX(GOOGLEFINANCE(C76, ""price"", EDATE(TODAY(), -3), TODAY()), 2, 2)) - 1, """")"),"")</f>
        <v/>
      </c>
      <c r="O76" s="21" t="str">
        <f>IFERROR(__xludf.DUMMYFUNCTION("IFERROR((GOOGLEFINANCE(C76, ""price"") / INDEX(GOOGLEFINANCE(C76, ""price"", EDATE(TODAY(), -6), TODAY()), 2, 2)) - 1, """")"),"")</f>
        <v/>
      </c>
      <c r="P76" s="21" t="str">
        <f>IFERROR(__xludf.DUMMYFUNCTION("IFERROR((GOOGLEFINANCE(C76, ""price"") / INDEX(GOOGLEFINANCE(C76, ""price"", EDATE(TODAY(), -12), TODAY()), 2, 2)) - 1, """")"),"")</f>
        <v/>
      </c>
      <c r="Q76" s="6" t="str">
        <f>IFERROR(__xludf.DUMMYFUNCTION("AVERAGE(QUERY(GOOGLEFINANCE(C76, ""price"", TODAY()-80, TODAY()), ""SELECT Col2 WHERE Col2 IS NOT NULL ORDER BY Col1 DESC LIMIT 50"", 0))"),"#N/A")</f>
        <v>#N/A</v>
      </c>
      <c r="R76" s="24" t="str">
        <f>IFERROR(__xludf.DUMMYFUNCTION("IFERROR(
  LET(
    data, QUERY(GOOGLEFINANCE(C76,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GOOGLEFINANCE(C76, ""price"")) * 100,
    IF(calc=0, G76, calc)
  ), 
G76)"),"#N/A")</f>
        <v>#N/A</v>
      </c>
      <c r="S76" s="8" t="s">
        <v>15</v>
      </c>
      <c r="T76" s="26" t="str">
        <f>IFERROR(__xludf.DUMMYFUNCTION("IFERROR(TRANSPOSE(QUERY(IFERROR(SORT(GOOGLEFINANCE(C76, ""price"", WORKDAY(TODAY(), -40), TODAY()), 1, FALSE)), ""select Col2 where Col2 is not null limit 22 label Col2 ''"", 0)), """")"),"")</f>
        <v/>
      </c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8"/>
      <c r="AO76" s="28"/>
      <c r="AP76" s="29"/>
      <c r="AQ76" s="29" t="str">
        <f t="shared" ref="AQ76:BL76" si="79">T76/T$2</f>
        <v>#N/A</v>
      </c>
      <c r="AR76" s="29" t="str">
        <f t="shared" si="79"/>
        <v>#DIV/0!</v>
      </c>
      <c r="AS76" s="29" t="str">
        <f t="shared" si="79"/>
        <v>#DIV/0!</v>
      </c>
      <c r="AT76" s="29" t="str">
        <f t="shared" si="79"/>
        <v>#DIV/0!</v>
      </c>
      <c r="AU76" s="29" t="str">
        <f t="shared" si="79"/>
        <v>#DIV/0!</v>
      </c>
      <c r="AV76" s="29" t="str">
        <f t="shared" si="79"/>
        <v>#DIV/0!</v>
      </c>
      <c r="AW76" s="29" t="str">
        <f t="shared" si="79"/>
        <v>#DIV/0!</v>
      </c>
      <c r="AX76" s="29" t="str">
        <f t="shared" si="79"/>
        <v>#DIV/0!</v>
      </c>
      <c r="AY76" s="29" t="str">
        <f t="shared" si="79"/>
        <v>#DIV/0!</v>
      </c>
      <c r="AZ76" s="29" t="str">
        <f t="shared" si="79"/>
        <v>#DIV/0!</v>
      </c>
      <c r="BA76" s="29" t="str">
        <f t="shared" si="79"/>
        <v>#DIV/0!</v>
      </c>
      <c r="BB76" s="29" t="str">
        <f t="shared" si="79"/>
        <v>#DIV/0!</v>
      </c>
      <c r="BC76" s="29" t="str">
        <f t="shared" si="79"/>
        <v>#DIV/0!</v>
      </c>
      <c r="BD76" s="29" t="str">
        <f t="shared" si="79"/>
        <v>#DIV/0!</v>
      </c>
      <c r="BE76" s="29" t="str">
        <f t="shared" si="79"/>
        <v>#DIV/0!</v>
      </c>
      <c r="BF76" s="29" t="str">
        <f t="shared" si="79"/>
        <v>#DIV/0!</v>
      </c>
      <c r="BG76" s="29" t="str">
        <f t="shared" si="79"/>
        <v>#DIV/0!</v>
      </c>
      <c r="BH76" s="29" t="str">
        <f t="shared" si="79"/>
        <v>#DIV/0!</v>
      </c>
      <c r="BI76" s="29" t="str">
        <f t="shared" si="79"/>
        <v>#DIV/0!</v>
      </c>
      <c r="BJ76" s="29" t="str">
        <f t="shared" si="79"/>
        <v>#DIV/0!</v>
      </c>
      <c r="BK76" s="29" t="str">
        <f t="shared" si="79"/>
        <v>#DIV/0!</v>
      </c>
      <c r="BL76" s="29" t="str">
        <f t="shared" si="79"/>
        <v>#DIV/0!</v>
      </c>
      <c r="BM76" s="29" t="str">
        <f t="shared" si="3"/>
        <v>#DIV/0!</v>
      </c>
    </row>
    <row r="77">
      <c r="A77" s="16" t="str">
        <f>IFERROR(__xludf.DUMMYFUNCTION("IFERROR(SPARKLINE(SORT(MAP(TRANSPOSE(AQ77:BL77), LAMBDA(val, IF(ISNUMBER(val), PERCENTRANK(AQ77:BL77, val)+0.01, 0))), SEQUENCE(COLUMNS(AQ77:BL77)), FALSE), {""charttype"",""column""; ""color"",""chartreuse""; ""ymin"", 0; ""ymax"", 1.01; ""highcolor"", "&amp;"""darkgreen""; ""lowcolor"", ""red""}), """")"),"")</f>
        <v/>
      </c>
      <c r="B77" s="17" t="str">
        <f t="shared" si="4"/>
        <v/>
      </c>
      <c r="C77" s="1" t="s">
        <v>1101</v>
      </c>
      <c r="D77" s="30" t="str">
        <f>IFERROR(__xludf.DUMMYFUNCTION("IFERROR(GOOGLEFINANCE(C77, ""NAME""))"),"Cimpress PLC")</f>
        <v>Cimpress PLC</v>
      </c>
      <c r="E77" s="30" t="s">
        <v>916</v>
      </c>
      <c r="F77" s="33" t="str">
        <f>IFERROR(__xludf.DUMMYFUNCTION("( (GOOGLEFINANCE(C77, ""price"") - Q77) / Q77 ) / (R77 / 100)"),"Loading...")</f>
        <v>Loading...</v>
      </c>
      <c r="G77" s="20" t="str">
        <f>IFERROR(__xludf.DUMMYFUNCTION("AVERAGE(ARRAYFORMULA(100 * (QUERY(GOOGLEFINANCE(C77, ""high"", TODAY()-40, TODAY()), ""SELECT Col2 WHERE Col2 IS NOT NULL ORDER BY Col1 DESC LIMIT 20"", 0) / QUERY(GOOGLEFINANCE(C77, ""low"", TODAY()-40, TODAY()), ""SELECT Col2 WHERE Col2 IS NOT NULL ORDE"&amp;"R BY Col1 DESC LIMIT 20"", 0) - 1)))"),"#N/A")</f>
        <v>#N/A</v>
      </c>
      <c r="H77" s="35" t="str">
        <f t="shared" si="6"/>
        <v/>
      </c>
      <c r="I77" s="35" t="str">
        <f t="shared" si="7"/>
        <v/>
      </c>
      <c r="J77" s="37" t="str">
        <f>IFERROR(__xludf.DUMMYFUNCTION("IFERROR(
  IF(C77="""",, 
    IFERROR(
      GOOGLEFINANCE(C77, ""price"") * GOOGLEFINANCE(C77, ""volumeavg""), 
      GOOGLEFINANCE(C77, ""price"") * AVERAGE(QUERY(GOOGLEFINANCE(C77, ""volume"", TODAY()-40, TODAY()), ""SELECT Col2 WHERE Col2 IS NOT NULL "&amp;"ORDER BY Col1 DESC LIMIT 20"", 0))
    )
  ), 
"""")"),"")</f>
        <v/>
      </c>
      <c r="K77" s="21" t="str">
        <f>IFERROR(__xludf.DUMMYFUNCTION("IFERROR(GOOGLEFINANCE(C77, ""changepct"") / 100, """")"),"")</f>
        <v/>
      </c>
      <c r="L77" s="21" t="str">
        <f>IFERROR(__xludf.DUMMYFUNCTION("IFERROR((GOOGLEFINANCE(C77, ""price"") / INDEX(GOOGLEFINANCE(C77, ""price"", TODAY()-7, TODAY()), 2, 2)) - 1, """")"),"")</f>
        <v/>
      </c>
      <c r="M77" s="21" t="str">
        <f>IFERROR(__xludf.DUMMYFUNCTION("IFERROR((GOOGLEFINANCE(C77, ""price"") / INDEX(GOOGLEFINANCE(C77, ""price"", EDATE(TODAY(), -1), TODAY()), 2, 2)) - 1, """")"),"")</f>
        <v/>
      </c>
      <c r="N77" s="21" t="str">
        <f>IFERROR(__xludf.DUMMYFUNCTION("IFERROR((GOOGLEFINANCE(C77, ""price"") / INDEX(GOOGLEFINANCE(C77, ""price"", EDATE(TODAY(), -3), TODAY()), 2, 2)) - 1, """")"),"")</f>
        <v/>
      </c>
      <c r="O77" s="21" t="str">
        <f>IFERROR(__xludf.DUMMYFUNCTION("IFERROR((GOOGLEFINANCE(C77, ""price"") / INDEX(GOOGLEFINANCE(C77, ""price"", EDATE(TODAY(), -6), TODAY()), 2, 2)) - 1, """")"),"")</f>
        <v/>
      </c>
      <c r="P77" s="21" t="str">
        <f>IFERROR(__xludf.DUMMYFUNCTION("IFERROR((GOOGLEFINANCE(C77, ""price"") / INDEX(GOOGLEFINANCE(C77, ""price"", EDATE(TODAY(), -12), TODAY()), 2, 2)) - 1, """")"),"")</f>
        <v/>
      </c>
      <c r="Q77" s="6" t="str">
        <f>IFERROR(__xludf.DUMMYFUNCTION("AVERAGE(QUERY(GOOGLEFINANCE(C77, ""price"", TODAY()-80, TODAY()), ""SELECT Col2 WHERE Col2 IS NOT NULL ORDER BY Col1 DESC LIMIT 50"", 0))"),"#N/A")</f>
        <v>#N/A</v>
      </c>
      <c r="R77" s="24" t="str">
        <f>IFERROR(__xludf.DUMMYFUNCTION("IFERROR(
  LET(
    data, QUERY(GOOGLEFINANCE(C77,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GOOGLEFINANCE(C77, ""price"")) * 100,
    IF(calc=0, G77, calc)
  ), 
G77)"),"#N/A")</f>
        <v>#N/A</v>
      </c>
      <c r="S77" s="8" t="s">
        <v>15</v>
      </c>
      <c r="T77" s="26" t="str">
        <f>IFERROR(__xludf.DUMMYFUNCTION("IFERROR(TRANSPOSE(QUERY(IFERROR(SORT(GOOGLEFINANCE(C77, ""price"", WORKDAY(TODAY(), -40), TODAY()), 1, FALSE)), ""select Col2 where Col2 is not null limit 22 label Col2 ''"", 0)), """")"),"")</f>
        <v/>
      </c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8"/>
      <c r="AO77" s="28"/>
      <c r="AP77" s="29"/>
      <c r="AQ77" s="29" t="str">
        <f t="shared" ref="AQ77:BL77" si="80">T77/T$2</f>
        <v>#N/A</v>
      </c>
      <c r="AR77" s="29" t="str">
        <f t="shared" si="80"/>
        <v>#DIV/0!</v>
      </c>
      <c r="AS77" s="29" t="str">
        <f t="shared" si="80"/>
        <v>#DIV/0!</v>
      </c>
      <c r="AT77" s="29" t="str">
        <f t="shared" si="80"/>
        <v>#DIV/0!</v>
      </c>
      <c r="AU77" s="29" t="str">
        <f t="shared" si="80"/>
        <v>#DIV/0!</v>
      </c>
      <c r="AV77" s="29" t="str">
        <f t="shared" si="80"/>
        <v>#DIV/0!</v>
      </c>
      <c r="AW77" s="29" t="str">
        <f t="shared" si="80"/>
        <v>#DIV/0!</v>
      </c>
      <c r="AX77" s="29" t="str">
        <f t="shared" si="80"/>
        <v>#DIV/0!</v>
      </c>
      <c r="AY77" s="29" t="str">
        <f t="shared" si="80"/>
        <v>#DIV/0!</v>
      </c>
      <c r="AZ77" s="29" t="str">
        <f t="shared" si="80"/>
        <v>#DIV/0!</v>
      </c>
      <c r="BA77" s="29" t="str">
        <f t="shared" si="80"/>
        <v>#DIV/0!</v>
      </c>
      <c r="BB77" s="29" t="str">
        <f t="shared" si="80"/>
        <v>#DIV/0!</v>
      </c>
      <c r="BC77" s="29" t="str">
        <f t="shared" si="80"/>
        <v>#DIV/0!</v>
      </c>
      <c r="BD77" s="29" t="str">
        <f t="shared" si="80"/>
        <v>#DIV/0!</v>
      </c>
      <c r="BE77" s="29" t="str">
        <f t="shared" si="80"/>
        <v>#DIV/0!</v>
      </c>
      <c r="BF77" s="29" t="str">
        <f t="shared" si="80"/>
        <v>#DIV/0!</v>
      </c>
      <c r="BG77" s="29" t="str">
        <f t="shared" si="80"/>
        <v>#DIV/0!</v>
      </c>
      <c r="BH77" s="29" t="str">
        <f t="shared" si="80"/>
        <v>#DIV/0!</v>
      </c>
      <c r="BI77" s="29" t="str">
        <f t="shared" si="80"/>
        <v>#DIV/0!</v>
      </c>
      <c r="BJ77" s="29" t="str">
        <f t="shared" si="80"/>
        <v>#DIV/0!</v>
      </c>
      <c r="BK77" s="29" t="str">
        <f t="shared" si="80"/>
        <v>#DIV/0!</v>
      </c>
      <c r="BL77" s="29" t="str">
        <f t="shared" si="80"/>
        <v>#DIV/0!</v>
      </c>
      <c r="BM77" s="29" t="str">
        <f t="shared" si="3"/>
        <v>#DIV/0!</v>
      </c>
    </row>
    <row r="78">
      <c r="A78" s="16" t="str">
        <f>IFERROR(__xludf.DUMMYFUNCTION("IFERROR(SPARKLINE(SORT(MAP(TRANSPOSE(AQ78:BL78), LAMBDA(val, IF(ISNUMBER(val), PERCENTRANK(AQ78:BL78, val)+0.01, 0))), SEQUENCE(COLUMNS(AQ78:BL78)), FALSE), {""charttype"",""column""; ""color"",""chartreuse""; ""ymin"", 0; ""ymax"", 1.01; ""highcolor"", "&amp;"""darkgreen""; ""lowcolor"", ""red""}), """")"),"")</f>
        <v/>
      </c>
      <c r="B78" s="17" t="str">
        <f t="shared" si="4"/>
        <v/>
      </c>
      <c r="C78" s="1" t="s">
        <v>1110</v>
      </c>
      <c r="D78" s="30" t="str">
        <f>IFERROR(__xludf.DUMMYFUNCTION("IFERROR(GOOGLEFINANCE(C78, ""NAME""))"),"MasTec Inc")</f>
        <v>MasTec Inc</v>
      </c>
      <c r="E78" s="30" t="s">
        <v>856</v>
      </c>
      <c r="F78" s="33" t="str">
        <f>IFERROR(__xludf.DUMMYFUNCTION("( (GOOGLEFINANCE(C78, ""price"") - Q78) / Q78 ) / (R78 / 100)"),"Loading...")</f>
        <v>Loading...</v>
      </c>
      <c r="G78" s="20" t="str">
        <f>IFERROR(__xludf.DUMMYFUNCTION("AVERAGE(ARRAYFORMULA(100 * (QUERY(GOOGLEFINANCE(C78, ""high"", TODAY()-40, TODAY()), ""SELECT Col2 WHERE Col2 IS NOT NULL ORDER BY Col1 DESC LIMIT 20"", 0) / QUERY(GOOGLEFINANCE(C78, ""low"", TODAY()-40, TODAY()), ""SELECT Col2 WHERE Col2 IS NOT NULL ORDE"&amp;"R BY Col1 DESC LIMIT 20"", 0) - 1)))"),"#N/A")</f>
        <v>#N/A</v>
      </c>
      <c r="H78" s="35" t="str">
        <f t="shared" si="6"/>
        <v/>
      </c>
      <c r="I78" s="35" t="str">
        <f t="shared" si="7"/>
        <v/>
      </c>
      <c r="J78" s="37" t="str">
        <f>IFERROR(__xludf.DUMMYFUNCTION("IFERROR(
  IF(C78="""",, 
    IFERROR(
      GOOGLEFINANCE(C78, ""price"") * GOOGLEFINANCE(C78, ""volumeavg""), 
      GOOGLEFINANCE(C78, ""price"") * AVERAGE(QUERY(GOOGLEFINANCE(C78, ""volume"", TODAY()-40, TODAY()), ""SELECT Col2 WHERE Col2 IS NOT NULL "&amp;"ORDER BY Col1 DESC LIMIT 20"", 0))
    )
  ), 
"""")"),"")</f>
        <v/>
      </c>
      <c r="K78" s="21" t="str">
        <f>IFERROR(__xludf.DUMMYFUNCTION("IFERROR(GOOGLEFINANCE(C78, ""changepct"") / 100, """")"),"")</f>
        <v/>
      </c>
      <c r="L78" s="21" t="str">
        <f>IFERROR(__xludf.DUMMYFUNCTION("IFERROR((GOOGLEFINANCE(C78, ""price"") / INDEX(GOOGLEFINANCE(C78, ""price"", TODAY()-7, TODAY()), 2, 2)) - 1, """")"),"")</f>
        <v/>
      </c>
      <c r="M78" s="21" t="str">
        <f>IFERROR(__xludf.DUMMYFUNCTION("IFERROR((GOOGLEFINANCE(C78, ""price"") / INDEX(GOOGLEFINANCE(C78, ""price"", EDATE(TODAY(), -1), TODAY()), 2, 2)) - 1, """")"),"")</f>
        <v/>
      </c>
      <c r="N78" s="21" t="str">
        <f>IFERROR(__xludf.DUMMYFUNCTION("IFERROR((GOOGLEFINANCE(C78, ""price"") / INDEX(GOOGLEFINANCE(C78, ""price"", EDATE(TODAY(), -3), TODAY()), 2, 2)) - 1, """")"),"")</f>
        <v/>
      </c>
      <c r="O78" s="21" t="str">
        <f>IFERROR(__xludf.DUMMYFUNCTION("IFERROR((GOOGLEFINANCE(C78, ""price"") / INDEX(GOOGLEFINANCE(C78, ""price"", EDATE(TODAY(), -6), TODAY()), 2, 2)) - 1, """")"),"")</f>
        <v/>
      </c>
      <c r="P78" s="21" t="str">
        <f>IFERROR(__xludf.DUMMYFUNCTION("IFERROR((GOOGLEFINANCE(C78, ""price"") / INDEX(GOOGLEFINANCE(C78, ""price"", EDATE(TODAY(), -12), TODAY()), 2, 2)) - 1, """")"),"")</f>
        <v/>
      </c>
      <c r="Q78" s="6" t="str">
        <f>IFERROR(__xludf.DUMMYFUNCTION("AVERAGE(QUERY(GOOGLEFINANCE(C78, ""price"", TODAY()-80, TODAY()), ""SELECT Col2 WHERE Col2 IS NOT NULL ORDER BY Col1 DESC LIMIT 50"", 0))"),"#N/A")</f>
        <v>#N/A</v>
      </c>
      <c r="R78" s="24" t="str">
        <f>IFERROR(__xludf.DUMMYFUNCTION("IFERROR(
  LET(
    data, QUERY(GOOGLEFINANCE(C78,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GOOGLEFINANCE(C78, ""price"")) * 100,
    IF(calc=0, G78, calc)
  ), 
G78)"),"#N/A")</f>
        <v>#N/A</v>
      </c>
      <c r="S78" s="8" t="s">
        <v>15</v>
      </c>
      <c r="T78" s="26" t="str">
        <f>IFERROR(__xludf.DUMMYFUNCTION("IFERROR(TRANSPOSE(QUERY(IFERROR(SORT(GOOGLEFINANCE(C78, ""price"", WORKDAY(TODAY(), -40), TODAY()), 1, FALSE)), ""select Col2 where Col2 is not null limit 22 label Col2 ''"", 0)), """")"),"")</f>
        <v/>
      </c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8"/>
      <c r="AO78" s="28"/>
      <c r="AP78" s="29"/>
      <c r="AQ78" s="29" t="str">
        <f t="shared" ref="AQ78:BL78" si="81">T78/T$2</f>
        <v>#N/A</v>
      </c>
      <c r="AR78" s="29" t="str">
        <f t="shared" si="81"/>
        <v>#DIV/0!</v>
      </c>
      <c r="AS78" s="29" t="str">
        <f t="shared" si="81"/>
        <v>#DIV/0!</v>
      </c>
      <c r="AT78" s="29" t="str">
        <f t="shared" si="81"/>
        <v>#DIV/0!</v>
      </c>
      <c r="AU78" s="29" t="str">
        <f t="shared" si="81"/>
        <v>#DIV/0!</v>
      </c>
      <c r="AV78" s="29" t="str">
        <f t="shared" si="81"/>
        <v>#DIV/0!</v>
      </c>
      <c r="AW78" s="29" t="str">
        <f t="shared" si="81"/>
        <v>#DIV/0!</v>
      </c>
      <c r="AX78" s="29" t="str">
        <f t="shared" si="81"/>
        <v>#DIV/0!</v>
      </c>
      <c r="AY78" s="29" t="str">
        <f t="shared" si="81"/>
        <v>#DIV/0!</v>
      </c>
      <c r="AZ78" s="29" t="str">
        <f t="shared" si="81"/>
        <v>#DIV/0!</v>
      </c>
      <c r="BA78" s="29" t="str">
        <f t="shared" si="81"/>
        <v>#DIV/0!</v>
      </c>
      <c r="BB78" s="29" t="str">
        <f t="shared" si="81"/>
        <v>#DIV/0!</v>
      </c>
      <c r="BC78" s="29" t="str">
        <f t="shared" si="81"/>
        <v>#DIV/0!</v>
      </c>
      <c r="BD78" s="29" t="str">
        <f t="shared" si="81"/>
        <v>#DIV/0!</v>
      </c>
      <c r="BE78" s="29" t="str">
        <f t="shared" si="81"/>
        <v>#DIV/0!</v>
      </c>
      <c r="BF78" s="29" t="str">
        <f t="shared" si="81"/>
        <v>#DIV/0!</v>
      </c>
      <c r="BG78" s="29" t="str">
        <f t="shared" si="81"/>
        <v>#DIV/0!</v>
      </c>
      <c r="BH78" s="29" t="str">
        <f t="shared" si="81"/>
        <v>#DIV/0!</v>
      </c>
      <c r="BI78" s="29" t="str">
        <f t="shared" si="81"/>
        <v>#DIV/0!</v>
      </c>
      <c r="BJ78" s="29" t="str">
        <f t="shared" si="81"/>
        <v>#DIV/0!</v>
      </c>
      <c r="BK78" s="29" t="str">
        <f t="shared" si="81"/>
        <v>#DIV/0!</v>
      </c>
      <c r="BL78" s="29" t="str">
        <f t="shared" si="81"/>
        <v>#DIV/0!</v>
      </c>
      <c r="BM78" s="29" t="str">
        <f t="shared" si="3"/>
        <v>#DIV/0!</v>
      </c>
    </row>
    <row r="79">
      <c r="A79" s="16" t="str">
        <f>IFERROR(__xludf.DUMMYFUNCTION("IFERROR(SPARKLINE(SORT(MAP(TRANSPOSE(AQ79:BL79), LAMBDA(val, IF(ISNUMBER(val), PERCENTRANK(AQ79:BL79, val)+0.01, 0))), SEQUENCE(COLUMNS(AQ79:BL79)), FALSE), {""charttype"",""column""; ""color"",""chartreuse""; ""ymin"", 0; ""ymax"", 1.01; ""highcolor"", "&amp;"""darkgreen""; ""lowcolor"", ""red""}), """")"),"")</f>
        <v/>
      </c>
      <c r="B79" s="17" t="str">
        <f t="shared" si="4"/>
        <v/>
      </c>
      <c r="C79" s="1" t="s">
        <v>1114</v>
      </c>
      <c r="D79" s="30" t="str">
        <f>IFERROR(__xludf.DUMMYFUNCTION("IFERROR(GOOGLEFINANCE(C79, ""NAME""))"),"Howmet Aerospace Inc")</f>
        <v>Howmet Aerospace Inc</v>
      </c>
      <c r="E79" s="30" t="s">
        <v>839</v>
      </c>
      <c r="F79" s="33" t="str">
        <f>IFERROR(__xludf.DUMMYFUNCTION("( (GOOGLEFINANCE(C79, ""price"") - Q79) / Q79 ) / (R79 / 100)"),"Loading...")</f>
        <v>Loading...</v>
      </c>
      <c r="G79" s="20" t="str">
        <f>IFERROR(__xludf.DUMMYFUNCTION("AVERAGE(ARRAYFORMULA(100 * (QUERY(GOOGLEFINANCE(C79, ""high"", TODAY()-40, TODAY()), ""SELECT Col2 WHERE Col2 IS NOT NULL ORDER BY Col1 DESC LIMIT 20"", 0) / QUERY(GOOGLEFINANCE(C79, ""low"", TODAY()-40, TODAY()), ""SELECT Col2 WHERE Col2 IS NOT NULL ORDE"&amp;"R BY Col1 DESC LIMIT 20"", 0) - 1)))"),"#N/A")</f>
        <v>#N/A</v>
      </c>
      <c r="H79" s="35" t="str">
        <f t="shared" si="6"/>
        <v/>
      </c>
      <c r="I79" s="35" t="str">
        <f t="shared" si="7"/>
        <v/>
      </c>
      <c r="J79" s="37" t="str">
        <f>IFERROR(__xludf.DUMMYFUNCTION("IFERROR(
  IF(C79="""",, 
    IFERROR(
      GOOGLEFINANCE(C79, ""price"") * GOOGLEFINANCE(C79, ""volumeavg""), 
      GOOGLEFINANCE(C79, ""price"") * AVERAGE(QUERY(GOOGLEFINANCE(C79, ""volume"", TODAY()-40, TODAY()), ""SELECT Col2 WHERE Col2 IS NOT NULL "&amp;"ORDER BY Col1 DESC LIMIT 20"", 0))
    )
  ), 
"""")"),"")</f>
        <v/>
      </c>
      <c r="K79" s="21" t="str">
        <f>IFERROR(__xludf.DUMMYFUNCTION("IFERROR(GOOGLEFINANCE(C79, ""changepct"") / 100, """")"),"")</f>
        <v/>
      </c>
      <c r="L79" s="21" t="str">
        <f>IFERROR(__xludf.DUMMYFUNCTION("IFERROR((GOOGLEFINANCE(C79, ""price"") / INDEX(GOOGLEFINANCE(C79, ""price"", TODAY()-7, TODAY()), 2, 2)) - 1, """")"),"")</f>
        <v/>
      </c>
      <c r="M79" s="21" t="str">
        <f>IFERROR(__xludf.DUMMYFUNCTION("IFERROR((GOOGLEFINANCE(C79, ""price"") / INDEX(GOOGLEFINANCE(C79, ""price"", EDATE(TODAY(), -1), TODAY()), 2, 2)) - 1, """")"),"")</f>
        <v/>
      </c>
      <c r="N79" s="21" t="str">
        <f>IFERROR(__xludf.DUMMYFUNCTION("IFERROR((GOOGLEFINANCE(C79, ""price"") / INDEX(GOOGLEFINANCE(C79, ""price"", EDATE(TODAY(), -3), TODAY()), 2, 2)) - 1, """")"),"")</f>
        <v/>
      </c>
      <c r="O79" s="21" t="str">
        <f>IFERROR(__xludf.DUMMYFUNCTION("IFERROR((GOOGLEFINANCE(C79, ""price"") / INDEX(GOOGLEFINANCE(C79, ""price"", EDATE(TODAY(), -6), TODAY()), 2, 2)) - 1, """")"),"")</f>
        <v/>
      </c>
      <c r="P79" s="21" t="str">
        <f>IFERROR(__xludf.DUMMYFUNCTION("IFERROR((GOOGLEFINANCE(C79, ""price"") / INDEX(GOOGLEFINANCE(C79, ""price"", EDATE(TODAY(), -12), TODAY()), 2, 2)) - 1, """")"),"")</f>
        <v/>
      </c>
      <c r="Q79" s="6" t="str">
        <f>IFERROR(__xludf.DUMMYFUNCTION("AVERAGE(QUERY(GOOGLEFINANCE(C79, ""price"", TODAY()-80, TODAY()), ""SELECT Col2 WHERE Col2 IS NOT NULL ORDER BY Col1 DESC LIMIT 50"", 0))"),"#N/A")</f>
        <v>#N/A</v>
      </c>
      <c r="R79" s="24" t="str">
        <f>IFERROR(__xludf.DUMMYFUNCTION("IFERROR(
  LET(
    data, QUERY(GOOGLEFINANCE(C79,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GOOGLEFINANCE(C79, ""price"")) * 100,
    IF(calc=0, G79, calc)
  ), 
G79)"),"#N/A")</f>
        <v>#N/A</v>
      </c>
      <c r="S79" s="8" t="s">
        <v>15</v>
      </c>
      <c r="T79" s="26" t="str">
        <f>IFERROR(__xludf.DUMMYFUNCTION("IFERROR(TRANSPOSE(QUERY(IFERROR(SORT(GOOGLEFINANCE(C79, ""price"", WORKDAY(TODAY(), -40), TODAY()), 1, FALSE)), ""select Col2 where Col2 is not null limit 22 label Col2 ''"", 0)), """")"),"")</f>
        <v/>
      </c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8"/>
      <c r="AO79" s="28"/>
      <c r="AP79" s="29"/>
      <c r="AQ79" s="29" t="str">
        <f t="shared" ref="AQ79:BL79" si="82">T79/T$2</f>
        <v>#N/A</v>
      </c>
      <c r="AR79" s="29" t="str">
        <f t="shared" si="82"/>
        <v>#DIV/0!</v>
      </c>
      <c r="AS79" s="29" t="str">
        <f t="shared" si="82"/>
        <v>#DIV/0!</v>
      </c>
      <c r="AT79" s="29" t="str">
        <f t="shared" si="82"/>
        <v>#DIV/0!</v>
      </c>
      <c r="AU79" s="29" t="str">
        <f t="shared" si="82"/>
        <v>#DIV/0!</v>
      </c>
      <c r="AV79" s="29" t="str">
        <f t="shared" si="82"/>
        <v>#DIV/0!</v>
      </c>
      <c r="AW79" s="29" t="str">
        <f t="shared" si="82"/>
        <v>#DIV/0!</v>
      </c>
      <c r="AX79" s="29" t="str">
        <f t="shared" si="82"/>
        <v>#DIV/0!</v>
      </c>
      <c r="AY79" s="29" t="str">
        <f t="shared" si="82"/>
        <v>#DIV/0!</v>
      </c>
      <c r="AZ79" s="29" t="str">
        <f t="shared" si="82"/>
        <v>#DIV/0!</v>
      </c>
      <c r="BA79" s="29" t="str">
        <f t="shared" si="82"/>
        <v>#DIV/0!</v>
      </c>
      <c r="BB79" s="29" t="str">
        <f t="shared" si="82"/>
        <v>#DIV/0!</v>
      </c>
      <c r="BC79" s="29" t="str">
        <f t="shared" si="82"/>
        <v>#DIV/0!</v>
      </c>
      <c r="BD79" s="29" t="str">
        <f t="shared" si="82"/>
        <v>#DIV/0!</v>
      </c>
      <c r="BE79" s="29" t="str">
        <f t="shared" si="82"/>
        <v>#DIV/0!</v>
      </c>
      <c r="BF79" s="29" t="str">
        <f t="shared" si="82"/>
        <v>#DIV/0!</v>
      </c>
      <c r="BG79" s="29" t="str">
        <f t="shared" si="82"/>
        <v>#DIV/0!</v>
      </c>
      <c r="BH79" s="29" t="str">
        <f t="shared" si="82"/>
        <v>#DIV/0!</v>
      </c>
      <c r="BI79" s="29" t="str">
        <f t="shared" si="82"/>
        <v>#DIV/0!</v>
      </c>
      <c r="BJ79" s="29" t="str">
        <f t="shared" si="82"/>
        <v>#DIV/0!</v>
      </c>
      <c r="BK79" s="29" t="str">
        <f t="shared" si="82"/>
        <v>#DIV/0!</v>
      </c>
      <c r="BL79" s="29" t="str">
        <f t="shared" si="82"/>
        <v>#DIV/0!</v>
      </c>
      <c r="BM79" s="29" t="str">
        <f t="shared" si="3"/>
        <v>#DIV/0!</v>
      </c>
    </row>
    <row r="80">
      <c r="A80" s="16" t="str">
        <f>IFERROR(__xludf.DUMMYFUNCTION("IFERROR(SPARKLINE(SORT(MAP(TRANSPOSE(AQ80:BL80), LAMBDA(val, IF(ISNUMBER(val), PERCENTRANK(AQ80:BL80, val)+0.01, 0))), SEQUENCE(COLUMNS(AQ80:BL80)), FALSE), {""charttype"",""column""; ""color"",""chartreuse""; ""ymin"", 0; ""ymax"", 1.01; ""highcolor"", "&amp;"""darkgreen""; ""lowcolor"", ""red""}), """")"),"")</f>
        <v/>
      </c>
      <c r="B80" s="17" t="str">
        <f t="shared" si="4"/>
        <v/>
      </c>
      <c r="C80" s="1" t="s">
        <v>1118</v>
      </c>
      <c r="D80" s="30" t="str">
        <f>IFERROR(__xludf.DUMMYFUNCTION("IFERROR(GOOGLEFINANCE(C80, ""NAME""))"),"Blacksky Technology Inc")</f>
        <v>Blacksky Technology Inc</v>
      </c>
      <c r="E80" s="30" t="s">
        <v>916</v>
      </c>
      <c r="F80" s="33" t="str">
        <f>IFERROR(__xludf.DUMMYFUNCTION("( (GOOGLEFINANCE(C80, ""price"") - Q80) / Q80 ) / (R80 / 100)"),"Loading...")</f>
        <v>Loading...</v>
      </c>
      <c r="G80" s="20" t="str">
        <f>IFERROR(__xludf.DUMMYFUNCTION("AVERAGE(ARRAYFORMULA(100 * (QUERY(GOOGLEFINANCE(C80, ""high"", TODAY()-40, TODAY()), ""SELECT Col2 WHERE Col2 IS NOT NULL ORDER BY Col1 DESC LIMIT 20"", 0) / QUERY(GOOGLEFINANCE(C80, ""low"", TODAY()-40, TODAY()), ""SELECT Col2 WHERE Col2 IS NOT NULL ORDE"&amp;"R BY Col1 DESC LIMIT 20"", 0) - 1)))"),"#N/A")</f>
        <v>#N/A</v>
      </c>
      <c r="H80" s="35" t="str">
        <f t="shared" si="6"/>
        <v/>
      </c>
      <c r="I80" s="35" t="str">
        <f t="shared" si="7"/>
        <v/>
      </c>
      <c r="J80" s="37" t="str">
        <f>IFERROR(__xludf.DUMMYFUNCTION("IFERROR(
  IF(C80="""",, 
    IFERROR(
      GOOGLEFINANCE(C80, ""price"") * GOOGLEFINANCE(C80, ""volumeavg""), 
      GOOGLEFINANCE(C80, ""price"") * AVERAGE(QUERY(GOOGLEFINANCE(C80, ""volume"", TODAY()-40, TODAY()), ""SELECT Col2 WHERE Col2 IS NOT NULL "&amp;"ORDER BY Col1 DESC LIMIT 20"", 0))
    )
  ), 
"""")"),"")</f>
        <v/>
      </c>
      <c r="K80" s="21" t="str">
        <f>IFERROR(__xludf.DUMMYFUNCTION("IFERROR(GOOGLEFINANCE(C80, ""changepct"") / 100, """")"),"")</f>
        <v/>
      </c>
      <c r="L80" s="21" t="str">
        <f>IFERROR(__xludf.DUMMYFUNCTION("IFERROR((GOOGLEFINANCE(C80, ""price"") / INDEX(GOOGLEFINANCE(C80, ""price"", TODAY()-7, TODAY()), 2, 2)) - 1, """")"),"")</f>
        <v/>
      </c>
      <c r="M80" s="21" t="str">
        <f>IFERROR(__xludf.DUMMYFUNCTION("IFERROR((GOOGLEFINANCE(C80, ""price"") / INDEX(GOOGLEFINANCE(C80, ""price"", EDATE(TODAY(), -1), TODAY()), 2, 2)) - 1, """")"),"")</f>
        <v/>
      </c>
      <c r="N80" s="21" t="str">
        <f>IFERROR(__xludf.DUMMYFUNCTION("IFERROR((GOOGLEFINANCE(C80, ""price"") / INDEX(GOOGLEFINANCE(C80, ""price"", EDATE(TODAY(), -3), TODAY()), 2, 2)) - 1, """")"),"")</f>
        <v/>
      </c>
      <c r="O80" s="21" t="str">
        <f>IFERROR(__xludf.DUMMYFUNCTION("IFERROR((GOOGLEFINANCE(C80, ""price"") / INDEX(GOOGLEFINANCE(C80, ""price"", EDATE(TODAY(), -6), TODAY()), 2, 2)) - 1, """")"),"")</f>
        <v/>
      </c>
      <c r="P80" s="21" t="str">
        <f>IFERROR(__xludf.DUMMYFUNCTION("IFERROR((GOOGLEFINANCE(C80, ""price"") / INDEX(GOOGLEFINANCE(C80, ""price"", EDATE(TODAY(), -12), TODAY()), 2, 2)) - 1, """")"),"")</f>
        <v/>
      </c>
      <c r="Q80" s="6" t="str">
        <f>IFERROR(__xludf.DUMMYFUNCTION("AVERAGE(QUERY(GOOGLEFINANCE(C80, ""price"", TODAY()-80, TODAY()), ""SELECT Col2 WHERE Col2 IS NOT NULL ORDER BY Col1 DESC LIMIT 50"", 0))"),"#N/A")</f>
        <v>#N/A</v>
      </c>
      <c r="R80" s="24" t="str">
        <f>IFERROR(__xludf.DUMMYFUNCTION("IFERROR(
  LET(
    data, QUERY(GOOGLEFINANCE(C80,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GOOGLEFINANCE(C80, ""price"")) * 100,
    IF(calc=0, G80, calc)
  ), 
G80)"),"#N/A")</f>
        <v>#N/A</v>
      </c>
      <c r="S80" s="8" t="s">
        <v>15</v>
      </c>
      <c r="T80" s="26" t="str">
        <f>IFERROR(__xludf.DUMMYFUNCTION("IFERROR(TRANSPOSE(QUERY(IFERROR(SORT(GOOGLEFINANCE(C80, ""price"", WORKDAY(TODAY(), -40), TODAY()), 1, FALSE)), ""select Col2 where Col2 is not null limit 22 label Col2 ''"", 0)), """")"),"")</f>
        <v/>
      </c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8"/>
      <c r="AO80" s="28"/>
      <c r="AP80" s="29"/>
      <c r="AQ80" s="29" t="str">
        <f t="shared" ref="AQ80:BL80" si="83">T80/T$2</f>
        <v>#N/A</v>
      </c>
      <c r="AR80" s="29" t="str">
        <f t="shared" si="83"/>
        <v>#DIV/0!</v>
      </c>
      <c r="AS80" s="29" t="str">
        <f t="shared" si="83"/>
        <v>#DIV/0!</v>
      </c>
      <c r="AT80" s="29" t="str">
        <f t="shared" si="83"/>
        <v>#DIV/0!</v>
      </c>
      <c r="AU80" s="29" t="str">
        <f t="shared" si="83"/>
        <v>#DIV/0!</v>
      </c>
      <c r="AV80" s="29" t="str">
        <f t="shared" si="83"/>
        <v>#DIV/0!</v>
      </c>
      <c r="AW80" s="29" t="str">
        <f t="shared" si="83"/>
        <v>#DIV/0!</v>
      </c>
      <c r="AX80" s="29" t="str">
        <f t="shared" si="83"/>
        <v>#DIV/0!</v>
      </c>
      <c r="AY80" s="29" t="str">
        <f t="shared" si="83"/>
        <v>#DIV/0!</v>
      </c>
      <c r="AZ80" s="29" t="str">
        <f t="shared" si="83"/>
        <v>#DIV/0!</v>
      </c>
      <c r="BA80" s="29" t="str">
        <f t="shared" si="83"/>
        <v>#DIV/0!</v>
      </c>
      <c r="BB80" s="29" t="str">
        <f t="shared" si="83"/>
        <v>#DIV/0!</v>
      </c>
      <c r="BC80" s="29" t="str">
        <f t="shared" si="83"/>
        <v>#DIV/0!</v>
      </c>
      <c r="BD80" s="29" t="str">
        <f t="shared" si="83"/>
        <v>#DIV/0!</v>
      </c>
      <c r="BE80" s="29" t="str">
        <f t="shared" si="83"/>
        <v>#DIV/0!</v>
      </c>
      <c r="BF80" s="29" t="str">
        <f t="shared" si="83"/>
        <v>#DIV/0!</v>
      </c>
      <c r="BG80" s="29" t="str">
        <f t="shared" si="83"/>
        <v>#DIV/0!</v>
      </c>
      <c r="BH80" s="29" t="str">
        <f t="shared" si="83"/>
        <v>#DIV/0!</v>
      </c>
      <c r="BI80" s="29" t="str">
        <f t="shared" si="83"/>
        <v>#DIV/0!</v>
      </c>
      <c r="BJ80" s="29" t="str">
        <f t="shared" si="83"/>
        <v>#DIV/0!</v>
      </c>
      <c r="BK80" s="29" t="str">
        <f t="shared" si="83"/>
        <v>#DIV/0!</v>
      </c>
      <c r="BL80" s="29" t="str">
        <f t="shared" si="83"/>
        <v>#DIV/0!</v>
      </c>
      <c r="BM80" s="29" t="str">
        <f t="shared" si="3"/>
        <v>#DIV/0!</v>
      </c>
    </row>
    <row r="81">
      <c r="A81" s="16" t="str">
        <f>IFERROR(__xludf.DUMMYFUNCTION("IFERROR(SPARKLINE(SORT(MAP(TRANSPOSE(AQ81:BL81), LAMBDA(val, IF(ISNUMBER(val), PERCENTRANK(AQ81:BL81, val)+0.01, 0))), SEQUENCE(COLUMNS(AQ81:BL81)), FALSE), {""charttype"",""column""; ""color"",""chartreuse""; ""ymin"", 0; ""ymax"", 1.01; ""highcolor"", "&amp;"""darkgreen""; ""lowcolor"", ""red""}), """")"),"")</f>
        <v/>
      </c>
      <c r="B81" s="17" t="str">
        <f t="shared" si="4"/>
        <v/>
      </c>
      <c r="C81" s="1" t="s">
        <v>1123</v>
      </c>
      <c r="D81" s="30" t="str">
        <f>IFERROR(__xludf.DUMMYFUNCTION("IFERROR(GOOGLEFINANCE(C81, ""NAME""))"),"Okeanis Eco Tankers Corp")</f>
        <v>Okeanis Eco Tankers Corp</v>
      </c>
      <c r="E81" s="30" t="s">
        <v>834</v>
      </c>
      <c r="F81" s="33" t="str">
        <f>IFERROR(__xludf.DUMMYFUNCTION("( (GOOGLEFINANCE(C81, ""price"") - Q81) / Q81 ) / (R81 / 100)"),"Loading...")</f>
        <v>Loading...</v>
      </c>
      <c r="G81" s="20" t="str">
        <f>IFERROR(__xludf.DUMMYFUNCTION("AVERAGE(ARRAYFORMULA(100 * (QUERY(GOOGLEFINANCE(C81, ""high"", TODAY()-40, TODAY()), ""SELECT Col2 WHERE Col2 IS NOT NULL ORDER BY Col1 DESC LIMIT 20"", 0) / QUERY(GOOGLEFINANCE(C81, ""low"", TODAY()-40, TODAY()), ""SELECT Col2 WHERE Col2 IS NOT NULL ORDE"&amp;"R BY Col1 DESC LIMIT 20"", 0) - 1)))"),"#N/A")</f>
        <v>#N/A</v>
      </c>
      <c r="H81" s="35" t="str">
        <f t="shared" si="6"/>
        <v/>
      </c>
      <c r="I81" s="35" t="str">
        <f t="shared" si="7"/>
        <v/>
      </c>
      <c r="J81" s="37" t="str">
        <f>IFERROR(__xludf.DUMMYFUNCTION("IFERROR(
  IF(C81="""",, 
    IFERROR(
      GOOGLEFINANCE(C81, ""price"") * GOOGLEFINANCE(C81, ""volumeavg""), 
      GOOGLEFINANCE(C81, ""price"") * AVERAGE(QUERY(GOOGLEFINANCE(C81, ""volume"", TODAY()-40, TODAY()), ""SELECT Col2 WHERE Col2 IS NOT NULL "&amp;"ORDER BY Col1 DESC LIMIT 20"", 0))
    )
  ), 
"""")"),"")</f>
        <v/>
      </c>
      <c r="K81" s="21" t="str">
        <f>IFERROR(__xludf.DUMMYFUNCTION("IFERROR(GOOGLEFINANCE(C81, ""changepct"") / 100, """")"),"")</f>
        <v/>
      </c>
      <c r="L81" s="21" t="str">
        <f>IFERROR(__xludf.DUMMYFUNCTION("IFERROR((GOOGLEFINANCE(C81, ""price"") / INDEX(GOOGLEFINANCE(C81, ""price"", TODAY()-7, TODAY()), 2, 2)) - 1, """")"),"")</f>
        <v/>
      </c>
      <c r="M81" s="21" t="str">
        <f>IFERROR(__xludf.DUMMYFUNCTION("IFERROR((GOOGLEFINANCE(C81, ""price"") / INDEX(GOOGLEFINANCE(C81, ""price"", EDATE(TODAY(), -1), TODAY()), 2, 2)) - 1, """")"),"")</f>
        <v/>
      </c>
      <c r="N81" s="21" t="str">
        <f>IFERROR(__xludf.DUMMYFUNCTION("IFERROR((GOOGLEFINANCE(C81, ""price"") / INDEX(GOOGLEFINANCE(C81, ""price"", EDATE(TODAY(), -3), TODAY()), 2, 2)) - 1, """")"),"")</f>
        <v/>
      </c>
      <c r="O81" s="21" t="str">
        <f>IFERROR(__xludf.DUMMYFUNCTION("IFERROR((GOOGLEFINANCE(C81, ""price"") / INDEX(GOOGLEFINANCE(C81, ""price"", EDATE(TODAY(), -6), TODAY()), 2, 2)) - 1, """")"),"")</f>
        <v/>
      </c>
      <c r="P81" s="21" t="str">
        <f>IFERROR(__xludf.DUMMYFUNCTION("IFERROR((GOOGLEFINANCE(C81, ""price"") / INDEX(GOOGLEFINANCE(C81, ""price"", EDATE(TODAY(), -12), TODAY()), 2, 2)) - 1, """")"),"")</f>
        <v/>
      </c>
      <c r="Q81" s="6" t="str">
        <f>IFERROR(__xludf.DUMMYFUNCTION("AVERAGE(QUERY(GOOGLEFINANCE(C81, ""price"", TODAY()-80, TODAY()), ""SELECT Col2 WHERE Col2 IS NOT NULL ORDER BY Col1 DESC LIMIT 50"", 0))"),"#N/A")</f>
        <v>#N/A</v>
      </c>
      <c r="R81" s="24" t="str">
        <f>IFERROR(__xludf.DUMMYFUNCTION("IFERROR(
  LET(
    data, QUERY(GOOGLEFINANCE(C81,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GOOGLEFINANCE(C81, ""price"")) * 100,
    IF(calc=0, G81, calc)
  ), 
G81)"),"#N/A")</f>
        <v>#N/A</v>
      </c>
      <c r="S81" s="8" t="s">
        <v>15</v>
      </c>
      <c r="T81" s="26" t="str">
        <f>IFERROR(__xludf.DUMMYFUNCTION("IFERROR(TRANSPOSE(QUERY(IFERROR(SORT(GOOGLEFINANCE(C81, ""price"", WORKDAY(TODAY(), -40), TODAY()), 1, FALSE)), ""select Col2 where Col2 is not null limit 22 label Col2 ''"", 0)), """")"),"")</f>
        <v/>
      </c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8"/>
      <c r="AO81" s="28"/>
      <c r="AP81" s="29"/>
      <c r="AQ81" s="29" t="str">
        <f t="shared" ref="AQ81:BL81" si="84">T81/T$2</f>
        <v>#N/A</v>
      </c>
      <c r="AR81" s="29" t="str">
        <f t="shared" si="84"/>
        <v>#DIV/0!</v>
      </c>
      <c r="AS81" s="29" t="str">
        <f t="shared" si="84"/>
        <v>#DIV/0!</v>
      </c>
      <c r="AT81" s="29" t="str">
        <f t="shared" si="84"/>
        <v>#DIV/0!</v>
      </c>
      <c r="AU81" s="29" t="str">
        <f t="shared" si="84"/>
        <v>#DIV/0!</v>
      </c>
      <c r="AV81" s="29" t="str">
        <f t="shared" si="84"/>
        <v>#DIV/0!</v>
      </c>
      <c r="AW81" s="29" t="str">
        <f t="shared" si="84"/>
        <v>#DIV/0!</v>
      </c>
      <c r="AX81" s="29" t="str">
        <f t="shared" si="84"/>
        <v>#DIV/0!</v>
      </c>
      <c r="AY81" s="29" t="str">
        <f t="shared" si="84"/>
        <v>#DIV/0!</v>
      </c>
      <c r="AZ81" s="29" t="str">
        <f t="shared" si="84"/>
        <v>#DIV/0!</v>
      </c>
      <c r="BA81" s="29" t="str">
        <f t="shared" si="84"/>
        <v>#DIV/0!</v>
      </c>
      <c r="BB81" s="29" t="str">
        <f t="shared" si="84"/>
        <v>#DIV/0!</v>
      </c>
      <c r="BC81" s="29" t="str">
        <f t="shared" si="84"/>
        <v>#DIV/0!</v>
      </c>
      <c r="BD81" s="29" t="str">
        <f t="shared" si="84"/>
        <v>#DIV/0!</v>
      </c>
      <c r="BE81" s="29" t="str">
        <f t="shared" si="84"/>
        <v>#DIV/0!</v>
      </c>
      <c r="BF81" s="29" t="str">
        <f t="shared" si="84"/>
        <v>#DIV/0!</v>
      </c>
      <c r="BG81" s="29" t="str">
        <f t="shared" si="84"/>
        <v>#DIV/0!</v>
      </c>
      <c r="BH81" s="29" t="str">
        <f t="shared" si="84"/>
        <v>#DIV/0!</v>
      </c>
      <c r="BI81" s="29" t="str">
        <f t="shared" si="84"/>
        <v>#DIV/0!</v>
      </c>
      <c r="BJ81" s="29" t="str">
        <f t="shared" si="84"/>
        <v>#DIV/0!</v>
      </c>
      <c r="BK81" s="29" t="str">
        <f t="shared" si="84"/>
        <v>#DIV/0!</v>
      </c>
      <c r="BL81" s="29" t="str">
        <f t="shared" si="84"/>
        <v>#DIV/0!</v>
      </c>
      <c r="BM81" s="29" t="str">
        <f t="shared" si="3"/>
        <v>#DIV/0!</v>
      </c>
    </row>
    <row r="82">
      <c r="A82" s="16" t="str">
        <f>IFERROR(__xludf.DUMMYFUNCTION("IFERROR(SPARKLINE(SORT(MAP(TRANSPOSE(AQ82:BL82), LAMBDA(val, IF(ISNUMBER(val), PERCENTRANK(AQ82:BL82, val)+0.01, 0))), SEQUENCE(COLUMNS(AQ82:BL82)), FALSE), {""charttype"",""column""; ""color"",""chartreuse""; ""ymin"", 0; ""ymax"", 1.01; ""highcolor"", "&amp;"""darkgreen""; ""lowcolor"", ""red""}), """")"),"")</f>
        <v/>
      </c>
      <c r="B82" s="17" t="str">
        <f t="shared" si="4"/>
        <v/>
      </c>
      <c r="C82" s="1" t="s">
        <v>1125</v>
      </c>
      <c r="D82" s="30" t="str">
        <f>IFERROR(__xludf.DUMMYFUNCTION("IFERROR(GOOGLEFINANCE(C82, ""NAME""))"),"AZZ Inc")</f>
        <v>AZZ Inc</v>
      </c>
      <c r="E82" s="30" t="s">
        <v>916</v>
      </c>
      <c r="F82" s="38" t="str">
        <f>IFERROR(__xludf.DUMMYFUNCTION("( (GOOGLEFINANCE(C82, ""price"") - Q82) / Q82 ) / (R82 / 100)"),"Loading...")</f>
        <v>Loading...</v>
      </c>
      <c r="G82" s="20" t="str">
        <f>IFERROR(__xludf.DUMMYFUNCTION("AVERAGE(ARRAYFORMULA(100 * (QUERY(GOOGLEFINANCE(C82, ""high"", TODAY()-40, TODAY()), ""SELECT Col2 WHERE Col2 IS NOT NULL ORDER BY Col1 DESC LIMIT 20"", 0) / QUERY(GOOGLEFINANCE(C82, ""low"", TODAY()-40, TODAY()), ""SELECT Col2 WHERE Col2 IS NOT NULL ORDE"&amp;"R BY Col1 DESC LIMIT 20"", 0) - 1)))"),"#N/A")</f>
        <v>#N/A</v>
      </c>
      <c r="H82" s="35" t="str">
        <f t="shared" si="6"/>
        <v/>
      </c>
      <c r="I82" s="35" t="str">
        <f t="shared" si="7"/>
        <v/>
      </c>
      <c r="J82" s="37" t="str">
        <f>IFERROR(__xludf.DUMMYFUNCTION("IFERROR(
  IF(C82="""",, 
    IFERROR(
      GOOGLEFINANCE(C82, ""price"") * GOOGLEFINANCE(C82, ""volumeavg""), 
      GOOGLEFINANCE(C82, ""price"") * AVERAGE(QUERY(GOOGLEFINANCE(C82, ""volume"", TODAY()-40, TODAY()), ""SELECT Col2 WHERE Col2 IS NOT NULL "&amp;"ORDER BY Col1 DESC LIMIT 20"", 0))
    )
  ), 
"""")"),"")</f>
        <v/>
      </c>
      <c r="K82" s="21" t="str">
        <f>IFERROR(__xludf.DUMMYFUNCTION("IFERROR(GOOGLEFINANCE(C82, ""changepct"") / 100, """")"),"")</f>
        <v/>
      </c>
      <c r="L82" s="21" t="str">
        <f>IFERROR(__xludf.DUMMYFUNCTION("IFERROR((GOOGLEFINANCE(C82, ""price"") / INDEX(GOOGLEFINANCE(C82, ""price"", TODAY()-7, TODAY()), 2, 2)) - 1, """")"),"")</f>
        <v/>
      </c>
      <c r="M82" s="21" t="str">
        <f>IFERROR(__xludf.DUMMYFUNCTION("IFERROR((GOOGLEFINANCE(C82, ""price"") / INDEX(GOOGLEFINANCE(C82, ""price"", EDATE(TODAY(), -1), TODAY()), 2, 2)) - 1, """")"),"")</f>
        <v/>
      </c>
      <c r="N82" s="21" t="str">
        <f>IFERROR(__xludf.DUMMYFUNCTION("IFERROR((GOOGLEFINANCE(C82, ""price"") / INDEX(GOOGLEFINANCE(C82, ""price"", EDATE(TODAY(), -3), TODAY()), 2, 2)) - 1, """")"),"")</f>
        <v/>
      </c>
      <c r="O82" s="21" t="str">
        <f>IFERROR(__xludf.DUMMYFUNCTION("IFERROR((GOOGLEFINANCE(C82, ""price"") / INDEX(GOOGLEFINANCE(C82, ""price"", EDATE(TODAY(), -6), TODAY()), 2, 2)) - 1, """")"),"")</f>
        <v/>
      </c>
      <c r="P82" s="21" t="str">
        <f>IFERROR(__xludf.DUMMYFUNCTION("IFERROR((GOOGLEFINANCE(C82, ""price"") / INDEX(GOOGLEFINANCE(C82, ""price"", EDATE(TODAY(), -12), TODAY()), 2, 2)) - 1, """")"),"")</f>
        <v/>
      </c>
      <c r="Q82" s="6" t="str">
        <f>IFERROR(__xludf.DUMMYFUNCTION("AVERAGE(QUERY(GOOGLEFINANCE(C82, ""price"", TODAY()-80, TODAY()), ""SELECT Col2 WHERE Col2 IS NOT NULL ORDER BY Col1 DESC LIMIT 50"", 0))"),"#N/A")</f>
        <v>#N/A</v>
      </c>
      <c r="R82" s="24" t="str">
        <f>IFERROR(__xludf.DUMMYFUNCTION("IFERROR(
  LET(
    data, QUERY(GOOGLEFINANCE(C82,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GOOGLEFINANCE(C82, ""price"")) * 100,
    IF(calc=0, G82, calc)
  ), 
G82)"),"#N/A")</f>
        <v>#N/A</v>
      </c>
      <c r="S82" s="8" t="s">
        <v>15</v>
      </c>
      <c r="T82" s="26" t="str">
        <f>IFERROR(__xludf.DUMMYFUNCTION("IFERROR(TRANSPOSE(QUERY(IFERROR(SORT(GOOGLEFINANCE(C82, ""price"", WORKDAY(TODAY(), -40), TODAY()), 1, FALSE)), ""select Col2 where Col2 is not null limit 22 label Col2 ''"", 0)), """")"),"")</f>
        <v/>
      </c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8"/>
      <c r="AO82" s="28"/>
      <c r="AP82" s="29"/>
      <c r="AQ82" s="29" t="str">
        <f t="shared" ref="AQ82:BL82" si="85">T82/T$2</f>
        <v>#N/A</v>
      </c>
      <c r="AR82" s="29" t="str">
        <f t="shared" si="85"/>
        <v>#DIV/0!</v>
      </c>
      <c r="AS82" s="29" t="str">
        <f t="shared" si="85"/>
        <v>#DIV/0!</v>
      </c>
      <c r="AT82" s="29" t="str">
        <f t="shared" si="85"/>
        <v>#DIV/0!</v>
      </c>
      <c r="AU82" s="29" t="str">
        <f t="shared" si="85"/>
        <v>#DIV/0!</v>
      </c>
      <c r="AV82" s="29" t="str">
        <f t="shared" si="85"/>
        <v>#DIV/0!</v>
      </c>
      <c r="AW82" s="29" t="str">
        <f t="shared" si="85"/>
        <v>#DIV/0!</v>
      </c>
      <c r="AX82" s="29" t="str">
        <f t="shared" si="85"/>
        <v>#DIV/0!</v>
      </c>
      <c r="AY82" s="29" t="str">
        <f t="shared" si="85"/>
        <v>#DIV/0!</v>
      </c>
      <c r="AZ82" s="29" t="str">
        <f t="shared" si="85"/>
        <v>#DIV/0!</v>
      </c>
      <c r="BA82" s="29" t="str">
        <f t="shared" si="85"/>
        <v>#DIV/0!</v>
      </c>
      <c r="BB82" s="29" t="str">
        <f t="shared" si="85"/>
        <v>#DIV/0!</v>
      </c>
      <c r="BC82" s="29" t="str">
        <f t="shared" si="85"/>
        <v>#DIV/0!</v>
      </c>
      <c r="BD82" s="29" t="str">
        <f t="shared" si="85"/>
        <v>#DIV/0!</v>
      </c>
      <c r="BE82" s="29" t="str">
        <f t="shared" si="85"/>
        <v>#DIV/0!</v>
      </c>
      <c r="BF82" s="29" t="str">
        <f t="shared" si="85"/>
        <v>#DIV/0!</v>
      </c>
      <c r="BG82" s="29" t="str">
        <f t="shared" si="85"/>
        <v>#DIV/0!</v>
      </c>
      <c r="BH82" s="29" t="str">
        <f t="shared" si="85"/>
        <v>#DIV/0!</v>
      </c>
      <c r="BI82" s="29" t="str">
        <f t="shared" si="85"/>
        <v>#DIV/0!</v>
      </c>
      <c r="BJ82" s="29" t="str">
        <f t="shared" si="85"/>
        <v>#DIV/0!</v>
      </c>
      <c r="BK82" s="29" t="str">
        <f t="shared" si="85"/>
        <v>#DIV/0!</v>
      </c>
      <c r="BL82" s="29" t="str">
        <f t="shared" si="85"/>
        <v>#DIV/0!</v>
      </c>
      <c r="BM82" s="29" t="str">
        <f t="shared" si="3"/>
        <v>#DIV/0!</v>
      </c>
    </row>
    <row r="83">
      <c r="A83" s="16" t="str">
        <f>IFERROR(__xludf.DUMMYFUNCTION("IFERROR(SPARKLINE(SORT(MAP(TRANSPOSE(AQ83:BL83), LAMBDA(val, IF(ISNUMBER(val), PERCENTRANK(AQ83:BL83, val)+0.01, 0))), SEQUENCE(COLUMNS(AQ83:BL83)), FALSE), {""charttype"",""column""; ""color"",""chartreuse""; ""ymin"", 0; ""ymax"", 1.01; ""highcolor"", "&amp;"""darkgreen""; ""lowcolor"", ""red""}), """")"),"")</f>
        <v/>
      </c>
      <c r="B83" s="17" t="str">
        <f t="shared" si="4"/>
        <v/>
      </c>
      <c r="C83" s="1" t="s">
        <v>1130</v>
      </c>
      <c r="D83" s="30" t="str">
        <f>IFERROR(__xludf.DUMMYFUNCTION("IFERROR(GOOGLEFINANCE(C83, ""NAME""))"),"Graham Corp")</f>
        <v>Graham Corp</v>
      </c>
      <c r="E83" s="30" t="s">
        <v>893</v>
      </c>
      <c r="F83" s="33" t="str">
        <f>IFERROR(__xludf.DUMMYFUNCTION("( (GOOGLEFINANCE(C83, ""price"") - Q83) / Q83 ) / (R83 / 100)"),"Loading...")</f>
        <v>Loading...</v>
      </c>
      <c r="G83" s="20" t="str">
        <f>IFERROR(__xludf.DUMMYFUNCTION("AVERAGE(ARRAYFORMULA(100 * (QUERY(GOOGLEFINANCE(C83, ""high"", TODAY()-40, TODAY()), ""SELECT Col2 WHERE Col2 IS NOT NULL ORDER BY Col1 DESC LIMIT 20"", 0) / QUERY(GOOGLEFINANCE(C83, ""low"", TODAY()-40, TODAY()), ""SELECT Col2 WHERE Col2 IS NOT NULL ORDE"&amp;"R BY Col1 DESC LIMIT 20"", 0) - 1)))"),"#N/A")</f>
        <v>#N/A</v>
      </c>
      <c r="H83" s="35" t="str">
        <f t="shared" si="6"/>
        <v/>
      </c>
      <c r="I83" s="35" t="str">
        <f t="shared" si="7"/>
        <v/>
      </c>
      <c r="J83" s="37" t="str">
        <f>IFERROR(__xludf.DUMMYFUNCTION("IFERROR(
  IF(C83="""",, 
    IFERROR(
      GOOGLEFINANCE(C83, ""price"") * GOOGLEFINANCE(C83, ""volumeavg""), 
      GOOGLEFINANCE(C83, ""price"") * AVERAGE(QUERY(GOOGLEFINANCE(C83, ""volume"", TODAY()-40, TODAY()), ""SELECT Col2 WHERE Col2 IS NOT NULL "&amp;"ORDER BY Col1 DESC LIMIT 20"", 0))
    )
  ), 
"""")"),"")</f>
        <v/>
      </c>
      <c r="K83" s="21" t="str">
        <f>IFERROR(__xludf.DUMMYFUNCTION("IFERROR(GOOGLEFINANCE(C83, ""changepct"") / 100, """")"),"")</f>
        <v/>
      </c>
      <c r="L83" s="21" t="str">
        <f>IFERROR(__xludf.DUMMYFUNCTION("IFERROR((GOOGLEFINANCE(C83, ""price"") / INDEX(GOOGLEFINANCE(C83, ""price"", TODAY()-7, TODAY()), 2, 2)) - 1, """")"),"")</f>
        <v/>
      </c>
      <c r="M83" s="21" t="str">
        <f>IFERROR(__xludf.DUMMYFUNCTION("IFERROR((GOOGLEFINANCE(C83, ""price"") / INDEX(GOOGLEFINANCE(C83, ""price"", EDATE(TODAY(), -1), TODAY()), 2, 2)) - 1, """")"),"")</f>
        <v/>
      </c>
      <c r="N83" s="21" t="str">
        <f>IFERROR(__xludf.DUMMYFUNCTION("IFERROR((GOOGLEFINANCE(C83, ""price"") / INDEX(GOOGLEFINANCE(C83, ""price"", EDATE(TODAY(), -3), TODAY()), 2, 2)) - 1, """")"),"")</f>
        <v/>
      </c>
      <c r="O83" s="21" t="str">
        <f>IFERROR(__xludf.DUMMYFUNCTION("IFERROR((GOOGLEFINANCE(C83, ""price"") / INDEX(GOOGLEFINANCE(C83, ""price"", EDATE(TODAY(), -6), TODAY()), 2, 2)) - 1, """")"),"")</f>
        <v/>
      </c>
      <c r="P83" s="21" t="str">
        <f>IFERROR(__xludf.DUMMYFUNCTION("IFERROR((GOOGLEFINANCE(C83, ""price"") / INDEX(GOOGLEFINANCE(C83, ""price"", EDATE(TODAY(), -12), TODAY()), 2, 2)) - 1, """")"),"")</f>
        <v/>
      </c>
      <c r="Q83" s="6" t="str">
        <f>IFERROR(__xludf.DUMMYFUNCTION("AVERAGE(QUERY(GOOGLEFINANCE(C83, ""price"", TODAY()-80, TODAY()), ""SELECT Col2 WHERE Col2 IS NOT NULL ORDER BY Col1 DESC LIMIT 50"", 0))"),"#N/A")</f>
        <v>#N/A</v>
      </c>
      <c r="R83" s="24" t="str">
        <f>IFERROR(__xludf.DUMMYFUNCTION("IFERROR(
  LET(
    data, QUERY(GOOGLEFINANCE(C83,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GOOGLEFINANCE(C83, ""price"")) * 100,
    IF(calc=0, G83, calc)
  ), 
G83)"),"#N/A")</f>
        <v>#N/A</v>
      </c>
      <c r="S83" s="8" t="s">
        <v>15</v>
      </c>
      <c r="T83" s="26" t="str">
        <f>IFERROR(__xludf.DUMMYFUNCTION("IFERROR(TRANSPOSE(QUERY(IFERROR(SORT(GOOGLEFINANCE(C83, ""price"", WORKDAY(TODAY(), -40), TODAY()), 1, FALSE)), ""select Col2 where Col2 is not null limit 22 label Col2 ''"", 0)), """")"),"")</f>
        <v/>
      </c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8"/>
      <c r="AO83" s="28"/>
      <c r="AP83" s="29"/>
      <c r="AQ83" s="29" t="str">
        <f t="shared" ref="AQ83:BL83" si="86">T83/T$2</f>
        <v>#N/A</v>
      </c>
      <c r="AR83" s="29" t="str">
        <f t="shared" si="86"/>
        <v>#DIV/0!</v>
      </c>
      <c r="AS83" s="29" t="str">
        <f t="shared" si="86"/>
        <v>#DIV/0!</v>
      </c>
      <c r="AT83" s="29" t="str">
        <f t="shared" si="86"/>
        <v>#DIV/0!</v>
      </c>
      <c r="AU83" s="29" t="str">
        <f t="shared" si="86"/>
        <v>#DIV/0!</v>
      </c>
      <c r="AV83" s="29" t="str">
        <f t="shared" si="86"/>
        <v>#DIV/0!</v>
      </c>
      <c r="AW83" s="29" t="str">
        <f t="shared" si="86"/>
        <v>#DIV/0!</v>
      </c>
      <c r="AX83" s="29" t="str">
        <f t="shared" si="86"/>
        <v>#DIV/0!</v>
      </c>
      <c r="AY83" s="29" t="str">
        <f t="shared" si="86"/>
        <v>#DIV/0!</v>
      </c>
      <c r="AZ83" s="29" t="str">
        <f t="shared" si="86"/>
        <v>#DIV/0!</v>
      </c>
      <c r="BA83" s="29" t="str">
        <f t="shared" si="86"/>
        <v>#DIV/0!</v>
      </c>
      <c r="BB83" s="29" t="str">
        <f t="shared" si="86"/>
        <v>#DIV/0!</v>
      </c>
      <c r="BC83" s="29" t="str">
        <f t="shared" si="86"/>
        <v>#DIV/0!</v>
      </c>
      <c r="BD83" s="29" t="str">
        <f t="shared" si="86"/>
        <v>#DIV/0!</v>
      </c>
      <c r="BE83" s="29" t="str">
        <f t="shared" si="86"/>
        <v>#DIV/0!</v>
      </c>
      <c r="BF83" s="29" t="str">
        <f t="shared" si="86"/>
        <v>#DIV/0!</v>
      </c>
      <c r="BG83" s="29" t="str">
        <f t="shared" si="86"/>
        <v>#DIV/0!</v>
      </c>
      <c r="BH83" s="29" t="str">
        <f t="shared" si="86"/>
        <v>#DIV/0!</v>
      </c>
      <c r="BI83" s="29" t="str">
        <f t="shared" si="86"/>
        <v>#DIV/0!</v>
      </c>
      <c r="BJ83" s="29" t="str">
        <f t="shared" si="86"/>
        <v>#DIV/0!</v>
      </c>
      <c r="BK83" s="29" t="str">
        <f t="shared" si="86"/>
        <v>#DIV/0!</v>
      </c>
      <c r="BL83" s="29" t="str">
        <f t="shared" si="86"/>
        <v>#DIV/0!</v>
      </c>
      <c r="BM83" s="29" t="str">
        <f t="shared" si="3"/>
        <v>#DIV/0!</v>
      </c>
    </row>
    <row r="84">
      <c r="A84" s="16" t="str">
        <f>IFERROR(__xludf.DUMMYFUNCTION("IFERROR(SPARKLINE(SORT(MAP(TRANSPOSE(AQ84:BL84), LAMBDA(val, IF(ISNUMBER(val), PERCENTRANK(AQ84:BL84, val)+0.01, 0))), SEQUENCE(COLUMNS(AQ84:BL84)), FALSE), {""charttype"",""column""; ""color"",""chartreuse""; ""ymin"", 0; ""ymax"", 1.01; ""highcolor"", "&amp;"""darkgreen""; ""lowcolor"", ""red""}), """")"),"")</f>
        <v/>
      </c>
      <c r="B84" s="17" t="str">
        <f t="shared" si="4"/>
        <v/>
      </c>
      <c r="C84" s="1" t="s">
        <v>1132</v>
      </c>
      <c r="D84" s="30" t="str">
        <f>IFERROR(__xludf.DUMMYFUNCTION("IFERROR(GOOGLEFINANCE(C84, ""NAME""))"),"Frontier Group Holdings Inc")</f>
        <v>Frontier Group Holdings Inc</v>
      </c>
      <c r="E84" s="30" t="s">
        <v>1134</v>
      </c>
      <c r="F84" s="33" t="str">
        <f>IFERROR(__xludf.DUMMYFUNCTION("( (GOOGLEFINANCE(C84, ""price"") - Q84) / Q84 ) / (R84 / 100)"),"Loading...")</f>
        <v>Loading...</v>
      </c>
      <c r="G84" s="20" t="str">
        <f>IFERROR(__xludf.DUMMYFUNCTION("AVERAGE(ARRAYFORMULA(100 * (QUERY(GOOGLEFINANCE(C84, ""high"", TODAY()-40, TODAY()), ""SELECT Col2 WHERE Col2 IS NOT NULL ORDER BY Col1 DESC LIMIT 20"", 0) / QUERY(GOOGLEFINANCE(C84, ""low"", TODAY()-40, TODAY()), ""SELECT Col2 WHERE Col2 IS NOT NULL ORDE"&amp;"R BY Col1 DESC LIMIT 20"", 0) - 1)))"),"#N/A")</f>
        <v>#N/A</v>
      </c>
      <c r="H84" s="35" t="str">
        <f t="shared" si="6"/>
        <v/>
      </c>
      <c r="I84" s="35" t="str">
        <f t="shared" si="7"/>
        <v/>
      </c>
      <c r="J84" s="37" t="str">
        <f>IFERROR(__xludf.DUMMYFUNCTION("IFERROR(
  IF(C84="""",, 
    IFERROR(
      GOOGLEFINANCE(C84, ""price"") * GOOGLEFINANCE(C84, ""volumeavg""), 
      GOOGLEFINANCE(C84, ""price"") * AVERAGE(QUERY(GOOGLEFINANCE(C84, ""volume"", TODAY()-40, TODAY()), ""SELECT Col2 WHERE Col2 IS NOT NULL "&amp;"ORDER BY Col1 DESC LIMIT 20"", 0))
    )
  ), 
"""")"),"")</f>
        <v/>
      </c>
      <c r="K84" s="21" t="str">
        <f>IFERROR(__xludf.DUMMYFUNCTION("IFERROR(GOOGLEFINANCE(C84, ""changepct"") / 100, """")"),"")</f>
        <v/>
      </c>
      <c r="L84" s="21" t="str">
        <f>IFERROR(__xludf.DUMMYFUNCTION("IFERROR((GOOGLEFINANCE(C84, ""price"") / INDEX(GOOGLEFINANCE(C84, ""price"", TODAY()-7, TODAY()), 2, 2)) - 1, """")"),"")</f>
        <v/>
      </c>
      <c r="M84" s="21" t="str">
        <f>IFERROR(__xludf.DUMMYFUNCTION("IFERROR((GOOGLEFINANCE(C84, ""price"") / INDEX(GOOGLEFINANCE(C84, ""price"", EDATE(TODAY(), -1), TODAY()), 2, 2)) - 1, """")"),"")</f>
        <v/>
      </c>
      <c r="N84" s="21" t="str">
        <f>IFERROR(__xludf.DUMMYFUNCTION("IFERROR((GOOGLEFINANCE(C84, ""price"") / INDEX(GOOGLEFINANCE(C84, ""price"", EDATE(TODAY(), -3), TODAY()), 2, 2)) - 1, """")"),"")</f>
        <v/>
      </c>
      <c r="O84" s="21" t="str">
        <f>IFERROR(__xludf.DUMMYFUNCTION("IFERROR((GOOGLEFINANCE(C84, ""price"") / INDEX(GOOGLEFINANCE(C84, ""price"", EDATE(TODAY(), -6), TODAY()), 2, 2)) - 1, """")"),"")</f>
        <v/>
      </c>
      <c r="P84" s="21" t="str">
        <f>IFERROR(__xludf.DUMMYFUNCTION("IFERROR((GOOGLEFINANCE(C84, ""price"") / INDEX(GOOGLEFINANCE(C84, ""price"", EDATE(TODAY(), -12), TODAY()), 2, 2)) - 1, """")"),"")</f>
        <v/>
      </c>
      <c r="Q84" s="6" t="str">
        <f>IFERROR(__xludf.DUMMYFUNCTION("AVERAGE(QUERY(GOOGLEFINANCE(C84, ""price"", TODAY()-80, TODAY()), ""SELECT Col2 WHERE Col2 IS NOT NULL ORDER BY Col1 DESC LIMIT 50"", 0))"),"#N/A")</f>
        <v>#N/A</v>
      </c>
      <c r="R84" s="24" t="str">
        <f>IFERROR(__xludf.DUMMYFUNCTION("IFERROR(
  LET(
    data, QUERY(GOOGLEFINANCE(C84,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GOOGLEFINANCE(C84, ""price"")) * 100,
    IF(calc=0, G84, calc)
  ), 
G84)"),"#N/A")</f>
        <v>#N/A</v>
      </c>
      <c r="S84" s="8" t="s">
        <v>15</v>
      </c>
      <c r="T84" s="26" t="str">
        <f>IFERROR(__xludf.DUMMYFUNCTION("IFERROR(TRANSPOSE(QUERY(IFERROR(SORT(GOOGLEFINANCE(C84, ""price"", WORKDAY(TODAY(), -40), TODAY()), 1, FALSE)), ""select Col2 where Col2 is not null limit 22 label Col2 ''"", 0)), """")"),"")</f>
        <v/>
      </c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8"/>
      <c r="AO84" s="28"/>
      <c r="AP84" s="29"/>
      <c r="AQ84" s="29" t="str">
        <f t="shared" ref="AQ84:BL84" si="87">T84/T$2</f>
        <v>#N/A</v>
      </c>
      <c r="AR84" s="29" t="str">
        <f t="shared" si="87"/>
        <v>#DIV/0!</v>
      </c>
      <c r="AS84" s="29" t="str">
        <f t="shared" si="87"/>
        <v>#DIV/0!</v>
      </c>
      <c r="AT84" s="29" t="str">
        <f t="shared" si="87"/>
        <v>#DIV/0!</v>
      </c>
      <c r="AU84" s="29" t="str">
        <f t="shared" si="87"/>
        <v>#DIV/0!</v>
      </c>
      <c r="AV84" s="29" t="str">
        <f t="shared" si="87"/>
        <v>#DIV/0!</v>
      </c>
      <c r="AW84" s="29" t="str">
        <f t="shared" si="87"/>
        <v>#DIV/0!</v>
      </c>
      <c r="AX84" s="29" t="str">
        <f t="shared" si="87"/>
        <v>#DIV/0!</v>
      </c>
      <c r="AY84" s="29" t="str">
        <f t="shared" si="87"/>
        <v>#DIV/0!</v>
      </c>
      <c r="AZ84" s="29" t="str">
        <f t="shared" si="87"/>
        <v>#DIV/0!</v>
      </c>
      <c r="BA84" s="29" t="str">
        <f t="shared" si="87"/>
        <v>#DIV/0!</v>
      </c>
      <c r="BB84" s="29" t="str">
        <f t="shared" si="87"/>
        <v>#DIV/0!</v>
      </c>
      <c r="BC84" s="29" t="str">
        <f t="shared" si="87"/>
        <v>#DIV/0!</v>
      </c>
      <c r="BD84" s="29" t="str">
        <f t="shared" si="87"/>
        <v>#DIV/0!</v>
      </c>
      <c r="BE84" s="29" t="str">
        <f t="shared" si="87"/>
        <v>#DIV/0!</v>
      </c>
      <c r="BF84" s="29" t="str">
        <f t="shared" si="87"/>
        <v>#DIV/0!</v>
      </c>
      <c r="BG84" s="29" t="str">
        <f t="shared" si="87"/>
        <v>#DIV/0!</v>
      </c>
      <c r="BH84" s="29" t="str">
        <f t="shared" si="87"/>
        <v>#DIV/0!</v>
      </c>
      <c r="BI84" s="29" t="str">
        <f t="shared" si="87"/>
        <v>#DIV/0!</v>
      </c>
      <c r="BJ84" s="29" t="str">
        <f t="shared" si="87"/>
        <v>#DIV/0!</v>
      </c>
      <c r="BK84" s="29" t="str">
        <f t="shared" si="87"/>
        <v>#DIV/0!</v>
      </c>
      <c r="BL84" s="29" t="str">
        <f t="shared" si="87"/>
        <v>#DIV/0!</v>
      </c>
      <c r="BM84" s="29" t="str">
        <f t="shared" si="3"/>
        <v>#DIV/0!</v>
      </c>
    </row>
    <row r="85">
      <c r="A85" s="16" t="str">
        <f>IFERROR(__xludf.DUMMYFUNCTION("IFERROR(SPARKLINE(SORT(MAP(TRANSPOSE(AQ85:BL85), LAMBDA(val, IF(ISNUMBER(val), PERCENTRANK(AQ85:BL85, val)+0.01, 0))), SEQUENCE(COLUMNS(AQ85:BL85)), FALSE), {""charttype"",""column""; ""color"",""chartreuse""; ""ymin"", 0; ""ymax"", 1.01; ""highcolor"", "&amp;"""darkgreen""; ""lowcolor"", ""red""}), """")"),"")</f>
        <v/>
      </c>
      <c r="B85" s="17" t="str">
        <f t="shared" si="4"/>
        <v/>
      </c>
      <c r="C85" s="1" t="s">
        <v>1137</v>
      </c>
      <c r="D85" s="30" t="str">
        <f>IFERROR(__xludf.DUMMYFUNCTION("IFERROR(GOOGLEFINANCE(C85, ""NAME""))"),"Middleby Corp")</f>
        <v>Middleby Corp</v>
      </c>
      <c r="E85" s="30" t="s">
        <v>893</v>
      </c>
      <c r="F85" s="33" t="str">
        <f>IFERROR(__xludf.DUMMYFUNCTION("( (GOOGLEFINANCE(C85, ""price"") - Q85) / Q85 ) / (R85 / 100)"),"Loading...")</f>
        <v>Loading...</v>
      </c>
      <c r="G85" s="20" t="str">
        <f>IFERROR(__xludf.DUMMYFUNCTION("AVERAGE(ARRAYFORMULA(100 * (QUERY(GOOGLEFINANCE(C85, ""high"", TODAY()-40, TODAY()), ""SELECT Col2 WHERE Col2 IS NOT NULL ORDER BY Col1 DESC LIMIT 20"", 0) / QUERY(GOOGLEFINANCE(C85, ""low"", TODAY()-40, TODAY()), ""SELECT Col2 WHERE Col2 IS NOT NULL ORDE"&amp;"R BY Col1 DESC LIMIT 20"", 0) - 1)))"),"#N/A")</f>
        <v>#N/A</v>
      </c>
      <c r="H85" s="35" t="str">
        <f t="shared" si="6"/>
        <v/>
      </c>
      <c r="I85" s="35" t="str">
        <f t="shared" si="7"/>
        <v/>
      </c>
      <c r="J85" s="37" t="str">
        <f>IFERROR(__xludf.DUMMYFUNCTION("IFERROR(
  IF(C85="""",, 
    IFERROR(
      GOOGLEFINANCE(C85, ""price"") * GOOGLEFINANCE(C85, ""volumeavg""), 
      GOOGLEFINANCE(C85, ""price"") * AVERAGE(QUERY(GOOGLEFINANCE(C85, ""volume"", TODAY()-40, TODAY()), ""SELECT Col2 WHERE Col2 IS NOT NULL "&amp;"ORDER BY Col1 DESC LIMIT 20"", 0))
    )
  ), 
"""")"),"")</f>
        <v/>
      </c>
      <c r="K85" s="21" t="str">
        <f>IFERROR(__xludf.DUMMYFUNCTION("IFERROR(GOOGLEFINANCE(C85, ""changepct"") / 100, """")"),"")</f>
        <v/>
      </c>
      <c r="L85" s="21" t="str">
        <f>IFERROR(__xludf.DUMMYFUNCTION("IFERROR((GOOGLEFINANCE(C85, ""price"") / INDEX(GOOGLEFINANCE(C85, ""price"", TODAY()-7, TODAY()), 2, 2)) - 1, """")"),"")</f>
        <v/>
      </c>
      <c r="M85" s="21" t="str">
        <f>IFERROR(__xludf.DUMMYFUNCTION("IFERROR((GOOGLEFINANCE(C85, ""price"") / INDEX(GOOGLEFINANCE(C85, ""price"", EDATE(TODAY(), -1), TODAY()), 2, 2)) - 1, """")"),"")</f>
        <v/>
      </c>
      <c r="N85" s="21" t="str">
        <f>IFERROR(__xludf.DUMMYFUNCTION("IFERROR((GOOGLEFINANCE(C85, ""price"") / INDEX(GOOGLEFINANCE(C85, ""price"", EDATE(TODAY(), -3), TODAY()), 2, 2)) - 1, """")"),"")</f>
        <v/>
      </c>
      <c r="O85" s="21" t="str">
        <f>IFERROR(__xludf.DUMMYFUNCTION("IFERROR((GOOGLEFINANCE(C85, ""price"") / INDEX(GOOGLEFINANCE(C85, ""price"", EDATE(TODAY(), -6), TODAY()), 2, 2)) - 1, """")"),"")</f>
        <v/>
      </c>
      <c r="P85" s="21" t="str">
        <f>IFERROR(__xludf.DUMMYFUNCTION("IFERROR((GOOGLEFINANCE(C85, ""price"") / INDEX(GOOGLEFINANCE(C85, ""price"", EDATE(TODAY(), -12), TODAY()), 2, 2)) - 1, """")"),"")</f>
        <v/>
      </c>
      <c r="Q85" s="6" t="str">
        <f>IFERROR(__xludf.DUMMYFUNCTION("AVERAGE(QUERY(GOOGLEFINANCE(C85, ""price"", TODAY()-80, TODAY()), ""SELECT Col2 WHERE Col2 IS NOT NULL ORDER BY Col1 DESC LIMIT 50"", 0))"),"#N/A")</f>
        <v>#N/A</v>
      </c>
      <c r="R85" s="24" t="str">
        <f>IFERROR(__xludf.DUMMYFUNCTION("IFERROR(
  LET(
    data, QUERY(GOOGLEFINANCE(C85,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GOOGLEFINANCE(C85, ""price"")) * 100,
    IF(calc=0, G85, calc)
  ), 
G85)"),"#N/A")</f>
        <v>#N/A</v>
      </c>
      <c r="S85" s="8" t="s">
        <v>15</v>
      </c>
      <c r="T85" s="26" t="str">
        <f>IFERROR(__xludf.DUMMYFUNCTION("IFERROR(TRANSPOSE(QUERY(IFERROR(SORT(GOOGLEFINANCE(C85, ""price"", WORKDAY(TODAY(), -40), TODAY()), 1, FALSE)), ""select Col2 where Col2 is not null limit 22 label Col2 ''"", 0)), """")"),"")</f>
        <v/>
      </c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8"/>
      <c r="AO85" s="28"/>
      <c r="AP85" s="29"/>
      <c r="AQ85" s="29" t="str">
        <f t="shared" ref="AQ85:BL85" si="88">T85/T$2</f>
        <v>#N/A</v>
      </c>
      <c r="AR85" s="29" t="str">
        <f t="shared" si="88"/>
        <v>#DIV/0!</v>
      </c>
      <c r="AS85" s="29" t="str">
        <f t="shared" si="88"/>
        <v>#DIV/0!</v>
      </c>
      <c r="AT85" s="29" t="str">
        <f t="shared" si="88"/>
        <v>#DIV/0!</v>
      </c>
      <c r="AU85" s="29" t="str">
        <f t="shared" si="88"/>
        <v>#DIV/0!</v>
      </c>
      <c r="AV85" s="29" t="str">
        <f t="shared" si="88"/>
        <v>#DIV/0!</v>
      </c>
      <c r="AW85" s="29" t="str">
        <f t="shared" si="88"/>
        <v>#DIV/0!</v>
      </c>
      <c r="AX85" s="29" t="str">
        <f t="shared" si="88"/>
        <v>#DIV/0!</v>
      </c>
      <c r="AY85" s="29" t="str">
        <f t="shared" si="88"/>
        <v>#DIV/0!</v>
      </c>
      <c r="AZ85" s="29" t="str">
        <f t="shared" si="88"/>
        <v>#DIV/0!</v>
      </c>
      <c r="BA85" s="29" t="str">
        <f t="shared" si="88"/>
        <v>#DIV/0!</v>
      </c>
      <c r="BB85" s="29" t="str">
        <f t="shared" si="88"/>
        <v>#DIV/0!</v>
      </c>
      <c r="BC85" s="29" t="str">
        <f t="shared" si="88"/>
        <v>#DIV/0!</v>
      </c>
      <c r="BD85" s="29" t="str">
        <f t="shared" si="88"/>
        <v>#DIV/0!</v>
      </c>
      <c r="BE85" s="29" t="str">
        <f t="shared" si="88"/>
        <v>#DIV/0!</v>
      </c>
      <c r="BF85" s="29" t="str">
        <f t="shared" si="88"/>
        <v>#DIV/0!</v>
      </c>
      <c r="BG85" s="29" t="str">
        <f t="shared" si="88"/>
        <v>#DIV/0!</v>
      </c>
      <c r="BH85" s="29" t="str">
        <f t="shared" si="88"/>
        <v>#DIV/0!</v>
      </c>
      <c r="BI85" s="29" t="str">
        <f t="shared" si="88"/>
        <v>#DIV/0!</v>
      </c>
      <c r="BJ85" s="29" t="str">
        <f t="shared" si="88"/>
        <v>#DIV/0!</v>
      </c>
      <c r="BK85" s="29" t="str">
        <f t="shared" si="88"/>
        <v>#DIV/0!</v>
      </c>
      <c r="BL85" s="29" t="str">
        <f t="shared" si="88"/>
        <v>#DIV/0!</v>
      </c>
      <c r="BM85" s="29" t="str">
        <f t="shared" si="3"/>
        <v>#DIV/0!</v>
      </c>
    </row>
    <row r="86">
      <c r="A86" s="16" t="str">
        <f>IFERROR(__xludf.DUMMYFUNCTION("IFERROR(SPARKLINE(SORT(MAP(TRANSPOSE(AQ86:BL86), LAMBDA(val, IF(ISNUMBER(val), PERCENTRANK(AQ86:BL86, val)+0.01, 0))), SEQUENCE(COLUMNS(AQ86:BL86)), FALSE), {""charttype"",""column""; ""color"",""chartreuse""; ""ymin"", 0; ""ymax"", 1.01; ""highcolor"", "&amp;"""darkgreen""; ""lowcolor"", ""red""}), """")"),"")</f>
        <v/>
      </c>
      <c r="B86" s="17" t="str">
        <f t="shared" si="4"/>
        <v/>
      </c>
      <c r="C86" s="1" t="s">
        <v>1141</v>
      </c>
      <c r="D86" s="30" t="str">
        <f>IFERROR(__xludf.DUMMYFUNCTION("IFERROR(GOOGLEFINANCE(C86, ""NAME""))"),"Electrovaya Inc")</f>
        <v>Electrovaya Inc</v>
      </c>
      <c r="E86" s="30" t="s">
        <v>864</v>
      </c>
      <c r="F86" s="33" t="str">
        <f>IFERROR(__xludf.DUMMYFUNCTION("( (GOOGLEFINANCE(C86, ""price"") - Q86) / Q86 ) / (R86 / 100)"),"Loading...")</f>
        <v>Loading...</v>
      </c>
      <c r="G86" s="20" t="str">
        <f>IFERROR(__xludf.DUMMYFUNCTION("AVERAGE(ARRAYFORMULA(100 * (QUERY(GOOGLEFINANCE(C86, ""high"", TODAY()-40, TODAY()), ""SELECT Col2 WHERE Col2 IS NOT NULL ORDER BY Col1 DESC LIMIT 20"", 0) / QUERY(GOOGLEFINANCE(C86, ""low"", TODAY()-40, TODAY()), ""SELECT Col2 WHERE Col2 IS NOT NULL ORDE"&amp;"R BY Col1 DESC LIMIT 20"", 0) - 1)))"),"#N/A")</f>
        <v>#N/A</v>
      </c>
      <c r="H86" s="35" t="str">
        <f t="shared" si="6"/>
        <v/>
      </c>
      <c r="I86" s="35" t="str">
        <f t="shared" si="7"/>
        <v/>
      </c>
      <c r="J86" s="37" t="str">
        <f>IFERROR(__xludf.DUMMYFUNCTION("IFERROR(
  IF(C86="""",, 
    IFERROR(
      GOOGLEFINANCE(C86, ""price"") * GOOGLEFINANCE(C86, ""volumeavg""), 
      GOOGLEFINANCE(C86, ""price"") * AVERAGE(QUERY(GOOGLEFINANCE(C86, ""volume"", TODAY()-40, TODAY()), ""SELECT Col2 WHERE Col2 IS NOT NULL "&amp;"ORDER BY Col1 DESC LIMIT 20"", 0))
    )
  ), 
"""")"),"")</f>
        <v/>
      </c>
      <c r="K86" s="21" t="str">
        <f>IFERROR(__xludf.DUMMYFUNCTION("IFERROR(GOOGLEFINANCE(C86, ""changepct"") / 100, """")"),"")</f>
        <v/>
      </c>
      <c r="L86" s="21" t="str">
        <f>IFERROR(__xludf.DUMMYFUNCTION("IFERROR((GOOGLEFINANCE(C86, ""price"") / INDEX(GOOGLEFINANCE(C86, ""price"", TODAY()-7, TODAY()), 2, 2)) - 1, """")"),"")</f>
        <v/>
      </c>
      <c r="M86" s="21" t="str">
        <f>IFERROR(__xludf.DUMMYFUNCTION("IFERROR((GOOGLEFINANCE(C86, ""price"") / INDEX(GOOGLEFINANCE(C86, ""price"", EDATE(TODAY(), -1), TODAY()), 2, 2)) - 1, """")"),"")</f>
        <v/>
      </c>
      <c r="N86" s="21" t="str">
        <f>IFERROR(__xludf.DUMMYFUNCTION("IFERROR((GOOGLEFINANCE(C86, ""price"") / INDEX(GOOGLEFINANCE(C86, ""price"", EDATE(TODAY(), -3), TODAY()), 2, 2)) - 1, """")"),"")</f>
        <v/>
      </c>
      <c r="O86" s="21" t="str">
        <f>IFERROR(__xludf.DUMMYFUNCTION("IFERROR((GOOGLEFINANCE(C86, ""price"") / INDEX(GOOGLEFINANCE(C86, ""price"", EDATE(TODAY(), -6), TODAY()), 2, 2)) - 1, """")"),"")</f>
        <v/>
      </c>
      <c r="P86" s="21" t="str">
        <f>IFERROR(__xludf.DUMMYFUNCTION("IFERROR((GOOGLEFINANCE(C86, ""price"") / INDEX(GOOGLEFINANCE(C86, ""price"", EDATE(TODAY(), -12), TODAY()), 2, 2)) - 1, """")"),"")</f>
        <v/>
      </c>
      <c r="Q86" s="6" t="str">
        <f>IFERROR(__xludf.DUMMYFUNCTION("AVERAGE(QUERY(GOOGLEFINANCE(C86, ""price"", TODAY()-80, TODAY()), ""SELECT Col2 WHERE Col2 IS NOT NULL ORDER BY Col1 DESC LIMIT 50"", 0))"),"#N/A")</f>
        <v>#N/A</v>
      </c>
      <c r="R86" s="24" t="str">
        <f>IFERROR(__xludf.DUMMYFUNCTION("IFERROR(
  LET(
    data, QUERY(GOOGLEFINANCE(C86,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GOOGLEFINANCE(C86, ""price"")) * 100,
    IF(calc=0, G86, calc)
  ), 
G86)"),"#N/A")</f>
        <v>#N/A</v>
      </c>
      <c r="S86" s="8" t="s">
        <v>15</v>
      </c>
      <c r="T86" s="26" t="str">
        <f>IFERROR(__xludf.DUMMYFUNCTION("IFERROR(TRANSPOSE(QUERY(IFERROR(SORT(GOOGLEFINANCE(C86, ""price"", WORKDAY(TODAY(), -40), TODAY()), 1, FALSE)), ""select Col2 where Col2 is not null limit 22 label Col2 ''"", 0)), """")"),"")</f>
        <v/>
      </c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8"/>
      <c r="AO86" s="28"/>
      <c r="AP86" s="29"/>
      <c r="AQ86" s="29" t="str">
        <f t="shared" ref="AQ86:BL86" si="89">T86/T$2</f>
        <v>#N/A</v>
      </c>
      <c r="AR86" s="29" t="str">
        <f t="shared" si="89"/>
        <v>#DIV/0!</v>
      </c>
      <c r="AS86" s="29" t="str">
        <f t="shared" si="89"/>
        <v>#DIV/0!</v>
      </c>
      <c r="AT86" s="29" t="str">
        <f t="shared" si="89"/>
        <v>#DIV/0!</v>
      </c>
      <c r="AU86" s="29" t="str">
        <f t="shared" si="89"/>
        <v>#DIV/0!</v>
      </c>
      <c r="AV86" s="29" t="str">
        <f t="shared" si="89"/>
        <v>#DIV/0!</v>
      </c>
      <c r="AW86" s="29" t="str">
        <f t="shared" si="89"/>
        <v>#DIV/0!</v>
      </c>
      <c r="AX86" s="29" t="str">
        <f t="shared" si="89"/>
        <v>#DIV/0!</v>
      </c>
      <c r="AY86" s="29" t="str">
        <f t="shared" si="89"/>
        <v>#DIV/0!</v>
      </c>
      <c r="AZ86" s="29" t="str">
        <f t="shared" si="89"/>
        <v>#DIV/0!</v>
      </c>
      <c r="BA86" s="29" t="str">
        <f t="shared" si="89"/>
        <v>#DIV/0!</v>
      </c>
      <c r="BB86" s="29" t="str">
        <f t="shared" si="89"/>
        <v>#DIV/0!</v>
      </c>
      <c r="BC86" s="29" t="str">
        <f t="shared" si="89"/>
        <v>#DIV/0!</v>
      </c>
      <c r="BD86" s="29" t="str">
        <f t="shared" si="89"/>
        <v>#DIV/0!</v>
      </c>
      <c r="BE86" s="29" t="str">
        <f t="shared" si="89"/>
        <v>#DIV/0!</v>
      </c>
      <c r="BF86" s="29" t="str">
        <f t="shared" si="89"/>
        <v>#DIV/0!</v>
      </c>
      <c r="BG86" s="29" t="str">
        <f t="shared" si="89"/>
        <v>#DIV/0!</v>
      </c>
      <c r="BH86" s="29" t="str">
        <f t="shared" si="89"/>
        <v>#DIV/0!</v>
      </c>
      <c r="BI86" s="29" t="str">
        <f t="shared" si="89"/>
        <v>#DIV/0!</v>
      </c>
      <c r="BJ86" s="29" t="str">
        <f t="shared" si="89"/>
        <v>#DIV/0!</v>
      </c>
      <c r="BK86" s="29" t="str">
        <f t="shared" si="89"/>
        <v>#DIV/0!</v>
      </c>
      <c r="BL86" s="29" t="str">
        <f t="shared" si="89"/>
        <v>#DIV/0!</v>
      </c>
      <c r="BM86" s="29" t="str">
        <f t="shared" si="3"/>
        <v>#DIV/0!</v>
      </c>
    </row>
    <row r="87">
      <c r="A87" s="16" t="str">
        <f>IFERROR(__xludf.DUMMYFUNCTION("IFERROR(SPARKLINE(SORT(MAP(TRANSPOSE(AQ87:BL87), LAMBDA(val, IF(ISNUMBER(val), PERCENTRANK(AQ87:BL87, val)+0.01, 0))), SEQUENCE(COLUMNS(AQ87:BL87)), FALSE), {""charttype"",""column""; ""color"",""chartreuse""; ""ymin"", 0; ""ymax"", 1.01; ""highcolor"", "&amp;"""darkgreen""; ""lowcolor"", ""red""}), """")"),"")</f>
        <v/>
      </c>
      <c r="B87" s="17" t="str">
        <f t="shared" si="4"/>
        <v/>
      </c>
      <c r="C87" s="1" t="s">
        <v>1146</v>
      </c>
      <c r="D87" s="30" t="str">
        <f>IFERROR(__xludf.DUMMYFUNCTION("IFERROR(GOOGLEFINANCE(C87, ""NAME""))"),"Thor Energy Plc")</f>
        <v>Thor Energy Plc</v>
      </c>
      <c r="E87" s="30" t="s">
        <v>893</v>
      </c>
      <c r="F87" s="33" t="str">
        <f>IFERROR(__xludf.DUMMYFUNCTION("( (GOOGLEFINANCE(C87, ""price"") - Q87) / Q87 ) / (R87 / 100)"),"Loading...")</f>
        <v>Loading...</v>
      </c>
      <c r="G87" s="20" t="str">
        <f>IFERROR(__xludf.DUMMYFUNCTION("AVERAGE(ARRAYFORMULA(100 * (QUERY(GOOGLEFINANCE(C87, ""high"", TODAY()-40, TODAY()), ""SELECT Col2 WHERE Col2 IS NOT NULL ORDER BY Col1 DESC LIMIT 20"", 0) / QUERY(GOOGLEFINANCE(C87, ""low"", TODAY()-40, TODAY()), ""SELECT Col2 WHERE Col2 IS NOT NULL ORDE"&amp;"R BY Col1 DESC LIMIT 20"", 0) - 1)))"),"#N/A")</f>
        <v>#N/A</v>
      </c>
      <c r="H87" s="35" t="str">
        <f t="shared" si="6"/>
        <v/>
      </c>
      <c r="I87" s="35" t="str">
        <f t="shared" si="7"/>
        <v/>
      </c>
      <c r="J87" s="37" t="str">
        <f>IFERROR(__xludf.DUMMYFUNCTION("IFERROR(
  IF(C87="""",, 
    IFERROR(
      GOOGLEFINANCE(C87, ""price"") * GOOGLEFINANCE(C87, ""volumeavg""), 
      GOOGLEFINANCE(C87, ""price"") * AVERAGE(QUERY(GOOGLEFINANCE(C87, ""volume"", TODAY()-40, TODAY()), ""SELECT Col2 WHERE Col2 IS NOT NULL "&amp;"ORDER BY Col1 DESC LIMIT 20"", 0))
    )
  ), 
"""")"),"")</f>
        <v/>
      </c>
      <c r="K87" s="21" t="str">
        <f>IFERROR(__xludf.DUMMYFUNCTION("IFERROR(GOOGLEFINANCE(C87, ""changepct"") / 100, """")"),"")</f>
        <v/>
      </c>
      <c r="L87" s="21" t="str">
        <f>IFERROR(__xludf.DUMMYFUNCTION("IFERROR((GOOGLEFINANCE(C87, ""price"") / INDEX(GOOGLEFINANCE(C87, ""price"", TODAY()-7, TODAY()), 2, 2)) - 1, """")"),"")</f>
        <v/>
      </c>
      <c r="M87" s="21" t="str">
        <f>IFERROR(__xludf.DUMMYFUNCTION("IFERROR((GOOGLEFINANCE(C87, ""price"") / INDEX(GOOGLEFINANCE(C87, ""price"", EDATE(TODAY(), -1), TODAY()), 2, 2)) - 1, """")"),"")</f>
        <v/>
      </c>
      <c r="N87" s="21" t="str">
        <f>IFERROR(__xludf.DUMMYFUNCTION("IFERROR((GOOGLEFINANCE(C87, ""price"") / INDEX(GOOGLEFINANCE(C87, ""price"", EDATE(TODAY(), -3), TODAY()), 2, 2)) - 1, """")"),"")</f>
        <v/>
      </c>
      <c r="O87" s="21" t="str">
        <f>IFERROR(__xludf.DUMMYFUNCTION("IFERROR((GOOGLEFINANCE(C87, ""price"") / INDEX(GOOGLEFINANCE(C87, ""price"", EDATE(TODAY(), -6), TODAY()), 2, 2)) - 1, """")"),"")</f>
        <v/>
      </c>
      <c r="P87" s="21" t="str">
        <f>IFERROR(__xludf.DUMMYFUNCTION("IFERROR((GOOGLEFINANCE(C87, ""price"") / INDEX(GOOGLEFINANCE(C87, ""price"", EDATE(TODAY(), -12), TODAY()), 2, 2)) - 1, """")"),"")</f>
        <v/>
      </c>
      <c r="Q87" s="6" t="str">
        <f>IFERROR(__xludf.DUMMYFUNCTION("AVERAGE(QUERY(GOOGLEFINANCE(C87, ""price"", TODAY()-80, TODAY()), ""SELECT Col2 WHERE Col2 IS NOT NULL ORDER BY Col1 DESC LIMIT 50"", 0))"),"#N/A")</f>
        <v>#N/A</v>
      </c>
      <c r="R87" s="24" t="str">
        <f>IFERROR(__xludf.DUMMYFUNCTION("IFERROR(
  LET(
    data, QUERY(GOOGLEFINANCE(C87,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GOOGLEFINANCE(C87, ""price"")) * 100,
    IF(calc=0, G87, calc)
  ), 
G87)"),"#N/A")</f>
        <v>#N/A</v>
      </c>
      <c r="S87" s="8" t="s">
        <v>15</v>
      </c>
      <c r="T87" s="26" t="str">
        <f>IFERROR(__xludf.DUMMYFUNCTION("IFERROR(TRANSPOSE(QUERY(IFERROR(SORT(GOOGLEFINANCE(C87, ""price"", WORKDAY(TODAY(), -40), TODAY()), 1, FALSE)), ""select Col2 where Col2 is not null limit 22 label Col2 ''"", 0)), """")"),"")</f>
        <v/>
      </c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8"/>
      <c r="AO87" s="28"/>
      <c r="AP87" s="29"/>
      <c r="AQ87" s="29" t="str">
        <f t="shared" ref="AQ87:BL87" si="90">T87/T$2</f>
        <v>#N/A</v>
      </c>
      <c r="AR87" s="29" t="str">
        <f t="shared" si="90"/>
        <v>#DIV/0!</v>
      </c>
      <c r="AS87" s="29" t="str">
        <f t="shared" si="90"/>
        <v>#DIV/0!</v>
      </c>
      <c r="AT87" s="29" t="str">
        <f t="shared" si="90"/>
        <v>#DIV/0!</v>
      </c>
      <c r="AU87" s="29" t="str">
        <f t="shared" si="90"/>
        <v>#DIV/0!</v>
      </c>
      <c r="AV87" s="29" t="str">
        <f t="shared" si="90"/>
        <v>#DIV/0!</v>
      </c>
      <c r="AW87" s="29" t="str">
        <f t="shared" si="90"/>
        <v>#DIV/0!</v>
      </c>
      <c r="AX87" s="29" t="str">
        <f t="shared" si="90"/>
        <v>#DIV/0!</v>
      </c>
      <c r="AY87" s="29" t="str">
        <f t="shared" si="90"/>
        <v>#DIV/0!</v>
      </c>
      <c r="AZ87" s="29" t="str">
        <f t="shared" si="90"/>
        <v>#DIV/0!</v>
      </c>
      <c r="BA87" s="29" t="str">
        <f t="shared" si="90"/>
        <v>#DIV/0!</v>
      </c>
      <c r="BB87" s="29" t="str">
        <f t="shared" si="90"/>
        <v>#DIV/0!</v>
      </c>
      <c r="BC87" s="29" t="str">
        <f t="shared" si="90"/>
        <v>#DIV/0!</v>
      </c>
      <c r="BD87" s="29" t="str">
        <f t="shared" si="90"/>
        <v>#DIV/0!</v>
      </c>
      <c r="BE87" s="29" t="str">
        <f t="shared" si="90"/>
        <v>#DIV/0!</v>
      </c>
      <c r="BF87" s="29" t="str">
        <f t="shared" si="90"/>
        <v>#DIV/0!</v>
      </c>
      <c r="BG87" s="29" t="str">
        <f t="shared" si="90"/>
        <v>#DIV/0!</v>
      </c>
      <c r="BH87" s="29" t="str">
        <f t="shared" si="90"/>
        <v>#DIV/0!</v>
      </c>
      <c r="BI87" s="29" t="str">
        <f t="shared" si="90"/>
        <v>#DIV/0!</v>
      </c>
      <c r="BJ87" s="29" t="str">
        <f t="shared" si="90"/>
        <v>#DIV/0!</v>
      </c>
      <c r="BK87" s="29" t="str">
        <f t="shared" si="90"/>
        <v>#DIV/0!</v>
      </c>
      <c r="BL87" s="29" t="str">
        <f t="shared" si="90"/>
        <v>#DIV/0!</v>
      </c>
      <c r="BM87" s="29" t="str">
        <f t="shared" si="3"/>
        <v>#DIV/0!</v>
      </c>
    </row>
    <row r="88">
      <c r="A88" s="16" t="str">
        <f>IFERROR(__xludf.DUMMYFUNCTION("IFERROR(SPARKLINE(SORT(MAP(TRANSPOSE(AQ88:BL88), LAMBDA(val, IF(ISNUMBER(val), PERCENTRANK(AQ88:BL88, val)+0.01, 0))), SEQUENCE(COLUMNS(AQ88:BL88)), FALSE), {""charttype"",""column""; ""color"",""chartreuse""; ""ymin"", 0; ""ymax"", 1.01; ""highcolor"", "&amp;"""darkgreen""; ""lowcolor"", ""red""}), """")"),"")</f>
        <v/>
      </c>
      <c r="B88" s="17" t="str">
        <f t="shared" si="4"/>
        <v/>
      </c>
      <c r="C88" s="1" t="s">
        <v>1150</v>
      </c>
      <c r="D88" s="30" t="str">
        <f>IFERROR(__xludf.DUMMYFUNCTION("IFERROR(GOOGLEFINANCE(C88, ""NAME""))"),"Emcor Group Inc")</f>
        <v>Emcor Group Inc</v>
      </c>
      <c r="E88" s="30" t="s">
        <v>856</v>
      </c>
      <c r="F88" s="33" t="str">
        <f>IFERROR(__xludf.DUMMYFUNCTION("( (GOOGLEFINANCE(C88, ""price"") - Q88) / Q88 ) / (R88 / 100)"),"Loading...")</f>
        <v>Loading...</v>
      </c>
      <c r="G88" s="20" t="str">
        <f>IFERROR(__xludf.DUMMYFUNCTION("AVERAGE(ARRAYFORMULA(100 * (QUERY(GOOGLEFINANCE(C88, ""high"", TODAY()-40, TODAY()), ""SELECT Col2 WHERE Col2 IS NOT NULL ORDER BY Col1 DESC LIMIT 20"", 0) / QUERY(GOOGLEFINANCE(C88, ""low"", TODAY()-40, TODAY()), ""SELECT Col2 WHERE Col2 IS NOT NULL ORDE"&amp;"R BY Col1 DESC LIMIT 20"", 0) - 1)))"),"#N/A")</f>
        <v>#N/A</v>
      </c>
      <c r="H88" s="35" t="str">
        <f t="shared" si="6"/>
        <v/>
      </c>
      <c r="I88" s="35" t="str">
        <f t="shared" si="7"/>
        <v/>
      </c>
      <c r="J88" s="37" t="str">
        <f>IFERROR(__xludf.DUMMYFUNCTION("IFERROR(
  IF(C88="""",, 
    IFERROR(
      GOOGLEFINANCE(C88, ""price"") * GOOGLEFINANCE(C88, ""volumeavg""), 
      GOOGLEFINANCE(C88, ""price"") * AVERAGE(QUERY(GOOGLEFINANCE(C88, ""volume"", TODAY()-40, TODAY()), ""SELECT Col2 WHERE Col2 IS NOT NULL "&amp;"ORDER BY Col1 DESC LIMIT 20"", 0))
    )
  ), 
"""")"),"")</f>
        <v/>
      </c>
      <c r="K88" s="21" t="str">
        <f>IFERROR(__xludf.DUMMYFUNCTION("IFERROR(GOOGLEFINANCE(C88, ""changepct"") / 100, """")"),"")</f>
        <v/>
      </c>
      <c r="L88" s="21" t="str">
        <f>IFERROR(__xludf.DUMMYFUNCTION("IFERROR((GOOGLEFINANCE(C88, ""price"") / INDEX(GOOGLEFINANCE(C88, ""price"", TODAY()-7, TODAY()), 2, 2)) - 1, """")"),"")</f>
        <v/>
      </c>
      <c r="M88" s="21" t="str">
        <f>IFERROR(__xludf.DUMMYFUNCTION("IFERROR((GOOGLEFINANCE(C88, ""price"") / INDEX(GOOGLEFINANCE(C88, ""price"", EDATE(TODAY(), -1), TODAY()), 2, 2)) - 1, """")"),"")</f>
        <v/>
      </c>
      <c r="N88" s="21" t="str">
        <f>IFERROR(__xludf.DUMMYFUNCTION("IFERROR((GOOGLEFINANCE(C88, ""price"") / INDEX(GOOGLEFINANCE(C88, ""price"", EDATE(TODAY(), -3), TODAY()), 2, 2)) - 1, """")"),"")</f>
        <v/>
      </c>
      <c r="O88" s="21" t="str">
        <f>IFERROR(__xludf.DUMMYFUNCTION("IFERROR((GOOGLEFINANCE(C88, ""price"") / INDEX(GOOGLEFINANCE(C88, ""price"", EDATE(TODAY(), -6), TODAY()), 2, 2)) - 1, """")"),"")</f>
        <v/>
      </c>
      <c r="P88" s="21" t="str">
        <f>IFERROR(__xludf.DUMMYFUNCTION("IFERROR((GOOGLEFINANCE(C88, ""price"") / INDEX(GOOGLEFINANCE(C88, ""price"", EDATE(TODAY(), -12), TODAY()), 2, 2)) - 1, """")"),"")</f>
        <v/>
      </c>
      <c r="Q88" s="6" t="str">
        <f>IFERROR(__xludf.DUMMYFUNCTION("AVERAGE(QUERY(GOOGLEFINANCE(C88, ""price"", TODAY()-80, TODAY()), ""SELECT Col2 WHERE Col2 IS NOT NULL ORDER BY Col1 DESC LIMIT 50"", 0))"),"#N/A")</f>
        <v>#N/A</v>
      </c>
      <c r="R88" s="24" t="str">
        <f>IFERROR(__xludf.DUMMYFUNCTION("IFERROR(
  LET(
    data, QUERY(GOOGLEFINANCE(C88,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GOOGLEFINANCE(C88, ""price"")) * 100,
    IF(calc=0, G88, calc)
  ), 
G88)"),"#N/A")</f>
        <v>#N/A</v>
      </c>
      <c r="S88" s="8" t="s">
        <v>15</v>
      </c>
      <c r="T88" s="26" t="str">
        <f>IFERROR(__xludf.DUMMYFUNCTION("IFERROR(TRANSPOSE(QUERY(IFERROR(SORT(GOOGLEFINANCE(C88, ""price"", WORKDAY(TODAY(), -40), TODAY()), 1, FALSE)), ""select Col2 where Col2 is not null limit 22 label Col2 ''"", 0)), """")"),"")</f>
        <v/>
      </c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8"/>
      <c r="AO88" s="28"/>
      <c r="AP88" s="29"/>
      <c r="AQ88" s="29" t="str">
        <f t="shared" ref="AQ88:BL88" si="91">T88/T$2</f>
        <v>#N/A</v>
      </c>
      <c r="AR88" s="29" t="str">
        <f t="shared" si="91"/>
        <v>#DIV/0!</v>
      </c>
      <c r="AS88" s="29" t="str">
        <f t="shared" si="91"/>
        <v>#DIV/0!</v>
      </c>
      <c r="AT88" s="29" t="str">
        <f t="shared" si="91"/>
        <v>#DIV/0!</v>
      </c>
      <c r="AU88" s="29" t="str">
        <f t="shared" si="91"/>
        <v>#DIV/0!</v>
      </c>
      <c r="AV88" s="29" t="str">
        <f t="shared" si="91"/>
        <v>#DIV/0!</v>
      </c>
      <c r="AW88" s="29" t="str">
        <f t="shared" si="91"/>
        <v>#DIV/0!</v>
      </c>
      <c r="AX88" s="29" t="str">
        <f t="shared" si="91"/>
        <v>#DIV/0!</v>
      </c>
      <c r="AY88" s="29" t="str">
        <f t="shared" si="91"/>
        <v>#DIV/0!</v>
      </c>
      <c r="AZ88" s="29" t="str">
        <f t="shared" si="91"/>
        <v>#DIV/0!</v>
      </c>
      <c r="BA88" s="29" t="str">
        <f t="shared" si="91"/>
        <v>#DIV/0!</v>
      </c>
      <c r="BB88" s="29" t="str">
        <f t="shared" si="91"/>
        <v>#DIV/0!</v>
      </c>
      <c r="BC88" s="29" t="str">
        <f t="shared" si="91"/>
        <v>#DIV/0!</v>
      </c>
      <c r="BD88" s="29" t="str">
        <f t="shared" si="91"/>
        <v>#DIV/0!</v>
      </c>
      <c r="BE88" s="29" t="str">
        <f t="shared" si="91"/>
        <v>#DIV/0!</v>
      </c>
      <c r="BF88" s="29" t="str">
        <f t="shared" si="91"/>
        <v>#DIV/0!</v>
      </c>
      <c r="BG88" s="29" t="str">
        <f t="shared" si="91"/>
        <v>#DIV/0!</v>
      </c>
      <c r="BH88" s="29" t="str">
        <f t="shared" si="91"/>
        <v>#DIV/0!</v>
      </c>
      <c r="BI88" s="29" t="str">
        <f t="shared" si="91"/>
        <v>#DIV/0!</v>
      </c>
      <c r="BJ88" s="29" t="str">
        <f t="shared" si="91"/>
        <v>#DIV/0!</v>
      </c>
      <c r="BK88" s="29" t="str">
        <f t="shared" si="91"/>
        <v>#DIV/0!</v>
      </c>
      <c r="BL88" s="29" t="str">
        <f t="shared" si="91"/>
        <v>#DIV/0!</v>
      </c>
      <c r="BM88" s="29" t="str">
        <f t="shared" si="3"/>
        <v>#DIV/0!</v>
      </c>
    </row>
    <row r="89">
      <c r="A89" s="16" t="str">
        <f>IFERROR(__xludf.DUMMYFUNCTION("IFERROR(SPARKLINE(SORT(MAP(TRANSPOSE(AQ89:BL89), LAMBDA(val, IF(ISNUMBER(val), PERCENTRANK(AQ89:BL89, val)+0.01, 0))), SEQUENCE(COLUMNS(AQ89:BL89)), FALSE), {""charttype"",""column""; ""color"",""chartreuse""; ""ymin"", 0; ""ymax"", 1.01; ""highcolor"", "&amp;"""darkgreen""; ""lowcolor"", ""red""}), """")"),"")</f>
        <v/>
      </c>
      <c r="B89" s="17" t="str">
        <f t="shared" si="4"/>
        <v/>
      </c>
      <c r="C89" s="1" t="s">
        <v>1160</v>
      </c>
      <c r="D89" s="30" t="str">
        <f>IFERROR(__xludf.DUMMYFUNCTION("IFERROR(GOOGLEFINANCE(C89, ""NAME""))"),"ACCO Brands Corp")</f>
        <v>ACCO Brands Corp</v>
      </c>
      <c r="E89" s="30" t="s">
        <v>1161</v>
      </c>
      <c r="F89" s="33" t="str">
        <f>IFERROR(__xludf.DUMMYFUNCTION("( (GOOGLEFINANCE(C89, ""price"") - Q89) / Q89 ) / (R89 / 100)"),"Loading...")</f>
        <v>Loading...</v>
      </c>
      <c r="G89" s="20" t="str">
        <f>IFERROR(__xludf.DUMMYFUNCTION("AVERAGE(ARRAYFORMULA(100 * (QUERY(GOOGLEFINANCE(C89, ""high"", TODAY()-40, TODAY()), ""SELECT Col2 WHERE Col2 IS NOT NULL ORDER BY Col1 DESC LIMIT 20"", 0) / QUERY(GOOGLEFINANCE(C89, ""low"", TODAY()-40, TODAY()), ""SELECT Col2 WHERE Col2 IS NOT NULL ORDE"&amp;"R BY Col1 DESC LIMIT 20"", 0) - 1)))"),"#N/A")</f>
        <v>#N/A</v>
      </c>
      <c r="H89" s="35" t="str">
        <f t="shared" si="6"/>
        <v/>
      </c>
      <c r="I89" s="35" t="str">
        <f t="shared" si="7"/>
        <v/>
      </c>
      <c r="J89" s="37" t="str">
        <f>IFERROR(__xludf.DUMMYFUNCTION("IFERROR(
  IF(C89="""",, 
    IFERROR(
      GOOGLEFINANCE(C89, ""price"") * GOOGLEFINANCE(C89, ""volumeavg""), 
      GOOGLEFINANCE(C89, ""price"") * AVERAGE(QUERY(GOOGLEFINANCE(C89, ""volume"", TODAY()-40, TODAY()), ""SELECT Col2 WHERE Col2 IS NOT NULL "&amp;"ORDER BY Col1 DESC LIMIT 20"", 0))
    )
  ), 
"""")"),"")</f>
        <v/>
      </c>
      <c r="K89" s="21" t="str">
        <f>IFERROR(__xludf.DUMMYFUNCTION("IFERROR(GOOGLEFINANCE(C89, ""changepct"") / 100, """")"),"")</f>
        <v/>
      </c>
      <c r="L89" s="21" t="str">
        <f>IFERROR(__xludf.DUMMYFUNCTION("IFERROR((GOOGLEFINANCE(C89, ""price"") / INDEX(GOOGLEFINANCE(C89, ""price"", TODAY()-7, TODAY()), 2, 2)) - 1, """")"),"")</f>
        <v/>
      </c>
      <c r="M89" s="21" t="str">
        <f>IFERROR(__xludf.DUMMYFUNCTION("IFERROR((GOOGLEFINANCE(C89, ""price"") / INDEX(GOOGLEFINANCE(C89, ""price"", EDATE(TODAY(), -1), TODAY()), 2, 2)) - 1, """")"),"")</f>
        <v/>
      </c>
      <c r="N89" s="21" t="str">
        <f>IFERROR(__xludf.DUMMYFUNCTION("IFERROR((GOOGLEFINANCE(C89, ""price"") / INDEX(GOOGLEFINANCE(C89, ""price"", EDATE(TODAY(), -3), TODAY()), 2, 2)) - 1, """")"),"")</f>
        <v/>
      </c>
      <c r="O89" s="21" t="str">
        <f>IFERROR(__xludf.DUMMYFUNCTION("IFERROR((GOOGLEFINANCE(C89, ""price"") / INDEX(GOOGLEFINANCE(C89, ""price"", EDATE(TODAY(), -6), TODAY()), 2, 2)) - 1, """")"),"")</f>
        <v/>
      </c>
      <c r="P89" s="21" t="str">
        <f>IFERROR(__xludf.DUMMYFUNCTION("IFERROR((GOOGLEFINANCE(C89, ""price"") / INDEX(GOOGLEFINANCE(C89, ""price"", EDATE(TODAY(), -12), TODAY()), 2, 2)) - 1, """")"),"")</f>
        <v/>
      </c>
      <c r="Q89" s="6" t="str">
        <f>IFERROR(__xludf.DUMMYFUNCTION("AVERAGE(QUERY(GOOGLEFINANCE(C89, ""price"", TODAY()-80, TODAY()), ""SELECT Col2 WHERE Col2 IS NOT NULL ORDER BY Col1 DESC LIMIT 50"", 0))"),"#N/A")</f>
        <v>#N/A</v>
      </c>
      <c r="R89" s="24" t="str">
        <f>IFERROR(__xludf.DUMMYFUNCTION("IFERROR(
  LET(
    data, QUERY(GOOGLEFINANCE(C89,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GOOGLEFINANCE(C89, ""price"")) * 100,
    IF(calc=0, G89, calc)
  ), 
G89)"),"#N/A")</f>
        <v>#N/A</v>
      </c>
      <c r="S89" s="8" t="s">
        <v>15</v>
      </c>
      <c r="T89" s="26" t="str">
        <f>IFERROR(__xludf.DUMMYFUNCTION("IFERROR(TRANSPOSE(QUERY(IFERROR(SORT(GOOGLEFINANCE(C89, ""price"", WORKDAY(TODAY(), -40), TODAY()), 1, FALSE)), ""select Col2 where Col2 is not null limit 22 label Col2 ''"", 0)), """")"),"")</f>
        <v/>
      </c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8"/>
      <c r="AO89" s="28"/>
      <c r="AP89" s="29"/>
      <c r="AQ89" s="29" t="str">
        <f t="shared" ref="AQ89:BL89" si="92">T89/T$2</f>
        <v>#N/A</v>
      </c>
      <c r="AR89" s="29" t="str">
        <f t="shared" si="92"/>
        <v>#DIV/0!</v>
      </c>
      <c r="AS89" s="29" t="str">
        <f t="shared" si="92"/>
        <v>#DIV/0!</v>
      </c>
      <c r="AT89" s="29" t="str">
        <f t="shared" si="92"/>
        <v>#DIV/0!</v>
      </c>
      <c r="AU89" s="29" t="str">
        <f t="shared" si="92"/>
        <v>#DIV/0!</v>
      </c>
      <c r="AV89" s="29" t="str">
        <f t="shared" si="92"/>
        <v>#DIV/0!</v>
      </c>
      <c r="AW89" s="29" t="str">
        <f t="shared" si="92"/>
        <v>#DIV/0!</v>
      </c>
      <c r="AX89" s="29" t="str">
        <f t="shared" si="92"/>
        <v>#DIV/0!</v>
      </c>
      <c r="AY89" s="29" t="str">
        <f t="shared" si="92"/>
        <v>#DIV/0!</v>
      </c>
      <c r="AZ89" s="29" t="str">
        <f t="shared" si="92"/>
        <v>#DIV/0!</v>
      </c>
      <c r="BA89" s="29" t="str">
        <f t="shared" si="92"/>
        <v>#DIV/0!</v>
      </c>
      <c r="BB89" s="29" t="str">
        <f t="shared" si="92"/>
        <v>#DIV/0!</v>
      </c>
      <c r="BC89" s="29" t="str">
        <f t="shared" si="92"/>
        <v>#DIV/0!</v>
      </c>
      <c r="BD89" s="29" t="str">
        <f t="shared" si="92"/>
        <v>#DIV/0!</v>
      </c>
      <c r="BE89" s="29" t="str">
        <f t="shared" si="92"/>
        <v>#DIV/0!</v>
      </c>
      <c r="BF89" s="29" t="str">
        <f t="shared" si="92"/>
        <v>#DIV/0!</v>
      </c>
      <c r="BG89" s="29" t="str">
        <f t="shared" si="92"/>
        <v>#DIV/0!</v>
      </c>
      <c r="BH89" s="29" t="str">
        <f t="shared" si="92"/>
        <v>#DIV/0!</v>
      </c>
      <c r="BI89" s="29" t="str">
        <f t="shared" si="92"/>
        <v>#DIV/0!</v>
      </c>
      <c r="BJ89" s="29" t="str">
        <f t="shared" si="92"/>
        <v>#DIV/0!</v>
      </c>
      <c r="BK89" s="29" t="str">
        <f t="shared" si="92"/>
        <v>#DIV/0!</v>
      </c>
      <c r="BL89" s="29" t="str">
        <f t="shared" si="92"/>
        <v>#DIV/0!</v>
      </c>
      <c r="BM89" s="29" t="str">
        <f t="shared" si="3"/>
        <v>#DIV/0!</v>
      </c>
    </row>
    <row r="90">
      <c r="A90" s="16" t="str">
        <f>IFERROR(__xludf.DUMMYFUNCTION("IFERROR(SPARKLINE(SORT(MAP(TRANSPOSE(AQ90:BL90), LAMBDA(val, IF(ISNUMBER(val), PERCENTRANK(AQ90:BL90, val)+0.01, 0))), SEQUENCE(COLUMNS(AQ90:BL90)), FALSE), {""charttype"",""column""; ""color"",""chartreuse""; ""ymin"", 0; ""ymax"", 1.01; ""highcolor"", "&amp;"""darkgreen""; ""lowcolor"", ""red""}), """")"),"")</f>
        <v/>
      </c>
      <c r="B90" s="17" t="str">
        <f t="shared" si="4"/>
        <v/>
      </c>
      <c r="C90" s="1" t="s">
        <v>1164</v>
      </c>
      <c r="D90" s="30" t="str">
        <f>IFERROR(__xludf.DUMMYFUNCTION("IFERROR(GOOGLEFINANCE(C90, ""NAME""))"),"Satellogic Inc")</f>
        <v>Satellogic Inc</v>
      </c>
      <c r="E90" s="30" t="s">
        <v>839</v>
      </c>
      <c r="F90" s="33" t="str">
        <f>IFERROR(__xludf.DUMMYFUNCTION("( (GOOGLEFINANCE(C90, ""price"") - Q90) / Q90 ) / (R90 / 100)"),"Loading...")</f>
        <v>Loading...</v>
      </c>
      <c r="G90" s="20" t="str">
        <f>IFERROR(__xludf.DUMMYFUNCTION("AVERAGE(ARRAYFORMULA(100 * (QUERY(GOOGLEFINANCE(C90, ""high"", TODAY()-40, TODAY()), ""SELECT Col2 WHERE Col2 IS NOT NULL ORDER BY Col1 DESC LIMIT 20"", 0) / QUERY(GOOGLEFINANCE(C90, ""low"", TODAY()-40, TODAY()), ""SELECT Col2 WHERE Col2 IS NOT NULL ORDE"&amp;"R BY Col1 DESC LIMIT 20"", 0) - 1)))"),"#N/A")</f>
        <v>#N/A</v>
      </c>
      <c r="H90" s="35" t="str">
        <f t="shared" si="6"/>
        <v/>
      </c>
      <c r="I90" s="35" t="str">
        <f t="shared" si="7"/>
        <v/>
      </c>
      <c r="J90" s="37" t="str">
        <f>IFERROR(__xludf.DUMMYFUNCTION("IFERROR(
  IF(C90="""",, 
    IFERROR(
      GOOGLEFINANCE(C90, ""price"") * GOOGLEFINANCE(C90, ""volumeavg""), 
      GOOGLEFINANCE(C90, ""price"") * AVERAGE(QUERY(GOOGLEFINANCE(C90, ""volume"", TODAY()-40, TODAY()), ""SELECT Col2 WHERE Col2 IS NOT NULL "&amp;"ORDER BY Col1 DESC LIMIT 20"", 0))
    )
  ), 
"""")"),"")</f>
        <v/>
      </c>
      <c r="K90" s="21" t="str">
        <f>IFERROR(__xludf.DUMMYFUNCTION("IFERROR(GOOGLEFINANCE(C90, ""changepct"") / 100, """")"),"")</f>
        <v/>
      </c>
      <c r="L90" s="21" t="str">
        <f>IFERROR(__xludf.DUMMYFUNCTION("IFERROR((GOOGLEFINANCE(C90, ""price"") / INDEX(GOOGLEFINANCE(C90, ""price"", TODAY()-7, TODAY()), 2, 2)) - 1, """")"),"")</f>
        <v/>
      </c>
      <c r="M90" s="21" t="str">
        <f>IFERROR(__xludf.DUMMYFUNCTION("IFERROR((GOOGLEFINANCE(C90, ""price"") / INDEX(GOOGLEFINANCE(C90, ""price"", EDATE(TODAY(), -1), TODAY()), 2, 2)) - 1, """")"),"")</f>
        <v/>
      </c>
      <c r="N90" s="21" t="str">
        <f>IFERROR(__xludf.DUMMYFUNCTION("IFERROR((GOOGLEFINANCE(C90, ""price"") / INDEX(GOOGLEFINANCE(C90, ""price"", EDATE(TODAY(), -3), TODAY()), 2, 2)) - 1, """")"),"")</f>
        <v/>
      </c>
      <c r="O90" s="21" t="str">
        <f>IFERROR(__xludf.DUMMYFUNCTION("IFERROR((GOOGLEFINANCE(C90, ""price"") / INDEX(GOOGLEFINANCE(C90, ""price"", EDATE(TODAY(), -6), TODAY()), 2, 2)) - 1, """")"),"")</f>
        <v/>
      </c>
      <c r="P90" s="21" t="str">
        <f>IFERROR(__xludf.DUMMYFUNCTION("IFERROR((GOOGLEFINANCE(C90, ""price"") / INDEX(GOOGLEFINANCE(C90, ""price"", EDATE(TODAY(), -12), TODAY()), 2, 2)) - 1, """")"),"")</f>
        <v/>
      </c>
      <c r="Q90" s="6" t="str">
        <f>IFERROR(__xludf.DUMMYFUNCTION("AVERAGE(QUERY(GOOGLEFINANCE(C90, ""price"", TODAY()-80, TODAY()), ""SELECT Col2 WHERE Col2 IS NOT NULL ORDER BY Col1 DESC LIMIT 50"", 0))"),"#N/A")</f>
        <v>#N/A</v>
      </c>
      <c r="R90" s="24" t="str">
        <f>IFERROR(__xludf.DUMMYFUNCTION("IFERROR(
  LET(
    data, QUERY(GOOGLEFINANCE(C90,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GOOGLEFINANCE(C90, ""price"")) * 100,
    IF(calc=0, G90, calc)
  ), 
G90)"),"#N/A")</f>
        <v>#N/A</v>
      </c>
      <c r="S90" s="8" t="s">
        <v>15</v>
      </c>
      <c r="T90" s="26" t="str">
        <f>IFERROR(__xludf.DUMMYFUNCTION("IFERROR(TRANSPOSE(QUERY(IFERROR(SORT(GOOGLEFINANCE(C90, ""price"", WORKDAY(TODAY(), -40), TODAY()), 1, FALSE)), ""select Col2 where Col2 is not null limit 22 label Col2 ''"", 0)), """")"),"")</f>
        <v/>
      </c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8"/>
      <c r="AO90" s="28"/>
      <c r="AP90" s="29"/>
      <c r="AQ90" s="29" t="str">
        <f t="shared" ref="AQ90:BL90" si="93">T90/T$2</f>
        <v>#N/A</v>
      </c>
      <c r="AR90" s="29" t="str">
        <f t="shared" si="93"/>
        <v>#DIV/0!</v>
      </c>
      <c r="AS90" s="29" t="str">
        <f t="shared" si="93"/>
        <v>#DIV/0!</v>
      </c>
      <c r="AT90" s="29" t="str">
        <f t="shared" si="93"/>
        <v>#DIV/0!</v>
      </c>
      <c r="AU90" s="29" t="str">
        <f t="shared" si="93"/>
        <v>#DIV/0!</v>
      </c>
      <c r="AV90" s="29" t="str">
        <f t="shared" si="93"/>
        <v>#DIV/0!</v>
      </c>
      <c r="AW90" s="29" t="str">
        <f t="shared" si="93"/>
        <v>#DIV/0!</v>
      </c>
      <c r="AX90" s="29" t="str">
        <f t="shared" si="93"/>
        <v>#DIV/0!</v>
      </c>
      <c r="AY90" s="29" t="str">
        <f t="shared" si="93"/>
        <v>#DIV/0!</v>
      </c>
      <c r="AZ90" s="29" t="str">
        <f t="shared" si="93"/>
        <v>#DIV/0!</v>
      </c>
      <c r="BA90" s="29" t="str">
        <f t="shared" si="93"/>
        <v>#DIV/0!</v>
      </c>
      <c r="BB90" s="29" t="str">
        <f t="shared" si="93"/>
        <v>#DIV/0!</v>
      </c>
      <c r="BC90" s="29" t="str">
        <f t="shared" si="93"/>
        <v>#DIV/0!</v>
      </c>
      <c r="BD90" s="29" t="str">
        <f t="shared" si="93"/>
        <v>#DIV/0!</v>
      </c>
      <c r="BE90" s="29" t="str">
        <f t="shared" si="93"/>
        <v>#DIV/0!</v>
      </c>
      <c r="BF90" s="29" t="str">
        <f t="shared" si="93"/>
        <v>#DIV/0!</v>
      </c>
      <c r="BG90" s="29" t="str">
        <f t="shared" si="93"/>
        <v>#DIV/0!</v>
      </c>
      <c r="BH90" s="29" t="str">
        <f t="shared" si="93"/>
        <v>#DIV/0!</v>
      </c>
      <c r="BI90" s="29" t="str">
        <f t="shared" si="93"/>
        <v>#DIV/0!</v>
      </c>
      <c r="BJ90" s="29" t="str">
        <f t="shared" si="93"/>
        <v>#DIV/0!</v>
      </c>
      <c r="BK90" s="29" t="str">
        <f t="shared" si="93"/>
        <v>#DIV/0!</v>
      </c>
      <c r="BL90" s="29" t="str">
        <f t="shared" si="93"/>
        <v>#DIV/0!</v>
      </c>
      <c r="BM90" s="29" t="str">
        <f t="shared" si="3"/>
        <v>#DIV/0!</v>
      </c>
    </row>
    <row r="91">
      <c r="A91" s="16" t="str">
        <f>IFERROR(__xludf.DUMMYFUNCTION("IFERROR(SPARKLINE(SORT(MAP(TRANSPOSE(AQ91:BL91), LAMBDA(val, IF(ISNUMBER(val), PERCENTRANK(AQ91:BL91, val)+0.01, 0))), SEQUENCE(COLUMNS(AQ91:BL91)), FALSE), {""charttype"",""column""; ""color"",""chartreuse""; ""ymin"", 0; ""ymax"", 1.01; ""highcolor"", "&amp;"""darkgreen""; ""lowcolor"", ""red""}), """")"),"")</f>
        <v/>
      </c>
      <c r="B91" s="17" t="str">
        <f t="shared" si="4"/>
        <v/>
      </c>
      <c r="C91" s="1" t="s">
        <v>1168</v>
      </c>
      <c r="D91" s="30" t="str">
        <f>IFERROR(__xludf.DUMMYFUNCTION("IFERROR(GOOGLEFINANCE(C91, ""NAME""))"),"StandardAero, Inc.")</f>
        <v>StandardAero, Inc.</v>
      </c>
      <c r="E91" s="30" t="s">
        <v>839</v>
      </c>
      <c r="F91" s="33" t="str">
        <f>IFERROR(__xludf.DUMMYFUNCTION("( (GOOGLEFINANCE(C91, ""price"") - Q91) / Q91 ) / (R91 / 100)"),"Loading...")</f>
        <v>Loading...</v>
      </c>
      <c r="G91" s="20" t="str">
        <f>IFERROR(__xludf.DUMMYFUNCTION("AVERAGE(ARRAYFORMULA(100 * (QUERY(GOOGLEFINANCE(C91, ""high"", TODAY()-40, TODAY()), ""SELECT Col2 WHERE Col2 IS NOT NULL ORDER BY Col1 DESC LIMIT 20"", 0) / QUERY(GOOGLEFINANCE(C91, ""low"", TODAY()-40, TODAY()), ""SELECT Col2 WHERE Col2 IS NOT NULL ORDE"&amp;"R BY Col1 DESC LIMIT 20"", 0) - 1)))"),"#N/A")</f>
        <v>#N/A</v>
      </c>
      <c r="H91" s="35" t="str">
        <f t="shared" si="6"/>
        <v/>
      </c>
      <c r="I91" s="35" t="str">
        <f t="shared" si="7"/>
        <v/>
      </c>
      <c r="J91" s="37" t="str">
        <f>IFERROR(__xludf.DUMMYFUNCTION("IFERROR(
  IF(C91="""",, 
    IFERROR(
      GOOGLEFINANCE(C91, ""price"") * GOOGLEFINANCE(C91, ""volumeavg""), 
      GOOGLEFINANCE(C91, ""price"") * AVERAGE(QUERY(GOOGLEFINANCE(C91, ""volume"", TODAY()-40, TODAY()), ""SELECT Col2 WHERE Col2 IS NOT NULL "&amp;"ORDER BY Col1 DESC LIMIT 20"", 0))
    )
  ), 
"""")"),"")</f>
        <v/>
      </c>
      <c r="K91" s="21" t="str">
        <f>IFERROR(__xludf.DUMMYFUNCTION("IFERROR(GOOGLEFINANCE(C91, ""changepct"") / 100, """")"),"")</f>
        <v/>
      </c>
      <c r="L91" s="21" t="str">
        <f>IFERROR(__xludf.DUMMYFUNCTION("IFERROR((GOOGLEFINANCE(C91, ""price"") / INDEX(GOOGLEFINANCE(C91, ""price"", TODAY()-7, TODAY()), 2, 2)) - 1, """")"),"")</f>
        <v/>
      </c>
      <c r="M91" s="21" t="str">
        <f>IFERROR(__xludf.DUMMYFUNCTION("IFERROR((GOOGLEFINANCE(C91, ""price"") / INDEX(GOOGLEFINANCE(C91, ""price"", EDATE(TODAY(), -1), TODAY()), 2, 2)) - 1, """")"),"")</f>
        <v/>
      </c>
      <c r="N91" s="21" t="str">
        <f>IFERROR(__xludf.DUMMYFUNCTION("IFERROR((GOOGLEFINANCE(C91, ""price"") / INDEX(GOOGLEFINANCE(C91, ""price"", EDATE(TODAY(), -3), TODAY()), 2, 2)) - 1, """")"),"")</f>
        <v/>
      </c>
      <c r="O91" s="21" t="str">
        <f>IFERROR(__xludf.DUMMYFUNCTION("IFERROR((GOOGLEFINANCE(C91, ""price"") / INDEX(GOOGLEFINANCE(C91, ""price"", EDATE(TODAY(), -6), TODAY()), 2, 2)) - 1, """")"),"")</f>
        <v/>
      </c>
      <c r="P91" s="21" t="str">
        <f>IFERROR(__xludf.DUMMYFUNCTION("IFERROR((GOOGLEFINANCE(C91, ""price"") / INDEX(GOOGLEFINANCE(C91, ""price"", EDATE(TODAY(), -12), TODAY()), 2, 2)) - 1, """")"),"")</f>
        <v/>
      </c>
      <c r="Q91" s="6" t="str">
        <f>IFERROR(__xludf.DUMMYFUNCTION("AVERAGE(QUERY(GOOGLEFINANCE(C91, ""price"", TODAY()-80, TODAY()), ""SELECT Col2 WHERE Col2 IS NOT NULL ORDER BY Col1 DESC LIMIT 50"", 0))"),"#N/A")</f>
        <v>#N/A</v>
      </c>
      <c r="R91" s="24" t="str">
        <f>IFERROR(__xludf.DUMMYFUNCTION("IFERROR(
  LET(
    data, QUERY(GOOGLEFINANCE(C91,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GOOGLEFINANCE(C91, ""price"")) * 100,
    IF(calc=0, G91, calc)
  ), 
G91)"),"#N/A")</f>
        <v>#N/A</v>
      </c>
      <c r="S91" s="8" t="s">
        <v>15</v>
      </c>
      <c r="T91" s="26" t="str">
        <f>IFERROR(__xludf.DUMMYFUNCTION("IFERROR(TRANSPOSE(QUERY(IFERROR(SORT(GOOGLEFINANCE(C91, ""price"", WORKDAY(TODAY(), -40), TODAY()), 1, FALSE)), ""select Col2 where Col2 is not null limit 22 label Col2 ''"", 0)), """")"),"")</f>
        <v/>
      </c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8"/>
      <c r="AO91" s="28"/>
      <c r="AP91" s="29"/>
      <c r="AQ91" s="29" t="str">
        <f t="shared" ref="AQ91:BL91" si="94">T91/T$2</f>
        <v>#N/A</v>
      </c>
      <c r="AR91" s="29" t="str">
        <f t="shared" si="94"/>
        <v>#DIV/0!</v>
      </c>
      <c r="AS91" s="29" t="str">
        <f t="shared" si="94"/>
        <v>#DIV/0!</v>
      </c>
      <c r="AT91" s="29" t="str">
        <f t="shared" si="94"/>
        <v>#DIV/0!</v>
      </c>
      <c r="AU91" s="29" t="str">
        <f t="shared" si="94"/>
        <v>#DIV/0!</v>
      </c>
      <c r="AV91" s="29" t="str">
        <f t="shared" si="94"/>
        <v>#DIV/0!</v>
      </c>
      <c r="AW91" s="29" t="str">
        <f t="shared" si="94"/>
        <v>#DIV/0!</v>
      </c>
      <c r="AX91" s="29" t="str">
        <f t="shared" si="94"/>
        <v>#DIV/0!</v>
      </c>
      <c r="AY91" s="29" t="str">
        <f t="shared" si="94"/>
        <v>#DIV/0!</v>
      </c>
      <c r="AZ91" s="29" t="str">
        <f t="shared" si="94"/>
        <v>#DIV/0!</v>
      </c>
      <c r="BA91" s="29" t="str">
        <f t="shared" si="94"/>
        <v>#DIV/0!</v>
      </c>
      <c r="BB91" s="29" t="str">
        <f t="shared" si="94"/>
        <v>#DIV/0!</v>
      </c>
      <c r="BC91" s="29" t="str">
        <f t="shared" si="94"/>
        <v>#DIV/0!</v>
      </c>
      <c r="BD91" s="29" t="str">
        <f t="shared" si="94"/>
        <v>#DIV/0!</v>
      </c>
      <c r="BE91" s="29" t="str">
        <f t="shared" si="94"/>
        <v>#DIV/0!</v>
      </c>
      <c r="BF91" s="29" t="str">
        <f t="shared" si="94"/>
        <v>#DIV/0!</v>
      </c>
      <c r="BG91" s="29" t="str">
        <f t="shared" si="94"/>
        <v>#DIV/0!</v>
      </c>
      <c r="BH91" s="29" t="str">
        <f t="shared" si="94"/>
        <v>#DIV/0!</v>
      </c>
      <c r="BI91" s="29" t="str">
        <f t="shared" si="94"/>
        <v>#DIV/0!</v>
      </c>
      <c r="BJ91" s="29" t="str">
        <f t="shared" si="94"/>
        <v>#DIV/0!</v>
      </c>
      <c r="BK91" s="29" t="str">
        <f t="shared" si="94"/>
        <v>#DIV/0!</v>
      </c>
      <c r="BL91" s="29" t="str">
        <f t="shared" si="94"/>
        <v>#DIV/0!</v>
      </c>
      <c r="BM91" s="29" t="str">
        <f t="shared" si="3"/>
        <v>#DIV/0!</v>
      </c>
    </row>
    <row r="92">
      <c r="A92" s="16" t="str">
        <f>IFERROR(__xludf.DUMMYFUNCTION("IFERROR(SPARKLINE(SORT(MAP(TRANSPOSE(AQ92:BL92), LAMBDA(val, IF(ISNUMBER(val), PERCENTRANK(AQ92:BL92, val)+0.01, 0))), SEQUENCE(COLUMNS(AQ92:BL92)), FALSE), {""charttype"",""column""; ""color"",""chartreuse""; ""ymin"", 0; ""ymax"", 1.01; ""highcolor"", "&amp;"""darkgreen""; ""lowcolor"", ""red""}), """")"),"")</f>
        <v/>
      </c>
      <c r="B92" s="17" t="str">
        <f t="shared" si="4"/>
        <v/>
      </c>
      <c r="C92" s="1" t="s">
        <v>1180</v>
      </c>
      <c r="D92" s="30" t="str">
        <f>IFERROR(__xludf.DUMMYFUNCTION("IFERROR(GOOGLEFINANCE(C92, ""NAME""))"),"Cadeler A/S - ADR")</f>
        <v>Cadeler A/S - ADR</v>
      </c>
      <c r="E92" s="30" t="s">
        <v>856</v>
      </c>
      <c r="F92" s="33" t="str">
        <f>IFERROR(__xludf.DUMMYFUNCTION("( (GOOGLEFINANCE(C92, ""price"") - Q92) / Q92 ) / (R92 / 100)"),"Loading...")</f>
        <v>Loading...</v>
      </c>
      <c r="G92" s="20" t="str">
        <f>IFERROR(__xludf.DUMMYFUNCTION("AVERAGE(ARRAYFORMULA(100 * (QUERY(GOOGLEFINANCE(C92, ""high"", TODAY()-40, TODAY()), ""SELECT Col2 WHERE Col2 IS NOT NULL ORDER BY Col1 DESC LIMIT 20"", 0) / QUERY(GOOGLEFINANCE(C92, ""low"", TODAY()-40, TODAY()), ""SELECT Col2 WHERE Col2 IS NOT NULL ORDE"&amp;"R BY Col1 DESC LIMIT 20"", 0) - 1)))"),"#N/A")</f>
        <v>#N/A</v>
      </c>
      <c r="H92" s="35" t="str">
        <f t="shared" si="6"/>
        <v/>
      </c>
      <c r="I92" s="35" t="str">
        <f t="shared" si="7"/>
        <v/>
      </c>
      <c r="J92" s="37" t="str">
        <f>IFERROR(__xludf.DUMMYFUNCTION("IFERROR(
  IF(C92="""",, 
    IFERROR(
      GOOGLEFINANCE(C92, ""price"") * GOOGLEFINANCE(C92, ""volumeavg""), 
      GOOGLEFINANCE(C92, ""price"") * AVERAGE(QUERY(GOOGLEFINANCE(C92, ""volume"", TODAY()-40, TODAY()), ""SELECT Col2 WHERE Col2 IS NOT NULL "&amp;"ORDER BY Col1 DESC LIMIT 20"", 0))
    )
  ), 
"""")"),"")</f>
        <v/>
      </c>
      <c r="K92" s="21" t="str">
        <f>IFERROR(__xludf.DUMMYFUNCTION("IFERROR(GOOGLEFINANCE(C92, ""changepct"") / 100, """")"),"")</f>
        <v/>
      </c>
      <c r="L92" s="21" t="str">
        <f>IFERROR(__xludf.DUMMYFUNCTION("IFERROR((GOOGLEFINANCE(C92, ""price"") / INDEX(GOOGLEFINANCE(C92, ""price"", TODAY()-7, TODAY()), 2, 2)) - 1, """")"),"")</f>
        <v/>
      </c>
      <c r="M92" s="21" t="str">
        <f>IFERROR(__xludf.DUMMYFUNCTION("IFERROR((GOOGLEFINANCE(C92, ""price"") / INDEX(GOOGLEFINANCE(C92, ""price"", EDATE(TODAY(), -1), TODAY()), 2, 2)) - 1, """")"),"")</f>
        <v/>
      </c>
      <c r="N92" s="21" t="str">
        <f>IFERROR(__xludf.DUMMYFUNCTION("IFERROR((GOOGLEFINANCE(C92, ""price"") / INDEX(GOOGLEFINANCE(C92, ""price"", EDATE(TODAY(), -3), TODAY()), 2, 2)) - 1, """")"),"")</f>
        <v/>
      </c>
      <c r="O92" s="21" t="str">
        <f>IFERROR(__xludf.DUMMYFUNCTION("IFERROR((GOOGLEFINANCE(C92, ""price"") / INDEX(GOOGLEFINANCE(C92, ""price"", EDATE(TODAY(), -6), TODAY()), 2, 2)) - 1, """")"),"")</f>
        <v/>
      </c>
      <c r="P92" s="21" t="str">
        <f>IFERROR(__xludf.DUMMYFUNCTION("IFERROR((GOOGLEFINANCE(C92, ""price"") / INDEX(GOOGLEFINANCE(C92, ""price"", EDATE(TODAY(), -12), TODAY()), 2, 2)) - 1, """")"),"")</f>
        <v/>
      </c>
      <c r="Q92" s="6" t="str">
        <f>IFERROR(__xludf.DUMMYFUNCTION("AVERAGE(QUERY(GOOGLEFINANCE(C92, ""price"", TODAY()-80, TODAY()), ""SELECT Col2 WHERE Col2 IS NOT NULL ORDER BY Col1 DESC LIMIT 50"", 0))"),"#N/A")</f>
        <v>#N/A</v>
      </c>
      <c r="R92" s="24" t="str">
        <f>IFERROR(__xludf.DUMMYFUNCTION("IFERROR(
  LET(
    data, QUERY(GOOGLEFINANCE(C92,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GOOGLEFINANCE(C92, ""price"")) * 100,
    IF(calc=0, G92, calc)
  ), 
G92)"),"#N/A")</f>
        <v>#N/A</v>
      </c>
      <c r="S92" s="8" t="s">
        <v>15</v>
      </c>
      <c r="T92" s="26" t="str">
        <f>IFERROR(__xludf.DUMMYFUNCTION("IFERROR(TRANSPOSE(QUERY(IFERROR(SORT(GOOGLEFINANCE(C92, ""price"", WORKDAY(TODAY(), -40), TODAY()), 1, FALSE)), ""select Col2 where Col2 is not null limit 22 label Col2 ''"", 0)), """")"),"")</f>
        <v/>
      </c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8"/>
      <c r="AO92" s="28"/>
      <c r="AP92" s="29"/>
      <c r="AQ92" s="29" t="str">
        <f t="shared" ref="AQ92:BL92" si="95">T92/T$2</f>
        <v>#N/A</v>
      </c>
      <c r="AR92" s="29" t="str">
        <f t="shared" si="95"/>
        <v>#DIV/0!</v>
      </c>
      <c r="AS92" s="29" t="str">
        <f t="shared" si="95"/>
        <v>#DIV/0!</v>
      </c>
      <c r="AT92" s="29" t="str">
        <f t="shared" si="95"/>
        <v>#DIV/0!</v>
      </c>
      <c r="AU92" s="29" t="str">
        <f t="shared" si="95"/>
        <v>#DIV/0!</v>
      </c>
      <c r="AV92" s="29" t="str">
        <f t="shared" si="95"/>
        <v>#DIV/0!</v>
      </c>
      <c r="AW92" s="29" t="str">
        <f t="shared" si="95"/>
        <v>#DIV/0!</v>
      </c>
      <c r="AX92" s="29" t="str">
        <f t="shared" si="95"/>
        <v>#DIV/0!</v>
      </c>
      <c r="AY92" s="29" t="str">
        <f t="shared" si="95"/>
        <v>#DIV/0!</v>
      </c>
      <c r="AZ92" s="29" t="str">
        <f t="shared" si="95"/>
        <v>#DIV/0!</v>
      </c>
      <c r="BA92" s="29" t="str">
        <f t="shared" si="95"/>
        <v>#DIV/0!</v>
      </c>
      <c r="BB92" s="29" t="str">
        <f t="shared" si="95"/>
        <v>#DIV/0!</v>
      </c>
      <c r="BC92" s="29" t="str">
        <f t="shared" si="95"/>
        <v>#DIV/0!</v>
      </c>
      <c r="BD92" s="29" t="str">
        <f t="shared" si="95"/>
        <v>#DIV/0!</v>
      </c>
      <c r="BE92" s="29" t="str">
        <f t="shared" si="95"/>
        <v>#DIV/0!</v>
      </c>
      <c r="BF92" s="29" t="str">
        <f t="shared" si="95"/>
        <v>#DIV/0!</v>
      </c>
      <c r="BG92" s="29" t="str">
        <f t="shared" si="95"/>
        <v>#DIV/0!</v>
      </c>
      <c r="BH92" s="29" t="str">
        <f t="shared" si="95"/>
        <v>#DIV/0!</v>
      </c>
      <c r="BI92" s="29" t="str">
        <f t="shared" si="95"/>
        <v>#DIV/0!</v>
      </c>
      <c r="BJ92" s="29" t="str">
        <f t="shared" si="95"/>
        <v>#DIV/0!</v>
      </c>
      <c r="BK92" s="29" t="str">
        <f t="shared" si="95"/>
        <v>#DIV/0!</v>
      </c>
      <c r="BL92" s="29" t="str">
        <f t="shared" si="95"/>
        <v>#DIV/0!</v>
      </c>
      <c r="BM92" s="29" t="str">
        <f t="shared" si="3"/>
        <v>#DIV/0!</v>
      </c>
    </row>
    <row r="93">
      <c r="A93" s="16" t="str">
        <f>IFERROR(__xludf.DUMMYFUNCTION("IFERROR(SPARKLINE(SORT(MAP(TRANSPOSE(AQ93:BL93), LAMBDA(val, IF(ISNUMBER(val), PERCENTRANK(AQ93:BL93, val)+0.01, 0))), SEQUENCE(COLUMNS(AQ93:BL93)), FALSE), {""charttype"",""column""; ""color"",""chartreuse""; ""ymin"", 0; ""ymax"", 1.01; ""highcolor"", "&amp;"""darkgreen""; ""lowcolor"", ""red""}), """")"),"")</f>
        <v/>
      </c>
      <c r="B93" s="17" t="str">
        <f t="shared" si="4"/>
        <v/>
      </c>
      <c r="C93" s="1" t="s">
        <v>1182</v>
      </c>
      <c r="D93" s="30" t="str">
        <f>IFERROR(__xludf.DUMMYFUNCTION("IFERROR(GOOGLEFINANCE(C93, ""NAME""))"),"Arcosa Inc")</f>
        <v>Arcosa Inc</v>
      </c>
      <c r="E93" s="30" t="s">
        <v>856</v>
      </c>
      <c r="F93" s="33" t="str">
        <f>IFERROR(__xludf.DUMMYFUNCTION("( (GOOGLEFINANCE(C93, ""price"") - Q93) / Q93 ) / (R93 / 100)"),"Loading...")</f>
        <v>Loading...</v>
      </c>
      <c r="G93" s="20" t="str">
        <f>IFERROR(__xludf.DUMMYFUNCTION("AVERAGE(ARRAYFORMULA(100 * (QUERY(GOOGLEFINANCE(C93, ""high"", TODAY()-40, TODAY()), ""SELECT Col2 WHERE Col2 IS NOT NULL ORDER BY Col1 DESC LIMIT 20"", 0) / QUERY(GOOGLEFINANCE(C93, ""low"", TODAY()-40, TODAY()), ""SELECT Col2 WHERE Col2 IS NOT NULL ORDE"&amp;"R BY Col1 DESC LIMIT 20"", 0) - 1)))"),"#N/A")</f>
        <v>#N/A</v>
      </c>
      <c r="H93" s="35" t="str">
        <f t="shared" si="6"/>
        <v/>
      </c>
      <c r="I93" s="35" t="str">
        <f t="shared" si="7"/>
        <v/>
      </c>
      <c r="J93" s="37" t="str">
        <f>IFERROR(__xludf.DUMMYFUNCTION("IFERROR(
  IF(C93="""",, 
    IFERROR(
      GOOGLEFINANCE(C93, ""price"") * GOOGLEFINANCE(C93, ""volumeavg""), 
      GOOGLEFINANCE(C93, ""price"") * AVERAGE(QUERY(GOOGLEFINANCE(C93, ""volume"", TODAY()-40, TODAY()), ""SELECT Col2 WHERE Col2 IS NOT NULL "&amp;"ORDER BY Col1 DESC LIMIT 20"", 0))
    )
  ), 
"""")"),"")</f>
        <v/>
      </c>
      <c r="K93" s="21" t="str">
        <f>IFERROR(__xludf.DUMMYFUNCTION("IFERROR(GOOGLEFINANCE(C93, ""changepct"") / 100, """")"),"")</f>
        <v/>
      </c>
      <c r="L93" s="21" t="str">
        <f>IFERROR(__xludf.DUMMYFUNCTION("IFERROR((GOOGLEFINANCE(C93, ""price"") / INDEX(GOOGLEFINANCE(C93, ""price"", TODAY()-7, TODAY()), 2, 2)) - 1, """")"),"")</f>
        <v/>
      </c>
      <c r="M93" s="21" t="str">
        <f>IFERROR(__xludf.DUMMYFUNCTION("IFERROR((GOOGLEFINANCE(C93, ""price"") / INDEX(GOOGLEFINANCE(C93, ""price"", EDATE(TODAY(), -1), TODAY()), 2, 2)) - 1, """")"),"")</f>
        <v/>
      </c>
      <c r="N93" s="21" t="str">
        <f>IFERROR(__xludf.DUMMYFUNCTION("IFERROR((GOOGLEFINANCE(C93, ""price"") / INDEX(GOOGLEFINANCE(C93, ""price"", EDATE(TODAY(), -3), TODAY()), 2, 2)) - 1, """")"),"")</f>
        <v/>
      </c>
      <c r="O93" s="21" t="str">
        <f>IFERROR(__xludf.DUMMYFUNCTION("IFERROR((GOOGLEFINANCE(C93, ""price"") / INDEX(GOOGLEFINANCE(C93, ""price"", EDATE(TODAY(), -6), TODAY()), 2, 2)) - 1, """")"),"")</f>
        <v/>
      </c>
      <c r="P93" s="21" t="str">
        <f>IFERROR(__xludf.DUMMYFUNCTION("IFERROR((GOOGLEFINANCE(C93, ""price"") / INDEX(GOOGLEFINANCE(C93, ""price"", EDATE(TODAY(), -12), TODAY()), 2, 2)) - 1, """")"),"")</f>
        <v/>
      </c>
      <c r="Q93" s="6" t="str">
        <f>IFERROR(__xludf.DUMMYFUNCTION("AVERAGE(QUERY(GOOGLEFINANCE(C93, ""price"", TODAY()-80, TODAY()), ""SELECT Col2 WHERE Col2 IS NOT NULL ORDER BY Col1 DESC LIMIT 50"", 0))"),"#N/A")</f>
        <v>#N/A</v>
      </c>
      <c r="R93" s="24" t="str">
        <f>IFERROR(__xludf.DUMMYFUNCTION("IFERROR(
  LET(
    data, QUERY(GOOGLEFINANCE(C93,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GOOGLEFINANCE(C93, ""price"")) * 100,
    IF(calc=0, G93, calc)
  ), 
G93)"),"#N/A")</f>
        <v>#N/A</v>
      </c>
      <c r="S93" s="8" t="s">
        <v>15</v>
      </c>
      <c r="T93" s="26" t="str">
        <f>IFERROR(__xludf.DUMMYFUNCTION("IFERROR(TRANSPOSE(QUERY(IFERROR(SORT(GOOGLEFINANCE(C93, ""price"", WORKDAY(TODAY(), -40), TODAY()), 1, FALSE)), ""select Col2 where Col2 is not null limit 22 label Col2 ''"", 0)), """")"),"")</f>
        <v/>
      </c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8"/>
      <c r="AO93" s="28"/>
      <c r="AP93" s="29"/>
      <c r="AQ93" s="29" t="str">
        <f t="shared" ref="AQ93:BL93" si="96">T93/T$2</f>
        <v>#N/A</v>
      </c>
      <c r="AR93" s="29" t="str">
        <f t="shared" si="96"/>
        <v>#DIV/0!</v>
      </c>
      <c r="AS93" s="29" t="str">
        <f t="shared" si="96"/>
        <v>#DIV/0!</v>
      </c>
      <c r="AT93" s="29" t="str">
        <f t="shared" si="96"/>
        <v>#DIV/0!</v>
      </c>
      <c r="AU93" s="29" t="str">
        <f t="shared" si="96"/>
        <v>#DIV/0!</v>
      </c>
      <c r="AV93" s="29" t="str">
        <f t="shared" si="96"/>
        <v>#DIV/0!</v>
      </c>
      <c r="AW93" s="29" t="str">
        <f t="shared" si="96"/>
        <v>#DIV/0!</v>
      </c>
      <c r="AX93" s="29" t="str">
        <f t="shared" si="96"/>
        <v>#DIV/0!</v>
      </c>
      <c r="AY93" s="29" t="str">
        <f t="shared" si="96"/>
        <v>#DIV/0!</v>
      </c>
      <c r="AZ93" s="29" t="str">
        <f t="shared" si="96"/>
        <v>#DIV/0!</v>
      </c>
      <c r="BA93" s="29" t="str">
        <f t="shared" si="96"/>
        <v>#DIV/0!</v>
      </c>
      <c r="BB93" s="29" t="str">
        <f t="shared" si="96"/>
        <v>#DIV/0!</v>
      </c>
      <c r="BC93" s="29" t="str">
        <f t="shared" si="96"/>
        <v>#DIV/0!</v>
      </c>
      <c r="BD93" s="29" t="str">
        <f t="shared" si="96"/>
        <v>#DIV/0!</v>
      </c>
      <c r="BE93" s="29" t="str">
        <f t="shared" si="96"/>
        <v>#DIV/0!</v>
      </c>
      <c r="BF93" s="29" t="str">
        <f t="shared" si="96"/>
        <v>#DIV/0!</v>
      </c>
      <c r="BG93" s="29" t="str">
        <f t="shared" si="96"/>
        <v>#DIV/0!</v>
      </c>
      <c r="BH93" s="29" t="str">
        <f t="shared" si="96"/>
        <v>#DIV/0!</v>
      </c>
      <c r="BI93" s="29" t="str">
        <f t="shared" si="96"/>
        <v>#DIV/0!</v>
      </c>
      <c r="BJ93" s="29" t="str">
        <f t="shared" si="96"/>
        <v>#DIV/0!</v>
      </c>
      <c r="BK93" s="29" t="str">
        <f t="shared" si="96"/>
        <v>#DIV/0!</v>
      </c>
      <c r="BL93" s="29" t="str">
        <f t="shared" si="96"/>
        <v>#DIV/0!</v>
      </c>
      <c r="BM93" s="29" t="str">
        <f t="shared" si="3"/>
        <v>#DIV/0!</v>
      </c>
    </row>
    <row r="94">
      <c r="A94" s="16" t="str">
        <f>IFERROR(__xludf.DUMMYFUNCTION("IFERROR(SPARKLINE(SORT(MAP(TRANSPOSE(AQ94:BL94), LAMBDA(val, IF(ISNUMBER(val), PERCENTRANK(AQ94:BL94, val)+0.01, 0))), SEQUENCE(COLUMNS(AQ94:BL94)), FALSE), {""charttype"",""column""; ""color"",""chartreuse""; ""ymin"", 0; ""ymax"", 1.01; ""highcolor"", "&amp;"""darkgreen""; ""lowcolor"", ""red""}), """")"),"")</f>
        <v/>
      </c>
      <c r="B94" s="17" t="str">
        <f t="shared" si="4"/>
        <v/>
      </c>
      <c r="C94" s="1" t="s">
        <v>1193</v>
      </c>
      <c r="D94" s="30" t="str">
        <f>IFERROR(__xludf.DUMMYFUNCTION("IFERROR(GOOGLEFINANCE(C94, ""NAME""))"),"Orion Group Holdings Inc")</f>
        <v>Orion Group Holdings Inc</v>
      </c>
      <c r="E94" s="30" t="s">
        <v>856</v>
      </c>
      <c r="F94" s="33" t="str">
        <f>IFERROR(__xludf.DUMMYFUNCTION("( (GOOGLEFINANCE(C94, ""price"") - Q94) / Q94 ) / (R94 / 100)"),"Loading...")</f>
        <v>Loading...</v>
      </c>
      <c r="G94" s="20" t="str">
        <f>IFERROR(__xludf.DUMMYFUNCTION("AVERAGE(ARRAYFORMULA(100 * (QUERY(GOOGLEFINANCE(C94, ""high"", TODAY()-40, TODAY()), ""SELECT Col2 WHERE Col2 IS NOT NULL ORDER BY Col1 DESC LIMIT 20"", 0) / QUERY(GOOGLEFINANCE(C94, ""low"", TODAY()-40, TODAY()), ""SELECT Col2 WHERE Col2 IS NOT NULL ORDE"&amp;"R BY Col1 DESC LIMIT 20"", 0) - 1)))"),"#N/A")</f>
        <v>#N/A</v>
      </c>
      <c r="H94" s="35" t="str">
        <f t="shared" si="6"/>
        <v/>
      </c>
      <c r="I94" s="35" t="str">
        <f t="shared" si="7"/>
        <v/>
      </c>
      <c r="J94" s="37" t="str">
        <f>IFERROR(__xludf.DUMMYFUNCTION("IFERROR(
  IF(C94="""",, 
    IFERROR(
      GOOGLEFINANCE(C94, ""price"") * GOOGLEFINANCE(C94, ""volumeavg""), 
      GOOGLEFINANCE(C94, ""price"") * AVERAGE(QUERY(GOOGLEFINANCE(C94, ""volume"", TODAY()-40, TODAY()), ""SELECT Col2 WHERE Col2 IS NOT NULL "&amp;"ORDER BY Col1 DESC LIMIT 20"", 0))
    )
  ), 
"""")"),"")</f>
        <v/>
      </c>
      <c r="K94" s="21" t="str">
        <f>IFERROR(__xludf.DUMMYFUNCTION("IFERROR(GOOGLEFINANCE(C94, ""changepct"") / 100, """")"),"")</f>
        <v/>
      </c>
      <c r="L94" s="21" t="str">
        <f>IFERROR(__xludf.DUMMYFUNCTION("IFERROR((GOOGLEFINANCE(C94, ""price"") / INDEX(GOOGLEFINANCE(C94, ""price"", TODAY()-7, TODAY()), 2, 2)) - 1, """")"),"")</f>
        <v/>
      </c>
      <c r="M94" s="21" t="str">
        <f>IFERROR(__xludf.DUMMYFUNCTION("IFERROR((GOOGLEFINANCE(C94, ""price"") / INDEX(GOOGLEFINANCE(C94, ""price"", EDATE(TODAY(), -1), TODAY()), 2, 2)) - 1, """")"),"")</f>
        <v/>
      </c>
      <c r="N94" s="21" t="str">
        <f>IFERROR(__xludf.DUMMYFUNCTION("IFERROR((GOOGLEFINANCE(C94, ""price"") / INDEX(GOOGLEFINANCE(C94, ""price"", EDATE(TODAY(), -3), TODAY()), 2, 2)) - 1, """")"),"")</f>
        <v/>
      </c>
      <c r="O94" s="21" t="str">
        <f>IFERROR(__xludf.DUMMYFUNCTION("IFERROR((GOOGLEFINANCE(C94, ""price"") / INDEX(GOOGLEFINANCE(C94, ""price"", EDATE(TODAY(), -6), TODAY()), 2, 2)) - 1, """")"),"")</f>
        <v/>
      </c>
      <c r="P94" s="21" t="str">
        <f>IFERROR(__xludf.DUMMYFUNCTION("IFERROR((GOOGLEFINANCE(C94, ""price"") / INDEX(GOOGLEFINANCE(C94, ""price"", EDATE(TODAY(), -12), TODAY()), 2, 2)) - 1, """")"),"")</f>
        <v/>
      </c>
      <c r="Q94" s="6" t="str">
        <f>IFERROR(__xludf.DUMMYFUNCTION("AVERAGE(QUERY(GOOGLEFINANCE(C94, ""price"", TODAY()-80, TODAY()), ""SELECT Col2 WHERE Col2 IS NOT NULL ORDER BY Col1 DESC LIMIT 50"", 0))"),"#N/A")</f>
        <v>#N/A</v>
      </c>
      <c r="R94" s="24" t="str">
        <f>IFERROR(__xludf.DUMMYFUNCTION("IFERROR(
  LET(
    data, QUERY(GOOGLEFINANCE(C94,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GOOGLEFINANCE(C94, ""price"")) * 100,
    IF(calc=0, G94, calc)
  ), 
G94)"),"#N/A")</f>
        <v>#N/A</v>
      </c>
      <c r="S94" s="8" t="s">
        <v>15</v>
      </c>
      <c r="T94" s="26" t="str">
        <f>IFERROR(__xludf.DUMMYFUNCTION("IFERROR(TRANSPOSE(QUERY(IFERROR(SORT(GOOGLEFINANCE(C94, ""price"", WORKDAY(TODAY(), -40), TODAY()), 1, FALSE)), ""select Col2 where Col2 is not null limit 22 label Col2 ''"", 0)), """")"),"")</f>
        <v/>
      </c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8"/>
      <c r="AO94" s="28"/>
      <c r="AP94" s="29"/>
      <c r="AQ94" s="29" t="str">
        <f t="shared" ref="AQ94:BL94" si="97">T94/T$2</f>
        <v>#N/A</v>
      </c>
      <c r="AR94" s="29" t="str">
        <f t="shared" si="97"/>
        <v>#DIV/0!</v>
      </c>
      <c r="AS94" s="29" t="str">
        <f t="shared" si="97"/>
        <v>#DIV/0!</v>
      </c>
      <c r="AT94" s="29" t="str">
        <f t="shared" si="97"/>
        <v>#DIV/0!</v>
      </c>
      <c r="AU94" s="29" t="str">
        <f t="shared" si="97"/>
        <v>#DIV/0!</v>
      </c>
      <c r="AV94" s="29" t="str">
        <f t="shared" si="97"/>
        <v>#DIV/0!</v>
      </c>
      <c r="AW94" s="29" t="str">
        <f t="shared" si="97"/>
        <v>#DIV/0!</v>
      </c>
      <c r="AX94" s="29" t="str">
        <f t="shared" si="97"/>
        <v>#DIV/0!</v>
      </c>
      <c r="AY94" s="29" t="str">
        <f t="shared" si="97"/>
        <v>#DIV/0!</v>
      </c>
      <c r="AZ94" s="29" t="str">
        <f t="shared" si="97"/>
        <v>#DIV/0!</v>
      </c>
      <c r="BA94" s="29" t="str">
        <f t="shared" si="97"/>
        <v>#DIV/0!</v>
      </c>
      <c r="BB94" s="29" t="str">
        <f t="shared" si="97"/>
        <v>#DIV/0!</v>
      </c>
      <c r="BC94" s="29" t="str">
        <f t="shared" si="97"/>
        <v>#DIV/0!</v>
      </c>
      <c r="BD94" s="29" t="str">
        <f t="shared" si="97"/>
        <v>#DIV/0!</v>
      </c>
      <c r="BE94" s="29" t="str">
        <f t="shared" si="97"/>
        <v>#DIV/0!</v>
      </c>
      <c r="BF94" s="29" t="str">
        <f t="shared" si="97"/>
        <v>#DIV/0!</v>
      </c>
      <c r="BG94" s="29" t="str">
        <f t="shared" si="97"/>
        <v>#DIV/0!</v>
      </c>
      <c r="BH94" s="29" t="str">
        <f t="shared" si="97"/>
        <v>#DIV/0!</v>
      </c>
      <c r="BI94" s="29" t="str">
        <f t="shared" si="97"/>
        <v>#DIV/0!</v>
      </c>
      <c r="BJ94" s="29" t="str">
        <f t="shared" si="97"/>
        <v>#DIV/0!</v>
      </c>
      <c r="BK94" s="29" t="str">
        <f t="shared" si="97"/>
        <v>#DIV/0!</v>
      </c>
      <c r="BL94" s="29" t="str">
        <f t="shared" si="97"/>
        <v>#DIV/0!</v>
      </c>
      <c r="BM94" s="29" t="str">
        <f t="shared" si="3"/>
        <v>#DIV/0!</v>
      </c>
    </row>
    <row r="95">
      <c r="A95" s="16" t="str">
        <f>IFERROR(__xludf.DUMMYFUNCTION("IFERROR(SPARKLINE(SORT(MAP(TRANSPOSE(AQ95:BL95), LAMBDA(val, IF(ISNUMBER(val), PERCENTRANK(AQ95:BL95, val)+0.01, 0))), SEQUENCE(COLUMNS(AQ95:BL95)), FALSE), {""charttype"",""column""; ""color"",""chartreuse""; ""ymin"", 0; ""ymax"", 1.01; ""highcolor"", "&amp;"""darkgreen""; ""lowcolor"", ""red""}), """")"),"")</f>
        <v/>
      </c>
      <c r="B95" s="17" t="str">
        <f t="shared" si="4"/>
        <v/>
      </c>
      <c r="C95" s="1" t="s">
        <v>1198</v>
      </c>
      <c r="D95" s="30" t="str">
        <f>IFERROR(__xludf.DUMMYFUNCTION("IFERROR(GOOGLEFINANCE(C95, ""NAME""))"),"TIC Solutions Inc")</f>
        <v>TIC Solutions Inc</v>
      </c>
      <c r="E95" s="30" t="s">
        <v>916</v>
      </c>
      <c r="F95" s="33" t="str">
        <f>IFERROR(__xludf.DUMMYFUNCTION("( (GOOGLEFINANCE(C95, ""price"") - Q95) / Q95 ) / (R95 / 100)"),"Loading...")</f>
        <v>Loading...</v>
      </c>
      <c r="G95" s="20" t="str">
        <f>IFERROR(__xludf.DUMMYFUNCTION("AVERAGE(ARRAYFORMULA(100 * (QUERY(GOOGLEFINANCE(C95, ""high"", TODAY()-40, TODAY()), ""SELECT Col2 WHERE Col2 IS NOT NULL ORDER BY Col1 DESC LIMIT 20"", 0) / QUERY(GOOGLEFINANCE(C95, ""low"", TODAY()-40, TODAY()), ""SELECT Col2 WHERE Col2 IS NOT NULL ORDE"&amp;"R BY Col1 DESC LIMIT 20"", 0) - 1)))"),"#N/A")</f>
        <v>#N/A</v>
      </c>
      <c r="H95" s="35" t="str">
        <f t="shared" si="6"/>
        <v/>
      </c>
      <c r="I95" s="35" t="str">
        <f t="shared" si="7"/>
        <v/>
      </c>
      <c r="J95" s="37" t="str">
        <f>IFERROR(__xludf.DUMMYFUNCTION("IFERROR(
  IF(C95="""",, 
    IFERROR(
      GOOGLEFINANCE(C95, ""price"") * GOOGLEFINANCE(C95, ""volumeavg""), 
      GOOGLEFINANCE(C95, ""price"") * AVERAGE(QUERY(GOOGLEFINANCE(C95, ""volume"", TODAY()-40, TODAY()), ""SELECT Col2 WHERE Col2 IS NOT NULL "&amp;"ORDER BY Col1 DESC LIMIT 20"", 0))
    )
  ), 
"""")"),"")</f>
        <v/>
      </c>
      <c r="K95" s="21" t="str">
        <f>IFERROR(__xludf.DUMMYFUNCTION("IFERROR(GOOGLEFINANCE(C95, ""changepct"") / 100, """")"),"")</f>
        <v/>
      </c>
      <c r="L95" s="21" t="str">
        <f>IFERROR(__xludf.DUMMYFUNCTION("IFERROR((GOOGLEFINANCE(C95, ""price"") / INDEX(GOOGLEFINANCE(C95, ""price"", TODAY()-7, TODAY()), 2, 2)) - 1, """")"),"")</f>
        <v/>
      </c>
      <c r="M95" s="21" t="str">
        <f>IFERROR(__xludf.DUMMYFUNCTION("IFERROR((GOOGLEFINANCE(C95, ""price"") / INDEX(GOOGLEFINANCE(C95, ""price"", EDATE(TODAY(), -1), TODAY()), 2, 2)) - 1, """")"),"")</f>
        <v/>
      </c>
      <c r="N95" s="21" t="str">
        <f>IFERROR(__xludf.DUMMYFUNCTION("IFERROR((GOOGLEFINANCE(C95, ""price"") / INDEX(GOOGLEFINANCE(C95, ""price"", EDATE(TODAY(), -3), TODAY()), 2, 2)) - 1, """")"),"")</f>
        <v/>
      </c>
      <c r="O95" s="21" t="str">
        <f>IFERROR(__xludf.DUMMYFUNCTION("IFERROR((GOOGLEFINANCE(C95, ""price"") / INDEX(GOOGLEFINANCE(C95, ""price"", EDATE(TODAY(), -6), TODAY()), 2, 2)) - 1, """")"),"")</f>
        <v/>
      </c>
      <c r="P95" s="21" t="str">
        <f>IFERROR(__xludf.DUMMYFUNCTION("IFERROR((GOOGLEFINANCE(C95, ""price"") / INDEX(GOOGLEFINANCE(C95, ""price"", EDATE(TODAY(), -12), TODAY()), 2, 2)) - 1, """")"),"")</f>
        <v/>
      </c>
      <c r="Q95" s="6" t="str">
        <f>IFERROR(__xludf.DUMMYFUNCTION("AVERAGE(QUERY(GOOGLEFINANCE(C95, ""price"", TODAY()-80, TODAY()), ""SELECT Col2 WHERE Col2 IS NOT NULL ORDER BY Col1 DESC LIMIT 50"", 0))"),"#N/A")</f>
        <v>#N/A</v>
      </c>
      <c r="R95" s="24" t="str">
        <f>IFERROR(__xludf.DUMMYFUNCTION("IFERROR(
  LET(
    data, QUERY(GOOGLEFINANCE(C95,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GOOGLEFINANCE(C95, ""price"")) * 100,
    IF(calc=0, G95, calc)
  ), 
G95)"),"#N/A")</f>
        <v>#N/A</v>
      </c>
      <c r="S95" s="8" t="s">
        <v>15</v>
      </c>
      <c r="T95" s="26" t="str">
        <f>IFERROR(__xludf.DUMMYFUNCTION("IFERROR(TRANSPOSE(QUERY(IFERROR(SORT(GOOGLEFINANCE(C95, ""price"", WORKDAY(TODAY(), -40), TODAY()), 1, FALSE)), ""select Col2 where Col2 is not null limit 22 label Col2 ''"", 0)), """")"),"")</f>
        <v/>
      </c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8"/>
      <c r="AO95" s="28"/>
      <c r="AP95" s="29"/>
      <c r="AQ95" s="29" t="str">
        <f t="shared" ref="AQ95:BL95" si="98">T95/T$2</f>
        <v>#N/A</v>
      </c>
      <c r="AR95" s="29" t="str">
        <f t="shared" si="98"/>
        <v>#DIV/0!</v>
      </c>
      <c r="AS95" s="29" t="str">
        <f t="shared" si="98"/>
        <v>#DIV/0!</v>
      </c>
      <c r="AT95" s="29" t="str">
        <f t="shared" si="98"/>
        <v>#DIV/0!</v>
      </c>
      <c r="AU95" s="29" t="str">
        <f t="shared" si="98"/>
        <v>#DIV/0!</v>
      </c>
      <c r="AV95" s="29" t="str">
        <f t="shared" si="98"/>
        <v>#DIV/0!</v>
      </c>
      <c r="AW95" s="29" t="str">
        <f t="shared" si="98"/>
        <v>#DIV/0!</v>
      </c>
      <c r="AX95" s="29" t="str">
        <f t="shared" si="98"/>
        <v>#DIV/0!</v>
      </c>
      <c r="AY95" s="29" t="str">
        <f t="shared" si="98"/>
        <v>#DIV/0!</v>
      </c>
      <c r="AZ95" s="29" t="str">
        <f t="shared" si="98"/>
        <v>#DIV/0!</v>
      </c>
      <c r="BA95" s="29" t="str">
        <f t="shared" si="98"/>
        <v>#DIV/0!</v>
      </c>
      <c r="BB95" s="29" t="str">
        <f t="shared" si="98"/>
        <v>#DIV/0!</v>
      </c>
      <c r="BC95" s="29" t="str">
        <f t="shared" si="98"/>
        <v>#DIV/0!</v>
      </c>
      <c r="BD95" s="29" t="str">
        <f t="shared" si="98"/>
        <v>#DIV/0!</v>
      </c>
      <c r="BE95" s="29" t="str">
        <f t="shared" si="98"/>
        <v>#DIV/0!</v>
      </c>
      <c r="BF95" s="29" t="str">
        <f t="shared" si="98"/>
        <v>#DIV/0!</v>
      </c>
      <c r="BG95" s="29" t="str">
        <f t="shared" si="98"/>
        <v>#DIV/0!</v>
      </c>
      <c r="BH95" s="29" t="str">
        <f t="shared" si="98"/>
        <v>#DIV/0!</v>
      </c>
      <c r="BI95" s="29" t="str">
        <f t="shared" si="98"/>
        <v>#DIV/0!</v>
      </c>
      <c r="BJ95" s="29" t="str">
        <f t="shared" si="98"/>
        <v>#DIV/0!</v>
      </c>
      <c r="BK95" s="29" t="str">
        <f t="shared" si="98"/>
        <v>#DIV/0!</v>
      </c>
      <c r="BL95" s="29" t="str">
        <f t="shared" si="98"/>
        <v>#DIV/0!</v>
      </c>
      <c r="BM95" s="29" t="str">
        <f t="shared" si="3"/>
        <v>#DIV/0!</v>
      </c>
    </row>
    <row r="96">
      <c r="A96" s="16" t="str">
        <f>IFERROR(__xludf.DUMMYFUNCTION("IFERROR(SPARKLINE(SORT(MAP(TRANSPOSE(AQ96:BL96), LAMBDA(val, IF(ISNUMBER(val), PERCENTRANK(AQ96:BL96, val)+0.01, 0))), SEQUENCE(COLUMNS(AQ96:BL96)), FALSE), {""charttype"",""column""; ""color"",""chartreuse""; ""ymin"", 0; ""ymax"", 1.01; ""highcolor"", "&amp;"""darkgreen""; ""lowcolor"", ""red""}), """")"),"")</f>
        <v/>
      </c>
      <c r="B96" s="17" t="str">
        <f t="shared" si="4"/>
        <v/>
      </c>
      <c r="C96" s="1" t="s">
        <v>1202</v>
      </c>
      <c r="D96" s="30" t="str">
        <f>IFERROR(__xludf.DUMMYFUNCTION("IFERROR(GOOGLEFINANCE(C96, ""NAME""))"),"Aduro Clean Technologies Inc")</f>
        <v>Aduro Clean Technologies Inc</v>
      </c>
      <c r="E96" s="30" t="s">
        <v>936</v>
      </c>
      <c r="F96" s="33" t="str">
        <f>IFERROR(__xludf.DUMMYFUNCTION("( (GOOGLEFINANCE(C96, ""price"") - Q96) / Q96 ) / (R96 / 100)"),"Loading...")</f>
        <v>Loading...</v>
      </c>
      <c r="G96" s="20" t="str">
        <f>IFERROR(__xludf.DUMMYFUNCTION("AVERAGE(ARRAYFORMULA(100 * (QUERY(GOOGLEFINANCE(C96, ""high"", TODAY()-40, TODAY()), ""SELECT Col2 WHERE Col2 IS NOT NULL ORDER BY Col1 DESC LIMIT 20"", 0) / QUERY(GOOGLEFINANCE(C96, ""low"", TODAY()-40, TODAY()), ""SELECT Col2 WHERE Col2 IS NOT NULL ORDE"&amp;"R BY Col1 DESC LIMIT 20"", 0) - 1)))"),"#N/A")</f>
        <v>#N/A</v>
      </c>
      <c r="H96" s="35" t="str">
        <f t="shared" si="6"/>
        <v/>
      </c>
      <c r="I96" s="35" t="str">
        <f t="shared" si="7"/>
        <v/>
      </c>
      <c r="J96" s="37" t="str">
        <f>IFERROR(__xludf.DUMMYFUNCTION("IFERROR(
  IF(C96="""",, 
    IFERROR(
      GOOGLEFINANCE(C96, ""price"") * GOOGLEFINANCE(C96, ""volumeavg""), 
      GOOGLEFINANCE(C96, ""price"") * AVERAGE(QUERY(GOOGLEFINANCE(C96, ""volume"", TODAY()-40, TODAY()), ""SELECT Col2 WHERE Col2 IS NOT NULL "&amp;"ORDER BY Col1 DESC LIMIT 20"", 0))
    )
  ), 
"""")"),"")</f>
        <v/>
      </c>
      <c r="K96" s="21" t="str">
        <f>IFERROR(__xludf.DUMMYFUNCTION("IFERROR(GOOGLEFINANCE(C96, ""changepct"") / 100, """")"),"")</f>
        <v/>
      </c>
      <c r="L96" s="21" t="str">
        <f>IFERROR(__xludf.DUMMYFUNCTION("IFERROR((GOOGLEFINANCE(C96, ""price"") / INDEX(GOOGLEFINANCE(C96, ""price"", TODAY()-7, TODAY()), 2, 2)) - 1, """")"),"")</f>
        <v/>
      </c>
      <c r="M96" s="21" t="str">
        <f>IFERROR(__xludf.DUMMYFUNCTION("IFERROR((GOOGLEFINANCE(C96, ""price"") / INDEX(GOOGLEFINANCE(C96, ""price"", EDATE(TODAY(), -1), TODAY()), 2, 2)) - 1, """")"),"")</f>
        <v/>
      </c>
      <c r="N96" s="21" t="str">
        <f>IFERROR(__xludf.DUMMYFUNCTION("IFERROR((GOOGLEFINANCE(C96, ""price"") / INDEX(GOOGLEFINANCE(C96, ""price"", EDATE(TODAY(), -3), TODAY()), 2, 2)) - 1, """")"),"")</f>
        <v/>
      </c>
      <c r="O96" s="21" t="str">
        <f>IFERROR(__xludf.DUMMYFUNCTION("IFERROR((GOOGLEFINANCE(C96, ""price"") / INDEX(GOOGLEFINANCE(C96, ""price"", EDATE(TODAY(), -6), TODAY()), 2, 2)) - 1, """")"),"")</f>
        <v/>
      </c>
      <c r="P96" s="21" t="str">
        <f>IFERROR(__xludf.DUMMYFUNCTION("IFERROR((GOOGLEFINANCE(C96, ""price"") / INDEX(GOOGLEFINANCE(C96, ""price"", EDATE(TODAY(), -12), TODAY()), 2, 2)) - 1, """")"),"")</f>
        <v/>
      </c>
      <c r="Q96" s="6" t="str">
        <f>IFERROR(__xludf.DUMMYFUNCTION("AVERAGE(QUERY(GOOGLEFINANCE(C96, ""price"", TODAY()-80, TODAY()), ""SELECT Col2 WHERE Col2 IS NOT NULL ORDER BY Col1 DESC LIMIT 50"", 0))"),"#N/A")</f>
        <v>#N/A</v>
      </c>
      <c r="R96" s="24" t="str">
        <f>IFERROR(__xludf.DUMMYFUNCTION("IFERROR(
  LET(
    data, QUERY(GOOGLEFINANCE(C96,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GOOGLEFINANCE(C96, ""price"")) * 100,
    IF(calc=0, G96, calc)
  ), 
G96)"),"#N/A")</f>
        <v>#N/A</v>
      </c>
      <c r="S96" s="8" t="s">
        <v>15</v>
      </c>
      <c r="T96" s="26" t="str">
        <f>IFERROR(__xludf.DUMMYFUNCTION("IFERROR(TRANSPOSE(QUERY(IFERROR(SORT(GOOGLEFINANCE(C96, ""price"", WORKDAY(TODAY(), -40), TODAY()), 1, FALSE)), ""select Col2 where Col2 is not null limit 22 label Col2 ''"", 0)), """")"),"")</f>
        <v/>
      </c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8"/>
      <c r="AO96" s="28"/>
      <c r="AP96" s="29"/>
      <c r="AQ96" s="29" t="str">
        <f t="shared" ref="AQ96:BL96" si="99">T96/T$2</f>
        <v>#N/A</v>
      </c>
      <c r="AR96" s="29" t="str">
        <f t="shared" si="99"/>
        <v>#DIV/0!</v>
      </c>
      <c r="AS96" s="29" t="str">
        <f t="shared" si="99"/>
        <v>#DIV/0!</v>
      </c>
      <c r="AT96" s="29" t="str">
        <f t="shared" si="99"/>
        <v>#DIV/0!</v>
      </c>
      <c r="AU96" s="29" t="str">
        <f t="shared" si="99"/>
        <v>#DIV/0!</v>
      </c>
      <c r="AV96" s="29" t="str">
        <f t="shared" si="99"/>
        <v>#DIV/0!</v>
      </c>
      <c r="AW96" s="29" t="str">
        <f t="shared" si="99"/>
        <v>#DIV/0!</v>
      </c>
      <c r="AX96" s="29" t="str">
        <f t="shared" si="99"/>
        <v>#DIV/0!</v>
      </c>
      <c r="AY96" s="29" t="str">
        <f t="shared" si="99"/>
        <v>#DIV/0!</v>
      </c>
      <c r="AZ96" s="29" t="str">
        <f t="shared" si="99"/>
        <v>#DIV/0!</v>
      </c>
      <c r="BA96" s="29" t="str">
        <f t="shared" si="99"/>
        <v>#DIV/0!</v>
      </c>
      <c r="BB96" s="29" t="str">
        <f t="shared" si="99"/>
        <v>#DIV/0!</v>
      </c>
      <c r="BC96" s="29" t="str">
        <f t="shared" si="99"/>
        <v>#DIV/0!</v>
      </c>
      <c r="BD96" s="29" t="str">
        <f t="shared" si="99"/>
        <v>#DIV/0!</v>
      </c>
      <c r="BE96" s="29" t="str">
        <f t="shared" si="99"/>
        <v>#DIV/0!</v>
      </c>
      <c r="BF96" s="29" t="str">
        <f t="shared" si="99"/>
        <v>#DIV/0!</v>
      </c>
      <c r="BG96" s="29" t="str">
        <f t="shared" si="99"/>
        <v>#DIV/0!</v>
      </c>
      <c r="BH96" s="29" t="str">
        <f t="shared" si="99"/>
        <v>#DIV/0!</v>
      </c>
      <c r="BI96" s="29" t="str">
        <f t="shared" si="99"/>
        <v>#DIV/0!</v>
      </c>
      <c r="BJ96" s="29" t="str">
        <f t="shared" si="99"/>
        <v>#DIV/0!</v>
      </c>
      <c r="BK96" s="29" t="str">
        <f t="shared" si="99"/>
        <v>#DIV/0!</v>
      </c>
      <c r="BL96" s="29" t="str">
        <f t="shared" si="99"/>
        <v>#DIV/0!</v>
      </c>
      <c r="BM96" s="29" t="str">
        <f t="shared" si="3"/>
        <v>#DIV/0!</v>
      </c>
    </row>
    <row r="97">
      <c r="A97" s="16" t="str">
        <f>IFERROR(__xludf.DUMMYFUNCTION("IFERROR(SPARKLINE(SORT(MAP(TRANSPOSE(AQ97:BL97), LAMBDA(val, IF(ISNUMBER(val), PERCENTRANK(AQ97:BL97, val)+0.01, 0))), SEQUENCE(COLUMNS(AQ97:BL97)), FALSE), {""charttype"",""column""; ""color"",""chartreuse""; ""ymin"", 0; ""ymax"", 1.01; ""highcolor"", "&amp;"""darkgreen""; ""lowcolor"", ""red""}), """")"),"")</f>
        <v/>
      </c>
      <c r="B97" s="17" t="str">
        <f t="shared" si="4"/>
        <v/>
      </c>
      <c r="C97" s="1" t="s">
        <v>1205</v>
      </c>
      <c r="D97" s="30" t="str">
        <f>IFERROR(__xludf.DUMMYFUNCTION("IFERROR(GOOGLEFINANCE(C97, ""NAME""))"),"Bloom Energy Corp")</f>
        <v>Bloom Energy Corp</v>
      </c>
      <c r="E97" s="30" t="s">
        <v>864</v>
      </c>
      <c r="F97" s="33" t="str">
        <f>IFERROR(__xludf.DUMMYFUNCTION("( (GOOGLEFINANCE(C97, ""price"") - Q97) / Q97 ) / (R97 / 100)"),"Loading...")</f>
        <v>Loading...</v>
      </c>
      <c r="G97" s="20" t="str">
        <f>IFERROR(__xludf.DUMMYFUNCTION("AVERAGE(ARRAYFORMULA(100 * (QUERY(GOOGLEFINANCE(C97, ""high"", TODAY()-40, TODAY()), ""SELECT Col2 WHERE Col2 IS NOT NULL ORDER BY Col1 DESC LIMIT 20"", 0) / QUERY(GOOGLEFINANCE(C97, ""low"", TODAY()-40, TODAY()), ""SELECT Col2 WHERE Col2 IS NOT NULL ORDE"&amp;"R BY Col1 DESC LIMIT 20"", 0) - 1)))"),"#N/A")</f>
        <v>#N/A</v>
      </c>
      <c r="H97" s="35" t="str">
        <f t="shared" si="6"/>
        <v/>
      </c>
      <c r="I97" s="35" t="str">
        <f t="shared" si="7"/>
        <v/>
      </c>
      <c r="J97" s="37" t="str">
        <f>IFERROR(__xludf.DUMMYFUNCTION("IFERROR(
  IF(C97="""",, 
    IFERROR(
      GOOGLEFINANCE(C97, ""price"") * GOOGLEFINANCE(C97, ""volumeavg""), 
      GOOGLEFINANCE(C97, ""price"") * AVERAGE(QUERY(GOOGLEFINANCE(C97, ""volume"", TODAY()-40, TODAY()), ""SELECT Col2 WHERE Col2 IS NOT NULL "&amp;"ORDER BY Col1 DESC LIMIT 20"", 0))
    )
  ), 
"""")"),"")</f>
        <v/>
      </c>
      <c r="K97" s="21" t="str">
        <f>IFERROR(__xludf.DUMMYFUNCTION("IFERROR(GOOGLEFINANCE(C97, ""changepct"") / 100, """")"),"")</f>
        <v/>
      </c>
      <c r="L97" s="21" t="str">
        <f>IFERROR(__xludf.DUMMYFUNCTION("IFERROR((GOOGLEFINANCE(C97, ""price"") / INDEX(GOOGLEFINANCE(C97, ""price"", TODAY()-7, TODAY()), 2, 2)) - 1, """")"),"")</f>
        <v/>
      </c>
      <c r="M97" s="21" t="str">
        <f>IFERROR(__xludf.DUMMYFUNCTION("IFERROR((GOOGLEFINANCE(C97, ""price"") / INDEX(GOOGLEFINANCE(C97, ""price"", EDATE(TODAY(), -1), TODAY()), 2, 2)) - 1, """")"),"")</f>
        <v/>
      </c>
      <c r="N97" s="21" t="str">
        <f>IFERROR(__xludf.DUMMYFUNCTION("IFERROR((GOOGLEFINANCE(C97, ""price"") / INDEX(GOOGLEFINANCE(C97, ""price"", EDATE(TODAY(), -3), TODAY()), 2, 2)) - 1, """")"),"")</f>
        <v/>
      </c>
      <c r="O97" s="21" t="str">
        <f>IFERROR(__xludf.DUMMYFUNCTION("IFERROR((GOOGLEFINANCE(C97, ""price"") / INDEX(GOOGLEFINANCE(C97, ""price"", EDATE(TODAY(), -6), TODAY()), 2, 2)) - 1, """")"),"")</f>
        <v/>
      </c>
      <c r="P97" s="21" t="str">
        <f>IFERROR(__xludf.DUMMYFUNCTION("IFERROR((GOOGLEFINANCE(C97, ""price"") / INDEX(GOOGLEFINANCE(C97, ""price"", EDATE(TODAY(), -12), TODAY()), 2, 2)) - 1, """")"),"")</f>
        <v/>
      </c>
      <c r="Q97" s="6" t="str">
        <f>IFERROR(__xludf.DUMMYFUNCTION("AVERAGE(QUERY(GOOGLEFINANCE(C97, ""price"", TODAY()-80, TODAY()), ""SELECT Col2 WHERE Col2 IS NOT NULL ORDER BY Col1 DESC LIMIT 50"", 0))"),"#N/A")</f>
        <v>#N/A</v>
      </c>
      <c r="R97" s="24" t="str">
        <f>IFERROR(__xludf.DUMMYFUNCTION("IFERROR(
  LET(
    data, QUERY(GOOGLEFINANCE(C97,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GOOGLEFINANCE(C97, ""price"")) * 100,
    IF(calc=0, G97, calc)
  ), 
G97)"),"#N/A")</f>
        <v>#N/A</v>
      </c>
      <c r="S97" s="8" t="s">
        <v>15</v>
      </c>
      <c r="T97" s="26" t="str">
        <f>IFERROR(__xludf.DUMMYFUNCTION("IFERROR(TRANSPOSE(QUERY(IFERROR(SORT(GOOGLEFINANCE(C97, ""price"", WORKDAY(TODAY(), -40), TODAY()), 1, FALSE)), ""select Col2 where Col2 is not null limit 22 label Col2 ''"", 0)), """")"),"")</f>
        <v/>
      </c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8"/>
      <c r="AO97" s="28"/>
      <c r="AP97" s="29"/>
      <c r="AQ97" s="29" t="str">
        <f t="shared" ref="AQ97:BL97" si="100">T97/T$2</f>
        <v>#N/A</v>
      </c>
      <c r="AR97" s="29" t="str">
        <f t="shared" si="100"/>
        <v>#DIV/0!</v>
      </c>
      <c r="AS97" s="29" t="str">
        <f t="shared" si="100"/>
        <v>#DIV/0!</v>
      </c>
      <c r="AT97" s="29" t="str">
        <f t="shared" si="100"/>
        <v>#DIV/0!</v>
      </c>
      <c r="AU97" s="29" t="str">
        <f t="shared" si="100"/>
        <v>#DIV/0!</v>
      </c>
      <c r="AV97" s="29" t="str">
        <f t="shared" si="100"/>
        <v>#DIV/0!</v>
      </c>
      <c r="AW97" s="29" t="str">
        <f t="shared" si="100"/>
        <v>#DIV/0!</v>
      </c>
      <c r="AX97" s="29" t="str">
        <f t="shared" si="100"/>
        <v>#DIV/0!</v>
      </c>
      <c r="AY97" s="29" t="str">
        <f t="shared" si="100"/>
        <v>#DIV/0!</v>
      </c>
      <c r="AZ97" s="29" t="str">
        <f t="shared" si="100"/>
        <v>#DIV/0!</v>
      </c>
      <c r="BA97" s="29" t="str">
        <f t="shared" si="100"/>
        <v>#DIV/0!</v>
      </c>
      <c r="BB97" s="29" t="str">
        <f t="shared" si="100"/>
        <v>#DIV/0!</v>
      </c>
      <c r="BC97" s="29" t="str">
        <f t="shared" si="100"/>
        <v>#DIV/0!</v>
      </c>
      <c r="BD97" s="29" t="str">
        <f t="shared" si="100"/>
        <v>#DIV/0!</v>
      </c>
      <c r="BE97" s="29" t="str">
        <f t="shared" si="100"/>
        <v>#DIV/0!</v>
      </c>
      <c r="BF97" s="29" t="str">
        <f t="shared" si="100"/>
        <v>#DIV/0!</v>
      </c>
      <c r="BG97" s="29" t="str">
        <f t="shared" si="100"/>
        <v>#DIV/0!</v>
      </c>
      <c r="BH97" s="29" t="str">
        <f t="shared" si="100"/>
        <v>#DIV/0!</v>
      </c>
      <c r="BI97" s="29" t="str">
        <f t="shared" si="100"/>
        <v>#DIV/0!</v>
      </c>
      <c r="BJ97" s="29" t="str">
        <f t="shared" si="100"/>
        <v>#DIV/0!</v>
      </c>
      <c r="BK97" s="29" t="str">
        <f t="shared" si="100"/>
        <v>#DIV/0!</v>
      </c>
      <c r="BL97" s="29" t="str">
        <f t="shared" si="100"/>
        <v>#DIV/0!</v>
      </c>
      <c r="BM97" s="29" t="str">
        <f t="shared" si="3"/>
        <v>#DIV/0!</v>
      </c>
    </row>
    <row r="98">
      <c r="A98" s="16" t="str">
        <f>IFERROR(__xludf.DUMMYFUNCTION("IFERROR(SPARKLINE(SORT(MAP(TRANSPOSE(AQ98:BL98), LAMBDA(val, IF(ISNUMBER(val), PERCENTRANK(AQ98:BL98, val)+0.01, 0))), SEQUENCE(COLUMNS(AQ98:BL98)), FALSE), {""charttype"",""column""; ""color"",""chartreuse""; ""ymin"", 0; ""ymax"", 1.01; ""highcolor"", "&amp;"""darkgreen""; ""lowcolor"", ""red""}), """")"),"")</f>
        <v/>
      </c>
      <c r="B98" s="17" t="str">
        <f t="shared" si="4"/>
        <v/>
      </c>
      <c r="C98" s="1" t="s">
        <v>1208</v>
      </c>
      <c r="D98" s="30" t="str">
        <f>IFERROR(__xludf.DUMMYFUNCTION("IFERROR(GOOGLEFINANCE(C98, ""NAME""))"),"Dycom Industries Inc")</f>
        <v>Dycom Industries Inc</v>
      </c>
      <c r="E98" s="30" t="s">
        <v>856</v>
      </c>
      <c r="F98" s="33" t="str">
        <f>IFERROR(__xludf.DUMMYFUNCTION("( (GOOGLEFINANCE(C98, ""price"") - Q98) / Q98 ) / (R98 / 100)"),"Loading...")</f>
        <v>Loading...</v>
      </c>
      <c r="G98" s="20" t="str">
        <f>IFERROR(__xludf.DUMMYFUNCTION("AVERAGE(ARRAYFORMULA(100 * (QUERY(GOOGLEFINANCE(C98, ""high"", TODAY()-40, TODAY()), ""SELECT Col2 WHERE Col2 IS NOT NULL ORDER BY Col1 DESC LIMIT 20"", 0) / QUERY(GOOGLEFINANCE(C98, ""low"", TODAY()-40, TODAY()), ""SELECT Col2 WHERE Col2 IS NOT NULL ORDE"&amp;"R BY Col1 DESC LIMIT 20"", 0) - 1)))"),"#N/A")</f>
        <v>#N/A</v>
      </c>
      <c r="H98" s="35" t="str">
        <f t="shared" si="6"/>
        <v/>
      </c>
      <c r="I98" s="35" t="str">
        <f t="shared" si="7"/>
        <v/>
      </c>
      <c r="J98" s="37" t="str">
        <f>IFERROR(__xludf.DUMMYFUNCTION("IFERROR(
  IF(C98="""",, 
    IFERROR(
      GOOGLEFINANCE(C98, ""price"") * GOOGLEFINANCE(C98, ""volumeavg""), 
      GOOGLEFINANCE(C98, ""price"") * AVERAGE(QUERY(GOOGLEFINANCE(C98, ""volume"", TODAY()-40, TODAY()), ""SELECT Col2 WHERE Col2 IS NOT NULL "&amp;"ORDER BY Col1 DESC LIMIT 20"", 0))
    )
  ), 
"""")"),"")</f>
        <v/>
      </c>
      <c r="K98" s="21" t="str">
        <f>IFERROR(__xludf.DUMMYFUNCTION("IFERROR(GOOGLEFINANCE(C98, ""changepct"") / 100, """")"),"")</f>
        <v/>
      </c>
      <c r="L98" s="21" t="str">
        <f>IFERROR(__xludf.DUMMYFUNCTION("IFERROR((GOOGLEFINANCE(C98, ""price"") / INDEX(GOOGLEFINANCE(C98, ""price"", TODAY()-7, TODAY()), 2, 2)) - 1, """")"),"")</f>
        <v/>
      </c>
      <c r="M98" s="21" t="str">
        <f>IFERROR(__xludf.DUMMYFUNCTION("IFERROR((GOOGLEFINANCE(C98, ""price"") / INDEX(GOOGLEFINANCE(C98, ""price"", EDATE(TODAY(), -1), TODAY()), 2, 2)) - 1, """")"),"")</f>
        <v/>
      </c>
      <c r="N98" s="21" t="str">
        <f>IFERROR(__xludf.DUMMYFUNCTION("IFERROR((GOOGLEFINANCE(C98, ""price"") / INDEX(GOOGLEFINANCE(C98, ""price"", EDATE(TODAY(), -3), TODAY()), 2, 2)) - 1, """")"),"")</f>
        <v/>
      </c>
      <c r="O98" s="21" t="str">
        <f>IFERROR(__xludf.DUMMYFUNCTION("IFERROR((GOOGLEFINANCE(C98, ""price"") / INDEX(GOOGLEFINANCE(C98, ""price"", EDATE(TODAY(), -6), TODAY()), 2, 2)) - 1, """")"),"")</f>
        <v/>
      </c>
      <c r="P98" s="21" t="str">
        <f>IFERROR(__xludf.DUMMYFUNCTION("IFERROR((GOOGLEFINANCE(C98, ""price"") / INDEX(GOOGLEFINANCE(C98, ""price"", EDATE(TODAY(), -12), TODAY()), 2, 2)) - 1, """")"),"")</f>
        <v/>
      </c>
      <c r="Q98" s="6" t="str">
        <f>IFERROR(__xludf.DUMMYFUNCTION("AVERAGE(QUERY(GOOGLEFINANCE(C98, ""price"", TODAY()-80, TODAY()), ""SELECT Col2 WHERE Col2 IS NOT NULL ORDER BY Col1 DESC LIMIT 50"", 0))"),"#N/A")</f>
        <v>#N/A</v>
      </c>
      <c r="R98" s="24" t="str">
        <f>IFERROR(__xludf.DUMMYFUNCTION("IFERROR(
  LET(
    data, QUERY(GOOGLEFINANCE(C98,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GOOGLEFINANCE(C98, ""price"")) * 100,
    IF(calc=0, G98, calc)
  ), 
G98)"),"#N/A")</f>
        <v>#N/A</v>
      </c>
      <c r="S98" s="8" t="s">
        <v>15</v>
      </c>
      <c r="T98" s="26" t="str">
        <f>IFERROR(__xludf.DUMMYFUNCTION("IFERROR(TRANSPOSE(QUERY(IFERROR(SORT(GOOGLEFINANCE(C98, ""price"", WORKDAY(TODAY(), -40), TODAY()), 1, FALSE)), ""select Col2 where Col2 is not null limit 22 label Col2 ''"", 0)), """")"),"")</f>
        <v/>
      </c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8"/>
      <c r="AO98" s="28"/>
      <c r="AP98" s="29"/>
      <c r="AQ98" s="29" t="str">
        <f t="shared" ref="AQ98:BL98" si="101">T98/T$2</f>
        <v>#N/A</v>
      </c>
      <c r="AR98" s="29" t="str">
        <f t="shared" si="101"/>
        <v>#DIV/0!</v>
      </c>
      <c r="AS98" s="29" t="str">
        <f t="shared" si="101"/>
        <v>#DIV/0!</v>
      </c>
      <c r="AT98" s="29" t="str">
        <f t="shared" si="101"/>
        <v>#DIV/0!</v>
      </c>
      <c r="AU98" s="29" t="str">
        <f t="shared" si="101"/>
        <v>#DIV/0!</v>
      </c>
      <c r="AV98" s="29" t="str">
        <f t="shared" si="101"/>
        <v>#DIV/0!</v>
      </c>
      <c r="AW98" s="29" t="str">
        <f t="shared" si="101"/>
        <v>#DIV/0!</v>
      </c>
      <c r="AX98" s="29" t="str">
        <f t="shared" si="101"/>
        <v>#DIV/0!</v>
      </c>
      <c r="AY98" s="29" t="str">
        <f t="shared" si="101"/>
        <v>#DIV/0!</v>
      </c>
      <c r="AZ98" s="29" t="str">
        <f t="shared" si="101"/>
        <v>#DIV/0!</v>
      </c>
      <c r="BA98" s="29" t="str">
        <f t="shared" si="101"/>
        <v>#DIV/0!</v>
      </c>
      <c r="BB98" s="29" t="str">
        <f t="shared" si="101"/>
        <v>#DIV/0!</v>
      </c>
      <c r="BC98" s="29" t="str">
        <f t="shared" si="101"/>
        <v>#DIV/0!</v>
      </c>
      <c r="BD98" s="29" t="str">
        <f t="shared" si="101"/>
        <v>#DIV/0!</v>
      </c>
      <c r="BE98" s="29" t="str">
        <f t="shared" si="101"/>
        <v>#DIV/0!</v>
      </c>
      <c r="BF98" s="29" t="str">
        <f t="shared" si="101"/>
        <v>#DIV/0!</v>
      </c>
      <c r="BG98" s="29" t="str">
        <f t="shared" si="101"/>
        <v>#DIV/0!</v>
      </c>
      <c r="BH98" s="29" t="str">
        <f t="shared" si="101"/>
        <v>#DIV/0!</v>
      </c>
      <c r="BI98" s="29" t="str">
        <f t="shared" si="101"/>
        <v>#DIV/0!</v>
      </c>
      <c r="BJ98" s="29" t="str">
        <f t="shared" si="101"/>
        <v>#DIV/0!</v>
      </c>
      <c r="BK98" s="29" t="str">
        <f t="shared" si="101"/>
        <v>#DIV/0!</v>
      </c>
      <c r="BL98" s="29" t="str">
        <f t="shared" si="101"/>
        <v>#DIV/0!</v>
      </c>
      <c r="BM98" s="29" t="str">
        <f t="shared" si="3"/>
        <v>#DIV/0!</v>
      </c>
    </row>
    <row r="99">
      <c r="A99" s="16" t="str">
        <f>IFERROR(__xludf.DUMMYFUNCTION("IFERROR(SPARKLINE(SORT(MAP(TRANSPOSE(AQ99:BL99), LAMBDA(val, IF(ISNUMBER(val), PERCENTRANK(AQ99:BL99, val)+0.01, 0))), SEQUENCE(COLUMNS(AQ99:BL99)), FALSE), {""charttype"",""column""; ""color"",""chartreuse""; ""ymin"", 0; ""ymax"", 1.01; ""highcolor"", "&amp;"""darkgreen""; ""lowcolor"", ""red""}), """")"),"")</f>
        <v/>
      </c>
      <c r="B99" s="17" t="str">
        <f t="shared" si="4"/>
        <v/>
      </c>
      <c r="C99" s="1" t="s">
        <v>1213</v>
      </c>
      <c r="D99" s="30" t="str">
        <f>IFERROR(__xludf.DUMMYFUNCTION("IFERROR(GOOGLEFINANCE(C99, ""NAME""))"),"Hafnia Ltd")</f>
        <v>Hafnia Ltd</v>
      </c>
      <c r="E99" s="30" t="s">
        <v>834</v>
      </c>
      <c r="F99" s="33" t="str">
        <f>IFERROR(__xludf.DUMMYFUNCTION("( (GOOGLEFINANCE(C99, ""price"") - Q99) / Q99 ) / (R99 / 100)"),"Loading...")</f>
        <v>Loading...</v>
      </c>
      <c r="G99" s="20" t="str">
        <f>IFERROR(__xludf.DUMMYFUNCTION("AVERAGE(ARRAYFORMULA(100 * (QUERY(GOOGLEFINANCE(C99, ""high"", TODAY()-40, TODAY()), ""SELECT Col2 WHERE Col2 IS NOT NULL ORDER BY Col1 DESC LIMIT 20"", 0) / QUERY(GOOGLEFINANCE(C99, ""low"", TODAY()-40, TODAY()), ""SELECT Col2 WHERE Col2 IS NOT NULL ORDE"&amp;"R BY Col1 DESC LIMIT 20"", 0) - 1)))"),"#N/A")</f>
        <v>#N/A</v>
      </c>
      <c r="H99" s="35" t="str">
        <f t="shared" si="6"/>
        <v/>
      </c>
      <c r="I99" s="35" t="str">
        <f t="shared" si="7"/>
        <v/>
      </c>
      <c r="J99" s="37" t="str">
        <f>IFERROR(__xludf.DUMMYFUNCTION("IFERROR(
  IF(C99="""",, 
    IFERROR(
      GOOGLEFINANCE(C99, ""price"") * GOOGLEFINANCE(C99, ""volumeavg""), 
      GOOGLEFINANCE(C99, ""price"") * AVERAGE(QUERY(GOOGLEFINANCE(C99, ""volume"", TODAY()-40, TODAY()), ""SELECT Col2 WHERE Col2 IS NOT NULL "&amp;"ORDER BY Col1 DESC LIMIT 20"", 0))
    )
  ), 
"""")"),"")</f>
        <v/>
      </c>
      <c r="K99" s="21" t="str">
        <f>IFERROR(__xludf.DUMMYFUNCTION("IFERROR(GOOGLEFINANCE(C99, ""changepct"") / 100, """")"),"")</f>
        <v/>
      </c>
      <c r="L99" s="21" t="str">
        <f>IFERROR(__xludf.DUMMYFUNCTION("IFERROR((GOOGLEFINANCE(C99, ""price"") / INDEX(GOOGLEFINANCE(C99, ""price"", TODAY()-7, TODAY()), 2, 2)) - 1, """")"),"")</f>
        <v/>
      </c>
      <c r="M99" s="21" t="str">
        <f>IFERROR(__xludf.DUMMYFUNCTION("IFERROR((GOOGLEFINANCE(C99, ""price"") / INDEX(GOOGLEFINANCE(C99, ""price"", EDATE(TODAY(), -1), TODAY()), 2, 2)) - 1, """")"),"")</f>
        <v/>
      </c>
      <c r="N99" s="21" t="str">
        <f>IFERROR(__xludf.DUMMYFUNCTION("IFERROR((GOOGLEFINANCE(C99, ""price"") / INDEX(GOOGLEFINANCE(C99, ""price"", EDATE(TODAY(), -3), TODAY()), 2, 2)) - 1, """")"),"")</f>
        <v/>
      </c>
      <c r="O99" s="21" t="str">
        <f>IFERROR(__xludf.DUMMYFUNCTION("IFERROR((GOOGLEFINANCE(C99, ""price"") / INDEX(GOOGLEFINANCE(C99, ""price"", EDATE(TODAY(), -6), TODAY()), 2, 2)) - 1, """")"),"")</f>
        <v/>
      </c>
      <c r="P99" s="21" t="str">
        <f>IFERROR(__xludf.DUMMYFUNCTION("IFERROR((GOOGLEFINANCE(C99, ""price"") / INDEX(GOOGLEFINANCE(C99, ""price"", EDATE(TODAY(), -12), TODAY()), 2, 2)) - 1, """")"),"")</f>
        <v/>
      </c>
      <c r="Q99" s="6" t="str">
        <f>IFERROR(__xludf.DUMMYFUNCTION("AVERAGE(QUERY(GOOGLEFINANCE(C99, ""price"", TODAY()-80, TODAY()), ""SELECT Col2 WHERE Col2 IS NOT NULL ORDER BY Col1 DESC LIMIT 50"", 0))"),"#N/A")</f>
        <v>#N/A</v>
      </c>
      <c r="R99" s="24" t="str">
        <f>IFERROR(__xludf.DUMMYFUNCTION("IFERROR(
  LET(
    data, QUERY(GOOGLEFINANCE(C99,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GOOGLEFINANCE(C99, ""price"")) * 100,
    IF(calc=0, G99, calc)
  ), 
G99)"),"#N/A")</f>
        <v>#N/A</v>
      </c>
      <c r="S99" s="8" t="s">
        <v>15</v>
      </c>
      <c r="T99" s="26" t="str">
        <f>IFERROR(__xludf.DUMMYFUNCTION("IFERROR(TRANSPOSE(QUERY(IFERROR(SORT(GOOGLEFINANCE(C99, ""price"", WORKDAY(TODAY(), -40), TODAY()), 1, FALSE)), ""select Col2 where Col2 is not null limit 22 label Col2 ''"", 0)), """")"),"")</f>
        <v/>
      </c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8"/>
      <c r="AO99" s="28"/>
      <c r="AP99" s="29"/>
      <c r="AQ99" s="29" t="str">
        <f t="shared" ref="AQ99:BL99" si="102">T99/T$2</f>
        <v>#N/A</v>
      </c>
      <c r="AR99" s="29" t="str">
        <f t="shared" si="102"/>
        <v>#DIV/0!</v>
      </c>
      <c r="AS99" s="29" t="str">
        <f t="shared" si="102"/>
        <v>#DIV/0!</v>
      </c>
      <c r="AT99" s="29" t="str">
        <f t="shared" si="102"/>
        <v>#DIV/0!</v>
      </c>
      <c r="AU99" s="29" t="str">
        <f t="shared" si="102"/>
        <v>#DIV/0!</v>
      </c>
      <c r="AV99" s="29" t="str">
        <f t="shared" si="102"/>
        <v>#DIV/0!</v>
      </c>
      <c r="AW99" s="29" t="str">
        <f t="shared" si="102"/>
        <v>#DIV/0!</v>
      </c>
      <c r="AX99" s="29" t="str">
        <f t="shared" si="102"/>
        <v>#DIV/0!</v>
      </c>
      <c r="AY99" s="29" t="str">
        <f t="shared" si="102"/>
        <v>#DIV/0!</v>
      </c>
      <c r="AZ99" s="29" t="str">
        <f t="shared" si="102"/>
        <v>#DIV/0!</v>
      </c>
      <c r="BA99" s="29" t="str">
        <f t="shared" si="102"/>
        <v>#DIV/0!</v>
      </c>
      <c r="BB99" s="29" t="str">
        <f t="shared" si="102"/>
        <v>#DIV/0!</v>
      </c>
      <c r="BC99" s="29" t="str">
        <f t="shared" si="102"/>
        <v>#DIV/0!</v>
      </c>
      <c r="BD99" s="29" t="str">
        <f t="shared" si="102"/>
        <v>#DIV/0!</v>
      </c>
      <c r="BE99" s="29" t="str">
        <f t="shared" si="102"/>
        <v>#DIV/0!</v>
      </c>
      <c r="BF99" s="29" t="str">
        <f t="shared" si="102"/>
        <v>#DIV/0!</v>
      </c>
      <c r="BG99" s="29" t="str">
        <f t="shared" si="102"/>
        <v>#DIV/0!</v>
      </c>
      <c r="BH99" s="29" t="str">
        <f t="shared" si="102"/>
        <v>#DIV/0!</v>
      </c>
      <c r="BI99" s="29" t="str">
        <f t="shared" si="102"/>
        <v>#DIV/0!</v>
      </c>
      <c r="BJ99" s="29" t="str">
        <f t="shared" si="102"/>
        <v>#DIV/0!</v>
      </c>
      <c r="BK99" s="29" t="str">
        <f t="shared" si="102"/>
        <v>#DIV/0!</v>
      </c>
      <c r="BL99" s="29" t="str">
        <f t="shared" si="102"/>
        <v>#DIV/0!</v>
      </c>
      <c r="BM99" s="29" t="str">
        <f t="shared" si="3"/>
        <v>#DIV/0!</v>
      </c>
    </row>
    <row r="100">
      <c r="A100" s="16" t="str">
        <f>IFERROR(__xludf.DUMMYFUNCTION("IFERROR(SPARKLINE(SORT(MAP(TRANSPOSE(AQ100:BL100), LAMBDA(val, IF(ISNUMBER(val), PERCENTRANK(AQ100:BL100, val)+0.01, 0))), SEQUENCE(COLUMNS(AQ100:BL100)), FALSE), {""charttype"",""column""; ""color"",""chartreuse""; ""ymin"", 0; ""ymax"", 1.01; ""highcolo"&amp;"r"", ""darkgreen""; ""lowcolor"", ""red""}), """")"),"")</f>
        <v/>
      </c>
      <c r="B100" s="17" t="str">
        <f t="shared" si="4"/>
        <v/>
      </c>
      <c r="C100" s="1" t="s">
        <v>1216</v>
      </c>
      <c r="D100" s="30" t="str">
        <f>IFERROR(__xludf.DUMMYFUNCTION("IFERROR(GOOGLEFINANCE(C100, ""NAME""))"),"Dnow Inc")</f>
        <v>Dnow Inc</v>
      </c>
      <c r="E100" s="30" t="s">
        <v>829</v>
      </c>
      <c r="F100" s="33" t="str">
        <f>IFERROR(__xludf.DUMMYFUNCTION("( (GOOGLEFINANCE(C100, ""price"") - Q100) / Q100 ) / (R100 / 100)"),"Loading...")</f>
        <v>Loading...</v>
      </c>
      <c r="G100" s="20" t="str">
        <f>IFERROR(__xludf.DUMMYFUNCTION("AVERAGE(ARRAYFORMULA(100 * (QUERY(GOOGLEFINANCE(C100, ""high"", TODAY()-40, TODAY()), ""SELECT Col2 WHERE Col2 IS NOT NULL ORDER BY Col1 DESC LIMIT 20"", 0) / QUERY(GOOGLEFINANCE(C100, ""low"", TODAY()-40, TODAY()), ""SELECT Col2 WHERE Col2 IS NOT NULL OR"&amp;"DER BY Col1 DESC LIMIT 20"", 0) - 1)))"),"#N/A")</f>
        <v>#N/A</v>
      </c>
      <c r="H100" s="35" t="str">
        <f t="shared" si="6"/>
        <v/>
      </c>
      <c r="I100" s="35" t="str">
        <f t="shared" si="7"/>
        <v/>
      </c>
      <c r="J100" s="37" t="str">
        <f>IFERROR(__xludf.DUMMYFUNCTION("IFERROR(
  IF(C100="""",, 
    IFERROR(
      GOOGLEFINANCE(C100, ""price"") * GOOGLEFINANCE(C100, ""volumeavg""), 
      GOOGLEFINANCE(C100, ""price"") * AVERAGE(QUERY(GOOGLEFINANCE(C100, ""volume"", TODAY()-40, TODAY()), ""SELECT Col2 WHERE Col2 IS NOT "&amp;"NULL ORDER BY Col1 DESC LIMIT 20"", 0))
    )
  ), 
"""")"),"")</f>
        <v/>
      </c>
      <c r="K100" s="21" t="str">
        <f>IFERROR(__xludf.DUMMYFUNCTION("IFERROR(GOOGLEFINANCE(C100, ""changepct"") / 100, """")"),"")</f>
        <v/>
      </c>
      <c r="L100" s="21" t="str">
        <f>IFERROR(__xludf.DUMMYFUNCTION("IFERROR((GOOGLEFINANCE(C100, ""price"") / INDEX(GOOGLEFINANCE(C100, ""price"", TODAY()-7, TODAY()), 2, 2)) - 1, """")"),"")</f>
        <v/>
      </c>
      <c r="M100" s="21" t="str">
        <f>IFERROR(__xludf.DUMMYFUNCTION("IFERROR((GOOGLEFINANCE(C100, ""price"") / INDEX(GOOGLEFINANCE(C100, ""price"", EDATE(TODAY(), -1), TODAY()), 2, 2)) - 1, """")"),"")</f>
        <v/>
      </c>
      <c r="N100" s="21" t="str">
        <f>IFERROR(__xludf.DUMMYFUNCTION("IFERROR((GOOGLEFINANCE(C100, ""price"") / INDEX(GOOGLEFINANCE(C100, ""price"", EDATE(TODAY(), -3), TODAY()), 2, 2)) - 1, """")"),"")</f>
        <v/>
      </c>
      <c r="O100" s="21" t="str">
        <f>IFERROR(__xludf.DUMMYFUNCTION("IFERROR((GOOGLEFINANCE(C100, ""price"") / INDEX(GOOGLEFINANCE(C100, ""price"", EDATE(TODAY(), -6), TODAY()), 2, 2)) - 1, """")"),"")</f>
        <v/>
      </c>
      <c r="P100" s="21" t="str">
        <f>IFERROR(__xludf.DUMMYFUNCTION("IFERROR((GOOGLEFINANCE(C100, ""price"") / INDEX(GOOGLEFINANCE(C100, ""price"", EDATE(TODAY(), -12), TODAY()), 2, 2)) - 1, """")"),"")</f>
        <v/>
      </c>
      <c r="Q100" s="6" t="str">
        <f>IFERROR(__xludf.DUMMYFUNCTION("AVERAGE(QUERY(GOOGLEFINANCE(C100, ""price"", TODAY()-80, TODAY()), ""SELECT Col2 WHERE Col2 IS NOT NULL ORDER BY Col1 DESC LIMIT 50"", 0))"),"#N/A")</f>
        <v>#N/A</v>
      </c>
      <c r="R100" s="24" t="str">
        <f>IFERROR(__xludf.DUMMYFUNCTION("IFERROR(
  LET(
    data, QUERY(GOOGLEFINANCE(C100,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GOOGLEFINANCE(C100, ""price"")) * 100,
    IF(calc=0, G100, calc)
  ), 
G100)"),"#N/A")</f>
        <v>#N/A</v>
      </c>
      <c r="S100" s="8" t="s">
        <v>15</v>
      </c>
      <c r="T100" s="26" t="str">
        <f>IFERROR(__xludf.DUMMYFUNCTION("IFERROR(TRANSPOSE(QUERY(IFERROR(SORT(GOOGLEFINANCE(C100, ""price"", WORKDAY(TODAY(), -40), TODAY()), 1, FALSE)), ""select Col2 where Col2 is not null limit 22 label Col2 ''"", 0)), """")"),"")</f>
        <v/>
      </c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8"/>
      <c r="AO100" s="28"/>
      <c r="AP100" s="29"/>
      <c r="AQ100" s="29" t="str">
        <f t="shared" ref="AQ100:BL100" si="103">T100/T$2</f>
        <v>#N/A</v>
      </c>
      <c r="AR100" s="29" t="str">
        <f t="shared" si="103"/>
        <v>#DIV/0!</v>
      </c>
      <c r="AS100" s="29" t="str">
        <f t="shared" si="103"/>
        <v>#DIV/0!</v>
      </c>
      <c r="AT100" s="29" t="str">
        <f t="shared" si="103"/>
        <v>#DIV/0!</v>
      </c>
      <c r="AU100" s="29" t="str">
        <f t="shared" si="103"/>
        <v>#DIV/0!</v>
      </c>
      <c r="AV100" s="29" t="str">
        <f t="shared" si="103"/>
        <v>#DIV/0!</v>
      </c>
      <c r="AW100" s="29" t="str">
        <f t="shared" si="103"/>
        <v>#DIV/0!</v>
      </c>
      <c r="AX100" s="29" t="str">
        <f t="shared" si="103"/>
        <v>#DIV/0!</v>
      </c>
      <c r="AY100" s="29" t="str">
        <f t="shared" si="103"/>
        <v>#DIV/0!</v>
      </c>
      <c r="AZ100" s="29" t="str">
        <f t="shared" si="103"/>
        <v>#DIV/0!</v>
      </c>
      <c r="BA100" s="29" t="str">
        <f t="shared" si="103"/>
        <v>#DIV/0!</v>
      </c>
      <c r="BB100" s="29" t="str">
        <f t="shared" si="103"/>
        <v>#DIV/0!</v>
      </c>
      <c r="BC100" s="29" t="str">
        <f t="shared" si="103"/>
        <v>#DIV/0!</v>
      </c>
      <c r="BD100" s="29" t="str">
        <f t="shared" si="103"/>
        <v>#DIV/0!</v>
      </c>
      <c r="BE100" s="29" t="str">
        <f t="shared" si="103"/>
        <v>#DIV/0!</v>
      </c>
      <c r="BF100" s="29" t="str">
        <f t="shared" si="103"/>
        <v>#DIV/0!</v>
      </c>
      <c r="BG100" s="29" t="str">
        <f t="shared" si="103"/>
        <v>#DIV/0!</v>
      </c>
      <c r="BH100" s="29" t="str">
        <f t="shared" si="103"/>
        <v>#DIV/0!</v>
      </c>
      <c r="BI100" s="29" t="str">
        <f t="shared" si="103"/>
        <v>#DIV/0!</v>
      </c>
      <c r="BJ100" s="29" t="str">
        <f t="shared" si="103"/>
        <v>#DIV/0!</v>
      </c>
      <c r="BK100" s="29" t="str">
        <f t="shared" si="103"/>
        <v>#DIV/0!</v>
      </c>
      <c r="BL100" s="29" t="str">
        <f t="shared" si="103"/>
        <v>#DIV/0!</v>
      </c>
      <c r="BM100" s="29" t="str">
        <f t="shared" si="3"/>
        <v>#DIV/0!</v>
      </c>
    </row>
    <row r="101">
      <c r="A101" s="16" t="str">
        <f>IFERROR(__xludf.DUMMYFUNCTION("IFERROR(SPARKLINE(SORT(MAP(TRANSPOSE(AQ101:BL101), LAMBDA(val, IF(ISNUMBER(val), PERCENTRANK(AQ101:BL101, val)+0.01, 0))), SEQUENCE(COLUMNS(AQ101:BL101)), FALSE), {""charttype"",""column""; ""color"",""chartreuse""; ""ymin"", 0; ""ymax"", 1.01; ""highcolo"&amp;"r"", ""darkgreen""; ""lowcolor"", ""red""}), """")"),"")</f>
        <v/>
      </c>
      <c r="B101" s="17" t="str">
        <f t="shared" si="4"/>
        <v/>
      </c>
      <c r="C101" s="1" t="s">
        <v>1220</v>
      </c>
      <c r="D101" s="30" t="str">
        <f>IFERROR(__xludf.DUMMYFUNCTION("IFERROR(GOOGLEFINANCE(C101, ""NAME""))"),"Radiant Logistics Inc")</f>
        <v>Radiant Logistics Inc</v>
      </c>
      <c r="E101" s="30" t="s">
        <v>955</v>
      </c>
      <c r="F101" s="33" t="str">
        <f>IFERROR(__xludf.DUMMYFUNCTION("( (GOOGLEFINANCE(C101, ""price"") - Q101) / Q101 ) / (R101 / 100)"),"Loading...")</f>
        <v>Loading...</v>
      </c>
      <c r="G101" s="20" t="str">
        <f>IFERROR(__xludf.DUMMYFUNCTION("AVERAGE(ARRAYFORMULA(100 * (QUERY(GOOGLEFINANCE(C101, ""high"", TODAY()-40, TODAY()), ""SELECT Col2 WHERE Col2 IS NOT NULL ORDER BY Col1 DESC LIMIT 20"", 0) / QUERY(GOOGLEFINANCE(C101, ""low"", TODAY()-40, TODAY()), ""SELECT Col2 WHERE Col2 IS NOT NULL OR"&amp;"DER BY Col1 DESC LIMIT 20"", 0) - 1)))"),"#N/A")</f>
        <v>#N/A</v>
      </c>
      <c r="H101" s="35" t="str">
        <f t="shared" si="6"/>
        <v/>
      </c>
      <c r="I101" s="35" t="str">
        <f t="shared" si="7"/>
        <v/>
      </c>
      <c r="J101" s="37" t="str">
        <f>IFERROR(__xludf.DUMMYFUNCTION("IFERROR(
  IF(C101="""",, 
    IFERROR(
      GOOGLEFINANCE(C101, ""price"") * GOOGLEFINANCE(C101, ""volumeavg""), 
      GOOGLEFINANCE(C101, ""price"") * AVERAGE(QUERY(GOOGLEFINANCE(C101, ""volume"", TODAY()-40, TODAY()), ""SELECT Col2 WHERE Col2 IS NOT "&amp;"NULL ORDER BY Col1 DESC LIMIT 20"", 0))
    )
  ), 
"""")"),"")</f>
        <v/>
      </c>
      <c r="K101" s="21" t="str">
        <f>IFERROR(__xludf.DUMMYFUNCTION("IFERROR(GOOGLEFINANCE(C101, ""changepct"") / 100, """")"),"")</f>
        <v/>
      </c>
      <c r="L101" s="21" t="str">
        <f>IFERROR(__xludf.DUMMYFUNCTION("IFERROR((GOOGLEFINANCE(C101, ""price"") / INDEX(GOOGLEFINANCE(C101, ""price"", TODAY()-7, TODAY()), 2, 2)) - 1, """")"),"")</f>
        <v/>
      </c>
      <c r="M101" s="21" t="str">
        <f>IFERROR(__xludf.DUMMYFUNCTION("IFERROR((GOOGLEFINANCE(C101, ""price"") / INDEX(GOOGLEFINANCE(C101, ""price"", EDATE(TODAY(), -1), TODAY()), 2, 2)) - 1, """")"),"")</f>
        <v/>
      </c>
      <c r="N101" s="21" t="str">
        <f>IFERROR(__xludf.DUMMYFUNCTION("IFERROR((GOOGLEFINANCE(C101, ""price"") / INDEX(GOOGLEFINANCE(C101, ""price"", EDATE(TODAY(), -3), TODAY()), 2, 2)) - 1, """")"),"")</f>
        <v/>
      </c>
      <c r="O101" s="21" t="str">
        <f>IFERROR(__xludf.DUMMYFUNCTION("IFERROR((GOOGLEFINANCE(C101, ""price"") / INDEX(GOOGLEFINANCE(C101, ""price"", EDATE(TODAY(), -6), TODAY()), 2, 2)) - 1, """")"),"")</f>
        <v/>
      </c>
      <c r="P101" s="21" t="str">
        <f>IFERROR(__xludf.DUMMYFUNCTION("IFERROR((GOOGLEFINANCE(C101, ""price"") / INDEX(GOOGLEFINANCE(C101, ""price"", EDATE(TODAY(), -12), TODAY()), 2, 2)) - 1, """")"),"")</f>
        <v/>
      </c>
      <c r="Q101" s="6" t="str">
        <f>IFERROR(__xludf.DUMMYFUNCTION("AVERAGE(QUERY(GOOGLEFINANCE(C101, ""price"", TODAY()-80, TODAY()), ""SELECT Col2 WHERE Col2 IS NOT NULL ORDER BY Col1 DESC LIMIT 50"", 0))"),"#N/A")</f>
        <v>#N/A</v>
      </c>
      <c r="R101" s="24" t="str">
        <f>IFERROR(__xludf.DUMMYFUNCTION("IFERROR(
  LET(
    data, QUERY(GOOGLEFINANCE(C101,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GOOGLEFINANCE(C101, ""price"")) * 100,
    IF(calc=0, G101, calc)
  ), 
G101)"),"#N/A")</f>
        <v>#N/A</v>
      </c>
      <c r="S101" s="8" t="s">
        <v>15</v>
      </c>
      <c r="T101" s="26" t="str">
        <f>IFERROR(__xludf.DUMMYFUNCTION("IFERROR(TRANSPOSE(QUERY(IFERROR(SORT(GOOGLEFINANCE(C101, ""price"", WORKDAY(TODAY(), -40), TODAY()), 1, FALSE)), ""select Col2 where Col2 is not null limit 22 label Col2 ''"", 0)), """")"),"")</f>
        <v/>
      </c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8"/>
      <c r="AO101" s="28"/>
      <c r="AP101" s="29"/>
      <c r="AQ101" s="29" t="str">
        <f t="shared" ref="AQ101:BL101" si="104">T101/T$2</f>
        <v>#N/A</v>
      </c>
      <c r="AR101" s="29" t="str">
        <f t="shared" si="104"/>
        <v>#DIV/0!</v>
      </c>
      <c r="AS101" s="29" t="str">
        <f t="shared" si="104"/>
        <v>#DIV/0!</v>
      </c>
      <c r="AT101" s="29" t="str">
        <f t="shared" si="104"/>
        <v>#DIV/0!</v>
      </c>
      <c r="AU101" s="29" t="str">
        <f t="shared" si="104"/>
        <v>#DIV/0!</v>
      </c>
      <c r="AV101" s="29" t="str">
        <f t="shared" si="104"/>
        <v>#DIV/0!</v>
      </c>
      <c r="AW101" s="29" t="str">
        <f t="shared" si="104"/>
        <v>#DIV/0!</v>
      </c>
      <c r="AX101" s="29" t="str">
        <f t="shared" si="104"/>
        <v>#DIV/0!</v>
      </c>
      <c r="AY101" s="29" t="str">
        <f t="shared" si="104"/>
        <v>#DIV/0!</v>
      </c>
      <c r="AZ101" s="29" t="str">
        <f t="shared" si="104"/>
        <v>#DIV/0!</v>
      </c>
      <c r="BA101" s="29" t="str">
        <f t="shared" si="104"/>
        <v>#DIV/0!</v>
      </c>
      <c r="BB101" s="29" t="str">
        <f t="shared" si="104"/>
        <v>#DIV/0!</v>
      </c>
      <c r="BC101" s="29" t="str">
        <f t="shared" si="104"/>
        <v>#DIV/0!</v>
      </c>
      <c r="BD101" s="29" t="str">
        <f t="shared" si="104"/>
        <v>#DIV/0!</v>
      </c>
      <c r="BE101" s="29" t="str">
        <f t="shared" si="104"/>
        <v>#DIV/0!</v>
      </c>
      <c r="BF101" s="29" t="str">
        <f t="shared" si="104"/>
        <v>#DIV/0!</v>
      </c>
      <c r="BG101" s="29" t="str">
        <f t="shared" si="104"/>
        <v>#DIV/0!</v>
      </c>
      <c r="BH101" s="29" t="str">
        <f t="shared" si="104"/>
        <v>#DIV/0!</v>
      </c>
      <c r="BI101" s="29" t="str">
        <f t="shared" si="104"/>
        <v>#DIV/0!</v>
      </c>
      <c r="BJ101" s="29" t="str">
        <f t="shared" si="104"/>
        <v>#DIV/0!</v>
      </c>
      <c r="BK101" s="29" t="str">
        <f t="shared" si="104"/>
        <v>#DIV/0!</v>
      </c>
      <c r="BL101" s="29" t="str">
        <f t="shared" si="104"/>
        <v>#DIV/0!</v>
      </c>
      <c r="BM101" s="29" t="str">
        <f t="shared" si="3"/>
        <v>#DIV/0!</v>
      </c>
    </row>
    <row r="102">
      <c r="A102" s="16" t="str">
        <f>IFERROR(__xludf.DUMMYFUNCTION("IFERROR(SPARKLINE(SORT(MAP(TRANSPOSE(AQ102:BL102), LAMBDA(val, IF(ISNUMBER(val), PERCENTRANK(AQ102:BL102, val)+0.01, 0))), SEQUENCE(COLUMNS(AQ102:BL102)), FALSE), {""charttype"",""column""; ""color"",""chartreuse""; ""ymin"", 0; ""ymax"", 1.01; ""highcolo"&amp;"r"", ""darkgreen""; ""lowcolor"", ""red""}), """")"),"")</f>
        <v/>
      </c>
      <c r="B102" s="17" t="str">
        <f t="shared" si="4"/>
        <v/>
      </c>
      <c r="C102" s="1" t="s">
        <v>1224</v>
      </c>
      <c r="D102" s="30" t="str">
        <f>IFERROR(__xludf.DUMMYFUNCTION("IFERROR(GOOGLEFINANCE(C102, ""NAME""))"),"Lightbridge Corp")</f>
        <v>Lightbridge Corp</v>
      </c>
      <c r="E102" s="30" t="s">
        <v>864</v>
      </c>
      <c r="F102" s="33" t="str">
        <f>IFERROR(__xludf.DUMMYFUNCTION("( (GOOGLEFINANCE(C102, ""price"") - Q102) / Q102 ) / (R102 / 100)"),"Loading...")</f>
        <v>Loading...</v>
      </c>
      <c r="G102" s="20" t="str">
        <f>IFERROR(__xludf.DUMMYFUNCTION("AVERAGE(ARRAYFORMULA(100 * (QUERY(GOOGLEFINANCE(C102, ""high"", TODAY()-40, TODAY()), ""SELECT Col2 WHERE Col2 IS NOT NULL ORDER BY Col1 DESC LIMIT 20"", 0) / QUERY(GOOGLEFINANCE(C102, ""low"", TODAY()-40, TODAY()), ""SELECT Col2 WHERE Col2 IS NOT NULL OR"&amp;"DER BY Col1 DESC LIMIT 20"", 0) - 1)))"),"#N/A")</f>
        <v>#N/A</v>
      </c>
      <c r="H102" s="35" t="str">
        <f t="shared" si="6"/>
        <v/>
      </c>
      <c r="I102" s="35" t="str">
        <f t="shared" si="7"/>
        <v/>
      </c>
      <c r="J102" s="37" t="str">
        <f>IFERROR(__xludf.DUMMYFUNCTION("IFERROR(
  IF(C102="""",, 
    IFERROR(
      GOOGLEFINANCE(C102, ""price"") * GOOGLEFINANCE(C102, ""volumeavg""), 
      GOOGLEFINANCE(C102, ""price"") * AVERAGE(QUERY(GOOGLEFINANCE(C102, ""volume"", TODAY()-40, TODAY()), ""SELECT Col2 WHERE Col2 IS NOT "&amp;"NULL ORDER BY Col1 DESC LIMIT 20"", 0))
    )
  ), 
"""")"),"")</f>
        <v/>
      </c>
      <c r="K102" s="21" t="str">
        <f>IFERROR(__xludf.DUMMYFUNCTION("IFERROR(GOOGLEFINANCE(C102, ""changepct"") / 100, """")"),"")</f>
        <v/>
      </c>
      <c r="L102" s="21" t="str">
        <f>IFERROR(__xludf.DUMMYFUNCTION("IFERROR((GOOGLEFINANCE(C102, ""price"") / INDEX(GOOGLEFINANCE(C102, ""price"", TODAY()-7, TODAY()), 2, 2)) - 1, """")"),"")</f>
        <v/>
      </c>
      <c r="M102" s="21" t="str">
        <f>IFERROR(__xludf.DUMMYFUNCTION("IFERROR((GOOGLEFINANCE(C102, ""price"") / INDEX(GOOGLEFINANCE(C102, ""price"", EDATE(TODAY(), -1), TODAY()), 2, 2)) - 1, """")"),"")</f>
        <v/>
      </c>
      <c r="N102" s="21" t="str">
        <f>IFERROR(__xludf.DUMMYFUNCTION("IFERROR((GOOGLEFINANCE(C102, ""price"") / INDEX(GOOGLEFINANCE(C102, ""price"", EDATE(TODAY(), -3), TODAY()), 2, 2)) - 1, """")"),"")</f>
        <v/>
      </c>
      <c r="O102" s="21" t="str">
        <f>IFERROR(__xludf.DUMMYFUNCTION("IFERROR((GOOGLEFINANCE(C102, ""price"") / INDEX(GOOGLEFINANCE(C102, ""price"", EDATE(TODAY(), -6), TODAY()), 2, 2)) - 1, """")"),"")</f>
        <v/>
      </c>
      <c r="P102" s="21" t="str">
        <f>IFERROR(__xludf.DUMMYFUNCTION("IFERROR((GOOGLEFINANCE(C102, ""price"") / INDEX(GOOGLEFINANCE(C102, ""price"", EDATE(TODAY(), -12), TODAY()), 2, 2)) - 1, """")"),"")</f>
        <v/>
      </c>
      <c r="Q102" s="6" t="str">
        <f>IFERROR(__xludf.DUMMYFUNCTION("AVERAGE(QUERY(GOOGLEFINANCE(C102, ""price"", TODAY()-80, TODAY()), ""SELECT Col2 WHERE Col2 IS NOT NULL ORDER BY Col1 DESC LIMIT 50"", 0))"),"#N/A")</f>
        <v>#N/A</v>
      </c>
      <c r="R102" s="24" t="str">
        <f>IFERROR(__xludf.DUMMYFUNCTION("IFERROR(
  LET(
    data, QUERY(GOOGLEFINANCE(C102,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GOOGLEFINANCE(C102, ""price"")) * 100,
    IF(calc=0, G102, calc)
  ), 
G102)"),"#N/A")</f>
        <v>#N/A</v>
      </c>
      <c r="S102" s="8" t="s">
        <v>15</v>
      </c>
      <c r="T102" s="26" t="str">
        <f>IFERROR(__xludf.DUMMYFUNCTION("IFERROR(TRANSPOSE(QUERY(IFERROR(SORT(GOOGLEFINANCE(C102, ""price"", WORKDAY(TODAY(), -40), TODAY()), 1, FALSE)), ""select Col2 where Col2 is not null limit 22 label Col2 ''"", 0)), """")"),"")</f>
        <v/>
      </c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8"/>
      <c r="AO102" s="28"/>
      <c r="AP102" s="29"/>
      <c r="AQ102" s="29" t="str">
        <f t="shared" ref="AQ102:BL102" si="105">T102/T$2</f>
        <v>#N/A</v>
      </c>
      <c r="AR102" s="29" t="str">
        <f t="shared" si="105"/>
        <v>#DIV/0!</v>
      </c>
      <c r="AS102" s="29" t="str">
        <f t="shared" si="105"/>
        <v>#DIV/0!</v>
      </c>
      <c r="AT102" s="29" t="str">
        <f t="shared" si="105"/>
        <v>#DIV/0!</v>
      </c>
      <c r="AU102" s="29" t="str">
        <f t="shared" si="105"/>
        <v>#DIV/0!</v>
      </c>
      <c r="AV102" s="29" t="str">
        <f t="shared" si="105"/>
        <v>#DIV/0!</v>
      </c>
      <c r="AW102" s="29" t="str">
        <f t="shared" si="105"/>
        <v>#DIV/0!</v>
      </c>
      <c r="AX102" s="29" t="str">
        <f t="shared" si="105"/>
        <v>#DIV/0!</v>
      </c>
      <c r="AY102" s="29" t="str">
        <f t="shared" si="105"/>
        <v>#DIV/0!</v>
      </c>
      <c r="AZ102" s="29" t="str">
        <f t="shared" si="105"/>
        <v>#DIV/0!</v>
      </c>
      <c r="BA102" s="29" t="str">
        <f t="shared" si="105"/>
        <v>#DIV/0!</v>
      </c>
      <c r="BB102" s="29" t="str">
        <f t="shared" si="105"/>
        <v>#DIV/0!</v>
      </c>
      <c r="BC102" s="29" t="str">
        <f t="shared" si="105"/>
        <v>#DIV/0!</v>
      </c>
      <c r="BD102" s="29" t="str">
        <f t="shared" si="105"/>
        <v>#DIV/0!</v>
      </c>
      <c r="BE102" s="29" t="str">
        <f t="shared" si="105"/>
        <v>#DIV/0!</v>
      </c>
      <c r="BF102" s="29" t="str">
        <f t="shared" si="105"/>
        <v>#DIV/0!</v>
      </c>
      <c r="BG102" s="29" t="str">
        <f t="shared" si="105"/>
        <v>#DIV/0!</v>
      </c>
      <c r="BH102" s="29" t="str">
        <f t="shared" si="105"/>
        <v>#DIV/0!</v>
      </c>
      <c r="BI102" s="29" t="str">
        <f t="shared" si="105"/>
        <v>#DIV/0!</v>
      </c>
      <c r="BJ102" s="29" t="str">
        <f t="shared" si="105"/>
        <v>#DIV/0!</v>
      </c>
      <c r="BK102" s="29" t="str">
        <f t="shared" si="105"/>
        <v>#DIV/0!</v>
      </c>
      <c r="BL102" s="29" t="str">
        <f t="shared" si="105"/>
        <v>#DIV/0!</v>
      </c>
      <c r="BM102" s="29" t="str">
        <f t="shared" si="3"/>
        <v>#DIV/0!</v>
      </c>
    </row>
    <row r="103">
      <c r="A103" s="16" t="str">
        <f>IFERROR(__xludf.DUMMYFUNCTION("IFERROR(SPARKLINE(SORT(MAP(TRANSPOSE(AQ103:BL103), LAMBDA(val, IF(ISNUMBER(val), PERCENTRANK(AQ103:BL103, val)+0.01, 0))), SEQUENCE(COLUMNS(AQ103:BL103)), FALSE), {""charttype"",""column""; ""color"",""chartreuse""; ""ymin"", 0; ""ymax"", 1.01; ""highcolo"&amp;"r"", ""darkgreen""; ""lowcolor"", ""red""}), """")"),"")</f>
        <v/>
      </c>
      <c r="B103" s="17" t="str">
        <f t="shared" si="4"/>
        <v/>
      </c>
      <c r="C103" s="1" t="s">
        <v>1227</v>
      </c>
      <c r="D103" s="30" t="str">
        <f>IFERROR(__xludf.DUMMYFUNCTION("IFERROR(GOOGLEFINANCE(C103, ""NAME""))"),"Expeditors International of Washngtn Inc")</f>
        <v>Expeditors International of Washngtn Inc</v>
      </c>
      <c r="E103" s="30" t="s">
        <v>955</v>
      </c>
      <c r="F103" s="33" t="str">
        <f>IFERROR(__xludf.DUMMYFUNCTION("( (GOOGLEFINANCE(C103, ""price"") - Q103) / Q103 ) / (R103 / 100)"),"Loading...")</f>
        <v>Loading...</v>
      </c>
      <c r="G103" s="20" t="str">
        <f>IFERROR(__xludf.DUMMYFUNCTION("AVERAGE(ARRAYFORMULA(100 * (QUERY(GOOGLEFINANCE(C103, ""high"", TODAY()-40, TODAY()), ""SELECT Col2 WHERE Col2 IS NOT NULL ORDER BY Col1 DESC LIMIT 20"", 0) / QUERY(GOOGLEFINANCE(C103, ""low"", TODAY()-40, TODAY()), ""SELECT Col2 WHERE Col2 IS NOT NULL OR"&amp;"DER BY Col1 DESC LIMIT 20"", 0) - 1)))"),"#N/A")</f>
        <v>#N/A</v>
      </c>
      <c r="H103" s="35" t="str">
        <f t="shared" si="6"/>
        <v/>
      </c>
      <c r="I103" s="35" t="str">
        <f t="shared" si="7"/>
        <v/>
      </c>
      <c r="J103" s="37" t="str">
        <f>IFERROR(__xludf.DUMMYFUNCTION("IFERROR(
  IF(C103="""",, 
    IFERROR(
      GOOGLEFINANCE(C103, ""price"") * GOOGLEFINANCE(C103, ""volumeavg""), 
      GOOGLEFINANCE(C103, ""price"") * AVERAGE(QUERY(GOOGLEFINANCE(C103, ""volume"", TODAY()-40, TODAY()), ""SELECT Col2 WHERE Col2 IS NOT "&amp;"NULL ORDER BY Col1 DESC LIMIT 20"", 0))
    )
  ), 
"""")"),"")</f>
        <v/>
      </c>
      <c r="K103" s="21" t="str">
        <f>IFERROR(__xludf.DUMMYFUNCTION("IFERROR(GOOGLEFINANCE(C103, ""changepct"") / 100, """")"),"")</f>
        <v/>
      </c>
      <c r="L103" s="21" t="str">
        <f>IFERROR(__xludf.DUMMYFUNCTION("IFERROR((GOOGLEFINANCE(C103, ""price"") / INDEX(GOOGLEFINANCE(C103, ""price"", TODAY()-7, TODAY()), 2, 2)) - 1, """")"),"")</f>
        <v/>
      </c>
      <c r="M103" s="21" t="str">
        <f>IFERROR(__xludf.DUMMYFUNCTION("IFERROR((GOOGLEFINANCE(C103, ""price"") / INDEX(GOOGLEFINANCE(C103, ""price"", EDATE(TODAY(), -1), TODAY()), 2, 2)) - 1, """")"),"")</f>
        <v/>
      </c>
      <c r="N103" s="21" t="str">
        <f>IFERROR(__xludf.DUMMYFUNCTION("IFERROR((GOOGLEFINANCE(C103, ""price"") / INDEX(GOOGLEFINANCE(C103, ""price"", EDATE(TODAY(), -3), TODAY()), 2, 2)) - 1, """")"),"")</f>
        <v/>
      </c>
      <c r="O103" s="21" t="str">
        <f>IFERROR(__xludf.DUMMYFUNCTION("IFERROR((GOOGLEFINANCE(C103, ""price"") / INDEX(GOOGLEFINANCE(C103, ""price"", EDATE(TODAY(), -6), TODAY()), 2, 2)) - 1, """")"),"")</f>
        <v/>
      </c>
      <c r="P103" s="21" t="str">
        <f>IFERROR(__xludf.DUMMYFUNCTION("IFERROR((GOOGLEFINANCE(C103, ""price"") / INDEX(GOOGLEFINANCE(C103, ""price"", EDATE(TODAY(), -12), TODAY()), 2, 2)) - 1, """")"),"")</f>
        <v/>
      </c>
      <c r="Q103" s="6" t="str">
        <f>IFERROR(__xludf.DUMMYFUNCTION("AVERAGE(QUERY(GOOGLEFINANCE(C103, ""price"", TODAY()-80, TODAY()), ""SELECT Col2 WHERE Col2 IS NOT NULL ORDER BY Col1 DESC LIMIT 50"", 0))"),"#N/A")</f>
        <v>#N/A</v>
      </c>
      <c r="R103" s="24" t="str">
        <f>IFERROR(__xludf.DUMMYFUNCTION("IFERROR(
  LET(
    data, QUERY(GOOGLEFINANCE(C103,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GOOGLEFINANCE(C103, ""price"")) * 100,
    IF(calc=0, G103, calc)
  ), 
G103)"),"#N/A")</f>
        <v>#N/A</v>
      </c>
      <c r="S103" s="8" t="s">
        <v>15</v>
      </c>
      <c r="T103" s="26" t="str">
        <f>IFERROR(__xludf.DUMMYFUNCTION("IFERROR(TRANSPOSE(QUERY(IFERROR(SORT(GOOGLEFINANCE(C103, ""price"", WORKDAY(TODAY(), -40), TODAY()), 1, FALSE)), ""select Col2 where Col2 is not null limit 22 label Col2 ''"", 0)), """")"),"")</f>
        <v/>
      </c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8"/>
      <c r="AO103" s="28"/>
      <c r="AP103" s="29"/>
      <c r="AQ103" s="29" t="str">
        <f t="shared" ref="AQ103:BL103" si="106">T103/T$2</f>
        <v>#N/A</v>
      </c>
      <c r="AR103" s="29" t="str">
        <f t="shared" si="106"/>
        <v>#DIV/0!</v>
      </c>
      <c r="AS103" s="29" t="str">
        <f t="shared" si="106"/>
        <v>#DIV/0!</v>
      </c>
      <c r="AT103" s="29" t="str">
        <f t="shared" si="106"/>
        <v>#DIV/0!</v>
      </c>
      <c r="AU103" s="29" t="str">
        <f t="shared" si="106"/>
        <v>#DIV/0!</v>
      </c>
      <c r="AV103" s="29" t="str">
        <f t="shared" si="106"/>
        <v>#DIV/0!</v>
      </c>
      <c r="AW103" s="29" t="str">
        <f t="shared" si="106"/>
        <v>#DIV/0!</v>
      </c>
      <c r="AX103" s="29" t="str">
        <f t="shared" si="106"/>
        <v>#DIV/0!</v>
      </c>
      <c r="AY103" s="29" t="str">
        <f t="shared" si="106"/>
        <v>#DIV/0!</v>
      </c>
      <c r="AZ103" s="29" t="str">
        <f t="shared" si="106"/>
        <v>#DIV/0!</v>
      </c>
      <c r="BA103" s="29" t="str">
        <f t="shared" si="106"/>
        <v>#DIV/0!</v>
      </c>
      <c r="BB103" s="29" t="str">
        <f t="shared" si="106"/>
        <v>#DIV/0!</v>
      </c>
      <c r="BC103" s="29" t="str">
        <f t="shared" si="106"/>
        <v>#DIV/0!</v>
      </c>
      <c r="BD103" s="29" t="str">
        <f t="shared" si="106"/>
        <v>#DIV/0!</v>
      </c>
      <c r="BE103" s="29" t="str">
        <f t="shared" si="106"/>
        <v>#DIV/0!</v>
      </c>
      <c r="BF103" s="29" t="str">
        <f t="shared" si="106"/>
        <v>#DIV/0!</v>
      </c>
      <c r="BG103" s="29" t="str">
        <f t="shared" si="106"/>
        <v>#DIV/0!</v>
      </c>
      <c r="BH103" s="29" t="str">
        <f t="shared" si="106"/>
        <v>#DIV/0!</v>
      </c>
      <c r="BI103" s="29" t="str">
        <f t="shared" si="106"/>
        <v>#DIV/0!</v>
      </c>
      <c r="BJ103" s="29" t="str">
        <f t="shared" si="106"/>
        <v>#DIV/0!</v>
      </c>
      <c r="BK103" s="29" t="str">
        <f t="shared" si="106"/>
        <v>#DIV/0!</v>
      </c>
      <c r="BL103" s="29" t="str">
        <f t="shared" si="106"/>
        <v>#DIV/0!</v>
      </c>
      <c r="BM103" s="29" t="str">
        <f t="shared" si="3"/>
        <v>#DIV/0!</v>
      </c>
    </row>
    <row r="104">
      <c r="A104" s="16" t="str">
        <f>IFERROR(__xludf.DUMMYFUNCTION("IFERROR(SPARKLINE(SORT(MAP(TRANSPOSE(AQ104:BL104), LAMBDA(val, IF(ISNUMBER(val), PERCENTRANK(AQ104:BL104, val)+0.01, 0))), SEQUENCE(COLUMNS(AQ104:BL104)), FALSE), {""charttype"",""column""; ""color"",""chartreuse""; ""ymin"", 0; ""ymax"", 1.01; ""highcolo"&amp;"r"", ""darkgreen""; ""lowcolor"", ""red""}), """")"),"")</f>
        <v/>
      </c>
      <c r="B104" s="17" t="str">
        <f t="shared" si="4"/>
        <v/>
      </c>
      <c r="C104" s="1" t="s">
        <v>1231</v>
      </c>
      <c r="D104" s="30" t="str">
        <f>IFERROR(__xludf.DUMMYFUNCTION("IFERROR(GOOGLEFINANCE(C104, ""NAME""))"),"Granite Construction Inc")</f>
        <v>Granite Construction Inc</v>
      </c>
      <c r="E104" s="30" t="s">
        <v>856</v>
      </c>
      <c r="F104" s="33" t="str">
        <f>IFERROR(__xludf.DUMMYFUNCTION("( (GOOGLEFINANCE(C104, ""price"") - Q104) / Q104 ) / (R104 / 100)"),"Loading...")</f>
        <v>Loading...</v>
      </c>
      <c r="G104" s="20" t="str">
        <f>IFERROR(__xludf.DUMMYFUNCTION("AVERAGE(ARRAYFORMULA(100 * (QUERY(GOOGLEFINANCE(C104, ""high"", TODAY()-40, TODAY()), ""SELECT Col2 WHERE Col2 IS NOT NULL ORDER BY Col1 DESC LIMIT 20"", 0) / QUERY(GOOGLEFINANCE(C104, ""low"", TODAY()-40, TODAY()), ""SELECT Col2 WHERE Col2 IS NOT NULL OR"&amp;"DER BY Col1 DESC LIMIT 20"", 0) - 1)))"),"#N/A")</f>
        <v>#N/A</v>
      </c>
      <c r="H104" s="35" t="str">
        <f t="shared" si="6"/>
        <v/>
      </c>
      <c r="I104" s="35" t="str">
        <f t="shared" si="7"/>
        <v/>
      </c>
      <c r="J104" s="37" t="str">
        <f>IFERROR(__xludf.DUMMYFUNCTION("IFERROR(
  IF(C104="""",, 
    IFERROR(
      GOOGLEFINANCE(C104, ""price"") * GOOGLEFINANCE(C104, ""volumeavg""), 
      GOOGLEFINANCE(C104, ""price"") * AVERAGE(QUERY(GOOGLEFINANCE(C104, ""volume"", TODAY()-40, TODAY()), ""SELECT Col2 WHERE Col2 IS NOT "&amp;"NULL ORDER BY Col1 DESC LIMIT 20"", 0))
    )
  ), 
"""")"),"")</f>
        <v/>
      </c>
      <c r="K104" s="21" t="str">
        <f>IFERROR(__xludf.DUMMYFUNCTION("IFERROR(GOOGLEFINANCE(C104, ""changepct"") / 100, """")"),"")</f>
        <v/>
      </c>
      <c r="L104" s="21" t="str">
        <f>IFERROR(__xludf.DUMMYFUNCTION("IFERROR((GOOGLEFINANCE(C104, ""price"") / INDEX(GOOGLEFINANCE(C104, ""price"", TODAY()-7, TODAY()), 2, 2)) - 1, """")"),"")</f>
        <v/>
      </c>
      <c r="M104" s="21" t="str">
        <f>IFERROR(__xludf.DUMMYFUNCTION("IFERROR((GOOGLEFINANCE(C104, ""price"") / INDEX(GOOGLEFINANCE(C104, ""price"", EDATE(TODAY(), -1), TODAY()), 2, 2)) - 1, """")"),"")</f>
        <v/>
      </c>
      <c r="N104" s="21" t="str">
        <f>IFERROR(__xludf.DUMMYFUNCTION("IFERROR((GOOGLEFINANCE(C104, ""price"") / INDEX(GOOGLEFINANCE(C104, ""price"", EDATE(TODAY(), -3), TODAY()), 2, 2)) - 1, """")"),"")</f>
        <v/>
      </c>
      <c r="O104" s="21" t="str">
        <f>IFERROR(__xludf.DUMMYFUNCTION("IFERROR((GOOGLEFINANCE(C104, ""price"") / INDEX(GOOGLEFINANCE(C104, ""price"", EDATE(TODAY(), -6), TODAY()), 2, 2)) - 1, """")"),"")</f>
        <v/>
      </c>
      <c r="P104" s="21" t="str">
        <f>IFERROR(__xludf.DUMMYFUNCTION("IFERROR((GOOGLEFINANCE(C104, ""price"") / INDEX(GOOGLEFINANCE(C104, ""price"", EDATE(TODAY(), -12), TODAY()), 2, 2)) - 1, """")"),"")</f>
        <v/>
      </c>
      <c r="Q104" s="6" t="str">
        <f>IFERROR(__xludf.DUMMYFUNCTION("AVERAGE(QUERY(GOOGLEFINANCE(C104, ""price"", TODAY()-80, TODAY()), ""SELECT Col2 WHERE Col2 IS NOT NULL ORDER BY Col1 DESC LIMIT 50"", 0))"),"#N/A")</f>
        <v>#N/A</v>
      </c>
      <c r="R104" s="24" t="str">
        <f>IFERROR(__xludf.DUMMYFUNCTION("IFERROR(
  LET(
    data, QUERY(GOOGLEFINANCE(C104,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GOOGLEFINANCE(C104, ""price"")) * 100,
    IF(calc=0, G104, calc)
  ), 
G104)"),"#N/A")</f>
        <v>#N/A</v>
      </c>
      <c r="S104" s="8" t="s">
        <v>15</v>
      </c>
      <c r="T104" s="26" t="str">
        <f>IFERROR(__xludf.DUMMYFUNCTION("IFERROR(TRANSPOSE(QUERY(IFERROR(SORT(GOOGLEFINANCE(C104, ""price"", WORKDAY(TODAY(), -40), TODAY()), 1, FALSE)), ""select Col2 where Col2 is not null limit 22 label Col2 ''"", 0)), """")"),"")</f>
        <v/>
      </c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8"/>
      <c r="AO104" s="28"/>
      <c r="AP104" s="29"/>
      <c r="AQ104" s="29" t="str">
        <f t="shared" ref="AQ104:BL104" si="107">T104/T$2</f>
        <v>#N/A</v>
      </c>
      <c r="AR104" s="29" t="str">
        <f t="shared" si="107"/>
        <v>#DIV/0!</v>
      </c>
      <c r="AS104" s="29" t="str">
        <f t="shared" si="107"/>
        <v>#DIV/0!</v>
      </c>
      <c r="AT104" s="29" t="str">
        <f t="shared" si="107"/>
        <v>#DIV/0!</v>
      </c>
      <c r="AU104" s="29" t="str">
        <f t="shared" si="107"/>
        <v>#DIV/0!</v>
      </c>
      <c r="AV104" s="29" t="str">
        <f t="shared" si="107"/>
        <v>#DIV/0!</v>
      </c>
      <c r="AW104" s="29" t="str">
        <f t="shared" si="107"/>
        <v>#DIV/0!</v>
      </c>
      <c r="AX104" s="29" t="str">
        <f t="shared" si="107"/>
        <v>#DIV/0!</v>
      </c>
      <c r="AY104" s="29" t="str">
        <f t="shared" si="107"/>
        <v>#DIV/0!</v>
      </c>
      <c r="AZ104" s="29" t="str">
        <f t="shared" si="107"/>
        <v>#DIV/0!</v>
      </c>
      <c r="BA104" s="29" t="str">
        <f t="shared" si="107"/>
        <v>#DIV/0!</v>
      </c>
      <c r="BB104" s="29" t="str">
        <f t="shared" si="107"/>
        <v>#DIV/0!</v>
      </c>
      <c r="BC104" s="29" t="str">
        <f t="shared" si="107"/>
        <v>#DIV/0!</v>
      </c>
      <c r="BD104" s="29" t="str">
        <f t="shared" si="107"/>
        <v>#DIV/0!</v>
      </c>
      <c r="BE104" s="29" t="str">
        <f t="shared" si="107"/>
        <v>#DIV/0!</v>
      </c>
      <c r="BF104" s="29" t="str">
        <f t="shared" si="107"/>
        <v>#DIV/0!</v>
      </c>
      <c r="BG104" s="29" t="str">
        <f t="shared" si="107"/>
        <v>#DIV/0!</v>
      </c>
      <c r="BH104" s="29" t="str">
        <f t="shared" si="107"/>
        <v>#DIV/0!</v>
      </c>
      <c r="BI104" s="29" t="str">
        <f t="shared" si="107"/>
        <v>#DIV/0!</v>
      </c>
      <c r="BJ104" s="29" t="str">
        <f t="shared" si="107"/>
        <v>#DIV/0!</v>
      </c>
      <c r="BK104" s="29" t="str">
        <f t="shared" si="107"/>
        <v>#DIV/0!</v>
      </c>
      <c r="BL104" s="29" t="str">
        <f t="shared" si="107"/>
        <v>#DIV/0!</v>
      </c>
      <c r="BM104" s="29" t="str">
        <f t="shared" si="3"/>
        <v>#DIV/0!</v>
      </c>
    </row>
    <row r="105">
      <c r="A105" s="16" t="str">
        <f>IFERROR(__xludf.DUMMYFUNCTION("IFERROR(SPARKLINE(SORT(MAP(TRANSPOSE(AQ105:BL105), LAMBDA(val, IF(ISNUMBER(val), PERCENTRANK(AQ105:BL105, val)+0.01, 0))), SEQUENCE(COLUMNS(AQ105:BL105)), FALSE), {""charttype"",""column""; ""color"",""chartreuse""; ""ymin"", 0; ""ymax"", 1.01; ""highcolo"&amp;"r"", ""darkgreen""; ""lowcolor"", ""red""}), """")"),"")</f>
        <v/>
      </c>
      <c r="B105" s="17" t="str">
        <f t="shared" si="4"/>
        <v/>
      </c>
      <c r="C105" s="1" t="s">
        <v>1235</v>
      </c>
      <c r="D105" s="30" t="str">
        <f>IFERROR(__xludf.DUMMYFUNCTION("IFERROR(GOOGLEFINANCE(C105, ""NAME""))"),"Brightview Holdings Inc")</f>
        <v>Brightview Holdings Inc</v>
      </c>
      <c r="E105" s="30" t="s">
        <v>916</v>
      </c>
      <c r="F105" s="33" t="str">
        <f>IFERROR(__xludf.DUMMYFUNCTION("( (GOOGLEFINANCE(C105, ""price"") - Q105) / Q105 ) / (R105 / 100)"),"Loading...")</f>
        <v>Loading...</v>
      </c>
      <c r="G105" s="20" t="str">
        <f>IFERROR(__xludf.DUMMYFUNCTION("AVERAGE(ARRAYFORMULA(100 * (QUERY(GOOGLEFINANCE(C105, ""high"", TODAY()-40, TODAY()), ""SELECT Col2 WHERE Col2 IS NOT NULL ORDER BY Col1 DESC LIMIT 20"", 0) / QUERY(GOOGLEFINANCE(C105, ""low"", TODAY()-40, TODAY()), ""SELECT Col2 WHERE Col2 IS NOT NULL OR"&amp;"DER BY Col1 DESC LIMIT 20"", 0) - 1)))"),"#N/A")</f>
        <v>#N/A</v>
      </c>
      <c r="H105" s="35" t="str">
        <f t="shared" si="6"/>
        <v/>
      </c>
      <c r="I105" s="35" t="str">
        <f t="shared" si="7"/>
        <v/>
      </c>
      <c r="J105" s="37" t="str">
        <f>IFERROR(__xludf.DUMMYFUNCTION("IFERROR(
  IF(C105="""",, 
    IFERROR(
      GOOGLEFINANCE(C105, ""price"") * GOOGLEFINANCE(C105, ""volumeavg""), 
      GOOGLEFINANCE(C105, ""price"") * AVERAGE(QUERY(GOOGLEFINANCE(C105, ""volume"", TODAY()-40, TODAY()), ""SELECT Col2 WHERE Col2 IS NOT "&amp;"NULL ORDER BY Col1 DESC LIMIT 20"", 0))
    )
  ), 
"""")"),"")</f>
        <v/>
      </c>
      <c r="K105" s="21" t="str">
        <f>IFERROR(__xludf.DUMMYFUNCTION("IFERROR(GOOGLEFINANCE(C105, ""changepct"") / 100, """")"),"")</f>
        <v/>
      </c>
      <c r="L105" s="21" t="str">
        <f>IFERROR(__xludf.DUMMYFUNCTION("IFERROR((GOOGLEFINANCE(C105, ""price"") / INDEX(GOOGLEFINANCE(C105, ""price"", TODAY()-7, TODAY()), 2, 2)) - 1, """")"),"")</f>
        <v/>
      </c>
      <c r="M105" s="21" t="str">
        <f>IFERROR(__xludf.DUMMYFUNCTION("IFERROR((GOOGLEFINANCE(C105, ""price"") / INDEX(GOOGLEFINANCE(C105, ""price"", EDATE(TODAY(), -1), TODAY()), 2, 2)) - 1, """")"),"")</f>
        <v/>
      </c>
      <c r="N105" s="21" t="str">
        <f>IFERROR(__xludf.DUMMYFUNCTION("IFERROR((GOOGLEFINANCE(C105, ""price"") / INDEX(GOOGLEFINANCE(C105, ""price"", EDATE(TODAY(), -3), TODAY()), 2, 2)) - 1, """")"),"")</f>
        <v/>
      </c>
      <c r="O105" s="21" t="str">
        <f>IFERROR(__xludf.DUMMYFUNCTION("IFERROR((GOOGLEFINANCE(C105, ""price"") / INDEX(GOOGLEFINANCE(C105, ""price"", EDATE(TODAY(), -6), TODAY()), 2, 2)) - 1, """")"),"")</f>
        <v/>
      </c>
      <c r="P105" s="21" t="str">
        <f>IFERROR(__xludf.DUMMYFUNCTION("IFERROR((GOOGLEFINANCE(C105, ""price"") / INDEX(GOOGLEFINANCE(C105, ""price"", EDATE(TODAY(), -12), TODAY()), 2, 2)) - 1, """")"),"")</f>
        <v/>
      </c>
      <c r="Q105" s="6" t="str">
        <f>IFERROR(__xludf.DUMMYFUNCTION("AVERAGE(QUERY(GOOGLEFINANCE(C105, ""price"", TODAY()-80, TODAY()), ""SELECT Col2 WHERE Col2 IS NOT NULL ORDER BY Col1 DESC LIMIT 50"", 0))"),"#N/A")</f>
        <v>#N/A</v>
      </c>
      <c r="R105" s="24" t="str">
        <f>IFERROR(__xludf.DUMMYFUNCTION("IFERROR(
  LET(
    data, QUERY(GOOGLEFINANCE(C105,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GOOGLEFINANCE(C105, ""price"")) * 100,
    IF(calc=0, G105, calc)
  ), 
G105)"),"#N/A")</f>
        <v>#N/A</v>
      </c>
      <c r="S105" s="8" t="s">
        <v>15</v>
      </c>
      <c r="T105" s="26" t="str">
        <f>IFERROR(__xludf.DUMMYFUNCTION("IFERROR(TRANSPOSE(QUERY(IFERROR(SORT(GOOGLEFINANCE(C105, ""price"", WORKDAY(TODAY(), -40), TODAY()), 1, FALSE)), ""select Col2 where Col2 is not null limit 22 label Col2 ''"", 0)), """")"),"")</f>
        <v/>
      </c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8"/>
      <c r="AO105" s="28"/>
      <c r="AP105" s="29"/>
      <c r="AQ105" s="29" t="str">
        <f t="shared" ref="AQ105:BL105" si="108">T105/T$2</f>
        <v>#N/A</v>
      </c>
      <c r="AR105" s="29" t="str">
        <f t="shared" si="108"/>
        <v>#DIV/0!</v>
      </c>
      <c r="AS105" s="29" t="str">
        <f t="shared" si="108"/>
        <v>#DIV/0!</v>
      </c>
      <c r="AT105" s="29" t="str">
        <f t="shared" si="108"/>
        <v>#DIV/0!</v>
      </c>
      <c r="AU105" s="29" t="str">
        <f t="shared" si="108"/>
        <v>#DIV/0!</v>
      </c>
      <c r="AV105" s="29" t="str">
        <f t="shared" si="108"/>
        <v>#DIV/0!</v>
      </c>
      <c r="AW105" s="29" t="str">
        <f t="shared" si="108"/>
        <v>#DIV/0!</v>
      </c>
      <c r="AX105" s="29" t="str">
        <f t="shared" si="108"/>
        <v>#DIV/0!</v>
      </c>
      <c r="AY105" s="29" t="str">
        <f t="shared" si="108"/>
        <v>#DIV/0!</v>
      </c>
      <c r="AZ105" s="29" t="str">
        <f t="shared" si="108"/>
        <v>#DIV/0!</v>
      </c>
      <c r="BA105" s="29" t="str">
        <f t="shared" si="108"/>
        <v>#DIV/0!</v>
      </c>
      <c r="BB105" s="29" t="str">
        <f t="shared" si="108"/>
        <v>#DIV/0!</v>
      </c>
      <c r="BC105" s="29" t="str">
        <f t="shared" si="108"/>
        <v>#DIV/0!</v>
      </c>
      <c r="BD105" s="29" t="str">
        <f t="shared" si="108"/>
        <v>#DIV/0!</v>
      </c>
      <c r="BE105" s="29" t="str">
        <f t="shared" si="108"/>
        <v>#DIV/0!</v>
      </c>
      <c r="BF105" s="29" t="str">
        <f t="shared" si="108"/>
        <v>#DIV/0!</v>
      </c>
      <c r="BG105" s="29" t="str">
        <f t="shared" si="108"/>
        <v>#DIV/0!</v>
      </c>
      <c r="BH105" s="29" t="str">
        <f t="shared" si="108"/>
        <v>#DIV/0!</v>
      </c>
      <c r="BI105" s="29" t="str">
        <f t="shared" si="108"/>
        <v>#DIV/0!</v>
      </c>
      <c r="BJ105" s="29" t="str">
        <f t="shared" si="108"/>
        <v>#DIV/0!</v>
      </c>
      <c r="BK105" s="29" t="str">
        <f t="shared" si="108"/>
        <v>#DIV/0!</v>
      </c>
      <c r="BL105" s="29" t="str">
        <f t="shared" si="108"/>
        <v>#DIV/0!</v>
      </c>
      <c r="BM105" s="29" t="str">
        <f t="shared" si="3"/>
        <v>#DIV/0!</v>
      </c>
    </row>
    <row r="106">
      <c r="A106" s="16" t="str">
        <f>IFERROR(__xludf.DUMMYFUNCTION("IFERROR(SPARKLINE(SORT(MAP(TRANSPOSE(AQ106:BL106), LAMBDA(val, IF(ISNUMBER(val), PERCENTRANK(AQ106:BL106, val)+0.01, 0))), SEQUENCE(COLUMNS(AQ106:BL106)), FALSE), {""charttype"",""column""; ""color"",""chartreuse""; ""ymin"", 0; ""ymax"", 1.01; ""highcolo"&amp;"r"", ""darkgreen""; ""lowcolor"", ""red""}), """")"),"")</f>
        <v/>
      </c>
      <c r="B106" s="17" t="str">
        <f t="shared" si="4"/>
        <v/>
      </c>
      <c r="C106" s="1" t="s">
        <v>1237</v>
      </c>
      <c r="D106" s="30" t="str">
        <f>IFERROR(__xludf.DUMMYFUNCTION("IFERROR(GOOGLEFINANCE(C106, ""NAME""))"),"Ameresco Inc")</f>
        <v>Ameresco Inc</v>
      </c>
      <c r="E106" s="30" t="s">
        <v>856</v>
      </c>
      <c r="F106" s="33" t="str">
        <f>IFERROR(__xludf.DUMMYFUNCTION("( (GOOGLEFINANCE(C106, ""price"") - Q106) / Q106 ) / (R106 / 100)"),"Loading...")</f>
        <v>Loading...</v>
      </c>
      <c r="G106" s="20" t="str">
        <f>IFERROR(__xludf.DUMMYFUNCTION("AVERAGE(ARRAYFORMULA(100 * (QUERY(GOOGLEFINANCE(C106, ""high"", TODAY()-40, TODAY()), ""SELECT Col2 WHERE Col2 IS NOT NULL ORDER BY Col1 DESC LIMIT 20"", 0) / QUERY(GOOGLEFINANCE(C106, ""low"", TODAY()-40, TODAY()), ""SELECT Col2 WHERE Col2 IS NOT NULL OR"&amp;"DER BY Col1 DESC LIMIT 20"", 0) - 1)))"),"#N/A")</f>
        <v>#N/A</v>
      </c>
      <c r="H106" s="35" t="str">
        <f t="shared" si="6"/>
        <v/>
      </c>
      <c r="I106" s="35" t="str">
        <f t="shared" si="7"/>
        <v/>
      </c>
      <c r="J106" s="37" t="str">
        <f>IFERROR(__xludf.DUMMYFUNCTION("IFERROR(
  IF(C106="""",, 
    IFERROR(
      GOOGLEFINANCE(C106, ""price"") * GOOGLEFINANCE(C106, ""volumeavg""), 
      GOOGLEFINANCE(C106, ""price"") * AVERAGE(QUERY(GOOGLEFINANCE(C106, ""volume"", TODAY()-40, TODAY()), ""SELECT Col2 WHERE Col2 IS NOT "&amp;"NULL ORDER BY Col1 DESC LIMIT 20"", 0))
    )
  ), 
"""")"),"")</f>
        <v/>
      </c>
      <c r="K106" s="21" t="str">
        <f>IFERROR(__xludf.DUMMYFUNCTION("IFERROR(GOOGLEFINANCE(C106, ""changepct"") / 100, """")"),"")</f>
        <v/>
      </c>
      <c r="L106" s="21" t="str">
        <f>IFERROR(__xludf.DUMMYFUNCTION("IFERROR((GOOGLEFINANCE(C106, ""price"") / INDEX(GOOGLEFINANCE(C106, ""price"", TODAY()-7, TODAY()), 2, 2)) - 1, """")"),"")</f>
        <v/>
      </c>
      <c r="M106" s="21" t="str">
        <f>IFERROR(__xludf.DUMMYFUNCTION("IFERROR((GOOGLEFINANCE(C106, ""price"") / INDEX(GOOGLEFINANCE(C106, ""price"", EDATE(TODAY(), -1), TODAY()), 2, 2)) - 1, """")"),"")</f>
        <v/>
      </c>
      <c r="N106" s="21" t="str">
        <f>IFERROR(__xludf.DUMMYFUNCTION("IFERROR((GOOGLEFINANCE(C106, ""price"") / INDEX(GOOGLEFINANCE(C106, ""price"", EDATE(TODAY(), -3), TODAY()), 2, 2)) - 1, """")"),"")</f>
        <v/>
      </c>
      <c r="O106" s="21" t="str">
        <f>IFERROR(__xludf.DUMMYFUNCTION("IFERROR((GOOGLEFINANCE(C106, ""price"") / INDEX(GOOGLEFINANCE(C106, ""price"", EDATE(TODAY(), -6), TODAY()), 2, 2)) - 1, """")"),"")</f>
        <v/>
      </c>
      <c r="P106" s="21" t="str">
        <f>IFERROR(__xludf.DUMMYFUNCTION("IFERROR((GOOGLEFINANCE(C106, ""price"") / INDEX(GOOGLEFINANCE(C106, ""price"", EDATE(TODAY(), -12), TODAY()), 2, 2)) - 1, """")"),"")</f>
        <v/>
      </c>
      <c r="Q106" s="6" t="str">
        <f>IFERROR(__xludf.DUMMYFUNCTION("AVERAGE(QUERY(GOOGLEFINANCE(C106, ""price"", TODAY()-80, TODAY()), ""SELECT Col2 WHERE Col2 IS NOT NULL ORDER BY Col1 DESC LIMIT 50"", 0))"),"#N/A")</f>
        <v>#N/A</v>
      </c>
      <c r="R106" s="24" t="str">
        <f>IFERROR(__xludf.DUMMYFUNCTION("IFERROR(
  LET(
    data, QUERY(GOOGLEFINANCE(C106,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GOOGLEFINANCE(C106, ""price"")) * 100,
    IF(calc=0, G106, calc)
  ), 
G106)"),"#N/A")</f>
        <v>#N/A</v>
      </c>
      <c r="S106" s="8" t="s">
        <v>15</v>
      </c>
      <c r="T106" s="26" t="str">
        <f>IFERROR(__xludf.DUMMYFUNCTION("IFERROR(TRANSPOSE(QUERY(IFERROR(SORT(GOOGLEFINANCE(C106, ""price"", WORKDAY(TODAY(), -40), TODAY()), 1, FALSE)), ""select Col2 where Col2 is not null limit 22 label Col2 ''"", 0)), """")"),"")</f>
        <v/>
      </c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8"/>
      <c r="AO106" s="28"/>
      <c r="AP106" s="29"/>
      <c r="AQ106" s="29" t="str">
        <f t="shared" ref="AQ106:BL106" si="109">T106/T$2</f>
        <v>#N/A</v>
      </c>
      <c r="AR106" s="29" t="str">
        <f t="shared" si="109"/>
        <v>#DIV/0!</v>
      </c>
      <c r="AS106" s="29" t="str">
        <f t="shared" si="109"/>
        <v>#DIV/0!</v>
      </c>
      <c r="AT106" s="29" t="str">
        <f t="shared" si="109"/>
        <v>#DIV/0!</v>
      </c>
      <c r="AU106" s="29" t="str">
        <f t="shared" si="109"/>
        <v>#DIV/0!</v>
      </c>
      <c r="AV106" s="29" t="str">
        <f t="shared" si="109"/>
        <v>#DIV/0!</v>
      </c>
      <c r="AW106" s="29" t="str">
        <f t="shared" si="109"/>
        <v>#DIV/0!</v>
      </c>
      <c r="AX106" s="29" t="str">
        <f t="shared" si="109"/>
        <v>#DIV/0!</v>
      </c>
      <c r="AY106" s="29" t="str">
        <f t="shared" si="109"/>
        <v>#DIV/0!</v>
      </c>
      <c r="AZ106" s="29" t="str">
        <f t="shared" si="109"/>
        <v>#DIV/0!</v>
      </c>
      <c r="BA106" s="29" t="str">
        <f t="shared" si="109"/>
        <v>#DIV/0!</v>
      </c>
      <c r="BB106" s="29" t="str">
        <f t="shared" si="109"/>
        <v>#DIV/0!</v>
      </c>
      <c r="BC106" s="29" t="str">
        <f t="shared" si="109"/>
        <v>#DIV/0!</v>
      </c>
      <c r="BD106" s="29" t="str">
        <f t="shared" si="109"/>
        <v>#DIV/0!</v>
      </c>
      <c r="BE106" s="29" t="str">
        <f t="shared" si="109"/>
        <v>#DIV/0!</v>
      </c>
      <c r="BF106" s="29" t="str">
        <f t="shared" si="109"/>
        <v>#DIV/0!</v>
      </c>
      <c r="BG106" s="29" t="str">
        <f t="shared" si="109"/>
        <v>#DIV/0!</v>
      </c>
      <c r="BH106" s="29" t="str">
        <f t="shared" si="109"/>
        <v>#DIV/0!</v>
      </c>
      <c r="BI106" s="29" t="str">
        <f t="shared" si="109"/>
        <v>#DIV/0!</v>
      </c>
      <c r="BJ106" s="29" t="str">
        <f t="shared" si="109"/>
        <v>#DIV/0!</v>
      </c>
      <c r="BK106" s="29" t="str">
        <f t="shared" si="109"/>
        <v>#DIV/0!</v>
      </c>
      <c r="BL106" s="29" t="str">
        <f t="shared" si="109"/>
        <v>#DIV/0!</v>
      </c>
      <c r="BM106" s="29" t="str">
        <f t="shared" si="3"/>
        <v>#DIV/0!</v>
      </c>
    </row>
    <row r="107">
      <c r="A107" s="16" t="str">
        <f>IFERROR(__xludf.DUMMYFUNCTION("IFERROR(SPARKLINE(SORT(MAP(TRANSPOSE(AQ107:BL107), LAMBDA(val, IF(ISNUMBER(val), PERCENTRANK(AQ107:BL107, val)+0.01, 0))), SEQUENCE(COLUMNS(AQ107:BL107)), FALSE), {""charttype"",""column""; ""color"",""chartreuse""; ""ymin"", 0; ""ymax"", 1.01; ""highcolo"&amp;"r"", ""darkgreen""; ""lowcolor"", ""red""}), """")"),"")</f>
        <v/>
      </c>
      <c r="B107" s="17" t="str">
        <f t="shared" si="4"/>
        <v/>
      </c>
      <c r="C107" s="1" t="s">
        <v>1242</v>
      </c>
      <c r="D107" s="30" t="str">
        <f>IFERROR(__xludf.DUMMYFUNCTION("IFERROR(GOOGLEFINANCE(C107, ""NAME""))"),"Luxfer Holdings PLC")</f>
        <v>Luxfer Holdings PLC</v>
      </c>
      <c r="E107" s="30" t="s">
        <v>893</v>
      </c>
      <c r="F107" s="33" t="str">
        <f>IFERROR(__xludf.DUMMYFUNCTION("( (GOOGLEFINANCE(C107, ""price"") - Q107) / Q107 ) / (R107 / 100)"),"Loading...")</f>
        <v>Loading...</v>
      </c>
      <c r="G107" s="20" t="str">
        <f>IFERROR(__xludf.DUMMYFUNCTION("AVERAGE(ARRAYFORMULA(100 * (QUERY(GOOGLEFINANCE(C107, ""high"", TODAY()-40, TODAY()), ""SELECT Col2 WHERE Col2 IS NOT NULL ORDER BY Col1 DESC LIMIT 20"", 0) / QUERY(GOOGLEFINANCE(C107, ""low"", TODAY()-40, TODAY()), ""SELECT Col2 WHERE Col2 IS NOT NULL OR"&amp;"DER BY Col1 DESC LIMIT 20"", 0) - 1)))"),"#N/A")</f>
        <v>#N/A</v>
      </c>
      <c r="H107" s="35" t="str">
        <f t="shared" si="6"/>
        <v/>
      </c>
      <c r="I107" s="35" t="str">
        <f t="shared" si="7"/>
        <v/>
      </c>
      <c r="J107" s="37" t="str">
        <f>IFERROR(__xludf.DUMMYFUNCTION("IFERROR(
  IF(C107="""",, 
    IFERROR(
      GOOGLEFINANCE(C107, ""price"") * GOOGLEFINANCE(C107, ""volumeavg""), 
      GOOGLEFINANCE(C107, ""price"") * AVERAGE(QUERY(GOOGLEFINANCE(C107, ""volume"", TODAY()-40, TODAY()), ""SELECT Col2 WHERE Col2 IS NOT "&amp;"NULL ORDER BY Col1 DESC LIMIT 20"", 0))
    )
  ), 
"""")"),"")</f>
        <v/>
      </c>
      <c r="K107" s="21" t="str">
        <f>IFERROR(__xludf.DUMMYFUNCTION("IFERROR(GOOGLEFINANCE(C107, ""changepct"") / 100, """")"),"")</f>
        <v/>
      </c>
      <c r="L107" s="21" t="str">
        <f>IFERROR(__xludf.DUMMYFUNCTION("IFERROR((GOOGLEFINANCE(C107, ""price"") / INDEX(GOOGLEFINANCE(C107, ""price"", TODAY()-7, TODAY()), 2, 2)) - 1, """")"),"")</f>
        <v/>
      </c>
      <c r="M107" s="21" t="str">
        <f>IFERROR(__xludf.DUMMYFUNCTION("IFERROR((GOOGLEFINANCE(C107, ""price"") / INDEX(GOOGLEFINANCE(C107, ""price"", EDATE(TODAY(), -1), TODAY()), 2, 2)) - 1, """")"),"")</f>
        <v/>
      </c>
      <c r="N107" s="21" t="str">
        <f>IFERROR(__xludf.DUMMYFUNCTION("IFERROR((GOOGLEFINANCE(C107, ""price"") / INDEX(GOOGLEFINANCE(C107, ""price"", EDATE(TODAY(), -3), TODAY()), 2, 2)) - 1, """")"),"")</f>
        <v/>
      </c>
      <c r="O107" s="21" t="str">
        <f>IFERROR(__xludf.DUMMYFUNCTION("IFERROR((GOOGLEFINANCE(C107, ""price"") / INDEX(GOOGLEFINANCE(C107, ""price"", EDATE(TODAY(), -6), TODAY()), 2, 2)) - 1, """")"),"")</f>
        <v/>
      </c>
      <c r="P107" s="21" t="str">
        <f>IFERROR(__xludf.DUMMYFUNCTION("IFERROR((GOOGLEFINANCE(C107, ""price"") / INDEX(GOOGLEFINANCE(C107, ""price"", EDATE(TODAY(), -12), TODAY()), 2, 2)) - 1, """")"),"")</f>
        <v/>
      </c>
      <c r="Q107" s="6" t="str">
        <f>IFERROR(__xludf.DUMMYFUNCTION("AVERAGE(QUERY(GOOGLEFINANCE(C107, ""price"", TODAY()-80, TODAY()), ""SELECT Col2 WHERE Col2 IS NOT NULL ORDER BY Col1 DESC LIMIT 50"", 0))"),"#N/A")</f>
        <v>#N/A</v>
      </c>
      <c r="R107" s="24" t="str">
        <f>IFERROR(__xludf.DUMMYFUNCTION("IFERROR(
  LET(
    data, QUERY(GOOGLEFINANCE(C107,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GOOGLEFINANCE(C107, ""price"")) * 100,
    IF(calc=0, G107, calc)
  ), 
G107)"),"#N/A")</f>
        <v>#N/A</v>
      </c>
      <c r="S107" s="8" t="s">
        <v>15</v>
      </c>
      <c r="T107" s="26" t="str">
        <f>IFERROR(__xludf.DUMMYFUNCTION("IFERROR(TRANSPOSE(QUERY(IFERROR(SORT(GOOGLEFINANCE(C107, ""price"", WORKDAY(TODAY(), -40), TODAY()), 1, FALSE)), ""select Col2 where Col2 is not null limit 22 label Col2 ''"", 0)), """")"),"")</f>
        <v/>
      </c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8"/>
      <c r="AO107" s="28"/>
      <c r="AP107" s="29"/>
      <c r="AQ107" s="29" t="str">
        <f t="shared" ref="AQ107:BL107" si="110">T107/T$2</f>
        <v>#N/A</v>
      </c>
      <c r="AR107" s="29" t="str">
        <f t="shared" si="110"/>
        <v>#DIV/0!</v>
      </c>
      <c r="AS107" s="29" t="str">
        <f t="shared" si="110"/>
        <v>#DIV/0!</v>
      </c>
      <c r="AT107" s="29" t="str">
        <f t="shared" si="110"/>
        <v>#DIV/0!</v>
      </c>
      <c r="AU107" s="29" t="str">
        <f t="shared" si="110"/>
        <v>#DIV/0!</v>
      </c>
      <c r="AV107" s="29" t="str">
        <f t="shared" si="110"/>
        <v>#DIV/0!</v>
      </c>
      <c r="AW107" s="29" t="str">
        <f t="shared" si="110"/>
        <v>#DIV/0!</v>
      </c>
      <c r="AX107" s="29" t="str">
        <f t="shared" si="110"/>
        <v>#DIV/0!</v>
      </c>
      <c r="AY107" s="29" t="str">
        <f t="shared" si="110"/>
        <v>#DIV/0!</v>
      </c>
      <c r="AZ107" s="29" t="str">
        <f t="shared" si="110"/>
        <v>#DIV/0!</v>
      </c>
      <c r="BA107" s="29" t="str">
        <f t="shared" si="110"/>
        <v>#DIV/0!</v>
      </c>
      <c r="BB107" s="29" t="str">
        <f t="shared" si="110"/>
        <v>#DIV/0!</v>
      </c>
      <c r="BC107" s="29" t="str">
        <f t="shared" si="110"/>
        <v>#DIV/0!</v>
      </c>
      <c r="BD107" s="29" t="str">
        <f t="shared" si="110"/>
        <v>#DIV/0!</v>
      </c>
      <c r="BE107" s="29" t="str">
        <f t="shared" si="110"/>
        <v>#DIV/0!</v>
      </c>
      <c r="BF107" s="29" t="str">
        <f t="shared" si="110"/>
        <v>#DIV/0!</v>
      </c>
      <c r="BG107" s="29" t="str">
        <f t="shared" si="110"/>
        <v>#DIV/0!</v>
      </c>
      <c r="BH107" s="29" t="str">
        <f t="shared" si="110"/>
        <v>#DIV/0!</v>
      </c>
      <c r="BI107" s="29" t="str">
        <f t="shared" si="110"/>
        <v>#DIV/0!</v>
      </c>
      <c r="BJ107" s="29" t="str">
        <f t="shared" si="110"/>
        <v>#DIV/0!</v>
      </c>
      <c r="BK107" s="29" t="str">
        <f t="shared" si="110"/>
        <v>#DIV/0!</v>
      </c>
      <c r="BL107" s="29" t="str">
        <f t="shared" si="110"/>
        <v>#DIV/0!</v>
      </c>
      <c r="BM107" s="29" t="str">
        <f t="shared" si="3"/>
        <v>#DIV/0!</v>
      </c>
    </row>
    <row r="108">
      <c r="A108" s="16" t="str">
        <f>IFERROR(__xludf.DUMMYFUNCTION("IFERROR(SPARKLINE(SORT(MAP(TRANSPOSE(AQ108:BL108), LAMBDA(val, IF(ISNUMBER(val), PERCENTRANK(AQ108:BL108, val)+0.01, 0))), SEQUENCE(COLUMNS(AQ108:BL108)), FALSE), {""charttype"",""column""; ""color"",""chartreuse""; ""ymin"", 0; ""ymax"", 1.01; ""highcolo"&amp;"r"", ""darkgreen""; ""lowcolor"", ""red""}), """")"),"")</f>
        <v/>
      </c>
      <c r="B108" s="17" t="str">
        <f t="shared" si="4"/>
        <v/>
      </c>
      <c r="C108" s="1" t="s">
        <v>1245</v>
      </c>
      <c r="D108" s="30" t="str">
        <f>IFERROR(__xludf.DUMMYFUNCTION("IFERROR(GOOGLEFINANCE(C108, ""NAME""))"),"Trinity Industries Inc")</f>
        <v>Trinity Industries Inc</v>
      </c>
      <c r="E108" s="30" t="s">
        <v>962</v>
      </c>
      <c r="F108" s="33" t="str">
        <f>IFERROR(__xludf.DUMMYFUNCTION("( (GOOGLEFINANCE(C108, ""price"") - Q108) / Q108 ) / (R108 / 100)"),"Loading...")</f>
        <v>Loading...</v>
      </c>
      <c r="G108" s="20" t="str">
        <f>IFERROR(__xludf.DUMMYFUNCTION("AVERAGE(ARRAYFORMULA(100 * (QUERY(GOOGLEFINANCE(C108, ""high"", TODAY()-40, TODAY()), ""SELECT Col2 WHERE Col2 IS NOT NULL ORDER BY Col1 DESC LIMIT 20"", 0) / QUERY(GOOGLEFINANCE(C108, ""low"", TODAY()-40, TODAY()), ""SELECT Col2 WHERE Col2 IS NOT NULL OR"&amp;"DER BY Col1 DESC LIMIT 20"", 0) - 1)))"),"#N/A")</f>
        <v>#N/A</v>
      </c>
      <c r="H108" s="35" t="str">
        <f t="shared" si="6"/>
        <v/>
      </c>
      <c r="I108" s="35" t="str">
        <f t="shared" si="7"/>
        <v/>
      </c>
      <c r="J108" s="37" t="str">
        <f>IFERROR(__xludf.DUMMYFUNCTION("IFERROR(
  IF(C108="""",, 
    IFERROR(
      GOOGLEFINANCE(C108, ""price"") * GOOGLEFINANCE(C108, ""volumeavg""), 
      GOOGLEFINANCE(C108, ""price"") * AVERAGE(QUERY(GOOGLEFINANCE(C108, ""volume"", TODAY()-40, TODAY()), ""SELECT Col2 WHERE Col2 IS NOT "&amp;"NULL ORDER BY Col1 DESC LIMIT 20"", 0))
    )
  ), 
"""")"),"")</f>
        <v/>
      </c>
      <c r="K108" s="21" t="str">
        <f>IFERROR(__xludf.DUMMYFUNCTION("IFERROR(GOOGLEFINANCE(C108, ""changepct"") / 100, """")"),"")</f>
        <v/>
      </c>
      <c r="L108" s="21" t="str">
        <f>IFERROR(__xludf.DUMMYFUNCTION("IFERROR((GOOGLEFINANCE(C108, ""price"") / INDEX(GOOGLEFINANCE(C108, ""price"", TODAY()-7, TODAY()), 2, 2)) - 1, """")"),"")</f>
        <v/>
      </c>
      <c r="M108" s="21" t="str">
        <f>IFERROR(__xludf.DUMMYFUNCTION("IFERROR((GOOGLEFINANCE(C108, ""price"") / INDEX(GOOGLEFINANCE(C108, ""price"", EDATE(TODAY(), -1), TODAY()), 2, 2)) - 1, """")"),"")</f>
        <v/>
      </c>
      <c r="N108" s="21" t="str">
        <f>IFERROR(__xludf.DUMMYFUNCTION("IFERROR((GOOGLEFINANCE(C108, ""price"") / INDEX(GOOGLEFINANCE(C108, ""price"", EDATE(TODAY(), -3), TODAY()), 2, 2)) - 1, """")"),"")</f>
        <v/>
      </c>
      <c r="O108" s="21" t="str">
        <f>IFERROR(__xludf.DUMMYFUNCTION("IFERROR((GOOGLEFINANCE(C108, ""price"") / INDEX(GOOGLEFINANCE(C108, ""price"", EDATE(TODAY(), -6), TODAY()), 2, 2)) - 1, """")"),"")</f>
        <v/>
      </c>
      <c r="P108" s="21" t="str">
        <f>IFERROR(__xludf.DUMMYFUNCTION("IFERROR((GOOGLEFINANCE(C108, ""price"") / INDEX(GOOGLEFINANCE(C108, ""price"", EDATE(TODAY(), -12), TODAY()), 2, 2)) - 1, """")"),"")</f>
        <v/>
      </c>
      <c r="Q108" s="6" t="str">
        <f>IFERROR(__xludf.DUMMYFUNCTION("AVERAGE(QUERY(GOOGLEFINANCE(C108, ""price"", TODAY()-80, TODAY()), ""SELECT Col2 WHERE Col2 IS NOT NULL ORDER BY Col1 DESC LIMIT 50"", 0))"),"#N/A")</f>
        <v>#N/A</v>
      </c>
      <c r="R108" s="24" t="str">
        <f>IFERROR(__xludf.DUMMYFUNCTION("IFERROR(
  LET(
    data, QUERY(GOOGLEFINANCE(C108,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GOOGLEFINANCE(C108, ""price"")) * 100,
    IF(calc=0, G108, calc)
  ), 
G108)"),"#N/A")</f>
        <v>#N/A</v>
      </c>
      <c r="S108" s="8" t="s">
        <v>15</v>
      </c>
      <c r="T108" s="26" t="str">
        <f>IFERROR(__xludf.DUMMYFUNCTION("IFERROR(TRANSPOSE(QUERY(IFERROR(SORT(GOOGLEFINANCE(C108, ""price"", WORKDAY(TODAY(), -40), TODAY()), 1, FALSE)), ""select Col2 where Col2 is not null limit 22 label Col2 ''"", 0)), """")"),"")</f>
        <v/>
      </c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8"/>
      <c r="AO108" s="28"/>
      <c r="AP108" s="29"/>
      <c r="AQ108" s="29" t="str">
        <f t="shared" ref="AQ108:BL108" si="111">T108/T$2</f>
        <v>#N/A</v>
      </c>
      <c r="AR108" s="29" t="str">
        <f t="shared" si="111"/>
        <v>#DIV/0!</v>
      </c>
      <c r="AS108" s="29" t="str">
        <f t="shared" si="111"/>
        <v>#DIV/0!</v>
      </c>
      <c r="AT108" s="29" t="str">
        <f t="shared" si="111"/>
        <v>#DIV/0!</v>
      </c>
      <c r="AU108" s="29" t="str">
        <f t="shared" si="111"/>
        <v>#DIV/0!</v>
      </c>
      <c r="AV108" s="29" t="str">
        <f t="shared" si="111"/>
        <v>#DIV/0!</v>
      </c>
      <c r="AW108" s="29" t="str">
        <f t="shared" si="111"/>
        <v>#DIV/0!</v>
      </c>
      <c r="AX108" s="29" t="str">
        <f t="shared" si="111"/>
        <v>#DIV/0!</v>
      </c>
      <c r="AY108" s="29" t="str">
        <f t="shared" si="111"/>
        <v>#DIV/0!</v>
      </c>
      <c r="AZ108" s="29" t="str">
        <f t="shared" si="111"/>
        <v>#DIV/0!</v>
      </c>
      <c r="BA108" s="29" t="str">
        <f t="shared" si="111"/>
        <v>#DIV/0!</v>
      </c>
      <c r="BB108" s="29" t="str">
        <f t="shared" si="111"/>
        <v>#DIV/0!</v>
      </c>
      <c r="BC108" s="29" t="str">
        <f t="shared" si="111"/>
        <v>#DIV/0!</v>
      </c>
      <c r="BD108" s="29" t="str">
        <f t="shared" si="111"/>
        <v>#DIV/0!</v>
      </c>
      <c r="BE108" s="29" t="str">
        <f t="shared" si="111"/>
        <v>#DIV/0!</v>
      </c>
      <c r="BF108" s="29" t="str">
        <f t="shared" si="111"/>
        <v>#DIV/0!</v>
      </c>
      <c r="BG108" s="29" t="str">
        <f t="shared" si="111"/>
        <v>#DIV/0!</v>
      </c>
      <c r="BH108" s="29" t="str">
        <f t="shared" si="111"/>
        <v>#DIV/0!</v>
      </c>
      <c r="BI108" s="29" t="str">
        <f t="shared" si="111"/>
        <v>#DIV/0!</v>
      </c>
      <c r="BJ108" s="29" t="str">
        <f t="shared" si="111"/>
        <v>#DIV/0!</v>
      </c>
      <c r="BK108" s="29" t="str">
        <f t="shared" si="111"/>
        <v>#DIV/0!</v>
      </c>
      <c r="BL108" s="29" t="str">
        <f t="shared" si="111"/>
        <v>#DIV/0!</v>
      </c>
      <c r="BM108" s="29" t="str">
        <f t="shared" si="3"/>
        <v>#DIV/0!</v>
      </c>
    </row>
    <row r="109">
      <c r="A109" s="16" t="str">
        <f>IFERROR(__xludf.DUMMYFUNCTION("IFERROR(SPARKLINE(SORT(MAP(TRANSPOSE(AQ109:BL109), LAMBDA(val, IF(ISNUMBER(val), PERCENTRANK(AQ109:BL109, val)+0.01, 0))), SEQUENCE(COLUMNS(AQ109:BL109)), FALSE), {""charttype"",""column""; ""color"",""chartreuse""; ""ymin"", 0; ""ymax"", 1.01; ""highcolo"&amp;"r"", ""darkgreen""; ""lowcolor"", ""red""}), """")"),"")</f>
        <v/>
      </c>
      <c r="B109" s="17" t="str">
        <f t="shared" si="4"/>
        <v/>
      </c>
      <c r="C109" s="1" t="s">
        <v>1248</v>
      </c>
      <c r="D109" s="30" t="str">
        <f>IFERROR(__xludf.DUMMYFUNCTION("IFERROR(GOOGLEFINANCE(C109, ""NAME""))"),"United Rentals Inc")</f>
        <v>United Rentals Inc</v>
      </c>
      <c r="E109" s="30" t="s">
        <v>888</v>
      </c>
      <c r="F109" s="33" t="str">
        <f>IFERROR(__xludf.DUMMYFUNCTION("( (GOOGLEFINANCE(C109, ""price"") - Q109) / Q109 ) / (R109 / 100)"),"Loading...")</f>
        <v>Loading...</v>
      </c>
      <c r="G109" s="20" t="str">
        <f>IFERROR(__xludf.DUMMYFUNCTION("AVERAGE(ARRAYFORMULA(100 * (QUERY(GOOGLEFINANCE(C109, ""high"", TODAY()-40, TODAY()), ""SELECT Col2 WHERE Col2 IS NOT NULL ORDER BY Col1 DESC LIMIT 20"", 0) / QUERY(GOOGLEFINANCE(C109, ""low"", TODAY()-40, TODAY()), ""SELECT Col2 WHERE Col2 IS NOT NULL OR"&amp;"DER BY Col1 DESC LIMIT 20"", 0) - 1)))"),"#N/A")</f>
        <v>#N/A</v>
      </c>
      <c r="H109" s="35" t="str">
        <f t="shared" si="6"/>
        <v/>
      </c>
      <c r="I109" s="35" t="str">
        <f t="shared" si="7"/>
        <v/>
      </c>
      <c r="J109" s="37" t="str">
        <f>IFERROR(__xludf.DUMMYFUNCTION("IFERROR(
  IF(C109="""",, 
    IFERROR(
      GOOGLEFINANCE(C109, ""price"") * GOOGLEFINANCE(C109, ""volumeavg""), 
      GOOGLEFINANCE(C109, ""price"") * AVERAGE(QUERY(GOOGLEFINANCE(C109, ""volume"", TODAY()-40, TODAY()), ""SELECT Col2 WHERE Col2 IS NOT "&amp;"NULL ORDER BY Col1 DESC LIMIT 20"", 0))
    )
  ), 
"""")"),"")</f>
        <v/>
      </c>
      <c r="K109" s="21" t="str">
        <f>IFERROR(__xludf.DUMMYFUNCTION("IFERROR(GOOGLEFINANCE(C109, ""changepct"") / 100, """")"),"")</f>
        <v/>
      </c>
      <c r="L109" s="21" t="str">
        <f>IFERROR(__xludf.DUMMYFUNCTION("IFERROR((GOOGLEFINANCE(C109, ""price"") / INDEX(GOOGLEFINANCE(C109, ""price"", TODAY()-7, TODAY()), 2, 2)) - 1, """")"),"")</f>
        <v/>
      </c>
      <c r="M109" s="21" t="str">
        <f>IFERROR(__xludf.DUMMYFUNCTION("IFERROR((GOOGLEFINANCE(C109, ""price"") / INDEX(GOOGLEFINANCE(C109, ""price"", EDATE(TODAY(), -1), TODAY()), 2, 2)) - 1, """")"),"")</f>
        <v/>
      </c>
      <c r="N109" s="21" t="str">
        <f>IFERROR(__xludf.DUMMYFUNCTION("IFERROR((GOOGLEFINANCE(C109, ""price"") / INDEX(GOOGLEFINANCE(C109, ""price"", EDATE(TODAY(), -3), TODAY()), 2, 2)) - 1, """")"),"")</f>
        <v/>
      </c>
      <c r="O109" s="21" t="str">
        <f>IFERROR(__xludf.DUMMYFUNCTION("IFERROR((GOOGLEFINANCE(C109, ""price"") / INDEX(GOOGLEFINANCE(C109, ""price"", EDATE(TODAY(), -6), TODAY()), 2, 2)) - 1, """")"),"")</f>
        <v/>
      </c>
      <c r="P109" s="21" t="str">
        <f>IFERROR(__xludf.DUMMYFUNCTION("IFERROR((GOOGLEFINANCE(C109, ""price"") / INDEX(GOOGLEFINANCE(C109, ""price"", EDATE(TODAY(), -12), TODAY()), 2, 2)) - 1, """")"),"")</f>
        <v/>
      </c>
      <c r="Q109" s="6" t="str">
        <f>IFERROR(__xludf.DUMMYFUNCTION("AVERAGE(QUERY(GOOGLEFINANCE(C109, ""price"", TODAY()-80, TODAY()), ""SELECT Col2 WHERE Col2 IS NOT NULL ORDER BY Col1 DESC LIMIT 50"", 0))"),"#N/A")</f>
        <v>#N/A</v>
      </c>
      <c r="R109" s="24" t="str">
        <f>IFERROR(__xludf.DUMMYFUNCTION("IFERROR(
  LET(
    data, QUERY(GOOGLEFINANCE(C109,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GOOGLEFINANCE(C109, ""price"")) * 100,
    IF(calc=0, G109, calc)
  ), 
G109)"),"#N/A")</f>
        <v>#N/A</v>
      </c>
      <c r="S109" s="8" t="s">
        <v>15</v>
      </c>
      <c r="T109" s="26" t="str">
        <f>IFERROR(__xludf.DUMMYFUNCTION("IFERROR(TRANSPOSE(QUERY(IFERROR(SORT(GOOGLEFINANCE(C109, ""price"", WORKDAY(TODAY(), -40), TODAY()), 1, FALSE)), ""select Col2 where Col2 is not null limit 22 label Col2 ''"", 0)), """")"),"")</f>
        <v/>
      </c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8"/>
      <c r="AO109" s="28"/>
      <c r="AP109" s="29"/>
      <c r="AQ109" s="29" t="str">
        <f t="shared" ref="AQ109:BL109" si="112">T109/T$2</f>
        <v>#N/A</v>
      </c>
      <c r="AR109" s="29" t="str">
        <f t="shared" si="112"/>
        <v>#DIV/0!</v>
      </c>
      <c r="AS109" s="29" t="str">
        <f t="shared" si="112"/>
        <v>#DIV/0!</v>
      </c>
      <c r="AT109" s="29" t="str">
        <f t="shared" si="112"/>
        <v>#DIV/0!</v>
      </c>
      <c r="AU109" s="29" t="str">
        <f t="shared" si="112"/>
        <v>#DIV/0!</v>
      </c>
      <c r="AV109" s="29" t="str">
        <f t="shared" si="112"/>
        <v>#DIV/0!</v>
      </c>
      <c r="AW109" s="29" t="str">
        <f t="shared" si="112"/>
        <v>#DIV/0!</v>
      </c>
      <c r="AX109" s="29" t="str">
        <f t="shared" si="112"/>
        <v>#DIV/0!</v>
      </c>
      <c r="AY109" s="29" t="str">
        <f t="shared" si="112"/>
        <v>#DIV/0!</v>
      </c>
      <c r="AZ109" s="29" t="str">
        <f t="shared" si="112"/>
        <v>#DIV/0!</v>
      </c>
      <c r="BA109" s="29" t="str">
        <f t="shared" si="112"/>
        <v>#DIV/0!</v>
      </c>
      <c r="BB109" s="29" t="str">
        <f t="shared" si="112"/>
        <v>#DIV/0!</v>
      </c>
      <c r="BC109" s="29" t="str">
        <f t="shared" si="112"/>
        <v>#DIV/0!</v>
      </c>
      <c r="BD109" s="29" t="str">
        <f t="shared" si="112"/>
        <v>#DIV/0!</v>
      </c>
      <c r="BE109" s="29" t="str">
        <f t="shared" si="112"/>
        <v>#DIV/0!</v>
      </c>
      <c r="BF109" s="29" t="str">
        <f t="shared" si="112"/>
        <v>#DIV/0!</v>
      </c>
      <c r="BG109" s="29" t="str">
        <f t="shared" si="112"/>
        <v>#DIV/0!</v>
      </c>
      <c r="BH109" s="29" t="str">
        <f t="shared" si="112"/>
        <v>#DIV/0!</v>
      </c>
      <c r="BI109" s="29" t="str">
        <f t="shared" si="112"/>
        <v>#DIV/0!</v>
      </c>
      <c r="BJ109" s="29" t="str">
        <f t="shared" si="112"/>
        <v>#DIV/0!</v>
      </c>
      <c r="BK109" s="29" t="str">
        <f t="shared" si="112"/>
        <v>#DIV/0!</v>
      </c>
      <c r="BL109" s="29" t="str">
        <f t="shared" si="112"/>
        <v>#DIV/0!</v>
      </c>
      <c r="BM109" s="29" t="str">
        <f t="shared" si="3"/>
        <v>#DIV/0!</v>
      </c>
    </row>
    <row r="110">
      <c r="A110" s="16" t="str">
        <f>IFERROR(__xludf.DUMMYFUNCTION("IFERROR(SPARKLINE(SORT(MAP(TRANSPOSE(AQ110:BL110), LAMBDA(val, IF(ISNUMBER(val), PERCENTRANK(AQ110:BL110, val)+0.01, 0))), SEQUENCE(COLUMNS(AQ110:BL110)), FALSE), {""charttype"",""column""; ""color"",""chartreuse""; ""ymin"", 0; ""ymax"", 1.01; ""highcolo"&amp;"r"", ""darkgreen""; ""lowcolor"", ""red""}), """")"),"")</f>
        <v/>
      </c>
      <c r="B110" s="17" t="str">
        <f t="shared" si="4"/>
        <v/>
      </c>
      <c r="C110" s="1" t="s">
        <v>1253</v>
      </c>
      <c r="D110" s="30" t="str">
        <f>IFERROR(__xludf.DUMMYFUNCTION("IFERROR(GOOGLEFINANCE(C110, ""NAME""))"),"V2X Inc")</f>
        <v>V2X Inc</v>
      </c>
      <c r="E110" s="30" t="s">
        <v>839</v>
      </c>
      <c r="F110" s="33" t="str">
        <f>IFERROR(__xludf.DUMMYFUNCTION("( (GOOGLEFINANCE(C110, ""price"") - Q110) / Q110 ) / (R110 / 100)"),"Loading...")</f>
        <v>Loading...</v>
      </c>
      <c r="G110" s="20" t="str">
        <f>IFERROR(__xludf.DUMMYFUNCTION("AVERAGE(ARRAYFORMULA(100 * (QUERY(GOOGLEFINANCE(C110, ""high"", TODAY()-40, TODAY()), ""SELECT Col2 WHERE Col2 IS NOT NULL ORDER BY Col1 DESC LIMIT 20"", 0) / QUERY(GOOGLEFINANCE(C110, ""low"", TODAY()-40, TODAY()), ""SELECT Col2 WHERE Col2 IS NOT NULL OR"&amp;"DER BY Col1 DESC LIMIT 20"", 0) - 1)))"),"#N/A")</f>
        <v>#N/A</v>
      </c>
      <c r="H110" s="35" t="str">
        <f t="shared" si="6"/>
        <v/>
      </c>
      <c r="I110" s="35" t="str">
        <f t="shared" si="7"/>
        <v/>
      </c>
      <c r="J110" s="37" t="str">
        <f>IFERROR(__xludf.DUMMYFUNCTION("IFERROR(
  IF(C110="""",, 
    IFERROR(
      GOOGLEFINANCE(C110, ""price"") * GOOGLEFINANCE(C110, ""volumeavg""), 
      GOOGLEFINANCE(C110, ""price"") * AVERAGE(QUERY(GOOGLEFINANCE(C110, ""volume"", TODAY()-40, TODAY()), ""SELECT Col2 WHERE Col2 IS NOT "&amp;"NULL ORDER BY Col1 DESC LIMIT 20"", 0))
    )
  ), 
"""")"),"")</f>
        <v/>
      </c>
      <c r="K110" s="21" t="str">
        <f>IFERROR(__xludf.DUMMYFUNCTION("IFERROR(GOOGLEFINANCE(C110, ""changepct"") / 100, """")"),"")</f>
        <v/>
      </c>
      <c r="L110" s="21" t="str">
        <f>IFERROR(__xludf.DUMMYFUNCTION("IFERROR((GOOGLEFINANCE(C110, ""price"") / INDEX(GOOGLEFINANCE(C110, ""price"", TODAY()-7, TODAY()), 2, 2)) - 1, """")"),"")</f>
        <v/>
      </c>
      <c r="M110" s="21" t="str">
        <f>IFERROR(__xludf.DUMMYFUNCTION("IFERROR((GOOGLEFINANCE(C110, ""price"") / INDEX(GOOGLEFINANCE(C110, ""price"", EDATE(TODAY(), -1), TODAY()), 2, 2)) - 1, """")"),"")</f>
        <v/>
      </c>
      <c r="N110" s="21" t="str">
        <f>IFERROR(__xludf.DUMMYFUNCTION("IFERROR((GOOGLEFINANCE(C110, ""price"") / INDEX(GOOGLEFINANCE(C110, ""price"", EDATE(TODAY(), -3), TODAY()), 2, 2)) - 1, """")"),"")</f>
        <v/>
      </c>
      <c r="O110" s="21" t="str">
        <f>IFERROR(__xludf.DUMMYFUNCTION("IFERROR((GOOGLEFINANCE(C110, ""price"") / INDEX(GOOGLEFINANCE(C110, ""price"", EDATE(TODAY(), -6), TODAY()), 2, 2)) - 1, """")"),"")</f>
        <v/>
      </c>
      <c r="P110" s="21" t="str">
        <f>IFERROR(__xludf.DUMMYFUNCTION("IFERROR((GOOGLEFINANCE(C110, ""price"") / INDEX(GOOGLEFINANCE(C110, ""price"", EDATE(TODAY(), -12), TODAY()), 2, 2)) - 1, """")"),"")</f>
        <v/>
      </c>
      <c r="Q110" s="6" t="str">
        <f>IFERROR(__xludf.DUMMYFUNCTION("AVERAGE(QUERY(GOOGLEFINANCE(C110, ""price"", TODAY()-80, TODAY()), ""SELECT Col2 WHERE Col2 IS NOT NULL ORDER BY Col1 DESC LIMIT 50"", 0))"),"#N/A")</f>
        <v>#N/A</v>
      </c>
      <c r="R110" s="24" t="str">
        <f>IFERROR(__xludf.DUMMYFUNCTION("IFERROR(
  LET(
    data, QUERY(GOOGLEFINANCE(C110,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GOOGLEFINANCE(C110, ""price"")) * 100,
    IF(calc=0, G110, calc)
  ), 
G110)"),"#N/A")</f>
        <v>#N/A</v>
      </c>
      <c r="S110" s="8" t="s">
        <v>15</v>
      </c>
      <c r="T110" s="26" t="str">
        <f>IFERROR(__xludf.DUMMYFUNCTION("IFERROR(TRANSPOSE(QUERY(IFERROR(SORT(GOOGLEFINANCE(C110, ""price"", WORKDAY(TODAY(), -40), TODAY()), 1, FALSE)), ""select Col2 where Col2 is not null limit 22 label Col2 ''"", 0)), """")"),"")</f>
        <v/>
      </c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8"/>
      <c r="AO110" s="28"/>
      <c r="AP110" s="29"/>
      <c r="AQ110" s="29" t="str">
        <f t="shared" ref="AQ110:BL110" si="113">T110/T$2</f>
        <v>#N/A</v>
      </c>
      <c r="AR110" s="29" t="str">
        <f t="shared" si="113"/>
        <v>#DIV/0!</v>
      </c>
      <c r="AS110" s="29" t="str">
        <f t="shared" si="113"/>
        <v>#DIV/0!</v>
      </c>
      <c r="AT110" s="29" t="str">
        <f t="shared" si="113"/>
        <v>#DIV/0!</v>
      </c>
      <c r="AU110" s="29" t="str">
        <f t="shared" si="113"/>
        <v>#DIV/0!</v>
      </c>
      <c r="AV110" s="29" t="str">
        <f t="shared" si="113"/>
        <v>#DIV/0!</v>
      </c>
      <c r="AW110" s="29" t="str">
        <f t="shared" si="113"/>
        <v>#DIV/0!</v>
      </c>
      <c r="AX110" s="29" t="str">
        <f t="shared" si="113"/>
        <v>#DIV/0!</v>
      </c>
      <c r="AY110" s="29" t="str">
        <f t="shared" si="113"/>
        <v>#DIV/0!</v>
      </c>
      <c r="AZ110" s="29" t="str">
        <f t="shared" si="113"/>
        <v>#DIV/0!</v>
      </c>
      <c r="BA110" s="29" t="str">
        <f t="shared" si="113"/>
        <v>#DIV/0!</v>
      </c>
      <c r="BB110" s="29" t="str">
        <f t="shared" si="113"/>
        <v>#DIV/0!</v>
      </c>
      <c r="BC110" s="29" t="str">
        <f t="shared" si="113"/>
        <v>#DIV/0!</v>
      </c>
      <c r="BD110" s="29" t="str">
        <f t="shared" si="113"/>
        <v>#DIV/0!</v>
      </c>
      <c r="BE110" s="29" t="str">
        <f t="shared" si="113"/>
        <v>#DIV/0!</v>
      </c>
      <c r="BF110" s="29" t="str">
        <f t="shared" si="113"/>
        <v>#DIV/0!</v>
      </c>
      <c r="BG110" s="29" t="str">
        <f t="shared" si="113"/>
        <v>#DIV/0!</v>
      </c>
      <c r="BH110" s="29" t="str">
        <f t="shared" si="113"/>
        <v>#DIV/0!</v>
      </c>
      <c r="BI110" s="29" t="str">
        <f t="shared" si="113"/>
        <v>#DIV/0!</v>
      </c>
      <c r="BJ110" s="29" t="str">
        <f t="shared" si="113"/>
        <v>#DIV/0!</v>
      </c>
      <c r="BK110" s="29" t="str">
        <f t="shared" si="113"/>
        <v>#DIV/0!</v>
      </c>
      <c r="BL110" s="29" t="str">
        <f t="shared" si="113"/>
        <v>#DIV/0!</v>
      </c>
      <c r="BM110" s="29" t="str">
        <f t="shared" si="3"/>
        <v>#DIV/0!</v>
      </c>
    </row>
    <row r="111">
      <c r="A111" s="16" t="str">
        <f>IFERROR(__xludf.DUMMYFUNCTION("IFERROR(SPARKLINE(SORT(MAP(TRANSPOSE(AQ111:BL111), LAMBDA(val, IF(ISNUMBER(val), PERCENTRANK(AQ111:BL111, val)+0.01, 0))), SEQUENCE(COLUMNS(AQ111:BL111)), FALSE), {""charttype"",""column""; ""color"",""chartreuse""; ""ymin"", 0; ""ymax"", 1.01; ""highcolo"&amp;"r"", ""darkgreen""; ""lowcolor"", ""red""}), """")"),"")</f>
        <v/>
      </c>
      <c r="B111" s="17" t="str">
        <f t="shared" si="4"/>
        <v/>
      </c>
      <c r="C111" s="1" t="s">
        <v>1256</v>
      </c>
      <c r="D111" s="30" t="str">
        <f>IFERROR(__xludf.DUMMYFUNCTION("IFERROR(GOOGLEFINANCE(C111, ""NAME""))"),"GrafTech International Ltd")</f>
        <v>GrafTech International Ltd</v>
      </c>
      <c r="E111" s="30" t="s">
        <v>864</v>
      </c>
      <c r="F111" s="33" t="str">
        <f>IFERROR(__xludf.DUMMYFUNCTION("( (GOOGLEFINANCE(C111, ""price"") - Q111) / Q111 ) / (R111 / 100)"),"Loading...")</f>
        <v>Loading...</v>
      </c>
      <c r="G111" s="20" t="str">
        <f>IFERROR(__xludf.DUMMYFUNCTION("AVERAGE(ARRAYFORMULA(100 * (QUERY(GOOGLEFINANCE(C111, ""high"", TODAY()-40, TODAY()), ""SELECT Col2 WHERE Col2 IS NOT NULL ORDER BY Col1 DESC LIMIT 20"", 0) / QUERY(GOOGLEFINANCE(C111, ""low"", TODAY()-40, TODAY()), ""SELECT Col2 WHERE Col2 IS NOT NULL OR"&amp;"DER BY Col1 DESC LIMIT 20"", 0) - 1)))"),"#N/A")</f>
        <v>#N/A</v>
      </c>
      <c r="H111" s="35" t="str">
        <f t="shared" si="6"/>
        <v/>
      </c>
      <c r="I111" s="35" t="str">
        <f t="shared" si="7"/>
        <v/>
      </c>
      <c r="J111" s="37" t="str">
        <f>IFERROR(__xludf.DUMMYFUNCTION("IFERROR(
  IF(C111="""",, 
    IFERROR(
      GOOGLEFINANCE(C111, ""price"") * GOOGLEFINANCE(C111, ""volumeavg""), 
      GOOGLEFINANCE(C111, ""price"") * AVERAGE(QUERY(GOOGLEFINANCE(C111, ""volume"", TODAY()-40, TODAY()), ""SELECT Col2 WHERE Col2 IS NOT "&amp;"NULL ORDER BY Col1 DESC LIMIT 20"", 0))
    )
  ), 
"""")"),"")</f>
        <v/>
      </c>
      <c r="K111" s="21" t="str">
        <f>IFERROR(__xludf.DUMMYFUNCTION("IFERROR(GOOGLEFINANCE(C111, ""changepct"") / 100, """")"),"")</f>
        <v/>
      </c>
      <c r="L111" s="21" t="str">
        <f>IFERROR(__xludf.DUMMYFUNCTION("IFERROR((GOOGLEFINANCE(C111, ""price"") / INDEX(GOOGLEFINANCE(C111, ""price"", TODAY()-7, TODAY()), 2, 2)) - 1, """")"),"")</f>
        <v/>
      </c>
      <c r="M111" s="21" t="str">
        <f>IFERROR(__xludf.DUMMYFUNCTION("IFERROR((GOOGLEFINANCE(C111, ""price"") / INDEX(GOOGLEFINANCE(C111, ""price"", EDATE(TODAY(), -1), TODAY()), 2, 2)) - 1, """")"),"")</f>
        <v/>
      </c>
      <c r="N111" s="21" t="str">
        <f>IFERROR(__xludf.DUMMYFUNCTION("IFERROR((GOOGLEFINANCE(C111, ""price"") / INDEX(GOOGLEFINANCE(C111, ""price"", EDATE(TODAY(), -3), TODAY()), 2, 2)) - 1, """")"),"")</f>
        <v/>
      </c>
      <c r="O111" s="21" t="str">
        <f>IFERROR(__xludf.DUMMYFUNCTION("IFERROR((GOOGLEFINANCE(C111, ""price"") / INDEX(GOOGLEFINANCE(C111, ""price"", EDATE(TODAY(), -6), TODAY()), 2, 2)) - 1, """")"),"")</f>
        <v/>
      </c>
      <c r="P111" s="21" t="str">
        <f>IFERROR(__xludf.DUMMYFUNCTION("IFERROR((GOOGLEFINANCE(C111, ""price"") / INDEX(GOOGLEFINANCE(C111, ""price"", EDATE(TODAY(), -12), TODAY()), 2, 2)) - 1, """")"),"")</f>
        <v/>
      </c>
      <c r="Q111" s="6" t="str">
        <f>IFERROR(__xludf.DUMMYFUNCTION("AVERAGE(QUERY(GOOGLEFINANCE(C111, ""price"", TODAY()-80, TODAY()), ""SELECT Col2 WHERE Col2 IS NOT NULL ORDER BY Col1 DESC LIMIT 50"", 0))"),"#N/A")</f>
        <v>#N/A</v>
      </c>
      <c r="R111" s="24" t="str">
        <f>IFERROR(__xludf.DUMMYFUNCTION("IFERROR(
  LET(
    data, QUERY(GOOGLEFINANCE(C111,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GOOGLEFINANCE(C111, ""price"")) * 100,
    IF(calc=0, G111, calc)
  ), 
G111)"),"#N/A")</f>
        <v>#N/A</v>
      </c>
      <c r="S111" s="8" t="s">
        <v>15</v>
      </c>
      <c r="T111" s="26" t="str">
        <f>IFERROR(__xludf.DUMMYFUNCTION("IFERROR(TRANSPOSE(QUERY(IFERROR(SORT(GOOGLEFINANCE(C111, ""price"", WORKDAY(TODAY(), -40), TODAY()), 1, FALSE)), ""select Col2 where Col2 is not null limit 22 label Col2 ''"", 0)), """")"),"")</f>
        <v/>
      </c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8"/>
      <c r="AO111" s="28"/>
      <c r="AP111" s="29"/>
      <c r="AQ111" s="29" t="str">
        <f t="shared" ref="AQ111:BL111" si="114">T111/T$2</f>
        <v>#N/A</v>
      </c>
      <c r="AR111" s="29" t="str">
        <f t="shared" si="114"/>
        <v>#DIV/0!</v>
      </c>
      <c r="AS111" s="29" t="str">
        <f t="shared" si="114"/>
        <v>#DIV/0!</v>
      </c>
      <c r="AT111" s="29" t="str">
        <f t="shared" si="114"/>
        <v>#DIV/0!</v>
      </c>
      <c r="AU111" s="29" t="str">
        <f t="shared" si="114"/>
        <v>#DIV/0!</v>
      </c>
      <c r="AV111" s="29" t="str">
        <f t="shared" si="114"/>
        <v>#DIV/0!</v>
      </c>
      <c r="AW111" s="29" t="str">
        <f t="shared" si="114"/>
        <v>#DIV/0!</v>
      </c>
      <c r="AX111" s="29" t="str">
        <f t="shared" si="114"/>
        <v>#DIV/0!</v>
      </c>
      <c r="AY111" s="29" t="str">
        <f t="shared" si="114"/>
        <v>#DIV/0!</v>
      </c>
      <c r="AZ111" s="29" t="str">
        <f t="shared" si="114"/>
        <v>#DIV/0!</v>
      </c>
      <c r="BA111" s="29" t="str">
        <f t="shared" si="114"/>
        <v>#DIV/0!</v>
      </c>
      <c r="BB111" s="29" t="str">
        <f t="shared" si="114"/>
        <v>#DIV/0!</v>
      </c>
      <c r="BC111" s="29" t="str">
        <f t="shared" si="114"/>
        <v>#DIV/0!</v>
      </c>
      <c r="BD111" s="29" t="str">
        <f t="shared" si="114"/>
        <v>#DIV/0!</v>
      </c>
      <c r="BE111" s="29" t="str">
        <f t="shared" si="114"/>
        <v>#DIV/0!</v>
      </c>
      <c r="BF111" s="29" t="str">
        <f t="shared" si="114"/>
        <v>#DIV/0!</v>
      </c>
      <c r="BG111" s="29" t="str">
        <f t="shared" si="114"/>
        <v>#DIV/0!</v>
      </c>
      <c r="BH111" s="29" t="str">
        <f t="shared" si="114"/>
        <v>#DIV/0!</v>
      </c>
      <c r="BI111" s="29" t="str">
        <f t="shared" si="114"/>
        <v>#DIV/0!</v>
      </c>
      <c r="BJ111" s="29" t="str">
        <f t="shared" si="114"/>
        <v>#DIV/0!</v>
      </c>
      <c r="BK111" s="29" t="str">
        <f t="shared" si="114"/>
        <v>#DIV/0!</v>
      </c>
      <c r="BL111" s="29" t="str">
        <f t="shared" si="114"/>
        <v>#DIV/0!</v>
      </c>
      <c r="BM111" s="29" t="str">
        <f t="shared" si="3"/>
        <v>#DIV/0!</v>
      </c>
    </row>
    <row r="112">
      <c r="A112" s="16" t="str">
        <f>IFERROR(__xludf.DUMMYFUNCTION("IFERROR(SPARKLINE(SORT(MAP(TRANSPOSE(AQ112:BL112), LAMBDA(val, IF(ISNUMBER(val), PERCENTRANK(AQ112:BL112, val)+0.01, 0))), SEQUENCE(COLUMNS(AQ112:BL112)), FALSE), {""charttype"",""column""; ""color"",""chartreuse""; ""ymin"", 0; ""ymax"", 1.01; ""highcolo"&amp;"r"", ""darkgreen""; ""lowcolor"", ""red""}), """")"),"")</f>
        <v/>
      </c>
      <c r="B112" s="17" t="str">
        <f t="shared" si="4"/>
        <v/>
      </c>
      <c r="C112" s="1" t="s">
        <v>1261</v>
      </c>
      <c r="D112" s="30" t="str">
        <f>IFERROR(__xludf.DUMMYFUNCTION("IFERROR(GOOGLEFINANCE(C112, ""NAME""))"),"Park Ohio Holdings Corp")</f>
        <v>Park Ohio Holdings Corp</v>
      </c>
      <c r="E112" s="30" t="s">
        <v>893</v>
      </c>
      <c r="F112" s="33" t="str">
        <f>IFERROR(__xludf.DUMMYFUNCTION("( (GOOGLEFINANCE(C112, ""price"") - Q112) / Q112 ) / (R112 / 100)"),"Loading...")</f>
        <v>Loading...</v>
      </c>
      <c r="G112" s="20" t="str">
        <f>IFERROR(__xludf.DUMMYFUNCTION("AVERAGE(ARRAYFORMULA(100 * (QUERY(GOOGLEFINANCE(C112, ""high"", TODAY()-40, TODAY()), ""SELECT Col2 WHERE Col2 IS NOT NULL ORDER BY Col1 DESC LIMIT 20"", 0) / QUERY(GOOGLEFINANCE(C112, ""low"", TODAY()-40, TODAY()), ""SELECT Col2 WHERE Col2 IS NOT NULL OR"&amp;"DER BY Col1 DESC LIMIT 20"", 0) - 1)))"),"#N/A")</f>
        <v>#N/A</v>
      </c>
      <c r="H112" s="35" t="str">
        <f t="shared" si="6"/>
        <v/>
      </c>
      <c r="I112" s="35" t="str">
        <f t="shared" si="7"/>
        <v/>
      </c>
      <c r="J112" s="37" t="str">
        <f>IFERROR(__xludf.DUMMYFUNCTION("IFERROR(
  IF(C112="""",, 
    IFERROR(
      GOOGLEFINANCE(C112, ""price"") * GOOGLEFINANCE(C112, ""volumeavg""), 
      GOOGLEFINANCE(C112, ""price"") * AVERAGE(QUERY(GOOGLEFINANCE(C112, ""volume"", TODAY()-40, TODAY()), ""SELECT Col2 WHERE Col2 IS NOT "&amp;"NULL ORDER BY Col1 DESC LIMIT 20"", 0))
    )
  ), 
"""")"),"")</f>
        <v/>
      </c>
      <c r="K112" s="21" t="str">
        <f>IFERROR(__xludf.DUMMYFUNCTION("IFERROR(GOOGLEFINANCE(C112, ""changepct"") / 100, """")"),"")</f>
        <v/>
      </c>
      <c r="L112" s="21" t="str">
        <f>IFERROR(__xludf.DUMMYFUNCTION("IFERROR((GOOGLEFINANCE(C112, ""price"") / INDEX(GOOGLEFINANCE(C112, ""price"", TODAY()-7, TODAY()), 2, 2)) - 1, """")"),"")</f>
        <v/>
      </c>
      <c r="M112" s="21" t="str">
        <f>IFERROR(__xludf.DUMMYFUNCTION("IFERROR((GOOGLEFINANCE(C112, ""price"") / INDEX(GOOGLEFINANCE(C112, ""price"", EDATE(TODAY(), -1), TODAY()), 2, 2)) - 1, """")"),"")</f>
        <v/>
      </c>
      <c r="N112" s="21" t="str">
        <f>IFERROR(__xludf.DUMMYFUNCTION("IFERROR((GOOGLEFINANCE(C112, ""price"") / INDEX(GOOGLEFINANCE(C112, ""price"", EDATE(TODAY(), -3), TODAY()), 2, 2)) - 1, """")"),"")</f>
        <v/>
      </c>
      <c r="O112" s="21" t="str">
        <f>IFERROR(__xludf.DUMMYFUNCTION("IFERROR((GOOGLEFINANCE(C112, ""price"") / INDEX(GOOGLEFINANCE(C112, ""price"", EDATE(TODAY(), -6), TODAY()), 2, 2)) - 1, """")"),"")</f>
        <v/>
      </c>
      <c r="P112" s="21" t="str">
        <f>IFERROR(__xludf.DUMMYFUNCTION("IFERROR((GOOGLEFINANCE(C112, ""price"") / INDEX(GOOGLEFINANCE(C112, ""price"", EDATE(TODAY(), -12), TODAY()), 2, 2)) - 1, """")"),"")</f>
        <v/>
      </c>
      <c r="Q112" s="6" t="str">
        <f>IFERROR(__xludf.DUMMYFUNCTION("AVERAGE(QUERY(GOOGLEFINANCE(C112, ""price"", TODAY()-80, TODAY()), ""SELECT Col2 WHERE Col2 IS NOT NULL ORDER BY Col1 DESC LIMIT 50"", 0))"),"#N/A")</f>
        <v>#N/A</v>
      </c>
      <c r="R112" s="24" t="str">
        <f>IFERROR(__xludf.DUMMYFUNCTION("IFERROR(
  LET(
    data, QUERY(GOOGLEFINANCE(C112,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GOOGLEFINANCE(C112, ""price"")) * 100,
    IF(calc=0, G112, calc)
  ), 
G112)"),"#N/A")</f>
        <v>#N/A</v>
      </c>
      <c r="S112" s="8" t="s">
        <v>15</v>
      </c>
      <c r="T112" s="26" t="str">
        <f>IFERROR(__xludf.DUMMYFUNCTION("IFERROR(TRANSPOSE(QUERY(IFERROR(SORT(GOOGLEFINANCE(C112, ""price"", WORKDAY(TODAY(), -40), TODAY()), 1, FALSE)), ""select Col2 where Col2 is not null limit 22 label Col2 ''"", 0)), """")"),"")</f>
        <v/>
      </c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8"/>
      <c r="AO112" s="28"/>
      <c r="AP112" s="29"/>
      <c r="AQ112" s="29" t="str">
        <f t="shared" ref="AQ112:BL112" si="115">T112/T$2</f>
        <v>#N/A</v>
      </c>
      <c r="AR112" s="29" t="str">
        <f t="shared" si="115"/>
        <v>#DIV/0!</v>
      </c>
      <c r="AS112" s="29" t="str">
        <f t="shared" si="115"/>
        <v>#DIV/0!</v>
      </c>
      <c r="AT112" s="29" t="str">
        <f t="shared" si="115"/>
        <v>#DIV/0!</v>
      </c>
      <c r="AU112" s="29" t="str">
        <f t="shared" si="115"/>
        <v>#DIV/0!</v>
      </c>
      <c r="AV112" s="29" t="str">
        <f t="shared" si="115"/>
        <v>#DIV/0!</v>
      </c>
      <c r="AW112" s="29" t="str">
        <f t="shared" si="115"/>
        <v>#DIV/0!</v>
      </c>
      <c r="AX112" s="29" t="str">
        <f t="shared" si="115"/>
        <v>#DIV/0!</v>
      </c>
      <c r="AY112" s="29" t="str">
        <f t="shared" si="115"/>
        <v>#DIV/0!</v>
      </c>
      <c r="AZ112" s="29" t="str">
        <f t="shared" si="115"/>
        <v>#DIV/0!</v>
      </c>
      <c r="BA112" s="29" t="str">
        <f t="shared" si="115"/>
        <v>#DIV/0!</v>
      </c>
      <c r="BB112" s="29" t="str">
        <f t="shared" si="115"/>
        <v>#DIV/0!</v>
      </c>
      <c r="BC112" s="29" t="str">
        <f t="shared" si="115"/>
        <v>#DIV/0!</v>
      </c>
      <c r="BD112" s="29" t="str">
        <f t="shared" si="115"/>
        <v>#DIV/0!</v>
      </c>
      <c r="BE112" s="29" t="str">
        <f t="shared" si="115"/>
        <v>#DIV/0!</v>
      </c>
      <c r="BF112" s="29" t="str">
        <f t="shared" si="115"/>
        <v>#DIV/0!</v>
      </c>
      <c r="BG112" s="29" t="str">
        <f t="shared" si="115"/>
        <v>#DIV/0!</v>
      </c>
      <c r="BH112" s="29" t="str">
        <f t="shared" si="115"/>
        <v>#DIV/0!</v>
      </c>
      <c r="BI112" s="29" t="str">
        <f t="shared" si="115"/>
        <v>#DIV/0!</v>
      </c>
      <c r="BJ112" s="29" t="str">
        <f t="shared" si="115"/>
        <v>#DIV/0!</v>
      </c>
      <c r="BK112" s="29" t="str">
        <f t="shared" si="115"/>
        <v>#DIV/0!</v>
      </c>
      <c r="BL112" s="29" t="str">
        <f t="shared" si="115"/>
        <v>#DIV/0!</v>
      </c>
      <c r="BM112" s="29" t="str">
        <f t="shared" si="3"/>
        <v>#DIV/0!</v>
      </c>
    </row>
    <row r="113">
      <c r="A113" s="16" t="str">
        <f>IFERROR(__xludf.DUMMYFUNCTION("IFERROR(SPARKLINE(SORT(MAP(TRANSPOSE(AQ113:BL113), LAMBDA(val, IF(ISNUMBER(val), PERCENTRANK(AQ113:BL113, val)+0.01, 0))), SEQUENCE(COLUMNS(AQ113:BL113)), FALSE), {""charttype"",""column""; ""color"",""chartreuse""; ""ymin"", 0; ""ymax"", 1.01; ""highcolo"&amp;"r"", ""darkgreen""; ""lowcolor"", ""red""}), """")"),"")</f>
        <v/>
      </c>
      <c r="B113" s="17" t="str">
        <f t="shared" si="4"/>
        <v/>
      </c>
      <c r="C113" s="1" t="s">
        <v>1265</v>
      </c>
      <c r="D113" s="30" t="str">
        <f>IFERROR(__xludf.DUMMYFUNCTION("IFERROR(GOOGLEFINANCE(C113, ""NAME""))"),"BETA Technologies Inc")</f>
        <v>BETA Technologies Inc</v>
      </c>
      <c r="E113" s="30" t="s">
        <v>839</v>
      </c>
      <c r="F113" s="33" t="str">
        <f>IFERROR(__xludf.DUMMYFUNCTION("( (GOOGLEFINANCE(C113, ""price"") - Q113) / Q113 ) / (R113 / 100)"),"Loading...")</f>
        <v>Loading...</v>
      </c>
      <c r="G113" s="20" t="str">
        <f>IFERROR(__xludf.DUMMYFUNCTION("AVERAGE(ARRAYFORMULA(100 * (QUERY(GOOGLEFINANCE(C113, ""high"", TODAY()-40, TODAY()), ""SELECT Col2 WHERE Col2 IS NOT NULL ORDER BY Col1 DESC LIMIT 20"", 0) / QUERY(GOOGLEFINANCE(C113, ""low"", TODAY()-40, TODAY()), ""SELECT Col2 WHERE Col2 IS NOT NULL OR"&amp;"DER BY Col1 DESC LIMIT 20"", 0) - 1)))"),"#N/A")</f>
        <v>#N/A</v>
      </c>
      <c r="H113" s="35" t="str">
        <f t="shared" si="6"/>
        <v/>
      </c>
      <c r="I113" s="35" t="str">
        <f t="shared" si="7"/>
        <v/>
      </c>
      <c r="J113" s="37" t="str">
        <f>IFERROR(__xludf.DUMMYFUNCTION("IFERROR(
  IF(C113="""",, 
    IFERROR(
      GOOGLEFINANCE(C113, ""price"") * GOOGLEFINANCE(C113, ""volumeavg""), 
      GOOGLEFINANCE(C113, ""price"") * AVERAGE(QUERY(GOOGLEFINANCE(C113, ""volume"", TODAY()-40, TODAY()), ""SELECT Col2 WHERE Col2 IS NOT "&amp;"NULL ORDER BY Col1 DESC LIMIT 20"", 0))
    )
  ), 
"""")"),"")</f>
        <v/>
      </c>
      <c r="K113" s="21" t="str">
        <f>IFERROR(__xludf.DUMMYFUNCTION("IFERROR(GOOGLEFINANCE(C113, ""changepct"") / 100, """")"),"")</f>
        <v/>
      </c>
      <c r="L113" s="21" t="str">
        <f>IFERROR(__xludf.DUMMYFUNCTION("IFERROR((GOOGLEFINANCE(C113, ""price"") / INDEX(GOOGLEFINANCE(C113, ""price"", TODAY()-7, TODAY()), 2, 2)) - 1, """")"),"")</f>
        <v/>
      </c>
      <c r="M113" s="21" t="str">
        <f>IFERROR(__xludf.DUMMYFUNCTION("IFERROR((GOOGLEFINANCE(C113, ""price"") / INDEX(GOOGLEFINANCE(C113, ""price"", EDATE(TODAY(), -1), TODAY()), 2, 2)) - 1, """")"),"")</f>
        <v/>
      </c>
      <c r="N113" s="21" t="str">
        <f>IFERROR(__xludf.DUMMYFUNCTION("IFERROR((GOOGLEFINANCE(C113, ""price"") / INDEX(GOOGLEFINANCE(C113, ""price"", EDATE(TODAY(), -3), TODAY()), 2, 2)) - 1, """")"),"")</f>
        <v/>
      </c>
      <c r="O113" s="21" t="str">
        <f>IFERROR(__xludf.DUMMYFUNCTION("IFERROR((GOOGLEFINANCE(C113, ""price"") / INDEX(GOOGLEFINANCE(C113, ""price"", EDATE(TODAY(), -6), TODAY()), 2, 2)) - 1, """")"),"")</f>
        <v/>
      </c>
      <c r="P113" s="21" t="str">
        <f>IFERROR(__xludf.DUMMYFUNCTION("IFERROR((GOOGLEFINANCE(C113, ""price"") / INDEX(GOOGLEFINANCE(C113, ""price"", EDATE(TODAY(), -12), TODAY()), 2, 2)) - 1, """")"),"")</f>
        <v/>
      </c>
      <c r="Q113" s="6" t="str">
        <f>IFERROR(__xludf.DUMMYFUNCTION("AVERAGE(QUERY(GOOGLEFINANCE(C113, ""price"", TODAY()-80, TODAY()), ""SELECT Col2 WHERE Col2 IS NOT NULL ORDER BY Col1 DESC LIMIT 50"", 0))"),"#N/A")</f>
        <v>#N/A</v>
      </c>
      <c r="R113" s="24" t="str">
        <f>IFERROR(__xludf.DUMMYFUNCTION("IFERROR(
  LET(
    data, QUERY(GOOGLEFINANCE(C113,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GOOGLEFINANCE(C113, ""price"")) * 100,
    IF(calc=0, G113, calc)
  ), 
G113)"),"#N/A")</f>
        <v>#N/A</v>
      </c>
      <c r="S113" s="8" t="s">
        <v>15</v>
      </c>
      <c r="T113" s="26" t="str">
        <f>IFERROR(__xludf.DUMMYFUNCTION("IFERROR(TRANSPOSE(QUERY(IFERROR(SORT(GOOGLEFINANCE(C113, ""price"", WORKDAY(TODAY(), -40), TODAY()), 1, FALSE)), ""select Col2 where Col2 is not null limit 22 label Col2 ''"", 0)), """")"),"")</f>
        <v/>
      </c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8"/>
      <c r="AO113" s="28"/>
      <c r="AP113" s="29"/>
      <c r="AQ113" s="29" t="str">
        <f t="shared" ref="AQ113:BL113" si="116">T113/T$2</f>
        <v>#N/A</v>
      </c>
      <c r="AR113" s="29" t="str">
        <f t="shared" si="116"/>
        <v>#DIV/0!</v>
      </c>
      <c r="AS113" s="29" t="str">
        <f t="shared" si="116"/>
        <v>#DIV/0!</v>
      </c>
      <c r="AT113" s="29" t="str">
        <f t="shared" si="116"/>
        <v>#DIV/0!</v>
      </c>
      <c r="AU113" s="29" t="str">
        <f t="shared" si="116"/>
        <v>#DIV/0!</v>
      </c>
      <c r="AV113" s="29" t="str">
        <f t="shared" si="116"/>
        <v>#DIV/0!</v>
      </c>
      <c r="AW113" s="29" t="str">
        <f t="shared" si="116"/>
        <v>#DIV/0!</v>
      </c>
      <c r="AX113" s="29" t="str">
        <f t="shared" si="116"/>
        <v>#DIV/0!</v>
      </c>
      <c r="AY113" s="29" t="str">
        <f t="shared" si="116"/>
        <v>#DIV/0!</v>
      </c>
      <c r="AZ113" s="29" t="str">
        <f t="shared" si="116"/>
        <v>#DIV/0!</v>
      </c>
      <c r="BA113" s="29" t="str">
        <f t="shared" si="116"/>
        <v>#DIV/0!</v>
      </c>
      <c r="BB113" s="29" t="str">
        <f t="shared" si="116"/>
        <v>#DIV/0!</v>
      </c>
      <c r="BC113" s="29" t="str">
        <f t="shared" si="116"/>
        <v>#DIV/0!</v>
      </c>
      <c r="BD113" s="29" t="str">
        <f t="shared" si="116"/>
        <v>#DIV/0!</v>
      </c>
      <c r="BE113" s="29" t="str">
        <f t="shared" si="116"/>
        <v>#DIV/0!</v>
      </c>
      <c r="BF113" s="29" t="str">
        <f t="shared" si="116"/>
        <v>#DIV/0!</v>
      </c>
      <c r="BG113" s="29" t="str">
        <f t="shared" si="116"/>
        <v>#DIV/0!</v>
      </c>
      <c r="BH113" s="29" t="str">
        <f t="shared" si="116"/>
        <v>#DIV/0!</v>
      </c>
      <c r="BI113" s="29" t="str">
        <f t="shared" si="116"/>
        <v>#DIV/0!</v>
      </c>
      <c r="BJ113" s="29" t="str">
        <f t="shared" si="116"/>
        <v>#DIV/0!</v>
      </c>
      <c r="BK113" s="29" t="str">
        <f t="shared" si="116"/>
        <v>#DIV/0!</v>
      </c>
      <c r="BL113" s="29" t="str">
        <f t="shared" si="116"/>
        <v>#DIV/0!</v>
      </c>
      <c r="BM113" s="29" t="str">
        <f t="shared" si="3"/>
        <v>#DIV/0!</v>
      </c>
    </row>
    <row r="114">
      <c r="A114" s="16" t="str">
        <f>IFERROR(__xludf.DUMMYFUNCTION("IFERROR(SPARKLINE(SORT(MAP(TRANSPOSE(AQ114:BL114), LAMBDA(val, IF(ISNUMBER(val), PERCENTRANK(AQ114:BL114, val)+0.01, 0))), SEQUENCE(COLUMNS(AQ114:BL114)), FALSE), {""charttype"",""column""; ""color"",""chartreuse""; ""ymin"", 0; ""ymax"", 1.01; ""highcolo"&amp;"r"", ""darkgreen""; ""lowcolor"", ""red""}), """")"),"")</f>
        <v/>
      </c>
      <c r="B114" s="17" t="str">
        <f t="shared" si="4"/>
        <v/>
      </c>
      <c r="C114" s="1" t="s">
        <v>1269</v>
      </c>
      <c r="D114" s="30" t="str">
        <f>IFERROR(__xludf.DUMMYFUNCTION("IFERROR(GOOGLEFINANCE(C114, ""NAME""))"),"Willis Lease Finance Corp")</f>
        <v>Willis Lease Finance Corp</v>
      </c>
      <c r="E114" s="30" t="s">
        <v>888</v>
      </c>
      <c r="F114" s="33" t="str">
        <f>IFERROR(__xludf.DUMMYFUNCTION("( (GOOGLEFINANCE(C114, ""price"") - Q114) / Q114 ) / (R114 / 100)"),"Loading...")</f>
        <v>Loading...</v>
      </c>
      <c r="G114" s="20" t="str">
        <f>IFERROR(__xludf.DUMMYFUNCTION("AVERAGE(ARRAYFORMULA(100 * (QUERY(GOOGLEFINANCE(C114, ""high"", TODAY()-40, TODAY()), ""SELECT Col2 WHERE Col2 IS NOT NULL ORDER BY Col1 DESC LIMIT 20"", 0) / QUERY(GOOGLEFINANCE(C114, ""low"", TODAY()-40, TODAY()), ""SELECT Col2 WHERE Col2 IS NOT NULL OR"&amp;"DER BY Col1 DESC LIMIT 20"", 0) - 1)))"),"#N/A")</f>
        <v>#N/A</v>
      </c>
      <c r="H114" s="35" t="str">
        <f t="shared" si="6"/>
        <v/>
      </c>
      <c r="I114" s="35" t="str">
        <f t="shared" si="7"/>
        <v/>
      </c>
      <c r="J114" s="37" t="str">
        <f>IFERROR(__xludf.DUMMYFUNCTION("IFERROR(
  IF(C114="""",, 
    IFERROR(
      GOOGLEFINANCE(C114, ""price"") * GOOGLEFINANCE(C114, ""volumeavg""), 
      GOOGLEFINANCE(C114, ""price"") * AVERAGE(QUERY(GOOGLEFINANCE(C114, ""volume"", TODAY()-40, TODAY()), ""SELECT Col2 WHERE Col2 IS NOT "&amp;"NULL ORDER BY Col1 DESC LIMIT 20"", 0))
    )
  ), 
"""")"),"")</f>
        <v/>
      </c>
      <c r="K114" s="21" t="str">
        <f>IFERROR(__xludf.DUMMYFUNCTION("IFERROR(GOOGLEFINANCE(C114, ""changepct"") / 100, """")"),"")</f>
        <v/>
      </c>
      <c r="L114" s="21" t="str">
        <f>IFERROR(__xludf.DUMMYFUNCTION("IFERROR((GOOGLEFINANCE(C114, ""price"") / INDEX(GOOGLEFINANCE(C114, ""price"", TODAY()-7, TODAY()), 2, 2)) - 1, """")"),"")</f>
        <v/>
      </c>
      <c r="M114" s="21" t="str">
        <f>IFERROR(__xludf.DUMMYFUNCTION("IFERROR((GOOGLEFINANCE(C114, ""price"") / INDEX(GOOGLEFINANCE(C114, ""price"", EDATE(TODAY(), -1), TODAY()), 2, 2)) - 1, """")"),"")</f>
        <v/>
      </c>
      <c r="N114" s="21" t="str">
        <f>IFERROR(__xludf.DUMMYFUNCTION("IFERROR((GOOGLEFINANCE(C114, ""price"") / INDEX(GOOGLEFINANCE(C114, ""price"", EDATE(TODAY(), -3), TODAY()), 2, 2)) - 1, """")"),"")</f>
        <v/>
      </c>
      <c r="O114" s="21" t="str">
        <f>IFERROR(__xludf.DUMMYFUNCTION("IFERROR((GOOGLEFINANCE(C114, ""price"") / INDEX(GOOGLEFINANCE(C114, ""price"", EDATE(TODAY(), -6), TODAY()), 2, 2)) - 1, """")"),"")</f>
        <v/>
      </c>
      <c r="P114" s="21" t="str">
        <f>IFERROR(__xludf.DUMMYFUNCTION("IFERROR((GOOGLEFINANCE(C114, ""price"") / INDEX(GOOGLEFINANCE(C114, ""price"", EDATE(TODAY(), -12), TODAY()), 2, 2)) - 1, """")"),"")</f>
        <v/>
      </c>
      <c r="Q114" s="6" t="str">
        <f>IFERROR(__xludf.DUMMYFUNCTION("AVERAGE(QUERY(GOOGLEFINANCE(C114, ""price"", TODAY()-80, TODAY()), ""SELECT Col2 WHERE Col2 IS NOT NULL ORDER BY Col1 DESC LIMIT 50"", 0))"),"#N/A")</f>
        <v>#N/A</v>
      </c>
      <c r="R114" s="24" t="str">
        <f>IFERROR(__xludf.DUMMYFUNCTION("IFERROR(
  LET(
    data, QUERY(GOOGLEFINANCE(C114,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GOOGLEFINANCE(C114, ""price"")) * 100,
    IF(calc=0, G114, calc)
  ), 
G114)"),"#N/A")</f>
        <v>#N/A</v>
      </c>
      <c r="S114" s="8" t="s">
        <v>15</v>
      </c>
      <c r="T114" s="26" t="str">
        <f>IFERROR(__xludf.DUMMYFUNCTION("IFERROR(TRANSPOSE(QUERY(IFERROR(SORT(GOOGLEFINANCE(C114, ""price"", WORKDAY(TODAY(), -40), TODAY()), 1, FALSE)), ""select Col2 where Col2 is not null limit 22 label Col2 ''"", 0)), """")"),"")</f>
        <v/>
      </c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8"/>
      <c r="AO114" s="28"/>
      <c r="AP114" s="29"/>
      <c r="AQ114" s="29" t="str">
        <f t="shared" ref="AQ114:BL114" si="117">T114/T$2</f>
        <v>#N/A</v>
      </c>
      <c r="AR114" s="29" t="str">
        <f t="shared" si="117"/>
        <v>#DIV/0!</v>
      </c>
      <c r="AS114" s="29" t="str">
        <f t="shared" si="117"/>
        <v>#DIV/0!</v>
      </c>
      <c r="AT114" s="29" t="str">
        <f t="shared" si="117"/>
        <v>#DIV/0!</v>
      </c>
      <c r="AU114" s="29" t="str">
        <f t="shared" si="117"/>
        <v>#DIV/0!</v>
      </c>
      <c r="AV114" s="29" t="str">
        <f t="shared" si="117"/>
        <v>#DIV/0!</v>
      </c>
      <c r="AW114" s="29" t="str">
        <f t="shared" si="117"/>
        <v>#DIV/0!</v>
      </c>
      <c r="AX114" s="29" t="str">
        <f t="shared" si="117"/>
        <v>#DIV/0!</v>
      </c>
      <c r="AY114" s="29" t="str">
        <f t="shared" si="117"/>
        <v>#DIV/0!</v>
      </c>
      <c r="AZ114" s="29" t="str">
        <f t="shared" si="117"/>
        <v>#DIV/0!</v>
      </c>
      <c r="BA114" s="29" t="str">
        <f t="shared" si="117"/>
        <v>#DIV/0!</v>
      </c>
      <c r="BB114" s="29" t="str">
        <f t="shared" si="117"/>
        <v>#DIV/0!</v>
      </c>
      <c r="BC114" s="29" t="str">
        <f t="shared" si="117"/>
        <v>#DIV/0!</v>
      </c>
      <c r="BD114" s="29" t="str">
        <f t="shared" si="117"/>
        <v>#DIV/0!</v>
      </c>
      <c r="BE114" s="29" t="str">
        <f t="shared" si="117"/>
        <v>#DIV/0!</v>
      </c>
      <c r="BF114" s="29" t="str">
        <f t="shared" si="117"/>
        <v>#DIV/0!</v>
      </c>
      <c r="BG114" s="29" t="str">
        <f t="shared" si="117"/>
        <v>#DIV/0!</v>
      </c>
      <c r="BH114" s="29" t="str">
        <f t="shared" si="117"/>
        <v>#DIV/0!</v>
      </c>
      <c r="BI114" s="29" t="str">
        <f t="shared" si="117"/>
        <v>#DIV/0!</v>
      </c>
      <c r="BJ114" s="29" t="str">
        <f t="shared" si="117"/>
        <v>#DIV/0!</v>
      </c>
      <c r="BK114" s="29" t="str">
        <f t="shared" si="117"/>
        <v>#DIV/0!</v>
      </c>
      <c r="BL114" s="29" t="str">
        <f t="shared" si="117"/>
        <v>#DIV/0!</v>
      </c>
      <c r="BM114" s="29" t="str">
        <f t="shared" si="3"/>
        <v>#DIV/0!</v>
      </c>
    </row>
    <row r="115">
      <c r="A115" s="16" t="str">
        <f>IFERROR(__xludf.DUMMYFUNCTION("IFERROR(SPARKLINE(SORT(MAP(TRANSPOSE(AQ115:BL115), LAMBDA(val, IF(ISNUMBER(val), PERCENTRANK(AQ115:BL115, val)+0.01, 0))), SEQUENCE(COLUMNS(AQ115:BL115)), FALSE), {""charttype"",""column""; ""color"",""chartreuse""; ""ymin"", 0; ""ymax"", 1.01; ""highcolo"&amp;"r"", ""darkgreen""; ""lowcolor"", ""red""}), """")"),"")</f>
        <v/>
      </c>
      <c r="B115" s="17" t="str">
        <f t="shared" si="4"/>
        <v/>
      </c>
      <c r="C115" s="1" t="s">
        <v>1273</v>
      </c>
      <c r="D115" s="30" t="str">
        <f>IFERROR(__xludf.DUMMYFUNCTION("IFERROR(GOOGLEFINANCE(C115, ""NAME""))"),"American Airlines Group Inc")</f>
        <v>American Airlines Group Inc</v>
      </c>
      <c r="E115" s="30" t="s">
        <v>1134</v>
      </c>
      <c r="F115" s="33" t="str">
        <f>IFERROR(__xludf.DUMMYFUNCTION("( (GOOGLEFINANCE(C115, ""price"") - Q115) / Q115 ) / (R115 / 100)"),"Loading...")</f>
        <v>Loading...</v>
      </c>
      <c r="G115" s="20" t="str">
        <f>IFERROR(__xludf.DUMMYFUNCTION("AVERAGE(ARRAYFORMULA(100 * (QUERY(GOOGLEFINANCE(C115, ""high"", TODAY()-40, TODAY()), ""SELECT Col2 WHERE Col2 IS NOT NULL ORDER BY Col1 DESC LIMIT 20"", 0) / QUERY(GOOGLEFINANCE(C115, ""low"", TODAY()-40, TODAY()), ""SELECT Col2 WHERE Col2 IS NOT NULL OR"&amp;"DER BY Col1 DESC LIMIT 20"", 0) - 1)))"),"#N/A")</f>
        <v>#N/A</v>
      </c>
      <c r="H115" s="35" t="str">
        <f t="shared" si="6"/>
        <v/>
      </c>
      <c r="I115" s="35" t="str">
        <f t="shared" si="7"/>
        <v/>
      </c>
      <c r="J115" s="37" t="str">
        <f>IFERROR(__xludf.DUMMYFUNCTION("IFERROR(
  IF(C115="""",, 
    IFERROR(
      GOOGLEFINANCE(C115, ""price"") * GOOGLEFINANCE(C115, ""volumeavg""), 
      GOOGLEFINANCE(C115, ""price"") * AVERAGE(QUERY(GOOGLEFINANCE(C115, ""volume"", TODAY()-40, TODAY()), ""SELECT Col2 WHERE Col2 IS NOT "&amp;"NULL ORDER BY Col1 DESC LIMIT 20"", 0))
    )
  ), 
"""")"),"")</f>
        <v/>
      </c>
      <c r="K115" s="21" t="str">
        <f>IFERROR(__xludf.DUMMYFUNCTION("IFERROR(GOOGLEFINANCE(C115, ""changepct"") / 100, """")"),"")</f>
        <v/>
      </c>
      <c r="L115" s="21" t="str">
        <f>IFERROR(__xludf.DUMMYFUNCTION("IFERROR((GOOGLEFINANCE(C115, ""price"") / INDEX(GOOGLEFINANCE(C115, ""price"", TODAY()-7, TODAY()), 2, 2)) - 1, """")"),"")</f>
        <v/>
      </c>
      <c r="M115" s="21" t="str">
        <f>IFERROR(__xludf.DUMMYFUNCTION("IFERROR((GOOGLEFINANCE(C115, ""price"") / INDEX(GOOGLEFINANCE(C115, ""price"", EDATE(TODAY(), -1), TODAY()), 2, 2)) - 1, """")"),"")</f>
        <v/>
      </c>
      <c r="N115" s="21" t="str">
        <f>IFERROR(__xludf.DUMMYFUNCTION("IFERROR((GOOGLEFINANCE(C115, ""price"") / INDEX(GOOGLEFINANCE(C115, ""price"", EDATE(TODAY(), -3), TODAY()), 2, 2)) - 1, """")"),"")</f>
        <v/>
      </c>
      <c r="O115" s="21" t="str">
        <f>IFERROR(__xludf.DUMMYFUNCTION("IFERROR((GOOGLEFINANCE(C115, ""price"") / INDEX(GOOGLEFINANCE(C115, ""price"", EDATE(TODAY(), -6), TODAY()), 2, 2)) - 1, """")"),"")</f>
        <v/>
      </c>
      <c r="P115" s="21" t="str">
        <f>IFERROR(__xludf.DUMMYFUNCTION("IFERROR((GOOGLEFINANCE(C115, ""price"") / INDEX(GOOGLEFINANCE(C115, ""price"", EDATE(TODAY(), -12), TODAY()), 2, 2)) - 1, """")"),"")</f>
        <v/>
      </c>
      <c r="Q115" s="6" t="str">
        <f>IFERROR(__xludf.DUMMYFUNCTION("AVERAGE(QUERY(GOOGLEFINANCE(C115, ""price"", TODAY()-80, TODAY()), ""SELECT Col2 WHERE Col2 IS NOT NULL ORDER BY Col1 DESC LIMIT 50"", 0))"),"#N/A")</f>
        <v>#N/A</v>
      </c>
      <c r="R115" s="24" t="str">
        <f>IFERROR(__xludf.DUMMYFUNCTION("IFERROR(
  LET(
    data, QUERY(GOOGLEFINANCE(C115,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GOOGLEFINANCE(C115, ""price"")) * 100,
    IF(calc=0, G115, calc)
  ), 
G115)"),"#N/A")</f>
        <v>#N/A</v>
      </c>
      <c r="S115" s="8" t="s">
        <v>15</v>
      </c>
      <c r="T115" s="26" t="str">
        <f>IFERROR(__xludf.DUMMYFUNCTION("IFERROR(TRANSPOSE(QUERY(IFERROR(SORT(GOOGLEFINANCE(C115, ""price"", WORKDAY(TODAY(), -40), TODAY()), 1, FALSE)), ""select Col2 where Col2 is not null limit 22 label Col2 ''"", 0)), """")"),"")</f>
        <v/>
      </c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8"/>
      <c r="AO115" s="28"/>
      <c r="AP115" s="29"/>
      <c r="AQ115" s="29" t="str">
        <f t="shared" ref="AQ115:BL115" si="118">T115/T$2</f>
        <v>#N/A</v>
      </c>
      <c r="AR115" s="29" t="str">
        <f t="shared" si="118"/>
        <v>#DIV/0!</v>
      </c>
      <c r="AS115" s="29" t="str">
        <f t="shared" si="118"/>
        <v>#DIV/0!</v>
      </c>
      <c r="AT115" s="29" t="str">
        <f t="shared" si="118"/>
        <v>#DIV/0!</v>
      </c>
      <c r="AU115" s="29" t="str">
        <f t="shared" si="118"/>
        <v>#DIV/0!</v>
      </c>
      <c r="AV115" s="29" t="str">
        <f t="shared" si="118"/>
        <v>#DIV/0!</v>
      </c>
      <c r="AW115" s="29" t="str">
        <f t="shared" si="118"/>
        <v>#DIV/0!</v>
      </c>
      <c r="AX115" s="29" t="str">
        <f t="shared" si="118"/>
        <v>#DIV/0!</v>
      </c>
      <c r="AY115" s="29" t="str">
        <f t="shared" si="118"/>
        <v>#DIV/0!</v>
      </c>
      <c r="AZ115" s="29" t="str">
        <f t="shared" si="118"/>
        <v>#DIV/0!</v>
      </c>
      <c r="BA115" s="29" t="str">
        <f t="shared" si="118"/>
        <v>#DIV/0!</v>
      </c>
      <c r="BB115" s="29" t="str">
        <f t="shared" si="118"/>
        <v>#DIV/0!</v>
      </c>
      <c r="BC115" s="29" t="str">
        <f t="shared" si="118"/>
        <v>#DIV/0!</v>
      </c>
      <c r="BD115" s="29" t="str">
        <f t="shared" si="118"/>
        <v>#DIV/0!</v>
      </c>
      <c r="BE115" s="29" t="str">
        <f t="shared" si="118"/>
        <v>#DIV/0!</v>
      </c>
      <c r="BF115" s="29" t="str">
        <f t="shared" si="118"/>
        <v>#DIV/0!</v>
      </c>
      <c r="BG115" s="29" t="str">
        <f t="shared" si="118"/>
        <v>#DIV/0!</v>
      </c>
      <c r="BH115" s="29" t="str">
        <f t="shared" si="118"/>
        <v>#DIV/0!</v>
      </c>
      <c r="BI115" s="29" t="str">
        <f t="shared" si="118"/>
        <v>#DIV/0!</v>
      </c>
      <c r="BJ115" s="29" t="str">
        <f t="shared" si="118"/>
        <v>#DIV/0!</v>
      </c>
      <c r="BK115" s="29" t="str">
        <f t="shared" si="118"/>
        <v>#DIV/0!</v>
      </c>
      <c r="BL115" s="29" t="str">
        <f t="shared" si="118"/>
        <v>#DIV/0!</v>
      </c>
      <c r="BM115" s="29" t="str">
        <f t="shared" si="3"/>
        <v>#DIV/0!</v>
      </c>
    </row>
    <row r="116">
      <c r="A116" s="16" t="str">
        <f>IFERROR(__xludf.DUMMYFUNCTION("IFERROR(SPARKLINE(SORT(MAP(TRANSPOSE(AQ116:BL116), LAMBDA(val, IF(ISNUMBER(val), PERCENTRANK(AQ116:BL116, val)+0.01, 0))), SEQUENCE(COLUMNS(AQ116:BL116)), FALSE), {""charttype"",""column""; ""color"",""chartreuse""; ""ymin"", 0; ""ymax"", 1.01; ""highcolo"&amp;"r"", ""darkgreen""; ""lowcolor"", ""red""}), """")"),"")</f>
        <v/>
      </c>
      <c r="B116" s="17" t="str">
        <f t="shared" si="4"/>
        <v/>
      </c>
      <c r="C116" s="1" t="s">
        <v>1277</v>
      </c>
      <c r="D116" s="30" t="str">
        <f>IFERROR(__xludf.DUMMYFUNCTION("IFERROR(GOOGLEFINANCE(C116, ""NAME""))"),"Preformed Line Products Co")</f>
        <v>Preformed Line Products Co</v>
      </c>
      <c r="E116" s="30" t="s">
        <v>864</v>
      </c>
      <c r="F116" s="33" t="str">
        <f>IFERROR(__xludf.DUMMYFUNCTION("( (GOOGLEFINANCE(C116, ""price"") - Q116) / Q116 ) / (R116 / 100)"),"Loading...")</f>
        <v>Loading...</v>
      </c>
      <c r="G116" s="20" t="str">
        <f>IFERROR(__xludf.DUMMYFUNCTION("AVERAGE(ARRAYFORMULA(100 * (QUERY(GOOGLEFINANCE(C116, ""high"", TODAY()-40, TODAY()), ""SELECT Col2 WHERE Col2 IS NOT NULL ORDER BY Col1 DESC LIMIT 20"", 0) / QUERY(GOOGLEFINANCE(C116, ""low"", TODAY()-40, TODAY()), ""SELECT Col2 WHERE Col2 IS NOT NULL OR"&amp;"DER BY Col1 DESC LIMIT 20"", 0) - 1)))"),"#N/A")</f>
        <v>#N/A</v>
      </c>
      <c r="H116" s="35" t="str">
        <f t="shared" si="6"/>
        <v/>
      </c>
      <c r="I116" s="35" t="str">
        <f t="shared" si="7"/>
        <v/>
      </c>
      <c r="J116" s="37" t="str">
        <f>IFERROR(__xludf.DUMMYFUNCTION("IFERROR(
  IF(C116="""",, 
    IFERROR(
      GOOGLEFINANCE(C116, ""price"") * GOOGLEFINANCE(C116, ""volumeavg""), 
      GOOGLEFINANCE(C116, ""price"") * AVERAGE(QUERY(GOOGLEFINANCE(C116, ""volume"", TODAY()-40, TODAY()), ""SELECT Col2 WHERE Col2 IS NOT "&amp;"NULL ORDER BY Col1 DESC LIMIT 20"", 0))
    )
  ), 
"""")"),"")</f>
        <v/>
      </c>
      <c r="K116" s="21" t="str">
        <f>IFERROR(__xludf.DUMMYFUNCTION("IFERROR(GOOGLEFINANCE(C116, ""changepct"") / 100, """")"),"")</f>
        <v/>
      </c>
      <c r="L116" s="21" t="str">
        <f>IFERROR(__xludf.DUMMYFUNCTION("IFERROR((GOOGLEFINANCE(C116, ""price"") / INDEX(GOOGLEFINANCE(C116, ""price"", TODAY()-7, TODAY()), 2, 2)) - 1, """")"),"")</f>
        <v/>
      </c>
      <c r="M116" s="21" t="str">
        <f>IFERROR(__xludf.DUMMYFUNCTION("IFERROR((GOOGLEFINANCE(C116, ""price"") / INDEX(GOOGLEFINANCE(C116, ""price"", EDATE(TODAY(), -1), TODAY()), 2, 2)) - 1, """")"),"")</f>
        <v/>
      </c>
      <c r="N116" s="21" t="str">
        <f>IFERROR(__xludf.DUMMYFUNCTION("IFERROR((GOOGLEFINANCE(C116, ""price"") / INDEX(GOOGLEFINANCE(C116, ""price"", EDATE(TODAY(), -3), TODAY()), 2, 2)) - 1, """")"),"")</f>
        <v/>
      </c>
      <c r="O116" s="21" t="str">
        <f>IFERROR(__xludf.DUMMYFUNCTION("IFERROR((GOOGLEFINANCE(C116, ""price"") / INDEX(GOOGLEFINANCE(C116, ""price"", EDATE(TODAY(), -6), TODAY()), 2, 2)) - 1, """")"),"")</f>
        <v/>
      </c>
      <c r="P116" s="21" t="str">
        <f>IFERROR(__xludf.DUMMYFUNCTION("IFERROR((GOOGLEFINANCE(C116, ""price"") / INDEX(GOOGLEFINANCE(C116, ""price"", EDATE(TODAY(), -12), TODAY()), 2, 2)) - 1, """")"),"")</f>
        <v/>
      </c>
      <c r="Q116" s="6" t="str">
        <f>IFERROR(__xludf.DUMMYFUNCTION("AVERAGE(QUERY(GOOGLEFINANCE(C116, ""price"", TODAY()-80, TODAY()), ""SELECT Col2 WHERE Col2 IS NOT NULL ORDER BY Col1 DESC LIMIT 50"", 0))"),"#N/A")</f>
        <v>#N/A</v>
      </c>
      <c r="R116" s="24" t="str">
        <f>IFERROR(__xludf.DUMMYFUNCTION("IFERROR(
  LET(
    data, QUERY(GOOGLEFINANCE(C116,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GOOGLEFINANCE(C116, ""price"")) * 100,
    IF(calc=0, G116, calc)
  ), 
G116)"),"#N/A")</f>
        <v>#N/A</v>
      </c>
      <c r="S116" s="8" t="s">
        <v>15</v>
      </c>
      <c r="T116" s="26" t="str">
        <f>IFERROR(__xludf.DUMMYFUNCTION("IFERROR(TRANSPOSE(QUERY(IFERROR(SORT(GOOGLEFINANCE(C116, ""price"", WORKDAY(TODAY(), -40), TODAY()), 1, FALSE)), ""select Col2 where Col2 is not null limit 22 label Col2 ''"", 0)), """")"),"")</f>
        <v/>
      </c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8"/>
      <c r="AO116" s="28"/>
      <c r="AP116" s="29"/>
      <c r="AQ116" s="29" t="str">
        <f t="shared" ref="AQ116:BL116" si="119">T116/T$2</f>
        <v>#N/A</v>
      </c>
      <c r="AR116" s="29" t="str">
        <f t="shared" si="119"/>
        <v>#DIV/0!</v>
      </c>
      <c r="AS116" s="29" t="str">
        <f t="shared" si="119"/>
        <v>#DIV/0!</v>
      </c>
      <c r="AT116" s="29" t="str">
        <f t="shared" si="119"/>
        <v>#DIV/0!</v>
      </c>
      <c r="AU116" s="29" t="str">
        <f t="shared" si="119"/>
        <v>#DIV/0!</v>
      </c>
      <c r="AV116" s="29" t="str">
        <f t="shared" si="119"/>
        <v>#DIV/0!</v>
      </c>
      <c r="AW116" s="29" t="str">
        <f t="shared" si="119"/>
        <v>#DIV/0!</v>
      </c>
      <c r="AX116" s="29" t="str">
        <f t="shared" si="119"/>
        <v>#DIV/0!</v>
      </c>
      <c r="AY116" s="29" t="str">
        <f t="shared" si="119"/>
        <v>#DIV/0!</v>
      </c>
      <c r="AZ116" s="29" t="str">
        <f t="shared" si="119"/>
        <v>#DIV/0!</v>
      </c>
      <c r="BA116" s="29" t="str">
        <f t="shared" si="119"/>
        <v>#DIV/0!</v>
      </c>
      <c r="BB116" s="29" t="str">
        <f t="shared" si="119"/>
        <v>#DIV/0!</v>
      </c>
      <c r="BC116" s="29" t="str">
        <f t="shared" si="119"/>
        <v>#DIV/0!</v>
      </c>
      <c r="BD116" s="29" t="str">
        <f t="shared" si="119"/>
        <v>#DIV/0!</v>
      </c>
      <c r="BE116" s="29" t="str">
        <f t="shared" si="119"/>
        <v>#DIV/0!</v>
      </c>
      <c r="BF116" s="29" t="str">
        <f t="shared" si="119"/>
        <v>#DIV/0!</v>
      </c>
      <c r="BG116" s="29" t="str">
        <f t="shared" si="119"/>
        <v>#DIV/0!</v>
      </c>
      <c r="BH116" s="29" t="str">
        <f t="shared" si="119"/>
        <v>#DIV/0!</v>
      </c>
      <c r="BI116" s="29" t="str">
        <f t="shared" si="119"/>
        <v>#DIV/0!</v>
      </c>
      <c r="BJ116" s="29" t="str">
        <f t="shared" si="119"/>
        <v>#DIV/0!</v>
      </c>
      <c r="BK116" s="29" t="str">
        <f t="shared" si="119"/>
        <v>#DIV/0!</v>
      </c>
      <c r="BL116" s="29" t="str">
        <f t="shared" si="119"/>
        <v>#DIV/0!</v>
      </c>
      <c r="BM116" s="29" t="str">
        <f t="shared" si="3"/>
        <v>#DIV/0!</v>
      </c>
    </row>
    <row r="117">
      <c r="A117" s="16" t="str">
        <f>IFERROR(__xludf.DUMMYFUNCTION("IFERROR(SPARKLINE(SORT(MAP(TRANSPOSE(AQ117:BL117), LAMBDA(val, IF(ISNUMBER(val), PERCENTRANK(AQ117:BL117, val)+0.01, 0))), SEQUENCE(COLUMNS(AQ117:BL117)), FALSE), {""charttype"",""column""; ""color"",""chartreuse""; ""ymin"", 0; ""ymax"", 1.01; ""highcolo"&amp;"r"", ""darkgreen""; ""lowcolor"", ""red""}), """")"),"")</f>
        <v/>
      </c>
      <c r="B117" s="17" t="str">
        <f t="shared" si="4"/>
        <v/>
      </c>
      <c r="C117" s="1" t="s">
        <v>1280</v>
      </c>
      <c r="D117" s="30" t="str">
        <f>IFERROR(__xludf.DUMMYFUNCTION("IFERROR(GOOGLEFINANCE(C117, ""NAME""))"),"Argan Inc")</f>
        <v>Argan Inc</v>
      </c>
      <c r="E117" s="30" t="s">
        <v>856</v>
      </c>
      <c r="F117" s="33" t="str">
        <f>IFERROR(__xludf.DUMMYFUNCTION("( (GOOGLEFINANCE(C117, ""price"") - Q117) / Q117 ) / (R117 / 100)"),"Loading...")</f>
        <v>Loading...</v>
      </c>
      <c r="G117" s="20" t="str">
        <f>IFERROR(__xludf.DUMMYFUNCTION("AVERAGE(ARRAYFORMULA(100 * (QUERY(GOOGLEFINANCE(C117, ""high"", TODAY()-40, TODAY()), ""SELECT Col2 WHERE Col2 IS NOT NULL ORDER BY Col1 DESC LIMIT 20"", 0) / QUERY(GOOGLEFINANCE(C117, ""low"", TODAY()-40, TODAY()), ""SELECT Col2 WHERE Col2 IS NOT NULL OR"&amp;"DER BY Col1 DESC LIMIT 20"", 0) - 1)))"),"#N/A")</f>
        <v>#N/A</v>
      </c>
      <c r="H117" s="35" t="str">
        <f t="shared" si="6"/>
        <v/>
      </c>
      <c r="I117" s="35" t="str">
        <f t="shared" si="7"/>
        <v/>
      </c>
      <c r="J117" s="37" t="str">
        <f>IFERROR(__xludf.DUMMYFUNCTION("IFERROR(
  IF(C117="""",, 
    IFERROR(
      GOOGLEFINANCE(C117, ""price"") * GOOGLEFINANCE(C117, ""volumeavg""), 
      GOOGLEFINANCE(C117, ""price"") * AVERAGE(QUERY(GOOGLEFINANCE(C117, ""volume"", TODAY()-40, TODAY()), ""SELECT Col2 WHERE Col2 IS NOT "&amp;"NULL ORDER BY Col1 DESC LIMIT 20"", 0))
    )
  ), 
"""")"),"")</f>
        <v/>
      </c>
      <c r="K117" s="21" t="str">
        <f>IFERROR(__xludf.DUMMYFUNCTION("IFERROR(GOOGLEFINANCE(C117, ""changepct"") / 100, """")"),"")</f>
        <v/>
      </c>
      <c r="L117" s="21" t="str">
        <f>IFERROR(__xludf.DUMMYFUNCTION("IFERROR((GOOGLEFINANCE(C117, ""price"") / INDEX(GOOGLEFINANCE(C117, ""price"", TODAY()-7, TODAY()), 2, 2)) - 1, """")"),"")</f>
        <v/>
      </c>
      <c r="M117" s="21" t="str">
        <f>IFERROR(__xludf.DUMMYFUNCTION("IFERROR((GOOGLEFINANCE(C117, ""price"") / INDEX(GOOGLEFINANCE(C117, ""price"", EDATE(TODAY(), -1), TODAY()), 2, 2)) - 1, """")"),"")</f>
        <v/>
      </c>
      <c r="N117" s="21" t="str">
        <f>IFERROR(__xludf.DUMMYFUNCTION("IFERROR((GOOGLEFINANCE(C117, ""price"") / INDEX(GOOGLEFINANCE(C117, ""price"", EDATE(TODAY(), -3), TODAY()), 2, 2)) - 1, """")"),"")</f>
        <v/>
      </c>
      <c r="O117" s="21" t="str">
        <f>IFERROR(__xludf.DUMMYFUNCTION("IFERROR((GOOGLEFINANCE(C117, ""price"") / INDEX(GOOGLEFINANCE(C117, ""price"", EDATE(TODAY(), -6), TODAY()), 2, 2)) - 1, """")"),"")</f>
        <v/>
      </c>
      <c r="P117" s="21" t="str">
        <f>IFERROR(__xludf.DUMMYFUNCTION("IFERROR((GOOGLEFINANCE(C117, ""price"") / INDEX(GOOGLEFINANCE(C117, ""price"", EDATE(TODAY(), -12), TODAY()), 2, 2)) - 1, """")"),"")</f>
        <v/>
      </c>
      <c r="Q117" s="6" t="str">
        <f>IFERROR(__xludf.DUMMYFUNCTION("AVERAGE(QUERY(GOOGLEFINANCE(C117, ""price"", TODAY()-80, TODAY()), ""SELECT Col2 WHERE Col2 IS NOT NULL ORDER BY Col1 DESC LIMIT 50"", 0))"),"#N/A")</f>
        <v>#N/A</v>
      </c>
      <c r="R117" s="24" t="str">
        <f>IFERROR(__xludf.DUMMYFUNCTION("IFERROR(
  LET(
    data, QUERY(GOOGLEFINANCE(C117,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GOOGLEFINANCE(C117, ""price"")) * 100,
    IF(calc=0, G117, calc)
  ), 
G117)"),"#N/A")</f>
        <v>#N/A</v>
      </c>
      <c r="S117" s="8" t="s">
        <v>15</v>
      </c>
      <c r="T117" s="26" t="str">
        <f>IFERROR(__xludf.DUMMYFUNCTION("IFERROR(TRANSPOSE(QUERY(IFERROR(SORT(GOOGLEFINANCE(C117, ""price"", WORKDAY(TODAY(), -40), TODAY()), 1, FALSE)), ""select Col2 where Col2 is not null limit 22 label Col2 ''"", 0)), """")"),"")</f>
        <v/>
      </c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8"/>
      <c r="AO117" s="28"/>
      <c r="AP117" s="29"/>
      <c r="AQ117" s="29" t="str">
        <f t="shared" ref="AQ117:BL117" si="120">T117/T$2</f>
        <v>#N/A</v>
      </c>
      <c r="AR117" s="29" t="str">
        <f t="shared" si="120"/>
        <v>#DIV/0!</v>
      </c>
      <c r="AS117" s="29" t="str">
        <f t="shared" si="120"/>
        <v>#DIV/0!</v>
      </c>
      <c r="AT117" s="29" t="str">
        <f t="shared" si="120"/>
        <v>#DIV/0!</v>
      </c>
      <c r="AU117" s="29" t="str">
        <f t="shared" si="120"/>
        <v>#DIV/0!</v>
      </c>
      <c r="AV117" s="29" t="str">
        <f t="shared" si="120"/>
        <v>#DIV/0!</v>
      </c>
      <c r="AW117" s="29" t="str">
        <f t="shared" si="120"/>
        <v>#DIV/0!</v>
      </c>
      <c r="AX117" s="29" t="str">
        <f t="shared" si="120"/>
        <v>#DIV/0!</v>
      </c>
      <c r="AY117" s="29" t="str">
        <f t="shared" si="120"/>
        <v>#DIV/0!</v>
      </c>
      <c r="AZ117" s="29" t="str">
        <f t="shared" si="120"/>
        <v>#DIV/0!</v>
      </c>
      <c r="BA117" s="29" t="str">
        <f t="shared" si="120"/>
        <v>#DIV/0!</v>
      </c>
      <c r="BB117" s="29" t="str">
        <f t="shared" si="120"/>
        <v>#DIV/0!</v>
      </c>
      <c r="BC117" s="29" t="str">
        <f t="shared" si="120"/>
        <v>#DIV/0!</v>
      </c>
      <c r="BD117" s="29" t="str">
        <f t="shared" si="120"/>
        <v>#DIV/0!</v>
      </c>
      <c r="BE117" s="29" t="str">
        <f t="shared" si="120"/>
        <v>#DIV/0!</v>
      </c>
      <c r="BF117" s="29" t="str">
        <f t="shared" si="120"/>
        <v>#DIV/0!</v>
      </c>
      <c r="BG117" s="29" t="str">
        <f t="shared" si="120"/>
        <v>#DIV/0!</v>
      </c>
      <c r="BH117" s="29" t="str">
        <f t="shared" si="120"/>
        <v>#DIV/0!</v>
      </c>
      <c r="BI117" s="29" t="str">
        <f t="shared" si="120"/>
        <v>#DIV/0!</v>
      </c>
      <c r="BJ117" s="29" t="str">
        <f t="shared" si="120"/>
        <v>#DIV/0!</v>
      </c>
      <c r="BK117" s="29" t="str">
        <f t="shared" si="120"/>
        <v>#DIV/0!</v>
      </c>
      <c r="BL117" s="29" t="str">
        <f t="shared" si="120"/>
        <v>#DIV/0!</v>
      </c>
      <c r="BM117" s="29" t="str">
        <f t="shared" si="3"/>
        <v>#DIV/0!</v>
      </c>
    </row>
    <row r="118">
      <c r="A118" s="16" t="str">
        <f>IFERROR(__xludf.DUMMYFUNCTION("IFERROR(SPARKLINE(SORT(MAP(TRANSPOSE(AQ118:BL118), LAMBDA(val, IF(ISNUMBER(val), PERCENTRANK(AQ118:BL118, val)+0.01, 0))), SEQUENCE(COLUMNS(AQ118:BL118)), FALSE), {""charttype"",""column""; ""color"",""chartreuse""; ""ymin"", 0; ""ymax"", 1.01; ""highcolo"&amp;"r"", ""darkgreen""; ""lowcolor"", ""red""}), """")"),"")</f>
        <v/>
      </c>
      <c r="B118" s="17" t="str">
        <f t="shared" si="4"/>
        <v/>
      </c>
      <c r="C118" s="1" t="s">
        <v>1283</v>
      </c>
      <c r="D118" s="30" t="str">
        <f>IFERROR(__xludf.DUMMYFUNCTION("IFERROR(GOOGLEFINANCE(C118, ""NAME""))"),"Boeing Co")</f>
        <v>Boeing Co</v>
      </c>
      <c r="E118" s="30" t="s">
        <v>839</v>
      </c>
      <c r="F118" s="33" t="str">
        <f>IFERROR(__xludf.DUMMYFUNCTION("( (GOOGLEFINANCE(C118, ""price"") - Q118) / Q118 ) / (R118 / 100)"),"Loading...")</f>
        <v>Loading...</v>
      </c>
      <c r="G118" s="20" t="str">
        <f>IFERROR(__xludf.DUMMYFUNCTION("AVERAGE(ARRAYFORMULA(100 * (QUERY(GOOGLEFINANCE(C118, ""high"", TODAY()-40, TODAY()), ""SELECT Col2 WHERE Col2 IS NOT NULL ORDER BY Col1 DESC LIMIT 20"", 0) / QUERY(GOOGLEFINANCE(C118, ""low"", TODAY()-40, TODAY()), ""SELECT Col2 WHERE Col2 IS NOT NULL OR"&amp;"DER BY Col1 DESC LIMIT 20"", 0) - 1)))"),"#N/A")</f>
        <v>#N/A</v>
      </c>
      <c r="H118" s="35" t="str">
        <f t="shared" si="6"/>
        <v/>
      </c>
      <c r="I118" s="35" t="str">
        <f t="shared" si="7"/>
        <v/>
      </c>
      <c r="J118" s="37" t="str">
        <f>IFERROR(__xludf.DUMMYFUNCTION("IFERROR(
  IF(C118="""",, 
    IFERROR(
      GOOGLEFINANCE(C118, ""price"") * GOOGLEFINANCE(C118, ""volumeavg""), 
      GOOGLEFINANCE(C118, ""price"") * AVERAGE(QUERY(GOOGLEFINANCE(C118, ""volume"", TODAY()-40, TODAY()), ""SELECT Col2 WHERE Col2 IS NOT "&amp;"NULL ORDER BY Col1 DESC LIMIT 20"", 0))
    )
  ), 
"""")"),"")</f>
        <v/>
      </c>
      <c r="K118" s="21" t="str">
        <f>IFERROR(__xludf.DUMMYFUNCTION("IFERROR(GOOGLEFINANCE(C118, ""changepct"") / 100, """")"),"")</f>
        <v/>
      </c>
      <c r="L118" s="21" t="str">
        <f>IFERROR(__xludf.DUMMYFUNCTION("IFERROR((GOOGLEFINANCE(C118, ""price"") / INDEX(GOOGLEFINANCE(C118, ""price"", TODAY()-7, TODAY()), 2, 2)) - 1, """")"),"")</f>
        <v/>
      </c>
      <c r="M118" s="21" t="str">
        <f>IFERROR(__xludf.DUMMYFUNCTION("IFERROR((GOOGLEFINANCE(C118, ""price"") / INDEX(GOOGLEFINANCE(C118, ""price"", EDATE(TODAY(), -1), TODAY()), 2, 2)) - 1, """")"),"")</f>
        <v/>
      </c>
      <c r="N118" s="21" t="str">
        <f>IFERROR(__xludf.DUMMYFUNCTION("IFERROR((GOOGLEFINANCE(C118, ""price"") / INDEX(GOOGLEFINANCE(C118, ""price"", EDATE(TODAY(), -3), TODAY()), 2, 2)) - 1, """")"),"")</f>
        <v/>
      </c>
      <c r="O118" s="21" t="str">
        <f>IFERROR(__xludf.DUMMYFUNCTION("IFERROR((GOOGLEFINANCE(C118, ""price"") / INDEX(GOOGLEFINANCE(C118, ""price"", EDATE(TODAY(), -6), TODAY()), 2, 2)) - 1, """")"),"")</f>
        <v/>
      </c>
      <c r="P118" s="21" t="str">
        <f>IFERROR(__xludf.DUMMYFUNCTION("IFERROR((GOOGLEFINANCE(C118, ""price"") / INDEX(GOOGLEFINANCE(C118, ""price"", EDATE(TODAY(), -12), TODAY()), 2, 2)) - 1, """")"),"")</f>
        <v/>
      </c>
      <c r="Q118" s="6" t="str">
        <f>IFERROR(__xludf.DUMMYFUNCTION("AVERAGE(QUERY(GOOGLEFINANCE(C118, ""price"", TODAY()-80, TODAY()), ""SELECT Col2 WHERE Col2 IS NOT NULL ORDER BY Col1 DESC LIMIT 50"", 0))"),"#N/A")</f>
        <v>#N/A</v>
      </c>
      <c r="R118" s="24" t="str">
        <f>IFERROR(__xludf.DUMMYFUNCTION("IFERROR(
  LET(
    data, QUERY(GOOGLEFINANCE(C118,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GOOGLEFINANCE(C118, ""price"")) * 100,
    IF(calc=0, G118, calc)
  ), 
G118)"),"#N/A")</f>
        <v>#N/A</v>
      </c>
      <c r="S118" s="8" t="s">
        <v>15</v>
      </c>
      <c r="T118" s="26" t="str">
        <f>IFERROR(__xludf.DUMMYFUNCTION("IFERROR(TRANSPOSE(QUERY(IFERROR(SORT(GOOGLEFINANCE(C118, ""price"", WORKDAY(TODAY(), -40), TODAY()), 1, FALSE)), ""select Col2 where Col2 is not null limit 22 label Col2 ''"", 0)), """")"),"")</f>
        <v/>
      </c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8"/>
      <c r="AO118" s="28"/>
      <c r="AP118" s="29"/>
      <c r="AQ118" s="29" t="str">
        <f t="shared" ref="AQ118:BL118" si="121">T118/T$2</f>
        <v>#N/A</v>
      </c>
      <c r="AR118" s="29" t="str">
        <f t="shared" si="121"/>
        <v>#DIV/0!</v>
      </c>
      <c r="AS118" s="29" t="str">
        <f t="shared" si="121"/>
        <v>#DIV/0!</v>
      </c>
      <c r="AT118" s="29" t="str">
        <f t="shared" si="121"/>
        <v>#DIV/0!</v>
      </c>
      <c r="AU118" s="29" t="str">
        <f t="shared" si="121"/>
        <v>#DIV/0!</v>
      </c>
      <c r="AV118" s="29" t="str">
        <f t="shared" si="121"/>
        <v>#DIV/0!</v>
      </c>
      <c r="AW118" s="29" t="str">
        <f t="shared" si="121"/>
        <v>#DIV/0!</v>
      </c>
      <c r="AX118" s="29" t="str">
        <f t="shared" si="121"/>
        <v>#DIV/0!</v>
      </c>
      <c r="AY118" s="29" t="str">
        <f t="shared" si="121"/>
        <v>#DIV/0!</v>
      </c>
      <c r="AZ118" s="29" t="str">
        <f t="shared" si="121"/>
        <v>#DIV/0!</v>
      </c>
      <c r="BA118" s="29" t="str">
        <f t="shared" si="121"/>
        <v>#DIV/0!</v>
      </c>
      <c r="BB118" s="29" t="str">
        <f t="shared" si="121"/>
        <v>#DIV/0!</v>
      </c>
      <c r="BC118" s="29" t="str">
        <f t="shared" si="121"/>
        <v>#DIV/0!</v>
      </c>
      <c r="BD118" s="29" t="str">
        <f t="shared" si="121"/>
        <v>#DIV/0!</v>
      </c>
      <c r="BE118" s="29" t="str">
        <f t="shared" si="121"/>
        <v>#DIV/0!</v>
      </c>
      <c r="BF118" s="29" t="str">
        <f t="shared" si="121"/>
        <v>#DIV/0!</v>
      </c>
      <c r="BG118" s="29" t="str">
        <f t="shared" si="121"/>
        <v>#DIV/0!</v>
      </c>
      <c r="BH118" s="29" t="str">
        <f t="shared" si="121"/>
        <v>#DIV/0!</v>
      </c>
      <c r="BI118" s="29" t="str">
        <f t="shared" si="121"/>
        <v>#DIV/0!</v>
      </c>
      <c r="BJ118" s="29" t="str">
        <f t="shared" si="121"/>
        <v>#DIV/0!</v>
      </c>
      <c r="BK118" s="29" t="str">
        <f t="shared" si="121"/>
        <v>#DIV/0!</v>
      </c>
      <c r="BL118" s="29" t="str">
        <f t="shared" si="121"/>
        <v>#DIV/0!</v>
      </c>
      <c r="BM118" s="29" t="str">
        <f t="shared" si="3"/>
        <v>#DIV/0!</v>
      </c>
    </row>
    <row r="119">
      <c r="A119" s="16" t="str">
        <f>IFERROR(__xludf.DUMMYFUNCTION("IFERROR(SPARKLINE(SORT(MAP(TRANSPOSE(AQ119:BL119), LAMBDA(val, IF(ISNUMBER(val), PERCENTRANK(AQ119:BL119, val)+0.01, 0))), SEQUENCE(COLUMNS(AQ119:BL119)), FALSE), {""charttype"",""column""; ""color"",""chartreuse""; ""ymin"", 0; ""ymax"", 1.01; ""highcolo"&amp;"r"", ""darkgreen""; ""lowcolor"", ""red""}), """")"),"")</f>
        <v/>
      </c>
      <c r="B119" s="17" t="str">
        <f t="shared" si="4"/>
        <v/>
      </c>
      <c r="C119" s="1" t="s">
        <v>1288</v>
      </c>
      <c r="D119" s="30" t="str">
        <f>IFERROR(__xludf.DUMMYFUNCTION("IFERROR(GOOGLEFINANCE(C119, ""NAME""))"),"PROG Holdings Inc")</f>
        <v>PROG Holdings Inc</v>
      </c>
      <c r="E119" s="30" t="s">
        <v>888</v>
      </c>
      <c r="F119" s="33" t="str">
        <f>IFERROR(__xludf.DUMMYFUNCTION("( (GOOGLEFINANCE(C119, ""price"") - Q119) / Q119 ) / (R119 / 100)"),"Loading...")</f>
        <v>Loading...</v>
      </c>
      <c r="G119" s="20" t="str">
        <f>IFERROR(__xludf.DUMMYFUNCTION("AVERAGE(ARRAYFORMULA(100 * (QUERY(GOOGLEFINANCE(C119, ""high"", TODAY()-40, TODAY()), ""SELECT Col2 WHERE Col2 IS NOT NULL ORDER BY Col1 DESC LIMIT 20"", 0) / QUERY(GOOGLEFINANCE(C119, ""low"", TODAY()-40, TODAY()), ""SELECT Col2 WHERE Col2 IS NOT NULL OR"&amp;"DER BY Col1 DESC LIMIT 20"", 0) - 1)))"),"#N/A")</f>
        <v>#N/A</v>
      </c>
      <c r="H119" s="35" t="str">
        <f t="shared" si="6"/>
        <v/>
      </c>
      <c r="I119" s="35" t="str">
        <f t="shared" si="7"/>
        <v/>
      </c>
      <c r="J119" s="37" t="str">
        <f>IFERROR(__xludf.DUMMYFUNCTION("IFERROR(
  IF(C119="""",, 
    IFERROR(
      GOOGLEFINANCE(C119, ""price"") * GOOGLEFINANCE(C119, ""volumeavg""), 
      GOOGLEFINANCE(C119, ""price"") * AVERAGE(QUERY(GOOGLEFINANCE(C119, ""volume"", TODAY()-40, TODAY()), ""SELECT Col2 WHERE Col2 IS NOT "&amp;"NULL ORDER BY Col1 DESC LIMIT 20"", 0))
    )
  ), 
"""")"),"")</f>
        <v/>
      </c>
      <c r="K119" s="21" t="str">
        <f>IFERROR(__xludf.DUMMYFUNCTION("IFERROR(GOOGLEFINANCE(C119, ""changepct"") / 100, """")"),"")</f>
        <v/>
      </c>
      <c r="L119" s="21" t="str">
        <f>IFERROR(__xludf.DUMMYFUNCTION("IFERROR((GOOGLEFINANCE(C119, ""price"") / INDEX(GOOGLEFINANCE(C119, ""price"", TODAY()-7, TODAY()), 2, 2)) - 1, """")"),"")</f>
        <v/>
      </c>
      <c r="M119" s="21" t="str">
        <f>IFERROR(__xludf.DUMMYFUNCTION("IFERROR((GOOGLEFINANCE(C119, ""price"") / INDEX(GOOGLEFINANCE(C119, ""price"", EDATE(TODAY(), -1), TODAY()), 2, 2)) - 1, """")"),"")</f>
        <v/>
      </c>
      <c r="N119" s="21" t="str">
        <f>IFERROR(__xludf.DUMMYFUNCTION("IFERROR((GOOGLEFINANCE(C119, ""price"") / INDEX(GOOGLEFINANCE(C119, ""price"", EDATE(TODAY(), -3), TODAY()), 2, 2)) - 1, """")"),"")</f>
        <v/>
      </c>
      <c r="O119" s="21" t="str">
        <f>IFERROR(__xludf.DUMMYFUNCTION("IFERROR((GOOGLEFINANCE(C119, ""price"") / INDEX(GOOGLEFINANCE(C119, ""price"", EDATE(TODAY(), -6), TODAY()), 2, 2)) - 1, """")"),"")</f>
        <v/>
      </c>
      <c r="P119" s="21" t="str">
        <f>IFERROR(__xludf.DUMMYFUNCTION("IFERROR((GOOGLEFINANCE(C119, ""price"") / INDEX(GOOGLEFINANCE(C119, ""price"", EDATE(TODAY(), -12), TODAY()), 2, 2)) - 1, """")"),"")</f>
        <v/>
      </c>
      <c r="Q119" s="6" t="str">
        <f>IFERROR(__xludf.DUMMYFUNCTION("AVERAGE(QUERY(GOOGLEFINANCE(C119, ""price"", TODAY()-80, TODAY()), ""SELECT Col2 WHERE Col2 IS NOT NULL ORDER BY Col1 DESC LIMIT 50"", 0))"),"#N/A")</f>
        <v>#N/A</v>
      </c>
      <c r="R119" s="24" t="str">
        <f>IFERROR(__xludf.DUMMYFUNCTION("IFERROR(
  LET(
    data, QUERY(GOOGLEFINANCE(C119,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GOOGLEFINANCE(C119, ""price"")) * 100,
    IF(calc=0, G119, calc)
  ), 
G119)"),"#N/A")</f>
        <v>#N/A</v>
      </c>
      <c r="S119" s="8" t="s">
        <v>15</v>
      </c>
      <c r="T119" s="26" t="str">
        <f>IFERROR(__xludf.DUMMYFUNCTION("IFERROR(TRANSPOSE(QUERY(IFERROR(SORT(GOOGLEFINANCE(C119, ""price"", WORKDAY(TODAY(), -40), TODAY()), 1, FALSE)), ""select Col2 where Col2 is not null limit 22 label Col2 ''"", 0)), """")"),"")</f>
        <v/>
      </c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8"/>
      <c r="AO119" s="28"/>
      <c r="AP119" s="29"/>
      <c r="AQ119" s="29" t="str">
        <f t="shared" ref="AQ119:BL119" si="122">T119/T$2</f>
        <v>#N/A</v>
      </c>
      <c r="AR119" s="29" t="str">
        <f t="shared" si="122"/>
        <v>#DIV/0!</v>
      </c>
      <c r="AS119" s="29" t="str">
        <f t="shared" si="122"/>
        <v>#DIV/0!</v>
      </c>
      <c r="AT119" s="29" t="str">
        <f t="shared" si="122"/>
        <v>#DIV/0!</v>
      </c>
      <c r="AU119" s="29" t="str">
        <f t="shared" si="122"/>
        <v>#DIV/0!</v>
      </c>
      <c r="AV119" s="29" t="str">
        <f t="shared" si="122"/>
        <v>#DIV/0!</v>
      </c>
      <c r="AW119" s="29" t="str">
        <f t="shared" si="122"/>
        <v>#DIV/0!</v>
      </c>
      <c r="AX119" s="29" t="str">
        <f t="shared" si="122"/>
        <v>#DIV/0!</v>
      </c>
      <c r="AY119" s="29" t="str">
        <f t="shared" si="122"/>
        <v>#DIV/0!</v>
      </c>
      <c r="AZ119" s="29" t="str">
        <f t="shared" si="122"/>
        <v>#DIV/0!</v>
      </c>
      <c r="BA119" s="29" t="str">
        <f t="shared" si="122"/>
        <v>#DIV/0!</v>
      </c>
      <c r="BB119" s="29" t="str">
        <f t="shared" si="122"/>
        <v>#DIV/0!</v>
      </c>
      <c r="BC119" s="29" t="str">
        <f t="shared" si="122"/>
        <v>#DIV/0!</v>
      </c>
      <c r="BD119" s="29" t="str">
        <f t="shared" si="122"/>
        <v>#DIV/0!</v>
      </c>
      <c r="BE119" s="29" t="str">
        <f t="shared" si="122"/>
        <v>#DIV/0!</v>
      </c>
      <c r="BF119" s="29" t="str">
        <f t="shared" si="122"/>
        <v>#DIV/0!</v>
      </c>
      <c r="BG119" s="29" t="str">
        <f t="shared" si="122"/>
        <v>#DIV/0!</v>
      </c>
      <c r="BH119" s="29" t="str">
        <f t="shared" si="122"/>
        <v>#DIV/0!</v>
      </c>
      <c r="BI119" s="29" t="str">
        <f t="shared" si="122"/>
        <v>#DIV/0!</v>
      </c>
      <c r="BJ119" s="29" t="str">
        <f t="shared" si="122"/>
        <v>#DIV/0!</v>
      </c>
      <c r="BK119" s="29" t="str">
        <f t="shared" si="122"/>
        <v>#DIV/0!</v>
      </c>
      <c r="BL119" s="29" t="str">
        <f t="shared" si="122"/>
        <v>#DIV/0!</v>
      </c>
      <c r="BM119" s="29" t="str">
        <f t="shared" si="3"/>
        <v>#DIV/0!</v>
      </c>
    </row>
    <row r="120">
      <c r="A120" s="16" t="str">
        <f>IFERROR(__xludf.DUMMYFUNCTION("IFERROR(SPARKLINE(SORT(MAP(TRANSPOSE(AQ120:BL120), LAMBDA(val, IF(ISNUMBER(val), PERCENTRANK(AQ120:BL120, val)+0.01, 0))), SEQUENCE(COLUMNS(AQ120:BL120)), FALSE), {""charttype"",""column""; ""color"",""chartreuse""; ""ymin"", 0; ""ymax"", 1.01; ""highcolo"&amp;"r"", ""darkgreen""; ""lowcolor"", ""red""}), """")"),"")</f>
        <v/>
      </c>
      <c r="B120" s="17" t="str">
        <f t="shared" si="4"/>
        <v/>
      </c>
      <c r="C120" s="1" t="s">
        <v>1290</v>
      </c>
      <c r="D120" s="30" t="str">
        <f>IFERROR(__xludf.DUMMYFUNCTION("IFERROR(GOOGLEFINANCE(C120, ""NAME""))"),"Carrier Global Corp")</f>
        <v>Carrier Global Corp</v>
      </c>
      <c r="E120" s="30" t="s">
        <v>968</v>
      </c>
      <c r="F120" s="33" t="str">
        <f>IFERROR(__xludf.DUMMYFUNCTION("( (GOOGLEFINANCE(C120, ""price"") - Q120) / Q120 ) / (R120 / 100)"),"Loading...")</f>
        <v>Loading...</v>
      </c>
      <c r="G120" s="20" t="str">
        <f>IFERROR(__xludf.DUMMYFUNCTION("AVERAGE(ARRAYFORMULA(100 * (QUERY(GOOGLEFINANCE(C120, ""high"", TODAY()-40, TODAY()), ""SELECT Col2 WHERE Col2 IS NOT NULL ORDER BY Col1 DESC LIMIT 20"", 0) / QUERY(GOOGLEFINANCE(C120, ""low"", TODAY()-40, TODAY()), ""SELECT Col2 WHERE Col2 IS NOT NULL OR"&amp;"DER BY Col1 DESC LIMIT 20"", 0) - 1)))"),"#N/A")</f>
        <v>#N/A</v>
      </c>
      <c r="H120" s="35" t="str">
        <f t="shared" si="6"/>
        <v/>
      </c>
      <c r="I120" s="35" t="str">
        <f t="shared" si="7"/>
        <v/>
      </c>
      <c r="J120" s="37" t="str">
        <f>IFERROR(__xludf.DUMMYFUNCTION("IFERROR(
  IF(C120="""",, 
    IFERROR(
      GOOGLEFINANCE(C120, ""price"") * GOOGLEFINANCE(C120, ""volumeavg""), 
      GOOGLEFINANCE(C120, ""price"") * AVERAGE(QUERY(GOOGLEFINANCE(C120, ""volume"", TODAY()-40, TODAY()), ""SELECT Col2 WHERE Col2 IS NOT "&amp;"NULL ORDER BY Col1 DESC LIMIT 20"", 0))
    )
  ), 
"""")"),"")</f>
        <v/>
      </c>
      <c r="K120" s="21" t="str">
        <f>IFERROR(__xludf.DUMMYFUNCTION("IFERROR(GOOGLEFINANCE(C120, ""changepct"") / 100, """")"),"")</f>
        <v/>
      </c>
      <c r="L120" s="21" t="str">
        <f>IFERROR(__xludf.DUMMYFUNCTION("IFERROR((GOOGLEFINANCE(C120, ""price"") / INDEX(GOOGLEFINANCE(C120, ""price"", TODAY()-7, TODAY()), 2, 2)) - 1, """")"),"")</f>
        <v/>
      </c>
      <c r="M120" s="21" t="str">
        <f>IFERROR(__xludf.DUMMYFUNCTION("IFERROR((GOOGLEFINANCE(C120, ""price"") / INDEX(GOOGLEFINANCE(C120, ""price"", EDATE(TODAY(), -1), TODAY()), 2, 2)) - 1, """")"),"")</f>
        <v/>
      </c>
      <c r="N120" s="21" t="str">
        <f>IFERROR(__xludf.DUMMYFUNCTION("IFERROR((GOOGLEFINANCE(C120, ""price"") / INDEX(GOOGLEFINANCE(C120, ""price"", EDATE(TODAY(), -3), TODAY()), 2, 2)) - 1, """")"),"")</f>
        <v/>
      </c>
      <c r="O120" s="21" t="str">
        <f>IFERROR(__xludf.DUMMYFUNCTION("IFERROR((GOOGLEFINANCE(C120, ""price"") / INDEX(GOOGLEFINANCE(C120, ""price"", EDATE(TODAY(), -6), TODAY()), 2, 2)) - 1, """")"),"")</f>
        <v/>
      </c>
      <c r="P120" s="21" t="str">
        <f>IFERROR(__xludf.DUMMYFUNCTION("IFERROR((GOOGLEFINANCE(C120, ""price"") / INDEX(GOOGLEFINANCE(C120, ""price"", EDATE(TODAY(), -12), TODAY()), 2, 2)) - 1, """")"),"")</f>
        <v/>
      </c>
      <c r="Q120" s="6" t="str">
        <f>IFERROR(__xludf.DUMMYFUNCTION("AVERAGE(QUERY(GOOGLEFINANCE(C120, ""price"", TODAY()-80, TODAY()), ""SELECT Col2 WHERE Col2 IS NOT NULL ORDER BY Col1 DESC LIMIT 50"", 0))"),"#N/A")</f>
        <v>#N/A</v>
      </c>
      <c r="R120" s="24" t="str">
        <f>IFERROR(__xludf.DUMMYFUNCTION("IFERROR(
  LET(
    data, QUERY(GOOGLEFINANCE(C120,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GOOGLEFINANCE(C120, ""price"")) * 100,
    IF(calc=0, G120, calc)
  ), 
G120)"),"#N/A")</f>
        <v>#N/A</v>
      </c>
      <c r="S120" s="8" t="s">
        <v>15</v>
      </c>
      <c r="T120" s="26" t="str">
        <f>IFERROR(__xludf.DUMMYFUNCTION("IFERROR(TRANSPOSE(QUERY(IFERROR(SORT(GOOGLEFINANCE(C120, ""price"", WORKDAY(TODAY(), -40), TODAY()), 1, FALSE)), ""select Col2 where Col2 is not null limit 22 label Col2 ''"", 0)), """")"),"")</f>
        <v/>
      </c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8"/>
      <c r="AO120" s="28"/>
      <c r="AP120" s="29"/>
      <c r="AQ120" s="29" t="str">
        <f t="shared" ref="AQ120:BL120" si="123">T120/T$2</f>
        <v>#N/A</v>
      </c>
      <c r="AR120" s="29" t="str">
        <f t="shared" si="123"/>
        <v>#DIV/0!</v>
      </c>
      <c r="AS120" s="29" t="str">
        <f t="shared" si="123"/>
        <v>#DIV/0!</v>
      </c>
      <c r="AT120" s="29" t="str">
        <f t="shared" si="123"/>
        <v>#DIV/0!</v>
      </c>
      <c r="AU120" s="29" t="str">
        <f t="shared" si="123"/>
        <v>#DIV/0!</v>
      </c>
      <c r="AV120" s="29" t="str">
        <f t="shared" si="123"/>
        <v>#DIV/0!</v>
      </c>
      <c r="AW120" s="29" t="str">
        <f t="shared" si="123"/>
        <v>#DIV/0!</v>
      </c>
      <c r="AX120" s="29" t="str">
        <f t="shared" si="123"/>
        <v>#DIV/0!</v>
      </c>
      <c r="AY120" s="29" t="str">
        <f t="shared" si="123"/>
        <v>#DIV/0!</v>
      </c>
      <c r="AZ120" s="29" t="str">
        <f t="shared" si="123"/>
        <v>#DIV/0!</v>
      </c>
      <c r="BA120" s="29" t="str">
        <f t="shared" si="123"/>
        <v>#DIV/0!</v>
      </c>
      <c r="BB120" s="29" t="str">
        <f t="shared" si="123"/>
        <v>#DIV/0!</v>
      </c>
      <c r="BC120" s="29" t="str">
        <f t="shared" si="123"/>
        <v>#DIV/0!</v>
      </c>
      <c r="BD120" s="29" t="str">
        <f t="shared" si="123"/>
        <v>#DIV/0!</v>
      </c>
      <c r="BE120" s="29" t="str">
        <f t="shared" si="123"/>
        <v>#DIV/0!</v>
      </c>
      <c r="BF120" s="29" t="str">
        <f t="shared" si="123"/>
        <v>#DIV/0!</v>
      </c>
      <c r="BG120" s="29" t="str">
        <f t="shared" si="123"/>
        <v>#DIV/0!</v>
      </c>
      <c r="BH120" s="29" t="str">
        <f t="shared" si="123"/>
        <v>#DIV/0!</v>
      </c>
      <c r="BI120" s="29" t="str">
        <f t="shared" si="123"/>
        <v>#DIV/0!</v>
      </c>
      <c r="BJ120" s="29" t="str">
        <f t="shared" si="123"/>
        <v>#DIV/0!</v>
      </c>
      <c r="BK120" s="29" t="str">
        <f t="shared" si="123"/>
        <v>#DIV/0!</v>
      </c>
      <c r="BL120" s="29" t="str">
        <f t="shared" si="123"/>
        <v>#DIV/0!</v>
      </c>
      <c r="BM120" s="29" t="str">
        <f t="shared" si="3"/>
        <v>#DIV/0!</v>
      </c>
    </row>
    <row r="121">
      <c r="A121" s="16" t="str">
        <f>IFERROR(__xludf.DUMMYFUNCTION("IFERROR(SPARKLINE(SORT(MAP(TRANSPOSE(AQ121:BL121), LAMBDA(val, IF(ISNUMBER(val), PERCENTRANK(AQ121:BL121, val)+0.01, 0))), SEQUENCE(COLUMNS(AQ121:BL121)), FALSE), {""charttype"",""column""; ""color"",""chartreuse""; ""ymin"", 0; ""ymax"", 1.01; ""highcolo"&amp;"r"", ""darkgreen""; ""lowcolor"", ""red""}), """")"),"")</f>
        <v/>
      </c>
      <c r="B121" s="17" t="str">
        <f t="shared" si="4"/>
        <v/>
      </c>
      <c r="C121" s="1" t="s">
        <v>1295</v>
      </c>
      <c r="D121" s="30" t="str">
        <f>IFERROR(__xludf.DUMMYFUNCTION("IFERROR(GOOGLEFINANCE(C121, ""NAME""))"),"Terex Corp")</f>
        <v>Terex Corp</v>
      </c>
      <c r="E121" s="30" t="s">
        <v>1036</v>
      </c>
      <c r="F121" s="33" t="str">
        <f>IFERROR(__xludf.DUMMYFUNCTION("( (GOOGLEFINANCE(C121, ""price"") - Q121) / Q121 ) / (R121 / 100)"),"Loading...")</f>
        <v>Loading...</v>
      </c>
      <c r="G121" s="20" t="str">
        <f>IFERROR(__xludf.DUMMYFUNCTION("AVERAGE(ARRAYFORMULA(100 * (QUERY(GOOGLEFINANCE(C121, ""high"", TODAY()-40, TODAY()), ""SELECT Col2 WHERE Col2 IS NOT NULL ORDER BY Col1 DESC LIMIT 20"", 0) / QUERY(GOOGLEFINANCE(C121, ""low"", TODAY()-40, TODAY()), ""SELECT Col2 WHERE Col2 IS NOT NULL OR"&amp;"DER BY Col1 DESC LIMIT 20"", 0) - 1)))"),"#N/A")</f>
        <v>#N/A</v>
      </c>
      <c r="H121" s="35" t="str">
        <f t="shared" si="6"/>
        <v/>
      </c>
      <c r="I121" s="35" t="str">
        <f t="shared" si="7"/>
        <v/>
      </c>
      <c r="J121" s="37" t="str">
        <f>IFERROR(__xludf.DUMMYFUNCTION("IFERROR(
  IF(C121="""",, 
    IFERROR(
      GOOGLEFINANCE(C121, ""price"") * GOOGLEFINANCE(C121, ""volumeavg""), 
      GOOGLEFINANCE(C121, ""price"") * AVERAGE(QUERY(GOOGLEFINANCE(C121, ""volume"", TODAY()-40, TODAY()), ""SELECT Col2 WHERE Col2 IS NOT "&amp;"NULL ORDER BY Col1 DESC LIMIT 20"", 0))
    )
  ), 
"""")"),"")</f>
        <v/>
      </c>
      <c r="K121" s="21" t="str">
        <f>IFERROR(__xludf.DUMMYFUNCTION("IFERROR(GOOGLEFINANCE(C121, ""changepct"") / 100, """")"),"")</f>
        <v/>
      </c>
      <c r="L121" s="21" t="str">
        <f>IFERROR(__xludf.DUMMYFUNCTION("IFERROR((GOOGLEFINANCE(C121, ""price"") / INDEX(GOOGLEFINANCE(C121, ""price"", TODAY()-7, TODAY()), 2, 2)) - 1, """")"),"")</f>
        <v/>
      </c>
      <c r="M121" s="21" t="str">
        <f>IFERROR(__xludf.DUMMYFUNCTION("IFERROR((GOOGLEFINANCE(C121, ""price"") / INDEX(GOOGLEFINANCE(C121, ""price"", EDATE(TODAY(), -1), TODAY()), 2, 2)) - 1, """")"),"")</f>
        <v/>
      </c>
      <c r="N121" s="21" t="str">
        <f>IFERROR(__xludf.DUMMYFUNCTION("IFERROR((GOOGLEFINANCE(C121, ""price"") / INDEX(GOOGLEFINANCE(C121, ""price"", EDATE(TODAY(), -3), TODAY()), 2, 2)) - 1, """")"),"")</f>
        <v/>
      </c>
      <c r="O121" s="21" t="str">
        <f>IFERROR(__xludf.DUMMYFUNCTION("IFERROR((GOOGLEFINANCE(C121, ""price"") / INDEX(GOOGLEFINANCE(C121, ""price"", EDATE(TODAY(), -6), TODAY()), 2, 2)) - 1, """")"),"")</f>
        <v/>
      </c>
      <c r="P121" s="21" t="str">
        <f>IFERROR(__xludf.DUMMYFUNCTION("IFERROR((GOOGLEFINANCE(C121, ""price"") / INDEX(GOOGLEFINANCE(C121, ""price"", EDATE(TODAY(), -12), TODAY()), 2, 2)) - 1, """")"),"")</f>
        <v/>
      </c>
      <c r="Q121" s="6" t="str">
        <f>IFERROR(__xludf.DUMMYFUNCTION("AVERAGE(QUERY(GOOGLEFINANCE(C121, ""price"", TODAY()-80, TODAY()), ""SELECT Col2 WHERE Col2 IS NOT NULL ORDER BY Col1 DESC LIMIT 50"", 0))"),"#N/A")</f>
        <v>#N/A</v>
      </c>
      <c r="R121" s="24" t="str">
        <f>IFERROR(__xludf.DUMMYFUNCTION("IFERROR(
  LET(
    data, QUERY(GOOGLEFINANCE(C121,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GOOGLEFINANCE(C121, ""price"")) * 100,
    IF(calc=0, G121, calc)
  ), 
G121)"),"#N/A")</f>
        <v>#N/A</v>
      </c>
      <c r="S121" s="8" t="s">
        <v>15</v>
      </c>
      <c r="T121" s="26" t="str">
        <f>IFERROR(__xludf.DUMMYFUNCTION("IFERROR(TRANSPOSE(QUERY(IFERROR(SORT(GOOGLEFINANCE(C121, ""price"", WORKDAY(TODAY(), -40), TODAY()), 1, FALSE)), ""select Col2 where Col2 is not null limit 22 label Col2 ''"", 0)), """")"),"")</f>
        <v/>
      </c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8"/>
      <c r="AO121" s="28"/>
      <c r="AP121" s="29"/>
      <c r="AQ121" s="29" t="str">
        <f t="shared" ref="AQ121:BL121" si="124">T121/T$2</f>
        <v>#N/A</v>
      </c>
      <c r="AR121" s="29" t="str">
        <f t="shared" si="124"/>
        <v>#DIV/0!</v>
      </c>
      <c r="AS121" s="29" t="str">
        <f t="shared" si="124"/>
        <v>#DIV/0!</v>
      </c>
      <c r="AT121" s="29" t="str">
        <f t="shared" si="124"/>
        <v>#DIV/0!</v>
      </c>
      <c r="AU121" s="29" t="str">
        <f t="shared" si="124"/>
        <v>#DIV/0!</v>
      </c>
      <c r="AV121" s="29" t="str">
        <f t="shared" si="124"/>
        <v>#DIV/0!</v>
      </c>
      <c r="AW121" s="29" t="str">
        <f t="shared" si="124"/>
        <v>#DIV/0!</v>
      </c>
      <c r="AX121" s="29" t="str">
        <f t="shared" si="124"/>
        <v>#DIV/0!</v>
      </c>
      <c r="AY121" s="29" t="str">
        <f t="shared" si="124"/>
        <v>#DIV/0!</v>
      </c>
      <c r="AZ121" s="29" t="str">
        <f t="shared" si="124"/>
        <v>#DIV/0!</v>
      </c>
      <c r="BA121" s="29" t="str">
        <f t="shared" si="124"/>
        <v>#DIV/0!</v>
      </c>
      <c r="BB121" s="29" t="str">
        <f t="shared" si="124"/>
        <v>#DIV/0!</v>
      </c>
      <c r="BC121" s="29" t="str">
        <f t="shared" si="124"/>
        <v>#DIV/0!</v>
      </c>
      <c r="BD121" s="29" t="str">
        <f t="shared" si="124"/>
        <v>#DIV/0!</v>
      </c>
      <c r="BE121" s="29" t="str">
        <f t="shared" si="124"/>
        <v>#DIV/0!</v>
      </c>
      <c r="BF121" s="29" t="str">
        <f t="shared" si="124"/>
        <v>#DIV/0!</v>
      </c>
      <c r="BG121" s="29" t="str">
        <f t="shared" si="124"/>
        <v>#DIV/0!</v>
      </c>
      <c r="BH121" s="29" t="str">
        <f t="shared" si="124"/>
        <v>#DIV/0!</v>
      </c>
      <c r="BI121" s="29" t="str">
        <f t="shared" si="124"/>
        <v>#DIV/0!</v>
      </c>
      <c r="BJ121" s="29" t="str">
        <f t="shared" si="124"/>
        <v>#DIV/0!</v>
      </c>
      <c r="BK121" s="29" t="str">
        <f t="shared" si="124"/>
        <v>#DIV/0!</v>
      </c>
      <c r="BL121" s="29" t="str">
        <f t="shared" si="124"/>
        <v>#DIV/0!</v>
      </c>
      <c r="BM121" s="29" t="str">
        <f t="shared" si="3"/>
        <v>#DIV/0!</v>
      </c>
    </row>
    <row r="122">
      <c r="A122" s="16" t="str">
        <f>IFERROR(__xludf.DUMMYFUNCTION("IFERROR(SPARKLINE(SORT(MAP(TRANSPOSE(AQ122:BL122), LAMBDA(val, IF(ISNUMBER(val), PERCENTRANK(AQ122:BL122, val)+0.01, 0))), SEQUENCE(COLUMNS(AQ122:BL122)), FALSE), {""charttype"",""column""; ""color"",""chartreuse""; ""ymin"", 0; ""ymax"", 1.01; ""highcolo"&amp;"r"", ""darkgreen""; ""lowcolor"", ""red""}), """")"),"")</f>
        <v/>
      </c>
      <c r="B122" s="17" t="str">
        <f t="shared" si="4"/>
        <v/>
      </c>
      <c r="C122" s="1" t="s">
        <v>1298</v>
      </c>
      <c r="D122" s="30" t="str">
        <f>IFERROR(__xludf.DUMMYFUNCTION("IFERROR(GOOGLEFINANCE(C122, ""NAME""))"),"Firefly Aerospace Inc")</f>
        <v>Firefly Aerospace Inc</v>
      </c>
      <c r="E122" s="30" t="s">
        <v>839</v>
      </c>
      <c r="F122" s="33" t="str">
        <f>IFERROR(__xludf.DUMMYFUNCTION("( (GOOGLEFINANCE(C122, ""price"") - Q122) / Q122 ) / (R122 / 100)"),"Loading...")</f>
        <v>Loading...</v>
      </c>
      <c r="G122" s="20" t="str">
        <f>IFERROR(__xludf.DUMMYFUNCTION("AVERAGE(ARRAYFORMULA(100 * (QUERY(GOOGLEFINANCE(C122, ""high"", TODAY()-40, TODAY()), ""SELECT Col2 WHERE Col2 IS NOT NULL ORDER BY Col1 DESC LIMIT 20"", 0) / QUERY(GOOGLEFINANCE(C122, ""low"", TODAY()-40, TODAY()), ""SELECT Col2 WHERE Col2 IS NOT NULL OR"&amp;"DER BY Col1 DESC LIMIT 20"", 0) - 1)))"),"#N/A")</f>
        <v>#N/A</v>
      </c>
      <c r="H122" s="35" t="str">
        <f t="shared" si="6"/>
        <v/>
      </c>
      <c r="I122" s="35" t="str">
        <f t="shared" si="7"/>
        <v/>
      </c>
      <c r="J122" s="37" t="str">
        <f>IFERROR(__xludf.DUMMYFUNCTION("IFERROR(
  IF(C122="""",, 
    IFERROR(
      GOOGLEFINANCE(C122, ""price"") * GOOGLEFINANCE(C122, ""volumeavg""), 
      GOOGLEFINANCE(C122, ""price"") * AVERAGE(QUERY(GOOGLEFINANCE(C122, ""volume"", TODAY()-40, TODAY()), ""SELECT Col2 WHERE Col2 IS NOT "&amp;"NULL ORDER BY Col1 DESC LIMIT 20"", 0))
    )
  ), 
"""")"),"")</f>
        <v/>
      </c>
      <c r="K122" s="21" t="str">
        <f>IFERROR(__xludf.DUMMYFUNCTION("IFERROR(GOOGLEFINANCE(C122, ""changepct"") / 100, """")"),"")</f>
        <v/>
      </c>
      <c r="L122" s="21" t="str">
        <f>IFERROR(__xludf.DUMMYFUNCTION("IFERROR((GOOGLEFINANCE(C122, ""price"") / INDEX(GOOGLEFINANCE(C122, ""price"", TODAY()-7, TODAY()), 2, 2)) - 1, """")"),"")</f>
        <v/>
      </c>
      <c r="M122" s="21" t="str">
        <f>IFERROR(__xludf.DUMMYFUNCTION("IFERROR((GOOGLEFINANCE(C122, ""price"") / INDEX(GOOGLEFINANCE(C122, ""price"", EDATE(TODAY(), -1), TODAY()), 2, 2)) - 1, """")"),"")</f>
        <v/>
      </c>
      <c r="N122" s="21" t="str">
        <f>IFERROR(__xludf.DUMMYFUNCTION("IFERROR((GOOGLEFINANCE(C122, ""price"") / INDEX(GOOGLEFINANCE(C122, ""price"", EDATE(TODAY(), -3), TODAY()), 2, 2)) - 1, """")"),"")</f>
        <v/>
      </c>
      <c r="O122" s="21" t="str">
        <f>IFERROR(__xludf.DUMMYFUNCTION("IFERROR((GOOGLEFINANCE(C122, ""price"") / INDEX(GOOGLEFINANCE(C122, ""price"", EDATE(TODAY(), -6), TODAY()), 2, 2)) - 1, """")"),"")</f>
        <v/>
      </c>
      <c r="P122" s="21" t="str">
        <f>IFERROR(__xludf.DUMMYFUNCTION("IFERROR((GOOGLEFINANCE(C122, ""price"") / INDEX(GOOGLEFINANCE(C122, ""price"", EDATE(TODAY(), -12), TODAY()), 2, 2)) - 1, """")"),"")</f>
        <v/>
      </c>
      <c r="Q122" s="6" t="str">
        <f>IFERROR(__xludf.DUMMYFUNCTION("AVERAGE(QUERY(GOOGLEFINANCE(C122, ""price"", TODAY()-80, TODAY()), ""SELECT Col2 WHERE Col2 IS NOT NULL ORDER BY Col1 DESC LIMIT 50"", 0))"),"#N/A")</f>
        <v>#N/A</v>
      </c>
      <c r="R122" s="24" t="str">
        <f>IFERROR(__xludf.DUMMYFUNCTION("IFERROR(
  LET(
    data, QUERY(GOOGLEFINANCE(C122,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GOOGLEFINANCE(C122, ""price"")) * 100,
    IF(calc=0, G122, calc)
  ), 
G122)"),"#N/A")</f>
        <v>#N/A</v>
      </c>
      <c r="S122" s="8" t="s">
        <v>15</v>
      </c>
      <c r="T122" s="26" t="str">
        <f>IFERROR(__xludf.DUMMYFUNCTION("IFERROR(TRANSPOSE(QUERY(IFERROR(SORT(GOOGLEFINANCE(C122, ""price"", WORKDAY(TODAY(), -40), TODAY()), 1, FALSE)), ""select Col2 where Col2 is not null limit 22 label Col2 ''"", 0)), """")"),"")</f>
        <v/>
      </c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8"/>
      <c r="AO122" s="28"/>
      <c r="AP122" s="29"/>
      <c r="AQ122" s="29" t="str">
        <f t="shared" ref="AQ122:BL122" si="125">T122/T$2</f>
        <v>#N/A</v>
      </c>
      <c r="AR122" s="29" t="str">
        <f t="shared" si="125"/>
        <v>#DIV/0!</v>
      </c>
      <c r="AS122" s="29" t="str">
        <f t="shared" si="125"/>
        <v>#DIV/0!</v>
      </c>
      <c r="AT122" s="29" t="str">
        <f t="shared" si="125"/>
        <v>#DIV/0!</v>
      </c>
      <c r="AU122" s="29" t="str">
        <f t="shared" si="125"/>
        <v>#DIV/0!</v>
      </c>
      <c r="AV122" s="29" t="str">
        <f t="shared" si="125"/>
        <v>#DIV/0!</v>
      </c>
      <c r="AW122" s="29" t="str">
        <f t="shared" si="125"/>
        <v>#DIV/0!</v>
      </c>
      <c r="AX122" s="29" t="str">
        <f t="shared" si="125"/>
        <v>#DIV/0!</v>
      </c>
      <c r="AY122" s="29" t="str">
        <f t="shared" si="125"/>
        <v>#DIV/0!</v>
      </c>
      <c r="AZ122" s="29" t="str">
        <f t="shared" si="125"/>
        <v>#DIV/0!</v>
      </c>
      <c r="BA122" s="29" t="str">
        <f t="shared" si="125"/>
        <v>#DIV/0!</v>
      </c>
      <c r="BB122" s="29" t="str">
        <f t="shared" si="125"/>
        <v>#DIV/0!</v>
      </c>
      <c r="BC122" s="29" t="str">
        <f t="shared" si="125"/>
        <v>#DIV/0!</v>
      </c>
      <c r="BD122" s="29" t="str">
        <f t="shared" si="125"/>
        <v>#DIV/0!</v>
      </c>
      <c r="BE122" s="29" t="str">
        <f t="shared" si="125"/>
        <v>#DIV/0!</v>
      </c>
      <c r="BF122" s="29" t="str">
        <f t="shared" si="125"/>
        <v>#DIV/0!</v>
      </c>
      <c r="BG122" s="29" t="str">
        <f t="shared" si="125"/>
        <v>#DIV/0!</v>
      </c>
      <c r="BH122" s="29" t="str">
        <f t="shared" si="125"/>
        <v>#DIV/0!</v>
      </c>
      <c r="BI122" s="29" t="str">
        <f t="shared" si="125"/>
        <v>#DIV/0!</v>
      </c>
      <c r="BJ122" s="29" t="str">
        <f t="shared" si="125"/>
        <v>#DIV/0!</v>
      </c>
      <c r="BK122" s="29" t="str">
        <f t="shared" si="125"/>
        <v>#DIV/0!</v>
      </c>
      <c r="BL122" s="29" t="str">
        <f t="shared" si="125"/>
        <v>#DIV/0!</v>
      </c>
      <c r="BM122" s="29" t="str">
        <f t="shared" si="3"/>
        <v>#DIV/0!</v>
      </c>
    </row>
    <row r="123">
      <c r="A123" s="16" t="str">
        <f>IFERROR(__xludf.DUMMYFUNCTION("IFERROR(SPARKLINE(SORT(MAP(TRANSPOSE(AQ123:BL123), LAMBDA(val, IF(ISNUMBER(val), PERCENTRANK(AQ123:BL123, val)+0.01, 0))), SEQUENCE(COLUMNS(AQ123:BL123)), FALSE), {""charttype"",""column""; ""color"",""chartreuse""; ""ymin"", 0; ""ymax"", 1.01; ""highcolo"&amp;"r"", ""darkgreen""; ""lowcolor"", ""red""}), """")"),"")</f>
        <v/>
      </c>
      <c r="B123" s="17" t="str">
        <f t="shared" si="4"/>
        <v/>
      </c>
      <c r="C123" s="1" t="s">
        <v>1303</v>
      </c>
      <c r="D123" s="30" t="str">
        <f>IFERROR(__xludf.DUMMYFUNCTION("IFERROR(GOOGLEFINANCE(C123, ""NAME""))"),"Navios Maritime Partners L.P.")</f>
        <v>Navios Maritime Partners L.P.</v>
      </c>
      <c r="E123" s="30" t="s">
        <v>834</v>
      </c>
      <c r="F123" s="33" t="str">
        <f>IFERROR(__xludf.DUMMYFUNCTION("( (GOOGLEFINANCE(C123, ""price"") - Q123) / Q123 ) / (R123 / 100)"),"Loading...")</f>
        <v>Loading...</v>
      </c>
      <c r="G123" s="20" t="str">
        <f>IFERROR(__xludf.DUMMYFUNCTION("AVERAGE(ARRAYFORMULA(100 * (QUERY(GOOGLEFINANCE(C123, ""high"", TODAY()-40, TODAY()), ""SELECT Col2 WHERE Col2 IS NOT NULL ORDER BY Col1 DESC LIMIT 20"", 0) / QUERY(GOOGLEFINANCE(C123, ""low"", TODAY()-40, TODAY()), ""SELECT Col2 WHERE Col2 IS NOT NULL OR"&amp;"DER BY Col1 DESC LIMIT 20"", 0) - 1)))"),"#N/A")</f>
        <v>#N/A</v>
      </c>
      <c r="H123" s="35" t="str">
        <f t="shared" si="6"/>
        <v/>
      </c>
      <c r="I123" s="35" t="str">
        <f t="shared" si="7"/>
        <v/>
      </c>
      <c r="J123" s="37" t="str">
        <f>IFERROR(__xludf.DUMMYFUNCTION("IFERROR(
  IF(C123="""",, 
    IFERROR(
      GOOGLEFINANCE(C123, ""price"") * GOOGLEFINANCE(C123, ""volumeavg""), 
      GOOGLEFINANCE(C123, ""price"") * AVERAGE(QUERY(GOOGLEFINANCE(C123, ""volume"", TODAY()-40, TODAY()), ""SELECT Col2 WHERE Col2 IS NOT "&amp;"NULL ORDER BY Col1 DESC LIMIT 20"", 0))
    )
  ), 
"""")"),"")</f>
        <v/>
      </c>
      <c r="K123" s="21" t="str">
        <f>IFERROR(__xludf.DUMMYFUNCTION("IFERROR(GOOGLEFINANCE(C123, ""changepct"") / 100, """")"),"")</f>
        <v/>
      </c>
      <c r="L123" s="21" t="str">
        <f>IFERROR(__xludf.DUMMYFUNCTION("IFERROR((GOOGLEFINANCE(C123, ""price"") / INDEX(GOOGLEFINANCE(C123, ""price"", TODAY()-7, TODAY()), 2, 2)) - 1, """")"),"")</f>
        <v/>
      </c>
      <c r="M123" s="21" t="str">
        <f>IFERROR(__xludf.DUMMYFUNCTION("IFERROR((GOOGLEFINANCE(C123, ""price"") / INDEX(GOOGLEFINANCE(C123, ""price"", EDATE(TODAY(), -1), TODAY()), 2, 2)) - 1, """")"),"")</f>
        <v/>
      </c>
      <c r="N123" s="21" t="str">
        <f>IFERROR(__xludf.DUMMYFUNCTION("IFERROR((GOOGLEFINANCE(C123, ""price"") / INDEX(GOOGLEFINANCE(C123, ""price"", EDATE(TODAY(), -3), TODAY()), 2, 2)) - 1, """")"),"")</f>
        <v/>
      </c>
      <c r="O123" s="21" t="str">
        <f>IFERROR(__xludf.DUMMYFUNCTION("IFERROR((GOOGLEFINANCE(C123, ""price"") / INDEX(GOOGLEFINANCE(C123, ""price"", EDATE(TODAY(), -6), TODAY()), 2, 2)) - 1, """")"),"")</f>
        <v/>
      </c>
      <c r="P123" s="21" t="str">
        <f>IFERROR(__xludf.DUMMYFUNCTION("IFERROR((GOOGLEFINANCE(C123, ""price"") / INDEX(GOOGLEFINANCE(C123, ""price"", EDATE(TODAY(), -12), TODAY()), 2, 2)) - 1, """")"),"")</f>
        <v/>
      </c>
      <c r="Q123" s="6" t="str">
        <f>IFERROR(__xludf.DUMMYFUNCTION("AVERAGE(QUERY(GOOGLEFINANCE(C123, ""price"", TODAY()-80, TODAY()), ""SELECT Col2 WHERE Col2 IS NOT NULL ORDER BY Col1 DESC LIMIT 50"", 0))"),"#N/A")</f>
        <v>#N/A</v>
      </c>
      <c r="R123" s="24" t="str">
        <f>IFERROR(__xludf.DUMMYFUNCTION("IFERROR(
  LET(
    data, QUERY(GOOGLEFINANCE(C123,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GOOGLEFINANCE(C123, ""price"")) * 100,
    IF(calc=0, G123, calc)
  ), 
G123)"),"#N/A")</f>
        <v>#N/A</v>
      </c>
      <c r="S123" s="8" t="s">
        <v>15</v>
      </c>
      <c r="T123" s="26" t="str">
        <f>IFERROR(__xludf.DUMMYFUNCTION("IFERROR(TRANSPOSE(QUERY(IFERROR(SORT(GOOGLEFINANCE(C123, ""price"", WORKDAY(TODAY(), -40), TODAY()), 1, FALSE)), ""select Col2 where Col2 is not null limit 22 label Col2 ''"", 0)), """")"),"")</f>
        <v/>
      </c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8"/>
      <c r="AO123" s="28"/>
      <c r="AP123" s="29"/>
      <c r="AQ123" s="29" t="str">
        <f t="shared" ref="AQ123:BL123" si="126">T123/T$2</f>
        <v>#N/A</v>
      </c>
      <c r="AR123" s="29" t="str">
        <f t="shared" si="126"/>
        <v>#DIV/0!</v>
      </c>
      <c r="AS123" s="29" t="str">
        <f t="shared" si="126"/>
        <v>#DIV/0!</v>
      </c>
      <c r="AT123" s="29" t="str">
        <f t="shared" si="126"/>
        <v>#DIV/0!</v>
      </c>
      <c r="AU123" s="29" t="str">
        <f t="shared" si="126"/>
        <v>#DIV/0!</v>
      </c>
      <c r="AV123" s="29" t="str">
        <f t="shared" si="126"/>
        <v>#DIV/0!</v>
      </c>
      <c r="AW123" s="29" t="str">
        <f t="shared" si="126"/>
        <v>#DIV/0!</v>
      </c>
      <c r="AX123" s="29" t="str">
        <f t="shared" si="126"/>
        <v>#DIV/0!</v>
      </c>
      <c r="AY123" s="29" t="str">
        <f t="shared" si="126"/>
        <v>#DIV/0!</v>
      </c>
      <c r="AZ123" s="29" t="str">
        <f t="shared" si="126"/>
        <v>#DIV/0!</v>
      </c>
      <c r="BA123" s="29" t="str">
        <f t="shared" si="126"/>
        <v>#DIV/0!</v>
      </c>
      <c r="BB123" s="29" t="str">
        <f t="shared" si="126"/>
        <v>#DIV/0!</v>
      </c>
      <c r="BC123" s="29" t="str">
        <f t="shared" si="126"/>
        <v>#DIV/0!</v>
      </c>
      <c r="BD123" s="29" t="str">
        <f t="shared" si="126"/>
        <v>#DIV/0!</v>
      </c>
      <c r="BE123" s="29" t="str">
        <f t="shared" si="126"/>
        <v>#DIV/0!</v>
      </c>
      <c r="BF123" s="29" t="str">
        <f t="shared" si="126"/>
        <v>#DIV/0!</v>
      </c>
      <c r="BG123" s="29" t="str">
        <f t="shared" si="126"/>
        <v>#DIV/0!</v>
      </c>
      <c r="BH123" s="29" t="str">
        <f t="shared" si="126"/>
        <v>#DIV/0!</v>
      </c>
      <c r="BI123" s="29" t="str">
        <f t="shared" si="126"/>
        <v>#DIV/0!</v>
      </c>
      <c r="BJ123" s="29" t="str">
        <f t="shared" si="126"/>
        <v>#DIV/0!</v>
      </c>
      <c r="BK123" s="29" t="str">
        <f t="shared" si="126"/>
        <v>#DIV/0!</v>
      </c>
      <c r="BL123" s="29" t="str">
        <f t="shared" si="126"/>
        <v>#DIV/0!</v>
      </c>
      <c r="BM123" s="29" t="str">
        <f t="shared" si="3"/>
        <v>#DIV/0!</v>
      </c>
    </row>
    <row r="124">
      <c r="A124" s="16" t="str">
        <f>IFERROR(__xludf.DUMMYFUNCTION("IFERROR(SPARKLINE(SORT(MAP(TRANSPOSE(AQ124:BL124), LAMBDA(val, IF(ISNUMBER(val), PERCENTRANK(AQ124:BL124, val)+0.01, 0))), SEQUENCE(COLUMNS(AQ124:BL124)), FALSE), {""charttype"",""column""; ""color"",""chartreuse""; ""ymin"", 0; ""ymax"", 1.01; ""highcolo"&amp;"r"", ""darkgreen""; ""lowcolor"", ""red""}), """")"),"")</f>
        <v/>
      </c>
      <c r="B124" s="17" t="str">
        <f t="shared" si="4"/>
        <v/>
      </c>
      <c r="C124" s="1" t="s">
        <v>1308</v>
      </c>
      <c r="D124" s="30" t="str">
        <f>IFERROR(__xludf.DUMMYFUNCTION("IFERROR(GOOGLEFINANCE(C124, ""NAME""))"),"Astronics Corp")</f>
        <v>Astronics Corp</v>
      </c>
      <c r="E124" s="30" t="s">
        <v>839</v>
      </c>
      <c r="F124" s="33" t="str">
        <f>IFERROR(__xludf.DUMMYFUNCTION("( (GOOGLEFINANCE(C124, ""price"") - Q124) / Q124 ) / (R124 / 100)"),"Loading...")</f>
        <v>Loading...</v>
      </c>
      <c r="G124" s="20" t="str">
        <f>IFERROR(__xludf.DUMMYFUNCTION("AVERAGE(ARRAYFORMULA(100 * (QUERY(GOOGLEFINANCE(C124, ""high"", TODAY()-40, TODAY()), ""SELECT Col2 WHERE Col2 IS NOT NULL ORDER BY Col1 DESC LIMIT 20"", 0) / QUERY(GOOGLEFINANCE(C124, ""low"", TODAY()-40, TODAY()), ""SELECT Col2 WHERE Col2 IS NOT NULL OR"&amp;"DER BY Col1 DESC LIMIT 20"", 0) - 1)))"),"#N/A")</f>
        <v>#N/A</v>
      </c>
      <c r="H124" s="35" t="str">
        <f t="shared" si="6"/>
        <v/>
      </c>
      <c r="I124" s="35" t="str">
        <f t="shared" si="7"/>
        <v/>
      </c>
      <c r="J124" s="37" t="str">
        <f>IFERROR(__xludf.DUMMYFUNCTION("IFERROR(
  IF(C124="""",, 
    IFERROR(
      GOOGLEFINANCE(C124, ""price"") * GOOGLEFINANCE(C124, ""volumeavg""), 
      GOOGLEFINANCE(C124, ""price"") * AVERAGE(QUERY(GOOGLEFINANCE(C124, ""volume"", TODAY()-40, TODAY()), ""SELECT Col2 WHERE Col2 IS NOT "&amp;"NULL ORDER BY Col1 DESC LIMIT 20"", 0))
    )
  ), 
"""")"),"")</f>
        <v/>
      </c>
      <c r="K124" s="21" t="str">
        <f>IFERROR(__xludf.DUMMYFUNCTION("IFERROR(GOOGLEFINANCE(C124, ""changepct"") / 100, """")"),"")</f>
        <v/>
      </c>
      <c r="L124" s="21" t="str">
        <f>IFERROR(__xludf.DUMMYFUNCTION("IFERROR((GOOGLEFINANCE(C124, ""price"") / INDEX(GOOGLEFINANCE(C124, ""price"", TODAY()-7, TODAY()), 2, 2)) - 1, """")"),"")</f>
        <v/>
      </c>
      <c r="M124" s="21" t="str">
        <f>IFERROR(__xludf.DUMMYFUNCTION("IFERROR((GOOGLEFINANCE(C124, ""price"") / INDEX(GOOGLEFINANCE(C124, ""price"", EDATE(TODAY(), -1), TODAY()), 2, 2)) - 1, """")"),"")</f>
        <v/>
      </c>
      <c r="N124" s="21" t="str">
        <f>IFERROR(__xludf.DUMMYFUNCTION("IFERROR((GOOGLEFINANCE(C124, ""price"") / INDEX(GOOGLEFINANCE(C124, ""price"", EDATE(TODAY(), -3), TODAY()), 2, 2)) - 1, """")"),"")</f>
        <v/>
      </c>
      <c r="O124" s="21" t="str">
        <f>IFERROR(__xludf.DUMMYFUNCTION("IFERROR((GOOGLEFINANCE(C124, ""price"") / INDEX(GOOGLEFINANCE(C124, ""price"", EDATE(TODAY(), -6), TODAY()), 2, 2)) - 1, """")"),"")</f>
        <v/>
      </c>
      <c r="P124" s="21" t="str">
        <f>IFERROR(__xludf.DUMMYFUNCTION("IFERROR((GOOGLEFINANCE(C124, ""price"") / INDEX(GOOGLEFINANCE(C124, ""price"", EDATE(TODAY(), -12), TODAY()), 2, 2)) - 1, """")"),"")</f>
        <v/>
      </c>
      <c r="Q124" s="6" t="str">
        <f>IFERROR(__xludf.DUMMYFUNCTION("AVERAGE(QUERY(GOOGLEFINANCE(C124, ""price"", TODAY()-80, TODAY()), ""SELECT Col2 WHERE Col2 IS NOT NULL ORDER BY Col1 DESC LIMIT 50"", 0))"),"#N/A")</f>
        <v>#N/A</v>
      </c>
      <c r="R124" s="24" t="str">
        <f>IFERROR(__xludf.DUMMYFUNCTION("IFERROR(
  LET(
    data, QUERY(GOOGLEFINANCE(C124,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GOOGLEFINANCE(C124, ""price"")) * 100,
    IF(calc=0, G124, calc)
  ), 
G124)"),"#N/A")</f>
        <v>#N/A</v>
      </c>
      <c r="S124" s="8" t="s">
        <v>15</v>
      </c>
      <c r="T124" s="26" t="str">
        <f>IFERROR(__xludf.DUMMYFUNCTION("IFERROR(TRANSPOSE(QUERY(IFERROR(SORT(GOOGLEFINANCE(C124, ""price"", WORKDAY(TODAY(), -40), TODAY()), 1, FALSE)), ""select Col2 where Col2 is not null limit 22 label Col2 ''"", 0)), """")"),"")</f>
        <v/>
      </c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8"/>
      <c r="AO124" s="28"/>
      <c r="AP124" s="29"/>
      <c r="AQ124" s="29" t="str">
        <f t="shared" ref="AQ124:BL124" si="127">T124/T$2</f>
        <v>#N/A</v>
      </c>
      <c r="AR124" s="29" t="str">
        <f t="shared" si="127"/>
        <v>#DIV/0!</v>
      </c>
      <c r="AS124" s="29" t="str">
        <f t="shared" si="127"/>
        <v>#DIV/0!</v>
      </c>
      <c r="AT124" s="29" t="str">
        <f t="shared" si="127"/>
        <v>#DIV/0!</v>
      </c>
      <c r="AU124" s="29" t="str">
        <f t="shared" si="127"/>
        <v>#DIV/0!</v>
      </c>
      <c r="AV124" s="29" t="str">
        <f t="shared" si="127"/>
        <v>#DIV/0!</v>
      </c>
      <c r="AW124" s="29" t="str">
        <f t="shared" si="127"/>
        <v>#DIV/0!</v>
      </c>
      <c r="AX124" s="29" t="str">
        <f t="shared" si="127"/>
        <v>#DIV/0!</v>
      </c>
      <c r="AY124" s="29" t="str">
        <f t="shared" si="127"/>
        <v>#DIV/0!</v>
      </c>
      <c r="AZ124" s="29" t="str">
        <f t="shared" si="127"/>
        <v>#DIV/0!</v>
      </c>
      <c r="BA124" s="29" t="str">
        <f t="shared" si="127"/>
        <v>#DIV/0!</v>
      </c>
      <c r="BB124" s="29" t="str">
        <f t="shared" si="127"/>
        <v>#DIV/0!</v>
      </c>
      <c r="BC124" s="29" t="str">
        <f t="shared" si="127"/>
        <v>#DIV/0!</v>
      </c>
      <c r="BD124" s="29" t="str">
        <f t="shared" si="127"/>
        <v>#DIV/0!</v>
      </c>
      <c r="BE124" s="29" t="str">
        <f t="shared" si="127"/>
        <v>#DIV/0!</v>
      </c>
      <c r="BF124" s="29" t="str">
        <f t="shared" si="127"/>
        <v>#DIV/0!</v>
      </c>
      <c r="BG124" s="29" t="str">
        <f t="shared" si="127"/>
        <v>#DIV/0!</v>
      </c>
      <c r="BH124" s="29" t="str">
        <f t="shared" si="127"/>
        <v>#DIV/0!</v>
      </c>
      <c r="BI124" s="29" t="str">
        <f t="shared" si="127"/>
        <v>#DIV/0!</v>
      </c>
      <c r="BJ124" s="29" t="str">
        <f t="shared" si="127"/>
        <v>#DIV/0!</v>
      </c>
      <c r="BK124" s="29" t="str">
        <f t="shared" si="127"/>
        <v>#DIV/0!</v>
      </c>
      <c r="BL124" s="29" t="str">
        <f t="shared" si="127"/>
        <v>#DIV/0!</v>
      </c>
      <c r="BM124" s="29" t="str">
        <f t="shared" si="3"/>
        <v>#DIV/0!</v>
      </c>
    </row>
    <row r="125">
      <c r="A125" s="16" t="str">
        <f>IFERROR(__xludf.DUMMYFUNCTION("IFERROR(SPARKLINE(SORT(MAP(TRANSPOSE(AQ125:BL125), LAMBDA(val, IF(ISNUMBER(val), PERCENTRANK(AQ125:BL125, val)+0.01, 0))), SEQUENCE(COLUMNS(AQ125:BL125)), FALSE), {""charttype"",""column""; ""color"",""chartreuse""; ""ymin"", 0; ""ymax"", 1.01; ""highcolo"&amp;"r"", ""darkgreen""; ""lowcolor"", ""red""}), """")"),"")</f>
        <v/>
      </c>
      <c r="B125" s="17" t="str">
        <f t="shared" si="4"/>
        <v/>
      </c>
      <c r="C125" s="1" t="s">
        <v>1311</v>
      </c>
      <c r="D125" s="30" t="str">
        <f>IFERROR(__xludf.DUMMYFUNCTION("IFERROR(GOOGLEFINANCE(C125, ""NAME""))"),"Leonardo DRS Inc")</f>
        <v>Leonardo DRS Inc</v>
      </c>
      <c r="E125" s="30" t="s">
        <v>839</v>
      </c>
      <c r="F125" s="33" t="str">
        <f>IFERROR(__xludf.DUMMYFUNCTION("( (GOOGLEFINANCE(C125, ""price"") - Q125) / Q125 ) / (R125 / 100)"),"Loading...")</f>
        <v>Loading...</v>
      </c>
      <c r="G125" s="20" t="str">
        <f>IFERROR(__xludf.DUMMYFUNCTION("AVERAGE(ARRAYFORMULA(100 * (QUERY(GOOGLEFINANCE(C125, ""high"", TODAY()-40, TODAY()), ""SELECT Col2 WHERE Col2 IS NOT NULL ORDER BY Col1 DESC LIMIT 20"", 0) / QUERY(GOOGLEFINANCE(C125, ""low"", TODAY()-40, TODAY()), ""SELECT Col2 WHERE Col2 IS NOT NULL OR"&amp;"DER BY Col1 DESC LIMIT 20"", 0) - 1)))"),"#N/A")</f>
        <v>#N/A</v>
      </c>
      <c r="H125" s="35" t="str">
        <f t="shared" si="6"/>
        <v/>
      </c>
      <c r="I125" s="35" t="str">
        <f t="shared" si="7"/>
        <v/>
      </c>
      <c r="J125" s="37" t="str">
        <f>IFERROR(__xludf.DUMMYFUNCTION("IFERROR(
  IF(C125="""",, 
    IFERROR(
      GOOGLEFINANCE(C125, ""price"") * GOOGLEFINANCE(C125, ""volumeavg""), 
      GOOGLEFINANCE(C125, ""price"") * AVERAGE(QUERY(GOOGLEFINANCE(C125, ""volume"", TODAY()-40, TODAY()), ""SELECT Col2 WHERE Col2 IS NOT "&amp;"NULL ORDER BY Col1 DESC LIMIT 20"", 0))
    )
  ), 
"""")"),"")</f>
        <v/>
      </c>
      <c r="K125" s="21" t="str">
        <f>IFERROR(__xludf.DUMMYFUNCTION("IFERROR(GOOGLEFINANCE(C125, ""changepct"") / 100, """")"),"")</f>
        <v/>
      </c>
      <c r="L125" s="21" t="str">
        <f>IFERROR(__xludf.DUMMYFUNCTION("IFERROR((GOOGLEFINANCE(C125, ""price"") / INDEX(GOOGLEFINANCE(C125, ""price"", TODAY()-7, TODAY()), 2, 2)) - 1, """")"),"")</f>
        <v/>
      </c>
      <c r="M125" s="21" t="str">
        <f>IFERROR(__xludf.DUMMYFUNCTION("IFERROR((GOOGLEFINANCE(C125, ""price"") / INDEX(GOOGLEFINANCE(C125, ""price"", EDATE(TODAY(), -1), TODAY()), 2, 2)) - 1, """")"),"")</f>
        <v/>
      </c>
      <c r="N125" s="21" t="str">
        <f>IFERROR(__xludf.DUMMYFUNCTION("IFERROR((GOOGLEFINANCE(C125, ""price"") / INDEX(GOOGLEFINANCE(C125, ""price"", EDATE(TODAY(), -3), TODAY()), 2, 2)) - 1, """")"),"")</f>
        <v/>
      </c>
      <c r="O125" s="21" t="str">
        <f>IFERROR(__xludf.DUMMYFUNCTION("IFERROR((GOOGLEFINANCE(C125, ""price"") / INDEX(GOOGLEFINANCE(C125, ""price"", EDATE(TODAY(), -6), TODAY()), 2, 2)) - 1, """")"),"")</f>
        <v/>
      </c>
      <c r="P125" s="21" t="str">
        <f>IFERROR(__xludf.DUMMYFUNCTION("IFERROR((GOOGLEFINANCE(C125, ""price"") / INDEX(GOOGLEFINANCE(C125, ""price"", EDATE(TODAY(), -12), TODAY()), 2, 2)) - 1, """")"),"")</f>
        <v/>
      </c>
      <c r="Q125" s="6" t="str">
        <f>IFERROR(__xludf.DUMMYFUNCTION("AVERAGE(QUERY(GOOGLEFINANCE(C125, ""price"", TODAY()-80, TODAY()), ""SELECT Col2 WHERE Col2 IS NOT NULL ORDER BY Col1 DESC LIMIT 50"", 0))"),"#N/A")</f>
        <v>#N/A</v>
      </c>
      <c r="R125" s="24" t="str">
        <f>IFERROR(__xludf.DUMMYFUNCTION("IFERROR(
  LET(
    data, QUERY(GOOGLEFINANCE(C125,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GOOGLEFINANCE(C125, ""price"")) * 100,
    IF(calc=0, G125, calc)
  ), 
G125)"),"#N/A")</f>
        <v>#N/A</v>
      </c>
      <c r="S125" s="8" t="s">
        <v>15</v>
      </c>
      <c r="T125" s="26" t="str">
        <f>IFERROR(__xludf.DUMMYFUNCTION("IFERROR(TRANSPOSE(QUERY(IFERROR(SORT(GOOGLEFINANCE(C125, ""price"", WORKDAY(TODAY(), -40), TODAY()), 1, FALSE)), ""select Col2 where Col2 is not null limit 22 label Col2 ''"", 0)), """")"),"")</f>
        <v/>
      </c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8"/>
      <c r="AO125" s="28"/>
      <c r="AP125" s="29"/>
      <c r="AQ125" s="29" t="str">
        <f t="shared" ref="AQ125:BL125" si="128">T125/T$2</f>
        <v>#N/A</v>
      </c>
      <c r="AR125" s="29" t="str">
        <f t="shared" si="128"/>
        <v>#DIV/0!</v>
      </c>
      <c r="AS125" s="29" t="str">
        <f t="shared" si="128"/>
        <v>#DIV/0!</v>
      </c>
      <c r="AT125" s="29" t="str">
        <f t="shared" si="128"/>
        <v>#DIV/0!</v>
      </c>
      <c r="AU125" s="29" t="str">
        <f t="shared" si="128"/>
        <v>#DIV/0!</v>
      </c>
      <c r="AV125" s="29" t="str">
        <f t="shared" si="128"/>
        <v>#DIV/0!</v>
      </c>
      <c r="AW125" s="29" t="str">
        <f t="shared" si="128"/>
        <v>#DIV/0!</v>
      </c>
      <c r="AX125" s="29" t="str">
        <f t="shared" si="128"/>
        <v>#DIV/0!</v>
      </c>
      <c r="AY125" s="29" t="str">
        <f t="shared" si="128"/>
        <v>#DIV/0!</v>
      </c>
      <c r="AZ125" s="29" t="str">
        <f t="shared" si="128"/>
        <v>#DIV/0!</v>
      </c>
      <c r="BA125" s="29" t="str">
        <f t="shared" si="128"/>
        <v>#DIV/0!</v>
      </c>
      <c r="BB125" s="29" t="str">
        <f t="shared" si="128"/>
        <v>#DIV/0!</v>
      </c>
      <c r="BC125" s="29" t="str">
        <f t="shared" si="128"/>
        <v>#DIV/0!</v>
      </c>
      <c r="BD125" s="29" t="str">
        <f t="shared" si="128"/>
        <v>#DIV/0!</v>
      </c>
      <c r="BE125" s="29" t="str">
        <f t="shared" si="128"/>
        <v>#DIV/0!</v>
      </c>
      <c r="BF125" s="29" t="str">
        <f t="shared" si="128"/>
        <v>#DIV/0!</v>
      </c>
      <c r="BG125" s="29" t="str">
        <f t="shared" si="128"/>
        <v>#DIV/0!</v>
      </c>
      <c r="BH125" s="29" t="str">
        <f t="shared" si="128"/>
        <v>#DIV/0!</v>
      </c>
      <c r="BI125" s="29" t="str">
        <f t="shared" si="128"/>
        <v>#DIV/0!</v>
      </c>
      <c r="BJ125" s="29" t="str">
        <f t="shared" si="128"/>
        <v>#DIV/0!</v>
      </c>
      <c r="BK125" s="29" t="str">
        <f t="shared" si="128"/>
        <v>#DIV/0!</v>
      </c>
      <c r="BL125" s="29" t="str">
        <f t="shared" si="128"/>
        <v>#DIV/0!</v>
      </c>
      <c r="BM125" s="29" t="str">
        <f t="shared" si="3"/>
        <v>#DIV/0!</v>
      </c>
    </row>
    <row r="126">
      <c r="A126" s="16" t="str">
        <f>IFERROR(__xludf.DUMMYFUNCTION("IFERROR(SPARKLINE(SORT(MAP(TRANSPOSE(AQ126:BL126), LAMBDA(val, IF(ISNUMBER(val), PERCENTRANK(AQ126:BL126, val)+0.01, 0))), SEQUENCE(COLUMNS(AQ126:BL126)), FALSE), {""charttype"",""column""; ""color"",""chartreuse""; ""ymin"", 0; ""ymax"", 1.01; ""highcolo"&amp;"r"", ""darkgreen""; ""lowcolor"", ""red""}), """")"),"")</f>
        <v/>
      </c>
      <c r="B126" s="17" t="str">
        <f t="shared" si="4"/>
        <v/>
      </c>
      <c r="C126" s="1" t="s">
        <v>1313</v>
      </c>
      <c r="D126" s="30" t="str">
        <f>IFERROR(__xludf.DUMMYFUNCTION("IFERROR(GOOGLEFINANCE(C126, ""NAME""))"),"ATI Inc")</f>
        <v>ATI Inc</v>
      </c>
      <c r="E126" s="30" t="s">
        <v>847</v>
      </c>
      <c r="F126" s="33" t="str">
        <f>IFERROR(__xludf.DUMMYFUNCTION("( (GOOGLEFINANCE(C126, ""price"") - Q126) / Q126 ) / (R126 / 100)"),"Loading...")</f>
        <v>Loading...</v>
      </c>
      <c r="G126" s="20" t="str">
        <f>IFERROR(__xludf.DUMMYFUNCTION("AVERAGE(ARRAYFORMULA(100 * (QUERY(GOOGLEFINANCE(C126, ""high"", TODAY()-40, TODAY()), ""SELECT Col2 WHERE Col2 IS NOT NULL ORDER BY Col1 DESC LIMIT 20"", 0) / QUERY(GOOGLEFINANCE(C126, ""low"", TODAY()-40, TODAY()), ""SELECT Col2 WHERE Col2 IS NOT NULL OR"&amp;"DER BY Col1 DESC LIMIT 20"", 0) - 1)))"),"#N/A")</f>
        <v>#N/A</v>
      </c>
      <c r="H126" s="35" t="str">
        <f t="shared" si="6"/>
        <v/>
      </c>
      <c r="I126" s="35" t="str">
        <f t="shared" si="7"/>
        <v/>
      </c>
      <c r="J126" s="37" t="str">
        <f>IFERROR(__xludf.DUMMYFUNCTION("IFERROR(
  IF(C126="""",, 
    IFERROR(
      GOOGLEFINANCE(C126, ""price"") * GOOGLEFINANCE(C126, ""volumeavg""), 
      GOOGLEFINANCE(C126, ""price"") * AVERAGE(QUERY(GOOGLEFINANCE(C126, ""volume"", TODAY()-40, TODAY()), ""SELECT Col2 WHERE Col2 IS NOT "&amp;"NULL ORDER BY Col1 DESC LIMIT 20"", 0))
    )
  ), 
"""")"),"")</f>
        <v/>
      </c>
      <c r="K126" s="21" t="str">
        <f>IFERROR(__xludf.DUMMYFUNCTION("IFERROR(GOOGLEFINANCE(C126, ""changepct"") / 100, """")"),"")</f>
        <v/>
      </c>
      <c r="L126" s="21" t="str">
        <f>IFERROR(__xludf.DUMMYFUNCTION("IFERROR((GOOGLEFINANCE(C126, ""price"") / INDEX(GOOGLEFINANCE(C126, ""price"", TODAY()-7, TODAY()), 2, 2)) - 1, """")"),"")</f>
        <v/>
      </c>
      <c r="M126" s="21" t="str">
        <f>IFERROR(__xludf.DUMMYFUNCTION("IFERROR((GOOGLEFINANCE(C126, ""price"") / INDEX(GOOGLEFINANCE(C126, ""price"", EDATE(TODAY(), -1), TODAY()), 2, 2)) - 1, """")"),"")</f>
        <v/>
      </c>
      <c r="N126" s="21" t="str">
        <f>IFERROR(__xludf.DUMMYFUNCTION("IFERROR((GOOGLEFINANCE(C126, ""price"") / INDEX(GOOGLEFINANCE(C126, ""price"", EDATE(TODAY(), -3), TODAY()), 2, 2)) - 1, """")"),"")</f>
        <v/>
      </c>
      <c r="O126" s="21" t="str">
        <f>IFERROR(__xludf.DUMMYFUNCTION("IFERROR((GOOGLEFINANCE(C126, ""price"") / INDEX(GOOGLEFINANCE(C126, ""price"", EDATE(TODAY(), -6), TODAY()), 2, 2)) - 1, """")"),"")</f>
        <v/>
      </c>
      <c r="P126" s="21" t="str">
        <f>IFERROR(__xludf.DUMMYFUNCTION("IFERROR((GOOGLEFINANCE(C126, ""price"") / INDEX(GOOGLEFINANCE(C126, ""price"", EDATE(TODAY(), -12), TODAY()), 2, 2)) - 1, """")"),"")</f>
        <v/>
      </c>
      <c r="Q126" s="6" t="str">
        <f>IFERROR(__xludf.DUMMYFUNCTION("AVERAGE(QUERY(GOOGLEFINANCE(C126, ""price"", TODAY()-80, TODAY()), ""SELECT Col2 WHERE Col2 IS NOT NULL ORDER BY Col1 DESC LIMIT 50"", 0))"),"#N/A")</f>
        <v>#N/A</v>
      </c>
      <c r="R126" s="24" t="str">
        <f>IFERROR(__xludf.DUMMYFUNCTION("IFERROR(
  LET(
    data, QUERY(GOOGLEFINANCE(C126,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GOOGLEFINANCE(C126, ""price"")) * 100,
    IF(calc=0, G126, calc)
  ), 
G126)"),"#N/A")</f>
        <v>#N/A</v>
      </c>
      <c r="S126" s="8" t="s">
        <v>15</v>
      </c>
      <c r="T126" s="26" t="str">
        <f>IFERROR(__xludf.DUMMYFUNCTION("IFERROR(TRANSPOSE(QUERY(IFERROR(SORT(GOOGLEFINANCE(C126, ""price"", WORKDAY(TODAY(), -40), TODAY()), 1, FALSE)), ""select Col2 where Col2 is not null limit 22 label Col2 ''"", 0)), """")"),"")</f>
        <v/>
      </c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8"/>
      <c r="AO126" s="28"/>
      <c r="AP126" s="29"/>
      <c r="AQ126" s="29" t="str">
        <f t="shared" ref="AQ126:BL126" si="129">T126/T$2</f>
        <v>#N/A</v>
      </c>
      <c r="AR126" s="29" t="str">
        <f t="shared" si="129"/>
        <v>#DIV/0!</v>
      </c>
      <c r="AS126" s="29" t="str">
        <f t="shared" si="129"/>
        <v>#DIV/0!</v>
      </c>
      <c r="AT126" s="29" t="str">
        <f t="shared" si="129"/>
        <v>#DIV/0!</v>
      </c>
      <c r="AU126" s="29" t="str">
        <f t="shared" si="129"/>
        <v>#DIV/0!</v>
      </c>
      <c r="AV126" s="29" t="str">
        <f t="shared" si="129"/>
        <v>#DIV/0!</v>
      </c>
      <c r="AW126" s="29" t="str">
        <f t="shared" si="129"/>
        <v>#DIV/0!</v>
      </c>
      <c r="AX126" s="29" t="str">
        <f t="shared" si="129"/>
        <v>#DIV/0!</v>
      </c>
      <c r="AY126" s="29" t="str">
        <f t="shared" si="129"/>
        <v>#DIV/0!</v>
      </c>
      <c r="AZ126" s="29" t="str">
        <f t="shared" si="129"/>
        <v>#DIV/0!</v>
      </c>
      <c r="BA126" s="29" t="str">
        <f t="shared" si="129"/>
        <v>#DIV/0!</v>
      </c>
      <c r="BB126" s="29" t="str">
        <f t="shared" si="129"/>
        <v>#DIV/0!</v>
      </c>
      <c r="BC126" s="29" t="str">
        <f t="shared" si="129"/>
        <v>#DIV/0!</v>
      </c>
      <c r="BD126" s="29" t="str">
        <f t="shared" si="129"/>
        <v>#DIV/0!</v>
      </c>
      <c r="BE126" s="29" t="str">
        <f t="shared" si="129"/>
        <v>#DIV/0!</v>
      </c>
      <c r="BF126" s="29" t="str">
        <f t="shared" si="129"/>
        <v>#DIV/0!</v>
      </c>
      <c r="BG126" s="29" t="str">
        <f t="shared" si="129"/>
        <v>#DIV/0!</v>
      </c>
      <c r="BH126" s="29" t="str">
        <f t="shared" si="129"/>
        <v>#DIV/0!</v>
      </c>
      <c r="BI126" s="29" t="str">
        <f t="shared" si="129"/>
        <v>#DIV/0!</v>
      </c>
      <c r="BJ126" s="29" t="str">
        <f t="shared" si="129"/>
        <v>#DIV/0!</v>
      </c>
      <c r="BK126" s="29" t="str">
        <f t="shared" si="129"/>
        <v>#DIV/0!</v>
      </c>
      <c r="BL126" s="29" t="str">
        <f t="shared" si="129"/>
        <v>#DIV/0!</v>
      </c>
      <c r="BM126" s="29" t="str">
        <f t="shared" si="3"/>
        <v>#DIV/0!</v>
      </c>
    </row>
    <row r="127">
      <c r="A127" s="16" t="str">
        <f>IFERROR(__xludf.DUMMYFUNCTION("IFERROR(SPARKLINE(SORT(MAP(TRANSPOSE(AQ127:BL127), LAMBDA(val, IF(ISNUMBER(val), PERCENTRANK(AQ127:BL127, val)+0.01, 0))), SEQUENCE(COLUMNS(AQ127:BL127)), FALSE), {""charttype"",""column""; ""color"",""chartreuse""; ""ymin"", 0; ""ymax"", 1.01; ""highcolo"&amp;"r"", ""darkgreen""; ""lowcolor"", ""red""}), """")"),"")</f>
        <v/>
      </c>
      <c r="B127" s="17" t="str">
        <f t="shared" si="4"/>
        <v/>
      </c>
      <c r="C127" s="1" t="s">
        <v>1316</v>
      </c>
      <c r="D127" s="30" t="str">
        <f>IFERROR(__xludf.DUMMYFUNCTION("IFERROR(GOOGLEFINANCE(C127, ""NAME""))"),"RXO Inc")</f>
        <v>RXO Inc</v>
      </c>
      <c r="E127" s="30" t="s">
        <v>1317</v>
      </c>
      <c r="F127" s="33" t="str">
        <f>IFERROR(__xludf.DUMMYFUNCTION("( (GOOGLEFINANCE(C127, ""price"") - Q127) / Q127 ) / (R127 / 100)"),"Loading...")</f>
        <v>Loading...</v>
      </c>
      <c r="G127" s="20" t="str">
        <f>IFERROR(__xludf.DUMMYFUNCTION("AVERAGE(ARRAYFORMULA(100 * (QUERY(GOOGLEFINANCE(C127, ""high"", TODAY()-40, TODAY()), ""SELECT Col2 WHERE Col2 IS NOT NULL ORDER BY Col1 DESC LIMIT 20"", 0) / QUERY(GOOGLEFINANCE(C127, ""low"", TODAY()-40, TODAY()), ""SELECT Col2 WHERE Col2 IS NOT NULL OR"&amp;"DER BY Col1 DESC LIMIT 20"", 0) - 1)))"),"#N/A")</f>
        <v>#N/A</v>
      </c>
      <c r="H127" s="35" t="str">
        <f t="shared" si="6"/>
        <v/>
      </c>
      <c r="I127" s="35" t="str">
        <f t="shared" si="7"/>
        <v/>
      </c>
      <c r="J127" s="37" t="str">
        <f>IFERROR(__xludf.DUMMYFUNCTION("IFERROR(
  IF(C127="""",, 
    IFERROR(
      GOOGLEFINANCE(C127, ""price"") * GOOGLEFINANCE(C127, ""volumeavg""), 
      GOOGLEFINANCE(C127, ""price"") * AVERAGE(QUERY(GOOGLEFINANCE(C127, ""volume"", TODAY()-40, TODAY()), ""SELECT Col2 WHERE Col2 IS NOT "&amp;"NULL ORDER BY Col1 DESC LIMIT 20"", 0))
    )
  ), 
"""")"),"")</f>
        <v/>
      </c>
      <c r="K127" s="21" t="str">
        <f>IFERROR(__xludf.DUMMYFUNCTION("IFERROR(GOOGLEFINANCE(C127, ""changepct"") / 100, """")"),"")</f>
        <v/>
      </c>
      <c r="L127" s="21" t="str">
        <f>IFERROR(__xludf.DUMMYFUNCTION("IFERROR((GOOGLEFINANCE(C127, ""price"") / INDEX(GOOGLEFINANCE(C127, ""price"", TODAY()-7, TODAY()), 2, 2)) - 1, """")"),"")</f>
        <v/>
      </c>
      <c r="M127" s="21" t="str">
        <f>IFERROR(__xludf.DUMMYFUNCTION("IFERROR((GOOGLEFINANCE(C127, ""price"") / INDEX(GOOGLEFINANCE(C127, ""price"", EDATE(TODAY(), -1), TODAY()), 2, 2)) - 1, """")"),"")</f>
        <v/>
      </c>
      <c r="N127" s="21" t="str">
        <f>IFERROR(__xludf.DUMMYFUNCTION("IFERROR((GOOGLEFINANCE(C127, ""price"") / INDEX(GOOGLEFINANCE(C127, ""price"", EDATE(TODAY(), -3), TODAY()), 2, 2)) - 1, """")"),"")</f>
        <v/>
      </c>
      <c r="O127" s="21" t="str">
        <f>IFERROR(__xludf.DUMMYFUNCTION("IFERROR((GOOGLEFINANCE(C127, ""price"") / INDEX(GOOGLEFINANCE(C127, ""price"", EDATE(TODAY(), -6), TODAY()), 2, 2)) - 1, """")"),"")</f>
        <v/>
      </c>
      <c r="P127" s="21" t="str">
        <f>IFERROR(__xludf.DUMMYFUNCTION("IFERROR((GOOGLEFINANCE(C127, ""price"") / INDEX(GOOGLEFINANCE(C127, ""price"", EDATE(TODAY(), -12), TODAY()), 2, 2)) - 1, """")"),"")</f>
        <v/>
      </c>
      <c r="Q127" s="6" t="str">
        <f>IFERROR(__xludf.DUMMYFUNCTION("AVERAGE(QUERY(GOOGLEFINANCE(C127, ""price"", TODAY()-80, TODAY()), ""SELECT Col2 WHERE Col2 IS NOT NULL ORDER BY Col1 DESC LIMIT 50"", 0))"),"#N/A")</f>
        <v>#N/A</v>
      </c>
      <c r="R127" s="24" t="str">
        <f>IFERROR(__xludf.DUMMYFUNCTION("IFERROR(
  LET(
    data, QUERY(GOOGLEFINANCE(C127,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GOOGLEFINANCE(C127, ""price"")) * 100,
    IF(calc=0, G127, calc)
  ), 
G127)"),"#N/A")</f>
        <v>#N/A</v>
      </c>
      <c r="S127" s="8" t="s">
        <v>15</v>
      </c>
      <c r="T127" s="26" t="str">
        <f>IFERROR(__xludf.DUMMYFUNCTION("IFERROR(TRANSPOSE(QUERY(IFERROR(SORT(GOOGLEFINANCE(C127, ""price"", WORKDAY(TODAY(), -40), TODAY()), 1, FALSE)), ""select Col2 where Col2 is not null limit 22 label Col2 ''"", 0)), """")"),"")</f>
        <v/>
      </c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8"/>
      <c r="AO127" s="28"/>
      <c r="AP127" s="29"/>
      <c r="AQ127" s="29" t="str">
        <f t="shared" ref="AQ127:BL127" si="130">T127/T$2</f>
        <v>#N/A</v>
      </c>
      <c r="AR127" s="29" t="str">
        <f t="shared" si="130"/>
        <v>#DIV/0!</v>
      </c>
      <c r="AS127" s="29" t="str">
        <f t="shared" si="130"/>
        <v>#DIV/0!</v>
      </c>
      <c r="AT127" s="29" t="str">
        <f t="shared" si="130"/>
        <v>#DIV/0!</v>
      </c>
      <c r="AU127" s="29" t="str">
        <f t="shared" si="130"/>
        <v>#DIV/0!</v>
      </c>
      <c r="AV127" s="29" t="str">
        <f t="shared" si="130"/>
        <v>#DIV/0!</v>
      </c>
      <c r="AW127" s="29" t="str">
        <f t="shared" si="130"/>
        <v>#DIV/0!</v>
      </c>
      <c r="AX127" s="29" t="str">
        <f t="shared" si="130"/>
        <v>#DIV/0!</v>
      </c>
      <c r="AY127" s="29" t="str">
        <f t="shared" si="130"/>
        <v>#DIV/0!</v>
      </c>
      <c r="AZ127" s="29" t="str">
        <f t="shared" si="130"/>
        <v>#DIV/0!</v>
      </c>
      <c r="BA127" s="29" t="str">
        <f t="shared" si="130"/>
        <v>#DIV/0!</v>
      </c>
      <c r="BB127" s="29" t="str">
        <f t="shared" si="130"/>
        <v>#DIV/0!</v>
      </c>
      <c r="BC127" s="29" t="str">
        <f t="shared" si="130"/>
        <v>#DIV/0!</v>
      </c>
      <c r="BD127" s="29" t="str">
        <f t="shared" si="130"/>
        <v>#DIV/0!</v>
      </c>
      <c r="BE127" s="29" t="str">
        <f t="shared" si="130"/>
        <v>#DIV/0!</v>
      </c>
      <c r="BF127" s="29" t="str">
        <f t="shared" si="130"/>
        <v>#DIV/0!</v>
      </c>
      <c r="BG127" s="29" t="str">
        <f t="shared" si="130"/>
        <v>#DIV/0!</v>
      </c>
      <c r="BH127" s="29" t="str">
        <f t="shared" si="130"/>
        <v>#DIV/0!</v>
      </c>
      <c r="BI127" s="29" t="str">
        <f t="shared" si="130"/>
        <v>#DIV/0!</v>
      </c>
      <c r="BJ127" s="29" t="str">
        <f t="shared" si="130"/>
        <v>#DIV/0!</v>
      </c>
      <c r="BK127" s="29" t="str">
        <f t="shared" si="130"/>
        <v>#DIV/0!</v>
      </c>
      <c r="BL127" s="29" t="str">
        <f t="shared" si="130"/>
        <v>#DIV/0!</v>
      </c>
      <c r="BM127" s="29" t="str">
        <f t="shared" si="3"/>
        <v>#DIV/0!</v>
      </c>
    </row>
    <row r="128">
      <c r="A128" s="16" t="str">
        <f>IFERROR(__xludf.DUMMYFUNCTION("IFERROR(SPARKLINE(SORT(MAP(TRANSPOSE(AQ128:BL128), LAMBDA(val, IF(ISNUMBER(val), PERCENTRANK(AQ128:BL128, val)+0.01, 0))), SEQUENCE(COLUMNS(AQ128:BL128)), FALSE), {""charttype"",""column""; ""color"",""chartreuse""; ""ymin"", 0; ""ymax"", 1.01; ""highcolo"&amp;"r"", ""darkgreen""; ""lowcolor"", ""red""}), """")"),"")</f>
        <v/>
      </c>
      <c r="B128" s="17" t="str">
        <f t="shared" si="4"/>
        <v/>
      </c>
      <c r="C128" s="1" t="s">
        <v>1321</v>
      </c>
      <c r="D128" s="30" t="str">
        <f>IFERROR(__xludf.DUMMYFUNCTION("IFERROR(GOOGLEFINANCE(C128, ""NAME""))"),"Bowman Consulting Group Ltd")</f>
        <v>Bowman Consulting Group Ltd</v>
      </c>
      <c r="E128" s="30" t="s">
        <v>856</v>
      </c>
      <c r="F128" s="33" t="str">
        <f>IFERROR(__xludf.DUMMYFUNCTION("( (GOOGLEFINANCE(C128, ""price"") - Q128) / Q128 ) / (R128 / 100)"),"Loading...")</f>
        <v>Loading...</v>
      </c>
      <c r="G128" s="20" t="str">
        <f>IFERROR(__xludf.DUMMYFUNCTION("AVERAGE(ARRAYFORMULA(100 * (QUERY(GOOGLEFINANCE(C128, ""high"", TODAY()-40, TODAY()), ""SELECT Col2 WHERE Col2 IS NOT NULL ORDER BY Col1 DESC LIMIT 20"", 0) / QUERY(GOOGLEFINANCE(C128, ""low"", TODAY()-40, TODAY()), ""SELECT Col2 WHERE Col2 IS NOT NULL OR"&amp;"DER BY Col1 DESC LIMIT 20"", 0) - 1)))"),"#N/A")</f>
        <v>#N/A</v>
      </c>
      <c r="H128" s="35" t="str">
        <f t="shared" si="6"/>
        <v/>
      </c>
      <c r="I128" s="35" t="str">
        <f t="shared" si="7"/>
        <v/>
      </c>
      <c r="J128" s="37" t="str">
        <f>IFERROR(__xludf.DUMMYFUNCTION("IFERROR(
  IF(C128="""",, 
    IFERROR(
      GOOGLEFINANCE(C128, ""price"") * GOOGLEFINANCE(C128, ""volumeavg""), 
      GOOGLEFINANCE(C128, ""price"") * AVERAGE(QUERY(GOOGLEFINANCE(C128, ""volume"", TODAY()-40, TODAY()), ""SELECT Col2 WHERE Col2 IS NOT "&amp;"NULL ORDER BY Col1 DESC LIMIT 20"", 0))
    )
  ), 
"""")"),"")</f>
        <v/>
      </c>
      <c r="K128" s="21" t="str">
        <f>IFERROR(__xludf.DUMMYFUNCTION("IFERROR(GOOGLEFINANCE(C128, ""changepct"") / 100, """")"),"")</f>
        <v/>
      </c>
      <c r="L128" s="21" t="str">
        <f>IFERROR(__xludf.DUMMYFUNCTION("IFERROR((GOOGLEFINANCE(C128, ""price"") / INDEX(GOOGLEFINANCE(C128, ""price"", TODAY()-7, TODAY()), 2, 2)) - 1, """")"),"")</f>
        <v/>
      </c>
      <c r="M128" s="21" t="str">
        <f>IFERROR(__xludf.DUMMYFUNCTION("IFERROR((GOOGLEFINANCE(C128, ""price"") / INDEX(GOOGLEFINANCE(C128, ""price"", EDATE(TODAY(), -1), TODAY()), 2, 2)) - 1, """")"),"")</f>
        <v/>
      </c>
      <c r="N128" s="21" t="str">
        <f>IFERROR(__xludf.DUMMYFUNCTION("IFERROR((GOOGLEFINANCE(C128, ""price"") / INDEX(GOOGLEFINANCE(C128, ""price"", EDATE(TODAY(), -3), TODAY()), 2, 2)) - 1, """")"),"")</f>
        <v/>
      </c>
      <c r="O128" s="21" t="str">
        <f>IFERROR(__xludf.DUMMYFUNCTION("IFERROR((GOOGLEFINANCE(C128, ""price"") / INDEX(GOOGLEFINANCE(C128, ""price"", EDATE(TODAY(), -6), TODAY()), 2, 2)) - 1, """")"),"")</f>
        <v/>
      </c>
      <c r="P128" s="21" t="str">
        <f>IFERROR(__xludf.DUMMYFUNCTION("IFERROR((GOOGLEFINANCE(C128, ""price"") / INDEX(GOOGLEFINANCE(C128, ""price"", EDATE(TODAY(), -12), TODAY()), 2, 2)) - 1, """")"),"")</f>
        <v/>
      </c>
      <c r="Q128" s="6" t="str">
        <f>IFERROR(__xludf.DUMMYFUNCTION("AVERAGE(QUERY(GOOGLEFINANCE(C128, ""price"", TODAY()-80, TODAY()), ""SELECT Col2 WHERE Col2 IS NOT NULL ORDER BY Col1 DESC LIMIT 50"", 0))"),"#N/A")</f>
        <v>#N/A</v>
      </c>
      <c r="R128" s="24" t="str">
        <f>IFERROR(__xludf.DUMMYFUNCTION("IFERROR(
  LET(
    data, QUERY(GOOGLEFINANCE(C128,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GOOGLEFINANCE(C128, ""price"")) * 100,
    IF(calc=0, G128, calc)
  ), 
G128)"),"#N/A")</f>
        <v>#N/A</v>
      </c>
      <c r="S128" s="8" t="s">
        <v>15</v>
      </c>
      <c r="T128" s="26" t="str">
        <f>IFERROR(__xludf.DUMMYFUNCTION("IFERROR(TRANSPOSE(QUERY(IFERROR(SORT(GOOGLEFINANCE(C128, ""price"", WORKDAY(TODAY(), -40), TODAY()), 1, FALSE)), ""select Col2 where Col2 is not null limit 22 label Col2 ''"", 0)), """")"),"")</f>
        <v/>
      </c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8"/>
      <c r="AO128" s="28"/>
      <c r="AP128" s="29"/>
      <c r="AQ128" s="29" t="str">
        <f t="shared" ref="AQ128:BL128" si="131">T128/T$2</f>
        <v>#N/A</v>
      </c>
      <c r="AR128" s="29" t="str">
        <f t="shared" si="131"/>
        <v>#DIV/0!</v>
      </c>
      <c r="AS128" s="29" t="str">
        <f t="shared" si="131"/>
        <v>#DIV/0!</v>
      </c>
      <c r="AT128" s="29" t="str">
        <f t="shared" si="131"/>
        <v>#DIV/0!</v>
      </c>
      <c r="AU128" s="29" t="str">
        <f t="shared" si="131"/>
        <v>#DIV/0!</v>
      </c>
      <c r="AV128" s="29" t="str">
        <f t="shared" si="131"/>
        <v>#DIV/0!</v>
      </c>
      <c r="AW128" s="29" t="str">
        <f t="shared" si="131"/>
        <v>#DIV/0!</v>
      </c>
      <c r="AX128" s="29" t="str">
        <f t="shared" si="131"/>
        <v>#DIV/0!</v>
      </c>
      <c r="AY128" s="29" t="str">
        <f t="shared" si="131"/>
        <v>#DIV/0!</v>
      </c>
      <c r="AZ128" s="29" t="str">
        <f t="shared" si="131"/>
        <v>#DIV/0!</v>
      </c>
      <c r="BA128" s="29" t="str">
        <f t="shared" si="131"/>
        <v>#DIV/0!</v>
      </c>
      <c r="BB128" s="29" t="str">
        <f t="shared" si="131"/>
        <v>#DIV/0!</v>
      </c>
      <c r="BC128" s="29" t="str">
        <f t="shared" si="131"/>
        <v>#DIV/0!</v>
      </c>
      <c r="BD128" s="29" t="str">
        <f t="shared" si="131"/>
        <v>#DIV/0!</v>
      </c>
      <c r="BE128" s="29" t="str">
        <f t="shared" si="131"/>
        <v>#DIV/0!</v>
      </c>
      <c r="BF128" s="29" t="str">
        <f t="shared" si="131"/>
        <v>#DIV/0!</v>
      </c>
      <c r="BG128" s="29" t="str">
        <f t="shared" si="131"/>
        <v>#DIV/0!</v>
      </c>
      <c r="BH128" s="29" t="str">
        <f t="shared" si="131"/>
        <v>#DIV/0!</v>
      </c>
      <c r="BI128" s="29" t="str">
        <f t="shared" si="131"/>
        <v>#DIV/0!</v>
      </c>
      <c r="BJ128" s="29" t="str">
        <f t="shared" si="131"/>
        <v>#DIV/0!</v>
      </c>
      <c r="BK128" s="29" t="str">
        <f t="shared" si="131"/>
        <v>#DIV/0!</v>
      </c>
      <c r="BL128" s="29" t="str">
        <f t="shared" si="131"/>
        <v>#DIV/0!</v>
      </c>
      <c r="BM128" s="29" t="str">
        <f t="shared" si="3"/>
        <v>#DIV/0!</v>
      </c>
    </row>
    <row r="129">
      <c r="A129" s="16" t="str">
        <f>IFERROR(__xludf.DUMMYFUNCTION("IFERROR(SPARKLINE(SORT(MAP(TRANSPOSE(AQ129:BL129), LAMBDA(val, IF(ISNUMBER(val), PERCENTRANK(AQ129:BL129, val)+0.01, 0))), SEQUENCE(COLUMNS(AQ129:BL129)), FALSE), {""charttype"",""column""; ""color"",""chartreuse""; ""ymin"", 0; ""ymax"", 1.01; ""highcolo"&amp;"r"", ""darkgreen""; ""lowcolor"", ""red""}), """")"),"")</f>
        <v/>
      </c>
      <c r="B129" s="17" t="str">
        <f t="shared" si="4"/>
        <v/>
      </c>
      <c r="C129" s="1" t="s">
        <v>1325</v>
      </c>
      <c r="D129" s="30" t="str">
        <f>IFERROR(__xludf.DUMMYFUNCTION("IFERROR(GOOGLEFINANCE(C129, ""NAME""))"),"Richtech Robotics Inc")</f>
        <v>Richtech Robotics Inc</v>
      </c>
      <c r="E129" s="30" t="s">
        <v>893</v>
      </c>
      <c r="F129" s="33" t="str">
        <f>IFERROR(__xludf.DUMMYFUNCTION("( (GOOGLEFINANCE(C129, ""price"") - Q129) / Q129 ) / (R129 / 100)"),"Loading...")</f>
        <v>Loading...</v>
      </c>
      <c r="G129" s="20" t="str">
        <f>IFERROR(__xludf.DUMMYFUNCTION("AVERAGE(ARRAYFORMULA(100 * (QUERY(GOOGLEFINANCE(C129, ""high"", TODAY()-40, TODAY()), ""SELECT Col2 WHERE Col2 IS NOT NULL ORDER BY Col1 DESC LIMIT 20"", 0) / QUERY(GOOGLEFINANCE(C129, ""low"", TODAY()-40, TODAY()), ""SELECT Col2 WHERE Col2 IS NOT NULL OR"&amp;"DER BY Col1 DESC LIMIT 20"", 0) - 1)))"),"#N/A")</f>
        <v>#N/A</v>
      </c>
      <c r="H129" s="35" t="str">
        <f t="shared" si="6"/>
        <v/>
      </c>
      <c r="I129" s="35" t="str">
        <f t="shared" si="7"/>
        <v/>
      </c>
      <c r="J129" s="37" t="str">
        <f>IFERROR(__xludf.DUMMYFUNCTION("IFERROR(
  IF(C129="""",, 
    IFERROR(
      GOOGLEFINANCE(C129, ""price"") * GOOGLEFINANCE(C129, ""volumeavg""), 
      GOOGLEFINANCE(C129, ""price"") * AVERAGE(QUERY(GOOGLEFINANCE(C129, ""volume"", TODAY()-40, TODAY()), ""SELECT Col2 WHERE Col2 IS NOT "&amp;"NULL ORDER BY Col1 DESC LIMIT 20"", 0))
    )
  ), 
"""")"),"")</f>
        <v/>
      </c>
      <c r="K129" s="21" t="str">
        <f>IFERROR(__xludf.DUMMYFUNCTION("IFERROR(GOOGLEFINANCE(C129, ""changepct"") / 100, """")"),"")</f>
        <v/>
      </c>
      <c r="L129" s="21" t="str">
        <f>IFERROR(__xludf.DUMMYFUNCTION("IFERROR((GOOGLEFINANCE(C129, ""price"") / INDEX(GOOGLEFINANCE(C129, ""price"", TODAY()-7, TODAY()), 2, 2)) - 1, """")"),"")</f>
        <v/>
      </c>
      <c r="M129" s="21" t="str">
        <f>IFERROR(__xludf.DUMMYFUNCTION("IFERROR((GOOGLEFINANCE(C129, ""price"") / INDEX(GOOGLEFINANCE(C129, ""price"", EDATE(TODAY(), -1), TODAY()), 2, 2)) - 1, """")"),"")</f>
        <v/>
      </c>
      <c r="N129" s="21" t="str">
        <f>IFERROR(__xludf.DUMMYFUNCTION("IFERROR((GOOGLEFINANCE(C129, ""price"") / INDEX(GOOGLEFINANCE(C129, ""price"", EDATE(TODAY(), -3), TODAY()), 2, 2)) - 1, """")"),"")</f>
        <v/>
      </c>
      <c r="O129" s="21" t="str">
        <f>IFERROR(__xludf.DUMMYFUNCTION("IFERROR((GOOGLEFINANCE(C129, ""price"") / INDEX(GOOGLEFINANCE(C129, ""price"", EDATE(TODAY(), -6), TODAY()), 2, 2)) - 1, """")"),"")</f>
        <v/>
      </c>
      <c r="P129" s="21" t="str">
        <f>IFERROR(__xludf.DUMMYFUNCTION("IFERROR((GOOGLEFINANCE(C129, ""price"") / INDEX(GOOGLEFINANCE(C129, ""price"", EDATE(TODAY(), -12), TODAY()), 2, 2)) - 1, """")"),"")</f>
        <v/>
      </c>
      <c r="Q129" s="6" t="str">
        <f>IFERROR(__xludf.DUMMYFUNCTION("AVERAGE(QUERY(GOOGLEFINANCE(C129, ""price"", TODAY()-80, TODAY()), ""SELECT Col2 WHERE Col2 IS NOT NULL ORDER BY Col1 DESC LIMIT 50"", 0))"),"#N/A")</f>
        <v>#N/A</v>
      </c>
      <c r="R129" s="24" t="str">
        <f>IFERROR(__xludf.DUMMYFUNCTION("IFERROR(
  LET(
    data, QUERY(GOOGLEFINANCE(C129,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GOOGLEFINANCE(C129, ""price"")) * 100,
    IF(calc=0, G129, calc)
  ), 
G129)"),"#N/A")</f>
        <v>#N/A</v>
      </c>
      <c r="S129" s="8" t="s">
        <v>15</v>
      </c>
      <c r="T129" s="26" t="str">
        <f>IFERROR(__xludf.DUMMYFUNCTION("IFERROR(TRANSPOSE(QUERY(IFERROR(SORT(GOOGLEFINANCE(C129, ""price"", WORKDAY(TODAY(), -40), TODAY()), 1, FALSE)), ""select Col2 where Col2 is not null limit 22 label Col2 ''"", 0)), """")"),"")</f>
        <v/>
      </c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8"/>
      <c r="AO129" s="28"/>
      <c r="AP129" s="29"/>
      <c r="AQ129" s="29" t="str">
        <f t="shared" ref="AQ129:BL129" si="132">T129/T$2</f>
        <v>#N/A</v>
      </c>
      <c r="AR129" s="29" t="str">
        <f t="shared" si="132"/>
        <v>#DIV/0!</v>
      </c>
      <c r="AS129" s="29" t="str">
        <f t="shared" si="132"/>
        <v>#DIV/0!</v>
      </c>
      <c r="AT129" s="29" t="str">
        <f t="shared" si="132"/>
        <v>#DIV/0!</v>
      </c>
      <c r="AU129" s="29" t="str">
        <f t="shared" si="132"/>
        <v>#DIV/0!</v>
      </c>
      <c r="AV129" s="29" t="str">
        <f t="shared" si="132"/>
        <v>#DIV/0!</v>
      </c>
      <c r="AW129" s="29" t="str">
        <f t="shared" si="132"/>
        <v>#DIV/0!</v>
      </c>
      <c r="AX129" s="29" t="str">
        <f t="shared" si="132"/>
        <v>#DIV/0!</v>
      </c>
      <c r="AY129" s="29" t="str">
        <f t="shared" si="132"/>
        <v>#DIV/0!</v>
      </c>
      <c r="AZ129" s="29" t="str">
        <f t="shared" si="132"/>
        <v>#DIV/0!</v>
      </c>
      <c r="BA129" s="29" t="str">
        <f t="shared" si="132"/>
        <v>#DIV/0!</v>
      </c>
      <c r="BB129" s="29" t="str">
        <f t="shared" si="132"/>
        <v>#DIV/0!</v>
      </c>
      <c r="BC129" s="29" t="str">
        <f t="shared" si="132"/>
        <v>#DIV/0!</v>
      </c>
      <c r="BD129" s="29" t="str">
        <f t="shared" si="132"/>
        <v>#DIV/0!</v>
      </c>
      <c r="BE129" s="29" t="str">
        <f t="shared" si="132"/>
        <v>#DIV/0!</v>
      </c>
      <c r="BF129" s="29" t="str">
        <f t="shared" si="132"/>
        <v>#DIV/0!</v>
      </c>
      <c r="BG129" s="29" t="str">
        <f t="shared" si="132"/>
        <v>#DIV/0!</v>
      </c>
      <c r="BH129" s="29" t="str">
        <f t="shared" si="132"/>
        <v>#DIV/0!</v>
      </c>
      <c r="BI129" s="29" t="str">
        <f t="shared" si="132"/>
        <v>#DIV/0!</v>
      </c>
      <c r="BJ129" s="29" t="str">
        <f t="shared" si="132"/>
        <v>#DIV/0!</v>
      </c>
      <c r="BK129" s="29" t="str">
        <f t="shared" si="132"/>
        <v>#DIV/0!</v>
      </c>
      <c r="BL129" s="29" t="str">
        <f t="shared" si="132"/>
        <v>#DIV/0!</v>
      </c>
      <c r="BM129" s="29" t="str">
        <f t="shared" si="3"/>
        <v>#DIV/0!</v>
      </c>
    </row>
    <row r="130">
      <c r="A130" s="16" t="str">
        <f>IFERROR(__xludf.DUMMYFUNCTION("IFERROR(SPARKLINE(SORT(MAP(TRANSPOSE(AQ130:BL130), LAMBDA(val, IF(ISNUMBER(val), PERCENTRANK(AQ130:BL130, val)+0.01, 0))), SEQUENCE(COLUMNS(AQ130:BL130)), FALSE), {""charttype"",""column""; ""color"",""chartreuse""; ""ymin"", 0; ""ymax"", 1.01; ""highcolo"&amp;"r"", ""darkgreen""; ""lowcolor"", ""red""}), """")"),"")</f>
        <v/>
      </c>
      <c r="B130" s="17" t="str">
        <f t="shared" si="4"/>
        <v/>
      </c>
      <c r="C130" s="1" t="s">
        <v>1328</v>
      </c>
      <c r="D130" s="30" t="str">
        <f>IFERROR(__xludf.DUMMYFUNCTION("IFERROR(GOOGLEFINANCE(C130, ""NAME""))"),"Compass Diversified Holdings")</f>
        <v>Compass Diversified Holdings</v>
      </c>
      <c r="E130" s="30" t="s">
        <v>843</v>
      </c>
      <c r="F130" s="33" t="str">
        <f>IFERROR(__xludf.DUMMYFUNCTION("( (GOOGLEFINANCE(C130, ""price"") - Q130) / Q130 ) / (R130 / 100)"),"Loading...")</f>
        <v>Loading...</v>
      </c>
      <c r="G130" s="20" t="str">
        <f>IFERROR(__xludf.DUMMYFUNCTION("AVERAGE(ARRAYFORMULA(100 * (QUERY(GOOGLEFINANCE(C130, ""high"", TODAY()-40, TODAY()), ""SELECT Col2 WHERE Col2 IS NOT NULL ORDER BY Col1 DESC LIMIT 20"", 0) / QUERY(GOOGLEFINANCE(C130, ""low"", TODAY()-40, TODAY()), ""SELECT Col2 WHERE Col2 IS NOT NULL OR"&amp;"DER BY Col1 DESC LIMIT 20"", 0) - 1)))"),"#N/A")</f>
        <v>#N/A</v>
      </c>
      <c r="H130" s="35" t="str">
        <f t="shared" si="6"/>
        <v/>
      </c>
      <c r="I130" s="35" t="str">
        <f t="shared" si="7"/>
        <v/>
      </c>
      <c r="J130" s="37" t="str">
        <f>IFERROR(__xludf.DUMMYFUNCTION("IFERROR(
  IF(C130="""",, 
    IFERROR(
      GOOGLEFINANCE(C130, ""price"") * GOOGLEFINANCE(C130, ""volumeavg""), 
      GOOGLEFINANCE(C130, ""price"") * AVERAGE(QUERY(GOOGLEFINANCE(C130, ""volume"", TODAY()-40, TODAY()), ""SELECT Col2 WHERE Col2 IS NOT "&amp;"NULL ORDER BY Col1 DESC LIMIT 20"", 0))
    )
  ), 
"""")"),"")</f>
        <v/>
      </c>
      <c r="K130" s="21" t="str">
        <f>IFERROR(__xludf.DUMMYFUNCTION("IFERROR(GOOGLEFINANCE(C130, ""changepct"") / 100, """")"),"")</f>
        <v/>
      </c>
      <c r="L130" s="21" t="str">
        <f>IFERROR(__xludf.DUMMYFUNCTION("IFERROR((GOOGLEFINANCE(C130, ""price"") / INDEX(GOOGLEFINANCE(C130, ""price"", TODAY()-7, TODAY()), 2, 2)) - 1, """")"),"")</f>
        <v/>
      </c>
      <c r="M130" s="21" t="str">
        <f>IFERROR(__xludf.DUMMYFUNCTION("IFERROR((GOOGLEFINANCE(C130, ""price"") / INDEX(GOOGLEFINANCE(C130, ""price"", EDATE(TODAY(), -1), TODAY()), 2, 2)) - 1, """")"),"")</f>
        <v/>
      </c>
      <c r="N130" s="21" t="str">
        <f>IFERROR(__xludf.DUMMYFUNCTION("IFERROR((GOOGLEFINANCE(C130, ""price"") / INDEX(GOOGLEFINANCE(C130, ""price"", EDATE(TODAY(), -3), TODAY()), 2, 2)) - 1, """")"),"")</f>
        <v/>
      </c>
      <c r="O130" s="21" t="str">
        <f>IFERROR(__xludf.DUMMYFUNCTION("IFERROR((GOOGLEFINANCE(C130, ""price"") / INDEX(GOOGLEFINANCE(C130, ""price"", EDATE(TODAY(), -6), TODAY()), 2, 2)) - 1, """")"),"")</f>
        <v/>
      </c>
      <c r="P130" s="21" t="str">
        <f>IFERROR(__xludf.DUMMYFUNCTION("IFERROR((GOOGLEFINANCE(C130, ""price"") / INDEX(GOOGLEFINANCE(C130, ""price"", EDATE(TODAY(), -12), TODAY()), 2, 2)) - 1, """")"),"")</f>
        <v/>
      </c>
      <c r="Q130" s="6" t="str">
        <f>IFERROR(__xludf.DUMMYFUNCTION("AVERAGE(QUERY(GOOGLEFINANCE(C130, ""price"", TODAY()-80, TODAY()), ""SELECT Col2 WHERE Col2 IS NOT NULL ORDER BY Col1 DESC LIMIT 50"", 0))"),"#N/A")</f>
        <v>#N/A</v>
      </c>
      <c r="R130" s="24" t="str">
        <f>IFERROR(__xludf.DUMMYFUNCTION("IFERROR(
  LET(
    data, QUERY(GOOGLEFINANCE(C130,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GOOGLEFINANCE(C130, ""price"")) * 100,
    IF(calc=0, G130, calc)
  ), 
G130)"),"#N/A")</f>
        <v>#N/A</v>
      </c>
      <c r="S130" s="8" t="s">
        <v>15</v>
      </c>
      <c r="T130" s="26" t="str">
        <f>IFERROR(__xludf.DUMMYFUNCTION("IFERROR(TRANSPOSE(QUERY(IFERROR(SORT(GOOGLEFINANCE(C130, ""price"", WORKDAY(TODAY(), -40), TODAY()), 1, FALSE)), ""select Col2 where Col2 is not null limit 22 label Col2 ''"", 0)), """")"),"")</f>
        <v/>
      </c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8"/>
      <c r="AO130" s="28"/>
      <c r="AP130" s="29"/>
      <c r="AQ130" s="29" t="str">
        <f t="shared" ref="AQ130:BL130" si="133">T130/T$2</f>
        <v>#N/A</v>
      </c>
      <c r="AR130" s="29" t="str">
        <f t="shared" si="133"/>
        <v>#DIV/0!</v>
      </c>
      <c r="AS130" s="29" t="str">
        <f t="shared" si="133"/>
        <v>#DIV/0!</v>
      </c>
      <c r="AT130" s="29" t="str">
        <f t="shared" si="133"/>
        <v>#DIV/0!</v>
      </c>
      <c r="AU130" s="29" t="str">
        <f t="shared" si="133"/>
        <v>#DIV/0!</v>
      </c>
      <c r="AV130" s="29" t="str">
        <f t="shared" si="133"/>
        <v>#DIV/0!</v>
      </c>
      <c r="AW130" s="29" t="str">
        <f t="shared" si="133"/>
        <v>#DIV/0!</v>
      </c>
      <c r="AX130" s="29" t="str">
        <f t="shared" si="133"/>
        <v>#DIV/0!</v>
      </c>
      <c r="AY130" s="29" t="str">
        <f t="shared" si="133"/>
        <v>#DIV/0!</v>
      </c>
      <c r="AZ130" s="29" t="str">
        <f t="shared" si="133"/>
        <v>#DIV/0!</v>
      </c>
      <c r="BA130" s="29" t="str">
        <f t="shared" si="133"/>
        <v>#DIV/0!</v>
      </c>
      <c r="BB130" s="29" t="str">
        <f t="shared" si="133"/>
        <v>#DIV/0!</v>
      </c>
      <c r="BC130" s="29" t="str">
        <f t="shared" si="133"/>
        <v>#DIV/0!</v>
      </c>
      <c r="BD130" s="29" t="str">
        <f t="shared" si="133"/>
        <v>#DIV/0!</v>
      </c>
      <c r="BE130" s="29" t="str">
        <f t="shared" si="133"/>
        <v>#DIV/0!</v>
      </c>
      <c r="BF130" s="29" t="str">
        <f t="shared" si="133"/>
        <v>#DIV/0!</v>
      </c>
      <c r="BG130" s="29" t="str">
        <f t="shared" si="133"/>
        <v>#DIV/0!</v>
      </c>
      <c r="BH130" s="29" t="str">
        <f t="shared" si="133"/>
        <v>#DIV/0!</v>
      </c>
      <c r="BI130" s="29" t="str">
        <f t="shared" si="133"/>
        <v>#DIV/0!</v>
      </c>
      <c r="BJ130" s="29" t="str">
        <f t="shared" si="133"/>
        <v>#DIV/0!</v>
      </c>
      <c r="BK130" s="29" t="str">
        <f t="shared" si="133"/>
        <v>#DIV/0!</v>
      </c>
      <c r="BL130" s="29" t="str">
        <f t="shared" si="133"/>
        <v>#DIV/0!</v>
      </c>
      <c r="BM130" s="29" t="str">
        <f t="shared" si="3"/>
        <v>#DIV/0!</v>
      </c>
    </row>
    <row r="131">
      <c r="A131" s="16" t="str">
        <f>IFERROR(__xludf.DUMMYFUNCTION("IFERROR(SPARKLINE(SORT(MAP(TRANSPOSE(AQ131:BL131), LAMBDA(val, IF(ISNUMBER(val), PERCENTRANK(AQ131:BL131, val)+0.01, 0))), SEQUENCE(COLUMNS(AQ131:BL131)), FALSE), {""charttype"",""column""; ""color"",""chartreuse""; ""ymin"", 0; ""ymax"", 1.01; ""highcolo"&amp;"r"", ""darkgreen""; ""lowcolor"", ""red""}), """")"),"")</f>
        <v/>
      </c>
      <c r="B131" s="17" t="str">
        <f t="shared" si="4"/>
        <v/>
      </c>
      <c r="C131" s="1" t="s">
        <v>1336</v>
      </c>
      <c r="D131" s="30" t="str">
        <f>IFERROR(__xludf.DUMMYFUNCTION("IFERROR(GOOGLEFINANCE(C131, ""NAME""))"),"Valmont Industries Inc")</f>
        <v>Valmont Industries Inc</v>
      </c>
      <c r="E131" s="30" t="s">
        <v>843</v>
      </c>
      <c r="F131" s="33" t="str">
        <f>IFERROR(__xludf.DUMMYFUNCTION("( (GOOGLEFINANCE(C131, ""price"") - Q131) / Q131 ) / (R131 / 100)"),"Loading...")</f>
        <v>Loading...</v>
      </c>
      <c r="G131" s="20" t="str">
        <f>IFERROR(__xludf.DUMMYFUNCTION("AVERAGE(ARRAYFORMULA(100 * (QUERY(GOOGLEFINANCE(C131, ""high"", TODAY()-40, TODAY()), ""SELECT Col2 WHERE Col2 IS NOT NULL ORDER BY Col1 DESC LIMIT 20"", 0) / QUERY(GOOGLEFINANCE(C131, ""low"", TODAY()-40, TODAY()), ""SELECT Col2 WHERE Col2 IS NOT NULL OR"&amp;"DER BY Col1 DESC LIMIT 20"", 0) - 1)))"),"#N/A")</f>
        <v>#N/A</v>
      </c>
      <c r="H131" s="35" t="str">
        <f t="shared" si="6"/>
        <v/>
      </c>
      <c r="I131" s="35" t="str">
        <f t="shared" si="7"/>
        <v/>
      </c>
      <c r="J131" s="37" t="str">
        <f>IFERROR(__xludf.DUMMYFUNCTION("IFERROR(
  IF(C131="""",, 
    IFERROR(
      GOOGLEFINANCE(C131, ""price"") * GOOGLEFINANCE(C131, ""volumeavg""), 
      GOOGLEFINANCE(C131, ""price"") * AVERAGE(QUERY(GOOGLEFINANCE(C131, ""volume"", TODAY()-40, TODAY()), ""SELECT Col2 WHERE Col2 IS NOT "&amp;"NULL ORDER BY Col1 DESC LIMIT 20"", 0))
    )
  ), 
"""")"),"")</f>
        <v/>
      </c>
      <c r="K131" s="21" t="str">
        <f>IFERROR(__xludf.DUMMYFUNCTION("IFERROR(GOOGLEFINANCE(C131, ""changepct"") / 100, """")"),"")</f>
        <v/>
      </c>
      <c r="L131" s="21" t="str">
        <f>IFERROR(__xludf.DUMMYFUNCTION("IFERROR((GOOGLEFINANCE(C131, ""price"") / INDEX(GOOGLEFINANCE(C131, ""price"", TODAY()-7, TODAY()), 2, 2)) - 1, """")"),"")</f>
        <v/>
      </c>
      <c r="M131" s="21" t="str">
        <f>IFERROR(__xludf.DUMMYFUNCTION("IFERROR((GOOGLEFINANCE(C131, ""price"") / INDEX(GOOGLEFINANCE(C131, ""price"", EDATE(TODAY(), -1), TODAY()), 2, 2)) - 1, """")"),"")</f>
        <v/>
      </c>
      <c r="N131" s="21" t="str">
        <f>IFERROR(__xludf.DUMMYFUNCTION("IFERROR((GOOGLEFINANCE(C131, ""price"") / INDEX(GOOGLEFINANCE(C131, ""price"", EDATE(TODAY(), -3), TODAY()), 2, 2)) - 1, """")"),"")</f>
        <v/>
      </c>
      <c r="O131" s="21" t="str">
        <f>IFERROR(__xludf.DUMMYFUNCTION("IFERROR((GOOGLEFINANCE(C131, ""price"") / INDEX(GOOGLEFINANCE(C131, ""price"", EDATE(TODAY(), -6), TODAY()), 2, 2)) - 1, """")"),"")</f>
        <v/>
      </c>
      <c r="P131" s="21" t="str">
        <f>IFERROR(__xludf.DUMMYFUNCTION("IFERROR((GOOGLEFINANCE(C131, ""price"") / INDEX(GOOGLEFINANCE(C131, ""price"", EDATE(TODAY(), -12), TODAY()), 2, 2)) - 1, """")"),"")</f>
        <v/>
      </c>
      <c r="Q131" s="6" t="str">
        <f>IFERROR(__xludf.DUMMYFUNCTION("AVERAGE(QUERY(GOOGLEFINANCE(C131, ""price"", TODAY()-80, TODAY()), ""SELECT Col2 WHERE Col2 IS NOT NULL ORDER BY Col1 DESC LIMIT 50"", 0))"),"#N/A")</f>
        <v>#N/A</v>
      </c>
      <c r="R131" s="24" t="str">
        <f>IFERROR(__xludf.DUMMYFUNCTION("IFERROR(
  LET(
    data, QUERY(GOOGLEFINANCE(C131,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GOOGLEFINANCE(C131, ""price"")) * 100,
    IF(calc=0, G131, calc)
  ), 
G131)"),"#N/A")</f>
        <v>#N/A</v>
      </c>
      <c r="S131" s="8" t="s">
        <v>15</v>
      </c>
      <c r="T131" s="26" t="str">
        <f>IFERROR(__xludf.DUMMYFUNCTION("IFERROR(TRANSPOSE(QUERY(IFERROR(SORT(GOOGLEFINANCE(C131, ""price"", WORKDAY(TODAY(), -40), TODAY()), 1, FALSE)), ""select Col2 where Col2 is not null limit 22 label Col2 ''"", 0)), """")"),"")</f>
        <v/>
      </c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8"/>
      <c r="AO131" s="28"/>
      <c r="AP131" s="29"/>
      <c r="AQ131" s="29" t="str">
        <f t="shared" ref="AQ131:BL131" si="134">T131/T$2</f>
        <v>#N/A</v>
      </c>
      <c r="AR131" s="29" t="str">
        <f t="shared" si="134"/>
        <v>#DIV/0!</v>
      </c>
      <c r="AS131" s="29" t="str">
        <f t="shared" si="134"/>
        <v>#DIV/0!</v>
      </c>
      <c r="AT131" s="29" t="str">
        <f t="shared" si="134"/>
        <v>#DIV/0!</v>
      </c>
      <c r="AU131" s="29" t="str">
        <f t="shared" si="134"/>
        <v>#DIV/0!</v>
      </c>
      <c r="AV131" s="29" t="str">
        <f t="shared" si="134"/>
        <v>#DIV/0!</v>
      </c>
      <c r="AW131" s="29" t="str">
        <f t="shared" si="134"/>
        <v>#DIV/0!</v>
      </c>
      <c r="AX131" s="29" t="str">
        <f t="shared" si="134"/>
        <v>#DIV/0!</v>
      </c>
      <c r="AY131" s="29" t="str">
        <f t="shared" si="134"/>
        <v>#DIV/0!</v>
      </c>
      <c r="AZ131" s="29" t="str">
        <f t="shared" si="134"/>
        <v>#DIV/0!</v>
      </c>
      <c r="BA131" s="29" t="str">
        <f t="shared" si="134"/>
        <v>#DIV/0!</v>
      </c>
      <c r="BB131" s="29" t="str">
        <f t="shared" si="134"/>
        <v>#DIV/0!</v>
      </c>
      <c r="BC131" s="29" t="str">
        <f t="shared" si="134"/>
        <v>#DIV/0!</v>
      </c>
      <c r="BD131" s="29" t="str">
        <f t="shared" si="134"/>
        <v>#DIV/0!</v>
      </c>
      <c r="BE131" s="29" t="str">
        <f t="shared" si="134"/>
        <v>#DIV/0!</v>
      </c>
      <c r="BF131" s="29" t="str">
        <f t="shared" si="134"/>
        <v>#DIV/0!</v>
      </c>
      <c r="BG131" s="29" t="str">
        <f t="shared" si="134"/>
        <v>#DIV/0!</v>
      </c>
      <c r="BH131" s="29" t="str">
        <f t="shared" si="134"/>
        <v>#DIV/0!</v>
      </c>
      <c r="BI131" s="29" t="str">
        <f t="shared" si="134"/>
        <v>#DIV/0!</v>
      </c>
      <c r="BJ131" s="29" t="str">
        <f t="shared" si="134"/>
        <v>#DIV/0!</v>
      </c>
      <c r="BK131" s="29" t="str">
        <f t="shared" si="134"/>
        <v>#DIV/0!</v>
      </c>
      <c r="BL131" s="29" t="str">
        <f t="shared" si="134"/>
        <v>#DIV/0!</v>
      </c>
      <c r="BM131" s="29" t="str">
        <f t="shared" si="3"/>
        <v>#DIV/0!</v>
      </c>
    </row>
    <row r="132">
      <c r="A132" s="16" t="str">
        <f>IFERROR(__xludf.DUMMYFUNCTION("IFERROR(SPARKLINE(SORT(MAP(TRANSPOSE(AQ132:BL132), LAMBDA(val, IF(ISNUMBER(val), PERCENTRANK(AQ132:BL132, val)+0.01, 0))), SEQUENCE(COLUMNS(AQ132:BL132)), FALSE), {""charttype"",""column""; ""color"",""chartreuse""; ""ymin"", 0; ""ymax"", 1.01; ""highcolo"&amp;"r"", ""darkgreen""; ""lowcolor"", ""red""}), """")"),"")</f>
        <v/>
      </c>
      <c r="B132" s="17" t="str">
        <f t="shared" si="4"/>
        <v/>
      </c>
      <c r="C132" s="1" t="s">
        <v>1340</v>
      </c>
      <c r="D132" s="30" t="str">
        <f>IFERROR(__xludf.DUMMYFUNCTION("IFERROR(GOOGLEFINANCE(C132, ""NAME""))"),"FTAI Aviation Ltd")</f>
        <v>FTAI Aviation Ltd</v>
      </c>
      <c r="E132" s="30" t="s">
        <v>888</v>
      </c>
      <c r="F132" s="33" t="str">
        <f>IFERROR(__xludf.DUMMYFUNCTION("( (GOOGLEFINANCE(C132, ""price"") - Q132) / Q132 ) / (R132 / 100)"),"Loading...")</f>
        <v>Loading...</v>
      </c>
      <c r="G132" s="20" t="str">
        <f>IFERROR(__xludf.DUMMYFUNCTION("AVERAGE(ARRAYFORMULA(100 * (QUERY(GOOGLEFINANCE(C132, ""high"", TODAY()-40, TODAY()), ""SELECT Col2 WHERE Col2 IS NOT NULL ORDER BY Col1 DESC LIMIT 20"", 0) / QUERY(GOOGLEFINANCE(C132, ""low"", TODAY()-40, TODAY()), ""SELECT Col2 WHERE Col2 IS NOT NULL OR"&amp;"DER BY Col1 DESC LIMIT 20"", 0) - 1)))"),"#N/A")</f>
        <v>#N/A</v>
      </c>
      <c r="H132" s="35" t="str">
        <f t="shared" si="6"/>
        <v/>
      </c>
      <c r="I132" s="35" t="str">
        <f t="shared" si="7"/>
        <v/>
      </c>
      <c r="J132" s="37" t="str">
        <f>IFERROR(__xludf.DUMMYFUNCTION("IFERROR(
  IF(C132="""",, 
    IFERROR(
      GOOGLEFINANCE(C132, ""price"") * GOOGLEFINANCE(C132, ""volumeavg""), 
      GOOGLEFINANCE(C132, ""price"") * AVERAGE(QUERY(GOOGLEFINANCE(C132, ""volume"", TODAY()-40, TODAY()), ""SELECT Col2 WHERE Col2 IS NOT "&amp;"NULL ORDER BY Col1 DESC LIMIT 20"", 0))
    )
  ), 
"""")"),"")</f>
        <v/>
      </c>
      <c r="K132" s="21" t="str">
        <f>IFERROR(__xludf.DUMMYFUNCTION("IFERROR(GOOGLEFINANCE(C132, ""changepct"") / 100, """")"),"")</f>
        <v/>
      </c>
      <c r="L132" s="21" t="str">
        <f>IFERROR(__xludf.DUMMYFUNCTION("IFERROR((GOOGLEFINANCE(C132, ""price"") / INDEX(GOOGLEFINANCE(C132, ""price"", TODAY()-7, TODAY()), 2, 2)) - 1, """")"),"")</f>
        <v/>
      </c>
      <c r="M132" s="21" t="str">
        <f>IFERROR(__xludf.DUMMYFUNCTION("IFERROR((GOOGLEFINANCE(C132, ""price"") / INDEX(GOOGLEFINANCE(C132, ""price"", EDATE(TODAY(), -1), TODAY()), 2, 2)) - 1, """")"),"")</f>
        <v/>
      </c>
      <c r="N132" s="21" t="str">
        <f>IFERROR(__xludf.DUMMYFUNCTION("IFERROR((GOOGLEFINANCE(C132, ""price"") / INDEX(GOOGLEFINANCE(C132, ""price"", EDATE(TODAY(), -3), TODAY()), 2, 2)) - 1, """")"),"")</f>
        <v/>
      </c>
      <c r="O132" s="21" t="str">
        <f>IFERROR(__xludf.DUMMYFUNCTION("IFERROR((GOOGLEFINANCE(C132, ""price"") / INDEX(GOOGLEFINANCE(C132, ""price"", EDATE(TODAY(), -6), TODAY()), 2, 2)) - 1, """")"),"")</f>
        <v/>
      </c>
      <c r="P132" s="21" t="str">
        <f>IFERROR(__xludf.DUMMYFUNCTION("IFERROR((GOOGLEFINANCE(C132, ""price"") / INDEX(GOOGLEFINANCE(C132, ""price"", EDATE(TODAY(), -12), TODAY()), 2, 2)) - 1, """")"),"")</f>
        <v/>
      </c>
      <c r="Q132" s="6" t="str">
        <f>IFERROR(__xludf.DUMMYFUNCTION("AVERAGE(QUERY(GOOGLEFINANCE(C132, ""price"", TODAY()-80, TODAY()), ""SELECT Col2 WHERE Col2 IS NOT NULL ORDER BY Col1 DESC LIMIT 50"", 0))"),"#N/A")</f>
        <v>#N/A</v>
      </c>
      <c r="R132" s="24" t="str">
        <f>IFERROR(__xludf.DUMMYFUNCTION("IFERROR(
  LET(
    data, QUERY(GOOGLEFINANCE(C132,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GOOGLEFINANCE(C132, ""price"")) * 100,
    IF(calc=0, G132, calc)
  ), 
G132)"),"#N/A")</f>
        <v>#N/A</v>
      </c>
      <c r="S132" s="8" t="s">
        <v>15</v>
      </c>
      <c r="T132" s="26" t="str">
        <f>IFERROR(__xludf.DUMMYFUNCTION("IFERROR(TRANSPOSE(QUERY(IFERROR(SORT(GOOGLEFINANCE(C132, ""price"", WORKDAY(TODAY(), -40), TODAY()), 1, FALSE)), ""select Col2 where Col2 is not null limit 22 label Col2 ''"", 0)), """")"),"")</f>
        <v/>
      </c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8"/>
      <c r="AO132" s="28"/>
      <c r="AP132" s="29"/>
      <c r="AQ132" s="29" t="str">
        <f t="shared" ref="AQ132:BL132" si="135">T132/T$2</f>
        <v>#N/A</v>
      </c>
      <c r="AR132" s="29" t="str">
        <f t="shared" si="135"/>
        <v>#DIV/0!</v>
      </c>
      <c r="AS132" s="29" t="str">
        <f t="shared" si="135"/>
        <v>#DIV/0!</v>
      </c>
      <c r="AT132" s="29" t="str">
        <f t="shared" si="135"/>
        <v>#DIV/0!</v>
      </c>
      <c r="AU132" s="29" t="str">
        <f t="shared" si="135"/>
        <v>#DIV/0!</v>
      </c>
      <c r="AV132" s="29" t="str">
        <f t="shared" si="135"/>
        <v>#DIV/0!</v>
      </c>
      <c r="AW132" s="29" t="str">
        <f t="shared" si="135"/>
        <v>#DIV/0!</v>
      </c>
      <c r="AX132" s="29" t="str">
        <f t="shared" si="135"/>
        <v>#DIV/0!</v>
      </c>
      <c r="AY132" s="29" t="str">
        <f t="shared" si="135"/>
        <v>#DIV/0!</v>
      </c>
      <c r="AZ132" s="29" t="str">
        <f t="shared" si="135"/>
        <v>#DIV/0!</v>
      </c>
      <c r="BA132" s="29" t="str">
        <f t="shared" si="135"/>
        <v>#DIV/0!</v>
      </c>
      <c r="BB132" s="29" t="str">
        <f t="shared" si="135"/>
        <v>#DIV/0!</v>
      </c>
      <c r="BC132" s="29" t="str">
        <f t="shared" si="135"/>
        <v>#DIV/0!</v>
      </c>
      <c r="BD132" s="29" t="str">
        <f t="shared" si="135"/>
        <v>#DIV/0!</v>
      </c>
      <c r="BE132" s="29" t="str">
        <f t="shared" si="135"/>
        <v>#DIV/0!</v>
      </c>
      <c r="BF132" s="29" t="str">
        <f t="shared" si="135"/>
        <v>#DIV/0!</v>
      </c>
      <c r="BG132" s="29" t="str">
        <f t="shared" si="135"/>
        <v>#DIV/0!</v>
      </c>
      <c r="BH132" s="29" t="str">
        <f t="shared" si="135"/>
        <v>#DIV/0!</v>
      </c>
      <c r="BI132" s="29" t="str">
        <f t="shared" si="135"/>
        <v>#DIV/0!</v>
      </c>
      <c r="BJ132" s="29" t="str">
        <f t="shared" si="135"/>
        <v>#DIV/0!</v>
      </c>
      <c r="BK132" s="29" t="str">
        <f t="shared" si="135"/>
        <v>#DIV/0!</v>
      </c>
      <c r="BL132" s="29" t="str">
        <f t="shared" si="135"/>
        <v>#DIV/0!</v>
      </c>
      <c r="BM132" s="29" t="str">
        <f t="shared" si="3"/>
        <v>#DIV/0!</v>
      </c>
    </row>
    <row r="133">
      <c r="A133" s="16" t="str">
        <f>IFERROR(__xludf.DUMMYFUNCTION("IFERROR(SPARKLINE(SORT(MAP(TRANSPOSE(AQ133:BL133), LAMBDA(val, IF(ISNUMBER(val), PERCENTRANK(AQ133:BL133, val)+0.01, 0))), SEQUENCE(COLUMNS(AQ133:BL133)), FALSE), {""charttype"",""column""; ""color"",""chartreuse""; ""ymin"", 0; ""ymax"", 1.01; ""highcolo"&amp;"r"", ""darkgreen""; ""lowcolor"", ""red""}), """")"),"")</f>
        <v/>
      </c>
      <c r="B133" s="17" t="str">
        <f t="shared" si="4"/>
        <v/>
      </c>
      <c r="C133" s="1" t="s">
        <v>1346</v>
      </c>
      <c r="D133" s="30" t="str">
        <f>IFERROR(__xludf.DUMMYFUNCTION("IFERROR(GOOGLEFINANCE(C133, ""NAME""))"),"Evolv Technologies Holdings Inc")</f>
        <v>Evolv Technologies Holdings Inc</v>
      </c>
      <c r="E133" s="30" t="s">
        <v>1020</v>
      </c>
      <c r="F133" s="33" t="str">
        <f>IFERROR(__xludf.DUMMYFUNCTION("( (GOOGLEFINANCE(C133, ""price"") - Q133) / Q133 ) / (R133 / 100)"),"Loading...")</f>
        <v>Loading...</v>
      </c>
      <c r="G133" s="20" t="str">
        <f>IFERROR(__xludf.DUMMYFUNCTION("AVERAGE(ARRAYFORMULA(100 * (QUERY(GOOGLEFINANCE(C133, ""high"", TODAY()-40, TODAY()), ""SELECT Col2 WHERE Col2 IS NOT NULL ORDER BY Col1 DESC LIMIT 20"", 0) / QUERY(GOOGLEFINANCE(C133, ""low"", TODAY()-40, TODAY()), ""SELECT Col2 WHERE Col2 IS NOT NULL OR"&amp;"DER BY Col1 DESC LIMIT 20"", 0) - 1)))"),"#N/A")</f>
        <v>#N/A</v>
      </c>
      <c r="H133" s="35" t="str">
        <f t="shared" si="6"/>
        <v/>
      </c>
      <c r="I133" s="35" t="str">
        <f t="shared" si="7"/>
        <v/>
      </c>
      <c r="J133" s="37" t="str">
        <f>IFERROR(__xludf.DUMMYFUNCTION("IFERROR(
  IF(C133="""",, 
    IFERROR(
      GOOGLEFINANCE(C133, ""price"") * GOOGLEFINANCE(C133, ""volumeavg""), 
      GOOGLEFINANCE(C133, ""price"") * AVERAGE(QUERY(GOOGLEFINANCE(C133, ""volume"", TODAY()-40, TODAY()), ""SELECT Col2 WHERE Col2 IS NOT "&amp;"NULL ORDER BY Col1 DESC LIMIT 20"", 0))
    )
  ), 
"""")"),"")</f>
        <v/>
      </c>
      <c r="K133" s="21" t="str">
        <f>IFERROR(__xludf.DUMMYFUNCTION("IFERROR(GOOGLEFINANCE(C133, ""changepct"") / 100, """")"),"")</f>
        <v/>
      </c>
      <c r="L133" s="21" t="str">
        <f>IFERROR(__xludf.DUMMYFUNCTION("IFERROR((GOOGLEFINANCE(C133, ""price"") / INDEX(GOOGLEFINANCE(C133, ""price"", TODAY()-7, TODAY()), 2, 2)) - 1, """")"),"")</f>
        <v/>
      </c>
      <c r="M133" s="21" t="str">
        <f>IFERROR(__xludf.DUMMYFUNCTION("IFERROR((GOOGLEFINANCE(C133, ""price"") / INDEX(GOOGLEFINANCE(C133, ""price"", EDATE(TODAY(), -1), TODAY()), 2, 2)) - 1, """")"),"")</f>
        <v/>
      </c>
      <c r="N133" s="21" t="str">
        <f>IFERROR(__xludf.DUMMYFUNCTION("IFERROR((GOOGLEFINANCE(C133, ""price"") / INDEX(GOOGLEFINANCE(C133, ""price"", EDATE(TODAY(), -3), TODAY()), 2, 2)) - 1, """")"),"")</f>
        <v/>
      </c>
      <c r="O133" s="21" t="str">
        <f>IFERROR(__xludf.DUMMYFUNCTION("IFERROR((GOOGLEFINANCE(C133, ""price"") / INDEX(GOOGLEFINANCE(C133, ""price"", EDATE(TODAY(), -6), TODAY()), 2, 2)) - 1, """")"),"")</f>
        <v/>
      </c>
      <c r="P133" s="21" t="str">
        <f>IFERROR(__xludf.DUMMYFUNCTION("IFERROR((GOOGLEFINANCE(C133, ""price"") / INDEX(GOOGLEFINANCE(C133, ""price"", EDATE(TODAY(), -12), TODAY()), 2, 2)) - 1, """")"),"")</f>
        <v/>
      </c>
      <c r="Q133" s="6" t="str">
        <f>IFERROR(__xludf.DUMMYFUNCTION("AVERAGE(QUERY(GOOGLEFINANCE(C133, ""price"", TODAY()-80, TODAY()), ""SELECT Col2 WHERE Col2 IS NOT NULL ORDER BY Col1 DESC LIMIT 50"", 0))"),"#N/A")</f>
        <v>#N/A</v>
      </c>
      <c r="R133" s="24" t="str">
        <f>IFERROR(__xludf.DUMMYFUNCTION("IFERROR(
  LET(
    data, QUERY(GOOGLEFINANCE(C133,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GOOGLEFINANCE(C133, ""price"")) * 100,
    IF(calc=0, G133, calc)
  ), 
G133)"),"#N/A")</f>
        <v>#N/A</v>
      </c>
      <c r="S133" s="8" t="s">
        <v>15</v>
      </c>
      <c r="T133" s="26" t="str">
        <f>IFERROR(__xludf.DUMMYFUNCTION("IFERROR(TRANSPOSE(QUERY(IFERROR(SORT(GOOGLEFINANCE(C133, ""price"", WORKDAY(TODAY(), -40), TODAY()), 1, FALSE)), ""select Col2 where Col2 is not null limit 22 label Col2 ''"", 0)), """")"),"")</f>
        <v/>
      </c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8"/>
      <c r="AO133" s="28"/>
      <c r="AP133" s="29"/>
      <c r="AQ133" s="29" t="str">
        <f t="shared" ref="AQ133:BL133" si="136">T133/T$2</f>
        <v>#N/A</v>
      </c>
      <c r="AR133" s="29" t="str">
        <f t="shared" si="136"/>
        <v>#DIV/0!</v>
      </c>
      <c r="AS133" s="29" t="str">
        <f t="shared" si="136"/>
        <v>#DIV/0!</v>
      </c>
      <c r="AT133" s="29" t="str">
        <f t="shared" si="136"/>
        <v>#DIV/0!</v>
      </c>
      <c r="AU133" s="29" t="str">
        <f t="shared" si="136"/>
        <v>#DIV/0!</v>
      </c>
      <c r="AV133" s="29" t="str">
        <f t="shared" si="136"/>
        <v>#DIV/0!</v>
      </c>
      <c r="AW133" s="29" t="str">
        <f t="shared" si="136"/>
        <v>#DIV/0!</v>
      </c>
      <c r="AX133" s="29" t="str">
        <f t="shared" si="136"/>
        <v>#DIV/0!</v>
      </c>
      <c r="AY133" s="29" t="str">
        <f t="shared" si="136"/>
        <v>#DIV/0!</v>
      </c>
      <c r="AZ133" s="29" t="str">
        <f t="shared" si="136"/>
        <v>#DIV/0!</v>
      </c>
      <c r="BA133" s="29" t="str">
        <f t="shared" si="136"/>
        <v>#DIV/0!</v>
      </c>
      <c r="BB133" s="29" t="str">
        <f t="shared" si="136"/>
        <v>#DIV/0!</v>
      </c>
      <c r="BC133" s="29" t="str">
        <f t="shared" si="136"/>
        <v>#DIV/0!</v>
      </c>
      <c r="BD133" s="29" t="str">
        <f t="shared" si="136"/>
        <v>#DIV/0!</v>
      </c>
      <c r="BE133" s="29" t="str">
        <f t="shared" si="136"/>
        <v>#DIV/0!</v>
      </c>
      <c r="BF133" s="29" t="str">
        <f t="shared" si="136"/>
        <v>#DIV/0!</v>
      </c>
      <c r="BG133" s="29" t="str">
        <f t="shared" si="136"/>
        <v>#DIV/0!</v>
      </c>
      <c r="BH133" s="29" t="str">
        <f t="shared" si="136"/>
        <v>#DIV/0!</v>
      </c>
      <c r="BI133" s="29" t="str">
        <f t="shared" si="136"/>
        <v>#DIV/0!</v>
      </c>
      <c r="BJ133" s="29" t="str">
        <f t="shared" si="136"/>
        <v>#DIV/0!</v>
      </c>
      <c r="BK133" s="29" t="str">
        <f t="shared" si="136"/>
        <v>#DIV/0!</v>
      </c>
      <c r="BL133" s="29" t="str">
        <f t="shared" si="136"/>
        <v>#DIV/0!</v>
      </c>
      <c r="BM133" s="29" t="str">
        <f t="shared" si="3"/>
        <v>#DIV/0!</v>
      </c>
    </row>
    <row r="134">
      <c r="A134" s="16" t="str">
        <f>IFERROR(__xludf.DUMMYFUNCTION("IFERROR(SPARKLINE(SORT(MAP(TRANSPOSE(AQ134:BL134), LAMBDA(val, IF(ISNUMBER(val), PERCENTRANK(AQ134:BL134, val)+0.01, 0))), SEQUENCE(COLUMNS(AQ134:BL134)), FALSE), {""charttype"",""column""; ""color"",""chartreuse""; ""ymin"", 0; ""ymax"", 1.01; ""highcolo"&amp;"r"", ""darkgreen""; ""lowcolor"", ""red""}), """")"),"")</f>
        <v/>
      </c>
      <c r="B134" s="17" t="str">
        <f t="shared" si="4"/>
        <v/>
      </c>
      <c r="C134" s="1" t="s">
        <v>1350</v>
      </c>
      <c r="D134" s="30" t="str">
        <f>IFERROR(__xludf.DUMMYFUNCTION("IFERROR(GOOGLEFINANCE(C134, ""NAME""))"),"Kforce Inc")</f>
        <v>Kforce Inc</v>
      </c>
      <c r="E134" s="30" t="s">
        <v>1351</v>
      </c>
      <c r="F134" s="33" t="str">
        <f>IFERROR(__xludf.DUMMYFUNCTION("( (GOOGLEFINANCE(C134, ""price"") - Q134) / Q134 ) / (R134 / 100)"),"Loading...")</f>
        <v>Loading...</v>
      </c>
      <c r="G134" s="20" t="str">
        <f>IFERROR(__xludf.DUMMYFUNCTION("AVERAGE(ARRAYFORMULA(100 * (QUERY(GOOGLEFINANCE(C134, ""high"", TODAY()-40, TODAY()), ""SELECT Col2 WHERE Col2 IS NOT NULL ORDER BY Col1 DESC LIMIT 20"", 0) / QUERY(GOOGLEFINANCE(C134, ""low"", TODAY()-40, TODAY()), ""SELECT Col2 WHERE Col2 IS NOT NULL OR"&amp;"DER BY Col1 DESC LIMIT 20"", 0) - 1)))"),"#N/A")</f>
        <v>#N/A</v>
      </c>
      <c r="H134" s="35" t="str">
        <f t="shared" si="6"/>
        <v/>
      </c>
      <c r="I134" s="35" t="str">
        <f t="shared" si="7"/>
        <v/>
      </c>
      <c r="J134" s="37" t="str">
        <f>IFERROR(__xludf.DUMMYFUNCTION("IFERROR(
  IF(C134="""",, 
    IFERROR(
      GOOGLEFINANCE(C134, ""price"") * GOOGLEFINANCE(C134, ""volumeavg""), 
      GOOGLEFINANCE(C134, ""price"") * AVERAGE(QUERY(GOOGLEFINANCE(C134, ""volume"", TODAY()-40, TODAY()), ""SELECT Col2 WHERE Col2 IS NOT "&amp;"NULL ORDER BY Col1 DESC LIMIT 20"", 0))
    )
  ), 
"""")"),"")</f>
        <v/>
      </c>
      <c r="K134" s="21" t="str">
        <f>IFERROR(__xludf.DUMMYFUNCTION("IFERROR(GOOGLEFINANCE(C134, ""changepct"") / 100, """")"),"")</f>
        <v/>
      </c>
      <c r="L134" s="21" t="str">
        <f>IFERROR(__xludf.DUMMYFUNCTION("IFERROR((GOOGLEFINANCE(C134, ""price"") / INDEX(GOOGLEFINANCE(C134, ""price"", TODAY()-7, TODAY()), 2, 2)) - 1, """")"),"")</f>
        <v/>
      </c>
      <c r="M134" s="21" t="str">
        <f>IFERROR(__xludf.DUMMYFUNCTION("IFERROR((GOOGLEFINANCE(C134, ""price"") / INDEX(GOOGLEFINANCE(C134, ""price"", EDATE(TODAY(), -1), TODAY()), 2, 2)) - 1, """")"),"")</f>
        <v/>
      </c>
      <c r="N134" s="21" t="str">
        <f>IFERROR(__xludf.DUMMYFUNCTION("IFERROR((GOOGLEFINANCE(C134, ""price"") / INDEX(GOOGLEFINANCE(C134, ""price"", EDATE(TODAY(), -3), TODAY()), 2, 2)) - 1, """")"),"")</f>
        <v/>
      </c>
      <c r="O134" s="21" t="str">
        <f>IFERROR(__xludf.DUMMYFUNCTION("IFERROR((GOOGLEFINANCE(C134, ""price"") / INDEX(GOOGLEFINANCE(C134, ""price"", EDATE(TODAY(), -6), TODAY()), 2, 2)) - 1, """")"),"")</f>
        <v/>
      </c>
      <c r="P134" s="21" t="str">
        <f>IFERROR(__xludf.DUMMYFUNCTION("IFERROR((GOOGLEFINANCE(C134, ""price"") / INDEX(GOOGLEFINANCE(C134, ""price"", EDATE(TODAY(), -12), TODAY()), 2, 2)) - 1, """")"),"")</f>
        <v/>
      </c>
      <c r="Q134" s="6" t="str">
        <f>IFERROR(__xludf.DUMMYFUNCTION("AVERAGE(QUERY(GOOGLEFINANCE(C134, ""price"", TODAY()-80, TODAY()), ""SELECT Col2 WHERE Col2 IS NOT NULL ORDER BY Col1 DESC LIMIT 50"", 0))"),"#N/A")</f>
        <v>#N/A</v>
      </c>
      <c r="R134" s="24" t="str">
        <f>IFERROR(__xludf.DUMMYFUNCTION("IFERROR(
  LET(
    data, QUERY(GOOGLEFINANCE(C134,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GOOGLEFINANCE(C134, ""price"")) * 100,
    IF(calc=0, G134, calc)
  ), 
G134)"),"#N/A")</f>
        <v>#N/A</v>
      </c>
      <c r="S134" s="8" t="s">
        <v>15</v>
      </c>
      <c r="T134" s="26" t="str">
        <f>IFERROR(__xludf.DUMMYFUNCTION("IFERROR(TRANSPOSE(QUERY(IFERROR(SORT(GOOGLEFINANCE(C134, ""price"", WORKDAY(TODAY(), -40), TODAY()), 1, FALSE)), ""select Col2 where Col2 is not null limit 22 label Col2 ''"", 0)), """")"),"")</f>
        <v/>
      </c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8"/>
      <c r="AO134" s="28"/>
      <c r="AP134" s="29"/>
      <c r="AQ134" s="29" t="str">
        <f t="shared" ref="AQ134:BL134" si="137">T134/T$2</f>
        <v>#N/A</v>
      </c>
      <c r="AR134" s="29" t="str">
        <f t="shared" si="137"/>
        <v>#DIV/0!</v>
      </c>
      <c r="AS134" s="29" t="str">
        <f t="shared" si="137"/>
        <v>#DIV/0!</v>
      </c>
      <c r="AT134" s="29" t="str">
        <f t="shared" si="137"/>
        <v>#DIV/0!</v>
      </c>
      <c r="AU134" s="29" t="str">
        <f t="shared" si="137"/>
        <v>#DIV/0!</v>
      </c>
      <c r="AV134" s="29" t="str">
        <f t="shared" si="137"/>
        <v>#DIV/0!</v>
      </c>
      <c r="AW134" s="29" t="str">
        <f t="shared" si="137"/>
        <v>#DIV/0!</v>
      </c>
      <c r="AX134" s="29" t="str">
        <f t="shared" si="137"/>
        <v>#DIV/0!</v>
      </c>
      <c r="AY134" s="29" t="str">
        <f t="shared" si="137"/>
        <v>#DIV/0!</v>
      </c>
      <c r="AZ134" s="29" t="str">
        <f t="shared" si="137"/>
        <v>#DIV/0!</v>
      </c>
      <c r="BA134" s="29" t="str">
        <f t="shared" si="137"/>
        <v>#DIV/0!</v>
      </c>
      <c r="BB134" s="29" t="str">
        <f t="shared" si="137"/>
        <v>#DIV/0!</v>
      </c>
      <c r="BC134" s="29" t="str">
        <f t="shared" si="137"/>
        <v>#DIV/0!</v>
      </c>
      <c r="BD134" s="29" t="str">
        <f t="shared" si="137"/>
        <v>#DIV/0!</v>
      </c>
      <c r="BE134" s="29" t="str">
        <f t="shared" si="137"/>
        <v>#DIV/0!</v>
      </c>
      <c r="BF134" s="29" t="str">
        <f t="shared" si="137"/>
        <v>#DIV/0!</v>
      </c>
      <c r="BG134" s="29" t="str">
        <f t="shared" si="137"/>
        <v>#DIV/0!</v>
      </c>
      <c r="BH134" s="29" t="str">
        <f t="shared" si="137"/>
        <v>#DIV/0!</v>
      </c>
      <c r="BI134" s="29" t="str">
        <f t="shared" si="137"/>
        <v>#DIV/0!</v>
      </c>
      <c r="BJ134" s="29" t="str">
        <f t="shared" si="137"/>
        <v>#DIV/0!</v>
      </c>
      <c r="BK134" s="29" t="str">
        <f t="shared" si="137"/>
        <v>#DIV/0!</v>
      </c>
      <c r="BL134" s="29" t="str">
        <f t="shared" si="137"/>
        <v>#DIV/0!</v>
      </c>
      <c r="BM134" s="29" t="str">
        <f t="shared" si="3"/>
        <v>#DIV/0!</v>
      </c>
    </row>
    <row r="135">
      <c r="A135" s="16" t="str">
        <f>IFERROR(__xludf.DUMMYFUNCTION("IFERROR(SPARKLINE(SORT(MAP(TRANSPOSE(AQ135:BL135), LAMBDA(val, IF(ISNUMBER(val), PERCENTRANK(AQ135:BL135, val)+0.01, 0))), SEQUENCE(COLUMNS(AQ135:BL135)), FALSE), {""charttype"",""column""; ""color"",""chartreuse""; ""ymin"", 0; ""ymax"", 1.01; ""highcolo"&amp;"r"", ""darkgreen""; ""lowcolor"", ""red""}), """")"),"")</f>
        <v/>
      </c>
      <c r="B135" s="17" t="str">
        <f t="shared" si="4"/>
        <v/>
      </c>
      <c r="C135" s="1" t="s">
        <v>1354</v>
      </c>
      <c r="D135" s="30" t="str">
        <f>IFERROR(__xludf.DUMMYFUNCTION("IFERROR(GOOGLEFINANCE(C135, ""NAME""))"),"Construction Partners Inc")</f>
        <v>Construction Partners Inc</v>
      </c>
      <c r="E135" s="30" t="s">
        <v>856</v>
      </c>
      <c r="F135" s="33" t="str">
        <f>IFERROR(__xludf.DUMMYFUNCTION("( (GOOGLEFINANCE(C135, ""price"") - Q135) / Q135 ) / (R135 / 100)"),"Loading...")</f>
        <v>Loading...</v>
      </c>
      <c r="G135" s="20" t="str">
        <f>IFERROR(__xludf.DUMMYFUNCTION("AVERAGE(ARRAYFORMULA(100 * (QUERY(GOOGLEFINANCE(C135, ""high"", TODAY()-40, TODAY()), ""SELECT Col2 WHERE Col2 IS NOT NULL ORDER BY Col1 DESC LIMIT 20"", 0) / QUERY(GOOGLEFINANCE(C135, ""low"", TODAY()-40, TODAY()), ""SELECT Col2 WHERE Col2 IS NOT NULL OR"&amp;"DER BY Col1 DESC LIMIT 20"", 0) - 1)))"),"#N/A")</f>
        <v>#N/A</v>
      </c>
      <c r="H135" s="35" t="str">
        <f t="shared" si="6"/>
        <v/>
      </c>
      <c r="I135" s="35" t="str">
        <f t="shared" si="7"/>
        <v/>
      </c>
      <c r="J135" s="37" t="str">
        <f>IFERROR(__xludf.DUMMYFUNCTION("IFERROR(
  IF(C135="""",, 
    IFERROR(
      GOOGLEFINANCE(C135, ""price"") * GOOGLEFINANCE(C135, ""volumeavg""), 
      GOOGLEFINANCE(C135, ""price"") * AVERAGE(QUERY(GOOGLEFINANCE(C135, ""volume"", TODAY()-40, TODAY()), ""SELECT Col2 WHERE Col2 IS NOT "&amp;"NULL ORDER BY Col1 DESC LIMIT 20"", 0))
    )
  ), 
"""")"),"")</f>
        <v/>
      </c>
      <c r="K135" s="21" t="str">
        <f>IFERROR(__xludf.DUMMYFUNCTION("IFERROR(GOOGLEFINANCE(C135, ""changepct"") / 100, """")"),"")</f>
        <v/>
      </c>
      <c r="L135" s="21" t="str">
        <f>IFERROR(__xludf.DUMMYFUNCTION("IFERROR((GOOGLEFINANCE(C135, ""price"") / INDEX(GOOGLEFINANCE(C135, ""price"", TODAY()-7, TODAY()), 2, 2)) - 1, """")"),"")</f>
        <v/>
      </c>
      <c r="M135" s="21" t="str">
        <f>IFERROR(__xludf.DUMMYFUNCTION("IFERROR((GOOGLEFINANCE(C135, ""price"") / INDEX(GOOGLEFINANCE(C135, ""price"", EDATE(TODAY(), -1), TODAY()), 2, 2)) - 1, """")"),"")</f>
        <v/>
      </c>
      <c r="N135" s="21" t="str">
        <f>IFERROR(__xludf.DUMMYFUNCTION("IFERROR((GOOGLEFINANCE(C135, ""price"") / INDEX(GOOGLEFINANCE(C135, ""price"", EDATE(TODAY(), -3), TODAY()), 2, 2)) - 1, """")"),"")</f>
        <v/>
      </c>
      <c r="O135" s="21" t="str">
        <f>IFERROR(__xludf.DUMMYFUNCTION("IFERROR((GOOGLEFINANCE(C135, ""price"") / INDEX(GOOGLEFINANCE(C135, ""price"", EDATE(TODAY(), -6), TODAY()), 2, 2)) - 1, """")"),"")</f>
        <v/>
      </c>
      <c r="P135" s="21" t="str">
        <f>IFERROR(__xludf.DUMMYFUNCTION("IFERROR((GOOGLEFINANCE(C135, ""price"") / INDEX(GOOGLEFINANCE(C135, ""price"", EDATE(TODAY(), -12), TODAY()), 2, 2)) - 1, """")"),"")</f>
        <v/>
      </c>
      <c r="Q135" s="6" t="str">
        <f>IFERROR(__xludf.DUMMYFUNCTION("AVERAGE(QUERY(GOOGLEFINANCE(C135, ""price"", TODAY()-80, TODAY()), ""SELECT Col2 WHERE Col2 IS NOT NULL ORDER BY Col1 DESC LIMIT 50"", 0))"),"#N/A")</f>
        <v>#N/A</v>
      </c>
      <c r="R135" s="24" t="str">
        <f>IFERROR(__xludf.DUMMYFUNCTION("IFERROR(
  LET(
    data, QUERY(GOOGLEFINANCE(C135,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GOOGLEFINANCE(C135, ""price"")) * 100,
    IF(calc=0, G135, calc)
  ), 
G135)"),"#N/A")</f>
        <v>#N/A</v>
      </c>
      <c r="S135" s="8" t="s">
        <v>15</v>
      </c>
      <c r="T135" s="26" t="str">
        <f>IFERROR(__xludf.DUMMYFUNCTION("IFERROR(TRANSPOSE(QUERY(IFERROR(SORT(GOOGLEFINANCE(C135, ""price"", WORKDAY(TODAY(), -40), TODAY()), 1, FALSE)), ""select Col2 where Col2 is not null limit 22 label Col2 ''"", 0)), """")"),"")</f>
        <v/>
      </c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8"/>
      <c r="AO135" s="28"/>
      <c r="AP135" s="29"/>
      <c r="AQ135" s="29" t="str">
        <f t="shared" ref="AQ135:BL135" si="138">T135/T$2</f>
        <v>#N/A</v>
      </c>
      <c r="AR135" s="29" t="str">
        <f t="shared" si="138"/>
        <v>#DIV/0!</v>
      </c>
      <c r="AS135" s="29" t="str">
        <f t="shared" si="138"/>
        <v>#DIV/0!</v>
      </c>
      <c r="AT135" s="29" t="str">
        <f t="shared" si="138"/>
        <v>#DIV/0!</v>
      </c>
      <c r="AU135" s="29" t="str">
        <f t="shared" si="138"/>
        <v>#DIV/0!</v>
      </c>
      <c r="AV135" s="29" t="str">
        <f t="shared" si="138"/>
        <v>#DIV/0!</v>
      </c>
      <c r="AW135" s="29" t="str">
        <f t="shared" si="138"/>
        <v>#DIV/0!</v>
      </c>
      <c r="AX135" s="29" t="str">
        <f t="shared" si="138"/>
        <v>#DIV/0!</v>
      </c>
      <c r="AY135" s="29" t="str">
        <f t="shared" si="138"/>
        <v>#DIV/0!</v>
      </c>
      <c r="AZ135" s="29" t="str">
        <f t="shared" si="138"/>
        <v>#DIV/0!</v>
      </c>
      <c r="BA135" s="29" t="str">
        <f t="shared" si="138"/>
        <v>#DIV/0!</v>
      </c>
      <c r="BB135" s="29" t="str">
        <f t="shared" si="138"/>
        <v>#DIV/0!</v>
      </c>
      <c r="BC135" s="29" t="str">
        <f t="shared" si="138"/>
        <v>#DIV/0!</v>
      </c>
      <c r="BD135" s="29" t="str">
        <f t="shared" si="138"/>
        <v>#DIV/0!</v>
      </c>
      <c r="BE135" s="29" t="str">
        <f t="shared" si="138"/>
        <v>#DIV/0!</v>
      </c>
      <c r="BF135" s="29" t="str">
        <f t="shared" si="138"/>
        <v>#DIV/0!</v>
      </c>
      <c r="BG135" s="29" t="str">
        <f t="shared" si="138"/>
        <v>#DIV/0!</v>
      </c>
      <c r="BH135" s="29" t="str">
        <f t="shared" si="138"/>
        <v>#DIV/0!</v>
      </c>
      <c r="BI135" s="29" t="str">
        <f t="shared" si="138"/>
        <v>#DIV/0!</v>
      </c>
      <c r="BJ135" s="29" t="str">
        <f t="shared" si="138"/>
        <v>#DIV/0!</v>
      </c>
      <c r="BK135" s="29" t="str">
        <f t="shared" si="138"/>
        <v>#DIV/0!</v>
      </c>
      <c r="BL135" s="29" t="str">
        <f t="shared" si="138"/>
        <v>#DIV/0!</v>
      </c>
      <c r="BM135" s="29" t="str">
        <f t="shared" si="3"/>
        <v>#DIV/0!</v>
      </c>
    </row>
    <row r="136">
      <c r="A136" s="16" t="str">
        <f>IFERROR(__xludf.DUMMYFUNCTION("IFERROR(SPARKLINE(SORT(MAP(TRANSPOSE(AQ136:BL136), LAMBDA(val, IF(ISNUMBER(val), PERCENTRANK(AQ136:BL136, val)+0.01, 0))), SEQUENCE(COLUMNS(AQ136:BL136)), FALSE), {""charttype"",""column""; ""color"",""chartreuse""; ""ymin"", 0; ""ymax"", 1.01; ""highcolo"&amp;"r"", ""darkgreen""; ""lowcolor"", ""red""}), """")"),"")</f>
        <v/>
      </c>
      <c r="B136" s="17" t="str">
        <f t="shared" si="4"/>
        <v/>
      </c>
      <c r="C136" s="1" t="s">
        <v>1358</v>
      </c>
      <c r="D136" s="30" t="str">
        <f>IFERROR(__xludf.DUMMYFUNCTION("IFERROR(GOOGLEFINANCE(C136, ""NAME""))"),"Heico Corp")</f>
        <v>Heico Corp</v>
      </c>
      <c r="E136" s="30" t="s">
        <v>839</v>
      </c>
      <c r="F136" s="33" t="str">
        <f>IFERROR(__xludf.DUMMYFUNCTION("( (GOOGLEFINANCE(C136, ""price"") - Q136) / Q136 ) / (R136 / 100)"),"Loading...")</f>
        <v>Loading...</v>
      </c>
      <c r="G136" s="20" t="str">
        <f>IFERROR(__xludf.DUMMYFUNCTION("AVERAGE(ARRAYFORMULA(100 * (QUERY(GOOGLEFINANCE(C136, ""high"", TODAY()-40, TODAY()), ""SELECT Col2 WHERE Col2 IS NOT NULL ORDER BY Col1 DESC LIMIT 20"", 0) / QUERY(GOOGLEFINANCE(C136, ""low"", TODAY()-40, TODAY()), ""SELECT Col2 WHERE Col2 IS NOT NULL OR"&amp;"DER BY Col1 DESC LIMIT 20"", 0) - 1)))"),"#N/A")</f>
        <v>#N/A</v>
      </c>
      <c r="H136" s="35" t="str">
        <f t="shared" si="6"/>
        <v/>
      </c>
      <c r="I136" s="35" t="str">
        <f t="shared" si="7"/>
        <v/>
      </c>
      <c r="J136" s="37" t="str">
        <f>IFERROR(__xludf.DUMMYFUNCTION("IFERROR(
  IF(C136="""",, 
    IFERROR(
      GOOGLEFINANCE(C136, ""price"") * GOOGLEFINANCE(C136, ""volumeavg""), 
      GOOGLEFINANCE(C136, ""price"") * AVERAGE(QUERY(GOOGLEFINANCE(C136, ""volume"", TODAY()-40, TODAY()), ""SELECT Col2 WHERE Col2 IS NOT "&amp;"NULL ORDER BY Col1 DESC LIMIT 20"", 0))
    )
  ), 
"""")"),"")</f>
        <v/>
      </c>
      <c r="K136" s="21" t="str">
        <f>IFERROR(__xludf.DUMMYFUNCTION("IFERROR(GOOGLEFINANCE(C136, ""changepct"") / 100, """")"),"")</f>
        <v/>
      </c>
      <c r="L136" s="21" t="str">
        <f>IFERROR(__xludf.DUMMYFUNCTION("IFERROR((GOOGLEFINANCE(C136, ""price"") / INDEX(GOOGLEFINANCE(C136, ""price"", TODAY()-7, TODAY()), 2, 2)) - 1, """")"),"")</f>
        <v/>
      </c>
      <c r="M136" s="21" t="str">
        <f>IFERROR(__xludf.DUMMYFUNCTION("IFERROR((GOOGLEFINANCE(C136, ""price"") / INDEX(GOOGLEFINANCE(C136, ""price"", EDATE(TODAY(), -1), TODAY()), 2, 2)) - 1, """")"),"")</f>
        <v/>
      </c>
      <c r="N136" s="21" t="str">
        <f>IFERROR(__xludf.DUMMYFUNCTION("IFERROR((GOOGLEFINANCE(C136, ""price"") / INDEX(GOOGLEFINANCE(C136, ""price"", EDATE(TODAY(), -3), TODAY()), 2, 2)) - 1, """")"),"")</f>
        <v/>
      </c>
      <c r="O136" s="21" t="str">
        <f>IFERROR(__xludf.DUMMYFUNCTION("IFERROR((GOOGLEFINANCE(C136, ""price"") / INDEX(GOOGLEFINANCE(C136, ""price"", EDATE(TODAY(), -6), TODAY()), 2, 2)) - 1, """")"),"")</f>
        <v/>
      </c>
      <c r="P136" s="21" t="str">
        <f>IFERROR(__xludf.DUMMYFUNCTION("IFERROR((GOOGLEFINANCE(C136, ""price"") / INDEX(GOOGLEFINANCE(C136, ""price"", EDATE(TODAY(), -12), TODAY()), 2, 2)) - 1, """")"),"")</f>
        <v/>
      </c>
      <c r="Q136" s="6" t="str">
        <f>IFERROR(__xludf.DUMMYFUNCTION("AVERAGE(QUERY(GOOGLEFINANCE(C136, ""price"", TODAY()-80, TODAY()), ""SELECT Col2 WHERE Col2 IS NOT NULL ORDER BY Col1 DESC LIMIT 50"", 0))"),"#N/A")</f>
        <v>#N/A</v>
      </c>
      <c r="R136" s="24" t="str">
        <f>IFERROR(__xludf.DUMMYFUNCTION("IFERROR(
  LET(
    data, QUERY(GOOGLEFINANCE(C136,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GOOGLEFINANCE(C136, ""price"")) * 100,
    IF(calc=0, G136, calc)
  ), 
G136)"),"#N/A")</f>
        <v>#N/A</v>
      </c>
      <c r="S136" s="8" t="s">
        <v>15</v>
      </c>
      <c r="T136" s="26" t="str">
        <f>IFERROR(__xludf.DUMMYFUNCTION("IFERROR(TRANSPOSE(QUERY(IFERROR(SORT(GOOGLEFINANCE(C136, ""price"", WORKDAY(TODAY(), -40), TODAY()), 1, FALSE)), ""select Col2 where Col2 is not null limit 22 label Col2 ''"", 0)), """")"),"")</f>
        <v/>
      </c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8"/>
      <c r="AO136" s="28"/>
      <c r="AP136" s="29"/>
      <c r="AQ136" s="29" t="str">
        <f t="shared" ref="AQ136:BL136" si="139">T136/T$2</f>
        <v>#N/A</v>
      </c>
      <c r="AR136" s="29" t="str">
        <f t="shared" si="139"/>
        <v>#DIV/0!</v>
      </c>
      <c r="AS136" s="29" t="str">
        <f t="shared" si="139"/>
        <v>#DIV/0!</v>
      </c>
      <c r="AT136" s="29" t="str">
        <f t="shared" si="139"/>
        <v>#DIV/0!</v>
      </c>
      <c r="AU136" s="29" t="str">
        <f t="shared" si="139"/>
        <v>#DIV/0!</v>
      </c>
      <c r="AV136" s="29" t="str">
        <f t="shared" si="139"/>
        <v>#DIV/0!</v>
      </c>
      <c r="AW136" s="29" t="str">
        <f t="shared" si="139"/>
        <v>#DIV/0!</v>
      </c>
      <c r="AX136" s="29" t="str">
        <f t="shared" si="139"/>
        <v>#DIV/0!</v>
      </c>
      <c r="AY136" s="29" t="str">
        <f t="shared" si="139"/>
        <v>#DIV/0!</v>
      </c>
      <c r="AZ136" s="29" t="str">
        <f t="shared" si="139"/>
        <v>#DIV/0!</v>
      </c>
      <c r="BA136" s="29" t="str">
        <f t="shared" si="139"/>
        <v>#DIV/0!</v>
      </c>
      <c r="BB136" s="29" t="str">
        <f t="shared" si="139"/>
        <v>#DIV/0!</v>
      </c>
      <c r="BC136" s="29" t="str">
        <f t="shared" si="139"/>
        <v>#DIV/0!</v>
      </c>
      <c r="BD136" s="29" t="str">
        <f t="shared" si="139"/>
        <v>#DIV/0!</v>
      </c>
      <c r="BE136" s="29" t="str">
        <f t="shared" si="139"/>
        <v>#DIV/0!</v>
      </c>
      <c r="BF136" s="29" t="str">
        <f t="shared" si="139"/>
        <v>#DIV/0!</v>
      </c>
      <c r="BG136" s="29" t="str">
        <f t="shared" si="139"/>
        <v>#DIV/0!</v>
      </c>
      <c r="BH136" s="29" t="str">
        <f t="shared" si="139"/>
        <v>#DIV/0!</v>
      </c>
      <c r="BI136" s="29" t="str">
        <f t="shared" si="139"/>
        <v>#DIV/0!</v>
      </c>
      <c r="BJ136" s="29" t="str">
        <f t="shared" si="139"/>
        <v>#DIV/0!</v>
      </c>
      <c r="BK136" s="29" t="str">
        <f t="shared" si="139"/>
        <v>#DIV/0!</v>
      </c>
      <c r="BL136" s="29" t="str">
        <f t="shared" si="139"/>
        <v>#DIV/0!</v>
      </c>
      <c r="BM136" s="29" t="str">
        <f t="shared" si="3"/>
        <v>#DIV/0!</v>
      </c>
    </row>
    <row r="137">
      <c r="A137" s="16" t="str">
        <f>IFERROR(__xludf.DUMMYFUNCTION("IFERROR(SPARKLINE(SORT(MAP(TRANSPOSE(AQ137:BL137), LAMBDA(val, IF(ISNUMBER(val), PERCENTRANK(AQ137:BL137, val)+0.01, 0))), SEQUENCE(COLUMNS(AQ137:BL137)), FALSE), {""charttype"",""column""; ""color"",""chartreuse""; ""ymin"", 0; ""ymax"", 1.01; ""highcolo"&amp;"r"", ""darkgreen""; ""lowcolor"", ""red""}), """")"),"")</f>
        <v/>
      </c>
      <c r="B137" s="17" t="str">
        <f t="shared" si="4"/>
        <v/>
      </c>
      <c r="C137" s="1" t="s">
        <v>1367</v>
      </c>
      <c r="D137" s="30" t="str">
        <f>IFERROR(__xludf.DUMMYFUNCTION("IFERROR(GOOGLEFINANCE(C137, ""NAME""))"),"Loar Holdings Inc")</f>
        <v>Loar Holdings Inc</v>
      </c>
      <c r="E137" s="30" t="s">
        <v>839</v>
      </c>
      <c r="F137" s="33" t="str">
        <f>IFERROR(__xludf.DUMMYFUNCTION("( (GOOGLEFINANCE(C137, ""price"") - Q137) / Q137 ) / (R137 / 100)"),"Loading...")</f>
        <v>Loading...</v>
      </c>
      <c r="G137" s="20" t="str">
        <f>IFERROR(__xludf.DUMMYFUNCTION("AVERAGE(ARRAYFORMULA(100 * (QUERY(GOOGLEFINANCE(C137, ""high"", TODAY()-40, TODAY()), ""SELECT Col2 WHERE Col2 IS NOT NULL ORDER BY Col1 DESC LIMIT 20"", 0) / QUERY(GOOGLEFINANCE(C137, ""low"", TODAY()-40, TODAY()), ""SELECT Col2 WHERE Col2 IS NOT NULL OR"&amp;"DER BY Col1 DESC LIMIT 20"", 0) - 1)))"),"#N/A")</f>
        <v>#N/A</v>
      </c>
      <c r="H137" s="35" t="str">
        <f t="shared" si="6"/>
        <v/>
      </c>
      <c r="I137" s="35" t="str">
        <f t="shared" si="7"/>
        <v/>
      </c>
      <c r="J137" s="37" t="str">
        <f>IFERROR(__xludf.DUMMYFUNCTION("IFERROR(
  IF(C137="""",, 
    IFERROR(
      GOOGLEFINANCE(C137, ""price"") * GOOGLEFINANCE(C137, ""volumeavg""), 
      GOOGLEFINANCE(C137, ""price"") * AVERAGE(QUERY(GOOGLEFINANCE(C137, ""volume"", TODAY()-40, TODAY()), ""SELECT Col2 WHERE Col2 IS NOT "&amp;"NULL ORDER BY Col1 DESC LIMIT 20"", 0))
    )
  ), 
"""")"),"")</f>
        <v/>
      </c>
      <c r="K137" s="21" t="str">
        <f>IFERROR(__xludf.DUMMYFUNCTION("IFERROR(GOOGLEFINANCE(C137, ""changepct"") / 100, """")"),"")</f>
        <v/>
      </c>
      <c r="L137" s="21" t="str">
        <f>IFERROR(__xludf.DUMMYFUNCTION("IFERROR((GOOGLEFINANCE(C137, ""price"") / INDEX(GOOGLEFINANCE(C137, ""price"", TODAY()-7, TODAY()), 2, 2)) - 1, """")"),"")</f>
        <v/>
      </c>
      <c r="M137" s="21" t="str">
        <f>IFERROR(__xludf.DUMMYFUNCTION("IFERROR((GOOGLEFINANCE(C137, ""price"") / INDEX(GOOGLEFINANCE(C137, ""price"", EDATE(TODAY(), -1), TODAY()), 2, 2)) - 1, """")"),"")</f>
        <v/>
      </c>
      <c r="N137" s="21" t="str">
        <f>IFERROR(__xludf.DUMMYFUNCTION("IFERROR((GOOGLEFINANCE(C137, ""price"") / INDEX(GOOGLEFINANCE(C137, ""price"", EDATE(TODAY(), -3), TODAY()), 2, 2)) - 1, """")"),"")</f>
        <v/>
      </c>
      <c r="O137" s="21" t="str">
        <f>IFERROR(__xludf.DUMMYFUNCTION("IFERROR((GOOGLEFINANCE(C137, ""price"") / INDEX(GOOGLEFINANCE(C137, ""price"", EDATE(TODAY(), -6), TODAY()), 2, 2)) - 1, """")"),"")</f>
        <v/>
      </c>
      <c r="P137" s="21" t="str">
        <f>IFERROR(__xludf.DUMMYFUNCTION("IFERROR((GOOGLEFINANCE(C137, ""price"") / INDEX(GOOGLEFINANCE(C137, ""price"", EDATE(TODAY(), -12), TODAY()), 2, 2)) - 1, """")"),"")</f>
        <v/>
      </c>
      <c r="Q137" s="6" t="str">
        <f>IFERROR(__xludf.DUMMYFUNCTION("AVERAGE(QUERY(GOOGLEFINANCE(C137, ""price"", TODAY()-80, TODAY()), ""SELECT Col2 WHERE Col2 IS NOT NULL ORDER BY Col1 DESC LIMIT 50"", 0))"),"#N/A")</f>
        <v>#N/A</v>
      </c>
      <c r="R137" s="24" t="str">
        <f>IFERROR(__xludf.DUMMYFUNCTION("IFERROR(
  LET(
    data, QUERY(GOOGLEFINANCE(C137,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GOOGLEFINANCE(C137, ""price"")) * 100,
    IF(calc=0, G137, calc)
  ), 
G137)"),"#N/A")</f>
        <v>#N/A</v>
      </c>
      <c r="S137" s="8" t="s">
        <v>15</v>
      </c>
      <c r="T137" s="26" t="str">
        <f>IFERROR(__xludf.DUMMYFUNCTION("IFERROR(TRANSPOSE(QUERY(IFERROR(SORT(GOOGLEFINANCE(C137, ""price"", WORKDAY(TODAY(), -40), TODAY()), 1, FALSE)), ""select Col2 where Col2 is not null limit 22 label Col2 ''"", 0)), """")"),"")</f>
        <v/>
      </c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8"/>
      <c r="AO137" s="28"/>
      <c r="AP137" s="29"/>
      <c r="AQ137" s="29" t="str">
        <f t="shared" ref="AQ137:BL137" si="140">T137/T$2</f>
        <v>#N/A</v>
      </c>
      <c r="AR137" s="29" t="str">
        <f t="shared" si="140"/>
        <v>#DIV/0!</v>
      </c>
      <c r="AS137" s="29" t="str">
        <f t="shared" si="140"/>
        <v>#DIV/0!</v>
      </c>
      <c r="AT137" s="29" t="str">
        <f t="shared" si="140"/>
        <v>#DIV/0!</v>
      </c>
      <c r="AU137" s="29" t="str">
        <f t="shared" si="140"/>
        <v>#DIV/0!</v>
      </c>
      <c r="AV137" s="29" t="str">
        <f t="shared" si="140"/>
        <v>#DIV/0!</v>
      </c>
      <c r="AW137" s="29" t="str">
        <f t="shared" si="140"/>
        <v>#DIV/0!</v>
      </c>
      <c r="AX137" s="29" t="str">
        <f t="shared" si="140"/>
        <v>#DIV/0!</v>
      </c>
      <c r="AY137" s="29" t="str">
        <f t="shared" si="140"/>
        <v>#DIV/0!</v>
      </c>
      <c r="AZ137" s="29" t="str">
        <f t="shared" si="140"/>
        <v>#DIV/0!</v>
      </c>
      <c r="BA137" s="29" t="str">
        <f t="shared" si="140"/>
        <v>#DIV/0!</v>
      </c>
      <c r="BB137" s="29" t="str">
        <f t="shared" si="140"/>
        <v>#DIV/0!</v>
      </c>
      <c r="BC137" s="29" t="str">
        <f t="shared" si="140"/>
        <v>#DIV/0!</v>
      </c>
      <c r="BD137" s="29" t="str">
        <f t="shared" si="140"/>
        <v>#DIV/0!</v>
      </c>
      <c r="BE137" s="29" t="str">
        <f t="shared" si="140"/>
        <v>#DIV/0!</v>
      </c>
      <c r="BF137" s="29" t="str">
        <f t="shared" si="140"/>
        <v>#DIV/0!</v>
      </c>
      <c r="BG137" s="29" t="str">
        <f t="shared" si="140"/>
        <v>#DIV/0!</v>
      </c>
      <c r="BH137" s="29" t="str">
        <f t="shared" si="140"/>
        <v>#DIV/0!</v>
      </c>
      <c r="BI137" s="29" t="str">
        <f t="shared" si="140"/>
        <v>#DIV/0!</v>
      </c>
      <c r="BJ137" s="29" t="str">
        <f t="shared" si="140"/>
        <v>#DIV/0!</v>
      </c>
      <c r="BK137" s="29" t="str">
        <f t="shared" si="140"/>
        <v>#DIV/0!</v>
      </c>
      <c r="BL137" s="29" t="str">
        <f t="shared" si="140"/>
        <v>#DIV/0!</v>
      </c>
      <c r="BM137" s="29" t="str">
        <f t="shared" si="3"/>
        <v>#DIV/0!</v>
      </c>
    </row>
    <row r="138">
      <c r="A138" s="16" t="str">
        <f>IFERROR(__xludf.DUMMYFUNCTION("IFERROR(SPARKLINE(SORT(MAP(TRANSPOSE(AQ138:BL138), LAMBDA(val, IF(ISNUMBER(val), PERCENTRANK(AQ138:BL138, val)+0.01, 0))), SEQUENCE(COLUMNS(AQ138:BL138)), FALSE), {""charttype"",""column""; ""color"",""chartreuse""; ""ymin"", 0; ""ymax"", 1.01; ""highcolo"&amp;"r"", ""darkgreen""; ""lowcolor"", ""red""}), """")"),"")</f>
        <v/>
      </c>
      <c r="B138" s="17" t="str">
        <f t="shared" si="4"/>
        <v/>
      </c>
      <c r="C138" s="1" t="s">
        <v>1370</v>
      </c>
      <c r="D138" s="30" t="str">
        <f>IFERROR(__xludf.DUMMYFUNCTION("IFERROR(GOOGLEFINANCE(C138, ""NAME""))"),"Casella Waste Systems Inc")</f>
        <v>Casella Waste Systems Inc</v>
      </c>
      <c r="E138" s="30" t="s">
        <v>1371</v>
      </c>
      <c r="F138" s="38" t="str">
        <f>IFERROR(__xludf.DUMMYFUNCTION("( (GOOGLEFINANCE(C138, ""price"") - Q138) / Q138 ) / (R138 / 100)"),"Loading...")</f>
        <v>Loading...</v>
      </c>
      <c r="G138" s="20" t="str">
        <f>IFERROR(__xludf.DUMMYFUNCTION("AVERAGE(ARRAYFORMULA(100 * (QUERY(GOOGLEFINANCE(C138, ""high"", TODAY()-40, TODAY()), ""SELECT Col2 WHERE Col2 IS NOT NULL ORDER BY Col1 DESC LIMIT 20"", 0) / QUERY(GOOGLEFINANCE(C138, ""low"", TODAY()-40, TODAY()), ""SELECT Col2 WHERE Col2 IS NOT NULL OR"&amp;"DER BY Col1 DESC LIMIT 20"", 0) - 1)))"),"#N/A")</f>
        <v>#N/A</v>
      </c>
      <c r="H138" s="35" t="str">
        <f t="shared" si="6"/>
        <v/>
      </c>
      <c r="I138" s="35" t="str">
        <f t="shared" si="7"/>
        <v/>
      </c>
      <c r="J138" s="37" t="str">
        <f>IFERROR(__xludf.DUMMYFUNCTION("IFERROR(
  IF(C138="""",, 
    IFERROR(
      GOOGLEFINANCE(C138, ""price"") * GOOGLEFINANCE(C138, ""volumeavg""), 
      GOOGLEFINANCE(C138, ""price"") * AVERAGE(QUERY(GOOGLEFINANCE(C138, ""volume"", TODAY()-40, TODAY()), ""SELECT Col2 WHERE Col2 IS NOT "&amp;"NULL ORDER BY Col1 DESC LIMIT 20"", 0))
    )
  ), 
"""")"),"")</f>
        <v/>
      </c>
      <c r="K138" s="21" t="str">
        <f>IFERROR(__xludf.DUMMYFUNCTION("IFERROR(GOOGLEFINANCE(C138, ""changepct"") / 100, """")"),"")</f>
        <v/>
      </c>
      <c r="L138" s="21" t="str">
        <f>IFERROR(__xludf.DUMMYFUNCTION("IFERROR((GOOGLEFINANCE(C138, ""price"") / INDEX(GOOGLEFINANCE(C138, ""price"", TODAY()-7, TODAY()), 2, 2)) - 1, """")"),"")</f>
        <v/>
      </c>
      <c r="M138" s="21" t="str">
        <f>IFERROR(__xludf.DUMMYFUNCTION("IFERROR((GOOGLEFINANCE(C138, ""price"") / INDEX(GOOGLEFINANCE(C138, ""price"", EDATE(TODAY(), -1), TODAY()), 2, 2)) - 1, """")"),"")</f>
        <v/>
      </c>
      <c r="N138" s="21" t="str">
        <f>IFERROR(__xludf.DUMMYFUNCTION("IFERROR((GOOGLEFINANCE(C138, ""price"") / INDEX(GOOGLEFINANCE(C138, ""price"", EDATE(TODAY(), -3), TODAY()), 2, 2)) - 1, """")"),"")</f>
        <v/>
      </c>
      <c r="O138" s="21" t="str">
        <f>IFERROR(__xludf.DUMMYFUNCTION("IFERROR((GOOGLEFINANCE(C138, ""price"") / INDEX(GOOGLEFINANCE(C138, ""price"", EDATE(TODAY(), -6), TODAY()), 2, 2)) - 1, """")"),"")</f>
        <v/>
      </c>
      <c r="P138" s="21" t="str">
        <f>IFERROR(__xludf.DUMMYFUNCTION("IFERROR((GOOGLEFINANCE(C138, ""price"") / INDEX(GOOGLEFINANCE(C138, ""price"", EDATE(TODAY(), -12), TODAY()), 2, 2)) - 1, """")"),"")</f>
        <v/>
      </c>
      <c r="Q138" s="6" t="str">
        <f>IFERROR(__xludf.DUMMYFUNCTION("AVERAGE(QUERY(GOOGLEFINANCE(C138, ""price"", TODAY()-80, TODAY()), ""SELECT Col2 WHERE Col2 IS NOT NULL ORDER BY Col1 DESC LIMIT 50"", 0))"),"#N/A")</f>
        <v>#N/A</v>
      </c>
      <c r="R138" s="24" t="str">
        <f>IFERROR(__xludf.DUMMYFUNCTION("IFERROR(
  LET(
    data, QUERY(GOOGLEFINANCE(C138,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GOOGLEFINANCE(C138, ""price"")) * 100,
    IF(calc=0, G138, calc)
  ), 
G138)"),"#N/A")</f>
        <v>#N/A</v>
      </c>
      <c r="S138" s="8" t="s">
        <v>15</v>
      </c>
      <c r="T138" s="26" t="str">
        <f>IFERROR(__xludf.DUMMYFUNCTION("IFERROR(TRANSPOSE(QUERY(IFERROR(SORT(GOOGLEFINANCE(C138, ""price"", WORKDAY(TODAY(), -40), TODAY()), 1, FALSE)), ""select Col2 where Col2 is not null limit 22 label Col2 ''"", 0)), """")"),"")</f>
        <v/>
      </c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8"/>
      <c r="AO138" s="28"/>
      <c r="AP138" s="29"/>
      <c r="AQ138" s="29" t="str">
        <f t="shared" ref="AQ138:BL138" si="141">T138/T$2</f>
        <v>#N/A</v>
      </c>
      <c r="AR138" s="29" t="str">
        <f t="shared" si="141"/>
        <v>#DIV/0!</v>
      </c>
      <c r="AS138" s="29" t="str">
        <f t="shared" si="141"/>
        <v>#DIV/0!</v>
      </c>
      <c r="AT138" s="29" t="str">
        <f t="shared" si="141"/>
        <v>#DIV/0!</v>
      </c>
      <c r="AU138" s="29" t="str">
        <f t="shared" si="141"/>
        <v>#DIV/0!</v>
      </c>
      <c r="AV138" s="29" t="str">
        <f t="shared" si="141"/>
        <v>#DIV/0!</v>
      </c>
      <c r="AW138" s="29" t="str">
        <f t="shared" si="141"/>
        <v>#DIV/0!</v>
      </c>
      <c r="AX138" s="29" t="str">
        <f t="shared" si="141"/>
        <v>#DIV/0!</v>
      </c>
      <c r="AY138" s="29" t="str">
        <f t="shared" si="141"/>
        <v>#DIV/0!</v>
      </c>
      <c r="AZ138" s="29" t="str">
        <f t="shared" si="141"/>
        <v>#DIV/0!</v>
      </c>
      <c r="BA138" s="29" t="str">
        <f t="shared" si="141"/>
        <v>#DIV/0!</v>
      </c>
      <c r="BB138" s="29" t="str">
        <f t="shared" si="141"/>
        <v>#DIV/0!</v>
      </c>
      <c r="BC138" s="29" t="str">
        <f t="shared" si="141"/>
        <v>#DIV/0!</v>
      </c>
      <c r="BD138" s="29" t="str">
        <f t="shared" si="141"/>
        <v>#DIV/0!</v>
      </c>
      <c r="BE138" s="29" t="str">
        <f t="shared" si="141"/>
        <v>#DIV/0!</v>
      </c>
      <c r="BF138" s="29" t="str">
        <f t="shared" si="141"/>
        <v>#DIV/0!</v>
      </c>
      <c r="BG138" s="29" t="str">
        <f t="shared" si="141"/>
        <v>#DIV/0!</v>
      </c>
      <c r="BH138" s="29" t="str">
        <f t="shared" si="141"/>
        <v>#DIV/0!</v>
      </c>
      <c r="BI138" s="29" t="str">
        <f t="shared" si="141"/>
        <v>#DIV/0!</v>
      </c>
      <c r="BJ138" s="29" t="str">
        <f t="shared" si="141"/>
        <v>#DIV/0!</v>
      </c>
      <c r="BK138" s="29" t="str">
        <f t="shared" si="141"/>
        <v>#DIV/0!</v>
      </c>
      <c r="BL138" s="29" t="str">
        <f t="shared" si="141"/>
        <v>#DIV/0!</v>
      </c>
      <c r="BM138" s="29" t="str">
        <f t="shared" si="3"/>
        <v>#DIV/0!</v>
      </c>
    </row>
    <row r="139">
      <c r="A139" s="16" t="str">
        <f>IFERROR(__xludf.DUMMYFUNCTION("IFERROR(SPARKLINE(SORT(MAP(TRANSPOSE(AQ139:BL139), LAMBDA(val, IF(ISNUMBER(val), PERCENTRANK(AQ139:BL139, val)+0.01, 0))), SEQUENCE(COLUMNS(AQ139:BL139)), FALSE), {""charttype"",""column""; ""color"",""chartreuse""; ""ymin"", 0; ""ymax"", 1.01; ""highcolo"&amp;"r"", ""darkgreen""; ""lowcolor"", ""red""}), """")"),"")</f>
        <v/>
      </c>
      <c r="B139" s="17" t="str">
        <f t="shared" si="4"/>
        <v/>
      </c>
      <c r="C139" s="1" t="s">
        <v>1374</v>
      </c>
      <c r="D139" s="30" t="str">
        <f>IFERROR(__xludf.DUMMYFUNCTION("IFERROR(GOOGLEFINANCE(C139, ""NAME""))"),"GE Vernova Inc")</f>
        <v>GE Vernova Inc</v>
      </c>
      <c r="E139" s="30" t="s">
        <v>893</v>
      </c>
      <c r="F139" s="33" t="str">
        <f>IFERROR(__xludf.DUMMYFUNCTION("( (GOOGLEFINANCE(C139, ""price"") - Q139) / Q139 ) / (R139 / 100)"),"Loading...")</f>
        <v>Loading...</v>
      </c>
      <c r="G139" s="20" t="str">
        <f>IFERROR(__xludf.DUMMYFUNCTION("AVERAGE(ARRAYFORMULA(100 * (QUERY(GOOGLEFINANCE(C139, ""high"", TODAY()-40, TODAY()), ""SELECT Col2 WHERE Col2 IS NOT NULL ORDER BY Col1 DESC LIMIT 20"", 0) / QUERY(GOOGLEFINANCE(C139, ""low"", TODAY()-40, TODAY()), ""SELECT Col2 WHERE Col2 IS NOT NULL OR"&amp;"DER BY Col1 DESC LIMIT 20"", 0) - 1)))"),"#N/A")</f>
        <v>#N/A</v>
      </c>
      <c r="H139" s="35" t="str">
        <f t="shared" si="6"/>
        <v/>
      </c>
      <c r="I139" s="35" t="str">
        <f t="shared" si="7"/>
        <v/>
      </c>
      <c r="J139" s="37" t="str">
        <f>IFERROR(__xludf.DUMMYFUNCTION("IFERROR(
  IF(C139="""",, 
    IFERROR(
      GOOGLEFINANCE(C139, ""price"") * GOOGLEFINANCE(C139, ""volumeavg""), 
      GOOGLEFINANCE(C139, ""price"") * AVERAGE(QUERY(GOOGLEFINANCE(C139, ""volume"", TODAY()-40, TODAY()), ""SELECT Col2 WHERE Col2 IS NOT "&amp;"NULL ORDER BY Col1 DESC LIMIT 20"", 0))
    )
  ), 
"""")"),"")</f>
        <v/>
      </c>
      <c r="K139" s="21" t="str">
        <f>IFERROR(__xludf.DUMMYFUNCTION("IFERROR(GOOGLEFINANCE(C139, ""changepct"") / 100, """")"),"")</f>
        <v/>
      </c>
      <c r="L139" s="21" t="str">
        <f>IFERROR(__xludf.DUMMYFUNCTION("IFERROR((GOOGLEFINANCE(C139, ""price"") / INDEX(GOOGLEFINANCE(C139, ""price"", TODAY()-7, TODAY()), 2, 2)) - 1, """")"),"")</f>
        <v/>
      </c>
      <c r="M139" s="21" t="str">
        <f>IFERROR(__xludf.DUMMYFUNCTION("IFERROR((GOOGLEFINANCE(C139, ""price"") / INDEX(GOOGLEFINANCE(C139, ""price"", EDATE(TODAY(), -1), TODAY()), 2, 2)) - 1, """")"),"")</f>
        <v/>
      </c>
      <c r="N139" s="21" t="str">
        <f>IFERROR(__xludf.DUMMYFUNCTION("IFERROR((GOOGLEFINANCE(C139, ""price"") / INDEX(GOOGLEFINANCE(C139, ""price"", EDATE(TODAY(), -3), TODAY()), 2, 2)) - 1, """")"),"")</f>
        <v/>
      </c>
      <c r="O139" s="21" t="str">
        <f>IFERROR(__xludf.DUMMYFUNCTION("IFERROR((GOOGLEFINANCE(C139, ""price"") / INDEX(GOOGLEFINANCE(C139, ""price"", EDATE(TODAY(), -6), TODAY()), 2, 2)) - 1, """")"),"")</f>
        <v/>
      </c>
      <c r="P139" s="21" t="str">
        <f>IFERROR(__xludf.DUMMYFUNCTION("IFERROR((GOOGLEFINANCE(C139, ""price"") / INDEX(GOOGLEFINANCE(C139, ""price"", EDATE(TODAY(), -12), TODAY()), 2, 2)) - 1, """")"),"")</f>
        <v/>
      </c>
      <c r="Q139" s="6" t="str">
        <f>IFERROR(__xludf.DUMMYFUNCTION("AVERAGE(QUERY(GOOGLEFINANCE(C139, ""price"", TODAY()-80, TODAY()), ""SELECT Col2 WHERE Col2 IS NOT NULL ORDER BY Col1 DESC LIMIT 50"", 0))"),"#N/A")</f>
        <v>#N/A</v>
      </c>
      <c r="R139" s="24" t="str">
        <f>IFERROR(__xludf.DUMMYFUNCTION("IFERROR(
  LET(
    data, QUERY(GOOGLEFINANCE(C139,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GOOGLEFINANCE(C139, ""price"")) * 100,
    IF(calc=0, G139, calc)
  ), 
G139)"),"#N/A")</f>
        <v>#N/A</v>
      </c>
      <c r="S139" s="8" t="s">
        <v>15</v>
      </c>
      <c r="T139" s="26" t="str">
        <f>IFERROR(__xludf.DUMMYFUNCTION("IFERROR(TRANSPOSE(QUERY(IFERROR(SORT(GOOGLEFINANCE(C139, ""price"", WORKDAY(TODAY(), -40), TODAY()), 1, FALSE)), ""select Col2 where Col2 is not null limit 22 label Col2 ''"", 0)), """")"),"")</f>
        <v/>
      </c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8"/>
      <c r="AO139" s="28"/>
      <c r="AP139" s="29"/>
      <c r="AQ139" s="29" t="str">
        <f t="shared" ref="AQ139:BL139" si="142">T139/T$2</f>
        <v>#N/A</v>
      </c>
      <c r="AR139" s="29" t="str">
        <f t="shared" si="142"/>
        <v>#DIV/0!</v>
      </c>
      <c r="AS139" s="29" t="str">
        <f t="shared" si="142"/>
        <v>#DIV/0!</v>
      </c>
      <c r="AT139" s="29" t="str">
        <f t="shared" si="142"/>
        <v>#DIV/0!</v>
      </c>
      <c r="AU139" s="29" t="str">
        <f t="shared" si="142"/>
        <v>#DIV/0!</v>
      </c>
      <c r="AV139" s="29" t="str">
        <f t="shared" si="142"/>
        <v>#DIV/0!</v>
      </c>
      <c r="AW139" s="29" t="str">
        <f t="shared" si="142"/>
        <v>#DIV/0!</v>
      </c>
      <c r="AX139" s="29" t="str">
        <f t="shared" si="142"/>
        <v>#DIV/0!</v>
      </c>
      <c r="AY139" s="29" t="str">
        <f t="shared" si="142"/>
        <v>#DIV/0!</v>
      </c>
      <c r="AZ139" s="29" t="str">
        <f t="shared" si="142"/>
        <v>#DIV/0!</v>
      </c>
      <c r="BA139" s="29" t="str">
        <f t="shared" si="142"/>
        <v>#DIV/0!</v>
      </c>
      <c r="BB139" s="29" t="str">
        <f t="shared" si="142"/>
        <v>#DIV/0!</v>
      </c>
      <c r="BC139" s="29" t="str">
        <f t="shared" si="142"/>
        <v>#DIV/0!</v>
      </c>
      <c r="BD139" s="29" t="str">
        <f t="shared" si="142"/>
        <v>#DIV/0!</v>
      </c>
      <c r="BE139" s="29" t="str">
        <f t="shared" si="142"/>
        <v>#DIV/0!</v>
      </c>
      <c r="BF139" s="29" t="str">
        <f t="shared" si="142"/>
        <v>#DIV/0!</v>
      </c>
      <c r="BG139" s="29" t="str">
        <f t="shared" si="142"/>
        <v>#DIV/0!</v>
      </c>
      <c r="BH139" s="29" t="str">
        <f t="shared" si="142"/>
        <v>#DIV/0!</v>
      </c>
      <c r="BI139" s="29" t="str">
        <f t="shared" si="142"/>
        <v>#DIV/0!</v>
      </c>
      <c r="BJ139" s="29" t="str">
        <f t="shared" si="142"/>
        <v>#DIV/0!</v>
      </c>
      <c r="BK139" s="29" t="str">
        <f t="shared" si="142"/>
        <v>#DIV/0!</v>
      </c>
      <c r="BL139" s="29" t="str">
        <f t="shared" si="142"/>
        <v>#DIV/0!</v>
      </c>
      <c r="BM139" s="29" t="str">
        <f t="shared" si="3"/>
        <v>#DIV/0!</v>
      </c>
    </row>
    <row r="140">
      <c r="A140" s="16" t="str">
        <f>IFERROR(__xludf.DUMMYFUNCTION("IFERROR(SPARKLINE(SORT(MAP(TRANSPOSE(AQ140:BL140), LAMBDA(val, IF(ISNUMBER(val), PERCENTRANK(AQ140:BL140, val)+0.01, 0))), SEQUENCE(COLUMNS(AQ140:BL140)), FALSE), {""charttype"",""column""; ""color"",""chartreuse""; ""ymin"", 0; ""ymax"", 1.01; ""highcolo"&amp;"r"", ""darkgreen""; ""lowcolor"", ""red""}), """")"),"")</f>
        <v/>
      </c>
      <c r="B140" s="17" t="str">
        <f t="shared" si="4"/>
        <v/>
      </c>
      <c r="C140" s="1" t="s">
        <v>1378</v>
      </c>
      <c r="D140" s="30" t="str">
        <f>IFERROR(__xludf.DUMMYFUNCTION("IFERROR(GOOGLEFINANCE(C140, ""NAME""))"),"RBC Bearings Inc")</f>
        <v>RBC Bearings Inc</v>
      </c>
      <c r="E140" s="30" t="s">
        <v>1055</v>
      </c>
      <c r="F140" s="33" t="str">
        <f>IFERROR(__xludf.DUMMYFUNCTION("( (GOOGLEFINANCE(C140, ""price"") - Q140) / Q140 ) / (R140 / 100)"),"Loading...")</f>
        <v>Loading...</v>
      </c>
      <c r="G140" s="20" t="str">
        <f>IFERROR(__xludf.DUMMYFUNCTION("AVERAGE(ARRAYFORMULA(100 * (QUERY(GOOGLEFINANCE(C140, ""high"", TODAY()-40, TODAY()), ""SELECT Col2 WHERE Col2 IS NOT NULL ORDER BY Col1 DESC LIMIT 20"", 0) / QUERY(GOOGLEFINANCE(C140, ""low"", TODAY()-40, TODAY()), ""SELECT Col2 WHERE Col2 IS NOT NULL OR"&amp;"DER BY Col1 DESC LIMIT 20"", 0) - 1)))"),"#N/A")</f>
        <v>#N/A</v>
      </c>
      <c r="H140" s="35" t="str">
        <f t="shared" si="6"/>
        <v/>
      </c>
      <c r="I140" s="35" t="str">
        <f t="shared" si="7"/>
        <v/>
      </c>
      <c r="J140" s="37" t="str">
        <f>IFERROR(__xludf.DUMMYFUNCTION("IFERROR(
  IF(C140="""",, 
    IFERROR(
      GOOGLEFINANCE(C140, ""price"") * GOOGLEFINANCE(C140, ""volumeavg""), 
      GOOGLEFINANCE(C140, ""price"") * AVERAGE(QUERY(GOOGLEFINANCE(C140, ""volume"", TODAY()-40, TODAY()), ""SELECT Col2 WHERE Col2 IS NOT "&amp;"NULL ORDER BY Col1 DESC LIMIT 20"", 0))
    )
  ), 
"""")"),"")</f>
        <v/>
      </c>
      <c r="K140" s="21" t="str">
        <f>IFERROR(__xludf.DUMMYFUNCTION("IFERROR(GOOGLEFINANCE(C140, ""changepct"") / 100, """")"),"")</f>
        <v/>
      </c>
      <c r="L140" s="21" t="str">
        <f>IFERROR(__xludf.DUMMYFUNCTION("IFERROR((GOOGLEFINANCE(C140, ""price"") / INDEX(GOOGLEFINANCE(C140, ""price"", TODAY()-7, TODAY()), 2, 2)) - 1, """")"),"")</f>
        <v/>
      </c>
      <c r="M140" s="21" t="str">
        <f>IFERROR(__xludf.DUMMYFUNCTION("IFERROR((GOOGLEFINANCE(C140, ""price"") / INDEX(GOOGLEFINANCE(C140, ""price"", EDATE(TODAY(), -1), TODAY()), 2, 2)) - 1, """")"),"")</f>
        <v/>
      </c>
      <c r="N140" s="21" t="str">
        <f>IFERROR(__xludf.DUMMYFUNCTION("IFERROR((GOOGLEFINANCE(C140, ""price"") / INDEX(GOOGLEFINANCE(C140, ""price"", EDATE(TODAY(), -3), TODAY()), 2, 2)) - 1, """")"),"")</f>
        <v/>
      </c>
      <c r="O140" s="21" t="str">
        <f>IFERROR(__xludf.DUMMYFUNCTION("IFERROR((GOOGLEFINANCE(C140, ""price"") / INDEX(GOOGLEFINANCE(C140, ""price"", EDATE(TODAY(), -6), TODAY()), 2, 2)) - 1, """")"),"")</f>
        <v/>
      </c>
      <c r="P140" s="21" t="str">
        <f>IFERROR(__xludf.DUMMYFUNCTION("IFERROR((GOOGLEFINANCE(C140, ""price"") / INDEX(GOOGLEFINANCE(C140, ""price"", EDATE(TODAY(), -12), TODAY()), 2, 2)) - 1, """")"),"")</f>
        <v/>
      </c>
      <c r="Q140" s="6" t="str">
        <f>IFERROR(__xludf.DUMMYFUNCTION("AVERAGE(QUERY(GOOGLEFINANCE(C140, ""price"", TODAY()-80, TODAY()), ""SELECT Col2 WHERE Col2 IS NOT NULL ORDER BY Col1 DESC LIMIT 50"", 0))"),"#N/A")</f>
        <v>#N/A</v>
      </c>
      <c r="R140" s="24" t="str">
        <f>IFERROR(__xludf.DUMMYFUNCTION("IFERROR(
  LET(
    data, QUERY(GOOGLEFINANCE(C140,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GOOGLEFINANCE(C140, ""price"")) * 100,
    IF(calc=0, G140, calc)
  ), 
G140)"),"#N/A")</f>
        <v>#N/A</v>
      </c>
      <c r="S140" s="8" t="s">
        <v>15</v>
      </c>
      <c r="T140" s="26" t="str">
        <f>IFERROR(__xludf.DUMMYFUNCTION("IFERROR(TRANSPOSE(QUERY(IFERROR(SORT(GOOGLEFINANCE(C140, ""price"", WORKDAY(TODAY(), -40), TODAY()), 1, FALSE)), ""select Col2 where Col2 is not null limit 22 label Col2 ''"", 0)), """")"),"")</f>
        <v/>
      </c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8"/>
      <c r="AO140" s="28"/>
      <c r="AP140" s="29"/>
      <c r="AQ140" s="29" t="str">
        <f t="shared" ref="AQ140:BL140" si="143">T140/T$2</f>
        <v>#N/A</v>
      </c>
      <c r="AR140" s="29" t="str">
        <f t="shared" si="143"/>
        <v>#DIV/0!</v>
      </c>
      <c r="AS140" s="29" t="str">
        <f t="shared" si="143"/>
        <v>#DIV/0!</v>
      </c>
      <c r="AT140" s="29" t="str">
        <f t="shared" si="143"/>
        <v>#DIV/0!</v>
      </c>
      <c r="AU140" s="29" t="str">
        <f t="shared" si="143"/>
        <v>#DIV/0!</v>
      </c>
      <c r="AV140" s="29" t="str">
        <f t="shared" si="143"/>
        <v>#DIV/0!</v>
      </c>
      <c r="AW140" s="29" t="str">
        <f t="shared" si="143"/>
        <v>#DIV/0!</v>
      </c>
      <c r="AX140" s="29" t="str">
        <f t="shared" si="143"/>
        <v>#DIV/0!</v>
      </c>
      <c r="AY140" s="29" t="str">
        <f t="shared" si="143"/>
        <v>#DIV/0!</v>
      </c>
      <c r="AZ140" s="29" t="str">
        <f t="shared" si="143"/>
        <v>#DIV/0!</v>
      </c>
      <c r="BA140" s="29" t="str">
        <f t="shared" si="143"/>
        <v>#DIV/0!</v>
      </c>
      <c r="BB140" s="29" t="str">
        <f t="shared" si="143"/>
        <v>#DIV/0!</v>
      </c>
      <c r="BC140" s="29" t="str">
        <f t="shared" si="143"/>
        <v>#DIV/0!</v>
      </c>
      <c r="BD140" s="29" t="str">
        <f t="shared" si="143"/>
        <v>#DIV/0!</v>
      </c>
      <c r="BE140" s="29" t="str">
        <f t="shared" si="143"/>
        <v>#DIV/0!</v>
      </c>
      <c r="BF140" s="29" t="str">
        <f t="shared" si="143"/>
        <v>#DIV/0!</v>
      </c>
      <c r="BG140" s="29" t="str">
        <f t="shared" si="143"/>
        <v>#DIV/0!</v>
      </c>
      <c r="BH140" s="29" t="str">
        <f t="shared" si="143"/>
        <v>#DIV/0!</v>
      </c>
      <c r="BI140" s="29" t="str">
        <f t="shared" si="143"/>
        <v>#DIV/0!</v>
      </c>
      <c r="BJ140" s="29" t="str">
        <f t="shared" si="143"/>
        <v>#DIV/0!</v>
      </c>
      <c r="BK140" s="29" t="str">
        <f t="shared" si="143"/>
        <v>#DIV/0!</v>
      </c>
      <c r="BL140" s="29" t="str">
        <f t="shared" si="143"/>
        <v>#DIV/0!</v>
      </c>
      <c r="BM140" s="29" t="str">
        <f t="shared" si="3"/>
        <v>#DIV/0!</v>
      </c>
    </row>
    <row r="141">
      <c r="A141" s="16" t="str">
        <f>IFERROR(__xludf.DUMMYFUNCTION("IFERROR(SPARKLINE(SORT(MAP(TRANSPOSE(AQ141:BL141), LAMBDA(val, IF(ISNUMBER(val), PERCENTRANK(AQ141:BL141, val)+0.01, 0))), SEQUENCE(COLUMNS(AQ141:BL141)), FALSE), {""charttype"",""column""; ""color"",""chartreuse""; ""ymin"", 0; ""ymax"", 1.01; ""highcolo"&amp;"r"", ""darkgreen""; ""lowcolor"", ""red""}), """")"),"")</f>
        <v/>
      </c>
      <c r="B141" s="17" t="str">
        <f t="shared" si="4"/>
        <v/>
      </c>
      <c r="C141" s="1" t="s">
        <v>1382</v>
      </c>
      <c r="D141" s="30" t="str">
        <f>IFERROR(__xludf.DUMMYFUNCTION("IFERROR(GOOGLEFINANCE(C141, ""NAME""))"),"Ducommun Inc")</f>
        <v>Ducommun Inc</v>
      </c>
      <c r="E141" s="30" t="s">
        <v>839</v>
      </c>
      <c r="F141" s="33" t="str">
        <f>IFERROR(__xludf.DUMMYFUNCTION("( (GOOGLEFINANCE(C141, ""price"") - Q141) / Q141 ) / (R141 / 100)"),"Loading...")</f>
        <v>Loading...</v>
      </c>
      <c r="G141" s="20" t="str">
        <f>IFERROR(__xludf.DUMMYFUNCTION("AVERAGE(ARRAYFORMULA(100 * (QUERY(GOOGLEFINANCE(C141, ""high"", TODAY()-40, TODAY()), ""SELECT Col2 WHERE Col2 IS NOT NULL ORDER BY Col1 DESC LIMIT 20"", 0) / QUERY(GOOGLEFINANCE(C141, ""low"", TODAY()-40, TODAY()), ""SELECT Col2 WHERE Col2 IS NOT NULL OR"&amp;"DER BY Col1 DESC LIMIT 20"", 0) - 1)))"),"#N/A")</f>
        <v>#N/A</v>
      </c>
      <c r="H141" s="35" t="str">
        <f t="shared" si="6"/>
        <v/>
      </c>
      <c r="I141" s="35" t="str">
        <f t="shared" si="7"/>
        <v/>
      </c>
      <c r="J141" s="37" t="str">
        <f>IFERROR(__xludf.DUMMYFUNCTION("IFERROR(
  IF(C141="""",, 
    IFERROR(
      GOOGLEFINANCE(C141, ""price"") * GOOGLEFINANCE(C141, ""volumeavg""), 
      GOOGLEFINANCE(C141, ""price"") * AVERAGE(QUERY(GOOGLEFINANCE(C141, ""volume"", TODAY()-40, TODAY()), ""SELECT Col2 WHERE Col2 IS NOT "&amp;"NULL ORDER BY Col1 DESC LIMIT 20"", 0))
    )
  ), 
"""")"),"")</f>
        <v/>
      </c>
      <c r="K141" s="21" t="str">
        <f>IFERROR(__xludf.DUMMYFUNCTION("IFERROR(GOOGLEFINANCE(C141, ""changepct"") / 100, """")"),"")</f>
        <v/>
      </c>
      <c r="L141" s="21" t="str">
        <f>IFERROR(__xludf.DUMMYFUNCTION("IFERROR((GOOGLEFINANCE(C141, ""price"") / INDEX(GOOGLEFINANCE(C141, ""price"", TODAY()-7, TODAY()), 2, 2)) - 1, """")"),"")</f>
        <v/>
      </c>
      <c r="M141" s="21" t="str">
        <f>IFERROR(__xludf.DUMMYFUNCTION("IFERROR((GOOGLEFINANCE(C141, ""price"") / INDEX(GOOGLEFINANCE(C141, ""price"", EDATE(TODAY(), -1), TODAY()), 2, 2)) - 1, """")"),"")</f>
        <v/>
      </c>
      <c r="N141" s="21" t="str">
        <f>IFERROR(__xludf.DUMMYFUNCTION("IFERROR((GOOGLEFINANCE(C141, ""price"") / INDEX(GOOGLEFINANCE(C141, ""price"", EDATE(TODAY(), -3), TODAY()), 2, 2)) - 1, """")"),"")</f>
        <v/>
      </c>
      <c r="O141" s="21" t="str">
        <f>IFERROR(__xludf.DUMMYFUNCTION("IFERROR((GOOGLEFINANCE(C141, ""price"") / INDEX(GOOGLEFINANCE(C141, ""price"", EDATE(TODAY(), -6), TODAY()), 2, 2)) - 1, """")"),"")</f>
        <v/>
      </c>
      <c r="P141" s="21" t="str">
        <f>IFERROR(__xludf.DUMMYFUNCTION("IFERROR((GOOGLEFINANCE(C141, ""price"") / INDEX(GOOGLEFINANCE(C141, ""price"", EDATE(TODAY(), -12), TODAY()), 2, 2)) - 1, """")"),"")</f>
        <v/>
      </c>
      <c r="Q141" s="6" t="str">
        <f>IFERROR(__xludf.DUMMYFUNCTION("AVERAGE(QUERY(GOOGLEFINANCE(C141, ""price"", TODAY()-80, TODAY()), ""SELECT Col2 WHERE Col2 IS NOT NULL ORDER BY Col1 DESC LIMIT 50"", 0))"),"#N/A")</f>
        <v>#N/A</v>
      </c>
      <c r="R141" s="24" t="str">
        <f>IFERROR(__xludf.DUMMYFUNCTION("IFERROR(
  LET(
    data, QUERY(GOOGLEFINANCE(C141,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GOOGLEFINANCE(C141, ""price"")) * 100,
    IF(calc=0, G141, calc)
  ), 
G141)"),"#N/A")</f>
        <v>#N/A</v>
      </c>
      <c r="S141" s="8" t="s">
        <v>15</v>
      </c>
      <c r="T141" s="26" t="str">
        <f>IFERROR(__xludf.DUMMYFUNCTION("IFERROR(TRANSPOSE(QUERY(IFERROR(SORT(GOOGLEFINANCE(C141, ""price"", WORKDAY(TODAY(), -40), TODAY()), 1, FALSE)), ""select Col2 where Col2 is not null limit 22 label Col2 ''"", 0)), """")"),"")</f>
        <v/>
      </c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8"/>
      <c r="AO141" s="28"/>
      <c r="AP141" s="29"/>
      <c r="AQ141" s="29" t="str">
        <f t="shared" ref="AQ141:BL141" si="144">T141/T$2</f>
        <v>#N/A</v>
      </c>
      <c r="AR141" s="29" t="str">
        <f t="shared" si="144"/>
        <v>#DIV/0!</v>
      </c>
      <c r="AS141" s="29" t="str">
        <f t="shared" si="144"/>
        <v>#DIV/0!</v>
      </c>
      <c r="AT141" s="29" t="str">
        <f t="shared" si="144"/>
        <v>#DIV/0!</v>
      </c>
      <c r="AU141" s="29" t="str">
        <f t="shared" si="144"/>
        <v>#DIV/0!</v>
      </c>
      <c r="AV141" s="29" t="str">
        <f t="shared" si="144"/>
        <v>#DIV/0!</v>
      </c>
      <c r="AW141" s="29" t="str">
        <f t="shared" si="144"/>
        <v>#DIV/0!</v>
      </c>
      <c r="AX141" s="29" t="str">
        <f t="shared" si="144"/>
        <v>#DIV/0!</v>
      </c>
      <c r="AY141" s="29" t="str">
        <f t="shared" si="144"/>
        <v>#DIV/0!</v>
      </c>
      <c r="AZ141" s="29" t="str">
        <f t="shared" si="144"/>
        <v>#DIV/0!</v>
      </c>
      <c r="BA141" s="29" t="str">
        <f t="shared" si="144"/>
        <v>#DIV/0!</v>
      </c>
      <c r="BB141" s="29" t="str">
        <f t="shared" si="144"/>
        <v>#DIV/0!</v>
      </c>
      <c r="BC141" s="29" t="str">
        <f t="shared" si="144"/>
        <v>#DIV/0!</v>
      </c>
      <c r="BD141" s="29" t="str">
        <f t="shared" si="144"/>
        <v>#DIV/0!</v>
      </c>
      <c r="BE141" s="29" t="str">
        <f t="shared" si="144"/>
        <v>#DIV/0!</v>
      </c>
      <c r="BF141" s="29" t="str">
        <f t="shared" si="144"/>
        <v>#DIV/0!</v>
      </c>
      <c r="BG141" s="29" t="str">
        <f t="shared" si="144"/>
        <v>#DIV/0!</v>
      </c>
      <c r="BH141" s="29" t="str">
        <f t="shared" si="144"/>
        <v>#DIV/0!</v>
      </c>
      <c r="BI141" s="29" t="str">
        <f t="shared" si="144"/>
        <v>#DIV/0!</v>
      </c>
      <c r="BJ141" s="29" t="str">
        <f t="shared" si="144"/>
        <v>#DIV/0!</v>
      </c>
      <c r="BK141" s="29" t="str">
        <f t="shared" si="144"/>
        <v>#DIV/0!</v>
      </c>
      <c r="BL141" s="29" t="str">
        <f t="shared" si="144"/>
        <v>#DIV/0!</v>
      </c>
      <c r="BM141" s="29" t="str">
        <f t="shared" si="3"/>
        <v>#DIV/0!</v>
      </c>
    </row>
    <row r="142">
      <c r="A142" s="16" t="str">
        <f>IFERROR(__xludf.DUMMYFUNCTION("IFERROR(SPARKLINE(SORT(MAP(TRANSPOSE(AQ142:BL142), LAMBDA(val, IF(ISNUMBER(val), PERCENTRANK(AQ142:BL142, val)+0.01, 0))), SEQUENCE(COLUMNS(AQ142:BL142)), FALSE), {""charttype"",""column""; ""color"",""chartreuse""; ""ymin"", 0; ""ymax"", 1.01; ""highcolo"&amp;"r"", ""darkgreen""; ""lowcolor"", ""red""}), """")"),"")</f>
        <v/>
      </c>
      <c r="B142" s="17" t="str">
        <f t="shared" si="4"/>
        <v/>
      </c>
      <c r="C142" s="1" t="s">
        <v>1386</v>
      </c>
      <c r="D142" s="30" t="str">
        <f>IFERROR(__xludf.DUMMYFUNCTION("IFERROR(GOOGLEFINANCE(C142, ""NAME""))"),"SKYX Platforms Corp")</f>
        <v>SKYX Platforms Corp</v>
      </c>
      <c r="E142" s="30" t="s">
        <v>864</v>
      </c>
      <c r="F142" s="33" t="str">
        <f>IFERROR(__xludf.DUMMYFUNCTION("( (GOOGLEFINANCE(C142, ""price"") - Q142) / Q142 ) / (R142 / 100)"),"Loading...")</f>
        <v>Loading...</v>
      </c>
      <c r="G142" s="20" t="str">
        <f>IFERROR(__xludf.DUMMYFUNCTION("AVERAGE(ARRAYFORMULA(100 * (QUERY(GOOGLEFINANCE(C142, ""high"", TODAY()-40, TODAY()), ""SELECT Col2 WHERE Col2 IS NOT NULL ORDER BY Col1 DESC LIMIT 20"", 0) / QUERY(GOOGLEFINANCE(C142, ""low"", TODAY()-40, TODAY()), ""SELECT Col2 WHERE Col2 IS NOT NULL OR"&amp;"DER BY Col1 DESC LIMIT 20"", 0) - 1)))"),"#N/A")</f>
        <v>#N/A</v>
      </c>
      <c r="H142" s="35" t="str">
        <f t="shared" si="6"/>
        <v/>
      </c>
      <c r="I142" s="35" t="str">
        <f t="shared" si="7"/>
        <v/>
      </c>
      <c r="J142" s="37" t="str">
        <f>IFERROR(__xludf.DUMMYFUNCTION("IFERROR(
  IF(C142="""",, 
    IFERROR(
      GOOGLEFINANCE(C142, ""price"") * GOOGLEFINANCE(C142, ""volumeavg""), 
      GOOGLEFINANCE(C142, ""price"") * AVERAGE(QUERY(GOOGLEFINANCE(C142, ""volume"", TODAY()-40, TODAY()), ""SELECT Col2 WHERE Col2 IS NOT "&amp;"NULL ORDER BY Col1 DESC LIMIT 20"", 0))
    )
  ), 
"""")"),"")</f>
        <v/>
      </c>
      <c r="K142" s="21" t="str">
        <f>IFERROR(__xludf.DUMMYFUNCTION("IFERROR(GOOGLEFINANCE(C142, ""changepct"") / 100, """")"),"")</f>
        <v/>
      </c>
      <c r="L142" s="21" t="str">
        <f>IFERROR(__xludf.DUMMYFUNCTION("IFERROR((GOOGLEFINANCE(C142, ""price"") / INDEX(GOOGLEFINANCE(C142, ""price"", TODAY()-7, TODAY()), 2, 2)) - 1, """")"),"")</f>
        <v/>
      </c>
      <c r="M142" s="21" t="str">
        <f>IFERROR(__xludf.DUMMYFUNCTION("IFERROR((GOOGLEFINANCE(C142, ""price"") / INDEX(GOOGLEFINANCE(C142, ""price"", EDATE(TODAY(), -1), TODAY()), 2, 2)) - 1, """")"),"")</f>
        <v/>
      </c>
      <c r="N142" s="21" t="str">
        <f>IFERROR(__xludf.DUMMYFUNCTION("IFERROR((GOOGLEFINANCE(C142, ""price"") / INDEX(GOOGLEFINANCE(C142, ""price"", EDATE(TODAY(), -3), TODAY()), 2, 2)) - 1, """")"),"")</f>
        <v/>
      </c>
      <c r="O142" s="21" t="str">
        <f>IFERROR(__xludf.DUMMYFUNCTION("IFERROR((GOOGLEFINANCE(C142, ""price"") / INDEX(GOOGLEFINANCE(C142, ""price"", EDATE(TODAY(), -6), TODAY()), 2, 2)) - 1, """")"),"")</f>
        <v/>
      </c>
      <c r="P142" s="21" t="str">
        <f>IFERROR(__xludf.DUMMYFUNCTION("IFERROR((GOOGLEFINANCE(C142, ""price"") / INDEX(GOOGLEFINANCE(C142, ""price"", EDATE(TODAY(), -12), TODAY()), 2, 2)) - 1, """")"),"")</f>
        <v/>
      </c>
      <c r="Q142" s="6" t="str">
        <f>IFERROR(__xludf.DUMMYFUNCTION("AVERAGE(QUERY(GOOGLEFINANCE(C142, ""price"", TODAY()-80, TODAY()), ""SELECT Col2 WHERE Col2 IS NOT NULL ORDER BY Col1 DESC LIMIT 50"", 0))"),"#N/A")</f>
        <v>#N/A</v>
      </c>
      <c r="R142" s="24" t="str">
        <f>IFERROR(__xludf.DUMMYFUNCTION("IFERROR(
  LET(
    data, QUERY(GOOGLEFINANCE(C142,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GOOGLEFINANCE(C142, ""price"")) * 100,
    IF(calc=0, G142, calc)
  ), 
G142)"),"#N/A")</f>
        <v>#N/A</v>
      </c>
      <c r="S142" s="8" t="s">
        <v>15</v>
      </c>
      <c r="T142" s="26" t="str">
        <f>IFERROR(__xludf.DUMMYFUNCTION("IFERROR(TRANSPOSE(QUERY(IFERROR(SORT(GOOGLEFINANCE(C142, ""price"", WORKDAY(TODAY(), -40), TODAY()), 1, FALSE)), ""select Col2 where Col2 is not null limit 22 label Col2 ''"", 0)), """")"),"")</f>
        <v/>
      </c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8"/>
      <c r="AO142" s="28"/>
      <c r="AP142" s="29"/>
      <c r="AQ142" s="29" t="str">
        <f t="shared" ref="AQ142:BL142" si="145">T142/T$2</f>
        <v>#N/A</v>
      </c>
      <c r="AR142" s="29" t="str">
        <f t="shared" si="145"/>
        <v>#DIV/0!</v>
      </c>
      <c r="AS142" s="29" t="str">
        <f t="shared" si="145"/>
        <v>#DIV/0!</v>
      </c>
      <c r="AT142" s="29" t="str">
        <f t="shared" si="145"/>
        <v>#DIV/0!</v>
      </c>
      <c r="AU142" s="29" t="str">
        <f t="shared" si="145"/>
        <v>#DIV/0!</v>
      </c>
      <c r="AV142" s="29" t="str">
        <f t="shared" si="145"/>
        <v>#DIV/0!</v>
      </c>
      <c r="AW142" s="29" t="str">
        <f t="shared" si="145"/>
        <v>#DIV/0!</v>
      </c>
      <c r="AX142" s="29" t="str">
        <f t="shared" si="145"/>
        <v>#DIV/0!</v>
      </c>
      <c r="AY142" s="29" t="str">
        <f t="shared" si="145"/>
        <v>#DIV/0!</v>
      </c>
      <c r="AZ142" s="29" t="str">
        <f t="shared" si="145"/>
        <v>#DIV/0!</v>
      </c>
      <c r="BA142" s="29" t="str">
        <f t="shared" si="145"/>
        <v>#DIV/0!</v>
      </c>
      <c r="BB142" s="29" t="str">
        <f t="shared" si="145"/>
        <v>#DIV/0!</v>
      </c>
      <c r="BC142" s="29" t="str">
        <f t="shared" si="145"/>
        <v>#DIV/0!</v>
      </c>
      <c r="BD142" s="29" t="str">
        <f t="shared" si="145"/>
        <v>#DIV/0!</v>
      </c>
      <c r="BE142" s="29" t="str">
        <f t="shared" si="145"/>
        <v>#DIV/0!</v>
      </c>
      <c r="BF142" s="29" t="str">
        <f t="shared" si="145"/>
        <v>#DIV/0!</v>
      </c>
      <c r="BG142" s="29" t="str">
        <f t="shared" si="145"/>
        <v>#DIV/0!</v>
      </c>
      <c r="BH142" s="29" t="str">
        <f t="shared" si="145"/>
        <v>#DIV/0!</v>
      </c>
      <c r="BI142" s="29" t="str">
        <f t="shared" si="145"/>
        <v>#DIV/0!</v>
      </c>
      <c r="BJ142" s="29" t="str">
        <f t="shared" si="145"/>
        <v>#DIV/0!</v>
      </c>
      <c r="BK142" s="29" t="str">
        <f t="shared" si="145"/>
        <v>#DIV/0!</v>
      </c>
      <c r="BL142" s="29" t="str">
        <f t="shared" si="145"/>
        <v>#DIV/0!</v>
      </c>
      <c r="BM142" s="29" t="str">
        <f t="shared" si="3"/>
        <v>#DIV/0!</v>
      </c>
    </row>
    <row r="143">
      <c r="A143" s="16" t="str">
        <f>IFERROR(__xludf.DUMMYFUNCTION("IFERROR(SPARKLINE(SORT(MAP(TRANSPOSE(AQ143:BL143), LAMBDA(val, IF(ISNUMBER(val), PERCENTRANK(AQ143:BL143, val)+0.01, 0))), SEQUENCE(COLUMNS(AQ143:BL143)), FALSE), {""charttype"",""column""; ""color"",""chartreuse""; ""ymin"", 0; ""ymax"", 1.01; ""highcolo"&amp;"r"", ""darkgreen""; ""lowcolor"", ""red""}), """")"),"")</f>
        <v/>
      </c>
      <c r="B143" s="17" t="str">
        <f t="shared" si="4"/>
        <v/>
      </c>
      <c r="C143" s="1" t="s">
        <v>1389</v>
      </c>
      <c r="D143" s="30" t="str">
        <f>IFERROR(__xludf.DUMMYFUNCTION("IFERROR(GOOGLEFINANCE(C143, ""NAME""))"),"Mueller Industries Inc")</f>
        <v>Mueller Industries Inc</v>
      </c>
      <c r="E143" s="30" t="s">
        <v>847</v>
      </c>
      <c r="F143" s="33" t="str">
        <f>IFERROR(__xludf.DUMMYFUNCTION("( (GOOGLEFINANCE(C143, ""price"") - Q143) / Q143 ) / (R143 / 100)"),"Loading...")</f>
        <v>Loading...</v>
      </c>
      <c r="G143" s="20" t="str">
        <f>IFERROR(__xludf.DUMMYFUNCTION("AVERAGE(ARRAYFORMULA(100 * (QUERY(GOOGLEFINANCE(C143, ""high"", TODAY()-40, TODAY()), ""SELECT Col2 WHERE Col2 IS NOT NULL ORDER BY Col1 DESC LIMIT 20"", 0) / QUERY(GOOGLEFINANCE(C143, ""low"", TODAY()-40, TODAY()), ""SELECT Col2 WHERE Col2 IS NOT NULL OR"&amp;"DER BY Col1 DESC LIMIT 20"", 0) - 1)))"),"#N/A")</f>
        <v>#N/A</v>
      </c>
      <c r="H143" s="35" t="str">
        <f t="shared" si="6"/>
        <v/>
      </c>
      <c r="I143" s="35" t="str">
        <f t="shared" si="7"/>
        <v/>
      </c>
      <c r="J143" s="37" t="str">
        <f>IFERROR(__xludf.DUMMYFUNCTION("IFERROR(
  IF(C143="""",, 
    IFERROR(
      GOOGLEFINANCE(C143, ""price"") * GOOGLEFINANCE(C143, ""volumeavg""), 
      GOOGLEFINANCE(C143, ""price"") * AVERAGE(QUERY(GOOGLEFINANCE(C143, ""volume"", TODAY()-40, TODAY()), ""SELECT Col2 WHERE Col2 IS NOT "&amp;"NULL ORDER BY Col1 DESC LIMIT 20"", 0))
    )
  ), 
"""")"),"")</f>
        <v/>
      </c>
      <c r="K143" s="21" t="str">
        <f>IFERROR(__xludf.DUMMYFUNCTION("IFERROR(GOOGLEFINANCE(C143, ""changepct"") / 100, """")"),"")</f>
        <v/>
      </c>
      <c r="L143" s="21" t="str">
        <f>IFERROR(__xludf.DUMMYFUNCTION("IFERROR((GOOGLEFINANCE(C143, ""price"") / INDEX(GOOGLEFINANCE(C143, ""price"", TODAY()-7, TODAY()), 2, 2)) - 1, """")"),"")</f>
        <v/>
      </c>
      <c r="M143" s="21" t="str">
        <f>IFERROR(__xludf.DUMMYFUNCTION("IFERROR((GOOGLEFINANCE(C143, ""price"") / INDEX(GOOGLEFINANCE(C143, ""price"", EDATE(TODAY(), -1), TODAY()), 2, 2)) - 1, """")"),"")</f>
        <v/>
      </c>
      <c r="N143" s="21" t="str">
        <f>IFERROR(__xludf.DUMMYFUNCTION("IFERROR((GOOGLEFINANCE(C143, ""price"") / INDEX(GOOGLEFINANCE(C143, ""price"", EDATE(TODAY(), -3), TODAY()), 2, 2)) - 1, """")"),"")</f>
        <v/>
      </c>
      <c r="O143" s="21" t="str">
        <f>IFERROR(__xludf.DUMMYFUNCTION("IFERROR((GOOGLEFINANCE(C143, ""price"") / INDEX(GOOGLEFINANCE(C143, ""price"", EDATE(TODAY(), -6), TODAY()), 2, 2)) - 1, """")"),"")</f>
        <v/>
      </c>
      <c r="P143" s="21" t="str">
        <f>IFERROR(__xludf.DUMMYFUNCTION("IFERROR((GOOGLEFINANCE(C143, ""price"") / INDEX(GOOGLEFINANCE(C143, ""price"", EDATE(TODAY(), -12), TODAY()), 2, 2)) - 1, """")"),"")</f>
        <v/>
      </c>
      <c r="Q143" s="6" t="str">
        <f>IFERROR(__xludf.DUMMYFUNCTION("AVERAGE(QUERY(GOOGLEFINANCE(C143, ""price"", TODAY()-80, TODAY()), ""SELECT Col2 WHERE Col2 IS NOT NULL ORDER BY Col1 DESC LIMIT 50"", 0))"),"#N/A")</f>
        <v>#N/A</v>
      </c>
      <c r="R143" s="24" t="str">
        <f>IFERROR(__xludf.DUMMYFUNCTION("IFERROR(
  LET(
    data, QUERY(GOOGLEFINANCE(C143,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GOOGLEFINANCE(C143, ""price"")) * 100,
    IF(calc=0, G143, calc)
  ), 
G143)"),"#N/A")</f>
        <v>#N/A</v>
      </c>
      <c r="S143" s="8" t="s">
        <v>15</v>
      </c>
      <c r="T143" s="26" t="str">
        <f>IFERROR(__xludf.DUMMYFUNCTION("IFERROR(TRANSPOSE(QUERY(IFERROR(SORT(GOOGLEFINANCE(C143, ""price"", WORKDAY(TODAY(), -40), TODAY()), 1, FALSE)), ""select Col2 where Col2 is not null limit 22 label Col2 ''"", 0)), """")"),"")</f>
        <v/>
      </c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8"/>
      <c r="AO143" s="28"/>
      <c r="AP143" s="29"/>
      <c r="AQ143" s="29" t="str">
        <f t="shared" ref="AQ143:BL143" si="146">T143/T$2</f>
        <v>#N/A</v>
      </c>
      <c r="AR143" s="29" t="str">
        <f t="shared" si="146"/>
        <v>#DIV/0!</v>
      </c>
      <c r="AS143" s="29" t="str">
        <f t="shared" si="146"/>
        <v>#DIV/0!</v>
      </c>
      <c r="AT143" s="29" t="str">
        <f t="shared" si="146"/>
        <v>#DIV/0!</v>
      </c>
      <c r="AU143" s="29" t="str">
        <f t="shared" si="146"/>
        <v>#DIV/0!</v>
      </c>
      <c r="AV143" s="29" t="str">
        <f t="shared" si="146"/>
        <v>#DIV/0!</v>
      </c>
      <c r="AW143" s="29" t="str">
        <f t="shared" si="146"/>
        <v>#DIV/0!</v>
      </c>
      <c r="AX143" s="29" t="str">
        <f t="shared" si="146"/>
        <v>#DIV/0!</v>
      </c>
      <c r="AY143" s="29" t="str">
        <f t="shared" si="146"/>
        <v>#DIV/0!</v>
      </c>
      <c r="AZ143" s="29" t="str">
        <f t="shared" si="146"/>
        <v>#DIV/0!</v>
      </c>
      <c r="BA143" s="29" t="str">
        <f t="shared" si="146"/>
        <v>#DIV/0!</v>
      </c>
      <c r="BB143" s="29" t="str">
        <f t="shared" si="146"/>
        <v>#DIV/0!</v>
      </c>
      <c r="BC143" s="29" t="str">
        <f t="shared" si="146"/>
        <v>#DIV/0!</v>
      </c>
      <c r="BD143" s="29" t="str">
        <f t="shared" si="146"/>
        <v>#DIV/0!</v>
      </c>
      <c r="BE143" s="29" t="str">
        <f t="shared" si="146"/>
        <v>#DIV/0!</v>
      </c>
      <c r="BF143" s="29" t="str">
        <f t="shared" si="146"/>
        <v>#DIV/0!</v>
      </c>
      <c r="BG143" s="29" t="str">
        <f t="shared" si="146"/>
        <v>#DIV/0!</v>
      </c>
      <c r="BH143" s="29" t="str">
        <f t="shared" si="146"/>
        <v>#DIV/0!</v>
      </c>
      <c r="BI143" s="29" t="str">
        <f t="shared" si="146"/>
        <v>#DIV/0!</v>
      </c>
      <c r="BJ143" s="29" t="str">
        <f t="shared" si="146"/>
        <v>#DIV/0!</v>
      </c>
      <c r="BK143" s="29" t="str">
        <f t="shared" si="146"/>
        <v>#DIV/0!</v>
      </c>
      <c r="BL143" s="29" t="str">
        <f t="shared" si="146"/>
        <v>#DIV/0!</v>
      </c>
      <c r="BM143" s="29" t="str">
        <f t="shared" si="3"/>
        <v>#DIV/0!</v>
      </c>
    </row>
    <row r="144">
      <c r="A144" s="16" t="str">
        <f>IFERROR(__xludf.DUMMYFUNCTION("IFERROR(SPARKLINE(SORT(MAP(TRANSPOSE(AQ144:BL144), LAMBDA(val, IF(ISNUMBER(val), PERCENTRANK(AQ144:BL144, val)+0.01, 0))), SEQUENCE(COLUMNS(AQ144:BL144)), FALSE), {""charttype"",""column""; ""color"",""chartreuse""; ""ymin"", 0; ""ymax"", 1.01; ""highcolo"&amp;"r"", ""darkgreen""; ""lowcolor"", ""red""}), """")"),"")</f>
        <v/>
      </c>
      <c r="B144" s="17" t="str">
        <f t="shared" si="4"/>
        <v/>
      </c>
      <c r="C144" s="1" t="s">
        <v>1400</v>
      </c>
      <c r="D144" s="30" t="str">
        <f>IFERROR(__xludf.DUMMYFUNCTION("IFERROR(GOOGLEFINANCE(C144, ""NAME""))"),"Costamare Inc")</f>
        <v>Costamare Inc</v>
      </c>
      <c r="E144" s="30" t="s">
        <v>834</v>
      </c>
      <c r="F144" s="33" t="str">
        <f>IFERROR(__xludf.DUMMYFUNCTION("( (GOOGLEFINANCE(C144, ""price"") - Q144) / Q144 ) / (R144 / 100)"),"Loading...")</f>
        <v>Loading...</v>
      </c>
      <c r="G144" s="20" t="str">
        <f>IFERROR(__xludf.DUMMYFUNCTION("AVERAGE(ARRAYFORMULA(100 * (QUERY(GOOGLEFINANCE(C144, ""high"", TODAY()-40, TODAY()), ""SELECT Col2 WHERE Col2 IS NOT NULL ORDER BY Col1 DESC LIMIT 20"", 0) / QUERY(GOOGLEFINANCE(C144, ""low"", TODAY()-40, TODAY()), ""SELECT Col2 WHERE Col2 IS NOT NULL OR"&amp;"DER BY Col1 DESC LIMIT 20"", 0) - 1)))"),"#N/A")</f>
        <v>#N/A</v>
      </c>
      <c r="H144" s="35" t="str">
        <f t="shared" si="6"/>
        <v/>
      </c>
      <c r="I144" s="35" t="str">
        <f t="shared" si="7"/>
        <v/>
      </c>
      <c r="J144" s="37" t="str">
        <f>IFERROR(__xludf.DUMMYFUNCTION("IFERROR(
  IF(C144="""",, 
    IFERROR(
      GOOGLEFINANCE(C144, ""price"") * GOOGLEFINANCE(C144, ""volumeavg""), 
      GOOGLEFINANCE(C144, ""price"") * AVERAGE(QUERY(GOOGLEFINANCE(C144, ""volume"", TODAY()-40, TODAY()), ""SELECT Col2 WHERE Col2 IS NOT "&amp;"NULL ORDER BY Col1 DESC LIMIT 20"", 0))
    )
  ), 
"""")"),"")</f>
        <v/>
      </c>
      <c r="K144" s="21" t="str">
        <f>IFERROR(__xludf.DUMMYFUNCTION("IFERROR(GOOGLEFINANCE(C144, ""changepct"") / 100, """")"),"")</f>
        <v/>
      </c>
      <c r="L144" s="21" t="str">
        <f>IFERROR(__xludf.DUMMYFUNCTION("IFERROR((GOOGLEFINANCE(C144, ""price"") / INDEX(GOOGLEFINANCE(C144, ""price"", TODAY()-7, TODAY()), 2, 2)) - 1, """")"),"")</f>
        <v/>
      </c>
      <c r="M144" s="21" t="str">
        <f>IFERROR(__xludf.DUMMYFUNCTION("IFERROR((GOOGLEFINANCE(C144, ""price"") / INDEX(GOOGLEFINANCE(C144, ""price"", EDATE(TODAY(), -1), TODAY()), 2, 2)) - 1, """")"),"")</f>
        <v/>
      </c>
      <c r="N144" s="21" t="str">
        <f>IFERROR(__xludf.DUMMYFUNCTION("IFERROR((GOOGLEFINANCE(C144, ""price"") / INDEX(GOOGLEFINANCE(C144, ""price"", EDATE(TODAY(), -3), TODAY()), 2, 2)) - 1, """")"),"")</f>
        <v/>
      </c>
      <c r="O144" s="21" t="str">
        <f>IFERROR(__xludf.DUMMYFUNCTION("IFERROR((GOOGLEFINANCE(C144, ""price"") / INDEX(GOOGLEFINANCE(C144, ""price"", EDATE(TODAY(), -6), TODAY()), 2, 2)) - 1, """")"),"")</f>
        <v/>
      </c>
      <c r="P144" s="21" t="str">
        <f>IFERROR(__xludf.DUMMYFUNCTION("IFERROR((GOOGLEFINANCE(C144, ""price"") / INDEX(GOOGLEFINANCE(C144, ""price"", EDATE(TODAY(), -12), TODAY()), 2, 2)) - 1, """")"),"")</f>
        <v/>
      </c>
      <c r="Q144" s="6" t="str">
        <f>IFERROR(__xludf.DUMMYFUNCTION("AVERAGE(QUERY(GOOGLEFINANCE(C144, ""price"", TODAY()-80, TODAY()), ""SELECT Col2 WHERE Col2 IS NOT NULL ORDER BY Col1 DESC LIMIT 50"", 0))"),"#N/A")</f>
        <v>#N/A</v>
      </c>
      <c r="R144" s="24" t="str">
        <f>IFERROR(__xludf.DUMMYFUNCTION("IFERROR(
  LET(
    data, QUERY(GOOGLEFINANCE(C144,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GOOGLEFINANCE(C144, ""price"")) * 100,
    IF(calc=0, G144, calc)
  ), 
G144)"),"#N/A")</f>
        <v>#N/A</v>
      </c>
      <c r="S144" s="8" t="s">
        <v>15</v>
      </c>
      <c r="T144" s="26" t="str">
        <f>IFERROR(__xludf.DUMMYFUNCTION("IFERROR(TRANSPOSE(QUERY(IFERROR(SORT(GOOGLEFINANCE(C144, ""price"", WORKDAY(TODAY(), -40), TODAY()), 1, FALSE)), ""select Col2 where Col2 is not null limit 22 label Col2 ''"", 0)), """")"),"")</f>
        <v/>
      </c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8"/>
      <c r="AO144" s="28"/>
      <c r="AP144" s="29"/>
      <c r="AQ144" s="29" t="str">
        <f t="shared" ref="AQ144:BL144" si="147">T144/T$2</f>
        <v>#N/A</v>
      </c>
      <c r="AR144" s="29" t="str">
        <f t="shared" si="147"/>
        <v>#DIV/0!</v>
      </c>
      <c r="AS144" s="29" t="str">
        <f t="shared" si="147"/>
        <v>#DIV/0!</v>
      </c>
      <c r="AT144" s="29" t="str">
        <f t="shared" si="147"/>
        <v>#DIV/0!</v>
      </c>
      <c r="AU144" s="29" t="str">
        <f t="shared" si="147"/>
        <v>#DIV/0!</v>
      </c>
      <c r="AV144" s="29" t="str">
        <f t="shared" si="147"/>
        <v>#DIV/0!</v>
      </c>
      <c r="AW144" s="29" t="str">
        <f t="shared" si="147"/>
        <v>#DIV/0!</v>
      </c>
      <c r="AX144" s="29" t="str">
        <f t="shared" si="147"/>
        <v>#DIV/0!</v>
      </c>
      <c r="AY144" s="29" t="str">
        <f t="shared" si="147"/>
        <v>#DIV/0!</v>
      </c>
      <c r="AZ144" s="29" t="str">
        <f t="shared" si="147"/>
        <v>#DIV/0!</v>
      </c>
      <c r="BA144" s="29" t="str">
        <f t="shared" si="147"/>
        <v>#DIV/0!</v>
      </c>
      <c r="BB144" s="29" t="str">
        <f t="shared" si="147"/>
        <v>#DIV/0!</v>
      </c>
      <c r="BC144" s="29" t="str">
        <f t="shared" si="147"/>
        <v>#DIV/0!</v>
      </c>
      <c r="BD144" s="29" t="str">
        <f t="shared" si="147"/>
        <v>#DIV/0!</v>
      </c>
      <c r="BE144" s="29" t="str">
        <f t="shared" si="147"/>
        <v>#DIV/0!</v>
      </c>
      <c r="BF144" s="29" t="str">
        <f t="shared" si="147"/>
        <v>#DIV/0!</v>
      </c>
      <c r="BG144" s="29" t="str">
        <f t="shared" si="147"/>
        <v>#DIV/0!</v>
      </c>
      <c r="BH144" s="29" t="str">
        <f t="shared" si="147"/>
        <v>#DIV/0!</v>
      </c>
      <c r="BI144" s="29" t="str">
        <f t="shared" si="147"/>
        <v>#DIV/0!</v>
      </c>
      <c r="BJ144" s="29" t="str">
        <f t="shared" si="147"/>
        <v>#DIV/0!</v>
      </c>
      <c r="BK144" s="29" t="str">
        <f t="shared" si="147"/>
        <v>#DIV/0!</v>
      </c>
      <c r="BL144" s="29" t="str">
        <f t="shared" si="147"/>
        <v>#DIV/0!</v>
      </c>
      <c r="BM144" s="29" t="str">
        <f t="shared" si="3"/>
        <v>#DIV/0!</v>
      </c>
    </row>
    <row r="145">
      <c r="A145" s="16" t="str">
        <f>IFERROR(__xludf.DUMMYFUNCTION("IFERROR(SPARKLINE(SORT(MAP(TRANSPOSE(AQ145:BL145), LAMBDA(val, IF(ISNUMBER(val), PERCENTRANK(AQ145:BL145, val)+0.01, 0))), SEQUENCE(COLUMNS(AQ145:BL145)), FALSE), {""charttype"",""column""; ""color"",""chartreuse""; ""ymin"", 0; ""ymax"", 1.01; ""highcolo"&amp;"r"", ""darkgreen""; ""lowcolor"", ""red""}), """")"),"")</f>
        <v/>
      </c>
      <c r="B145" s="17" t="str">
        <f t="shared" si="4"/>
        <v/>
      </c>
      <c r="C145" s="1" t="s">
        <v>1403</v>
      </c>
      <c r="D145" s="30" t="str">
        <f>IFERROR(__xludf.DUMMYFUNCTION("IFERROR(GOOGLEFINANCE(C145, ""NAME""))"),"Voyager Technologies Inc")</f>
        <v>Voyager Technologies Inc</v>
      </c>
      <c r="E145" s="30" t="s">
        <v>839</v>
      </c>
      <c r="F145" s="33" t="str">
        <f>IFERROR(__xludf.DUMMYFUNCTION("( (GOOGLEFINANCE(C145, ""price"") - Q145) / Q145 ) / (R145 / 100)"),"Loading...")</f>
        <v>Loading...</v>
      </c>
      <c r="G145" s="20" t="str">
        <f>IFERROR(__xludf.DUMMYFUNCTION("AVERAGE(ARRAYFORMULA(100 * (QUERY(GOOGLEFINANCE(C145, ""high"", TODAY()-40, TODAY()), ""SELECT Col2 WHERE Col2 IS NOT NULL ORDER BY Col1 DESC LIMIT 20"", 0) / QUERY(GOOGLEFINANCE(C145, ""low"", TODAY()-40, TODAY()), ""SELECT Col2 WHERE Col2 IS NOT NULL OR"&amp;"DER BY Col1 DESC LIMIT 20"", 0) - 1)))"),"#N/A")</f>
        <v>#N/A</v>
      </c>
      <c r="H145" s="35" t="str">
        <f t="shared" si="6"/>
        <v/>
      </c>
      <c r="I145" s="35" t="str">
        <f t="shared" si="7"/>
        <v/>
      </c>
      <c r="J145" s="37" t="str">
        <f>IFERROR(__xludf.DUMMYFUNCTION("IFERROR(
  IF(C145="""",, 
    IFERROR(
      GOOGLEFINANCE(C145, ""price"") * GOOGLEFINANCE(C145, ""volumeavg""), 
      GOOGLEFINANCE(C145, ""price"") * AVERAGE(QUERY(GOOGLEFINANCE(C145, ""volume"", TODAY()-40, TODAY()), ""SELECT Col2 WHERE Col2 IS NOT "&amp;"NULL ORDER BY Col1 DESC LIMIT 20"", 0))
    )
  ), 
"""")"),"")</f>
        <v/>
      </c>
      <c r="K145" s="21" t="str">
        <f>IFERROR(__xludf.DUMMYFUNCTION("IFERROR(GOOGLEFINANCE(C145, ""changepct"") / 100, """")"),"")</f>
        <v/>
      </c>
      <c r="L145" s="21" t="str">
        <f>IFERROR(__xludf.DUMMYFUNCTION("IFERROR((GOOGLEFINANCE(C145, ""price"") / INDEX(GOOGLEFINANCE(C145, ""price"", TODAY()-7, TODAY()), 2, 2)) - 1, """")"),"")</f>
        <v/>
      </c>
      <c r="M145" s="21" t="str">
        <f>IFERROR(__xludf.DUMMYFUNCTION("IFERROR((GOOGLEFINANCE(C145, ""price"") / INDEX(GOOGLEFINANCE(C145, ""price"", EDATE(TODAY(), -1), TODAY()), 2, 2)) - 1, """")"),"")</f>
        <v/>
      </c>
      <c r="N145" s="21" t="str">
        <f>IFERROR(__xludf.DUMMYFUNCTION("IFERROR((GOOGLEFINANCE(C145, ""price"") / INDEX(GOOGLEFINANCE(C145, ""price"", EDATE(TODAY(), -3), TODAY()), 2, 2)) - 1, """")"),"")</f>
        <v/>
      </c>
      <c r="O145" s="21" t="str">
        <f>IFERROR(__xludf.DUMMYFUNCTION("IFERROR((GOOGLEFINANCE(C145, ""price"") / INDEX(GOOGLEFINANCE(C145, ""price"", EDATE(TODAY(), -6), TODAY()), 2, 2)) - 1, """")"),"")</f>
        <v/>
      </c>
      <c r="P145" s="21" t="str">
        <f>IFERROR(__xludf.DUMMYFUNCTION("IFERROR((GOOGLEFINANCE(C145, ""price"") / INDEX(GOOGLEFINANCE(C145, ""price"", EDATE(TODAY(), -12), TODAY()), 2, 2)) - 1, """")"),"")</f>
        <v/>
      </c>
      <c r="Q145" s="6" t="str">
        <f>IFERROR(__xludf.DUMMYFUNCTION("AVERAGE(QUERY(GOOGLEFINANCE(C145, ""price"", TODAY()-80, TODAY()), ""SELECT Col2 WHERE Col2 IS NOT NULL ORDER BY Col1 DESC LIMIT 50"", 0))"),"#N/A")</f>
        <v>#N/A</v>
      </c>
      <c r="R145" s="24" t="str">
        <f>IFERROR(__xludf.DUMMYFUNCTION("IFERROR(
  LET(
    data, QUERY(GOOGLEFINANCE(C145,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GOOGLEFINANCE(C145, ""price"")) * 100,
    IF(calc=0, G145, calc)
  ), 
G145)"),"#N/A")</f>
        <v>#N/A</v>
      </c>
      <c r="S145" s="8" t="s">
        <v>15</v>
      </c>
      <c r="T145" s="26" t="str">
        <f>IFERROR(__xludf.DUMMYFUNCTION("IFERROR(TRANSPOSE(QUERY(IFERROR(SORT(GOOGLEFINANCE(C145, ""price"", WORKDAY(TODAY(), -40), TODAY()), 1, FALSE)), ""select Col2 where Col2 is not null limit 22 label Col2 ''"", 0)), """")"),"")</f>
        <v/>
      </c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8"/>
      <c r="AO145" s="28"/>
      <c r="AP145" s="29"/>
      <c r="AQ145" s="29" t="str">
        <f t="shared" ref="AQ145:BL145" si="148">T145/T$2</f>
        <v>#N/A</v>
      </c>
      <c r="AR145" s="29" t="str">
        <f t="shared" si="148"/>
        <v>#DIV/0!</v>
      </c>
      <c r="AS145" s="29" t="str">
        <f t="shared" si="148"/>
        <v>#DIV/0!</v>
      </c>
      <c r="AT145" s="29" t="str">
        <f t="shared" si="148"/>
        <v>#DIV/0!</v>
      </c>
      <c r="AU145" s="29" t="str">
        <f t="shared" si="148"/>
        <v>#DIV/0!</v>
      </c>
      <c r="AV145" s="29" t="str">
        <f t="shared" si="148"/>
        <v>#DIV/0!</v>
      </c>
      <c r="AW145" s="29" t="str">
        <f t="shared" si="148"/>
        <v>#DIV/0!</v>
      </c>
      <c r="AX145" s="29" t="str">
        <f t="shared" si="148"/>
        <v>#DIV/0!</v>
      </c>
      <c r="AY145" s="29" t="str">
        <f t="shared" si="148"/>
        <v>#DIV/0!</v>
      </c>
      <c r="AZ145" s="29" t="str">
        <f t="shared" si="148"/>
        <v>#DIV/0!</v>
      </c>
      <c r="BA145" s="29" t="str">
        <f t="shared" si="148"/>
        <v>#DIV/0!</v>
      </c>
      <c r="BB145" s="29" t="str">
        <f t="shared" si="148"/>
        <v>#DIV/0!</v>
      </c>
      <c r="BC145" s="29" t="str">
        <f t="shared" si="148"/>
        <v>#DIV/0!</v>
      </c>
      <c r="BD145" s="29" t="str">
        <f t="shared" si="148"/>
        <v>#DIV/0!</v>
      </c>
      <c r="BE145" s="29" t="str">
        <f t="shared" si="148"/>
        <v>#DIV/0!</v>
      </c>
      <c r="BF145" s="29" t="str">
        <f t="shared" si="148"/>
        <v>#DIV/0!</v>
      </c>
      <c r="BG145" s="29" t="str">
        <f t="shared" si="148"/>
        <v>#DIV/0!</v>
      </c>
      <c r="BH145" s="29" t="str">
        <f t="shared" si="148"/>
        <v>#DIV/0!</v>
      </c>
      <c r="BI145" s="29" t="str">
        <f t="shared" si="148"/>
        <v>#DIV/0!</v>
      </c>
      <c r="BJ145" s="29" t="str">
        <f t="shared" si="148"/>
        <v>#DIV/0!</v>
      </c>
      <c r="BK145" s="29" t="str">
        <f t="shared" si="148"/>
        <v>#DIV/0!</v>
      </c>
      <c r="BL145" s="29" t="str">
        <f t="shared" si="148"/>
        <v>#DIV/0!</v>
      </c>
      <c r="BM145" s="29" t="str">
        <f t="shared" si="3"/>
        <v>#DIV/0!</v>
      </c>
    </row>
    <row r="146">
      <c r="A146" s="16" t="str">
        <f>IFERROR(__xludf.DUMMYFUNCTION("IFERROR(SPARKLINE(SORT(MAP(TRANSPOSE(AQ146:BL146), LAMBDA(val, IF(ISNUMBER(val), PERCENTRANK(AQ146:BL146, val)+0.01, 0))), SEQUENCE(COLUMNS(AQ146:BL146)), FALSE), {""charttype"",""column""; ""color"",""chartreuse""; ""ymin"", 0; ""ymax"", 1.01; ""highcolo"&amp;"r"", ""darkgreen""; ""lowcolor"", ""red""}), """")"),"")</f>
        <v/>
      </c>
      <c r="B146" s="17" t="str">
        <f t="shared" si="4"/>
        <v/>
      </c>
      <c r="C146" s="1" t="s">
        <v>1406</v>
      </c>
      <c r="D146" s="30" t="str">
        <f>IFERROR(__xludf.DUMMYFUNCTION("IFERROR(GOOGLEFINANCE(C146, ""NAME""))"),"General Electric Company")</f>
        <v>General Electric Company</v>
      </c>
      <c r="E146" s="30" t="s">
        <v>839</v>
      </c>
      <c r="F146" s="33" t="str">
        <f>IFERROR(__xludf.DUMMYFUNCTION("( (GOOGLEFINANCE(C146, ""price"") - Q146) / Q146 ) / (R146 / 100)"),"Loading...")</f>
        <v>Loading...</v>
      </c>
      <c r="G146" s="20" t="str">
        <f>IFERROR(__xludf.DUMMYFUNCTION("AVERAGE(ARRAYFORMULA(100 * (QUERY(GOOGLEFINANCE(C146, ""high"", TODAY()-40, TODAY()), ""SELECT Col2 WHERE Col2 IS NOT NULL ORDER BY Col1 DESC LIMIT 20"", 0) / QUERY(GOOGLEFINANCE(C146, ""low"", TODAY()-40, TODAY()), ""SELECT Col2 WHERE Col2 IS NOT NULL OR"&amp;"DER BY Col1 DESC LIMIT 20"", 0) - 1)))"),"#N/A")</f>
        <v>#N/A</v>
      </c>
      <c r="H146" s="35" t="str">
        <f t="shared" si="6"/>
        <v/>
      </c>
      <c r="I146" s="35" t="str">
        <f t="shared" si="7"/>
        <v/>
      </c>
      <c r="J146" s="37" t="str">
        <f>IFERROR(__xludf.DUMMYFUNCTION("IFERROR(
  IF(C146="""",, 
    IFERROR(
      GOOGLEFINANCE(C146, ""price"") * GOOGLEFINANCE(C146, ""volumeavg""), 
      GOOGLEFINANCE(C146, ""price"") * AVERAGE(QUERY(GOOGLEFINANCE(C146, ""volume"", TODAY()-40, TODAY()), ""SELECT Col2 WHERE Col2 IS NOT "&amp;"NULL ORDER BY Col1 DESC LIMIT 20"", 0))
    )
  ), 
"""")"),"")</f>
        <v/>
      </c>
      <c r="K146" s="21" t="str">
        <f>IFERROR(__xludf.DUMMYFUNCTION("IFERROR(GOOGLEFINANCE(C146, ""changepct"") / 100, """")"),"")</f>
        <v/>
      </c>
      <c r="L146" s="21" t="str">
        <f>IFERROR(__xludf.DUMMYFUNCTION("IFERROR((GOOGLEFINANCE(C146, ""price"") / INDEX(GOOGLEFINANCE(C146, ""price"", TODAY()-7, TODAY()), 2, 2)) - 1, """")"),"")</f>
        <v/>
      </c>
      <c r="M146" s="21" t="str">
        <f>IFERROR(__xludf.DUMMYFUNCTION("IFERROR((GOOGLEFINANCE(C146, ""price"") / INDEX(GOOGLEFINANCE(C146, ""price"", EDATE(TODAY(), -1), TODAY()), 2, 2)) - 1, """")"),"")</f>
        <v/>
      </c>
      <c r="N146" s="21" t="str">
        <f>IFERROR(__xludf.DUMMYFUNCTION("IFERROR((GOOGLEFINANCE(C146, ""price"") / INDEX(GOOGLEFINANCE(C146, ""price"", EDATE(TODAY(), -3), TODAY()), 2, 2)) - 1, """")"),"")</f>
        <v/>
      </c>
      <c r="O146" s="21" t="str">
        <f>IFERROR(__xludf.DUMMYFUNCTION("IFERROR((GOOGLEFINANCE(C146, ""price"") / INDEX(GOOGLEFINANCE(C146, ""price"", EDATE(TODAY(), -6), TODAY()), 2, 2)) - 1, """")"),"")</f>
        <v/>
      </c>
      <c r="P146" s="21" t="str">
        <f>IFERROR(__xludf.DUMMYFUNCTION("IFERROR((GOOGLEFINANCE(C146, ""price"") / INDEX(GOOGLEFINANCE(C146, ""price"", EDATE(TODAY(), -12), TODAY()), 2, 2)) - 1, """")"),"")</f>
        <v/>
      </c>
      <c r="Q146" s="6" t="str">
        <f>IFERROR(__xludf.DUMMYFUNCTION("AVERAGE(QUERY(GOOGLEFINANCE(C146, ""price"", TODAY()-80, TODAY()), ""SELECT Col2 WHERE Col2 IS NOT NULL ORDER BY Col1 DESC LIMIT 50"", 0))"),"#N/A")</f>
        <v>#N/A</v>
      </c>
      <c r="R146" s="24" t="str">
        <f>IFERROR(__xludf.DUMMYFUNCTION("IFERROR(
  LET(
    data, QUERY(GOOGLEFINANCE(C146,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GOOGLEFINANCE(C146, ""price"")) * 100,
    IF(calc=0, G146, calc)
  ), 
G146)"),"#N/A")</f>
        <v>#N/A</v>
      </c>
      <c r="S146" s="8" t="s">
        <v>15</v>
      </c>
      <c r="T146" s="26" t="str">
        <f>IFERROR(__xludf.DUMMYFUNCTION("IFERROR(TRANSPOSE(QUERY(IFERROR(SORT(GOOGLEFINANCE(C146, ""price"", WORKDAY(TODAY(), -40), TODAY()), 1, FALSE)), ""select Col2 where Col2 is not null limit 22 label Col2 ''"", 0)), """")"),"")</f>
        <v/>
      </c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8"/>
      <c r="AO146" s="28"/>
      <c r="AP146" s="29"/>
      <c r="AQ146" s="29" t="str">
        <f t="shared" ref="AQ146:BL146" si="149">T146/T$2</f>
        <v>#N/A</v>
      </c>
      <c r="AR146" s="29" t="str">
        <f t="shared" si="149"/>
        <v>#DIV/0!</v>
      </c>
      <c r="AS146" s="29" t="str">
        <f t="shared" si="149"/>
        <v>#DIV/0!</v>
      </c>
      <c r="AT146" s="29" t="str">
        <f t="shared" si="149"/>
        <v>#DIV/0!</v>
      </c>
      <c r="AU146" s="29" t="str">
        <f t="shared" si="149"/>
        <v>#DIV/0!</v>
      </c>
      <c r="AV146" s="29" t="str">
        <f t="shared" si="149"/>
        <v>#DIV/0!</v>
      </c>
      <c r="AW146" s="29" t="str">
        <f t="shared" si="149"/>
        <v>#DIV/0!</v>
      </c>
      <c r="AX146" s="29" t="str">
        <f t="shared" si="149"/>
        <v>#DIV/0!</v>
      </c>
      <c r="AY146" s="29" t="str">
        <f t="shared" si="149"/>
        <v>#DIV/0!</v>
      </c>
      <c r="AZ146" s="29" t="str">
        <f t="shared" si="149"/>
        <v>#DIV/0!</v>
      </c>
      <c r="BA146" s="29" t="str">
        <f t="shared" si="149"/>
        <v>#DIV/0!</v>
      </c>
      <c r="BB146" s="29" t="str">
        <f t="shared" si="149"/>
        <v>#DIV/0!</v>
      </c>
      <c r="BC146" s="29" t="str">
        <f t="shared" si="149"/>
        <v>#DIV/0!</v>
      </c>
      <c r="BD146" s="29" t="str">
        <f t="shared" si="149"/>
        <v>#DIV/0!</v>
      </c>
      <c r="BE146" s="29" t="str">
        <f t="shared" si="149"/>
        <v>#DIV/0!</v>
      </c>
      <c r="BF146" s="29" t="str">
        <f t="shared" si="149"/>
        <v>#DIV/0!</v>
      </c>
      <c r="BG146" s="29" t="str">
        <f t="shared" si="149"/>
        <v>#DIV/0!</v>
      </c>
      <c r="BH146" s="29" t="str">
        <f t="shared" si="149"/>
        <v>#DIV/0!</v>
      </c>
      <c r="BI146" s="29" t="str">
        <f t="shared" si="149"/>
        <v>#DIV/0!</v>
      </c>
      <c r="BJ146" s="29" t="str">
        <f t="shared" si="149"/>
        <v>#DIV/0!</v>
      </c>
      <c r="BK146" s="29" t="str">
        <f t="shared" si="149"/>
        <v>#DIV/0!</v>
      </c>
      <c r="BL146" s="29" t="str">
        <f t="shared" si="149"/>
        <v>#DIV/0!</v>
      </c>
      <c r="BM146" s="29" t="str">
        <f t="shared" si="3"/>
        <v>#DIV/0!</v>
      </c>
    </row>
    <row r="147">
      <c r="A147" s="16" t="str">
        <f>IFERROR(__xludf.DUMMYFUNCTION("IFERROR(SPARKLINE(SORT(MAP(TRANSPOSE(AQ147:BL147), LAMBDA(val, IF(ISNUMBER(val), PERCENTRANK(AQ147:BL147, val)+0.01, 0))), SEQUENCE(COLUMNS(AQ147:BL147)), FALSE), {""charttype"",""column""; ""color"",""chartreuse""; ""ymin"", 0; ""ymax"", 1.01; ""highcolo"&amp;"r"", ""darkgreen""; ""lowcolor"", ""red""}), """")"),"")</f>
        <v/>
      </c>
      <c r="B147" s="17" t="str">
        <f t="shared" si="4"/>
        <v/>
      </c>
      <c r="C147" s="1" t="s">
        <v>1412</v>
      </c>
      <c r="D147" s="30" t="str">
        <f>IFERROR(__xludf.DUMMYFUNCTION("IFERROR(GOOGLEFINANCE(C147, ""NAME""))"),"Insperity Inc")</f>
        <v>Insperity Inc</v>
      </c>
      <c r="E147" s="30" t="s">
        <v>1351</v>
      </c>
      <c r="F147" s="33" t="str">
        <f>IFERROR(__xludf.DUMMYFUNCTION("( (GOOGLEFINANCE(C147, ""price"") - Q147) / Q147 ) / (R147 / 100)"),"Loading...")</f>
        <v>Loading...</v>
      </c>
      <c r="G147" s="20" t="str">
        <f>IFERROR(__xludf.DUMMYFUNCTION("AVERAGE(ARRAYFORMULA(100 * (QUERY(GOOGLEFINANCE(C147, ""high"", TODAY()-40, TODAY()), ""SELECT Col2 WHERE Col2 IS NOT NULL ORDER BY Col1 DESC LIMIT 20"", 0) / QUERY(GOOGLEFINANCE(C147, ""low"", TODAY()-40, TODAY()), ""SELECT Col2 WHERE Col2 IS NOT NULL OR"&amp;"DER BY Col1 DESC LIMIT 20"", 0) - 1)))"),"#N/A")</f>
        <v>#N/A</v>
      </c>
      <c r="H147" s="35" t="str">
        <f t="shared" si="6"/>
        <v/>
      </c>
      <c r="I147" s="35" t="str">
        <f t="shared" si="7"/>
        <v/>
      </c>
      <c r="J147" s="37" t="str">
        <f>IFERROR(__xludf.DUMMYFUNCTION("IFERROR(
  IF(C147="""",, 
    IFERROR(
      GOOGLEFINANCE(C147, ""price"") * GOOGLEFINANCE(C147, ""volumeavg""), 
      GOOGLEFINANCE(C147, ""price"") * AVERAGE(QUERY(GOOGLEFINANCE(C147, ""volume"", TODAY()-40, TODAY()), ""SELECT Col2 WHERE Col2 IS NOT "&amp;"NULL ORDER BY Col1 DESC LIMIT 20"", 0))
    )
  ), 
"""")"),"")</f>
        <v/>
      </c>
      <c r="K147" s="21" t="str">
        <f>IFERROR(__xludf.DUMMYFUNCTION("IFERROR(GOOGLEFINANCE(C147, ""changepct"") / 100, """")"),"")</f>
        <v/>
      </c>
      <c r="L147" s="21" t="str">
        <f>IFERROR(__xludf.DUMMYFUNCTION("IFERROR((GOOGLEFINANCE(C147, ""price"") / INDEX(GOOGLEFINANCE(C147, ""price"", TODAY()-7, TODAY()), 2, 2)) - 1, """")"),"")</f>
        <v/>
      </c>
      <c r="M147" s="21" t="str">
        <f>IFERROR(__xludf.DUMMYFUNCTION("IFERROR((GOOGLEFINANCE(C147, ""price"") / INDEX(GOOGLEFINANCE(C147, ""price"", EDATE(TODAY(), -1), TODAY()), 2, 2)) - 1, """")"),"")</f>
        <v/>
      </c>
      <c r="N147" s="21" t="str">
        <f>IFERROR(__xludf.DUMMYFUNCTION("IFERROR((GOOGLEFINANCE(C147, ""price"") / INDEX(GOOGLEFINANCE(C147, ""price"", EDATE(TODAY(), -3), TODAY()), 2, 2)) - 1, """")"),"")</f>
        <v/>
      </c>
      <c r="O147" s="21" t="str">
        <f>IFERROR(__xludf.DUMMYFUNCTION("IFERROR((GOOGLEFINANCE(C147, ""price"") / INDEX(GOOGLEFINANCE(C147, ""price"", EDATE(TODAY(), -6), TODAY()), 2, 2)) - 1, """")"),"")</f>
        <v/>
      </c>
      <c r="P147" s="21" t="str">
        <f>IFERROR(__xludf.DUMMYFUNCTION("IFERROR((GOOGLEFINANCE(C147, ""price"") / INDEX(GOOGLEFINANCE(C147, ""price"", EDATE(TODAY(), -12), TODAY()), 2, 2)) - 1, """")"),"")</f>
        <v/>
      </c>
      <c r="Q147" s="6" t="str">
        <f>IFERROR(__xludf.DUMMYFUNCTION("AVERAGE(QUERY(GOOGLEFINANCE(C147, ""price"", TODAY()-80, TODAY()), ""SELECT Col2 WHERE Col2 IS NOT NULL ORDER BY Col1 DESC LIMIT 50"", 0))"),"#N/A")</f>
        <v>#N/A</v>
      </c>
      <c r="R147" s="24" t="str">
        <f>IFERROR(__xludf.DUMMYFUNCTION("IFERROR(
  LET(
    data, QUERY(GOOGLEFINANCE(C147,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GOOGLEFINANCE(C147, ""price"")) * 100,
    IF(calc=0, G147, calc)
  ), 
G147)"),"#N/A")</f>
        <v>#N/A</v>
      </c>
      <c r="S147" s="8" t="s">
        <v>15</v>
      </c>
      <c r="T147" s="26" t="str">
        <f>IFERROR(__xludf.DUMMYFUNCTION("IFERROR(TRANSPOSE(QUERY(IFERROR(SORT(GOOGLEFINANCE(C147, ""price"", WORKDAY(TODAY(), -40), TODAY()), 1, FALSE)), ""select Col2 where Col2 is not null limit 22 label Col2 ''"", 0)), """")"),"")</f>
        <v/>
      </c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8"/>
      <c r="AO147" s="28"/>
      <c r="AP147" s="29"/>
      <c r="AQ147" s="29" t="str">
        <f t="shared" ref="AQ147:BL147" si="150">T147/T$2</f>
        <v>#N/A</v>
      </c>
      <c r="AR147" s="29" t="str">
        <f t="shared" si="150"/>
        <v>#DIV/0!</v>
      </c>
      <c r="AS147" s="29" t="str">
        <f t="shared" si="150"/>
        <v>#DIV/0!</v>
      </c>
      <c r="AT147" s="29" t="str">
        <f t="shared" si="150"/>
        <v>#DIV/0!</v>
      </c>
      <c r="AU147" s="29" t="str">
        <f t="shared" si="150"/>
        <v>#DIV/0!</v>
      </c>
      <c r="AV147" s="29" t="str">
        <f t="shared" si="150"/>
        <v>#DIV/0!</v>
      </c>
      <c r="AW147" s="29" t="str">
        <f t="shared" si="150"/>
        <v>#DIV/0!</v>
      </c>
      <c r="AX147" s="29" t="str">
        <f t="shared" si="150"/>
        <v>#DIV/0!</v>
      </c>
      <c r="AY147" s="29" t="str">
        <f t="shared" si="150"/>
        <v>#DIV/0!</v>
      </c>
      <c r="AZ147" s="29" t="str">
        <f t="shared" si="150"/>
        <v>#DIV/0!</v>
      </c>
      <c r="BA147" s="29" t="str">
        <f t="shared" si="150"/>
        <v>#DIV/0!</v>
      </c>
      <c r="BB147" s="29" t="str">
        <f t="shared" si="150"/>
        <v>#DIV/0!</v>
      </c>
      <c r="BC147" s="29" t="str">
        <f t="shared" si="150"/>
        <v>#DIV/0!</v>
      </c>
      <c r="BD147" s="29" t="str">
        <f t="shared" si="150"/>
        <v>#DIV/0!</v>
      </c>
      <c r="BE147" s="29" t="str">
        <f t="shared" si="150"/>
        <v>#DIV/0!</v>
      </c>
      <c r="BF147" s="29" t="str">
        <f t="shared" si="150"/>
        <v>#DIV/0!</v>
      </c>
      <c r="BG147" s="29" t="str">
        <f t="shared" si="150"/>
        <v>#DIV/0!</v>
      </c>
      <c r="BH147" s="29" t="str">
        <f t="shared" si="150"/>
        <v>#DIV/0!</v>
      </c>
      <c r="BI147" s="29" t="str">
        <f t="shared" si="150"/>
        <v>#DIV/0!</v>
      </c>
      <c r="BJ147" s="29" t="str">
        <f t="shared" si="150"/>
        <v>#DIV/0!</v>
      </c>
      <c r="BK147" s="29" t="str">
        <f t="shared" si="150"/>
        <v>#DIV/0!</v>
      </c>
      <c r="BL147" s="29" t="str">
        <f t="shared" si="150"/>
        <v>#DIV/0!</v>
      </c>
      <c r="BM147" s="29" t="str">
        <f t="shared" si="3"/>
        <v>#DIV/0!</v>
      </c>
    </row>
    <row r="148">
      <c r="A148" s="16" t="str">
        <f>IFERROR(__xludf.DUMMYFUNCTION("IFERROR(SPARKLINE(SORT(MAP(TRANSPOSE(AQ148:BL148), LAMBDA(val, IF(ISNUMBER(val), PERCENTRANK(AQ148:BL148, val)+0.01, 0))), SEQUENCE(COLUMNS(AQ148:BL148)), FALSE), {""charttype"",""column""; ""color"",""chartreuse""; ""ymin"", 0; ""ymax"", 1.01; ""highcolo"&amp;"r"", ""darkgreen""; ""lowcolor"", ""red""}), """")"),"")</f>
        <v/>
      </c>
      <c r="B148" s="17" t="str">
        <f t="shared" si="4"/>
        <v/>
      </c>
      <c r="C148" s="1" t="s">
        <v>1416</v>
      </c>
      <c r="D148" s="30" t="str">
        <f>IFERROR(__xludf.DUMMYFUNCTION("IFERROR(GOOGLEFINANCE(C148, ""NAME""))"),"Stanley Black &amp; Decker Inc")</f>
        <v>Stanley Black &amp; Decker Inc</v>
      </c>
      <c r="E148" s="30" t="s">
        <v>1055</v>
      </c>
      <c r="F148" s="33" t="str">
        <f>IFERROR(__xludf.DUMMYFUNCTION("( (GOOGLEFINANCE(C148, ""price"") - Q148) / Q148 ) / (R148 / 100)"),"Loading...")</f>
        <v>Loading...</v>
      </c>
      <c r="G148" s="20" t="str">
        <f>IFERROR(__xludf.DUMMYFUNCTION("AVERAGE(ARRAYFORMULA(100 * (QUERY(GOOGLEFINANCE(C148, ""high"", TODAY()-40, TODAY()), ""SELECT Col2 WHERE Col2 IS NOT NULL ORDER BY Col1 DESC LIMIT 20"", 0) / QUERY(GOOGLEFINANCE(C148, ""low"", TODAY()-40, TODAY()), ""SELECT Col2 WHERE Col2 IS NOT NULL OR"&amp;"DER BY Col1 DESC LIMIT 20"", 0) - 1)))"),"#N/A")</f>
        <v>#N/A</v>
      </c>
      <c r="H148" s="35" t="str">
        <f t="shared" si="6"/>
        <v/>
      </c>
      <c r="I148" s="35" t="str">
        <f t="shared" si="7"/>
        <v/>
      </c>
      <c r="J148" s="37" t="str">
        <f>IFERROR(__xludf.DUMMYFUNCTION("IFERROR(
  IF(C148="""",, 
    IFERROR(
      GOOGLEFINANCE(C148, ""price"") * GOOGLEFINANCE(C148, ""volumeavg""), 
      GOOGLEFINANCE(C148, ""price"") * AVERAGE(QUERY(GOOGLEFINANCE(C148, ""volume"", TODAY()-40, TODAY()), ""SELECT Col2 WHERE Col2 IS NOT "&amp;"NULL ORDER BY Col1 DESC LIMIT 20"", 0))
    )
  ), 
"""")"),"")</f>
        <v/>
      </c>
      <c r="K148" s="21" t="str">
        <f>IFERROR(__xludf.DUMMYFUNCTION("IFERROR(GOOGLEFINANCE(C148, ""changepct"") / 100, """")"),"")</f>
        <v/>
      </c>
      <c r="L148" s="21" t="str">
        <f>IFERROR(__xludf.DUMMYFUNCTION("IFERROR((GOOGLEFINANCE(C148, ""price"") / INDEX(GOOGLEFINANCE(C148, ""price"", TODAY()-7, TODAY()), 2, 2)) - 1, """")"),"")</f>
        <v/>
      </c>
      <c r="M148" s="21" t="str">
        <f>IFERROR(__xludf.DUMMYFUNCTION("IFERROR((GOOGLEFINANCE(C148, ""price"") / INDEX(GOOGLEFINANCE(C148, ""price"", EDATE(TODAY(), -1), TODAY()), 2, 2)) - 1, """")"),"")</f>
        <v/>
      </c>
      <c r="N148" s="21" t="str">
        <f>IFERROR(__xludf.DUMMYFUNCTION("IFERROR((GOOGLEFINANCE(C148, ""price"") / INDEX(GOOGLEFINANCE(C148, ""price"", EDATE(TODAY(), -3), TODAY()), 2, 2)) - 1, """")"),"")</f>
        <v/>
      </c>
      <c r="O148" s="21" t="str">
        <f>IFERROR(__xludf.DUMMYFUNCTION("IFERROR((GOOGLEFINANCE(C148, ""price"") / INDEX(GOOGLEFINANCE(C148, ""price"", EDATE(TODAY(), -6), TODAY()), 2, 2)) - 1, """")"),"")</f>
        <v/>
      </c>
      <c r="P148" s="21" t="str">
        <f>IFERROR(__xludf.DUMMYFUNCTION("IFERROR((GOOGLEFINANCE(C148, ""price"") / INDEX(GOOGLEFINANCE(C148, ""price"", EDATE(TODAY(), -12), TODAY()), 2, 2)) - 1, """")"),"")</f>
        <v/>
      </c>
      <c r="Q148" s="6" t="str">
        <f>IFERROR(__xludf.DUMMYFUNCTION("AVERAGE(QUERY(GOOGLEFINANCE(C148, ""price"", TODAY()-80, TODAY()), ""SELECT Col2 WHERE Col2 IS NOT NULL ORDER BY Col1 DESC LIMIT 50"", 0))"),"#N/A")</f>
        <v>#N/A</v>
      </c>
      <c r="R148" s="24" t="str">
        <f>IFERROR(__xludf.DUMMYFUNCTION("IFERROR(
  LET(
    data, QUERY(GOOGLEFINANCE(C148,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GOOGLEFINANCE(C148, ""price"")) * 100,
    IF(calc=0, G148, calc)
  ), 
G148)"),"#N/A")</f>
        <v>#N/A</v>
      </c>
      <c r="S148" s="8" t="s">
        <v>15</v>
      </c>
      <c r="T148" s="26" t="str">
        <f>IFERROR(__xludf.DUMMYFUNCTION("IFERROR(TRANSPOSE(QUERY(IFERROR(SORT(GOOGLEFINANCE(C148, ""price"", WORKDAY(TODAY(), -40), TODAY()), 1, FALSE)), ""select Col2 where Col2 is not null limit 22 label Col2 ''"", 0)), """")"),"")</f>
        <v/>
      </c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8"/>
      <c r="AO148" s="28"/>
      <c r="AP148" s="29"/>
      <c r="AQ148" s="29" t="str">
        <f t="shared" ref="AQ148:BL148" si="151">T148/T$2</f>
        <v>#N/A</v>
      </c>
      <c r="AR148" s="29" t="str">
        <f t="shared" si="151"/>
        <v>#DIV/0!</v>
      </c>
      <c r="AS148" s="29" t="str">
        <f t="shared" si="151"/>
        <v>#DIV/0!</v>
      </c>
      <c r="AT148" s="29" t="str">
        <f t="shared" si="151"/>
        <v>#DIV/0!</v>
      </c>
      <c r="AU148" s="29" t="str">
        <f t="shared" si="151"/>
        <v>#DIV/0!</v>
      </c>
      <c r="AV148" s="29" t="str">
        <f t="shared" si="151"/>
        <v>#DIV/0!</v>
      </c>
      <c r="AW148" s="29" t="str">
        <f t="shared" si="151"/>
        <v>#DIV/0!</v>
      </c>
      <c r="AX148" s="29" t="str">
        <f t="shared" si="151"/>
        <v>#DIV/0!</v>
      </c>
      <c r="AY148" s="29" t="str">
        <f t="shared" si="151"/>
        <v>#DIV/0!</v>
      </c>
      <c r="AZ148" s="29" t="str">
        <f t="shared" si="151"/>
        <v>#DIV/0!</v>
      </c>
      <c r="BA148" s="29" t="str">
        <f t="shared" si="151"/>
        <v>#DIV/0!</v>
      </c>
      <c r="BB148" s="29" t="str">
        <f t="shared" si="151"/>
        <v>#DIV/0!</v>
      </c>
      <c r="BC148" s="29" t="str">
        <f t="shared" si="151"/>
        <v>#DIV/0!</v>
      </c>
      <c r="BD148" s="29" t="str">
        <f t="shared" si="151"/>
        <v>#DIV/0!</v>
      </c>
      <c r="BE148" s="29" t="str">
        <f t="shared" si="151"/>
        <v>#DIV/0!</v>
      </c>
      <c r="BF148" s="29" t="str">
        <f t="shared" si="151"/>
        <v>#DIV/0!</v>
      </c>
      <c r="BG148" s="29" t="str">
        <f t="shared" si="151"/>
        <v>#DIV/0!</v>
      </c>
      <c r="BH148" s="29" t="str">
        <f t="shared" si="151"/>
        <v>#DIV/0!</v>
      </c>
      <c r="BI148" s="29" t="str">
        <f t="shared" si="151"/>
        <v>#DIV/0!</v>
      </c>
      <c r="BJ148" s="29" t="str">
        <f t="shared" si="151"/>
        <v>#DIV/0!</v>
      </c>
      <c r="BK148" s="29" t="str">
        <f t="shared" si="151"/>
        <v>#DIV/0!</v>
      </c>
      <c r="BL148" s="29" t="str">
        <f t="shared" si="151"/>
        <v>#DIV/0!</v>
      </c>
      <c r="BM148" s="29" t="str">
        <f t="shared" si="3"/>
        <v>#DIV/0!</v>
      </c>
    </row>
    <row r="149">
      <c r="A149" s="16" t="str">
        <f>IFERROR(__xludf.DUMMYFUNCTION("IFERROR(SPARKLINE(SORT(MAP(TRANSPOSE(AQ149:BL149), LAMBDA(val, IF(ISNUMBER(val), PERCENTRANK(AQ149:BL149, val)+0.01, 0))), SEQUENCE(COLUMNS(AQ149:BL149)), FALSE), {""charttype"",""column""; ""color"",""chartreuse""; ""ymin"", 0; ""ymax"", 1.01; ""highcolo"&amp;"r"", ""darkgreen""; ""lowcolor"", ""red""}), """")"),"")</f>
        <v/>
      </c>
      <c r="B149" s="17" t="str">
        <f t="shared" si="4"/>
        <v/>
      </c>
      <c r="C149" s="1" t="s">
        <v>1419</v>
      </c>
      <c r="D149" s="30" t="str">
        <f>IFERROR(__xludf.DUMMYFUNCTION("IFERROR(GOOGLEFINANCE(C149, ""NAME""))"),"United Airlines Holdings Inc")</f>
        <v>United Airlines Holdings Inc</v>
      </c>
      <c r="E149" s="30" t="s">
        <v>1134</v>
      </c>
      <c r="F149" s="33" t="str">
        <f>IFERROR(__xludf.DUMMYFUNCTION("( (GOOGLEFINANCE(C149, ""price"") - Q149) / Q149 ) / (R149 / 100)"),"Loading...")</f>
        <v>Loading...</v>
      </c>
      <c r="G149" s="20" t="str">
        <f>IFERROR(__xludf.DUMMYFUNCTION("AVERAGE(ARRAYFORMULA(100 * (QUERY(GOOGLEFINANCE(C149, ""high"", TODAY()-40, TODAY()), ""SELECT Col2 WHERE Col2 IS NOT NULL ORDER BY Col1 DESC LIMIT 20"", 0) / QUERY(GOOGLEFINANCE(C149, ""low"", TODAY()-40, TODAY()), ""SELECT Col2 WHERE Col2 IS NOT NULL OR"&amp;"DER BY Col1 DESC LIMIT 20"", 0) - 1)))"),"#N/A")</f>
        <v>#N/A</v>
      </c>
      <c r="H149" s="35" t="str">
        <f t="shared" si="6"/>
        <v/>
      </c>
      <c r="I149" s="35" t="str">
        <f t="shared" si="7"/>
        <v/>
      </c>
      <c r="J149" s="37" t="str">
        <f>IFERROR(__xludf.DUMMYFUNCTION("IFERROR(
  IF(C149="""",, 
    IFERROR(
      GOOGLEFINANCE(C149, ""price"") * GOOGLEFINANCE(C149, ""volumeavg""), 
      GOOGLEFINANCE(C149, ""price"") * AVERAGE(QUERY(GOOGLEFINANCE(C149, ""volume"", TODAY()-40, TODAY()), ""SELECT Col2 WHERE Col2 IS NOT "&amp;"NULL ORDER BY Col1 DESC LIMIT 20"", 0))
    )
  ), 
"""")"),"")</f>
        <v/>
      </c>
      <c r="K149" s="21" t="str">
        <f>IFERROR(__xludf.DUMMYFUNCTION("IFERROR(GOOGLEFINANCE(C149, ""changepct"") / 100, """")"),"")</f>
        <v/>
      </c>
      <c r="L149" s="21" t="str">
        <f>IFERROR(__xludf.DUMMYFUNCTION("IFERROR((GOOGLEFINANCE(C149, ""price"") / INDEX(GOOGLEFINANCE(C149, ""price"", TODAY()-7, TODAY()), 2, 2)) - 1, """")"),"")</f>
        <v/>
      </c>
      <c r="M149" s="21" t="str">
        <f>IFERROR(__xludf.DUMMYFUNCTION("IFERROR((GOOGLEFINANCE(C149, ""price"") / INDEX(GOOGLEFINANCE(C149, ""price"", EDATE(TODAY(), -1), TODAY()), 2, 2)) - 1, """")"),"")</f>
        <v/>
      </c>
      <c r="N149" s="21" t="str">
        <f>IFERROR(__xludf.DUMMYFUNCTION("IFERROR((GOOGLEFINANCE(C149, ""price"") / INDEX(GOOGLEFINANCE(C149, ""price"", EDATE(TODAY(), -3), TODAY()), 2, 2)) - 1, """")"),"")</f>
        <v/>
      </c>
      <c r="O149" s="21" t="str">
        <f>IFERROR(__xludf.DUMMYFUNCTION("IFERROR((GOOGLEFINANCE(C149, ""price"") / INDEX(GOOGLEFINANCE(C149, ""price"", EDATE(TODAY(), -6), TODAY()), 2, 2)) - 1, """")"),"")</f>
        <v/>
      </c>
      <c r="P149" s="21" t="str">
        <f>IFERROR(__xludf.DUMMYFUNCTION("IFERROR((GOOGLEFINANCE(C149, ""price"") / INDEX(GOOGLEFINANCE(C149, ""price"", EDATE(TODAY(), -12), TODAY()), 2, 2)) - 1, """")"),"")</f>
        <v/>
      </c>
      <c r="Q149" s="6" t="str">
        <f>IFERROR(__xludf.DUMMYFUNCTION("AVERAGE(QUERY(GOOGLEFINANCE(C149, ""price"", TODAY()-80, TODAY()), ""SELECT Col2 WHERE Col2 IS NOT NULL ORDER BY Col1 DESC LIMIT 50"", 0))"),"#N/A")</f>
        <v>#N/A</v>
      </c>
      <c r="R149" s="24" t="str">
        <f>IFERROR(__xludf.DUMMYFUNCTION("IFERROR(
  LET(
    data, QUERY(GOOGLEFINANCE(C149,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GOOGLEFINANCE(C149, ""price"")) * 100,
    IF(calc=0, G149, calc)
  ), 
G149)"),"#N/A")</f>
        <v>#N/A</v>
      </c>
      <c r="S149" s="8" t="s">
        <v>15</v>
      </c>
      <c r="T149" s="26" t="str">
        <f>IFERROR(__xludf.DUMMYFUNCTION("IFERROR(TRANSPOSE(QUERY(IFERROR(SORT(GOOGLEFINANCE(C149, ""price"", WORKDAY(TODAY(), -40), TODAY()), 1, FALSE)), ""select Col2 where Col2 is not null limit 22 label Col2 ''"", 0)), """")"),"")</f>
        <v/>
      </c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8"/>
      <c r="AO149" s="28"/>
      <c r="AP149" s="29"/>
      <c r="AQ149" s="29" t="str">
        <f t="shared" ref="AQ149:BL149" si="152">T149/T$2</f>
        <v>#N/A</v>
      </c>
      <c r="AR149" s="29" t="str">
        <f t="shared" si="152"/>
        <v>#DIV/0!</v>
      </c>
      <c r="AS149" s="29" t="str">
        <f t="shared" si="152"/>
        <v>#DIV/0!</v>
      </c>
      <c r="AT149" s="29" t="str">
        <f t="shared" si="152"/>
        <v>#DIV/0!</v>
      </c>
      <c r="AU149" s="29" t="str">
        <f t="shared" si="152"/>
        <v>#DIV/0!</v>
      </c>
      <c r="AV149" s="29" t="str">
        <f t="shared" si="152"/>
        <v>#DIV/0!</v>
      </c>
      <c r="AW149" s="29" t="str">
        <f t="shared" si="152"/>
        <v>#DIV/0!</v>
      </c>
      <c r="AX149" s="29" t="str">
        <f t="shared" si="152"/>
        <v>#DIV/0!</v>
      </c>
      <c r="AY149" s="29" t="str">
        <f t="shared" si="152"/>
        <v>#DIV/0!</v>
      </c>
      <c r="AZ149" s="29" t="str">
        <f t="shared" si="152"/>
        <v>#DIV/0!</v>
      </c>
      <c r="BA149" s="29" t="str">
        <f t="shared" si="152"/>
        <v>#DIV/0!</v>
      </c>
      <c r="BB149" s="29" t="str">
        <f t="shared" si="152"/>
        <v>#DIV/0!</v>
      </c>
      <c r="BC149" s="29" t="str">
        <f t="shared" si="152"/>
        <v>#DIV/0!</v>
      </c>
      <c r="BD149" s="29" t="str">
        <f t="shared" si="152"/>
        <v>#DIV/0!</v>
      </c>
      <c r="BE149" s="29" t="str">
        <f t="shared" si="152"/>
        <v>#DIV/0!</v>
      </c>
      <c r="BF149" s="29" t="str">
        <f t="shared" si="152"/>
        <v>#DIV/0!</v>
      </c>
      <c r="BG149" s="29" t="str">
        <f t="shared" si="152"/>
        <v>#DIV/0!</v>
      </c>
      <c r="BH149" s="29" t="str">
        <f t="shared" si="152"/>
        <v>#DIV/0!</v>
      </c>
      <c r="BI149" s="29" t="str">
        <f t="shared" si="152"/>
        <v>#DIV/0!</v>
      </c>
      <c r="BJ149" s="29" t="str">
        <f t="shared" si="152"/>
        <v>#DIV/0!</v>
      </c>
      <c r="BK149" s="29" t="str">
        <f t="shared" si="152"/>
        <v>#DIV/0!</v>
      </c>
      <c r="BL149" s="29" t="str">
        <f t="shared" si="152"/>
        <v>#DIV/0!</v>
      </c>
      <c r="BM149" s="29" t="str">
        <f t="shared" si="3"/>
        <v>#DIV/0!</v>
      </c>
    </row>
    <row r="150">
      <c r="A150" s="16" t="str">
        <f>IFERROR(__xludf.DUMMYFUNCTION("IFERROR(SPARKLINE(SORT(MAP(TRANSPOSE(AQ150:BL150), LAMBDA(val, IF(ISNUMBER(val), PERCENTRANK(AQ150:BL150, val)+0.01, 0))), SEQUENCE(COLUMNS(AQ150:BL150)), FALSE), {""charttype"",""column""; ""color"",""chartreuse""; ""ymin"", 0; ""ymax"", 1.01; ""highcolo"&amp;"r"", ""darkgreen""; ""lowcolor"", ""red""}), """")"),"")</f>
        <v/>
      </c>
      <c r="B150" s="17" t="str">
        <f t="shared" si="4"/>
        <v/>
      </c>
      <c r="C150" s="1" t="s">
        <v>1424</v>
      </c>
      <c r="D150" s="30" t="str">
        <f>IFERROR(__xludf.DUMMYFUNCTION("IFERROR(GOOGLEFINANCE(C150, ""NAME""))"),"Heico Corp Class A")</f>
        <v>Heico Corp Class A</v>
      </c>
      <c r="E150" s="30" t="s">
        <v>839</v>
      </c>
      <c r="F150" s="38" t="str">
        <f>IFERROR(__xludf.DUMMYFUNCTION("( (GOOGLEFINANCE(C150, ""price"") - Q150) / Q150 ) / (R150 / 100)"),"Loading...")</f>
        <v>Loading...</v>
      </c>
      <c r="G150" s="20" t="str">
        <f>IFERROR(__xludf.DUMMYFUNCTION("AVERAGE(ARRAYFORMULA(100 * (QUERY(GOOGLEFINANCE(C150, ""high"", TODAY()-40, TODAY()), ""SELECT Col2 WHERE Col2 IS NOT NULL ORDER BY Col1 DESC LIMIT 20"", 0) / QUERY(GOOGLEFINANCE(C150, ""low"", TODAY()-40, TODAY()), ""SELECT Col2 WHERE Col2 IS NOT NULL OR"&amp;"DER BY Col1 DESC LIMIT 20"", 0) - 1)))"),"#N/A")</f>
        <v>#N/A</v>
      </c>
      <c r="H150" s="35" t="str">
        <f t="shared" si="6"/>
        <v/>
      </c>
      <c r="I150" s="35" t="str">
        <f t="shared" si="7"/>
        <v/>
      </c>
      <c r="J150" s="37" t="str">
        <f>IFERROR(__xludf.DUMMYFUNCTION("IFERROR(
  IF(C150="""",, 
    IFERROR(
      GOOGLEFINANCE(C150, ""price"") * GOOGLEFINANCE(C150, ""volumeavg""), 
      GOOGLEFINANCE(C150, ""price"") * AVERAGE(QUERY(GOOGLEFINANCE(C150, ""volume"", TODAY()-40, TODAY()), ""SELECT Col2 WHERE Col2 IS NOT "&amp;"NULL ORDER BY Col1 DESC LIMIT 20"", 0))
    )
  ), 
"""")"),"")</f>
        <v/>
      </c>
      <c r="K150" s="21" t="str">
        <f>IFERROR(__xludf.DUMMYFUNCTION("IFERROR(GOOGLEFINANCE(C150, ""changepct"") / 100, """")"),"")</f>
        <v/>
      </c>
      <c r="L150" s="21" t="str">
        <f>IFERROR(__xludf.DUMMYFUNCTION("IFERROR((GOOGLEFINANCE(C150, ""price"") / INDEX(GOOGLEFINANCE(C150, ""price"", TODAY()-7, TODAY()), 2, 2)) - 1, """")"),"")</f>
        <v/>
      </c>
      <c r="M150" s="21" t="str">
        <f>IFERROR(__xludf.DUMMYFUNCTION("IFERROR((GOOGLEFINANCE(C150, ""price"") / INDEX(GOOGLEFINANCE(C150, ""price"", EDATE(TODAY(), -1), TODAY()), 2, 2)) - 1, """")"),"")</f>
        <v/>
      </c>
      <c r="N150" s="21" t="str">
        <f>IFERROR(__xludf.DUMMYFUNCTION("IFERROR((GOOGLEFINANCE(C150, ""price"") / INDEX(GOOGLEFINANCE(C150, ""price"", EDATE(TODAY(), -3), TODAY()), 2, 2)) - 1, """")"),"")</f>
        <v/>
      </c>
      <c r="O150" s="21" t="str">
        <f>IFERROR(__xludf.DUMMYFUNCTION("IFERROR((GOOGLEFINANCE(C150, ""price"") / INDEX(GOOGLEFINANCE(C150, ""price"", EDATE(TODAY(), -6), TODAY()), 2, 2)) - 1, """")"),"")</f>
        <v/>
      </c>
      <c r="P150" s="21" t="str">
        <f>IFERROR(__xludf.DUMMYFUNCTION("IFERROR((GOOGLEFINANCE(C150, ""price"") / INDEX(GOOGLEFINANCE(C150, ""price"", EDATE(TODAY(), -12), TODAY()), 2, 2)) - 1, """")"),"")</f>
        <v/>
      </c>
      <c r="Q150" s="6" t="str">
        <f>IFERROR(__xludf.DUMMYFUNCTION("AVERAGE(QUERY(GOOGLEFINANCE(C150, ""price"", TODAY()-80, TODAY()), ""SELECT Col2 WHERE Col2 IS NOT NULL ORDER BY Col1 DESC LIMIT 50"", 0))"),"#N/A")</f>
        <v>#N/A</v>
      </c>
      <c r="R150" s="24" t="str">
        <f>IFERROR(__xludf.DUMMYFUNCTION("IFERROR(
  LET(
    data, QUERY(GOOGLEFINANCE(C150,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GOOGLEFINANCE(C150, ""price"")) * 100,
    IF(calc=0, G150, calc)
  ), 
G150)"),"#N/A")</f>
        <v>#N/A</v>
      </c>
      <c r="S150" s="8" t="s">
        <v>15</v>
      </c>
      <c r="T150" s="26" t="str">
        <f>IFERROR(__xludf.DUMMYFUNCTION("IFERROR(TRANSPOSE(QUERY(IFERROR(SORT(GOOGLEFINANCE(C150, ""price"", WORKDAY(TODAY(), -40), TODAY()), 1, FALSE)), ""select Col2 where Col2 is not null limit 22 label Col2 ''"", 0)), """")"),"")</f>
        <v/>
      </c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8"/>
      <c r="AO150" s="28"/>
      <c r="AP150" s="29"/>
      <c r="AQ150" s="29" t="str">
        <f t="shared" ref="AQ150:BL150" si="153">T150/T$2</f>
        <v>#N/A</v>
      </c>
      <c r="AR150" s="29" t="str">
        <f t="shared" si="153"/>
        <v>#DIV/0!</v>
      </c>
      <c r="AS150" s="29" t="str">
        <f t="shared" si="153"/>
        <v>#DIV/0!</v>
      </c>
      <c r="AT150" s="29" t="str">
        <f t="shared" si="153"/>
        <v>#DIV/0!</v>
      </c>
      <c r="AU150" s="29" t="str">
        <f t="shared" si="153"/>
        <v>#DIV/0!</v>
      </c>
      <c r="AV150" s="29" t="str">
        <f t="shared" si="153"/>
        <v>#DIV/0!</v>
      </c>
      <c r="AW150" s="29" t="str">
        <f t="shared" si="153"/>
        <v>#DIV/0!</v>
      </c>
      <c r="AX150" s="29" t="str">
        <f t="shared" si="153"/>
        <v>#DIV/0!</v>
      </c>
      <c r="AY150" s="29" t="str">
        <f t="shared" si="153"/>
        <v>#DIV/0!</v>
      </c>
      <c r="AZ150" s="29" t="str">
        <f t="shared" si="153"/>
        <v>#DIV/0!</v>
      </c>
      <c r="BA150" s="29" t="str">
        <f t="shared" si="153"/>
        <v>#DIV/0!</v>
      </c>
      <c r="BB150" s="29" t="str">
        <f t="shared" si="153"/>
        <v>#DIV/0!</v>
      </c>
      <c r="BC150" s="29" t="str">
        <f t="shared" si="153"/>
        <v>#DIV/0!</v>
      </c>
      <c r="BD150" s="29" t="str">
        <f t="shared" si="153"/>
        <v>#DIV/0!</v>
      </c>
      <c r="BE150" s="29" t="str">
        <f t="shared" si="153"/>
        <v>#DIV/0!</v>
      </c>
      <c r="BF150" s="29" t="str">
        <f t="shared" si="153"/>
        <v>#DIV/0!</v>
      </c>
      <c r="BG150" s="29" t="str">
        <f t="shared" si="153"/>
        <v>#DIV/0!</v>
      </c>
      <c r="BH150" s="29" t="str">
        <f t="shared" si="153"/>
        <v>#DIV/0!</v>
      </c>
      <c r="BI150" s="29" t="str">
        <f t="shared" si="153"/>
        <v>#DIV/0!</v>
      </c>
      <c r="BJ150" s="29" t="str">
        <f t="shared" si="153"/>
        <v>#DIV/0!</v>
      </c>
      <c r="BK150" s="29" t="str">
        <f t="shared" si="153"/>
        <v>#DIV/0!</v>
      </c>
      <c r="BL150" s="29" t="str">
        <f t="shared" si="153"/>
        <v>#DIV/0!</v>
      </c>
      <c r="BM150" s="29" t="str">
        <f t="shared" si="3"/>
        <v>#DIV/0!</v>
      </c>
    </row>
    <row r="151">
      <c r="A151" s="16" t="str">
        <f>IFERROR(__xludf.DUMMYFUNCTION("IFERROR(SPARKLINE(SORT(MAP(TRANSPOSE(AQ151:BL151), LAMBDA(val, IF(ISNUMBER(val), PERCENTRANK(AQ151:BL151, val)+0.01, 0))), SEQUENCE(COLUMNS(AQ151:BL151)), FALSE), {""charttype"",""column""; ""color"",""chartreuse""; ""ymin"", 0; ""ymax"", 1.01; ""highcolo"&amp;"r"", ""darkgreen""; ""lowcolor"", ""red""}), """")"),"")</f>
        <v/>
      </c>
      <c r="B151" s="17" t="str">
        <f t="shared" si="4"/>
        <v/>
      </c>
      <c r="C151" s="1" t="s">
        <v>1425</v>
      </c>
      <c r="D151" s="30" t="str">
        <f>IFERROR(__xludf.DUMMYFUNCTION("IFERROR(GOOGLEFINANCE(C151, ""NAME""))"),"Vertical Aerospace Ltd")</f>
        <v>Vertical Aerospace Ltd</v>
      </c>
      <c r="E151" s="30" t="s">
        <v>839</v>
      </c>
      <c r="F151" s="33" t="str">
        <f>IFERROR(__xludf.DUMMYFUNCTION("( (GOOGLEFINANCE(C151, ""price"") - Q151) / Q151 ) / (R151 / 100)"),"Loading...")</f>
        <v>Loading...</v>
      </c>
      <c r="G151" s="20" t="str">
        <f>IFERROR(__xludf.DUMMYFUNCTION("AVERAGE(ARRAYFORMULA(100 * (QUERY(GOOGLEFINANCE(C151, ""high"", TODAY()-40, TODAY()), ""SELECT Col2 WHERE Col2 IS NOT NULL ORDER BY Col1 DESC LIMIT 20"", 0) / QUERY(GOOGLEFINANCE(C151, ""low"", TODAY()-40, TODAY()), ""SELECT Col2 WHERE Col2 IS NOT NULL OR"&amp;"DER BY Col1 DESC LIMIT 20"", 0) - 1)))"),"#N/A")</f>
        <v>#N/A</v>
      </c>
      <c r="H151" s="35" t="str">
        <f t="shared" si="6"/>
        <v/>
      </c>
      <c r="I151" s="35" t="str">
        <f t="shared" si="7"/>
        <v/>
      </c>
      <c r="J151" s="37" t="str">
        <f>IFERROR(__xludf.DUMMYFUNCTION("IFERROR(
  IF(C151="""",, 
    IFERROR(
      GOOGLEFINANCE(C151, ""price"") * GOOGLEFINANCE(C151, ""volumeavg""), 
      GOOGLEFINANCE(C151, ""price"") * AVERAGE(QUERY(GOOGLEFINANCE(C151, ""volume"", TODAY()-40, TODAY()), ""SELECT Col2 WHERE Col2 IS NOT "&amp;"NULL ORDER BY Col1 DESC LIMIT 20"", 0))
    )
  ), 
"""")"),"")</f>
        <v/>
      </c>
      <c r="K151" s="21" t="str">
        <f>IFERROR(__xludf.DUMMYFUNCTION("IFERROR(GOOGLEFINANCE(C151, ""changepct"") / 100, """")"),"")</f>
        <v/>
      </c>
      <c r="L151" s="21" t="str">
        <f>IFERROR(__xludf.DUMMYFUNCTION("IFERROR((GOOGLEFINANCE(C151, ""price"") / INDEX(GOOGLEFINANCE(C151, ""price"", TODAY()-7, TODAY()), 2, 2)) - 1, """")"),"")</f>
        <v/>
      </c>
      <c r="M151" s="21" t="str">
        <f>IFERROR(__xludf.DUMMYFUNCTION("IFERROR((GOOGLEFINANCE(C151, ""price"") / INDEX(GOOGLEFINANCE(C151, ""price"", EDATE(TODAY(), -1), TODAY()), 2, 2)) - 1, """")"),"")</f>
        <v/>
      </c>
      <c r="N151" s="21" t="str">
        <f>IFERROR(__xludf.DUMMYFUNCTION("IFERROR((GOOGLEFINANCE(C151, ""price"") / INDEX(GOOGLEFINANCE(C151, ""price"", EDATE(TODAY(), -3), TODAY()), 2, 2)) - 1, """")"),"")</f>
        <v/>
      </c>
      <c r="O151" s="21" t="str">
        <f>IFERROR(__xludf.DUMMYFUNCTION("IFERROR((GOOGLEFINANCE(C151, ""price"") / INDEX(GOOGLEFINANCE(C151, ""price"", EDATE(TODAY(), -6), TODAY()), 2, 2)) - 1, """")"),"")</f>
        <v/>
      </c>
      <c r="P151" s="21" t="str">
        <f>IFERROR(__xludf.DUMMYFUNCTION("IFERROR((GOOGLEFINANCE(C151, ""price"") / INDEX(GOOGLEFINANCE(C151, ""price"", EDATE(TODAY(), -12), TODAY()), 2, 2)) - 1, """")"),"")</f>
        <v/>
      </c>
      <c r="Q151" s="6" t="str">
        <f>IFERROR(__xludf.DUMMYFUNCTION("AVERAGE(QUERY(GOOGLEFINANCE(C151, ""price"", TODAY()-80, TODAY()), ""SELECT Col2 WHERE Col2 IS NOT NULL ORDER BY Col1 DESC LIMIT 50"", 0))"),"#N/A")</f>
        <v>#N/A</v>
      </c>
      <c r="R151" s="24" t="str">
        <f>IFERROR(__xludf.DUMMYFUNCTION("IFERROR(
  LET(
    data, QUERY(GOOGLEFINANCE(C151,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GOOGLEFINANCE(C151, ""price"")) * 100,
    IF(calc=0, G151, calc)
  ), 
G151)"),"#N/A")</f>
        <v>#N/A</v>
      </c>
      <c r="S151" s="8" t="s">
        <v>15</v>
      </c>
      <c r="T151" s="26" t="str">
        <f>IFERROR(__xludf.DUMMYFUNCTION("IFERROR(TRANSPOSE(QUERY(IFERROR(SORT(GOOGLEFINANCE(C151, ""price"", WORKDAY(TODAY(), -40), TODAY()), 1, FALSE)), ""select Col2 where Col2 is not null limit 22 label Col2 ''"", 0)), """")"),"")</f>
        <v/>
      </c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8"/>
      <c r="AO151" s="28"/>
      <c r="AP151" s="29"/>
      <c r="AQ151" s="29" t="str">
        <f t="shared" ref="AQ151:BL151" si="154">T151/T$2</f>
        <v>#N/A</v>
      </c>
      <c r="AR151" s="29" t="str">
        <f t="shared" si="154"/>
        <v>#DIV/0!</v>
      </c>
      <c r="AS151" s="29" t="str">
        <f t="shared" si="154"/>
        <v>#DIV/0!</v>
      </c>
      <c r="AT151" s="29" t="str">
        <f t="shared" si="154"/>
        <v>#DIV/0!</v>
      </c>
      <c r="AU151" s="29" t="str">
        <f t="shared" si="154"/>
        <v>#DIV/0!</v>
      </c>
      <c r="AV151" s="29" t="str">
        <f t="shared" si="154"/>
        <v>#DIV/0!</v>
      </c>
      <c r="AW151" s="29" t="str">
        <f t="shared" si="154"/>
        <v>#DIV/0!</v>
      </c>
      <c r="AX151" s="29" t="str">
        <f t="shared" si="154"/>
        <v>#DIV/0!</v>
      </c>
      <c r="AY151" s="29" t="str">
        <f t="shared" si="154"/>
        <v>#DIV/0!</v>
      </c>
      <c r="AZ151" s="29" t="str">
        <f t="shared" si="154"/>
        <v>#DIV/0!</v>
      </c>
      <c r="BA151" s="29" t="str">
        <f t="shared" si="154"/>
        <v>#DIV/0!</v>
      </c>
      <c r="BB151" s="29" t="str">
        <f t="shared" si="154"/>
        <v>#DIV/0!</v>
      </c>
      <c r="BC151" s="29" t="str">
        <f t="shared" si="154"/>
        <v>#DIV/0!</v>
      </c>
      <c r="BD151" s="29" t="str">
        <f t="shared" si="154"/>
        <v>#DIV/0!</v>
      </c>
      <c r="BE151" s="29" t="str">
        <f t="shared" si="154"/>
        <v>#DIV/0!</v>
      </c>
      <c r="BF151" s="29" t="str">
        <f t="shared" si="154"/>
        <v>#DIV/0!</v>
      </c>
      <c r="BG151" s="29" t="str">
        <f t="shared" si="154"/>
        <v>#DIV/0!</v>
      </c>
      <c r="BH151" s="29" t="str">
        <f t="shared" si="154"/>
        <v>#DIV/0!</v>
      </c>
      <c r="BI151" s="29" t="str">
        <f t="shared" si="154"/>
        <v>#DIV/0!</v>
      </c>
      <c r="BJ151" s="29" t="str">
        <f t="shared" si="154"/>
        <v>#DIV/0!</v>
      </c>
      <c r="BK151" s="29" t="str">
        <f t="shared" si="154"/>
        <v>#DIV/0!</v>
      </c>
      <c r="BL151" s="29" t="str">
        <f t="shared" si="154"/>
        <v>#DIV/0!</v>
      </c>
      <c r="BM151" s="29" t="str">
        <f t="shared" si="3"/>
        <v>#DIV/0!</v>
      </c>
    </row>
    <row r="152">
      <c r="A152" s="16" t="str">
        <f>IFERROR(__xludf.DUMMYFUNCTION("IFERROR(SPARKLINE(SORT(MAP(TRANSPOSE(AQ152:BL152), LAMBDA(val, IF(ISNUMBER(val), PERCENTRANK(AQ152:BL152, val)+0.01, 0))), SEQUENCE(COLUMNS(AQ152:BL152)), FALSE), {""charttype"",""column""; ""color"",""chartreuse""; ""ymin"", 0; ""ymax"", 1.01; ""highcolo"&amp;"r"", ""darkgreen""; ""lowcolor"", ""red""}), """")"),"")</f>
        <v/>
      </c>
      <c r="B152" s="17" t="str">
        <f t="shared" si="4"/>
        <v/>
      </c>
      <c r="C152" s="1" t="s">
        <v>1430</v>
      </c>
      <c r="D152" s="30" t="str">
        <f>IFERROR(__xludf.DUMMYFUNCTION("IFERROR(GOOGLEFINANCE(C152, ""NAME""))"),"Hexcel Corp")</f>
        <v>Hexcel Corp</v>
      </c>
      <c r="E152" s="30" t="s">
        <v>839</v>
      </c>
      <c r="F152" s="33" t="str">
        <f>IFERROR(__xludf.DUMMYFUNCTION("( (GOOGLEFINANCE(C152, ""price"") - Q152) / Q152 ) / (R152 / 100)"),"Loading...")</f>
        <v>Loading...</v>
      </c>
      <c r="G152" s="20" t="str">
        <f>IFERROR(__xludf.DUMMYFUNCTION("AVERAGE(ARRAYFORMULA(100 * (QUERY(GOOGLEFINANCE(C152, ""high"", TODAY()-40, TODAY()), ""SELECT Col2 WHERE Col2 IS NOT NULL ORDER BY Col1 DESC LIMIT 20"", 0) / QUERY(GOOGLEFINANCE(C152, ""low"", TODAY()-40, TODAY()), ""SELECT Col2 WHERE Col2 IS NOT NULL OR"&amp;"DER BY Col1 DESC LIMIT 20"", 0) - 1)))"),"#N/A")</f>
        <v>#N/A</v>
      </c>
      <c r="H152" s="35" t="str">
        <f t="shared" si="6"/>
        <v/>
      </c>
      <c r="I152" s="35" t="str">
        <f t="shared" si="7"/>
        <v/>
      </c>
      <c r="J152" s="37" t="str">
        <f>IFERROR(__xludf.DUMMYFUNCTION("IFERROR(
  IF(C152="""",, 
    IFERROR(
      GOOGLEFINANCE(C152, ""price"") * GOOGLEFINANCE(C152, ""volumeavg""), 
      GOOGLEFINANCE(C152, ""price"") * AVERAGE(QUERY(GOOGLEFINANCE(C152, ""volume"", TODAY()-40, TODAY()), ""SELECT Col2 WHERE Col2 IS NOT "&amp;"NULL ORDER BY Col1 DESC LIMIT 20"", 0))
    )
  ), 
"""")"),"")</f>
        <v/>
      </c>
      <c r="K152" s="21" t="str">
        <f>IFERROR(__xludf.DUMMYFUNCTION("IFERROR(GOOGLEFINANCE(C152, ""changepct"") / 100, """")"),"")</f>
        <v/>
      </c>
      <c r="L152" s="21" t="str">
        <f>IFERROR(__xludf.DUMMYFUNCTION("IFERROR((GOOGLEFINANCE(C152, ""price"") / INDEX(GOOGLEFINANCE(C152, ""price"", TODAY()-7, TODAY()), 2, 2)) - 1, """")"),"")</f>
        <v/>
      </c>
      <c r="M152" s="21" t="str">
        <f>IFERROR(__xludf.DUMMYFUNCTION("IFERROR((GOOGLEFINANCE(C152, ""price"") / INDEX(GOOGLEFINANCE(C152, ""price"", EDATE(TODAY(), -1), TODAY()), 2, 2)) - 1, """")"),"")</f>
        <v/>
      </c>
      <c r="N152" s="21" t="str">
        <f>IFERROR(__xludf.DUMMYFUNCTION("IFERROR((GOOGLEFINANCE(C152, ""price"") / INDEX(GOOGLEFINANCE(C152, ""price"", EDATE(TODAY(), -3), TODAY()), 2, 2)) - 1, """")"),"")</f>
        <v/>
      </c>
      <c r="O152" s="21" t="str">
        <f>IFERROR(__xludf.DUMMYFUNCTION("IFERROR((GOOGLEFINANCE(C152, ""price"") / INDEX(GOOGLEFINANCE(C152, ""price"", EDATE(TODAY(), -6), TODAY()), 2, 2)) - 1, """")"),"")</f>
        <v/>
      </c>
      <c r="P152" s="21" t="str">
        <f>IFERROR(__xludf.DUMMYFUNCTION("IFERROR((GOOGLEFINANCE(C152, ""price"") / INDEX(GOOGLEFINANCE(C152, ""price"", EDATE(TODAY(), -12), TODAY()), 2, 2)) - 1, """")"),"")</f>
        <v/>
      </c>
      <c r="Q152" s="6" t="str">
        <f>IFERROR(__xludf.DUMMYFUNCTION("AVERAGE(QUERY(GOOGLEFINANCE(C152, ""price"", TODAY()-80, TODAY()), ""SELECT Col2 WHERE Col2 IS NOT NULL ORDER BY Col1 DESC LIMIT 50"", 0))"),"#N/A")</f>
        <v>#N/A</v>
      </c>
      <c r="R152" s="24" t="str">
        <f>IFERROR(__xludf.DUMMYFUNCTION("IFERROR(
  LET(
    data, QUERY(GOOGLEFINANCE(C152,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GOOGLEFINANCE(C152, ""price"")) * 100,
    IF(calc=0, G152, calc)
  ), 
G152)"),"#N/A")</f>
        <v>#N/A</v>
      </c>
      <c r="S152" s="8" t="s">
        <v>15</v>
      </c>
      <c r="T152" s="26" t="str">
        <f>IFERROR(__xludf.DUMMYFUNCTION("IFERROR(TRANSPOSE(QUERY(IFERROR(SORT(GOOGLEFINANCE(C152, ""price"", WORKDAY(TODAY(), -40), TODAY()), 1, FALSE)), ""select Col2 where Col2 is not null limit 22 label Col2 ''"", 0)), """")"),"")</f>
        <v/>
      </c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8"/>
      <c r="AO152" s="28"/>
      <c r="AP152" s="29"/>
      <c r="AQ152" s="29" t="str">
        <f t="shared" ref="AQ152:BL152" si="155">T152/T$2</f>
        <v>#N/A</v>
      </c>
      <c r="AR152" s="29" t="str">
        <f t="shared" si="155"/>
        <v>#DIV/0!</v>
      </c>
      <c r="AS152" s="29" t="str">
        <f t="shared" si="155"/>
        <v>#DIV/0!</v>
      </c>
      <c r="AT152" s="29" t="str">
        <f t="shared" si="155"/>
        <v>#DIV/0!</v>
      </c>
      <c r="AU152" s="29" t="str">
        <f t="shared" si="155"/>
        <v>#DIV/0!</v>
      </c>
      <c r="AV152" s="29" t="str">
        <f t="shared" si="155"/>
        <v>#DIV/0!</v>
      </c>
      <c r="AW152" s="29" t="str">
        <f t="shared" si="155"/>
        <v>#DIV/0!</v>
      </c>
      <c r="AX152" s="29" t="str">
        <f t="shared" si="155"/>
        <v>#DIV/0!</v>
      </c>
      <c r="AY152" s="29" t="str">
        <f t="shared" si="155"/>
        <v>#DIV/0!</v>
      </c>
      <c r="AZ152" s="29" t="str">
        <f t="shared" si="155"/>
        <v>#DIV/0!</v>
      </c>
      <c r="BA152" s="29" t="str">
        <f t="shared" si="155"/>
        <v>#DIV/0!</v>
      </c>
      <c r="BB152" s="29" t="str">
        <f t="shared" si="155"/>
        <v>#DIV/0!</v>
      </c>
      <c r="BC152" s="29" t="str">
        <f t="shared" si="155"/>
        <v>#DIV/0!</v>
      </c>
      <c r="BD152" s="29" t="str">
        <f t="shared" si="155"/>
        <v>#DIV/0!</v>
      </c>
      <c r="BE152" s="29" t="str">
        <f t="shared" si="155"/>
        <v>#DIV/0!</v>
      </c>
      <c r="BF152" s="29" t="str">
        <f t="shared" si="155"/>
        <v>#DIV/0!</v>
      </c>
      <c r="BG152" s="29" t="str">
        <f t="shared" si="155"/>
        <v>#DIV/0!</v>
      </c>
      <c r="BH152" s="29" t="str">
        <f t="shared" si="155"/>
        <v>#DIV/0!</v>
      </c>
      <c r="BI152" s="29" t="str">
        <f t="shared" si="155"/>
        <v>#DIV/0!</v>
      </c>
      <c r="BJ152" s="29" t="str">
        <f t="shared" si="155"/>
        <v>#DIV/0!</v>
      </c>
      <c r="BK152" s="29" t="str">
        <f t="shared" si="155"/>
        <v>#DIV/0!</v>
      </c>
      <c r="BL152" s="29" t="str">
        <f t="shared" si="155"/>
        <v>#DIV/0!</v>
      </c>
      <c r="BM152" s="29" t="str">
        <f t="shared" si="3"/>
        <v>#DIV/0!</v>
      </c>
    </row>
    <row r="153">
      <c r="A153" s="16" t="str">
        <f>IFERROR(__xludf.DUMMYFUNCTION("IFERROR(SPARKLINE(SORT(MAP(TRANSPOSE(AQ153:BL153), LAMBDA(val, IF(ISNUMBER(val), PERCENTRANK(AQ153:BL153, val)+0.01, 0))), SEQUENCE(COLUMNS(AQ153:BL153)), FALSE), {""charttype"",""column""; ""color"",""chartreuse""; ""ymin"", 0; ""ymax"", 1.01; ""highcolo"&amp;"r"", ""darkgreen""; ""lowcolor"", ""red""}), """")"),"")</f>
        <v/>
      </c>
      <c r="B153" s="17" t="str">
        <f t="shared" si="4"/>
        <v/>
      </c>
      <c r="C153" s="1" t="s">
        <v>1434</v>
      </c>
      <c r="D153" s="30" t="str">
        <f>IFERROR(__xludf.DUMMYFUNCTION("IFERROR(GOOGLEFINANCE(C153, ""NAME""))"),"Atkore Inc")</f>
        <v>Atkore Inc</v>
      </c>
      <c r="E153" s="30" t="s">
        <v>864</v>
      </c>
      <c r="F153" s="33" t="str">
        <f>IFERROR(__xludf.DUMMYFUNCTION("( (GOOGLEFINANCE(C153, ""price"") - Q153) / Q153 ) / (R153 / 100)"),"Loading...")</f>
        <v>Loading...</v>
      </c>
      <c r="G153" s="20" t="str">
        <f>IFERROR(__xludf.DUMMYFUNCTION("AVERAGE(ARRAYFORMULA(100 * (QUERY(GOOGLEFINANCE(C153, ""high"", TODAY()-40, TODAY()), ""SELECT Col2 WHERE Col2 IS NOT NULL ORDER BY Col1 DESC LIMIT 20"", 0) / QUERY(GOOGLEFINANCE(C153, ""low"", TODAY()-40, TODAY()), ""SELECT Col2 WHERE Col2 IS NOT NULL OR"&amp;"DER BY Col1 DESC LIMIT 20"", 0) - 1)))"),"#N/A")</f>
        <v>#N/A</v>
      </c>
      <c r="H153" s="35" t="str">
        <f t="shared" si="6"/>
        <v/>
      </c>
      <c r="I153" s="35" t="str">
        <f t="shared" si="7"/>
        <v/>
      </c>
      <c r="J153" s="37" t="str">
        <f>IFERROR(__xludf.DUMMYFUNCTION("IFERROR(
  IF(C153="""",, 
    IFERROR(
      GOOGLEFINANCE(C153, ""price"") * GOOGLEFINANCE(C153, ""volumeavg""), 
      GOOGLEFINANCE(C153, ""price"") * AVERAGE(QUERY(GOOGLEFINANCE(C153, ""volume"", TODAY()-40, TODAY()), ""SELECT Col2 WHERE Col2 IS NOT "&amp;"NULL ORDER BY Col1 DESC LIMIT 20"", 0))
    )
  ), 
"""")"),"")</f>
        <v/>
      </c>
      <c r="K153" s="21" t="str">
        <f>IFERROR(__xludf.DUMMYFUNCTION("IFERROR(GOOGLEFINANCE(C153, ""changepct"") / 100, """")"),"")</f>
        <v/>
      </c>
      <c r="L153" s="21" t="str">
        <f>IFERROR(__xludf.DUMMYFUNCTION("IFERROR((GOOGLEFINANCE(C153, ""price"") / INDEX(GOOGLEFINANCE(C153, ""price"", TODAY()-7, TODAY()), 2, 2)) - 1, """")"),"")</f>
        <v/>
      </c>
      <c r="M153" s="21" t="str">
        <f>IFERROR(__xludf.DUMMYFUNCTION("IFERROR((GOOGLEFINANCE(C153, ""price"") / INDEX(GOOGLEFINANCE(C153, ""price"", EDATE(TODAY(), -1), TODAY()), 2, 2)) - 1, """")"),"")</f>
        <v/>
      </c>
      <c r="N153" s="21" t="str">
        <f>IFERROR(__xludf.DUMMYFUNCTION("IFERROR((GOOGLEFINANCE(C153, ""price"") / INDEX(GOOGLEFINANCE(C153, ""price"", EDATE(TODAY(), -3), TODAY()), 2, 2)) - 1, """")"),"")</f>
        <v/>
      </c>
      <c r="O153" s="21" t="str">
        <f>IFERROR(__xludf.DUMMYFUNCTION("IFERROR((GOOGLEFINANCE(C153, ""price"") / INDEX(GOOGLEFINANCE(C153, ""price"", EDATE(TODAY(), -6), TODAY()), 2, 2)) - 1, """")"),"")</f>
        <v/>
      </c>
      <c r="P153" s="21" t="str">
        <f>IFERROR(__xludf.DUMMYFUNCTION("IFERROR((GOOGLEFINANCE(C153, ""price"") / INDEX(GOOGLEFINANCE(C153, ""price"", EDATE(TODAY(), -12), TODAY()), 2, 2)) - 1, """")"),"")</f>
        <v/>
      </c>
      <c r="Q153" s="6" t="str">
        <f>IFERROR(__xludf.DUMMYFUNCTION("AVERAGE(QUERY(GOOGLEFINANCE(C153, ""price"", TODAY()-80, TODAY()), ""SELECT Col2 WHERE Col2 IS NOT NULL ORDER BY Col1 DESC LIMIT 50"", 0))"),"#N/A")</f>
        <v>#N/A</v>
      </c>
      <c r="R153" s="24" t="str">
        <f>IFERROR(__xludf.DUMMYFUNCTION("IFERROR(
  LET(
    data, QUERY(GOOGLEFINANCE(C153,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GOOGLEFINANCE(C153, ""price"")) * 100,
    IF(calc=0, G153, calc)
  ), 
G153)"),"#N/A")</f>
        <v>#N/A</v>
      </c>
      <c r="S153" s="8" t="s">
        <v>15</v>
      </c>
      <c r="T153" s="26" t="str">
        <f>IFERROR(__xludf.DUMMYFUNCTION("IFERROR(TRANSPOSE(QUERY(IFERROR(SORT(GOOGLEFINANCE(C153, ""price"", WORKDAY(TODAY(), -40), TODAY()), 1, FALSE)), ""select Col2 where Col2 is not null limit 22 label Col2 ''"", 0)), """")"),"")</f>
        <v/>
      </c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8"/>
      <c r="AO153" s="28"/>
      <c r="AP153" s="29"/>
      <c r="AQ153" s="29" t="str">
        <f t="shared" ref="AQ153:BL153" si="156">T153/T$2</f>
        <v>#N/A</v>
      </c>
      <c r="AR153" s="29" t="str">
        <f t="shared" si="156"/>
        <v>#DIV/0!</v>
      </c>
      <c r="AS153" s="29" t="str">
        <f t="shared" si="156"/>
        <v>#DIV/0!</v>
      </c>
      <c r="AT153" s="29" t="str">
        <f t="shared" si="156"/>
        <v>#DIV/0!</v>
      </c>
      <c r="AU153" s="29" t="str">
        <f t="shared" si="156"/>
        <v>#DIV/0!</v>
      </c>
      <c r="AV153" s="29" t="str">
        <f t="shared" si="156"/>
        <v>#DIV/0!</v>
      </c>
      <c r="AW153" s="29" t="str">
        <f t="shared" si="156"/>
        <v>#DIV/0!</v>
      </c>
      <c r="AX153" s="29" t="str">
        <f t="shared" si="156"/>
        <v>#DIV/0!</v>
      </c>
      <c r="AY153" s="29" t="str">
        <f t="shared" si="156"/>
        <v>#DIV/0!</v>
      </c>
      <c r="AZ153" s="29" t="str">
        <f t="shared" si="156"/>
        <v>#DIV/0!</v>
      </c>
      <c r="BA153" s="29" t="str">
        <f t="shared" si="156"/>
        <v>#DIV/0!</v>
      </c>
      <c r="BB153" s="29" t="str">
        <f t="shared" si="156"/>
        <v>#DIV/0!</v>
      </c>
      <c r="BC153" s="29" t="str">
        <f t="shared" si="156"/>
        <v>#DIV/0!</v>
      </c>
      <c r="BD153" s="29" t="str">
        <f t="shared" si="156"/>
        <v>#DIV/0!</v>
      </c>
      <c r="BE153" s="29" t="str">
        <f t="shared" si="156"/>
        <v>#DIV/0!</v>
      </c>
      <c r="BF153" s="29" t="str">
        <f t="shared" si="156"/>
        <v>#DIV/0!</v>
      </c>
      <c r="BG153" s="29" t="str">
        <f t="shared" si="156"/>
        <v>#DIV/0!</v>
      </c>
      <c r="BH153" s="29" t="str">
        <f t="shared" si="156"/>
        <v>#DIV/0!</v>
      </c>
      <c r="BI153" s="29" t="str">
        <f t="shared" si="156"/>
        <v>#DIV/0!</v>
      </c>
      <c r="BJ153" s="29" t="str">
        <f t="shared" si="156"/>
        <v>#DIV/0!</v>
      </c>
      <c r="BK153" s="29" t="str">
        <f t="shared" si="156"/>
        <v>#DIV/0!</v>
      </c>
      <c r="BL153" s="29" t="str">
        <f t="shared" si="156"/>
        <v>#DIV/0!</v>
      </c>
      <c r="BM153" s="29" t="str">
        <f t="shared" si="3"/>
        <v>#DIV/0!</v>
      </c>
    </row>
    <row r="154">
      <c r="A154" s="16" t="str">
        <f>IFERROR(__xludf.DUMMYFUNCTION("IFERROR(SPARKLINE(SORT(MAP(TRANSPOSE(AQ154:BL154), LAMBDA(val, IF(ISNUMBER(val), PERCENTRANK(AQ154:BL154, val)+0.01, 0))), SEQUENCE(COLUMNS(AQ154:BL154)), FALSE), {""charttype"",""column""; ""color"",""chartreuse""; ""ymin"", 0; ""ymax"", 1.01; ""highcolo"&amp;"r"", ""darkgreen""; ""lowcolor"", ""red""}), """")"),"")</f>
        <v/>
      </c>
      <c r="B154" s="17" t="str">
        <f t="shared" si="4"/>
        <v/>
      </c>
      <c r="C154" s="1" t="s">
        <v>1438</v>
      </c>
      <c r="D154" s="30" t="str">
        <f>IFERROR(__xludf.DUMMYFUNCTION("IFERROR(GOOGLEFINANCE(C154, ""NAME""))"),"Canadian Pacific Kansas City Ltd")</f>
        <v>Canadian Pacific Kansas City Ltd</v>
      </c>
      <c r="E154" s="30" t="s">
        <v>962</v>
      </c>
      <c r="F154" s="33" t="str">
        <f>IFERROR(__xludf.DUMMYFUNCTION("( (GOOGLEFINANCE(C154, ""price"") - Q154) / Q154 ) / (R154 / 100)"),"Loading...")</f>
        <v>Loading...</v>
      </c>
      <c r="G154" s="20" t="str">
        <f>IFERROR(__xludf.DUMMYFUNCTION("AVERAGE(ARRAYFORMULA(100 * (QUERY(GOOGLEFINANCE(C154, ""high"", TODAY()-40, TODAY()), ""SELECT Col2 WHERE Col2 IS NOT NULL ORDER BY Col1 DESC LIMIT 20"", 0) / QUERY(GOOGLEFINANCE(C154, ""low"", TODAY()-40, TODAY()), ""SELECT Col2 WHERE Col2 IS NOT NULL OR"&amp;"DER BY Col1 DESC LIMIT 20"", 0) - 1)))"),"#N/A")</f>
        <v>#N/A</v>
      </c>
      <c r="H154" s="35" t="str">
        <f t="shared" si="6"/>
        <v/>
      </c>
      <c r="I154" s="35" t="str">
        <f t="shared" si="7"/>
        <v/>
      </c>
      <c r="J154" s="37" t="str">
        <f>IFERROR(__xludf.DUMMYFUNCTION("IFERROR(
  IF(C154="""",, 
    IFERROR(
      GOOGLEFINANCE(C154, ""price"") * GOOGLEFINANCE(C154, ""volumeavg""), 
      GOOGLEFINANCE(C154, ""price"") * AVERAGE(QUERY(GOOGLEFINANCE(C154, ""volume"", TODAY()-40, TODAY()), ""SELECT Col2 WHERE Col2 IS NOT "&amp;"NULL ORDER BY Col1 DESC LIMIT 20"", 0))
    )
  ), 
"""")"),"")</f>
        <v/>
      </c>
      <c r="K154" s="21" t="str">
        <f>IFERROR(__xludf.DUMMYFUNCTION("IFERROR(GOOGLEFINANCE(C154, ""changepct"") / 100, """")"),"")</f>
        <v/>
      </c>
      <c r="L154" s="21" t="str">
        <f>IFERROR(__xludf.DUMMYFUNCTION("IFERROR((GOOGLEFINANCE(C154, ""price"") / INDEX(GOOGLEFINANCE(C154, ""price"", TODAY()-7, TODAY()), 2, 2)) - 1, """")"),"")</f>
        <v/>
      </c>
      <c r="M154" s="21" t="str">
        <f>IFERROR(__xludf.DUMMYFUNCTION("IFERROR((GOOGLEFINANCE(C154, ""price"") / INDEX(GOOGLEFINANCE(C154, ""price"", EDATE(TODAY(), -1), TODAY()), 2, 2)) - 1, """")"),"")</f>
        <v/>
      </c>
      <c r="N154" s="21" t="str">
        <f>IFERROR(__xludf.DUMMYFUNCTION("IFERROR((GOOGLEFINANCE(C154, ""price"") / INDEX(GOOGLEFINANCE(C154, ""price"", EDATE(TODAY(), -3), TODAY()), 2, 2)) - 1, """")"),"")</f>
        <v/>
      </c>
      <c r="O154" s="21" t="str">
        <f>IFERROR(__xludf.DUMMYFUNCTION("IFERROR((GOOGLEFINANCE(C154, ""price"") / INDEX(GOOGLEFINANCE(C154, ""price"", EDATE(TODAY(), -6), TODAY()), 2, 2)) - 1, """")"),"")</f>
        <v/>
      </c>
      <c r="P154" s="21" t="str">
        <f>IFERROR(__xludf.DUMMYFUNCTION("IFERROR((GOOGLEFINANCE(C154, ""price"") / INDEX(GOOGLEFINANCE(C154, ""price"", EDATE(TODAY(), -12), TODAY()), 2, 2)) - 1, """")"),"")</f>
        <v/>
      </c>
      <c r="Q154" s="6" t="str">
        <f>IFERROR(__xludf.DUMMYFUNCTION("AVERAGE(QUERY(GOOGLEFINANCE(C154, ""price"", TODAY()-80, TODAY()), ""SELECT Col2 WHERE Col2 IS NOT NULL ORDER BY Col1 DESC LIMIT 50"", 0))"),"#N/A")</f>
        <v>#N/A</v>
      </c>
      <c r="R154" s="24" t="str">
        <f>IFERROR(__xludf.DUMMYFUNCTION("IFERROR(
  LET(
    data, QUERY(GOOGLEFINANCE(C154,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GOOGLEFINANCE(C154, ""price"")) * 100,
    IF(calc=0, G154, calc)
  ), 
G154)"),"#N/A")</f>
        <v>#N/A</v>
      </c>
      <c r="S154" s="8" t="s">
        <v>15</v>
      </c>
      <c r="T154" s="26" t="str">
        <f>IFERROR(__xludf.DUMMYFUNCTION("IFERROR(TRANSPOSE(QUERY(IFERROR(SORT(GOOGLEFINANCE(C154, ""price"", WORKDAY(TODAY(), -40), TODAY()), 1, FALSE)), ""select Col2 where Col2 is not null limit 22 label Col2 ''"", 0)), """")"),"")</f>
        <v/>
      </c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8"/>
      <c r="AO154" s="28"/>
      <c r="AP154" s="29"/>
      <c r="AQ154" s="29" t="str">
        <f t="shared" ref="AQ154:BL154" si="157">T154/T$2</f>
        <v>#N/A</v>
      </c>
      <c r="AR154" s="29" t="str">
        <f t="shared" si="157"/>
        <v>#DIV/0!</v>
      </c>
      <c r="AS154" s="29" t="str">
        <f t="shared" si="157"/>
        <v>#DIV/0!</v>
      </c>
      <c r="AT154" s="29" t="str">
        <f t="shared" si="157"/>
        <v>#DIV/0!</v>
      </c>
      <c r="AU154" s="29" t="str">
        <f t="shared" si="157"/>
        <v>#DIV/0!</v>
      </c>
      <c r="AV154" s="29" t="str">
        <f t="shared" si="157"/>
        <v>#DIV/0!</v>
      </c>
      <c r="AW154" s="29" t="str">
        <f t="shared" si="157"/>
        <v>#DIV/0!</v>
      </c>
      <c r="AX154" s="29" t="str">
        <f t="shared" si="157"/>
        <v>#DIV/0!</v>
      </c>
      <c r="AY154" s="29" t="str">
        <f t="shared" si="157"/>
        <v>#DIV/0!</v>
      </c>
      <c r="AZ154" s="29" t="str">
        <f t="shared" si="157"/>
        <v>#DIV/0!</v>
      </c>
      <c r="BA154" s="29" t="str">
        <f t="shared" si="157"/>
        <v>#DIV/0!</v>
      </c>
      <c r="BB154" s="29" t="str">
        <f t="shared" si="157"/>
        <v>#DIV/0!</v>
      </c>
      <c r="BC154" s="29" t="str">
        <f t="shared" si="157"/>
        <v>#DIV/0!</v>
      </c>
      <c r="BD154" s="29" t="str">
        <f t="shared" si="157"/>
        <v>#DIV/0!</v>
      </c>
      <c r="BE154" s="29" t="str">
        <f t="shared" si="157"/>
        <v>#DIV/0!</v>
      </c>
      <c r="BF154" s="29" t="str">
        <f t="shared" si="157"/>
        <v>#DIV/0!</v>
      </c>
      <c r="BG154" s="29" t="str">
        <f t="shared" si="157"/>
        <v>#DIV/0!</v>
      </c>
      <c r="BH154" s="29" t="str">
        <f t="shared" si="157"/>
        <v>#DIV/0!</v>
      </c>
      <c r="BI154" s="29" t="str">
        <f t="shared" si="157"/>
        <v>#DIV/0!</v>
      </c>
      <c r="BJ154" s="29" t="str">
        <f t="shared" si="157"/>
        <v>#DIV/0!</v>
      </c>
      <c r="BK154" s="29" t="str">
        <f t="shared" si="157"/>
        <v>#DIV/0!</v>
      </c>
      <c r="BL154" s="29" t="str">
        <f t="shared" si="157"/>
        <v>#DIV/0!</v>
      </c>
      <c r="BM154" s="29" t="str">
        <f t="shared" si="3"/>
        <v>#DIV/0!</v>
      </c>
    </row>
    <row r="155">
      <c r="A155" s="16" t="str">
        <f>IFERROR(__xludf.DUMMYFUNCTION("IFERROR(SPARKLINE(SORT(MAP(TRANSPOSE(AQ155:BL155), LAMBDA(val, IF(ISNUMBER(val), PERCENTRANK(AQ155:BL155, val)+0.01, 0))), SEQUENCE(COLUMNS(AQ155:BL155)), FALSE), {""charttype"",""column""; ""color"",""chartreuse""; ""ymin"", 0; ""ymax"", 1.01; ""highcolo"&amp;"r"", ""darkgreen""; ""lowcolor"", ""red""}), """")"),"")</f>
        <v/>
      </c>
      <c r="B155" s="17" t="str">
        <f t="shared" si="4"/>
        <v/>
      </c>
      <c r="C155" s="1" t="s">
        <v>1442</v>
      </c>
      <c r="D155" s="30" t="str">
        <f>IFERROR(__xludf.DUMMYFUNCTION("IFERROR(GOOGLEFINANCE(C155, ""NAME""))"),"Kadant Inc")</f>
        <v>Kadant Inc</v>
      </c>
      <c r="E155" s="30" t="s">
        <v>893</v>
      </c>
      <c r="F155" s="33" t="str">
        <f>IFERROR(__xludf.DUMMYFUNCTION("( (GOOGLEFINANCE(C155, ""price"") - Q155) / Q155 ) / (R155 / 100)"),"Loading...")</f>
        <v>Loading...</v>
      </c>
      <c r="G155" s="20" t="str">
        <f>IFERROR(__xludf.DUMMYFUNCTION("AVERAGE(ARRAYFORMULA(100 * (QUERY(GOOGLEFINANCE(C155, ""high"", TODAY()-40, TODAY()), ""SELECT Col2 WHERE Col2 IS NOT NULL ORDER BY Col1 DESC LIMIT 20"", 0) / QUERY(GOOGLEFINANCE(C155, ""low"", TODAY()-40, TODAY()), ""SELECT Col2 WHERE Col2 IS NOT NULL OR"&amp;"DER BY Col1 DESC LIMIT 20"", 0) - 1)))"),"#N/A")</f>
        <v>#N/A</v>
      </c>
      <c r="H155" s="35" t="str">
        <f t="shared" si="6"/>
        <v/>
      </c>
      <c r="I155" s="35" t="str">
        <f t="shared" si="7"/>
        <v/>
      </c>
      <c r="J155" s="37" t="str">
        <f>IFERROR(__xludf.DUMMYFUNCTION("IFERROR(
  IF(C155="""",, 
    IFERROR(
      GOOGLEFINANCE(C155, ""price"") * GOOGLEFINANCE(C155, ""volumeavg""), 
      GOOGLEFINANCE(C155, ""price"") * AVERAGE(QUERY(GOOGLEFINANCE(C155, ""volume"", TODAY()-40, TODAY()), ""SELECT Col2 WHERE Col2 IS NOT "&amp;"NULL ORDER BY Col1 DESC LIMIT 20"", 0))
    )
  ), 
"""")"),"")</f>
        <v/>
      </c>
      <c r="K155" s="21" t="str">
        <f>IFERROR(__xludf.DUMMYFUNCTION("IFERROR(GOOGLEFINANCE(C155, ""changepct"") / 100, """")"),"")</f>
        <v/>
      </c>
      <c r="L155" s="21" t="str">
        <f>IFERROR(__xludf.DUMMYFUNCTION("IFERROR((GOOGLEFINANCE(C155, ""price"") / INDEX(GOOGLEFINANCE(C155, ""price"", TODAY()-7, TODAY()), 2, 2)) - 1, """")"),"")</f>
        <v/>
      </c>
      <c r="M155" s="21" t="str">
        <f>IFERROR(__xludf.DUMMYFUNCTION("IFERROR((GOOGLEFINANCE(C155, ""price"") / INDEX(GOOGLEFINANCE(C155, ""price"", EDATE(TODAY(), -1), TODAY()), 2, 2)) - 1, """")"),"")</f>
        <v/>
      </c>
      <c r="N155" s="21" t="str">
        <f>IFERROR(__xludf.DUMMYFUNCTION("IFERROR((GOOGLEFINANCE(C155, ""price"") / INDEX(GOOGLEFINANCE(C155, ""price"", EDATE(TODAY(), -3), TODAY()), 2, 2)) - 1, """")"),"")</f>
        <v/>
      </c>
      <c r="O155" s="21" t="str">
        <f>IFERROR(__xludf.DUMMYFUNCTION("IFERROR((GOOGLEFINANCE(C155, ""price"") / INDEX(GOOGLEFINANCE(C155, ""price"", EDATE(TODAY(), -6), TODAY()), 2, 2)) - 1, """")"),"")</f>
        <v/>
      </c>
      <c r="P155" s="21" t="str">
        <f>IFERROR(__xludf.DUMMYFUNCTION("IFERROR((GOOGLEFINANCE(C155, ""price"") / INDEX(GOOGLEFINANCE(C155, ""price"", EDATE(TODAY(), -12), TODAY()), 2, 2)) - 1, """")"),"")</f>
        <v/>
      </c>
      <c r="Q155" s="6" t="str">
        <f>IFERROR(__xludf.DUMMYFUNCTION("AVERAGE(QUERY(GOOGLEFINANCE(C155, ""price"", TODAY()-80, TODAY()), ""SELECT Col2 WHERE Col2 IS NOT NULL ORDER BY Col1 DESC LIMIT 50"", 0))"),"#N/A")</f>
        <v>#N/A</v>
      </c>
      <c r="R155" s="24" t="str">
        <f>IFERROR(__xludf.DUMMYFUNCTION("IFERROR(
  LET(
    data, QUERY(GOOGLEFINANCE(C155,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GOOGLEFINANCE(C155, ""price"")) * 100,
    IF(calc=0, G155, calc)
  ), 
G155)"),"#N/A")</f>
        <v>#N/A</v>
      </c>
      <c r="S155" s="8" t="s">
        <v>15</v>
      </c>
      <c r="T155" s="26" t="str">
        <f>IFERROR(__xludf.DUMMYFUNCTION("IFERROR(TRANSPOSE(QUERY(IFERROR(SORT(GOOGLEFINANCE(C155, ""price"", WORKDAY(TODAY(), -40), TODAY()), 1, FALSE)), ""select Col2 where Col2 is not null limit 22 label Col2 ''"", 0)), """")"),"")</f>
        <v/>
      </c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8"/>
      <c r="AO155" s="28"/>
      <c r="AP155" s="29"/>
      <c r="AQ155" s="29" t="str">
        <f t="shared" ref="AQ155:BL155" si="158">T155/T$2</f>
        <v>#N/A</v>
      </c>
      <c r="AR155" s="29" t="str">
        <f t="shared" si="158"/>
        <v>#DIV/0!</v>
      </c>
      <c r="AS155" s="29" t="str">
        <f t="shared" si="158"/>
        <v>#DIV/0!</v>
      </c>
      <c r="AT155" s="29" t="str">
        <f t="shared" si="158"/>
        <v>#DIV/0!</v>
      </c>
      <c r="AU155" s="29" t="str">
        <f t="shared" si="158"/>
        <v>#DIV/0!</v>
      </c>
      <c r="AV155" s="29" t="str">
        <f t="shared" si="158"/>
        <v>#DIV/0!</v>
      </c>
      <c r="AW155" s="29" t="str">
        <f t="shared" si="158"/>
        <v>#DIV/0!</v>
      </c>
      <c r="AX155" s="29" t="str">
        <f t="shared" si="158"/>
        <v>#DIV/0!</v>
      </c>
      <c r="AY155" s="29" t="str">
        <f t="shared" si="158"/>
        <v>#DIV/0!</v>
      </c>
      <c r="AZ155" s="29" t="str">
        <f t="shared" si="158"/>
        <v>#DIV/0!</v>
      </c>
      <c r="BA155" s="29" t="str">
        <f t="shared" si="158"/>
        <v>#DIV/0!</v>
      </c>
      <c r="BB155" s="29" t="str">
        <f t="shared" si="158"/>
        <v>#DIV/0!</v>
      </c>
      <c r="BC155" s="29" t="str">
        <f t="shared" si="158"/>
        <v>#DIV/0!</v>
      </c>
      <c r="BD155" s="29" t="str">
        <f t="shared" si="158"/>
        <v>#DIV/0!</v>
      </c>
      <c r="BE155" s="29" t="str">
        <f t="shared" si="158"/>
        <v>#DIV/0!</v>
      </c>
      <c r="BF155" s="29" t="str">
        <f t="shared" si="158"/>
        <v>#DIV/0!</v>
      </c>
      <c r="BG155" s="29" t="str">
        <f t="shared" si="158"/>
        <v>#DIV/0!</v>
      </c>
      <c r="BH155" s="29" t="str">
        <f t="shared" si="158"/>
        <v>#DIV/0!</v>
      </c>
      <c r="BI155" s="29" t="str">
        <f t="shared" si="158"/>
        <v>#DIV/0!</v>
      </c>
      <c r="BJ155" s="29" t="str">
        <f t="shared" si="158"/>
        <v>#DIV/0!</v>
      </c>
      <c r="BK155" s="29" t="str">
        <f t="shared" si="158"/>
        <v>#DIV/0!</v>
      </c>
      <c r="BL155" s="29" t="str">
        <f t="shared" si="158"/>
        <v>#DIV/0!</v>
      </c>
      <c r="BM155" s="29" t="str">
        <f t="shared" si="3"/>
        <v>#DIV/0!</v>
      </c>
    </row>
    <row r="156">
      <c r="A156" s="16" t="str">
        <f>IFERROR(__xludf.DUMMYFUNCTION("IFERROR(SPARKLINE(SORT(MAP(TRANSPOSE(AQ156:BL156), LAMBDA(val, IF(ISNUMBER(val), PERCENTRANK(AQ156:BL156, val)+0.01, 0))), SEQUENCE(COLUMNS(AQ156:BL156)), FALSE), {""charttype"",""column""; ""color"",""chartreuse""; ""ymin"", 0; ""ymax"", 1.01; ""highcolo"&amp;"r"", ""darkgreen""; ""lowcolor"", ""red""}), """")"),"")</f>
        <v/>
      </c>
      <c r="B156" s="17" t="str">
        <f t="shared" si="4"/>
        <v/>
      </c>
      <c r="C156" s="1" t="s">
        <v>1445</v>
      </c>
      <c r="D156" s="30" t="str">
        <f>IFERROR(__xludf.DUMMYFUNCTION("IFERROR(GOOGLEFINANCE(C156, ""NAME""))"),"General Dynamics Corp")</f>
        <v>General Dynamics Corp</v>
      </c>
      <c r="E156" s="30" t="s">
        <v>839</v>
      </c>
      <c r="F156" s="33" t="str">
        <f>IFERROR(__xludf.DUMMYFUNCTION("( (GOOGLEFINANCE(C156, ""price"") - Q156) / Q156 ) / (R156 / 100)"),"Loading...")</f>
        <v>Loading...</v>
      </c>
      <c r="G156" s="20" t="str">
        <f>IFERROR(__xludf.DUMMYFUNCTION("AVERAGE(ARRAYFORMULA(100 * (QUERY(GOOGLEFINANCE(C156, ""high"", TODAY()-40, TODAY()), ""SELECT Col2 WHERE Col2 IS NOT NULL ORDER BY Col1 DESC LIMIT 20"", 0) / QUERY(GOOGLEFINANCE(C156, ""low"", TODAY()-40, TODAY()), ""SELECT Col2 WHERE Col2 IS NOT NULL OR"&amp;"DER BY Col1 DESC LIMIT 20"", 0) - 1)))"),"#N/A")</f>
        <v>#N/A</v>
      </c>
      <c r="H156" s="35" t="str">
        <f t="shared" si="6"/>
        <v/>
      </c>
      <c r="I156" s="35" t="str">
        <f t="shared" si="7"/>
        <v/>
      </c>
      <c r="J156" s="37" t="str">
        <f>IFERROR(__xludf.DUMMYFUNCTION("IFERROR(
  IF(C156="""",, 
    IFERROR(
      GOOGLEFINANCE(C156, ""price"") * GOOGLEFINANCE(C156, ""volumeavg""), 
      GOOGLEFINANCE(C156, ""price"") * AVERAGE(QUERY(GOOGLEFINANCE(C156, ""volume"", TODAY()-40, TODAY()), ""SELECT Col2 WHERE Col2 IS NOT "&amp;"NULL ORDER BY Col1 DESC LIMIT 20"", 0))
    )
  ), 
"""")"),"")</f>
        <v/>
      </c>
      <c r="K156" s="21" t="str">
        <f>IFERROR(__xludf.DUMMYFUNCTION("IFERROR(GOOGLEFINANCE(C156, ""changepct"") / 100, """")"),"")</f>
        <v/>
      </c>
      <c r="L156" s="21" t="str">
        <f>IFERROR(__xludf.DUMMYFUNCTION("IFERROR((GOOGLEFINANCE(C156, ""price"") / INDEX(GOOGLEFINANCE(C156, ""price"", TODAY()-7, TODAY()), 2, 2)) - 1, """")"),"")</f>
        <v/>
      </c>
      <c r="M156" s="21" t="str">
        <f>IFERROR(__xludf.DUMMYFUNCTION("IFERROR((GOOGLEFINANCE(C156, ""price"") / INDEX(GOOGLEFINANCE(C156, ""price"", EDATE(TODAY(), -1), TODAY()), 2, 2)) - 1, """")"),"")</f>
        <v/>
      </c>
      <c r="N156" s="21" t="str">
        <f>IFERROR(__xludf.DUMMYFUNCTION("IFERROR((GOOGLEFINANCE(C156, ""price"") / INDEX(GOOGLEFINANCE(C156, ""price"", EDATE(TODAY(), -3), TODAY()), 2, 2)) - 1, """")"),"")</f>
        <v/>
      </c>
      <c r="O156" s="21" t="str">
        <f>IFERROR(__xludf.DUMMYFUNCTION("IFERROR((GOOGLEFINANCE(C156, ""price"") / INDEX(GOOGLEFINANCE(C156, ""price"", EDATE(TODAY(), -6), TODAY()), 2, 2)) - 1, """")"),"")</f>
        <v/>
      </c>
      <c r="P156" s="21" t="str">
        <f>IFERROR(__xludf.DUMMYFUNCTION("IFERROR((GOOGLEFINANCE(C156, ""price"") / INDEX(GOOGLEFINANCE(C156, ""price"", EDATE(TODAY(), -12), TODAY()), 2, 2)) - 1, """")"),"")</f>
        <v/>
      </c>
      <c r="Q156" s="6" t="str">
        <f>IFERROR(__xludf.DUMMYFUNCTION("AVERAGE(QUERY(GOOGLEFINANCE(C156, ""price"", TODAY()-80, TODAY()), ""SELECT Col2 WHERE Col2 IS NOT NULL ORDER BY Col1 DESC LIMIT 50"", 0))"),"#N/A")</f>
        <v>#N/A</v>
      </c>
      <c r="R156" s="24" t="str">
        <f>IFERROR(__xludf.DUMMYFUNCTION("IFERROR(
  LET(
    data, QUERY(GOOGLEFINANCE(C156,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GOOGLEFINANCE(C156, ""price"")) * 100,
    IF(calc=0, G156, calc)
  ), 
G156)"),"#N/A")</f>
        <v>#N/A</v>
      </c>
      <c r="S156" s="8" t="s">
        <v>15</v>
      </c>
      <c r="T156" s="26" t="str">
        <f>IFERROR(__xludf.DUMMYFUNCTION("IFERROR(TRANSPOSE(QUERY(IFERROR(SORT(GOOGLEFINANCE(C156, ""price"", WORKDAY(TODAY(), -40), TODAY()), 1, FALSE)), ""select Col2 where Col2 is not null limit 22 label Col2 ''"", 0)), """")"),"")</f>
        <v/>
      </c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8"/>
      <c r="AO156" s="28"/>
      <c r="AP156" s="29"/>
      <c r="AQ156" s="29" t="str">
        <f t="shared" ref="AQ156:BL156" si="159">T156/T$2</f>
        <v>#N/A</v>
      </c>
      <c r="AR156" s="29" t="str">
        <f t="shared" si="159"/>
        <v>#DIV/0!</v>
      </c>
      <c r="AS156" s="29" t="str">
        <f t="shared" si="159"/>
        <v>#DIV/0!</v>
      </c>
      <c r="AT156" s="29" t="str">
        <f t="shared" si="159"/>
        <v>#DIV/0!</v>
      </c>
      <c r="AU156" s="29" t="str">
        <f t="shared" si="159"/>
        <v>#DIV/0!</v>
      </c>
      <c r="AV156" s="29" t="str">
        <f t="shared" si="159"/>
        <v>#DIV/0!</v>
      </c>
      <c r="AW156" s="29" t="str">
        <f t="shared" si="159"/>
        <v>#DIV/0!</v>
      </c>
      <c r="AX156" s="29" t="str">
        <f t="shared" si="159"/>
        <v>#DIV/0!</v>
      </c>
      <c r="AY156" s="29" t="str">
        <f t="shared" si="159"/>
        <v>#DIV/0!</v>
      </c>
      <c r="AZ156" s="29" t="str">
        <f t="shared" si="159"/>
        <v>#DIV/0!</v>
      </c>
      <c r="BA156" s="29" t="str">
        <f t="shared" si="159"/>
        <v>#DIV/0!</v>
      </c>
      <c r="BB156" s="29" t="str">
        <f t="shared" si="159"/>
        <v>#DIV/0!</v>
      </c>
      <c r="BC156" s="29" t="str">
        <f t="shared" si="159"/>
        <v>#DIV/0!</v>
      </c>
      <c r="BD156" s="29" t="str">
        <f t="shared" si="159"/>
        <v>#DIV/0!</v>
      </c>
      <c r="BE156" s="29" t="str">
        <f t="shared" si="159"/>
        <v>#DIV/0!</v>
      </c>
      <c r="BF156" s="29" t="str">
        <f t="shared" si="159"/>
        <v>#DIV/0!</v>
      </c>
      <c r="BG156" s="29" t="str">
        <f t="shared" si="159"/>
        <v>#DIV/0!</v>
      </c>
      <c r="BH156" s="29" t="str">
        <f t="shared" si="159"/>
        <v>#DIV/0!</v>
      </c>
      <c r="BI156" s="29" t="str">
        <f t="shared" si="159"/>
        <v>#DIV/0!</v>
      </c>
      <c r="BJ156" s="29" t="str">
        <f t="shared" si="159"/>
        <v>#DIV/0!</v>
      </c>
      <c r="BK156" s="29" t="str">
        <f t="shared" si="159"/>
        <v>#DIV/0!</v>
      </c>
      <c r="BL156" s="29" t="str">
        <f t="shared" si="159"/>
        <v>#DIV/0!</v>
      </c>
      <c r="BM156" s="29" t="str">
        <f t="shared" si="3"/>
        <v>#DIV/0!</v>
      </c>
    </row>
    <row r="157">
      <c r="A157" s="16" t="str">
        <f>IFERROR(__xludf.DUMMYFUNCTION("IFERROR(SPARKLINE(SORT(MAP(TRANSPOSE(AQ157:BL157), LAMBDA(val, IF(ISNUMBER(val), PERCENTRANK(AQ157:BL157, val)+0.01, 0))), SEQUENCE(COLUMNS(AQ157:BL157)), FALSE), {""charttype"",""column""; ""color"",""chartreuse""; ""ymin"", 0; ""ymax"", 1.01; ""highcolo"&amp;"r"", ""darkgreen""; ""lowcolor"", ""red""}), """")"),"")</f>
        <v/>
      </c>
      <c r="B157" s="17" t="str">
        <f t="shared" si="4"/>
        <v/>
      </c>
      <c r="C157" s="1" t="s">
        <v>1449</v>
      </c>
      <c r="D157" s="30" t="str">
        <f>IFERROR(__xludf.DUMMYFUNCTION("IFERROR(GOOGLEFINANCE(C157, ""NAME""))"),"Union Pacific Corp")</f>
        <v>Union Pacific Corp</v>
      </c>
      <c r="E157" s="30" t="s">
        <v>962</v>
      </c>
      <c r="F157" s="33" t="str">
        <f>IFERROR(__xludf.DUMMYFUNCTION("( (GOOGLEFINANCE(C157, ""price"") - Q157) / Q157 ) / (R157 / 100)"),"Loading...")</f>
        <v>Loading...</v>
      </c>
      <c r="G157" s="20" t="str">
        <f>IFERROR(__xludf.DUMMYFUNCTION("AVERAGE(ARRAYFORMULA(100 * (QUERY(GOOGLEFINANCE(C157, ""high"", TODAY()-40, TODAY()), ""SELECT Col2 WHERE Col2 IS NOT NULL ORDER BY Col1 DESC LIMIT 20"", 0) / QUERY(GOOGLEFINANCE(C157, ""low"", TODAY()-40, TODAY()), ""SELECT Col2 WHERE Col2 IS NOT NULL OR"&amp;"DER BY Col1 DESC LIMIT 20"", 0) - 1)))"),"#N/A")</f>
        <v>#N/A</v>
      </c>
      <c r="H157" s="35" t="str">
        <f t="shared" si="6"/>
        <v/>
      </c>
      <c r="I157" s="35" t="str">
        <f t="shared" si="7"/>
        <v/>
      </c>
      <c r="J157" s="37" t="str">
        <f>IFERROR(__xludf.DUMMYFUNCTION("IFERROR(
  IF(C157="""",, 
    IFERROR(
      GOOGLEFINANCE(C157, ""price"") * GOOGLEFINANCE(C157, ""volumeavg""), 
      GOOGLEFINANCE(C157, ""price"") * AVERAGE(QUERY(GOOGLEFINANCE(C157, ""volume"", TODAY()-40, TODAY()), ""SELECT Col2 WHERE Col2 IS NOT "&amp;"NULL ORDER BY Col1 DESC LIMIT 20"", 0))
    )
  ), 
"""")"),"")</f>
        <v/>
      </c>
      <c r="K157" s="21" t="str">
        <f>IFERROR(__xludf.DUMMYFUNCTION("IFERROR(GOOGLEFINANCE(C157, ""changepct"") / 100, """")"),"")</f>
        <v/>
      </c>
      <c r="L157" s="21" t="str">
        <f>IFERROR(__xludf.DUMMYFUNCTION("IFERROR((GOOGLEFINANCE(C157, ""price"") / INDEX(GOOGLEFINANCE(C157, ""price"", TODAY()-7, TODAY()), 2, 2)) - 1, """")"),"")</f>
        <v/>
      </c>
      <c r="M157" s="21" t="str">
        <f>IFERROR(__xludf.DUMMYFUNCTION("IFERROR((GOOGLEFINANCE(C157, ""price"") / INDEX(GOOGLEFINANCE(C157, ""price"", EDATE(TODAY(), -1), TODAY()), 2, 2)) - 1, """")"),"")</f>
        <v/>
      </c>
      <c r="N157" s="21" t="str">
        <f>IFERROR(__xludf.DUMMYFUNCTION("IFERROR((GOOGLEFINANCE(C157, ""price"") / INDEX(GOOGLEFINANCE(C157, ""price"", EDATE(TODAY(), -3), TODAY()), 2, 2)) - 1, """")"),"")</f>
        <v/>
      </c>
      <c r="O157" s="21" t="str">
        <f>IFERROR(__xludf.DUMMYFUNCTION("IFERROR((GOOGLEFINANCE(C157, ""price"") / INDEX(GOOGLEFINANCE(C157, ""price"", EDATE(TODAY(), -6), TODAY()), 2, 2)) - 1, """")"),"")</f>
        <v/>
      </c>
      <c r="P157" s="21" t="str">
        <f>IFERROR(__xludf.DUMMYFUNCTION("IFERROR((GOOGLEFINANCE(C157, ""price"") / INDEX(GOOGLEFINANCE(C157, ""price"", EDATE(TODAY(), -12), TODAY()), 2, 2)) - 1, """")"),"")</f>
        <v/>
      </c>
      <c r="Q157" s="6" t="str">
        <f>IFERROR(__xludf.DUMMYFUNCTION("AVERAGE(QUERY(GOOGLEFINANCE(C157, ""price"", TODAY()-80, TODAY()), ""SELECT Col2 WHERE Col2 IS NOT NULL ORDER BY Col1 DESC LIMIT 50"", 0))"),"#N/A")</f>
        <v>#N/A</v>
      </c>
      <c r="R157" s="24" t="str">
        <f>IFERROR(__xludf.DUMMYFUNCTION("IFERROR(
  LET(
    data, QUERY(GOOGLEFINANCE(C157,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GOOGLEFINANCE(C157, ""price"")) * 100,
    IF(calc=0, G157, calc)
  ), 
G157)"),"#N/A")</f>
        <v>#N/A</v>
      </c>
      <c r="S157" s="8" t="s">
        <v>15</v>
      </c>
      <c r="T157" s="26" t="str">
        <f>IFERROR(__xludf.DUMMYFUNCTION("IFERROR(TRANSPOSE(QUERY(IFERROR(SORT(GOOGLEFINANCE(C157, ""price"", WORKDAY(TODAY(), -40), TODAY()), 1, FALSE)), ""select Col2 where Col2 is not null limit 22 label Col2 ''"", 0)), """")"),"")</f>
        <v/>
      </c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8"/>
      <c r="AO157" s="28"/>
      <c r="AP157" s="29"/>
      <c r="AQ157" s="29" t="str">
        <f t="shared" ref="AQ157:BL157" si="160">T157/T$2</f>
        <v>#N/A</v>
      </c>
      <c r="AR157" s="29" t="str">
        <f t="shared" si="160"/>
        <v>#DIV/0!</v>
      </c>
      <c r="AS157" s="29" t="str">
        <f t="shared" si="160"/>
        <v>#DIV/0!</v>
      </c>
      <c r="AT157" s="29" t="str">
        <f t="shared" si="160"/>
        <v>#DIV/0!</v>
      </c>
      <c r="AU157" s="29" t="str">
        <f t="shared" si="160"/>
        <v>#DIV/0!</v>
      </c>
      <c r="AV157" s="29" t="str">
        <f t="shared" si="160"/>
        <v>#DIV/0!</v>
      </c>
      <c r="AW157" s="29" t="str">
        <f t="shared" si="160"/>
        <v>#DIV/0!</v>
      </c>
      <c r="AX157" s="29" t="str">
        <f t="shared" si="160"/>
        <v>#DIV/0!</v>
      </c>
      <c r="AY157" s="29" t="str">
        <f t="shared" si="160"/>
        <v>#DIV/0!</v>
      </c>
      <c r="AZ157" s="29" t="str">
        <f t="shared" si="160"/>
        <v>#DIV/0!</v>
      </c>
      <c r="BA157" s="29" t="str">
        <f t="shared" si="160"/>
        <v>#DIV/0!</v>
      </c>
      <c r="BB157" s="29" t="str">
        <f t="shared" si="160"/>
        <v>#DIV/0!</v>
      </c>
      <c r="BC157" s="29" t="str">
        <f t="shared" si="160"/>
        <v>#DIV/0!</v>
      </c>
      <c r="BD157" s="29" t="str">
        <f t="shared" si="160"/>
        <v>#DIV/0!</v>
      </c>
      <c r="BE157" s="29" t="str">
        <f t="shared" si="160"/>
        <v>#DIV/0!</v>
      </c>
      <c r="BF157" s="29" t="str">
        <f t="shared" si="160"/>
        <v>#DIV/0!</v>
      </c>
      <c r="BG157" s="29" t="str">
        <f t="shared" si="160"/>
        <v>#DIV/0!</v>
      </c>
      <c r="BH157" s="29" t="str">
        <f t="shared" si="160"/>
        <v>#DIV/0!</v>
      </c>
      <c r="BI157" s="29" t="str">
        <f t="shared" si="160"/>
        <v>#DIV/0!</v>
      </c>
      <c r="BJ157" s="29" t="str">
        <f t="shared" si="160"/>
        <v>#DIV/0!</v>
      </c>
      <c r="BK157" s="29" t="str">
        <f t="shared" si="160"/>
        <v>#DIV/0!</v>
      </c>
      <c r="BL157" s="29" t="str">
        <f t="shared" si="160"/>
        <v>#DIV/0!</v>
      </c>
      <c r="BM157" s="29" t="str">
        <f t="shared" si="3"/>
        <v>#DIV/0!</v>
      </c>
    </row>
    <row r="158">
      <c r="A158" s="16" t="str">
        <f>IFERROR(__xludf.DUMMYFUNCTION("IFERROR(SPARKLINE(SORT(MAP(TRANSPOSE(AQ158:BL158), LAMBDA(val, IF(ISNUMBER(val), PERCENTRANK(AQ158:BL158, val)+0.01, 0))), SEQUENCE(COLUMNS(AQ158:BL158)), FALSE), {""charttype"",""column""; ""color"",""chartreuse""; ""ymin"", 0; ""ymax"", 1.01; ""highcolo"&amp;"r"", ""darkgreen""; ""lowcolor"", ""red""}), """")"),"")</f>
        <v/>
      </c>
      <c r="B158" s="17" t="str">
        <f t="shared" si="4"/>
        <v/>
      </c>
      <c r="C158" s="1" t="s">
        <v>1453</v>
      </c>
      <c r="D158" s="30" t="str">
        <f>IFERROR(__xludf.DUMMYFUNCTION("IFERROR(GOOGLEFINANCE(C158, ""NAME""))"),"Deere &amp; Co")</f>
        <v>Deere &amp; Co</v>
      </c>
      <c r="E158" s="30" t="s">
        <v>1036</v>
      </c>
      <c r="F158" s="33" t="str">
        <f>IFERROR(__xludf.DUMMYFUNCTION("( (GOOGLEFINANCE(C158, ""price"") - Q158) / Q158 ) / (R158 / 100)"),"Loading...")</f>
        <v>Loading...</v>
      </c>
      <c r="G158" s="20" t="str">
        <f>IFERROR(__xludf.DUMMYFUNCTION("AVERAGE(ARRAYFORMULA(100 * (QUERY(GOOGLEFINANCE(C158, ""high"", TODAY()-40, TODAY()), ""SELECT Col2 WHERE Col2 IS NOT NULL ORDER BY Col1 DESC LIMIT 20"", 0) / QUERY(GOOGLEFINANCE(C158, ""low"", TODAY()-40, TODAY()), ""SELECT Col2 WHERE Col2 IS NOT NULL OR"&amp;"DER BY Col1 DESC LIMIT 20"", 0) - 1)))"),"#N/A")</f>
        <v>#N/A</v>
      </c>
      <c r="H158" s="35" t="str">
        <f t="shared" si="6"/>
        <v/>
      </c>
      <c r="I158" s="35" t="str">
        <f t="shared" si="7"/>
        <v/>
      </c>
      <c r="J158" s="37" t="str">
        <f>IFERROR(__xludf.DUMMYFUNCTION("IFERROR(
  IF(C158="""",, 
    IFERROR(
      GOOGLEFINANCE(C158, ""price"") * GOOGLEFINANCE(C158, ""volumeavg""), 
      GOOGLEFINANCE(C158, ""price"") * AVERAGE(QUERY(GOOGLEFINANCE(C158, ""volume"", TODAY()-40, TODAY()), ""SELECT Col2 WHERE Col2 IS NOT "&amp;"NULL ORDER BY Col1 DESC LIMIT 20"", 0))
    )
  ), 
"""")"),"")</f>
        <v/>
      </c>
      <c r="K158" s="21" t="str">
        <f>IFERROR(__xludf.DUMMYFUNCTION("IFERROR(GOOGLEFINANCE(C158, ""changepct"") / 100, """")"),"")</f>
        <v/>
      </c>
      <c r="L158" s="21" t="str">
        <f>IFERROR(__xludf.DUMMYFUNCTION("IFERROR((GOOGLEFINANCE(C158, ""price"") / INDEX(GOOGLEFINANCE(C158, ""price"", TODAY()-7, TODAY()), 2, 2)) - 1, """")"),"")</f>
        <v/>
      </c>
      <c r="M158" s="21" t="str">
        <f>IFERROR(__xludf.DUMMYFUNCTION("IFERROR((GOOGLEFINANCE(C158, ""price"") / INDEX(GOOGLEFINANCE(C158, ""price"", EDATE(TODAY(), -1), TODAY()), 2, 2)) - 1, """")"),"")</f>
        <v/>
      </c>
      <c r="N158" s="21" t="str">
        <f>IFERROR(__xludf.DUMMYFUNCTION("IFERROR((GOOGLEFINANCE(C158, ""price"") / INDEX(GOOGLEFINANCE(C158, ""price"", EDATE(TODAY(), -3), TODAY()), 2, 2)) - 1, """")"),"")</f>
        <v/>
      </c>
      <c r="O158" s="21" t="str">
        <f>IFERROR(__xludf.DUMMYFUNCTION("IFERROR((GOOGLEFINANCE(C158, ""price"") / INDEX(GOOGLEFINANCE(C158, ""price"", EDATE(TODAY(), -6), TODAY()), 2, 2)) - 1, """")"),"")</f>
        <v/>
      </c>
      <c r="P158" s="21" t="str">
        <f>IFERROR(__xludf.DUMMYFUNCTION("IFERROR((GOOGLEFINANCE(C158, ""price"") / INDEX(GOOGLEFINANCE(C158, ""price"", EDATE(TODAY(), -12), TODAY()), 2, 2)) - 1, """")"),"")</f>
        <v/>
      </c>
      <c r="Q158" s="6" t="str">
        <f>IFERROR(__xludf.DUMMYFUNCTION("AVERAGE(QUERY(GOOGLEFINANCE(C158, ""price"", TODAY()-80, TODAY()), ""SELECT Col2 WHERE Col2 IS NOT NULL ORDER BY Col1 DESC LIMIT 50"", 0))"),"#N/A")</f>
        <v>#N/A</v>
      </c>
      <c r="R158" s="24" t="str">
        <f>IFERROR(__xludf.DUMMYFUNCTION("IFERROR(
  LET(
    data, QUERY(GOOGLEFINANCE(C158,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GOOGLEFINANCE(C158, ""price"")) * 100,
    IF(calc=0, G158, calc)
  ), 
G158)"),"#N/A")</f>
        <v>#N/A</v>
      </c>
      <c r="S158" s="8" t="s">
        <v>15</v>
      </c>
      <c r="T158" s="26" t="str">
        <f>IFERROR(__xludf.DUMMYFUNCTION("IFERROR(TRANSPOSE(QUERY(IFERROR(SORT(GOOGLEFINANCE(C158, ""price"", WORKDAY(TODAY(), -40), TODAY()), 1, FALSE)), ""select Col2 where Col2 is not null limit 22 label Col2 ''"", 0)), """")"),"")</f>
        <v/>
      </c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8"/>
      <c r="AO158" s="28"/>
      <c r="AP158" s="29"/>
      <c r="AQ158" s="29" t="str">
        <f t="shared" ref="AQ158:BL158" si="161">T158/T$2</f>
        <v>#N/A</v>
      </c>
      <c r="AR158" s="29" t="str">
        <f t="shared" si="161"/>
        <v>#DIV/0!</v>
      </c>
      <c r="AS158" s="29" t="str">
        <f t="shared" si="161"/>
        <v>#DIV/0!</v>
      </c>
      <c r="AT158" s="29" t="str">
        <f t="shared" si="161"/>
        <v>#DIV/0!</v>
      </c>
      <c r="AU158" s="29" t="str">
        <f t="shared" si="161"/>
        <v>#DIV/0!</v>
      </c>
      <c r="AV158" s="29" t="str">
        <f t="shared" si="161"/>
        <v>#DIV/0!</v>
      </c>
      <c r="AW158" s="29" t="str">
        <f t="shared" si="161"/>
        <v>#DIV/0!</v>
      </c>
      <c r="AX158" s="29" t="str">
        <f t="shared" si="161"/>
        <v>#DIV/0!</v>
      </c>
      <c r="AY158" s="29" t="str">
        <f t="shared" si="161"/>
        <v>#DIV/0!</v>
      </c>
      <c r="AZ158" s="29" t="str">
        <f t="shared" si="161"/>
        <v>#DIV/0!</v>
      </c>
      <c r="BA158" s="29" t="str">
        <f t="shared" si="161"/>
        <v>#DIV/0!</v>
      </c>
      <c r="BB158" s="29" t="str">
        <f t="shared" si="161"/>
        <v>#DIV/0!</v>
      </c>
      <c r="BC158" s="29" t="str">
        <f t="shared" si="161"/>
        <v>#DIV/0!</v>
      </c>
      <c r="BD158" s="29" t="str">
        <f t="shared" si="161"/>
        <v>#DIV/0!</v>
      </c>
      <c r="BE158" s="29" t="str">
        <f t="shared" si="161"/>
        <v>#DIV/0!</v>
      </c>
      <c r="BF158" s="29" t="str">
        <f t="shared" si="161"/>
        <v>#DIV/0!</v>
      </c>
      <c r="BG158" s="29" t="str">
        <f t="shared" si="161"/>
        <v>#DIV/0!</v>
      </c>
      <c r="BH158" s="29" t="str">
        <f t="shared" si="161"/>
        <v>#DIV/0!</v>
      </c>
      <c r="BI158" s="29" t="str">
        <f t="shared" si="161"/>
        <v>#DIV/0!</v>
      </c>
      <c r="BJ158" s="29" t="str">
        <f t="shared" si="161"/>
        <v>#DIV/0!</v>
      </c>
      <c r="BK158" s="29" t="str">
        <f t="shared" si="161"/>
        <v>#DIV/0!</v>
      </c>
      <c r="BL158" s="29" t="str">
        <f t="shared" si="161"/>
        <v>#DIV/0!</v>
      </c>
      <c r="BM158" s="29" t="str">
        <f t="shared" si="3"/>
        <v>#DIV/0!</v>
      </c>
    </row>
    <row r="159">
      <c r="A159" s="16" t="str">
        <f>IFERROR(__xludf.DUMMYFUNCTION("IFERROR(SPARKLINE(SORT(MAP(TRANSPOSE(AQ159:BL159), LAMBDA(val, IF(ISNUMBER(val), PERCENTRANK(AQ159:BL159, val)+0.01, 0))), SEQUENCE(COLUMNS(AQ159:BL159)), FALSE), {""charttype"",""column""; ""color"",""chartreuse""; ""ymin"", 0; ""ymax"", 1.01; ""highcolo"&amp;"r"", ""darkgreen""; ""lowcolor"", ""red""}), """")"),"")</f>
        <v/>
      </c>
      <c r="B159" s="17" t="str">
        <f t="shared" si="4"/>
        <v/>
      </c>
      <c r="C159" s="1" t="s">
        <v>1456</v>
      </c>
      <c r="D159" s="30" t="str">
        <f>IFERROR(__xludf.DUMMYFUNCTION("IFERROR(GOOGLEFINANCE(C159, ""NAME""))"),"Pitney Bowes Inc")</f>
        <v>Pitney Bowes Inc</v>
      </c>
      <c r="E159" s="30" t="s">
        <v>955</v>
      </c>
      <c r="F159" s="33" t="str">
        <f>IFERROR(__xludf.DUMMYFUNCTION("( (GOOGLEFINANCE(C159, ""price"") - Q159) / Q159 ) / (R159 / 100)"),"Loading...")</f>
        <v>Loading...</v>
      </c>
      <c r="G159" s="20" t="str">
        <f>IFERROR(__xludf.DUMMYFUNCTION("AVERAGE(ARRAYFORMULA(100 * (QUERY(GOOGLEFINANCE(C159, ""high"", TODAY()-40, TODAY()), ""SELECT Col2 WHERE Col2 IS NOT NULL ORDER BY Col1 DESC LIMIT 20"", 0) / QUERY(GOOGLEFINANCE(C159, ""low"", TODAY()-40, TODAY()), ""SELECT Col2 WHERE Col2 IS NOT NULL OR"&amp;"DER BY Col1 DESC LIMIT 20"", 0) - 1)))"),"#N/A")</f>
        <v>#N/A</v>
      </c>
      <c r="H159" s="35" t="str">
        <f t="shared" si="6"/>
        <v/>
      </c>
      <c r="I159" s="35" t="str">
        <f t="shared" si="7"/>
        <v/>
      </c>
      <c r="J159" s="37" t="str">
        <f>IFERROR(__xludf.DUMMYFUNCTION("IFERROR(
  IF(C159="""",, 
    IFERROR(
      GOOGLEFINANCE(C159, ""price"") * GOOGLEFINANCE(C159, ""volumeavg""), 
      GOOGLEFINANCE(C159, ""price"") * AVERAGE(QUERY(GOOGLEFINANCE(C159, ""volume"", TODAY()-40, TODAY()), ""SELECT Col2 WHERE Col2 IS NOT "&amp;"NULL ORDER BY Col1 DESC LIMIT 20"", 0))
    )
  ), 
"""")"),"")</f>
        <v/>
      </c>
      <c r="K159" s="21" t="str">
        <f>IFERROR(__xludf.DUMMYFUNCTION("IFERROR(GOOGLEFINANCE(C159, ""changepct"") / 100, """")"),"")</f>
        <v/>
      </c>
      <c r="L159" s="21" t="str">
        <f>IFERROR(__xludf.DUMMYFUNCTION("IFERROR((GOOGLEFINANCE(C159, ""price"") / INDEX(GOOGLEFINANCE(C159, ""price"", TODAY()-7, TODAY()), 2, 2)) - 1, """")"),"")</f>
        <v/>
      </c>
      <c r="M159" s="21" t="str">
        <f>IFERROR(__xludf.DUMMYFUNCTION("IFERROR((GOOGLEFINANCE(C159, ""price"") / INDEX(GOOGLEFINANCE(C159, ""price"", EDATE(TODAY(), -1), TODAY()), 2, 2)) - 1, """")"),"")</f>
        <v/>
      </c>
      <c r="N159" s="21" t="str">
        <f>IFERROR(__xludf.DUMMYFUNCTION("IFERROR((GOOGLEFINANCE(C159, ""price"") / INDEX(GOOGLEFINANCE(C159, ""price"", EDATE(TODAY(), -3), TODAY()), 2, 2)) - 1, """")"),"")</f>
        <v/>
      </c>
      <c r="O159" s="21" t="str">
        <f>IFERROR(__xludf.DUMMYFUNCTION("IFERROR((GOOGLEFINANCE(C159, ""price"") / INDEX(GOOGLEFINANCE(C159, ""price"", EDATE(TODAY(), -6), TODAY()), 2, 2)) - 1, """")"),"")</f>
        <v/>
      </c>
      <c r="P159" s="21" t="str">
        <f>IFERROR(__xludf.DUMMYFUNCTION("IFERROR((GOOGLEFINANCE(C159, ""price"") / INDEX(GOOGLEFINANCE(C159, ""price"", EDATE(TODAY(), -12), TODAY()), 2, 2)) - 1, """")"),"")</f>
        <v/>
      </c>
      <c r="Q159" s="6" t="str">
        <f>IFERROR(__xludf.DUMMYFUNCTION("AVERAGE(QUERY(GOOGLEFINANCE(C159, ""price"", TODAY()-80, TODAY()), ""SELECT Col2 WHERE Col2 IS NOT NULL ORDER BY Col1 DESC LIMIT 50"", 0))"),"#N/A")</f>
        <v>#N/A</v>
      </c>
      <c r="R159" s="24" t="str">
        <f>IFERROR(__xludf.DUMMYFUNCTION("IFERROR(
  LET(
    data, QUERY(GOOGLEFINANCE(C159,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GOOGLEFINANCE(C159, ""price"")) * 100,
    IF(calc=0, G159, calc)
  ), 
G159)"),"#N/A")</f>
        <v>#N/A</v>
      </c>
      <c r="S159" s="8" t="s">
        <v>15</v>
      </c>
      <c r="T159" s="26" t="str">
        <f>IFERROR(__xludf.DUMMYFUNCTION("IFERROR(TRANSPOSE(QUERY(IFERROR(SORT(GOOGLEFINANCE(C159, ""price"", WORKDAY(TODAY(), -40), TODAY()), 1, FALSE)), ""select Col2 where Col2 is not null limit 22 label Col2 ''"", 0)), """")"),"")</f>
        <v/>
      </c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8"/>
      <c r="AO159" s="28"/>
      <c r="AP159" s="29"/>
      <c r="AQ159" s="29" t="str">
        <f t="shared" ref="AQ159:BL159" si="162">T159/T$2</f>
        <v>#N/A</v>
      </c>
      <c r="AR159" s="29" t="str">
        <f t="shared" si="162"/>
        <v>#DIV/0!</v>
      </c>
      <c r="AS159" s="29" t="str">
        <f t="shared" si="162"/>
        <v>#DIV/0!</v>
      </c>
      <c r="AT159" s="29" t="str">
        <f t="shared" si="162"/>
        <v>#DIV/0!</v>
      </c>
      <c r="AU159" s="29" t="str">
        <f t="shared" si="162"/>
        <v>#DIV/0!</v>
      </c>
      <c r="AV159" s="29" t="str">
        <f t="shared" si="162"/>
        <v>#DIV/0!</v>
      </c>
      <c r="AW159" s="29" t="str">
        <f t="shared" si="162"/>
        <v>#DIV/0!</v>
      </c>
      <c r="AX159" s="29" t="str">
        <f t="shared" si="162"/>
        <v>#DIV/0!</v>
      </c>
      <c r="AY159" s="29" t="str">
        <f t="shared" si="162"/>
        <v>#DIV/0!</v>
      </c>
      <c r="AZ159" s="29" t="str">
        <f t="shared" si="162"/>
        <v>#DIV/0!</v>
      </c>
      <c r="BA159" s="29" t="str">
        <f t="shared" si="162"/>
        <v>#DIV/0!</v>
      </c>
      <c r="BB159" s="29" t="str">
        <f t="shared" si="162"/>
        <v>#DIV/0!</v>
      </c>
      <c r="BC159" s="29" t="str">
        <f t="shared" si="162"/>
        <v>#DIV/0!</v>
      </c>
      <c r="BD159" s="29" t="str">
        <f t="shared" si="162"/>
        <v>#DIV/0!</v>
      </c>
      <c r="BE159" s="29" t="str">
        <f t="shared" si="162"/>
        <v>#DIV/0!</v>
      </c>
      <c r="BF159" s="29" t="str">
        <f t="shared" si="162"/>
        <v>#DIV/0!</v>
      </c>
      <c r="BG159" s="29" t="str">
        <f t="shared" si="162"/>
        <v>#DIV/0!</v>
      </c>
      <c r="BH159" s="29" t="str">
        <f t="shared" si="162"/>
        <v>#DIV/0!</v>
      </c>
      <c r="BI159" s="29" t="str">
        <f t="shared" si="162"/>
        <v>#DIV/0!</v>
      </c>
      <c r="BJ159" s="29" t="str">
        <f t="shared" si="162"/>
        <v>#DIV/0!</v>
      </c>
      <c r="BK159" s="29" t="str">
        <f t="shared" si="162"/>
        <v>#DIV/0!</v>
      </c>
      <c r="BL159" s="29" t="str">
        <f t="shared" si="162"/>
        <v>#DIV/0!</v>
      </c>
      <c r="BM159" s="29" t="str">
        <f t="shared" si="3"/>
        <v>#DIV/0!</v>
      </c>
    </row>
    <row r="160">
      <c r="A160" s="16" t="str">
        <f>IFERROR(__xludf.DUMMYFUNCTION("IFERROR(SPARKLINE(SORT(MAP(TRANSPOSE(AQ160:BL160), LAMBDA(val, IF(ISNUMBER(val), PERCENTRANK(AQ160:BL160, val)+0.01, 0))), SEQUENCE(COLUMNS(AQ160:BL160)), FALSE), {""charttype"",""column""; ""color"",""chartreuse""; ""ymin"", 0; ""ymax"", 1.01; ""highcolo"&amp;"r"", ""darkgreen""; ""lowcolor"", ""red""}), """")"),"")</f>
        <v/>
      </c>
      <c r="B160" s="17" t="str">
        <f t="shared" si="4"/>
        <v/>
      </c>
      <c r="C160" s="1" t="s">
        <v>1460</v>
      </c>
      <c r="D160" s="30" t="str">
        <f>IFERROR(__xludf.DUMMYFUNCTION("IFERROR(GOOGLEFINANCE(C160, ""NAME""))"),"Gorman- Rupp Co")</f>
        <v>Gorman- Rupp Co</v>
      </c>
      <c r="E160" s="30" t="s">
        <v>893</v>
      </c>
      <c r="F160" s="33" t="str">
        <f>IFERROR(__xludf.DUMMYFUNCTION("( (GOOGLEFINANCE(C160, ""price"") - Q160) / Q160 ) / (R160 / 100)"),"Loading...")</f>
        <v>Loading...</v>
      </c>
      <c r="G160" s="20" t="str">
        <f>IFERROR(__xludf.DUMMYFUNCTION("AVERAGE(ARRAYFORMULA(100 * (QUERY(GOOGLEFINANCE(C160, ""high"", TODAY()-40, TODAY()), ""SELECT Col2 WHERE Col2 IS NOT NULL ORDER BY Col1 DESC LIMIT 20"", 0) / QUERY(GOOGLEFINANCE(C160, ""low"", TODAY()-40, TODAY()), ""SELECT Col2 WHERE Col2 IS NOT NULL OR"&amp;"DER BY Col1 DESC LIMIT 20"", 0) - 1)))"),"#N/A")</f>
        <v>#N/A</v>
      </c>
      <c r="H160" s="35" t="str">
        <f t="shared" si="6"/>
        <v/>
      </c>
      <c r="I160" s="35" t="str">
        <f t="shared" si="7"/>
        <v/>
      </c>
      <c r="J160" s="37" t="str">
        <f>IFERROR(__xludf.DUMMYFUNCTION("IFERROR(
  IF(C160="""",, 
    IFERROR(
      GOOGLEFINANCE(C160, ""price"") * GOOGLEFINANCE(C160, ""volumeavg""), 
      GOOGLEFINANCE(C160, ""price"") * AVERAGE(QUERY(GOOGLEFINANCE(C160, ""volume"", TODAY()-40, TODAY()), ""SELECT Col2 WHERE Col2 IS NOT "&amp;"NULL ORDER BY Col1 DESC LIMIT 20"", 0))
    )
  ), 
"""")"),"")</f>
        <v/>
      </c>
      <c r="K160" s="21" t="str">
        <f>IFERROR(__xludf.DUMMYFUNCTION("IFERROR(GOOGLEFINANCE(C160, ""changepct"") / 100, """")"),"")</f>
        <v/>
      </c>
      <c r="L160" s="21" t="str">
        <f>IFERROR(__xludf.DUMMYFUNCTION("IFERROR((GOOGLEFINANCE(C160, ""price"") / INDEX(GOOGLEFINANCE(C160, ""price"", TODAY()-7, TODAY()), 2, 2)) - 1, """")"),"")</f>
        <v/>
      </c>
      <c r="M160" s="21" t="str">
        <f>IFERROR(__xludf.DUMMYFUNCTION("IFERROR((GOOGLEFINANCE(C160, ""price"") / INDEX(GOOGLEFINANCE(C160, ""price"", EDATE(TODAY(), -1), TODAY()), 2, 2)) - 1, """")"),"")</f>
        <v/>
      </c>
      <c r="N160" s="21" t="str">
        <f>IFERROR(__xludf.DUMMYFUNCTION("IFERROR((GOOGLEFINANCE(C160, ""price"") / INDEX(GOOGLEFINANCE(C160, ""price"", EDATE(TODAY(), -3), TODAY()), 2, 2)) - 1, """")"),"")</f>
        <v/>
      </c>
      <c r="O160" s="21" t="str">
        <f>IFERROR(__xludf.DUMMYFUNCTION("IFERROR((GOOGLEFINANCE(C160, ""price"") / INDEX(GOOGLEFINANCE(C160, ""price"", EDATE(TODAY(), -6), TODAY()), 2, 2)) - 1, """")"),"")</f>
        <v/>
      </c>
      <c r="P160" s="21" t="str">
        <f>IFERROR(__xludf.DUMMYFUNCTION("IFERROR((GOOGLEFINANCE(C160, ""price"") / INDEX(GOOGLEFINANCE(C160, ""price"", EDATE(TODAY(), -12), TODAY()), 2, 2)) - 1, """")"),"")</f>
        <v/>
      </c>
      <c r="Q160" s="6" t="str">
        <f>IFERROR(__xludf.DUMMYFUNCTION("AVERAGE(QUERY(GOOGLEFINANCE(C160, ""price"", TODAY()-80, TODAY()), ""SELECT Col2 WHERE Col2 IS NOT NULL ORDER BY Col1 DESC LIMIT 50"", 0))"),"#N/A")</f>
        <v>#N/A</v>
      </c>
      <c r="R160" s="24" t="str">
        <f>IFERROR(__xludf.DUMMYFUNCTION("IFERROR(
  LET(
    data, QUERY(GOOGLEFINANCE(C160,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GOOGLEFINANCE(C160, ""price"")) * 100,
    IF(calc=0, G160, calc)
  ), 
G160)"),"#N/A")</f>
        <v>#N/A</v>
      </c>
      <c r="S160" s="8" t="s">
        <v>15</v>
      </c>
      <c r="T160" s="26" t="str">
        <f>IFERROR(__xludf.DUMMYFUNCTION("IFERROR(TRANSPOSE(QUERY(IFERROR(SORT(GOOGLEFINANCE(C160, ""price"", WORKDAY(TODAY(), -40), TODAY()), 1, FALSE)), ""select Col2 where Col2 is not null limit 22 label Col2 ''"", 0)), """")"),"")</f>
        <v/>
      </c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8"/>
      <c r="AO160" s="28"/>
      <c r="AP160" s="29"/>
      <c r="AQ160" s="29" t="str">
        <f t="shared" ref="AQ160:BL160" si="163">T160/T$2</f>
        <v>#N/A</v>
      </c>
      <c r="AR160" s="29" t="str">
        <f t="shared" si="163"/>
        <v>#DIV/0!</v>
      </c>
      <c r="AS160" s="29" t="str">
        <f t="shared" si="163"/>
        <v>#DIV/0!</v>
      </c>
      <c r="AT160" s="29" t="str">
        <f t="shared" si="163"/>
        <v>#DIV/0!</v>
      </c>
      <c r="AU160" s="29" t="str">
        <f t="shared" si="163"/>
        <v>#DIV/0!</v>
      </c>
      <c r="AV160" s="29" t="str">
        <f t="shared" si="163"/>
        <v>#DIV/0!</v>
      </c>
      <c r="AW160" s="29" t="str">
        <f t="shared" si="163"/>
        <v>#DIV/0!</v>
      </c>
      <c r="AX160" s="29" t="str">
        <f t="shared" si="163"/>
        <v>#DIV/0!</v>
      </c>
      <c r="AY160" s="29" t="str">
        <f t="shared" si="163"/>
        <v>#DIV/0!</v>
      </c>
      <c r="AZ160" s="29" t="str">
        <f t="shared" si="163"/>
        <v>#DIV/0!</v>
      </c>
      <c r="BA160" s="29" t="str">
        <f t="shared" si="163"/>
        <v>#DIV/0!</v>
      </c>
      <c r="BB160" s="29" t="str">
        <f t="shared" si="163"/>
        <v>#DIV/0!</v>
      </c>
      <c r="BC160" s="29" t="str">
        <f t="shared" si="163"/>
        <v>#DIV/0!</v>
      </c>
      <c r="BD160" s="29" t="str">
        <f t="shared" si="163"/>
        <v>#DIV/0!</v>
      </c>
      <c r="BE160" s="29" t="str">
        <f t="shared" si="163"/>
        <v>#DIV/0!</v>
      </c>
      <c r="BF160" s="29" t="str">
        <f t="shared" si="163"/>
        <v>#DIV/0!</v>
      </c>
      <c r="BG160" s="29" t="str">
        <f t="shared" si="163"/>
        <v>#DIV/0!</v>
      </c>
      <c r="BH160" s="29" t="str">
        <f t="shared" si="163"/>
        <v>#DIV/0!</v>
      </c>
      <c r="BI160" s="29" t="str">
        <f t="shared" si="163"/>
        <v>#DIV/0!</v>
      </c>
      <c r="BJ160" s="29" t="str">
        <f t="shared" si="163"/>
        <v>#DIV/0!</v>
      </c>
      <c r="BK160" s="29" t="str">
        <f t="shared" si="163"/>
        <v>#DIV/0!</v>
      </c>
      <c r="BL160" s="29" t="str">
        <f t="shared" si="163"/>
        <v>#DIV/0!</v>
      </c>
      <c r="BM160" s="29" t="str">
        <f t="shared" si="3"/>
        <v>#DIV/0!</v>
      </c>
    </row>
    <row r="161">
      <c r="A161" s="16" t="str">
        <f>IFERROR(__xludf.DUMMYFUNCTION("IFERROR(SPARKLINE(SORT(MAP(TRANSPOSE(AQ161:BL161), LAMBDA(val, IF(ISNUMBER(val), PERCENTRANK(AQ161:BL161, val)+0.01, 0))), SEQUENCE(COLUMNS(AQ161:BL161)), FALSE), {""charttype"",""column""; ""color"",""chartreuse""; ""ymin"", 0; ""ymax"", 1.01; ""highcolo"&amp;"r"", ""darkgreen""; ""lowcolor"", ""red""}), """")"),"")</f>
        <v/>
      </c>
      <c r="B161" s="17" t="str">
        <f t="shared" si="4"/>
        <v/>
      </c>
      <c r="C161" s="1" t="s">
        <v>1463</v>
      </c>
      <c r="D161" s="30" t="str">
        <f>IFERROR(__xludf.DUMMYFUNCTION("IFERROR(GOOGLEFINANCE(C161, ""NAME""))"),"CNH Industrial NV")</f>
        <v>CNH Industrial NV</v>
      </c>
      <c r="E161" s="30" t="s">
        <v>1036</v>
      </c>
      <c r="F161" s="33" t="str">
        <f>IFERROR(__xludf.DUMMYFUNCTION("( (GOOGLEFINANCE(C161, ""price"") - Q161) / Q161 ) / (R161 / 100)"),"Loading...")</f>
        <v>Loading...</v>
      </c>
      <c r="G161" s="20" t="str">
        <f>IFERROR(__xludf.DUMMYFUNCTION("AVERAGE(ARRAYFORMULA(100 * (QUERY(GOOGLEFINANCE(C161, ""high"", TODAY()-40, TODAY()), ""SELECT Col2 WHERE Col2 IS NOT NULL ORDER BY Col1 DESC LIMIT 20"", 0) / QUERY(GOOGLEFINANCE(C161, ""low"", TODAY()-40, TODAY()), ""SELECT Col2 WHERE Col2 IS NOT NULL OR"&amp;"DER BY Col1 DESC LIMIT 20"", 0) - 1)))"),"#N/A")</f>
        <v>#N/A</v>
      </c>
      <c r="H161" s="35" t="str">
        <f t="shared" si="6"/>
        <v/>
      </c>
      <c r="I161" s="35" t="str">
        <f t="shared" si="7"/>
        <v/>
      </c>
      <c r="J161" s="37" t="str">
        <f>IFERROR(__xludf.DUMMYFUNCTION("IFERROR(
  IF(C161="""",, 
    IFERROR(
      GOOGLEFINANCE(C161, ""price"") * GOOGLEFINANCE(C161, ""volumeavg""), 
      GOOGLEFINANCE(C161, ""price"") * AVERAGE(QUERY(GOOGLEFINANCE(C161, ""volume"", TODAY()-40, TODAY()), ""SELECT Col2 WHERE Col2 IS NOT "&amp;"NULL ORDER BY Col1 DESC LIMIT 20"", 0))
    )
  ), 
"""")"),"")</f>
        <v/>
      </c>
      <c r="K161" s="21" t="str">
        <f>IFERROR(__xludf.DUMMYFUNCTION("IFERROR(GOOGLEFINANCE(C161, ""changepct"") / 100, """")"),"")</f>
        <v/>
      </c>
      <c r="L161" s="21" t="str">
        <f>IFERROR(__xludf.DUMMYFUNCTION("IFERROR((GOOGLEFINANCE(C161, ""price"") / INDEX(GOOGLEFINANCE(C161, ""price"", TODAY()-7, TODAY()), 2, 2)) - 1, """")"),"")</f>
        <v/>
      </c>
      <c r="M161" s="21" t="str">
        <f>IFERROR(__xludf.DUMMYFUNCTION("IFERROR((GOOGLEFINANCE(C161, ""price"") / INDEX(GOOGLEFINANCE(C161, ""price"", EDATE(TODAY(), -1), TODAY()), 2, 2)) - 1, """")"),"")</f>
        <v/>
      </c>
      <c r="N161" s="21" t="str">
        <f>IFERROR(__xludf.DUMMYFUNCTION("IFERROR((GOOGLEFINANCE(C161, ""price"") / INDEX(GOOGLEFINANCE(C161, ""price"", EDATE(TODAY(), -3), TODAY()), 2, 2)) - 1, """")"),"")</f>
        <v/>
      </c>
      <c r="O161" s="21" t="str">
        <f>IFERROR(__xludf.DUMMYFUNCTION("IFERROR((GOOGLEFINANCE(C161, ""price"") / INDEX(GOOGLEFINANCE(C161, ""price"", EDATE(TODAY(), -6), TODAY()), 2, 2)) - 1, """")"),"")</f>
        <v/>
      </c>
      <c r="P161" s="21" t="str">
        <f>IFERROR(__xludf.DUMMYFUNCTION("IFERROR((GOOGLEFINANCE(C161, ""price"") / INDEX(GOOGLEFINANCE(C161, ""price"", EDATE(TODAY(), -12), TODAY()), 2, 2)) - 1, """")"),"")</f>
        <v/>
      </c>
      <c r="Q161" s="6" t="str">
        <f>IFERROR(__xludf.DUMMYFUNCTION("AVERAGE(QUERY(GOOGLEFINANCE(C161, ""price"", TODAY()-80, TODAY()), ""SELECT Col2 WHERE Col2 IS NOT NULL ORDER BY Col1 DESC LIMIT 50"", 0))"),"#N/A")</f>
        <v>#N/A</v>
      </c>
      <c r="R161" s="24" t="str">
        <f>IFERROR(__xludf.DUMMYFUNCTION("IFERROR(
  LET(
    data, QUERY(GOOGLEFINANCE(C161,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GOOGLEFINANCE(C161, ""price"")) * 100,
    IF(calc=0, G161, calc)
  ), 
G161)"),"#N/A")</f>
        <v>#N/A</v>
      </c>
      <c r="S161" s="8" t="s">
        <v>15</v>
      </c>
      <c r="T161" s="26" t="str">
        <f>IFERROR(__xludf.DUMMYFUNCTION("IFERROR(TRANSPOSE(QUERY(IFERROR(SORT(GOOGLEFINANCE(C161, ""price"", WORKDAY(TODAY(), -40), TODAY()), 1, FALSE)), ""select Col2 where Col2 is not null limit 22 label Col2 ''"", 0)), """")"),"")</f>
        <v/>
      </c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8"/>
      <c r="AO161" s="28"/>
      <c r="AP161" s="29"/>
      <c r="AQ161" s="29" t="str">
        <f t="shared" ref="AQ161:BL161" si="164">T161/T$2</f>
        <v>#N/A</v>
      </c>
      <c r="AR161" s="29" t="str">
        <f t="shared" si="164"/>
        <v>#DIV/0!</v>
      </c>
      <c r="AS161" s="29" t="str">
        <f t="shared" si="164"/>
        <v>#DIV/0!</v>
      </c>
      <c r="AT161" s="29" t="str">
        <f t="shared" si="164"/>
        <v>#DIV/0!</v>
      </c>
      <c r="AU161" s="29" t="str">
        <f t="shared" si="164"/>
        <v>#DIV/0!</v>
      </c>
      <c r="AV161" s="29" t="str">
        <f t="shared" si="164"/>
        <v>#DIV/0!</v>
      </c>
      <c r="AW161" s="29" t="str">
        <f t="shared" si="164"/>
        <v>#DIV/0!</v>
      </c>
      <c r="AX161" s="29" t="str">
        <f t="shared" si="164"/>
        <v>#DIV/0!</v>
      </c>
      <c r="AY161" s="29" t="str">
        <f t="shared" si="164"/>
        <v>#DIV/0!</v>
      </c>
      <c r="AZ161" s="29" t="str">
        <f t="shared" si="164"/>
        <v>#DIV/0!</v>
      </c>
      <c r="BA161" s="29" t="str">
        <f t="shared" si="164"/>
        <v>#DIV/0!</v>
      </c>
      <c r="BB161" s="29" t="str">
        <f t="shared" si="164"/>
        <v>#DIV/0!</v>
      </c>
      <c r="BC161" s="29" t="str">
        <f t="shared" si="164"/>
        <v>#DIV/0!</v>
      </c>
      <c r="BD161" s="29" t="str">
        <f t="shared" si="164"/>
        <v>#DIV/0!</v>
      </c>
      <c r="BE161" s="29" t="str">
        <f t="shared" si="164"/>
        <v>#DIV/0!</v>
      </c>
      <c r="BF161" s="29" t="str">
        <f t="shared" si="164"/>
        <v>#DIV/0!</v>
      </c>
      <c r="BG161" s="29" t="str">
        <f t="shared" si="164"/>
        <v>#DIV/0!</v>
      </c>
      <c r="BH161" s="29" t="str">
        <f t="shared" si="164"/>
        <v>#DIV/0!</v>
      </c>
      <c r="BI161" s="29" t="str">
        <f t="shared" si="164"/>
        <v>#DIV/0!</v>
      </c>
      <c r="BJ161" s="29" t="str">
        <f t="shared" si="164"/>
        <v>#DIV/0!</v>
      </c>
      <c r="BK161" s="29" t="str">
        <f t="shared" si="164"/>
        <v>#DIV/0!</v>
      </c>
      <c r="BL161" s="29" t="str">
        <f t="shared" si="164"/>
        <v>#DIV/0!</v>
      </c>
      <c r="BM161" s="29" t="str">
        <f t="shared" si="3"/>
        <v>#DIV/0!</v>
      </c>
    </row>
    <row r="162">
      <c r="A162" s="16" t="str">
        <f>IFERROR(__xludf.DUMMYFUNCTION("IFERROR(SPARKLINE(SORT(MAP(TRANSPOSE(AQ162:BL162), LAMBDA(val, IF(ISNUMBER(val), PERCENTRANK(AQ162:BL162, val)+0.01, 0))), SEQUENCE(COLUMNS(AQ162:BL162)), FALSE), {""charttype"",""column""; ""color"",""chartreuse""; ""ymin"", 0; ""ymax"", 1.01; ""highcolo"&amp;"r"", ""darkgreen""; ""lowcolor"", ""red""}), """")"),"")</f>
        <v/>
      </c>
      <c r="B162" s="17" t="str">
        <f t="shared" si="4"/>
        <v/>
      </c>
      <c r="C162" s="1" t="s">
        <v>1465</v>
      </c>
      <c r="D162" s="30" t="str">
        <f>IFERROR(__xludf.DUMMYFUNCTION("IFERROR(GOOGLEFINANCE(C162, ""NAME""))"),"Euroseas Ltd")</f>
        <v>Euroseas Ltd</v>
      </c>
      <c r="E162" s="30" t="s">
        <v>834</v>
      </c>
      <c r="F162" s="38" t="str">
        <f>IFERROR(__xludf.DUMMYFUNCTION("( (GOOGLEFINANCE(C162, ""price"") - Q162) / Q162 ) / (R162 / 100)"),"Loading...")</f>
        <v>Loading...</v>
      </c>
      <c r="G162" s="20" t="str">
        <f>IFERROR(__xludf.DUMMYFUNCTION("AVERAGE(ARRAYFORMULA(100 * (QUERY(GOOGLEFINANCE(C162, ""high"", TODAY()-40, TODAY()), ""SELECT Col2 WHERE Col2 IS NOT NULL ORDER BY Col1 DESC LIMIT 20"", 0) / QUERY(GOOGLEFINANCE(C162, ""low"", TODAY()-40, TODAY()), ""SELECT Col2 WHERE Col2 IS NOT NULL OR"&amp;"DER BY Col1 DESC LIMIT 20"", 0) - 1)))"),"#N/A")</f>
        <v>#N/A</v>
      </c>
      <c r="H162" s="35" t="str">
        <f t="shared" si="6"/>
        <v/>
      </c>
      <c r="I162" s="35" t="str">
        <f t="shared" si="7"/>
        <v/>
      </c>
      <c r="J162" s="37" t="str">
        <f>IFERROR(__xludf.DUMMYFUNCTION("IFERROR(
  IF(C162="""",, 
    IFERROR(
      GOOGLEFINANCE(C162, ""price"") * GOOGLEFINANCE(C162, ""volumeavg""), 
      GOOGLEFINANCE(C162, ""price"") * AVERAGE(QUERY(GOOGLEFINANCE(C162, ""volume"", TODAY()-40, TODAY()), ""SELECT Col2 WHERE Col2 IS NOT "&amp;"NULL ORDER BY Col1 DESC LIMIT 20"", 0))
    )
  ), 
"""")"),"")</f>
        <v/>
      </c>
      <c r="K162" s="21" t="str">
        <f>IFERROR(__xludf.DUMMYFUNCTION("IFERROR(GOOGLEFINANCE(C162, ""changepct"") / 100, """")"),"")</f>
        <v/>
      </c>
      <c r="L162" s="21" t="str">
        <f>IFERROR(__xludf.DUMMYFUNCTION("IFERROR((GOOGLEFINANCE(C162, ""price"") / INDEX(GOOGLEFINANCE(C162, ""price"", TODAY()-7, TODAY()), 2, 2)) - 1, """")"),"")</f>
        <v/>
      </c>
      <c r="M162" s="21" t="str">
        <f>IFERROR(__xludf.DUMMYFUNCTION("IFERROR((GOOGLEFINANCE(C162, ""price"") / INDEX(GOOGLEFINANCE(C162, ""price"", EDATE(TODAY(), -1), TODAY()), 2, 2)) - 1, """")"),"")</f>
        <v/>
      </c>
      <c r="N162" s="21" t="str">
        <f>IFERROR(__xludf.DUMMYFUNCTION("IFERROR((GOOGLEFINANCE(C162, ""price"") / INDEX(GOOGLEFINANCE(C162, ""price"", EDATE(TODAY(), -3), TODAY()), 2, 2)) - 1, """")"),"")</f>
        <v/>
      </c>
      <c r="O162" s="21" t="str">
        <f>IFERROR(__xludf.DUMMYFUNCTION("IFERROR((GOOGLEFINANCE(C162, ""price"") / INDEX(GOOGLEFINANCE(C162, ""price"", EDATE(TODAY(), -6), TODAY()), 2, 2)) - 1, """")"),"")</f>
        <v/>
      </c>
      <c r="P162" s="21" t="str">
        <f>IFERROR(__xludf.DUMMYFUNCTION("IFERROR((GOOGLEFINANCE(C162, ""price"") / INDEX(GOOGLEFINANCE(C162, ""price"", EDATE(TODAY(), -12), TODAY()), 2, 2)) - 1, """")"),"")</f>
        <v/>
      </c>
      <c r="Q162" s="6" t="str">
        <f>IFERROR(__xludf.DUMMYFUNCTION("AVERAGE(QUERY(GOOGLEFINANCE(C162, ""price"", TODAY()-80, TODAY()), ""SELECT Col2 WHERE Col2 IS NOT NULL ORDER BY Col1 DESC LIMIT 50"", 0))"),"#N/A")</f>
        <v>#N/A</v>
      </c>
      <c r="R162" s="24" t="str">
        <f>IFERROR(__xludf.DUMMYFUNCTION("IFERROR(
  LET(
    data, QUERY(GOOGLEFINANCE(C162,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GOOGLEFINANCE(C162, ""price"")) * 100,
    IF(calc=0, G162, calc)
  ), 
G162)"),"#N/A")</f>
        <v>#N/A</v>
      </c>
      <c r="S162" s="8" t="s">
        <v>15</v>
      </c>
      <c r="T162" s="26" t="str">
        <f>IFERROR(__xludf.DUMMYFUNCTION("IFERROR(TRANSPOSE(QUERY(IFERROR(SORT(GOOGLEFINANCE(C162, ""price"", WORKDAY(TODAY(), -40), TODAY()), 1, FALSE)), ""select Col2 where Col2 is not null limit 22 label Col2 ''"", 0)), """")"),"")</f>
        <v/>
      </c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8"/>
      <c r="AO162" s="28"/>
      <c r="AP162" s="29"/>
      <c r="AQ162" s="29" t="str">
        <f t="shared" ref="AQ162:BL162" si="165">T162/T$2</f>
        <v>#N/A</v>
      </c>
      <c r="AR162" s="29" t="str">
        <f t="shared" si="165"/>
        <v>#DIV/0!</v>
      </c>
      <c r="AS162" s="29" t="str">
        <f t="shared" si="165"/>
        <v>#DIV/0!</v>
      </c>
      <c r="AT162" s="29" t="str">
        <f t="shared" si="165"/>
        <v>#DIV/0!</v>
      </c>
      <c r="AU162" s="29" t="str">
        <f t="shared" si="165"/>
        <v>#DIV/0!</v>
      </c>
      <c r="AV162" s="29" t="str">
        <f t="shared" si="165"/>
        <v>#DIV/0!</v>
      </c>
      <c r="AW162" s="29" t="str">
        <f t="shared" si="165"/>
        <v>#DIV/0!</v>
      </c>
      <c r="AX162" s="29" t="str">
        <f t="shared" si="165"/>
        <v>#DIV/0!</v>
      </c>
      <c r="AY162" s="29" t="str">
        <f t="shared" si="165"/>
        <v>#DIV/0!</v>
      </c>
      <c r="AZ162" s="29" t="str">
        <f t="shared" si="165"/>
        <v>#DIV/0!</v>
      </c>
      <c r="BA162" s="29" t="str">
        <f t="shared" si="165"/>
        <v>#DIV/0!</v>
      </c>
      <c r="BB162" s="29" t="str">
        <f t="shared" si="165"/>
        <v>#DIV/0!</v>
      </c>
      <c r="BC162" s="29" t="str">
        <f t="shared" si="165"/>
        <v>#DIV/0!</v>
      </c>
      <c r="BD162" s="29" t="str">
        <f t="shared" si="165"/>
        <v>#DIV/0!</v>
      </c>
      <c r="BE162" s="29" t="str">
        <f t="shared" si="165"/>
        <v>#DIV/0!</v>
      </c>
      <c r="BF162" s="29" t="str">
        <f t="shared" si="165"/>
        <v>#DIV/0!</v>
      </c>
      <c r="BG162" s="29" t="str">
        <f t="shared" si="165"/>
        <v>#DIV/0!</v>
      </c>
      <c r="BH162" s="29" t="str">
        <f t="shared" si="165"/>
        <v>#DIV/0!</v>
      </c>
      <c r="BI162" s="29" t="str">
        <f t="shared" si="165"/>
        <v>#DIV/0!</v>
      </c>
      <c r="BJ162" s="29" t="str">
        <f t="shared" si="165"/>
        <v>#DIV/0!</v>
      </c>
      <c r="BK162" s="29" t="str">
        <f t="shared" si="165"/>
        <v>#DIV/0!</v>
      </c>
      <c r="BL162" s="29" t="str">
        <f t="shared" si="165"/>
        <v>#DIV/0!</v>
      </c>
      <c r="BM162" s="29" t="str">
        <f t="shared" si="3"/>
        <v>#DIV/0!</v>
      </c>
    </row>
    <row r="163">
      <c r="A163" s="16" t="str">
        <f>IFERROR(__xludf.DUMMYFUNCTION("IFERROR(SPARKLINE(SORT(MAP(TRANSPOSE(AQ163:BL163), LAMBDA(val, IF(ISNUMBER(val), PERCENTRANK(AQ163:BL163, val)+0.01, 0))), SEQUENCE(COLUMNS(AQ163:BL163)), FALSE), {""charttype"",""column""; ""color"",""chartreuse""; ""ymin"", 0; ""ymax"", 1.01; ""highcolo"&amp;"r"", ""darkgreen""; ""lowcolor"", ""red""}), """")"),"")</f>
        <v/>
      </c>
      <c r="B163" s="17" t="str">
        <f t="shared" si="4"/>
        <v/>
      </c>
      <c r="C163" s="1" t="s">
        <v>1468</v>
      </c>
      <c r="D163" s="30" t="str">
        <f>IFERROR(__xludf.DUMMYFUNCTION("IFERROR(GOOGLEFINANCE(C163, ""NAME""))"),"TriNet Group Inc")</f>
        <v>TriNet Group Inc</v>
      </c>
      <c r="E163" s="30" t="s">
        <v>1351</v>
      </c>
      <c r="F163" s="33" t="str">
        <f>IFERROR(__xludf.DUMMYFUNCTION("( (GOOGLEFINANCE(C163, ""price"") - Q163) / Q163 ) / (R163 / 100)"),"Loading...")</f>
        <v>Loading...</v>
      </c>
      <c r="G163" s="20" t="str">
        <f>IFERROR(__xludf.DUMMYFUNCTION("AVERAGE(ARRAYFORMULA(100 * (QUERY(GOOGLEFINANCE(C163, ""high"", TODAY()-40, TODAY()), ""SELECT Col2 WHERE Col2 IS NOT NULL ORDER BY Col1 DESC LIMIT 20"", 0) / QUERY(GOOGLEFINANCE(C163, ""low"", TODAY()-40, TODAY()), ""SELECT Col2 WHERE Col2 IS NOT NULL OR"&amp;"DER BY Col1 DESC LIMIT 20"", 0) - 1)))"),"#N/A")</f>
        <v>#N/A</v>
      </c>
      <c r="H163" s="35" t="str">
        <f t="shared" si="6"/>
        <v/>
      </c>
      <c r="I163" s="35" t="str">
        <f t="shared" si="7"/>
        <v/>
      </c>
      <c r="J163" s="37" t="str">
        <f>IFERROR(__xludf.DUMMYFUNCTION("IFERROR(
  IF(C163="""",, 
    IFERROR(
      GOOGLEFINANCE(C163, ""price"") * GOOGLEFINANCE(C163, ""volumeavg""), 
      GOOGLEFINANCE(C163, ""price"") * AVERAGE(QUERY(GOOGLEFINANCE(C163, ""volume"", TODAY()-40, TODAY()), ""SELECT Col2 WHERE Col2 IS NOT "&amp;"NULL ORDER BY Col1 DESC LIMIT 20"", 0))
    )
  ), 
"""")"),"")</f>
        <v/>
      </c>
      <c r="K163" s="21" t="str">
        <f>IFERROR(__xludf.DUMMYFUNCTION("IFERROR(GOOGLEFINANCE(C163, ""changepct"") / 100, """")"),"")</f>
        <v/>
      </c>
      <c r="L163" s="21" t="str">
        <f>IFERROR(__xludf.DUMMYFUNCTION("IFERROR((GOOGLEFINANCE(C163, ""price"") / INDEX(GOOGLEFINANCE(C163, ""price"", TODAY()-7, TODAY()), 2, 2)) - 1, """")"),"")</f>
        <v/>
      </c>
      <c r="M163" s="21" t="str">
        <f>IFERROR(__xludf.DUMMYFUNCTION("IFERROR((GOOGLEFINANCE(C163, ""price"") / INDEX(GOOGLEFINANCE(C163, ""price"", EDATE(TODAY(), -1), TODAY()), 2, 2)) - 1, """")"),"")</f>
        <v/>
      </c>
      <c r="N163" s="21" t="str">
        <f>IFERROR(__xludf.DUMMYFUNCTION("IFERROR((GOOGLEFINANCE(C163, ""price"") / INDEX(GOOGLEFINANCE(C163, ""price"", EDATE(TODAY(), -3), TODAY()), 2, 2)) - 1, """")"),"")</f>
        <v/>
      </c>
      <c r="O163" s="21" t="str">
        <f>IFERROR(__xludf.DUMMYFUNCTION("IFERROR((GOOGLEFINANCE(C163, ""price"") / INDEX(GOOGLEFINANCE(C163, ""price"", EDATE(TODAY(), -6), TODAY()), 2, 2)) - 1, """")"),"")</f>
        <v/>
      </c>
      <c r="P163" s="21" t="str">
        <f>IFERROR(__xludf.DUMMYFUNCTION("IFERROR((GOOGLEFINANCE(C163, ""price"") / INDEX(GOOGLEFINANCE(C163, ""price"", EDATE(TODAY(), -12), TODAY()), 2, 2)) - 1, """")"),"")</f>
        <v/>
      </c>
      <c r="Q163" s="6" t="str">
        <f>IFERROR(__xludf.DUMMYFUNCTION("AVERAGE(QUERY(GOOGLEFINANCE(C163, ""price"", TODAY()-80, TODAY()), ""SELECT Col2 WHERE Col2 IS NOT NULL ORDER BY Col1 DESC LIMIT 50"", 0))"),"#N/A")</f>
        <v>#N/A</v>
      </c>
      <c r="R163" s="24" t="str">
        <f>IFERROR(__xludf.DUMMYFUNCTION("IFERROR(
  LET(
    data, QUERY(GOOGLEFINANCE(C163,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GOOGLEFINANCE(C163, ""price"")) * 100,
    IF(calc=0, G163, calc)
  ), 
G163)"),"#N/A")</f>
        <v>#N/A</v>
      </c>
      <c r="S163" s="8" t="s">
        <v>15</v>
      </c>
      <c r="T163" s="26" t="str">
        <f>IFERROR(__xludf.DUMMYFUNCTION("IFERROR(TRANSPOSE(QUERY(IFERROR(SORT(GOOGLEFINANCE(C163, ""price"", WORKDAY(TODAY(), -40), TODAY()), 1, FALSE)), ""select Col2 where Col2 is not null limit 22 label Col2 ''"", 0)), """")"),"")</f>
        <v/>
      </c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8"/>
      <c r="AO163" s="28"/>
      <c r="AP163" s="29"/>
      <c r="AQ163" s="29" t="str">
        <f t="shared" ref="AQ163:BL163" si="166">T163/T$2</f>
        <v>#N/A</v>
      </c>
      <c r="AR163" s="29" t="str">
        <f t="shared" si="166"/>
        <v>#DIV/0!</v>
      </c>
      <c r="AS163" s="29" t="str">
        <f t="shared" si="166"/>
        <v>#DIV/0!</v>
      </c>
      <c r="AT163" s="29" t="str">
        <f t="shared" si="166"/>
        <v>#DIV/0!</v>
      </c>
      <c r="AU163" s="29" t="str">
        <f t="shared" si="166"/>
        <v>#DIV/0!</v>
      </c>
      <c r="AV163" s="29" t="str">
        <f t="shared" si="166"/>
        <v>#DIV/0!</v>
      </c>
      <c r="AW163" s="29" t="str">
        <f t="shared" si="166"/>
        <v>#DIV/0!</v>
      </c>
      <c r="AX163" s="29" t="str">
        <f t="shared" si="166"/>
        <v>#DIV/0!</v>
      </c>
      <c r="AY163" s="29" t="str">
        <f t="shared" si="166"/>
        <v>#DIV/0!</v>
      </c>
      <c r="AZ163" s="29" t="str">
        <f t="shared" si="166"/>
        <v>#DIV/0!</v>
      </c>
      <c r="BA163" s="29" t="str">
        <f t="shared" si="166"/>
        <v>#DIV/0!</v>
      </c>
      <c r="BB163" s="29" t="str">
        <f t="shared" si="166"/>
        <v>#DIV/0!</v>
      </c>
      <c r="BC163" s="29" t="str">
        <f t="shared" si="166"/>
        <v>#DIV/0!</v>
      </c>
      <c r="BD163" s="29" t="str">
        <f t="shared" si="166"/>
        <v>#DIV/0!</v>
      </c>
      <c r="BE163" s="29" t="str">
        <f t="shared" si="166"/>
        <v>#DIV/0!</v>
      </c>
      <c r="BF163" s="29" t="str">
        <f t="shared" si="166"/>
        <v>#DIV/0!</v>
      </c>
      <c r="BG163" s="29" t="str">
        <f t="shared" si="166"/>
        <v>#DIV/0!</v>
      </c>
      <c r="BH163" s="29" t="str">
        <f t="shared" si="166"/>
        <v>#DIV/0!</v>
      </c>
      <c r="BI163" s="29" t="str">
        <f t="shared" si="166"/>
        <v>#DIV/0!</v>
      </c>
      <c r="BJ163" s="29" t="str">
        <f t="shared" si="166"/>
        <v>#DIV/0!</v>
      </c>
      <c r="BK163" s="29" t="str">
        <f t="shared" si="166"/>
        <v>#DIV/0!</v>
      </c>
      <c r="BL163" s="29" t="str">
        <f t="shared" si="166"/>
        <v>#DIV/0!</v>
      </c>
      <c r="BM163" s="29" t="str">
        <f t="shared" si="3"/>
        <v>#DIV/0!</v>
      </c>
    </row>
    <row r="164">
      <c r="A164" s="16" t="str">
        <f>IFERROR(__xludf.DUMMYFUNCTION("IFERROR(SPARKLINE(SORT(MAP(TRANSPOSE(AQ164:BL164), LAMBDA(val, IF(ISNUMBER(val), PERCENTRANK(AQ164:BL164, val)+0.01, 0))), SEQUENCE(COLUMNS(AQ164:BL164)), FALSE), {""charttype"",""column""; ""color"",""chartreuse""; ""ymin"", 0; ""ymax"", 1.01; ""highcolo"&amp;"r"", ""darkgreen""; ""lowcolor"", ""red""}), """")"),"")</f>
        <v/>
      </c>
      <c r="B164" s="17" t="str">
        <f t="shared" si="4"/>
        <v/>
      </c>
      <c r="C164" s="1" t="s">
        <v>1471</v>
      </c>
      <c r="D164" s="30" t="str">
        <f>IFERROR(__xludf.DUMMYFUNCTION("IFERROR(GOOGLEFINANCE(C164, ""NAME""))"),"Heartland Express Inc")</f>
        <v>Heartland Express Inc</v>
      </c>
      <c r="E164" s="30" t="s">
        <v>1317</v>
      </c>
      <c r="F164" s="33" t="str">
        <f>IFERROR(__xludf.DUMMYFUNCTION("( (GOOGLEFINANCE(C164, ""price"") - Q164) / Q164 ) / (R164 / 100)"),"Loading...")</f>
        <v>Loading...</v>
      </c>
      <c r="G164" s="20" t="str">
        <f>IFERROR(__xludf.DUMMYFUNCTION("AVERAGE(ARRAYFORMULA(100 * (QUERY(GOOGLEFINANCE(C164, ""high"", TODAY()-40, TODAY()), ""SELECT Col2 WHERE Col2 IS NOT NULL ORDER BY Col1 DESC LIMIT 20"", 0) / QUERY(GOOGLEFINANCE(C164, ""low"", TODAY()-40, TODAY()), ""SELECT Col2 WHERE Col2 IS NOT NULL OR"&amp;"DER BY Col1 DESC LIMIT 20"", 0) - 1)))"),"#N/A")</f>
        <v>#N/A</v>
      </c>
      <c r="H164" s="35" t="str">
        <f t="shared" si="6"/>
        <v/>
      </c>
      <c r="I164" s="35" t="str">
        <f t="shared" si="7"/>
        <v/>
      </c>
      <c r="J164" s="37" t="str">
        <f>IFERROR(__xludf.DUMMYFUNCTION("IFERROR(
  IF(C164="""",, 
    IFERROR(
      GOOGLEFINANCE(C164, ""price"") * GOOGLEFINANCE(C164, ""volumeavg""), 
      GOOGLEFINANCE(C164, ""price"") * AVERAGE(QUERY(GOOGLEFINANCE(C164, ""volume"", TODAY()-40, TODAY()), ""SELECT Col2 WHERE Col2 IS NOT "&amp;"NULL ORDER BY Col1 DESC LIMIT 20"", 0))
    )
  ), 
"""")"),"")</f>
        <v/>
      </c>
      <c r="K164" s="21" t="str">
        <f>IFERROR(__xludf.DUMMYFUNCTION("IFERROR(GOOGLEFINANCE(C164, ""changepct"") / 100, """")"),"")</f>
        <v/>
      </c>
      <c r="L164" s="21" t="str">
        <f>IFERROR(__xludf.DUMMYFUNCTION("IFERROR((GOOGLEFINANCE(C164, ""price"") / INDEX(GOOGLEFINANCE(C164, ""price"", TODAY()-7, TODAY()), 2, 2)) - 1, """")"),"")</f>
        <v/>
      </c>
      <c r="M164" s="21" t="str">
        <f>IFERROR(__xludf.DUMMYFUNCTION("IFERROR((GOOGLEFINANCE(C164, ""price"") / INDEX(GOOGLEFINANCE(C164, ""price"", EDATE(TODAY(), -1), TODAY()), 2, 2)) - 1, """")"),"")</f>
        <v/>
      </c>
      <c r="N164" s="21" t="str">
        <f>IFERROR(__xludf.DUMMYFUNCTION("IFERROR((GOOGLEFINANCE(C164, ""price"") / INDEX(GOOGLEFINANCE(C164, ""price"", EDATE(TODAY(), -3), TODAY()), 2, 2)) - 1, """")"),"")</f>
        <v/>
      </c>
      <c r="O164" s="21" t="str">
        <f>IFERROR(__xludf.DUMMYFUNCTION("IFERROR((GOOGLEFINANCE(C164, ""price"") / INDEX(GOOGLEFINANCE(C164, ""price"", EDATE(TODAY(), -6), TODAY()), 2, 2)) - 1, """")"),"")</f>
        <v/>
      </c>
      <c r="P164" s="21" t="str">
        <f>IFERROR(__xludf.DUMMYFUNCTION("IFERROR((GOOGLEFINANCE(C164, ""price"") / INDEX(GOOGLEFINANCE(C164, ""price"", EDATE(TODAY(), -12), TODAY()), 2, 2)) - 1, """")"),"")</f>
        <v/>
      </c>
      <c r="Q164" s="6" t="str">
        <f>IFERROR(__xludf.DUMMYFUNCTION("AVERAGE(QUERY(GOOGLEFINANCE(C164, ""price"", TODAY()-80, TODAY()), ""SELECT Col2 WHERE Col2 IS NOT NULL ORDER BY Col1 DESC LIMIT 50"", 0))"),"#N/A")</f>
        <v>#N/A</v>
      </c>
      <c r="R164" s="24" t="str">
        <f>IFERROR(__xludf.DUMMYFUNCTION("IFERROR(
  LET(
    data, QUERY(GOOGLEFINANCE(C164,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GOOGLEFINANCE(C164, ""price"")) * 100,
    IF(calc=0, G164, calc)
  ), 
G164)"),"#N/A")</f>
        <v>#N/A</v>
      </c>
      <c r="S164" s="8" t="s">
        <v>15</v>
      </c>
      <c r="T164" s="26" t="str">
        <f>IFERROR(__xludf.DUMMYFUNCTION("IFERROR(TRANSPOSE(QUERY(IFERROR(SORT(GOOGLEFINANCE(C164, ""price"", WORKDAY(TODAY(), -40), TODAY()), 1, FALSE)), ""select Col2 where Col2 is not null limit 22 label Col2 ''"", 0)), """")"),"")</f>
        <v/>
      </c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8"/>
      <c r="AO164" s="28"/>
      <c r="AP164" s="29"/>
      <c r="AQ164" s="29" t="str">
        <f t="shared" ref="AQ164:BL164" si="167">T164/T$2</f>
        <v>#N/A</v>
      </c>
      <c r="AR164" s="29" t="str">
        <f t="shared" si="167"/>
        <v>#DIV/0!</v>
      </c>
      <c r="AS164" s="29" t="str">
        <f t="shared" si="167"/>
        <v>#DIV/0!</v>
      </c>
      <c r="AT164" s="29" t="str">
        <f t="shared" si="167"/>
        <v>#DIV/0!</v>
      </c>
      <c r="AU164" s="29" t="str">
        <f t="shared" si="167"/>
        <v>#DIV/0!</v>
      </c>
      <c r="AV164" s="29" t="str">
        <f t="shared" si="167"/>
        <v>#DIV/0!</v>
      </c>
      <c r="AW164" s="29" t="str">
        <f t="shared" si="167"/>
        <v>#DIV/0!</v>
      </c>
      <c r="AX164" s="29" t="str">
        <f t="shared" si="167"/>
        <v>#DIV/0!</v>
      </c>
      <c r="AY164" s="29" t="str">
        <f t="shared" si="167"/>
        <v>#DIV/0!</v>
      </c>
      <c r="AZ164" s="29" t="str">
        <f t="shared" si="167"/>
        <v>#DIV/0!</v>
      </c>
      <c r="BA164" s="29" t="str">
        <f t="shared" si="167"/>
        <v>#DIV/0!</v>
      </c>
      <c r="BB164" s="29" t="str">
        <f t="shared" si="167"/>
        <v>#DIV/0!</v>
      </c>
      <c r="BC164" s="29" t="str">
        <f t="shared" si="167"/>
        <v>#DIV/0!</v>
      </c>
      <c r="BD164" s="29" t="str">
        <f t="shared" si="167"/>
        <v>#DIV/0!</v>
      </c>
      <c r="BE164" s="29" t="str">
        <f t="shared" si="167"/>
        <v>#DIV/0!</v>
      </c>
      <c r="BF164" s="29" t="str">
        <f t="shared" si="167"/>
        <v>#DIV/0!</v>
      </c>
      <c r="BG164" s="29" t="str">
        <f t="shared" si="167"/>
        <v>#DIV/0!</v>
      </c>
      <c r="BH164" s="29" t="str">
        <f t="shared" si="167"/>
        <v>#DIV/0!</v>
      </c>
      <c r="BI164" s="29" t="str">
        <f t="shared" si="167"/>
        <v>#DIV/0!</v>
      </c>
      <c r="BJ164" s="29" t="str">
        <f t="shared" si="167"/>
        <v>#DIV/0!</v>
      </c>
      <c r="BK164" s="29" t="str">
        <f t="shared" si="167"/>
        <v>#DIV/0!</v>
      </c>
      <c r="BL164" s="29" t="str">
        <f t="shared" si="167"/>
        <v>#DIV/0!</v>
      </c>
      <c r="BM164" s="29" t="str">
        <f t="shared" si="3"/>
        <v>#DIV/0!</v>
      </c>
    </row>
    <row r="165">
      <c r="A165" s="16" t="str">
        <f>IFERROR(__xludf.DUMMYFUNCTION("IFERROR(SPARKLINE(SORT(MAP(TRANSPOSE(AQ165:BL165), LAMBDA(val, IF(ISNUMBER(val), PERCENTRANK(AQ165:BL165, val)+0.01, 0))), SEQUENCE(COLUMNS(AQ165:BL165)), FALSE), {""charttype"",""column""; ""color"",""chartreuse""; ""ymin"", 0; ""ymax"", 1.01; ""highcolo"&amp;"r"", ""darkgreen""; ""lowcolor"", ""red""}), """")"),"")</f>
        <v/>
      </c>
      <c r="B165" s="17" t="str">
        <f t="shared" si="4"/>
        <v/>
      </c>
      <c r="C165" s="1" t="s">
        <v>1481</v>
      </c>
      <c r="D165" s="30" t="str">
        <f>IFERROR(__xludf.DUMMYFUNCTION("IFERROR(GOOGLEFINANCE(C165, ""NAME""))"),"AerCap Holdings N.V.")</f>
        <v>AerCap Holdings N.V.</v>
      </c>
      <c r="E165" s="30" t="s">
        <v>888</v>
      </c>
      <c r="F165" s="33" t="str">
        <f>IFERROR(__xludf.DUMMYFUNCTION("( (GOOGLEFINANCE(C165, ""price"") - Q165) / Q165 ) / (R165 / 100)"),"Loading...")</f>
        <v>Loading...</v>
      </c>
      <c r="G165" s="20" t="str">
        <f>IFERROR(__xludf.DUMMYFUNCTION("AVERAGE(ARRAYFORMULA(100 * (QUERY(GOOGLEFINANCE(C165, ""high"", TODAY()-40, TODAY()), ""SELECT Col2 WHERE Col2 IS NOT NULL ORDER BY Col1 DESC LIMIT 20"", 0) / QUERY(GOOGLEFINANCE(C165, ""low"", TODAY()-40, TODAY()), ""SELECT Col2 WHERE Col2 IS NOT NULL OR"&amp;"DER BY Col1 DESC LIMIT 20"", 0) - 1)))"),"#N/A")</f>
        <v>#N/A</v>
      </c>
      <c r="H165" s="35" t="str">
        <f t="shared" si="6"/>
        <v/>
      </c>
      <c r="I165" s="35" t="str">
        <f t="shared" si="7"/>
        <v/>
      </c>
      <c r="J165" s="37" t="str">
        <f>IFERROR(__xludf.DUMMYFUNCTION("IFERROR(
  IF(C165="""",, 
    IFERROR(
      GOOGLEFINANCE(C165, ""price"") * GOOGLEFINANCE(C165, ""volumeavg""), 
      GOOGLEFINANCE(C165, ""price"") * AVERAGE(QUERY(GOOGLEFINANCE(C165, ""volume"", TODAY()-40, TODAY()), ""SELECT Col2 WHERE Col2 IS NOT "&amp;"NULL ORDER BY Col1 DESC LIMIT 20"", 0))
    )
  ), 
"""")"),"")</f>
        <v/>
      </c>
      <c r="K165" s="21" t="str">
        <f>IFERROR(__xludf.DUMMYFUNCTION("IFERROR(GOOGLEFINANCE(C165, ""changepct"") / 100, """")"),"")</f>
        <v/>
      </c>
      <c r="L165" s="21" t="str">
        <f>IFERROR(__xludf.DUMMYFUNCTION("IFERROR((GOOGLEFINANCE(C165, ""price"") / INDEX(GOOGLEFINANCE(C165, ""price"", TODAY()-7, TODAY()), 2, 2)) - 1, """")"),"")</f>
        <v/>
      </c>
      <c r="M165" s="21" t="str">
        <f>IFERROR(__xludf.DUMMYFUNCTION("IFERROR((GOOGLEFINANCE(C165, ""price"") / INDEX(GOOGLEFINANCE(C165, ""price"", EDATE(TODAY(), -1), TODAY()), 2, 2)) - 1, """")"),"")</f>
        <v/>
      </c>
      <c r="N165" s="21" t="str">
        <f>IFERROR(__xludf.DUMMYFUNCTION("IFERROR((GOOGLEFINANCE(C165, ""price"") / INDEX(GOOGLEFINANCE(C165, ""price"", EDATE(TODAY(), -3), TODAY()), 2, 2)) - 1, """")"),"")</f>
        <v/>
      </c>
      <c r="O165" s="21" t="str">
        <f>IFERROR(__xludf.DUMMYFUNCTION("IFERROR((GOOGLEFINANCE(C165, ""price"") / INDEX(GOOGLEFINANCE(C165, ""price"", EDATE(TODAY(), -6), TODAY()), 2, 2)) - 1, """")"),"")</f>
        <v/>
      </c>
      <c r="P165" s="21" t="str">
        <f>IFERROR(__xludf.DUMMYFUNCTION("IFERROR((GOOGLEFINANCE(C165, ""price"") / INDEX(GOOGLEFINANCE(C165, ""price"", EDATE(TODAY(), -12), TODAY()), 2, 2)) - 1, """")"),"")</f>
        <v/>
      </c>
      <c r="Q165" s="6" t="str">
        <f>IFERROR(__xludf.DUMMYFUNCTION("AVERAGE(QUERY(GOOGLEFINANCE(C165, ""price"", TODAY()-80, TODAY()), ""SELECT Col2 WHERE Col2 IS NOT NULL ORDER BY Col1 DESC LIMIT 50"", 0))"),"#N/A")</f>
        <v>#N/A</v>
      </c>
      <c r="R165" s="24" t="str">
        <f>IFERROR(__xludf.DUMMYFUNCTION("IFERROR(
  LET(
    data, QUERY(GOOGLEFINANCE(C165,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GOOGLEFINANCE(C165, ""price"")) * 100,
    IF(calc=0, G165, calc)
  ), 
G165)"),"#N/A")</f>
        <v>#N/A</v>
      </c>
      <c r="S165" s="8" t="s">
        <v>15</v>
      </c>
      <c r="T165" s="26" t="str">
        <f>IFERROR(__xludf.DUMMYFUNCTION("IFERROR(TRANSPOSE(QUERY(IFERROR(SORT(GOOGLEFINANCE(C165, ""price"", WORKDAY(TODAY(), -40), TODAY()), 1, FALSE)), ""select Col2 where Col2 is not null limit 22 label Col2 ''"", 0)), """")"),"")</f>
        <v/>
      </c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8"/>
      <c r="AO165" s="28"/>
      <c r="AP165" s="29"/>
      <c r="AQ165" s="29" t="str">
        <f t="shared" ref="AQ165:BL165" si="168">T165/T$2</f>
        <v>#N/A</v>
      </c>
      <c r="AR165" s="29" t="str">
        <f t="shared" si="168"/>
        <v>#DIV/0!</v>
      </c>
      <c r="AS165" s="29" t="str">
        <f t="shared" si="168"/>
        <v>#DIV/0!</v>
      </c>
      <c r="AT165" s="29" t="str">
        <f t="shared" si="168"/>
        <v>#DIV/0!</v>
      </c>
      <c r="AU165" s="29" t="str">
        <f t="shared" si="168"/>
        <v>#DIV/0!</v>
      </c>
      <c r="AV165" s="29" t="str">
        <f t="shared" si="168"/>
        <v>#DIV/0!</v>
      </c>
      <c r="AW165" s="29" t="str">
        <f t="shared" si="168"/>
        <v>#DIV/0!</v>
      </c>
      <c r="AX165" s="29" t="str">
        <f t="shared" si="168"/>
        <v>#DIV/0!</v>
      </c>
      <c r="AY165" s="29" t="str">
        <f t="shared" si="168"/>
        <v>#DIV/0!</v>
      </c>
      <c r="AZ165" s="29" t="str">
        <f t="shared" si="168"/>
        <v>#DIV/0!</v>
      </c>
      <c r="BA165" s="29" t="str">
        <f t="shared" si="168"/>
        <v>#DIV/0!</v>
      </c>
      <c r="BB165" s="29" t="str">
        <f t="shared" si="168"/>
        <v>#DIV/0!</v>
      </c>
      <c r="BC165" s="29" t="str">
        <f t="shared" si="168"/>
        <v>#DIV/0!</v>
      </c>
      <c r="BD165" s="29" t="str">
        <f t="shared" si="168"/>
        <v>#DIV/0!</v>
      </c>
      <c r="BE165" s="29" t="str">
        <f t="shared" si="168"/>
        <v>#DIV/0!</v>
      </c>
      <c r="BF165" s="29" t="str">
        <f t="shared" si="168"/>
        <v>#DIV/0!</v>
      </c>
      <c r="BG165" s="29" t="str">
        <f t="shared" si="168"/>
        <v>#DIV/0!</v>
      </c>
      <c r="BH165" s="29" t="str">
        <f t="shared" si="168"/>
        <v>#DIV/0!</v>
      </c>
      <c r="BI165" s="29" t="str">
        <f t="shared" si="168"/>
        <v>#DIV/0!</v>
      </c>
      <c r="BJ165" s="29" t="str">
        <f t="shared" si="168"/>
        <v>#DIV/0!</v>
      </c>
      <c r="BK165" s="29" t="str">
        <f t="shared" si="168"/>
        <v>#DIV/0!</v>
      </c>
      <c r="BL165" s="29" t="str">
        <f t="shared" si="168"/>
        <v>#DIV/0!</v>
      </c>
      <c r="BM165" s="29" t="str">
        <f t="shared" si="3"/>
        <v>#DIV/0!</v>
      </c>
    </row>
    <row r="166">
      <c r="A166" s="16" t="str">
        <f>IFERROR(__xludf.DUMMYFUNCTION("IFERROR(SPARKLINE(SORT(MAP(TRANSPOSE(AQ166:BL166), LAMBDA(val, IF(ISNUMBER(val), PERCENTRANK(AQ166:BL166, val)+0.01, 0))), SEQUENCE(COLUMNS(AQ166:BL166)), FALSE), {""charttype"",""column""; ""color"",""chartreuse""; ""ymin"", 0; ""ymax"", 1.01; ""highcolo"&amp;"r"", ""darkgreen""; ""lowcolor"", ""red""}), """")"),"")</f>
        <v/>
      </c>
      <c r="B166" s="17" t="str">
        <f t="shared" si="4"/>
        <v/>
      </c>
      <c r="C166" s="1" t="s">
        <v>1485</v>
      </c>
      <c r="D166" s="30" t="str">
        <f>IFERROR(__xludf.DUMMYFUNCTION("IFERROR(GOOGLEFINANCE(C166, ""NAME""))"),"AIRO Group Holdings Inc")</f>
        <v>AIRO Group Holdings Inc</v>
      </c>
      <c r="E166" s="30" t="s">
        <v>839</v>
      </c>
      <c r="F166" s="33" t="str">
        <f>IFERROR(__xludf.DUMMYFUNCTION("( (GOOGLEFINANCE(C166, ""price"") - Q166) / Q166 ) / (R166 / 100)"),"Loading...")</f>
        <v>Loading...</v>
      </c>
      <c r="G166" s="20" t="str">
        <f>IFERROR(__xludf.DUMMYFUNCTION("AVERAGE(ARRAYFORMULA(100 * (QUERY(GOOGLEFINANCE(C166, ""high"", TODAY()-40, TODAY()), ""SELECT Col2 WHERE Col2 IS NOT NULL ORDER BY Col1 DESC LIMIT 20"", 0) / QUERY(GOOGLEFINANCE(C166, ""low"", TODAY()-40, TODAY()), ""SELECT Col2 WHERE Col2 IS NOT NULL OR"&amp;"DER BY Col1 DESC LIMIT 20"", 0) - 1)))"),"#N/A")</f>
        <v>#N/A</v>
      </c>
      <c r="H166" s="35" t="str">
        <f t="shared" si="6"/>
        <v/>
      </c>
      <c r="I166" s="35" t="str">
        <f t="shared" si="7"/>
        <v/>
      </c>
      <c r="J166" s="37" t="str">
        <f>IFERROR(__xludf.DUMMYFUNCTION("IFERROR(
  IF(C166="""",, 
    IFERROR(
      GOOGLEFINANCE(C166, ""price"") * GOOGLEFINANCE(C166, ""volumeavg""), 
      GOOGLEFINANCE(C166, ""price"") * AVERAGE(QUERY(GOOGLEFINANCE(C166, ""volume"", TODAY()-40, TODAY()), ""SELECT Col2 WHERE Col2 IS NOT "&amp;"NULL ORDER BY Col1 DESC LIMIT 20"", 0))
    )
  ), 
"""")"),"")</f>
        <v/>
      </c>
      <c r="K166" s="21" t="str">
        <f>IFERROR(__xludf.DUMMYFUNCTION("IFERROR(GOOGLEFINANCE(C166, ""changepct"") / 100, """")"),"")</f>
        <v/>
      </c>
      <c r="L166" s="21" t="str">
        <f>IFERROR(__xludf.DUMMYFUNCTION("IFERROR((GOOGLEFINANCE(C166, ""price"") / INDEX(GOOGLEFINANCE(C166, ""price"", TODAY()-7, TODAY()), 2, 2)) - 1, """")"),"")</f>
        <v/>
      </c>
      <c r="M166" s="21" t="str">
        <f>IFERROR(__xludf.DUMMYFUNCTION("IFERROR((GOOGLEFINANCE(C166, ""price"") / INDEX(GOOGLEFINANCE(C166, ""price"", EDATE(TODAY(), -1), TODAY()), 2, 2)) - 1, """")"),"")</f>
        <v/>
      </c>
      <c r="N166" s="21" t="str">
        <f>IFERROR(__xludf.DUMMYFUNCTION("IFERROR((GOOGLEFINANCE(C166, ""price"") / INDEX(GOOGLEFINANCE(C166, ""price"", EDATE(TODAY(), -3), TODAY()), 2, 2)) - 1, """")"),"")</f>
        <v/>
      </c>
      <c r="O166" s="21" t="str">
        <f>IFERROR(__xludf.DUMMYFUNCTION("IFERROR((GOOGLEFINANCE(C166, ""price"") / INDEX(GOOGLEFINANCE(C166, ""price"", EDATE(TODAY(), -6), TODAY()), 2, 2)) - 1, """")"),"")</f>
        <v/>
      </c>
      <c r="P166" s="21" t="str">
        <f>IFERROR(__xludf.DUMMYFUNCTION("IFERROR((GOOGLEFINANCE(C166, ""price"") / INDEX(GOOGLEFINANCE(C166, ""price"", EDATE(TODAY(), -12), TODAY()), 2, 2)) - 1, """")"),"")</f>
        <v/>
      </c>
      <c r="Q166" s="6" t="str">
        <f>IFERROR(__xludf.DUMMYFUNCTION("AVERAGE(QUERY(GOOGLEFINANCE(C166, ""price"", TODAY()-80, TODAY()), ""SELECT Col2 WHERE Col2 IS NOT NULL ORDER BY Col1 DESC LIMIT 50"", 0))"),"#N/A")</f>
        <v>#N/A</v>
      </c>
      <c r="R166" s="24" t="str">
        <f>IFERROR(__xludf.DUMMYFUNCTION("IFERROR(
  LET(
    data, QUERY(GOOGLEFINANCE(C166,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GOOGLEFINANCE(C166, ""price"")) * 100,
    IF(calc=0, G166, calc)
  ), 
G166)"),"#N/A")</f>
        <v>#N/A</v>
      </c>
      <c r="S166" s="8" t="s">
        <v>15</v>
      </c>
      <c r="T166" s="26" t="str">
        <f>IFERROR(__xludf.DUMMYFUNCTION("IFERROR(TRANSPOSE(QUERY(IFERROR(SORT(GOOGLEFINANCE(C166, ""price"", WORKDAY(TODAY(), -40), TODAY()), 1, FALSE)), ""select Col2 where Col2 is not null limit 22 label Col2 ''"", 0)), """")"),"")</f>
        <v/>
      </c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8"/>
      <c r="AO166" s="28"/>
      <c r="AP166" s="29"/>
      <c r="AQ166" s="29" t="str">
        <f t="shared" ref="AQ166:BL166" si="169">T166/T$2</f>
        <v>#N/A</v>
      </c>
      <c r="AR166" s="29" t="str">
        <f t="shared" si="169"/>
        <v>#DIV/0!</v>
      </c>
      <c r="AS166" s="29" t="str">
        <f t="shared" si="169"/>
        <v>#DIV/0!</v>
      </c>
      <c r="AT166" s="29" t="str">
        <f t="shared" si="169"/>
        <v>#DIV/0!</v>
      </c>
      <c r="AU166" s="29" t="str">
        <f t="shared" si="169"/>
        <v>#DIV/0!</v>
      </c>
      <c r="AV166" s="29" t="str">
        <f t="shared" si="169"/>
        <v>#DIV/0!</v>
      </c>
      <c r="AW166" s="29" t="str">
        <f t="shared" si="169"/>
        <v>#DIV/0!</v>
      </c>
      <c r="AX166" s="29" t="str">
        <f t="shared" si="169"/>
        <v>#DIV/0!</v>
      </c>
      <c r="AY166" s="29" t="str">
        <f t="shared" si="169"/>
        <v>#DIV/0!</v>
      </c>
      <c r="AZ166" s="29" t="str">
        <f t="shared" si="169"/>
        <v>#DIV/0!</v>
      </c>
      <c r="BA166" s="29" t="str">
        <f t="shared" si="169"/>
        <v>#DIV/0!</v>
      </c>
      <c r="BB166" s="29" t="str">
        <f t="shared" si="169"/>
        <v>#DIV/0!</v>
      </c>
      <c r="BC166" s="29" t="str">
        <f t="shared" si="169"/>
        <v>#DIV/0!</v>
      </c>
      <c r="BD166" s="29" t="str">
        <f t="shared" si="169"/>
        <v>#DIV/0!</v>
      </c>
      <c r="BE166" s="29" t="str">
        <f t="shared" si="169"/>
        <v>#DIV/0!</v>
      </c>
      <c r="BF166" s="29" t="str">
        <f t="shared" si="169"/>
        <v>#DIV/0!</v>
      </c>
      <c r="BG166" s="29" t="str">
        <f t="shared" si="169"/>
        <v>#DIV/0!</v>
      </c>
      <c r="BH166" s="29" t="str">
        <f t="shared" si="169"/>
        <v>#DIV/0!</v>
      </c>
      <c r="BI166" s="29" t="str">
        <f t="shared" si="169"/>
        <v>#DIV/0!</v>
      </c>
      <c r="BJ166" s="29" t="str">
        <f t="shared" si="169"/>
        <v>#DIV/0!</v>
      </c>
      <c r="BK166" s="29" t="str">
        <f t="shared" si="169"/>
        <v>#DIV/0!</v>
      </c>
      <c r="BL166" s="29" t="str">
        <f t="shared" si="169"/>
        <v>#DIV/0!</v>
      </c>
      <c r="BM166" s="29" t="str">
        <f t="shared" si="3"/>
        <v>#DIV/0!</v>
      </c>
    </row>
    <row r="167">
      <c r="A167" s="16" t="str">
        <f>IFERROR(__xludf.DUMMYFUNCTION("IFERROR(SPARKLINE(SORT(MAP(TRANSPOSE(AQ167:BL167), LAMBDA(val, IF(ISNUMBER(val), PERCENTRANK(AQ167:BL167, val)+0.01, 0))), SEQUENCE(COLUMNS(AQ167:BL167)), FALSE), {""charttype"",""column""; ""color"",""chartreuse""; ""ymin"", 0; ""ymax"", 1.01; ""highcolo"&amp;"r"", ""darkgreen""; ""lowcolor"", ""red""}), """")"),"")</f>
        <v/>
      </c>
      <c r="B167" s="17" t="str">
        <f t="shared" si="4"/>
        <v/>
      </c>
      <c r="C167" s="1" t="s">
        <v>1488</v>
      </c>
      <c r="D167" s="30" t="str">
        <f>IFERROR(__xludf.DUMMYFUNCTION("IFERROR(GOOGLEFINANCE(C167, ""NAME""))"),"")</f>
        <v/>
      </c>
      <c r="E167" s="30" t="s">
        <v>839</v>
      </c>
      <c r="F167" s="33" t="str">
        <f>IFERROR(__xludf.DUMMYFUNCTION("( (GOOGLEFINANCE(C167, ""price"") - Q167) / Q167 ) / (R167 / 100)"),"Loading...")</f>
        <v>Loading...</v>
      </c>
      <c r="G167" s="20" t="str">
        <f>IFERROR(__xludf.DUMMYFUNCTION("AVERAGE(ARRAYFORMULA(100 * (QUERY(GOOGLEFINANCE(C167, ""high"", TODAY()-40, TODAY()), ""SELECT Col2 WHERE Col2 IS NOT NULL ORDER BY Col1 DESC LIMIT 20"", 0) / QUERY(GOOGLEFINANCE(C167, ""low"", TODAY()-40, TODAY()), ""SELECT Col2 WHERE Col2 IS NOT NULL OR"&amp;"DER BY Col1 DESC LIMIT 20"", 0) - 1)))"),"#N/A")</f>
        <v>#N/A</v>
      </c>
      <c r="H167" s="35" t="str">
        <f t="shared" si="6"/>
        <v/>
      </c>
      <c r="I167" s="35" t="str">
        <f t="shared" si="7"/>
        <v/>
      </c>
      <c r="J167" s="37" t="str">
        <f>IFERROR(__xludf.DUMMYFUNCTION("IFERROR(
  IF(C167="""",, 
    IFERROR(
      GOOGLEFINANCE(C167, ""price"") * GOOGLEFINANCE(C167, ""volumeavg""), 
      GOOGLEFINANCE(C167, ""price"") * AVERAGE(QUERY(GOOGLEFINANCE(C167, ""volume"", TODAY()-40, TODAY()), ""SELECT Col2 WHERE Col2 IS NOT "&amp;"NULL ORDER BY Col1 DESC LIMIT 20"", 0))
    )
  ), 
"""")"),"")</f>
        <v/>
      </c>
      <c r="K167" s="21" t="str">
        <f>IFERROR(__xludf.DUMMYFUNCTION("IFERROR(GOOGLEFINANCE(C167, ""changepct"") / 100, """")"),"")</f>
        <v/>
      </c>
      <c r="L167" s="21" t="str">
        <f>IFERROR(__xludf.DUMMYFUNCTION("IFERROR((GOOGLEFINANCE(C167, ""price"") / INDEX(GOOGLEFINANCE(C167, ""price"", TODAY()-7, TODAY()), 2, 2)) - 1, """")"),"")</f>
        <v/>
      </c>
      <c r="M167" s="21" t="str">
        <f>IFERROR(__xludf.DUMMYFUNCTION("IFERROR((GOOGLEFINANCE(C167, ""price"") / INDEX(GOOGLEFINANCE(C167, ""price"", EDATE(TODAY(), -1), TODAY()), 2, 2)) - 1, """")"),"")</f>
        <v/>
      </c>
      <c r="N167" s="21" t="str">
        <f>IFERROR(__xludf.DUMMYFUNCTION("IFERROR((GOOGLEFINANCE(C167, ""price"") / INDEX(GOOGLEFINANCE(C167, ""price"", EDATE(TODAY(), -3), TODAY()), 2, 2)) - 1, """")"),"")</f>
        <v/>
      </c>
      <c r="O167" s="21" t="str">
        <f>IFERROR(__xludf.DUMMYFUNCTION("IFERROR((GOOGLEFINANCE(C167, ""price"") / INDEX(GOOGLEFINANCE(C167, ""price"", EDATE(TODAY(), -6), TODAY()), 2, 2)) - 1, """")"),"")</f>
        <v/>
      </c>
      <c r="P167" s="21" t="str">
        <f>IFERROR(__xludf.DUMMYFUNCTION("IFERROR((GOOGLEFINANCE(C167, ""price"") / INDEX(GOOGLEFINANCE(C167, ""price"", EDATE(TODAY(), -12), TODAY()), 2, 2)) - 1, """")"),"")</f>
        <v/>
      </c>
      <c r="Q167" s="6" t="str">
        <f>IFERROR(__xludf.DUMMYFUNCTION("AVERAGE(QUERY(GOOGLEFINANCE(C167, ""price"", TODAY()-80, TODAY()), ""SELECT Col2 WHERE Col2 IS NOT NULL ORDER BY Col1 DESC LIMIT 50"", 0))"),"#N/A")</f>
        <v>#N/A</v>
      </c>
      <c r="R167" s="24" t="str">
        <f>IFERROR(__xludf.DUMMYFUNCTION("IFERROR(
  LET(
    data, QUERY(GOOGLEFINANCE(C167,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GOOGLEFINANCE(C167, ""price"")) * 100,
    IF(calc=0, G167, calc)
  ), 
G167)"),"#N/A")</f>
        <v>#N/A</v>
      </c>
      <c r="S167" s="8" t="s">
        <v>15</v>
      </c>
      <c r="T167" s="26" t="str">
        <f>IFERROR(__xludf.DUMMYFUNCTION("IFERROR(TRANSPOSE(QUERY(IFERROR(SORT(GOOGLEFINANCE(C167, ""price"", WORKDAY(TODAY(), -40), TODAY()), 1, FALSE)), ""select Col2 where Col2 is not null limit 22 label Col2 ''"", 0)), """")"),"")</f>
        <v/>
      </c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8"/>
      <c r="AO167" s="28"/>
      <c r="AP167" s="29"/>
      <c r="AQ167" s="29" t="str">
        <f t="shared" ref="AQ167:BL167" si="170">T167/T$2</f>
        <v>#N/A</v>
      </c>
      <c r="AR167" s="29" t="str">
        <f t="shared" si="170"/>
        <v>#DIV/0!</v>
      </c>
      <c r="AS167" s="29" t="str">
        <f t="shared" si="170"/>
        <v>#DIV/0!</v>
      </c>
      <c r="AT167" s="29" t="str">
        <f t="shared" si="170"/>
        <v>#DIV/0!</v>
      </c>
      <c r="AU167" s="29" t="str">
        <f t="shared" si="170"/>
        <v>#DIV/0!</v>
      </c>
      <c r="AV167" s="29" t="str">
        <f t="shared" si="170"/>
        <v>#DIV/0!</v>
      </c>
      <c r="AW167" s="29" t="str">
        <f t="shared" si="170"/>
        <v>#DIV/0!</v>
      </c>
      <c r="AX167" s="29" t="str">
        <f t="shared" si="170"/>
        <v>#DIV/0!</v>
      </c>
      <c r="AY167" s="29" t="str">
        <f t="shared" si="170"/>
        <v>#DIV/0!</v>
      </c>
      <c r="AZ167" s="29" t="str">
        <f t="shared" si="170"/>
        <v>#DIV/0!</v>
      </c>
      <c r="BA167" s="29" t="str">
        <f t="shared" si="170"/>
        <v>#DIV/0!</v>
      </c>
      <c r="BB167" s="29" t="str">
        <f t="shared" si="170"/>
        <v>#DIV/0!</v>
      </c>
      <c r="BC167" s="29" t="str">
        <f t="shared" si="170"/>
        <v>#DIV/0!</v>
      </c>
      <c r="BD167" s="29" t="str">
        <f t="shared" si="170"/>
        <v>#DIV/0!</v>
      </c>
      <c r="BE167" s="29" t="str">
        <f t="shared" si="170"/>
        <v>#DIV/0!</v>
      </c>
      <c r="BF167" s="29" t="str">
        <f t="shared" si="170"/>
        <v>#DIV/0!</v>
      </c>
      <c r="BG167" s="29" t="str">
        <f t="shared" si="170"/>
        <v>#DIV/0!</v>
      </c>
      <c r="BH167" s="29" t="str">
        <f t="shared" si="170"/>
        <v>#DIV/0!</v>
      </c>
      <c r="BI167" s="29" t="str">
        <f t="shared" si="170"/>
        <v>#DIV/0!</v>
      </c>
      <c r="BJ167" s="29" t="str">
        <f t="shared" si="170"/>
        <v>#DIV/0!</v>
      </c>
      <c r="BK167" s="29" t="str">
        <f t="shared" si="170"/>
        <v>#DIV/0!</v>
      </c>
      <c r="BL167" s="29" t="str">
        <f t="shared" si="170"/>
        <v>#DIV/0!</v>
      </c>
      <c r="BM167" s="29" t="str">
        <f t="shared" si="3"/>
        <v>#DIV/0!</v>
      </c>
    </row>
    <row r="168">
      <c r="A168" s="16" t="str">
        <f>IFERROR(__xludf.DUMMYFUNCTION("IFERROR(SPARKLINE(SORT(MAP(TRANSPOSE(AQ168:BL168), LAMBDA(val, IF(ISNUMBER(val), PERCENTRANK(AQ168:BL168, val)+0.01, 0))), SEQUENCE(COLUMNS(AQ168:BL168)), FALSE), {""charttype"",""column""; ""color"",""chartreuse""; ""ymin"", 0; ""ymax"", 1.01; ""highcolo"&amp;"r"", ""darkgreen""; ""lowcolor"", ""red""}), """")"),"")</f>
        <v/>
      </c>
      <c r="B168" s="17" t="str">
        <f t="shared" si="4"/>
        <v/>
      </c>
      <c r="C168" s="1" t="s">
        <v>1493</v>
      </c>
      <c r="D168" s="30" t="str">
        <f>IFERROR(__xludf.DUMMYFUNCTION("IFERROR(GOOGLEFINANCE(C168, ""NAME""))"),"Rtx Corp")</f>
        <v>Rtx Corp</v>
      </c>
      <c r="E168" s="30" t="s">
        <v>839</v>
      </c>
      <c r="F168" s="33" t="str">
        <f>IFERROR(__xludf.DUMMYFUNCTION("( (GOOGLEFINANCE(C168, ""price"") - Q168) / Q168 ) / (R168 / 100)"),"Loading...")</f>
        <v>Loading...</v>
      </c>
      <c r="G168" s="20" t="str">
        <f>IFERROR(__xludf.DUMMYFUNCTION("AVERAGE(ARRAYFORMULA(100 * (QUERY(GOOGLEFINANCE(C168, ""high"", TODAY()-40, TODAY()), ""SELECT Col2 WHERE Col2 IS NOT NULL ORDER BY Col1 DESC LIMIT 20"", 0) / QUERY(GOOGLEFINANCE(C168, ""low"", TODAY()-40, TODAY()), ""SELECT Col2 WHERE Col2 IS NOT NULL OR"&amp;"DER BY Col1 DESC LIMIT 20"", 0) - 1)))"),"#N/A")</f>
        <v>#N/A</v>
      </c>
      <c r="H168" s="35" t="str">
        <f t="shared" si="6"/>
        <v/>
      </c>
      <c r="I168" s="35" t="str">
        <f t="shared" si="7"/>
        <v/>
      </c>
      <c r="J168" s="37" t="str">
        <f>IFERROR(__xludf.DUMMYFUNCTION("IFERROR(
  IF(C168="""",, 
    IFERROR(
      GOOGLEFINANCE(C168, ""price"") * GOOGLEFINANCE(C168, ""volumeavg""), 
      GOOGLEFINANCE(C168, ""price"") * AVERAGE(QUERY(GOOGLEFINANCE(C168, ""volume"", TODAY()-40, TODAY()), ""SELECT Col2 WHERE Col2 IS NOT "&amp;"NULL ORDER BY Col1 DESC LIMIT 20"", 0))
    )
  ), 
"""")"),"")</f>
        <v/>
      </c>
      <c r="K168" s="21" t="str">
        <f>IFERROR(__xludf.DUMMYFUNCTION("IFERROR(GOOGLEFINANCE(C168, ""changepct"") / 100, """")"),"")</f>
        <v/>
      </c>
      <c r="L168" s="21" t="str">
        <f>IFERROR(__xludf.DUMMYFUNCTION("IFERROR((GOOGLEFINANCE(C168, ""price"") / INDEX(GOOGLEFINANCE(C168, ""price"", TODAY()-7, TODAY()), 2, 2)) - 1, """")"),"")</f>
        <v/>
      </c>
      <c r="M168" s="21" t="str">
        <f>IFERROR(__xludf.DUMMYFUNCTION("IFERROR((GOOGLEFINANCE(C168, ""price"") / INDEX(GOOGLEFINANCE(C168, ""price"", EDATE(TODAY(), -1), TODAY()), 2, 2)) - 1, """")"),"")</f>
        <v/>
      </c>
      <c r="N168" s="21" t="str">
        <f>IFERROR(__xludf.DUMMYFUNCTION("IFERROR((GOOGLEFINANCE(C168, ""price"") / INDEX(GOOGLEFINANCE(C168, ""price"", EDATE(TODAY(), -3), TODAY()), 2, 2)) - 1, """")"),"")</f>
        <v/>
      </c>
      <c r="O168" s="21" t="str">
        <f>IFERROR(__xludf.DUMMYFUNCTION("IFERROR((GOOGLEFINANCE(C168, ""price"") / INDEX(GOOGLEFINANCE(C168, ""price"", EDATE(TODAY(), -6), TODAY()), 2, 2)) - 1, """")"),"")</f>
        <v/>
      </c>
      <c r="P168" s="21" t="str">
        <f>IFERROR(__xludf.DUMMYFUNCTION("IFERROR((GOOGLEFINANCE(C168, ""price"") / INDEX(GOOGLEFINANCE(C168, ""price"", EDATE(TODAY(), -12), TODAY()), 2, 2)) - 1, """")"),"")</f>
        <v/>
      </c>
      <c r="Q168" s="6" t="str">
        <f>IFERROR(__xludf.DUMMYFUNCTION("AVERAGE(QUERY(GOOGLEFINANCE(C168, ""price"", TODAY()-80, TODAY()), ""SELECT Col2 WHERE Col2 IS NOT NULL ORDER BY Col1 DESC LIMIT 50"", 0))"),"#N/A")</f>
        <v>#N/A</v>
      </c>
      <c r="R168" s="24" t="str">
        <f>IFERROR(__xludf.DUMMYFUNCTION("IFERROR(
  LET(
    data, QUERY(GOOGLEFINANCE(C168,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GOOGLEFINANCE(C168, ""price"")) * 100,
    IF(calc=0, G168, calc)
  ), 
G168)"),"#N/A")</f>
        <v>#N/A</v>
      </c>
      <c r="S168" s="8" t="s">
        <v>15</v>
      </c>
      <c r="T168" s="26" t="str">
        <f>IFERROR(__xludf.DUMMYFUNCTION("IFERROR(TRANSPOSE(QUERY(IFERROR(SORT(GOOGLEFINANCE(C168, ""price"", WORKDAY(TODAY(), -40), TODAY()), 1, FALSE)), ""select Col2 where Col2 is not null limit 22 label Col2 ''"", 0)), """")"),"")</f>
        <v/>
      </c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8"/>
      <c r="AO168" s="28"/>
      <c r="AP168" s="29"/>
      <c r="AQ168" s="29" t="str">
        <f t="shared" ref="AQ168:BL168" si="171">T168/T$2</f>
        <v>#N/A</v>
      </c>
      <c r="AR168" s="29" t="str">
        <f t="shared" si="171"/>
        <v>#DIV/0!</v>
      </c>
      <c r="AS168" s="29" t="str">
        <f t="shared" si="171"/>
        <v>#DIV/0!</v>
      </c>
      <c r="AT168" s="29" t="str">
        <f t="shared" si="171"/>
        <v>#DIV/0!</v>
      </c>
      <c r="AU168" s="29" t="str">
        <f t="shared" si="171"/>
        <v>#DIV/0!</v>
      </c>
      <c r="AV168" s="29" t="str">
        <f t="shared" si="171"/>
        <v>#DIV/0!</v>
      </c>
      <c r="AW168" s="29" t="str">
        <f t="shared" si="171"/>
        <v>#DIV/0!</v>
      </c>
      <c r="AX168" s="29" t="str">
        <f t="shared" si="171"/>
        <v>#DIV/0!</v>
      </c>
      <c r="AY168" s="29" t="str">
        <f t="shared" si="171"/>
        <v>#DIV/0!</v>
      </c>
      <c r="AZ168" s="29" t="str">
        <f t="shared" si="171"/>
        <v>#DIV/0!</v>
      </c>
      <c r="BA168" s="29" t="str">
        <f t="shared" si="171"/>
        <v>#DIV/0!</v>
      </c>
      <c r="BB168" s="29" t="str">
        <f t="shared" si="171"/>
        <v>#DIV/0!</v>
      </c>
      <c r="BC168" s="29" t="str">
        <f t="shared" si="171"/>
        <v>#DIV/0!</v>
      </c>
      <c r="BD168" s="29" t="str">
        <f t="shared" si="171"/>
        <v>#DIV/0!</v>
      </c>
      <c r="BE168" s="29" t="str">
        <f t="shared" si="171"/>
        <v>#DIV/0!</v>
      </c>
      <c r="BF168" s="29" t="str">
        <f t="shared" si="171"/>
        <v>#DIV/0!</v>
      </c>
      <c r="BG168" s="29" t="str">
        <f t="shared" si="171"/>
        <v>#DIV/0!</v>
      </c>
      <c r="BH168" s="29" t="str">
        <f t="shared" si="171"/>
        <v>#DIV/0!</v>
      </c>
      <c r="BI168" s="29" t="str">
        <f t="shared" si="171"/>
        <v>#DIV/0!</v>
      </c>
      <c r="BJ168" s="29" t="str">
        <f t="shared" si="171"/>
        <v>#DIV/0!</v>
      </c>
      <c r="BK168" s="29" t="str">
        <f t="shared" si="171"/>
        <v>#DIV/0!</v>
      </c>
      <c r="BL168" s="29" t="str">
        <f t="shared" si="171"/>
        <v>#DIV/0!</v>
      </c>
      <c r="BM168" s="29" t="str">
        <f t="shared" si="3"/>
        <v>#DIV/0!</v>
      </c>
    </row>
    <row r="169">
      <c r="A169" s="16" t="str">
        <f>IFERROR(__xludf.DUMMYFUNCTION("IFERROR(SPARKLINE(SORT(MAP(TRANSPOSE(AQ169:BL169), LAMBDA(val, IF(ISNUMBER(val), PERCENTRANK(AQ169:BL169, val)+0.01, 0))), SEQUENCE(COLUMNS(AQ169:BL169)), FALSE), {""charttype"",""column""; ""color"",""chartreuse""; ""ymin"", 0; ""ymax"", 1.01; ""highcolo"&amp;"r"", ""darkgreen""; ""lowcolor"", ""red""}), """")"),"")</f>
        <v/>
      </c>
      <c r="B169" s="17" t="str">
        <f t="shared" si="4"/>
        <v/>
      </c>
      <c r="C169" s="1" t="s">
        <v>1496</v>
      </c>
      <c r="D169" s="30" t="str">
        <f>IFERROR(__xludf.DUMMYFUNCTION("IFERROR(GOOGLEFINANCE(C169, ""NAME""))"),"Honeywell International Inc")</f>
        <v>Honeywell International Inc</v>
      </c>
      <c r="E169" s="30" t="s">
        <v>843</v>
      </c>
      <c r="F169" s="33" t="str">
        <f>IFERROR(__xludf.DUMMYFUNCTION("( (GOOGLEFINANCE(C169, ""price"") - Q169) / Q169 ) / (R169 / 100)"),"Loading...")</f>
        <v>Loading...</v>
      </c>
      <c r="G169" s="20" t="str">
        <f>IFERROR(__xludf.DUMMYFUNCTION("AVERAGE(ARRAYFORMULA(100 * (QUERY(GOOGLEFINANCE(C169, ""high"", TODAY()-40, TODAY()), ""SELECT Col2 WHERE Col2 IS NOT NULL ORDER BY Col1 DESC LIMIT 20"", 0) / QUERY(GOOGLEFINANCE(C169, ""low"", TODAY()-40, TODAY()), ""SELECT Col2 WHERE Col2 IS NOT NULL OR"&amp;"DER BY Col1 DESC LIMIT 20"", 0) - 1)))"),"#N/A")</f>
        <v>#N/A</v>
      </c>
      <c r="H169" s="35" t="str">
        <f t="shared" si="6"/>
        <v/>
      </c>
      <c r="I169" s="35" t="str">
        <f t="shared" si="7"/>
        <v/>
      </c>
      <c r="J169" s="37" t="str">
        <f>IFERROR(__xludf.DUMMYFUNCTION("IFERROR(
  IF(C169="""",, 
    IFERROR(
      GOOGLEFINANCE(C169, ""price"") * GOOGLEFINANCE(C169, ""volumeavg""), 
      GOOGLEFINANCE(C169, ""price"") * AVERAGE(QUERY(GOOGLEFINANCE(C169, ""volume"", TODAY()-40, TODAY()), ""SELECT Col2 WHERE Col2 IS NOT "&amp;"NULL ORDER BY Col1 DESC LIMIT 20"", 0))
    )
  ), 
"""")"),"")</f>
        <v/>
      </c>
      <c r="K169" s="21" t="str">
        <f>IFERROR(__xludf.DUMMYFUNCTION("IFERROR(GOOGLEFINANCE(C169, ""changepct"") / 100, """")"),"")</f>
        <v/>
      </c>
      <c r="L169" s="21" t="str">
        <f>IFERROR(__xludf.DUMMYFUNCTION("IFERROR((GOOGLEFINANCE(C169, ""price"") / INDEX(GOOGLEFINANCE(C169, ""price"", TODAY()-7, TODAY()), 2, 2)) - 1, """")"),"")</f>
        <v/>
      </c>
      <c r="M169" s="21" t="str">
        <f>IFERROR(__xludf.DUMMYFUNCTION("IFERROR((GOOGLEFINANCE(C169, ""price"") / INDEX(GOOGLEFINANCE(C169, ""price"", EDATE(TODAY(), -1), TODAY()), 2, 2)) - 1, """")"),"")</f>
        <v/>
      </c>
      <c r="N169" s="21" t="str">
        <f>IFERROR(__xludf.DUMMYFUNCTION("IFERROR((GOOGLEFINANCE(C169, ""price"") / INDEX(GOOGLEFINANCE(C169, ""price"", EDATE(TODAY(), -3), TODAY()), 2, 2)) - 1, """")"),"")</f>
        <v/>
      </c>
      <c r="O169" s="21" t="str">
        <f>IFERROR(__xludf.DUMMYFUNCTION("IFERROR((GOOGLEFINANCE(C169, ""price"") / INDEX(GOOGLEFINANCE(C169, ""price"", EDATE(TODAY(), -6), TODAY()), 2, 2)) - 1, """")"),"")</f>
        <v/>
      </c>
      <c r="P169" s="21" t="str">
        <f>IFERROR(__xludf.DUMMYFUNCTION("IFERROR((GOOGLEFINANCE(C169, ""price"") / INDEX(GOOGLEFINANCE(C169, ""price"", EDATE(TODAY(), -12), TODAY()), 2, 2)) - 1, """")"),"")</f>
        <v/>
      </c>
      <c r="Q169" s="6" t="str">
        <f>IFERROR(__xludf.DUMMYFUNCTION("AVERAGE(QUERY(GOOGLEFINANCE(C169, ""price"", TODAY()-80, TODAY()), ""SELECT Col2 WHERE Col2 IS NOT NULL ORDER BY Col1 DESC LIMIT 50"", 0))"),"#N/A")</f>
        <v>#N/A</v>
      </c>
      <c r="R169" s="24" t="str">
        <f>IFERROR(__xludf.DUMMYFUNCTION("IFERROR(
  LET(
    data, QUERY(GOOGLEFINANCE(C169,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GOOGLEFINANCE(C169, ""price"")) * 100,
    IF(calc=0, G169, calc)
  ), 
G169)"),"#N/A")</f>
        <v>#N/A</v>
      </c>
      <c r="S169" s="8" t="s">
        <v>15</v>
      </c>
      <c r="T169" s="26" t="str">
        <f>IFERROR(__xludf.DUMMYFUNCTION("IFERROR(TRANSPOSE(QUERY(IFERROR(SORT(GOOGLEFINANCE(C169, ""price"", WORKDAY(TODAY(), -40), TODAY()), 1, FALSE)), ""select Col2 where Col2 is not null limit 22 label Col2 ''"", 0)), """")"),"")</f>
        <v/>
      </c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8"/>
      <c r="AO169" s="28"/>
      <c r="AP169" s="29"/>
      <c r="AQ169" s="29" t="str">
        <f t="shared" ref="AQ169:BL169" si="172">T169/T$2</f>
        <v>#N/A</v>
      </c>
      <c r="AR169" s="29" t="str">
        <f t="shared" si="172"/>
        <v>#DIV/0!</v>
      </c>
      <c r="AS169" s="29" t="str">
        <f t="shared" si="172"/>
        <v>#DIV/0!</v>
      </c>
      <c r="AT169" s="29" t="str">
        <f t="shared" si="172"/>
        <v>#DIV/0!</v>
      </c>
      <c r="AU169" s="29" t="str">
        <f t="shared" si="172"/>
        <v>#DIV/0!</v>
      </c>
      <c r="AV169" s="29" t="str">
        <f t="shared" si="172"/>
        <v>#DIV/0!</v>
      </c>
      <c r="AW169" s="29" t="str">
        <f t="shared" si="172"/>
        <v>#DIV/0!</v>
      </c>
      <c r="AX169" s="29" t="str">
        <f t="shared" si="172"/>
        <v>#DIV/0!</v>
      </c>
      <c r="AY169" s="29" t="str">
        <f t="shared" si="172"/>
        <v>#DIV/0!</v>
      </c>
      <c r="AZ169" s="29" t="str">
        <f t="shared" si="172"/>
        <v>#DIV/0!</v>
      </c>
      <c r="BA169" s="29" t="str">
        <f t="shared" si="172"/>
        <v>#DIV/0!</v>
      </c>
      <c r="BB169" s="29" t="str">
        <f t="shared" si="172"/>
        <v>#DIV/0!</v>
      </c>
      <c r="BC169" s="29" t="str">
        <f t="shared" si="172"/>
        <v>#DIV/0!</v>
      </c>
      <c r="BD169" s="29" t="str">
        <f t="shared" si="172"/>
        <v>#DIV/0!</v>
      </c>
      <c r="BE169" s="29" t="str">
        <f t="shared" si="172"/>
        <v>#DIV/0!</v>
      </c>
      <c r="BF169" s="29" t="str">
        <f t="shared" si="172"/>
        <v>#DIV/0!</v>
      </c>
      <c r="BG169" s="29" t="str">
        <f t="shared" si="172"/>
        <v>#DIV/0!</v>
      </c>
      <c r="BH169" s="29" t="str">
        <f t="shared" si="172"/>
        <v>#DIV/0!</v>
      </c>
      <c r="BI169" s="29" t="str">
        <f t="shared" si="172"/>
        <v>#DIV/0!</v>
      </c>
      <c r="BJ169" s="29" t="str">
        <f t="shared" si="172"/>
        <v>#DIV/0!</v>
      </c>
      <c r="BK169" s="29" t="str">
        <f t="shared" si="172"/>
        <v>#DIV/0!</v>
      </c>
      <c r="BL169" s="29" t="str">
        <f t="shared" si="172"/>
        <v>#DIV/0!</v>
      </c>
      <c r="BM169" s="29" t="str">
        <f t="shared" si="3"/>
        <v>#DIV/0!</v>
      </c>
    </row>
    <row r="170">
      <c r="A170" s="16" t="str">
        <f>IFERROR(__xludf.DUMMYFUNCTION("IFERROR(SPARKLINE(SORT(MAP(TRANSPOSE(AQ170:BL170), LAMBDA(val, IF(ISNUMBER(val), PERCENTRANK(AQ170:BL170, val)+0.01, 0))), SEQUENCE(COLUMNS(AQ170:BL170)), FALSE), {""charttype"",""column""; ""color"",""chartreuse""; ""ymin"", 0; ""ymax"", 1.01; ""highcolo"&amp;"r"", ""darkgreen""; ""lowcolor"", ""red""}), """")"),"")</f>
        <v/>
      </c>
      <c r="B170" s="17" t="str">
        <f t="shared" si="4"/>
        <v/>
      </c>
      <c r="C170" s="1" t="s">
        <v>1510</v>
      </c>
      <c r="D170" s="30" t="str">
        <f>IFERROR(__xludf.DUMMYFUNCTION("IFERROR(GOOGLEFINANCE(C170, ""NAME""))"),"Delta Air Lines Inc")</f>
        <v>Delta Air Lines Inc</v>
      </c>
      <c r="E170" s="30" t="s">
        <v>1134</v>
      </c>
      <c r="F170" s="33" t="str">
        <f>IFERROR(__xludf.DUMMYFUNCTION("( (GOOGLEFINANCE(C170, ""price"") - Q170) / Q170 ) / (R170 / 100)"),"Loading...")</f>
        <v>Loading...</v>
      </c>
      <c r="G170" s="20" t="str">
        <f>IFERROR(__xludf.DUMMYFUNCTION("AVERAGE(ARRAYFORMULA(100 * (QUERY(GOOGLEFINANCE(C170, ""high"", TODAY()-40, TODAY()), ""SELECT Col2 WHERE Col2 IS NOT NULL ORDER BY Col1 DESC LIMIT 20"", 0) / QUERY(GOOGLEFINANCE(C170, ""low"", TODAY()-40, TODAY()), ""SELECT Col2 WHERE Col2 IS NOT NULL OR"&amp;"DER BY Col1 DESC LIMIT 20"", 0) - 1)))"),"#N/A")</f>
        <v>#N/A</v>
      </c>
      <c r="H170" s="35" t="str">
        <f t="shared" si="6"/>
        <v/>
      </c>
      <c r="I170" s="35" t="str">
        <f t="shared" si="7"/>
        <v/>
      </c>
      <c r="J170" s="37" t="str">
        <f>IFERROR(__xludf.DUMMYFUNCTION("IFERROR(
  IF(C170="""",, 
    IFERROR(
      GOOGLEFINANCE(C170, ""price"") * GOOGLEFINANCE(C170, ""volumeavg""), 
      GOOGLEFINANCE(C170, ""price"") * AVERAGE(QUERY(GOOGLEFINANCE(C170, ""volume"", TODAY()-40, TODAY()), ""SELECT Col2 WHERE Col2 IS NOT "&amp;"NULL ORDER BY Col1 DESC LIMIT 20"", 0))
    )
  ), 
"""")"),"")</f>
        <v/>
      </c>
      <c r="K170" s="21" t="str">
        <f>IFERROR(__xludf.DUMMYFUNCTION("IFERROR(GOOGLEFINANCE(C170, ""changepct"") / 100, """")"),"")</f>
        <v/>
      </c>
      <c r="L170" s="21" t="str">
        <f>IFERROR(__xludf.DUMMYFUNCTION("IFERROR((GOOGLEFINANCE(C170, ""price"") / INDEX(GOOGLEFINANCE(C170, ""price"", TODAY()-7, TODAY()), 2, 2)) - 1, """")"),"")</f>
        <v/>
      </c>
      <c r="M170" s="21" t="str">
        <f>IFERROR(__xludf.DUMMYFUNCTION("IFERROR((GOOGLEFINANCE(C170, ""price"") / INDEX(GOOGLEFINANCE(C170, ""price"", EDATE(TODAY(), -1), TODAY()), 2, 2)) - 1, """")"),"")</f>
        <v/>
      </c>
      <c r="N170" s="21" t="str">
        <f>IFERROR(__xludf.DUMMYFUNCTION("IFERROR((GOOGLEFINANCE(C170, ""price"") / INDEX(GOOGLEFINANCE(C170, ""price"", EDATE(TODAY(), -3), TODAY()), 2, 2)) - 1, """")"),"")</f>
        <v/>
      </c>
      <c r="O170" s="21" t="str">
        <f>IFERROR(__xludf.DUMMYFUNCTION("IFERROR((GOOGLEFINANCE(C170, ""price"") / INDEX(GOOGLEFINANCE(C170, ""price"", EDATE(TODAY(), -6), TODAY()), 2, 2)) - 1, """")"),"")</f>
        <v/>
      </c>
      <c r="P170" s="21" t="str">
        <f>IFERROR(__xludf.DUMMYFUNCTION("IFERROR((GOOGLEFINANCE(C170, ""price"") / INDEX(GOOGLEFINANCE(C170, ""price"", EDATE(TODAY(), -12), TODAY()), 2, 2)) - 1, """")"),"")</f>
        <v/>
      </c>
      <c r="Q170" s="6" t="str">
        <f>IFERROR(__xludf.DUMMYFUNCTION("AVERAGE(QUERY(GOOGLEFINANCE(C170, ""price"", TODAY()-80, TODAY()), ""SELECT Col2 WHERE Col2 IS NOT NULL ORDER BY Col1 DESC LIMIT 50"", 0))"),"#N/A")</f>
        <v>#N/A</v>
      </c>
      <c r="R170" s="24" t="str">
        <f>IFERROR(__xludf.DUMMYFUNCTION("IFERROR(
  LET(
    data, QUERY(GOOGLEFINANCE(C170,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GOOGLEFINANCE(C170, ""price"")) * 100,
    IF(calc=0, G170, calc)
  ), 
G170)"),"#N/A")</f>
        <v>#N/A</v>
      </c>
      <c r="S170" s="8" t="s">
        <v>15</v>
      </c>
      <c r="T170" s="26" t="str">
        <f>IFERROR(__xludf.DUMMYFUNCTION("IFERROR(TRANSPOSE(QUERY(IFERROR(SORT(GOOGLEFINANCE(C170, ""price"", WORKDAY(TODAY(), -40), TODAY()), 1, FALSE)), ""select Col2 where Col2 is not null limit 22 label Col2 ''"", 0)), """")"),"")</f>
        <v/>
      </c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8"/>
      <c r="AO170" s="28"/>
      <c r="AP170" s="29"/>
      <c r="AQ170" s="29" t="str">
        <f t="shared" ref="AQ170:BL170" si="173">T170/T$2</f>
        <v>#N/A</v>
      </c>
      <c r="AR170" s="29" t="str">
        <f t="shared" si="173"/>
        <v>#DIV/0!</v>
      </c>
      <c r="AS170" s="29" t="str">
        <f t="shared" si="173"/>
        <v>#DIV/0!</v>
      </c>
      <c r="AT170" s="29" t="str">
        <f t="shared" si="173"/>
        <v>#DIV/0!</v>
      </c>
      <c r="AU170" s="29" t="str">
        <f t="shared" si="173"/>
        <v>#DIV/0!</v>
      </c>
      <c r="AV170" s="29" t="str">
        <f t="shared" si="173"/>
        <v>#DIV/0!</v>
      </c>
      <c r="AW170" s="29" t="str">
        <f t="shared" si="173"/>
        <v>#DIV/0!</v>
      </c>
      <c r="AX170" s="29" t="str">
        <f t="shared" si="173"/>
        <v>#DIV/0!</v>
      </c>
      <c r="AY170" s="29" t="str">
        <f t="shared" si="173"/>
        <v>#DIV/0!</v>
      </c>
      <c r="AZ170" s="29" t="str">
        <f t="shared" si="173"/>
        <v>#DIV/0!</v>
      </c>
      <c r="BA170" s="29" t="str">
        <f t="shared" si="173"/>
        <v>#DIV/0!</v>
      </c>
      <c r="BB170" s="29" t="str">
        <f t="shared" si="173"/>
        <v>#DIV/0!</v>
      </c>
      <c r="BC170" s="29" t="str">
        <f t="shared" si="173"/>
        <v>#DIV/0!</v>
      </c>
      <c r="BD170" s="29" t="str">
        <f t="shared" si="173"/>
        <v>#DIV/0!</v>
      </c>
      <c r="BE170" s="29" t="str">
        <f t="shared" si="173"/>
        <v>#DIV/0!</v>
      </c>
      <c r="BF170" s="29" t="str">
        <f t="shared" si="173"/>
        <v>#DIV/0!</v>
      </c>
      <c r="BG170" s="29" t="str">
        <f t="shared" si="173"/>
        <v>#DIV/0!</v>
      </c>
      <c r="BH170" s="29" t="str">
        <f t="shared" si="173"/>
        <v>#DIV/0!</v>
      </c>
      <c r="BI170" s="29" t="str">
        <f t="shared" si="173"/>
        <v>#DIV/0!</v>
      </c>
      <c r="BJ170" s="29" t="str">
        <f t="shared" si="173"/>
        <v>#DIV/0!</v>
      </c>
      <c r="BK170" s="29" t="str">
        <f t="shared" si="173"/>
        <v>#DIV/0!</v>
      </c>
      <c r="BL170" s="29" t="str">
        <f t="shared" si="173"/>
        <v>#DIV/0!</v>
      </c>
      <c r="BM170" s="29" t="str">
        <f t="shared" si="3"/>
        <v>#DIV/0!</v>
      </c>
    </row>
    <row r="171">
      <c r="A171" s="16" t="str">
        <f>IFERROR(__xludf.DUMMYFUNCTION("IFERROR(SPARKLINE(SORT(MAP(TRANSPOSE(AQ171:BL171), LAMBDA(val, IF(ISNUMBER(val), PERCENTRANK(AQ171:BL171, val)+0.01, 0))), SEQUENCE(COLUMNS(AQ171:BL171)), FALSE), {""charttype"",""column""; ""color"",""chartreuse""; ""ymin"", 0; ""ymax"", 1.01; ""highcolo"&amp;"r"", ""darkgreen""; ""lowcolor"", ""red""}), """")"),"")</f>
        <v/>
      </c>
      <c r="B171" s="17" t="str">
        <f t="shared" si="4"/>
        <v/>
      </c>
      <c r="C171" s="1" t="s">
        <v>1515</v>
      </c>
      <c r="D171" s="30" t="str">
        <f>IFERROR(__xludf.DUMMYFUNCTION("IFERROR(GOOGLEFINANCE(C171, ""NAME""))"),"ATS Corp")</f>
        <v>ATS Corp</v>
      </c>
      <c r="E171" s="30" t="s">
        <v>893</v>
      </c>
      <c r="F171" s="33" t="str">
        <f>IFERROR(__xludf.DUMMYFUNCTION("( (GOOGLEFINANCE(C171, ""price"") - Q171) / Q171 ) / (R171 / 100)"),"Loading...")</f>
        <v>Loading...</v>
      </c>
      <c r="G171" s="20" t="str">
        <f>IFERROR(__xludf.DUMMYFUNCTION("AVERAGE(ARRAYFORMULA(100 * (QUERY(GOOGLEFINANCE(C171, ""high"", TODAY()-40, TODAY()), ""SELECT Col2 WHERE Col2 IS NOT NULL ORDER BY Col1 DESC LIMIT 20"", 0) / QUERY(GOOGLEFINANCE(C171, ""low"", TODAY()-40, TODAY()), ""SELECT Col2 WHERE Col2 IS NOT NULL OR"&amp;"DER BY Col1 DESC LIMIT 20"", 0) - 1)))"),"#N/A")</f>
        <v>#N/A</v>
      </c>
      <c r="H171" s="35" t="str">
        <f t="shared" si="6"/>
        <v/>
      </c>
      <c r="I171" s="35" t="str">
        <f t="shared" si="7"/>
        <v/>
      </c>
      <c r="J171" s="37" t="str">
        <f>IFERROR(__xludf.DUMMYFUNCTION("IFERROR(
  IF(C171="""",, 
    IFERROR(
      GOOGLEFINANCE(C171, ""price"") * GOOGLEFINANCE(C171, ""volumeavg""), 
      GOOGLEFINANCE(C171, ""price"") * AVERAGE(QUERY(GOOGLEFINANCE(C171, ""volume"", TODAY()-40, TODAY()), ""SELECT Col2 WHERE Col2 IS NOT "&amp;"NULL ORDER BY Col1 DESC LIMIT 20"", 0))
    )
  ), 
"""")"),"")</f>
        <v/>
      </c>
      <c r="K171" s="21" t="str">
        <f>IFERROR(__xludf.DUMMYFUNCTION("IFERROR(GOOGLEFINANCE(C171, ""changepct"") / 100, """")"),"")</f>
        <v/>
      </c>
      <c r="L171" s="21" t="str">
        <f>IFERROR(__xludf.DUMMYFUNCTION("IFERROR((GOOGLEFINANCE(C171, ""price"") / INDEX(GOOGLEFINANCE(C171, ""price"", TODAY()-7, TODAY()), 2, 2)) - 1, """")"),"")</f>
        <v/>
      </c>
      <c r="M171" s="21" t="str">
        <f>IFERROR(__xludf.DUMMYFUNCTION("IFERROR((GOOGLEFINANCE(C171, ""price"") / INDEX(GOOGLEFINANCE(C171, ""price"", EDATE(TODAY(), -1), TODAY()), 2, 2)) - 1, """")"),"")</f>
        <v/>
      </c>
      <c r="N171" s="21" t="str">
        <f>IFERROR(__xludf.DUMMYFUNCTION("IFERROR((GOOGLEFINANCE(C171, ""price"") / INDEX(GOOGLEFINANCE(C171, ""price"", EDATE(TODAY(), -3), TODAY()), 2, 2)) - 1, """")"),"")</f>
        <v/>
      </c>
      <c r="O171" s="21" t="str">
        <f>IFERROR(__xludf.DUMMYFUNCTION("IFERROR((GOOGLEFINANCE(C171, ""price"") / INDEX(GOOGLEFINANCE(C171, ""price"", EDATE(TODAY(), -6), TODAY()), 2, 2)) - 1, """")"),"")</f>
        <v/>
      </c>
      <c r="P171" s="21" t="str">
        <f>IFERROR(__xludf.DUMMYFUNCTION("IFERROR((GOOGLEFINANCE(C171, ""price"") / INDEX(GOOGLEFINANCE(C171, ""price"", EDATE(TODAY(), -12), TODAY()), 2, 2)) - 1, """")"),"")</f>
        <v/>
      </c>
      <c r="Q171" s="6" t="str">
        <f>IFERROR(__xludf.DUMMYFUNCTION("AVERAGE(QUERY(GOOGLEFINANCE(C171, ""price"", TODAY()-80, TODAY()), ""SELECT Col2 WHERE Col2 IS NOT NULL ORDER BY Col1 DESC LIMIT 50"", 0))"),"#N/A")</f>
        <v>#N/A</v>
      </c>
      <c r="R171" s="24" t="str">
        <f>IFERROR(__xludf.DUMMYFUNCTION("IFERROR(
  LET(
    data, QUERY(GOOGLEFINANCE(C171,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GOOGLEFINANCE(C171, ""price"")) * 100,
    IF(calc=0, G171, calc)
  ), 
G171)"),"#N/A")</f>
        <v>#N/A</v>
      </c>
      <c r="S171" s="8" t="s">
        <v>15</v>
      </c>
      <c r="T171" s="26" t="str">
        <f>IFERROR(__xludf.DUMMYFUNCTION("IFERROR(TRANSPOSE(QUERY(IFERROR(SORT(GOOGLEFINANCE(C171, ""price"", WORKDAY(TODAY(), -40), TODAY()), 1, FALSE)), ""select Col2 where Col2 is not null limit 22 label Col2 ''"", 0)), """")"),"")</f>
        <v/>
      </c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8"/>
      <c r="AO171" s="28"/>
      <c r="AP171" s="29"/>
      <c r="AQ171" s="29" t="str">
        <f t="shared" ref="AQ171:BL171" si="174">T171/T$2</f>
        <v>#N/A</v>
      </c>
      <c r="AR171" s="29" t="str">
        <f t="shared" si="174"/>
        <v>#DIV/0!</v>
      </c>
      <c r="AS171" s="29" t="str">
        <f t="shared" si="174"/>
        <v>#DIV/0!</v>
      </c>
      <c r="AT171" s="29" t="str">
        <f t="shared" si="174"/>
        <v>#DIV/0!</v>
      </c>
      <c r="AU171" s="29" t="str">
        <f t="shared" si="174"/>
        <v>#DIV/0!</v>
      </c>
      <c r="AV171" s="29" t="str">
        <f t="shared" si="174"/>
        <v>#DIV/0!</v>
      </c>
      <c r="AW171" s="29" t="str">
        <f t="shared" si="174"/>
        <v>#DIV/0!</v>
      </c>
      <c r="AX171" s="29" t="str">
        <f t="shared" si="174"/>
        <v>#DIV/0!</v>
      </c>
      <c r="AY171" s="29" t="str">
        <f t="shared" si="174"/>
        <v>#DIV/0!</v>
      </c>
      <c r="AZ171" s="29" t="str">
        <f t="shared" si="174"/>
        <v>#DIV/0!</v>
      </c>
      <c r="BA171" s="29" t="str">
        <f t="shared" si="174"/>
        <v>#DIV/0!</v>
      </c>
      <c r="BB171" s="29" t="str">
        <f t="shared" si="174"/>
        <v>#DIV/0!</v>
      </c>
      <c r="BC171" s="29" t="str">
        <f t="shared" si="174"/>
        <v>#DIV/0!</v>
      </c>
      <c r="BD171" s="29" t="str">
        <f t="shared" si="174"/>
        <v>#DIV/0!</v>
      </c>
      <c r="BE171" s="29" t="str">
        <f t="shared" si="174"/>
        <v>#DIV/0!</v>
      </c>
      <c r="BF171" s="29" t="str">
        <f t="shared" si="174"/>
        <v>#DIV/0!</v>
      </c>
      <c r="BG171" s="29" t="str">
        <f t="shared" si="174"/>
        <v>#DIV/0!</v>
      </c>
      <c r="BH171" s="29" t="str">
        <f t="shared" si="174"/>
        <v>#DIV/0!</v>
      </c>
      <c r="BI171" s="29" t="str">
        <f t="shared" si="174"/>
        <v>#DIV/0!</v>
      </c>
      <c r="BJ171" s="29" t="str">
        <f t="shared" si="174"/>
        <v>#DIV/0!</v>
      </c>
      <c r="BK171" s="29" t="str">
        <f t="shared" si="174"/>
        <v>#DIV/0!</v>
      </c>
      <c r="BL171" s="29" t="str">
        <f t="shared" si="174"/>
        <v>#DIV/0!</v>
      </c>
      <c r="BM171" s="29" t="str">
        <f t="shared" si="3"/>
        <v>#DIV/0!</v>
      </c>
    </row>
    <row r="172">
      <c r="A172" s="16" t="str">
        <f>IFERROR(__xludf.DUMMYFUNCTION("IFERROR(SPARKLINE(SORT(MAP(TRANSPOSE(AQ172:BL172), LAMBDA(val, IF(ISNUMBER(val), PERCENTRANK(AQ172:BL172, val)+0.01, 0))), SEQUENCE(COLUMNS(AQ172:BL172)), FALSE), {""charttype"",""column""; ""color"",""chartreuse""; ""ymin"", 0; ""ymax"", 1.01; ""highcolo"&amp;"r"", ""darkgreen""; ""lowcolor"", ""red""}), """")"),"")</f>
        <v/>
      </c>
      <c r="B172" s="17" t="str">
        <f t="shared" si="4"/>
        <v/>
      </c>
      <c r="C172" s="1" t="s">
        <v>1518</v>
      </c>
      <c r="D172" s="30" t="str">
        <f>IFERROR(__xludf.DUMMYFUNCTION("IFERROR(GOOGLEFINANCE(C172, ""NAME""))"),"IDEX Corp")</f>
        <v>IDEX Corp</v>
      </c>
      <c r="E172" s="30" t="s">
        <v>893</v>
      </c>
      <c r="F172" s="33" t="str">
        <f>IFERROR(__xludf.DUMMYFUNCTION("( (GOOGLEFINANCE(C172, ""price"") - Q172) / Q172 ) / (R172 / 100)"),"Loading...")</f>
        <v>Loading...</v>
      </c>
      <c r="G172" s="20" t="str">
        <f>IFERROR(__xludf.DUMMYFUNCTION("AVERAGE(ARRAYFORMULA(100 * (QUERY(GOOGLEFINANCE(C172, ""high"", TODAY()-40, TODAY()), ""SELECT Col2 WHERE Col2 IS NOT NULL ORDER BY Col1 DESC LIMIT 20"", 0) / QUERY(GOOGLEFINANCE(C172, ""low"", TODAY()-40, TODAY()), ""SELECT Col2 WHERE Col2 IS NOT NULL OR"&amp;"DER BY Col1 DESC LIMIT 20"", 0) - 1)))"),"#N/A")</f>
        <v>#N/A</v>
      </c>
      <c r="H172" s="35" t="str">
        <f t="shared" si="6"/>
        <v/>
      </c>
      <c r="I172" s="35" t="str">
        <f t="shared" si="7"/>
        <v/>
      </c>
      <c r="J172" s="37" t="str">
        <f>IFERROR(__xludf.DUMMYFUNCTION("IFERROR(
  IF(C172="""",, 
    IFERROR(
      GOOGLEFINANCE(C172, ""price"") * GOOGLEFINANCE(C172, ""volumeavg""), 
      GOOGLEFINANCE(C172, ""price"") * AVERAGE(QUERY(GOOGLEFINANCE(C172, ""volume"", TODAY()-40, TODAY()), ""SELECT Col2 WHERE Col2 IS NOT "&amp;"NULL ORDER BY Col1 DESC LIMIT 20"", 0))
    )
  ), 
"""")"),"")</f>
        <v/>
      </c>
      <c r="K172" s="21" t="str">
        <f>IFERROR(__xludf.DUMMYFUNCTION("IFERROR(GOOGLEFINANCE(C172, ""changepct"") / 100, """")"),"")</f>
        <v/>
      </c>
      <c r="L172" s="21" t="str">
        <f>IFERROR(__xludf.DUMMYFUNCTION("IFERROR((GOOGLEFINANCE(C172, ""price"") / INDEX(GOOGLEFINANCE(C172, ""price"", TODAY()-7, TODAY()), 2, 2)) - 1, """")"),"")</f>
        <v/>
      </c>
      <c r="M172" s="21" t="str">
        <f>IFERROR(__xludf.DUMMYFUNCTION("IFERROR((GOOGLEFINANCE(C172, ""price"") / INDEX(GOOGLEFINANCE(C172, ""price"", EDATE(TODAY(), -1), TODAY()), 2, 2)) - 1, """")"),"")</f>
        <v/>
      </c>
      <c r="N172" s="21" t="str">
        <f>IFERROR(__xludf.DUMMYFUNCTION("IFERROR((GOOGLEFINANCE(C172, ""price"") / INDEX(GOOGLEFINANCE(C172, ""price"", EDATE(TODAY(), -3), TODAY()), 2, 2)) - 1, """")"),"")</f>
        <v/>
      </c>
      <c r="O172" s="21" t="str">
        <f>IFERROR(__xludf.DUMMYFUNCTION("IFERROR((GOOGLEFINANCE(C172, ""price"") / INDEX(GOOGLEFINANCE(C172, ""price"", EDATE(TODAY(), -6), TODAY()), 2, 2)) - 1, """")"),"")</f>
        <v/>
      </c>
      <c r="P172" s="21" t="str">
        <f>IFERROR(__xludf.DUMMYFUNCTION("IFERROR((GOOGLEFINANCE(C172, ""price"") / INDEX(GOOGLEFINANCE(C172, ""price"", EDATE(TODAY(), -12), TODAY()), 2, 2)) - 1, """")"),"")</f>
        <v/>
      </c>
      <c r="Q172" s="6" t="str">
        <f>IFERROR(__xludf.DUMMYFUNCTION("AVERAGE(QUERY(GOOGLEFINANCE(C172, ""price"", TODAY()-80, TODAY()), ""SELECT Col2 WHERE Col2 IS NOT NULL ORDER BY Col1 DESC LIMIT 50"", 0))"),"#N/A")</f>
        <v>#N/A</v>
      </c>
      <c r="R172" s="24" t="str">
        <f>IFERROR(__xludf.DUMMYFUNCTION("IFERROR(
  LET(
    data, QUERY(GOOGLEFINANCE(C172,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GOOGLEFINANCE(C172, ""price"")) * 100,
    IF(calc=0, G172, calc)
  ), 
G172)"),"#N/A")</f>
        <v>#N/A</v>
      </c>
      <c r="S172" s="8" t="s">
        <v>15</v>
      </c>
      <c r="T172" s="26" t="str">
        <f>IFERROR(__xludf.DUMMYFUNCTION("IFERROR(TRANSPOSE(QUERY(IFERROR(SORT(GOOGLEFINANCE(C172, ""price"", WORKDAY(TODAY(), -40), TODAY()), 1, FALSE)), ""select Col2 where Col2 is not null limit 22 label Col2 ''"", 0)), """")"),"")</f>
        <v/>
      </c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8"/>
      <c r="AO172" s="28"/>
      <c r="AP172" s="29"/>
      <c r="AQ172" s="29" t="str">
        <f t="shared" ref="AQ172:BL172" si="175">T172/T$2</f>
        <v>#N/A</v>
      </c>
      <c r="AR172" s="29" t="str">
        <f t="shared" si="175"/>
        <v>#DIV/0!</v>
      </c>
      <c r="AS172" s="29" t="str">
        <f t="shared" si="175"/>
        <v>#DIV/0!</v>
      </c>
      <c r="AT172" s="29" t="str">
        <f t="shared" si="175"/>
        <v>#DIV/0!</v>
      </c>
      <c r="AU172" s="29" t="str">
        <f t="shared" si="175"/>
        <v>#DIV/0!</v>
      </c>
      <c r="AV172" s="29" t="str">
        <f t="shared" si="175"/>
        <v>#DIV/0!</v>
      </c>
      <c r="AW172" s="29" t="str">
        <f t="shared" si="175"/>
        <v>#DIV/0!</v>
      </c>
      <c r="AX172" s="29" t="str">
        <f t="shared" si="175"/>
        <v>#DIV/0!</v>
      </c>
      <c r="AY172" s="29" t="str">
        <f t="shared" si="175"/>
        <v>#DIV/0!</v>
      </c>
      <c r="AZ172" s="29" t="str">
        <f t="shared" si="175"/>
        <v>#DIV/0!</v>
      </c>
      <c r="BA172" s="29" t="str">
        <f t="shared" si="175"/>
        <v>#DIV/0!</v>
      </c>
      <c r="BB172" s="29" t="str">
        <f t="shared" si="175"/>
        <v>#DIV/0!</v>
      </c>
      <c r="BC172" s="29" t="str">
        <f t="shared" si="175"/>
        <v>#DIV/0!</v>
      </c>
      <c r="BD172" s="29" t="str">
        <f t="shared" si="175"/>
        <v>#DIV/0!</v>
      </c>
      <c r="BE172" s="29" t="str">
        <f t="shared" si="175"/>
        <v>#DIV/0!</v>
      </c>
      <c r="BF172" s="29" t="str">
        <f t="shared" si="175"/>
        <v>#DIV/0!</v>
      </c>
      <c r="BG172" s="29" t="str">
        <f t="shared" si="175"/>
        <v>#DIV/0!</v>
      </c>
      <c r="BH172" s="29" t="str">
        <f t="shared" si="175"/>
        <v>#DIV/0!</v>
      </c>
      <c r="BI172" s="29" t="str">
        <f t="shared" si="175"/>
        <v>#DIV/0!</v>
      </c>
      <c r="BJ172" s="29" t="str">
        <f t="shared" si="175"/>
        <v>#DIV/0!</v>
      </c>
      <c r="BK172" s="29" t="str">
        <f t="shared" si="175"/>
        <v>#DIV/0!</v>
      </c>
      <c r="BL172" s="29" t="str">
        <f t="shared" si="175"/>
        <v>#DIV/0!</v>
      </c>
      <c r="BM172" s="29" t="str">
        <f t="shared" si="3"/>
        <v>#DIV/0!</v>
      </c>
    </row>
    <row r="173">
      <c r="A173" s="16" t="str">
        <f>IFERROR(__xludf.DUMMYFUNCTION("IFERROR(SPARKLINE(SORT(MAP(TRANSPOSE(AQ173:BL173), LAMBDA(val, IF(ISNUMBER(val), PERCENTRANK(AQ173:BL173, val)+0.01, 0))), SEQUENCE(COLUMNS(AQ173:BL173)), FALSE), {""charttype"",""column""; ""color"",""chartreuse""; ""ymin"", 0; ""ymax"", 1.01; ""highcolo"&amp;"r"", ""darkgreen""; ""lowcolor"", ""red""}), """")"),"")</f>
        <v/>
      </c>
      <c r="B173" s="17" t="str">
        <f t="shared" si="4"/>
        <v/>
      </c>
      <c r="C173" s="1" t="s">
        <v>1522</v>
      </c>
      <c r="D173" s="30" t="str">
        <f>IFERROR(__xludf.DUMMYFUNCTION("IFERROR(GOOGLEFINANCE(C173, ""NAME""))"),"Spire Global Inc")</f>
        <v>Spire Global Inc</v>
      </c>
      <c r="E173" s="30" t="s">
        <v>916</v>
      </c>
      <c r="F173" s="33" t="str">
        <f>IFERROR(__xludf.DUMMYFUNCTION("( (GOOGLEFINANCE(C173, ""price"") - Q173) / Q173 ) / (R173 / 100)"),"Loading...")</f>
        <v>Loading...</v>
      </c>
      <c r="G173" s="20" t="str">
        <f>IFERROR(__xludf.DUMMYFUNCTION("AVERAGE(ARRAYFORMULA(100 * (QUERY(GOOGLEFINANCE(C173, ""high"", TODAY()-40, TODAY()), ""SELECT Col2 WHERE Col2 IS NOT NULL ORDER BY Col1 DESC LIMIT 20"", 0) / QUERY(GOOGLEFINANCE(C173, ""low"", TODAY()-40, TODAY()), ""SELECT Col2 WHERE Col2 IS NOT NULL OR"&amp;"DER BY Col1 DESC LIMIT 20"", 0) - 1)))"),"#N/A")</f>
        <v>#N/A</v>
      </c>
      <c r="H173" s="35" t="str">
        <f t="shared" si="6"/>
        <v/>
      </c>
      <c r="I173" s="35" t="str">
        <f t="shared" si="7"/>
        <v/>
      </c>
      <c r="J173" s="37" t="str">
        <f>IFERROR(__xludf.DUMMYFUNCTION("IFERROR(
  IF(C173="""",, 
    IFERROR(
      GOOGLEFINANCE(C173, ""price"") * GOOGLEFINANCE(C173, ""volumeavg""), 
      GOOGLEFINANCE(C173, ""price"") * AVERAGE(QUERY(GOOGLEFINANCE(C173, ""volume"", TODAY()-40, TODAY()), ""SELECT Col2 WHERE Col2 IS NOT "&amp;"NULL ORDER BY Col1 DESC LIMIT 20"", 0))
    )
  ), 
"""")"),"")</f>
        <v/>
      </c>
      <c r="K173" s="21" t="str">
        <f>IFERROR(__xludf.DUMMYFUNCTION("IFERROR(GOOGLEFINANCE(C173, ""changepct"") / 100, """")"),"")</f>
        <v/>
      </c>
      <c r="L173" s="21" t="str">
        <f>IFERROR(__xludf.DUMMYFUNCTION("IFERROR((GOOGLEFINANCE(C173, ""price"") / INDEX(GOOGLEFINANCE(C173, ""price"", TODAY()-7, TODAY()), 2, 2)) - 1, """")"),"")</f>
        <v/>
      </c>
      <c r="M173" s="21" t="str">
        <f>IFERROR(__xludf.DUMMYFUNCTION("IFERROR((GOOGLEFINANCE(C173, ""price"") / INDEX(GOOGLEFINANCE(C173, ""price"", EDATE(TODAY(), -1), TODAY()), 2, 2)) - 1, """")"),"")</f>
        <v/>
      </c>
      <c r="N173" s="21" t="str">
        <f>IFERROR(__xludf.DUMMYFUNCTION("IFERROR((GOOGLEFINANCE(C173, ""price"") / INDEX(GOOGLEFINANCE(C173, ""price"", EDATE(TODAY(), -3), TODAY()), 2, 2)) - 1, """")"),"")</f>
        <v/>
      </c>
      <c r="O173" s="21" t="str">
        <f>IFERROR(__xludf.DUMMYFUNCTION("IFERROR((GOOGLEFINANCE(C173, ""price"") / INDEX(GOOGLEFINANCE(C173, ""price"", EDATE(TODAY(), -6), TODAY()), 2, 2)) - 1, """")"),"")</f>
        <v/>
      </c>
      <c r="P173" s="21" t="str">
        <f>IFERROR(__xludf.DUMMYFUNCTION("IFERROR((GOOGLEFINANCE(C173, ""price"") / INDEX(GOOGLEFINANCE(C173, ""price"", EDATE(TODAY(), -12), TODAY()), 2, 2)) - 1, """")"),"")</f>
        <v/>
      </c>
      <c r="Q173" s="6" t="str">
        <f>IFERROR(__xludf.DUMMYFUNCTION("AVERAGE(QUERY(GOOGLEFINANCE(C173, ""price"", TODAY()-80, TODAY()), ""SELECT Col2 WHERE Col2 IS NOT NULL ORDER BY Col1 DESC LIMIT 50"", 0))"),"#N/A")</f>
        <v>#N/A</v>
      </c>
      <c r="R173" s="24" t="str">
        <f>IFERROR(__xludf.DUMMYFUNCTION("IFERROR(
  LET(
    data, QUERY(GOOGLEFINANCE(C173,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GOOGLEFINANCE(C173, ""price"")) * 100,
    IF(calc=0, G173, calc)
  ), 
G173)"),"#N/A")</f>
        <v>#N/A</v>
      </c>
      <c r="S173" s="8" t="s">
        <v>15</v>
      </c>
      <c r="T173" s="26" t="str">
        <f>IFERROR(__xludf.DUMMYFUNCTION("IFERROR(TRANSPOSE(QUERY(IFERROR(SORT(GOOGLEFINANCE(C173, ""price"", WORKDAY(TODAY(), -40), TODAY()), 1, FALSE)), ""select Col2 where Col2 is not null limit 22 label Col2 ''"", 0)), """")"),"")</f>
        <v/>
      </c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8"/>
      <c r="AO173" s="28"/>
      <c r="AP173" s="29"/>
      <c r="AQ173" s="29" t="str">
        <f t="shared" ref="AQ173:BL173" si="176">T173/T$2</f>
        <v>#N/A</v>
      </c>
      <c r="AR173" s="29" t="str">
        <f t="shared" si="176"/>
        <v>#DIV/0!</v>
      </c>
      <c r="AS173" s="29" t="str">
        <f t="shared" si="176"/>
        <v>#DIV/0!</v>
      </c>
      <c r="AT173" s="29" t="str">
        <f t="shared" si="176"/>
        <v>#DIV/0!</v>
      </c>
      <c r="AU173" s="29" t="str">
        <f t="shared" si="176"/>
        <v>#DIV/0!</v>
      </c>
      <c r="AV173" s="29" t="str">
        <f t="shared" si="176"/>
        <v>#DIV/0!</v>
      </c>
      <c r="AW173" s="29" t="str">
        <f t="shared" si="176"/>
        <v>#DIV/0!</v>
      </c>
      <c r="AX173" s="29" t="str">
        <f t="shared" si="176"/>
        <v>#DIV/0!</v>
      </c>
      <c r="AY173" s="29" t="str">
        <f t="shared" si="176"/>
        <v>#DIV/0!</v>
      </c>
      <c r="AZ173" s="29" t="str">
        <f t="shared" si="176"/>
        <v>#DIV/0!</v>
      </c>
      <c r="BA173" s="29" t="str">
        <f t="shared" si="176"/>
        <v>#DIV/0!</v>
      </c>
      <c r="BB173" s="29" t="str">
        <f t="shared" si="176"/>
        <v>#DIV/0!</v>
      </c>
      <c r="BC173" s="29" t="str">
        <f t="shared" si="176"/>
        <v>#DIV/0!</v>
      </c>
      <c r="BD173" s="29" t="str">
        <f t="shared" si="176"/>
        <v>#DIV/0!</v>
      </c>
      <c r="BE173" s="29" t="str">
        <f t="shared" si="176"/>
        <v>#DIV/0!</v>
      </c>
      <c r="BF173" s="29" t="str">
        <f t="shared" si="176"/>
        <v>#DIV/0!</v>
      </c>
      <c r="BG173" s="29" t="str">
        <f t="shared" si="176"/>
        <v>#DIV/0!</v>
      </c>
      <c r="BH173" s="29" t="str">
        <f t="shared" si="176"/>
        <v>#DIV/0!</v>
      </c>
      <c r="BI173" s="29" t="str">
        <f t="shared" si="176"/>
        <v>#DIV/0!</v>
      </c>
      <c r="BJ173" s="29" t="str">
        <f t="shared" si="176"/>
        <v>#DIV/0!</v>
      </c>
      <c r="BK173" s="29" t="str">
        <f t="shared" si="176"/>
        <v>#DIV/0!</v>
      </c>
      <c r="BL173" s="29" t="str">
        <f t="shared" si="176"/>
        <v>#DIV/0!</v>
      </c>
      <c r="BM173" s="29" t="str">
        <f t="shared" si="3"/>
        <v>#DIV/0!</v>
      </c>
    </row>
    <row r="174">
      <c r="A174" s="16" t="str">
        <f>IFERROR(__xludf.DUMMYFUNCTION("IFERROR(SPARKLINE(SORT(MAP(TRANSPOSE(AQ174:BL174), LAMBDA(val, IF(ISNUMBER(val), PERCENTRANK(AQ174:BL174, val)+0.01, 0))), SEQUENCE(COLUMNS(AQ174:BL174)), FALSE), {""charttype"",""column""; ""color"",""chartreuse""; ""ymin"", 0; ""ymax"", 1.01; ""highcolo"&amp;"r"", ""darkgreen""; ""lowcolor"", ""red""}), """")"),"")</f>
        <v/>
      </c>
      <c r="B174" s="17" t="str">
        <f t="shared" si="4"/>
        <v/>
      </c>
      <c r="C174" s="1" t="s">
        <v>1524</v>
      </c>
      <c r="D174" s="30" t="str">
        <f>IFERROR(__xludf.DUMMYFUNCTION("IFERROR(GOOGLEFINANCE(C174, ""NAME""))"),"Masco Corp")</f>
        <v>Masco Corp</v>
      </c>
      <c r="E174" s="30" t="s">
        <v>968</v>
      </c>
      <c r="F174" s="33" t="str">
        <f>IFERROR(__xludf.DUMMYFUNCTION("( (GOOGLEFINANCE(C174, ""price"") - Q174) / Q174 ) / (R174 / 100)"),"Loading...")</f>
        <v>Loading...</v>
      </c>
      <c r="G174" s="20" t="str">
        <f>IFERROR(__xludf.DUMMYFUNCTION("AVERAGE(ARRAYFORMULA(100 * (QUERY(GOOGLEFINANCE(C174, ""high"", TODAY()-40, TODAY()), ""SELECT Col2 WHERE Col2 IS NOT NULL ORDER BY Col1 DESC LIMIT 20"", 0) / QUERY(GOOGLEFINANCE(C174, ""low"", TODAY()-40, TODAY()), ""SELECT Col2 WHERE Col2 IS NOT NULL OR"&amp;"DER BY Col1 DESC LIMIT 20"", 0) - 1)))"),"#N/A")</f>
        <v>#N/A</v>
      </c>
      <c r="H174" s="35" t="str">
        <f t="shared" si="6"/>
        <v/>
      </c>
      <c r="I174" s="35" t="str">
        <f t="shared" si="7"/>
        <v/>
      </c>
      <c r="J174" s="37" t="str">
        <f>IFERROR(__xludf.DUMMYFUNCTION("IFERROR(
  IF(C174="""",, 
    IFERROR(
      GOOGLEFINANCE(C174, ""price"") * GOOGLEFINANCE(C174, ""volumeavg""), 
      GOOGLEFINANCE(C174, ""price"") * AVERAGE(QUERY(GOOGLEFINANCE(C174, ""volume"", TODAY()-40, TODAY()), ""SELECT Col2 WHERE Col2 IS NOT "&amp;"NULL ORDER BY Col1 DESC LIMIT 20"", 0))
    )
  ), 
"""")"),"")</f>
        <v/>
      </c>
      <c r="K174" s="21" t="str">
        <f>IFERROR(__xludf.DUMMYFUNCTION("IFERROR(GOOGLEFINANCE(C174, ""changepct"") / 100, """")"),"")</f>
        <v/>
      </c>
      <c r="L174" s="21" t="str">
        <f>IFERROR(__xludf.DUMMYFUNCTION("IFERROR((GOOGLEFINANCE(C174, ""price"") / INDEX(GOOGLEFINANCE(C174, ""price"", TODAY()-7, TODAY()), 2, 2)) - 1, """")"),"")</f>
        <v/>
      </c>
      <c r="M174" s="21" t="str">
        <f>IFERROR(__xludf.DUMMYFUNCTION("IFERROR((GOOGLEFINANCE(C174, ""price"") / INDEX(GOOGLEFINANCE(C174, ""price"", EDATE(TODAY(), -1), TODAY()), 2, 2)) - 1, """")"),"")</f>
        <v/>
      </c>
      <c r="N174" s="21" t="str">
        <f>IFERROR(__xludf.DUMMYFUNCTION("IFERROR((GOOGLEFINANCE(C174, ""price"") / INDEX(GOOGLEFINANCE(C174, ""price"", EDATE(TODAY(), -3), TODAY()), 2, 2)) - 1, """")"),"")</f>
        <v/>
      </c>
      <c r="O174" s="21" t="str">
        <f>IFERROR(__xludf.DUMMYFUNCTION("IFERROR((GOOGLEFINANCE(C174, ""price"") / INDEX(GOOGLEFINANCE(C174, ""price"", EDATE(TODAY(), -6), TODAY()), 2, 2)) - 1, """")"),"")</f>
        <v/>
      </c>
      <c r="P174" s="21" t="str">
        <f>IFERROR(__xludf.DUMMYFUNCTION("IFERROR((GOOGLEFINANCE(C174, ""price"") / INDEX(GOOGLEFINANCE(C174, ""price"", EDATE(TODAY(), -12), TODAY()), 2, 2)) - 1, """")"),"")</f>
        <v/>
      </c>
      <c r="Q174" s="6" t="str">
        <f>IFERROR(__xludf.DUMMYFUNCTION("AVERAGE(QUERY(GOOGLEFINANCE(C174, ""price"", TODAY()-80, TODAY()), ""SELECT Col2 WHERE Col2 IS NOT NULL ORDER BY Col1 DESC LIMIT 50"", 0))"),"#N/A")</f>
        <v>#N/A</v>
      </c>
      <c r="R174" s="24" t="str">
        <f>IFERROR(__xludf.DUMMYFUNCTION("IFERROR(
  LET(
    data, QUERY(GOOGLEFINANCE(C174,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GOOGLEFINANCE(C174, ""price"")) * 100,
    IF(calc=0, G174, calc)
  ), 
G174)"),"#N/A")</f>
        <v>#N/A</v>
      </c>
      <c r="S174" s="8" t="s">
        <v>15</v>
      </c>
      <c r="T174" s="26" t="str">
        <f>IFERROR(__xludf.DUMMYFUNCTION("IFERROR(TRANSPOSE(QUERY(IFERROR(SORT(GOOGLEFINANCE(C174, ""price"", WORKDAY(TODAY(), -40), TODAY()), 1, FALSE)), ""select Col2 where Col2 is not null limit 22 label Col2 ''"", 0)), """")"),"")</f>
        <v/>
      </c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8"/>
      <c r="AO174" s="28"/>
      <c r="AP174" s="29"/>
      <c r="AQ174" s="29" t="str">
        <f t="shared" ref="AQ174:BL174" si="177">T174/T$2</f>
        <v>#N/A</v>
      </c>
      <c r="AR174" s="29" t="str">
        <f t="shared" si="177"/>
        <v>#DIV/0!</v>
      </c>
      <c r="AS174" s="29" t="str">
        <f t="shared" si="177"/>
        <v>#DIV/0!</v>
      </c>
      <c r="AT174" s="29" t="str">
        <f t="shared" si="177"/>
        <v>#DIV/0!</v>
      </c>
      <c r="AU174" s="29" t="str">
        <f t="shared" si="177"/>
        <v>#DIV/0!</v>
      </c>
      <c r="AV174" s="29" t="str">
        <f t="shared" si="177"/>
        <v>#DIV/0!</v>
      </c>
      <c r="AW174" s="29" t="str">
        <f t="shared" si="177"/>
        <v>#DIV/0!</v>
      </c>
      <c r="AX174" s="29" t="str">
        <f t="shared" si="177"/>
        <v>#DIV/0!</v>
      </c>
      <c r="AY174" s="29" t="str">
        <f t="shared" si="177"/>
        <v>#DIV/0!</v>
      </c>
      <c r="AZ174" s="29" t="str">
        <f t="shared" si="177"/>
        <v>#DIV/0!</v>
      </c>
      <c r="BA174" s="29" t="str">
        <f t="shared" si="177"/>
        <v>#DIV/0!</v>
      </c>
      <c r="BB174" s="29" t="str">
        <f t="shared" si="177"/>
        <v>#DIV/0!</v>
      </c>
      <c r="BC174" s="29" t="str">
        <f t="shared" si="177"/>
        <v>#DIV/0!</v>
      </c>
      <c r="BD174" s="29" t="str">
        <f t="shared" si="177"/>
        <v>#DIV/0!</v>
      </c>
      <c r="BE174" s="29" t="str">
        <f t="shared" si="177"/>
        <v>#DIV/0!</v>
      </c>
      <c r="BF174" s="29" t="str">
        <f t="shared" si="177"/>
        <v>#DIV/0!</v>
      </c>
      <c r="BG174" s="29" t="str">
        <f t="shared" si="177"/>
        <v>#DIV/0!</v>
      </c>
      <c r="BH174" s="29" t="str">
        <f t="shared" si="177"/>
        <v>#DIV/0!</v>
      </c>
      <c r="BI174" s="29" t="str">
        <f t="shared" si="177"/>
        <v>#DIV/0!</v>
      </c>
      <c r="BJ174" s="29" t="str">
        <f t="shared" si="177"/>
        <v>#DIV/0!</v>
      </c>
      <c r="BK174" s="29" t="str">
        <f t="shared" si="177"/>
        <v>#DIV/0!</v>
      </c>
      <c r="BL174" s="29" t="str">
        <f t="shared" si="177"/>
        <v>#DIV/0!</v>
      </c>
      <c r="BM174" s="29" t="str">
        <f t="shared" si="3"/>
        <v>#DIV/0!</v>
      </c>
    </row>
    <row r="175">
      <c r="A175" s="16" t="str">
        <f>IFERROR(__xludf.DUMMYFUNCTION("IFERROR(SPARKLINE(SORT(MAP(TRANSPOSE(AQ175:BL175), LAMBDA(val, IF(ISNUMBER(val), PERCENTRANK(AQ175:BL175, val)+0.01, 0))), SEQUENCE(COLUMNS(AQ175:BL175)), FALSE), {""charttype"",""column""; ""color"",""chartreuse""; ""ymin"", 0; ""ymax"", 1.01; ""highcolo"&amp;"r"", ""darkgreen""; ""lowcolor"", ""red""}), """")"),"")</f>
        <v/>
      </c>
      <c r="B175" s="17" t="str">
        <f t="shared" si="4"/>
        <v/>
      </c>
      <c r="C175" s="1" t="s">
        <v>1528</v>
      </c>
      <c r="D175" s="30" t="str">
        <f>IFERROR(__xludf.DUMMYFUNCTION("IFERROR(GOOGLEFINANCE(C175, ""NAME""))"),"Matson Inc")</f>
        <v>Matson Inc</v>
      </c>
      <c r="E175" s="30" t="s">
        <v>834</v>
      </c>
      <c r="F175" s="33" t="str">
        <f>IFERROR(__xludf.DUMMYFUNCTION("( (GOOGLEFINANCE(C175, ""price"") - Q175) / Q175 ) / (R175 / 100)"),"Loading...")</f>
        <v>Loading...</v>
      </c>
      <c r="G175" s="20" t="str">
        <f>IFERROR(__xludf.DUMMYFUNCTION("AVERAGE(ARRAYFORMULA(100 * (QUERY(GOOGLEFINANCE(C175, ""high"", TODAY()-40, TODAY()), ""SELECT Col2 WHERE Col2 IS NOT NULL ORDER BY Col1 DESC LIMIT 20"", 0) / QUERY(GOOGLEFINANCE(C175, ""low"", TODAY()-40, TODAY()), ""SELECT Col2 WHERE Col2 IS NOT NULL OR"&amp;"DER BY Col1 DESC LIMIT 20"", 0) - 1)))"),"#N/A")</f>
        <v>#N/A</v>
      </c>
      <c r="H175" s="35" t="str">
        <f t="shared" si="6"/>
        <v/>
      </c>
      <c r="I175" s="35" t="str">
        <f t="shared" si="7"/>
        <v/>
      </c>
      <c r="J175" s="37" t="str">
        <f>IFERROR(__xludf.DUMMYFUNCTION("IFERROR(
  IF(C175="""",, 
    IFERROR(
      GOOGLEFINANCE(C175, ""price"") * GOOGLEFINANCE(C175, ""volumeavg""), 
      GOOGLEFINANCE(C175, ""price"") * AVERAGE(QUERY(GOOGLEFINANCE(C175, ""volume"", TODAY()-40, TODAY()), ""SELECT Col2 WHERE Col2 IS NOT "&amp;"NULL ORDER BY Col1 DESC LIMIT 20"", 0))
    )
  ), 
"""")"),"")</f>
        <v/>
      </c>
      <c r="K175" s="21" t="str">
        <f>IFERROR(__xludf.DUMMYFUNCTION("IFERROR(GOOGLEFINANCE(C175, ""changepct"") / 100, """")"),"")</f>
        <v/>
      </c>
      <c r="L175" s="21" t="str">
        <f>IFERROR(__xludf.DUMMYFUNCTION("IFERROR((GOOGLEFINANCE(C175, ""price"") / INDEX(GOOGLEFINANCE(C175, ""price"", TODAY()-7, TODAY()), 2, 2)) - 1, """")"),"")</f>
        <v/>
      </c>
      <c r="M175" s="21" t="str">
        <f>IFERROR(__xludf.DUMMYFUNCTION("IFERROR((GOOGLEFINANCE(C175, ""price"") / INDEX(GOOGLEFINANCE(C175, ""price"", EDATE(TODAY(), -1), TODAY()), 2, 2)) - 1, """")"),"")</f>
        <v/>
      </c>
      <c r="N175" s="21" t="str">
        <f>IFERROR(__xludf.DUMMYFUNCTION("IFERROR((GOOGLEFINANCE(C175, ""price"") / INDEX(GOOGLEFINANCE(C175, ""price"", EDATE(TODAY(), -3), TODAY()), 2, 2)) - 1, """")"),"")</f>
        <v/>
      </c>
      <c r="O175" s="21" t="str">
        <f>IFERROR(__xludf.DUMMYFUNCTION("IFERROR((GOOGLEFINANCE(C175, ""price"") / INDEX(GOOGLEFINANCE(C175, ""price"", EDATE(TODAY(), -6), TODAY()), 2, 2)) - 1, """")"),"")</f>
        <v/>
      </c>
      <c r="P175" s="21" t="str">
        <f>IFERROR(__xludf.DUMMYFUNCTION("IFERROR((GOOGLEFINANCE(C175, ""price"") / INDEX(GOOGLEFINANCE(C175, ""price"", EDATE(TODAY(), -12), TODAY()), 2, 2)) - 1, """")"),"")</f>
        <v/>
      </c>
      <c r="Q175" s="6" t="str">
        <f>IFERROR(__xludf.DUMMYFUNCTION("AVERAGE(QUERY(GOOGLEFINANCE(C175, ""price"", TODAY()-80, TODAY()), ""SELECT Col2 WHERE Col2 IS NOT NULL ORDER BY Col1 DESC LIMIT 50"", 0))"),"#N/A")</f>
        <v>#N/A</v>
      </c>
      <c r="R175" s="24" t="str">
        <f>IFERROR(__xludf.DUMMYFUNCTION("IFERROR(
  LET(
    data, QUERY(GOOGLEFINANCE(C175,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GOOGLEFINANCE(C175, ""price"")) * 100,
    IF(calc=0, G175, calc)
  ), 
G175)"),"#N/A")</f>
        <v>#N/A</v>
      </c>
      <c r="S175" s="8" t="s">
        <v>15</v>
      </c>
      <c r="T175" s="26" t="str">
        <f>IFERROR(__xludf.DUMMYFUNCTION("IFERROR(TRANSPOSE(QUERY(IFERROR(SORT(GOOGLEFINANCE(C175, ""price"", WORKDAY(TODAY(), -40), TODAY()), 1, FALSE)), ""select Col2 where Col2 is not null limit 22 label Col2 ''"", 0)), """")"),"")</f>
        <v/>
      </c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8"/>
      <c r="AO175" s="28"/>
      <c r="AP175" s="29"/>
      <c r="AQ175" s="29" t="str">
        <f t="shared" ref="AQ175:BL175" si="178">T175/T$2</f>
        <v>#N/A</v>
      </c>
      <c r="AR175" s="29" t="str">
        <f t="shared" si="178"/>
        <v>#DIV/0!</v>
      </c>
      <c r="AS175" s="29" t="str">
        <f t="shared" si="178"/>
        <v>#DIV/0!</v>
      </c>
      <c r="AT175" s="29" t="str">
        <f t="shared" si="178"/>
        <v>#DIV/0!</v>
      </c>
      <c r="AU175" s="29" t="str">
        <f t="shared" si="178"/>
        <v>#DIV/0!</v>
      </c>
      <c r="AV175" s="29" t="str">
        <f t="shared" si="178"/>
        <v>#DIV/0!</v>
      </c>
      <c r="AW175" s="29" t="str">
        <f t="shared" si="178"/>
        <v>#DIV/0!</v>
      </c>
      <c r="AX175" s="29" t="str">
        <f t="shared" si="178"/>
        <v>#DIV/0!</v>
      </c>
      <c r="AY175" s="29" t="str">
        <f t="shared" si="178"/>
        <v>#DIV/0!</v>
      </c>
      <c r="AZ175" s="29" t="str">
        <f t="shared" si="178"/>
        <v>#DIV/0!</v>
      </c>
      <c r="BA175" s="29" t="str">
        <f t="shared" si="178"/>
        <v>#DIV/0!</v>
      </c>
      <c r="BB175" s="29" t="str">
        <f t="shared" si="178"/>
        <v>#DIV/0!</v>
      </c>
      <c r="BC175" s="29" t="str">
        <f t="shared" si="178"/>
        <v>#DIV/0!</v>
      </c>
      <c r="BD175" s="29" t="str">
        <f t="shared" si="178"/>
        <v>#DIV/0!</v>
      </c>
      <c r="BE175" s="29" t="str">
        <f t="shared" si="178"/>
        <v>#DIV/0!</v>
      </c>
      <c r="BF175" s="29" t="str">
        <f t="shared" si="178"/>
        <v>#DIV/0!</v>
      </c>
      <c r="BG175" s="29" t="str">
        <f t="shared" si="178"/>
        <v>#DIV/0!</v>
      </c>
      <c r="BH175" s="29" t="str">
        <f t="shared" si="178"/>
        <v>#DIV/0!</v>
      </c>
      <c r="BI175" s="29" t="str">
        <f t="shared" si="178"/>
        <v>#DIV/0!</v>
      </c>
      <c r="BJ175" s="29" t="str">
        <f t="shared" si="178"/>
        <v>#DIV/0!</v>
      </c>
      <c r="BK175" s="29" t="str">
        <f t="shared" si="178"/>
        <v>#DIV/0!</v>
      </c>
      <c r="BL175" s="29" t="str">
        <f t="shared" si="178"/>
        <v>#DIV/0!</v>
      </c>
      <c r="BM175" s="29" t="str">
        <f t="shared" si="3"/>
        <v>#DIV/0!</v>
      </c>
    </row>
    <row r="176">
      <c r="A176" s="16" t="str">
        <f>IFERROR(__xludf.DUMMYFUNCTION("IFERROR(SPARKLINE(SORT(MAP(TRANSPOSE(AQ176:BL176), LAMBDA(val, IF(ISNUMBER(val), PERCENTRANK(AQ176:BL176, val)+0.01, 0))), SEQUENCE(COLUMNS(AQ176:BL176)), FALSE), {""charttype"",""column""; ""color"",""chartreuse""; ""ymin"", 0; ""ymax"", 1.01; ""highcolo"&amp;"r"", ""darkgreen""; ""lowcolor"", ""red""}), """")"),"")</f>
        <v/>
      </c>
      <c r="B176" s="17" t="str">
        <f t="shared" si="4"/>
        <v/>
      </c>
      <c r="C176" s="1" t="s">
        <v>1533</v>
      </c>
      <c r="D176" s="30" t="str">
        <f>IFERROR(__xludf.DUMMYFUNCTION("IFERROR(GOOGLEFINANCE(C176, ""NAME""))"),"Southwest Airlines Co")</f>
        <v>Southwest Airlines Co</v>
      </c>
      <c r="E176" s="30" t="s">
        <v>1134</v>
      </c>
      <c r="F176" s="33" t="str">
        <f>IFERROR(__xludf.DUMMYFUNCTION("( (GOOGLEFINANCE(C176, ""price"") - Q176) / Q176 ) / (R176 / 100)"),"Loading...")</f>
        <v>Loading...</v>
      </c>
      <c r="G176" s="20" t="str">
        <f>IFERROR(__xludf.DUMMYFUNCTION("AVERAGE(ARRAYFORMULA(100 * (QUERY(GOOGLEFINANCE(C176, ""high"", TODAY()-40, TODAY()), ""SELECT Col2 WHERE Col2 IS NOT NULL ORDER BY Col1 DESC LIMIT 20"", 0) / QUERY(GOOGLEFINANCE(C176, ""low"", TODAY()-40, TODAY()), ""SELECT Col2 WHERE Col2 IS NOT NULL OR"&amp;"DER BY Col1 DESC LIMIT 20"", 0) - 1)))"),"#N/A")</f>
        <v>#N/A</v>
      </c>
      <c r="H176" s="35" t="str">
        <f t="shared" si="6"/>
        <v/>
      </c>
      <c r="I176" s="35" t="str">
        <f t="shared" si="7"/>
        <v/>
      </c>
      <c r="J176" s="37" t="str">
        <f>IFERROR(__xludf.DUMMYFUNCTION("IFERROR(
  IF(C176="""",, 
    IFERROR(
      GOOGLEFINANCE(C176, ""price"") * GOOGLEFINANCE(C176, ""volumeavg""), 
      GOOGLEFINANCE(C176, ""price"") * AVERAGE(QUERY(GOOGLEFINANCE(C176, ""volume"", TODAY()-40, TODAY()), ""SELECT Col2 WHERE Col2 IS NOT "&amp;"NULL ORDER BY Col1 DESC LIMIT 20"", 0))
    )
  ), 
"""")"),"")</f>
        <v/>
      </c>
      <c r="K176" s="21" t="str">
        <f>IFERROR(__xludf.DUMMYFUNCTION("IFERROR(GOOGLEFINANCE(C176, ""changepct"") / 100, """")"),"")</f>
        <v/>
      </c>
      <c r="L176" s="21" t="str">
        <f>IFERROR(__xludf.DUMMYFUNCTION("IFERROR((GOOGLEFINANCE(C176, ""price"") / INDEX(GOOGLEFINANCE(C176, ""price"", TODAY()-7, TODAY()), 2, 2)) - 1, """")"),"")</f>
        <v/>
      </c>
      <c r="M176" s="21" t="str">
        <f>IFERROR(__xludf.DUMMYFUNCTION("IFERROR((GOOGLEFINANCE(C176, ""price"") / INDEX(GOOGLEFINANCE(C176, ""price"", EDATE(TODAY(), -1), TODAY()), 2, 2)) - 1, """")"),"")</f>
        <v/>
      </c>
      <c r="N176" s="21" t="str">
        <f>IFERROR(__xludf.DUMMYFUNCTION("IFERROR((GOOGLEFINANCE(C176, ""price"") / INDEX(GOOGLEFINANCE(C176, ""price"", EDATE(TODAY(), -3), TODAY()), 2, 2)) - 1, """")"),"")</f>
        <v/>
      </c>
      <c r="O176" s="21" t="str">
        <f>IFERROR(__xludf.DUMMYFUNCTION("IFERROR((GOOGLEFINANCE(C176, ""price"") / INDEX(GOOGLEFINANCE(C176, ""price"", EDATE(TODAY(), -6), TODAY()), 2, 2)) - 1, """")"),"")</f>
        <v/>
      </c>
      <c r="P176" s="21" t="str">
        <f>IFERROR(__xludf.DUMMYFUNCTION("IFERROR((GOOGLEFINANCE(C176, ""price"") / INDEX(GOOGLEFINANCE(C176, ""price"", EDATE(TODAY(), -12), TODAY()), 2, 2)) - 1, """")"),"")</f>
        <v/>
      </c>
      <c r="Q176" s="6" t="str">
        <f>IFERROR(__xludf.DUMMYFUNCTION("AVERAGE(QUERY(GOOGLEFINANCE(C176, ""price"", TODAY()-80, TODAY()), ""SELECT Col2 WHERE Col2 IS NOT NULL ORDER BY Col1 DESC LIMIT 50"", 0))"),"#N/A")</f>
        <v>#N/A</v>
      </c>
      <c r="R176" s="24" t="str">
        <f>IFERROR(__xludf.DUMMYFUNCTION("IFERROR(
  LET(
    data, QUERY(GOOGLEFINANCE(C176,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GOOGLEFINANCE(C176, ""price"")) * 100,
    IF(calc=0, G176, calc)
  ), 
G176)"),"#N/A")</f>
        <v>#N/A</v>
      </c>
      <c r="S176" s="8" t="s">
        <v>15</v>
      </c>
      <c r="T176" s="26" t="str">
        <f>IFERROR(__xludf.DUMMYFUNCTION("IFERROR(TRANSPOSE(QUERY(IFERROR(SORT(GOOGLEFINANCE(C176, ""price"", WORKDAY(TODAY(), -40), TODAY()), 1, FALSE)), ""select Col2 where Col2 is not null limit 22 label Col2 ''"", 0)), """")"),"")</f>
        <v/>
      </c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8"/>
      <c r="AO176" s="28"/>
      <c r="AP176" s="29"/>
      <c r="AQ176" s="29" t="str">
        <f t="shared" ref="AQ176:BL176" si="179">T176/T$2</f>
        <v>#N/A</v>
      </c>
      <c r="AR176" s="29" t="str">
        <f t="shared" si="179"/>
        <v>#DIV/0!</v>
      </c>
      <c r="AS176" s="29" t="str">
        <f t="shared" si="179"/>
        <v>#DIV/0!</v>
      </c>
      <c r="AT176" s="29" t="str">
        <f t="shared" si="179"/>
        <v>#DIV/0!</v>
      </c>
      <c r="AU176" s="29" t="str">
        <f t="shared" si="179"/>
        <v>#DIV/0!</v>
      </c>
      <c r="AV176" s="29" t="str">
        <f t="shared" si="179"/>
        <v>#DIV/0!</v>
      </c>
      <c r="AW176" s="29" t="str">
        <f t="shared" si="179"/>
        <v>#DIV/0!</v>
      </c>
      <c r="AX176" s="29" t="str">
        <f t="shared" si="179"/>
        <v>#DIV/0!</v>
      </c>
      <c r="AY176" s="29" t="str">
        <f t="shared" si="179"/>
        <v>#DIV/0!</v>
      </c>
      <c r="AZ176" s="29" t="str">
        <f t="shared" si="179"/>
        <v>#DIV/0!</v>
      </c>
      <c r="BA176" s="29" t="str">
        <f t="shared" si="179"/>
        <v>#DIV/0!</v>
      </c>
      <c r="BB176" s="29" t="str">
        <f t="shared" si="179"/>
        <v>#DIV/0!</v>
      </c>
      <c r="BC176" s="29" t="str">
        <f t="shared" si="179"/>
        <v>#DIV/0!</v>
      </c>
      <c r="BD176" s="29" t="str">
        <f t="shared" si="179"/>
        <v>#DIV/0!</v>
      </c>
      <c r="BE176" s="29" t="str">
        <f t="shared" si="179"/>
        <v>#DIV/0!</v>
      </c>
      <c r="BF176" s="29" t="str">
        <f t="shared" si="179"/>
        <v>#DIV/0!</v>
      </c>
      <c r="BG176" s="29" t="str">
        <f t="shared" si="179"/>
        <v>#DIV/0!</v>
      </c>
      <c r="BH176" s="29" t="str">
        <f t="shared" si="179"/>
        <v>#DIV/0!</v>
      </c>
      <c r="BI176" s="29" t="str">
        <f t="shared" si="179"/>
        <v>#DIV/0!</v>
      </c>
      <c r="BJ176" s="29" t="str">
        <f t="shared" si="179"/>
        <v>#DIV/0!</v>
      </c>
      <c r="BK176" s="29" t="str">
        <f t="shared" si="179"/>
        <v>#DIV/0!</v>
      </c>
      <c r="BL176" s="29" t="str">
        <f t="shared" si="179"/>
        <v>#DIV/0!</v>
      </c>
      <c r="BM176" s="29" t="str">
        <f t="shared" si="3"/>
        <v>#DIV/0!</v>
      </c>
    </row>
    <row r="177">
      <c r="A177" s="16" t="str">
        <f>IFERROR(__xludf.DUMMYFUNCTION("IFERROR(SPARKLINE(SORT(MAP(TRANSPOSE(AQ177:BL177), LAMBDA(val, IF(ISNUMBER(val), PERCENTRANK(AQ177:BL177, val)+0.01, 0))), SEQUENCE(COLUMNS(AQ177:BL177)), FALSE), {""charttype"",""column""; ""color"",""chartreuse""; ""ymin"", 0; ""ymax"", 1.01; ""highcolo"&amp;"r"", ""darkgreen""; ""lowcolor"", ""red""}), """")"),"")</f>
        <v/>
      </c>
      <c r="B177" s="17" t="str">
        <f t="shared" si="4"/>
        <v/>
      </c>
      <c r="C177" s="1" t="s">
        <v>1537</v>
      </c>
      <c r="D177" s="30" t="str">
        <f>IFERROR(__xludf.DUMMYFUNCTION("IFERROR(GOOGLEFINANCE(C177, ""NAME""))"),"Watts Water Technologies Inc")</f>
        <v>Watts Water Technologies Inc</v>
      </c>
      <c r="E177" s="30" t="s">
        <v>893</v>
      </c>
      <c r="F177" s="33" t="str">
        <f>IFERROR(__xludf.DUMMYFUNCTION("( (GOOGLEFINANCE(C177, ""price"") - Q177) / Q177 ) / (R177 / 100)"),"Loading...")</f>
        <v>Loading...</v>
      </c>
      <c r="G177" s="20" t="str">
        <f>IFERROR(__xludf.DUMMYFUNCTION("AVERAGE(ARRAYFORMULA(100 * (QUERY(GOOGLEFINANCE(C177, ""high"", TODAY()-40, TODAY()), ""SELECT Col2 WHERE Col2 IS NOT NULL ORDER BY Col1 DESC LIMIT 20"", 0) / QUERY(GOOGLEFINANCE(C177, ""low"", TODAY()-40, TODAY()), ""SELECT Col2 WHERE Col2 IS NOT NULL OR"&amp;"DER BY Col1 DESC LIMIT 20"", 0) - 1)))"),"#N/A")</f>
        <v>#N/A</v>
      </c>
      <c r="H177" s="35" t="str">
        <f t="shared" si="6"/>
        <v/>
      </c>
      <c r="I177" s="35" t="str">
        <f t="shared" si="7"/>
        <v/>
      </c>
      <c r="J177" s="37" t="str">
        <f>IFERROR(__xludf.DUMMYFUNCTION("IFERROR(
  IF(C177="""",, 
    IFERROR(
      GOOGLEFINANCE(C177, ""price"") * GOOGLEFINANCE(C177, ""volumeavg""), 
      GOOGLEFINANCE(C177, ""price"") * AVERAGE(QUERY(GOOGLEFINANCE(C177, ""volume"", TODAY()-40, TODAY()), ""SELECT Col2 WHERE Col2 IS NOT "&amp;"NULL ORDER BY Col1 DESC LIMIT 20"", 0))
    )
  ), 
"""")"),"")</f>
        <v/>
      </c>
      <c r="K177" s="21" t="str">
        <f>IFERROR(__xludf.DUMMYFUNCTION("IFERROR(GOOGLEFINANCE(C177, ""changepct"") / 100, """")"),"")</f>
        <v/>
      </c>
      <c r="L177" s="21" t="str">
        <f>IFERROR(__xludf.DUMMYFUNCTION("IFERROR((GOOGLEFINANCE(C177, ""price"") / INDEX(GOOGLEFINANCE(C177, ""price"", TODAY()-7, TODAY()), 2, 2)) - 1, """")"),"")</f>
        <v/>
      </c>
      <c r="M177" s="21" t="str">
        <f>IFERROR(__xludf.DUMMYFUNCTION("IFERROR((GOOGLEFINANCE(C177, ""price"") / INDEX(GOOGLEFINANCE(C177, ""price"", EDATE(TODAY(), -1), TODAY()), 2, 2)) - 1, """")"),"")</f>
        <v/>
      </c>
      <c r="N177" s="21" t="str">
        <f>IFERROR(__xludf.DUMMYFUNCTION("IFERROR((GOOGLEFINANCE(C177, ""price"") / INDEX(GOOGLEFINANCE(C177, ""price"", EDATE(TODAY(), -3), TODAY()), 2, 2)) - 1, """")"),"")</f>
        <v/>
      </c>
      <c r="O177" s="21" t="str">
        <f>IFERROR(__xludf.DUMMYFUNCTION("IFERROR((GOOGLEFINANCE(C177, ""price"") / INDEX(GOOGLEFINANCE(C177, ""price"", EDATE(TODAY(), -6), TODAY()), 2, 2)) - 1, """")"),"")</f>
        <v/>
      </c>
      <c r="P177" s="21" t="str">
        <f>IFERROR(__xludf.DUMMYFUNCTION("IFERROR((GOOGLEFINANCE(C177, ""price"") / INDEX(GOOGLEFINANCE(C177, ""price"", EDATE(TODAY(), -12), TODAY()), 2, 2)) - 1, """")"),"")</f>
        <v/>
      </c>
      <c r="Q177" s="6" t="str">
        <f>IFERROR(__xludf.DUMMYFUNCTION("AVERAGE(QUERY(GOOGLEFINANCE(C177, ""price"", TODAY()-80, TODAY()), ""SELECT Col2 WHERE Col2 IS NOT NULL ORDER BY Col1 DESC LIMIT 50"", 0))"),"#N/A")</f>
        <v>#N/A</v>
      </c>
      <c r="R177" s="24" t="str">
        <f>IFERROR(__xludf.DUMMYFUNCTION("IFERROR(
  LET(
    data, QUERY(GOOGLEFINANCE(C177,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GOOGLEFINANCE(C177, ""price"")) * 100,
    IF(calc=0, G177, calc)
  ), 
G177)"),"#N/A")</f>
        <v>#N/A</v>
      </c>
      <c r="S177" s="8" t="s">
        <v>15</v>
      </c>
      <c r="T177" s="26" t="str">
        <f>IFERROR(__xludf.DUMMYFUNCTION("IFERROR(TRANSPOSE(QUERY(IFERROR(SORT(GOOGLEFINANCE(C177, ""price"", WORKDAY(TODAY(), -40), TODAY()), 1, FALSE)), ""select Col2 where Col2 is not null limit 22 label Col2 ''"", 0)), """")"),"")</f>
        <v/>
      </c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8"/>
      <c r="AO177" s="28"/>
      <c r="AP177" s="29"/>
      <c r="AQ177" s="29" t="str">
        <f t="shared" ref="AQ177:BL177" si="180">T177/T$2</f>
        <v>#N/A</v>
      </c>
      <c r="AR177" s="29" t="str">
        <f t="shared" si="180"/>
        <v>#DIV/0!</v>
      </c>
      <c r="AS177" s="29" t="str">
        <f t="shared" si="180"/>
        <v>#DIV/0!</v>
      </c>
      <c r="AT177" s="29" t="str">
        <f t="shared" si="180"/>
        <v>#DIV/0!</v>
      </c>
      <c r="AU177" s="29" t="str">
        <f t="shared" si="180"/>
        <v>#DIV/0!</v>
      </c>
      <c r="AV177" s="29" t="str">
        <f t="shared" si="180"/>
        <v>#DIV/0!</v>
      </c>
      <c r="AW177" s="29" t="str">
        <f t="shared" si="180"/>
        <v>#DIV/0!</v>
      </c>
      <c r="AX177" s="29" t="str">
        <f t="shared" si="180"/>
        <v>#DIV/0!</v>
      </c>
      <c r="AY177" s="29" t="str">
        <f t="shared" si="180"/>
        <v>#DIV/0!</v>
      </c>
      <c r="AZ177" s="29" t="str">
        <f t="shared" si="180"/>
        <v>#DIV/0!</v>
      </c>
      <c r="BA177" s="29" t="str">
        <f t="shared" si="180"/>
        <v>#DIV/0!</v>
      </c>
      <c r="BB177" s="29" t="str">
        <f t="shared" si="180"/>
        <v>#DIV/0!</v>
      </c>
      <c r="BC177" s="29" t="str">
        <f t="shared" si="180"/>
        <v>#DIV/0!</v>
      </c>
      <c r="BD177" s="29" t="str">
        <f t="shared" si="180"/>
        <v>#DIV/0!</v>
      </c>
      <c r="BE177" s="29" t="str">
        <f t="shared" si="180"/>
        <v>#DIV/0!</v>
      </c>
      <c r="BF177" s="29" t="str">
        <f t="shared" si="180"/>
        <v>#DIV/0!</v>
      </c>
      <c r="BG177" s="29" t="str">
        <f t="shared" si="180"/>
        <v>#DIV/0!</v>
      </c>
      <c r="BH177" s="29" t="str">
        <f t="shared" si="180"/>
        <v>#DIV/0!</v>
      </c>
      <c r="BI177" s="29" t="str">
        <f t="shared" si="180"/>
        <v>#DIV/0!</v>
      </c>
      <c r="BJ177" s="29" t="str">
        <f t="shared" si="180"/>
        <v>#DIV/0!</v>
      </c>
      <c r="BK177" s="29" t="str">
        <f t="shared" si="180"/>
        <v>#DIV/0!</v>
      </c>
      <c r="BL177" s="29" t="str">
        <f t="shared" si="180"/>
        <v>#DIV/0!</v>
      </c>
      <c r="BM177" s="29" t="str">
        <f t="shared" si="3"/>
        <v>#DIV/0!</v>
      </c>
    </row>
    <row r="178">
      <c r="A178" s="16" t="str">
        <f>IFERROR(__xludf.DUMMYFUNCTION("IFERROR(SPARKLINE(SORT(MAP(TRANSPOSE(AQ178:BL178), LAMBDA(val, IF(ISNUMBER(val), PERCENTRANK(AQ178:BL178, val)+0.01, 0))), SEQUENCE(COLUMNS(AQ178:BL178)), FALSE), {""charttype"",""column""; ""color"",""chartreuse""; ""ymin"", 0; ""ymax"", 1.01; ""highcolo"&amp;"r"", ""darkgreen""; ""lowcolor"", ""red""}), """")"),"")</f>
        <v/>
      </c>
      <c r="B178" s="17" t="str">
        <f t="shared" si="4"/>
        <v/>
      </c>
      <c r="C178" s="1" t="s">
        <v>1541</v>
      </c>
      <c r="D178" s="30" t="str">
        <f>IFERROR(__xludf.DUMMYFUNCTION("IFERROR(GOOGLEFINANCE(C178, ""NAME""))"),"Kelly Services Inc Class A")</f>
        <v>Kelly Services Inc Class A</v>
      </c>
      <c r="E178" s="30" t="s">
        <v>1351</v>
      </c>
      <c r="F178" s="33" t="str">
        <f>IFERROR(__xludf.DUMMYFUNCTION("( (GOOGLEFINANCE(C178, ""price"") - Q178) / Q178 ) / (R178 / 100)"),"Loading...")</f>
        <v>Loading...</v>
      </c>
      <c r="G178" s="20" t="str">
        <f>IFERROR(__xludf.DUMMYFUNCTION("AVERAGE(ARRAYFORMULA(100 * (QUERY(GOOGLEFINANCE(C178, ""high"", TODAY()-40, TODAY()), ""SELECT Col2 WHERE Col2 IS NOT NULL ORDER BY Col1 DESC LIMIT 20"", 0) / QUERY(GOOGLEFINANCE(C178, ""low"", TODAY()-40, TODAY()), ""SELECT Col2 WHERE Col2 IS NOT NULL OR"&amp;"DER BY Col1 DESC LIMIT 20"", 0) - 1)))"),"#N/A")</f>
        <v>#N/A</v>
      </c>
      <c r="H178" s="35" t="str">
        <f t="shared" si="6"/>
        <v/>
      </c>
      <c r="I178" s="35" t="str">
        <f t="shared" si="7"/>
        <v/>
      </c>
      <c r="J178" s="37" t="str">
        <f>IFERROR(__xludf.DUMMYFUNCTION("IFERROR(
  IF(C178="""",, 
    IFERROR(
      GOOGLEFINANCE(C178, ""price"") * GOOGLEFINANCE(C178, ""volumeavg""), 
      GOOGLEFINANCE(C178, ""price"") * AVERAGE(QUERY(GOOGLEFINANCE(C178, ""volume"", TODAY()-40, TODAY()), ""SELECT Col2 WHERE Col2 IS NOT "&amp;"NULL ORDER BY Col1 DESC LIMIT 20"", 0))
    )
  ), 
"""")"),"")</f>
        <v/>
      </c>
      <c r="K178" s="21" t="str">
        <f>IFERROR(__xludf.DUMMYFUNCTION("IFERROR(GOOGLEFINANCE(C178, ""changepct"") / 100, """")"),"")</f>
        <v/>
      </c>
      <c r="L178" s="21" t="str">
        <f>IFERROR(__xludf.DUMMYFUNCTION("IFERROR((GOOGLEFINANCE(C178, ""price"") / INDEX(GOOGLEFINANCE(C178, ""price"", TODAY()-7, TODAY()), 2, 2)) - 1, """")"),"")</f>
        <v/>
      </c>
      <c r="M178" s="21" t="str">
        <f>IFERROR(__xludf.DUMMYFUNCTION("IFERROR((GOOGLEFINANCE(C178, ""price"") / INDEX(GOOGLEFINANCE(C178, ""price"", EDATE(TODAY(), -1), TODAY()), 2, 2)) - 1, """")"),"")</f>
        <v/>
      </c>
      <c r="N178" s="21" t="str">
        <f>IFERROR(__xludf.DUMMYFUNCTION("IFERROR((GOOGLEFINANCE(C178, ""price"") / INDEX(GOOGLEFINANCE(C178, ""price"", EDATE(TODAY(), -3), TODAY()), 2, 2)) - 1, """")"),"")</f>
        <v/>
      </c>
      <c r="O178" s="21" t="str">
        <f>IFERROR(__xludf.DUMMYFUNCTION("IFERROR((GOOGLEFINANCE(C178, ""price"") / INDEX(GOOGLEFINANCE(C178, ""price"", EDATE(TODAY(), -6), TODAY()), 2, 2)) - 1, """")"),"")</f>
        <v/>
      </c>
      <c r="P178" s="21" t="str">
        <f>IFERROR(__xludf.DUMMYFUNCTION("IFERROR((GOOGLEFINANCE(C178, ""price"") / INDEX(GOOGLEFINANCE(C178, ""price"", EDATE(TODAY(), -12), TODAY()), 2, 2)) - 1, """")"),"")</f>
        <v/>
      </c>
      <c r="Q178" s="6" t="str">
        <f>IFERROR(__xludf.DUMMYFUNCTION("AVERAGE(QUERY(GOOGLEFINANCE(C178, ""price"", TODAY()-80, TODAY()), ""SELECT Col2 WHERE Col2 IS NOT NULL ORDER BY Col1 DESC LIMIT 50"", 0))"),"#N/A")</f>
        <v>#N/A</v>
      </c>
      <c r="R178" s="24" t="str">
        <f>IFERROR(__xludf.DUMMYFUNCTION("IFERROR(
  LET(
    data, QUERY(GOOGLEFINANCE(C178,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GOOGLEFINANCE(C178, ""price"")) * 100,
    IF(calc=0, G178, calc)
  ), 
G178)"),"#N/A")</f>
        <v>#N/A</v>
      </c>
      <c r="S178" s="8" t="s">
        <v>15</v>
      </c>
      <c r="T178" s="26" t="str">
        <f>IFERROR(__xludf.DUMMYFUNCTION("IFERROR(TRANSPOSE(QUERY(IFERROR(SORT(GOOGLEFINANCE(C178, ""price"", WORKDAY(TODAY(), -40), TODAY()), 1, FALSE)), ""select Col2 where Col2 is not null limit 22 label Col2 ''"", 0)), """")"),"")</f>
        <v/>
      </c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8"/>
      <c r="AO178" s="28"/>
      <c r="AP178" s="29"/>
      <c r="AQ178" s="29" t="str">
        <f t="shared" ref="AQ178:BL178" si="181">T178/T$2</f>
        <v>#N/A</v>
      </c>
      <c r="AR178" s="29" t="str">
        <f t="shared" si="181"/>
        <v>#DIV/0!</v>
      </c>
      <c r="AS178" s="29" t="str">
        <f t="shared" si="181"/>
        <v>#DIV/0!</v>
      </c>
      <c r="AT178" s="29" t="str">
        <f t="shared" si="181"/>
        <v>#DIV/0!</v>
      </c>
      <c r="AU178" s="29" t="str">
        <f t="shared" si="181"/>
        <v>#DIV/0!</v>
      </c>
      <c r="AV178" s="29" t="str">
        <f t="shared" si="181"/>
        <v>#DIV/0!</v>
      </c>
      <c r="AW178" s="29" t="str">
        <f t="shared" si="181"/>
        <v>#DIV/0!</v>
      </c>
      <c r="AX178" s="29" t="str">
        <f t="shared" si="181"/>
        <v>#DIV/0!</v>
      </c>
      <c r="AY178" s="29" t="str">
        <f t="shared" si="181"/>
        <v>#DIV/0!</v>
      </c>
      <c r="AZ178" s="29" t="str">
        <f t="shared" si="181"/>
        <v>#DIV/0!</v>
      </c>
      <c r="BA178" s="29" t="str">
        <f t="shared" si="181"/>
        <v>#DIV/0!</v>
      </c>
      <c r="BB178" s="29" t="str">
        <f t="shared" si="181"/>
        <v>#DIV/0!</v>
      </c>
      <c r="BC178" s="29" t="str">
        <f t="shared" si="181"/>
        <v>#DIV/0!</v>
      </c>
      <c r="BD178" s="29" t="str">
        <f t="shared" si="181"/>
        <v>#DIV/0!</v>
      </c>
      <c r="BE178" s="29" t="str">
        <f t="shared" si="181"/>
        <v>#DIV/0!</v>
      </c>
      <c r="BF178" s="29" t="str">
        <f t="shared" si="181"/>
        <v>#DIV/0!</v>
      </c>
      <c r="BG178" s="29" t="str">
        <f t="shared" si="181"/>
        <v>#DIV/0!</v>
      </c>
      <c r="BH178" s="29" t="str">
        <f t="shared" si="181"/>
        <v>#DIV/0!</v>
      </c>
      <c r="BI178" s="29" t="str">
        <f t="shared" si="181"/>
        <v>#DIV/0!</v>
      </c>
      <c r="BJ178" s="29" t="str">
        <f t="shared" si="181"/>
        <v>#DIV/0!</v>
      </c>
      <c r="BK178" s="29" t="str">
        <f t="shared" si="181"/>
        <v>#DIV/0!</v>
      </c>
      <c r="BL178" s="29" t="str">
        <f t="shared" si="181"/>
        <v>#DIV/0!</v>
      </c>
      <c r="BM178" s="29" t="str">
        <f t="shared" si="3"/>
        <v>#DIV/0!</v>
      </c>
    </row>
    <row r="179">
      <c r="A179" s="16" t="str">
        <f>IFERROR(__xludf.DUMMYFUNCTION("IFERROR(SPARKLINE(SORT(MAP(TRANSPOSE(AQ179:BL179), LAMBDA(val, IF(ISNUMBER(val), PERCENTRANK(AQ179:BL179, val)+0.01, 0))), SEQUENCE(COLUMNS(AQ179:BL179)), FALSE), {""charttype"",""column""; ""color"",""chartreuse""; ""ymin"", 0; ""ymax"", 1.01; ""highcolo"&amp;"r"", ""darkgreen""; ""lowcolor"", ""red""}), """")"),"")</f>
        <v/>
      </c>
      <c r="B179" s="17" t="str">
        <f t="shared" si="4"/>
        <v/>
      </c>
      <c r="C179" s="1" t="s">
        <v>1545</v>
      </c>
      <c r="D179" s="30" t="str">
        <f>IFERROR(__xludf.DUMMYFUNCTION("IFERROR(GOOGLEFINANCE(C179, ""NAME""))"),"Capital Clean Energy Carriers Corp")</f>
        <v>Capital Clean Energy Carriers Corp</v>
      </c>
      <c r="E179" s="30" t="s">
        <v>834</v>
      </c>
      <c r="F179" s="33" t="str">
        <f>IFERROR(__xludf.DUMMYFUNCTION("( (GOOGLEFINANCE(C179, ""price"") - Q179) / Q179 ) / (R179 / 100)"),"Loading...")</f>
        <v>Loading...</v>
      </c>
      <c r="G179" s="20" t="str">
        <f>IFERROR(__xludf.DUMMYFUNCTION("AVERAGE(ARRAYFORMULA(100 * (QUERY(GOOGLEFINANCE(C179, ""high"", TODAY()-40, TODAY()), ""SELECT Col2 WHERE Col2 IS NOT NULL ORDER BY Col1 DESC LIMIT 20"", 0) / QUERY(GOOGLEFINANCE(C179, ""low"", TODAY()-40, TODAY()), ""SELECT Col2 WHERE Col2 IS NOT NULL OR"&amp;"DER BY Col1 DESC LIMIT 20"", 0) - 1)))"),"#N/A")</f>
        <v>#N/A</v>
      </c>
      <c r="H179" s="35" t="str">
        <f t="shared" si="6"/>
        <v/>
      </c>
      <c r="I179" s="35" t="str">
        <f t="shared" si="7"/>
        <v/>
      </c>
      <c r="J179" s="37" t="str">
        <f>IFERROR(__xludf.DUMMYFUNCTION("IFERROR(
  IF(C179="""",, 
    IFERROR(
      GOOGLEFINANCE(C179, ""price"") * GOOGLEFINANCE(C179, ""volumeavg""), 
      GOOGLEFINANCE(C179, ""price"") * AVERAGE(QUERY(GOOGLEFINANCE(C179, ""volume"", TODAY()-40, TODAY()), ""SELECT Col2 WHERE Col2 IS NOT "&amp;"NULL ORDER BY Col1 DESC LIMIT 20"", 0))
    )
  ), 
"""")"),"")</f>
        <v/>
      </c>
      <c r="K179" s="21" t="str">
        <f>IFERROR(__xludf.DUMMYFUNCTION("IFERROR(GOOGLEFINANCE(C179, ""changepct"") / 100, """")"),"")</f>
        <v/>
      </c>
      <c r="L179" s="21" t="str">
        <f>IFERROR(__xludf.DUMMYFUNCTION("IFERROR((GOOGLEFINANCE(C179, ""price"") / INDEX(GOOGLEFINANCE(C179, ""price"", TODAY()-7, TODAY()), 2, 2)) - 1, """")"),"")</f>
        <v/>
      </c>
      <c r="M179" s="21" t="str">
        <f>IFERROR(__xludf.DUMMYFUNCTION("IFERROR((GOOGLEFINANCE(C179, ""price"") / INDEX(GOOGLEFINANCE(C179, ""price"", EDATE(TODAY(), -1), TODAY()), 2, 2)) - 1, """")"),"")</f>
        <v/>
      </c>
      <c r="N179" s="21" t="str">
        <f>IFERROR(__xludf.DUMMYFUNCTION("IFERROR((GOOGLEFINANCE(C179, ""price"") / INDEX(GOOGLEFINANCE(C179, ""price"", EDATE(TODAY(), -3), TODAY()), 2, 2)) - 1, """")"),"")</f>
        <v/>
      </c>
      <c r="O179" s="21" t="str">
        <f>IFERROR(__xludf.DUMMYFUNCTION("IFERROR((GOOGLEFINANCE(C179, ""price"") / INDEX(GOOGLEFINANCE(C179, ""price"", EDATE(TODAY(), -6), TODAY()), 2, 2)) - 1, """")"),"")</f>
        <v/>
      </c>
      <c r="P179" s="21" t="str">
        <f>IFERROR(__xludf.DUMMYFUNCTION("IFERROR((GOOGLEFINANCE(C179, ""price"") / INDEX(GOOGLEFINANCE(C179, ""price"", EDATE(TODAY(), -12), TODAY()), 2, 2)) - 1, """")"),"")</f>
        <v/>
      </c>
      <c r="Q179" s="6" t="str">
        <f>IFERROR(__xludf.DUMMYFUNCTION("AVERAGE(QUERY(GOOGLEFINANCE(C179, ""price"", TODAY()-80, TODAY()), ""SELECT Col2 WHERE Col2 IS NOT NULL ORDER BY Col1 DESC LIMIT 50"", 0))"),"#N/A")</f>
        <v>#N/A</v>
      </c>
      <c r="R179" s="24" t="str">
        <f>IFERROR(__xludf.DUMMYFUNCTION("IFERROR(
  LET(
    data, QUERY(GOOGLEFINANCE(C179,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GOOGLEFINANCE(C179, ""price"")) * 100,
    IF(calc=0, G179, calc)
  ), 
G179)"),"#N/A")</f>
        <v>#N/A</v>
      </c>
      <c r="S179" s="8" t="s">
        <v>15</v>
      </c>
      <c r="T179" s="26" t="str">
        <f>IFERROR(__xludf.DUMMYFUNCTION("IFERROR(TRANSPOSE(QUERY(IFERROR(SORT(GOOGLEFINANCE(C179, ""price"", WORKDAY(TODAY(), -40), TODAY()), 1, FALSE)), ""select Col2 where Col2 is not null limit 22 label Col2 ''"", 0)), """")"),"")</f>
        <v/>
      </c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8"/>
      <c r="AO179" s="28"/>
      <c r="AP179" s="29"/>
      <c r="AQ179" s="29" t="str">
        <f t="shared" ref="AQ179:BL179" si="182">T179/T$2</f>
        <v>#N/A</v>
      </c>
      <c r="AR179" s="29" t="str">
        <f t="shared" si="182"/>
        <v>#DIV/0!</v>
      </c>
      <c r="AS179" s="29" t="str">
        <f t="shared" si="182"/>
        <v>#DIV/0!</v>
      </c>
      <c r="AT179" s="29" t="str">
        <f t="shared" si="182"/>
        <v>#DIV/0!</v>
      </c>
      <c r="AU179" s="29" t="str">
        <f t="shared" si="182"/>
        <v>#DIV/0!</v>
      </c>
      <c r="AV179" s="29" t="str">
        <f t="shared" si="182"/>
        <v>#DIV/0!</v>
      </c>
      <c r="AW179" s="29" t="str">
        <f t="shared" si="182"/>
        <v>#DIV/0!</v>
      </c>
      <c r="AX179" s="29" t="str">
        <f t="shared" si="182"/>
        <v>#DIV/0!</v>
      </c>
      <c r="AY179" s="29" t="str">
        <f t="shared" si="182"/>
        <v>#DIV/0!</v>
      </c>
      <c r="AZ179" s="29" t="str">
        <f t="shared" si="182"/>
        <v>#DIV/0!</v>
      </c>
      <c r="BA179" s="29" t="str">
        <f t="shared" si="182"/>
        <v>#DIV/0!</v>
      </c>
      <c r="BB179" s="29" t="str">
        <f t="shared" si="182"/>
        <v>#DIV/0!</v>
      </c>
      <c r="BC179" s="29" t="str">
        <f t="shared" si="182"/>
        <v>#DIV/0!</v>
      </c>
      <c r="BD179" s="29" t="str">
        <f t="shared" si="182"/>
        <v>#DIV/0!</v>
      </c>
      <c r="BE179" s="29" t="str">
        <f t="shared" si="182"/>
        <v>#DIV/0!</v>
      </c>
      <c r="BF179" s="29" t="str">
        <f t="shared" si="182"/>
        <v>#DIV/0!</v>
      </c>
      <c r="BG179" s="29" t="str">
        <f t="shared" si="182"/>
        <v>#DIV/0!</v>
      </c>
      <c r="BH179" s="29" t="str">
        <f t="shared" si="182"/>
        <v>#DIV/0!</v>
      </c>
      <c r="BI179" s="29" t="str">
        <f t="shared" si="182"/>
        <v>#DIV/0!</v>
      </c>
      <c r="BJ179" s="29" t="str">
        <f t="shared" si="182"/>
        <v>#DIV/0!</v>
      </c>
      <c r="BK179" s="29" t="str">
        <f t="shared" si="182"/>
        <v>#DIV/0!</v>
      </c>
      <c r="BL179" s="29" t="str">
        <f t="shared" si="182"/>
        <v>#DIV/0!</v>
      </c>
      <c r="BM179" s="29" t="str">
        <f t="shared" si="3"/>
        <v>#DIV/0!</v>
      </c>
    </row>
    <row r="180">
      <c r="A180" s="16" t="str">
        <f>IFERROR(__xludf.DUMMYFUNCTION("IFERROR(SPARKLINE(SORT(MAP(TRANSPOSE(AQ180:BL180), LAMBDA(val, IF(ISNUMBER(val), PERCENTRANK(AQ180:BL180, val)+0.01, 0))), SEQUENCE(COLUMNS(AQ180:BL180)), FALSE), {""charttype"",""column""; ""color"",""chartreuse""; ""ymin"", 0; ""ymax"", 1.01; ""highcolo"&amp;"r"", ""darkgreen""; ""lowcolor"", ""red""}), """")"),"")</f>
        <v/>
      </c>
      <c r="B180" s="17" t="str">
        <f t="shared" si="4"/>
        <v/>
      </c>
      <c r="C180" s="1" t="s">
        <v>1548</v>
      </c>
      <c r="D180" s="30" t="str">
        <f>IFERROR(__xludf.DUMMYFUNCTION("IFERROR(GOOGLEFINANCE(C180, ""NAME""))"),"Curtiss-Wright Corp")</f>
        <v>Curtiss-Wright Corp</v>
      </c>
      <c r="E180" s="30" t="s">
        <v>839</v>
      </c>
      <c r="F180" s="33" t="str">
        <f>IFERROR(__xludf.DUMMYFUNCTION("( (GOOGLEFINANCE(C180, ""price"") - Q180) / Q180 ) / (R180 / 100)"),"Loading...")</f>
        <v>Loading...</v>
      </c>
      <c r="G180" s="20" t="str">
        <f>IFERROR(__xludf.DUMMYFUNCTION("AVERAGE(ARRAYFORMULA(100 * (QUERY(GOOGLEFINANCE(C180, ""high"", TODAY()-40, TODAY()), ""SELECT Col2 WHERE Col2 IS NOT NULL ORDER BY Col1 DESC LIMIT 20"", 0) / QUERY(GOOGLEFINANCE(C180, ""low"", TODAY()-40, TODAY()), ""SELECT Col2 WHERE Col2 IS NOT NULL OR"&amp;"DER BY Col1 DESC LIMIT 20"", 0) - 1)))"),"#N/A")</f>
        <v>#N/A</v>
      </c>
      <c r="H180" s="35" t="str">
        <f t="shared" si="6"/>
        <v/>
      </c>
      <c r="I180" s="35" t="str">
        <f t="shared" si="7"/>
        <v/>
      </c>
      <c r="J180" s="37" t="str">
        <f>IFERROR(__xludf.DUMMYFUNCTION("IFERROR(
  IF(C180="""",, 
    IFERROR(
      GOOGLEFINANCE(C180, ""price"") * GOOGLEFINANCE(C180, ""volumeavg""), 
      GOOGLEFINANCE(C180, ""price"") * AVERAGE(QUERY(GOOGLEFINANCE(C180, ""volume"", TODAY()-40, TODAY()), ""SELECT Col2 WHERE Col2 IS NOT "&amp;"NULL ORDER BY Col1 DESC LIMIT 20"", 0))
    )
  ), 
"""")"),"")</f>
        <v/>
      </c>
      <c r="K180" s="21" t="str">
        <f>IFERROR(__xludf.DUMMYFUNCTION("IFERROR(GOOGLEFINANCE(C180, ""changepct"") / 100, """")"),"")</f>
        <v/>
      </c>
      <c r="L180" s="21" t="str">
        <f>IFERROR(__xludf.DUMMYFUNCTION("IFERROR((GOOGLEFINANCE(C180, ""price"") / INDEX(GOOGLEFINANCE(C180, ""price"", TODAY()-7, TODAY()), 2, 2)) - 1, """")"),"")</f>
        <v/>
      </c>
      <c r="M180" s="21" t="str">
        <f>IFERROR(__xludf.DUMMYFUNCTION("IFERROR((GOOGLEFINANCE(C180, ""price"") / INDEX(GOOGLEFINANCE(C180, ""price"", EDATE(TODAY(), -1), TODAY()), 2, 2)) - 1, """")"),"")</f>
        <v/>
      </c>
      <c r="N180" s="21" t="str">
        <f>IFERROR(__xludf.DUMMYFUNCTION("IFERROR((GOOGLEFINANCE(C180, ""price"") / INDEX(GOOGLEFINANCE(C180, ""price"", EDATE(TODAY(), -3), TODAY()), 2, 2)) - 1, """")"),"")</f>
        <v/>
      </c>
      <c r="O180" s="21" t="str">
        <f>IFERROR(__xludf.DUMMYFUNCTION("IFERROR((GOOGLEFINANCE(C180, ""price"") / INDEX(GOOGLEFINANCE(C180, ""price"", EDATE(TODAY(), -6), TODAY()), 2, 2)) - 1, """")"),"")</f>
        <v/>
      </c>
      <c r="P180" s="21" t="str">
        <f>IFERROR(__xludf.DUMMYFUNCTION("IFERROR((GOOGLEFINANCE(C180, ""price"") / INDEX(GOOGLEFINANCE(C180, ""price"", EDATE(TODAY(), -12), TODAY()), 2, 2)) - 1, """")"),"")</f>
        <v/>
      </c>
      <c r="Q180" s="6" t="str">
        <f>IFERROR(__xludf.DUMMYFUNCTION("AVERAGE(QUERY(GOOGLEFINANCE(C180, ""price"", TODAY()-80, TODAY()), ""SELECT Col2 WHERE Col2 IS NOT NULL ORDER BY Col1 DESC LIMIT 50"", 0))"),"#N/A")</f>
        <v>#N/A</v>
      </c>
      <c r="R180" s="24" t="str">
        <f>IFERROR(__xludf.DUMMYFUNCTION("IFERROR(
  LET(
    data, QUERY(GOOGLEFINANCE(C180,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GOOGLEFINANCE(C180, ""price"")) * 100,
    IF(calc=0, G180, calc)
  ), 
G180)"),"#N/A")</f>
        <v>#N/A</v>
      </c>
      <c r="S180" s="8" t="s">
        <v>15</v>
      </c>
      <c r="T180" s="26" t="str">
        <f>IFERROR(__xludf.DUMMYFUNCTION("IFERROR(TRANSPOSE(QUERY(IFERROR(SORT(GOOGLEFINANCE(C180, ""price"", WORKDAY(TODAY(), -40), TODAY()), 1, FALSE)), ""select Col2 where Col2 is not null limit 22 label Col2 ''"", 0)), """")"),"")</f>
        <v/>
      </c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8"/>
      <c r="AO180" s="28"/>
      <c r="AP180" s="29"/>
      <c r="AQ180" s="29" t="str">
        <f t="shared" ref="AQ180:BL180" si="183">T180/T$2</f>
        <v>#N/A</v>
      </c>
      <c r="AR180" s="29" t="str">
        <f t="shared" si="183"/>
        <v>#DIV/0!</v>
      </c>
      <c r="AS180" s="29" t="str">
        <f t="shared" si="183"/>
        <v>#DIV/0!</v>
      </c>
      <c r="AT180" s="29" t="str">
        <f t="shared" si="183"/>
        <v>#DIV/0!</v>
      </c>
      <c r="AU180" s="29" t="str">
        <f t="shared" si="183"/>
        <v>#DIV/0!</v>
      </c>
      <c r="AV180" s="29" t="str">
        <f t="shared" si="183"/>
        <v>#DIV/0!</v>
      </c>
      <c r="AW180" s="29" t="str">
        <f t="shared" si="183"/>
        <v>#DIV/0!</v>
      </c>
      <c r="AX180" s="29" t="str">
        <f t="shared" si="183"/>
        <v>#DIV/0!</v>
      </c>
      <c r="AY180" s="29" t="str">
        <f t="shared" si="183"/>
        <v>#DIV/0!</v>
      </c>
      <c r="AZ180" s="29" t="str">
        <f t="shared" si="183"/>
        <v>#DIV/0!</v>
      </c>
      <c r="BA180" s="29" t="str">
        <f t="shared" si="183"/>
        <v>#DIV/0!</v>
      </c>
      <c r="BB180" s="29" t="str">
        <f t="shared" si="183"/>
        <v>#DIV/0!</v>
      </c>
      <c r="BC180" s="29" t="str">
        <f t="shared" si="183"/>
        <v>#DIV/0!</v>
      </c>
      <c r="BD180" s="29" t="str">
        <f t="shared" si="183"/>
        <v>#DIV/0!</v>
      </c>
      <c r="BE180" s="29" t="str">
        <f t="shared" si="183"/>
        <v>#DIV/0!</v>
      </c>
      <c r="BF180" s="29" t="str">
        <f t="shared" si="183"/>
        <v>#DIV/0!</v>
      </c>
      <c r="BG180" s="29" t="str">
        <f t="shared" si="183"/>
        <v>#DIV/0!</v>
      </c>
      <c r="BH180" s="29" t="str">
        <f t="shared" si="183"/>
        <v>#DIV/0!</v>
      </c>
      <c r="BI180" s="29" t="str">
        <f t="shared" si="183"/>
        <v>#DIV/0!</v>
      </c>
      <c r="BJ180" s="29" t="str">
        <f t="shared" si="183"/>
        <v>#DIV/0!</v>
      </c>
      <c r="BK180" s="29" t="str">
        <f t="shared" si="183"/>
        <v>#DIV/0!</v>
      </c>
      <c r="BL180" s="29" t="str">
        <f t="shared" si="183"/>
        <v>#DIV/0!</v>
      </c>
      <c r="BM180" s="29" t="str">
        <f t="shared" si="3"/>
        <v>#DIV/0!</v>
      </c>
    </row>
    <row r="181">
      <c r="A181" s="16" t="str">
        <f>IFERROR(__xludf.DUMMYFUNCTION("IFERROR(SPARKLINE(SORT(MAP(TRANSPOSE(AQ181:BL181), LAMBDA(val, IF(ISNUMBER(val), PERCENTRANK(AQ181:BL181, val)+0.01, 0))), SEQUENCE(COLUMNS(AQ181:BL181)), FALSE), {""charttype"",""column""; ""color"",""chartreuse""; ""ymin"", 0; ""ymax"", 1.01; ""highcolo"&amp;"r"", ""darkgreen""; ""lowcolor"", ""red""}), """")"),"")</f>
        <v/>
      </c>
      <c r="B181" s="17" t="str">
        <f t="shared" si="4"/>
        <v/>
      </c>
      <c r="C181" s="1" t="s">
        <v>1552</v>
      </c>
      <c r="D181" s="30" t="str">
        <f>IFERROR(__xludf.DUMMYFUNCTION("IFERROR(GOOGLEFINANCE(C181, ""NAME""))"),"Insteel Industries Inc")</f>
        <v>Insteel Industries Inc</v>
      </c>
      <c r="E181" s="30" t="s">
        <v>847</v>
      </c>
      <c r="F181" s="33" t="str">
        <f>IFERROR(__xludf.DUMMYFUNCTION("( (GOOGLEFINANCE(C181, ""price"") - Q181) / Q181 ) / (R181 / 100)"),"Loading...")</f>
        <v>Loading...</v>
      </c>
      <c r="G181" s="20" t="str">
        <f>IFERROR(__xludf.DUMMYFUNCTION("AVERAGE(ARRAYFORMULA(100 * (QUERY(GOOGLEFINANCE(C181, ""high"", TODAY()-40, TODAY()), ""SELECT Col2 WHERE Col2 IS NOT NULL ORDER BY Col1 DESC LIMIT 20"", 0) / QUERY(GOOGLEFINANCE(C181, ""low"", TODAY()-40, TODAY()), ""SELECT Col2 WHERE Col2 IS NOT NULL OR"&amp;"DER BY Col1 DESC LIMIT 20"", 0) - 1)))"),"#N/A")</f>
        <v>#N/A</v>
      </c>
      <c r="H181" s="35" t="str">
        <f t="shared" si="6"/>
        <v/>
      </c>
      <c r="I181" s="35" t="str">
        <f t="shared" si="7"/>
        <v/>
      </c>
      <c r="J181" s="37" t="str">
        <f>IFERROR(__xludf.DUMMYFUNCTION("IFERROR(
  IF(C181="""",, 
    IFERROR(
      GOOGLEFINANCE(C181, ""price"") * GOOGLEFINANCE(C181, ""volumeavg""), 
      GOOGLEFINANCE(C181, ""price"") * AVERAGE(QUERY(GOOGLEFINANCE(C181, ""volume"", TODAY()-40, TODAY()), ""SELECT Col2 WHERE Col2 IS NOT "&amp;"NULL ORDER BY Col1 DESC LIMIT 20"", 0))
    )
  ), 
"""")"),"")</f>
        <v/>
      </c>
      <c r="K181" s="21" t="str">
        <f>IFERROR(__xludf.DUMMYFUNCTION("IFERROR(GOOGLEFINANCE(C181, ""changepct"") / 100, """")"),"")</f>
        <v/>
      </c>
      <c r="L181" s="21" t="str">
        <f>IFERROR(__xludf.DUMMYFUNCTION("IFERROR((GOOGLEFINANCE(C181, ""price"") / INDEX(GOOGLEFINANCE(C181, ""price"", TODAY()-7, TODAY()), 2, 2)) - 1, """")"),"")</f>
        <v/>
      </c>
      <c r="M181" s="21" t="str">
        <f>IFERROR(__xludf.DUMMYFUNCTION("IFERROR((GOOGLEFINANCE(C181, ""price"") / INDEX(GOOGLEFINANCE(C181, ""price"", EDATE(TODAY(), -1), TODAY()), 2, 2)) - 1, """")"),"")</f>
        <v/>
      </c>
      <c r="N181" s="21" t="str">
        <f>IFERROR(__xludf.DUMMYFUNCTION("IFERROR((GOOGLEFINANCE(C181, ""price"") / INDEX(GOOGLEFINANCE(C181, ""price"", EDATE(TODAY(), -3), TODAY()), 2, 2)) - 1, """")"),"")</f>
        <v/>
      </c>
      <c r="O181" s="21" t="str">
        <f>IFERROR(__xludf.DUMMYFUNCTION("IFERROR((GOOGLEFINANCE(C181, ""price"") / INDEX(GOOGLEFINANCE(C181, ""price"", EDATE(TODAY(), -6), TODAY()), 2, 2)) - 1, """")"),"")</f>
        <v/>
      </c>
      <c r="P181" s="21" t="str">
        <f>IFERROR(__xludf.DUMMYFUNCTION("IFERROR((GOOGLEFINANCE(C181, ""price"") / INDEX(GOOGLEFINANCE(C181, ""price"", EDATE(TODAY(), -12), TODAY()), 2, 2)) - 1, """")"),"")</f>
        <v/>
      </c>
      <c r="Q181" s="6" t="str">
        <f>IFERROR(__xludf.DUMMYFUNCTION("AVERAGE(QUERY(GOOGLEFINANCE(C181, ""price"", TODAY()-80, TODAY()), ""SELECT Col2 WHERE Col2 IS NOT NULL ORDER BY Col1 DESC LIMIT 50"", 0))"),"#N/A")</f>
        <v>#N/A</v>
      </c>
      <c r="R181" s="24" t="str">
        <f>IFERROR(__xludf.DUMMYFUNCTION("IFERROR(
  LET(
    data, QUERY(GOOGLEFINANCE(C181,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GOOGLEFINANCE(C181, ""price"")) * 100,
    IF(calc=0, G181, calc)
  ), 
G181)"),"#N/A")</f>
        <v>#N/A</v>
      </c>
      <c r="S181" s="8" t="s">
        <v>15</v>
      </c>
      <c r="T181" s="26" t="str">
        <f>IFERROR(__xludf.DUMMYFUNCTION("IFERROR(TRANSPOSE(QUERY(IFERROR(SORT(GOOGLEFINANCE(C181, ""price"", WORKDAY(TODAY(), -40), TODAY()), 1, FALSE)), ""select Col2 where Col2 is not null limit 22 label Col2 ''"", 0)), """")"),"")</f>
        <v/>
      </c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8"/>
      <c r="AO181" s="28"/>
      <c r="AP181" s="29"/>
      <c r="AQ181" s="29" t="str">
        <f t="shared" ref="AQ181:BL181" si="184">T181/T$2</f>
        <v>#N/A</v>
      </c>
      <c r="AR181" s="29" t="str">
        <f t="shared" si="184"/>
        <v>#DIV/0!</v>
      </c>
      <c r="AS181" s="29" t="str">
        <f t="shared" si="184"/>
        <v>#DIV/0!</v>
      </c>
      <c r="AT181" s="29" t="str">
        <f t="shared" si="184"/>
        <v>#DIV/0!</v>
      </c>
      <c r="AU181" s="29" t="str">
        <f t="shared" si="184"/>
        <v>#DIV/0!</v>
      </c>
      <c r="AV181" s="29" t="str">
        <f t="shared" si="184"/>
        <v>#DIV/0!</v>
      </c>
      <c r="AW181" s="29" t="str">
        <f t="shared" si="184"/>
        <v>#DIV/0!</v>
      </c>
      <c r="AX181" s="29" t="str">
        <f t="shared" si="184"/>
        <v>#DIV/0!</v>
      </c>
      <c r="AY181" s="29" t="str">
        <f t="shared" si="184"/>
        <v>#DIV/0!</v>
      </c>
      <c r="AZ181" s="29" t="str">
        <f t="shared" si="184"/>
        <v>#DIV/0!</v>
      </c>
      <c r="BA181" s="29" t="str">
        <f t="shared" si="184"/>
        <v>#DIV/0!</v>
      </c>
      <c r="BB181" s="29" t="str">
        <f t="shared" si="184"/>
        <v>#DIV/0!</v>
      </c>
      <c r="BC181" s="29" t="str">
        <f t="shared" si="184"/>
        <v>#DIV/0!</v>
      </c>
      <c r="BD181" s="29" t="str">
        <f t="shared" si="184"/>
        <v>#DIV/0!</v>
      </c>
      <c r="BE181" s="29" t="str">
        <f t="shared" si="184"/>
        <v>#DIV/0!</v>
      </c>
      <c r="BF181" s="29" t="str">
        <f t="shared" si="184"/>
        <v>#DIV/0!</v>
      </c>
      <c r="BG181" s="29" t="str">
        <f t="shared" si="184"/>
        <v>#DIV/0!</v>
      </c>
      <c r="BH181" s="29" t="str">
        <f t="shared" si="184"/>
        <v>#DIV/0!</v>
      </c>
      <c r="BI181" s="29" t="str">
        <f t="shared" si="184"/>
        <v>#DIV/0!</v>
      </c>
      <c r="BJ181" s="29" t="str">
        <f t="shared" si="184"/>
        <v>#DIV/0!</v>
      </c>
      <c r="BK181" s="29" t="str">
        <f t="shared" si="184"/>
        <v>#DIV/0!</v>
      </c>
      <c r="BL181" s="29" t="str">
        <f t="shared" si="184"/>
        <v>#DIV/0!</v>
      </c>
      <c r="BM181" s="29" t="str">
        <f t="shared" si="3"/>
        <v>#DIV/0!</v>
      </c>
    </row>
    <row r="182">
      <c r="A182" s="16" t="str">
        <f>IFERROR(__xludf.DUMMYFUNCTION("IFERROR(SPARKLINE(SORT(MAP(TRANSPOSE(AQ182:BL182), LAMBDA(val, IF(ISNUMBER(val), PERCENTRANK(AQ182:BL182, val)+0.01, 0))), SEQUENCE(COLUMNS(AQ182:BL182)), FALSE), {""charttype"",""column""; ""color"",""chartreuse""; ""ymin"", 0; ""ymax"", 1.01; ""highcolo"&amp;"r"", ""darkgreen""; ""lowcolor"", ""red""}), """")"),"")</f>
        <v/>
      </c>
      <c r="B182" s="17" t="str">
        <f t="shared" si="4"/>
        <v/>
      </c>
      <c r="C182" s="1" t="s">
        <v>1555</v>
      </c>
      <c r="D182" s="30" t="str">
        <f>IFERROR(__xludf.DUMMYFUNCTION("IFERROR(GOOGLEFINANCE(C182, ""NAME""))"),"VSE Corp")</f>
        <v>VSE Corp</v>
      </c>
      <c r="E182" s="30" t="s">
        <v>839</v>
      </c>
      <c r="F182" s="33" t="str">
        <f>IFERROR(__xludf.DUMMYFUNCTION("( (GOOGLEFINANCE(C182, ""price"") - Q182) / Q182 ) / (R182 / 100)"),"Loading...")</f>
        <v>Loading...</v>
      </c>
      <c r="G182" s="20" t="str">
        <f>IFERROR(__xludf.DUMMYFUNCTION("AVERAGE(ARRAYFORMULA(100 * (QUERY(GOOGLEFINANCE(C182, ""high"", TODAY()-40, TODAY()), ""SELECT Col2 WHERE Col2 IS NOT NULL ORDER BY Col1 DESC LIMIT 20"", 0) / QUERY(GOOGLEFINANCE(C182, ""low"", TODAY()-40, TODAY()), ""SELECT Col2 WHERE Col2 IS NOT NULL OR"&amp;"DER BY Col1 DESC LIMIT 20"", 0) - 1)))"),"#N/A")</f>
        <v>#N/A</v>
      </c>
      <c r="H182" s="35" t="str">
        <f t="shared" si="6"/>
        <v/>
      </c>
      <c r="I182" s="35" t="str">
        <f t="shared" si="7"/>
        <v/>
      </c>
      <c r="J182" s="37" t="str">
        <f>IFERROR(__xludf.DUMMYFUNCTION("IFERROR(
  IF(C182="""",, 
    IFERROR(
      GOOGLEFINANCE(C182, ""price"") * GOOGLEFINANCE(C182, ""volumeavg""), 
      GOOGLEFINANCE(C182, ""price"") * AVERAGE(QUERY(GOOGLEFINANCE(C182, ""volume"", TODAY()-40, TODAY()), ""SELECT Col2 WHERE Col2 IS NOT "&amp;"NULL ORDER BY Col1 DESC LIMIT 20"", 0))
    )
  ), 
"""")"),"")</f>
        <v/>
      </c>
      <c r="K182" s="21" t="str">
        <f>IFERROR(__xludf.DUMMYFUNCTION("IFERROR(GOOGLEFINANCE(C182, ""changepct"") / 100, """")"),"")</f>
        <v/>
      </c>
      <c r="L182" s="21" t="str">
        <f>IFERROR(__xludf.DUMMYFUNCTION("IFERROR((GOOGLEFINANCE(C182, ""price"") / INDEX(GOOGLEFINANCE(C182, ""price"", TODAY()-7, TODAY()), 2, 2)) - 1, """")"),"")</f>
        <v/>
      </c>
      <c r="M182" s="21" t="str">
        <f>IFERROR(__xludf.DUMMYFUNCTION("IFERROR((GOOGLEFINANCE(C182, ""price"") / INDEX(GOOGLEFINANCE(C182, ""price"", EDATE(TODAY(), -1), TODAY()), 2, 2)) - 1, """")"),"")</f>
        <v/>
      </c>
      <c r="N182" s="21" t="str">
        <f>IFERROR(__xludf.DUMMYFUNCTION("IFERROR((GOOGLEFINANCE(C182, ""price"") / INDEX(GOOGLEFINANCE(C182, ""price"", EDATE(TODAY(), -3), TODAY()), 2, 2)) - 1, """")"),"")</f>
        <v/>
      </c>
      <c r="O182" s="21" t="str">
        <f>IFERROR(__xludf.DUMMYFUNCTION("IFERROR((GOOGLEFINANCE(C182, ""price"") / INDEX(GOOGLEFINANCE(C182, ""price"", EDATE(TODAY(), -6), TODAY()), 2, 2)) - 1, """")"),"")</f>
        <v/>
      </c>
      <c r="P182" s="21" t="str">
        <f>IFERROR(__xludf.DUMMYFUNCTION("IFERROR((GOOGLEFINANCE(C182, ""price"") / INDEX(GOOGLEFINANCE(C182, ""price"", EDATE(TODAY(), -12), TODAY()), 2, 2)) - 1, """")"),"")</f>
        <v/>
      </c>
      <c r="Q182" s="6" t="str">
        <f>IFERROR(__xludf.DUMMYFUNCTION("AVERAGE(QUERY(GOOGLEFINANCE(C182, ""price"", TODAY()-80, TODAY()), ""SELECT Col2 WHERE Col2 IS NOT NULL ORDER BY Col1 DESC LIMIT 50"", 0))"),"#N/A")</f>
        <v>#N/A</v>
      </c>
      <c r="R182" s="24" t="str">
        <f>IFERROR(__xludf.DUMMYFUNCTION("IFERROR(
  LET(
    data, QUERY(GOOGLEFINANCE(C182,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GOOGLEFINANCE(C182, ""price"")) * 100,
    IF(calc=0, G182, calc)
  ), 
G182)"),"#N/A")</f>
        <v>#N/A</v>
      </c>
      <c r="S182" s="8" t="s">
        <v>15</v>
      </c>
      <c r="T182" s="26" t="str">
        <f>IFERROR(__xludf.DUMMYFUNCTION("IFERROR(TRANSPOSE(QUERY(IFERROR(SORT(GOOGLEFINANCE(C182, ""price"", WORKDAY(TODAY(), -40), TODAY()), 1, FALSE)), ""select Col2 where Col2 is not null limit 22 label Col2 ''"", 0)), """")"),"")</f>
        <v/>
      </c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8"/>
      <c r="AO182" s="28"/>
      <c r="AP182" s="29"/>
      <c r="AQ182" s="29" t="str">
        <f t="shared" ref="AQ182:BL182" si="185">T182/T$2</f>
        <v>#N/A</v>
      </c>
      <c r="AR182" s="29" t="str">
        <f t="shared" si="185"/>
        <v>#DIV/0!</v>
      </c>
      <c r="AS182" s="29" t="str">
        <f t="shared" si="185"/>
        <v>#DIV/0!</v>
      </c>
      <c r="AT182" s="29" t="str">
        <f t="shared" si="185"/>
        <v>#DIV/0!</v>
      </c>
      <c r="AU182" s="29" t="str">
        <f t="shared" si="185"/>
        <v>#DIV/0!</v>
      </c>
      <c r="AV182" s="29" t="str">
        <f t="shared" si="185"/>
        <v>#DIV/0!</v>
      </c>
      <c r="AW182" s="29" t="str">
        <f t="shared" si="185"/>
        <v>#DIV/0!</v>
      </c>
      <c r="AX182" s="29" t="str">
        <f t="shared" si="185"/>
        <v>#DIV/0!</v>
      </c>
      <c r="AY182" s="29" t="str">
        <f t="shared" si="185"/>
        <v>#DIV/0!</v>
      </c>
      <c r="AZ182" s="29" t="str">
        <f t="shared" si="185"/>
        <v>#DIV/0!</v>
      </c>
      <c r="BA182" s="29" t="str">
        <f t="shared" si="185"/>
        <v>#DIV/0!</v>
      </c>
      <c r="BB182" s="29" t="str">
        <f t="shared" si="185"/>
        <v>#DIV/0!</v>
      </c>
      <c r="BC182" s="29" t="str">
        <f t="shared" si="185"/>
        <v>#DIV/0!</v>
      </c>
      <c r="BD182" s="29" t="str">
        <f t="shared" si="185"/>
        <v>#DIV/0!</v>
      </c>
      <c r="BE182" s="29" t="str">
        <f t="shared" si="185"/>
        <v>#DIV/0!</v>
      </c>
      <c r="BF182" s="29" t="str">
        <f t="shared" si="185"/>
        <v>#DIV/0!</v>
      </c>
      <c r="BG182" s="29" t="str">
        <f t="shared" si="185"/>
        <v>#DIV/0!</v>
      </c>
      <c r="BH182" s="29" t="str">
        <f t="shared" si="185"/>
        <v>#DIV/0!</v>
      </c>
      <c r="BI182" s="29" t="str">
        <f t="shared" si="185"/>
        <v>#DIV/0!</v>
      </c>
      <c r="BJ182" s="29" t="str">
        <f t="shared" si="185"/>
        <v>#DIV/0!</v>
      </c>
      <c r="BK182" s="29" t="str">
        <f t="shared" si="185"/>
        <v>#DIV/0!</v>
      </c>
      <c r="BL182" s="29" t="str">
        <f t="shared" si="185"/>
        <v>#DIV/0!</v>
      </c>
      <c r="BM182" s="29" t="str">
        <f t="shared" si="3"/>
        <v>#DIV/0!</v>
      </c>
    </row>
    <row r="183">
      <c r="A183" s="16" t="str">
        <f>IFERROR(__xludf.DUMMYFUNCTION("IFERROR(SPARKLINE(SORT(MAP(TRANSPOSE(AQ183:BL183), LAMBDA(val, IF(ISNUMBER(val), PERCENTRANK(AQ183:BL183, val)+0.01, 0))), SEQUENCE(COLUMNS(AQ183:BL183)), FALSE), {""charttype"",""column""; ""color"",""chartreuse""; ""ymin"", 0; ""ymax"", 1.01; ""highcolo"&amp;"r"", ""darkgreen""; ""lowcolor"", ""red""}), """")"),"")</f>
        <v/>
      </c>
      <c r="B183" s="17" t="str">
        <f t="shared" si="4"/>
        <v/>
      </c>
      <c r="C183" s="1" t="s">
        <v>1556</v>
      </c>
      <c r="D183" s="30" t="str">
        <f>IFERROR(__xludf.DUMMYFUNCTION("IFERROR(GOOGLEFINANCE(C183, ""NAME""))"),"Saia Inc")</f>
        <v>Saia Inc</v>
      </c>
      <c r="E183" s="30" t="s">
        <v>1317</v>
      </c>
      <c r="F183" s="33" t="str">
        <f>IFERROR(__xludf.DUMMYFUNCTION("( (GOOGLEFINANCE(C183, ""price"") - Q183) / Q183 ) / (R183 / 100)"),"Loading...")</f>
        <v>Loading...</v>
      </c>
      <c r="G183" s="20" t="str">
        <f>IFERROR(__xludf.DUMMYFUNCTION("AVERAGE(ARRAYFORMULA(100 * (QUERY(GOOGLEFINANCE(C183, ""high"", TODAY()-40, TODAY()), ""SELECT Col2 WHERE Col2 IS NOT NULL ORDER BY Col1 DESC LIMIT 20"", 0) / QUERY(GOOGLEFINANCE(C183, ""low"", TODAY()-40, TODAY()), ""SELECT Col2 WHERE Col2 IS NOT NULL OR"&amp;"DER BY Col1 DESC LIMIT 20"", 0) - 1)))"),"#N/A")</f>
        <v>#N/A</v>
      </c>
      <c r="H183" s="35" t="str">
        <f t="shared" si="6"/>
        <v/>
      </c>
      <c r="I183" s="35" t="str">
        <f t="shared" si="7"/>
        <v/>
      </c>
      <c r="J183" s="37" t="str">
        <f>IFERROR(__xludf.DUMMYFUNCTION("IFERROR(
  IF(C183="""",, 
    IFERROR(
      GOOGLEFINANCE(C183, ""price"") * GOOGLEFINANCE(C183, ""volumeavg""), 
      GOOGLEFINANCE(C183, ""price"") * AVERAGE(QUERY(GOOGLEFINANCE(C183, ""volume"", TODAY()-40, TODAY()), ""SELECT Col2 WHERE Col2 IS NOT "&amp;"NULL ORDER BY Col1 DESC LIMIT 20"", 0))
    )
  ), 
"""")"),"")</f>
        <v/>
      </c>
      <c r="K183" s="21" t="str">
        <f>IFERROR(__xludf.DUMMYFUNCTION("IFERROR(GOOGLEFINANCE(C183, ""changepct"") / 100, """")"),"")</f>
        <v/>
      </c>
      <c r="L183" s="21" t="str">
        <f>IFERROR(__xludf.DUMMYFUNCTION("IFERROR((GOOGLEFINANCE(C183, ""price"") / INDEX(GOOGLEFINANCE(C183, ""price"", TODAY()-7, TODAY()), 2, 2)) - 1, """")"),"")</f>
        <v/>
      </c>
      <c r="M183" s="21" t="str">
        <f>IFERROR(__xludf.DUMMYFUNCTION("IFERROR((GOOGLEFINANCE(C183, ""price"") / INDEX(GOOGLEFINANCE(C183, ""price"", EDATE(TODAY(), -1), TODAY()), 2, 2)) - 1, """")"),"")</f>
        <v/>
      </c>
      <c r="N183" s="21" t="str">
        <f>IFERROR(__xludf.DUMMYFUNCTION("IFERROR((GOOGLEFINANCE(C183, ""price"") / INDEX(GOOGLEFINANCE(C183, ""price"", EDATE(TODAY(), -3), TODAY()), 2, 2)) - 1, """")"),"")</f>
        <v/>
      </c>
      <c r="O183" s="21" t="str">
        <f>IFERROR(__xludf.DUMMYFUNCTION("IFERROR((GOOGLEFINANCE(C183, ""price"") / INDEX(GOOGLEFINANCE(C183, ""price"", EDATE(TODAY(), -6), TODAY()), 2, 2)) - 1, """")"),"")</f>
        <v/>
      </c>
      <c r="P183" s="21" t="str">
        <f>IFERROR(__xludf.DUMMYFUNCTION("IFERROR((GOOGLEFINANCE(C183, ""price"") / INDEX(GOOGLEFINANCE(C183, ""price"", EDATE(TODAY(), -12), TODAY()), 2, 2)) - 1, """")"),"")</f>
        <v/>
      </c>
      <c r="Q183" s="6" t="str">
        <f>IFERROR(__xludf.DUMMYFUNCTION("AVERAGE(QUERY(GOOGLEFINANCE(C183, ""price"", TODAY()-80, TODAY()), ""SELECT Col2 WHERE Col2 IS NOT NULL ORDER BY Col1 DESC LIMIT 50"", 0))"),"#N/A")</f>
        <v>#N/A</v>
      </c>
      <c r="R183" s="24" t="str">
        <f>IFERROR(__xludf.DUMMYFUNCTION("IFERROR(
  LET(
    data, QUERY(GOOGLEFINANCE(C183,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GOOGLEFINANCE(C183, ""price"")) * 100,
    IF(calc=0, G183, calc)
  ), 
G183)"),"#N/A")</f>
        <v>#N/A</v>
      </c>
      <c r="S183" s="8" t="s">
        <v>15</v>
      </c>
      <c r="T183" s="26" t="str">
        <f>IFERROR(__xludf.DUMMYFUNCTION("IFERROR(TRANSPOSE(QUERY(IFERROR(SORT(GOOGLEFINANCE(C183, ""price"", WORKDAY(TODAY(), -40), TODAY()), 1, FALSE)), ""select Col2 where Col2 is not null limit 22 label Col2 ''"", 0)), """")"),"")</f>
        <v/>
      </c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8"/>
      <c r="AO183" s="28"/>
      <c r="AP183" s="29"/>
      <c r="AQ183" s="29" t="str">
        <f t="shared" ref="AQ183:BL183" si="186">T183/T$2</f>
        <v>#N/A</v>
      </c>
      <c r="AR183" s="29" t="str">
        <f t="shared" si="186"/>
        <v>#DIV/0!</v>
      </c>
      <c r="AS183" s="29" t="str">
        <f t="shared" si="186"/>
        <v>#DIV/0!</v>
      </c>
      <c r="AT183" s="29" t="str">
        <f t="shared" si="186"/>
        <v>#DIV/0!</v>
      </c>
      <c r="AU183" s="29" t="str">
        <f t="shared" si="186"/>
        <v>#DIV/0!</v>
      </c>
      <c r="AV183" s="29" t="str">
        <f t="shared" si="186"/>
        <v>#DIV/0!</v>
      </c>
      <c r="AW183" s="29" t="str">
        <f t="shared" si="186"/>
        <v>#DIV/0!</v>
      </c>
      <c r="AX183" s="29" t="str">
        <f t="shared" si="186"/>
        <v>#DIV/0!</v>
      </c>
      <c r="AY183" s="29" t="str">
        <f t="shared" si="186"/>
        <v>#DIV/0!</v>
      </c>
      <c r="AZ183" s="29" t="str">
        <f t="shared" si="186"/>
        <v>#DIV/0!</v>
      </c>
      <c r="BA183" s="29" t="str">
        <f t="shared" si="186"/>
        <v>#DIV/0!</v>
      </c>
      <c r="BB183" s="29" t="str">
        <f t="shared" si="186"/>
        <v>#DIV/0!</v>
      </c>
      <c r="BC183" s="29" t="str">
        <f t="shared" si="186"/>
        <v>#DIV/0!</v>
      </c>
      <c r="BD183" s="29" t="str">
        <f t="shared" si="186"/>
        <v>#DIV/0!</v>
      </c>
      <c r="BE183" s="29" t="str">
        <f t="shared" si="186"/>
        <v>#DIV/0!</v>
      </c>
      <c r="BF183" s="29" t="str">
        <f t="shared" si="186"/>
        <v>#DIV/0!</v>
      </c>
      <c r="BG183" s="29" t="str">
        <f t="shared" si="186"/>
        <v>#DIV/0!</v>
      </c>
      <c r="BH183" s="29" t="str">
        <f t="shared" si="186"/>
        <v>#DIV/0!</v>
      </c>
      <c r="BI183" s="29" t="str">
        <f t="shared" si="186"/>
        <v>#DIV/0!</v>
      </c>
      <c r="BJ183" s="29" t="str">
        <f t="shared" si="186"/>
        <v>#DIV/0!</v>
      </c>
      <c r="BK183" s="29" t="str">
        <f t="shared" si="186"/>
        <v>#DIV/0!</v>
      </c>
      <c r="BL183" s="29" t="str">
        <f t="shared" si="186"/>
        <v>#DIV/0!</v>
      </c>
      <c r="BM183" s="29" t="str">
        <f t="shared" si="3"/>
        <v>#DIV/0!</v>
      </c>
    </row>
    <row r="184">
      <c r="A184" s="16" t="str">
        <f>IFERROR(__xludf.DUMMYFUNCTION("IFERROR(SPARKLINE(SORT(MAP(TRANSPOSE(AQ184:BL184), LAMBDA(val, IF(ISNUMBER(val), PERCENTRANK(AQ184:BL184, val)+0.01, 0))), SEQUENCE(COLUMNS(AQ184:BL184)), FALSE), {""charttype"",""column""; ""color"",""chartreuse""; ""ymin"", 0; ""ymax"", 1.01; ""highcolo"&amp;"r"", ""darkgreen""; ""lowcolor"", ""red""}), """")"),"")</f>
        <v/>
      </c>
      <c r="B184" s="17" t="str">
        <f t="shared" si="4"/>
        <v/>
      </c>
      <c r="C184" s="1" t="s">
        <v>1557</v>
      </c>
      <c r="D184" s="30" t="str">
        <f>IFERROR(__xludf.DUMMYFUNCTION("IFERROR(GOOGLEFINANCE(C184, ""NAME""))"),"American Battery Technology Co")</f>
        <v>American Battery Technology Co</v>
      </c>
      <c r="E184" s="30" t="s">
        <v>1371</v>
      </c>
      <c r="F184" s="33" t="str">
        <f>IFERROR(__xludf.DUMMYFUNCTION("( (GOOGLEFINANCE(C184, ""price"") - Q184) / Q184 ) / (R184 / 100)"),"Loading...")</f>
        <v>Loading...</v>
      </c>
      <c r="G184" s="20" t="str">
        <f>IFERROR(__xludf.DUMMYFUNCTION("AVERAGE(ARRAYFORMULA(100 * (QUERY(GOOGLEFINANCE(C184, ""high"", TODAY()-40, TODAY()), ""SELECT Col2 WHERE Col2 IS NOT NULL ORDER BY Col1 DESC LIMIT 20"", 0) / QUERY(GOOGLEFINANCE(C184, ""low"", TODAY()-40, TODAY()), ""SELECT Col2 WHERE Col2 IS NOT NULL OR"&amp;"DER BY Col1 DESC LIMIT 20"", 0) - 1)))"),"#N/A")</f>
        <v>#N/A</v>
      </c>
      <c r="H184" s="35" t="str">
        <f t="shared" si="6"/>
        <v/>
      </c>
      <c r="I184" s="35" t="str">
        <f t="shared" si="7"/>
        <v/>
      </c>
      <c r="J184" s="37" t="str">
        <f>IFERROR(__xludf.DUMMYFUNCTION("IFERROR(
  IF(C184="""",, 
    IFERROR(
      GOOGLEFINANCE(C184, ""price"") * GOOGLEFINANCE(C184, ""volumeavg""), 
      GOOGLEFINANCE(C184, ""price"") * AVERAGE(QUERY(GOOGLEFINANCE(C184, ""volume"", TODAY()-40, TODAY()), ""SELECT Col2 WHERE Col2 IS NOT "&amp;"NULL ORDER BY Col1 DESC LIMIT 20"", 0))
    )
  ), 
"""")"),"")</f>
        <v/>
      </c>
      <c r="K184" s="21" t="str">
        <f>IFERROR(__xludf.DUMMYFUNCTION("IFERROR(GOOGLEFINANCE(C184, ""changepct"") / 100, """")"),"")</f>
        <v/>
      </c>
      <c r="L184" s="21" t="str">
        <f>IFERROR(__xludf.DUMMYFUNCTION("IFERROR((GOOGLEFINANCE(C184, ""price"") / INDEX(GOOGLEFINANCE(C184, ""price"", TODAY()-7, TODAY()), 2, 2)) - 1, """")"),"")</f>
        <v/>
      </c>
      <c r="M184" s="21" t="str">
        <f>IFERROR(__xludf.DUMMYFUNCTION("IFERROR((GOOGLEFINANCE(C184, ""price"") / INDEX(GOOGLEFINANCE(C184, ""price"", EDATE(TODAY(), -1), TODAY()), 2, 2)) - 1, """")"),"")</f>
        <v/>
      </c>
      <c r="N184" s="21" t="str">
        <f>IFERROR(__xludf.DUMMYFUNCTION("IFERROR((GOOGLEFINANCE(C184, ""price"") / INDEX(GOOGLEFINANCE(C184, ""price"", EDATE(TODAY(), -3), TODAY()), 2, 2)) - 1, """")"),"")</f>
        <v/>
      </c>
      <c r="O184" s="21" t="str">
        <f>IFERROR(__xludf.DUMMYFUNCTION("IFERROR((GOOGLEFINANCE(C184, ""price"") / INDEX(GOOGLEFINANCE(C184, ""price"", EDATE(TODAY(), -6), TODAY()), 2, 2)) - 1, """")"),"")</f>
        <v/>
      </c>
      <c r="P184" s="21" t="str">
        <f>IFERROR(__xludf.DUMMYFUNCTION("IFERROR((GOOGLEFINANCE(C184, ""price"") / INDEX(GOOGLEFINANCE(C184, ""price"", EDATE(TODAY(), -12), TODAY()), 2, 2)) - 1, """")"),"")</f>
        <v/>
      </c>
      <c r="Q184" s="6" t="str">
        <f>IFERROR(__xludf.DUMMYFUNCTION("AVERAGE(QUERY(GOOGLEFINANCE(C184, ""price"", TODAY()-80, TODAY()), ""SELECT Col2 WHERE Col2 IS NOT NULL ORDER BY Col1 DESC LIMIT 50"", 0))"),"#N/A")</f>
        <v>#N/A</v>
      </c>
      <c r="R184" s="24" t="str">
        <f>IFERROR(__xludf.DUMMYFUNCTION("IFERROR(
  LET(
    data, QUERY(GOOGLEFINANCE(C184,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GOOGLEFINANCE(C184, ""price"")) * 100,
    IF(calc=0, G184, calc)
  ), 
G184)"),"#N/A")</f>
        <v>#N/A</v>
      </c>
      <c r="S184" s="8" t="s">
        <v>15</v>
      </c>
      <c r="T184" s="26" t="str">
        <f>IFERROR(__xludf.DUMMYFUNCTION("IFERROR(TRANSPOSE(QUERY(IFERROR(SORT(GOOGLEFINANCE(C184, ""price"", WORKDAY(TODAY(), -40), TODAY()), 1, FALSE)), ""select Col2 where Col2 is not null limit 22 label Col2 ''"", 0)), """")"),"")</f>
        <v/>
      </c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8"/>
      <c r="AO184" s="28"/>
      <c r="AP184" s="29"/>
      <c r="AQ184" s="29" t="str">
        <f t="shared" ref="AQ184:BL184" si="187">T184/T$2</f>
        <v>#N/A</v>
      </c>
      <c r="AR184" s="29" t="str">
        <f t="shared" si="187"/>
        <v>#DIV/0!</v>
      </c>
      <c r="AS184" s="29" t="str">
        <f t="shared" si="187"/>
        <v>#DIV/0!</v>
      </c>
      <c r="AT184" s="29" t="str">
        <f t="shared" si="187"/>
        <v>#DIV/0!</v>
      </c>
      <c r="AU184" s="29" t="str">
        <f t="shared" si="187"/>
        <v>#DIV/0!</v>
      </c>
      <c r="AV184" s="29" t="str">
        <f t="shared" si="187"/>
        <v>#DIV/0!</v>
      </c>
      <c r="AW184" s="29" t="str">
        <f t="shared" si="187"/>
        <v>#DIV/0!</v>
      </c>
      <c r="AX184" s="29" t="str">
        <f t="shared" si="187"/>
        <v>#DIV/0!</v>
      </c>
      <c r="AY184" s="29" t="str">
        <f t="shared" si="187"/>
        <v>#DIV/0!</v>
      </c>
      <c r="AZ184" s="29" t="str">
        <f t="shared" si="187"/>
        <v>#DIV/0!</v>
      </c>
      <c r="BA184" s="29" t="str">
        <f t="shared" si="187"/>
        <v>#DIV/0!</v>
      </c>
      <c r="BB184" s="29" t="str">
        <f t="shared" si="187"/>
        <v>#DIV/0!</v>
      </c>
      <c r="BC184" s="29" t="str">
        <f t="shared" si="187"/>
        <v>#DIV/0!</v>
      </c>
      <c r="BD184" s="29" t="str">
        <f t="shared" si="187"/>
        <v>#DIV/0!</v>
      </c>
      <c r="BE184" s="29" t="str">
        <f t="shared" si="187"/>
        <v>#DIV/0!</v>
      </c>
      <c r="BF184" s="29" t="str">
        <f t="shared" si="187"/>
        <v>#DIV/0!</v>
      </c>
      <c r="BG184" s="29" t="str">
        <f t="shared" si="187"/>
        <v>#DIV/0!</v>
      </c>
      <c r="BH184" s="29" t="str">
        <f t="shared" si="187"/>
        <v>#DIV/0!</v>
      </c>
      <c r="BI184" s="29" t="str">
        <f t="shared" si="187"/>
        <v>#DIV/0!</v>
      </c>
      <c r="BJ184" s="29" t="str">
        <f t="shared" si="187"/>
        <v>#DIV/0!</v>
      </c>
      <c r="BK184" s="29" t="str">
        <f t="shared" si="187"/>
        <v>#DIV/0!</v>
      </c>
      <c r="BL184" s="29" t="str">
        <f t="shared" si="187"/>
        <v>#DIV/0!</v>
      </c>
      <c r="BM184" s="29" t="str">
        <f t="shared" si="3"/>
        <v>#DIV/0!</v>
      </c>
    </row>
    <row r="185">
      <c r="A185" s="16" t="str">
        <f>IFERROR(__xludf.DUMMYFUNCTION("IFERROR(SPARKLINE(SORT(MAP(TRANSPOSE(AQ185:BL185), LAMBDA(val, IF(ISNUMBER(val), PERCENTRANK(AQ185:BL185, val)+0.01, 0))), SEQUENCE(COLUMNS(AQ185:BL185)), FALSE), {""charttype"",""column""; ""color"",""chartreuse""; ""ymin"", 0; ""ymax"", 1.01; ""highcolo"&amp;"r"", ""darkgreen""; ""lowcolor"", ""red""}), """")"),"")</f>
        <v/>
      </c>
      <c r="B185" s="17" t="str">
        <f t="shared" si="4"/>
        <v/>
      </c>
      <c r="C185" s="1" t="s">
        <v>1559</v>
      </c>
      <c r="D185" s="30" t="str">
        <f>IFERROR(__xludf.DUMMYFUNCTION("IFERROR(GOOGLEFINANCE(C185, ""NAME""))"),"Ryanair Holdings PLC")</f>
        <v>Ryanair Holdings PLC</v>
      </c>
      <c r="E185" s="30" t="s">
        <v>1134</v>
      </c>
      <c r="F185" s="33" t="str">
        <f>IFERROR(__xludf.DUMMYFUNCTION("( (GOOGLEFINANCE(C185, ""price"") - Q185) / Q185 ) / (R185 / 100)"),"Loading...")</f>
        <v>Loading...</v>
      </c>
      <c r="G185" s="20" t="str">
        <f>IFERROR(__xludf.DUMMYFUNCTION("AVERAGE(ARRAYFORMULA(100 * (QUERY(GOOGLEFINANCE(C185, ""high"", TODAY()-40, TODAY()), ""SELECT Col2 WHERE Col2 IS NOT NULL ORDER BY Col1 DESC LIMIT 20"", 0) / QUERY(GOOGLEFINANCE(C185, ""low"", TODAY()-40, TODAY()), ""SELECT Col2 WHERE Col2 IS NOT NULL OR"&amp;"DER BY Col1 DESC LIMIT 20"", 0) - 1)))"),"#N/A")</f>
        <v>#N/A</v>
      </c>
      <c r="H185" s="35" t="str">
        <f t="shared" si="6"/>
        <v/>
      </c>
      <c r="I185" s="35" t="str">
        <f t="shared" si="7"/>
        <v/>
      </c>
      <c r="J185" s="37" t="str">
        <f>IFERROR(__xludf.DUMMYFUNCTION("IFERROR(
  IF(C185="""",, 
    IFERROR(
      GOOGLEFINANCE(C185, ""price"") * GOOGLEFINANCE(C185, ""volumeavg""), 
      GOOGLEFINANCE(C185, ""price"") * AVERAGE(QUERY(GOOGLEFINANCE(C185, ""volume"", TODAY()-40, TODAY()), ""SELECT Col2 WHERE Col2 IS NOT "&amp;"NULL ORDER BY Col1 DESC LIMIT 20"", 0))
    )
  ), 
"""")"),"")</f>
        <v/>
      </c>
      <c r="K185" s="21" t="str">
        <f>IFERROR(__xludf.DUMMYFUNCTION("IFERROR(GOOGLEFINANCE(C185, ""changepct"") / 100, """")"),"")</f>
        <v/>
      </c>
      <c r="L185" s="21" t="str">
        <f>IFERROR(__xludf.DUMMYFUNCTION("IFERROR((GOOGLEFINANCE(C185, ""price"") / INDEX(GOOGLEFINANCE(C185, ""price"", TODAY()-7, TODAY()), 2, 2)) - 1, """")"),"")</f>
        <v/>
      </c>
      <c r="M185" s="21" t="str">
        <f>IFERROR(__xludf.DUMMYFUNCTION("IFERROR((GOOGLEFINANCE(C185, ""price"") / INDEX(GOOGLEFINANCE(C185, ""price"", EDATE(TODAY(), -1), TODAY()), 2, 2)) - 1, """")"),"")</f>
        <v/>
      </c>
      <c r="N185" s="21" t="str">
        <f>IFERROR(__xludf.DUMMYFUNCTION("IFERROR((GOOGLEFINANCE(C185, ""price"") / INDEX(GOOGLEFINANCE(C185, ""price"", EDATE(TODAY(), -3), TODAY()), 2, 2)) - 1, """")"),"")</f>
        <v/>
      </c>
      <c r="O185" s="21" t="str">
        <f>IFERROR(__xludf.DUMMYFUNCTION("IFERROR((GOOGLEFINANCE(C185, ""price"") / INDEX(GOOGLEFINANCE(C185, ""price"", EDATE(TODAY(), -6), TODAY()), 2, 2)) - 1, """")"),"")</f>
        <v/>
      </c>
      <c r="P185" s="21" t="str">
        <f>IFERROR(__xludf.DUMMYFUNCTION("IFERROR((GOOGLEFINANCE(C185, ""price"") / INDEX(GOOGLEFINANCE(C185, ""price"", EDATE(TODAY(), -12), TODAY()), 2, 2)) - 1, """")"),"")</f>
        <v/>
      </c>
      <c r="Q185" s="6" t="str">
        <f>IFERROR(__xludf.DUMMYFUNCTION("AVERAGE(QUERY(GOOGLEFINANCE(C185, ""price"", TODAY()-80, TODAY()), ""SELECT Col2 WHERE Col2 IS NOT NULL ORDER BY Col1 DESC LIMIT 50"", 0))"),"#N/A")</f>
        <v>#N/A</v>
      </c>
      <c r="R185" s="24" t="str">
        <f>IFERROR(__xludf.DUMMYFUNCTION("IFERROR(
  LET(
    data, QUERY(GOOGLEFINANCE(C185,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GOOGLEFINANCE(C185, ""price"")) * 100,
    IF(calc=0, G185, calc)
  ), 
G185)"),"#N/A")</f>
        <v>#N/A</v>
      </c>
      <c r="S185" s="8" t="s">
        <v>15</v>
      </c>
      <c r="T185" s="26" t="str">
        <f>IFERROR(__xludf.DUMMYFUNCTION("IFERROR(TRANSPOSE(QUERY(IFERROR(SORT(GOOGLEFINANCE(C185, ""price"", WORKDAY(TODAY(), -40), TODAY()), 1, FALSE)), ""select Col2 where Col2 is not null limit 22 label Col2 ''"", 0)), """")"),"")</f>
        <v/>
      </c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8"/>
      <c r="AO185" s="28"/>
      <c r="AP185" s="29"/>
      <c r="AQ185" s="29" t="str">
        <f t="shared" ref="AQ185:BL185" si="188">T185/T$2</f>
        <v>#N/A</v>
      </c>
      <c r="AR185" s="29" t="str">
        <f t="shared" si="188"/>
        <v>#DIV/0!</v>
      </c>
      <c r="AS185" s="29" t="str">
        <f t="shared" si="188"/>
        <v>#DIV/0!</v>
      </c>
      <c r="AT185" s="29" t="str">
        <f t="shared" si="188"/>
        <v>#DIV/0!</v>
      </c>
      <c r="AU185" s="29" t="str">
        <f t="shared" si="188"/>
        <v>#DIV/0!</v>
      </c>
      <c r="AV185" s="29" t="str">
        <f t="shared" si="188"/>
        <v>#DIV/0!</v>
      </c>
      <c r="AW185" s="29" t="str">
        <f t="shared" si="188"/>
        <v>#DIV/0!</v>
      </c>
      <c r="AX185" s="29" t="str">
        <f t="shared" si="188"/>
        <v>#DIV/0!</v>
      </c>
      <c r="AY185" s="29" t="str">
        <f t="shared" si="188"/>
        <v>#DIV/0!</v>
      </c>
      <c r="AZ185" s="29" t="str">
        <f t="shared" si="188"/>
        <v>#DIV/0!</v>
      </c>
      <c r="BA185" s="29" t="str">
        <f t="shared" si="188"/>
        <v>#DIV/0!</v>
      </c>
      <c r="BB185" s="29" t="str">
        <f t="shared" si="188"/>
        <v>#DIV/0!</v>
      </c>
      <c r="BC185" s="29" t="str">
        <f t="shared" si="188"/>
        <v>#DIV/0!</v>
      </c>
      <c r="BD185" s="29" t="str">
        <f t="shared" si="188"/>
        <v>#DIV/0!</v>
      </c>
      <c r="BE185" s="29" t="str">
        <f t="shared" si="188"/>
        <v>#DIV/0!</v>
      </c>
      <c r="BF185" s="29" t="str">
        <f t="shared" si="188"/>
        <v>#DIV/0!</v>
      </c>
      <c r="BG185" s="29" t="str">
        <f t="shared" si="188"/>
        <v>#DIV/0!</v>
      </c>
      <c r="BH185" s="29" t="str">
        <f t="shared" si="188"/>
        <v>#DIV/0!</v>
      </c>
      <c r="BI185" s="29" t="str">
        <f t="shared" si="188"/>
        <v>#DIV/0!</v>
      </c>
      <c r="BJ185" s="29" t="str">
        <f t="shared" si="188"/>
        <v>#DIV/0!</v>
      </c>
      <c r="BK185" s="29" t="str">
        <f t="shared" si="188"/>
        <v>#DIV/0!</v>
      </c>
      <c r="BL185" s="29" t="str">
        <f t="shared" si="188"/>
        <v>#DIV/0!</v>
      </c>
      <c r="BM185" s="29" t="str">
        <f t="shared" si="3"/>
        <v>#DIV/0!</v>
      </c>
    </row>
    <row r="186">
      <c r="A186" s="16" t="str">
        <f>IFERROR(__xludf.DUMMYFUNCTION("IFERROR(SPARKLINE(SORT(MAP(TRANSPOSE(AQ186:BL186), LAMBDA(val, IF(ISNUMBER(val), PERCENTRANK(AQ186:BL186, val)+0.01, 0))), SEQUENCE(COLUMNS(AQ186:BL186)), FALSE), {""charttype"",""column""; ""color"",""chartreuse""; ""ymin"", 0; ""ymax"", 1.01; ""highcolo"&amp;"r"", ""darkgreen""; ""lowcolor"", ""red""}), """")"),"")</f>
        <v/>
      </c>
      <c r="B186" s="17" t="str">
        <f t="shared" si="4"/>
        <v/>
      </c>
      <c r="C186" s="1" t="s">
        <v>1565</v>
      </c>
      <c r="D186" s="30" t="str">
        <f>IFERROR(__xludf.DUMMYFUNCTION("IFERROR(GOOGLEFINANCE(C186, ""NAME""))"),"SCHMID Group NV")</f>
        <v>SCHMID Group NV</v>
      </c>
      <c r="E186" s="30" t="s">
        <v>893</v>
      </c>
      <c r="F186" s="33" t="str">
        <f>IFERROR(__xludf.DUMMYFUNCTION("( (GOOGLEFINANCE(C186, ""price"") - Q186) / Q186 ) / (R186 / 100)"),"Loading...")</f>
        <v>Loading...</v>
      </c>
      <c r="G186" s="20" t="str">
        <f>IFERROR(__xludf.DUMMYFUNCTION("AVERAGE(ARRAYFORMULA(100 * (QUERY(GOOGLEFINANCE(C186, ""high"", TODAY()-40, TODAY()), ""SELECT Col2 WHERE Col2 IS NOT NULL ORDER BY Col1 DESC LIMIT 20"", 0) / QUERY(GOOGLEFINANCE(C186, ""low"", TODAY()-40, TODAY()), ""SELECT Col2 WHERE Col2 IS NOT NULL OR"&amp;"DER BY Col1 DESC LIMIT 20"", 0) - 1)))"),"#N/A")</f>
        <v>#N/A</v>
      </c>
      <c r="H186" s="35" t="str">
        <f t="shared" si="6"/>
        <v/>
      </c>
      <c r="I186" s="35" t="str">
        <f t="shared" si="7"/>
        <v/>
      </c>
      <c r="J186" s="37" t="str">
        <f>IFERROR(__xludf.DUMMYFUNCTION("IFERROR(
  IF(C186="""",, 
    IFERROR(
      GOOGLEFINANCE(C186, ""price"") * GOOGLEFINANCE(C186, ""volumeavg""), 
      GOOGLEFINANCE(C186, ""price"") * AVERAGE(QUERY(GOOGLEFINANCE(C186, ""volume"", TODAY()-40, TODAY()), ""SELECT Col2 WHERE Col2 IS NOT "&amp;"NULL ORDER BY Col1 DESC LIMIT 20"", 0))
    )
  ), 
"""")"),"")</f>
        <v/>
      </c>
      <c r="K186" s="21" t="str">
        <f>IFERROR(__xludf.DUMMYFUNCTION("IFERROR(GOOGLEFINANCE(C186, ""changepct"") / 100, """")"),"")</f>
        <v/>
      </c>
      <c r="L186" s="21" t="str">
        <f>IFERROR(__xludf.DUMMYFUNCTION("IFERROR((GOOGLEFINANCE(C186, ""price"") / INDEX(GOOGLEFINANCE(C186, ""price"", TODAY()-7, TODAY()), 2, 2)) - 1, """")"),"")</f>
        <v/>
      </c>
      <c r="M186" s="21" t="str">
        <f>IFERROR(__xludf.DUMMYFUNCTION("IFERROR((GOOGLEFINANCE(C186, ""price"") / INDEX(GOOGLEFINANCE(C186, ""price"", EDATE(TODAY(), -1), TODAY()), 2, 2)) - 1, """")"),"")</f>
        <v/>
      </c>
      <c r="N186" s="21" t="str">
        <f>IFERROR(__xludf.DUMMYFUNCTION("IFERROR((GOOGLEFINANCE(C186, ""price"") / INDEX(GOOGLEFINANCE(C186, ""price"", EDATE(TODAY(), -3), TODAY()), 2, 2)) - 1, """")"),"")</f>
        <v/>
      </c>
      <c r="O186" s="21" t="str">
        <f>IFERROR(__xludf.DUMMYFUNCTION("IFERROR((GOOGLEFINANCE(C186, ""price"") / INDEX(GOOGLEFINANCE(C186, ""price"", EDATE(TODAY(), -6), TODAY()), 2, 2)) - 1, """")"),"")</f>
        <v/>
      </c>
      <c r="P186" s="21" t="str">
        <f>IFERROR(__xludf.DUMMYFUNCTION("IFERROR((GOOGLEFINANCE(C186, ""price"") / INDEX(GOOGLEFINANCE(C186, ""price"", EDATE(TODAY(), -12), TODAY()), 2, 2)) - 1, """")"),"")</f>
        <v/>
      </c>
      <c r="Q186" s="6" t="str">
        <f>IFERROR(__xludf.DUMMYFUNCTION("AVERAGE(QUERY(GOOGLEFINANCE(C186, ""price"", TODAY()-80, TODAY()), ""SELECT Col2 WHERE Col2 IS NOT NULL ORDER BY Col1 DESC LIMIT 50"", 0))"),"#N/A")</f>
        <v>#N/A</v>
      </c>
      <c r="R186" s="24" t="str">
        <f>IFERROR(__xludf.DUMMYFUNCTION("IFERROR(
  LET(
    data, QUERY(GOOGLEFINANCE(C186,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GOOGLEFINANCE(C186, ""price"")) * 100,
    IF(calc=0, G186, calc)
  ), 
G186)"),"#N/A")</f>
        <v>#N/A</v>
      </c>
      <c r="S186" s="8" t="s">
        <v>15</v>
      </c>
      <c r="T186" s="26" t="str">
        <f>IFERROR(__xludf.DUMMYFUNCTION("IFERROR(TRANSPOSE(QUERY(IFERROR(SORT(GOOGLEFINANCE(C186, ""price"", WORKDAY(TODAY(), -40), TODAY()), 1, FALSE)), ""select Col2 where Col2 is not null limit 22 label Col2 ''"", 0)), """")"),"")</f>
        <v/>
      </c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8"/>
      <c r="AO186" s="28"/>
      <c r="AP186" s="29"/>
      <c r="AQ186" s="29" t="str">
        <f t="shared" ref="AQ186:BL186" si="189">T186/T$2</f>
        <v>#N/A</v>
      </c>
      <c r="AR186" s="29" t="str">
        <f t="shared" si="189"/>
        <v>#DIV/0!</v>
      </c>
      <c r="AS186" s="29" t="str">
        <f t="shared" si="189"/>
        <v>#DIV/0!</v>
      </c>
      <c r="AT186" s="29" t="str">
        <f t="shared" si="189"/>
        <v>#DIV/0!</v>
      </c>
      <c r="AU186" s="29" t="str">
        <f t="shared" si="189"/>
        <v>#DIV/0!</v>
      </c>
      <c r="AV186" s="29" t="str">
        <f t="shared" si="189"/>
        <v>#DIV/0!</v>
      </c>
      <c r="AW186" s="29" t="str">
        <f t="shared" si="189"/>
        <v>#DIV/0!</v>
      </c>
      <c r="AX186" s="29" t="str">
        <f t="shared" si="189"/>
        <v>#DIV/0!</v>
      </c>
      <c r="AY186" s="29" t="str">
        <f t="shared" si="189"/>
        <v>#DIV/0!</v>
      </c>
      <c r="AZ186" s="29" t="str">
        <f t="shared" si="189"/>
        <v>#DIV/0!</v>
      </c>
      <c r="BA186" s="29" t="str">
        <f t="shared" si="189"/>
        <v>#DIV/0!</v>
      </c>
      <c r="BB186" s="29" t="str">
        <f t="shared" si="189"/>
        <v>#DIV/0!</v>
      </c>
      <c r="BC186" s="29" t="str">
        <f t="shared" si="189"/>
        <v>#DIV/0!</v>
      </c>
      <c r="BD186" s="29" t="str">
        <f t="shared" si="189"/>
        <v>#DIV/0!</v>
      </c>
      <c r="BE186" s="29" t="str">
        <f t="shared" si="189"/>
        <v>#DIV/0!</v>
      </c>
      <c r="BF186" s="29" t="str">
        <f t="shared" si="189"/>
        <v>#DIV/0!</v>
      </c>
      <c r="BG186" s="29" t="str">
        <f t="shared" si="189"/>
        <v>#DIV/0!</v>
      </c>
      <c r="BH186" s="29" t="str">
        <f t="shared" si="189"/>
        <v>#DIV/0!</v>
      </c>
      <c r="BI186" s="29" t="str">
        <f t="shared" si="189"/>
        <v>#DIV/0!</v>
      </c>
      <c r="BJ186" s="29" t="str">
        <f t="shared" si="189"/>
        <v>#DIV/0!</v>
      </c>
      <c r="BK186" s="29" t="str">
        <f t="shared" si="189"/>
        <v>#DIV/0!</v>
      </c>
      <c r="BL186" s="29" t="str">
        <f t="shared" si="189"/>
        <v>#DIV/0!</v>
      </c>
      <c r="BM186" s="29" t="str">
        <f t="shared" si="3"/>
        <v>#DIV/0!</v>
      </c>
    </row>
    <row r="187">
      <c r="A187" s="16" t="str">
        <f>IFERROR(__xludf.DUMMYFUNCTION("IFERROR(SPARKLINE(SORT(MAP(TRANSPOSE(AQ187:BL187), LAMBDA(val, IF(ISNUMBER(val), PERCENTRANK(AQ187:BL187, val)+0.01, 0))), SEQUENCE(COLUMNS(AQ187:BL187)), FALSE), {""charttype"",""column""; ""color"",""chartreuse""; ""ymin"", 0; ""ymax"", 1.01; ""highcolo"&amp;"r"", ""darkgreen""; ""lowcolor"", ""red""}), """")"),"")</f>
        <v/>
      </c>
      <c r="B187" s="17" t="str">
        <f t="shared" si="4"/>
        <v/>
      </c>
      <c r="C187" s="1" t="s">
        <v>1569</v>
      </c>
      <c r="D187" s="30" t="str">
        <f>IFERROR(__xludf.DUMMYFUNCTION("IFERROR(GOOGLEFINANCE(C187, ""NAME""))"),"LATAM Airlines Group SA")</f>
        <v>LATAM Airlines Group SA</v>
      </c>
      <c r="E187" s="30" t="s">
        <v>1134</v>
      </c>
      <c r="F187" s="38" t="str">
        <f>IFERROR(__xludf.DUMMYFUNCTION("( (GOOGLEFINANCE(C187, ""price"") - Q187) / Q187 ) / (R187 / 100)"),"Loading...")</f>
        <v>Loading...</v>
      </c>
      <c r="G187" s="20" t="str">
        <f>IFERROR(__xludf.DUMMYFUNCTION("AVERAGE(ARRAYFORMULA(100 * (QUERY(GOOGLEFINANCE(C187, ""high"", TODAY()-40, TODAY()), ""SELECT Col2 WHERE Col2 IS NOT NULL ORDER BY Col1 DESC LIMIT 20"", 0) / QUERY(GOOGLEFINANCE(C187, ""low"", TODAY()-40, TODAY()), ""SELECT Col2 WHERE Col2 IS NOT NULL OR"&amp;"DER BY Col1 DESC LIMIT 20"", 0) - 1)))"),"#N/A")</f>
        <v>#N/A</v>
      </c>
      <c r="H187" s="35" t="str">
        <f t="shared" si="6"/>
        <v/>
      </c>
      <c r="I187" s="35" t="str">
        <f t="shared" si="7"/>
        <v/>
      </c>
      <c r="J187" s="37" t="str">
        <f>IFERROR(__xludf.DUMMYFUNCTION("IFERROR(
  IF(C187="""",, 
    IFERROR(
      GOOGLEFINANCE(C187, ""price"") * GOOGLEFINANCE(C187, ""volumeavg""), 
      GOOGLEFINANCE(C187, ""price"") * AVERAGE(QUERY(GOOGLEFINANCE(C187, ""volume"", TODAY()-40, TODAY()), ""SELECT Col2 WHERE Col2 IS NOT "&amp;"NULL ORDER BY Col1 DESC LIMIT 20"", 0))
    )
  ), 
"""")"),"")</f>
        <v/>
      </c>
      <c r="K187" s="21" t="str">
        <f>IFERROR(__xludf.DUMMYFUNCTION("IFERROR(GOOGLEFINANCE(C187, ""changepct"") / 100, """")"),"")</f>
        <v/>
      </c>
      <c r="L187" s="21" t="str">
        <f>IFERROR(__xludf.DUMMYFUNCTION("IFERROR((GOOGLEFINANCE(C187, ""price"") / INDEX(GOOGLEFINANCE(C187, ""price"", TODAY()-7, TODAY()), 2, 2)) - 1, """")"),"")</f>
        <v/>
      </c>
      <c r="M187" s="21" t="str">
        <f>IFERROR(__xludf.DUMMYFUNCTION("IFERROR((GOOGLEFINANCE(C187, ""price"") / INDEX(GOOGLEFINANCE(C187, ""price"", EDATE(TODAY(), -1), TODAY()), 2, 2)) - 1, """")"),"")</f>
        <v/>
      </c>
      <c r="N187" s="21" t="str">
        <f>IFERROR(__xludf.DUMMYFUNCTION("IFERROR((GOOGLEFINANCE(C187, ""price"") / INDEX(GOOGLEFINANCE(C187, ""price"", EDATE(TODAY(), -3), TODAY()), 2, 2)) - 1, """")"),"")</f>
        <v/>
      </c>
      <c r="O187" s="21" t="str">
        <f>IFERROR(__xludf.DUMMYFUNCTION("IFERROR((GOOGLEFINANCE(C187, ""price"") / INDEX(GOOGLEFINANCE(C187, ""price"", EDATE(TODAY(), -6), TODAY()), 2, 2)) - 1, """")"),"")</f>
        <v/>
      </c>
      <c r="P187" s="21" t="str">
        <f>IFERROR(__xludf.DUMMYFUNCTION("IFERROR((GOOGLEFINANCE(C187, ""price"") / INDEX(GOOGLEFINANCE(C187, ""price"", EDATE(TODAY(), -12), TODAY()), 2, 2)) - 1, """")"),"")</f>
        <v/>
      </c>
      <c r="Q187" s="6" t="str">
        <f>IFERROR(__xludf.DUMMYFUNCTION("AVERAGE(QUERY(GOOGLEFINANCE(C187, ""price"", TODAY()-80, TODAY()), ""SELECT Col2 WHERE Col2 IS NOT NULL ORDER BY Col1 DESC LIMIT 50"", 0))"),"#N/A")</f>
        <v>#N/A</v>
      </c>
      <c r="R187" s="24" t="str">
        <f>IFERROR(__xludf.DUMMYFUNCTION("IFERROR(
  LET(
    data, QUERY(GOOGLEFINANCE(C187,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GOOGLEFINANCE(C187, ""price"")) * 100,
    IF(calc=0, G187, calc)
  ), 
G187)"),"#N/A")</f>
        <v>#N/A</v>
      </c>
      <c r="S187" s="8" t="s">
        <v>15</v>
      </c>
      <c r="T187" s="26" t="str">
        <f>IFERROR(__xludf.DUMMYFUNCTION("IFERROR(TRANSPOSE(QUERY(IFERROR(SORT(GOOGLEFINANCE(C187, ""price"", WORKDAY(TODAY(), -40), TODAY()), 1, FALSE)), ""select Col2 where Col2 is not null limit 22 label Col2 ''"", 0)), """")"),"")</f>
        <v/>
      </c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8"/>
      <c r="AO187" s="28"/>
      <c r="AP187" s="29"/>
      <c r="AQ187" s="29" t="str">
        <f t="shared" ref="AQ187:BL187" si="190">T187/T$2</f>
        <v>#N/A</v>
      </c>
      <c r="AR187" s="29" t="str">
        <f t="shared" si="190"/>
        <v>#DIV/0!</v>
      </c>
      <c r="AS187" s="29" t="str">
        <f t="shared" si="190"/>
        <v>#DIV/0!</v>
      </c>
      <c r="AT187" s="29" t="str">
        <f t="shared" si="190"/>
        <v>#DIV/0!</v>
      </c>
      <c r="AU187" s="29" t="str">
        <f t="shared" si="190"/>
        <v>#DIV/0!</v>
      </c>
      <c r="AV187" s="29" t="str">
        <f t="shared" si="190"/>
        <v>#DIV/0!</v>
      </c>
      <c r="AW187" s="29" t="str">
        <f t="shared" si="190"/>
        <v>#DIV/0!</v>
      </c>
      <c r="AX187" s="29" t="str">
        <f t="shared" si="190"/>
        <v>#DIV/0!</v>
      </c>
      <c r="AY187" s="29" t="str">
        <f t="shared" si="190"/>
        <v>#DIV/0!</v>
      </c>
      <c r="AZ187" s="29" t="str">
        <f t="shared" si="190"/>
        <v>#DIV/0!</v>
      </c>
      <c r="BA187" s="29" t="str">
        <f t="shared" si="190"/>
        <v>#DIV/0!</v>
      </c>
      <c r="BB187" s="29" t="str">
        <f t="shared" si="190"/>
        <v>#DIV/0!</v>
      </c>
      <c r="BC187" s="29" t="str">
        <f t="shared" si="190"/>
        <v>#DIV/0!</v>
      </c>
      <c r="BD187" s="29" t="str">
        <f t="shared" si="190"/>
        <v>#DIV/0!</v>
      </c>
      <c r="BE187" s="29" t="str">
        <f t="shared" si="190"/>
        <v>#DIV/0!</v>
      </c>
      <c r="BF187" s="29" t="str">
        <f t="shared" si="190"/>
        <v>#DIV/0!</v>
      </c>
      <c r="BG187" s="29" t="str">
        <f t="shared" si="190"/>
        <v>#DIV/0!</v>
      </c>
      <c r="BH187" s="29" t="str">
        <f t="shared" si="190"/>
        <v>#DIV/0!</v>
      </c>
      <c r="BI187" s="29" t="str">
        <f t="shared" si="190"/>
        <v>#DIV/0!</v>
      </c>
      <c r="BJ187" s="29" t="str">
        <f t="shared" si="190"/>
        <v>#DIV/0!</v>
      </c>
      <c r="BK187" s="29" t="str">
        <f t="shared" si="190"/>
        <v>#DIV/0!</v>
      </c>
      <c r="BL187" s="29" t="str">
        <f t="shared" si="190"/>
        <v>#DIV/0!</v>
      </c>
      <c r="BM187" s="29" t="str">
        <f t="shared" si="3"/>
        <v>#DIV/0!</v>
      </c>
    </row>
    <row r="188">
      <c r="A188" s="16" t="str">
        <f>IFERROR(__xludf.DUMMYFUNCTION("IFERROR(SPARKLINE(SORT(MAP(TRANSPOSE(AQ188:BL188), LAMBDA(val, IF(ISNUMBER(val), PERCENTRANK(AQ188:BL188, val)+0.01, 0))), SEQUENCE(COLUMNS(AQ188:BL188)), FALSE), {""charttype"",""column""; ""color"",""chartreuse""; ""ymin"", 0; ""ymax"", 1.01; ""highcolo"&amp;"r"", ""darkgreen""; ""lowcolor"", ""red""}), """")"),"")</f>
        <v/>
      </c>
      <c r="B188" s="17" t="str">
        <f t="shared" si="4"/>
        <v/>
      </c>
      <c r="C188" s="1" t="s">
        <v>1573</v>
      </c>
      <c r="D188" s="30" t="str">
        <f>IFERROR(__xludf.DUMMYFUNCTION("IFERROR(GOOGLEFINANCE(C188, ""NAME""))"),"Westinghouse Air Brake Technologies Corp")</f>
        <v>Westinghouse Air Brake Technologies Corp</v>
      </c>
      <c r="E188" s="30" t="s">
        <v>962</v>
      </c>
      <c r="F188" s="33" t="str">
        <f>IFERROR(__xludf.DUMMYFUNCTION("( (GOOGLEFINANCE(C188, ""price"") - Q188) / Q188 ) / (R188 / 100)"),"Loading...")</f>
        <v>Loading...</v>
      </c>
      <c r="G188" s="20" t="str">
        <f>IFERROR(__xludf.DUMMYFUNCTION("AVERAGE(ARRAYFORMULA(100 * (QUERY(GOOGLEFINANCE(C188, ""high"", TODAY()-40, TODAY()), ""SELECT Col2 WHERE Col2 IS NOT NULL ORDER BY Col1 DESC LIMIT 20"", 0) / QUERY(GOOGLEFINANCE(C188, ""low"", TODAY()-40, TODAY()), ""SELECT Col2 WHERE Col2 IS NOT NULL OR"&amp;"DER BY Col1 DESC LIMIT 20"", 0) - 1)))"),"#N/A")</f>
        <v>#N/A</v>
      </c>
      <c r="H188" s="35" t="str">
        <f t="shared" si="6"/>
        <v/>
      </c>
      <c r="I188" s="35" t="str">
        <f t="shared" si="7"/>
        <v/>
      </c>
      <c r="J188" s="37" t="str">
        <f>IFERROR(__xludf.DUMMYFUNCTION("IFERROR(
  IF(C188="""",, 
    IFERROR(
      GOOGLEFINANCE(C188, ""price"") * GOOGLEFINANCE(C188, ""volumeavg""), 
      GOOGLEFINANCE(C188, ""price"") * AVERAGE(QUERY(GOOGLEFINANCE(C188, ""volume"", TODAY()-40, TODAY()), ""SELECT Col2 WHERE Col2 IS NOT "&amp;"NULL ORDER BY Col1 DESC LIMIT 20"", 0))
    )
  ), 
"""")"),"")</f>
        <v/>
      </c>
      <c r="K188" s="21" t="str">
        <f>IFERROR(__xludf.DUMMYFUNCTION("IFERROR(GOOGLEFINANCE(C188, ""changepct"") / 100, """")"),"")</f>
        <v/>
      </c>
      <c r="L188" s="21" t="str">
        <f>IFERROR(__xludf.DUMMYFUNCTION("IFERROR((GOOGLEFINANCE(C188, ""price"") / INDEX(GOOGLEFINANCE(C188, ""price"", TODAY()-7, TODAY()), 2, 2)) - 1, """")"),"")</f>
        <v/>
      </c>
      <c r="M188" s="21" t="str">
        <f>IFERROR(__xludf.DUMMYFUNCTION("IFERROR((GOOGLEFINANCE(C188, ""price"") / INDEX(GOOGLEFINANCE(C188, ""price"", EDATE(TODAY(), -1), TODAY()), 2, 2)) - 1, """")"),"")</f>
        <v/>
      </c>
      <c r="N188" s="21" t="str">
        <f>IFERROR(__xludf.DUMMYFUNCTION("IFERROR((GOOGLEFINANCE(C188, ""price"") / INDEX(GOOGLEFINANCE(C188, ""price"", EDATE(TODAY(), -3), TODAY()), 2, 2)) - 1, """")"),"")</f>
        <v/>
      </c>
      <c r="O188" s="21" t="str">
        <f>IFERROR(__xludf.DUMMYFUNCTION("IFERROR((GOOGLEFINANCE(C188, ""price"") / INDEX(GOOGLEFINANCE(C188, ""price"", EDATE(TODAY(), -6), TODAY()), 2, 2)) - 1, """")"),"")</f>
        <v/>
      </c>
      <c r="P188" s="21" t="str">
        <f>IFERROR(__xludf.DUMMYFUNCTION("IFERROR((GOOGLEFINANCE(C188, ""price"") / INDEX(GOOGLEFINANCE(C188, ""price"", EDATE(TODAY(), -12), TODAY()), 2, 2)) - 1, """")"),"")</f>
        <v/>
      </c>
      <c r="Q188" s="6" t="str">
        <f>IFERROR(__xludf.DUMMYFUNCTION("AVERAGE(QUERY(GOOGLEFINANCE(C188, ""price"", TODAY()-80, TODAY()), ""SELECT Col2 WHERE Col2 IS NOT NULL ORDER BY Col1 DESC LIMIT 50"", 0))"),"#N/A")</f>
        <v>#N/A</v>
      </c>
      <c r="R188" s="24" t="str">
        <f>IFERROR(__xludf.DUMMYFUNCTION("IFERROR(
  LET(
    data, QUERY(GOOGLEFINANCE(C188,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GOOGLEFINANCE(C188, ""price"")) * 100,
    IF(calc=0, G188, calc)
  ), 
G188)"),"#N/A")</f>
        <v>#N/A</v>
      </c>
      <c r="S188" s="8" t="s">
        <v>15</v>
      </c>
      <c r="T188" s="26" t="str">
        <f>IFERROR(__xludf.DUMMYFUNCTION("IFERROR(TRANSPOSE(QUERY(IFERROR(SORT(GOOGLEFINANCE(C188, ""price"", WORKDAY(TODAY(), -40), TODAY()), 1, FALSE)), ""select Col2 where Col2 is not null limit 22 label Col2 ''"", 0)), """")"),"")</f>
        <v/>
      </c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8"/>
      <c r="AO188" s="28"/>
      <c r="AP188" s="29"/>
      <c r="AQ188" s="29" t="str">
        <f t="shared" ref="AQ188:BL188" si="191">T188/T$2</f>
        <v>#N/A</v>
      </c>
      <c r="AR188" s="29" t="str">
        <f t="shared" si="191"/>
        <v>#DIV/0!</v>
      </c>
      <c r="AS188" s="29" t="str">
        <f t="shared" si="191"/>
        <v>#DIV/0!</v>
      </c>
      <c r="AT188" s="29" t="str">
        <f t="shared" si="191"/>
        <v>#DIV/0!</v>
      </c>
      <c r="AU188" s="29" t="str">
        <f t="shared" si="191"/>
        <v>#DIV/0!</v>
      </c>
      <c r="AV188" s="29" t="str">
        <f t="shared" si="191"/>
        <v>#DIV/0!</v>
      </c>
      <c r="AW188" s="29" t="str">
        <f t="shared" si="191"/>
        <v>#DIV/0!</v>
      </c>
      <c r="AX188" s="29" t="str">
        <f t="shared" si="191"/>
        <v>#DIV/0!</v>
      </c>
      <c r="AY188" s="29" t="str">
        <f t="shared" si="191"/>
        <v>#DIV/0!</v>
      </c>
      <c r="AZ188" s="29" t="str">
        <f t="shared" si="191"/>
        <v>#DIV/0!</v>
      </c>
      <c r="BA188" s="29" t="str">
        <f t="shared" si="191"/>
        <v>#DIV/0!</v>
      </c>
      <c r="BB188" s="29" t="str">
        <f t="shared" si="191"/>
        <v>#DIV/0!</v>
      </c>
      <c r="BC188" s="29" t="str">
        <f t="shared" si="191"/>
        <v>#DIV/0!</v>
      </c>
      <c r="BD188" s="29" t="str">
        <f t="shared" si="191"/>
        <v>#DIV/0!</v>
      </c>
      <c r="BE188" s="29" t="str">
        <f t="shared" si="191"/>
        <v>#DIV/0!</v>
      </c>
      <c r="BF188" s="29" t="str">
        <f t="shared" si="191"/>
        <v>#DIV/0!</v>
      </c>
      <c r="BG188" s="29" t="str">
        <f t="shared" si="191"/>
        <v>#DIV/0!</v>
      </c>
      <c r="BH188" s="29" t="str">
        <f t="shared" si="191"/>
        <v>#DIV/0!</v>
      </c>
      <c r="BI188" s="29" t="str">
        <f t="shared" si="191"/>
        <v>#DIV/0!</v>
      </c>
      <c r="BJ188" s="29" t="str">
        <f t="shared" si="191"/>
        <v>#DIV/0!</v>
      </c>
      <c r="BK188" s="29" t="str">
        <f t="shared" si="191"/>
        <v>#DIV/0!</v>
      </c>
      <c r="BL188" s="29" t="str">
        <f t="shared" si="191"/>
        <v>#DIV/0!</v>
      </c>
      <c r="BM188" s="29" t="str">
        <f t="shared" si="3"/>
        <v>#DIV/0!</v>
      </c>
    </row>
    <row r="189">
      <c r="A189" s="16" t="str">
        <f>IFERROR(__xludf.DUMMYFUNCTION("IFERROR(SPARKLINE(SORT(MAP(TRANSPOSE(AQ189:BL189), LAMBDA(val, IF(ISNUMBER(val), PERCENTRANK(AQ189:BL189, val)+0.01, 0))), SEQUENCE(COLUMNS(AQ189:BL189)), FALSE), {""charttype"",""column""; ""color"",""chartreuse""; ""ymin"", 0; ""ymax"", 1.01; ""highcolo"&amp;"r"", ""darkgreen""; ""lowcolor"", ""red""}), """")"),"")</f>
        <v/>
      </c>
      <c r="B189" s="17" t="str">
        <f t="shared" si="4"/>
        <v/>
      </c>
      <c r="C189" s="1" t="s">
        <v>1578</v>
      </c>
      <c r="D189" s="30" t="str">
        <f>IFERROR(__xludf.DUMMYFUNCTION("IFERROR(GOOGLEFINANCE(C189, ""NAME""))"),"Huntington Ingalls Industries Inc")</f>
        <v>Huntington Ingalls Industries Inc</v>
      </c>
      <c r="E189" s="30" t="s">
        <v>839</v>
      </c>
      <c r="F189" s="33" t="str">
        <f>IFERROR(__xludf.DUMMYFUNCTION("( (GOOGLEFINANCE(C189, ""price"") - Q189) / Q189 ) / (R189 / 100)"),"Loading...")</f>
        <v>Loading...</v>
      </c>
      <c r="G189" s="20" t="str">
        <f>IFERROR(__xludf.DUMMYFUNCTION("AVERAGE(ARRAYFORMULA(100 * (QUERY(GOOGLEFINANCE(C189, ""high"", TODAY()-40, TODAY()), ""SELECT Col2 WHERE Col2 IS NOT NULL ORDER BY Col1 DESC LIMIT 20"", 0) / QUERY(GOOGLEFINANCE(C189, ""low"", TODAY()-40, TODAY()), ""SELECT Col2 WHERE Col2 IS NOT NULL OR"&amp;"DER BY Col1 DESC LIMIT 20"", 0) - 1)))"),"#N/A")</f>
        <v>#N/A</v>
      </c>
      <c r="H189" s="35" t="str">
        <f t="shared" si="6"/>
        <v/>
      </c>
      <c r="I189" s="35" t="str">
        <f t="shared" si="7"/>
        <v/>
      </c>
      <c r="J189" s="37" t="str">
        <f>IFERROR(__xludf.DUMMYFUNCTION("IFERROR(
  IF(C189="""",, 
    IFERROR(
      GOOGLEFINANCE(C189, ""price"") * GOOGLEFINANCE(C189, ""volumeavg""), 
      GOOGLEFINANCE(C189, ""price"") * AVERAGE(QUERY(GOOGLEFINANCE(C189, ""volume"", TODAY()-40, TODAY()), ""SELECT Col2 WHERE Col2 IS NOT "&amp;"NULL ORDER BY Col1 DESC LIMIT 20"", 0))
    )
  ), 
"""")"),"")</f>
        <v/>
      </c>
      <c r="K189" s="21" t="str">
        <f>IFERROR(__xludf.DUMMYFUNCTION("IFERROR(GOOGLEFINANCE(C189, ""changepct"") / 100, """")"),"")</f>
        <v/>
      </c>
      <c r="L189" s="21" t="str">
        <f>IFERROR(__xludf.DUMMYFUNCTION("IFERROR((GOOGLEFINANCE(C189, ""price"") / INDEX(GOOGLEFINANCE(C189, ""price"", TODAY()-7, TODAY()), 2, 2)) - 1, """")"),"")</f>
        <v/>
      </c>
      <c r="M189" s="21" t="str">
        <f>IFERROR(__xludf.DUMMYFUNCTION("IFERROR((GOOGLEFINANCE(C189, ""price"") / INDEX(GOOGLEFINANCE(C189, ""price"", EDATE(TODAY(), -1), TODAY()), 2, 2)) - 1, """")"),"")</f>
        <v/>
      </c>
      <c r="N189" s="21" t="str">
        <f>IFERROR(__xludf.DUMMYFUNCTION("IFERROR((GOOGLEFINANCE(C189, ""price"") / INDEX(GOOGLEFINANCE(C189, ""price"", EDATE(TODAY(), -3), TODAY()), 2, 2)) - 1, """")"),"")</f>
        <v/>
      </c>
      <c r="O189" s="21" t="str">
        <f>IFERROR(__xludf.DUMMYFUNCTION("IFERROR((GOOGLEFINANCE(C189, ""price"") / INDEX(GOOGLEFINANCE(C189, ""price"", EDATE(TODAY(), -6), TODAY()), 2, 2)) - 1, """")"),"")</f>
        <v/>
      </c>
      <c r="P189" s="21" t="str">
        <f>IFERROR(__xludf.DUMMYFUNCTION("IFERROR((GOOGLEFINANCE(C189, ""price"") / INDEX(GOOGLEFINANCE(C189, ""price"", EDATE(TODAY(), -12), TODAY()), 2, 2)) - 1, """")"),"")</f>
        <v/>
      </c>
      <c r="Q189" s="6" t="str">
        <f>IFERROR(__xludf.DUMMYFUNCTION("AVERAGE(QUERY(GOOGLEFINANCE(C189, ""price"", TODAY()-80, TODAY()), ""SELECT Col2 WHERE Col2 IS NOT NULL ORDER BY Col1 DESC LIMIT 50"", 0))"),"#N/A")</f>
        <v>#N/A</v>
      </c>
      <c r="R189" s="24" t="str">
        <f>IFERROR(__xludf.DUMMYFUNCTION("IFERROR(
  LET(
    data, QUERY(GOOGLEFINANCE(C189,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GOOGLEFINANCE(C189, ""price"")) * 100,
    IF(calc=0, G189, calc)
  ), 
G189)"),"#N/A")</f>
        <v>#N/A</v>
      </c>
      <c r="S189" s="8" t="s">
        <v>15</v>
      </c>
      <c r="T189" s="26" t="str">
        <f>IFERROR(__xludf.DUMMYFUNCTION("IFERROR(TRANSPOSE(QUERY(IFERROR(SORT(GOOGLEFINANCE(C189, ""price"", WORKDAY(TODAY(), -40), TODAY()), 1, FALSE)), ""select Col2 where Col2 is not null limit 22 label Col2 ''"", 0)), """")"),"")</f>
        <v/>
      </c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8"/>
      <c r="AO189" s="28"/>
      <c r="AP189" s="29"/>
      <c r="AQ189" s="29" t="str">
        <f t="shared" ref="AQ189:BL189" si="192">T189/T$2</f>
        <v>#N/A</v>
      </c>
      <c r="AR189" s="29" t="str">
        <f t="shared" si="192"/>
        <v>#DIV/0!</v>
      </c>
      <c r="AS189" s="29" t="str">
        <f t="shared" si="192"/>
        <v>#DIV/0!</v>
      </c>
      <c r="AT189" s="29" t="str">
        <f t="shared" si="192"/>
        <v>#DIV/0!</v>
      </c>
      <c r="AU189" s="29" t="str">
        <f t="shared" si="192"/>
        <v>#DIV/0!</v>
      </c>
      <c r="AV189" s="29" t="str">
        <f t="shared" si="192"/>
        <v>#DIV/0!</v>
      </c>
      <c r="AW189" s="29" t="str">
        <f t="shared" si="192"/>
        <v>#DIV/0!</v>
      </c>
      <c r="AX189" s="29" t="str">
        <f t="shared" si="192"/>
        <v>#DIV/0!</v>
      </c>
      <c r="AY189" s="29" t="str">
        <f t="shared" si="192"/>
        <v>#DIV/0!</v>
      </c>
      <c r="AZ189" s="29" t="str">
        <f t="shared" si="192"/>
        <v>#DIV/0!</v>
      </c>
      <c r="BA189" s="29" t="str">
        <f t="shared" si="192"/>
        <v>#DIV/0!</v>
      </c>
      <c r="BB189" s="29" t="str">
        <f t="shared" si="192"/>
        <v>#DIV/0!</v>
      </c>
      <c r="BC189" s="29" t="str">
        <f t="shared" si="192"/>
        <v>#DIV/0!</v>
      </c>
      <c r="BD189" s="29" t="str">
        <f t="shared" si="192"/>
        <v>#DIV/0!</v>
      </c>
      <c r="BE189" s="29" t="str">
        <f t="shared" si="192"/>
        <v>#DIV/0!</v>
      </c>
      <c r="BF189" s="29" t="str">
        <f t="shared" si="192"/>
        <v>#DIV/0!</v>
      </c>
      <c r="BG189" s="29" t="str">
        <f t="shared" si="192"/>
        <v>#DIV/0!</v>
      </c>
      <c r="BH189" s="29" t="str">
        <f t="shared" si="192"/>
        <v>#DIV/0!</v>
      </c>
      <c r="BI189" s="29" t="str">
        <f t="shared" si="192"/>
        <v>#DIV/0!</v>
      </c>
      <c r="BJ189" s="29" t="str">
        <f t="shared" si="192"/>
        <v>#DIV/0!</v>
      </c>
      <c r="BK189" s="29" t="str">
        <f t="shared" si="192"/>
        <v>#DIV/0!</v>
      </c>
      <c r="BL189" s="29" t="str">
        <f t="shared" si="192"/>
        <v>#DIV/0!</v>
      </c>
      <c r="BM189" s="29" t="str">
        <f t="shared" si="3"/>
        <v>#DIV/0!</v>
      </c>
    </row>
    <row r="190">
      <c r="A190" s="16" t="str">
        <f>IFERROR(__xludf.DUMMYFUNCTION("IFERROR(SPARKLINE(SORT(MAP(TRANSPOSE(AQ190:BL190), LAMBDA(val, IF(ISNUMBER(val), PERCENTRANK(AQ190:BL190, val)+0.01, 0))), SEQUENCE(COLUMNS(AQ190:BL190)), FALSE), {""charttype"",""column""; ""color"",""chartreuse""; ""ymin"", 0; ""ymax"", 1.01; ""highcolo"&amp;"r"", ""darkgreen""; ""lowcolor"", ""red""}), """")"),"")</f>
        <v/>
      </c>
      <c r="B190" s="17" t="str">
        <f t="shared" si="4"/>
        <v/>
      </c>
      <c r="C190" s="1" t="s">
        <v>1582</v>
      </c>
      <c r="D190" s="30" t="str">
        <f>IFERROR(__xludf.DUMMYFUNCTION("IFERROR(GOOGLEFINANCE(C190, ""NAME""))"),"L3harris Technologies, Inc")</f>
        <v>L3harris Technologies, Inc</v>
      </c>
      <c r="E190" s="30" t="s">
        <v>839</v>
      </c>
      <c r="F190" s="33" t="str">
        <f>IFERROR(__xludf.DUMMYFUNCTION("( (GOOGLEFINANCE(C190, ""price"") - Q190) / Q190 ) / (R190 / 100)"),"Loading...")</f>
        <v>Loading...</v>
      </c>
      <c r="G190" s="20" t="str">
        <f>IFERROR(__xludf.DUMMYFUNCTION("AVERAGE(ARRAYFORMULA(100 * (QUERY(GOOGLEFINANCE(C190, ""high"", TODAY()-40, TODAY()), ""SELECT Col2 WHERE Col2 IS NOT NULL ORDER BY Col1 DESC LIMIT 20"", 0) / QUERY(GOOGLEFINANCE(C190, ""low"", TODAY()-40, TODAY()), ""SELECT Col2 WHERE Col2 IS NOT NULL OR"&amp;"DER BY Col1 DESC LIMIT 20"", 0) - 1)))"),"#N/A")</f>
        <v>#N/A</v>
      </c>
      <c r="H190" s="35" t="str">
        <f t="shared" si="6"/>
        <v/>
      </c>
      <c r="I190" s="35" t="str">
        <f t="shared" si="7"/>
        <v/>
      </c>
      <c r="J190" s="37" t="str">
        <f>IFERROR(__xludf.DUMMYFUNCTION("IFERROR(
  IF(C190="""",, 
    IFERROR(
      GOOGLEFINANCE(C190, ""price"") * GOOGLEFINANCE(C190, ""volumeavg""), 
      GOOGLEFINANCE(C190, ""price"") * AVERAGE(QUERY(GOOGLEFINANCE(C190, ""volume"", TODAY()-40, TODAY()), ""SELECT Col2 WHERE Col2 IS NOT "&amp;"NULL ORDER BY Col1 DESC LIMIT 20"", 0))
    )
  ), 
"""")"),"")</f>
        <v/>
      </c>
      <c r="K190" s="21" t="str">
        <f>IFERROR(__xludf.DUMMYFUNCTION("IFERROR(GOOGLEFINANCE(C190, ""changepct"") / 100, """")"),"")</f>
        <v/>
      </c>
      <c r="L190" s="21" t="str">
        <f>IFERROR(__xludf.DUMMYFUNCTION("IFERROR((GOOGLEFINANCE(C190, ""price"") / INDEX(GOOGLEFINANCE(C190, ""price"", TODAY()-7, TODAY()), 2, 2)) - 1, """")"),"")</f>
        <v/>
      </c>
      <c r="M190" s="21" t="str">
        <f>IFERROR(__xludf.DUMMYFUNCTION("IFERROR((GOOGLEFINANCE(C190, ""price"") / INDEX(GOOGLEFINANCE(C190, ""price"", EDATE(TODAY(), -1), TODAY()), 2, 2)) - 1, """")"),"")</f>
        <v/>
      </c>
      <c r="N190" s="21" t="str">
        <f>IFERROR(__xludf.DUMMYFUNCTION("IFERROR((GOOGLEFINANCE(C190, ""price"") / INDEX(GOOGLEFINANCE(C190, ""price"", EDATE(TODAY(), -3), TODAY()), 2, 2)) - 1, """")"),"")</f>
        <v/>
      </c>
      <c r="O190" s="21" t="str">
        <f>IFERROR(__xludf.DUMMYFUNCTION("IFERROR((GOOGLEFINANCE(C190, ""price"") / INDEX(GOOGLEFINANCE(C190, ""price"", EDATE(TODAY(), -6), TODAY()), 2, 2)) - 1, """")"),"")</f>
        <v/>
      </c>
      <c r="P190" s="21" t="str">
        <f>IFERROR(__xludf.DUMMYFUNCTION("IFERROR((GOOGLEFINANCE(C190, ""price"") / INDEX(GOOGLEFINANCE(C190, ""price"", EDATE(TODAY(), -12), TODAY()), 2, 2)) - 1, """")"),"")</f>
        <v/>
      </c>
      <c r="Q190" s="6" t="str">
        <f>IFERROR(__xludf.DUMMYFUNCTION("AVERAGE(QUERY(GOOGLEFINANCE(C190, ""price"", TODAY()-80, TODAY()), ""SELECT Col2 WHERE Col2 IS NOT NULL ORDER BY Col1 DESC LIMIT 50"", 0))"),"#N/A")</f>
        <v>#N/A</v>
      </c>
      <c r="R190" s="24" t="str">
        <f>IFERROR(__xludf.DUMMYFUNCTION("IFERROR(
  LET(
    data, QUERY(GOOGLEFINANCE(C190,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GOOGLEFINANCE(C190, ""price"")) * 100,
    IF(calc=0, G190, calc)
  ), 
G190)"),"#N/A")</f>
        <v>#N/A</v>
      </c>
      <c r="S190" s="8" t="s">
        <v>15</v>
      </c>
      <c r="T190" s="26" t="str">
        <f>IFERROR(__xludf.DUMMYFUNCTION("IFERROR(TRANSPOSE(QUERY(IFERROR(SORT(GOOGLEFINANCE(C190, ""price"", WORKDAY(TODAY(), -40), TODAY()), 1, FALSE)), ""select Col2 where Col2 is not null limit 22 label Col2 ''"", 0)), """")"),"")</f>
        <v/>
      </c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8"/>
      <c r="AO190" s="28"/>
      <c r="AP190" s="29"/>
      <c r="AQ190" s="29" t="str">
        <f t="shared" ref="AQ190:BL190" si="193">T190/T$2</f>
        <v>#N/A</v>
      </c>
      <c r="AR190" s="29" t="str">
        <f t="shared" si="193"/>
        <v>#DIV/0!</v>
      </c>
      <c r="AS190" s="29" t="str">
        <f t="shared" si="193"/>
        <v>#DIV/0!</v>
      </c>
      <c r="AT190" s="29" t="str">
        <f t="shared" si="193"/>
        <v>#DIV/0!</v>
      </c>
      <c r="AU190" s="29" t="str">
        <f t="shared" si="193"/>
        <v>#DIV/0!</v>
      </c>
      <c r="AV190" s="29" t="str">
        <f t="shared" si="193"/>
        <v>#DIV/0!</v>
      </c>
      <c r="AW190" s="29" t="str">
        <f t="shared" si="193"/>
        <v>#DIV/0!</v>
      </c>
      <c r="AX190" s="29" t="str">
        <f t="shared" si="193"/>
        <v>#DIV/0!</v>
      </c>
      <c r="AY190" s="29" t="str">
        <f t="shared" si="193"/>
        <v>#DIV/0!</v>
      </c>
      <c r="AZ190" s="29" t="str">
        <f t="shared" si="193"/>
        <v>#DIV/0!</v>
      </c>
      <c r="BA190" s="29" t="str">
        <f t="shared" si="193"/>
        <v>#DIV/0!</v>
      </c>
      <c r="BB190" s="29" t="str">
        <f t="shared" si="193"/>
        <v>#DIV/0!</v>
      </c>
      <c r="BC190" s="29" t="str">
        <f t="shared" si="193"/>
        <v>#DIV/0!</v>
      </c>
      <c r="BD190" s="29" t="str">
        <f t="shared" si="193"/>
        <v>#DIV/0!</v>
      </c>
      <c r="BE190" s="29" t="str">
        <f t="shared" si="193"/>
        <v>#DIV/0!</v>
      </c>
      <c r="BF190" s="29" t="str">
        <f t="shared" si="193"/>
        <v>#DIV/0!</v>
      </c>
      <c r="BG190" s="29" t="str">
        <f t="shared" si="193"/>
        <v>#DIV/0!</v>
      </c>
      <c r="BH190" s="29" t="str">
        <f t="shared" si="193"/>
        <v>#DIV/0!</v>
      </c>
      <c r="BI190" s="29" t="str">
        <f t="shared" si="193"/>
        <v>#DIV/0!</v>
      </c>
      <c r="BJ190" s="29" t="str">
        <f t="shared" si="193"/>
        <v>#DIV/0!</v>
      </c>
      <c r="BK190" s="29" t="str">
        <f t="shared" si="193"/>
        <v>#DIV/0!</v>
      </c>
      <c r="BL190" s="29" t="str">
        <f t="shared" si="193"/>
        <v>#DIV/0!</v>
      </c>
      <c r="BM190" s="29" t="str">
        <f t="shared" si="3"/>
        <v>#DIV/0!</v>
      </c>
    </row>
    <row r="191">
      <c r="A191" s="16" t="str">
        <f>IFERROR(__xludf.DUMMYFUNCTION("IFERROR(SPARKLINE(SORT(MAP(TRANSPOSE(AQ191:BL191), LAMBDA(val, IF(ISNUMBER(val), PERCENTRANK(AQ191:BL191, val)+0.01, 0))), SEQUENCE(COLUMNS(AQ191:BL191)), FALSE), {""charttype"",""column""; ""color"",""chartreuse""; ""ymin"", 0; ""ymax"", 1.01; ""highcolo"&amp;"r"", ""darkgreen""; ""lowcolor"", ""red""}), """")"),"")</f>
        <v/>
      </c>
      <c r="B191" s="17" t="str">
        <f t="shared" si="4"/>
        <v/>
      </c>
      <c r="C191" s="1" t="s">
        <v>1585</v>
      </c>
      <c r="D191" s="30" t="str">
        <f>IFERROR(__xludf.DUMMYFUNCTION("IFERROR(GOOGLEFINANCE(C191, ""NAME""))"),"Lockheed Martin Corp")</f>
        <v>Lockheed Martin Corp</v>
      </c>
      <c r="E191" s="30" t="s">
        <v>839</v>
      </c>
      <c r="F191" s="33" t="str">
        <f>IFERROR(__xludf.DUMMYFUNCTION("( (GOOGLEFINANCE(C191, ""price"") - Q191) / Q191 ) / (R191 / 100)"),"Loading...")</f>
        <v>Loading...</v>
      </c>
      <c r="G191" s="20" t="str">
        <f>IFERROR(__xludf.DUMMYFUNCTION("AVERAGE(ARRAYFORMULA(100 * (QUERY(GOOGLEFINANCE(C191, ""high"", TODAY()-40, TODAY()), ""SELECT Col2 WHERE Col2 IS NOT NULL ORDER BY Col1 DESC LIMIT 20"", 0) / QUERY(GOOGLEFINANCE(C191, ""low"", TODAY()-40, TODAY()), ""SELECT Col2 WHERE Col2 IS NOT NULL OR"&amp;"DER BY Col1 DESC LIMIT 20"", 0) - 1)))"),"#N/A")</f>
        <v>#N/A</v>
      </c>
      <c r="H191" s="35" t="str">
        <f t="shared" si="6"/>
        <v/>
      </c>
      <c r="I191" s="35" t="str">
        <f t="shared" si="7"/>
        <v/>
      </c>
      <c r="J191" s="37" t="str">
        <f>IFERROR(__xludf.DUMMYFUNCTION("IFERROR(
  IF(C191="""",, 
    IFERROR(
      GOOGLEFINANCE(C191, ""price"") * GOOGLEFINANCE(C191, ""volumeavg""), 
      GOOGLEFINANCE(C191, ""price"") * AVERAGE(QUERY(GOOGLEFINANCE(C191, ""volume"", TODAY()-40, TODAY()), ""SELECT Col2 WHERE Col2 IS NOT "&amp;"NULL ORDER BY Col1 DESC LIMIT 20"", 0))
    )
  ), 
"""")"),"")</f>
        <v/>
      </c>
      <c r="K191" s="21" t="str">
        <f>IFERROR(__xludf.DUMMYFUNCTION("IFERROR(GOOGLEFINANCE(C191, ""changepct"") / 100, """")"),"")</f>
        <v/>
      </c>
      <c r="L191" s="21" t="str">
        <f>IFERROR(__xludf.DUMMYFUNCTION("IFERROR((GOOGLEFINANCE(C191, ""price"") / INDEX(GOOGLEFINANCE(C191, ""price"", TODAY()-7, TODAY()), 2, 2)) - 1, """")"),"")</f>
        <v/>
      </c>
      <c r="M191" s="21" t="str">
        <f>IFERROR(__xludf.DUMMYFUNCTION("IFERROR((GOOGLEFINANCE(C191, ""price"") / INDEX(GOOGLEFINANCE(C191, ""price"", EDATE(TODAY(), -1), TODAY()), 2, 2)) - 1, """")"),"")</f>
        <v/>
      </c>
      <c r="N191" s="21" t="str">
        <f>IFERROR(__xludf.DUMMYFUNCTION("IFERROR((GOOGLEFINANCE(C191, ""price"") / INDEX(GOOGLEFINANCE(C191, ""price"", EDATE(TODAY(), -3), TODAY()), 2, 2)) - 1, """")"),"")</f>
        <v/>
      </c>
      <c r="O191" s="21" t="str">
        <f>IFERROR(__xludf.DUMMYFUNCTION("IFERROR((GOOGLEFINANCE(C191, ""price"") / INDEX(GOOGLEFINANCE(C191, ""price"", EDATE(TODAY(), -6), TODAY()), 2, 2)) - 1, """")"),"")</f>
        <v/>
      </c>
      <c r="P191" s="21" t="str">
        <f>IFERROR(__xludf.DUMMYFUNCTION("IFERROR((GOOGLEFINANCE(C191, ""price"") / INDEX(GOOGLEFINANCE(C191, ""price"", EDATE(TODAY(), -12), TODAY()), 2, 2)) - 1, """")"),"")</f>
        <v/>
      </c>
      <c r="Q191" s="6" t="str">
        <f>IFERROR(__xludf.DUMMYFUNCTION("AVERAGE(QUERY(GOOGLEFINANCE(C191, ""price"", TODAY()-80, TODAY()), ""SELECT Col2 WHERE Col2 IS NOT NULL ORDER BY Col1 DESC LIMIT 50"", 0))"),"#N/A")</f>
        <v>#N/A</v>
      </c>
      <c r="R191" s="24" t="str">
        <f>IFERROR(__xludf.DUMMYFUNCTION("IFERROR(
  LET(
    data, QUERY(GOOGLEFINANCE(C191,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GOOGLEFINANCE(C191, ""price"")) * 100,
    IF(calc=0, G191, calc)
  ), 
G191)"),"#N/A")</f>
        <v>#N/A</v>
      </c>
      <c r="S191" s="8" t="s">
        <v>15</v>
      </c>
      <c r="T191" s="26" t="str">
        <f>IFERROR(__xludf.DUMMYFUNCTION("IFERROR(TRANSPOSE(QUERY(IFERROR(SORT(GOOGLEFINANCE(C191, ""price"", WORKDAY(TODAY(), -40), TODAY()), 1, FALSE)), ""select Col2 where Col2 is not null limit 22 label Col2 ''"", 0)), """")"),"")</f>
        <v/>
      </c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8"/>
      <c r="AO191" s="28"/>
      <c r="AP191" s="29"/>
      <c r="AQ191" s="29" t="str">
        <f t="shared" ref="AQ191:BL191" si="194">T191/T$2</f>
        <v>#N/A</v>
      </c>
      <c r="AR191" s="29" t="str">
        <f t="shared" si="194"/>
        <v>#DIV/0!</v>
      </c>
      <c r="AS191" s="29" t="str">
        <f t="shared" si="194"/>
        <v>#DIV/0!</v>
      </c>
      <c r="AT191" s="29" t="str">
        <f t="shared" si="194"/>
        <v>#DIV/0!</v>
      </c>
      <c r="AU191" s="29" t="str">
        <f t="shared" si="194"/>
        <v>#DIV/0!</v>
      </c>
      <c r="AV191" s="29" t="str">
        <f t="shared" si="194"/>
        <v>#DIV/0!</v>
      </c>
      <c r="AW191" s="29" t="str">
        <f t="shared" si="194"/>
        <v>#DIV/0!</v>
      </c>
      <c r="AX191" s="29" t="str">
        <f t="shared" si="194"/>
        <v>#DIV/0!</v>
      </c>
      <c r="AY191" s="29" t="str">
        <f t="shared" si="194"/>
        <v>#DIV/0!</v>
      </c>
      <c r="AZ191" s="29" t="str">
        <f t="shared" si="194"/>
        <v>#DIV/0!</v>
      </c>
      <c r="BA191" s="29" t="str">
        <f t="shared" si="194"/>
        <v>#DIV/0!</v>
      </c>
      <c r="BB191" s="29" t="str">
        <f t="shared" si="194"/>
        <v>#DIV/0!</v>
      </c>
      <c r="BC191" s="29" t="str">
        <f t="shared" si="194"/>
        <v>#DIV/0!</v>
      </c>
      <c r="BD191" s="29" t="str">
        <f t="shared" si="194"/>
        <v>#DIV/0!</v>
      </c>
      <c r="BE191" s="29" t="str">
        <f t="shared" si="194"/>
        <v>#DIV/0!</v>
      </c>
      <c r="BF191" s="29" t="str">
        <f t="shared" si="194"/>
        <v>#DIV/0!</v>
      </c>
      <c r="BG191" s="29" t="str">
        <f t="shared" si="194"/>
        <v>#DIV/0!</v>
      </c>
      <c r="BH191" s="29" t="str">
        <f t="shared" si="194"/>
        <v>#DIV/0!</v>
      </c>
      <c r="BI191" s="29" t="str">
        <f t="shared" si="194"/>
        <v>#DIV/0!</v>
      </c>
      <c r="BJ191" s="29" t="str">
        <f t="shared" si="194"/>
        <v>#DIV/0!</v>
      </c>
      <c r="BK191" s="29" t="str">
        <f t="shared" si="194"/>
        <v>#DIV/0!</v>
      </c>
      <c r="BL191" s="29" t="str">
        <f t="shared" si="194"/>
        <v>#DIV/0!</v>
      </c>
      <c r="BM191" s="29" t="str">
        <f t="shared" si="3"/>
        <v>#DIV/0!</v>
      </c>
    </row>
    <row r="192">
      <c r="A192" s="16" t="str">
        <f>IFERROR(__xludf.DUMMYFUNCTION("IFERROR(SPARKLINE(SORT(MAP(TRANSPOSE(AQ192:BL192), LAMBDA(val, IF(ISNUMBER(val), PERCENTRANK(AQ192:BL192, val)+0.01, 0))), SEQUENCE(COLUMNS(AQ192:BL192)), FALSE), {""charttype"",""column""; ""color"",""chartreuse""; ""ymin"", 0; ""ymax"", 1.01; ""highcolo"&amp;"r"", ""darkgreen""; ""lowcolor"", ""red""}), """")"),"")</f>
        <v/>
      </c>
      <c r="B192" s="17" t="str">
        <f t="shared" si="4"/>
        <v/>
      </c>
      <c r="C192" s="1" t="s">
        <v>1590</v>
      </c>
      <c r="D192" s="30" t="str">
        <f>IFERROR(__xludf.DUMMYFUNCTION("IFERROR(GOOGLEFINANCE(C192, ""NAME""))"),"SBC Medical Group Holdings Inc")</f>
        <v>SBC Medical Group Holdings Inc</v>
      </c>
      <c r="E192" s="30" t="s">
        <v>1591</v>
      </c>
      <c r="F192" s="33" t="str">
        <f>IFERROR(__xludf.DUMMYFUNCTION("( (GOOGLEFINANCE(C192, ""price"") - Q192) / Q192 ) / (R192 / 100)"),"Loading...")</f>
        <v>Loading...</v>
      </c>
      <c r="G192" s="20" t="str">
        <f>IFERROR(__xludf.DUMMYFUNCTION("AVERAGE(ARRAYFORMULA(100 * (QUERY(GOOGLEFINANCE(C192, ""high"", TODAY()-40, TODAY()), ""SELECT Col2 WHERE Col2 IS NOT NULL ORDER BY Col1 DESC LIMIT 20"", 0) / QUERY(GOOGLEFINANCE(C192, ""low"", TODAY()-40, TODAY()), ""SELECT Col2 WHERE Col2 IS NOT NULL OR"&amp;"DER BY Col1 DESC LIMIT 20"", 0) - 1)))"),"#N/A")</f>
        <v>#N/A</v>
      </c>
      <c r="H192" s="35" t="str">
        <f t="shared" si="6"/>
        <v/>
      </c>
      <c r="I192" s="35" t="str">
        <f t="shared" si="7"/>
        <v/>
      </c>
      <c r="J192" s="37" t="str">
        <f>IFERROR(__xludf.DUMMYFUNCTION("IFERROR(
  IF(C192="""",, 
    IFERROR(
      GOOGLEFINANCE(C192, ""price"") * GOOGLEFINANCE(C192, ""volumeavg""), 
      GOOGLEFINANCE(C192, ""price"") * AVERAGE(QUERY(GOOGLEFINANCE(C192, ""volume"", TODAY()-40, TODAY()), ""SELECT Col2 WHERE Col2 IS NOT "&amp;"NULL ORDER BY Col1 DESC LIMIT 20"", 0))
    )
  ), 
"""")"),"")</f>
        <v/>
      </c>
      <c r="K192" s="21" t="str">
        <f>IFERROR(__xludf.DUMMYFUNCTION("IFERROR(GOOGLEFINANCE(C192, ""changepct"") / 100, """")"),"")</f>
        <v/>
      </c>
      <c r="L192" s="21" t="str">
        <f>IFERROR(__xludf.DUMMYFUNCTION("IFERROR((GOOGLEFINANCE(C192, ""price"") / INDEX(GOOGLEFINANCE(C192, ""price"", TODAY()-7, TODAY()), 2, 2)) - 1, """")"),"")</f>
        <v/>
      </c>
      <c r="M192" s="21" t="str">
        <f>IFERROR(__xludf.DUMMYFUNCTION("IFERROR((GOOGLEFINANCE(C192, ""price"") / INDEX(GOOGLEFINANCE(C192, ""price"", EDATE(TODAY(), -1), TODAY()), 2, 2)) - 1, """")"),"")</f>
        <v/>
      </c>
      <c r="N192" s="21" t="str">
        <f>IFERROR(__xludf.DUMMYFUNCTION("IFERROR((GOOGLEFINANCE(C192, ""price"") / INDEX(GOOGLEFINANCE(C192, ""price"", EDATE(TODAY(), -3), TODAY()), 2, 2)) - 1, """")"),"")</f>
        <v/>
      </c>
      <c r="O192" s="21" t="str">
        <f>IFERROR(__xludf.DUMMYFUNCTION("IFERROR((GOOGLEFINANCE(C192, ""price"") / INDEX(GOOGLEFINANCE(C192, ""price"", EDATE(TODAY(), -6), TODAY()), 2, 2)) - 1, """")"),"")</f>
        <v/>
      </c>
      <c r="P192" s="21" t="str">
        <f>IFERROR(__xludf.DUMMYFUNCTION("IFERROR((GOOGLEFINANCE(C192, ""price"") / INDEX(GOOGLEFINANCE(C192, ""price"", EDATE(TODAY(), -12), TODAY()), 2, 2)) - 1, """")"),"")</f>
        <v/>
      </c>
      <c r="Q192" s="6" t="str">
        <f>IFERROR(__xludf.DUMMYFUNCTION("AVERAGE(QUERY(GOOGLEFINANCE(C192, ""price"", TODAY()-80, TODAY()), ""SELECT Col2 WHERE Col2 IS NOT NULL ORDER BY Col1 DESC LIMIT 50"", 0))"),"#N/A")</f>
        <v>#N/A</v>
      </c>
      <c r="R192" s="24" t="str">
        <f>IFERROR(__xludf.DUMMYFUNCTION("IFERROR(
  LET(
    data, QUERY(GOOGLEFINANCE(C192,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GOOGLEFINANCE(C192, ""price"")) * 100,
    IF(calc=0, G192, calc)
  ), 
G192)"),"#N/A")</f>
        <v>#N/A</v>
      </c>
      <c r="S192" s="8" t="s">
        <v>15</v>
      </c>
      <c r="T192" s="26" t="str">
        <f>IFERROR(__xludf.DUMMYFUNCTION("IFERROR(TRANSPOSE(QUERY(IFERROR(SORT(GOOGLEFINANCE(C192, ""price"", WORKDAY(TODAY(), -40), TODAY()), 1, FALSE)), ""select Col2 where Col2 is not null limit 22 label Col2 ''"", 0)), """")"),"")</f>
        <v/>
      </c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8"/>
      <c r="AO192" s="28"/>
      <c r="AP192" s="29"/>
      <c r="AQ192" s="29" t="str">
        <f t="shared" ref="AQ192:BL192" si="195">T192/T$2</f>
        <v>#N/A</v>
      </c>
      <c r="AR192" s="29" t="str">
        <f t="shared" si="195"/>
        <v>#DIV/0!</v>
      </c>
      <c r="AS192" s="29" t="str">
        <f t="shared" si="195"/>
        <v>#DIV/0!</v>
      </c>
      <c r="AT192" s="29" t="str">
        <f t="shared" si="195"/>
        <v>#DIV/0!</v>
      </c>
      <c r="AU192" s="29" t="str">
        <f t="shared" si="195"/>
        <v>#DIV/0!</v>
      </c>
      <c r="AV192" s="29" t="str">
        <f t="shared" si="195"/>
        <v>#DIV/0!</v>
      </c>
      <c r="AW192" s="29" t="str">
        <f t="shared" si="195"/>
        <v>#DIV/0!</v>
      </c>
      <c r="AX192" s="29" t="str">
        <f t="shared" si="195"/>
        <v>#DIV/0!</v>
      </c>
      <c r="AY192" s="29" t="str">
        <f t="shared" si="195"/>
        <v>#DIV/0!</v>
      </c>
      <c r="AZ192" s="29" t="str">
        <f t="shared" si="195"/>
        <v>#DIV/0!</v>
      </c>
      <c r="BA192" s="29" t="str">
        <f t="shared" si="195"/>
        <v>#DIV/0!</v>
      </c>
      <c r="BB192" s="29" t="str">
        <f t="shared" si="195"/>
        <v>#DIV/0!</v>
      </c>
      <c r="BC192" s="29" t="str">
        <f t="shared" si="195"/>
        <v>#DIV/0!</v>
      </c>
      <c r="BD192" s="29" t="str">
        <f t="shared" si="195"/>
        <v>#DIV/0!</v>
      </c>
      <c r="BE192" s="29" t="str">
        <f t="shared" si="195"/>
        <v>#DIV/0!</v>
      </c>
      <c r="BF192" s="29" t="str">
        <f t="shared" si="195"/>
        <v>#DIV/0!</v>
      </c>
      <c r="BG192" s="29" t="str">
        <f t="shared" si="195"/>
        <v>#DIV/0!</v>
      </c>
      <c r="BH192" s="29" t="str">
        <f t="shared" si="195"/>
        <v>#DIV/0!</v>
      </c>
      <c r="BI192" s="29" t="str">
        <f t="shared" si="195"/>
        <v>#DIV/0!</v>
      </c>
      <c r="BJ192" s="29" t="str">
        <f t="shared" si="195"/>
        <v>#DIV/0!</v>
      </c>
      <c r="BK192" s="29" t="str">
        <f t="shared" si="195"/>
        <v>#DIV/0!</v>
      </c>
      <c r="BL192" s="29" t="str">
        <f t="shared" si="195"/>
        <v>#DIV/0!</v>
      </c>
      <c r="BM192" s="29" t="str">
        <f t="shared" si="3"/>
        <v>#DIV/0!</v>
      </c>
    </row>
    <row r="193">
      <c r="A193" s="16" t="str">
        <f>IFERROR(__xludf.DUMMYFUNCTION("IFERROR(SPARKLINE(SORT(MAP(TRANSPOSE(AQ193:BL193), LAMBDA(val, IF(ISNUMBER(val), PERCENTRANK(AQ193:BL193, val)+0.01, 0))), SEQUENCE(COLUMNS(AQ193:BL193)), FALSE), {""charttype"",""column""; ""color"",""chartreuse""; ""ymin"", 0; ""ymax"", 1.01; ""highcolo"&amp;"r"", ""darkgreen""; ""lowcolor"", ""red""}), """")"),"")</f>
        <v/>
      </c>
      <c r="B193" s="17" t="str">
        <f t="shared" si="4"/>
        <v/>
      </c>
      <c r="C193" s="1" t="s">
        <v>1595</v>
      </c>
      <c r="D193" s="30" t="str">
        <f>IFERROR(__xludf.DUMMYFUNCTION("IFERROR(GOOGLEFINANCE(C193, ""NAME""))"),"Grupo Aeromexico SAB de CV - ADR")</f>
        <v>Grupo Aeromexico SAB de CV - ADR</v>
      </c>
      <c r="E193" s="30" t="s">
        <v>1134</v>
      </c>
      <c r="F193" s="33" t="str">
        <f>IFERROR(__xludf.DUMMYFUNCTION("( (GOOGLEFINANCE(C193, ""price"") - Q193) / Q193 ) / (R193 / 100)"),"Loading...")</f>
        <v>Loading...</v>
      </c>
      <c r="G193" s="20" t="str">
        <f>IFERROR(__xludf.DUMMYFUNCTION("AVERAGE(ARRAYFORMULA(100 * (QUERY(GOOGLEFINANCE(C193, ""high"", TODAY()-40, TODAY()), ""SELECT Col2 WHERE Col2 IS NOT NULL ORDER BY Col1 DESC LIMIT 20"", 0) / QUERY(GOOGLEFINANCE(C193, ""low"", TODAY()-40, TODAY()), ""SELECT Col2 WHERE Col2 IS NOT NULL OR"&amp;"DER BY Col1 DESC LIMIT 20"", 0) - 1)))"),"#N/A")</f>
        <v>#N/A</v>
      </c>
      <c r="H193" s="35" t="str">
        <f t="shared" si="6"/>
        <v/>
      </c>
      <c r="I193" s="35" t="str">
        <f t="shared" si="7"/>
        <v/>
      </c>
      <c r="J193" s="37" t="str">
        <f>IFERROR(__xludf.DUMMYFUNCTION("IFERROR(
  IF(C193="""",, 
    IFERROR(
      GOOGLEFINANCE(C193, ""price"") * GOOGLEFINANCE(C193, ""volumeavg""), 
      GOOGLEFINANCE(C193, ""price"") * AVERAGE(QUERY(GOOGLEFINANCE(C193, ""volume"", TODAY()-40, TODAY()), ""SELECT Col2 WHERE Col2 IS NOT "&amp;"NULL ORDER BY Col1 DESC LIMIT 20"", 0))
    )
  ), 
"""")"),"")</f>
        <v/>
      </c>
      <c r="K193" s="21" t="str">
        <f>IFERROR(__xludf.DUMMYFUNCTION("IFERROR(GOOGLEFINANCE(C193, ""changepct"") / 100, """")"),"")</f>
        <v/>
      </c>
      <c r="L193" s="21" t="str">
        <f>IFERROR(__xludf.DUMMYFUNCTION("IFERROR((GOOGLEFINANCE(C193, ""price"") / INDEX(GOOGLEFINANCE(C193, ""price"", TODAY()-7, TODAY()), 2, 2)) - 1, """")"),"")</f>
        <v/>
      </c>
      <c r="M193" s="21" t="str">
        <f>IFERROR(__xludf.DUMMYFUNCTION("IFERROR((GOOGLEFINANCE(C193, ""price"") / INDEX(GOOGLEFINANCE(C193, ""price"", EDATE(TODAY(), -1), TODAY()), 2, 2)) - 1, """")"),"")</f>
        <v/>
      </c>
      <c r="N193" s="21" t="str">
        <f>IFERROR(__xludf.DUMMYFUNCTION("IFERROR((GOOGLEFINANCE(C193, ""price"") / INDEX(GOOGLEFINANCE(C193, ""price"", EDATE(TODAY(), -3), TODAY()), 2, 2)) - 1, """")"),"")</f>
        <v/>
      </c>
      <c r="O193" s="21" t="str">
        <f>IFERROR(__xludf.DUMMYFUNCTION("IFERROR((GOOGLEFINANCE(C193, ""price"") / INDEX(GOOGLEFINANCE(C193, ""price"", EDATE(TODAY(), -6), TODAY()), 2, 2)) - 1, """")"),"")</f>
        <v/>
      </c>
      <c r="P193" s="21" t="str">
        <f>IFERROR(__xludf.DUMMYFUNCTION("IFERROR((GOOGLEFINANCE(C193, ""price"") / INDEX(GOOGLEFINANCE(C193, ""price"", EDATE(TODAY(), -12), TODAY()), 2, 2)) - 1, """")"),"")</f>
        <v/>
      </c>
      <c r="Q193" s="6" t="str">
        <f>IFERROR(__xludf.DUMMYFUNCTION("AVERAGE(QUERY(GOOGLEFINANCE(C193, ""price"", TODAY()-80, TODAY()), ""SELECT Col2 WHERE Col2 IS NOT NULL ORDER BY Col1 DESC LIMIT 50"", 0))"),"#N/A")</f>
        <v>#N/A</v>
      </c>
      <c r="R193" s="24" t="str">
        <f>IFERROR(__xludf.DUMMYFUNCTION("IFERROR(
  LET(
    data, QUERY(GOOGLEFINANCE(C193,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GOOGLEFINANCE(C193, ""price"")) * 100,
    IF(calc=0, G193, calc)
  ), 
G193)"),"#N/A")</f>
        <v>#N/A</v>
      </c>
      <c r="S193" s="8" t="s">
        <v>15</v>
      </c>
      <c r="T193" s="26" t="str">
        <f>IFERROR(__xludf.DUMMYFUNCTION("IFERROR(TRANSPOSE(QUERY(IFERROR(SORT(GOOGLEFINANCE(C193, ""price"", WORKDAY(TODAY(), -40), TODAY()), 1, FALSE)), ""select Col2 where Col2 is not null limit 22 label Col2 ''"", 0)), """")"),"")</f>
        <v/>
      </c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8"/>
      <c r="AO193" s="28"/>
      <c r="AP193" s="29"/>
      <c r="AQ193" s="29" t="str">
        <f t="shared" ref="AQ193:BL193" si="196">T193/T$2</f>
        <v>#N/A</v>
      </c>
      <c r="AR193" s="29" t="str">
        <f t="shared" si="196"/>
        <v>#DIV/0!</v>
      </c>
      <c r="AS193" s="29" t="str">
        <f t="shared" si="196"/>
        <v>#DIV/0!</v>
      </c>
      <c r="AT193" s="29" t="str">
        <f t="shared" si="196"/>
        <v>#DIV/0!</v>
      </c>
      <c r="AU193" s="29" t="str">
        <f t="shared" si="196"/>
        <v>#DIV/0!</v>
      </c>
      <c r="AV193" s="29" t="str">
        <f t="shared" si="196"/>
        <v>#DIV/0!</v>
      </c>
      <c r="AW193" s="29" t="str">
        <f t="shared" si="196"/>
        <v>#DIV/0!</v>
      </c>
      <c r="AX193" s="29" t="str">
        <f t="shared" si="196"/>
        <v>#DIV/0!</v>
      </c>
      <c r="AY193" s="29" t="str">
        <f t="shared" si="196"/>
        <v>#DIV/0!</v>
      </c>
      <c r="AZ193" s="29" t="str">
        <f t="shared" si="196"/>
        <v>#DIV/0!</v>
      </c>
      <c r="BA193" s="29" t="str">
        <f t="shared" si="196"/>
        <v>#DIV/0!</v>
      </c>
      <c r="BB193" s="29" t="str">
        <f t="shared" si="196"/>
        <v>#DIV/0!</v>
      </c>
      <c r="BC193" s="29" t="str">
        <f t="shared" si="196"/>
        <v>#DIV/0!</v>
      </c>
      <c r="BD193" s="29" t="str">
        <f t="shared" si="196"/>
        <v>#DIV/0!</v>
      </c>
      <c r="BE193" s="29" t="str">
        <f t="shared" si="196"/>
        <v>#DIV/0!</v>
      </c>
      <c r="BF193" s="29" t="str">
        <f t="shared" si="196"/>
        <v>#DIV/0!</v>
      </c>
      <c r="BG193" s="29" t="str">
        <f t="shared" si="196"/>
        <v>#DIV/0!</v>
      </c>
      <c r="BH193" s="29" t="str">
        <f t="shared" si="196"/>
        <v>#DIV/0!</v>
      </c>
      <c r="BI193" s="29" t="str">
        <f t="shared" si="196"/>
        <v>#DIV/0!</v>
      </c>
      <c r="BJ193" s="29" t="str">
        <f t="shared" si="196"/>
        <v>#DIV/0!</v>
      </c>
      <c r="BK193" s="29" t="str">
        <f t="shared" si="196"/>
        <v>#DIV/0!</v>
      </c>
      <c r="BL193" s="29" t="str">
        <f t="shared" si="196"/>
        <v>#DIV/0!</v>
      </c>
      <c r="BM193" s="29" t="str">
        <f t="shared" si="3"/>
        <v>#DIV/0!</v>
      </c>
    </row>
    <row r="194">
      <c r="A194" s="16" t="str">
        <f>IFERROR(__xludf.DUMMYFUNCTION("IFERROR(SPARKLINE(SORT(MAP(TRANSPOSE(AQ194:BL194), LAMBDA(val, IF(ISNUMBER(val), PERCENTRANK(AQ194:BL194, val)+0.01, 0))), SEQUENCE(COLUMNS(AQ194:BL194)), FALSE), {""charttype"",""column""; ""color"",""chartreuse""; ""ymin"", 0; ""ymax"", 1.01; ""highcolo"&amp;"r"", ""darkgreen""; ""lowcolor"", ""red""}), """")"),"")</f>
        <v/>
      </c>
      <c r="B194" s="17" t="str">
        <f t="shared" si="4"/>
        <v/>
      </c>
      <c r="C194" s="1" t="s">
        <v>1598</v>
      </c>
      <c r="D194" s="30" t="str">
        <f>IFERROR(__xludf.DUMMYFUNCTION("IFERROR(GOOGLEFINANCE(C194, ""NAME""))"),"Allegiant Travel Company")</f>
        <v>Allegiant Travel Company</v>
      </c>
      <c r="E194" s="30" t="s">
        <v>1134</v>
      </c>
      <c r="F194" s="33" t="str">
        <f>IFERROR(__xludf.DUMMYFUNCTION("( (GOOGLEFINANCE(C194, ""price"") - Q194) / Q194 ) / (R194 / 100)"),"Loading...")</f>
        <v>Loading...</v>
      </c>
      <c r="G194" s="20" t="str">
        <f>IFERROR(__xludf.DUMMYFUNCTION("AVERAGE(ARRAYFORMULA(100 * (QUERY(GOOGLEFINANCE(C194, ""high"", TODAY()-40, TODAY()), ""SELECT Col2 WHERE Col2 IS NOT NULL ORDER BY Col1 DESC LIMIT 20"", 0) / QUERY(GOOGLEFINANCE(C194, ""low"", TODAY()-40, TODAY()), ""SELECT Col2 WHERE Col2 IS NOT NULL OR"&amp;"DER BY Col1 DESC LIMIT 20"", 0) - 1)))"),"#N/A")</f>
        <v>#N/A</v>
      </c>
      <c r="H194" s="35" t="str">
        <f t="shared" si="6"/>
        <v/>
      </c>
      <c r="I194" s="35" t="str">
        <f t="shared" si="7"/>
        <v/>
      </c>
      <c r="J194" s="37" t="str">
        <f>IFERROR(__xludf.DUMMYFUNCTION("IFERROR(
  IF(C194="""",, 
    IFERROR(
      GOOGLEFINANCE(C194, ""price"") * GOOGLEFINANCE(C194, ""volumeavg""), 
      GOOGLEFINANCE(C194, ""price"") * AVERAGE(QUERY(GOOGLEFINANCE(C194, ""volume"", TODAY()-40, TODAY()), ""SELECT Col2 WHERE Col2 IS NOT "&amp;"NULL ORDER BY Col1 DESC LIMIT 20"", 0))
    )
  ), 
"""")"),"")</f>
        <v/>
      </c>
      <c r="K194" s="21" t="str">
        <f>IFERROR(__xludf.DUMMYFUNCTION("IFERROR(GOOGLEFINANCE(C194, ""changepct"") / 100, """")"),"")</f>
        <v/>
      </c>
      <c r="L194" s="21" t="str">
        <f>IFERROR(__xludf.DUMMYFUNCTION("IFERROR((GOOGLEFINANCE(C194, ""price"") / INDEX(GOOGLEFINANCE(C194, ""price"", TODAY()-7, TODAY()), 2, 2)) - 1, """")"),"")</f>
        <v/>
      </c>
      <c r="M194" s="21" t="str">
        <f>IFERROR(__xludf.DUMMYFUNCTION("IFERROR((GOOGLEFINANCE(C194, ""price"") / INDEX(GOOGLEFINANCE(C194, ""price"", EDATE(TODAY(), -1), TODAY()), 2, 2)) - 1, """")"),"")</f>
        <v/>
      </c>
      <c r="N194" s="21" t="str">
        <f>IFERROR(__xludf.DUMMYFUNCTION("IFERROR((GOOGLEFINANCE(C194, ""price"") / INDEX(GOOGLEFINANCE(C194, ""price"", EDATE(TODAY(), -3), TODAY()), 2, 2)) - 1, """")"),"")</f>
        <v/>
      </c>
      <c r="O194" s="21" t="str">
        <f>IFERROR(__xludf.DUMMYFUNCTION("IFERROR((GOOGLEFINANCE(C194, ""price"") / INDEX(GOOGLEFINANCE(C194, ""price"", EDATE(TODAY(), -6), TODAY()), 2, 2)) - 1, """")"),"")</f>
        <v/>
      </c>
      <c r="P194" s="21" t="str">
        <f>IFERROR(__xludf.DUMMYFUNCTION("IFERROR((GOOGLEFINANCE(C194, ""price"") / INDEX(GOOGLEFINANCE(C194, ""price"", EDATE(TODAY(), -12), TODAY()), 2, 2)) - 1, """")"),"")</f>
        <v/>
      </c>
      <c r="Q194" s="6" t="str">
        <f>IFERROR(__xludf.DUMMYFUNCTION("AVERAGE(QUERY(GOOGLEFINANCE(C194, ""price"", TODAY()-80, TODAY()), ""SELECT Col2 WHERE Col2 IS NOT NULL ORDER BY Col1 DESC LIMIT 50"", 0))"),"#N/A")</f>
        <v>#N/A</v>
      </c>
      <c r="R194" s="24" t="str">
        <f>IFERROR(__xludf.DUMMYFUNCTION("IFERROR(
  LET(
    data, QUERY(GOOGLEFINANCE(C194,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GOOGLEFINANCE(C194, ""price"")) * 100,
    IF(calc=0, G194, calc)
  ), 
G194)"),"#N/A")</f>
        <v>#N/A</v>
      </c>
      <c r="S194" s="8" t="s">
        <v>15</v>
      </c>
      <c r="T194" s="26" t="str">
        <f>IFERROR(__xludf.DUMMYFUNCTION("IFERROR(TRANSPOSE(QUERY(IFERROR(SORT(GOOGLEFINANCE(C194, ""price"", WORKDAY(TODAY(), -40), TODAY()), 1, FALSE)), ""select Col2 where Col2 is not null limit 22 label Col2 ''"", 0)), """")"),"")</f>
        <v/>
      </c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8"/>
      <c r="AO194" s="28"/>
      <c r="AP194" s="29"/>
      <c r="AQ194" s="29" t="str">
        <f t="shared" ref="AQ194:BL194" si="197">T194/T$2</f>
        <v>#N/A</v>
      </c>
      <c r="AR194" s="29" t="str">
        <f t="shared" si="197"/>
        <v>#DIV/0!</v>
      </c>
      <c r="AS194" s="29" t="str">
        <f t="shared" si="197"/>
        <v>#DIV/0!</v>
      </c>
      <c r="AT194" s="29" t="str">
        <f t="shared" si="197"/>
        <v>#DIV/0!</v>
      </c>
      <c r="AU194" s="29" t="str">
        <f t="shared" si="197"/>
        <v>#DIV/0!</v>
      </c>
      <c r="AV194" s="29" t="str">
        <f t="shared" si="197"/>
        <v>#DIV/0!</v>
      </c>
      <c r="AW194" s="29" t="str">
        <f t="shared" si="197"/>
        <v>#DIV/0!</v>
      </c>
      <c r="AX194" s="29" t="str">
        <f t="shared" si="197"/>
        <v>#DIV/0!</v>
      </c>
      <c r="AY194" s="29" t="str">
        <f t="shared" si="197"/>
        <v>#DIV/0!</v>
      </c>
      <c r="AZ194" s="29" t="str">
        <f t="shared" si="197"/>
        <v>#DIV/0!</v>
      </c>
      <c r="BA194" s="29" t="str">
        <f t="shared" si="197"/>
        <v>#DIV/0!</v>
      </c>
      <c r="BB194" s="29" t="str">
        <f t="shared" si="197"/>
        <v>#DIV/0!</v>
      </c>
      <c r="BC194" s="29" t="str">
        <f t="shared" si="197"/>
        <v>#DIV/0!</v>
      </c>
      <c r="BD194" s="29" t="str">
        <f t="shared" si="197"/>
        <v>#DIV/0!</v>
      </c>
      <c r="BE194" s="29" t="str">
        <f t="shared" si="197"/>
        <v>#DIV/0!</v>
      </c>
      <c r="BF194" s="29" t="str">
        <f t="shared" si="197"/>
        <v>#DIV/0!</v>
      </c>
      <c r="BG194" s="29" t="str">
        <f t="shared" si="197"/>
        <v>#DIV/0!</v>
      </c>
      <c r="BH194" s="29" t="str">
        <f t="shared" si="197"/>
        <v>#DIV/0!</v>
      </c>
      <c r="BI194" s="29" t="str">
        <f t="shared" si="197"/>
        <v>#DIV/0!</v>
      </c>
      <c r="BJ194" s="29" t="str">
        <f t="shared" si="197"/>
        <v>#DIV/0!</v>
      </c>
      <c r="BK194" s="29" t="str">
        <f t="shared" si="197"/>
        <v>#DIV/0!</v>
      </c>
      <c r="BL194" s="29" t="str">
        <f t="shared" si="197"/>
        <v>#DIV/0!</v>
      </c>
      <c r="BM194" s="29" t="str">
        <f t="shared" si="3"/>
        <v>#DIV/0!</v>
      </c>
    </row>
    <row r="195">
      <c r="A195" s="16" t="str">
        <f>IFERROR(__xludf.DUMMYFUNCTION("IFERROR(SPARKLINE(SORT(MAP(TRANSPOSE(AQ195:BL195), LAMBDA(val, IF(ISNUMBER(val), PERCENTRANK(AQ195:BL195, val)+0.01, 0))), SEQUENCE(COLUMNS(AQ195:BL195)), FALSE), {""charttype"",""column""; ""color"",""chartreuse""; ""ymin"", 0; ""ymax"", 1.01; ""highcolo"&amp;"r"", ""darkgreen""; ""lowcolor"", ""red""}), """")"),"")</f>
        <v/>
      </c>
      <c r="B195" s="17" t="str">
        <f t="shared" si="4"/>
        <v/>
      </c>
      <c r="C195" s="1" t="s">
        <v>1602</v>
      </c>
      <c r="D195" s="30" t="str">
        <f>IFERROR(__xludf.DUMMYFUNCTION("IFERROR(GOOGLEFINANCE(C195, ""NAME""))"),"Covenant Logistics Group Inc")</f>
        <v>Covenant Logistics Group Inc</v>
      </c>
      <c r="E195" s="30" t="s">
        <v>1317</v>
      </c>
      <c r="F195" s="33" t="str">
        <f>IFERROR(__xludf.DUMMYFUNCTION("( (GOOGLEFINANCE(C195, ""price"") - Q195) / Q195 ) / (R195 / 100)"),"Loading...")</f>
        <v>Loading...</v>
      </c>
      <c r="G195" s="20" t="str">
        <f>IFERROR(__xludf.DUMMYFUNCTION("AVERAGE(ARRAYFORMULA(100 * (QUERY(GOOGLEFINANCE(C195, ""high"", TODAY()-40, TODAY()), ""SELECT Col2 WHERE Col2 IS NOT NULL ORDER BY Col1 DESC LIMIT 20"", 0) / QUERY(GOOGLEFINANCE(C195, ""low"", TODAY()-40, TODAY()), ""SELECT Col2 WHERE Col2 IS NOT NULL OR"&amp;"DER BY Col1 DESC LIMIT 20"", 0) - 1)))"),"#N/A")</f>
        <v>#N/A</v>
      </c>
      <c r="H195" s="35" t="str">
        <f t="shared" si="6"/>
        <v/>
      </c>
      <c r="I195" s="35" t="str">
        <f t="shared" si="7"/>
        <v/>
      </c>
      <c r="J195" s="37" t="str">
        <f>IFERROR(__xludf.DUMMYFUNCTION("IFERROR(
  IF(C195="""",, 
    IFERROR(
      GOOGLEFINANCE(C195, ""price"") * GOOGLEFINANCE(C195, ""volumeavg""), 
      GOOGLEFINANCE(C195, ""price"") * AVERAGE(QUERY(GOOGLEFINANCE(C195, ""volume"", TODAY()-40, TODAY()), ""SELECT Col2 WHERE Col2 IS NOT "&amp;"NULL ORDER BY Col1 DESC LIMIT 20"", 0))
    )
  ), 
"""")"),"")</f>
        <v/>
      </c>
      <c r="K195" s="21" t="str">
        <f>IFERROR(__xludf.DUMMYFUNCTION("IFERROR(GOOGLEFINANCE(C195, ""changepct"") / 100, """")"),"")</f>
        <v/>
      </c>
      <c r="L195" s="21" t="str">
        <f>IFERROR(__xludf.DUMMYFUNCTION("IFERROR((GOOGLEFINANCE(C195, ""price"") / INDEX(GOOGLEFINANCE(C195, ""price"", TODAY()-7, TODAY()), 2, 2)) - 1, """")"),"")</f>
        <v/>
      </c>
      <c r="M195" s="21" t="str">
        <f>IFERROR(__xludf.DUMMYFUNCTION("IFERROR((GOOGLEFINANCE(C195, ""price"") / INDEX(GOOGLEFINANCE(C195, ""price"", EDATE(TODAY(), -1), TODAY()), 2, 2)) - 1, """")"),"")</f>
        <v/>
      </c>
      <c r="N195" s="21" t="str">
        <f>IFERROR(__xludf.DUMMYFUNCTION("IFERROR((GOOGLEFINANCE(C195, ""price"") / INDEX(GOOGLEFINANCE(C195, ""price"", EDATE(TODAY(), -3), TODAY()), 2, 2)) - 1, """")"),"")</f>
        <v/>
      </c>
      <c r="O195" s="21" t="str">
        <f>IFERROR(__xludf.DUMMYFUNCTION("IFERROR((GOOGLEFINANCE(C195, ""price"") / INDEX(GOOGLEFINANCE(C195, ""price"", EDATE(TODAY(), -6), TODAY()), 2, 2)) - 1, """")"),"")</f>
        <v/>
      </c>
      <c r="P195" s="21" t="str">
        <f>IFERROR(__xludf.DUMMYFUNCTION("IFERROR((GOOGLEFINANCE(C195, ""price"") / INDEX(GOOGLEFINANCE(C195, ""price"", EDATE(TODAY(), -12), TODAY()), 2, 2)) - 1, """")"),"")</f>
        <v/>
      </c>
      <c r="Q195" s="6" t="str">
        <f>IFERROR(__xludf.DUMMYFUNCTION("AVERAGE(QUERY(GOOGLEFINANCE(C195, ""price"", TODAY()-80, TODAY()), ""SELECT Col2 WHERE Col2 IS NOT NULL ORDER BY Col1 DESC LIMIT 50"", 0))"),"#N/A")</f>
        <v>#N/A</v>
      </c>
      <c r="R195" s="24" t="str">
        <f>IFERROR(__xludf.DUMMYFUNCTION("IFERROR(
  LET(
    data, QUERY(GOOGLEFINANCE(C195,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GOOGLEFINANCE(C195, ""price"")) * 100,
    IF(calc=0, G195, calc)
  ), 
G195)"),"#N/A")</f>
        <v>#N/A</v>
      </c>
      <c r="S195" s="8" t="s">
        <v>15</v>
      </c>
      <c r="T195" s="26" t="str">
        <f>IFERROR(__xludf.DUMMYFUNCTION("IFERROR(TRANSPOSE(QUERY(IFERROR(SORT(GOOGLEFINANCE(C195, ""price"", WORKDAY(TODAY(), -40), TODAY()), 1, FALSE)), ""select Col2 where Col2 is not null limit 22 label Col2 ''"", 0)), """")"),"")</f>
        <v/>
      </c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8"/>
      <c r="AO195" s="28"/>
      <c r="AP195" s="29"/>
      <c r="AQ195" s="29" t="str">
        <f t="shared" ref="AQ195:BL195" si="198">T195/T$2</f>
        <v>#N/A</v>
      </c>
      <c r="AR195" s="29" t="str">
        <f t="shared" si="198"/>
        <v>#DIV/0!</v>
      </c>
      <c r="AS195" s="29" t="str">
        <f t="shared" si="198"/>
        <v>#DIV/0!</v>
      </c>
      <c r="AT195" s="29" t="str">
        <f t="shared" si="198"/>
        <v>#DIV/0!</v>
      </c>
      <c r="AU195" s="29" t="str">
        <f t="shared" si="198"/>
        <v>#DIV/0!</v>
      </c>
      <c r="AV195" s="29" t="str">
        <f t="shared" si="198"/>
        <v>#DIV/0!</v>
      </c>
      <c r="AW195" s="29" t="str">
        <f t="shared" si="198"/>
        <v>#DIV/0!</v>
      </c>
      <c r="AX195" s="29" t="str">
        <f t="shared" si="198"/>
        <v>#DIV/0!</v>
      </c>
      <c r="AY195" s="29" t="str">
        <f t="shared" si="198"/>
        <v>#DIV/0!</v>
      </c>
      <c r="AZ195" s="29" t="str">
        <f t="shared" si="198"/>
        <v>#DIV/0!</v>
      </c>
      <c r="BA195" s="29" t="str">
        <f t="shared" si="198"/>
        <v>#DIV/0!</v>
      </c>
      <c r="BB195" s="29" t="str">
        <f t="shared" si="198"/>
        <v>#DIV/0!</v>
      </c>
      <c r="BC195" s="29" t="str">
        <f t="shared" si="198"/>
        <v>#DIV/0!</v>
      </c>
      <c r="BD195" s="29" t="str">
        <f t="shared" si="198"/>
        <v>#DIV/0!</v>
      </c>
      <c r="BE195" s="29" t="str">
        <f t="shared" si="198"/>
        <v>#DIV/0!</v>
      </c>
      <c r="BF195" s="29" t="str">
        <f t="shared" si="198"/>
        <v>#DIV/0!</v>
      </c>
      <c r="BG195" s="29" t="str">
        <f t="shared" si="198"/>
        <v>#DIV/0!</v>
      </c>
      <c r="BH195" s="29" t="str">
        <f t="shared" si="198"/>
        <v>#DIV/0!</v>
      </c>
      <c r="BI195" s="29" t="str">
        <f t="shared" si="198"/>
        <v>#DIV/0!</v>
      </c>
      <c r="BJ195" s="29" t="str">
        <f t="shared" si="198"/>
        <v>#DIV/0!</v>
      </c>
      <c r="BK195" s="29" t="str">
        <f t="shared" si="198"/>
        <v>#DIV/0!</v>
      </c>
      <c r="BL195" s="29" t="str">
        <f t="shared" si="198"/>
        <v>#DIV/0!</v>
      </c>
      <c r="BM195" s="29" t="str">
        <f t="shared" si="3"/>
        <v>#DIV/0!</v>
      </c>
    </row>
    <row r="196">
      <c r="A196" s="16" t="str">
        <f>IFERROR(__xludf.DUMMYFUNCTION("IFERROR(SPARKLINE(SORT(MAP(TRANSPOSE(AQ196:BL196), LAMBDA(val, IF(ISNUMBER(val), PERCENTRANK(AQ196:BL196, val)+0.01, 0))), SEQUENCE(COLUMNS(AQ196:BL196)), FALSE), {""charttype"",""column""; ""color"",""chartreuse""; ""ymin"", 0; ""ymax"", 1.01; ""highcolo"&amp;"r"", ""darkgreen""; ""lowcolor"", ""red""}), """")"),"")</f>
        <v/>
      </c>
      <c r="B196" s="17" t="str">
        <f t="shared" si="4"/>
        <v/>
      </c>
      <c r="C196" s="1" t="s">
        <v>1605</v>
      </c>
      <c r="D196" s="30" t="str">
        <f>IFERROR(__xludf.DUMMYFUNCTION("IFERROR(GOOGLEFINANCE(C196, ""NAME""))"),"Lennox International Inc")</f>
        <v>Lennox International Inc</v>
      </c>
      <c r="E196" s="30" t="s">
        <v>968</v>
      </c>
      <c r="F196" s="33" t="str">
        <f>IFERROR(__xludf.DUMMYFUNCTION("( (GOOGLEFINANCE(C196, ""price"") - Q196) / Q196 ) / (R196 / 100)"),"Loading...")</f>
        <v>Loading...</v>
      </c>
      <c r="G196" s="20" t="str">
        <f>IFERROR(__xludf.DUMMYFUNCTION("AVERAGE(ARRAYFORMULA(100 * (QUERY(GOOGLEFINANCE(C196, ""high"", TODAY()-40, TODAY()), ""SELECT Col2 WHERE Col2 IS NOT NULL ORDER BY Col1 DESC LIMIT 20"", 0) / QUERY(GOOGLEFINANCE(C196, ""low"", TODAY()-40, TODAY()), ""SELECT Col2 WHERE Col2 IS NOT NULL OR"&amp;"DER BY Col1 DESC LIMIT 20"", 0) - 1)))"),"#N/A")</f>
        <v>#N/A</v>
      </c>
      <c r="H196" s="35" t="str">
        <f t="shared" si="6"/>
        <v/>
      </c>
      <c r="I196" s="35" t="str">
        <f t="shared" si="7"/>
        <v/>
      </c>
      <c r="J196" s="37" t="str">
        <f>IFERROR(__xludf.DUMMYFUNCTION("IFERROR(
  IF(C196="""",, 
    IFERROR(
      GOOGLEFINANCE(C196, ""price"") * GOOGLEFINANCE(C196, ""volumeavg""), 
      GOOGLEFINANCE(C196, ""price"") * AVERAGE(QUERY(GOOGLEFINANCE(C196, ""volume"", TODAY()-40, TODAY()), ""SELECT Col2 WHERE Col2 IS NOT "&amp;"NULL ORDER BY Col1 DESC LIMIT 20"", 0))
    )
  ), 
"""")"),"")</f>
        <v/>
      </c>
      <c r="K196" s="21" t="str">
        <f>IFERROR(__xludf.DUMMYFUNCTION("IFERROR(GOOGLEFINANCE(C196, ""changepct"") / 100, """")"),"")</f>
        <v/>
      </c>
      <c r="L196" s="21" t="str">
        <f>IFERROR(__xludf.DUMMYFUNCTION("IFERROR((GOOGLEFINANCE(C196, ""price"") / INDEX(GOOGLEFINANCE(C196, ""price"", TODAY()-7, TODAY()), 2, 2)) - 1, """")"),"")</f>
        <v/>
      </c>
      <c r="M196" s="21" t="str">
        <f>IFERROR(__xludf.DUMMYFUNCTION("IFERROR((GOOGLEFINANCE(C196, ""price"") / INDEX(GOOGLEFINANCE(C196, ""price"", EDATE(TODAY(), -1), TODAY()), 2, 2)) - 1, """")"),"")</f>
        <v/>
      </c>
      <c r="N196" s="21" t="str">
        <f>IFERROR(__xludf.DUMMYFUNCTION("IFERROR((GOOGLEFINANCE(C196, ""price"") / INDEX(GOOGLEFINANCE(C196, ""price"", EDATE(TODAY(), -3), TODAY()), 2, 2)) - 1, """")"),"")</f>
        <v/>
      </c>
      <c r="O196" s="21" t="str">
        <f>IFERROR(__xludf.DUMMYFUNCTION("IFERROR((GOOGLEFINANCE(C196, ""price"") / INDEX(GOOGLEFINANCE(C196, ""price"", EDATE(TODAY(), -6), TODAY()), 2, 2)) - 1, """")"),"")</f>
        <v/>
      </c>
      <c r="P196" s="21" t="str">
        <f>IFERROR(__xludf.DUMMYFUNCTION("IFERROR((GOOGLEFINANCE(C196, ""price"") / INDEX(GOOGLEFINANCE(C196, ""price"", EDATE(TODAY(), -12), TODAY()), 2, 2)) - 1, """")"),"")</f>
        <v/>
      </c>
      <c r="Q196" s="6" t="str">
        <f>IFERROR(__xludf.DUMMYFUNCTION("AVERAGE(QUERY(GOOGLEFINANCE(C196, ""price"", TODAY()-80, TODAY()), ""SELECT Col2 WHERE Col2 IS NOT NULL ORDER BY Col1 DESC LIMIT 50"", 0))"),"#N/A")</f>
        <v>#N/A</v>
      </c>
      <c r="R196" s="24" t="str">
        <f>IFERROR(__xludf.DUMMYFUNCTION("IFERROR(
  LET(
    data, QUERY(GOOGLEFINANCE(C196,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GOOGLEFINANCE(C196, ""price"")) * 100,
    IF(calc=0, G196, calc)
  ), 
G196)"),"#N/A")</f>
        <v>#N/A</v>
      </c>
      <c r="S196" s="8" t="s">
        <v>15</v>
      </c>
      <c r="T196" s="26" t="str">
        <f>IFERROR(__xludf.DUMMYFUNCTION("IFERROR(TRANSPOSE(QUERY(IFERROR(SORT(GOOGLEFINANCE(C196, ""price"", WORKDAY(TODAY(), -40), TODAY()), 1, FALSE)), ""select Col2 where Col2 is not null limit 22 label Col2 ''"", 0)), """")"),"")</f>
        <v/>
      </c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8"/>
      <c r="AO196" s="28"/>
      <c r="AP196" s="29"/>
      <c r="AQ196" s="29" t="str">
        <f t="shared" ref="AQ196:BL196" si="199">T196/T$2</f>
        <v>#N/A</v>
      </c>
      <c r="AR196" s="29" t="str">
        <f t="shared" si="199"/>
        <v>#DIV/0!</v>
      </c>
      <c r="AS196" s="29" t="str">
        <f t="shared" si="199"/>
        <v>#DIV/0!</v>
      </c>
      <c r="AT196" s="29" t="str">
        <f t="shared" si="199"/>
        <v>#DIV/0!</v>
      </c>
      <c r="AU196" s="29" t="str">
        <f t="shared" si="199"/>
        <v>#DIV/0!</v>
      </c>
      <c r="AV196" s="29" t="str">
        <f t="shared" si="199"/>
        <v>#DIV/0!</v>
      </c>
      <c r="AW196" s="29" t="str">
        <f t="shared" si="199"/>
        <v>#DIV/0!</v>
      </c>
      <c r="AX196" s="29" t="str">
        <f t="shared" si="199"/>
        <v>#DIV/0!</v>
      </c>
      <c r="AY196" s="29" t="str">
        <f t="shared" si="199"/>
        <v>#DIV/0!</v>
      </c>
      <c r="AZ196" s="29" t="str">
        <f t="shared" si="199"/>
        <v>#DIV/0!</v>
      </c>
      <c r="BA196" s="29" t="str">
        <f t="shared" si="199"/>
        <v>#DIV/0!</v>
      </c>
      <c r="BB196" s="29" t="str">
        <f t="shared" si="199"/>
        <v>#DIV/0!</v>
      </c>
      <c r="BC196" s="29" t="str">
        <f t="shared" si="199"/>
        <v>#DIV/0!</v>
      </c>
      <c r="BD196" s="29" t="str">
        <f t="shared" si="199"/>
        <v>#DIV/0!</v>
      </c>
      <c r="BE196" s="29" t="str">
        <f t="shared" si="199"/>
        <v>#DIV/0!</v>
      </c>
      <c r="BF196" s="29" t="str">
        <f t="shared" si="199"/>
        <v>#DIV/0!</v>
      </c>
      <c r="BG196" s="29" t="str">
        <f t="shared" si="199"/>
        <v>#DIV/0!</v>
      </c>
      <c r="BH196" s="29" t="str">
        <f t="shared" si="199"/>
        <v>#DIV/0!</v>
      </c>
      <c r="BI196" s="29" t="str">
        <f t="shared" si="199"/>
        <v>#DIV/0!</v>
      </c>
      <c r="BJ196" s="29" t="str">
        <f t="shared" si="199"/>
        <v>#DIV/0!</v>
      </c>
      <c r="BK196" s="29" t="str">
        <f t="shared" si="199"/>
        <v>#DIV/0!</v>
      </c>
      <c r="BL196" s="29" t="str">
        <f t="shared" si="199"/>
        <v>#DIV/0!</v>
      </c>
      <c r="BM196" s="29" t="str">
        <f t="shared" si="3"/>
        <v>#DIV/0!</v>
      </c>
    </row>
    <row r="197">
      <c r="A197" s="16" t="str">
        <f>IFERROR(__xludf.DUMMYFUNCTION("IFERROR(SPARKLINE(SORT(MAP(TRANSPOSE(AQ197:BL197), LAMBDA(val, IF(ISNUMBER(val), PERCENTRANK(AQ197:BL197, val)+0.01, 0))), SEQUENCE(COLUMNS(AQ197:BL197)), FALSE), {""charttype"",""column""; ""color"",""chartreuse""; ""ymin"", 0; ""ymax"", 1.01; ""highcolo"&amp;"r"", ""darkgreen""; ""lowcolor"", ""red""}), """")"),"")</f>
        <v/>
      </c>
      <c r="B197" s="17" t="str">
        <f t="shared" si="4"/>
        <v/>
      </c>
      <c r="C197" s="1" t="s">
        <v>1609</v>
      </c>
      <c r="D197" s="30" t="str">
        <f>IFERROR(__xludf.DUMMYFUNCTION("IFERROR(GOOGLEFINANCE(C197, ""NAME""))"),"TFI International Inc")</f>
        <v>TFI International Inc</v>
      </c>
      <c r="E197" s="30" t="s">
        <v>1317</v>
      </c>
      <c r="F197" s="33" t="str">
        <f>IFERROR(__xludf.DUMMYFUNCTION("( (GOOGLEFINANCE(C197, ""price"") - Q197) / Q197 ) / (R197 / 100)"),"Loading...")</f>
        <v>Loading...</v>
      </c>
      <c r="G197" s="20" t="str">
        <f>IFERROR(__xludf.DUMMYFUNCTION("AVERAGE(ARRAYFORMULA(100 * (QUERY(GOOGLEFINANCE(C197, ""high"", TODAY()-40, TODAY()), ""SELECT Col2 WHERE Col2 IS NOT NULL ORDER BY Col1 DESC LIMIT 20"", 0) / QUERY(GOOGLEFINANCE(C197, ""low"", TODAY()-40, TODAY()), ""SELECT Col2 WHERE Col2 IS NOT NULL OR"&amp;"DER BY Col1 DESC LIMIT 20"", 0) - 1)))"),"#N/A")</f>
        <v>#N/A</v>
      </c>
      <c r="H197" s="35" t="str">
        <f t="shared" si="6"/>
        <v/>
      </c>
      <c r="I197" s="35" t="str">
        <f t="shared" si="7"/>
        <v/>
      </c>
      <c r="J197" s="37" t="str">
        <f>IFERROR(__xludf.DUMMYFUNCTION("IFERROR(
  IF(C197="""",, 
    IFERROR(
      GOOGLEFINANCE(C197, ""price"") * GOOGLEFINANCE(C197, ""volumeavg""), 
      GOOGLEFINANCE(C197, ""price"") * AVERAGE(QUERY(GOOGLEFINANCE(C197, ""volume"", TODAY()-40, TODAY()), ""SELECT Col2 WHERE Col2 IS NOT "&amp;"NULL ORDER BY Col1 DESC LIMIT 20"", 0))
    )
  ), 
"""")"),"")</f>
        <v/>
      </c>
      <c r="K197" s="21" t="str">
        <f>IFERROR(__xludf.DUMMYFUNCTION("IFERROR(GOOGLEFINANCE(C197, ""changepct"") / 100, """")"),"")</f>
        <v/>
      </c>
      <c r="L197" s="21" t="str">
        <f>IFERROR(__xludf.DUMMYFUNCTION("IFERROR((GOOGLEFINANCE(C197, ""price"") / INDEX(GOOGLEFINANCE(C197, ""price"", TODAY()-7, TODAY()), 2, 2)) - 1, """")"),"")</f>
        <v/>
      </c>
      <c r="M197" s="21" t="str">
        <f>IFERROR(__xludf.DUMMYFUNCTION("IFERROR((GOOGLEFINANCE(C197, ""price"") / INDEX(GOOGLEFINANCE(C197, ""price"", EDATE(TODAY(), -1), TODAY()), 2, 2)) - 1, """")"),"")</f>
        <v/>
      </c>
      <c r="N197" s="21" t="str">
        <f>IFERROR(__xludf.DUMMYFUNCTION("IFERROR((GOOGLEFINANCE(C197, ""price"") / INDEX(GOOGLEFINANCE(C197, ""price"", EDATE(TODAY(), -3), TODAY()), 2, 2)) - 1, """")"),"")</f>
        <v/>
      </c>
      <c r="O197" s="21" t="str">
        <f>IFERROR(__xludf.DUMMYFUNCTION("IFERROR((GOOGLEFINANCE(C197, ""price"") / INDEX(GOOGLEFINANCE(C197, ""price"", EDATE(TODAY(), -6), TODAY()), 2, 2)) - 1, """")"),"")</f>
        <v/>
      </c>
      <c r="P197" s="21" t="str">
        <f>IFERROR(__xludf.DUMMYFUNCTION("IFERROR((GOOGLEFINANCE(C197, ""price"") / INDEX(GOOGLEFINANCE(C197, ""price"", EDATE(TODAY(), -12), TODAY()), 2, 2)) - 1, """")"),"")</f>
        <v/>
      </c>
      <c r="Q197" s="6" t="str">
        <f>IFERROR(__xludf.DUMMYFUNCTION("AVERAGE(QUERY(GOOGLEFINANCE(C197, ""price"", TODAY()-80, TODAY()), ""SELECT Col2 WHERE Col2 IS NOT NULL ORDER BY Col1 DESC LIMIT 50"", 0))"),"#N/A")</f>
        <v>#N/A</v>
      </c>
      <c r="R197" s="24" t="str">
        <f>IFERROR(__xludf.DUMMYFUNCTION("IFERROR(
  LET(
    data, QUERY(GOOGLEFINANCE(C197,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GOOGLEFINANCE(C197, ""price"")) * 100,
    IF(calc=0, G197, calc)
  ), 
G197)"),"#N/A")</f>
        <v>#N/A</v>
      </c>
      <c r="S197" s="8" t="s">
        <v>15</v>
      </c>
      <c r="T197" s="26" t="str">
        <f>IFERROR(__xludf.DUMMYFUNCTION("IFERROR(TRANSPOSE(QUERY(IFERROR(SORT(GOOGLEFINANCE(C197, ""price"", WORKDAY(TODAY(), -40), TODAY()), 1, FALSE)), ""select Col2 where Col2 is not null limit 22 label Col2 ''"", 0)), """")"),"")</f>
        <v/>
      </c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8"/>
      <c r="AO197" s="28"/>
      <c r="AP197" s="29"/>
      <c r="AQ197" s="29" t="str">
        <f t="shared" ref="AQ197:BL197" si="200">T197/T$2</f>
        <v>#N/A</v>
      </c>
      <c r="AR197" s="29" t="str">
        <f t="shared" si="200"/>
        <v>#DIV/0!</v>
      </c>
      <c r="AS197" s="29" t="str">
        <f t="shared" si="200"/>
        <v>#DIV/0!</v>
      </c>
      <c r="AT197" s="29" t="str">
        <f t="shared" si="200"/>
        <v>#DIV/0!</v>
      </c>
      <c r="AU197" s="29" t="str">
        <f t="shared" si="200"/>
        <v>#DIV/0!</v>
      </c>
      <c r="AV197" s="29" t="str">
        <f t="shared" si="200"/>
        <v>#DIV/0!</v>
      </c>
      <c r="AW197" s="29" t="str">
        <f t="shared" si="200"/>
        <v>#DIV/0!</v>
      </c>
      <c r="AX197" s="29" t="str">
        <f t="shared" si="200"/>
        <v>#DIV/0!</v>
      </c>
      <c r="AY197" s="29" t="str">
        <f t="shared" si="200"/>
        <v>#DIV/0!</v>
      </c>
      <c r="AZ197" s="29" t="str">
        <f t="shared" si="200"/>
        <v>#DIV/0!</v>
      </c>
      <c r="BA197" s="29" t="str">
        <f t="shared" si="200"/>
        <v>#DIV/0!</v>
      </c>
      <c r="BB197" s="29" t="str">
        <f t="shared" si="200"/>
        <v>#DIV/0!</v>
      </c>
      <c r="BC197" s="29" t="str">
        <f t="shared" si="200"/>
        <v>#DIV/0!</v>
      </c>
      <c r="BD197" s="29" t="str">
        <f t="shared" si="200"/>
        <v>#DIV/0!</v>
      </c>
      <c r="BE197" s="29" t="str">
        <f t="shared" si="200"/>
        <v>#DIV/0!</v>
      </c>
      <c r="BF197" s="29" t="str">
        <f t="shared" si="200"/>
        <v>#DIV/0!</v>
      </c>
      <c r="BG197" s="29" t="str">
        <f t="shared" si="200"/>
        <v>#DIV/0!</v>
      </c>
      <c r="BH197" s="29" t="str">
        <f t="shared" si="200"/>
        <v>#DIV/0!</v>
      </c>
      <c r="BI197" s="29" t="str">
        <f t="shared" si="200"/>
        <v>#DIV/0!</v>
      </c>
      <c r="BJ197" s="29" t="str">
        <f t="shared" si="200"/>
        <v>#DIV/0!</v>
      </c>
      <c r="BK197" s="29" t="str">
        <f t="shared" si="200"/>
        <v>#DIV/0!</v>
      </c>
      <c r="BL197" s="29" t="str">
        <f t="shared" si="200"/>
        <v>#DIV/0!</v>
      </c>
      <c r="BM197" s="29" t="str">
        <f t="shared" si="3"/>
        <v>#DIV/0!</v>
      </c>
    </row>
    <row r="198">
      <c r="A198" s="16" t="str">
        <f>IFERROR(__xludf.DUMMYFUNCTION("IFERROR(SPARKLINE(SORT(MAP(TRANSPOSE(AQ198:BL198), LAMBDA(val, IF(ISNUMBER(val), PERCENTRANK(AQ198:BL198, val)+0.01, 0))), SEQUENCE(COLUMNS(AQ198:BL198)), FALSE), {""charttype"",""column""; ""color"",""chartreuse""; ""ymin"", 0; ""ymax"", 1.01; ""highcolo"&amp;"r"", ""darkgreen""; ""lowcolor"", ""red""}), """")"),"")</f>
        <v/>
      </c>
      <c r="B198" s="17" t="str">
        <f t="shared" si="4"/>
        <v/>
      </c>
      <c r="C198" s="1" t="s">
        <v>1614</v>
      </c>
      <c r="D198" s="30" t="str">
        <f>IFERROR(__xludf.DUMMYFUNCTION("IFERROR(GOOGLEFINANCE(C198, ""NAME""))"),"SkyWest Inc")</f>
        <v>SkyWest Inc</v>
      </c>
      <c r="E198" s="30" t="s">
        <v>1134</v>
      </c>
      <c r="F198" s="33" t="str">
        <f>IFERROR(__xludf.DUMMYFUNCTION("( (GOOGLEFINANCE(C198, ""price"") - Q198) / Q198 ) / (R198 / 100)"),"Loading...")</f>
        <v>Loading...</v>
      </c>
      <c r="G198" s="20" t="str">
        <f>IFERROR(__xludf.DUMMYFUNCTION("AVERAGE(ARRAYFORMULA(100 * (QUERY(GOOGLEFINANCE(C198, ""high"", TODAY()-40, TODAY()), ""SELECT Col2 WHERE Col2 IS NOT NULL ORDER BY Col1 DESC LIMIT 20"", 0) / QUERY(GOOGLEFINANCE(C198, ""low"", TODAY()-40, TODAY()), ""SELECT Col2 WHERE Col2 IS NOT NULL OR"&amp;"DER BY Col1 DESC LIMIT 20"", 0) - 1)))"),"#N/A")</f>
        <v>#N/A</v>
      </c>
      <c r="H198" s="35" t="str">
        <f t="shared" si="6"/>
        <v/>
      </c>
      <c r="I198" s="35" t="str">
        <f t="shared" si="7"/>
        <v/>
      </c>
      <c r="J198" s="37" t="str">
        <f>IFERROR(__xludf.DUMMYFUNCTION("IFERROR(
  IF(C198="""",, 
    IFERROR(
      GOOGLEFINANCE(C198, ""price"") * GOOGLEFINANCE(C198, ""volumeavg""), 
      GOOGLEFINANCE(C198, ""price"") * AVERAGE(QUERY(GOOGLEFINANCE(C198, ""volume"", TODAY()-40, TODAY()), ""SELECT Col2 WHERE Col2 IS NOT "&amp;"NULL ORDER BY Col1 DESC LIMIT 20"", 0))
    )
  ), 
"""")"),"")</f>
        <v/>
      </c>
      <c r="K198" s="21" t="str">
        <f>IFERROR(__xludf.DUMMYFUNCTION("IFERROR(GOOGLEFINANCE(C198, ""changepct"") / 100, """")"),"")</f>
        <v/>
      </c>
      <c r="L198" s="21" t="str">
        <f>IFERROR(__xludf.DUMMYFUNCTION("IFERROR((GOOGLEFINANCE(C198, ""price"") / INDEX(GOOGLEFINANCE(C198, ""price"", TODAY()-7, TODAY()), 2, 2)) - 1, """")"),"")</f>
        <v/>
      </c>
      <c r="M198" s="21" t="str">
        <f>IFERROR(__xludf.DUMMYFUNCTION("IFERROR((GOOGLEFINANCE(C198, ""price"") / INDEX(GOOGLEFINANCE(C198, ""price"", EDATE(TODAY(), -1), TODAY()), 2, 2)) - 1, """")"),"")</f>
        <v/>
      </c>
      <c r="N198" s="21" t="str">
        <f>IFERROR(__xludf.DUMMYFUNCTION("IFERROR((GOOGLEFINANCE(C198, ""price"") / INDEX(GOOGLEFINANCE(C198, ""price"", EDATE(TODAY(), -3), TODAY()), 2, 2)) - 1, """")"),"")</f>
        <v/>
      </c>
      <c r="O198" s="21" t="str">
        <f>IFERROR(__xludf.DUMMYFUNCTION("IFERROR((GOOGLEFINANCE(C198, ""price"") / INDEX(GOOGLEFINANCE(C198, ""price"", EDATE(TODAY(), -6), TODAY()), 2, 2)) - 1, """")"),"")</f>
        <v/>
      </c>
      <c r="P198" s="21" t="str">
        <f>IFERROR(__xludf.DUMMYFUNCTION("IFERROR((GOOGLEFINANCE(C198, ""price"") / INDEX(GOOGLEFINANCE(C198, ""price"", EDATE(TODAY(), -12), TODAY()), 2, 2)) - 1, """")"),"")</f>
        <v/>
      </c>
      <c r="Q198" s="6" t="str">
        <f>IFERROR(__xludf.DUMMYFUNCTION("AVERAGE(QUERY(GOOGLEFINANCE(C198, ""price"", TODAY()-80, TODAY()), ""SELECT Col2 WHERE Col2 IS NOT NULL ORDER BY Col1 DESC LIMIT 50"", 0))"),"#N/A")</f>
        <v>#N/A</v>
      </c>
      <c r="R198" s="24" t="str">
        <f>IFERROR(__xludf.DUMMYFUNCTION("IFERROR(
  LET(
    data, QUERY(GOOGLEFINANCE(C198,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GOOGLEFINANCE(C198, ""price"")) * 100,
    IF(calc=0, G198, calc)
  ), 
G198)"),"#N/A")</f>
        <v>#N/A</v>
      </c>
      <c r="S198" s="8" t="s">
        <v>15</v>
      </c>
      <c r="T198" s="26" t="str">
        <f>IFERROR(__xludf.DUMMYFUNCTION("IFERROR(TRANSPOSE(QUERY(IFERROR(SORT(GOOGLEFINANCE(C198, ""price"", WORKDAY(TODAY(), -40), TODAY()), 1, FALSE)), ""select Col2 where Col2 is not null limit 22 label Col2 ''"", 0)), """")"),"")</f>
        <v/>
      </c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8"/>
      <c r="AO198" s="28"/>
      <c r="AP198" s="29"/>
      <c r="AQ198" s="29" t="str">
        <f t="shared" ref="AQ198:BL198" si="201">T198/T$2</f>
        <v>#N/A</v>
      </c>
      <c r="AR198" s="29" t="str">
        <f t="shared" si="201"/>
        <v>#DIV/0!</v>
      </c>
      <c r="AS198" s="29" t="str">
        <f t="shared" si="201"/>
        <v>#DIV/0!</v>
      </c>
      <c r="AT198" s="29" t="str">
        <f t="shared" si="201"/>
        <v>#DIV/0!</v>
      </c>
      <c r="AU198" s="29" t="str">
        <f t="shared" si="201"/>
        <v>#DIV/0!</v>
      </c>
      <c r="AV198" s="29" t="str">
        <f t="shared" si="201"/>
        <v>#DIV/0!</v>
      </c>
      <c r="AW198" s="29" t="str">
        <f t="shared" si="201"/>
        <v>#DIV/0!</v>
      </c>
      <c r="AX198" s="29" t="str">
        <f t="shared" si="201"/>
        <v>#DIV/0!</v>
      </c>
      <c r="AY198" s="29" t="str">
        <f t="shared" si="201"/>
        <v>#DIV/0!</v>
      </c>
      <c r="AZ198" s="29" t="str">
        <f t="shared" si="201"/>
        <v>#DIV/0!</v>
      </c>
      <c r="BA198" s="29" t="str">
        <f t="shared" si="201"/>
        <v>#DIV/0!</v>
      </c>
      <c r="BB198" s="29" t="str">
        <f t="shared" si="201"/>
        <v>#DIV/0!</v>
      </c>
      <c r="BC198" s="29" t="str">
        <f t="shared" si="201"/>
        <v>#DIV/0!</v>
      </c>
      <c r="BD198" s="29" t="str">
        <f t="shared" si="201"/>
        <v>#DIV/0!</v>
      </c>
      <c r="BE198" s="29" t="str">
        <f t="shared" si="201"/>
        <v>#DIV/0!</v>
      </c>
      <c r="BF198" s="29" t="str">
        <f t="shared" si="201"/>
        <v>#DIV/0!</v>
      </c>
      <c r="BG198" s="29" t="str">
        <f t="shared" si="201"/>
        <v>#DIV/0!</v>
      </c>
      <c r="BH198" s="29" t="str">
        <f t="shared" si="201"/>
        <v>#DIV/0!</v>
      </c>
      <c r="BI198" s="29" t="str">
        <f t="shared" si="201"/>
        <v>#DIV/0!</v>
      </c>
      <c r="BJ198" s="29" t="str">
        <f t="shared" si="201"/>
        <v>#DIV/0!</v>
      </c>
      <c r="BK198" s="29" t="str">
        <f t="shared" si="201"/>
        <v>#DIV/0!</v>
      </c>
      <c r="BL198" s="29" t="str">
        <f t="shared" si="201"/>
        <v>#DIV/0!</v>
      </c>
      <c r="BM198" s="29" t="str">
        <f t="shared" si="3"/>
        <v>#DIV/0!</v>
      </c>
    </row>
    <row r="199">
      <c r="A199" s="16" t="str">
        <f>IFERROR(__xludf.DUMMYFUNCTION("IFERROR(SPARKLINE(SORT(MAP(TRANSPOSE(AQ199:BL199), LAMBDA(val, IF(ISNUMBER(val), PERCENTRANK(AQ199:BL199, val)+0.01, 0))), SEQUENCE(COLUMNS(AQ199:BL199)), FALSE), {""charttype"",""column""; ""color"",""chartreuse""; ""ymin"", 0; ""ymax"", 1.01; ""highcolo"&amp;"r"", ""darkgreen""; ""lowcolor"", ""red""}), """")"),"")</f>
        <v/>
      </c>
      <c r="B199" s="17" t="str">
        <f t="shared" si="4"/>
        <v/>
      </c>
      <c r="C199" s="1" t="s">
        <v>1618</v>
      </c>
      <c r="D199" s="30" t="str">
        <f>IFERROR(__xludf.DUMMYFUNCTION("IFERROR(GOOGLEFINANCE(C199, ""NAME""))"),"TransDigm Group Inc")</f>
        <v>TransDigm Group Inc</v>
      </c>
      <c r="E199" s="30" t="s">
        <v>839</v>
      </c>
      <c r="F199" s="33" t="str">
        <f>IFERROR(__xludf.DUMMYFUNCTION("( (GOOGLEFINANCE(C199, ""price"") - Q199) / Q199 ) / (R199 / 100)"),"Loading...")</f>
        <v>Loading...</v>
      </c>
      <c r="G199" s="20" t="str">
        <f>IFERROR(__xludf.DUMMYFUNCTION("AVERAGE(ARRAYFORMULA(100 * (QUERY(GOOGLEFINANCE(C199, ""high"", TODAY()-40, TODAY()), ""SELECT Col2 WHERE Col2 IS NOT NULL ORDER BY Col1 DESC LIMIT 20"", 0) / QUERY(GOOGLEFINANCE(C199, ""low"", TODAY()-40, TODAY()), ""SELECT Col2 WHERE Col2 IS NOT NULL OR"&amp;"DER BY Col1 DESC LIMIT 20"", 0) - 1)))"),"#N/A")</f>
        <v>#N/A</v>
      </c>
      <c r="H199" s="35" t="str">
        <f t="shared" si="6"/>
        <v/>
      </c>
      <c r="I199" s="35" t="str">
        <f t="shared" si="7"/>
        <v/>
      </c>
      <c r="J199" s="37" t="str">
        <f>IFERROR(__xludf.DUMMYFUNCTION("IFERROR(
  IF(C199="""",, 
    IFERROR(
      GOOGLEFINANCE(C199, ""price"") * GOOGLEFINANCE(C199, ""volumeavg""), 
      GOOGLEFINANCE(C199, ""price"") * AVERAGE(QUERY(GOOGLEFINANCE(C199, ""volume"", TODAY()-40, TODAY()), ""SELECT Col2 WHERE Col2 IS NOT "&amp;"NULL ORDER BY Col1 DESC LIMIT 20"", 0))
    )
  ), 
"""")"),"")</f>
        <v/>
      </c>
      <c r="K199" s="21" t="str">
        <f>IFERROR(__xludf.DUMMYFUNCTION("IFERROR(GOOGLEFINANCE(C199, ""changepct"") / 100, """")"),"")</f>
        <v/>
      </c>
      <c r="L199" s="21" t="str">
        <f>IFERROR(__xludf.DUMMYFUNCTION("IFERROR((GOOGLEFINANCE(C199, ""price"") / INDEX(GOOGLEFINANCE(C199, ""price"", TODAY()-7, TODAY()), 2, 2)) - 1, """")"),"")</f>
        <v/>
      </c>
      <c r="M199" s="21" t="str">
        <f>IFERROR(__xludf.DUMMYFUNCTION("IFERROR((GOOGLEFINANCE(C199, ""price"") / INDEX(GOOGLEFINANCE(C199, ""price"", EDATE(TODAY(), -1), TODAY()), 2, 2)) - 1, """")"),"")</f>
        <v/>
      </c>
      <c r="N199" s="21" t="str">
        <f>IFERROR(__xludf.DUMMYFUNCTION("IFERROR((GOOGLEFINANCE(C199, ""price"") / INDEX(GOOGLEFINANCE(C199, ""price"", EDATE(TODAY(), -3), TODAY()), 2, 2)) - 1, """")"),"")</f>
        <v/>
      </c>
      <c r="O199" s="21" t="str">
        <f>IFERROR(__xludf.DUMMYFUNCTION("IFERROR((GOOGLEFINANCE(C199, ""price"") / INDEX(GOOGLEFINANCE(C199, ""price"", EDATE(TODAY(), -6), TODAY()), 2, 2)) - 1, """")"),"")</f>
        <v/>
      </c>
      <c r="P199" s="21" t="str">
        <f>IFERROR(__xludf.DUMMYFUNCTION("IFERROR((GOOGLEFINANCE(C199, ""price"") / INDEX(GOOGLEFINANCE(C199, ""price"", EDATE(TODAY(), -12), TODAY()), 2, 2)) - 1, """")"),"")</f>
        <v/>
      </c>
      <c r="Q199" s="6" t="str">
        <f>IFERROR(__xludf.DUMMYFUNCTION("AVERAGE(QUERY(GOOGLEFINANCE(C199, ""price"", TODAY()-80, TODAY()), ""SELECT Col2 WHERE Col2 IS NOT NULL ORDER BY Col1 DESC LIMIT 50"", 0))"),"#N/A")</f>
        <v>#N/A</v>
      </c>
      <c r="R199" s="24" t="str">
        <f>IFERROR(__xludf.DUMMYFUNCTION("IFERROR(
  LET(
    data, QUERY(GOOGLEFINANCE(C199,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GOOGLEFINANCE(C199, ""price"")) * 100,
    IF(calc=0, G199, calc)
  ), 
G199)"),"#N/A")</f>
        <v>#N/A</v>
      </c>
      <c r="S199" s="8" t="s">
        <v>15</v>
      </c>
      <c r="T199" s="26" t="str">
        <f>IFERROR(__xludf.DUMMYFUNCTION("IFERROR(TRANSPOSE(QUERY(IFERROR(SORT(GOOGLEFINANCE(C199, ""price"", WORKDAY(TODAY(), -40), TODAY()), 1, FALSE)), ""select Col2 where Col2 is not null limit 22 label Col2 ''"", 0)), """")"),"")</f>
        <v/>
      </c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8"/>
      <c r="AO199" s="28"/>
      <c r="AP199" s="29"/>
      <c r="AQ199" s="29" t="str">
        <f t="shared" ref="AQ199:BL199" si="202">T199/T$2</f>
        <v>#N/A</v>
      </c>
      <c r="AR199" s="29" t="str">
        <f t="shared" si="202"/>
        <v>#DIV/0!</v>
      </c>
      <c r="AS199" s="29" t="str">
        <f t="shared" si="202"/>
        <v>#DIV/0!</v>
      </c>
      <c r="AT199" s="29" t="str">
        <f t="shared" si="202"/>
        <v>#DIV/0!</v>
      </c>
      <c r="AU199" s="29" t="str">
        <f t="shared" si="202"/>
        <v>#DIV/0!</v>
      </c>
      <c r="AV199" s="29" t="str">
        <f t="shared" si="202"/>
        <v>#DIV/0!</v>
      </c>
      <c r="AW199" s="29" t="str">
        <f t="shared" si="202"/>
        <v>#DIV/0!</v>
      </c>
      <c r="AX199" s="29" t="str">
        <f t="shared" si="202"/>
        <v>#DIV/0!</v>
      </c>
      <c r="AY199" s="29" t="str">
        <f t="shared" si="202"/>
        <v>#DIV/0!</v>
      </c>
      <c r="AZ199" s="29" t="str">
        <f t="shared" si="202"/>
        <v>#DIV/0!</v>
      </c>
      <c r="BA199" s="29" t="str">
        <f t="shared" si="202"/>
        <v>#DIV/0!</v>
      </c>
      <c r="BB199" s="29" t="str">
        <f t="shared" si="202"/>
        <v>#DIV/0!</v>
      </c>
      <c r="BC199" s="29" t="str">
        <f t="shared" si="202"/>
        <v>#DIV/0!</v>
      </c>
      <c r="BD199" s="29" t="str">
        <f t="shared" si="202"/>
        <v>#DIV/0!</v>
      </c>
      <c r="BE199" s="29" t="str">
        <f t="shared" si="202"/>
        <v>#DIV/0!</v>
      </c>
      <c r="BF199" s="29" t="str">
        <f t="shared" si="202"/>
        <v>#DIV/0!</v>
      </c>
      <c r="BG199" s="29" t="str">
        <f t="shared" si="202"/>
        <v>#DIV/0!</v>
      </c>
      <c r="BH199" s="29" t="str">
        <f t="shared" si="202"/>
        <v>#DIV/0!</v>
      </c>
      <c r="BI199" s="29" t="str">
        <f t="shared" si="202"/>
        <v>#DIV/0!</v>
      </c>
      <c r="BJ199" s="29" t="str">
        <f t="shared" si="202"/>
        <v>#DIV/0!</v>
      </c>
      <c r="BK199" s="29" t="str">
        <f t="shared" si="202"/>
        <v>#DIV/0!</v>
      </c>
      <c r="BL199" s="29" t="str">
        <f t="shared" si="202"/>
        <v>#DIV/0!</v>
      </c>
      <c r="BM199" s="29" t="str">
        <f t="shared" si="3"/>
        <v>#DIV/0!</v>
      </c>
    </row>
    <row r="200">
      <c r="A200" s="16" t="str">
        <f>IFERROR(__xludf.DUMMYFUNCTION("IFERROR(SPARKLINE(SORT(MAP(TRANSPOSE(AQ200:BL200), LAMBDA(val, IF(ISNUMBER(val), PERCENTRANK(AQ200:BL200, val)+0.01, 0))), SEQUENCE(COLUMNS(AQ200:BL200)), FALSE), {""charttype"",""column""; ""color"",""chartreuse""; ""ymin"", 0; ""ymax"", 1.01; ""highcolo"&amp;"r"", ""darkgreen""; ""lowcolor"", ""red""}), """")"),"")</f>
        <v/>
      </c>
      <c r="B200" s="17" t="str">
        <f t="shared" si="4"/>
        <v/>
      </c>
      <c r="C200" s="1" t="s">
        <v>1622</v>
      </c>
      <c r="D200" s="30" t="str">
        <f>IFERROR(__xludf.DUMMYFUNCTION("IFERROR(GOOGLEFINANCE(C200, ""NAME""))"),"JBT Marel Corp")</f>
        <v>JBT Marel Corp</v>
      </c>
      <c r="E200" s="30" t="s">
        <v>893</v>
      </c>
      <c r="F200" s="33" t="str">
        <f>IFERROR(__xludf.DUMMYFUNCTION("( (GOOGLEFINANCE(C200, ""price"") - Q200) / Q200 ) / (R200 / 100)"),"Loading...")</f>
        <v>Loading...</v>
      </c>
      <c r="G200" s="20" t="str">
        <f>IFERROR(__xludf.DUMMYFUNCTION("AVERAGE(ARRAYFORMULA(100 * (QUERY(GOOGLEFINANCE(C200, ""high"", TODAY()-40, TODAY()), ""SELECT Col2 WHERE Col2 IS NOT NULL ORDER BY Col1 DESC LIMIT 20"", 0) / QUERY(GOOGLEFINANCE(C200, ""low"", TODAY()-40, TODAY()), ""SELECT Col2 WHERE Col2 IS NOT NULL OR"&amp;"DER BY Col1 DESC LIMIT 20"", 0) - 1)))"),"#N/A")</f>
        <v>#N/A</v>
      </c>
      <c r="H200" s="35" t="str">
        <f t="shared" si="6"/>
        <v/>
      </c>
      <c r="I200" s="35" t="str">
        <f t="shared" si="7"/>
        <v/>
      </c>
      <c r="J200" s="37" t="str">
        <f>IFERROR(__xludf.DUMMYFUNCTION("IFERROR(
  IF(C200="""",, 
    IFERROR(
      GOOGLEFINANCE(C200, ""price"") * GOOGLEFINANCE(C200, ""volumeavg""), 
      GOOGLEFINANCE(C200, ""price"") * AVERAGE(QUERY(GOOGLEFINANCE(C200, ""volume"", TODAY()-40, TODAY()), ""SELECT Col2 WHERE Col2 IS NOT "&amp;"NULL ORDER BY Col1 DESC LIMIT 20"", 0))
    )
  ), 
"""")"),"")</f>
        <v/>
      </c>
      <c r="K200" s="21" t="str">
        <f>IFERROR(__xludf.DUMMYFUNCTION("IFERROR(GOOGLEFINANCE(C200, ""changepct"") / 100, """")"),"")</f>
        <v/>
      </c>
      <c r="L200" s="21" t="str">
        <f>IFERROR(__xludf.DUMMYFUNCTION("IFERROR((GOOGLEFINANCE(C200, ""price"") / INDEX(GOOGLEFINANCE(C200, ""price"", TODAY()-7, TODAY()), 2, 2)) - 1, """")"),"")</f>
        <v/>
      </c>
      <c r="M200" s="21" t="str">
        <f>IFERROR(__xludf.DUMMYFUNCTION("IFERROR((GOOGLEFINANCE(C200, ""price"") / INDEX(GOOGLEFINANCE(C200, ""price"", EDATE(TODAY(), -1), TODAY()), 2, 2)) - 1, """")"),"")</f>
        <v/>
      </c>
      <c r="N200" s="21" t="str">
        <f>IFERROR(__xludf.DUMMYFUNCTION("IFERROR((GOOGLEFINANCE(C200, ""price"") / INDEX(GOOGLEFINANCE(C200, ""price"", EDATE(TODAY(), -3), TODAY()), 2, 2)) - 1, """")"),"")</f>
        <v/>
      </c>
      <c r="O200" s="21" t="str">
        <f>IFERROR(__xludf.DUMMYFUNCTION("IFERROR((GOOGLEFINANCE(C200, ""price"") / INDEX(GOOGLEFINANCE(C200, ""price"", EDATE(TODAY(), -6), TODAY()), 2, 2)) - 1, """")"),"")</f>
        <v/>
      </c>
      <c r="P200" s="21" t="str">
        <f>IFERROR(__xludf.DUMMYFUNCTION("IFERROR((GOOGLEFINANCE(C200, ""price"") / INDEX(GOOGLEFINANCE(C200, ""price"", EDATE(TODAY(), -12), TODAY()), 2, 2)) - 1, """")"),"")</f>
        <v/>
      </c>
      <c r="Q200" s="6" t="str">
        <f>IFERROR(__xludf.DUMMYFUNCTION("AVERAGE(QUERY(GOOGLEFINANCE(C200, ""price"", TODAY()-80, TODAY()), ""SELECT Col2 WHERE Col2 IS NOT NULL ORDER BY Col1 DESC LIMIT 50"", 0))"),"#N/A")</f>
        <v>#N/A</v>
      </c>
      <c r="R200" s="24" t="str">
        <f>IFERROR(__xludf.DUMMYFUNCTION("IFERROR(
  LET(
    data, QUERY(GOOGLEFINANCE(C200,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GOOGLEFINANCE(C200, ""price"")) * 100,
    IF(calc=0, G200, calc)
  ), 
G200)"),"#N/A")</f>
        <v>#N/A</v>
      </c>
      <c r="S200" s="8" t="s">
        <v>15</v>
      </c>
      <c r="T200" s="26" t="str">
        <f>IFERROR(__xludf.DUMMYFUNCTION("IFERROR(TRANSPOSE(QUERY(IFERROR(SORT(GOOGLEFINANCE(C200, ""price"", WORKDAY(TODAY(), -40), TODAY()), 1, FALSE)), ""select Col2 where Col2 is not null limit 22 label Col2 ''"", 0)), """")"),"")</f>
        <v/>
      </c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8"/>
      <c r="AO200" s="28"/>
      <c r="AP200" s="29"/>
      <c r="AQ200" s="29" t="str">
        <f t="shared" ref="AQ200:BL200" si="203">T200/T$2</f>
        <v>#N/A</v>
      </c>
      <c r="AR200" s="29" t="str">
        <f t="shared" si="203"/>
        <v>#DIV/0!</v>
      </c>
      <c r="AS200" s="29" t="str">
        <f t="shared" si="203"/>
        <v>#DIV/0!</v>
      </c>
      <c r="AT200" s="29" t="str">
        <f t="shared" si="203"/>
        <v>#DIV/0!</v>
      </c>
      <c r="AU200" s="29" t="str">
        <f t="shared" si="203"/>
        <v>#DIV/0!</v>
      </c>
      <c r="AV200" s="29" t="str">
        <f t="shared" si="203"/>
        <v>#DIV/0!</v>
      </c>
      <c r="AW200" s="29" t="str">
        <f t="shared" si="203"/>
        <v>#DIV/0!</v>
      </c>
      <c r="AX200" s="29" t="str">
        <f t="shared" si="203"/>
        <v>#DIV/0!</v>
      </c>
      <c r="AY200" s="29" t="str">
        <f t="shared" si="203"/>
        <v>#DIV/0!</v>
      </c>
      <c r="AZ200" s="29" t="str">
        <f t="shared" si="203"/>
        <v>#DIV/0!</v>
      </c>
      <c r="BA200" s="29" t="str">
        <f t="shared" si="203"/>
        <v>#DIV/0!</v>
      </c>
      <c r="BB200" s="29" t="str">
        <f t="shared" si="203"/>
        <v>#DIV/0!</v>
      </c>
      <c r="BC200" s="29" t="str">
        <f t="shared" si="203"/>
        <v>#DIV/0!</v>
      </c>
      <c r="BD200" s="29" t="str">
        <f t="shared" si="203"/>
        <v>#DIV/0!</v>
      </c>
      <c r="BE200" s="29" t="str">
        <f t="shared" si="203"/>
        <v>#DIV/0!</v>
      </c>
      <c r="BF200" s="29" t="str">
        <f t="shared" si="203"/>
        <v>#DIV/0!</v>
      </c>
      <c r="BG200" s="29" t="str">
        <f t="shared" si="203"/>
        <v>#DIV/0!</v>
      </c>
      <c r="BH200" s="29" t="str">
        <f t="shared" si="203"/>
        <v>#DIV/0!</v>
      </c>
      <c r="BI200" s="29" t="str">
        <f t="shared" si="203"/>
        <v>#DIV/0!</v>
      </c>
      <c r="BJ200" s="29" t="str">
        <f t="shared" si="203"/>
        <v>#DIV/0!</v>
      </c>
      <c r="BK200" s="29" t="str">
        <f t="shared" si="203"/>
        <v>#DIV/0!</v>
      </c>
      <c r="BL200" s="29" t="str">
        <f t="shared" si="203"/>
        <v>#DIV/0!</v>
      </c>
      <c r="BM200" s="29" t="str">
        <f t="shared" si="3"/>
        <v>#DIV/0!</v>
      </c>
    </row>
    <row r="201">
      <c r="A201" s="16" t="str">
        <f>IFERROR(__xludf.DUMMYFUNCTION("IFERROR(SPARKLINE(SORT(MAP(TRANSPOSE(AQ201:BL201), LAMBDA(val, IF(ISNUMBER(val), PERCENTRANK(AQ201:BL201, val)+0.01, 0))), SEQUENCE(COLUMNS(AQ201:BL201)), FALSE), {""charttype"",""column""; ""color"",""chartreuse""; ""ymin"", 0; ""ymax"", 1.01; ""highcolo"&amp;"r"", ""darkgreen""; ""lowcolor"", ""red""}), """")"),"")</f>
        <v/>
      </c>
      <c r="B201" s="17" t="str">
        <f t="shared" si="4"/>
        <v/>
      </c>
      <c r="C201" s="1" t="s">
        <v>1626</v>
      </c>
      <c r="D201" s="30" t="str">
        <f>IFERROR(__xludf.DUMMYFUNCTION("IFERROR(GOOGLEFINANCE(C201, ""NAME""))"),"Clean Harbors Inc")</f>
        <v>Clean Harbors Inc</v>
      </c>
      <c r="E201" s="30" t="s">
        <v>1371</v>
      </c>
      <c r="F201" s="33" t="str">
        <f>IFERROR(__xludf.DUMMYFUNCTION("( (GOOGLEFINANCE(C201, ""price"") - Q201) / Q201 ) / (R201 / 100)"),"Loading...")</f>
        <v>Loading...</v>
      </c>
      <c r="G201" s="20" t="str">
        <f>IFERROR(__xludf.DUMMYFUNCTION("AVERAGE(ARRAYFORMULA(100 * (QUERY(GOOGLEFINANCE(C201, ""high"", TODAY()-40, TODAY()), ""SELECT Col2 WHERE Col2 IS NOT NULL ORDER BY Col1 DESC LIMIT 20"", 0) / QUERY(GOOGLEFINANCE(C201, ""low"", TODAY()-40, TODAY()), ""SELECT Col2 WHERE Col2 IS NOT NULL OR"&amp;"DER BY Col1 DESC LIMIT 20"", 0) - 1)))"),"#N/A")</f>
        <v>#N/A</v>
      </c>
      <c r="H201" s="35" t="str">
        <f t="shared" si="6"/>
        <v/>
      </c>
      <c r="I201" s="35" t="str">
        <f t="shared" si="7"/>
        <v/>
      </c>
      <c r="J201" s="37" t="str">
        <f>IFERROR(__xludf.DUMMYFUNCTION("IFERROR(
  IF(C201="""",, 
    IFERROR(
      GOOGLEFINANCE(C201, ""price"") * GOOGLEFINANCE(C201, ""volumeavg""), 
      GOOGLEFINANCE(C201, ""price"") * AVERAGE(QUERY(GOOGLEFINANCE(C201, ""volume"", TODAY()-40, TODAY()), ""SELECT Col2 WHERE Col2 IS NOT "&amp;"NULL ORDER BY Col1 DESC LIMIT 20"", 0))
    )
  ), 
"""")"),"")</f>
        <v/>
      </c>
      <c r="K201" s="21" t="str">
        <f>IFERROR(__xludf.DUMMYFUNCTION("IFERROR(GOOGLEFINANCE(C201, ""changepct"") / 100, """")"),"")</f>
        <v/>
      </c>
      <c r="L201" s="21" t="str">
        <f>IFERROR(__xludf.DUMMYFUNCTION("IFERROR((GOOGLEFINANCE(C201, ""price"") / INDEX(GOOGLEFINANCE(C201, ""price"", TODAY()-7, TODAY()), 2, 2)) - 1, """")"),"")</f>
        <v/>
      </c>
      <c r="M201" s="21" t="str">
        <f>IFERROR(__xludf.DUMMYFUNCTION("IFERROR((GOOGLEFINANCE(C201, ""price"") / INDEX(GOOGLEFINANCE(C201, ""price"", EDATE(TODAY(), -1), TODAY()), 2, 2)) - 1, """")"),"")</f>
        <v/>
      </c>
      <c r="N201" s="21" t="str">
        <f>IFERROR(__xludf.DUMMYFUNCTION("IFERROR((GOOGLEFINANCE(C201, ""price"") / INDEX(GOOGLEFINANCE(C201, ""price"", EDATE(TODAY(), -3), TODAY()), 2, 2)) - 1, """")"),"")</f>
        <v/>
      </c>
      <c r="O201" s="21" t="str">
        <f>IFERROR(__xludf.DUMMYFUNCTION("IFERROR((GOOGLEFINANCE(C201, ""price"") / INDEX(GOOGLEFINANCE(C201, ""price"", EDATE(TODAY(), -6), TODAY()), 2, 2)) - 1, """")"),"")</f>
        <v/>
      </c>
      <c r="P201" s="21" t="str">
        <f>IFERROR(__xludf.DUMMYFUNCTION("IFERROR((GOOGLEFINANCE(C201, ""price"") / INDEX(GOOGLEFINANCE(C201, ""price"", EDATE(TODAY(), -12), TODAY()), 2, 2)) - 1, """")"),"")</f>
        <v/>
      </c>
      <c r="Q201" s="6" t="str">
        <f>IFERROR(__xludf.DUMMYFUNCTION("AVERAGE(QUERY(GOOGLEFINANCE(C201, ""price"", TODAY()-80, TODAY()), ""SELECT Col2 WHERE Col2 IS NOT NULL ORDER BY Col1 DESC LIMIT 50"", 0))"),"#N/A")</f>
        <v>#N/A</v>
      </c>
      <c r="R201" s="24" t="str">
        <f>IFERROR(__xludf.DUMMYFUNCTION("IFERROR(
  LET(
    data, QUERY(GOOGLEFINANCE(C201,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GOOGLEFINANCE(C201, ""price"")) * 100,
    IF(calc=0, G201, calc)
  ), 
G201)"),"#N/A")</f>
        <v>#N/A</v>
      </c>
      <c r="S201" s="8" t="s">
        <v>15</v>
      </c>
      <c r="T201" s="26" t="str">
        <f>IFERROR(__xludf.DUMMYFUNCTION("IFERROR(TRANSPOSE(QUERY(IFERROR(SORT(GOOGLEFINANCE(C201, ""price"", WORKDAY(TODAY(), -40), TODAY()), 1, FALSE)), ""select Col2 where Col2 is not null limit 22 label Col2 ''"", 0)), """")"),"")</f>
        <v/>
      </c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8"/>
      <c r="AO201" s="28"/>
      <c r="AP201" s="29"/>
      <c r="AQ201" s="29" t="str">
        <f t="shared" ref="AQ201:BL201" si="204">T201/T$2</f>
        <v>#N/A</v>
      </c>
      <c r="AR201" s="29" t="str">
        <f t="shared" si="204"/>
        <v>#DIV/0!</v>
      </c>
      <c r="AS201" s="29" t="str">
        <f t="shared" si="204"/>
        <v>#DIV/0!</v>
      </c>
      <c r="AT201" s="29" t="str">
        <f t="shared" si="204"/>
        <v>#DIV/0!</v>
      </c>
      <c r="AU201" s="29" t="str">
        <f t="shared" si="204"/>
        <v>#DIV/0!</v>
      </c>
      <c r="AV201" s="29" t="str">
        <f t="shared" si="204"/>
        <v>#DIV/0!</v>
      </c>
      <c r="AW201" s="29" t="str">
        <f t="shared" si="204"/>
        <v>#DIV/0!</v>
      </c>
      <c r="AX201" s="29" t="str">
        <f t="shared" si="204"/>
        <v>#DIV/0!</v>
      </c>
      <c r="AY201" s="29" t="str">
        <f t="shared" si="204"/>
        <v>#DIV/0!</v>
      </c>
      <c r="AZ201" s="29" t="str">
        <f t="shared" si="204"/>
        <v>#DIV/0!</v>
      </c>
      <c r="BA201" s="29" t="str">
        <f t="shared" si="204"/>
        <v>#DIV/0!</v>
      </c>
      <c r="BB201" s="29" t="str">
        <f t="shared" si="204"/>
        <v>#DIV/0!</v>
      </c>
      <c r="BC201" s="29" t="str">
        <f t="shared" si="204"/>
        <v>#DIV/0!</v>
      </c>
      <c r="BD201" s="29" t="str">
        <f t="shared" si="204"/>
        <v>#DIV/0!</v>
      </c>
      <c r="BE201" s="29" t="str">
        <f t="shared" si="204"/>
        <v>#DIV/0!</v>
      </c>
      <c r="BF201" s="29" t="str">
        <f t="shared" si="204"/>
        <v>#DIV/0!</v>
      </c>
      <c r="BG201" s="29" t="str">
        <f t="shared" si="204"/>
        <v>#DIV/0!</v>
      </c>
      <c r="BH201" s="29" t="str">
        <f t="shared" si="204"/>
        <v>#DIV/0!</v>
      </c>
      <c r="BI201" s="29" t="str">
        <f t="shared" si="204"/>
        <v>#DIV/0!</v>
      </c>
      <c r="BJ201" s="29" t="str">
        <f t="shared" si="204"/>
        <v>#DIV/0!</v>
      </c>
      <c r="BK201" s="29" t="str">
        <f t="shared" si="204"/>
        <v>#DIV/0!</v>
      </c>
      <c r="BL201" s="29" t="str">
        <f t="shared" si="204"/>
        <v>#DIV/0!</v>
      </c>
      <c r="BM201" s="29" t="str">
        <f t="shared" si="3"/>
        <v>#DIV/0!</v>
      </c>
    </row>
    <row r="202">
      <c r="A202" s="16" t="str">
        <f>IFERROR(__xludf.DUMMYFUNCTION("IFERROR(SPARKLINE(SORT(MAP(TRANSPOSE(AQ202:BL202), LAMBDA(val, IF(ISNUMBER(val), PERCENTRANK(AQ202:BL202, val)+0.01, 0))), SEQUENCE(COLUMNS(AQ202:BL202)), FALSE), {""charttype"",""column""; ""color"",""chartreuse""; ""ymin"", 0; ""ymax"", 1.01; ""highcolo"&amp;"r"", ""darkgreen""; ""lowcolor"", ""red""}), """")"),"")</f>
        <v/>
      </c>
      <c r="B202" s="17" t="str">
        <f t="shared" si="4"/>
        <v/>
      </c>
      <c r="C202" s="1" t="s">
        <v>1630</v>
      </c>
      <c r="D202" s="30" t="str">
        <f>IFERROR(__xludf.DUMMYFUNCTION("IFERROR(GOOGLEFINANCE(C202, ""NAME""))"),"Otter Tail Corp")</f>
        <v>Otter Tail Corp</v>
      </c>
      <c r="E202" s="30" t="s">
        <v>843</v>
      </c>
      <c r="F202" s="33" t="str">
        <f>IFERROR(__xludf.DUMMYFUNCTION("( (GOOGLEFINANCE(C202, ""price"") - Q202) / Q202 ) / (R202 / 100)"),"Loading...")</f>
        <v>Loading...</v>
      </c>
      <c r="G202" s="20" t="str">
        <f>IFERROR(__xludf.DUMMYFUNCTION("AVERAGE(ARRAYFORMULA(100 * (QUERY(GOOGLEFINANCE(C202, ""high"", TODAY()-40, TODAY()), ""SELECT Col2 WHERE Col2 IS NOT NULL ORDER BY Col1 DESC LIMIT 20"", 0) / QUERY(GOOGLEFINANCE(C202, ""low"", TODAY()-40, TODAY()), ""SELECT Col2 WHERE Col2 IS NOT NULL OR"&amp;"DER BY Col1 DESC LIMIT 20"", 0) - 1)))"),"#N/A")</f>
        <v>#N/A</v>
      </c>
      <c r="H202" s="35" t="str">
        <f t="shared" si="6"/>
        <v/>
      </c>
      <c r="I202" s="35" t="str">
        <f t="shared" si="7"/>
        <v/>
      </c>
      <c r="J202" s="37" t="str">
        <f>IFERROR(__xludf.DUMMYFUNCTION("IFERROR(
  IF(C202="""",, 
    IFERROR(
      GOOGLEFINANCE(C202, ""price"") * GOOGLEFINANCE(C202, ""volumeavg""), 
      GOOGLEFINANCE(C202, ""price"") * AVERAGE(QUERY(GOOGLEFINANCE(C202, ""volume"", TODAY()-40, TODAY()), ""SELECT Col2 WHERE Col2 IS NOT "&amp;"NULL ORDER BY Col1 DESC LIMIT 20"", 0))
    )
  ), 
"""")"),"")</f>
        <v/>
      </c>
      <c r="K202" s="21" t="str">
        <f>IFERROR(__xludf.DUMMYFUNCTION("IFERROR(GOOGLEFINANCE(C202, ""changepct"") / 100, """")"),"")</f>
        <v/>
      </c>
      <c r="L202" s="21" t="str">
        <f>IFERROR(__xludf.DUMMYFUNCTION("IFERROR((GOOGLEFINANCE(C202, ""price"") / INDEX(GOOGLEFINANCE(C202, ""price"", TODAY()-7, TODAY()), 2, 2)) - 1, """")"),"")</f>
        <v/>
      </c>
      <c r="M202" s="21" t="str">
        <f>IFERROR(__xludf.DUMMYFUNCTION("IFERROR((GOOGLEFINANCE(C202, ""price"") / INDEX(GOOGLEFINANCE(C202, ""price"", EDATE(TODAY(), -1), TODAY()), 2, 2)) - 1, """")"),"")</f>
        <v/>
      </c>
      <c r="N202" s="21" t="str">
        <f>IFERROR(__xludf.DUMMYFUNCTION("IFERROR((GOOGLEFINANCE(C202, ""price"") / INDEX(GOOGLEFINANCE(C202, ""price"", EDATE(TODAY(), -3), TODAY()), 2, 2)) - 1, """")"),"")</f>
        <v/>
      </c>
      <c r="O202" s="21" t="str">
        <f>IFERROR(__xludf.DUMMYFUNCTION("IFERROR((GOOGLEFINANCE(C202, ""price"") / INDEX(GOOGLEFINANCE(C202, ""price"", EDATE(TODAY(), -6), TODAY()), 2, 2)) - 1, """")"),"")</f>
        <v/>
      </c>
      <c r="P202" s="21" t="str">
        <f>IFERROR(__xludf.DUMMYFUNCTION("IFERROR((GOOGLEFINANCE(C202, ""price"") / INDEX(GOOGLEFINANCE(C202, ""price"", EDATE(TODAY(), -12), TODAY()), 2, 2)) - 1, """")"),"")</f>
        <v/>
      </c>
      <c r="Q202" s="6" t="str">
        <f>IFERROR(__xludf.DUMMYFUNCTION("AVERAGE(QUERY(GOOGLEFINANCE(C202, ""price"", TODAY()-80, TODAY()), ""SELECT Col2 WHERE Col2 IS NOT NULL ORDER BY Col1 DESC LIMIT 50"", 0))"),"#N/A")</f>
        <v>#N/A</v>
      </c>
      <c r="R202" s="24" t="str">
        <f>IFERROR(__xludf.DUMMYFUNCTION("IFERROR(
  LET(
    data, QUERY(GOOGLEFINANCE(C202,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GOOGLEFINANCE(C202, ""price"")) * 100,
    IF(calc=0, G202, calc)
  ), 
G202)"),"#N/A")</f>
        <v>#N/A</v>
      </c>
      <c r="S202" s="8" t="s">
        <v>15</v>
      </c>
      <c r="T202" s="26" t="str">
        <f>IFERROR(__xludf.DUMMYFUNCTION("IFERROR(TRANSPOSE(QUERY(IFERROR(SORT(GOOGLEFINANCE(C202, ""price"", WORKDAY(TODAY(), -40), TODAY()), 1, FALSE)), ""select Col2 where Col2 is not null limit 22 label Col2 ''"", 0)), """")"),"")</f>
        <v/>
      </c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8"/>
      <c r="AO202" s="28"/>
      <c r="AP202" s="29"/>
      <c r="AQ202" s="29" t="str">
        <f t="shared" ref="AQ202:BL202" si="205">T202/T$2</f>
        <v>#N/A</v>
      </c>
      <c r="AR202" s="29" t="str">
        <f t="shared" si="205"/>
        <v>#DIV/0!</v>
      </c>
      <c r="AS202" s="29" t="str">
        <f t="shared" si="205"/>
        <v>#DIV/0!</v>
      </c>
      <c r="AT202" s="29" t="str">
        <f t="shared" si="205"/>
        <v>#DIV/0!</v>
      </c>
      <c r="AU202" s="29" t="str">
        <f t="shared" si="205"/>
        <v>#DIV/0!</v>
      </c>
      <c r="AV202" s="29" t="str">
        <f t="shared" si="205"/>
        <v>#DIV/0!</v>
      </c>
      <c r="AW202" s="29" t="str">
        <f t="shared" si="205"/>
        <v>#DIV/0!</v>
      </c>
      <c r="AX202" s="29" t="str">
        <f t="shared" si="205"/>
        <v>#DIV/0!</v>
      </c>
      <c r="AY202" s="29" t="str">
        <f t="shared" si="205"/>
        <v>#DIV/0!</v>
      </c>
      <c r="AZ202" s="29" t="str">
        <f t="shared" si="205"/>
        <v>#DIV/0!</v>
      </c>
      <c r="BA202" s="29" t="str">
        <f t="shared" si="205"/>
        <v>#DIV/0!</v>
      </c>
      <c r="BB202" s="29" t="str">
        <f t="shared" si="205"/>
        <v>#DIV/0!</v>
      </c>
      <c r="BC202" s="29" t="str">
        <f t="shared" si="205"/>
        <v>#DIV/0!</v>
      </c>
      <c r="BD202" s="29" t="str">
        <f t="shared" si="205"/>
        <v>#DIV/0!</v>
      </c>
      <c r="BE202" s="29" t="str">
        <f t="shared" si="205"/>
        <v>#DIV/0!</v>
      </c>
      <c r="BF202" s="29" t="str">
        <f t="shared" si="205"/>
        <v>#DIV/0!</v>
      </c>
      <c r="BG202" s="29" t="str">
        <f t="shared" si="205"/>
        <v>#DIV/0!</v>
      </c>
      <c r="BH202" s="29" t="str">
        <f t="shared" si="205"/>
        <v>#DIV/0!</v>
      </c>
      <c r="BI202" s="29" t="str">
        <f t="shared" si="205"/>
        <v>#DIV/0!</v>
      </c>
      <c r="BJ202" s="29" t="str">
        <f t="shared" si="205"/>
        <v>#DIV/0!</v>
      </c>
      <c r="BK202" s="29" t="str">
        <f t="shared" si="205"/>
        <v>#DIV/0!</v>
      </c>
      <c r="BL202" s="29" t="str">
        <f t="shared" si="205"/>
        <v>#DIV/0!</v>
      </c>
      <c r="BM202" s="29" t="str">
        <f t="shared" si="3"/>
        <v>#DIV/0!</v>
      </c>
    </row>
    <row r="203">
      <c r="A203" s="16" t="str">
        <f>IFERROR(__xludf.DUMMYFUNCTION("IFERROR(SPARKLINE(SORT(MAP(TRANSPOSE(AQ203:BL203), LAMBDA(val, IF(ISNUMBER(val), PERCENTRANK(AQ203:BL203, val)+0.01, 0))), SEQUENCE(COLUMNS(AQ203:BL203)), FALSE), {""charttype"",""column""; ""color"",""chartreuse""; ""ymin"", 0; ""ymax"", 1.01; ""highcolo"&amp;"r"", ""darkgreen""; ""lowcolor"", ""red""}), """")"),"")</f>
        <v/>
      </c>
      <c r="B203" s="17" t="str">
        <f t="shared" si="4"/>
        <v/>
      </c>
      <c r="C203" s="1" t="s">
        <v>1633</v>
      </c>
      <c r="D203" s="30" t="str">
        <f>IFERROR(__xludf.DUMMYFUNCTION("IFERROR(GOOGLEFINANCE(C203, ""NAME""))"),"Red Cat Holdings Inc")</f>
        <v>Red Cat Holdings Inc</v>
      </c>
      <c r="E203" s="30" t="s">
        <v>839</v>
      </c>
      <c r="F203" s="33" t="str">
        <f>IFERROR(__xludf.DUMMYFUNCTION("( (GOOGLEFINANCE(C203, ""price"") - Q203) / Q203 ) / (R203 / 100)"),"Loading...")</f>
        <v>Loading...</v>
      </c>
      <c r="G203" s="20" t="str">
        <f>IFERROR(__xludf.DUMMYFUNCTION("AVERAGE(ARRAYFORMULA(100 * (QUERY(GOOGLEFINANCE(C203, ""high"", TODAY()-40, TODAY()), ""SELECT Col2 WHERE Col2 IS NOT NULL ORDER BY Col1 DESC LIMIT 20"", 0) / QUERY(GOOGLEFINANCE(C203, ""low"", TODAY()-40, TODAY()), ""SELECT Col2 WHERE Col2 IS NOT NULL OR"&amp;"DER BY Col1 DESC LIMIT 20"", 0) - 1)))"),"#N/A")</f>
        <v>#N/A</v>
      </c>
      <c r="H203" s="35" t="str">
        <f t="shared" si="6"/>
        <v/>
      </c>
      <c r="I203" s="35" t="str">
        <f t="shared" si="7"/>
        <v/>
      </c>
      <c r="J203" s="37" t="str">
        <f>IFERROR(__xludf.DUMMYFUNCTION("IFERROR(
  IF(C203="""",, 
    IFERROR(
      GOOGLEFINANCE(C203, ""price"") * GOOGLEFINANCE(C203, ""volumeavg""), 
      GOOGLEFINANCE(C203, ""price"") * AVERAGE(QUERY(GOOGLEFINANCE(C203, ""volume"", TODAY()-40, TODAY()), ""SELECT Col2 WHERE Col2 IS NOT "&amp;"NULL ORDER BY Col1 DESC LIMIT 20"", 0))
    )
  ), 
"""")"),"")</f>
        <v/>
      </c>
      <c r="K203" s="21" t="str">
        <f>IFERROR(__xludf.DUMMYFUNCTION("IFERROR(GOOGLEFINANCE(C203, ""changepct"") / 100, """")"),"")</f>
        <v/>
      </c>
      <c r="L203" s="21" t="str">
        <f>IFERROR(__xludf.DUMMYFUNCTION("IFERROR((GOOGLEFINANCE(C203, ""price"") / INDEX(GOOGLEFINANCE(C203, ""price"", TODAY()-7, TODAY()), 2, 2)) - 1, """")"),"")</f>
        <v/>
      </c>
      <c r="M203" s="21" t="str">
        <f>IFERROR(__xludf.DUMMYFUNCTION("IFERROR((GOOGLEFINANCE(C203, ""price"") / INDEX(GOOGLEFINANCE(C203, ""price"", EDATE(TODAY(), -1), TODAY()), 2, 2)) - 1, """")"),"")</f>
        <v/>
      </c>
      <c r="N203" s="21" t="str">
        <f>IFERROR(__xludf.DUMMYFUNCTION("IFERROR((GOOGLEFINANCE(C203, ""price"") / INDEX(GOOGLEFINANCE(C203, ""price"", EDATE(TODAY(), -3), TODAY()), 2, 2)) - 1, """")"),"")</f>
        <v/>
      </c>
      <c r="O203" s="21" t="str">
        <f>IFERROR(__xludf.DUMMYFUNCTION("IFERROR((GOOGLEFINANCE(C203, ""price"") / INDEX(GOOGLEFINANCE(C203, ""price"", EDATE(TODAY(), -6), TODAY()), 2, 2)) - 1, """")"),"")</f>
        <v/>
      </c>
      <c r="P203" s="21" t="str">
        <f>IFERROR(__xludf.DUMMYFUNCTION("IFERROR((GOOGLEFINANCE(C203, ""price"") / INDEX(GOOGLEFINANCE(C203, ""price"", EDATE(TODAY(), -12), TODAY()), 2, 2)) - 1, """")"),"")</f>
        <v/>
      </c>
      <c r="Q203" s="6" t="str">
        <f>IFERROR(__xludf.DUMMYFUNCTION("AVERAGE(QUERY(GOOGLEFINANCE(C203, ""price"", TODAY()-80, TODAY()), ""SELECT Col2 WHERE Col2 IS NOT NULL ORDER BY Col1 DESC LIMIT 50"", 0))"),"#N/A")</f>
        <v>#N/A</v>
      </c>
      <c r="R203" s="24" t="str">
        <f>IFERROR(__xludf.DUMMYFUNCTION("IFERROR(
  LET(
    data, QUERY(GOOGLEFINANCE(C203,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GOOGLEFINANCE(C203, ""price"")) * 100,
    IF(calc=0, G203, calc)
  ), 
G203)"),"#N/A")</f>
        <v>#N/A</v>
      </c>
      <c r="S203" s="8" t="s">
        <v>15</v>
      </c>
      <c r="T203" s="26" t="str">
        <f>IFERROR(__xludf.DUMMYFUNCTION("IFERROR(TRANSPOSE(QUERY(IFERROR(SORT(GOOGLEFINANCE(C203, ""price"", WORKDAY(TODAY(), -40), TODAY()), 1, FALSE)), ""select Col2 where Col2 is not null limit 22 label Col2 ''"", 0)), """")"),"")</f>
        <v/>
      </c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8"/>
      <c r="AO203" s="28"/>
      <c r="AP203" s="29"/>
      <c r="AQ203" s="29" t="str">
        <f t="shared" ref="AQ203:BL203" si="206">T203/T$2</f>
        <v>#N/A</v>
      </c>
      <c r="AR203" s="29" t="str">
        <f t="shared" si="206"/>
        <v>#DIV/0!</v>
      </c>
      <c r="AS203" s="29" t="str">
        <f t="shared" si="206"/>
        <v>#DIV/0!</v>
      </c>
      <c r="AT203" s="29" t="str">
        <f t="shared" si="206"/>
        <v>#DIV/0!</v>
      </c>
      <c r="AU203" s="29" t="str">
        <f t="shared" si="206"/>
        <v>#DIV/0!</v>
      </c>
      <c r="AV203" s="29" t="str">
        <f t="shared" si="206"/>
        <v>#DIV/0!</v>
      </c>
      <c r="AW203" s="29" t="str">
        <f t="shared" si="206"/>
        <v>#DIV/0!</v>
      </c>
      <c r="AX203" s="29" t="str">
        <f t="shared" si="206"/>
        <v>#DIV/0!</v>
      </c>
      <c r="AY203" s="29" t="str">
        <f t="shared" si="206"/>
        <v>#DIV/0!</v>
      </c>
      <c r="AZ203" s="29" t="str">
        <f t="shared" si="206"/>
        <v>#DIV/0!</v>
      </c>
      <c r="BA203" s="29" t="str">
        <f t="shared" si="206"/>
        <v>#DIV/0!</v>
      </c>
      <c r="BB203" s="29" t="str">
        <f t="shared" si="206"/>
        <v>#DIV/0!</v>
      </c>
      <c r="BC203" s="29" t="str">
        <f t="shared" si="206"/>
        <v>#DIV/0!</v>
      </c>
      <c r="BD203" s="29" t="str">
        <f t="shared" si="206"/>
        <v>#DIV/0!</v>
      </c>
      <c r="BE203" s="29" t="str">
        <f t="shared" si="206"/>
        <v>#DIV/0!</v>
      </c>
      <c r="BF203" s="29" t="str">
        <f t="shared" si="206"/>
        <v>#DIV/0!</v>
      </c>
      <c r="BG203" s="29" t="str">
        <f t="shared" si="206"/>
        <v>#DIV/0!</v>
      </c>
      <c r="BH203" s="29" t="str">
        <f t="shared" si="206"/>
        <v>#DIV/0!</v>
      </c>
      <c r="BI203" s="29" t="str">
        <f t="shared" si="206"/>
        <v>#DIV/0!</v>
      </c>
      <c r="BJ203" s="29" t="str">
        <f t="shared" si="206"/>
        <v>#DIV/0!</v>
      </c>
      <c r="BK203" s="29" t="str">
        <f t="shared" si="206"/>
        <v>#DIV/0!</v>
      </c>
      <c r="BL203" s="29" t="str">
        <f t="shared" si="206"/>
        <v>#DIV/0!</v>
      </c>
      <c r="BM203" s="29" t="str">
        <f t="shared" si="3"/>
        <v>#DIV/0!</v>
      </c>
    </row>
    <row r="204">
      <c r="A204" s="16" t="str">
        <f>IFERROR(__xludf.DUMMYFUNCTION("IFERROR(SPARKLINE(SORT(MAP(TRANSPOSE(AQ204:BL204), LAMBDA(val, IF(ISNUMBER(val), PERCENTRANK(AQ204:BL204, val)+0.01, 0))), SEQUENCE(COLUMNS(AQ204:BL204)), FALSE), {""charttype"",""column""; ""color"",""chartreuse""; ""ymin"", 0; ""ymax"", 1.01; ""highcolo"&amp;"r"", ""darkgreen""; ""lowcolor"", ""red""}), """")"),"")</f>
        <v/>
      </c>
      <c r="B204" s="17" t="str">
        <f t="shared" si="4"/>
        <v/>
      </c>
      <c r="C204" s="1" t="s">
        <v>1637</v>
      </c>
      <c r="D204" s="30" t="str">
        <f>IFERROR(__xludf.DUMMYFUNCTION("IFERROR(GOOGLEFINANCE(C204, ""NAME""))"),"UniFirst Corp")</f>
        <v>UniFirst Corp</v>
      </c>
      <c r="E204" s="30" t="s">
        <v>916</v>
      </c>
      <c r="F204" s="38" t="str">
        <f>IFERROR(__xludf.DUMMYFUNCTION("( (GOOGLEFINANCE(C204, ""price"") - Q204) / Q204 ) / (R204 / 100)"),"Loading...")</f>
        <v>Loading...</v>
      </c>
      <c r="G204" s="20" t="str">
        <f>IFERROR(__xludf.DUMMYFUNCTION("AVERAGE(ARRAYFORMULA(100 * (QUERY(GOOGLEFINANCE(C204, ""high"", TODAY()-40, TODAY()), ""SELECT Col2 WHERE Col2 IS NOT NULL ORDER BY Col1 DESC LIMIT 20"", 0) / QUERY(GOOGLEFINANCE(C204, ""low"", TODAY()-40, TODAY()), ""SELECT Col2 WHERE Col2 IS NOT NULL OR"&amp;"DER BY Col1 DESC LIMIT 20"", 0) - 1)))"),"#N/A")</f>
        <v>#N/A</v>
      </c>
      <c r="H204" s="35" t="str">
        <f t="shared" si="6"/>
        <v/>
      </c>
      <c r="I204" s="35" t="str">
        <f t="shared" si="7"/>
        <v/>
      </c>
      <c r="J204" s="37" t="str">
        <f>IFERROR(__xludf.DUMMYFUNCTION("IFERROR(
  IF(C204="""",, 
    IFERROR(
      GOOGLEFINANCE(C204, ""price"") * GOOGLEFINANCE(C204, ""volumeavg""), 
      GOOGLEFINANCE(C204, ""price"") * AVERAGE(QUERY(GOOGLEFINANCE(C204, ""volume"", TODAY()-40, TODAY()), ""SELECT Col2 WHERE Col2 IS NOT "&amp;"NULL ORDER BY Col1 DESC LIMIT 20"", 0))
    )
  ), 
"""")"),"")</f>
        <v/>
      </c>
      <c r="K204" s="21" t="str">
        <f>IFERROR(__xludf.DUMMYFUNCTION("IFERROR(GOOGLEFINANCE(C204, ""changepct"") / 100, """")"),"")</f>
        <v/>
      </c>
      <c r="L204" s="21" t="str">
        <f>IFERROR(__xludf.DUMMYFUNCTION("IFERROR((GOOGLEFINANCE(C204, ""price"") / INDEX(GOOGLEFINANCE(C204, ""price"", TODAY()-7, TODAY()), 2, 2)) - 1, """")"),"")</f>
        <v/>
      </c>
      <c r="M204" s="21" t="str">
        <f>IFERROR(__xludf.DUMMYFUNCTION("IFERROR((GOOGLEFINANCE(C204, ""price"") / INDEX(GOOGLEFINANCE(C204, ""price"", EDATE(TODAY(), -1), TODAY()), 2, 2)) - 1, """")"),"")</f>
        <v/>
      </c>
      <c r="N204" s="21" t="str">
        <f>IFERROR(__xludf.DUMMYFUNCTION("IFERROR((GOOGLEFINANCE(C204, ""price"") / INDEX(GOOGLEFINANCE(C204, ""price"", EDATE(TODAY(), -3), TODAY()), 2, 2)) - 1, """")"),"")</f>
        <v/>
      </c>
      <c r="O204" s="21" t="str">
        <f>IFERROR(__xludf.DUMMYFUNCTION("IFERROR((GOOGLEFINANCE(C204, ""price"") / INDEX(GOOGLEFINANCE(C204, ""price"", EDATE(TODAY(), -6), TODAY()), 2, 2)) - 1, """")"),"")</f>
        <v/>
      </c>
      <c r="P204" s="21" t="str">
        <f>IFERROR(__xludf.DUMMYFUNCTION("IFERROR((GOOGLEFINANCE(C204, ""price"") / INDEX(GOOGLEFINANCE(C204, ""price"", EDATE(TODAY(), -12), TODAY()), 2, 2)) - 1, """")"),"")</f>
        <v/>
      </c>
      <c r="Q204" s="6" t="str">
        <f>IFERROR(__xludf.DUMMYFUNCTION("AVERAGE(QUERY(GOOGLEFINANCE(C204, ""price"", TODAY()-80, TODAY()), ""SELECT Col2 WHERE Col2 IS NOT NULL ORDER BY Col1 DESC LIMIT 50"", 0))"),"#N/A")</f>
        <v>#N/A</v>
      </c>
      <c r="R204" s="24" t="str">
        <f>IFERROR(__xludf.DUMMYFUNCTION("IFERROR(
  LET(
    data, QUERY(GOOGLEFINANCE(C204,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GOOGLEFINANCE(C204, ""price"")) * 100,
    IF(calc=0, G204, calc)
  ), 
G204)"),"#N/A")</f>
        <v>#N/A</v>
      </c>
      <c r="S204" s="8" t="s">
        <v>15</v>
      </c>
      <c r="T204" s="26" t="str">
        <f>IFERROR(__xludf.DUMMYFUNCTION("IFERROR(TRANSPOSE(QUERY(IFERROR(SORT(GOOGLEFINANCE(C204, ""price"", WORKDAY(TODAY(), -40), TODAY()), 1, FALSE)), ""select Col2 where Col2 is not null limit 22 label Col2 ''"", 0)), """")"),"")</f>
        <v/>
      </c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8"/>
      <c r="AO204" s="28"/>
      <c r="AP204" s="29"/>
      <c r="AQ204" s="29" t="str">
        <f t="shared" ref="AQ204:BL204" si="207">T204/T$2</f>
        <v>#N/A</v>
      </c>
      <c r="AR204" s="29" t="str">
        <f t="shared" si="207"/>
        <v>#DIV/0!</v>
      </c>
      <c r="AS204" s="29" t="str">
        <f t="shared" si="207"/>
        <v>#DIV/0!</v>
      </c>
      <c r="AT204" s="29" t="str">
        <f t="shared" si="207"/>
        <v>#DIV/0!</v>
      </c>
      <c r="AU204" s="29" t="str">
        <f t="shared" si="207"/>
        <v>#DIV/0!</v>
      </c>
      <c r="AV204" s="29" t="str">
        <f t="shared" si="207"/>
        <v>#DIV/0!</v>
      </c>
      <c r="AW204" s="29" t="str">
        <f t="shared" si="207"/>
        <v>#DIV/0!</v>
      </c>
      <c r="AX204" s="29" t="str">
        <f t="shared" si="207"/>
        <v>#DIV/0!</v>
      </c>
      <c r="AY204" s="29" t="str">
        <f t="shared" si="207"/>
        <v>#DIV/0!</v>
      </c>
      <c r="AZ204" s="29" t="str">
        <f t="shared" si="207"/>
        <v>#DIV/0!</v>
      </c>
      <c r="BA204" s="29" t="str">
        <f t="shared" si="207"/>
        <v>#DIV/0!</v>
      </c>
      <c r="BB204" s="29" t="str">
        <f t="shared" si="207"/>
        <v>#DIV/0!</v>
      </c>
      <c r="BC204" s="29" t="str">
        <f t="shared" si="207"/>
        <v>#DIV/0!</v>
      </c>
      <c r="BD204" s="29" t="str">
        <f t="shared" si="207"/>
        <v>#DIV/0!</v>
      </c>
      <c r="BE204" s="29" t="str">
        <f t="shared" si="207"/>
        <v>#DIV/0!</v>
      </c>
      <c r="BF204" s="29" t="str">
        <f t="shared" si="207"/>
        <v>#DIV/0!</v>
      </c>
      <c r="BG204" s="29" t="str">
        <f t="shared" si="207"/>
        <v>#DIV/0!</v>
      </c>
      <c r="BH204" s="29" t="str">
        <f t="shared" si="207"/>
        <v>#DIV/0!</v>
      </c>
      <c r="BI204" s="29" t="str">
        <f t="shared" si="207"/>
        <v>#DIV/0!</v>
      </c>
      <c r="BJ204" s="29" t="str">
        <f t="shared" si="207"/>
        <v>#DIV/0!</v>
      </c>
      <c r="BK204" s="29" t="str">
        <f t="shared" si="207"/>
        <v>#DIV/0!</v>
      </c>
      <c r="BL204" s="29" t="str">
        <f t="shared" si="207"/>
        <v>#DIV/0!</v>
      </c>
      <c r="BM204" s="29" t="str">
        <f t="shared" si="3"/>
        <v>#DIV/0!</v>
      </c>
    </row>
    <row r="205">
      <c r="A205" s="16" t="str">
        <f>IFERROR(__xludf.DUMMYFUNCTION("IFERROR(SPARKLINE(SORT(MAP(TRANSPOSE(AQ205:BL205), LAMBDA(val, IF(ISNUMBER(val), PERCENTRANK(AQ205:BL205, val)+0.01, 0))), SEQUENCE(COLUMNS(AQ205:BL205)), FALSE), {""charttype"",""column""; ""color"",""chartreuse""; ""ymin"", 0; ""ymax"", 1.01; ""highcolo"&amp;"r"", ""darkgreen""; ""lowcolor"", ""red""}), """")"),"")</f>
        <v/>
      </c>
      <c r="B205" s="17" t="str">
        <f t="shared" si="4"/>
        <v/>
      </c>
      <c r="C205" s="1" t="s">
        <v>1641</v>
      </c>
      <c r="D205" s="30" t="str">
        <f>IFERROR(__xludf.DUMMYFUNCTION("IFERROR(GOOGLEFINANCE(C205, ""NAME""))"),"Enviri Corp (Delaware)")</f>
        <v>Enviri Corp (Delaware)</v>
      </c>
      <c r="E205" s="30" t="s">
        <v>1371</v>
      </c>
      <c r="F205" s="33" t="str">
        <f>IFERROR(__xludf.DUMMYFUNCTION("( (GOOGLEFINANCE(C205, ""price"") - Q205) / Q205 ) / (R205 / 100)"),"Loading...")</f>
        <v>Loading...</v>
      </c>
      <c r="G205" s="20" t="str">
        <f>IFERROR(__xludf.DUMMYFUNCTION("AVERAGE(ARRAYFORMULA(100 * (QUERY(GOOGLEFINANCE(C205, ""high"", TODAY()-40, TODAY()), ""SELECT Col2 WHERE Col2 IS NOT NULL ORDER BY Col1 DESC LIMIT 20"", 0) / QUERY(GOOGLEFINANCE(C205, ""low"", TODAY()-40, TODAY()), ""SELECT Col2 WHERE Col2 IS NOT NULL OR"&amp;"DER BY Col1 DESC LIMIT 20"", 0) - 1)))"),"#N/A")</f>
        <v>#N/A</v>
      </c>
      <c r="H205" s="35" t="str">
        <f t="shared" si="6"/>
        <v/>
      </c>
      <c r="I205" s="35" t="str">
        <f t="shared" si="7"/>
        <v/>
      </c>
      <c r="J205" s="37" t="str">
        <f>IFERROR(__xludf.DUMMYFUNCTION("IFERROR(
  IF(C205="""",, 
    IFERROR(
      GOOGLEFINANCE(C205, ""price"") * GOOGLEFINANCE(C205, ""volumeavg""), 
      GOOGLEFINANCE(C205, ""price"") * AVERAGE(QUERY(GOOGLEFINANCE(C205, ""volume"", TODAY()-40, TODAY()), ""SELECT Col2 WHERE Col2 IS NOT "&amp;"NULL ORDER BY Col1 DESC LIMIT 20"", 0))
    )
  ), 
"""")"),"")</f>
        <v/>
      </c>
      <c r="K205" s="21" t="str">
        <f>IFERROR(__xludf.DUMMYFUNCTION("IFERROR(GOOGLEFINANCE(C205, ""changepct"") / 100, """")"),"")</f>
        <v/>
      </c>
      <c r="L205" s="21" t="str">
        <f>IFERROR(__xludf.DUMMYFUNCTION("IFERROR((GOOGLEFINANCE(C205, ""price"") / INDEX(GOOGLEFINANCE(C205, ""price"", TODAY()-7, TODAY()), 2, 2)) - 1, """")"),"")</f>
        <v/>
      </c>
      <c r="M205" s="21" t="str">
        <f>IFERROR(__xludf.DUMMYFUNCTION("IFERROR((GOOGLEFINANCE(C205, ""price"") / INDEX(GOOGLEFINANCE(C205, ""price"", EDATE(TODAY(), -1), TODAY()), 2, 2)) - 1, """")"),"")</f>
        <v/>
      </c>
      <c r="N205" s="21" t="str">
        <f>IFERROR(__xludf.DUMMYFUNCTION("IFERROR((GOOGLEFINANCE(C205, ""price"") / INDEX(GOOGLEFINANCE(C205, ""price"", EDATE(TODAY(), -3), TODAY()), 2, 2)) - 1, """")"),"")</f>
        <v/>
      </c>
      <c r="O205" s="21" t="str">
        <f>IFERROR(__xludf.DUMMYFUNCTION("IFERROR((GOOGLEFINANCE(C205, ""price"") / INDEX(GOOGLEFINANCE(C205, ""price"", EDATE(TODAY(), -6), TODAY()), 2, 2)) - 1, """")"),"")</f>
        <v/>
      </c>
      <c r="P205" s="21" t="str">
        <f>IFERROR(__xludf.DUMMYFUNCTION("IFERROR((GOOGLEFINANCE(C205, ""price"") / INDEX(GOOGLEFINANCE(C205, ""price"", EDATE(TODAY(), -12), TODAY()), 2, 2)) - 1, """")"),"")</f>
        <v/>
      </c>
      <c r="Q205" s="6" t="str">
        <f>IFERROR(__xludf.DUMMYFUNCTION("AVERAGE(QUERY(GOOGLEFINANCE(C205, ""price"", TODAY()-80, TODAY()), ""SELECT Col2 WHERE Col2 IS NOT NULL ORDER BY Col1 DESC LIMIT 50"", 0))"),"#N/A")</f>
        <v>#N/A</v>
      </c>
      <c r="R205" s="24" t="str">
        <f>IFERROR(__xludf.DUMMYFUNCTION("IFERROR(
  LET(
    data, QUERY(GOOGLEFINANCE(C205,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GOOGLEFINANCE(C205, ""price"")) * 100,
    IF(calc=0, G205, calc)
  ), 
G205)"),"#N/A")</f>
        <v>#N/A</v>
      </c>
      <c r="S205" s="8" t="s">
        <v>15</v>
      </c>
      <c r="T205" s="26" t="str">
        <f>IFERROR(__xludf.DUMMYFUNCTION("IFERROR(TRANSPOSE(QUERY(IFERROR(SORT(GOOGLEFINANCE(C205, ""price"", WORKDAY(TODAY(), -40), TODAY()), 1, FALSE)), ""select Col2 where Col2 is not null limit 22 label Col2 ''"", 0)), """")"),"")</f>
        <v/>
      </c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8"/>
      <c r="AO205" s="28"/>
      <c r="AP205" s="29"/>
      <c r="AQ205" s="29" t="str">
        <f t="shared" ref="AQ205:BL205" si="208">T205/T$2</f>
        <v>#N/A</v>
      </c>
      <c r="AR205" s="29" t="str">
        <f t="shared" si="208"/>
        <v>#DIV/0!</v>
      </c>
      <c r="AS205" s="29" t="str">
        <f t="shared" si="208"/>
        <v>#DIV/0!</v>
      </c>
      <c r="AT205" s="29" t="str">
        <f t="shared" si="208"/>
        <v>#DIV/0!</v>
      </c>
      <c r="AU205" s="29" t="str">
        <f t="shared" si="208"/>
        <v>#DIV/0!</v>
      </c>
      <c r="AV205" s="29" t="str">
        <f t="shared" si="208"/>
        <v>#DIV/0!</v>
      </c>
      <c r="AW205" s="29" t="str">
        <f t="shared" si="208"/>
        <v>#DIV/0!</v>
      </c>
      <c r="AX205" s="29" t="str">
        <f t="shared" si="208"/>
        <v>#DIV/0!</v>
      </c>
      <c r="AY205" s="29" t="str">
        <f t="shared" si="208"/>
        <v>#DIV/0!</v>
      </c>
      <c r="AZ205" s="29" t="str">
        <f t="shared" si="208"/>
        <v>#DIV/0!</v>
      </c>
      <c r="BA205" s="29" t="str">
        <f t="shared" si="208"/>
        <v>#DIV/0!</v>
      </c>
      <c r="BB205" s="29" t="str">
        <f t="shared" si="208"/>
        <v>#DIV/0!</v>
      </c>
      <c r="BC205" s="29" t="str">
        <f t="shared" si="208"/>
        <v>#DIV/0!</v>
      </c>
      <c r="BD205" s="29" t="str">
        <f t="shared" si="208"/>
        <v>#DIV/0!</v>
      </c>
      <c r="BE205" s="29" t="str">
        <f t="shared" si="208"/>
        <v>#DIV/0!</v>
      </c>
      <c r="BF205" s="29" t="str">
        <f t="shared" si="208"/>
        <v>#DIV/0!</v>
      </c>
      <c r="BG205" s="29" t="str">
        <f t="shared" si="208"/>
        <v>#DIV/0!</v>
      </c>
      <c r="BH205" s="29" t="str">
        <f t="shared" si="208"/>
        <v>#DIV/0!</v>
      </c>
      <c r="BI205" s="29" t="str">
        <f t="shared" si="208"/>
        <v>#DIV/0!</v>
      </c>
      <c r="BJ205" s="29" t="str">
        <f t="shared" si="208"/>
        <v>#DIV/0!</v>
      </c>
      <c r="BK205" s="29" t="str">
        <f t="shared" si="208"/>
        <v>#DIV/0!</v>
      </c>
      <c r="BL205" s="29" t="str">
        <f t="shared" si="208"/>
        <v>#DIV/0!</v>
      </c>
      <c r="BM205" s="29" t="str">
        <f t="shared" si="3"/>
        <v>#DIV/0!</v>
      </c>
    </row>
    <row r="206">
      <c r="A206" s="16" t="str">
        <f>IFERROR(__xludf.DUMMYFUNCTION("IFERROR(SPARKLINE(SORT(MAP(TRANSPOSE(AQ206:BL206), LAMBDA(val, IF(ISNUMBER(val), PERCENTRANK(AQ206:BL206, val)+0.01, 0))), SEQUENCE(COLUMNS(AQ206:BL206)), FALSE), {""charttype"",""column""; ""color"",""chartreuse""; ""ymin"", 0; ""ymax"", 1.01; ""highcolo"&amp;"r"", ""darkgreen""; ""lowcolor"", ""red""}), """")"),"")</f>
        <v/>
      </c>
      <c r="B206" s="17" t="str">
        <f t="shared" si="4"/>
        <v/>
      </c>
      <c r="C206" s="1" t="s">
        <v>1644</v>
      </c>
      <c r="D206" s="30" t="str">
        <f>IFERROR(__xludf.DUMMYFUNCTION("IFERROR(GOOGLEFINANCE(C206, ""NAME""))"),"Werner Enterprises Inc")</f>
        <v>Werner Enterprises Inc</v>
      </c>
      <c r="E206" s="30" t="s">
        <v>1317</v>
      </c>
      <c r="F206" s="33" t="str">
        <f>IFERROR(__xludf.DUMMYFUNCTION("( (GOOGLEFINANCE(C206, ""price"") - Q206) / Q206 ) / (R206 / 100)"),"Loading...")</f>
        <v>Loading...</v>
      </c>
      <c r="G206" s="20" t="str">
        <f>IFERROR(__xludf.DUMMYFUNCTION("AVERAGE(ARRAYFORMULA(100 * (QUERY(GOOGLEFINANCE(C206, ""high"", TODAY()-40, TODAY()), ""SELECT Col2 WHERE Col2 IS NOT NULL ORDER BY Col1 DESC LIMIT 20"", 0) / QUERY(GOOGLEFINANCE(C206, ""low"", TODAY()-40, TODAY()), ""SELECT Col2 WHERE Col2 IS NOT NULL OR"&amp;"DER BY Col1 DESC LIMIT 20"", 0) - 1)))"),"#N/A")</f>
        <v>#N/A</v>
      </c>
      <c r="H206" s="35" t="str">
        <f t="shared" si="6"/>
        <v/>
      </c>
      <c r="I206" s="35" t="str">
        <f t="shared" si="7"/>
        <v/>
      </c>
      <c r="J206" s="37" t="str">
        <f>IFERROR(__xludf.DUMMYFUNCTION("IFERROR(
  IF(C206="""",, 
    IFERROR(
      GOOGLEFINANCE(C206, ""price"") * GOOGLEFINANCE(C206, ""volumeavg""), 
      GOOGLEFINANCE(C206, ""price"") * AVERAGE(QUERY(GOOGLEFINANCE(C206, ""volume"", TODAY()-40, TODAY()), ""SELECT Col2 WHERE Col2 IS NOT "&amp;"NULL ORDER BY Col1 DESC LIMIT 20"", 0))
    )
  ), 
"""")"),"")</f>
        <v/>
      </c>
      <c r="K206" s="21" t="str">
        <f>IFERROR(__xludf.DUMMYFUNCTION("IFERROR(GOOGLEFINANCE(C206, ""changepct"") / 100, """")"),"")</f>
        <v/>
      </c>
      <c r="L206" s="21" t="str">
        <f>IFERROR(__xludf.DUMMYFUNCTION("IFERROR((GOOGLEFINANCE(C206, ""price"") / INDEX(GOOGLEFINANCE(C206, ""price"", TODAY()-7, TODAY()), 2, 2)) - 1, """")"),"")</f>
        <v/>
      </c>
      <c r="M206" s="21" t="str">
        <f>IFERROR(__xludf.DUMMYFUNCTION("IFERROR((GOOGLEFINANCE(C206, ""price"") / INDEX(GOOGLEFINANCE(C206, ""price"", EDATE(TODAY(), -1), TODAY()), 2, 2)) - 1, """")"),"")</f>
        <v/>
      </c>
      <c r="N206" s="21" t="str">
        <f>IFERROR(__xludf.DUMMYFUNCTION("IFERROR((GOOGLEFINANCE(C206, ""price"") / INDEX(GOOGLEFINANCE(C206, ""price"", EDATE(TODAY(), -3), TODAY()), 2, 2)) - 1, """")"),"")</f>
        <v/>
      </c>
      <c r="O206" s="21" t="str">
        <f>IFERROR(__xludf.DUMMYFUNCTION("IFERROR((GOOGLEFINANCE(C206, ""price"") / INDEX(GOOGLEFINANCE(C206, ""price"", EDATE(TODAY(), -6), TODAY()), 2, 2)) - 1, """")"),"")</f>
        <v/>
      </c>
      <c r="P206" s="21" t="str">
        <f>IFERROR(__xludf.DUMMYFUNCTION("IFERROR((GOOGLEFINANCE(C206, ""price"") / INDEX(GOOGLEFINANCE(C206, ""price"", EDATE(TODAY(), -12), TODAY()), 2, 2)) - 1, """")"),"")</f>
        <v/>
      </c>
      <c r="Q206" s="6" t="str">
        <f>IFERROR(__xludf.DUMMYFUNCTION("AVERAGE(QUERY(GOOGLEFINANCE(C206, ""price"", TODAY()-80, TODAY()), ""SELECT Col2 WHERE Col2 IS NOT NULL ORDER BY Col1 DESC LIMIT 50"", 0))"),"#N/A")</f>
        <v>#N/A</v>
      </c>
      <c r="R206" s="24" t="str">
        <f>IFERROR(__xludf.DUMMYFUNCTION("IFERROR(
  LET(
    data, QUERY(GOOGLEFINANCE(C206,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GOOGLEFINANCE(C206, ""price"")) * 100,
    IF(calc=0, G206, calc)
  ), 
G206)"),"#N/A")</f>
        <v>#N/A</v>
      </c>
      <c r="S206" s="8" t="s">
        <v>15</v>
      </c>
      <c r="T206" s="26" t="str">
        <f>IFERROR(__xludf.DUMMYFUNCTION("IFERROR(TRANSPOSE(QUERY(IFERROR(SORT(GOOGLEFINANCE(C206, ""price"", WORKDAY(TODAY(), -40), TODAY()), 1, FALSE)), ""select Col2 where Col2 is not null limit 22 label Col2 ''"", 0)), """")"),"")</f>
        <v/>
      </c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8"/>
      <c r="AO206" s="28"/>
      <c r="AP206" s="29"/>
      <c r="AQ206" s="29" t="str">
        <f t="shared" ref="AQ206:BL206" si="209">T206/T$2</f>
        <v>#N/A</v>
      </c>
      <c r="AR206" s="29" t="str">
        <f t="shared" si="209"/>
        <v>#DIV/0!</v>
      </c>
      <c r="AS206" s="29" t="str">
        <f t="shared" si="209"/>
        <v>#DIV/0!</v>
      </c>
      <c r="AT206" s="29" t="str">
        <f t="shared" si="209"/>
        <v>#DIV/0!</v>
      </c>
      <c r="AU206" s="29" t="str">
        <f t="shared" si="209"/>
        <v>#DIV/0!</v>
      </c>
      <c r="AV206" s="29" t="str">
        <f t="shared" si="209"/>
        <v>#DIV/0!</v>
      </c>
      <c r="AW206" s="29" t="str">
        <f t="shared" si="209"/>
        <v>#DIV/0!</v>
      </c>
      <c r="AX206" s="29" t="str">
        <f t="shared" si="209"/>
        <v>#DIV/0!</v>
      </c>
      <c r="AY206" s="29" t="str">
        <f t="shared" si="209"/>
        <v>#DIV/0!</v>
      </c>
      <c r="AZ206" s="29" t="str">
        <f t="shared" si="209"/>
        <v>#DIV/0!</v>
      </c>
      <c r="BA206" s="29" t="str">
        <f t="shared" si="209"/>
        <v>#DIV/0!</v>
      </c>
      <c r="BB206" s="29" t="str">
        <f t="shared" si="209"/>
        <v>#DIV/0!</v>
      </c>
      <c r="BC206" s="29" t="str">
        <f t="shared" si="209"/>
        <v>#DIV/0!</v>
      </c>
      <c r="BD206" s="29" t="str">
        <f t="shared" si="209"/>
        <v>#DIV/0!</v>
      </c>
      <c r="BE206" s="29" t="str">
        <f t="shared" si="209"/>
        <v>#DIV/0!</v>
      </c>
      <c r="BF206" s="29" t="str">
        <f t="shared" si="209"/>
        <v>#DIV/0!</v>
      </c>
      <c r="BG206" s="29" t="str">
        <f t="shared" si="209"/>
        <v>#DIV/0!</v>
      </c>
      <c r="BH206" s="29" t="str">
        <f t="shared" si="209"/>
        <v>#DIV/0!</v>
      </c>
      <c r="BI206" s="29" t="str">
        <f t="shared" si="209"/>
        <v>#DIV/0!</v>
      </c>
      <c r="BJ206" s="29" t="str">
        <f t="shared" si="209"/>
        <v>#DIV/0!</v>
      </c>
      <c r="BK206" s="29" t="str">
        <f t="shared" si="209"/>
        <v>#DIV/0!</v>
      </c>
      <c r="BL206" s="29" t="str">
        <f t="shared" si="209"/>
        <v>#DIV/0!</v>
      </c>
      <c r="BM206" s="29" t="str">
        <f t="shared" si="3"/>
        <v>#DIV/0!</v>
      </c>
    </row>
    <row r="207">
      <c r="A207" s="16" t="str">
        <f>IFERROR(__xludf.DUMMYFUNCTION("IFERROR(SPARKLINE(SORT(MAP(TRANSPOSE(AQ207:BL207), LAMBDA(val, IF(ISNUMBER(val), PERCENTRANK(AQ207:BL207, val)+0.01, 0))), SEQUENCE(COLUMNS(AQ207:BL207)), FALSE), {""charttype"",""column""; ""color"",""chartreuse""; ""ymin"", 0; ""ymax"", 1.01; ""highcolo"&amp;"r"", ""darkgreen""; ""lowcolor"", ""red""}), """")"),"")</f>
        <v/>
      </c>
      <c r="B207" s="17" t="str">
        <f t="shared" si="4"/>
        <v/>
      </c>
      <c r="C207" s="1" t="s">
        <v>1648</v>
      </c>
      <c r="D207" s="30" t="str">
        <f>IFERROR(__xludf.DUMMYFUNCTION("IFERROR(GOOGLEFINANCE(C207, ""NAME""))"),"Nuscale Power Corp")</f>
        <v>Nuscale Power Corp</v>
      </c>
      <c r="E207" s="30" t="s">
        <v>893</v>
      </c>
      <c r="F207" s="33" t="str">
        <f>IFERROR(__xludf.DUMMYFUNCTION("( (GOOGLEFINANCE(C207, ""price"") - Q207) / Q207 ) / (R207 / 100)"),"Loading...")</f>
        <v>Loading...</v>
      </c>
      <c r="G207" s="20" t="str">
        <f>IFERROR(__xludf.DUMMYFUNCTION("AVERAGE(ARRAYFORMULA(100 * (QUERY(GOOGLEFINANCE(C207, ""high"", TODAY()-40, TODAY()), ""SELECT Col2 WHERE Col2 IS NOT NULL ORDER BY Col1 DESC LIMIT 20"", 0) / QUERY(GOOGLEFINANCE(C207, ""low"", TODAY()-40, TODAY()), ""SELECT Col2 WHERE Col2 IS NOT NULL OR"&amp;"DER BY Col1 DESC LIMIT 20"", 0) - 1)))"),"#N/A")</f>
        <v>#N/A</v>
      </c>
      <c r="H207" s="35" t="str">
        <f t="shared" si="6"/>
        <v/>
      </c>
      <c r="I207" s="35" t="str">
        <f t="shared" si="7"/>
        <v/>
      </c>
      <c r="J207" s="37" t="str">
        <f>IFERROR(__xludf.DUMMYFUNCTION("IFERROR(
  IF(C207="""",, 
    IFERROR(
      GOOGLEFINANCE(C207, ""price"") * GOOGLEFINANCE(C207, ""volumeavg""), 
      GOOGLEFINANCE(C207, ""price"") * AVERAGE(QUERY(GOOGLEFINANCE(C207, ""volume"", TODAY()-40, TODAY()), ""SELECT Col2 WHERE Col2 IS NOT "&amp;"NULL ORDER BY Col1 DESC LIMIT 20"", 0))
    )
  ), 
"""")"),"")</f>
        <v/>
      </c>
      <c r="K207" s="21" t="str">
        <f>IFERROR(__xludf.DUMMYFUNCTION("IFERROR(GOOGLEFINANCE(C207, ""changepct"") / 100, """")"),"")</f>
        <v/>
      </c>
      <c r="L207" s="21" t="str">
        <f>IFERROR(__xludf.DUMMYFUNCTION("IFERROR((GOOGLEFINANCE(C207, ""price"") / INDEX(GOOGLEFINANCE(C207, ""price"", TODAY()-7, TODAY()), 2, 2)) - 1, """")"),"")</f>
        <v/>
      </c>
      <c r="M207" s="21" t="str">
        <f>IFERROR(__xludf.DUMMYFUNCTION("IFERROR((GOOGLEFINANCE(C207, ""price"") / INDEX(GOOGLEFINANCE(C207, ""price"", EDATE(TODAY(), -1), TODAY()), 2, 2)) - 1, """")"),"")</f>
        <v/>
      </c>
      <c r="N207" s="21" t="str">
        <f>IFERROR(__xludf.DUMMYFUNCTION("IFERROR((GOOGLEFINANCE(C207, ""price"") / INDEX(GOOGLEFINANCE(C207, ""price"", EDATE(TODAY(), -3), TODAY()), 2, 2)) - 1, """")"),"")</f>
        <v/>
      </c>
      <c r="O207" s="21" t="str">
        <f>IFERROR(__xludf.DUMMYFUNCTION("IFERROR((GOOGLEFINANCE(C207, ""price"") / INDEX(GOOGLEFINANCE(C207, ""price"", EDATE(TODAY(), -6), TODAY()), 2, 2)) - 1, """")"),"")</f>
        <v/>
      </c>
      <c r="P207" s="21" t="str">
        <f>IFERROR(__xludf.DUMMYFUNCTION("IFERROR((GOOGLEFINANCE(C207, ""price"") / INDEX(GOOGLEFINANCE(C207, ""price"", EDATE(TODAY(), -12), TODAY()), 2, 2)) - 1, """")"),"")</f>
        <v/>
      </c>
      <c r="Q207" s="6" t="str">
        <f>IFERROR(__xludf.DUMMYFUNCTION("AVERAGE(QUERY(GOOGLEFINANCE(C207, ""price"", TODAY()-80, TODAY()), ""SELECT Col2 WHERE Col2 IS NOT NULL ORDER BY Col1 DESC LIMIT 50"", 0))"),"#N/A")</f>
        <v>#N/A</v>
      </c>
      <c r="R207" s="24" t="str">
        <f>IFERROR(__xludf.DUMMYFUNCTION("IFERROR(
  LET(
    data, QUERY(GOOGLEFINANCE(C207,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GOOGLEFINANCE(C207, ""price"")) * 100,
    IF(calc=0, G207, calc)
  ), 
G207)"),"#N/A")</f>
        <v>#N/A</v>
      </c>
      <c r="S207" s="8" t="s">
        <v>15</v>
      </c>
      <c r="T207" s="26" t="str">
        <f>IFERROR(__xludf.DUMMYFUNCTION("IFERROR(TRANSPOSE(QUERY(IFERROR(SORT(GOOGLEFINANCE(C207, ""price"", WORKDAY(TODAY(), -40), TODAY()), 1, FALSE)), ""select Col2 where Col2 is not null limit 22 label Col2 ''"", 0)), """")"),"")</f>
        <v/>
      </c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8"/>
      <c r="AO207" s="28"/>
      <c r="AP207" s="29"/>
      <c r="AQ207" s="29" t="str">
        <f t="shared" ref="AQ207:BL207" si="210">T207/T$2</f>
        <v>#N/A</v>
      </c>
      <c r="AR207" s="29" t="str">
        <f t="shared" si="210"/>
        <v>#DIV/0!</v>
      </c>
      <c r="AS207" s="29" t="str">
        <f t="shared" si="210"/>
        <v>#DIV/0!</v>
      </c>
      <c r="AT207" s="29" t="str">
        <f t="shared" si="210"/>
        <v>#DIV/0!</v>
      </c>
      <c r="AU207" s="29" t="str">
        <f t="shared" si="210"/>
        <v>#DIV/0!</v>
      </c>
      <c r="AV207" s="29" t="str">
        <f t="shared" si="210"/>
        <v>#DIV/0!</v>
      </c>
      <c r="AW207" s="29" t="str">
        <f t="shared" si="210"/>
        <v>#DIV/0!</v>
      </c>
      <c r="AX207" s="29" t="str">
        <f t="shared" si="210"/>
        <v>#DIV/0!</v>
      </c>
      <c r="AY207" s="29" t="str">
        <f t="shared" si="210"/>
        <v>#DIV/0!</v>
      </c>
      <c r="AZ207" s="29" t="str">
        <f t="shared" si="210"/>
        <v>#DIV/0!</v>
      </c>
      <c r="BA207" s="29" t="str">
        <f t="shared" si="210"/>
        <v>#DIV/0!</v>
      </c>
      <c r="BB207" s="29" t="str">
        <f t="shared" si="210"/>
        <v>#DIV/0!</v>
      </c>
      <c r="BC207" s="29" t="str">
        <f t="shared" si="210"/>
        <v>#DIV/0!</v>
      </c>
      <c r="BD207" s="29" t="str">
        <f t="shared" si="210"/>
        <v>#DIV/0!</v>
      </c>
      <c r="BE207" s="29" t="str">
        <f t="shared" si="210"/>
        <v>#DIV/0!</v>
      </c>
      <c r="BF207" s="29" t="str">
        <f t="shared" si="210"/>
        <v>#DIV/0!</v>
      </c>
      <c r="BG207" s="29" t="str">
        <f t="shared" si="210"/>
        <v>#DIV/0!</v>
      </c>
      <c r="BH207" s="29" t="str">
        <f t="shared" si="210"/>
        <v>#DIV/0!</v>
      </c>
      <c r="BI207" s="29" t="str">
        <f t="shared" si="210"/>
        <v>#DIV/0!</v>
      </c>
      <c r="BJ207" s="29" t="str">
        <f t="shared" si="210"/>
        <v>#DIV/0!</v>
      </c>
      <c r="BK207" s="29" t="str">
        <f t="shared" si="210"/>
        <v>#DIV/0!</v>
      </c>
      <c r="BL207" s="29" t="str">
        <f t="shared" si="210"/>
        <v>#DIV/0!</v>
      </c>
      <c r="BM207" s="29" t="str">
        <f t="shared" si="3"/>
        <v>#DIV/0!</v>
      </c>
    </row>
    <row r="208">
      <c r="A208" s="16" t="str">
        <f>IFERROR(__xludf.DUMMYFUNCTION("IFERROR(SPARKLINE(SORT(MAP(TRANSPOSE(AQ208:BL208), LAMBDA(val, IF(ISNUMBER(val), PERCENTRANK(AQ208:BL208, val)+0.01, 0))), SEQUENCE(COLUMNS(AQ208:BL208)), FALSE), {""charttype"",""column""; ""color"",""chartreuse""; ""ymin"", 0; ""ymax"", 1.01; ""highcolo"&amp;"r"", ""darkgreen""; ""lowcolor"", ""red""}), """")"),"")</f>
        <v/>
      </c>
      <c r="B208" s="17" t="str">
        <f t="shared" si="4"/>
        <v/>
      </c>
      <c r="C208" s="1" t="s">
        <v>1652</v>
      </c>
      <c r="D208" s="30" t="str">
        <f>IFERROR(__xludf.DUMMYFUNCTION("IFERROR(GOOGLEFINANCE(C208, ""NAME""))"),"McGrath RentCorp")</f>
        <v>McGrath RentCorp</v>
      </c>
      <c r="E208" s="30" t="s">
        <v>888</v>
      </c>
      <c r="F208" s="33" t="str">
        <f>IFERROR(__xludf.DUMMYFUNCTION("( (GOOGLEFINANCE(C208, ""price"") - Q208) / Q208 ) / (R208 / 100)"),"Loading...")</f>
        <v>Loading...</v>
      </c>
      <c r="G208" s="20" t="str">
        <f>IFERROR(__xludf.DUMMYFUNCTION("AVERAGE(ARRAYFORMULA(100 * (QUERY(GOOGLEFINANCE(C208, ""high"", TODAY()-40, TODAY()), ""SELECT Col2 WHERE Col2 IS NOT NULL ORDER BY Col1 DESC LIMIT 20"", 0) / QUERY(GOOGLEFINANCE(C208, ""low"", TODAY()-40, TODAY()), ""SELECT Col2 WHERE Col2 IS NOT NULL OR"&amp;"DER BY Col1 DESC LIMIT 20"", 0) - 1)))"),"#N/A")</f>
        <v>#N/A</v>
      </c>
      <c r="H208" s="35" t="str">
        <f t="shared" si="6"/>
        <v/>
      </c>
      <c r="I208" s="35" t="str">
        <f t="shared" si="7"/>
        <v/>
      </c>
      <c r="J208" s="37" t="str">
        <f>IFERROR(__xludf.DUMMYFUNCTION("IFERROR(
  IF(C208="""",, 
    IFERROR(
      GOOGLEFINANCE(C208, ""price"") * GOOGLEFINANCE(C208, ""volumeavg""), 
      GOOGLEFINANCE(C208, ""price"") * AVERAGE(QUERY(GOOGLEFINANCE(C208, ""volume"", TODAY()-40, TODAY()), ""SELECT Col2 WHERE Col2 IS NOT "&amp;"NULL ORDER BY Col1 DESC LIMIT 20"", 0))
    )
  ), 
"""")"),"")</f>
        <v/>
      </c>
      <c r="K208" s="21" t="str">
        <f>IFERROR(__xludf.DUMMYFUNCTION("IFERROR(GOOGLEFINANCE(C208, ""changepct"") / 100, """")"),"")</f>
        <v/>
      </c>
      <c r="L208" s="21" t="str">
        <f>IFERROR(__xludf.DUMMYFUNCTION("IFERROR((GOOGLEFINANCE(C208, ""price"") / INDEX(GOOGLEFINANCE(C208, ""price"", TODAY()-7, TODAY()), 2, 2)) - 1, """")"),"")</f>
        <v/>
      </c>
      <c r="M208" s="21" t="str">
        <f>IFERROR(__xludf.DUMMYFUNCTION("IFERROR((GOOGLEFINANCE(C208, ""price"") / INDEX(GOOGLEFINANCE(C208, ""price"", EDATE(TODAY(), -1), TODAY()), 2, 2)) - 1, """")"),"")</f>
        <v/>
      </c>
      <c r="N208" s="21" t="str">
        <f>IFERROR(__xludf.DUMMYFUNCTION("IFERROR((GOOGLEFINANCE(C208, ""price"") / INDEX(GOOGLEFINANCE(C208, ""price"", EDATE(TODAY(), -3), TODAY()), 2, 2)) - 1, """")"),"")</f>
        <v/>
      </c>
      <c r="O208" s="21" t="str">
        <f>IFERROR(__xludf.DUMMYFUNCTION("IFERROR((GOOGLEFINANCE(C208, ""price"") / INDEX(GOOGLEFINANCE(C208, ""price"", EDATE(TODAY(), -6), TODAY()), 2, 2)) - 1, """")"),"")</f>
        <v/>
      </c>
      <c r="P208" s="21" t="str">
        <f>IFERROR(__xludf.DUMMYFUNCTION("IFERROR((GOOGLEFINANCE(C208, ""price"") / INDEX(GOOGLEFINANCE(C208, ""price"", EDATE(TODAY(), -12), TODAY()), 2, 2)) - 1, """")"),"")</f>
        <v/>
      </c>
      <c r="Q208" s="6" t="str">
        <f>IFERROR(__xludf.DUMMYFUNCTION("AVERAGE(QUERY(GOOGLEFINANCE(C208, ""price"", TODAY()-80, TODAY()), ""SELECT Col2 WHERE Col2 IS NOT NULL ORDER BY Col1 DESC LIMIT 50"", 0))"),"#N/A")</f>
        <v>#N/A</v>
      </c>
      <c r="R208" s="24" t="str">
        <f>IFERROR(__xludf.DUMMYFUNCTION("IFERROR(
  LET(
    data, QUERY(GOOGLEFINANCE(C208,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GOOGLEFINANCE(C208, ""price"")) * 100,
    IF(calc=0, G208, calc)
  ), 
G208)"),"#N/A")</f>
        <v>#N/A</v>
      </c>
      <c r="S208" s="8" t="s">
        <v>15</v>
      </c>
      <c r="T208" s="26" t="str">
        <f>IFERROR(__xludf.DUMMYFUNCTION("IFERROR(TRANSPOSE(QUERY(IFERROR(SORT(GOOGLEFINANCE(C208, ""price"", WORKDAY(TODAY(), -40), TODAY()), 1, FALSE)), ""select Col2 where Col2 is not null limit 22 label Col2 ''"", 0)), """")"),"")</f>
        <v/>
      </c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8"/>
      <c r="AO208" s="28"/>
      <c r="AP208" s="29"/>
      <c r="AQ208" s="29" t="str">
        <f t="shared" ref="AQ208:BL208" si="211">T208/T$2</f>
        <v>#N/A</v>
      </c>
      <c r="AR208" s="29" t="str">
        <f t="shared" si="211"/>
        <v>#DIV/0!</v>
      </c>
      <c r="AS208" s="29" t="str">
        <f t="shared" si="211"/>
        <v>#DIV/0!</v>
      </c>
      <c r="AT208" s="29" t="str">
        <f t="shared" si="211"/>
        <v>#DIV/0!</v>
      </c>
      <c r="AU208" s="29" t="str">
        <f t="shared" si="211"/>
        <v>#DIV/0!</v>
      </c>
      <c r="AV208" s="29" t="str">
        <f t="shared" si="211"/>
        <v>#DIV/0!</v>
      </c>
      <c r="AW208" s="29" t="str">
        <f t="shared" si="211"/>
        <v>#DIV/0!</v>
      </c>
      <c r="AX208" s="29" t="str">
        <f t="shared" si="211"/>
        <v>#DIV/0!</v>
      </c>
      <c r="AY208" s="29" t="str">
        <f t="shared" si="211"/>
        <v>#DIV/0!</v>
      </c>
      <c r="AZ208" s="29" t="str">
        <f t="shared" si="211"/>
        <v>#DIV/0!</v>
      </c>
      <c r="BA208" s="29" t="str">
        <f t="shared" si="211"/>
        <v>#DIV/0!</v>
      </c>
      <c r="BB208" s="29" t="str">
        <f t="shared" si="211"/>
        <v>#DIV/0!</v>
      </c>
      <c r="BC208" s="29" t="str">
        <f t="shared" si="211"/>
        <v>#DIV/0!</v>
      </c>
      <c r="BD208" s="29" t="str">
        <f t="shared" si="211"/>
        <v>#DIV/0!</v>
      </c>
      <c r="BE208" s="29" t="str">
        <f t="shared" si="211"/>
        <v>#DIV/0!</v>
      </c>
      <c r="BF208" s="29" t="str">
        <f t="shared" si="211"/>
        <v>#DIV/0!</v>
      </c>
      <c r="BG208" s="29" t="str">
        <f t="shared" si="211"/>
        <v>#DIV/0!</v>
      </c>
      <c r="BH208" s="29" t="str">
        <f t="shared" si="211"/>
        <v>#DIV/0!</v>
      </c>
      <c r="BI208" s="29" t="str">
        <f t="shared" si="211"/>
        <v>#DIV/0!</v>
      </c>
      <c r="BJ208" s="29" t="str">
        <f t="shared" si="211"/>
        <v>#DIV/0!</v>
      </c>
      <c r="BK208" s="29" t="str">
        <f t="shared" si="211"/>
        <v>#DIV/0!</v>
      </c>
      <c r="BL208" s="29" t="str">
        <f t="shared" si="211"/>
        <v>#DIV/0!</v>
      </c>
      <c r="BM208" s="29" t="str">
        <f t="shared" si="3"/>
        <v>#DIV/0!</v>
      </c>
    </row>
    <row r="209">
      <c r="A209" s="16" t="str">
        <f>IFERROR(__xludf.DUMMYFUNCTION("IFERROR(SPARKLINE(SORT(MAP(TRANSPOSE(AQ209:BL209), LAMBDA(val, IF(ISNUMBER(val), PERCENTRANK(AQ209:BL209, val)+0.01, 0))), SEQUENCE(COLUMNS(AQ209:BL209)), FALSE), {""charttype"",""column""; ""color"",""chartreuse""; ""ymin"", 0; ""ymax"", 1.01; ""highcolo"&amp;"r"", ""darkgreen""; ""lowcolor"", ""red""}), """")"),"")</f>
        <v/>
      </c>
      <c r="B209" s="17" t="str">
        <f t="shared" si="4"/>
        <v/>
      </c>
      <c r="C209" s="1" t="s">
        <v>1656</v>
      </c>
      <c r="D209" s="30" t="str">
        <f>IFERROR(__xludf.DUMMYFUNCTION("IFERROR(GOOGLEFINANCE(C209, ""NAME""))"),"Axon Enterprise Inc")</f>
        <v>Axon Enterprise Inc</v>
      </c>
      <c r="E209" s="30" t="s">
        <v>839</v>
      </c>
      <c r="F209" s="33" t="str">
        <f>IFERROR(__xludf.DUMMYFUNCTION("( (GOOGLEFINANCE(C209, ""price"") - Q209) / Q209 ) / (R209 / 100)"),"Loading...")</f>
        <v>Loading...</v>
      </c>
      <c r="G209" s="20" t="str">
        <f>IFERROR(__xludf.DUMMYFUNCTION("AVERAGE(ARRAYFORMULA(100 * (QUERY(GOOGLEFINANCE(C209, ""high"", TODAY()-40, TODAY()), ""SELECT Col2 WHERE Col2 IS NOT NULL ORDER BY Col1 DESC LIMIT 20"", 0) / QUERY(GOOGLEFINANCE(C209, ""low"", TODAY()-40, TODAY()), ""SELECT Col2 WHERE Col2 IS NOT NULL OR"&amp;"DER BY Col1 DESC LIMIT 20"", 0) - 1)))"),"#N/A")</f>
        <v>#N/A</v>
      </c>
      <c r="H209" s="35" t="str">
        <f t="shared" si="6"/>
        <v/>
      </c>
      <c r="I209" s="35" t="str">
        <f t="shared" si="7"/>
        <v/>
      </c>
      <c r="J209" s="37" t="str">
        <f>IFERROR(__xludf.DUMMYFUNCTION("IFERROR(
  IF(C209="""",, 
    IFERROR(
      GOOGLEFINANCE(C209, ""price"") * GOOGLEFINANCE(C209, ""volumeavg""), 
      GOOGLEFINANCE(C209, ""price"") * AVERAGE(QUERY(GOOGLEFINANCE(C209, ""volume"", TODAY()-40, TODAY()), ""SELECT Col2 WHERE Col2 IS NOT "&amp;"NULL ORDER BY Col1 DESC LIMIT 20"", 0))
    )
  ), 
"""")"),"")</f>
        <v/>
      </c>
      <c r="K209" s="21" t="str">
        <f>IFERROR(__xludf.DUMMYFUNCTION("IFERROR(GOOGLEFINANCE(C209, ""changepct"") / 100, """")"),"")</f>
        <v/>
      </c>
      <c r="L209" s="21" t="str">
        <f>IFERROR(__xludf.DUMMYFUNCTION("IFERROR((GOOGLEFINANCE(C209, ""price"") / INDEX(GOOGLEFINANCE(C209, ""price"", TODAY()-7, TODAY()), 2, 2)) - 1, """")"),"")</f>
        <v/>
      </c>
      <c r="M209" s="21" t="str">
        <f>IFERROR(__xludf.DUMMYFUNCTION("IFERROR((GOOGLEFINANCE(C209, ""price"") / INDEX(GOOGLEFINANCE(C209, ""price"", EDATE(TODAY(), -1), TODAY()), 2, 2)) - 1, """")"),"")</f>
        <v/>
      </c>
      <c r="N209" s="21" t="str">
        <f>IFERROR(__xludf.DUMMYFUNCTION("IFERROR((GOOGLEFINANCE(C209, ""price"") / INDEX(GOOGLEFINANCE(C209, ""price"", EDATE(TODAY(), -3), TODAY()), 2, 2)) - 1, """")"),"")</f>
        <v/>
      </c>
      <c r="O209" s="21" t="str">
        <f>IFERROR(__xludf.DUMMYFUNCTION("IFERROR((GOOGLEFINANCE(C209, ""price"") / INDEX(GOOGLEFINANCE(C209, ""price"", EDATE(TODAY(), -6), TODAY()), 2, 2)) - 1, """")"),"")</f>
        <v/>
      </c>
      <c r="P209" s="21" t="str">
        <f>IFERROR(__xludf.DUMMYFUNCTION("IFERROR((GOOGLEFINANCE(C209, ""price"") / INDEX(GOOGLEFINANCE(C209, ""price"", EDATE(TODAY(), -12), TODAY()), 2, 2)) - 1, """")"),"")</f>
        <v/>
      </c>
      <c r="Q209" s="6" t="str">
        <f>IFERROR(__xludf.DUMMYFUNCTION("AVERAGE(QUERY(GOOGLEFINANCE(C209, ""price"", TODAY()-80, TODAY()), ""SELECT Col2 WHERE Col2 IS NOT NULL ORDER BY Col1 DESC LIMIT 50"", 0))"),"#N/A")</f>
        <v>#N/A</v>
      </c>
      <c r="R209" s="24" t="str">
        <f>IFERROR(__xludf.DUMMYFUNCTION("IFERROR(
  LET(
    data, QUERY(GOOGLEFINANCE(C209,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GOOGLEFINANCE(C209, ""price"")) * 100,
    IF(calc=0, G209, calc)
  ), 
G209)"),"#N/A")</f>
        <v>#N/A</v>
      </c>
      <c r="S209" s="8" t="s">
        <v>15</v>
      </c>
      <c r="T209" s="26" t="str">
        <f>IFERROR(__xludf.DUMMYFUNCTION("IFERROR(TRANSPOSE(QUERY(IFERROR(SORT(GOOGLEFINANCE(C209, ""price"", WORKDAY(TODAY(), -40), TODAY()), 1, FALSE)), ""select Col2 where Col2 is not null limit 22 label Col2 ''"", 0)), """")"),"")</f>
        <v/>
      </c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8"/>
      <c r="AO209" s="28"/>
      <c r="AP209" s="29"/>
      <c r="AQ209" s="29" t="str">
        <f t="shared" ref="AQ209:BL209" si="212">T209/T$2</f>
        <v>#N/A</v>
      </c>
      <c r="AR209" s="29" t="str">
        <f t="shared" si="212"/>
        <v>#DIV/0!</v>
      </c>
      <c r="AS209" s="29" t="str">
        <f t="shared" si="212"/>
        <v>#DIV/0!</v>
      </c>
      <c r="AT209" s="29" t="str">
        <f t="shared" si="212"/>
        <v>#DIV/0!</v>
      </c>
      <c r="AU209" s="29" t="str">
        <f t="shared" si="212"/>
        <v>#DIV/0!</v>
      </c>
      <c r="AV209" s="29" t="str">
        <f t="shared" si="212"/>
        <v>#DIV/0!</v>
      </c>
      <c r="AW209" s="29" t="str">
        <f t="shared" si="212"/>
        <v>#DIV/0!</v>
      </c>
      <c r="AX209" s="29" t="str">
        <f t="shared" si="212"/>
        <v>#DIV/0!</v>
      </c>
      <c r="AY209" s="29" t="str">
        <f t="shared" si="212"/>
        <v>#DIV/0!</v>
      </c>
      <c r="AZ209" s="29" t="str">
        <f t="shared" si="212"/>
        <v>#DIV/0!</v>
      </c>
      <c r="BA209" s="29" t="str">
        <f t="shared" si="212"/>
        <v>#DIV/0!</v>
      </c>
      <c r="BB209" s="29" t="str">
        <f t="shared" si="212"/>
        <v>#DIV/0!</v>
      </c>
      <c r="BC209" s="29" t="str">
        <f t="shared" si="212"/>
        <v>#DIV/0!</v>
      </c>
      <c r="BD209" s="29" t="str">
        <f t="shared" si="212"/>
        <v>#DIV/0!</v>
      </c>
      <c r="BE209" s="29" t="str">
        <f t="shared" si="212"/>
        <v>#DIV/0!</v>
      </c>
      <c r="BF209" s="29" t="str">
        <f t="shared" si="212"/>
        <v>#DIV/0!</v>
      </c>
      <c r="BG209" s="29" t="str">
        <f t="shared" si="212"/>
        <v>#DIV/0!</v>
      </c>
      <c r="BH209" s="29" t="str">
        <f t="shared" si="212"/>
        <v>#DIV/0!</v>
      </c>
      <c r="BI209" s="29" t="str">
        <f t="shared" si="212"/>
        <v>#DIV/0!</v>
      </c>
      <c r="BJ209" s="29" t="str">
        <f t="shared" si="212"/>
        <v>#DIV/0!</v>
      </c>
      <c r="BK209" s="29" t="str">
        <f t="shared" si="212"/>
        <v>#DIV/0!</v>
      </c>
      <c r="BL209" s="29" t="str">
        <f t="shared" si="212"/>
        <v>#DIV/0!</v>
      </c>
      <c r="BM209" s="29" t="str">
        <f t="shared" si="3"/>
        <v>#DIV/0!</v>
      </c>
    </row>
    <row r="210">
      <c r="A210" s="16" t="str">
        <f>IFERROR(__xludf.DUMMYFUNCTION("IFERROR(SPARKLINE(SORT(MAP(TRANSPOSE(AQ210:BL210), LAMBDA(val, IF(ISNUMBER(val), PERCENTRANK(AQ210:BL210, val)+0.01, 0))), SEQUENCE(COLUMNS(AQ210:BL210)), FALSE), {""charttype"",""column""; ""color"",""chartreuse""; ""ymin"", 0; ""ymax"", 1.01; ""highcolo"&amp;"r"", ""darkgreen""; ""lowcolor"", ""red""}), """")"),"")</f>
        <v/>
      </c>
      <c r="B210" s="17" t="str">
        <f t="shared" si="4"/>
        <v/>
      </c>
      <c r="C210" s="1" t="s">
        <v>1659</v>
      </c>
      <c r="D210" s="30" t="str">
        <f>IFERROR(__xludf.DUMMYFUNCTION("IFERROR(GOOGLEFINANCE(C210, ""NAME""))"),"Gates Industrial Corporation PLC")</f>
        <v>Gates Industrial Corporation PLC</v>
      </c>
      <c r="E210" s="30" t="s">
        <v>893</v>
      </c>
      <c r="F210" s="38" t="str">
        <f>IFERROR(__xludf.DUMMYFUNCTION("( (GOOGLEFINANCE(C210, ""price"") - Q210) / Q210 ) / (R210 / 100)"),"Loading...")</f>
        <v>Loading...</v>
      </c>
      <c r="G210" s="20" t="str">
        <f>IFERROR(__xludf.DUMMYFUNCTION("AVERAGE(ARRAYFORMULA(100 * (QUERY(GOOGLEFINANCE(C210, ""high"", TODAY()-40, TODAY()), ""SELECT Col2 WHERE Col2 IS NOT NULL ORDER BY Col1 DESC LIMIT 20"", 0) / QUERY(GOOGLEFINANCE(C210, ""low"", TODAY()-40, TODAY()), ""SELECT Col2 WHERE Col2 IS NOT NULL OR"&amp;"DER BY Col1 DESC LIMIT 20"", 0) - 1)))"),"#N/A")</f>
        <v>#N/A</v>
      </c>
      <c r="H210" s="35" t="str">
        <f t="shared" si="6"/>
        <v/>
      </c>
      <c r="I210" s="35" t="str">
        <f t="shared" si="7"/>
        <v/>
      </c>
      <c r="J210" s="37" t="str">
        <f>IFERROR(__xludf.DUMMYFUNCTION("IFERROR(
  IF(C210="""",, 
    IFERROR(
      GOOGLEFINANCE(C210, ""price"") * GOOGLEFINANCE(C210, ""volumeavg""), 
      GOOGLEFINANCE(C210, ""price"") * AVERAGE(QUERY(GOOGLEFINANCE(C210, ""volume"", TODAY()-40, TODAY()), ""SELECT Col2 WHERE Col2 IS NOT "&amp;"NULL ORDER BY Col1 DESC LIMIT 20"", 0))
    )
  ), 
"""")"),"")</f>
        <v/>
      </c>
      <c r="K210" s="21" t="str">
        <f>IFERROR(__xludf.DUMMYFUNCTION("IFERROR(GOOGLEFINANCE(C210, ""changepct"") / 100, """")"),"")</f>
        <v/>
      </c>
      <c r="L210" s="21" t="str">
        <f>IFERROR(__xludf.DUMMYFUNCTION("IFERROR((GOOGLEFINANCE(C210, ""price"") / INDEX(GOOGLEFINANCE(C210, ""price"", TODAY()-7, TODAY()), 2, 2)) - 1, """")"),"")</f>
        <v/>
      </c>
      <c r="M210" s="21" t="str">
        <f>IFERROR(__xludf.DUMMYFUNCTION("IFERROR((GOOGLEFINANCE(C210, ""price"") / INDEX(GOOGLEFINANCE(C210, ""price"", EDATE(TODAY(), -1), TODAY()), 2, 2)) - 1, """")"),"")</f>
        <v/>
      </c>
      <c r="N210" s="21" t="str">
        <f>IFERROR(__xludf.DUMMYFUNCTION("IFERROR((GOOGLEFINANCE(C210, ""price"") / INDEX(GOOGLEFINANCE(C210, ""price"", EDATE(TODAY(), -3), TODAY()), 2, 2)) - 1, """")"),"")</f>
        <v/>
      </c>
      <c r="O210" s="21" t="str">
        <f>IFERROR(__xludf.DUMMYFUNCTION("IFERROR((GOOGLEFINANCE(C210, ""price"") / INDEX(GOOGLEFINANCE(C210, ""price"", EDATE(TODAY(), -6), TODAY()), 2, 2)) - 1, """")"),"")</f>
        <v/>
      </c>
      <c r="P210" s="21" t="str">
        <f>IFERROR(__xludf.DUMMYFUNCTION("IFERROR((GOOGLEFINANCE(C210, ""price"") / INDEX(GOOGLEFINANCE(C210, ""price"", EDATE(TODAY(), -12), TODAY()), 2, 2)) - 1, """")"),"")</f>
        <v/>
      </c>
      <c r="Q210" s="6" t="str">
        <f>IFERROR(__xludf.DUMMYFUNCTION("AVERAGE(QUERY(GOOGLEFINANCE(C210, ""price"", TODAY()-80, TODAY()), ""SELECT Col2 WHERE Col2 IS NOT NULL ORDER BY Col1 DESC LIMIT 50"", 0))"),"#N/A")</f>
        <v>#N/A</v>
      </c>
      <c r="R210" s="24" t="str">
        <f>IFERROR(__xludf.DUMMYFUNCTION("IFERROR(
  LET(
    data, QUERY(GOOGLEFINANCE(C210,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GOOGLEFINANCE(C210, ""price"")) * 100,
    IF(calc=0, G210, calc)
  ), 
G210)"),"#N/A")</f>
        <v>#N/A</v>
      </c>
      <c r="S210" s="8" t="s">
        <v>15</v>
      </c>
      <c r="T210" s="26" t="str">
        <f>IFERROR(__xludf.DUMMYFUNCTION("IFERROR(TRANSPOSE(QUERY(IFERROR(SORT(GOOGLEFINANCE(C210, ""price"", WORKDAY(TODAY(), -40), TODAY()), 1, FALSE)), ""select Col2 where Col2 is not null limit 22 label Col2 ''"", 0)), """")"),"")</f>
        <v/>
      </c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8"/>
      <c r="AO210" s="28"/>
      <c r="AP210" s="29"/>
      <c r="AQ210" s="29" t="str">
        <f t="shared" ref="AQ210:BL210" si="213">T210/T$2</f>
        <v>#N/A</v>
      </c>
      <c r="AR210" s="29" t="str">
        <f t="shared" si="213"/>
        <v>#DIV/0!</v>
      </c>
      <c r="AS210" s="29" t="str">
        <f t="shared" si="213"/>
        <v>#DIV/0!</v>
      </c>
      <c r="AT210" s="29" t="str">
        <f t="shared" si="213"/>
        <v>#DIV/0!</v>
      </c>
      <c r="AU210" s="29" t="str">
        <f t="shared" si="213"/>
        <v>#DIV/0!</v>
      </c>
      <c r="AV210" s="29" t="str">
        <f t="shared" si="213"/>
        <v>#DIV/0!</v>
      </c>
      <c r="AW210" s="29" t="str">
        <f t="shared" si="213"/>
        <v>#DIV/0!</v>
      </c>
      <c r="AX210" s="29" t="str">
        <f t="shared" si="213"/>
        <v>#DIV/0!</v>
      </c>
      <c r="AY210" s="29" t="str">
        <f t="shared" si="213"/>
        <v>#DIV/0!</v>
      </c>
      <c r="AZ210" s="29" t="str">
        <f t="shared" si="213"/>
        <v>#DIV/0!</v>
      </c>
      <c r="BA210" s="29" t="str">
        <f t="shared" si="213"/>
        <v>#DIV/0!</v>
      </c>
      <c r="BB210" s="29" t="str">
        <f t="shared" si="213"/>
        <v>#DIV/0!</v>
      </c>
      <c r="BC210" s="29" t="str">
        <f t="shared" si="213"/>
        <v>#DIV/0!</v>
      </c>
      <c r="BD210" s="29" t="str">
        <f t="shared" si="213"/>
        <v>#DIV/0!</v>
      </c>
      <c r="BE210" s="29" t="str">
        <f t="shared" si="213"/>
        <v>#DIV/0!</v>
      </c>
      <c r="BF210" s="29" t="str">
        <f t="shared" si="213"/>
        <v>#DIV/0!</v>
      </c>
      <c r="BG210" s="29" t="str">
        <f t="shared" si="213"/>
        <v>#DIV/0!</v>
      </c>
      <c r="BH210" s="29" t="str">
        <f t="shared" si="213"/>
        <v>#DIV/0!</v>
      </c>
      <c r="BI210" s="29" t="str">
        <f t="shared" si="213"/>
        <v>#DIV/0!</v>
      </c>
      <c r="BJ210" s="29" t="str">
        <f t="shared" si="213"/>
        <v>#DIV/0!</v>
      </c>
      <c r="BK210" s="29" t="str">
        <f t="shared" si="213"/>
        <v>#DIV/0!</v>
      </c>
      <c r="BL210" s="29" t="str">
        <f t="shared" si="213"/>
        <v>#DIV/0!</v>
      </c>
      <c r="BM210" s="29" t="str">
        <f t="shared" si="3"/>
        <v>#DIV/0!</v>
      </c>
    </row>
    <row r="211">
      <c r="A211" s="16" t="str">
        <f>IFERROR(__xludf.DUMMYFUNCTION("IFERROR(SPARKLINE(SORT(MAP(TRANSPOSE(AQ211:BL211), LAMBDA(val, IF(ISNUMBER(val), PERCENTRANK(AQ211:BL211, val)+0.01, 0))), SEQUENCE(COLUMNS(AQ211:BL211)), FALSE), {""charttype"",""column""; ""color"",""chartreuse""; ""ymin"", 0; ""ymax"", 1.01; ""highcolo"&amp;"r"", ""darkgreen""; ""lowcolor"", ""red""}), """")"),"")</f>
        <v/>
      </c>
      <c r="B211" s="17" t="str">
        <f t="shared" si="4"/>
        <v/>
      </c>
      <c r="C211" s="1" t="s">
        <v>1663</v>
      </c>
      <c r="D211" s="30" t="str">
        <f>IFERROR(__xludf.DUMMYFUNCTION("IFERROR(GOOGLEFINANCE(C211, ""NAME""))"),"Rich Sparkle Holdings Ltd")</f>
        <v>Rich Sparkle Holdings Ltd</v>
      </c>
      <c r="E211" s="30" t="s">
        <v>916</v>
      </c>
      <c r="F211" s="33" t="str">
        <f>IFERROR(__xludf.DUMMYFUNCTION("( (GOOGLEFINANCE(C211, ""price"") - Q211) / Q211 ) / (R211 / 100)"),"Loading...")</f>
        <v>Loading...</v>
      </c>
      <c r="G211" s="20" t="str">
        <f>IFERROR(__xludf.DUMMYFUNCTION("AVERAGE(ARRAYFORMULA(100 * (QUERY(GOOGLEFINANCE(C211, ""high"", TODAY()-40, TODAY()), ""SELECT Col2 WHERE Col2 IS NOT NULL ORDER BY Col1 DESC LIMIT 20"", 0) / QUERY(GOOGLEFINANCE(C211, ""low"", TODAY()-40, TODAY()), ""SELECT Col2 WHERE Col2 IS NOT NULL OR"&amp;"DER BY Col1 DESC LIMIT 20"", 0) - 1)))"),"#N/A")</f>
        <v>#N/A</v>
      </c>
      <c r="H211" s="35" t="str">
        <f t="shared" si="6"/>
        <v/>
      </c>
      <c r="I211" s="35" t="str">
        <f t="shared" si="7"/>
        <v/>
      </c>
      <c r="J211" s="37" t="str">
        <f>IFERROR(__xludf.DUMMYFUNCTION("IFERROR(
  IF(C211="""",, 
    IFERROR(
      GOOGLEFINANCE(C211, ""price"") * GOOGLEFINANCE(C211, ""volumeavg""), 
      GOOGLEFINANCE(C211, ""price"") * AVERAGE(QUERY(GOOGLEFINANCE(C211, ""volume"", TODAY()-40, TODAY()), ""SELECT Col2 WHERE Col2 IS NOT "&amp;"NULL ORDER BY Col1 DESC LIMIT 20"", 0))
    )
  ), 
"""")"),"")</f>
        <v/>
      </c>
      <c r="K211" s="21" t="str">
        <f>IFERROR(__xludf.DUMMYFUNCTION("IFERROR(GOOGLEFINANCE(C211, ""changepct"") / 100, """")"),"")</f>
        <v/>
      </c>
      <c r="L211" s="21" t="str">
        <f>IFERROR(__xludf.DUMMYFUNCTION("IFERROR((GOOGLEFINANCE(C211, ""price"") / INDEX(GOOGLEFINANCE(C211, ""price"", TODAY()-7, TODAY()), 2, 2)) - 1, """")"),"")</f>
        <v/>
      </c>
      <c r="M211" s="21" t="str">
        <f>IFERROR(__xludf.DUMMYFUNCTION("IFERROR((GOOGLEFINANCE(C211, ""price"") / INDEX(GOOGLEFINANCE(C211, ""price"", EDATE(TODAY(), -1), TODAY()), 2, 2)) - 1, """")"),"")</f>
        <v/>
      </c>
      <c r="N211" s="21" t="str">
        <f>IFERROR(__xludf.DUMMYFUNCTION("IFERROR((GOOGLEFINANCE(C211, ""price"") / INDEX(GOOGLEFINANCE(C211, ""price"", EDATE(TODAY(), -3), TODAY()), 2, 2)) - 1, """")"),"")</f>
        <v/>
      </c>
      <c r="O211" s="21" t="str">
        <f>IFERROR(__xludf.DUMMYFUNCTION("IFERROR((GOOGLEFINANCE(C211, ""price"") / INDEX(GOOGLEFINANCE(C211, ""price"", EDATE(TODAY(), -6), TODAY()), 2, 2)) - 1, """")"),"")</f>
        <v/>
      </c>
      <c r="P211" s="21" t="str">
        <f>IFERROR(__xludf.DUMMYFUNCTION("IFERROR((GOOGLEFINANCE(C211, ""price"") / INDEX(GOOGLEFINANCE(C211, ""price"", EDATE(TODAY(), -12), TODAY()), 2, 2)) - 1, """")"),"")</f>
        <v/>
      </c>
      <c r="Q211" s="6" t="str">
        <f>IFERROR(__xludf.DUMMYFUNCTION("AVERAGE(QUERY(GOOGLEFINANCE(C211, ""price"", TODAY()-80, TODAY()), ""SELECT Col2 WHERE Col2 IS NOT NULL ORDER BY Col1 DESC LIMIT 50"", 0))"),"#N/A")</f>
        <v>#N/A</v>
      </c>
      <c r="R211" s="24" t="str">
        <f>IFERROR(__xludf.DUMMYFUNCTION("IFERROR(
  LET(
    data, QUERY(GOOGLEFINANCE(C211,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GOOGLEFINANCE(C211, ""price"")) * 100,
    IF(calc=0, G211, calc)
  ), 
G211)"),"#N/A")</f>
        <v>#N/A</v>
      </c>
      <c r="S211" s="8" t="s">
        <v>15</v>
      </c>
      <c r="T211" s="26" t="str">
        <f>IFERROR(__xludf.DUMMYFUNCTION("IFERROR(TRANSPOSE(QUERY(IFERROR(SORT(GOOGLEFINANCE(C211, ""price"", WORKDAY(TODAY(), -40), TODAY()), 1, FALSE)), ""select Col2 where Col2 is not null limit 22 label Col2 ''"", 0)), """")"),"")</f>
        <v/>
      </c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8"/>
      <c r="AO211" s="28"/>
      <c r="AP211" s="29"/>
      <c r="AQ211" s="29" t="str">
        <f t="shared" ref="AQ211:BL211" si="214">T211/T$2</f>
        <v>#N/A</v>
      </c>
      <c r="AR211" s="29" t="str">
        <f t="shared" si="214"/>
        <v>#DIV/0!</v>
      </c>
      <c r="AS211" s="29" t="str">
        <f t="shared" si="214"/>
        <v>#DIV/0!</v>
      </c>
      <c r="AT211" s="29" t="str">
        <f t="shared" si="214"/>
        <v>#DIV/0!</v>
      </c>
      <c r="AU211" s="29" t="str">
        <f t="shared" si="214"/>
        <v>#DIV/0!</v>
      </c>
      <c r="AV211" s="29" t="str">
        <f t="shared" si="214"/>
        <v>#DIV/0!</v>
      </c>
      <c r="AW211" s="29" t="str">
        <f t="shared" si="214"/>
        <v>#DIV/0!</v>
      </c>
      <c r="AX211" s="29" t="str">
        <f t="shared" si="214"/>
        <v>#DIV/0!</v>
      </c>
      <c r="AY211" s="29" t="str">
        <f t="shared" si="214"/>
        <v>#DIV/0!</v>
      </c>
      <c r="AZ211" s="29" t="str">
        <f t="shared" si="214"/>
        <v>#DIV/0!</v>
      </c>
      <c r="BA211" s="29" t="str">
        <f t="shared" si="214"/>
        <v>#DIV/0!</v>
      </c>
      <c r="BB211" s="29" t="str">
        <f t="shared" si="214"/>
        <v>#DIV/0!</v>
      </c>
      <c r="BC211" s="29" t="str">
        <f t="shared" si="214"/>
        <v>#DIV/0!</v>
      </c>
      <c r="BD211" s="29" t="str">
        <f t="shared" si="214"/>
        <v>#DIV/0!</v>
      </c>
      <c r="BE211" s="29" t="str">
        <f t="shared" si="214"/>
        <v>#DIV/0!</v>
      </c>
      <c r="BF211" s="29" t="str">
        <f t="shared" si="214"/>
        <v>#DIV/0!</v>
      </c>
      <c r="BG211" s="29" t="str">
        <f t="shared" si="214"/>
        <v>#DIV/0!</v>
      </c>
      <c r="BH211" s="29" t="str">
        <f t="shared" si="214"/>
        <v>#DIV/0!</v>
      </c>
      <c r="BI211" s="29" t="str">
        <f t="shared" si="214"/>
        <v>#DIV/0!</v>
      </c>
      <c r="BJ211" s="29" t="str">
        <f t="shared" si="214"/>
        <v>#DIV/0!</v>
      </c>
      <c r="BK211" s="29" t="str">
        <f t="shared" si="214"/>
        <v>#DIV/0!</v>
      </c>
      <c r="BL211" s="29" t="str">
        <f t="shared" si="214"/>
        <v>#DIV/0!</v>
      </c>
      <c r="BM211" s="29" t="str">
        <f t="shared" si="3"/>
        <v>#DIV/0!</v>
      </c>
    </row>
    <row r="212">
      <c r="A212" s="16" t="str">
        <f>IFERROR(__xludf.DUMMYFUNCTION("IFERROR(SPARKLINE(SORT(MAP(TRANSPOSE(AQ212:BL212), LAMBDA(val, IF(ISNUMBER(val), PERCENTRANK(AQ212:BL212, val)+0.01, 0))), SEQUENCE(COLUMNS(AQ212:BL212)), FALSE), {""charttype"",""column""; ""color"",""chartreuse""; ""ymin"", 0; ""ymax"", 1.01; ""highcolo"&amp;"r"", ""darkgreen""; ""lowcolor"", ""red""}), """")"),"")</f>
        <v/>
      </c>
      <c r="B212" s="17" t="str">
        <f t="shared" si="4"/>
        <v/>
      </c>
      <c r="C212" s="1" t="s">
        <v>1668</v>
      </c>
      <c r="D212" s="30" t="str">
        <f>IFERROR(__xludf.DUMMYFUNCTION("IFERROR(GOOGLEFINANCE(C212, ""NAME""))"),"Regal Rexnord Corp")</f>
        <v>Regal Rexnord Corp</v>
      </c>
      <c r="E212" s="30" t="s">
        <v>893</v>
      </c>
      <c r="F212" s="33" t="str">
        <f>IFERROR(__xludf.DUMMYFUNCTION("( (GOOGLEFINANCE(C212, ""price"") - Q212) / Q212 ) / (R212 / 100)"),"Loading...")</f>
        <v>Loading...</v>
      </c>
      <c r="G212" s="20" t="str">
        <f>IFERROR(__xludf.DUMMYFUNCTION("AVERAGE(ARRAYFORMULA(100 * (QUERY(GOOGLEFINANCE(C212, ""high"", TODAY()-40, TODAY()), ""SELECT Col2 WHERE Col2 IS NOT NULL ORDER BY Col1 DESC LIMIT 20"", 0) / QUERY(GOOGLEFINANCE(C212, ""low"", TODAY()-40, TODAY()), ""SELECT Col2 WHERE Col2 IS NOT NULL OR"&amp;"DER BY Col1 DESC LIMIT 20"", 0) - 1)))"),"#N/A")</f>
        <v>#N/A</v>
      </c>
      <c r="H212" s="35" t="str">
        <f t="shared" si="6"/>
        <v/>
      </c>
      <c r="I212" s="35" t="str">
        <f t="shared" si="7"/>
        <v/>
      </c>
      <c r="J212" s="37" t="str">
        <f>IFERROR(__xludf.DUMMYFUNCTION("IFERROR(
  IF(C212="""",, 
    IFERROR(
      GOOGLEFINANCE(C212, ""price"") * GOOGLEFINANCE(C212, ""volumeavg""), 
      GOOGLEFINANCE(C212, ""price"") * AVERAGE(QUERY(GOOGLEFINANCE(C212, ""volume"", TODAY()-40, TODAY()), ""SELECT Col2 WHERE Col2 IS NOT "&amp;"NULL ORDER BY Col1 DESC LIMIT 20"", 0))
    )
  ), 
"""")"),"")</f>
        <v/>
      </c>
      <c r="K212" s="21" t="str">
        <f>IFERROR(__xludf.DUMMYFUNCTION("IFERROR(GOOGLEFINANCE(C212, ""changepct"") / 100, """")"),"")</f>
        <v/>
      </c>
      <c r="L212" s="21" t="str">
        <f>IFERROR(__xludf.DUMMYFUNCTION("IFERROR((GOOGLEFINANCE(C212, ""price"") / INDEX(GOOGLEFINANCE(C212, ""price"", TODAY()-7, TODAY()), 2, 2)) - 1, """")"),"")</f>
        <v/>
      </c>
      <c r="M212" s="21" t="str">
        <f>IFERROR(__xludf.DUMMYFUNCTION("IFERROR((GOOGLEFINANCE(C212, ""price"") / INDEX(GOOGLEFINANCE(C212, ""price"", EDATE(TODAY(), -1), TODAY()), 2, 2)) - 1, """")"),"")</f>
        <v/>
      </c>
      <c r="N212" s="21" t="str">
        <f>IFERROR(__xludf.DUMMYFUNCTION("IFERROR((GOOGLEFINANCE(C212, ""price"") / INDEX(GOOGLEFINANCE(C212, ""price"", EDATE(TODAY(), -3), TODAY()), 2, 2)) - 1, """")"),"")</f>
        <v/>
      </c>
      <c r="O212" s="21" t="str">
        <f>IFERROR(__xludf.DUMMYFUNCTION("IFERROR((GOOGLEFINANCE(C212, ""price"") / INDEX(GOOGLEFINANCE(C212, ""price"", EDATE(TODAY(), -6), TODAY()), 2, 2)) - 1, """")"),"")</f>
        <v/>
      </c>
      <c r="P212" s="21" t="str">
        <f>IFERROR(__xludf.DUMMYFUNCTION("IFERROR((GOOGLEFINANCE(C212, ""price"") / INDEX(GOOGLEFINANCE(C212, ""price"", EDATE(TODAY(), -12), TODAY()), 2, 2)) - 1, """")"),"")</f>
        <v/>
      </c>
      <c r="Q212" s="6" t="str">
        <f>IFERROR(__xludf.DUMMYFUNCTION("AVERAGE(QUERY(GOOGLEFINANCE(C212, ""price"", TODAY()-80, TODAY()), ""SELECT Col2 WHERE Col2 IS NOT NULL ORDER BY Col1 DESC LIMIT 50"", 0))"),"#N/A")</f>
        <v>#N/A</v>
      </c>
      <c r="R212" s="24" t="str">
        <f>IFERROR(__xludf.DUMMYFUNCTION("IFERROR(
  LET(
    data, QUERY(GOOGLEFINANCE(C212,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GOOGLEFINANCE(C212, ""price"")) * 100,
    IF(calc=0, G212, calc)
  ), 
G212)"),"#N/A")</f>
        <v>#N/A</v>
      </c>
      <c r="S212" s="8" t="s">
        <v>15</v>
      </c>
      <c r="T212" s="26" t="str">
        <f>IFERROR(__xludf.DUMMYFUNCTION("IFERROR(TRANSPOSE(QUERY(IFERROR(SORT(GOOGLEFINANCE(C212, ""price"", WORKDAY(TODAY(), -40), TODAY()), 1, FALSE)), ""select Col2 where Col2 is not null limit 22 label Col2 ''"", 0)), """")"),"")</f>
        <v/>
      </c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8"/>
      <c r="AO212" s="28"/>
      <c r="AP212" s="29"/>
      <c r="AQ212" s="29" t="str">
        <f t="shared" ref="AQ212:BL212" si="215">T212/T$2</f>
        <v>#N/A</v>
      </c>
      <c r="AR212" s="29" t="str">
        <f t="shared" si="215"/>
        <v>#DIV/0!</v>
      </c>
      <c r="AS212" s="29" t="str">
        <f t="shared" si="215"/>
        <v>#DIV/0!</v>
      </c>
      <c r="AT212" s="29" t="str">
        <f t="shared" si="215"/>
        <v>#DIV/0!</v>
      </c>
      <c r="AU212" s="29" t="str">
        <f t="shared" si="215"/>
        <v>#DIV/0!</v>
      </c>
      <c r="AV212" s="29" t="str">
        <f t="shared" si="215"/>
        <v>#DIV/0!</v>
      </c>
      <c r="AW212" s="29" t="str">
        <f t="shared" si="215"/>
        <v>#DIV/0!</v>
      </c>
      <c r="AX212" s="29" t="str">
        <f t="shared" si="215"/>
        <v>#DIV/0!</v>
      </c>
      <c r="AY212" s="29" t="str">
        <f t="shared" si="215"/>
        <v>#DIV/0!</v>
      </c>
      <c r="AZ212" s="29" t="str">
        <f t="shared" si="215"/>
        <v>#DIV/0!</v>
      </c>
      <c r="BA212" s="29" t="str">
        <f t="shared" si="215"/>
        <v>#DIV/0!</v>
      </c>
      <c r="BB212" s="29" t="str">
        <f t="shared" si="215"/>
        <v>#DIV/0!</v>
      </c>
      <c r="BC212" s="29" t="str">
        <f t="shared" si="215"/>
        <v>#DIV/0!</v>
      </c>
      <c r="BD212" s="29" t="str">
        <f t="shared" si="215"/>
        <v>#DIV/0!</v>
      </c>
      <c r="BE212" s="29" t="str">
        <f t="shared" si="215"/>
        <v>#DIV/0!</v>
      </c>
      <c r="BF212" s="29" t="str">
        <f t="shared" si="215"/>
        <v>#DIV/0!</v>
      </c>
      <c r="BG212" s="29" t="str">
        <f t="shared" si="215"/>
        <v>#DIV/0!</v>
      </c>
      <c r="BH212" s="29" t="str">
        <f t="shared" si="215"/>
        <v>#DIV/0!</v>
      </c>
      <c r="BI212" s="29" t="str">
        <f t="shared" si="215"/>
        <v>#DIV/0!</v>
      </c>
      <c r="BJ212" s="29" t="str">
        <f t="shared" si="215"/>
        <v>#DIV/0!</v>
      </c>
      <c r="BK212" s="29" t="str">
        <f t="shared" si="215"/>
        <v>#DIV/0!</v>
      </c>
      <c r="BL212" s="29" t="str">
        <f t="shared" si="215"/>
        <v>#DIV/0!</v>
      </c>
      <c r="BM212" s="29" t="str">
        <f t="shared" si="3"/>
        <v>#DIV/0!</v>
      </c>
    </row>
    <row r="213">
      <c r="A213" s="16" t="str">
        <f>IFERROR(__xludf.DUMMYFUNCTION("IFERROR(SPARKLINE(SORT(MAP(TRANSPOSE(AQ213:BL213), LAMBDA(val, IF(ISNUMBER(val), PERCENTRANK(AQ213:BL213, val)+0.01, 0))), SEQUENCE(COLUMNS(AQ213:BL213)), FALSE), {""charttype"",""column""; ""color"",""chartreuse""; ""ymin"", 0; ""ymax"", 1.01; ""highcolo"&amp;"r"", ""darkgreen""; ""lowcolor"", ""red""}), """")"),"")</f>
        <v/>
      </c>
      <c r="B213" s="17" t="str">
        <f t="shared" si="4"/>
        <v/>
      </c>
      <c r="C213" s="1" t="s">
        <v>1672</v>
      </c>
      <c r="D213" s="30" t="str">
        <f>IFERROR(__xludf.DUMMYFUNCTION("IFERROR(GOOGLEFINANCE(C213, ""NAME""))"),"Zurn Elkay Water Solutions Corp")</f>
        <v>Zurn Elkay Water Solutions Corp</v>
      </c>
      <c r="E213" s="30" t="s">
        <v>936</v>
      </c>
      <c r="F213" s="33" t="str">
        <f>IFERROR(__xludf.DUMMYFUNCTION("( (GOOGLEFINANCE(C213, ""price"") - Q213) / Q213 ) / (R213 / 100)"),"Loading...")</f>
        <v>Loading...</v>
      </c>
      <c r="G213" s="20" t="str">
        <f>IFERROR(__xludf.DUMMYFUNCTION("AVERAGE(ARRAYFORMULA(100 * (QUERY(GOOGLEFINANCE(C213, ""high"", TODAY()-40, TODAY()), ""SELECT Col2 WHERE Col2 IS NOT NULL ORDER BY Col1 DESC LIMIT 20"", 0) / QUERY(GOOGLEFINANCE(C213, ""low"", TODAY()-40, TODAY()), ""SELECT Col2 WHERE Col2 IS NOT NULL OR"&amp;"DER BY Col1 DESC LIMIT 20"", 0) - 1)))"),"#N/A")</f>
        <v>#N/A</v>
      </c>
      <c r="H213" s="35" t="str">
        <f t="shared" si="6"/>
        <v/>
      </c>
      <c r="I213" s="35" t="str">
        <f t="shared" si="7"/>
        <v/>
      </c>
      <c r="J213" s="37" t="str">
        <f>IFERROR(__xludf.DUMMYFUNCTION("IFERROR(
  IF(C213="""",, 
    IFERROR(
      GOOGLEFINANCE(C213, ""price"") * GOOGLEFINANCE(C213, ""volumeavg""), 
      GOOGLEFINANCE(C213, ""price"") * AVERAGE(QUERY(GOOGLEFINANCE(C213, ""volume"", TODAY()-40, TODAY()), ""SELECT Col2 WHERE Col2 IS NOT "&amp;"NULL ORDER BY Col1 DESC LIMIT 20"", 0))
    )
  ), 
"""")"),"")</f>
        <v/>
      </c>
      <c r="K213" s="21" t="str">
        <f>IFERROR(__xludf.DUMMYFUNCTION("IFERROR(GOOGLEFINANCE(C213, ""changepct"") / 100, """")"),"")</f>
        <v/>
      </c>
      <c r="L213" s="21" t="str">
        <f>IFERROR(__xludf.DUMMYFUNCTION("IFERROR((GOOGLEFINANCE(C213, ""price"") / INDEX(GOOGLEFINANCE(C213, ""price"", TODAY()-7, TODAY()), 2, 2)) - 1, """")"),"")</f>
        <v/>
      </c>
      <c r="M213" s="21" t="str">
        <f>IFERROR(__xludf.DUMMYFUNCTION("IFERROR((GOOGLEFINANCE(C213, ""price"") / INDEX(GOOGLEFINANCE(C213, ""price"", EDATE(TODAY(), -1), TODAY()), 2, 2)) - 1, """")"),"")</f>
        <v/>
      </c>
      <c r="N213" s="21" t="str">
        <f>IFERROR(__xludf.DUMMYFUNCTION("IFERROR((GOOGLEFINANCE(C213, ""price"") / INDEX(GOOGLEFINANCE(C213, ""price"", EDATE(TODAY(), -3), TODAY()), 2, 2)) - 1, """")"),"")</f>
        <v/>
      </c>
      <c r="O213" s="21" t="str">
        <f>IFERROR(__xludf.DUMMYFUNCTION("IFERROR((GOOGLEFINANCE(C213, ""price"") / INDEX(GOOGLEFINANCE(C213, ""price"", EDATE(TODAY(), -6), TODAY()), 2, 2)) - 1, """")"),"")</f>
        <v/>
      </c>
      <c r="P213" s="21" t="str">
        <f>IFERROR(__xludf.DUMMYFUNCTION("IFERROR((GOOGLEFINANCE(C213, ""price"") / INDEX(GOOGLEFINANCE(C213, ""price"", EDATE(TODAY(), -12), TODAY()), 2, 2)) - 1, """")"),"")</f>
        <v/>
      </c>
      <c r="Q213" s="6" t="str">
        <f>IFERROR(__xludf.DUMMYFUNCTION("AVERAGE(QUERY(GOOGLEFINANCE(C213, ""price"", TODAY()-80, TODAY()), ""SELECT Col2 WHERE Col2 IS NOT NULL ORDER BY Col1 DESC LIMIT 50"", 0))"),"#N/A")</f>
        <v>#N/A</v>
      </c>
      <c r="R213" s="24" t="str">
        <f>IFERROR(__xludf.DUMMYFUNCTION("IFERROR(
  LET(
    data, QUERY(GOOGLEFINANCE(C213,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GOOGLEFINANCE(C213, ""price"")) * 100,
    IF(calc=0, G213, calc)
  ), 
G213)"),"#N/A")</f>
        <v>#N/A</v>
      </c>
      <c r="S213" s="8" t="s">
        <v>15</v>
      </c>
      <c r="T213" s="26" t="str">
        <f>IFERROR(__xludf.DUMMYFUNCTION("IFERROR(TRANSPOSE(QUERY(IFERROR(SORT(GOOGLEFINANCE(C213, ""price"", WORKDAY(TODAY(), -40), TODAY()), 1, FALSE)), ""select Col2 where Col2 is not null limit 22 label Col2 ''"", 0)), """")"),"")</f>
        <v/>
      </c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8"/>
      <c r="AO213" s="28"/>
      <c r="AP213" s="29"/>
      <c r="AQ213" s="29" t="str">
        <f t="shared" ref="AQ213:BL213" si="216">T213/T$2</f>
        <v>#N/A</v>
      </c>
      <c r="AR213" s="29" t="str">
        <f t="shared" si="216"/>
        <v>#DIV/0!</v>
      </c>
      <c r="AS213" s="29" t="str">
        <f t="shared" si="216"/>
        <v>#DIV/0!</v>
      </c>
      <c r="AT213" s="29" t="str">
        <f t="shared" si="216"/>
        <v>#DIV/0!</v>
      </c>
      <c r="AU213" s="29" t="str">
        <f t="shared" si="216"/>
        <v>#DIV/0!</v>
      </c>
      <c r="AV213" s="29" t="str">
        <f t="shared" si="216"/>
        <v>#DIV/0!</v>
      </c>
      <c r="AW213" s="29" t="str">
        <f t="shared" si="216"/>
        <v>#DIV/0!</v>
      </c>
      <c r="AX213" s="29" t="str">
        <f t="shared" si="216"/>
        <v>#DIV/0!</v>
      </c>
      <c r="AY213" s="29" t="str">
        <f t="shared" si="216"/>
        <v>#DIV/0!</v>
      </c>
      <c r="AZ213" s="29" t="str">
        <f t="shared" si="216"/>
        <v>#DIV/0!</v>
      </c>
      <c r="BA213" s="29" t="str">
        <f t="shared" si="216"/>
        <v>#DIV/0!</v>
      </c>
      <c r="BB213" s="29" t="str">
        <f t="shared" si="216"/>
        <v>#DIV/0!</v>
      </c>
      <c r="BC213" s="29" t="str">
        <f t="shared" si="216"/>
        <v>#DIV/0!</v>
      </c>
      <c r="BD213" s="29" t="str">
        <f t="shared" si="216"/>
        <v>#DIV/0!</v>
      </c>
      <c r="BE213" s="29" t="str">
        <f t="shared" si="216"/>
        <v>#DIV/0!</v>
      </c>
      <c r="BF213" s="29" t="str">
        <f t="shared" si="216"/>
        <v>#DIV/0!</v>
      </c>
      <c r="BG213" s="29" t="str">
        <f t="shared" si="216"/>
        <v>#DIV/0!</v>
      </c>
      <c r="BH213" s="29" t="str">
        <f t="shared" si="216"/>
        <v>#DIV/0!</v>
      </c>
      <c r="BI213" s="29" t="str">
        <f t="shared" si="216"/>
        <v>#DIV/0!</v>
      </c>
      <c r="BJ213" s="29" t="str">
        <f t="shared" si="216"/>
        <v>#DIV/0!</v>
      </c>
      <c r="BK213" s="29" t="str">
        <f t="shared" si="216"/>
        <v>#DIV/0!</v>
      </c>
      <c r="BL213" s="29" t="str">
        <f t="shared" si="216"/>
        <v>#DIV/0!</v>
      </c>
      <c r="BM213" s="29" t="str">
        <f t="shared" si="3"/>
        <v>#DIV/0!</v>
      </c>
    </row>
    <row r="214">
      <c r="A214" s="16" t="str">
        <f>IFERROR(__xludf.DUMMYFUNCTION("IFERROR(SPARKLINE(SORT(MAP(TRANSPOSE(AQ214:BL214), LAMBDA(val, IF(ISNUMBER(val), PERCENTRANK(AQ214:BL214, val)+0.01, 0))), SEQUENCE(COLUMNS(AQ214:BL214)), FALSE), {""charttype"",""column""; ""color"",""chartreuse""; ""ymin"", 0; ""ymax"", 1.01; ""highcolo"&amp;"r"", ""darkgreen""; ""lowcolor"", ""red""}), """")"),"")</f>
        <v/>
      </c>
      <c r="B214" s="17" t="str">
        <f t="shared" si="4"/>
        <v/>
      </c>
      <c r="C214" s="1" t="s">
        <v>1675</v>
      </c>
      <c r="D214" s="30" t="str">
        <f>IFERROR(__xludf.DUMMYFUNCTION("IFERROR(GOOGLEFINANCE(C214, ""NAME""))"),"Transcat Inc")</f>
        <v>Transcat Inc</v>
      </c>
      <c r="E214" s="30" t="s">
        <v>916</v>
      </c>
      <c r="F214" s="33" t="str">
        <f>IFERROR(__xludf.DUMMYFUNCTION("( (GOOGLEFINANCE(C214, ""price"") - Q214) / Q214 ) / (R214 / 100)"),"Loading...")</f>
        <v>Loading...</v>
      </c>
      <c r="G214" s="20" t="str">
        <f>IFERROR(__xludf.DUMMYFUNCTION("AVERAGE(ARRAYFORMULA(100 * (QUERY(GOOGLEFINANCE(C214, ""high"", TODAY()-40, TODAY()), ""SELECT Col2 WHERE Col2 IS NOT NULL ORDER BY Col1 DESC LIMIT 20"", 0) / QUERY(GOOGLEFINANCE(C214, ""low"", TODAY()-40, TODAY()), ""SELECT Col2 WHERE Col2 IS NOT NULL OR"&amp;"DER BY Col1 DESC LIMIT 20"", 0) - 1)))"),"#N/A")</f>
        <v>#N/A</v>
      </c>
      <c r="H214" s="35" t="str">
        <f t="shared" si="6"/>
        <v/>
      </c>
      <c r="I214" s="35" t="str">
        <f t="shared" si="7"/>
        <v/>
      </c>
      <c r="J214" s="37" t="str">
        <f>IFERROR(__xludf.DUMMYFUNCTION("IFERROR(
  IF(C214="""",, 
    IFERROR(
      GOOGLEFINANCE(C214, ""price"") * GOOGLEFINANCE(C214, ""volumeavg""), 
      GOOGLEFINANCE(C214, ""price"") * AVERAGE(QUERY(GOOGLEFINANCE(C214, ""volume"", TODAY()-40, TODAY()), ""SELECT Col2 WHERE Col2 IS NOT "&amp;"NULL ORDER BY Col1 DESC LIMIT 20"", 0))
    )
  ), 
"""")"),"")</f>
        <v/>
      </c>
      <c r="K214" s="21" t="str">
        <f>IFERROR(__xludf.DUMMYFUNCTION("IFERROR(GOOGLEFINANCE(C214, ""changepct"") / 100, """")"),"")</f>
        <v/>
      </c>
      <c r="L214" s="21" t="str">
        <f>IFERROR(__xludf.DUMMYFUNCTION("IFERROR((GOOGLEFINANCE(C214, ""price"") / INDEX(GOOGLEFINANCE(C214, ""price"", TODAY()-7, TODAY()), 2, 2)) - 1, """")"),"")</f>
        <v/>
      </c>
      <c r="M214" s="21" t="str">
        <f>IFERROR(__xludf.DUMMYFUNCTION("IFERROR((GOOGLEFINANCE(C214, ""price"") / INDEX(GOOGLEFINANCE(C214, ""price"", EDATE(TODAY(), -1), TODAY()), 2, 2)) - 1, """")"),"")</f>
        <v/>
      </c>
      <c r="N214" s="21" t="str">
        <f>IFERROR(__xludf.DUMMYFUNCTION("IFERROR((GOOGLEFINANCE(C214, ""price"") / INDEX(GOOGLEFINANCE(C214, ""price"", EDATE(TODAY(), -3), TODAY()), 2, 2)) - 1, """")"),"")</f>
        <v/>
      </c>
      <c r="O214" s="21" t="str">
        <f>IFERROR(__xludf.DUMMYFUNCTION("IFERROR((GOOGLEFINANCE(C214, ""price"") / INDEX(GOOGLEFINANCE(C214, ""price"", EDATE(TODAY(), -6), TODAY()), 2, 2)) - 1, """")"),"")</f>
        <v/>
      </c>
      <c r="P214" s="21" t="str">
        <f>IFERROR(__xludf.DUMMYFUNCTION("IFERROR((GOOGLEFINANCE(C214, ""price"") / INDEX(GOOGLEFINANCE(C214, ""price"", EDATE(TODAY(), -12), TODAY()), 2, 2)) - 1, """")"),"")</f>
        <v/>
      </c>
      <c r="Q214" s="6" t="str">
        <f>IFERROR(__xludf.DUMMYFUNCTION("AVERAGE(QUERY(GOOGLEFINANCE(C214, ""price"", TODAY()-80, TODAY()), ""SELECT Col2 WHERE Col2 IS NOT NULL ORDER BY Col1 DESC LIMIT 50"", 0))"),"#N/A")</f>
        <v>#N/A</v>
      </c>
      <c r="R214" s="24" t="str">
        <f>IFERROR(__xludf.DUMMYFUNCTION("IFERROR(
  LET(
    data, QUERY(GOOGLEFINANCE(C214,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GOOGLEFINANCE(C214, ""price"")) * 100,
    IF(calc=0, G214, calc)
  ), 
G214)"),"#N/A")</f>
        <v>#N/A</v>
      </c>
      <c r="S214" s="8" t="s">
        <v>15</v>
      </c>
      <c r="T214" s="26" t="str">
        <f>IFERROR(__xludf.DUMMYFUNCTION("IFERROR(TRANSPOSE(QUERY(IFERROR(SORT(GOOGLEFINANCE(C214, ""price"", WORKDAY(TODAY(), -40), TODAY()), 1, FALSE)), ""select Col2 where Col2 is not null limit 22 label Col2 ''"", 0)), """")"),"")</f>
        <v/>
      </c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8"/>
      <c r="AO214" s="28"/>
      <c r="AP214" s="29"/>
      <c r="AQ214" s="29" t="str">
        <f t="shared" ref="AQ214:BL214" si="217">T214/T$2</f>
        <v>#N/A</v>
      </c>
      <c r="AR214" s="29" t="str">
        <f t="shared" si="217"/>
        <v>#DIV/0!</v>
      </c>
      <c r="AS214" s="29" t="str">
        <f t="shared" si="217"/>
        <v>#DIV/0!</v>
      </c>
      <c r="AT214" s="29" t="str">
        <f t="shared" si="217"/>
        <v>#DIV/0!</v>
      </c>
      <c r="AU214" s="29" t="str">
        <f t="shared" si="217"/>
        <v>#DIV/0!</v>
      </c>
      <c r="AV214" s="29" t="str">
        <f t="shared" si="217"/>
        <v>#DIV/0!</v>
      </c>
      <c r="AW214" s="29" t="str">
        <f t="shared" si="217"/>
        <v>#DIV/0!</v>
      </c>
      <c r="AX214" s="29" t="str">
        <f t="shared" si="217"/>
        <v>#DIV/0!</v>
      </c>
      <c r="AY214" s="29" t="str">
        <f t="shared" si="217"/>
        <v>#DIV/0!</v>
      </c>
      <c r="AZ214" s="29" t="str">
        <f t="shared" si="217"/>
        <v>#DIV/0!</v>
      </c>
      <c r="BA214" s="29" t="str">
        <f t="shared" si="217"/>
        <v>#DIV/0!</v>
      </c>
      <c r="BB214" s="29" t="str">
        <f t="shared" si="217"/>
        <v>#DIV/0!</v>
      </c>
      <c r="BC214" s="29" t="str">
        <f t="shared" si="217"/>
        <v>#DIV/0!</v>
      </c>
      <c r="BD214" s="29" t="str">
        <f t="shared" si="217"/>
        <v>#DIV/0!</v>
      </c>
      <c r="BE214" s="29" t="str">
        <f t="shared" si="217"/>
        <v>#DIV/0!</v>
      </c>
      <c r="BF214" s="29" t="str">
        <f t="shared" si="217"/>
        <v>#DIV/0!</v>
      </c>
      <c r="BG214" s="29" t="str">
        <f t="shared" si="217"/>
        <v>#DIV/0!</v>
      </c>
      <c r="BH214" s="29" t="str">
        <f t="shared" si="217"/>
        <v>#DIV/0!</v>
      </c>
      <c r="BI214" s="29" t="str">
        <f t="shared" si="217"/>
        <v>#DIV/0!</v>
      </c>
      <c r="BJ214" s="29" t="str">
        <f t="shared" si="217"/>
        <v>#DIV/0!</v>
      </c>
      <c r="BK214" s="29" t="str">
        <f t="shared" si="217"/>
        <v>#DIV/0!</v>
      </c>
      <c r="BL214" s="29" t="str">
        <f t="shared" si="217"/>
        <v>#DIV/0!</v>
      </c>
      <c r="BM214" s="29" t="str">
        <f t="shared" si="3"/>
        <v>#DIV/0!</v>
      </c>
    </row>
    <row r="215">
      <c r="A215" s="16" t="str">
        <f>IFERROR(__xludf.DUMMYFUNCTION("IFERROR(SPARKLINE(SORT(MAP(TRANSPOSE(AQ215:BL215), LAMBDA(val, IF(ISNUMBER(val), PERCENTRANK(AQ215:BL215, val)+0.01, 0))), SEQUENCE(COLUMNS(AQ215:BL215)), FALSE), {""charttype"",""column""; ""color"",""chartreuse""; ""ymin"", 0; ""ymax"", 1.01; ""highcolo"&amp;"r"", ""darkgreen""; ""lowcolor"", ""red""}), """")"),"")</f>
        <v/>
      </c>
      <c r="B215" s="17" t="str">
        <f t="shared" si="4"/>
        <v/>
      </c>
      <c r="C215" s="1" t="s">
        <v>1678</v>
      </c>
      <c r="D215" s="30" t="str">
        <f>IFERROR(__xludf.DUMMYFUNCTION("IFERROR(GOOGLEFINANCE(C215, ""NAME""))"),"Crane Co")</f>
        <v>Crane Co</v>
      </c>
      <c r="E215" s="30" t="s">
        <v>893</v>
      </c>
      <c r="F215" s="33" t="str">
        <f>IFERROR(__xludf.DUMMYFUNCTION("( (GOOGLEFINANCE(C215, ""price"") - Q215) / Q215 ) / (R215 / 100)"),"Loading...")</f>
        <v>Loading...</v>
      </c>
      <c r="G215" s="20" t="str">
        <f>IFERROR(__xludf.DUMMYFUNCTION("AVERAGE(ARRAYFORMULA(100 * (QUERY(GOOGLEFINANCE(C215, ""high"", TODAY()-40, TODAY()), ""SELECT Col2 WHERE Col2 IS NOT NULL ORDER BY Col1 DESC LIMIT 20"", 0) / QUERY(GOOGLEFINANCE(C215, ""low"", TODAY()-40, TODAY()), ""SELECT Col2 WHERE Col2 IS NOT NULL OR"&amp;"DER BY Col1 DESC LIMIT 20"", 0) - 1)))"),"#N/A")</f>
        <v>#N/A</v>
      </c>
      <c r="H215" s="35" t="str">
        <f t="shared" si="6"/>
        <v/>
      </c>
      <c r="I215" s="35" t="str">
        <f t="shared" si="7"/>
        <v/>
      </c>
      <c r="J215" s="37" t="str">
        <f>IFERROR(__xludf.DUMMYFUNCTION("IFERROR(
  IF(C215="""",, 
    IFERROR(
      GOOGLEFINANCE(C215, ""price"") * GOOGLEFINANCE(C215, ""volumeavg""), 
      GOOGLEFINANCE(C215, ""price"") * AVERAGE(QUERY(GOOGLEFINANCE(C215, ""volume"", TODAY()-40, TODAY()), ""SELECT Col2 WHERE Col2 IS NOT "&amp;"NULL ORDER BY Col1 DESC LIMIT 20"", 0))
    )
  ), 
"""")"),"")</f>
        <v/>
      </c>
      <c r="K215" s="21" t="str">
        <f>IFERROR(__xludf.DUMMYFUNCTION("IFERROR(GOOGLEFINANCE(C215, ""changepct"") / 100, """")"),"")</f>
        <v/>
      </c>
      <c r="L215" s="21" t="str">
        <f>IFERROR(__xludf.DUMMYFUNCTION("IFERROR((GOOGLEFINANCE(C215, ""price"") / INDEX(GOOGLEFINANCE(C215, ""price"", TODAY()-7, TODAY()), 2, 2)) - 1, """")"),"")</f>
        <v/>
      </c>
      <c r="M215" s="21" t="str">
        <f>IFERROR(__xludf.DUMMYFUNCTION("IFERROR((GOOGLEFINANCE(C215, ""price"") / INDEX(GOOGLEFINANCE(C215, ""price"", EDATE(TODAY(), -1), TODAY()), 2, 2)) - 1, """")"),"")</f>
        <v/>
      </c>
      <c r="N215" s="21" t="str">
        <f>IFERROR(__xludf.DUMMYFUNCTION("IFERROR((GOOGLEFINANCE(C215, ""price"") / INDEX(GOOGLEFINANCE(C215, ""price"", EDATE(TODAY(), -3), TODAY()), 2, 2)) - 1, """")"),"")</f>
        <v/>
      </c>
      <c r="O215" s="21" t="str">
        <f>IFERROR(__xludf.DUMMYFUNCTION("IFERROR((GOOGLEFINANCE(C215, ""price"") / INDEX(GOOGLEFINANCE(C215, ""price"", EDATE(TODAY(), -6), TODAY()), 2, 2)) - 1, """")"),"")</f>
        <v/>
      </c>
      <c r="P215" s="21" t="str">
        <f>IFERROR(__xludf.DUMMYFUNCTION("IFERROR((GOOGLEFINANCE(C215, ""price"") / INDEX(GOOGLEFINANCE(C215, ""price"", EDATE(TODAY(), -12), TODAY()), 2, 2)) - 1, """")"),"")</f>
        <v/>
      </c>
      <c r="Q215" s="6" t="str">
        <f>IFERROR(__xludf.DUMMYFUNCTION("AVERAGE(QUERY(GOOGLEFINANCE(C215, ""price"", TODAY()-80, TODAY()), ""SELECT Col2 WHERE Col2 IS NOT NULL ORDER BY Col1 DESC LIMIT 50"", 0))"),"#N/A")</f>
        <v>#N/A</v>
      </c>
      <c r="R215" s="24" t="str">
        <f>IFERROR(__xludf.DUMMYFUNCTION("IFERROR(
  LET(
    data, QUERY(GOOGLEFINANCE(C215,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GOOGLEFINANCE(C215, ""price"")) * 100,
    IF(calc=0, G215, calc)
  ), 
G215)"),"#N/A")</f>
        <v>#N/A</v>
      </c>
      <c r="S215" s="8" t="s">
        <v>15</v>
      </c>
      <c r="T215" s="26" t="str">
        <f>IFERROR(__xludf.DUMMYFUNCTION("IFERROR(TRANSPOSE(QUERY(IFERROR(SORT(GOOGLEFINANCE(C215, ""price"", WORKDAY(TODAY(), -40), TODAY()), 1, FALSE)), ""select Col2 where Col2 is not null limit 22 label Col2 ''"", 0)), """")"),"")</f>
        <v/>
      </c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8"/>
      <c r="AO215" s="28"/>
      <c r="AP215" s="29"/>
      <c r="AQ215" s="29" t="str">
        <f t="shared" ref="AQ215:BL215" si="218">T215/T$2</f>
        <v>#N/A</v>
      </c>
      <c r="AR215" s="29" t="str">
        <f t="shared" si="218"/>
        <v>#DIV/0!</v>
      </c>
      <c r="AS215" s="29" t="str">
        <f t="shared" si="218"/>
        <v>#DIV/0!</v>
      </c>
      <c r="AT215" s="29" t="str">
        <f t="shared" si="218"/>
        <v>#DIV/0!</v>
      </c>
      <c r="AU215" s="29" t="str">
        <f t="shared" si="218"/>
        <v>#DIV/0!</v>
      </c>
      <c r="AV215" s="29" t="str">
        <f t="shared" si="218"/>
        <v>#DIV/0!</v>
      </c>
      <c r="AW215" s="29" t="str">
        <f t="shared" si="218"/>
        <v>#DIV/0!</v>
      </c>
      <c r="AX215" s="29" t="str">
        <f t="shared" si="218"/>
        <v>#DIV/0!</v>
      </c>
      <c r="AY215" s="29" t="str">
        <f t="shared" si="218"/>
        <v>#DIV/0!</v>
      </c>
      <c r="AZ215" s="29" t="str">
        <f t="shared" si="218"/>
        <v>#DIV/0!</v>
      </c>
      <c r="BA215" s="29" t="str">
        <f t="shared" si="218"/>
        <v>#DIV/0!</v>
      </c>
      <c r="BB215" s="29" t="str">
        <f t="shared" si="218"/>
        <v>#DIV/0!</v>
      </c>
      <c r="BC215" s="29" t="str">
        <f t="shared" si="218"/>
        <v>#DIV/0!</v>
      </c>
      <c r="BD215" s="29" t="str">
        <f t="shared" si="218"/>
        <v>#DIV/0!</v>
      </c>
      <c r="BE215" s="29" t="str">
        <f t="shared" si="218"/>
        <v>#DIV/0!</v>
      </c>
      <c r="BF215" s="29" t="str">
        <f t="shared" si="218"/>
        <v>#DIV/0!</v>
      </c>
      <c r="BG215" s="29" t="str">
        <f t="shared" si="218"/>
        <v>#DIV/0!</v>
      </c>
      <c r="BH215" s="29" t="str">
        <f t="shared" si="218"/>
        <v>#DIV/0!</v>
      </c>
      <c r="BI215" s="29" t="str">
        <f t="shared" si="218"/>
        <v>#DIV/0!</v>
      </c>
      <c r="BJ215" s="29" t="str">
        <f t="shared" si="218"/>
        <v>#DIV/0!</v>
      </c>
      <c r="BK215" s="29" t="str">
        <f t="shared" si="218"/>
        <v>#DIV/0!</v>
      </c>
      <c r="BL215" s="29" t="str">
        <f t="shared" si="218"/>
        <v>#DIV/0!</v>
      </c>
      <c r="BM215" s="29" t="str">
        <f t="shared" si="3"/>
        <v>#DIV/0!</v>
      </c>
    </row>
    <row r="216">
      <c r="A216" s="16" t="str">
        <f>IFERROR(__xludf.DUMMYFUNCTION("IFERROR(SPARKLINE(SORT(MAP(TRANSPOSE(AQ216:BL216), LAMBDA(val, IF(ISNUMBER(val), PERCENTRANK(AQ216:BL216, val)+0.01, 0))), SEQUENCE(COLUMNS(AQ216:BL216)), FALSE), {""charttype"",""column""; ""color"",""chartreuse""; ""ymin"", 0; ""ymax"", 1.01; ""highcolo"&amp;"r"", ""darkgreen""; ""lowcolor"", ""red""}), """")"),"")</f>
        <v/>
      </c>
      <c r="B216" s="17" t="str">
        <f t="shared" si="4"/>
        <v/>
      </c>
      <c r="C216" s="1" t="s">
        <v>1682</v>
      </c>
      <c r="D216" s="30" t="str">
        <f>IFERROR(__xludf.DUMMYFUNCTION("IFERROR(GOOGLEFINANCE(C216, ""NAME""))"),"Primoris Services Corp")</f>
        <v>Primoris Services Corp</v>
      </c>
      <c r="E216" s="30" t="s">
        <v>856</v>
      </c>
      <c r="F216" s="33" t="str">
        <f>IFERROR(__xludf.DUMMYFUNCTION("( (GOOGLEFINANCE(C216, ""price"") - Q216) / Q216 ) / (R216 / 100)"),"Loading...")</f>
        <v>Loading...</v>
      </c>
      <c r="G216" s="20" t="str">
        <f>IFERROR(__xludf.DUMMYFUNCTION("AVERAGE(ARRAYFORMULA(100 * (QUERY(GOOGLEFINANCE(C216, ""high"", TODAY()-40, TODAY()), ""SELECT Col2 WHERE Col2 IS NOT NULL ORDER BY Col1 DESC LIMIT 20"", 0) / QUERY(GOOGLEFINANCE(C216, ""low"", TODAY()-40, TODAY()), ""SELECT Col2 WHERE Col2 IS NOT NULL OR"&amp;"DER BY Col1 DESC LIMIT 20"", 0) - 1)))"),"#N/A")</f>
        <v>#N/A</v>
      </c>
      <c r="H216" s="35" t="str">
        <f t="shared" si="6"/>
        <v/>
      </c>
      <c r="I216" s="35" t="str">
        <f t="shared" si="7"/>
        <v/>
      </c>
      <c r="J216" s="37" t="str">
        <f>IFERROR(__xludf.DUMMYFUNCTION("IFERROR(
  IF(C216="""",, 
    IFERROR(
      GOOGLEFINANCE(C216, ""price"") * GOOGLEFINANCE(C216, ""volumeavg""), 
      GOOGLEFINANCE(C216, ""price"") * AVERAGE(QUERY(GOOGLEFINANCE(C216, ""volume"", TODAY()-40, TODAY()), ""SELECT Col2 WHERE Col2 IS NOT "&amp;"NULL ORDER BY Col1 DESC LIMIT 20"", 0))
    )
  ), 
"""")"),"")</f>
        <v/>
      </c>
      <c r="K216" s="21" t="str">
        <f>IFERROR(__xludf.DUMMYFUNCTION("IFERROR(GOOGLEFINANCE(C216, ""changepct"") / 100, """")"),"")</f>
        <v/>
      </c>
      <c r="L216" s="21" t="str">
        <f>IFERROR(__xludf.DUMMYFUNCTION("IFERROR((GOOGLEFINANCE(C216, ""price"") / INDEX(GOOGLEFINANCE(C216, ""price"", TODAY()-7, TODAY()), 2, 2)) - 1, """")"),"")</f>
        <v/>
      </c>
      <c r="M216" s="21" t="str">
        <f>IFERROR(__xludf.DUMMYFUNCTION("IFERROR((GOOGLEFINANCE(C216, ""price"") / INDEX(GOOGLEFINANCE(C216, ""price"", EDATE(TODAY(), -1), TODAY()), 2, 2)) - 1, """")"),"")</f>
        <v/>
      </c>
      <c r="N216" s="21" t="str">
        <f>IFERROR(__xludf.DUMMYFUNCTION("IFERROR((GOOGLEFINANCE(C216, ""price"") / INDEX(GOOGLEFINANCE(C216, ""price"", EDATE(TODAY(), -3), TODAY()), 2, 2)) - 1, """")"),"")</f>
        <v/>
      </c>
      <c r="O216" s="21" t="str">
        <f>IFERROR(__xludf.DUMMYFUNCTION("IFERROR((GOOGLEFINANCE(C216, ""price"") / INDEX(GOOGLEFINANCE(C216, ""price"", EDATE(TODAY(), -6), TODAY()), 2, 2)) - 1, """")"),"")</f>
        <v/>
      </c>
      <c r="P216" s="21" t="str">
        <f>IFERROR(__xludf.DUMMYFUNCTION("IFERROR((GOOGLEFINANCE(C216, ""price"") / INDEX(GOOGLEFINANCE(C216, ""price"", EDATE(TODAY(), -12), TODAY()), 2, 2)) - 1, """")"),"")</f>
        <v/>
      </c>
      <c r="Q216" s="6" t="str">
        <f>IFERROR(__xludf.DUMMYFUNCTION("AVERAGE(QUERY(GOOGLEFINANCE(C216, ""price"", TODAY()-80, TODAY()), ""SELECT Col2 WHERE Col2 IS NOT NULL ORDER BY Col1 DESC LIMIT 50"", 0))"),"#N/A")</f>
        <v>#N/A</v>
      </c>
      <c r="R216" s="24" t="str">
        <f>IFERROR(__xludf.DUMMYFUNCTION("IFERROR(
  LET(
    data, QUERY(GOOGLEFINANCE(C216,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GOOGLEFINANCE(C216, ""price"")) * 100,
    IF(calc=0, G216, calc)
  ), 
G216)"),"#N/A")</f>
        <v>#N/A</v>
      </c>
      <c r="S216" s="8" t="s">
        <v>15</v>
      </c>
      <c r="T216" s="26" t="str">
        <f>IFERROR(__xludf.DUMMYFUNCTION("IFERROR(TRANSPOSE(QUERY(IFERROR(SORT(GOOGLEFINANCE(C216, ""price"", WORKDAY(TODAY(), -40), TODAY()), 1, FALSE)), ""select Col2 where Col2 is not null limit 22 label Col2 ''"", 0)), """")"),"")</f>
        <v/>
      </c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8"/>
      <c r="AO216" s="28"/>
      <c r="AP216" s="29"/>
      <c r="AQ216" s="29" t="str">
        <f t="shared" ref="AQ216:BL216" si="219">T216/T$2</f>
        <v>#N/A</v>
      </c>
      <c r="AR216" s="29" t="str">
        <f t="shared" si="219"/>
        <v>#DIV/0!</v>
      </c>
      <c r="AS216" s="29" t="str">
        <f t="shared" si="219"/>
        <v>#DIV/0!</v>
      </c>
      <c r="AT216" s="29" t="str">
        <f t="shared" si="219"/>
        <v>#DIV/0!</v>
      </c>
      <c r="AU216" s="29" t="str">
        <f t="shared" si="219"/>
        <v>#DIV/0!</v>
      </c>
      <c r="AV216" s="29" t="str">
        <f t="shared" si="219"/>
        <v>#DIV/0!</v>
      </c>
      <c r="AW216" s="29" t="str">
        <f t="shared" si="219"/>
        <v>#DIV/0!</v>
      </c>
      <c r="AX216" s="29" t="str">
        <f t="shared" si="219"/>
        <v>#DIV/0!</v>
      </c>
      <c r="AY216" s="29" t="str">
        <f t="shared" si="219"/>
        <v>#DIV/0!</v>
      </c>
      <c r="AZ216" s="29" t="str">
        <f t="shared" si="219"/>
        <v>#DIV/0!</v>
      </c>
      <c r="BA216" s="29" t="str">
        <f t="shared" si="219"/>
        <v>#DIV/0!</v>
      </c>
      <c r="BB216" s="29" t="str">
        <f t="shared" si="219"/>
        <v>#DIV/0!</v>
      </c>
      <c r="BC216" s="29" t="str">
        <f t="shared" si="219"/>
        <v>#DIV/0!</v>
      </c>
      <c r="BD216" s="29" t="str">
        <f t="shared" si="219"/>
        <v>#DIV/0!</v>
      </c>
      <c r="BE216" s="29" t="str">
        <f t="shared" si="219"/>
        <v>#DIV/0!</v>
      </c>
      <c r="BF216" s="29" t="str">
        <f t="shared" si="219"/>
        <v>#DIV/0!</v>
      </c>
      <c r="BG216" s="29" t="str">
        <f t="shared" si="219"/>
        <v>#DIV/0!</v>
      </c>
      <c r="BH216" s="29" t="str">
        <f t="shared" si="219"/>
        <v>#DIV/0!</v>
      </c>
      <c r="BI216" s="29" t="str">
        <f t="shared" si="219"/>
        <v>#DIV/0!</v>
      </c>
      <c r="BJ216" s="29" t="str">
        <f t="shared" si="219"/>
        <v>#DIV/0!</v>
      </c>
      <c r="BK216" s="29" t="str">
        <f t="shared" si="219"/>
        <v>#DIV/0!</v>
      </c>
      <c r="BL216" s="29" t="str">
        <f t="shared" si="219"/>
        <v>#DIV/0!</v>
      </c>
      <c r="BM216" s="29" t="str">
        <f t="shared" si="3"/>
        <v>#DIV/0!</v>
      </c>
    </row>
    <row r="217">
      <c r="A217" s="16" t="str">
        <f>IFERROR(__xludf.DUMMYFUNCTION("IFERROR(SPARKLINE(SORT(MAP(TRANSPOSE(AQ217:BL217), LAMBDA(val, IF(ISNUMBER(val), PERCENTRANK(AQ217:BL217, val)+0.01, 0))), SEQUENCE(COLUMNS(AQ217:BL217)), FALSE), {""charttype"",""column""; ""color"",""chartreuse""; ""ymin"", 0; ""ymax"", 1.01; ""highcolo"&amp;"r"", ""darkgreen""; ""lowcolor"", ""red""}), """")"),"")</f>
        <v/>
      </c>
      <c r="B217" s="17" t="str">
        <f t="shared" si="4"/>
        <v/>
      </c>
      <c r="C217" s="1" t="s">
        <v>1686</v>
      </c>
      <c r="D217" s="30" t="str">
        <f>IFERROR(__xludf.DUMMYFUNCTION("IFERROR(GOOGLEFINANCE(C217, ""NAME""))"),"Amprius Technologies Inc")</f>
        <v>Amprius Technologies Inc</v>
      </c>
      <c r="E217" s="30" t="s">
        <v>864</v>
      </c>
      <c r="F217" s="33" t="str">
        <f>IFERROR(__xludf.DUMMYFUNCTION("( (GOOGLEFINANCE(C217, ""price"") - Q217) / Q217 ) / (R217 / 100)"),"Loading...")</f>
        <v>Loading...</v>
      </c>
      <c r="G217" s="20" t="str">
        <f>IFERROR(__xludf.DUMMYFUNCTION("AVERAGE(ARRAYFORMULA(100 * (QUERY(GOOGLEFINANCE(C217, ""high"", TODAY()-40, TODAY()), ""SELECT Col2 WHERE Col2 IS NOT NULL ORDER BY Col1 DESC LIMIT 20"", 0) / QUERY(GOOGLEFINANCE(C217, ""low"", TODAY()-40, TODAY()), ""SELECT Col2 WHERE Col2 IS NOT NULL OR"&amp;"DER BY Col1 DESC LIMIT 20"", 0) - 1)))"),"#N/A")</f>
        <v>#N/A</v>
      </c>
      <c r="H217" s="35" t="str">
        <f t="shared" si="6"/>
        <v/>
      </c>
      <c r="I217" s="35" t="str">
        <f t="shared" si="7"/>
        <v/>
      </c>
      <c r="J217" s="37" t="str">
        <f>IFERROR(__xludf.DUMMYFUNCTION("IFERROR(
  IF(C217="""",, 
    IFERROR(
      GOOGLEFINANCE(C217, ""price"") * GOOGLEFINANCE(C217, ""volumeavg""), 
      GOOGLEFINANCE(C217, ""price"") * AVERAGE(QUERY(GOOGLEFINANCE(C217, ""volume"", TODAY()-40, TODAY()), ""SELECT Col2 WHERE Col2 IS NOT "&amp;"NULL ORDER BY Col1 DESC LIMIT 20"", 0))
    )
  ), 
"""")"),"")</f>
        <v/>
      </c>
      <c r="K217" s="21" t="str">
        <f>IFERROR(__xludf.DUMMYFUNCTION("IFERROR(GOOGLEFINANCE(C217, ""changepct"") / 100, """")"),"")</f>
        <v/>
      </c>
      <c r="L217" s="21" t="str">
        <f>IFERROR(__xludf.DUMMYFUNCTION("IFERROR((GOOGLEFINANCE(C217, ""price"") / INDEX(GOOGLEFINANCE(C217, ""price"", TODAY()-7, TODAY()), 2, 2)) - 1, """")"),"")</f>
        <v/>
      </c>
      <c r="M217" s="21" t="str">
        <f>IFERROR(__xludf.DUMMYFUNCTION("IFERROR((GOOGLEFINANCE(C217, ""price"") / INDEX(GOOGLEFINANCE(C217, ""price"", EDATE(TODAY(), -1), TODAY()), 2, 2)) - 1, """")"),"")</f>
        <v/>
      </c>
      <c r="N217" s="21" t="str">
        <f>IFERROR(__xludf.DUMMYFUNCTION("IFERROR((GOOGLEFINANCE(C217, ""price"") / INDEX(GOOGLEFINANCE(C217, ""price"", EDATE(TODAY(), -3), TODAY()), 2, 2)) - 1, """")"),"")</f>
        <v/>
      </c>
      <c r="O217" s="21" t="str">
        <f>IFERROR(__xludf.DUMMYFUNCTION("IFERROR((GOOGLEFINANCE(C217, ""price"") / INDEX(GOOGLEFINANCE(C217, ""price"", EDATE(TODAY(), -6), TODAY()), 2, 2)) - 1, """")"),"")</f>
        <v/>
      </c>
      <c r="P217" s="21" t="str">
        <f>IFERROR(__xludf.DUMMYFUNCTION("IFERROR((GOOGLEFINANCE(C217, ""price"") / INDEX(GOOGLEFINANCE(C217, ""price"", EDATE(TODAY(), -12), TODAY()), 2, 2)) - 1, """")"),"")</f>
        <v/>
      </c>
      <c r="Q217" s="6" t="str">
        <f>IFERROR(__xludf.DUMMYFUNCTION("AVERAGE(QUERY(GOOGLEFINANCE(C217, ""price"", TODAY()-80, TODAY()), ""SELECT Col2 WHERE Col2 IS NOT NULL ORDER BY Col1 DESC LIMIT 50"", 0))"),"#N/A")</f>
        <v>#N/A</v>
      </c>
      <c r="R217" s="24" t="str">
        <f>IFERROR(__xludf.DUMMYFUNCTION("IFERROR(
  LET(
    data, QUERY(GOOGLEFINANCE(C217,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GOOGLEFINANCE(C217, ""price"")) * 100,
    IF(calc=0, G217, calc)
  ), 
G217)"),"#N/A")</f>
        <v>#N/A</v>
      </c>
      <c r="S217" s="8" t="s">
        <v>15</v>
      </c>
      <c r="T217" s="26" t="str">
        <f>IFERROR(__xludf.DUMMYFUNCTION("IFERROR(TRANSPOSE(QUERY(IFERROR(SORT(GOOGLEFINANCE(C217, ""price"", WORKDAY(TODAY(), -40), TODAY()), 1, FALSE)), ""select Col2 where Col2 is not null limit 22 label Col2 ''"", 0)), """")"),"")</f>
        <v/>
      </c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8"/>
      <c r="AO217" s="28"/>
      <c r="AP217" s="29"/>
      <c r="AQ217" s="29" t="str">
        <f t="shared" ref="AQ217:BL217" si="220">T217/T$2</f>
        <v>#N/A</v>
      </c>
      <c r="AR217" s="29" t="str">
        <f t="shared" si="220"/>
        <v>#DIV/0!</v>
      </c>
      <c r="AS217" s="29" t="str">
        <f t="shared" si="220"/>
        <v>#DIV/0!</v>
      </c>
      <c r="AT217" s="29" t="str">
        <f t="shared" si="220"/>
        <v>#DIV/0!</v>
      </c>
      <c r="AU217" s="29" t="str">
        <f t="shared" si="220"/>
        <v>#DIV/0!</v>
      </c>
      <c r="AV217" s="29" t="str">
        <f t="shared" si="220"/>
        <v>#DIV/0!</v>
      </c>
      <c r="AW217" s="29" t="str">
        <f t="shared" si="220"/>
        <v>#DIV/0!</v>
      </c>
      <c r="AX217" s="29" t="str">
        <f t="shared" si="220"/>
        <v>#DIV/0!</v>
      </c>
      <c r="AY217" s="29" t="str">
        <f t="shared" si="220"/>
        <v>#DIV/0!</v>
      </c>
      <c r="AZ217" s="29" t="str">
        <f t="shared" si="220"/>
        <v>#DIV/0!</v>
      </c>
      <c r="BA217" s="29" t="str">
        <f t="shared" si="220"/>
        <v>#DIV/0!</v>
      </c>
      <c r="BB217" s="29" t="str">
        <f t="shared" si="220"/>
        <v>#DIV/0!</v>
      </c>
      <c r="BC217" s="29" t="str">
        <f t="shared" si="220"/>
        <v>#DIV/0!</v>
      </c>
      <c r="BD217" s="29" t="str">
        <f t="shared" si="220"/>
        <v>#DIV/0!</v>
      </c>
      <c r="BE217" s="29" t="str">
        <f t="shared" si="220"/>
        <v>#DIV/0!</v>
      </c>
      <c r="BF217" s="29" t="str">
        <f t="shared" si="220"/>
        <v>#DIV/0!</v>
      </c>
      <c r="BG217" s="29" t="str">
        <f t="shared" si="220"/>
        <v>#DIV/0!</v>
      </c>
      <c r="BH217" s="29" t="str">
        <f t="shared" si="220"/>
        <v>#DIV/0!</v>
      </c>
      <c r="BI217" s="29" t="str">
        <f t="shared" si="220"/>
        <v>#DIV/0!</v>
      </c>
      <c r="BJ217" s="29" t="str">
        <f t="shared" si="220"/>
        <v>#DIV/0!</v>
      </c>
      <c r="BK217" s="29" t="str">
        <f t="shared" si="220"/>
        <v>#DIV/0!</v>
      </c>
      <c r="BL217" s="29" t="str">
        <f t="shared" si="220"/>
        <v>#DIV/0!</v>
      </c>
      <c r="BM217" s="29" t="str">
        <f t="shared" si="3"/>
        <v>#DIV/0!</v>
      </c>
    </row>
    <row r="218">
      <c r="A218" s="16" t="str">
        <f>IFERROR(__xludf.DUMMYFUNCTION("IFERROR(SPARKLINE(SORT(MAP(TRANSPOSE(AQ218:BL218), LAMBDA(val, IF(ISNUMBER(val), PERCENTRANK(AQ218:BL218, val)+0.01, 0))), SEQUENCE(COLUMNS(AQ218:BL218)), FALSE), {""charttype"",""column""; ""color"",""chartreuse""; ""ymin"", 0; ""ymax"", 1.01; ""highcolo"&amp;"r"", ""darkgreen""; ""lowcolor"", ""red""}), """")"),"")</f>
        <v/>
      </c>
      <c r="B218" s="17" t="str">
        <f t="shared" si="4"/>
        <v/>
      </c>
      <c r="C218" s="1" t="s">
        <v>1690</v>
      </c>
      <c r="D218" s="30" t="str">
        <f>IFERROR(__xludf.DUMMYFUNCTION("IFERROR(GOOGLEFINANCE(C218, ""NAME""))"),"Norfolk Southern Corp")</f>
        <v>Norfolk Southern Corp</v>
      </c>
      <c r="E218" s="30" t="s">
        <v>962</v>
      </c>
      <c r="F218" s="38" t="str">
        <f>IFERROR(__xludf.DUMMYFUNCTION("( (GOOGLEFINANCE(C218, ""price"") - Q218) / Q218 ) / (R218 / 100)"),"Loading...")</f>
        <v>Loading...</v>
      </c>
      <c r="G218" s="20" t="str">
        <f>IFERROR(__xludf.DUMMYFUNCTION("AVERAGE(ARRAYFORMULA(100 * (QUERY(GOOGLEFINANCE(C218, ""high"", TODAY()-40, TODAY()), ""SELECT Col2 WHERE Col2 IS NOT NULL ORDER BY Col1 DESC LIMIT 20"", 0) / QUERY(GOOGLEFINANCE(C218, ""low"", TODAY()-40, TODAY()), ""SELECT Col2 WHERE Col2 IS NOT NULL OR"&amp;"DER BY Col1 DESC LIMIT 20"", 0) - 1)))"),"#N/A")</f>
        <v>#N/A</v>
      </c>
      <c r="H218" s="35" t="str">
        <f t="shared" si="6"/>
        <v/>
      </c>
      <c r="I218" s="35" t="str">
        <f t="shared" si="7"/>
        <v/>
      </c>
      <c r="J218" s="37" t="str">
        <f>IFERROR(__xludf.DUMMYFUNCTION("IFERROR(
  IF(C218="""",, 
    IFERROR(
      GOOGLEFINANCE(C218, ""price"") * GOOGLEFINANCE(C218, ""volumeavg""), 
      GOOGLEFINANCE(C218, ""price"") * AVERAGE(QUERY(GOOGLEFINANCE(C218, ""volume"", TODAY()-40, TODAY()), ""SELECT Col2 WHERE Col2 IS NOT "&amp;"NULL ORDER BY Col1 DESC LIMIT 20"", 0))
    )
  ), 
"""")"),"")</f>
        <v/>
      </c>
      <c r="K218" s="21" t="str">
        <f>IFERROR(__xludf.DUMMYFUNCTION("IFERROR(GOOGLEFINANCE(C218, ""changepct"") / 100, """")"),"")</f>
        <v/>
      </c>
      <c r="L218" s="21" t="str">
        <f>IFERROR(__xludf.DUMMYFUNCTION("IFERROR((GOOGLEFINANCE(C218, ""price"") / INDEX(GOOGLEFINANCE(C218, ""price"", TODAY()-7, TODAY()), 2, 2)) - 1, """")"),"")</f>
        <v/>
      </c>
      <c r="M218" s="21" t="str">
        <f>IFERROR(__xludf.DUMMYFUNCTION("IFERROR((GOOGLEFINANCE(C218, ""price"") / INDEX(GOOGLEFINANCE(C218, ""price"", EDATE(TODAY(), -1), TODAY()), 2, 2)) - 1, """")"),"")</f>
        <v/>
      </c>
      <c r="N218" s="21" t="str">
        <f>IFERROR(__xludf.DUMMYFUNCTION("IFERROR((GOOGLEFINANCE(C218, ""price"") / INDEX(GOOGLEFINANCE(C218, ""price"", EDATE(TODAY(), -3), TODAY()), 2, 2)) - 1, """")"),"")</f>
        <v/>
      </c>
      <c r="O218" s="21" t="str">
        <f>IFERROR(__xludf.DUMMYFUNCTION("IFERROR((GOOGLEFINANCE(C218, ""price"") / INDEX(GOOGLEFINANCE(C218, ""price"", EDATE(TODAY(), -6), TODAY()), 2, 2)) - 1, """")"),"")</f>
        <v/>
      </c>
      <c r="P218" s="21" t="str">
        <f>IFERROR(__xludf.DUMMYFUNCTION("IFERROR((GOOGLEFINANCE(C218, ""price"") / INDEX(GOOGLEFINANCE(C218, ""price"", EDATE(TODAY(), -12), TODAY()), 2, 2)) - 1, """")"),"")</f>
        <v/>
      </c>
      <c r="Q218" s="6" t="str">
        <f>IFERROR(__xludf.DUMMYFUNCTION("AVERAGE(QUERY(GOOGLEFINANCE(C218, ""price"", TODAY()-80, TODAY()), ""SELECT Col2 WHERE Col2 IS NOT NULL ORDER BY Col1 DESC LIMIT 50"", 0))"),"#N/A")</f>
        <v>#N/A</v>
      </c>
      <c r="R218" s="24" t="str">
        <f>IFERROR(__xludf.DUMMYFUNCTION("IFERROR(
  LET(
    data, QUERY(GOOGLEFINANCE(C218,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GOOGLEFINANCE(C218, ""price"")) * 100,
    IF(calc=0, G218, calc)
  ), 
G218)"),"#N/A")</f>
        <v>#N/A</v>
      </c>
      <c r="S218" s="8" t="s">
        <v>15</v>
      </c>
      <c r="T218" s="26" t="str">
        <f>IFERROR(__xludf.DUMMYFUNCTION("IFERROR(TRANSPOSE(QUERY(IFERROR(SORT(GOOGLEFINANCE(C218, ""price"", WORKDAY(TODAY(), -40), TODAY()), 1, FALSE)), ""select Col2 where Col2 is not null limit 22 label Col2 ''"", 0)), """")"),"")</f>
        <v/>
      </c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8"/>
      <c r="AO218" s="28"/>
      <c r="AP218" s="29"/>
      <c r="AQ218" s="29" t="str">
        <f t="shared" ref="AQ218:BL218" si="221">T218/T$2</f>
        <v>#N/A</v>
      </c>
      <c r="AR218" s="29" t="str">
        <f t="shared" si="221"/>
        <v>#DIV/0!</v>
      </c>
      <c r="AS218" s="29" t="str">
        <f t="shared" si="221"/>
        <v>#DIV/0!</v>
      </c>
      <c r="AT218" s="29" t="str">
        <f t="shared" si="221"/>
        <v>#DIV/0!</v>
      </c>
      <c r="AU218" s="29" t="str">
        <f t="shared" si="221"/>
        <v>#DIV/0!</v>
      </c>
      <c r="AV218" s="29" t="str">
        <f t="shared" si="221"/>
        <v>#DIV/0!</v>
      </c>
      <c r="AW218" s="29" t="str">
        <f t="shared" si="221"/>
        <v>#DIV/0!</v>
      </c>
      <c r="AX218" s="29" t="str">
        <f t="shared" si="221"/>
        <v>#DIV/0!</v>
      </c>
      <c r="AY218" s="29" t="str">
        <f t="shared" si="221"/>
        <v>#DIV/0!</v>
      </c>
      <c r="AZ218" s="29" t="str">
        <f t="shared" si="221"/>
        <v>#DIV/0!</v>
      </c>
      <c r="BA218" s="29" t="str">
        <f t="shared" si="221"/>
        <v>#DIV/0!</v>
      </c>
      <c r="BB218" s="29" t="str">
        <f t="shared" si="221"/>
        <v>#DIV/0!</v>
      </c>
      <c r="BC218" s="29" t="str">
        <f t="shared" si="221"/>
        <v>#DIV/0!</v>
      </c>
      <c r="BD218" s="29" t="str">
        <f t="shared" si="221"/>
        <v>#DIV/0!</v>
      </c>
      <c r="BE218" s="29" t="str">
        <f t="shared" si="221"/>
        <v>#DIV/0!</v>
      </c>
      <c r="BF218" s="29" t="str">
        <f t="shared" si="221"/>
        <v>#DIV/0!</v>
      </c>
      <c r="BG218" s="29" t="str">
        <f t="shared" si="221"/>
        <v>#DIV/0!</v>
      </c>
      <c r="BH218" s="29" t="str">
        <f t="shared" si="221"/>
        <v>#DIV/0!</v>
      </c>
      <c r="BI218" s="29" t="str">
        <f t="shared" si="221"/>
        <v>#DIV/0!</v>
      </c>
      <c r="BJ218" s="29" t="str">
        <f t="shared" si="221"/>
        <v>#DIV/0!</v>
      </c>
      <c r="BK218" s="29" t="str">
        <f t="shared" si="221"/>
        <v>#DIV/0!</v>
      </c>
      <c r="BL218" s="29" t="str">
        <f t="shared" si="221"/>
        <v>#DIV/0!</v>
      </c>
      <c r="BM218" s="29" t="str">
        <f t="shared" si="3"/>
        <v>#DIV/0!</v>
      </c>
    </row>
    <row r="219">
      <c r="A219" s="16" t="str">
        <f>IFERROR(__xludf.DUMMYFUNCTION("IFERROR(SPARKLINE(SORT(MAP(TRANSPOSE(AQ219:BL219), LAMBDA(val, IF(ISNUMBER(val), PERCENTRANK(AQ219:BL219, val)+0.01, 0))), SEQUENCE(COLUMNS(AQ219:BL219)), FALSE), {""charttype"",""column""; ""color"",""chartreuse""; ""ymin"", 0; ""ymax"", 1.01; ""highcolo"&amp;"r"", ""darkgreen""; ""lowcolor"", ""red""}), """")"),"")</f>
        <v/>
      </c>
      <c r="B219" s="17" t="str">
        <f t="shared" si="4"/>
        <v/>
      </c>
      <c r="C219" s="1" t="s">
        <v>1694</v>
      </c>
      <c r="D219" s="30" t="str">
        <f>IFERROR(__xludf.DUMMYFUNCTION("IFERROR(GOOGLEFINANCE(C219, ""NAME""))"),"Elbit Systems Ltd")</f>
        <v>Elbit Systems Ltd</v>
      </c>
      <c r="E219" s="30" t="s">
        <v>839</v>
      </c>
      <c r="F219" s="33" t="str">
        <f>IFERROR(__xludf.DUMMYFUNCTION("( (GOOGLEFINANCE(C219, ""price"") - Q219) / Q219 ) / (R219 / 100)"),"Loading...")</f>
        <v>Loading...</v>
      </c>
      <c r="G219" s="20" t="str">
        <f>IFERROR(__xludf.DUMMYFUNCTION("AVERAGE(ARRAYFORMULA(100 * (QUERY(GOOGLEFINANCE(C219, ""high"", TODAY()-40, TODAY()), ""SELECT Col2 WHERE Col2 IS NOT NULL ORDER BY Col1 DESC LIMIT 20"", 0) / QUERY(GOOGLEFINANCE(C219, ""low"", TODAY()-40, TODAY()), ""SELECT Col2 WHERE Col2 IS NOT NULL OR"&amp;"DER BY Col1 DESC LIMIT 20"", 0) - 1)))"),"#N/A")</f>
        <v>#N/A</v>
      </c>
      <c r="H219" s="35" t="str">
        <f t="shared" si="6"/>
        <v/>
      </c>
      <c r="I219" s="35" t="str">
        <f t="shared" si="7"/>
        <v/>
      </c>
      <c r="J219" s="37" t="str">
        <f>IFERROR(__xludf.DUMMYFUNCTION("IFERROR(
  IF(C219="""",, 
    IFERROR(
      GOOGLEFINANCE(C219, ""price"") * GOOGLEFINANCE(C219, ""volumeavg""), 
      GOOGLEFINANCE(C219, ""price"") * AVERAGE(QUERY(GOOGLEFINANCE(C219, ""volume"", TODAY()-40, TODAY()), ""SELECT Col2 WHERE Col2 IS NOT "&amp;"NULL ORDER BY Col1 DESC LIMIT 20"", 0))
    )
  ), 
"""")"),"")</f>
        <v/>
      </c>
      <c r="K219" s="21" t="str">
        <f>IFERROR(__xludf.DUMMYFUNCTION("IFERROR(GOOGLEFINANCE(C219, ""changepct"") / 100, """")"),"")</f>
        <v/>
      </c>
      <c r="L219" s="21" t="str">
        <f>IFERROR(__xludf.DUMMYFUNCTION("IFERROR((GOOGLEFINANCE(C219, ""price"") / INDEX(GOOGLEFINANCE(C219, ""price"", TODAY()-7, TODAY()), 2, 2)) - 1, """")"),"")</f>
        <v/>
      </c>
      <c r="M219" s="21" t="str">
        <f>IFERROR(__xludf.DUMMYFUNCTION("IFERROR((GOOGLEFINANCE(C219, ""price"") / INDEX(GOOGLEFINANCE(C219, ""price"", EDATE(TODAY(), -1), TODAY()), 2, 2)) - 1, """")"),"")</f>
        <v/>
      </c>
      <c r="N219" s="21" t="str">
        <f>IFERROR(__xludf.DUMMYFUNCTION("IFERROR((GOOGLEFINANCE(C219, ""price"") / INDEX(GOOGLEFINANCE(C219, ""price"", EDATE(TODAY(), -3), TODAY()), 2, 2)) - 1, """")"),"")</f>
        <v/>
      </c>
      <c r="O219" s="21" t="str">
        <f>IFERROR(__xludf.DUMMYFUNCTION("IFERROR((GOOGLEFINANCE(C219, ""price"") / INDEX(GOOGLEFINANCE(C219, ""price"", EDATE(TODAY(), -6), TODAY()), 2, 2)) - 1, """")"),"")</f>
        <v/>
      </c>
      <c r="P219" s="21" t="str">
        <f>IFERROR(__xludf.DUMMYFUNCTION("IFERROR((GOOGLEFINANCE(C219, ""price"") / INDEX(GOOGLEFINANCE(C219, ""price"", EDATE(TODAY(), -12), TODAY()), 2, 2)) - 1, """")"),"")</f>
        <v/>
      </c>
      <c r="Q219" s="6" t="str">
        <f>IFERROR(__xludf.DUMMYFUNCTION("AVERAGE(QUERY(GOOGLEFINANCE(C219, ""price"", TODAY()-80, TODAY()), ""SELECT Col2 WHERE Col2 IS NOT NULL ORDER BY Col1 DESC LIMIT 50"", 0))"),"#N/A")</f>
        <v>#N/A</v>
      </c>
      <c r="R219" s="24" t="str">
        <f>IFERROR(__xludf.DUMMYFUNCTION("IFERROR(
  LET(
    data, QUERY(GOOGLEFINANCE(C219,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GOOGLEFINANCE(C219, ""price"")) * 100,
    IF(calc=0, G219, calc)
  ), 
G219)"),"#N/A")</f>
        <v>#N/A</v>
      </c>
      <c r="S219" s="8" t="s">
        <v>15</v>
      </c>
      <c r="T219" s="26" t="str">
        <f>IFERROR(__xludf.DUMMYFUNCTION("IFERROR(TRANSPOSE(QUERY(IFERROR(SORT(GOOGLEFINANCE(C219, ""price"", WORKDAY(TODAY(), -40), TODAY()), 1, FALSE)), ""select Col2 where Col2 is not null limit 22 label Col2 ''"", 0)), """")"),"")</f>
        <v/>
      </c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8"/>
      <c r="AO219" s="28"/>
      <c r="AP219" s="29"/>
      <c r="AQ219" s="29" t="str">
        <f t="shared" ref="AQ219:BL219" si="222">T219/T$2</f>
        <v>#N/A</v>
      </c>
      <c r="AR219" s="29" t="str">
        <f t="shared" si="222"/>
        <v>#DIV/0!</v>
      </c>
      <c r="AS219" s="29" t="str">
        <f t="shared" si="222"/>
        <v>#DIV/0!</v>
      </c>
      <c r="AT219" s="29" t="str">
        <f t="shared" si="222"/>
        <v>#DIV/0!</v>
      </c>
      <c r="AU219" s="29" t="str">
        <f t="shared" si="222"/>
        <v>#DIV/0!</v>
      </c>
      <c r="AV219" s="29" t="str">
        <f t="shared" si="222"/>
        <v>#DIV/0!</v>
      </c>
      <c r="AW219" s="29" t="str">
        <f t="shared" si="222"/>
        <v>#DIV/0!</v>
      </c>
      <c r="AX219" s="29" t="str">
        <f t="shared" si="222"/>
        <v>#DIV/0!</v>
      </c>
      <c r="AY219" s="29" t="str">
        <f t="shared" si="222"/>
        <v>#DIV/0!</v>
      </c>
      <c r="AZ219" s="29" t="str">
        <f t="shared" si="222"/>
        <v>#DIV/0!</v>
      </c>
      <c r="BA219" s="29" t="str">
        <f t="shared" si="222"/>
        <v>#DIV/0!</v>
      </c>
      <c r="BB219" s="29" t="str">
        <f t="shared" si="222"/>
        <v>#DIV/0!</v>
      </c>
      <c r="BC219" s="29" t="str">
        <f t="shared" si="222"/>
        <v>#DIV/0!</v>
      </c>
      <c r="BD219" s="29" t="str">
        <f t="shared" si="222"/>
        <v>#DIV/0!</v>
      </c>
      <c r="BE219" s="29" t="str">
        <f t="shared" si="222"/>
        <v>#DIV/0!</v>
      </c>
      <c r="BF219" s="29" t="str">
        <f t="shared" si="222"/>
        <v>#DIV/0!</v>
      </c>
      <c r="BG219" s="29" t="str">
        <f t="shared" si="222"/>
        <v>#DIV/0!</v>
      </c>
      <c r="BH219" s="29" t="str">
        <f t="shared" si="222"/>
        <v>#DIV/0!</v>
      </c>
      <c r="BI219" s="29" t="str">
        <f t="shared" si="222"/>
        <v>#DIV/0!</v>
      </c>
      <c r="BJ219" s="29" t="str">
        <f t="shared" si="222"/>
        <v>#DIV/0!</v>
      </c>
      <c r="BK219" s="29" t="str">
        <f t="shared" si="222"/>
        <v>#DIV/0!</v>
      </c>
      <c r="BL219" s="29" t="str">
        <f t="shared" si="222"/>
        <v>#DIV/0!</v>
      </c>
      <c r="BM219" s="29" t="str">
        <f t="shared" si="3"/>
        <v>#DIV/0!</v>
      </c>
    </row>
    <row r="220">
      <c r="A220" s="16" t="str">
        <f>IFERROR(__xludf.DUMMYFUNCTION("IFERROR(SPARKLINE(SORT(MAP(TRANSPOSE(AQ220:BL220), LAMBDA(val, IF(ISNUMBER(val), PERCENTRANK(AQ220:BL220, val)+0.01, 0))), SEQUENCE(COLUMNS(AQ220:BL220)), FALSE), {""charttype"",""column""; ""color"",""chartreuse""; ""ymin"", 0; ""ymax"", 1.01; ""highcolo"&amp;"r"", ""darkgreen""; ""lowcolor"", ""red""}), """")"),"")</f>
        <v/>
      </c>
      <c r="B220" s="17" t="str">
        <f t="shared" si="4"/>
        <v/>
      </c>
      <c r="C220" s="1" t="s">
        <v>1698</v>
      </c>
      <c r="D220" s="30" t="str">
        <f>IFERROR(__xludf.DUMMYFUNCTION("IFERROR(GOOGLEFINANCE(C220, ""NAME""))"),"Karman Holdings Inc")</f>
        <v>Karman Holdings Inc</v>
      </c>
      <c r="E220" s="30" t="s">
        <v>839</v>
      </c>
      <c r="F220" s="33" t="str">
        <f>IFERROR(__xludf.DUMMYFUNCTION("( (GOOGLEFINANCE(C220, ""price"") - Q220) / Q220 ) / (R220 / 100)"),"Loading...")</f>
        <v>Loading...</v>
      </c>
      <c r="G220" s="20" t="str">
        <f>IFERROR(__xludf.DUMMYFUNCTION("AVERAGE(ARRAYFORMULA(100 * (QUERY(GOOGLEFINANCE(C220, ""high"", TODAY()-40, TODAY()), ""SELECT Col2 WHERE Col2 IS NOT NULL ORDER BY Col1 DESC LIMIT 20"", 0) / QUERY(GOOGLEFINANCE(C220, ""low"", TODAY()-40, TODAY()), ""SELECT Col2 WHERE Col2 IS NOT NULL OR"&amp;"DER BY Col1 DESC LIMIT 20"", 0) - 1)))"),"#N/A")</f>
        <v>#N/A</v>
      </c>
      <c r="H220" s="35" t="str">
        <f t="shared" si="6"/>
        <v/>
      </c>
      <c r="I220" s="35" t="str">
        <f t="shared" si="7"/>
        <v/>
      </c>
      <c r="J220" s="37" t="str">
        <f>IFERROR(__xludf.DUMMYFUNCTION("IFERROR(
  IF(C220="""",, 
    IFERROR(
      GOOGLEFINANCE(C220, ""price"") * GOOGLEFINANCE(C220, ""volumeavg""), 
      GOOGLEFINANCE(C220, ""price"") * AVERAGE(QUERY(GOOGLEFINANCE(C220, ""volume"", TODAY()-40, TODAY()), ""SELECT Col2 WHERE Col2 IS NOT "&amp;"NULL ORDER BY Col1 DESC LIMIT 20"", 0))
    )
  ), 
"""")"),"")</f>
        <v/>
      </c>
      <c r="K220" s="21" t="str">
        <f>IFERROR(__xludf.DUMMYFUNCTION("IFERROR(GOOGLEFINANCE(C220, ""changepct"") / 100, """")"),"")</f>
        <v/>
      </c>
      <c r="L220" s="21" t="str">
        <f>IFERROR(__xludf.DUMMYFUNCTION("IFERROR((GOOGLEFINANCE(C220, ""price"") / INDEX(GOOGLEFINANCE(C220, ""price"", TODAY()-7, TODAY()), 2, 2)) - 1, """")"),"")</f>
        <v/>
      </c>
      <c r="M220" s="21" t="str">
        <f>IFERROR(__xludf.DUMMYFUNCTION("IFERROR((GOOGLEFINANCE(C220, ""price"") / INDEX(GOOGLEFINANCE(C220, ""price"", EDATE(TODAY(), -1), TODAY()), 2, 2)) - 1, """")"),"")</f>
        <v/>
      </c>
      <c r="N220" s="21" t="str">
        <f>IFERROR(__xludf.DUMMYFUNCTION("IFERROR((GOOGLEFINANCE(C220, ""price"") / INDEX(GOOGLEFINANCE(C220, ""price"", EDATE(TODAY(), -3), TODAY()), 2, 2)) - 1, """")"),"")</f>
        <v/>
      </c>
      <c r="O220" s="21" t="str">
        <f>IFERROR(__xludf.DUMMYFUNCTION("IFERROR((GOOGLEFINANCE(C220, ""price"") / INDEX(GOOGLEFINANCE(C220, ""price"", EDATE(TODAY(), -6), TODAY()), 2, 2)) - 1, """")"),"")</f>
        <v/>
      </c>
      <c r="P220" s="21" t="str">
        <f>IFERROR(__xludf.DUMMYFUNCTION("IFERROR((GOOGLEFINANCE(C220, ""price"") / INDEX(GOOGLEFINANCE(C220, ""price"", EDATE(TODAY(), -12), TODAY()), 2, 2)) - 1, """")"),"")</f>
        <v/>
      </c>
      <c r="Q220" s="6" t="str">
        <f>IFERROR(__xludf.DUMMYFUNCTION("AVERAGE(QUERY(GOOGLEFINANCE(C220, ""price"", TODAY()-80, TODAY()), ""SELECT Col2 WHERE Col2 IS NOT NULL ORDER BY Col1 DESC LIMIT 50"", 0))"),"#N/A")</f>
        <v>#N/A</v>
      </c>
      <c r="R220" s="24" t="str">
        <f>IFERROR(__xludf.DUMMYFUNCTION("IFERROR(
  LET(
    data, QUERY(GOOGLEFINANCE(C220,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GOOGLEFINANCE(C220, ""price"")) * 100,
    IF(calc=0, G220, calc)
  ), 
G220)"),"#N/A")</f>
        <v>#N/A</v>
      </c>
      <c r="S220" s="8" t="s">
        <v>15</v>
      </c>
      <c r="T220" s="26" t="str">
        <f>IFERROR(__xludf.DUMMYFUNCTION("IFERROR(TRANSPOSE(QUERY(IFERROR(SORT(GOOGLEFINANCE(C220, ""price"", WORKDAY(TODAY(), -40), TODAY()), 1, FALSE)), ""select Col2 where Col2 is not null limit 22 label Col2 ''"", 0)), """")"),"")</f>
        <v/>
      </c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8"/>
      <c r="AO220" s="28"/>
      <c r="AP220" s="29"/>
      <c r="AQ220" s="29" t="str">
        <f t="shared" ref="AQ220:BL220" si="223">T220/T$2</f>
        <v>#N/A</v>
      </c>
      <c r="AR220" s="29" t="str">
        <f t="shared" si="223"/>
        <v>#DIV/0!</v>
      </c>
      <c r="AS220" s="29" t="str">
        <f t="shared" si="223"/>
        <v>#DIV/0!</v>
      </c>
      <c r="AT220" s="29" t="str">
        <f t="shared" si="223"/>
        <v>#DIV/0!</v>
      </c>
      <c r="AU220" s="29" t="str">
        <f t="shared" si="223"/>
        <v>#DIV/0!</v>
      </c>
      <c r="AV220" s="29" t="str">
        <f t="shared" si="223"/>
        <v>#DIV/0!</v>
      </c>
      <c r="AW220" s="29" t="str">
        <f t="shared" si="223"/>
        <v>#DIV/0!</v>
      </c>
      <c r="AX220" s="29" t="str">
        <f t="shared" si="223"/>
        <v>#DIV/0!</v>
      </c>
      <c r="AY220" s="29" t="str">
        <f t="shared" si="223"/>
        <v>#DIV/0!</v>
      </c>
      <c r="AZ220" s="29" t="str">
        <f t="shared" si="223"/>
        <v>#DIV/0!</v>
      </c>
      <c r="BA220" s="29" t="str">
        <f t="shared" si="223"/>
        <v>#DIV/0!</v>
      </c>
      <c r="BB220" s="29" t="str">
        <f t="shared" si="223"/>
        <v>#DIV/0!</v>
      </c>
      <c r="BC220" s="29" t="str">
        <f t="shared" si="223"/>
        <v>#DIV/0!</v>
      </c>
      <c r="BD220" s="29" t="str">
        <f t="shared" si="223"/>
        <v>#DIV/0!</v>
      </c>
      <c r="BE220" s="29" t="str">
        <f t="shared" si="223"/>
        <v>#DIV/0!</v>
      </c>
      <c r="BF220" s="29" t="str">
        <f t="shared" si="223"/>
        <v>#DIV/0!</v>
      </c>
      <c r="BG220" s="29" t="str">
        <f t="shared" si="223"/>
        <v>#DIV/0!</v>
      </c>
      <c r="BH220" s="29" t="str">
        <f t="shared" si="223"/>
        <v>#DIV/0!</v>
      </c>
      <c r="BI220" s="29" t="str">
        <f t="shared" si="223"/>
        <v>#DIV/0!</v>
      </c>
      <c r="BJ220" s="29" t="str">
        <f t="shared" si="223"/>
        <v>#DIV/0!</v>
      </c>
      <c r="BK220" s="29" t="str">
        <f t="shared" si="223"/>
        <v>#DIV/0!</v>
      </c>
      <c r="BL220" s="29" t="str">
        <f t="shared" si="223"/>
        <v>#DIV/0!</v>
      </c>
      <c r="BM220" s="29" t="str">
        <f t="shared" si="3"/>
        <v>#DIV/0!</v>
      </c>
    </row>
    <row r="221">
      <c r="A221" s="16" t="str">
        <f>IFERROR(__xludf.DUMMYFUNCTION("IFERROR(SPARKLINE(SORT(MAP(TRANSPOSE(AQ221:BL221), LAMBDA(val, IF(ISNUMBER(val), PERCENTRANK(AQ221:BL221, val)+0.01, 0))), SEQUENCE(COLUMNS(AQ221:BL221)), FALSE), {""charttype"",""column""; ""color"",""chartreuse""; ""ymin"", 0; ""ymax"", 1.01; ""highcolo"&amp;"r"", ""darkgreen""; ""lowcolor"", ""red""}), """")"),"")</f>
        <v/>
      </c>
      <c r="B221" s="17" t="str">
        <f t="shared" si="4"/>
        <v/>
      </c>
      <c r="C221" s="1" t="s">
        <v>1701</v>
      </c>
      <c r="D221" s="30" t="str">
        <f>IFERROR(__xludf.DUMMYFUNCTION("IFERROR(GOOGLEFINANCE(C221, ""NAME""))"),"Seaboard Corp")</f>
        <v>Seaboard Corp</v>
      </c>
      <c r="E221" s="30" t="s">
        <v>843</v>
      </c>
      <c r="F221" s="33" t="str">
        <f>IFERROR(__xludf.DUMMYFUNCTION("( (GOOGLEFINANCE(C221, ""price"") - Q221) / Q221 ) / (R221 / 100)"),"Loading...")</f>
        <v>Loading...</v>
      </c>
      <c r="G221" s="20" t="str">
        <f>IFERROR(__xludf.DUMMYFUNCTION("AVERAGE(ARRAYFORMULA(100 * (QUERY(GOOGLEFINANCE(C221, ""high"", TODAY()-40, TODAY()), ""SELECT Col2 WHERE Col2 IS NOT NULL ORDER BY Col1 DESC LIMIT 20"", 0) / QUERY(GOOGLEFINANCE(C221, ""low"", TODAY()-40, TODAY()), ""SELECT Col2 WHERE Col2 IS NOT NULL OR"&amp;"DER BY Col1 DESC LIMIT 20"", 0) - 1)))"),"#N/A")</f>
        <v>#N/A</v>
      </c>
      <c r="H221" s="35" t="str">
        <f t="shared" si="6"/>
        <v/>
      </c>
      <c r="I221" s="35" t="str">
        <f t="shared" si="7"/>
        <v/>
      </c>
      <c r="J221" s="37" t="str">
        <f>IFERROR(__xludf.DUMMYFUNCTION("IFERROR(
  IF(C221="""",, 
    IFERROR(
      GOOGLEFINANCE(C221, ""price"") * GOOGLEFINANCE(C221, ""volumeavg""), 
      GOOGLEFINANCE(C221, ""price"") * AVERAGE(QUERY(GOOGLEFINANCE(C221, ""volume"", TODAY()-40, TODAY()), ""SELECT Col2 WHERE Col2 IS NOT "&amp;"NULL ORDER BY Col1 DESC LIMIT 20"", 0))
    )
  ), 
"""")"),"")</f>
        <v/>
      </c>
      <c r="K221" s="21" t="str">
        <f>IFERROR(__xludf.DUMMYFUNCTION("IFERROR(GOOGLEFINANCE(C221, ""changepct"") / 100, """")"),"")</f>
        <v/>
      </c>
      <c r="L221" s="21" t="str">
        <f>IFERROR(__xludf.DUMMYFUNCTION("IFERROR((GOOGLEFINANCE(C221, ""price"") / INDEX(GOOGLEFINANCE(C221, ""price"", TODAY()-7, TODAY()), 2, 2)) - 1, """")"),"")</f>
        <v/>
      </c>
      <c r="M221" s="21" t="str">
        <f>IFERROR(__xludf.DUMMYFUNCTION("IFERROR((GOOGLEFINANCE(C221, ""price"") / INDEX(GOOGLEFINANCE(C221, ""price"", EDATE(TODAY(), -1), TODAY()), 2, 2)) - 1, """")"),"")</f>
        <v/>
      </c>
      <c r="N221" s="21" t="str">
        <f>IFERROR(__xludf.DUMMYFUNCTION("IFERROR((GOOGLEFINANCE(C221, ""price"") / INDEX(GOOGLEFINANCE(C221, ""price"", EDATE(TODAY(), -3), TODAY()), 2, 2)) - 1, """")"),"")</f>
        <v/>
      </c>
      <c r="O221" s="21" t="str">
        <f>IFERROR(__xludf.DUMMYFUNCTION("IFERROR((GOOGLEFINANCE(C221, ""price"") / INDEX(GOOGLEFINANCE(C221, ""price"", EDATE(TODAY(), -6), TODAY()), 2, 2)) - 1, """")"),"")</f>
        <v/>
      </c>
      <c r="P221" s="21" t="str">
        <f>IFERROR(__xludf.DUMMYFUNCTION("IFERROR((GOOGLEFINANCE(C221, ""price"") / INDEX(GOOGLEFINANCE(C221, ""price"", EDATE(TODAY(), -12), TODAY()), 2, 2)) - 1, """")"),"")</f>
        <v/>
      </c>
      <c r="Q221" s="6" t="str">
        <f>IFERROR(__xludf.DUMMYFUNCTION("AVERAGE(QUERY(GOOGLEFINANCE(C221, ""price"", TODAY()-80, TODAY()), ""SELECT Col2 WHERE Col2 IS NOT NULL ORDER BY Col1 DESC LIMIT 50"", 0))"),"#N/A")</f>
        <v>#N/A</v>
      </c>
      <c r="R221" s="24" t="str">
        <f>IFERROR(__xludf.DUMMYFUNCTION("IFERROR(
  LET(
    data, QUERY(GOOGLEFINANCE(C221,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GOOGLEFINANCE(C221, ""price"")) * 100,
    IF(calc=0, G221, calc)
  ), 
G221)"),"#N/A")</f>
        <v>#N/A</v>
      </c>
      <c r="S221" s="8" t="s">
        <v>15</v>
      </c>
      <c r="T221" s="26" t="str">
        <f>IFERROR(__xludf.DUMMYFUNCTION("IFERROR(TRANSPOSE(QUERY(IFERROR(SORT(GOOGLEFINANCE(C221, ""price"", WORKDAY(TODAY(), -40), TODAY()), 1, FALSE)), ""select Col2 where Col2 is not null limit 22 label Col2 ''"", 0)), """")"),"")</f>
        <v/>
      </c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8"/>
      <c r="AO221" s="28"/>
      <c r="AP221" s="29"/>
      <c r="AQ221" s="29" t="str">
        <f t="shared" ref="AQ221:BL221" si="224">T221/T$2</f>
        <v>#N/A</v>
      </c>
      <c r="AR221" s="29" t="str">
        <f t="shared" si="224"/>
        <v>#DIV/0!</v>
      </c>
      <c r="AS221" s="29" t="str">
        <f t="shared" si="224"/>
        <v>#DIV/0!</v>
      </c>
      <c r="AT221" s="29" t="str">
        <f t="shared" si="224"/>
        <v>#DIV/0!</v>
      </c>
      <c r="AU221" s="29" t="str">
        <f t="shared" si="224"/>
        <v>#DIV/0!</v>
      </c>
      <c r="AV221" s="29" t="str">
        <f t="shared" si="224"/>
        <v>#DIV/0!</v>
      </c>
      <c r="AW221" s="29" t="str">
        <f t="shared" si="224"/>
        <v>#DIV/0!</v>
      </c>
      <c r="AX221" s="29" t="str">
        <f t="shared" si="224"/>
        <v>#DIV/0!</v>
      </c>
      <c r="AY221" s="29" t="str">
        <f t="shared" si="224"/>
        <v>#DIV/0!</v>
      </c>
      <c r="AZ221" s="29" t="str">
        <f t="shared" si="224"/>
        <v>#DIV/0!</v>
      </c>
      <c r="BA221" s="29" t="str">
        <f t="shared" si="224"/>
        <v>#DIV/0!</v>
      </c>
      <c r="BB221" s="29" t="str">
        <f t="shared" si="224"/>
        <v>#DIV/0!</v>
      </c>
      <c r="BC221" s="29" t="str">
        <f t="shared" si="224"/>
        <v>#DIV/0!</v>
      </c>
      <c r="BD221" s="29" t="str">
        <f t="shared" si="224"/>
        <v>#DIV/0!</v>
      </c>
      <c r="BE221" s="29" t="str">
        <f t="shared" si="224"/>
        <v>#DIV/0!</v>
      </c>
      <c r="BF221" s="29" t="str">
        <f t="shared" si="224"/>
        <v>#DIV/0!</v>
      </c>
      <c r="BG221" s="29" t="str">
        <f t="shared" si="224"/>
        <v>#DIV/0!</v>
      </c>
      <c r="BH221" s="29" t="str">
        <f t="shared" si="224"/>
        <v>#DIV/0!</v>
      </c>
      <c r="BI221" s="29" t="str">
        <f t="shared" si="224"/>
        <v>#DIV/0!</v>
      </c>
      <c r="BJ221" s="29" t="str">
        <f t="shared" si="224"/>
        <v>#DIV/0!</v>
      </c>
      <c r="BK221" s="29" t="str">
        <f t="shared" si="224"/>
        <v>#DIV/0!</v>
      </c>
      <c r="BL221" s="29" t="str">
        <f t="shared" si="224"/>
        <v>#DIV/0!</v>
      </c>
      <c r="BM221" s="29" t="str">
        <f t="shared" si="3"/>
        <v>#DIV/0!</v>
      </c>
    </row>
    <row r="222">
      <c r="A222" s="16" t="str">
        <f>IFERROR(__xludf.DUMMYFUNCTION("IFERROR(SPARKLINE(SORT(MAP(TRANSPOSE(AQ222:BL222), LAMBDA(val, IF(ISNUMBER(val), PERCENTRANK(AQ222:BL222, val)+0.01, 0))), SEQUENCE(COLUMNS(AQ222:BL222)), FALSE), {""charttype"",""column""; ""color"",""chartreuse""; ""ymin"", 0; ""ymax"", 1.01; ""highcolo"&amp;"r"", ""darkgreen""; ""lowcolor"", ""red""}), """")"),"")</f>
        <v/>
      </c>
      <c r="B222" s="17" t="str">
        <f t="shared" si="4"/>
        <v/>
      </c>
      <c r="C222" s="1" t="s">
        <v>1705</v>
      </c>
      <c r="D222" s="30" t="str">
        <f>IFERROR(__xludf.DUMMYFUNCTION("IFERROR(GOOGLEFINANCE(C222, ""NAME""))"),"TAT Technologies Ltd")</f>
        <v>TAT Technologies Ltd</v>
      </c>
      <c r="E222" s="30" t="s">
        <v>839</v>
      </c>
      <c r="F222" s="33" t="str">
        <f>IFERROR(__xludf.DUMMYFUNCTION("( (GOOGLEFINANCE(C222, ""price"") - Q222) / Q222 ) / (R222 / 100)"),"Loading...")</f>
        <v>Loading...</v>
      </c>
      <c r="G222" s="20" t="str">
        <f>IFERROR(__xludf.DUMMYFUNCTION("AVERAGE(ARRAYFORMULA(100 * (QUERY(GOOGLEFINANCE(C222, ""high"", TODAY()-40, TODAY()), ""SELECT Col2 WHERE Col2 IS NOT NULL ORDER BY Col1 DESC LIMIT 20"", 0) / QUERY(GOOGLEFINANCE(C222, ""low"", TODAY()-40, TODAY()), ""SELECT Col2 WHERE Col2 IS NOT NULL OR"&amp;"DER BY Col1 DESC LIMIT 20"", 0) - 1)))"),"#N/A")</f>
        <v>#N/A</v>
      </c>
      <c r="H222" s="35" t="str">
        <f t="shared" si="6"/>
        <v/>
      </c>
      <c r="I222" s="35" t="str">
        <f t="shared" si="7"/>
        <v/>
      </c>
      <c r="J222" s="37" t="str">
        <f>IFERROR(__xludf.DUMMYFUNCTION("IFERROR(
  IF(C222="""",, 
    IFERROR(
      GOOGLEFINANCE(C222, ""price"") * GOOGLEFINANCE(C222, ""volumeavg""), 
      GOOGLEFINANCE(C222, ""price"") * AVERAGE(QUERY(GOOGLEFINANCE(C222, ""volume"", TODAY()-40, TODAY()), ""SELECT Col2 WHERE Col2 IS NOT "&amp;"NULL ORDER BY Col1 DESC LIMIT 20"", 0))
    )
  ), 
"""")"),"")</f>
        <v/>
      </c>
      <c r="K222" s="21" t="str">
        <f>IFERROR(__xludf.DUMMYFUNCTION("IFERROR(GOOGLEFINANCE(C222, ""changepct"") / 100, """")"),"")</f>
        <v/>
      </c>
      <c r="L222" s="21" t="str">
        <f>IFERROR(__xludf.DUMMYFUNCTION("IFERROR((GOOGLEFINANCE(C222, ""price"") / INDEX(GOOGLEFINANCE(C222, ""price"", TODAY()-7, TODAY()), 2, 2)) - 1, """")"),"")</f>
        <v/>
      </c>
      <c r="M222" s="21" t="str">
        <f>IFERROR(__xludf.DUMMYFUNCTION("IFERROR((GOOGLEFINANCE(C222, ""price"") / INDEX(GOOGLEFINANCE(C222, ""price"", EDATE(TODAY(), -1), TODAY()), 2, 2)) - 1, """")"),"")</f>
        <v/>
      </c>
      <c r="N222" s="21" t="str">
        <f>IFERROR(__xludf.DUMMYFUNCTION("IFERROR((GOOGLEFINANCE(C222, ""price"") / INDEX(GOOGLEFINANCE(C222, ""price"", EDATE(TODAY(), -3), TODAY()), 2, 2)) - 1, """")"),"")</f>
        <v/>
      </c>
      <c r="O222" s="21" t="str">
        <f>IFERROR(__xludf.DUMMYFUNCTION("IFERROR((GOOGLEFINANCE(C222, ""price"") / INDEX(GOOGLEFINANCE(C222, ""price"", EDATE(TODAY(), -6), TODAY()), 2, 2)) - 1, """")"),"")</f>
        <v/>
      </c>
      <c r="P222" s="21" t="str">
        <f>IFERROR(__xludf.DUMMYFUNCTION("IFERROR((GOOGLEFINANCE(C222, ""price"") / INDEX(GOOGLEFINANCE(C222, ""price"", EDATE(TODAY(), -12), TODAY()), 2, 2)) - 1, """")"),"")</f>
        <v/>
      </c>
      <c r="Q222" s="6" t="str">
        <f>IFERROR(__xludf.DUMMYFUNCTION("AVERAGE(QUERY(GOOGLEFINANCE(C222, ""price"", TODAY()-80, TODAY()), ""SELECT Col2 WHERE Col2 IS NOT NULL ORDER BY Col1 DESC LIMIT 50"", 0))"),"#N/A")</f>
        <v>#N/A</v>
      </c>
      <c r="R222" s="24" t="str">
        <f>IFERROR(__xludf.DUMMYFUNCTION("IFERROR(
  LET(
    data, QUERY(GOOGLEFINANCE(C222,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GOOGLEFINANCE(C222, ""price"")) * 100,
    IF(calc=0, G222, calc)
  ), 
G222)"),"#N/A")</f>
        <v>#N/A</v>
      </c>
      <c r="S222" s="8" t="s">
        <v>15</v>
      </c>
      <c r="T222" s="26" t="str">
        <f>IFERROR(__xludf.DUMMYFUNCTION("IFERROR(TRANSPOSE(QUERY(IFERROR(SORT(GOOGLEFINANCE(C222, ""price"", WORKDAY(TODAY(), -40), TODAY()), 1, FALSE)), ""select Col2 where Col2 is not null limit 22 label Col2 ''"", 0)), """")"),"")</f>
        <v/>
      </c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8"/>
      <c r="AO222" s="28"/>
      <c r="AP222" s="29"/>
      <c r="AQ222" s="29" t="str">
        <f t="shared" ref="AQ222:BL222" si="225">T222/T$2</f>
        <v>#N/A</v>
      </c>
      <c r="AR222" s="29" t="str">
        <f t="shared" si="225"/>
        <v>#DIV/0!</v>
      </c>
      <c r="AS222" s="29" t="str">
        <f t="shared" si="225"/>
        <v>#DIV/0!</v>
      </c>
      <c r="AT222" s="29" t="str">
        <f t="shared" si="225"/>
        <v>#DIV/0!</v>
      </c>
      <c r="AU222" s="29" t="str">
        <f t="shared" si="225"/>
        <v>#DIV/0!</v>
      </c>
      <c r="AV222" s="29" t="str">
        <f t="shared" si="225"/>
        <v>#DIV/0!</v>
      </c>
      <c r="AW222" s="29" t="str">
        <f t="shared" si="225"/>
        <v>#DIV/0!</v>
      </c>
      <c r="AX222" s="29" t="str">
        <f t="shared" si="225"/>
        <v>#DIV/0!</v>
      </c>
      <c r="AY222" s="29" t="str">
        <f t="shared" si="225"/>
        <v>#DIV/0!</v>
      </c>
      <c r="AZ222" s="29" t="str">
        <f t="shared" si="225"/>
        <v>#DIV/0!</v>
      </c>
      <c r="BA222" s="29" t="str">
        <f t="shared" si="225"/>
        <v>#DIV/0!</v>
      </c>
      <c r="BB222" s="29" t="str">
        <f t="shared" si="225"/>
        <v>#DIV/0!</v>
      </c>
      <c r="BC222" s="29" t="str">
        <f t="shared" si="225"/>
        <v>#DIV/0!</v>
      </c>
      <c r="BD222" s="29" t="str">
        <f t="shared" si="225"/>
        <v>#DIV/0!</v>
      </c>
      <c r="BE222" s="29" t="str">
        <f t="shared" si="225"/>
        <v>#DIV/0!</v>
      </c>
      <c r="BF222" s="29" t="str">
        <f t="shared" si="225"/>
        <v>#DIV/0!</v>
      </c>
      <c r="BG222" s="29" t="str">
        <f t="shared" si="225"/>
        <v>#DIV/0!</v>
      </c>
      <c r="BH222" s="29" t="str">
        <f t="shared" si="225"/>
        <v>#DIV/0!</v>
      </c>
      <c r="BI222" s="29" t="str">
        <f t="shared" si="225"/>
        <v>#DIV/0!</v>
      </c>
      <c r="BJ222" s="29" t="str">
        <f t="shared" si="225"/>
        <v>#DIV/0!</v>
      </c>
      <c r="BK222" s="29" t="str">
        <f t="shared" si="225"/>
        <v>#DIV/0!</v>
      </c>
      <c r="BL222" s="29" t="str">
        <f t="shared" si="225"/>
        <v>#DIV/0!</v>
      </c>
      <c r="BM222" s="29" t="str">
        <f t="shared" si="3"/>
        <v>#DIV/0!</v>
      </c>
    </row>
    <row r="223">
      <c r="A223" s="16" t="str">
        <f>IFERROR(__xludf.DUMMYFUNCTION("IFERROR(SPARKLINE(SORT(MAP(TRANSPOSE(AQ223:BL223), LAMBDA(val, IF(ISNUMBER(val), PERCENTRANK(AQ223:BL223, val)+0.01, 0))), SEQUENCE(COLUMNS(AQ223:BL223)), FALSE), {""charttype"",""column""; ""color"",""chartreuse""; ""ymin"", 0; ""ymax"", 1.01; ""highcolo"&amp;"r"", ""darkgreen""; ""lowcolor"", ""red""}), """")"),"")</f>
        <v/>
      </c>
      <c r="B223" s="17" t="str">
        <f t="shared" si="4"/>
        <v/>
      </c>
      <c r="C223" s="1" t="s">
        <v>1709</v>
      </c>
      <c r="D223" s="30" t="str">
        <f>IFERROR(__xludf.DUMMYFUNCTION("IFERROR(GOOGLEFINANCE(C223, ""NAME""))"),"LegalZoom.com Inc")</f>
        <v>LegalZoom.com Inc</v>
      </c>
      <c r="E223" s="30" t="s">
        <v>916</v>
      </c>
      <c r="F223" s="33" t="str">
        <f>IFERROR(__xludf.DUMMYFUNCTION("( (GOOGLEFINANCE(C223, ""price"") - Q223) / Q223 ) / (R223 / 100)"),"Loading...")</f>
        <v>Loading...</v>
      </c>
      <c r="G223" s="20" t="str">
        <f>IFERROR(__xludf.DUMMYFUNCTION("AVERAGE(ARRAYFORMULA(100 * (QUERY(GOOGLEFINANCE(C223, ""high"", TODAY()-40, TODAY()), ""SELECT Col2 WHERE Col2 IS NOT NULL ORDER BY Col1 DESC LIMIT 20"", 0) / QUERY(GOOGLEFINANCE(C223, ""low"", TODAY()-40, TODAY()), ""SELECT Col2 WHERE Col2 IS NOT NULL OR"&amp;"DER BY Col1 DESC LIMIT 20"", 0) - 1)))"),"#N/A")</f>
        <v>#N/A</v>
      </c>
      <c r="H223" s="35" t="str">
        <f t="shared" si="6"/>
        <v/>
      </c>
      <c r="I223" s="35" t="str">
        <f t="shared" si="7"/>
        <v/>
      </c>
      <c r="J223" s="37" t="str">
        <f>IFERROR(__xludf.DUMMYFUNCTION("IFERROR(
  IF(C223="""",, 
    IFERROR(
      GOOGLEFINANCE(C223, ""price"") * GOOGLEFINANCE(C223, ""volumeavg""), 
      GOOGLEFINANCE(C223, ""price"") * AVERAGE(QUERY(GOOGLEFINANCE(C223, ""volume"", TODAY()-40, TODAY()), ""SELECT Col2 WHERE Col2 IS NOT "&amp;"NULL ORDER BY Col1 DESC LIMIT 20"", 0))
    )
  ), 
"""")"),"")</f>
        <v/>
      </c>
      <c r="K223" s="21" t="str">
        <f>IFERROR(__xludf.DUMMYFUNCTION("IFERROR(GOOGLEFINANCE(C223, ""changepct"") / 100, """")"),"")</f>
        <v/>
      </c>
      <c r="L223" s="21" t="str">
        <f>IFERROR(__xludf.DUMMYFUNCTION("IFERROR((GOOGLEFINANCE(C223, ""price"") / INDEX(GOOGLEFINANCE(C223, ""price"", TODAY()-7, TODAY()), 2, 2)) - 1, """")"),"")</f>
        <v/>
      </c>
      <c r="M223" s="21" t="str">
        <f>IFERROR(__xludf.DUMMYFUNCTION("IFERROR((GOOGLEFINANCE(C223, ""price"") / INDEX(GOOGLEFINANCE(C223, ""price"", EDATE(TODAY(), -1), TODAY()), 2, 2)) - 1, """")"),"")</f>
        <v/>
      </c>
      <c r="N223" s="21" t="str">
        <f>IFERROR(__xludf.DUMMYFUNCTION("IFERROR((GOOGLEFINANCE(C223, ""price"") / INDEX(GOOGLEFINANCE(C223, ""price"", EDATE(TODAY(), -3), TODAY()), 2, 2)) - 1, """")"),"")</f>
        <v/>
      </c>
      <c r="O223" s="21" t="str">
        <f>IFERROR(__xludf.DUMMYFUNCTION("IFERROR((GOOGLEFINANCE(C223, ""price"") / INDEX(GOOGLEFINANCE(C223, ""price"", EDATE(TODAY(), -6), TODAY()), 2, 2)) - 1, """")"),"")</f>
        <v/>
      </c>
      <c r="P223" s="21" t="str">
        <f>IFERROR(__xludf.DUMMYFUNCTION("IFERROR((GOOGLEFINANCE(C223, ""price"") / INDEX(GOOGLEFINANCE(C223, ""price"", EDATE(TODAY(), -12), TODAY()), 2, 2)) - 1, """")"),"")</f>
        <v/>
      </c>
      <c r="Q223" s="6" t="str">
        <f>IFERROR(__xludf.DUMMYFUNCTION("AVERAGE(QUERY(GOOGLEFINANCE(C223, ""price"", TODAY()-80, TODAY()), ""SELECT Col2 WHERE Col2 IS NOT NULL ORDER BY Col1 DESC LIMIT 50"", 0))"),"#N/A")</f>
        <v>#N/A</v>
      </c>
      <c r="R223" s="24" t="str">
        <f>IFERROR(__xludf.DUMMYFUNCTION("IFERROR(
  LET(
    data, QUERY(GOOGLEFINANCE(C223,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GOOGLEFINANCE(C223, ""price"")) * 100,
    IF(calc=0, G223, calc)
  ), 
G223)"),"#N/A")</f>
        <v>#N/A</v>
      </c>
      <c r="S223" s="8" t="s">
        <v>15</v>
      </c>
      <c r="T223" s="26" t="str">
        <f>IFERROR(__xludf.DUMMYFUNCTION("IFERROR(TRANSPOSE(QUERY(IFERROR(SORT(GOOGLEFINANCE(C223, ""price"", WORKDAY(TODAY(), -40), TODAY()), 1, FALSE)), ""select Col2 where Col2 is not null limit 22 label Col2 ''"", 0)), """")"),"")</f>
        <v/>
      </c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8"/>
      <c r="AO223" s="28"/>
      <c r="AP223" s="29"/>
      <c r="AQ223" s="29" t="str">
        <f t="shared" ref="AQ223:BL223" si="226">T223/T$2</f>
        <v>#N/A</v>
      </c>
      <c r="AR223" s="29" t="str">
        <f t="shared" si="226"/>
        <v>#DIV/0!</v>
      </c>
      <c r="AS223" s="29" t="str">
        <f t="shared" si="226"/>
        <v>#DIV/0!</v>
      </c>
      <c r="AT223" s="29" t="str">
        <f t="shared" si="226"/>
        <v>#DIV/0!</v>
      </c>
      <c r="AU223" s="29" t="str">
        <f t="shared" si="226"/>
        <v>#DIV/0!</v>
      </c>
      <c r="AV223" s="29" t="str">
        <f t="shared" si="226"/>
        <v>#DIV/0!</v>
      </c>
      <c r="AW223" s="29" t="str">
        <f t="shared" si="226"/>
        <v>#DIV/0!</v>
      </c>
      <c r="AX223" s="29" t="str">
        <f t="shared" si="226"/>
        <v>#DIV/0!</v>
      </c>
      <c r="AY223" s="29" t="str">
        <f t="shared" si="226"/>
        <v>#DIV/0!</v>
      </c>
      <c r="AZ223" s="29" t="str">
        <f t="shared" si="226"/>
        <v>#DIV/0!</v>
      </c>
      <c r="BA223" s="29" t="str">
        <f t="shared" si="226"/>
        <v>#DIV/0!</v>
      </c>
      <c r="BB223" s="29" t="str">
        <f t="shared" si="226"/>
        <v>#DIV/0!</v>
      </c>
      <c r="BC223" s="29" t="str">
        <f t="shared" si="226"/>
        <v>#DIV/0!</v>
      </c>
      <c r="BD223" s="29" t="str">
        <f t="shared" si="226"/>
        <v>#DIV/0!</v>
      </c>
      <c r="BE223" s="29" t="str">
        <f t="shared" si="226"/>
        <v>#DIV/0!</v>
      </c>
      <c r="BF223" s="29" t="str">
        <f t="shared" si="226"/>
        <v>#DIV/0!</v>
      </c>
      <c r="BG223" s="29" t="str">
        <f t="shared" si="226"/>
        <v>#DIV/0!</v>
      </c>
      <c r="BH223" s="29" t="str">
        <f t="shared" si="226"/>
        <v>#DIV/0!</v>
      </c>
      <c r="BI223" s="29" t="str">
        <f t="shared" si="226"/>
        <v>#DIV/0!</v>
      </c>
      <c r="BJ223" s="29" t="str">
        <f t="shared" si="226"/>
        <v>#DIV/0!</v>
      </c>
      <c r="BK223" s="29" t="str">
        <f t="shared" si="226"/>
        <v>#DIV/0!</v>
      </c>
      <c r="BL223" s="29" t="str">
        <f t="shared" si="226"/>
        <v>#DIV/0!</v>
      </c>
      <c r="BM223" s="29" t="str">
        <f t="shared" si="3"/>
        <v>#DIV/0!</v>
      </c>
    </row>
    <row r="224">
      <c r="A224" s="16" t="str">
        <f>IFERROR(__xludf.DUMMYFUNCTION("IFERROR(SPARKLINE(SORT(MAP(TRANSPOSE(AQ224:BL224), LAMBDA(val, IF(ISNUMBER(val), PERCENTRANK(AQ224:BL224, val)+0.01, 0))), SEQUENCE(COLUMNS(AQ224:BL224)), FALSE), {""charttype"",""column""; ""color"",""chartreuse""; ""ymin"", 0; ""ymax"", 1.01; ""highcolo"&amp;"r"", ""darkgreen""; ""lowcolor"", ""red""}), """")"),"")</f>
        <v/>
      </c>
      <c r="B224" s="17" t="str">
        <f t="shared" si="4"/>
        <v/>
      </c>
      <c r="C224" s="1" t="s">
        <v>1713</v>
      </c>
      <c r="D224" s="30" t="str">
        <f>IFERROR(__xludf.DUMMYFUNCTION("IFERROR(GOOGLEFINANCE(C224, ""NAME""))"),"Canadian National Railway Co")</f>
        <v>Canadian National Railway Co</v>
      </c>
      <c r="E224" s="30" t="s">
        <v>962</v>
      </c>
      <c r="F224" s="33" t="str">
        <f>IFERROR(__xludf.DUMMYFUNCTION("( (GOOGLEFINANCE(C224, ""price"") - Q224) / Q224 ) / (R224 / 100)"),"Loading...")</f>
        <v>Loading...</v>
      </c>
      <c r="G224" s="20" t="str">
        <f>IFERROR(__xludf.DUMMYFUNCTION("AVERAGE(ARRAYFORMULA(100 * (QUERY(GOOGLEFINANCE(C224, ""high"", TODAY()-40, TODAY()), ""SELECT Col2 WHERE Col2 IS NOT NULL ORDER BY Col1 DESC LIMIT 20"", 0) / QUERY(GOOGLEFINANCE(C224, ""low"", TODAY()-40, TODAY()), ""SELECT Col2 WHERE Col2 IS NOT NULL OR"&amp;"DER BY Col1 DESC LIMIT 20"", 0) - 1)))"),"#N/A")</f>
        <v>#N/A</v>
      </c>
      <c r="H224" s="35" t="str">
        <f t="shared" si="6"/>
        <v/>
      </c>
      <c r="I224" s="35" t="str">
        <f t="shared" si="7"/>
        <v/>
      </c>
      <c r="J224" s="37" t="str">
        <f>IFERROR(__xludf.DUMMYFUNCTION("IFERROR(
  IF(C224="""",, 
    IFERROR(
      GOOGLEFINANCE(C224, ""price"") * GOOGLEFINANCE(C224, ""volumeavg""), 
      GOOGLEFINANCE(C224, ""price"") * AVERAGE(QUERY(GOOGLEFINANCE(C224, ""volume"", TODAY()-40, TODAY()), ""SELECT Col2 WHERE Col2 IS NOT "&amp;"NULL ORDER BY Col1 DESC LIMIT 20"", 0))
    )
  ), 
"""")"),"")</f>
        <v/>
      </c>
      <c r="K224" s="21" t="str">
        <f>IFERROR(__xludf.DUMMYFUNCTION("IFERROR(GOOGLEFINANCE(C224, ""changepct"") / 100, """")"),"")</f>
        <v/>
      </c>
      <c r="L224" s="21" t="str">
        <f>IFERROR(__xludf.DUMMYFUNCTION("IFERROR((GOOGLEFINANCE(C224, ""price"") / INDEX(GOOGLEFINANCE(C224, ""price"", TODAY()-7, TODAY()), 2, 2)) - 1, """")"),"")</f>
        <v/>
      </c>
      <c r="M224" s="21" t="str">
        <f>IFERROR(__xludf.DUMMYFUNCTION("IFERROR((GOOGLEFINANCE(C224, ""price"") / INDEX(GOOGLEFINANCE(C224, ""price"", EDATE(TODAY(), -1), TODAY()), 2, 2)) - 1, """")"),"")</f>
        <v/>
      </c>
      <c r="N224" s="21" t="str">
        <f>IFERROR(__xludf.DUMMYFUNCTION("IFERROR((GOOGLEFINANCE(C224, ""price"") / INDEX(GOOGLEFINANCE(C224, ""price"", EDATE(TODAY(), -3), TODAY()), 2, 2)) - 1, """")"),"")</f>
        <v/>
      </c>
      <c r="O224" s="21" t="str">
        <f>IFERROR(__xludf.DUMMYFUNCTION("IFERROR((GOOGLEFINANCE(C224, ""price"") / INDEX(GOOGLEFINANCE(C224, ""price"", EDATE(TODAY(), -6), TODAY()), 2, 2)) - 1, """")"),"")</f>
        <v/>
      </c>
      <c r="P224" s="21" t="str">
        <f>IFERROR(__xludf.DUMMYFUNCTION("IFERROR((GOOGLEFINANCE(C224, ""price"") / INDEX(GOOGLEFINANCE(C224, ""price"", EDATE(TODAY(), -12), TODAY()), 2, 2)) - 1, """")"),"")</f>
        <v/>
      </c>
      <c r="Q224" s="6" t="str">
        <f>IFERROR(__xludf.DUMMYFUNCTION("AVERAGE(QUERY(GOOGLEFINANCE(C224, ""price"", TODAY()-80, TODAY()), ""SELECT Col2 WHERE Col2 IS NOT NULL ORDER BY Col1 DESC LIMIT 50"", 0))"),"#N/A")</f>
        <v>#N/A</v>
      </c>
      <c r="R224" s="24" t="str">
        <f>IFERROR(__xludf.DUMMYFUNCTION("IFERROR(
  LET(
    data, QUERY(GOOGLEFINANCE(C224,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GOOGLEFINANCE(C224, ""price"")) * 100,
    IF(calc=0, G224, calc)
  ), 
G224)"),"#N/A")</f>
        <v>#N/A</v>
      </c>
      <c r="S224" s="8" t="s">
        <v>15</v>
      </c>
      <c r="T224" s="26" t="str">
        <f>IFERROR(__xludf.DUMMYFUNCTION("IFERROR(TRANSPOSE(QUERY(IFERROR(SORT(GOOGLEFINANCE(C224, ""price"", WORKDAY(TODAY(), -40), TODAY()), 1, FALSE)), ""select Col2 where Col2 is not null limit 22 label Col2 ''"", 0)), """")"),"")</f>
        <v/>
      </c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8"/>
      <c r="AO224" s="28"/>
      <c r="AP224" s="29"/>
      <c r="AQ224" s="29" t="str">
        <f t="shared" ref="AQ224:BL224" si="227">T224/T$2</f>
        <v>#N/A</v>
      </c>
      <c r="AR224" s="29" t="str">
        <f t="shared" si="227"/>
        <v>#DIV/0!</v>
      </c>
      <c r="AS224" s="29" t="str">
        <f t="shared" si="227"/>
        <v>#DIV/0!</v>
      </c>
      <c r="AT224" s="29" t="str">
        <f t="shared" si="227"/>
        <v>#DIV/0!</v>
      </c>
      <c r="AU224" s="29" t="str">
        <f t="shared" si="227"/>
        <v>#DIV/0!</v>
      </c>
      <c r="AV224" s="29" t="str">
        <f t="shared" si="227"/>
        <v>#DIV/0!</v>
      </c>
      <c r="AW224" s="29" t="str">
        <f t="shared" si="227"/>
        <v>#DIV/0!</v>
      </c>
      <c r="AX224" s="29" t="str">
        <f t="shared" si="227"/>
        <v>#DIV/0!</v>
      </c>
      <c r="AY224" s="29" t="str">
        <f t="shared" si="227"/>
        <v>#DIV/0!</v>
      </c>
      <c r="AZ224" s="29" t="str">
        <f t="shared" si="227"/>
        <v>#DIV/0!</v>
      </c>
      <c r="BA224" s="29" t="str">
        <f t="shared" si="227"/>
        <v>#DIV/0!</v>
      </c>
      <c r="BB224" s="29" t="str">
        <f t="shared" si="227"/>
        <v>#DIV/0!</v>
      </c>
      <c r="BC224" s="29" t="str">
        <f t="shared" si="227"/>
        <v>#DIV/0!</v>
      </c>
      <c r="BD224" s="29" t="str">
        <f t="shared" si="227"/>
        <v>#DIV/0!</v>
      </c>
      <c r="BE224" s="29" t="str">
        <f t="shared" si="227"/>
        <v>#DIV/0!</v>
      </c>
      <c r="BF224" s="29" t="str">
        <f t="shared" si="227"/>
        <v>#DIV/0!</v>
      </c>
      <c r="BG224" s="29" t="str">
        <f t="shared" si="227"/>
        <v>#DIV/0!</v>
      </c>
      <c r="BH224" s="29" t="str">
        <f t="shared" si="227"/>
        <v>#DIV/0!</v>
      </c>
      <c r="BI224" s="29" t="str">
        <f t="shared" si="227"/>
        <v>#DIV/0!</v>
      </c>
      <c r="BJ224" s="29" t="str">
        <f t="shared" si="227"/>
        <v>#DIV/0!</v>
      </c>
      <c r="BK224" s="29" t="str">
        <f t="shared" si="227"/>
        <v>#DIV/0!</v>
      </c>
      <c r="BL224" s="29" t="str">
        <f t="shared" si="227"/>
        <v>#DIV/0!</v>
      </c>
      <c r="BM224" s="29" t="str">
        <f t="shared" si="3"/>
        <v>#DIV/0!</v>
      </c>
    </row>
    <row r="225">
      <c r="A225" s="16" t="str">
        <f>IFERROR(__xludf.DUMMYFUNCTION("IFERROR(SPARKLINE(SORT(MAP(TRANSPOSE(AQ225:BL225), LAMBDA(val, IF(ISNUMBER(val), PERCENTRANK(AQ225:BL225, val)+0.01, 0))), SEQUENCE(COLUMNS(AQ225:BL225)), FALSE), {""charttype"",""column""; ""color"",""chartreuse""; ""ymin"", 0; ""ymax"", 1.01; ""highcolo"&amp;"r"", ""darkgreen""; ""lowcolor"", ""red""}), """")"),"")</f>
        <v/>
      </c>
      <c r="B225" s="17" t="str">
        <f t="shared" si="4"/>
        <v/>
      </c>
      <c r="C225" s="1" t="s">
        <v>1717</v>
      </c>
      <c r="D225" s="30" t="str">
        <f>IFERROR(__xludf.DUMMYFUNCTION("IFERROR(GOOGLEFINANCE(C225, ""NAME""))"),"Northrop Grumman Corp")</f>
        <v>Northrop Grumman Corp</v>
      </c>
      <c r="E225" s="30" t="s">
        <v>839</v>
      </c>
      <c r="F225" s="33" t="str">
        <f>IFERROR(__xludf.DUMMYFUNCTION("( (GOOGLEFINANCE(C225, ""price"") - Q225) / Q225 ) / (R225 / 100)"),"Loading...")</f>
        <v>Loading...</v>
      </c>
      <c r="G225" s="20" t="str">
        <f>IFERROR(__xludf.DUMMYFUNCTION("AVERAGE(ARRAYFORMULA(100 * (QUERY(GOOGLEFINANCE(C225, ""high"", TODAY()-40, TODAY()), ""SELECT Col2 WHERE Col2 IS NOT NULL ORDER BY Col1 DESC LIMIT 20"", 0) / QUERY(GOOGLEFINANCE(C225, ""low"", TODAY()-40, TODAY()), ""SELECT Col2 WHERE Col2 IS NOT NULL OR"&amp;"DER BY Col1 DESC LIMIT 20"", 0) - 1)))"),"#N/A")</f>
        <v>#N/A</v>
      </c>
      <c r="H225" s="35" t="str">
        <f t="shared" si="6"/>
        <v/>
      </c>
      <c r="I225" s="35" t="str">
        <f t="shared" si="7"/>
        <v/>
      </c>
      <c r="J225" s="37" t="str">
        <f>IFERROR(__xludf.DUMMYFUNCTION("IFERROR(
  IF(C225="""",, 
    IFERROR(
      GOOGLEFINANCE(C225, ""price"") * GOOGLEFINANCE(C225, ""volumeavg""), 
      GOOGLEFINANCE(C225, ""price"") * AVERAGE(QUERY(GOOGLEFINANCE(C225, ""volume"", TODAY()-40, TODAY()), ""SELECT Col2 WHERE Col2 IS NOT "&amp;"NULL ORDER BY Col1 DESC LIMIT 20"", 0))
    )
  ), 
"""")"),"")</f>
        <v/>
      </c>
      <c r="K225" s="21" t="str">
        <f>IFERROR(__xludf.DUMMYFUNCTION("IFERROR(GOOGLEFINANCE(C225, ""changepct"") / 100, """")"),"")</f>
        <v/>
      </c>
      <c r="L225" s="21" t="str">
        <f>IFERROR(__xludf.DUMMYFUNCTION("IFERROR((GOOGLEFINANCE(C225, ""price"") / INDEX(GOOGLEFINANCE(C225, ""price"", TODAY()-7, TODAY()), 2, 2)) - 1, """")"),"")</f>
        <v/>
      </c>
      <c r="M225" s="21" t="str">
        <f>IFERROR(__xludf.DUMMYFUNCTION("IFERROR((GOOGLEFINANCE(C225, ""price"") / INDEX(GOOGLEFINANCE(C225, ""price"", EDATE(TODAY(), -1), TODAY()), 2, 2)) - 1, """")"),"")</f>
        <v/>
      </c>
      <c r="N225" s="21" t="str">
        <f>IFERROR(__xludf.DUMMYFUNCTION("IFERROR((GOOGLEFINANCE(C225, ""price"") / INDEX(GOOGLEFINANCE(C225, ""price"", EDATE(TODAY(), -3), TODAY()), 2, 2)) - 1, """")"),"")</f>
        <v/>
      </c>
      <c r="O225" s="21" t="str">
        <f>IFERROR(__xludf.DUMMYFUNCTION("IFERROR((GOOGLEFINANCE(C225, ""price"") / INDEX(GOOGLEFINANCE(C225, ""price"", EDATE(TODAY(), -6), TODAY()), 2, 2)) - 1, """")"),"")</f>
        <v/>
      </c>
      <c r="P225" s="21" t="str">
        <f>IFERROR(__xludf.DUMMYFUNCTION("IFERROR((GOOGLEFINANCE(C225, ""price"") / INDEX(GOOGLEFINANCE(C225, ""price"", EDATE(TODAY(), -12), TODAY()), 2, 2)) - 1, """")"),"")</f>
        <v/>
      </c>
      <c r="Q225" s="6" t="str">
        <f>IFERROR(__xludf.DUMMYFUNCTION("AVERAGE(QUERY(GOOGLEFINANCE(C225, ""price"", TODAY()-80, TODAY()), ""SELECT Col2 WHERE Col2 IS NOT NULL ORDER BY Col1 DESC LIMIT 50"", 0))"),"#N/A")</f>
        <v>#N/A</v>
      </c>
      <c r="R225" s="24" t="str">
        <f>IFERROR(__xludf.DUMMYFUNCTION("IFERROR(
  LET(
    data, QUERY(GOOGLEFINANCE(C225,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GOOGLEFINANCE(C225, ""price"")) * 100,
    IF(calc=0, G225, calc)
  ), 
G225)"),"#N/A")</f>
        <v>#N/A</v>
      </c>
      <c r="S225" s="8" t="s">
        <v>15</v>
      </c>
      <c r="T225" s="26" t="str">
        <f>IFERROR(__xludf.DUMMYFUNCTION("IFERROR(TRANSPOSE(QUERY(IFERROR(SORT(GOOGLEFINANCE(C225, ""price"", WORKDAY(TODAY(), -40), TODAY()), 1, FALSE)), ""select Col2 where Col2 is not null limit 22 label Col2 ''"", 0)), """")"),"")</f>
        <v/>
      </c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8"/>
      <c r="AO225" s="28"/>
      <c r="AP225" s="29"/>
      <c r="AQ225" s="29" t="str">
        <f t="shared" ref="AQ225:BL225" si="228">T225/T$2</f>
        <v>#N/A</v>
      </c>
      <c r="AR225" s="29" t="str">
        <f t="shared" si="228"/>
        <v>#DIV/0!</v>
      </c>
      <c r="AS225" s="29" t="str">
        <f t="shared" si="228"/>
        <v>#DIV/0!</v>
      </c>
      <c r="AT225" s="29" t="str">
        <f t="shared" si="228"/>
        <v>#DIV/0!</v>
      </c>
      <c r="AU225" s="29" t="str">
        <f t="shared" si="228"/>
        <v>#DIV/0!</v>
      </c>
      <c r="AV225" s="29" t="str">
        <f t="shared" si="228"/>
        <v>#DIV/0!</v>
      </c>
      <c r="AW225" s="29" t="str">
        <f t="shared" si="228"/>
        <v>#DIV/0!</v>
      </c>
      <c r="AX225" s="29" t="str">
        <f t="shared" si="228"/>
        <v>#DIV/0!</v>
      </c>
      <c r="AY225" s="29" t="str">
        <f t="shared" si="228"/>
        <v>#DIV/0!</v>
      </c>
      <c r="AZ225" s="29" t="str">
        <f t="shared" si="228"/>
        <v>#DIV/0!</v>
      </c>
      <c r="BA225" s="29" t="str">
        <f t="shared" si="228"/>
        <v>#DIV/0!</v>
      </c>
      <c r="BB225" s="29" t="str">
        <f t="shared" si="228"/>
        <v>#DIV/0!</v>
      </c>
      <c r="BC225" s="29" t="str">
        <f t="shared" si="228"/>
        <v>#DIV/0!</v>
      </c>
      <c r="BD225" s="29" t="str">
        <f t="shared" si="228"/>
        <v>#DIV/0!</v>
      </c>
      <c r="BE225" s="29" t="str">
        <f t="shared" si="228"/>
        <v>#DIV/0!</v>
      </c>
      <c r="BF225" s="29" t="str">
        <f t="shared" si="228"/>
        <v>#DIV/0!</v>
      </c>
      <c r="BG225" s="29" t="str">
        <f t="shared" si="228"/>
        <v>#DIV/0!</v>
      </c>
      <c r="BH225" s="29" t="str">
        <f t="shared" si="228"/>
        <v>#DIV/0!</v>
      </c>
      <c r="BI225" s="29" t="str">
        <f t="shared" si="228"/>
        <v>#DIV/0!</v>
      </c>
      <c r="BJ225" s="29" t="str">
        <f t="shared" si="228"/>
        <v>#DIV/0!</v>
      </c>
      <c r="BK225" s="29" t="str">
        <f t="shared" si="228"/>
        <v>#DIV/0!</v>
      </c>
      <c r="BL225" s="29" t="str">
        <f t="shared" si="228"/>
        <v>#DIV/0!</v>
      </c>
      <c r="BM225" s="29" t="str">
        <f t="shared" si="3"/>
        <v>#DIV/0!</v>
      </c>
    </row>
    <row r="226">
      <c r="A226" s="16" t="str">
        <f>IFERROR(__xludf.DUMMYFUNCTION("IFERROR(SPARKLINE(SORT(MAP(TRANSPOSE(AQ226:BL226), LAMBDA(val, IF(ISNUMBER(val), PERCENTRANK(AQ226:BL226, val)+0.01, 0))), SEQUENCE(COLUMNS(AQ226:BL226)), FALSE), {""charttype"",""column""; ""color"",""chartreuse""; ""ymin"", 0; ""ymax"", 1.01; ""highcolo"&amp;"r"", ""darkgreen""; ""lowcolor"", ""red""}), """")"),"")</f>
        <v/>
      </c>
      <c r="B226" s="17" t="str">
        <f t="shared" si="4"/>
        <v/>
      </c>
      <c r="C226" s="1" t="s">
        <v>1720</v>
      </c>
      <c r="D226" s="30" t="str">
        <f>IFERROR(__xludf.DUMMYFUNCTION("IFERROR(GOOGLEFINANCE(C226, ""NAME""))"),"Republic Services Inc")</f>
        <v>Republic Services Inc</v>
      </c>
      <c r="E226" s="30" t="s">
        <v>1371</v>
      </c>
      <c r="F226" s="33" t="str">
        <f>IFERROR(__xludf.DUMMYFUNCTION("( (GOOGLEFINANCE(C226, ""price"") - Q226) / Q226 ) / (R226 / 100)"),"Loading...")</f>
        <v>Loading...</v>
      </c>
      <c r="G226" s="20" t="str">
        <f>IFERROR(__xludf.DUMMYFUNCTION("AVERAGE(ARRAYFORMULA(100 * (QUERY(GOOGLEFINANCE(C226, ""high"", TODAY()-40, TODAY()), ""SELECT Col2 WHERE Col2 IS NOT NULL ORDER BY Col1 DESC LIMIT 20"", 0) / QUERY(GOOGLEFINANCE(C226, ""low"", TODAY()-40, TODAY()), ""SELECT Col2 WHERE Col2 IS NOT NULL OR"&amp;"DER BY Col1 DESC LIMIT 20"", 0) - 1)))"),"#N/A")</f>
        <v>#N/A</v>
      </c>
      <c r="H226" s="35" t="str">
        <f t="shared" si="6"/>
        <v/>
      </c>
      <c r="I226" s="35" t="str">
        <f t="shared" si="7"/>
        <v/>
      </c>
      <c r="J226" s="37" t="str">
        <f>IFERROR(__xludf.DUMMYFUNCTION("IFERROR(
  IF(C226="""",, 
    IFERROR(
      GOOGLEFINANCE(C226, ""price"") * GOOGLEFINANCE(C226, ""volumeavg""), 
      GOOGLEFINANCE(C226, ""price"") * AVERAGE(QUERY(GOOGLEFINANCE(C226, ""volume"", TODAY()-40, TODAY()), ""SELECT Col2 WHERE Col2 IS NOT "&amp;"NULL ORDER BY Col1 DESC LIMIT 20"", 0))
    )
  ), 
"""")"),"")</f>
        <v/>
      </c>
      <c r="K226" s="21" t="str">
        <f>IFERROR(__xludf.DUMMYFUNCTION("IFERROR(GOOGLEFINANCE(C226, ""changepct"") / 100, """")"),"")</f>
        <v/>
      </c>
      <c r="L226" s="21" t="str">
        <f>IFERROR(__xludf.DUMMYFUNCTION("IFERROR((GOOGLEFINANCE(C226, ""price"") / INDEX(GOOGLEFINANCE(C226, ""price"", TODAY()-7, TODAY()), 2, 2)) - 1, """")"),"")</f>
        <v/>
      </c>
      <c r="M226" s="21" t="str">
        <f>IFERROR(__xludf.DUMMYFUNCTION("IFERROR((GOOGLEFINANCE(C226, ""price"") / INDEX(GOOGLEFINANCE(C226, ""price"", EDATE(TODAY(), -1), TODAY()), 2, 2)) - 1, """")"),"")</f>
        <v/>
      </c>
      <c r="N226" s="21" t="str">
        <f>IFERROR(__xludf.DUMMYFUNCTION("IFERROR((GOOGLEFINANCE(C226, ""price"") / INDEX(GOOGLEFINANCE(C226, ""price"", EDATE(TODAY(), -3), TODAY()), 2, 2)) - 1, """")"),"")</f>
        <v/>
      </c>
      <c r="O226" s="21" t="str">
        <f>IFERROR(__xludf.DUMMYFUNCTION("IFERROR((GOOGLEFINANCE(C226, ""price"") / INDEX(GOOGLEFINANCE(C226, ""price"", EDATE(TODAY(), -6), TODAY()), 2, 2)) - 1, """")"),"")</f>
        <v/>
      </c>
      <c r="P226" s="21" t="str">
        <f>IFERROR(__xludf.DUMMYFUNCTION("IFERROR((GOOGLEFINANCE(C226, ""price"") / INDEX(GOOGLEFINANCE(C226, ""price"", EDATE(TODAY(), -12), TODAY()), 2, 2)) - 1, """")"),"")</f>
        <v/>
      </c>
      <c r="Q226" s="6" t="str">
        <f>IFERROR(__xludf.DUMMYFUNCTION("AVERAGE(QUERY(GOOGLEFINANCE(C226, ""price"", TODAY()-80, TODAY()), ""SELECT Col2 WHERE Col2 IS NOT NULL ORDER BY Col1 DESC LIMIT 50"", 0))"),"#N/A")</f>
        <v>#N/A</v>
      </c>
      <c r="R226" s="24" t="str">
        <f>IFERROR(__xludf.DUMMYFUNCTION("IFERROR(
  LET(
    data, QUERY(GOOGLEFINANCE(C226,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GOOGLEFINANCE(C226, ""price"")) * 100,
    IF(calc=0, G226, calc)
  ), 
G226)"),"#N/A")</f>
        <v>#N/A</v>
      </c>
      <c r="S226" s="8" t="s">
        <v>15</v>
      </c>
      <c r="T226" s="26" t="str">
        <f>IFERROR(__xludf.DUMMYFUNCTION("IFERROR(TRANSPOSE(QUERY(IFERROR(SORT(GOOGLEFINANCE(C226, ""price"", WORKDAY(TODAY(), -40), TODAY()), 1, FALSE)), ""select Col2 where Col2 is not null limit 22 label Col2 ''"", 0)), """")"),"")</f>
        <v/>
      </c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8"/>
      <c r="AO226" s="28"/>
      <c r="AP226" s="29"/>
      <c r="AQ226" s="29" t="str">
        <f t="shared" ref="AQ226:BL226" si="229">T226/T$2</f>
        <v>#N/A</v>
      </c>
      <c r="AR226" s="29" t="str">
        <f t="shared" si="229"/>
        <v>#DIV/0!</v>
      </c>
      <c r="AS226" s="29" t="str">
        <f t="shared" si="229"/>
        <v>#DIV/0!</v>
      </c>
      <c r="AT226" s="29" t="str">
        <f t="shared" si="229"/>
        <v>#DIV/0!</v>
      </c>
      <c r="AU226" s="29" t="str">
        <f t="shared" si="229"/>
        <v>#DIV/0!</v>
      </c>
      <c r="AV226" s="29" t="str">
        <f t="shared" si="229"/>
        <v>#DIV/0!</v>
      </c>
      <c r="AW226" s="29" t="str">
        <f t="shared" si="229"/>
        <v>#DIV/0!</v>
      </c>
      <c r="AX226" s="29" t="str">
        <f t="shared" si="229"/>
        <v>#DIV/0!</v>
      </c>
      <c r="AY226" s="29" t="str">
        <f t="shared" si="229"/>
        <v>#DIV/0!</v>
      </c>
      <c r="AZ226" s="29" t="str">
        <f t="shared" si="229"/>
        <v>#DIV/0!</v>
      </c>
      <c r="BA226" s="29" t="str">
        <f t="shared" si="229"/>
        <v>#DIV/0!</v>
      </c>
      <c r="BB226" s="29" t="str">
        <f t="shared" si="229"/>
        <v>#DIV/0!</v>
      </c>
      <c r="BC226" s="29" t="str">
        <f t="shared" si="229"/>
        <v>#DIV/0!</v>
      </c>
      <c r="BD226" s="29" t="str">
        <f t="shared" si="229"/>
        <v>#DIV/0!</v>
      </c>
      <c r="BE226" s="29" t="str">
        <f t="shared" si="229"/>
        <v>#DIV/0!</v>
      </c>
      <c r="BF226" s="29" t="str">
        <f t="shared" si="229"/>
        <v>#DIV/0!</v>
      </c>
      <c r="BG226" s="29" t="str">
        <f t="shared" si="229"/>
        <v>#DIV/0!</v>
      </c>
      <c r="BH226" s="29" t="str">
        <f t="shared" si="229"/>
        <v>#DIV/0!</v>
      </c>
      <c r="BI226" s="29" t="str">
        <f t="shared" si="229"/>
        <v>#DIV/0!</v>
      </c>
      <c r="BJ226" s="29" t="str">
        <f t="shared" si="229"/>
        <v>#DIV/0!</v>
      </c>
      <c r="BK226" s="29" t="str">
        <f t="shared" si="229"/>
        <v>#DIV/0!</v>
      </c>
      <c r="BL226" s="29" t="str">
        <f t="shared" si="229"/>
        <v>#DIV/0!</v>
      </c>
      <c r="BM226" s="29" t="str">
        <f t="shared" si="3"/>
        <v>#DIV/0!</v>
      </c>
    </row>
    <row r="227">
      <c r="A227" s="16" t="str">
        <f>IFERROR(__xludf.DUMMYFUNCTION("IFERROR(SPARKLINE(SORT(MAP(TRANSPOSE(AQ227:BL227), LAMBDA(val, IF(ISNUMBER(val), PERCENTRANK(AQ227:BL227, val)+0.01, 0))), SEQUENCE(COLUMNS(AQ227:BL227)), FALSE), {""charttype"",""column""; ""color"",""chartreuse""; ""ymin"", 0; ""ymax"", 1.01; ""highcolo"&amp;"r"", ""darkgreen""; ""lowcolor"", ""red""}), """")"),"")</f>
        <v/>
      </c>
      <c r="B227" s="17" t="str">
        <f t="shared" si="4"/>
        <v/>
      </c>
      <c r="C227" s="1" t="s">
        <v>1724</v>
      </c>
      <c r="D227" s="30" t="str">
        <f>IFERROR(__xludf.DUMMYFUNCTION("IFERROR(GOOGLEFINANCE(C227, ""NAME""))"),"Tennant Co")</f>
        <v>Tennant Co</v>
      </c>
      <c r="E227" s="30" t="s">
        <v>893</v>
      </c>
      <c r="F227" s="33" t="str">
        <f>IFERROR(__xludf.DUMMYFUNCTION("( (GOOGLEFINANCE(C227, ""price"") - Q227) / Q227 ) / (R227 / 100)"),"Loading...")</f>
        <v>Loading...</v>
      </c>
      <c r="G227" s="20" t="str">
        <f>IFERROR(__xludf.DUMMYFUNCTION("AVERAGE(ARRAYFORMULA(100 * (QUERY(GOOGLEFINANCE(C227, ""high"", TODAY()-40, TODAY()), ""SELECT Col2 WHERE Col2 IS NOT NULL ORDER BY Col1 DESC LIMIT 20"", 0) / QUERY(GOOGLEFINANCE(C227, ""low"", TODAY()-40, TODAY()), ""SELECT Col2 WHERE Col2 IS NOT NULL OR"&amp;"DER BY Col1 DESC LIMIT 20"", 0) - 1)))"),"#N/A")</f>
        <v>#N/A</v>
      </c>
      <c r="H227" s="35" t="str">
        <f t="shared" si="6"/>
        <v/>
      </c>
      <c r="I227" s="35" t="str">
        <f t="shared" si="7"/>
        <v/>
      </c>
      <c r="J227" s="37" t="str">
        <f>IFERROR(__xludf.DUMMYFUNCTION("IFERROR(
  IF(C227="""",, 
    IFERROR(
      GOOGLEFINANCE(C227, ""price"") * GOOGLEFINANCE(C227, ""volumeavg""), 
      GOOGLEFINANCE(C227, ""price"") * AVERAGE(QUERY(GOOGLEFINANCE(C227, ""volume"", TODAY()-40, TODAY()), ""SELECT Col2 WHERE Col2 IS NOT "&amp;"NULL ORDER BY Col1 DESC LIMIT 20"", 0))
    )
  ), 
"""")"),"")</f>
        <v/>
      </c>
      <c r="K227" s="21" t="str">
        <f>IFERROR(__xludf.DUMMYFUNCTION("IFERROR(GOOGLEFINANCE(C227, ""changepct"") / 100, """")"),"")</f>
        <v/>
      </c>
      <c r="L227" s="21" t="str">
        <f>IFERROR(__xludf.DUMMYFUNCTION("IFERROR((GOOGLEFINANCE(C227, ""price"") / INDEX(GOOGLEFINANCE(C227, ""price"", TODAY()-7, TODAY()), 2, 2)) - 1, """")"),"")</f>
        <v/>
      </c>
      <c r="M227" s="21" t="str">
        <f>IFERROR(__xludf.DUMMYFUNCTION("IFERROR((GOOGLEFINANCE(C227, ""price"") / INDEX(GOOGLEFINANCE(C227, ""price"", EDATE(TODAY(), -1), TODAY()), 2, 2)) - 1, """")"),"")</f>
        <v/>
      </c>
      <c r="N227" s="21" t="str">
        <f>IFERROR(__xludf.DUMMYFUNCTION("IFERROR((GOOGLEFINANCE(C227, ""price"") / INDEX(GOOGLEFINANCE(C227, ""price"", EDATE(TODAY(), -3), TODAY()), 2, 2)) - 1, """")"),"")</f>
        <v/>
      </c>
      <c r="O227" s="21" t="str">
        <f>IFERROR(__xludf.DUMMYFUNCTION("IFERROR((GOOGLEFINANCE(C227, ""price"") / INDEX(GOOGLEFINANCE(C227, ""price"", EDATE(TODAY(), -6), TODAY()), 2, 2)) - 1, """")"),"")</f>
        <v/>
      </c>
      <c r="P227" s="21" t="str">
        <f>IFERROR(__xludf.DUMMYFUNCTION("IFERROR((GOOGLEFINANCE(C227, ""price"") / INDEX(GOOGLEFINANCE(C227, ""price"", EDATE(TODAY(), -12), TODAY()), 2, 2)) - 1, """")"),"")</f>
        <v/>
      </c>
      <c r="Q227" s="6" t="str">
        <f>IFERROR(__xludf.DUMMYFUNCTION("AVERAGE(QUERY(GOOGLEFINANCE(C227, ""price"", TODAY()-80, TODAY()), ""SELECT Col2 WHERE Col2 IS NOT NULL ORDER BY Col1 DESC LIMIT 50"", 0))"),"#N/A")</f>
        <v>#N/A</v>
      </c>
      <c r="R227" s="24" t="str">
        <f>IFERROR(__xludf.DUMMYFUNCTION("IFERROR(
  LET(
    data, QUERY(GOOGLEFINANCE(C227,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GOOGLEFINANCE(C227, ""price"")) * 100,
    IF(calc=0, G227, calc)
  ), 
G227)"),"#N/A")</f>
        <v>#N/A</v>
      </c>
      <c r="S227" s="8" t="s">
        <v>15</v>
      </c>
      <c r="T227" s="26" t="str">
        <f>IFERROR(__xludf.DUMMYFUNCTION("IFERROR(TRANSPOSE(QUERY(IFERROR(SORT(GOOGLEFINANCE(C227, ""price"", WORKDAY(TODAY(), -40), TODAY()), 1, FALSE)), ""select Col2 where Col2 is not null limit 22 label Col2 ''"", 0)), """")"),"")</f>
        <v/>
      </c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8"/>
      <c r="AO227" s="28"/>
      <c r="AP227" s="29"/>
      <c r="AQ227" s="29" t="str">
        <f t="shared" ref="AQ227:BL227" si="230">T227/T$2</f>
        <v>#N/A</v>
      </c>
      <c r="AR227" s="29" t="str">
        <f t="shared" si="230"/>
        <v>#DIV/0!</v>
      </c>
      <c r="AS227" s="29" t="str">
        <f t="shared" si="230"/>
        <v>#DIV/0!</v>
      </c>
      <c r="AT227" s="29" t="str">
        <f t="shared" si="230"/>
        <v>#DIV/0!</v>
      </c>
      <c r="AU227" s="29" t="str">
        <f t="shared" si="230"/>
        <v>#DIV/0!</v>
      </c>
      <c r="AV227" s="29" t="str">
        <f t="shared" si="230"/>
        <v>#DIV/0!</v>
      </c>
      <c r="AW227" s="29" t="str">
        <f t="shared" si="230"/>
        <v>#DIV/0!</v>
      </c>
      <c r="AX227" s="29" t="str">
        <f t="shared" si="230"/>
        <v>#DIV/0!</v>
      </c>
      <c r="AY227" s="29" t="str">
        <f t="shared" si="230"/>
        <v>#DIV/0!</v>
      </c>
      <c r="AZ227" s="29" t="str">
        <f t="shared" si="230"/>
        <v>#DIV/0!</v>
      </c>
      <c r="BA227" s="29" t="str">
        <f t="shared" si="230"/>
        <v>#DIV/0!</v>
      </c>
      <c r="BB227" s="29" t="str">
        <f t="shared" si="230"/>
        <v>#DIV/0!</v>
      </c>
      <c r="BC227" s="29" t="str">
        <f t="shared" si="230"/>
        <v>#DIV/0!</v>
      </c>
      <c r="BD227" s="29" t="str">
        <f t="shared" si="230"/>
        <v>#DIV/0!</v>
      </c>
      <c r="BE227" s="29" t="str">
        <f t="shared" si="230"/>
        <v>#DIV/0!</v>
      </c>
      <c r="BF227" s="29" t="str">
        <f t="shared" si="230"/>
        <v>#DIV/0!</v>
      </c>
      <c r="BG227" s="29" t="str">
        <f t="shared" si="230"/>
        <v>#DIV/0!</v>
      </c>
      <c r="BH227" s="29" t="str">
        <f t="shared" si="230"/>
        <v>#DIV/0!</v>
      </c>
      <c r="BI227" s="29" t="str">
        <f t="shared" si="230"/>
        <v>#DIV/0!</v>
      </c>
      <c r="BJ227" s="29" t="str">
        <f t="shared" si="230"/>
        <v>#DIV/0!</v>
      </c>
      <c r="BK227" s="29" t="str">
        <f t="shared" si="230"/>
        <v>#DIV/0!</v>
      </c>
      <c r="BL227" s="29" t="str">
        <f t="shared" si="230"/>
        <v>#DIV/0!</v>
      </c>
      <c r="BM227" s="29" t="str">
        <f t="shared" si="3"/>
        <v>#DIV/0!</v>
      </c>
    </row>
    <row r="228">
      <c r="A228" s="16" t="str">
        <f>IFERROR(__xludf.DUMMYFUNCTION("IFERROR(SPARKLINE(SORT(MAP(TRANSPOSE(AQ228:BL228), LAMBDA(val, IF(ISNUMBER(val), PERCENTRANK(AQ228:BL228, val)+0.01, 0))), SEQUENCE(COLUMNS(AQ228:BL228)), FALSE), {""charttype"",""column""; ""color"",""chartreuse""; ""ymin"", 0; ""ymax"", 1.01; ""highcolo"&amp;"r"", ""darkgreen""; ""lowcolor"", ""red""}), """")"),"")</f>
        <v/>
      </c>
      <c r="B228" s="17" t="str">
        <f t="shared" si="4"/>
        <v/>
      </c>
      <c r="C228" s="1" t="s">
        <v>1729</v>
      </c>
      <c r="D228" s="30" t="str">
        <f>IFERROR(__xludf.DUMMYFUNCTION("IFERROR(GOOGLEFINANCE(C228, ""NAME""))"),"Titan Machinery Inc")</f>
        <v>Titan Machinery Inc</v>
      </c>
      <c r="E228" s="30" t="s">
        <v>829</v>
      </c>
      <c r="F228" s="33" t="str">
        <f>IFERROR(__xludf.DUMMYFUNCTION("( (GOOGLEFINANCE(C228, ""price"") - Q228) / Q228 ) / (R228 / 100)"),"Loading...")</f>
        <v>Loading...</v>
      </c>
      <c r="G228" s="20" t="str">
        <f>IFERROR(__xludf.DUMMYFUNCTION("AVERAGE(ARRAYFORMULA(100 * (QUERY(GOOGLEFINANCE(C228, ""high"", TODAY()-40, TODAY()), ""SELECT Col2 WHERE Col2 IS NOT NULL ORDER BY Col1 DESC LIMIT 20"", 0) / QUERY(GOOGLEFINANCE(C228, ""low"", TODAY()-40, TODAY()), ""SELECT Col2 WHERE Col2 IS NOT NULL OR"&amp;"DER BY Col1 DESC LIMIT 20"", 0) - 1)))"),"#N/A")</f>
        <v>#N/A</v>
      </c>
      <c r="H228" s="35" t="str">
        <f t="shared" si="6"/>
        <v/>
      </c>
      <c r="I228" s="35" t="str">
        <f t="shared" si="7"/>
        <v/>
      </c>
      <c r="J228" s="37" t="str">
        <f>IFERROR(__xludf.DUMMYFUNCTION("IFERROR(
  IF(C228="""",, 
    IFERROR(
      GOOGLEFINANCE(C228, ""price"") * GOOGLEFINANCE(C228, ""volumeavg""), 
      GOOGLEFINANCE(C228, ""price"") * AVERAGE(QUERY(GOOGLEFINANCE(C228, ""volume"", TODAY()-40, TODAY()), ""SELECT Col2 WHERE Col2 IS NOT "&amp;"NULL ORDER BY Col1 DESC LIMIT 20"", 0))
    )
  ), 
"""")"),"")</f>
        <v/>
      </c>
      <c r="K228" s="21" t="str">
        <f>IFERROR(__xludf.DUMMYFUNCTION("IFERROR(GOOGLEFINANCE(C228, ""changepct"") / 100, """")"),"")</f>
        <v/>
      </c>
      <c r="L228" s="21" t="str">
        <f>IFERROR(__xludf.DUMMYFUNCTION("IFERROR((GOOGLEFINANCE(C228, ""price"") / INDEX(GOOGLEFINANCE(C228, ""price"", TODAY()-7, TODAY()), 2, 2)) - 1, """")"),"")</f>
        <v/>
      </c>
      <c r="M228" s="21" t="str">
        <f>IFERROR(__xludf.DUMMYFUNCTION("IFERROR((GOOGLEFINANCE(C228, ""price"") / INDEX(GOOGLEFINANCE(C228, ""price"", EDATE(TODAY(), -1), TODAY()), 2, 2)) - 1, """")"),"")</f>
        <v/>
      </c>
      <c r="N228" s="21" t="str">
        <f>IFERROR(__xludf.DUMMYFUNCTION("IFERROR((GOOGLEFINANCE(C228, ""price"") / INDEX(GOOGLEFINANCE(C228, ""price"", EDATE(TODAY(), -3), TODAY()), 2, 2)) - 1, """")"),"")</f>
        <v/>
      </c>
      <c r="O228" s="21" t="str">
        <f>IFERROR(__xludf.DUMMYFUNCTION("IFERROR((GOOGLEFINANCE(C228, ""price"") / INDEX(GOOGLEFINANCE(C228, ""price"", EDATE(TODAY(), -6), TODAY()), 2, 2)) - 1, """")"),"")</f>
        <v/>
      </c>
      <c r="P228" s="21" t="str">
        <f>IFERROR(__xludf.DUMMYFUNCTION("IFERROR((GOOGLEFINANCE(C228, ""price"") / INDEX(GOOGLEFINANCE(C228, ""price"", EDATE(TODAY(), -12), TODAY()), 2, 2)) - 1, """")"),"")</f>
        <v/>
      </c>
      <c r="Q228" s="6" t="str">
        <f>IFERROR(__xludf.DUMMYFUNCTION("AVERAGE(QUERY(GOOGLEFINANCE(C228, ""price"", TODAY()-80, TODAY()), ""SELECT Col2 WHERE Col2 IS NOT NULL ORDER BY Col1 DESC LIMIT 50"", 0))"),"#N/A")</f>
        <v>#N/A</v>
      </c>
      <c r="R228" s="24" t="str">
        <f>IFERROR(__xludf.DUMMYFUNCTION("IFERROR(
  LET(
    data, QUERY(GOOGLEFINANCE(C228,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GOOGLEFINANCE(C228, ""price"")) * 100,
    IF(calc=0, G228, calc)
  ), 
G228)"),"#N/A")</f>
        <v>#N/A</v>
      </c>
      <c r="S228" s="8" t="s">
        <v>15</v>
      </c>
      <c r="T228" s="26" t="str">
        <f>IFERROR(__xludf.DUMMYFUNCTION("IFERROR(TRANSPOSE(QUERY(IFERROR(SORT(GOOGLEFINANCE(C228, ""price"", WORKDAY(TODAY(), -40), TODAY()), 1, FALSE)), ""select Col2 where Col2 is not null limit 22 label Col2 ''"", 0)), """")"),"")</f>
        <v/>
      </c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8"/>
      <c r="AO228" s="28"/>
      <c r="AP228" s="29"/>
      <c r="AQ228" s="29" t="str">
        <f t="shared" ref="AQ228:BL228" si="231">T228/T$2</f>
        <v>#N/A</v>
      </c>
      <c r="AR228" s="29" t="str">
        <f t="shared" si="231"/>
        <v>#DIV/0!</v>
      </c>
      <c r="AS228" s="29" t="str">
        <f t="shared" si="231"/>
        <v>#DIV/0!</v>
      </c>
      <c r="AT228" s="29" t="str">
        <f t="shared" si="231"/>
        <v>#DIV/0!</v>
      </c>
      <c r="AU228" s="29" t="str">
        <f t="shared" si="231"/>
        <v>#DIV/0!</v>
      </c>
      <c r="AV228" s="29" t="str">
        <f t="shared" si="231"/>
        <v>#DIV/0!</v>
      </c>
      <c r="AW228" s="29" t="str">
        <f t="shared" si="231"/>
        <v>#DIV/0!</v>
      </c>
      <c r="AX228" s="29" t="str">
        <f t="shared" si="231"/>
        <v>#DIV/0!</v>
      </c>
      <c r="AY228" s="29" t="str">
        <f t="shared" si="231"/>
        <v>#DIV/0!</v>
      </c>
      <c r="AZ228" s="29" t="str">
        <f t="shared" si="231"/>
        <v>#DIV/0!</v>
      </c>
      <c r="BA228" s="29" t="str">
        <f t="shared" si="231"/>
        <v>#DIV/0!</v>
      </c>
      <c r="BB228" s="29" t="str">
        <f t="shared" si="231"/>
        <v>#DIV/0!</v>
      </c>
      <c r="BC228" s="29" t="str">
        <f t="shared" si="231"/>
        <v>#DIV/0!</v>
      </c>
      <c r="BD228" s="29" t="str">
        <f t="shared" si="231"/>
        <v>#DIV/0!</v>
      </c>
      <c r="BE228" s="29" t="str">
        <f t="shared" si="231"/>
        <v>#DIV/0!</v>
      </c>
      <c r="BF228" s="29" t="str">
        <f t="shared" si="231"/>
        <v>#DIV/0!</v>
      </c>
      <c r="BG228" s="29" t="str">
        <f t="shared" si="231"/>
        <v>#DIV/0!</v>
      </c>
      <c r="BH228" s="29" t="str">
        <f t="shared" si="231"/>
        <v>#DIV/0!</v>
      </c>
      <c r="BI228" s="29" t="str">
        <f t="shared" si="231"/>
        <v>#DIV/0!</v>
      </c>
      <c r="BJ228" s="29" t="str">
        <f t="shared" si="231"/>
        <v>#DIV/0!</v>
      </c>
      <c r="BK228" s="29" t="str">
        <f t="shared" si="231"/>
        <v>#DIV/0!</v>
      </c>
      <c r="BL228" s="29" t="str">
        <f t="shared" si="231"/>
        <v>#DIV/0!</v>
      </c>
      <c r="BM228" s="29" t="str">
        <f t="shared" si="3"/>
        <v>#DIV/0!</v>
      </c>
    </row>
    <row r="229">
      <c r="A229" s="16" t="str">
        <f>IFERROR(__xludf.DUMMYFUNCTION("IFERROR(SPARKLINE(SORT(MAP(TRANSPOSE(AQ229:BL229), LAMBDA(val, IF(ISNUMBER(val), PERCENTRANK(AQ229:BL229, val)+0.01, 0))), SEQUENCE(COLUMNS(AQ229:BL229)), FALSE), {""charttype"",""column""; ""color"",""chartreuse""; ""ymin"", 0; ""ymax"", 1.01; ""highcolo"&amp;"r"", ""darkgreen""; ""lowcolor"", ""red""}), """")"),"")</f>
        <v/>
      </c>
      <c r="B229" s="17" t="str">
        <f t="shared" si="4"/>
        <v/>
      </c>
      <c r="C229" s="1" t="s">
        <v>1733</v>
      </c>
      <c r="D229" s="30" t="str">
        <f>IFERROR(__xludf.DUMMYFUNCTION("IFERROR(GOOGLEFINANCE(C229, ""NAME""))"),"Flyexclusive Inc")</f>
        <v>Flyexclusive Inc</v>
      </c>
      <c r="E229" s="30" t="s">
        <v>1134</v>
      </c>
      <c r="F229" s="33" t="str">
        <f>IFERROR(__xludf.DUMMYFUNCTION("( (GOOGLEFINANCE(C229, ""price"") - Q229) / Q229 ) / (R229 / 100)"),"Loading...")</f>
        <v>Loading...</v>
      </c>
      <c r="G229" s="20" t="str">
        <f>IFERROR(__xludf.DUMMYFUNCTION("AVERAGE(ARRAYFORMULA(100 * (QUERY(GOOGLEFINANCE(C229, ""high"", TODAY()-40, TODAY()), ""SELECT Col2 WHERE Col2 IS NOT NULL ORDER BY Col1 DESC LIMIT 20"", 0) / QUERY(GOOGLEFINANCE(C229, ""low"", TODAY()-40, TODAY()), ""SELECT Col2 WHERE Col2 IS NOT NULL OR"&amp;"DER BY Col1 DESC LIMIT 20"", 0) - 1)))"),"#N/A")</f>
        <v>#N/A</v>
      </c>
      <c r="H229" s="35" t="str">
        <f t="shared" si="6"/>
        <v/>
      </c>
      <c r="I229" s="35" t="str">
        <f t="shared" si="7"/>
        <v/>
      </c>
      <c r="J229" s="37" t="str">
        <f>IFERROR(__xludf.DUMMYFUNCTION("IFERROR(
  IF(C229="""",, 
    IFERROR(
      GOOGLEFINANCE(C229, ""price"") * GOOGLEFINANCE(C229, ""volumeavg""), 
      GOOGLEFINANCE(C229, ""price"") * AVERAGE(QUERY(GOOGLEFINANCE(C229, ""volume"", TODAY()-40, TODAY()), ""SELECT Col2 WHERE Col2 IS NOT "&amp;"NULL ORDER BY Col1 DESC LIMIT 20"", 0))
    )
  ), 
"""")"),"")</f>
        <v/>
      </c>
      <c r="K229" s="21" t="str">
        <f>IFERROR(__xludf.DUMMYFUNCTION("IFERROR(GOOGLEFINANCE(C229, ""changepct"") / 100, """")"),"")</f>
        <v/>
      </c>
      <c r="L229" s="21" t="str">
        <f>IFERROR(__xludf.DUMMYFUNCTION("IFERROR((GOOGLEFINANCE(C229, ""price"") / INDEX(GOOGLEFINANCE(C229, ""price"", TODAY()-7, TODAY()), 2, 2)) - 1, """")"),"")</f>
        <v/>
      </c>
      <c r="M229" s="21" t="str">
        <f>IFERROR(__xludf.DUMMYFUNCTION("IFERROR((GOOGLEFINANCE(C229, ""price"") / INDEX(GOOGLEFINANCE(C229, ""price"", EDATE(TODAY(), -1), TODAY()), 2, 2)) - 1, """")"),"")</f>
        <v/>
      </c>
      <c r="N229" s="21" t="str">
        <f>IFERROR(__xludf.DUMMYFUNCTION("IFERROR((GOOGLEFINANCE(C229, ""price"") / INDEX(GOOGLEFINANCE(C229, ""price"", EDATE(TODAY(), -3), TODAY()), 2, 2)) - 1, """")"),"")</f>
        <v/>
      </c>
      <c r="O229" s="21" t="str">
        <f>IFERROR(__xludf.DUMMYFUNCTION("IFERROR((GOOGLEFINANCE(C229, ""price"") / INDEX(GOOGLEFINANCE(C229, ""price"", EDATE(TODAY(), -6), TODAY()), 2, 2)) - 1, """")"),"")</f>
        <v/>
      </c>
      <c r="P229" s="21" t="str">
        <f>IFERROR(__xludf.DUMMYFUNCTION("IFERROR((GOOGLEFINANCE(C229, ""price"") / INDEX(GOOGLEFINANCE(C229, ""price"", EDATE(TODAY(), -12), TODAY()), 2, 2)) - 1, """")"),"")</f>
        <v/>
      </c>
      <c r="Q229" s="6" t="str">
        <f>IFERROR(__xludf.DUMMYFUNCTION("AVERAGE(QUERY(GOOGLEFINANCE(C229, ""price"", TODAY()-80, TODAY()), ""SELECT Col2 WHERE Col2 IS NOT NULL ORDER BY Col1 DESC LIMIT 50"", 0))"),"#N/A")</f>
        <v>#N/A</v>
      </c>
      <c r="R229" s="24" t="str">
        <f>IFERROR(__xludf.DUMMYFUNCTION("IFERROR(
  LET(
    data, QUERY(GOOGLEFINANCE(C229,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GOOGLEFINANCE(C229, ""price"")) * 100,
    IF(calc=0, G229, calc)
  ), 
G229)"),"#N/A")</f>
        <v>#N/A</v>
      </c>
      <c r="S229" s="8" t="s">
        <v>15</v>
      </c>
      <c r="T229" s="26" t="str">
        <f>IFERROR(__xludf.DUMMYFUNCTION("IFERROR(TRANSPOSE(QUERY(IFERROR(SORT(GOOGLEFINANCE(C229, ""price"", WORKDAY(TODAY(), -40), TODAY()), 1, FALSE)), ""select Col2 where Col2 is not null limit 22 label Col2 ''"", 0)), """")"),"")</f>
        <v/>
      </c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8"/>
      <c r="AO229" s="28"/>
      <c r="AP229" s="29"/>
      <c r="AQ229" s="29" t="str">
        <f t="shared" ref="AQ229:BL229" si="232">T229/T$2</f>
        <v>#N/A</v>
      </c>
      <c r="AR229" s="29" t="str">
        <f t="shared" si="232"/>
        <v>#DIV/0!</v>
      </c>
      <c r="AS229" s="29" t="str">
        <f t="shared" si="232"/>
        <v>#DIV/0!</v>
      </c>
      <c r="AT229" s="29" t="str">
        <f t="shared" si="232"/>
        <v>#DIV/0!</v>
      </c>
      <c r="AU229" s="29" t="str">
        <f t="shared" si="232"/>
        <v>#DIV/0!</v>
      </c>
      <c r="AV229" s="29" t="str">
        <f t="shared" si="232"/>
        <v>#DIV/0!</v>
      </c>
      <c r="AW229" s="29" t="str">
        <f t="shared" si="232"/>
        <v>#DIV/0!</v>
      </c>
      <c r="AX229" s="29" t="str">
        <f t="shared" si="232"/>
        <v>#DIV/0!</v>
      </c>
      <c r="AY229" s="29" t="str">
        <f t="shared" si="232"/>
        <v>#DIV/0!</v>
      </c>
      <c r="AZ229" s="29" t="str">
        <f t="shared" si="232"/>
        <v>#DIV/0!</v>
      </c>
      <c r="BA229" s="29" t="str">
        <f t="shared" si="232"/>
        <v>#DIV/0!</v>
      </c>
      <c r="BB229" s="29" t="str">
        <f t="shared" si="232"/>
        <v>#DIV/0!</v>
      </c>
      <c r="BC229" s="29" t="str">
        <f t="shared" si="232"/>
        <v>#DIV/0!</v>
      </c>
      <c r="BD229" s="29" t="str">
        <f t="shared" si="232"/>
        <v>#DIV/0!</v>
      </c>
      <c r="BE229" s="29" t="str">
        <f t="shared" si="232"/>
        <v>#DIV/0!</v>
      </c>
      <c r="BF229" s="29" t="str">
        <f t="shared" si="232"/>
        <v>#DIV/0!</v>
      </c>
      <c r="BG229" s="29" t="str">
        <f t="shared" si="232"/>
        <v>#DIV/0!</v>
      </c>
      <c r="BH229" s="29" t="str">
        <f t="shared" si="232"/>
        <v>#DIV/0!</v>
      </c>
      <c r="BI229" s="29" t="str">
        <f t="shared" si="232"/>
        <v>#DIV/0!</v>
      </c>
      <c r="BJ229" s="29" t="str">
        <f t="shared" si="232"/>
        <v>#DIV/0!</v>
      </c>
      <c r="BK229" s="29" t="str">
        <f t="shared" si="232"/>
        <v>#DIV/0!</v>
      </c>
      <c r="BL229" s="29" t="str">
        <f t="shared" si="232"/>
        <v>#DIV/0!</v>
      </c>
      <c r="BM229" s="29" t="str">
        <f t="shared" si="3"/>
        <v>#DIV/0!</v>
      </c>
    </row>
    <row r="230">
      <c r="A230" s="16" t="str">
        <f>IFERROR(__xludf.DUMMYFUNCTION("IFERROR(SPARKLINE(SORT(MAP(TRANSPOSE(AQ230:BL230), LAMBDA(val, IF(ISNUMBER(val), PERCENTRANK(AQ230:BL230, val)+0.01, 0))), SEQUENCE(COLUMNS(AQ230:BL230)), FALSE), {""charttype"",""column""; ""color"",""chartreuse""; ""ymin"", 0; ""ymax"", 1.01; ""highcolo"&amp;"r"", ""darkgreen""; ""lowcolor"", ""red""}), """")"),"")</f>
        <v/>
      </c>
      <c r="B230" s="17" t="str">
        <f t="shared" si="4"/>
        <v/>
      </c>
      <c r="C230" s="1" t="s">
        <v>1737</v>
      </c>
      <c r="D230" s="30" t="str">
        <f>IFERROR(__xludf.DUMMYFUNCTION("IFERROR(GOOGLEFINANCE(C230, ""NAME""))"),"The Greenbrier Companies, Inc.")</f>
        <v>The Greenbrier Companies, Inc.</v>
      </c>
      <c r="E230" s="30" t="s">
        <v>962</v>
      </c>
      <c r="F230" s="33" t="str">
        <f>IFERROR(__xludf.DUMMYFUNCTION("( (GOOGLEFINANCE(C230, ""price"") - Q230) / Q230 ) / (R230 / 100)"),"Loading...")</f>
        <v>Loading...</v>
      </c>
      <c r="G230" s="20" t="str">
        <f>IFERROR(__xludf.DUMMYFUNCTION("AVERAGE(ARRAYFORMULA(100 * (QUERY(GOOGLEFINANCE(C230, ""high"", TODAY()-40, TODAY()), ""SELECT Col2 WHERE Col2 IS NOT NULL ORDER BY Col1 DESC LIMIT 20"", 0) / QUERY(GOOGLEFINANCE(C230, ""low"", TODAY()-40, TODAY()), ""SELECT Col2 WHERE Col2 IS NOT NULL OR"&amp;"DER BY Col1 DESC LIMIT 20"", 0) - 1)))"),"#N/A")</f>
        <v>#N/A</v>
      </c>
      <c r="H230" s="35" t="str">
        <f t="shared" si="6"/>
        <v/>
      </c>
      <c r="I230" s="35" t="str">
        <f t="shared" si="7"/>
        <v/>
      </c>
      <c r="J230" s="37" t="str">
        <f>IFERROR(__xludf.DUMMYFUNCTION("IFERROR(
  IF(C230="""",, 
    IFERROR(
      GOOGLEFINANCE(C230, ""price"") * GOOGLEFINANCE(C230, ""volumeavg""), 
      GOOGLEFINANCE(C230, ""price"") * AVERAGE(QUERY(GOOGLEFINANCE(C230, ""volume"", TODAY()-40, TODAY()), ""SELECT Col2 WHERE Col2 IS NOT "&amp;"NULL ORDER BY Col1 DESC LIMIT 20"", 0))
    )
  ), 
"""")"),"")</f>
        <v/>
      </c>
      <c r="K230" s="21" t="str">
        <f>IFERROR(__xludf.DUMMYFUNCTION("IFERROR(GOOGLEFINANCE(C230, ""changepct"") / 100, """")"),"")</f>
        <v/>
      </c>
      <c r="L230" s="21" t="str">
        <f>IFERROR(__xludf.DUMMYFUNCTION("IFERROR((GOOGLEFINANCE(C230, ""price"") / INDEX(GOOGLEFINANCE(C230, ""price"", TODAY()-7, TODAY()), 2, 2)) - 1, """")"),"")</f>
        <v/>
      </c>
      <c r="M230" s="21" t="str">
        <f>IFERROR(__xludf.DUMMYFUNCTION("IFERROR((GOOGLEFINANCE(C230, ""price"") / INDEX(GOOGLEFINANCE(C230, ""price"", EDATE(TODAY(), -1), TODAY()), 2, 2)) - 1, """")"),"")</f>
        <v/>
      </c>
      <c r="N230" s="21" t="str">
        <f>IFERROR(__xludf.DUMMYFUNCTION("IFERROR((GOOGLEFINANCE(C230, ""price"") / INDEX(GOOGLEFINANCE(C230, ""price"", EDATE(TODAY(), -3), TODAY()), 2, 2)) - 1, """")"),"")</f>
        <v/>
      </c>
      <c r="O230" s="21" t="str">
        <f>IFERROR(__xludf.DUMMYFUNCTION("IFERROR((GOOGLEFINANCE(C230, ""price"") / INDEX(GOOGLEFINANCE(C230, ""price"", EDATE(TODAY(), -6), TODAY()), 2, 2)) - 1, """")"),"")</f>
        <v/>
      </c>
      <c r="P230" s="21" t="str">
        <f>IFERROR(__xludf.DUMMYFUNCTION("IFERROR((GOOGLEFINANCE(C230, ""price"") / INDEX(GOOGLEFINANCE(C230, ""price"", EDATE(TODAY(), -12), TODAY()), 2, 2)) - 1, """")"),"")</f>
        <v/>
      </c>
      <c r="Q230" s="6" t="str">
        <f>IFERROR(__xludf.DUMMYFUNCTION("AVERAGE(QUERY(GOOGLEFINANCE(C230, ""price"", TODAY()-80, TODAY()), ""SELECT Col2 WHERE Col2 IS NOT NULL ORDER BY Col1 DESC LIMIT 50"", 0))"),"#N/A")</f>
        <v>#N/A</v>
      </c>
      <c r="R230" s="24" t="str">
        <f>IFERROR(__xludf.DUMMYFUNCTION("IFERROR(
  LET(
    data, QUERY(GOOGLEFINANCE(C230,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GOOGLEFINANCE(C230, ""price"")) * 100,
    IF(calc=0, G230, calc)
  ), 
G230)"),"#N/A")</f>
        <v>#N/A</v>
      </c>
      <c r="S230" s="8" t="s">
        <v>15</v>
      </c>
      <c r="T230" s="26" t="str">
        <f>IFERROR(__xludf.DUMMYFUNCTION("IFERROR(TRANSPOSE(QUERY(IFERROR(SORT(GOOGLEFINANCE(C230, ""price"", WORKDAY(TODAY(), -40), TODAY()), 1, FALSE)), ""select Col2 where Col2 is not null limit 22 label Col2 ''"", 0)), """")"),"")</f>
        <v/>
      </c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8"/>
      <c r="AO230" s="28"/>
      <c r="AP230" s="29"/>
      <c r="AQ230" s="29" t="str">
        <f t="shared" ref="AQ230:BL230" si="233">T230/T$2</f>
        <v>#N/A</v>
      </c>
      <c r="AR230" s="29" t="str">
        <f t="shared" si="233"/>
        <v>#DIV/0!</v>
      </c>
      <c r="AS230" s="29" t="str">
        <f t="shared" si="233"/>
        <v>#DIV/0!</v>
      </c>
      <c r="AT230" s="29" t="str">
        <f t="shared" si="233"/>
        <v>#DIV/0!</v>
      </c>
      <c r="AU230" s="29" t="str">
        <f t="shared" si="233"/>
        <v>#DIV/0!</v>
      </c>
      <c r="AV230" s="29" t="str">
        <f t="shared" si="233"/>
        <v>#DIV/0!</v>
      </c>
      <c r="AW230" s="29" t="str">
        <f t="shared" si="233"/>
        <v>#DIV/0!</v>
      </c>
      <c r="AX230" s="29" t="str">
        <f t="shared" si="233"/>
        <v>#DIV/0!</v>
      </c>
      <c r="AY230" s="29" t="str">
        <f t="shared" si="233"/>
        <v>#DIV/0!</v>
      </c>
      <c r="AZ230" s="29" t="str">
        <f t="shared" si="233"/>
        <v>#DIV/0!</v>
      </c>
      <c r="BA230" s="29" t="str">
        <f t="shared" si="233"/>
        <v>#DIV/0!</v>
      </c>
      <c r="BB230" s="29" t="str">
        <f t="shared" si="233"/>
        <v>#DIV/0!</v>
      </c>
      <c r="BC230" s="29" t="str">
        <f t="shared" si="233"/>
        <v>#DIV/0!</v>
      </c>
      <c r="BD230" s="29" t="str">
        <f t="shared" si="233"/>
        <v>#DIV/0!</v>
      </c>
      <c r="BE230" s="29" t="str">
        <f t="shared" si="233"/>
        <v>#DIV/0!</v>
      </c>
      <c r="BF230" s="29" t="str">
        <f t="shared" si="233"/>
        <v>#DIV/0!</v>
      </c>
      <c r="BG230" s="29" t="str">
        <f t="shared" si="233"/>
        <v>#DIV/0!</v>
      </c>
      <c r="BH230" s="29" t="str">
        <f t="shared" si="233"/>
        <v>#DIV/0!</v>
      </c>
      <c r="BI230" s="29" t="str">
        <f t="shared" si="233"/>
        <v>#DIV/0!</v>
      </c>
      <c r="BJ230" s="29" t="str">
        <f t="shared" si="233"/>
        <v>#DIV/0!</v>
      </c>
      <c r="BK230" s="29" t="str">
        <f t="shared" si="233"/>
        <v>#DIV/0!</v>
      </c>
      <c r="BL230" s="29" t="str">
        <f t="shared" si="233"/>
        <v>#DIV/0!</v>
      </c>
      <c r="BM230" s="29" t="str">
        <f t="shared" si="3"/>
        <v>#DIV/0!</v>
      </c>
    </row>
    <row r="231">
      <c r="A231" s="16" t="str">
        <f>IFERROR(__xludf.DUMMYFUNCTION("IFERROR(SPARKLINE(SORT(MAP(TRANSPOSE(AQ231:BL231), LAMBDA(val, IF(ISNUMBER(val), PERCENTRANK(AQ231:BL231, val)+0.01, 0))), SEQUENCE(COLUMNS(AQ231:BL231)), FALSE), {""charttype"",""column""; ""color"",""chartreuse""; ""ymin"", 0; ""ymax"", 1.01; ""highcolo"&amp;"r"", ""darkgreen""; ""lowcolor"", ""red""}), """")"),"")</f>
        <v/>
      </c>
      <c r="B231" s="17" t="str">
        <f t="shared" si="4"/>
        <v/>
      </c>
      <c r="C231" s="1" t="s">
        <v>1740</v>
      </c>
      <c r="D231" s="30" t="str">
        <f>IFERROR(__xludf.DUMMYFUNCTION("IFERROR(GOOGLEFINANCE(C231, ""NAME""))"),"Louisiana-Pacific Corp")</f>
        <v>Louisiana-Pacific Corp</v>
      </c>
      <c r="E231" s="30" t="s">
        <v>968</v>
      </c>
      <c r="F231" s="33" t="str">
        <f>IFERROR(__xludf.DUMMYFUNCTION("( (GOOGLEFINANCE(C231, ""price"") - Q231) / Q231 ) / (R231 / 100)"),"Loading...")</f>
        <v>Loading...</v>
      </c>
      <c r="G231" s="20" t="str">
        <f>IFERROR(__xludf.DUMMYFUNCTION("AVERAGE(ARRAYFORMULA(100 * (QUERY(GOOGLEFINANCE(C231, ""high"", TODAY()-40, TODAY()), ""SELECT Col2 WHERE Col2 IS NOT NULL ORDER BY Col1 DESC LIMIT 20"", 0) / QUERY(GOOGLEFINANCE(C231, ""low"", TODAY()-40, TODAY()), ""SELECT Col2 WHERE Col2 IS NOT NULL OR"&amp;"DER BY Col1 DESC LIMIT 20"", 0) - 1)))"),"#N/A")</f>
        <v>#N/A</v>
      </c>
      <c r="H231" s="35" t="str">
        <f t="shared" si="6"/>
        <v/>
      </c>
      <c r="I231" s="35" t="str">
        <f t="shared" si="7"/>
        <v/>
      </c>
      <c r="J231" s="37" t="str">
        <f>IFERROR(__xludf.DUMMYFUNCTION("IFERROR(
  IF(C231="""",, 
    IFERROR(
      GOOGLEFINANCE(C231, ""price"") * GOOGLEFINANCE(C231, ""volumeavg""), 
      GOOGLEFINANCE(C231, ""price"") * AVERAGE(QUERY(GOOGLEFINANCE(C231, ""volume"", TODAY()-40, TODAY()), ""SELECT Col2 WHERE Col2 IS NOT "&amp;"NULL ORDER BY Col1 DESC LIMIT 20"", 0))
    )
  ), 
"""")"),"")</f>
        <v/>
      </c>
      <c r="K231" s="21" t="str">
        <f>IFERROR(__xludf.DUMMYFUNCTION("IFERROR(GOOGLEFINANCE(C231, ""changepct"") / 100, """")"),"")</f>
        <v/>
      </c>
      <c r="L231" s="21" t="str">
        <f>IFERROR(__xludf.DUMMYFUNCTION("IFERROR((GOOGLEFINANCE(C231, ""price"") / INDEX(GOOGLEFINANCE(C231, ""price"", TODAY()-7, TODAY()), 2, 2)) - 1, """")"),"")</f>
        <v/>
      </c>
      <c r="M231" s="21" t="str">
        <f>IFERROR(__xludf.DUMMYFUNCTION("IFERROR((GOOGLEFINANCE(C231, ""price"") / INDEX(GOOGLEFINANCE(C231, ""price"", EDATE(TODAY(), -1), TODAY()), 2, 2)) - 1, """")"),"")</f>
        <v/>
      </c>
      <c r="N231" s="21" t="str">
        <f>IFERROR(__xludf.DUMMYFUNCTION("IFERROR((GOOGLEFINANCE(C231, ""price"") / INDEX(GOOGLEFINANCE(C231, ""price"", EDATE(TODAY(), -3), TODAY()), 2, 2)) - 1, """")"),"")</f>
        <v/>
      </c>
      <c r="O231" s="21" t="str">
        <f>IFERROR(__xludf.DUMMYFUNCTION("IFERROR((GOOGLEFINANCE(C231, ""price"") / INDEX(GOOGLEFINANCE(C231, ""price"", EDATE(TODAY(), -6), TODAY()), 2, 2)) - 1, """")"),"")</f>
        <v/>
      </c>
      <c r="P231" s="21" t="str">
        <f>IFERROR(__xludf.DUMMYFUNCTION("IFERROR((GOOGLEFINANCE(C231, ""price"") / INDEX(GOOGLEFINANCE(C231, ""price"", EDATE(TODAY(), -12), TODAY()), 2, 2)) - 1, """")"),"")</f>
        <v/>
      </c>
      <c r="Q231" s="6" t="str">
        <f>IFERROR(__xludf.DUMMYFUNCTION("AVERAGE(QUERY(GOOGLEFINANCE(C231, ""price"", TODAY()-80, TODAY()), ""SELECT Col2 WHERE Col2 IS NOT NULL ORDER BY Col1 DESC LIMIT 50"", 0))"),"#N/A")</f>
        <v>#N/A</v>
      </c>
      <c r="R231" s="24" t="str">
        <f>IFERROR(__xludf.DUMMYFUNCTION("IFERROR(
  LET(
    data, QUERY(GOOGLEFINANCE(C231,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GOOGLEFINANCE(C231, ""price"")) * 100,
    IF(calc=0, G231, calc)
  ), 
G231)"),"#N/A")</f>
        <v>#N/A</v>
      </c>
      <c r="S231" s="8" t="s">
        <v>15</v>
      </c>
      <c r="T231" s="26" t="str">
        <f>IFERROR(__xludf.DUMMYFUNCTION("IFERROR(TRANSPOSE(QUERY(IFERROR(SORT(GOOGLEFINANCE(C231, ""price"", WORKDAY(TODAY(), -40), TODAY()), 1, FALSE)), ""select Col2 where Col2 is not null limit 22 label Col2 ''"", 0)), """")"),"")</f>
        <v/>
      </c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8"/>
      <c r="AO231" s="28"/>
      <c r="AP231" s="29"/>
      <c r="AQ231" s="29" t="str">
        <f t="shared" ref="AQ231:BL231" si="234">T231/T$2</f>
        <v>#N/A</v>
      </c>
      <c r="AR231" s="29" t="str">
        <f t="shared" si="234"/>
        <v>#DIV/0!</v>
      </c>
      <c r="AS231" s="29" t="str">
        <f t="shared" si="234"/>
        <v>#DIV/0!</v>
      </c>
      <c r="AT231" s="29" t="str">
        <f t="shared" si="234"/>
        <v>#DIV/0!</v>
      </c>
      <c r="AU231" s="29" t="str">
        <f t="shared" si="234"/>
        <v>#DIV/0!</v>
      </c>
      <c r="AV231" s="29" t="str">
        <f t="shared" si="234"/>
        <v>#DIV/0!</v>
      </c>
      <c r="AW231" s="29" t="str">
        <f t="shared" si="234"/>
        <v>#DIV/0!</v>
      </c>
      <c r="AX231" s="29" t="str">
        <f t="shared" si="234"/>
        <v>#DIV/0!</v>
      </c>
      <c r="AY231" s="29" t="str">
        <f t="shared" si="234"/>
        <v>#DIV/0!</v>
      </c>
      <c r="AZ231" s="29" t="str">
        <f t="shared" si="234"/>
        <v>#DIV/0!</v>
      </c>
      <c r="BA231" s="29" t="str">
        <f t="shared" si="234"/>
        <v>#DIV/0!</v>
      </c>
      <c r="BB231" s="29" t="str">
        <f t="shared" si="234"/>
        <v>#DIV/0!</v>
      </c>
      <c r="BC231" s="29" t="str">
        <f t="shared" si="234"/>
        <v>#DIV/0!</v>
      </c>
      <c r="BD231" s="29" t="str">
        <f t="shared" si="234"/>
        <v>#DIV/0!</v>
      </c>
      <c r="BE231" s="29" t="str">
        <f t="shared" si="234"/>
        <v>#DIV/0!</v>
      </c>
      <c r="BF231" s="29" t="str">
        <f t="shared" si="234"/>
        <v>#DIV/0!</v>
      </c>
      <c r="BG231" s="29" t="str">
        <f t="shared" si="234"/>
        <v>#DIV/0!</v>
      </c>
      <c r="BH231" s="29" t="str">
        <f t="shared" si="234"/>
        <v>#DIV/0!</v>
      </c>
      <c r="BI231" s="29" t="str">
        <f t="shared" si="234"/>
        <v>#DIV/0!</v>
      </c>
      <c r="BJ231" s="29" t="str">
        <f t="shared" si="234"/>
        <v>#DIV/0!</v>
      </c>
      <c r="BK231" s="29" t="str">
        <f t="shared" si="234"/>
        <v>#DIV/0!</v>
      </c>
      <c r="BL231" s="29" t="str">
        <f t="shared" si="234"/>
        <v>#DIV/0!</v>
      </c>
      <c r="BM231" s="29" t="str">
        <f t="shared" si="3"/>
        <v>#DIV/0!</v>
      </c>
    </row>
    <row r="232">
      <c r="A232" s="16" t="str">
        <f>IFERROR(__xludf.DUMMYFUNCTION("IFERROR(SPARKLINE(SORT(MAP(TRANSPOSE(AQ232:BL232), LAMBDA(val, IF(ISNUMBER(val), PERCENTRANK(AQ232:BL232, val)+0.01, 0))), SEQUENCE(COLUMNS(AQ232:BL232)), FALSE), {""charttype"",""column""; ""color"",""chartreuse""; ""ymin"", 0; ""ymax"", 1.01; ""highcolo"&amp;"r"", ""darkgreen""; ""lowcolor"", ""red""}), """")"),"")</f>
        <v/>
      </c>
      <c r="B232" s="17" t="str">
        <f t="shared" si="4"/>
        <v/>
      </c>
      <c r="C232" s="1" t="s">
        <v>1743</v>
      </c>
      <c r="D232" s="30" t="str">
        <f>IFERROR(__xludf.DUMMYFUNCTION("IFERROR(GOOGLEFINANCE(C232, ""NAME""))"),"Corporacion America Airports SA")</f>
        <v>Corporacion America Airports SA</v>
      </c>
      <c r="E232" s="30" t="s">
        <v>1001</v>
      </c>
      <c r="F232" s="33" t="str">
        <f>IFERROR(__xludf.DUMMYFUNCTION("( (GOOGLEFINANCE(C232, ""price"") - Q232) / Q232 ) / (R232 / 100)"),"Loading...")</f>
        <v>Loading...</v>
      </c>
      <c r="G232" s="20" t="str">
        <f>IFERROR(__xludf.DUMMYFUNCTION("AVERAGE(ARRAYFORMULA(100 * (QUERY(GOOGLEFINANCE(C232, ""high"", TODAY()-40, TODAY()), ""SELECT Col2 WHERE Col2 IS NOT NULL ORDER BY Col1 DESC LIMIT 20"", 0) / QUERY(GOOGLEFINANCE(C232, ""low"", TODAY()-40, TODAY()), ""SELECT Col2 WHERE Col2 IS NOT NULL OR"&amp;"DER BY Col1 DESC LIMIT 20"", 0) - 1)))"),"#N/A")</f>
        <v>#N/A</v>
      </c>
      <c r="H232" s="35" t="str">
        <f t="shared" si="6"/>
        <v/>
      </c>
      <c r="I232" s="35" t="str">
        <f t="shared" si="7"/>
        <v/>
      </c>
      <c r="J232" s="37" t="str">
        <f>IFERROR(__xludf.DUMMYFUNCTION("IFERROR(
  IF(C232="""",, 
    IFERROR(
      GOOGLEFINANCE(C232, ""price"") * GOOGLEFINANCE(C232, ""volumeavg""), 
      GOOGLEFINANCE(C232, ""price"") * AVERAGE(QUERY(GOOGLEFINANCE(C232, ""volume"", TODAY()-40, TODAY()), ""SELECT Col2 WHERE Col2 IS NOT "&amp;"NULL ORDER BY Col1 DESC LIMIT 20"", 0))
    )
  ), 
"""")"),"")</f>
        <v/>
      </c>
      <c r="K232" s="21" t="str">
        <f>IFERROR(__xludf.DUMMYFUNCTION("IFERROR(GOOGLEFINANCE(C232, ""changepct"") / 100, """")"),"")</f>
        <v/>
      </c>
      <c r="L232" s="21" t="str">
        <f>IFERROR(__xludf.DUMMYFUNCTION("IFERROR((GOOGLEFINANCE(C232, ""price"") / INDEX(GOOGLEFINANCE(C232, ""price"", TODAY()-7, TODAY()), 2, 2)) - 1, """")"),"")</f>
        <v/>
      </c>
      <c r="M232" s="21" t="str">
        <f>IFERROR(__xludf.DUMMYFUNCTION("IFERROR((GOOGLEFINANCE(C232, ""price"") / INDEX(GOOGLEFINANCE(C232, ""price"", EDATE(TODAY(), -1), TODAY()), 2, 2)) - 1, """")"),"")</f>
        <v/>
      </c>
      <c r="N232" s="21" t="str">
        <f>IFERROR(__xludf.DUMMYFUNCTION("IFERROR((GOOGLEFINANCE(C232, ""price"") / INDEX(GOOGLEFINANCE(C232, ""price"", EDATE(TODAY(), -3), TODAY()), 2, 2)) - 1, """")"),"")</f>
        <v/>
      </c>
      <c r="O232" s="21" t="str">
        <f>IFERROR(__xludf.DUMMYFUNCTION("IFERROR((GOOGLEFINANCE(C232, ""price"") / INDEX(GOOGLEFINANCE(C232, ""price"", EDATE(TODAY(), -6), TODAY()), 2, 2)) - 1, """")"),"")</f>
        <v/>
      </c>
      <c r="P232" s="21" t="str">
        <f>IFERROR(__xludf.DUMMYFUNCTION("IFERROR((GOOGLEFINANCE(C232, ""price"") / INDEX(GOOGLEFINANCE(C232, ""price"", EDATE(TODAY(), -12), TODAY()), 2, 2)) - 1, """")"),"")</f>
        <v/>
      </c>
      <c r="Q232" s="6" t="str">
        <f>IFERROR(__xludf.DUMMYFUNCTION("AVERAGE(QUERY(GOOGLEFINANCE(C232, ""price"", TODAY()-80, TODAY()), ""SELECT Col2 WHERE Col2 IS NOT NULL ORDER BY Col1 DESC LIMIT 50"", 0))"),"#N/A")</f>
        <v>#N/A</v>
      </c>
      <c r="R232" s="24" t="str">
        <f>IFERROR(__xludf.DUMMYFUNCTION("IFERROR(
  LET(
    data, QUERY(GOOGLEFINANCE(C232,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GOOGLEFINANCE(C232, ""price"")) * 100,
    IF(calc=0, G232, calc)
  ), 
G232)"),"#N/A")</f>
        <v>#N/A</v>
      </c>
      <c r="S232" s="8" t="s">
        <v>15</v>
      </c>
      <c r="T232" s="26" t="str">
        <f>IFERROR(__xludf.DUMMYFUNCTION("IFERROR(TRANSPOSE(QUERY(IFERROR(SORT(GOOGLEFINANCE(C232, ""price"", WORKDAY(TODAY(), -40), TODAY()), 1, FALSE)), ""select Col2 where Col2 is not null limit 22 label Col2 ''"", 0)), """")"),"")</f>
        <v/>
      </c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8"/>
      <c r="AO232" s="28"/>
      <c r="AP232" s="29"/>
      <c r="AQ232" s="29" t="str">
        <f t="shared" ref="AQ232:BL232" si="235">T232/T$2</f>
        <v>#N/A</v>
      </c>
      <c r="AR232" s="29" t="str">
        <f t="shared" si="235"/>
        <v>#DIV/0!</v>
      </c>
      <c r="AS232" s="29" t="str">
        <f t="shared" si="235"/>
        <v>#DIV/0!</v>
      </c>
      <c r="AT232" s="29" t="str">
        <f t="shared" si="235"/>
        <v>#DIV/0!</v>
      </c>
      <c r="AU232" s="29" t="str">
        <f t="shared" si="235"/>
        <v>#DIV/0!</v>
      </c>
      <c r="AV232" s="29" t="str">
        <f t="shared" si="235"/>
        <v>#DIV/0!</v>
      </c>
      <c r="AW232" s="29" t="str">
        <f t="shared" si="235"/>
        <v>#DIV/0!</v>
      </c>
      <c r="AX232" s="29" t="str">
        <f t="shared" si="235"/>
        <v>#DIV/0!</v>
      </c>
      <c r="AY232" s="29" t="str">
        <f t="shared" si="235"/>
        <v>#DIV/0!</v>
      </c>
      <c r="AZ232" s="29" t="str">
        <f t="shared" si="235"/>
        <v>#DIV/0!</v>
      </c>
      <c r="BA232" s="29" t="str">
        <f t="shared" si="235"/>
        <v>#DIV/0!</v>
      </c>
      <c r="BB232" s="29" t="str">
        <f t="shared" si="235"/>
        <v>#DIV/0!</v>
      </c>
      <c r="BC232" s="29" t="str">
        <f t="shared" si="235"/>
        <v>#DIV/0!</v>
      </c>
      <c r="BD232" s="29" t="str">
        <f t="shared" si="235"/>
        <v>#DIV/0!</v>
      </c>
      <c r="BE232" s="29" t="str">
        <f t="shared" si="235"/>
        <v>#DIV/0!</v>
      </c>
      <c r="BF232" s="29" t="str">
        <f t="shared" si="235"/>
        <v>#DIV/0!</v>
      </c>
      <c r="BG232" s="29" t="str">
        <f t="shared" si="235"/>
        <v>#DIV/0!</v>
      </c>
      <c r="BH232" s="29" t="str">
        <f t="shared" si="235"/>
        <v>#DIV/0!</v>
      </c>
      <c r="BI232" s="29" t="str">
        <f t="shared" si="235"/>
        <v>#DIV/0!</v>
      </c>
      <c r="BJ232" s="29" t="str">
        <f t="shared" si="235"/>
        <v>#DIV/0!</v>
      </c>
      <c r="BK232" s="29" t="str">
        <f t="shared" si="235"/>
        <v>#DIV/0!</v>
      </c>
      <c r="BL232" s="29" t="str">
        <f t="shared" si="235"/>
        <v>#DIV/0!</v>
      </c>
      <c r="BM232" s="29" t="str">
        <f t="shared" si="3"/>
        <v>#DIV/0!</v>
      </c>
    </row>
    <row r="233">
      <c r="A233" s="16" t="str">
        <f>IFERROR(__xludf.DUMMYFUNCTION("IFERROR(SPARKLINE(SORT(MAP(TRANSPOSE(AQ233:BL233), LAMBDA(val, IF(ISNUMBER(val), PERCENTRANK(AQ233:BL233, val)+0.01, 0))), SEQUENCE(COLUMNS(AQ233:BL233)), FALSE), {""charttype"",""column""; ""color"",""chartreuse""; ""ymin"", 0; ""ymax"", 1.01; ""highcolo"&amp;"r"", ""darkgreen""; ""lowcolor"", ""red""}), """")"),"")</f>
        <v/>
      </c>
      <c r="B233" s="17" t="str">
        <f t="shared" si="4"/>
        <v/>
      </c>
      <c r="C233" s="1" t="s">
        <v>1748</v>
      </c>
      <c r="D233" s="30" t="str">
        <f>IFERROR(__xludf.DUMMYFUNCTION("IFERROR(GOOGLEFINANCE(C233, ""NAME""))"),"Copa Holdings, S.A.")</f>
        <v>Copa Holdings, S.A.</v>
      </c>
      <c r="E233" s="30" t="s">
        <v>1134</v>
      </c>
      <c r="F233" s="33" t="str">
        <f>IFERROR(__xludf.DUMMYFUNCTION("( (GOOGLEFINANCE(C233, ""price"") - Q233) / Q233 ) / (R233 / 100)"),"Loading...")</f>
        <v>Loading...</v>
      </c>
      <c r="G233" s="20" t="str">
        <f>IFERROR(__xludf.DUMMYFUNCTION("AVERAGE(ARRAYFORMULA(100 * (QUERY(GOOGLEFINANCE(C233, ""high"", TODAY()-40, TODAY()), ""SELECT Col2 WHERE Col2 IS NOT NULL ORDER BY Col1 DESC LIMIT 20"", 0) / QUERY(GOOGLEFINANCE(C233, ""low"", TODAY()-40, TODAY()), ""SELECT Col2 WHERE Col2 IS NOT NULL OR"&amp;"DER BY Col1 DESC LIMIT 20"", 0) - 1)))"),"#N/A")</f>
        <v>#N/A</v>
      </c>
      <c r="H233" s="35" t="str">
        <f t="shared" si="6"/>
        <v/>
      </c>
      <c r="I233" s="35" t="str">
        <f t="shared" si="7"/>
        <v/>
      </c>
      <c r="J233" s="37" t="str">
        <f>IFERROR(__xludf.DUMMYFUNCTION("IFERROR(
  IF(C233="""",, 
    IFERROR(
      GOOGLEFINANCE(C233, ""price"") * GOOGLEFINANCE(C233, ""volumeavg""), 
      GOOGLEFINANCE(C233, ""price"") * AVERAGE(QUERY(GOOGLEFINANCE(C233, ""volume"", TODAY()-40, TODAY()), ""SELECT Col2 WHERE Col2 IS NOT "&amp;"NULL ORDER BY Col1 DESC LIMIT 20"", 0))
    )
  ), 
"""")"),"")</f>
        <v/>
      </c>
      <c r="K233" s="21" t="str">
        <f>IFERROR(__xludf.DUMMYFUNCTION("IFERROR(GOOGLEFINANCE(C233, ""changepct"") / 100, """")"),"")</f>
        <v/>
      </c>
      <c r="L233" s="21" t="str">
        <f>IFERROR(__xludf.DUMMYFUNCTION("IFERROR((GOOGLEFINANCE(C233, ""price"") / INDEX(GOOGLEFINANCE(C233, ""price"", TODAY()-7, TODAY()), 2, 2)) - 1, """")"),"")</f>
        <v/>
      </c>
      <c r="M233" s="21" t="str">
        <f>IFERROR(__xludf.DUMMYFUNCTION("IFERROR((GOOGLEFINANCE(C233, ""price"") / INDEX(GOOGLEFINANCE(C233, ""price"", EDATE(TODAY(), -1), TODAY()), 2, 2)) - 1, """")"),"")</f>
        <v/>
      </c>
      <c r="N233" s="21" t="str">
        <f>IFERROR(__xludf.DUMMYFUNCTION("IFERROR((GOOGLEFINANCE(C233, ""price"") / INDEX(GOOGLEFINANCE(C233, ""price"", EDATE(TODAY(), -3), TODAY()), 2, 2)) - 1, """")"),"")</f>
        <v/>
      </c>
      <c r="O233" s="21" t="str">
        <f>IFERROR(__xludf.DUMMYFUNCTION("IFERROR((GOOGLEFINANCE(C233, ""price"") / INDEX(GOOGLEFINANCE(C233, ""price"", EDATE(TODAY(), -6), TODAY()), 2, 2)) - 1, """")"),"")</f>
        <v/>
      </c>
      <c r="P233" s="21" t="str">
        <f>IFERROR(__xludf.DUMMYFUNCTION("IFERROR((GOOGLEFINANCE(C233, ""price"") / INDEX(GOOGLEFINANCE(C233, ""price"", EDATE(TODAY(), -12), TODAY()), 2, 2)) - 1, """")"),"")</f>
        <v/>
      </c>
      <c r="Q233" s="6" t="str">
        <f>IFERROR(__xludf.DUMMYFUNCTION("AVERAGE(QUERY(GOOGLEFINANCE(C233, ""price"", TODAY()-80, TODAY()), ""SELECT Col2 WHERE Col2 IS NOT NULL ORDER BY Col1 DESC LIMIT 50"", 0))"),"#N/A")</f>
        <v>#N/A</v>
      </c>
      <c r="R233" s="24" t="str">
        <f>IFERROR(__xludf.DUMMYFUNCTION("IFERROR(
  LET(
    data, QUERY(GOOGLEFINANCE(C233,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GOOGLEFINANCE(C233, ""price"")) * 100,
    IF(calc=0, G233, calc)
  ), 
G233)"),"#N/A")</f>
        <v>#N/A</v>
      </c>
      <c r="S233" s="8" t="s">
        <v>15</v>
      </c>
      <c r="T233" s="26" t="str">
        <f>IFERROR(__xludf.DUMMYFUNCTION("IFERROR(TRANSPOSE(QUERY(IFERROR(SORT(GOOGLEFINANCE(C233, ""price"", WORKDAY(TODAY(), -40), TODAY()), 1, FALSE)), ""select Col2 where Col2 is not null limit 22 label Col2 ''"", 0)), """")"),"")</f>
        <v/>
      </c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8"/>
      <c r="AO233" s="28"/>
      <c r="AP233" s="29"/>
      <c r="AQ233" s="29" t="str">
        <f t="shared" ref="AQ233:BL233" si="236">T233/T$2</f>
        <v>#N/A</v>
      </c>
      <c r="AR233" s="29" t="str">
        <f t="shared" si="236"/>
        <v>#DIV/0!</v>
      </c>
      <c r="AS233" s="29" t="str">
        <f t="shared" si="236"/>
        <v>#DIV/0!</v>
      </c>
      <c r="AT233" s="29" t="str">
        <f t="shared" si="236"/>
        <v>#DIV/0!</v>
      </c>
      <c r="AU233" s="29" t="str">
        <f t="shared" si="236"/>
        <v>#DIV/0!</v>
      </c>
      <c r="AV233" s="29" t="str">
        <f t="shared" si="236"/>
        <v>#DIV/0!</v>
      </c>
      <c r="AW233" s="29" t="str">
        <f t="shared" si="236"/>
        <v>#DIV/0!</v>
      </c>
      <c r="AX233" s="29" t="str">
        <f t="shared" si="236"/>
        <v>#DIV/0!</v>
      </c>
      <c r="AY233" s="29" t="str">
        <f t="shared" si="236"/>
        <v>#DIV/0!</v>
      </c>
      <c r="AZ233" s="29" t="str">
        <f t="shared" si="236"/>
        <v>#DIV/0!</v>
      </c>
      <c r="BA233" s="29" t="str">
        <f t="shared" si="236"/>
        <v>#DIV/0!</v>
      </c>
      <c r="BB233" s="29" t="str">
        <f t="shared" si="236"/>
        <v>#DIV/0!</v>
      </c>
      <c r="BC233" s="29" t="str">
        <f t="shared" si="236"/>
        <v>#DIV/0!</v>
      </c>
      <c r="BD233" s="29" t="str">
        <f t="shared" si="236"/>
        <v>#DIV/0!</v>
      </c>
      <c r="BE233" s="29" t="str">
        <f t="shared" si="236"/>
        <v>#DIV/0!</v>
      </c>
      <c r="BF233" s="29" t="str">
        <f t="shared" si="236"/>
        <v>#DIV/0!</v>
      </c>
      <c r="BG233" s="29" t="str">
        <f t="shared" si="236"/>
        <v>#DIV/0!</v>
      </c>
      <c r="BH233" s="29" t="str">
        <f t="shared" si="236"/>
        <v>#DIV/0!</v>
      </c>
      <c r="BI233" s="29" t="str">
        <f t="shared" si="236"/>
        <v>#DIV/0!</v>
      </c>
      <c r="BJ233" s="29" t="str">
        <f t="shared" si="236"/>
        <v>#DIV/0!</v>
      </c>
      <c r="BK233" s="29" t="str">
        <f t="shared" si="236"/>
        <v>#DIV/0!</v>
      </c>
      <c r="BL233" s="29" t="str">
        <f t="shared" si="236"/>
        <v>#DIV/0!</v>
      </c>
      <c r="BM233" s="29" t="str">
        <f t="shared" si="3"/>
        <v>#DIV/0!</v>
      </c>
    </row>
    <row r="234">
      <c r="A234" s="16" t="str">
        <f>IFERROR(__xludf.DUMMYFUNCTION("IFERROR(SPARKLINE(SORT(MAP(TRANSPOSE(AQ234:BL234), LAMBDA(val, IF(ISNUMBER(val), PERCENTRANK(AQ234:BL234, val)+0.01, 0))), SEQUENCE(COLUMNS(AQ234:BL234)), FALSE), {""charttype"",""column""; ""color"",""chartreuse""; ""ymin"", 0; ""ymax"", 1.01; ""highcolo"&amp;"r"", ""darkgreen""; ""lowcolor"", ""red""}), """")"),"")</f>
        <v/>
      </c>
      <c r="B234" s="17" t="str">
        <f t="shared" si="4"/>
        <v/>
      </c>
      <c r="C234" s="1" t="s">
        <v>1749</v>
      </c>
      <c r="D234" s="30" t="str">
        <f>IFERROR(__xludf.DUMMYFUNCTION("IFERROR(GOOGLEFINANCE(C234, ""NAME""))"),"Columbus McKinnon Corp")</f>
        <v>Columbus McKinnon Corp</v>
      </c>
      <c r="E234" s="30" t="s">
        <v>1036</v>
      </c>
      <c r="F234" s="33" t="str">
        <f>IFERROR(__xludf.DUMMYFUNCTION("( (GOOGLEFINANCE(C234, ""price"") - Q234) / Q234 ) / (R234 / 100)"),"Loading...")</f>
        <v>Loading...</v>
      </c>
      <c r="G234" s="20" t="str">
        <f>IFERROR(__xludf.DUMMYFUNCTION("AVERAGE(ARRAYFORMULA(100 * (QUERY(GOOGLEFINANCE(C234, ""high"", TODAY()-40, TODAY()), ""SELECT Col2 WHERE Col2 IS NOT NULL ORDER BY Col1 DESC LIMIT 20"", 0) / QUERY(GOOGLEFINANCE(C234, ""low"", TODAY()-40, TODAY()), ""SELECT Col2 WHERE Col2 IS NOT NULL OR"&amp;"DER BY Col1 DESC LIMIT 20"", 0) - 1)))"),"#N/A")</f>
        <v>#N/A</v>
      </c>
      <c r="H234" s="35" t="str">
        <f t="shared" si="6"/>
        <v/>
      </c>
      <c r="I234" s="35" t="str">
        <f t="shared" si="7"/>
        <v/>
      </c>
      <c r="J234" s="37" t="str">
        <f>IFERROR(__xludf.DUMMYFUNCTION("IFERROR(
  IF(C234="""",, 
    IFERROR(
      GOOGLEFINANCE(C234, ""price"") * GOOGLEFINANCE(C234, ""volumeavg""), 
      GOOGLEFINANCE(C234, ""price"") * AVERAGE(QUERY(GOOGLEFINANCE(C234, ""volume"", TODAY()-40, TODAY()), ""SELECT Col2 WHERE Col2 IS NOT "&amp;"NULL ORDER BY Col1 DESC LIMIT 20"", 0))
    )
  ), 
"""")"),"")</f>
        <v/>
      </c>
      <c r="K234" s="21" t="str">
        <f>IFERROR(__xludf.DUMMYFUNCTION("IFERROR(GOOGLEFINANCE(C234, ""changepct"") / 100, """")"),"")</f>
        <v/>
      </c>
      <c r="L234" s="21" t="str">
        <f>IFERROR(__xludf.DUMMYFUNCTION("IFERROR((GOOGLEFINANCE(C234, ""price"") / INDEX(GOOGLEFINANCE(C234, ""price"", TODAY()-7, TODAY()), 2, 2)) - 1, """")"),"")</f>
        <v/>
      </c>
      <c r="M234" s="21" t="str">
        <f>IFERROR(__xludf.DUMMYFUNCTION("IFERROR((GOOGLEFINANCE(C234, ""price"") / INDEX(GOOGLEFINANCE(C234, ""price"", EDATE(TODAY(), -1), TODAY()), 2, 2)) - 1, """")"),"")</f>
        <v/>
      </c>
      <c r="N234" s="21" t="str">
        <f>IFERROR(__xludf.DUMMYFUNCTION("IFERROR((GOOGLEFINANCE(C234, ""price"") / INDEX(GOOGLEFINANCE(C234, ""price"", EDATE(TODAY(), -3), TODAY()), 2, 2)) - 1, """")"),"")</f>
        <v/>
      </c>
      <c r="O234" s="21" t="str">
        <f>IFERROR(__xludf.DUMMYFUNCTION("IFERROR((GOOGLEFINANCE(C234, ""price"") / INDEX(GOOGLEFINANCE(C234, ""price"", EDATE(TODAY(), -6), TODAY()), 2, 2)) - 1, """")"),"")</f>
        <v/>
      </c>
      <c r="P234" s="21" t="str">
        <f>IFERROR(__xludf.DUMMYFUNCTION("IFERROR((GOOGLEFINANCE(C234, ""price"") / INDEX(GOOGLEFINANCE(C234, ""price"", EDATE(TODAY(), -12), TODAY()), 2, 2)) - 1, """")"),"")</f>
        <v/>
      </c>
      <c r="Q234" s="6" t="str">
        <f>IFERROR(__xludf.DUMMYFUNCTION("AVERAGE(QUERY(GOOGLEFINANCE(C234, ""price"", TODAY()-80, TODAY()), ""SELECT Col2 WHERE Col2 IS NOT NULL ORDER BY Col1 DESC LIMIT 50"", 0))"),"#N/A")</f>
        <v>#N/A</v>
      </c>
      <c r="R234" s="24" t="str">
        <f>IFERROR(__xludf.DUMMYFUNCTION("IFERROR(
  LET(
    data, QUERY(GOOGLEFINANCE(C234,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GOOGLEFINANCE(C234, ""price"")) * 100,
    IF(calc=0, G234, calc)
  ), 
G234)"),"#N/A")</f>
        <v>#N/A</v>
      </c>
      <c r="S234" s="8" t="s">
        <v>15</v>
      </c>
      <c r="T234" s="26" t="str">
        <f>IFERROR(__xludf.DUMMYFUNCTION("IFERROR(TRANSPOSE(QUERY(IFERROR(SORT(GOOGLEFINANCE(C234, ""price"", WORKDAY(TODAY(), -40), TODAY()), 1, FALSE)), ""select Col2 where Col2 is not null limit 22 label Col2 ''"", 0)), """")"),"")</f>
        <v/>
      </c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8"/>
      <c r="AO234" s="28"/>
      <c r="AP234" s="29"/>
      <c r="AQ234" s="29" t="str">
        <f t="shared" ref="AQ234:BL234" si="237">T234/T$2</f>
        <v>#N/A</v>
      </c>
      <c r="AR234" s="29" t="str">
        <f t="shared" si="237"/>
        <v>#DIV/0!</v>
      </c>
      <c r="AS234" s="29" t="str">
        <f t="shared" si="237"/>
        <v>#DIV/0!</v>
      </c>
      <c r="AT234" s="29" t="str">
        <f t="shared" si="237"/>
        <v>#DIV/0!</v>
      </c>
      <c r="AU234" s="29" t="str">
        <f t="shared" si="237"/>
        <v>#DIV/0!</v>
      </c>
      <c r="AV234" s="29" t="str">
        <f t="shared" si="237"/>
        <v>#DIV/0!</v>
      </c>
      <c r="AW234" s="29" t="str">
        <f t="shared" si="237"/>
        <v>#DIV/0!</v>
      </c>
      <c r="AX234" s="29" t="str">
        <f t="shared" si="237"/>
        <v>#DIV/0!</v>
      </c>
      <c r="AY234" s="29" t="str">
        <f t="shared" si="237"/>
        <v>#DIV/0!</v>
      </c>
      <c r="AZ234" s="29" t="str">
        <f t="shared" si="237"/>
        <v>#DIV/0!</v>
      </c>
      <c r="BA234" s="29" t="str">
        <f t="shared" si="237"/>
        <v>#DIV/0!</v>
      </c>
      <c r="BB234" s="29" t="str">
        <f t="shared" si="237"/>
        <v>#DIV/0!</v>
      </c>
      <c r="BC234" s="29" t="str">
        <f t="shared" si="237"/>
        <v>#DIV/0!</v>
      </c>
      <c r="BD234" s="29" t="str">
        <f t="shared" si="237"/>
        <v>#DIV/0!</v>
      </c>
      <c r="BE234" s="29" t="str">
        <f t="shared" si="237"/>
        <v>#DIV/0!</v>
      </c>
      <c r="BF234" s="29" t="str">
        <f t="shared" si="237"/>
        <v>#DIV/0!</v>
      </c>
      <c r="BG234" s="29" t="str">
        <f t="shared" si="237"/>
        <v>#DIV/0!</v>
      </c>
      <c r="BH234" s="29" t="str">
        <f t="shared" si="237"/>
        <v>#DIV/0!</v>
      </c>
      <c r="BI234" s="29" t="str">
        <f t="shared" si="237"/>
        <v>#DIV/0!</v>
      </c>
      <c r="BJ234" s="29" t="str">
        <f t="shared" si="237"/>
        <v>#DIV/0!</v>
      </c>
      <c r="BK234" s="29" t="str">
        <f t="shared" si="237"/>
        <v>#DIV/0!</v>
      </c>
      <c r="BL234" s="29" t="str">
        <f t="shared" si="237"/>
        <v>#DIV/0!</v>
      </c>
      <c r="BM234" s="29" t="str">
        <f t="shared" si="3"/>
        <v>#DIV/0!</v>
      </c>
    </row>
    <row r="235">
      <c r="A235" s="16" t="str">
        <f>IFERROR(__xludf.DUMMYFUNCTION("IFERROR(SPARKLINE(SORT(MAP(TRANSPOSE(AQ235:BL235), LAMBDA(val, IF(ISNUMBER(val), PERCENTRANK(AQ235:BL235, val)+0.01, 0))), SEQUENCE(COLUMNS(AQ235:BL235)), FALSE), {""charttype"",""column""; ""color"",""chartreuse""; ""ymin"", 0; ""ymax"", 1.01; ""highcolo"&amp;"r"", ""darkgreen""; ""lowcolor"", ""red""}), """")"),"")</f>
        <v/>
      </c>
      <c r="B235" s="17" t="str">
        <f t="shared" si="4"/>
        <v/>
      </c>
      <c r="C235" s="1" t="s">
        <v>1753</v>
      </c>
      <c r="D235" s="30" t="str">
        <f>IFERROR(__xludf.DUMMYFUNCTION("IFERROR(GOOGLEFINANCE(C235, ""NAME""))"),"GXO Logistics Inc")</f>
        <v>GXO Logistics Inc</v>
      </c>
      <c r="E235" s="30" t="s">
        <v>955</v>
      </c>
      <c r="F235" s="33" t="str">
        <f>IFERROR(__xludf.DUMMYFUNCTION("( (GOOGLEFINANCE(C235, ""price"") - Q235) / Q235 ) / (R235 / 100)"),"Loading...")</f>
        <v>Loading...</v>
      </c>
      <c r="G235" s="20" t="str">
        <f>IFERROR(__xludf.DUMMYFUNCTION("AVERAGE(ARRAYFORMULA(100 * (QUERY(GOOGLEFINANCE(C235, ""high"", TODAY()-40, TODAY()), ""SELECT Col2 WHERE Col2 IS NOT NULL ORDER BY Col1 DESC LIMIT 20"", 0) / QUERY(GOOGLEFINANCE(C235, ""low"", TODAY()-40, TODAY()), ""SELECT Col2 WHERE Col2 IS NOT NULL OR"&amp;"DER BY Col1 DESC LIMIT 20"", 0) - 1)))"),"#N/A")</f>
        <v>#N/A</v>
      </c>
      <c r="H235" s="35" t="str">
        <f t="shared" si="6"/>
        <v/>
      </c>
      <c r="I235" s="35" t="str">
        <f t="shared" si="7"/>
        <v/>
      </c>
      <c r="J235" s="37" t="str">
        <f>IFERROR(__xludf.DUMMYFUNCTION("IFERROR(
  IF(C235="""",, 
    IFERROR(
      GOOGLEFINANCE(C235, ""price"") * GOOGLEFINANCE(C235, ""volumeavg""), 
      GOOGLEFINANCE(C235, ""price"") * AVERAGE(QUERY(GOOGLEFINANCE(C235, ""volume"", TODAY()-40, TODAY()), ""SELECT Col2 WHERE Col2 IS NOT "&amp;"NULL ORDER BY Col1 DESC LIMIT 20"", 0))
    )
  ), 
"""")"),"")</f>
        <v/>
      </c>
      <c r="K235" s="21" t="str">
        <f>IFERROR(__xludf.DUMMYFUNCTION("IFERROR(GOOGLEFINANCE(C235, ""changepct"") / 100, """")"),"")</f>
        <v/>
      </c>
      <c r="L235" s="21" t="str">
        <f>IFERROR(__xludf.DUMMYFUNCTION("IFERROR((GOOGLEFINANCE(C235, ""price"") / INDEX(GOOGLEFINANCE(C235, ""price"", TODAY()-7, TODAY()), 2, 2)) - 1, """")"),"")</f>
        <v/>
      </c>
      <c r="M235" s="21" t="str">
        <f>IFERROR(__xludf.DUMMYFUNCTION("IFERROR((GOOGLEFINANCE(C235, ""price"") / INDEX(GOOGLEFINANCE(C235, ""price"", EDATE(TODAY(), -1), TODAY()), 2, 2)) - 1, """")"),"")</f>
        <v/>
      </c>
      <c r="N235" s="21" t="str">
        <f>IFERROR(__xludf.DUMMYFUNCTION("IFERROR((GOOGLEFINANCE(C235, ""price"") / INDEX(GOOGLEFINANCE(C235, ""price"", EDATE(TODAY(), -3), TODAY()), 2, 2)) - 1, """")"),"")</f>
        <v/>
      </c>
      <c r="O235" s="21" t="str">
        <f>IFERROR(__xludf.DUMMYFUNCTION("IFERROR((GOOGLEFINANCE(C235, ""price"") / INDEX(GOOGLEFINANCE(C235, ""price"", EDATE(TODAY(), -6), TODAY()), 2, 2)) - 1, """")"),"")</f>
        <v/>
      </c>
      <c r="P235" s="21" t="str">
        <f>IFERROR(__xludf.DUMMYFUNCTION("IFERROR((GOOGLEFINANCE(C235, ""price"") / INDEX(GOOGLEFINANCE(C235, ""price"", EDATE(TODAY(), -12), TODAY()), 2, 2)) - 1, """")"),"")</f>
        <v/>
      </c>
      <c r="Q235" s="6" t="str">
        <f>IFERROR(__xludf.DUMMYFUNCTION("AVERAGE(QUERY(GOOGLEFINANCE(C235, ""price"", TODAY()-80, TODAY()), ""SELECT Col2 WHERE Col2 IS NOT NULL ORDER BY Col1 DESC LIMIT 50"", 0))"),"#N/A")</f>
        <v>#N/A</v>
      </c>
      <c r="R235" s="24" t="str">
        <f>IFERROR(__xludf.DUMMYFUNCTION("IFERROR(
  LET(
    data, QUERY(GOOGLEFINANCE(C235,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GOOGLEFINANCE(C235, ""price"")) * 100,
    IF(calc=0, G235, calc)
  ), 
G235)"),"#N/A")</f>
        <v>#N/A</v>
      </c>
      <c r="S235" s="8" t="s">
        <v>15</v>
      </c>
      <c r="T235" s="26" t="str">
        <f>IFERROR(__xludf.DUMMYFUNCTION("IFERROR(TRANSPOSE(QUERY(IFERROR(SORT(GOOGLEFINANCE(C235, ""price"", WORKDAY(TODAY(), -40), TODAY()), 1, FALSE)), ""select Col2 where Col2 is not null limit 22 label Col2 ''"", 0)), """")"),"")</f>
        <v/>
      </c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8"/>
      <c r="AO235" s="28"/>
      <c r="AP235" s="29"/>
      <c r="AQ235" s="29" t="str">
        <f t="shared" ref="AQ235:BL235" si="238">T235/T$2</f>
        <v>#N/A</v>
      </c>
      <c r="AR235" s="29" t="str">
        <f t="shared" si="238"/>
        <v>#DIV/0!</v>
      </c>
      <c r="AS235" s="29" t="str">
        <f t="shared" si="238"/>
        <v>#DIV/0!</v>
      </c>
      <c r="AT235" s="29" t="str">
        <f t="shared" si="238"/>
        <v>#DIV/0!</v>
      </c>
      <c r="AU235" s="29" t="str">
        <f t="shared" si="238"/>
        <v>#DIV/0!</v>
      </c>
      <c r="AV235" s="29" t="str">
        <f t="shared" si="238"/>
        <v>#DIV/0!</v>
      </c>
      <c r="AW235" s="29" t="str">
        <f t="shared" si="238"/>
        <v>#DIV/0!</v>
      </c>
      <c r="AX235" s="29" t="str">
        <f t="shared" si="238"/>
        <v>#DIV/0!</v>
      </c>
      <c r="AY235" s="29" t="str">
        <f t="shared" si="238"/>
        <v>#DIV/0!</v>
      </c>
      <c r="AZ235" s="29" t="str">
        <f t="shared" si="238"/>
        <v>#DIV/0!</v>
      </c>
      <c r="BA235" s="29" t="str">
        <f t="shared" si="238"/>
        <v>#DIV/0!</v>
      </c>
      <c r="BB235" s="29" t="str">
        <f t="shared" si="238"/>
        <v>#DIV/0!</v>
      </c>
      <c r="BC235" s="29" t="str">
        <f t="shared" si="238"/>
        <v>#DIV/0!</v>
      </c>
      <c r="BD235" s="29" t="str">
        <f t="shared" si="238"/>
        <v>#DIV/0!</v>
      </c>
      <c r="BE235" s="29" t="str">
        <f t="shared" si="238"/>
        <v>#DIV/0!</v>
      </c>
      <c r="BF235" s="29" t="str">
        <f t="shared" si="238"/>
        <v>#DIV/0!</v>
      </c>
      <c r="BG235" s="29" t="str">
        <f t="shared" si="238"/>
        <v>#DIV/0!</v>
      </c>
      <c r="BH235" s="29" t="str">
        <f t="shared" si="238"/>
        <v>#DIV/0!</v>
      </c>
      <c r="BI235" s="29" t="str">
        <f t="shared" si="238"/>
        <v>#DIV/0!</v>
      </c>
      <c r="BJ235" s="29" t="str">
        <f t="shared" si="238"/>
        <v>#DIV/0!</v>
      </c>
      <c r="BK235" s="29" t="str">
        <f t="shared" si="238"/>
        <v>#DIV/0!</v>
      </c>
      <c r="BL235" s="29" t="str">
        <f t="shared" si="238"/>
        <v>#DIV/0!</v>
      </c>
      <c r="BM235" s="29" t="str">
        <f t="shared" si="3"/>
        <v>#DIV/0!</v>
      </c>
    </row>
    <row r="236">
      <c r="A236" s="16" t="str">
        <f>IFERROR(__xludf.DUMMYFUNCTION("IFERROR(SPARKLINE(SORT(MAP(TRANSPOSE(AQ236:BL236), LAMBDA(val, IF(ISNUMBER(val), PERCENTRANK(AQ236:BL236, val)+0.01, 0))), SEQUENCE(COLUMNS(AQ236:BL236)), FALSE), {""charttype"",""column""; ""color"",""chartreuse""; ""ymin"", 0; ""ymax"", 1.01; ""highcolo"&amp;"r"", ""darkgreen""; ""lowcolor"", ""red""}), """")"),"")</f>
        <v/>
      </c>
      <c r="B236" s="17" t="str">
        <f t="shared" si="4"/>
        <v/>
      </c>
      <c r="C236" s="1" t="s">
        <v>1757</v>
      </c>
      <c r="D236" s="30" t="str">
        <f>IFERROR(__xludf.DUMMYFUNCTION("IFERROR(GOOGLEFINANCE(C236, ""NAME""))"),"British Land Company PLC")</f>
        <v>British Land Company PLC</v>
      </c>
      <c r="E236" s="30" t="s">
        <v>856</v>
      </c>
      <c r="F236" s="33" t="str">
        <f>IFERROR(__xludf.DUMMYFUNCTION("( (GOOGLEFINANCE(C236, ""price"") - Q236) / Q236 ) / (R236 / 100)"),"Loading...")</f>
        <v>Loading...</v>
      </c>
      <c r="G236" s="20" t="str">
        <f>IFERROR(__xludf.DUMMYFUNCTION("AVERAGE(ARRAYFORMULA(100 * (QUERY(GOOGLEFINANCE(C236, ""high"", TODAY()-40, TODAY()), ""SELECT Col2 WHERE Col2 IS NOT NULL ORDER BY Col1 DESC LIMIT 20"", 0) / QUERY(GOOGLEFINANCE(C236, ""low"", TODAY()-40, TODAY()), ""SELECT Col2 WHERE Col2 IS NOT NULL OR"&amp;"DER BY Col1 DESC LIMIT 20"", 0) - 1)))"),"#N/A")</f>
        <v>#N/A</v>
      </c>
      <c r="H236" s="35" t="str">
        <f t="shared" si="6"/>
        <v/>
      </c>
      <c r="I236" s="35" t="str">
        <f t="shared" si="7"/>
        <v/>
      </c>
      <c r="J236" s="37" t="str">
        <f>IFERROR(__xludf.DUMMYFUNCTION("IFERROR(
  IF(C236="""",, 
    IFERROR(
      GOOGLEFINANCE(C236, ""price"") * GOOGLEFINANCE(C236, ""volumeavg""), 
      GOOGLEFINANCE(C236, ""price"") * AVERAGE(QUERY(GOOGLEFINANCE(C236, ""volume"", TODAY()-40, TODAY()), ""SELECT Col2 WHERE Col2 IS NOT "&amp;"NULL ORDER BY Col1 DESC LIMIT 20"", 0))
    )
  ), 
"""")"),"")</f>
        <v/>
      </c>
      <c r="K236" s="21" t="str">
        <f>IFERROR(__xludf.DUMMYFUNCTION("IFERROR(GOOGLEFINANCE(C236, ""changepct"") / 100, """")"),"")</f>
        <v/>
      </c>
      <c r="L236" s="21" t="str">
        <f>IFERROR(__xludf.DUMMYFUNCTION("IFERROR((GOOGLEFINANCE(C236, ""price"") / INDEX(GOOGLEFINANCE(C236, ""price"", TODAY()-7, TODAY()), 2, 2)) - 1, """")"),"")</f>
        <v/>
      </c>
      <c r="M236" s="21" t="str">
        <f>IFERROR(__xludf.DUMMYFUNCTION("IFERROR((GOOGLEFINANCE(C236, ""price"") / INDEX(GOOGLEFINANCE(C236, ""price"", EDATE(TODAY(), -1), TODAY()), 2, 2)) - 1, """")"),"")</f>
        <v/>
      </c>
      <c r="N236" s="21" t="str">
        <f>IFERROR(__xludf.DUMMYFUNCTION("IFERROR((GOOGLEFINANCE(C236, ""price"") / INDEX(GOOGLEFINANCE(C236, ""price"", EDATE(TODAY(), -3), TODAY()), 2, 2)) - 1, """")"),"")</f>
        <v/>
      </c>
      <c r="O236" s="21" t="str">
        <f>IFERROR(__xludf.DUMMYFUNCTION("IFERROR((GOOGLEFINANCE(C236, ""price"") / INDEX(GOOGLEFINANCE(C236, ""price"", EDATE(TODAY(), -6), TODAY()), 2, 2)) - 1, """")"),"")</f>
        <v/>
      </c>
      <c r="P236" s="21" t="str">
        <f>IFERROR(__xludf.DUMMYFUNCTION("IFERROR((GOOGLEFINANCE(C236, ""price"") / INDEX(GOOGLEFINANCE(C236, ""price"", EDATE(TODAY(), -12), TODAY()), 2, 2)) - 1, """")"),"")</f>
        <v/>
      </c>
      <c r="Q236" s="6" t="str">
        <f>IFERROR(__xludf.DUMMYFUNCTION("AVERAGE(QUERY(GOOGLEFINANCE(C236, ""price"", TODAY()-80, TODAY()), ""SELECT Col2 WHERE Col2 IS NOT NULL ORDER BY Col1 DESC LIMIT 50"", 0))"),"#N/A")</f>
        <v>#N/A</v>
      </c>
      <c r="R236" s="24" t="str">
        <f>IFERROR(__xludf.DUMMYFUNCTION("IFERROR(
  LET(
    data, QUERY(GOOGLEFINANCE(C236,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GOOGLEFINANCE(C236, ""price"")) * 100,
    IF(calc=0, G236, calc)
  ), 
G236)"),"#N/A")</f>
        <v>#N/A</v>
      </c>
      <c r="S236" s="8" t="s">
        <v>15</v>
      </c>
      <c r="T236" s="26" t="str">
        <f>IFERROR(__xludf.DUMMYFUNCTION("IFERROR(TRANSPOSE(QUERY(IFERROR(SORT(GOOGLEFINANCE(C236, ""price"", WORKDAY(TODAY(), -40), TODAY()), 1, FALSE)), ""select Col2 where Col2 is not null limit 22 label Col2 ''"", 0)), """")"),"")</f>
        <v/>
      </c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8"/>
      <c r="AO236" s="28"/>
      <c r="AP236" s="29"/>
      <c r="AQ236" s="29" t="str">
        <f t="shared" ref="AQ236:BL236" si="239">T236/T$2</f>
        <v>#N/A</v>
      </c>
      <c r="AR236" s="29" t="str">
        <f t="shared" si="239"/>
        <v>#DIV/0!</v>
      </c>
      <c r="AS236" s="29" t="str">
        <f t="shared" si="239"/>
        <v>#DIV/0!</v>
      </c>
      <c r="AT236" s="29" t="str">
        <f t="shared" si="239"/>
        <v>#DIV/0!</v>
      </c>
      <c r="AU236" s="29" t="str">
        <f t="shared" si="239"/>
        <v>#DIV/0!</v>
      </c>
      <c r="AV236" s="29" t="str">
        <f t="shared" si="239"/>
        <v>#DIV/0!</v>
      </c>
      <c r="AW236" s="29" t="str">
        <f t="shared" si="239"/>
        <v>#DIV/0!</v>
      </c>
      <c r="AX236" s="29" t="str">
        <f t="shared" si="239"/>
        <v>#DIV/0!</v>
      </c>
      <c r="AY236" s="29" t="str">
        <f t="shared" si="239"/>
        <v>#DIV/0!</v>
      </c>
      <c r="AZ236" s="29" t="str">
        <f t="shared" si="239"/>
        <v>#DIV/0!</v>
      </c>
      <c r="BA236" s="29" t="str">
        <f t="shared" si="239"/>
        <v>#DIV/0!</v>
      </c>
      <c r="BB236" s="29" t="str">
        <f t="shared" si="239"/>
        <v>#DIV/0!</v>
      </c>
      <c r="BC236" s="29" t="str">
        <f t="shared" si="239"/>
        <v>#DIV/0!</v>
      </c>
      <c r="BD236" s="29" t="str">
        <f t="shared" si="239"/>
        <v>#DIV/0!</v>
      </c>
      <c r="BE236" s="29" t="str">
        <f t="shared" si="239"/>
        <v>#DIV/0!</v>
      </c>
      <c r="BF236" s="29" t="str">
        <f t="shared" si="239"/>
        <v>#DIV/0!</v>
      </c>
      <c r="BG236" s="29" t="str">
        <f t="shared" si="239"/>
        <v>#DIV/0!</v>
      </c>
      <c r="BH236" s="29" t="str">
        <f t="shared" si="239"/>
        <v>#DIV/0!</v>
      </c>
      <c r="BI236" s="29" t="str">
        <f t="shared" si="239"/>
        <v>#DIV/0!</v>
      </c>
      <c r="BJ236" s="29" t="str">
        <f t="shared" si="239"/>
        <v>#DIV/0!</v>
      </c>
      <c r="BK236" s="29" t="str">
        <f t="shared" si="239"/>
        <v>#DIV/0!</v>
      </c>
      <c r="BL236" s="29" t="str">
        <f t="shared" si="239"/>
        <v>#DIV/0!</v>
      </c>
      <c r="BM236" s="29" t="str">
        <f t="shared" si="3"/>
        <v>#DIV/0!</v>
      </c>
    </row>
    <row r="237">
      <c r="A237" s="16" t="str">
        <f>IFERROR(__xludf.DUMMYFUNCTION("IFERROR(SPARKLINE(SORT(MAP(TRANSPOSE(AQ237:BL237), LAMBDA(val, IF(ISNUMBER(val), PERCENTRANK(AQ237:BL237, val)+0.01, 0))), SEQUENCE(COLUMNS(AQ237:BL237)), FALSE), {""charttype"",""column""; ""color"",""chartreuse""; ""ymin"", 0; ""ymax"", 1.01; ""highcolo"&amp;"r"", ""darkgreen""; ""lowcolor"", ""red""}), """")"),"")</f>
        <v/>
      </c>
      <c r="B237" s="17" t="str">
        <f t="shared" si="4"/>
        <v/>
      </c>
      <c r="C237" s="1" t="s">
        <v>1761</v>
      </c>
      <c r="D237" s="30" t="str">
        <f>IFERROR(__xludf.DUMMYFUNCTION("IFERROR(GOOGLEFINANCE(C237, ""NAME""))"),"Trex Company Inc")</f>
        <v>Trex Company Inc</v>
      </c>
      <c r="E237" s="30" t="s">
        <v>968</v>
      </c>
      <c r="F237" s="33" t="str">
        <f>IFERROR(__xludf.DUMMYFUNCTION("( (GOOGLEFINANCE(C237, ""price"") - Q237) / Q237 ) / (R237 / 100)"),"Loading...")</f>
        <v>Loading...</v>
      </c>
      <c r="G237" s="20" t="str">
        <f>IFERROR(__xludf.DUMMYFUNCTION("AVERAGE(ARRAYFORMULA(100 * (QUERY(GOOGLEFINANCE(C237, ""high"", TODAY()-40, TODAY()), ""SELECT Col2 WHERE Col2 IS NOT NULL ORDER BY Col1 DESC LIMIT 20"", 0) / QUERY(GOOGLEFINANCE(C237, ""low"", TODAY()-40, TODAY()), ""SELECT Col2 WHERE Col2 IS NOT NULL OR"&amp;"DER BY Col1 DESC LIMIT 20"", 0) - 1)))"),"#N/A")</f>
        <v>#N/A</v>
      </c>
      <c r="H237" s="35" t="str">
        <f t="shared" si="6"/>
        <v/>
      </c>
      <c r="I237" s="35" t="str">
        <f t="shared" si="7"/>
        <v/>
      </c>
      <c r="J237" s="37" t="str">
        <f>IFERROR(__xludf.DUMMYFUNCTION("IFERROR(
  IF(C237="""",, 
    IFERROR(
      GOOGLEFINANCE(C237, ""price"") * GOOGLEFINANCE(C237, ""volumeavg""), 
      GOOGLEFINANCE(C237, ""price"") * AVERAGE(QUERY(GOOGLEFINANCE(C237, ""volume"", TODAY()-40, TODAY()), ""SELECT Col2 WHERE Col2 IS NOT "&amp;"NULL ORDER BY Col1 DESC LIMIT 20"", 0))
    )
  ), 
"""")"),"")</f>
        <v/>
      </c>
      <c r="K237" s="21" t="str">
        <f>IFERROR(__xludf.DUMMYFUNCTION("IFERROR(GOOGLEFINANCE(C237, ""changepct"") / 100, """")"),"")</f>
        <v/>
      </c>
      <c r="L237" s="21" t="str">
        <f>IFERROR(__xludf.DUMMYFUNCTION("IFERROR((GOOGLEFINANCE(C237, ""price"") / INDEX(GOOGLEFINANCE(C237, ""price"", TODAY()-7, TODAY()), 2, 2)) - 1, """")"),"")</f>
        <v/>
      </c>
      <c r="M237" s="21" t="str">
        <f>IFERROR(__xludf.DUMMYFUNCTION("IFERROR((GOOGLEFINANCE(C237, ""price"") / INDEX(GOOGLEFINANCE(C237, ""price"", EDATE(TODAY(), -1), TODAY()), 2, 2)) - 1, """")"),"")</f>
        <v/>
      </c>
      <c r="N237" s="21" t="str">
        <f>IFERROR(__xludf.DUMMYFUNCTION("IFERROR((GOOGLEFINANCE(C237, ""price"") / INDEX(GOOGLEFINANCE(C237, ""price"", EDATE(TODAY(), -3), TODAY()), 2, 2)) - 1, """")"),"")</f>
        <v/>
      </c>
      <c r="O237" s="21" t="str">
        <f>IFERROR(__xludf.DUMMYFUNCTION("IFERROR((GOOGLEFINANCE(C237, ""price"") / INDEX(GOOGLEFINANCE(C237, ""price"", EDATE(TODAY(), -6), TODAY()), 2, 2)) - 1, """")"),"")</f>
        <v/>
      </c>
      <c r="P237" s="21" t="str">
        <f>IFERROR(__xludf.DUMMYFUNCTION("IFERROR((GOOGLEFINANCE(C237, ""price"") / INDEX(GOOGLEFINANCE(C237, ""price"", EDATE(TODAY(), -12), TODAY()), 2, 2)) - 1, """")"),"")</f>
        <v/>
      </c>
      <c r="Q237" s="6" t="str">
        <f>IFERROR(__xludf.DUMMYFUNCTION("AVERAGE(QUERY(GOOGLEFINANCE(C237, ""price"", TODAY()-80, TODAY()), ""SELECT Col2 WHERE Col2 IS NOT NULL ORDER BY Col1 DESC LIMIT 50"", 0))"),"#N/A")</f>
        <v>#N/A</v>
      </c>
      <c r="R237" s="24" t="str">
        <f>IFERROR(__xludf.DUMMYFUNCTION("IFERROR(
  LET(
    data, QUERY(GOOGLEFINANCE(C237,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GOOGLEFINANCE(C237, ""price"")) * 100,
    IF(calc=0, G237, calc)
  ), 
G237)"),"#N/A")</f>
        <v>#N/A</v>
      </c>
      <c r="S237" s="8" t="s">
        <v>15</v>
      </c>
      <c r="T237" s="26" t="str">
        <f>IFERROR(__xludf.DUMMYFUNCTION("IFERROR(TRANSPOSE(QUERY(IFERROR(SORT(GOOGLEFINANCE(C237, ""price"", WORKDAY(TODAY(), -40), TODAY()), 1, FALSE)), ""select Col2 where Col2 is not null limit 22 label Col2 ''"", 0)), """")"),"")</f>
        <v/>
      </c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8"/>
      <c r="AO237" s="28"/>
      <c r="AP237" s="29"/>
      <c r="AQ237" s="29" t="str">
        <f t="shared" ref="AQ237:BL237" si="240">T237/T$2</f>
        <v>#N/A</v>
      </c>
      <c r="AR237" s="29" t="str">
        <f t="shared" si="240"/>
        <v>#DIV/0!</v>
      </c>
      <c r="AS237" s="29" t="str">
        <f t="shared" si="240"/>
        <v>#DIV/0!</v>
      </c>
      <c r="AT237" s="29" t="str">
        <f t="shared" si="240"/>
        <v>#DIV/0!</v>
      </c>
      <c r="AU237" s="29" t="str">
        <f t="shared" si="240"/>
        <v>#DIV/0!</v>
      </c>
      <c r="AV237" s="29" t="str">
        <f t="shared" si="240"/>
        <v>#DIV/0!</v>
      </c>
      <c r="AW237" s="29" t="str">
        <f t="shared" si="240"/>
        <v>#DIV/0!</v>
      </c>
      <c r="AX237" s="29" t="str">
        <f t="shared" si="240"/>
        <v>#DIV/0!</v>
      </c>
      <c r="AY237" s="29" t="str">
        <f t="shared" si="240"/>
        <v>#DIV/0!</v>
      </c>
      <c r="AZ237" s="29" t="str">
        <f t="shared" si="240"/>
        <v>#DIV/0!</v>
      </c>
      <c r="BA237" s="29" t="str">
        <f t="shared" si="240"/>
        <v>#DIV/0!</v>
      </c>
      <c r="BB237" s="29" t="str">
        <f t="shared" si="240"/>
        <v>#DIV/0!</v>
      </c>
      <c r="BC237" s="29" t="str">
        <f t="shared" si="240"/>
        <v>#DIV/0!</v>
      </c>
      <c r="BD237" s="29" t="str">
        <f t="shared" si="240"/>
        <v>#DIV/0!</v>
      </c>
      <c r="BE237" s="29" t="str">
        <f t="shared" si="240"/>
        <v>#DIV/0!</v>
      </c>
      <c r="BF237" s="29" t="str">
        <f t="shared" si="240"/>
        <v>#DIV/0!</v>
      </c>
      <c r="BG237" s="29" t="str">
        <f t="shared" si="240"/>
        <v>#DIV/0!</v>
      </c>
      <c r="BH237" s="29" t="str">
        <f t="shared" si="240"/>
        <v>#DIV/0!</v>
      </c>
      <c r="BI237" s="29" t="str">
        <f t="shared" si="240"/>
        <v>#DIV/0!</v>
      </c>
      <c r="BJ237" s="29" t="str">
        <f t="shared" si="240"/>
        <v>#DIV/0!</v>
      </c>
      <c r="BK237" s="29" t="str">
        <f t="shared" si="240"/>
        <v>#DIV/0!</v>
      </c>
      <c r="BL237" s="29" t="str">
        <f t="shared" si="240"/>
        <v>#DIV/0!</v>
      </c>
      <c r="BM237" s="29" t="str">
        <f t="shared" si="3"/>
        <v>#DIV/0!</v>
      </c>
    </row>
    <row r="238">
      <c r="A238" s="16" t="str">
        <f>IFERROR(__xludf.DUMMYFUNCTION("IFERROR(SPARKLINE(SORT(MAP(TRANSPOSE(AQ238:BL238), LAMBDA(val, IF(ISNUMBER(val), PERCENTRANK(AQ238:BL238, val)+0.01, 0))), SEQUENCE(COLUMNS(AQ238:BL238)), FALSE), {""charttype"",""column""; ""color"",""chartreuse""; ""ymin"", 0; ""ymax"", 1.01; ""highcolo"&amp;"r"", ""darkgreen""; ""lowcolor"", ""red""}), """")"),"")</f>
        <v/>
      </c>
      <c r="B238" s="17" t="str">
        <f t="shared" si="4"/>
        <v/>
      </c>
      <c r="C238" s="1" t="s">
        <v>1765</v>
      </c>
      <c r="D238" s="30" t="str">
        <f>IFERROR(__xludf.DUMMYFUNCTION("IFERROR(GOOGLEFINANCE(C238, ""NAME""))"),"Kornit Digital Ltd")</f>
        <v>Kornit Digital Ltd</v>
      </c>
      <c r="E238" s="30" t="s">
        <v>893</v>
      </c>
      <c r="F238" s="33" t="str">
        <f>IFERROR(__xludf.DUMMYFUNCTION("( (GOOGLEFINANCE(C238, ""price"") - Q238) / Q238 ) / (R238 / 100)"),"Loading...")</f>
        <v>Loading...</v>
      </c>
      <c r="G238" s="20" t="str">
        <f>IFERROR(__xludf.DUMMYFUNCTION("AVERAGE(ARRAYFORMULA(100 * (QUERY(GOOGLEFINANCE(C238, ""high"", TODAY()-40, TODAY()), ""SELECT Col2 WHERE Col2 IS NOT NULL ORDER BY Col1 DESC LIMIT 20"", 0) / QUERY(GOOGLEFINANCE(C238, ""low"", TODAY()-40, TODAY()), ""SELECT Col2 WHERE Col2 IS NOT NULL OR"&amp;"DER BY Col1 DESC LIMIT 20"", 0) - 1)))"),"#N/A")</f>
        <v>#N/A</v>
      </c>
      <c r="H238" s="35" t="str">
        <f t="shared" si="6"/>
        <v/>
      </c>
      <c r="I238" s="35" t="str">
        <f t="shared" si="7"/>
        <v/>
      </c>
      <c r="J238" s="37" t="str">
        <f>IFERROR(__xludf.DUMMYFUNCTION("IFERROR(
  IF(C238="""",, 
    IFERROR(
      GOOGLEFINANCE(C238, ""price"") * GOOGLEFINANCE(C238, ""volumeavg""), 
      GOOGLEFINANCE(C238, ""price"") * AVERAGE(QUERY(GOOGLEFINANCE(C238, ""volume"", TODAY()-40, TODAY()), ""SELECT Col2 WHERE Col2 IS NOT "&amp;"NULL ORDER BY Col1 DESC LIMIT 20"", 0))
    )
  ), 
"""")"),"")</f>
        <v/>
      </c>
      <c r="K238" s="21" t="str">
        <f>IFERROR(__xludf.DUMMYFUNCTION("IFERROR(GOOGLEFINANCE(C238, ""changepct"") / 100, """")"),"")</f>
        <v/>
      </c>
      <c r="L238" s="21" t="str">
        <f>IFERROR(__xludf.DUMMYFUNCTION("IFERROR((GOOGLEFINANCE(C238, ""price"") / INDEX(GOOGLEFINANCE(C238, ""price"", TODAY()-7, TODAY()), 2, 2)) - 1, """")"),"")</f>
        <v/>
      </c>
      <c r="M238" s="21" t="str">
        <f>IFERROR(__xludf.DUMMYFUNCTION("IFERROR((GOOGLEFINANCE(C238, ""price"") / INDEX(GOOGLEFINANCE(C238, ""price"", EDATE(TODAY(), -1), TODAY()), 2, 2)) - 1, """")"),"")</f>
        <v/>
      </c>
      <c r="N238" s="21" t="str">
        <f>IFERROR(__xludf.DUMMYFUNCTION("IFERROR((GOOGLEFINANCE(C238, ""price"") / INDEX(GOOGLEFINANCE(C238, ""price"", EDATE(TODAY(), -3), TODAY()), 2, 2)) - 1, """")"),"")</f>
        <v/>
      </c>
      <c r="O238" s="21" t="str">
        <f>IFERROR(__xludf.DUMMYFUNCTION("IFERROR((GOOGLEFINANCE(C238, ""price"") / INDEX(GOOGLEFINANCE(C238, ""price"", EDATE(TODAY(), -6), TODAY()), 2, 2)) - 1, """")"),"")</f>
        <v/>
      </c>
      <c r="P238" s="21" t="str">
        <f>IFERROR(__xludf.DUMMYFUNCTION("IFERROR((GOOGLEFINANCE(C238, ""price"") / INDEX(GOOGLEFINANCE(C238, ""price"", EDATE(TODAY(), -12), TODAY()), 2, 2)) - 1, """")"),"")</f>
        <v/>
      </c>
      <c r="Q238" s="6" t="str">
        <f>IFERROR(__xludf.DUMMYFUNCTION("AVERAGE(QUERY(GOOGLEFINANCE(C238, ""price"", TODAY()-80, TODAY()), ""SELECT Col2 WHERE Col2 IS NOT NULL ORDER BY Col1 DESC LIMIT 50"", 0))"),"#N/A")</f>
        <v>#N/A</v>
      </c>
      <c r="R238" s="24" t="str">
        <f>IFERROR(__xludf.DUMMYFUNCTION("IFERROR(
  LET(
    data, QUERY(GOOGLEFINANCE(C238,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GOOGLEFINANCE(C238, ""price"")) * 100,
    IF(calc=0, G238, calc)
  ), 
G238)"),"#N/A")</f>
        <v>#N/A</v>
      </c>
      <c r="S238" s="8" t="s">
        <v>15</v>
      </c>
      <c r="T238" s="26" t="str">
        <f>IFERROR(__xludf.DUMMYFUNCTION("IFERROR(TRANSPOSE(QUERY(IFERROR(SORT(GOOGLEFINANCE(C238, ""price"", WORKDAY(TODAY(), -40), TODAY()), 1, FALSE)), ""select Col2 where Col2 is not null limit 22 label Col2 ''"", 0)), """")"),"")</f>
        <v/>
      </c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8"/>
      <c r="AO238" s="28"/>
      <c r="AP238" s="29"/>
      <c r="AQ238" s="29" t="str">
        <f t="shared" ref="AQ238:BL238" si="241">T238/T$2</f>
        <v>#N/A</v>
      </c>
      <c r="AR238" s="29" t="str">
        <f t="shared" si="241"/>
        <v>#DIV/0!</v>
      </c>
      <c r="AS238" s="29" t="str">
        <f t="shared" si="241"/>
        <v>#DIV/0!</v>
      </c>
      <c r="AT238" s="29" t="str">
        <f t="shared" si="241"/>
        <v>#DIV/0!</v>
      </c>
      <c r="AU238" s="29" t="str">
        <f t="shared" si="241"/>
        <v>#DIV/0!</v>
      </c>
      <c r="AV238" s="29" t="str">
        <f t="shared" si="241"/>
        <v>#DIV/0!</v>
      </c>
      <c r="AW238" s="29" t="str">
        <f t="shared" si="241"/>
        <v>#DIV/0!</v>
      </c>
      <c r="AX238" s="29" t="str">
        <f t="shared" si="241"/>
        <v>#DIV/0!</v>
      </c>
      <c r="AY238" s="29" t="str">
        <f t="shared" si="241"/>
        <v>#DIV/0!</v>
      </c>
      <c r="AZ238" s="29" t="str">
        <f t="shared" si="241"/>
        <v>#DIV/0!</v>
      </c>
      <c r="BA238" s="29" t="str">
        <f t="shared" si="241"/>
        <v>#DIV/0!</v>
      </c>
      <c r="BB238" s="29" t="str">
        <f t="shared" si="241"/>
        <v>#DIV/0!</v>
      </c>
      <c r="BC238" s="29" t="str">
        <f t="shared" si="241"/>
        <v>#DIV/0!</v>
      </c>
      <c r="BD238" s="29" t="str">
        <f t="shared" si="241"/>
        <v>#DIV/0!</v>
      </c>
      <c r="BE238" s="29" t="str">
        <f t="shared" si="241"/>
        <v>#DIV/0!</v>
      </c>
      <c r="BF238" s="29" t="str">
        <f t="shared" si="241"/>
        <v>#DIV/0!</v>
      </c>
      <c r="BG238" s="29" t="str">
        <f t="shared" si="241"/>
        <v>#DIV/0!</v>
      </c>
      <c r="BH238" s="29" t="str">
        <f t="shared" si="241"/>
        <v>#DIV/0!</v>
      </c>
      <c r="BI238" s="29" t="str">
        <f t="shared" si="241"/>
        <v>#DIV/0!</v>
      </c>
      <c r="BJ238" s="29" t="str">
        <f t="shared" si="241"/>
        <v>#DIV/0!</v>
      </c>
      <c r="BK238" s="29" t="str">
        <f t="shared" si="241"/>
        <v>#DIV/0!</v>
      </c>
      <c r="BL238" s="29" t="str">
        <f t="shared" si="241"/>
        <v>#DIV/0!</v>
      </c>
      <c r="BM238" s="29" t="str">
        <f t="shared" si="3"/>
        <v>#DIV/0!</v>
      </c>
    </row>
    <row r="239">
      <c r="A239" s="16" t="str">
        <f>IFERROR(__xludf.DUMMYFUNCTION("IFERROR(SPARKLINE(SORT(MAP(TRANSPOSE(AQ239:BL239), LAMBDA(val, IF(ISNUMBER(val), PERCENTRANK(AQ239:BL239, val)+0.01, 0))), SEQUENCE(COLUMNS(AQ239:BL239)), FALSE), {""charttype"",""column""; ""color"",""chartreuse""; ""ymin"", 0; ""ymax"", 1.01; ""highcolo"&amp;"r"", ""darkgreen""; ""lowcolor"", ""red""}), """")"),"")</f>
        <v/>
      </c>
      <c r="B239" s="17" t="str">
        <f t="shared" si="4"/>
        <v/>
      </c>
      <c r="C239" s="1" t="s">
        <v>1770</v>
      </c>
      <c r="D239" s="30" t="str">
        <f>IFERROR(__xludf.DUMMYFUNCTION("IFERROR(GOOGLEFINANCE(C239, ""NAME""))"),"FedEx Corp")</f>
        <v>FedEx Corp</v>
      </c>
      <c r="E239" s="30" t="s">
        <v>955</v>
      </c>
      <c r="F239" s="33" t="str">
        <f>IFERROR(__xludf.DUMMYFUNCTION("( (GOOGLEFINANCE(C239, ""price"") - Q239) / Q239 ) / (R239 / 100)"),"Loading...")</f>
        <v>Loading...</v>
      </c>
      <c r="G239" s="20" t="str">
        <f>IFERROR(__xludf.DUMMYFUNCTION("AVERAGE(ARRAYFORMULA(100 * (QUERY(GOOGLEFINANCE(C239, ""high"", TODAY()-40, TODAY()), ""SELECT Col2 WHERE Col2 IS NOT NULL ORDER BY Col1 DESC LIMIT 20"", 0) / QUERY(GOOGLEFINANCE(C239, ""low"", TODAY()-40, TODAY()), ""SELECT Col2 WHERE Col2 IS NOT NULL OR"&amp;"DER BY Col1 DESC LIMIT 20"", 0) - 1)))"),"#N/A")</f>
        <v>#N/A</v>
      </c>
      <c r="H239" s="35" t="str">
        <f t="shared" si="6"/>
        <v/>
      </c>
      <c r="I239" s="35" t="str">
        <f t="shared" si="7"/>
        <v/>
      </c>
      <c r="J239" s="37" t="str">
        <f>IFERROR(__xludf.DUMMYFUNCTION("IFERROR(
  IF(C239="""",, 
    IFERROR(
      GOOGLEFINANCE(C239, ""price"") * GOOGLEFINANCE(C239, ""volumeavg""), 
      GOOGLEFINANCE(C239, ""price"") * AVERAGE(QUERY(GOOGLEFINANCE(C239, ""volume"", TODAY()-40, TODAY()), ""SELECT Col2 WHERE Col2 IS NOT "&amp;"NULL ORDER BY Col1 DESC LIMIT 20"", 0))
    )
  ), 
"""")"),"")</f>
        <v/>
      </c>
      <c r="K239" s="21" t="str">
        <f>IFERROR(__xludf.DUMMYFUNCTION("IFERROR(GOOGLEFINANCE(C239, ""changepct"") / 100, """")"),"")</f>
        <v/>
      </c>
      <c r="L239" s="21" t="str">
        <f>IFERROR(__xludf.DUMMYFUNCTION("IFERROR((GOOGLEFINANCE(C239, ""price"") / INDEX(GOOGLEFINANCE(C239, ""price"", TODAY()-7, TODAY()), 2, 2)) - 1, """")"),"")</f>
        <v/>
      </c>
      <c r="M239" s="21" t="str">
        <f>IFERROR(__xludf.DUMMYFUNCTION("IFERROR((GOOGLEFINANCE(C239, ""price"") / INDEX(GOOGLEFINANCE(C239, ""price"", EDATE(TODAY(), -1), TODAY()), 2, 2)) - 1, """")"),"")</f>
        <v/>
      </c>
      <c r="N239" s="21" t="str">
        <f>IFERROR(__xludf.DUMMYFUNCTION("IFERROR((GOOGLEFINANCE(C239, ""price"") / INDEX(GOOGLEFINANCE(C239, ""price"", EDATE(TODAY(), -3), TODAY()), 2, 2)) - 1, """")"),"")</f>
        <v/>
      </c>
      <c r="O239" s="21" t="str">
        <f>IFERROR(__xludf.DUMMYFUNCTION("IFERROR((GOOGLEFINANCE(C239, ""price"") / INDEX(GOOGLEFINANCE(C239, ""price"", EDATE(TODAY(), -6), TODAY()), 2, 2)) - 1, """")"),"")</f>
        <v/>
      </c>
      <c r="P239" s="21" t="str">
        <f>IFERROR(__xludf.DUMMYFUNCTION("IFERROR((GOOGLEFINANCE(C239, ""price"") / INDEX(GOOGLEFINANCE(C239, ""price"", EDATE(TODAY(), -12), TODAY()), 2, 2)) - 1, """")"),"")</f>
        <v/>
      </c>
      <c r="Q239" s="6" t="str">
        <f>IFERROR(__xludf.DUMMYFUNCTION("AVERAGE(QUERY(GOOGLEFINANCE(C239, ""price"", TODAY()-80, TODAY()), ""SELECT Col2 WHERE Col2 IS NOT NULL ORDER BY Col1 DESC LIMIT 50"", 0))"),"#N/A")</f>
        <v>#N/A</v>
      </c>
      <c r="R239" s="24" t="str">
        <f>IFERROR(__xludf.DUMMYFUNCTION("IFERROR(
  LET(
    data, QUERY(GOOGLEFINANCE(C239,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GOOGLEFINANCE(C239, ""price"")) * 100,
    IF(calc=0, G239, calc)
  ), 
G239)"),"#N/A")</f>
        <v>#N/A</v>
      </c>
      <c r="S239" s="8" t="s">
        <v>15</v>
      </c>
      <c r="T239" s="26" t="str">
        <f>IFERROR(__xludf.DUMMYFUNCTION("IFERROR(TRANSPOSE(QUERY(IFERROR(SORT(GOOGLEFINANCE(C239, ""price"", WORKDAY(TODAY(), -40), TODAY()), 1, FALSE)), ""select Col2 where Col2 is not null limit 22 label Col2 ''"", 0)), """")"),"")</f>
        <v/>
      </c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8"/>
      <c r="AO239" s="28"/>
      <c r="AP239" s="29"/>
      <c r="AQ239" s="29" t="str">
        <f t="shared" ref="AQ239:BL239" si="242">T239/T$2</f>
        <v>#N/A</v>
      </c>
      <c r="AR239" s="29" t="str">
        <f t="shared" si="242"/>
        <v>#DIV/0!</v>
      </c>
      <c r="AS239" s="29" t="str">
        <f t="shared" si="242"/>
        <v>#DIV/0!</v>
      </c>
      <c r="AT239" s="29" t="str">
        <f t="shared" si="242"/>
        <v>#DIV/0!</v>
      </c>
      <c r="AU239" s="29" t="str">
        <f t="shared" si="242"/>
        <v>#DIV/0!</v>
      </c>
      <c r="AV239" s="29" t="str">
        <f t="shared" si="242"/>
        <v>#DIV/0!</v>
      </c>
      <c r="AW239" s="29" t="str">
        <f t="shared" si="242"/>
        <v>#DIV/0!</v>
      </c>
      <c r="AX239" s="29" t="str">
        <f t="shared" si="242"/>
        <v>#DIV/0!</v>
      </c>
      <c r="AY239" s="29" t="str">
        <f t="shared" si="242"/>
        <v>#DIV/0!</v>
      </c>
      <c r="AZ239" s="29" t="str">
        <f t="shared" si="242"/>
        <v>#DIV/0!</v>
      </c>
      <c r="BA239" s="29" t="str">
        <f t="shared" si="242"/>
        <v>#DIV/0!</v>
      </c>
      <c r="BB239" s="29" t="str">
        <f t="shared" si="242"/>
        <v>#DIV/0!</v>
      </c>
      <c r="BC239" s="29" t="str">
        <f t="shared" si="242"/>
        <v>#DIV/0!</v>
      </c>
      <c r="BD239" s="29" t="str">
        <f t="shared" si="242"/>
        <v>#DIV/0!</v>
      </c>
      <c r="BE239" s="29" t="str">
        <f t="shared" si="242"/>
        <v>#DIV/0!</v>
      </c>
      <c r="BF239" s="29" t="str">
        <f t="shared" si="242"/>
        <v>#DIV/0!</v>
      </c>
      <c r="BG239" s="29" t="str">
        <f t="shared" si="242"/>
        <v>#DIV/0!</v>
      </c>
      <c r="BH239" s="29" t="str">
        <f t="shared" si="242"/>
        <v>#DIV/0!</v>
      </c>
      <c r="BI239" s="29" t="str">
        <f t="shared" si="242"/>
        <v>#DIV/0!</v>
      </c>
      <c r="BJ239" s="29" t="str">
        <f t="shared" si="242"/>
        <v>#DIV/0!</v>
      </c>
      <c r="BK239" s="29" t="str">
        <f t="shared" si="242"/>
        <v>#DIV/0!</v>
      </c>
      <c r="BL239" s="29" t="str">
        <f t="shared" si="242"/>
        <v>#DIV/0!</v>
      </c>
      <c r="BM239" s="29" t="str">
        <f t="shared" si="3"/>
        <v>#DIV/0!</v>
      </c>
    </row>
    <row r="240">
      <c r="A240" s="16" t="str">
        <f>IFERROR(__xludf.DUMMYFUNCTION("IFERROR(SPARKLINE(SORT(MAP(TRANSPOSE(AQ240:BL240), LAMBDA(val, IF(ISNUMBER(val), PERCENTRANK(AQ240:BL240, val)+0.01, 0))), SEQUENCE(COLUMNS(AQ240:BL240)), FALSE), {""charttype"",""column""; ""color"",""chartreuse""; ""ymin"", 0; ""ymax"", 1.01; ""highcolo"&amp;"r"", ""darkgreen""; ""lowcolor"", ""red""}), """")"),"")</f>
        <v/>
      </c>
      <c r="B240" s="17" t="str">
        <f t="shared" si="4"/>
        <v/>
      </c>
      <c r="C240" s="1" t="s">
        <v>1775</v>
      </c>
      <c r="D240" s="30" t="str">
        <f>IFERROR(__xludf.DUMMYFUNCTION("IFERROR(GOOGLEFINANCE(C240, ""NAME""))"),"Agco Corp")</f>
        <v>Agco Corp</v>
      </c>
      <c r="E240" s="30" t="s">
        <v>1036</v>
      </c>
      <c r="F240" s="33" t="str">
        <f>IFERROR(__xludf.DUMMYFUNCTION("( (GOOGLEFINANCE(C240, ""price"") - Q240) / Q240 ) / (R240 / 100)"),"Loading...")</f>
        <v>Loading...</v>
      </c>
      <c r="G240" s="20" t="str">
        <f>IFERROR(__xludf.DUMMYFUNCTION("AVERAGE(ARRAYFORMULA(100 * (QUERY(GOOGLEFINANCE(C240, ""high"", TODAY()-40, TODAY()), ""SELECT Col2 WHERE Col2 IS NOT NULL ORDER BY Col1 DESC LIMIT 20"", 0) / QUERY(GOOGLEFINANCE(C240, ""low"", TODAY()-40, TODAY()), ""SELECT Col2 WHERE Col2 IS NOT NULL OR"&amp;"DER BY Col1 DESC LIMIT 20"", 0) - 1)))"),"#N/A")</f>
        <v>#N/A</v>
      </c>
      <c r="H240" s="35" t="str">
        <f t="shared" si="6"/>
        <v/>
      </c>
      <c r="I240" s="35" t="str">
        <f t="shared" si="7"/>
        <v/>
      </c>
      <c r="J240" s="37" t="str">
        <f>IFERROR(__xludf.DUMMYFUNCTION("IFERROR(
  IF(C240="""",, 
    IFERROR(
      GOOGLEFINANCE(C240, ""price"") * GOOGLEFINANCE(C240, ""volumeavg""), 
      GOOGLEFINANCE(C240, ""price"") * AVERAGE(QUERY(GOOGLEFINANCE(C240, ""volume"", TODAY()-40, TODAY()), ""SELECT Col2 WHERE Col2 IS NOT "&amp;"NULL ORDER BY Col1 DESC LIMIT 20"", 0))
    )
  ), 
"""")"),"")</f>
        <v/>
      </c>
      <c r="K240" s="21" t="str">
        <f>IFERROR(__xludf.DUMMYFUNCTION("IFERROR(GOOGLEFINANCE(C240, ""changepct"") / 100, """")"),"")</f>
        <v/>
      </c>
      <c r="L240" s="21" t="str">
        <f>IFERROR(__xludf.DUMMYFUNCTION("IFERROR((GOOGLEFINANCE(C240, ""price"") / INDEX(GOOGLEFINANCE(C240, ""price"", TODAY()-7, TODAY()), 2, 2)) - 1, """")"),"")</f>
        <v/>
      </c>
      <c r="M240" s="21" t="str">
        <f>IFERROR(__xludf.DUMMYFUNCTION("IFERROR((GOOGLEFINANCE(C240, ""price"") / INDEX(GOOGLEFINANCE(C240, ""price"", EDATE(TODAY(), -1), TODAY()), 2, 2)) - 1, """")"),"")</f>
        <v/>
      </c>
      <c r="N240" s="21" t="str">
        <f>IFERROR(__xludf.DUMMYFUNCTION("IFERROR((GOOGLEFINANCE(C240, ""price"") / INDEX(GOOGLEFINANCE(C240, ""price"", EDATE(TODAY(), -3), TODAY()), 2, 2)) - 1, """")"),"")</f>
        <v/>
      </c>
      <c r="O240" s="21" t="str">
        <f>IFERROR(__xludf.DUMMYFUNCTION("IFERROR((GOOGLEFINANCE(C240, ""price"") / INDEX(GOOGLEFINANCE(C240, ""price"", EDATE(TODAY(), -6), TODAY()), 2, 2)) - 1, """")"),"")</f>
        <v/>
      </c>
      <c r="P240" s="21" t="str">
        <f>IFERROR(__xludf.DUMMYFUNCTION("IFERROR((GOOGLEFINANCE(C240, ""price"") / INDEX(GOOGLEFINANCE(C240, ""price"", EDATE(TODAY(), -12), TODAY()), 2, 2)) - 1, """")"),"")</f>
        <v/>
      </c>
      <c r="Q240" s="6" t="str">
        <f>IFERROR(__xludf.DUMMYFUNCTION("AVERAGE(QUERY(GOOGLEFINANCE(C240, ""price"", TODAY()-80, TODAY()), ""SELECT Col2 WHERE Col2 IS NOT NULL ORDER BY Col1 DESC LIMIT 50"", 0))"),"#N/A")</f>
        <v>#N/A</v>
      </c>
      <c r="R240" s="24" t="str">
        <f>IFERROR(__xludf.DUMMYFUNCTION("IFERROR(
  LET(
    data, QUERY(GOOGLEFINANCE(C240,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GOOGLEFINANCE(C240, ""price"")) * 100,
    IF(calc=0, G240, calc)
  ), 
G240)"),"#N/A")</f>
        <v>#N/A</v>
      </c>
      <c r="S240" s="8" t="s">
        <v>15</v>
      </c>
      <c r="T240" s="26" t="str">
        <f>IFERROR(__xludf.DUMMYFUNCTION("IFERROR(TRANSPOSE(QUERY(IFERROR(SORT(GOOGLEFINANCE(C240, ""price"", WORKDAY(TODAY(), -40), TODAY()), 1, FALSE)), ""select Col2 where Col2 is not null limit 22 label Col2 ''"", 0)), """")"),"")</f>
        <v/>
      </c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8"/>
      <c r="AO240" s="28"/>
      <c r="AP240" s="29"/>
      <c r="AQ240" s="29" t="str">
        <f t="shared" ref="AQ240:BL240" si="243">T240/T$2</f>
        <v>#N/A</v>
      </c>
      <c r="AR240" s="29" t="str">
        <f t="shared" si="243"/>
        <v>#DIV/0!</v>
      </c>
      <c r="AS240" s="29" t="str">
        <f t="shared" si="243"/>
        <v>#DIV/0!</v>
      </c>
      <c r="AT240" s="29" t="str">
        <f t="shared" si="243"/>
        <v>#DIV/0!</v>
      </c>
      <c r="AU240" s="29" t="str">
        <f t="shared" si="243"/>
        <v>#DIV/0!</v>
      </c>
      <c r="AV240" s="29" t="str">
        <f t="shared" si="243"/>
        <v>#DIV/0!</v>
      </c>
      <c r="AW240" s="29" t="str">
        <f t="shared" si="243"/>
        <v>#DIV/0!</v>
      </c>
      <c r="AX240" s="29" t="str">
        <f t="shared" si="243"/>
        <v>#DIV/0!</v>
      </c>
      <c r="AY240" s="29" t="str">
        <f t="shared" si="243"/>
        <v>#DIV/0!</v>
      </c>
      <c r="AZ240" s="29" t="str">
        <f t="shared" si="243"/>
        <v>#DIV/0!</v>
      </c>
      <c r="BA240" s="29" t="str">
        <f t="shared" si="243"/>
        <v>#DIV/0!</v>
      </c>
      <c r="BB240" s="29" t="str">
        <f t="shared" si="243"/>
        <v>#DIV/0!</v>
      </c>
      <c r="BC240" s="29" t="str">
        <f t="shared" si="243"/>
        <v>#DIV/0!</v>
      </c>
      <c r="BD240" s="29" t="str">
        <f t="shared" si="243"/>
        <v>#DIV/0!</v>
      </c>
      <c r="BE240" s="29" t="str">
        <f t="shared" si="243"/>
        <v>#DIV/0!</v>
      </c>
      <c r="BF240" s="29" t="str">
        <f t="shared" si="243"/>
        <v>#DIV/0!</v>
      </c>
      <c r="BG240" s="29" t="str">
        <f t="shared" si="243"/>
        <v>#DIV/0!</v>
      </c>
      <c r="BH240" s="29" t="str">
        <f t="shared" si="243"/>
        <v>#DIV/0!</v>
      </c>
      <c r="BI240" s="29" t="str">
        <f t="shared" si="243"/>
        <v>#DIV/0!</v>
      </c>
      <c r="BJ240" s="29" t="str">
        <f t="shared" si="243"/>
        <v>#DIV/0!</v>
      </c>
      <c r="BK240" s="29" t="str">
        <f t="shared" si="243"/>
        <v>#DIV/0!</v>
      </c>
      <c r="BL240" s="29" t="str">
        <f t="shared" si="243"/>
        <v>#DIV/0!</v>
      </c>
      <c r="BM240" s="29" t="str">
        <f t="shared" si="3"/>
        <v>#DIV/0!</v>
      </c>
    </row>
    <row r="241">
      <c r="A241" s="16" t="str">
        <f>IFERROR(__xludf.DUMMYFUNCTION("IFERROR(SPARKLINE(SORT(MAP(TRANSPOSE(AQ241:BL241), LAMBDA(val, IF(ISNUMBER(val), PERCENTRANK(AQ241:BL241, val)+0.01, 0))), SEQUENCE(COLUMNS(AQ241:BL241)), FALSE), {""charttype"",""column""; ""color"",""chartreuse""; ""ymin"", 0; ""ymax"", 1.01; ""highcolo"&amp;"r"", ""darkgreen""; ""lowcolor"", ""red""}), """")"),"")</f>
        <v/>
      </c>
      <c r="B241" s="17" t="str">
        <f t="shared" si="4"/>
        <v/>
      </c>
      <c r="C241" s="1" t="s">
        <v>1779</v>
      </c>
      <c r="D241" s="30" t="str">
        <f>IFERROR(__xludf.DUMMYFUNCTION("IFERROR(GOOGLEFINANCE(C241, ""NAME""))"),"Grupo Aeroportuario dl Srst SAB CV")</f>
        <v>Grupo Aeroportuario dl Srst SAB CV</v>
      </c>
      <c r="E241" s="30" t="s">
        <v>1001</v>
      </c>
      <c r="F241" s="33" t="str">
        <f>IFERROR(__xludf.DUMMYFUNCTION("( (GOOGLEFINANCE(C241, ""price"") - Q241) / Q241 ) / (R241 / 100)"),"Loading...")</f>
        <v>Loading...</v>
      </c>
      <c r="G241" s="20" t="str">
        <f>IFERROR(__xludf.DUMMYFUNCTION("AVERAGE(ARRAYFORMULA(100 * (QUERY(GOOGLEFINANCE(C241, ""high"", TODAY()-40, TODAY()), ""SELECT Col2 WHERE Col2 IS NOT NULL ORDER BY Col1 DESC LIMIT 20"", 0) / QUERY(GOOGLEFINANCE(C241, ""low"", TODAY()-40, TODAY()), ""SELECT Col2 WHERE Col2 IS NOT NULL OR"&amp;"DER BY Col1 DESC LIMIT 20"", 0) - 1)))"),"#N/A")</f>
        <v>#N/A</v>
      </c>
      <c r="H241" s="35" t="str">
        <f t="shared" si="6"/>
        <v/>
      </c>
      <c r="I241" s="35" t="str">
        <f t="shared" si="7"/>
        <v/>
      </c>
      <c r="J241" s="37" t="str">
        <f>IFERROR(__xludf.DUMMYFUNCTION("IFERROR(
  IF(C241="""",, 
    IFERROR(
      GOOGLEFINANCE(C241, ""price"") * GOOGLEFINANCE(C241, ""volumeavg""), 
      GOOGLEFINANCE(C241, ""price"") * AVERAGE(QUERY(GOOGLEFINANCE(C241, ""volume"", TODAY()-40, TODAY()), ""SELECT Col2 WHERE Col2 IS NOT "&amp;"NULL ORDER BY Col1 DESC LIMIT 20"", 0))
    )
  ), 
"""")"),"")</f>
        <v/>
      </c>
      <c r="K241" s="21" t="str">
        <f>IFERROR(__xludf.DUMMYFUNCTION("IFERROR(GOOGLEFINANCE(C241, ""changepct"") / 100, """")"),"")</f>
        <v/>
      </c>
      <c r="L241" s="21" t="str">
        <f>IFERROR(__xludf.DUMMYFUNCTION("IFERROR((GOOGLEFINANCE(C241, ""price"") / INDEX(GOOGLEFINANCE(C241, ""price"", TODAY()-7, TODAY()), 2, 2)) - 1, """")"),"")</f>
        <v/>
      </c>
      <c r="M241" s="21" t="str">
        <f>IFERROR(__xludf.DUMMYFUNCTION("IFERROR((GOOGLEFINANCE(C241, ""price"") / INDEX(GOOGLEFINANCE(C241, ""price"", EDATE(TODAY(), -1), TODAY()), 2, 2)) - 1, """")"),"")</f>
        <v/>
      </c>
      <c r="N241" s="21" t="str">
        <f>IFERROR(__xludf.DUMMYFUNCTION("IFERROR((GOOGLEFINANCE(C241, ""price"") / INDEX(GOOGLEFINANCE(C241, ""price"", EDATE(TODAY(), -3), TODAY()), 2, 2)) - 1, """")"),"")</f>
        <v/>
      </c>
      <c r="O241" s="21" t="str">
        <f>IFERROR(__xludf.DUMMYFUNCTION("IFERROR((GOOGLEFINANCE(C241, ""price"") / INDEX(GOOGLEFINANCE(C241, ""price"", EDATE(TODAY(), -6), TODAY()), 2, 2)) - 1, """")"),"")</f>
        <v/>
      </c>
      <c r="P241" s="21" t="str">
        <f>IFERROR(__xludf.DUMMYFUNCTION("IFERROR((GOOGLEFINANCE(C241, ""price"") / INDEX(GOOGLEFINANCE(C241, ""price"", EDATE(TODAY(), -12), TODAY()), 2, 2)) - 1, """")"),"")</f>
        <v/>
      </c>
      <c r="Q241" s="6" t="str">
        <f>IFERROR(__xludf.DUMMYFUNCTION("AVERAGE(QUERY(GOOGLEFINANCE(C241, ""price"", TODAY()-80, TODAY()), ""SELECT Col2 WHERE Col2 IS NOT NULL ORDER BY Col1 DESC LIMIT 50"", 0))"),"#N/A")</f>
        <v>#N/A</v>
      </c>
      <c r="R241" s="24" t="str">
        <f>IFERROR(__xludf.DUMMYFUNCTION("IFERROR(
  LET(
    data, QUERY(GOOGLEFINANCE(C241,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GOOGLEFINANCE(C241, ""price"")) * 100,
    IF(calc=0, G241, calc)
  ), 
G241)"),"#N/A")</f>
        <v>#N/A</v>
      </c>
      <c r="S241" s="8" t="s">
        <v>15</v>
      </c>
      <c r="T241" s="26" t="str">
        <f>IFERROR(__xludf.DUMMYFUNCTION("IFERROR(TRANSPOSE(QUERY(IFERROR(SORT(GOOGLEFINANCE(C241, ""price"", WORKDAY(TODAY(), -40), TODAY()), 1, FALSE)), ""select Col2 where Col2 is not null limit 22 label Col2 ''"", 0)), """")"),"")</f>
        <v/>
      </c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8"/>
      <c r="AO241" s="28"/>
      <c r="AP241" s="29"/>
      <c r="AQ241" s="29" t="str">
        <f t="shared" ref="AQ241:BL241" si="244">T241/T$2</f>
        <v>#N/A</v>
      </c>
      <c r="AR241" s="29" t="str">
        <f t="shared" si="244"/>
        <v>#DIV/0!</v>
      </c>
      <c r="AS241" s="29" t="str">
        <f t="shared" si="244"/>
        <v>#DIV/0!</v>
      </c>
      <c r="AT241" s="29" t="str">
        <f t="shared" si="244"/>
        <v>#DIV/0!</v>
      </c>
      <c r="AU241" s="29" t="str">
        <f t="shared" si="244"/>
        <v>#DIV/0!</v>
      </c>
      <c r="AV241" s="29" t="str">
        <f t="shared" si="244"/>
        <v>#DIV/0!</v>
      </c>
      <c r="AW241" s="29" t="str">
        <f t="shared" si="244"/>
        <v>#DIV/0!</v>
      </c>
      <c r="AX241" s="29" t="str">
        <f t="shared" si="244"/>
        <v>#DIV/0!</v>
      </c>
      <c r="AY241" s="29" t="str">
        <f t="shared" si="244"/>
        <v>#DIV/0!</v>
      </c>
      <c r="AZ241" s="29" t="str">
        <f t="shared" si="244"/>
        <v>#DIV/0!</v>
      </c>
      <c r="BA241" s="29" t="str">
        <f t="shared" si="244"/>
        <v>#DIV/0!</v>
      </c>
      <c r="BB241" s="29" t="str">
        <f t="shared" si="244"/>
        <v>#DIV/0!</v>
      </c>
      <c r="BC241" s="29" t="str">
        <f t="shared" si="244"/>
        <v>#DIV/0!</v>
      </c>
      <c r="BD241" s="29" t="str">
        <f t="shared" si="244"/>
        <v>#DIV/0!</v>
      </c>
      <c r="BE241" s="29" t="str">
        <f t="shared" si="244"/>
        <v>#DIV/0!</v>
      </c>
      <c r="BF241" s="29" t="str">
        <f t="shared" si="244"/>
        <v>#DIV/0!</v>
      </c>
      <c r="BG241" s="29" t="str">
        <f t="shared" si="244"/>
        <v>#DIV/0!</v>
      </c>
      <c r="BH241" s="29" t="str">
        <f t="shared" si="244"/>
        <v>#DIV/0!</v>
      </c>
      <c r="BI241" s="29" t="str">
        <f t="shared" si="244"/>
        <v>#DIV/0!</v>
      </c>
      <c r="BJ241" s="29" t="str">
        <f t="shared" si="244"/>
        <v>#DIV/0!</v>
      </c>
      <c r="BK241" s="29" t="str">
        <f t="shared" si="244"/>
        <v>#DIV/0!</v>
      </c>
      <c r="BL241" s="29" t="str">
        <f t="shared" si="244"/>
        <v>#DIV/0!</v>
      </c>
      <c r="BM241" s="29" t="str">
        <f t="shared" si="3"/>
        <v>#DIV/0!</v>
      </c>
    </row>
    <row r="242">
      <c r="A242" s="16" t="str">
        <f>IFERROR(__xludf.DUMMYFUNCTION("IFERROR(SPARKLINE(SORT(MAP(TRANSPOSE(AQ242:BL242), LAMBDA(val, IF(ISNUMBER(val), PERCENTRANK(AQ242:BL242, val)+0.01, 0))), SEQUENCE(COLUMNS(AQ242:BL242)), FALSE), {""charttype"",""column""; ""color"",""chartreuse""; ""ymin"", 0; ""ymax"", 1.01; ""highcolo"&amp;"r"", ""darkgreen""; ""lowcolor"", ""red""}), """")"),"")</f>
        <v/>
      </c>
      <c r="B242" s="17" t="str">
        <f t="shared" si="4"/>
        <v/>
      </c>
      <c r="C242" s="1" t="s">
        <v>1783</v>
      </c>
      <c r="D242" s="30" t="str">
        <f>IFERROR(__xludf.DUMMYFUNCTION("IFERROR(GOOGLEFINANCE(C242, ""NAME""))"),"CRA International Inc")</f>
        <v>CRA International Inc</v>
      </c>
      <c r="E242" s="30" t="s">
        <v>1591</v>
      </c>
      <c r="F242" s="33" t="str">
        <f>IFERROR(__xludf.DUMMYFUNCTION("( (GOOGLEFINANCE(C242, ""price"") - Q242) / Q242 ) / (R242 / 100)"),"Loading...")</f>
        <v>Loading...</v>
      </c>
      <c r="G242" s="20" t="str">
        <f>IFERROR(__xludf.DUMMYFUNCTION("AVERAGE(ARRAYFORMULA(100 * (QUERY(GOOGLEFINANCE(C242, ""high"", TODAY()-40, TODAY()), ""SELECT Col2 WHERE Col2 IS NOT NULL ORDER BY Col1 DESC LIMIT 20"", 0) / QUERY(GOOGLEFINANCE(C242, ""low"", TODAY()-40, TODAY()), ""SELECT Col2 WHERE Col2 IS NOT NULL OR"&amp;"DER BY Col1 DESC LIMIT 20"", 0) - 1)))"),"#N/A")</f>
        <v>#N/A</v>
      </c>
      <c r="H242" s="35" t="str">
        <f t="shared" si="6"/>
        <v/>
      </c>
      <c r="I242" s="35" t="str">
        <f t="shared" si="7"/>
        <v/>
      </c>
      <c r="J242" s="37" t="str">
        <f>IFERROR(__xludf.DUMMYFUNCTION("IFERROR(
  IF(C242="""",, 
    IFERROR(
      GOOGLEFINANCE(C242, ""price"") * GOOGLEFINANCE(C242, ""volumeavg""), 
      GOOGLEFINANCE(C242, ""price"") * AVERAGE(QUERY(GOOGLEFINANCE(C242, ""volume"", TODAY()-40, TODAY()), ""SELECT Col2 WHERE Col2 IS NOT "&amp;"NULL ORDER BY Col1 DESC LIMIT 20"", 0))
    )
  ), 
"""")"),"")</f>
        <v/>
      </c>
      <c r="K242" s="21" t="str">
        <f>IFERROR(__xludf.DUMMYFUNCTION("IFERROR(GOOGLEFINANCE(C242, ""changepct"") / 100, """")"),"")</f>
        <v/>
      </c>
      <c r="L242" s="21" t="str">
        <f>IFERROR(__xludf.DUMMYFUNCTION("IFERROR((GOOGLEFINANCE(C242, ""price"") / INDEX(GOOGLEFINANCE(C242, ""price"", TODAY()-7, TODAY()), 2, 2)) - 1, """")"),"")</f>
        <v/>
      </c>
      <c r="M242" s="21" t="str">
        <f>IFERROR(__xludf.DUMMYFUNCTION("IFERROR((GOOGLEFINANCE(C242, ""price"") / INDEX(GOOGLEFINANCE(C242, ""price"", EDATE(TODAY(), -1), TODAY()), 2, 2)) - 1, """")"),"")</f>
        <v/>
      </c>
      <c r="N242" s="21" t="str">
        <f>IFERROR(__xludf.DUMMYFUNCTION("IFERROR((GOOGLEFINANCE(C242, ""price"") / INDEX(GOOGLEFINANCE(C242, ""price"", EDATE(TODAY(), -3), TODAY()), 2, 2)) - 1, """")"),"")</f>
        <v/>
      </c>
      <c r="O242" s="21" t="str">
        <f>IFERROR(__xludf.DUMMYFUNCTION("IFERROR((GOOGLEFINANCE(C242, ""price"") / INDEX(GOOGLEFINANCE(C242, ""price"", EDATE(TODAY(), -6), TODAY()), 2, 2)) - 1, """")"),"")</f>
        <v/>
      </c>
      <c r="P242" s="21" t="str">
        <f>IFERROR(__xludf.DUMMYFUNCTION("IFERROR((GOOGLEFINANCE(C242, ""price"") / INDEX(GOOGLEFINANCE(C242, ""price"", EDATE(TODAY(), -12), TODAY()), 2, 2)) - 1, """")"),"")</f>
        <v/>
      </c>
      <c r="Q242" s="6" t="str">
        <f>IFERROR(__xludf.DUMMYFUNCTION("AVERAGE(QUERY(GOOGLEFINANCE(C242, ""price"", TODAY()-80, TODAY()), ""SELECT Col2 WHERE Col2 IS NOT NULL ORDER BY Col1 DESC LIMIT 50"", 0))"),"#N/A")</f>
        <v>#N/A</v>
      </c>
      <c r="R242" s="24" t="str">
        <f>IFERROR(__xludf.DUMMYFUNCTION("IFERROR(
  LET(
    data, QUERY(GOOGLEFINANCE(C242,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GOOGLEFINANCE(C242, ""price"")) * 100,
    IF(calc=0, G242, calc)
  ), 
G242)"),"#N/A")</f>
        <v>#N/A</v>
      </c>
      <c r="S242" s="8" t="s">
        <v>15</v>
      </c>
      <c r="T242" s="26" t="str">
        <f>IFERROR(__xludf.DUMMYFUNCTION("IFERROR(TRANSPOSE(QUERY(IFERROR(SORT(GOOGLEFINANCE(C242, ""price"", WORKDAY(TODAY(), -40), TODAY()), 1, FALSE)), ""select Col2 where Col2 is not null limit 22 label Col2 ''"", 0)), """")"),"")</f>
        <v/>
      </c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8"/>
      <c r="AO242" s="28"/>
      <c r="AP242" s="29"/>
      <c r="AQ242" s="29" t="str">
        <f t="shared" ref="AQ242:BL242" si="245">T242/T$2</f>
        <v>#N/A</v>
      </c>
      <c r="AR242" s="29" t="str">
        <f t="shared" si="245"/>
        <v>#DIV/0!</v>
      </c>
      <c r="AS242" s="29" t="str">
        <f t="shared" si="245"/>
        <v>#DIV/0!</v>
      </c>
      <c r="AT242" s="29" t="str">
        <f t="shared" si="245"/>
        <v>#DIV/0!</v>
      </c>
      <c r="AU242" s="29" t="str">
        <f t="shared" si="245"/>
        <v>#DIV/0!</v>
      </c>
      <c r="AV242" s="29" t="str">
        <f t="shared" si="245"/>
        <v>#DIV/0!</v>
      </c>
      <c r="AW242" s="29" t="str">
        <f t="shared" si="245"/>
        <v>#DIV/0!</v>
      </c>
      <c r="AX242" s="29" t="str">
        <f t="shared" si="245"/>
        <v>#DIV/0!</v>
      </c>
      <c r="AY242" s="29" t="str">
        <f t="shared" si="245"/>
        <v>#DIV/0!</v>
      </c>
      <c r="AZ242" s="29" t="str">
        <f t="shared" si="245"/>
        <v>#DIV/0!</v>
      </c>
      <c r="BA242" s="29" t="str">
        <f t="shared" si="245"/>
        <v>#DIV/0!</v>
      </c>
      <c r="BB242" s="29" t="str">
        <f t="shared" si="245"/>
        <v>#DIV/0!</v>
      </c>
      <c r="BC242" s="29" t="str">
        <f t="shared" si="245"/>
        <v>#DIV/0!</v>
      </c>
      <c r="BD242" s="29" t="str">
        <f t="shared" si="245"/>
        <v>#DIV/0!</v>
      </c>
      <c r="BE242" s="29" t="str">
        <f t="shared" si="245"/>
        <v>#DIV/0!</v>
      </c>
      <c r="BF242" s="29" t="str">
        <f t="shared" si="245"/>
        <v>#DIV/0!</v>
      </c>
      <c r="BG242" s="29" t="str">
        <f t="shared" si="245"/>
        <v>#DIV/0!</v>
      </c>
      <c r="BH242" s="29" t="str">
        <f t="shared" si="245"/>
        <v>#DIV/0!</v>
      </c>
      <c r="BI242" s="29" t="str">
        <f t="shared" si="245"/>
        <v>#DIV/0!</v>
      </c>
      <c r="BJ242" s="29" t="str">
        <f t="shared" si="245"/>
        <v>#DIV/0!</v>
      </c>
      <c r="BK242" s="29" t="str">
        <f t="shared" si="245"/>
        <v>#DIV/0!</v>
      </c>
      <c r="BL242" s="29" t="str">
        <f t="shared" si="245"/>
        <v>#DIV/0!</v>
      </c>
      <c r="BM242" s="29" t="str">
        <f t="shared" si="3"/>
        <v>#DIV/0!</v>
      </c>
    </row>
    <row r="243">
      <c r="A243" s="16" t="str">
        <f>IFERROR(__xludf.DUMMYFUNCTION("IFERROR(SPARKLINE(SORT(MAP(TRANSPOSE(AQ243:BL243), LAMBDA(val, IF(ISNUMBER(val), PERCENTRANK(AQ243:BL243, val)+0.01, 0))), SEQUENCE(COLUMNS(AQ243:BL243)), FALSE), {""charttype"",""column""; ""color"",""chartreuse""; ""ymin"", 0; ""ymax"", 1.01; ""highcolo"&amp;"r"", ""darkgreen""; ""lowcolor"", ""red""}), """")"),"")</f>
        <v/>
      </c>
      <c r="B243" s="17" t="str">
        <f t="shared" si="4"/>
        <v/>
      </c>
      <c r="C243" s="1" t="s">
        <v>1789</v>
      </c>
      <c r="D243" s="30" t="str">
        <f>IFERROR(__xludf.DUMMYFUNCTION("IFERROR(GOOGLEFINANCE(C243, ""NAME""))"),"Quad/Graphics Inc")</f>
        <v>Quad/Graphics Inc</v>
      </c>
      <c r="E243" s="30" t="s">
        <v>916</v>
      </c>
      <c r="F243" s="33" t="str">
        <f>IFERROR(__xludf.DUMMYFUNCTION("( (GOOGLEFINANCE(C243, ""price"") - Q243) / Q243 ) / (R243 / 100)"),"Loading...")</f>
        <v>Loading...</v>
      </c>
      <c r="G243" s="20" t="str">
        <f>IFERROR(__xludf.DUMMYFUNCTION("AVERAGE(ARRAYFORMULA(100 * (QUERY(GOOGLEFINANCE(C243, ""high"", TODAY()-40, TODAY()), ""SELECT Col2 WHERE Col2 IS NOT NULL ORDER BY Col1 DESC LIMIT 20"", 0) / QUERY(GOOGLEFINANCE(C243, ""low"", TODAY()-40, TODAY()), ""SELECT Col2 WHERE Col2 IS NOT NULL OR"&amp;"DER BY Col1 DESC LIMIT 20"", 0) - 1)))"),"#N/A")</f>
        <v>#N/A</v>
      </c>
      <c r="H243" s="35" t="str">
        <f t="shared" si="6"/>
        <v/>
      </c>
      <c r="I243" s="35" t="str">
        <f t="shared" si="7"/>
        <v/>
      </c>
      <c r="J243" s="37" t="str">
        <f>IFERROR(__xludf.DUMMYFUNCTION("IFERROR(
  IF(C243="""",, 
    IFERROR(
      GOOGLEFINANCE(C243, ""price"") * GOOGLEFINANCE(C243, ""volumeavg""), 
      GOOGLEFINANCE(C243, ""price"") * AVERAGE(QUERY(GOOGLEFINANCE(C243, ""volume"", TODAY()-40, TODAY()), ""SELECT Col2 WHERE Col2 IS NOT "&amp;"NULL ORDER BY Col1 DESC LIMIT 20"", 0))
    )
  ), 
"""")"),"")</f>
        <v/>
      </c>
      <c r="K243" s="21" t="str">
        <f>IFERROR(__xludf.DUMMYFUNCTION("IFERROR(GOOGLEFINANCE(C243, ""changepct"") / 100, """")"),"")</f>
        <v/>
      </c>
      <c r="L243" s="21" t="str">
        <f>IFERROR(__xludf.DUMMYFUNCTION("IFERROR((GOOGLEFINANCE(C243, ""price"") / INDEX(GOOGLEFINANCE(C243, ""price"", TODAY()-7, TODAY()), 2, 2)) - 1, """")"),"")</f>
        <v/>
      </c>
      <c r="M243" s="21" t="str">
        <f>IFERROR(__xludf.DUMMYFUNCTION("IFERROR((GOOGLEFINANCE(C243, ""price"") / INDEX(GOOGLEFINANCE(C243, ""price"", EDATE(TODAY(), -1), TODAY()), 2, 2)) - 1, """")"),"")</f>
        <v/>
      </c>
      <c r="N243" s="21" t="str">
        <f>IFERROR(__xludf.DUMMYFUNCTION("IFERROR((GOOGLEFINANCE(C243, ""price"") / INDEX(GOOGLEFINANCE(C243, ""price"", EDATE(TODAY(), -3), TODAY()), 2, 2)) - 1, """")"),"")</f>
        <v/>
      </c>
      <c r="O243" s="21" t="str">
        <f>IFERROR(__xludf.DUMMYFUNCTION("IFERROR((GOOGLEFINANCE(C243, ""price"") / INDEX(GOOGLEFINANCE(C243, ""price"", EDATE(TODAY(), -6), TODAY()), 2, 2)) - 1, """")"),"")</f>
        <v/>
      </c>
      <c r="P243" s="21" t="str">
        <f>IFERROR(__xludf.DUMMYFUNCTION("IFERROR((GOOGLEFINANCE(C243, ""price"") / INDEX(GOOGLEFINANCE(C243, ""price"", EDATE(TODAY(), -12), TODAY()), 2, 2)) - 1, """")"),"")</f>
        <v/>
      </c>
      <c r="Q243" s="6" t="str">
        <f>IFERROR(__xludf.DUMMYFUNCTION("AVERAGE(QUERY(GOOGLEFINANCE(C243, ""price"", TODAY()-80, TODAY()), ""SELECT Col2 WHERE Col2 IS NOT NULL ORDER BY Col1 DESC LIMIT 50"", 0))"),"#N/A")</f>
        <v>#N/A</v>
      </c>
      <c r="R243" s="24" t="str">
        <f>IFERROR(__xludf.DUMMYFUNCTION("IFERROR(
  LET(
    data, QUERY(GOOGLEFINANCE(C243,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GOOGLEFINANCE(C243, ""price"")) * 100,
    IF(calc=0, G243, calc)
  ), 
G243)"),"#N/A")</f>
        <v>#N/A</v>
      </c>
      <c r="S243" s="8" t="s">
        <v>15</v>
      </c>
      <c r="T243" s="26" t="str">
        <f>IFERROR(__xludf.DUMMYFUNCTION("IFERROR(TRANSPOSE(QUERY(IFERROR(SORT(GOOGLEFINANCE(C243, ""price"", WORKDAY(TODAY(), -40), TODAY()), 1, FALSE)), ""select Col2 where Col2 is not null limit 22 label Col2 ''"", 0)), """")"),"")</f>
        <v/>
      </c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8"/>
      <c r="AO243" s="28"/>
      <c r="AP243" s="29"/>
      <c r="AQ243" s="29" t="str">
        <f t="shared" ref="AQ243:BL243" si="246">T243/T$2</f>
        <v>#N/A</v>
      </c>
      <c r="AR243" s="29" t="str">
        <f t="shared" si="246"/>
        <v>#DIV/0!</v>
      </c>
      <c r="AS243" s="29" t="str">
        <f t="shared" si="246"/>
        <v>#DIV/0!</v>
      </c>
      <c r="AT243" s="29" t="str">
        <f t="shared" si="246"/>
        <v>#DIV/0!</v>
      </c>
      <c r="AU243" s="29" t="str">
        <f t="shared" si="246"/>
        <v>#DIV/0!</v>
      </c>
      <c r="AV243" s="29" t="str">
        <f t="shared" si="246"/>
        <v>#DIV/0!</v>
      </c>
      <c r="AW243" s="29" t="str">
        <f t="shared" si="246"/>
        <v>#DIV/0!</v>
      </c>
      <c r="AX243" s="29" t="str">
        <f t="shared" si="246"/>
        <v>#DIV/0!</v>
      </c>
      <c r="AY243" s="29" t="str">
        <f t="shared" si="246"/>
        <v>#DIV/0!</v>
      </c>
      <c r="AZ243" s="29" t="str">
        <f t="shared" si="246"/>
        <v>#DIV/0!</v>
      </c>
      <c r="BA243" s="29" t="str">
        <f t="shared" si="246"/>
        <v>#DIV/0!</v>
      </c>
      <c r="BB243" s="29" t="str">
        <f t="shared" si="246"/>
        <v>#DIV/0!</v>
      </c>
      <c r="BC243" s="29" t="str">
        <f t="shared" si="246"/>
        <v>#DIV/0!</v>
      </c>
      <c r="BD243" s="29" t="str">
        <f t="shared" si="246"/>
        <v>#DIV/0!</v>
      </c>
      <c r="BE243" s="29" t="str">
        <f t="shared" si="246"/>
        <v>#DIV/0!</v>
      </c>
      <c r="BF243" s="29" t="str">
        <f t="shared" si="246"/>
        <v>#DIV/0!</v>
      </c>
      <c r="BG243" s="29" t="str">
        <f t="shared" si="246"/>
        <v>#DIV/0!</v>
      </c>
      <c r="BH243" s="29" t="str">
        <f t="shared" si="246"/>
        <v>#DIV/0!</v>
      </c>
      <c r="BI243" s="29" t="str">
        <f t="shared" si="246"/>
        <v>#DIV/0!</v>
      </c>
      <c r="BJ243" s="29" t="str">
        <f t="shared" si="246"/>
        <v>#DIV/0!</v>
      </c>
      <c r="BK243" s="29" t="str">
        <f t="shared" si="246"/>
        <v>#DIV/0!</v>
      </c>
      <c r="BL243" s="29" t="str">
        <f t="shared" si="246"/>
        <v>#DIV/0!</v>
      </c>
      <c r="BM243" s="29" t="str">
        <f t="shared" si="3"/>
        <v>#DIV/0!</v>
      </c>
    </row>
    <row r="244">
      <c r="A244" s="16" t="str">
        <f>IFERROR(__xludf.DUMMYFUNCTION("IFERROR(SPARKLINE(SORT(MAP(TRANSPOSE(AQ244:BL244), LAMBDA(val, IF(ISNUMBER(val), PERCENTRANK(AQ244:BL244, val)+0.01, 0))), SEQUENCE(COLUMNS(AQ244:BL244)), FALSE), {""charttype"",""column""; ""color"",""chartreuse""; ""ymin"", 0; ""ymax"", 1.01; ""highcolo"&amp;"r"", ""darkgreen""; ""lowcolor"", ""red""}), """")"),"")</f>
        <v/>
      </c>
      <c r="B244" s="17" t="str">
        <f t="shared" si="4"/>
        <v/>
      </c>
      <c r="C244" s="1" t="s">
        <v>1792</v>
      </c>
      <c r="D244" s="30" t="str">
        <f>IFERROR(__xludf.DUMMYFUNCTION("IFERROR(GOOGLEFINANCE(C244, ""NAME""))"),"AeroVironment, Inc.")</f>
        <v>AeroVironment, Inc.</v>
      </c>
      <c r="E244" s="30" t="s">
        <v>839</v>
      </c>
      <c r="F244" s="33" t="str">
        <f>IFERROR(__xludf.DUMMYFUNCTION("( (GOOGLEFINANCE(C244, ""price"") - Q244) / Q244 ) / (R244 / 100)"),"Loading...")</f>
        <v>Loading...</v>
      </c>
      <c r="G244" s="20" t="str">
        <f>IFERROR(__xludf.DUMMYFUNCTION("AVERAGE(ARRAYFORMULA(100 * (QUERY(GOOGLEFINANCE(C244, ""high"", TODAY()-40, TODAY()), ""SELECT Col2 WHERE Col2 IS NOT NULL ORDER BY Col1 DESC LIMIT 20"", 0) / QUERY(GOOGLEFINANCE(C244, ""low"", TODAY()-40, TODAY()), ""SELECT Col2 WHERE Col2 IS NOT NULL OR"&amp;"DER BY Col1 DESC LIMIT 20"", 0) - 1)))"),"#N/A")</f>
        <v>#N/A</v>
      </c>
      <c r="H244" s="35" t="str">
        <f t="shared" si="6"/>
        <v/>
      </c>
      <c r="I244" s="35" t="str">
        <f t="shared" si="7"/>
        <v/>
      </c>
      <c r="J244" s="37" t="str">
        <f>IFERROR(__xludf.DUMMYFUNCTION("IFERROR(
  IF(C244="""",, 
    IFERROR(
      GOOGLEFINANCE(C244, ""price"") * GOOGLEFINANCE(C244, ""volumeavg""), 
      GOOGLEFINANCE(C244, ""price"") * AVERAGE(QUERY(GOOGLEFINANCE(C244, ""volume"", TODAY()-40, TODAY()), ""SELECT Col2 WHERE Col2 IS NOT "&amp;"NULL ORDER BY Col1 DESC LIMIT 20"", 0))
    )
  ), 
"""")"),"")</f>
        <v/>
      </c>
      <c r="K244" s="21" t="str">
        <f>IFERROR(__xludf.DUMMYFUNCTION("IFERROR(GOOGLEFINANCE(C244, ""changepct"") / 100, """")"),"")</f>
        <v/>
      </c>
      <c r="L244" s="21" t="str">
        <f>IFERROR(__xludf.DUMMYFUNCTION("IFERROR((GOOGLEFINANCE(C244, ""price"") / INDEX(GOOGLEFINANCE(C244, ""price"", TODAY()-7, TODAY()), 2, 2)) - 1, """")"),"")</f>
        <v/>
      </c>
      <c r="M244" s="21" t="str">
        <f>IFERROR(__xludf.DUMMYFUNCTION("IFERROR((GOOGLEFINANCE(C244, ""price"") / INDEX(GOOGLEFINANCE(C244, ""price"", EDATE(TODAY(), -1), TODAY()), 2, 2)) - 1, """")"),"")</f>
        <v/>
      </c>
      <c r="N244" s="21" t="str">
        <f>IFERROR(__xludf.DUMMYFUNCTION("IFERROR((GOOGLEFINANCE(C244, ""price"") / INDEX(GOOGLEFINANCE(C244, ""price"", EDATE(TODAY(), -3), TODAY()), 2, 2)) - 1, """")"),"")</f>
        <v/>
      </c>
      <c r="O244" s="21" t="str">
        <f>IFERROR(__xludf.DUMMYFUNCTION("IFERROR((GOOGLEFINANCE(C244, ""price"") / INDEX(GOOGLEFINANCE(C244, ""price"", EDATE(TODAY(), -6), TODAY()), 2, 2)) - 1, """")"),"")</f>
        <v/>
      </c>
      <c r="P244" s="21" t="str">
        <f>IFERROR(__xludf.DUMMYFUNCTION("IFERROR((GOOGLEFINANCE(C244, ""price"") / INDEX(GOOGLEFINANCE(C244, ""price"", EDATE(TODAY(), -12), TODAY()), 2, 2)) - 1, """")"),"")</f>
        <v/>
      </c>
      <c r="Q244" s="6" t="str">
        <f>IFERROR(__xludf.DUMMYFUNCTION("AVERAGE(QUERY(GOOGLEFINANCE(C244, ""price"", TODAY()-80, TODAY()), ""SELECT Col2 WHERE Col2 IS NOT NULL ORDER BY Col1 DESC LIMIT 50"", 0))"),"#N/A")</f>
        <v>#N/A</v>
      </c>
      <c r="R244" s="24" t="str">
        <f>IFERROR(__xludf.DUMMYFUNCTION("IFERROR(
  LET(
    data, QUERY(GOOGLEFINANCE(C244,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GOOGLEFINANCE(C244, ""price"")) * 100,
    IF(calc=0, G244, calc)
  ), 
G244)"),"#N/A")</f>
        <v>#N/A</v>
      </c>
      <c r="S244" s="8" t="s">
        <v>15</v>
      </c>
      <c r="T244" s="26" t="str">
        <f>IFERROR(__xludf.DUMMYFUNCTION("IFERROR(TRANSPOSE(QUERY(IFERROR(SORT(GOOGLEFINANCE(C244, ""price"", WORKDAY(TODAY(), -40), TODAY()), 1, FALSE)), ""select Col2 where Col2 is not null limit 22 label Col2 ''"", 0)), """")"),"")</f>
        <v/>
      </c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8"/>
      <c r="AO244" s="28"/>
      <c r="AP244" s="29"/>
      <c r="AQ244" s="29" t="str">
        <f t="shared" ref="AQ244:BL244" si="247">T244/T$2</f>
        <v>#N/A</v>
      </c>
      <c r="AR244" s="29" t="str">
        <f t="shared" si="247"/>
        <v>#DIV/0!</v>
      </c>
      <c r="AS244" s="29" t="str">
        <f t="shared" si="247"/>
        <v>#DIV/0!</v>
      </c>
      <c r="AT244" s="29" t="str">
        <f t="shared" si="247"/>
        <v>#DIV/0!</v>
      </c>
      <c r="AU244" s="29" t="str">
        <f t="shared" si="247"/>
        <v>#DIV/0!</v>
      </c>
      <c r="AV244" s="29" t="str">
        <f t="shared" si="247"/>
        <v>#DIV/0!</v>
      </c>
      <c r="AW244" s="29" t="str">
        <f t="shared" si="247"/>
        <v>#DIV/0!</v>
      </c>
      <c r="AX244" s="29" t="str">
        <f t="shared" si="247"/>
        <v>#DIV/0!</v>
      </c>
      <c r="AY244" s="29" t="str">
        <f t="shared" si="247"/>
        <v>#DIV/0!</v>
      </c>
      <c r="AZ244" s="29" t="str">
        <f t="shared" si="247"/>
        <v>#DIV/0!</v>
      </c>
      <c r="BA244" s="29" t="str">
        <f t="shared" si="247"/>
        <v>#DIV/0!</v>
      </c>
      <c r="BB244" s="29" t="str">
        <f t="shared" si="247"/>
        <v>#DIV/0!</v>
      </c>
      <c r="BC244" s="29" t="str">
        <f t="shared" si="247"/>
        <v>#DIV/0!</v>
      </c>
      <c r="BD244" s="29" t="str">
        <f t="shared" si="247"/>
        <v>#DIV/0!</v>
      </c>
      <c r="BE244" s="29" t="str">
        <f t="shared" si="247"/>
        <v>#DIV/0!</v>
      </c>
      <c r="BF244" s="29" t="str">
        <f t="shared" si="247"/>
        <v>#DIV/0!</v>
      </c>
      <c r="BG244" s="29" t="str">
        <f t="shared" si="247"/>
        <v>#DIV/0!</v>
      </c>
      <c r="BH244" s="29" t="str">
        <f t="shared" si="247"/>
        <v>#DIV/0!</v>
      </c>
      <c r="BI244" s="29" t="str">
        <f t="shared" si="247"/>
        <v>#DIV/0!</v>
      </c>
      <c r="BJ244" s="29" t="str">
        <f t="shared" si="247"/>
        <v>#DIV/0!</v>
      </c>
      <c r="BK244" s="29" t="str">
        <f t="shared" si="247"/>
        <v>#DIV/0!</v>
      </c>
      <c r="BL244" s="29" t="str">
        <f t="shared" si="247"/>
        <v>#DIV/0!</v>
      </c>
      <c r="BM244" s="29" t="str">
        <f t="shared" si="3"/>
        <v>#DIV/0!</v>
      </c>
    </row>
    <row r="245">
      <c r="A245" s="16" t="str">
        <f>IFERROR(__xludf.DUMMYFUNCTION("IFERROR(SPARKLINE(SORT(MAP(TRANSPOSE(AQ245:BL245), LAMBDA(val, IF(ISNUMBER(val), PERCENTRANK(AQ245:BL245, val)+0.01, 0))), SEQUENCE(COLUMNS(AQ245:BL245)), FALSE), {""charttype"",""column""; ""color"",""chartreuse""; ""ymin"", 0; ""ymax"", 1.01; ""highcolo"&amp;"r"", ""darkgreen""; ""lowcolor"", ""red""}), """")"),"")</f>
        <v/>
      </c>
      <c r="B245" s="17" t="str">
        <f t="shared" si="4"/>
        <v/>
      </c>
      <c r="C245" s="1" t="s">
        <v>1796</v>
      </c>
      <c r="D245" s="30" t="str">
        <f>IFERROR(__xludf.DUMMYFUNCTION("IFERROR(GOOGLEFINANCE(C245, ""NAME""))"),"Fluor Corp")</f>
        <v>Fluor Corp</v>
      </c>
      <c r="E245" s="30" t="s">
        <v>856</v>
      </c>
      <c r="F245" s="33" t="str">
        <f>IFERROR(__xludf.DUMMYFUNCTION("( (GOOGLEFINANCE(C245, ""price"") - Q245) / Q245 ) / (R245 / 100)"),"Loading...")</f>
        <v>Loading...</v>
      </c>
      <c r="G245" s="20" t="str">
        <f>IFERROR(__xludf.DUMMYFUNCTION("AVERAGE(ARRAYFORMULA(100 * (QUERY(GOOGLEFINANCE(C245, ""high"", TODAY()-40, TODAY()), ""SELECT Col2 WHERE Col2 IS NOT NULL ORDER BY Col1 DESC LIMIT 20"", 0) / QUERY(GOOGLEFINANCE(C245, ""low"", TODAY()-40, TODAY()), ""SELECT Col2 WHERE Col2 IS NOT NULL OR"&amp;"DER BY Col1 DESC LIMIT 20"", 0) - 1)))"),"#N/A")</f>
        <v>#N/A</v>
      </c>
      <c r="H245" s="35" t="str">
        <f t="shared" si="6"/>
        <v/>
      </c>
      <c r="I245" s="35" t="str">
        <f t="shared" si="7"/>
        <v/>
      </c>
      <c r="J245" s="37" t="str">
        <f>IFERROR(__xludf.DUMMYFUNCTION("IFERROR(
  IF(C245="""",, 
    IFERROR(
      GOOGLEFINANCE(C245, ""price"") * GOOGLEFINANCE(C245, ""volumeavg""), 
      GOOGLEFINANCE(C245, ""price"") * AVERAGE(QUERY(GOOGLEFINANCE(C245, ""volume"", TODAY()-40, TODAY()), ""SELECT Col2 WHERE Col2 IS NOT "&amp;"NULL ORDER BY Col1 DESC LIMIT 20"", 0))
    )
  ), 
"""")"),"")</f>
        <v/>
      </c>
      <c r="K245" s="21" t="str">
        <f>IFERROR(__xludf.DUMMYFUNCTION("IFERROR(GOOGLEFINANCE(C245, ""changepct"") / 100, """")"),"")</f>
        <v/>
      </c>
      <c r="L245" s="21" t="str">
        <f>IFERROR(__xludf.DUMMYFUNCTION("IFERROR((GOOGLEFINANCE(C245, ""price"") / INDEX(GOOGLEFINANCE(C245, ""price"", TODAY()-7, TODAY()), 2, 2)) - 1, """")"),"")</f>
        <v/>
      </c>
      <c r="M245" s="21" t="str">
        <f>IFERROR(__xludf.DUMMYFUNCTION("IFERROR((GOOGLEFINANCE(C245, ""price"") / INDEX(GOOGLEFINANCE(C245, ""price"", EDATE(TODAY(), -1), TODAY()), 2, 2)) - 1, """")"),"")</f>
        <v/>
      </c>
      <c r="N245" s="21" t="str">
        <f>IFERROR(__xludf.DUMMYFUNCTION("IFERROR((GOOGLEFINANCE(C245, ""price"") / INDEX(GOOGLEFINANCE(C245, ""price"", EDATE(TODAY(), -3), TODAY()), 2, 2)) - 1, """")"),"")</f>
        <v/>
      </c>
      <c r="O245" s="21" t="str">
        <f>IFERROR(__xludf.DUMMYFUNCTION("IFERROR((GOOGLEFINANCE(C245, ""price"") / INDEX(GOOGLEFINANCE(C245, ""price"", EDATE(TODAY(), -6), TODAY()), 2, 2)) - 1, """")"),"")</f>
        <v/>
      </c>
      <c r="P245" s="21" t="str">
        <f>IFERROR(__xludf.DUMMYFUNCTION("IFERROR((GOOGLEFINANCE(C245, ""price"") / INDEX(GOOGLEFINANCE(C245, ""price"", EDATE(TODAY(), -12), TODAY()), 2, 2)) - 1, """")"),"")</f>
        <v/>
      </c>
      <c r="Q245" s="6" t="str">
        <f>IFERROR(__xludf.DUMMYFUNCTION("AVERAGE(QUERY(GOOGLEFINANCE(C245, ""price"", TODAY()-80, TODAY()), ""SELECT Col2 WHERE Col2 IS NOT NULL ORDER BY Col1 DESC LIMIT 50"", 0))"),"#N/A")</f>
        <v>#N/A</v>
      </c>
      <c r="R245" s="24" t="str">
        <f>IFERROR(__xludf.DUMMYFUNCTION("IFERROR(
  LET(
    data, QUERY(GOOGLEFINANCE(C245,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GOOGLEFINANCE(C245, ""price"")) * 100,
    IF(calc=0, G245, calc)
  ), 
G245)"),"#N/A")</f>
        <v>#N/A</v>
      </c>
      <c r="S245" s="8" t="s">
        <v>15</v>
      </c>
      <c r="T245" s="26" t="str">
        <f>IFERROR(__xludf.DUMMYFUNCTION("IFERROR(TRANSPOSE(QUERY(IFERROR(SORT(GOOGLEFINANCE(C245, ""price"", WORKDAY(TODAY(), -40), TODAY()), 1, FALSE)), ""select Col2 where Col2 is not null limit 22 label Col2 ''"", 0)), """")"),"")</f>
        <v/>
      </c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8"/>
      <c r="AO245" s="28"/>
      <c r="AP245" s="29"/>
      <c r="AQ245" s="29" t="str">
        <f t="shared" ref="AQ245:BL245" si="248">T245/T$2</f>
        <v>#N/A</v>
      </c>
      <c r="AR245" s="29" t="str">
        <f t="shared" si="248"/>
        <v>#DIV/0!</v>
      </c>
      <c r="AS245" s="29" t="str">
        <f t="shared" si="248"/>
        <v>#DIV/0!</v>
      </c>
      <c r="AT245" s="29" t="str">
        <f t="shared" si="248"/>
        <v>#DIV/0!</v>
      </c>
      <c r="AU245" s="29" t="str">
        <f t="shared" si="248"/>
        <v>#DIV/0!</v>
      </c>
      <c r="AV245" s="29" t="str">
        <f t="shared" si="248"/>
        <v>#DIV/0!</v>
      </c>
      <c r="AW245" s="29" t="str">
        <f t="shared" si="248"/>
        <v>#DIV/0!</v>
      </c>
      <c r="AX245" s="29" t="str">
        <f t="shared" si="248"/>
        <v>#DIV/0!</v>
      </c>
      <c r="AY245" s="29" t="str">
        <f t="shared" si="248"/>
        <v>#DIV/0!</v>
      </c>
      <c r="AZ245" s="29" t="str">
        <f t="shared" si="248"/>
        <v>#DIV/0!</v>
      </c>
      <c r="BA245" s="29" t="str">
        <f t="shared" si="248"/>
        <v>#DIV/0!</v>
      </c>
      <c r="BB245" s="29" t="str">
        <f t="shared" si="248"/>
        <v>#DIV/0!</v>
      </c>
      <c r="BC245" s="29" t="str">
        <f t="shared" si="248"/>
        <v>#DIV/0!</v>
      </c>
      <c r="BD245" s="29" t="str">
        <f t="shared" si="248"/>
        <v>#DIV/0!</v>
      </c>
      <c r="BE245" s="29" t="str">
        <f t="shared" si="248"/>
        <v>#DIV/0!</v>
      </c>
      <c r="BF245" s="29" t="str">
        <f t="shared" si="248"/>
        <v>#DIV/0!</v>
      </c>
      <c r="BG245" s="29" t="str">
        <f t="shared" si="248"/>
        <v>#DIV/0!</v>
      </c>
      <c r="BH245" s="29" t="str">
        <f t="shared" si="248"/>
        <v>#DIV/0!</v>
      </c>
      <c r="BI245" s="29" t="str">
        <f t="shared" si="248"/>
        <v>#DIV/0!</v>
      </c>
      <c r="BJ245" s="29" t="str">
        <f t="shared" si="248"/>
        <v>#DIV/0!</v>
      </c>
      <c r="BK245" s="29" t="str">
        <f t="shared" si="248"/>
        <v>#DIV/0!</v>
      </c>
      <c r="BL245" s="29" t="str">
        <f t="shared" si="248"/>
        <v>#DIV/0!</v>
      </c>
      <c r="BM245" s="29" t="str">
        <f t="shared" si="3"/>
        <v>#DIV/0!</v>
      </c>
    </row>
    <row r="246">
      <c r="A246" s="16" t="str">
        <f>IFERROR(__xludf.DUMMYFUNCTION("IFERROR(SPARKLINE(SORT(MAP(TRANSPOSE(AQ246:BL246), LAMBDA(val, IF(ISNUMBER(val), PERCENTRANK(AQ246:BL246, val)+0.01, 0))), SEQUENCE(COLUMNS(AQ246:BL246)), FALSE), {""charttype"",""column""; ""color"",""chartreuse""; ""ymin"", 0; ""ymax"", 1.01; ""highcolo"&amp;"r"", ""darkgreen""; ""lowcolor"", ""red""}), """")"),"")</f>
        <v/>
      </c>
      <c r="B246" s="17" t="str">
        <f t="shared" si="4"/>
        <v/>
      </c>
      <c r="C246" s="1" t="s">
        <v>1800</v>
      </c>
      <c r="D246" s="30" t="str">
        <f>IFERROR(__xludf.DUMMYFUNCTION("IFERROR(GOOGLEFINANCE(C246, ""NAME""))"),"Acacia Research Corp")</f>
        <v>Acacia Research Corp</v>
      </c>
      <c r="E246" s="30" t="s">
        <v>1161</v>
      </c>
      <c r="F246" s="33" t="str">
        <f>IFERROR(__xludf.DUMMYFUNCTION("( (GOOGLEFINANCE(C246, ""price"") - Q246) / Q246 ) / (R246 / 100)"),"Loading...")</f>
        <v>Loading...</v>
      </c>
      <c r="G246" s="20" t="str">
        <f>IFERROR(__xludf.DUMMYFUNCTION("AVERAGE(ARRAYFORMULA(100 * (QUERY(GOOGLEFINANCE(C246, ""high"", TODAY()-40, TODAY()), ""SELECT Col2 WHERE Col2 IS NOT NULL ORDER BY Col1 DESC LIMIT 20"", 0) / QUERY(GOOGLEFINANCE(C246, ""low"", TODAY()-40, TODAY()), ""SELECT Col2 WHERE Col2 IS NOT NULL OR"&amp;"DER BY Col1 DESC LIMIT 20"", 0) - 1)))"),"#N/A")</f>
        <v>#N/A</v>
      </c>
      <c r="H246" s="35" t="str">
        <f t="shared" si="6"/>
        <v/>
      </c>
      <c r="I246" s="35" t="str">
        <f t="shared" si="7"/>
        <v/>
      </c>
      <c r="J246" s="37" t="str">
        <f>IFERROR(__xludf.DUMMYFUNCTION("IFERROR(
  IF(C246="""",, 
    IFERROR(
      GOOGLEFINANCE(C246, ""price"") * GOOGLEFINANCE(C246, ""volumeavg""), 
      GOOGLEFINANCE(C246, ""price"") * AVERAGE(QUERY(GOOGLEFINANCE(C246, ""volume"", TODAY()-40, TODAY()), ""SELECT Col2 WHERE Col2 IS NOT "&amp;"NULL ORDER BY Col1 DESC LIMIT 20"", 0))
    )
  ), 
"""")"),"")</f>
        <v/>
      </c>
      <c r="K246" s="21" t="str">
        <f>IFERROR(__xludf.DUMMYFUNCTION("IFERROR(GOOGLEFINANCE(C246, ""changepct"") / 100, """")"),"")</f>
        <v/>
      </c>
      <c r="L246" s="21" t="str">
        <f>IFERROR(__xludf.DUMMYFUNCTION("IFERROR((GOOGLEFINANCE(C246, ""price"") / INDEX(GOOGLEFINANCE(C246, ""price"", TODAY()-7, TODAY()), 2, 2)) - 1, """")"),"")</f>
        <v/>
      </c>
      <c r="M246" s="21" t="str">
        <f>IFERROR(__xludf.DUMMYFUNCTION("IFERROR((GOOGLEFINANCE(C246, ""price"") / INDEX(GOOGLEFINANCE(C246, ""price"", EDATE(TODAY(), -1), TODAY()), 2, 2)) - 1, """")"),"")</f>
        <v/>
      </c>
      <c r="N246" s="21" t="str">
        <f>IFERROR(__xludf.DUMMYFUNCTION("IFERROR((GOOGLEFINANCE(C246, ""price"") / INDEX(GOOGLEFINANCE(C246, ""price"", EDATE(TODAY(), -3), TODAY()), 2, 2)) - 1, """")"),"")</f>
        <v/>
      </c>
      <c r="O246" s="21" t="str">
        <f>IFERROR(__xludf.DUMMYFUNCTION("IFERROR((GOOGLEFINANCE(C246, ""price"") / INDEX(GOOGLEFINANCE(C246, ""price"", EDATE(TODAY(), -6), TODAY()), 2, 2)) - 1, """")"),"")</f>
        <v/>
      </c>
      <c r="P246" s="21" t="str">
        <f>IFERROR(__xludf.DUMMYFUNCTION("IFERROR((GOOGLEFINANCE(C246, ""price"") / INDEX(GOOGLEFINANCE(C246, ""price"", EDATE(TODAY(), -12), TODAY()), 2, 2)) - 1, """")"),"")</f>
        <v/>
      </c>
      <c r="Q246" s="6" t="str">
        <f>IFERROR(__xludf.DUMMYFUNCTION("AVERAGE(QUERY(GOOGLEFINANCE(C246, ""price"", TODAY()-80, TODAY()), ""SELECT Col2 WHERE Col2 IS NOT NULL ORDER BY Col1 DESC LIMIT 50"", 0))"),"#N/A")</f>
        <v>#N/A</v>
      </c>
      <c r="R246" s="24" t="str">
        <f>IFERROR(__xludf.DUMMYFUNCTION("IFERROR(
  LET(
    data, QUERY(GOOGLEFINANCE(C246,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GOOGLEFINANCE(C246, ""price"")) * 100,
    IF(calc=0, G246, calc)
  ), 
G246)"),"#N/A")</f>
        <v>#N/A</v>
      </c>
      <c r="S246" s="8" t="s">
        <v>15</v>
      </c>
      <c r="T246" s="26" t="str">
        <f>IFERROR(__xludf.DUMMYFUNCTION("IFERROR(TRANSPOSE(QUERY(IFERROR(SORT(GOOGLEFINANCE(C246, ""price"", WORKDAY(TODAY(), -40), TODAY()), 1, FALSE)), ""select Col2 where Col2 is not null limit 22 label Col2 ''"", 0)), """")"),"")</f>
        <v/>
      </c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8"/>
      <c r="AO246" s="28"/>
      <c r="AP246" s="29"/>
      <c r="AQ246" s="29" t="str">
        <f t="shared" ref="AQ246:BL246" si="249">T246/T$2</f>
        <v>#N/A</v>
      </c>
      <c r="AR246" s="29" t="str">
        <f t="shared" si="249"/>
        <v>#DIV/0!</v>
      </c>
      <c r="AS246" s="29" t="str">
        <f t="shared" si="249"/>
        <v>#DIV/0!</v>
      </c>
      <c r="AT246" s="29" t="str">
        <f t="shared" si="249"/>
        <v>#DIV/0!</v>
      </c>
      <c r="AU246" s="29" t="str">
        <f t="shared" si="249"/>
        <v>#DIV/0!</v>
      </c>
      <c r="AV246" s="29" t="str">
        <f t="shared" si="249"/>
        <v>#DIV/0!</v>
      </c>
      <c r="AW246" s="29" t="str">
        <f t="shared" si="249"/>
        <v>#DIV/0!</v>
      </c>
      <c r="AX246" s="29" t="str">
        <f t="shared" si="249"/>
        <v>#DIV/0!</v>
      </c>
      <c r="AY246" s="29" t="str">
        <f t="shared" si="249"/>
        <v>#DIV/0!</v>
      </c>
      <c r="AZ246" s="29" t="str">
        <f t="shared" si="249"/>
        <v>#DIV/0!</v>
      </c>
      <c r="BA246" s="29" t="str">
        <f t="shared" si="249"/>
        <v>#DIV/0!</v>
      </c>
      <c r="BB246" s="29" t="str">
        <f t="shared" si="249"/>
        <v>#DIV/0!</v>
      </c>
      <c r="BC246" s="29" t="str">
        <f t="shared" si="249"/>
        <v>#DIV/0!</v>
      </c>
      <c r="BD246" s="29" t="str">
        <f t="shared" si="249"/>
        <v>#DIV/0!</v>
      </c>
      <c r="BE246" s="29" t="str">
        <f t="shared" si="249"/>
        <v>#DIV/0!</v>
      </c>
      <c r="BF246" s="29" t="str">
        <f t="shared" si="249"/>
        <v>#DIV/0!</v>
      </c>
      <c r="BG246" s="29" t="str">
        <f t="shared" si="249"/>
        <v>#DIV/0!</v>
      </c>
      <c r="BH246" s="29" t="str">
        <f t="shared" si="249"/>
        <v>#DIV/0!</v>
      </c>
      <c r="BI246" s="29" t="str">
        <f t="shared" si="249"/>
        <v>#DIV/0!</v>
      </c>
      <c r="BJ246" s="29" t="str">
        <f t="shared" si="249"/>
        <v>#DIV/0!</v>
      </c>
      <c r="BK246" s="29" t="str">
        <f t="shared" si="249"/>
        <v>#DIV/0!</v>
      </c>
      <c r="BL246" s="29" t="str">
        <f t="shared" si="249"/>
        <v>#DIV/0!</v>
      </c>
      <c r="BM246" s="29" t="str">
        <f t="shared" si="3"/>
        <v>#DIV/0!</v>
      </c>
    </row>
    <row r="247">
      <c r="A247" s="16" t="str">
        <f>IFERROR(__xludf.DUMMYFUNCTION("IFERROR(SPARKLINE(SORT(MAP(TRANSPOSE(AQ247:BL247), LAMBDA(val, IF(ISNUMBER(val), PERCENTRANK(AQ247:BL247, val)+0.01, 0))), SEQUENCE(COLUMNS(AQ247:BL247)), FALSE), {""charttype"",""column""; ""color"",""chartreuse""; ""ymin"", 0; ""ymax"", 1.01; ""highcolo"&amp;"r"", ""darkgreen""; ""lowcolor"", ""red""}), """")"),"")</f>
        <v/>
      </c>
      <c r="B247" s="17" t="str">
        <f t="shared" si="4"/>
        <v/>
      </c>
      <c r="C247" s="1" t="s">
        <v>1805</v>
      </c>
      <c r="D247" s="30" t="str">
        <f>IFERROR(__xludf.DUMMYFUNCTION("IFERROR(GOOGLEFINANCE(C247, ""NAME""))"),"Parker-Hannifin Corp")</f>
        <v>Parker-Hannifin Corp</v>
      </c>
      <c r="E247" s="30" t="s">
        <v>893</v>
      </c>
      <c r="F247" s="33" t="str">
        <f>IFERROR(__xludf.DUMMYFUNCTION("( (GOOGLEFINANCE(C247, ""price"") - Q247) / Q247 ) / (R247 / 100)"),"Loading...")</f>
        <v>Loading...</v>
      </c>
      <c r="G247" s="20" t="str">
        <f>IFERROR(__xludf.DUMMYFUNCTION("AVERAGE(ARRAYFORMULA(100 * (QUERY(GOOGLEFINANCE(C247, ""high"", TODAY()-40, TODAY()), ""SELECT Col2 WHERE Col2 IS NOT NULL ORDER BY Col1 DESC LIMIT 20"", 0) / QUERY(GOOGLEFINANCE(C247, ""low"", TODAY()-40, TODAY()), ""SELECT Col2 WHERE Col2 IS NOT NULL OR"&amp;"DER BY Col1 DESC LIMIT 20"", 0) - 1)))"),"#N/A")</f>
        <v>#N/A</v>
      </c>
      <c r="H247" s="35" t="str">
        <f t="shared" si="6"/>
        <v/>
      </c>
      <c r="I247" s="35" t="str">
        <f t="shared" si="7"/>
        <v/>
      </c>
      <c r="J247" s="37" t="str">
        <f>IFERROR(__xludf.DUMMYFUNCTION("IFERROR(
  IF(C247="""",, 
    IFERROR(
      GOOGLEFINANCE(C247, ""price"") * GOOGLEFINANCE(C247, ""volumeavg""), 
      GOOGLEFINANCE(C247, ""price"") * AVERAGE(QUERY(GOOGLEFINANCE(C247, ""volume"", TODAY()-40, TODAY()), ""SELECT Col2 WHERE Col2 IS NOT "&amp;"NULL ORDER BY Col1 DESC LIMIT 20"", 0))
    )
  ), 
"""")"),"")</f>
        <v/>
      </c>
      <c r="K247" s="21" t="str">
        <f>IFERROR(__xludf.DUMMYFUNCTION("IFERROR(GOOGLEFINANCE(C247, ""changepct"") / 100, """")"),"")</f>
        <v/>
      </c>
      <c r="L247" s="21" t="str">
        <f>IFERROR(__xludf.DUMMYFUNCTION("IFERROR((GOOGLEFINANCE(C247, ""price"") / INDEX(GOOGLEFINANCE(C247, ""price"", TODAY()-7, TODAY()), 2, 2)) - 1, """")"),"")</f>
        <v/>
      </c>
      <c r="M247" s="21" t="str">
        <f>IFERROR(__xludf.DUMMYFUNCTION("IFERROR((GOOGLEFINANCE(C247, ""price"") / INDEX(GOOGLEFINANCE(C247, ""price"", EDATE(TODAY(), -1), TODAY()), 2, 2)) - 1, """")"),"")</f>
        <v/>
      </c>
      <c r="N247" s="21" t="str">
        <f>IFERROR(__xludf.DUMMYFUNCTION("IFERROR((GOOGLEFINANCE(C247, ""price"") / INDEX(GOOGLEFINANCE(C247, ""price"", EDATE(TODAY(), -3), TODAY()), 2, 2)) - 1, """")"),"")</f>
        <v/>
      </c>
      <c r="O247" s="21" t="str">
        <f>IFERROR(__xludf.DUMMYFUNCTION("IFERROR((GOOGLEFINANCE(C247, ""price"") / INDEX(GOOGLEFINANCE(C247, ""price"", EDATE(TODAY(), -6), TODAY()), 2, 2)) - 1, """")"),"")</f>
        <v/>
      </c>
      <c r="P247" s="21" t="str">
        <f>IFERROR(__xludf.DUMMYFUNCTION("IFERROR((GOOGLEFINANCE(C247, ""price"") / INDEX(GOOGLEFINANCE(C247, ""price"", EDATE(TODAY(), -12), TODAY()), 2, 2)) - 1, """")"),"")</f>
        <v/>
      </c>
      <c r="Q247" s="6" t="str">
        <f>IFERROR(__xludf.DUMMYFUNCTION("AVERAGE(QUERY(GOOGLEFINANCE(C247, ""price"", TODAY()-80, TODAY()), ""SELECT Col2 WHERE Col2 IS NOT NULL ORDER BY Col1 DESC LIMIT 50"", 0))"),"#N/A")</f>
        <v>#N/A</v>
      </c>
      <c r="R247" s="24" t="str">
        <f>IFERROR(__xludf.DUMMYFUNCTION("IFERROR(
  LET(
    data, QUERY(GOOGLEFINANCE(C247,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GOOGLEFINANCE(C247, ""price"")) * 100,
    IF(calc=0, G247, calc)
  ), 
G247)"),"#N/A")</f>
        <v>#N/A</v>
      </c>
      <c r="S247" s="8" t="s">
        <v>15</v>
      </c>
      <c r="T247" s="26" t="str">
        <f>IFERROR(__xludf.DUMMYFUNCTION("IFERROR(TRANSPOSE(QUERY(IFERROR(SORT(GOOGLEFINANCE(C247, ""price"", WORKDAY(TODAY(), -40), TODAY()), 1, FALSE)), ""select Col2 where Col2 is not null limit 22 label Col2 ''"", 0)), """")"),"")</f>
        <v/>
      </c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8"/>
      <c r="AO247" s="28"/>
      <c r="AP247" s="29"/>
      <c r="AQ247" s="29" t="str">
        <f t="shared" ref="AQ247:BL247" si="250">T247/T$2</f>
        <v>#N/A</v>
      </c>
      <c r="AR247" s="29" t="str">
        <f t="shared" si="250"/>
        <v>#DIV/0!</v>
      </c>
      <c r="AS247" s="29" t="str">
        <f t="shared" si="250"/>
        <v>#DIV/0!</v>
      </c>
      <c r="AT247" s="29" t="str">
        <f t="shared" si="250"/>
        <v>#DIV/0!</v>
      </c>
      <c r="AU247" s="29" t="str">
        <f t="shared" si="250"/>
        <v>#DIV/0!</v>
      </c>
      <c r="AV247" s="29" t="str">
        <f t="shared" si="250"/>
        <v>#DIV/0!</v>
      </c>
      <c r="AW247" s="29" t="str">
        <f t="shared" si="250"/>
        <v>#DIV/0!</v>
      </c>
      <c r="AX247" s="29" t="str">
        <f t="shared" si="250"/>
        <v>#DIV/0!</v>
      </c>
      <c r="AY247" s="29" t="str">
        <f t="shared" si="250"/>
        <v>#DIV/0!</v>
      </c>
      <c r="AZ247" s="29" t="str">
        <f t="shared" si="250"/>
        <v>#DIV/0!</v>
      </c>
      <c r="BA247" s="29" t="str">
        <f t="shared" si="250"/>
        <v>#DIV/0!</v>
      </c>
      <c r="BB247" s="29" t="str">
        <f t="shared" si="250"/>
        <v>#DIV/0!</v>
      </c>
      <c r="BC247" s="29" t="str">
        <f t="shared" si="250"/>
        <v>#DIV/0!</v>
      </c>
      <c r="BD247" s="29" t="str">
        <f t="shared" si="250"/>
        <v>#DIV/0!</v>
      </c>
      <c r="BE247" s="29" t="str">
        <f t="shared" si="250"/>
        <v>#DIV/0!</v>
      </c>
      <c r="BF247" s="29" t="str">
        <f t="shared" si="250"/>
        <v>#DIV/0!</v>
      </c>
      <c r="BG247" s="29" t="str">
        <f t="shared" si="250"/>
        <v>#DIV/0!</v>
      </c>
      <c r="BH247" s="29" t="str">
        <f t="shared" si="250"/>
        <v>#DIV/0!</v>
      </c>
      <c r="BI247" s="29" t="str">
        <f t="shared" si="250"/>
        <v>#DIV/0!</v>
      </c>
      <c r="BJ247" s="29" t="str">
        <f t="shared" si="250"/>
        <v>#DIV/0!</v>
      </c>
      <c r="BK247" s="29" t="str">
        <f t="shared" si="250"/>
        <v>#DIV/0!</v>
      </c>
      <c r="BL247" s="29" t="str">
        <f t="shared" si="250"/>
        <v>#DIV/0!</v>
      </c>
      <c r="BM247" s="29" t="str">
        <f t="shared" si="3"/>
        <v>#DIV/0!</v>
      </c>
    </row>
    <row r="248">
      <c r="A248" s="16" t="str">
        <f>IFERROR(__xludf.DUMMYFUNCTION("IFERROR(SPARKLINE(SORT(MAP(TRANSPOSE(AQ248:BL248), LAMBDA(val, IF(ISNUMBER(val), PERCENTRANK(AQ248:BL248, val)+0.01, 0))), SEQUENCE(COLUMNS(AQ248:BL248)), FALSE), {""charttype"",""column""; ""color"",""chartreuse""; ""ymin"", 0; ""ymax"", 1.01; ""highcolo"&amp;"r"", ""darkgreen""; ""lowcolor"", ""red""}), """")"),"")</f>
        <v/>
      </c>
      <c r="B248" s="17" t="str">
        <f t="shared" si="4"/>
        <v/>
      </c>
      <c r="C248" s="1" t="s">
        <v>1808</v>
      </c>
      <c r="D248" s="30" t="str">
        <f>IFERROR(__xludf.DUMMYFUNCTION("IFERROR(GOOGLEFINANCE(C248, ""NAME""))"),"Johnson Controls International PLC")</f>
        <v>Johnson Controls International PLC</v>
      </c>
      <c r="E248" s="30" t="s">
        <v>968</v>
      </c>
      <c r="F248" s="33" t="str">
        <f>IFERROR(__xludf.DUMMYFUNCTION("( (GOOGLEFINANCE(C248, ""price"") - Q248) / Q248 ) / (R248 / 100)"),"Loading...")</f>
        <v>Loading...</v>
      </c>
      <c r="G248" s="20" t="str">
        <f>IFERROR(__xludf.DUMMYFUNCTION("AVERAGE(ARRAYFORMULA(100 * (QUERY(GOOGLEFINANCE(C248, ""high"", TODAY()-40, TODAY()), ""SELECT Col2 WHERE Col2 IS NOT NULL ORDER BY Col1 DESC LIMIT 20"", 0) / QUERY(GOOGLEFINANCE(C248, ""low"", TODAY()-40, TODAY()), ""SELECT Col2 WHERE Col2 IS NOT NULL OR"&amp;"DER BY Col1 DESC LIMIT 20"", 0) - 1)))"),"#N/A")</f>
        <v>#N/A</v>
      </c>
      <c r="H248" s="35" t="str">
        <f t="shared" si="6"/>
        <v/>
      </c>
      <c r="I248" s="35" t="str">
        <f t="shared" si="7"/>
        <v/>
      </c>
      <c r="J248" s="37" t="str">
        <f>IFERROR(__xludf.DUMMYFUNCTION("IFERROR(
  IF(C248="""",, 
    IFERROR(
      GOOGLEFINANCE(C248, ""price"") * GOOGLEFINANCE(C248, ""volumeavg""), 
      GOOGLEFINANCE(C248, ""price"") * AVERAGE(QUERY(GOOGLEFINANCE(C248, ""volume"", TODAY()-40, TODAY()), ""SELECT Col2 WHERE Col2 IS NOT "&amp;"NULL ORDER BY Col1 DESC LIMIT 20"", 0))
    )
  ), 
"""")"),"")</f>
        <v/>
      </c>
      <c r="K248" s="21" t="str">
        <f>IFERROR(__xludf.DUMMYFUNCTION("IFERROR(GOOGLEFINANCE(C248, ""changepct"") / 100, """")"),"")</f>
        <v/>
      </c>
      <c r="L248" s="21" t="str">
        <f>IFERROR(__xludf.DUMMYFUNCTION("IFERROR((GOOGLEFINANCE(C248, ""price"") / INDEX(GOOGLEFINANCE(C248, ""price"", TODAY()-7, TODAY()), 2, 2)) - 1, """")"),"")</f>
        <v/>
      </c>
      <c r="M248" s="21" t="str">
        <f>IFERROR(__xludf.DUMMYFUNCTION("IFERROR((GOOGLEFINANCE(C248, ""price"") / INDEX(GOOGLEFINANCE(C248, ""price"", EDATE(TODAY(), -1), TODAY()), 2, 2)) - 1, """")"),"")</f>
        <v/>
      </c>
      <c r="N248" s="21" t="str">
        <f>IFERROR(__xludf.DUMMYFUNCTION("IFERROR((GOOGLEFINANCE(C248, ""price"") / INDEX(GOOGLEFINANCE(C248, ""price"", EDATE(TODAY(), -3), TODAY()), 2, 2)) - 1, """")"),"")</f>
        <v/>
      </c>
      <c r="O248" s="21" t="str">
        <f>IFERROR(__xludf.DUMMYFUNCTION("IFERROR((GOOGLEFINANCE(C248, ""price"") / INDEX(GOOGLEFINANCE(C248, ""price"", EDATE(TODAY(), -6), TODAY()), 2, 2)) - 1, """")"),"")</f>
        <v/>
      </c>
      <c r="P248" s="21" t="str">
        <f>IFERROR(__xludf.DUMMYFUNCTION("IFERROR((GOOGLEFINANCE(C248, ""price"") / INDEX(GOOGLEFINANCE(C248, ""price"", EDATE(TODAY(), -12), TODAY()), 2, 2)) - 1, """")"),"")</f>
        <v/>
      </c>
      <c r="Q248" s="6" t="str">
        <f>IFERROR(__xludf.DUMMYFUNCTION("AVERAGE(QUERY(GOOGLEFINANCE(C248, ""price"", TODAY()-80, TODAY()), ""SELECT Col2 WHERE Col2 IS NOT NULL ORDER BY Col1 DESC LIMIT 50"", 0))"),"#N/A")</f>
        <v>#N/A</v>
      </c>
      <c r="R248" s="24" t="str">
        <f>IFERROR(__xludf.DUMMYFUNCTION("IFERROR(
  LET(
    data, QUERY(GOOGLEFINANCE(C248,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GOOGLEFINANCE(C248, ""price"")) * 100,
    IF(calc=0, G248, calc)
  ), 
G248)"),"#N/A")</f>
        <v>#N/A</v>
      </c>
      <c r="S248" s="8" t="s">
        <v>15</v>
      </c>
      <c r="T248" s="26" t="str">
        <f>IFERROR(__xludf.DUMMYFUNCTION("IFERROR(TRANSPOSE(QUERY(IFERROR(SORT(GOOGLEFINANCE(C248, ""price"", WORKDAY(TODAY(), -40), TODAY()), 1, FALSE)), ""select Col2 where Col2 is not null limit 22 label Col2 ''"", 0)), """")"),"")</f>
        <v/>
      </c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8"/>
      <c r="AO248" s="28"/>
      <c r="AP248" s="29"/>
      <c r="AQ248" s="29" t="str">
        <f t="shared" ref="AQ248:BL248" si="251">T248/T$2</f>
        <v>#N/A</v>
      </c>
      <c r="AR248" s="29" t="str">
        <f t="shared" si="251"/>
        <v>#DIV/0!</v>
      </c>
      <c r="AS248" s="29" t="str">
        <f t="shared" si="251"/>
        <v>#DIV/0!</v>
      </c>
      <c r="AT248" s="29" t="str">
        <f t="shared" si="251"/>
        <v>#DIV/0!</v>
      </c>
      <c r="AU248" s="29" t="str">
        <f t="shared" si="251"/>
        <v>#DIV/0!</v>
      </c>
      <c r="AV248" s="29" t="str">
        <f t="shared" si="251"/>
        <v>#DIV/0!</v>
      </c>
      <c r="AW248" s="29" t="str">
        <f t="shared" si="251"/>
        <v>#DIV/0!</v>
      </c>
      <c r="AX248" s="29" t="str">
        <f t="shared" si="251"/>
        <v>#DIV/0!</v>
      </c>
      <c r="AY248" s="29" t="str">
        <f t="shared" si="251"/>
        <v>#DIV/0!</v>
      </c>
      <c r="AZ248" s="29" t="str">
        <f t="shared" si="251"/>
        <v>#DIV/0!</v>
      </c>
      <c r="BA248" s="29" t="str">
        <f t="shared" si="251"/>
        <v>#DIV/0!</v>
      </c>
      <c r="BB248" s="29" t="str">
        <f t="shared" si="251"/>
        <v>#DIV/0!</v>
      </c>
      <c r="BC248" s="29" t="str">
        <f t="shared" si="251"/>
        <v>#DIV/0!</v>
      </c>
      <c r="BD248" s="29" t="str">
        <f t="shared" si="251"/>
        <v>#DIV/0!</v>
      </c>
      <c r="BE248" s="29" t="str">
        <f t="shared" si="251"/>
        <v>#DIV/0!</v>
      </c>
      <c r="BF248" s="29" t="str">
        <f t="shared" si="251"/>
        <v>#DIV/0!</v>
      </c>
      <c r="BG248" s="29" t="str">
        <f t="shared" si="251"/>
        <v>#DIV/0!</v>
      </c>
      <c r="BH248" s="29" t="str">
        <f t="shared" si="251"/>
        <v>#DIV/0!</v>
      </c>
      <c r="BI248" s="29" t="str">
        <f t="shared" si="251"/>
        <v>#DIV/0!</v>
      </c>
      <c r="BJ248" s="29" t="str">
        <f t="shared" si="251"/>
        <v>#DIV/0!</v>
      </c>
      <c r="BK248" s="29" t="str">
        <f t="shared" si="251"/>
        <v>#DIV/0!</v>
      </c>
      <c r="BL248" s="29" t="str">
        <f t="shared" si="251"/>
        <v>#DIV/0!</v>
      </c>
      <c r="BM248" s="29" t="str">
        <f t="shared" si="3"/>
        <v>#DIV/0!</v>
      </c>
    </row>
    <row r="249">
      <c r="A249" s="16" t="str">
        <f>IFERROR(__xludf.DUMMYFUNCTION("IFERROR(SPARKLINE(SORT(MAP(TRANSPOSE(AQ249:BL249), LAMBDA(val, IF(ISNUMBER(val), PERCENTRANK(AQ249:BL249, val)+0.01, 0))), SEQUENCE(COLUMNS(AQ249:BL249)), FALSE), {""charttype"",""column""; ""color"",""chartreuse""; ""ymin"", 0; ""ymax"", 1.01; ""highcolo"&amp;"r"", ""darkgreen""; ""lowcolor"", ""red""}), """")"),"")</f>
        <v/>
      </c>
      <c r="B249" s="17" t="str">
        <f t="shared" si="4"/>
        <v/>
      </c>
      <c r="C249" s="1" t="s">
        <v>1812</v>
      </c>
      <c r="D249" s="30" t="str">
        <f>IFERROR(__xludf.DUMMYFUNCTION("IFERROR(GOOGLEFINANCE(C249, ""NAME""))"),"Waste Management Inc")</f>
        <v>Waste Management Inc</v>
      </c>
      <c r="E249" s="30" t="s">
        <v>1371</v>
      </c>
      <c r="F249" s="33" t="str">
        <f>IFERROR(__xludf.DUMMYFUNCTION("( (GOOGLEFINANCE(C249, ""price"") - Q249) / Q249 ) / (R249 / 100)"),"Loading...")</f>
        <v>Loading...</v>
      </c>
      <c r="G249" s="20" t="str">
        <f>IFERROR(__xludf.DUMMYFUNCTION("AVERAGE(ARRAYFORMULA(100 * (QUERY(GOOGLEFINANCE(C249, ""high"", TODAY()-40, TODAY()), ""SELECT Col2 WHERE Col2 IS NOT NULL ORDER BY Col1 DESC LIMIT 20"", 0) / QUERY(GOOGLEFINANCE(C249, ""low"", TODAY()-40, TODAY()), ""SELECT Col2 WHERE Col2 IS NOT NULL OR"&amp;"DER BY Col1 DESC LIMIT 20"", 0) - 1)))"),"#N/A")</f>
        <v>#N/A</v>
      </c>
      <c r="H249" s="35" t="str">
        <f t="shared" si="6"/>
        <v/>
      </c>
      <c r="I249" s="35" t="str">
        <f t="shared" si="7"/>
        <v/>
      </c>
      <c r="J249" s="37" t="str">
        <f>IFERROR(__xludf.DUMMYFUNCTION("IFERROR(
  IF(C249="""",, 
    IFERROR(
      GOOGLEFINANCE(C249, ""price"") * GOOGLEFINANCE(C249, ""volumeavg""), 
      GOOGLEFINANCE(C249, ""price"") * AVERAGE(QUERY(GOOGLEFINANCE(C249, ""volume"", TODAY()-40, TODAY()), ""SELECT Col2 WHERE Col2 IS NOT "&amp;"NULL ORDER BY Col1 DESC LIMIT 20"", 0))
    )
  ), 
"""")"),"")</f>
        <v/>
      </c>
      <c r="K249" s="21" t="str">
        <f>IFERROR(__xludf.DUMMYFUNCTION("IFERROR(GOOGLEFINANCE(C249, ""changepct"") / 100, """")"),"")</f>
        <v/>
      </c>
      <c r="L249" s="21" t="str">
        <f>IFERROR(__xludf.DUMMYFUNCTION("IFERROR((GOOGLEFINANCE(C249, ""price"") / INDEX(GOOGLEFINANCE(C249, ""price"", TODAY()-7, TODAY()), 2, 2)) - 1, """")"),"")</f>
        <v/>
      </c>
      <c r="M249" s="21" t="str">
        <f>IFERROR(__xludf.DUMMYFUNCTION("IFERROR((GOOGLEFINANCE(C249, ""price"") / INDEX(GOOGLEFINANCE(C249, ""price"", EDATE(TODAY(), -1), TODAY()), 2, 2)) - 1, """")"),"")</f>
        <v/>
      </c>
      <c r="N249" s="21" t="str">
        <f>IFERROR(__xludf.DUMMYFUNCTION("IFERROR((GOOGLEFINANCE(C249, ""price"") / INDEX(GOOGLEFINANCE(C249, ""price"", EDATE(TODAY(), -3), TODAY()), 2, 2)) - 1, """")"),"")</f>
        <v/>
      </c>
      <c r="O249" s="21" t="str">
        <f>IFERROR(__xludf.DUMMYFUNCTION("IFERROR((GOOGLEFINANCE(C249, ""price"") / INDEX(GOOGLEFINANCE(C249, ""price"", EDATE(TODAY(), -6), TODAY()), 2, 2)) - 1, """")"),"")</f>
        <v/>
      </c>
      <c r="P249" s="21" t="str">
        <f>IFERROR(__xludf.DUMMYFUNCTION("IFERROR((GOOGLEFINANCE(C249, ""price"") / INDEX(GOOGLEFINANCE(C249, ""price"", EDATE(TODAY(), -12), TODAY()), 2, 2)) - 1, """")"),"")</f>
        <v/>
      </c>
      <c r="Q249" s="6" t="str">
        <f>IFERROR(__xludf.DUMMYFUNCTION("AVERAGE(QUERY(GOOGLEFINANCE(C249, ""price"", TODAY()-80, TODAY()), ""SELECT Col2 WHERE Col2 IS NOT NULL ORDER BY Col1 DESC LIMIT 50"", 0))"),"#N/A")</f>
        <v>#N/A</v>
      </c>
      <c r="R249" s="24" t="str">
        <f>IFERROR(__xludf.DUMMYFUNCTION("IFERROR(
  LET(
    data, QUERY(GOOGLEFINANCE(C249,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GOOGLEFINANCE(C249, ""price"")) * 100,
    IF(calc=0, G249, calc)
  ), 
G249)"),"#N/A")</f>
        <v>#N/A</v>
      </c>
      <c r="S249" s="8" t="s">
        <v>15</v>
      </c>
      <c r="T249" s="26" t="str">
        <f>IFERROR(__xludf.DUMMYFUNCTION("IFERROR(TRANSPOSE(QUERY(IFERROR(SORT(GOOGLEFINANCE(C249, ""price"", WORKDAY(TODAY(), -40), TODAY()), 1, FALSE)), ""select Col2 where Col2 is not null limit 22 label Col2 ''"", 0)), """")"),"")</f>
        <v/>
      </c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8"/>
      <c r="AO249" s="28"/>
      <c r="AP249" s="29"/>
      <c r="AQ249" s="29" t="str">
        <f t="shared" ref="AQ249:BL249" si="252">T249/T$2</f>
        <v>#N/A</v>
      </c>
      <c r="AR249" s="29" t="str">
        <f t="shared" si="252"/>
        <v>#DIV/0!</v>
      </c>
      <c r="AS249" s="29" t="str">
        <f t="shared" si="252"/>
        <v>#DIV/0!</v>
      </c>
      <c r="AT249" s="29" t="str">
        <f t="shared" si="252"/>
        <v>#DIV/0!</v>
      </c>
      <c r="AU249" s="29" t="str">
        <f t="shared" si="252"/>
        <v>#DIV/0!</v>
      </c>
      <c r="AV249" s="29" t="str">
        <f t="shared" si="252"/>
        <v>#DIV/0!</v>
      </c>
      <c r="AW249" s="29" t="str">
        <f t="shared" si="252"/>
        <v>#DIV/0!</v>
      </c>
      <c r="AX249" s="29" t="str">
        <f t="shared" si="252"/>
        <v>#DIV/0!</v>
      </c>
      <c r="AY249" s="29" t="str">
        <f t="shared" si="252"/>
        <v>#DIV/0!</v>
      </c>
      <c r="AZ249" s="29" t="str">
        <f t="shared" si="252"/>
        <v>#DIV/0!</v>
      </c>
      <c r="BA249" s="29" t="str">
        <f t="shared" si="252"/>
        <v>#DIV/0!</v>
      </c>
      <c r="BB249" s="29" t="str">
        <f t="shared" si="252"/>
        <v>#DIV/0!</v>
      </c>
      <c r="BC249" s="29" t="str">
        <f t="shared" si="252"/>
        <v>#DIV/0!</v>
      </c>
      <c r="BD249" s="29" t="str">
        <f t="shared" si="252"/>
        <v>#DIV/0!</v>
      </c>
      <c r="BE249" s="29" t="str">
        <f t="shared" si="252"/>
        <v>#DIV/0!</v>
      </c>
      <c r="BF249" s="29" t="str">
        <f t="shared" si="252"/>
        <v>#DIV/0!</v>
      </c>
      <c r="BG249" s="29" t="str">
        <f t="shared" si="252"/>
        <v>#DIV/0!</v>
      </c>
      <c r="BH249" s="29" t="str">
        <f t="shared" si="252"/>
        <v>#DIV/0!</v>
      </c>
      <c r="BI249" s="29" t="str">
        <f t="shared" si="252"/>
        <v>#DIV/0!</v>
      </c>
      <c r="BJ249" s="29" t="str">
        <f t="shared" si="252"/>
        <v>#DIV/0!</v>
      </c>
      <c r="BK249" s="29" t="str">
        <f t="shared" si="252"/>
        <v>#DIV/0!</v>
      </c>
      <c r="BL249" s="29" t="str">
        <f t="shared" si="252"/>
        <v>#DIV/0!</v>
      </c>
      <c r="BM249" s="29" t="str">
        <f t="shared" si="3"/>
        <v>#DIV/0!</v>
      </c>
    </row>
    <row r="250">
      <c r="A250" s="16" t="str">
        <f>IFERROR(__xludf.DUMMYFUNCTION("IFERROR(SPARKLINE(SORT(MAP(TRANSPOSE(AQ250:BL250), LAMBDA(val, IF(ISNUMBER(val), PERCENTRANK(AQ250:BL250, val)+0.01, 0))), SEQUENCE(COLUMNS(AQ250:BL250)), FALSE), {""charttype"",""column""; ""color"",""chartreuse""; ""ymin"", 0; ""ymax"", 1.01; ""highcolo"&amp;"r"", ""darkgreen""; ""lowcolor"", ""red""}), """")"),"")</f>
        <v/>
      </c>
      <c r="B250" s="17" t="str">
        <f t="shared" si="4"/>
        <v/>
      </c>
      <c r="C250" s="1" t="s">
        <v>1816</v>
      </c>
      <c r="D250" s="30" t="str">
        <f>IFERROR(__xludf.DUMMYFUNCTION("IFERROR(GOOGLEFINANCE(C250, ""NAME""))"),"Park Aerospace Corp")</f>
        <v>Park Aerospace Corp</v>
      </c>
      <c r="E250" s="30" t="s">
        <v>839</v>
      </c>
      <c r="F250" s="38" t="str">
        <f>IFERROR(__xludf.DUMMYFUNCTION("( (GOOGLEFINANCE(C250, ""price"") - Q250) / Q250 ) / (R250 / 100)"),"Loading...")</f>
        <v>Loading...</v>
      </c>
      <c r="G250" s="20" t="str">
        <f>IFERROR(__xludf.DUMMYFUNCTION("AVERAGE(ARRAYFORMULA(100 * (QUERY(GOOGLEFINANCE(C250, ""high"", TODAY()-40, TODAY()), ""SELECT Col2 WHERE Col2 IS NOT NULL ORDER BY Col1 DESC LIMIT 20"", 0) / QUERY(GOOGLEFINANCE(C250, ""low"", TODAY()-40, TODAY()), ""SELECT Col2 WHERE Col2 IS NOT NULL OR"&amp;"DER BY Col1 DESC LIMIT 20"", 0) - 1)))"),"#N/A")</f>
        <v>#N/A</v>
      </c>
      <c r="H250" s="35" t="str">
        <f t="shared" si="6"/>
        <v/>
      </c>
      <c r="I250" s="35" t="str">
        <f t="shared" si="7"/>
        <v/>
      </c>
      <c r="J250" s="37" t="str">
        <f>IFERROR(__xludf.DUMMYFUNCTION("IFERROR(
  IF(C250="""",, 
    IFERROR(
      GOOGLEFINANCE(C250, ""price"") * GOOGLEFINANCE(C250, ""volumeavg""), 
      GOOGLEFINANCE(C250, ""price"") * AVERAGE(QUERY(GOOGLEFINANCE(C250, ""volume"", TODAY()-40, TODAY()), ""SELECT Col2 WHERE Col2 IS NOT "&amp;"NULL ORDER BY Col1 DESC LIMIT 20"", 0))
    )
  ), 
"""")"),"")</f>
        <v/>
      </c>
      <c r="K250" s="21" t="str">
        <f>IFERROR(__xludf.DUMMYFUNCTION("IFERROR(GOOGLEFINANCE(C250, ""changepct"") / 100, """")"),"")</f>
        <v/>
      </c>
      <c r="L250" s="21" t="str">
        <f>IFERROR(__xludf.DUMMYFUNCTION("IFERROR((GOOGLEFINANCE(C250, ""price"") / INDEX(GOOGLEFINANCE(C250, ""price"", TODAY()-7, TODAY()), 2, 2)) - 1, """")"),"")</f>
        <v/>
      </c>
      <c r="M250" s="21" t="str">
        <f>IFERROR(__xludf.DUMMYFUNCTION("IFERROR((GOOGLEFINANCE(C250, ""price"") / INDEX(GOOGLEFINANCE(C250, ""price"", EDATE(TODAY(), -1), TODAY()), 2, 2)) - 1, """")"),"")</f>
        <v/>
      </c>
      <c r="N250" s="21" t="str">
        <f>IFERROR(__xludf.DUMMYFUNCTION("IFERROR((GOOGLEFINANCE(C250, ""price"") / INDEX(GOOGLEFINANCE(C250, ""price"", EDATE(TODAY(), -3), TODAY()), 2, 2)) - 1, """")"),"")</f>
        <v/>
      </c>
      <c r="O250" s="21" t="str">
        <f>IFERROR(__xludf.DUMMYFUNCTION("IFERROR((GOOGLEFINANCE(C250, ""price"") / INDEX(GOOGLEFINANCE(C250, ""price"", EDATE(TODAY(), -6), TODAY()), 2, 2)) - 1, """")"),"")</f>
        <v/>
      </c>
      <c r="P250" s="21" t="str">
        <f>IFERROR(__xludf.DUMMYFUNCTION("IFERROR((GOOGLEFINANCE(C250, ""price"") / INDEX(GOOGLEFINANCE(C250, ""price"", EDATE(TODAY(), -12), TODAY()), 2, 2)) - 1, """")"),"")</f>
        <v/>
      </c>
      <c r="Q250" s="6" t="str">
        <f>IFERROR(__xludf.DUMMYFUNCTION("AVERAGE(QUERY(GOOGLEFINANCE(C250, ""price"", TODAY()-80, TODAY()), ""SELECT Col2 WHERE Col2 IS NOT NULL ORDER BY Col1 DESC LIMIT 50"", 0))"),"#N/A")</f>
        <v>#N/A</v>
      </c>
      <c r="R250" s="24" t="str">
        <f>IFERROR(__xludf.DUMMYFUNCTION("IFERROR(
  LET(
    data, QUERY(GOOGLEFINANCE(C250,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GOOGLEFINANCE(C250, ""price"")) * 100,
    IF(calc=0, G250, calc)
  ), 
G250)"),"#N/A")</f>
        <v>#N/A</v>
      </c>
      <c r="S250" s="8" t="s">
        <v>15</v>
      </c>
      <c r="T250" s="26" t="str">
        <f>IFERROR(__xludf.DUMMYFUNCTION("IFERROR(TRANSPOSE(QUERY(IFERROR(SORT(GOOGLEFINANCE(C250, ""price"", WORKDAY(TODAY(), -40), TODAY()), 1, FALSE)), ""select Col2 where Col2 is not null limit 22 label Col2 ''"", 0)), """")"),"")</f>
        <v/>
      </c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8"/>
      <c r="AO250" s="28"/>
      <c r="AP250" s="29"/>
      <c r="AQ250" s="29" t="str">
        <f t="shared" ref="AQ250:BL250" si="253">T250/T$2</f>
        <v>#N/A</v>
      </c>
      <c r="AR250" s="29" t="str">
        <f t="shared" si="253"/>
        <v>#DIV/0!</v>
      </c>
      <c r="AS250" s="29" t="str">
        <f t="shared" si="253"/>
        <v>#DIV/0!</v>
      </c>
      <c r="AT250" s="29" t="str">
        <f t="shared" si="253"/>
        <v>#DIV/0!</v>
      </c>
      <c r="AU250" s="29" t="str">
        <f t="shared" si="253"/>
        <v>#DIV/0!</v>
      </c>
      <c r="AV250" s="29" t="str">
        <f t="shared" si="253"/>
        <v>#DIV/0!</v>
      </c>
      <c r="AW250" s="29" t="str">
        <f t="shared" si="253"/>
        <v>#DIV/0!</v>
      </c>
      <c r="AX250" s="29" t="str">
        <f t="shared" si="253"/>
        <v>#DIV/0!</v>
      </c>
      <c r="AY250" s="29" t="str">
        <f t="shared" si="253"/>
        <v>#DIV/0!</v>
      </c>
      <c r="AZ250" s="29" t="str">
        <f t="shared" si="253"/>
        <v>#DIV/0!</v>
      </c>
      <c r="BA250" s="29" t="str">
        <f t="shared" si="253"/>
        <v>#DIV/0!</v>
      </c>
      <c r="BB250" s="29" t="str">
        <f t="shared" si="253"/>
        <v>#DIV/0!</v>
      </c>
      <c r="BC250" s="29" t="str">
        <f t="shared" si="253"/>
        <v>#DIV/0!</v>
      </c>
      <c r="BD250" s="29" t="str">
        <f t="shared" si="253"/>
        <v>#DIV/0!</v>
      </c>
      <c r="BE250" s="29" t="str">
        <f t="shared" si="253"/>
        <v>#DIV/0!</v>
      </c>
      <c r="BF250" s="29" t="str">
        <f t="shared" si="253"/>
        <v>#DIV/0!</v>
      </c>
      <c r="BG250" s="29" t="str">
        <f t="shared" si="253"/>
        <v>#DIV/0!</v>
      </c>
      <c r="BH250" s="29" t="str">
        <f t="shared" si="253"/>
        <v>#DIV/0!</v>
      </c>
      <c r="BI250" s="29" t="str">
        <f t="shared" si="253"/>
        <v>#DIV/0!</v>
      </c>
      <c r="BJ250" s="29" t="str">
        <f t="shared" si="253"/>
        <v>#DIV/0!</v>
      </c>
      <c r="BK250" s="29" t="str">
        <f t="shared" si="253"/>
        <v>#DIV/0!</v>
      </c>
      <c r="BL250" s="29" t="str">
        <f t="shared" si="253"/>
        <v>#DIV/0!</v>
      </c>
      <c r="BM250" s="29" t="str">
        <f t="shared" si="3"/>
        <v>#DIV/0!</v>
      </c>
    </row>
    <row r="251">
      <c r="A251" s="16" t="str">
        <f>IFERROR(__xludf.DUMMYFUNCTION("IFERROR(SPARKLINE(SORT(MAP(TRANSPOSE(AQ251:BL251), LAMBDA(val, IF(ISNUMBER(val), PERCENTRANK(AQ251:BL251, val)+0.01, 0))), SEQUENCE(COLUMNS(AQ251:BL251)), FALSE), {""charttype"",""column""; ""color"",""chartreuse""; ""ymin"", 0; ""ymax"", 1.01; ""highcolo"&amp;"r"", ""darkgreen""; ""lowcolor"", ""red""}), """")"),"")</f>
        <v/>
      </c>
      <c r="B251" s="17" t="str">
        <f t="shared" si="4"/>
        <v/>
      </c>
      <c r="C251" s="1" t="s">
        <v>1819</v>
      </c>
      <c r="D251" s="30" t="str">
        <f>IFERROR(__xludf.DUMMYFUNCTION("IFERROR(GOOGLEFINANCE(C251, ""NAME""))"),"Aebi Schmidt Holding AG")</f>
        <v>Aebi Schmidt Holding AG</v>
      </c>
      <c r="E251" s="30" t="s">
        <v>1036</v>
      </c>
      <c r="F251" s="33" t="str">
        <f>IFERROR(__xludf.DUMMYFUNCTION("( (GOOGLEFINANCE(C251, ""price"") - Q251) / Q251 ) / (R251 / 100)"),"Loading...")</f>
        <v>Loading...</v>
      </c>
      <c r="G251" s="20" t="str">
        <f>IFERROR(__xludf.DUMMYFUNCTION("AVERAGE(ARRAYFORMULA(100 * (QUERY(GOOGLEFINANCE(C251, ""high"", TODAY()-40, TODAY()), ""SELECT Col2 WHERE Col2 IS NOT NULL ORDER BY Col1 DESC LIMIT 20"", 0) / QUERY(GOOGLEFINANCE(C251, ""low"", TODAY()-40, TODAY()), ""SELECT Col2 WHERE Col2 IS NOT NULL OR"&amp;"DER BY Col1 DESC LIMIT 20"", 0) - 1)))"),"#N/A")</f>
        <v>#N/A</v>
      </c>
      <c r="H251" s="35" t="str">
        <f t="shared" si="6"/>
        <v/>
      </c>
      <c r="I251" s="35" t="str">
        <f t="shared" si="7"/>
        <v/>
      </c>
      <c r="J251" s="37" t="str">
        <f>IFERROR(__xludf.DUMMYFUNCTION("IFERROR(
  IF(C251="""",, 
    IFERROR(
      GOOGLEFINANCE(C251, ""price"") * GOOGLEFINANCE(C251, ""volumeavg""), 
      GOOGLEFINANCE(C251, ""price"") * AVERAGE(QUERY(GOOGLEFINANCE(C251, ""volume"", TODAY()-40, TODAY()), ""SELECT Col2 WHERE Col2 IS NOT "&amp;"NULL ORDER BY Col1 DESC LIMIT 20"", 0))
    )
  ), 
"""")"),"")</f>
        <v/>
      </c>
      <c r="K251" s="21" t="str">
        <f>IFERROR(__xludf.DUMMYFUNCTION("IFERROR(GOOGLEFINANCE(C251, ""changepct"") / 100, """")"),"")</f>
        <v/>
      </c>
      <c r="L251" s="21" t="str">
        <f>IFERROR(__xludf.DUMMYFUNCTION("IFERROR((GOOGLEFINANCE(C251, ""price"") / INDEX(GOOGLEFINANCE(C251, ""price"", TODAY()-7, TODAY()), 2, 2)) - 1, """")"),"")</f>
        <v/>
      </c>
      <c r="M251" s="21" t="str">
        <f>IFERROR(__xludf.DUMMYFUNCTION("IFERROR((GOOGLEFINANCE(C251, ""price"") / INDEX(GOOGLEFINANCE(C251, ""price"", EDATE(TODAY(), -1), TODAY()), 2, 2)) - 1, """")"),"")</f>
        <v/>
      </c>
      <c r="N251" s="21" t="str">
        <f>IFERROR(__xludf.DUMMYFUNCTION("IFERROR((GOOGLEFINANCE(C251, ""price"") / INDEX(GOOGLEFINANCE(C251, ""price"", EDATE(TODAY(), -3), TODAY()), 2, 2)) - 1, """")"),"")</f>
        <v/>
      </c>
      <c r="O251" s="21" t="str">
        <f>IFERROR(__xludf.DUMMYFUNCTION("IFERROR((GOOGLEFINANCE(C251, ""price"") / INDEX(GOOGLEFINANCE(C251, ""price"", EDATE(TODAY(), -6), TODAY()), 2, 2)) - 1, """")"),"")</f>
        <v/>
      </c>
      <c r="P251" s="21" t="str">
        <f>IFERROR(__xludf.DUMMYFUNCTION("IFERROR((GOOGLEFINANCE(C251, ""price"") / INDEX(GOOGLEFINANCE(C251, ""price"", EDATE(TODAY(), -12), TODAY()), 2, 2)) - 1, """")"),"")</f>
        <v/>
      </c>
      <c r="Q251" s="6" t="str">
        <f>IFERROR(__xludf.DUMMYFUNCTION("AVERAGE(QUERY(GOOGLEFINANCE(C251, ""price"", TODAY()-80, TODAY()), ""SELECT Col2 WHERE Col2 IS NOT NULL ORDER BY Col1 DESC LIMIT 50"", 0))"),"#N/A")</f>
        <v>#N/A</v>
      </c>
      <c r="R251" s="24" t="str">
        <f>IFERROR(__xludf.DUMMYFUNCTION("IFERROR(
  LET(
    data, QUERY(GOOGLEFINANCE(C251,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GOOGLEFINANCE(C251, ""price"")) * 100,
    IF(calc=0, G251, calc)
  ), 
G251)"),"#N/A")</f>
        <v>#N/A</v>
      </c>
      <c r="S251" s="8" t="s">
        <v>15</v>
      </c>
      <c r="T251" s="26" t="str">
        <f>IFERROR(__xludf.DUMMYFUNCTION("IFERROR(TRANSPOSE(QUERY(IFERROR(SORT(GOOGLEFINANCE(C251, ""price"", WORKDAY(TODAY(), -40), TODAY()), 1, FALSE)), ""select Col2 where Col2 is not null limit 22 label Col2 ''"", 0)), """")"),"")</f>
        <v/>
      </c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8"/>
      <c r="AO251" s="28"/>
      <c r="AP251" s="29"/>
      <c r="AQ251" s="29" t="str">
        <f t="shared" ref="AQ251:BL251" si="254">T251/T$2</f>
        <v>#N/A</v>
      </c>
      <c r="AR251" s="29" t="str">
        <f t="shared" si="254"/>
        <v>#DIV/0!</v>
      </c>
      <c r="AS251" s="29" t="str">
        <f t="shared" si="254"/>
        <v>#DIV/0!</v>
      </c>
      <c r="AT251" s="29" t="str">
        <f t="shared" si="254"/>
        <v>#DIV/0!</v>
      </c>
      <c r="AU251" s="29" t="str">
        <f t="shared" si="254"/>
        <v>#DIV/0!</v>
      </c>
      <c r="AV251" s="29" t="str">
        <f t="shared" si="254"/>
        <v>#DIV/0!</v>
      </c>
      <c r="AW251" s="29" t="str">
        <f t="shared" si="254"/>
        <v>#DIV/0!</v>
      </c>
      <c r="AX251" s="29" t="str">
        <f t="shared" si="254"/>
        <v>#DIV/0!</v>
      </c>
      <c r="AY251" s="29" t="str">
        <f t="shared" si="254"/>
        <v>#DIV/0!</v>
      </c>
      <c r="AZ251" s="29" t="str">
        <f t="shared" si="254"/>
        <v>#DIV/0!</v>
      </c>
      <c r="BA251" s="29" t="str">
        <f t="shared" si="254"/>
        <v>#DIV/0!</v>
      </c>
      <c r="BB251" s="29" t="str">
        <f t="shared" si="254"/>
        <v>#DIV/0!</v>
      </c>
      <c r="BC251" s="29" t="str">
        <f t="shared" si="254"/>
        <v>#DIV/0!</v>
      </c>
      <c r="BD251" s="29" t="str">
        <f t="shared" si="254"/>
        <v>#DIV/0!</v>
      </c>
      <c r="BE251" s="29" t="str">
        <f t="shared" si="254"/>
        <v>#DIV/0!</v>
      </c>
      <c r="BF251" s="29" t="str">
        <f t="shared" si="254"/>
        <v>#DIV/0!</v>
      </c>
      <c r="BG251" s="29" t="str">
        <f t="shared" si="254"/>
        <v>#DIV/0!</v>
      </c>
      <c r="BH251" s="29" t="str">
        <f t="shared" si="254"/>
        <v>#DIV/0!</v>
      </c>
      <c r="BI251" s="29" t="str">
        <f t="shared" si="254"/>
        <v>#DIV/0!</v>
      </c>
      <c r="BJ251" s="29" t="str">
        <f t="shared" si="254"/>
        <v>#DIV/0!</v>
      </c>
      <c r="BK251" s="29" t="str">
        <f t="shared" si="254"/>
        <v>#DIV/0!</v>
      </c>
      <c r="BL251" s="29" t="str">
        <f t="shared" si="254"/>
        <v>#DIV/0!</v>
      </c>
      <c r="BM251" s="29" t="str">
        <f t="shared" si="3"/>
        <v>#DIV/0!</v>
      </c>
    </row>
    <row r="252">
      <c r="A252" s="16" t="str">
        <f>IFERROR(__xludf.DUMMYFUNCTION("IFERROR(SPARKLINE(SORT(MAP(TRANSPOSE(AQ252:BL252), LAMBDA(val, IF(ISNUMBER(val), PERCENTRANK(AQ252:BL252, val)+0.01, 0))), SEQUENCE(COLUMNS(AQ252:BL252)), FALSE), {""charttype"",""column""; ""color"",""chartreuse""; ""ymin"", 0; ""ymax"", 1.01; ""highcolo"&amp;"r"", ""darkgreen""; ""lowcolor"", ""red""}), """")"),"")</f>
        <v/>
      </c>
      <c r="B252" s="17" t="str">
        <f t="shared" si="4"/>
        <v/>
      </c>
      <c r="C252" s="1" t="s">
        <v>1823</v>
      </c>
      <c r="D252" s="30" t="str">
        <f>IFERROR(__xludf.DUMMYFUNCTION("IFERROR(GOOGLEFINANCE(C252, ""NAME""))"),"")</f>
        <v/>
      </c>
      <c r="E252" s="30" t="s">
        <v>1134</v>
      </c>
      <c r="F252" s="33" t="str">
        <f>IFERROR(__xludf.DUMMYFUNCTION("( (GOOGLEFINANCE(C252, ""price"") - Q252) / Q252 ) / (R252 / 100)"),"Loading...")</f>
        <v>Loading...</v>
      </c>
      <c r="G252" s="20" t="str">
        <f>IFERROR(__xludf.DUMMYFUNCTION("AVERAGE(ARRAYFORMULA(100 * (QUERY(GOOGLEFINANCE(C252, ""high"", TODAY()-40, TODAY()), ""SELECT Col2 WHERE Col2 IS NOT NULL ORDER BY Col1 DESC LIMIT 20"", 0) / QUERY(GOOGLEFINANCE(C252, ""low"", TODAY()-40, TODAY()), ""SELECT Col2 WHERE Col2 IS NOT NULL OR"&amp;"DER BY Col1 DESC LIMIT 20"", 0) - 1)))"),"#N/A")</f>
        <v>#N/A</v>
      </c>
      <c r="H252" s="35" t="str">
        <f t="shared" si="6"/>
        <v/>
      </c>
      <c r="I252" s="35" t="str">
        <f t="shared" si="7"/>
        <v/>
      </c>
      <c r="J252" s="37" t="str">
        <f>IFERROR(__xludf.DUMMYFUNCTION("IFERROR(
  IF(C252="""",, 
    IFERROR(
      GOOGLEFINANCE(C252, ""price"") * GOOGLEFINANCE(C252, ""volumeavg""), 
      GOOGLEFINANCE(C252, ""price"") * AVERAGE(QUERY(GOOGLEFINANCE(C252, ""volume"", TODAY()-40, TODAY()), ""SELECT Col2 WHERE Col2 IS NOT "&amp;"NULL ORDER BY Col1 DESC LIMIT 20"", 0))
    )
  ), 
"""")"),"")</f>
        <v/>
      </c>
      <c r="K252" s="21" t="str">
        <f>IFERROR(__xludf.DUMMYFUNCTION("IFERROR(GOOGLEFINANCE(C252, ""changepct"") / 100, """")"),"")</f>
        <v/>
      </c>
      <c r="L252" s="21" t="str">
        <f>IFERROR(__xludf.DUMMYFUNCTION("IFERROR((GOOGLEFINANCE(C252, ""price"") / INDEX(GOOGLEFINANCE(C252, ""price"", TODAY()-7, TODAY()), 2, 2)) - 1, """")"),"")</f>
        <v/>
      </c>
      <c r="M252" s="21" t="str">
        <f>IFERROR(__xludf.DUMMYFUNCTION("IFERROR((GOOGLEFINANCE(C252, ""price"") / INDEX(GOOGLEFINANCE(C252, ""price"", EDATE(TODAY(), -1), TODAY()), 2, 2)) - 1, """")"),"")</f>
        <v/>
      </c>
      <c r="N252" s="21" t="str">
        <f>IFERROR(__xludf.DUMMYFUNCTION("IFERROR((GOOGLEFINANCE(C252, ""price"") / INDEX(GOOGLEFINANCE(C252, ""price"", EDATE(TODAY(), -3), TODAY()), 2, 2)) - 1, """")"),"")</f>
        <v/>
      </c>
      <c r="O252" s="21" t="str">
        <f>IFERROR(__xludf.DUMMYFUNCTION("IFERROR((GOOGLEFINANCE(C252, ""price"") / INDEX(GOOGLEFINANCE(C252, ""price"", EDATE(TODAY(), -6), TODAY()), 2, 2)) - 1, """")"),"")</f>
        <v/>
      </c>
      <c r="P252" s="21" t="str">
        <f>IFERROR(__xludf.DUMMYFUNCTION("IFERROR((GOOGLEFINANCE(C252, ""price"") / INDEX(GOOGLEFINANCE(C252, ""price"", EDATE(TODAY(), -12), TODAY()), 2, 2)) - 1, """")"),"")</f>
        <v/>
      </c>
      <c r="Q252" s="6" t="str">
        <f>IFERROR(__xludf.DUMMYFUNCTION("AVERAGE(QUERY(GOOGLEFINANCE(C252, ""price"", TODAY()-80, TODAY()), ""SELECT Col2 WHERE Col2 IS NOT NULL ORDER BY Col1 DESC LIMIT 50"", 0))"),"#N/A")</f>
        <v>#N/A</v>
      </c>
      <c r="R252" s="24" t="str">
        <f>IFERROR(__xludf.DUMMYFUNCTION("IFERROR(
  LET(
    data, QUERY(GOOGLEFINANCE(C252,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GOOGLEFINANCE(C252, ""price"")) * 100,
    IF(calc=0, G252, calc)
  ), 
G252)"),"#N/A")</f>
        <v>#N/A</v>
      </c>
      <c r="S252" s="8" t="s">
        <v>15</v>
      </c>
      <c r="T252" s="26" t="str">
        <f>IFERROR(__xludf.DUMMYFUNCTION("IFERROR(TRANSPOSE(QUERY(IFERROR(SORT(GOOGLEFINANCE(C252, ""price"", WORKDAY(TODAY(), -40), TODAY()), 1, FALSE)), ""select Col2 where Col2 is not null limit 22 label Col2 ''"", 0)), """")"),"")</f>
        <v/>
      </c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8"/>
      <c r="AO252" s="28"/>
      <c r="AP252" s="29"/>
      <c r="AQ252" s="29" t="str">
        <f t="shared" ref="AQ252:BL252" si="255">T252/T$2</f>
        <v>#N/A</v>
      </c>
      <c r="AR252" s="29" t="str">
        <f t="shared" si="255"/>
        <v>#DIV/0!</v>
      </c>
      <c r="AS252" s="29" t="str">
        <f t="shared" si="255"/>
        <v>#DIV/0!</v>
      </c>
      <c r="AT252" s="29" t="str">
        <f t="shared" si="255"/>
        <v>#DIV/0!</v>
      </c>
      <c r="AU252" s="29" t="str">
        <f t="shared" si="255"/>
        <v>#DIV/0!</v>
      </c>
      <c r="AV252" s="29" t="str">
        <f t="shared" si="255"/>
        <v>#DIV/0!</v>
      </c>
      <c r="AW252" s="29" t="str">
        <f t="shared" si="255"/>
        <v>#DIV/0!</v>
      </c>
      <c r="AX252" s="29" t="str">
        <f t="shared" si="255"/>
        <v>#DIV/0!</v>
      </c>
      <c r="AY252" s="29" t="str">
        <f t="shared" si="255"/>
        <v>#DIV/0!</v>
      </c>
      <c r="AZ252" s="29" t="str">
        <f t="shared" si="255"/>
        <v>#DIV/0!</v>
      </c>
      <c r="BA252" s="29" t="str">
        <f t="shared" si="255"/>
        <v>#DIV/0!</v>
      </c>
      <c r="BB252" s="29" t="str">
        <f t="shared" si="255"/>
        <v>#DIV/0!</v>
      </c>
      <c r="BC252" s="29" t="str">
        <f t="shared" si="255"/>
        <v>#DIV/0!</v>
      </c>
      <c r="BD252" s="29" t="str">
        <f t="shared" si="255"/>
        <v>#DIV/0!</v>
      </c>
      <c r="BE252" s="29" t="str">
        <f t="shared" si="255"/>
        <v>#DIV/0!</v>
      </c>
      <c r="BF252" s="29" t="str">
        <f t="shared" si="255"/>
        <v>#DIV/0!</v>
      </c>
      <c r="BG252" s="29" t="str">
        <f t="shared" si="255"/>
        <v>#DIV/0!</v>
      </c>
      <c r="BH252" s="29" t="str">
        <f t="shared" si="255"/>
        <v>#DIV/0!</v>
      </c>
      <c r="BI252" s="29" t="str">
        <f t="shared" si="255"/>
        <v>#DIV/0!</v>
      </c>
      <c r="BJ252" s="29" t="str">
        <f t="shared" si="255"/>
        <v>#DIV/0!</v>
      </c>
      <c r="BK252" s="29" t="str">
        <f t="shared" si="255"/>
        <v>#DIV/0!</v>
      </c>
      <c r="BL252" s="29" t="str">
        <f t="shared" si="255"/>
        <v>#DIV/0!</v>
      </c>
      <c r="BM252" s="29" t="str">
        <f t="shared" si="3"/>
        <v>#DIV/0!</v>
      </c>
    </row>
    <row r="253">
      <c r="A253" s="16" t="str">
        <f>IFERROR(__xludf.DUMMYFUNCTION("IFERROR(SPARKLINE(SORT(MAP(TRANSPOSE(AQ253:BL253), LAMBDA(val, IF(ISNUMBER(val), PERCENTRANK(AQ253:BL253, val)+0.01, 0))), SEQUENCE(COLUMNS(AQ253:BL253)), FALSE), {""charttype"",""column""; ""color"",""chartreuse""; ""ymin"", 0; ""ymax"", 1.01; ""highcolo"&amp;"r"", ""darkgreen""; ""lowcolor"", ""red""}), """")"),"")</f>
        <v/>
      </c>
      <c r="B253" s="17" t="str">
        <f t="shared" si="4"/>
        <v/>
      </c>
      <c r="C253" s="1" t="s">
        <v>1827</v>
      </c>
      <c r="D253" s="30" t="str">
        <f>IFERROR(__xludf.DUMMYFUNCTION("IFERROR(GOOGLEFINANCE(C253, ""NAME""))"),"AAR Corp")</f>
        <v>AAR Corp</v>
      </c>
      <c r="E253" s="30" t="s">
        <v>839</v>
      </c>
      <c r="F253" s="33" t="str">
        <f>IFERROR(__xludf.DUMMYFUNCTION("( (GOOGLEFINANCE(C253, ""price"") - Q253) / Q253 ) / (R253 / 100)"),"Loading...")</f>
        <v>Loading...</v>
      </c>
      <c r="G253" s="20" t="str">
        <f>IFERROR(__xludf.DUMMYFUNCTION("AVERAGE(ARRAYFORMULA(100 * (QUERY(GOOGLEFINANCE(C253, ""high"", TODAY()-40, TODAY()), ""SELECT Col2 WHERE Col2 IS NOT NULL ORDER BY Col1 DESC LIMIT 20"", 0) / QUERY(GOOGLEFINANCE(C253, ""low"", TODAY()-40, TODAY()), ""SELECT Col2 WHERE Col2 IS NOT NULL OR"&amp;"DER BY Col1 DESC LIMIT 20"", 0) - 1)))"),"#N/A")</f>
        <v>#N/A</v>
      </c>
      <c r="H253" s="35" t="str">
        <f t="shared" si="6"/>
        <v/>
      </c>
      <c r="I253" s="35" t="str">
        <f t="shared" si="7"/>
        <v/>
      </c>
      <c r="J253" s="37" t="str">
        <f>IFERROR(__xludf.DUMMYFUNCTION("IFERROR(
  IF(C253="""",, 
    IFERROR(
      GOOGLEFINANCE(C253, ""price"") * GOOGLEFINANCE(C253, ""volumeavg""), 
      GOOGLEFINANCE(C253, ""price"") * AVERAGE(QUERY(GOOGLEFINANCE(C253, ""volume"", TODAY()-40, TODAY()), ""SELECT Col2 WHERE Col2 IS NOT "&amp;"NULL ORDER BY Col1 DESC LIMIT 20"", 0))
    )
  ), 
"""")"),"")</f>
        <v/>
      </c>
      <c r="K253" s="21" t="str">
        <f>IFERROR(__xludf.DUMMYFUNCTION("IFERROR(GOOGLEFINANCE(C253, ""changepct"") / 100, """")"),"")</f>
        <v/>
      </c>
      <c r="L253" s="21" t="str">
        <f>IFERROR(__xludf.DUMMYFUNCTION("IFERROR((GOOGLEFINANCE(C253, ""price"") / INDEX(GOOGLEFINANCE(C253, ""price"", TODAY()-7, TODAY()), 2, 2)) - 1, """")"),"")</f>
        <v/>
      </c>
      <c r="M253" s="21" t="str">
        <f>IFERROR(__xludf.DUMMYFUNCTION("IFERROR((GOOGLEFINANCE(C253, ""price"") / INDEX(GOOGLEFINANCE(C253, ""price"", EDATE(TODAY(), -1), TODAY()), 2, 2)) - 1, """")"),"")</f>
        <v/>
      </c>
      <c r="N253" s="21" t="str">
        <f>IFERROR(__xludf.DUMMYFUNCTION("IFERROR((GOOGLEFINANCE(C253, ""price"") / INDEX(GOOGLEFINANCE(C253, ""price"", EDATE(TODAY(), -3), TODAY()), 2, 2)) - 1, """")"),"")</f>
        <v/>
      </c>
      <c r="O253" s="21" t="str">
        <f>IFERROR(__xludf.DUMMYFUNCTION("IFERROR((GOOGLEFINANCE(C253, ""price"") / INDEX(GOOGLEFINANCE(C253, ""price"", EDATE(TODAY(), -6), TODAY()), 2, 2)) - 1, """")"),"")</f>
        <v/>
      </c>
      <c r="P253" s="21" t="str">
        <f>IFERROR(__xludf.DUMMYFUNCTION("IFERROR((GOOGLEFINANCE(C253, ""price"") / INDEX(GOOGLEFINANCE(C253, ""price"", EDATE(TODAY(), -12), TODAY()), 2, 2)) - 1, """")"),"")</f>
        <v/>
      </c>
      <c r="Q253" s="6" t="str">
        <f>IFERROR(__xludf.DUMMYFUNCTION("AVERAGE(QUERY(GOOGLEFINANCE(C253, ""price"", TODAY()-80, TODAY()), ""SELECT Col2 WHERE Col2 IS NOT NULL ORDER BY Col1 DESC LIMIT 50"", 0))"),"#N/A")</f>
        <v>#N/A</v>
      </c>
      <c r="R253" s="24" t="str">
        <f>IFERROR(__xludf.DUMMYFUNCTION("IFERROR(
  LET(
    data, QUERY(GOOGLEFINANCE(C253,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GOOGLEFINANCE(C253, ""price"")) * 100,
    IF(calc=0, G253, calc)
  ), 
G253)"),"#N/A")</f>
        <v>#N/A</v>
      </c>
      <c r="S253" s="8" t="s">
        <v>15</v>
      </c>
      <c r="T253" s="26" t="str">
        <f>IFERROR(__xludf.DUMMYFUNCTION("IFERROR(TRANSPOSE(QUERY(IFERROR(SORT(GOOGLEFINANCE(C253, ""price"", WORKDAY(TODAY(), -40), TODAY()), 1, FALSE)), ""select Col2 where Col2 is not null limit 22 label Col2 ''"", 0)), """")"),"")</f>
        <v/>
      </c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8"/>
      <c r="AO253" s="28"/>
      <c r="AP253" s="29"/>
      <c r="AQ253" s="29" t="str">
        <f t="shared" ref="AQ253:BL253" si="256">T253/T$2</f>
        <v>#N/A</v>
      </c>
      <c r="AR253" s="29" t="str">
        <f t="shared" si="256"/>
        <v>#DIV/0!</v>
      </c>
      <c r="AS253" s="29" t="str">
        <f t="shared" si="256"/>
        <v>#DIV/0!</v>
      </c>
      <c r="AT253" s="29" t="str">
        <f t="shared" si="256"/>
        <v>#DIV/0!</v>
      </c>
      <c r="AU253" s="29" t="str">
        <f t="shared" si="256"/>
        <v>#DIV/0!</v>
      </c>
      <c r="AV253" s="29" t="str">
        <f t="shared" si="256"/>
        <v>#DIV/0!</v>
      </c>
      <c r="AW253" s="29" t="str">
        <f t="shared" si="256"/>
        <v>#DIV/0!</v>
      </c>
      <c r="AX253" s="29" t="str">
        <f t="shared" si="256"/>
        <v>#DIV/0!</v>
      </c>
      <c r="AY253" s="29" t="str">
        <f t="shared" si="256"/>
        <v>#DIV/0!</v>
      </c>
      <c r="AZ253" s="29" t="str">
        <f t="shared" si="256"/>
        <v>#DIV/0!</v>
      </c>
      <c r="BA253" s="29" t="str">
        <f t="shared" si="256"/>
        <v>#DIV/0!</v>
      </c>
      <c r="BB253" s="29" t="str">
        <f t="shared" si="256"/>
        <v>#DIV/0!</v>
      </c>
      <c r="BC253" s="29" t="str">
        <f t="shared" si="256"/>
        <v>#DIV/0!</v>
      </c>
      <c r="BD253" s="29" t="str">
        <f t="shared" si="256"/>
        <v>#DIV/0!</v>
      </c>
      <c r="BE253" s="29" t="str">
        <f t="shared" si="256"/>
        <v>#DIV/0!</v>
      </c>
      <c r="BF253" s="29" t="str">
        <f t="shared" si="256"/>
        <v>#DIV/0!</v>
      </c>
      <c r="BG253" s="29" t="str">
        <f t="shared" si="256"/>
        <v>#DIV/0!</v>
      </c>
      <c r="BH253" s="29" t="str">
        <f t="shared" si="256"/>
        <v>#DIV/0!</v>
      </c>
      <c r="BI253" s="29" t="str">
        <f t="shared" si="256"/>
        <v>#DIV/0!</v>
      </c>
      <c r="BJ253" s="29" t="str">
        <f t="shared" si="256"/>
        <v>#DIV/0!</v>
      </c>
      <c r="BK253" s="29" t="str">
        <f t="shared" si="256"/>
        <v>#DIV/0!</v>
      </c>
      <c r="BL253" s="29" t="str">
        <f t="shared" si="256"/>
        <v>#DIV/0!</v>
      </c>
      <c r="BM253" s="29" t="str">
        <f t="shared" si="3"/>
        <v>#DIV/0!</v>
      </c>
    </row>
    <row r="254">
      <c r="A254" s="16" t="str">
        <f>IFERROR(__xludf.DUMMYFUNCTION("IFERROR(SPARKLINE(SORT(MAP(TRANSPOSE(AQ254:BL254), LAMBDA(val, IF(ISNUMBER(val), PERCENTRANK(AQ254:BL254, val)+0.01, 0))), SEQUENCE(COLUMNS(AQ254:BL254)), FALSE), {""charttype"",""column""; ""color"",""chartreuse""; ""ymin"", 0; ""ymax"", 1.01; ""highcolo"&amp;"r"", ""darkgreen""; ""lowcolor"", ""red""}), """")"),"")</f>
        <v/>
      </c>
      <c r="B254" s="17" t="str">
        <f t="shared" si="4"/>
        <v/>
      </c>
      <c r="C254" s="1" t="s">
        <v>1831</v>
      </c>
      <c r="D254" s="30" t="str">
        <f>IFERROR(__xludf.DUMMYFUNCTION("IFERROR(GOOGLEFINANCE(C254, ""NAME""))"),"Lincoln Electric Holdings Inc")</f>
        <v>Lincoln Electric Holdings Inc</v>
      </c>
      <c r="E254" s="30" t="s">
        <v>1055</v>
      </c>
      <c r="F254" s="33" t="str">
        <f>IFERROR(__xludf.DUMMYFUNCTION("( (GOOGLEFINANCE(C254, ""price"") - Q254) / Q254 ) / (R254 / 100)"),"Loading...")</f>
        <v>Loading...</v>
      </c>
      <c r="G254" s="20" t="str">
        <f>IFERROR(__xludf.DUMMYFUNCTION("AVERAGE(ARRAYFORMULA(100 * (QUERY(GOOGLEFINANCE(C254, ""high"", TODAY()-40, TODAY()), ""SELECT Col2 WHERE Col2 IS NOT NULL ORDER BY Col1 DESC LIMIT 20"", 0) / QUERY(GOOGLEFINANCE(C254, ""low"", TODAY()-40, TODAY()), ""SELECT Col2 WHERE Col2 IS NOT NULL OR"&amp;"DER BY Col1 DESC LIMIT 20"", 0) - 1)))"),"#N/A")</f>
        <v>#N/A</v>
      </c>
      <c r="H254" s="35" t="str">
        <f t="shared" si="6"/>
        <v/>
      </c>
      <c r="I254" s="35" t="str">
        <f t="shared" si="7"/>
        <v/>
      </c>
      <c r="J254" s="37" t="str">
        <f>IFERROR(__xludf.DUMMYFUNCTION("IFERROR(
  IF(C254="""",, 
    IFERROR(
      GOOGLEFINANCE(C254, ""price"") * GOOGLEFINANCE(C254, ""volumeavg""), 
      GOOGLEFINANCE(C254, ""price"") * AVERAGE(QUERY(GOOGLEFINANCE(C254, ""volume"", TODAY()-40, TODAY()), ""SELECT Col2 WHERE Col2 IS NOT "&amp;"NULL ORDER BY Col1 DESC LIMIT 20"", 0))
    )
  ), 
"""")"),"")</f>
        <v/>
      </c>
      <c r="K254" s="21" t="str">
        <f>IFERROR(__xludf.DUMMYFUNCTION("IFERROR(GOOGLEFINANCE(C254, ""changepct"") / 100, """")"),"")</f>
        <v/>
      </c>
      <c r="L254" s="21" t="str">
        <f>IFERROR(__xludf.DUMMYFUNCTION("IFERROR((GOOGLEFINANCE(C254, ""price"") / INDEX(GOOGLEFINANCE(C254, ""price"", TODAY()-7, TODAY()), 2, 2)) - 1, """")"),"")</f>
        <v/>
      </c>
      <c r="M254" s="21" t="str">
        <f>IFERROR(__xludf.DUMMYFUNCTION("IFERROR((GOOGLEFINANCE(C254, ""price"") / INDEX(GOOGLEFINANCE(C254, ""price"", EDATE(TODAY(), -1), TODAY()), 2, 2)) - 1, """")"),"")</f>
        <v/>
      </c>
      <c r="N254" s="21" t="str">
        <f>IFERROR(__xludf.DUMMYFUNCTION("IFERROR((GOOGLEFINANCE(C254, ""price"") / INDEX(GOOGLEFINANCE(C254, ""price"", EDATE(TODAY(), -3), TODAY()), 2, 2)) - 1, """")"),"")</f>
        <v/>
      </c>
      <c r="O254" s="21" t="str">
        <f>IFERROR(__xludf.DUMMYFUNCTION("IFERROR((GOOGLEFINANCE(C254, ""price"") / INDEX(GOOGLEFINANCE(C254, ""price"", EDATE(TODAY(), -6), TODAY()), 2, 2)) - 1, """")"),"")</f>
        <v/>
      </c>
      <c r="P254" s="21" t="str">
        <f>IFERROR(__xludf.DUMMYFUNCTION("IFERROR((GOOGLEFINANCE(C254, ""price"") / INDEX(GOOGLEFINANCE(C254, ""price"", EDATE(TODAY(), -12), TODAY()), 2, 2)) - 1, """")"),"")</f>
        <v/>
      </c>
      <c r="Q254" s="6" t="str">
        <f>IFERROR(__xludf.DUMMYFUNCTION("AVERAGE(QUERY(GOOGLEFINANCE(C254, ""price"", TODAY()-80, TODAY()), ""SELECT Col2 WHERE Col2 IS NOT NULL ORDER BY Col1 DESC LIMIT 50"", 0))"),"#N/A")</f>
        <v>#N/A</v>
      </c>
      <c r="R254" s="24" t="str">
        <f>IFERROR(__xludf.DUMMYFUNCTION("IFERROR(
  LET(
    data, QUERY(GOOGLEFINANCE(C254,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GOOGLEFINANCE(C254, ""price"")) * 100,
    IF(calc=0, G254, calc)
  ), 
G254)"),"#N/A")</f>
        <v>#N/A</v>
      </c>
      <c r="S254" s="8" t="s">
        <v>15</v>
      </c>
      <c r="T254" s="26" t="str">
        <f>IFERROR(__xludf.DUMMYFUNCTION("IFERROR(TRANSPOSE(QUERY(IFERROR(SORT(GOOGLEFINANCE(C254, ""price"", WORKDAY(TODAY(), -40), TODAY()), 1, FALSE)), ""select Col2 where Col2 is not null limit 22 label Col2 ''"", 0)), """")"),"")</f>
        <v/>
      </c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8"/>
      <c r="AO254" s="28"/>
      <c r="AP254" s="29"/>
      <c r="AQ254" s="29" t="str">
        <f t="shared" ref="AQ254:BL254" si="257">T254/T$2</f>
        <v>#N/A</v>
      </c>
      <c r="AR254" s="29" t="str">
        <f t="shared" si="257"/>
        <v>#DIV/0!</v>
      </c>
      <c r="AS254" s="29" t="str">
        <f t="shared" si="257"/>
        <v>#DIV/0!</v>
      </c>
      <c r="AT254" s="29" t="str">
        <f t="shared" si="257"/>
        <v>#DIV/0!</v>
      </c>
      <c r="AU254" s="29" t="str">
        <f t="shared" si="257"/>
        <v>#DIV/0!</v>
      </c>
      <c r="AV254" s="29" t="str">
        <f t="shared" si="257"/>
        <v>#DIV/0!</v>
      </c>
      <c r="AW254" s="29" t="str">
        <f t="shared" si="257"/>
        <v>#DIV/0!</v>
      </c>
      <c r="AX254" s="29" t="str">
        <f t="shared" si="257"/>
        <v>#DIV/0!</v>
      </c>
      <c r="AY254" s="29" t="str">
        <f t="shared" si="257"/>
        <v>#DIV/0!</v>
      </c>
      <c r="AZ254" s="29" t="str">
        <f t="shared" si="257"/>
        <v>#DIV/0!</v>
      </c>
      <c r="BA254" s="29" t="str">
        <f t="shared" si="257"/>
        <v>#DIV/0!</v>
      </c>
      <c r="BB254" s="29" t="str">
        <f t="shared" si="257"/>
        <v>#DIV/0!</v>
      </c>
      <c r="BC254" s="29" t="str">
        <f t="shared" si="257"/>
        <v>#DIV/0!</v>
      </c>
      <c r="BD254" s="29" t="str">
        <f t="shared" si="257"/>
        <v>#DIV/0!</v>
      </c>
      <c r="BE254" s="29" t="str">
        <f t="shared" si="257"/>
        <v>#DIV/0!</v>
      </c>
      <c r="BF254" s="29" t="str">
        <f t="shared" si="257"/>
        <v>#DIV/0!</v>
      </c>
      <c r="BG254" s="29" t="str">
        <f t="shared" si="257"/>
        <v>#DIV/0!</v>
      </c>
      <c r="BH254" s="29" t="str">
        <f t="shared" si="257"/>
        <v>#DIV/0!</v>
      </c>
      <c r="BI254" s="29" t="str">
        <f t="shared" si="257"/>
        <v>#DIV/0!</v>
      </c>
      <c r="BJ254" s="29" t="str">
        <f t="shared" si="257"/>
        <v>#DIV/0!</v>
      </c>
      <c r="BK254" s="29" t="str">
        <f t="shared" si="257"/>
        <v>#DIV/0!</v>
      </c>
      <c r="BL254" s="29" t="str">
        <f t="shared" si="257"/>
        <v>#DIV/0!</v>
      </c>
      <c r="BM254" s="29" t="str">
        <f t="shared" si="3"/>
        <v>#DIV/0!</v>
      </c>
    </row>
    <row r="255">
      <c r="A255" s="16" t="str">
        <f>IFERROR(__xludf.DUMMYFUNCTION("IFERROR(SPARKLINE(SORT(MAP(TRANSPOSE(AQ255:BL255), LAMBDA(val, IF(ISNUMBER(val), PERCENTRANK(AQ255:BL255, val)+0.01, 0))), SEQUENCE(COLUMNS(AQ255:BL255)), FALSE), {""charttype"",""column""; ""color"",""chartreuse""; ""ymin"", 0; ""ymax"", 1.01; ""highcolo"&amp;"r"", ""darkgreen""; ""lowcolor"", ""red""}), """")"),"")</f>
        <v/>
      </c>
      <c r="B255" s="17" t="str">
        <f t="shared" si="4"/>
        <v/>
      </c>
      <c r="C255" s="1" t="s">
        <v>1835</v>
      </c>
      <c r="D255" s="30" t="str">
        <f>IFERROR(__xludf.DUMMYFUNCTION("IFERROR(GOOGLEFINANCE(C255, ""NAME""))"),"Ryder System Inc")</f>
        <v>Ryder System Inc</v>
      </c>
      <c r="E255" s="30" t="s">
        <v>888</v>
      </c>
      <c r="F255" s="33" t="str">
        <f>IFERROR(__xludf.DUMMYFUNCTION("( (GOOGLEFINANCE(C255, ""price"") - Q255) / Q255 ) / (R255 / 100)"),"Loading...")</f>
        <v>Loading...</v>
      </c>
      <c r="G255" s="20" t="str">
        <f>IFERROR(__xludf.DUMMYFUNCTION("AVERAGE(ARRAYFORMULA(100 * (QUERY(GOOGLEFINANCE(C255, ""high"", TODAY()-40, TODAY()), ""SELECT Col2 WHERE Col2 IS NOT NULL ORDER BY Col1 DESC LIMIT 20"", 0) / QUERY(GOOGLEFINANCE(C255, ""low"", TODAY()-40, TODAY()), ""SELECT Col2 WHERE Col2 IS NOT NULL OR"&amp;"DER BY Col1 DESC LIMIT 20"", 0) - 1)))"),"#N/A")</f>
        <v>#N/A</v>
      </c>
      <c r="H255" s="35" t="str">
        <f t="shared" si="6"/>
        <v/>
      </c>
      <c r="I255" s="35" t="str">
        <f t="shared" si="7"/>
        <v/>
      </c>
      <c r="J255" s="37" t="str">
        <f>IFERROR(__xludf.DUMMYFUNCTION("IFERROR(
  IF(C255="""",, 
    IFERROR(
      GOOGLEFINANCE(C255, ""price"") * GOOGLEFINANCE(C255, ""volumeavg""), 
      GOOGLEFINANCE(C255, ""price"") * AVERAGE(QUERY(GOOGLEFINANCE(C255, ""volume"", TODAY()-40, TODAY()), ""SELECT Col2 WHERE Col2 IS NOT "&amp;"NULL ORDER BY Col1 DESC LIMIT 20"", 0))
    )
  ), 
"""")"),"")</f>
        <v/>
      </c>
      <c r="K255" s="21" t="str">
        <f>IFERROR(__xludf.DUMMYFUNCTION("IFERROR(GOOGLEFINANCE(C255, ""changepct"") / 100, """")"),"")</f>
        <v/>
      </c>
      <c r="L255" s="21" t="str">
        <f>IFERROR(__xludf.DUMMYFUNCTION("IFERROR((GOOGLEFINANCE(C255, ""price"") / INDEX(GOOGLEFINANCE(C255, ""price"", TODAY()-7, TODAY()), 2, 2)) - 1, """")"),"")</f>
        <v/>
      </c>
      <c r="M255" s="21" t="str">
        <f>IFERROR(__xludf.DUMMYFUNCTION("IFERROR((GOOGLEFINANCE(C255, ""price"") / INDEX(GOOGLEFINANCE(C255, ""price"", EDATE(TODAY(), -1), TODAY()), 2, 2)) - 1, """")"),"")</f>
        <v/>
      </c>
      <c r="N255" s="21" t="str">
        <f>IFERROR(__xludf.DUMMYFUNCTION("IFERROR((GOOGLEFINANCE(C255, ""price"") / INDEX(GOOGLEFINANCE(C255, ""price"", EDATE(TODAY(), -3), TODAY()), 2, 2)) - 1, """")"),"")</f>
        <v/>
      </c>
      <c r="O255" s="21" t="str">
        <f>IFERROR(__xludf.DUMMYFUNCTION("IFERROR((GOOGLEFINANCE(C255, ""price"") / INDEX(GOOGLEFINANCE(C255, ""price"", EDATE(TODAY(), -6), TODAY()), 2, 2)) - 1, """")"),"")</f>
        <v/>
      </c>
      <c r="P255" s="21" t="str">
        <f>IFERROR(__xludf.DUMMYFUNCTION("IFERROR((GOOGLEFINANCE(C255, ""price"") / INDEX(GOOGLEFINANCE(C255, ""price"", EDATE(TODAY(), -12), TODAY()), 2, 2)) - 1, """")"),"")</f>
        <v/>
      </c>
      <c r="Q255" s="6" t="str">
        <f>IFERROR(__xludf.DUMMYFUNCTION("AVERAGE(QUERY(GOOGLEFINANCE(C255, ""price"", TODAY()-80, TODAY()), ""SELECT Col2 WHERE Col2 IS NOT NULL ORDER BY Col1 DESC LIMIT 50"", 0))"),"#N/A")</f>
        <v>#N/A</v>
      </c>
      <c r="R255" s="24" t="str">
        <f>IFERROR(__xludf.DUMMYFUNCTION("IFERROR(
  LET(
    data, QUERY(GOOGLEFINANCE(C255,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GOOGLEFINANCE(C255, ""price"")) * 100,
    IF(calc=0, G255, calc)
  ), 
G255)"),"#N/A")</f>
        <v>#N/A</v>
      </c>
      <c r="S255" s="8" t="s">
        <v>15</v>
      </c>
      <c r="T255" s="26" t="str">
        <f>IFERROR(__xludf.DUMMYFUNCTION("IFERROR(TRANSPOSE(QUERY(IFERROR(SORT(GOOGLEFINANCE(C255, ""price"", WORKDAY(TODAY(), -40), TODAY()), 1, FALSE)), ""select Col2 where Col2 is not null limit 22 label Col2 ''"", 0)), """")"),"")</f>
        <v/>
      </c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8"/>
      <c r="AO255" s="28"/>
      <c r="AP255" s="29"/>
      <c r="AQ255" s="29" t="str">
        <f t="shared" ref="AQ255:BL255" si="258">T255/T$2</f>
        <v>#N/A</v>
      </c>
      <c r="AR255" s="29" t="str">
        <f t="shared" si="258"/>
        <v>#DIV/0!</v>
      </c>
      <c r="AS255" s="29" t="str">
        <f t="shared" si="258"/>
        <v>#DIV/0!</v>
      </c>
      <c r="AT255" s="29" t="str">
        <f t="shared" si="258"/>
        <v>#DIV/0!</v>
      </c>
      <c r="AU255" s="29" t="str">
        <f t="shared" si="258"/>
        <v>#DIV/0!</v>
      </c>
      <c r="AV255" s="29" t="str">
        <f t="shared" si="258"/>
        <v>#DIV/0!</v>
      </c>
      <c r="AW255" s="29" t="str">
        <f t="shared" si="258"/>
        <v>#DIV/0!</v>
      </c>
      <c r="AX255" s="29" t="str">
        <f t="shared" si="258"/>
        <v>#DIV/0!</v>
      </c>
      <c r="AY255" s="29" t="str">
        <f t="shared" si="258"/>
        <v>#DIV/0!</v>
      </c>
      <c r="AZ255" s="29" t="str">
        <f t="shared" si="258"/>
        <v>#DIV/0!</v>
      </c>
      <c r="BA255" s="29" t="str">
        <f t="shared" si="258"/>
        <v>#DIV/0!</v>
      </c>
      <c r="BB255" s="29" t="str">
        <f t="shared" si="258"/>
        <v>#DIV/0!</v>
      </c>
      <c r="BC255" s="29" t="str">
        <f t="shared" si="258"/>
        <v>#DIV/0!</v>
      </c>
      <c r="BD255" s="29" t="str">
        <f t="shared" si="258"/>
        <v>#DIV/0!</v>
      </c>
      <c r="BE255" s="29" t="str">
        <f t="shared" si="258"/>
        <v>#DIV/0!</v>
      </c>
      <c r="BF255" s="29" t="str">
        <f t="shared" si="258"/>
        <v>#DIV/0!</v>
      </c>
      <c r="BG255" s="29" t="str">
        <f t="shared" si="258"/>
        <v>#DIV/0!</v>
      </c>
      <c r="BH255" s="29" t="str">
        <f t="shared" si="258"/>
        <v>#DIV/0!</v>
      </c>
      <c r="BI255" s="29" t="str">
        <f t="shared" si="258"/>
        <v>#DIV/0!</v>
      </c>
      <c r="BJ255" s="29" t="str">
        <f t="shared" si="258"/>
        <v>#DIV/0!</v>
      </c>
      <c r="BK255" s="29" t="str">
        <f t="shared" si="258"/>
        <v>#DIV/0!</v>
      </c>
      <c r="BL255" s="29" t="str">
        <f t="shared" si="258"/>
        <v>#DIV/0!</v>
      </c>
      <c r="BM255" s="29" t="str">
        <f t="shared" si="3"/>
        <v>#DIV/0!</v>
      </c>
    </row>
    <row r="256">
      <c r="A256" s="16" t="str">
        <f>IFERROR(__xludf.DUMMYFUNCTION("IFERROR(SPARKLINE(SORT(MAP(TRANSPOSE(AQ256:BL256), LAMBDA(val, IF(ISNUMBER(val), PERCENTRANK(AQ256:BL256, val)+0.01, 0))), SEQUENCE(COLUMNS(AQ256:BL256)), FALSE), {""charttype"",""column""; ""color"",""chartreuse""; ""ymin"", 0; ""ymax"", 1.01; ""highcolo"&amp;"r"", ""darkgreen""; ""lowcolor"", ""red""}), """")"),"")</f>
        <v/>
      </c>
      <c r="B256" s="17" t="str">
        <f t="shared" si="4"/>
        <v/>
      </c>
      <c r="C256" s="1" t="s">
        <v>1839</v>
      </c>
      <c r="D256" s="30" t="str">
        <f>IFERROR(__xludf.DUMMYFUNCTION("IFERROR(GOOGLEFINANCE(C256, ""NAME""))"),"J B Hunt Transport Services Inc")</f>
        <v>J B Hunt Transport Services Inc</v>
      </c>
      <c r="E256" s="30" t="s">
        <v>955</v>
      </c>
      <c r="F256" s="33" t="str">
        <f>IFERROR(__xludf.DUMMYFUNCTION("( (GOOGLEFINANCE(C256, ""price"") - Q256) / Q256 ) / (R256 / 100)"),"Loading...")</f>
        <v>Loading...</v>
      </c>
      <c r="G256" s="20" t="str">
        <f>IFERROR(__xludf.DUMMYFUNCTION("AVERAGE(ARRAYFORMULA(100 * (QUERY(GOOGLEFINANCE(C256, ""high"", TODAY()-40, TODAY()), ""SELECT Col2 WHERE Col2 IS NOT NULL ORDER BY Col1 DESC LIMIT 20"", 0) / QUERY(GOOGLEFINANCE(C256, ""low"", TODAY()-40, TODAY()), ""SELECT Col2 WHERE Col2 IS NOT NULL OR"&amp;"DER BY Col1 DESC LIMIT 20"", 0) - 1)))"),"#N/A")</f>
        <v>#N/A</v>
      </c>
      <c r="H256" s="35" t="str">
        <f t="shared" si="6"/>
        <v/>
      </c>
      <c r="I256" s="35" t="str">
        <f t="shared" si="7"/>
        <v/>
      </c>
      <c r="J256" s="37" t="str">
        <f>IFERROR(__xludf.DUMMYFUNCTION("IFERROR(
  IF(C256="""",, 
    IFERROR(
      GOOGLEFINANCE(C256, ""price"") * GOOGLEFINANCE(C256, ""volumeavg""), 
      GOOGLEFINANCE(C256, ""price"") * AVERAGE(QUERY(GOOGLEFINANCE(C256, ""volume"", TODAY()-40, TODAY()), ""SELECT Col2 WHERE Col2 IS NOT "&amp;"NULL ORDER BY Col1 DESC LIMIT 20"", 0))
    )
  ), 
"""")"),"")</f>
        <v/>
      </c>
      <c r="K256" s="21" t="str">
        <f>IFERROR(__xludf.DUMMYFUNCTION("IFERROR(GOOGLEFINANCE(C256, ""changepct"") / 100, """")"),"")</f>
        <v/>
      </c>
      <c r="L256" s="21" t="str">
        <f>IFERROR(__xludf.DUMMYFUNCTION("IFERROR((GOOGLEFINANCE(C256, ""price"") / INDEX(GOOGLEFINANCE(C256, ""price"", TODAY()-7, TODAY()), 2, 2)) - 1, """")"),"")</f>
        <v/>
      </c>
      <c r="M256" s="21" t="str">
        <f>IFERROR(__xludf.DUMMYFUNCTION("IFERROR((GOOGLEFINANCE(C256, ""price"") / INDEX(GOOGLEFINANCE(C256, ""price"", EDATE(TODAY(), -1), TODAY()), 2, 2)) - 1, """")"),"")</f>
        <v/>
      </c>
      <c r="N256" s="21" t="str">
        <f>IFERROR(__xludf.DUMMYFUNCTION("IFERROR((GOOGLEFINANCE(C256, ""price"") / INDEX(GOOGLEFINANCE(C256, ""price"", EDATE(TODAY(), -3), TODAY()), 2, 2)) - 1, """")"),"")</f>
        <v/>
      </c>
      <c r="O256" s="21" t="str">
        <f>IFERROR(__xludf.DUMMYFUNCTION("IFERROR((GOOGLEFINANCE(C256, ""price"") / INDEX(GOOGLEFINANCE(C256, ""price"", EDATE(TODAY(), -6), TODAY()), 2, 2)) - 1, """")"),"")</f>
        <v/>
      </c>
      <c r="P256" s="21" t="str">
        <f>IFERROR(__xludf.DUMMYFUNCTION("IFERROR((GOOGLEFINANCE(C256, ""price"") / INDEX(GOOGLEFINANCE(C256, ""price"", EDATE(TODAY(), -12), TODAY()), 2, 2)) - 1, """")"),"")</f>
        <v/>
      </c>
      <c r="Q256" s="6" t="str">
        <f>IFERROR(__xludf.DUMMYFUNCTION("AVERAGE(QUERY(GOOGLEFINANCE(C256, ""price"", TODAY()-80, TODAY()), ""SELECT Col2 WHERE Col2 IS NOT NULL ORDER BY Col1 DESC LIMIT 50"", 0))"),"#N/A")</f>
        <v>#N/A</v>
      </c>
      <c r="R256" s="24" t="str">
        <f>IFERROR(__xludf.DUMMYFUNCTION("IFERROR(
  LET(
    data, QUERY(GOOGLEFINANCE(C256,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GOOGLEFINANCE(C256, ""price"")) * 100,
    IF(calc=0, G256, calc)
  ), 
G256)"),"#N/A")</f>
        <v>#N/A</v>
      </c>
      <c r="S256" s="8" t="s">
        <v>15</v>
      </c>
      <c r="T256" s="26" t="str">
        <f>IFERROR(__xludf.DUMMYFUNCTION("IFERROR(TRANSPOSE(QUERY(IFERROR(SORT(GOOGLEFINANCE(C256, ""price"", WORKDAY(TODAY(), -40), TODAY()), 1, FALSE)), ""select Col2 where Col2 is not null limit 22 label Col2 ''"", 0)), """")"),"")</f>
        <v/>
      </c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8"/>
      <c r="AO256" s="28"/>
      <c r="AP256" s="29"/>
      <c r="AQ256" s="29" t="str">
        <f t="shared" ref="AQ256:BL256" si="259">T256/T$2</f>
        <v>#N/A</v>
      </c>
      <c r="AR256" s="29" t="str">
        <f t="shared" si="259"/>
        <v>#DIV/0!</v>
      </c>
      <c r="AS256" s="29" t="str">
        <f t="shared" si="259"/>
        <v>#DIV/0!</v>
      </c>
      <c r="AT256" s="29" t="str">
        <f t="shared" si="259"/>
        <v>#DIV/0!</v>
      </c>
      <c r="AU256" s="29" t="str">
        <f t="shared" si="259"/>
        <v>#DIV/0!</v>
      </c>
      <c r="AV256" s="29" t="str">
        <f t="shared" si="259"/>
        <v>#DIV/0!</v>
      </c>
      <c r="AW256" s="29" t="str">
        <f t="shared" si="259"/>
        <v>#DIV/0!</v>
      </c>
      <c r="AX256" s="29" t="str">
        <f t="shared" si="259"/>
        <v>#DIV/0!</v>
      </c>
      <c r="AY256" s="29" t="str">
        <f t="shared" si="259"/>
        <v>#DIV/0!</v>
      </c>
      <c r="AZ256" s="29" t="str">
        <f t="shared" si="259"/>
        <v>#DIV/0!</v>
      </c>
      <c r="BA256" s="29" t="str">
        <f t="shared" si="259"/>
        <v>#DIV/0!</v>
      </c>
      <c r="BB256" s="29" t="str">
        <f t="shared" si="259"/>
        <v>#DIV/0!</v>
      </c>
      <c r="BC256" s="29" t="str">
        <f t="shared" si="259"/>
        <v>#DIV/0!</v>
      </c>
      <c r="BD256" s="29" t="str">
        <f t="shared" si="259"/>
        <v>#DIV/0!</v>
      </c>
      <c r="BE256" s="29" t="str">
        <f t="shared" si="259"/>
        <v>#DIV/0!</v>
      </c>
      <c r="BF256" s="29" t="str">
        <f t="shared" si="259"/>
        <v>#DIV/0!</v>
      </c>
      <c r="BG256" s="29" t="str">
        <f t="shared" si="259"/>
        <v>#DIV/0!</v>
      </c>
      <c r="BH256" s="29" t="str">
        <f t="shared" si="259"/>
        <v>#DIV/0!</v>
      </c>
      <c r="BI256" s="29" t="str">
        <f t="shared" si="259"/>
        <v>#DIV/0!</v>
      </c>
      <c r="BJ256" s="29" t="str">
        <f t="shared" si="259"/>
        <v>#DIV/0!</v>
      </c>
      <c r="BK256" s="29" t="str">
        <f t="shared" si="259"/>
        <v>#DIV/0!</v>
      </c>
      <c r="BL256" s="29" t="str">
        <f t="shared" si="259"/>
        <v>#DIV/0!</v>
      </c>
      <c r="BM256" s="29" t="str">
        <f t="shared" si="3"/>
        <v>#DIV/0!</v>
      </c>
    </row>
    <row r="257">
      <c r="A257" s="16" t="str">
        <f>IFERROR(__xludf.DUMMYFUNCTION("IFERROR(SPARKLINE(SORT(MAP(TRANSPOSE(AQ257:BL257), LAMBDA(val, IF(ISNUMBER(val), PERCENTRANK(AQ257:BL257, val)+0.01, 0))), SEQUENCE(COLUMNS(AQ257:BL257)), FALSE), {""charttype"",""column""; ""color"",""chartreuse""; ""ymin"", 0; ""ymax"", 1.01; ""highcolo"&amp;"r"", ""darkgreen""; ""lowcolor"", ""red""}), """")"),"")</f>
        <v/>
      </c>
      <c r="B257" s="17" t="str">
        <f t="shared" si="4"/>
        <v/>
      </c>
      <c r="C257" s="1" t="s">
        <v>1845</v>
      </c>
      <c r="D257" s="30" t="str">
        <f>IFERROR(__xludf.DUMMYFUNCTION("IFERROR(GOOGLEFINANCE(C257, ""NAME""))"),"Quanex Building Products Corp")</f>
        <v>Quanex Building Products Corp</v>
      </c>
      <c r="E257" s="30" t="s">
        <v>968</v>
      </c>
      <c r="F257" s="33" t="str">
        <f>IFERROR(__xludf.DUMMYFUNCTION("( (GOOGLEFINANCE(C257, ""price"") - Q257) / Q257 ) / (R257 / 100)"),"Loading...")</f>
        <v>Loading...</v>
      </c>
      <c r="G257" s="20" t="str">
        <f>IFERROR(__xludf.DUMMYFUNCTION("AVERAGE(ARRAYFORMULA(100 * (QUERY(GOOGLEFINANCE(C257, ""high"", TODAY()-40, TODAY()), ""SELECT Col2 WHERE Col2 IS NOT NULL ORDER BY Col1 DESC LIMIT 20"", 0) / QUERY(GOOGLEFINANCE(C257, ""low"", TODAY()-40, TODAY()), ""SELECT Col2 WHERE Col2 IS NOT NULL OR"&amp;"DER BY Col1 DESC LIMIT 20"", 0) - 1)))"),"#N/A")</f>
        <v>#N/A</v>
      </c>
      <c r="H257" s="35" t="str">
        <f t="shared" si="6"/>
        <v/>
      </c>
      <c r="I257" s="35" t="str">
        <f t="shared" si="7"/>
        <v/>
      </c>
      <c r="J257" s="37" t="str">
        <f>IFERROR(__xludf.DUMMYFUNCTION("IFERROR(
  IF(C257="""",, 
    IFERROR(
      GOOGLEFINANCE(C257, ""price"") * GOOGLEFINANCE(C257, ""volumeavg""), 
      GOOGLEFINANCE(C257, ""price"") * AVERAGE(QUERY(GOOGLEFINANCE(C257, ""volume"", TODAY()-40, TODAY()), ""SELECT Col2 WHERE Col2 IS NOT "&amp;"NULL ORDER BY Col1 DESC LIMIT 20"", 0))
    )
  ), 
"""")"),"")</f>
        <v/>
      </c>
      <c r="K257" s="21" t="str">
        <f>IFERROR(__xludf.DUMMYFUNCTION("IFERROR(GOOGLEFINANCE(C257, ""changepct"") / 100, """")"),"")</f>
        <v/>
      </c>
      <c r="L257" s="21" t="str">
        <f>IFERROR(__xludf.DUMMYFUNCTION("IFERROR((GOOGLEFINANCE(C257, ""price"") / INDEX(GOOGLEFINANCE(C257, ""price"", TODAY()-7, TODAY()), 2, 2)) - 1, """")"),"")</f>
        <v/>
      </c>
      <c r="M257" s="21" t="str">
        <f>IFERROR(__xludf.DUMMYFUNCTION("IFERROR((GOOGLEFINANCE(C257, ""price"") / INDEX(GOOGLEFINANCE(C257, ""price"", EDATE(TODAY(), -1), TODAY()), 2, 2)) - 1, """")"),"")</f>
        <v/>
      </c>
      <c r="N257" s="21" t="str">
        <f>IFERROR(__xludf.DUMMYFUNCTION("IFERROR((GOOGLEFINANCE(C257, ""price"") / INDEX(GOOGLEFINANCE(C257, ""price"", EDATE(TODAY(), -3), TODAY()), 2, 2)) - 1, """")"),"")</f>
        <v/>
      </c>
      <c r="O257" s="21" t="str">
        <f>IFERROR(__xludf.DUMMYFUNCTION("IFERROR((GOOGLEFINANCE(C257, ""price"") / INDEX(GOOGLEFINANCE(C257, ""price"", EDATE(TODAY(), -6), TODAY()), 2, 2)) - 1, """")"),"")</f>
        <v/>
      </c>
      <c r="P257" s="21" t="str">
        <f>IFERROR(__xludf.DUMMYFUNCTION("IFERROR((GOOGLEFINANCE(C257, ""price"") / INDEX(GOOGLEFINANCE(C257, ""price"", EDATE(TODAY(), -12), TODAY()), 2, 2)) - 1, """")"),"")</f>
        <v/>
      </c>
      <c r="Q257" s="6" t="str">
        <f>IFERROR(__xludf.DUMMYFUNCTION("AVERAGE(QUERY(GOOGLEFINANCE(C257, ""price"", TODAY()-80, TODAY()), ""SELECT Col2 WHERE Col2 IS NOT NULL ORDER BY Col1 DESC LIMIT 50"", 0))"),"#N/A")</f>
        <v>#N/A</v>
      </c>
      <c r="R257" s="24" t="str">
        <f>IFERROR(__xludf.DUMMYFUNCTION("IFERROR(
  LET(
    data, QUERY(GOOGLEFINANCE(C257,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GOOGLEFINANCE(C257, ""price"")) * 100,
    IF(calc=0, G257, calc)
  ), 
G257)"),"#N/A")</f>
        <v>#N/A</v>
      </c>
      <c r="S257" s="8" t="s">
        <v>15</v>
      </c>
      <c r="T257" s="26" t="str">
        <f>IFERROR(__xludf.DUMMYFUNCTION("IFERROR(TRANSPOSE(QUERY(IFERROR(SORT(GOOGLEFINANCE(C257, ""price"", WORKDAY(TODAY(), -40), TODAY()), 1, FALSE)), ""select Col2 where Col2 is not null limit 22 label Col2 ''"", 0)), """")"),"")</f>
        <v/>
      </c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8"/>
      <c r="AO257" s="28"/>
      <c r="AP257" s="29"/>
      <c r="AQ257" s="29" t="str">
        <f t="shared" ref="AQ257:BL257" si="260">T257/T$2</f>
        <v>#N/A</v>
      </c>
      <c r="AR257" s="29" t="str">
        <f t="shared" si="260"/>
        <v>#DIV/0!</v>
      </c>
      <c r="AS257" s="29" t="str">
        <f t="shared" si="260"/>
        <v>#DIV/0!</v>
      </c>
      <c r="AT257" s="29" t="str">
        <f t="shared" si="260"/>
        <v>#DIV/0!</v>
      </c>
      <c r="AU257" s="29" t="str">
        <f t="shared" si="260"/>
        <v>#DIV/0!</v>
      </c>
      <c r="AV257" s="29" t="str">
        <f t="shared" si="260"/>
        <v>#DIV/0!</v>
      </c>
      <c r="AW257" s="29" t="str">
        <f t="shared" si="260"/>
        <v>#DIV/0!</v>
      </c>
      <c r="AX257" s="29" t="str">
        <f t="shared" si="260"/>
        <v>#DIV/0!</v>
      </c>
      <c r="AY257" s="29" t="str">
        <f t="shared" si="260"/>
        <v>#DIV/0!</v>
      </c>
      <c r="AZ257" s="29" t="str">
        <f t="shared" si="260"/>
        <v>#DIV/0!</v>
      </c>
      <c r="BA257" s="29" t="str">
        <f t="shared" si="260"/>
        <v>#DIV/0!</v>
      </c>
      <c r="BB257" s="29" t="str">
        <f t="shared" si="260"/>
        <v>#DIV/0!</v>
      </c>
      <c r="BC257" s="29" t="str">
        <f t="shared" si="260"/>
        <v>#DIV/0!</v>
      </c>
      <c r="BD257" s="29" t="str">
        <f t="shared" si="260"/>
        <v>#DIV/0!</v>
      </c>
      <c r="BE257" s="29" t="str">
        <f t="shared" si="260"/>
        <v>#DIV/0!</v>
      </c>
      <c r="BF257" s="29" t="str">
        <f t="shared" si="260"/>
        <v>#DIV/0!</v>
      </c>
      <c r="BG257" s="29" t="str">
        <f t="shared" si="260"/>
        <v>#DIV/0!</v>
      </c>
      <c r="BH257" s="29" t="str">
        <f t="shared" si="260"/>
        <v>#DIV/0!</v>
      </c>
      <c r="BI257" s="29" t="str">
        <f t="shared" si="260"/>
        <v>#DIV/0!</v>
      </c>
      <c r="BJ257" s="29" t="str">
        <f t="shared" si="260"/>
        <v>#DIV/0!</v>
      </c>
      <c r="BK257" s="29" t="str">
        <f t="shared" si="260"/>
        <v>#DIV/0!</v>
      </c>
      <c r="BL257" s="29" t="str">
        <f t="shared" si="260"/>
        <v>#DIV/0!</v>
      </c>
      <c r="BM257" s="29" t="str">
        <f t="shared" si="3"/>
        <v>#DIV/0!</v>
      </c>
    </row>
    <row r="258">
      <c r="A258" s="16" t="str">
        <f>IFERROR(__xludf.DUMMYFUNCTION("IFERROR(SPARKLINE(SORT(MAP(TRANSPOSE(AQ258:BL258), LAMBDA(val, IF(ISNUMBER(val), PERCENTRANK(AQ258:BL258, val)+0.01, 0))), SEQUENCE(COLUMNS(AQ258:BL258)), FALSE), {""charttype"",""column""; ""color"",""chartreuse""; ""ymin"", 0; ""ymax"", 1.01; ""highcolo"&amp;"r"", ""darkgreen""; ""lowcolor"", ""red""}), """")"),"")</f>
        <v/>
      </c>
      <c r="B258" s="17" t="str">
        <f t="shared" si="4"/>
        <v/>
      </c>
      <c r="C258" s="1" t="s">
        <v>1848</v>
      </c>
      <c r="D258" s="30" t="str">
        <f>IFERROR(__xludf.DUMMYFUNCTION("IFERROR(GOOGLEFINANCE(C258, ""NAME""))"),"Tejon Ranch Co")</f>
        <v>Tejon Ranch Co</v>
      </c>
      <c r="E258" s="30" t="s">
        <v>843</v>
      </c>
      <c r="F258" s="38" t="str">
        <f>IFERROR(__xludf.DUMMYFUNCTION("( (GOOGLEFINANCE(C258, ""price"") - Q258) / Q258 ) / (R258 / 100)"),"Loading...")</f>
        <v>Loading...</v>
      </c>
      <c r="G258" s="20" t="str">
        <f>IFERROR(__xludf.DUMMYFUNCTION("AVERAGE(ARRAYFORMULA(100 * (QUERY(GOOGLEFINANCE(C258, ""high"", TODAY()-40, TODAY()), ""SELECT Col2 WHERE Col2 IS NOT NULL ORDER BY Col1 DESC LIMIT 20"", 0) / QUERY(GOOGLEFINANCE(C258, ""low"", TODAY()-40, TODAY()), ""SELECT Col2 WHERE Col2 IS NOT NULL OR"&amp;"DER BY Col1 DESC LIMIT 20"", 0) - 1)))"),"#N/A")</f>
        <v>#N/A</v>
      </c>
      <c r="H258" s="35" t="str">
        <f t="shared" si="6"/>
        <v/>
      </c>
      <c r="I258" s="35" t="str">
        <f t="shared" si="7"/>
        <v/>
      </c>
      <c r="J258" s="37" t="str">
        <f>IFERROR(__xludf.DUMMYFUNCTION("IFERROR(
  IF(C258="""",, 
    IFERROR(
      GOOGLEFINANCE(C258, ""price"") * GOOGLEFINANCE(C258, ""volumeavg""), 
      GOOGLEFINANCE(C258, ""price"") * AVERAGE(QUERY(GOOGLEFINANCE(C258, ""volume"", TODAY()-40, TODAY()), ""SELECT Col2 WHERE Col2 IS NOT "&amp;"NULL ORDER BY Col1 DESC LIMIT 20"", 0))
    )
  ), 
"""")"),"")</f>
        <v/>
      </c>
      <c r="K258" s="21" t="str">
        <f>IFERROR(__xludf.DUMMYFUNCTION("IFERROR(GOOGLEFINANCE(C258, ""changepct"") / 100, """")"),"")</f>
        <v/>
      </c>
      <c r="L258" s="21" t="str">
        <f>IFERROR(__xludf.DUMMYFUNCTION("IFERROR((GOOGLEFINANCE(C258, ""price"") / INDEX(GOOGLEFINANCE(C258, ""price"", TODAY()-7, TODAY()), 2, 2)) - 1, """")"),"")</f>
        <v/>
      </c>
      <c r="M258" s="21" t="str">
        <f>IFERROR(__xludf.DUMMYFUNCTION("IFERROR((GOOGLEFINANCE(C258, ""price"") / INDEX(GOOGLEFINANCE(C258, ""price"", EDATE(TODAY(), -1), TODAY()), 2, 2)) - 1, """")"),"")</f>
        <v/>
      </c>
      <c r="N258" s="21" t="str">
        <f>IFERROR(__xludf.DUMMYFUNCTION("IFERROR((GOOGLEFINANCE(C258, ""price"") / INDEX(GOOGLEFINANCE(C258, ""price"", EDATE(TODAY(), -3), TODAY()), 2, 2)) - 1, """")"),"")</f>
        <v/>
      </c>
      <c r="O258" s="21" t="str">
        <f>IFERROR(__xludf.DUMMYFUNCTION("IFERROR((GOOGLEFINANCE(C258, ""price"") / INDEX(GOOGLEFINANCE(C258, ""price"", EDATE(TODAY(), -6), TODAY()), 2, 2)) - 1, """")"),"")</f>
        <v/>
      </c>
      <c r="P258" s="21" t="str">
        <f>IFERROR(__xludf.DUMMYFUNCTION("IFERROR((GOOGLEFINANCE(C258, ""price"") / INDEX(GOOGLEFINANCE(C258, ""price"", EDATE(TODAY(), -12), TODAY()), 2, 2)) - 1, """")"),"")</f>
        <v/>
      </c>
      <c r="Q258" s="6" t="str">
        <f>IFERROR(__xludf.DUMMYFUNCTION("AVERAGE(QUERY(GOOGLEFINANCE(C258, ""price"", TODAY()-80, TODAY()), ""SELECT Col2 WHERE Col2 IS NOT NULL ORDER BY Col1 DESC LIMIT 50"", 0))"),"#N/A")</f>
        <v>#N/A</v>
      </c>
      <c r="R258" s="24" t="str">
        <f>IFERROR(__xludf.DUMMYFUNCTION("IFERROR(
  LET(
    data, QUERY(GOOGLEFINANCE(C258,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GOOGLEFINANCE(C258, ""price"")) * 100,
    IF(calc=0, G258, calc)
  ), 
G258)"),"#N/A")</f>
        <v>#N/A</v>
      </c>
      <c r="S258" s="8" t="s">
        <v>15</v>
      </c>
      <c r="T258" s="26" t="str">
        <f>IFERROR(__xludf.DUMMYFUNCTION("IFERROR(TRANSPOSE(QUERY(IFERROR(SORT(GOOGLEFINANCE(C258, ""price"", WORKDAY(TODAY(), -40), TODAY()), 1, FALSE)), ""select Col2 where Col2 is not null limit 22 label Col2 ''"", 0)), """")"),"")</f>
        <v/>
      </c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8"/>
      <c r="AO258" s="28"/>
      <c r="AP258" s="29"/>
      <c r="AQ258" s="29" t="str">
        <f t="shared" ref="AQ258:BL258" si="261">T258/T$2</f>
        <v>#N/A</v>
      </c>
      <c r="AR258" s="29" t="str">
        <f t="shared" si="261"/>
        <v>#DIV/0!</v>
      </c>
      <c r="AS258" s="29" t="str">
        <f t="shared" si="261"/>
        <v>#DIV/0!</v>
      </c>
      <c r="AT258" s="29" t="str">
        <f t="shared" si="261"/>
        <v>#DIV/0!</v>
      </c>
      <c r="AU258" s="29" t="str">
        <f t="shared" si="261"/>
        <v>#DIV/0!</v>
      </c>
      <c r="AV258" s="29" t="str">
        <f t="shared" si="261"/>
        <v>#DIV/0!</v>
      </c>
      <c r="AW258" s="29" t="str">
        <f t="shared" si="261"/>
        <v>#DIV/0!</v>
      </c>
      <c r="AX258" s="29" t="str">
        <f t="shared" si="261"/>
        <v>#DIV/0!</v>
      </c>
      <c r="AY258" s="29" t="str">
        <f t="shared" si="261"/>
        <v>#DIV/0!</v>
      </c>
      <c r="AZ258" s="29" t="str">
        <f t="shared" si="261"/>
        <v>#DIV/0!</v>
      </c>
      <c r="BA258" s="29" t="str">
        <f t="shared" si="261"/>
        <v>#DIV/0!</v>
      </c>
      <c r="BB258" s="29" t="str">
        <f t="shared" si="261"/>
        <v>#DIV/0!</v>
      </c>
      <c r="BC258" s="29" t="str">
        <f t="shared" si="261"/>
        <v>#DIV/0!</v>
      </c>
      <c r="BD258" s="29" t="str">
        <f t="shared" si="261"/>
        <v>#DIV/0!</v>
      </c>
      <c r="BE258" s="29" t="str">
        <f t="shared" si="261"/>
        <v>#DIV/0!</v>
      </c>
      <c r="BF258" s="29" t="str">
        <f t="shared" si="261"/>
        <v>#DIV/0!</v>
      </c>
      <c r="BG258" s="29" t="str">
        <f t="shared" si="261"/>
        <v>#DIV/0!</v>
      </c>
      <c r="BH258" s="29" t="str">
        <f t="shared" si="261"/>
        <v>#DIV/0!</v>
      </c>
      <c r="BI258" s="29" t="str">
        <f t="shared" si="261"/>
        <v>#DIV/0!</v>
      </c>
      <c r="BJ258" s="29" t="str">
        <f t="shared" si="261"/>
        <v>#DIV/0!</v>
      </c>
      <c r="BK258" s="29" t="str">
        <f t="shared" si="261"/>
        <v>#DIV/0!</v>
      </c>
      <c r="BL258" s="29" t="str">
        <f t="shared" si="261"/>
        <v>#DIV/0!</v>
      </c>
      <c r="BM258" s="29" t="str">
        <f t="shared" si="3"/>
        <v>#DIV/0!</v>
      </c>
    </row>
    <row r="259">
      <c r="A259" s="16" t="str">
        <f>IFERROR(__xludf.DUMMYFUNCTION("IFERROR(SPARKLINE(SORT(MAP(TRANSPOSE(AQ259:BL259), LAMBDA(val, IF(ISNUMBER(val), PERCENTRANK(AQ259:BL259, val)+0.01, 0))), SEQUENCE(COLUMNS(AQ259:BL259)), FALSE), {""charttype"",""column""; ""color"",""chartreuse""; ""ymin"", 0; ""ymax"", 1.01; ""highcolo"&amp;"r"", ""darkgreen""; ""lowcolor"", ""red""}), """")"),"")</f>
        <v/>
      </c>
      <c r="B259" s="17" t="str">
        <f t="shared" si="4"/>
        <v/>
      </c>
      <c r="C259" s="1" t="s">
        <v>1852</v>
      </c>
      <c r="D259" s="30" t="str">
        <f>IFERROR(__xludf.DUMMYFUNCTION("IFERROR(GOOGLEFINANCE(C259, ""NAME""))"),"Marten Transport Ltd")</f>
        <v>Marten Transport Ltd</v>
      </c>
      <c r="E259" s="30" t="s">
        <v>1317</v>
      </c>
      <c r="F259" s="33" t="str">
        <f>IFERROR(__xludf.DUMMYFUNCTION("( (GOOGLEFINANCE(C259, ""price"") - Q259) / Q259 ) / (R259 / 100)"),"Loading...")</f>
        <v>Loading...</v>
      </c>
      <c r="G259" s="20" t="str">
        <f>IFERROR(__xludf.DUMMYFUNCTION("AVERAGE(ARRAYFORMULA(100 * (QUERY(GOOGLEFINANCE(C259, ""high"", TODAY()-40, TODAY()), ""SELECT Col2 WHERE Col2 IS NOT NULL ORDER BY Col1 DESC LIMIT 20"", 0) / QUERY(GOOGLEFINANCE(C259, ""low"", TODAY()-40, TODAY()), ""SELECT Col2 WHERE Col2 IS NOT NULL OR"&amp;"DER BY Col1 DESC LIMIT 20"", 0) - 1)))"),"#N/A")</f>
        <v>#N/A</v>
      </c>
      <c r="H259" s="35" t="str">
        <f t="shared" si="6"/>
        <v/>
      </c>
      <c r="I259" s="35" t="str">
        <f t="shared" si="7"/>
        <v/>
      </c>
      <c r="J259" s="37" t="str">
        <f>IFERROR(__xludf.DUMMYFUNCTION("IFERROR(
  IF(C259="""",, 
    IFERROR(
      GOOGLEFINANCE(C259, ""price"") * GOOGLEFINANCE(C259, ""volumeavg""), 
      GOOGLEFINANCE(C259, ""price"") * AVERAGE(QUERY(GOOGLEFINANCE(C259, ""volume"", TODAY()-40, TODAY()), ""SELECT Col2 WHERE Col2 IS NOT "&amp;"NULL ORDER BY Col1 DESC LIMIT 20"", 0))
    )
  ), 
"""")"),"")</f>
        <v/>
      </c>
      <c r="K259" s="21" t="str">
        <f>IFERROR(__xludf.DUMMYFUNCTION("IFERROR(GOOGLEFINANCE(C259, ""changepct"") / 100, """")"),"")</f>
        <v/>
      </c>
      <c r="L259" s="21" t="str">
        <f>IFERROR(__xludf.DUMMYFUNCTION("IFERROR((GOOGLEFINANCE(C259, ""price"") / INDEX(GOOGLEFINANCE(C259, ""price"", TODAY()-7, TODAY()), 2, 2)) - 1, """")"),"")</f>
        <v/>
      </c>
      <c r="M259" s="21" t="str">
        <f>IFERROR(__xludf.DUMMYFUNCTION("IFERROR((GOOGLEFINANCE(C259, ""price"") / INDEX(GOOGLEFINANCE(C259, ""price"", EDATE(TODAY(), -1), TODAY()), 2, 2)) - 1, """")"),"")</f>
        <v/>
      </c>
      <c r="N259" s="21" t="str">
        <f>IFERROR(__xludf.DUMMYFUNCTION("IFERROR((GOOGLEFINANCE(C259, ""price"") / INDEX(GOOGLEFINANCE(C259, ""price"", EDATE(TODAY(), -3), TODAY()), 2, 2)) - 1, """")"),"")</f>
        <v/>
      </c>
      <c r="O259" s="21" t="str">
        <f>IFERROR(__xludf.DUMMYFUNCTION("IFERROR((GOOGLEFINANCE(C259, ""price"") / INDEX(GOOGLEFINANCE(C259, ""price"", EDATE(TODAY(), -6), TODAY()), 2, 2)) - 1, """")"),"")</f>
        <v/>
      </c>
      <c r="P259" s="21" t="str">
        <f>IFERROR(__xludf.DUMMYFUNCTION("IFERROR((GOOGLEFINANCE(C259, ""price"") / INDEX(GOOGLEFINANCE(C259, ""price"", EDATE(TODAY(), -12), TODAY()), 2, 2)) - 1, """")"),"")</f>
        <v/>
      </c>
      <c r="Q259" s="6" t="str">
        <f>IFERROR(__xludf.DUMMYFUNCTION("AVERAGE(QUERY(GOOGLEFINANCE(C259, ""price"", TODAY()-80, TODAY()), ""SELECT Col2 WHERE Col2 IS NOT NULL ORDER BY Col1 DESC LIMIT 50"", 0))"),"#N/A")</f>
        <v>#N/A</v>
      </c>
      <c r="R259" s="24" t="str">
        <f>IFERROR(__xludf.DUMMYFUNCTION("IFERROR(
  LET(
    data, QUERY(GOOGLEFINANCE(C259,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GOOGLEFINANCE(C259, ""price"")) * 100,
    IF(calc=0, G259, calc)
  ), 
G259)"),"#N/A")</f>
        <v>#N/A</v>
      </c>
      <c r="S259" s="8" t="s">
        <v>15</v>
      </c>
      <c r="T259" s="26" t="str">
        <f>IFERROR(__xludf.DUMMYFUNCTION("IFERROR(TRANSPOSE(QUERY(IFERROR(SORT(GOOGLEFINANCE(C259, ""price"", WORKDAY(TODAY(), -40), TODAY()), 1, FALSE)), ""select Col2 where Col2 is not null limit 22 label Col2 ''"", 0)), """")"),"")</f>
        <v/>
      </c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8"/>
      <c r="AO259" s="28"/>
      <c r="AP259" s="29"/>
      <c r="AQ259" s="29" t="str">
        <f t="shared" ref="AQ259:BL259" si="262">T259/T$2</f>
        <v>#N/A</v>
      </c>
      <c r="AR259" s="29" t="str">
        <f t="shared" si="262"/>
        <v>#DIV/0!</v>
      </c>
      <c r="AS259" s="29" t="str">
        <f t="shared" si="262"/>
        <v>#DIV/0!</v>
      </c>
      <c r="AT259" s="29" t="str">
        <f t="shared" si="262"/>
        <v>#DIV/0!</v>
      </c>
      <c r="AU259" s="29" t="str">
        <f t="shared" si="262"/>
        <v>#DIV/0!</v>
      </c>
      <c r="AV259" s="29" t="str">
        <f t="shared" si="262"/>
        <v>#DIV/0!</v>
      </c>
      <c r="AW259" s="29" t="str">
        <f t="shared" si="262"/>
        <v>#DIV/0!</v>
      </c>
      <c r="AX259" s="29" t="str">
        <f t="shared" si="262"/>
        <v>#DIV/0!</v>
      </c>
      <c r="AY259" s="29" t="str">
        <f t="shared" si="262"/>
        <v>#DIV/0!</v>
      </c>
      <c r="AZ259" s="29" t="str">
        <f t="shared" si="262"/>
        <v>#DIV/0!</v>
      </c>
      <c r="BA259" s="29" t="str">
        <f t="shared" si="262"/>
        <v>#DIV/0!</v>
      </c>
      <c r="BB259" s="29" t="str">
        <f t="shared" si="262"/>
        <v>#DIV/0!</v>
      </c>
      <c r="BC259" s="29" t="str">
        <f t="shared" si="262"/>
        <v>#DIV/0!</v>
      </c>
      <c r="BD259" s="29" t="str">
        <f t="shared" si="262"/>
        <v>#DIV/0!</v>
      </c>
      <c r="BE259" s="29" t="str">
        <f t="shared" si="262"/>
        <v>#DIV/0!</v>
      </c>
      <c r="BF259" s="29" t="str">
        <f t="shared" si="262"/>
        <v>#DIV/0!</v>
      </c>
      <c r="BG259" s="29" t="str">
        <f t="shared" si="262"/>
        <v>#DIV/0!</v>
      </c>
      <c r="BH259" s="29" t="str">
        <f t="shared" si="262"/>
        <v>#DIV/0!</v>
      </c>
      <c r="BI259" s="29" t="str">
        <f t="shared" si="262"/>
        <v>#DIV/0!</v>
      </c>
      <c r="BJ259" s="29" t="str">
        <f t="shared" si="262"/>
        <v>#DIV/0!</v>
      </c>
      <c r="BK259" s="29" t="str">
        <f t="shared" si="262"/>
        <v>#DIV/0!</v>
      </c>
      <c r="BL259" s="29" t="str">
        <f t="shared" si="262"/>
        <v>#DIV/0!</v>
      </c>
      <c r="BM259" s="29" t="str">
        <f t="shared" si="3"/>
        <v>#DIV/0!</v>
      </c>
    </row>
    <row r="260">
      <c r="A260" s="16" t="str">
        <f>IFERROR(__xludf.DUMMYFUNCTION("IFERROR(SPARKLINE(SORT(MAP(TRANSPOSE(AQ260:BL260), LAMBDA(val, IF(ISNUMBER(val), PERCENTRANK(AQ260:BL260, val)+0.01, 0))), SEQUENCE(COLUMNS(AQ260:BL260)), FALSE), {""charttype"",""column""; ""color"",""chartreuse""; ""ymin"", 0; ""ymax"", 1.01; ""highcolo"&amp;"r"", ""darkgreen""; ""lowcolor"", ""red""}), """")"),"")</f>
        <v/>
      </c>
      <c r="B260" s="17" t="str">
        <f t="shared" si="4"/>
        <v/>
      </c>
      <c r="C260" s="1" t="s">
        <v>1857</v>
      </c>
      <c r="D260" s="30" t="str">
        <f>IFERROR(__xludf.DUMMYFUNCTION("IFERROR(GOOGLEFINANCE(C260, ""NAME""))"),"Moog Inc Class A")</f>
        <v>Moog Inc Class A</v>
      </c>
      <c r="E260" s="30" t="s">
        <v>839</v>
      </c>
      <c r="F260" s="33" t="str">
        <f>IFERROR(__xludf.DUMMYFUNCTION("( (GOOGLEFINANCE(C260, ""price"") - Q260) / Q260 ) / (R260 / 100)"),"Loading...")</f>
        <v>Loading...</v>
      </c>
      <c r="G260" s="20" t="str">
        <f>IFERROR(__xludf.DUMMYFUNCTION("AVERAGE(ARRAYFORMULA(100 * (QUERY(GOOGLEFINANCE(C260, ""high"", TODAY()-40, TODAY()), ""SELECT Col2 WHERE Col2 IS NOT NULL ORDER BY Col1 DESC LIMIT 20"", 0) / QUERY(GOOGLEFINANCE(C260, ""low"", TODAY()-40, TODAY()), ""SELECT Col2 WHERE Col2 IS NOT NULL OR"&amp;"DER BY Col1 DESC LIMIT 20"", 0) - 1)))"),"#N/A")</f>
        <v>#N/A</v>
      </c>
      <c r="H260" s="35" t="str">
        <f t="shared" si="6"/>
        <v/>
      </c>
      <c r="I260" s="35" t="str">
        <f t="shared" si="7"/>
        <v/>
      </c>
      <c r="J260" s="37" t="str">
        <f>IFERROR(__xludf.DUMMYFUNCTION("IFERROR(
  IF(C260="""",, 
    IFERROR(
      GOOGLEFINANCE(C260, ""price"") * GOOGLEFINANCE(C260, ""volumeavg""), 
      GOOGLEFINANCE(C260, ""price"") * AVERAGE(QUERY(GOOGLEFINANCE(C260, ""volume"", TODAY()-40, TODAY()), ""SELECT Col2 WHERE Col2 IS NOT "&amp;"NULL ORDER BY Col1 DESC LIMIT 20"", 0))
    )
  ), 
"""")"),"")</f>
        <v/>
      </c>
      <c r="K260" s="21" t="str">
        <f>IFERROR(__xludf.DUMMYFUNCTION("IFERROR(GOOGLEFINANCE(C260, ""changepct"") / 100, """")"),"")</f>
        <v/>
      </c>
      <c r="L260" s="21" t="str">
        <f>IFERROR(__xludf.DUMMYFUNCTION("IFERROR((GOOGLEFINANCE(C260, ""price"") / INDEX(GOOGLEFINANCE(C260, ""price"", TODAY()-7, TODAY()), 2, 2)) - 1, """")"),"")</f>
        <v/>
      </c>
      <c r="M260" s="21" t="str">
        <f>IFERROR(__xludf.DUMMYFUNCTION("IFERROR((GOOGLEFINANCE(C260, ""price"") / INDEX(GOOGLEFINANCE(C260, ""price"", EDATE(TODAY(), -1), TODAY()), 2, 2)) - 1, """")"),"")</f>
        <v/>
      </c>
      <c r="N260" s="21" t="str">
        <f>IFERROR(__xludf.DUMMYFUNCTION("IFERROR((GOOGLEFINANCE(C260, ""price"") / INDEX(GOOGLEFINANCE(C260, ""price"", EDATE(TODAY(), -3), TODAY()), 2, 2)) - 1, """")"),"")</f>
        <v/>
      </c>
      <c r="O260" s="21" t="str">
        <f>IFERROR(__xludf.DUMMYFUNCTION("IFERROR((GOOGLEFINANCE(C260, ""price"") / INDEX(GOOGLEFINANCE(C260, ""price"", EDATE(TODAY(), -6), TODAY()), 2, 2)) - 1, """")"),"")</f>
        <v/>
      </c>
      <c r="P260" s="21" t="str">
        <f>IFERROR(__xludf.DUMMYFUNCTION("IFERROR((GOOGLEFINANCE(C260, ""price"") / INDEX(GOOGLEFINANCE(C260, ""price"", EDATE(TODAY(), -12), TODAY()), 2, 2)) - 1, """")"),"")</f>
        <v/>
      </c>
      <c r="Q260" s="6" t="str">
        <f>IFERROR(__xludf.DUMMYFUNCTION("AVERAGE(QUERY(GOOGLEFINANCE(C260, ""price"", TODAY()-80, TODAY()), ""SELECT Col2 WHERE Col2 IS NOT NULL ORDER BY Col1 DESC LIMIT 50"", 0))"),"#N/A")</f>
        <v>#N/A</v>
      </c>
      <c r="R260" s="24" t="str">
        <f>IFERROR(__xludf.DUMMYFUNCTION("IFERROR(
  LET(
    data, QUERY(GOOGLEFINANCE(C260,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GOOGLEFINANCE(C260, ""price"")) * 100,
    IF(calc=0, G260, calc)
  ), 
G260)"),"#N/A")</f>
        <v>#N/A</v>
      </c>
      <c r="S260" s="8" t="s">
        <v>15</v>
      </c>
      <c r="T260" s="26" t="str">
        <f>IFERROR(__xludf.DUMMYFUNCTION("IFERROR(TRANSPOSE(QUERY(IFERROR(SORT(GOOGLEFINANCE(C260, ""price"", WORKDAY(TODAY(), -40), TODAY()), 1, FALSE)), ""select Col2 where Col2 is not null limit 22 label Col2 ''"", 0)), """")"),"")</f>
        <v/>
      </c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8"/>
      <c r="AO260" s="28"/>
      <c r="AP260" s="29"/>
      <c r="AQ260" s="29" t="str">
        <f t="shared" ref="AQ260:BL260" si="263">T260/T$2</f>
        <v>#N/A</v>
      </c>
      <c r="AR260" s="29" t="str">
        <f t="shared" si="263"/>
        <v>#DIV/0!</v>
      </c>
      <c r="AS260" s="29" t="str">
        <f t="shared" si="263"/>
        <v>#DIV/0!</v>
      </c>
      <c r="AT260" s="29" t="str">
        <f t="shared" si="263"/>
        <v>#DIV/0!</v>
      </c>
      <c r="AU260" s="29" t="str">
        <f t="shared" si="263"/>
        <v>#DIV/0!</v>
      </c>
      <c r="AV260" s="29" t="str">
        <f t="shared" si="263"/>
        <v>#DIV/0!</v>
      </c>
      <c r="AW260" s="29" t="str">
        <f t="shared" si="263"/>
        <v>#DIV/0!</v>
      </c>
      <c r="AX260" s="29" t="str">
        <f t="shared" si="263"/>
        <v>#DIV/0!</v>
      </c>
      <c r="AY260" s="29" t="str">
        <f t="shared" si="263"/>
        <v>#DIV/0!</v>
      </c>
      <c r="AZ260" s="29" t="str">
        <f t="shared" si="263"/>
        <v>#DIV/0!</v>
      </c>
      <c r="BA260" s="29" t="str">
        <f t="shared" si="263"/>
        <v>#DIV/0!</v>
      </c>
      <c r="BB260" s="29" t="str">
        <f t="shared" si="263"/>
        <v>#DIV/0!</v>
      </c>
      <c r="BC260" s="29" t="str">
        <f t="shared" si="263"/>
        <v>#DIV/0!</v>
      </c>
      <c r="BD260" s="29" t="str">
        <f t="shared" si="263"/>
        <v>#DIV/0!</v>
      </c>
      <c r="BE260" s="29" t="str">
        <f t="shared" si="263"/>
        <v>#DIV/0!</v>
      </c>
      <c r="BF260" s="29" t="str">
        <f t="shared" si="263"/>
        <v>#DIV/0!</v>
      </c>
      <c r="BG260" s="29" t="str">
        <f t="shared" si="263"/>
        <v>#DIV/0!</v>
      </c>
      <c r="BH260" s="29" t="str">
        <f t="shared" si="263"/>
        <v>#DIV/0!</v>
      </c>
      <c r="BI260" s="29" t="str">
        <f t="shared" si="263"/>
        <v>#DIV/0!</v>
      </c>
      <c r="BJ260" s="29" t="str">
        <f t="shared" si="263"/>
        <v>#DIV/0!</v>
      </c>
      <c r="BK260" s="29" t="str">
        <f t="shared" si="263"/>
        <v>#DIV/0!</v>
      </c>
      <c r="BL260" s="29" t="str">
        <f t="shared" si="263"/>
        <v>#DIV/0!</v>
      </c>
      <c r="BM260" s="29" t="str">
        <f t="shared" si="3"/>
        <v>#DIV/0!</v>
      </c>
    </row>
    <row r="261">
      <c r="A261" s="16" t="str">
        <f>IFERROR(__xludf.DUMMYFUNCTION("IFERROR(SPARKLINE(SORT(MAP(TRANSPOSE(AQ261:BL261), LAMBDA(val, IF(ISNUMBER(val), PERCENTRANK(AQ261:BL261, val)+0.01, 0))), SEQUENCE(COLUMNS(AQ261:BL261)), FALSE), {""charttype"",""column""; ""color"",""chartreuse""; ""ymin"", 0; ""ymax"", 1.01; ""highcolo"&amp;"r"", ""darkgreen""; ""lowcolor"", ""red""}), """")"),"")</f>
        <v/>
      </c>
      <c r="B261" s="17" t="str">
        <f t="shared" si="4"/>
        <v/>
      </c>
      <c r="C261" s="1" t="s">
        <v>1861</v>
      </c>
      <c r="D261" s="30" t="str">
        <f>IFERROR(__xludf.DUMMYFUNCTION("IFERROR(GOOGLEFINANCE(C261, ""NAME""))"),"Grupo Arprtr dl Cntr Nrte SABdeCV")</f>
        <v>Grupo Arprtr dl Cntr Nrte SABdeCV</v>
      </c>
      <c r="E261" s="30" t="s">
        <v>1001</v>
      </c>
      <c r="F261" s="33" t="str">
        <f>IFERROR(__xludf.DUMMYFUNCTION("( (GOOGLEFINANCE(C261, ""price"") - Q261) / Q261 ) / (R261 / 100)"),"Loading...")</f>
        <v>Loading...</v>
      </c>
      <c r="G261" s="20" t="str">
        <f>IFERROR(__xludf.DUMMYFUNCTION("AVERAGE(ARRAYFORMULA(100 * (QUERY(GOOGLEFINANCE(C261, ""high"", TODAY()-40, TODAY()), ""SELECT Col2 WHERE Col2 IS NOT NULL ORDER BY Col1 DESC LIMIT 20"", 0) / QUERY(GOOGLEFINANCE(C261, ""low"", TODAY()-40, TODAY()), ""SELECT Col2 WHERE Col2 IS NOT NULL OR"&amp;"DER BY Col1 DESC LIMIT 20"", 0) - 1)))"),"#N/A")</f>
        <v>#N/A</v>
      </c>
      <c r="H261" s="35" t="str">
        <f t="shared" si="6"/>
        <v/>
      </c>
      <c r="I261" s="35" t="str">
        <f t="shared" si="7"/>
        <v/>
      </c>
      <c r="J261" s="37" t="str">
        <f>IFERROR(__xludf.DUMMYFUNCTION("IFERROR(
  IF(C261="""",, 
    IFERROR(
      GOOGLEFINANCE(C261, ""price"") * GOOGLEFINANCE(C261, ""volumeavg""), 
      GOOGLEFINANCE(C261, ""price"") * AVERAGE(QUERY(GOOGLEFINANCE(C261, ""volume"", TODAY()-40, TODAY()), ""SELECT Col2 WHERE Col2 IS NOT "&amp;"NULL ORDER BY Col1 DESC LIMIT 20"", 0))
    )
  ), 
"""")"),"")</f>
        <v/>
      </c>
      <c r="K261" s="21" t="str">
        <f>IFERROR(__xludf.DUMMYFUNCTION("IFERROR(GOOGLEFINANCE(C261, ""changepct"") / 100, """")"),"")</f>
        <v/>
      </c>
      <c r="L261" s="21" t="str">
        <f>IFERROR(__xludf.DUMMYFUNCTION("IFERROR((GOOGLEFINANCE(C261, ""price"") / INDEX(GOOGLEFINANCE(C261, ""price"", TODAY()-7, TODAY()), 2, 2)) - 1, """")"),"")</f>
        <v/>
      </c>
      <c r="M261" s="21" t="str">
        <f>IFERROR(__xludf.DUMMYFUNCTION("IFERROR((GOOGLEFINANCE(C261, ""price"") / INDEX(GOOGLEFINANCE(C261, ""price"", EDATE(TODAY(), -1), TODAY()), 2, 2)) - 1, """")"),"")</f>
        <v/>
      </c>
      <c r="N261" s="21" t="str">
        <f>IFERROR(__xludf.DUMMYFUNCTION("IFERROR((GOOGLEFINANCE(C261, ""price"") / INDEX(GOOGLEFINANCE(C261, ""price"", EDATE(TODAY(), -3), TODAY()), 2, 2)) - 1, """")"),"")</f>
        <v/>
      </c>
      <c r="O261" s="21" t="str">
        <f>IFERROR(__xludf.DUMMYFUNCTION("IFERROR((GOOGLEFINANCE(C261, ""price"") / INDEX(GOOGLEFINANCE(C261, ""price"", EDATE(TODAY(), -6), TODAY()), 2, 2)) - 1, """")"),"")</f>
        <v/>
      </c>
      <c r="P261" s="21" t="str">
        <f>IFERROR(__xludf.DUMMYFUNCTION("IFERROR((GOOGLEFINANCE(C261, ""price"") / INDEX(GOOGLEFINANCE(C261, ""price"", EDATE(TODAY(), -12), TODAY()), 2, 2)) - 1, """")"),"")</f>
        <v/>
      </c>
      <c r="Q261" s="6" t="str">
        <f>IFERROR(__xludf.DUMMYFUNCTION("AVERAGE(QUERY(GOOGLEFINANCE(C261, ""price"", TODAY()-80, TODAY()), ""SELECT Col2 WHERE Col2 IS NOT NULL ORDER BY Col1 DESC LIMIT 50"", 0))"),"#N/A")</f>
        <v>#N/A</v>
      </c>
      <c r="R261" s="24" t="str">
        <f>IFERROR(__xludf.DUMMYFUNCTION("IFERROR(
  LET(
    data, QUERY(GOOGLEFINANCE(C261,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GOOGLEFINANCE(C261, ""price"")) * 100,
    IF(calc=0, G261, calc)
  ), 
G261)"),"#N/A")</f>
        <v>#N/A</v>
      </c>
      <c r="S261" s="8" t="s">
        <v>15</v>
      </c>
      <c r="T261" s="26" t="str">
        <f>IFERROR(__xludf.DUMMYFUNCTION("IFERROR(TRANSPOSE(QUERY(IFERROR(SORT(GOOGLEFINANCE(C261, ""price"", WORKDAY(TODAY(), -40), TODAY()), 1, FALSE)), ""select Col2 where Col2 is not null limit 22 label Col2 ''"", 0)), """")"),"")</f>
        <v/>
      </c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8"/>
      <c r="AO261" s="28"/>
      <c r="AP261" s="29"/>
      <c r="AQ261" s="29" t="str">
        <f t="shared" ref="AQ261:BL261" si="264">T261/T$2</f>
        <v>#N/A</v>
      </c>
      <c r="AR261" s="29" t="str">
        <f t="shared" si="264"/>
        <v>#DIV/0!</v>
      </c>
      <c r="AS261" s="29" t="str">
        <f t="shared" si="264"/>
        <v>#DIV/0!</v>
      </c>
      <c r="AT261" s="29" t="str">
        <f t="shared" si="264"/>
        <v>#DIV/0!</v>
      </c>
      <c r="AU261" s="29" t="str">
        <f t="shared" si="264"/>
        <v>#DIV/0!</v>
      </c>
      <c r="AV261" s="29" t="str">
        <f t="shared" si="264"/>
        <v>#DIV/0!</v>
      </c>
      <c r="AW261" s="29" t="str">
        <f t="shared" si="264"/>
        <v>#DIV/0!</v>
      </c>
      <c r="AX261" s="29" t="str">
        <f t="shared" si="264"/>
        <v>#DIV/0!</v>
      </c>
      <c r="AY261" s="29" t="str">
        <f t="shared" si="264"/>
        <v>#DIV/0!</v>
      </c>
      <c r="AZ261" s="29" t="str">
        <f t="shared" si="264"/>
        <v>#DIV/0!</v>
      </c>
      <c r="BA261" s="29" t="str">
        <f t="shared" si="264"/>
        <v>#DIV/0!</v>
      </c>
      <c r="BB261" s="29" t="str">
        <f t="shared" si="264"/>
        <v>#DIV/0!</v>
      </c>
      <c r="BC261" s="29" t="str">
        <f t="shared" si="264"/>
        <v>#DIV/0!</v>
      </c>
      <c r="BD261" s="29" t="str">
        <f t="shared" si="264"/>
        <v>#DIV/0!</v>
      </c>
      <c r="BE261" s="29" t="str">
        <f t="shared" si="264"/>
        <v>#DIV/0!</v>
      </c>
      <c r="BF261" s="29" t="str">
        <f t="shared" si="264"/>
        <v>#DIV/0!</v>
      </c>
      <c r="BG261" s="29" t="str">
        <f t="shared" si="264"/>
        <v>#DIV/0!</v>
      </c>
      <c r="BH261" s="29" t="str">
        <f t="shared" si="264"/>
        <v>#DIV/0!</v>
      </c>
      <c r="BI261" s="29" t="str">
        <f t="shared" si="264"/>
        <v>#DIV/0!</v>
      </c>
      <c r="BJ261" s="29" t="str">
        <f t="shared" si="264"/>
        <v>#DIV/0!</v>
      </c>
      <c r="BK261" s="29" t="str">
        <f t="shared" si="264"/>
        <v>#DIV/0!</v>
      </c>
      <c r="BL261" s="29" t="str">
        <f t="shared" si="264"/>
        <v>#DIV/0!</v>
      </c>
      <c r="BM261" s="29" t="str">
        <f t="shared" si="3"/>
        <v>#DIV/0!</v>
      </c>
    </row>
    <row r="262">
      <c r="A262" s="16" t="str">
        <f>IFERROR(__xludf.DUMMYFUNCTION("IFERROR(SPARKLINE(SORT(MAP(TRANSPOSE(AQ262:BL262), LAMBDA(val, IF(ISNUMBER(val), PERCENTRANK(AQ262:BL262, val)+0.01, 0))), SEQUENCE(COLUMNS(AQ262:BL262)), FALSE), {""charttype"",""column""; ""color"",""chartreuse""; ""ymin"", 0; ""ymax"", 1.01; ""highcolo"&amp;"r"", ""darkgreen""; ""lowcolor"", ""red""}), """")"),"")</f>
        <v/>
      </c>
      <c r="B262" s="17" t="str">
        <f t="shared" si="4"/>
        <v/>
      </c>
      <c r="C262" s="1" t="s">
        <v>1865</v>
      </c>
      <c r="D262" s="30" t="str">
        <f>IFERROR(__xludf.DUMMYFUNCTION("IFERROR(GOOGLEFINANCE(C262, ""NAME""))"),"BOSTON OMAHA Corp")</f>
        <v>BOSTON OMAHA Corp</v>
      </c>
      <c r="E262" s="30" t="s">
        <v>843</v>
      </c>
      <c r="F262" s="33" t="str">
        <f>IFERROR(__xludf.DUMMYFUNCTION("( (GOOGLEFINANCE(C262, ""price"") - Q262) / Q262 ) / (R262 / 100)"),"Loading...")</f>
        <v>Loading...</v>
      </c>
      <c r="G262" s="20" t="str">
        <f>IFERROR(__xludf.DUMMYFUNCTION("AVERAGE(ARRAYFORMULA(100 * (QUERY(GOOGLEFINANCE(C262, ""high"", TODAY()-40, TODAY()), ""SELECT Col2 WHERE Col2 IS NOT NULL ORDER BY Col1 DESC LIMIT 20"", 0) / QUERY(GOOGLEFINANCE(C262, ""low"", TODAY()-40, TODAY()), ""SELECT Col2 WHERE Col2 IS NOT NULL OR"&amp;"DER BY Col1 DESC LIMIT 20"", 0) - 1)))"),"#N/A")</f>
        <v>#N/A</v>
      </c>
      <c r="H262" s="35" t="str">
        <f t="shared" si="6"/>
        <v/>
      </c>
      <c r="I262" s="35" t="str">
        <f t="shared" si="7"/>
        <v/>
      </c>
      <c r="J262" s="37" t="str">
        <f>IFERROR(__xludf.DUMMYFUNCTION("IFERROR(
  IF(C262="""",, 
    IFERROR(
      GOOGLEFINANCE(C262, ""price"") * GOOGLEFINANCE(C262, ""volumeavg""), 
      GOOGLEFINANCE(C262, ""price"") * AVERAGE(QUERY(GOOGLEFINANCE(C262, ""volume"", TODAY()-40, TODAY()), ""SELECT Col2 WHERE Col2 IS NOT "&amp;"NULL ORDER BY Col1 DESC LIMIT 20"", 0))
    )
  ), 
"""")"),"")</f>
        <v/>
      </c>
      <c r="K262" s="21" t="str">
        <f>IFERROR(__xludf.DUMMYFUNCTION("IFERROR(GOOGLEFINANCE(C262, ""changepct"") / 100, """")"),"")</f>
        <v/>
      </c>
      <c r="L262" s="21" t="str">
        <f>IFERROR(__xludf.DUMMYFUNCTION("IFERROR((GOOGLEFINANCE(C262, ""price"") / INDEX(GOOGLEFINANCE(C262, ""price"", TODAY()-7, TODAY()), 2, 2)) - 1, """")"),"")</f>
        <v/>
      </c>
      <c r="M262" s="21" t="str">
        <f>IFERROR(__xludf.DUMMYFUNCTION("IFERROR((GOOGLEFINANCE(C262, ""price"") / INDEX(GOOGLEFINANCE(C262, ""price"", EDATE(TODAY(), -1), TODAY()), 2, 2)) - 1, """")"),"")</f>
        <v/>
      </c>
      <c r="N262" s="21" t="str">
        <f>IFERROR(__xludf.DUMMYFUNCTION("IFERROR((GOOGLEFINANCE(C262, ""price"") / INDEX(GOOGLEFINANCE(C262, ""price"", EDATE(TODAY(), -3), TODAY()), 2, 2)) - 1, """")"),"")</f>
        <v/>
      </c>
      <c r="O262" s="21" t="str">
        <f>IFERROR(__xludf.DUMMYFUNCTION("IFERROR((GOOGLEFINANCE(C262, ""price"") / INDEX(GOOGLEFINANCE(C262, ""price"", EDATE(TODAY(), -6), TODAY()), 2, 2)) - 1, """")"),"")</f>
        <v/>
      </c>
      <c r="P262" s="21" t="str">
        <f>IFERROR(__xludf.DUMMYFUNCTION("IFERROR((GOOGLEFINANCE(C262, ""price"") / INDEX(GOOGLEFINANCE(C262, ""price"", EDATE(TODAY(), -12), TODAY()), 2, 2)) - 1, """")"),"")</f>
        <v/>
      </c>
      <c r="Q262" s="6" t="str">
        <f>IFERROR(__xludf.DUMMYFUNCTION("AVERAGE(QUERY(GOOGLEFINANCE(C262, ""price"", TODAY()-80, TODAY()), ""SELECT Col2 WHERE Col2 IS NOT NULL ORDER BY Col1 DESC LIMIT 50"", 0))"),"#N/A")</f>
        <v>#N/A</v>
      </c>
      <c r="R262" s="24" t="str">
        <f>IFERROR(__xludf.DUMMYFUNCTION("IFERROR(
  LET(
    data, QUERY(GOOGLEFINANCE(C262,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GOOGLEFINANCE(C262, ""price"")) * 100,
    IF(calc=0, G262, calc)
  ), 
G262)"),"#N/A")</f>
        <v>#N/A</v>
      </c>
      <c r="S262" s="8" t="s">
        <v>15</v>
      </c>
      <c r="T262" s="26" t="str">
        <f>IFERROR(__xludf.DUMMYFUNCTION("IFERROR(TRANSPOSE(QUERY(IFERROR(SORT(GOOGLEFINANCE(C262, ""price"", WORKDAY(TODAY(), -40), TODAY()), 1, FALSE)), ""select Col2 where Col2 is not null limit 22 label Col2 ''"", 0)), """")"),"")</f>
        <v/>
      </c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8"/>
      <c r="AO262" s="28"/>
      <c r="AP262" s="29"/>
      <c r="AQ262" s="29" t="str">
        <f t="shared" ref="AQ262:BL262" si="265">T262/T$2</f>
        <v>#N/A</v>
      </c>
      <c r="AR262" s="29" t="str">
        <f t="shared" si="265"/>
        <v>#DIV/0!</v>
      </c>
      <c r="AS262" s="29" t="str">
        <f t="shared" si="265"/>
        <v>#DIV/0!</v>
      </c>
      <c r="AT262" s="29" t="str">
        <f t="shared" si="265"/>
        <v>#DIV/0!</v>
      </c>
      <c r="AU262" s="29" t="str">
        <f t="shared" si="265"/>
        <v>#DIV/0!</v>
      </c>
      <c r="AV262" s="29" t="str">
        <f t="shared" si="265"/>
        <v>#DIV/0!</v>
      </c>
      <c r="AW262" s="29" t="str">
        <f t="shared" si="265"/>
        <v>#DIV/0!</v>
      </c>
      <c r="AX262" s="29" t="str">
        <f t="shared" si="265"/>
        <v>#DIV/0!</v>
      </c>
      <c r="AY262" s="29" t="str">
        <f t="shared" si="265"/>
        <v>#DIV/0!</v>
      </c>
      <c r="AZ262" s="29" t="str">
        <f t="shared" si="265"/>
        <v>#DIV/0!</v>
      </c>
      <c r="BA262" s="29" t="str">
        <f t="shared" si="265"/>
        <v>#DIV/0!</v>
      </c>
      <c r="BB262" s="29" t="str">
        <f t="shared" si="265"/>
        <v>#DIV/0!</v>
      </c>
      <c r="BC262" s="29" t="str">
        <f t="shared" si="265"/>
        <v>#DIV/0!</v>
      </c>
      <c r="BD262" s="29" t="str">
        <f t="shared" si="265"/>
        <v>#DIV/0!</v>
      </c>
      <c r="BE262" s="29" t="str">
        <f t="shared" si="265"/>
        <v>#DIV/0!</v>
      </c>
      <c r="BF262" s="29" t="str">
        <f t="shared" si="265"/>
        <v>#DIV/0!</v>
      </c>
      <c r="BG262" s="29" t="str">
        <f t="shared" si="265"/>
        <v>#DIV/0!</v>
      </c>
      <c r="BH262" s="29" t="str">
        <f t="shared" si="265"/>
        <v>#DIV/0!</v>
      </c>
      <c r="BI262" s="29" t="str">
        <f t="shared" si="265"/>
        <v>#DIV/0!</v>
      </c>
      <c r="BJ262" s="29" t="str">
        <f t="shared" si="265"/>
        <v>#DIV/0!</v>
      </c>
      <c r="BK262" s="29" t="str">
        <f t="shared" si="265"/>
        <v>#DIV/0!</v>
      </c>
      <c r="BL262" s="29" t="str">
        <f t="shared" si="265"/>
        <v>#DIV/0!</v>
      </c>
      <c r="BM262" s="29" t="str">
        <f t="shared" si="3"/>
        <v>#DIV/0!</v>
      </c>
    </row>
    <row r="263">
      <c r="A263" s="16" t="str">
        <f>IFERROR(__xludf.DUMMYFUNCTION("IFERROR(SPARKLINE(SORT(MAP(TRANSPOSE(AQ263:BL263), LAMBDA(val, IF(ISNUMBER(val), PERCENTRANK(AQ263:BL263, val)+0.01, 0))), SEQUENCE(COLUMNS(AQ263:BL263)), FALSE), {""charttype"",""column""; ""color"",""chartreuse""; ""ymin"", 0; ""ymax"", 1.01; ""highcolo"&amp;"r"", ""darkgreen""; ""lowcolor"", ""red""}), """")"),"")</f>
        <v/>
      </c>
      <c r="B263" s="17" t="str">
        <f t="shared" si="4"/>
        <v/>
      </c>
      <c r="C263" s="1" t="s">
        <v>1868</v>
      </c>
      <c r="D263" s="30" t="str">
        <f>IFERROR(__xludf.DUMMYFUNCTION("IFERROR(GOOGLEFINANCE(C263, ""NAME""))"),"EHang Holdings Ltd - ADR")</f>
        <v>EHang Holdings Ltd - ADR</v>
      </c>
      <c r="E263" s="30" t="s">
        <v>839</v>
      </c>
      <c r="F263" s="33" t="str">
        <f>IFERROR(__xludf.DUMMYFUNCTION("( (GOOGLEFINANCE(C263, ""price"") - Q263) / Q263 ) / (R263 / 100)"),"Loading...")</f>
        <v>Loading...</v>
      </c>
      <c r="G263" s="20" t="str">
        <f>IFERROR(__xludf.DUMMYFUNCTION("AVERAGE(ARRAYFORMULA(100 * (QUERY(GOOGLEFINANCE(C263, ""high"", TODAY()-40, TODAY()), ""SELECT Col2 WHERE Col2 IS NOT NULL ORDER BY Col1 DESC LIMIT 20"", 0) / QUERY(GOOGLEFINANCE(C263, ""low"", TODAY()-40, TODAY()), ""SELECT Col2 WHERE Col2 IS NOT NULL OR"&amp;"DER BY Col1 DESC LIMIT 20"", 0) - 1)))"),"#N/A")</f>
        <v>#N/A</v>
      </c>
      <c r="H263" s="35" t="str">
        <f t="shared" si="6"/>
        <v/>
      </c>
      <c r="I263" s="35" t="str">
        <f t="shared" si="7"/>
        <v/>
      </c>
      <c r="J263" s="37" t="str">
        <f>IFERROR(__xludf.DUMMYFUNCTION("IFERROR(
  IF(C263="""",, 
    IFERROR(
      GOOGLEFINANCE(C263, ""price"") * GOOGLEFINANCE(C263, ""volumeavg""), 
      GOOGLEFINANCE(C263, ""price"") * AVERAGE(QUERY(GOOGLEFINANCE(C263, ""volume"", TODAY()-40, TODAY()), ""SELECT Col2 WHERE Col2 IS NOT "&amp;"NULL ORDER BY Col1 DESC LIMIT 20"", 0))
    )
  ), 
"""")"),"")</f>
        <v/>
      </c>
      <c r="K263" s="21" t="str">
        <f>IFERROR(__xludf.DUMMYFUNCTION("IFERROR(GOOGLEFINANCE(C263, ""changepct"") / 100, """")"),"")</f>
        <v/>
      </c>
      <c r="L263" s="21" t="str">
        <f>IFERROR(__xludf.DUMMYFUNCTION("IFERROR((GOOGLEFINANCE(C263, ""price"") / INDEX(GOOGLEFINANCE(C263, ""price"", TODAY()-7, TODAY()), 2, 2)) - 1, """")"),"")</f>
        <v/>
      </c>
      <c r="M263" s="21" t="str">
        <f>IFERROR(__xludf.DUMMYFUNCTION("IFERROR((GOOGLEFINANCE(C263, ""price"") / INDEX(GOOGLEFINANCE(C263, ""price"", EDATE(TODAY(), -1), TODAY()), 2, 2)) - 1, """")"),"")</f>
        <v/>
      </c>
      <c r="N263" s="21" t="str">
        <f>IFERROR(__xludf.DUMMYFUNCTION("IFERROR((GOOGLEFINANCE(C263, ""price"") / INDEX(GOOGLEFINANCE(C263, ""price"", EDATE(TODAY(), -3), TODAY()), 2, 2)) - 1, """")"),"")</f>
        <v/>
      </c>
      <c r="O263" s="21" t="str">
        <f>IFERROR(__xludf.DUMMYFUNCTION("IFERROR((GOOGLEFINANCE(C263, ""price"") / INDEX(GOOGLEFINANCE(C263, ""price"", EDATE(TODAY(), -6), TODAY()), 2, 2)) - 1, """")"),"")</f>
        <v/>
      </c>
      <c r="P263" s="21" t="str">
        <f>IFERROR(__xludf.DUMMYFUNCTION("IFERROR((GOOGLEFINANCE(C263, ""price"") / INDEX(GOOGLEFINANCE(C263, ""price"", EDATE(TODAY(), -12), TODAY()), 2, 2)) - 1, """")"),"")</f>
        <v/>
      </c>
      <c r="Q263" s="6" t="str">
        <f>IFERROR(__xludf.DUMMYFUNCTION("AVERAGE(QUERY(GOOGLEFINANCE(C263, ""price"", TODAY()-80, TODAY()), ""SELECT Col2 WHERE Col2 IS NOT NULL ORDER BY Col1 DESC LIMIT 50"", 0))"),"#N/A")</f>
        <v>#N/A</v>
      </c>
      <c r="R263" s="24" t="str">
        <f>IFERROR(__xludf.DUMMYFUNCTION("IFERROR(
  LET(
    data, QUERY(GOOGLEFINANCE(C263,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GOOGLEFINANCE(C263, ""price"")) * 100,
    IF(calc=0, G263, calc)
  ), 
G263)"),"#N/A")</f>
        <v>#N/A</v>
      </c>
      <c r="S263" s="8" t="s">
        <v>15</v>
      </c>
      <c r="T263" s="26" t="str">
        <f>IFERROR(__xludf.DUMMYFUNCTION("IFERROR(TRANSPOSE(QUERY(IFERROR(SORT(GOOGLEFINANCE(C263, ""price"", WORKDAY(TODAY(), -40), TODAY()), 1, FALSE)), ""select Col2 where Col2 is not null limit 22 label Col2 ''"", 0)), """")"),"")</f>
        <v/>
      </c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8"/>
      <c r="AO263" s="28"/>
      <c r="AP263" s="29"/>
      <c r="AQ263" s="29" t="str">
        <f t="shared" ref="AQ263:BL263" si="266">T263/T$2</f>
        <v>#N/A</v>
      </c>
      <c r="AR263" s="29" t="str">
        <f t="shared" si="266"/>
        <v>#DIV/0!</v>
      </c>
      <c r="AS263" s="29" t="str">
        <f t="shared" si="266"/>
        <v>#DIV/0!</v>
      </c>
      <c r="AT263" s="29" t="str">
        <f t="shared" si="266"/>
        <v>#DIV/0!</v>
      </c>
      <c r="AU263" s="29" t="str">
        <f t="shared" si="266"/>
        <v>#DIV/0!</v>
      </c>
      <c r="AV263" s="29" t="str">
        <f t="shared" si="266"/>
        <v>#DIV/0!</v>
      </c>
      <c r="AW263" s="29" t="str">
        <f t="shared" si="266"/>
        <v>#DIV/0!</v>
      </c>
      <c r="AX263" s="29" t="str">
        <f t="shared" si="266"/>
        <v>#DIV/0!</v>
      </c>
      <c r="AY263" s="29" t="str">
        <f t="shared" si="266"/>
        <v>#DIV/0!</v>
      </c>
      <c r="AZ263" s="29" t="str">
        <f t="shared" si="266"/>
        <v>#DIV/0!</v>
      </c>
      <c r="BA263" s="29" t="str">
        <f t="shared" si="266"/>
        <v>#DIV/0!</v>
      </c>
      <c r="BB263" s="29" t="str">
        <f t="shared" si="266"/>
        <v>#DIV/0!</v>
      </c>
      <c r="BC263" s="29" t="str">
        <f t="shared" si="266"/>
        <v>#DIV/0!</v>
      </c>
      <c r="BD263" s="29" t="str">
        <f t="shared" si="266"/>
        <v>#DIV/0!</v>
      </c>
      <c r="BE263" s="29" t="str">
        <f t="shared" si="266"/>
        <v>#DIV/0!</v>
      </c>
      <c r="BF263" s="29" t="str">
        <f t="shared" si="266"/>
        <v>#DIV/0!</v>
      </c>
      <c r="BG263" s="29" t="str">
        <f t="shared" si="266"/>
        <v>#DIV/0!</v>
      </c>
      <c r="BH263" s="29" t="str">
        <f t="shared" si="266"/>
        <v>#DIV/0!</v>
      </c>
      <c r="BI263" s="29" t="str">
        <f t="shared" si="266"/>
        <v>#DIV/0!</v>
      </c>
      <c r="BJ263" s="29" t="str">
        <f t="shared" si="266"/>
        <v>#DIV/0!</v>
      </c>
      <c r="BK263" s="29" t="str">
        <f t="shared" si="266"/>
        <v>#DIV/0!</v>
      </c>
      <c r="BL263" s="29" t="str">
        <f t="shared" si="266"/>
        <v>#DIV/0!</v>
      </c>
      <c r="BM263" s="29" t="str">
        <f t="shared" si="3"/>
        <v>#DIV/0!</v>
      </c>
    </row>
    <row r="264">
      <c r="A264" s="16" t="str">
        <f>IFERROR(__xludf.DUMMYFUNCTION("IFERROR(SPARKLINE(SORT(MAP(TRANSPOSE(AQ264:BL264), LAMBDA(val, IF(ISNUMBER(val), PERCENTRANK(AQ264:BL264, val)+0.01, 0))), SEQUENCE(COLUMNS(AQ264:BL264)), FALSE), {""charttype"",""column""; ""color"",""chartreuse""; ""ymin"", 0; ""ymax"", 1.01; ""highcolo"&amp;"r"", ""darkgreen""; ""lowcolor"", ""red""}), """")"),"")</f>
        <v/>
      </c>
      <c r="B264" s="17" t="str">
        <f t="shared" si="4"/>
        <v/>
      </c>
      <c r="C264" s="1" t="s">
        <v>1871</v>
      </c>
      <c r="D264" s="30" t="str">
        <f>IFERROR(__xludf.DUMMYFUNCTION("IFERROR(GOOGLEFINANCE(C264, ""NAME""))"),"CH Robinson Worldwide Inc")</f>
        <v>CH Robinson Worldwide Inc</v>
      </c>
      <c r="E264" s="30" t="s">
        <v>955</v>
      </c>
      <c r="F264" s="33" t="str">
        <f>IFERROR(__xludf.DUMMYFUNCTION("( (GOOGLEFINANCE(C264, ""price"") - Q264) / Q264 ) / (R264 / 100)"),"Loading...")</f>
        <v>Loading...</v>
      </c>
      <c r="G264" s="20" t="str">
        <f>IFERROR(__xludf.DUMMYFUNCTION("AVERAGE(ARRAYFORMULA(100 * (QUERY(GOOGLEFINANCE(C264, ""high"", TODAY()-40, TODAY()), ""SELECT Col2 WHERE Col2 IS NOT NULL ORDER BY Col1 DESC LIMIT 20"", 0) / QUERY(GOOGLEFINANCE(C264, ""low"", TODAY()-40, TODAY()), ""SELECT Col2 WHERE Col2 IS NOT NULL OR"&amp;"DER BY Col1 DESC LIMIT 20"", 0) - 1)))"),"#N/A")</f>
        <v>#N/A</v>
      </c>
      <c r="H264" s="35" t="str">
        <f t="shared" si="6"/>
        <v/>
      </c>
      <c r="I264" s="35" t="str">
        <f t="shared" si="7"/>
        <v/>
      </c>
      <c r="J264" s="37" t="str">
        <f>IFERROR(__xludf.DUMMYFUNCTION("IFERROR(
  IF(C264="""",, 
    IFERROR(
      GOOGLEFINANCE(C264, ""price"") * GOOGLEFINANCE(C264, ""volumeavg""), 
      GOOGLEFINANCE(C264, ""price"") * AVERAGE(QUERY(GOOGLEFINANCE(C264, ""volume"", TODAY()-40, TODAY()), ""SELECT Col2 WHERE Col2 IS NOT "&amp;"NULL ORDER BY Col1 DESC LIMIT 20"", 0))
    )
  ), 
"""")"),"")</f>
        <v/>
      </c>
      <c r="K264" s="21" t="str">
        <f>IFERROR(__xludf.DUMMYFUNCTION("IFERROR(GOOGLEFINANCE(C264, ""changepct"") / 100, """")"),"")</f>
        <v/>
      </c>
      <c r="L264" s="21" t="str">
        <f>IFERROR(__xludf.DUMMYFUNCTION("IFERROR((GOOGLEFINANCE(C264, ""price"") / INDEX(GOOGLEFINANCE(C264, ""price"", TODAY()-7, TODAY()), 2, 2)) - 1, """")"),"")</f>
        <v/>
      </c>
      <c r="M264" s="21" t="str">
        <f>IFERROR(__xludf.DUMMYFUNCTION("IFERROR((GOOGLEFINANCE(C264, ""price"") / INDEX(GOOGLEFINANCE(C264, ""price"", EDATE(TODAY(), -1), TODAY()), 2, 2)) - 1, """")"),"")</f>
        <v/>
      </c>
      <c r="N264" s="21" t="str">
        <f>IFERROR(__xludf.DUMMYFUNCTION("IFERROR((GOOGLEFINANCE(C264, ""price"") / INDEX(GOOGLEFINANCE(C264, ""price"", EDATE(TODAY(), -3), TODAY()), 2, 2)) - 1, """")"),"")</f>
        <v/>
      </c>
      <c r="O264" s="21" t="str">
        <f>IFERROR(__xludf.DUMMYFUNCTION("IFERROR((GOOGLEFINANCE(C264, ""price"") / INDEX(GOOGLEFINANCE(C264, ""price"", EDATE(TODAY(), -6), TODAY()), 2, 2)) - 1, """")"),"")</f>
        <v/>
      </c>
      <c r="P264" s="21" t="str">
        <f>IFERROR(__xludf.DUMMYFUNCTION("IFERROR((GOOGLEFINANCE(C264, ""price"") / INDEX(GOOGLEFINANCE(C264, ""price"", EDATE(TODAY(), -12), TODAY()), 2, 2)) - 1, """")"),"")</f>
        <v/>
      </c>
      <c r="Q264" s="6" t="str">
        <f>IFERROR(__xludf.DUMMYFUNCTION("AVERAGE(QUERY(GOOGLEFINANCE(C264, ""price"", TODAY()-80, TODAY()), ""SELECT Col2 WHERE Col2 IS NOT NULL ORDER BY Col1 DESC LIMIT 50"", 0))"),"#N/A")</f>
        <v>#N/A</v>
      </c>
      <c r="R264" s="24" t="str">
        <f>IFERROR(__xludf.DUMMYFUNCTION("IFERROR(
  LET(
    data, QUERY(GOOGLEFINANCE(C264,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GOOGLEFINANCE(C264, ""price"")) * 100,
    IF(calc=0, G264, calc)
  ), 
G264)"),"#N/A")</f>
        <v>#N/A</v>
      </c>
      <c r="S264" s="8" t="s">
        <v>15</v>
      </c>
      <c r="T264" s="26" t="str">
        <f>IFERROR(__xludf.DUMMYFUNCTION("IFERROR(TRANSPOSE(QUERY(IFERROR(SORT(GOOGLEFINANCE(C264, ""price"", WORKDAY(TODAY(), -40), TODAY()), 1, FALSE)), ""select Col2 where Col2 is not null limit 22 label Col2 ''"", 0)), """")"),"")</f>
        <v/>
      </c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8"/>
      <c r="AO264" s="28"/>
      <c r="AP264" s="29"/>
      <c r="AQ264" s="29" t="str">
        <f t="shared" ref="AQ264:BL264" si="267">T264/T$2</f>
        <v>#N/A</v>
      </c>
      <c r="AR264" s="29" t="str">
        <f t="shared" si="267"/>
        <v>#DIV/0!</v>
      </c>
      <c r="AS264" s="29" t="str">
        <f t="shared" si="267"/>
        <v>#DIV/0!</v>
      </c>
      <c r="AT264" s="29" t="str">
        <f t="shared" si="267"/>
        <v>#DIV/0!</v>
      </c>
      <c r="AU264" s="29" t="str">
        <f t="shared" si="267"/>
        <v>#DIV/0!</v>
      </c>
      <c r="AV264" s="29" t="str">
        <f t="shared" si="267"/>
        <v>#DIV/0!</v>
      </c>
      <c r="AW264" s="29" t="str">
        <f t="shared" si="267"/>
        <v>#DIV/0!</v>
      </c>
      <c r="AX264" s="29" t="str">
        <f t="shared" si="267"/>
        <v>#DIV/0!</v>
      </c>
      <c r="AY264" s="29" t="str">
        <f t="shared" si="267"/>
        <v>#DIV/0!</v>
      </c>
      <c r="AZ264" s="29" t="str">
        <f t="shared" si="267"/>
        <v>#DIV/0!</v>
      </c>
      <c r="BA264" s="29" t="str">
        <f t="shared" si="267"/>
        <v>#DIV/0!</v>
      </c>
      <c r="BB264" s="29" t="str">
        <f t="shared" si="267"/>
        <v>#DIV/0!</v>
      </c>
      <c r="BC264" s="29" t="str">
        <f t="shared" si="267"/>
        <v>#DIV/0!</v>
      </c>
      <c r="BD264" s="29" t="str">
        <f t="shared" si="267"/>
        <v>#DIV/0!</v>
      </c>
      <c r="BE264" s="29" t="str">
        <f t="shared" si="267"/>
        <v>#DIV/0!</v>
      </c>
      <c r="BF264" s="29" t="str">
        <f t="shared" si="267"/>
        <v>#DIV/0!</v>
      </c>
      <c r="BG264" s="29" t="str">
        <f t="shared" si="267"/>
        <v>#DIV/0!</v>
      </c>
      <c r="BH264" s="29" t="str">
        <f t="shared" si="267"/>
        <v>#DIV/0!</v>
      </c>
      <c r="BI264" s="29" t="str">
        <f t="shared" si="267"/>
        <v>#DIV/0!</v>
      </c>
      <c r="BJ264" s="29" t="str">
        <f t="shared" si="267"/>
        <v>#DIV/0!</v>
      </c>
      <c r="BK264" s="29" t="str">
        <f t="shared" si="267"/>
        <v>#DIV/0!</v>
      </c>
      <c r="BL264" s="29" t="str">
        <f t="shared" si="267"/>
        <v>#DIV/0!</v>
      </c>
      <c r="BM264" s="29" t="str">
        <f t="shared" si="3"/>
        <v>#DIV/0!</v>
      </c>
    </row>
    <row r="265">
      <c r="A265" s="16" t="str">
        <f>IFERROR(__xludf.DUMMYFUNCTION("IFERROR(SPARKLINE(SORT(MAP(TRANSPOSE(AQ265:BL265), LAMBDA(val, IF(ISNUMBER(val), PERCENTRANK(AQ265:BL265, val)+0.01, 0))), SEQUENCE(COLUMNS(AQ265:BL265)), FALSE), {""charttype"",""column""; ""color"",""chartreuse""; ""ymin"", 0; ""ymax"", 1.01; ""highcolo"&amp;"r"", ""darkgreen""; ""lowcolor"", ""red""}), """")"),"")</f>
        <v/>
      </c>
      <c r="B265" s="17" t="str">
        <f t="shared" si="4"/>
        <v/>
      </c>
      <c r="C265" s="1" t="s">
        <v>1875</v>
      </c>
      <c r="D265" s="30" t="str">
        <f>IFERROR(__xludf.DUMMYFUNCTION("IFERROR(GOOGLEFINANCE(C265, ""NAME""))"),"BlueLinx Holdings Inc.")</f>
        <v>BlueLinx Holdings Inc.</v>
      </c>
      <c r="E265" s="30" t="s">
        <v>829</v>
      </c>
      <c r="F265" s="33" t="str">
        <f>IFERROR(__xludf.DUMMYFUNCTION("( (GOOGLEFINANCE(C265, ""price"") - Q265) / Q265 ) / (R265 / 100)"),"Loading...")</f>
        <v>Loading...</v>
      </c>
      <c r="G265" s="20" t="str">
        <f>IFERROR(__xludf.DUMMYFUNCTION("AVERAGE(ARRAYFORMULA(100 * (QUERY(GOOGLEFINANCE(C265, ""high"", TODAY()-40, TODAY()), ""SELECT Col2 WHERE Col2 IS NOT NULL ORDER BY Col1 DESC LIMIT 20"", 0) / QUERY(GOOGLEFINANCE(C265, ""low"", TODAY()-40, TODAY()), ""SELECT Col2 WHERE Col2 IS NOT NULL OR"&amp;"DER BY Col1 DESC LIMIT 20"", 0) - 1)))"),"#N/A")</f>
        <v>#N/A</v>
      </c>
      <c r="H265" s="35" t="str">
        <f t="shared" si="6"/>
        <v/>
      </c>
      <c r="I265" s="35" t="str">
        <f t="shared" si="7"/>
        <v/>
      </c>
      <c r="J265" s="37" t="str">
        <f>IFERROR(__xludf.DUMMYFUNCTION("IFERROR(
  IF(C265="""",, 
    IFERROR(
      GOOGLEFINANCE(C265, ""price"") * GOOGLEFINANCE(C265, ""volumeavg""), 
      GOOGLEFINANCE(C265, ""price"") * AVERAGE(QUERY(GOOGLEFINANCE(C265, ""volume"", TODAY()-40, TODAY()), ""SELECT Col2 WHERE Col2 IS NOT "&amp;"NULL ORDER BY Col1 DESC LIMIT 20"", 0))
    )
  ), 
"""")"),"")</f>
        <v/>
      </c>
      <c r="K265" s="21" t="str">
        <f>IFERROR(__xludf.DUMMYFUNCTION("IFERROR(GOOGLEFINANCE(C265, ""changepct"") / 100, """")"),"")</f>
        <v/>
      </c>
      <c r="L265" s="21" t="str">
        <f>IFERROR(__xludf.DUMMYFUNCTION("IFERROR((GOOGLEFINANCE(C265, ""price"") / INDEX(GOOGLEFINANCE(C265, ""price"", TODAY()-7, TODAY()), 2, 2)) - 1, """")"),"")</f>
        <v/>
      </c>
      <c r="M265" s="21" t="str">
        <f>IFERROR(__xludf.DUMMYFUNCTION("IFERROR((GOOGLEFINANCE(C265, ""price"") / INDEX(GOOGLEFINANCE(C265, ""price"", EDATE(TODAY(), -1), TODAY()), 2, 2)) - 1, """")"),"")</f>
        <v/>
      </c>
      <c r="N265" s="21" t="str">
        <f>IFERROR(__xludf.DUMMYFUNCTION("IFERROR((GOOGLEFINANCE(C265, ""price"") / INDEX(GOOGLEFINANCE(C265, ""price"", EDATE(TODAY(), -3), TODAY()), 2, 2)) - 1, """")"),"")</f>
        <v/>
      </c>
      <c r="O265" s="21" t="str">
        <f>IFERROR(__xludf.DUMMYFUNCTION("IFERROR((GOOGLEFINANCE(C265, ""price"") / INDEX(GOOGLEFINANCE(C265, ""price"", EDATE(TODAY(), -6), TODAY()), 2, 2)) - 1, """")"),"")</f>
        <v/>
      </c>
      <c r="P265" s="21" t="str">
        <f>IFERROR(__xludf.DUMMYFUNCTION("IFERROR((GOOGLEFINANCE(C265, ""price"") / INDEX(GOOGLEFINANCE(C265, ""price"", EDATE(TODAY(), -12), TODAY()), 2, 2)) - 1, """")"),"")</f>
        <v/>
      </c>
      <c r="Q265" s="6" t="str">
        <f>IFERROR(__xludf.DUMMYFUNCTION("AVERAGE(QUERY(GOOGLEFINANCE(C265, ""price"", TODAY()-80, TODAY()), ""SELECT Col2 WHERE Col2 IS NOT NULL ORDER BY Col1 DESC LIMIT 50"", 0))"),"#N/A")</f>
        <v>#N/A</v>
      </c>
      <c r="R265" s="24" t="str">
        <f>IFERROR(__xludf.DUMMYFUNCTION("IFERROR(
  LET(
    data, QUERY(GOOGLEFINANCE(C265,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GOOGLEFINANCE(C265, ""price"")) * 100,
    IF(calc=0, G265, calc)
  ), 
G265)"),"#N/A")</f>
        <v>#N/A</v>
      </c>
      <c r="S265" s="8" t="s">
        <v>15</v>
      </c>
      <c r="T265" s="26" t="str">
        <f>IFERROR(__xludf.DUMMYFUNCTION("IFERROR(TRANSPOSE(QUERY(IFERROR(SORT(GOOGLEFINANCE(C265, ""price"", WORKDAY(TODAY(), -40), TODAY()), 1, FALSE)), ""select Col2 where Col2 is not null limit 22 label Col2 ''"", 0)), """")"),"")</f>
        <v/>
      </c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8"/>
      <c r="AO265" s="28"/>
      <c r="AP265" s="29"/>
      <c r="AQ265" s="29" t="str">
        <f t="shared" ref="AQ265:BL265" si="268">T265/T$2</f>
        <v>#N/A</v>
      </c>
      <c r="AR265" s="29" t="str">
        <f t="shared" si="268"/>
        <v>#DIV/0!</v>
      </c>
      <c r="AS265" s="29" t="str">
        <f t="shared" si="268"/>
        <v>#DIV/0!</v>
      </c>
      <c r="AT265" s="29" t="str">
        <f t="shared" si="268"/>
        <v>#DIV/0!</v>
      </c>
      <c r="AU265" s="29" t="str">
        <f t="shared" si="268"/>
        <v>#DIV/0!</v>
      </c>
      <c r="AV265" s="29" t="str">
        <f t="shared" si="268"/>
        <v>#DIV/0!</v>
      </c>
      <c r="AW265" s="29" t="str">
        <f t="shared" si="268"/>
        <v>#DIV/0!</v>
      </c>
      <c r="AX265" s="29" t="str">
        <f t="shared" si="268"/>
        <v>#DIV/0!</v>
      </c>
      <c r="AY265" s="29" t="str">
        <f t="shared" si="268"/>
        <v>#DIV/0!</v>
      </c>
      <c r="AZ265" s="29" t="str">
        <f t="shared" si="268"/>
        <v>#DIV/0!</v>
      </c>
      <c r="BA265" s="29" t="str">
        <f t="shared" si="268"/>
        <v>#DIV/0!</v>
      </c>
      <c r="BB265" s="29" t="str">
        <f t="shared" si="268"/>
        <v>#DIV/0!</v>
      </c>
      <c r="BC265" s="29" t="str">
        <f t="shared" si="268"/>
        <v>#DIV/0!</v>
      </c>
      <c r="BD265" s="29" t="str">
        <f t="shared" si="268"/>
        <v>#DIV/0!</v>
      </c>
      <c r="BE265" s="29" t="str">
        <f t="shared" si="268"/>
        <v>#DIV/0!</v>
      </c>
      <c r="BF265" s="29" t="str">
        <f t="shared" si="268"/>
        <v>#DIV/0!</v>
      </c>
      <c r="BG265" s="29" t="str">
        <f t="shared" si="268"/>
        <v>#DIV/0!</v>
      </c>
      <c r="BH265" s="29" t="str">
        <f t="shared" si="268"/>
        <v>#DIV/0!</v>
      </c>
      <c r="BI265" s="29" t="str">
        <f t="shared" si="268"/>
        <v>#DIV/0!</v>
      </c>
      <c r="BJ265" s="29" t="str">
        <f t="shared" si="268"/>
        <v>#DIV/0!</v>
      </c>
      <c r="BK265" s="29" t="str">
        <f t="shared" si="268"/>
        <v>#DIV/0!</v>
      </c>
      <c r="BL265" s="29" t="str">
        <f t="shared" si="268"/>
        <v>#DIV/0!</v>
      </c>
      <c r="BM265" s="29" t="str">
        <f t="shared" si="3"/>
        <v>#DIV/0!</v>
      </c>
    </row>
    <row r="266">
      <c r="A266" s="16" t="str">
        <f>IFERROR(__xludf.DUMMYFUNCTION("IFERROR(SPARKLINE(SORT(MAP(TRANSPOSE(AQ266:BL266), LAMBDA(val, IF(ISNUMBER(val), PERCENTRANK(AQ266:BL266, val)+0.01, 0))), SEQUENCE(COLUMNS(AQ266:BL266)), FALSE), {""charttype"",""column""; ""color"",""chartreuse""; ""ymin"", 0; ""ymax"", 1.01; ""highcolo"&amp;"r"", ""darkgreen""; ""lowcolor"", ""red""}), """")"),"")</f>
        <v/>
      </c>
      <c r="B266" s="17" t="str">
        <f t="shared" si="4"/>
        <v/>
      </c>
      <c r="C266" s="1" t="s">
        <v>1879</v>
      </c>
      <c r="D266" s="30" t="str">
        <f>IFERROR(__xludf.DUMMYFUNCTION("IFERROR(GOOGLEFINANCE(C266, ""NAME""))"),"MSA Safety Inc")</f>
        <v>MSA Safety Inc</v>
      </c>
      <c r="E266" s="30" t="s">
        <v>1020</v>
      </c>
      <c r="F266" s="33" t="str">
        <f>IFERROR(__xludf.DUMMYFUNCTION("( (GOOGLEFINANCE(C266, ""price"") - Q266) / Q266 ) / (R266 / 100)"),"Loading...")</f>
        <v>Loading...</v>
      </c>
      <c r="G266" s="20" t="str">
        <f>IFERROR(__xludf.DUMMYFUNCTION("AVERAGE(ARRAYFORMULA(100 * (QUERY(GOOGLEFINANCE(C266, ""high"", TODAY()-40, TODAY()), ""SELECT Col2 WHERE Col2 IS NOT NULL ORDER BY Col1 DESC LIMIT 20"", 0) / QUERY(GOOGLEFINANCE(C266, ""low"", TODAY()-40, TODAY()), ""SELECT Col2 WHERE Col2 IS NOT NULL OR"&amp;"DER BY Col1 DESC LIMIT 20"", 0) - 1)))"),"#N/A")</f>
        <v>#N/A</v>
      </c>
      <c r="H266" s="35" t="str">
        <f t="shared" si="6"/>
        <v/>
      </c>
      <c r="I266" s="35" t="str">
        <f t="shared" si="7"/>
        <v/>
      </c>
      <c r="J266" s="37" t="str">
        <f>IFERROR(__xludf.DUMMYFUNCTION("IFERROR(
  IF(C266="""",, 
    IFERROR(
      GOOGLEFINANCE(C266, ""price"") * GOOGLEFINANCE(C266, ""volumeavg""), 
      GOOGLEFINANCE(C266, ""price"") * AVERAGE(QUERY(GOOGLEFINANCE(C266, ""volume"", TODAY()-40, TODAY()), ""SELECT Col2 WHERE Col2 IS NOT "&amp;"NULL ORDER BY Col1 DESC LIMIT 20"", 0))
    )
  ), 
"""")"),"")</f>
        <v/>
      </c>
      <c r="K266" s="21" t="str">
        <f>IFERROR(__xludf.DUMMYFUNCTION("IFERROR(GOOGLEFINANCE(C266, ""changepct"") / 100, """")"),"")</f>
        <v/>
      </c>
      <c r="L266" s="21" t="str">
        <f>IFERROR(__xludf.DUMMYFUNCTION("IFERROR((GOOGLEFINANCE(C266, ""price"") / INDEX(GOOGLEFINANCE(C266, ""price"", TODAY()-7, TODAY()), 2, 2)) - 1, """")"),"")</f>
        <v/>
      </c>
      <c r="M266" s="21" t="str">
        <f>IFERROR(__xludf.DUMMYFUNCTION("IFERROR((GOOGLEFINANCE(C266, ""price"") / INDEX(GOOGLEFINANCE(C266, ""price"", EDATE(TODAY(), -1), TODAY()), 2, 2)) - 1, """")"),"")</f>
        <v/>
      </c>
      <c r="N266" s="21" t="str">
        <f>IFERROR(__xludf.DUMMYFUNCTION("IFERROR((GOOGLEFINANCE(C266, ""price"") / INDEX(GOOGLEFINANCE(C266, ""price"", EDATE(TODAY(), -3), TODAY()), 2, 2)) - 1, """")"),"")</f>
        <v/>
      </c>
      <c r="O266" s="21" t="str">
        <f>IFERROR(__xludf.DUMMYFUNCTION("IFERROR((GOOGLEFINANCE(C266, ""price"") / INDEX(GOOGLEFINANCE(C266, ""price"", EDATE(TODAY(), -6), TODAY()), 2, 2)) - 1, """")"),"")</f>
        <v/>
      </c>
      <c r="P266" s="21" t="str">
        <f>IFERROR(__xludf.DUMMYFUNCTION("IFERROR((GOOGLEFINANCE(C266, ""price"") / INDEX(GOOGLEFINANCE(C266, ""price"", EDATE(TODAY(), -12), TODAY()), 2, 2)) - 1, """")"),"")</f>
        <v/>
      </c>
      <c r="Q266" s="6" t="str">
        <f>IFERROR(__xludf.DUMMYFUNCTION("AVERAGE(QUERY(GOOGLEFINANCE(C266, ""price"", TODAY()-80, TODAY()), ""SELECT Col2 WHERE Col2 IS NOT NULL ORDER BY Col1 DESC LIMIT 50"", 0))"),"#N/A")</f>
        <v>#N/A</v>
      </c>
      <c r="R266" s="24" t="str">
        <f>IFERROR(__xludf.DUMMYFUNCTION("IFERROR(
  LET(
    data, QUERY(GOOGLEFINANCE(C266,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GOOGLEFINANCE(C266, ""price"")) * 100,
    IF(calc=0, G266, calc)
  ), 
G266)"),"#N/A")</f>
        <v>#N/A</v>
      </c>
      <c r="S266" s="8" t="s">
        <v>15</v>
      </c>
      <c r="T266" s="26" t="str">
        <f>IFERROR(__xludf.DUMMYFUNCTION("IFERROR(TRANSPOSE(QUERY(IFERROR(SORT(GOOGLEFINANCE(C266, ""price"", WORKDAY(TODAY(), -40), TODAY()), 1, FALSE)), ""select Col2 where Col2 is not null limit 22 label Col2 ''"", 0)), """")"),"")</f>
        <v/>
      </c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8"/>
      <c r="AO266" s="28"/>
      <c r="AP266" s="29"/>
      <c r="AQ266" s="29" t="str">
        <f t="shared" ref="AQ266:BL266" si="269">T266/T$2</f>
        <v>#N/A</v>
      </c>
      <c r="AR266" s="29" t="str">
        <f t="shared" si="269"/>
        <v>#DIV/0!</v>
      </c>
      <c r="AS266" s="29" t="str">
        <f t="shared" si="269"/>
        <v>#DIV/0!</v>
      </c>
      <c r="AT266" s="29" t="str">
        <f t="shared" si="269"/>
        <v>#DIV/0!</v>
      </c>
      <c r="AU266" s="29" t="str">
        <f t="shared" si="269"/>
        <v>#DIV/0!</v>
      </c>
      <c r="AV266" s="29" t="str">
        <f t="shared" si="269"/>
        <v>#DIV/0!</v>
      </c>
      <c r="AW266" s="29" t="str">
        <f t="shared" si="269"/>
        <v>#DIV/0!</v>
      </c>
      <c r="AX266" s="29" t="str">
        <f t="shared" si="269"/>
        <v>#DIV/0!</v>
      </c>
      <c r="AY266" s="29" t="str">
        <f t="shared" si="269"/>
        <v>#DIV/0!</v>
      </c>
      <c r="AZ266" s="29" t="str">
        <f t="shared" si="269"/>
        <v>#DIV/0!</v>
      </c>
      <c r="BA266" s="29" t="str">
        <f t="shared" si="269"/>
        <v>#DIV/0!</v>
      </c>
      <c r="BB266" s="29" t="str">
        <f t="shared" si="269"/>
        <v>#DIV/0!</v>
      </c>
      <c r="BC266" s="29" t="str">
        <f t="shared" si="269"/>
        <v>#DIV/0!</v>
      </c>
      <c r="BD266" s="29" t="str">
        <f t="shared" si="269"/>
        <v>#DIV/0!</v>
      </c>
      <c r="BE266" s="29" t="str">
        <f t="shared" si="269"/>
        <v>#DIV/0!</v>
      </c>
      <c r="BF266" s="29" t="str">
        <f t="shared" si="269"/>
        <v>#DIV/0!</v>
      </c>
      <c r="BG266" s="29" t="str">
        <f t="shared" si="269"/>
        <v>#DIV/0!</v>
      </c>
      <c r="BH266" s="29" t="str">
        <f t="shared" si="269"/>
        <v>#DIV/0!</v>
      </c>
      <c r="BI266" s="29" t="str">
        <f t="shared" si="269"/>
        <v>#DIV/0!</v>
      </c>
      <c r="BJ266" s="29" t="str">
        <f t="shared" si="269"/>
        <v>#DIV/0!</v>
      </c>
      <c r="BK266" s="29" t="str">
        <f t="shared" si="269"/>
        <v>#DIV/0!</v>
      </c>
      <c r="BL266" s="29" t="str">
        <f t="shared" si="269"/>
        <v>#DIV/0!</v>
      </c>
      <c r="BM266" s="29" t="str">
        <f t="shared" si="3"/>
        <v>#DIV/0!</v>
      </c>
    </row>
    <row r="267">
      <c r="A267" s="16" t="str">
        <f>IFERROR(__xludf.DUMMYFUNCTION("IFERROR(SPARKLINE(SORT(MAP(TRANSPOSE(AQ267:BL267), LAMBDA(val, IF(ISNUMBER(val), PERCENTRANK(AQ267:BL267, val)+0.01, 0))), SEQUENCE(COLUMNS(AQ267:BL267)), FALSE), {""charttype"",""column""; ""color"",""chartreuse""; ""ymin"", 0; ""ymax"", 1.01; ""highcolo"&amp;"r"", ""darkgreen""; ""lowcolor"", ""red""}), """")"),"")</f>
        <v/>
      </c>
      <c r="B267" s="17" t="str">
        <f t="shared" si="4"/>
        <v/>
      </c>
      <c r="C267" s="1" t="s">
        <v>1882</v>
      </c>
      <c r="D267" s="30" t="str">
        <f>IFERROR(__xludf.DUMMYFUNCTION("IFERROR(GOOGLEFINANCE(C267, ""NAME""))"),"Standex International Corp")</f>
        <v>Standex International Corp</v>
      </c>
      <c r="E267" s="30" t="s">
        <v>893</v>
      </c>
      <c r="F267" s="38" t="str">
        <f>IFERROR(__xludf.DUMMYFUNCTION("( (GOOGLEFINANCE(C267, ""price"") - Q267) / Q267 ) / (R267 / 100)"),"Loading...")</f>
        <v>Loading...</v>
      </c>
      <c r="G267" s="20" t="str">
        <f>IFERROR(__xludf.DUMMYFUNCTION("AVERAGE(ARRAYFORMULA(100 * (QUERY(GOOGLEFINANCE(C267, ""high"", TODAY()-40, TODAY()), ""SELECT Col2 WHERE Col2 IS NOT NULL ORDER BY Col1 DESC LIMIT 20"", 0) / QUERY(GOOGLEFINANCE(C267, ""low"", TODAY()-40, TODAY()), ""SELECT Col2 WHERE Col2 IS NOT NULL OR"&amp;"DER BY Col1 DESC LIMIT 20"", 0) - 1)))"),"#N/A")</f>
        <v>#N/A</v>
      </c>
      <c r="H267" s="35" t="str">
        <f t="shared" si="6"/>
        <v/>
      </c>
      <c r="I267" s="35" t="str">
        <f t="shared" si="7"/>
        <v/>
      </c>
      <c r="J267" s="37" t="str">
        <f>IFERROR(__xludf.DUMMYFUNCTION("IFERROR(
  IF(C267="""",, 
    IFERROR(
      GOOGLEFINANCE(C267, ""price"") * GOOGLEFINANCE(C267, ""volumeavg""), 
      GOOGLEFINANCE(C267, ""price"") * AVERAGE(QUERY(GOOGLEFINANCE(C267, ""volume"", TODAY()-40, TODAY()), ""SELECT Col2 WHERE Col2 IS NOT "&amp;"NULL ORDER BY Col1 DESC LIMIT 20"", 0))
    )
  ), 
"""")"),"")</f>
        <v/>
      </c>
      <c r="K267" s="21" t="str">
        <f>IFERROR(__xludf.DUMMYFUNCTION("IFERROR(GOOGLEFINANCE(C267, ""changepct"") / 100, """")"),"")</f>
        <v/>
      </c>
      <c r="L267" s="21" t="str">
        <f>IFERROR(__xludf.DUMMYFUNCTION("IFERROR((GOOGLEFINANCE(C267, ""price"") / INDEX(GOOGLEFINANCE(C267, ""price"", TODAY()-7, TODAY()), 2, 2)) - 1, """")"),"")</f>
        <v/>
      </c>
      <c r="M267" s="21" t="str">
        <f>IFERROR(__xludf.DUMMYFUNCTION("IFERROR((GOOGLEFINANCE(C267, ""price"") / INDEX(GOOGLEFINANCE(C267, ""price"", EDATE(TODAY(), -1), TODAY()), 2, 2)) - 1, """")"),"")</f>
        <v/>
      </c>
      <c r="N267" s="21" t="str">
        <f>IFERROR(__xludf.DUMMYFUNCTION("IFERROR((GOOGLEFINANCE(C267, ""price"") / INDEX(GOOGLEFINANCE(C267, ""price"", EDATE(TODAY(), -3), TODAY()), 2, 2)) - 1, """")"),"")</f>
        <v/>
      </c>
      <c r="O267" s="21" t="str">
        <f>IFERROR(__xludf.DUMMYFUNCTION("IFERROR((GOOGLEFINANCE(C267, ""price"") / INDEX(GOOGLEFINANCE(C267, ""price"", EDATE(TODAY(), -6), TODAY()), 2, 2)) - 1, """")"),"")</f>
        <v/>
      </c>
      <c r="P267" s="21" t="str">
        <f>IFERROR(__xludf.DUMMYFUNCTION("IFERROR((GOOGLEFINANCE(C267, ""price"") / INDEX(GOOGLEFINANCE(C267, ""price"", EDATE(TODAY(), -12), TODAY()), 2, 2)) - 1, """")"),"")</f>
        <v/>
      </c>
      <c r="Q267" s="6" t="str">
        <f>IFERROR(__xludf.DUMMYFUNCTION("AVERAGE(QUERY(GOOGLEFINANCE(C267, ""price"", TODAY()-80, TODAY()), ""SELECT Col2 WHERE Col2 IS NOT NULL ORDER BY Col1 DESC LIMIT 50"", 0))"),"#N/A")</f>
        <v>#N/A</v>
      </c>
      <c r="R267" s="24" t="str">
        <f>IFERROR(__xludf.DUMMYFUNCTION("IFERROR(
  LET(
    data, QUERY(GOOGLEFINANCE(C267,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GOOGLEFINANCE(C267, ""price"")) * 100,
    IF(calc=0, G267, calc)
  ), 
G267)"),"#N/A")</f>
        <v>#N/A</v>
      </c>
      <c r="S267" s="8" t="s">
        <v>15</v>
      </c>
      <c r="T267" s="26" t="str">
        <f>IFERROR(__xludf.DUMMYFUNCTION("IFERROR(TRANSPOSE(QUERY(IFERROR(SORT(GOOGLEFINANCE(C267, ""price"", WORKDAY(TODAY(), -40), TODAY()), 1, FALSE)), ""select Col2 where Col2 is not null limit 22 label Col2 ''"", 0)), """")"),"")</f>
        <v/>
      </c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8"/>
      <c r="AO267" s="28"/>
      <c r="AP267" s="29"/>
      <c r="AQ267" s="29" t="str">
        <f t="shared" ref="AQ267:BL267" si="270">T267/T$2</f>
        <v>#N/A</v>
      </c>
      <c r="AR267" s="29" t="str">
        <f t="shared" si="270"/>
        <v>#DIV/0!</v>
      </c>
      <c r="AS267" s="29" t="str">
        <f t="shared" si="270"/>
        <v>#DIV/0!</v>
      </c>
      <c r="AT267" s="29" t="str">
        <f t="shared" si="270"/>
        <v>#DIV/0!</v>
      </c>
      <c r="AU267" s="29" t="str">
        <f t="shared" si="270"/>
        <v>#DIV/0!</v>
      </c>
      <c r="AV267" s="29" t="str">
        <f t="shared" si="270"/>
        <v>#DIV/0!</v>
      </c>
      <c r="AW267" s="29" t="str">
        <f t="shared" si="270"/>
        <v>#DIV/0!</v>
      </c>
      <c r="AX267" s="29" t="str">
        <f t="shared" si="270"/>
        <v>#DIV/0!</v>
      </c>
      <c r="AY267" s="29" t="str">
        <f t="shared" si="270"/>
        <v>#DIV/0!</v>
      </c>
      <c r="AZ267" s="29" t="str">
        <f t="shared" si="270"/>
        <v>#DIV/0!</v>
      </c>
      <c r="BA267" s="29" t="str">
        <f t="shared" si="270"/>
        <v>#DIV/0!</v>
      </c>
      <c r="BB267" s="29" t="str">
        <f t="shared" si="270"/>
        <v>#DIV/0!</v>
      </c>
      <c r="BC267" s="29" t="str">
        <f t="shared" si="270"/>
        <v>#DIV/0!</v>
      </c>
      <c r="BD267" s="29" t="str">
        <f t="shared" si="270"/>
        <v>#DIV/0!</v>
      </c>
      <c r="BE267" s="29" t="str">
        <f t="shared" si="270"/>
        <v>#DIV/0!</v>
      </c>
      <c r="BF267" s="29" t="str">
        <f t="shared" si="270"/>
        <v>#DIV/0!</v>
      </c>
      <c r="BG267" s="29" t="str">
        <f t="shared" si="270"/>
        <v>#DIV/0!</v>
      </c>
      <c r="BH267" s="29" t="str">
        <f t="shared" si="270"/>
        <v>#DIV/0!</v>
      </c>
      <c r="BI267" s="29" t="str">
        <f t="shared" si="270"/>
        <v>#DIV/0!</v>
      </c>
      <c r="BJ267" s="29" t="str">
        <f t="shared" si="270"/>
        <v>#DIV/0!</v>
      </c>
      <c r="BK267" s="29" t="str">
        <f t="shared" si="270"/>
        <v>#DIV/0!</v>
      </c>
      <c r="BL267" s="29" t="str">
        <f t="shared" si="270"/>
        <v>#DIV/0!</v>
      </c>
      <c r="BM267" s="29" t="str">
        <f t="shared" si="3"/>
        <v>#DIV/0!</v>
      </c>
    </row>
    <row r="268">
      <c r="A268" s="16" t="str">
        <f>IFERROR(__xludf.DUMMYFUNCTION("IFERROR(SPARKLINE(SORT(MAP(TRANSPOSE(AQ268:BL268), LAMBDA(val, IF(ISNUMBER(val), PERCENTRANK(AQ268:BL268, val)+0.01, 0))), SEQUENCE(COLUMNS(AQ268:BL268)), FALSE), {""charttype"",""column""; ""color"",""chartreuse""; ""ymin"", 0; ""ymax"", 1.01; ""highcolo"&amp;"r"", ""darkgreen""; ""lowcolor"", ""red""}), """")"),"")</f>
        <v/>
      </c>
      <c r="B268" s="17" t="str">
        <f t="shared" si="4"/>
        <v/>
      </c>
      <c r="C268" s="1" t="s">
        <v>1885</v>
      </c>
      <c r="D268" s="30" t="str">
        <f>IFERROR(__xludf.DUMMYFUNCTION("IFERROR(GOOGLEFINANCE(C268, ""NAME""))"),"Energizer Holdings Inc")</f>
        <v>Energizer Holdings Inc</v>
      </c>
      <c r="E268" s="30" t="s">
        <v>864</v>
      </c>
      <c r="F268" s="33" t="str">
        <f>IFERROR(__xludf.DUMMYFUNCTION("( (GOOGLEFINANCE(C268, ""price"") - Q268) / Q268 ) / (R268 / 100)"),"Loading...")</f>
        <v>Loading...</v>
      </c>
      <c r="G268" s="20" t="str">
        <f>IFERROR(__xludf.DUMMYFUNCTION("AVERAGE(ARRAYFORMULA(100 * (QUERY(GOOGLEFINANCE(C268, ""high"", TODAY()-40, TODAY()), ""SELECT Col2 WHERE Col2 IS NOT NULL ORDER BY Col1 DESC LIMIT 20"", 0) / QUERY(GOOGLEFINANCE(C268, ""low"", TODAY()-40, TODAY()), ""SELECT Col2 WHERE Col2 IS NOT NULL OR"&amp;"DER BY Col1 DESC LIMIT 20"", 0) - 1)))"),"#N/A")</f>
        <v>#N/A</v>
      </c>
      <c r="H268" s="35" t="str">
        <f t="shared" si="6"/>
        <v/>
      </c>
      <c r="I268" s="35" t="str">
        <f t="shared" si="7"/>
        <v/>
      </c>
      <c r="J268" s="37" t="str">
        <f>IFERROR(__xludf.DUMMYFUNCTION("IFERROR(
  IF(C268="""",, 
    IFERROR(
      GOOGLEFINANCE(C268, ""price"") * GOOGLEFINANCE(C268, ""volumeavg""), 
      GOOGLEFINANCE(C268, ""price"") * AVERAGE(QUERY(GOOGLEFINANCE(C268, ""volume"", TODAY()-40, TODAY()), ""SELECT Col2 WHERE Col2 IS NOT "&amp;"NULL ORDER BY Col1 DESC LIMIT 20"", 0))
    )
  ), 
"""")"),"")</f>
        <v/>
      </c>
      <c r="K268" s="21" t="str">
        <f>IFERROR(__xludf.DUMMYFUNCTION("IFERROR(GOOGLEFINANCE(C268, ""changepct"") / 100, """")"),"")</f>
        <v/>
      </c>
      <c r="L268" s="21" t="str">
        <f>IFERROR(__xludf.DUMMYFUNCTION("IFERROR((GOOGLEFINANCE(C268, ""price"") / INDEX(GOOGLEFINANCE(C268, ""price"", TODAY()-7, TODAY()), 2, 2)) - 1, """")"),"")</f>
        <v/>
      </c>
      <c r="M268" s="21" t="str">
        <f>IFERROR(__xludf.DUMMYFUNCTION("IFERROR((GOOGLEFINANCE(C268, ""price"") / INDEX(GOOGLEFINANCE(C268, ""price"", EDATE(TODAY(), -1), TODAY()), 2, 2)) - 1, """")"),"")</f>
        <v/>
      </c>
      <c r="N268" s="21" t="str">
        <f>IFERROR(__xludf.DUMMYFUNCTION("IFERROR((GOOGLEFINANCE(C268, ""price"") / INDEX(GOOGLEFINANCE(C268, ""price"", EDATE(TODAY(), -3), TODAY()), 2, 2)) - 1, """")"),"")</f>
        <v/>
      </c>
      <c r="O268" s="21" t="str">
        <f>IFERROR(__xludf.DUMMYFUNCTION("IFERROR((GOOGLEFINANCE(C268, ""price"") / INDEX(GOOGLEFINANCE(C268, ""price"", EDATE(TODAY(), -6), TODAY()), 2, 2)) - 1, """")"),"")</f>
        <v/>
      </c>
      <c r="P268" s="21" t="str">
        <f>IFERROR(__xludf.DUMMYFUNCTION("IFERROR((GOOGLEFINANCE(C268, ""price"") / INDEX(GOOGLEFINANCE(C268, ""price"", EDATE(TODAY(), -12), TODAY()), 2, 2)) - 1, """")"),"")</f>
        <v/>
      </c>
      <c r="Q268" s="6" t="str">
        <f>IFERROR(__xludf.DUMMYFUNCTION("AVERAGE(QUERY(GOOGLEFINANCE(C268, ""price"", TODAY()-80, TODAY()), ""SELECT Col2 WHERE Col2 IS NOT NULL ORDER BY Col1 DESC LIMIT 50"", 0))"),"#N/A")</f>
        <v>#N/A</v>
      </c>
      <c r="R268" s="24" t="str">
        <f>IFERROR(__xludf.DUMMYFUNCTION("IFERROR(
  LET(
    data, QUERY(GOOGLEFINANCE(C268,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GOOGLEFINANCE(C268, ""price"")) * 100,
    IF(calc=0, G268, calc)
  ), 
G268)"),"#N/A")</f>
        <v>#N/A</v>
      </c>
      <c r="S268" s="8" t="s">
        <v>15</v>
      </c>
      <c r="T268" s="26" t="str">
        <f>IFERROR(__xludf.DUMMYFUNCTION("IFERROR(TRANSPOSE(QUERY(IFERROR(SORT(GOOGLEFINANCE(C268, ""price"", WORKDAY(TODAY(), -40), TODAY()), 1, FALSE)), ""select Col2 where Col2 is not null limit 22 label Col2 ''"", 0)), """")"),"")</f>
        <v/>
      </c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8"/>
      <c r="AO268" s="28"/>
      <c r="AP268" s="29"/>
      <c r="AQ268" s="29" t="str">
        <f t="shared" ref="AQ268:BL268" si="271">T268/T$2</f>
        <v>#N/A</v>
      </c>
      <c r="AR268" s="29" t="str">
        <f t="shared" si="271"/>
        <v>#DIV/0!</v>
      </c>
      <c r="AS268" s="29" t="str">
        <f t="shared" si="271"/>
        <v>#DIV/0!</v>
      </c>
      <c r="AT268" s="29" t="str">
        <f t="shared" si="271"/>
        <v>#DIV/0!</v>
      </c>
      <c r="AU268" s="29" t="str">
        <f t="shared" si="271"/>
        <v>#DIV/0!</v>
      </c>
      <c r="AV268" s="29" t="str">
        <f t="shared" si="271"/>
        <v>#DIV/0!</v>
      </c>
      <c r="AW268" s="29" t="str">
        <f t="shared" si="271"/>
        <v>#DIV/0!</v>
      </c>
      <c r="AX268" s="29" t="str">
        <f t="shared" si="271"/>
        <v>#DIV/0!</v>
      </c>
      <c r="AY268" s="29" t="str">
        <f t="shared" si="271"/>
        <v>#DIV/0!</v>
      </c>
      <c r="AZ268" s="29" t="str">
        <f t="shared" si="271"/>
        <v>#DIV/0!</v>
      </c>
      <c r="BA268" s="29" t="str">
        <f t="shared" si="271"/>
        <v>#DIV/0!</v>
      </c>
      <c r="BB268" s="29" t="str">
        <f t="shared" si="271"/>
        <v>#DIV/0!</v>
      </c>
      <c r="BC268" s="29" t="str">
        <f t="shared" si="271"/>
        <v>#DIV/0!</v>
      </c>
      <c r="BD268" s="29" t="str">
        <f t="shared" si="271"/>
        <v>#DIV/0!</v>
      </c>
      <c r="BE268" s="29" t="str">
        <f t="shared" si="271"/>
        <v>#DIV/0!</v>
      </c>
      <c r="BF268" s="29" t="str">
        <f t="shared" si="271"/>
        <v>#DIV/0!</v>
      </c>
      <c r="BG268" s="29" t="str">
        <f t="shared" si="271"/>
        <v>#DIV/0!</v>
      </c>
      <c r="BH268" s="29" t="str">
        <f t="shared" si="271"/>
        <v>#DIV/0!</v>
      </c>
      <c r="BI268" s="29" t="str">
        <f t="shared" si="271"/>
        <v>#DIV/0!</v>
      </c>
      <c r="BJ268" s="29" t="str">
        <f t="shared" si="271"/>
        <v>#DIV/0!</v>
      </c>
      <c r="BK268" s="29" t="str">
        <f t="shared" si="271"/>
        <v>#DIV/0!</v>
      </c>
      <c r="BL268" s="29" t="str">
        <f t="shared" si="271"/>
        <v>#DIV/0!</v>
      </c>
      <c r="BM268" s="29" t="str">
        <f t="shared" si="3"/>
        <v>#DIV/0!</v>
      </c>
    </row>
    <row r="269">
      <c r="A269" s="16" t="str">
        <f>IFERROR(__xludf.DUMMYFUNCTION("IFERROR(SPARKLINE(SORT(MAP(TRANSPOSE(AQ269:BL269), LAMBDA(val, IF(ISNUMBER(val), PERCENTRANK(AQ269:BL269, val)+0.01, 0))), SEQUENCE(COLUMNS(AQ269:BL269)), FALSE), {""charttype"",""column""; ""color"",""chartreuse""; ""ymin"", 0; ""ymax"", 1.01; ""highcolo"&amp;"r"", ""darkgreen""; ""lowcolor"", ""red""}), """")"),"")</f>
        <v/>
      </c>
      <c r="B269" s="17" t="str">
        <f t="shared" si="4"/>
        <v/>
      </c>
      <c r="C269" s="1" t="s">
        <v>1889</v>
      </c>
      <c r="D269" s="30" t="str">
        <f>IFERROR(__xludf.DUMMYFUNCTION("IFERROR(GOOGLEFINANCE(C269, ""NAME""))"),"Brinks Co")</f>
        <v>Brinks Co</v>
      </c>
      <c r="E269" s="30" t="s">
        <v>1020</v>
      </c>
      <c r="F269" s="33" t="str">
        <f>IFERROR(__xludf.DUMMYFUNCTION("( (GOOGLEFINANCE(C269, ""price"") - Q269) / Q269 ) / (R269 / 100)"),"Loading...")</f>
        <v>Loading...</v>
      </c>
      <c r="G269" s="20" t="str">
        <f>IFERROR(__xludf.DUMMYFUNCTION("AVERAGE(ARRAYFORMULA(100 * (QUERY(GOOGLEFINANCE(C269, ""high"", TODAY()-40, TODAY()), ""SELECT Col2 WHERE Col2 IS NOT NULL ORDER BY Col1 DESC LIMIT 20"", 0) / QUERY(GOOGLEFINANCE(C269, ""low"", TODAY()-40, TODAY()), ""SELECT Col2 WHERE Col2 IS NOT NULL OR"&amp;"DER BY Col1 DESC LIMIT 20"", 0) - 1)))"),"#N/A")</f>
        <v>#N/A</v>
      </c>
      <c r="H269" s="35" t="str">
        <f t="shared" si="6"/>
        <v/>
      </c>
      <c r="I269" s="35" t="str">
        <f t="shared" si="7"/>
        <v/>
      </c>
      <c r="J269" s="37" t="str">
        <f>IFERROR(__xludf.DUMMYFUNCTION("IFERROR(
  IF(C269="""",, 
    IFERROR(
      GOOGLEFINANCE(C269, ""price"") * GOOGLEFINANCE(C269, ""volumeavg""), 
      GOOGLEFINANCE(C269, ""price"") * AVERAGE(QUERY(GOOGLEFINANCE(C269, ""volume"", TODAY()-40, TODAY()), ""SELECT Col2 WHERE Col2 IS NOT "&amp;"NULL ORDER BY Col1 DESC LIMIT 20"", 0))
    )
  ), 
"""")"),"")</f>
        <v/>
      </c>
      <c r="K269" s="21" t="str">
        <f>IFERROR(__xludf.DUMMYFUNCTION("IFERROR(GOOGLEFINANCE(C269, ""changepct"") / 100, """")"),"")</f>
        <v/>
      </c>
      <c r="L269" s="21" t="str">
        <f>IFERROR(__xludf.DUMMYFUNCTION("IFERROR((GOOGLEFINANCE(C269, ""price"") / INDEX(GOOGLEFINANCE(C269, ""price"", TODAY()-7, TODAY()), 2, 2)) - 1, """")"),"")</f>
        <v/>
      </c>
      <c r="M269" s="21" t="str">
        <f>IFERROR(__xludf.DUMMYFUNCTION("IFERROR((GOOGLEFINANCE(C269, ""price"") / INDEX(GOOGLEFINANCE(C269, ""price"", EDATE(TODAY(), -1), TODAY()), 2, 2)) - 1, """")"),"")</f>
        <v/>
      </c>
      <c r="N269" s="21" t="str">
        <f>IFERROR(__xludf.DUMMYFUNCTION("IFERROR((GOOGLEFINANCE(C269, ""price"") / INDEX(GOOGLEFINANCE(C269, ""price"", EDATE(TODAY(), -3), TODAY()), 2, 2)) - 1, """")"),"")</f>
        <v/>
      </c>
      <c r="O269" s="21" t="str">
        <f>IFERROR(__xludf.DUMMYFUNCTION("IFERROR((GOOGLEFINANCE(C269, ""price"") / INDEX(GOOGLEFINANCE(C269, ""price"", EDATE(TODAY(), -6), TODAY()), 2, 2)) - 1, """")"),"")</f>
        <v/>
      </c>
      <c r="P269" s="21" t="str">
        <f>IFERROR(__xludf.DUMMYFUNCTION("IFERROR((GOOGLEFINANCE(C269, ""price"") / INDEX(GOOGLEFINANCE(C269, ""price"", EDATE(TODAY(), -12), TODAY()), 2, 2)) - 1, """")"),"")</f>
        <v/>
      </c>
      <c r="Q269" s="6" t="str">
        <f>IFERROR(__xludf.DUMMYFUNCTION("AVERAGE(QUERY(GOOGLEFINANCE(C269, ""price"", TODAY()-80, TODAY()), ""SELECT Col2 WHERE Col2 IS NOT NULL ORDER BY Col1 DESC LIMIT 50"", 0))"),"#N/A")</f>
        <v>#N/A</v>
      </c>
      <c r="R269" s="24" t="str">
        <f>IFERROR(__xludf.DUMMYFUNCTION("IFERROR(
  LET(
    data, QUERY(GOOGLEFINANCE(C269,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GOOGLEFINANCE(C269, ""price"")) * 100,
    IF(calc=0, G269, calc)
  ), 
G269)"),"#N/A")</f>
        <v>#N/A</v>
      </c>
      <c r="S269" s="8" t="s">
        <v>15</v>
      </c>
      <c r="T269" s="26" t="str">
        <f>IFERROR(__xludf.DUMMYFUNCTION("IFERROR(TRANSPOSE(QUERY(IFERROR(SORT(GOOGLEFINANCE(C269, ""price"", WORKDAY(TODAY(), -40), TODAY()), 1, FALSE)), ""select Col2 where Col2 is not null limit 22 label Col2 ''"", 0)), """")"),"")</f>
        <v/>
      </c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8"/>
      <c r="AO269" s="28"/>
      <c r="AP269" s="29"/>
      <c r="AQ269" s="29" t="str">
        <f t="shared" ref="AQ269:BL269" si="272">T269/T$2</f>
        <v>#N/A</v>
      </c>
      <c r="AR269" s="29" t="str">
        <f t="shared" si="272"/>
        <v>#DIV/0!</v>
      </c>
      <c r="AS269" s="29" t="str">
        <f t="shared" si="272"/>
        <v>#DIV/0!</v>
      </c>
      <c r="AT269" s="29" t="str">
        <f t="shared" si="272"/>
        <v>#DIV/0!</v>
      </c>
      <c r="AU269" s="29" t="str">
        <f t="shared" si="272"/>
        <v>#DIV/0!</v>
      </c>
      <c r="AV269" s="29" t="str">
        <f t="shared" si="272"/>
        <v>#DIV/0!</v>
      </c>
      <c r="AW269" s="29" t="str">
        <f t="shared" si="272"/>
        <v>#DIV/0!</v>
      </c>
      <c r="AX269" s="29" t="str">
        <f t="shared" si="272"/>
        <v>#DIV/0!</v>
      </c>
      <c r="AY269" s="29" t="str">
        <f t="shared" si="272"/>
        <v>#DIV/0!</v>
      </c>
      <c r="AZ269" s="29" t="str">
        <f t="shared" si="272"/>
        <v>#DIV/0!</v>
      </c>
      <c r="BA269" s="29" t="str">
        <f t="shared" si="272"/>
        <v>#DIV/0!</v>
      </c>
      <c r="BB269" s="29" t="str">
        <f t="shared" si="272"/>
        <v>#DIV/0!</v>
      </c>
      <c r="BC269" s="29" t="str">
        <f t="shared" si="272"/>
        <v>#DIV/0!</v>
      </c>
      <c r="BD269" s="29" t="str">
        <f t="shared" si="272"/>
        <v>#DIV/0!</v>
      </c>
      <c r="BE269" s="29" t="str">
        <f t="shared" si="272"/>
        <v>#DIV/0!</v>
      </c>
      <c r="BF269" s="29" t="str">
        <f t="shared" si="272"/>
        <v>#DIV/0!</v>
      </c>
      <c r="BG269" s="29" t="str">
        <f t="shared" si="272"/>
        <v>#DIV/0!</v>
      </c>
      <c r="BH269" s="29" t="str">
        <f t="shared" si="272"/>
        <v>#DIV/0!</v>
      </c>
      <c r="BI269" s="29" t="str">
        <f t="shared" si="272"/>
        <v>#DIV/0!</v>
      </c>
      <c r="BJ269" s="29" t="str">
        <f t="shared" si="272"/>
        <v>#DIV/0!</v>
      </c>
      <c r="BK269" s="29" t="str">
        <f t="shared" si="272"/>
        <v>#DIV/0!</v>
      </c>
      <c r="BL269" s="29" t="str">
        <f t="shared" si="272"/>
        <v>#DIV/0!</v>
      </c>
      <c r="BM269" s="29" t="str">
        <f t="shared" si="3"/>
        <v>#DIV/0!</v>
      </c>
    </row>
    <row r="270">
      <c r="A270" s="16" t="str">
        <f>IFERROR(__xludf.DUMMYFUNCTION("IFERROR(SPARKLINE(SORT(MAP(TRANSPOSE(AQ270:BL270), LAMBDA(val, IF(ISNUMBER(val), PERCENTRANK(AQ270:BL270, val)+0.01, 0))), SEQUENCE(COLUMNS(AQ270:BL270)), FALSE), {""charttype"",""column""; ""color"",""chartreuse""; ""ymin"", 0; ""ymax"", 1.01; ""highcolo"&amp;"r"", ""darkgreen""; ""lowcolor"", ""red""}), """")"),"")</f>
        <v/>
      </c>
      <c r="B270" s="17" t="str">
        <f t="shared" si="4"/>
        <v/>
      </c>
      <c r="C270" s="1" t="s">
        <v>1893</v>
      </c>
      <c r="D270" s="30" t="str">
        <f>IFERROR(__xludf.DUMMYFUNCTION("IFERROR(GOOGLEFINANCE(C270, ""NAME""))"),"Booz Allen Hamilton Holding Corporation")</f>
        <v>Booz Allen Hamilton Holding Corporation</v>
      </c>
      <c r="E270" s="30" t="s">
        <v>1591</v>
      </c>
      <c r="F270" s="33" t="str">
        <f>IFERROR(__xludf.DUMMYFUNCTION("( (GOOGLEFINANCE(C270, ""price"") - Q270) / Q270 ) / (R270 / 100)"),"Loading...")</f>
        <v>Loading...</v>
      </c>
      <c r="G270" s="20" t="str">
        <f>IFERROR(__xludf.DUMMYFUNCTION("AVERAGE(ARRAYFORMULA(100 * (QUERY(GOOGLEFINANCE(C270, ""high"", TODAY()-40, TODAY()), ""SELECT Col2 WHERE Col2 IS NOT NULL ORDER BY Col1 DESC LIMIT 20"", 0) / QUERY(GOOGLEFINANCE(C270, ""low"", TODAY()-40, TODAY()), ""SELECT Col2 WHERE Col2 IS NOT NULL OR"&amp;"DER BY Col1 DESC LIMIT 20"", 0) - 1)))"),"#N/A")</f>
        <v>#N/A</v>
      </c>
      <c r="H270" s="35" t="str">
        <f t="shared" si="6"/>
        <v/>
      </c>
      <c r="I270" s="35" t="str">
        <f t="shared" si="7"/>
        <v/>
      </c>
      <c r="J270" s="37" t="str">
        <f>IFERROR(__xludf.DUMMYFUNCTION("IFERROR(
  IF(C270="""",, 
    IFERROR(
      GOOGLEFINANCE(C270, ""price"") * GOOGLEFINANCE(C270, ""volumeavg""), 
      GOOGLEFINANCE(C270, ""price"") * AVERAGE(QUERY(GOOGLEFINANCE(C270, ""volume"", TODAY()-40, TODAY()), ""SELECT Col2 WHERE Col2 IS NOT "&amp;"NULL ORDER BY Col1 DESC LIMIT 20"", 0))
    )
  ), 
"""")"),"")</f>
        <v/>
      </c>
      <c r="K270" s="21" t="str">
        <f>IFERROR(__xludf.DUMMYFUNCTION("IFERROR(GOOGLEFINANCE(C270, ""changepct"") / 100, """")"),"")</f>
        <v/>
      </c>
      <c r="L270" s="21" t="str">
        <f>IFERROR(__xludf.DUMMYFUNCTION("IFERROR((GOOGLEFINANCE(C270, ""price"") / INDEX(GOOGLEFINANCE(C270, ""price"", TODAY()-7, TODAY()), 2, 2)) - 1, """")"),"")</f>
        <v/>
      </c>
      <c r="M270" s="21" t="str">
        <f>IFERROR(__xludf.DUMMYFUNCTION("IFERROR((GOOGLEFINANCE(C270, ""price"") / INDEX(GOOGLEFINANCE(C270, ""price"", EDATE(TODAY(), -1), TODAY()), 2, 2)) - 1, """")"),"")</f>
        <v/>
      </c>
      <c r="N270" s="21" t="str">
        <f>IFERROR(__xludf.DUMMYFUNCTION("IFERROR((GOOGLEFINANCE(C270, ""price"") / INDEX(GOOGLEFINANCE(C270, ""price"", EDATE(TODAY(), -3), TODAY()), 2, 2)) - 1, """")"),"")</f>
        <v/>
      </c>
      <c r="O270" s="21" t="str">
        <f>IFERROR(__xludf.DUMMYFUNCTION("IFERROR((GOOGLEFINANCE(C270, ""price"") / INDEX(GOOGLEFINANCE(C270, ""price"", EDATE(TODAY(), -6), TODAY()), 2, 2)) - 1, """")"),"")</f>
        <v/>
      </c>
      <c r="P270" s="21" t="str">
        <f>IFERROR(__xludf.DUMMYFUNCTION("IFERROR((GOOGLEFINANCE(C270, ""price"") / INDEX(GOOGLEFINANCE(C270, ""price"", EDATE(TODAY(), -12), TODAY()), 2, 2)) - 1, """")"),"")</f>
        <v/>
      </c>
      <c r="Q270" s="6" t="str">
        <f>IFERROR(__xludf.DUMMYFUNCTION("AVERAGE(QUERY(GOOGLEFINANCE(C270, ""price"", TODAY()-80, TODAY()), ""SELECT Col2 WHERE Col2 IS NOT NULL ORDER BY Col1 DESC LIMIT 50"", 0))"),"#N/A")</f>
        <v>#N/A</v>
      </c>
      <c r="R270" s="24" t="str">
        <f>IFERROR(__xludf.DUMMYFUNCTION("IFERROR(
  LET(
    data, QUERY(GOOGLEFINANCE(C270,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GOOGLEFINANCE(C270, ""price"")) * 100,
    IF(calc=0, G270, calc)
  ), 
G270)"),"#N/A")</f>
        <v>#N/A</v>
      </c>
      <c r="S270" s="8" t="s">
        <v>15</v>
      </c>
      <c r="T270" s="26" t="str">
        <f>IFERROR(__xludf.DUMMYFUNCTION("IFERROR(TRANSPOSE(QUERY(IFERROR(SORT(GOOGLEFINANCE(C270, ""price"", WORKDAY(TODAY(), -40), TODAY()), 1, FALSE)), ""select Col2 where Col2 is not null limit 22 label Col2 ''"", 0)), """")"),"")</f>
        <v/>
      </c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8"/>
      <c r="AO270" s="28"/>
      <c r="AP270" s="29"/>
      <c r="AQ270" s="29" t="str">
        <f t="shared" ref="AQ270:BL270" si="273">T270/T$2</f>
        <v>#N/A</v>
      </c>
      <c r="AR270" s="29" t="str">
        <f t="shared" si="273"/>
        <v>#DIV/0!</v>
      </c>
      <c r="AS270" s="29" t="str">
        <f t="shared" si="273"/>
        <v>#DIV/0!</v>
      </c>
      <c r="AT270" s="29" t="str">
        <f t="shared" si="273"/>
        <v>#DIV/0!</v>
      </c>
      <c r="AU270" s="29" t="str">
        <f t="shared" si="273"/>
        <v>#DIV/0!</v>
      </c>
      <c r="AV270" s="29" t="str">
        <f t="shared" si="273"/>
        <v>#DIV/0!</v>
      </c>
      <c r="AW270" s="29" t="str">
        <f t="shared" si="273"/>
        <v>#DIV/0!</v>
      </c>
      <c r="AX270" s="29" t="str">
        <f t="shared" si="273"/>
        <v>#DIV/0!</v>
      </c>
      <c r="AY270" s="29" t="str">
        <f t="shared" si="273"/>
        <v>#DIV/0!</v>
      </c>
      <c r="AZ270" s="29" t="str">
        <f t="shared" si="273"/>
        <v>#DIV/0!</v>
      </c>
      <c r="BA270" s="29" t="str">
        <f t="shared" si="273"/>
        <v>#DIV/0!</v>
      </c>
      <c r="BB270" s="29" t="str">
        <f t="shared" si="273"/>
        <v>#DIV/0!</v>
      </c>
      <c r="BC270" s="29" t="str">
        <f t="shared" si="273"/>
        <v>#DIV/0!</v>
      </c>
      <c r="BD270" s="29" t="str">
        <f t="shared" si="273"/>
        <v>#DIV/0!</v>
      </c>
      <c r="BE270" s="29" t="str">
        <f t="shared" si="273"/>
        <v>#DIV/0!</v>
      </c>
      <c r="BF270" s="29" t="str">
        <f t="shared" si="273"/>
        <v>#DIV/0!</v>
      </c>
      <c r="BG270" s="29" t="str">
        <f t="shared" si="273"/>
        <v>#DIV/0!</v>
      </c>
      <c r="BH270" s="29" t="str">
        <f t="shared" si="273"/>
        <v>#DIV/0!</v>
      </c>
      <c r="BI270" s="29" t="str">
        <f t="shared" si="273"/>
        <v>#DIV/0!</v>
      </c>
      <c r="BJ270" s="29" t="str">
        <f t="shared" si="273"/>
        <v>#DIV/0!</v>
      </c>
      <c r="BK270" s="29" t="str">
        <f t="shared" si="273"/>
        <v>#DIV/0!</v>
      </c>
      <c r="BL270" s="29" t="str">
        <f t="shared" si="273"/>
        <v>#DIV/0!</v>
      </c>
      <c r="BM270" s="29" t="str">
        <f t="shared" si="3"/>
        <v>#DIV/0!</v>
      </c>
    </row>
    <row r="271">
      <c r="A271" s="16" t="str">
        <f>IFERROR(__xludf.DUMMYFUNCTION("IFERROR(SPARKLINE(SORT(MAP(TRANSPOSE(AQ271:BL271), LAMBDA(val, IF(ISNUMBER(val), PERCENTRANK(AQ271:BL271, val)+0.01, 0))), SEQUENCE(COLUMNS(AQ271:BL271)), FALSE), {""charttype"",""column""; ""color"",""chartreuse""; ""ymin"", 0; ""ymax"", 1.01; ""highcolo"&amp;"r"", ""darkgreen""; ""lowcolor"", ""red""}), """")"),"")</f>
        <v/>
      </c>
      <c r="B271" s="17" t="str">
        <f t="shared" si="4"/>
        <v/>
      </c>
      <c r="C271" s="1" t="s">
        <v>1896</v>
      </c>
      <c r="D271" s="30" t="str">
        <f>IFERROR(__xludf.DUMMYFUNCTION("IFERROR(GOOGLEFINANCE(C271, ""NAME""))"),"Schneider National Inc")</f>
        <v>Schneider National Inc</v>
      </c>
      <c r="E271" s="30" t="s">
        <v>1317</v>
      </c>
      <c r="F271" s="33" t="str">
        <f>IFERROR(__xludf.DUMMYFUNCTION("( (GOOGLEFINANCE(C271, ""price"") - Q271) / Q271 ) / (R271 / 100)"),"Loading...")</f>
        <v>Loading...</v>
      </c>
      <c r="G271" s="20" t="str">
        <f>IFERROR(__xludf.DUMMYFUNCTION("AVERAGE(ARRAYFORMULA(100 * (QUERY(GOOGLEFINANCE(C271, ""high"", TODAY()-40, TODAY()), ""SELECT Col2 WHERE Col2 IS NOT NULL ORDER BY Col1 DESC LIMIT 20"", 0) / QUERY(GOOGLEFINANCE(C271, ""low"", TODAY()-40, TODAY()), ""SELECT Col2 WHERE Col2 IS NOT NULL OR"&amp;"DER BY Col1 DESC LIMIT 20"", 0) - 1)))"),"#N/A")</f>
        <v>#N/A</v>
      </c>
      <c r="H271" s="35" t="str">
        <f t="shared" si="6"/>
        <v/>
      </c>
      <c r="I271" s="35" t="str">
        <f t="shared" si="7"/>
        <v/>
      </c>
      <c r="J271" s="37" t="str">
        <f>IFERROR(__xludf.DUMMYFUNCTION("IFERROR(
  IF(C271="""",, 
    IFERROR(
      GOOGLEFINANCE(C271, ""price"") * GOOGLEFINANCE(C271, ""volumeavg""), 
      GOOGLEFINANCE(C271, ""price"") * AVERAGE(QUERY(GOOGLEFINANCE(C271, ""volume"", TODAY()-40, TODAY()), ""SELECT Col2 WHERE Col2 IS NOT "&amp;"NULL ORDER BY Col1 DESC LIMIT 20"", 0))
    )
  ), 
"""")"),"")</f>
        <v/>
      </c>
      <c r="K271" s="21" t="str">
        <f>IFERROR(__xludf.DUMMYFUNCTION("IFERROR(GOOGLEFINANCE(C271, ""changepct"") / 100, """")"),"")</f>
        <v/>
      </c>
      <c r="L271" s="21" t="str">
        <f>IFERROR(__xludf.DUMMYFUNCTION("IFERROR((GOOGLEFINANCE(C271, ""price"") / INDEX(GOOGLEFINANCE(C271, ""price"", TODAY()-7, TODAY()), 2, 2)) - 1, """")"),"")</f>
        <v/>
      </c>
      <c r="M271" s="21" t="str">
        <f>IFERROR(__xludf.DUMMYFUNCTION("IFERROR((GOOGLEFINANCE(C271, ""price"") / INDEX(GOOGLEFINANCE(C271, ""price"", EDATE(TODAY(), -1), TODAY()), 2, 2)) - 1, """")"),"")</f>
        <v/>
      </c>
      <c r="N271" s="21" t="str">
        <f>IFERROR(__xludf.DUMMYFUNCTION("IFERROR((GOOGLEFINANCE(C271, ""price"") / INDEX(GOOGLEFINANCE(C271, ""price"", EDATE(TODAY(), -3), TODAY()), 2, 2)) - 1, """")"),"")</f>
        <v/>
      </c>
      <c r="O271" s="21" t="str">
        <f>IFERROR(__xludf.DUMMYFUNCTION("IFERROR((GOOGLEFINANCE(C271, ""price"") / INDEX(GOOGLEFINANCE(C271, ""price"", EDATE(TODAY(), -6), TODAY()), 2, 2)) - 1, """")"),"")</f>
        <v/>
      </c>
      <c r="P271" s="21" t="str">
        <f>IFERROR(__xludf.DUMMYFUNCTION("IFERROR((GOOGLEFINANCE(C271, ""price"") / INDEX(GOOGLEFINANCE(C271, ""price"", EDATE(TODAY(), -12), TODAY()), 2, 2)) - 1, """")"),"")</f>
        <v/>
      </c>
      <c r="Q271" s="6" t="str">
        <f>IFERROR(__xludf.DUMMYFUNCTION("AVERAGE(QUERY(GOOGLEFINANCE(C271, ""price"", TODAY()-80, TODAY()), ""SELECT Col2 WHERE Col2 IS NOT NULL ORDER BY Col1 DESC LIMIT 50"", 0))"),"#N/A")</f>
        <v>#N/A</v>
      </c>
      <c r="R271" s="24" t="str">
        <f>IFERROR(__xludf.DUMMYFUNCTION("IFERROR(
  LET(
    data, QUERY(GOOGLEFINANCE(C271,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GOOGLEFINANCE(C271, ""price"")) * 100,
    IF(calc=0, G271, calc)
  ), 
G271)"),"#N/A")</f>
        <v>#N/A</v>
      </c>
      <c r="S271" s="8" t="s">
        <v>15</v>
      </c>
      <c r="T271" s="26" t="str">
        <f>IFERROR(__xludf.DUMMYFUNCTION("IFERROR(TRANSPOSE(QUERY(IFERROR(SORT(GOOGLEFINANCE(C271, ""price"", WORKDAY(TODAY(), -40), TODAY()), 1, FALSE)), ""select Col2 where Col2 is not null limit 22 label Col2 ''"", 0)), """")"),"")</f>
        <v/>
      </c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8"/>
      <c r="AO271" s="28"/>
      <c r="AP271" s="29"/>
      <c r="AQ271" s="29" t="str">
        <f t="shared" ref="AQ271:BL271" si="274">T271/T$2</f>
        <v>#N/A</v>
      </c>
      <c r="AR271" s="29" t="str">
        <f t="shared" si="274"/>
        <v>#DIV/0!</v>
      </c>
      <c r="AS271" s="29" t="str">
        <f t="shared" si="274"/>
        <v>#DIV/0!</v>
      </c>
      <c r="AT271" s="29" t="str">
        <f t="shared" si="274"/>
        <v>#DIV/0!</v>
      </c>
      <c r="AU271" s="29" t="str">
        <f t="shared" si="274"/>
        <v>#DIV/0!</v>
      </c>
      <c r="AV271" s="29" t="str">
        <f t="shared" si="274"/>
        <v>#DIV/0!</v>
      </c>
      <c r="AW271" s="29" t="str">
        <f t="shared" si="274"/>
        <v>#DIV/0!</v>
      </c>
      <c r="AX271" s="29" t="str">
        <f t="shared" si="274"/>
        <v>#DIV/0!</v>
      </c>
      <c r="AY271" s="29" t="str">
        <f t="shared" si="274"/>
        <v>#DIV/0!</v>
      </c>
      <c r="AZ271" s="29" t="str">
        <f t="shared" si="274"/>
        <v>#DIV/0!</v>
      </c>
      <c r="BA271" s="29" t="str">
        <f t="shared" si="274"/>
        <v>#DIV/0!</v>
      </c>
      <c r="BB271" s="29" t="str">
        <f t="shared" si="274"/>
        <v>#DIV/0!</v>
      </c>
      <c r="BC271" s="29" t="str">
        <f t="shared" si="274"/>
        <v>#DIV/0!</v>
      </c>
      <c r="BD271" s="29" t="str">
        <f t="shared" si="274"/>
        <v>#DIV/0!</v>
      </c>
      <c r="BE271" s="29" t="str">
        <f t="shared" si="274"/>
        <v>#DIV/0!</v>
      </c>
      <c r="BF271" s="29" t="str">
        <f t="shared" si="274"/>
        <v>#DIV/0!</v>
      </c>
      <c r="BG271" s="29" t="str">
        <f t="shared" si="274"/>
        <v>#DIV/0!</v>
      </c>
      <c r="BH271" s="29" t="str">
        <f t="shared" si="274"/>
        <v>#DIV/0!</v>
      </c>
      <c r="BI271" s="29" t="str">
        <f t="shared" si="274"/>
        <v>#DIV/0!</v>
      </c>
      <c r="BJ271" s="29" t="str">
        <f t="shared" si="274"/>
        <v>#DIV/0!</v>
      </c>
      <c r="BK271" s="29" t="str">
        <f t="shared" si="274"/>
        <v>#DIV/0!</v>
      </c>
      <c r="BL271" s="29" t="str">
        <f t="shared" si="274"/>
        <v>#DIV/0!</v>
      </c>
      <c r="BM271" s="29" t="str">
        <f t="shared" si="3"/>
        <v>#DIV/0!</v>
      </c>
    </row>
    <row r="272">
      <c r="A272" s="16" t="str">
        <f>IFERROR(__xludf.DUMMYFUNCTION("IFERROR(SPARKLINE(SORT(MAP(TRANSPOSE(AQ272:BL272), LAMBDA(val, IF(ISNUMBER(val), PERCENTRANK(AQ272:BL272, val)+0.01, 0))), SEQUENCE(COLUMNS(AQ272:BL272)), FALSE), {""charttype"",""column""; ""color"",""chartreuse""; ""ymin"", 0; ""ymax"", 1.01; ""highcolo"&amp;"r"", ""darkgreen""; ""lowcolor"", ""red""}), """")"),"")</f>
        <v/>
      </c>
      <c r="B272" s="17" t="str">
        <f t="shared" si="4"/>
        <v/>
      </c>
      <c r="C272" s="1" t="s">
        <v>1900</v>
      </c>
      <c r="D272" s="30" t="str">
        <f>IFERROR(__xludf.DUMMYFUNCTION("IFERROR(GOOGLEFINANCE(C272, ""NAME""))"),"Landstar System Inc")</f>
        <v>Landstar System Inc</v>
      </c>
      <c r="E272" s="30" t="s">
        <v>955</v>
      </c>
      <c r="F272" s="33" t="str">
        <f>IFERROR(__xludf.DUMMYFUNCTION("( (GOOGLEFINANCE(C272, ""price"") - Q272) / Q272 ) / (R272 / 100)"),"Loading...")</f>
        <v>Loading...</v>
      </c>
      <c r="G272" s="20" t="str">
        <f>IFERROR(__xludf.DUMMYFUNCTION("AVERAGE(ARRAYFORMULA(100 * (QUERY(GOOGLEFINANCE(C272, ""high"", TODAY()-40, TODAY()), ""SELECT Col2 WHERE Col2 IS NOT NULL ORDER BY Col1 DESC LIMIT 20"", 0) / QUERY(GOOGLEFINANCE(C272, ""low"", TODAY()-40, TODAY()), ""SELECT Col2 WHERE Col2 IS NOT NULL OR"&amp;"DER BY Col1 DESC LIMIT 20"", 0) - 1)))"),"#N/A")</f>
        <v>#N/A</v>
      </c>
      <c r="H272" s="35" t="str">
        <f t="shared" si="6"/>
        <v/>
      </c>
      <c r="I272" s="35" t="str">
        <f t="shared" si="7"/>
        <v/>
      </c>
      <c r="J272" s="37" t="str">
        <f>IFERROR(__xludf.DUMMYFUNCTION("IFERROR(
  IF(C272="""",, 
    IFERROR(
      GOOGLEFINANCE(C272, ""price"") * GOOGLEFINANCE(C272, ""volumeavg""), 
      GOOGLEFINANCE(C272, ""price"") * AVERAGE(QUERY(GOOGLEFINANCE(C272, ""volume"", TODAY()-40, TODAY()), ""SELECT Col2 WHERE Col2 IS NOT "&amp;"NULL ORDER BY Col1 DESC LIMIT 20"", 0))
    )
  ), 
"""")"),"")</f>
        <v/>
      </c>
      <c r="K272" s="21" t="str">
        <f>IFERROR(__xludf.DUMMYFUNCTION("IFERROR(GOOGLEFINANCE(C272, ""changepct"") / 100, """")"),"")</f>
        <v/>
      </c>
      <c r="L272" s="21" t="str">
        <f>IFERROR(__xludf.DUMMYFUNCTION("IFERROR((GOOGLEFINANCE(C272, ""price"") / INDEX(GOOGLEFINANCE(C272, ""price"", TODAY()-7, TODAY()), 2, 2)) - 1, """")"),"")</f>
        <v/>
      </c>
      <c r="M272" s="21" t="str">
        <f>IFERROR(__xludf.DUMMYFUNCTION("IFERROR((GOOGLEFINANCE(C272, ""price"") / INDEX(GOOGLEFINANCE(C272, ""price"", EDATE(TODAY(), -1), TODAY()), 2, 2)) - 1, """")"),"")</f>
        <v/>
      </c>
      <c r="N272" s="21" t="str">
        <f>IFERROR(__xludf.DUMMYFUNCTION("IFERROR((GOOGLEFINANCE(C272, ""price"") / INDEX(GOOGLEFINANCE(C272, ""price"", EDATE(TODAY(), -3), TODAY()), 2, 2)) - 1, """")"),"")</f>
        <v/>
      </c>
      <c r="O272" s="21" t="str">
        <f>IFERROR(__xludf.DUMMYFUNCTION("IFERROR((GOOGLEFINANCE(C272, ""price"") / INDEX(GOOGLEFINANCE(C272, ""price"", EDATE(TODAY(), -6), TODAY()), 2, 2)) - 1, """")"),"")</f>
        <v/>
      </c>
      <c r="P272" s="21" t="str">
        <f>IFERROR(__xludf.DUMMYFUNCTION("IFERROR((GOOGLEFINANCE(C272, ""price"") / INDEX(GOOGLEFINANCE(C272, ""price"", EDATE(TODAY(), -12), TODAY()), 2, 2)) - 1, """")"),"")</f>
        <v/>
      </c>
      <c r="Q272" s="6" t="str">
        <f>IFERROR(__xludf.DUMMYFUNCTION("AVERAGE(QUERY(GOOGLEFINANCE(C272, ""price"", TODAY()-80, TODAY()), ""SELECT Col2 WHERE Col2 IS NOT NULL ORDER BY Col1 DESC LIMIT 50"", 0))"),"#N/A")</f>
        <v>#N/A</v>
      </c>
      <c r="R272" s="24" t="str">
        <f>IFERROR(__xludf.DUMMYFUNCTION("IFERROR(
  LET(
    data, QUERY(GOOGLEFINANCE(C272,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GOOGLEFINANCE(C272, ""price"")) * 100,
    IF(calc=0, G272, calc)
  ), 
G272)"),"#N/A")</f>
        <v>#N/A</v>
      </c>
      <c r="S272" s="8" t="s">
        <v>15</v>
      </c>
      <c r="T272" s="26" t="str">
        <f>IFERROR(__xludf.DUMMYFUNCTION("IFERROR(TRANSPOSE(QUERY(IFERROR(SORT(GOOGLEFINANCE(C272, ""price"", WORKDAY(TODAY(), -40), TODAY()), 1, FALSE)), ""select Col2 where Col2 is not null limit 22 label Col2 ''"", 0)), """")"),"")</f>
        <v/>
      </c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8"/>
      <c r="AO272" s="28"/>
      <c r="AP272" s="29"/>
      <c r="AQ272" s="29" t="str">
        <f t="shared" ref="AQ272:BL272" si="275">T272/T$2</f>
        <v>#N/A</v>
      </c>
      <c r="AR272" s="29" t="str">
        <f t="shared" si="275"/>
        <v>#DIV/0!</v>
      </c>
      <c r="AS272" s="29" t="str">
        <f t="shared" si="275"/>
        <v>#DIV/0!</v>
      </c>
      <c r="AT272" s="29" t="str">
        <f t="shared" si="275"/>
        <v>#DIV/0!</v>
      </c>
      <c r="AU272" s="29" t="str">
        <f t="shared" si="275"/>
        <v>#DIV/0!</v>
      </c>
      <c r="AV272" s="29" t="str">
        <f t="shared" si="275"/>
        <v>#DIV/0!</v>
      </c>
      <c r="AW272" s="29" t="str">
        <f t="shared" si="275"/>
        <v>#DIV/0!</v>
      </c>
      <c r="AX272" s="29" t="str">
        <f t="shared" si="275"/>
        <v>#DIV/0!</v>
      </c>
      <c r="AY272" s="29" t="str">
        <f t="shared" si="275"/>
        <v>#DIV/0!</v>
      </c>
      <c r="AZ272" s="29" t="str">
        <f t="shared" si="275"/>
        <v>#DIV/0!</v>
      </c>
      <c r="BA272" s="29" t="str">
        <f t="shared" si="275"/>
        <v>#DIV/0!</v>
      </c>
      <c r="BB272" s="29" t="str">
        <f t="shared" si="275"/>
        <v>#DIV/0!</v>
      </c>
      <c r="BC272" s="29" t="str">
        <f t="shared" si="275"/>
        <v>#DIV/0!</v>
      </c>
      <c r="BD272" s="29" t="str">
        <f t="shared" si="275"/>
        <v>#DIV/0!</v>
      </c>
      <c r="BE272" s="29" t="str">
        <f t="shared" si="275"/>
        <v>#DIV/0!</v>
      </c>
      <c r="BF272" s="29" t="str">
        <f t="shared" si="275"/>
        <v>#DIV/0!</v>
      </c>
      <c r="BG272" s="29" t="str">
        <f t="shared" si="275"/>
        <v>#DIV/0!</v>
      </c>
      <c r="BH272" s="29" t="str">
        <f t="shared" si="275"/>
        <v>#DIV/0!</v>
      </c>
      <c r="BI272" s="29" t="str">
        <f t="shared" si="275"/>
        <v>#DIV/0!</v>
      </c>
      <c r="BJ272" s="29" t="str">
        <f t="shared" si="275"/>
        <v>#DIV/0!</v>
      </c>
      <c r="BK272" s="29" t="str">
        <f t="shared" si="275"/>
        <v>#DIV/0!</v>
      </c>
      <c r="BL272" s="29" t="str">
        <f t="shared" si="275"/>
        <v>#DIV/0!</v>
      </c>
      <c r="BM272" s="29" t="str">
        <f t="shared" si="3"/>
        <v>#DIV/0!</v>
      </c>
    </row>
    <row r="273">
      <c r="A273" s="16" t="str">
        <f>IFERROR(__xludf.DUMMYFUNCTION("IFERROR(SPARKLINE(SORT(MAP(TRANSPOSE(AQ273:BL273), LAMBDA(val, IF(ISNUMBER(val), PERCENTRANK(AQ273:BL273, val)+0.01, 0))), SEQUENCE(COLUMNS(AQ273:BL273)), FALSE), {""charttype"",""column""; ""color"",""chartreuse""; ""ymin"", 0; ""ymax"", 1.01; ""highcolo"&amp;"r"", ""darkgreen""; ""lowcolor"", ""red""}), """")"),"")</f>
        <v/>
      </c>
      <c r="B273" s="17" t="str">
        <f t="shared" si="4"/>
        <v/>
      </c>
      <c r="C273" s="1" t="s">
        <v>1904</v>
      </c>
      <c r="D273" s="30" t="str">
        <f>IFERROR(__xludf.DUMMYFUNCTION("IFERROR(GOOGLEFINANCE(C273, ""NAME""))"),"Alaska Air Group Inc")</f>
        <v>Alaska Air Group Inc</v>
      </c>
      <c r="E273" s="30" t="s">
        <v>1134</v>
      </c>
      <c r="F273" s="33" t="str">
        <f>IFERROR(__xludf.DUMMYFUNCTION("( (GOOGLEFINANCE(C273, ""price"") - Q273) / Q273 ) / (R273 / 100)"),"Loading...")</f>
        <v>Loading...</v>
      </c>
      <c r="G273" s="20" t="str">
        <f>IFERROR(__xludf.DUMMYFUNCTION("AVERAGE(ARRAYFORMULA(100 * (QUERY(GOOGLEFINANCE(C273, ""high"", TODAY()-40, TODAY()), ""SELECT Col2 WHERE Col2 IS NOT NULL ORDER BY Col1 DESC LIMIT 20"", 0) / QUERY(GOOGLEFINANCE(C273, ""low"", TODAY()-40, TODAY()), ""SELECT Col2 WHERE Col2 IS NOT NULL OR"&amp;"DER BY Col1 DESC LIMIT 20"", 0) - 1)))"),"#N/A")</f>
        <v>#N/A</v>
      </c>
      <c r="H273" s="35" t="str">
        <f t="shared" si="6"/>
        <v/>
      </c>
      <c r="I273" s="35" t="str">
        <f t="shared" si="7"/>
        <v/>
      </c>
      <c r="J273" s="37" t="str">
        <f>IFERROR(__xludf.DUMMYFUNCTION("IFERROR(
  IF(C273="""",, 
    IFERROR(
      GOOGLEFINANCE(C273, ""price"") * GOOGLEFINANCE(C273, ""volumeavg""), 
      GOOGLEFINANCE(C273, ""price"") * AVERAGE(QUERY(GOOGLEFINANCE(C273, ""volume"", TODAY()-40, TODAY()), ""SELECT Col2 WHERE Col2 IS NOT "&amp;"NULL ORDER BY Col1 DESC LIMIT 20"", 0))
    )
  ), 
"""")"),"")</f>
        <v/>
      </c>
      <c r="K273" s="21" t="str">
        <f>IFERROR(__xludf.DUMMYFUNCTION("IFERROR(GOOGLEFINANCE(C273, ""changepct"") / 100, """")"),"")</f>
        <v/>
      </c>
      <c r="L273" s="21" t="str">
        <f>IFERROR(__xludf.DUMMYFUNCTION("IFERROR((GOOGLEFINANCE(C273, ""price"") / INDEX(GOOGLEFINANCE(C273, ""price"", TODAY()-7, TODAY()), 2, 2)) - 1, """")"),"")</f>
        <v/>
      </c>
      <c r="M273" s="21" t="str">
        <f>IFERROR(__xludf.DUMMYFUNCTION("IFERROR((GOOGLEFINANCE(C273, ""price"") / INDEX(GOOGLEFINANCE(C273, ""price"", EDATE(TODAY(), -1), TODAY()), 2, 2)) - 1, """")"),"")</f>
        <v/>
      </c>
      <c r="N273" s="21" t="str">
        <f>IFERROR(__xludf.DUMMYFUNCTION("IFERROR((GOOGLEFINANCE(C273, ""price"") / INDEX(GOOGLEFINANCE(C273, ""price"", EDATE(TODAY(), -3), TODAY()), 2, 2)) - 1, """")"),"")</f>
        <v/>
      </c>
      <c r="O273" s="21" t="str">
        <f>IFERROR(__xludf.DUMMYFUNCTION("IFERROR((GOOGLEFINANCE(C273, ""price"") / INDEX(GOOGLEFINANCE(C273, ""price"", EDATE(TODAY(), -6), TODAY()), 2, 2)) - 1, """")"),"")</f>
        <v/>
      </c>
      <c r="P273" s="21" t="str">
        <f>IFERROR(__xludf.DUMMYFUNCTION("IFERROR((GOOGLEFINANCE(C273, ""price"") / INDEX(GOOGLEFINANCE(C273, ""price"", EDATE(TODAY(), -12), TODAY()), 2, 2)) - 1, """")"),"")</f>
        <v/>
      </c>
      <c r="Q273" s="6" t="str">
        <f>IFERROR(__xludf.DUMMYFUNCTION("AVERAGE(QUERY(GOOGLEFINANCE(C273, ""price"", TODAY()-80, TODAY()), ""SELECT Col2 WHERE Col2 IS NOT NULL ORDER BY Col1 DESC LIMIT 50"", 0))"),"#N/A")</f>
        <v>#N/A</v>
      </c>
      <c r="R273" s="24" t="str">
        <f>IFERROR(__xludf.DUMMYFUNCTION("IFERROR(
  LET(
    data, QUERY(GOOGLEFINANCE(C273,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GOOGLEFINANCE(C273, ""price"")) * 100,
    IF(calc=0, G273, calc)
  ), 
G273)"),"#N/A")</f>
        <v>#N/A</v>
      </c>
      <c r="S273" s="8" t="s">
        <v>15</v>
      </c>
      <c r="T273" s="26" t="str">
        <f>IFERROR(__xludf.DUMMYFUNCTION("IFERROR(TRANSPOSE(QUERY(IFERROR(SORT(GOOGLEFINANCE(C273, ""price"", WORKDAY(TODAY(), -40), TODAY()), 1, FALSE)), ""select Col2 where Col2 is not null limit 22 label Col2 ''"", 0)), """")"),"")</f>
        <v/>
      </c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8"/>
      <c r="AO273" s="28"/>
      <c r="AP273" s="29"/>
      <c r="AQ273" s="29" t="str">
        <f t="shared" ref="AQ273:BL273" si="276">T273/T$2</f>
        <v>#N/A</v>
      </c>
      <c r="AR273" s="29" t="str">
        <f t="shared" si="276"/>
        <v>#DIV/0!</v>
      </c>
      <c r="AS273" s="29" t="str">
        <f t="shared" si="276"/>
        <v>#DIV/0!</v>
      </c>
      <c r="AT273" s="29" t="str">
        <f t="shared" si="276"/>
        <v>#DIV/0!</v>
      </c>
      <c r="AU273" s="29" t="str">
        <f t="shared" si="276"/>
        <v>#DIV/0!</v>
      </c>
      <c r="AV273" s="29" t="str">
        <f t="shared" si="276"/>
        <v>#DIV/0!</v>
      </c>
      <c r="AW273" s="29" t="str">
        <f t="shared" si="276"/>
        <v>#DIV/0!</v>
      </c>
      <c r="AX273" s="29" t="str">
        <f t="shared" si="276"/>
        <v>#DIV/0!</v>
      </c>
      <c r="AY273" s="29" t="str">
        <f t="shared" si="276"/>
        <v>#DIV/0!</v>
      </c>
      <c r="AZ273" s="29" t="str">
        <f t="shared" si="276"/>
        <v>#DIV/0!</v>
      </c>
      <c r="BA273" s="29" t="str">
        <f t="shared" si="276"/>
        <v>#DIV/0!</v>
      </c>
      <c r="BB273" s="29" t="str">
        <f t="shared" si="276"/>
        <v>#DIV/0!</v>
      </c>
      <c r="BC273" s="29" t="str">
        <f t="shared" si="276"/>
        <v>#DIV/0!</v>
      </c>
      <c r="BD273" s="29" t="str">
        <f t="shared" si="276"/>
        <v>#DIV/0!</v>
      </c>
      <c r="BE273" s="29" t="str">
        <f t="shared" si="276"/>
        <v>#DIV/0!</v>
      </c>
      <c r="BF273" s="29" t="str">
        <f t="shared" si="276"/>
        <v>#DIV/0!</v>
      </c>
      <c r="BG273" s="29" t="str">
        <f t="shared" si="276"/>
        <v>#DIV/0!</v>
      </c>
      <c r="BH273" s="29" t="str">
        <f t="shared" si="276"/>
        <v>#DIV/0!</v>
      </c>
      <c r="BI273" s="29" t="str">
        <f t="shared" si="276"/>
        <v>#DIV/0!</v>
      </c>
      <c r="BJ273" s="29" t="str">
        <f t="shared" si="276"/>
        <v>#DIV/0!</v>
      </c>
      <c r="BK273" s="29" t="str">
        <f t="shared" si="276"/>
        <v>#DIV/0!</v>
      </c>
      <c r="BL273" s="29" t="str">
        <f t="shared" si="276"/>
        <v>#DIV/0!</v>
      </c>
      <c r="BM273" s="29" t="str">
        <f t="shared" si="3"/>
        <v>#DIV/0!</v>
      </c>
    </row>
    <row r="274">
      <c r="A274" s="16" t="str">
        <f>IFERROR(__xludf.DUMMYFUNCTION("IFERROR(SPARKLINE(SORT(MAP(TRANSPOSE(AQ274:BL274), LAMBDA(val, IF(ISNUMBER(val), PERCENTRANK(AQ274:BL274, val)+0.01, 0))), SEQUENCE(COLUMNS(AQ274:BL274)), FALSE), {""charttype"",""column""; ""color"",""chartreuse""; ""ymin"", 0; ""ymax"", 1.01; ""highcolo"&amp;"r"", ""darkgreen""; ""lowcolor"", ""red""}), """")"),"")</f>
        <v/>
      </c>
      <c r="B274" s="17" t="str">
        <f t="shared" si="4"/>
        <v/>
      </c>
      <c r="C274" s="1" t="s">
        <v>1908</v>
      </c>
      <c r="D274" s="30" t="str">
        <f>IFERROR(__xludf.DUMMYFUNCTION("IFERROR(GOOGLEFINANCE(C274, ""NAME""))"),"CSX Corp")</f>
        <v>CSX Corp</v>
      </c>
      <c r="E274" s="30" t="s">
        <v>962</v>
      </c>
      <c r="F274" s="33" t="str">
        <f>IFERROR(__xludf.DUMMYFUNCTION("( (GOOGLEFINANCE(C274, ""price"") - Q274) / Q274 ) / (R274 / 100)"),"Loading...")</f>
        <v>Loading...</v>
      </c>
      <c r="G274" s="20" t="str">
        <f>IFERROR(__xludf.DUMMYFUNCTION("AVERAGE(ARRAYFORMULA(100 * (QUERY(GOOGLEFINANCE(C274, ""high"", TODAY()-40, TODAY()), ""SELECT Col2 WHERE Col2 IS NOT NULL ORDER BY Col1 DESC LIMIT 20"", 0) / QUERY(GOOGLEFINANCE(C274, ""low"", TODAY()-40, TODAY()), ""SELECT Col2 WHERE Col2 IS NOT NULL OR"&amp;"DER BY Col1 DESC LIMIT 20"", 0) - 1)))"),"#N/A")</f>
        <v>#N/A</v>
      </c>
      <c r="H274" s="35" t="str">
        <f t="shared" si="6"/>
        <v/>
      </c>
      <c r="I274" s="35" t="str">
        <f t="shared" si="7"/>
        <v/>
      </c>
      <c r="J274" s="37" t="str">
        <f>IFERROR(__xludf.DUMMYFUNCTION("IFERROR(
  IF(C274="""",, 
    IFERROR(
      GOOGLEFINANCE(C274, ""price"") * GOOGLEFINANCE(C274, ""volumeavg""), 
      GOOGLEFINANCE(C274, ""price"") * AVERAGE(QUERY(GOOGLEFINANCE(C274, ""volume"", TODAY()-40, TODAY()), ""SELECT Col2 WHERE Col2 IS NOT "&amp;"NULL ORDER BY Col1 DESC LIMIT 20"", 0))
    )
  ), 
"""")"),"")</f>
        <v/>
      </c>
      <c r="K274" s="21" t="str">
        <f>IFERROR(__xludf.DUMMYFUNCTION("IFERROR(GOOGLEFINANCE(C274, ""changepct"") / 100, """")"),"")</f>
        <v/>
      </c>
      <c r="L274" s="21" t="str">
        <f>IFERROR(__xludf.DUMMYFUNCTION("IFERROR((GOOGLEFINANCE(C274, ""price"") / INDEX(GOOGLEFINANCE(C274, ""price"", TODAY()-7, TODAY()), 2, 2)) - 1, """")"),"")</f>
        <v/>
      </c>
      <c r="M274" s="21" t="str">
        <f>IFERROR(__xludf.DUMMYFUNCTION("IFERROR((GOOGLEFINANCE(C274, ""price"") / INDEX(GOOGLEFINANCE(C274, ""price"", EDATE(TODAY(), -1), TODAY()), 2, 2)) - 1, """")"),"")</f>
        <v/>
      </c>
      <c r="N274" s="21" t="str">
        <f>IFERROR(__xludf.DUMMYFUNCTION("IFERROR((GOOGLEFINANCE(C274, ""price"") / INDEX(GOOGLEFINANCE(C274, ""price"", EDATE(TODAY(), -3), TODAY()), 2, 2)) - 1, """")"),"")</f>
        <v/>
      </c>
      <c r="O274" s="21" t="str">
        <f>IFERROR(__xludf.DUMMYFUNCTION("IFERROR((GOOGLEFINANCE(C274, ""price"") / INDEX(GOOGLEFINANCE(C274, ""price"", EDATE(TODAY(), -6), TODAY()), 2, 2)) - 1, """")"),"")</f>
        <v/>
      </c>
      <c r="P274" s="21" t="str">
        <f>IFERROR(__xludf.DUMMYFUNCTION("IFERROR((GOOGLEFINANCE(C274, ""price"") / INDEX(GOOGLEFINANCE(C274, ""price"", EDATE(TODAY(), -12), TODAY()), 2, 2)) - 1, """")"),"")</f>
        <v/>
      </c>
      <c r="Q274" s="6" t="str">
        <f>IFERROR(__xludf.DUMMYFUNCTION("AVERAGE(QUERY(GOOGLEFINANCE(C274, ""price"", TODAY()-80, TODAY()), ""SELECT Col2 WHERE Col2 IS NOT NULL ORDER BY Col1 DESC LIMIT 50"", 0))"),"#N/A")</f>
        <v>#N/A</v>
      </c>
      <c r="R274" s="24" t="str">
        <f>IFERROR(__xludf.DUMMYFUNCTION("IFERROR(
  LET(
    data, QUERY(GOOGLEFINANCE(C274,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GOOGLEFINANCE(C274, ""price"")) * 100,
    IF(calc=0, G274, calc)
  ), 
G274)"),"#N/A")</f>
        <v>#N/A</v>
      </c>
      <c r="S274" s="8" t="s">
        <v>15</v>
      </c>
      <c r="T274" s="26" t="str">
        <f>IFERROR(__xludf.DUMMYFUNCTION("IFERROR(TRANSPOSE(QUERY(IFERROR(SORT(GOOGLEFINANCE(C274, ""price"", WORKDAY(TODAY(), -40), TODAY()), 1, FALSE)), ""select Col2 where Col2 is not null limit 22 label Col2 ''"", 0)), """")"),"")</f>
        <v/>
      </c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8"/>
      <c r="AO274" s="28"/>
      <c r="AP274" s="29"/>
      <c r="AQ274" s="29" t="str">
        <f t="shared" ref="AQ274:BL274" si="277">T274/T$2</f>
        <v>#N/A</v>
      </c>
      <c r="AR274" s="29" t="str">
        <f t="shared" si="277"/>
        <v>#DIV/0!</v>
      </c>
      <c r="AS274" s="29" t="str">
        <f t="shared" si="277"/>
        <v>#DIV/0!</v>
      </c>
      <c r="AT274" s="29" t="str">
        <f t="shared" si="277"/>
        <v>#DIV/0!</v>
      </c>
      <c r="AU274" s="29" t="str">
        <f t="shared" si="277"/>
        <v>#DIV/0!</v>
      </c>
      <c r="AV274" s="29" t="str">
        <f t="shared" si="277"/>
        <v>#DIV/0!</v>
      </c>
      <c r="AW274" s="29" t="str">
        <f t="shared" si="277"/>
        <v>#DIV/0!</v>
      </c>
      <c r="AX274" s="29" t="str">
        <f t="shared" si="277"/>
        <v>#DIV/0!</v>
      </c>
      <c r="AY274" s="29" t="str">
        <f t="shared" si="277"/>
        <v>#DIV/0!</v>
      </c>
      <c r="AZ274" s="29" t="str">
        <f t="shared" si="277"/>
        <v>#DIV/0!</v>
      </c>
      <c r="BA274" s="29" t="str">
        <f t="shared" si="277"/>
        <v>#DIV/0!</v>
      </c>
      <c r="BB274" s="29" t="str">
        <f t="shared" si="277"/>
        <v>#DIV/0!</v>
      </c>
      <c r="BC274" s="29" t="str">
        <f t="shared" si="277"/>
        <v>#DIV/0!</v>
      </c>
      <c r="BD274" s="29" t="str">
        <f t="shared" si="277"/>
        <v>#DIV/0!</v>
      </c>
      <c r="BE274" s="29" t="str">
        <f t="shared" si="277"/>
        <v>#DIV/0!</v>
      </c>
      <c r="BF274" s="29" t="str">
        <f t="shared" si="277"/>
        <v>#DIV/0!</v>
      </c>
      <c r="BG274" s="29" t="str">
        <f t="shared" si="277"/>
        <v>#DIV/0!</v>
      </c>
      <c r="BH274" s="29" t="str">
        <f t="shared" si="277"/>
        <v>#DIV/0!</v>
      </c>
      <c r="BI274" s="29" t="str">
        <f t="shared" si="277"/>
        <v>#DIV/0!</v>
      </c>
      <c r="BJ274" s="29" t="str">
        <f t="shared" si="277"/>
        <v>#DIV/0!</v>
      </c>
      <c r="BK274" s="29" t="str">
        <f t="shared" si="277"/>
        <v>#DIV/0!</v>
      </c>
      <c r="BL274" s="29" t="str">
        <f t="shared" si="277"/>
        <v>#DIV/0!</v>
      </c>
      <c r="BM274" s="29" t="str">
        <f t="shared" si="3"/>
        <v>#DIV/0!</v>
      </c>
    </row>
    <row r="275">
      <c r="A275" s="16" t="str">
        <f>IFERROR(__xludf.DUMMYFUNCTION("IFERROR(SPARKLINE(SORT(MAP(TRANSPOSE(AQ275:BL275), LAMBDA(val, IF(ISNUMBER(val), PERCENTRANK(AQ275:BL275, val)+0.01, 0))), SEQUENCE(COLUMNS(AQ275:BL275)), FALSE), {""charttype"",""column""; ""color"",""chartreuse""; ""ymin"", 0; ""ymax"", 1.01; ""highcolo"&amp;"r"", ""darkgreen""; ""lowcolor"", ""red""}), """")"),"")</f>
        <v/>
      </c>
      <c r="B275" s="17" t="str">
        <f t="shared" si="4"/>
        <v/>
      </c>
      <c r="C275" s="1" t="s">
        <v>1912</v>
      </c>
      <c r="D275" s="30" t="str">
        <f>IFERROR(__xludf.DUMMYFUNCTION("IFERROR(GOOGLEFINANCE(C275, ""NAME""))"),"Hyster-Yale Inc")</f>
        <v>Hyster-Yale Inc</v>
      </c>
      <c r="E275" s="30" t="s">
        <v>1036</v>
      </c>
      <c r="F275" s="33" t="str">
        <f>IFERROR(__xludf.DUMMYFUNCTION("( (GOOGLEFINANCE(C275, ""price"") - Q275) / Q275 ) / (R275 / 100)"),"Loading...")</f>
        <v>Loading...</v>
      </c>
      <c r="G275" s="20" t="str">
        <f>IFERROR(__xludf.DUMMYFUNCTION("AVERAGE(ARRAYFORMULA(100 * (QUERY(GOOGLEFINANCE(C275, ""high"", TODAY()-40, TODAY()), ""SELECT Col2 WHERE Col2 IS NOT NULL ORDER BY Col1 DESC LIMIT 20"", 0) / QUERY(GOOGLEFINANCE(C275, ""low"", TODAY()-40, TODAY()), ""SELECT Col2 WHERE Col2 IS NOT NULL OR"&amp;"DER BY Col1 DESC LIMIT 20"", 0) - 1)))"),"#N/A")</f>
        <v>#N/A</v>
      </c>
      <c r="H275" s="35" t="str">
        <f t="shared" si="6"/>
        <v/>
      </c>
      <c r="I275" s="35" t="str">
        <f t="shared" si="7"/>
        <v/>
      </c>
      <c r="J275" s="37" t="str">
        <f>IFERROR(__xludf.DUMMYFUNCTION("IFERROR(
  IF(C275="""",, 
    IFERROR(
      GOOGLEFINANCE(C275, ""price"") * GOOGLEFINANCE(C275, ""volumeavg""), 
      GOOGLEFINANCE(C275, ""price"") * AVERAGE(QUERY(GOOGLEFINANCE(C275, ""volume"", TODAY()-40, TODAY()), ""SELECT Col2 WHERE Col2 IS NOT "&amp;"NULL ORDER BY Col1 DESC LIMIT 20"", 0))
    )
  ), 
"""")"),"")</f>
        <v/>
      </c>
      <c r="K275" s="21" t="str">
        <f>IFERROR(__xludf.DUMMYFUNCTION("IFERROR(GOOGLEFINANCE(C275, ""changepct"") / 100, """")"),"")</f>
        <v/>
      </c>
      <c r="L275" s="21" t="str">
        <f>IFERROR(__xludf.DUMMYFUNCTION("IFERROR((GOOGLEFINANCE(C275, ""price"") / INDEX(GOOGLEFINANCE(C275, ""price"", TODAY()-7, TODAY()), 2, 2)) - 1, """")"),"")</f>
        <v/>
      </c>
      <c r="M275" s="21" t="str">
        <f>IFERROR(__xludf.DUMMYFUNCTION("IFERROR((GOOGLEFINANCE(C275, ""price"") / INDEX(GOOGLEFINANCE(C275, ""price"", EDATE(TODAY(), -1), TODAY()), 2, 2)) - 1, """")"),"")</f>
        <v/>
      </c>
      <c r="N275" s="21" t="str">
        <f>IFERROR(__xludf.DUMMYFUNCTION("IFERROR((GOOGLEFINANCE(C275, ""price"") / INDEX(GOOGLEFINANCE(C275, ""price"", EDATE(TODAY(), -3), TODAY()), 2, 2)) - 1, """")"),"")</f>
        <v/>
      </c>
      <c r="O275" s="21" t="str">
        <f>IFERROR(__xludf.DUMMYFUNCTION("IFERROR((GOOGLEFINANCE(C275, ""price"") / INDEX(GOOGLEFINANCE(C275, ""price"", EDATE(TODAY(), -6), TODAY()), 2, 2)) - 1, """")"),"")</f>
        <v/>
      </c>
      <c r="P275" s="21" t="str">
        <f>IFERROR(__xludf.DUMMYFUNCTION("IFERROR((GOOGLEFINANCE(C275, ""price"") / INDEX(GOOGLEFINANCE(C275, ""price"", EDATE(TODAY(), -12), TODAY()), 2, 2)) - 1, """")"),"")</f>
        <v/>
      </c>
      <c r="Q275" s="6" t="str">
        <f>IFERROR(__xludf.DUMMYFUNCTION("AVERAGE(QUERY(GOOGLEFINANCE(C275, ""price"", TODAY()-80, TODAY()), ""SELECT Col2 WHERE Col2 IS NOT NULL ORDER BY Col1 DESC LIMIT 50"", 0))"),"#N/A")</f>
        <v>#N/A</v>
      </c>
      <c r="R275" s="24" t="str">
        <f>IFERROR(__xludf.DUMMYFUNCTION("IFERROR(
  LET(
    data, QUERY(GOOGLEFINANCE(C275,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GOOGLEFINANCE(C275, ""price"")) * 100,
    IF(calc=0, G275, calc)
  ), 
G275)"),"#N/A")</f>
        <v>#N/A</v>
      </c>
      <c r="S275" s="8" t="s">
        <v>15</v>
      </c>
      <c r="T275" s="26" t="str">
        <f>IFERROR(__xludf.DUMMYFUNCTION("IFERROR(TRANSPOSE(QUERY(IFERROR(SORT(GOOGLEFINANCE(C275, ""price"", WORKDAY(TODAY(), -40), TODAY()), 1, FALSE)), ""select Col2 where Col2 is not null limit 22 label Col2 ''"", 0)), """")"),"")</f>
        <v/>
      </c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8"/>
      <c r="AO275" s="28"/>
      <c r="AP275" s="29"/>
      <c r="AQ275" s="29" t="str">
        <f t="shared" ref="AQ275:BL275" si="278">T275/T$2</f>
        <v>#N/A</v>
      </c>
      <c r="AR275" s="29" t="str">
        <f t="shared" si="278"/>
        <v>#DIV/0!</v>
      </c>
      <c r="AS275" s="29" t="str">
        <f t="shared" si="278"/>
        <v>#DIV/0!</v>
      </c>
      <c r="AT275" s="29" t="str">
        <f t="shared" si="278"/>
        <v>#DIV/0!</v>
      </c>
      <c r="AU275" s="29" t="str">
        <f t="shared" si="278"/>
        <v>#DIV/0!</v>
      </c>
      <c r="AV275" s="29" t="str">
        <f t="shared" si="278"/>
        <v>#DIV/0!</v>
      </c>
      <c r="AW275" s="29" t="str">
        <f t="shared" si="278"/>
        <v>#DIV/0!</v>
      </c>
      <c r="AX275" s="29" t="str">
        <f t="shared" si="278"/>
        <v>#DIV/0!</v>
      </c>
      <c r="AY275" s="29" t="str">
        <f t="shared" si="278"/>
        <v>#DIV/0!</v>
      </c>
      <c r="AZ275" s="29" t="str">
        <f t="shared" si="278"/>
        <v>#DIV/0!</v>
      </c>
      <c r="BA275" s="29" t="str">
        <f t="shared" si="278"/>
        <v>#DIV/0!</v>
      </c>
      <c r="BB275" s="29" t="str">
        <f t="shared" si="278"/>
        <v>#DIV/0!</v>
      </c>
      <c r="BC275" s="29" t="str">
        <f t="shared" si="278"/>
        <v>#DIV/0!</v>
      </c>
      <c r="BD275" s="29" t="str">
        <f t="shared" si="278"/>
        <v>#DIV/0!</v>
      </c>
      <c r="BE275" s="29" t="str">
        <f t="shared" si="278"/>
        <v>#DIV/0!</v>
      </c>
      <c r="BF275" s="29" t="str">
        <f t="shared" si="278"/>
        <v>#DIV/0!</v>
      </c>
      <c r="BG275" s="29" t="str">
        <f t="shared" si="278"/>
        <v>#DIV/0!</v>
      </c>
      <c r="BH275" s="29" t="str">
        <f t="shared" si="278"/>
        <v>#DIV/0!</v>
      </c>
      <c r="BI275" s="29" t="str">
        <f t="shared" si="278"/>
        <v>#DIV/0!</v>
      </c>
      <c r="BJ275" s="29" t="str">
        <f t="shared" si="278"/>
        <v>#DIV/0!</v>
      </c>
      <c r="BK275" s="29" t="str">
        <f t="shared" si="278"/>
        <v>#DIV/0!</v>
      </c>
      <c r="BL275" s="29" t="str">
        <f t="shared" si="278"/>
        <v>#DIV/0!</v>
      </c>
      <c r="BM275" s="29" t="str">
        <f t="shared" si="3"/>
        <v>#DIV/0!</v>
      </c>
    </row>
    <row r="276">
      <c r="A276" s="16" t="str">
        <f>IFERROR(__xludf.DUMMYFUNCTION("IFERROR(SPARKLINE(SORT(MAP(TRANSPOSE(AQ276:BL276), LAMBDA(val, IF(ISNUMBER(val), PERCENTRANK(AQ276:BL276, val)+0.01, 0))), SEQUENCE(COLUMNS(AQ276:BL276)), FALSE), {""charttype"",""column""; ""color"",""chartreuse""; ""ymin"", 0; ""ymax"", 1.01; ""highcolo"&amp;"r"", ""darkgreen""; ""lowcolor"", ""red""}), """")"),"")</f>
        <v/>
      </c>
      <c r="B276" s="17" t="str">
        <f t="shared" si="4"/>
        <v/>
      </c>
      <c r="C276" s="1" t="s">
        <v>1915</v>
      </c>
      <c r="D276" s="30" t="str">
        <f>IFERROR(__xludf.DUMMYFUNCTION("IFERROR(GOOGLEFINANCE(C276, ""NAME""))"),"Carpenter Technology Corp")</f>
        <v>Carpenter Technology Corp</v>
      </c>
      <c r="E276" s="30" t="s">
        <v>847</v>
      </c>
      <c r="F276" s="33" t="str">
        <f>IFERROR(__xludf.DUMMYFUNCTION("( (GOOGLEFINANCE(C276, ""price"") - Q276) / Q276 ) / (R276 / 100)"),"Loading...")</f>
        <v>Loading...</v>
      </c>
      <c r="G276" s="20" t="str">
        <f>IFERROR(__xludf.DUMMYFUNCTION("AVERAGE(ARRAYFORMULA(100 * (QUERY(GOOGLEFINANCE(C276, ""high"", TODAY()-40, TODAY()), ""SELECT Col2 WHERE Col2 IS NOT NULL ORDER BY Col1 DESC LIMIT 20"", 0) / QUERY(GOOGLEFINANCE(C276, ""low"", TODAY()-40, TODAY()), ""SELECT Col2 WHERE Col2 IS NOT NULL OR"&amp;"DER BY Col1 DESC LIMIT 20"", 0) - 1)))"),"#N/A")</f>
        <v>#N/A</v>
      </c>
      <c r="H276" s="35" t="str">
        <f t="shared" si="6"/>
        <v/>
      </c>
      <c r="I276" s="35" t="str">
        <f t="shared" si="7"/>
        <v/>
      </c>
      <c r="J276" s="37" t="str">
        <f>IFERROR(__xludf.DUMMYFUNCTION("IFERROR(
  IF(C276="""",, 
    IFERROR(
      GOOGLEFINANCE(C276, ""price"") * GOOGLEFINANCE(C276, ""volumeavg""), 
      GOOGLEFINANCE(C276, ""price"") * AVERAGE(QUERY(GOOGLEFINANCE(C276, ""volume"", TODAY()-40, TODAY()), ""SELECT Col2 WHERE Col2 IS NOT "&amp;"NULL ORDER BY Col1 DESC LIMIT 20"", 0))
    )
  ), 
"""")"),"")</f>
        <v/>
      </c>
      <c r="K276" s="21" t="str">
        <f>IFERROR(__xludf.DUMMYFUNCTION("IFERROR(GOOGLEFINANCE(C276, ""changepct"") / 100, """")"),"")</f>
        <v/>
      </c>
      <c r="L276" s="21" t="str">
        <f>IFERROR(__xludf.DUMMYFUNCTION("IFERROR((GOOGLEFINANCE(C276, ""price"") / INDEX(GOOGLEFINANCE(C276, ""price"", TODAY()-7, TODAY()), 2, 2)) - 1, """")"),"")</f>
        <v/>
      </c>
      <c r="M276" s="21" t="str">
        <f>IFERROR(__xludf.DUMMYFUNCTION("IFERROR((GOOGLEFINANCE(C276, ""price"") / INDEX(GOOGLEFINANCE(C276, ""price"", EDATE(TODAY(), -1), TODAY()), 2, 2)) - 1, """")"),"")</f>
        <v/>
      </c>
      <c r="N276" s="21" t="str">
        <f>IFERROR(__xludf.DUMMYFUNCTION("IFERROR((GOOGLEFINANCE(C276, ""price"") / INDEX(GOOGLEFINANCE(C276, ""price"", EDATE(TODAY(), -3), TODAY()), 2, 2)) - 1, """")"),"")</f>
        <v/>
      </c>
      <c r="O276" s="21" t="str">
        <f>IFERROR(__xludf.DUMMYFUNCTION("IFERROR((GOOGLEFINANCE(C276, ""price"") / INDEX(GOOGLEFINANCE(C276, ""price"", EDATE(TODAY(), -6), TODAY()), 2, 2)) - 1, """")"),"")</f>
        <v/>
      </c>
      <c r="P276" s="21" t="str">
        <f>IFERROR(__xludf.DUMMYFUNCTION("IFERROR((GOOGLEFINANCE(C276, ""price"") / INDEX(GOOGLEFINANCE(C276, ""price"", EDATE(TODAY(), -12), TODAY()), 2, 2)) - 1, """")"),"")</f>
        <v/>
      </c>
      <c r="Q276" s="6" t="str">
        <f>IFERROR(__xludf.DUMMYFUNCTION("AVERAGE(QUERY(GOOGLEFINANCE(C276, ""price"", TODAY()-80, TODAY()), ""SELECT Col2 WHERE Col2 IS NOT NULL ORDER BY Col1 DESC LIMIT 50"", 0))"),"#N/A")</f>
        <v>#N/A</v>
      </c>
      <c r="R276" s="24" t="str">
        <f>IFERROR(__xludf.DUMMYFUNCTION("IFERROR(
  LET(
    data, QUERY(GOOGLEFINANCE(C276,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GOOGLEFINANCE(C276, ""price"")) * 100,
    IF(calc=0, G276, calc)
  ), 
G276)"),"#N/A")</f>
        <v>#N/A</v>
      </c>
      <c r="S276" s="8" t="s">
        <v>15</v>
      </c>
      <c r="T276" s="26" t="str">
        <f>IFERROR(__xludf.DUMMYFUNCTION("IFERROR(TRANSPOSE(QUERY(IFERROR(SORT(GOOGLEFINANCE(C276, ""price"", WORKDAY(TODAY(), -40), TODAY()), 1, FALSE)), ""select Col2 where Col2 is not null limit 22 label Col2 ''"", 0)), """")"),"")</f>
        <v/>
      </c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8"/>
      <c r="AO276" s="28"/>
      <c r="AP276" s="29"/>
      <c r="AQ276" s="29" t="str">
        <f t="shared" ref="AQ276:BL276" si="279">T276/T$2</f>
        <v>#N/A</v>
      </c>
      <c r="AR276" s="29" t="str">
        <f t="shared" si="279"/>
        <v>#DIV/0!</v>
      </c>
      <c r="AS276" s="29" t="str">
        <f t="shared" si="279"/>
        <v>#DIV/0!</v>
      </c>
      <c r="AT276" s="29" t="str">
        <f t="shared" si="279"/>
        <v>#DIV/0!</v>
      </c>
      <c r="AU276" s="29" t="str">
        <f t="shared" si="279"/>
        <v>#DIV/0!</v>
      </c>
      <c r="AV276" s="29" t="str">
        <f t="shared" si="279"/>
        <v>#DIV/0!</v>
      </c>
      <c r="AW276" s="29" t="str">
        <f t="shared" si="279"/>
        <v>#DIV/0!</v>
      </c>
      <c r="AX276" s="29" t="str">
        <f t="shared" si="279"/>
        <v>#DIV/0!</v>
      </c>
      <c r="AY276" s="29" t="str">
        <f t="shared" si="279"/>
        <v>#DIV/0!</v>
      </c>
      <c r="AZ276" s="29" t="str">
        <f t="shared" si="279"/>
        <v>#DIV/0!</v>
      </c>
      <c r="BA276" s="29" t="str">
        <f t="shared" si="279"/>
        <v>#DIV/0!</v>
      </c>
      <c r="BB276" s="29" t="str">
        <f t="shared" si="279"/>
        <v>#DIV/0!</v>
      </c>
      <c r="BC276" s="29" t="str">
        <f t="shared" si="279"/>
        <v>#DIV/0!</v>
      </c>
      <c r="BD276" s="29" t="str">
        <f t="shared" si="279"/>
        <v>#DIV/0!</v>
      </c>
      <c r="BE276" s="29" t="str">
        <f t="shared" si="279"/>
        <v>#DIV/0!</v>
      </c>
      <c r="BF276" s="29" t="str">
        <f t="shared" si="279"/>
        <v>#DIV/0!</v>
      </c>
      <c r="BG276" s="29" t="str">
        <f t="shared" si="279"/>
        <v>#DIV/0!</v>
      </c>
      <c r="BH276" s="29" t="str">
        <f t="shared" si="279"/>
        <v>#DIV/0!</v>
      </c>
      <c r="BI276" s="29" t="str">
        <f t="shared" si="279"/>
        <v>#DIV/0!</v>
      </c>
      <c r="BJ276" s="29" t="str">
        <f t="shared" si="279"/>
        <v>#DIV/0!</v>
      </c>
      <c r="BK276" s="29" t="str">
        <f t="shared" si="279"/>
        <v>#DIV/0!</v>
      </c>
      <c r="BL276" s="29" t="str">
        <f t="shared" si="279"/>
        <v>#DIV/0!</v>
      </c>
      <c r="BM276" s="29" t="str">
        <f t="shared" si="3"/>
        <v>#DIV/0!</v>
      </c>
    </row>
    <row r="277">
      <c r="A277" s="16" t="str">
        <f>IFERROR(__xludf.DUMMYFUNCTION("IFERROR(SPARKLINE(SORT(MAP(TRANSPOSE(AQ277:BL277), LAMBDA(val, IF(ISNUMBER(val), PERCENTRANK(AQ277:BL277, val)+0.01, 0))), SEQUENCE(COLUMNS(AQ277:BL277)), FALSE), {""charttype"",""column""; ""color"",""chartreuse""; ""ymin"", 0; ""ymax"", 1.01; ""highcolo"&amp;"r"", ""darkgreen""; ""lowcolor"", ""red""}), """")"),"")</f>
        <v/>
      </c>
      <c r="B277" s="17" t="str">
        <f t="shared" si="4"/>
        <v/>
      </c>
      <c r="C277" s="1" t="s">
        <v>1919</v>
      </c>
      <c r="D277" s="30" t="str">
        <f>IFERROR(__xludf.DUMMYFUNCTION("IFERROR(GOOGLEFINANCE(C277, ""NAME""))"),"Woodward, Inc.Common Stock")</f>
        <v>Woodward, Inc.Common Stock</v>
      </c>
      <c r="E277" s="30" t="s">
        <v>839</v>
      </c>
      <c r="F277" s="33" t="str">
        <f>IFERROR(__xludf.DUMMYFUNCTION("( (GOOGLEFINANCE(C277, ""price"") - Q277) / Q277 ) / (R277 / 100)"),"Loading...")</f>
        <v>Loading...</v>
      </c>
      <c r="G277" s="20" t="str">
        <f>IFERROR(__xludf.DUMMYFUNCTION("AVERAGE(ARRAYFORMULA(100 * (QUERY(GOOGLEFINANCE(C277, ""high"", TODAY()-40, TODAY()), ""SELECT Col2 WHERE Col2 IS NOT NULL ORDER BY Col1 DESC LIMIT 20"", 0) / QUERY(GOOGLEFINANCE(C277, ""low"", TODAY()-40, TODAY()), ""SELECT Col2 WHERE Col2 IS NOT NULL OR"&amp;"DER BY Col1 DESC LIMIT 20"", 0) - 1)))"),"#N/A")</f>
        <v>#N/A</v>
      </c>
      <c r="H277" s="35" t="str">
        <f t="shared" si="6"/>
        <v/>
      </c>
      <c r="I277" s="35" t="str">
        <f t="shared" si="7"/>
        <v/>
      </c>
      <c r="J277" s="37" t="str">
        <f>IFERROR(__xludf.DUMMYFUNCTION("IFERROR(
  IF(C277="""",, 
    IFERROR(
      GOOGLEFINANCE(C277, ""price"") * GOOGLEFINANCE(C277, ""volumeavg""), 
      GOOGLEFINANCE(C277, ""price"") * AVERAGE(QUERY(GOOGLEFINANCE(C277, ""volume"", TODAY()-40, TODAY()), ""SELECT Col2 WHERE Col2 IS NOT "&amp;"NULL ORDER BY Col1 DESC LIMIT 20"", 0))
    )
  ), 
"""")"),"")</f>
        <v/>
      </c>
      <c r="K277" s="21" t="str">
        <f>IFERROR(__xludf.DUMMYFUNCTION("IFERROR(GOOGLEFINANCE(C277, ""changepct"") / 100, """")"),"")</f>
        <v/>
      </c>
      <c r="L277" s="21" t="str">
        <f>IFERROR(__xludf.DUMMYFUNCTION("IFERROR((GOOGLEFINANCE(C277, ""price"") / INDEX(GOOGLEFINANCE(C277, ""price"", TODAY()-7, TODAY()), 2, 2)) - 1, """")"),"")</f>
        <v/>
      </c>
      <c r="M277" s="21" t="str">
        <f>IFERROR(__xludf.DUMMYFUNCTION("IFERROR((GOOGLEFINANCE(C277, ""price"") / INDEX(GOOGLEFINANCE(C277, ""price"", EDATE(TODAY(), -1), TODAY()), 2, 2)) - 1, """")"),"")</f>
        <v/>
      </c>
      <c r="N277" s="21" t="str">
        <f>IFERROR(__xludf.DUMMYFUNCTION("IFERROR((GOOGLEFINANCE(C277, ""price"") / INDEX(GOOGLEFINANCE(C277, ""price"", EDATE(TODAY(), -3), TODAY()), 2, 2)) - 1, """")"),"")</f>
        <v/>
      </c>
      <c r="O277" s="21" t="str">
        <f>IFERROR(__xludf.DUMMYFUNCTION("IFERROR((GOOGLEFINANCE(C277, ""price"") / INDEX(GOOGLEFINANCE(C277, ""price"", EDATE(TODAY(), -6), TODAY()), 2, 2)) - 1, """")"),"")</f>
        <v/>
      </c>
      <c r="P277" s="21" t="str">
        <f>IFERROR(__xludf.DUMMYFUNCTION("IFERROR((GOOGLEFINANCE(C277, ""price"") / INDEX(GOOGLEFINANCE(C277, ""price"", EDATE(TODAY(), -12), TODAY()), 2, 2)) - 1, """")"),"")</f>
        <v/>
      </c>
      <c r="Q277" s="6" t="str">
        <f>IFERROR(__xludf.DUMMYFUNCTION("AVERAGE(QUERY(GOOGLEFINANCE(C277, ""price"", TODAY()-80, TODAY()), ""SELECT Col2 WHERE Col2 IS NOT NULL ORDER BY Col1 DESC LIMIT 50"", 0))"),"#N/A")</f>
        <v>#N/A</v>
      </c>
      <c r="R277" s="24" t="str">
        <f>IFERROR(__xludf.DUMMYFUNCTION("IFERROR(
  LET(
    data, QUERY(GOOGLEFINANCE(C277,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GOOGLEFINANCE(C277, ""price"")) * 100,
    IF(calc=0, G277, calc)
  ), 
G277)"),"#N/A")</f>
        <v>#N/A</v>
      </c>
      <c r="S277" s="8" t="s">
        <v>15</v>
      </c>
      <c r="T277" s="26" t="str">
        <f>IFERROR(__xludf.DUMMYFUNCTION("IFERROR(TRANSPOSE(QUERY(IFERROR(SORT(GOOGLEFINANCE(C277, ""price"", WORKDAY(TODAY(), -40), TODAY()), 1, FALSE)), ""select Col2 where Col2 is not null limit 22 label Col2 ''"", 0)), """")"),"")</f>
        <v/>
      </c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8"/>
      <c r="AO277" s="28"/>
      <c r="AP277" s="29"/>
      <c r="AQ277" s="29" t="str">
        <f t="shared" ref="AQ277:BL277" si="280">T277/T$2</f>
        <v>#N/A</v>
      </c>
      <c r="AR277" s="29" t="str">
        <f t="shared" si="280"/>
        <v>#DIV/0!</v>
      </c>
      <c r="AS277" s="29" t="str">
        <f t="shared" si="280"/>
        <v>#DIV/0!</v>
      </c>
      <c r="AT277" s="29" t="str">
        <f t="shared" si="280"/>
        <v>#DIV/0!</v>
      </c>
      <c r="AU277" s="29" t="str">
        <f t="shared" si="280"/>
        <v>#DIV/0!</v>
      </c>
      <c r="AV277" s="29" t="str">
        <f t="shared" si="280"/>
        <v>#DIV/0!</v>
      </c>
      <c r="AW277" s="29" t="str">
        <f t="shared" si="280"/>
        <v>#DIV/0!</v>
      </c>
      <c r="AX277" s="29" t="str">
        <f t="shared" si="280"/>
        <v>#DIV/0!</v>
      </c>
      <c r="AY277" s="29" t="str">
        <f t="shared" si="280"/>
        <v>#DIV/0!</v>
      </c>
      <c r="AZ277" s="29" t="str">
        <f t="shared" si="280"/>
        <v>#DIV/0!</v>
      </c>
      <c r="BA277" s="29" t="str">
        <f t="shared" si="280"/>
        <v>#DIV/0!</v>
      </c>
      <c r="BB277" s="29" t="str">
        <f t="shared" si="280"/>
        <v>#DIV/0!</v>
      </c>
      <c r="BC277" s="29" t="str">
        <f t="shared" si="280"/>
        <v>#DIV/0!</v>
      </c>
      <c r="BD277" s="29" t="str">
        <f t="shared" si="280"/>
        <v>#DIV/0!</v>
      </c>
      <c r="BE277" s="29" t="str">
        <f t="shared" si="280"/>
        <v>#DIV/0!</v>
      </c>
      <c r="BF277" s="29" t="str">
        <f t="shared" si="280"/>
        <v>#DIV/0!</v>
      </c>
      <c r="BG277" s="29" t="str">
        <f t="shared" si="280"/>
        <v>#DIV/0!</v>
      </c>
      <c r="BH277" s="29" t="str">
        <f t="shared" si="280"/>
        <v>#DIV/0!</v>
      </c>
      <c r="BI277" s="29" t="str">
        <f t="shared" si="280"/>
        <v>#DIV/0!</v>
      </c>
      <c r="BJ277" s="29" t="str">
        <f t="shared" si="280"/>
        <v>#DIV/0!</v>
      </c>
      <c r="BK277" s="29" t="str">
        <f t="shared" si="280"/>
        <v>#DIV/0!</v>
      </c>
      <c r="BL277" s="29" t="str">
        <f t="shared" si="280"/>
        <v>#DIV/0!</v>
      </c>
      <c r="BM277" s="29" t="str">
        <f t="shared" si="3"/>
        <v>#DIV/0!</v>
      </c>
    </row>
    <row r="278">
      <c r="A278" s="16" t="str">
        <f>IFERROR(__xludf.DUMMYFUNCTION("IFERROR(SPARKLINE(SORT(MAP(TRANSPOSE(AQ278:BL278), LAMBDA(val, IF(ISNUMBER(val), PERCENTRANK(AQ278:BL278, val)+0.01, 0))), SEQUENCE(COLUMNS(AQ278:BL278)), FALSE), {""charttype"",""column""; ""color"",""chartreuse""; ""ymin"", 0; ""ymax"", 1.01; ""highcolo"&amp;"r"", ""darkgreen""; ""lowcolor"", ""red""}), """")"),"")</f>
        <v/>
      </c>
      <c r="B278" s="17" t="str">
        <f t="shared" si="4"/>
        <v/>
      </c>
      <c r="C278" s="1" t="s">
        <v>1922</v>
      </c>
      <c r="D278" s="30" t="str">
        <f>IFERROR(__xludf.DUMMYFUNCTION("IFERROR(GOOGLEFINANCE(C278, ""NAME""))"),"Owens Corning")</f>
        <v>Owens Corning</v>
      </c>
      <c r="E278" s="30" t="s">
        <v>968</v>
      </c>
      <c r="F278" s="33" t="str">
        <f>IFERROR(__xludf.DUMMYFUNCTION("( (GOOGLEFINANCE(C278, ""price"") - Q278) / Q278 ) / (R278 / 100)"),"Loading...")</f>
        <v>Loading...</v>
      </c>
      <c r="G278" s="20" t="str">
        <f>IFERROR(__xludf.DUMMYFUNCTION("AVERAGE(ARRAYFORMULA(100 * (QUERY(GOOGLEFINANCE(C278, ""high"", TODAY()-40, TODAY()), ""SELECT Col2 WHERE Col2 IS NOT NULL ORDER BY Col1 DESC LIMIT 20"", 0) / QUERY(GOOGLEFINANCE(C278, ""low"", TODAY()-40, TODAY()), ""SELECT Col2 WHERE Col2 IS NOT NULL OR"&amp;"DER BY Col1 DESC LIMIT 20"", 0) - 1)))"),"#N/A")</f>
        <v>#N/A</v>
      </c>
      <c r="H278" s="35" t="str">
        <f t="shared" si="6"/>
        <v/>
      </c>
      <c r="I278" s="35" t="str">
        <f t="shared" si="7"/>
        <v/>
      </c>
      <c r="J278" s="37" t="str">
        <f>IFERROR(__xludf.DUMMYFUNCTION("IFERROR(
  IF(C278="""",, 
    IFERROR(
      GOOGLEFINANCE(C278, ""price"") * GOOGLEFINANCE(C278, ""volumeavg""), 
      GOOGLEFINANCE(C278, ""price"") * AVERAGE(QUERY(GOOGLEFINANCE(C278, ""volume"", TODAY()-40, TODAY()), ""SELECT Col2 WHERE Col2 IS NOT "&amp;"NULL ORDER BY Col1 DESC LIMIT 20"", 0))
    )
  ), 
"""")"),"")</f>
        <v/>
      </c>
      <c r="K278" s="21" t="str">
        <f>IFERROR(__xludf.DUMMYFUNCTION("IFERROR(GOOGLEFINANCE(C278, ""changepct"") / 100, """")"),"")</f>
        <v/>
      </c>
      <c r="L278" s="21" t="str">
        <f>IFERROR(__xludf.DUMMYFUNCTION("IFERROR((GOOGLEFINANCE(C278, ""price"") / INDEX(GOOGLEFINANCE(C278, ""price"", TODAY()-7, TODAY()), 2, 2)) - 1, """")"),"")</f>
        <v/>
      </c>
      <c r="M278" s="21" t="str">
        <f>IFERROR(__xludf.DUMMYFUNCTION("IFERROR((GOOGLEFINANCE(C278, ""price"") / INDEX(GOOGLEFINANCE(C278, ""price"", EDATE(TODAY(), -1), TODAY()), 2, 2)) - 1, """")"),"")</f>
        <v/>
      </c>
      <c r="N278" s="21" t="str">
        <f>IFERROR(__xludf.DUMMYFUNCTION("IFERROR((GOOGLEFINANCE(C278, ""price"") / INDEX(GOOGLEFINANCE(C278, ""price"", EDATE(TODAY(), -3), TODAY()), 2, 2)) - 1, """")"),"")</f>
        <v/>
      </c>
      <c r="O278" s="21" t="str">
        <f>IFERROR(__xludf.DUMMYFUNCTION("IFERROR((GOOGLEFINANCE(C278, ""price"") / INDEX(GOOGLEFINANCE(C278, ""price"", EDATE(TODAY(), -6), TODAY()), 2, 2)) - 1, """")"),"")</f>
        <v/>
      </c>
      <c r="P278" s="21" t="str">
        <f>IFERROR(__xludf.DUMMYFUNCTION("IFERROR((GOOGLEFINANCE(C278, ""price"") / INDEX(GOOGLEFINANCE(C278, ""price"", EDATE(TODAY(), -12), TODAY()), 2, 2)) - 1, """")"),"")</f>
        <v/>
      </c>
      <c r="Q278" s="6" t="str">
        <f>IFERROR(__xludf.DUMMYFUNCTION("AVERAGE(QUERY(GOOGLEFINANCE(C278, ""price"", TODAY()-80, TODAY()), ""SELECT Col2 WHERE Col2 IS NOT NULL ORDER BY Col1 DESC LIMIT 50"", 0))"),"#N/A")</f>
        <v>#N/A</v>
      </c>
      <c r="R278" s="24" t="str">
        <f>IFERROR(__xludf.DUMMYFUNCTION("IFERROR(
  LET(
    data, QUERY(GOOGLEFINANCE(C278,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GOOGLEFINANCE(C278, ""price"")) * 100,
    IF(calc=0, G278, calc)
  ), 
G278)"),"#N/A")</f>
        <v>#N/A</v>
      </c>
      <c r="S278" s="8" t="s">
        <v>15</v>
      </c>
      <c r="T278" s="26" t="str">
        <f>IFERROR(__xludf.DUMMYFUNCTION("IFERROR(TRANSPOSE(QUERY(IFERROR(SORT(GOOGLEFINANCE(C278, ""price"", WORKDAY(TODAY(), -40), TODAY()), 1, FALSE)), ""select Col2 where Col2 is not null limit 22 label Col2 ''"", 0)), """")"),"")</f>
        <v/>
      </c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8"/>
      <c r="AO278" s="28"/>
      <c r="AP278" s="29"/>
      <c r="AQ278" s="29" t="str">
        <f t="shared" ref="AQ278:BL278" si="281">T278/T$2</f>
        <v>#N/A</v>
      </c>
      <c r="AR278" s="29" t="str">
        <f t="shared" si="281"/>
        <v>#DIV/0!</v>
      </c>
      <c r="AS278" s="29" t="str">
        <f t="shared" si="281"/>
        <v>#DIV/0!</v>
      </c>
      <c r="AT278" s="29" t="str">
        <f t="shared" si="281"/>
        <v>#DIV/0!</v>
      </c>
      <c r="AU278" s="29" t="str">
        <f t="shared" si="281"/>
        <v>#DIV/0!</v>
      </c>
      <c r="AV278" s="29" t="str">
        <f t="shared" si="281"/>
        <v>#DIV/0!</v>
      </c>
      <c r="AW278" s="29" t="str">
        <f t="shared" si="281"/>
        <v>#DIV/0!</v>
      </c>
      <c r="AX278" s="29" t="str">
        <f t="shared" si="281"/>
        <v>#DIV/0!</v>
      </c>
      <c r="AY278" s="29" t="str">
        <f t="shared" si="281"/>
        <v>#DIV/0!</v>
      </c>
      <c r="AZ278" s="29" t="str">
        <f t="shared" si="281"/>
        <v>#DIV/0!</v>
      </c>
      <c r="BA278" s="29" t="str">
        <f t="shared" si="281"/>
        <v>#DIV/0!</v>
      </c>
      <c r="BB278" s="29" t="str">
        <f t="shared" si="281"/>
        <v>#DIV/0!</v>
      </c>
      <c r="BC278" s="29" t="str">
        <f t="shared" si="281"/>
        <v>#DIV/0!</v>
      </c>
      <c r="BD278" s="29" t="str">
        <f t="shared" si="281"/>
        <v>#DIV/0!</v>
      </c>
      <c r="BE278" s="29" t="str">
        <f t="shared" si="281"/>
        <v>#DIV/0!</v>
      </c>
      <c r="BF278" s="29" t="str">
        <f t="shared" si="281"/>
        <v>#DIV/0!</v>
      </c>
      <c r="BG278" s="29" t="str">
        <f t="shared" si="281"/>
        <v>#DIV/0!</v>
      </c>
      <c r="BH278" s="29" t="str">
        <f t="shared" si="281"/>
        <v>#DIV/0!</v>
      </c>
      <c r="BI278" s="29" t="str">
        <f t="shared" si="281"/>
        <v>#DIV/0!</v>
      </c>
      <c r="BJ278" s="29" t="str">
        <f t="shared" si="281"/>
        <v>#DIV/0!</v>
      </c>
      <c r="BK278" s="29" t="str">
        <f t="shared" si="281"/>
        <v>#DIV/0!</v>
      </c>
      <c r="BL278" s="29" t="str">
        <f t="shared" si="281"/>
        <v>#DIV/0!</v>
      </c>
      <c r="BM278" s="29" t="str">
        <f t="shared" si="3"/>
        <v>#DIV/0!</v>
      </c>
    </row>
    <row r="279">
      <c r="A279" s="16" t="str">
        <f>IFERROR(__xludf.DUMMYFUNCTION("IFERROR(SPARKLINE(SORT(MAP(TRANSPOSE(AQ279:BL279), LAMBDA(val, IF(ISNUMBER(val), PERCENTRANK(AQ279:BL279, val)+0.01, 0))), SEQUENCE(COLUMNS(AQ279:BL279)), FALSE), {""charttype"",""column""; ""color"",""chartreuse""; ""ymin"", 0; ""ymax"", 1.01; ""highcolo"&amp;"r"", ""darkgreen""; ""lowcolor"", ""red""}), """")"),"")</f>
        <v/>
      </c>
      <c r="B279" s="17" t="str">
        <f t="shared" si="4"/>
        <v/>
      </c>
      <c r="C279" s="1" t="s">
        <v>1926</v>
      </c>
      <c r="D279" s="30" t="str">
        <f>IFERROR(__xludf.DUMMYFUNCTION("IFERROR(GOOGLEFINANCE(C279, ""NAME""))"),"Falcon's Beyond Global Inc")</f>
        <v>Falcon's Beyond Global Inc</v>
      </c>
      <c r="E279" s="30" t="s">
        <v>843</v>
      </c>
      <c r="F279" s="38" t="str">
        <f>IFERROR(__xludf.DUMMYFUNCTION("( (GOOGLEFINANCE(C279, ""price"") - Q279) / Q279 ) / (R279 / 100)"),"Loading...")</f>
        <v>Loading...</v>
      </c>
      <c r="G279" s="20" t="str">
        <f>IFERROR(__xludf.DUMMYFUNCTION("AVERAGE(ARRAYFORMULA(100 * (QUERY(GOOGLEFINANCE(C279, ""high"", TODAY()-40, TODAY()), ""SELECT Col2 WHERE Col2 IS NOT NULL ORDER BY Col1 DESC LIMIT 20"", 0) / QUERY(GOOGLEFINANCE(C279, ""low"", TODAY()-40, TODAY()), ""SELECT Col2 WHERE Col2 IS NOT NULL OR"&amp;"DER BY Col1 DESC LIMIT 20"", 0) - 1)))"),"#N/A")</f>
        <v>#N/A</v>
      </c>
      <c r="H279" s="35" t="str">
        <f t="shared" si="6"/>
        <v/>
      </c>
      <c r="I279" s="35" t="str">
        <f t="shared" si="7"/>
        <v/>
      </c>
      <c r="J279" s="37" t="str">
        <f>IFERROR(__xludf.DUMMYFUNCTION("IFERROR(
  IF(C279="""",, 
    IFERROR(
      GOOGLEFINANCE(C279, ""price"") * GOOGLEFINANCE(C279, ""volumeavg""), 
      GOOGLEFINANCE(C279, ""price"") * AVERAGE(QUERY(GOOGLEFINANCE(C279, ""volume"", TODAY()-40, TODAY()), ""SELECT Col2 WHERE Col2 IS NOT "&amp;"NULL ORDER BY Col1 DESC LIMIT 20"", 0))
    )
  ), 
"""")"),"")</f>
        <v/>
      </c>
      <c r="K279" s="21" t="str">
        <f>IFERROR(__xludf.DUMMYFUNCTION("IFERROR(GOOGLEFINANCE(C279, ""changepct"") / 100, """")"),"")</f>
        <v/>
      </c>
      <c r="L279" s="21" t="str">
        <f>IFERROR(__xludf.DUMMYFUNCTION("IFERROR((GOOGLEFINANCE(C279, ""price"") / INDEX(GOOGLEFINANCE(C279, ""price"", TODAY()-7, TODAY()), 2, 2)) - 1, """")"),"")</f>
        <v/>
      </c>
      <c r="M279" s="21" t="str">
        <f>IFERROR(__xludf.DUMMYFUNCTION("IFERROR((GOOGLEFINANCE(C279, ""price"") / INDEX(GOOGLEFINANCE(C279, ""price"", EDATE(TODAY(), -1), TODAY()), 2, 2)) - 1, """")"),"")</f>
        <v/>
      </c>
      <c r="N279" s="21" t="str">
        <f>IFERROR(__xludf.DUMMYFUNCTION("IFERROR((GOOGLEFINANCE(C279, ""price"") / INDEX(GOOGLEFINANCE(C279, ""price"", EDATE(TODAY(), -3), TODAY()), 2, 2)) - 1, """")"),"")</f>
        <v/>
      </c>
      <c r="O279" s="21" t="str">
        <f>IFERROR(__xludf.DUMMYFUNCTION("IFERROR((GOOGLEFINANCE(C279, ""price"") / INDEX(GOOGLEFINANCE(C279, ""price"", EDATE(TODAY(), -6), TODAY()), 2, 2)) - 1, """")"),"")</f>
        <v/>
      </c>
      <c r="P279" s="21" t="str">
        <f>IFERROR(__xludf.DUMMYFUNCTION("IFERROR((GOOGLEFINANCE(C279, ""price"") / INDEX(GOOGLEFINANCE(C279, ""price"", EDATE(TODAY(), -12), TODAY()), 2, 2)) - 1, """")"),"")</f>
        <v/>
      </c>
      <c r="Q279" s="6" t="str">
        <f>IFERROR(__xludf.DUMMYFUNCTION("AVERAGE(QUERY(GOOGLEFINANCE(C279, ""price"", TODAY()-80, TODAY()), ""SELECT Col2 WHERE Col2 IS NOT NULL ORDER BY Col1 DESC LIMIT 50"", 0))"),"#N/A")</f>
        <v>#N/A</v>
      </c>
      <c r="R279" s="24" t="str">
        <f>IFERROR(__xludf.DUMMYFUNCTION("IFERROR(
  LET(
    data, QUERY(GOOGLEFINANCE(C279,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GOOGLEFINANCE(C279, ""price"")) * 100,
    IF(calc=0, G279, calc)
  ), 
G279)"),"#N/A")</f>
        <v>#N/A</v>
      </c>
      <c r="S279" s="8" t="s">
        <v>15</v>
      </c>
      <c r="T279" s="26" t="str">
        <f>IFERROR(__xludf.DUMMYFUNCTION("IFERROR(TRANSPOSE(QUERY(IFERROR(SORT(GOOGLEFINANCE(C279, ""price"", WORKDAY(TODAY(), -40), TODAY()), 1, FALSE)), ""select Col2 where Col2 is not null limit 22 label Col2 ''"", 0)), """")"),"")</f>
        <v/>
      </c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8"/>
      <c r="AO279" s="28"/>
      <c r="AP279" s="29"/>
      <c r="AQ279" s="29" t="str">
        <f t="shared" ref="AQ279:BL279" si="282">T279/T$2</f>
        <v>#N/A</v>
      </c>
      <c r="AR279" s="29" t="str">
        <f t="shared" si="282"/>
        <v>#DIV/0!</v>
      </c>
      <c r="AS279" s="29" t="str">
        <f t="shared" si="282"/>
        <v>#DIV/0!</v>
      </c>
      <c r="AT279" s="29" t="str">
        <f t="shared" si="282"/>
        <v>#DIV/0!</v>
      </c>
      <c r="AU279" s="29" t="str">
        <f t="shared" si="282"/>
        <v>#DIV/0!</v>
      </c>
      <c r="AV279" s="29" t="str">
        <f t="shared" si="282"/>
        <v>#DIV/0!</v>
      </c>
      <c r="AW279" s="29" t="str">
        <f t="shared" si="282"/>
        <v>#DIV/0!</v>
      </c>
      <c r="AX279" s="29" t="str">
        <f t="shared" si="282"/>
        <v>#DIV/0!</v>
      </c>
      <c r="AY279" s="29" t="str">
        <f t="shared" si="282"/>
        <v>#DIV/0!</v>
      </c>
      <c r="AZ279" s="29" t="str">
        <f t="shared" si="282"/>
        <v>#DIV/0!</v>
      </c>
      <c r="BA279" s="29" t="str">
        <f t="shared" si="282"/>
        <v>#DIV/0!</v>
      </c>
      <c r="BB279" s="29" t="str">
        <f t="shared" si="282"/>
        <v>#DIV/0!</v>
      </c>
      <c r="BC279" s="29" t="str">
        <f t="shared" si="282"/>
        <v>#DIV/0!</v>
      </c>
      <c r="BD279" s="29" t="str">
        <f t="shared" si="282"/>
        <v>#DIV/0!</v>
      </c>
      <c r="BE279" s="29" t="str">
        <f t="shared" si="282"/>
        <v>#DIV/0!</v>
      </c>
      <c r="BF279" s="29" t="str">
        <f t="shared" si="282"/>
        <v>#DIV/0!</v>
      </c>
      <c r="BG279" s="29" t="str">
        <f t="shared" si="282"/>
        <v>#DIV/0!</v>
      </c>
      <c r="BH279" s="29" t="str">
        <f t="shared" si="282"/>
        <v>#DIV/0!</v>
      </c>
      <c r="BI279" s="29" t="str">
        <f t="shared" si="282"/>
        <v>#DIV/0!</v>
      </c>
      <c r="BJ279" s="29" t="str">
        <f t="shared" si="282"/>
        <v>#DIV/0!</v>
      </c>
      <c r="BK279" s="29" t="str">
        <f t="shared" si="282"/>
        <v>#DIV/0!</v>
      </c>
      <c r="BL279" s="29" t="str">
        <f t="shared" si="282"/>
        <v>#DIV/0!</v>
      </c>
      <c r="BM279" s="29" t="str">
        <f t="shared" si="3"/>
        <v>#DIV/0!</v>
      </c>
    </row>
    <row r="280">
      <c r="A280" s="16" t="str">
        <f>IFERROR(__xludf.DUMMYFUNCTION("IFERROR(SPARKLINE(SORT(MAP(TRANSPOSE(AQ280:BL280), LAMBDA(val, IF(ISNUMBER(val), PERCENTRANK(AQ280:BL280, val)+0.01, 0))), SEQUENCE(COLUMNS(AQ280:BL280)), FALSE), {""charttype"",""column""; ""color"",""chartreuse""; ""ymin"", 0; ""ymax"", 1.01; ""highcolo"&amp;"r"", ""darkgreen""; ""lowcolor"", ""red""}), """")"),"")</f>
        <v/>
      </c>
      <c r="B280" s="17" t="str">
        <f t="shared" si="4"/>
        <v/>
      </c>
      <c r="C280" s="1" t="s">
        <v>1929</v>
      </c>
      <c r="D280" s="30" t="str">
        <f>IFERROR(__xludf.DUMMYFUNCTION("IFERROR(GOOGLEFINANCE(C280, ""NAME""))"),"NLI Holdings Inc")</f>
        <v>NLI Holdings Inc</v>
      </c>
      <c r="E280" s="30" t="s">
        <v>1020</v>
      </c>
      <c r="F280" s="33" t="str">
        <f>IFERROR(__xludf.DUMMYFUNCTION("( (GOOGLEFINANCE(C280, ""price"") - Q280) / Q280 ) / (R280 / 100)"),"Loading...")</f>
        <v>Loading...</v>
      </c>
      <c r="G280" s="20" t="str">
        <f>IFERROR(__xludf.DUMMYFUNCTION("AVERAGE(ARRAYFORMULA(100 * (QUERY(GOOGLEFINANCE(C280, ""high"", TODAY()-40, TODAY()), ""SELECT Col2 WHERE Col2 IS NOT NULL ORDER BY Col1 DESC LIMIT 20"", 0) / QUERY(GOOGLEFINANCE(C280, ""low"", TODAY()-40, TODAY()), ""SELECT Col2 WHERE Col2 IS NOT NULL OR"&amp;"DER BY Col1 DESC LIMIT 20"", 0) - 1)))"),"#N/A")</f>
        <v>#N/A</v>
      </c>
      <c r="H280" s="35" t="str">
        <f t="shared" si="6"/>
        <v/>
      </c>
      <c r="I280" s="35" t="str">
        <f t="shared" si="7"/>
        <v/>
      </c>
      <c r="J280" s="37" t="str">
        <f>IFERROR(__xludf.DUMMYFUNCTION("IFERROR(
  IF(C280="""",, 
    IFERROR(
      GOOGLEFINANCE(C280, ""price"") * GOOGLEFINANCE(C280, ""volumeavg""), 
      GOOGLEFINANCE(C280, ""price"") * AVERAGE(QUERY(GOOGLEFINANCE(C280, ""volume"", TODAY()-40, TODAY()), ""SELECT Col2 WHERE Col2 IS NOT "&amp;"NULL ORDER BY Col1 DESC LIMIT 20"", 0))
    )
  ), 
"""")"),"")</f>
        <v/>
      </c>
      <c r="K280" s="21" t="str">
        <f>IFERROR(__xludf.DUMMYFUNCTION("IFERROR(GOOGLEFINANCE(C280, ""changepct"") / 100, """")"),"")</f>
        <v/>
      </c>
      <c r="L280" s="21" t="str">
        <f>IFERROR(__xludf.DUMMYFUNCTION("IFERROR((GOOGLEFINANCE(C280, ""price"") / INDEX(GOOGLEFINANCE(C280, ""price"", TODAY()-7, TODAY()), 2, 2)) - 1, """")"),"")</f>
        <v/>
      </c>
      <c r="M280" s="21" t="str">
        <f>IFERROR(__xludf.DUMMYFUNCTION("IFERROR((GOOGLEFINANCE(C280, ""price"") / INDEX(GOOGLEFINANCE(C280, ""price"", EDATE(TODAY(), -1), TODAY()), 2, 2)) - 1, """")"),"")</f>
        <v/>
      </c>
      <c r="N280" s="21" t="str">
        <f>IFERROR(__xludf.DUMMYFUNCTION("IFERROR((GOOGLEFINANCE(C280, ""price"") / INDEX(GOOGLEFINANCE(C280, ""price"", EDATE(TODAY(), -3), TODAY()), 2, 2)) - 1, """")"),"")</f>
        <v/>
      </c>
      <c r="O280" s="21" t="str">
        <f>IFERROR(__xludf.DUMMYFUNCTION("IFERROR((GOOGLEFINANCE(C280, ""price"") / INDEX(GOOGLEFINANCE(C280, ""price"", EDATE(TODAY(), -6), TODAY()), 2, 2)) - 1, """")"),"")</f>
        <v/>
      </c>
      <c r="P280" s="21" t="str">
        <f>IFERROR(__xludf.DUMMYFUNCTION("IFERROR((GOOGLEFINANCE(C280, ""price"") / INDEX(GOOGLEFINANCE(C280, ""price"", EDATE(TODAY(), -12), TODAY()), 2, 2)) - 1, """")"),"")</f>
        <v/>
      </c>
      <c r="Q280" s="6" t="str">
        <f>IFERROR(__xludf.DUMMYFUNCTION("AVERAGE(QUERY(GOOGLEFINANCE(C280, ""price"", TODAY()-80, TODAY()), ""SELECT Col2 WHERE Col2 IS NOT NULL ORDER BY Col1 DESC LIMIT 50"", 0))"),"#N/A")</f>
        <v>#N/A</v>
      </c>
      <c r="R280" s="24" t="str">
        <f>IFERROR(__xludf.DUMMYFUNCTION("IFERROR(
  LET(
    data, QUERY(GOOGLEFINANCE(C280,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GOOGLEFINANCE(C280, ""price"")) * 100,
    IF(calc=0, G280, calc)
  ), 
G280)"),"#N/A")</f>
        <v>#N/A</v>
      </c>
      <c r="S280" s="8" t="s">
        <v>15</v>
      </c>
      <c r="T280" s="26" t="str">
        <f>IFERROR(__xludf.DUMMYFUNCTION("IFERROR(TRANSPOSE(QUERY(IFERROR(SORT(GOOGLEFINANCE(C280, ""price"", WORKDAY(TODAY(), -40), TODAY()), 1, FALSE)), ""select Col2 where Col2 is not null limit 22 label Col2 ''"", 0)), """")"),"")</f>
        <v/>
      </c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8"/>
      <c r="AO280" s="28"/>
      <c r="AP280" s="29"/>
      <c r="AQ280" s="29" t="str">
        <f t="shared" ref="AQ280:BL280" si="283">T280/T$2</f>
        <v>#N/A</v>
      </c>
      <c r="AR280" s="29" t="str">
        <f t="shared" si="283"/>
        <v>#DIV/0!</v>
      </c>
      <c r="AS280" s="29" t="str">
        <f t="shared" si="283"/>
        <v>#DIV/0!</v>
      </c>
      <c r="AT280" s="29" t="str">
        <f t="shared" si="283"/>
        <v>#DIV/0!</v>
      </c>
      <c r="AU280" s="29" t="str">
        <f t="shared" si="283"/>
        <v>#DIV/0!</v>
      </c>
      <c r="AV280" s="29" t="str">
        <f t="shared" si="283"/>
        <v>#DIV/0!</v>
      </c>
      <c r="AW280" s="29" t="str">
        <f t="shared" si="283"/>
        <v>#DIV/0!</v>
      </c>
      <c r="AX280" s="29" t="str">
        <f t="shared" si="283"/>
        <v>#DIV/0!</v>
      </c>
      <c r="AY280" s="29" t="str">
        <f t="shared" si="283"/>
        <v>#DIV/0!</v>
      </c>
      <c r="AZ280" s="29" t="str">
        <f t="shared" si="283"/>
        <v>#DIV/0!</v>
      </c>
      <c r="BA280" s="29" t="str">
        <f t="shared" si="283"/>
        <v>#DIV/0!</v>
      </c>
      <c r="BB280" s="29" t="str">
        <f t="shared" si="283"/>
        <v>#DIV/0!</v>
      </c>
      <c r="BC280" s="29" t="str">
        <f t="shared" si="283"/>
        <v>#DIV/0!</v>
      </c>
      <c r="BD280" s="29" t="str">
        <f t="shared" si="283"/>
        <v>#DIV/0!</v>
      </c>
      <c r="BE280" s="29" t="str">
        <f t="shared" si="283"/>
        <v>#DIV/0!</v>
      </c>
      <c r="BF280" s="29" t="str">
        <f t="shared" si="283"/>
        <v>#DIV/0!</v>
      </c>
      <c r="BG280" s="29" t="str">
        <f t="shared" si="283"/>
        <v>#DIV/0!</v>
      </c>
      <c r="BH280" s="29" t="str">
        <f t="shared" si="283"/>
        <v>#DIV/0!</v>
      </c>
      <c r="BI280" s="29" t="str">
        <f t="shared" si="283"/>
        <v>#DIV/0!</v>
      </c>
      <c r="BJ280" s="29" t="str">
        <f t="shared" si="283"/>
        <v>#DIV/0!</v>
      </c>
      <c r="BK280" s="29" t="str">
        <f t="shared" si="283"/>
        <v>#DIV/0!</v>
      </c>
      <c r="BL280" s="29" t="str">
        <f t="shared" si="283"/>
        <v>#DIV/0!</v>
      </c>
      <c r="BM280" s="29" t="str">
        <f t="shared" si="3"/>
        <v>#DIV/0!</v>
      </c>
    </row>
    <row r="281">
      <c r="A281" s="16" t="str">
        <f>IFERROR(__xludf.DUMMYFUNCTION("IFERROR(SPARKLINE(SORT(MAP(TRANSPOSE(AQ281:BL281), LAMBDA(val, IF(ISNUMBER(val), PERCENTRANK(AQ281:BL281, val)+0.01, 0))), SEQUENCE(COLUMNS(AQ281:BL281)), FALSE), {""charttype"",""column""; ""color"",""chartreuse""; ""ymin"", 0; ""ymax"", 1.01; ""highcolo"&amp;"r"", ""darkgreen""; ""lowcolor"", ""red""}), """")"),"")</f>
        <v/>
      </c>
      <c r="B281" s="17" t="str">
        <f t="shared" si="4"/>
        <v/>
      </c>
      <c r="C281" s="1" t="s">
        <v>1933</v>
      </c>
      <c r="D281" s="30" t="str">
        <f>IFERROR(__xludf.DUMMYFUNCTION("IFERROR(GOOGLEFINANCE(C281, ""NAME""))"),"Amentum Holdings Inc")</f>
        <v>Amentum Holdings Inc</v>
      </c>
      <c r="E281" s="30" t="s">
        <v>916</v>
      </c>
      <c r="F281" s="33" t="str">
        <f>IFERROR(__xludf.DUMMYFUNCTION("( (GOOGLEFINANCE(C281, ""price"") - Q281) / Q281 ) / (R281 / 100)"),"Loading...")</f>
        <v>Loading...</v>
      </c>
      <c r="G281" s="20" t="str">
        <f>IFERROR(__xludf.DUMMYFUNCTION("AVERAGE(ARRAYFORMULA(100 * (QUERY(GOOGLEFINANCE(C281, ""high"", TODAY()-40, TODAY()), ""SELECT Col2 WHERE Col2 IS NOT NULL ORDER BY Col1 DESC LIMIT 20"", 0) / QUERY(GOOGLEFINANCE(C281, ""low"", TODAY()-40, TODAY()), ""SELECT Col2 WHERE Col2 IS NOT NULL OR"&amp;"DER BY Col1 DESC LIMIT 20"", 0) - 1)))"),"#N/A")</f>
        <v>#N/A</v>
      </c>
      <c r="H281" s="35" t="str">
        <f t="shared" si="6"/>
        <v/>
      </c>
      <c r="I281" s="35" t="str">
        <f t="shared" si="7"/>
        <v/>
      </c>
      <c r="J281" s="37" t="str">
        <f>IFERROR(__xludf.DUMMYFUNCTION("IFERROR(
  IF(C281="""",, 
    IFERROR(
      GOOGLEFINANCE(C281, ""price"") * GOOGLEFINANCE(C281, ""volumeavg""), 
      GOOGLEFINANCE(C281, ""price"") * AVERAGE(QUERY(GOOGLEFINANCE(C281, ""volume"", TODAY()-40, TODAY()), ""SELECT Col2 WHERE Col2 IS NOT "&amp;"NULL ORDER BY Col1 DESC LIMIT 20"", 0))
    )
  ), 
"""")"),"")</f>
        <v/>
      </c>
      <c r="K281" s="21" t="str">
        <f>IFERROR(__xludf.DUMMYFUNCTION("IFERROR(GOOGLEFINANCE(C281, ""changepct"") / 100, """")"),"")</f>
        <v/>
      </c>
      <c r="L281" s="21" t="str">
        <f>IFERROR(__xludf.DUMMYFUNCTION("IFERROR((GOOGLEFINANCE(C281, ""price"") / INDEX(GOOGLEFINANCE(C281, ""price"", TODAY()-7, TODAY()), 2, 2)) - 1, """")"),"")</f>
        <v/>
      </c>
      <c r="M281" s="21" t="str">
        <f>IFERROR(__xludf.DUMMYFUNCTION("IFERROR((GOOGLEFINANCE(C281, ""price"") / INDEX(GOOGLEFINANCE(C281, ""price"", EDATE(TODAY(), -1), TODAY()), 2, 2)) - 1, """")"),"")</f>
        <v/>
      </c>
      <c r="N281" s="21" t="str">
        <f>IFERROR(__xludf.DUMMYFUNCTION("IFERROR((GOOGLEFINANCE(C281, ""price"") / INDEX(GOOGLEFINANCE(C281, ""price"", EDATE(TODAY(), -3), TODAY()), 2, 2)) - 1, """")"),"")</f>
        <v/>
      </c>
      <c r="O281" s="21" t="str">
        <f>IFERROR(__xludf.DUMMYFUNCTION("IFERROR((GOOGLEFINANCE(C281, ""price"") / INDEX(GOOGLEFINANCE(C281, ""price"", EDATE(TODAY(), -6), TODAY()), 2, 2)) - 1, """")"),"")</f>
        <v/>
      </c>
      <c r="P281" s="21" t="str">
        <f>IFERROR(__xludf.DUMMYFUNCTION("IFERROR((GOOGLEFINANCE(C281, ""price"") / INDEX(GOOGLEFINANCE(C281, ""price"", EDATE(TODAY(), -12), TODAY()), 2, 2)) - 1, """")"),"")</f>
        <v/>
      </c>
      <c r="Q281" s="6" t="str">
        <f>IFERROR(__xludf.DUMMYFUNCTION("AVERAGE(QUERY(GOOGLEFINANCE(C281, ""price"", TODAY()-80, TODAY()), ""SELECT Col2 WHERE Col2 IS NOT NULL ORDER BY Col1 DESC LIMIT 50"", 0))"),"#N/A")</f>
        <v>#N/A</v>
      </c>
      <c r="R281" s="24" t="str">
        <f>IFERROR(__xludf.DUMMYFUNCTION("IFERROR(
  LET(
    data, QUERY(GOOGLEFINANCE(C281,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GOOGLEFINANCE(C281, ""price"")) * 100,
    IF(calc=0, G281, calc)
  ), 
G281)"),"#N/A")</f>
        <v>#N/A</v>
      </c>
      <c r="S281" s="8" t="s">
        <v>15</v>
      </c>
      <c r="T281" s="26" t="str">
        <f>IFERROR(__xludf.DUMMYFUNCTION("IFERROR(TRANSPOSE(QUERY(IFERROR(SORT(GOOGLEFINANCE(C281, ""price"", WORKDAY(TODAY(), -40), TODAY()), 1, FALSE)), ""select Col2 where Col2 is not null limit 22 label Col2 ''"", 0)), """")"),"")</f>
        <v/>
      </c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8"/>
      <c r="AO281" s="28"/>
      <c r="AP281" s="29"/>
      <c r="AQ281" s="29" t="str">
        <f t="shared" ref="AQ281:BL281" si="284">T281/T$2</f>
        <v>#N/A</v>
      </c>
      <c r="AR281" s="29" t="str">
        <f t="shared" si="284"/>
        <v>#DIV/0!</v>
      </c>
      <c r="AS281" s="29" t="str">
        <f t="shared" si="284"/>
        <v>#DIV/0!</v>
      </c>
      <c r="AT281" s="29" t="str">
        <f t="shared" si="284"/>
        <v>#DIV/0!</v>
      </c>
      <c r="AU281" s="29" t="str">
        <f t="shared" si="284"/>
        <v>#DIV/0!</v>
      </c>
      <c r="AV281" s="29" t="str">
        <f t="shared" si="284"/>
        <v>#DIV/0!</v>
      </c>
      <c r="AW281" s="29" t="str">
        <f t="shared" si="284"/>
        <v>#DIV/0!</v>
      </c>
      <c r="AX281" s="29" t="str">
        <f t="shared" si="284"/>
        <v>#DIV/0!</v>
      </c>
      <c r="AY281" s="29" t="str">
        <f t="shared" si="284"/>
        <v>#DIV/0!</v>
      </c>
      <c r="AZ281" s="29" t="str">
        <f t="shared" si="284"/>
        <v>#DIV/0!</v>
      </c>
      <c r="BA281" s="29" t="str">
        <f t="shared" si="284"/>
        <v>#DIV/0!</v>
      </c>
      <c r="BB281" s="29" t="str">
        <f t="shared" si="284"/>
        <v>#DIV/0!</v>
      </c>
      <c r="BC281" s="29" t="str">
        <f t="shared" si="284"/>
        <v>#DIV/0!</v>
      </c>
      <c r="BD281" s="29" t="str">
        <f t="shared" si="284"/>
        <v>#DIV/0!</v>
      </c>
      <c r="BE281" s="29" t="str">
        <f t="shared" si="284"/>
        <v>#DIV/0!</v>
      </c>
      <c r="BF281" s="29" t="str">
        <f t="shared" si="284"/>
        <v>#DIV/0!</v>
      </c>
      <c r="BG281" s="29" t="str">
        <f t="shared" si="284"/>
        <v>#DIV/0!</v>
      </c>
      <c r="BH281" s="29" t="str">
        <f t="shared" si="284"/>
        <v>#DIV/0!</v>
      </c>
      <c r="BI281" s="29" t="str">
        <f t="shared" si="284"/>
        <v>#DIV/0!</v>
      </c>
      <c r="BJ281" s="29" t="str">
        <f t="shared" si="284"/>
        <v>#DIV/0!</v>
      </c>
      <c r="BK281" s="29" t="str">
        <f t="shared" si="284"/>
        <v>#DIV/0!</v>
      </c>
      <c r="BL281" s="29" t="str">
        <f t="shared" si="284"/>
        <v>#DIV/0!</v>
      </c>
      <c r="BM281" s="29" t="str">
        <f t="shared" si="3"/>
        <v>#DIV/0!</v>
      </c>
    </row>
    <row r="282">
      <c r="A282" s="16" t="str">
        <f>IFERROR(__xludf.DUMMYFUNCTION("IFERROR(SPARKLINE(SORT(MAP(TRANSPOSE(AQ282:BL282), LAMBDA(val, IF(ISNUMBER(val), PERCENTRANK(AQ282:BL282, val)+0.01, 0))), SEQUENCE(COLUMNS(AQ282:BL282)), FALSE), {""charttype"",""column""; ""color"",""chartreuse""; ""ymin"", 0; ""ymax"", 1.01; ""highcolo"&amp;"r"", ""darkgreen""; ""lowcolor"", ""red""}), """")"),"")</f>
        <v/>
      </c>
      <c r="B282" s="17" t="str">
        <f t="shared" si="4"/>
        <v/>
      </c>
      <c r="C282" s="1" t="s">
        <v>1937</v>
      </c>
      <c r="D282" s="30" t="str">
        <f>IFERROR(__xludf.DUMMYFUNCTION("IFERROR(GOOGLEFINANCE(C282, ""NAME""))"),"RB Global Inc (Ontario)")</f>
        <v>RB Global Inc (Ontario)</v>
      </c>
      <c r="E282" s="30" t="s">
        <v>916</v>
      </c>
      <c r="F282" s="33" t="str">
        <f>IFERROR(__xludf.DUMMYFUNCTION("( (GOOGLEFINANCE(C282, ""price"") - Q282) / Q282 ) / (R282 / 100)"),"Loading...")</f>
        <v>Loading...</v>
      </c>
      <c r="G282" s="20" t="str">
        <f>IFERROR(__xludf.DUMMYFUNCTION("AVERAGE(ARRAYFORMULA(100 * (QUERY(GOOGLEFINANCE(C282, ""high"", TODAY()-40, TODAY()), ""SELECT Col2 WHERE Col2 IS NOT NULL ORDER BY Col1 DESC LIMIT 20"", 0) / QUERY(GOOGLEFINANCE(C282, ""low"", TODAY()-40, TODAY()), ""SELECT Col2 WHERE Col2 IS NOT NULL OR"&amp;"DER BY Col1 DESC LIMIT 20"", 0) - 1)))"),"#N/A")</f>
        <v>#N/A</v>
      </c>
      <c r="H282" s="35" t="str">
        <f t="shared" si="6"/>
        <v/>
      </c>
      <c r="I282" s="35" t="str">
        <f t="shared" si="7"/>
        <v/>
      </c>
      <c r="J282" s="37" t="str">
        <f>IFERROR(__xludf.DUMMYFUNCTION("IFERROR(
  IF(C282="""",, 
    IFERROR(
      GOOGLEFINANCE(C282, ""price"") * GOOGLEFINANCE(C282, ""volumeavg""), 
      GOOGLEFINANCE(C282, ""price"") * AVERAGE(QUERY(GOOGLEFINANCE(C282, ""volume"", TODAY()-40, TODAY()), ""SELECT Col2 WHERE Col2 IS NOT "&amp;"NULL ORDER BY Col1 DESC LIMIT 20"", 0))
    )
  ), 
"""")"),"")</f>
        <v/>
      </c>
      <c r="K282" s="21" t="str">
        <f>IFERROR(__xludf.DUMMYFUNCTION("IFERROR(GOOGLEFINANCE(C282, ""changepct"") / 100, """")"),"")</f>
        <v/>
      </c>
      <c r="L282" s="21" t="str">
        <f>IFERROR(__xludf.DUMMYFUNCTION("IFERROR((GOOGLEFINANCE(C282, ""price"") / INDEX(GOOGLEFINANCE(C282, ""price"", TODAY()-7, TODAY()), 2, 2)) - 1, """")"),"")</f>
        <v/>
      </c>
      <c r="M282" s="21" t="str">
        <f>IFERROR(__xludf.DUMMYFUNCTION("IFERROR((GOOGLEFINANCE(C282, ""price"") / INDEX(GOOGLEFINANCE(C282, ""price"", EDATE(TODAY(), -1), TODAY()), 2, 2)) - 1, """")"),"")</f>
        <v/>
      </c>
      <c r="N282" s="21" t="str">
        <f>IFERROR(__xludf.DUMMYFUNCTION("IFERROR((GOOGLEFINANCE(C282, ""price"") / INDEX(GOOGLEFINANCE(C282, ""price"", EDATE(TODAY(), -3), TODAY()), 2, 2)) - 1, """")"),"")</f>
        <v/>
      </c>
      <c r="O282" s="21" t="str">
        <f>IFERROR(__xludf.DUMMYFUNCTION("IFERROR((GOOGLEFINANCE(C282, ""price"") / INDEX(GOOGLEFINANCE(C282, ""price"", EDATE(TODAY(), -6), TODAY()), 2, 2)) - 1, """")"),"")</f>
        <v/>
      </c>
      <c r="P282" s="21" t="str">
        <f>IFERROR(__xludf.DUMMYFUNCTION("IFERROR((GOOGLEFINANCE(C282, ""price"") / INDEX(GOOGLEFINANCE(C282, ""price"", EDATE(TODAY(), -12), TODAY()), 2, 2)) - 1, """")"),"")</f>
        <v/>
      </c>
      <c r="Q282" s="6" t="str">
        <f>IFERROR(__xludf.DUMMYFUNCTION("AVERAGE(QUERY(GOOGLEFINANCE(C282, ""price"", TODAY()-80, TODAY()), ""SELECT Col2 WHERE Col2 IS NOT NULL ORDER BY Col1 DESC LIMIT 50"", 0))"),"#N/A")</f>
        <v>#N/A</v>
      </c>
      <c r="R282" s="24" t="str">
        <f>IFERROR(__xludf.DUMMYFUNCTION("IFERROR(
  LET(
    data, QUERY(GOOGLEFINANCE(C282,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GOOGLEFINANCE(C282, ""price"")) * 100,
    IF(calc=0, G282, calc)
  ), 
G282)"),"#N/A")</f>
        <v>#N/A</v>
      </c>
      <c r="S282" s="8" t="s">
        <v>15</v>
      </c>
      <c r="T282" s="26" t="str">
        <f>IFERROR(__xludf.DUMMYFUNCTION("IFERROR(TRANSPOSE(QUERY(IFERROR(SORT(GOOGLEFINANCE(C282, ""price"", WORKDAY(TODAY(), -40), TODAY()), 1, FALSE)), ""select Col2 where Col2 is not null limit 22 label Col2 ''"", 0)), """")"),"")</f>
        <v/>
      </c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8"/>
      <c r="AO282" s="28"/>
      <c r="AP282" s="29"/>
      <c r="AQ282" s="29" t="str">
        <f t="shared" ref="AQ282:BL282" si="285">T282/T$2</f>
        <v>#N/A</v>
      </c>
      <c r="AR282" s="29" t="str">
        <f t="shared" si="285"/>
        <v>#DIV/0!</v>
      </c>
      <c r="AS282" s="29" t="str">
        <f t="shared" si="285"/>
        <v>#DIV/0!</v>
      </c>
      <c r="AT282" s="29" t="str">
        <f t="shared" si="285"/>
        <v>#DIV/0!</v>
      </c>
      <c r="AU282" s="29" t="str">
        <f t="shared" si="285"/>
        <v>#DIV/0!</v>
      </c>
      <c r="AV282" s="29" t="str">
        <f t="shared" si="285"/>
        <v>#DIV/0!</v>
      </c>
      <c r="AW282" s="29" t="str">
        <f t="shared" si="285"/>
        <v>#DIV/0!</v>
      </c>
      <c r="AX282" s="29" t="str">
        <f t="shared" si="285"/>
        <v>#DIV/0!</v>
      </c>
      <c r="AY282" s="29" t="str">
        <f t="shared" si="285"/>
        <v>#DIV/0!</v>
      </c>
      <c r="AZ282" s="29" t="str">
        <f t="shared" si="285"/>
        <v>#DIV/0!</v>
      </c>
      <c r="BA282" s="29" t="str">
        <f t="shared" si="285"/>
        <v>#DIV/0!</v>
      </c>
      <c r="BB282" s="29" t="str">
        <f t="shared" si="285"/>
        <v>#DIV/0!</v>
      </c>
      <c r="BC282" s="29" t="str">
        <f t="shared" si="285"/>
        <v>#DIV/0!</v>
      </c>
      <c r="BD282" s="29" t="str">
        <f t="shared" si="285"/>
        <v>#DIV/0!</v>
      </c>
      <c r="BE282" s="29" t="str">
        <f t="shared" si="285"/>
        <v>#DIV/0!</v>
      </c>
      <c r="BF282" s="29" t="str">
        <f t="shared" si="285"/>
        <v>#DIV/0!</v>
      </c>
      <c r="BG282" s="29" t="str">
        <f t="shared" si="285"/>
        <v>#DIV/0!</v>
      </c>
      <c r="BH282" s="29" t="str">
        <f t="shared" si="285"/>
        <v>#DIV/0!</v>
      </c>
      <c r="BI282" s="29" t="str">
        <f t="shared" si="285"/>
        <v>#DIV/0!</v>
      </c>
      <c r="BJ282" s="29" t="str">
        <f t="shared" si="285"/>
        <v>#DIV/0!</v>
      </c>
      <c r="BK282" s="29" t="str">
        <f t="shared" si="285"/>
        <v>#DIV/0!</v>
      </c>
      <c r="BL282" s="29" t="str">
        <f t="shared" si="285"/>
        <v>#DIV/0!</v>
      </c>
      <c r="BM282" s="29" t="str">
        <f t="shared" si="3"/>
        <v>#DIV/0!</v>
      </c>
    </row>
    <row r="283">
      <c r="A283" s="16" t="str">
        <f>IFERROR(__xludf.DUMMYFUNCTION("IFERROR(SPARKLINE(SORT(MAP(TRANSPOSE(AQ283:BL283), LAMBDA(val, IF(ISNUMBER(val), PERCENTRANK(AQ283:BL283, val)+0.01, 0))), SEQUENCE(COLUMNS(AQ283:BL283)), FALSE), {""charttype"",""column""; ""color"",""chartreuse""; ""ymin"", 0; ""ymax"", 1.01; ""highcolo"&amp;"r"", ""darkgreen""; ""lowcolor"", ""red""}), """")"),"")</f>
        <v/>
      </c>
      <c r="B283" s="17" t="str">
        <f t="shared" si="4"/>
        <v/>
      </c>
      <c r="C283" s="1" t="s">
        <v>1940</v>
      </c>
      <c r="D283" s="30" t="str">
        <f>IFERROR(__xludf.DUMMYFUNCTION("IFERROR(GOOGLEFINANCE(C283, ""NAME""))"),"Matthews International Corp")</f>
        <v>Matthews International Corp</v>
      </c>
      <c r="E283" s="30" t="s">
        <v>843</v>
      </c>
      <c r="F283" s="33" t="str">
        <f>IFERROR(__xludf.DUMMYFUNCTION("( (GOOGLEFINANCE(C283, ""price"") - Q283) / Q283 ) / (R283 / 100)"),"Loading...")</f>
        <v>Loading...</v>
      </c>
      <c r="G283" s="20" t="str">
        <f>IFERROR(__xludf.DUMMYFUNCTION("AVERAGE(ARRAYFORMULA(100 * (QUERY(GOOGLEFINANCE(C283, ""high"", TODAY()-40, TODAY()), ""SELECT Col2 WHERE Col2 IS NOT NULL ORDER BY Col1 DESC LIMIT 20"", 0) / QUERY(GOOGLEFINANCE(C283, ""low"", TODAY()-40, TODAY()), ""SELECT Col2 WHERE Col2 IS NOT NULL OR"&amp;"DER BY Col1 DESC LIMIT 20"", 0) - 1)))"),"#N/A")</f>
        <v>#N/A</v>
      </c>
      <c r="H283" s="35" t="str">
        <f t="shared" si="6"/>
        <v/>
      </c>
      <c r="I283" s="35" t="str">
        <f t="shared" si="7"/>
        <v/>
      </c>
      <c r="J283" s="37" t="str">
        <f>IFERROR(__xludf.DUMMYFUNCTION("IFERROR(
  IF(C283="""",, 
    IFERROR(
      GOOGLEFINANCE(C283, ""price"") * GOOGLEFINANCE(C283, ""volumeavg""), 
      GOOGLEFINANCE(C283, ""price"") * AVERAGE(QUERY(GOOGLEFINANCE(C283, ""volume"", TODAY()-40, TODAY()), ""SELECT Col2 WHERE Col2 IS NOT "&amp;"NULL ORDER BY Col1 DESC LIMIT 20"", 0))
    )
  ), 
"""")"),"")</f>
        <v/>
      </c>
      <c r="K283" s="21" t="str">
        <f>IFERROR(__xludf.DUMMYFUNCTION("IFERROR(GOOGLEFINANCE(C283, ""changepct"") / 100, """")"),"")</f>
        <v/>
      </c>
      <c r="L283" s="21" t="str">
        <f>IFERROR(__xludf.DUMMYFUNCTION("IFERROR((GOOGLEFINANCE(C283, ""price"") / INDEX(GOOGLEFINANCE(C283, ""price"", TODAY()-7, TODAY()), 2, 2)) - 1, """")"),"")</f>
        <v/>
      </c>
      <c r="M283" s="21" t="str">
        <f>IFERROR(__xludf.DUMMYFUNCTION("IFERROR((GOOGLEFINANCE(C283, ""price"") / INDEX(GOOGLEFINANCE(C283, ""price"", EDATE(TODAY(), -1), TODAY()), 2, 2)) - 1, """")"),"")</f>
        <v/>
      </c>
      <c r="N283" s="21" t="str">
        <f>IFERROR(__xludf.DUMMYFUNCTION("IFERROR((GOOGLEFINANCE(C283, ""price"") / INDEX(GOOGLEFINANCE(C283, ""price"", EDATE(TODAY(), -3), TODAY()), 2, 2)) - 1, """")"),"")</f>
        <v/>
      </c>
      <c r="O283" s="21" t="str">
        <f>IFERROR(__xludf.DUMMYFUNCTION("IFERROR((GOOGLEFINANCE(C283, ""price"") / INDEX(GOOGLEFINANCE(C283, ""price"", EDATE(TODAY(), -6), TODAY()), 2, 2)) - 1, """")"),"")</f>
        <v/>
      </c>
      <c r="P283" s="21" t="str">
        <f>IFERROR(__xludf.DUMMYFUNCTION("IFERROR((GOOGLEFINANCE(C283, ""price"") / INDEX(GOOGLEFINANCE(C283, ""price"", EDATE(TODAY(), -12), TODAY()), 2, 2)) - 1, """")"),"")</f>
        <v/>
      </c>
      <c r="Q283" s="6" t="str">
        <f>IFERROR(__xludf.DUMMYFUNCTION("AVERAGE(QUERY(GOOGLEFINANCE(C283, ""price"", TODAY()-80, TODAY()), ""SELECT Col2 WHERE Col2 IS NOT NULL ORDER BY Col1 DESC LIMIT 50"", 0))"),"#N/A")</f>
        <v>#N/A</v>
      </c>
      <c r="R283" s="24" t="str">
        <f>IFERROR(__xludf.DUMMYFUNCTION("IFERROR(
  LET(
    data, QUERY(GOOGLEFINANCE(C283,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GOOGLEFINANCE(C283, ""price"")) * 100,
    IF(calc=0, G283, calc)
  ), 
G283)"),"#N/A")</f>
        <v>#N/A</v>
      </c>
      <c r="S283" s="8" t="s">
        <v>15</v>
      </c>
      <c r="T283" s="26" t="str">
        <f>IFERROR(__xludf.DUMMYFUNCTION("IFERROR(TRANSPOSE(QUERY(IFERROR(SORT(GOOGLEFINANCE(C283, ""price"", WORKDAY(TODAY(), -40), TODAY()), 1, FALSE)), ""select Col2 where Col2 is not null limit 22 label Col2 ''"", 0)), """")"),"")</f>
        <v/>
      </c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8"/>
      <c r="AO283" s="28"/>
      <c r="AP283" s="29"/>
      <c r="AQ283" s="29" t="str">
        <f t="shared" ref="AQ283:BL283" si="286">T283/T$2</f>
        <v>#N/A</v>
      </c>
      <c r="AR283" s="29" t="str">
        <f t="shared" si="286"/>
        <v>#DIV/0!</v>
      </c>
      <c r="AS283" s="29" t="str">
        <f t="shared" si="286"/>
        <v>#DIV/0!</v>
      </c>
      <c r="AT283" s="29" t="str">
        <f t="shared" si="286"/>
        <v>#DIV/0!</v>
      </c>
      <c r="AU283" s="29" t="str">
        <f t="shared" si="286"/>
        <v>#DIV/0!</v>
      </c>
      <c r="AV283" s="29" t="str">
        <f t="shared" si="286"/>
        <v>#DIV/0!</v>
      </c>
      <c r="AW283" s="29" t="str">
        <f t="shared" si="286"/>
        <v>#DIV/0!</v>
      </c>
      <c r="AX283" s="29" t="str">
        <f t="shared" si="286"/>
        <v>#DIV/0!</v>
      </c>
      <c r="AY283" s="29" t="str">
        <f t="shared" si="286"/>
        <v>#DIV/0!</v>
      </c>
      <c r="AZ283" s="29" t="str">
        <f t="shared" si="286"/>
        <v>#DIV/0!</v>
      </c>
      <c r="BA283" s="29" t="str">
        <f t="shared" si="286"/>
        <v>#DIV/0!</v>
      </c>
      <c r="BB283" s="29" t="str">
        <f t="shared" si="286"/>
        <v>#DIV/0!</v>
      </c>
      <c r="BC283" s="29" t="str">
        <f t="shared" si="286"/>
        <v>#DIV/0!</v>
      </c>
      <c r="BD283" s="29" t="str">
        <f t="shared" si="286"/>
        <v>#DIV/0!</v>
      </c>
      <c r="BE283" s="29" t="str">
        <f t="shared" si="286"/>
        <v>#DIV/0!</v>
      </c>
      <c r="BF283" s="29" t="str">
        <f t="shared" si="286"/>
        <v>#DIV/0!</v>
      </c>
      <c r="BG283" s="29" t="str">
        <f t="shared" si="286"/>
        <v>#DIV/0!</v>
      </c>
      <c r="BH283" s="29" t="str">
        <f t="shared" si="286"/>
        <v>#DIV/0!</v>
      </c>
      <c r="BI283" s="29" t="str">
        <f t="shared" si="286"/>
        <v>#DIV/0!</v>
      </c>
      <c r="BJ283" s="29" t="str">
        <f t="shared" si="286"/>
        <v>#DIV/0!</v>
      </c>
      <c r="BK283" s="29" t="str">
        <f t="shared" si="286"/>
        <v>#DIV/0!</v>
      </c>
      <c r="BL283" s="29" t="str">
        <f t="shared" si="286"/>
        <v>#DIV/0!</v>
      </c>
      <c r="BM283" s="29" t="str">
        <f t="shared" si="3"/>
        <v>#DIV/0!</v>
      </c>
    </row>
    <row r="284">
      <c r="A284" s="16" t="str">
        <f>IFERROR(__xludf.DUMMYFUNCTION("IFERROR(SPARKLINE(SORT(MAP(TRANSPOSE(AQ284:BL284), LAMBDA(val, IF(ISNUMBER(val), PERCENTRANK(AQ284:BL284, val)+0.01, 0))), SEQUENCE(COLUMNS(AQ284:BL284)), FALSE), {""charttype"",""column""; ""color"",""chartreuse""; ""ymin"", 0; ""ymax"", 1.01; ""highcolo"&amp;"r"", ""darkgreen""; ""lowcolor"", ""red""}), """")"),"")</f>
        <v/>
      </c>
      <c r="B284" s="17" t="str">
        <f t="shared" si="4"/>
        <v/>
      </c>
      <c r="C284" s="1" t="s">
        <v>1944</v>
      </c>
      <c r="D284" s="30" t="str">
        <f>IFERROR(__xludf.DUMMYFUNCTION("IFERROR(GOOGLEFINANCE(C284, ""NAME""))"),"One and one Green Technologies.INC")</f>
        <v>One and one Green Technologies.INC</v>
      </c>
      <c r="E284" s="30" t="s">
        <v>1371</v>
      </c>
      <c r="F284" s="33" t="str">
        <f>IFERROR(__xludf.DUMMYFUNCTION("( (GOOGLEFINANCE(C284, ""price"") - Q284) / Q284 ) / (R284 / 100)"),"Loading...")</f>
        <v>Loading...</v>
      </c>
      <c r="G284" s="20" t="str">
        <f>IFERROR(__xludf.DUMMYFUNCTION("AVERAGE(ARRAYFORMULA(100 * (QUERY(GOOGLEFINANCE(C284, ""high"", TODAY()-40, TODAY()), ""SELECT Col2 WHERE Col2 IS NOT NULL ORDER BY Col1 DESC LIMIT 20"", 0) / QUERY(GOOGLEFINANCE(C284, ""low"", TODAY()-40, TODAY()), ""SELECT Col2 WHERE Col2 IS NOT NULL OR"&amp;"DER BY Col1 DESC LIMIT 20"", 0) - 1)))"),"#N/A")</f>
        <v>#N/A</v>
      </c>
      <c r="H284" s="35" t="str">
        <f t="shared" si="6"/>
        <v/>
      </c>
      <c r="I284" s="35" t="str">
        <f t="shared" si="7"/>
        <v/>
      </c>
      <c r="J284" s="37" t="str">
        <f>IFERROR(__xludf.DUMMYFUNCTION("IFERROR(
  IF(C284="""",, 
    IFERROR(
      GOOGLEFINANCE(C284, ""price"") * GOOGLEFINANCE(C284, ""volumeavg""), 
      GOOGLEFINANCE(C284, ""price"") * AVERAGE(QUERY(GOOGLEFINANCE(C284, ""volume"", TODAY()-40, TODAY()), ""SELECT Col2 WHERE Col2 IS NOT "&amp;"NULL ORDER BY Col1 DESC LIMIT 20"", 0))
    )
  ), 
"""")"),"")</f>
        <v/>
      </c>
      <c r="K284" s="21" t="str">
        <f>IFERROR(__xludf.DUMMYFUNCTION("IFERROR(GOOGLEFINANCE(C284, ""changepct"") / 100, """")"),"")</f>
        <v/>
      </c>
      <c r="L284" s="21" t="str">
        <f>IFERROR(__xludf.DUMMYFUNCTION("IFERROR((GOOGLEFINANCE(C284, ""price"") / INDEX(GOOGLEFINANCE(C284, ""price"", TODAY()-7, TODAY()), 2, 2)) - 1, """")"),"")</f>
        <v/>
      </c>
      <c r="M284" s="21" t="str">
        <f>IFERROR(__xludf.DUMMYFUNCTION("IFERROR((GOOGLEFINANCE(C284, ""price"") / INDEX(GOOGLEFINANCE(C284, ""price"", EDATE(TODAY(), -1), TODAY()), 2, 2)) - 1, """")"),"")</f>
        <v/>
      </c>
      <c r="N284" s="21" t="str">
        <f>IFERROR(__xludf.DUMMYFUNCTION("IFERROR((GOOGLEFINANCE(C284, ""price"") / INDEX(GOOGLEFINANCE(C284, ""price"", EDATE(TODAY(), -3), TODAY()), 2, 2)) - 1, """")"),"")</f>
        <v/>
      </c>
      <c r="O284" s="21" t="str">
        <f>IFERROR(__xludf.DUMMYFUNCTION("IFERROR((GOOGLEFINANCE(C284, ""price"") / INDEX(GOOGLEFINANCE(C284, ""price"", EDATE(TODAY(), -6), TODAY()), 2, 2)) - 1, """")"),"")</f>
        <v/>
      </c>
      <c r="P284" s="21" t="str">
        <f>IFERROR(__xludf.DUMMYFUNCTION("IFERROR((GOOGLEFINANCE(C284, ""price"") / INDEX(GOOGLEFINANCE(C284, ""price"", EDATE(TODAY(), -12), TODAY()), 2, 2)) - 1, """")"),"")</f>
        <v/>
      </c>
      <c r="Q284" s="6" t="str">
        <f>IFERROR(__xludf.DUMMYFUNCTION("AVERAGE(QUERY(GOOGLEFINANCE(C284, ""price"", TODAY()-80, TODAY()), ""SELECT Col2 WHERE Col2 IS NOT NULL ORDER BY Col1 DESC LIMIT 50"", 0))"),"#N/A")</f>
        <v>#N/A</v>
      </c>
      <c r="R284" s="24" t="str">
        <f>IFERROR(__xludf.DUMMYFUNCTION("IFERROR(
  LET(
    data, QUERY(GOOGLEFINANCE(C284,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GOOGLEFINANCE(C284, ""price"")) * 100,
    IF(calc=0, G284, calc)
  ), 
G284)"),"#N/A")</f>
        <v>#N/A</v>
      </c>
      <c r="S284" s="8" t="s">
        <v>15</v>
      </c>
      <c r="T284" s="26" t="str">
        <f>IFERROR(__xludf.DUMMYFUNCTION("IFERROR(TRANSPOSE(QUERY(IFERROR(SORT(GOOGLEFINANCE(C284, ""price"", WORKDAY(TODAY(), -40), TODAY()), 1, FALSE)), ""select Col2 where Col2 is not null limit 22 label Col2 ''"", 0)), """")"),"")</f>
        <v/>
      </c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8"/>
      <c r="AO284" s="28"/>
      <c r="AP284" s="29"/>
      <c r="AQ284" s="29" t="str">
        <f t="shared" ref="AQ284:BL284" si="287">T284/T$2</f>
        <v>#N/A</v>
      </c>
      <c r="AR284" s="29" t="str">
        <f t="shared" si="287"/>
        <v>#DIV/0!</v>
      </c>
      <c r="AS284" s="29" t="str">
        <f t="shared" si="287"/>
        <v>#DIV/0!</v>
      </c>
      <c r="AT284" s="29" t="str">
        <f t="shared" si="287"/>
        <v>#DIV/0!</v>
      </c>
      <c r="AU284" s="29" t="str">
        <f t="shared" si="287"/>
        <v>#DIV/0!</v>
      </c>
      <c r="AV284" s="29" t="str">
        <f t="shared" si="287"/>
        <v>#DIV/0!</v>
      </c>
      <c r="AW284" s="29" t="str">
        <f t="shared" si="287"/>
        <v>#DIV/0!</v>
      </c>
      <c r="AX284" s="29" t="str">
        <f t="shared" si="287"/>
        <v>#DIV/0!</v>
      </c>
      <c r="AY284" s="29" t="str">
        <f t="shared" si="287"/>
        <v>#DIV/0!</v>
      </c>
      <c r="AZ284" s="29" t="str">
        <f t="shared" si="287"/>
        <v>#DIV/0!</v>
      </c>
      <c r="BA284" s="29" t="str">
        <f t="shared" si="287"/>
        <v>#DIV/0!</v>
      </c>
      <c r="BB284" s="29" t="str">
        <f t="shared" si="287"/>
        <v>#DIV/0!</v>
      </c>
      <c r="BC284" s="29" t="str">
        <f t="shared" si="287"/>
        <v>#DIV/0!</v>
      </c>
      <c r="BD284" s="29" t="str">
        <f t="shared" si="287"/>
        <v>#DIV/0!</v>
      </c>
      <c r="BE284" s="29" t="str">
        <f t="shared" si="287"/>
        <v>#DIV/0!</v>
      </c>
      <c r="BF284" s="29" t="str">
        <f t="shared" si="287"/>
        <v>#DIV/0!</v>
      </c>
      <c r="BG284" s="29" t="str">
        <f t="shared" si="287"/>
        <v>#DIV/0!</v>
      </c>
      <c r="BH284" s="29" t="str">
        <f t="shared" si="287"/>
        <v>#DIV/0!</v>
      </c>
      <c r="BI284" s="29" t="str">
        <f t="shared" si="287"/>
        <v>#DIV/0!</v>
      </c>
      <c r="BJ284" s="29" t="str">
        <f t="shared" si="287"/>
        <v>#DIV/0!</v>
      </c>
      <c r="BK284" s="29" t="str">
        <f t="shared" si="287"/>
        <v>#DIV/0!</v>
      </c>
      <c r="BL284" s="29" t="str">
        <f t="shared" si="287"/>
        <v>#DIV/0!</v>
      </c>
      <c r="BM284" s="29" t="str">
        <f t="shared" si="3"/>
        <v>#DIV/0!</v>
      </c>
    </row>
    <row r="285">
      <c r="A285" s="16" t="str">
        <f>IFERROR(__xludf.DUMMYFUNCTION("IFERROR(SPARKLINE(SORT(MAP(TRANSPOSE(AQ285:BL285), LAMBDA(val, IF(ISNUMBER(val), PERCENTRANK(AQ285:BL285, val)+0.01, 0))), SEQUENCE(COLUMNS(AQ285:BL285)), FALSE), {""charttype"",""column""; ""color"",""chartreuse""; ""ymin"", 0; ""ymax"", 1.01; ""highcolo"&amp;"r"", ""darkgreen""; ""lowcolor"", ""red""}), """")"),"")</f>
        <v/>
      </c>
      <c r="B285" s="17" t="str">
        <f t="shared" si="4"/>
        <v/>
      </c>
      <c r="C285" s="1" t="s">
        <v>1948</v>
      </c>
      <c r="D285" s="30" t="str">
        <f>IFERROR(__xludf.DUMMYFUNCTION("IFERROR(GOOGLEFINANCE(C285, ""NAME""))"),"Copart Inc")</f>
        <v>Copart Inc</v>
      </c>
      <c r="E285" s="30" t="s">
        <v>916</v>
      </c>
      <c r="F285" s="33" t="str">
        <f>IFERROR(__xludf.DUMMYFUNCTION("( (GOOGLEFINANCE(C285, ""price"") - Q285) / Q285 ) / (R285 / 100)"),"Loading...")</f>
        <v>Loading...</v>
      </c>
      <c r="G285" s="20" t="str">
        <f>IFERROR(__xludf.DUMMYFUNCTION("AVERAGE(ARRAYFORMULA(100 * (QUERY(GOOGLEFINANCE(C285, ""high"", TODAY()-40, TODAY()), ""SELECT Col2 WHERE Col2 IS NOT NULL ORDER BY Col1 DESC LIMIT 20"", 0) / QUERY(GOOGLEFINANCE(C285, ""low"", TODAY()-40, TODAY()), ""SELECT Col2 WHERE Col2 IS NOT NULL OR"&amp;"DER BY Col1 DESC LIMIT 20"", 0) - 1)))"),"#N/A")</f>
        <v>#N/A</v>
      </c>
      <c r="H285" s="35" t="str">
        <f t="shared" si="6"/>
        <v/>
      </c>
      <c r="I285" s="35" t="str">
        <f t="shared" si="7"/>
        <v/>
      </c>
      <c r="J285" s="37" t="str">
        <f>IFERROR(__xludf.DUMMYFUNCTION("IFERROR(
  IF(C285="""",, 
    IFERROR(
      GOOGLEFINANCE(C285, ""price"") * GOOGLEFINANCE(C285, ""volumeavg""), 
      GOOGLEFINANCE(C285, ""price"") * AVERAGE(QUERY(GOOGLEFINANCE(C285, ""volume"", TODAY()-40, TODAY()), ""SELECT Col2 WHERE Col2 IS NOT "&amp;"NULL ORDER BY Col1 DESC LIMIT 20"", 0))
    )
  ), 
"""")"),"")</f>
        <v/>
      </c>
      <c r="K285" s="21" t="str">
        <f>IFERROR(__xludf.DUMMYFUNCTION("IFERROR(GOOGLEFINANCE(C285, ""changepct"") / 100, """")"),"")</f>
        <v/>
      </c>
      <c r="L285" s="21" t="str">
        <f>IFERROR(__xludf.DUMMYFUNCTION("IFERROR((GOOGLEFINANCE(C285, ""price"") / INDEX(GOOGLEFINANCE(C285, ""price"", TODAY()-7, TODAY()), 2, 2)) - 1, """")"),"")</f>
        <v/>
      </c>
      <c r="M285" s="21" t="str">
        <f>IFERROR(__xludf.DUMMYFUNCTION("IFERROR((GOOGLEFINANCE(C285, ""price"") / INDEX(GOOGLEFINANCE(C285, ""price"", EDATE(TODAY(), -1), TODAY()), 2, 2)) - 1, """")"),"")</f>
        <v/>
      </c>
      <c r="N285" s="21" t="str">
        <f>IFERROR(__xludf.DUMMYFUNCTION("IFERROR((GOOGLEFINANCE(C285, ""price"") / INDEX(GOOGLEFINANCE(C285, ""price"", EDATE(TODAY(), -3), TODAY()), 2, 2)) - 1, """")"),"")</f>
        <v/>
      </c>
      <c r="O285" s="21" t="str">
        <f>IFERROR(__xludf.DUMMYFUNCTION("IFERROR((GOOGLEFINANCE(C285, ""price"") / INDEX(GOOGLEFINANCE(C285, ""price"", EDATE(TODAY(), -6), TODAY()), 2, 2)) - 1, """")"),"")</f>
        <v/>
      </c>
      <c r="P285" s="21" t="str">
        <f>IFERROR(__xludf.DUMMYFUNCTION("IFERROR((GOOGLEFINANCE(C285, ""price"") / INDEX(GOOGLEFINANCE(C285, ""price"", EDATE(TODAY(), -12), TODAY()), 2, 2)) - 1, """")"),"")</f>
        <v/>
      </c>
      <c r="Q285" s="6" t="str">
        <f>IFERROR(__xludf.DUMMYFUNCTION("AVERAGE(QUERY(GOOGLEFINANCE(C285, ""price"", TODAY()-80, TODAY()), ""SELECT Col2 WHERE Col2 IS NOT NULL ORDER BY Col1 DESC LIMIT 50"", 0))"),"#N/A")</f>
        <v>#N/A</v>
      </c>
      <c r="R285" s="24" t="str">
        <f>IFERROR(__xludf.DUMMYFUNCTION("IFERROR(
  LET(
    data, QUERY(GOOGLEFINANCE(C285,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GOOGLEFINANCE(C285, ""price"")) * 100,
    IF(calc=0, G285, calc)
  ), 
G285)"),"#N/A")</f>
        <v>#N/A</v>
      </c>
      <c r="S285" s="8" t="s">
        <v>15</v>
      </c>
      <c r="T285" s="26" t="str">
        <f>IFERROR(__xludf.DUMMYFUNCTION("IFERROR(TRANSPOSE(QUERY(IFERROR(SORT(GOOGLEFINANCE(C285, ""price"", WORKDAY(TODAY(), -40), TODAY()), 1, FALSE)), ""select Col2 where Col2 is not null limit 22 label Col2 ''"", 0)), """")"),"")</f>
        <v/>
      </c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8"/>
      <c r="AO285" s="28"/>
      <c r="AP285" s="29"/>
      <c r="AQ285" s="29" t="str">
        <f t="shared" ref="AQ285:BL285" si="288">T285/T$2</f>
        <v>#N/A</v>
      </c>
      <c r="AR285" s="29" t="str">
        <f t="shared" si="288"/>
        <v>#DIV/0!</v>
      </c>
      <c r="AS285" s="29" t="str">
        <f t="shared" si="288"/>
        <v>#DIV/0!</v>
      </c>
      <c r="AT285" s="29" t="str">
        <f t="shared" si="288"/>
        <v>#DIV/0!</v>
      </c>
      <c r="AU285" s="29" t="str">
        <f t="shared" si="288"/>
        <v>#DIV/0!</v>
      </c>
      <c r="AV285" s="29" t="str">
        <f t="shared" si="288"/>
        <v>#DIV/0!</v>
      </c>
      <c r="AW285" s="29" t="str">
        <f t="shared" si="288"/>
        <v>#DIV/0!</v>
      </c>
      <c r="AX285" s="29" t="str">
        <f t="shared" si="288"/>
        <v>#DIV/0!</v>
      </c>
      <c r="AY285" s="29" t="str">
        <f t="shared" si="288"/>
        <v>#DIV/0!</v>
      </c>
      <c r="AZ285" s="29" t="str">
        <f t="shared" si="288"/>
        <v>#DIV/0!</v>
      </c>
      <c r="BA285" s="29" t="str">
        <f t="shared" si="288"/>
        <v>#DIV/0!</v>
      </c>
      <c r="BB285" s="29" t="str">
        <f t="shared" si="288"/>
        <v>#DIV/0!</v>
      </c>
      <c r="BC285" s="29" t="str">
        <f t="shared" si="288"/>
        <v>#DIV/0!</v>
      </c>
      <c r="BD285" s="29" t="str">
        <f t="shared" si="288"/>
        <v>#DIV/0!</v>
      </c>
      <c r="BE285" s="29" t="str">
        <f t="shared" si="288"/>
        <v>#DIV/0!</v>
      </c>
      <c r="BF285" s="29" t="str">
        <f t="shared" si="288"/>
        <v>#DIV/0!</v>
      </c>
      <c r="BG285" s="29" t="str">
        <f t="shared" si="288"/>
        <v>#DIV/0!</v>
      </c>
      <c r="BH285" s="29" t="str">
        <f t="shared" si="288"/>
        <v>#DIV/0!</v>
      </c>
      <c r="BI285" s="29" t="str">
        <f t="shared" si="288"/>
        <v>#DIV/0!</v>
      </c>
      <c r="BJ285" s="29" t="str">
        <f t="shared" si="288"/>
        <v>#DIV/0!</v>
      </c>
      <c r="BK285" s="29" t="str">
        <f t="shared" si="288"/>
        <v>#DIV/0!</v>
      </c>
      <c r="BL285" s="29" t="str">
        <f t="shared" si="288"/>
        <v>#DIV/0!</v>
      </c>
      <c r="BM285" s="29" t="str">
        <f t="shared" si="3"/>
        <v>#DIV/0!</v>
      </c>
    </row>
    <row r="286">
      <c r="A286" s="16" t="str">
        <f>IFERROR(__xludf.DUMMYFUNCTION("IFERROR(SPARKLINE(SORT(MAP(TRANSPOSE(AQ286:BL286), LAMBDA(val, IF(ISNUMBER(val), PERCENTRANK(AQ286:BL286, val)+0.01, 0))), SEQUENCE(COLUMNS(AQ286:BL286)), FALSE), {""charttype"",""column""; ""color"",""chartreuse""; ""ymin"", 0; ""ymax"", 1.01; ""highcolo"&amp;"r"", ""darkgreen""; ""lowcolor"", ""red""}), """")"),"")</f>
        <v/>
      </c>
      <c r="B286" s="17" t="str">
        <f t="shared" si="4"/>
        <v/>
      </c>
      <c r="C286" s="1" t="s">
        <v>1952</v>
      </c>
      <c r="D286" s="30" t="str">
        <f>IFERROR(__xludf.DUMMYFUNCTION("IFERROR(GOOGLEFINANCE(C286, ""NAME""))"),"Tutor Perini Corp")</f>
        <v>Tutor Perini Corp</v>
      </c>
      <c r="E286" s="30" t="s">
        <v>856</v>
      </c>
      <c r="F286" s="38" t="str">
        <f>IFERROR(__xludf.DUMMYFUNCTION("( (GOOGLEFINANCE(C286, ""price"") - Q286) / Q286 ) / (R286 / 100)"),"Loading...")</f>
        <v>Loading...</v>
      </c>
      <c r="G286" s="20" t="str">
        <f>IFERROR(__xludf.DUMMYFUNCTION("AVERAGE(ARRAYFORMULA(100 * (QUERY(GOOGLEFINANCE(C286, ""high"", TODAY()-40, TODAY()), ""SELECT Col2 WHERE Col2 IS NOT NULL ORDER BY Col1 DESC LIMIT 20"", 0) / QUERY(GOOGLEFINANCE(C286, ""low"", TODAY()-40, TODAY()), ""SELECT Col2 WHERE Col2 IS NOT NULL OR"&amp;"DER BY Col1 DESC LIMIT 20"", 0) - 1)))"),"#N/A")</f>
        <v>#N/A</v>
      </c>
      <c r="H286" s="35" t="str">
        <f t="shared" si="6"/>
        <v/>
      </c>
      <c r="I286" s="35" t="str">
        <f t="shared" si="7"/>
        <v/>
      </c>
      <c r="J286" s="37" t="str">
        <f>IFERROR(__xludf.DUMMYFUNCTION("IFERROR(
  IF(C286="""",, 
    IFERROR(
      GOOGLEFINANCE(C286, ""price"") * GOOGLEFINANCE(C286, ""volumeavg""), 
      GOOGLEFINANCE(C286, ""price"") * AVERAGE(QUERY(GOOGLEFINANCE(C286, ""volume"", TODAY()-40, TODAY()), ""SELECT Col2 WHERE Col2 IS NOT "&amp;"NULL ORDER BY Col1 DESC LIMIT 20"", 0))
    )
  ), 
"""")"),"")</f>
        <v/>
      </c>
      <c r="K286" s="21" t="str">
        <f>IFERROR(__xludf.DUMMYFUNCTION("IFERROR(GOOGLEFINANCE(C286, ""changepct"") / 100, """")"),"")</f>
        <v/>
      </c>
      <c r="L286" s="21" t="str">
        <f>IFERROR(__xludf.DUMMYFUNCTION("IFERROR((GOOGLEFINANCE(C286, ""price"") / INDEX(GOOGLEFINANCE(C286, ""price"", TODAY()-7, TODAY()), 2, 2)) - 1, """")"),"")</f>
        <v/>
      </c>
      <c r="M286" s="21" t="str">
        <f>IFERROR(__xludf.DUMMYFUNCTION("IFERROR((GOOGLEFINANCE(C286, ""price"") / INDEX(GOOGLEFINANCE(C286, ""price"", EDATE(TODAY(), -1), TODAY()), 2, 2)) - 1, """")"),"")</f>
        <v/>
      </c>
      <c r="N286" s="21" t="str">
        <f>IFERROR(__xludf.DUMMYFUNCTION("IFERROR((GOOGLEFINANCE(C286, ""price"") / INDEX(GOOGLEFINANCE(C286, ""price"", EDATE(TODAY(), -3), TODAY()), 2, 2)) - 1, """")"),"")</f>
        <v/>
      </c>
      <c r="O286" s="21" t="str">
        <f>IFERROR(__xludf.DUMMYFUNCTION("IFERROR((GOOGLEFINANCE(C286, ""price"") / INDEX(GOOGLEFINANCE(C286, ""price"", EDATE(TODAY(), -6), TODAY()), 2, 2)) - 1, """")"),"")</f>
        <v/>
      </c>
      <c r="P286" s="21" t="str">
        <f>IFERROR(__xludf.DUMMYFUNCTION("IFERROR((GOOGLEFINANCE(C286, ""price"") / INDEX(GOOGLEFINANCE(C286, ""price"", EDATE(TODAY(), -12), TODAY()), 2, 2)) - 1, """")"),"")</f>
        <v/>
      </c>
      <c r="Q286" s="6" t="str">
        <f>IFERROR(__xludf.DUMMYFUNCTION("AVERAGE(QUERY(GOOGLEFINANCE(C286, ""price"", TODAY()-80, TODAY()), ""SELECT Col2 WHERE Col2 IS NOT NULL ORDER BY Col1 DESC LIMIT 50"", 0))"),"#N/A")</f>
        <v>#N/A</v>
      </c>
      <c r="R286" s="24" t="str">
        <f>IFERROR(__xludf.DUMMYFUNCTION("IFERROR(
  LET(
    data, QUERY(GOOGLEFINANCE(C286,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GOOGLEFINANCE(C286, ""price"")) * 100,
    IF(calc=0, G286, calc)
  ), 
G286)"),"#N/A")</f>
        <v>#N/A</v>
      </c>
      <c r="S286" s="8" t="s">
        <v>15</v>
      </c>
      <c r="T286" s="26" t="str">
        <f>IFERROR(__xludf.DUMMYFUNCTION("IFERROR(TRANSPOSE(QUERY(IFERROR(SORT(GOOGLEFINANCE(C286, ""price"", WORKDAY(TODAY(), -40), TODAY()), 1, FALSE)), ""select Col2 where Col2 is not null limit 22 label Col2 ''"", 0)), """")"),"")</f>
        <v/>
      </c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8"/>
      <c r="AO286" s="28"/>
      <c r="AP286" s="29"/>
      <c r="AQ286" s="29" t="str">
        <f t="shared" ref="AQ286:BL286" si="289">T286/T$2</f>
        <v>#N/A</v>
      </c>
      <c r="AR286" s="29" t="str">
        <f t="shared" si="289"/>
        <v>#DIV/0!</v>
      </c>
      <c r="AS286" s="29" t="str">
        <f t="shared" si="289"/>
        <v>#DIV/0!</v>
      </c>
      <c r="AT286" s="29" t="str">
        <f t="shared" si="289"/>
        <v>#DIV/0!</v>
      </c>
      <c r="AU286" s="29" t="str">
        <f t="shared" si="289"/>
        <v>#DIV/0!</v>
      </c>
      <c r="AV286" s="29" t="str">
        <f t="shared" si="289"/>
        <v>#DIV/0!</v>
      </c>
      <c r="AW286" s="29" t="str">
        <f t="shared" si="289"/>
        <v>#DIV/0!</v>
      </c>
      <c r="AX286" s="29" t="str">
        <f t="shared" si="289"/>
        <v>#DIV/0!</v>
      </c>
      <c r="AY286" s="29" t="str">
        <f t="shared" si="289"/>
        <v>#DIV/0!</v>
      </c>
      <c r="AZ286" s="29" t="str">
        <f t="shared" si="289"/>
        <v>#DIV/0!</v>
      </c>
      <c r="BA286" s="29" t="str">
        <f t="shared" si="289"/>
        <v>#DIV/0!</v>
      </c>
      <c r="BB286" s="29" t="str">
        <f t="shared" si="289"/>
        <v>#DIV/0!</v>
      </c>
      <c r="BC286" s="29" t="str">
        <f t="shared" si="289"/>
        <v>#DIV/0!</v>
      </c>
      <c r="BD286" s="29" t="str">
        <f t="shared" si="289"/>
        <v>#DIV/0!</v>
      </c>
      <c r="BE286" s="29" t="str">
        <f t="shared" si="289"/>
        <v>#DIV/0!</v>
      </c>
      <c r="BF286" s="29" t="str">
        <f t="shared" si="289"/>
        <v>#DIV/0!</v>
      </c>
      <c r="BG286" s="29" t="str">
        <f t="shared" si="289"/>
        <v>#DIV/0!</v>
      </c>
      <c r="BH286" s="29" t="str">
        <f t="shared" si="289"/>
        <v>#DIV/0!</v>
      </c>
      <c r="BI286" s="29" t="str">
        <f t="shared" si="289"/>
        <v>#DIV/0!</v>
      </c>
      <c r="BJ286" s="29" t="str">
        <f t="shared" si="289"/>
        <v>#DIV/0!</v>
      </c>
      <c r="BK286" s="29" t="str">
        <f t="shared" si="289"/>
        <v>#DIV/0!</v>
      </c>
      <c r="BL286" s="29" t="str">
        <f t="shared" si="289"/>
        <v>#DIV/0!</v>
      </c>
      <c r="BM286" s="29" t="str">
        <f t="shared" si="3"/>
        <v>#DIV/0!</v>
      </c>
    </row>
    <row r="287">
      <c r="A287" s="16" t="str">
        <f>IFERROR(__xludf.DUMMYFUNCTION("IFERROR(SPARKLINE(SORT(MAP(TRANSPOSE(AQ287:BL287), LAMBDA(val, IF(ISNUMBER(val), PERCENTRANK(AQ287:BL287, val)+0.01, 0))), SEQUENCE(COLUMNS(AQ287:BL287)), FALSE), {""charttype"",""column""; ""color"",""chartreuse""; ""ymin"", 0; ""ymax"", 1.01; ""highcolo"&amp;"r"", ""darkgreen""; ""lowcolor"", ""red""}), """")"),"")</f>
        <v/>
      </c>
      <c r="B287" s="17" t="str">
        <f t="shared" si="4"/>
        <v/>
      </c>
      <c r="C287" s="1" t="s">
        <v>1956</v>
      </c>
      <c r="D287" s="30" t="str">
        <f>IFERROR(__xludf.DUMMYFUNCTION("IFERROR(GOOGLEFINANCE(C287, ""NAME""))"),"Omega Flex Inc")</f>
        <v>Omega Flex Inc</v>
      </c>
      <c r="E287" s="30" t="s">
        <v>893</v>
      </c>
      <c r="F287" s="33" t="str">
        <f>IFERROR(__xludf.DUMMYFUNCTION("( (GOOGLEFINANCE(C287, ""price"") - Q287) / Q287 ) / (R287 / 100)"),"Loading...")</f>
        <v>Loading...</v>
      </c>
      <c r="G287" s="20" t="str">
        <f>IFERROR(__xludf.DUMMYFUNCTION("AVERAGE(ARRAYFORMULA(100 * (QUERY(GOOGLEFINANCE(C287, ""high"", TODAY()-40, TODAY()), ""SELECT Col2 WHERE Col2 IS NOT NULL ORDER BY Col1 DESC LIMIT 20"", 0) / QUERY(GOOGLEFINANCE(C287, ""low"", TODAY()-40, TODAY()), ""SELECT Col2 WHERE Col2 IS NOT NULL OR"&amp;"DER BY Col1 DESC LIMIT 20"", 0) - 1)))"),"#N/A")</f>
        <v>#N/A</v>
      </c>
      <c r="H287" s="35" t="str">
        <f t="shared" si="6"/>
        <v/>
      </c>
      <c r="I287" s="35" t="str">
        <f t="shared" si="7"/>
        <v/>
      </c>
      <c r="J287" s="37" t="str">
        <f>IFERROR(__xludf.DUMMYFUNCTION("IFERROR(
  IF(C287="""",, 
    IFERROR(
      GOOGLEFINANCE(C287, ""price"") * GOOGLEFINANCE(C287, ""volumeavg""), 
      GOOGLEFINANCE(C287, ""price"") * AVERAGE(QUERY(GOOGLEFINANCE(C287, ""volume"", TODAY()-40, TODAY()), ""SELECT Col2 WHERE Col2 IS NOT "&amp;"NULL ORDER BY Col1 DESC LIMIT 20"", 0))
    )
  ), 
"""")"),"")</f>
        <v/>
      </c>
      <c r="K287" s="21" t="str">
        <f>IFERROR(__xludf.DUMMYFUNCTION("IFERROR(GOOGLEFINANCE(C287, ""changepct"") / 100, """")"),"")</f>
        <v/>
      </c>
      <c r="L287" s="21" t="str">
        <f>IFERROR(__xludf.DUMMYFUNCTION("IFERROR((GOOGLEFINANCE(C287, ""price"") / INDEX(GOOGLEFINANCE(C287, ""price"", TODAY()-7, TODAY()), 2, 2)) - 1, """")"),"")</f>
        <v/>
      </c>
      <c r="M287" s="21" t="str">
        <f>IFERROR(__xludf.DUMMYFUNCTION("IFERROR((GOOGLEFINANCE(C287, ""price"") / INDEX(GOOGLEFINANCE(C287, ""price"", EDATE(TODAY(), -1), TODAY()), 2, 2)) - 1, """")"),"")</f>
        <v/>
      </c>
      <c r="N287" s="21" t="str">
        <f>IFERROR(__xludf.DUMMYFUNCTION("IFERROR((GOOGLEFINANCE(C287, ""price"") / INDEX(GOOGLEFINANCE(C287, ""price"", EDATE(TODAY(), -3), TODAY()), 2, 2)) - 1, """")"),"")</f>
        <v/>
      </c>
      <c r="O287" s="21" t="str">
        <f>IFERROR(__xludf.DUMMYFUNCTION("IFERROR((GOOGLEFINANCE(C287, ""price"") / INDEX(GOOGLEFINANCE(C287, ""price"", EDATE(TODAY(), -6), TODAY()), 2, 2)) - 1, """")"),"")</f>
        <v/>
      </c>
      <c r="P287" s="21" t="str">
        <f>IFERROR(__xludf.DUMMYFUNCTION("IFERROR((GOOGLEFINANCE(C287, ""price"") / INDEX(GOOGLEFINANCE(C287, ""price"", EDATE(TODAY(), -12), TODAY()), 2, 2)) - 1, """")"),"")</f>
        <v/>
      </c>
      <c r="Q287" s="6" t="str">
        <f>IFERROR(__xludf.DUMMYFUNCTION("AVERAGE(QUERY(GOOGLEFINANCE(C287, ""price"", TODAY()-80, TODAY()), ""SELECT Col2 WHERE Col2 IS NOT NULL ORDER BY Col1 DESC LIMIT 50"", 0))"),"#N/A")</f>
        <v>#N/A</v>
      </c>
      <c r="R287" s="24" t="str">
        <f>IFERROR(__xludf.DUMMYFUNCTION("IFERROR(
  LET(
    data, QUERY(GOOGLEFINANCE(C287,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GOOGLEFINANCE(C287, ""price"")) * 100,
    IF(calc=0, G287, calc)
  ), 
G287)"),"#N/A")</f>
        <v>#N/A</v>
      </c>
      <c r="S287" s="8" t="s">
        <v>15</v>
      </c>
      <c r="T287" s="26" t="str">
        <f>IFERROR(__xludf.DUMMYFUNCTION("IFERROR(TRANSPOSE(QUERY(IFERROR(SORT(GOOGLEFINANCE(C287, ""price"", WORKDAY(TODAY(), -40), TODAY()), 1, FALSE)), ""select Col2 where Col2 is not null limit 22 label Col2 ''"", 0)), """")"),"")</f>
        <v/>
      </c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8"/>
      <c r="AO287" s="28"/>
      <c r="AP287" s="29"/>
      <c r="AQ287" s="29" t="str">
        <f t="shared" ref="AQ287:BL287" si="290">T287/T$2</f>
        <v>#N/A</v>
      </c>
      <c r="AR287" s="29" t="str">
        <f t="shared" si="290"/>
        <v>#DIV/0!</v>
      </c>
      <c r="AS287" s="29" t="str">
        <f t="shared" si="290"/>
        <v>#DIV/0!</v>
      </c>
      <c r="AT287" s="29" t="str">
        <f t="shared" si="290"/>
        <v>#DIV/0!</v>
      </c>
      <c r="AU287" s="29" t="str">
        <f t="shared" si="290"/>
        <v>#DIV/0!</v>
      </c>
      <c r="AV287" s="29" t="str">
        <f t="shared" si="290"/>
        <v>#DIV/0!</v>
      </c>
      <c r="AW287" s="29" t="str">
        <f t="shared" si="290"/>
        <v>#DIV/0!</v>
      </c>
      <c r="AX287" s="29" t="str">
        <f t="shared" si="290"/>
        <v>#DIV/0!</v>
      </c>
      <c r="AY287" s="29" t="str">
        <f t="shared" si="290"/>
        <v>#DIV/0!</v>
      </c>
      <c r="AZ287" s="29" t="str">
        <f t="shared" si="290"/>
        <v>#DIV/0!</v>
      </c>
      <c r="BA287" s="29" t="str">
        <f t="shared" si="290"/>
        <v>#DIV/0!</v>
      </c>
      <c r="BB287" s="29" t="str">
        <f t="shared" si="290"/>
        <v>#DIV/0!</v>
      </c>
      <c r="BC287" s="29" t="str">
        <f t="shared" si="290"/>
        <v>#DIV/0!</v>
      </c>
      <c r="BD287" s="29" t="str">
        <f t="shared" si="290"/>
        <v>#DIV/0!</v>
      </c>
      <c r="BE287" s="29" t="str">
        <f t="shared" si="290"/>
        <v>#DIV/0!</v>
      </c>
      <c r="BF287" s="29" t="str">
        <f t="shared" si="290"/>
        <v>#DIV/0!</v>
      </c>
      <c r="BG287" s="29" t="str">
        <f t="shared" si="290"/>
        <v>#DIV/0!</v>
      </c>
      <c r="BH287" s="29" t="str">
        <f t="shared" si="290"/>
        <v>#DIV/0!</v>
      </c>
      <c r="BI287" s="29" t="str">
        <f t="shared" si="290"/>
        <v>#DIV/0!</v>
      </c>
      <c r="BJ287" s="29" t="str">
        <f t="shared" si="290"/>
        <v>#DIV/0!</v>
      </c>
      <c r="BK287" s="29" t="str">
        <f t="shared" si="290"/>
        <v>#DIV/0!</v>
      </c>
      <c r="BL287" s="29" t="str">
        <f t="shared" si="290"/>
        <v>#DIV/0!</v>
      </c>
      <c r="BM287" s="29" t="str">
        <f t="shared" si="3"/>
        <v>#DIV/0!</v>
      </c>
    </row>
    <row r="288">
      <c r="A288" s="16" t="str">
        <f>IFERROR(__xludf.DUMMYFUNCTION("IFERROR(SPARKLINE(SORT(MAP(TRANSPOSE(AQ288:BL288), LAMBDA(val, IF(ISNUMBER(val), PERCENTRANK(AQ288:BL288, val)+0.01, 0))), SEQUENCE(COLUMNS(AQ288:BL288)), FALSE), {""charttype"",""column""; ""color"",""chartreuse""; ""ymin"", 0; ""ymax"", 1.01; ""highcolo"&amp;"r"", ""darkgreen""; ""lowcolor"", ""red""}), """")"),"")</f>
        <v/>
      </c>
      <c r="B288" s="17" t="str">
        <f t="shared" si="4"/>
        <v/>
      </c>
      <c r="C288" s="1" t="s">
        <v>1960</v>
      </c>
      <c r="D288" s="30" t="str">
        <f>IFERROR(__xludf.DUMMYFUNCTION("IFERROR(GOOGLEFINANCE(C288, ""NAME""))"),"Kratos Defense &amp; Security Solutions Inc")</f>
        <v>Kratos Defense &amp; Security Solutions Inc</v>
      </c>
      <c r="E288" s="30" t="s">
        <v>839</v>
      </c>
      <c r="F288" s="33" t="str">
        <f>IFERROR(__xludf.DUMMYFUNCTION("( (GOOGLEFINANCE(C288, ""price"") - Q288) / Q288 ) / (R288 / 100)"),"Loading...")</f>
        <v>Loading...</v>
      </c>
      <c r="G288" s="20" t="str">
        <f>IFERROR(__xludf.DUMMYFUNCTION("AVERAGE(ARRAYFORMULA(100 * (QUERY(GOOGLEFINANCE(C288, ""high"", TODAY()-40, TODAY()), ""SELECT Col2 WHERE Col2 IS NOT NULL ORDER BY Col1 DESC LIMIT 20"", 0) / QUERY(GOOGLEFINANCE(C288, ""low"", TODAY()-40, TODAY()), ""SELECT Col2 WHERE Col2 IS NOT NULL OR"&amp;"DER BY Col1 DESC LIMIT 20"", 0) - 1)))"),"#N/A")</f>
        <v>#N/A</v>
      </c>
      <c r="H288" s="35" t="str">
        <f t="shared" si="6"/>
        <v/>
      </c>
      <c r="I288" s="35" t="str">
        <f t="shared" si="7"/>
        <v/>
      </c>
      <c r="J288" s="37" t="str">
        <f>IFERROR(__xludf.DUMMYFUNCTION("IFERROR(
  IF(C288="""",, 
    IFERROR(
      GOOGLEFINANCE(C288, ""price"") * GOOGLEFINANCE(C288, ""volumeavg""), 
      GOOGLEFINANCE(C288, ""price"") * AVERAGE(QUERY(GOOGLEFINANCE(C288, ""volume"", TODAY()-40, TODAY()), ""SELECT Col2 WHERE Col2 IS NOT "&amp;"NULL ORDER BY Col1 DESC LIMIT 20"", 0))
    )
  ), 
"""")"),"")</f>
        <v/>
      </c>
      <c r="K288" s="21" t="str">
        <f>IFERROR(__xludf.DUMMYFUNCTION("IFERROR(GOOGLEFINANCE(C288, ""changepct"") / 100, """")"),"")</f>
        <v/>
      </c>
      <c r="L288" s="21" t="str">
        <f>IFERROR(__xludf.DUMMYFUNCTION("IFERROR((GOOGLEFINANCE(C288, ""price"") / INDEX(GOOGLEFINANCE(C288, ""price"", TODAY()-7, TODAY()), 2, 2)) - 1, """")"),"")</f>
        <v/>
      </c>
      <c r="M288" s="21" t="str">
        <f>IFERROR(__xludf.DUMMYFUNCTION("IFERROR((GOOGLEFINANCE(C288, ""price"") / INDEX(GOOGLEFINANCE(C288, ""price"", EDATE(TODAY(), -1), TODAY()), 2, 2)) - 1, """")"),"")</f>
        <v/>
      </c>
      <c r="N288" s="21" t="str">
        <f>IFERROR(__xludf.DUMMYFUNCTION("IFERROR((GOOGLEFINANCE(C288, ""price"") / INDEX(GOOGLEFINANCE(C288, ""price"", EDATE(TODAY(), -3), TODAY()), 2, 2)) - 1, """")"),"")</f>
        <v/>
      </c>
      <c r="O288" s="21" t="str">
        <f>IFERROR(__xludf.DUMMYFUNCTION("IFERROR((GOOGLEFINANCE(C288, ""price"") / INDEX(GOOGLEFINANCE(C288, ""price"", EDATE(TODAY(), -6), TODAY()), 2, 2)) - 1, """")"),"")</f>
        <v/>
      </c>
      <c r="P288" s="21" t="str">
        <f>IFERROR(__xludf.DUMMYFUNCTION("IFERROR((GOOGLEFINANCE(C288, ""price"") / INDEX(GOOGLEFINANCE(C288, ""price"", EDATE(TODAY(), -12), TODAY()), 2, 2)) - 1, """")"),"")</f>
        <v/>
      </c>
      <c r="Q288" s="6" t="str">
        <f>IFERROR(__xludf.DUMMYFUNCTION("AVERAGE(QUERY(GOOGLEFINANCE(C288, ""price"", TODAY()-80, TODAY()), ""SELECT Col2 WHERE Col2 IS NOT NULL ORDER BY Col1 DESC LIMIT 50"", 0))"),"#N/A")</f>
        <v>#N/A</v>
      </c>
      <c r="R288" s="24" t="str">
        <f>IFERROR(__xludf.DUMMYFUNCTION("IFERROR(
  LET(
    data, QUERY(GOOGLEFINANCE(C288,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GOOGLEFINANCE(C288, ""price"")) * 100,
    IF(calc=0, G288, calc)
  ), 
G288)"),"#N/A")</f>
        <v>#N/A</v>
      </c>
      <c r="S288" s="8" t="s">
        <v>15</v>
      </c>
      <c r="T288" s="26" t="str">
        <f>IFERROR(__xludf.DUMMYFUNCTION("IFERROR(TRANSPOSE(QUERY(IFERROR(SORT(GOOGLEFINANCE(C288, ""price"", WORKDAY(TODAY(), -40), TODAY()), 1, FALSE)), ""select Col2 where Col2 is not null limit 22 label Col2 ''"", 0)), """")"),"")</f>
        <v/>
      </c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8"/>
      <c r="AO288" s="28"/>
      <c r="AP288" s="29"/>
      <c r="AQ288" s="29" t="str">
        <f t="shared" ref="AQ288:BL288" si="291">T288/T$2</f>
        <v>#N/A</v>
      </c>
      <c r="AR288" s="29" t="str">
        <f t="shared" si="291"/>
        <v>#DIV/0!</v>
      </c>
      <c r="AS288" s="29" t="str">
        <f t="shared" si="291"/>
        <v>#DIV/0!</v>
      </c>
      <c r="AT288" s="29" t="str">
        <f t="shared" si="291"/>
        <v>#DIV/0!</v>
      </c>
      <c r="AU288" s="29" t="str">
        <f t="shared" si="291"/>
        <v>#DIV/0!</v>
      </c>
      <c r="AV288" s="29" t="str">
        <f t="shared" si="291"/>
        <v>#DIV/0!</v>
      </c>
      <c r="AW288" s="29" t="str">
        <f t="shared" si="291"/>
        <v>#DIV/0!</v>
      </c>
      <c r="AX288" s="29" t="str">
        <f t="shared" si="291"/>
        <v>#DIV/0!</v>
      </c>
      <c r="AY288" s="29" t="str">
        <f t="shared" si="291"/>
        <v>#DIV/0!</v>
      </c>
      <c r="AZ288" s="29" t="str">
        <f t="shared" si="291"/>
        <v>#DIV/0!</v>
      </c>
      <c r="BA288" s="29" t="str">
        <f t="shared" si="291"/>
        <v>#DIV/0!</v>
      </c>
      <c r="BB288" s="29" t="str">
        <f t="shared" si="291"/>
        <v>#DIV/0!</v>
      </c>
      <c r="BC288" s="29" t="str">
        <f t="shared" si="291"/>
        <v>#DIV/0!</v>
      </c>
      <c r="BD288" s="29" t="str">
        <f t="shared" si="291"/>
        <v>#DIV/0!</v>
      </c>
      <c r="BE288" s="29" t="str">
        <f t="shared" si="291"/>
        <v>#DIV/0!</v>
      </c>
      <c r="BF288" s="29" t="str">
        <f t="shared" si="291"/>
        <v>#DIV/0!</v>
      </c>
      <c r="BG288" s="29" t="str">
        <f t="shared" si="291"/>
        <v>#DIV/0!</v>
      </c>
      <c r="BH288" s="29" t="str">
        <f t="shared" si="291"/>
        <v>#DIV/0!</v>
      </c>
      <c r="BI288" s="29" t="str">
        <f t="shared" si="291"/>
        <v>#DIV/0!</v>
      </c>
      <c r="BJ288" s="29" t="str">
        <f t="shared" si="291"/>
        <v>#DIV/0!</v>
      </c>
      <c r="BK288" s="29" t="str">
        <f t="shared" si="291"/>
        <v>#DIV/0!</v>
      </c>
      <c r="BL288" s="29" t="str">
        <f t="shared" si="291"/>
        <v>#DIV/0!</v>
      </c>
      <c r="BM288" s="29" t="str">
        <f t="shared" si="3"/>
        <v>#DIV/0!</v>
      </c>
    </row>
    <row r="289">
      <c r="A289" s="16" t="str">
        <f>IFERROR(__xludf.DUMMYFUNCTION("IFERROR(SPARKLINE(SORT(MAP(TRANSPOSE(AQ289:BL289), LAMBDA(val, IF(ISNUMBER(val), PERCENTRANK(AQ289:BL289, val)+0.01, 0))), SEQUENCE(COLUMNS(AQ289:BL289)), FALSE), {""charttype"",""column""; ""color"",""chartreuse""; ""ymin"", 0; ""ymax"", 1.01; ""highcolo"&amp;"r"", ""darkgreen""; ""lowcolor"", ""red""}), """")"),"")</f>
        <v/>
      </c>
      <c r="B289" s="17" t="str">
        <f t="shared" si="4"/>
        <v/>
      </c>
      <c r="C289" s="1" t="s">
        <v>1964</v>
      </c>
      <c r="D289" s="30" t="str">
        <f>IFERROR(__xludf.DUMMYFUNCTION("IFERROR(GOOGLEFINANCE(C289, ""NAME""))"),"Ads-Tec Energy PLC")</f>
        <v>Ads-Tec Energy PLC</v>
      </c>
      <c r="E289" s="30" t="s">
        <v>864</v>
      </c>
      <c r="F289" s="33" t="str">
        <f>IFERROR(__xludf.DUMMYFUNCTION("( (GOOGLEFINANCE(C289, ""price"") - Q289) / Q289 ) / (R289 / 100)"),"Loading...")</f>
        <v>Loading...</v>
      </c>
      <c r="G289" s="20" t="str">
        <f>IFERROR(__xludf.DUMMYFUNCTION("AVERAGE(ARRAYFORMULA(100 * (QUERY(GOOGLEFINANCE(C289, ""high"", TODAY()-40, TODAY()), ""SELECT Col2 WHERE Col2 IS NOT NULL ORDER BY Col1 DESC LIMIT 20"", 0) / QUERY(GOOGLEFINANCE(C289, ""low"", TODAY()-40, TODAY()), ""SELECT Col2 WHERE Col2 IS NOT NULL OR"&amp;"DER BY Col1 DESC LIMIT 20"", 0) - 1)))"),"#N/A")</f>
        <v>#N/A</v>
      </c>
      <c r="H289" s="35" t="str">
        <f t="shared" si="6"/>
        <v/>
      </c>
      <c r="I289" s="35" t="str">
        <f t="shared" si="7"/>
        <v/>
      </c>
      <c r="J289" s="37" t="str">
        <f>IFERROR(__xludf.DUMMYFUNCTION("IFERROR(
  IF(C289="""",, 
    IFERROR(
      GOOGLEFINANCE(C289, ""price"") * GOOGLEFINANCE(C289, ""volumeavg""), 
      GOOGLEFINANCE(C289, ""price"") * AVERAGE(QUERY(GOOGLEFINANCE(C289, ""volume"", TODAY()-40, TODAY()), ""SELECT Col2 WHERE Col2 IS NOT "&amp;"NULL ORDER BY Col1 DESC LIMIT 20"", 0))
    )
  ), 
"""")"),"")</f>
        <v/>
      </c>
      <c r="K289" s="21" t="str">
        <f>IFERROR(__xludf.DUMMYFUNCTION("IFERROR(GOOGLEFINANCE(C289, ""changepct"") / 100, """")"),"")</f>
        <v/>
      </c>
      <c r="L289" s="21" t="str">
        <f>IFERROR(__xludf.DUMMYFUNCTION("IFERROR((GOOGLEFINANCE(C289, ""price"") / INDEX(GOOGLEFINANCE(C289, ""price"", TODAY()-7, TODAY()), 2, 2)) - 1, """")"),"")</f>
        <v/>
      </c>
      <c r="M289" s="21" t="str">
        <f>IFERROR(__xludf.DUMMYFUNCTION("IFERROR((GOOGLEFINANCE(C289, ""price"") / INDEX(GOOGLEFINANCE(C289, ""price"", EDATE(TODAY(), -1), TODAY()), 2, 2)) - 1, """")"),"")</f>
        <v/>
      </c>
      <c r="N289" s="21" t="str">
        <f>IFERROR(__xludf.DUMMYFUNCTION("IFERROR((GOOGLEFINANCE(C289, ""price"") / INDEX(GOOGLEFINANCE(C289, ""price"", EDATE(TODAY(), -3), TODAY()), 2, 2)) - 1, """")"),"")</f>
        <v/>
      </c>
      <c r="O289" s="21" t="str">
        <f>IFERROR(__xludf.DUMMYFUNCTION("IFERROR((GOOGLEFINANCE(C289, ""price"") / INDEX(GOOGLEFINANCE(C289, ""price"", EDATE(TODAY(), -6), TODAY()), 2, 2)) - 1, """")"),"")</f>
        <v/>
      </c>
      <c r="P289" s="21" t="str">
        <f>IFERROR(__xludf.DUMMYFUNCTION("IFERROR((GOOGLEFINANCE(C289, ""price"") / INDEX(GOOGLEFINANCE(C289, ""price"", EDATE(TODAY(), -12), TODAY()), 2, 2)) - 1, """")"),"")</f>
        <v/>
      </c>
      <c r="Q289" s="6" t="str">
        <f>IFERROR(__xludf.DUMMYFUNCTION("AVERAGE(QUERY(GOOGLEFINANCE(C289, ""price"", TODAY()-80, TODAY()), ""SELECT Col2 WHERE Col2 IS NOT NULL ORDER BY Col1 DESC LIMIT 50"", 0))"),"#N/A")</f>
        <v>#N/A</v>
      </c>
      <c r="R289" s="24" t="str">
        <f>IFERROR(__xludf.DUMMYFUNCTION("IFERROR(
  LET(
    data, QUERY(GOOGLEFINANCE(C289,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GOOGLEFINANCE(C289, ""price"")) * 100,
    IF(calc=0, G289, calc)
  ), 
G289)"),"#N/A")</f>
        <v>#N/A</v>
      </c>
      <c r="S289" s="8" t="s">
        <v>15</v>
      </c>
      <c r="T289" s="26" t="str">
        <f>IFERROR(__xludf.DUMMYFUNCTION("IFERROR(TRANSPOSE(QUERY(IFERROR(SORT(GOOGLEFINANCE(C289, ""price"", WORKDAY(TODAY(), -40), TODAY()), 1, FALSE)), ""select Col2 where Col2 is not null limit 22 label Col2 ''"", 0)), """")"),"")</f>
        <v/>
      </c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8"/>
      <c r="AO289" s="28"/>
      <c r="AP289" s="29"/>
      <c r="AQ289" s="29" t="str">
        <f t="shared" ref="AQ289:BL289" si="292">T289/T$2</f>
        <v>#N/A</v>
      </c>
      <c r="AR289" s="29" t="str">
        <f t="shared" si="292"/>
        <v>#DIV/0!</v>
      </c>
      <c r="AS289" s="29" t="str">
        <f t="shared" si="292"/>
        <v>#DIV/0!</v>
      </c>
      <c r="AT289" s="29" t="str">
        <f t="shared" si="292"/>
        <v>#DIV/0!</v>
      </c>
      <c r="AU289" s="29" t="str">
        <f t="shared" si="292"/>
        <v>#DIV/0!</v>
      </c>
      <c r="AV289" s="29" t="str">
        <f t="shared" si="292"/>
        <v>#DIV/0!</v>
      </c>
      <c r="AW289" s="29" t="str">
        <f t="shared" si="292"/>
        <v>#DIV/0!</v>
      </c>
      <c r="AX289" s="29" t="str">
        <f t="shared" si="292"/>
        <v>#DIV/0!</v>
      </c>
      <c r="AY289" s="29" t="str">
        <f t="shared" si="292"/>
        <v>#DIV/0!</v>
      </c>
      <c r="AZ289" s="29" t="str">
        <f t="shared" si="292"/>
        <v>#DIV/0!</v>
      </c>
      <c r="BA289" s="29" t="str">
        <f t="shared" si="292"/>
        <v>#DIV/0!</v>
      </c>
      <c r="BB289" s="29" t="str">
        <f t="shared" si="292"/>
        <v>#DIV/0!</v>
      </c>
      <c r="BC289" s="29" t="str">
        <f t="shared" si="292"/>
        <v>#DIV/0!</v>
      </c>
      <c r="BD289" s="29" t="str">
        <f t="shared" si="292"/>
        <v>#DIV/0!</v>
      </c>
      <c r="BE289" s="29" t="str">
        <f t="shared" si="292"/>
        <v>#DIV/0!</v>
      </c>
      <c r="BF289" s="29" t="str">
        <f t="shared" si="292"/>
        <v>#DIV/0!</v>
      </c>
      <c r="BG289" s="29" t="str">
        <f t="shared" si="292"/>
        <v>#DIV/0!</v>
      </c>
      <c r="BH289" s="29" t="str">
        <f t="shared" si="292"/>
        <v>#DIV/0!</v>
      </c>
      <c r="BI289" s="29" t="str">
        <f t="shared" si="292"/>
        <v>#DIV/0!</v>
      </c>
      <c r="BJ289" s="29" t="str">
        <f t="shared" si="292"/>
        <v>#DIV/0!</v>
      </c>
      <c r="BK289" s="29" t="str">
        <f t="shared" si="292"/>
        <v>#DIV/0!</v>
      </c>
      <c r="BL289" s="29" t="str">
        <f t="shared" si="292"/>
        <v>#DIV/0!</v>
      </c>
      <c r="BM289" s="29" t="str">
        <f t="shared" si="3"/>
        <v>#DIV/0!</v>
      </c>
    </row>
    <row r="290">
      <c r="A290" s="16" t="str">
        <f>IFERROR(__xludf.DUMMYFUNCTION("IFERROR(SPARKLINE(SORT(MAP(TRANSPOSE(AQ290:BL290), LAMBDA(val, IF(ISNUMBER(val), PERCENTRANK(AQ290:BL290, val)+0.01, 0))), SEQUENCE(COLUMNS(AQ290:BL290)), FALSE), {""charttype"",""column""; ""color"",""chartreuse""; ""ymin"", 0; ""ymax"", 1.01; ""highcolo"&amp;"r"", ""darkgreen""; ""lowcolor"", ""red""}), """")"),"")</f>
        <v/>
      </c>
      <c r="B290" s="17" t="str">
        <f t="shared" si="4"/>
        <v/>
      </c>
      <c r="C290" s="1" t="s">
        <v>1968</v>
      </c>
      <c r="D290" s="30" t="str">
        <f>IFERROR(__xludf.DUMMYFUNCTION("IFERROR(GOOGLEFINANCE(C290, ""NAME""))"),"Energy Recovery Inc")</f>
        <v>Energy Recovery Inc</v>
      </c>
      <c r="E290" s="30" t="s">
        <v>936</v>
      </c>
      <c r="F290" s="33" t="str">
        <f>IFERROR(__xludf.DUMMYFUNCTION("( (GOOGLEFINANCE(C290, ""price"") - Q290) / Q290 ) / (R290 / 100)"),"Loading...")</f>
        <v>Loading...</v>
      </c>
      <c r="G290" s="20" t="str">
        <f>IFERROR(__xludf.DUMMYFUNCTION("AVERAGE(ARRAYFORMULA(100 * (QUERY(GOOGLEFINANCE(C290, ""high"", TODAY()-40, TODAY()), ""SELECT Col2 WHERE Col2 IS NOT NULL ORDER BY Col1 DESC LIMIT 20"", 0) / QUERY(GOOGLEFINANCE(C290, ""low"", TODAY()-40, TODAY()), ""SELECT Col2 WHERE Col2 IS NOT NULL OR"&amp;"DER BY Col1 DESC LIMIT 20"", 0) - 1)))"),"#N/A")</f>
        <v>#N/A</v>
      </c>
      <c r="H290" s="35" t="str">
        <f t="shared" si="6"/>
        <v/>
      </c>
      <c r="I290" s="35" t="str">
        <f t="shared" si="7"/>
        <v/>
      </c>
      <c r="J290" s="37" t="str">
        <f>IFERROR(__xludf.DUMMYFUNCTION("IFERROR(
  IF(C290="""",, 
    IFERROR(
      GOOGLEFINANCE(C290, ""price"") * GOOGLEFINANCE(C290, ""volumeavg""), 
      GOOGLEFINANCE(C290, ""price"") * AVERAGE(QUERY(GOOGLEFINANCE(C290, ""volume"", TODAY()-40, TODAY()), ""SELECT Col2 WHERE Col2 IS NOT "&amp;"NULL ORDER BY Col1 DESC LIMIT 20"", 0))
    )
  ), 
"""")"),"")</f>
        <v/>
      </c>
      <c r="K290" s="21" t="str">
        <f>IFERROR(__xludf.DUMMYFUNCTION("IFERROR(GOOGLEFINANCE(C290, ""changepct"") / 100, """")"),"")</f>
        <v/>
      </c>
      <c r="L290" s="21" t="str">
        <f>IFERROR(__xludf.DUMMYFUNCTION("IFERROR((GOOGLEFINANCE(C290, ""price"") / INDEX(GOOGLEFINANCE(C290, ""price"", TODAY()-7, TODAY()), 2, 2)) - 1, """")"),"")</f>
        <v/>
      </c>
      <c r="M290" s="21" t="str">
        <f>IFERROR(__xludf.DUMMYFUNCTION("IFERROR((GOOGLEFINANCE(C290, ""price"") / INDEX(GOOGLEFINANCE(C290, ""price"", EDATE(TODAY(), -1), TODAY()), 2, 2)) - 1, """")"),"")</f>
        <v/>
      </c>
      <c r="N290" s="21" t="str">
        <f>IFERROR(__xludf.DUMMYFUNCTION("IFERROR((GOOGLEFINANCE(C290, ""price"") / INDEX(GOOGLEFINANCE(C290, ""price"", EDATE(TODAY(), -3), TODAY()), 2, 2)) - 1, """")"),"")</f>
        <v/>
      </c>
      <c r="O290" s="21" t="str">
        <f>IFERROR(__xludf.DUMMYFUNCTION("IFERROR((GOOGLEFINANCE(C290, ""price"") / INDEX(GOOGLEFINANCE(C290, ""price"", EDATE(TODAY(), -6), TODAY()), 2, 2)) - 1, """")"),"")</f>
        <v/>
      </c>
      <c r="P290" s="21" t="str">
        <f>IFERROR(__xludf.DUMMYFUNCTION("IFERROR((GOOGLEFINANCE(C290, ""price"") / INDEX(GOOGLEFINANCE(C290, ""price"", EDATE(TODAY(), -12), TODAY()), 2, 2)) - 1, """")"),"")</f>
        <v/>
      </c>
      <c r="Q290" s="6" t="str">
        <f>IFERROR(__xludf.DUMMYFUNCTION("AVERAGE(QUERY(GOOGLEFINANCE(C290, ""price"", TODAY()-80, TODAY()), ""SELECT Col2 WHERE Col2 IS NOT NULL ORDER BY Col1 DESC LIMIT 50"", 0))"),"#N/A")</f>
        <v>#N/A</v>
      </c>
      <c r="R290" s="24" t="str">
        <f>IFERROR(__xludf.DUMMYFUNCTION("IFERROR(
  LET(
    data, QUERY(GOOGLEFINANCE(C290,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GOOGLEFINANCE(C290, ""price"")) * 100,
    IF(calc=0, G290, calc)
  ), 
G290)"),"#N/A")</f>
        <v>#N/A</v>
      </c>
      <c r="S290" s="8" t="s">
        <v>15</v>
      </c>
      <c r="T290" s="26" t="str">
        <f>IFERROR(__xludf.DUMMYFUNCTION("IFERROR(TRANSPOSE(QUERY(IFERROR(SORT(GOOGLEFINANCE(C290, ""price"", WORKDAY(TODAY(), -40), TODAY()), 1, FALSE)), ""select Col2 where Col2 is not null limit 22 label Col2 ''"", 0)), """")"),"")</f>
        <v/>
      </c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8"/>
      <c r="AO290" s="28"/>
      <c r="AP290" s="29"/>
      <c r="AQ290" s="29" t="str">
        <f t="shared" ref="AQ290:BL290" si="293">T290/T$2</f>
        <v>#N/A</v>
      </c>
      <c r="AR290" s="29" t="str">
        <f t="shared" si="293"/>
        <v>#DIV/0!</v>
      </c>
      <c r="AS290" s="29" t="str">
        <f t="shared" si="293"/>
        <v>#DIV/0!</v>
      </c>
      <c r="AT290" s="29" t="str">
        <f t="shared" si="293"/>
        <v>#DIV/0!</v>
      </c>
      <c r="AU290" s="29" t="str">
        <f t="shared" si="293"/>
        <v>#DIV/0!</v>
      </c>
      <c r="AV290" s="29" t="str">
        <f t="shared" si="293"/>
        <v>#DIV/0!</v>
      </c>
      <c r="AW290" s="29" t="str">
        <f t="shared" si="293"/>
        <v>#DIV/0!</v>
      </c>
      <c r="AX290" s="29" t="str">
        <f t="shared" si="293"/>
        <v>#DIV/0!</v>
      </c>
      <c r="AY290" s="29" t="str">
        <f t="shared" si="293"/>
        <v>#DIV/0!</v>
      </c>
      <c r="AZ290" s="29" t="str">
        <f t="shared" si="293"/>
        <v>#DIV/0!</v>
      </c>
      <c r="BA290" s="29" t="str">
        <f t="shared" si="293"/>
        <v>#DIV/0!</v>
      </c>
      <c r="BB290" s="29" t="str">
        <f t="shared" si="293"/>
        <v>#DIV/0!</v>
      </c>
      <c r="BC290" s="29" t="str">
        <f t="shared" si="293"/>
        <v>#DIV/0!</v>
      </c>
      <c r="BD290" s="29" t="str">
        <f t="shared" si="293"/>
        <v>#DIV/0!</v>
      </c>
      <c r="BE290" s="29" t="str">
        <f t="shared" si="293"/>
        <v>#DIV/0!</v>
      </c>
      <c r="BF290" s="29" t="str">
        <f t="shared" si="293"/>
        <v>#DIV/0!</v>
      </c>
      <c r="BG290" s="29" t="str">
        <f t="shared" si="293"/>
        <v>#DIV/0!</v>
      </c>
      <c r="BH290" s="29" t="str">
        <f t="shared" si="293"/>
        <v>#DIV/0!</v>
      </c>
      <c r="BI290" s="29" t="str">
        <f t="shared" si="293"/>
        <v>#DIV/0!</v>
      </c>
      <c r="BJ290" s="29" t="str">
        <f t="shared" si="293"/>
        <v>#DIV/0!</v>
      </c>
      <c r="BK290" s="29" t="str">
        <f t="shared" si="293"/>
        <v>#DIV/0!</v>
      </c>
      <c r="BL290" s="29" t="str">
        <f t="shared" si="293"/>
        <v>#DIV/0!</v>
      </c>
      <c r="BM290" s="29" t="str">
        <f t="shared" si="3"/>
        <v>#DIV/0!</v>
      </c>
    </row>
    <row r="291">
      <c r="A291" s="16" t="str">
        <f>IFERROR(__xludf.DUMMYFUNCTION("IFERROR(SPARKLINE(SORT(MAP(TRANSPOSE(AQ291:BL291), LAMBDA(val, IF(ISNUMBER(val), PERCENTRANK(AQ291:BL291, val)+0.01, 0))), SEQUENCE(COLUMNS(AQ291:BL291)), FALSE), {""charttype"",""column""; ""color"",""chartreuse""; ""ymin"", 0; ""ymax"", 1.01; ""highcolo"&amp;"r"", ""darkgreen""; ""lowcolor"", ""red""}), """")"),"")</f>
        <v/>
      </c>
      <c r="B291" s="17" t="str">
        <f t="shared" si="4"/>
        <v/>
      </c>
      <c r="C291" s="1" t="s">
        <v>1972</v>
      </c>
      <c r="D291" s="30" t="str">
        <f>IFERROR(__xludf.DUMMYFUNCTION("IFERROR(GOOGLEFINANCE(C291, ""NAME""))"),"Mirion Technologies Inc")</f>
        <v>Mirion Technologies Inc</v>
      </c>
      <c r="E291" s="30" t="s">
        <v>893</v>
      </c>
      <c r="F291" s="33" t="str">
        <f>IFERROR(__xludf.DUMMYFUNCTION("( (GOOGLEFINANCE(C291, ""price"") - Q291) / Q291 ) / (R291 / 100)"),"Loading...")</f>
        <v>Loading...</v>
      </c>
      <c r="G291" s="20" t="str">
        <f>IFERROR(__xludf.DUMMYFUNCTION("AVERAGE(ARRAYFORMULA(100 * (QUERY(GOOGLEFINANCE(C291, ""high"", TODAY()-40, TODAY()), ""SELECT Col2 WHERE Col2 IS NOT NULL ORDER BY Col1 DESC LIMIT 20"", 0) / QUERY(GOOGLEFINANCE(C291, ""low"", TODAY()-40, TODAY()), ""SELECT Col2 WHERE Col2 IS NOT NULL OR"&amp;"DER BY Col1 DESC LIMIT 20"", 0) - 1)))"),"#N/A")</f>
        <v>#N/A</v>
      </c>
      <c r="H291" s="35" t="str">
        <f t="shared" si="6"/>
        <v/>
      </c>
      <c r="I291" s="35" t="str">
        <f t="shared" si="7"/>
        <v/>
      </c>
      <c r="J291" s="37" t="str">
        <f>IFERROR(__xludf.DUMMYFUNCTION("IFERROR(
  IF(C291="""",, 
    IFERROR(
      GOOGLEFINANCE(C291, ""price"") * GOOGLEFINANCE(C291, ""volumeavg""), 
      GOOGLEFINANCE(C291, ""price"") * AVERAGE(QUERY(GOOGLEFINANCE(C291, ""volume"", TODAY()-40, TODAY()), ""SELECT Col2 WHERE Col2 IS NOT "&amp;"NULL ORDER BY Col1 DESC LIMIT 20"", 0))
    )
  ), 
"""")"),"")</f>
        <v/>
      </c>
      <c r="K291" s="21" t="str">
        <f>IFERROR(__xludf.DUMMYFUNCTION("IFERROR(GOOGLEFINANCE(C291, ""changepct"") / 100, """")"),"")</f>
        <v/>
      </c>
      <c r="L291" s="21" t="str">
        <f>IFERROR(__xludf.DUMMYFUNCTION("IFERROR((GOOGLEFINANCE(C291, ""price"") / INDEX(GOOGLEFINANCE(C291, ""price"", TODAY()-7, TODAY()), 2, 2)) - 1, """")"),"")</f>
        <v/>
      </c>
      <c r="M291" s="21" t="str">
        <f>IFERROR(__xludf.DUMMYFUNCTION("IFERROR((GOOGLEFINANCE(C291, ""price"") / INDEX(GOOGLEFINANCE(C291, ""price"", EDATE(TODAY(), -1), TODAY()), 2, 2)) - 1, """")"),"")</f>
        <v/>
      </c>
      <c r="N291" s="21" t="str">
        <f>IFERROR(__xludf.DUMMYFUNCTION("IFERROR((GOOGLEFINANCE(C291, ""price"") / INDEX(GOOGLEFINANCE(C291, ""price"", EDATE(TODAY(), -3), TODAY()), 2, 2)) - 1, """")"),"")</f>
        <v/>
      </c>
      <c r="O291" s="21" t="str">
        <f>IFERROR(__xludf.DUMMYFUNCTION("IFERROR((GOOGLEFINANCE(C291, ""price"") / INDEX(GOOGLEFINANCE(C291, ""price"", EDATE(TODAY(), -6), TODAY()), 2, 2)) - 1, """")"),"")</f>
        <v/>
      </c>
      <c r="P291" s="21" t="str">
        <f>IFERROR(__xludf.DUMMYFUNCTION("IFERROR((GOOGLEFINANCE(C291, ""price"") / INDEX(GOOGLEFINANCE(C291, ""price"", EDATE(TODAY(), -12), TODAY()), 2, 2)) - 1, """")"),"")</f>
        <v/>
      </c>
      <c r="Q291" s="6" t="str">
        <f>IFERROR(__xludf.DUMMYFUNCTION("AVERAGE(QUERY(GOOGLEFINANCE(C291, ""price"", TODAY()-80, TODAY()), ""SELECT Col2 WHERE Col2 IS NOT NULL ORDER BY Col1 DESC LIMIT 50"", 0))"),"#N/A")</f>
        <v>#N/A</v>
      </c>
      <c r="R291" s="24" t="str">
        <f>IFERROR(__xludf.DUMMYFUNCTION("IFERROR(
  LET(
    data, QUERY(GOOGLEFINANCE(C291,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GOOGLEFINANCE(C291, ""price"")) * 100,
    IF(calc=0, G291, calc)
  ), 
G291)"),"#N/A")</f>
        <v>#N/A</v>
      </c>
      <c r="S291" s="8" t="s">
        <v>15</v>
      </c>
      <c r="T291" s="26" t="str">
        <f>IFERROR(__xludf.DUMMYFUNCTION("IFERROR(TRANSPOSE(QUERY(IFERROR(SORT(GOOGLEFINANCE(C291, ""price"", WORKDAY(TODAY(), -40), TODAY()), 1, FALSE)), ""select Col2 where Col2 is not null limit 22 label Col2 ''"", 0)), """")"),"")</f>
        <v/>
      </c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8"/>
      <c r="AO291" s="28"/>
      <c r="AP291" s="29"/>
      <c r="AQ291" s="29" t="str">
        <f t="shared" ref="AQ291:BL291" si="294">T291/T$2</f>
        <v>#N/A</v>
      </c>
      <c r="AR291" s="29" t="str">
        <f t="shared" si="294"/>
        <v>#DIV/0!</v>
      </c>
      <c r="AS291" s="29" t="str">
        <f t="shared" si="294"/>
        <v>#DIV/0!</v>
      </c>
      <c r="AT291" s="29" t="str">
        <f t="shared" si="294"/>
        <v>#DIV/0!</v>
      </c>
      <c r="AU291" s="29" t="str">
        <f t="shared" si="294"/>
        <v>#DIV/0!</v>
      </c>
      <c r="AV291" s="29" t="str">
        <f t="shared" si="294"/>
        <v>#DIV/0!</v>
      </c>
      <c r="AW291" s="29" t="str">
        <f t="shared" si="294"/>
        <v>#DIV/0!</v>
      </c>
      <c r="AX291" s="29" t="str">
        <f t="shared" si="294"/>
        <v>#DIV/0!</v>
      </c>
      <c r="AY291" s="29" t="str">
        <f t="shared" si="294"/>
        <v>#DIV/0!</v>
      </c>
      <c r="AZ291" s="29" t="str">
        <f t="shared" si="294"/>
        <v>#DIV/0!</v>
      </c>
      <c r="BA291" s="29" t="str">
        <f t="shared" si="294"/>
        <v>#DIV/0!</v>
      </c>
      <c r="BB291" s="29" t="str">
        <f t="shared" si="294"/>
        <v>#DIV/0!</v>
      </c>
      <c r="BC291" s="29" t="str">
        <f t="shared" si="294"/>
        <v>#DIV/0!</v>
      </c>
      <c r="BD291" s="29" t="str">
        <f t="shared" si="294"/>
        <v>#DIV/0!</v>
      </c>
      <c r="BE291" s="29" t="str">
        <f t="shared" si="294"/>
        <v>#DIV/0!</v>
      </c>
      <c r="BF291" s="29" t="str">
        <f t="shared" si="294"/>
        <v>#DIV/0!</v>
      </c>
      <c r="BG291" s="29" t="str">
        <f t="shared" si="294"/>
        <v>#DIV/0!</v>
      </c>
      <c r="BH291" s="29" t="str">
        <f t="shared" si="294"/>
        <v>#DIV/0!</v>
      </c>
      <c r="BI291" s="29" t="str">
        <f t="shared" si="294"/>
        <v>#DIV/0!</v>
      </c>
      <c r="BJ291" s="29" t="str">
        <f t="shared" si="294"/>
        <v>#DIV/0!</v>
      </c>
      <c r="BK291" s="29" t="str">
        <f t="shared" si="294"/>
        <v>#DIV/0!</v>
      </c>
      <c r="BL291" s="29" t="str">
        <f t="shared" si="294"/>
        <v>#DIV/0!</v>
      </c>
      <c r="BM291" s="29" t="str">
        <f t="shared" si="3"/>
        <v>#DIV/0!</v>
      </c>
    </row>
    <row r="292">
      <c r="A292" s="16" t="str">
        <f>IFERROR(__xludf.DUMMYFUNCTION("IFERROR(SPARKLINE(SORT(MAP(TRANSPOSE(AQ292:BL292), LAMBDA(val, IF(ISNUMBER(val), PERCENTRANK(AQ292:BL292, val)+0.01, 0))), SEQUENCE(COLUMNS(AQ292:BL292)), FALSE), {""charttype"",""column""; ""color"",""chartreuse""; ""ymin"", 0; ""ymax"", 1.01; ""highcolo"&amp;"r"", ""darkgreen""; ""lowcolor"", ""red""}), """")"),"")</f>
        <v/>
      </c>
      <c r="B292" s="17" t="str">
        <f t="shared" si="4"/>
        <v/>
      </c>
      <c r="C292" s="1" t="s">
        <v>1976</v>
      </c>
      <c r="D292" s="30" t="str">
        <f>IFERROR(__xludf.DUMMYFUNCTION("IFERROR(GOOGLEFINANCE(C292, ""NAME""))"),"Trane Technologies PLC")</f>
        <v>Trane Technologies PLC</v>
      </c>
      <c r="E292" s="30" t="s">
        <v>968</v>
      </c>
      <c r="F292" s="33" t="str">
        <f>IFERROR(__xludf.DUMMYFUNCTION("( (GOOGLEFINANCE(C292, ""price"") - Q292) / Q292 ) / (R292 / 100)"),"Loading...")</f>
        <v>Loading...</v>
      </c>
      <c r="G292" s="20" t="str">
        <f>IFERROR(__xludf.DUMMYFUNCTION("AVERAGE(ARRAYFORMULA(100 * (QUERY(GOOGLEFINANCE(C292, ""high"", TODAY()-40, TODAY()), ""SELECT Col2 WHERE Col2 IS NOT NULL ORDER BY Col1 DESC LIMIT 20"", 0) / QUERY(GOOGLEFINANCE(C292, ""low"", TODAY()-40, TODAY()), ""SELECT Col2 WHERE Col2 IS NOT NULL OR"&amp;"DER BY Col1 DESC LIMIT 20"", 0) - 1)))"),"#N/A")</f>
        <v>#N/A</v>
      </c>
      <c r="H292" s="35" t="str">
        <f t="shared" si="6"/>
        <v/>
      </c>
      <c r="I292" s="35" t="str">
        <f t="shared" si="7"/>
        <v/>
      </c>
      <c r="J292" s="37" t="str">
        <f>IFERROR(__xludf.DUMMYFUNCTION("IFERROR(
  IF(C292="""",, 
    IFERROR(
      GOOGLEFINANCE(C292, ""price"") * GOOGLEFINANCE(C292, ""volumeavg""), 
      GOOGLEFINANCE(C292, ""price"") * AVERAGE(QUERY(GOOGLEFINANCE(C292, ""volume"", TODAY()-40, TODAY()), ""SELECT Col2 WHERE Col2 IS NOT "&amp;"NULL ORDER BY Col1 DESC LIMIT 20"", 0))
    )
  ), 
"""")"),"")</f>
        <v/>
      </c>
      <c r="K292" s="21" t="str">
        <f>IFERROR(__xludf.DUMMYFUNCTION("IFERROR(GOOGLEFINANCE(C292, ""changepct"") / 100, """")"),"")</f>
        <v/>
      </c>
      <c r="L292" s="21" t="str">
        <f>IFERROR(__xludf.DUMMYFUNCTION("IFERROR((GOOGLEFINANCE(C292, ""price"") / INDEX(GOOGLEFINANCE(C292, ""price"", TODAY()-7, TODAY()), 2, 2)) - 1, """")"),"")</f>
        <v/>
      </c>
      <c r="M292" s="21" t="str">
        <f>IFERROR(__xludf.DUMMYFUNCTION("IFERROR((GOOGLEFINANCE(C292, ""price"") / INDEX(GOOGLEFINANCE(C292, ""price"", EDATE(TODAY(), -1), TODAY()), 2, 2)) - 1, """")"),"")</f>
        <v/>
      </c>
      <c r="N292" s="21" t="str">
        <f>IFERROR(__xludf.DUMMYFUNCTION("IFERROR((GOOGLEFINANCE(C292, ""price"") / INDEX(GOOGLEFINANCE(C292, ""price"", EDATE(TODAY(), -3), TODAY()), 2, 2)) - 1, """")"),"")</f>
        <v/>
      </c>
      <c r="O292" s="21" t="str">
        <f>IFERROR(__xludf.DUMMYFUNCTION("IFERROR((GOOGLEFINANCE(C292, ""price"") / INDEX(GOOGLEFINANCE(C292, ""price"", EDATE(TODAY(), -6), TODAY()), 2, 2)) - 1, """")"),"")</f>
        <v/>
      </c>
      <c r="P292" s="21" t="str">
        <f>IFERROR(__xludf.DUMMYFUNCTION("IFERROR((GOOGLEFINANCE(C292, ""price"") / INDEX(GOOGLEFINANCE(C292, ""price"", EDATE(TODAY(), -12), TODAY()), 2, 2)) - 1, """")"),"")</f>
        <v/>
      </c>
      <c r="Q292" s="6" t="str">
        <f>IFERROR(__xludf.DUMMYFUNCTION("AVERAGE(QUERY(GOOGLEFINANCE(C292, ""price"", TODAY()-80, TODAY()), ""SELECT Col2 WHERE Col2 IS NOT NULL ORDER BY Col1 DESC LIMIT 50"", 0))"),"#N/A")</f>
        <v>#N/A</v>
      </c>
      <c r="R292" s="24" t="str">
        <f>IFERROR(__xludf.DUMMYFUNCTION("IFERROR(
  LET(
    data, QUERY(GOOGLEFINANCE(C292,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GOOGLEFINANCE(C292, ""price"")) * 100,
    IF(calc=0, G292, calc)
  ), 
G292)"),"#N/A")</f>
        <v>#N/A</v>
      </c>
      <c r="S292" s="8" t="s">
        <v>15</v>
      </c>
      <c r="T292" s="26" t="str">
        <f>IFERROR(__xludf.DUMMYFUNCTION("IFERROR(TRANSPOSE(QUERY(IFERROR(SORT(GOOGLEFINANCE(C292, ""price"", WORKDAY(TODAY(), -40), TODAY()), 1, FALSE)), ""select Col2 where Col2 is not null limit 22 label Col2 ''"", 0)), """")"),"")</f>
        <v/>
      </c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8"/>
      <c r="AO292" s="28"/>
      <c r="AP292" s="29"/>
      <c r="AQ292" s="29" t="str">
        <f t="shared" ref="AQ292:BL292" si="295">T292/T$2</f>
        <v>#N/A</v>
      </c>
      <c r="AR292" s="29" t="str">
        <f t="shared" si="295"/>
        <v>#DIV/0!</v>
      </c>
      <c r="AS292" s="29" t="str">
        <f t="shared" si="295"/>
        <v>#DIV/0!</v>
      </c>
      <c r="AT292" s="29" t="str">
        <f t="shared" si="295"/>
        <v>#DIV/0!</v>
      </c>
      <c r="AU292" s="29" t="str">
        <f t="shared" si="295"/>
        <v>#DIV/0!</v>
      </c>
      <c r="AV292" s="29" t="str">
        <f t="shared" si="295"/>
        <v>#DIV/0!</v>
      </c>
      <c r="AW292" s="29" t="str">
        <f t="shared" si="295"/>
        <v>#DIV/0!</v>
      </c>
      <c r="AX292" s="29" t="str">
        <f t="shared" si="295"/>
        <v>#DIV/0!</v>
      </c>
      <c r="AY292" s="29" t="str">
        <f t="shared" si="295"/>
        <v>#DIV/0!</v>
      </c>
      <c r="AZ292" s="29" t="str">
        <f t="shared" si="295"/>
        <v>#DIV/0!</v>
      </c>
      <c r="BA292" s="29" t="str">
        <f t="shared" si="295"/>
        <v>#DIV/0!</v>
      </c>
      <c r="BB292" s="29" t="str">
        <f t="shared" si="295"/>
        <v>#DIV/0!</v>
      </c>
      <c r="BC292" s="29" t="str">
        <f t="shared" si="295"/>
        <v>#DIV/0!</v>
      </c>
      <c r="BD292" s="29" t="str">
        <f t="shared" si="295"/>
        <v>#DIV/0!</v>
      </c>
      <c r="BE292" s="29" t="str">
        <f t="shared" si="295"/>
        <v>#DIV/0!</v>
      </c>
      <c r="BF292" s="29" t="str">
        <f t="shared" si="295"/>
        <v>#DIV/0!</v>
      </c>
      <c r="BG292" s="29" t="str">
        <f t="shared" si="295"/>
        <v>#DIV/0!</v>
      </c>
      <c r="BH292" s="29" t="str">
        <f t="shared" si="295"/>
        <v>#DIV/0!</v>
      </c>
      <c r="BI292" s="29" t="str">
        <f t="shared" si="295"/>
        <v>#DIV/0!</v>
      </c>
      <c r="BJ292" s="29" t="str">
        <f t="shared" si="295"/>
        <v>#DIV/0!</v>
      </c>
      <c r="BK292" s="29" t="str">
        <f t="shared" si="295"/>
        <v>#DIV/0!</v>
      </c>
      <c r="BL292" s="29" t="str">
        <f t="shared" si="295"/>
        <v>#DIV/0!</v>
      </c>
      <c r="BM292" s="29" t="str">
        <f t="shared" si="3"/>
        <v>#DIV/0!</v>
      </c>
    </row>
    <row r="293">
      <c r="A293" s="16" t="str">
        <f>IFERROR(__xludf.DUMMYFUNCTION("IFERROR(SPARKLINE(SORT(MAP(TRANSPOSE(AQ293:BL293), LAMBDA(val, IF(ISNUMBER(val), PERCENTRANK(AQ293:BL293, val)+0.01, 0))), SEQUENCE(COLUMNS(AQ293:BL293)), FALSE), {""charttype"",""column""; ""color"",""chartreuse""; ""ymin"", 0; ""ymax"", 1.01; ""highcolo"&amp;"r"", ""darkgreen""; ""lowcolor"", ""red""}), """")"),"")</f>
        <v/>
      </c>
      <c r="B293" s="17" t="str">
        <f t="shared" si="4"/>
        <v/>
      </c>
      <c r="C293" s="1" t="s">
        <v>1981</v>
      </c>
      <c r="D293" s="30" t="str">
        <f>IFERROR(__xludf.DUMMYFUNCTION("IFERROR(GOOGLEFINANCE(C293, ""NAME""))"),"3M Co")</f>
        <v>3M Co</v>
      </c>
      <c r="E293" s="30" t="s">
        <v>843</v>
      </c>
      <c r="F293" s="33" t="str">
        <f>IFERROR(__xludf.DUMMYFUNCTION("( (GOOGLEFINANCE(C293, ""price"") - Q293) / Q293 ) / (R293 / 100)"),"Loading...")</f>
        <v>Loading...</v>
      </c>
      <c r="G293" s="20" t="str">
        <f>IFERROR(__xludf.DUMMYFUNCTION("AVERAGE(ARRAYFORMULA(100 * (QUERY(GOOGLEFINANCE(C293, ""high"", TODAY()-40, TODAY()), ""SELECT Col2 WHERE Col2 IS NOT NULL ORDER BY Col1 DESC LIMIT 20"", 0) / QUERY(GOOGLEFINANCE(C293, ""low"", TODAY()-40, TODAY()), ""SELECT Col2 WHERE Col2 IS NOT NULL OR"&amp;"DER BY Col1 DESC LIMIT 20"", 0) - 1)))"),"#N/A")</f>
        <v>#N/A</v>
      </c>
      <c r="H293" s="35" t="str">
        <f t="shared" si="6"/>
        <v/>
      </c>
      <c r="I293" s="35" t="str">
        <f t="shared" si="7"/>
        <v/>
      </c>
      <c r="J293" s="37" t="str">
        <f>IFERROR(__xludf.DUMMYFUNCTION("IFERROR(
  IF(C293="""",, 
    IFERROR(
      GOOGLEFINANCE(C293, ""price"") * GOOGLEFINANCE(C293, ""volumeavg""), 
      GOOGLEFINANCE(C293, ""price"") * AVERAGE(QUERY(GOOGLEFINANCE(C293, ""volume"", TODAY()-40, TODAY()), ""SELECT Col2 WHERE Col2 IS NOT "&amp;"NULL ORDER BY Col1 DESC LIMIT 20"", 0))
    )
  ), 
"""")"),"")</f>
        <v/>
      </c>
      <c r="K293" s="21" t="str">
        <f>IFERROR(__xludf.DUMMYFUNCTION("IFERROR(GOOGLEFINANCE(C293, ""changepct"") / 100, """")"),"")</f>
        <v/>
      </c>
      <c r="L293" s="21" t="str">
        <f>IFERROR(__xludf.DUMMYFUNCTION("IFERROR((GOOGLEFINANCE(C293, ""price"") / INDEX(GOOGLEFINANCE(C293, ""price"", TODAY()-7, TODAY()), 2, 2)) - 1, """")"),"")</f>
        <v/>
      </c>
      <c r="M293" s="21" t="str">
        <f>IFERROR(__xludf.DUMMYFUNCTION("IFERROR((GOOGLEFINANCE(C293, ""price"") / INDEX(GOOGLEFINANCE(C293, ""price"", EDATE(TODAY(), -1), TODAY()), 2, 2)) - 1, """")"),"")</f>
        <v/>
      </c>
      <c r="N293" s="21" t="str">
        <f>IFERROR(__xludf.DUMMYFUNCTION("IFERROR((GOOGLEFINANCE(C293, ""price"") / INDEX(GOOGLEFINANCE(C293, ""price"", EDATE(TODAY(), -3), TODAY()), 2, 2)) - 1, """")"),"")</f>
        <v/>
      </c>
      <c r="O293" s="21" t="str">
        <f>IFERROR(__xludf.DUMMYFUNCTION("IFERROR((GOOGLEFINANCE(C293, ""price"") / INDEX(GOOGLEFINANCE(C293, ""price"", EDATE(TODAY(), -6), TODAY()), 2, 2)) - 1, """")"),"")</f>
        <v/>
      </c>
      <c r="P293" s="21" t="str">
        <f>IFERROR(__xludf.DUMMYFUNCTION("IFERROR((GOOGLEFINANCE(C293, ""price"") / INDEX(GOOGLEFINANCE(C293, ""price"", EDATE(TODAY(), -12), TODAY()), 2, 2)) - 1, """")"),"")</f>
        <v/>
      </c>
      <c r="Q293" s="6" t="str">
        <f>IFERROR(__xludf.DUMMYFUNCTION("AVERAGE(QUERY(GOOGLEFINANCE(C293, ""price"", TODAY()-80, TODAY()), ""SELECT Col2 WHERE Col2 IS NOT NULL ORDER BY Col1 DESC LIMIT 50"", 0))"),"#N/A")</f>
        <v>#N/A</v>
      </c>
      <c r="R293" s="24" t="str">
        <f>IFERROR(__xludf.DUMMYFUNCTION("IFERROR(
  LET(
    data, QUERY(GOOGLEFINANCE(C293,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GOOGLEFINANCE(C293, ""price"")) * 100,
    IF(calc=0, G293, calc)
  ), 
G293)"),"#N/A")</f>
        <v>#N/A</v>
      </c>
      <c r="S293" s="8" t="s">
        <v>15</v>
      </c>
      <c r="T293" s="26" t="str">
        <f>IFERROR(__xludf.DUMMYFUNCTION("IFERROR(TRANSPOSE(QUERY(IFERROR(SORT(GOOGLEFINANCE(C293, ""price"", WORKDAY(TODAY(), -40), TODAY()), 1, FALSE)), ""select Col2 where Col2 is not null limit 22 label Col2 ''"", 0)), """")"),"")</f>
        <v/>
      </c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8"/>
      <c r="AO293" s="28"/>
      <c r="AP293" s="29"/>
      <c r="AQ293" s="29" t="str">
        <f t="shared" ref="AQ293:BL293" si="296">T293/T$2</f>
        <v>#N/A</v>
      </c>
      <c r="AR293" s="29" t="str">
        <f t="shared" si="296"/>
        <v>#DIV/0!</v>
      </c>
      <c r="AS293" s="29" t="str">
        <f t="shared" si="296"/>
        <v>#DIV/0!</v>
      </c>
      <c r="AT293" s="29" t="str">
        <f t="shared" si="296"/>
        <v>#DIV/0!</v>
      </c>
      <c r="AU293" s="29" t="str">
        <f t="shared" si="296"/>
        <v>#DIV/0!</v>
      </c>
      <c r="AV293" s="29" t="str">
        <f t="shared" si="296"/>
        <v>#DIV/0!</v>
      </c>
      <c r="AW293" s="29" t="str">
        <f t="shared" si="296"/>
        <v>#DIV/0!</v>
      </c>
      <c r="AX293" s="29" t="str">
        <f t="shared" si="296"/>
        <v>#DIV/0!</v>
      </c>
      <c r="AY293" s="29" t="str">
        <f t="shared" si="296"/>
        <v>#DIV/0!</v>
      </c>
      <c r="AZ293" s="29" t="str">
        <f t="shared" si="296"/>
        <v>#DIV/0!</v>
      </c>
      <c r="BA293" s="29" t="str">
        <f t="shared" si="296"/>
        <v>#DIV/0!</v>
      </c>
      <c r="BB293" s="29" t="str">
        <f t="shared" si="296"/>
        <v>#DIV/0!</v>
      </c>
      <c r="BC293" s="29" t="str">
        <f t="shared" si="296"/>
        <v>#DIV/0!</v>
      </c>
      <c r="BD293" s="29" t="str">
        <f t="shared" si="296"/>
        <v>#DIV/0!</v>
      </c>
      <c r="BE293" s="29" t="str">
        <f t="shared" si="296"/>
        <v>#DIV/0!</v>
      </c>
      <c r="BF293" s="29" t="str">
        <f t="shared" si="296"/>
        <v>#DIV/0!</v>
      </c>
      <c r="BG293" s="29" t="str">
        <f t="shared" si="296"/>
        <v>#DIV/0!</v>
      </c>
      <c r="BH293" s="29" t="str">
        <f t="shared" si="296"/>
        <v>#DIV/0!</v>
      </c>
      <c r="BI293" s="29" t="str">
        <f t="shared" si="296"/>
        <v>#DIV/0!</v>
      </c>
      <c r="BJ293" s="29" t="str">
        <f t="shared" si="296"/>
        <v>#DIV/0!</v>
      </c>
      <c r="BK293" s="29" t="str">
        <f t="shared" si="296"/>
        <v>#DIV/0!</v>
      </c>
      <c r="BL293" s="29" t="str">
        <f t="shared" si="296"/>
        <v>#DIV/0!</v>
      </c>
      <c r="BM293" s="29" t="str">
        <f t="shared" si="3"/>
        <v>#DIV/0!</v>
      </c>
    </row>
    <row r="294">
      <c r="A294" s="16" t="str">
        <f>IFERROR(__xludf.DUMMYFUNCTION("IFERROR(SPARKLINE(SORT(MAP(TRANSPOSE(AQ294:BL294), LAMBDA(val, IF(ISNUMBER(val), PERCENTRANK(AQ294:BL294, val)+0.01, 0))), SEQUENCE(COLUMNS(AQ294:BL294)), FALSE), {""charttype"",""column""; ""color"",""chartreuse""; ""ymin"", 0; ""ymax"", 1.01; ""highcolo"&amp;"r"", ""darkgreen""; ""lowcolor"", ""red""}), """")"),"")</f>
        <v/>
      </c>
      <c r="B294" s="17" t="str">
        <f t="shared" si="4"/>
        <v/>
      </c>
      <c r="C294" s="1" t="s">
        <v>1985</v>
      </c>
      <c r="D294" s="30" t="str">
        <f>IFERROR(__xludf.DUMMYFUNCTION("IFERROR(GOOGLEFINANCE(C294, ""NAME""))"),"BWX Technologies Inc")</f>
        <v>BWX Technologies Inc</v>
      </c>
      <c r="E294" s="30" t="s">
        <v>839</v>
      </c>
      <c r="F294" s="33" t="str">
        <f>IFERROR(__xludf.DUMMYFUNCTION("( (GOOGLEFINANCE(C294, ""price"") - Q294) / Q294 ) / (R294 / 100)"),"Loading...")</f>
        <v>Loading...</v>
      </c>
      <c r="G294" s="20" t="str">
        <f>IFERROR(__xludf.DUMMYFUNCTION("AVERAGE(ARRAYFORMULA(100 * (QUERY(GOOGLEFINANCE(C294, ""high"", TODAY()-40, TODAY()), ""SELECT Col2 WHERE Col2 IS NOT NULL ORDER BY Col1 DESC LIMIT 20"", 0) / QUERY(GOOGLEFINANCE(C294, ""low"", TODAY()-40, TODAY()), ""SELECT Col2 WHERE Col2 IS NOT NULL OR"&amp;"DER BY Col1 DESC LIMIT 20"", 0) - 1)))"),"#N/A")</f>
        <v>#N/A</v>
      </c>
      <c r="H294" s="35" t="str">
        <f t="shared" si="6"/>
        <v/>
      </c>
      <c r="I294" s="35" t="str">
        <f t="shared" si="7"/>
        <v/>
      </c>
      <c r="J294" s="37" t="str">
        <f>IFERROR(__xludf.DUMMYFUNCTION("IFERROR(
  IF(C294="""",, 
    IFERROR(
      GOOGLEFINANCE(C294, ""price"") * GOOGLEFINANCE(C294, ""volumeavg""), 
      GOOGLEFINANCE(C294, ""price"") * AVERAGE(QUERY(GOOGLEFINANCE(C294, ""volume"", TODAY()-40, TODAY()), ""SELECT Col2 WHERE Col2 IS NOT "&amp;"NULL ORDER BY Col1 DESC LIMIT 20"", 0))
    )
  ), 
"""")"),"")</f>
        <v/>
      </c>
      <c r="K294" s="21" t="str">
        <f>IFERROR(__xludf.DUMMYFUNCTION("IFERROR(GOOGLEFINANCE(C294, ""changepct"") / 100, """")"),"")</f>
        <v/>
      </c>
      <c r="L294" s="21" t="str">
        <f>IFERROR(__xludf.DUMMYFUNCTION("IFERROR((GOOGLEFINANCE(C294, ""price"") / INDEX(GOOGLEFINANCE(C294, ""price"", TODAY()-7, TODAY()), 2, 2)) - 1, """")"),"")</f>
        <v/>
      </c>
      <c r="M294" s="21" t="str">
        <f>IFERROR(__xludf.DUMMYFUNCTION("IFERROR((GOOGLEFINANCE(C294, ""price"") / INDEX(GOOGLEFINANCE(C294, ""price"", EDATE(TODAY(), -1), TODAY()), 2, 2)) - 1, """")"),"")</f>
        <v/>
      </c>
      <c r="N294" s="21" t="str">
        <f>IFERROR(__xludf.DUMMYFUNCTION("IFERROR((GOOGLEFINANCE(C294, ""price"") / INDEX(GOOGLEFINANCE(C294, ""price"", EDATE(TODAY(), -3), TODAY()), 2, 2)) - 1, """")"),"")</f>
        <v/>
      </c>
      <c r="O294" s="21" t="str">
        <f>IFERROR(__xludf.DUMMYFUNCTION("IFERROR((GOOGLEFINANCE(C294, ""price"") / INDEX(GOOGLEFINANCE(C294, ""price"", EDATE(TODAY(), -6), TODAY()), 2, 2)) - 1, """")"),"")</f>
        <v/>
      </c>
      <c r="P294" s="21" t="str">
        <f>IFERROR(__xludf.DUMMYFUNCTION("IFERROR((GOOGLEFINANCE(C294, ""price"") / INDEX(GOOGLEFINANCE(C294, ""price"", EDATE(TODAY(), -12), TODAY()), 2, 2)) - 1, """")"),"")</f>
        <v/>
      </c>
      <c r="Q294" s="6" t="str">
        <f>IFERROR(__xludf.DUMMYFUNCTION("AVERAGE(QUERY(GOOGLEFINANCE(C294, ""price"", TODAY()-80, TODAY()), ""SELECT Col2 WHERE Col2 IS NOT NULL ORDER BY Col1 DESC LIMIT 50"", 0))"),"#N/A")</f>
        <v>#N/A</v>
      </c>
      <c r="R294" s="24" t="str">
        <f>IFERROR(__xludf.DUMMYFUNCTION("IFERROR(
  LET(
    data, QUERY(GOOGLEFINANCE(C294,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GOOGLEFINANCE(C294, ""price"")) * 100,
    IF(calc=0, G294, calc)
  ), 
G294)"),"#N/A")</f>
        <v>#N/A</v>
      </c>
      <c r="S294" s="8" t="s">
        <v>15</v>
      </c>
      <c r="T294" s="26" t="str">
        <f>IFERROR(__xludf.DUMMYFUNCTION("IFERROR(TRANSPOSE(QUERY(IFERROR(SORT(GOOGLEFINANCE(C294, ""price"", WORKDAY(TODAY(), -40), TODAY()), 1, FALSE)), ""select Col2 where Col2 is not null limit 22 label Col2 ''"", 0)), """")"),"")</f>
        <v/>
      </c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8"/>
      <c r="AO294" s="28"/>
      <c r="AP294" s="29"/>
      <c r="AQ294" s="29" t="str">
        <f t="shared" ref="AQ294:BL294" si="297">T294/T$2</f>
        <v>#N/A</v>
      </c>
      <c r="AR294" s="29" t="str">
        <f t="shared" si="297"/>
        <v>#DIV/0!</v>
      </c>
      <c r="AS294" s="29" t="str">
        <f t="shared" si="297"/>
        <v>#DIV/0!</v>
      </c>
      <c r="AT294" s="29" t="str">
        <f t="shared" si="297"/>
        <v>#DIV/0!</v>
      </c>
      <c r="AU294" s="29" t="str">
        <f t="shared" si="297"/>
        <v>#DIV/0!</v>
      </c>
      <c r="AV294" s="29" t="str">
        <f t="shared" si="297"/>
        <v>#DIV/0!</v>
      </c>
      <c r="AW294" s="29" t="str">
        <f t="shared" si="297"/>
        <v>#DIV/0!</v>
      </c>
      <c r="AX294" s="29" t="str">
        <f t="shared" si="297"/>
        <v>#DIV/0!</v>
      </c>
      <c r="AY294" s="29" t="str">
        <f t="shared" si="297"/>
        <v>#DIV/0!</v>
      </c>
      <c r="AZ294" s="29" t="str">
        <f t="shared" si="297"/>
        <v>#DIV/0!</v>
      </c>
      <c r="BA294" s="29" t="str">
        <f t="shared" si="297"/>
        <v>#DIV/0!</v>
      </c>
      <c r="BB294" s="29" t="str">
        <f t="shared" si="297"/>
        <v>#DIV/0!</v>
      </c>
      <c r="BC294" s="29" t="str">
        <f t="shared" si="297"/>
        <v>#DIV/0!</v>
      </c>
      <c r="BD294" s="29" t="str">
        <f t="shared" si="297"/>
        <v>#DIV/0!</v>
      </c>
      <c r="BE294" s="29" t="str">
        <f t="shared" si="297"/>
        <v>#DIV/0!</v>
      </c>
      <c r="BF294" s="29" t="str">
        <f t="shared" si="297"/>
        <v>#DIV/0!</v>
      </c>
      <c r="BG294" s="29" t="str">
        <f t="shared" si="297"/>
        <v>#DIV/0!</v>
      </c>
      <c r="BH294" s="29" t="str">
        <f t="shared" si="297"/>
        <v>#DIV/0!</v>
      </c>
      <c r="BI294" s="29" t="str">
        <f t="shared" si="297"/>
        <v>#DIV/0!</v>
      </c>
      <c r="BJ294" s="29" t="str">
        <f t="shared" si="297"/>
        <v>#DIV/0!</v>
      </c>
      <c r="BK294" s="29" t="str">
        <f t="shared" si="297"/>
        <v>#DIV/0!</v>
      </c>
      <c r="BL294" s="29" t="str">
        <f t="shared" si="297"/>
        <v>#DIV/0!</v>
      </c>
      <c r="BM294" s="29" t="str">
        <f t="shared" si="3"/>
        <v>#DIV/0!</v>
      </c>
    </row>
    <row r="295">
      <c r="A295" s="16" t="str">
        <f>IFERROR(__xludf.DUMMYFUNCTION("IFERROR(SPARKLINE(SORT(MAP(TRANSPOSE(AQ295:BL295), LAMBDA(val, IF(ISNUMBER(val), PERCENTRANK(AQ295:BL295, val)+0.01, 0))), SEQUENCE(COLUMNS(AQ295:BL295)), FALSE), {""charttype"",""column""; ""color"",""chartreuse""; ""ymin"", 0; ""ymax"", 1.01; ""highcolo"&amp;"r"", ""darkgreen""; ""lowcolor"", ""red""}), """")"),"")</f>
        <v/>
      </c>
      <c r="B295" s="17" t="str">
        <f t="shared" si="4"/>
        <v/>
      </c>
      <c r="C295" s="1" t="s">
        <v>1988</v>
      </c>
      <c r="D295" s="30" t="str">
        <f>IFERROR(__xludf.DUMMYFUNCTION("IFERROR(GOOGLEFINANCE(C295, ""NAME""))"),"PACCAR Inc")</f>
        <v>PACCAR Inc</v>
      </c>
      <c r="E295" s="30" t="s">
        <v>1036</v>
      </c>
      <c r="F295" s="33" t="str">
        <f>IFERROR(__xludf.DUMMYFUNCTION("( (GOOGLEFINANCE(C295, ""price"") - Q295) / Q295 ) / (R295 / 100)"),"Loading...")</f>
        <v>Loading...</v>
      </c>
      <c r="G295" s="20" t="str">
        <f>IFERROR(__xludf.DUMMYFUNCTION("AVERAGE(ARRAYFORMULA(100 * (QUERY(GOOGLEFINANCE(C295, ""high"", TODAY()-40, TODAY()), ""SELECT Col2 WHERE Col2 IS NOT NULL ORDER BY Col1 DESC LIMIT 20"", 0) / QUERY(GOOGLEFINANCE(C295, ""low"", TODAY()-40, TODAY()), ""SELECT Col2 WHERE Col2 IS NOT NULL OR"&amp;"DER BY Col1 DESC LIMIT 20"", 0) - 1)))"),"#N/A")</f>
        <v>#N/A</v>
      </c>
      <c r="H295" s="35" t="str">
        <f t="shared" si="6"/>
        <v/>
      </c>
      <c r="I295" s="35" t="str">
        <f t="shared" si="7"/>
        <v/>
      </c>
      <c r="J295" s="37" t="str">
        <f>IFERROR(__xludf.DUMMYFUNCTION("IFERROR(
  IF(C295="""",, 
    IFERROR(
      GOOGLEFINANCE(C295, ""price"") * GOOGLEFINANCE(C295, ""volumeavg""), 
      GOOGLEFINANCE(C295, ""price"") * AVERAGE(QUERY(GOOGLEFINANCE(C295, ""volume"", TODAY()-40, TODAY()), ""SELECT Col2 WHERE Col2 IS NOT "&amp;"NULL ORDER BY Col1 DESC LIMIT 20"", 0))
    )
  ), 
"""")"),"")</f>
        <v/>
      </c>
      <c r="K295" s="21" t="str">
        <f>IFERROR(__xludf.DUMMYFUNCTION("IFERROR(GOOGLEFINANCE(C295, ""changepct"") / 100, """")"),"")</f>
        <v/>
      </c>
      <c r="L295" s="21" t="str">
        <f>IFERROR(__xludf.DUMMYFUNCTION("IFERROR((GOOGLEFINANCE(C295, ""price"") / INDEX(GOOGLEFINANCE(C295, ""price"", TODAY()-7, TODAY()), 2, 2)) - 1, """")"),"")</f>
        <v/>
      </c>
      <c r="M295" s="21" t="str">
        <f>IFERROR(__xludf.DUMMYFUNCTION("IFERROR((GOOGLEFINANCE(C295, ""price"") / INDEX(GOOGLEFINANCE(C295, ""price"", EDATE(TODAY(), -1), TODAY()), 2, 2)) - 1, """")"),"")</f>
        <v/>
      </c>
      <c r="N295" s="21" t="str">
        <f>IFERROR(__xludf.DUMMYFUNCTION("IFERROR((GOOGLEFINANCE(C295, ""price"") / INDEX(GOOGLEFINANCE(C295, ""price"", EDATE(TODAY(), -3), TODAY()), 2, 2)) - 1, """")"),"")</f>
        <v/>
      </c>
      <c r="O295" s="21" t="str">
        <f>IFERROR(__xludf.DUMMYFUNCTION("IFERROR((GOOGLEFINANCE(C295, ""price"") / INDEX(GOOGLEFINANCE(C295, ""price"", EDATE(TODAY(), -6), TODAY()), 2, 2)) - 1, """")"),"")</f>
        <v/>
      </c>
      <c r="P295" s="21" t="str">
        <f>IFERROR(__xludf.DUMMYFUNCTION("IFERROR((GOOGLEFINANCE(C295, ""price"") / INDEX(GOOGLEFINANCE(C295, ""price"", EDATE(TODAY(), -12), TODAY()), 2, 2)) - 1, """")"),"")</f>
        <v/>
      </c>
      <c r="Q295" s="6" t="str">
        <f>IFERROR(__xludf.DUMMYFUNCTION("AVERAGE(QUERY(GOOGLEFINANCE(C295, ""price"", TODAY()-80, TODAY()), ""SELECT Col2 WHERE Col2 IS NOT NULL ORDER BY Col1 DESC LIMIT 50"", 0))"),"#N/A")</f>
        <v>#N/A</v>
      </c>
      <c r="R295" s="24" t="str">
        <f>IFERROR(__xludf.DUMMYFUNCTION("IFERROR(
  LET(
    data, QUERY(GOOGLEFINANCE(C295,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GOOGLEFINANCE(C295, ""price"")) * 100,
    IF(calc=0, G295, calc)
  ), 
G295)"),"#N/A")</f>
        <v>#N/A</v>
      </c>
      <c r="S295" s="8" t="s">
        <v>15</v>
      </c>
      <c r="T295" s="26" t="str">
        <f>IFERROR(__xludf.DUMMYFUNCTION("IFERROR(TRANSPOSE(QUERY(IFERROR(SORT(GOOGLEFINANCE(C295, ""price"", WORKDAY(TODAY(), -40), TODAY()), 1, FALSE)), ""select Col2 where Col2 is not null limit 22 label Col2 ''"", 0)), """")"),"")</f>
        <v/>
      </c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8"/>
      <c r="AO295" s="28"/>
      <c r="AP295" s="29"/>
      <c r="AQ295" s="29" t="str">
        <f t="shared" ref="AQ295:BL295" si="298">T295/T$2</f>
        <v>#N/A</v>
      </c>
      <c r="AR295" s="29" t="str">
        <f t="shared" si="298"/>
        <v>#DIV/0!</v>
      </c>
      <c r="AS295" s="29" t="str">
        <f t="shared" si="298"/>
        <v>#DIV/0!</v>
      </c>
      <c r="AT295" s="29" t="str">
        <f t="shared" si="298"/>
        <v>#DIV/0!</v>
      </c>
      <c r="AU295" s="29" t="str">
        <f t="shared" si="298"/>
        <v>#DIV/0!</v>
      </c>
      <c r="AV295" s="29" t="str">
        <f t="shared" si="298"/>
        <v>#DIV/0!</v>
      </c>
      <c r="AW295" s="29" t="str">
        <f t="shared" si="298"/>
        <v>#DIV/0!</v>
      </c>
      <c r="AX295" s="29" t="str">
        <f t="shared" si="298"/>
        <v>#DIV/0!</v>
      </c>
      <c r="AY295" s="29" t="str">
        <f t="shared" si="298"/>
        <v>#DIV/0!</v>
      </c>
      <c r="AZ295" s="29" t="str">
        <f t="shared" si="298"/>
        <v>#DIV/0!</v>
      </c>
      <c r="BA295" s="29" t="str">
        <f t="shared" si="298"/>
        <v>#DIV/0!</v>
      </c>
      <c r="BB295" s="29" t="str">
        <f t="shared" si="298"/>
        <v>#DIV/0!</v>
      </c>
      <c r="BC295" s="29" t="str">
        <f t="shared" si="298"/>
        <v>#DIV/0!</v>
      </c>
      <c r="BD295" s="29" t="str">
        <f t="shared" si="298"/>
        <v>#DIV/0!</v>
      </c>
      <c r="BE295" s="29" t="str">
        <f t="shared" si="298"/>
        <v>#DIV/0!</v>
      </c>
      <c r="BF295" s="29" t="str">
        <f t="shared" si="298"/>
        <v>#DIV/0!</v>
      </c>
      <c r="BG295" s="29" t="str">
        <f t="shared" si="298"/>
        <v>#DIV/0!</v>
      </c>
      <c r="BH295" s="29" t="str">
        <f t="shared" si="298"/>
        <v>#DIV/0!</v>
      </c>
      <c r="BI295" s="29" t="str">
        <f t="shared" si="298"/>
        <v>#DIV/0!</v>
      </c>
      <c r="BJ295" s="29" t="str">
        <f t="shared" si="298"/>
        <v>#DIV/0!</v>
      </c>
      <c r="BK295" s="29" t="str">
        <f t="shared" si="298"/>
        <v>#DIV/0!</v>
      </c>
      <c r="BL295" s="29" t="str">
        <f t="shared" si="298"/>
        <v>#DIV/0!</v>
      </c>
      <c r="BM295" s="29" t="str">
        <f t="shared" si="3"/>
        <v>#DIV/0!</v>
      </c>
    </row>
    <row r="296">
      <c r="A296" s="16" t="str">
        <f>IFERROR(__xludf.DUMMYFUNCTION("IFERROR(SPARKLINE(SORT(MAP(TRANSPOSE(AQ296:BL296), LAMBDA(val, IF(ISNUMBER(val), PERCENTRANK(AQ296:BL296, val)+0.01, 0))), SEQUENCE(COLUMNS(AQ296:BL296)), FALSE), {""charttype"",""column""; ""color"",""chartreuse""; ""ymin"", 0; ""ymax"", 1.01; ""highcolo"&amp;"r"", ""darkgreen""; ""lowcolor"", ""red""}), """")"),"")</f>
        <v/>
      </c>
      <c r="B296" s="17" t="str">
        <f t="shared" si="4"/>
        <v/>
      </c>
      <c r="C296" s="1" t="s">
        <v>1992</v>
      </c>
      <c r="D296" s="30" t="str">
        <f>IFERROR(__xludf.DUMMYFUNCTION("IFERROR(GOOGLEFINANCE(C296, ""NAME""))"),"Avis Budget Group Inc")</f>
        <v>Avis Budget Group Inc</v>
      </c>
      <c r="E296" s="30" t="s">
        <v>888</v>
      </c>
      <c r="F296" s="33" t="str">
        <f>IFERROR(__xludf.DUMMYFUNCTION("( (GOOGLEFINANCE(C296, ""price"") - Q296) / Q296 ) / (R296 / 100)"),"Loading...")</f>
        <v>Loading...</v>
      </c>
      <c r="G296" s="20" t="str">
        <f>IFERROR(__xludf.DUMMYFUNCTION("AVERAGE(ARRAYFORMULA(100 * (QUERY(GOOGLEFINANCE(C296, ""high"", TODAY()-40, TODAY()), ""SELECT Col2 WHERE Col2 IS NOT NULL ORDER BY Col1 DESC LIMIT 20"", 0) / QUERY(GOOGLEFINANCE(C296, ""low"", TODAY()-40, TODAY()), ""SELECT Col2 WHERE Col2 IS NOT NULL OR"&amp;"DER BY Col1 DESC LIMIT 20"", 0) - 1)))"),"#N/A")</f>
        <v>#N/A</v>
      </c>
      <c r="H296" s="35" t="str">
        <f t="shared" si="6"/>
        <v/>
      </c>
      <c r="I296" s="35" t="str">
        <f t="shared" si="7"/>
        <v/>
      </c>
      <c r="J296" s="37" t="str">
        <f>IFERROR(__xludf.DUMMYFUNCTION("IFERROR(
  IF(C296="""",, 
    IFERROR(
      GOOGLEFINANCE(C296, ""price"") * GOOGLEFINANCE(C296, ""volumeavg""), 
      GOOGLEFINANCE(C296, ""price"") * AVERAGE(QUERY(GOOGLEFINANCE(C296, ""volume"", TODAY()-40, TODAY()), ""SELECT Col2 WHERE Col2 IS NOT "&amp;"NULL ORDER BY Col1 DESC LIMIT 20"", 0))
    )
  ), 
"""")"),"")</f>
        <v/>
      </c>
      <c r="K296" s="21" t="str">
        <f>IFERROR(__xludf.DUMMYFUNCTION("IFERROR(GOOGLEFINANCE(C296, ""changepct"") / 100, """")"),"")</f>
        <v/>
      </c>
      <c r="L296" s="21" t="str">
        <f>IFERROR(__xludf.DUMMYFUNCTION("IFERROR((GOOGLEFINANCE(C296, ""price"") / INDEX(GOOGLEFINANCE(C296, ""price"", TODAY()-7, TODAY()), 2, 2)) - 1, """")"),"")</f>
        <v/>
      </c>
      <c r="M296" s="21" t="str">
        <f>IFERROR(__xludf.DUMMYFUNCTION("IFERROR((GOOGLEFINANCE(C296, ""price"") / INDEX(GOOGLEFINANCE(C296, ""price"", EDATE(TODAY(), -1), TODAY()), 2, 2)) - 1, """")"),"")</f>
        <v/>
      </c>
      <c r="N296" s="21" t="str">
        <f>IFERROR(__xludf.DUMMYFUNCTION("IFERROR((GOOGLEFINANCE(C296, ""price"") / INDEX(GOOGLEFINANCE(C296, ""price"", EDATE(TODAY(), -3), TODAY()), 2, 2)) - 1, """")"),"")</f>
        <v/>
      </c>
      <c r="O296" s="21" t="str">
        <f>IFERROR(__xludf.DUMMYFUNCTION("IFERROR((GOOGLEFINANCE(C296, ""price"") / INDEX(GOOGLEFINANCE(C296, ""price"", EDATE(TODAY(), -6), TODAY()), 2, 2)) - 1, """")"),"")</f>
        <v/>
      </c>
      <c r="P296" s="21" t="str">
        <f>IFERROR(__xludf.DUMMYFUNCTION("IFERROR((GOOGLEFINANCE(C296, ""price"") / INDEX(GOOGLEFINANCE(C296, ""price"", EDATE(TODAY(), -12), TODAY()), 2, 2)) - 1, """")"),"")</f>
        <v/>
      </c>
      <c r="Q296" s="6" t="str">
        <f>IFERROR(__xludf.DUMMYFUNCTION("AVERAGE(QUERY(GOOGLEFINANCE(C296, ""price"", TODAY()-80, TODAY()), ""SELECT Col2 WHERE Col2 IS NOT NULL ORDER BY Col1 DESC LIMIT 50"", 0))"),"#N/A")</f>
        <v>#N/A</v>
      </c>
      <c r="R296" s="24" t="str">
        <f>IFERROR(__xludf.DUMMYFUNCTION("IFERROR(
  LET(
    data, QUERY(GOOGLEFINANCE(C296,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GOOGLEFINANCE(C296, ""price"")) * 100,
    IF(calc=0, G296, calc)
  ), 
G296)"),"#N/A")</f>
        <v>#N/A</v>
      </c>
      <c r="S296" s="8" t="s">
        <v>15</v>
      </c>
      <c r="T296" s="26" t="str">
        <f>IFERROR(__xludf.DUMMYFUNCTION("IFERROR(TRANSPOSE(QUERY(IFERROR(SORT(GOOGLEFINANCE(C296, ""price"", WORKDAY(TODAY(), -40), TODAY()), 1, FALSE)), ""select Col2 where Col2 is not null limit 22 label Col2 ''"", 0)), """")"),"")</f>
        <v/>
      </c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8"/>
      <c r="AO296" s="28"/>
      <c r="AP296" s="29"/>
      <c r="AQ296" s="29" t="str">
        <f t="shared" ref="AQ296:BL296" si="299">T296/T$2</f>
        <v>#N/A</v>
      </c>
      <c r="AR296" s="29" t="str">
        <f t="shared" si="299"/>
        <v>#DIV/0!</v>
      </c>
      <c r="AS296" s="29" t="str">
        <f t="shared" si="299"/>
        <v>#DIV/0!</v>
      </c>
      <c r="AT296" s="29" t="str">
        <f t="shared" si="299"/>
        <v>#DIV/0!</v>
      </c>
      <c r="AU296" s="29" t="str">
        <f t="shared" si="299"/>
        <v>#DIV/0!</v>
      </c>
      <c r="AV296" s="29" t="str">
        <f t="shared" si="299"/>
        <v>#DIV/0!</v>
      </c>
      <c r="AW296" s="29" t="str">
        <f t="shared" si="299"/>
        <v>#DIV/0!</v>
      </c>
      <c r="AX296" s="29" t="str">
        <f t="shared" si="299"/>
        <v>#DIV/0!</v>
      </c>
      <c r="AY296" s="29" t="str">
        <f t="shared" si="299"/>
        <v>#DIV/0!</v>
      </c>
      <c r="AZ296" s="29" t="str">
        <f t="shared" si="299"/>
        <v>#DIV/0!</v>
      </c>
      <c r="BA296" s="29" t="str">
        <f t="shared" si="299"/>
        <v>#DIV/0!</v>
      </c>
      <c r="BB296" s="29" t="str">
        <f t="shared" si="299"/>
        <v>#DIV/0!</v>
      </c>
      <c r="BC296" s="29" t="str">
        <f t="shared" si="299"/>
        <v>#DIV/0!</v>
      </c>
      <c r="BD296" s="29" t="str">
        <f t="shared" si="299"/>
        <v>#DIV/0!</v>
      </c>
      <c r="BE296" s="29" t="str">
        <f t="shared" si="299"/>
        <v>#DIV/0!</v>
      </c>
      <c r="BF296" s="29" t="str">
        <f t="shared" si="299"/>
        <v>#DIV/0!</v>
      </c>
      <c r="BG296" s="29" t="str">
        <f t="shared" si="299"/>
        <v>#DIV/0!</v>
      </c>
      <c r="BH296" s="29" t="str">
        <f t="shared" si="299"/>
        <v>#DIV/0!</v>
      </c>
      <c r="BI296" s="29" t="str">
        <f t="shared" si="299"/>
        <v>#DIV/0!</v>
      </c>
      <c r="BJ296" s="29" t="str">
        <f t="shared" si="299"/>
        <v>#DIV/0!</v>
      </c>
      <c r="BK296" s="29" t="str">
        <f t="shared" si="299"/>
        <v>#DIV/0!</v>
      </c>
      <c r="BL296" s="29" t="str">
        <f t="shared" si="299"/>
        <v>#DIV/0!</v>
      </c>
      <c r="BM296" s="29" t="str">
        <f t="shared" si="3"/>
        <v>#DIV/0!</v>
      </c>
    </row>
    <row r="297">
      <c r="A297" s="16" t="str">
        <f>IFERROR(__xludf.DUMMYFUNCTION("IFERROR(SPARKLINE(SORT(MAP(TRANSPOSE(AQ297:BL297), LAMBDA(val, IF(ISNUMBER(val), PERCENTRANK(AQ297:BL297, val)+0.01, 0))), SEQUENCE(COLUMNS(AQ297:BL297)), FALSE), {""charttype"",""column""; ""color"",""chartreuse""; ""ymin"", 0; ""ymax"", 1.01; ""highcolo"&amp;"r"", ""darkgreen""; ""lowcolor"", ""red""}), """")"),"")</f>
        <v/>
      </c>
      <c r="B297" s="17" t="str">
        <f t="shared" si="4"/>
        <v/>
      </c>
      <c r="C297" s="1" t="s">
        <v>1996</v>
      </c>
      <c r="D297" s="30" t="str">
        <f>IFERROR(__xludf.DUMMYFUNCTION("IFERROR(GOOGLEFINANCE(C297, ""NAME""))"),"Otis Worldwide Corp")</f>
        <v>Otis Worldwide Corp</v>
      </c>
      <c r="E297" s="30" t="s">
        <v>893</v>
      </c>
      <c r="F297" s="33" t="str">
        <f>IFERROR(__xludf.DUMMYFUNCTION("( (GOOGLEFINANCE(C297, ""price"") - Q297) / Q297 ) / (R297 / 100)"),"Loading...")</f>
        <v>Loading...</v>
      </c>
      <c r="G297" s="20" t="str">
        <f>IFERROR(__xludf.DUMMYFUNCTION("AVERAGE(ARRAYFORMULA(100 * (QUERY(GOOGLEFINANCE(C297, ""high"", TODAY()-40, TODAY()), ""SELECT Col2 WHERE Col2 IS NOT NULL ORDER BY Col1 DESC LIMIT 20"", 0) / QUERY(GOOGLEFINANCE(C297, ""low"", TODAY()-40, TODAY()), ""SELECT Col2 WHERE Col2 IS NOT NULL OR"&amp;"DER BY Col1 DESC LIMIT 20"", 0) - 1)))"),"#N/A")</f>
        <v>#N/A</v>
      </c>
      <c r="H297" s="35" t="str">
        <f t="shared" si="6"/>
        <v/>
      </c>
      <c r="I297" s="35" t="str">
        <f t="shared" si="7"/>
        <v/>
      </c>
      <c r="J297" s="37" t="str">
        <f>IFERROR(__xludf.DUMMYFUNCTION("IFERROR(
  IF(C297="""",, 
    IFERROR(
      GOOGLEFINANCE(C297, ""price"") * GOOGLEFINANCE(C297, ""volumeavg""), 
      GOOGLEFINANCE(C297, ""price"") * AVERAGE(QUERY(GOOGLEFINANCE(C297, ""volume"", TODAY()-40, TODAY()), ""SELECT Col2 WHERE Col2 IS NOT "&amp;"NULL ORDER BY Col1 DESC LIMIT 20"", 0))
    )
  ), 
"""")"),"")</f>
        <v/>
      </c>
      <c r="K297" s="21" t="str">
        <f>IFERROR(__xludf.DUMMYFUNCTION("IFERROR(GOOGLEFINANCE(C297, ""changepct"") / 100, """")"),"")</f>
        <v/>
      </c>
      <c r="L297" s="21" t="str">
        <f>IFERROR(__xludf.DUMMYFUNCTION("IFERROR((GOOGLEFINANCE(C297, ""price"") / INDEX(GOOGLEFINANCE(C297, ""price"", TODAY()-7, TODAY()), 2, 2)) - 1, """")"),"")</f>
        <v/>
      </c>
      <c r="M297" s="21" t="str">
        <f>IFERROR(__xludf.DUMMYFUNCTION("IFERROR((GOOGLEFINANCE(C297, ""price"") / INDEX(GOOGLEFINANCE(C297, ""price"", EDATE(TODAY(), -1), TODAY()), 2, 2)) - 1, """")"),"")</f>
        <v/>
      </c>
      <c r="N297" s="21" t="str">
        <f>IFERROR(__xludf.DUMMYFUNCTION("IFERROR((GOOGLEFINANCE(C297, ""price"") / INDEX(GOOGLEFINANCE(C297, ""price"", EDATE(TODAY(), -3), TODAY()), 2, 2)) - 1, """")"),"")</f>
        <v/>
      </c>
      <c r="O297" s="21" t="str">
        <f>IFERROR(__xludf.DUMMYFUNCTION("IFERROR((GOOGLEFINANCE(C297, ""price"") / INDEX(GOOGLEFINANCE(C297, ""price"", EDATE(TODAY(), -6), TODAY()), 2, 2)) - 1, """")"),"")</f>
        <v/>
      </c>
      <c r="P297" s="21" t="str">
        <f>IFERROR(__xludf.DUMMYFUNCTION("IFERROR((GOOGLEFINANCE(C297, ""price"") / INDEX(GOOGLEFINANCE(C297, ""price"", EDATE(TODAY(), -12), TODAY()), 2, 2)) - 1, """")"),"")</f>
        <v/>
      </c>
      <c r="Q297" s="6" t="str">
        <f>IFERROR(__xludf.DUMMYFUNCTION("AVERAGE(QUERY(GOOGLEFINANCE(C297, ""price"", TODAY()-80, TODAY()), ""SELECT Col2 WHERE Col2 IS NOT NULL ORDER BY Col1 DESC LIMIT 50"", 0))"),"#N/A")</f>
        <v>#N/A</v>
      </c>
      <c r="R297" s="24" t="str">
        <f>IFERROR(__xludf.DUMMYFUNCTION("IFERROR(
  LET(
    data, QUERY(GOOGLEFINANCE(C297,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GOOGLEFINANCE(C297, ""price"")) * 100,
    IF(calc=0, G297, calc)
  ), 
G297)"),"#N/A")</f>
        <v>#N/A</v>
      </c>
      <c r="S297" s="8" t="s">
        <v>15</v>
      </c>
      <c r="T297" s="26" t="str">
        <f>IFERROR(__xludf.DUMMYFUNCTION("IFERROR(TRANSPOSE(QUERY(IFERROR(SORT(GOOGLEFINANCE(C297, ""price"", WORKDAY(TODAY(), -40), TODAY()), 1, FALSE)), ""select Col2 where Col2 is not null limit 22 label Col2 ''"", 0)), """")"),"")</f>
        <v/>
      </c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8"/>
      <c r="AO297" s="28"/>
      <c r="AP297" s="29"/>
      <c r="AQ297" s="29" t="str">
        <f t="shared" ref="AQ297:BL297" si="300">T297/T$2</f>
        <v>#N/A</v>
      </c>
      <c r="AR297" s="29" t="str">
        <f t="shared" si="300"/>
        <v>#DIV/0!</v>
      </c>
      <c r="AS297" s="29" t="str">
        <f t="shared" si="300"/>
        <v>#DIV/0!</v>
      </c>
      <c r="AT297" s="29" t="str">
        <f t="shared" si="300"/>
        <v>#DIV/0!</v>
      </c>
      <c r="AU297" s="29" t="str">
        <f t="shared" si="300"/>
        <v>#DIV/0!</v>
      </c>
      <c r="AV297" s="29" t="str">
        <f t="shared" si="300"/>
        <v>#DIV/0!</v>
      </c>
      <c r="AW297" s="29" t="str">
        <f t="shared" si="300"/>
        <v>#DIV/0!</v>
      </c>
      <c r="AX297" s="29" t="str">
        <f t="shared" si="300"/>
        <v>#DIV/0!</v>
      </c>
      <c r="AY297" s="29" t="str">
        <f t="shared" si="300"/>
        <v>#DIV/0!</v>
      </c>
      <c r="AZ297" s="29" t="str">
        <f t="shared" si="300"/>
        <v>#DIV/0!</v>
      </c>
      <c r="BA297" s="29" t="str">
        <f t="shared" si="300"/>
        <v>#DIV/0!</v>
      </c>
      <c r="BB297" s="29" t="str">
        <f t="shared" si="300"/>
        <v>#DIV/0!</v>
      </c>
      <c r="BC297" s="29" t="str">
        <f t="shared" si="300"/>
        <v>#DIV/0!</v>
      </c>
      <c r="BD297" s="29" t="str">
        <f t="shared" si="300"/>
        <v>#DIV/0!</v>
      </c>
      <c r="BE297" s="29" t="str">
        <f t="shared" si="300"/>
        <v>#DIV/0!</v>
      </c>
      <c r="BF297" s="29" t="str">
        <f t="shared" si="300"/>
        <v>#DIV/0!</v>
      </c>
      <c r="BG297" s="29" t="str">
        <f t="shared" si="300"/>
        <v>#DIV/0!</v>
      </c>
      <c r="BH297" s="29" t="str">
        <f t="shared" si="300"/>
        <v>#DIV/0!</v>
      </c>
      <c r="BI297" s="29" t="str">
        <f t="shared" si="300"/>
        <v>#DIV/0!</v>
      </c>
      <c r="BJ297" s="29" t="str">
        <f t="shared" si="300"/>
        <v>#DIV/0!</v>
      </c>
      <c r="BK297" s="29" t="str">
        <f t="shared" si="300"/>
        <v>#DIV/0!</v>
      </c>
      <c r="BL297" s="29" t="str">
        <f t="shared" si="300"/>
        <v>#DIV/0!</v>
      </c>
      <c r="BM297" s="29" t="str">
        <f t="shared" si="3"/>
        <v>#DIV/0!</v>
      </c>
    </row>
    <row r="298">
      <c r="A298" s="16" t="str">
        <f>IFERROR(__xludf.DUMMYFUNCTION("IFERROR(SPARKLINE(SORT(MAP(TRANSPOSE(AQ298:BL298), LAMBDA(val, IF(ISNUMBER(val), PERCENTRANK(AQ298:BL298, val)+0.01, 0))), SEQUENCE(COLUMNS(AQ298:BL298)), FALSE), {""charttype"",""column""; ""color"",""chartreuse""; ""ymin"", 0; ""ymax"", 1.01; ""highcolo"&amp;"r"", ""darkgreen""; ""lowcolor"", ""red""}), """")"),"")</f>
        <v/>
      </c>
      <c r="B298" s="17" t="str">
        <f t="shared" si="4"/>
        <v/>
      </c>
      <c r="C298" s="1" t="s">
        <v>2000</v>
      </c>
      <c r="D298" s="30" t="str">
        <f>IFERROR(__xludf.DUMMYFUNCTION("IFERROR(GOOGLEFINANCE(C298, ""NAME""))"),"Smith &amp; Wesson Brands Inc")</f>
        <v>Smith &amp; Wesson Brands Inc</v>
      </c>
      <c r="E298" s="30" t="s">
        <v>839</v>
      </c>
      <c r="F298" s="33" t="str">
        <f>IFERROR(__xludf.DUMMYFUNCTION("( (GOOGLEFINANCE(C298, ""price"") - Q298) / Q298 ) / (R298 / 100)"),"Loading...")</f>
        <v>Loading...</v>
      </c>
      <c r="G298" s="20" t="str">
        <f>IFERROR(__xludf.DUMMYFUNCTION("AVERAGE(ARRAYFORMULA(100 * (QUERY(GOOGLEFINANCE(C298, ""high"", TODAY()-40, TODAY()), ""SELECT Col2 WHERE Col2 IS NOT NULL ORDER BY Col1 DESC LIMIT 20"", 0) / QUERY(GOOGLEFINANCE(C298, ""low"", TODAY()-40, TODAY()), ""SELECT Col2 WHERE Col2 IS NOT NULL OR"&amp;"DER BY Col1 DESC LIMIT 20"", 0) - 1)))"),"#N/A")</f>
        <v>#N/A</v>
      </c>
      <c r="H298" s="35" t="str">
        <f t="shared" si="6"/>
        <v/>
      </c>
      <c r="I298" s="35" t="str">
        <f t="shared" si="7"/>
        <v/>
      </c>
      <c r="J298" s="37" t="str">
        <f>IFERROR(__xludf.DUMMYFUNCTION("IFERROR(
  IF(C298="""",, 
    IFERROR(
      GOOGLEFINANCE(C298, ""price"") * GOOGLEFINANCE(C298, ""volumeavg""), 
      GOOGLEFINANCE(C298, ""price"") * AVERAGE(QUERY(GOOGLEFINANCE(C298, ""volume"", TODAY()-40, TODAY()), ""SELECT Col2 WHERE Col2 IS NOT "&amp;"NULL ORDER BY Col1 DESC LIMIT 20"", 0))
    )
  ), 
"""")"),"")</f>
        <v/>
      </c>
      <c r="K298" s="21" t="str">
        <f>IFERROR(__xludf.DUMMYFUNCTION("IFERROR(GOOGLEFINANCE(C298, ""changepct"") / 100, """")"),"")</f>
        <v/>
      </c>
      <c r="L298" s="21" t="str">
        <f>IFERROR(__xludf.DUMMYFUNCTION("IFERROR((GOOGLEFINANCE(C298, ""price"") / INDEX(GOOGLEFINANCE(C298, ""price"", TODAY()-7, TODAY()), 2, 2)) - 1, """")"),"")</f>
        <v/>
      </c>
      <c r="M298" s="21" t="str">
        <f>IFERROR(__xludf.DUMMYFUNCTION("IFERROR((GOOGLEFINANCE(C298, ""price"") / INDEX(GOOGLEFINANCE(C298, ""price"", EDATE(TODAY(), -1), TODAY()), 2, 2)) - 1, """")"),"")</f>
        <v/>
      </c>
      <c r="N298" s="21" t="str">
        <f>IFERROR(__xludf.DUMMYFUNCTION("IFERROR((GOOGLEFINANCE(C298, ""price"") / INDEX(GOOGLEFINANCE(C298, ""price"", EDATE(TODAY(), -3), TODAY()), 2, 2)) - 1, """")"),"")</f>
        <v/>
      </c>
      <c r="O298" s="21" t="str">
        <f>IFERROR(__xludf.DUMMYFUNCTION("IFERROR((GOOGLEFINANCE(C298, ""price"") / INDEX(GOOGLEFINANCE(C298, ""price"", EDATE(TODAY(), -6), TODAY()), 2, 2)) - 1, """")"),"")</f>
        <v/>
      </c>
      <c r="P298" s="21" t="str">
        <f>IFERROR(__xludf.DUMMYFUNCTION("IFERROR((GOOGLEFINANCE(C298, ""price"") / INDEX(GOOGLEFINANCE(C298, ""price"", EDATE(TODAY(), -12), TODAY()), 2, 2)) - 1, """")"),"")</f>
        <v/>
      </c>
      <c r="Q298" s="6" t="str">
        <f>IFERROR(__xludf.DUMMYFUNCTION("AVERAGE(QUERY(GOOGLEFINANCE(C298, ""price"", TODAY()-80, TODAY()), ""SELECT Col2 WHERE Col2 IS NOT NULL ORDER BY Col1 DESC LIMIT 50"", 0))"),"#N/A")</f>
        <v>#N/A</v>
      </c>
      <c r="R298" s="24" t="str">
        <f>IFERROR(__xludf.DUMMYFUNCTION("IFERROR(
  LET(
    data, QUERY(GOOGLEFINANCE(C298,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GOOGLEFINANCE(C298, ""price"")) * 100,
    IF(calc=0, G298, calc)
  ), 
G298)"),"#N/A")</f>
        <v>#N/A</v>
      </c>
      <c r="S298" s="8" t="s">
        <v>15</v>
      </c>
      <c r="T298" s="26" t="str">
        <f>IFERROR(__xludf.DUMMYFUNCTION("IFERROR(TRANSPOSE(QUERY(IFERROR(SORT(GOOGLEFINANCE(C298, ""price"", WORKDAY(TODAY(), -40), TODAY()), 1, FALSE)), ""select Col2 where Col2 is not null limit 22 label Col2 ''"", 0)), """")"),"")</f>
        <v/>
      </c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8"/>
      <c r="AO298" s="28"/>
      <c r="AP298" s="29"/>
      <c r="AQ298" s="29" t="str">
        <f t="shared" ref="AQ298:BL298" si="301">T298/T$2</f>
        <v>#N/A</v>
      </c>
      <c r="AR298" s="29" t="str">
        <f t="shared" si="301"/>
        <v>#DIV/0!</v>
      </c>
      <c r="AS298" s="29" t="str">
        <f t="shared" si="301"/>
        <v>#DIV/0!</v>
      </c>
      <c r="AT298" s="29" t="str">
        <f t="shared" si="301"/>
        <v>#DIV/0!</v>
      </c>
      <c r="AU298" s="29" t="str">
        <f t="shared" si="301"/>
        <v>#DIV/0!</v>
      </c>
      <c r="AV298" s="29" t="str">
        <f t="shared" si="301"/>
        <v>#DIV/0!</v>
      </c>
      <c r="AW298" s="29" t="str">
        <f t="shared" si="301"/>
        <v>#DIV/0!</v>
      </c>
      <c r="AX298" s="29" t="str">
        <f t="shared" si="301"/>
        <v>#DIV/0!</v>
      </c>
      <c r="AY298" s="29" t="str">
        <f t="shared" si="301"/>
        <v>#DIV/0!</v>
      </c>
      <c r="AZ298" s="29" t="str">
        <f t="shared" si="301"/>
        <v>#DIV/0!</v>
      </c>
      <c r="BA298" s="29" t="str">
        <f t="shared" si="301"/>
        <v>#DIV/0!</v>
      </c>
      <c r="BB298" s="29" t="str">
        <f t="shared" si="301"/>
        <v>#DIV/0!</v>
      </c>
      <c r="BC298" s="29" t="str">
        <f t="shared" si="301"/>
        <v>#DIV/0!</v>
      </c>
      <c r="BD298" s="29" t="str">
        <f t="shared" si="301"/>
        <v>#DIV/0!</v>
      </c>
      <c r="BE298" s="29" t="str">
        <f t="shared" si="301"/>
        <v>#DIV/0!</v>
      </c>
      <c r="BF298" s="29" t="str">
        <f t="shared" si="301"/>
        <v>#DIV/0!</v>
      </c>
      <c r="BG298" s="29" t="str">
        <f t="shared" si="301"/>
        <v>#DIV/0!</v>
      </c>
      <c r="BH298" s="29" t="str">
        <f t="shared" si="301"/>
        <v>#DIV/0!</v>
      </c>
      <c r="BI298" s="29" t="str">
        <f t="shared" si="301"/>
        <v>#DIV/0!</v>
      </c>
      <c r="BJ298" s="29" t="str">
        <f t="shared" si="301"/>
        <v>#DIV/0!</v>
      </c>
      <c r="BK298" s="29" t="str">
        <f t="shared" si="301"/>
        <v>#DIV/0!</v>
      </c>
      <c r="BL298" s="29" t="str">
        <f t="shared" si="301"/>
        <v>#DIV/0!</v>
      </c>
      <c r="BM298" s="29" t="str">
        <f t="shared" si="3"/>
        <v>#DIV/0!</v>
      </c>
    </row>
    <row r="299">
      <c r="A299" s="16" t="str">
        <f>IFERROR(__xludf.DUMMYFUNCTION("IFERROR(SPARKLINE(SORT(MAP(TRANSPOSE(AQ299:BL299), LAMBDA(val, IF(ISNUMBER(val), PERCENTRANK(AQ299:BL299, val)+0.01, 0))), SEQUENCE(COLUMNS(AQ299:BL299)), FALSE), {""charttype"",""column""; ""color"",""chartreuse""; ""ymin"", 0; ""ymax"", 1.01; ""highcolo"&amp;"r"", ""darkgreen""; ""lowcolor"", ""red""}), """")"),"")</f>
        <v/>
      </c>
      <c r="B299" s="17" t="str">
        <f t="shared" si="4"/>
        <v/>
      </c>
      <c r="C299" s="1" t="s">
        <v>2004</v>
      </c>
      <c r="D299" s="30" t="str">
        <f>IFERROR(__xludf.DUMMYFUNCTION("IFERROR(GOOGLEFINANCE(C299, ""NAME""))"),"Sturm Ruger &amp; Company Inc")</f>
        <v>Sturm Ruger &amp; Company Inc</v>
      </c>
      <c r="E299" s="30" t="s">
        <v>839</v>
      </c>
      <c r="F299" s="38" t="str">
        <f>IFERROR(__xludf.DUMMYFUNCTION("( (GOOGLEFINANCE(C299, ""price"") - Q299) / Q299 ) / (R299 / 100)"),"Loading...")</f>
        <v>Loading...</v>
      </c>
      <c r="G299" s="20" t="str">
        <f>IFERROR(__xludf.DUMMYFUNCTION("AVERAGE(ARRAYFORMULA(100 * (QUERY(GOOGLEFINANCE(C299, ""high"", TODAY()-40, TODAY()), ""SELECT Col2 WHERE Col2 IS NOT NULL ORDER BY Col1 DESC LIMIT 20"", 0) / QUERY(GOOGLEFINANCE(C299, ""low"", TODAY()-40, TODAY()), ""SELECT Col2 WHERE Col2 IS NOT NULL OR"&amp;"DER BY Col1 DESC LIMIT 20"", 0) - 1)))"),"#N/A")</f>
        <v>#N/A</v>
      </c>
      <c r="H299" s="35" t="str">
        <f t="shared" si="6"/>
        <v/>
      </c>
      <c r="I299" s="35" t="str">
        <f t="shared" si="7"/>
        <v/>
      </c>
      <c r="J299" s="37" t="str">
        <f>IFERROR(__xludf.DUMMYFUNCTION("IFERROR(
  IF(C299="""",, 
    IFERROR(
      GOOGLEFINANCE(C299, ""price"") * GOOGLEFINANCE(C299, ""volumeavg""), 
      GOOGLEFINANCE(C299, ""price"") * AVERAGE(QUERY(GOOGLEFINANCE(C299, ""volume"", TODAY()-40, TODAY()), ""SELECT Col2 WHERE Col2 IS NOT "&amp;"NULL ORDER BY Col1 DESC LIMIT 20"", 0))
    )
  ), 
"""")"),"")</f>
        <v/>
      </c>
      <c r="K299" s="21" t="str">
        <f>IFERROR(__xludf.DUMMYFUNCTION("IFERROR(GOOGLEFINANCE(C299, ""changepct"") / 100, """")"),"")</f>
        <v/>
      </c>
      <c r="L299" s="21" t="str">
        <f>IFERROR(__xludf.DUMMYFUNCTION("IFERROR((GOOGLEFINANCE(C299, ""price"") / INDEX(GOOGLEFINANCE(C299, ""price"", TODAY()-7, TODAY()), 2, 2)) - 1, """")"),"")</f>
        <v/>
      </c>
      <c r="M299" s="21" t="str">
        <f>IFERROR(__xludf.DUMMYFUNCTION("IFERROR((GOOGLEFINANCE(C299, ""price"") / INDEX(GOOGLEFINANCE(C299, ""price"", EDATE(TODAY(), -1), TODAY()), 2, 2)) - 1, """")"),"")</f>
        <v/>
      </c>
      <c r="N299" s="21" t="str">
        <f>IFERROR(__xludf.DUMMYFUNCTION("IFERROR((GOOGLEFINANCE(C299, ""price"") / INDEX(GOOGLEFINANCE(C299, ""price"", EDATE(TODAY(), -3), TODAY()), 2, 2)) - 1, """")"),"")</f>
        <v/>
      </c>
      <c r="O299" s="21" t="str">
        <f>IFERROR(__xludf.DUMMYFUNCTION("IFERROR((GOOGLEFINANCE(C299, ""price"") / INDEX(GOOGLEFINANCE(C299, ""price"", EDATE(TODAY(), -6), TODAY()), 2, 2)) - 1, """")"),"")</f>
        <v/>
      </c>
      <c r="P299" s="21" t="str">
        <f>IFERROR(__xludf.DUMMYFUNCTION("IFERROR((GOOGLEFINANCE(C299, ""price"") / INDEX(GOOGLEFINANCE(C299, ""price"", EDATE(TODAY(), -12), TODAY()), 2, 2)) - 1, """")"),"")</f>
        <v/>
      </c>
      <c r="Q299" s="6" t="str">
        <f>IFERROR(__xludf.DUMMYFUNCTION("AVERAGE(QUERY(GOOGLEFINANCE(C299, ""price"", TODAY()-80, TODAY()), ""SELECT Col2 WHERE Col2 IS NOT NULL ORDER BY Col1 DESC LIMIT 50"", 0))"),"#N/A")</f>
        <v>#N/A</v>
      </c>
      <c r="R299" s="24" t="str">
        <f>IFERROR(__xludf.DUMMYFUNCTION("IFERROR(
  LET(
    data, QUERY(GOOGLEFINANCE(C299,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GOOGLEFINANCE(C299, ""price"")) * 100,
    IF(calc=0, G299, calc)
  ), 
G299)"),"#N/A")</f>
        <v>#N/A</v>
      </c>
      <c r="S299" s="8" t="s">
        <v>15</v>
      </c>
      <c r="T299" s="26" t="str">
        <f>IFERROR(__xludf.DUMMYFUNCTION("IFERROR(TRANSPOSE(QUERY(IFERROR(SORT(GOOGLEFINANCE(C299, ""price"", WORKDAY(TODAY(), -40), TODAY()), 1, FALSE)), ""select Col2 where Col2 is not null limit 22 label Col2 ''"", 0)), """")"),"")</f>
        <v/>
      </c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8"/>
      <c r="AO299" s="28"/>
      <c r="AP299" s="29"/>
      <c r="AQ299" s="29" t="str">
        <f t="shared" ref="AQ299:BL299" si="302">T299/T$2</f>
        <v>#N/A</v>
      </c>
      <c r="AR299" s="29" t="str">
        <f t="shared" si="302"/>
        <v>#DIV/0!</v>
      </c>
      <c r="AS299" s="29" t="str">
        <f t="shared" si="302"/>
        <v>#DIV/0!</v>
      </c>
      <c r="AT299" s="29" t="str">
        <f t="shared" si="302"/>
        <v>#DIV/0!</v>
      </c>
      <c r="AU299" s="29" t="str">
        <f t="shared" si="302"/>
        <v>#DIV/0!</v>
      </c>
      <c r="AV299" s="29" t="str">
        <f t="shared" si="302"/>
        <v>#DIV/0!</v>
      </c>
      <c r="AW299" s="29" t="str">
        <f t="shared" si="302"/>
        <v>#DIV/0!</v>
      </c>
      <c r="AX299" s="29" t="str">
        <f t="shared" si="302"/>
        <v>#DIV/0!</v>
      </c>
      <c r="AY299" s="29" t="str">
        <f t="shared" si="302"/>
        <v>#DIV/0!</v>
      </c>
      <c r="AZ299" s="29" t="str">
        <f t="shared" si="302"/>
        <v>#DIV/0!</v>
      </c>
      <c r="BA299" s="29" t="str">
        <f t="shared" si="302"/>
        <v>#DIV/0!</v>
      </c>
      <c r="BB299" s="29" t="str">
        <f t="shared" si="302"/>
        <v>#DIV/0!</v>
      </c>
      <c r="BC299" s="29" t="str">
        <f t="shared" si="302"/>
        <v>#DIV/0!</v>
      </c>
      <c r="BD299" s="29" t="str">
        <f t="shared" si="302"/>
        <v>#DIV/0!</v>
      </c>
      <c r="BE299" s="29" t="str">
        <f t="shared" si="302"/>
        <v>#DIV/0!</v>
      </c>
      <c r="BF299" s="29" t="str">
        <f t="shared" si="302"/>
        <v>#DIV/0!</v>
      </c>
      <c r="BG299" s="29" t="str">
        <f t="shared" si="302"/>
        <v>#DIV/0!</v>
      </c>
      <c r="BH299" s="29" t="str">
        <f t="shared" si="302"/>
        <v>#DIV/0!</v>
      </c>
      <c r="BI299" s="29" t="str">
        <f t="shared" si="302"/>
        <v>#DIV/0!</v>
      </c>
      <c r="BJ299" s="29" t="str">
        <f t="shared" si="302"/>
        <v>#DIV/0!</v>
      </c>
      <c r="BK299" s="29" t="str">
        <f t="shared" si="302"/>
        <v>#DIV/0!</v>
      </c>
      <c r="BL299" s="29" t="str">
        <f t="shared" si="302"/>
        <v>#DIV/0!</v>
      </c>
      <c r="BM299" s="29" t="str">
        <f t="shared" si="3"/>
        <v>#DIV/0!</v>
      </c>
    </row>
    <row r="300">
      <c r="A300" s="16" t="str">
        <f>IFERROR(__xludf.DUMMYFUNCTION("IFERROR(SPARKLINE(SORT(MAP(TRANSPOSE(AQ300:BL300), LAMBDA(val, IF(ISNUMBER(val), PERCENTRANK(AQ300:BL300, val)+0.01, 0))), SEQUENCE(COLUMNS(AQ300:BL300)), FALSE), {""charttype"",""column""; ""color"",""chartreuse""; ""ymin"", 0; ""ymax"", 1.01; ""highcolo"&amp;"r"", ""darkgreen""; ""lowcolor"", ""red""}), """")"),"")</f>
        <v/>
      </c>
      <c r="B300" s="17" t="str">
        <f t="shared" si="4"/>
        <v/>
      </c>
      <c r="C300" s="1" t="s">
        <v>2008</v>
      </c>
      <c r="D300" s="30" t="str">
        <f>IFERROR(__xludf.DUMMYFUNCTION("IFERROR(GOOGLEFINANCE(C300, ""NAME""))"),"Limbach Holdings Inc")</f>
        <v>Limbach Holdings Inc</v>
      </c>
      <c r="E300" s="30" t="s">
        <v>968</v>
      </c>
      <c r="F300" s="33" t="str">
        <f>IFERROR(__xludf.DUMMYFUNCTION("( (GOOGLEFINANCE(C300, ""price"") - Q300) / Q300 ) / (R300 / 100)"),"Loading...")</f>
        <v>Loading...</v>
      </c>
      <c r="G300" s="20" t="str">
        <f>IFERROR(__xludf.DUMMYFUNCTION("AVERAGE(ARRAYFORMULA(100 * (QUERY(GOOGLEFINANCE(C300, ""high"", TODAY()-40, TODAY()), ""SELECT Col2 WHERE Col2 IS NOT NULL ORDER BY Col1 DESC LIMIT 20"", 0) / QUERY(GOOGLEFINANCE(C300, ""low"", TODAY()-40, TODAY()), ""SELECT Col2 WHERE Col2 IS NOT NULL OR"&amp;"DER BY Col1 DESC LIMIT 20"", 0) - 1)))"),"#N/A")</f>
        <v>#N/A</v>
      </c>
      <c r="H300" s="35" t="str">
        <f t="shared" si="6"/>
        <v/>
      </c>
      <c r="I300" s="35" t="str">
        <f t="shared" si="7"/>
        <v/>
      </c>
      <c r="J300" s="37" t="str">
        <f>IFERROR(__xludf.DUMMYFUNCTION("IFERROR(
  IF(C300="""",, 
    IFERROR(
      GOOGLEFINANCE(C300, ""price"") * GOOGLEFINANCE(C300, ""volumeavg""), 
      GOOGLEFINANCE(C300, ""price"") * AVERAGE(QUERY(GOOGLEFINANCE(C300, ""volume"", TODAY()-40, TODAY()), ""SELECT Col2 WHERE Col2 IS NOT "&amp;"NULL ORDER BY Col1 DESC LIMIT 20"", 0))
    )
  ), 
"""")"),"")</f>
        <v/>
      </c>
      <c r="K300" s="21" t="str">
        <f>IFERROR(__xludf.DUMMYFUNCTION("IFERROR(GOOGLEFINANCE(C300, ""changepct"") / 100, """")"),"")</f>
        <v/>
      </c>
      <c r="L300" s="21" t="str">
        <f>IFERROR(__xludf.DUMMYFUNCTION("IFERROR((GOOGLEFINANCE(C300, ""price"") / INDEX(GOOGLEFINANCE(C300, ""price"", TODAY()-7, TODAY()), 2, 2)) - 1, """")"),"")</f>
        <v/>
      </c>
      <c r="M300" s="21" t="str">
        <f>IFERROR(__xludf.DUMMYFUNCTION("IFERROR((GOOGLEFINANCE(C300, ""price"") / INDEX(GOOGLEFINANCE(C300, ""price"", EDATE(TODAY(), -1), TODAY()), 2, 2)) - 1, """")"),"")</f>
        <v/>
      </c>
      <c r="N300" s="21" t="str">
        <f>IFERROR(__xludf.DUMMYFUNCTION("IFERROR((GOOGLEFINANCE(C300, ""price"") / INDEX(GOOGLEFINANCE(C300, ""price"", EDATE(TODAY(), -3), TODAY()), 2, 2)) - 1, """")"),"")</f>
        <v/>
      </c>
      <c r="O300" s="21" t="str">
        <f>IFERROR(__xludf.DUMMYFUNCTION("IFERROR((GOOGLEFINANCE(C300, ""price"") / INDEX(GOOGLEFINANCE(C300, ""price"", EDATE(TODAY(), -6), TODAY()), 2, 2)) - 1, """")"),"")</f>
        <v/>
      </c>
      <c r="P300" s="21" t="str">
        <f>IFERROR(__xludf.DUMMYFUNCTION("IFERROR((GOOGLEFINANCE(C300, ""price"") / INDEX(GOOGLEFINANCE(C300, ""price"", EDATE(TODAY(), -12), TODAY()), 2, 2)) - 1, """")"),"")</f>
        <v/>
      </c>
      <c r="Q300" s="6" t="str">
        <f>IFERROR(__xludf.DUMMYFUNCTION("AVERAGE(QUERY(GOOGLEFINANCE(C300, ""price"", TODAY()-80, TODAY()), ""SELECT Col2 WHERE Col2 IS NOT NULL ORDER BY Col1 DESC LIMIT 50"", 0))"),"#N/A")</f>
        <v>#N/A</v>
      </c>
      <c r="R300" s="24" t="str">
        <f>IFERROR(__xludf.DUMMYFUNCTION("IFERROR(
  LET(
    data, QUERY(GOOGLEFINANCE(C300,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GOOGLEFINANCE(C300, ""price"")) * 100,
    IF(calc=0, G300, calc)
  ), 
G300)"),"#N/A")</f>
        <v>#N/A</v>
      </c>
      <c r="S300" s="8" t="s">
        <v>15</v>
      </c>
      <c r="T300" s="26" t="str">
        <f>IFERROR(__xludf.DUMMYFUNCTION("IFERROR(TRANSPOSE(QUERY(IFERROR(SORT(GOOGLEFINANCE(C300, ""price"", WORKDAY(TODAY(), -40), TODAY()), 1, FALSE)), ""select Col2 where Col2 is not null limit 22 label Col2 ''"", 0)), """")"),"")</f>
        <v/>
      </c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8"/>
      <c r="AO300" s="28"/>
      <c r="AP300" s="29"/>
      <c r="AQ300" s="29" t="str">
        <f t="shared" ref="AQ300:BL300" si="303">T300/T$2</f>
        <v>#N/A</v>
      </c>
      <c r="AR300" s="29" t="str">
        <f t="shared" si="303"/>
        <v>#DIV/0!</v>
      </c>
      <c r="AS300" s="29" t="str">
        <f t="shared" si="303"/>
        <v>#DIV/0!</v>
      </c>
      <c r="AT300" s="29" t="str">
        <f t="shared" si="303"/>
        <v>#DIV/0!</v>
      </c>
      <c r="AU300" s="29" t="str">
        <f t="shared" si="303"/>
        <v>#DIV/0!</v>
      </c>
      <c r="AV300" s="29" t="str">
        <f t="shared" si="303"/>
        <v>#DIV/0!</v>
      </c>
      <c r="AW300" s="29" t="str">
        <f t="shared" si="303"/>
        <v>#DIV/0!</v>
      </c>
      <c r="AX300" s="29" t="str">
        <f t="shared" si="303"/>
        <v>#DIV/0!</v>
      </c>
      <c r="AY300" s="29" t="str">
        <f t="shared" si="303"/>
        <v>#DIV/0!</v>
      </c>
      <c r="AZ300" s="29" t="str">
        <f t="shared" si="303"/>
        <v>#DIV/0!</v>
      </c>
      <c r="BA300" s="29" t="str">
        <f t="shared" si="303"/>
        <v>#DIV/0!</v>
      </c>
      <c r="BB300" s="29" t="str">
        <f t="shared" si="303"/>
        <v>#DIV/0!</v>
      </c>
      <c r="BC300" s="29" t="str">
        <f t="shared" si="303"/>
        <v>#DIV/0!</v>
      </c>
      <c r="BD300" s="29" t="str">
        <f t="shared" si="303"/>
        <v>#DIV/0!</v>
      </c>
      <c r="BE300" s="29" t="str">
        <f t="shared" si="303"/>
        <v>#DIV/0!</v>
      </c>
      <c r="BF300" s="29" t="str">
        <f t="shared" si="303"/>
        <v>#DIV/0!</v>
      </c>
      <c r="BG300" s="29" t="str">
        <f t="shared" si="303"/>
        <v>#DIV/0!</v>
      </c>
      <c r="BH300" s="29" t="str">
        <f t="shared" si="303"/>
        <v>#DIV/0!</v>
      </c>
      <c r="BI300" s="29" t="str">
        <f t="shared" si="303"/>
        <v>#DIV/0!</v>
      </c>
      <c r="BJ300" s="29" t="str">
        <f t="shared" si="303"/>
        <v>#DIV/0!</v>
      </c>
      <c r="BK300" s="29" t="str">
        <f t="shared" si="303"/>
        <v>#DIV/0!</v>
      </c>
      <c r="BL300" s="29" t="str">
        <f t="shared" si="303"/>
        <v>#DIV/0!</v>
      </c>
      <c r="BM300" s="29" t="str">
        <f t="shared" si="3"/>
        <v>#DIV/0!</v>
      </c>
    </row>
    <row r="301">
      <c r="A301" s="16" t="str">
        <f>IFERROR(__xludf.DUMMYFUNCTION("IFERROR(SPARKLINE(SORT(MAP(TRANSPOSE(AQ301:BL301), LAMBDA(val, IF(ISNUMBER(val), PERCENTRANK(AQ301:BL301, val)+0.01, 0))), SEQUENCE(COLUMNS(AQ301:BL301)), FALSE), {""charttype"",""column""; ""color"",""chartreuse""; ""ymin"", 0; ""ymax"", 1.01; ""highcolo"&amp;"r"", ""darkgreen""; ""lowcolor"", ""red""}), """")"),"")</f>
        <v/>
      </c>
      <c r="B301" s="17" t="str">
        <f t="shared" si="4"/>
        <v/>
      </c>
      <c r="C301" s="1" t="s">
        <v>2012</v>
      </c>
      <c r="D301" s="30" t="str">
        <f>IFERROR(__xludf.DUMMYFUNCTION("IFERROR(GOOGLEFINANCE(C301, ""NAME""))"),"Fastenal Co")</f>
        <v>Fastenal Co</v>
      </c>
      <c r="E301" s="30" t="s">
        <v>829</v>
      </c>
      <c r="F301" s="33" t="str">
        <f>IFERROR(__xludf.DUMMYFUNCTION("( (GOOGLEFINANCE(C301, ""price"") - Q301) / Q301 ) / (R301 / 100)"),"Loading...")</f>
        <v>Loading...</v>
      </c>
      <c r="G301" s="20" t="str">
        <f>IFERROR(__xludf.DUMMYFUNCTION("AVERAGE(ARRAYFORMULA(100 * (QUERY(GOOGLEFINANCE(C301, ""high"", TODAY()-40, TODAY()), ""SELECT Col2 WHERE Col2 IS NOT NULL ORDER BY Col1 DESC LIMIT 20"", 0) / QUERY(GOOGLEFINANCE(C301, ""low"", TODAY()-40, TODAY()), ""SELECT Col2 WHERE Col2 IS NOT NULL OR"&amp;"DER BY Col1 DESC LIMIT 20"", 0) - 1)))"),"#N/A")</f>
        <v>#N/A</v>
      </c>
      <c r="H301" s="35" t="str">
        <f t="shared" si="6"/>
        <v/>
      </c>
      <c r="I301" s="35" t="str">
        <f t="shared" si="7"/>
        <v/>
      </c>
      <c r="J301" s="37" t="str">
        <f>IFERROR(__xludf.DUMMYFUNCTION("IFERROR(
  IF(C301="""",, 
    IFERROR(
      GOOGLEFINANCE(C301, ""price"") * GOOGLEFINANCE(C301, ""volumeavg""), 
      GOOGLEFINANCE(C301, ""price"") * AVERAGE(QUERY(GOOGLEFINANCE(C301, ""volume"", TODAY()-40, TODAY()), ""SELECT Col2 WHERE Col2 IS NOT "&amp;"NULL ORDER BY Col1 DESC LIMIT 20"", 0))
    )
  ), 
"""")"),"")</f>
        <v/>
      </c>
      <c r="K301" s="21" t="str">
        <f>IFERROR(__xludf.DUMMYFUNCTION("IFERROR(GOOGLEFINANCE(C301, ""changepct"") / 100, """")"),"")</f>
        <v/>
      </c>
      <c r="L301" s="21" t="str">
        <f>IFERROR(__xludf.DUMMYFUNCTION("IFERROR((GOOGLEFINANCE(C301, ""price"") / INDEX(GOOGLEFINANCE(C301, ""price"", TODAY()-7, TODAY()), 2, 2)) - 1, """")"),"")</f>
        <v/>
      </c>
      <c r="M301" s="21" t="str">
        <f>IFERROR(__xludf.DUMMYFUNCTION("IFERROR((GOOGLEFINANCE(C301, ""price"") / INDEX(GOOGLEFINANCE(C301, ""price"", EDATE(TODAY(), -1), TODAY()), 2, 2)) - 1, """")"),"")</f>
        <v/>
      </c>
      <c r="N301" s="21" t="str">
        <f>IFERROR(__xludf.DUMMYFUNCTION("IFERROR((GOOGLEFINANCE(C301, ""price"") / INDEX(GOOGLEFINANCE(C301, ""price"", EDATE(TODAY(), -3), TODAY()), 2, 2)) - 1, """")"),"")</f>
        <v/>
      </c>
      <c r="O301" s="21" t="str">
        <f>IFERROR(__xludf.DUMMYFUNCTION("IFERROR((GOOGLEFINANCE(C301, ""price"") / INDEX(GOOGLEFINANCE(C301, ""price"", EDATE(TODAY(), -6), TODAY()), 2, 2)) - 1, """")"),"")</f>
        <v/>
      </c>
      <c r="P301" s="21" t="str">
        <f>IFERROR(__xludf.DUMMYFUNCTION("IFERROR((GOOGLEFINANCE(C301, ""price"") / INDEX(GOOGLEFINANCE(C301, ""price"", EDATE(TODAY(), -12), TODAY()), 2, 2)) - 1, """")"),"")</f>
        <v/>
      </c>
      <c r="Q301" s="6" t="str">
        <f>IFERROR(__xludf.DUMMYFUNCTION("AVERAGE(QUERY(GOOGLEFINANCE(C301, ""price"", TODAY()-80, TODAY()), ""SELECT Col2 WHERE Col2 IS NOT NULL ORDER BY Col1 DESC LIMIT 50"", 0))"),"#N/A")</f>
        <v>#N/A</v>
      </c>
      <c r="R301" s="24" t="str">
        <f>IFERROR(__xludf.DUMMYFUNCTION("IFERROR(
  LET(
    data, QUERY(GOOGLEFINANCE(C301,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GOOGLEFINANCE(C301, ""price"")) * 100,
    IF(calc=0, G301, calc)
  ), 
G301)"),"#N/A")</f>
        <v>#N/A</v>
      </c>
      <c r="S301" s="8" t="s">
        <v>15</v>
      </c>
      <c r="T301" s="26" t="str">
        <f>IFERROR(__xludf.DUMMYFUNCTION("IFERROR(TRANSPOSE(QUERY(IFERROR(SORT(GOOGLEFINANCE(C301, ""price"", WORKDAY(TODAY(), -40), TODAY()), 1, FALSE)), ""select Col2 where Col2 is not null limit 22 label Col2 ''"", 0)), """")"),"")</f>
        <v/>
      </c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8"/>
      <c r="AO301" s="28"/>
      <c r="AP301" s="29"/>
      <c r="AQ301" s="29" t="str">
        <f t="shared" ref="AQ301:BL301" si="304">T301/T$2</f>
        <v>#N/A</v>
      </c>
      <c r="AR301" s="29" t="str">
        <f t="shared" si="304"/>
        <v>#DIV/0!</v>
      </c>
      <c r="AS301" s="29" t="str">
        <f t="shared" si="304"/>
        <v>#DIV/0!</v>
      </c>
      <c r="AT301" s="29" t="str">
        <f t="shared" si="304"/>
        <v>#DIV/0!</v>
      </c>
      <c r="AU301" s="29" t="str">
        <f t="shared" si="304"/>
        <v>#DIV/0!</v>
      </c>
      <c r="AV301" s="29" t="str">
        <f t="shared" si="304"/>
        <v>#DIV/0!</v>
      </c>
      <c r="AW301" s="29" t="str">
        <f t="shared" si="304"/>
        <v>#DIV/0!</v>
      </c>
      <c r="AX301" s="29" t="str">
        <f t="shared" si="304"/>
        <v>#DIV/0!</v>
      </c>
      <c r="AY301" s="29" t="str">
        <f t="shared" si="304"/>
        <v>#DIV/0!</v>
      </c>
      <c r="AZ301" s="29" t="str">
        <f t="shared" si="304"/>
        <v>#DIV/0!</v>
      </c>
      <c r="BA301" s="29" t="str">
        <f t="shared" si="304"/>
        <v>#DIV/0!</v>
      </c>
      <c r="BB301" s="29" t="str">
        <f t="shared" si="304"/>
        <v>#DIV/0!</v>
      </c>
      <c r="BC301" s="29" t="str">
        <f t="shared" si="304"/>
        <v>#DIV/0!</v>
      </c>
      <c r="BD301" s="29" t="str">
        <f t="shared" si="304"/>
        <v>#DIV/0!</v>
      </c>
      <c r="BE301" s="29" t="str">
        <f t="shared" si="304"/>
        <v>#DIV/0!</v>
      </c>
      <c r="BF301" s="29" t="str">
        <f t="shared" si="304"/>
        <v>#DIV/0!</v>
      </c>
      <c r="BG301" s="29" t="str">
        <f t="shared" si="304"/>
        <v>#DIV/0!</v>
      </c>
      <c r="BH301" s="29" t="str">
        <f t="shared" si="304"/>
        <v>#DIV/0!</v>
      </c>
      <c r="BI301" s="29" t="str">
        <f t="shared" si="304"/>
        <v>#DIV/0!</v>
      </c>
      <c r="BJ301" s="29" t="str">
        <f t="shared" si="304"/>
        <v>#DIV/0!</v>
      </c>
      <c r="BK301" s="29" t="str">
        <f t="shared" si="304"/>
        <v>#DIV/0!</v>
      </c>
      <c r="BL301" s="29" t="str">
        <f t="shared" si="304"/>
        <v>#DIV/0!</v>
      </c>
      <c r="BM301" s="29" t="str">
        <f t="shared" si="3"/>
        <v>#DIV/0!</v>
      </c>
    </row>
    <row r="302">
      <c r="A302" s="16" t="str">
        <f>IFERROR(__xludf.DUMMYFUNCTION("IFERROR(SPARKLINE(SORT(MAP(TRANSPOSE(AQ302:BL302), LAMBDA(val, IF(ISNUMBER(val), PERCENTRANK(AQ302:BL302, val)+0.01, 0))), SEQUENCE(COLUMNS(AQ302:BL302)), FALSE), {""charttype"",""column""; ""color"",""chartreuse""; ""ymin"", 0; ""ymax"", 1.01; ""highcolo"&amp;"r"", ""darkgreen""; ""lowcolor"", ""red""}), """")"),"")</f>
        <v/>
      </c>
      <c r="B302" s="17" t="str">
        <f t="shared" si="4"/>
        <v/>
      </c>
      <c r="C302" s="1" t="s">
        <v>2016</v>
      </c>
      <c r="D302" s="30" t="str">
        <f>IFERROR(__xludf.DUMMYFUNCTION("IFERROR(GOOGLEFINANCE(C302, ""NAME""))"),"Global Industrial Co")</f>
        <v>Global Industrial Co</v>
      </c>
      <c r="E302" s="30" t="s">
        <v>829</v>
      </c>
      <c r="F302" s="33" t="str">
        <f>IFERROR(__xludf.DUMMYFUNCTION("( (GOOGLEFINANCE(C302, ""price"") - Q302) / Q302 ) / (R302 / 100)"),"Loading...")</f>
        <v>Loading...</v>
      </c>
      <c r="G302" s="20" t="str">
        <f>IFERROR(__xludf.DUMMYFUNCTION("AVERAGE(ARRAYFORMULA(100 * (QUERY(GOOGLEFINANCE(C302, ""high"", TODAY()-40, TODAY()), ""SELECT Col2 WHERE Col2 IS NOT NULL ORDER BY Col1 DESC LIMIT 20"", 0) / QUERY(GOOGLEFINANCE(C302, ""low"", TODAY()-40, TODAY()), ""SELECT Col2 WHERE Col2 IS NOT NULL OR"&amp;"DER BY Col1 DESC LIMIT 20"", 0) - 1)))"),"#N/A")</f>
        <v>#N/A</v>
      </c>
      <c r="H302" s="35" t="str">
        <f t="shared" si="6"/>
        <v/>
      </c>
      <c r="I302" s="35" t="str">
        <f t="shared" si="7"/>
        <v/>
      </c>
      <c r="J302" s="37" t="str">
        <f>IFERROR(__xludf.DUMMYFUNCTION("IFERROR(
  IF(C302="""",, 
    IFERROR(
      GOOGLEFINANCE(C302, ""price"") * GOOGLEFINANCE(C302, ""volumeavg""), 
      GOOGLEFINANCE(C302, ""price"") * AVERAGE(QUERY(GOOGLEFINANCE(C302, ""volume"", TODAY()-40, TODAY()), ""SELECT Col2 WHERE Col2 IS NOT "&amp;"NULL ORDER BY Col1 DESC LIMIT 20"", 0))
    )
  ), 
"""")"),"")</f>
        <v/>
      </c>
      <c r="K302" s="21" t="str">
        <f>IFERROR(__xludf.DUMMYFUNCTION("IFERROR(GOOGLEFINANCE(C302, ""changepct"") / 100, """")"),"")</f>
        <v/>
      </c>
      <c r="L302" s="21" t="str">
        <f>IFERROR(__xludf.DUMMYFUNCTION("IFERROR((GOOGLEFINANCE(C302, ""price"") / INDEX(GOOGLEFINANCE(C302, ""price"", TODAY()-7, TODAY()), 2, 2)) - 1, """")"),"")</f>
        <v/>
      </c>
      <c r="M302" s="21" t="str">
        <f>IFERROR(__xludf.DUMMYFUNCTION("IFERROR((GOOGLEFINANCE(C302, ""price"") / INDEX(GOOGLEFINANCE(C302, ""price"", EDATE(TODAY(), -1), TODAY()), 2, 2)) - 1, """")"),"")</f>
        <v/>
      </c>
      <c r="N302" s="21" t="str">
        <f>IFERROR(__xludf.DUMMYFUNCTION("IFERROR((GOOGLEFINANCE(C302, ""price"") / INDEX(GOOGLEFINANCE(C302, ""price"", EDATE(TODAY(), -3), TODAY()), 2, 2)) - 1, """")"),"")</f>
        <v/>
      </c>
      <c r="O302" s="21" t="str">
        <f>IFERROR(__xludf.DUMMYFUNCTION("IFERROR((GOOGLEFINANCE(C302, ""price"") / INDEX(GOOGLEFINANCE(C302, ""price"", EDATE(TODAY(), -6), TODAY()), 2, 2)) - 1, """")"),"")</f>
        <v/>
      </c>
      <c r="P302" s="21" t="str">
        <f>IFERROR(__xludf.DUMMYFUNCTION("IFERROR((GOOGLEFINANCE(C302, ""price"") / INDEX(GOOGLEFINANCE(C302, ""price"", EDATE(TODAY(), -12), TODAY()), 2, 2)) - 1, """")"),"")</f>
        <v/>
      </c>
      <c r="Q302" s="6" t="str">
        <f>IFERROR(__xludf.DUMMYFUNCTION("AVERAGE(QUERY(GOOGLEFINANCE(C302, ""price"", TODAY()-80, TODAY()), ""SELECT Col2 WHERE Col2 IS NOT NULL ORDER BY Col1 DESC LIMIT 50"", 0))"),"#N/A")</f>
        <v>#N/A</v>
      </c>
      <c r="R302" s="24" t="str">
        <f>IFERROR(__xludf.DUMMYFUNCTION("IFERROR(
  LET(
    data, QUERY(GOOGLEFINANCE(C302,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GOOGLEFINANCE(C302, ""price"")) * 100,
    IF(calc=0, G302, calc)
  ), 
G302)"),"#N/A")</f>
        <v>#N/A</v>
      </c>
      <c r="S302" s="8" t="s">
        <v>15</v>
      </c>
      <c r="T302" s="26" t="str">
        <f>IFERROR(__xludf.DUMMYFUNCTION("IFERROR(TRANSPOSE(QUERY(IFERROR(SORT(GOOGLEFINANCE(C302, ""price"", WORKDAY(TODAY(), -40), TODAY()), 1, FALSE)), ""select Col2 where Col2 is not null limit 22 label Col2 ''"", 0)), """")"),"")</f>
        <v/>
      </c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8"/>
      <c r="AO302" s="28"/>
      <c r="AP302" s="29"/>
      <c r="AQ302" s="29" t="str">
        <f t="shared" ref="AQ302:BL302" si="305">T302/T$2</f>
        <v>#N/A</v>
      </c>
      <c r="AR302" s="29" t="str">
        <f t="shared" si="305"/>
        <v>#DIV/0!</v>
      </c>
      <c r="AS302" s="29" t="str">
        <f t="shared" si="305"/>
        <v>#DIV/0!</v>
      </c>
      <c r="AT302" s="29" t="str">
        <f t="shared" si="305"/>
        <v>#DIV/0!</v>
      </c>
      <c r="AU302" s="29" t="str">
        <f t="shared" si="305"/>
        <v>#DIV/0!</v>
      </c>
      <c r="AV302" s="29" t="str">
        <f t="shared" si="305"/>
        <v>#DIV/0!</v>
      </c>
      <c r="AW302" s="29" t="str">
        <f t="shared" si="305"/>
        <v>#DIV/0!</v>
      </c>
      <c r="AX302" s="29" t="str">
        <f t="shared" si="305"/>
        <v>#DIV/0!</v>
      </c>
      <c r="AY302" s="29" t="str">
        <f t="shared" si="305"/>
        <v>#DIV/0!</v>
      </c>
      <c r="AZ302" s="29" t="str">
        <f t="shared" si="305"/>
        <v>#DIV/0!</v>
      </c>
      <c r="BA302" s="29" t="str">
        <f t="shared" si="305"/>
        <v>#DIV/0!</v>
      </c>
      <c r="BB302" s="29" t="str">
        <f t="shared" si="305"/>
        <v>#DIV/0!</v>
      </c>
      <c r="BC302" s="29" t="str">
        <f t="shared" si="305"/>
        <v>#DIV/0!</v>
      </c>
      <c r="BD302" s="29" t="str">
        <f t="shared" si="305"/>
        <v>#DIV/0!</v>
      </c>
      <c r="BE302" s="29" t="str">
        <f t="shared" si="305"/>
        <v>#DIV/0!</v>
      </c>
      <c r="BF302" s="29" t="str">
        <f t="shared" si="305"/>
        <v>#DIV/0!</v>
      </c>
      <c r="BG302" s="29" t="str">
        <f t="shared" si="305"/>
        <v>#DIV/0!</v>
      </c>
      <c r="BH302" s="29" t="str">
        <f t="shared" si="305"/>
        <v>#DIV/0!</v>
      </c>
      <c r="BI302" s="29" t="str">
        <f t="shared" si="305"/>
        <v>#DIV/0!</v>
      </c>
      <c r="BJ302" s="29" t="str">
        <f t="shared" si="305"/>
        <v>#DIV/0!</v>
      </c>
      <c r="BK302" s="29" t="str">
        <f t="shared" si="305"/>
        <v>#DIV/0!</v>
      </c>
      <c r="BL302" s="29" t="str">
        <f t="shared" si="305"/>
        <v>#DIV/0!</v>
      </c>
      <c r="BM302" s="29" t="str">
        <f t="shared" si="3"/>
        <v>#DIV/0!</v>
      </c>
    </row>
    <row r="303">
      <c r="A303" s="16" t="str">
        <f>IFERROR(__xludf.DUMMYFUNCTION("IFERROR(SPARKLINE(SORT(MAP(TRANSPOSE(AQ303:BL303), LAMBDA(val, IF(ISNUMBER(val), PERCENTRANK(AQ303:BL303, val)+0.01, 0))), SEQUENCE(COLUMNS(AQ303:BL303)), FALSE), {""charttype"",""column""; ""color"",""chartreuse""; ""ymin"", 0; ""ymax"", 1.01; ""highcolo"&amp;"r"", ""darkgreen""; ""lowcolor"", ""red""}), """")"),"")</f>
        <v/>
      </c>
      <c r="B303" s="17" t="str">
        <f t="shared" si="4"/>
        <v/>
      </c>
      <c r="C303" s="1" t="s">
        <v>2020</v>
      </c>
      <c r="D303" s="30" t="str">
        <f>IFERROR(__xludf.DUMMYFUNCTION("IFERROR(GOOGLEFINANCE(C303, ""NAME""))"),"Kirby Corp")</f>
        <v>Kirby Corp</v>
      </c>
      <c r="E303" s="30" t="s">
        <v>834</v>
      </c>
      <c r="F303" s="33" t="str">
        <f>IFERROR(__xludf.DUMMYFUNCTION("( (GOOGLEFINANCE(C303, ""price"") - Q303) / Q303 ) / (R303 / 100)"),"Loading...")</f>
        <v>Loading...</v>
      </c>
      <c r="G303" s="20" t="str">
        <f>IFERROR(__xludf.DUMMYFUNCTION("AVERAGE(ARRAYFORMULA(100 * (QUERY(GOOGLEFINANCE(C303, ""high"", TODAY()-40, TODAY()), ""SELECT Col2 WHERE Col2 IS NOT NULL ORDER BY Col1 DESC LIMIT 20"", 0) / QUERY(GOOGLEFINANCE(C303, ""low"", TODAY()-40, TODAY()), ""SELECT Col2 WHERE Col2 IS NOT NULL OR"&amp;"DER BY Col1 DESC LIMIT 20"", 0) - 1)))"),"#N/A")</f>
        <v>#N/A</v>
      </c>
      <c r="H303" s="35" t="str">
        <f t="shared" si="6"/>
        <v/>
      </c>
      <c r="I303" s="35" t="str">
        <f t="shared" si="7"/>
        <v/>
      </c>
      <c r="J303" s="37" t="str">
        <f>IFERROR(__xludf.DUMMYFUNCTION("IFERROR(
  IF(C303="""",, 
    IFERROR(
      GOOGLEFINANCE(C303, ""price"") * GOOGLEFINANCE(C303, ""volumeavg""), 
      GOOGLEFINANCE(C303, ""price"") * AVERAGE(QUERY(GOOGLEFINANCE(C303, ""volume"", TODAY()-40, TODAY()), ""SELECT Col2 WHERE Col2 IS NOT "&amp;"NULL ORDER BY Col1 DESC LIMIT 20"", 0))
    )
  ), 
"""")"),"")</f>
        <v/>
      </c>
      <c r="K303" s="21" t="str">
        <f>IFERROR(__xludf.DUMMYFUNCTION("IFERROR(GOOGLEFINANCE(C303, ""changepct"") / 100, """")"),"")</f>
        <v/>
      </c>
      <c r="L303" s="21" t="str">
        <f>IFERROR(__xludf.DUMMYFUNCTION("IFERROR((GOOGLEFINANCE(C303, ""price"") / INDEX(GOOGLEFINANCE(C303, ""price"", TODAY()-7, TODAY()), 2, 2)) - 1, """")"),"")</f>
        <v/>
      </c>
      <c r="M303" s="21" t="str">
        <f>IFERROR(__xludf.DUMMYFUNCTION("IFERROR((GOOGLEFINANCE(C303, ""price"") / INDEX(GOOGLEFINANCE(C303, ""price"", EDATE(TODAY(), -1), TODAY()), 2, 2)) - 1, """")"),"")</f>
        <v/>
      </c>
      <c r="N303" s="21" t="str">
        <f>IFERROR(__xludf.DUMMYFUNCTION("IFERROR((GOOGLEFINANCE(C303, ""price"") / INDEX(GOOGLEFINANCE(C303, ""price"", EDATE(TODAY(), -3), TODAY()), 2, 2)) - 1, """")"),"")</f>
        <v/>
      </c>
      <c r="O303" s="21" t="str">
        <f>IFERROR(__xludf.DUMMYFUNCTION("IFERROR((GOOGLEFINANCE(C303, ""price"") / INDEX(GOOGLEFINANCE(C303, ""price"", EDATE(TODAY(), -6), TODAY()), 2, 2)) - 1, """")"),"")</f>
        <v/>
      </c>
      <c r="P303" s="21" t="str">
        <f>IFERROR(__xludf.DUMMYFUNCTION("IFERROR((GOOGLEFINANCE(C303, ""price"") / INDEX(GOOGLEFINANCE(C303, ""price"", EDATE(TODAY(), -12), TODAY()), 2, 2)) - 1, """")"),"")</f>
        <v/>
      </c>
      <c r="Q303" s="6" t="str">
        <f>IFERROR(__xludf.DUMMYFUNCTION("AVERAGE(QUERY(GOOGLEFINANCE(C303, ""price"", TODAY()-80, TODAY()), ""SELECT Col2 WHERE Col2 IS NOT NULL ORDER BY Col1 DESC LIMIT 50"", 0))"),"#N/A")</f>
        <v>#N/A</v>
      </c>
      <c r="R303" s="24" t="str">
        <f>IFERROR(__xludf.DUMMYFUNCTION("IFERROR(
  LET(
    data, QUERY(GOOGLEFINANCE(C303,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GOOGLEFINANCE(C303, ""price"")) * 100,
    IF(calc=0, G303, calc)
  ), 
G303)"),"#N/A")</f>
        <v>#N/A</v>
      </c>
      <c r="S303" s="8" t="s">
        <v>15</v>
      </c>
      <c r="T303" s="26" t="str">
        <f>IFERROR(__xludf.DUMMYFUNCTION("IFERROR(TRANSPOSE(QUERY(IFERROR(SORT(GOOGLEFINANCE(C303, ""price"", WORKDAY(TODAY(), -40), TODAY()), 1, FALSE)), ""select Col2 where Col2 is not null limit 22 label Col2 ''"", 0)), """")"),"")</f>
        <v/>
      </c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8"/>
      <c r="AO303" s="28"/>
      <c r="AP303" s="29"/>
      <c r="AQ303" s="29" t="str">
        <f t="shared" ref="AQ303:BL303" si="306">T303/T$2</f>
        <v>#N/A</v>
      </c>
      <c r="AR303" s="29" t="str">
        <f t="shared" si="306"/>
        <v>#DIV/0!</v>
      </c>
      <c r="AS303" s="29" t="str">
        <f t="shared" si="306"/>
        <v>#DIV/0!</v>
      </c>
      <c r="AT303" s="29" t="str">
        <f t="shared" si="306"/>
        <v>#DIV/0!</v>
      </c>
      <c r="AU303" s="29" t="str">
        <f t="shared" si="306"/>
        <v>#DIV/0!</v>
      </c>
      <c r="AV303" s="29" t="str">
        <f t="shared" si="306"/>
        <v>#DIV/0!</v>
      </c>
      <c r="AW303" s="29" t="str">
        <f t="shared" si="306"/>
        <v>#DIV/0!</v>
      </c>
      <c r="AX303" s="29" t="str">
        <f t="shared" si="306"/>
        <v>#DIV/0!</v>
      </c>
      <c r="AY303" s="29" t="str">
        <f t="shared" si="306"/>
        <v>#DIV/0!</v>
      </c>
      <c r="AZ303" s="29" t="str">
        <f t="shared" si="306"/>
        <v>#DIV/0!</v>
      </c>
      <c r="BA303" s="29" t="str">
        <f t="shared" si="306"/>
        <v>#DIV/0!</v>
      </c>
      <c r="BB303" s="29" t="str">
        <f t="shared" si="306"/>
        <v>#DIV/0!</v>
      </c>
      <c r="BC303" s="29" t="str">
        <f t="shared" si="306"/>
        <v>#DIV/0!</v>
      </c>
      <c r="BD303" s="29" t="str">
        <f t="shared" si="306"/>
        <v>#DIV/0!</v>
      </c>
      <c r="BE303" s="29" t="str">
        <f t="shared" si="306"/>
        <v>#DIV/0!</v>
      </c>
      <c r="BF303" s="29" t="str">
        <f t="shared" si="306"/>
        <v>#DIV/0!</v>
      </c>
      <c r="BG303" s="29" t="str">
        <f t="shared" si="306"/>
        <v>#DIV/0!</v>
      </c>
      <c r="BH303" s="29" t="str">
        <f t="shared" si="306"/>
        <v>#DIV/0!</v>
      </c>
      <c r="BI303" s="29" t="str">
        <f t="shared" si="306"/>
        <v>#DIV/0!</v>
      </c>
      <c r="BJ303" s="29" t="str">
        <f t="shared" si="306"/>
        <v>#DIV/0!</v>
      </c>
      <c r="BK303" s="29" t="str">
        <f t="shared" si="306"/>
        <v>#DIV/0!</v>
      </c>
      <c r="BL303" s="29" t="str">
        <f t="shared" si="306"/>
        <v>#DIV/0!</v>
      </c>
      <c r="BM303" s="29" t="str">
        <f t="shared" si="3"/>
        <v>#DIV/0!</v>
      </c>
    </row>
    <row r="304">
      <c r="A304" s="16" t="str">
        <f>IFERROR(__xludf.DUMMYFUNCTION("IFERROR(SPARKLINE(SORT(MAP(TRANSPOSE(AQ304:BL304), LAMBDA(val, IF(ISNUMBER(val), PERCENTRANK(AQ304:BL304, val)+0.01, 0))), SEQUENCE(COLUMNS(AQ304:BL304)), FALSE), {""charttype"",""column""; ""color"",""chartreuse""; ""ymin"", 0; ""ymax"", 1.01; ""highcolo"&amp;"r"", ""darkgreen""; ""lowcolor"", ""red""}), """")"),"")</f>
        <v/>
      </c>
      <c r="B304" s="17" t="str">
        <f t="shared" si="4"/>
        <v/>
      </c>
      <c r="C304" s="1" t="s">
        <v>2025</v>
      </c>
      <c r="D304" s="30" t="str">
        <f>IFERROR(__xludf.DUMMYFUNCTION("IFERROR(GOOGLEFINANCE(C304, ""NAME""))"),"Veralto Corp")</f>
        <v>Veralto Corp</v>
      </c>
      <c r="E304" s="30" t="s">
        <v>936</v>
      </c>
      <c r="F304" s="33" t="str">
        <f>IFERROR(__xludf.DUMMYFUNCTION("( (GOOGLEFINANCE(C304, ""price"") - Q304) / Q304 ) / (R304 / 100)"),"Loading...")</f>
        <v>Loading...</v>
      </c>
      <c r="G304" s="20" t="str">
        <f>IFERROR(__xludf.DUMMYFUNCTION("AVERAGE(ARRAYFORMULA(100 * (QUERY(GOOGLEFINANCE(C304, ""high"", TODAY()-40, TODAY()), ""SELECT Col2 WHERE Col2 IS NOT NULL ORDER BY Col1 DESC LIMIT 20"", 0) / QUERY(GOOGLEFINANCE(C304, ""low"", TODAY()-40, TODAY()), ""SELECT Col2 WHERE Col2 IS NOT NULL OR"&amp;"DER BY Col1 DESC LIMIT 20"", 0) - 1)))"),"#N/A")</f>
        <v>#N/A</v>
      </c>
      <c r="H304" s="35" t="str">
        <f t="shared" si="6"/>
        <v/>
      </c>
      <c r="I304" s="35" t="str">
        <f t="shared" si="7"/>
        <v/>
      </c>
      <c r="J304" s="37" t="str">
        <f>IFERROR(__xludf.DUMMYFUNCTION("IFERROR(
  IF(C304="""",, 
    IFERROR(
      GOOGLEFINANCE(C304, ""price"") * GOOGLEFINANCE(C304, ""volumeavg""), 
      GOOGLEFINANCE(C304, ""price"") * AVERAGE(QUERY(GOOGLEFINANCE(C304, ""volume"", TODAY()-40, TODAY()), ""SELECT Col2 WHERE Col2 IS NOT "&amp;"NULL ORDER BY Col1 DESC LIMIT 20"", 0))
    )
  ), 
"""")"),"")</f>
        <v/>
      </c>
      <c r="K304" s="21" t="str">
        <f>IFERROR(__xludf.DUMMYFUNCTION("IFERROR(GOOGLEFINANCE(C304, ""changepct"") / 100, """")"),"")</f>
        <v/>
      </c>
      <c r="L304" s="21" t="str">
        <f>IFERROR(__xludf.DUMMYFUNCTION("IFERROR((GOOGLEFINANCE(C304, ""price"") / INDEX(GOOGLEFINANCE(C304, ""price"", TODAY()-7, TODAY()), 2, 2)) - 1, """")"),"")</f>
        <v/>
      </c>
      <c r="M304" s="21" t="str">
        <f>IFERROR(__xludf.DUMMYFUNCTION("IFERROR((GOOGLEFINANCE(C304, ""price"") / INDEX(GOOGLEFINANCE(C304, ""price"", EDATE(TODAY(), -1), TODAY()), 2, 2)) - 1, """")"),"")</f>
        <v/>
      </c>
      <c r="N304" s="21" t="str">
        <f>IFERROR(__xludf.DUMMYFUNCTION("IFERROR((GOOGLEFINANCE(C304, ""price"") / INDEX(GOOGLEFINANCE(C304, ""price"", EDATE(TODAY(), -3), TODAY()), 2, 2)) - 1, """")"),"")</f>
        <v/>
      </c>
      <c r="O304" s="21" t="str">
        <f>IFERROR(__xludf.DUMMYFUNCTION("IFERROR((GOOGLEFINANCE(C304, ""price"") / INDEX(GOOGLEFINANCE(C304, ""price"", EDATE(TODAY(), -6), TODAY()), 2, 2)) - 1, """")"),"")</f>
        <v/>
      </c>
      <c r="P304" s="21" t="str">
        <f>IFERROR(__xludf.DUMMYFUNCTION("IFERROR((GOOGLEFINANCE(C304, ""price"") / INDEX(GOOGLEFINANCE(C304, ""price"", EDATE(TODAY(), -12), TODAY()), 2, 2)) - 1, """")"),"")</f>
        <v/>
      </c>
      <c r="Q304" s="6" t="str">
        <f>IFERROR(__xludf.DUMMYFUNCTION("AVERAGE(QUERY(GOOGLEFINANCE(C304, ""price"", TODAY()-80, TODAY()), ""SELECT Col2 WHERE Col2 IS NOT NULL ORDER BY Col1 DESC LIMIT 50"", 0))"),"#N/A")</f>
        <v>#N/A</v>
      </c>
      <c r="R304" s="24" t="str">
        <f>IFERROR(__xludf.DUMMYFUNCTION("IFERROR(
  LET(
    data, QUERY(GOOGLEFINANCE(C304,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GOOGLEFINANCE(C304, ""price"")) * 100,
    IF(calc=0, G304, calc)
  ), 
G304)"),"#N/A")</f>
        <v>#N/A</v>
      </c>
      <c r="S304" s="8" t="s">
        <v>15</v>
      </c>
      <c r="T304" s="26" t="str">
        <f>IFERROR(__xludf.DUMMYFUNCTION("IFERROR(TRANSPOSE(QUERY(IFERROR(SORT(GOOGLEFINANCE(C304, ""price"", WORKDAY(TODAY(), -40), TODAY()), 1, FALSE)), ""select Col2 where Col2 is not null limit 22 label Col2 ''"", 0)), """")"),"")</f>
        <v/>
      </c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8"/>
      <c r="AO304" s="28"/>
      <c r="AP304" s="29"/>
      <c r="AQ304" s="29" t="str">
        <f t="shared" ref="AQ304:BL304" si="307">T304/T$2</f>
        <v>#N/A</v>
      </c>
      <c r="AR304" s="29" t="str">
        <f t="shared" si="307"/>
        <v>#DIV/0!</v>
      </c>
      <c r="AS304" s="29" t="str">
        <f t="shared" si="307"/>
        <v>#DIV/0!</v>
      </c>
      <c r="AT304" s="29" t="str">
        <f t="shared" si="307"/>
        <v>#DIV/0!</v>
      </c>
      <c r="AU304" s="29" t="str">
        <f t="shared" si="307"/>
        <v>#DIV/0!</v>
      </c>
      <c r="AV304" s="29" t="str">
        <f t="shared" si="307"/>
        <v>#DIV/0!</v>
      </c>
      <c r="AW304" s="29" t="str">
        <f t="shared" si="307"/>
        <v>#DIV/0!</v>
      </c>
      <c r="AX304" s="29" t="str">
        <f t="shared" si="307"/>
        <v>#DIV/0!</v>
      </c>
      <c r="AY304" s="29" t="str">
        <f t="shared" si="307"/>
        <v>#DIV/0!</v>
      </c>
      <c r="AZ304" s="29" t="str">
        <f t="shared" si="307"/>
        <v>#DIV/0!</v>
      </c>
      <c r="BA304" s="29" t="str">
        <f t="shared" si="307"/>
        <v>#DIV/0!</v>
      </c>
      <c r="BB304" s="29" t="str">
        <f t="shared" si="307"/>
        <v>#DIV/0!</v>
      </c>
      <c r="BC304" s="29" t="str">
        <f t="shared" si="307"/>
        <v>#DIV/0!</v>
      </c>
      <c r="BD304" s="29" t="str">
        <f t="shared" si="307"/>
        <v>#DIV/0!</v>
      </c>
      <c r="BE304" s="29" t="str">
        <f t="shared" si="307"/>
        <v>#DIV/0!</v>
      </c>
      <c r="BF304" s="29" t="str">
        <f t="shared" si="307"/>
        <v>#DIV/0!</v>
      </c>
      <c r="BG304" s="29" t="str">
        <f t="shared" si="307"/>
        <v>#DIV/0!</v>
      </c>
      <c r="BH304" s="29" t="str">
        <f t="shared" si="307"/>
        <v>#DIV/0!</v>
      </c>
      <c r="BI304" s="29" t="str">
        <f t="shared" si="307"/>
        <v>#DIV/0!</v>
      </c>
      <c r="BJ304" s="29" t="str">
        <f t="shared" si="307"/>
        <v>#DIV/0!</v>
      </c>
      <c r="BK304" s="29" t="str">
        <f t="shared" si="307"/>
        <v>#DIV/0!</v>
      </c>
      <c r="BL304" s="29" t="str">
        <f t="shared" si="307"/>
        <v>#DIV/0!</v>
      </c>
      <c r="BM304" s="29" t="str">
        <f t="shared" si="3"/>
        <v>#DIV/0!</v>
      </c>
    </row>
    <row r="305">
      <c r="A305" s="16" t="str">
        <f>IFERROR(__xludf.DUMMYFUNCTION("IFERROR(SPARKLINE(SORT(MAP(TRANSPOSE(AQ305:BL305), LAMBDA(val, IF(ISNUMBER(val), PERCENTRANK(AQ305:BL305, val)+0.01, 0))), SEQUENCE(COLUMNS(AQ305:BL305)), FALSE), {""charttype"",""column""; ""color"",""chartreuse""; ""ymin"", 0; ""ymax"", 1.01; ""highcolo"&amp;"r"", ""darkgreen""; ""lowcolor"", ""red""}), """")"),"")</f>
        <v/>
      </c>
      <c r="B305" s="17" t="str">
        <f t="shared" si="4"/>
        <v/>
      </c>
      <c r="C305" s="1" t="s">
        <v>2029</v>
      </c>
      <c r="D305" s="30" t="str">
        <f>IFERROR(__xludf.DUMMYFUNCTION("IFERROR(GOOGLEFINANCE(C305, ""NAME""))"),"ADT Inc")</f>
        <v>ADT Inc</v>
      </c>
      <c r="E305" s="30" t="s">
        <v>1020</v>
      </c>
      <c r="F305" s="33" t="str">
        <f>IFERROR(__xludf.DUMMYFUNCTION("( (GOOGLEFINANCE(C305, ""price"") - Q305) / Q305 ) / (R305 / 100)"),"Loading...")</f>
        <v>Loading...</v>
      </c>
      <c r="G305" s="20" t="str">
        <f>IFERROR(__xludf.DUMMYFUNCTION("AVERAGE(ARRAYFORMULA(100 * (QUERY(GOOGLEFINANCE(C305, ""high"", TODAY()-40, TODAY()), ""SELECT Col2 WHERE Col2 IS NOT NULL ORDER BY Col1 DESC LIMIT 20"", 0) / QUERY(GOOGLEFINANCE(C305, ""low"", TODAY()-40, TODAY()), ""SELECT Col2 WHERE Col2 IS NOT NULL OR"&amp;"DER BY Col1 DESC LIMIT 20"", 0) - 1)))"),"#N/A")</f>
        <v>#N/A</v>
      </c>
      <c r="H305" s="35" t="str">
        <f t="shared" si="6"/>
        <v/>
      </c>
      <c r="I305" s="35" t="str">
        <f t="shared" si="7"/>
        <v/>
      </c>
      <c r="J305" s="37" t="str">
        <f>IFERROR(__xludf.DUMMYFUNCTION("IFERROR(
  IF(C305="""",, 
    IFERROR(
      GOOGLEFINANCE(C305, ""price"") * GOOGLEFINANCE(C305, ""volumeavg""), 
      GOOGLEFINANCE(C305, ""price"") * AVERAGE(QUERY(GOOGLEFINANCE(C305, ""volume"", TODAY()-40, TODAY()), ""SELECT Col2 WHERE Col2 IS NOT "&amp;"NULL ORDER BY Col1 DESC LIMIT 20"", 0))
    )
  ), 
"""")"),"")</f>
        <v/>
      </c>
      <c r="K305" s="21" t="str">
        <f>IFERROR(__xludf.DUMMYFUNCTION("IFERROR(GOOGLEFINANCE(C305, ""changepct"") / 100, """")"),"")</f>
        <v/>
      </c>
      <c r="L305" s="21" t="str">
        <f>IFERROR(__xludf.DUMMYFUNCTION("IFERROR((GOOGLEFINANCE(C305, ""price"") / INDEX(GOOGLEFINANCE(C305, ""price"", TODAY()-7, TODAY()), 2, 2)) - 1, """")"),"")</f>
        <v/>
      </c>
      <c r="M305" s="21" t="str">
        <f>IFERROR(__xludf.DUMMYFUNCTION("IFERROR((GOOGLEFINANCE(C305, ""price"") / INDEX(GOOGLEFINANCE(C305, ""price"", EDATE(TODAY(), -1), TODAY()), 2, 2)) - 1, """")"),"")</f>
        <v/>
      </c>
      <c r="N305" s="21" t="str">
        <f>IFERROR(__xludf.DUMMYFUNCTION("IFERROR((GOOGLEFINANCE(C305, ""price"") / INDEX(GOOGLEFINANCE(C305, ""price"", EDATE(TODAY(), -3), TODAY()), 2, 2)) - 1, """")"),"")</f>
        <v/>
      </c>
      <c r="O305" s="21" t="str">
        <f>IFERROR(__xludf.DUMMYFUNCTION("IFERROR((GOOGLEFINANCE(C305, ""price"") / INDEX(GOOGLEFINANCE(C305, ""price"", EDATE(TODAY(), -6), TODAY()), 2, 2)) - 1, """")"),"")</f>
        <v/>
      </c>
      <c r="P305" s="21" t="str">
        <f>IFERROR(__xludf.DUMMYFUNCTION("IFERROR((GOOGLEFINANCE(C305, ""price"") / INDEX(GOOGLEFINANCE(C305, ""price"", EDATE(TODAY(), -12), TODAY()), 2, 2)) - 1, """")"),"")</f>
        <v/>
      </c>
      <c r="Q305" s="6" t="str">
        <f>IFERROR(__xludf.DUMMYFUNCTION("AVERAGE(QUERY(GOOGLEFINANCE(C305, ""price"", TODAY()-80, TODAY()), ""SELECT Col2 WHERE Col2 IS NOT NULL ORDER BY Col1 DESC LIMIT 50"", 0))"),"#N/A")</f>
        <v>#N/A</v>
      </c>
      <c r="R305" s="24" t="str">
        <f>IFERROR(__xludf.DUMMYFUNCTION("IFERROR(
  LET(
    data, QUERY(GOOGLEFINANCE(C305,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GOOGLEFINANCE(C305, ""price"")) * 100,
    IF(calc=0, G305, calc)
  ), 
G305)"),"#N/A")</f>
        <v>#N/A</v>
      </c>
      <c r="S305" s="8" t="s">
        <v>15</v>
      </c>
      <c r="T305" s="26" t="str">
        <f>IFERROR(__xludf.DUMMYFUNCTION("IFERROR(TRANSPOSE(QUERY(IFERROR(SORT(GOOGLEFINANCE(C305, ""price"", WORKDAY(TODAY(), -40), TODAY()), 1, FALSE)), ""select Col2 where Col2 is not null limit 22 label Col2 ''"", 0)), """")"),"")</f>
        <v/>
      </c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8"/>
      <c r="AO305" s="28"/>
      <c r="AP305" s="29"/>
      <c r="AQ305" s="29" t="str">
        <f t="shared" ref="AQ305:BL305" si="308">T305/T$2</f>
        <v>#N/A</v>
      </c>
      <c r="AR305" s="29" t="str">
        <f t="shared" si="308"/>
        <v>#DIV/0!</v>
      </c>
      <c r="AS305" s="29" t="str">
        <f t="shared" si="308"/>
        <v>#DIV/0!</v>
      </c>
      <c r="AT305" s="29" t="str">
        <f t="shared" si="308"/>
        <v>#DIV/0!</v>
      </c>
      <c r="AU305" s="29" t="str">
        <f t="shared" si="308"/>
        <v>#DIV/0!</v>
      </c>
      <c r="AV305" s="29" t="str">
        <f t="shared" si="308"/>
        <v>#DIV/0!</v>
      </c>
      <c r="AW305" s="29" t="str">
        <f t="shared" si="308"/>
        <v>#DIV/0!</v>
      </c>
      <c r="AX305" s="29" t="str">
        <f t="shared" si="308"/>
        <v>#DIV/0!</v>
      </c>
      <c r="AY305" s="29" t="str">
        <f t="shared" si="308"/>
        <v>#DIV/0!</v>
      </c>
      <c r="AZ305" s="29" t="str">
        <f t="shared" si="308"/>
        <v>#DIV/0!</v>
      </c>
      <c r="BA305" s="29" t="str">
        <f t="shared" si="308"/>
        <v>#DIV/0!</v>
      </c>
      <c r="BB305" s="29" t="str">
        <f t="shared" si="308"/>
        <v>#DIV/0!</v>
      </c>
      <c r="BC305" s="29" t="str">
        <f t="shared" si="308"/>
        <v>#DIV/0!</v>
      </c>
      <c r="BD305" s="29" t="str">
        <f t="shared" si="308"/>
        <v>#DIV/0!</v>
      </c>
      <c r="BE305" s="29" t="str">
        <f t="shared" si="308"/>
        <v>#DIV/0!</v>
      </c>
      <c r="BF305" s="29" t="str">
        <f t="shared" si="308"/>
        <v>#DIV/0!</v>
      </c>
      <c r="BG305" s="29" t="str">
        <f t="shared" si="308"/>
        <v>#DIV/0!</v>
      </c>
      <c r="BH305" s="29" t="str">
        <f t="shared" si="308"/>
        <v>#DIV/0!</v>
      </c>
      <c r="BI305" s="29" t="str">
        <f t="shared" si="308"/>
        <v>#DIV/0!</v>
      </c>
      <c r="BJ305" s="29" t="str">
        <f t="shared" si="308"/>
        <v>#DIV/0!</v>
      </c>
      <c r="BK305" s="29" t="str">
        <f t="shared" si="308"/>
        <v>#DIV/0!</v>
      </c>
      <c r="BL305" s="29" t="str">
        <f t="shared" si="308"/>
        <v>#DIV/0!</v>
      </c>
      <c r="BM305" s="29" t="str">
        <f t="shared" si="3"/>
        <v>#DIV/0!</v>
      </c>
    </row>
    <row r="306">
      <c r="A306" s="16" t="str">
        <f>IFERROR(__xludf.DUMMYFUNCTION("IFERROR(SPARKLINE(SORT(MAP(TRANSPOSE(AQ306:BL306), LAMBDA(val, IF(ISNUMBER(val), PERCENTRANK(AQ306:BL306, val)+0.01, 0))), SEQUENCE(COLUMNS(AQ306:BL306)), FALSE), {""charttype"",""column""; ""color"",""chartreuse""; ""ymin"", 0; ""ymax"", 1.01; ""highcolo"&amp;"r"", ""darkgreen""; ""lowcolor"", ""red""}), """")"),"")</f>
        <v/>
      </c>
      <c r="B306" s="17" t="str">
        <f t="shared" si="4"/>
        <v/>
      </c>
      <c r="C306" s="1" t="s">
        <v>2034</v>
      </c>
      <c r="D306" s="30" t="str">
        <f>IFERROR(__xludf.DUMMYFUNCTION("IFERROR(GOOGLEFINANCE(C306, ""NAME""))"),"Cintas Corp")</f>
        <v>Cintas Corp</v>
      </c>
      <c r="E306" s="30" t="s">
        <v>916</v>
      </c>
      <c r="F306" s="33" t="str">
        <f>IFERROR(__xludf.DUMMYFUNCTION("( (GOOGLEFINANCE(C306, ""price"") - Q306) / Q306 ) / (R306 / 100)"),"Loading...")</f>
        <v>Loading...</v>
      </c>
      <c r="G306" s="20" t="str">
        <f>IFERROR(__xludf.DUMMYFUNCTION("AVERAGE(ARRAYFORMULA(100 * (QUERY(GOOGLEFINANCE(C306, ""high"", TODAY()-40, TODAY()), ""SELECT Col2 WHERE Col2 IS NOT NULL ORDER BY Col1 DESC LIMIT 20"", 0) / QUERY(GOOGLEFINANCE(C306, ""low"", TODAY()-40, TODAY()), ""SELECT Col2 WHERE Col2 IS NOT NULL OR"&amp;"DER BY Col1 DESC LIMIT 20"", 0) - 1)))"),"#N/A")</f>
        <v>#N/A</v>
      </c>
      <c r="H306" s="35" t="str">
        <f t="shared" si="6"/>
        <v/>
      </c>
      <c r="I306" s="35" t="str">
        <f t="shared" si="7"/>
        <v/>
      </c>
      <c r="J306" s="37" t="str">
        <f>IFERROR(__xludf.DUMMYFUNCTION("IFERROR(
  IF(C306="""",, 
    IFERROR(
      GOOGLEFINANCE(C306, ""price"") * GOOGLEFINANCE(C306, ""volumeavg""), 
      GOOGLEFINANCE(C306, ""price"") * AVERAGE(QUERY(GOOGLEFINANCE(C306, ""volume"", TODAY()-40, TODAY()), ""SELECT Col2 WHERE Col2 IS NOT "&amp;"NULL ORDER BY Col1 DESC LIMIT 20"", 0))
    )
  ), 
"""")"),"")</f>
        <v/>
      </c>
      <c r="K306" s="21" t="str">
        <f>IFERROR(__xludf.DUMMYFUNCTION("IFERROR(GOOGLEFINANCE(C306, ""changepct"") / 100, """")"),"")</f>
        <v/>
      </c>
      <c r="L306" s="21" t="str">
        <f>IFERROR(__xludf.DUMMYFUNCTION("IFERROR((GOOGLEFINANCE(C306, ""price"") / INDEX(GOOGLEFINANCE(C306, ""price"", TODAY()-7, TODAY()), 2, 2)) - 1, """")"),"")</f>
        <v/>
      </c>
      <c r="M306" s="21" t="str">
        <f>IFERROR(__xludf.DUMMYFUNCTION("IFERROR((GOOGLEFINANCE(C306, ""price"") / INDEX(GOOGLEFINANCE(C306, ""price"", EDATE(TODAY(), -1), TODAY()), 2, 2)) - 1, """")"),"")</f>
        <v/>
      </c>
      <c r="N306" s="21" t="str">
        <f>IFERROR(__xludf.DUMMYFUNCTION("IFERROR((GOOGLEFINANCE(C306, ""price"") / INDEX(GOOGLEFINANCE(C306, ""price"", EDATE(TODAY(), -3), TODAY()), 2, 2)) - 1, """")"),"")</f>
        <v/>
      </c>
      <c r="O306" s="21" t="str">
        <f>IFERROR(__xludf.DUMMYFUNCTION("IFERROR((GOOGLEFINANCE(C306, ""price"") / INDEX(GOOGLEFINANCE(C306, ""price"", EDATE(TODAY(), -6), TODAY()), 2, 2)) - 1, """")"),"")</f>
        <v/>
      </c>
      <c r="P306" s="21" t="str">
        <f>IFERROR(__xludf.DUMMYFUNCTION("IFERROR((GOOGLEFINANCE(C306, ""price"") / INDEX(GOOGLEFINANCE(C306, ""price"", EDATE(TODAY(), -12), TODAY()), 2, 2)) - 1, """")"),"")</f>
        <v/>
      </c>
      <c r="Q306" s="6" t="str">
        <f>IFERROR(__xludf.DUMMYFUNCTION("AVERAGE(QUERY(GOOGLEFINANCE(C306, ""price"", TODAY()-80, TODAY()), ""SELECT Col2 WHERE Col2 IS NOT NULL ORDER BY Col1 DESC LIMIT 50"", 0))"),"#N/A")</f>
        <v>#N/A</v>
      </c>
      <c r="R306" s="24" t="str">
        <f>IFERROR(__xludf.DUMMYFUNCTION("IFERROR(
  LET(
    data, QUERY(GOOGLEFINANCE(C306,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GOOGLEFINANCE(C306, ""price"")) * 100,
    IF(calc=0, G306, calc)
  ), 
G306)"),"#N/A")</f>
        <v>#N/A</v>
      </c>
      <c r="S306" s="8" t="s">
        <v>15</v>
      </c>
      <c r="T306" s="26" t="str">
        <f>IFERROR(__xludf.DUMMYFUNCTION("IFERROR(TRANSPOSE(QUERY(IFERROR(SORT(GOOGLEFINANCE(C306, ""price"", WORKDAY(TODAY(), -40), TODAY()), 1, FALSE)), ""select Col2 where Col2 is not null limit 22 label Col2 ''"", 0)), """")"),"")</f>
        <v/>
      </c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8"/>
      <c r="AO306" s="28"/>
      <c r="AP306" s="29"/>
      <c r="AQ306" s="29" t="str">
        <f t="shared" ref="AQ306:BL306" si="309">T306/T$2</f>
        <v>#N/A</v>
      </c>
      <c r="AR306" s="29" t="str">
        <f t="shared" si="309"/>
        <v>#DIV/0!</v>
      </c>
      <c r="AS306" s="29" t="str">
        <f t="shared" si="309"/>
        <v>#DIV/0!</v>
      </c>
      <c r="AT306" s="29" t="str">
        <f t="shared" si="309"/>
        <v>#DIV/0!</v>
      </c>
      <c r="AU306" s="29" t="str">
        <f t="shared" si="309"/>
        <v>#DIV/0!</v>
      </c>
      <c r="AV306" s="29" t="str">
        <f t="shared" si="309"/>
        <v>#DIV/0!</v>
      </c>
      <c r="AW306" s="29" t="str">
        <f t="shared" si="309"/>
        <v>#DIV/0!</v>
      </c>
      <c r="AX306" s="29" t="str">
        <f t="shared" si="309"/>
        <v>#DIV/0!</v>
      </c>
      <c r="AY306" s="29" t="str">
        <f t="shared" si="309"/>
        <v>#DIV/0!</v>
      </c>
      <c r="AZ306" s="29" t="str">
        <f t="shared" si="309"/>
        <v>#DIV/0!</v>
      </c>
      <c r="BA306" s="29" t="str">
        <f t="shared" si="309"/>
        <v>#DIV/0!</v>
      </c>
      <c r="BB306" s="29" t="str">
        <f t="shared" si="309"/>
        <v>#DIV/0!</v>
      </c>
      <c r="BC306" s="29" t="str">
        <f t="shared" si="309"/>
        <v>#DIV/0!</v>
      </c>
      <c r="BD306" s="29" t="str">
        <f t="shared" si="309"/>
        <v>#DIV/0!</v>
      </c>
      <c r="BE306" s="29" t="str">
        <f t="shared" si="309"/>
        <v>#DIV/0!</v>
      </c>
      <c r="BF306" s="29" t="str">
        <f t="shared" si="309"/>
        <v>#DIV/0!</v>
      </c>
      <c r="BG306" s="29" t="str">
        <f t="shared" si="309"/>
        <v>#DIV/0!</v>
      </c>
      <c r="BH306" s="29" t="str">
        <f t="shared" si="309"/>
        <v>#DIV/0!</v>
      </c>
      <c r="BI306" s="29" t="str">
        <f t="shared" si="309"/>
        <v>#DIV/0!</v>
      </c>
      <c r="BJ306" s="29" t="str">
        <f t="shared" si="309"/>
        <v>#DIV/0!</v>
      </c>
      <c r="BK306" s="29" t="str">
        <f t="shared" si="309"/>
        <v>#DIV/0!</v>
      </c>
      <c r="BL306" s="29" t="str">
        <f t="shared" si="309"/>
        <v>#DIV/0!</v>
      </c>
      <c r="BM306" s="29" t="str">
        <f t="shared" si="3"/>
        <v>#DIV/0!</v>
      </c>
    </row>
    <row r="307">
      <c r="A307" s="16" t="str">
        <f>IFERROR(__xludf.DUMMYFUNCTION("IFERROR(SPARKLINE(SORT(MAP(TRANSPOSE(AQ307:BL307), LAMBDA(val, IF(ISNUMBER(val), PERCENTRANK(AQ307:BL307, val)+0.01, 0))), SEQUENCE(COLUMNS(AQ307:BL307)), FALSE), {""charttype"",""column""; ""color"",""chartreuse""; ""ymin"", 0; ""ymax"", 1.01; ""highcolo"&amp;"r"", ""darkgreen""; ""lowcolor"", ""red""}), """")"),"")</f>
        <v/>
      </c>
      <c r="B307" s="17" t="str">
        <f t="shared" si="4"/>
        <v/>
      </c>
      <c r="C307" s="1" t="s">
        <v>2036</v>
      </c>
      <c r="D307" s="30" t="str">
        <f>IFERROR(__xludf.DUMMYFUNCTION("IFERROR(GOOGLEFINANCE(C307, ""NAME""))"),"Waste Connections, Inc")</f>
        <v>Waste Connections, Inc</v>
      </c>
      <c r="E307" s="30" t="s">
        <v>1371</v>
      </c>
      <c r="F307" s="38" t="str">
        <f>IFERROR(__xludf.DUMMYFUNCTION("( (GOOGLEFINANCE(C307, ""price"") - Q307) / Q307 ) / (R307 / 100)"),"Loading...")</f>
        <v>Loading...</v>
      </c>
      <c r="G307" s="20" t="str">
        <f>IFERROR(__xludf.DUMMYFUNCTION("AVERAGE(ARRAYFORMULA(100 * (QUERY(GOOGLEFINANCE(C307, ""high"", TODAY()-40, TODAY()), ""SELECT Col2 WHERE Col2 IS NOT NULL ORDER BY Col1 DESC LIMIT 20"", 0) / QUERY(GOOGLEFINANCE(C307, ""low"", TODAY()-40, TODAY()), ""SELECT Col2 WHERE Col2 IS NOT NULL OR"&amp;"DER BY Col1 DESC LIMIT 20"", 0) - 1)))"),"#N/A")</f>
        <v>#N/A</v>
      </c>
      <c r="H307" s="35" t="str">
        <f t="shared" si="6"/>
        <v/>
      </c>
      <c r="I307" s="35" t="str">
        <f t="shared" si="7"/>
        <v/>
      </c>
      <c r="J307" s="37" t="str">
        <f>IFERROR(__xludf.DUMMYFUNCTION("IFERROR(
  IF(C307="""",, 
    IFERROR(
      GOOGLEFINANCE(C307, ""price"") * GOOGLEFINANCE(C307, ""volumeavg""), 
      GOOGLEFINANCE(C307, ""price"") * AVERAGE(QUERY(GOOGLEFINANCE(C307, ""volume"", TODAY()-40, TODAY()), ""SELECT Col2 WHERE Col2 IS NOT "&amp;"NULL ORDER BY Col1 DESC LIMIT 20"", 0))
    )
  ), 
"""")"),"")</f>
        <v/>
      </c>
      <c r="K307" s="21" t="str">
        <f>IFERROR(__xludf.DUMMYFUNCTION("IFERROR(GOOGLEFINANCE(C307, ""changepct"") / 100, """")"),"")</f>
        <v/>
      </c>
      <c r="L307" s="21" t="str">
        <f>IFERROR(__xludf.DUMMYFUNCTION("IFERROR((GOOGLEFINANCE(C307, ""price"") / INDEX(GOOGLEFINANCE(C307, ""price"", TODAY()-7, TODAY()), 2, 2)) - 1, """")"),"")</f>
        <v/>
      </c>
      <c r="M307" s="21" t="str">
        <f>IFERROR(__xludf.DUMMYFUNCTION("IFERROR((GOOGLEFINANCE(C307, ""price"") / INDEX(GOOGLEFINANCE(C307, ""price"", EDATE(TODAY(), -1), TODAY()), 2, 2)) - 1, """")"),"")</f>
        <v/>
      </c>
      <c r="N307" s="21" t="str">
        <f>IFERROR(__xludf.DUMMYFUNCTION("IFERROR((GOOGLEFINANCE(C307, ""price"") / INDEX(GOOGLEFINANCE(C307, ""price"", EDATE(TODAY(), -3), TODAY()), 2, 2)) - 1, """")"),"")</f>
        <v/>
      </c>
      <c r="O307" s="21" t="str">
        <f>IFERROR(__xludf.DUMMYFUNCTION("IFERROR((GOOGLEFINANCE(C307, ""price"") / INDEX(GOOGLEFINANCE(C307, ""price"", EDATE(TODAY(), -6), TODAY()), 2, 2)) - 1, """")"),"")</f>
        <v/>
      </c>
      <c r="P307" s="21" t="str">
        <f>IFERROR(__xludf.DUMMYFUNCTION("IFERROR((GOOGLEFINANCE(C307, ""price"") / INDEX(GOOGLEFINANCE(C307, ""price"", EDATE(TODAY(), -12), TODAY()), 2, 2)) - 1, """")"),"")</f>
        <v/>
      </c>
      <c r="Q307" s="6" t="str">
        <f>IFERROR(__xludf.DUMMYFUNCTION("AVERAGE(QUERY(GOOGLEFINANCE(C307, ""price"", TODAY()-80, TODAY()), ""SELECT Col2 WHERE Col2 IS NOT NULL ORDER BY Col1 DESC LIMIT 50"", 0))"),"#N/A")</f>
        <v>#N/A</v>
      </c>
      <c r="R307" s="24" t="str">
        <f>IFERROR(__xludf.DUMMYFUNCTION("IFERROR(
  LET(
    data, QUERY(GOOGLEFINANCE(C307,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GOOGLEFINANCE(C307, ""price"")) * 100,
    IF(calc=0, G307, calc)
  ), 
G307)"),"#N/A")</f>
        <v>#N/A</v>
      </c>
      <c r="S307" s="8" t="s">
        <v>15</v>
      </c>
      <c r="T307" s="26" t="str">
        <f>IFERROR(__xludf.DUMMYFUNCTION("IFERROR(TRANSPOSE(QUERY(IFERROR(SORT(GOOGLEFINANCE(C307, ""price"", WORKDAY(TODAY(), -40), TODAY()), 1, FALSE)), ""select Col2 where Col2 is not null limit 22 label Col2 ''"", 0)), """")"),"")</f>
        <v/>
      </c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8"/>
      <c r="AO307" s="28"/>
      <c r="AP307" s="29"/>
      <c r="AQ307" s="29" t="str">
        <f t="shared" ref="AQ307:BL307" si="310">T307/T$2</f>
        <v>#N/A</v>
      </c>
      <c r="AR307" s="29" t="str">
        <f t="shared" si="310"/>
        <v>#DIV/0!</v>
      </c>
      <c r="AS307" s="29" t="str">
        <f t="shared" si="310"/>
        <v>#DIV/0!</v>
      </c>
      <c r="AT307" s="29" t="str">
        <f t="shared" si="310"/>
        <v>#DIV/0!</v>
      </c>
      <c r="AU307" s="29" t="str">
        <f t="shared" si="310"/>
        <v>#DIV/0!</v>
      </c>
      <c r="AV307" s="29" t="str">
        <f t="shared" si="310"/>
        <v>#DIV/0!</v>
      </c>
      <c r="AW307" s="29" t="str">
        <f t="shared" si="310"/>
        <v>#DIV/0!</v>
      </c>
      <c r="AX307" s="29" t="str">
        <f t="shared" si="310"/>
        <v>#DIV/0!</v>
      </c>
      <c r="AY307" s="29" t="str">
        <f t="shared" si="310"/>
        <v>#DIV/0!</v>
      </c>
      <c r="AZ307" s="29" t="str">
        <f t="shared" si="310"/>
        <v>#DIV/0!</v>
      </c>
      <c r="BA307" s="29" t="str">
        <f t="shared" si="310"/>
        <v>#DIV/0!</v>
      </c>
      <c r="BB307" s="29" t="str">
        <f t="shared" si="310"/>
        <v>#DIV/0!</v>
      </c>
      <c r="BC307" s="29" t="str">
        <f t="shared" si="310"/>
        <v>#DIV/0!</v>
      </c>
      <c r="BD307" s="29" t="str">
        <f t="shared" si="310"/>
        <v>#DIV/0!</v>
      </c>
      <c r="BE307" s="29" t="str">
        <f t="shared" si="310"/>
        <v>#DIV/0!</v>
      </c>
      <c r="BF307" s="29" t="str">
        <f t="shared" si="310"/>
        <v>#DIV/0!</v>
      </c>
      <c r="BG307" s="29" t="str">
        <f t="shared" si="310"/>
        <v>#DIV/0!</v>
      </c>
      <c r="BH307" s="29" t="str">
        <f t="shared" si="310"/>
        <v>#DIV/0!</v>
      </c>
      <c r="BI307" s="29" t="str">
        <f t="shared" si="310"/>
        <v>#DIV/0!</v>
      </c>
      <c r="BJ307" s="29" t="str">
        <f t="shared" si="310"/>
        <v>#DIV/0!</v>
      </c>
      <c r="BK307" s="29" t="str">
        <f t="shared" si="310"/>
        <v>#DIV/0!</v>
      </c>
      <c r="BL307" s="29" t="str">
        <f t="shared" si="310"/>
        <v>#DIV/0!</v>
      </c>
      <c r="BM307" s="29" t="str">
        <f t="shared" si="3"/>
        <v>#DIV/0!</v>
      </c>
    </row>
    <row r="308">
      <c r="A308" s="16" t="str">
        <f>IFERROR(__xludf.DUMMYFUNCTION("IFERROR(SPARKLINE(SORT(MAP(TRANSPOSE(AQ308:BL308), LAMBDA(val, IF(ISNUMBER(val), PERCENTRANK(AQ308:BL308, val)+0.01, 0))), SEQUENCE(COLUMNS(AQ308:BL308)), FALSE), {""charttype"",""column""; ""color"",""chartreuse""; ""ymin"", 0; ""ymax"", 1.01; ""highcolo"&amp;"r"", ""darkgreen""; ""lowcolor"", ""red""}), """")"),"")</f>
        <v/>
      </c>
      <c r="B308" s="17" t="str">
        <f t="shared" si="4"/>
        <v/>
      </c>
      <c r="C308" s="1" t="s">
        <v>2039</v>
      </c>
      <c r="D308" s="30" t="str">
        <f>IFERROR(__xludf.DUMMYFUNCTION("IFERROR(GOOGLEFINANCE(C308, ""NAME""))"),"Cadre Holdings Inc")</f>
        <v>Cadre Holdings Inc</v>
      </c>
      <c r="E308" s="30" t="s">
        <v>839</v>
      </c>
      <c r="F308" s="33" t="str">
        <f>IFERROR(__xludf.DUMMYFUNCTION("( (GOOGLEFINANCE(C308, ""price"") - Q308) / Q308 ) / (R308 / 100)"),"Loading...")</f>
        <v>Loading...</v>
      </c>
      <c r="G308" s="20" t="str">
        <f>IFERROR(__xludf.DUMMYFUNCTION("AVERAGE(ARRAYFORMULA(100 * (QUERY(GOOGLEFINANCE(C308, ""high"", TODAY()-40, TODAY()), ""SELECT Col2 WHERE Col2 IS NOT NULL ORDER BY Col1 DESC LIMIT 20"", 0) / QUERY(GOOGLEFINANCE(C308, ""low"", TODAY()-40, TODAY()), ""SELECT Col2 WHERE Col2 IS NOT NULL OR"&amp;"DER BY Col1 DESC LIMIT 20"", 0) - 1)))"),"#N/A")</f>
        <v>#N/A</v>
      </c>
      <c r="H308" s="35" t="str">
        <f t="shared" si="6"/>
        <v/>
      </c>
      <c r="I308" s="35" t="str">
        <f t="shared" si="7"/>
        <v/>
      </c>
      <c r="J308" s="37" t="str">
        <f>IFERROR(__xludf.DUMMYFUNCTION("IFERROR(
  IF(C308="""",, 
    IFERROR(
      GOOGLEFINANCE(C308, ""price"") * GOOGLEFINANCE(C308, ""volumeavg""), 
      GOOGLEFINANCE(C308, ""price"") * AVERAGE(QUERY(GOOGLEFINANCE(C308, ""volume"", TODAY()-40, TODAY()), ""SELECT Col2 WHERE Col2 IS NOT "&amp;"NULL ORDER BY Col1 DESC LIMIT 20"", 0))
    )
  ), 
"""")"),"")</f>
        <v/>
      </c>
      <c r="K308" s="21" t="str">
        <f>IFERROR(__xludf.DUMMYFUNCTION("IFERROR(GOOGLEFINANCE(C308, ""changepct"") / 100, """")"),"")</f>
        <v/>
      </c>
      <c r="L308" s="21" t="str">
        <f>IFERROR(__xludf.DUMMYFUNCTION("IFERROR((GOOGLEFINANCE(C308, ""price"") / INDEX(GOOGLEFINANCE(C308, ""price"", TODAY()-7, TODAY()), 2, 2)) - 1, """")"),"")</f>
        <v/>
      </c>
      <c r="M308" s="21" t="str">
        <f>IFERROR(__xludf.DUMMYFUNCTION("IFERROR((GOOGLEFINANCE(C308, ""price"") / INDEX(GOOGLEFINANCE(C308, ""price"", EDATE(TODAY(), -1), TODAY()), 2, 2)) - 1, """")"),"")</f>
        <v/>
      </c>
      <c r="N308" s="21" t="str">
        <f>IFERROR(__xludf.DUMMYFUNCTION("IFERROR((GOOGLEFINANCE(C308, ""price"") / INDEX(GOOGLEFINANCE(C308, ""price"", EDATE(TODAY(), -3), TODAY()), 2, 2)) - 1, """")"),"")</f>
        <v/>
      </c>
      <c r="O308" s="21" t="str">
        <f>IFERROR(__xludf.DUMMYFUNCTION("IFERROR((GOOGLEFINANCE(C308, ""price"") / INDEX(GOOGLEFINANCE(C308, ""price"", EDATE(TODAY(), -6), TODAY()), 2, 2)) - 1, """")"),"")</f>
        <v/>
      </c>
      <c r="P308" s="21" t="str">
        <f>IFERROR(__xludf.DUMMYFUNCTION("IFERROR((GOOGLEFINANCE(C308, ""price"") / INDEX(GOOGLEFINANCE(C308, ""price"", EDATE(TODAY(), -12), TODAY()), 2, 2)) - 1, """")"),"")</f>
        <v/>
      </c>
      <c r="Q308" s="6" t="str">
        <f>IFERROR(__xludf.DUMMYFUNCTION("AVERAGE(QUERY(GOOGLEFINANCE(C308, ""price"", TODAY()-80, TODAY()), ""SELECT Col2 WHERE Col2 IS NOT NULL ORDER BY Col1 DESC LIMIT 50"", 0))"),"#N/A")</f>
        <v>#N/A</v>
      </c>
      <c r="R308" s="24" t="str">
        <f>IFERROR(__xludf.DUMMYFUNCTION("IFERROR(
  LET(
    data, QUERY(GOOGLEFINANCE(C308,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GOOGLEFINANCE(C308, ""price"")) * 100,
    IF(calc=0, G308, calc)
  ), 
G308)"),"#N/A")</f>
        <v>#N/A</v>
      </c>
      <c r="S308" s="8" t="s">
        <v>15</v>
      </c>
      <c r="T308" s="26" t="str">
        <f>IFERROR(__xludf.DUMMYFUNCTION("IFERROR(TRANSPOSE(QUERY(IFERROR(SORT(GOOGLEFINANCE(C308, ""price"", WORKDAY(TODAY(), -40), TODAY()), 1, FALSE)), ""select Col2 where Col2 is not null limit 22 label Col2 ''"", 0)), """")"),"")</f>
        <v/>
      </c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8"/>
      <c r="AO308" s="28"/>
      <c r="AP308" s="29"/>
      <c r="AQ308" s="29" t="str">
        <f t="shared" ref="AQ308:BL308" si="311">T308/T$2</f>
        <v>#N/A</v>
      </c>
      <c r="AR308" s="29" t="str">
        <f t="shared" si="311"/>
        <v>#DIV/0!</v>
      </c>
      <c r="AS308" s="29" t="str">
        <f t="shared" si="311"/>
        <v>#DIV/0!</v>
      </c>
      <c r="AT308" s="29" t="str">
        <f t="shared" si="311"/>
        <v>#DIV/0!</v>
      </c>
      <c r="AU308" s="29" t="str">
        <f t="shared" si="311"/>
        <v>#DIV/0!</v>
      </c>
      <c r="AV308" s="29" t="str">
        <f t="shared" si="311"/>
        <v>#DIV/0!</v>
      </c>
      <c r="AW308" s="29" t="str">
        <f t="shared" si="311"/>
        <v>#DIV/0!</v>
      </c>
      <c r="AX308" s="29" t="str">
        <f t="shared" si="311"/>
        <v>#DIV/0!</v>
      </c>
      <c r="AY308" s="29" t="str">
        <f t="shared" si="311"/>
        <v>#DIV/0!</v>
      </c>
      <c r="AZ308" s="29" t="str">
        <f t="shared" si="311"/>
        <v>#DIV/0!</v>
      </c>
      <c r="BA308" s="29" t="str">
        <f t="shared" si="311"/>
        <v>#DIV/0!</v>
      </c>
      <c r="BB308" s="29" t="str">
        <f t="shared" si="311"/>
        <v>#DIV/0!</v>
      </c>
      <c r="BC308" s="29" t="str">
        <f t="shared" si="311"/>
        <v>#DIV/0!</v>
      </c>
      <c r="BD308" s="29" t="str">
        <f t="shared" si="311"/>
        <v>#DIV/0!</v>
      </c>
      <c r="BE308" s="29" t="str">
        <f t="shared" si="311"/>
        <v>#DIV/0!</v>
      </c>
      <c r="BF308" s="29" t="str">
        <f t="shared" si="311"/>
        <v>#DIV/0!</v>
      </c>
      <c r="BG308" s="29" t="str">
        <f t="shared" si="311"/>
        <v>#DIV/0!</v>
      </c>
      <c r="BH308" s="29" t="str">
        <f t="shared" si="311"/>
        <v>#DIV/0!</v>
      </c>
      <c r="BI308" s="29" t="str">
        <f t="shared" si="311"/>
        <v>#DIV/0!</v>
      </c>
      <c r="BJ308" s="29" t="str">
        <f t="shared" si="311"/>
        <v>#DIV/0!</v>
      </c>
      <c r="BK308" s="29" t="str">
        <f t="shared" si="311"/>
        <v>#DIV/0!</v>
      </c>
      <c r="BL308" s="29" t="str">
        <f t="shared" si="311"/>
        <v>#DIV/0!</v>
      </c>
      <c r="BM308" s="29" t="str">
        <f t="shared" si="3"/>
        <v>#DIV/0!</v>
      </c>
    </row>
    <row r="309">
      <c r="A309" s="16" t="str">
        <f>IFERROR(__xludf.DUMMYFUNCTION("IFERROR(SPARKLINE(SORT(MAP(TRANSPOSE(AQ309:BL309), LAMBDA(val, IF(ISNUMBER(val), PERCENTRANK(AQ309:BL309, val)+0.01, 0))), SEQUENCE(COLUMNS(AQ309:BL309)), FALSE), {""charttype"",""column""; ""color"",""chartreuse""; ""ymin"", 0; ""ymax"", 1.01; ""highcolo"&amp;"r"", ""darkgreen""; ""lowcolor"", ""red""}), """")"),"")</f>
        <v/>
      </c>
      <c r="B309" s="17" t="str">
        <f t="shared" si="4"/>
        <v/>
      </c>
      <c r="C309" s="1" t="s">
        <v>2043</v>
      </c>
      <c r="D309" s="30" t="str">
        <f>IFERROR(__xludf.DUMMYFUNCTION("IFERROR(GOOGLEFINANCE(C309, ""NAME""))"),"Cae Inc")</f>
        <v>Cae Inc</v>
      </c>
      <c r="E309" s="30" t="s">
        <v>839</v>
      </c>
      <c r="F309" s="33" t="str">
        <f>IFERROR(__xludf.DUMMYFUNCTION("( (GOOGLEFINANCE(C309, ""price"") - Q309) / Q309 ) / (R309 / 100)"),"Loading...")</f>
        <v>Loading...</v>
      </c>
      <c r="G309" s="20" t="str">
        <f>IFERROR(__xludf.DUMMYFUNCTION("AVERAGE(ARRAYFORMULA(100 * (QUERY(GOOGLEFINANCE(C309, ""high"", TODAY()-40, TODAY()), ""SELECT Col2 WHERE Col2 IS NOT NULL ORDER BY Col1 DESC LIMIT 20"", 0) / QUERY(GOOGLEFINANCE(C309, ""low"", TODAY()-40, TODAY()), ""SELECT Col2 WHERE Col2 IS NOT NULL OR"&amp;"DER BY Col1 DESC LIMIT 20"", 0) - 1)))"),"#N/A")</f>
        <v>#N/A</v>
      </c>
      <c r="H309" s="35" t="str">
        <f t="shared" si="6"/>
        <v/>
      </c>
      <c r="I309" s="35" t="str">
        <f t="shared" si="7"/>
        <v/>
      </c>
      <c r="J309" s="37" t="str">
        <f>IFERROR(__xludf.DUMMYFUNCTION("IFERROR(
  IF(C309="""",, 
    IFERROR(
      GOOGLEFINANCE(C309, ""price"") * GOOGLEFINANCE(C309, ""volumeavg""), 
      GOOGLEFINANCE(C309, ""price"") * AVERAGE(QUERY(GOOGLEFINANCE(C309, ""volume"", TODAY()-40, TODAY()), ""SELECT Col2 WHERE Col2 IS NOT "&amp;"NULL ORDER BY Col1 DESC LIMIT 20"", 0))
    )
  ), 
"""")"),"")</f>
        <v/>
      </c>
      <c r="K309" s="21" t="str">
        <f>IFERROR(__xludf.DUMMYFUNCTION("IFERROR(GOOGLEFINANCE(C309, ""changepct"") / 100, """")"),"")</f>
        <v/>
      </c>
      <c r="L309" s="21" t="str">
        <f>IFERROR(__xludf.DUMMYFUNCTION("IFERROR((GOOGLEFINANCE(C309, ""price"") / INDEX(GOOGLEFINANCE(C309, ""price"", TODAY()-7, TODAY()), 2, 2)) - 1, """")"),"")</f>
        <v/>
      </c>
      <c r="M309" s="21" t="str">
        <f>IFERROR(__xludf.DUMMYFUNCTION("IFERROR((GOOGLEFINANCE(C309, ""price"") / INDEX(GOOGLEFINANCE(C309, ""price"", EDATE(TODAY(), -1), TODAY()), 2, 2)) - 1, """")"),"")</f>
        <v/>
      </c>
      <c r="N309" s="21" t="str">
        <f>IFERROR(__xludf.DUMMYFUNCTION("IFERROR((GOOGLEFINANCE(C309, ""price"") / INDEX(GOOGLEFINANCE(C309, ""price"", EDATE(TODAY(), -3), TODAY()), 2, 2)) - 1, """")"),"")</f>
        <v/>
      </c>
      <c r="O309" s="21" t="str">
        <f>IFERROR(__xludf.DUMMYFUNCTION("IFERROR((GOOGLEFINANCE(C309, ""price"") / INDEX(GOOGLEFINANCE(C309, ""price"", EDATE(TODAY(), -6), TODAY()), 2, 2)) - 1, """")"),"")</f>
        <v/>
      </c>
      <c r="P309" s="21" t="str">
        <f>IFERROR(__xludf.DUMMYFUNCTION("IFERROR((GOOGLEFINANCE(C309, ""price"") / INDEX(GOOGLEFINANCE(C309, ""price"", EDATE(TODAY(), -12), TODAY()), 2, 2)) - 1, """")"),"")</f>
        <v/>
      </c>
      <c r="Q309" s="6" t="str">
        <f>IFERROR(__xludf.DUMMYFUNCTION("AVERAGE(QUERY(GOOGLEFINANCE(C309, ""price"", TODAY()-80, TODAY()), ""SELECT Col2 WHERE Col2 IS NOT NULL ORDER BY Col1 DESC LIMIT 50"", 0))"),"#N/A")</f>
        <v>#N/A</v>
      </c>
      <c r="R309" s="24" t="str">
        <f>IFERROR(__xludf.DUMMYFUNCTION("IFERROR(
  LET(
    data, QUERY(GOOGLEFINANCE(C309,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GOOGLEFINANCE(C309, ""price"")) * 100,
    IF(calc=0, G309, calc)
  ), 
G309)"),"#N/A")</f>
        <v>#N/A</v>
      </c>
      <c r="S309" s="8" t="s">
        <v>15</v>
      </c>
      <c r="T309" s="26" t="str">
        <f>IFERROR(__xludf.DUMMYFUNCTION("IFERROR(TRANSPOSE(QUERY(IFERROR(SORT(GOOGLEFINANCE(C309, ""price"", WORKDAY(TODAY(), -40), TODAY()), 1, FALSE)), ""select Col2 where Col2 is not null limit 22 label Col2 ''"", 0)), """")"),"")</f>
        <v/>
      </c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8"/>
      <c r="AO309" s="28"/>
      <c r="AP309" s="29"/>
      <c r="AQ309" s="29" t="str">
        <f t="shared" ref="AQ309:BL309" si="312">T309/T$2</f>
        <v>#N/A</v>
      </c>
      <c r="AR309" s="29" t="str">
        <f t="shared" si="312"/>
        <v>#DIV/0!</v>
      </c>
      <c r="AS309" s="29" t="str">
        <f t="shared" si="312"/>
        <v>#DIV/0!</v>
      </c>
      <c r="AT309" s="29" t="str">
        <f t="shared" si="312"/>
        <v>#DIV/0!</v>
      </c>
      <c r="AU309" s="29" t="str">
        <f t="shared" si="312"/>
        <v>#DIV/0!</v>
      </c>
      <c r="AV309" s="29" t="str">
        <f t="shared" si="312"/>
        <v>#DIV/0!</v>
      </c>
      <c r="AW309" s="29" t="str">
        <f t="shared" si="312"/>
        <v>#DIV/0!</v>
      </c>
      <c r="AX309" s="29" t="str">
        <f t="shared" si="312"/>
        <v>#DIV/0!</v>
      </c>
      <c r="AY309" s="29" t="str">
        <f t="shared" si="312"/>
        <v>#DIV/0!</v>
      </c>
      <c r="AZ309" s="29" t="str">
        <f t="shared" si="312"/>
        <v>#DIV/0!</v>
      </c>
      <c r="BA309" s="29" t="str">
        <f t="shared" si="312"/>
        <v>#DIV/0!</v>
      </c>
      <c r="BB309" s="29" t="str">
        <f t="shared" si="312"/>
        <v>#DIV/0!</v>
      </c>
      <c r="BC309" s="29" t="str">
        <f t="shared" si="312"/>
        <v>#DIV/0!</v>
      </c>
      <c r="BD309" s="29" t="str">
        <f t="shared" si="312"/>
        <v>#DIV/0!</v>
      </c>
      <c r="BE309" s="29" t="str">
        <f t="shared" si="312"/>
        <v>#DIV/0!</v>
      </c>
      <c r="BF309" s="29" t="str">
        <f t="shared" si="312"/>
        <v>#DIV/0!</v>
      </c>
      <c r="BG309" s="29" t="str">
        <f t="shared" si="312"/>
        <v>#DIV/0!</v>
      </c>
      <c r="BH309" s="29" t="str">
        <f t="shared" si="312"/>
        <v>#DIV/0!</v>
      </c>
      <c r="BI309" s="29" t="str">
        <f t="shared" si="312"/>
        <v>#DIV/0!</v>
      </c>
      <c r="BJ309" s="29" t="str">
        <f t="shared" si="312"/>
        <v>#DIV/0!</v>
      </c>
      <c r="BK309" s="29" t="str">
        <f t="shared" si="312"/>
        <v>#DIV/0!</v>
      </c>
      <c r="BL309" s="29" t="str">
        <f t="shared" si="312"/>
        <v>#DIV/0!</v>
      </c>
      <c r="BM309" s="29" t="str">
        <f t="shared" si="3"/>
        <v>#DIV/0!</v>
      </c>
    </row>
    <row r="310">
      <c r="A310" s="16" t="str">
        <f>IFERROR(__xludf.DUMMYFUNCTION("IFERROR(SPARKLINE(SORT(MAP(TRANSPOSE(AQ310:BL310), LAMBDA(val, IF(ISNUMBER(val), PERCENTRANK(AQ310:BL310, val)+0.01, 0))), SEQUENCE(COLUMNS(AQ310:BL310)), FALSE), {""charttype"",""column""; ""color"",""chartreuse""; ""ymin"", 0; ""ymax"", 1.01; ""highcolo"&amp;"r"", ""darkgreen""; ""lowcolor"", ""red""}), """")"),"")</f>
        <v/>
      </c>
      <c r="B310" s="17" t="str">
        <f t="shared" si="4"/>
        <v/>
      </c>
      <c r="C310" s="1" t="s">
        <v>2048</v>
      </c>
      <c r="D310" s="30" t="str">
        <f>IFERROR(__xludf.DUMMYFUNCTION("IFERROR(GOOGLEFINANCE(C310, ""NAME""))"),"Gibraltar Industries Inc")</f>
        <v>Gibraltar Industries Inc</v>
      </c>
      <c r="E310" s="30" t="s">
        <v>968</v>
      </c>
      <c r="F310" s="33" t="str">
        <f>IFERROR(__xludf.DUMMYFUNCTION("( (GOOGLEFINANCE(C310, ""price"") - Q310) / Q310 ) / (R310 / 100)"),"Loading...")</f>
        <v>Loading...</v>
      </c>
      <c r="G310" s="20" t="str">
        <f>IFERROR(__xludf.DUMMYFUNCTION("AVERAGE(ARRAYFORMULA(100 * (QUERY(GOOGLEFINANCE(C310, ""high"", TODAY()-40, TODAY()), ""SELECT Col2 WHERE Col2 IS NOT NULL ORDER BY Col1 DESC LIMIT 20"", 0) / QUERY(GOOGLEFINANCE(C310, ""low"", TODAY()-40, TODAY()), ""SELECT Col2 WHERE Col2 IS NOT NULL OR"&amp;"DER BY Col1 DESC LIMIT 20"", 0) - 1)))"),"#N/A")</f>
        <v>#N/A</v>
      </c>
      <c r="H310" s="35" t="str">
        <f t="shared" si="6"/>
        <v/>
      </c>
      <c r="I310" s="35" t="str">
        <f t="shared" si="7"/>
        <v/>
      </c>
      <c r="J310" s="37" t="str">
        <f>IFERROR(__xludf.DUMMYFUNCTION("IFERROR(
  IF(C310="""",, 
    IFERROR(
      GOOGLEFINANCE(C310, ""price"") * GOOGLEFINANCE(C310, ""volumeavg""), 
      GOOGLEFINANCE(C310, ""price"") * AVERAGE(QUERY(GOOGLEFINANCE(C310, ""volume"", TODAY()-40, TODAY()), ""SELECT Col2 WHERE Col2 IS NOT "&amp;"NULL ORDER BY Col1 DESC LIMIT 20"", 0))
    )
  ), 
"""")"),"")</f>
        <v/>
      </c>
      <c r="K310" s="21" t="str">
        <f>IFERROR(__xludf.DUMMYFUNCTION("IFERROR(GOOGLEFINANCE(C310, ""changepct"") / 100, """")"),"")</f>
        <v/>
      </c>
      <c r="L310" s="21" t="str">
        <f>IFERROR(__xludf.DUMMYFUNCTION("IFERROR((GOOGLEFINANCE(C310, ""price"") / INDEX(GOOGLEFINANCE(C310, ""price"", TODAY()-7, TODAY()), 2, 2)) - 1, """")"),"")</f>
        <v/>
      </c>
      <c r="M310" s="21" t="str">
        <f>IFERROR(__xludf.DUMMYFUNCTION("IFERROR((GOOGLEFINANCE(C310, ""price"") / INDEX(GOOGLEFINANCE(C310, ""price"", EDATE(TODAY(), -1), TODAY()), 2, 2)) - 1, """")"),"")</f>
        <v/>
      </c>
      <c r="N310" s="21" t="str">
        <f>IFERROR(__xludf.DUMMYFUNCTION("IFERROR((GOOGLEFINANCE(C310, ""price"") / INDEX(GOOGLEFINANCE(C310, ""price"", EDATE(TODAY(), -3), TODAY()), 2, 2)) - 1, """")"),"")</f>
        <v/>
      </c>
      <c r="O310" s="21" t="str">
        <f>IFERROR(__xludf.DUMMYFUNCTION("IFERROR((GOOGLEFINANCE(C310, ""price"") / INDEX(GOOGLEFINANCE(C310, ""price"", EDATE(TODAY(), -6), TODAY()), 2, 2)) - 1, """")"),"")</f>
        <v/>
      </c>
      <c r="P310" s="21" t="str">
        <f>IFERROR(__xludf.DUMMYFUNCTION("IFERROR((GOOGLEFINANCE(C310, ""price"") / INDEX(GOOGLEFINANCE(C310, ""price"", EDATE(TODAY(), -12), TODAY()), 2, 2)) - 1, """")"),"")</f>
        <v/>
      </c>
      <c r="Q310" s="6" t="str">
        <f>IFERROR(__xludf.DUMMYFUNCTION("AVERAGE(QUERY(GOOGLEFINANCE(C310, ""price"", TODAY()-80, TODAY()), ""SELECT Col2 WHERE Col2 IS NOT NULL ORDER BY Col1 DESC LIMIT 50"", 0))"),"#N/A")</f>
        <v>#N/A</v>
      </c>
      <c r="R310" s="24" t="str">
        <f>IFERROR(__xludf.DUMMYFUNCTION("IFERROR(
  LET(
    data, QUERY(GOOGLEFINANCE(C310,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GOOGLEFINANCE(C310, ""price"")) * 100,
    IF(calc=0, G310, calc)
  ), 
G310)"),"#N/A")</f>
        <v>#N/A</v>
      </c>
      <c r="S310" s="8" t="s">
        <v>15</v>
      </c>
      <c r="T310" s="26" t="str">
        <f>IFERROR(__xludf.DUMMYFUNCTION("IFERROR(TRANSPOSE(QUERY(IFERROR(SORT(GOOGLEFINANCE(C310, ""price"", WORKDAY(TODAY(), -40), TODAY()), 1, FALSE)), ""select Col2 where Col2 is not null limit 22 label Col2 ''"", 0)), """")"),"")</f>
        <v/>
      </c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8"/>
      <c r="AO310" s="28"/>
      <c r="AP310" s="29"/>
      <c r="AQ310" s="29" t="str">
        <f t="shared" ref="AQ310:BL310" si="313">T310/T$2</f>
        <v>#N/A</v>
      </c>
      <c r="AR310" s="29" t="str">
        <f t="shared" si="313"/>
        <v>#DIV/0!</v>
      </c>
      <c r="AS310" s="29" t="str">
        <f t="shared" si="313"/>
        <v>#DIV/0!</v>
      </c>
      <c r="AT310" s="29" t="str">
        <f t="shared" si="313"/>
        <v>#DIV/0!</v>
      </c>
      <c r="AU310" s="29" t="str">
        <f t="shared" si="313"/>
        <v>#DIV/0!</v>
      </c>
      <c r="AV310" s="29" t="str">
        <f t="shared" si="313"/>
        <v>#DIV/0!</v>
      </c>
      <c r="AW310" s="29" t="str">
        <f t="shared" si="313"/>
        <v>#DIV/0!</v>
      </c>
      <c r="AX310" s="29" t="str">
        <f t="shared" si="313"/>
        <v>#DIV/0!</v>
      </c>
      <c r="AY310" s="29" t="str">
        <f t="shared" si="313"/>
        <v>#DIV/0!</v>
      </c>
      <c r="AZ310" s="29" t="str">
        <f t="shared" si="313"/>
        <v>#DIV/0!</v>
      </c>
      <c r="BA310" s="29" t="str">
        <f t="shared" si="313"/>
        <v>#DIV/0!</v>
      </c>
      <c r="BB310" s="29" t="str">
        <f t="shared" si="313"/>
        <v>#DIV/0!</v>
      </c>
      <c r="BC310" s="29" t="str">
        <f t="shared" si="313"/>
        <v>#DIV/0!</v>
      </c>
      <c r="BD310" s="29" t="str">
        <f t="shared" si="313"/>
        <v>#DIV/0!</v>
      </c>
      <c r="BE310" s="29" t="str">
        <f t="shared" si="313"/>
        <v>#DIV/0!</v>
      </c>
      <c r="BF310" s="29" t="str">
        <f t="shared" si="313"/>
        <v>#DIV/0!</v>
      </c>
      <c r="BG310" s="29" t="str">
        <f t="shared" si="313"/>
        <v>#DIV/0!</v>
      </c>
      <c r="BH310" s="29" t="str">
        <f t="shared" si="313"/>
        <v>#DIV/0!</v>
      </c>
      <c r="BI310" s="29" t="str">
        <f t="shared" si="313"/>
        <v>#DIV/0!</v>
      </c>
      <c r="BJ310" s="29" t="str">
        <f t="shared" si="313"/>
        <v>#DIV/0!</v>
      </c>
      <c r="BK310" s="29" t="str">
        <f t="shared" si="313"/>
        <v>#DIV/0!</v>
      </c>
      <c r="BL310" s="29" t="str">
        <f t="shared" si="313"/>
        <v>#DIV/0!</v>
      </c>
      <c r="BM310" s="29" t="str">
        <f t="shared" si="3"/>
        <v>#DIV/0!</v>
      </c>
    </row>
    <row r="311">
      <c r="A311" s="16" t="str">
        <f>IFERROR(__xludf.DUMMYFUNCTION("IFERROR(SPARKLINE(SORT(MAP(TRANSPOSE(AQ311:BL311), LAMBDA(val, IF(ISNUMBER(val), PERCENTRANK(AQ311:BL311, val)+0.01, 0))), SEQUENCE(COLUMNS(AQ311:BL311)), FALSE), {""charttype"",""column""; ""color"",""chartreuse""; ""ymin"", 0; ""ymax"", 1.01; ""highcolo"&amp;"r"", ""darkgreen""; ""lowcolor"", ""red""}), """")"),"")</f>
        <v/>
      </c>
      <c r="B311" s="17" t="str">
        <f t="shared" si="4"/>
        <v/>
      </c>
      <c r="C311" s="1" t="s">
        <v>2051</v>
      </c>
      <c r="D311" s="30" t="str">
        <f>IFERROR(__xludf.DUMMYFUNCTION("IFERROR(GOOGLEFINANCE(C311, ""NAME""))"),"EVI Industries Inc")</f>
        <v>EVI Industries Inc</v>
      </c>
      <c r="E311" s="30" t="s">
        <v>829</v>
      </c>
      <c r="F311" s="33" t="str">
        <f>IFERROR(__xludf.DUMMYFUNCTION("( (GOOGLEFINANCE(C311, ""price"") - Q311) / Q311 ) / (R311 / 100)"),"Loading...")</f>
        <v>Loading...</v>
      </c>
      <c r="G311" s="20" t="str">
        <f>IFERROR(__xludf.DUMMYFUNCTION("AVERAGE(ARRAYFORMULA(100 * (QUERY(GOOGLEFINANCE(C311, ""high"", TODAY()-40, TODAY()), ""SELECT Col2 WHERE Col2 IS NOT NULL ORDER BY Col1 DESC LIMIT 20"", 0) / QUERY(GOOGLEFINANCE(C311, ""low"", TODAY()-40, TODAY()), ""SELECT Col2 WHERE Col2 IS NOT NULL OR"&amp;"DER BY Col1 DESC LIMIT 20"", 0) - 1)))"),"#N/A")</f>
        <v>#N/A</v>
      </c>
      <c r="H311" s="35" t="str">
        <f t="shared" si="6"/>
        <v/>
      </c>
      <c r="I311" s="35" t="str">
        <f t="shared" si="7"/>
        <v/>
      </c>
      <c r="J311" s="37" t="str">
        <f>IFERROR(__xludf.DUMMYFUNCTION("IFERROR(
  IF(C311="""",, 
    IFERROR(
      GOOGLEFINANCE(C311, ""price"") * GOOGLEFINANCE(C311, ""volumeavg""), 
      GOOGLEFINANCE(C311, ""price"") * AVERAGE(QUERY(GOOGLEFINANCE(C311, ""volume"", TODAY()-40, TODAY()), ""SELECT Col2 WHERE Col2 IS NOT "&amp;"NULL ORDER BY Col1 DESC LIMIT 20"", 0))
    )
  ), 
"""")"),"")</f>
        <v/>
      </c>
      <c r="K311" s="21" t="str">
        <f>IFERROR(__xludf.DUMMYFUNCTION("IFERROR(GOOGLEFINANCE(C311, ""changepct"") / 100, """")"),"")</f>
        <v/>
      </c>
      <c r="L311" s="21" t="str">
        <f>IFERROR(__xludf.DUMMYFUNCTION("IFERROR((GOOGLEFINANCE(C311, ""price"") / INDEX(GOOGLEFINANCE(C311, ""price"", TODAY()-7, TODAY()), 2, 2)) - 1, """")"),"")</f>
        <v/>
      </c>
      <c r="M311" s="21" t="str">
        <f>IFERROR(__xludf.DUMMYFUNCTION("IFERROR((GOOGLEFINANCE(C311, ""price"") / INDEX(GOOGLEFINANCE(C311, ""price"", EDATE(TODAY(), -1), TODAY()), 2, 2)) - 1, """")"),"")</f>
        <v/>
      </c>
      <c r="N311" s="21" t="str">
        <f>IFERROR(__xludf.DUMMYFUNCTION("IFERROR((GOOGLEFINANCE(C311, ""price"") / INDEX(GOOGLEFINANCE(C311, ""price"", EDATE(TODAY(), -3), TODAY()), 2, 2)) - 1, """")"),"")</f>
        <v/>
      </c>
      <c r="O311" s="21" t="str">
        <f>IFERROR(__xludf.DUMMYFUNCTION("IFERROR((GOOGLEFINANCE(C311, ""price"") / INDEX(GOOGLEFINANCE(C311, ""price"", EDATE(TODAY(), -6), TODAY()), 2, 2)) - 1, """")"),"")</f>
        <v/>
      </c>
      <c r="P311" s="21" t="str">
        <f>IFERROR(__xludf.DUMMYFUNCTION("IFERROR((GOOGLEFINANCE(C311, ""price"") / INDEX(GOOGLEFINANCE(C311, ""price"", EDATE(TODAY(), -12), TODAY()), 2, 2)) - 1, """")"),"")</f>
        <v/>
      </c>
      <c r="Q311" s="6" t="str">
        <f>IFERROR(__xludf.DUMMYFUNCTION("AVERAGE(QUERY(GOOGLEFINANCE(C311, ""price"", TODAY()-80, TODAY()), ""SELECT Col2 WHERE Col2 IS NOT NULL ORDER BY Col1 DESC LIMIT 50"", 0))"),"#N/A")</f>
        <v>#N/A</v>
      </c>
      <c r="R311" s="24" t="str">
        <f>IFERROR(__xludf.DUMMYFUNCTION("IFERROR(
  LET(
    data, QUERY(GOOGLEFINANCE(C311,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GOOGLEFINANCE(C311, ""price"")) * 100,
    IF(calc=0, G311, calc)
  ), 
G311)"),"#N/A")</f>
        <v>#N/A</v>
      </c>
      <c r="S311" s="8" t="s">
        <v>15</v>
      </c>
      <c r="T311" s="26" t="str">
        <f>IFERROR(__xludf.DUMMYFUNCTION("IFERROR(TRANSPOSE(QUERY(IFERROR(SORT(GOOGLEFINANCE(C311, ""price"", WORKDAY(TODAY(), -40), TODAY()), 1, FALSE)), ""select Col2 where Col2 is not null limit 22 label Col2 ''"", 0)), """")"),"")</f>
        <v/>
      </c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8"/>
      <c r="AO311" s="28"/>
      <c r="AP311" s="29"/>
      <c r="AQ311" s="29" t="str">
        <f t="shared" ref="AQ311:BL311" si="314">T311/T$2</f>
        <v>#N/A</v>
      </c>
      <c r="AR311" s="29" t="str">
        <f t="shared" si="314"/>
        <v>#DIV/0!</v>
      </c>
      <c r="AS311" s="29" t="str">
        <f t="shared" si="314"/>
        <v>#DIV/0!</v>
      </c>
      <c r="AT311" s="29" t="str">
        <f t="shared" si="314"/>
        <v>#DIV/0!</v>
      </c>
      <c r="AU311" s="29" t="str">
        <f t="shared" si="314"/>
        <v>#DIV/0!</v>
      </c>
      <c r="AV311" s="29" t="str">
        <f t="shared" si="314"/>
        <v>#DIV/0!</v>
      </c>
      <c r="AW311" s="29" t="str">
        <f t="shared" si="314"/>
        <v>#DIV/0!</v>
      </c>
      <c r="AX311" s="29" t="str">
        <f t="shared" si="314"/>
        <v>#DIV/0!</v>
      </c>
      <c r="AY311" s="29" t="str">
        <f t="shared" si="314"/>
        <v>#DIV/0!</v>
      </c>
      <c r="AZ311" s="29" t="str">
        <f t="shared" si="314"/>
        <v>#DIV/0!</v>
      </c>
      <c r="BA311" s="29" t="str">
        <f t="shared" si="314"/>
        <v>#DIV/0!</v>
      </c>
      <c r="BB311" s="29" t="str">
        <f t="shared" si="314"/>
        <v>#DIV/0!</v>
      </c>
      <c r="BC311" s="29" t="str">
        <f t="shared" si="314"/>
        <v>#DIV/0!</v>
      </c>
      <c r="BD311" s="29" t="str">
        <f t="shared" si="314"/>
        <v>#DIV/0!</v>
      </c>
      <c r="BE311" s="29" t="str">
        <f t="shared" si="314"/>
        <v>#DIV/0!</v>
      </c>
      <c r="BF311" s="29" t="str">
        <f t="shared" si="314"/>
        <v>#DIV/0!</v>
      </c>
      <c r="BG311" s="29" t="str">
        <f t="shared" si="314"/>
        <v>#DIV/0!</v>
      </c>
      <c r="BH311" s="29" t="str">
        <f t="shared" si="314"/>
        <v>#DIV/0!</v>
      </c>
      <c r="BI311" s="29" t="str">
        <f t="shared" si="314"/>
        <v>#DIV/0!</v>
      </c>
      <c r="BJ311" s="29" t="str">
        <f t="shared" si="314"/>
        <v>#DIV/0!</v>
      </c>
      <c r="BK311" s="29" t="str">
        <f t="shared" si="314"/>
        <v>#DIV/0!</v>
      </c>
      <c r="BL311" s="29" t="str">
        <f t="shared" si="314"/>
        <v>#DIV/0!</v>
      </c>
      <c r="BM311" s="29" t="str">
        <f t="shared" si="3"/>
        <v>#DIV/0!</v>
      </c>
    </row>
    <row r="312">
      <c r="A312" s="16" t="str">
        <f>IFERROR(__xludf.DUMMYFUNCTION("IFERROR(SPARKLINE(SORT(MAP(TRANSPOSE(AQ312:BL312), LAMBDA(val, IF(ISNUMBER(val), PERCENTRANK(AQ312:BL312, val)+0.01, 0))), SEQUENCE(COLUMNS(AQ312:BL312)), FALSE), {""charttype"",""column""; ""color"",""chartreuse""; ""ymin"", 0; ""ymax"", 1.01; ""highcolo"&amp;"r"", ""darkgreen""; ""lowcolor"", ""red""}), """")"),"")</f>
        <v/>
      </c>
      <c r="B312" s="17" t="str">
        <f t="shared" si="4"/>
        <v/>
      </c>
      <c r="C312" s="1" t="s">
        <v>2054</v>
      </c>
      <c r="D312" s="30" t="str">
        <f>IFERROR(__xludf.DUMMYFUNCTION("IFERROR(GOOGLEFINANCE(C312, ""NAME""))"),"Korn Ferry")</f>
        <v>Korn Ferry</v>
      </c>
      <c r="E312" s="30" t="s">
        <v>1351</v>
      </c>
      <c r="F312" s="33" t="str">
        <f>IFERROR(__xludf.DUMMYFUNCTION("( (GOOGLEFINANCE(C312, ""price"") - Q312) / Q312 ) / (R312 / 100)"),"Loading...")</f>
        <v>Loading...</v>
      </c>
      <c r="G312" s="20" t="str">
        <f>IFERROR(__xludf.DUMMYFUNCTION("AVERAGE(ARRAYFORMULA(100 * (QUERY(GOOGLEFINANCE(C312, ""high"", TODAY()-40, TODAY()), ""SELECT Col2 WHERE Col2 IS NOT NULL ORDER BY Col1 DESC LIMIT 20"", 0) / QUERY(GOOGLEFINANCE(C312, ""low"", TODAY()-40, TODAY()), ""SELECT Col2 WHERE Col2 IS NOT NULL OR"&amp;"DER BY Col1 DESC LIMIT 20"", 0) - 1)))"),"#N/A")</f>
        <v>#N/A</v>
      </c>
      <c r="H312" s="35" t="str">
        <f t="shared" si="6"/>
        <v/>
      </c>
      <c r="I312" s="35" t="str">
        <f t="shared" si="7"/>
        <v/>
      </c>
      <c r="J312" s="37" t="str">
        <f>IFERROR(__xludf.DUMMYFUNCTION("IFERROR(
  IF(C312="""",, 
    IFERROR(
      GOOGLEFINANCE(C312, ""price"") * GOOGLEFINANCE(C312, ""volumeavg""), 
      GOOGLEFINANCE(C312, ""price"") * AVERAGE(QUERY(GOOGLEFINANCE(C312, ""volume"", TODAY()-40, TODAY()), ""SELECT Col2 WHERE Col2 IS NOT "&amp;"NULL ORDER BY Col1 DESC LIMIT 20"", 0))
    )
  ), 
"""")"),"")</f>
        <v/>
      </c>
      <c r="K312" s="21" t="str">
        <f>IFERROR(__xludf.DUMMYFUNCTION("IFERROR(GOOGLEFINANCE(C312, ""changepct"") / 100, """")"),"")</f>
        <v/>
      </c>
      <c r="L312" s="21" t="str">
        <f>IFERROR(__xludf.DUMMYFUNCTION("IFERROR((GOOGLEFINANCE(C312, ""price"") / INDEX(GOOGLEFINANCE(C312, ""price"", TODAY()-7, TODAY()), 2, 2)) - 1, """")"),"")</f>
        <v/>
      </c>
      <c r="M312" s="21" t="str">
        <f>IFERROR(__xludf.DUMMYFUNCTION("IFERROR((GOOGLEFINANCE(C312, ""price"") / INDEX(GOOGLEFINANCE(C312, ""price"", EDATE(TODAY(), -1), TODAY()), 2, 2)) - 1, """")"),"")</f>
        <v/>
      </c>
      <c r="N312" s="21" t="str">
        <f>IFERROR(__xludf.DUMMYFUNCTION("IFERROR((GOOGLEFINANCE(C312, ""price"") / INDEX(GOOGLEFINANCE(C312, ""price"", EDATE(TODAY(), -3), TODAY()), 2, 2)) - 1, """")"),"")</f>
        <v/>
      </c>
      <c r="O312" s="21" t="str">
        <f>IFERROR(__xludf.DUMMYFUNCTION("IFERROR((GOOGLEFINANCE(C312, ""price"") / INDEX(GOOGLEFINANCE(C312, ""price"", EDATE(TODAY(), -6), TODAY()), 2, 2)) - 1, """")"),"")</f>
        <v/>
      </c>
      <c r="P312" s="21" t="str">
        <f>IFERROR(__xludf.DUMMYFUNCTION("IFERROR((GOOGLEFINANCE(C312, ""price"") / INDEX(GOOGLEFINANCE(C312, ""price"", EDATE(TODAY(), -12), TODAY()), 2, 2)) - 1, """")"),"")</f>
        <v/>
      </c>
      <c r="Q312" s="6" t="str">
        <f>IFERROR(__xludf.DUMMYFUNCTION("AVERAGE(QUERY(GOOGLEFINANCE(C312, ""price"", TODAY()-80, TODAY()), ""SELECT Col2 WHERE Col2 IS NOT NULL ORDER BY Col1 DESC LIMIT 50"", 0))"),"#N/A")</f>
        <v>#N/A</v>
      </c>
      <c r="R312" s="24" t="str">
        <f>IFERROR(__xludf.DUMMYFUNCTION("IFERROR(
  LET(
    data, QUERY(GOOGLEFINANCE(C312,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GOOGLEFINANCE(C312, ""price"")) * 100,
    IF(calc=0, G312, calc)
  ), 
G312)"),"#N/A")</f>
        <v>#N/A</v>
      </c>
      <c r="S312" s="8" t="s">
        <v>15</v>
      </c>
      <c r="T312" s="26" t="str">
        <f>IFERROR(__xludf.DUMMYFUNCTION("IFERROR(TRANSPOSE(QUERY(IFERROR(SORT(GOOGLEFINANCE(C312, ""price"", WORKDAY(TODAY(), -40), TODAY()), 1, FALSE)), ""select Col2 where Col2 is not null limit 22 label Col2 ''"", 0)), """")"),"")</f>
        <v/>
      </c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8"/>
      <c r="AO312" s="28"/>
      <c r="AP312" s="29"/>
      <c r="AQ312" s="29" t="str">
        <f t="shared" ref="AQ312:BL312" si="315">T312/T$2</f>
        <v>#N/A</v>
      </c>
      <c r="AR312" s="29" t="str">
        <f t="shared" si="315"/>
        <v>#DIV/0!</v>
      </c>
      <c r="AS312" s="29" t="str">
        <f t="shared" si="315"/>
        <v>#DIV/0!</v>
      </c>
      <c r="AT312" s="29" t="str">
        <f t="shared" si="315"/>
        <v>#DIV/0!</v>
      </c>
      <c r="AU312" s="29" t="str">
        <f t="shared" si="315"/>
        <v>#DIV/0!</v>
      </c>
      <c r="AV312" s="29" t="str">
        <f t="shared" si="315"/>
        <v>#DIV/0!</v>
      </c>
      <c r="AW312" s="29" t="str">
        <f t="shared" si="315"/>
        <v>#DIV/0!</v>
      </c>
      <c r="AX312" s="29" t="str">
        <f t="shared" si="315"/>
        <v>#DIV/0!</v>
      </c>
      <c r="AY312" s="29" t="str">
        <f t="shared" si="315"/>
        <v>#DIV/0!</v>
      </c>
      <c r="AZ312" s="29" t="str">
        <f t="shared" si="315"/>
        <v>#DIV/0!</v>
      </c>
      <c r="BA312" s="29" t="str">
        <f t="shared" si="315"/>
        <v>#DIV/0!</v>
      </c>
      <c r="BB312" s="29" t="str">
        <f t="shared" si="315"/>
        <v>#DIV/0!</v>
      </c>
      <c r="BC312" s="29" t="str">
        <f t="shared" si="315"/>
        <v>#DIV/0!</v>
      </c>
      <c r="BD312" s="29" t="str">
        <f t="shared" si="315"/>
        <v>#DIV/0!</v>
      </c>
      <c r="BE312" s="29" t="str">
        <f t="shared" si="315"/>
        <v>#DIV/0!</v>
      </c>
      <c r="BF312" s="29" t="str">
        <f t="shared" si="315"/>
        <v>#DIV/0!</v>
      </c>
      <c r="BG312" s="29" t="str">
        <f t="shared" si="315"/>
        <v>#DIV/0!</v>
      </c>
      <c r="BH312" s="29" t="str">
        <f t="shared" si="315"/>
        <v>#DIV/0!</v>
      </c>
      <c r="BI312" s="29" t="str">
        <f t="shared" si="315"/>
        <v>#DIV/0!</v>
      </c>
      <c r="BJ312" s="29" t="str">
        <f t="shared" si="315"/>
        <v>#DIV/0!</v>
      </c>
      <c r="BK312" s="29" t="str">
        <f t="shared" si="315"/>
        <v>#DIV/0!</v>
      </c>
      <c r="BL312" s="29" t="str">
        <f t="shared" si="315"/>
        <v>#DIV/0!</v>
      </c>
      <c r="BM312" s="29" t="str">
        <f t="shared" si="3"/>
        <v>#DIV/0!</v>
      </c>
    </row>
    <row r="313">
      <c r="A313" s="16" t="str">
        <f>IFERROR(__xludf.DUMMYFUNCTION("IFERROR(SPARKLINE(SORT(MAP(TRANSPOSE(AQ313:BL313), LAMBDA(val, IF(ISNUMBER(val), PERCENTRANK(AQ313:BL313, val)+0.01, 0))), SEQUENCE(COLUMNS(AQ313:BL313)), FALSE), {""charttype"",""column""; ""color"",""chartreuse""; ""ymin"", 0; ""ymax"", 1.01; ""highcolo"&amp;"r"", ""darkgreen""; ""lowcolor"", ""red""}), """")"),"")</f>
        <v/>
      </c>
      <c r="B313" s="17" t="str">
        <f t="shared" si="4"/>
        <v/>
      </c>
      <c r="C313" s="1" t="s">
        <v>2056</v>
      </c>
      <c r="D313" s="30" t="str">
        <f>IFERROR(__xludf.DUMMYFUNCTION("IFERROR(GOOGLEFINANCE(C313, ""NAME""))"),"U-Haul Holding Co")</f>
        <v>U-Haul Holding Co</v>
      </c>
      <c r="E313" s="30" t="s">
        <v>888</v>
      </c>
      <c r="F313" s="33" t="str">
        <f>IFERROR(__xludf.DUMMYFUNCTION("( (GOOGLEFINANCE(C313, ""price"") - Q313) / Q313 ) / (R313 / 100)"),"Loading...")</f>
        <v>Loading...</v>
      </c>
      <c r="G313" s="20" t="str">
        <f>IFERROR(__xludf.DUMMYFUNCTION("AVERAGE(ARRAYFORMULA(100 * (QUERY(GOOGLEFINANCE(C313, ""high"", TODAY()-40, TODAY()), ""SELECT Col2 WHERE Col2 IS NOT NULL ORDER BY Col1 DESC LIMIT 20"", 0) / QUERY(GOOGLEFINANCE(C313, ""low"", TODAY()-40, TODAY()), ""SELECT Col2 WHERE Col2 IS NOT NULL OR"&amp;"DER BY Col1 DESC LIMIT 20"", 0) - 1)))"),"#N/A")</f>
        <v>#N/A</v>
      </c>
      <c r="H313" s="35" t="str">
        <f t="shared" si="6"/>
        <v/>
      </c>
      <c r="I313" s="35" t="str">
        <f t="shared" si="7"/>
        <v/>
      </c>
      <c r="J313" s="37" t="str">
        <f>IFERROR(__xludf.DUMMYFUNCTION("IFERROR(
  IF(C313="""",, 
    IFERROR(
      GOOGLEFINANCE(C313, ""price"") * GOOGLEFINANCE(C313, ""volumeavg""), 
      GOOGLEFINANCE(C313, ""price"") * AVERAGE(QUERY(GOOGLEFINANCE(C313, ""volume"", TODAY()-40, TODAY()), ""SELECT Col2 WHERE Col2 IS NOT "&amp;"NULL ORDER BY Col1 DESC LIMIT 20"", 0))
    )
  ), 
"""")"),"")</f>
        <v/>
      </c>
      <c r="K313" s="21" t="str">
        <f>IFERROR(__xludf.DUMMYFUNCTION("IFERROR(GOOGLEFINANCE(C313, ""changepct"") / 100, """")"),"")</f>
        <v/>
      </c>
      <c r="L313" s="21" t="str">
        <f>IFERROR(__xludf.DUMMYFUNCTION("IFERROR((GOOGLEFINANCE(C313, ""price"") / INDEX(GOOGLEFINANCE(C313, ""price"", TODAY()-7, TODAY()), 2, 2)) - 1, """")"),"")</f>
        <v/>
      </c>
      <c r="M313" s="21" t="str">
        <f>IFERROR(__xludf.DUMMYFUNCTION("IFERROR((GOOGLEFINANCE(C313, ""price"") / INDEX(GOOGLEFINANCE(C313, ""price"", EDATE(TODAY(), -1), TODAY()), 2, 2)) - 1, """")"),"")</f>
        <v/>
      </c>
      <c r="N313" s="21" t="str">
        <f>IFERROR(__xludf.DUMMYFUNCTION("IFERROR((GOOGLEFINANCE(C313, ""price"") / INDEX(GOOGLEFINANCE(C313, ""price"", EDATE(TODAY(), -3), TODAY()), 2, 2)) - 1, """")"),"")</f>
        <v/>
      </c>
      <c r="O313" s="21" t="str">
        <f>IFERROR(__xludf.DUMMYFUNCTION("IFERROR((GOOGLEFINANCE(C313, ""price"") / INDEX(GOOGLEFINANCE(C313, ""price"", EDATE(TODAY(), -6), TODAY()), 2, 2)) - 1, """")"),"")</f>
        <v/>
      </c>
      <c r="P313" s="21" t="str">
        <f>IFERROR(__xludf.DUMMYFUNCTION("IFERROR((GOOGLEFINANCE(C313, ""price"") / INDEX(GOOGLEFINANCE(C313, ""price"", EDATE(TODAY(), -12), TODAY()), 2, 2)) - 1, """")"),"")</f>
        <v/>
      </c>
      <c r="Q313" s="6" t="str">
        <f>IFERROR(__xludf.DUMMYFUNCTION("AVERAGE(QUERY(GOOGLEFINANCE(C313, ""price"", TODAY()-80, TODAY()), ""SELECT Col2 WHERE Col2 IS NOT NULL ORDER BY Col1 DESC LIMIT 50"", 0))"),"#N/A")</f>
        <v>#N/A</v>
      </c>
      <c r="R313" s="24" t="str">
        <f>IFERROR(__xludf.DUMMYFUNCTION("IFERROR(
  LET(
    data, QUERY(GOOGLEFINANCE(C313,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GOOGLEFINANCE(C313, ""price"")) * 100,
    IF(calc=0, G313, calc)
  ), 
G313)"),"#N/A")</f>
        <v>#N/A</v>
      </c>
      <c r="S313" s="8" t="s">
        <v>15</v>
      </c>
      <c r="T313" s="26" t="str">
        <f>IFERROR(__xludf.DUMMYFUNCTION("IFERROR(TRANSPOSE(QUERY(IFERROR(SORT(GOOGLEFINANCE(C313, ""price"", WORKDAY(TODAY(), -40), TODAY()), 1, FALSE)), ""select Col2 where Col2 is not null limit 22 label Col2 ''"", 0)), """")"),"")</f>
        <v/>
      </c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8"/>
      <c r="AO313" s="28"/>
      <c r="AP313" s="29"/>
      <c r="AQ313" s="29" t="str">
        <f t="shared" ref="AQ313:BL313" si="316">T313/T$2</f>
        <v>#N/A</v>
      </c>
      <c r="AR313" s="29" t="str">
        <f t="shared" si="316"/>
        <v>#DIV/0!</v>
      </c>
      <c r="AS313" s="29" t="str">
        <f t="shared" si="316"/>
        <v>#DIV/0!</v>
      </c>
      <c r="AT313" s="29" t="str">
        <f t="shared" si="316"/>
        <v>#DIV/0!</v>
      </c>
      <c r="AU313" s="29" t="str">
        <f t="shared" si="316"/>
        <v>#DIV/0!</v>
      </c>
      <c r="AV313" s="29" t="str">
        <f t="shared" si="316"/>
        <v>#DIV/0!</v>
      </c>
      <c r="AW313" s="29" t="str">
        <f t="shared" si="316"/>
        <v>#DIV/0!</v>
      </c>
      <c r="AX313" s="29" t="str">
        <f t="shared" si="316"/>
        <v>#DIV/0!</v>
      </c>
      <c r="AY313" s="29" t="str">
        <f t="shared" si="316"/>
        <v>#DIV/0!</v>
      </c>
      <c r="AZ313" s="29" t="str">
        <f t="shared" si="316"/>
        <v>#DIV/0!</v>
      </c>
      <c r="BA313" s="29" t="str">
        <f t="shared" si="316"/>
        <v>#DIV/0!</v>
      </c>
      <c r="BB313" s="29" t="str">
        <f t="shared" si="316"/>
        <v>#DIV/0!</v>
      </c>
      <c r="BC313" s="29" t="str">
        <f t="shared" si="316"/>
        <v>#DIV/0!</v>
      </c>
      <c r="BD313" s="29" t="str">
        <f t="shared" si="316"/>
        <v>#DIV/0!</v>
      </c>
      <c r="BE313" s="29" t="str">
        <f t="shared" si="316"/>
        <v>#DIV/0!</v>
      </c>
      <c r="BF313" s="29" t="str">
        <f t="shared" si="316"/>
        <v>#DIV/0!</v>
      </c>
      <c r="BG313" s="29" t="str">
        <f t="shared" si="316"/>
        <v>#DIV/0!</v>
      </c>
      <c r="BH313" s="29" t="str">
        <f t="shared" si="316"/>
        <v>#DIV/0!</v>
      </c>
      <c r="BI313" s="29" t="str">
        <f t="shared" si="316"/>
        <v>#DIV/0!</v>
      </c>
      <c r="BJ313" s="29" t="str">
        <f t="shared" si="316"/>
        <v>#DIV/0!</v>
      </c>
      <c r="BK313" s="29" t="str">
        <f t="shared" si="316"/>
        <v>#DIV/0!</v>
      </c>
      <c r="BL313" s="29" t="str">
        <f t="shared" si="316"/>
        <v>#DIV/0!</v>
      </c>
      <c r="BM313" s="29" t="str">
        <f t="shared" si="3"/>
        <v>#DIV/0!</v>
      </c>
    </row>
    <row r="314">
      <c r="A314" s="16" t="str">
        <f>IFERROR(__xludf.DUMMYFUNCTION("IFERROR(SPARKLINE(SORT(MAP(TRANSPOSE(AQ314:BL314), LAMBDA(val, IF(ISNUMBER(val), PERCENTRANK(AQ314:BL314, val)+0.01, 0))), SEQUENCE(COLUMNS(AQ314:BL314)), FALSE), {""charttype"",""column""; ""color"",""chartreuse""; ""ymin"", 0; ""ymax"", 1.01; ""highcolo"&amp;"r"", ""darkgreen""; ""lowcolor"", ""red""}), """")"),"")</f>
        <v/>
      </c>
      <c r="B314" s="17" t="str">
        <f t="shared" si="4"/>
        <v/>
      </c>
      <c r="C314" s="1" t="s">
        <v>2059</v>
      </c>
      <c r="D314" s="30" t="str">
        <f>IFERROR(__xludf.DUMMYFUNCTION("IFERROR(GOOGLEFINANCE(C314, ""NAME""))"),"Griffon Corp")</f>
        <v>Griffon Corp</v>
      </c>
      <c r="E314" s="30" t="s">
        <v>968</v>
      </c>
      <c r="F314" s="33" t="str">
        <f>IFERROR(__xludf.DUMMYFUNCTION("( (GOOGLEFINANCE(C314, ""price"") - Q314) / Q314 ) / (R314 / 100)"),"Loading...")</f>
        <v>Loading...</v>
      </c>
      <c r="G314" s="20" t="str">
        <f>IFERROR(__xludf.DUMMYFUNCTION("AVERAGE(ARRAYFORMULA(100 * (QUERY(GOOGLEFINANCE(C314, ""high"", TODAY()-40, TODAY()), ""SELECT Col2 WHERE Col2 IS NOT NULL ORDER BY Col1 DESC LIMIT 20"", 0) / QUERY(GOOGLEFINANCE(C314, ""low"", TODAY()-40, TODAY()), ""SELECT Col2 WHERE Col2 IS NOT NULL OR"&amp;"DER BY Col1 DESC LIMIT 20"", 0) - 1)))"),"#N/A")</f>
        <v>#N/A</v>
      </c>
      <c r="H314" s="35" t="str">
        <f t="shared" si="6"/>
        <v/>
      </c>
      <c r="I314" s="35" t="str">
        <f t="shared" si="7"/>
        <v/>
      </c>
      <c r="J314" s="37" t="str">
        <f>IFERROR(__xludf.DUMMYFUNCTION("IFERROR(
  IF(C314="""",, 
    IFERROR(
      GOOGLEFINANCE(C314, ""price"") * GOOGLEFINANCE(C314, ""volumeavg""), 
      GOOGLEFINANCE(C314, ""price"") * AVERAGE(QUERY(GOOGLEFINANCE(C314, ""volume"", TODAY()-40, TODAY()), ""SELECT Col2 WHERE Col2 IS NOT "&amp;"NULL ORDER BY Col1 DESC LIMIT 20"", 0))
    )
  ), 
"""")"),"")</f>
        <v/>
      </c>
      <c r="K314" s="21" t="str">
        <f>IFERROR(__xludf.DUMMYFUNCTION("IFERROR(GOOGLEFINANCE(C314, ""changepct"") / 100, """")"),"")</f>
        <v/>
      </c>
      <c r="L314" s="21" t="str">
        <f>IFERROR(__xludf.DUMMYFUNCTION("IFERROR((GOOGLEFINANCE(C314, ""price"") / INDEX(GOOGLEFINANCE(C314, ""price"", TODAY()-7, TODAY()), 2, 2)) - 1, """")"),"")</f>
        <v/>
      </c>
      <c r="M314" s="21" t="str">
        <f>IFERROR(__xludf.DUMMYFUNCTION("IFERROR((GOOGLEFINANCE(C314, ""price"") / INDEX(GOOGLEFINANCE(C314, ""price"", EDATE(TODAY(), -1), TODAY()), 2, 2)) - 1, """")"),"")</f>
        <v/>
      </c>
      <c r="N314" s="21" t="str">
        <f>IFERROR(__xludf.DUMMYFUNCTION("IFERROR((GOOGLEFINANCE(C314, ""price"") / INDEX(GOOGLEFINANCE(C314, ""price"", EDATE(TODAY(), -3), TODAY()), 2, 2)) - 1, """")"),"")</f>
        <v/>
      </c>
      <c r="O314" s="21" t="str">
        <f>IFERROR(__xludf.DUMMYFUNCTION("IFERROR((GOOGLEFINANCE(C314, ""price"") / INDEX(GOOGLEFINANCE(C314, ""price"", EDATE(TODAY(), -6), TODAY()), 2, 2)) - 1, """")"),"")</f>
        <v/>
      </c>
      <c r="P314" s="21" t="str">
        <f>IFERROR(__xludf.DUMMYFUNCTION("IFERROR((GOOGLEFINANCE(C314, ""price"") / INDEX(GOOGLEFINANCE(C314, ""price"", EDATE(TODAY(), -12), TODAY()), 2, 2)) - 1, """")"),"")</f>
        <v/>
      </c>
      <c r="Q314" s="6" t="str">
        <f>IFERROR(__xludf.DUMMYFUNCTION("AVERAGE(QUERY(GOOGLEFINANCE(C314, ""price"", TODAY()-80, TODAY()), ""SELECT Col2 WHERE Col2 IS NOT NULL ORDER BY Col1 DESC LIMIT 50"", 0))"),"#N/A")</f>
        <v>#N/A</v>
      </c>
      <c r="R314" s="24" t="str">
        <f>IFERROR(__xludf.DUMMYFUNCTION("IFERROR(
  LET(
    data, QUERY(GOOGLEFINANCE(C314,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GOOGLEFINANCE(C314, ""price"")) * 100,
    IF(calc=0, G314, calc)
  ), 
G314)"),"#N/A")</f>
        <v>#N/A</v>
      </c>
      <c r="S314" s="8" t="s">
        <v>15</v>
      </c>
      <c r="T314" s="26" t="str">
        <f>IFERROR(__xludf.DUMMYFUNCTION("IFERROR(TRANSPOSE(QUERY(IFERROR(SORT(GOOGLEFINANCE(C314, ""price"", WORKDAY(TODAY(), -40), TODAY()), 1, FALSE)), ""select Col2 where Col2 is not null limit 22 label Col2 ''"", 0)), """")"),"")</f>
        <v/>
      </c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8"/>
      <c r="AO314" s="28"/>
      <c r="AP314" s="29"/>
      <c r="AQ314" s="29" t="str">
        <f t="shared" ref="AQ314:BL314" si="317">T314/T$2</f>
        <v>#N/A</v>
      </c>
      <c r="AR314" s="29" t="str">
        <f t="shared" si="317"/>
        <v>#DIV/0!</v>
      </c>
      <c r="AS314" s="29" t="str">
        <f t="shared" si="317"/>
        <v>#DIV/0!</v>
      </c>
      <c r="AT314" s="29" t="str">
        <f t="shared" si="317"/>
        <v>#DIV/0!</v>
      </c>
      <c r="AU314" s="29" t="str">
        <f t="shared" si="317"/>
        <v>#DIV/0!</v>
      </c>
      <c r="AV314" s="29" t="str">
        <f t="shared" si="317"/>
        <v>#DIV/0!</v>
      </c>
      <c r="AW314" s="29" t="str">
        <f t="shared" si="317"/>
        <v>#DIV/0!</v>
      </c>
      <c r="AX314" s="29" t="str">
        <f t="shared" si="317"/>
        <v>#DIV/0!</v>
      </c>
      <c r="AY314" s="29" t="str">
        <f t="shared" si="317"/>
        <v>#DIV/0!</v>
      </c>
      <c r="AZ314" s="29" t="str">
        <f t="shared" si="317"/>
        <v>#DIV/0!</v>
      </c>
      <c r="BA314" s="29" t="str">
        <f t="shared" si="317"/>
        <v>#DIV/0!</v>
      </c>
      <c r="BB314" s="29" t="str">
        <f t="shared" si="317"/>
        <v>#DIV/0!</v>
      </c>
      <c r="BC314" s="29" t="str">
        <f t="shared" si="317"/>
        <v>#DIV/0!</v>
      </c>
      <c r="BD314" s="29" t="str">
        <f t="shared" si="317"/>
        <v>#DIV/0!</v>
      </c>
      <c r="BE314" s="29" t="str">
        <f t="shared" si="317"/>
        <v>#DIV/0!</v>
      </c>
      <c r="BF314" s="29" t="str">
        <f t="shared" si="317"/>
        <v>#DIV/0!</v>
      </c>
      <c r="BG314" s="29" t="str">
        <f t="shared" si="317"/>
        <v>#DIV/0!</v>
      </c>
      <c r="BH314" s="29" t="str">
        <f t="shared" si="317"/>
        <v>#DIV/0!</v>
      </c>
      <c r="BI314" s="29" t="str">
        <f t="shared" si="317"/>
        <v>#DIV/0!</v>
      </c>
      <c r="BJ314" s="29" t="str">
        <f t="shared" si="317"/>
        <v>#DIV/0!</v>
      </c>
      <c r="BK314" s="29" t="str">
        <f t="shared" si="317"/>
        <v>#DIV/0!</v>
      </c>
      <c r="BL314" s="29" t="str">
        <f t="shared" si="317"/>
        <v>#DIV/0!</v>
      </c>
      <c r="BM314" s="29" t="str">
        <f t="shared" si="3"/>
        <v>#DIV/0!</v>
      </c>
    </row>
    <row r="315">
      <c r="A315" s="16" t="str">
        <f>IFERROR(__xludf.DUMMYFUNCTION("IFERROR(SPARKLINE(SORT(MAP(TRANSPOSE(AQ315:BL315), LAMBDA(val, IF(ISNUMBER(val), PERCENTRANK(AQ315:BL315, val)+0.01, 0))), SEQUENCE(COLUMNS(AQ315:BL315)), FALSE), {""charttype"",""column""; ""color"",""chartreuse""; ""ymin"", 0; ""ymax"", 1.01; ""highcolo"&amp;"r"", ""darkgreen""; ""lowcolor"", ""red""}), """")"),"")</f>
        <v/>
      </c>
      <c r="B315" s="17" t="str">
        <f t="shared" si="4"/>
        <v/>
      </c>
      <c r="C315" s="1" t="s">
        <v>2064</v>
      </c>
      <c r="D315" s="30" t="str">
        <f>IFERROR(__xludf.DUMMYFUNCTION("IFERROR(GOOGLEFINANCE(C315, ""NAME""))"),"Hertz Global Holdings Inc")</f>
        <v>Hertz Global Holdings Inc</v>
      </c>
      <c r="E315" s="30" t="s">
        <v>888</v>
      </c>
      <c r="F315" s="33" t="str">
        <f>IFERROR(__xludf.DUMMYFUNCTION("( (GOOGLEFINANCE(C315, ""price"") - Q315) / Q315 ) / (R315 / 100)"),"Loading...")</f>
        <v>Loading...</v>
      </c>
      <c r="G315" s="20" t="str">
        <f>IFERROR(__xludf.DUMMYFUNCTION("AVERAGE(ARRAYFORMULA(100 * (QUERY(GOOGLEFINANCE(C315, ""high"", TODAY()-40, TODAY()), ""SELECT Col2 WHERE Col2 IS NOT NULL ORDER BY Col1 DESC LIMIT 20"", 0) / QUERY(GOOGLEFINANCE(C315, ""low"", TODAY()-40, TODAY()), ""SELECT Col2 WHERE Col2 IS NOT NULL OR"&amp;"DER BY Col1 DESC LIMIT 20"", 0) - 1)))"),"#N/A")</f>
        <v>#N/A</v>
      </c>
      <c r="H315" s="35" t="str">
        <f t="shared" si="6"/>
        <v/>
      </c>
      <c r="I315" s="35" t="str">
        <f t="shared" si="7"/>
        <v/>
      </c>
      <c r="J315" s="37" t="str">
        <f>IFERROR(__xludf.DUMMYFUNCTION("IFERROR(
  IF(C315="""",, 
    IFERROR(
      GOOGLEFINANCE(C315, ""price"") * GOOGLEFINANCE(C315, ""volumeavg""), 
      GOOGLEFINANCE(C315, ""price"") * AVERAGE(QUERY(GOOGLEFINANCE(C315, ""volume"", TODAY()-40, TODAY()), ""SELECT Col2 WHERE Col2 IS NOT "&amp;"NULL ORDER BY Col1 DESC LIMIT 20"", 0))
    )
  ), 
"""")"),"")</f>
        <v/>
      </c>
      <c r="K315" s="21" t="str">
        <f>IFERROR(__xludf.DUMMYFUNCTION("IFERROR(GOOGLEFINANCE(C315, ""changepct"") / 100, """")"),"")</f>
        <v/>
      </c>
      <c r="L315" s="21" t="str">
        <f>IFERROR(__xludf.DUMMYFUNCTION("IFERROR((GOOGLEFINANCE(C315, ""price"") / INDEX(GOOGLEFINANCE(C315, ""price"", TODAY()-7, TODAY()), 2, 2)) - 1, """")"),"")</f>
        <v/>
      </c>
      <c r="M315" s="21" t="str">
        <f>IFERROR(__xludf.DUMMYFUNCTION("IFERROR((GOOGLEFINANCE(C315, ""price"") / INDEX(GOOGLEFINANCE(C315, ""price"", EDATE(TODAY(), -1), TODAY()), 2, 2)) - 1, """")"),"")</f>
        <v/>
      </c>
      <c r="N315" s="21" t="str">
        <f>IFERROR(__xludf.DUMMYFUNCTION("IFERROR((GOOGLEFINANCE(C315, ""price"") / INDEX(GOOGLEFINANCE(C315, ""price"", EDATE(TODAY(), -3), TODAY()), 2, 2)) - 1, """")"),"")</f>
        <v/>
      </c>
      <c r="O315" s="21" t="str">
        <f>IFERROR(__xludf.DUMMYFUNCTION("IFERROR((GOOGLEFINANCE(C315, ""price"") / INDEX(GOOGLEFINANCE(C315, ""price"", EDATE(TODAY(), -6), TODAY()), 2, 2)) - 1, """")"),"")</f>
        <v/>
      </c>
      <c r="P315" s="21" t="str">
        <f>IFERROR(__xludf.DUMMYFUNCTION("IFERROR((GOOGLEFINANCE(C315, ""price"") / INDEX(GOOGLEFINANCE(C315, ""price"", EDATE(TODAY(), -12), TODAY()), 2, 2)) - 1, """")"),"")</f>
        <v/>
      </c>
      <c r="Q315" s="6" t="str">
        <f>IFERROR(__xludf.DUMMYFUNCTION("AVERAGE(QUERY(GOOGLEFINANCE(C315, ""price"", TODAY()-80, TODAY()), ""SELECT Col2 WHERE Col2 IS NOT NULL ORDER BY Col1 DESC LIMIT 50"", 0))"),"#N/A")</f>
        <v>#N/A</v>
      </c>
      <c r="R315" s="24" t="str">
        <f>IFERROR(__xludf.DUMMYFUNCTION("IFERROR(
  LET(
    data, QUERY(GOOGLEFINANCE(C315,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GOOGLEFINANCE(C315, ""price"")) * 100,
    IF(calc=0, G315, calc)
  ), 
G315)"),"#N/A")</f>
        <v>#N/A</v>
      </c>
      <c r="S315" s="8" t="s">
        <v>15</v>
      </c>
      <c r="T315" s="26" t="str">
        <f>IFERROR(__xludf.DUMMYFUNCTION("IFERROR(TRANSPOSE(QUERY(IFERROR(SORT(GOOGLEFINANCE(C315, ""price"", WORKDAY(TODAY(), -40), TODAY()), 1, FALSE)), ""select Col2 where Col2 is not null limit 22 label Col2 ''"", 0)), """")"),"")</f>
        <v/>
      </c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8"/>
      <c r="AO315" s="28"/>
      <c r="AP315" s="29"/>
      <c r="AQ315" s="29" t="str">
        <f t="shared" ref="AQ315:BL315" si="318">T315/T$2</f>
        <v>#N/A</v>
      </c>
      <c r="AR315" s="29" t="str">
        <f t="shared" si="318"/>
        <v>#DIV/0!</v>
      </c>
      <c r="AS315" s="29" t="str">
        <f t="shared" si="318"/>
        <v>#DIV/0!</v>
      </c>
      <c r="AT315" s="29" t="str">
        <f t="shared" si="318"/>
        <v>#DIV/0!</v>
      </c>
      <c r="AU315" s="29" t="str">
        <f t="shared" si="318"/>
        <v>#DIV/0!</v>
      </c>
      <c r="AV315" s="29" t="str">
        <f t="shared" si="318"/>
        <v>#DIV/0!</v>
      </c>
      <c r="AW315" s="29" t="str">
        <f t="shared" si="318"/>
        <v>#DIV/0!</v>
      </c>
      <c r="AX315" s="29" t="str">
        <f t="shared" si="318"/>
        <v>#DIV/0!</v>
      </c>
      <c r="AY315" s="29" t="str">
        <f t="shared" si="318"/>
        <v>#DIV/0!</v>
      </c>
      <c r="AZ315" s="29" t="str">
        <f t="shared" si="318"/>
        <v>#DIV/0!</v>
      </c>
      <c r="BA315" s="29" t="str">
        <f t="shared" si="318"/>
        <v>#DIV/0!</v>
      </c>
      <c r="BB315" s="29" t="str">
        <f t="shared" si="318"/>
        <v>#DIV/0!</v>
      </c>
      <c r="BC315" s="29" t="str">
        <f t="shared" si="318"/>
        <v>#DIV/0!</v>
      </c>
      <c r="BD315" s="29" t="str">
        <f t="shared" si="318"/>
        <v>#DIV/0!</v>
      </c>
      <c r="BE315" s="29" t="str">
        <f t="shared" si="318"/>
        <v>#DIV/0!</v>
      </c>
      <c r="BF315" s="29" t="str">
        <f t="shared" si="318"/>
        <v>#DIV/0!</v>
      </c>
      <c r="BG315" s="29" t="str">
        <f t="shared" si="318"/>
        <v>#DIV/0!</v>
      </c>
      <c r="BH315" s="29" t="str">
        <f t="shared" si="318"/>
        <v>#DIV/0!</v>
      </c>
      <c r="BI315" s="29" t="str">
        <f t="shared" si="318"/>
        <v>#DIV/0!</v>
      </c>
      <c r="BJ315" s="29" t="str">
        <f t="shared" si="318"/>
        <v>#DIV/0!</v>
      </c>
      <c r="BK315" s="29" t="str">
        <f t="shared" si="318"/>
        <v>#DIV/0!</v>
      </c>
      <c r="BL315" s="29" t="str">
        <f t="shared" si="318"/>
        <v>#DIV/0!</v>
      </c>
      <c r="BM315" s="29" t="str">
        <f t="shared" si="3"/>
        <v>#DIV/0!</v>
      </c>
    </row>
    <row r="316">
      <c r="A316" s="16" t="str">
        <f>IFERROR(__xludf.DUMMYFUNCTION("IFERROR(SPARKLINE(SORT(MAP(TRANSPOSE(AQ316:BL316), LAMBDA(val, IF(ISNUMBER(val), PERCENTRANK(AQ316:BL316, val)+0.01, 0))), SEQUENCE(COLUMNS(AQ316:BL316)), FALSE), {""charttype"",""column""; ""color"",""chartreuse""; ""ymin"", 0; ""ymax"", 1.01; ""highcolo"&amp;"r"", ""darkgreen""; ""lowcolor"", ""red""}), """")"),"")</f>
        <v/>
      </c>
      <c r="B316" s="17" t="str">
        <f t="shared" si="4"/>
        <v/>
      </c>
      <c r="C316" s="1" t="s">
        <v>2068</v>
      </c>
      <c r="D316" s="30" t="str">
        <f>IFERROR(__xludf.DUMMYFUNCTION("IFERROR(GOOGLEFINANCE(C316, ""NAME""))"),"Controladr Vl Co de Avcn SAB de CV")</f>
        <v>Controladr Vl Co de Avcn SAB de CV</v>
      </c>
      <c r="E316" s="30" t="s">
        <v>1134</v>
      </c>
      <c r="F316" s="33" t="str">
        <f>IFERROR(__xludf.DUMMYFUNCTION("( (GOOGLEFINANCE(C316, ""price"") - Q316) / Q316 ) / (R316 / 100)"),"Loading...")</f>
        <v>Loading...</v>
      </c>
      <c r="G316" s="20" t="str">
        <f>IFERROR(__xludf.DUMMYFUNCTION("AVERAGE(ARRAYFORMULA(100 * (QUERY(GOOGLEFINANCE(C316, ""high"", TODAY()-40, TODAY()), ""SELECT Col2 WHERE Col2 IS NOT NULL ORDER BY Col1 DESC LIMIT 20"", 0) / QUERY(GOOGLEFINANCE(C316, ""low"", TODAY()-40, TODAY()), ""SELECT Col2 WHERE Col2 IS NOT NULL OR"&amp;"DER BY Col1 DESC LIMIT 20"", 0) - 1)))"),"#N/A")</f>
        <v>#N/A</v>
      </c>
      <c r="H316" s="35" t="str">
        <f t="shared" si="6"/>
        <v/>
      </c>
      <c r="I316" s="35" t="str">
        <f t="shared" si="7"/>
        <v/>
      </c>
      <c r="J316" s="37" t="str">
        <f>IFERROR(__xludf.DUMMYFUNCTION("IFERROR(
  IF(C316="""",, 
    IFERROR(
      GOOGLEFINANCE(C316, ""price"") * GOOGLEFINANCE(C316, ""volumeavg""), 
      GOOGLEFINANCE(C316, ""price"") * AVERAGE(QUERY(GOOGLEFINANCE(C316, ""volume"", TODAY()-40, TODAY()), ""SELECT Col2 WHERE Col2 IS NOT "&amp;"NULL ORDER BY Col1 DESC LIMIT 20"", 0))
    )
  ), 
"""")"),"")</f>
        <v/>
      </c>
      <c r="K316" s="21" t="str">
        <f>IFERROR(__xludf.DUMMYFUNCTION("IFERROR(GOOGLEFINANCE(C316, ""changepct"") / 100, """")"),"")</f>
        <v/>
      </c>
      <c r="L316" s="21" t="str">
        <f>IFERROR(__xludf.DUMMYFUNCTION("IFERROR((GOOGLEFINANCE(C316, ""price"") / INDEX(GOOGLEFINANCE(C316, ""price"", TODAY()-7, TODAY()), 2, 2)) - 1, """")"),"")</f>
        <v/>
      </c>
      <c r="M316" s="21" t="str">
        <f>IFERROR(__xludf.DUMMYFUNCTION("IFERROR((GOOGLEFINANCE(C316, ""price"") / INDEX(GOOGLEFINANCE(C316, ""price"", EDATE(TODAY(), -1), TODAY()), 2, 2)) - 1, """")"),"")</f>
        <v/>
      </c>
      <c r="N316" s="21" t="str">
        <f>IFERROR(__xludf.DUMMYFUNCTION("IFERROR((GOOGLEFINANCE(C316, ""price"") / INDEX(GOOGLEFINANCE(C316, ""price"", EDATE(TODAY(), -3), TODAY()), 2, 2)) - 1, """")"),"")</f>
        <v/>
      </c>
      <c r="O316" s="21" t="str">
        <f>IFERROR(__xludf.DUMMYFUNCTION("IFERROR((GOOGLEFINANCE(C316, ""price"") / INDEX(GOOGLEFINANCE(C316, ""price"", EDATE(TODAY(), -6), TODAY()), 2, 2)) - 1, """")"),"")</f>
        <v/>
      </c>
      <c r="P316" s="21" t="str">
        <f>IFERROR(__xludf.DUMMYFUNCTION("IFERROR((GOOGLEFINANCE(C316, ""price"") / INDEX(GOOGLEFINANCE(C316, ""price"", EDATE(TODAY(), -12), TODAY()), 2, 2)) - 1, """")"),"")</f>
        <v/>
      </c>
      <c r="Q316" s="6" t="str">
        <f>IFERROR(__xludf.DUMMYFUNCTION("AVERAGE(QUERY(GOOGLEFINANCE(C316, ""price"", TODAY()-80, TODAY()), ""SELECT Col2 WHERE Col2 IS NOT NULL ORDER BY Col1 DESC LIMIT 50"", 0))"),"#N/A")</f>
        <v>#N/A</v>
      </c>
      <c r="R316" s="24" t="str">
        <f>IFERROR(__xludf.DUMMYFUNCTION("IFERROR(
  LET(
    data, QUERY(GOOGLEFINANCE(C316,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GOOGLEFINANCE(C316, ""price"")) * 100,
    IF(calc=0, G316, calc)
  ), 
G316)"),"#N/A")</f>
        <v>#N/A</v>
      </c>
      <c r="S316" s="8" t="s">
        <v>15</v>
      </c>
      <c r="T316" s="26" t="str">
        <f>IFERROR(__xludf.DUMMYFUNCTION("IFERROR(TRANSPOSE(QUERY(IFERROR(SORT(GOOGLEFINANCE(C316, ""price"", WORKDAY(TODAY(), -40), TODAY()), 1, FALSE)), ""select Col2 where Col2 is not null limit 22 label Col2 ''"", 0)), """")"),"")</f>
        <v/>
      </c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8"/>
      <c r="AO316" s="28"/>
      <c r="AP316" s="29"/>
      <c r="AQ316" s="29" t="str">
        <f t="shared" ref="AQ316:BL316" si="319">T316/T$2</f>
        <v>#N/A</v>
      </c>
      <c r="AR316" s="29" t="str">
        <f t="shared" si="319"/>
        <v>#DIV/0!</v>
      </c>
      <c r="AS316" s="29" t="str">
        <f t="shared" si="319"/>
        <v>#DIV/0!</v>
      </c>
      <c r="AT316" s="29" t="str">
        <f t="shared" si="319"/>
        <v>#DIV/0!</v>
      </c>
      <c r="AU316" s="29" t="str">
        <f t="shared" si="319"/>
        <v>#DIV/0!</v>
      </c>
      <c r="AV316" s="29" t="str">
        <f t="shared" si="319"/>
        <v>#DIV/0!</v>
      </c>
      <c r="AW316" s="29" t="str">
        <f t="shared" si="319"/>
        <v>#DIV/0!</v>
      </c>
      <c r="AX316" s="29" t="str">
        <f t="shared" si="319"/>
        <v>#DIV/0!</v>
      </c>
      <c r="AY316" s="29" t="str">
        <f t="shared" si="319"/>
        <v>#DIV/0!</v>
      </c>
      <c r="AZ316" s="29" t="str">
        <f t="shared" si="319"/>
        <v>#DIV/0!</v>
      </c>
      <c r="BA316" s="29" t="str">
        <f t="shared" si="319"/>
        <v>#DIV/0!</v>
      </c>
      <c r="BB316" s="29" t="str">
        <f t="shared" si="319"/>
        <v>#DIV/0!</v>
      </c>
      <c r="BC316" s="29" t="str">
        <f t="shared" si="319"/>
        <v>#DIV/0!</v>
      </c>
      <c r="BD316" s="29" t="str">
        <f t="shared" si="319"/>
        <v>#DIV/0!</v>
      </c>
      <c r="BE316" s="29" t="str">
        <f t="shared" si="319"/>
        <v>#DIV/0!</v>
      </c>
      <c r="BF316" s="29" t="str">
        <f t="shared" si="319"/>
        <v>#DIV/0!</v>
      </c>
      <c r="BG316" s="29" t="str">
        <f t="shared" si="319"/>
        <v>#DIV/0!</v>
      </c>
      <c r="BH316" s="29" t="str">
        <f t="shared" si="319"/>
        <v>#DIV/0!</v>
      </c>
      <c r="BI316" s="29" t="str">
        <f t="shared" si="319"/>
        <v>#DIV/0!</v>
      </c>
      <c r="BJ316" s="29" t="str">
        <f t="shared" si="319"/>
        <v>#DIV/0!</v>
      </c>
      <c r="BK316" s="29" t="str">
        <f t="shared" si="319"/>
        <v>#DIV/0!</v>
      </c>
      <c r="BL316" s="29" t="str">
        <f t="shared" si="319"/>
        <v>#DIV/0!</v>
      </c>
      <c r="BM316" s="29" t="str">
        <f t="shared" si="3"/>
        <v>#DIV/0!</v>
      </c>
    </row>
    <row r="317">
      <c r="A317" s="16" t="str">
        <f>IFERROR(__xludf.DUMMYFUNCTION("IFERROR(SPARKLINE(SORT(MAP(TRANSPOSE(AQ317:BL317), LAMBDA(val, IF(ISNUMBER(val), PERCENTRANK(AQ317:BL317, val)+0.01, 0))), SEQUENCE(COLUMNS(AQ317:BL317)), FALSE), {""charttype"",""column""; ""color"",""chartreuse""; ""ymin"", 0; ""ymax"", 1.01; ""highcolo"&amp;"r"", ""darkgreen""; ""lowcolor"", ""red""}), """")"),"")</f>
        <v/>
      </c>
      <c r="B317" s="17" t="str">
        <f t="shared" si="4"/>
        <v/>
      </c>
      <c r="C317" s="1" t="s">
        <v>2075</v>
      </c>
      <c r="D317" s="30" t="str">
        <f>IFERROR(__xludf.DUMMYFUNCTION("IFERROR(GOOGLEFINANCE(C317, ""NAME""))"),"ArcBest Corporation")</f>
        <v>ArcBest Corporation</v>
      </c>
      <c r="E317" s="30" t="s">
        <v>1317</v>
      </c>
      <c r="F317" s="33" t="str">
        <f>IFERROR(__xludf.DUMMYFUNCTION("( (GOOGLEFINANCE(C317, ""price"") - Q317) / Q317 ) / (R317 / 100)"),"Loading...")</f>
        <v>Loading...</v>
      </c>
      <c r="G317" s="20" t="str">
        <f>IFERROR(__xludf.DUMMYFUNCTION("AVERAGE(ARRAYFORMULA(100 * (QUERY(GOOGLEFINANCE(C317, ""high"", TODAY()-40, TODAY()), ""SELECT Col2 WHERE Col2 IS NOT NULL ORDER BY Col1 DESC LIMIT 20"", 0) / QUERY(GOOGLEFINANCE(C317, ""low"", TODAY()-40, TODAY()), ""SELECT Col2 WHERE Col2 IS NOT NULL OR"&amp;"DER BY Col1 DESC LIMIT 20"", 0) - 1)))"),"#N/A")</f>
        <v>#N/A</v>
      </c>
      <c r="H317" s="35" t="str">
        <f t="shared" si="6"/>
        <v/>
      </c>
      <c r="I317" s="35" t="str">
        <f t="shared" si="7"/>
        <v/>
      </c>
      <c r="J317" s="37" t="str">
        <f>IFERROR(__xludf.DUMMYFUNCTION("IFERROR(
  IF(C317="""",, 
    IFERROR(
      GOOGLEFINANCE(C317, ""price"") * GOOGLEFINANCE(C317, ""volumeavg""), 
      GOOGLEFINANCE(C317, ""price"") * AVERAGE(QUERY(GOOGLEFINANCE(C317, ""volume"", TODAY()-40, TODAY()), ""SELECT Col2 WHERE Col2 IS NOT "&amp;"NULL ORDER BY Col1 DESC LIMIT 20"", 0))
    )
  ), 
"""")"),"")</f>
        <v/>
      </c>
      <c r="K317" s="21" t="str">
        <f>IFERROR(__xludf.DUMMYFUNCTION("IFERROR(GOOGLEFINANCE(C317, ""changepct"") / 100, """")"),"")</f>
        <v/>
      </c>
      <c r="L317" s="21" t="str">
        <f>IFERROR(__xludf.DUMMYFUNCTION("IFERROR((GOOGLEFINANCE(C317, ""price"") / INDEX(GOOGLEFINANCE(C317, ""price"", TODAY()-7, TODAY()), 2, 2)) - 1, """")"),"")</f>
        <v/>
      </c>
      <c r="M317" s="21" t="str">
        <f>IFERROR(__xludf.DUMMYFUNCTION("IFERROR((GOOGLEFINANCE(C317, ""price"") / INDEX(GOOGLEFINANCE(C317, ""price"", EDATE(TODAY(), -1), TODAY()), 2, 2)) - 1, """")"),"")</f>
        <v/>
      </c>
      <c r="N317" s="21" t="str">
        <f>IFERROR(__xludf.DUMMYFUNCTION("IFERROR((GOOGLEFINANCE(C317, ""price"") / INDEX(GOOGLEFINANCE(C317, ""price"", EDATE(TODAY(), -3), TODAY()), 2, 2)) - 1, """")"),"")</f>
        <v/>
      </c>
      <c r="O317" s="21" t="str">
        <f>IFERROR(__xludf.DUMMYFUNCTION("IFERROR((GOOGLEFINANCE(C317, ""price"") / INDEX(GOOGLEFINANCE(C317, ""price"", EDATE(TODAY(), -6), TODAY()), 2, 2)) - 1, """")"),"")</f>
        <v/>
      </c>
      <c r="P317" s="21" t="str">
        <f>IFERROR(__xludf.DUMMYFUNCTION("IFERROR((GOOGLEFINANCE(C317, ""price"") / INDEX(GOOGLEFINANCE(C317, ""price"", EDATE(TODAY(), -12), TODAY()), 2, 2)) - 1, """")"),"")</f>
        <v/>
      </c>
      <c r="Q317" s="6" t="str">
        <f>IFERROR(__xludf.DUMMYFUNCTION("AVERAGE(QUERY(GOOGLEFINANCE(C317, ""price"", TODAY()-80, TODAY()), ""SELECT Col2 WHERE Col2 IS NOT NULL ORDER BY Col1 DESC LIMIT 50"", 0))"),"#N/A")</f>
        <v>#N/A</v>
      </c>
      <c r="R317" s="24" t="str">
        <f>IFERROR(__xludf.DUMMYFUNCTION("IFERROR(
  LET(
    data, QUERY(GOOGLEFINANCE(C317,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GOOGLEFINANCE(C317, ""price"")) * 100,
    IF(calc=0, G317, calc)
  ), 
G317)"),"#N/A")</f>
        <v>#N/A</v>
      </c>
      <c r="S317" s="8" t="s">
        <v>15</v>
      </c>
      <c r="T317" s="26" t="str">
        <f>IFERROR(__xludf.DUMMYFUNCTION("IFERROR(TRANSPOSE(QUERY(IFERROR(SORT(GOOGLEFINANCE(C317, ""price"", WORKDAY(TODAY(), -40), TODAY()), 1, FALSE)), ""select Col2 where Col2 is not null limit 22 label Col2 ''"", 0)), """")"),"")</f>
        <v/>
      </c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8"/>
      <c r="AO317" s="28"/>
      <c r="AP317" s="29"/>
      <c r="AQ317" s="29" t="str">
        <f t="shared" ref="AQ317:BL317" si="320">T317/T$2</f>
        <v>#N/A</v>
      </c>
      <c r="AR317" s="29" t="str">
        <f t="shared" si="320"/>
        <v>#DIV/0!</v>
      </c>
      <c r="AS317" s="29" t="str">
        <f t="shared" si="320"/>
        <v>#DIV/0!</v>
      </c>
      <c r="AT317" s="29" t="str">
        <f t="shared" si="320"/>
        <v>#DIV/0!</v>
      </c>
      <c r="AU317" s="29" t="str">
        <f t="shared" si="320"/>
        <v>#DIV/0!</v>
      </c>
      <c r="AV317" s="29" t="str">
        <f t="shared" si="320"/>
        <v>#DIV/0!</v>
      </c>
      <c r="AW317" s="29" t="str">
        <f t="shared" si="320"/>
        <v>#DIV/0!</v>
      </c>
      <c r="AX317" s="29" t="str">
        <f t="shared" si="320"/>
        <v>#DIV/0!</v>
      </c>
      <c r="AY317" s="29" t="str">
        <f t="shared" si="320"/>
        <v>#DIV/0!</v>
      </c>
      <c r="AZ317" s="29" t="str">
        <f t="shared" si="320"/>
        <v>#DIV/0!</v>
      </c>
      <c r="BA317" s="29" t="str">
        <f t="shared" si="320"/>
        <v>#DIV/0!</v>
      </c>
      <c r="BB317" s="29" t="str">
        <f t="shared" si="320"/>
        <v>#DIV/0!</v>
      </c>
      <c r="BC317" s="29" t="str">
        <f t="shared" si="320"/>
        <v>#DIV/0!</v>
      </c>
      <c r="BD317" s="29" t="str">
        <f t="shared" si="320"/>
        <v>#DIV/0!</v>
      </c>
      <c r="BE317" s="29" t="str">
        <f t="shared" si="320"/>
        <v>#DIV/0!</v>
      </c>
      <c r="BF317" s="29" t="str">
        <f t="shared" si="320"/>
        <v>#DIV/0!</v>
      </c>
      <c r="BG317" s="29" t="str">
        <f t="shared" si="320"/>
        <v>#DIV/0!</v>
      </c>
      <c r="BH317" s="29" t="str">
        <f t="shared" si="320"/>
        <v>#DIV/0!</v>
      </c>
      <c r="BI317" s="29" t="str">
        <f t="shared" si="320"/>
        <v>#DIV/0!</v>
      </c>
      <c r="BJ317" s="29" t="str">
        <f t="shared" si="320"/>
        <v>#DIV/0!</v>
      </c>
      <c r="BK317" s="29" t="str">
        <f t="shared" si="320"/>
        <v>#DIV/0!</v>
      </c>
      <c r="BL317" s="29" t="str">
        <f t="shared" si="320"/>
        <v>#DIV/0!</v>
      </c>
      <c r="BM317" s="29" t="str">
        <f t="shared" si="3"/>
        <v>#DIV/0!</v>
      </c>
    </row>
    <row r="318">
      <c r="A318" s="16" t="str">
        <f>IFERROR(__xludf.DUMMYFUNCTION("IFERROR(SPARKLINE(SORT(MAP(TRANSPOSE(AQ318:BL318), LAMBDA(val, IF(ISNUMBER(val), PERCENTRANK(AQ318:BL318, val)+0.01, 0))), SEQUENCE(COLUMNS(AQ318:BL318)), FALSE), {""charttype"",""column""; ""color"",""chartreuse""; ""ymin"", 0; ""ymax"", 1.01; ""highcolo"&amp;"r"", ""darkgreen""; ""lowcolor"", ""red""}), """")"),"")</f>
        <v/>
      </c>
      <c r="B318" s="17" t="str">
        <f t="shared" si="4"/>
        <v/>
      </c>
      <c r="C318" s="1" t="s">
        <v>2079</v>
      </c>
      <c r="D318" s="30" t="str">
        <f>IFERROR(__xludf.DUMMYFUNCTION("IFERROR(GOOGLEFINANCE(C318, ""NAME""))"),"Textron Inc")</f>
        <v>Textron Inc</v>
      </c>
      <c r="E318" s="30" t="s">
        <v>839</v>
      </c>
      <c r="F318" s="38" t="str">
        <f>IFERROR(__xludf.DUMMYFUNCTION("( (GOOGLEFINANCE(C318, ""price"") - Q318) / Q318 ) / (R318 / 100)"),"Loading...")</f>
        <v>Loading...</v>
      </c>
      <c r="G318" s="20" t="str">
        <f>IFERROR(__xludf.DUMMYFUNCTION("AVERAGE(ARRAYFORMULA(100 * (QUERY(GOOGLEFINANCE(C318, ""high"", TODAY()-40, TODAY()), ""SELECT Col2 WHERE Col2 IS NOT NULL ORDER BY Col1 DESC LIMIT 20"", 0) / QUERY(GOOGLEFINANCE(C318, ""low"", TODAY()-40, TODAY()), ""SELECT Col2 WHERE Col2 IS NOT NULL OR"&amp;"DER BY Col1 DESC LIMIT 20"", 0) - 1)))"),"#N/A")</f>
        <v>#N/A</v>
      </c>
      <c r="H318" s="35" t="str">
        <f t="shared" si="6"/>
        <v/>
      </c>
      <c r="I318" s="35" t="str">
        <f t="shared" si="7"/>
        <v/>
      </c>
      <c r="J318" s="37" t="str">
        <f>IFERROR(__xludf.DUMMYFUNCTION("IFERROR(
  IF(C318="""",, 
    IFERROR(
      GOOGLEFINANCE(C318, ""price"") * GOOGLEFINANCE(C318, ""volumeavg""), 
      GOOGLEFINANCE(C318, ""price"") * AVERAGE(QUERY(GOOGLEFINANCE(C318, ""volume"", TODAY()-40, TODAY()), ""SELECT Col2 WHERE Col2 IS NOT "&amp;"NULL ORDER BY Col1 DESC LIMIT 20"", 0))
    )
  ), 
"""")"),"")</f>
        <v/>
      </c>
      <c r="K318" s="21" t="str">
        <f>IFERROR(__xludf.DUMMYFUNCTION("IFERROR(GOOGLEFINANCE(C318, ""changepct"") / 100, """")"),"")</f>
        <v/>
      </c>
      <c r="L318" s="21" t="str">
        <f>IFERROR(__xludf.DUMMYFUNCTION("IFERROR((GOOGLEFINANCE(C318, ""price"") / INDEX(GOOGLEFINANCE(C318, ""price"", TODAY()-7, TODAY()), 2, 2)) - 1, """")"),"")</f>
        <v/>
      </c>
      <c r="M318" s="21" t="str">
        <f>IFERROR(__xludf.DUMMYFUNCTION("IFERROR((GOOGLEFINANCE(C318, ""price"") / INDEX(GOOGLEFINANCE(C318, ""price"", EDATE(TODAY(), -1), TODAY()), 2, 2)) - 1, """")"),"")</f>
        <v/>
      </c>
      <c r="N318" s="21" t="str">
        <f>IFERROR(__xludf.DUMMYFUNCTION("IFERROR((GOOGLEFINANCE(C318, ""price"") / INDEX(GOOGLEFINANCE(C318, ""price"", EDATE(TODAY(), -3), TODAY()), 2, 2)) - 1, """")"),"")</f>
        <v/>
      </c>
      <c r="O318" s="21" t="str">
        <f>IFERROR(__xludf.DUMMYFUNCTION("IFERROR((GOOGLEFINANCE(C318, ""price"") / INDEX(GOOGLEFINANCE(C318, ""price"", EDATE(TODAY(), -6), TODAY()), 2, 2)) - 1, """")"),"")</f>
        <v/>
      </c>
      <c r="P318" s="21" t="str">
        <f>IFERROR(__xludf.DUMMYFUNCTION("IFERROR((GOOGLEFINANCE(C318, ""price"") / INDEX(GOOGLEFINANCE(C318, ""price"", EDATE(TODAY(), -12), TODAY()), 2, 2)) - 1, """")"),"")</f>
        <v/>
      </c>
      <c r="Q318" s="6" t="str">
        <f>IFERROR(__xludf.DUMMYFUNCTION("AVERAGE(QUERY(GOOGLEFINANCE(C318, ""price"", TODAY()-80, TODAY()), ""SELECT Col2 WHERE Col2 IS NOT NULL ORDER BY Col1 DESC LIMIT 50"", 0))"),"#N/A")</f>
        <v>#N/A</v>
      </c>
      <c r="R318" s="24" t="str">
        <f>IFERROR(__xludf.DUMMYFUNCTION("IFERROR(
  LET(
    data, QUERY(GOOGLEFINANCE(C318,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GOOGLEFINANCE(C318, ""price"")) * 100,
    IF(calc=0, G318, calc)
  ), 
G318)"),"#N/A")</f>
        <v>#N/A</v>
      </c>
      <c r="S318" s="8" t="s">
        <v>15</v>
      </c>
      <c r="T318" s="26" t="str">
        <f>IFERROR(__xludf.DUMMYFUNCTION("IFERROR(TRANSPOSE(QUERY(IFERROR(SORT(GOOGLEFINANCE(C318, ""price"", WORKDAY(TODAY(), -40), TODAY()), 1, FALSE)), ""select Col2 where Col2 is not null limit 22 label Col2 ''"", 0)), """")"),"")</f>
        <v/>
      </c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8"/>
      <c r="AO318" s="28"/>
      <c r="AP318" s="29"/>
      <c r="AQ318" s="29" t="str">
        <f t="shared" ref="AQ318:BL318" si="321">T318/T$2</f>
        <v>#N/A</v>
      </c>
      <c r="AR318" s="29" t="str">
        <f t="shared" si="321"/>
        <v>#DIV/0!</v>
      </c>
      <c r="AS318" s="29" t="str">
        <f t="shared" si="321"/>
        <v>#DIV/0!</v>
      </c>
      <c r="AT318" s="29" t="str">
        <f t="shared" si="321"/>
        <v>#DIV/0!</v>
      </c>
      <c r="AU318" s="29" t="str">
        <f t="shared" si="321"/>
        <v>#DIV/0!</v>
      </c>
      <c r="AV318" s="29" t="str">
        <f t="shared" si="321"/>
        <v>#DIV/0!</v>
      </c>
      <c r="AW318" s="29" t="str">
        <f t="shared" si="321"/>
        <v>#DIV/0!</v>
      </c>
      <c r="AX318" s="29" t="str">
        <f t="shared" si="321"/>
        <v>#DIV/0!</v>
      </c>
      <c r="AY318" s="29" t="str">
        <f t="shared" si="321"/>
        <v>#DIV/0!</v>
      </c>
      <c r="AZ318" s="29" t="str">
        <f t="shared" si="321"/>
        <v>#DIV/0!</v>
      </c>
      <c r="BA318" s="29" t="str">
        <f t="shared" si="321"/>
        <v>#DIV/0!</v>
      </c>
      <c r="BB318" s="29" t="str">
        <f t="shared" si="321"/>
        <v>#DIV/0!</v>
      </c>
      <c r="BC318" s="29" t="str">
        <f t="shared" si="321"/>
        <v>#DIV/0!</v>
      </c>
      <c r="BD318" s="29" t="str">
        <f t="shared" si="321"/>
        <v>#DIV/0!</v>
      </c>
      <c r="BE318" s="29" t="str">
        <f t="shared" si="321"/>
        <v>#DIV/0!</v>
      </c>
      <c r="BF318" s="29" t="str">
        <f t="shared" si="321"/>
        <v>#DIV/0!</v>
      </c>
      <c r="BG318" s="29" t="str">
        <f t="shared" si="321"/>
        <v>#DIV/0!</v>
      </c>
      <c r="BH318" s="29" t="str">
        <f t="shared" si="321"/>
        <v>#DIV/0!</v>
      </c>
      <c r="BI318" s="29" t="str">
        <f t="shared" si="321"/>
        <v>#DIV/0!</v>
      </c>
      <c r="BJ318" s="29" t="str">
        <f t="shared" si="321"/>
        <v>#DIV/0!</v>
      </c>
      <c r="BK318" s="29" t="str">
        <f t="shared" si="321"/>
        <v>#DIV/0!</v>
      </c>
      <c r="BL318" s="29" t="str">
        <f t="shared" si="321"/>
        <v>#DIV/0!</v>
      </c>
      <c r="BM318" s="29" t="str">
        <f t="shared" si="3"/>
        <v>#DIV/0!</v>
      </c>
    </row>
    <row r="319">
      <c r="A319" s="16" t="str">
        <f>IFERROR(__xludf.DUMMYFUNCTION("IFERROR(SPARKLINE(SORT(MAP(TRANSPOSE(AQ319:BL319), LAMBDA(val, IF(ISNUMBER(val), PERCENTRANK(AQ319:BL319, val)+0.01, 0))), SEQUENCE(COLUMNS(AQ319:BL319)), FALSE), {""charttype"",""column""; ""color"",""chartreuse""; ""ymin"", 0; ""ymax"", 1.01; ""highcolo"&amp;"r"", ""darkgreen""; ""lowcolor"", ""red""}), """")"),"")</f>
        <v/>
      </c>
      <c r="B319" s="17" t="str">
        <f t="shared" si="4"/>
        <v/>
      </c>
      <c r="C319" s="1" t="s">
        <v>2081</v>
      </c>
      <c r="D319" s="30" t="str">
        <f>IFERROR(__xludf.DUMMYFUNCTION("IFERROR(GOOGLEFINANCE(C319, ""NAME""))"),"JetBlue Airways Corp")</f>
        <v>JetBlue Airways Corp</v>
      </c>
      <c r="E319" s="30" t="s">
        <v>1134</v>
      </c>
      <c r="F319" s="33" t="str">
        <f>IFERROR(__xludf.DUMMYFUNCTION("( (GOOGLEFINANCE(C319, ""price"") - Q319) / Q319 ) / (R319 / 100)"),"Loading...")</f>
        <v>Loading...</v>
      </c>
      <c r="G319" s="20" t="str">
        <f>IFERROR(__xludf.DUMMYFUNCTION("AVERAGE(ARRAYFORMULA(100 * (QUERY(GOOGLEFINANCE(C319, ""high"", TODAY()-40, TODAY()), ""SELECT Col2 WHERE Col2 IS NOT NULL ORDER BY Col1 DESC LIMIT 20"", 0) / QUERY(GOOGLEFINANCE(C319, ""low"", TODAY()-40, TODAY()), ""SELECT Col2 WHERE Col2 IS NOT NULL OR"&amp;"DER BY Col1 DESC LIMIT 20"", 0) - 1)))"),"#N/A")</f>
        <v>#N/A</v>
      </c>
      <c r="H319" s="35" t="str">
        <f t="shared" si="6"/>
        <v/>
      </c>
      <c r="I319" s="35" t="str">
        <f t="shared" si="7"/>
        <v/>
      </c>
      <c r="J319" s="37" t="str">
        <f>IFERROR(__xludf.DUMMYFUNCTION("IFERROR(
  IF(C319="""",, 
    IFERROR(
      GOOGLEFINANCE(C319, ""price"") * GOOGLEFINANCE(C319, ""volumeavg""), 
      GOOGLEFINANCE(C319, ""price"") * AVERAGE(QUERY(GOOGLEFINANCE(C319, ""volume"", TODAY()-40, TODAY()), ""SELECT Col2 WHERE Col2 IS NOT "&amp;"NULL ORDER BY Col1 DESC LIMIT 20"", 0))
    )
  ), 
"""")"),"")</f>
        <v/>
      </c>
      <c r="K319" s="21" t="str">
        <f>IFERROR(__xludf.DUMMYFUNCTION("IFERROR(GOOGLEFINANCE(C319, ""changepct"") / 100, """")"),"")</f>
        <v/>
      </c>
      <c r="L319" s="21" t="str">
        <f>IFERROR(__xludf.DUMMYFUNCTION("IFERROR((GOOGLEFINANCE(C319, ""price"") / INDEX(GOOGLEFINANCE(C319, ""price"", TODAY()-7, TODAY()), 2, 2)) - 1, """")"),"")</f>
        <v/>
      </c>
      <c r="M319" s="21" t="str">
        <f>IFERROR(__xludf.DUMMYFUNCTION("IFERROR((GOOGLEFINANCE(C319, ""price"") / INDEX(GOOGLEFINANCE(C319, ""price"", EDATE(TODAY(), -1), TODAY()), 2, 2)) - 1, """")"),"")</f>
        <v/>
      </c>
      <c r="N319" s="21" t="str">
        <f>IFERROR(__xludf.DUMMYFUNCTION("IFERROR((GOOGLEFINANCE(C319, ""price"") / INDEX(GOOGLEFINANCE(C319, ""price"", EDATE(TODAY(), -3), TODAY()), 2, 2)) - 1, """")"),"")</f>
        <v/>
      </c>
      <c r="O319" s="21" t="str">
        <f>IFERROR(__xludf.DUMMYFUNCTION("IFERROR((GOOGLEFINANCE(C319, ""price"") / INDEX(GOOGLEFINANCE(C319, ""price"", EDATE(TODAY(), -6), TODAY()), 2, 2)) - 1, """")"),"")</f>
        <v/>
      </c>
      <c r="P319" s="21" t="str">
        <f>IFERROR(__xludf.DUMMYFUNCTION("IFERROR((GOOGLEFINANCE(C319, ""price"") / INDEX(GOOGLEFINANCE(C319, ""price"", EDATE(TODAY(), -12), TODAY()), 2, 2)) - 1, """")"),"")</f>
        <v/>
      </c>
      <c r="Q319" s="6" t="str">
        <f>IFERROR(__xludf.DUMMYFUNCTION("AVERAGE(QUERY(GOOGLEFINANCE(C319, ""price"", TODAY()-80, TODAY()), ""SELECT Col2 WHERE Col2 IS NOT NULL ORDER BY Col1 DESC LIMIT 50"", 0))"),"#N/A")</f>
        <v>#N/A</v>
      </c>
      <c r="R319" s="24" t="str">
        <f>IFERROR(__xludf.DUMMYFUNCTION("IFERROR(
  LET(
    data, QUERY(GOOGLEFINANCE(C319,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GOOGLEFINANCE(C319, ""price"")) * 100,
    IF(calc=0, G319, calc)
  ), 
G319)"),"#N/A")</f>
        <v>#N/A</v>
      </c>
      <c r="S319" s="8" t="s">
        <v>15</v>
      </c>
      <c r="T319" s="26" t="str">
        <f>IFERROR(__xludf.DUMMYFUNCTION("IFERROR(TRANSPOSE(QUERY(IFERROR(SORT(GOOGLEFINANCE(C319, ""price"", WORKDAY(TODAY(), -40), TODAY()), 1, FALSE)), ""select Col2 where Col2 is not null limit 22 label Col2 ''"", 0)), """")"),"")</f>
        <v/>
      </c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8"/>
      <c r="AO319" s="28"/>
      <c r="AP319" s="29"/>
      <c r="AQ319" s="29" t="str">
        <f t="shared" ref="AQ319:BL319" si="322">T319/T$2</f>
        <v>#N/A</v>
      </c>
      <c r="AR319" s="29" t="str">
        <f t="shared" si="322"/>
        <v>#DIV/0!</v>
      </c>
      <c r="AS319" s="29" t="str">
        <f t="shared" si="322"/>
        <v>#DIV/0!</v>
      </c>
      <c r="AT319" s="29" t="str">
        <f t="shared" si="322"/>
        <v>#DIV/0!</v>
      </c>
      <c r="AU319" s="29" t="str">
        <f t="shared" si="322"/>
        <v>#DIV/0!</v>
      </c>
      <c r="AV319" s="29" t="str">
        <f t="shared" si="322"/>
        <v>#DIV/0!</v>
      </c>
      <c r="AW319" s="29" t="str">
        <f t="shared" si="322"/>
        <v>#DIV/0!</v>
      </c>
      <c r="AX319" s="29" t="str">
        <f t="shared" si="322"/>
        <v>#DIV/0!</v>
      </c>
      <c r="AY319" s="29" t="str">
        <f t="shared" si="322"/>
        <v>#DIV/0!</v>
      </c>
      <c r="AZ319" s="29" t="str">
        <f t="shared" si="322"/>
        <v>#DIV/0!</v>
      </c>
      <c r="BA319" s="29" t="str">
        <f t="shared" si="322"/>
        <v>#DIV/0!</v>
      </c>
      <c r="BB319" s="29" t="str">
        <f t="shared" si="322"/>
        <v>#DIV/0!</v>
      </c>
      <c r="BC319" s="29" t="str">
        <f t="shared" si="322"/>
        <v>#DIV/0!</v>
      </c>
      <c r="BD319" s="29" t="str">
        <f t="shared" si="322"/>
        <v>#DIV/0!</v>
      </c>
      <c r="BE319" s="29" t="str">
        <f t="shared" si="322"/>
        <v>#DIV/0!</v>
      </c>
      <c r="BF319" s="29" t="str">
        <f t="shared" si="322"/>
        <v>#DIV/0!</v>
      </c>
      <c r="BG319" s="29" t="str">
        <f t="shared" si="322"/>
        <v>#DIV/0!</v>
      </c>
      <c r="BH319" s="29" t="str">
        <f t="shared" si="322"/>
        <v>#DIV/0!</v>
      </c>
      <c r="BI319" s="29" t="str">
        <f t="shared" si="322"/>
        <v>#DIV/0!</v>
      </c>
      <c r="BJ319" s="29" t="str">
        <f t="shared" si="322"/>
        <v>#DIV/0!</v>
      </c>
      <c r="BK319" s="29" t="str">
        <f t="shared" si="322"/>
        <v>#DIV/0!</v>
      </c>
      <c r="BL319" s="29" t="str">
        <f t="shared" si="322"/>
        <v>#DIV/0!</v>
      </c>
      <c r="BM319" s="29" t="str">
        <f t="shared" si="3"/>
        <v>#DIV/0!</v>
      </c>
    </row>
    <row r="320">
      <c r="A320" s="16" t="str">
        <f>IFERROR(__xludf.DUMMYFUNCTION("IFERROR(SPARKLINE(SORT(MAP(TRANSPOSE(AQ320:BL320), LAMBDA(val, IF(ISNUMBER(val), PERCENTRANK(AQ320:BL320, val)+0.01, 0))), SEQUENCE(COLUMNS(AQ320:BL320)), FALSE), {""charttype"",""column""; ""color"",""chartreuse""; ""ymin"", 0; ""ymax"", 1.01; ""highcolo"&amp;"r"", ""darkgreen""; ""lowcolor"", ""red""}), """")"),"")</f>
        <v/>
      </c>
      <c r="B320" s="17" t="str">
        <f t="shared" si="4"/>
        <v/>
      </c>
      <c r="C320" s="1" t="s">
        <v>2086</v>
      </c>
      <c r="D320" s="30" t="str">
        <f>IFERROR(__xludf.DUMMYFUNCTION("IFERROR(GOOGLEFINANCE(C320, ""NAME""))"),"Robert Half Inc")</f>
        <v>Robert Half Inc</v>
      </c>
      <c r="E320" s="30" t="s">
        <v>1351</v>
      </c>
      <c r="F320" s="33" t="str">
        <f>IFERROR(__xludf.DUMMYFUNCTION("( (GOOGLEFINANCE(C320, ""price"") - Q320) / Q320 ) / (R320 / 100)"),"Loading...")</f>
        <v>Loading...</v>
      </c>
      <c r="G320" s="20" t="str">
        <f>IFERROR(__xludf.DUMMYFUNCTION("AVERAGE(ARRAYFORMULA(100 * (QUERY(GOOGLEFINANCE(C320, ""high"", TODAY()-40, TODAY()), ""SELECT Col2 WHERE Col2 IS NOT NULL ORDER BY Col1 DESC LIMIT 20"", 0) / QUERY(GOOGLEFINANCE(C320, ""low"", TODAY()-40, TODAY()), ""SELECT Col2 WHERE Col2 IS NOT NULL OR"&amp;"DER BY Col1 DESC LIMIT 20"", 0) - 1)))"),"#N/A")</f>
        <v>#N/A</v>
      </c>
      <c r="H320" s="35" t="str">
        <f t="shared" si="6"/>
        <v/>
      </c>
      <c r="I320" s="35" t="str">
        <f t="shared" si="7"/>
        <v/>
      </c>
      <c r="J320" s="37" t="str">
        <f>IFERROR(__xludf.DUMMYFUNCTION("IFERROR(
  IF(C320="""",, 
    IFERROR(
      GOOGLEFINANCE(C320, ""price"") * GOOGLEFINANCE(C320, ""volumeavg""), 
      GOOGLEFINANCE(C320, ""price"") * AVERAGE(QUERY(GOOGLEFINANCE(C320, ""volume"", TODAY()-40, TODAY()), ""SELECT Col2 WHERE Col2 IS NOT "&amp;"NULL ORDER BY Col1 DESC LIMIT 20"", 0))
    )
  ), 
"""")"),"")</f>
        <v/>
      </c>
      <c r="K320" s="21" t="str">
        <f>IFERROR(__xludf.DUMMYFUNCTION("IFERROR(GOOGLEFINANCE(C320, ""changepct"") / 100, """")"),"")</f>
        <v/>
      </c>
      <c r="L320" s="21" t="str">
        <f>IFERROR(__xludf.DUMMYFUNCTION("IFERROR((GOOGLEFINANCE(C320, ""price"") / INDEX(GOOGLEFINANCE(C320, ""price"", TODAY()-7, TODAY()), 2, 2)) - 1, """")"),"")</f>
        <v/>
      </c>
      <c r="M320" s="21" t="str">
        <f>IFERROR(__xludf.DUMMYFUNCTION("IFERROR((GOOGLEFINANCE(C320, ""price"") / INDEX(GOOGLEFINANCE(C320, ""price"", EDATE(TODAY(), -1), TODAY()), 2, 2)) - 1, """")"),"")</f>
        <v/>
      </c>
      <c r="N320" s="21" t="str">
        <f>IFERROR(__xludf.DUMMYFUNCTION("IFERROR((GOOGLEFINANCE(C320, ""price"") / INDEX(GOOGLEFINANCE(C320, ""price"", EDATE(TODAY(), -3), TODAY()), 2, 2)) - 1, """")"),"")</f>
        <v/>
      </c>
      <c r="O320" s="21" t="str">
        <f>IFERROR(__xludf.DUMMYFUNCTION("IFERROR((GOOGLEFINANCE(C320, ""price"") / INDEX(GOOGLEFINANCE(C320, ""price"", EDATE(TODAY(), -6), TODAY()), 2, 2)) - 1, """")"),"")</f>
        <v/>
      </c>
      <c r="P320" s="21" t="str">
        <f>IFERROR(__xludf.DUMMYFUNCTION("IFERROR((GOOGLEFINANCE(C320, ""price"") / INDEX(GOOGLEFINANCE(C320, ""price"", EDATE(TODAY(), -12), TODAY()), 2, 2)) - 1, """")"),"")</f>
        <v/>
      </c>
      <c r="Q320" s="6" t="str">
        <f>IFERROR(__xludf.DUMMYFUNCTION("AVERAGE(QUERY(GOOGLEFINANCE(C320, ""price"", TODAY()-80, TODAY()), ""SELECT Col2 WHERE Col2 IS NOT NULL ORDER BY Col1 DESC LIMIT 50"", 0))"),"#N/A")</f>
        <v>#N/A</v>
      </c>
      <c r="R320" s="24" t="str">
        <f>IFERROR(__xludf.DUMMYFUNCTION("IFERROR(
  LET(
    data, QUERY(GOOGLEFINANCE(C320,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GOOGLEFINANCE(C320, ""price"")) * 100,
    IF(calc=0, G320, calc)
  ), 
G320)"),"#N/A")</f>
        <v>#N/A</v>
      </c>
      <c r="S320" s="8" t="s">
        <v>15</v>
      </c>
      <c r="T320" s="26" t="str">
        <f>IFERROR(__xludf.DUMMYFUNCTION("IFERROR(TRANSPOSE(QUERY(IFERROR(SORT(GOOGLEFINANCE(C320, ""price"", WORKDAY(TODAY(), -40), TODAY()), 1, FALSE)), ""select Col2 where Col2 is not null limit 22 label Col2 ''"", 0)), """")"),"")</f>
        <v/>
      </c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8"/>
      <c r="AO320" s="28"/>
      <c r="AP320" s="29"/>
      <c r="AQ320" s="29" t="str">
        <f t="shared" ref="AQ320:BL320" si="323">T320/T$2</f>
        <v>#N/A</v>
      </c>
      <c r="AR320" s="29" t="str">
        <f t="shared" si="323"/>
        <v>#DIV/0!</v>
      </c>
      <c r="AS320" s="29" t="str">
        <f t="shared" si="323"/>
        <v>#DIV/0!</v>
      </c>
      <c r="AT320" s="29" t="str">
        <f t="shared" si="323"/>
        <v>#DIV/0!</v>
      </c>
      <c r="AU320" s="29" t="str">
        <f t="shared" si="323"/>
        <v>#DIV/0!</v>
      </c>
      <c r="AV320" s="29" t="str">
        <f t="shared" si="323"/>
        <v>#DIV/0!</v>
      </c>
      <c r="AW320" s="29" t="str">
        <f t="shared" si="323"/>
        <v>#DIV/0!</v>
      </c>
      <c r="AX320" s="29" t="str">
        <f t="shared" si="323"/>
        <v>#DIV/0!</v>
      </c>
      <c r="AY320" s="29" t="str">
        <f t="shared" si="323"/>
        <v>#DIV/0!</v>
      </c>
      <c r="AZ320" s="29" t="str">
        <f t="shared" si="323"/>
        <v>#DIV/0!</v>
      </c>
      <c r="BA320" s="29" t="str">
        <f t="shared" si="323"/>
        <v>#DIV/0!</v>
      </c>
      <c r="BB320" s="29" t="str">
        <f t="shared" si="323"/>
        <v>#DIV/0!</v>
      </c>
      <c r="BC320" s="29" t="str">
        <f t="shared" si="323"/>
        <v>#DIV/0!</v>
      </c>
      <c r="BD320" s="29" t="str">
        <f t="shared" si="323"/>
        <v>#DIV/0!</v>
      </c>
      <c r="BE320" s="29" t="str">
        <f t="shared" si="323"/>
        <v>#DIV/0!</v>
      </c>
      <c r="BF320" s="29" t="str">
        <f t="shared" si="323"/>
        <v>#DIV/0!</v>
      </c>
      <c r="BG320" s="29" t="str">
        <f t="shared" si="323"/>
        <v>#DIV/0!</v>
      </c>
      <c r="BH320" s="29" t="str">
        <f t="shared" si="323"/>
        <v>#DIV/0!</v>
      </c>
      <c r="BI320" s="29" t="str">
        <f t="shared" si="323"/>
        <v>#DIV/0!</v>
      </c>
      <c r="BJ320" s="29" t="str">
        <f t="shared" si="323"/>
        <v>#DIV/0!</v>
      </c>
      <c r="BK320" s="29" t="str">
        <f t="shared" si="323"/>
        <v>#DIV/0!</v>
      </c>
      <c r="BL320" s="29" t="str">
        <f t="shared" si="323"/>
        <v>#DIV/0!</v>
      </c>
      <c r="BM320" s="29" t="str">
        <f t="shared" si="3"/>
        <v>#DIV/0!</v>
      </c>
    </row>
    <row r="321">
      <c r="A321" s="16" t="str">
        <f>IFERROR(__xludf.DUMMYFUNCTION("IFERROR(SPARKLINE(SORT(MAP(TRANSPOSE(AQ321:BL321), LAMBDA(val, IF(ISNUMBER(val), PERCENTRANK(AQ321:BL321, val)+0.01, 0))), SEQUENCE(COLUMNS(AQ321:BL321)), FALSE), {""charttype"",""column""; ""color"",""chartreuse""; ""ymin"", 0; ""ymax"", 1.01; ""highcolo"&amp;"r"", ""darkgreen""; ""lowcolor"", ""red""}), """")"),"")</f>
        <v/>
      </c>
      <c r="B321" s="17" t="str">
        <f t="shared" si="4"/>
        <v/>
      </c>
      <c r="C321" s="1" t="s">
        <v>2090</v>
      </c>
      <c r="D321" s="30" t="str">
        <f>IFERROR(__xludf.DUMMYFUNCTION("IFERROR(GOOGLEFINANCE(C321, ""NAME""))"),"Concrete Pumping Holdings Inc")</f>
        <v>Concrete Pumping Holdings Inc</v>
      </c>
      <c r="E321" s="30" t="s">
        <v>856</v>
      </c>
      <c r="F321" s="33" t="str">
        <f>IFERROR(__xludf.DUMMYFUNCTION("( (GOOGLEFINANCE(C321, ""price"") - Q321) / Q321 ) / (R321 / 100)"),"Loading...")</f>
        <v>Loading...</v>
      </c>
      <c r="G321" s="20" t="str">
        <f>IFERROR(__xludf.DUMMYFUNCTION("AVERAGE(ARRAYFORMULA(100 * (QUERY(GOOGLEFINANCE(C321, ""high"", TODAY()-40, TODAY()), ""SELECT Col2 WHERE Col2 IS NOT NULL ORDER BY Col1 DESC LIMIT 20"", 0) / QUERY(GOOGLEFINANCE(C321, ""low"", TODAY()-40, TODAY()), ""SELECT Col2 WHERE Col2 IS NOT NULL OR"&amp;"DER BY Col1 DESC LIMIT 20"", 0) - 1)))"),"#N/A")</f>
        <v>#N/A</v>
      </c>
      <c r="H321" s="35" t="str">
        <f t="shared" si="6"/>
        <v/>
      </c>
      <c r="I321" s="35" t="str">
        <f t="shared" si="7"/>
        <v/>
      </c>
      <c r="J321" s="37" t="str">
        <f>IFERROR(__xludf.DUMMYFUNCTION("IFERROR(
  IF(C321="""",, 
    IFERROR(
      GOOGLEFINANCE(C321, ""price"") * GOOGLEFINANCE(C321, ""volumeavg""), 
      GOOGLEFINANCE(C321, ""price"") * AVERAGE(QUERY(GOOGLEFINANCE(C321, ""volume"", TODAY()-40, TODAY()), ""SELECT Col2 WHERE Col2 IS NOT "&amp;"NULL ORDER BY Col1 DESC LIMIT 20"", 0))
    )
  ), 
"""")"),"")</f>
        <v/>
      </c>
      <c r="K321" s="21" t="str">
        <f>IFERROR(__xludf.DUMMYFUNCTION("IFERROR(GOOGLEFINANCE(C321, ""changepct"") / 100, """")"),"")</f>
        <v/>
      </c>
      <c r="L321" s="21" t="str">
        <f>IFERROR(__xludf.DUMMYFUNCTION("IFERROR((GOOGLEFINANCE(C321, ""price"") / INDEX(GOOGLEFINANCE(C321, ""price"", TODAY()-7, TODAY()), 2, 2)) - 1, """")"),"")</f>
        <v/>
      </c>
      <c r="M321" s="21" t="str">
        <f>IFERROR(__xludf.DUMMYFUNCTION("IFERROR((GOOGLEFINANCE(C321, ""price"") / INDEX(GOOGLEFINANCE(C321, ""price"", EDATE(TODAY(), -1), TODAY()), 2, 2)) - 1, """")"),"")</f>
        <v/>
      </c>
      <c r="N321" s="21" t="str">
        <f>IFERROR(__xludf.DUMMYFUNCTION("IFERROR((GOOGLEFINANCE(C321, ""price"") / INDEX(GOOGLEFINANCE(C321, ""price"", EDATE(TODAY(), -3), TODAY()), 2, 2)) - 1, """")"),"")</f>
        <v/>
      </c>
      <c r="O321" s="21" t="str">
        <f>IFERROR(__xludf.DUMMYFUNCTION("IFERROR((GOOGLEFINANCE(C321, ""price"") / INDEX(GOOGLEFINANCE(C321, ""price"", EDATE(TODAY(), -6), TODAY()), 2, 2)) - 1, """")"),"")</f>
        <v/>
      </c>
      <c r="P321" s="21" t="str">
        <f>IFERROR(__xludf.DUMMYFUNCTION("IFERROR((GOOGLEFINANCE(C321, ""price"") / INDEX(GOOGLEFINANCE(C321, ""price"", EDATE(TODAY(), -12), TODAY()), 2, 2)) - 1, """")"),"")</f>
        <v/>
      </c>
      <c r="Q321" s="6" t="str">
        <f>IFERROR(__xludf.DUMMYFUNCTION("AVERAGE(QUERY(GOOGLEFINANCE(C321, ""price"", TODAY()-80, TODAY()), ""SELECT Col2 WHERE Col2 IS NOT NULL ORDER BY Col1 DESC LIMIT 50"", 0))"),"#N/A")</f>
        <v>#N/A</v>
      </c>
      <c r="R321" s="24" t="str">
        <f>IFERROR(__xludf.DUMMYFUNCTION("IFERROR(
  LET(
    data, QUERY(GOOGLEFINANCE(C321,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GOOGLEFINANCE(C321, ""price"")) * 100,
    IF(calc=0, G321, calc)
  ), 
G321)"),"#N/A")</f>
        <v>#N/A</v>
      </c>
      <c r="S321" s="8" t="s">
        <v>15</v>
      </c>
      <c r="T321" s="26" t="str">
        <f>IFERROR(__xludf.DUMMYFUNCTION("IFERROR(TRANSPOSE(QUERY(IFERROR(SORT(GOOGLEFINANCE(C321, ""price"", WORKDAY(TODAY(), -40), TODAY()), 1, FALSE)), ""select Col2 where Col2 is not null limit 22 label Col2 ''"", 0)), """")"),"")</f>
        <v/>
      </c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8"/>
      <c r="AO321" s="28"/>
      <c r="AP321" s="29"/>
      <c r="AQ321" s="29" t="str">
        <f t="shared" ref="AQ321:BL321" si="324">T321/T$2</f>
        <v>#N/A</v>
      </c>
      <c r="AR321" s="29" t="str">
        <f t="shared" si="324"/>
        <v>#DIV/0!</v>
      </c>
      <c r="AS321" s="29" t="str">
        <f t="shared" si="324"/>
        <v>#DIV/0!</v>
      </c>
      <c r="AT321" s="29" t="str">
        <f t="shared" si="324"/>
        <v>#DIV/0!</v>
      </c>
      <c r="AU321" s="29" t="str">
        <f t="shared" si="324"/>
        <v>#DIV/0!</v>
      </c>
      <c r="AV321" s="29" t="str">
        <f t="shared" si="324"/>
        <v>#DIV/0!</v>
      </c>
      <c r="AW321" s="29" t="str">
        <f t="shared" si="324"/>
        <v>#DIV/0!</v>
      </c>
      <c r="AX321" s="29" t="str">
        <f t="shared" si="324"/>
        <v>#DIV/0!</v>
      </c>
      <c r="AY321" s="29" t="str">
        <f t="shared" si="324"/>
        <v>#DIV/0!</v>
      </c>
      <c r="AZ321" s="29" t="str">
        <f t="shared" si="324"/>
        <v>#DIV/0!</v>
      </c>
      <c r="BA321" s="29" t="str">
        <f t="shared" si="324"/>
        <v>#DIV/0!</v>
      </c>
      <c r="BB321" s="29" t="str">
        <f t="shared" si="324"/>
        <v>#DIV/0!</v>
      </c>
      <c r="BC321" s="29" t="str">
        <f t="shared" si="324"/>
        <v>#DIV/0!</v>
      </c>
      <c r="BD321" s="29" t="str">
        <f t="shared" si="324"/>
        <v>#DIV/0!</v>
      </c>
      <c r="BE321" s="29" t="str">
        <f t="shared" si="324"/>
        <v>#DIV/0!</v>
      </c>
      <c r="BF321" s="29" t="str">
        <f t="shared" si="324"/>
        <v>#DIV/0!</v>
      </c>
      <c r="BG321" s="29" t="str">
        <f t="shared" si="324"/>
        <v>#DIV/0!</v>
      </c>
      <c r="BH321" s="29" t="str">
        <f t="shared" si="324"/>
        <v>#DIV/0!</v>
      </c>
      <c r="BI321" s="29" t="str">
        <f t="shared" si="324"/>
        <v>#DIV/0!</v>
      </c>
      <c r="BJ321" s="29" t="str">
        <f t="shared" si="324"/>
        <v>#DIV/0!</v>
      </c>
      <c r="BK321" s="29" t="str">
        <f t="shared" si="324"/>
        <v>#DIV/0!</v>
      </c>
      <c r="BL321" s="29" t="str">
        <f t="shared" si="324"/>
        <v>#DIV/0!</v>
      </c>
      <c r="BM321" s="29" t="str">
        <f t="shared" si="3"/>
        <v>#DIV/0!</v>
      </c>
    </row>
    <row r="322">
      <c r="A322" s="16" t="str">
        <f>IFERROR(__xludf.DUMMYFUNCTION("IFERROR(SPARKLINE(SORT(MAP(TRANSPOSE(AQ322:BL322), LAMBDA(val, IF(ISNUMBER(val), PERCENTRANK(AQ322:BL322, val)+0.01, 0))), SEQUENCE(COLUMNS(AQ322:BL322)), FALSE), {""charttype"",""column""; ""color"",""chartreuse""; ""ymin"", 0; ""ymax"", 1.01; ""highcolo"&amp;"r"", ""darkgreen""; ""lowcolor"", ""red""}), """")"),"")</f>
        <v/>
      </c>
      <c r="B322" s="17" t="str">
        <f t="shared" si="4"/>
        <v/>
      </c>
      <c r="C322" s="1" t="s">
        <v>2095</v>
      </c>
      <c r="D322" s="30" t="str">
        <f>IFERROR(__xludf.DUMMYFUNCTION("IFERROR(GOOGLEFINANCE(C322, ""NAME""))"),"Federal Signal Corp")</f>
        <v>Federal Signal Corp</v>
      </c>
      <c r="E322" s="30" t="s">
        <v>936</v>
      </c>
      <c r="F322" s="33" t="str">
        <f>IFERROR(__xludf.DUMMYFUNCTION("( (GOOGLEFINANCE(C322, ""price"") - Q322) / Q322 ) / (R322 / 100)"),"Loading...")</f>
        <v>Loading...</v>
      </c>
      <c r="G322" s="20" t="str">
        <f>IFERROR(__xludf.DUMMYFUNCTION("AVERAGE(ARRAYFORMULA(100 * (QUERY(GOOGLEFINANCE(C322, ""high"", TODAY()-40, TODAY()), ""SELECT Col2 WHERE Col2 IS NOT NULL ORDER BY Col1 DESC LIMIT 20"", 0) / QUERY(GOOGLEFINANCE(C322, ""low"", TODAY()-40, TODAY()), ""SELECT Col2 WHERE Col2 IS NOT NULL OR"&amp;"DER BY Col1 DESC LIMIT 20"", 0) - 1)))"),"#N/A")</f>
        <v>#N/A</v>
      </c>
      <c r="H322" s="35" t="str">
        <f t="shared" si="6"/>
        <v/>
      </c>
      <c r="I322" s="35" t="str">
        <f t="shared" si="7"/>
        <v/>
      </c>
      <c r="J322" s="37" t="str">
        <f>IFERROR(__xludf.DUMMYFUNCTION("IFERROR(
  IF(C322="""",, 
    IFERROR(
      GOOGLEFINANCE(C322, ""price"") * GOOGLEFINANCE(C322, ""volumeavg""), 
      GOOGLEFINANCE(C322, ""price"") * AVERAGE(QUERY(GOOGLEFINANCE(C322, ""volume"", TODAY()-40, TODAY()), ""SELECT Col2 WHERE Col2 IS NOT "&amp;"NULL ORDER BY Col1 DESC LIMIT 20"", 0))
    )
  ), 
"""")"),"")</f>
        <v/>
      </c>
      <c r="K322" s="21" t="str">
        <f>IFERROR(__xludf.DUMMYFUNCTION("IFERROR(GOOGLEFINANCE(C322, ""changepct"") / 100, """")"),"")</f>
        <v/>
      </c>
      <c r="L322" s="21" t="str">
        <f>IFERROR(__xludf.DUMMYFUNCTION("IFERROR((GOOGLEFINANCE(C322, ""price"") / INDEX(GOOGLEFINANCE(C322, ""price"", TODAY()-7, TODAY()), 2, 2)) - 1, """")"),"")</f>
        <v/>
      </c>
      <c r="M322" s="21" t="str">
        <f>IFERROR(__xludf.DUMMYFUNCTION("IFERROR((GOOGLEFINANCE(C322, ""price"") / INDEX(GOOGLEFINANCE(C322, ""price"", EDATE(TODAY(), -1), TODAY()), 2, 2)) - 1, """")"),"")</f>
        <v/>
      </c>
      <c r="N322" s="21" t="str">
        <f>IFERROR(__xludf.DUMMYFUNCTION("IFERROR((GOOGLEFINANCE(C322, ""price"") / INDEX(GOOGLEFINANCE(C322, ""price"", EDATE(TODAY(), -3), TODAY()), 2, 2)) - 1, """")"),"")</f>
        <v/>
      </c>
      <c r="O322" s="21" t="str">
        <f>IFERROR(__xludf.DUMMYFUNCTION("IFERROR((GOOGLEFINANCE(C322, ""price"") / INDEX(GOOGLEFINANCE(C322, ""price"", EDATE(TODAY(), -6), TODAY()), 2, 2)) - 1, """")"),"")</f>
        <v/>
      </c>
      <c r="P322" s="21" t="str">
        <f>IFERROR(__xludf.DUMMYFUNCTION("IFERROR((GOOGLEFINANCE(C322, ""price"") / INDEX(GOOGLEFINANCE(C322, ""price"", EDATE(TODAY(), -12), TODAY()), 2, 2)) - 1, """")"),"")</f>
        <v/>
      </c>
      <c r="Q322" s="6" t="str">
        <f>IFERROR(__xludf.DUMMYFUNCTION("AVERAGE(QUERY(GOOGLEFINANCE(C322, ""price"", TODAY()-80, TODAY()), ""SELECT Col2 WHERE Col2 IS NOT NULL ORDER BY Col1 DESC LIMIT 50"", 0))"),"#N/A")</f>
        <v>#N/A</v>
      </c>
      <c r="R322" s="24" t="str">
        <f>IFERROR(__xludf.DUMMYFUNCTION("IFERROR(
  LET(
    data, QUERY(GOOGLEFINANCE(C322,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GOOGLEFINANCE(C322, ""price"")) * 100,
    IF(calc=0, G322, calc)
  ), 
G322)"),"#N/A")</f>
        <v>#N/A</v>
      </c>
      <c r="S322" s="8" t="s">
        <v>15</v>
      </c>
      <c r="T322" s="26" t="str">
        <f>IFERROR(__xludf.DUMMYFUNCTION("IFERROR(TRANSPOSE(QUERY(IFERROR(SORT(GOOGLEFINANCE(C322, ""price"", WORKDAY(TODAY(), -40), TODAY()), 1, FALSE)), ""select Col2 where Col2 is not null limit 22 label Col2 ''"", 0)), """")"),"")</f>
        <v/>
      </c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8"/>
      <c r="AO322" s="28"/>
      <c r="AP322" s="29"/>
      <c r="AQ322" s="29" t="str">
        <f t="shared" ref="AQ322:BL322" si="325">T322/T$2</f>
        <v>#N/A</v>
      </c>
      <c r="AR322" s="29" t="str">
        <f t="shared" si="325"/>
        <v>#DIV/0!</v>
      </c>
      <c r="AS322" s="29" t="str">
        <f t="shared" si="325"/>
        <v>#DIV/0!</v>
      </c>
      <c r="AT322" s="29" t="str">
        <f t="shared" si="325"/>
        <v>#DIV/0!</v>
      </c>
      <c r="AU322" s="29" t="str">
        <f t="shared" si="325"/>
        <v>#DIV/0!</v>
      </c>
      <c r="AV322" s="29" t="str">
        <f t="shared" si="325"/>
        <v>#DIV/0!</v>
      </c>
      <c r="AW322" s="29" t="str">
        <f t="shared" si="325"/>
        <v>#DIV/0!</v>
      </c>
      <c r="AX322" s="29" t="str">
        <f t="shared" si="325"/>
        <v>#DIV/0!</v>
      </c>
      <c r="AY322" s="29" t="str">
        <f t="shared" si="325"/>
        <v>#DIV/0!</v>
      </c>
      <c r="AZ322" s="29" t="str">
        <f t="shared" si="325"/>
        <v>#DIV/0!</v>
      </c>
      <c r="BA322" s="29" t="str">
        <f t="shared" si="325"/>
        <v>#DIV/0!</v>
      </c>
      <c r="BB322" s="29" t="str">
        <f t="shared" si="325"/>
        <v>#DIV/0!</v>
      </c>
      <c r="BC322" s="29" t="str">
        <f t="shared" si="325"/>
        <v>#DIV/0!</v>
      </c>
      <c r="BD322" s="29" t="str">
        <f t="shared" si="325"/>
        <v>#DIV/0!</v>
      </c>
      <c r="BE322" s="29" t="str">
        <f t="shared" si="325"/>
        <v>#DIV/0!</v>
      </c>
      <c r="BF322" s="29" t="str">
        <f t="shared" si="325"/>
        <v>#DIV/0!</v>
      </c>
      <c r="BG322" s="29" t="str">
        <f t="shared" si="325"/>
        <v>#DIV/0!</v>
      </c>
      <c r="BH322" s="29" t="str">
        <f t="shared" si="325"/>
        <v>#DIV/0!</v>
      </c>
      <c r="BI322" s="29" t="str">
        <f t="shared" si="325"/>
        <v>#DIV/0!</v>
      </c>
      <c r="BJ322" s="29" t="str">
        <f t="shared" si="325"/>
        <v>#DIV/0!</v>
      </c>
      <c r="BK322" s="29" t="str">
        <f t="shared" si="325"/>
        <v>#DIV/0!</v>
      </c>
      <c r="BL322" s="29" t="str">
        <f t="shared" si="325"/>
        <v>#DIV/0!</v>
      </c>
      <c r="BM322" s="29" t="str">
        <f t="shared" si="3"/>
        <v>#DIV/0!</v>
      </c>
    </row>
    <row r="323">
      <c r="A323" s="16" t="str">
        <f>IFERROR(__xludf.DUMMYFUNCTION("IFERROR(SPARKLINE(SORT(MAP(TRANSPOSE(AQ323:BL323), LAMBDA(val, IF(ISNUMBER(val), PERCENTRANK(AQ323:BL323, val)+0.01, 0))), SEQUENCE(COLUMNS(AQ323:BL323)), FALSE), {""charttype"",""column""; ""color"",""chartreuse""; ""ymin"", 0; ""ymax"", 1.01; ""highcolo"&amp;"r"", ""darkgreen""; ""lowcolor"", ""red""}), """")"),"")</f>
        <v/>
      </c>
      <c r="B323" s="17" t="str">
        <f t="shared" si="4"/>
        <v/>
      </c>
      <c r="C323" s="1" t="s">
        <v>2099</v>
      </c>
      <c r="D323" s="30" t="str">
        <f>IFERROR(__xludf.DUMMYFUNCTION("IFERROR(GOOGLEFINANCE(C323, ""NAME""))"),"Emerson Electric Co")</f>
        <v>Emerson Electric Co</v>
      </c>
      <c r="E323" s="30" t="s">
        <v>893</v>
      </c>
      <c r="F323" s="33" t="str">
        <f>IFERROR(__xludf.DUMMYFUNCTION("( (GOOGLEFINANCE(C323, ""price"") - Q323) / Q323 ) / (R323 / 100)"),"Loading...")</f>
        <v>Loading...</v>
      </c>
      <c r="G323" s="20" t="str">
        <f>IFERROR(__xludf.DUMMYFUNCTION("AVERAGE(ARRAYFORMULA(100 * (QUERY(GOOGLEFINANCE(C323, ""high"", TODAY()-40, TODAY()), ""SELECT Col2 WHERE Col2 IS NOT NULL ORDER BY Col1 DESC LIMIT 20"", 0) / QUERY(GOOGLEFINANCE(C323, ""low"", TODAY()-40, TODAY()), ""SELECT Col2 WHERE Col2 IS NOT NULL OR"&amp;"DER BY Col1 DESC LIMIT 20"", 0) - 1)))"),"#N/A")</f>
        <v>#N/A</v>
      </c>
      <c r="H323" s="35" t="str">
        <f t="shared" si="6"/>
        <v/>
      </c>
      <c r="I323" s="35" t="str">
        <f t="shared" si="7"/>
        <v/>
      </c>
      <c r="J323" s="37" t="str">
        <f>IFERROR(__xludf.DUMMYFUNCTION("IFERROR(
  IF(C323="""",, 
    IFERROR(
      GOOGLEFINANCE(C323, ""price"") * GOOGLEFINANCE(C323, ""volumeavg""), 
      GOOGLEFINANCE(C323, ""price"") * AVERAGE(QUERY(GOOGLEFINANCE(C323, ""volume"", TODAY()-40, TODAY()), ""SELECT Col2 WHERE Col2 IS NOT "&amp;"NULL ORDER BY Col1 DESC LIMIT 20"", 0))
    )
  ), 
"""")"),"")</f>
        <v/>
      </c>
      <c r="K323" s="21" t="str">
        <f>IFERROR(__xludf.DUMMYFUNCTION("IFERROR(GOOGLEFINANCE(C323, ""changepct"") / 100, """")"),"")</f>
        <v/>
      </c>
      <c r="L323" s="21" t="str">
        <f>IFERROR(__xludf.DUMMYFUNCTION("IFERROR((GOOGLEFINANCE(C323, ""price"") / INDEX(GOOGLEFINANCE(C323, ""price"", TODAY()-7, TODAY()), 2, 2)) - 1, """")"),"")</f>
        <v/>
      </c>
      <c r="M323" s="21" t="str">
        <f>IFERROR(__xludf.DUMMYFUNCTION("IFERROR((GOOGLEFINANCE(C323, ""price"") / INDEX(GOOGLEFINANCE(C323, ""price"", EDATE(TODAY(), -1), TODAY()), 2, 2)) - 1, """")"),"")</f>
        <v/>
      </c>
      <c r="N323" s="21" t="str">
        <f>IFERROR(__xludf.DUMMYFUNCTION("IFERROR((GOOGLEFINANCE(C323, ""price"") / INDEX(GOOGLEFINANCE(C323, ""price"", EDATE(TODAY(), -3), TODAY()), 2, 2)) - 1, """")"),"")</f>
        <v/>
      </c>
      <c r="O323" s="21" t="str">
        <f>IFERROR(__xludf.DUMMYFUNCTION("IFERROR((GOOGLEFINANCE(C323, ""price"") / INDEX(GOOGLEFINANCE(C323, ""price"", EDATE(TODAY(), -6), TODAY()), 2, 2)) - 1, """")"),"")</f>
        <v/>
      </c>
      <c r="P323" s="21" t="str">
        <f>IFERROR(__xludf.DUMMYFUNCTION("IFERROR((GOOGLEFINANCE(C323, ""price"") / INDEX(GOOGLEFINANCE(C323, ""price"", EDATE(TODAY(), -12), TODAY()), 2, 2)) - 1, """")"),"")</f>
        <v/>
      </c>
      <c r="Q323" s="6" t="str">
        <f>IFERROR(__xludf.DUMMYFUNCTION("AVERAGE(QUERY(GOOGLEFINANCE(C323, ""price"", TODAY()-80, TODAY()), ""SELECT Col2 WHERE Col2 IS NOT NULL ORDER BY Col1 DESC LIMIT 50"", 0))"),"#N/A")</f>
        <v>#N/A</v>
      </c>
      <c r="R323" s="24" t="str">
        <f>IFERROR(__xludf.DUMMYFUNCTION("IFERROR(
  LET(
    data, QUERY(GOOGLEFINANCE(C323,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GOOGLEFINANCE(C323, ""price"")) * 100,
    IF(calc=0, G323, calc)
  ), 
G323)"),"#N/A")</f>
        <v>#N/A</v>
      </c>
      <c r="S323" s="8" t="s">
        <v>15</v>
      </c>
      <c r="T323" s="26" t="str">
        <f>IFERROR(__xludf.DUMMYFUNCTION("IFERROR(TRANSPOSE(QUERY(IFERROR(SORT(GOOGLEFINANCE(C323, ""price"", WORKDAY(TODAY(), -40), TODAY()), 1, FALSE)), ""select Col2 where Col2 is not null limit 22 label Col2 ''"", 0)), """")"),"")</f>
        <v/>
      </c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8"/>
      <c r="AO323" s="28"/>
      <c r="AP323" s="29"/>
      <c r="AQ323" s="29" t="str">
        <f t="shared" ref="AQ323:BL323" si="326">T323/T$2</f>
        <v>#N/A</v>
      </c>
      <c r="AR323" s="29" t="str">
        <f t="shared" si="326"/>
        <v>#DIV/0!</v>
      </c>
      <c r="AS323" s="29" t="str">
        <f t="shared" si="326"/>
        <v>#DIV/0!</v>
      </c>
      <c r="AT323" s="29" t="str">
        <f t="shared" si="326"/>
        <v>#DIV/0!</v>
      </c>
      <c r="AU323" s="29" t="str">
        <f t="shared" si="326"/>
        <v>#DIV/0!</v>
      </c>
      <c r="AV323" s="29" t="str">
        <f t="shared" si="326"/>
        <v>#DIV/0!</v>
      </c>
      <c r="AW323" s="29" t="str">
        <f t="shared" si="326"/>
        <v>#DIV/0!</v>
      </c>
      <c r="AX323" s="29" t="str">
        <f t="shared" si="326"/>
        <v>#DIV/0!</v>
      </c>
      <c r="AY323" s="29" t="str">
        <f t="shared" si="326"/>
        <v>#DIV/0!</v>
      </c>
      <c r="AZ323" s="29" t="str">
        <f t="shared" si="326"/>
        <v>#DIV/0!</v>
      </c>
      <c r="BA323" s="29" t="str">
        <f t="shared" si="326"/>
        <v>#DIV/0!</v>
      </c>
      <c r="BB323" s="29" t="str">
        <f t="shared" si="326"/>
        <v>#DIV/0!</v>
      </c>
      <c r="BC323" s="29" t="str">
        <f t="shared" si="326"/>
        <v>#DIV/0!</v>
      </c>
      <c r="BD323" s="29" t="str">
        <f t="shared" si="326"/>
        <v>#DIV/0!</v>
      </c>
      <c r="BE323" s="29" t="str">
        <f t="shared" si="326"/>
        <v>#DIV/0!</v>
      </c>
      <c r="BF323" s="29" t="str">
        <f t="shared" si="326"/>
        <v>#DIV/0!</v>
      </c>
      <c r="BG323" s="29" t="str">
        <f t="shared" si="326"/>
        <v>#DIV/0!</v>
      </c>
      <c r="BH323" s="29" t="str">
        <f t="shared" si="326"/>
        <v>#DIV/0!</v>
      </c>
      <c r="BI323" s="29" t="str">
        <f t="shared" si="326"/>
        <v>#DIV/0!</v>
      </c>
      <c r="BJ323" s="29" t="str">
        <f t="shared" si="326"/>
        <v>#DIV/0!</v>
      </c>
      <c r="BK323" s="29" t="str">
        <f t="shared" si="326"/>
        <v>#DIV/0!</v>
      </c>
      <c r="BL323" s="29" t="str">
        <f t="shared" si="326"/>
        <v>#DIV/0!</v>
      </c>
      <c r="BM323" s="29" t="str">
        <f t="shared" si="3"/>
        <v>#DIV/0!</v>
      </c>
    </row>
    <row r="324">
      <c r="A324" s="16" t="str">
        <f>IFERROR(__xludf.DUMMYFUNCTION("IFERROR(SPARKLINE(SORT(MAP(TRANSPOSE(AQ324:BL324), LAMBDA(val, IF(ISNUMBER(val), PERCENTRANK(AQ324:BL324, val)+0.01, 0))), SEQUENCE(COLUMNS(AQ324:BL324)), FALSE), {""charttype"",""column""; ""color"",""chartreuse""; ""ymin"", 0; ""ymax"", 1.01; ""highcolo"&amp;"r"", ""darkgreen""; ""lowcolor"", ""red""}), """")"),"")</f>
        <v/>
      </c>
      <c r="B324" s="17" t="str">
        <f t="shared" si="4"/>
        <v/>
      </c>
      <c r="C324" s="1" t="s">
        <v>2103</v>
      </c>
      <c r="D324" s="30" t="str">
        <f>IFERROR(__xludf.DUMMYFUNCTION("IFERROR(GOOGLEFINANCE(C324, ""NAME""))"),"Titan International Inc")</f>
        <v>Titan International Inc</v>
      </c>
      <c r="E324" s="30" t="s">
        <v>1036</v>
      </c>
      <c r="F324" s="33" t="str">
        <f>IFERROR(__xludf.DUMMYFUNCTION("( (GOOGLEFINANCE(C324, ""price"") - Q324) / Q324 ) / (R324 / 100)"),"Loading...")</f>
        <v>Loading...</v>
      </c>
      <c r="G324" s="20" t="str">
        <f>IFERROR(__xludf.DUMMYFUNCTION("AVERAGE(ARRAYFORMULA(100 * (QUERY(GOOGLEFINANCE(C324, ""high"", TODAY()-40, TODAY()), ""SELECT Col2 WHERE Col2 IS NOT NULL ORDER BY Col1 DESC LIMIT 20"", 0) / QUERY(GOOGLEFINANCE(C324, ""low"", TODAY()-40, TODAY()), ""SELECT Col2 WHERE Col2 IS NOT NULL OR"&amp;"DER BY Col1 DESC LIMIT 20"", 0) - 1)))"),"#N/A")</f>
        <v>#N/A</v>
      </c>
      <c r="H324" s="35" t="str">
        <f t="shared" si="6"/>
        <v/>
      </c>
      <c r="I324" s="35" t="str">
        <f t="shared" si="7"/>
        <v/>
      </c>
      <c r="J324" s="37" t="str">
        <f>IFERROR(__xludf.DUMMYFUNCTION("IFERROR(
  IF(C324="""",, 
    IFERROR(
      GOOGLEFINANCE(C324, ""price"") * GOOGLEFINANCE(C324, ""volumeavg""), 
      GOOGLEFINANCE(C324, ""price"") * AVERAGE(QUERY(GOOGLEFINANCE(C324, ""volume"", TODAY()-40, TODAY()), ""SELECT Col2 WHERE Col2 IS NOT "&amp;"NULL ORDER BY Col1 DESC LIMIT 20"", 0))
    )
  ), 
"""")"),"")</f>
        <v/>
      </c>
      <c r="K324" s="21" t="str">
        <f>IFERROR(__xludf.DUMMYFUNCTION("IFERROR(GOOGLEFINANCE(C324, ""changepct"") / 100, """")"),"")</f>
        <v/>
      </c>
      <c r="L324" s="21" t="str">
        <f>IFERROR(__xludf.DUMMYFUNCTION("IFERROR((GOOGLEFINANCE(C324, ""price"") / INDEX(GOOGLEFINANCE(C324, ""price"", TODAY()-7, TODAY()), 2, 2)) - 1, """")"),"")</f>
        <v/>
      </c>
      <c r="M324" s="21" t="str">
        <f>IFERROR(__xludf.DUMMYFUNCTION("IFERROR((GOOGLEFINANCE(C324, ""price"") / INDEX(GOOGLEFINANCE(C324, ""price"", EDATE(TODAY(), -1), TODAY()), 2, 2)) - 1, """")"),"")</f>
        <v/>
      </c>
      <c r="N324" s="21" t="str">
        <f>IFERROR(__xludf.DUMMYFUNCTION("IFERROR((GOOGLEFINANCE(C324, ""price"") / INDEX(GOOGLEFINANCE(C324, ""price"", EDATE(TODAY(), -3), TODAY()), 2, 2)) - 1, """")"),"")</f>
        <v/>
      </c>
      <c r="O324" s="21" t="str">
        <f>IFERROR(__xludf.DUMMYFUNCTION("IFERROR((GOOGLEFINANCE(C324, ""price"") / INDEX(GOOGLEFINANCE(C324, ""price"", EDATE(TODAY(), -6), TODAY()), 2, 2)) - 1, """")"),"")</f>
        <v/>
      </c>
      <c r="P324" s="21" t="str">
        <f>IFERROR(__xludf.DUMMYFUNCTION("IFERROR((GOOGLEFINANCE(C324, ""price"") / INDEX(GOOGLEFINANCE(C324, ""price"", EDATE(TODAY(), -12), TODAY()), 2, 2)) - 1, """")"),"")</f>
        <v/>
      </c>
      <c r="Q324" s="6" t="str">
        <f>IFERROR(__xludf.DUMMYFUNCTION("AVERAGE(QUERY(GOOGLEFINANCE(C324, ""price"", TODAY()-80, TODAY()), ""SELECT Col2 WHERE Col2 IS NOT NULL ORDER BY Col1 DESC LIMIT 50"", 0))"),"#N/A")</f>
        <v>#N/A</v>
      </c>
      <c r="R324" s="24" t="str">
        <f>IFERROR(__xludf.DUMMYFUNCTION("IFERROR(
  LET(
    data, QUERY(GOOGLEFINANCE(C324,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GOOGLEFINANCE(C324, ""price"")) * 100,
    IF(calc=0, G324, calc)
  ), 
G324)"),"#N/A")</f>
        <v>#N/A</v>
      </c>
      <c r="S324" s="8" t="s">
        <v>15</v>
      </c>
      <c r="T324" s="26" t="str">
        <f>IFERROR(__xludf.DUMMYFUNCTION("IFERROR(TRANSPOSE(QUERY(IFERROR(SORT(GOOGLEFINANCE(C324, ""price"", WORKDAY(TODAY(), -40), TODAY()), 1, FALSE)), ""select Col2 where Col2 is not null limit 22 label Col2 ''"", 0)), """")"),"")</f>
        <v/>
      </c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8"/>
      <c r="AO324" s="28"/>
      <c r="AP324" s="29"/>
      <c r="AQ324" s="29" t="str">
        <f t="shared" ref="AQ324:BL324" si="327">T324/T$2</f>
        <v>#N/A</v>
      </c>
      <c r="AR324" s="29" t="str">
        <f t="shared" si="327"/>
        <v>#DIV/0!</v>
      </c>
      <c r="AS324" s="29" t="str">
        <f t="shared" si="327"/>
        <v>#DIV/0!</v>
      </c>
      <c r="AT324" s="29" t="str">
        <f t="shared" si="327"/>
        <v>#DIV/0!</v>
      </c>
      <c r="AU324" s="29" t="str">
        <f t="shared" si="327"/>
        <v>#DIV/0!</v>
      </c>
      <c r="AV324" s="29" t="str">
        <f t="shared" si="327"/>
        <v>#DIV/0!</v>
      </c>
      <c r="AW324" s="29" t="str">
        <f t="shared" si="327"/>
        <v>#DIV/0!</v>
      </c>
      <c r="AX324" s="29" t="str">
        <f t="shared" si="327"/>
        <v>#DIV/0!</v>
      </c>
      <c r="AY324" s="29" t="str">
        <f t="shared" si="327"/>
        <v>#DIV/0!</v>
      </c>
      <c r="AZ324" s="29" t="str">
        <f t="shared" si="327"/>
        <v>#DIV/0!</v>
      </c>
      <c r="BA324" s="29" t="str">
        <f t="shared" si="327"/>
        <v>#DIV/0!</v>
      </c>
      <c r="BB324" s="29" t="str">
        <f t="shared" si="327"/>
        <v>#DIV/0!</v>
      </c>
      <c r="BC324" s="29" t="str">
        <f t="shared" si="327"/>
        <v>#DIV/0!</v>
      </c>
      <c r="BD324" s="29" t="str">
        <f t="shared" si="327"/>
        <v>#DIV/0!</v>
      </c>
      <c r="BE324" s="29" t="str">
        <f t="shared" si="327"/>
        <v>#DIV/0!</v>
      </c>
      <c r="BF324" s="29" t="str">
        <f t="shared" si="327"/>
        <v>#DIV/0!</v>
      </c>
      <c r="BG324" s="29" t="str">
        <f t="shared" si="327"/>
        <v>#DIV/0!</v>
      </c>
      <c r="BH324" s="29" t="str">
        <f t="shared" si="327"/>
        <v>#DIV/0!</v>
      </c>
      <c r="BI324" s="29" t="str">
        <f t="shared" si="327"/>
        <v>#DIV/0!</v>
      </c>
      <c r="BJ324" s="29" t="str">
        <f t="shared" si="327"/>
        <v>#DIV/0!</v>
      </c>
      <c r="BK324" s="29" t="str">
        <f t="shared" si="327"/>
        <v>#DIV/0!</v>
      </c>
      <c r="BL324" s="29" t="str">
        <f t="shared" si="327"/>
        <v>#DIV/0!</v>
      </c>
      <c r="BM324" s="29" t="str">
        <f t="shared" si="3"/>
        <v>#DIV/0!</v>
      </c>
    </row>
    <row r="325">
      <c r="A325" s="16" t="str">
        <f>IFERROR(__xludf.DUMMYFUNCTION("IFERROR(SPARKLINE(SORT(MAP(TRANSPOSE(AQ325:BL325), LAMBDA(val, IF(ISNUMBER(val), PERCENTRANK(AQ325:BL325, val)+0.01, 0))), SEQUENCE(COLUMNS(AQ325:BL325)), FALSE), {""charttype"",""column""; ""color"",""chartreuse""; ""ymin"", 0; ""ymax"", 1.01; ""highcolo"&amp;"r"", ""darkgreen""; ""lowcolor"", ""red""}), """")"),"")</f>
        <v/>
      </c>
      <c r="B325" s="17" t="str">
        <f t="shared" si="4"/>
        <v/>
      </c>
      <c r="C325" s="1" t="s">
        <v>2108</v>
      </c>
      <c r="D325" s="30" t="str">
        <f>IFERROR(__xludf.DUMMYFUNCTION("IFERROR(GOOGLEFINANCE(C325, ""NAME""))"),"National Presto Industries Inc")</f>
        <v>National Presto Industries Inc</v>
      </c>
      <c r="E325" s="30" t="s">
        <v>839</v>
      </c>
      <c r="F325" s="38" t="str">
        <f>IFERROR(__xludf.DUMMYFUNCTION("( (GOOGLEFINANCE(C325, ""price"") - Q325) / Q325 ) / (R325 / 100)"),"Loading...")</f>
        <v>Loading...</v>
      </c>
      <c r="G325" s="20" t="str">
        <f>IFERROR(__xludf.DUMMYFUNCTION("AVERAGE(ARRAYFORMULA(100 * (QUERY(GOOGLEFINANCE(C325, ""high"", TODAY()-40, TODAY()), ""SELECT Col2 WHERE Col2 IS NOT NULL ORDER BY Col1 DESC LIMIT 20"", 0) / QUERY(GOOGLEFINANCE(C325, ""low"", TODAY()-40, TODAY()), ""SELECT Col2 WHERE Col2 IS NOT NULL OR"&amp;"DER BY Col1 DESC LIMIT 20"", 0) - 1)))"),"#N/A")</f>
        <v>#N/A</v>
      </c>
      <c r="H325" s="35" t="str">
        <f t="shared" si="6"/>
        <v/>
      </c>
      <c r="I325" s="35" t="str">
        <f t="shared" si="7"/>
        <v/>
      </c>
      <c r="J325" s="37" t="str">
        <f>IFERROR(__xludf.DUMMYFUNCTION("IFERROR(
  IF(C325="""",, 
    IFERROR(
      GOOGLEFINANCE(C325, ""price"") * GOOGLEFINANCE(C325, ""volumeavg""), 
      GOOGLEFINANCE(C325, ""price"") * AVERAGE(QUERY(GOOGLEFINANCE(C325, ""volume"", TODAY()-40, TODAY()), ""SELECT Col2 WHERE Col2 IS NOT "&amp;"NULL ORDER BY Col1 DESC LIMIT 20"", 0))
    )
  ), 
"""")"),"")</f>
        <v/>
      </c>
      <c r="K325" s="21" t="str">
        <f>IFERROR(__xludf.DUMMYFUNCTION("IFERROR(GOOGLEFINANCE(C325, ""changepct"") / 100, """")"),"")</f>
        <v/>
      </c>
      <c r="L325" s="21" t="str">
        <f>IFERROR(__xludf.DUMMYFUNCTION("IFERROR((GOOGLEFINANCE(C325, ""price"") / INDEX(GOOGLEFINANCE(C325, ""price"", TODAY()-7, TODAY()), 2, 2)) - 1, """")"),"")</f>
        <v/>
      </c>
      <c r="M325" s="21" t="str">
        <f>IFERROR(__xludf.DUMMYFUNCTION("IFERROR((GOOGLEFINANCE(C325, ""price"") / INDEX(GOOGLEFINANCE(C325, ""price"", EDATE(TODAY(), -1), TODAY()), 2, 2)) - 1, """")"),"")</f>
        <v/>
      </c>
      <c r="N325" s="21" t="str">
        <f>IFERROR(__xludf.DUMMYFUNCTION("IFERROR((GOOGLEFINANCE(C325, ""price"") / INDEX(GOOGLEFINANCE(C325, ""price"", EDATE(TODAY(), -3), TODAY()), 2, 2)) - 1, """")"),"")</f>
        <v/>
      </c>
      <c r="O325" s="21" t="str">
        <f>IFERROR(__xludf.DUMMYFUNCTION("IFERROR((GOOGLEFINANCE(C325, ""price"") / INDEX(GOOGLEFINANCE(C325, ""price"", EDATE(TODAY(), -6), TODAY()), 2, 2)) - 1, """")"),"")</f>
        <v/>
      </c>
      <c r="P325" s="21" t="str">
        <f>IFERROR(__xludf.DUMMYFUNCTION("IFERROR((GOOGLEFINANCE(C325, ""price"") / INDEX(GOOGLEFINANCE(C325, ""price"", EDATE(TODAY(), -12), TODAY()), 2, 2)) - 1, """")"),"")</f>
        <v/>
      </c>
      <c r="Q325" s="6" t="str">
        <f>IFERROR(__xludf.DUMMYFUNCTION("AVERAGE(QUERY(GOOGLEFINANCE(C325, ""price"", TODAY()-80, TODAY()), ""SELECT Col2 WHERE Col2 IS NOT NULL ORDER BY Col1 DESC LIMIT 50"", 0))"),"#N/A")</f>
        <v>#N/A</v>
      </c>
      <c r="R325" s="24" t="str">
        <f>IFERROR(__xludf.DUMMYFUNCTION("IFERROR(
  LET(
    data, QUERY(GOOGLEFINANCE(C325,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GOOGLEFINANCE(C325, ""price"")) * 100,
    IF(calc=0, G325, calc)
  ), 
G325)"),"#N/A")</f>
        <v>#N/A</v>
      </c>
      <c r="S325" s="8" t="s">
        <v>15</v>
      </c>
      <c r="T325" s="26" t="str">
        <f>IFERROR(__xludf.DUMMYFUNCTION("IFERROR(TRANSPOSE(QUERY(IFERROR(SORT(GOOGLEFINANCE(C325, ""price"", WORKDAY(TODAY(), -40), TODAY()), 1, FALSE)), ""select Col2 where Col2 is not null limit 22 label Col2 ''"", 0)), """")"),"")</f>
        <v/>
      </c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8"/>
      <c r="AO325" s="28"/>
      <c r="AP325" s="29"/>
      <c r="AQ325" s="29" t="str">
        <f t="shared" ref="AQ325:BL325" si="328">T325/T$2</f>
        <v>#N/A</v>
      </c>
      <c r="AR325" s="29" t="str">
        <f t="shared" si="328"/>
        <v>#DIV/0!</v>
      </c>
      <c r="AS325" s="29" t="str">
        <f t="shared" si="328"/>
        <v>#DIV/0!</v>
      </c>
      <c r="AT325" s="29" t="str">
        <f t="shared" si="328"/>
        <v>#DIV/0!</v>
      </c>
      <c r="AU325" s="29" t="str">
        <f t="shared" si="328"/>
        <v>#DIV/0!</v>
      </c>
      <c r="AV325" s="29" t="str">
        <f t="shared" si="328"/>
        <v>#DIV/0!</v>
      </c>
      <c r="AW325" s="29" t="str">
        <f t="shared" si="328"/>
        <v>#DIV/0!</v>
      </c>
      <c r="AX325" s="29" t="str">
        <f t="shared" si="328"/>
        <v>#DIV/0!</v>
      </c>
      <c r="AY325" s="29" t="str">
        <f t="shared" si="328"/>
        <v>#DIV/0!</v>
      </c>
      <c r="AZ325" s="29" t="str">
        <f t="shared" si="328"/>
        <v>#DIV/0!</v>
      </c>
      <c r="BA325" s="29" t="str">
        <f t="shared" si="328"/>
        <v>#DIV/0!</v>
      </c>
      <c r="BB325" s="29" t="str">
        <f t="shared" si="328"/>
        <v>#DIV/0!</v>
      </c>
      <c r="BC325" s="29" t="str">
        <f t="shared" si="328"/>
        <v>#DIV/0!</v>
      </c>
      <c r="BD325" s="29" t="str">
        <f t="shared" si="328"/>
        <v>#DIV/0!</v>
      </c>
      <c r="BE325" s="29" t="str">
        <f t="shared" si="328"/>
        <v>#DIV/0!</v>
      </c>
      <c r="BF325" s="29" t="str">
        <f t="shared" si="328"/>
        <v>#DIV/0!</v>
      </c>
      <c r="BG325" s="29" t="str">
        <f t="shared" si="328"/>
        <v>#DIV/0!</v>
      </c>
      <c r="BH325" s="29" t="str">
        <f t="shared" si="328"/>
        <v>#DIV/0!</v>
      </c>
      <c r="BI325" s="29" t="str">
        <f t="shared" si="328"/>
        <v>#DIV/0!</v>
      </c>
      <c r="BJ325" s="29" t="str">
        <f t="shared" si="328"/>
        <v>#DIV/0!</v>
      </c>
      <c r="BK325" s="29" t="str">
        <f t="shared" si="328"/>
        <v>#DIV/0!</v>
      </c>
      <c r="BL325" s="29" t="str">
        <f t="shared" si="328"/>
        <v>#DIV/0!</v>
      </c>
      <c r="BM325" s="29" t="str">
        <f t="shared" si="3"/>
        <v>#DIV/0!</v>
      </c>
    </row>
    <row r="326">
      <c r="A326" s="16" t="str">
        <f>IFERROR(__xludf.DUMMYFUNCTION("IFERROR(SPARKLINE(SORT(MAP(TRANSPOSE(AQ326:BL326), LAMBDA(val, IF(ISNUMBER(val), PERCENTRANK(AQ326:BL326, val)+0.01, 0))), SEQUENCE(COLUMNS(AQ326:BL326)), FALSE), {""charttype"",""column""; ""color"",""chartreuse""; ""ymin"", 0; ""ymax"", 1.01; ""highcolo"&amp;"r"", ""darkgreen""; ""lowcolor"", ""red""}), """")"),"")</f>
        <v/>
      </c>
      <c r="B326" s="17" t="str">
        <f t="shared" si="4"/>
        <v/>
      </c>
      <c r="C326" s="1" t="s">
        <v>2112</v>
      </c>
      <c r="D326" s="30" t="str">
        <f>IFERROR(__xludf.DUMMYFUNCTION("IFERROR(GOOGLEFINANCE(C326, ""NAME""))"),"Cass Information Systems Inc")</f>
        <v>Cass Information Systems Inc</v>
      </c>
      <c r="E326" s="30" t="s">
        <v>916</v>
      </c>
      <c r="F326" s="33" t="str">
        <f>IFERROR(__xludf.DUMMYFUNCTION("( (GOOGLEFINANCE(C326, ""price"") - Q326) / Q326 ) / (R326 / 100)"),"Loading...")</f>
        <v>Loading...</v>
      </c>
      <c r="G326" s="20" t="str">
        <f>IFERROR(__xludf.DUMMYFUNCTION("AVERAGE(ARRAYFORMULA(100 * (QUERY(GOOGLEFINANCE(C326, ""high"", TODAY()-40, TODAY()), ""SELECT Col2 WHERE Col2 IS NOT NULL ORDER BY Col1 DESC LIMIT 20"", 0) / QUERY(GOOGLEFINANCE(C326, ""low"", TODAY()-40, TODAY()), ""SELECT Col2 WHERE Col2 IS NOT NULL OR"&amp;"DER BY Col1 DESC LIMIT 20"", 0) - 1)))"),"#N/A")</f>
        <v>#N/A</v>
      </c>
      <c r="H326" s="35" t="str">
        <f t="shared" si="6"/>
        <v/>
      </c>
      <c r="I326" s="35" t="str">
        <f t="shared" si="7"/>
        <v/>
      </c>
      <c r="J326" s="37" t="str">
        <f>IFERROR(__xludf.DUMMYFUNCTION("IFERROR(
  IF(C326="""",, 
    IFERROR(
      GOOGLEFINANCE(C326, ""price"") * GOOGLEFINANCE(C326, ""volumeavg""), 
      GOOGLEFINANCE(C326, ""price"") * AVERAGE(QUERY(GOOGLEFINANCE(C326, ""volume"", TODAY()-40, TODAY()), ""SELECT Col2 WHERE Col2 IS NOT "&amp;"NULL ORDER BY Col1 DESC LIMIT 20"", 0))
    )
  ), 
"""")"),"")</f>
        <v/>
      </c>
      <c r="K326" s="21" t="str">
        <f>IFERROR(__xludf.DUMMYFUNCTION("IFERROR(GOOGLEFINANCE(C326, ""changepct"") / 100, """")"),"")</f>
        <v/>
      </c>
      <c r="L326" s="21" t="str">
        <f>IFERROR(__xludf.DUMMYFUNCTION("IFERROR((GOOGLEFINANCE(C326, ""price"") / INDEX(GOOGLEFINANCE(C326, ""price"", TODAY()-7, TODAY()), 2, 2)) - 1, """")"),"")</f>
        <v/>
      </c>
      <c r="M326" s="21" t="str">
        <f>IFERROR(__xludf.DUMMYFUNCTION("IFERROR((GOOGLEFINANCE(C326, ""price"") / INDEX(GOOGLEFINANCE(C326, ""price"", EDATE(TODAY(), -1), TODAY()), 2, 2)) - 1, """")"),"")</f>
        <v/>
      </c>
      <c r="N326" s="21" t="str">
        <f>IFERROR(__xludf.DUMMYFUNCTION("IFERROR((GOOGLEFINANCE(C326, ""price"") / INDEX(GOOGLEFINANCE(C326, ""price"", EDATE(TODAY(), -3), TODAY()), 2, 2)) - 1, """")"),"")</f>
        <v/>
      </c>
      <c r="O326" s="21" t="str">
        <f>IFERROR(__xludf.DUMMYFUNCTION("IFERROR((GOOGLEFINANCE(C326, ""price"") / INDEX(GOOGLEFINANCE(C326, ""price"", EDATE(TODAY(), -6), TODAY()), 2, 2)) - 1, """")"),"")</f>
        <v/>
      </c>
      <c r="P326" s="21" t="str">
        <f>IFERROR(__xludf.DUMMYFUNCTION("IFERROR((GOOGLEFINANCE(C326, ""price"") / INDEX(GOOGLEFINANCE(C326, ""price"", EDATE(TODAY(), -12), TODAY()), 2, 2)) - 1, """")"),"")</f>
        <v/>
      </c>
      <c r="Q326" s="6" t="str">
        <f>IFERROR(__xludf.DUMMYFUNCTION("AVERAGE(QUERY(GOOGLEFINANCE(C326, ""price"", TODAY()-80, TODAY()), ""SELECT Col2 WHERE Col2 IS NOT NULL ORDER BY Col1 DESC LIMIT 50"", 0))"),"#N/A")</f>
        <v>#N/A</v>
      </c>
      <c r="R326" s="24" t="str">
        <f>IFERROR(__xludf.DUMMYFUNCTION("IFERROR(
  LET(
    data, QUERY(GOOGLEFINANCE(C326,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GOOGLEFINANCE(C326, ""price"")) * 100,
    IF(calc=0, G326, calc)
  ), 
G326)"),"#N/A")</f>
        <v>#N/A</v>
      </c>
      <c r="S326" s="8" t="s">
        <v>15</v>
      </c>
      <c r="T326" s="26" t="str">
        <f>IFERROR(__xludf.DUMMYFUNCTION("IFERROR(TRANSPOSE(QUERY(IFERROR(SORT(GOOGLEFINANCE(C326, ""price"", WORKDAY(TODAY(), -40), TODAY()), 1, FALSE)), ""select Col2 where Col2 is not null limit 22 label Col2 ''"", 0)), """")"),"")</f>
        <v/>
      </c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8"/>
      <c r="AO326" s="28"/>
      <c r="AP326" s="29"/>
      <c r="AQ326" s="29" t="str">
        <f t="shared" ref="AQ326:BL326" si="329">T326/T$2</f>
        <v>#N/A</v>
      </c>
      <c r="AR326" s="29" t="str">
        <f t="shared" si="329"/>
        <v>#DIV/0!</v>
      </c>
      <c r="AS326" s="29" t="str">
        <f t="shared" si="329"/>
        <v>#DIV/0!</v>
      </c>
      <c r="AT326" s="29" t="str">
        <f t="shared" si="329"/>
        <v>#DIV/0!</v>
      </c>
      <c r="AU326" s="29" t="str">
        <f t="shared" si="329"/>
        <v>#DIV/0!</v>
      </c>
      <c r="AV326" s="29" t="str">
        <f t="shared" si="329"/>
        <v>#DIV/0!</v>
      </c>
      <c r="AW326" s="29" t="str">
        <f t="shared" si="329"/>
        <v>#DIV/0!</v>
      </c>
      <c r="AX326" s="29" t="str">
        <f t="shared" si="329"/>
        <v>#DIV/0!</v>
      </c>
      <c r="AY326" s="29" t="str">
        <f t="shared" si="329"/>
        <v>#DIV/0!</v>
      </c>
      <c r="AZ326" s="29" t="str">
        <f t="shared" si="329"/>
        <v>#DIV/0!</v>
      </c>
      <c r="BA326" s="29" t="str">
        <f t="shared" si="329"/>
        <v>#DIV/0!</v>
      </c>
      <c r="BB326" s="29" t="str">
        <f t="shared" si="329"/>
        <v>#DIV/0!</v>
      </c>
      <c r="BC326" s="29" t="str">
        <f t="shared" si="329"/>
        <v>#DIV/0!</v>
      </c>
      <c r="BD326" s="29" t="str">
        <f t="shared" si="329"/>
        <v>#DIV/0!</v>
      </c>
      <c r="BE326" s="29" t="str">
        <f t="shared" si="329"/>
        <v>#DIV/0!</v>
      </c>
      <c r="BF326" s="29" t="str">
        <f t="shared" si="329"/>
        <v>#DIV/0!</v>
      </c>
      <c r="BG326" s="29" t="str">
        <f t="shared" si="329"/>
        <v>#DIV/0!</v>
      </c>
      <c r="BH326" s="29" t="str">
        <f t="shared" si="329"/>
        <v>#DIV/0!</v>
      </c>
      <c r="BI326" s="29" t="str">
        <f t="shared" si="329"/>
        <v>#DIV/0!</v>
      </c>
      <c r="BJ326" s="29" t="str">
        <f t="shared" si="329"/>
        <v>#DIV/0!</v>
      </c>
      <c r="BK326" s="29" t="str">
        <f t="shared" si="329"/>
        <v>#DIV/0!</v>
      </c>
      <c r="BL326" s="29" t="str">
        <f t="shared" si="329"/>
        <v>#DIV/0!</v>
      </c>
      <c r="BM326" s="29" t="str">
        <f t="shared" si="3"/>
        <v>#DIV/0!</v>
      </c>
    </row>
    <row r="327">
      <c r="A327" s="16" t="str">
        <f>IFERROR(__xludf.DUMMYFUNCTION("IFERROR(SPARKLINE(SORT(MAP(TRANSPOSE(AQ327:BL327), LAMBDA(val, IF(ISNUMBER(val), PERCENTRANK(AQ327:BL327, val)+0.01, 0))), SEQUENCE(COLUMNS(AQ327:BL327)), FALSE), {""charttype"",""column""; ""color"",""chartreuse""; ""ymin"", 0; ""ymax"", 1.01; ""highcolo"&amp;"r"", ""darkgreen""; ""lowcolor"", ""red""}), """")"),"")</f>
        <v/>
      </c>
      <c r="B327" s="17" t="str">
        <f t="shared" si="4"/>
        <v/>
      </c>
      <c r="C327" s="1" t="s">
        <v>2118</v>
      </c>
      <c r="D327" s="30" t="str">
        <f>IFERROR(__xludf.DUMMYFUNCTION("IFERROR(GOOGLEFINANCE(C327, ""NAME""))"),"Ferrovial NV")</f>
        <v>Ferrovial NV</v>
      </c>
      <c r="E327" s="30" t="s">
        <v>856</v>
      </c>
      <c r="F327" s="33" t="str">
        <f>IFERROR(__xludf.DUMMYFUNCTION("( (GOOGLEFINANCE(C327, ""price"") - Q327) / Q327 ) / (R327 / 100)"),"Loading...")</f>
        <v>Loading...</v>
      </c>
      <c r="G327" s="20" t="str">
        <f>IFERROR(__xludf.DUMMYFUNCTION("AVERAGE(ARRAYFORMULA(100 * (QUERY(GOOGLEFINANCE(C327, ""high"", TODAY()-40, TODAY()), ""SELECT Col2 WHERE Col2 IS NOT NULL ORDER BY Col1 DESC LIMIT 20"", 0) / QUERY(GOOGLEFINANCE(C327, ""low"", TODAY()-40, TODAY()), ""SELECT Col2 WHERE Col2 IS NOT NULL OR"&amp;"DER BY Col1 DESC LIMIT 20"", 0) - 1)))"),"#N/A")</f>
        <v>#N/A</v>
      </c>
      <c r="H327" s="35" t="str">
        <f t="shared" si="6"/>
        <v/>
      </c>
      <c r="I327" s="35" t="str">
        <f t="shared" si="7"/>
        <v/>
      </c>
      <c r="J327" s="37" t="str">
        <f>IFERROR(__xludf.DUMMYFUNCTION("IFERROR(
  IF(C327="""",, 
    IFERROR(
      GOOGLEFINANCE(C327, ""price"") * GOOGLEFINANCE(C327, ""volumeavg""), 
      GOOGLEFINANCE(C327, ""price"") * AVERAGE(QUERY(GOOGLEFINANCE(C327, ""volume"", TODAY()-40, TODAY()), ""SELECT Col2 WHERE Col2 IS NOT "&amp;"NULL ORDER BY Col1 DESC LIMIT 20"", 0))
    )
  ), 
"""")"),"")</f>
        <v/>
      </c>
      <c r="K327" s="21" t="str">
        <f>IFERROR(__xludf.DUMMYFUNCTION("IFERROR(GOOGLEFINANCE(C327, ""changepct"") / 100, """")"),"")</f>
        <v/>
      </c>
      <c r="L327" s="21" t="str">
        <f>IFERROR(__xludf.DUMMYFUNCTION("IFERROR((GOOGLEFINANCE(C327, ""price"") / INDEX(GOOGLEFINANCE(C327, ""price"", TODAY()-7, TODAY()), 2, 2)) - 1, """")"),"")</f>
        <v/>
      </c>
      <c r="M327" s="21" t="str">
        <f>IFERROR(__xludf.DUMMYFUNCTION("IFERROR((GOOGLEFINANCE(C327, ""price"") / INDEX(GOOGLEFINANCE(C327, ""price"", EDATE(TODAY(), -1), TODAY()), 2, 2)) - 1, """")"),"")</f>
        <v/>
      </c>
      <c r="N327" s="21" t="str">
        <f>IFERROR(__xludf.DUMMYFUNCTION("IFERROR((GOOGLEFINANCE(C327, ""price"") / INDEX(GOOGLEFINANCE(C327, ""price"", EDATE(TODAY(), -3), TODAY()), 2, 2)) - 1, """")"),"")</f>
        <v/>
      </c>
      <c r="O327" s="21" t="str">
        <f>IFERROR(__xludf.DUMMYFUNCTION("IFERROR((GOOGLEFINANCE(C327, ""price"") / INDEX(GOOGLEFINANCE(C327, ""price"", EDATE(TODAY(), -6), TODAY()), 2, 2)) - 1, """")"),"")</f>
        <v/>
      </c>
      <c r="P327" s="21" t="str">
        <f>IFERROR(__xludf.DUMMYFUNCTION("IFERROR((GOOGLEFINANCE(C327, ""price"") / INDEX(GOOGLEFINANCE(C327, ""price"", EDATE(TODAY(), -12), TODAY()), 2, 2)) - 1, """")"),"")</f>
        <v/>
      </c>
      <c r="Q327" s="6" t="str">
        <f>IFERROR(__xludf.DUMMYFUNCTION("AVERAGE(QUERY(GOOGLEFINANCE(C327, ""price"", TODAY()-80, TODAY()), ""SELECT Col2 WHERE Col2 IS NOT NULL ORDER BY Col1 DESC LIMIT 50"", 0))"),"#N/A")</f>
        <v>#N/A</v>
      </c>
      <c r="R327" s="24" t="str">
        <f>IFERROR(__xludf.DUMMYFUNCTION("IFERROR(
  LET(
    data, QUERY(GOOGLEFINANCE(C327,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GOOGLEFINANCE(C327, ""price"")) * 100,
    IF(calc=0, G327, calc)
  ), 
G327)"),"#N/A")</f>
        <v>#N/A</v>
      </c>
      <c r="S327" s="8" t="s">
        <v>15</v>
      </c>
      <c r="T327" s="26" t="str">
        <f>IFERROR(__xludf.DUMMYFUNCTION("IFERROR(TRANSPOSE(QUERY(IFERROR(SORT(GOOGLEFINANCE(C327, ""price"", WORKDAY(TODAY(), -40), TODAY()), 1, FALSE)), ""select Col2 where Col2 is not null limit 22 label Col2 ''"", 0)), """")"),"")</f>
        <v/>
      </c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8"/>
      <c r="AO327" s="28"/>
      <c r="AP327" s="29"/>
      <c r="AQ327" s="29" t="str">
        <f t="shared" ref="AQ327:BL327" si="330">T327/T$2</f>
        <v>#N/A</v>
      </c>
      <c r="AR327" s="29" t="str">
        <f t="shared" si="330"/>
        <v>#DIV/0!</v>
      </c>
      <c r="AS327" s="29" t="str">
        <f t="shared" si="330"/>
        <v>#DIV/0!</v>
      </c>
      <c r="AT327" s="29" t="str">
        <f t="shared" si="330"/>
        <v>#DIV/0!</v>
      </c>
      <c r="AU327" s="29" t="str">
        <f t="shared" si="330"/>
        <v>#DIV/0!</v>
      </c>
      <c r="AV327" s="29" t="str">
        <f t="shared" si="330"/>
        <v>#DIV/0!</v>
      </c>
      <c r="AW327" s="29" t="str">
        <f t="shared" si="330"/>
        <v>#DIV/0!</v>
      </c>
      <c r="AX327" s="29" t="str">
        <f t="shared" si="330"/>
        <v>#DIV/0!</v>
      </c>
      <c r="AY327" s="29" t="str">
        <f t="shared" si="330"/>
        <v>#DIV/0!</v>
      </c>
      <c r="AZ327" s="29" t="str">
        <f t="shared" si="330"/>
        <v>#DIV/0!</v>
      </c>
      <c r="BA327" s="29" t="str">
        <f t="shared" si="330"/>
        <v>#DIV/0!</v>
      </c>
      <c r="BB327" s="29" t="str">
        <f t="shared" si="330"/>
        <v>#DIV/0!</v>
      </c>
      <c r="BC327" s="29" t="str">
        <f t="shared" si="330"/>
        <v>#DIV/0!</v>
      </c>
      <c r="BD327" s="29" t="str">
        <f t="shared" si="330"/>
        <v>#DIV/0!</v>
      </c>
      <c r="BE327" s="29" t="str">
        <f t="shared" si="330"/>
        <v>#DIV/0!</v>
      </c>
      <c r="BF327" s="29" t="str">
        <f t="shared" si="330"/>
        <v>#DIV/0!</v>
      </c>
      <c r="BG327" s="29" t="str">
        <f t="shared" si="330"/>
        <v>#DIV/0!</v>
      </c>
      <c r="BH327" s="29" t="str">
        <f t="shared" si="330"/>
        <v>#DIV/0!</v>
      </c>
      <c r="BI327" s="29" t="str">
        <f t="shared" si="330"/>
        <v>#DIV/0!</v>
      </c>
      <c r="BJ327" s="29" t="str">
        <f t="shared" si="330"/>
        <v>#DIV/0!</v>
      </c>
      <c r="BK327" s="29" t="str">
        <f t="shared" si="330"/>
        <v>#DIV/0!</v>
      </c>
      <c r="BL327" s="29" t="str">
        <f t="shared" si="330"/>
        <v>#DIV/0!</v>
      </c>
      <c r="BM327" s="29" t="str">
        <f t="shared" si="3"/>
        <v>#DIV/0!</v>
      </c>
    </row>
    <row r="328">
      <c r="A328" s="16" t="str">
        <f>IFERROR(__xludf.DUMMYFUNCTION("IFERROR(SPARKLINE(SORT(MAP(TRANSPOSE(AQ328:BL328), LAMBDA(val, IF(ISNUMBER(val), PERCENTRANK(AQ328:BL328, val)+0.01, 0))), SEQUENCE(COLUMNS(AQ328:BL328)), FALSE), {""charttype"",""column""; ""color"",""chartreuse""; ""ymin"", 0; ""ymax"", 1.01; ""highcolo"&amp;"r"", ""darkgreen""; ""lowcolor"", ""red""}), """")"),"")</f>
        <v/>
      </c>
      <c r="B328" s="17" t="str">
        <f t="shared" si="4"/>
        <v/>
      </c>
      <c r="C328" s="1" t="s">
        <v>2123</v>
      </c>
      <c r="D328" s="30" t="str">
        <f>IFERROR(__xludf.DUMMYFUNCTION("IFERROR(GOOGLEFINANCE(C328, ""NAME""))"),"Apogee Enterprises Inc")</f>
        <v>Apogee Enterprises Inc</v>
      </c>
      <c r="E328" s="30" t="s">
        <v>968</v>
      </c>
      <c r="F328" s="33" t="str">
        <f>IFERROR(__xludf.DUMMYFUNCTION("( (GOOGLEFINANCE(C328, ""price"") - Q328) / Q328 ) / (R328 / 100)"),"Loading...")</f>
        <v>Loading...</v>
      </c>
      <c r="G328" s="20" t="str">
        <f>IFERROR(__xludf.DUMMYFUNCTION("AVERAGE(ARRAYFORMULA(100 * (QUERY(GOOGLEFINANCE(C328, ""high"", TODAY()-40, TODAY()), ""SELECT Col2 WHERE Col2 IS NOT NULL ORDER BY Col1 DESC LIMIT 20"", 0) / QUERY(GOOGLEFINANCE(C328, ""low"", TODAY()-40, TODAY()), ""SELECT Col2 WHERE Col2 IS NOT NULL OR"&amp;"DER BY Col1 DESC LIMIT 20"", 0) - 1)))"),"#N/A")</f>
        <v>#N/A</v>
      </c>
      <c r="H328" s="35" t="str">
        <f t="shared" si="6"/>
        <v/>
      </c>
      <c r="I328" s="35" t="str">
        <f t="shared" si="7"/>
        <v/>
      </c>
      <c r="J328" s="37" t="str">
        <f>IFERROR(__xludf.DUMMYFUNCTION("IFERROR(
  IF(C328="""",, 
    IFERROR(
      GOOGLEFINANCE(C328, ""price"") * GOOGLEFINANCE(C328, ""volumeavg""), 
      GOOGLEFINANCE(C328, ""price"") * AVERAGE(QUERY(GOOGLEFINANCE(C328, ""volume"", TODAY()-40, TODAY()), ""SELECT Col2 WHERE Col2 IS NOT "&amp;"NULL ORDER BY Col1 DESC LIMIT 20"", 0))
    )
  ), 
"""")"),"")</f>
        <v/>
      </c>
      <c r="K328" s="21" t="str">
        <f>IFERROR(__xludf.DUMMYFUNCTION("IFERROR(GOOGLEFINANCE(C328, ""changepct"") / 100, """")"),"")</f>
        <v/>
      </c>
      <c r="L328" s="21" t="str">
        <f>IFERROR(__xludf.DUMMYFUNCTION("IFERROR((GOOGLEFINANCE(C328, ""price"") / INDEX(GOOGLEFINANCE(C328, ""price"", TODAY()-7, TODAY()), 2, 2)) - 1, """")"),"")</f>
        <v/>
      </c>
      <c r="M328" s="21" t="str">
        <f>IFERROR(__xludf.DUMMYFUNCTION("IFERROR((GOOGLEFINANCE(C328, ""price"") / INDEX(GOOGLEFINANCE(C328, ""price"", EDATE(TODAY(), -1), TODAY()), 2, 2)) - 1, """")"),"")</f>
        <v/>
      </c>
      <c r="N328" s="21" t="str">
        <f>IFERROR(__xludf.DUMMYFUNCTION("IFERROR((GOOGLEFINANCE(C328, ""price"") / INDEX(GOOGLEFINANCE(C328, ""price"", EDATE(TODAY(), -3), TODAY()), 2, 2)) - 1, """")"),"")</f>
        <v/>
      </c>
      <c r="O328" s="21" t="str">
        <f>IFERROR(__xludf.DUMMYFUNCTION("IFERROR((GOOGLEFINANCE(C328, ""price"") / INDEX(GOOGLEFINANCE(C328, ""price"", EDATE(TODAY(), -6), TODAY()), 2, 2)) - 1, """")"),"")</f>
        <v/>
      </c>
      <c r="P328" s="21" t="str">
        <f>IFERROR(__xludf.DUMMYFUNCTION("IFERROR((GOOGLEFINANCE(C328, ""price"") / INDEX(GOOGLEFINANCE(C328, ""price"", EDATE(TODAY(), -12), TODAY()), 2, 2)) - 1, """")"),"")</f>
        <v/>
      </c>
      <c r="Q328" s="6" t="str">
        <f>IFERROR(__xludf.DUMMYFUNCTION("AVERAGE(QUERY(GOOGLEFINANCE(C328, ""price"", TODAY()-80, TODAY()), ""SELECT Col2 WHERE Col2 IS NOT NULL ORDER BY Col1 DESC LIMIT 50"", 0))"),"#N/A")</f>
        <v>#N/A</v>
      </c>
      <c r="R328" s="24" t="str">
        <f>IFERROR(__xludf.DUMMYFUNCTION("IFERROR(
  LET(
    data, QUERY(GOOGLEFINANCE(C328,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GOOGLEFINANCE(C328, ""price"")) * 100,
    IF(calc=0, G328, calc)
  ), 
G328)"),"#N/A")</f>
        <v>#N/A</v>
      </c>
      <c r="S328" s="8" t="s">
        <v>15</v>
      </c>
      <c r="T328" s="26" t="str">
        <f>IFERROR(__xludf.DUMMYFUNCTION("IFERROR(TRANSPOSE(QUERY(IFERROR(SORT(GOOGLEFINANCE(C328, ""price"", WORKDAY(TODAY(), -40), TODAY()), 1, FALSE)), ""select Col2 where Col2 is not null limit 22 label Col2 ''"", 0)), """")"),"")</f>
        <v/>
      </c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8"/>
      <c r="AO328" s="28"/>
      <c r="AP328" s="29"/>
      <c r="AQ328" s="29" t="str">
        <f t="shared" ref="AQ328:BL328" si="331">T328/T$2</f>
        <v>#N/A</v>
      </c>
      <c r="AR328" s="29" t="str">
        <f t="shared" si="331"/>
        <v>#DIV/0!</v>
      </c>
      <c r="AS328" s="29" t="str">
        <f t="shared" si="331"/>
        <v>#DIV/0!</v>
      </c>
      <c r="AT328" s="29" t="str">
        <f t="shared" si="331"/>
        <v>#DIV/0!</v>
      </c>
      <c r="AU328" s="29" t="str">
        <f t="shared" si="331"/>
        <v>#DIV/0!</v>
      </c>
      <c r="AV328" s="29" t="str">
        <f t="shared" si="331"/>
        <v>#DIV/0!</v>
      </c>
      <c r="AW328" s="29" t="str">
        <f t="shared" si="331"/>
        <v>#DIV/0!</v>
      </c>
      <c r="AX328" s="29" t="str">
        <f t="shared" si="331"/>
        <v>#DIV/0!</v>
      </c>
      <c r="AY328" s="29" t="str">
        <f t="shared" si="331"/>
        <v>#DIV/0!</v>
      </c>
      <c r="AZ328" s="29" t="str">
        <f t="shared" si="331"/>
        <v>#DIV/0!</v>
      </c>
      <c r="BA328" s="29" t="str">
        <f t="shared" si="331"/>
        <v>#DIV/0!</v>
      </c>
      <c r="BB328" s="29" t="str">
        <f t="shared" si="331"/>
        <v>#DIV/0!</v>
      </c>
      <c r="BC328" s="29" t="str">
        <f t="shared" si="331"/>
        <v>#DIV/0!</v>
      </c>
      <c r="BD328" s="29" t="str">
        <f t="shared" si="331"/>
        <v>#DIV/0!</v>
      </c>
      <c r="BE328" s="29" t="str">
        <f t="shared" si="331"/>
        <v>#DIV/0!</v>
      </c>
      <c r="BF328" s="29" t="str">
        <f t="shared" si="331"/>
        <v>#DIV/0!</v>
      </c>
      <c r="BG328" s="29" t="str">
        <f t="shared" si="331"/>
        <v>#DIV/0!</v>
      </c>
      <c r="BH328" s="29" t="str">
        <f t="shared" si="331"/>
        <v>#DIV/0!</v>
      </c>
      <c r="BI328" s="29" t="str">
        <f t="shared" si="331"/>
        <v>#DIV/0!</v>
      </c>
      <c r="BJ328" s="29" t="str">
        <f t="shared" si="331"/>
        <v>#DIV/0!</v>
      </c>
      <c r="BK328" s="29" t="str">
        <f t="shared" si="331"/>
        <v>#DIV/0!</v>
      </c>
      <c r="BL328" s="29" t="str">
        <f t="shared" si="331"/>
        <v>#DIV/0!</v>
      </c>
      <c r="BM328" s="29" t="str">
        <f t="shared" si="3"/>
        <v>#DIV/0!</v>
      </c>
    </row>
    <row r="329">
      <c r="A329" s="16" t="str">
        <f>IFERROR(__xludf.DUMMYFUNCTION("IFERROR(SPARKLINE(SORT(MAP(TRANSPOSE(AQ329:BL329), LAMBDA(val, IF(ISNUMBER(val), PERCENTRANK(AQ329:BL329, val)+0.01, 0))), SEQUENCE(COLUMNS(AQ329:BL329)), FALSE), {""charttype"",""column""; ""color"",""chartreuse""; ""ymin"", 0; ""ymax"", 1.01; ""highcolo"&amp;"r"", ""darkgreen""; ""lowcolor"", ""red""}), """")"),"")</f>
        <v/>
      </c>
      <c r="B329" s="17" t="str">
        <f t="shared" si="4"/>
        <v/>
      </c>
      <c r="C329" s="1" t="s">
        <v>2129</v>
      </c>
      <c r="D329" s="30" t="str">
        <f>IFERROR(__xludf.DUMMYFUNCTION("IFERROR(GOOGLEFINANCE(C329, ""NAME""))"),"CBIZ Inc")</f>
        <v>CBIZ Inc</v>
      </c>
      <c r="E329" s="30" t="s">
        <v>916</v>
      </c>
      <c r="F329" s="33" t="str">
        <f>IFERROR(__xludf.DUMMYFUNCTION("( (GOOGLEFINANCE(C329, ""price"") - Q329) / Q329 ) / (R329 / 100)"),"Loading...")</f>
        <v>Loading...</v>
      </c>
      <c r="G329" s="20" t="str">
        <f>IFERROR(__xludf.DUMMYFUNCTION("AVERAGE(ARRAYFORMULA(100 * (QUERY(GOOGLEFINANCE(C329, ""high"", TODAY()-40, TODAY()), ""SELECT Col2 WHERE Col2 IS NOT NULL ORDER BY Col1 DESC LIMIT 20"", 0) / QUERY(GOOGLEFINANCE(C329, ""low"", TODAY()-40, TODAY()), ""SELECT Col2 WHERE Col2 IS NOT NULL OR"&amp;"DER BY Col1 DESC LIMIT 20"", 0) - 1)))"),"#N/A")</f>
        <v>#N/A</v>
      </c>
      <c r="H329" s="35" t="str">
        <f t="shared" si="6"/>
        <v/>
      </c>
      <c r="I329" s="35" t="str">
        <f t="shared" si="7"/>
        <v/>
      </c>
      <c r="J329" s="37" t="str">
        <f>IFERROR(__xludf.DUMMYFUNCTION("IFERROR(
  IF(C329="""",, 
    IFERROR(
      GOOGLEFINANCE(C329, ""price"") * GOOGLEFINANCE(C329, ""volumeavg""), 
      GOOGLEFINANCE(C329, ""price"") * AVERAGE(QUERY(GOOGLEFINANCE(C329, ""volume"", TODAY()-40, TODAY()), ""SELECT Col2 WHERE Col2 IS NOT "&amp;"NULL ORDER BY Col1 DESC LIMIT 20"", 0))
    )
  ), 
"""")"),"")</f>
        <v/>
      </c>
      <c r="K329" s="21" t="str">
        <f>IFERROR(__xludf.DUMMYFUNCTION("IFERROR(GOOGLEFINANCE(C329, ""changepct"") / 100, """")"),"")</f>
        <v/>
      </c>
      <c r="L329" s="21" t="str">
        <f>IFERROR(__xludf.DUMMYFUNCTION("IFERROR((GOOGLEFINANCE(C329, ""price"") / INDEX(GOOGLEFINANCE(C329, ""price"", TODAY()-7, TODAY()), 2, 2)) - 1, """")"),"")</f>
        <v/>
      </c>
      <c r="M329" s="21" t="str">
        <f>IFERROR(__xludf.DUMMYFUNCTION("IFERROR((GOOGLEFINANCE(C329, ""price"") / INDEX(GOOGLEFINANCE(C329, ""price"", EDATE(TODAY(), -1), TODAY()), 2, 2)) - 1, """")"),"")</f>
        <v/>
      </c>
      <c r="N329" s="21" t="str">
        <f>IFERROR(__xludf.DUMMYFUNCTION("IFERROR((GOOGLEFINANCE(C329, ""price"") / INDEX(GOOGLEFINANCE(C329, ""price"", EDATE(TODAY(), -3), TODAY()), 2, 2)) - 1, """")"),"")</f>
        <v/>
      </c>
      <c r="O329" s="21" t="str">
        <f>IFERROR(__xludf.DUMMYFUNCTION("IFERROR((GOOGLEFINANCE(C329, ""price"") / INDEX(GOOGLEFINANCE(C329, ""price"", EDATE(TODAY(), -6), TODAY()), 2, 2)) - 1, """")"),"")</f>
        <v/>
      </c>
      <c r="P329" s="21" t="str">
        <f>IFERROR(__xludf.DUMMYFUNCTION("IFERROR((GOOGLEFINANCE(C329, ""price"") / INDEX(GOOGLEFINANCE(C329, ""price"", EDATE(TODAY(), -12), TODAY()), 2, 2)) - 1, """")"),"")</f>
        <v/>
      </c>
      <c r="Q329" s="6" t="str">
        <f>IFERROR(__xludf.DUMMYFUNCTION("AVERAGE(QUERY(GOOGLEFINANCE(C329, ""price"", TODAY()-80, TODAY()), ""SELECT Col2 WHERE Col2 IS NOT NULL ORDER BY Col1 DESC LIMIT 50"", 0))"),"#N/A")</f>
        <v>#N/A</v>
      </c>
      <c r="R329" s="24" t="str">
        <f>IFERROR(__xludf.DUMMYFUNCTION("IFERROR(
  LET(
    data, QUERY(GOOGLEFINANCE(C329,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GOOGLEFINANCE(C329, ""price"")) * 100,
    IF(calc=0, G329, calc)
  ), 
G329)"),"#N/A")</f>
        <v>#N/A</v>
      </c>
      <c r="S329" s="8" t="s">
        <v>15</v>
      </c>
      <c r="T329" s="26" t="str">
        <f>IFERROR(__xludf.DUMMYFUNCTION("IFERROR(TRANSPOSE(QUERY(IFERROR(SORT(GOOGLEFINANCE(C329, ""price"", WORKDAY(TODAY(), -40), TODAY()), 1, FALSE)), ""select Col2 where Col2 is not null limit 22 label Col2 ''"", 0)), """")"),"")</f>
        <v/>
      </c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8"/>
      <c r="AO329" s="28"/>
      <c r="AP329" s="29"/>
      <c r="AQ329" s="29" t="str">
        <f t="shared" ref="AQ329:BL329" si="332">T329/T$2</f>
        <v>#N/A</v>
      </c>
      <c r="AR329" s="29" t="str">
        <f t="shared" si="332"/>
        <v>#DIV/0!</v>
      </c>
      <c r="AS329" s="29" t="str">
        <f t="shared" si="332"/>
        <v>#DIV/0!</v>
      </c>
      <c r="AT329" s="29" t="str">
        <f t="shared" si="332"/>
        <v>#DIV/0!</v>
      </c>
      <c r="AU329" s="29" t="str">
        <f t="shared" si="332"/>
        <v>#DIV/0!</v>
      </c>
      <c r="AV329" s="29" t="str">
        <f t="shared" si="332"/>
        <v>#DIV/0!</v>
      </c>
      <c r="AW329" s="29" t="str">
        <f t="shared" si="332"/>
        <v>#DIV/0!</v>
      </c>
      <c r="AX329" s="29" t="str">
        <f t="shared" si="332"/>
        <v>#DIV/0!</v>
      </c>
      <c r="AY329" s="29" t="str">
        <f t="shared" si="332"/>
        <v>#DIV/0!</v>
      </c>
      <c r="AZ329" s="29" t="str">
        <f t="shared" si="332"/>
        <v>#DIV/0!</v>
      </c>
      <c r="BA329" s="29" t="str">
        <f t="shared" si="332"/>
        <v>#DIV/0!</v>
      </c>
      <c r="BB329" s="29" t="str">
        <f t="shared" si="332"/>
        <v>#DIV/0!</v>
      </c>
      <c r="BC329" s="29" t="str">
        <f t="shared" si="332"/>
        <v>#DIV/0!</v>
      </c>
      <c r="BD329" s="29" t="str">
        <f t="shared" si="332"/>
        <v>#DIV/0!</v>
      </c>
      <c r="BE329" s="29" t="str">
        <f t="shared" si="332"/>
        <v>#DIV/0!</v>
      </c>
      <c r="BF329" s="29" t="str">
        <f t="shared" si="332"/>
        <v>#DIV/0!</v>
      </c>
      <c r="BG329" s="29" t="str">
        <f t="shared" si="332"/>
        <v>#DIV/0!</v>
      </c>
      <c r="BH329" s="29" t="str">
        <f t="shared" si="332"/>
        <v>#DIV/0!</v>
      </c>
      <c r="BI329" s="29" t="str">
        <f t="shared" si="332"/>
        <v>#DIV/0!</v>
      </c>
      <c r="BJ329" s="29" t="str">
        <f t="shared" si="332"/>
        <v>#DIV/0!</v>
      </c>
      <c r="BK329" s="29" t="str">
        <f t="shared" si="332"/>
        <v>#DIV/0!</v>
      </c>
      <c r="BL329" s="29" t="str">
        <f t="shared" si="332"/>
        <v>#DIV/0!</v>
      </c>
      <c r="BM329" s="29" t="str">
        <f t="shared" si="3"/>
        <v>#DIV/0!</v>
      </c>
    </row>
    <row r="330">
      <c r="A330" s="16" t="str">
        <f>IFERROR(__xludf.DUMMYFUNCTION("IFERROR(SPARKLINE(SORT(MAP(TRANSPOSE(AQ330:BL330), LAMBDA(val, IF(ISNUMBER(val), PERCENTRANK(AQ330:BL330, val)+0.01, 0))), SEQUENCE(COLUMNS(AQ330:BL330)), FALSE), {""charttype"",""column""; ""color"",""chartreuse""; ""ymin"", 0; ""ymax"", 1.01; ""highcolo"&amp;"r"", ""darkgreen""; ""lowcolor"", ""red""}), """")"),"")</f>
        <v/>
      </c>
      <c r="B330" s="17" t="str">
        <f t="shared" si="4"/>
        <v/>
      </c>
      <c r="C330" s="1" t="s">
        <v>2134</v>
      </c>
      <c r="D330" s="30" t="str">
        <f>IFERROR(__xludf.DUMMYFUNCTION("IFERROR(GOOGLEFINANCE(C330, ""NAME""))"),"FTI Consulting Inc")</f>
        <v>FTI Consulting Inc</v>
      </c>
      <c r="E330" s="30" t="s">
        <v>1591</v>
      </c>
      <c r="F330" s="33" t="str">
        <f>IFERROR(__xludf.DUMMYFUNCTION("( (GOOGLEFINANCE(C330, ""price"") - Q330) / Q330 ) / (R330 / 100)"),"Loading...")</f>
        <v>Loading...</v>
      </c>
      <c r="G330" s="20" t="str">
        <f>IFERROR(__xludf.DUMMYFUNCTION("AVERAGE(ARRAYFORMULA(100 * (QUERY(GOOGLEFINANCE(C330, ""high"", TODAY()-40, TODAY()), ""SELECT Col2 WHERE Col2 IS NOT NULL ORDER BY Col1 DESC LIMIT 20"", 0) / QUERY(GOOGLEFINANCE(C330, ""low"", TODAY()-40, TODAY()), ""SELECT Col2 WHERE Col2 IS NOT NULL OR"&amp;"DER BY Col1 DESC LIMIT 20"", 0) - 1)))"),"#N/A")</f>
        <v>#N/A</v>
      </c>
      <c r="H330" s="35" t="str">
        <f t="shared" si="6"/>
        <v/>
      </c>
      <c r="I330" s="35" t="str">
        <f t="shared" si="7"/>
        <v/>
      </c>
      <c r="J330" s="37" t="str">
        <f>IFERROR(__xludf.DUMMYFUNCTION("IFERROR(
  IF(C330="""",, 
    IFERROR(
      GOOGLEFINANCE(C330, ""price"") * GOOGLEFINANCE(C330, ""volumeavg""), 
      GOOGLEFINANCE(C330, ""price"") * AVERAGE(QUERY(GOOGLEFINANCE(C330, ""volume"", TODAY()-40, TODAY()), ""SELECT Col2 WHERE Col2 IS NOT "&amp;"NULL ORDER BY Col1 DESC LIMIT 20"", 0))
    )
  ), 
"""")"),"")</f>
        <v/>
      </c>
      <c r="K330" s="21" t="str">
        <f>IFERROR(__xludf.DUMMYFUNCTION("IFERROR(GOOGLEFINANCE(C330, ""changepct"") / 100, """")"),"")</f>
        <v/>
      </c>
      <c r="L330" s="21" t="str">
        <f>IFERROR(__xludf.DUMMYFUNCTION("IFERROR((GOOGLEFINANCE(C330, ""price"") / INDEX(GOOGLEFINANCE(C330, ""price"", TODAY()-7, TODAY()), 2, 2)) - 1, """")"),"")</f>
        <v/>
      </c>
      <c r="M330" s="21" t="str">
        <f>IFERROR(__xludf.DUMMYFUNCTION("IFERROR((GOOGLEFINANCE(C330, ""price"") / INDEX(GOOGLEFINANCE(C330, ""price"", EDATE(TODAY(), -1), TODAY()), 2, 2)) - 1, """")"),"")</f>
        <v/>
      </c>
      <c r="N330" s="21" t="str">
        <f>IFERROR(__xludf.DUMMYFUNCTION("IFERROR((GOOGLEFINANCE(C330, ""price"") / INDEX(GOOGLEFINANCE(C330, ""price"", EDATE(TODAY(), -3), TODAY()), 2, 2)) - 1, """")"),"")</f>
        <v/>
      </c>
      <c r="O330" s="21" t="str">
        <f>IFERROR(__xludf.DUMMYFUNCTION("IFERROR((GOOGLEFINANCE(C330, ""price"") / INDEX(GOOGLEFINANCE(C330, ""price"", EDATE(TODAY(), -6), TODAY()), 2, 2)) - 1, """")"),"")</f>
        <v/>
      </c>
      <c r="P330" s="21" t="str">
        <f>IFERROR(__xludf.DUMMYFUNCTION("IFERROR((GOOGLEFINANCE(C330, ""price"") / INDEX(GOOGLEFINANCE(C330, ""price"", EDATE(TODAY(), -12), TODAY()), 2, 2)) - 1, """")"),"")</f>
        <v/>
      </c>
      <c r="Q330" s="6" t="str">
        <f>IFERROR(__xludf.DUMMYFUNCTION("AVERAGE(QUERY(GOOGLEFINANCE(C330, ""price"", TODAY()-80, TODAY()), ""SELECT Col2 WHERE Col2 IS NOT NULL ORDER BY Col1 DESC LIMIT 50"", 0))"),"#N/A")</f>
        <v>#N/A</v>
      </c>
      <c r="R330" s="24" t="str">
        <f>IFERROR(__xludf.DUMMYFUNCTION("IFERROR(
  LET(
    data, QUERY(GOOGLEFINANCE(C330,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GOOGLEFINANCE(C330, ""price"")) * 100,
    IF(calc=0, G330, calc)
  ), 
G330)"),"#N/A")</f>
        <v>#N/A</v>
      </c>
      <c r="S330" s="8" t="s">
        <v>15</v>
      </c>
      <c r="T330" s="26" t="str">
        <f>IFERROR(__xludf.DUMMYFUNCTION("IFERROR(TRANSPOSE(QUERY(IFERROR(SORT(GOOGLEFINANCE(C330, ""price"", WORKDAY(TODAY(), -40), TODAY()), 1, FALSE)), ""select Col2 where Col2 is not null limit 22 label Col2 ''"", 0)), """")"),"")</f>
        <v/>
      </c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8"/>
      <c r="AO330" s="28"/>
      <c r="AP330" s="29"/>
      <c r="AQ330" s="29" t="str">
        <f t="shared" ref="AQ330:BL330" si="333">T330/T$2</f>
        <v>#N/A</v>
      </c>
      <c r="AR330" s="29" t="str">
        <f t="shared" si="333"/>
        <v>#DIV/0!</v>
      </c>
      <c r="AS330" s="29" t="str">
        <f t="shared" si="333"/>
        <v>#DIV/0!</v>
      </c>
      <c r="AT330" s="29" t="str">
        <f t="shared" si="333"/>
        <v>#DIV/0!</v>
      </c>
      <c r="AU330" s="29" t="str">
        <f t="shared" si="333"/>
        <v>#DIV/0!</v>
      </c>
      <c r="AV330" s="29" t="str">
        <f t="shared" si="333"/>
        <v>#DIV/0!</v>
      </c>
      <c r="AW330" s="29" t="str">
        <f t="shared" si="333"/>
        <v>#DIV/0!</v>
      </c>
      <c r="AX330" s="29" t="str">
        <f t="shared" si="333"/>
        <v>#DIV/0!</v>
      </c>
      <c r="AY330" s="29" t="str">
        <f t="shared" si="333"/>
        <v>#DIV/0!</v>
      </c>
      <c r="AZ330" s="29" t="str">
        <f t="shared" si="333"/>
        <v>#DIV/0!</v>
      </c>
      <c r="BA330" s="29" t="str">
        <f t="shared" si="333"/>
        <v>#DIV/0!</v>
      </c>
      <c r="BB330" s="29" t="str">
        <f t="shared" si="333"/>
        <v>#DIV/0!</v>
      </c>
      <c r="BC330" s="29" t="str">
        <f t="shared" si="333"/>
        <v>#DIV/0!</v>
      </c>
      <c r="BD330" s="29" t="str">
        <f t="shared" si="333"/>
        <v>#DIV/0!</v>
      </c>
      <c r="BE330" s="29" t="str">
        <f t="shared" si="333"/>
        <v>#DIV/0!</v>
      </c>
      <c r="BF330" s="29" t="str">
        <f t="shared" si="333"/>
        <v>#DIV/0!</v>
      </c>
      <c r="BG330" s="29" t="str">
        <f t="shared" si="333"/>
        <v>#DIV/0!</v>
      </c>
      <c r="BH330" s="29" t="str">
        <f t="shared" si="333"/>
        <v>#DIV/0!</v>
      </c>
      <c r="BI330" s="29" t="str">
        <f t="shared" si="333"/>
        <v>#DIV/0!</v>
      </c>
      <c r="BJ330" s="29" t="str">
        <f t="shared" si="333"/>
        <v>#DIV/0!</v>
      </c>
      <c r="BK330" s="29" t="str">
        <f t="shared" si="333"/>
        <v>#DIV/0!</v>
      </c>
      <c r="BL330" s="29" t="str">
        <f t="shared" si="333"/>
        <v>#DIV/0!</v>
      </c>
      <c r="BM330" s="29" t="str">
        <f t="shared" si="3"/>
        <v>#DIV/0!</v>
      </c>
    </row>
    <row r="331">
      <c r="A331" s="16" t="str">
        <f>IFERROR(__xludf.DUMMYFUNCTION("IFERROR(SPARKLINE(SORT(MAP(TRANSPOSE(AQ331:BL331), LAMBDA(val, IF(ISNUMBER(val), PERCENTRANK(AQ331:BL331, val)+0.01, 0))), SEQUENCE(COLUMNS(AQ331:BL331)), FALSE), {""charttype"",""column""; ""color"",""chartreuse""; ""ymin"", 0; ""ymax"", 1.01; ""highcolo"&amp;"r"", ""darkgreen""; ""lowcolor"", ""red""}), """")"),"")</f>
        <v/>
      </c>
      <c r="B331" s="17" t="str">
        <f t="shared" si="4"/>
        <v/>
      </c>
      <c r="C331" s="1" t="s">
        <v>2138</v>
      </c>
      <c r="D331" s="30" t="str">
        <f>IFERROR(__xludf.DUMMYFUNCTION("IFERROR(GOOGLEFINANCE(C331, ""NAME""))"),"Hillman Solutions Corp")</f>
        <v>Hillman Solutions Corp</v>
      </c>
      <c r="E331" s="30" t="s">
        <v>1055</v>
      </c>
      <c r="F331" s="33" t="str">
        <f>IFERROR(__xludf.DUMMYFUNCTION("( (GOOGLEFINANCE(C331, ""price"") - Q331) / Q331 ) / (R331 / 100)"),"Loading...")</f>
        <v>Loading...</v>
      </c>
      <c r="G331" s="20" t="str">
        <f>IFERROR(__xludf.DUMMYFUNCTION("AVERAGE(ARRAYFORMULA(100 * (QUERY(GOOGLEFINANCE(C331, ""high"", TODAY()-40, TODAY()), ""SELECT Col2 WHERE Col2 IS NOT NULL ORDER BY Col1 DESC LIMIT 20"", 0) / QUERY(GOOGLEFINANCE(C331, ""low"", TODAY()-40, TODAY()), ""SELECT Col2 WHERE Col2 IS NOT NULL OR"&amp;"DER BY Col1 DESC LIMIT 20"", 0) - 1)))"),"#N/A")</f>
        <v>#N/A</v>
      </c>
      <c r="H331" s="35" t="str">
        <f t="shared" si="6"/>
        <v/>
      </c>
      <c r="I331" s="35" t="str">
        <f t="shared" si="7"/>
        <v/>
      </c>
      <c r="J331" s="37" t="str">
        <f>IFERROR(__xludf.DUMMYFUNCTION("IFERROR(
  IF(C331="""",, 
    IFERROR(
      GOOGLEFINANCE(C331, ""price"") * GOOGLEFINANCE(C331, ""volumeavg""), 
      GOOGLEFINANCE(C331, ""price"") * AVERAGE(QUERY(GOOGLEFINANCE(C331, ""volume"", TODAY()-40, TODAY()), ""SELECT Col2 WHERE Col2 IS NOT "&amp;"NULL ORDER BY Col1 DESC LIMIT 20"", 0))
    )
  ), 
"""")"),"")</f>
        <v/>
      </c>
      <c r="K331" s="21" t="str">
        <f>IFERROR(__xludf.DUMMYFUNCTION("IFERROR(GOOGLEFINANCE(C331, ""changepct"") / 100, """")"),"")</f>
        <v/>
      </c>
      <c r="L331" s="21" t="str">
        <f>IFERROR(__xludf.DUMMYFUNCTION("IFERROR((GOOGLEFINANCE(C331, ""price"") / INDEX(GOOGLEFINANCE(C331, ""price"", TODAY()-7, TODAY()), 2, 2)) - 1, """")"),"")</f>
        <v/>
      </c>
      <c r="M331" s="21" t="str">
        <f>IFERROR(__xludf.DUMMYFUNCTION("IFERROR((GOOGLEFINANCE(C331, ""price"") / INDEX(GOOGLEFINANCE(C331, ""price"", EDATE(TODAY(), -1), TODAY()), 2, 2)) - 1, """")"),"")</f>
        <v/>
      </c>
      <c r="N331" s="21" t="str">
        <f>IFERROR(__xludf.DUMMYFUNCTION("IFERROR((GOOGLEFINANCE(C331, ""price"") / INDEX(GOOGLEFINANCE(C331, ""price"", EDATE(TODAY(), -3), TODAY()), 2, 2)) - 1, """")"),"")</f>
        <v/>
      </c>
      <c r="O331" s="21" t="str">
        <f>IFERROR(__xludf.DUMMYFUNCTION("IFERROR((GOOGLEFINANCE(C331, ""price"") / INDEX(GOOGLEFINANCE(C331, ""price"", EDATE(TODAY(), -6), TODAY()), 2, 2)) - 1, """")"),"")</f>
        <v/>
      </c>
      <c r="P331" s="21" t="str">
        <f>IFERROR(__xludf.DUMMYFUNCTION("IFERROR((GOOGLEFINANCE(C331, ""price"") / INDEX(GOOGLEFINANCE(C331, ""price"", EDATE(TODAY(), -12), TODAY()), 2, 2)) - 1, """")"),"")</f>
        <v/>
      </c>
      <c r="Q331" s="6" t="str">
        <f>IFERROR(__xludf.DUMMYFUNCTION("AVERAGE(QUERY(GOOGLEFINANCE(C331, ""price"", TODAY()-80, TODAY()), ""SELECT Col2 WHERE Col2 IS NOT NULL ORDER BY Col1 DESC LIMIT 50"", 0))"),"#N/A")</f>
        <v>#N/A</v>
      </c>
      <c r="R331" s="24" t="str">
        <f>IFERROR(__xludf.DUMMYFUNCTION("IFERROR(
  LET(
    data, QUERY(GOOGLEFINANCE(C331,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GOOGLEFINANCE(C331, ""price"")) * 100,
    IF(calc=0, G331, calc)
  ), 
G331)"),"#N/A")</f>
        <v>#N/A</v>
      </c>
      <c r="S331" s="8" t="s">
        <v>15</v>
      </c>
      <c r="T331" s="26" t="str">
        <f>IFERROR(__xludf.DUMMYFUNCTION("IFERROR(TRANSPOSE(QUERY(IFERROR(SORT(GOOGLEFINANCE(C331, ""price"", WORKDAY(TODAY(), -40), TODAY()), 1, FALSE)), ""select Col2 where Col2 is not null limit 22 label Col2 ''"", 0)), """")"),"")</f>
        <v/>
      </c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8"/>
      <c r="AO331" s="28"/>
      <c r="AP331" s="29"/>
      <c r="AQ331" s="29" t="str">
        <f t="shared" ref="AQ331:BL331" si="334">T331/T$2</f>
        <v>#N/A</v>
      </c>
      <c r="AR331" s="29" t="str">
        <f t="shared" si="334"/>
        <v>#DIV/0!</v>
      </c>
      <c r="AS331" s="29" t="str">
        <f t="shared" si="334"/>
        <v>#DIV/0!</v>
      </c>
      <c r="AT331" s="29" t="str">
        <f t="shared" si="334"/>
        <v>#DIV/0!</v>
      </c>
      <c r="AU331" s="29" t="str">
        <f t="shared" si="334"/>
        <v>#DIV/0!</v>
      </c>
      <c r="AV331" s="29" t="str">
        <f t="shared" si="334"/>
        <v>#DIV/0!</v>
      </c>
      <c r="AW331" s="29" t="str">
        <f t="shared" si="334"/>
        <v>#DIV/0!</v>
      </c>
      <c r="AX331" s="29" t="str">
        <f t="shared" si="334"/>
        <v>#DIV/0!</v>
      </c>
      <c r="AY331" s="29" t="str">
        <f t="shared" si="334"/>
        <v>#DIV/0!</v>
      </c>
      <c r="AZ331" s="29" t="str">
        <f t="shared" si="334"/>
        <v>#DIV/0!</v>
      </c>
      <c r="BA331" s="29" t="str">
        <f t="shared" si="334"/>
        <v>#DIV/0!</v>
      </c>
      <c r="BB331" s="29" t="str">
        <f t="shared" si="334"/>
        <v>#DIV/0!</v>
      </c>
      <c r="BC331" s="29" t="str">
        <f t="shared" si="334"/>
        <v>#DIV/0!</v>
      </c>
      <c r="BD331" s="29" t="str">
        <f t="shared" si="334"/>
        <v>#DIV/0!</v>
      </c>
      <c r="BE331" s="29" t="str">
        <f t="shared" si="334"/>
        <v>#DIV/0!</v>
      </c>
      <c r="BF331" s="29" t="str">
        <f t="shared" si="334"/>
        <v>#DIV/0!</v>
      </c>
      <c r="BG331" s="29" t="str">
        <f t="shared" si="334"/>
        <v>#DIV/0!</v>
      </c>
      <c r="BH331" s="29" t="str">
        <f t="shared" si="334"/>
        <v>#DIV/0!</v>
      </c>
      <c r="BI331" s="29" t="str">
        <f t="shared" si="334"/>
        <v>#DIV/0!</v>
      </c>
      <c r="BJ331" s="29" t="str">
        <f t="shared" si="334"/>
        <v>#DIV/0!</v>
      </c>
      <c r="BK331" s="29" t="str">
        <f t="shared" si="334"/>
        <v>#DIV/0!</v>
      </c>
      <c r="BL331" s="29" t="str">
        <f t="shared" si="334"/>
        <v>#DIV/0!</v>
      </c>
      <c r="BM331" s="29" t="str">
        <f t="shared" si="3"/>
        <v>#DIV/0!</v>
      </c>
    </row>
    <row r="332">
      <c r="A332" s="16" t="str">
        <f>IFERROR(__xludf.DUMMYFUNCTION("IFERROR(SPARKLINE(SORT(MAP(TRANSPOSE(AQ332:BL332), LAMBDA(val, IF(ISNUMBER(val), PERCENTRANK(AQ332:BL332, val)+0.01, 0))), SEQUENCE(COLUMNS(AQ332:BL332)), FALSE), {""charttype"",""column""; ""color"",""chartreuse""; ""ymin"", 0; ""ymax"", 1.01; ""highcolo"&amp;"r"", ""darkgreen""; ""lowcolor"", ""red""}), """")"),"")</f>
        <v/>
      </c>
      <c r="B332" s="17" t="str">
        <f t="shared" si="4"/>
        <v/>
      </c>
      <c r="C332" s="1" t="s">
        <v>2143</v>
      </c>
      <c r="D332" s="30" t="str">
        <f>IFERROR(__xludf.DUMMYFUNCTION("IFERROR(GOOGLEFINANCE(C332, ""NAME""))"),"Kimball Electronics Inc")</f>
        <v>Kimball Electronics Inc</v>
      </c>
      <c r="E332" s="30" t="s">
        <v>864</v>
      </c>
      <c r="F332" s="33" t="str">
        <f>IFERROR(__xludf.DUMMYFUNCTION("( (GOOGLEFINANCE(C332, ""price"") - Q332) / Q332 ) / (R332 / 100)"),"Loading...")</f>
        <v>Loading...</v>
      </c>
      <c r="G332" s="20" t="str">
        <f>IFERROR(__xludf.DUMMYFUNCTION("AVERAGE(ARRAYFORMULA(100 * (QUERY(GOOGLEFINANCE(C332, ""high"", TODAY()-40, TODAY()), ""SELECT Col2 WHERE Col2 IS NOT NULL ORDER BY Col1 DESC LIMIT 20"", 0) / QUERY(GOOGLEFINANCE(C332, ""low"", TODAY()-40, TODAY()), ""SELECT Col2 WHERE Col2 IS NOT NULL OR"&amp;"DER BY Col1 DESC LIMIT 20"", 0) - 1)))"),"#N/A")</f>
        <v>#N/A</v>
      </c>
      <c r="H332" s="35" t="str">
        <f t="shared" si="6"/>
        <v/>
      </c>
      <c r="I332" s="35" t="str">
        <f t="shared" si="7"/>
        <v/>
      </c>
      <c r="J332" s="37" t="str">
        <f>IFERROR(__xludf.DUMMYFUNCTION("IFERROR(
  IF(C332="""",, 
    IFERROR(
      GOOGLEFINANCE(C332, ""price"") * GOOGLEFINANCE(C332, ""volumeavg""), 
      GOOGLEFINANCE(C332, ""price"") * AVERAGE(QUERY(GOOGLEFINANCE(C332, ""volume"", TODAY()-40, TODAY()), ""SELECT Col2 WHERE Col2 IS NOT "&amp;"NULL ORDER BY Col1 DESC LIMIT 20"", 0))
    )
  ), 
"""")"),"")</f>
        <v/>
      </c>
      <c r="K332" s="21" t="str">
        <f>IFERROR(__xludf.DUMMYFUNCTION("IFERROR(GOOGLEFINANCE(C332, ""changepct"") / 100, """")"),"")</f>
        <v/>
      </c>
      <c r="L332" s="21" t="str">
        <f>IFERROR(__xludf.DUMMYFUNCTION("IFERROR((GOOGLEFINANCE(C332, ""price"") / INDEX(GOOGLEFINANCE(C332, ""price"", TODAY()-7, TODAY()), 2, 2)) - 1, """")"),"")</f>
        <v/>
      </c>
      <c r="M332" s="21" t="str">
        <f>IFERROR(__xludf.DUMMYFUNCTION("IFERROR((GOOGLEFINANCE(C332, ""price"") / INDEX(GOOGLEFINANCE(C332, ""price"", EDATE(TODAY(), -1), TODAY()), 2, 2)) - 1, """")"),"")</f>
        <v/>
      </c>
      <c r="N332" s="21" t="str">
        <f>IFERROR(__xludf.DUMMYFUNCTION("IFERROR((GOOGLEFINANCE(C332, ""price"") / INDEX(GOOGLEFINANCE(C332, ""price"", EDATE(TODAY(), -3), TODAY()), 2, 2)) - 1, """")"),"")</f>
        <v/>
      </c>
      <c r="O332" s="21" t="str">
        <f>IFERROR(__xludf.DUMMYFUNCTION("IFERROR((GOOGLEFINANCE(C332, ""price"") / INDEX(GOOGLEFINANCE(C332, ""price"", EDATE(TODAY(), -6), TODAY()), 2, 2)) - 1, """")"),"")</f>
        <v/>
      </c>
      <c r="P332" s="21" t="str">
        <f>IFERROR(__xludf.DUMMYFUNCTION("IFERROR((GOOGLEFINANCE(C332, ""price"") / INDEX(GOOGLEFINANCE(C332, ""price"", EDATE(TODAY(), -12), TODAY()), 2, 2)) - 1, """")"),"")</f>
        <v/>
      </c>
      <c r="Q332" s="6" t="str">
        <f>IFERROR(__xludf.DUMMYFUNCTION("AVERAGE(QUERY(GOOGLEFINANCE(C332, ""price"", TODAY()-80, TODAY()), ""SELECT Col2 WHERE Col2 IS NOT NULL ORDER BY Col1 DESC LIMIT 50"", 0))"),"#N/A")</f>
        <v>#N/A</v>
      </c>
      <c r="R332" s="24" t="str">
        <f>IFERROR(__xludf.DUMMYFUNCTION("IFERROR(
  LET(
    data, QUERY(GOOGLEFINANCE(C332,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GOOGLEFINANCE(C332, ""price"")) * 100,
    IF(calc=0, G332, calc)
  ), 
G332)"),"#N/A")</f>
        <v>#N/A</v>
      </c>
      <c r="S332" s="8" t="s">
        <v>15</v>
      </c>
      <c r="T332" s="26" t="str">
        <f>IFERROR(__xludf.DUMMYFUNCTION("IFERROR(TRANSPOSE(QUERY(IFERROR(SORT(GOOGLEFINANCE(C332, ""price"", WORKDAY(TODAY(), -40), TODAY()), 1, FALSE)), ""select Col2 where Col2 is not null limit 22 label Col2 ''"", 0)), """")"),"")</f>
        <v/>
      </c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8"/>
      <c r="AO332" s="28"/>
      <c r="AP332" s="29"/>
      <c r="AQ332" s="29" t="str">
        <f t="shared" ref="AQ332:BL332" si="335">T332/T$2</f>
        <v>#N/A</v>
      </c>
      <c r="AR332" s="29" t="str">
        <f t="shared" si="335"/>
        <v>#DIV/0!</v>
      </c>
      <c r="AS332" s="29" t="str">
        <f t="shared" si="335"/>
        <v>#DIV/0!</v>
      </c>
      <c r="AT332" s="29" t="str">
        <f t="shared" si="335"/>
        <v>#DIV/0!</v>
      </c>
      <c r="AU332" s="29" t="str">
        <f t="shared" si="335"/>
        <v>#DIV/0!</v>
      </c>
      <c r="AV332" s="29" t="str">
        <f t="shared" si="335"/>
        <v>#DIV/0!</v>
      </c>
      <c r="AW332" s="29" t="str">
        <f t="shared" si="335"/>
        <v>#DIV/0!</v>
      </c>
      <c r="AX332" s="29" t="str">
        <f t="shared" si="335"/>
        <v>#DIV/0!</v>
      </c>
      <c r="AY332" s="29" t="str">
        <f t="shared" si="335"/>
        <v>#DIV/0!</v>
      </c>
      <c r="AZ332" s="29" t="str">
        <f t="shared" si="335"/>
        <v>#DIV/0!</v>
      </c>
      <c r="BA332" s="29" t="str">
        <f t="shared" si="335"/>
        <v>#DIV/0!</v>
      </c>
      <c r="BB332" s="29" t="str">
        <f t="shared" si="335"/>
        <v>#DIV/0!</v>
      </c>
      <c r="BC332" s="29" t="str">
        <f t="shared" si="335"/>
        <v>#DIV/0!</v>
      </c>
      <c r="BD332" s="29" t="str">
        <f t="shared" si="335"/>
        <v>#DIV/0!</v>
      </c>
      <c r="BE332" s="29" t="str">
        <f t="shared" si="335"/>
        <v>#DIV/0!</v>
      </c>
      <c r="BF332" s="29" t="str">
        <f t="shared" si="335"/>
        <v>#DIV/0!</v>
      </c>
      <c r="BG332" s="29" t="str">
        <f t="shared" si="335"/>
        <v>#DIV/0!</v>
      </c>
      <c r="BH332" s="29" t="str">
        <f t="shared" si="335"/>
        <v>#DIV/0!</v>
      </c>
      <c r="BI332" s="29" t="str">
        <f t="shared" si="335"/>
        <v>#DIV/0!</v>
      </c>
      <c r="BJ332" s="29" t="str">
        <f t="shared" si="335"/>
        <v>#DIV/0!</v>
      </c>
      <c r="BK332" s="29" t="str">
        <f t="shared" si="335"/>
        <v>#DIV/0!</v>
      </c>
      <c r="BL332" s="29" t="str">
        <f t="shared" si="335"/>
        <v>#DIV/0!</v>
      </c>
      <c r="BM332" s="29" t="str">
        <f t="shared" si="3"/>
        <v>#DIV/0!</v>
      </c>
    </row>
    <row r="333">
      <c r="A333" s="16" t="str">
        <f>IFERROR(__xludf.DUMMYFUNCTION("IFERROR(SPARKLINE(SORT(MAP(TRANSPOSE(AQ333:BL333), LAMBDA(val, IF(ISNUMBER(val), PERCENTRANK(AQ333:BL333, val)+0.01, 0))), SEQUENCE(COLUMNS(AQ333:BL333)), FALSE), {""charttype"",""column""; ""color"",""chartreuse""; ""ymin"", 0; ""ymax"", 1.01; ""highcolo"&amp;"r"", ""darkgreen""; ""lowcolor"", ""red""}), """")"),"")</f>
        <v/>
      </c>
      <c r="B333" s="17" t="str">
        <f t="shared" si="4"/>
        <v/>
      </c>
      <c r="C333" s="1" t="s">
        <v>2149</v>
      </c>
      <c r="D333" s="30" t="str">
        <f>IFERROR(__xludf.DUMMYFUNCTION("IFERROR(GOOGLEFINANCE(C333, ""NAME""))"),"Acuity Inc")</f>
        <v>Acuity Inc</v>
      </c>
      <c r="E333" s="30" t="s">
        <v>864</v>
      </c>
      <c r="F333" s="38" t="str">
        <f>IFERROR(__xludf.DUMMYFUNCTION("( (GOOGLEFINANCE(C333, ""price"") - Q333) / Q333 ) / (R333 / 100)"),"Loading...")</f>
        <v>Loading...</v>
      </c>
      <c r="G333" s="20" t="str">
        <f>IFERROR(__xludf.DUMMYFUNCTION("AVERAGE(ARRAYFORMULA(100 * (QUERY(GOOGLEFINANCE(C333, ""high"", TODAY()-40, TODAY()), ""SELECT Col2 WHERE Col2 IS NOT NULL ORDER BY Col1 DESC LIMIT 20"", 0) / QUERY(GOOGLEFINANCE(C333, ""low"", TODAY()-40, TODAY()), ""SELECT Col2 WHERE Col2 IS NOT NULL OR"&amp;"DER BY Col1 DESC LIMIT 20"", 0) - 1)))"),"#N/A")</f>
        <v>#N/A</v>
      </c>
      <c r="H333" s="35" t="str">
        <f t="shared" si="6"/>
        <v/>
      </c>
      <c r="I333" s="35" t="str">
        <f t="shared" si="7"/>
        <v/>
      </c>
      <c r="J333" s="37" t="str">
        <f>IFERROR(__xludf.DUMMYFUNCTION("IFERROR(
  IF(C333="""",, 
    IFERROR(
      GOOGLEFINANCE(C333, ""price"") * GOOGLEFINANCE(C333, ""volumeavg""), 
      GOOGLEFINANCE(C333, ""price"") * AVERAGE(QUERY(GOOGLEFINANCE(C333, ""volume"", TODAY()-40, TODAY()), ""SELECT Col2 WHERE Col2 IS NOT "&amp;"NULL ORDER BY Col1 DESC LIMIT 20"", 0))
    )
  ), 
"""")"),"")</f>
        <v/>
      </c>
      <c r="K333" s="21" t="str">
        <f>IFERROR(__xludf.DUMMYFUNCTION("IFERROR(GOOGLEFINANCE(C333, ""changepct"") / 100, """")"),"")</f>
        <v/>
      </c>
      <c r="L333" s="21" t="str">
        <f>IFERROR(__xludf.DUMMYFUNCTION("IFERROR((GOOGLEFINANCE(C333, ""price"") / INDEX(GOOGLEFINANCE(C333, ""price"", TODAY()-7, TODAY()), 2, 2)) - 1, """")"),"")</f>
        <v/>
      </c>
      <c r="M333" s="21" t="str">
        <f>IFERROR(__xludf.DUMMYFUNCTION("IFERROR((GOOGLEFINANCE(C333, ""price"") / INDEX(GOOGLEFINANCE(C333, ""price"", EDATE(TODAY(), -1), TODAY()), 2, 2)) - 1, """")"),"")</f>
        <v/>
      </c>
      <c r="N333" s="21" t="str">
        <f>IFERROR(__xludf.DUMMYFUNCTION("IFERROR((GOOGLEFINANCE(C333, ""price"") / INDEX(GOOGLEFINANCE(C333, ""price"", EDATE(TODAY(), -3), TODAY()), 2, 2)) - 1, """")"),"")</f>
        <v/>
      </c>
      <c r="O333" s="21" t="str">
        <f>IFERROR(__xludf.DUMMYFUNCTION("IFERROR((GOOGLEFINANCE(C333, ""price"") / INDEX(GOOGLEFINANCE(C333, ""price"", EDATE(TODAY(), -6), TODAY()), 2, 2)) - 1, """")"),"")</f>
        <v/>
      </c>
      <c r="P333" s="21" t="str">
        <f>IFERROR(__xludf.DUMMYFUNCTION("IFERROR((GOOGLEFINANCE(C333, ""price"") / INDEX(GOOGLEFINANCE(C333, ""price"", EDATE(TODAY(), -12), TODAY()), 2, 2)) - 1, """")"),"")</f>
        <v/>
      </c>
      <c r="Q333" s="6" t="str">
        <f>IFERROR(__xludf.DUMMYFUNCTION("AVERAGE(QUERY(GOOGLEFINANCE(C333, ""price"", TODAY()-80, TODAY()), ""SELECT Col2 WHERE Col2 IS NOT NULL ORDER BY Col1 DESC LIMIT 50"", 0))"),"#N/A")</f>
        <v>#N/A</v>
      </c>
      <c r="R333" s="24" t="str">
        <f>IFERROR(__xludf.DUMMYFUNCTION("IFERROR(
  LET(
    data, QUERY(GOOGLEFINANCE(C333,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GOOGLEFINANCE(C333, ""price"")) * 100,
    IF(calc=0, G333, calc)
  ), 
G333)"),"#N/A")</f>
        <v>#N/A</v>
      </c>
      <c r="S333" s="8" t="s">
        <v>15</v>
      </c>
      <c r="T333" s="26" t="str">
        <f>IFERROR(__xludf.DUMMYFUNCTION("IFERROR(TRANSPOSE(QUERY(IFERROR(SORT(GOOGLEFINANCE(C333, ""price"", WORKDAY(TODAY(), -40), TODAY()), 1, FALSE)), ""select Col2 where Col2 is not null limit 22 label Col2 ''"", 0)), """")"),"")</f>
        <v/>
      </c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8"/>
      <c r="AO333" s="28"/>
      <c r="AP333" s="29"/>
      <c r="AQ333" s="29" t="str">
        <f t="shared" ref="AQ333:BL333" si="336">T333/T$2</f>
        <v>#N/A</v>
      </c>
      <c r="AR333" s="29" t="str">
        <f t="shared" si="336"/>
        <v>#DIV/0!</v>
      </c>
      <c r="AS333" s="29" t="str">
        <f t="shared" si="336"/>
        <v>#DIV/0!</v>
      </c>
      <c r="AT333" s="29" t="str">
        <f t="shared" si="336"/>
        <v>#DIV/0!</v>
      </c>
      <c r="AU333" s="29" t="str">
        <f t="shared" si="336"/>
        <v>#DIV/0!</v>
      </c>
      <c r="AV333" s="29" t="str">
        <f t="shared" si="336"/>
        <v>#DIV/0!</v>
      </c>
      <c r="AW333" s="29" t="str">
        <f t="shared" si="336"/>
        <v>#DIV/0!</v>
      </c>
      <c r="AX333" s="29" t="str">
        <f t="shared" si="336"/>
        <v>#DIV/0!</v>
      </c>
      <c r="AY333" s="29" t="str">
        <f t="shared" si="336"/>
        <v>#DIV/0!</v>
      </c>
      <c r="AZ333" s="29" t="str">
        <f t="shared" si="336"/>
        <v>#DIV/0!</v>
      </c>
      <c r="BA333" s="29" t="str">
        <f t="shared" si="336"/>
        <v>#DIV/0!</v>
      </c>
      <c r="BB333" s="29" t="str">
        <f t="shared" si="336"/>
        <v>#DIV/0!</v>
      </c>
      <c r="BC333" s="29" t="str">
        <f t="shared" si="336"/>
        <v>#DIV/0!</v>
      </c>
      <c r="BD333" s="29" t="str">
        <f t="shared" si="336"/>
        <v>#DIV/0!</v>
      </c>
      <c r="BE333" s="29" t="str">
        <f t="shared" si="336"/>
        <v>#DIV/0!</v>
      </c>
      <c r="BF333" s="29" t="str">
        <f t="shared" si="336"/>
        <v>#DIV/0!</v>
      </c>
      <c r="BG333" s="29" t="str">
        <f t="shared" si="336"/>
        <v>#DIV/0!</v>
      </c>
      <c r="BH333" s="29" t="str">
        <f t="shared" si="336"/>
        <v>#DIV/0!</v>
      </c>
      <c r="BI333" s="29" t="str">
        <f t="shared" si="336"/>
        <v>#DIV/0!</v>
      </c>
      <c r="BJ333" s="29" t="str">
        <f t="shared" si="336"/>
        <v>#DIV/0!</v>
      </c>
      <c r="BK333" s="29" t="str">
        <f t="shared" si="336"/>
        <v>#DIV/0!</v>
      </c>
      <c r="BL333" s="29" t="str">
        <f t="shared" si="336"/>
        <v>#DIV/0!</v>
      </c>
      <c r="BM333" s="29" t="str">
        <f t="shared" si="3"/>
        <v>#DIV/0!</v>
      </c>
    </row>
    <row r="334">
      <c r="A334" s="16" t="str">
        <f>IFERROR(__xludf.DUMMYFUNCTION("IFERROR(SPARKLINE(SORT(MAP(TRANSPOSE(AQ334:BL334), LAMBDA(val, IF(ISNUMBER(val), PERCENTRANK(AQ334:BL334, val)+0.01, 0))), SEQUENCE(COLUMNS(AQ334:BL334)), FALSE), {""charttype"",""column""; ""color"",""chartreuse""; ""ymin"", 0; ""ymax"", 1.01; ""highcolo"&amp;"r"", ""darkgreen""; ""lowcolor"", ""red""}), """")"),"")</f>
        <v/>
      </c>
      <c r="B334" s="17" t="str">
        <f t="shared" si="4"/>
        <v/>
      </c>
      <c r="C334" s="1" t="s">
        <v>2153</v>
      </c>
      <c r="D334" s="30" t="str">
        <f>IFERROR(__xludf.DUMMYFUNCTION("IFERROR(GOOGLEFINANCE(C334, ""NAME""))"),"Enerpac Tool Group Corp")</f>
        <v>Enerpac Tool Group Corp</v>
      </c>
      <c r="E334" s="30" t="s">
        <v>893</v>
      </c>
      <c r="F334" s="38" t="str">
        <f>IFERROR(__xludf.DUMMYFUNCTION("( (GOOGLEFINANCE(C334, ""price"") - Q334) / Q334 ) / (R334 / 100)"),"Loading...")</f>
        <v>Loading...</v>
      </c>
      <c r="G334" s="20" t="str">
        <f>IFERROR(__xludf.DUMMYFUNCTION("AVERAGE(ARRAYFORMULA(100 * (QUERY(GOOGLEFINANCE(C334, ""high"", TODAY()-40, TODAY()), ""SELECT Col2 WHERE Col2 IS NOT NULL ORDER BY Col1 DESC LIMIT 20"", 0) / QUERY(GOOGLEFINANCE(C334, ""low"", TODAY()-40, TODAY()), ""SELECT Col2 WHERE Col2 IS NOT NULL OR"&amp;"DER BY Col1 DESC LIMIT 20"", 0) - 1)))"),"#N/A")</f>
        <v>#N/A</v>
      </c>
      <c r="H334" s="35" t="str">
        <f t="shared" si="6"/>
        <v/>
      </c>
      <c r="I334" s="35" t="str">
        <f t="shared" si="7"/>
        <v/>
      </c>
      <c r="J334" s="37" t="str">
        <f>IFERROR(__xludf.DUMMYFUNCTION("IFERROR(
  IF(C334="""",, 
    IFERROR(
      GOOGLEFINANCE(C334, ""price"") * GOOGLEFINANCE(C334, ""volumeavg""), 
      GOOGLEFINANCE(C334, ""price"") * AVERAGE(QUERY(GOOGLEFINANCE(C334, ""volume"", TODAY()-40, TODAY()), ""SELECT Col2 WHERE Col2 IS NOT "&amp;"NULL ORDER BY Col1 DESC LIMIT 20"", 0))
    )
  ), 
"""")"),"")</f>
        <v/>
      </c>
      <c r="K334" s="21" t="str">
        <f>IFERROR(__xludf.DUMMYFUNCTION("IFERROR(GOOGLEFINANCE(C334, ""changepct"") / 100, """")"),"")</f>
        <v/>
      </c>
      <c r="L334" s="21" t="str">
        <f>IFERROR(__xludf.DUMMYFUNCTION("IFERROR((GOOGLEFINANCE(C334, ""price"") / INDEX(GOOGLEFINANCE(C334, ""price"", TODAY()-7, TODAY()), 2, 2)) - 1, """")"),"")</f>
        <v/>
      </c>
      <c r="M334" s="21" t="str">
        <f>IFERROR(__xludf.DUMMYFUNCTION("IFERROR((GOOGLEFINANCE(C334, ""price"") / INDEX(GOOGLEFINANCE(C334, ""price"", EDATE(TODAY(), -1), TODAY()), 2, 2)) - 1, """")"),"")</f>
        <v/>
      </c>
      <c r="N334" s="21" t="str">
        <f>IFERROR(__xludf.DUMMYFUNCTION("IFERROR((GOOGLEFINANCE(C334, ""price"") / INDEX(GOOGLEFINANCE(C334, ""price"", EDATE(TODAY(), -3), TODAY()), 2, 2)) - 1, """")"),"")</f>
        <v/>
      </c>
      <c r="O334" s="21" t="str">
        <f>IFERROR(__xludf.DUMMYFUNCTION("IFERROR((GOOGLEFINANCE(C334, ""price"") / INDEX(GOOGLEFINANCE(C334, ""price"", EDATE(TODAY(), -6), TODAY()), 2, 2)) - 1, """")"),"")</f>
        <v/>
      </c>
      <c r="P334" s="21" t="str">
        <f>IFERROR(__xludf.DUMMYFUNCTION("IFERROR((GOOGLEFINANCE(C334, ""price"") / INDEX(GOOGLEFINANCE(C334, ""price"", EDATE(TODAY(), -12), TODAY()), 2, 2)) - 1, """")"),"")</f>
        <v/>
      </c>
      <c r="Q334" s="6" t="str">
        <f>IFERROR(__xludf.DUMMYFUNCTION("AVERAGE(QUERY(GOOGLEFINANCE(C334, ""price"", TODAY()-80, TODAY()), ""SELECT Col2 WHERE Col2 IS NOT NULL ORDER BY Col1 DESC LIMIT 50"", 0))"),"#N/A")</f>
        <v>#N/A</v>
      </c>
      <c r="R334" s="24" t="str">
        <f>IFERROR(__xludf.DUMMYFUNCTION("IFERROR(
  LET(
    data, QUERY(GOOGLEFINANCE(C334,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GOOGLEFINANCE(C334, ""price"")) * 100,
    IF(calc=0, G334, calc)
  ), 
G334)"),"#N/A")</f>
        <v>#N/A</v>
      </c>
      <c r="S334" s="8" t="s">
        <v>15</v>
      </c>
      <c r="T334" s="26" t="str">
        <f>IFERROR(__xludf.DUMMYFUNCTION("IFERROR(TRANSPOSE(QUERY(IFERROR(SORT(GOOGLEFINANCE(C334, ""price"", WORKDAY(TODAY(), -40), TODAY()), 1, FALSE)), ""select Col2 where Col2 is not null limit 22 label Col2 ''"", 0)), """")"),"")</f>
        <v/>
      </c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8"/>
      <c r="AO334" s="28"/>
      <c r="AP334" s="29"/>
      <c r="AQ334" s="29" t="str">
        <f t="shared" ref="AQ334:BL334" si="337">T334/T$2</f>
        <v>#N/A</v>
      </c>
      <c r="AR334" s="29" t="str">
        <f t="shared" si="337"/>
        <v>#DIV/0!</v>
      </c>
      <c r="AS334" s="29" t="str">
        <f t="shared" si="337"/>
        <v>#DIV/0!</v>
      </c>
      <c r="AT334" s="29" t="str">
        <f t="shared" si="337"/>
        <v>#DIV/0!</v>
      </c>
      <c r="AU334" s="29" t="str">
        <f t="shared" si="337"/>
        <v>#DIV/0!</v>
      </c>
      <c r="AV334" s="29" t="str">
        <f t="shared" si="337"/>
        <v>#DIV/0!</v>
      </c>
      <c r="AW334" s="29" t="str">
        <f t="shared" si="337"/>
        <v>#DIV/0!</v>
      </c>
      <c r="AX334" s="29" t="str">
        <f t="shared" si="337"/>
        <v>#DIV/0!</v>
      </c>
      <c r="AY334" s="29" t="str">
        <f t="shared" si="337"/>
        <v>#DIV/0!</v>
      </c>
      <c r="AZ334" s="29" t="str">
        <f t="shared" si="337"/>
        <v>#DIV/0!</v>
      </c>
      <c r="BA334" s="29" t="str">
        <f t="shared" si="337"/>
        <v>#DIV/0!</v>
      </c>
      <c r="BB334" s="29" t="str">
        <f t="shared" si="337"/>
        <v>#DIV/0!</v>
      </c>
      <c r="BC334" s="29" t="str">
        <f t="shared" si="337"/>
        <v>#DIV/0!</v>
      </c>
      <c r="BD334" s="29" t="str">
        <f t="shared" si="337"/>
        <v>#DIV/0!</v>
      </c>
      <c r="BE334" s="29" t="str">
        <f t="shared" si="337"/>
        <v>#DIV/0!</v>
      </c>
      <c r="BF334" s="29" t="str">
        <f t="shared" si="337"/>
        <v>#DIV/0!</v>
      </c>
      <c r="BG334" s="29" t="str">
        <f t="shared" si="337"/>
        <v>#DIV/0!</v>
      </c>
      <c r="BH334" s="29" t="str">
        <f t="shared" si="337"/>
        <v>#DIV/0!</v>
      </c>
      <c r="BI334" s="29" t="str">
        <f t="shared" si="337"/>
        <v>#DIV/0!</v>
      </c>
      <c r="BJ334" s="29" t="str">
        <f t="shared" si="337"/>
        <v>#DIV/0!</v>
      </c>
      <c r="BK334" s="29" t="str">
        <f t="shared" si="337"/>
        <v>#DIV/0!</v>
      </c>
      <c r="BL334" s="29" t="str">
        <f t="shared" si="337"/>
        <v>#DIV/0!</v>
      </c>
      <c r="BM334" s="29" t="str">
        <f t="shared" si="3"/>
        <v>#DIV/0!</v>
      </c>
    </row>
    <row r="335">
      <c r="A335" s="16" t="str">
        <f>IFERROR(__xludf.DUMMYFUNCTION("IFERROR(SPARKLINE(SORT(MAP(TRANSPOSE(AQ335:BL335), LAMBDA(val, IF(ISNUMBER(val), PERCENTRANK(AQ335:BL335, val)+0.01, 0))), SEQUENCE(COLUMNS(AQ335:BL335)), FALSE), {""charttype"",""column""; ""color"",""chartreuse""; ""ymin"", 0; ""ymax"", 1.01; ""highcolo"&amp;"r"", ""darkgreen""; ""lowcolor"", ""red""}), """")"),"")</f>
        <v/>
      </c>
      <c r="B335" s="17" t="str">
        <f t="shared" si="4"/>
        <v/>
      </c>
      <c r="C335" s="1" t="s">
        <v>2157</v>
      </c>
      <c r="D335" s="30" t="str">
        <f>IFERROR(__xludf.DUMMYFUNCTION("IFERROR(GOOGLEFINANCE(C335, ""NAME""))"),"Toro Co")</f>
        <v>Toro Co</v>
      </c>
      <c r="E335" s="30" t="s">
        <v>1055</v>
      </c>
      <c r="F335" s="33" t="str">
        <f>IFERROR(__xludf.DUMMYFUNCTION("( (GOOGLEFINANCE(C335, ""price"") - Q335) / Q335 ) / (R335 / 100)"),"Loading...")</f>
        <v>Loading...</v>
      </c>
      <c r="G335" s="20" t="str">
        <f>IFERROR(__xludf.DUMMYFUNCTION("AVERAGE(ARRAYFORMULA(100 * (QUERY(GOOGLEFINANCE(C335, ""high"", TODAY()-40, TODAY()), ""SELECT Col2 WHERE Col2 IS NOT NULL ORDER BY Col1 DESC LIMIT 20"", 0) / QUERY(GOOGLEFINANCE(C335, ""low"", TODAY()-40, TODAY()), ""SELECT Col2 WHERE Col2 IS NOT NULL OR"&amp;"DER BY Col1 DESC LIMIT 20"", 0) - 1)))"),"#N/A")</f>
        <v>#N/A</v>
      </c>
      <c r="H335" s="35" t="str">
        <f t="shared" si="6"/>
        <v/>
      </c>
      <c r="I335" s="35" t="str">
        <f t="shared" si="7"/>
        <v/>
      </c>
      <c r="J335" s="37" t="str">
        <f>IFERROR(__xludf.DUMMYFUNCTION("IFERROR(
  IF(C335="""",, 
    IFERROR(
      GOOGLEFINANCE(C335, ""price"") * GOOGLEFINANCE(C335, ""volumeavg""), 
      GOOGLEFINANCE(C335, ""price"") * AVERAGE(QUERY(GOOGLEFINANCE(C335, ""volume"", TODAY()-40, TODAY()), ""SELECT Col2 WHERE Col2 IS NOT "&amp;"NULL ORDER BY Col1 DESC LIMIT 20"", 0))
    )
  ), 
"""")"),"")</f>
        <v/>
      </c>
      <c r="K335" s="21" t="str">
        <f>IFERROR(__xludf.DUMMYFUNCTION("IFERROR(GOOGLEFINANCE(C335, ""changepct"") / 100, """")"),"")</f>
        <v/>
      </c>
      <c r="L335" s="21" t="str">
        <f>IFERROR(__xludf.DUMMYFUNCTION("IFERROR((GOOGLEFINANCE(C335, ""price"") / INDEX(GOOGLEFINANCE(C335, ""price"", TODAY()-7, TODAY()), 2, 2)) - 1, """")"),"")</f>
        <v/>
      </c>
      <c r="M335" s="21" t="str">
        <f>IFERROR(__xludf.DUMMYFUNCTION("IFERROR((GOOGLEFINANCE(C335, ""price"") / INDEX(GOOGLEFINANCE(C335, ""price"", EDATE(TODAY(), -1), TODAY()), 2, 2)) - 1, """")"),"")</f>
        <v/>
      </c>
      <c r="N335" s="21" t="str">
        <f>IFERROR(__xludf.DUMMYFUNCTION("IFERROR((GOOGLEFINANCE(C335, ""price"") / INDEX(GOOGLEFINANCE(C335, ""price"", EDATE(TODAY(), -3), TODAY()), 2, 2)) - 1, """")"),"")</f>
        <v/>
      </c>
      <c r="O335" s="21" t="str">
        <f>IFERROR(__xludf.DUMMYFUNCTION("IFERROR((GOOGLEFINANCE(C335, ""price"") / INDEX(GOOGLEFINANCE(C335, ""price"", EDATE(TODAY(), -6), TODAY()), 2, 2)) - 1, """")"),"")</f>
        <v/>
      </c>
      <c r="P335" s="21" t="str">
        <f>IFERROR(__xludf.DUMMYFUNCTION("IFERROR((GOOGLEFINANCE(C335, ""price"") / INDEX(GOOGLEFINANCE(C335, ""price"", EDATE(TODAY(), -12), TODAY()), 2, 2)) - 1, """")"),"")</f>
        <v/>
      </c>
      <c r="Q335" s="6" t="str">
        <f>IFERROR(__xludf.DUMMYFUNCTION("AVERAGE(QUERY(GOOGLEFINANCE(C335, ""price"", TODAY()-80, TODAY()), ""SELECT Col2 WHERE Col2 IS NOT NULL ORDER BY Col1 DESC LIMIT 50"", 0))"),"#N/A")</f>
        <v>#N/A</v>
      </c>
      <c r="R335" s="24" t="str">
        <f>IFERROR(__xludf.DUMMYFUNCTION("IFERROR(
  LET(
    data, QUERY(GOOGLEFINANCE(C335,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GOOGLEFINANCE(C335, ""price"")) * 100,
    IF(calc=0, G335, calc)
  ), 
G335)"),"#N/A")</f>
        <v>#N/A</v>
      </c>
      <c r="S335" s="8" t="s">
        <v>15</v>
      </c>
      <c r="T335" s="26" t="str">
        <f>IFERROR(__xludf.DUMMYFUNCTION("IFERROR(TRANSPOSE(QUERY(IFERROR(SORT(GOOGLEFINANCE(C335, ""price"", WORKDAY(TODAY(), -40), TODAY()), 1, FALSE)), ""select Col2 where Col2 is not null limit 22 label Col2 ''"", 0)), """")"),"")</f>
        <v/>
      </c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8"/>
      <c r="AO335" s="28"/>
      <c r="AP335" s="29"/>
      <c r="AQ335" s="29" t="str">
        <f t="shared" ref="AQ335:BL335" si="338">T335/T$2</f>
        <v>#N/A</v>
      </c>
      <c r="AR335" s="29" t="str">
        <f t="shared" si="338"/>
        <v>#DIV/0!</v>
      </c>
      <c r="AS335" s="29" t="str">
        <f t="shared" si="338"/>
        <v>#DIV/0!</v>
      </c>
      <c r="AT335" s="29" t="str">
        <f t="shared" si="338"/>
        <v>#DIV/0!</v>
      </c>
      <c r="AU335" s="29" t="str">
        <f t="shared" si="338"/>
        <v>#DIV/0!</v>
      </c>
      <c r="AV335" s="29" t="str">
        <f t="shared" si="338"/>
        <v>#DIV/0!</v>
      </c>
      <c r="AW335" s="29" t="str">
        <f t="shared" si="338"/>
        <v>#DIV/0!</v>
      </c>
      <c r="AX335" s="29" t="str">
        <f t="shared" si="338"/>
        <v>#DIV/0!</v>
      </c>
      <c r="AY335" s="29" t="str">
        <f t="shared" si="338"/>
        <v>#DIV/0!</v>
      </c>
      <c r="AZ335" s="29" t="str">
        <f t="shared" si="338"/>
        <v>#DIV/0!</v>
      </c>
      <c r="BA335" s="29" t="str">
        <f t="shared" si="338"/>
        <v>#DIV/0!</v>
      </c>
      <c r="BB335" s="29" t="str">
        <f t="shared" si="338"/>
        <v>#DIV/0!</v>
      </c>
      <c r="BC335" s="29" t="str">
        <f t="shared" si="338"/>
        <v>#DIV/0!</v>
      </c>
      <c r="BD335" s="29" t="str">
        <f t="shared" si="338"/>
        <v>#DIV/0!</v>
      </c>
      <c r="BE335" s="29" t="str">
        <f t="shared" si="338"/>
        <v>#DIV/0!</v>
      </c>
      <c r="BF335" s="29" t="str">
        <f t="shared" si="338"/>
        <v>#DIV/0!</v>
      </c>
      <c r="BG335" s="29" t="str">
        <f t="shared" si="338"/>
        <v>#DIV/0!</v>
      </c>
      <c r="BH335" s="29" t="str">
        <f t="shared" si="338"/>
        <v>#DIV/0!</v>
      </c>
      <c r="BI335" s="29" t="str">
        <f t="shared" si="338"/>
        <v>#DIV/0!</v>
      </c>
      <c r="BJ335" s="29" t="str">
        <f t="shared" si="338"/>
        <v>#DIV/0!</v>
      </c>
      <c r="BK335" s="29" t="str">
        <f t="shared" si="338"/>
        <v>#DIV/0!</v>
      </c>
      <c r="BL335" s="29" t="str">
        <f t="shared" si="338"/>
        <v>#DIV/0!</v>
      </c>
      <c r="BM335" s="29" t="str">
        <f t="shared" si="3"/>
        <v>#DIV/0!</v>
      </c>
    </row>
    <row r="336">
      <c r="A336" s="16" t="str">
        <f>IFERROR(__xludf.DUMMYFUNCTION("IFERROR(SPARKLINE(SORT(MAP(TRANSPOSE(AQ336:BL336), LAMBDA(val, IF(ISNUMBER(val), PERCENTRANK(AQ336:BL336, val)+0.01, 0))), SEQUENCE(COLUMNS(AQ336:BL336)), FALSE), {""charttype"",""column""; ""color"",""chartreuse""; ""ymin"", 0; ""ymax"", 1.01; ""highcolo"&amp;"r"", ""darkgreen""; ""lowcolor"", ""red""}), """")"),"")</f>
        <v/>
      </c>
      <c r="B336" s="17" t="str">
        <f t="shared" si="4"/>
        <v/>
      </c>
      <c r="C336" s="1" t="s">
        <v>2161</v>
      </c>
      <c r="D336" s="30" t="str">
        <f>IFERROR(__xludf.DUMMYFUNCTION("IFERROR(GOOGLEFINANCE(C336, ""NAME""))"),"Hub Group Inc")</f>
        <v>Hub Group Inc</v>
      </c>
      <c r="E336" s="30" t="s">
        <v>955</v>
      </c>
      <c r="F336" s="33" t="str">
        <f>IFERROR(__xludf.DUMMYFUNCTION("( (GOOGLEFINANCE(C336, ""price"") - Q336) / Q336 ) / (R336 / 100)"),"Loading...")</f>
        <v>Loading...</v>
      </c>
      <c r="G336" s="20" t="str">
        <f>IFERROR(__xludf.DUMMYFUNCTION("AVERAGE(ARRAYFORMULA(100 * (QUERY(GOOGLEFINANCE(C336, ""high"", TODAY()-40, TODAY()), ""SELECT Col2 WHERE Col2 IS NOT NULL ORDER BY Col1 DESC LIMIT 20"", 0) / QUERY(GOOGLEFINANCE(C336, ""low"", TODAY()-40, TODAY()), ""SELECT Col2 WHERE Col2 IS NOT NULL OR"&amp;"DER BY Col1 DESC LIMIT 20"", 0) - 1)))"),"#N/A")</f>
        <v>#N/A</v>
      </c>
      <c r="H336" s="35" t="str">
        <f t="shared" si="6"/>
        <v/>
      </c>
      <c r="I336" s="35" t="str">
        <f t="shared" si="7"/>
        <v/>
      </c>
      <c r="J336" s="37" t="str">
        <f>IFERROR(__xludf.DUMMYFUNCTION("IFERROR(
  IF(C336="""",, 
    IFERROR(
      GOOGLEFINANCE(C336, ""price"") * GOOGLEFINANCE(C336, ""volumeavg""), 
      GOOGLEFINANCE(C336, ""price"") * AVERAGE(QUERY(GOOGLEFINANCE(C336, ""volume"", TODAY()-40, TODAY()), ""SELECT Col2 WHERE Col2 IS NOT "&amp;"NULL ORDER BY Col1 DESC LIMIT 20"", 0))
    )
  ), 
"""")"),"")</f>
        <v/>
      </c>
      <c r="K336" s="21" t="str">
        <f>IFERROR(__xludf.DUMMYFUNCTION("IFERROR(GOOGLEFINANCE(C336, ""changepct"") / 100, """")"),"")</f>
        <v/>
      </c>
      <c r="L336" s="21" t="str">
        <f>IFERROR(__xludf.DUMMYFUNCTION("IFERROR((GOOGLEFINANCE(C336, ""price"") / INDEX(GOOGLEFINANCE(C336, ""price"", TODAY()-7, TODAY()), 2, 2)) - 1, """")"),"")</f>
        <v/>
      </c>
      <c r="M336" s="21" t="str">
        <f>IFERROR(__xludf.DUMMYFUNCTION("IFERROR((GOOGLEFINANCE(C336, ""price"") / INDEX(GOOGLEFINANCE(C336, ""price"", EDATE(TODAY(), -1), TODAY()), 2, 2)) - 1, """")"),"")</f>
        <v/>
      </c>
      <c r="N336" s="21" t="str">
        <f>IFERROR(__xludf.DUMMYFUNCTION("IFERROR((GOOGLEFINANCE(C336, ""price"") / INDEX(GOOGLEFINANCE(C336, ""price"", EDATE(TODAY(), -3), TODAY()), 2, 2)) - 1, """")"),"")</f>
        <v/>
      </c>
      <c r="O336" s="21" t="str">
        <f>IFERROR(__xludf.DUMMYFUNCTION("IFERROR((GOOGLEFINANCE(C336, ""price"") / INDEX(GOOGLEFINANCE(C336, ""price"", EDATE(TODAY(), -6), TODAY()), 2, 2)) - 1, """")"),"")</f>
        <v/>
      </c>
      <c r="P336" s="21" t="str">
        <f>IFERROR(__xludf.DUMMYFUNCTION("IFERROR((GOOGLEFINANCE(C336, ""price"") / INDEX(GOOGLEFINANCE(C336, ""price"", EDATE(TODAY(), -12), TODAY()), 2, 2)) - 1, """")"),"")</f>
        <v/>
      </c>
      <c r="Q336" s="6" t="str">
        <f>IFERROR(__xludf.DUMMYFUNCTION("AVERAGE(QUERY(GOOGLEFINANCE(C336, ""price"", TODAY()-80, TODAY()), ""SELECT Col2 WHERE Col2 IS NOT NULL ORDER BY Col1 DESC LIMIT 50"", 0))"),"#N/A")</f>
        <v>#N/A</v>
      </c>
      <c r="R336" s="24" t="str">
        <f>IFERROR(__xludf.DUMMYFUNCTION("IFERROR(
  LET(
    data, QUERY(GOOGLEFINANCE(C336,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GOOGLEFINANCE(C336, ""price"")) * 100,
    IF(calc=0, G336, calc)
  ), 
G336)"),"#N/A")</f>
        <v>#N/A</v>
      </c>
      <c r="S336" s="8" t="s">
        <v>15</v>
      </c>
      <c r="T336" s="26" t="str">
        <f>IFERROR(__xludf.DUMMYFUNCTION("IFERROR(TRANSPOSE(QUERY(IFERROR(SORT(GOOGLEFINANCE(C336, ""price"", WORKDAY(TODAY(), -40), TODAY()), 1, FALSE)), ""select Col2 where Col2 is not null limit 22 label Col2 ''"", 0)), """")"),"")</f>
        <v/>
      </c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8"/>
      <c r="AO336" s="28"/>
      <c r="AP336" s="29"/>
      <c r="AQ336" s="29" t="str">
        <f t="shared" ref="AQ336:BL336" si="339">T336/T$2</f>
        <v>#N/A</v>
      </c>
      <c r="AR336" s="29" t="str">
        <f t="shared" si="339"/>
        <v>#DIV/0!</v>
      </c>
      <c r="AS336" s="29" t="str">
        <f t="shared" si="339"/>
        <v>#DIV/0!</v>
      </c>
      <c r="AT336" s="29" t="str">
        <f t="shared" si="339"/>
        <v>#DIV/0!</v>
      </c>
      <c r="AU336" s="29" t="str">
        <f t="shared" si="339"/>
        <v>#DIV/0!</v>
      </c>
      <c r="AV336" s="29" t="str">
        <f t="shared" si="339"/>
        <v>#DIV/0!</v>
      </c>
      <c r="AW336" s="29" t="str">
        <f t="shared" si="339"/>
        <v>#DIV/0!</v>
      </c>
      <c r="AX336" s="29" t="str">
        <f t="shared" si="339"/>
        <v>#DIV/0!</v>
      </c>
      <c r="AY336" s="29" t="str">
        <f t="shared" si="339"/>
        <v>#DIV/0!</v>
      </c>
      <c r="AZ336" s="29" t="str">
        <f t="shared" si="339"/>
        <v>#DIV/0!</v>
      </c>
      <c r="BA336" s="29" t="str">
        <f t="shared" si="339"/>
        <v>#DIV/0!</v>
      </c>
      <c r="BB336" s="29" t="str">
        <f t="shared" si="339"/>
        <v>#DIV/0!</v>
      </c>
      <c r="BC336" s="29" t="str">
        <f t="shared" si="339"/>
        <v>#DIV/0!</v>
      </c>
      <c r="BD336" s="29" t="str">
        <f t="shared" si="339"/>
        <v>#DIV/0!</v>
      </c>
      <c r="BE336" s="29" t="str">
        <f t="shared" si="339"/>
        <v>#DIV/0!</v>
      </c>
      <c r="BF336" s="29" t="str">
        <f t="shared" si="339"/>
        <v>#DIV/0!</v>
      </c>
      <c r="BG336" s="29" t="str">
        <f t="shared" si="339"/>
        <v>#DIV/0!</v>
      </c>
      <c r="BH336" s="29" t="str">
        <f t="shared" si="339"/>
        <v>#DIV/0!</v>
      </c>
      <c r="BI336" s="29" t="str">
        <f t="shared" si="339"/>
        <v>#DIV/0!</v>
      </c>
      <c r="BJ336" s="29" t="str">
        <f t="shared" si="339"/>
        <v>#DIV/0!</v>
      </c>
      <c r="BK336" s="29" t="str">
        <f t="shared" si="339"/>
        <v>#DIV/0!</v>
      </c>
      <c r="BL336" s="29" t="str">
        <f t="shared" si="339"/>
        <v>#DIV/0!</v>
      </c>
      <c r="BM336" s="29" t="str">
        <f t="shared" si="3"/>
        <v>#DIV/0!</v>
      </c>
    </row>
    <row r="337">
      <c r="A337" s="16" t="str">
        <f>IFERROR(__xludf.DUMMYFUNCTION("IFERROR(SPARKLINE(SORT(MAP(TRANSPOSE(AQ337:BL337), LAMBDA(val, IF(ISNUMBER(val), PERCENTRANK(AQ337:BL337, val)+0.01, 0))), SEQUENCE(COLUMNS(AQ337:BL337)), FALSE), {""charttype"",""column""; ""color"",""chartreuse""; ""ymin"", 0; ""ymax"", 1.01; ""highcolo"&amp;"r"", ""darkgreen""; ""lowcolor"", ""red""}), """")"),"")</f>
        <v/>
      </c>
      <c r="B337" s="17" t="str">
        <f t="shared" si="4"/>
        <v/>
      </c>
      <c r="C337" s="1" t="s">
        <v>2166</v>
      </c>
      <c r="D337" s="30" t="str">
        <f>IFERROR(__xludf.DUMMYFUNCTION("IFERROR(GOOGLEFINANCE(C337, ""NAME""))"),"Crane NXT Co")</f>
        <v>Crane NXT Co</v>
      </c>
      <c r="E337" s="30" t="s">
        <v>893</v>
      </c>
      <c r="F337" s="33" t="str">
        <f>IFERROR(__xludf.DUMMYFUNCTION("( (GOOGLEFINANCE(C337, ""price"") - Q337) / Q337 ) / (R337 / 100)"),"Loading...")</f>
        <v>Loading...</v>
      </c>
      <c r="G337" s="20" t="str">
        <f>IFERROR(__xludf.DUMMYFUNCTION("AVERAGE(ARRAYFORMULA(100 * (QUERY(GOOGLEFINANCE(C337, ""high"", TODAY()-40, TODAY()), ""SELECT Col2 WHERE Col2 IS NOT NULL ORDER BY Col1 DESC LIMIT 20"", 0) / QUERY(GOOGLEFINANCE(C337, ""low"", TODAY()-40, TODAY()), ""SELECT Col2 WHERE Col2 IS NOT NULL OR"&amp;"DER BY Col1 DESC LIMIT 20"", 0) - 1)))"),"#N/A")</f>
        <v>#N/A</v>
      </c>
      <c r="H337" s="35" t="str">
        <f t="shared" si="6"/>
        <v/>
      </c>
      <c r="I337" s="35" t="str">
        <f t="shared" si="7"/>
        <v/>
      </c>
      <c r="J337" s="37" t="str">
        <f>IFERROR(__xludf.DUMMYFUNCTION("IFERROR(
  IF(C337="""",, 
    IFERROR(
      GOOGLEFINANCE(C337, ""price"") * GOOGLEFINANCE(C337, ""volumeavg""), 
      GOOGLEFINANCE(C337, ""price"") * AVERAGE(QUERY(GOOGLEFINANCE(C337, ""volume"", TODAY()-40, TODAY()), ""SELECT Col2 WHERE Col2 IS NOT "&amp;"NULL ORDER BY Col1 DESC LIMIT 20"", 0))
    )
  ), 
"""")"),"")</f>
        <v/>
      </c>
      <c r="K337" s="21" t="str">
        <f>IFERROR(__xludf.DUMMYFUNCTION("IFERROR(GOOGLEFINANCE(C337, ""changepct"") / 100, """")"),"")</f>
        <v/>
      </c>
      <c r="L337" s="21" t="str">
        <f>IFERROR(__xludf.DUMMYFUNCTION("IFERROR((GOOGLEFINANCE(C337, ""price"") / INDEX(GOOGLEFINANCE(C337, ""price"", TODAY()-7, TODAY()), 2, 2)) - 1, """")"),"")</f>
        <v/>
      </c>
      <c r="M337" s="21" t="str">
        <f>IFERROR(__xludf.DUMMYFUNCTION("IFERROR((GOOGLEFINANCE(C337, ""price"") / INDEX(GOOGLEFINANCE(C337, ""price"", EDATE(TODAY(), -1), TODAY()), 2, 2)) - 1, """")"),"")</f>
        <v/>
      </c>
      <c r="N337" s="21" t="str">
        <f>IFERROR(__xludf.DUMMYFUNCTION("IFERROR((GOOGLEFINANCE(C337, ""price"") / INDEX(GOOGLEFINANCE(C337, ""price"", EDATE(TODAY(), -3), TODAY()), 2, 2)) - 1, """")"),"")</f>
        <v/>
      </c>
      <c r="O337" s="21" t="str">
        <f>IFERROR(__xludf.DUMMYFUNCTION("IFERROR((GOOGLEFINANCE(C337, ""price"") / INDEX(GOOGLEFINANCE(C337, ""price"", EDATE(TODAY(), -6), TODAY()), 2, 2)) - 1, """")"),"")</f>
        <v/>
      </c>
      <c r="P337" s="21" t="str">
        <f>IFERROR(__xludf.DUMMYFUNCTION("IFERROR((GOOGLEFINANCE(C337, ""price"") / INDEX(GOOGLEFINANCE(C337, ""price"", EDATE(TODAY(), -12), TODAY()), 2, 2)) - 1, """")"),"")</f>
        <v/>
      </c>
      <c r="Q337" s="6" t="str">
        <f>IFERROR(__xludf.DUMMYFUNCTION("AVERAGE(QUERY(GOOGLEFINANCE(C337, ""price"", TODAY()-80, TODAY()), ""SELECT Col2 WHERE Col2 IS NOT NULL ORDER BY Col1 DESC LIMIT 50"", 0))"),"#N/A")</f>
        <v>#N/A</v>
      </c>
      <c r="R337" s="24" t="str">
        <f>IFERROR(__xludf.DUMMYFUNCTION("IFERROR(
  LET(
    data, QUERY(GOOGLEFINANCE(C337,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GOOGLEFINANCE(C337, ""price"")) * 100,
    IF(calc=0, G337, calc)
  ), 
G337)"),"#N/A")</f>
        <v>#N/A</v>
      </c>
      <c r="S337" s="8" t="s">
        <v>15</v>
      </c>
      <c r="T337" s="26" t="str">
        <f>IFERROR(__xludf.DUMMYFUNCTION("IFERROR(TRANSPOSE(QUERY(IFERROR(SORT(GOOGLEFINANCE(C337, ""price"", WORKDAY(TODAY(), -40), TODAY()), 1, FALSE)), ""select Col2 where Col2 is not null limit 22 label Col2 ''"", 0)), """")"),"")</f>
        <v/>
      </c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8"/>
      <c r="AO337" s="28"/>
      <c r="AP337" s="29"/>
      <c r="AQ337" s="29" t="str">
        <f t="shared" ref="AQ337:BL337" si="340">T337/T$2</f>
        <v>#N/A</v>
      </c>
      <c r="AR337" s="29" t="str">
        <f t="shared" si="340"/>
        <v>#DIV/0!</v>
      </c>
      <c r="AS337" s="29" t="str">
        <f t="shared" si="340"/>
        <v>#DIV/0!</v>
      </c>
      <c r="AT337" s="29" t="str">
        <f t="shared" si="340"/>
        <v>#DIV/0!</v>
      </c>
      <c r="AU337" s="29" t="str">
        <f t="shared" si="340"/>
        <v>#DIV/0!</v>
      </c>
      <c r="AV337" s="29" t="str">
        <f t="shared" si="340"/>
        <v>#DIV/0!</v>
      </c>
      <c r="AW337" s="29" t="str">
        <f t="shared" si="340"/>
        <v>#DIV/0!</v>
      </c>
      <c r="AX337" s="29" t="str">
        <f t="shared" si="340"/>
        <v>#DIV/0!</v>
      </c>
      <c r="AY337" s="29" t="str">
        <f t="shared" si="340"/>
        <v>#DIV/0!</v>
      </c>
      <c r="AZ337" s="29" t="str">
        <f t="shared" si="340"/>
        <v>#DIV/0!</v>
      </c>
      <c r="BA337" s="29" t="str">
        <f t="shared" si="340"/>
        <v>#DIV/0!</v>
      </c>
      <c r="BB337" s="29" t="str">
        <f t="shared" si="340"/>
        <v>#DIV/0!</v>
      </c>
      <c r="BC337" s="29" t="str">
        <f t="shared" si="340"/>
        <v>#DIV/0!</v>
      </c>
      <c r="BD337" s="29" t="str">
        <f t="shared" si="340"/>
        <v>#DIV/0!</v>
      </c>
      <c r="BE337" s="29" t="str">
        <f t="shared" si="340"/>
        <v>#DIV/0!</v>
      </c>
      <c r="BF337" s="29" t="str">
        <f t="shared" si="340"/>
        <v>#DIV/0!</v>
      </c>
      <c r="BG337" s="29" t="str">
        <f t="shared" si="340"/>
        <v>#DIV/0!</v>
      </c>
      <c r="BH337" s="29" t="str">
        <f t="shared" si="340"/>
        <v>#DIV/0!</v>
      </c>
      <c r="BI337" s="29" t="str">
        <f t="shared" si="340"/>
        <v>#DIV/0!</v>
      </c>
      <c r="BJ337" s="29" t="str">
        <f t="shared" si="340"/>
        <v>#DIV/0!</v>
      </c>
      <c r="BK337" s="29" t="str">
        <f t="shared" si="340"/>
        <v>#DIV/0!</v>
      </c>
      <c r="BL337" s="29" t="str">
        <f t="shared" si="340"/>
        <v>#DIV/0!</v>
      </c>
      <c r="BM337" s="29" t="str">
        <f t="shared" si="3"/>
        <v>#DIV/0!</v>
      </c>
    </row>
    <row r="338">
      <c r="A338" s="16" t="str">
        <f>IFERROR(__xludf.DUMMYFUNCTION("IFERROR(SPARKLINE(SORT(MAP(TRANSPOSE(AQ338:BL338), LAMBDA(val, IF(ISNUMBER(val), PERCENTRANK(AQ338:BL338, val)+0.01, 0))), SEQUENCE(COLUMNS(AQ338:BL338)), FALSE), {""charttype"",""column""; ""color"",""chartreuse""; ""ymin"", 0; ""ymax"", 1.01; ""highcolo"&amp;"r"", ""darkgreen""; ""lowcolor"", ""red""}), """")"),"")</f>
        <v/>
      </c>
      <c r="B338" s="17" t="str">
        <f t="shared" si="4"/>
        <v/>
      </c>
      <c r="C338" s="1" t="s">
        <v>2170</v>
      </c>
      <c r="D338" s="30" t="str">
        <f>IFERROR(__xludf.DUMMYFUNCTION("IFERROR(GOOGLEFINANCE(C338, ""NAME""))"),"United Parcel Service Inc")</f>
        <v>United Parcel Service Inc</v>
      </c>
      <c r="E338" s="30" t="s">
        <v>955</v>
      </c>
      <c r="F338" s="33" t="str">
        <f>IFERROR(__xludf.DUMMYFUNCTION("( (GOOGLEFINANCE(C338, ""price"") - Q338) / Q338 ) / (R338 / 100)"),"Loading...")</f>
        <v>Loading...</v>
      </c>
      <c r="G338" s="20" t="str">
        <f>IFERROR(__xludf.DUMMYFUNCTION("AVERAGE(ARRAYFORMULA(100 * (QUERY(GOOGLEFINANCE(C338, ""high"", TODAY()-40, TODAY()), ""SELECT Col2 WHERE Col2 IS NOT NULL ORDER BY Col1 DESC LIMIT 20"", 0) / QUERY(GOOGLEFINANCE(C338, ""low"", TODAY()-40, TODAY()), ""SELECT Col2 WHERE Col2 IS NOT NULL OR"&amp;"DER BY Col1 DESC LIMIT 20"", 0) - 1)))"),"#N/A")</f>
        <v>#N/A</v>
      </c>
      <c r="H338" s="35" t="str">
        <f t="shared" si="6"/>
        <v/>
      </c>
      <c r="I338" s="35" t="str">
        <f t="shared" si="7"/>
        <v/>
      </c>
      <c r="J338" s="37" t="str">
        <f>IFERROR(__xludf.DUMMYFUNCTION("IFERROR(
  IF(C338="""",, 
    IFERROR(
      GOOGLEFINANCE(C338, ""price"") * GOOGLEFINANCE(C338, ""volumeavg""), 
      GOOGLEFINANCE(C338, ""price"") * AVERAGE(QUERY(GOOGLEFINANCE(C338, ""volume"", TODAY()-40, TODAY()), ""SELECT Col2 WHERE Col2 IS NOT "&amp;"NULL ORDER BY Col1 DESC LIMIT 20"", 0))
    )
  ), 
"""")"),"")</f>
        <v/>
      </c>
      <c r="K338" s="21" t="str">
        <f>IFERROR(__xludf.DUMMYFUNCTION("IFERROR(GOOGLEFINANCE(C338, ""changepct"") / 100, """")"),"")</f>
        <v/>
      </c>
      <c r="L338" s="21" t="str">
        <f>IFERROR(__xludf.DUMMYFUNCTION("IFERROR((GOOGLEFINANCE(C338, ""price"") / INDEX(GOOGLEFINANCE(C338, ""price"", TODAY()-7, TODAY()), 2, 2)) - 1, """")"),"")</f>
        <v/>
      </c>
      <c r="M338" s="21" t="str">
        <f>IFERROR(__xludf.DUMMYFUNCTION("IFERROR((GOOGLEFINANCE(C338, ""price"") / INDEX(GOOGLEFINANCE(C338, ""price"", EDATE(TODAY(), -1), TODAY()), 2, 2)) - 1, """")"),"")</f>
        <v/>
      </c>
      <c r="N338" s="21" t="str">
        <f>IFERROR(__xludf.DUMMYFUNCTION("IFERROR((GOOGLEFINANCE(C338, ""price"") / INDEX(GOOGLEFINANCE(C338, ""price"", EDATE(TODAY(), -3), TODAY()), 2, 2)) - 1, """")"),"")</f>
        <v/>
      </c>
      <c r="O338" s="21" t="str">
        <f>IFERROR(__xludf.DUMMYFUNCTION("IFERROR((GOOGLEFINANCE(C338, ""price"") / INDEX(GOOGLEFINANCE(C338, ""price"", EDATE(TODAY(), -6), TODAY()), 2, 2)) - 1, """")"),"")</f>
        <v/>
      </c>
      <c r="P338" s="21" t="str">
        <f>IFERROR(__xludf.DUMMYFUNCTION("IFERROR((GOOGLEFINANCE(C338, ""price"") / INDEX(GOOGLEFINANCE(C338, ""price"", EDATE(TODAY(), -12), TODAY()), 2, 2)) - 1, """")"),"")</f>
        <v/>
      </c>
      <c r="Q338" s="6" t="str">
        <f>IFERROR(__xludf.DUMMYFUNCTION("AVERAGE(QUERY(GOOGLEFINANCE(C338, ""price"", TODAY()-80, TODAY()), ""SELECT Col2 WHERE Col2 IS NOT NULL ORDER BY Col1 DESC LIMIT 50"", 0))"),"#N/A")</f>
        <v>#N/A</v>
      </c>
      <c r="R338" s="24" t="str">
        <f>IFERROR(__xludf.DUMMYFUNCTION("IFERROR(
  LET(
    data, QUERY(GOOGLEFINANCE(C338,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GOOGLEFINANCE(C338, ""price"")) * 100,
    IF(calc=0, G338, calc)
  ), 
G338)"),"#N/A")</f>
        <v>#N/A</v>
      </c>
      <c r="S338" s="8" t="s">
        <v>15</v>
      </c>
      <c r="T338" s="26" t="str">
        <f>IFERROR(__xludf.DUMMYFUNCTION("IFERROR(TRANSPOSE(QUERY(IFERROR(SORT(GOOGLEFINANCE(C338, ""price"", WORKDAY(TODAY(), -40), TODAY()), 1, FALSE)), ""select Col2 where Col2 is not null limit 22 label Col2 ''"", 0)), """")"),"")</f>
        <v/>
      </c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8"/>
      <c r="AO338" s="28"/>
      <c r="AP338" s="29"/>
      <c r="AQ338" s="29" t="str">
        <f t="shared" ref="AQ338:BL338" si="341">T338/T$2</f>
        <v>#N/A</v>
      </c>
      <c r="AR338" s="29" t="str">
        <f t="shared" si="341"/>
        <v>#DIV/0!</v>
      </c>
      <c r="AS338" s="29" t="str">
        <f t="shared" si="341"/>
        <v>#DIV/0!</v>
      </c>
      <c r="AT338" s="29" t="str">
        <f t="shared" si="341"/>
        <v>#DIV/0!</v>
      </c>
      <c r="AU338" s="29" t="str">
        <f t="shared" si="341"/>
        <v>#DIV/0!</v>
      </c>
      <c r="AV338" s="29" t="str">
        <f t="shared" si="341"/>
        <v>#DIV/0!</v>
      </c>
      <c r="AW338" s="29" t="str">
        <f t="shared" si="341"/>
        <v>#DIV/0!</v>
      </c>
      <c r="AX338" s="29" t="str">
        <f t="shared" si="341"/>
        <v>#DIV/0!</v>
      </c>
      <c r="AY338" s="29" t="str">
        <f t="shared" si="341"/>
        <v>#DIV/0!</v>
      </c>
      <c r="AZ338" s="29" t="str">
        <f t="shared" si="341"/>
        <v>#DIV/0!</v>
      </c>
      <c r="BA338" s="29" t="str">
        <f t="shared" si="341"/>
        <v>#DIV/0!</v>
      </c>
      <c r="BB338" s="29" t="str">
        <f t="shared" si="341"/>
        <v>#DIV/0!</v>
      </c>
      <c r="BC338" s="29" t="str">
        <f t="shared" si="341"/>
        <v>#DIV/0!</v>
      </c>
      <c r="BD338" s="29" t="str">
        <f t="shared" si="341"/>
        <v>#DIV/0!</v>
      </c>
      <c r="BE338" s="29" t="str">
        <f t="shared" si="341"/>
        <v>#DIV/0!</v>
      </c>
      <c r="BF338" s="29" t="str">
        <f t="shared" si="341"/>
        <v>#DIV/0!</v>
      </c>
      <c r="BG338" s="29" t="str">
        <f t="shared" si="341"/>
        <v>#DIV/0!</v>
      </c>
      <c r="BH338" s="29" t="str">
        <f t="shared" si="341"/>
        <v>#DIV/0!</v>
      </c>
      <c r="BI338" s="29" t="str">
        <f t="shared" si="341"/>
        <v>#DIV/0!</v>
      </c>
      <c r="BJ338" s="29" t="str">
        <f t="shared" si="341"/>
        <v>#DIV/0!</v>
      </c>
      <c r="BK338" s="29" t="str">
        <f t="shared" si="341"/>
        <v>#DIV/0!</v>
      </c>
      <c r="BL338" s="29" t="str">
        <f t="shared" si="341"/>
        <v>#DIV/0!</v>
      </c>
      <c r="BM338" s="29" t="str">
        <f t="shared" si="3"/>
        <v>#DIV/0!</v>
      </c>
    </row>
    <row r="339">
      <c r="A339" s="16" t="str">
        <f>IFERROR(__xludf.DUMMYFUNCTION("IFERROR(SPARKLINE(SORT(MAP(TRANSPOSE(AQ339:BL339), LAMBDA(val, IF(ISNUMBER(val), PERCENTRANK(AQ339:BL339, val)+0.01, 0))), SEQUENCE(COLUMNS(AQ339:BL339)), FALSE), {""charttype"",""column""; ""color"",""chartreuse""; ""ymin"", 0; ""ymax"", 1.01; ""highcolo"&amp;"r"", ""darkgreen""; ""lowcolor"", ""red""}), """")"),"")</f>
        <v/>
      </c>
      <c r="B339" s="17" t="str">
        <f t="shared" si="4"/>
        <v/>
      </c>
      <c r="C339" s="1" t="s">
        <v>2177</v>
      </c>
      <c r="D339" s="30" t="str">
        <f>IFERROR(__xludf.DUMMYFUNCTION("IFERROR(GOOGLEFINANCE(C339, ""NAME""))"),"Carlisle Companies Inc")</f>
        <v>Carlisle Companies Inc</v>
      </c>
      <c r="E339" s="30" t="s">
        <v>968</v>
      </c>
      <c r="F339" s="33" t="str">
        <f>IFERROR(__xludf.DUMMYFUNCTION("( (GOOGLEFINANCE(C339, ""price"") - Q339) / Q339 ) / (R339 / 100)"),"Loading...")</f>
        <v>Loading...</v>
      </c>
      <c r="G339" s="20" t="str">
        <f>IFERROR(__xludf.DUMMYFUNCTION("AVERAGE(ARRAYFORMULA(100 * (QUERY(GOOGLEFINANCE(C339, ""high"", TODAY()-40, TODAY()), ""SELECT Col2 WHERE Col2 IS NOT NULL ORDER BY Col1 DESC LIMIT 20"", 0) / QUERY(GOOGLEFINANCE(C339, ""low"", TODAY()-40, TODAY()), ""SELECT Col2 WHERE Col2 IS NOT NULL OR"&amp;"DER BY Col1 DESC LIMIT 20"", 0) - 1)))"),"#N/A")</f>
        <v>#N/A</v>
      </c>
      <c r="H339" s="35" t="str">
        <f t="shared" si="6"/>
        <v/>
      </c>
      <c r="I339" s="35" t="str">
        <f t="shared" si="7"/>
        <v/>
      </c>
      <c r="J339" s="37" t="str">
        <f>IFERROR(__xludf.DUMMYFUNCTION("IFERROR(
  IF(C339="""",, 
    IFERROR(
      GOOGLEFINANCE(C339, ""price"") * GOOGLEFINANCE(C339, ""volumeavg""), 
      GOOGLEFINANCE(C339, ""price"") * AVERAGE(QUERY(GOOGLEFINANCE(C339, ""volume"", TODAY()-40, TODAY()), ""SELECT Col2 WHERE Col2 IS NOT "&amp;"NULL ORDER BY Col1 DESC LIMIT 20"", 0))
    )
  ), 
"""")"),"")</f>
        <v/>
      </c>
      <c r="K339" s="21" t="str">
        <f>IFERROR(__xludf.DUMMYFUNCTION("IFERROR(GOOGLEFINANCE(C339, ""changepct"") / 100, """")"),"")</f>
        <v/>
      </c>
      <c r="L339" s="21" t="str">
        <f>IFERROR(__xludf.DUMMYFUNCTION("IFERROR((GOOGLEFINANCE(C339, ""price"") / INDEX(GOOGLEFINANCE(C339, ""price"", TODAY()-7, TODAY()), 2, 2)) - 1, """")"),"")</f>
        <v/>
      </c>
      <c r="M339" s="21" t="str">
        <f>IFERROR(__xludf.DUMMYFUNCTION("IFERROR((GOOGLEFINANCE(C339, ""price"") / INDEX(GOOGLEFINANCE(C339, ""price"", EDATE(TODAY(), -1), TODAY()), 2, 2)) - 1, """")"),"")</f>
        <v/>
      </c>
      <c r="N339" s="21" t="str">
        <f>IFERROR(__xludf.DUMMYFUNCTION("IFERROR((GOOGLEFINANCE(C339, ""price"") / INDEX(GOOGLEFINANCE(C339, ""price"", EDATE(TODAY(), -3), TODAY()), 2, 2)) - 1, """")"),"")</f>
        <v/>
      </c>
      <c r="O339" s="21" t="str">
        <f>IFERROR(__xludf.DUMMYFUNCTION("IFERROR((GOOGLEFINANCE(C339, ""price"") / INDEX(GOOGLEFINANCE(C339, ""price"", EDATE(TODAY(), -6), TODAY()), 2, 2)) - 1, """")"),"")</f>
        <v/>
      </c>
      <c r="P339" s="21" t="str">
        <f>IFERROR(__xludf.DUMMYFUNCTION("IFERROR((GOOGLEFINANCE(C339, ""price"") / INDEX(GOOGLEFINANCE(C339, ""price"", EDATE(TODAY(), -12), TODAY()), 2, 2)) - 1, """")"),"")</f>
        <v/>
      </c>
      <c r="Q339" s="6" t="str">
        <f>IFERROR(__xludf.DUMMYFUNCTION("AVERAGE(QUERY(GOOGLEFINANCE(C339, ""price"", TODAY()-80, TODAY()), ""SELECT Col2 WHERE Col2 IS NOT NULL ORDER BY Col1 DESC LIMIT 50"", 0))"),"#N/A")</f>
        <v>#N/A</v>
      </c>
      <c r="R339" s="24" t="str">
        <f>IFERROR(__xludf.DUMMYFUNCTION("IFERROR(
  LET(
    data, QUERY(GOOGLEFINANCE(C339,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GOOGLEFINANCE(C339, ""price"")) * 100,
    IF(calc=0, G339, calc)
  ), 
G339)"),"#N/A")</f>
        <v>#N/A</v>
      </c>
      <c r="S339" s="8" t="s">
        <v>15</v>
      </c>
      <c r="T339" s="26" t="str">
        <f>IFERROR(__xludf.DUMMYFUNCTION("IFERROR(TRANSPOSE(QUERY(IFERROR(SORT(GOOGLEFINANCE(C339, ""price"", WORKDAY(TODAY(), -40), TODAY()), 1, FALSE)), ""select Col2 where Col2 is not null limit 22 label Col2 ''"", 0)), """")"),"")</f>
        <v/>
      </c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8"/>
      <c r="AO339" s="28"/>
      <c r="AP339" s="29"/>
      <c r="AQ339" s="29" t="str">
        <f t="shared" ref="AQ339:BL339" si="342">T339/T$2</f>
        <v>#N/A</v>
      </c>
      <c r="AR339" s="29" t="str">
        <f t="shared" si="342"/>
        <v>#DIV/0!</v>
      </c>
      <c r="AS339" s="29" t="str">
        <f t="shared" si="342"/>
        <v>#DIV/0!</v>
      </c>
      <c r="AT339" s="29" t="str">
        <f t="shared" si="342"/>
        <v>#DIV/0!</v>
      </c>
      <c r="AU339" s="29" t="str">
        <f t="shared" si="342"/>
        <v>#DIV/0!</v>
      </c>
      <c r="AV339" s="29" t="str">
        <f t="shared" si="342"/>
        <v>#DIV/0!</v>
      </c>
      <c r="AW339" s="29" t="str">
        <f t="shared" si="342"/>
        <v>#DIV/0!</v>
      </c>
      <c r="AX339" s="29" t="str">
        <f t="shared" si="342"/>
        <v>#DIV/0!</v>
      </c>
      <c r="AY339" s="29" t="str">
        <f t="shared" si="342"/>
        <v>#DIV/0!</v>
      </c>
      <c r="AZ339" s="29" t="str">
        <f t="shared" si="342"/>
        <v>#DIV/0!</v>
      </c>
      <c r="BA339" s="29" t="str">
        <f t="shared" si="342"/>
        <v>#DIV/0!</v>
      </c>
      <c r="BB339" s="29" t="str">
        <f t="shared" si="342"/>
        <v>#DIV/0!</v>
      </c>
      <c r="BC339" s="29" t="str">
        <f t="shared" si="342"/>
        <v>#DIV/0!</v>
      </c>
      <c r="BD339" s="29" t="str">
        <f t="shared" si="342"/>
        <v>#DIV/0!</v>
      </c>
      <c r="BE339" s="29" t="str">
        <f t="shared" si="342"/>
        <v>#DIV/0!</v>
      </c>
      <c r="BF339" s="29" t="str">
        <f t="shared" si="342"/>
        <v>#DIV/0!</v>
      </c>
      <c r="BG339" s="29" t="str">
        <f t="shared" si="342"/>
        <v>#DIV/0!</v>
      </c>
      <c r="BH339" s="29" t="str">
        <f t="shared" si="342"/>
        <v>#DIV/0!</v>
      </c>
      <c r="BI339" s="29" t="str">
        <f t="shared" si="342"/>
        <v>#DIV/0!</v>
      </c>
      <c r="BJ339" s="29" t="str">
        <f t="shared" si="342"/>
        <v>#DIV/0!</v>
      </c>
      <c r="BK339" s="29" t="str">
        <f t="shared" si="342"/>
        <v>#DIV/0!</v>
      </c>
      <c r="BL339" s="29" t="str">
        <f t="shared" si="342"/>
        <v>#DIV/0!</v>
      </c>
      <c r="BM339" s="29" t="str">
        <f t="shared" si="3"/>
        <v>#DIV/0!</v>
      </c>
    </row>
    <row r="340">
      <c r="A340" s="16" t="str">
        <f>IFERROR(__xludf.DUMMYFUNCTION("IFERROR(SPARKLINE(SORT(MAP(TRANSPOSE(AQ340:BL340), LAMBDA(val, IF(ISNUMBER(val), PERCENTRANK(AQ340:BL340, val)+0.01, 0))), SEQUENCE(COLUMNS(AQ340:BL340)), FALSE), {""charttype"",""column""; ""color"",""chartreuse""; ""ymin"", 0; ""ymax"", 1.01; ""highcolo"&amp;"r"", ""darkgreen""; ""lowcolor"", ""red""}), """")"),"")</f>
        <v/>
      </c>
      <c r="B340" s="17" t="str">
        <f t="shared" si="4"/>
        <v/>
      </c>
      <c r="C340" s="1" t="s">
        <v>2181</v>
      </c>
      <c r="D340" s="30" t="str">
        <f>IFERROR(__xludf.DUMMYFUNCTION("IFERROR(GOOGLEFINANCE(C340, ""NAME""))"),"Janus International Group Inc")</f>
        <v>Janus International Group Inc</v>
      </c>
      <c r="E340" s="30" t="s">
        <v>968</v>
      </c>
      <c r="F340" s="33" t="str">
        <f>IFERROR(__xludf.DUMMYFUNCTION("( (GOOGLEFINANCE(C340, ""price"") - Q340) / Q340 ) / (R340 / 100)"),"Loading...")</f>
        <v>Loading...</v>
      </c>
      <c r="G340" s="20" t="str">
        <f>IFERROR(__xludf.DUMMYFUNCTION("AVERAGE(ARRAYFORMULA(100 * (QUERY(GOOGLEFINANCE(C340, ""high"", TODAY()-40, TODAY()), ""SELECT Col2 WHERE Col2 IS NOT NULL ORDER BY Col1 DESC LIMIT 20"", 0) / QUERY(GOOGLEFINANCE(C340, ""low"", TODAY()-40, TODAY()), ""SELECT Col2 WHERE Col2 IS NOT NULL OR"&amp;"DER BY Col1 DESC LIMIT 20"", 0) - 1)))"),"#N/A")</f>
        <v>#N/A</v>
      </c>
      <c r="H340" s="35" t="str">
        <f t="shared" si="6"/>
        <v/>
      </c>
      <c r="I340" s="35" t="str">
        <f t="shared" si="7"/>
        <v/>
      </c>
      <c r="J340" s="37" t="str">
        <f>IFERROR(__xludf.DUMMYFUNCTION("IFERROR(
  IF(C340="""",, 
    IFERROR(
      GOOGLEFINANCE(C340, ""price"") * GOOGLEFINANCE(C340, ""volumeavg""), 
      GOOGLEFINANCE(C340, ""price"") * AVERAGE(QUERY(GOOGLEFINANCE(C340, ""volume"", TODAY()-40, TODAY()), ""SELECT Col2 WHERE Col2 IS NOT "&amp;"NULL ORDER BY Col1 DESC LIMIT 20"", 0))
    )
  ), 
"""")"),"")</f>
        <v/>
      </c>
      <c r="K340" s="21" t="str">
        <f>IFERROR(__xludf.DUMMYFUNCTION("IFERROR(GOOGLEFINANCE(C340, ""changepct"") / 100, """")"),"")</f>
        <v/>
      </c>
      <c r="L340" s="21" t="str">
        <f>IFERROR(__xludf.DUMMYFUNCTION("IFERROR((GOOGLEFINANCE(C340, ""price"") / INDEX(GOOGLEFINANCE(C340, ""price"", TODAY()-7, TODAY()), 2, 2)) - 1, """")"),"")</f>
        <v/>
      </c>
      <c r="M340" s="21" t="str">
        <f>IFERROR(__xludf.DUMMYFUNCTION("IFERROR((GOOGLEFINANCE(C340, ""price"") / INDEX(GOOGLEFINANCE(C340, ""price"", EDATE(TODAY(), -1), TODAY()), 2, 2)) - 1, """")"),"")</f>
        <v/>
      </c>
      <c r="N340" s="21" t="str">
        <f>IFERROR(__xludf.DUMMYFUNCTION("IFERROR((GOOGLEFINANCE(C340, ""price"") / INDEX(GOOGLEFINANCE(C340, ""price"", EDATE(TODAY(), -3), TODAY()), 2, 2)) - 1, """")"),"")</f>
        <v/>
      </c>
      <c r="O340" s="21" t="str">
        <f>IFERROR(__xludf.DUMMYFUNCTION("IFERROR((GOOGLEFINANCE(C340, ""price"") / INDEX(GOOGLEFINANCE(C340, ""price"", EDATE(TODAY(), -6), TODAY()), 2, 2)) - 1, """")"),"")</f>
        <v/>
      </c>
      <c r="P340" s="21" t="str">
        <f>IFERROR(__xludf.DUMMYFUNCTION("IFERROR((GOOGLEFINANCE(C340, ""price"") / INDEX(GOOGLEFINANCE(C340, ""price"", EDATE(TODAY(), -12), TODAY()), 2, 2)) - 1, """")"),"")</f>
        <v/>
      </c>
      <c r="Q340" s="6" t="str">
        <f>IFERROR(__xludf.DUMMYFUNCTION("AVERAGE(QUERY(GOOGLEFINANCE(C340, ""price"", TODAY()-80, TODAY()), ""SELECT Col2 WHERE Col2 IS NOT NULL ORDER BY Col1 DESC LIMIT 50"", 0))"),"#N/A")</f>
        <v>#N/A</v>
      </c>
      <c r="R340" s="24" t="str">
        <f>IFERROR(__xludf.DUMMYFUNCTION("IFERROR(
  LET(
    data, QUERY(GOOGLEFINANCE(C340,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GOOGLEFINANCE(C340, ""price"")) * 100,
    IF(calc=0, G340, calc)
  ), 
G340)"),"#N/A")</f>
        <v>#N/A</v>
      </c>
      <c r="S340" s="8" t="s">
        <v>15</v>
      </c>
      <c r="T340" s="26" t="str">
        <f>IFERROR(__xludf.DUMMYFUNCTION("IFERROR(TRANSPOSE(QUERY(IFERROR(SORT(GOOGLEFINANCE(C340, ""price"", WORKDAY(TODAY(), -40), TODAY()), 1, FALSE)), ""select Col2 where Col2 is not null limit 22 label Col2 ''"", 0)), """")"),"")</f>
        <v/>
      </c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8"/>
      <c r="AO340" s="28"/>
      <c r="AP340" s="29"/>
      <c r="AQ340" s="29" t="str">
        <f t="shared" ref="AQ340:BL340" si="343">T340/T$2</f>
        <v>#N/A</v>
      </c>
      <c r="AR340" s="29" t="str">
        <f t="shared" si="343"/>
        <v>#DIV/0!</v>
      </c>
      <c r="AS340" s="29" t="str">
        <f t="shared" si="343"/>
        <v>#DIV/0!</v>
      </c>
      <c r="AT340" s="29" t="str">
        <f t="shared" si="343"/>
        <v>#DIV/0!</v>
      </c>
      <c r="AU340" s="29" t="str">
        <f t="shared" si="343"/>
        <v>#DIV/0!</v>
      </c>
      <c r="AV340" s="29" t="str">
        <f t="shared" si="343"/>
        <v>#DIV/0!</v>
      </c>
      <c r="AW340" s="29" t="str">
        <f t="shared" si="343"/>
        <v>#DIV/0!</v>
      </c>
      <c r="AX340" s="29" t="str">
        <f t="shared" si="343"/>
        <v>#DIV/0!</v>
      </c>
      <c r="AY340" s="29" t="str">
        <f t="shared" si="343"/>
        <v>#DIV/0!</v>
      </c>
      <c r="AZ340" s="29" t="str">
        <f t="shared" si="343"/>
        <v>#DIV/0!</v>
      </c>
      <c r="BA340" s="29" t="str">
        <f t="shared" si="343"/>
        <v>#DIV/0!</v>
      </c>
      <c r="BB340" s="29" t="str">
        <f t="shared" si="343"/>
        <v>#DIV/0!</v>
      </c>
      <c r="BC340" s="29" t="str">
        <f t="shared" si="343"/>
        <v>#DIV/0!</v>
      </c>
      <c r="BD340" s="29" t="str">
        <f t="shared" si="343"/>
        <v>#DIV/0!</v>
      </c>
      <c r="BE340" s="29" t="str">
        <f t="shared" si="343"/>
        <v>#DIV/0!</v>
      </c>
      <c r="BF340" s="29" t="str">
        <f t="shared" si="343"/>
        <v>#DIV/0!</v>
      </c>
      <c r="BG340" s="29" t="str">
        <f t="shared" si="343"/>
        <v>#DIV/0!</v>
      </c>
      <c r="BH340" s="29" t="str">
        <f t="shared" si="343"/>
        <v>#DIV/0!</v>
      </c>
      <c r="BI340" s="29" t="str">
        <f t="shared" si="343"/>
        <v>#DIV/0!</v>
      </c>
      <c r="BJ340" s="29" t="str">
        <f t="shared" si="343"/>
        <v>#DIV/0!</v>
      </c>
      <c r="BK340" s="29" t="str">
        <f t="shared" si="343"/>
        <v>#DIV/0!</v>
      </c>
      <c r="BL340" s="29" t="str">
        <f t="shared" si="343"/>
        <v>#DIV/0!</v>
      </c>
      <c r="BM340" s="29" t="str">
        <f t="shared" si="3"/>
        <v>#DIV/0!</v>
      </c>
    </row>
    <row r="341">
      <c r="A341" s="16" t="str">
        <f>IFERROR(__xludf.DUMMYFUNCTION("IFERROR(SPARKLINE(SORT(MAP(TRANSPOSE(AQ341:BL341), LAMBDA(val, IF(ISNUMBER(val), PERCENTRANK(AQ341:BL341, val)+0.01, 0))), SEQUENCE(COLUMNS(AQ341:BL341)), FALSE), {""charttype"",""column""; ""color"",""chartreuse""; ""ymin"", 0; ""ymax"", 1.01; ""highcolo"&amp;"r"", ""darkgreen""; ""lowcolor"", ""red""}), """")"),"")</f>
        <v/>
      </c>
      <c r="B341" s="17" t="str">
        <f t="shared" si="4"/>
        <v/>
      </c>
      <c r="C341" s="1" t="s">
        <v>2186</v>
      </c>
      <c r="D341" s="30" t="str">
        <f>IFERROR(__xludf.DUMMYFUNCTION("IFERROR(GOOGLEFINANCE(C341, ""NAME""))"),"Advanced Energy Industries Inc")</f>
        <v>Advanced Energy Industries Inc</v>
      </c>
      <c r="E341" s="30" t="s">
        <v>864</v>
      </c>
      <c r="F341" s="33" t="str">
        <f>IFERROR(__xludf.DUMMYFUNCTION("( (GOOGLEFINANCE(C341, ""price"") - Q341) / Q341 ) / (R341 / 100)"),"Loading...")</f>
        <v>Loading...</v>
      </c>
      <c r="G341" s="20" t="str">
        <f>IFERROR(__xludf.DUMMYFUNCTION("AVERAGE(ARRAYFORMULA(100 * (QUERY(GOOGLEFINANCE(C341, ""high"", TODAY()-40, TODAY()), ""SELECT Col2 WHERE Col2 IS NOT NULL ORDER BY Col1 DESC LIMIT 20"", 0) / QUERY(GOOGLEFINANCE(C341, ""low"", TODAY()-40, TODAY()), ""SELECT Col2 WHERE Col2 IS NOT NULL OR"&amp;"DER BY Col1 DESC LIMIT 20"", 0) - 1)))"),"#N/A")</f>
        <v>#N/A</v>
      </c>
      <c r="H341" s="35" t="str">
        <f t="shared" si="6"/>
        <v/>
      </c>
      <c r="I341" s="35" t="str">
        <f t="shared" si="7"/>
        <v/>
      </c>
      <c r="J341" s="37" t="str">
        <f>IFERROR(__xludf.DUMMYFUNCTION("IFERROR(
  IF(C341="""",, 
    IFERROR(
      GOOGLEFINANCE(C341, ""price"") * GOOGLEFINANCE(C341, ""volumeavg""), 
      GOOGLEFINANCE(C341, ""price"") * AVERAGE(QUERY(GOOGLEFINANCE(C341, ""volume"", TODAY()-40, TODAY()), ""SELECT Col2 WHERE Col2 IS NOT "&amp;"NULL ORDER BY Col1 DESC LIMIT 20"", 0))
    )
  ), 
"""")"),"")</f>
        <v/>
      </c>
      <c r="K341" s="21" t="str">
        <f>IFERROR(__xludf.DUMMYFUNCTION("IFERROR(GOOGLEFINANCE(C341, ""changepct"") / 100, """")"),"")</f>
        <v/>
      </c>
      <c r="L341" s="21" t="str">
        <f>IFERROR(__xludf.DUMMYFUNCTION("IFERROR((GOOGLEFINANCE(C341, ""price"") / INDEX(GOOGLEFINANCE(C341, ""price"", TODAY()-7, TODAY()), 2, 2)) - 1, """")"),"")</f>
        <v/>
      </c>
      <c r="M341" s="21" t="str">
        <f>IFERROR(__xludf.DUMMYFUNCTION("IFERROR((GOOGLEFINANCE(C341, ""price"") / INDEX(GOOGLEFINANCE(C341, ""price"", EDATE(TODAY(), -1), TODAY()), 2, 2)) - 1, """")"),"")</f>
        <v/>
      </c>
      <c r="N341" s="21" t="str">
        <f>IFERROR(__xludf.DUMMYFUNCTION("IFERROR((GOOGLEFINANCE(C341, ""price"") / INDEX(GOOGLEFINANCE(C341, ""price"", EDATE(TODAY(), -3), TODAY()), 2, 2)) - 1, """")"),"")</f>
        <v/>
      </c>
      <c r="O341" s="21" t="str">
        <f>IFERROR(__xludf.DUMMYFUNCTION("IFERROR((GOOGLEFINANCE(C341, ""price"") / INDEX(GOOGLEFINANCE(C341, ""price"", EDATE(TODAY(), -6), TODAY()), 2, 2)) - 1, """")"),"")</f>
        <v/>
      </c>
      <c r="P341" s="21" t="str">
        <f>IFERROR(__xludf.DUMMYFUNCTION("IFERROR((GOOGLEFINANCE(C341, ""price"") / INDEX(GOOGLEFINANCE(C341, ""price"", EDATE(TODAY(), -12), TODAY()), 2, 2)) - 1, """")"),"")</f>
        <v/>
      </c>
      <c r="Q341" s="6" t="str">
        <f>IFERROR(__xludf.DUMMYFUNCTION("AVERAGE(QUERY(GOOGLEFINANCE(C341, ""price"", TODAY()-80, TODAY()), ""SELECT Col2 WHERE Col2 IS NOT NULL ORDER BY Col1 DESC LIMIT 50"", 0))"),"#N/A")</f>
        <v>#N/A</v>
      </c>
      <c r="R341" s="24" t="str">
        <f>IFERROR(__xludf.DUMMYFUNCTION("IFERROR(
  LET(
    data, QUERY(GOOGLEFINANCE(C341,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GOOGLEFINANCE(C341, ""price"")) * 100,
    IF(calc=0, G341, calc)
  ), 
G341)"),"#N/A")</f>
        <v>#N/A</v>
      </c>
      <c r="S341" s="8" t="s">
        <v>15</v>
      </c>
      <c r="T341" s="26" t="str">
        <f>IFERROR(__xludf.DUMMYFUNCTION("IFERROR(TRANSPOSE(QUERY(IFERROR(SORT(GOOGLEFINANCE(C341, ""price"", WORKDAY(TODAY(), -40), TODAY()), 1, FALSE)), ""select Col2 where Col2 is not null limit 22 label Col2 ''"", 0)), """")"),"")</f>
        <v/>
      </c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8"/>
      <c r="AO341" s="28"/>
      <c r="AP341" s="29"/>
      <c r="AQ341" s="29" t="str">
        <f t="shared" ref="AQ341:BL341" si="344">T341/T$2</f>
        <v>#N/A</v>
      </c>
      <c r="AR341" s="29" t="str">
        <f t="shared" si="344"/>
        <v>#DIV/0!</v>
      </c>
      <c r="AS341" s="29" t="str">
        <f t="shared" si="344"/>
        <v>#DIV/0!</v>
      </c>
      <c r="AT341" s="29" t="str">
        <f t="shared" si="344"/>
        <v>#DIV/0!</v>
      </c>
      <c r="AU341" s="29" t="str">
        <f t="shared" si="344"/>
        <v>#DIV/0!</v>
      </c>
      <c r="AV341" s="29" t="str">
        <f t="shared" si="344"/>
        <v>#DIV/0!</v>
      </c>
      <c r="AW341" s="29" t="str">
        <f t="shared" si="344"/>
        <v>#DIV/0!</v>
      </c>
      <c r="AX341" s="29" t="str">
        <f t="shared" si="344"/>
        <v>#DIV/0!</v>
      </c>
      <c r="AY341" s="29" t="str">
        <f t="shared" si="344"/>
        <v>#DIV/0!</v>
      </c>
      <c r="AZ341" s="29" t="str">
        <f t="shared" si="344"/>
        <v>#DIV/0!</v>
      </c>
      <c r="BA341" s="29" t="str">
        <f t="shared" si="344"/>
        <v>#DIV/0!</v>
      </c>
      <c r="BB341" s="29" t="str">
        <f t="shared" si="344"/>
        <v>#DIV/0!</v>
      </c>
      <c r="BC341" s="29" t="str">
        <f t="shared" si="344"/>
        <v>#DIV/0!</v>
      </c>
      <c r="BD341" s="29" t="str">
        <f t="shared" si="344"/>
        <v>#DIV/0!</v>
      </c>
      <c r="BE341" s="29" t="str">
        <f t="shared" si="344"/>
        <v>#DIV/0!</v>
      </c>
      <c r="BF341" s="29" t="str">
        <f t="shared" si="344"/>
        <v>#DIV/0!</v>
      </c>
      <c r="BG341" s="29" t="str">
        <f t="shared" si="344"/>
        <v>#DIV/0!</v>
      </c>
      <c r="BH341" s="29" t="str">
        <f t="shared" si="344"/>
        <v>#DIV/0!</v>
      </c>
      <c r="BI341" s="29" t="str">
        <f t="shared" si="344"/>
        <v>#DIV/0!</v>
      </c>
      <c r="BJ341" s="29" t="str">
        <f t="shared" si="344"/>
        <v>#DIV/0!</v>
      </c>
      <c r="BK341" s="29" t="str">
        <f t="shared" si="344"/>
        <v>#DIV/0!</v>
      </c>
      <c r="BL341" s="29" t="str">
        <f t="shared" si="344"/>
        <v>#DIV/0!</v>
      </c>
      <c r="BM341" s="29" t="str">
        <f t="shared" si="3"/>
        <v>#DIV/0!</v>
      </c>
    </row>
    <row r="342">
      <c r="A342" s="16" t="str">
        <f>IFERROR(__xludf.DUMMYFUNCTION("IFERROR(SPARKLINE(SORT(MAP(TRANSPOSE(AQ342:BL342), LAMBDA(val, IF(ISNUMBER(val), PERCENTRANK(AQ342:BL342, val)+0.01, 0))), SEQUENCE(COLUMNS(AQ342:BL342)), FALSE), {""charttype"",""column""; ""color"",""chartreuse""; ""ymin"", 0; ""ymax"", 1.01; ""highcolo"&amp;"r"", ""darkgreen""; ""lowcolor"", ""red""}), """")"),"")</f>
        <v/>
      </c>
      <c r="B342" s="17" t="str">
        <f t="shared" si="4"/>
        <v/>
      </c>
      <c r="C342" s="1" t="s">
        <v>2192</v>
      </c>
      <c r="D342" s="30" t="str">
        <f>IFERROR(__xludf.DUMMYFUNCTION("IFERROR(GOOGLEFINANCE(C342, ""NAME""))"),"GPGI Inc (Nevada)")</f>
        <v>GPGI Inc (Nevada)</v>
      </c>
      <c r="E342" s="30" t="s">
        <v>847</v>
      </c>
      <c r="F342" s="33" t="str">
        <f>IFERROR(__xludf.DUMMYFUNCTION("( (GOOGLEFINANCE(C342, ""price"") - Q342) / Q342 ) / (R342 / 100)"),"Loading...")</f>
        <v>Loading...</v>
      </c>
      <c r="G342" s="20" t="str">
        <f>IFERROR(__xludf.DUMMYFUNCTION("AVERAGE(ARRAYFORMULA(100 * (QUERY(GOOGLEFINANCE(C342, ""high"", TODAY()-40, TODAY()), ""SELECT Col2 WHERE Col2 IS NOT NULL ORDER BY Col1 DESC LIMIT 20"", 0) / QUERY(GOOGLEFINANCE(C342, ""low"", TODAY()-40, TODAY()), ""SELECT Col2 WHERE Col2 IS NOT NULL OR"&amp;"DER BY Col1 DESC LIMIT 20"", 0) - 1)))"),"#N/A")</f>
        <v>#N/A</v>
      </c>
      <c r="H342" s="35" t="str">
        <f t="shared" si="6"/>
        <v/>
      </c>
      <c r="I342" s="35" t="str">
        <f t="shared" si="7"/>
        <v/>
      </c>
      <c r="J342" s="37" t="str">
        <f>IFERROR(__xludf.DUMMYFUNCTION("IFERROR(
  IF(C342="""",, 
    IFERROR(
      GOOGLEFINANCE(C342, ""price"") * GOOGLEFINANCE(C342, ""volumeavg""), 
      GOOGLEFINANCE(C342, ""price"") * AVERAGE(QUERY(GOOGLEFINANCE(C342, ""volume"", TODAY()-40, TODAY()), ""SELECT Col2 WHERE Col2 IS NOT "&amp;"NULL ORDER BY Col1 DESC LIMIT 20"", 0))
    )
  ), 
"""")"),"")</f>
        <v/>
      </c>
      <c r="K342" s="21" t="str">
        <f>IFERROR(__xludf.DUMMYFUNCTION("IFERROR(GOOGLEFINANCE(C342, ""changepct"") / 100, """")"),"")</f>
        <v/>
      </c>
      <c r="L342" s="21" t="str">
        <f>IFERROR(__xludf.DUMMYFUNCTION("IFERROR((GOOGLEFINANCE(C342, ""price"") / INDEX(GOOGLEFINANCE(C342, ""price"", TODAY()-7, TODAY()), 2, 2)) - 1, """")"),"")</f>
        <v/>
      </c>
      <c r="M342" s="21" t="str">
        <f>IFERROR(__xludf.DUMMYFUNCTION("IFERROR((GOOGLEFINANCE(C342, ""price"") / INDEX(GOOGLEFINANCE(C342, ""price"", EDATE(TODAY(), -1), TODAY()), 2, 2)) - 1, """")"),"")</f>
        <v/>
      </c>
      <c r="N342" s="21" t="str">
        <f>IFERROR(__xludf.DUMMYFUNCTION("IFERROR((GOOGLEFINANCE(C342, ""price"") / INDEX(GOOGLEFINANCE(C342, ""price"", EDATE(TODAY(), -3), TODAY()), 2, 2)) - 1, """")"),"")</f>
        <v/>
      </c>
      <c r="O342" s="21" t="str">
        <f>IFERROR(__xludf.DUMMYFUNCTION("IFERROR((GOOGLEFINANCE(C342, ""price"") / INDEX(GOOGLEFINANCE(C342, ""price"", EDATE(TODAY(), -6), TODAY()), 2, 2)) - 1, """")"),"")</f>
        <v/>
      </c>
      <c r="P342" s="21" t="str">
        <f>IFERROR(__xludf.DUMMYFUNCTION("IFERROR((GOOGLEFINANCE(C342, ""price"") / INDEX(GOOGLEFINANCE(C342, ""price"", EDATE(TODAY(), -12), TODAY()), 2, 2)) - 1, """")"),"")</f>
        <v/>
      </c>
      <c r="Q342" s="6" t="str">
        <f>IFERROR(__xludf.DUMMYFUNCTION("AVERAGE(QUERY(GOOGLEFINANCE(C342, ""price"", TODAY()-80, TODAY()), ""SELECT Col2 WHERE Col2 IS NOT NULL ORDER BY Col1 DESC LIMIT 50"", 0))"),"#N/A")</f>
        <v>#N/A</v>
      </c>
      <c r="R342" s="24" t="str">
        <f>IFERROR(__xludf.DUMMYFUNCTION("IFERROR(
  LET(
    data, QUERY(GOOGLEFINANCE(C342,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GOOGLEFINANCE(C342, ""price"")) * 100,
    IF(calc=0, G342, calc)
  ), 
G342)"),"#N/A")</f>
        <v>#N/A</v>
      </c>
      <c r="S342" s="8" t="s">
        <v>15</v>
      </c>
      <c r="T342" s="26" t="str">
        <f>IFERROR(__xludf.DUMMYFUNCTION("IFERROR(TRANSPOSE(QUERY(IFERROR(SORT(GOOGLEFINANCE(C342, ""price"", WORKDAY(TODAY(), -40), TODAY()), 1, FALSE)), ""select Col2 where Col2 is not null limit 22 label Col2 ''"", 0)), """")"),"")</f>
        <v/>
      </c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8"/>
      <c r="AO342" s="28"/>
      <c r="AP342" s="29"/>
      <c r="AQ342" s="29" t="str">
        <f t="shared" ref="AQ342:BL342" si="345">T342/T$2</f>
        <v>#N/A</v>
      </c>
      <c r="AR342" s="29" t="str">
        <f t="shared" si="345"/>
        <v>#DIV/0!</v>
      </c>
      <c r="AS342" s="29" t="str">
        <f t="shared" si="345"/>
        <v>#DIV/0!</v>
      </c>
      <c r="AT342" s="29" t="str">
        <f t="shared" si="345"/>
        <v>#DIV/0!</v>
      </c>
      <c r="AU342" s="29" t="str">
        <f t="shared" si="345"/>
        <v>#DIV/0!</v>
      </c>
      <c r="AV342" s="29" t="str">
        <f t="shared" si="345"/>
        <v>#DIV/0!</v>
      </c>
      <c r="AW342" s="29" t="str">
        <f t="shared" si="345"/>
        <v>#DIV/0!</v>
      </c>
      <c r="AX342" s="29" t="str">
        <f t="shared" si="345"/>
        <v>#DIV/0!</v>
      </c>
      <c r="AY342" s="29" t="str">
        <f t="shared" si="345"/>
        <v>#DIV/0!</v>
      </c>
      <c r="AZ342" s="29" t="str">
        <f t="shared" si="345"/>
        <v>#DIV/0!</v>
      </c>
      <c r="BA342" s="29" t="str">
        <f t="shared" si="345"/>
        <v>#DIV/0!</v>
      </c>
      <c r="BB342" s="29" t="str">
        <f t="shared" si="345"/>
        <v>#DIV/0!</v>
      </c>
      <c r="BC342" s="29" t="str">
        <f t="shared" si="345"/>
        <v>#DIV/0!</v>
      </c>
      <c r="BD342" s="29" t="str">
        <f t="shared" si="345"/>
        <v>#DIV/0!</v>
      </c>
      <c r="BE342" s="29" t="str">
        <f t="shared" si="345"/>
        <v>#DIV/0!</v>
      </c>
      <c r="BF342" s="29" t="str">
        <f t="shared" si="345"/>
        <v>#DIV/0!</v>
      </c>
      <c r="BG342" s="29" t="str">
        <f t="shared" si="345"/>
        <v>#DIV/0!</v>
      </c>
      <c r="BH342" s="29" t="str">
        <f t="shared" si="345"/>
        <v>#DIV/0!</v>
      </c>
      <c r="BI342" s="29" t="str">
        <f t="shared" si="345"/>
        <v>#DIV/0!</v>
      </c>
      <c r="BJ342" s="29" t="str">
        <f t="shared" si="345"/>
        <v>#DIV/0!</v>
      </c>
      <c r="BK342" s="29" t="str">
        <f t="shared" si="345"/>
        <v>#DIV/0!</v>
      </c>
      <c r="BL342" s="29" t="str">
        <f t="shared" si="345"/>
        <v>#DIV/0!</v>
      </c>
      <c r="BM342" s="29" t="str">
        <f t="shared" si="3"/>
        <v>#DIV/0!</v>
      </c>
    </row>
    <row r="343">
      <c r="A343" s="16" t="str">
        <f>IFERROR(__xludf.DUMMYFUNCTION("IFERROR(SPARKLINE(SORT(MAP(TRANSPOSE(AQ343:BL343), LAMBDA(val, IF(ISNUMBER(val), PERCENTRANK(AQ343:BL343, val)+0.01, 0))), SEQUENCE(COLUMNS(AQ343:BL343)), FALSE), {""charttype"",""column""; ""color"",""chartreuse""; ""ymin"", 0; ""ymax"", 1.01; ""highcolo"&amp;"r"", ""darkgreen""; ""lowcolor"", ""red""}), """")"),"")</f>
        <v/>
      </c>
      <c r="B343" s="17" t="str">
        <f t="shared" si="4"/>
        <v/>
      </c>
      <c r="C343" s="1" t="s">
        <v>2197</v>
      </c>
      <c r="D343" s="30" t="str">
        <f>IFERROR(__xludf.DUMMYFUNCTION("IFERROR(GOOGLEFINANCE(C343, ""NAME""))"),"Corecivic Inc")</f>
        <v>Corecivic Inc</v>
      </c>
      <c r="E343" s="30" t="s">
        <v>1020</v>
      </c>
      <c r="F343" s="33" t="str">
        <f>IFERROR(__xludf.DUMMYFUNCTION("( (GOOGLEFINANCE(C343, ""price"") - Q343) / Q343 ) / (R343 / 100)"),"Loading...")</f>
        <v>Loading...</v>
      </c>
      <c r="G343" s="20" t="str">
        <f>IFERROR(__xludf.DUMMYFUNCTION("AVERAGE(ARRAYFORMULA(100 * (QUERY(GOOGLEFINANCE(C343, ""high"", TODAY()-40, TODAY()), ""SELECT Col2 WHERE Col2 IS NOT NULL ORDER BY Col1 DESC LIMIT 20"", 0) / QUERY(GOOGLEFINANCE(C343, ""low"", TODAY()-40, TODAY()), ""SELECT Col2 WHERE Col2 IS NOT NULL OR"&amp;"DER BY Col1 DESC LIMIT 20"", 0) - 1)))"),"#N/A")</f>
        <v>#N/A</v>
      </c>
      <c r="H343" s="35" t="str">
        <f t="shared" si="6"/>
        <v/>
      </c>
      <c r="I343" s="35" t="str">
        <f t="shared" si="7"/>
        <v/>
      </c>
      <c r="J343" s="37" t="str">
        <f>IFERROR(__xludf.DUMMYFUNCTION("IFERROR(
  IF(C343="""",, 
    IFERROR(
      GOOGLEFINANCE(C343, ""price"") * GOOGLEFINANCE(C343, ""volumeavg""), 
      GOOGLEFINANCE(C343, ""price"") * AVERAGE(QUERY(GOOGLEFINANCE(C343, ""volume"", TODAY()-40, TODAY()), ""SELECT Col2 WHERE Col2 IS NOT "&amp;"NULL ORDER BY Col1 DESC LIMIT 20"", 0))
    )
  ), 
"""")"),"")</f>
        <v/>
      </c>
      <c r="K343" s="21" t="str">
        <f>IFERROR(__xludf.DUMMYFUNCTION("IFERROR(GOOGLEFINANCE(C343, ""changepct"") / 100, """")"),"")</f>
        <v/>
      </c>
      <c r="L343" s="21" t="str">
        <f>IFERROR(__xludf.DUMMYFUNCTION("IFERROR((GOOGLEFINANCE(C343, ""price"") / INDEX(GOOGLEFINANCE(C343, ""price"", TODAY()-7, TODAY()), 2, 2)) - 1, """")"),"")</f>
        <v/>
      </c>
      <c r="M343" s="21" t="str">
        <f>IFERROR(__xludf.DUMMYFUNCTION("IFERROR((GOOGLEFINANCE(C343, ""price"") / INDEX(GOOGLEFINANCE(C343, ""price"", EDATE(TODAY(), -1), TODAY()), 2, 2)) - 1, """")"),"")</f>
        <v/>
      </c>
      <c r="N343" s="21" t="str">
        <f>IFERROR(__xludf.DUMMYFUNCTION("IFERROR((GOOGLEFINANCE(C343, ""price"") / INDEX(GOOGLEFINANCE(C343, ""price"", EDATE(TODAY(), -3), TODAY()), 2, 2)) - 1, """")"),"")</f>
        <v/>
      </c>
      <c r="O343" s="21" t="str">
        <f>IFERROR(__xludf.DUMMYFUNCTION("IFERROR((GOOGLEFINANCE(C343, ""price"") / INDEX(GOOGLEFINANCE(C343, ""price"", EDATE(TODAY(), -6), TODAY()), 2, 2)) - 1, """")"),"")</f>
        <v/>
      </c>
      <c r="P343" s="21" t="str">
        <f>IFERROR(__xludf.DUMMYFUNCTION("IFERROR((GOOGLEFINANCE(C343, ""price"") / INDEX(GOOGLEFINANCE(C343, ""price"", EDATE(TODAY(), -12), TODAY()), 2, 2)) - 1, """")"),"")</f>
        <v/>
      </c>
      <c r="Q343" s="6" t="str">
        <f>IFERROR(__xludf.DUMMYFUNCTION("AVERAGE(QUERY(GOOGLEFINANCE(C343, ""price"", TODAY()-80, TODAY()), ""SELECT Col2 WHERE Col2 IS NOT NULL ORDER BY Col1 DESC LIMIT 50"", 0))"),"#N/A")</f>
        <v>#N/A</v>
      </c>
      <c r="R343" s="24" t="str">
        <f>IFERROR(__xludf.DUMMYFUNCTION("IFERROR(
  LET(
    data, QUERY(GOOGLEFINANCE(C343,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GOOGLEFINANCE(C343, ""price"")) * 100,
    IF(calc=0, G343, calc)
  ), 
G343)"),"#N/A")</f>
        <v>#N/A</v>
      </c>
      <c r="S343" s="8" t="s">
        <v>15</v>
      </c>
      <c r="T343" s="26" t="str">
        <f>IFERROR(__xludf.DUMMYFUNCTION("IFERROR(TRANSPOSE(QUERY(IFERROR(SORT(GOOGLEFINANCE(C343, ""price"", WORKDAY(TODAY(), -40), TODAY()), 1, FALSE)), ""select Col2 where Col2 is not null limit 22 label Col2 ''"", 0)), """")"),"")</f>
        <v/>
      </c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8"/>
      <c r="AO343" s="28"/>
      <c r="AP343" s="29"/>
      <c r="AQ343" s="29" t="str">
        <f t="shared" ref="AQ343:BL343" si="346">T343/T$2</f>
        <v>#N/A</v>
      </c>
      <c r="AR343" s="29" t="str">
        <f t="shared" si="346"/>
        <v>#DIV/0!</v>
      </c>
      <c r="AS343" s="29" t="str">
        <f t="shared" si="346"/>
        <v>#DIV/0!</v>
      </c>
      <c r="AT343" s="29" t="str">
        <f t="shared" si="346"/>
        <v>#DIV/0!</v>
      </c>
      <c r="AU343" s="29" t="str">
        <f t="shared" si="346"/>
        <v>#DIV/0!</v>
      </c>
      <c r="AV343" s="29" t="str">
        <f t="shared" si="346"/>
        <v>#DIV/0!</v>
      </c>
      <c r="AW343" s="29" t="str">
        <f t="shared" si="346"/>
        <v>#DIV/0!</v>
      </c>
      <c r="AX343" s="29" t="str">
        <f t="shared" si="346"/>
        <v>#DIV/0!</v>
      </c>
      <c r="AY343" s="29" t="str">
        <f t="shared" si="346"/>
        <v>#DIV/0!</v>
      </c>
      <c r="AZ343" s="29" t="str">
        <f t="shared" si="346"/>
        <v>#DIV/0!</v>
      </c>
      <c r="BA343" s="29" t="str">
        <f t="shared" si="346"/>
        <v>#DIV/0!</v>
      </c>
      <c r="BB343" s="29" t="str">
        <f t="shared" si="346"/>
        <v>#DIV/0!</v>
      </c>
      <c r="BC343" s="29" t="str">
        <f t="shared" si="346"/>
        <v>#DIV/0!</v>
      </c>
      <c r="BD343" s="29" t="str">
        <f t="shared" si="346"/>
        <v>#DIV/0!</v>
      </c>
      <c r="BE343" s="29" t="str">
        <f t="shared" si="346"/>
        <v>#DIV/0!</v>
      </c>
      <c r="BF343" s="29" t="str">
        <f t="shared" si="346"/>
        <v>#DIV/0!</v>
      </c>
      <c r="BG343" s="29" t="str">
        <f t="shared" si="346"/>
        <v>#DIV/0!</v>
      </c>
      <c r="BH343" s="29" t="str">
        <f t="shared" si="346"/>
        <v>#DIV/0!</v>
      </c>
      <c r="BI343" s="29" t="str">
        <f t="shared" si="346"/>
        <v>#DIV/0!</v>
      </c>
      <c r="BJ343" s="29" t="str">
        <f t="shared" si="346"/>
        <v>#DIV/0!</v>
      </c>
      <c r="BK343" s="29" t="str">
        <f t="shared" si="346"/>
        <v>#DIV/0!</v>
      </c>
      <c r="BL343" s="29" t="str">
        <f t="shared" si="346"/>
        <v>#DIV/0!</v>
      </c>
      <c r="BM343" s="29" t="str">
        <f t="shared" si="3"/>
        <v>#DIV/0!</v>
      </c>
    </row>
    <row r="344">
      <c r="A344" s="16" t="str">
        <f>IFERROR(__xludf.DUMMYFUNCTION("IFERROR(SPARKLINE(SORT(MAP(TRANSPOSE(AQ344:BL344), LAMBDA(val, IF(ISNUMBER(val), PERCENTRANK(AQ344:BL344, val)+0.01, 0))), SEQUENCE(COLUMNS(AQ344:BL344)), FALSE), {""charttype"",""column""; ""color"",""chartreuse""; ""ymin"", 0; ""ymax"", 1.01; ""highcolo"&amp;"r"", ""darkgreen""; ""lowcolor"", ""red""}), """")"),"")</f>
        <v/>
      </c>
      <c r="B344" s="17" t="str">
        <f t="shared" si="4"/>
        <v/>
      </c>
      <c r="C344" s="1" t="s">
        <v>2201</v>
      </c>
      <c r="D344" s="30" t="str">
        <f>IFERROR(__xludf.DUMMYFUNCTION("IFERROR(GOOGLEFINANCE(C344, ""NAME""))"),"ZIM Integrated Shipping Services Ltd")</f>
        <v>ZIM Integrated Shipping Services Ltd</v>
      </c>
      <c r="E344" s="30" t="s">
        <v>834</v>
      </c>
      <c r="F344" s="33" t="str">
        <f>IFERROR(__xludf.DUMMYFUNCTION("( (GOOGLEFINANCE(C344, ""price"") - Q344) / Q344 ) / (R344 / 100)"),"Loading...")</f>
        <v>Loading...</v>
      </c>
      <c r="G344" s="20" t="str">
        <f>IFERROR(__xludf.DUMMYFUNCTION("AVERAGE(ARRAYFORMULA(100 * (QUERY(GOOGLEFINANCE(C344, ""high"", TODAY()-40, TODAY()), ""SELECT Col2 WHERE Col2 IS NOT NULL ORDER BY Col1 DESC LIMIT 20"", 0) / QUERY(GOOGLEFINANCE(C344, ""low"", TODAY()-40, TODAY()), ""SELECT Col2 WHERE Col2 IS NOT NULL OR"&amp;"DER BY Col1 DESC LIMIT 20"", 0) - 1)))"),"#N/A")</f>
        <v>#N/A</v>
      </c>
      <c r="H344" s="35" t="str">
        <f t="shared" si="6"/>
        <v/>
      </c>
      <c r="I344" s="35" t="str">
        <f t="shared" si="7"/>
        <v/>
      </c>
      <c r="J344" s="37" t="str">
        <f>IFERROR(__xludf.DUMMYFUNCTION("IFERROR(
  IF(C344="""",, 
    IFERROR(
      GOOGLEFINANCE(C344, ""price"") * GOOGLEFINANCE(C344, ""volumeavg""), 
      GOOGLEFINANCE(C344, ""price"") * AVERAGE(QUERY(GOOGLEFINANCE(C344, ""volume"", TODAY()-40, TODAY()), ""SELECT Col2 WHERE Col2 IS NOT "&amp;"NULL ORDER BY Col1 DESC LIMIT 20"", 0))
    )
  ), 
"""")"),"")</f>
        <v/>
      </c>
      <c r="K344" s="21" t="str">
        <f>IFERROR(__xludf.DUMMYFUNCTION("IFERROR(GOOGLEFINANCE(C344, ""changepct"") / 100, """")"),"")</f>
        <v/>
      </c>
      <c r="L344" s="21" t="str">
        <f>IFERROR(__xludf.DUMMYFUNCTION("IFERROR((GOOGLEFINANCE(C344, ""price"") / INDEX(GOOGLEFINANCE(C344, ""price"", TODAY()-7, TODAY()), 2, 2)) - 1, """")"),"")</f>
        <v/>
      </c>
      <c r="M344" s="21" t="str">
        <f>IFERROR(__xludf.DUMMYFUNCTION("IFERROR((GOOGLEFINANCE(C344, ""price"") / INDEX(GOOGLEFINANCE(C344, ""price"", EDATE(TODAY(), -1), TODAY()), 2, 2)) - 1, """")"),"")</f>
        <v/>
      </c>
      <c r="N344" s="21" t="str">
        <f>IFERROR(__xludf.DUMMYFUNCTION("IFERROR((GOOGLEFINANCE(C344, ""price"") / INDEX(GOOGLEFINANCE(C344, ""price"", EDATE(TODAY(), -3), TODAY()), 2, 2)) - 1, """")"),"")</f>
        <v/>
      </c>
      <c r="O344" s="21" t="str">
        <f>IFERROR(__xludf.DUMMYFUNCTION("IFERROR((GOOGLEFINANCE(C344, ""price"") / INDEX(GOOGLEFINANCE(C344, ""price"", EDATE(TODAY(), -6), TODAY()), 2, 2)) - 1, """")"),"")</f>
        <v/>
      </c>
      <c r="P344" s="21" t="str">
        <f>IFERROR(__xludf.DUMMYFUNCTION("IFERROR((GOOGLEFINANCE(C344, ""price"") / INDEX(GOOGLEFINANCE(C344, ""price"", EDATE(TODAY(), -12), TODAY()), 2, 2)) - 1, """")"),"")</f>
        <v/>
      </c>
      <c r="Q344" s="6" t="str">
        <f>IFERROR(__xludf.DUMMYFUNCTION("AVERAGE(QUERY(GOOGLEFINANCE(C344, ""price"", TODAY()-80, TODAY()), ""SELECT Col2 WHERE Col2 IS NOT NULL ORDER BY Col1 DESC LIMIT 50"", 0))"),"#N/A")</f>
        <v>#N/A</v>
      </c>
      <c r="R344" s="24" t="str">
        <f>IFERROR(__xludf.DUMMYFUNCTION("IFERROR(
  LET(
    data, QUERY(GOOGLEFINANCE(C344,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GOOGLEFINANCE(C344, ""price"")) * 100,
    IF(calc=0, G344, calc)
  ), 
G344)"),"#N/A")</f>
        <v>#N/A</v>
      </c>
      <c r="S344" s="8" t="s">
        <v>15</v>
      </c>
      <c r="T344" s="26" t="str">
        <f>IFERROR(__xludf.DUMMYFUNCTION("IFERROR(TRANSPOSE(QUERY(IFERROR(SORT(GOOGLEFINANCE(C344, ""price"", WORKDAY(TODAY(), -40), TODAY()), 1, FALSE)), ""select Col2 where Col2 is not null limit 22 label Col2 ''"", 0)), """")"),"")</f>
        <v/>
      </c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8"/>
      <c r="AO344" s="28"/>
      <c r="AP344" s="29"/>
      <c r="AQ344" s="29" t="str">
        <f t="shared" ref="AQ344:BL344" si="347">T344/T$2</f>
        <v>#N/A</v>
      </c>
      <c r="AR344" s="29" t="str">
        <f t="shared" si="347"/>
        <v>#DIV/0!</v>
      </c>
      <c r="AS344" s="29" t="str">
        <f t="shared" si="347"/>
        <v>#DIV/0!</v>
      </c>
      <c r="AT344" s="29" t="str">
        <f t="shared" si="347"/>
        <v>#DIV/0!</v>
      </c>
      <c r="AU344" s="29" t="str">
        <f t="shared" si="347"/>
        <v>#DIV/0!</v>
      </c>
      <c r="AV344" s="29" t="str">
        <f t="shared" si="347"/>
        <v>#DIV/0!</v>
      </c>
      <c r="AW344" s="29" t="str">
        <f t="shared" si="347"/>
        <v>#DIV/0!</v>
      </c>
      <c r="AX344" s="29" t="str">
        <f t="shared" si="347"/>
        <v>#DIV/0!</v>
      </c>
      <c r="AY344" s="29" t="str">
        <f t="shared" si="347"/>
        <v>#DIV/0!</v>
      </c>
      <c r="AZ344" s="29" t="str">
        <f t="shared" si="347"/>
        <v>#DIV/0!</v>
      </c>
      <c r="BA344" s="29" t="str">
        <f t="shared" si="347"/>
        <v>#DIV/0!</v>
      </c>
      <c r="BB344" s="29" t="str">
        <f t="shared" si="347"/>
        <v>#DIV/0!</v>
      </c>
      <c r="BC344" s="29" t="str">
        <f t="shared" si="347"/>
        <v>#DIV/0!</v>
      </c>
      <c r="BD344" s="29" t="str">
        <f t="shared" si="347"/>
        <v>#DIV/0!</v>
      </c>
      <c r="BE344" s="29" t="str">
        <f t="shared" si="347"/>
        <v>#DIV/0!</v>
      </c>
      <c r="BF344" s="29" t="str">
        <f t="shared" si="347"/>
        <v>#DIV/0!</v>
      </c>
      <c r="BG344" s="29" t="str">
        <f t="shared" si="347"/>
        <v>#DIV/0!</v>
      </c>
      <c r="BH344" s="29" t="str">
        <f t="shared" si="347"/>
        <v>#DIV/0!</v>
      </c>
      <c r="BI344" s="29" t="str">
        <f t="shared" si="347"/>
        <v>#DIV/0!</v>
      </c>
      <c r="BJ344" s="29" t="str">
        <f t="shared" si="347"/>
        <v>#DIV/0!</v>
      </c>
      <c r="BK344" s="29" t="str">
        <f t="shared" si="347"/>
        <v>#DIV/0!</v>
      </c>
      <c r="BL344" s="29" t="str">
        <f t="shared" si="347"/>
        <v>#DIV/0!</v>
      </c>
      <c r="BM344" s="29" t="str">
        <f t="shared" si="3"/>
        <v>#DIV/0!</v>
      </c>
    </row>
    <row r="345">
      <c r="A345" s="16" t="str">
        <f>IFERROR(__xludf.DUMMYFUNCTION("IFERROR(SPARKLINE(SORT(MAP(TRANSPOSE(AQ345:BL345), LAMBDA(val, IF(ISNUMBER(val), PERCENTRANK(AQ345:BL345, val)+0.01, 0))), SEQUENCE(COLUMNS(AQ345:BL345)), FALSE), {""charttype"",""column""; ""color"",""chartreuse""; ""ymin"", 0; ""ymax"", 1.01; ""highcolo"&amp;"r"", ""darkgreen""; ""lowcolor"", ""red""}), """")"),"")</f>
        <v/>
      </c>
      <c r="B345" s="17" t="str">
        <f t="shared" si="4"/>
        <v/>
      </c>
      <c r="C345" s="1" t="s">
        <v>2205</v>
      </c>
      <c r="D345" s="30" t="str">
        <f>IFERROR(__xludf.DUMMYFUNCTION("IFERROR(GOOGLEFINANCE(C345, ""NAME""))"),"GATX Corp")</f>
        <v>GATX Corp</v>
      </c>
      <c r="E345" s="30" t="s">
        <v>888</v>
      </c>
      <c r="F345" s="38" t="str">
        <f>IFERROR(__xludf.DUMMYFUNCTION("( (GOOGLEFINANCE(C345, ""price"") - Q345) / Q345 ) / (R345 / 100)"),"Loading...")</f>
        <v>Loading...</v>
      </c>
      <c r="G345" s="20" t="str">
        <f>IFERROR(__xludf.DUMMYFUNCTION("AVERAGE(ARRAYFORMULA(100 * (QUERY(GOOGLEFINANCE(C345, ""high"", TODAY()-40, TODAY()), ""SELECT Col2 WHERE Col2 IS NOT NULL ORDER BY Col1 DESC LIMIT 20"", 0) / QUERY(GOOGLEFINANCE(C345, ""low"", TODAY()-40, TODAY()), ""SELECT Col2 WHERE Col2 IS NOT NULL OR"&amp;"DER BY Col1 DESC LIMIT 20"", 0) - 1)))"),"#N/A")</f>
        <v>#N/A</v>
      </c>
      <c r="H345" s="35" t="str">
        <f t="shared" si="6"/>
        <v/>
      </c>
      <c r="I345" s="35" t="str">
        <f t="shared" si="7"/>
        <v/>
      </c>
      <c r="J345" s="37" t="str">
        <f>IFERROR(__xludf.DUMMYFUNCTION("IFERROR(
  IF(C345="""",, 
    IFERROR(
      GOOGLEFINANCE(C345, ""price"") * GOOGLEFINANCE(C345, ""volumeavg""), 
      GOOGLEFINANCE(C345, ""price"") * AVERAGE(QUERY(GOOGLEFINANCE(C345, ""volume"", TODAY()-40, TODAY()), ""SELECT Col2 WHERE Col2 IS NOT "&amp;"NULL ORDER BY Col1 DESC LIMIT 20"", 0))
    )
  ), 
"""")"),"")</f>
        <v/>
      </c>
      <c r="K345" s="21" t="str">
        <f>IFERROR(__xludf.DUMMYFUNCTION("IFERROR(GOOGLEFINANCE(C345, ""changepct"") / 100, """")"),"")</f>
        <v/>
      </c>
      <c r="L345" s="21" t="str">
        <f>IFERROR(__xludf.DUMMYFUNCTION("IFERROR((GOOGLEFINANCE(C345, ""price"") / INDEX(GOOGLEFINANCE(C345, ""price"", TODAY()-7, TODAY()), 2, 2)) - 1, """")"),"")</f>
        <v/>
      </c>
      <c r="M345" s="21" t="str">
        <f>IFERROR(__xludf.DUMMYFUNCTION("IFERROR((GOOGLEFINANCE(C345, ""price"") / INDEX(GOOGLEFINANCE(C345, ""price"", EDATE(TODAY(), -1), TODAY()), 2, 2)) - 1, """")"),"")</f>
        <v/>
      </c>
      <c r="N345" s="21" t="str">
        <f>IFERROR(__xludf.DUMMYFUNCTION("IFERROR((GOOGLEFINANCE(C345, ""price"") / INDEX(GOOGLEFINANCE(C345, ""price"", EDATE(TODAY(), -3), TODAY()), 2, 2)) - 1, """")"),"")</f>
        <v/>
      </c>
      <c r="O345" s="21" t="str">
        <f>IFERROR(__xludf.DUMMYFUNCTION("IFERROR((GOOGLEFINANCE(C345, ""price"") / INDEX(GOOGLEFINANCE(C345, ""price"", EDATE(TODAY(), -6), TODAY()), 2, 2)) - 1, """")"),"")</f>
        <v/>
      </c>
      <c r="P345" s="21" t="str">
        <f>IFERROR(__xludf.DUMMYFUNCTION("IFERROR((GOOGLEFINANCE(C345, ""price"") / INDEX(GOOGLEFINANCE(C345, ""price"", EDATE(TODAY(), -12), TODAY()), 2, 2)) - 1, """")"),"")</f>
        <v/>
      </c>
      <c r="Q345" s="6" t="str">
        <f>IFERROR(__xludf.DUMMYFUNCTION("AVERAGE(QUERY(GOOGLEFINANCE(C345, ""price"", TODAY()-80, TODAY()), ""SELECT Col2 WHERE Col2 IS NOT NULL ORDER BY Col1 DESC LIMIT 50"", 0))"),"#N/A")</f>
        <v>#N/A</v>
      </c>
      <c r="R345" s="24" t="str">
        <f>IFERROR(__xludf.DUMMYFUNCTION("IFERROR(
  LET(
    data, QUERY(GOOGLEFINANCE(C345,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GOOGLEFINANCE(C345, ""price"")) * 100,
    IF(calc=0, G345, calc)
  ), 
G345)"),"#N/A")</f>
        <v>#N/A</v>
      </c>
      <c r="S345" s="8" t="s">
        <v>15</v>
      </c>
      <c r="T345" s="26" t="str">
        <f>IFERROR(__xludf.DUMMYFUNCTION("IFERROR(TRANSPOSE(QUERY(IFERROR(SORT(GOOGLEFINANCE(C345, ""price"", WORKDAY(TODAY(), -40), TODAY()), 1, FALSE)), ""select Col2 where Col2 is not null limit 22 label Col2 ''"", 0)), """")"),"")</f>
        <v/>
      </c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8"/>
      <c r="AO345" s="28"/>
      <c r="AP345" s="29"/>
      <c r="AQ345" s="29" t="str">
        <f t="shared" ref="AQ345:BL345" si="348">T345/T$2</f>
        <v>#N/A</v>
      </c>
      <c r="AR345" s="29" t="str">
        <f t="shared" si="348"/>
        <v>#DIV/0!</v>
      </c>
      <c r="AS345" s="29" t="str">
        <f t="shared" si="348"/>
        <v>#DIV/0!</v>
      </c>
      <c r="AT345" s="29" t="str">
        <f t="shared" si="348"/>
        <v>#DIV/0!</v>
      </c>
      <c r="AU345" s="29" t="str">
        <f t="shared" si="348"/>
        <v>#DIV/0!</v>
      </c>
      <c r="AV345" s="29" t="str">
        <f t="shared" si="348"/>
        <v>#DIV/0!</v>
      </c>
      <c r="AW345" s="29" t="str">
        <f t="shared" si="348"/>
        <v>#DIV/0!</v>
      </c>
      <c r="AX345" s="29" t="str">
        <f t="shared" si="348"/>
        <v>#DIV/0!</v>
      </c>
      <c r="AY345" s="29" t="str">
        <f t="shared" si="348"/>
        <v>#DIV/0!</v>
      </c>
      <c r="AZ345" s="29" t="str">
        <f t="shared" si="348"/>
        <v>#DIV/0!</v>
      </c>
      <c r="BA345" s="29" t="str">
        <f t="shared" si="348"/>
        <v>#DIV/0!</v>
      </c>
      <c r="BB345" s="29" t="str">
        <f t="shared" si="348"/>
        <v>#DIV/0!</v>
      </c>
      <c r="BC345" s="29" t="str">
        <f t="shared" si="348"/>
        <v>#DIV/0!</v>
      </c>
      <c r="BD345" s="29" t="str">
        <f t="shared" si="348"/>
        <v>#DIV/0!</v>
      </c>
      <c r="BE345" s="29" t="str">
        <f t="shared" si="348"/>
        <v>#DIV/0!</v>
      </c>
      <c r="BF345" s="29" t="str">
        <f t="shared" si="348"/>
        <v>#DIV/0!</v>
      </c>
      <c r="BG345" s="29" t="str">
        <f t="shared" si="348"/>
        <v>#DIV/0!</v>
      </c>
      <c r="BH345" s="29" t="str">
        <f t="shared" si="348"/>
        <v>#DIV/0!</v>
      </c>
      <c r="BI345" s="29" t="str">
        <f t="shared" si="348"/>
        <v>#DIV/0!</v>
      </c>
      <c r="BJ345" s="29" t="str">
        <f t="shared" si="348"/>
        <v>#DIV/0!</v>
      </c>
      <c r="BK345" s="29" t="str">
        <f t="shared" si="348"/>
        <v>#DIV/0!</v>
      </c>
      <c r="BL345" s="29" t="str">
        <f t="shared" si="348"/>
        <v>#DIV/0!</v>
      </c>
      <c r="BM345" s="29" t="str">
        <f t="shared" si="3"/>
        <v>#DIV/0!</v>
      </c>
    </row>
    <row r="346">
      <c r="A346" s="16" t="str">
        <f>IFERROR(__xludf.DUMMYFUNCTION("IFERROR(SPARKLINE(SORT(MAP(TRANSPOSE(AQ346:BL346), LAMBDA(val, IF(ISNUMBER(val), PERCENTRANK(AQ346:BL346, val)+0.01, 0))), SEQUENCE(COLUMNS(AQ346:BL346)), FALSE), {""charttype"",""column""; ""color"",""chartreuse""; ""ymin"", 0; ""ymax"", 1.01; ""highcolo"&amp;"r"", ""darkgreen""; ""lowcolor"", ""red""}), """")"),"")</f>
        <v/>
      </c>
      <c r="B346" s="17" t="str">
        <f t="shared" si="4"/>
        <v/>
      </c>
      <c r="C346" s="1" t="s">
        <v>2210</v>
      </c>
      <c r="D346" s="30" t="str">
        <f>IFERROR(__xludf.DUMMYFUNCTION("IFERROR(GOOGLEFINANCE(C346, ""NAME""))"),"Resolute Holdings Management, Inc")</f>
        <v>Resolute Holdings Management, Inc</v>
      </c>
      <c r="E346" s="30" t="s">
        <v>916</v>
      </c>
      <c r="F346" s="33" t="str">
        <f>IFERROR(__xludf.DUMMYFUNCTION("( (GOOGLEFINANCE(C346, ""price"") - Q346) / Q346 ) / (R346 / 100)"),"Loading...")</f>
        <v>Loading...</v>
      </c>
      <c r="G346" s="20" t="str">
        <f>IFERROR(__xludf.DUMMYFUNCTION("AVERAGE(ARRAYFORMULA(100 * (QUERY(GOOGLEFINANCE(C346, ""high"", TODAY()-40, TODAY()), ""SELECT Col2 WHERE Col2 IS NOT NULL ORDER BY Col1 DESC LIMIT 20"", 0) / QUERY(GOOGLEFINANCE(C346, ""low"", TODAY()-40, TODAY()), ""SELECT Col2 WHERE Col2 IS NOT NULL OR"&amp;"DER BY Col1 DESC LIMIT 20"", 0) - 1)))"),"#N/A")</f>
        <v>#N/A</v>
      </c>
      <c r="H346" s="35" t="str">
        <f t="shared" si="6"/>
        <v/>
      </c>
      <c r="I346" s="35" t="str">
        <f t="shared" si="7"/>
        <v/>
      </c>
      <c r="J346" s="37" t="str">
        <f>IFERROR(__xludf.DUMMYFUNCTION("IFERROR(
  IF(C346="""",, 
    IFERROR(
      GOOGLEFINANCE(C346, ""price"") * GOOGLEFINANCE(C346, ""volumeavg""), 
      GOOGLEFINANCE(C346, ""price"") * AVERAGE(QUERY(GOOGLEFINANCE(C346, ""volume"", TODAY()-40, TODAY()), ""SELECT Col2 WHERE Col2 IS NOT "&amp;"NULL ORDER BY Col1 DESC LIMIT 20"", 0))
    )
  ), 
"""")"),"")</f>
        <v/>
      </c>
      <c r="K346" s="21" t="str">
        <f>IFERROR(__xludf.DUMMYFUNCTION("IFERROR(GOOGLEFINANCE(C346, ""changepct"") / 100, """")"),"")</f>
        <v/>
      </c>
      <c r="L346" s="21" t="str">
        <f>IFERROR(__xludf.DUMMYFUNCTION("IFERROR((GOOGLEFINANCE(C346, ""price"") / INDEX(GOOGLEFINANCE(C346, ""price"", TODAY()-7, TODAY()), 2, 2)) - 1, """")"),"")</f>
        <v/>
      </c>
      <c r="M346" s="21" t="str">
        <f>IFERROR(__xludf.DUMMYFUNCTION("IFERROR((GOOGLEFINANCE(C346, ""price"") / INDEX(GOOGLEFINANCE(C346, ""price"", EDATE(TODAY(), -1), TODAY()), 2, 2)) - 1, """")"),"")</f>
        <v/>
      </c>
      <c r="N346" s="21" t="str">
        <f>IFERROR(__xludf.DUMMYFUNCTION("IFERROR((GOOGLEFINANCE(C346, ""price"") / INDEX(GOOGLEFINANCE(C346, ""price"", EDATE(TODAY(), -3), TODAY()), 2, 2)) - 1, """")"),"")</f>
        <v/>
      </c>
      <c r="O346" s="21" t="str">
        <f>IFERROR(__xludf.DUMMYFUNCTION("IFERROR((GOOGLEFINANCE(C346, ""price"") / INDEX(GOOGLEFINANCE(C346, ""price"", EDATE(TODAY(), -6), TODAY()), 2, 2)) - 1, """")"),"")</f>
        <v/>
      </c>
      <c r="P346" s="21" t="str">
        <f>IFERROR(__xludf.DUMMYFUNCTION("IFERROR((GOOGLEFINANCE(C346, ""price"") / INDEX(GOOGLEFINANCE(C346, ""price"", EDATE(TODAY(), -12), TODAY()), 2, 2)) - 1, """")"),"")</f>
        <v/>
      </c>
      <c r="Q346" s="6" t="str">
        <f>IFERROR(__xludf.DUMMYFUNCTION("AVERAGE(QUERY(GOOGLEFINANCE(C346, ""price"", TODAY()-80, TODAY()), ""SELECT Col2 WHERE Col2 IS NOT NULL ORDER BY Col1 DESC LIMIT 50"", 0))"),"#N/A")</f>
        <v>#N/A</v>
      </c>
      <c r="R346" s="24" t="str">
        <f>IFERROR(__xludf.DUMMYFUNCTION("IFERROR(
  LET(
    data, QUERY(GOOGLEFINANCE(C346,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GOOGLEFINANCE(C346, ""price"")) * 100,
    IF(calc=0, G346, calc)
  ), 
G346)"),"#N/A")</f>
        <v>#N/A</v>
      </c>
      <c r="S346" s="8" t="s">
        <v>15</v>
      </c>
      <c r="T346" s="26" t="str">
        <f>IFERROR(__xludf.DUMMYFUNCTION("IFERROR(TRANSPOSE(QUERY(IFERROR(SORT(GOOGLEFINANCE(C346, ""price"", WORKDAY(TODAY(), -40), TODAY()), 1, FALSE)), ""select Col2 where Col2 is not null limit 22 label Col2 ''"", 0)), """")"),"")</f>
        <v/>
      </c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8"/>
      <c r="AO346" s="28"/>
      <c r="AP346" s="29"/>
      <c r="AQ346" s="29" t="str">
        <f t="shared" ref="AQ346:BL346" si="349">T346/T$2</f>
        <v>#N/A</v>
      </c>
      <c r="AR346" s="29" t="str">
        <f t="shared" si="349"/>
        <v>#DIV/0!</v>
      </c>
      <c r="AS346" s="29" t="str">
        <f t="shared" si="349"/>
        <v>#DIV/0!</v>
      </c>
      <c r="AT346" s="29" t="str">
        <f t="shared" si="349"/>
        <v>#DIV/0!</v>
      </c>
      <c r="AU346" s="29" t="str">
        <f t="shared" si="349"/>
        <v>#DIV/0!</v>
      </c>
      <c r="AV346" s="29" t="str">
        <f t="shared" si="349"/>
        <v>#DIV/0!</v>
      </c>
      <c r="AW346" s="29" t="str">
        <f t="shared" si="349"/>
        <v>#DIV/0!</v>
      </c>
      <c r="AX346" s="29" t="str">
        <f t="shared" si="349"/>
        <v>#DIV/0!</v>
      </c>
      <c r="AY346" s="29" t="str">
        <f t="shared" si="349"/>
        <v>#DIV/0!</v>
      </c>
      <c r="AZ346" s="29" t="str">
        <f t="shared" si="349"/>
        <v>#DIV/0!</v>
      </c>
      <c r="BA346" s="29" t="str">
        <f t="shared" si="349"/>
        <v>#DIV/0!</v>
      </c>
      <c r="BB346" s="29" t="str">
        <f t="shared" si="349"/>
        <v>#DIV/0!</v>
      </c>
      <c r="BC346" s="29" t="str">
        <f t="shared" si="349"/>
        <v>#DIV/0!</v>
      </c>
      <c r="BD346" s="29" t="str">
        <f t="shared" si="349"/>
        <v>#DIV/0!</v>
      </c>
      <c r="BE346" s="29" t="str">
        <f t="shared" si="349"/>
        <v>#DIV/0!</v>
      </c>
      <c r="BF346" s="29" t="str">
        <f t="shared" si="349"/>
        <v>#DIV/0!</v>
      </c>
      <c r="BG346" s="29" t="str">
        <f t="shared" si="349"/>
        <v>#DIV/0!</v>
      </c>
      <c r="BH346" s="29" t="str">
        <f t="shared" si="349"/>
        <v>#DIV/0!</v>
      </c>
      <c r="BI346" s="29" t="str">
        <f t="shared" si="349"/>
        <v>#DIV/0!</v>
      </c>
      <c r="BJ346" s="29" t="str">
        <f t="shared" si="349"/>
        <v>#DIV/0!</v>
      </c>
      <c r="BK346" s="29" t="str">
        <f t="shared" si="349"/>
        <v>#DIV/0!</v>
      </c>
      <c r="BL346" s="29" t="str">
        <f t="shared" si="349"/>
        <v>#DIV/0!</v>
      </c>
      <c r="BM346" s="29" t="str">
        <f t="shared" si="3"/>
        <v>#DIV/0!</v>
      </c>
    </row>
    <row r="347">
      <c r="A347" s="16" t="str">
        <f>IFERROR(__xludf.DUMMYFUNCTION("IFERROR(SPARKLINE(SORT(MAP(TRANSPOSE(AQ347:BL347), LAMBDA(val, IF(ISNUMBER(val), PERCENTRANK(AQ347:BL347, val)+0.01, 0))), SEQUENCE(COLUMNS(AQ347:BL347)), FALSE), {""charttype"",""column""; ""color"",""chartreuse""; ""ymin"", 0; ""ymax"", 1.01; ""highcolo"&amp;"r"", ""darkgreen""; ""lowcolor"", ""red""}), """")"),"")</f>
        <v/>
      </c>
      <c r="B347" s="17" t="str">
        <f t="shared" si="4"/>
        <v/>
      </c>
      <c r="C347" s="1" t="s">
        <v>2214</v>
      </c>
      <c r="D347" s="30" t="str">
        <f>IFERROR(__xludf.DUMMYFUNCTION("IFERROR(GOOGLEFINANCE(C347, ""NAME""))"),"Universal Logistics Holdings Inc")</f>
        <v>Universal Logistics Holdings Inc</v>
      </c>
      <c r="E347" s="30" t="s">
        <v>1317</v>
      </c>
      <c r="F347" s="33" t="str">
        <f>IFERROR(__xludf.DUMMYFUNCTION("( (GOOGLEFINANCE(C347, ""price"") - Q347) / Q347 ) / (R347 / 100)"),"Loading...")</f>
        <v>Loading...</v>
      </c>
      <c r="G347" s="20" t="str">
        <f>IFERROR(__xludf.DUMMYFUNCTION("AVERAGE(ARRAYFORMULA(100 * (QUERY(GOOGLEFINANCE(C347, ""high"", TODAY()-40, TODAY()), ""SELECT Col2 WHERE Col2 IS NOT NULL ORDER BY Col1 DESC LIMIT 20"", 0) / QUERY(GOOGLEFINANCE(C347, ""low"", TODAY()-40, TODAY()), ""SELECT Col2 WHERE Col2 IS NOT NULL OR"&amp;"DER BY Col1 DESC LIMIT 20"", 0) - 1)))"),"#N/A")</f>
        <v>#N/A</v>
      </c>
      <c r="H347" s="35" t="str">
        <f t="shared" si="6"/>
        <v/>
      </c>
      <c r="I347" s="35" t="str">
        <f t="shared" si="7"/>
        <v/>
      </c>
      <c r="J347" s="37" t="str">
        <f>IFERROR(__xludf.DUMMYFUNCTION("IFERROR(
  IF(C347="""",, 
    IFERROR(
      GOOGLEFINANCE(C347, ""price"") * GOOGLEFINANCE(C347, ""volumeavg""), 
      GOOGLEFINANCE(C347, ""price"") * AVERAGE(QUERY(GOOGLEFINANCE(C347, ""volume"", TODAY()-40, TODAY()), ""SELECT Col2 WHERE Col2 IS NOT "&amp;"NULL ORDER BY Col1 DESC LIMIT 20"", 0))
    )
  ), 
"""")"),"")</f>
        <v/>
      </c>
      <c r="K347" s="21" t="str">
        <f>IFERROR(__xludf.DUMMYFUNCTION("IFERROR(GOOGLEFINANCE(C347, ""changepct"") / 100, """")"),"")</f>
        <v/>
      </c>
      <c r="L347" s="21" t="str">
        <f>IFERROR(__xludf.DUMMYFUNCTION("IFERROR((GOOGLEFINANCE(C347, ""price"") / INDEX(GOOGLEFINANCE(C347, ""price"", TODAY()-7, TODAY()), 2, 2)) - 1, """")"),"")</f>
        <v/>
      </c>
      <c r="M347" s="21" t="str">
        <f>IFERROR(__xludf.DUMMYFUNCTION("IFERROR((GOOGLEFINANCE(C347, ""price"") / INDEX(GOOGLEFINANCE(C347, ""price"", EDATE(TODAY(), -1), TODAY()), 2, 2)) - 1, """")"),"")</f>
        <v/>
      </c>
      <c r="N347" s="21" t="str">
        <f>IFERROR(__xludf.DUMMYFUNCTION("IFERROR((GOOGLEFINANCE(C347, ""price"") / INDEX(GOOGLEFINANCE(C347, ""price"", EDATE(TODAY(), -3), TODAY()), 2, 2)) - 1, """")"),"")</f>
        <v/>
      </c>
      <c r="O347" s="21" t="str">
        <f>IFERROR(__xludf.DUMMYFUNCTION("IFERROR((GOOGLEFINANCE(C347, ""price"") / INDEX(GOOGLEFINANCE(C347, ""price"", EDATE(TODAY(), -6), TODAY()), 2, 2)) - 1, """")"),"")</f>
        <v/>
      </c>
      <c r="P347" s="21" t="str">
        <f>IFERROR(__xludf.DUMMYFUNCTION("IFERROR((GOOGLEFINANCE(C347, ""price"") / INDEX(GOOGLEFINANCE(C347, ""price"", EDATE(TODAY(), -12), TODAY()), 2, 2)) - 1, """")"),"")</f>
        <v/>
      </c>
      <c r="Q347" s="6" t="str">
        <f>IFERROR(__xludf.DUMMYFUNCTION("AVERAGE(QUERY(GOOGLEFINANCE(C347, ""price"", TODAY()-80, TODAY()), ""SELECT Col2 WHERE Col2 IS NOT NULL ORDER BY Col1 DESC LIMIT 50"", 0))"),"#N/A")</f>
        <v>#N/A</v>
      </c>
      <c r="R347" s="24" t="str">
        <f>IFERROR(__xludf.DUMMYFUNCTION("IFERROR(
  LET(
    data, QUERY(GOOGLEFINANCE(C347,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GOOGLEFINANCE(C347, ""price"")) * 100,
    IF(calc=0, G347, calc)
  ), 
G347)"),"#N/A")</f>
        <v>#N/A</v>
      </c>
      <c r="S347" s="8" t="s">
        <v>15</v>
      </c>
      <c r="T347" s="26" t="str">
        <f>IFERROR(__xludf.DUMMYFUNCTION("IFERROR(TRANSPOSE(QUERY(IFERROR(SORT(GOOGLEFINANCE(C347, ""price"", WORKDAY(TODAY(), -40), TODAY()), 1, FALSE)), ""select Col2 where Col2 is not null limit 22 label Col2 ''"", 0)), """")"),"")</f>
        <v/>
      </c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8"/>
      <c r="AO347" s="28"/>
      <c r="AP347" s="29"/>
      <c r="AQ347" s="29" t="str">
        <f t="shared" ref="AQ347:BL347" si="350">T347/T$2</f>
        <v>#N/A</v>
      </c>
      <c r="AR347" s="29" t="str">
        <f t="shared" si="350"/>
        <v>#DIV/0!</v>
      </c>
      <c r="AS347" s="29" t="str">
        <f t="shared" si="350"/>
        <v>#DIV/0!</v>
      </c>
      <c r="AT347" s="29" t="str">
        <f t="shared" si="350"/>
        <v>#DIV/0!</v>
      </c>
      <c r="AU347" s="29" t="str">
        <f t="shared" si="350"/>
        <v>#DIV/0!</v>
      </c>
      <c r="AV347" s="29" t="str">
        <f t="shared" si="350"/>
        <v>#DIV/0!</v>
      </c>
      <c r="AW347" s="29" t="str">
        <f t="shared" si="350"/>
        <v>#DIV/0!</v>
      </c>
      <c r="AX347" s="29" t="str">
        <f t="shared" si="350"/>
        <v>#DIV/0!</v>
      </c>
      <c r="AY347" s="29" t="str">
        <f t="shared" si="350"/>
        <v>#DIV/0!</v>
      </c>
      <c r="AZ347" s="29" t="str">
        <f t="shared" si="350"/>
        <v>#DIV/0!</v>
      </c>
      <c r="BA347" s="29" t="str">
        <f t="shared" si="350"/>
        <v>#DIV/0!</v>
      </c>
      <c r="BB347" s="29" t="str">
        <f t="shared" si="350"/>
        <v>#DIV/0!</v>
      </c>
      <c r="BC347" s="29" t="str">
        <f t="shared" si="350"/>
        <v>#DIV/0!</v>
      </c>
      <c r="BD347" s="29" t="str">
        <f t="shared" si="350"/>
        <v>#DIV/0!</v>
      </c>
      <c r="BE347" s="29" t="str">
        <f t="shared" si="350"/>
        <v>#DIV/0!</v>
      </c>
      <c r="BF347" s="29" t="str">
        <f t="shared" si="350"/>
        <v>#DIV/0!</v>
      </c>
      <c r="BG347" s="29" t="str">
        <f t="shared" si="350"/>
        <v>#DIV/0!</v>
      </c>
      <c r="BH347" s="29" t="str">
        <f t="shared" si="350"/>
        <v>#DIV/0!</v>
      </c>
      <c r="BI347" s="29" t="str">
        <f t="shared" si="350"/>
        <v>#DIV/0!</v>
      </c>
      <c r="BJ347" s="29" t="str">
        <f t="shared" si="350"/>
        <v>#DIV/0!</v>
      </c>
      <c r="BK347" s="29" t="str">
        <f t="shared" si="350"/>
        <v>#DIV/0!</v>
      </c>
      <c r="BL347" s="29" t="str">
        <f t="shared" si="350"/>
        <v>#DIV/0!</v>
      </c>
      <c r="BM347" s="29" t="str">
        <f t="shared" si="3"/>
        <v>#DIV/0!</v>
      </c>
    </row>
    <row r="348">
      <c r="A348" s="16" t="str">
        <f>IFERROR(__xludf.DUMMYFUNCTION("IFERROR(SPARKLINE(SORT(MAP(TRANSPOSE(AQ348:BL348), LAMBDA(val, IF(ISNUMBER(val), PERCENTRANK(AQ348:BL348, val)+0.01, 0))), SEQUENCE(COLUMNS(AQ348:BL348)), FALSE), {""charttype"",""column""; ""color"",""chartreuse""; ""ymin"", 0; ""ymax"", 1.01; ""highcolo"&amp;"r"", ""darkgreen""; ""lowcolor"", ""red""}), """")"),"")</f>
        <v/>
      </c>
      <c r="B348" s="17" t="str">
        <f t="shared" si="4"/>
        <v/>
      </c>
      <c r="C348" s="1" t="s">
        <v>2218</v>
      </c>
      <c r="D348" s="30" t="str">
        <f>IFERROR(__xludf.DUMMYFUNCTION("IFERROR(GOOGLEFINANCE(C348, ""NAME""))"),"Deluxe Corp")</f>
        <v>Deluxe Corp</v>
      </c>
      <c r="E348" s="30" t="s">
        <v>843</v>
      </c>
      <c r="F348" s="33" t="str">
        <f>IFERROR(__xludf.DUMMYFUNCTION("( (GOOGLEFINANCE(C348, ""price"") - Q348) / Q348 ) / (R348 / 100)"),"Loading...")</f>
        <v>Loading...</v>
      </c>
      <c r="G348" s="20" t="str">
        <f>IFERROR(__xludf.DUMMYFUNCTION("AVERAGE(ARRAYFORMULA(100 * (QUERY(GOOGLEFINANCE(C348, ""high"", TODAY()-40, TODAY()), ""SELECT Col2 WHERE Col2 IS NOT NULL ORDER BY Col1 DESC LIMIT 20"", 0) / QUERY(GOOGLEFINANCE(C348, ""low"", TODAY()-40, TODAY()), ""SELECT Col2 WHERE Col2 IS NOT NULL OR"&amp;"DER BY Col1 DESC LIMIT 20"", 0) - 1)))"),"#N/A")</f>
        <v>#N/A</v>
      </c>
      <c r="H348" s="35" t="str">
        <f t="shared" si="6"/>
        <v/>
      </c>
      <c r="I348" s="35" t="str">
        <f t="shared" si="7"/>
        <v/>
      </c>
      <c r="J348" s="37" t="str">
        <f>IFERROR(__xludf.DUMMYFUNCTION("IFERROR(
  IF(C348="""",, 
    IFERROR(
      GOOGLEFINANCE(C348, ""price"") * GOOGLEFINANCE(C348, ""volumeavg""), 
      GOOGLEFINANCE(C348, ""price"") * AVERAGE(QUERY(GOOGLEFINANCE(C348, ""volume"", TODAY()-40, TODAY()), ""SELECT Col2 WHERE Col2 IS NOT "&amp;"NULL ORDER BY Col1 DESC LIMIT 20"", 0))
    )
  ), 
"""")"),"")</f>
        <v/>
      </c>
      <c r="K348" s="21" t="str">
        <f>IFERROR(__xludf.DUMMYFUNCTION("IFERROR(GOOGLEFINANCE(C348, ""changepct"") / 100, """")"),"")</f>
        <v/>
      </c>
      <c r="L348" s="21" t="str">
        <f>IFERROR(__xludf.DUMMYFUNCTION("IFERROR((GOOGLEFINANCE(C348, ""price"") / INDEX(GOOGLEFINANCE(C348, ""price"", TODAY()-7, TODAY()), 2, 2)) - 1, """")"),"")</f>
        <v/>
      </c>
      <c r="M348" s="21" t="str">
        <f>IFERROR(__xludf.DUMMYFUNCTION("IFERROR((GOOGLEFINANCE(C348, ""price"") / INDEX(GOOGLEFINANCE(C348, ""price"", EDATE(TODAY(), -1), TODAY()), 2, 2)) - 1, """")"),"")</f>
        <v/>
      </c>
      <c r="N348" s="21" t="str">
        <f>IFERROR(__xludf.DUMMYFUNCTION("IFERROR((GOOGLEFINANCE(C348, ""price"") / INDEX(GOOGLEFINANCE(C348, ""price"", EDATE(TODAY(), -3), TODAY()), 2, 2)) - 1, """")"),"")</f>
        <v/>
      </c>
      <c r="O348" s="21" t="str">
        <f>IFERROR(__xludf.DUMMYFUNCTION("IFERROR((GOOGLEFINANCE(C348, ""price"") / INDEX(GOOGLEFINANCE(C348, ""price"", EDATE(TODAY(), -6), TODAY()), 2, 2)) - 1, """")"),"")</f>
        <v/>
      </c>
      <c r="P348" s="21" t="str">
        <f>IFERROR(__xludf.DUMMYFUNCTION("IFERROR((GOOGLEFINANCE(C348, ""price"") / INDEX(GOOGLEFINANCE(C348, ""price"", EDATE(TODAY(), -12), TODAY()), 2, 2)) - 1, """")"),"")</f>
        <v/>
      </c>
      <c r="Q348" s="6" t="str">
        <f>IFERROR(__xludf.DUMMYFUNCTION("AVERAGE(QUERY(GOOGLEFINANCE(C348, ""price"", TODAY()-80, TODAY()), ""SELECT Col2 WHERE Col2 IS NOT NULL ORDER BY Col1 DESC LIMIT 50"", 0))"),"#N/A")</f>
        <v>#N/A</v>
      </c>
      <c r="R348" s="24" t="str">
        <f>IFERROR(__xludf.DUMMYFUNCTION("IFERROR(
  LET(
    data, QUERY(GOOGLEFINANCE(C348,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GOOGLEFINANCE(C348, ""price"")) * 100,
    IF(calc=0, G348, calc)
  ), 
G348)"),"#N/A")</f>
        <v>#N/A</v>
      </c>
      <c r="S348" s="8" t="s">
        <v>15</v>
      </c>
      <c r="T348" s="26" t="str">
        <f>IFERROR(__xludf.DUMMYFUNCTION("IFERROR(TRANSPOSE(QUERY(IFERROR(SORT(GOOGLEFINANCE(C348, ""price"", WORKDAY(TODAY(), -40), TODAY()), 1, FALSE)), ""select Col2 where Col2 is not null limit 22 label Col2 ''"", 0)), """")"),"")</f>
        <v/>
      </c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8"/>
      <c r="AO348" s="28"/>
      <c r="AP348" s="29"/>
      <c r="AQ348" s="29" t="str">
        <f t="shared" ref="AQ348:BL348" si="351">T348/T$2</f>
        <v>#N/A</v>
      </c>
      <c r="AR348" s="29" t="str">
        <f t="shared" si="351"/>
        <v>#DIV/0!</v>
      </c>
      <c r="AS348" s="29" t="str">
        <f t="shared" si="351"/>
        <v>#DIV/0!</v>
      </c>
      <c r="AT348" s="29" t="str">
        <f t="shared" si="351"/>
        <v>#DIV/0!</v>
      </c>
      <c r="AU348" s="29" t="str">
        <f t="shared" si="351"/>
        <v>#DIV/0!</v>
      </c>
      <c r="AV348" s="29" t="str">
        <f t="shared" si="351"/>
        <v>#DIV/0!</v>
      </c>
      <c r="AW348" s="29" t="str">
        <f t="shared" si="351"/>
        <v>#DIV/0!</v>
      </c>
      <c r="AX348" s="29" t="str">
        <f t="shared" si="351"/>
        <v>#DIV/0!</v>
      </c>
      <c r="AY348" s="29" t="str">
        <f t="shared" si="351"/>
        <v>#DIV/0!</v>
      </c>
      <c r="AZ348" s="29" t="str">
        <f t="shared" si="351"/>
        <v>#DIV/0!</v>
      </c>
      <c r="BA348" s="29" t="str">
        <f t="shared" si="351"/>
        <v>#DIV/0!</v>
      </c>
      <c r="BB348" s="29" t="str">
        <f t="shared" si="351"/>
        <v>#DIV/0!</v>
      </c>
      <c r="BC348" s="29" t="str">
        <f t="shared" si="351"/>
        <v>#DIV/0!</v>
      </c>
      <c r="BD348" s="29" t="str">
        <f t="shared" si="351"/>
        <v>#DIV/0!</v>
      </c>
      <c r="BE348" s="29" t="str">
        <f t="shared" si="351"/>
        <v>#DIV/0!</v>
      </c>
      <c r="BF348" s="29" t="str">
        <f t="shared" si="351"/>
        <v>#DIV/0!</v>
      </c>
      <c r="BG348" s="29" t="str">
        <f t="shared" si="351"/>
        <v>#DIV/0!</v>
      </c>
      <c r="BH348" s="29" t="str">
        <f t="shared" si="351"/>
        <v>#DIV/0!</v>
      </c>
      <c r="BI348" s="29" t="str">
        <f t="shared" si="351"/>
        <v>#DIV/0!</v>
      </c>
      <c r="BJ348" s="29" t="str">
        <f t="shared" si="351"/>
        <v>#DIV/0!</v>
      </c>
      <c r="BK348" s="29" t="str">
        <f t="shared" si="351"/>
        <v>#DIV/0!</v>
      </c>
      <c r="BL348" s="29" t="str">
        <f t="shared" si="351"/>
        <v>#DIV/0!</v>
      </c>
      <c r="BM348" s="29" t="str">
        <f t="shared" si="3"/>
        <v>#DIV/0!</v>
      </c>
    </row>
    <row r="349">
      <c r="A349" s="16" t="str">
        <f>IFERROR(__xludf.DUMMYFUNCTION("IFERROR(SPARKLINE(SORT(MAP(TRANSPOSE(AQ349:BL349), LAMBDA(val, IF(ISNUMBER(val), PERCENTRANK(AQ349:BL349, val)+0.01, 0))), SEQUENCE(COLUMNS(AQ349:BL349)), FALSE), {""charttype"",""column""; ""color"",""chartreuse""; ""ymin"", 0; ""ymax"", 1.01; ""highcolo"&amp;"r"", ""darkgreen""; ""lowcolor"", ""red""}), """")"),"")</f>
        <v/>
      </c>
      <c r="B349" s="17" t="str">
        <f t="shared" si="4"/>
        <v/>
      </c>
      <c r="C349" s="1" t="s">
        <v>2222</v>
      </c>
      <c r="D349" s="30" t="str">
        <f>IFERROR(__xludf.DUMMYFUNCTION("IFERROR(GOOGLEFINANCE(C349, ""NAME""))"),"Barrett Business Services Inc")</f>
        <v>Barrett Business Services Inc</v>
      </c>
      <c r="E349" s="30" t="s">
        <v>1351</v>
      </c>
      <c r="F349" s="33" t="str">
        <f>IFERROR(__xludf.DUMMYFUNCTION("( (GOOGLEFINANCE(C349, ""price"") - Q349) / Q349 ) / (R349 / 100)"),"Loading...")</f>
        <v>Loading...</v>
      </c>
      <c r="G349" s="20" t="str">
        <f>IFERROR(__xludf.DUMMYFUNCTION("AVERAGE(ARRAYFORMULA(100 * (QUERY(GOOGLEFINANCE(C349, ""high"", TODAY()-40, TODAY()), ""SELECT Col2 WHERE Col2 IS NOT NULL ORDER BY Col1 DESC LIMIT 20"", 0) / QUERY(GOOGLEFINANCE(C349, ""low"", TODAY()-40, TODAY()), ""SELECT Col2 WHERE Col2 IS NOT NULL OR"&amp;"DER BY Col1 DESC LIMIT 20"", 0) - 1)))"),"#N/A")</f>
        <v>#N/A</v>
      </c>
      <c r="H349" s="35" t="str">
        <f t="shared" si="6"/>
        <v/>
      </c>
      <c r="I349" s="35" t="str">
        <f t="shared" si="7"/>
        <v/>
      </c>
      <c r="J349" s="37" t="str">
        <f>IFERROR(__xludf.DUMMYFUNCTION("IFERROR(
  IF(C349="""",, 
    IFERROR(
      GOOGLEFINANCE(C349, ""price"") * GOOGLEFINANCE(C349, ""volumeavg""), 
      GOOGLEFINANCE(C349, ""price"") * AVERAGE(QUERY(GOOGLEFINANCE(C349, ""volume"", TODAY()-40, TODAY()), ""SELECT Col2 WHERE Col2 IS NOT "&amp;"NULL ORDER BY Col1 DESC LIMIT 20"", 0))
    )
  ), 
"""")"),"")</f>
        <v/>
      </c>
      <c r="K349" s="21" t="str">
        <f>IFERROR(__xludf.DUMMYFUNCTION("IFERROR(GOOGLEFINANCE(C349, ""changepct"") / 100, """")"),"")</f>
        <v/>
      </c>
      <c r="L349" s="21" t="str">
        <f>IFERROR(__xludf.DUMMYFUNCTION("IFERROR((GOOGLEFINANCE(C349, ""price"") / INDEX(GOOGLEFINANCE(C349, ""price"", TODAY()-7, TODAY()), 2, 2)) - 1, """")"),"")</f>
        <v/>
      </c>
      <c r="M349" s="21" t="str">
        <f>IFERROR(__xludf.DUMMYFUNCTION("IFERROR((GOOGLEFINANCE(C349, ""price"") / INDEX(GOOGLEFINANCE(C349, ""price"", EDATE(TODAY(), -1), TODAY()), 2, 2)) - 1, """")"),"")</f>
        <v/>
      </c>
      <c r="N349" s="21" t="str">
        <f>IFERROR(__xludf.DUMMYFUNCTION("IFERROR((GOOGLEFINANCE(C349, ""price"") / INDEX(GOOGLEFINANCE(C349, ""price"", EDATE(TODAY(), -3), TODAY()), 2, 2)) - 1, """")"),"")</f>
        <v/>
      </c>
      <c r="O349" s="21" t="str">
        <f>IFERROR(__xludf.DUMMYFUNCTION("IFERROR((GOOGLEFINANCE(C349, ""price"") / INDEX(GOOGLEFINANCE(C349, ""price"", EDATE(TODAY(), -6), TODAY()), 2, 2)) - 1, """")"),"")</f>
        <v/>
      </c>
      <c r="P349" s="21" t="str">
        <f>IFERROR(__xludf.DUMMYFUNCTION("IFERROR((GOOGLEFINANCE(C349, ""price"") / INDEX(GOOGLEFINANCE(C349, ""price"", EDATE(TODAY(), -12), TODAY()), 2, 2)) - 1, """")"),"")</f>
        <v/>
      </c>
      <c r="Q349" s="6" t="str">
        <f>IFERROR(__xludf.DUMMYFUNCTION("AVERAGE(QUERY(GOOGLEFINANCE(C349, ""price"", TODAY()-80, TODAY()), ""SELECT Col2 WHERE Col2 IS NOT NULL ORDER BY Col1 DESC LIMIT 50"", 0))"),"#N/A")</f>
        <v>#N/A</v>
      </c>
      <c r="R349" s="24" t="str">
        <f>IFERROR(__xludf.DUMMYFUNCTION("IFERROR(
  LET(
    data, QUERY(GOOGLEFINANCE(C349,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GOOGLEFINANCE(C349, ""price"")) * 100,
    IF(calc=0, G349, calc)
  ), 
G349)"),"#N/A")</f>
        <v>#N/A</v>
      </c>
      <c r="S349" s="8" t="s">
        <v>15</v>
      </c>
      <c r="T349" s="26" t="str">
        <f>IFERROR(__xludf.DUMMYFUNCTION("IFERROR(TRANSPOSE(QUERY(IFERROR(SORT(GOOGLEFINANCE(C349, ""price"", WORKDAY(TODAY(), -40), TODAY()), 1, FALSE)), ""select Col2 where Col2 is not null limit 22 label Col2 ''"", 0)), """")"),"")</f>
        <v/>
      </c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8"/>
      <c r="AO349" s="28"/>
      <c r="AP349" s="29"/>
      <c r="AQ349" s="29" t="str">
        <f t="shared" ref="AQ349:BL349" si="352">T349/T$2</f>
        <v>#N/A</v>
      </c>
      <c r="AR349" s="29" t="str">
        <f t="shared" si="352"/>
        <v>#DIV/0!</v>
      </c>
      <c r="AS349" s="29" t="str">
        <f t="shared" si="352"/>
        <v>#DIV/0!</v>
      </c>
      <c r="AT349" s="29" t="str">
        <f t="shared" si="352"/>
        <v>#DIV/0!</v>
      </c>
      <c r="AU349" s="29" t="str">
        <f t="shared" si="352"/>
        <v>#DIV/0!</v>
      </c>
      <c r="AV349" s="29" t="str">
        <f t="shared" si="352"/>
        <v>#DIV/0!</v>
      </c>
      <c r="AW349" s="29" t="str">
        <f t="shared" si="352"/>
        <v>#DIV/0!</v>
      </c>
      <c r="AX349" s="29" t="str">
        <f t="shared" si="352"/>
        <v>#DIV/0!</v>
      </c>
      <c r="AY349" s="29" t="str">
        <f t="shared" si="352"/>
        <v>#DIV/0!</v>
      </c>
      <c r="AZ349" s="29" t="str">
        <f t="shared" si="352"/>
        <v>#DIV/0!</v>
      </c>
      <c r="BA349" s="29" t="str">
        <f t="shared" si="352"/>
        <v>#DIV/0!</v>
      </c>
      <c r="BB349" s="29" t="str">
        <f t="shared" si="352"/>
        <v>#DIV/0!</v>
      </c>
      <c r="BC349" s="29" t="str">
        <f t="shared" si="352"/>
        <v>#DIV/0!</v>
      </c>
      <c r="BD349" s="29" t="str">
        <f t="shared" si="352"/>
        <v>#DIV/0!</v>
      </c>
      <c r="BE349" s="29" t="str">
        <f t="shared" si="352"/>
        <v>#DIV/0!</v>
      </c>
      <c r="BF349" s="29" t="str">
        <f t="shared" si="352"/>
        <v>#DIV/0!</v>
      </c>
      <c r="BG349" s="29" t="str">
        <f t="shared" si="352"/>
        <v>#DIV/0!</v>
      </c>
      <c r="BH349" s="29" t="str">
        <f t="shared" si="352"/>
        <v>#DIV/0!</v>
      </c>
      <c r="BI349" s="29" t="str">
        <f t="shared" si="352"/>
        <v>#DIV/0!</v>
      </c>
      <c r="BJ349" s="29" t="str">
        <f t="shared" si="352"/>
        <v>#DIV/0!</v>
      </c>
      <c r="BK349" s="29" t="str">
        <f t="shared" si="352"/>
        <v>#DIV/0!</v>
      </c>
      <c r="BL349" s="29" t="str">
        <f t="shared" si="352"/>
        <v>#DIV/0!</v>
      </c>
      <c r="BM349" s="29" t="str">
        <f t="shared" si="3"/>
        <v>#DIV/0!</v>
      </c>
    </row>
    <row r="350">
      <c r="A350" s="16" t="str">
        <f>IFERROR(__xludf.DUMMYFUNCTION("IFERROR(SPARKLINE(SORT(MAP(TRANSPOSE(AQ350:BL350), LAMBDA(val, IF(ISNUMBER(val), PERCENTRANK(AQ350:BL350, val)+0.01, 0))), SEQUENCE(COLUMNS(AQ350:BL350)), FALSE), {""charttype"",""column""; ""color"",""chartreuse""; ""ymin"", 0; ""ymax"", 1.01; ""highcolo"&amp;"r"", ""darkgreen""; ""lowcolor"", ""red""}), """")"),"")</f>
        <v/>
      </c>
      <c r="B350" s="17" t="str">
        <f t="shared" si="4"/>
        <v/>
      </c>
      <c r="C350" s="1" t="s">
        <v>2227</v>
      </c>
      <c r="D350" s="30" t="str">
        <f>IFERROR(__xludf.DUMMYFUNCTION("IFERROR(GOOGLEFINANCE(C350, ""NAME""))"),"Embraer SA")</f>
        <v>Embraer SA</v>
      </c>
      <c r="E350" s="30" t="s">
        <v>839</v>
      </c>
      <c r="F350" s="33" t="str">
        <f>IFERROR(__xludf.DUMMYFUNCTION("( (GOOGLEFINANCE(C350, ""price"") - Q350) / Q350 ) / (R350 / 100)"),"Loading...")</f>
        <v>Loading...</v>
      </c>
      <c r="G350" s="20" t="str">
        <f>IFERROR(__xludf.DUMMYFUNCTION("AVERAGE(ARRAYFORMULA(100 * (QUERY(GOOGLEFINANCE(C350, ""high"", TODAY()-40, TODAY()), ""SELECT Col2 WHERE Col2 IS NOT NULL ORDER BY Col1 DESC LIMIT 20"", 0) / QUERY(GOOGLEFINANCE(C350, ""low"", TODAY()-40, TODAY()), ""SELECT Col2 WHERE Col2 IS NOT NULL OR"&amp;"DER BY Col1 DESC LIMIT 20"", 0) - 1)))"),"#N/A")</f>
        <v>#N/A</v>
      </c>
      <c r="H350" s="35" t="str">
        <f t="shared" si="6"/>
        <v/>
      </c>
      <c r="I350" s="35" t="str">
        <f t="shared" si="7"/>
        <v/>
      </c>
      <c r="J350" s="37" t="str">
        <f>IFERROR(__xludf.DUMMYFUNCTION("IFERROR(
  IF(C350="""",, 
    IFERROR(
      GOOGLEFINANCE(C350, ""price"") * GOOGLEFINANCE(C350, ""volumeavg""), 
      GOOGLEFINANCE(C350, ""price"") * AVERAGE(QUERY(GOOGLEFINANCE(C350, ""volume"", TODAY()-40, TODAY()), ""SELECT Col2 WHERE Col2 IS NOT "&amp;"NULL ORDER BY Col1 DESC LIMIT 20"", 0))
    )
  ), 
"""")"),"")</f>
        <v/>
      </c>
      <c r="K350" s="21" t="str">
        <f>IFERROR(__xludf.DUMMYFUNCTION("IFERROR(GOOGLEFINANCE(C350, ""changepct"") / 100, """")"),"")</f>
        <v/>
      </c>
      <c r="L350" s="21" t="str">
        <f>IFERROR(__xludf.DUMMYFUNCTION("IFERROR((GOOGLEFINANCE(C350, ""price"") / INDEX(GOOGLEFINANCE(C350, ""price"", TODAY()-7, TODAY()), 2, 2)) - 1, """")"),"")</f>
        <v/>
      </c>
      <c r="M350" s="21" t="str">
        <f>IFERROR(__xludf.DUMMYFUNCTION("IFERROR((GOOGLEFINANCE(C350, ""price"") / INDEX(GOOGLEFINANCE(C350, ""price"", EDATE(TODAY(), -1), TODAY()), 2, 2)) - 1, """")"),"")</f>
        <v/>
      </c>
      <c r="N350" s="21" t="str">
        <f>IFERROR(__xludf.DUMMYFUNCTION("IFERROR((GOOGLEFINANCE(C350, ""price"") / INDEX(GOOGLEFINANCE(C350, ""price"", EDATE(TODAY(), -3), TODAY()), 2, 2)) - 1, """")"),"")</f>
        <v/>
      </c>
      <c r="O350" s="21" t="str">
        <f>IFERROR(__xludf.DUMMYFUNCTION("IFERROR((GOOGLEFINANCE(C350, ""price"") / INDEX(GOOGLEFINANCE(C350, ""price"", EDATE(TODAY(), -6), TODAY()), 2, 2)) - 1, """")"),"")</f>
        <v/>
      </c>
      <c r="P350" s="21" t="str">
        <f>IFERROR(__xludf.DUMMYFUNCTION("IFERROR((GOOGLEFINANCE(C350, ""price"") / INDEX(GOOGLEFINANCE(C350, ""price"", EDATE(TODAY(), -12), TODAY()), 2, 2)) - 1, """")"),"")</f>
        <v/>
      </c>
      <c r="Q350" s="6" t="str">
        <f>IFERROR(__xludf.DUMMYFUNCTION("AVERAGE(QUERY(GOOGLEFINANCE(C350, ""price"", TODAY()-80, TODAY()), ""SELECT Col2 WHERE Col2 IS NOT NULL ORDER BY Col1 DESC LIMIT 50"", 0))"),"#N/A")</f>
        <v>#N/A</v>
      </c>
      <c r="R350" s="24" t="str">
        <f>IFERROR(__xludf.DUMMYFUNCTION("IFERROR(
  LET(
    data, QUERY(GOOGLEFINANCE(C350,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GOOGLEFINANCE(C350, ""price"")) * 100,
    IF(calc=0, G350, calc)
  ), 
G350)"),"#N/A")</f>
        <v>#N/A</v>
      </c>
      <c r="S350" s="8" t="s">
        <v>15</v>
      </c>
      <c r="T350" s="26" t="str">
        <f>IFERROR(__xludf.DUMMYFUNCTION("IFERROR(TRANSPOSE(QUERY(IFERROR(SORT(GOOGLEFINANCE(C350, ""price"", WORKDAY(TODAY(), -40), TODAY()), 1, FALSE)), ""select Col2 where Col2 is not null limit 22 label Col2 ''"", 0)), """")"),"")</f>
        <v/>
      </c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8"/>
      <c r="AO350" s="28"/>
      <c r="AP350" s="29"/>
      <c r="AQ350" s="29" t="str">
        <f t="shared" ref="AQ350:BL350" si="353">T350/T$2</f>
        <v>#N/A</v>
      </c>
      <c r="AR350" s="29" t="str">
        <f t="shared" si="353"/>
        <v>#DIV/0!</v>
      </c>
      <c r="AS350" s="29" t="str">
        <f t="shared" si="353"/>
        <v>#DIV/0!</v>
      </c>
      <c r="AT350" s="29" t="str">
        <f t="shared" si="353"/>
        <v>#DIV/0!</v>
      </c>
      <c r="AU350" s="29" t="str">
        <f t="shared" si="353"/>
        <v>#DIV/0!</v>
      </c>
      <c r="AV350" s="29" t="str">
        <f t="shared" si="353"/>
        <v>#DIV/0!</v>
      </c>
      <c r="AW350" s="29" t="str">
        <f t="shared" si="353"/>
        <v>#DIV/0!</v>
      </c>
      <c r="AX350" s="29" t="str">
        <f t="shared" si="353"/>
        <v>#DIV/0!</v>
      </c>
      <c r="AY350" s="29" t="str">
        <f t="shared" si="353"/>
        <v>#DIV/0!</v>
      </c>
      <c r="AZ350" s="29" t="str">
        <f t="shared" si="353"/>
        <v>#DIV/0!</v>
      </c>
      <c r="BA350" s="29" t="str">
        <f t="shared" si="353"/>
        <v>#DIV/0!</v>
      </c>
      <c r="BB350" s="29" t="str">
        <f t="shared" si="353"/>
        <v>#DIV/0!</v>
      </c>
      <c r="BC350" s="29" t="str">
        <f t="shared" si="353"/>
        <v>#DIV/0!</v>
      </c>
      <c r="BD350" s="29" t="str">
        <f t="shared" si="353"/>
        <v>#DIV/0!</v>
      </c>
      <c r="BE350" s="29" t="str">
        <f t="shared" si="353"/>
        <v>#DIV/0!</v>
      </c>
      <c r="BF350" s="29" t="str">
        <f t="shared" si="353"/>
        <v>#DIV/0!</v>
      </c>
      <c r="BG350" s="29" t="str">
        <f t="shared" si="353"/>
        <v>#DIV/0!</v>
      </c>
      <c r="BH350" s="29" t="str">
        <f t="shared" si="353"/>
        <v>#DIV/0!</v>
      </c>
      <c r="BI350" s="29" t="str">
        <f t="shared" si="353"/>
        <v>#DIV/0!</v>
      </c>
      <c r="BJ350" s="29" t="str">
        <f t="shared" si="353"/>
        <v>#DIV/0!</v>
      </c>
      <c r="BK350" s="29" t="str">
        <f t="shared" si="353"/>
        <v>#DIV/0!</v>
      </c>
      <c r="BL350" s="29" t="str">
        <f t="shared" si="353"/>
        <v>#DIV/0!</v>
      </c>
      <c r="BM350" s="29" t="str">
        <f t="shared" si="3"/>
        <v>#DIV/0!</v>
      </c>
    </row>
    <row r="351">
      <c r="A351" s="16" t="str">
        <f>IFERROR(__xludf.DUMMYFUNCTION("IFERROR(SPARKLINE(SORT(MAP(TRANSPOSE(AQ351:BL351), LAMBDA(val, IF(ISNUMBER(val), PERCENTRANK(AQ351:BL351, val)+0.01, 0))), SEQUENCE(COLUMNS(AQ351:BL351)), FALSE), {""charttype"",""column""; ""color"",""chartreuse""; ""ymin"", 0; ""ymax"", 1.01; ""highcolo"&amp;"r"", ""darkgreen""; ""lowcolor"", ""red""}), """")"),"")</f>
        <v/>
      </c>
      <c r="B351" s="17" t="str">
        <f t="shared" si="4"/>
        <v/>
      </c>
      <c r="C351" s="1" t="s">
        <v>2230</v>
      </c>
      <c r="D351" s="30" t="str">
        <f>IFERROR(__xludf.DUMMYFUNCTION("IFERROR(GOOGLEFINANCE(C351, ""NAME""))"),"Eaton Corporation PLC")</f>
        <v>Eaton Corporation PLC</v>
      </c>
      <c r="E351" s="30" t="s">
        <v>893</v>
      </c>
      <c r="F351" s="33" t="str">
        <f>IFERROR(__xludf.DUMMYFUNCTION("( (GOOGLEFINANCE(C351, ""price"") - Q351) / Q351 ) / (R351 / 100)"),"Loading...")</f>
        <v>Loading...</v>
      </c>
      <c r="G351" s="20" t="str">
        <f>IFERROR(__xludf.DUMMYFUNCTION("AVERAGE(ARRAYFORMULA(100 * (QUERY(GOOGLEFINANCE(C351, ""high"", TODAY()-40, TODAY()), ""SELECT Col2 WHERE Col2 IS NOT NULL ORDER BY Col1 DESC LIMIT 20"", 0) / QUERY(GOOGLEFINANCE(C351, ""low"", TODAY()-40, TODAY()), ""SELECT Col2 WHERE Col2 IS NOT NULL OR"&amp;"DER BY Col1 DESC LIMIT 20"", 0) - 1)))"),"#N/A")</f>
        <v>#N/A</v>
      </c>
      <c r="H351" s="35" t="str">
        <f t="shared" si="6"/>
        <v/>
      </c>
      <c r="I351" s="35" t="str">
        <f t="shared" si="7"/>
        <v/>
      </c>
      <c r="J351" s="37" t="str">
        <f>IFERROR(__xludf.DUMMYFUNCTION("IFERROR(
  IF(C351="""",, 
    IFERROR(
      GOOGLEFINANCE(C351, ""price"") * GOOGLEFINANCE(C351, ""volumeavg""), 
      GOOGLEFINANCE(C351, ""price"") * AVERAGE(QUERY(GOOGLEFINANCE(C351, ""volume"", TODAY()-40, TODAY()), ""SELECT Col2 WHERE Col2 IS NOT "&amp;"NULL ORDER BY Col1 DESC LIMIT 20"", 0))
    )
  ), 
"""")"),"")</f>
        <v/>
      </c>
      <c r="K351" s="21" t="str">
        <f>IFERROR(__xludf.DUMMYFUNCTION("IFERROR(GOOGLEFINANCE(C351, ""changepct"") / 100, """")"),"")</f>
        <v/>
      </c>
      <c r="L351" s="21" t="str">
        <f>IFERROR(__xludf.DUMMYFUNCTION("IFERROR((GOOGLEFINANCE(C351, ""price"") / INDEX(GOOGLEFINANCE(C351, ""price"", TODAY()-7, TODAY()), 2, 2)) - 1, """")"),"")</f>
        <v/>
      </c>
      <c r="M351" s="21" t="str">
        <f>IFERROR(__xludf.DUMMYFUNCTION("IFERROR((GOOGLEFINANCE(C351, ""price"") / INDEX(GOOGLEFINANCE(C351, ""price"", EDATE(TODAY(), -1), TODAY()), 2, 2)) - 1, """")"),"")</f>
        <v/>
      </c>
      <c r="N351" s="21" t="str">
        <f>IFERROR(__xludf.DUMMYFUNCTION("IFERROR((GOOGLEFINANCE(C351, ""price"") / INDEX(GOOGLEFINANCE(C351, ""price"", EDATE(TODAY(), -3), TODAY()), 2, 2)) - 1, """")"),"")</f>
        <v/>
      </c>
      <c r="O351" s="21" t="str">
        <f>IFERROR(__xludf.DUMMYFUNCTION("IFERROR((GOOGLEFINANCE(C351, ""price"") / INDEX(GOOGLEFINANCE(C351, ""price"", EDATE(TODAY(), -6), TODAY()), 2, 2)) - 1, """")"),"")</f>
        <v/>
      </c>
      <c r="P351" s="21" t="str">
        <f>IFERROR(__xludf.DUMMYFUNCTION("IFERROR((GOOGLEFINANCE(C351, ""price"") / INDEX(GOOGLEFINANCE(C351, ""price"", EDATE(TODAY(), -12), TODAY()), 2, 2)) - 1, """")"),"")</f>
        <v/>
      </c>
      <c r="Q351" s="6" t="str">
        <f>IFERROR(__xludf.DUMMYFUNCTION("AVERAGE(QUERY(GOOGLEFINANCE(C351, ""price"", TODAY()-80, TODAY()), ""SELECT Col2 WHERE Col2 IS NOT NULL ORDER BY Col1 DESC LIMIT 50"", 0))"),"#N/A")</f>
        <v>#N/A</v>
      </c>
      <c r="R351" s="24" t="str">
        <f>IFERROR(__xludf.DUMMYFUNCTION("IFERROR(
  LET(
    data, QUERY(GOOGLEFINANCE(C351,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GOOGLEFINANCE(C351, ""price"")) * 100,
    IF(calc=0, G351, calc)
  ), 
G351)"),"#N/A")</f>
        <v>#N/A</v>
      </c>
      <c r="S351" s="8" t="s">
        <v>15</v>
      </c>
      <c r="T351" s="26" t="str">
        <f>IFERROR(__xludf.DUMMYFUNCTION("IFERROR(TRANSPOSE(QUERY(IFERROR(SORT(GOOGLEFINANCE(C351, ""price"", WORKDAY(TODAY(), -40), TODAY()), 1, FALSE)), ""select Col2 where Col2 is not null limit 22 label Col2 ''"", 0)), """")"),"")</f>
        <v/>
      </c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8"/>
      <c r="AO351" s="28"/>
      <c r="AP351" s="29"/>
      <c r="AQ351" s="29" t="str">
        <f t="shared" ref="AQ351:BL351" si="354">T351/T$2</f>
        <v>#N/A</v>
      </c>
      <c r="AR351" s="29" t="str">
        <f t="shared" si="354"/>
        <v>#DIV/0!</v>
      </c>
      <c r="AS351" s="29" t="str">
        <f t="shared" si="354"/>
        <v>#DIV/0!</v>
      </c>
      <c r="AT351" s="29" t="str">
        <f t="shared" si="354"/>
        <v>#DIV/0!</v>
      </c>
      <c r="AU351" s="29" t="str">
        <f t="shared" si="354"/>
        <v>#DIV/0!</v>
      </c>
      <c r="AV351" s="29" t="str">
        <f t="shared" si="354"/>
        <v>#DIV/0!</v>
      </c>
      <c r="AW351" s="29" t="str">
        <f t="shared" si="354"/>
        <v>#DIV/0!</v>
      </c>
      <c r="AX351" s="29" t="str">
        <f t="shared" si="354"/>
        <v>#DIV/0!</v>
      </c>
      <c r="AY351" s="29" t="str">
        <f t="shared" si="354"/>
        <v>#DIV/0!</v>
      </c>
      <c r="AZ351" s="29" t="str">
        <f t="shared" si="354"/>
        <v>#DIV/0!</v>
      </c>
      <c r="BA351" s="29" t="str">
        <f t="shared" si="354"/>
        <v>#DIV/0!</v>
      </c>
      <c r="BB351" s="29" t="str">
        <f t="shared" si="354"/>
        <v>#DIV/0!</v>
      </c>
      <c r="BC351" s="29" t="str">
        <f t="shared" si="354"/>
        <v>#DIV/0!</v>
      </c>
      <c r="BD351" s="29" t="str">
        <f t="shared" si="354"/>
        <v>#DIV/0!</v>
      </c>
      <c r="BE351" s="29" t="str">
        <f t="shared" si="354"/>
        <v>#DIV/0!</v>
      </c>
      <c r="BF351" s="29" t="str">
        <f t="shared" si="354"/>
        <v>#DIV/0!</v>
      </c>
      <c r="BG351" s="29" t="str">
        <f t="shared" si="354"/>
        <v>#DIV/0!</v>
      </c>
      <c r="BH351" s="29" t="str">
        <f t="shared" si="354"/>
        <v>#DIV/0!</v>
      </c>
      <c r="BI351" s="29" t="str">
        <f t="shared" si="354"/>
        <v>#DIV/0!</v>
      </c>
      <c r="BJ351" s="29" t="str">
        <f t="shared" si="354"/>
        <v>#DIV/0!</v>
      </c>
      <c r="BK351" s="29" t="str">
        <f t="shared" si="354"/>
        <v>#DIV/0!</v>
      </c>
      <c r="BL351" s="29" t="str">
        <f t="shared" si="354"/>
        <v>#DIV/0!</v>
      </c>
      <c r="BM351" s="29" t="str">
        <f t="shared" si="3"/>
        <v>#DIV/0!</v>
      </c>
    </row>
    <row r="352">
      <c r="A352" s="16" t="str">
        <f>IFERROR(__xludf.DUMMYFUNCTION("IFERROR(SPARKLINE(SORT(MAP(TRANSPOSE(AQ352:BL352), LAMBDA(val, IF(ISNUMBER(val), PERCENTRANK(AQ352:BL352, val)+0.01, 0))), SEQUENCE(COLUMNS(AQ352:BL352)), FALSE), {""charttype"",""column""; ""color"",""chartreuse""; ""ymin"", 0; ""ymax"", 1.01; ""highcolo"&amp;"r"", ""darkgreen""; ""lowcolor"", ""red""}), """")"),"")</f>
        <v/>
      </c>
      <c r="B352" s="17" t="str">
        <f t="shared" si="4"/>
        <v/>
      </c>
      <c r="C352" s="1" t="s">
        <v>2234</v>
      </c>
      <c r="D352" s="30" t="str">
        <f>IFERROR(__xludf.DUMMYFUNCTION("IFERROR(GOOGLEFINANCE(C352, ""NAME""))"),"Watsco Inc")</f>
        <v>Watsco Inc</v>
      </c>
      <c r="E352" s="30" t="s">
        <v>829</v>
      </c>
      <c r="F352" s="33" t="str">
        <f>IFERROR(__xludf.DUMMYFUNCTION("( (GOOGLEFINANCE(C352, ""price"") - Q352) / Q352 ) / (R352 / 100)"),"Loading...")</f>
        <v>Loading...</v>
      </c>
      <c r="G352" s="20" t="str">
        <f>IFERROR(__xludf.DUMMYFUNCTION("AVERAGE(ARRAYFORMULA(100 * (QUERY(GOOGLEFINANCE(C352, ""high"", TODAY()-40, TODAY()), ""SELECT Col2 WHERE Col2 IS NOT NULL ORDER BY Col1 DESC LIMIT 20"", 0) / QUERY(GOOGLEFINANCE(C352, ""low"", TODAY()-40, TODAY()), ""SELECT Col2 WHERE Col2 IS NOT NULL OR"&amp;"DER BY Col1 DESC LIMIT 20"", 0) - 1)))"),"#N/A")</f>
        <v>#N/A</v>
      </c>
      <c r="H352" s="35" t="str">
        <f t="shared" si="6"/>
        <v/>
      </c>
      <c r="I352" s="35" t="str">
        <f t="shared" si="7"/>
        <v/>
      </c>
      <c r="J352" s="37" t="str">
        <f>IFERROR(__xludf.DUMMYFUNCTION("IFERROR(
  IF(C352="""",, 
    IFERROR(
      GOOGLEFINANCE(C352, ""price"") * GOOGLEFINANCE(C352, ""volumeavg""), 
      GOOGLEFINANCE(C352, ""price"") * AVERAGE(QUERY(GOOGLEFINANCE(C352, ""volume"", TODAY()-40, TODAY()), ""SELECT Col2 WHERE Col2 IS NOT "&amp;"NULL ORDER BY Col1 DESC LIMIT 20"", 0))
    )
  ), 
"""")"),"")</f>
        <v/>
      </c>
      <c r="K352" s="21" t="str">
        <f>IFERROR(__xludf.DUMMYFUNCTION("IFERROR(GOOGLEFINANCE(C352, ""changepct"") / 100, """")"),"")</f>
        <v/>
      </c>
      <c r="L352" s="21" t="str">
        <f>IFERROR(__xludf.DUMMYFUNCTION("IFERROR((GOOGLEFINANCE(C352, ""price"") / INDEX(GOOGLEFINANCE(C352, ""price"", TODAY()-7, TODAY()), 2, 2)) - 1, """")"),"")</f>
        <v/>
      </c>
      <c r="M352" s="21" t="str">
        <f>IFERROR(__xludf.DUMMYFUNCTION("IFERROR((GOOGLEFINANCE(C352, ""price"") / INDEX(GOOGLEFINANCE(C352, ""price"", EDATE(TODAY(), -1), TODAY()), 2, 2)) - 1, """")"),"")</f>
        <v/>
      </c>
      <c r="N352" s="21" t="str">
        <f>IFERROR(__xludf.DUMMYFUNCTION("IFERROR((GOOGLEFINANCE(C352, ""price"") / INDEX(GOOGLEFINANCE(C352, ""price"", EDATE(TODAY(), -3), TODAY()), 2, 2)) - 1, """")"),"")</f>
        <v/>
      </c>
      <c r="O352" s="21" t="str">
        <f>IFERROR(__xludf.DUMMYFUNCTION("IFERROR((GOOGLEFINANCE(C352, ""price"") / INDEX(GOOGLEFINANCE(C352, ""price"", EDATE(TODAY(), -6), TODAY()), 2, 2)) - 1, """")"),"")</f>
        <v/>
      </c>
      <c r="P352" s="21" t="str">
        <f>IFERROR(__xludf.DUMMYFUNCTION("IFERROR((GOOGLEFINANCE(C352, ""price"") / INDEX(GOOGLEFINANCE(C352, ""price"", EDATE(TODAY(), -12), TODAY()), 2, 2)) - 1, """")"),"")</f>
        <v/>
      </c>
      <c r="Q352" s="6" t="str">
        <f>IFERROR(__xludf.DUMMYFUNCTION("AVERAGE(QUERY(GOOGLEFINANCE(C352, ""price"", TODAY()-80, TODAY()), ""SELECT Col2 WHERE Col2 IS NOT NULL ORDER BY Col1 DESC LIMIT 50"", 0))"),"#N/A")</f>
        <v>#N/A</v>
      </c>
      <c r="R352" s="24" t="str">
        <f>IFERROR(__xludf.DUMMYFUNCTION("IFERROR(
  LET(
    data, QUERY(GOOGLEFINANCE(C352,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GOOGLEFINANCE(C352, ""price"")) * 100,
    IF(calc=0, G352, calc)
  ), 
G352)"),"#N/A")</f>
        <v>#N/A</v>
      </c>
      <c r="S352" s="8" t="s">
        <v>15</v>
      </c>
      <c r="T352" s="26" t="str">
        <f>IFERROR(__xludf.DUMMYFUNCTION("IFERROR(TRANSPOSE(QUERY(IFERROR(SORT(GOOGLEFINANCE(C352, ""price"", WORKDAY(TODAY(), -40), TODAY()), 1, FALSE)), ""select Col2 where Col2 is not null limit 22 label Col2 ''"", 0)), """")"),"")</f>
        <v/>
      </c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8"/>
      <c r="AO352" s="28"/>
      <c r="AP352" s="29"/>
      <c r="AQ352" s="29" t="str">
        <f t="shared" ref="AQ352:BL352" si="355">T352/T$2</f>
        <v>#N/A</v>
      </c>
      <c r="AR352" s="29" t="str">
        <f t="shared" si="355"/>
        <v>#DIV/0!</v>
      </c>
      <c r="AS352" s="29" t="str">
        <f t="shared" si="355"/>
        <v>#DIV/0!</v>
      </c>
      <c r="AT352" s="29" t="str">
        <f t="shared" si="355"/>
        <v>#DIV/0!</v>
      </c>
      <c r="AU352" s="29" t="str">
        <f t="shared" si="355"/>
        <v>#DIV/0!</v>
      </c>
      <c r="AV352" s="29" t="str">
        <f t="shared" si="355"/>
        <v>#DIV/0!</v>
      </c>
      <c r="AW352" s="29" t="str">
        <f t="shared" si="355"/>
        <v>#DIV/0!</v>
      </c>
      <c r="AX352" s="29" t="str">
        <f t="shared" si="355"/>
        <v>#DIV/0!</v>
      </c>
      <c r="AY352" s="29" t="str">
        <f t="shared" si="355"/>
        <v>#DIV/0!</v>
      </c>
      <c r="AZ352" s="29" t="str">
        <f t="shared" si="355"/>
        <v>#DIV/0!</v>
      </c>
      <c r="BA352" s="29" t="str">
        <f t="shared" si="355"/>
        <v>#DIV/0!</v>
      </c>
      <c r="BB352" s="29" t="str">
        <f t="shared" si="355"/>
        <v>#DIV/0!</v>
      </c>
      <c r="BC352" s="29" t="str">
        <f t="shared" si="355"/>
        <v>#DIV/0!</v>
      </c>
      <c r="BD352" s="29" t="str">
        <f t="shared" si="355"/>
        <v>#DIV/0!</v>
      </c>
      <c r="BE352" s="29" t="str">
        <f t="shared" si="355"/>
        <v>#DIV/0!</v>
      </c>
      <c r="BF352" s="29" t="str">
        <f t="shared" si="355"/>
        <v>#DIV/0!</v>
      </c>
      <c r="BG352" s="29" t="str">
        <f t="shared" si="355"/>
        <v>#DIV/0!</v>
      </c>
      <c r="BH352" s="29" t="str">
        <f t="shared" si="355"/>
        <v>#DIV/0!</v>
      </c>
      <c r="BI352" s="29" t="str">
        <f t="shared" si="355"/>
        <v>#DIV/0!</v>
      </c>
      <c r="BJ352" s="29" t="str">
        <f t="shared" si="355"/>
        <v>#DIV/0!</v>
      </c>
      <c r="BK352" s="29" t="str">
        <f t="shared" si="355"/>
        <v>#DIV/0!</v>
      </c>
      <c r="BL352" s="29" t="str">
        <f t="shared" si="355"/>
        <v>#DIV/0!</v>
      </c>
      <c r="BM352" s="29" t="str">
        <f t="shared" si="3"/>
        <v>#DIV/0!</v>
      </c>
    </row>
    <row r="353">
      <c r="A353" s="16" t="str">
        <f>IFERROR(__xludf.DUMMYFUNCTION("IFERROR(SPARKLINE(SORT(MAP(TRANSPOSE(AQ353:BL353), LAMBDA(val, IF(ISNUMBER(val), PERCENTRANK(AQ353:BL353, val)+0.01, 0))), SEQUENCE(COLUMNS(AQ353:BL353)), FALSE), {""charttype"",""column""; ""color"",""chartreuse""; ""ymin"", 0; ""ymax"", 1.01; ""highcolo"&amp;"r"", ""darkgreen""; ""lowcolor"", ""red""}), """")"),"")</f>
        <v/>
      </c>
      <c r="B353" s="17" t="str">
        <f t="shared" si="4"/>
        <v/>
      </c>
      <c r="C353" s="1" t="s">
        <v>2238</v>
      </c>
      <c r="D353" s="30" t="str">
        <f>IFERROR(__xludf.DUMMYFUNCTION("IFERROR(GOOGLEFINANCE(C353, ""NAME""))"),"ITT Inc")</f>
        <v>ITT Inc</v>
      </c>
      <c r="E353" s="30" t="s">
        <v>893</v>
      </c>
      <c r="F353" s="33" t="str">
        <f>IFERROR(__xludf.DUMMYFUNCTION("( (GOOGLEFINANCE(C353, ""price"") - Q353) / Q353 ) / (R353 / 100)"),"Loading...")</f>
        <v>Loading...</v>
      </c>
      <c r="G353" s="20" t="str">
        <f>IFERROR(__xludf.DUMMYFUNCTION("AVERAGE(ARRAYFORMULA(100 * (QUERY(GOOGLEFINANCE(C353, ""high"", TODAY()-40, TODAY()), ""SELECT Col2 WHERE Col2 IS NOT NULL ORDER BY Col1 DESC LIMIT 20"", 0) / QUERY(GOOGLEFINANCE(C353, ""low"", TODAY()-40, TODAY()), ""SELECT Col2 WHERE Col2 IS NOT NULL OR"&amp;"DER BY Col1 DESC LIMIT 20"", 0) - 1)))"),"#N/A")</f>
        <v>#N/A</v>
      </c>
      <c r="H353" s="35" t="str">
        <f t="shared" si="6"/>
        <v/>
      </c>
      <c r="I353" s="35" t="str">
        <f t="shared" si="7"/>
        <v/>
      </c>
      <c r="J353" s="37" t="str">
        <f>IFERROR(__xludf.DUMMYFUNCTION("IFERROR(
  IF(C353="""",, 
    IFERROR(
      GOOGLEFINANCE(C353, ""price"") * GOOGLEFINANCE(C353, ""volumeavg""), 
      GOOGLEFINANCE(C353, ""price"") * AVERAGE(QUERY(GOOGLEFINANCE(C353, ""volume"", TODAY()-40, TODAY()), ""SELECT Col2 WHERE Col2 IS NOT "&amp;"NULL ORDER BY Col1 DESC LIMIT 20"", 0))
    )
  ), 
"""")"),"")</f>
        <v/>
      </c>
      <c r="K353" s="21" t="str">
        <f>IFERROR(__xludf.DUMMYFUNCTION("IFERROR(GOOGLEFINANCE(C353, ""changepct"") / 100, """")"),"")</f>
        <v/>
      </c>
      <c r="L353" s="21" t="str">
        <f>IFERROR(__xludf.DUMMYFUNCTION("IFERROR((GOOGLEFINANCE(C353, ""price"") / INDEX(GOOGLEFINANCE(C353, ""price"", TODAY()-7, TODAY()), 2, 2)) - 1, """")"),"")</f>
        <v/>
      </c>
      <c r="M353" s="21" t="str">
        <f>IFERROR(__xludf.DUMMYFUNCTION("IFERROR((GOOGLEFINANCE(C353, ""price"") / INDEX(GOOGLEFINANCE(C353, ""price"", EDATE(TODAY(), -1), TODAY()), 2, 2)) - 1, """")"),"")</f>
        <v/>
      </c>
      <c r="N353" s="21" t="str">
        <f>IFERROR(__xludf.DUMMYFUNCTION("IFERROR((GOOGLEFINANCE(C353, ""price"") / INDEX(GOOGLEFINANCE(C353, ""price"", EDATE(TODAY(), -3), TODAY()), 2, 2)) - 1, """")"),"")</f>
        <v/>
      </c>
      <c r="O353" s="21" t="str">
        <f>IFERROR(__xludf.DUMMYFUNCTION("IFERROR((GOOGLEFINANCE(C353, ""price"") / INDEX(GOOGLEFINANCE(C353, ""price"", EDATE(TODAY(), -6), TODAY()), 2, 2)) - 1, """")"),"")</f>
        <v/>
      </c>
      <c r="P353" s="21" t="str">
        <f>IFERROR(__xludf.DUMMYFUNCTION("IFERROR((GOOGLEFINANCE(C353, ""price"") / INDEX(GOOGLEFINANCE(C353, ""price"", EDATE(TODAY(), -12), TODAY()), 2, 2)) - 1, """")"),"")</f>
        <v/>
      </c>
      <c r="Q353" s="6" t="str">
        <f>IFERROR(__xludf.DUMMYFUNCTION("AVERAGE(QUERY(GOOGLEFINANCE(C353, ""price"", TODAY()-80, TODAY()), ""SELECT Col2 WHERE Col2 IS NOT NULL ORDER BY Col1 DESC LIMIT 50"", 0))"),"#N/A")</f>
        <v>#N/A</v>
      </c>
      <c r="R353" s="24" t="str">
        <f>IFERROR(__xludf.DUMMYFUNCTION("IFERROR(
  LET(
    data, QUERY(GOOGLEFINANCE(C353,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GOOGLEFINANCE(C353, ""price"")) * 100,
    IF(calc=0, G353, calc)
  ), 
G353)"),"#N/A")</f>
        <v>#N/A</v>
      </c>
      <c r="S353" s="8" t="s">
        <v>15</v>
      </c>
      <c r="T353" s="26" t="str">
        <f>IFERROR(__xludf.DUMMYFUNCTION("IFERROR(TRANSPOSE(QUERY(IFERROR(SORT(GOOGLEFINANCE(C353, ""price"", WORKDAY(TODAY(), -40), TODAY()), 1, FALSE)), ""select Col2 where Col2 is not null limit 22 label Col2 ''"", 0)), """")"),"")</f>
        <v/>
      </c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8"/>
      <c r="AO353" s="28"/>
      <c r="AP353" s="29"/>
      <c r="AQ353" s="29" t="str">
        <f t="shared" ref="AQ353:BL353" si="356">T353/T$2</f>
        <v>#N/A</v>
      </c>
      <c r="AR353" s="29" t="str">
        <f t="shared" si="356"/>
        <v>#DIV/0!</v>
      </c>
      <c r="AS353" s="29" t="str">
        <f t="shared" si="356"/>
        <v>#DIV/0!</v>
      </c>
      <c r="AT353" s="29" t="str">
        <f t="shared" si="356"/>
        <v>#DIV/0!</v>
      </c>
      <c r="AU353" s="29" t="str">
        <f t="shared" si="356"/>
        <v>#DIV/0!</v>
      </c>
      <c r="AV353" s="29" t="str">
        <f t="shared" si="356"/>
        <v>#DIV/0!</v>
      </c>
      <c r="AW353" s="29" t="str">
        <f t="shared" si="356"/>
        <v>#DIV/0!</v>
      </c>
      <c r="AX353" s="29" t="str">
        <f t="shared" si="356"/>
        <v>#DIV/0!</v>
      </c>
      <c r="AY353" s="29" t="str">
        <f t="shared" si="356"/>
        <v>#DIV/0!</v>
      </c>
      <c r="AZ353" s="29" t="str">
        <f t="shared" si="356"/>
        <v>#DIV/0!</v>
      </c>
      <c r="BA353" s="29" t="str">
        <f t="shared" si="356"/>
        <v>#DIV/0!</v>
      </c>
      <c r="BB353" s="29" t="str">
        <f t="shared" si="356"/>
        <v>#DIV/0!</v>
      </c>
      <c r="BC353" s="29" t="str">
        <f t="shared" si="356"/>
        <v>#DIV/0!</v>
      </c>
      <c r="BD353" s="29" t="str">
        <f t="shared" si="356"/>
        <v>#DIV/0!</v>
      </c>
      <c r="BE353" s="29" t="str">
        <f t="shared" si="356"/>
        <v>#DIV/0!</v>
      </c>
      <c r="BF353" s="29" t="str">
        <f t="shared" si="356"/>
        <v>#DIV/0!</v>
      </c>
      <c r="BG353" s="29" t="str">
        <f t="shared" si="356"/>
        <v>#DIV/0!</v>
      </c>
      <c r="BH353" s="29" t="str">
        <f t="shared" si="356"/>
        <v>#DIV/0!</v>
      </c>
      <c r="BI353" s="29" t="str">
        <f t="shared" si="356"/>
        <v>#DIV/0!</v>
      </c>
      <c r="BJ353" s="29" t="str">
        <f t="shared" si="356"/>
        <v>#DIV/0!</v>
      </c>
      <c r="BK353" s="29" t="str">
        <f t="shared" si="356"/>
        <v>#DIV/0!</v>
      </c>
      <c r="BL353" s="29" t="str">
        <f t="shared" si="356"/>
        <v>#DIV/0!</v>
      </c>
      <c r="BM353" s="29" t="str">
        <f t="shared" si="3"/>
        <v>#DIV/0!</v>
      </c>
    </row>
    <row r="354">
      <c r="A354" s="16" t="str">
        <f>IFERROR(__xludf.DUMMYFUNCTION("IFERROR(SPARKLINE(SORT(MAP(TRANSPOSE(AQ354:BL354), LAMBDA(val, IF(ISNUMBER(val), PERCENTRANK(AQ354:BL354, val)+0.01, 0))), SEQUENCE(COLUMNS(AQ354:BL354)), FALSE), {""charttype"",""column""; ""color"",""chartreuse""; ""ymin"", 0; ""ymax"", 1.01; ""highcolo"&amp;"r"", ""darkgreen""; ""lowcolor"", ""red""}), """")"),"")</f>
        <v/>
      </c>
      <c r="B354" s="17" t="str">
        <f t="shared" si="4"/>
        <v/>
      </c>
      <c r="C354" s="1" t="s">
        <v>2242</v>
      </c>
      <c r="D354" s="30" t="str">
        <f>IFERROR(__xludf.DUMMYFUNCTION("IFERROR(GOOGLEFINANCE(C354, ""NAME""))"),"Flowserve Corp")</f>
        <v>Flowserve Corp</v>
      </c>
      <c r="E354" s="30" t="s">
        <v>893</v>
      </c>
      <c r="F354" s="38" t="str">
        <f>IFERROR(__xludf.DUMMYFUNCTION("( (GOOGLEFINANCE(C354, ""price"") - Q354) / Q354 ) / (R354 / 100)"),"Loading...")</f>
        <v>Loading...</v>
      </c>
      <c r="G354" s="20" t="str">
        <f>IFERROR(__xludf.DUMMYFUNCTION("AVERAGE(ARRAYFORMULA(100 * (QUERY(GOOGLEFINANCE(C354, ""high"", TODAY()-40, TODAY()), ""SELECT Col2 WHERE Col2 IS NOT NULL ORDER BY Col1 DESC LIMIT 20"", 0) / QUERY(GOOGLEFINANCE(C354, ""low"", TODAY()-40, TODAY()), ""SELECT Col2 WHERE Col2 IS NOT NULL OR"&amp;"DER BY Col1 DESC LIMIT 20"", 0) - 1)))"),"#N/A")</f>
        <v>#N/A</v>
      </c>
      <c r="H354" s="35" t="str">
        <f t="shared" si="6"/>
        <v/>
      </c>
      <c r="I354" s="35" t="str">
        <f t="shared" si="7"/>
        <v/>
      </c>
      <c r="J354" s="37" t="str">
        <f>IFERROR(__xludf.DUMMYFUNCTION("IFERROR(
  IF(C354="""",, 
    IFERROR(
      GOOGLEFINANCE(C354, ""price"") * GOOGLEFINANCE(C354, ""volumeavg""), 
      GOOGLEFINANCE(C354, ""price"") * AVERAGE(QUERY(GOOGLEFINANCE(C354, ""volume"", TODAY()-40, TODAY()), ""SELECT Col2 WHERE Col2 IS NOT "&amp;"NULL ORDER BY Col1 DESC LIMIT 20"", 0))
    )
  ), 
"""")"),"")</f>
        <v/>
      </c>
      <c r="K354" s="21" t="str">
        <f>IFERROR(__xludf.DUMMYFUNCTION("IFERROR(GOOGLEFINANCE(C354, ""changepct"") / 100, """")"),"")</f>
        <v/>
      </c>
      <c r="L354" s="21" t="str">
        <f>IFERROR(__xludf.DUMMYFUNCTION("IFERROR((GOOGLEFINANCE(C354, ""price"") / INDEX(GOOGLEFINANCE(C354, ""price"", TODAY()-7, TODAY()), 2, 2)) - 1, """")"),"")</f>
        <v/>
      </c>
      <c r="M354" s="21" t="str">
        <f>IFERROR(__xludf.DUMMYFUNCTION("IFERROR((GOOGLEFINANCE(C354, ""price"") / INDEX(GOOGLEFINANCE(C354, ""price"", EDATE(TODAY(), -1), TODAY()), 2, 2)) - 1, """")"),"")</f>
        <v/>
      </c>
      <c r="N354" s="21" t="str">
        <f>IFERROR(__xludf.DUMMYFUNCTION("IFERROR((GOOGLEFINANCE(C354, ""price"") / INDEX(GOOGLEFINANCE(C354, ""price"", EDATE(TODAY(), -3), TODAY()), 2, 2)) - 1, """")"),"")</f>
        <v/>
      </c>
      <c r="O354" s="21" t="str">
        <f>IFERROR(__xludf.DUMMYFUNCTION("IFERROR((GOOGLEFINANCE(C354, ""price"") / INDEX(GOOGLEFINANCE(C354, ""price"", EDATE(TODAY(), -6), TODAY()), 2, 2)) - 1, """")"),"")</f>
        <v/>
      </c>
      <c r="P354" s="21" t="str">
        <f>IFERROR(__xludf.DUMMYFUNCTION("IFERROR((GOOGLEFINANCE(C354, ""price"") / INDEX(GOOGLEFINANCE(C354, ""price"", EDATE(TODAY(), -12), TODAY()), 2, 2)) - 1, """")"),"")</f>
        <v/>
      </c>
      <c r="Q354" s="6" t="str">
        <f>IFERROR(__xludf.DUMMYFUNCTION("AVERAGE(QUERY(GOOGLEFINANCE(C354, ""price"", TODAY()-80, TODAY()), ""SELECT Col2 WHERE Col2 IS NOT NULL ORDER BY Col1 DESC LIMIT 50"", 0))"),"#N/A")</f>
        <v>#N/A</v>
      </c>
      <c r="R354" s="24" t="str">
        <f>IFERROR(__xludf.DUMMYFUNCTION("IFERROR(
  LET(
    data, QUERY(GOOGLEFINANCE(C354,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GOOGLEFINANCE(C354, ""price"")) * 100,
    IF(calc=0, G354, calc)
  ), 
G354)"),"#N/A")</f>
        <v>#N/A</v>
      </c>
      <c r="S354" s="8" t="s">
        <v>15</v>
      </c>
      <c r="T354" s="26" t="str">
        <f>IFERROR(__xludf.DUMMYFUNCTION("IFERROR(TRANSPOSE(QUERY(IFERROR(SORT(GOOGLEFINANCE(C354, ""price"", WORKDAY(TODAY(), -40), TODAY()), 1, FALSE)), ""select Col2 where Col2 is not null limit 22 label Col2 ''"", 0)), """")"),"")</f>
        <v/>
      </c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8"/>
      <c r="AO354" s="28"/>
      <c r="AP354" s="29"/>
      <c r="AQ354" s="29" t="str">
        <f t="shared" ref="AQ354:BL354" si="357">T354/T$2</f>
        <v>#N/A</v>
      </c>
      <c r="AR354" s="29" t="str">
        <f t="shared" si="357"/>
        <v>#DIV/0!</v>
      </c>
      <c r="AS354" s="29" t="str">
        <f t="shared" si="357"/>
        <v>#DIV/0!</v>
      </c>
      <c r="AT354" s="29" t="str">
        <f t="shared" si="357"/>
        <v>#DIV/0!</v>
      </c>
      <c r="AU354" s="29" t="str">
        <f t="shared" si="357"/>
        <v>#DIV/0!</v>
      </c>
      <c r="AV354" s="29" t="str">
        <f t="shared" si="357"/>
        <v>#DIV/0!</v>
      </c>
      <c r="AW354" s="29" t="str">
        <f t="shared" si="357"/>
        <v>#DIV/0!</v>
      </c>
      <c r="AX354" s="29" t="str">
        <f t="shared" si="357"/>
        <v>#DIV/0!</v>
      </c>
      <c r="AY354" s="29" t="str">
        <f t="shared" si="357"/>
        <v>#DIV/0!</v>
      </c>
      <c r="AZ354" s="29" t="str">
        <f t="shared" si="357"/>
        <v>#DIV/0!</v>
      </c>
      <c r="BA354" s="29" t="str">
        <f t="shared" si="357"/>
        <v>#DIV/0!</v>
      </c>
      <c r="BB354" s="29" t="str">
        <f t="shared" si="357"/>
        <v>#DIV/0!</v>
      </c>
      <c r="BC354" s="29" t="str">
        <f t="shared" si="357"/>
        <v>#DIV/0!</v>
      </c>
      <c r="BD354" s="29" t="str">
        <f t="shared" si="357"/>
        <v>#DIV/0!</v>
      </c>
      <c r="BE354" s="29" t="str">
        <f t="shared" si="357"/>
        <v>#DIV/0!</v>
      </c>
      <c r="BF354" s="29" t="str">
        <f t="shared" si="357"/>
        <v>#DIV/0!</v>
      </c>
      <c r="BG354" s="29" t="str">
        <f t="shared" si="357"/>
        <v>#DIV/0!</v>
      </c>
      <c r="BH354" s="29" t="str">
        <f t="shared" si="357"/>
        <v>#DIV/0!</v>
      </c>
      <c r="BI354" s="29" t="str">
        <f t="shared" si="357"/>
        <v>#DIV/0!</v>
      </c>
      <c r="BJ354" s="29" t="str">
        <f t="shared" si="357"/>
        <v>#DIV/0!</v>
      </c>
      <c r="BK354" s="29" t="str">
        <f t="shared" si="357"/>
        <v>#DIV/0!</v>
      </c>
      <c r="BL354" s="29" t="str">
        <f t="shared" si="357"/>
        <v>#DIV/0!</v>
      </c>
      <c r="BM354" s="29" t="str">
        <f t="shared" si="3"/>
        <v>#DIV/0!</v>
      </c>
    </row>
    <row r="355">
      <c r="A355" s="16" t="str">
        <f>IFERROR(__xludf.DUMMYFUNCTION("IFERROR(SPARKLINE(SORT(MAP(TRANSPOSE(AQ355:BL355), LAMBDA(val, IF(ISNUMBER(val), PERCENTRANK(AQ355:BL355, val)+0.01, 0))), SEQUENCE(COLUMNS(AQ355:BL355)), FALSE), {""charttype"",""column""; ""color"",""chartreuse""; ""ymin"", 0; ""ymax"", 1.01; ""highcolo"&amp;"r"", ""darkgreen""; ""lowcolor"", ""red""}), """")"),"")</f>
        <v/>
      </c>
      <c r="B355" s="17" t="str">
        <f t="shared" si="4"/>
        <v/>
      </c>
      <c r="C355" s="1" t="s">
        <v>2246</v>
      </c>
      <c r="D355" s="30" t="str">
        <f>IFERROR(__xludf.DUMMYFUNCTION("IFERROR(GOOGLEFINANCE(C355, ""NAME""))"),"Advanced Drainage Systems Inc")</f>
        <v>Advanced Drainage Systems Inc</v>
      </c>
      <c r="E355" s="30" t="s">
        <v>968</v>
      </c>
      <c r="F355" s="33" t="str">
        <f>IFERROR(__xludf.DUMMYFUNCTION("( (GOOGLEFINANCE(C355, ""price"") - Q355) / Q355 ) / (R355 / 100)"),"Loading...")</f>
        <v>Loading...</v>
      </c>
      <c r="G355" s="20" t="str">
        <f>IFERROR(__xludf.DUMMYFUNCTION("AVERAGE(ARRAYFORMULA(100 * (QUERY(GOOGLEFINANCE(C355, ""high"", TODAY()-40, TODAY()), ""SELECT Col2 WHERE Col2 IS NOT NULL ORDER BY Col1 DESC LIMIT 20"", 0) / QUERY(GOOGLEFINANCE(C355, ""low"", TODAY()-40, TODAY()), ""SELECT Col2 WHERE Col2 IS NOT NULL OR"&amp;"DER BY Col1 DESC LIMIT 20"", 0) - 1)))"),"#N/A")</f>
        <v>#N/A</v>
      </c>
      <c r="H355" s="35" t="str">
        <f t="shared" si="6"/>
        <v/>
      </c>
      <c r="I355" s="35" t="str">
        <f t="shared" si="7"/>
        <v/>
      </c>
      <c r="J355" s="37" t="str">
        <f>IFERROR(__xludf.DUMMYFUNCTION("IFERROR(
  IF(C355="""",, 
    IFERROR(
      GOOGLEFINANCE(C355, ""price"") * GOOGLEFINANCE(C355, ""volumeavg""), 
      GOOGLEFINANCE(C355, ""price"") * AVERAGE(QUERY(GOOGLEFINANCE(C355, ""volume"", TODAY()-40, TODAY()), ""SELECT Col2 WHERE Col2 IS NOT "&amp;"NULL ORDER BY Col1 DESC LIMIT 20"", 0))
    )
  ), 
"""")"),"")</f>
        <v/>
      </c>
      <c r="K355" s="21" t="str">
        <f>IFERROR(__xludf.DUMMYFUNCTION("IFERROR(GOOGLEFINANCE(C355, ""changepct"") / 100, """")"),"")</f>
        <v/>
      </c>
      <c r="L355" s="21" t="str">
        <f>IFERROR(__xludf.DUMMYFUNCTION("IFERROR((GOOGLEFINANCE(C355, ""price"") / INDEX(GOOGLEFINANCE(C355, ""price"", TODAY()-7, TODAY()), 2, 2)) - 1, """")"),"")</f>
        <v/>
      </c>
      <c r="M355" s="21" t="str">
        <f>IFERROR(__xludf.DUMMYFUNCTION("IFERROR((GOOGLEFINANCE(C355, ""price"") / INDEX(GOOGLEFINANCE(C355, ""price"", EDATE(TODAY(), -1), TODAY()), 2, 2)) - 1, """")"),"")</f>
        <v/>
      </c>
      <c r="N355" s="21" t="str">
        <f>IFERROR(__xludf.DUMMYFUNCTION("IFERROR((GOOGLEFINANCE(C355, ""price"") / INDEX(GOOGLEFINANCE(C355, ""price"", EDATE(TODAY(), -3), TODAY()), 2, 2)) - 1, """")"),"")</f>
        <v/>
      </c>
      <c r="O355" s="21" t="str">
        <f>IFERROR(__xludf.DUMMYFUNCTION("IFERROR((GOOGLEFINANCE(C355, ""price"") / INDEX(GOOGLEFINANCE(C355, ""price"", EDATE(TODAY(), -6), TODAY()), 2, 2)) - 1, """")"),"")</f>
        <v/>
      </c>
      <c r="P355" s="21" t="str">
        <f>IFERROR(__xludf.DUMMYFUNCTION("IFERROR((GOOGLEFINANCE(C355, ""price"") / INDEX(GOOGLEFINANCE(C355, ""price"", EDATE(TODAY(), -12), TODAY()), 2, 2)) - 1, """")"),"")</f>
        <v/>
      </c>
      <c r="Q355" s="6" t="str">
        <f>IFERROR(__xludf.DUMMYFUNCTION("AVERAGE(QUERY(GOOGLEFINANCE(C355, ""price"", TODAY()-80, TODAY()), ""SELECT Col2 WHERE Col2 IS NOT NULL ORDER BY Col1 DESC LIMIT 50"", 0))"),"#N/A")</f>
        <v>#N/A</v>
      </c>
      <c r="R355" s="24" t="str">
        <f>IFERROR(__xludf.DUMMYFUNCTION("IFERROR(
  LET(
    data, QUERY(GOOGLEFINANCE(C355,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GOOGLEFINANCE(C355, ""price"")) * 100,
    IF(calc=0, G355, calc)
  ), 
G355)"),"#N/A")</f>
        <v>#N/A</v>
      </c>
      <c r="S355" s="8" t="s">
        <v>15</v>
      </c>
      <c r="T355" s="26" t="str">
        <f>IFERROR(__xludf.DUMMYFUNCTION("IFERROR(TRANSPOSE(QUERY(IFERROR(SORT(GOOGLEFINANCE(C355, ""price"", WORKDAY(TODAY(), -40), TODAY()), 1, FALSE)), ""select Col2 where Col2 is not null limit 22 label Col2 ''"", 0)), """")"),"")</f>
        <v/>
      </c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8"/>
      <c r="AO355" s="28"/>
      <c r="AP355" s="29"/>
      <c r="AQ355" s="29" t="str">
        <f t="shared" ref="AQ355:BL355" si="358">T355/T$2</f>
        <v>#N/A</v>
      </c>
      <c r="AR355" s="29" t="str">
        <f t="shared" si="358"/>
        <v>#DIV/0!</v>
      </c>
      <c r="AS355" s="29" t="str">
        <f t="shared" si="358"/>
        <v>#DIV/0!</v>
      </c>
      <c r="AT355" s="29" t="str">
        <f t="shared" si="358"/>
        <v>#DIV/0!</v>
      </c>
      <c r="AU355" s="29" t="str">
        <f t="shared" si="358"/>
        <v>#DIV/0!</v>
      </c>
      <c r="AV355" s="29" t="str">
        <f t="shared" si="358"/>
        <v>#DIV/0!</v>
      </c>
      <c r="AW355" s="29" t="str">
        <f t="shared" si="358"/>
        <v>#DIV/0!</v>
      </c>
      <c r="AX355" s="29" t="str">
        <f t="shared" si="358"/>
        <v>#DIV/0!</v>
      </c>
      <c r="AY355" s="29" t="str">
        <f t="shared" si="358"/>
        <v>#DIV/0!</v>
      </c>
      <c r="AZ355" s="29" t="str">
        <f t="shared" si="358"/>
        <v>#DIV/0!</v>
      </c>
      <c r="BA355" s="29" t="str">
        <f t="shared" si="358"/>
        <v>#DIV/0!</v>
      </c>
      <c r="BB355" s="29" t="str">
        <f t="shared" si="358"/>
        <v>#DIV/0!</v>
      </c>
      <c r="BC355" s="29" t="str">
        <f t="shared" si="358"/>
        <v>#DIV/0!</v>
      </c>
      <c r="BD355" s="29" t="str">
        <f t="shared" si="358"/>
        <v>#DIV/0!</v>
      </c>
      <c r="BE355" s="29" t="str">
        <f t="shared" si="358"/>
        <v>#DIV/0!</v>
      </c>
      <c r="BF355" s="29" t="str">
        <f t="shared" si="358"/>
        <v>#DIV/0!</v>
      </c>
      <c r="BG355" s="29" t="str">
        <f t="shared" si="358"/>
        <v>#DIV/0!</v>
      </c>
      <c r="BH355" s="29" t="str">
        <f t="shared" si="358"/>
        <v>#DIV/0!</v>
      </c>
      <c r="BI355" s="29" t="str">
        <f t="shared" si="358"/>
        <v>#DIV/0!</v>
      </c>
      <c r="BJ355" s="29" t="str">
        <f t="shared" si="358"/>
        <v>#DIV/0!</v>
      </c>
      <c r="BK355" s="29" t="str">
        <f t="shared" si="358"/>
        <v>#DIV/0!</v>
      </c>
      <c r="BL355" s="29" t="str">
        <f t="shared" si="358"/>
        <v>#DIV/0!</v>
      </c>
      <c r="BM355" s="29" t="str">
        <f t="shared" si="3"/>
        <v>#DIV/0!</v>
      </c>
    </row>
    <row r="356">
      <c r="A356" s="16" t="str">
        <f>IFERROR(__xludf.DUMMYFUNCTION("IFERROR(SPARKLINE(SORT(MAP(TRANSPOSE(AQ356:BL356), LAMBDA(val, IF(ISNUMBER(val), PERCENTRANK(AQ356:BL356, val)+0.01, 0))), SEQUENCE(COLUMNS(AQ356:BL356)), FALSE), {""charttype"",""column""; ""color"",""chartreuse""; ""ymin"", 0; ""ymax"", 1.01; ""highcolo"&amp;"r"", ""darkgreen""; ""lowcolor"", ""red""}), """")"),"")</f>
        <v/>
      </c>
      <c r="B356" s="17" t="str">
        <f t="shared" si="4"/>
        <v/>
      </c>
      <c r="C356" s="1" t="s">
        <v>2250</v>
      </c>
      <c r="D356" s="30" t="str">
        <f>IFERROR(__xludf.DUMMYFUNCTION("IFERROR(GOOGLEFINANCE(C356, ""NAME""))"),"Forward Air Corp (Delaware)")</f>
        <v>Forward Air Corp (Delaware)</v>
      </c>
      <c r="E356" s="30" t="s">
        <v>955</v>
      </c>
      <c r="F356" s="33" t="str">
        <f>IFERROR(__xludf.DUMMYFUNCTION("( (GOOGLEFINANCE(C356, ""price"") - Q356) / Q356 ) / (R356 / 100)"),"Loading...")</f>
        <v>Loading...</v>
      </c>
      <c r="G356" s="20" t="str">
        <f>IFERROR(__xludf.DUMMYFUNCTION("AVERAGE(ARRAYFORMULA(100 * (QUERY(GOOGLEFINANCE(C356, ""high"", TODAY()-40, TODAY()), ""SELECT Col2 WHERE Col2 IS NOT NULL ORDER BY Col1 DESC LIMIT 20"", 0) / QUERY(GOOGLEFINANCE(C356, ""low"", TODAY()-40, TODAY()), ""SELECT Col2 WHERE Col2 IS NOT NULL OR"&amp;"DER BY Col1 DESC LIMIT 20"", 0) - 1)))"),"#N/A")</f>
        <v>#N/A</v>
      </c>
      <c r="H356" s="35" t="str">
        <f t="shared" si="6"/>
        <v/>
      </c>
      <c r="I356" s="35" t="str">
        <f t="shared" si="7"/>
        <v/>
      </c>
      <c r="J356" s="37" t="str">
        <f>IFERROR(__xludf.DUMMYFUNCTION("IFERROR(
  IF(C356="""",, 
    IFERROR(
      GOOGLEFINANCE(C356, ""price"") * GOOGLEFINANCE(C356, ""volumeavg""), 
      GOOGLEFINANCE(C356, ""price"") * AVERAGE(QUERY(GOOGLEFINANCE(C356, ""volume"", TODAY()-40, TODAY()), ""SELECT Col2 WHERE Col2 IS NOT "&amp;"NULL ORDER BY Col1 DESC LIMIT 20"", 0))
    )
  ), 
"""")"),"")</f>
        <v/>
      </c>
      <c r="K356" s="21" t="str">
        <f>IFERROR(__xludf.DUMMYFUNCTION("IFERROR(GOOGLEFINANCE(C356, ""changepct"") / 100, """")"),"")</f>
        <v/>
      </c>
      <c r="L356" s="21" t="str">
        <f>IFERROR(__xludf.DUMMYFUNCTION("IFERROR((GOOGLEFINANCE(C356, ""price"") / INDEX(GOOGLEFINANCE(C356, ""price"", TODAY()-7, TODAY()), 2, 2)) - 1, """")"),"")</f>
        <v/>
      </c>
      <c r="M356" s="21" t="str">
        <f>IFERROR(__xludf.DUMMYFUNCTION("IFERROR((GOOGLEFINANCE(C356, ""price"") / INDEX(GOOGLEFINANCE(C356, ""price"", EDATE(TODAY(), -1), TODAY()), 2, 2)) - 1, """")"),"")</f>
        <v/>
      </c>
      <c r="N356" s="21" t="str">
        <f>IFERROR(__xludf.DUMMYFUNCTION("IFERROR((GOOGLEFINANCE(C356, ""price"") / INDEX(GOOGLEFINANCE(C356, ""price"", EDATE(TODAY(), -3), TODAY()), 2, 2)) - 1, """")"),"")</f>
        <v/>
      </c>
      <c r="O356" s="21" t="str">
        <f>IFERROR(__xludf.DUMMYFUNCTION("IFERROR((GOOGLEFINANCE(C356, ""price"") / INDEX(GOOGLEFINANCE(C356, ""price"", EDATE(TODAY(), -6), TODAY()), 2, 2)) - 1, """")"),"")</f>
        <v/>
      </c>
      <c r="P356" s="21" t="str">
        <f>IFERROR(__xludf.DUMMYFUNCTION("IFERROR((GOOGLEFINANCE(C356, ""price"") / INDEX(GOOGLEFINANCE(C356, ""price"", EDATE(TODAY(), -12), TODAY()), 2, 2)) - 1, """")"),"")</f>
        <v/>
      </c>
      <c r="Q356" s="6" t="str">
        <f>IFERROR(__xludf.DUMMYFUNCTION("AVERAGE(QUERY(GOOGLEFINANCE(C356, ""price"", TODAY()-80, TODAY()), ""SELECT Col2 WHERE Col2 IS NOT NULL ORDER BY Col1 DESC LIMIT 50"", 0))"),"#N/A")</f>
        <v>#N/A</v>
      </c>
      <c r="R356" s="24" t="str">
        <f>IFERROR(__xludf.DUMMYFUNCTION("IFERROR(
  LET(
    data, QUERY(GOOGLEFINANCE(C356,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GOOGLEFINANCE(C356, ""price"")) * 100,
    IF(calc=0, G356, calc)
  ), 
G356)"),"#N/A")</f>
        <v>#N/A</v>
      </c>
      <c r="S356" s="8" t="s">
        <v>15</v>
      </c>
      <c r="T356" s="26" t="str">
        <f>IFERROR(__xludf.DUMMYFUNCTION("IFERROR(TRANSPOSE(QUERY(IFERROR(SORT(GOOGLEFINANCE(C356, ""price"", WORKDAY(TODAY(), -40), TODAY()), 1, FALSE)), ""select Col2 where Col2 is not null limit 22 label Col2 ''"", 0)), """")"),"")</f>
        <v/>
      </c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8"/>
      <c r="AO356" s="28"/>
      <c r="AP356" s="29"/>
      <c r="AQ356" s="29" t="str">
        <f t="shared" ref="AQ356:BL356" si="359">T356/T$2</f>
        <v>#N/A</v>
      </c>
      <c r="AR356" s="29" t="str">
        <f t="shared" si="359"/>
        <v>#DIV/0!</v>
      </c>
      <c r="AS356" s="29" t="str">
        <f t="shared" si="359"/>
        <v>#DIV/0!</v>
      </c>
      <c r="AT356" s="29" t="str">
        <f t="shared" si="359"/>
        <v>#DIV/0!</v>
      </c>
      <c r="AU356" s="29" t="str">
        <f t="shared" si="359"/>
        <v>#DIV/0!</v>
      </c>
      <c r="AV356" s="29" t="str">
        <f t="shared" si="359"/>
        <v>#DIV/0!</v>
      </c>
      <c r="AW356" s="29" t="str">
        <f t="shared" si="359"/>
        <v>#DIV/0!</v>
      </c>
      <c r="AX356" s="29" t="str">
        <f t="shared" si="359"/>
        <v>#DIV/0!</v>
      </c>
      <c r="AY356" s="29" t="str">
        <f t="shared" si="359"/>
        <v>#DIV/0!</v>
      </c>
      <c r="AZ356" s="29" t="str">
        <f t="shared" si="359"/>
        <v>#DIV/0!</v>
      </c>
      <c r="BA356" s="29" t="str">
        <f t="shared" si="359"/>
        <v>#DIV/0!</v>
      </c>
      <c r="BB356" s="29" t="str">
        <f t="shared" si="359"/>
        <v>#DIV/0!</v>
      </c>
      <c r="BC356" s="29" t="str">
        <f t="shared" si="359"/>
        <v>#DIV/0!</v>
      </c>
      <c r="BD356" s="29" t="str">
        <f t="shared" si="359"/>
        <v>#DIV/0!</v>
      </c>
      <c r="BE356" s="29" t="str">
        <f t="shared" si="359"/>
        <v>#DIV/0!</v>
      </c>
      <c r="BF356" s="29" t="str">
        <f t="shared" si="359"/>
        <v>#DIV/0!</v>
      </c>
      <c r="BG356" s="29" t="str">
        <f t="shared" si="359"/>
        <v>#DIV/0!</v>
      </c>
      <c r="BH356" s="29" t="str">
        <f t="shared" si="359"/>
        <v>#DIV/0!</v>
      </c>
      <c r="BI356" s="29" t="str">
        <f t="shared" si="359"/>
        <v>#DIV/0!</v>
      </c>
      <c r="BJ356" s="29" t="str">
        <f t="shared" si="359"/>
        <v>#DIV/0!</v>
      </c>
      <c r="BK356" s="29" t="str">
        <f t="shared" si="359"/>
        <v>#DIV/0!</v>
      </c>
      <c r="BL356" s="29" t="str">
        <f t="shared" si="359"/>
        <v>#DIV/0!</v>
      </c>
      <c r="BM356" s="29" t="str">
        <f t="shared" si="3"/>
        <v>#DIV/0!</v>
      </c>
    </row>
    <row r="357">
      <c r="A357" s="16" t="str">
        <f>IFERROR(__xludf.DUMMYFUNCTION("IFERROR(SPARKLINE(SORT(MAP(TRANSPOSE(AQ357:BL357), LAMBDA(val, IF(ISNUMBER(val), PERCENTRANK(AQ357:BL357, val)+0.01, 0))), SEQUENCE(COLUMNS(AQ357:BL357)), FALSE), {""charttype"",""column""; ""color"",""chartreuse""; ""ymin"", 0; ""ymax"", 1.01; ""highcolo"&amp;"r"", ""darkgreen""; ""lowcolor"", ""red""}), """")"),"")</f>
        <v/>
      </c>
      <c r="B357" s="17" t="str">
        <f t="shared" si="4"/>
        <v/>
      </c>
      <c r="C357" s="1" t="s">
        <v>2254</v>
      </c>
      <c r="D357" s="30" t="str">
        <f>IFERROR(__xludf.DUMMYFUNCTION("IFERROR(GOOGLEFINANCE(C357, ""NAME""))"),"CSW Industrials Inc")</f>
        <v>CSW Industrials Inc</v>
      </c>
      <c r="E357" s="30" t="s">
        <v>893</v>
      </c>
      <c r="F357" s="33" t="str">
        <f>IFERROR(__xludf.DUMMYFUNCTION("( (GOOGLEFINANCE(C357, ""price"") - Q357) / Q357 ) / (R357 / 100)"),"Loading...")</f>
        <v>Loading...</v>
      </c>
      <c r="G357" s="20" t="str">
        <f>IFERROR(__xludf.DUMMYFUNCTION("AVERAGE(ARRAYFORMULA(100 * (QUERY(GOOGLEFINANCE(C357, ""high"", TODAY()-40, TODAY()), ""SELECT Col2 WHERE Col2 IS NOT NULL ORDER BY Col1 DESC LIMIT 20"", 0) / QUERY(GOOGLEFINANCE(C357, ""low"", TODAY()-40, TODAY()), ""SELECT Col2 WHERE Col2 IS NOT NULL OR"&amp;"DER BY Col1 DESC LIMIT 20"", 0) - 1)))"),"#N/A")</f>
        <v>#N/A</v>
      </c>
      <c r="H357" s="35" t="str">
        <f t="shared" si="6"/>
        <v/>
      </c>
      <c r="I357" s="35" t="str">
        <f t="shared" si="7"/>
        <v/>
      </c>
      <c r="J357" s="37" t="str">
        <f>IFERROR(__xludf.DUMMYFUNCTION("IFERROR(
  IF(C357="""",, 
    IFERROR(
      GOOGLEFINANCE(C357, ""price"") * GOOGLEFINANCE(C357, ""volumeavg""), 
      GOOGLEFINANCE(C357, ""price"") * AVERAGE(QUERY(GOOGLEFINANCE(C357, ""volume"", TODAY()-40, TODAY()), ""SELECT Col2 WHERE Col2 IS NOT "&amp;"NULL ORDER BY Col1 DESC LIMIT 20"", 0))
    )
  ), 
"""")"),"")</f>
        <v/>
      </c>
      <c r="K357" s="21" t="str">
        <f>IFERROR(__xludf.DUMMYFUNCTION("IFERROR(GOOGLEFINANCE(C357, ""changepct"") / 100, """")"),"")</f>
        <v/>
      </c>
      <c r="L357" s="21" t="str">
        <f>IFERROR(__xludf.DUMMYFUNCTION("IFERROR((GOOGLEFINANCE(C357, ""price"") / INDEX(GOOGLEFINANCE(C357, ""price"", TODAY()-7, TODAY()), 2, 2)) - 1, """")"),"")</f>
        <v/>
      </c>
      <c r="M357" s="21" t="str">
        <f>IFERROR(__xludf.DUMMYFUNCTION("IFERROR((GOOGLEFINANCE(C357, ""price"") / INDEX(GOOGLEFINANCE(C357, ""price"", EDATE(TODAY(), -1), TODAY()), 2, 2)) - 1, """")"),"")</f>
        <v/>
      </c>
      <c r="N357" s="21" t="str">
        <f>IFERROR(__xludf.DUMMYFUNCTION("IFERROR((GOOGLEFINANCE(C357, ""price"") / INDEX(GOOGLEFINANCE(C357, ""price"", EDATE(TODAY(), -3), TODAY()), 2, 2)) - 1, """")"),"")</f>
        <v/>
      </c>
      <c r="O357" s="21" t="str">
        <f>IFERROR(__xludf.DUMMYFUNCTION("IFERROR((GOOGLEFINANCE(C357, ""price"") / INDEX(GOOGLEFINANCE(C357, ""price"", EDATE(TODAY(), -6), TODAY()), 2, 2)) - 1, """")"),"")</f>
        <v/>
      </c>
      <c r="P357" s="21" t="str">
        <f>IFERROR(__xludf.DUMMYFUNCTION("IFERROR((GOOGLEFINANCE(C357, ""price"") / INDEX(GOOGLEFINANCE(C357, ""price"", EDATE(TODAY(), -12), TODAY()), 2, 2)) - 1, """")"),"")</f>
        <v/>
      </c>
      <c r="Q357" s="6" t="str">
        <f>IFERROR(__xludf.DUMMYFUNCTION("AVERAGE(QUERY(GOOGLEFINANCE(C357, ""price"", TODAY()-80, TODAY()), ""SELECT Col2 WHERE Col2 IS NOT NULL ORDER BY Col1 DESC LIMIT 50"", 0))"),"#N/A")</f>
        <v>#N/A</v>
      </c>
      <c r="R357" s="24" t="str">
        <f>IFERROR(__xludf.DUMMYFUNCTION("IFERROR(
  LET(
    data, QUERY(GOOGLEFINANCE(C357,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GOOGLEFINANCE(C357, ""price"")) * 100,
    IF(calc=0, G357, calc)
  ), 
G357)"),"#N/A")</f>
        <v>#N/A</v>
      </c>
      <c r="S357" s="8" t="s">
        <v>15</v>
      </c>
      <c r="T357" s="26" t="str">
        <f>IFERROR(__xludf.DUMMYFUNCTION("IFERROR(TRANSPOSE(QUERY(IFERROR(SORT(GOOGLEFINANCE(C357, ""price"", WORKDAY(TODAY(), -40), TODAY()), 1, FALSE)), ""select Col2 where Col2 is not null limit 22 label Col2 ''"", 0)), """")"),"")</f>
        <v/>
      </c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8"/>
      <c r="AO357" s="28"/>
      <c r="AP357" s="29"/>
      <c r="AQ357" s="29" t="str">
        <f t="shared" ref="AQ357:BL357" si="360">T357/T$2</f>
        <v>#N/A</v>
      </c>
      <c r="AR357" s="29" t="str">
        <f t="shared" si="360"/>
        <v>#DIV/0!</v>
      </c>
      <c r="AS357" s="29" t="str">
        <f t="shared" si="360"/>
        <v>#DIV/0!</v>
      </c>
      <c r="AT357" s="29" t="str">
        <f t="shared" si="360"/>
        <v>#DIV/0!</v>
      </c>
      <c r="AU357" s="29" t="str">
        <f t="shared" si="360"/>
        <v>#DIV/0!</v>
      </c>
      <c r="AV357" s="29" t="str">
        <f t="shared" si="360"/>
        <v>#DIV/0!</v>
      </c>
      <c r="AW357" s="29" t="str">
        <f t="shared" si="360"/>
        <v>#DIV/0!</v>
      </c>
      <c r="AX357" s="29" t="str">
        <f t="shared" si="360"/>
        <v>#DIV/0!</v>
      </c>
      <c r="AY357" s="29" t="str">
        <f t="shared" si="360"/>
        <v>#DIV/0!</v>
      </c>
      <c r="AZ357" s="29" t="str">
        <f t="shared" si="360"/>
        <v>#DIV/0!</v>
      </c>
      <c r="BA357" s="29" t="str">
        <f t="shared" si="360"/>
        <v>#DIV/0!</v>
      </c>
      <c r="BB357" s="29" t="str">
        <f t="shared" si="360"/>
        <v>#DIV/0!</v>
      </c>
      <c r="BC357" s="29" t="str">
        <f t="shared" si="360"/>
        <v>#DIV/0!</v>
      </c>
      <c r="BD357" s="29" t="str">
        <f t="shared" si="360"/>
        <v>#DIV/0!</v>
      </c>
      <c r="BE357" s="29" t="str">
        <f t="shared" si="360"/>
        <v>#DIV/0!</v>
      </c>
      <c r="BF357" s="29" t="str">
        <f t="shared" si="360"/>
        <v>#DIV/0!</v>
      </c>
      <c r="BG357" s="29" t="str">
        <f t="shared" si="360"/>
        <v>#DIV/0!</v>
      </c>
      <c r="BH357" s="29" t="str">
        <f t="shared" si="360"/>
        <v>#DIV/0!</v>
      </c>
      <c r="BI357" s="29" t="str">
        <f t="shared" si="360"/>
        <v>#DIV/0!</v>
      </c>
      <c r="BJ357" s="29" t="str">
        <f t="shared" si="360"/>
        <v>#DIV/0!</v>
      </c>
      <c r="BK357" s="29" t="str">
        <f t="shared" si="360"/>
        <v>#DIV/0!</v>
      </c>
      <c r="BL357" s="29" t="str">
        <f t="shared" si="360"/>
        <v>#DIV/0!</v>
      </c>
      <c r="BM357" s="29" t="str">
        <f t="shared" si="3"/>
        <v>#DIV/0!</v>
      </c>
    </row>
    <row r="358">
      <c r="A358" s="16" t="str">
        <f>IFERROR(__xludf.DUMMYFUNCTION("IFERROR(SPARKLINE(SORT(MAP(TRANSPOSE(AQ358:BL358), LAMBDA(val, IF(ISNUMBER(val), PERCENTRANK(AQ358:BL358, val)+0.01, 0))), SEQUENCE(COLUMNS(AQ358:BL358)), FALSE), {""charttype"",""column""; ""color"",""chartreuse""; ""ymin"", 0; ""ymax"", 1.01; ""highcolo"&amp;"r"", ""darkgreen""; ""lowcolor"", ""red""}), """")"),"")</f>
        <v/>
      </c>
      <c r="B358" s="17" t="str">
        <f t="shared" si="4"/>
        <v/>
      </c>
      <c r="C358" s="1" t="s">
        <v>2257</v>
      </c>
      <c r="D358" s="30" t="str">
        <f>IFERROR(__xludf.DUMMYFUNCTION("IFERROR(GOOGLEFINANCE(C358, ""NAME""))"),"Astec Industries Inc")</f>
        <v>Astec Industries Inc</v>
      </c>
      <c r="E358" s="30" t="s">
        <v>1036</v>
      </c>
      <c r="F358" s="33" t="str">
        <f>IFERROR(__xludf.DUMMYFUNCTION("( (GOOGLEFINANCE(C358, ""price"") - Q358) / Q358 ) / (R358 / 100)"),"Loading...")</f>
        <v>Loading...</v>
      </c>
      <c r="G358" s="20" t="str">
        <f>IFERROR(__xludf.DUMMYFUNCTION("AVERAGE(ARRAYFORMULA(100 * (QUERY(GOOGLEFINANCE(C358, ""high"", TODAY()-40, TODAY()), ""SELECT Col2 WHERE Col2 IS NOT NULL ORDER BY Col1 DESC LIMIT 20"", 0) / QUERY(GOOGLEFINANCE(C358, ""low"", TODAY()-40, TODAY()), ""SELECT Col2 WHERE Col2 IS NOT NULL OR"&amp;"DER BY Col1 DESC LIMIT 20"", 0) - 1)))"),"#N/A")</f>
        <v>#N/A</v>
      </c>
      <c r="H358" s="35" t="str">
        <f t="shared" si="6"/>
        <v/>
      </c>
      <c r="I358" s="35" t="str">
        <f t="shared" si="7"/>
        <v/>
      </c>
      <c r="J358" s="37" t="str">
        <f>IFERROR(__xludf.DUMMYFUNCTION("IFERROR(
  IF(C358="""",, 
    IFERROR(
      GOOGLEFINANCE(C358, ""price"") * GOOGLEFINANCE(C358, ""volumeavg""), 
      GOOGLEFINANCE(C358, ""price"") * AVERAGE(QUERY(GOOGLEFINANCE(C358, ""volume"", TODAY()-40, TODAY()), ""SELECT Col2 WHERE Col2 IS NOT "&amp;"NULL ORDER BY Col1 DESC LIMIT 20"", 0))
    )
  ), 
"""")"),"")</f>
        <v/>
      </c>
      <c r="K358" s="21" t="str">
        <f>IFERROR(__xludf.DUMMYFUNCTION("IFERROR(GOOGLEFINANCE(C358, ""changepct"") / 100, """")"),"")</f>
        <v/>
      </c>
      <c r="L358" s="21" t="str">
        <f>IFERROR(__xludf.DUMMYFUNCTION("IFERROR((GOOGLEFINANCE(C358, ""price"") / INDEX(GOOGLEFINANCE(C358, ""price"", TODAY()-7, TODAY()), 2, 2)) - 1, """")"),"")</f>
        <v/>
      </c>
      <c r="M358" s="21" t="str">
        <f>IFERROR(__xludf.DUMMYFUNCTION("IFERROR((GOOGLEFINANCE(C358, ""price"") / INDEX(GOOGLEFINANCE(C358, ""price"", EDATE(TODAY(), -1), TODAY()), 2, 2)) - 1, """")"),"")</f>
        <v/>
      </c>
      <c r="N358" s="21" t="str">
        <f>IFERROR(__xludf.DUMMYFUNCTION("IFERROR((GOOGLEFINANCE(C358, ""price"") / INDEX(GOOGLEFINANCE(C358, ""price"", EDATE(TODAY(), -3), TODAY()), 2, 2)) - 1, """")"),"")</f>
        <v/>
      </c>
      <c r="O358" s="21" t="str">
        <f>IFERROR(__xludf.DUMMYFUNCTION("IFERROR((GOOGLEFINANCE(C358, ""price"") / INDEX(GOOGLEFINANCE(C358, ""price"", EDATE(TODAY(), -6), TODAY()), 2, 2)) - 1, """")"),"")</f>
        <v/>
      </c>
      <c r="P358" s="21" t="str">
        <f>IFERROR(__xludf.DUMMYFUNCTION("IFERROR((GOOGLEFINANCE(C358, ""price"") / INDEX(GOOGLEFINANCE(C358, ""price"", EDATE(TODAY(), -12), TODAY()), 2, 2)) - 1, """")"),"")</f>
        <v/>
      </c>
      <c r="Q358" s="6" t="str">
        <f>IFERROR(__xludf.DUMMYFUNCTION("AVERAGE(QUERY(GOOGLEFINANCE(C358, ""price"", TODAY()-80, TODAY()), ""SELECT Col2 WHERE Col2 IS NOT NULL ORDER BY Col1 DESC LIMIT 50"", 0))"),"#N/A")</f>
        <v>#N/A</v>
      </c>
      <c r="R358" s="24" t="str">
        <f>IFERROR(__xludf.DUMMYFUNCTION("IFERROR(
  LET(
    data, QUERY(GOOGLEFINANCE(C358,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GOOGLEFINANCE(C358, ""price"")) * 100,
    IF(calc=0, G358, calc)
  ), 
G358)"),"#N/A")</f>
        <v>#N/A</v>
      </c>
      <c r="S358" s="8" t="s">
        <v>15</v>
      </c>
      <c r="T358" s="26" t="str">
        <f>IFERROR(__xludf.DUMMYFUNCTION("IFERROR(TRANSPOSE(QUERY(IFERROR(SORT(GOOGLEFINANCE(C358, ""price"", WORKDAY(TODAY(), -40), TODAY()), 1, FALSE)), ""select Col2 where Col2 is not null limit 22 label Col2 ''"", 0)), """")"),"")</f>
        <v/>
      </c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8"/>
      <c r="AO358" s="28"/>
      <c r="AP358" s="29"/>
      <c r="AQ358" s="29" t="str">
        <f t="shared" ref="AQ358:BL358" si="361">T358/T$2</f>
        <v>#N/A</v>
      </c>
      <c r="AR358" s="29" t="str">
        <f t="shared" si="361"/>
        <v>#DIV/0!</v>
      </c>
      <c r="AS358" s="29" t="str">
        <f t="shared" si="361"/>
        <v>#DIV/0!</v>
      </c>
      <c r="AT358" s="29" t="str">
        <f t="shared" si="361"/>
        <v>#DIV/0!</v>
      </c>
      <c r="AU358" s="29" t="str">
        <f t="shared" si="361"/>
        <v>#DIV/0!</v>
      </c>
      <c r="AV358" s="29" t="str">
        <f t="shared" si="361"/>
        <v>#DIV/0!</v>
      </c>
      <c r="AW358" s="29" t="str">
        <f t="shared" si="361"/>
        <v>#DIV/0!</v>
      </c>
      <c r="AX358" s="29" t="str">
        <f t="shared" si="361"/>
        <v>#DIV/0!</v>
      </c>
      <c r="AY358" s="29" t="str">
        <f t="shared" si="361"/>
        <v>#DIV/0!</v>
      </c>
      <c r="AZ358" s="29" t="str">
        <f t="shared" si="361"/>
        <v>#DIV/0!</v>
      </c>
      <c r="BA358" s="29" t="str">
        <f t="shared" si="361"/>
        <v>#DIV/0!</v>
      </c>
      <c r="BB358" s="29" t="str">
        <f t="shared" si="361"/>
        <v>#DIV/0!</v>
      </c>
      <c r="BC358" s="29" t="str">
        <f t="shared" si="361"/>
        <v>#DIV/0!</v>
      </c>
      <c r="BD358" s="29" t="str">
        <f t="shared" si="361"/>
        <v>#DIV/0!</v>
      </c>
      <c r="BE358" s="29" t="str">
        <f t="shared" si="361"/>
        <v>#DIV/0!</v>
      </c>
      <c r="BF358" s="29" t="str">
        <f t="shared" si="361"/>
        <v>#DIV/0!</v>
      </c>
      <c r="BG358" s="29" t="str">
        <f t="shared" si="361"/>
        <v>#DIV/0!</v>
      </c>
      <c r="BH358" s="29" t="str">
        <f t="shared" si="361"/>
        <v>#DIV/0!</v>
      </c>
      <c r="BI358" s="29" t="str">
        <f t="shared" si="361"/>
        <v>#DIV/0!</v>
      </c>
      <c r="BJ358" s="29" t="str">
        <f t="shared" si="361"/>
        <v>#DIV/0!</v>
      </c>
      <c r="BK358" s="29" t="str">
        <f t="shared" si="361"/>
        <v>#DIV/0!</v>
      </c>
      <c r="BL358" s="29" t="str">
        <f t="shared" si="361"/>
        <v>#DIV/0!</v>
      </c>
      <c r="BM358" s="29" t="str">
        <f t="shared" si="3"/>
        <v>#DIV/0!</v>
      </c>
    </row>
    <row r="359">
      <c r="A359" s="16" t="str">
        <f>IFERROR(__xludf.DUMMYFUNCTION("IFERROR(SPARKLINE(SORT(MAP(TRANSPOSE(AQ359:BL359), LAMBDA(val, IF(ISNUMBER(val), PERCENTRANK(AQ359:BL359, val)+0.01, 0))), SEQUENCE(COLUMNS(AQ359:BL359)), FALSE), {""charttype"",""column""; ""color"",""chartreuse""; ""ymin"", 0; ""ymax"", 1.01; ""highcolo"&amp;"r"", ""darkgreen""; ""lowcolor"", ""red""}), """")"),"")</f>
        <v/>
      </c>
      <c r="B359" s="17" t="str">
        <f t="shared" si="4"/>
        <v/>
      </c>
      <c r="C359" s="1" t="s">
        <v>2262</v>
      </c>
      <c r="D359" s="30" t="str">
        <f>IFERROR(__xludf.DUMMYFUNCTION("IFERROR(GOOGLEFINANCE(C359, ""NAME""))"),"Ferguson Enterprises Inc")</f>
        <v>Ferguson Enterprises Inc</v>
      </c>
      <c r="E359" s="30" t="s">
        <v>829</v>
      </c>
      <c r="F359" s="33" t="str">
        <f>IFERROR(__xludf.DUMMYFUNCTION("( (GOOGLEFINANCE(C359, ""price"") - Q359) / Q359 ) / (R359 / 100)"),"Loading...")</f>
        <v>Loading...</v>
      </c>
      <c r="G359" s="20" t="str">
        <f>IFERROR(__xludf.DUMMYFUNCTION("AVERAGE(ARRAYFORMULA(100 * (QUERY(GOOGLEFINANCE(C359, ""high"", TODAY()-40, TODAY()), ""SELECT Col2 WHERE Col2 IS NOT NULL ORDER BY Col1 DESC LIMIT 20"", 0) / QUERY(GOOGLEFINANCE(C359, ""low"", TODAY()-40, TODAY()), ""SELECT Col2 WHERE Col2 IS NOT NULL OR"&amp;"DER BY Col1 DESC LIMIT 20"", 0) - 1)))"),"#N/A")</f>
        <v>#N/A</v>
      </c>
      <c r="H359" s="35" t="str">
        <f t="shared" si="6"/>
        <v/>
      </c>
      <c r="I359" s="35" t="str">
        <f t="shared" si="7"/>
        <v/>
      </c>
      <c r="J359" s="37" t="str">
        <f>IFERROR(__xludf.DUMMYFUNCTION("IFERROR(
  IF(C359="""",, 
    IFERROR(
      GOOGLEFINANCE(C359, ""price"") * GOOGLEFINANCE(C359, ""volumeavg""), 
      GOOGLEFINANCE(C359, ""price"") * AVERAGE(QUERY(GOOGLEFINANCE(C359, ""volume"", TODAY()-40, TODAY()), ""SELECT Col2 WHERE Col2 IS NOT "&amp;"NULL ORDER BY Col1 DESC LIMIT 20"", 0))
    )
  ), 
"""")"),"")</f>
        <v/>
      </c>
      <c r="K359" s="21" t="str">
        <f>IFERROR(__xludf.DUMMYFUNCTION("IFERROR(GOOGLEFINANCE(C359, ""changepct"") / 100, """")"),"")</f>
        <v/>
      </c>
      <c r="L359" s="21" t="str">
        <f>IFERROR(__xludf.DUMMYFUNCTION("IFERROR((GOOGLEFINANCE(C359, ""price"") / INDEX(GOOGLEFINANCE(C359, ""price"", TODAY()-7, TODAY()), 2, 2)) - 1, """")"),"")</f>
        <v/>
      </c>
      <c r="M359" s="21" t="str">
        <f>IFERROR(__xludf.DUMMYFUNCTION("IFERROR((GOOGLEFINANCE(C359, ""price"") / INDEX(GOOGLEFINANCE(C359, ""price"", EDATE(TODAY(), -1), TODAY()), 2, 2)) - 1, """")"),"")</f>
        <v/>
      </c>
      <c r="N359" s="21" t="str">
        <f>IFERROR(__xludf.DUMMYFUNCTION("IFERROR((GOOGLEFINANCE(C359, ""price"") / INDEX(GOOGLEFINANCE(C359, ""price"", EDATE(TODAY(), -3), TODAY()), 2, 2)) - 1, """")"),"")</f>
        <v/>
      </c>
      <c r="O359" s="21" t="str">
        <f>IFERROR(__xludf.DUMMYFUNCTION("IFERROR((GOOGLEFINANCE(C359, ""price"") / INDEX(GOOGLEFINANCE(C359, ""price"", EDATE(TODAY(), -6), TODAY()), 2, 2)) - 1, """")"),"")</f>
        <v/>
      </c>
      <c r="P359" s="21" t="str">
        <f>IFERROR(__xludf.DUMMYFUNCTION("IFERROR((GOOGLEFINANCE(C359, ""price"") / INDEX(GOOGLEFINANCE(C359, ""price"", EDATE(TODAY(), -12), TODAY()), 2, 2)) - 1, """")"),"")</f>
        <v/>
      </c>
      <c r="Q359" s="6" t="str">
        <f>IFERROR(__xludf.DUMMYFUNCTION("AVERAGE(QUERY(GOOGLEFINANCE(C359, ""price"", TODAY()-80, TODAY()), ""SELECT Col2 WHERE Col2 IS NOT NULL ORDER BY Col1 DESC LIMIT 50"", 0))"),"#N/A")</f>
        <v>#N/A</v>
      </c>
      <c r="R359" s="24" t="str">
        <f>IFERROR(__xludf.DUMMYFUNCTION("IFERROR(
  LET(
    data, QUERY(GOOGLEFINANCE(C359,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GOOGLEFINANCE(C359, ""price"")) * 100,
    IF(calc=0, G359, calc)
  ), 
G359)"),"#N/A")</f>
        <v>#N/A</v>
      </c>
      <c r="S359" s="8" t="s">
        <v>15</v>
      </c>
      <c r="T359" s="26" t="str">
        <f>IFERROR(__xludf.DUMMYFUNCTION("IFERROR(TRANSPOSE(QUERY(IFERROR(SORT(GOOGLEFINANCE(C359, ""price"", WORKDAY(TODAY(), -40), TODAY()), 1, FALSE)), ""select Col2 where Col2 is not null limit 22 label Col2 ''"", 0)), """")"),"")</f>
        <v/>
      </c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8"/>
      <c r="AO359" s="28"/>
      <c r="AP359" s="29"/>
      <c r="AQ359" s="29" t="str">
        <f t="shared" ref="AQ359:BL359" si="362">T359/T$2</f>
        <v>#N/A</v>
      </c>
      <c r="AR359" s="29" t="str">
        <f t="shared" si="362"/>
        <v>#DIV/0!</v>
      </c>
      <c r="AS359" s="29" t="str">
        <f t="shared" si="362"/>
        <v>#DIV/0!</v>
      </c>
      <c r="AT359" s="29" t="str">
        <f t="shared" si="362"/>
        <v>#DIV/0!</v>
      </c>
      <c r="AU359" s="29" t="str">
        <f t="shared" si="362"/>
        <v>#DIV/0!</v>
      </c>
      <c r="AV359" s="29" t="str">
        <f t="shared" si="362"/>
        <v>#DIV/0!</v>
      </c>
      <c r="AW359" s="29" t="str">
        <f t="shared" si="362"/>
        <v>#DIV/0!</v>
      </c>
      <c r="AX359" s="29" t="str">
        <f t="shared" si="362"/>
        <v>#DIV/0!</v>
      </c>
      <c r="AY359" s="29" t="str">
        <f t="shared" si="362"/>
        <v>#DIV/0!</v>
      </c>
      <c r="AZ359" s="29" t="str">
        <f t="shared" si="362"/>
        <v>#DIV/0!</v>
      </c>
      <c r="BA359" s="29" t="str">
        <f t="shared" si="362"/>
        <v>#DIV/0!</v>
      </c>
      <c r="BB359" s="29" t="str">
        <f t="shared" si="362"/>
        <v>#DIV/0!</v>
      </c>
      <c r="BC359" s="29" t="str">
        <f t="shared" si="362"/>
        <v>#DIV/0!</v>
      </c>
      <c r="BD359" s="29" t="str">
        <f t="shared" si="362"/>
        <v>#DIV/0!</v>
      </c>
      <c r="BE359" s="29" t="str">
        <f t="shared" si="362"/>
        <v>#DIV/0!</v>
      </c>
      <c r="BF359" s="29" t="str">
        <f t="shared" si="362"/>
        <v>#DIV/0!</v>
      </c>
      <c r="BG359" s="29" t="str">
        <f t="shared" si="362"/>
        <v>#DIV/0!</v>
      </c>
      <c r="BH359" s="29" t="str">
        <f t="shared" si="362"/>
        <v>#DIV/0!</v>
      </c>
      <c r="BI359" s="29" t="str">
        <f t="shared" si="362"/>
        <v>#DIV/0!</v>
      </c>
      <c r="BJ359" s="29" t="str">
        <f t="shared" si="362"/>
        <v>#DIV/0!</v>
      </c>
      <c r="BK359" s="29" t="str">
        <f t="shared" si="362"/>
        <v>#DIV/0!</v>
      </c>
      <c r="BL359" s="29" t="str">
        <f t="shared" si="362"/>
        <v>#DIV/0!</v>
      </c>
      <c r="BM359" s="29" t="str">
        <f t="shared" si="3"/>
        <v>#DIV/0!</v>
      </c>
    </row>
    <row r="360">
      <c r="A360" s="16" t="str">
        <f>IFERROR(__xludf.DUMMYFUNCTION("IFERROR(SPARKLINE(SORT(MAP(TRANSPOSE(AQ360:BL360), LAMBDA(val, IF(ISNUMBER(val), PERCENTRANK(AQ360:BL360, val)+0.01, 0))), SEQUENCE(COLUMNS(AQ360:BL360)), FALSE), {""charttype"",""column""; ""color"",""chartreuse""; ""ymin"", 0; ""ymax"", 1.01; ""highcolo"&amp;"r"", ""darkgreen""; ""lowcolor"", ""red""}), """")"),"")</f>
        <v/>
      </c>
      <c r="B360" s="17" t="str">
        <f t="shared" si="4"/>
        <v/>
      </c>
      <c r="C360" s="1" t="s">
        <v>2267</v>
      </c>
      <c r="D360" s="30" t="str">
        <f>IFERROR(__xludf.DUMMYFUNCTION("IFERROR(GOOGLEFINANCE(C360, ""NAME""))"),"Arlo Technologies Inc")</f>
        <v>Arlo Technologies Inc</v>
      </c>
      <c r="E360" s="30" t="s">
        <v>968</v>
      </c>
      <c r="F360" s="38" t="str">
        <f>IFERROR(__xludf.DUMMYFUNCTION("( (GOOGLEFINANCE(C360, ""price"") - Q360) / Q360 ) / (R360 / 100)"),"Loading...")</f>
        <v>Loading...</v>
      </c>
      <c r="G360" s="20" t="str">
        <f>IFERROR(__xludf.DUMMYFUNCTION("AVERAGE(ARRAYFORMULA(100 * (QUERY(GOOGLEFINANCE(C360, ""high"", TODAY()-40, TODAY()), ""SELECT Col2 WHERE Col2 IS NOT NULL ORDER BY Col1 DESC LIMIT 20"", 0) / QUERY(GOOGLEFINANCE(C360, ""low"", TODAY()-40, TODAY()), ""SELECT Col2 WHERE Col2 IS NOT NULL OR"&amp;"DER BY Col1 DESC LIMIT 20"", 0) - 1)))"),"#N/A")</f>
        <v>#N/A</v>
      </c>
      <c r="H360" s="35" t="str">
        <f t="shared" si="6"/>
        <v/>
      </c>
      <c r="I360" s="35" t="str">
        <f t="shared" si="7"/>
        <v/>
      </c>
      <c r="J360" s="37" t="str">
        <f>IFERROR(__xludf.DUMMYFUNCTION("IFERROR(
  IF(C360="""",, 
    IFERROR(
      GOOGLEFINANCE(C360, ""price"") * GOOGLEFINANCE(C360, ""volumeavg""), 
      GOOGLEFINANCE(C360, ""price"") * AVERAGE(QUERY(GOOGLEFINANCE(C360, ""volume"", TODAY()-40, TODAY()), ""SELECT Col2 WHERE Col2 IS NOT "&amp;"NULL ORDER BY Col1 DESC LIMIT 20"", 0))
    )
  ), 
"""")"),"")</f>
        <v/>
      </c>
      <c r="K360" s="21" t="str">
        <f>IFERROR(__xludf.DUMMYFUNCTION("IFERROR(GOOGLEFINANCE(C360, ""changepct"") / 100, """")"),"")</f>
        <v/>
      </c>
      <c r="L360" s="21" t="str">
        <f>IFERROR(__xludf.DUMMYFUNCTION("IFERROR((GOOGLEFINANCE(C360, ""price"") / INDEX(GOOGLEFINANCE(C360, ""price"", TODAY()-7, TODAY()), 2, 2)) - 1, """")"),"")</f>
        <v/>
      </c>
      <c r="M360" s="21" t="str">
        <f>IFERROR(__xludf.DUMMYFUNCTION("IFERROR((GOOGLEFINANCE(C360, ""price"") / INDEX(GOOGLEFINANCE(C360, ""price"", EDATE(TODAY(), -1), TODAY()), 2, 2)) - 1, """")"),"")</f>
        <v/>
      </c>
      <c r="N360" s="21" t="str">
        <f>IFERROR(__xludf.DUMMYFUNCTION("IFERROR((GOOGLEFINANCE(C360, ""price"") / INDEX(GOOGLEFINANCE(C360, ""price"", EDATE(TODAY(), -3), TODAY()), 2, 2)) - 1, """")"),"")</f>
        <v/>
      </c>
      <c r="O360" s="21" t="str">
        <f>IFERROR(__xludf.DUMMYFUNCTION("IFERROR((GOOGLEFINANCE(C360, ""price"") / INDEX(GOOGLEFINANCE(C360, ""price"", EDATE(TODAY(), -6), TODAY()), 2, 2)) - 1, """")"),"")</f>
        <v/>
      </c>
      <c r="P360" s="21" t="str">
        <f>IFERROR(__xludf.DUMMYFUNCTION("IFERROR((GOOGLEFINANCE(C360, ""price"") / INDEX(GOOGLEFINANCE(C360, ""price"", EDATE(TODAY(), -12), TODAY()), 2, 2)) - 1, """")"),"")</f>
        <v/>
      </c>
      <c r="Q360" s="6" t="str">
        <f>IFERROR(__xludf.DUMMYFUNCTION("AVERAGE(QUERY(GOOGLEFINANCE(C360, ""price"", TODAY()-80, TODAY()), ""SELECT Col2 WHERE Col2 IS NOT NULL ORDER BY Col1 DESC LIMIT 50"", 0))"),"#N/A")</f>
        <v>#N/A</v>
      </c>
      <c r="R360" s="24" t="str">
        <f>IFERROR(__xludf.DUMMYFUNCTION("IFERROR(
  LET(
    data, QUERY(GOOGLEFINANCE(C360,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GOOGLEFINANCE(C360, ""price"")) * 100,
    IF(calc=0, G360, calc)
  ), 
G360)"),"#N/A")</f>
        <v>#N/A</v>
      </c>
      <c r="S360" s="8" t="s">
        <v>15</v>
      </c>
      <c r="T360" s="26" t="str">
        <f>IFERROR(__xludf.DUMMYFUNCTION("IFERROR(TRANSPOSE(QUERY(IFERROR(SORT(GOOGLEFINANCE(C360, ""price"", WORKDAY(TODAY(), -40), TODAY()), 1, FALSE)), ""select Col2 where Col2 is not null limit 22 label Col2 ''"", 0)), """")"),"")</f>
        <v/>
      </c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8"/>
      <c r="AO360" s="28"/>
      <c r="AP360" s="29"/>
      <c r="AQ360" s="29" t="str">
        <f t="shared" ref="AQ360:BL360" si="363">T360/T$2</f>
        <v>#N/A</v>
      </c>
      <c r="AR360" s="29" t="str">
        <f t="shared" si="363"/>
        <v>#DIV/0!</v>
      </c>
      <c r="AS360" s="29" t="str">
        <f t="shared" si="363"/>
        <v>#DIV/0!</v>
      </c>
      <c r="AT360" s="29" t="str">
        <f t="shared" si="363"/>
        <v>#DIV/0!</v>
      </c>
      <c r="AU360" s="29" t="str">
        <f t="shared" si="363"/>
        <v>#DIV/0!</v>
      </c>
      <c r="AV360" s="29" t="str">
        <f t="shared" si="363"/>
        <v>#DIV/0!</v>
      </c>
      <c r="AW360" s="29" t="str">
        <f t="shared" si="363"/>
        <v>#DIV/0!</v>
      </c>
      <c r="AX360" s="29" t="str">
        <f t="shared" si="363"/>
        <v>#DIV/0!</v>
      </c>
      <c r="AY360" s="29" t="str">
        <f t="shared" si="363"/>
        <v>#DIV/0!</v>
      </c>
      <c r="AZ360" s="29" t="str">
        <f t="shared" si="363"/>
        <v>#DIV/0!</v>
      </c>
      <c r="BA360" s="29" t="str">
        <f t="shared" si="363"/>
        <v>#DIV/0!</v>
      </c>
      <c r="BB360" s="29" t="str">
        <f t="shared" si="363"/>
        <v>#DIV/0!</v>
      </c>
      <c r="BC360" s="29" t="str">
        <f t="shared" si="363"/>
        <v>#DIV/0!</v>
      </c>
      <c r="BD360" s="29" t="str">
        <f t="shared" si="363"/>
        <v>#DIV/0!</v>
      </c>
      <c r="BE360" s="29" t="str">
        <f t="shared" si="363"/>
        <v>#DIV/0!</v>
      </c>
      <c r="BF360" s="29" t="str">
        <f t="shared" si="363"/>
        <v>#DIV/0!</v>
      </c>
      <c r="BG360" s="29" t="str">
        <f t="shared" si="363"/>
        <v>#DIV/0!</v>
      </c>
      <c r="BH360" s="29" t="str">
        <f t="shared" si="363"/>
        <v>#DIV/0!</v>
      </c>
      <c r="BI360" s="29" t="str">
        <f t="shared" si="363"/>
        <v>#DIV/0!</v>
      </c>
      <c r="BJ360" s="29" t="str">
        <f t="shared" si="363"/>
        <v>#DIV/0!</v>
      </c>
      <c r="BK360" s="29" t="str">
        <f t="shared" si="363"/>
        <v>#DIV/0!</v>
      </c>
      <c r="BL360" s="29" t="str">
        <f t="shared" si="363"/>
        <v>#DIV/0!</v>
      </c>
      <c r="BM360" s="29" t="str">
        <f t="shared" si="3"/>
        <v>#DIV/0!</v>
      </c>
    </row>
    <row r="361">
      <c r="A361" s="16" t="str">
        <f>IFERROR(__xludf.DUMMYFUNCTION("IFERROR(SPARKLINE(SORT(MAP(TRANSPOSE(AQ361:BL361), LAMBDA(val, IF(ISNUMBER(val), PERCENTRANK(AQ361:BL361, val)+0.01, 0))), SEQUENCE(COLUMNS(AQ361:BL361)), FALSE), {""charttype"",""column""; ""color"",""chartreuse""; ""ymin"", 0; ""ymax"", 1.01; ""highcolo"&amp;"r"", ""darkgreen""; ""lowcolor"", ""red""}), """")"),"")</f>
        <v/>
      </c>
      <c r="B361" s="17" t="str">
        <f t="shared" si="4"/>
        <v/>
      </c>
      <c r="C361" s="1" t="s">
        <v>2272</v>
      </c>
      <c r="D361" s="30" t="str">
        <f>IFERROR(__xludf.DUMMYFUNCTION("IFERROR(GOOGLEFINANCE(C361, ""NAME""))"),"Power Solutions International Inc")</f>
        <v>Power Solutions International Inc</v>
      </c>
      <c r="E361" s="30" t="s">
        <v>893</v>
      </c>
      <c r="F361" s="33" t="str">
        <f>IFERROR(__xludf.DUMMYFUNCTION("( (GOOGLEFINANCE(C361, ""price"") - Q361) / Q361 ) / (R361 / 100)"),"Loading...")</f>
        <v>Loading...</v>
      </c>
      <c r="G361" s="20" t="str">
        <f>IFERROR(__xludf.DUMMYFUNCTION("AVERAGE(ARRAYFORMULA(100 * (QUERY(GOOGLEFINANCE(C361, ""high"", TODAY()-40, TODAY()), ""SELECT Col2 WHERE Col2 IS NOT NULL ORDER BY Col1 DESC LIMIT 20"", 0) / QUERY(GOOGLEFINANCE(C361, ""low"", TODAY()-40, TODAY()), ""SELECT Col2 WHERE Col2 IS NOT NULL OR"&amp;"DER BY Col1 DESC LIMIT 20"", 0) - 1)))"),"#N/A")</f>
        <v>#N/A</v>
      </c>
      <c r="H361" s="35" t="str">
        <f t="shared" si="6"/>
        <v/>
      </c>
      <c r="I361" s="35" t="str">
        <f t="shared" si="7"/>
        <v/>
      </c>
      <c r="J361" s="37" t="str">
        <f>IFERROR(__xludf.DUMMYFUNCTION("IFERROR(
  IF(C361="""",, 
    IFERROR(
      GOOGLEFINANCE(C361, ""price"") * GOOGLEFINANCE(C361, ""volumeavg""), 
      GOOGLEFINANCE(C361, ""price"") * AVERAGE(QUERY(GOOGLEFINANCE(C361, ""volume"", TODAY()-40, TODAY()), ""SELECT Col2 WHERE Col2 IS NOT "&amp;"NULL ORDER BY Col1 DESC LIMIT 20"", 0))
    )
  ), 
"""")"),"")</f>
        <v/>
      </c>
      <c r="K361" s="21" t="str">
        <f>IFERROR(__xludf.DUMMYFUNCTION("IFERROR(GOOGLEFINANCE(C361, ""changepct"") / 100, """")"),"")</f>
        <v/>
      </c>
      <c r="L361" s="21" t="str">
        <f>IFERROR(__xludf.DUMMYFUNCTION("IFERROR((GOOGLEFINANCE(C361, ""price"") / INDEX(GOOGLEFINANCE(C361, ""price"", TODAY()-7, TODAY()), 2, 2)) - 1, """")"),"")</f>
        <v/>
      </c>
      <c r="M361" s="21" t="str">
        <f>IFERROR(__xludf.DUMMYFUNCTION("IFERROR((GOOGLEFINANCE(C361, ""price"") / INDEX(GOOGLEFINANCE(C361, ""price"", EDATE(TODAY(), -1), TODAY()), 2, 2)) - 1, """")"),"")</f>
        <v/>
      </c>
      <c r="N361" s="21" t="str">
        <f>IFERROR(__xludf.DUMMYFUNCTION("IFERROR((GOOGLEFINANCE(C361, ""price"") / INDEX(GOOGLEFINANCE(C361, ""price"", EDATE(TODAY(), -3), TODAY()), 2, 2)) - 1, """")"),"")</f>
        <v/>
      </c>
      <c r="O361" s="21" t="str">
        <f>IFERROR(__xludf.DUMMYFUNCTION("IFERROR((GOOGLEFINANCE(C361, ""price"") / INDEX(GOOGLEFINANCE(C361, ""price"", EDATE(TODAY(), -6), TODAY()), 2, 2)) - 1, """")"),"")</f>
        <v/>
      </c>
      <c r="P361" s="21" t="str">
        <f>IFERROR(__xludf.DUMMYFUNCTION("IFERROR((GOOGLEFINANCE(C361, ""price"") / INDEX(GOOGLEFINANCE(C361, ""price"", EDATE(TODAY(), -12), TODAY()), 2, 2)) - 1, """")"),"")</f>
        <v/>
      </c>
      <c r="Q361" s="6" t="str">
        <f>IFERROR(__xludf.DUMMYFUNCTION("AVERAGE(QUERY(GOOGLEFINANCE(C361, ""price"", TODAY()-80, TODAY()), ""SELECT Col2 WHERE Col2 IS NOT NULL ORDER BY Col1 DESC LIMIT 50"", 0))"),"#N/A")</f>
        <v>#N/A</v>
      </c>
      <c r="R361" s="24" t="str">
        <f>IFERROR(__xludf.DUMMYFUNCTION("IFERROR(
  LET(
    data, QUERY(GOOGLEFINANCE(C361,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GOOGLEFINANCE(C361, ""price"")) * 100,
    IF(calc=0, G361, calc)
  ), 
G361)"),"#N/A")</f>
        <v>#N/A</v>
      </c>
      <c r="S361" s="8" t="s">
        <v>15</v>
      </c>
      <c r="T361" s="26" t="str">
        <f>IFERROR(__xludf.DUMMYFUNCTION("IFERROR(TRANSPOSE(QUERY(IFERROR(SORT(GOOGLEFINANCE(C361, ""price"", WORKDAY(TODAY(), -40), TODAY()), 1, FALSE)), ""select Col2 where Col2 is not null limit 22 label Col2 ''"", 0)), """")"),"")</f>
        <v/>
      </c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8"/>
      <c r="AO361" s="28"/>
      <c r="AP361" s="29"/>
      <c r="AQ361" s="29" t="str">
        <f t="shared" ref="AQ361:BL361" si="364">T361/T$2</f>
        <v>#N/A</v>
      </c>
      <c r="AR361" s="29" t="str">
        <f t="shared" si="364"/>
        <v>#DIV/0!</v>
      </c>
      <c r="AS361" s="29" t="str">
        <f t="shared" si="364"/>
        <v>#DIV/0!</v>
      </c>
      <c r="AT361" s="29" t="str">
        <f t="shared" si="364"/>
        <v>#DIV/0!</v>
      </c>
      <c r="AU361" s="29" t="str">
        <f t="shared" si="364"/>
        <v>#DIV/0!</v>
      </c>
      <c r="AV361" s="29" t="str">
        <f t="shared" si="364"/>
        <v>#DIV/0!</v>
      </c>
      <c r="AW361" s="29" t="str">
        <f t="shared" si="364"/>
        <v>#DIV/0!</v>
      </c>
      <c r="AX361" s="29" t="str">
        <f t="shared" si="364"/>
        <v>#DIV/0!</v>
      </c>
      <c r="AY361" s="29" t="str">
        <f t="shared" si="364"/>
        <v>#DIV/0!</v>
      </c>
      <c r="AZ361" s="29" t="str">
        <f t="shared" si="364"/>
        <v>#DIV/0!</v>
      </c>
      <c r="BA361" s="29" t="str">
        <f t="shared" si="364"/>
        <v>#DIV/0!</v>
      </c>
      <c r="BB361" s="29" t="str">
        <f t="shared" si="364"/>
        <v>#DIV/0!</v>
      </c>
      <c r="BC361" s="29" t="str">
        <f t="shared" si="364"/>
        <v>#DIV/0!</v>
      </c>
      <c r="BD361" s="29" t="str">
        <f t="shared" si="364"/>
        <v>#DIV/0!</v>
      </c>
      <c r="BE361" s="29" t="str">
        <f t="shared" si="364"/>
        <v>#DIV/0!</v>
      </c>
      <c r="BF361" s="29" t="str">
        <f t="shared" si="364"/>
        <v>#DIV/0!</v>
      </c>
      <c r="BG361" s="29" t="str">
        <f t="shared" si="364"/>
        <v>#DIV/0!</v>
      </c>
      <c r="BH361" s="29" t="str">
        <f t="shared" si="364"/>
        <v>#DIV/0!</v>
      </c>
      <c r="BI361" s="29" t="str">
        <f t="shared" si="364"/>
        <v>#DIV/0!</v>
      </c>
      <c r="BJ361" s="29" t="str">
        <f t="shared" si="364"/>
        <v>#DIV/0!</v>
      </c>
      <c r="BK361" s="29" t="str">
        <f t="shared" si="364"/>
        <v>#DIV/0!</v>
      </c>
      <c r="BL361" s="29" t="str">
        <f t="shared" si="364"/>
        <v>#DIV/0!</v>
      </c>
      <c r="BM361" s="29" t="str">
        <f t="shared" si="3"/>
        <v>#DIV/0!</v>
      </c>
    </row>
    <row r="362">
      <c r="A362" s="16" t="str">
        <f>IFERROR(__xludf.DUMMYFUNCTION("IFERROR(SPARKLINE(SORT(MAP(TRANSPOSE(AQ362:BL362), LAMBDA(val, IF(ISNUMBER(val), PERCENTRANK(AQ362:BL362, val)+0.01, 0))), SEQUENCE(COLUMNS(AQ362:BL362)), FALSE), {""charttype"",""column""; ""color"",""chartreuse""; ""ymin"", 0; ""ymax"", 1.01; ""highcolo"&amp;"r"", ""darkgreen""; ""lowcolor"", ""red""}), """")"),"")</f>
        <v/>
      </c>
      <c r="B362" s="17" t="str">
        <f t="shared" si="4"/>
        <v/>
      </c>
      <c r="C362" s="1" t="s">
        <v>2276</v>
      </c>
      <c r="D362" s="30" t="str">
        <f>IFERROR(__xludf.DUMMYFUNCTION("IFERROR(GOOGLEFINANCE(C362, ""NAME""))"),"ESAB Corp")</f>
        <v>ESAB Corp</v>
      </c>
      <c r="E362" s="30" t="s">
        <v>847</v>
      </c>
      <c r="F362" s="33" t="str">
        <f>IFERROR(__xludf.DUMMYFUNCTION("( (GOOGLEFINANCE(C362, ""price"") - Q362) / Q362 ) / (R362 / 100)"),"Loading...")</f>
        <v>Loading...</v>
      </c>
      <c r="G362" s="20" t="str">
        <f>IFERROR(__xludf.DUMMYFUNCTION("AVERAGE(ARRAYFORMULA(100 * (QUERY(GOOGLEFINANCE(C362, ""high"", TODAY()-40, TODAY()), ""SELECT Col2 WHERE Col2 IS NOT NULL ORDER BY Col1 DESC LIMIT 20"", 0) / QUERY(GOOGLEFINANCE(C362, ""low"", TODAY()-40, TODAY()), ""SELECT Col2 WHERE Col2 IS NOT NULL OR"&amp;"DER BY Col1 DESC LIMIT 20"", 0) - 1)))"),"#N/A")</f>
        <v>#N/A</v>
      </c>
      <c r="H362" s="35" t="str">
        <f t="shared" si="6"/>
        <v/>
      </c>
      <c r="I362" s="35" t="str">
        <f t="shared" si="7"/>
        <v/>
      </c>
      <c r="J362" s="37" t="str">
        <f>IFERROR(__xludf.DUMMYFUNCTION("IFERROR(
  IF(C362="""",, 
    IFERROR(
      GOOGLEFINANCE(C362, ""price"") * GOOGLEFINANCE(C362, ""volumeavg""), 
      GOOGLEFINANCE(C362, ""price"") * AVERAGE(QUERY(GOOGLEFINANCE(C362, ""volume"", TODAY()-40, TODAY()), ""SELECT Col2 WHERE Col2 IS NOT "&amp;"NULL ORDER BY Col1 DESC LIMIT 20"", 0))
    )
  ), 
"""")"),"")</f>
        <v/>
      </c>
      <c r="K362" s="21" t="str">
        <f>IFERROR(__xludf.DUMMYFUNCTION("IFERROR(GOOGLEFINANCE(C362, ""changepct"") / 100, """")"),"")</f>
        <v/>
      </c>
      <c r="L362" s="21" t="str">
        <f>IFERROR(__xludf.DUMMYFUNCTION("IFERROR((GOOGLEFINANCE(C362, ""price"") / INDEX(GOOGLEFINANCE(C362, ""price"", TODAY()-7, TODAY()), 2, 2)) - 1, """")"),"")</f>
        <v/>
      </c>
      <c r="M362" s="21" t="str">
        <f>IFERROR(__xludf.DUMMYFUNCTION("IFERROR((GOOGLEFINANCE(C362, ""price"") / INDEX(GOOGLEFINANCE(C362, ""price"", EDATE(TODAY(), -1), TODAY()), 2, 2)) - 1, """")"),"")</f>
        <v/>
      </c>
      <c r="N362" s="21" t="str">
        <f>IFERROR(__xludf.DUMMYFUNCTION("IFERROR((GOOGLEFINANCE(C362, ""price"") / INDEX(GOOGLEFINANCE(C362, ""price"", EDATE(TODAY(), -3), TODAY()), 2, 2)) - 1, """")"),"")</f>
        <v/>
      </c>
      <c r="O362" s="21" t="str">
        <f>IFERROR(__xludf.DUMMYFUNCTION("IFERROR((GOOGLEFINANCE(C362, ""price"") / INDEX(GOOGLEFINANCE(C362, ""price"", EDATE(TODAY(), -6), TODAY()), 2, 2)) - 1, """")"),"")</f>
        <v/>
      </c>
      <c r="P362" s="21" t="str">
        <f>IFERROR(__xludf.DUMMYFUNCTION("IFERROR((GOOGLEFINANCE(C362, ""price"") / INDEX(GOOGLEFINANCE(C362, ""price"", EDATE(TODAY(), -12), TODAY()), 2, 2)) - 1, """")"),"")</f>
        <v/>
      </c>
      <c r="Q362" s="6" t="str">
        <f>IFERROR(__xludf.DUMMYFUNCTION("AVERAGE(QUERY(GOOGLEFINANCE(C362, ""price"", TODAY()-80, TODAY()), ""SELECT Col2 WHERE Col2 IS NOT NULL ORDER BY Col1 DESC LIMIT 50"", 0))"),"#N/A")</f>
        <v>#N/A</v>
      </c>
      <c r="R362" s="24" t="str">
        <f>IFERROR(__xludf.DUMMYFUNCTION("IFERROR(
  LET(
    data, QUERY(GOOGLEFINANCE(C362,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GOOGLEFINANCE(C362, ""price"")) * 100,
    IF(calc=0, G362, calc)
  ), 
G362)"),"#N/A")</f>
        <v>#N/A</v>
      </c>
      <c r="S362" s="8" t="s">
        <v>15</v>
      </c>
      <c r="T362" s="26" t="str">
        <f>IFERROR(__xludf.DUMMYFUNCTION("IFERROR(TRANSPOSE(QUERY(IFERROR(SORT(GOOGLEFINANCE(C362, ""price"", WORKDAY(TODAY(), -40), TODAY()), 1, FALSE)), ""select Col2 where Col2 is not null limit 22 label Col2 ''"", 0)), """")"),"")</f>
        <v/>
      </c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8"/>
      <c r="AO362" s="28"/>
      <c r="AP362" s="29"/>
      <c r="AQ362" s="29" t="str">
        <f t="shared" ref="AQ362:BL362" si="365">T362/T$2</f>
        <v>#N/A</v>
      </c>
      <c r="AR362" s="29" t="str">
        <f t="shared" si="365"/>
        <v>#DIV/0!</v>
      </c>
      <c r="AS362" s="29" t="str">
        <f t="shared" si="365"/>
        <v>#DIV/0!</v>
      </c>
      <c r="AT362" s="29" t="str">
        <f t="shared" si="365"/>
        <v>#DIV/0!</v>
      </c>
      <c r="AU362" s="29" t="str">
        <f t="shared" si="365"/>
        <v>#DIV/0!</v>
      </c>
      <c r="AV362" s="29" t="str">
        <f t="shared" si="365"/>
        <v>#DIV/0!</v>
      </c>
      <c r="AW362" s="29" t="str">
        <f t="shared" si="365"/>
        <v>#DIV/0!</v>
      </c>
      <c r="AX362" s="29" t="str">
        <f t="shared" si="365"/>
        <v>#DIV/0!</v>
      </c>
      <c r="AY362" s="29" t="str">
        <f t="shared" si="365"/>
        <v>#DIV/0!</v>
      </c>
      <c r="AZ362" s="29" t="str">
        <f t="shared" si="365"/>
        <v>#DIV/0!</v>
      </c>
      <c r="BA362" s="29" t="str">
        <f t="shared" si="365"/>
        <v>#DIV/0!</v>
      </c>
      <c r="BB362" s="29" t="str">
        <f t="shared" si="365"/>
        <v>#DIV/0!</v>
      </c>
      <c r="BC362" s="29" t="str">
        <f t="shared" si="365"/>
        <v>#DIV/0!</v>
      </c>
      <c r="BD362" s="29" t="str">
        <f t="shared" si="365"/>
        <v>#DIV/0!</v>
      </c>
      <c r="BE362" s="29" t="str">
        <f t="shared" si="365"/>
        <v>#DIV/0!</v>
      </c>
      <c r="BF362" s="29" t="str">
        <f t="shared" si="365"/>
        <v>#DIV/0!</v>
      </c>
      <c r="BG362" s="29" t="str">
        <f t="shared" si="365"/>
        <v>#DIV/0!</v>
      </c>
      <c r="BH362" s="29" t="str">
        <f t="shared" si="365"/>
        <v>#DIV/0!</v>
      </c>
      <c r="BI362" s="29" t="str">
        <f t="shared" si="365"/>
        <v>#DIV/0!</v>
      </c>
      <c r="BJ362" s="29" t="str">
        <f t="shared" si="365"/>
        <v>#DIV/0!</v>
      </c>
      <c r="BK362" s="29" t="str">
        <f t="shared" si="365"/>
        <v>#DIV/0!</v>
      </c>
      <c r="BL362" s="29" t="str">
        <f t="shared" si="365"/>
        <v>#DIV/0!</v>
      </c>
      <c r="BM362" s="29" t="str">
        <f t="shared" si="3"/>
        <v>#DIV/0!</v>
      </c>
    </row>
    <row r="363">
      <c r="A363" s="16" t="str">
        <f>IFERROR(__xludf.DUMMYFUNCTION("IFERROR(SPARKLINE(SORT(MAP(TRANSPOSE(AQ363:BL363), LAMBDA(val, IF(ISNUMBER(val), PERCENTRANK(AQ363:BL363, val)+0.01, 0))), SEQUENCE(COLUMNS(AQ363:BL363)), FALSE), {""charttype"",""column""; ""color"",""chartreuse""; ""ymin"", 0; ""ymax"", 1.01; ""highcolo"&amp;"r"", ""darkgreen""; ""lowcolor"", ""red""}), """")"),"")</f>
        <v/>
      </c>
      <c r="B363" s="17" t="str">
        <f t="shared" si="4"/>
        <v/>
      </c>
      <c r="C363" s="1" t="s">
        <v>2280</v>
      </c>
      <c r="D363" s="30" t="str">
        <f>IFERROR(__xludf.DUMMYFUNCTION("IFERROR(GOOGLEFINANCE(C363, ""NAME""))"),"Wheels Up Experience Inc")</f>
        <v>Wheels Up Experience Inc</v>
      </c>
      <c r="E363" s="30" t="s">
        <v>1001</v>
      </c>
      <c r="F363" s="38" t="str">
        <f>IFERROR(__xludf.DUMMYFUNCTION("( (GOOGLEFINANCE(C363, ""price"") - Q363) / Q363 ) / (R363 / 100)"),"Loading...")</f>
        <v>Loading...</v>
      </c>
      <c r="G363" s="20" t="str">
        <f>IFERROR(__xludf.DUMMYFUNCTION("AVERAGE(ARRAYFORMULA(100 * (QUERY(GOOGLEFINANCE(C363, ""high"", TODAY()-40, TODAY()), ""SELECT Col2 WHERE Col2 IS NOT NULL ORDER BY Col1 DESC LIMIT 20"", 0) / QUERY(GOOGLEFINANCE(C363, ""low"", TODAY()-40, TODAY()), ""SELECT Col2 WHERE Col2 IS NOT NULL OR"&amp;"DER BY Col1 DESC LIMIT 20"", 0) - 1)))"),"#N/A")</f>
        <v>#N/A</v>
      </c>
      <c r="H363" s="35" t="str">
        <f t="shared" si="6"/>
        <v/>
      </c>
      <c r="I363" s="35" t="str">
        <f t="shared" si="7"/>
        <v/>
      </c>
      <c r="J363" s="37" t="str">
        <f>IFERROR(__xludf.DUMMYFUNCTION("IFERROR(
  IF(C363="""",, 
    IFERROR(
      GOOGLEFINANCE(C363, ""price"") * GOOGLEFINANCE(C363, ""volumeavg""), 
      GOOGLEFINANCE(C363, ""price"") * AVERAGE(QUERY(GOOGLEFINANCE(C363, ""volume"", TODAY()-40, TODAY()), ""SELECT Col2 WHERE Col2 IS NOT "&amp;"NULL ORDER BY Col1 DESC LIMIT 20"", 0))
    )
  ), 
"""")"),"")</f>
        <v/>
      </c>
      <c r="K363" s="21" t="str">
        <f>IFERROR(__xludf.DUMMYFUNCTION("IFERROR(GOOGLEFINANCE(C363, ""changepct"") / 100, """")"),"")</f>
        <v/>
      </c>
      <c r="L363" s="21" t="str">
        <f>IFERROR(__xludf.DUMMYFUNCTION("IFERROR((GOOGLEFINANCE(C363, ""price"") / INDEX(GOOGLEFINANCE(C363, ""price"", TODAY()-7, TODAY()), 2, 2)) - 1, """")"),"")</f>
        <v/>
      </c>
      <c r="M363" s="21" t="str">
        <f>IFERROR(__xludf.DUMMYFUNCTION("IFERROR((GOOGLEFINANCE(C363, ""price"") / INDEX(GOOGLEFINANCE(C363, ""price"", EDATE(TODAY(), -1), TODAY()), 2, 2)) - 1, """")"),"")</f>
        <v/>
      </c>
      <c r="N363" s="21" t="str">
        <f>IFERROR(__xludf.DUMMYFUNCTION("IFERROR((GOOGLEFINANCE(C363, ""price"") / INDEX(GOOGLEFINANCE(C363, ""price"", EDATE(TODAY(), -3), TODAY()), 2, 2)) - 1, """")"),"")</f>
        <v/>
      </c>
      <c r="O363" s="21" t="str">
        <f>IFERROR(__xludf.DUMMYFUNCTION("IFERROR((GOOGLEFINANCE(C363, ""price"") / INDEX(GOOGLEFINANCE(C363, ""price"", EDATE(TODAY(), -6), TODAY()), 2, 2)) - 1, """")"),"")</f>
        <v/>
      </c>
      <c r="P363" s="21" t="str">
        <f>IFERROR(__xludf.DUMMYFUNCTION("IFERROR((GOOGLEFINANCE(C363, ""price"") / INDEX(GOOGLEFINANCE(C363, ""price"", EDATE(TODAY(), -12), TODAY()), 2, 2)) - 1, """")"),"")</f>
        <v/>
      </c>
      <c r="Q363" s="6" t="str">
        <f>IFERROR(__xludf.DUMMYFUNCTION("AVERAGE(QUERY(GOOGLEFINANCE(C363, ""price"", TODAY()-80, TODAY()), ""SELECT Col2 WHERE Col2 IS NOT NULL ORDER BY Col1 DESC LIMIT 50"", 0))"),"#N/A")</f>
        <v>#N/A</v>
      </c>
      <c r="R363" s="24" t="str">
        <f>IFERROR(__xludf.DUMMYFUNCTION("IFERROR(
  LET(
    data, QUERY(GOOGLEFINANCE(C363,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GOOGLEFINANCE(C363, ""price"")) * 100,
    IF(calc=0, G363, calc)
  ), 
G363)"),"#N/A")</f>
        <v>#N/A</v>
      </c>
      <c r="S363" s="8" t="s">
        <v>15</v>
      </c>
      <c r="T363" s="26" t="str">
        <f>IFERROR(__xludf.DUMMYFUNCTION("IFERROR(TRANSPOSE(QUERY(IFERROR(SORT(GOOGLEFINANCE(C363, ""price"", WORKDAY(TODAY(), -40), TODAY()), 1, FALSE)), ""select Col2 where Col2 is not null limit 22 label Col2 ''"", 0)), """")"),"")</f>
        <v/>
      </c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8"/>
      <c r="AO363" s="28"/>
      <c r="AP363" s="29"/>
      <c r="AQ363" s="29" t="str">
        <f t="shared" ref="AQ363:BL363" si="366">T363/T$2</f>
        <v>#N/A</v>
      </c>
      <c r="AR363" s="29" t="str">
        <f t="shared" si="366"/>
        <v>#DIV/0!</v>
      </c>
      <c r="AS363" s="29" t="str">
        <f t="shared" si="366"/>
        <v>#DIV/0!</v>
      </c>
      <c r="AT363" s="29" t="str">
        <f t="shared" si="366"/>
        <v>#DIV/0!</v>
      </c>
      <c r="AU363" s="29" t="str">
        <f t="shared" si="366"/>
        <v>#DIV/0!</v>
      </c>
      <c r="AV363" s="29" t="str">
        <f t="shared" si="366"/>
        <v>#DIV/0!</v>
      </c>
      <c r="AW363" s="29" t="str">
        <f t="shared" si="366"/>
        <v>#DIV/0!</v>
      </c>
      <c r="AX363" s="29" t="str">
        <f t="shared" si="366"/>
        <v>#DIV/0!</v>
      </c>
      <c r="AY363" s="29" t="str">
        <f t="shared" si="366"/>
        <v>#DIV/0!</v>
      </c>
      <c r="AZ363" s="29" t="str">
        <f t="shared" si="366"/>
        <v>#DIV/0!</v>
      </c>
      <c r="BA363" s="29" t="str">
        <f t="shared" si="366"/>
        <v>#DIV/0!</v>
      </c>
      <c r="BB363" s="29" t="str">
        <f t="shared" si="366"/>
        <v>#DIV/0!</v>
      </c>
      <c r="BC363" s="29" t="str">
        <f t="shared" si="366"/>
        <v>#DIV/0!</v>
      </c>
      <c r="BD363" s="29" t="str">
        <f t="shared" si="366"/>
        <v>#DIV/0!</v>
      </c>
      <c r="BE363" s="29" t="str">
        <f t="shared" si="366"/>
        <v>#DIV/0!</v>
      </c>
      <c r="BF363" s="29" t="str">
        <f t="shared" si="366"/>
        <v>#DIV/0!</v>
      </c>
      <c r="BG363" s="29" t="str">
        <f t="shared" si="366"/>
        <v>#DIV/0!</v>
      </c>
      <c r="BH363" s="29" t="str">
        <f t="shared" si="366"/>
        <v>#DIV/0!</v>
      </c>
      <c r="BI363" s="29" t="str">
        <f t="shared" si="366"/>
        <v>#DIV/0!</v>
      </c>
      <c r="BJ363" s="29" t="str">
        <f t="shared" si="366"/>
        <v>#DIV/0!</v>
      </c>
      <c r="BK363" s="29" t="str">
        <f t="shared" si="366"/>
        <v>#DIV/0!</v>
      </c>
      <c r="BL363" s="29" t="str">
        <f t="shared" si="366"/>
        <v>#DIV/0!</v>
      </c>
      <c r="BM363" s="29" t="str">
        <f t="shared" si="3"/>
        <v>#DIV/0!</v>
      </c>
    </row>
    <row r="364">
      <c r="A364" s="16" t="str">
        <f>IFERROR(__xludf.DUMMYFUNCTION("IFERROR(SPARKLINE(SORT(MAP(TRANSPOSE(AQ364:BL364), LAMBDA(val, IF(ISNUMBER(val), PERCENTRANK(AQ364:BL364, val)+0.01, 0))), SEQUENCE(COLUMNS(AQ364:BL364)), FALSE), {""charttype"",""column""; ""color"",""chartreuse""; ""ymin"", 0; ""ymax"", 1.01; ""highcolo"&amp;"r"", ""darkgreen""; ""lowcolor"", ""red""}), """")"),"")</f>
        <v/>
      </c>
      <c r="B364" s="17" t="str">
        <f t="shared" si="4"/>
        <v/>
      </c>
      <c r="C364" s="1" t="s">
        <v>2286</v>
      </c>
      <c r="D364" s="30" t="str">
        <f>IFERROR(__xludf.DUMMYFUNCTION("IFERROR(GOOGLEFINANCE(C364, ""NAME""))"),"Knight-Swift Transportation Holdings Inc")</f>
        <v>Knight-Swift Transportation Holdings Inc</v>
      </c>
      <c r="E364" s="30" t="s">
        <v>1317</v>
      </c>
      <c r="F364" s="33" t="str">
        <f>IFERROR(__xludf.DUMMYFUNCTION("( (GOOGLEFINANCE(C364, ""price"") - Q364) / Q364 ) / (R364 / 100)"),"Loading...")</f>
        <v>Loading...</v>
      </c>
      <c r="G364" s="20" t="str">
        <f>IFERROR(__xludf.DUMMYFUNCTION("AVERAGE(ARRAYFORMULA(100 * (QUERY(GOOGLEFINANCE(C364, ""high"", TODAY()-40, TODAY()), ""SELECT Col2 WHERE Col2 IS NOT NULL ORDER BY Col1 DESC LIMIT 20"", 0) / QUERY(GOOGLEFINANCE(C364, ""low"", TODAY()-40, TODAY()), ""SELECT Col2 WHERE Col2 IS NOT NULL OR"&amp;"DER BY Col1 DESC LIMIT 20"", 0) - 1)))"),"#N/A")</f>
        <v>#N/A</v>
      </c>
      <c r="H364" s="35" t="str">
        <f t="shared" si="6"/>
        <v/>
      </c>
      <c r="I364" s="35" t="str">
        <f t="shared" si="7"/>
        <v/>
      </c>
      <c r="J364" s="37" t="str">
        <f>IFERROR(__xludf.DUMMYFUNCTION("IFERROR(
  IF(C364="""",, 
    IFERROR(
      GOOGLEFINANCE(C364, ""price"") * GOOGLEFINANCE(C364, ""volumeavg""), 
      GOOGLEFINANCE(C364, ""price"") * AVERAGE(QUERY(GOOGLEFINANCE(C364, ""volume"", TODAY()-40, TODAY()), ""SELECT Col2 WHERE Col2 IS NOT "&amp;"NULL ORDER BY Col1 DESC LIMIT 20"", 0))
    )
  ), 
"""")"),"")</f>
        <v/>
      </c>
      <c r="K364" s="21" t="str">
        <f>IFERROR(__xludf.DUMMYFUNCTION("IFERROR(GOOGLEFINANCE(C364, ""changepct"") / 100, """")"),"")</f>
        <v/>
      </c>
      <c r="L364" s="21" t="str">
        <f>IFERROR(__xludf.DUMMYFUNCTION("IFERROR((GOOGLEFINANCE(C364, ""price"") / INDEX(GOOGLEFINANCE(C364, ""price"", TODAY()-7, TODAY()), 2, 2)) - 1, """")"),"")</f>
        <v/>
      </c>
      <c r="M364" s="21" t="str">
        <f>IFERROR(__xludf.DUMMYFUNCTION("IFERROR((GOOGLEFINANCE(C364, ""price"") / INDEX(GOOGLEFINANCE(C364, ""price"", EDATE(TODAY(), -1), TODAY()), 2, 2)) - 1, """")"),"")</f>
        <v/>
      </c>
      <c r="N364" s="21" t="str">
        <f>IFERROR(__xludf.DUMMYFUNCTION("IFERROR((GOOGLEFINANCE(C364, ""price"") / INDEX(GOOGLEFINANCE(C364, ""price"", EDATE(TODAY(), -3), TODAY()), 2, 2)) - 1, """")"),"")</f>
        <v/>
      </c>
      <c r="O364" s="21" t="str">
        <f>IFERROR(__xludf.DUMMYFUNCTION("IFERROR((GOOGLEFINANCE(C364, ""price"") / INDEX(GOOGLEFINANCE(C364, ""price"", EDATE(TODAY(), -6), TODAY()), 2, 2)) - 1, """")"),"")</f>
        <v/>
      </c>
      <c r="P364" s="21" t="str">
        <f>IFERROR(__xludf.DUMMYFUNCTION("IFERROR((GOOGLEFINANCE(C364, ""price"") / INDEX(GOOGLEFINANCE(C364, ""price"", EDATE(TODAY(), -12), TODAY()), 2, 2)) - 1, """")"),"")</f>
        <v/>
      </c>
      <c r="Q364" s="6" t="str">
        <f>IFERROR(__xludf.DUMMYFUNCTION("AVERAGE(QUERY(GOOGLEFINANCE(C364, ""price"", TODAY()-80, TODAY()), ""SELECT Col2 WHERE Col2 IS NOT NULL ORDER BY Col1 DESC LIMIT 50"", 0))"),"#N/A")</f>
        <v>#N/A</v>
      </c>
      <c r="R364" s="24" t="str">
        <f>IFERROR(__xludf.DUMMYFUNCTION("IFERROR(
  LET(
    data, QUERY(GOOGLEFINANCE(C364,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GOOGLEFINANCE(C364, ""price"")) * 100,
    IF(calc=0, G364, calc)
  ), 
G364)"),"#N/A")</f>
        <v>#N/A</v>
      </c>
      <c r="S364" s="8" t="s">
        <v>15</v>
      </c>
      <c r="T364" s="26" t="str">
        <f>IFERROR(__xludf.DUMMYFUNCTION("IFERROR(TRANSPOSE(QUERY(IFERROR(SORT(GOOGLEFINANCE(C364, ""price"", WORKDAY(TODAY(), -40), TODAY()), 1, FALSE)), ""select Col2 where Col2 is not null limit 22 label Col2 ''"", 0)), """")"),"")</f>
        <v/>
      </c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8"/>
      <c r="AO364" s="28"/>
      <c r="AP364" s="29"/>
      <c r="AQ364" s="29" t="str">
        <f t="shared" ref="AQ364:BL364" si="367">T364/T$2</f>
        <v>#N/A</v>
      </c>
      <c r="AR364" s="29" t="str">
        <f t="shared" si="367"/>
        <v>#DIV/0!</v>
      </c>
      <c r="AS364" s="29" t="str">
        <f t="shared" si="367"/>
        <v>#DIV/0!</v>
      </c>
      <c r="AT364" s="29" t="str">
        <f t="shared" si="367"/>
        <v>#DIV/0!</v>
      </c>
      <c r="AU364" s="29" t="str">
        <f t="shared" si="367"/>
        <v>#DIV/0!</v>
      </c>
      <c r="AV364" s="29" t="str">
        <f t="shared" si="367"/>
        <v>#DIV/0!</v>
      </c>
      <c r="AW364" s="29" t="str">
        <f t="shared" si="367"/>
        <v>#DIV/0!</v>
      </c>
      <c r="AX364" s="29" t="str">
        <f t="shared" si="367"/>
        <v>#DIV/0!</v>
      </c>
      <c r="AY364" s="29" t="str">
        <f t="shared" si="367"/>
        <v>#DIV/0!</v>
      </c>
      <c r="AZ364" s="29" t="str">
        <f t="shared" si="367"/>
        <v>#DIV/0!</v>
      </c>
      <c r="BA364" s="29" t="str">
        <f t="shared" si="367"/>
        <v>#DIV/0!</v>
      </c>
      <c r="BB364" s="29" t="str">
        <f t="shared" si="367"/>
        <v>#DIV/0!</v>
      </c>
      <c r="BC364" s="29" t="str">
        <f t="shared" si="367"/>
        <v>#DIV/0!</v>
      </c>
      <c r="BD364" s="29" t="str">
        <f t="shared" si="367"/>
        <v>#DIV/0!</v>
      </c>
      <c r="BE364" s="29" t="str">
        <f t="shared" si="367"/>
        <v>#DIV/0!</v>
      </c>
      <c r="BF364" s="29" t="str">
        <f t="shared" si="367"/>
        <v>#DIV/0!</v>
      </c>
      <c r="BG364" s="29" t="str">
        <f t="shared" si="367"/>
        <v>#DIV/0!</v>
      </c>
      <c r="BH364" s="29" t="str">
        <f t="shared" si="367"/>
        <v>#DIV/0!</v>
      </c>
      <c r="BI364" s="29" t="str">
        <f t="shared" si="367"/>
        <v>#DIV/0!</v>
      </c>
      <c r="BJ364" s="29" t="str">
        <f t="shared" si="367"/>
        <v>#DIV/0!</v>
      </c>
      <c r="BK364" s="29" t="str">
        <f t="shared" si="367"/>
        <v>#DIV/0!</v>
      </c>
      <c r="BL364" s="29" t="str">
        <f t="shared" si="367"/>
        <v>#DIV/0!</v>
      </c>
      <c r="BM364" s="29" t="str">
        <f t="shared" si="3"/>
        <v>#DIV/0!</v>
      </c>
    </row>
    <row r="365">
      <c r="A365" s="16" t="str">
        <f>IFERROR(__xludf.DUMMYFUNCTION("IFERROR(SPARKLINE(SORT(MAP(TRANSPOSE(AQ365:BL365), LAMBDA(val, IF(ISNUMBER(val), PERCENTRANK(AQ365:BL365, val)+0.01, 0))), SEQUENCE(COLUMNS(AQ365:BL365)), FALSE), {""charttype"",""column""; ""color"",""chartreuse""; ""ymin"", 0; ""ymax"", 1.01; ""highcolo"&amp;"r"", ""darkgreen""; ""lowcolor"", ""red""}), """")"),"")</f>
        <v/>
      </c>
      <c r="B365" s="17" t="str">
        <f t="shared" si="4"/>
        <v/>
      </c>
      <c r="C365" s="1" t="s">
        <v>2291</v>
      </c>
      <c r="D365" s="30" t="str">
        <f>IFERROR(__xludf.DUMMYFUNCTION("IFERROR(GOOGLEFINANCE(C365, ""NAME""))"),"Manitowoc Company Inc")</f>
        <v>Manitowoc Company Inc</v>
      </c>
      <c r="E365" s="30" t="s">
        <v>1036</v>
      </c>
      <c r="F365" s="33" t="str">
        <f>IFERROR(__xludf.DUMMYFUNCTION("( (GOOGLEFINANCE(C365, ""price"") - Q365) / Q365 ) / (R365 / 100)"),"Loading...")</f>
        <v>Loading...</v>
      </c>
      <c r="G365" s="20" t="str">
        <f>IFERROR(__xludf.DUMMYFUNCTION("AVERAGE(ARRAYFORMULA(100 * (QUERY(GOOGLEFINANCE(C365, ""high"", TODAY()-40, TODAY()), ""SELECT Col2 WHERE Col2 IS NOT NULL ORDER BY Col1 DESC LIMIT 20"", 0) / QUERY(GOOGLEFINANCE(C365, ""low"", TODAY()-40, TODAY()), ""SELECT Col2 WHERE Col2 IS NOT NULL OR"&amp;"DER BY Col1 DESC LIMIT 20"", 0) - 1)))"),"#N/A")</f>
        <v>#N/A</v>
      </c>
      <c r="H365" s="35" t="str">
        <f t="shared" si="6"/>
        <v/>
      </c>
      <c r="I365" s="35" t="str">
        <f t="shared" si="7"/>
        <v/>
      </c>
      <c r="J365" s="37" t="str">
        <f>IFERROR(__xludf.DUMMYFUNCTION("IFERROR(
  IF(C365="""",, 
    IFERROR(
      GOOGLEFINANCE(C365, ""price"") * GOOGLEFINANCE(C365, ""volumeavg""), 
      GOOGLEFINANCE(C365, ""price"") * AVERAGE(QUERY(GOOGLEFINANCE(C365, ""volume"", TODAY()-40, TODAY()), ""SELECT Col2 WHERE Col2 IS NOT "&amp;"NULL ORDER BY Col1 DESC LIMIT 20"", 0))
    )
  ), 
"""")"),"")</f>
        <v/>
      </c>
      <c r="K365" s="21" t="str">
        <f>IFERROR(__xludf.DUMMYFUNCTION("IFERROR(GOOGLEFINANCE(C365, ""changepct"") / 100, """")"),"")</f>
        <v/>
      </c>
      <c r="L365" s="21" t="str">
        <f>IFERROR(__xludf.DUMMYFUNCTION("IFERROR((GOOGLEFINANCE(C365, ""price"") / INDEX(GOOGLEFINANCE(C365, ""price"", TODAY()-7, TODAY()), 2, 2)) - 1, """")"),"")</f>
        <v/>
      </c>
      <c r="M365" s="21" t="str">
        <f>IFERROR(__xludf.DUMMYFUNCTION("IFERROR((GOOGLEFINANCE(C365, ""price"") / INDEX(GOOGLEFINANCE(C365, ""price"", EDATE(TODAY(), -1), TODAY()), 2, 2)) - 1, """")"),"")</f>
        <v/>
      </c>
      <c r="N365" s="21" t="str">
        <f>IFERROR(__xludf.DUMMYFUNCTION("IFERROR((GOOGLEFINANCE(C365, ""price"") / INDEX(GOOGLEFINANCE(C365, ""price"", EDATE(TODAY(), -3), TODAY()), 2, 2)) - 1, """")"),"")</f>
        <v/>
      </c>
      <c r="O365" s="21" t="str">
        <f>IFERROR(__xludf.DUMMYFUNCTION("IFERROR((GOOGLEFINANCE(C365, ""price"") / INDEX(GOOGLEFINANCE(C365, ""price"", EDATE(TODAY(), -6), TODAY()), 2, 2)) - 1, """")"),"")</f>
        <v/>
      </c>
      <c r="P365" s="21" t="str">
        <f>IFERROR(__xludf.DUMMYFUNCTION("IFERROR((GOOGLEFINANCE(C365, ""price"") / INDEX(GOOGLEFINANCE(C365, ""price"", EDATE(TODAY(), -12), TODAY()), 2, 2)) - 1, """")"),"")</f>
        <v/>
      </c>
      <c r="Q365" s="6" t="str">
        <f>IFERROR(__xludf.DUMMYFUNCTION("AVERAGE(QUERY(GOOGLEFINANCE(C365, ""price"", TODAY()-80, TODAY()), ""SELECT Col2 WHERE Col2 IS NOT NULL ORDER BY Col1 DESC LIMIT 50"", 0))"),"#N/A")</f>
        <v>#N/A</v>
      </c>
      <c r="R365" s="24" t="str">
        <f>IFERROR(__xludf.DUMMYFUNCTION("IFERROR(
  LET(
    data, QUERY(GOOGLEFINANCE(C365,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GOOGLEFINANCE(C365, ""price"")) * 100,
    IF(calc=0, G365, calc)
  ), 
G365)"),"#N/A")</f>
        <v>#N/A</v>
      </c>
      <c r="S365" s="8" t="s">
        <v>15</v>
      </c>
      <c r="T365" s="26" t="str">
        <f>IFERROR(__xludf.DUMMYFUNCTION("IFERROR(TRANSPOSE(QUERY(IFERROR(SORT(GOOGLEFINANCE(C365, ""price"", WORKDAY(TODAY(), -40), TODAY()), 1, FALSE)), ""select Col2 where Col2 is not null limit 22 label Col2 ''"", 0)), """")"),"")</f>
        <v/>
      </c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8"/>
      <c r="AO365" s="28"/>
      <c r="AP365" s="29"/>
      <c r="AQ365" s="29" t="str">
        <f t="shared" ref="AQ365:BL365" si="368">T365/T$2</f>
        <v>#N/A</v>
      </c>
      <c r="AR365" s="29" t="str">
        <f t="shared" si="368"/>
        <v>#DIV/0!</v>
      </c>
      <c r="AS365" s="29" t="str">
        <f t="shared" si="368"/>
        <v>#DIV/0!</v>
      </c>
      <c r="AT365" s="29" t="str">
        <f t="shared" si="368"/>
        <v>#DIV/0!</v>
      </c>
      <c r="AU365" s="29" t="str">
        <f t="shared" si="368"/>
        <v>#DIV/0!</v>
      </c>
      <c r="AV365" s="29" t="str">
        <f t="shared" si="368"/>
        <v>#DIV/0!</v>
      </c>
      <c r="AW365" s="29" t="str">
        <f t="shared" si="368"/>
        <v>#DIV/0!</v>
      </c>
      <c r="AX365" s="29" t="str">
        <f t="shared" si="368"/>
        <v>#DIV/0!</v>
      </c>
      <c r="AY365" s="29" t="str">
        <f t="shared" si="368"/>
        <v>#DIV/0!</v>
      </c>
      <c r="AZ365" s="29" t="str">
        <f t="shared" si="368"/>
        <v>#DIV/0!</v>
      </c>
      <c r="BA365" s="29" t="str">
        <f t="shared" si="368"/>
        <v>#DIV/0!</v>
      </c>
      <c r="BB365" s="29" t="str">
        <f t="shared" si="368"/>
        <v>#DIV/0!</v>
      </c>
      <c r="BC365" s="29" t="str">
        <f t="shared" si="368"/>
        <v>#DIV/0!</v>
      </c>
      <c r="BD365" s="29" t="str">
        <f t="shared" si="368"/>
        <v>#DIV/0!</v>
      </c>
      <c r="BE365" s="29" t="str">
        <f t="shared" si="368"/>
        <v>#DIV/0!</v>
      </c>
      <c r="BF365" s="29" t="str">
        <f t="shared" si="368"/>
        <v>#DIV/0!</v>
      </c>
      <c r="BG365" s="29" t="str">
        <f t="shared" si="368"/>
        <v>#DIV/0!</v>
      </c>
      <c r="BH365" s="29" t="str">
        <f t="shared" si="368"/>
        <v>#DIV/0!</v>
      </c>
      <c r="BI365" s="29" t="str">
        <f t="shared" si="368"/>
        <v>#DIV/0!</v>
      </c>
      <c r="BJ365" s="29" t="str">
        <f t="shared" si="368"/>
        <v>#DIV/0!</v>
      </c>
      <c r="BK365" s="29" t="str">
        <f t="shared" si="368"/>
        <v>#DIV/0!</v>
      </c>
      <c r="BL365" s="29" t="str">
        <f t="shared" si="368"/>
        <v>#DIV/0!</v>
      </c>
      <c r="BM365" s="29" t="str">
        <f t="shared" si="3"/>
        <v>#DIV/0!</v>
      </c>
    </row>
    <row r="366">
      <c r="A366" s="16" t="str">
        <f>IFERROR(__xludf.DUMMYFUNCTION("IFERROR(SPARKLINE(SORT(MAP(TRANSPOSE(AQ366:BL366), LAMBDA(val, IF(ISNUMBER(val), PERCENTRANK(AQ366:BL366, val)+0.01, 0))), SEQUENCE(COLUMNS(AQ366:BL366)), FALSE), {""charttype"",""column""; ""color"",""chartreuse""; ""ymin"", 0; ""ymax"", 1.01; ""highcolo"&amp;"r"", ""darkgreen""; ""lowcolor"", ""red""}), """")"),"")</f>
        <v/>
      </c>
      <c r="B366" s="17" t="str">
        <f t="shared" si="4"/>
        <v/>
      </c>
      <c r="C366" s="1" t="s">
        <v>2298</v>
      </c>
      <c r="D366" s="30" t="str">
        <f>IFERROR(__xludf.DUMMYFUNCTION("IFERROR(GOOGLEFINANCE(C366, ""NAME""))"),"Builders FirstSource, Inc.")</f>
        <v>Builders FirstSource, Inc.</v>
      </c>
      <c r="E366" s="30" t="s">
        <v>968</v>
      </c>
      <c r="F366" s="33" t="str">
        <f>IFERROR(__xludf.DUMMYFUNCTION("( (GOOGLEFINANCE(C366, ""price"") - Q366) / Q366 ) / (R366 / 100)"),"Loading...")</f>
        <v>Loading...</v>
      </c>
      <c r="G366" s="20" t="str">
        <f>IFERROR(__xludf.DUMMYFUNCTION("AVERAGE(ARRAYFORMULA(100 * (QUERY(GOOGLEFINANCE(C366, ""high"", TODAY()-40, TODAY()), ""SELECT Col2 WHERE Col2 IS NOT NULL ORDER BY Col1 DESC LIMIT 20"", 0) / QUERY(GOOGLEFINANCE(C366, ""low"", TODAY()-40, TODAY()), ""SELECT Col2 WHERE Col2 IS NOT NULL OR"&amp;"DER BY Col1 DESC LIMIT 20"", 0) - 1)))"),"#N/A")</f>
        <v>#N/A</v>
      </c>
      <c r="H366" s="35" t="str">
        <f t="shared" si="6"/>
        <v/>
      </c>
      <c r="I366" s="35" t="str">
        <f t="shared" si="7"/>
        <v/>
      </c>
      <c r="J366" s="37" t="str">
        <f>IFERROR(__xludf.DUMMYFUNCTION("IFERROR(
  IF(C366="""",, 
    IFERROR(
      GOOGLEFINANCE(C366, ""price"") * GOOGLEFINANCE(C366, ""volumeavg""), 
      GOOGLEFINANCE(C366, ""price"") * AVERAGE(QUERY(GOOGLEFINANCE(C366, ""volume"", TODAY()-40, TODAY()), ""SELECT Col2 WHERE Col2 IS NOT "&amp;"NULL ORDER BY Col1 DESC LIMIT 20"", 0))
    )
  ), 
"""")"),"")</f>
        <v/>
      </c>
      <c r="K366" s="21" t="str">
        <f>IFERROR(__xludf.DUMMYFUNCTION("IFERROR(GOOGLEFINANCE(C366, ""changepct"") / 100, """")"),"")</f>
        <v/>
      </c>
      <c r="L366" s="21" t="str">
        <f>IFERROR(__xludf.DUMMYFUNCTION("IFERROR((GOOGLEFINANCE(C366, ""price"") / INDEX(GOOGLEFINANCE(C366, ""price"", TODAY()-7, TODAY()), 2, 2)) - 1, """")"),"")</f>
        <v/>
      </c>
      <c r="M366" s="21" t="str">
        <f>IFERROR(__xludf.DUMMYFUNCTION("IFERROR((GOOGLEFINANCE(C366, ""price"") / INDEX(GOOGLEFINANCE(C366, ""price"", EDATE(TODAY(), -1), TODAY()), 2, 2)) - 1, """")"),"")</f>
        <v/>
      </c>
      <c r="N366" s="21" t="str">
        <f>IFERROR(__xludf.DUMMYFUNCTION("IFERROR((GOOGLEFINANCE(C366, ""price"") / INDEX(GOOGLEFINANCE(C366, ""price"", EDATE(TODAY(), -3), TODAY()), 2, 2)) - 1, """")"),"")</f>
        <v/>
      </c>
      <c r="O366" s="21" t="str">
        <f>IFERROR(__xludf.DUMMYFUNCTION("IFERROR((GOOGLEFINANCE(C366, ""price"") / INDEX(GOOGLEFINANCE(C366, ""price"", EDATE(TODAY(), -6), TODAY()), 2, 2)) - 1, """")"),"")</f>
        <v/>
      </c>
      <c r="P366" s="21" t="str">
        <f>IFERROR(__xludf.DUMMYFUNCTION("IFERROR((GOOGLEFINANCE(C366, ""price"") / INDEX(GOOGLEFINANCE(C366, ""price"", EDATE(TODAY(), -12), TODAY()), 2, 2)) - 1, """")"),"")</f>
        <v/>
      </c>
      <c r="Q366" s="6" t="str">
        <f>IFERROR(__xludf.DUMMYFUNCTION("AVERAGE(QUERY(GOOGLEFINANCE(C366, ""price"", TODAY()-80, TODAY()), ""SELECT Col2 WHERE Col2 IS NOT NULL ORDER BY Col1 DESC LIMIT 50"", 0))"),"#N/A")</f>
        <v>#N/A</v>
      </c>
      <c r="R366" s="24" t="str">
        <f>IFERROR(__xludf.DUMMYFUNCTION("IFERROR(
  LET(
    data, QUERY(GOOGLEFINANCE(C366,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GOOGLEFINANCE(C366, ""price"")) * 100,
    IF(calc=0, G366, calc)
  ), 
G366)"),"#N/A")</f>
        <v>#N/A</v>
      </c>
      <c r="S366" s="8" t="s">
        <v>15</v>
      </c>
      <c r="T366" s="26" t="str">
        <f>IFERROR(__xludf.DUMMYFUNCTION("IFERROR(TRANSPOSE(QUERY(IFERROR(SORT(GOOGLEFINANCE(C366, ""price"", WORKDAY(TODAY(), -40), TODAY()), 1, FALSE)), ""select Col2 where Col2 is not null limit 22 label Col2 ''"", 0)), """")"),"")</f>
        <v/>
      </c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8"/>
      <c r="AO366" s="28"/>
      <c r="AP366" s="29"/>
      <c r="AQ366" s="29" t="str">
        <f t="shared" ref="AQ366:BL366" si="369">T366/T$2</f>
        <v>#N/A</v>
      </c>
      <c r="AR366" s="29" t="str">
        <f t="shared" si="369"/>
        <v>#DIV/0!</v>
      </c>
      <c r="AS366" s="29" t="str">
        <f t="shared" si="369"/>
        <v>#DIV/0!</v>
      </c>
      <c r="AT366" s="29" t="str">
        <f t="shared" si="369"/>
        <v>#DIV/0!</v>
      </c>
      <c r="AU366" s="29" t="str">
        <f t="shared" si="369"/>
        <v>#DIV/0!</v>
      </c>
      <c r="AV366" s="29" t="str">
        <f t="shared" si="369"/>
        <v>#DIV/0!</v>
      </c>
      <c r="AW366" s="29" t="str">
        <f t="shared" si="369"/>
        <v>#DIV/0!</v>
      </c>
      <c r="AX366" s="29" t="str">
        <f t="shared" si="369"/>
        <v>#DIV/0!</v>
      </c>
      <c r="AY366" s="29" t="str">
        <f t="shared" si="369"/>
        <v>#DIV/0!</v>
      </c>
      <c r="AZ366" s="29" t="str">
        <f t="shared" si="369"/>
        <v>#DIV/0!</v>
      </c>
      <c r="BA366" s="29" t="str">
        <f t="shared" si="369"/>
        <v>#DIV/0!</v>
      </c>
      <c r="BB366" s="29" t="str">
        <f t="shared" si="369"/>
        <v>#DIV/0!</v>
      </c>
      <c r="BC366" s="29" t="str">
        <f t="shared" si="369"/>
        <v>#DIV/0!</v>
      </c>
      <c r="BD366" s="29" t="str">
        <f t="shared" si="369"/>
        <v>#DIV/0!</v>
      </c>
      <c r="BE366" s="29" t="str">
        <f t="shared" si="369"/>
        <v>#DIV/0!</v>
      </c>
      <c r="BF366" s="29" t="str">
        <f t="shared" si="369"/>
        <v>#DIV/0!</v>
      </c>
      <c r="BG366" s="29" t="str">
        <f t="shared" si="369"/>
        <v>#DIV/0!</v>
      </c>
      <c r="BH366" s="29" t="str">
        <f t="shared" si="369"/>
        <v>#DIV/0!</v>
      </c>
      <c r="BI366" s="29" t="str">
        <f t="shared" si="369"/>
        <v>#DIV/0!</v>
      </c>
      <c r="BJ366" s="29" t="str">
        <f t="shared" si="369"/>
        <v>#DIV/0!</v>
      </c>
      <c r="BK366" s="29" t="str">
        <f t="shared" si="369"/>
        <v>#DIV/0!</v>
      </c>
      <c r="BL366" s="29" t="str">
        <f t="shared" si="369"/>
        <v>#DIV/0!</v>
      </c>
      <c r="BM366" s="29" t="str">
        <f t="shared" si="3"/>
        <v>#DIV/0!</v>
      </c>
    </row>
    <row r="367">
      <c r="A367" s="16" t="str">
        <f>IFERROR(__xludf.DUMMYFUNCTION("IFERROR(SPARKLINE(SORT(MAP(TRANSPOSE(AQ367:BL367), LAMBDA(val, IF(ISNUMBER(val), PERCENTRANK(AQ367:BL367, val)+0.01, 0))), SEQUENCE(COLUMNS(AQ367:BL367)), FALSE), {""charttype"",""column""; ""color"",""chartreuse""; ""ymin"", 0; ""ymax"", 1.01; ""highcolo"&amp;"r"", ""darkgreen""; ""lowcolor"", ""red""}), """")"),"")</f>
        <v/>
      </c>
      <c r="B367" s="17" t="str">
        <f t="shared" si="4"/>
        <v/>
      </c>
      <c r="C367" s="1" t="s">
        <v>2302</v>
      </c>
      <c r="D367" s="30" t="str">
        <f>IFERROR(__xludf.DUMMYFUNCTION("IFERROR(GOOGLEFINANCE(C367, ""NAME""))"),"Equifax Inc")</f>
        <v>Equifax Inc</v>
      </c>
      <c r="E367" s="30" t="s">
        <v>1591</v>
      </c>
      <c r="F367" s="33" t="str">
        <f>IFERROR(__xludf.DUMMYFUNCTION("( (GOOGLEFINANCE(C367, ""price"") - Q367) / Q367 ) / (R367 / 100)"),"Loading...")</f>
        <v>Loading...</v>
      </c>
      <c r="G367" s="20" t="str">
        <f>IFERROR(__xludf.DUMMYFUNCTION("AVERAGE(ARRAYFORMULA(100 * (QUERY(GOOGLEFINANCE(C367, ""high"", TODAY()-40, TODAY()), ""SELECT Col2 WHERE Col2 IS NOT NULL ORDER BY Col1 DESC LIMIT 20"", 0) / QUERY(GOOGLEFINANCE(C367, ""low"", TODAY()-40, TODAY()), ""SELECT Col2 WHERE Col2 IS NOT NULL OR"&amp;"DER BY Col1 DESC LIMIT 20"", 0) - 1)))"),"#N/A")</f>
        <v>#N/A</v>
      </c>
      <c r="H367" s="35" t="str">
        <f t="shared" si="6"/>
        <v/>
      </c>
      <c r="I367" s="35" t="str">
        <f t="shared" si="7"/>
        <v/>
      </c>
      <c r="J367" s="37" t="str">
        <f>IFERROR(__xludf.DUMMYFUNCTION("IFERROR(
  IF(C367="""",, 
    IFERROR(
      GOOGLEFINANCE(C367, ""price"") * GOOGLEFINANCE(C367, ""volumeavg""), 
      GOOGLEFINANCE(C367, ""price"") * AVERAGE(QUERY(GOOGLEFINANCE(C367, ""volume"", TODAY()-40, TODAY()), ""SELECT Col2 WHERE Col2 IS NOT "&amp;"NULL ORDER BY Col1 DESC LIMIT 20"", 0))
    )
  ), 
"""")"),"")</f>
        <v/>
      </c>
      <c r="K367" s="21" t="str">
        <f>IFERROR(__xludf.DUMMYFUNCTION("IFERROR(GOOGLEFINANCE(C367, ""changepct"") / 100, """")"),"")</f>
        <v/>
      </c>
      <c r="L367" s="21" t="str">
        <f>IFERROR(__xludf.DUMMYFUNCTION("IFERROR((GOOGLEFINANCE(C367, ""price"") / INDEX(GOOGLEFINANCE(C367, ""price"", TODAY()-7, TODAY()), 2, 2)) - 1, """")"),"")</f>
        <v/>
      </c>
      <c r="M367" s="21" t="str">
        <f>IFERROR(__xludf.DUMMYFUNCTION("IFERROR((GOOGLEFINANCE(C367, ""price"") / INDEX(GOOGLEFINANCE(C367, ""price"", EDATE(TODAY(), -1), TODAY()), 2, 2)) - 1, """")"),"")</f>
        <v/>
      </c>
      <c r="N367" s="21" t="str">
        <f>IFERROR(__xludf.DUMMYFUNCTION("IFERROR((GOOGLEFINANCE(C367, ""price"") / INDEX(GOOGLEFINANCE(C367, ""price"", EDATE(TODAY(), -3), TODAY()), 2, 2)) - 1, """")"),"")</f>
        <v/>
      </c>
      <c r="O367" s="21" t="str">
        <f>IFERROR(__xludf.DUMMYFUNCTION("IFERROR((GOOGLEFINANCE(C367, ""price"") / INDEX(GOOGLEFINANCE(C367, ""price"", EDATE(TODAY(), -6), TODAY()), 2, 2)) - 1, """")"),"")</f>
        <v/>
      </c>
      <c r="P367" s="21" t="str">
        <f>IFERROR(__xludf.DUMMYFUNCTION("IFERROR((GOOGLEFINANCE(C367, ""price"") / INDEX(GOOGLEFINANCE(C367, ""price"", EDATE(TODAY(), -12), TODAY()), 2, 2)) - 1, """")"),"")</f>
        <v/>
      </c>
      <c r="Q367" s="6" t="str">
        <f>IFERROR(__xludf.DUMMYFUNCTION("AVERAGE(QUERY(GOOGLEFINANCE(C367, ""price"", TODAY()-80, TODAY()), ""SELECT Col2 WHERE Col2 IS NOT NULL ORDER BY Col1 DESC LIMIT 50"", 0))"),"#N/A")</f>
        <v>#N/A</v>
      </c>
      <c r="R367" s="24" t="str">
        <f>IFERROR(__xludf.DUMMYFUNCTION("IFERROR(
  LET(
    data, QUERY(GOOGLEFINANCE(C367,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GOOGLEFINANCE(C367, ""price"")) * 100,
    IF(calc=0, G367, calc)
  ), 
G367)"),"#N/A")</f>
        <v>#N/A</v>
      </c>
      <c r="S367" s="8" t="s">
        <v>15</v>
      </c>
      <c r="T367" s="26" t="str">
        <f>IFERROR(__xludf.DUMMYFUNCTION("IFERROR(TRANSPOSE(QUERY(IFERROR(SORT(GOOGLEFINANCE(C367, ""price"", WORKDAY(TODAY(), -40), TODAY()), 1, FALSE)), ""select Col2 where Col2 is not null limit 22 label Col2 ''"", 0)), """")"),"")</f>
        <v/>
      </c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8"/>
      <c r="AO367" s="28"/>
      <c r="AP367" s="29"/>
      <c r="AQ367" s="29" t="str">
        <f t="shared" ref="AQ367:BL367" si="370">T367/T$2</f>
        <v>#N/A</v>
      </c>
      <c r="AR367" s="29" t="str">
        <f t="shared" si="370"/>
        <v>#DIV/0!</v>
      </c>
      <c r="AS367" s="29" t="str">
        <f t="shared" si="370"/>
        <v>#DIV/0!</v>
      </c>
      <c r="AT367" s="29" t="str">
        <f t="shared" si="370"/>
        <v>#DIV/0!</v>
      </c>
      <c r="AU367" s="29" t="str">
        <f t="shared" si="370"/>
        <v>#DIV/0!</v>
      </c>
      <c r="AV367" s="29" t="str">
        <f t="shared" si="370"/>
        <v>#DIV/0!</v>
      </c>
      <c r="AW367" s="29" t="str">
        <f t="shared" si="370"/>
        <v>#DIV/0!</v>
      </c>
      <c r="AX367" s="29" t="str">
        <f t="shared" si="370"/>
        <v>#DIV/0!</v>
      </c>
      <c r="AY367" s="29" t="str">
        <f t="shared" si="370"/>
        <v>#DIV/0!</v>
      </c>
      <c r="AZ367" s="29" t="str">
        <f t="shared" si="370"/>
        <v>#DIV/0!</v>
      </c>
      <c r="BA367" s="29" t="str">
        <f t="shared" si="370"/>
        <v>#DIV/0!</v>
      </c>
      <c r="BB367" s="29" t="str">
        <f t="shared" si="370"/>
        <v>#DIV/0!</v>
      </c>
      <c r="BC367" s="29" t="str">
        <f t="shared" si="370"/>
        <v>#DIV/0!</v>
      </c>
      <c r="BD367" s="29" t="str">
        <f t="shared" si="370"/>
        <v>#DIV/0!</v>
      </c>
      <c r="BE367" s="29" t="str">
        <f t="shared" si="370"/>
        <v>#DIV/0!</v>
      </c>
      <c r="BF367" s="29" t="str">
        <f t="shared" si="370"/>
        <v>#DIV/0!</v>
      </c>
      <c r="BG367" s="29" t="str">
        <f t="shared" si="370"/>
        <v>#DIV/0!</v>
      </c>
      <c r="BH367" s="29" t="str">
        <f t="shared" si="370"/>
        <v>#DIV/0!</v>
      </c>
      <c r="BI367" s="29" t="str">
        <f t="shared" si="370"/>
        <v>#DIV/0!</v>
      </c>
      <c r="BJ367" s="29" t="str">
        <f t="shared" si="370"/>
        <v>#DIV/0!</v>
      </c>
      <c r="BK367" s="29" t="str">
        <f t="shared" si="370"/>
        <v>#DIV/0!</v>
      </c>
      <c r="BL367" s="29" t="str">
        <f t="shared" si="370"/>
        <v>#DIV/0!</v>
      </c>
      <c r="BM367" s="29" t="str">
        <f t="shared" si="3"/>
        <v>#DIV/0!</v>
      </c>
    </row>
    <row r="368">
      <c r="A368" s="16" t="str">
        <f>IFERROR(__xludf.DUMMYFUNCTION("IFERROR(SPARKLINE(SORT(MAP(TRANSPOSE(AQ368:BL368), LAMBDA(val, IF(ISNUMBER(val), PERCENTRANK(AQ368:BL368, val)+0.01, 0))), SEQUENCE(COLUMNS(AQ368:BL368)), FALSE), {""charttype"",""column""; ""color"",""chartreuse""; ""ymin"", 0; ""ymax"", 1.01; ""highcolo"&amp;"r"", ""darkgreen""; ""lowcolor"", ""red""}), """")"),"")</f>
        <v/>
      </c>
      <c r="B368" s="17" t="str">
        <f t="shared" si="4"/>
        <v/>
      </c>
      <c r="C368" s="1" t="s">
        <v>2306</v>
      </c>
      <c r="D368" s="30" t="str">
        <f>IFERROR(__xludf.DUMMYFUNCTION("IFERROR(GOOGLEFINANCE(C368, ""NAME""))"),"Thomson Reuters Corp")</f>
        <v>Thomson Reuters Corp</v>
      </c>
      <c r="E368" s="30" t="s">
        <v>916</v>
      </c>
      <c r="F368" s="33" t="str">
        <f>IFERROR(__xludf.DUMMYFUNCTION("( (GOOGLEFINANCE(C368, ""price"") - Q368) / Q368 ) / (R368 / 100)"),"Loading...")</f>
        <v>Loading...</v>
      </c>
      <c r="G368" s="20" t="str">
        <f>IFERROR(__xludf.DUMMYFUNCTION("AVERAGE(ARRAYFORMULA(100 * (QUERY(GOOGLEFINANCE(C368, ""high"", TODAY()-40, TODAY()), ""SELECT Col2 WHERE Col2 IS NOT NULL ORDER BY Col1 DESC LIMIT 20"", 0) / QUERY(GOOGLEFINANCE(C368, ""low"", TODAY()-40, TODAY()), ""SELECT Col2 WHERE Col2 IS NOT NULL OR"&amp;"DER BY Col1 DESC LIMIT 20"", 0) - 1)))"),"#N/A")</f>
        <v>#N/A</v>
      </c>
      <c r="H368" s="35" t="str">
        <f t="shared" si="6"/>
        <v/>
      </c>
      <c r="I368" s="35" t="str">
        <f t="shared" si="7"/>
        <v/>
      </c>
      <c r="J368" s="37" t="str">
        <f>IFERROR(__xludf.DUMMYFUNCTION("IFERROR(
  IF(C368="""",, 
    IFERROR(
      GOOGLEFINANCE(C368, ""price"") * GOOGLEFINANCE(C368, ""volumeavg""), 
      GOOGLEFINANCE(C368, ""price"") * AVERAGE(QUERY(GOOGLEFINANCE(C368, ""volume"", TODAY()-40, TODAY()), ""SELECT Col2 WHERE Col2 IS NOT "&amp;"NULL ORDER BY Col1 DESC LIMIT 20"", 0))
    )
  ), 
"""")"),"")</f>
        <v/>
      </c>
      <c r="K368" s="21" t="str">
        <f>IFERROR(__xludf.DUMMYFUNCTION("IFERROR(GOOGLEFINANCE(C368, ""changepct"") / 100, """")"),"")</f>
        <v/>
      </c>
      <c r="L368" s="21" t="str">
        <f>IFERROR(__xludf.DUMMYFUNCTION("IFERROR((GOOGLEFINANCE(C368, ""price"") / INDEX(GOOGLEFINANCE(C368, ""price"", TODAY()-7, TODAY()), 2, 2)) - 1, """")"),"")</f>
        <v/>
      </c>
      <c r="M368" s="21" t="str">
        <f>IFERROR(__xludf.DUMMYFUNCTION("IFERROR((GOOGLEFINANCE(C368, ""price"") / INDEX(GOOGLEFINANCE(C368, ""price"", EDATE(TODAY(), -1), TODAY()), 2, 2)) - 1, """")"),"")</f>
        <v/>
      </c>
      <c r="N368" s="21" t="str">
        <f>IFERROR(__xludf.DUMMYFUNCTION("IFERROR((GOOGLEFINANCE(C368, ""price"") / INDEX(GOOGLEFINANCE(C368, ""price"", EDATE(TODAY(), -3), TODAY()), 2, 2)) - 1, """")"),"")</f>
        <v/>
      </c>
      <c r="O368" s="21" t="str">
        <f>IFERROR(__xludf.DUMMYFUNCTION("IFERROR((GOOGLEFINANCE(C368, ""price"") / INDEX(GOOGLEFINANCE(C368, ""price"", EDATE(TODAY(), -6), TODAY()), 2, 2)) - 1, """")"),"")</f>
        <v/>
      </c>
      <c r="P368" s="21" t="str">
        <f>IFERROR(__xludf.DUMMYFUNCTION("IFERROR((GOOGLEFINANCE(C368, ""price"") / INDEX(GOOGLEFINANCE(C368, ""price"", EDATE(TODAY(), -12), TODAY()), 2, 2)) - 1, """")"),"")</f>
        <v/>
      </c>
      <c r="Q368" s="6" t="str">
        <f>IFERROR(__xludf.DUMMYFUNCTION("AVERAGE(QUERY(GOOGLEFINANCE(C368, ""price"", TODAY()-80, TODAY()), ""SELECT Col2 WHERE Col2 IS NOT NULL ORDER BY Col1 DESC LIMIT 50"", 0))"),"#N/A")</f>
        <v>#N/A</v>
      </c>
      <c r="R368" s="24" t="str">
        <f>IFERROR(__xludf.DUMMYFUNCTION("IFERROR(
  LET(
    data, QUERY(GOOGLEFINANCE(C368,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GOOGLEFINANCE(C368, ""price"")) * 100,
    IF(calc=0, G368, calc)
  ), 
G368)"),"#N/A")</f>
        <v>#N/A</v>
      </c>
      <c r="S368" s="8" t="s">
        <v>15</v>
      </c>
      <c r="T368" s="26" t="str">
        <f>IFERROR(__xludf.DUMMYFUNCTION("IFERROR(TRANSPOSE(QUERY(IFERROR(SORT(GOOGLEFINANCE(C368, ""price"", WORKDAY(TODAY(), -40), TODAY()), 1, FALSE)), ""select Col2 where Col2 is not null limit 22 label Col2 ''"", 0)), """")"),"")</f>
        <v/>
      </c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8"/>
      <c r="AO368" s="28"/>
      <c r="AP368" s="29"/>
      <c r="AQ368" s="29" t="str">
        <f t="shared" ref="AQ368:BL368" si="371">T368/T$2</f>
        <v>#N/A</v>
      </c>
      <c r="AR368" s="29" t="str">
        <f t="shared" si="371"/>
        <v>#DIV/0!</v>
      </c>
      <c r="AS368" s="29" t="str">
        <f t="shared" si="371"/>
        <v>#DIV/0!</v>
      </c>
      <c r="AT368" s="29" t="str">
        <f t="shared" si="371"/>
        <v>#DIV/0!</v>
      </c>
      <c r="AU368" s="29" t="str">
        <f t="shared" si="371"/>
        <v>#DIV/0!</v>
      </c>
      <c r="AV368" s="29" t="str">
        <f t="shared" si="371"/>
        <v>#DIV/0!</v>
      </c>
      <c r="AW368" s="29" t="str">
        <f t="shared" si="371"/>
        <v>#DIV/0!</v>
      </c>
      <c r="AX368" s="29" t="str">
        <f t="shared" si="371"/>
        <v>#DIV/0!</v>
      </c>
      <c r="AY368" s="29" t="str">
        <f t="shared" si="371"/>
        <v>#DIV/0!</v>
      </c>
      <c r="AZ368" s="29" t="str">
        <f t="shared" si="371"/>
        <v>#DIV/0!</v>
      </c>
      <c r="BA368" s="29" t="str">
        <f t="shared" si="371"/>
        <v>#DIV/0!</v>
      </c>
      <c r="BB368" s="29" t="str">
        <f t="shared" si="371"/>
        <v>#DIV/0!</v>
      </c>
      <c r="BC368" s="29" t="str">
        <f t="shared" si="371"/>
        <v>#DIV/0!</v>
      </c>
      <c r="BD368" s="29" t="str">
        <f t="shared" si="371"/>
        <v>#DIV/0!</v>
      </c>
      <c r="BE368" s="29" t="str">
        <f t="shared" si="371"/>
        <v>#DIV/0!</v>
      </c>
      <c r="BF368" s="29" t="str">
        <f t="shared" si="371"/>
        <v>#DIV/0!</v>
      </c>
      <c r="BG368" s="29" t="str">
        <f t="shared" si="371"/>
        <v>#DIV/0!</v>
      </c>
      <c r="BH368" s="29" t="str">
        <f t="shared" si="371"/>
        <v>#DIV/0!</v>
      </c>
      <c r="BI368" s="29" t="str">
        <f t="shared" si="371"/>
        <v>#DIV/0!</v>
      </c>
      <c r="BJ368" s="29" t="str">
        <f t="shared" si="371"/>
        <v>#DIV/0!</v>
      </c>
      <c r="BK368" s="29" t="str">
        <f t="shared" si="371"/>
        <v>#DIV/0!</v>
      </c>
      <c r="BL368" s="29" t="str">
        <f t="shared" si="371"/>
        <v>#DIV/0!</v>
      </c>
      <c r="BM368" s="29" t="str">
        <f t="shared" si="3"/>
        <v>#DIV/0!</v>
      </c>
    </row>
    <row r="369">
      <c r="A369" s="16" t="str">
        <f>IFERROR(__xludf.DUMMYFUNCTION("IFERROR(SPARKLINE(SORT(MAP(TRANSPOSE(AQ369:BL369), LAMBDA(val, IF(ISNUMBER(val), PERCENTRANK(AQ369:BL369, val)+0.01, 0))), SEQUENCE(COLUMNS(AQ369:BL369)), FALSE), {""charttype"",""column""; ""color"",""chartreuse""; ""ymin"", 0; ""ymax"", 1.01; ""highcolo"&amp;"r"", ""darkgreen""; ""lowcolor"", ""red""}), """")"),"")</f>
        <v/>
      </c>
      <c r="B369" s="17" t="str">
        <f t="shared" si="4"/>
        <v/>
      </c>
      <c r="C369" s="1" t="s">
        <v>2310</v>
      </c>
      <c r="D369" s="30" t="str">
        <f>IFERROR(__xludf.DUMMYFUNCTION("IFERROR(GOOGLEFINANCE(C369, ""NAME""))"),"ManpowerGroup Inc")</f>
        <v>ManpowerGroup Inc</v>
      </c>
      <c r="E369" s="30" t="s">
        <v>1351</v>
      </c>
      <c r="F369" s="33" t="str">
        <f>IFERROR(__xludf.DUMMYFUNCTION("( (GOOGLEFINANCE(C369, ""price"") - Q369) / Q369 ) / (R369 / 100)"),"Loading...")</f>
        <v>Loading...</v>
      </c>
      <c r="G369" s="20" t="str">
        <f>IFERROR(__xludf.DUMMYFUNCTION("AVERAGE(ARRAYFORMULA(100 * (QUERY(GOOGLEFINANCE(C369, ""high"", TODAY()-40, TODAY()), ""SELECT Col2 WHERE Col2 IS NOT NULL ORDER BY Col1 DESC LIMIT 20"", 0) / QUERY(GOOGLEFINANCE(C369, ""low"", TODAY()-40, TODAY()), ""SELECT Col2 WHERE Col2 IS NOT NULL OR"&amp;"DER BY Col1 DESC LIMIT 20"", 0) - 1)))"),"#N/A")</f>
        <v>#N/A</v>
      </c>
      <c r="H369" s="35" t="str">
        <f t="shared" si="6"/>
        <v/>
      </c>
      <c r="I369" s="35" t="str">
        <f t="shared" si="7"/>
        <v/>
      </c>
      <c r="J369" s="37" t="str">
        <f>IFERROR(__xludf.DUMMYFUNCTION("IFERROR(
  IF(C369="""",, 
    IFERROR(
      GOOGLEFINANCE(C369, ""price"") * GOOGLEFINANCE(C369, ""volumeavg""), 
      GOOGLEFINANCE(C369, ""price"") * AVERAGE(QUERY(GOOGLEFINANCE(C369, ""volume"", TODAY()-40, TODAY()), ""SELECT Col2 WHERE Col2 IS NOT "&amp;"NULL ORDER BY Col1 DESC LIMIT 20"", 0))
    )
  ), 
"""")"),"")</f>
        <v/>
      </c>
      <c r="K369" s="21" t="str">
        <f>IFERROR(__xludf.DUMMYFUNCTION("IFERROR(GOOGLEFINANCE(C369, ""changepct"") / 100, """")"),"")</f>
        <v/>
      </c>
      <c r="L369" s="21" t="str">
        <f>IFERROR(__xludf.DUMMYFUNCTION("IFERROR((GOOGLEFINANCE(C369, ""price"") / INDEX(GOOGLEFINANCE(C369, ""price"", TODAY()-7, TODAY()), 2, 2)) - 1, """")"),"")</f>
        <v/>
      </c>
      <c r="M369" s="21" t="str">
        <f>IFERROR(__xludf.DUMMYFUNCTION("IFERROR((GOOGLEFINANCE(C369, ""price"") / INDEX(GOOGLEFINANCE(C369, ""price"", EDATE(TODAY(), -1), TODAY()), 2, 2)) - 1, """")"),"")</f>
        <v/>
      </c>
      <c r="N369" s="21" t="str">
        <f>IFERROR(__xludf.DUMMYFUNCTION("IFERROR((GOOGLEFINANCE(C369, ""price"") / INDEX(GOOGLEFINANCE(C369, ""price"", EDATE(TODAY(), -3), TODAY()), 2, 2)) - 1, """")"),"")</f>
        <v/>
      </c>
      <c r="O369" s="21" t="str">
        <f>IFERROR(__xludf.DUMMYFUNCTION("IFERROR((GOOGLEFINANCE(C369, ""price"") / INDEX(GOOGLEFINANCE(C369, ""price"", EDATE(TODAY(), -6), TODAY()), 2, 2)) - 1, """")"),"")</f>
        <v/>
      </c>
      <c r="P369" s="21" t="str">
        <f>IFERROR(__xludf.DUMMYFUNCTION("IFERROR((GOOGLEFINANCE(C369, ""price"") / INDEX(GOOGLEFINANCE(C369, ""price"", EDATE(TODAY(), -12), TODAY()), 2, 2)) - 1, """")"),"")</f>
        <v/>
      </c>
      <c r="Q369" s="6" t="str">
        <f>IFERROR(__xludf.DUMMYFUNCTION("AVERAGE(QUERY(GOOGLEFINANCE(C369, ""price"", TODAY()-80, TODAY()), ""SELECT Col2 WHERE Col2 IS NOT NULL ORDER BY Col1 DESC LIMIT 50"", 0))"),"#N/A")</f>
        <v>#N/A</v>
      </c>
      <c r="R369" s="24" t="str">
        <f>IFERROR(__xludf.DUMMYFUNCTION("IFERROR(
  LET(
    data, QUERY(GOOGLEFINANCE(C369,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GOOGLEFINANCE(C369, ""price"")) * 100,
    IF(calc=0, G369, calc)
  ), 
G369)"),"#N/A")</f>
        <v>#N/A</v>
      </c>
      <c r="S369" s="8" t="s">
        <v>15</v>
      </c>
      <c r="T369" s="26" t="str">
        <f>IFERROR(__xludf.DUMMYFUNCTION("IFERROR(TRANSPOSE(QUERY(IFERROR(SORT(GOOGLEFINANCE(C369, ""price"", WORKDAY(TODAY(), -40), TODAY()), 1, FALSE)), ""select Col2 where Col2 is not null limit 22 label Col2 ''"", 0)), """")"),"")</f>
        <v/>
      </c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8"/>
      <c r="AO369" s="28"/>
      <c r="AP369" s="29"/>
      <c r="AQ369" s="29" t="str">
        <f t="shared" ref="AQ369:BL369" si="372">T369/T$2</f>
        <v>#N/A</v>
      </c>
      <c r="AR369" s="29" t="str">
        <f t="shared" si="372"/>
        <v>#DIV/0!</v>
      </c>
      <c r="AS369" s="29" t="str">
        <f t="shared" si="372"/>
        <v>#DIV/0!</v>
      </c>
      <c r="AT369" s="29" t="str">
        <f t="shared" si="372"/>
        <v>#DIV/0!</v>
      </c>
      <c r="AU369" s="29" t="str">
        <f t="shared" si="372"/>
        <v>#DIV/0!</v>
      </c>
      <c r="AV369" s="29" t="str">
        <f t="shared" si="372"/>
        <v>#DIV/0!</v>
      </c>
      <c r="AW369" s="29" t="str">
        <f t="shared" si="372"/>
        <v>#DIV/0!</v>
      </c>
      <c r="AX369" s="29" t="str">
        <f t="shared" si="372"/>
        <v>#DIV/0!</v>
      </c>
      <c r="AY369" s="29" t="str">
        <f t="shared" si="372"/>
        <v>#DIV/0!</v>
      </c>
      <c r="AZ369" s="29" t="str">
        <f t="shared" si="372"/>
        <v>#DIV/0!</v>
      </c>
      <c r="BA369" s="29" t="str">
        <f t="shared" si="372"/>
        <v>#DIV/0!</v>
      </c>
      <c r="BB369" s="29" t="str">
        <f t="shared" si="372"/>
        <v>#DIV/0!</v>
      </c>
      <c r="BC369" s="29" t="str">
        <f t="shared" si="372"/>
        <v>#DIV/0!</v>
      </c>
      <c r="BD369" s="29" t="str">
        <f t="shared" si="372"/>
        <v>#DIV/0!</v>
      </c>
      <c r="BE369" s="29" t="str">
        <f t="shared" si="372"/>
        <v>#DIV/0!</v>
      </c>
      <c r="BF369" s="29" t="str">
        <f t="shared" si="372"/>
        <v>#DIV/0!</v>
      </c>
      <c r="BG369" s="29" t="str">
        <f t="shared" si="372"/>
        <v>#DIV/0!</v>
      </c>
      <c r="BH369" s="29" t="str">
        <f t="shared" si="372"/>
        <v>#DIV/0!</v>
      </c>
      <c r="BI369" s="29" t="str">
        <f t="shared" si="372"/>
        <v>#DIV/0!</v>
      </c>
      <c r="BJ369" s="29" t="str">
        <f t="shared" si="372"/>
        <v>#DIV/0!</v>
      </c>
      <c r="BK369" s="29" t="str">
        <f t="shared" si="372"/>
        <v>#DIV/0!</v>
      </c>
      <c r="BL369" s="29" t="str">
        <f t="shared" si="372"/>
        <v>#DIV/0!</v>
      </c>
      <c r="BM369" s="29" t="str">
        <f t="shared" si="3"/>
        <v>#DIV/0!</v>
      </c>
    </row>
    <row r="370">
      <c r="A370" s="16" t="str">
        <f>IFERROR(__xludf.DUMMYFUNCTION("IFERROR(SPARKLINE(SORT(MAP(TRANSPOSE(AQ370:BL370), LAMBDA(val, IF(ISNUMBER(val), PERCENTRANK(AQ370:BL370, val)+0.01, 0))), SEQUENCE(COLUMNS(AQ370:BL370)), FALSE), {""charttype"",""column""; ""color"",""chartreuse""; ""ymin"", 0; ""ymax"", 1.01; ""highcolo"&amp;"r"", ""darkgreen""; ""lowcolor"", ""red""}), """")"),"")</f>
        <v/>
      </c>
      <c r="B370" s="17" t="str">
        <f t="shared" si="4"/>
        <v/>
      </c>
      <c r="C370" s="1" t="s">
        <v>2316</v>
      </c>
      <c r="D370" s="30" t="str">
        <f>IFERROR(__xludf.DUMMYFUNCTION("IFERROR(GOOGLEFINANCE(C370, ""NAME""))"),"Ennis Inc")</f>
        <v>Ennis Inc</v>
      </c>
      <c r="E370" s="30" t="s">
        <v>1161</v>
      </c>
      <c r="F370" s="33" t="str">
        <f>IFERROR(__xludf.DUMMYFUNCTION("( (GOOGLEFINANCE(C370, ""price"") - Q370) / Q370 ) / (R370 / 100)"),"Loading...")</f>
        <v>Loading...</v>
      </c>
      <c r="G370" s="20" t="str">
        <f>IFERROR(__xludf.DUMMYFUNCTION("AVERAGE(ARRAYFORMULA(100 * (QUERY(GOOGLEFINANCE(C370, ""high"", TODAY()-40, TODAY()), ""SELECT Col2 WHERE Col2 IS NOT NULL ORDER BY Col1 DESC LIMIT 20"", 0) / QUERY(GOOGLEFINANCE(C370, ""low"", TODAY()-40, TODAY()), ""SELECT Col2 WHERE Col2 IS NOT NULL OR"&amp;"DER BY Col1 DESC LIMIT 20"", 0) - 1)))"),"#N/A")</f>
        <v>#N/A</v>
      </c>
      <c r="H370" s="35" t="str">
        <f t="shared" si="6"/>
        <v/>
      </c>
      <c r="I370" s="35" t="str">
        <f t="shared" si="7"/>
        <v/>
      </c>
      <c r="J370" s="37" t="str">
        <f>IFERROR(__xludf.DUMMYFUNCTION("IFERROR(
  IF(C370="""",, 
    IFERROR(
      GOOGLEFINANCE(C370, ""price"") * GOOGLEFINANCE(C370, ""volumeavg""), 
      GOOGLEFINANCE(C370, ""price"") * AVERAGE(QUERY(GOOGLEFINANCE(C370, ""volume"", TODAY()-40, TODAY()), ""SELECT Col2 WHERE Col2 IS NOT "&amp;"NULL ORDER BY Col1 DESC LIMIT 20"", 0))
    )
  ), 
"""")"),"")</f>
        <v/>
      </c>
      <c r="K370" s="21" t="str">
        <f>IFERROR(__xludf.DUMMYFUNCTION("IFERROR(GOOGLEFINANCE(C370, ""changepct"") / 100, """")"),"")</f>
        <v/>
      </c>
      <c r="L370" s="21" t="str">
        <f>IFERROR(__xludf.DUMMYFUNCTION("IFERROR((GOOGLEFINANCE(C370, ""price"") / INDEX(GOOGLEFINANCE(C370, ""price"", TODAY()-7, TODAY()), 2, 2)) - 1, """")"),"")</f>
        <v/>
      </c>
      <c r="M370" s="21" t="str">
        <f>IFERROR(__xludf.DUMMYFUNCTION("IFERROR((GOOGLEFINANCE(C370, ""price"") / INDEX(GOOGLEFINANCE(C370, ""price"", EDATE(TODAY(), -1), TODAY()), 2, 2)) - 1, """")"),"")</f>
        <v/>
      </c>
      <c r="N370" s="21" t="str">
        <f>IFERROR(__xludf.DUMMYFUNCTION("IFERROR((GOOGLEFINANCE(C370, ""price"") / INDEX(GOOGLEFINANCE(C370, ""price"", EDATE(TODAY(), -3), TODAY()), 2, 2)) - 1, """")"),"")</f>
        <v/>
      </c>
      <c r="O370" s="21" t="str">
        <f>IFERROR(__xludf.DUMMYFUNCTION("IFERROR((GOOGLEFINANCE(C370, ""price"") / INDEX(GOOGLEFINANCE(C370, ""price"", EDATE(TODAY(), -6), TODAY()), 2, 2)) - 1, """")"),"")</f>
        <v/>
      </c>
      <c r="P370" s="21" t="str">
        <f>IFERROR(__xludf.DUMMYFUNCTION("IFERROR((GOOGLEFINANCE(C370, ""price"") / INDEX(GOOGLEFINANCE(C370, ""price"", EDATE(TODAY(), -12), TODAY()), 2, 2)) - 1, """")"),"")</f>
        <v/>
      </c>
      <c r="Q370" s="6" t="str">
        <f>IFERROR(__xludf.DUMMYFUNCTION("AVERAGE(QUERY(GOOGLEFINANCE(C370, ""price"", TODAY()-80, TODAY()), ""SELECT Col2 WHERE Col2 IS NOT NULL ORDER BY Col1 DESC LIMIT 50"", 0))"),"#N/A")</f>
        <v>#N/A</v>
      </c>
      <c r="R370" s="24" t="str">
        <f>IFERROR(__xludf.DUMMYFUNCTION("IFERROR(
  LET(
    data, QUERY(GOOGLEFINANCE(C370,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GOOGLEFINANCE(C370, ""price"")) * 100,
    IF(calc=0, G370, calc)
  ), 
G370)"),"#N/A")</f>
        <v>#N/A</v>
      </c>
      <c r="S370" s="8" t="s">
        <v>15</v>
      </c>
      <c r="T370" s="26" t="str">
        <f>IFERROR(__xludf.DUMMYFUNCTION("IFERROR(TRANSPOSE(QUERY(IFERROR(SORT(GOOGLEFINANCE(C370, ""price"", WORKDAY(TODAY(), -40), TODAY()), 1, FALSE)), ""select Col2 where Col2 is not null limit 22 label Col2 ''"", 0)), """")"),"")</f>
        <v/>
      </c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8"/>
      <c r="AO370" s="28"/>
      <c r="AP370" s="29"/>
      <c r="AQ370" s="29" t="str">
        <f t="shared" ref="AQ370:BL370" si="373">T370/T$2</f>
        <v>#N/A</v>
      </c>
      <c r="AR370" s="29" t="str">
        <f t="shared" si="373"/>
        <v>#DIV/0!</v>
      </c>
      <c r="AS370" s="29" t="str">
        <f t="shared" si="373"/>
        <v>#DIV/0!</v>
      </c>
      <c r="AT370" s="29" t="str">
        <f t="shared" si="373"/>
        <v>#DIV/0!</v>
      </c>
      <c r="AU370" s="29" t="str">
        <f t="shared" si="373"/>
        <v>#DIV/0!</v>
      </c>
      <c r="AV370" s="29" t="str">
        <f t="shared" si="373"/>
        <v>#DIV/0!</v>
      </c>
      <c r="AW370" s="29" t="str">
        <f t="shared" si="373"/>
        <v>#DIV/0!</v>
      </c>
      <c r="AX370" s="29" t="str">
        <f t="shared" si="373"/>
        <v>#DIV/0!</v>
      </c>
      <c r="AY370" s="29" t="str">
        <f t="shared" si="373"/>
        <v>#DIV/0!</v>
      </c>
      <c r="AZ370" s="29" t="str">
        <f t="shared" si="373"/>
        <v>#DIV/0!</v>
      </c>
      <c r="BA370" s="29" t="str">
        <f t="shared" si="373"/>
        <v>#DIV/0!</v>
      </c>
      <c r="BB370" s="29" t="str">
        <f t="shared" si="373"/>
        <v>#DIV/0!</v>
      </c>
      <c r="BC370" s="29" t="str">
        <f t="shared" si="373"/>
        <v>#DIV/0!</v>
      </c>
      <c r="BD370" s="29" t="str">
        <f t="shared" si="373"/>
        <v>#DIV/0!</v>
      </c>
      <c r="BE370" s="29" t="str">
        <f t="shared" si="373"/>
        <v>#DIV/0!</v>
      </c>
      <c r="BF370" s="29" t="str">
        <f t="shared" si="373"/>
        <v>#DIV/0!</v>
      </c>
      <c r="BG370" s="29" t="str">
        <f t="shared" si="373"/>
        <v>#DIV/0!</v>
      </c>
      <c r="BH370" s="29" t="str">
        <f t="shared" si="373"/>
        <v>#DIV/0!</v>
      </c>
      <c r="BI370" s="29" t="str">
        <f t="shared" si="373"/>
        <v>#DIV/0!</v>
      </c>
      <c r="BJ370" s="29" t="str">
        <f t="shared" si="373"/>
        <v>#DIV/0!</v>
      </c>
      <c r="BK370" s="29" t="str">
        <f t="shared" si="373"/>
        <v>#DIV/0!</v>
      </c>
      <c r="BL370" s="29" t="str">
        <f t="shared" si="373"/>
        <v>#DIV/0!</v>
      </c>
      <c r="BM370" s="29" t="str">
        <f t="shared" si="3"/>
        <v>#DIV/0!</v>
      </c>
    </row>
    <row r="371">
      <c r="A371" s="16" t="str">
        <f>IFERROR(__xludf.DUMMYFUNCTION("IFERROR(SPARKLINE(SORT(MAP(TRANSPOSE(AQ371:BL371), LAMBDA(val, IF(ISNUMBER(val), PERCENTRANK(AQ371:BL371, val)+0.01, 0))), SEQUENCE(COLUMNS(AQ371:BL371)), FALSE), {""charttype"",""column""; ""color"",""chartreuse""; ""ymin"", 0; ""ymax"", 1.01; ""highcolo"&amp;"r"", ""darkgreen""; ""lowcolor"", ""red""}), """")"),"")</f>
        <v/>
      </c>
      <c r="B371" s="17" t="str">
        <f t="shared" si="4"/>
        <v/>
      </c>
      <c r="C371" s="1" t="s">
        <v>2320</v>
      </c>
      <c r="D371" s="30" t="str">
        <f>IFERROR(__xludf.DUMMYFUNCTION("IFERROR(GOOGLEFINANCE(C371, ""NAME""))"),"DXP Enterprises Inc")</f>
        <v>DXP Enterprises Inc</v>
      </c>
      <c r="E371" s="30" t="s">
        <v>829</v>
      </c>
      <c r="F371" s="33" t="str">
        <f>IFERROR(__xludf.DUMMYFUNCTION("( (GOOGLEFINANCE(C371, ""price"") - Q371) / Q371 ) / (R371 / 100)"),"Loading...")</f>
        <v>Loading...</v>
      </c>
      <c r="G371" s="20" t="str">
        <f>IFERROR(__xludf.DUMMYFUNCTION("AVERAGE(ARRAYFORMULA(100 * (QUERY(GOOGLEFINANCE(C371, ""high"", TODAY()-40, TODAY()), ""SELECT Col2 WHERE Col2 IS NOT NULL ORDER BY Col1 DESC LIMIT 20"", 0) / QUERY(GOOGLEFINANCE(C371, ""low"", TODAY()-40, TODAY()), ""SELECT Col2 WHERE Col2 IS NOT NULL OR"&amp;"DER BY Col1 DESC LIMIT 20"", 0) - 1)))"),"#N/A")</f>
        <v>#N/A</v>
      </c>
      <c r="H371" s="35" t="str">
        <f t="shared" si="6"/>
        <v/>
      </c>
      <c r="I371" s="35" t="str">
        <f t="shared" si="7"/>
        <v/>
      </c>
      <c r="J371" s="37" t="str">
        <f>IFERROR(__xludf.DUMMYFUNCTION("IFERROR(
  IF(C371="""",, 
    IFERROR(
      GOOGLEFINANCE(C371, ""price"") * GOOGLEFINANCE(C371, ""volumeavg""), 
      GOOGLEFINANCE(C371, ""price"") * AVERAGE(QUERY(GOOGLEFINANCE(C371, ""volume"", TODAY()-40, TODAY()), ""SELECT Col2 WHERE Col2 IS NOT "&amp;"NULL ORDER BY Col1 DESC LIMIT 20"", 0))
    )
  ), 
"""")"),"")</f>
        <v/>
      </c>
      <c r="K371" s="21" t="str">
        <f>IFERROR(__xludf.DUMMYFUNCTION("IFERROR(GOOGLEFINANCE(C371, ""changepct"") / 100, """")"),"")</f>
        <v/>
      </c>
      <c r="L371" s="21" t="str">
        <f>IFERROR(__xludf.DUMMYFUNCTION("IFERROR((GOOGLEFINANCE(C371, ""price"") / INDEX(GOOGLEFINANCE(C371, ""price"", TODAY()-7, TODAY()), 2, 2)) - 1, """")"),"")</f>
        <v/>
      </c>
      <c r="M371" s="21" t="str">
        <f>IFERROR(__xludf.DUMMYFUNCTION("IFERROR((GOOGLEFINANCE(C371, ""price"") / INDEX(GOOGLEFINANCE(C371, ""price"", EDATE(TODAY(), -1), TODAY()), 2, 2)) - 1, """")"),"")</f>
        <v/>
      </c>
      <c r="N371" s="21" t="str">
        <f>IFERROR(__xludf.DUMMYFUNCTION("IFERROR((GOOGLEFINANCE(C371, ""price"") / INDEX(GOOGLEFINANCE(C371, ""price"", EDATE(TODAY(), -3), TODAY()), 2, 2)) - 1, """")"),"")</f>
        <v/>
      </c>
      <c r="O371" s="21" t="str">
        <f>IFERROR(__xludf.DUMMYFUNCTION("IFERROR((GOOGLEFINANCE(C371, ""price"") / INDEX(GOOGLEFINANCE(C371, ""price"", EDATE(TODAY(), -6), TODAY()), 2, 2)) - 1, """")"),"")</f>
        <v/>
      </c>
      <c r="P371" s="21" t="str">
        <f>IFERROR(__xludf.DUMMYFUNCTION("IFERROR((GOOGLEFINANCE(C371, ""price"") / INDEX(GOOGLEFINANCE(C371, ""price"", EDATE(TODAY(), -12), TODAY()), 2, 2)) - 1, """")"),"")</f>
        <v/>
      </c>
      <c r="Q371" s="6" t="str">
        <f>IFERROR(__xludf.DUMMYFUNCTION("AVERAGE(QUERY(GOOGLEFINANCE(C371, ""price"", TODAY()-80, TODAY()), ""SELECT Col2 WHERE Col2 IS NOT NULL ORDER BY Col1 DESC LIMIT 50"", 0))"),"#N/A")</f>
        <v>#N/A</v>
      </c>
      <c r="R371" s="24" t="str">
        <f>IFERROR(__xludf.DUMMYFUNCTION("IFERROR(
  LET(
    data, QUERY(GOOGLEFINANCE(C371,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GOOGLEFINANCE(C371, ""price"")) * 100,
    IF(calc=0, G371, calc)
  ), 
G371)"),"#N/A")</f>
        <v>#N/A</v>
      </c>
      <c r="S371" s="8" t="s">
        <v>15</v>
      </c>
      <c r="T371" s="26" t="str">
        <f>IFERROR(__xludf.DUMMYFUNCTION("IFERROR(TRANSPOSE(QUERY(IFERROR(SORT(GOOGLEFINANCE(C371, ""price"", WORKDAY(TODAY(), -40), TODAY()), 1, FALSE)), ""select Col2 where Col2 is not null limit 22 label Col2 ''"", 0)), """")"),"")</f>
        <v/>
      </c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8"/>
      <c r="AO371" s="28"/>
      <c r="AP371" s="29"/>
      <c r="AQ371" s="29" t="str">
        <f t="shared" ref="AQ371:BL371" si="374">T371/T$2</f>
        <v>#N/A</v>
      </c>
      <c r="AR371" s="29" t="str">
        <f t="shared" si="374"/>
        <v>#DIV/0!</v>
      </c>
      <c r="AS371" s="29" t="str">
        <f t="shared" si="374"/>
        <v>#DIV/0!</v>
      </c>
      <c r="AT371" s="29" t="str">
        <f t="shared" si="374"/>
        <v>#DIV/0!</v>
      </c>
      <c r="AU371" s="29" t="str">
        <f t="shared" si="374"/>
        <v>#DIV/0!</v>
      </c>
      <c r="AV371" s="29" t="str">
        <f t="shared" si="374"/>
        <v>#DIV/0!</v>
      </c>
      <c r="AW371" s="29" t="str">
        <f t="shared" si="374"/>
        <v>#DIV/0!</v>
      </c>
      <c r="AX371" s="29" t="str">
        <f t="shared" si="374"/>
        <v>#DIV/0!</v>
      </c>
      <c r="AY371" s="29" t="str">
        <f t="shared" si="374"/>
        <v>#DIV/0!</v>
      </c>
      <c r="AZ371" s="29" t="str">
        <f t="shared" si="374"/>
        <v>#DIV/0!</v>
      </c>
      <c r="BA371" s="29" t="str">
        <f t="shared" si="374"/>
        <v>#DIV/0!</v>
      </c>
      <c r="BB371" s="29" t="str">
        <f t="shared" si="374"/>
        <v>#DIV/0!</v>
      </c>
      <c r="BC371" s="29" t="str">
        <f t="shared" si="374"/>
        <v>#DIV/0!</v>
      </c>
      <c r="BD371" s="29" t="str">
        <f t="shared" si="374"/>
        <v>#DIV/0!</v>
      </c>
      <c r="BE371" s="29" t="str">
        <f t="shared" si="374"/>
        <v>#DIV/0!</v>
      </c>
      <c r="BF371" s="29" t="str">
        <f t="shared" si="374"/>
        <v>#DIV/0!</v>
      </c>
      <c r="BG371" s="29" t="str">
        <f t="shared" si="374"/>
        <v>#DIV/0!</v>
      </c>
      <c r="BH371" s="29" t="str">
        <f t="shared" si="374"/>
        <v>#DIV/0!</v>
      </c>
      <c r="BI371" s="29" t="str">
        <f t="shared" si="374"/>
        <v>#DIV/0!</v>
      </c>
      <c r="BJ371" s="29" t="str">
        <f t="shared" si="374"/>
        <v>#DIV/0!</v>
      </c>
      <c r="BK371" s="29" t="str">
        <f t="shared" si="374"/>
        <v>#DIV/0!</v>
      </c>
      <c r="BL371" s="29" t="str">
        <f t="shared" si="374"/>
        <v>#DIV/0!</v>
      </c>
      <c r="BM371" s="29" t="str">
        <f t="shared" si="3"/>
        <v>#DIV/0!</v>
      </c>
    </row>
    <row r="372">
      <c r="A372" s="16" t="str">
        <f>IFERROR(__xludf.DUMMYFUNCTION("IFERROR(SPARKLINE(SORT(MAP(TRANSPOSE(AQ372:BL372), LAMBDA(val, IF(ISNUMBER(val), PERCENTRANK(AQ372:BL372, val)+0.01, 0))), SEQUENCE(COLUMNS(AQ372:BL372)), FALSE), {""charttype"",""column""; ""color"",""chartreuse""; ""ymin"", 0; ""ymax"", 1.01; ""highcolo"&amp;"r"", ""darkgreen""; ""lowcolor"", ""red""}), """")"),"")</f>
        <v/>
      </c>
      <c r="B372" s="17" t="str">
        <f t="shared" si="4"/>
        <v/>
      </c>
      <c r="C372" s="1" t="s">
        <v>2324</v>
      </c>
      <c r="D372" s="30" t="str">
        <f>IFERROR(__xludf.DUMMYFUNCTION("IFERROR(GOOGLEFINANCE(C372, ""NAME""))"),"ICF International Inc")</f>
        <v>ICF International Inc</v>
      </c>
      <c r="E372" s="30" t="s">
        <v>1591</v>
      </c>
      <c r="F372" s="38" t="str">
        <f>IFERROR(__xludf.DUMMYFUNCTION("( (GOOGLEFINANCE(C372, ""price"") - Q372) / Q372 ) / (R372 / 100)"),"Loading...")</f>
        <v>Loading...</v>
      </c>
      <c r="G372" s="20" t="str">
        <f>IFERROR(__xludf.DUMMYFUNCTION("AVERAGE(ARRAYFORMULA(100 * (QUERY(GOOGLEFINANCE(C372, ""high"", TODAY()-40, TODAY()), ""SELECT Col2 WHERE Col2 IS NOT NULL ORDER BY Col1 DESC LIMIT 20"", 0) / QUERY(GOOGLEFINANCE(C372, ""low"", TODAY()-40, TODAY()), ""SELECT Col2 WHERE Col2 IS NOT NULL OR"&amp;"DER BY Col1 DESC LIMIT 20"", 0) - 1)))"),"#N/A")</f>
        <v>#N/A</v>
      </c>
      <c r="H372" s="35" t="str">
        <f t="shared" si="6"/>
        <v/>
      </c>
      <c r="I372" s="35" t="str">
        <f t="shared" si="7"/>
        <v/>
      </c>
      <c r="J372" s="37" t="str">
        <f>IFERROR(__xludf.DUMMYFUNCTION("IFERROR(
  IF(C372="""",, 
    IFERROR(
      GOOGLEFINANCE(C372, ""price"") * GOOGLEFINANCE(C372, ""volumeavg""), 
      GOOGLEFINANCE(C372, ""price"") * AVERAGE(QUERY(GOOGLEFINANCE(C372, ""volume"", TODAY()-40, TODAY()), ""SELECT Col2 WHERE Col2 IS NOT "&amp;"NULL ORDER BY Col1 DESC LIMIT 20"", 0))
    )
  ), 
"""")"),"")</f>
        <v/>
      </c>
      <c r="K372" s="21" t="str">
        <f>IFERROR(__xludf.DUMMYFUNCTION("IFERROR(GOOGLEFINANCE(C372, ""changepct"") / 100, """")"),"")</f>
        <v/>
      </c>
      <c r="L372" s="21" t="str">
        <f>IFERROR(__xludf.DUMMYFUNCTION("IFERROR((GOOGLEFINANCE(C372, ""price"") / INDEX(GOOGLEFINANCE(C372, ""price"", TODAY()-7, TODAY()), 2, 2)) - 1, """")"),"")</f>
        <v/>
      </c>
      <c r="M372" s="21" t="str">
        <f>IFERROR(__xludf.DUMMYFUNCTION("IFERROR((GOOGLEFINANCE(C372, ""price"") / INDEX(GOOGLEFINANCE(C372, ""price"", EDATE(TODAY(), -1), TODAY()), 2, 2)) - 1, """")"),"")</f>
        <v/>
      </c>
      <c r="N372" s="21" t="str">
        <f>IFERROR(__xludf.DUMMYFUNCTION("IFERROR((GOOGLEFINANCE(C372, ""price"") / INDEX(GOOGLEFINANCE(C372, ""price"", EDATE(TODAY(), -3), TODAY()), 2, 2)) - 1, """")"),"")</f>
        <v/>
      </c>
      <c r="O372" s="21" t="str">
        <f>IFERROR(__xludf.DUMMYFUNCTION("IFERROR((GOOGLEFINANCE(C372, ""price"") / INDEX(GOOGLEFINANCE(C372, ""price"", EDATE(TODAY(), -6), TODAY()), 2, 2)) - 1, """")"),"")</f>
        <v/>
      </c>
      <c r="P372" s="21" t="str">
        <f>IFERROR(__xludf.DUMMYFUNCTION("IFERROR((GOOGLEFINANCE(C372, ""price"") / INDEX(GOOGLEFINANCE(C372, ""price"", EDATE(TODAY(), -12), TODAY()), 2, 2)) - 1, """")"),"")</f>
        <v/>
      </c>
      <c r="Q372" s="6" t="str">
        <f>IFERROR(__xludf.DUMMYFUNCTION("AVERAGE(QUERY(GOOGLEFINANCE(C372, ""price"", TODAY()-80, TODAY()), ""SELECT Col2 WHERE Col2 IS NOT NULL ORDER BY Col1 DESC LIMIT 50"", 0))"),"#N/A")</f>
        <v>#N/A</v>
      </c>
      <c r="R372" s="24" t="str">
        <f>IFERROR(__xludf.DUMMYFUNCTION("IFERROR(
  LET(
    data, QUERY(GOOGLEFINANCE(C372,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GOOGLEFINANCE(C372, ""price"")) * 100,
    IF(calc=0, G372, calc)
  ), 
G372)"),"#N/A")</f>
        <v>#N/A</v>
      </c>
      <c r="S372" s="8" t="s">
        <v>15</v>
      </c>
      <c r="T372" s="26" t="str">
        <f>IFERROR(__xludf.DUMMYFUNCTION("IFERROR(TRANSPOSE(QUERY(IFERROR(SORT(GOOGLEFINANCE(C372, ""price"", WORKDAY(TODAY(), -40), TODAY()), 1, FALSE)), ""select Col2 where Col2 is not null limit 22 label Col2 ''"", 0)), """")"),"")</f>
        <v/>
      </c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8"/>
      <c r="AO372" s="28"/>
      <c r="AP372" s="29"/>
      <c r="AQ372" s="29" t="str">
        <f t="shared" ref="AQ372:BL372" si="375">T372/T$2</f>
        <v>#N/A</v>
      </c>
      <c r="AR372" s="29" t="str">
        <f t="shared" si="375"/>
        <v>#DIV/0!</v>
      </c>
      <c r="AS372" s="29" t="str">
        <f t="shared" si="375"/>
        <v>#DIV/0!</v>
      </c>
      <c r="AT372" s="29" t="str">
        <f t="shared" si="375"/>
        <v>#DIV/0!</v>
      </c>
      <c r="AU372" s="29" t="str">
        <f t="shared" si="375"/>
        <v>#DIV/0!</v>
      </c>
      <c r="AV372" s="29" t="str">
        <f t="shared" si="375"/>
        <v>#DIV/0!</v>
      </c>
      <c r="AW372" s="29" t="str">
        <f t="shared" si="375"/>
        <v>#DIV/0!</v>
      </c>
      <c r="AX372" s="29" t="str">
        <f t="shared" si="375"/>
        <v>#DIV/0!</v>
      </c>
      <c r="AY372" s="29" t="str">
        <f t="shared" si="375"/>
        <v>#DIV/0!</v>
      </c>
      <c r="AZ372" s="29" t="str">
        <f t="shared" si="375"/>
        <v>#DIV/0!</v>
      </c>
      <c r="BA372" s="29" t="str">
        <f t="shared" si="375"/>
        <v>#DIV/0!</v>
      </c>
      <c r="BB372" s="29" t="str">
        <f t="shared" si="375"/>
        <v>#DIV/0!</v>
      </c>
      <c r="BC372" s="29" t="str">
        <f t="shared" si="375"/>
        <v>#DIV/0!</v>
      </c>
      <c r="BD372" s="29" t="str">
        <f t="shared" si="375"/>
        <v>#DIV/0!</v>
      </c>
      <c r="BE372" s="29" t="str">
        <f t="shared" si="375"/>
        <v>#DIV/0!</v>
      </c>
      <c r="BF372" s="29" t="str">
        <f t="shared" si="375"/>
        <v>#DIV/0!</v>
      </c>
      <c r="BG372" s="29" t="str">
        <f t="shared" si="375"/>
        <v>#DIV/0!</v>
      </c>
      <c r="BH372" s="29" t="str">
        <f t="shared" si="375"/>
        <v>#DIV/0!</v>
      </c>
      <c r="BI372" s="29" t="str">
        <f t="shared" si="375"/>
        <v>#DIV/0!</v>
      </c>
      <c r="BJ372" s="29" t="str">
        <f t="shared" si="375"/>
        <v>#DIV/0!</v>
      </c>
      <c r="BK372" s="29" t="str">
        <f t="shared" si="375"/>
        <v>#DIV/0!</v>
      </c>
      <c r="BL372" s="29" t="str">
        <f t="shared" si="375"/>
        <v>#DIV/0!</v>
      </c>
      <c r="BM372" s="29" t="str">
        <f t="shared" si="3"/>
        <v>#DIV/0!</v>
      </c>
    </row>
    <row r="373">
      <c r="A373" s="16" t="str">
        <f>IFERROR(__xludf.DUMMYFUNCTION("IFERROR(SPARKLINE(SORT(MAP(TRANSPOSE(AQ373:BL373), LAMBDA(val, IF(ISNUMBER(val), PERCENTRANK(AQ373:BL373, val)+0.01, 0))), SEQUENCE(COLUMNS(AQ373:BL373)), FALSE), {""charttype"",""column""; ""color"",""chartreuse""; ""ymin"", 0; ""ymax"", 1.01; ""highcolo"&amp;"r"", ""darkgreen""; ""lowcolor"", ""red""}), """")"),"")</f>
        <v/>
      </c>
      <c r="B373" s="17" t="str">
        <f t="shared" si="4"/>
        <v/>
      </c>
      <c r="C373" s="1" t="s">
        <v>2328</v>
      </c>
      <c r="D373" s="30" t="str">
        <f>IFERROR(__xludf.DUMMYFUNCTION("IFERROR(GOOGLEFINANCE(C373, ""NAME""))"),"Serve Robotics Inc")</f>
        <v>Serve Robotics Inc</v>
      </c>
      <c r="E373" s="30" t="s">
        <v>893</v>
      </c>
      <c r="F373" s="33" t="str">
        <f>IFERROR(__xludf.DUMMYFUNCTION("( (GOOGLEFINANCE(C373, ""price"") - Q373) / Q373 ) / (R373 / 100)"),"Loading...")</f>
        <v>Loading...</v>
      </c>
      <c r="G373" s="20" t="str">
        <f>IFERROR(__xludf.DUMMYFUNCTION("AVERAGE(ARRAYFORMULA(100 * (QUERY(GOOGLEFINANCE(C373, ""high"", TODAY()-40, TODAY()), ""SELECT Col2 WHERE Col2 IS NOT NULL ORDER BY Col1 DESC LIMIT 20"", 0) / QUERY(GOOGLEFINANCE(C373, ""low"", TODAY()-40, TODAY()), ""SELECT Col2 WHERE Col2 IS NOT NULL OR"&amp;"DER BY Col1 DESC LIMIT 20"", 0) - 1)))"),"#N/A")</f>
        <v>#N/A</v>
      </c>
      <c r="H373" s="35" t="str">
        <f t="shared" si="6"/>
        <v/>
      </c>
      <c r="I373" s="35" t="str">
        <f t="shared" si="7"/>
        <v/>
      </c>
      <c r="J373" s="37" t="str">
        <f>IFERROR(__xludf.DUMMYFUNCTION("IFERROR(
  IF(C373="""",, 
    IFERROR(
      GOOGLEFINANCE(C373, ""price"") * GOOGLEFINANCE(C373, ""volumeavg""), 
      GOOGLEFINANCE(C373, ""price"") * AVERAGE(QUERY(GOOGLEFINANCE(C373, ""volume"", TODAY()-40, TODAY()), ""SELECT Col2 WHERE Col2 IS NOT "&amp;"NULL ORDER BY Col1 DESC LIMIT 20"", 0))
    )
  ), 
"""")"),"")</f>
        <v/>
      </c>
      <c r="K373" s="21" t="str">
        <f>IFERROR(__xludf.DUMMYFUNCTION("IFERROR(GOOGLEFINANCE(C373, ""changepct"") / 100, """")"),"")</f>
        <v/>
      </c>
      <c r="L373" s="21" t="str">
        <f>IFERROR(__xludf.DUMMYFUNCTION("IFERROR((GOOGLEFINANCE(C373, ""price"") / INDEX(GOOGLEFINANCE(C373, ""price"", TODAY()-7, TODAY()), 2, 2)) - 1, """")"),"")</f>
        <v/>
      </c>
      <c r="M373" s="21" t="str">
        <f>IFERROR(__xludf.DUMMYFUNCTION("IFERROR((GOOGLEFINANCE(C373, ""price"") / INDEX(GOOGLEFINANCE(C373, ""price"", EDATE(TODAY(), -1), TODAY()), 2, 2)) - 1, """")"),"")</f>
        <v/>
      </c>
      <c r="N373" s="21" t="str">
        <f>IFERROR(__xludf.DUMMYFUNCTION("IFERROR((GOOGLEFINANCE(C373, ""price"") / INDEX(GOOGLEFINANCE(C373, ""price"", EDATE(TODAY(), -3), TODAY()), 2, 2)) - 1, """")"),"")</f>
        <v/>
      </c>
      <c r="O373" s="21" t="str">
        <f>IFERROR(__xludf.DUMMYFUNCTION("IFERROR((GOOGLEFINANCE(C373, ""price"") / INDEX(GOOGLEFINANCE(C373, ""price"", EDATE(TODAY(), -6), TODAY()), 2, 2)) - 1, """")"),"")</f>
        <v/>
      </c>
      <c r="P373" s="21" t="str">
        <f>IFERROR(__xludf.DUMMYFUNCTION("IFERROR((GOOGLEFINANCE(C373, ""price"") / INDEX(GOOGLEFINANCE(C373, ""price"", EDATE(TODAY(), -12), TODAY()), 2, 2)) - 1, """")"),"")</f>
        <v/>
      </c>
      <c r="Q373" s="6" t="str">
        <f>IFERROR(__xludf.DUMMYFUNCTION("AVERAGE(QUERY(GOOGLEFINANCE(C373, ""price"", TODAY()-80, TODAY()), ""SELECT Col2 WHERE Col2 IS NOT NULL ORDER BY Col1 DESC LIMIT 50"", 0))"),"#N/A")</f>
        <v>#N/A</v>
      </c>
      <c r="R373" s="24" t="str">
        <f>IFERROR(__xludf.DUMMYFUNCTION("IFERROR(
  LET(
    data, QUERY(GOOGLEFINANCE(C373,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GOOGLEFINANCE(C373, ""price"")) * 100,
    IF(calc=0, G373, calc)
  ), 
G373)"),"#N/A")</f>
        <v>#N/A</v>
      </c>
      <c r="S373" s="8" t="s">
        <v>15</v>
      </c>
      <c r="T373" s="26" t="str">
        <f>IFERROR(__xludf.DUMMYFUNCTION("IFERROR(TRANSPOSE(QUERY(IFERROR(SORT(GOOGLEFINANCE(C373, ""price"", WORKDAY(TODAY(), -40), TODAY()), 1, FALSE)), ""select Col2 where Col2 is not null limit 22 label Col2 ''"", 0)), """")"),"")</f>
        <v/>
      </c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8"/>
      <c r="AO373" s="28"/>
      <c r="AP373" s="29"/>
      <c r="AQ373" s="29" t="str">
        <f t="shared" ref="AQ373:BL373" si="376">T373/T$2</f>
        <v>#N/A</v>
      </c>
      <c r="AR373" s="29" t="str">
        <f t="shared" si="376"/>
        <v>#DIV/0!</v>
      </c>
      <c r="AS373" s="29" t="str">
        <f t="shared" si="376"/>
        <v>#DIV/0!</v>
      </c>
      <c r="AT373" s="29" t="str">
        <f t="shared" si="376"/>
        <v>#DIV/0!</v>
      </c>
      <c r="AU373" s="29" t="str">
        <f t="shared" si="376"/>
        <v>#DIV/0!</v>
      </c>
      <c r="AV373" s="29" t="str">
        <f t="shared" si="376"/>
        <v>#DIV/0!</v>
      </c>
      <c r="AW373" s="29" t="str">
        <f t="shared" si="376"/>
        <v>#DIV/0!</v>
      </c>
      <c r="AX373" s="29" t="str">
        <f t="shared" si="376"/>
        <v>#DIV/0!</v>
      </c>
      <c r="AY373" s="29" t="str">
        <f t="shared" si="376"/>
        <v>#DIV/0!</v>
      </c>
      <c r="AZ373" s="29" t="str">
        <f t="shared" si="376"/>
        <v>#DIV/0!</v>
      </c>
      <c r="BA373" s="29" t="str">
        <f t="shared" si="376"/>
        <v>#DIV/0!</v>
      </c>
      <c r="BB373" s="29" t="str">
        <f t="shared" si="376"/>
        <v>#DIV/0!</v>
      </c>
      <c r="BC373" s="29" t="str">
        <f t="shared" si="376"/>
        <v>#DIV/0!</v>
      </c>
      <c r="BD373" s="29" t="str">
        <f t="shared" si="376"/>
        <v>#DIV/0!</v>
      </c>
      <c r="BE373" s="29" t="str">
        <f t="shared" si="376"/>
        <v>#DIV/0!</v>
      </c>
      <c r="BF373" s="29" t="str">
        <f t="shared" si="376"/>
        <v>#DIV/0!</v>
      </c>
      <c r="BG373" s="29" t="str">
        <f t="shared" si="376"/>
        <v>#DIV/0!</v>
      </c>
      <c r="BH373" s="29" t="str">
        <f t="shared" si="376"/>
        <v>#DIV/0!</v>
      </c>
      <c r="BI373" s="29" t="str">
        <f t="shared" si="376"/>
        <v>#DIV/0!</v>
      </c>
      <c r="BJ373" s="29" t="str">
        <f t="shared" si="376"/>
        <v>#DIV/0!</v>
      </c>
      <c r="BK373" s="29" t="str">
        <f t="shared" si="376"/>
        <v>#DIV/0!</v>
      </c>
      <c r="BL373" s="29" t="str">
        <f t="shared" si="376"/>
        <v>#DIV/0!</v>
      </c>
      <c r="BM373" s="29" t="str">
        <f t="shared" si="3"/>
        <v>#DIV/0!</v>
      </c>
    </row>
    <row r="374">
      <c r="A374" s="16" t="str">
        <f>IFERROR(__xludf.DUMMYFUNCTION("IFERROR(SPARKLINE(SORT(MAP(TRANSPOSE(AQ374:BL374), LAMBDA(val, IF(ISNUMBER(val), PERCENTRANK(AQ374:BL374, val)+0.01, 0))), SEQUENCE(COLUMNS(AQ374:BL374)), FALSE), {""charttype"",""column""; ""color"",""chartreuse""; ""ymin"", 0; ""ymax"", 1.01; ""highcolo"&amp;"r"", ""darkgreen""; ""lowcolor"", ""red""}), """")"),"")</f>
        <v/>
      </c>
      <c r="B374" s="17" t="str">
        <f t="shared" si="4"/>
        <v/>
      </c>
      <c r="C374" s="1" t="s">
        <v>2332</v>
      </c>
      <c r="D374" s="30" t="str">
        <f>IFERROR(__xludf.DUMMYFUNCTION("IFERROR(GOOGLEFINANCE(C374, ""NAME""))"),"Cresud SACIF y A")</f>
        <v>Cresud SACIF y A</v>
      </c>
      <c r="E374" s="30" t="s">
        <v>843</v>
      </c>
      <c r="F374" s="33" t="str">
        <f>IFERROR(__xludf.DUMMYFUNCTION("( (GOOGLEFINANCE(C374, ""price"") - Q374) / Q374 ) / (R374 / 100)"),"Loading...")</f>
        <v>Loading...</v>
      </c>
      <c r="G374" s="20" t="str">
        <f>IFERROR(__xludf.DUMMYFUNCTION("AVERAGE(ARRAYFORMULA(100 * (QUERY(GOOGLEFINANCE(C374, ""high"", TODAY()-40, TODAY()), ""SELECT Col2 WHERE Col2 IS NOT NULL ORDER BY Col1 DESC LIMIT 20"", 0) / QUERY(GOOGLEFINANCE(C374, ""low"", TODAY()-40, TODAY()), ""SELECT Col2 WHERE Col2 IS NOT NULL OR"&amp;"DER BY Col1 DESC LIMIT 20"", 0) - 1)))"),"#N/A")</f>
        <v>#N/A</v>
      </c>
      <c r="H374" s="35" t="str">
        <f t="shared" si="6"/>
        <v/>
      </c>
      <c r="I374" s="35" t="str">
        <f t="shared" si="7"/>
        <v/>
      </c>
      <c r="J374" s="37" t="str">
        <f>IFERROR(__xludf.DUMMYFUNCTION("IFERROR(
  IF(C374="""",, 
    IFERROR(
      GOOGLEFINANCE(C374, ""price"") * GOOGLEFINANCE(C374, ""volumeavg""), 
      GOOGLEFINANCE(C374, ""price"") * AVERAGE(QUERY(GOOGLEFINANCE(C374, ""volume"", TODAY()-40, TODAY()), ""SELECT Col2 WHERE Col2 IS NOT "&amp;"NULL ORDER BY Col1 DESC LIMIT 20"", 0))
    )
  ), 
"""")"),"")</f>
        <v/>
      </c>
      <c r="K374" s="21" t="str">
        <f>IFERROR(__xludf.DUMMYFUNCTION("IFERROR(GOOGLEFINANCE(C374, ""changepct"") / 100, """")"),"")</f>
        <v/>
      </c>
      <c r="L374" s="21" t="str">
        <f>IFERROR(__xludf.DUMMYFUNCTION("IFERROR((GOOGLEFINANCE(C374, ""price"") / INDEX(GOOGLEFINANCE(C374, ""price"", TODAY()-7, TODAY()), 2, 2)) - 1, """")"),"")</f>
        <v/>
      </c>
      <c r="M374" s="21" t="str">
        <f>IFERROR(__xludf.DUMMYFUNCTION("IFERROR((GOOGLEFINANCE(C374, ""price"") / INDEX(GOOGLEFINANCE(C374, ""price"", EDATE(TODAY(), -1), TODAY()), 2, 2)) - 1, """")"),"")</f>
        <v/>
      </c>
      <c r="N374" s="21" t="str">
        <f>IFERROR(__xludf.DUMMYFUNCTION("IFERROR((GOOGLEFINANCE(C374, ""price"") / INDEX(GOOGLEFINANCE(C374, ""price"", EDATE(TODAY(), -3), TODAY()), 2, 2)) - 1, """")"),"")</f>
        <v/>
      </c>
      <c r="O374" s="21" t="str">
        <f>IFERROR(__xludf.DUMMYFUNCTION("IFERROR((GOOGLEFINANCE(C374, ""price"") / INDEX(GOOGLEFINANCE(C374, ""price"", EDATE(TODAY(), -6), TODAY()), 2, 2)) - 1, """")"),"")</f>
        <v/>
      </c>
      <c r="P374" s="21" t="str">
        <f>IFERROR(__xludf.DUMMYFUNCTION("IFERROR((GOOGLEFINANCE(C374, ""price"") / INDEX(GOOGLEFINANCE(C374, ""price"", EDATE(TODAY(), -12), TODAY()), 2, 2)) - 1, """")"),"")</f>
        <v/>
      </c>
      <c r="Q374" s="6" t="str">
        <f>IFERROR(__xludf.DUMMYFUNCTION("AVERAGE(QUERY(GOOGLEFINANCE(C374, ""price"", TODAY()-80, TODAY()), ""SELECT Col2 WHERE Col2 IS NOT NULL ORDER BY Col1 DESC LIMIT 50"", 0))"),"#N/A")</f>
        <v>#N/A</v>
      </c>
      <c r="R374" s="24" t="str">
        <f>IFERROR(__xludf.DUMMYFUNCTION("IFERROR(
  LET(
    data, QUERY(GOOGLEFINANCE(C374,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GOOGLEFINANCE(C374, ""price"")) * 100,
    IF(calc=0, G374, calc)
  ), 
G374)"),"#N/A")</f>
        <v>#N/A</v>
      </c>
      <c r="S374" s="8" t="s">
        <v>15</v>
      </c>
      <c r="T374" s="26" t="str">
        <f>IFERROR(__xludf.DUMMYFUNCTION("IFERROR(TRANSPOSE(QUERY(IFERROR(SORT(GOOGLEFINANCE(C374, ""price"", WORKDAY(TODAY(), -40), TODAY()), 1, FALSE)), ""select Col2 where Col2 is not null limit 22 label Col2 ''"", 0)), """")"),"")</f>
        <v/>
      </c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8"/>
      <c r="AO374" s="28"/>
      <c r="AP374" s="29"/>
      <c r="AQ374" s="29" t="str">
        <f t="shared" ref="AQ374:BL374" si="377">T374/T$2</f>
        <v>#N/A</v>
      </c>
      <c r="AR374" s="29" t="str">
        <f t="shared" si="377"/>
        <v>#DIV/0!</v>
      </c>
      <c r="AS374" s="29" t="str">
        <f t="shared" si="377"/>
        <v>#DIV/0!</v>
      </c>
      <c r="AT374" s="29" t="str">
        <f t="shared" si="377"/>
        <v>#DIV/0!</v>
      </c>
      <c r="AU374" s="29" t="str">
        <f t="shared" si="377"/>
        <v>#DIV/0!</v>
      </c>
      <c r="AV374" s="29" t="str">
        <f t="shared" si="377"/>
        <v>#DIV/0!</v>
      </c>
      <c r="AW374" s="29" t="str">
        <f t="shared" si="377"/>
        <v>#DIV/0!</v>
      </c>
      <c r="AX374" s="29" t="str">
        <f t="shared" si="377"/>
        <v>#DIV/0!</v>
      </c>
      <c r="AY374" s="29" t="str">
        <f t="shared" si="377"/>
        <v>#DIV/0!</v>
      </c>
      <c r="AZ374" s="29" t="str">
        <f t="shared" si="377"/>
        <v>#DIV/0!</v>
      </c>
      <c r="BA374" s="29" t="str">
        <f t="shared" si="377"/>
        <v>#DIV/0!</v>
      </c>
      <c r="BB374" s="29" t="str">
        <f t="shared" si="377"/>
        <v>#DIV/0!</v>
      </c>
      <c r="BC374" s="29" t="str">
        <f t="shared" si="377"/>
        <v>#DIV/0!</v>
      </c>
      <c r="BD374" s="29" t="str">
        <f t="shared" si="377"/>
        <v>#DIV/0!</v>
      </c>
      <c r="BE374" s="29" t="str">
        <f t="shared" si="377"/>
        <v>#DIV/0!</v>
      </c>
      <c r="BF374" s="29" t="str">
        <f t="shared" si="377"/>
        <v>#DIV/0!</v>
      </c>
      <c r="BG374" s="29" t="str">
        <f t="shared" si="377"/>
        <v>#DIV/0!</v>
      </c>
      <c r="BH374" s="29" t="str">
        <f t="shared" si="377"/>
        <v>#DIV/0!</v>
      </c>
      <c r="BI374" s="29" t="str">
        <f t="shared" si="377"/>
        <v>#DIV/0!</v>
      </c>
      <c r="BJ374" s="29" t="str">
        <f t="shared" si="377"/>
        <v>#DIV/0!</v>
      </c>
      <c r="BK374" s="29" t="str">
        <f t="shared" si="377"/>
        <v>#DIV/0!</v>
      </c>
      <c r="BL374" s="29" t="str">
        <f t="shared" si="377"/>
        <v>#DIV/0!</v>
      </c>
      <c r="BM374" s="29" t="str">
        <f t="shared" si="3"/>
        <v>#DIV/0!</v>
      </c>
    </row>
    <row r="375">
      <c r="A375" s="16" t="str">
        <f>IFERROR(__xludf.DUMMYFUNCTION("IFERROR(SPARKLINE(SORT(MAP(TRANSPOSE(AQ375:BL375), LAMBDA(val, IF(ISNUMBER(val), PERCENTRANK(AQ375:BL375, val)+0.01, 0))), SEQUENCE(COLUMNS(AQ375:BL375)), FALSE), {""charttype"",""column""; ""color"",""chartreuse""; ""ymin"", 0; ""ymax"", 1.01; ""highcolo"&amp;"r"", ""darkgreen""; ""lowcolor"", ""red""}), """")"),"")</f>
        <v/>
      </c>
      <c r="B375" s="17" t="str">
        <f t="shared" si="4"/>
        <v/>
      </c>
      <c r="C375" s="1" t="s">
        <v>2337</v>
      </c>
      <c r="D375" s="30" t="str">
        <f>IFERROR(__xludf.DUMMYFUNCTION("IFERROR(GOOGLEFINANCE(C375, ""NAME""))"),"Snap-On Inc")</f>
        <v>Snap-On Inc</v>
      </c>
      <c r="E375" s="30" t="s">
        <v>1055</v>
      </c>
      <c r="F375" s="33" t="str">
        <f>IFERROR(__xludf.DUMMYFUNCTION("( (GOOGLEFINANCE(C375, ""price"") - Q375) / Q375 ) / (R375 / 100)"),"Loading...")</f>
        <v>Loading...</v>
      </c>
      <c r="G375" s="20" t="str">
        <f>IFERROR(__xludf.DUMMYFUNCTION("AVERAGE(ARRAYFORMULA(100 * (QUERY(GOOGLEFINANCE(C375, ""high"", TODAY()-40, TODAY()), ""SELECT Col2 WHERE Col2 IS NOT NULL ORDER BY Col1 DESC LIMIT 20"", 0) / QUERY(GOOGLEFINANCE(C375, ""low"", TODAY()-40, TODAY()), ""SELECT Col2 WHERE Col2 IS NOT NULL OR"&amp;"DER BY Col1 DESC LIMIT 20"", 0) - 1)))"),"#N/A")</f>
        <v>#N/A</v>
      </c>
      <c r="H375" s="35" t="str">
        <f t="shared" si="6"/>
        <v/>
      </c>
      <c r="I375" s="35" t="str">
        <f t="shared" si="7"/>
        <v/>
      </c>
      <c r="J375" s="37" t="str">
        <f>IFERROR(__xludf.DUMMYFUNCTION("IFERROR(
  IF(C375="""",, 
    IFERROR(
      GOOGLEFINANCE(C375, ""price"") * GOOGLEFINANCE(C375, ""volumeavg""), 
      GOOGLEFINANCE(C375, ""price"") * AVERAGE(QUERY(GOOGLEFINANCE(C375, ""volume"", TODAY()-40, TODAY()), ""SELECT Col2 WHERE Col2 IS NOT "&amp;"NULL ORDER BY Col1 DESC LIMIT 20"", 0))
    )
  ), 
"""")"),"")</f>
        <v/>
      </c>
      <c r="K375" s="21" t="str">
        <f>IFERROR(__xludf.DUMMYFUNCTION("IFERROR(GOOGLEFINANCE(C375, ""changepct"") / 100, """")"),"")</f>
        <v/>
      </c>
      <c r="L375" s="21" t="str">
        <f>IFERROR(__xludf.DUMMYFUNCTION("IFERROR((GOOGLEFINANCE(C375, ""price"") / INDEX(GOOGLEFINANCE(C375, ""price"", TODAY()-7, TODAY()), 2, 2)) - 1, """")"),"")</f>
        <v/>
      </c>
      <c r="M375" s="21" t="str">
        <f>IFERROR(__xludf.DUMMYFUNCTION("IFERROR((GOOGLEFINANCE(C375, ""price"") / INDEX(GOOGLEFINANCE(C375, ""price"", EDATE(TODAY(), -1), TODAY()), 2, 2)) - 1, """")"),"")</f>
        <v/>
      </c>
      <c r="N375" s="21" t="str">
        <f>IFERROR(__xludf.DUMMYFUNCTION("IFERROR((GOOGLEFINANCE(C375, ""price"") / INDEX(GOOGLEFINANCE(C375, ""price"", EDATE(TODAY(), -3), TODAY()), 2, 2)) - 1, """")"),"")</f>
        <v/>
      </c>
      <c r="O375" s="21" t="str">
        <f>IFERROR(__xludf.DUMMYFUNCTION("IFERROR((GOOGLEFINANCE(C375, ""price"") / INDEX(GOOGLEFINANCE(C375, ""price"", EDATE(TODAY(), -6), TODAY()), 2, 2)) - 1, """")"),"")</f>
        <v/>
      </c>
      <c r="P375" s="21" t="str">
        <f>IFERROR(__xludf.DUMMYFUNCTION("IFERROR((GOOGLEFINANCE(C375, ""price"") / INDEX(GOOGLEFINANCE(C375, ""price"", EDATE(TODAY(), -12), TODAY()), 2, 2)) - 1, """")"),"")</f>
        <v/>
      </c>
      <c r="Q375" s="6" t="str">
        <f>IFERROR(__xludf.DUMMYFUNCTION("AVERAGE(QUERY(GOOGLEFINANCE(C375, ""price"", TODAY()-80, TODAY()), ""SELECT Col2 WHERE Col2 IS NOT NULL ORDER BY Col1 DESC LIMIT 50"", 0))"),"#N/A")</f>
        <v>#N/A</v>
      </c>
      <c r="R375" s="24" t="str">
        <f>IFERROR(__xludf.DUMMYFUNCTION("IFERROR(
  LET(
    data, QUERY(GOOGLEFINANCE(C375,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GOOGLEFINANCE(C375, ""price"")) * 100,
    IF(calc=0, G375, calc)
  ), 
G375)"),"#N/A")</f>
        <v>#N/A</v>
      </c>
      <c r="S375" s="8" t="s">
        <v>15</v>
      </c>
      <c r="T375" s="26" t="str">
        <f>IFERROR(__xludf.DUMMYFUNCTION("IFERROR(TRANSPOSE(QUERY(IFERROR(SORT(GOOGLEFINANCE(C375, ""price"", WORKDAY(TODAY(), -40), TODAY()), 1, FALSE)), ""select Col2 where Col2 is not null limit 22 label Col2 ''"", 0)), """")"),"")</f>
        <v/>
      </c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8"/>
      <c r="AO375" s="28"/>
      <c r="AP375" s="29"/>
      <c r="AQ375" s="29" t="str">
        <f t="shared" ref="AQ375:BL375" si="378">T375/T$2</f>
        <v>#N/A</v>
      </c>
      <c r="AR375" s="29" t="str">
        <f t="shared" si="378"/>
        <v>#DIV/0!</v>
      </c>
      <c r="AS375" s="29" t="str">
        <f t="shared" si="378"/>
        <v>#DIV/0!</v>
      </c>
      <c r="AT375" s="29" t="str">
        <f t="shared" si="378"/>
        <v>#DIV/0!</v>
      </c>
      <c r="AU375" s="29" t="str">
        <f t="shared" si="378"/>
        <v>#DIV/0!</v>
      </c>
      <c r="AV375" s="29" t="str">
        <f t="shared" si="378"/>
        <v>#DIV/0!</v>
      </c>
      <c r="AW375" s="29" t="str">
        <f t="shared" si="378"/>
        <v>#DIV/0!</v>
      </c>
      <c r="AX375" s="29" t="str">
        <f t="shared" si="378"/>
        <v>#DIV/0!</v>
      </c>
      <c r="AY375" s="29" t="str">
        <f t="shared" si="378"/>
        <v>#DIV/0!</v>
      </c>
      <c r="AZ375" s="29" t="str">
        <f t="shared" si="378"/>
        <v>#DIV/0!</v>
      </c>
      <c r="BA375" s="29" t="str">
        <f t="shared" si="378"/>
        <v>#DIV/0!</v>
      </c>
      <c r="BB375" s="29" t="str">
        <f t="shared" si="378"/>
        <v>#DIV/0!</v>
      </c>
      <c r="BC375" s="29" t="str">
        <f t="shared" si="378"/>
        <v>#DIV/0!</v>
      </c>
      <c r="BD375" s="29" t="str">
        <f t="shared" si="378"/>
        <v>#DIV/0!</v>
      </c>
      <c r="BE375" s="29" t="str">
        <f t="shared" si="378"/>
        <v>#DIV/0!</v>
      </c>
      <c r="BF375" s="29" t="str">
        <f t="shared" si="378"/>
        <v>#DIV/0!</v>
      </c>
      <c r="BG375" s="29" t="str">
        <f t="shared" si="378"/>
        <v>#DIV/0!</v>
      </c>
      <c r="BH375" s="29" t="str">
        <f t="shared" si="378"/>
        <v>#DIV/0!</v>
      </c>
      <c r="BI375" s="29" t="str">
        <f t="shared" si="378"/>
        <v>#DIV/0!</v>
      </c>
      <c r="BJ375" s="29" t="str">
        <f t="shared" si="378"/>
        <v>#DIV/0!</v>
      </c>
      <c r="BK375" s="29" t="str">
        <f t="shared" si="378"/>
        <v>#DIV/0!</v>
      </c>
      <c r="BL375" s="29" t="str">
        <f t="shared" si="378"/>
        <v>#DIV/0!</v>
      </c>
      <c r="BM375" s="29" t="str">
        <f t="shared" si="3"/>
        <v>#DIV/0!</v>
      </c>
    </row>
    <row r="376">
      <c r="A376" s="16" t="str">
        <f>IFERROR(__xludf.DUMMYFUNCTION("IFERROR(SPARKLINE(SORT(MAP(TRANSPOSE(AQ376:BL376), LAMBDA(val, IF(ISNUMBER(val), PERCENTRANK(AQ376:BL376, val)+0.01, 0))), SEQUENCE(COLUMNS(AQ376:BL376)), FALSE), {""charttype"",""column""; ""color"",""chartreuse""; ""ymin"", 0; ""ymax"", 1.01; ""highcolo"&amp;"r"", ""darkgreen""; ""lowcolor"", ""red""}), """")"),"")</f>
        <v/>
      </c>
      <c r="B376" s="17" t="str">
        <f t="shared" si="4"/>
        <v/>
      </c>
      <c r="C376" s="1" t="s">
        <v>2341</v>
      </c>
      <c r="D376" s="30" t="str">
        <f>IFERROR(__xludf.DUMMYFUNCTION("IFERROR(GOOGLEFINANCE(C376, ""NAME""))"),"Old Dominion Freight Line Inc")</f>
        <v>Old Dominion Freight Line Inc</v>
      </c>
      <c r="E376" s="30" t="s">
        <v>1317</v>
      </c>
      <c r="F376" s="33" t="str">
        <f>IFERROR(__xludf.DUMMYFUNCTION("( (GOOGLEFINANCE(C376, ""price"") - Q376) / Q376 ) / (R376 / 100)"),"Loading...")</f>
        <v>Loading...</v>
      </c>
      <c r="G376" s="20" t="str">
        <f>IFERROR(__xludf.DUMMYFUNCTION("AVERAGE(ARRAYFORMULA(100 * (QUERY(GOOGLEFINANCE(C376, ""high"", TODAY()-40, TODAY()), ""SELECT Col2 WHERE Col2 IS NOT NULL ORDER BY Col1 DESC LIMIT 20"", 0) / QUERY(GOOGLEFINANCE(C376, ""low"", TODAY()-40, TODAY()), ""SELECT Col2 WHERE Col2 IS NOT NULL OR"&amp;"DER BY Col1 DESC LIMIT 20"", 0) - 1)))"),"#N/A")</f>
        <v>#N/A</v>
      </c>
      <c r="H376" s="35" t="str">
        <f t="shared" si="6"/>
        <v/>
      </c>
      <c r="I376" s="35" t="str">
        <f t="shared" si="7"/>
        <v/>
      </c>
      <c r="J376" s="37" t="str">
        <f>IFERROR(__xludf.DUMMYFUNCTION("IFERROR(
  IF(C376="""",, 
    IFERROR(
      GOOGLEFINANCE(C376, ""price"") * GOOGLEFINANCE(C376, ""volumeavg""), 
      GOOGLEFINANCE(C376, ""price"") * AVERAGE(QUERY(GOOGLEFINANCE(C376, ""volume"", TODAY()-40, TODAY()), ""SELECT Col2 WHERE Col2 IS NOT "&amp;"NULL ORDER BY Col1 DESC LIMIT 20"", 0))
    )
  ), 
"""")"),"")</f>
        <v/>
      </c>
      <c r="K376" s="21" t="str">
        <f>IFERROR(__xludf.DUMMYFUNCTION("IFERROR(GOOGLEFINANCE(C376, ""changepct"") / 100, """")"),"")</f>
        <v/>
      </c>
      <c r="L376" s="21" t="str">
        <f>IFERROR(__xludf.DUMMYFUNCTION("IFERROR((GOOGLEFINANCE(C376, ""price"") / INDEX(GOOGLEFINANCE(C376, ""price"", TODAY()-7, TODAY()), 2, 2)) - 1, """")"),"")</f>
        <v/>
      </c>
      <c r="M376" s="21" t="str">
        <f>IFERROR(__xludf.DUMMYFUNCTION("IFERROR((GOOGLEFINANCE(C376, ""price"") / INDEX(GOOGLEFINANCE(C376, ""price"", EDATE(TODAY(), -1), TODAY()), 2, 2)) - 1, """")"),"")</f>
        <v/>
      </c>
      <c r="N376" s="21" t="str">
        <f>IFERROR(__xludf.DUMMYFUNCTION("IFERROR((GOOGLEFINANCE(C376, ""price"") / INDEX(GOOGLEFINANCE(C376, ""price"", EDATE(TODAY(), -3), TODAY()), 2, 2)) - 1, """")"),"")</f>
        <v/>
      </c>
      <c r="O376" s="21" t="str">
        <f>IFERROR(__xludf.DUMMYFUNCTION("IFERROR((GOOGLEFINANCE(C376, ""price"") / INDEX(GOOGLEFINANCE(C376, ""price"", EDATE(TODAY(), -6), TODAY()), 2, 2)) - 1, """")"),"")</f>
        <v/>
      </c>
      <c r="P376" s="21" t="str">
        <f>IFERROR(__xludf.DUMMYFUNCTION("IFERROR((GOOGLEFINANCE(C376, ""price"") / INDEX(GOOGLEFINANCE(C376, ""price"", EDATE(TODAY(), -12), TODAY()), 2, 2)) - 1, """")"),"")</f>
        <v/>
      </c>
      <c r="Q376" s="6" t="str">
        <f>IFERROR(__xludf.DUMMYFUNCTION("AVERAGE(QUERY(GOOGLEFINANCE(C376, ""price"", TODAY()-80, TODAY()), ""SELECT Col2 WHERE Col2 IS NOT NULL ORDER BY Col1 DESC LIMIT 50"", 0))"),"#N/A")</f>
        <v>#N/A</v>
      </c>
      <c r="R376" s="24" t="str">
        <f>IFERROR(__xludf.DUMMYFUNCTION("IFERROR(
  LET(
    data, QUERY(GOOGLEFINANCE(C376,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GOOGLEFINANCE(C376, ""price"")) * 100,
    IF(calc=0, G376, calc)
  ), 
G376)"),"#N/A")</f>
        <v>#N/A</v>
      </c>
      <c r="S376" s="8" t="s">
        <v>15</v>
      </c>
      <c r="T376" s="26" t="str">
        <f>IFERROR(__xludf.DUMMYFUNCTION("IFERROR(TRANSPOSE(QUERY(IFERROR(SORT(GOOGLEFINANCE(C376, ""price"", WORKDAY(TODAY(), -40), TODAY()), 1, FALSE)), ""select Col2 where Col2 is not null limit 22 label Col2 ''"", 0)), """")"),"")</f>
        <v/>
      </c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8"/>
      <c r="AO376" s="28"/>
      <c r="AP376" s="29"/>
      <c r="AQ376" s="29" t="str">
        <f t="shared" ref="AQ376:BL376" si="379">T376/T$2</f>
        <v>#N/A</v>
      </c>
      <c r="AR376" s="29" t="str">
        <f t="shared" si="379"/>
        <v>#DIV/0!</v>
      </c>
      <c r="AS376" s="29" t="str">
        <f t="shared" si="379"/>
        <v>#DIV/0!</v>
      </c>
      <c r="AT376" s="29" t="str">
        <f t="shared" si="379"/>
        <v>#DIV/0!</v>
      </c>
      <c r="AU376" s="29" t="str">
        <f t="shared" si="379"/>
        <v>#DIV/0!</v>
      </c>
      <c r="AV376" s="29" t="str">
        <f t="shared" si="379"/>
        <v>#DIV/0!</v>
      </c>
      <c r="AW376" s="29" t="str">
        <f t="shared" si="379"/>
        <v>#DIV/0!</v>
      </c>
      <c r="AX376" s="29" t="str">
        <f t="shared" si="379"/>
        <v>#DIV/0!</v>
      </c>
      <c r="AY376" s="29" t="str">
        <f t="shared" si="379"/>
        <v>#DIV/0!</v>
      </c>
      <c r="AZ376" s="29" t="str">
        <f t="shared" si="379"/>
        <v>#DIV/0!</v>
      </c>
      <c r="BA376" s="29" t="str">
        <f t="shared" si="379"/>
        <v>#DIV/0!</v>
      </c>
      <c r="BB376" s="29" t="str">
        <f t="shared" si="379"/>
        <v>#DIV/0!</v>
      </c>
      <c r="BC376" s="29" t="str">
        <f t="shared" si="379"/>
        <v>#DIV/0!</v>
      </c>
      <c r="BD376" s="29" t="str">
        <f t="shared" si="379"/>
        <v>#DIV/0!</v>
      </c>
      <c r="BE376" s="29" t="str">
        <f t="shared" si="379"/>
        <v>#DIV/0!</v>
      </c>
      <c r="BF376" s="29" t="str">
        <f t="shared" si="379"/>
        <v>#DIV/0!</v>
      </c>
      <c r="BG376" s="29" t="str">
        <f t="shared" si="379"/>
        <v>#DIV/0!</v>
      </c>
      <c r="BH376" s="29" t="str">
        <f t="shared" si="379"/>
        <v>#DIV/0!</v>
      </c>
      <c r="BI376" s="29" t="str">
        <f t="shared" si="379"/>
        <v>#DIV/0!</v>
      </c>
      <c r="BJ376" s="29" t="str">
        <f t="shared" si="379"/>
        <v>#DIV/0!</v>
      </c>
      <c r="BK376" s="29" t="str">
        <f t="shared" si="379"/>
        <v>#DIV/0!</v>
      </c>
      <c r="BL376" s="29" t="str">
        <f t="shared" si="379"/>
        <v>#DIV/0!</v>
      </c>
      <c r="BM376" s="29" t="str">
        <f t="shared" si="3"/>
        <v>#DIV/0!</v>
      </c>
    </row>
    <row r="377">
      <c r="A377" s="16" t="str">
        <f>IFERROR(__xludf.DUMMYFUNCTION("IFERROR(SPARKLINE(SORT(MAP(TRANSPOSE(AQ377:BL377), LAMBDA(val, IF(ISNUMBER(val), PERCENTRANK(AQ377:BL377, val)+0.01, 0))), SEQUENCE(COLUMNS(AQ377:BL377)), FALSE), {""charttype"",""column""; ""color"",""chartreuse""; ""ymin"", 0; ""ymax"", 1.01; ""highcolo"&amp;"r"", ""darkgreen""; ""lowcolor"", ""red""}), """")"),"")</f>
        <v/>
      </c>
      <c r="B377" s="17" t="str">
        <f t="shared" si="4"/>
        <v/>
      </c>
      <c r="C377" s="1" t="s">
        <v>2346</v>
      </c>
      <c r="D377" s="30" t="str">
        <f>IFERROR(__xludf.DUMMYFUNCTION("IFERROR(GOOGLEFINANCE(C377, ""NAME""))"),"Napco Security Technologies Inc")</f>
        <v>Napco Security Technologies Inc</v>
      </c>
      <c r="E377" s="30" t="s">
        <v>1020</v>
      </c>
      <c r="F377" s="33" t="str">
        <f>IFERROR(__xludf.DUMMYFUNCTION("( (GOOGLEFINANCE(C377, ""price"") - Q377) / Q377 ) / (R377 / 100)"),"Loading...")</f>
        <v>Loading...</v>
      </c>
      <c r="G377" s="20" t="str">
        <f>IFERROR(__xludf.DUMMYFUNCTION("AVERAGE(ARRAYFORMULA(100 * (QUERY(GOOGLEFINANCE(C377, ""high"", TODAY()-40, TODAY()), ""SELECT Col2 WHERE Col2 IS NOT NULL ORDER BY Col1 DESC LIMIT 20"", 0) / QUERY(GOOGLEFINANCE(C377, ""low"", TODAY()-40, TODAY()), ""SELECT Col2 WHERE Col2 IS NOT NULL OR"&amp;"DER BY Col1 DESC LIMIT 20"", 0) - 1)))"),"#N/A")</f>
        <v>#N/A</v>
      </c>
      <c r="H377" s="35" t="str">
        <f t="shared" si="6"/>
        <v/>
      </c>
      <c r="I377" s="35" t="str">
        <f t="shared" si="7"/>
        <v/>
      </c>
      <c r="J377" s="37" t="str">
        <f>IFERROR(__xludf.DUMMYFUNCTION("IFERROR(
  IF(C377="""",, 
    IFERROR(
      GOOGLEFINANCE(C377, ""price"") * GOOGLEFINANCE(C377, ""volumeavg""), 
      GOOGLEFINANCE(C377, ""price"") * AVERAGE(QUERY(GOOGLEFINANCE(C377, ""volume"", TODAY()-40, TODAY()), ""SELECT Col2 WHERE Col2 IS NOT "&amp;"NULL ORDER BY Col1 DESC LIMIT 20"", 0))
    )
  ), 
"""")"),"")</f>
        <v/>
      </c>
      <c r="K377" s="21" t="str">
        <f>IFERROR(__xludf.DUMMYFUNCTION("IFERROR(GOOGLEFINANCE(C377, ""changepct"") / 100, """")"),"")</f>
        <v/>
      </c>
      <c r="L377" s="21" t="str">
        <f>IFERROR(__xludf.DUMMYFUNCTION("IFERROR((GOOGLEFINANCE(C377, ""price"") / INDEX(GOOGLEFINANCE(C377, ""price"", TODAY()-7, TODAY()), 2, 2)) - 1, """")"),"")</f>
        <v/>
      </c>
      <c r="M377" s="21" t="str">
        <f>IFERROR(__xludf.DUMMYFUNCTION("IFERROR((GOOGLEFINANCE(C377, ""price"") / INDEX(GOOGLEFINANCE(C377, ""price"", EDATE(TODAY(), -1), TODAY()), 2, 2)) - 1, """")"),"")</f>
        <v/>
      </c>
      <c r="N377" s="21" t="str">
        <f>IFERROR(__xludf.DUMMYFUNCTION("IFERROR((GOOGLEFINANCE(C377, ""price"") / INDEX(GOOGLEFINANCE(C377, ""price"", EDATE(TODAY(), -3), TODAY()), 2, 2)) - 1, """")"),"")</f>
        <v/>
      </c>
      <c r="O377" s="21" t="str">
        <f>IFERROR(__xludf.DUMMYFUNCTION("IFERROR((GOOGLEFINANCE(C377, ""price"") / INDEX(GOOGLEFINANCE(C377, ""price"", EDATE(TODAY(), -6), TODAY()), 2, 2)) - 1, """")"),"")</f>
        <v/>
      </c>
      <c r="P377" s="21" t="str">
        <f>IFERROR(__xludf.DUMMYFUNCTION("IFERROR((GOOGLEFINANCE(C377, ""price"") / INDEX(GOOGLEFINANCE(C377, ""price"", EDATE(TODAY(), -12), TODAY()), 2, 2)) - 1, """")"),"")</f>
        <v/>
      </c>
      <c r="Q377" s="6" t="str">
        <f>IFERROR(__xludf.DUMMYFUNCTION("AVERAGE(QUERY(GOOGLEFINANCE(C377, ""price"", TODAY()-80, TODAY()), ""SELECT Col2 WHERE Col2 IS NOT NULL ORDER BY Col1 DESC LIMIT 50"", 0))"),"#N/A")</f>
        <v>#N/A</v>
      </c>
      <c r="R377" s="24" t="str">
        <f>IFERROR(__xludf.DUMMYFUNCTION("IFERROR(
  LET(
    data, QUERY(GOOGLEFINANCE(C377,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GOOGLEFINANCE(C377, ""price"")) * 100,
    IF(calc=0, G377, calc)
  ), 
G377)"),"#N/A")</f>
        <v>#N/A</v>
      </c>
      <c r="S377" s="8" t="s">
        <v>15</v>
      </c>
      <c r="T377" s="26" t="str">
        <f>IFERROR(__xludf.DUMMYFUNCTION("IFERROR(TRANSPOSE(QUERY(IFERROR(SORT(GOOGLEFINANCE(C377, ""price"", WORKDAY(TODAY(), -40), TODAY()), 1, FALSE)), ""select Col2 where Col2 is not null limit 22 label Col2 ''"", 0)), """")"),"")</f>
        <v/>
      </c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8"/>
      <c r="AO377" s="28"/>
      <c r="AP377" s="29"/>
      <c r="AQ377" s="29" t="str">
        <f t="shared" ref="AQ377:BL377" si="380">T377/T$2</f>
        <v>#N/A</v>
      </c>
      <c r="AR377" s="29" t="str">
        <f t="shared" si="380"/>
        <v>#DIV/0!</v>
      </c>
      <c r="AS377" s="29" t="str">
        <f t="shared" si="380"/>
        <v>#DIV/0!</v>
      </c>
      <c r="AT377" s="29" t="str">
        <f t="shared" si="380"/>
        <v>#DIV/0!</v>
      </c>
      <c r="AU377" s="29" t="str">
        <f t="shared" si="380"/>
        <v>#DIV/0!</v>
      </c>
      <c r="AV377" s="29" t="str">
        <f t="shared" si="380"/>
        <v>#DIV/0!</v>
      </c>
      <c r="AW377" s="29" t="str">
        <f t="shared" si="380"/>
        <v>#DIV/0!</v>
      </c>
      <c r="AX377" s="29" t="str">
        <f t="shared" si="380"/>
        <v>#DIV/0!</v>
      </c>
      <c r="AY377" s="29" t="str">
        <f t="shared" si="380"/>
        <v>#DIV/0!</v>
      </c>
      <c r="AZ377" s="29" t="str">
        <f t="shared" si="380"/>
        <v>#DIV/0!</v>
      </c>
      <c r="BA377" s="29" t="str">
        <f t="shared" si="380"/>
        <v>#DIV/0!</v>
      </c>
      <c r="BB377" s="29" t="str">
        <f t="shared" si="380"/>
        <v>#DIV/0!</v>
      </c>
      <c r="BC377" s="29" t="str">
        <f t="shared" si="380"/>
        <v>#DIV/0!</v>
      </c>
      <c r="BD377" s="29" t="str">
        <f t="shared" si="380"/>
        <v>#DIV/0!</v>
      </c>
      <c r="BE377" s="29" t="str">
        <f t="shared" si="380"/>
        <v>#DIV/0!</v>
      </c>
      <c r="BF377" s="29" t="str">
        <f t="shared" si="380"/>
        <v>#DIV/0!</v>
      </c>
      <c r="BG377" s="29" t="str">
        <f t="shared" si="380"/>
        <v>#DIV/0!</v>
      </c>
      <c r="BH377" s="29" t="str">
        <f t="shared" si="380"/>
        <v>#DIV/0!</v>
      </c>
      <c r="BI377" s="29" t="str">
        <f t="shared" si="380"/>
        <v>#DIV/0!</v>
      </c>
      <c r="BJ377" s="29" t="str">
        <f t="shared" si="380"/>
        <v>#DIV/0!</v>
      </c>
      <c r="BK377" s="29" t="str">
        <f t="shared" si="380"/>
        <v>#DIV/0!</v>
      </c>
      <c r="BL377" s="29" t="str">
        <f t="shared" si="380"/>
        <v>#DIV/0!</v>
      </c>
      <c r="BM377" s="29" t="str">
        <f t="shared" si="3"/>
        <v>#DIV/0!</v>
      </c>
    </row>
    <row r="378">
      <c r="A378" s="16" t="str">
        <f>IFERROR(__xludf.DUMMYFUNCTION("IFERROR(SPARKLINE(SORT(MAP(TRANSPOSE(AQ378:BL378), LAMBDA(val, IF(ISNUMBER(val), PERCENTRANK(AQ378:BL378, val)+0.01, 0))), SEQUENCE(COLUMNS(AQ378:BL378)), FALSE), {""charttype"",""column""; ""color"",""chartreuse""; ""ymin"", 0; ""ymax"", 1.01; ""highcolo"&amp;"r"", ""darkgreen""; ""lowcolor"", ""red""}), """")"),"")</f>
        <v/>
      </c>
      <c r="B378" s="17" t="str">
        <f t="shared" si="4"/>
        <v/>
      </c>
      <c r="C378" s="1" t="s">
        <v>2350</v>
      </c>
      <c r="D378" s="30" t="str">
        <f>IFERROR(__xludf.DUMMYFUNCTION("IFERROR(GOOGLEFINANCE(C378, ""NAME""))"),"Verisk Analytics, Inc.")</f>
        <v>Verisk Analytics, Inc.</v>
      </c>
      <c r="E378" s="30" t="s">
        <v>1591</v>
      </c>
      <c r="F378" s="33" t="str">
        <f>IFERROR(__xludf.DUMMYFUNCTION("( (GOOGLEFINANCE(C378, ""price"") - Q378) / Q378 ) / (R378 / 100)"),"Loading...")</f>
        <v>Loading...</v>
      </c>
      <c r="G378" s="20" t="str">
        <f>IFERROR(__xludf.DUMMYFUNCTION("AVERAGE(ARRAYFORMULA(100 * (QUERY(GOOGLEFINANCE(C378, ""high"", TODAY()-40, TODAY()), ""SELECT Col2 WHERE Col2 IS NOT NULL ORDER BY Col1 DESC LIMIT 20"", 0) / QUERY(GOOGLEFINANCE(C378, ""low"", TODAY()-40, TODAY()), ""SELECT Col2 WHERE Col2 IS NOT NULL OR"&amp;"DER BY Col1 DESC LIMIT 20"", 0) - 1)))"),"#N/A")</f>
        <v>#N/A</v>
      </c>
      <c r="H378" s="35" t="str">
        <f t="shared" si="6"/>
        <v/>
      </c>
      <c r="I378" s="35" t="str">
        <f t="shared" si="7"/>
        <v/>
      </c>
      <c r="J378" s="37" t="str">
        <f>IFERROR(__xludf.DUMMYFUNCTION("IFERROR(
  IF(C378="""",, 
    IFERROR(
      GOOGLEFINANCE(C378, ""price"") * GOOGLEFINANCE(C378, ""volumeavg""), 
      GOOGLEFINANCE(C378, ""price"") * AVERAGE(QUERY(GOOGLEFINANCE(C378, ""volume"", TODAY()-40, TODAY()), ""SELECT Col2 WHERE Col2 IS NOT "&amp;"NULL ORDER BY Col1 DESC LIMIT 20"", 0))
    )
  ), 
"""")"),"")</f>
        <v/>
      </c>
      <c r="K378" s="21" t="str">
        <f>IFERROR(__xludf.DUMMYFUNCTION("IFERROR(GOOGLEFINANCE(C378, ""changepct"") / 100, """")"),"")</f>
        <v/>
      </c>
      <c r="L378" s="21" t="str">
        <f>IFERROR(__xludf.DUMMYFUNCTION("IFERROR((GOOGLEFINANCE(C378, ""price"") / INDEX(GOOGLEFINANCE(C378, ""price"", TODAY()-7, TODAY()), 2, 2)) - 1, """")"),"")</f>
        <v/>
      </c>
      <c r="M378" s="21" t="str">
        <f>IFERROR(__xludf.DUMMYFUNCTION("IFERROR((GOOGLEFINANCE(C378, ""price"") / INDEX(GOOGLEFINANCE(C378, ""price"", EDATE(TODAY(), -1), TODAY()), 2, 2)) - 1, """")"),"")</f>
        <v/>
      </c>
      <c r="N378" s="21" t="str">
        <f>IFERROR(__xludf.DUMMYFUNCTION("IFERROR((GOOGLEFINANCE(C378, ""price"") / INDEX(GOOGLEFINANCE(C378, ""price"", EDATE(TODAY(), -3), TODAY()), 2, 2)) - 1, """")"),"")</f>
        <v/>
      </c>
      <c r="O378" s="21" t="str">
        <f>IFERROR(__xludf.DUMMYFUNCTION("IFERROR((GOOGLEFINANCE(C378, ""price"") / INDEX(GOOGLEFINANCE(C378, ""price"", EDATE(TODAY(), -6), TODAY()), 2, 2)) - 1, """")"),"")</f>
        <v/>
      </c>
      <c r="P378" s="21" t="str">
        <f>IFERROR(__xludf.DUMMYFUNCTION("IFERROR((GOOGLEFINANCE(C378, ""price"") / INDEX(GOOGLEFINANCE(C378, ""price"", EDATE(TODAY(), -12), TODAY()), 2, 2)) - 1, """")"),"")</f>
        <v/>
      </c>
      <c r="Q378" s="6" t="str">
        <f>IFERROR(__xludf.DUMMYFUNCTION("AVERAGE(QUERY(GOOGLEFINANCE(C378, ""price"", TODAY()-80, TODAY()), ""SELECT Col2 WHERE Col2 IS NOT NULL ORDER BY Col1 DESC LIMIT 50"", 0))"),"#N/A")</f>
        <v>#N/A</v>
      </c>
      <c r="R378" s="24" t="str">
        <f>IFERROR(__xludf.DUMMYFUNCTION("IFERROR(
  LET(
    data, QUERY(GOOGLEFINANCE(C378,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GOOGLEFINANCE(C378, ""price"")) * 100,
    IF(calc=0, G378, calc)
  ), 
G378)"),"#N/A")</f>
        <v>#N/A</v>
      </c>
      <c r="S378" s="8" t="s">
        <v>15</v>
      </c>
      <c r="T378" s="26" t="str">
        <f>IFERROR(__xludf.DUMMYFUNCTION("IFERROR(TRANSPOSE(QUERY(IFERROR(SORT(GOOGLEFINANCE(C378, ""price"", WORKDAY(TODAY(), -40), TODAY()), 1, FALSE)), ""select Col2 where Col2 is not null limit 22 label Col2 ''"", 0)), """")"),"")</f>
        <v/>
      </c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8"/>
      <c r="AO378" s="28"/>
      <c r="AP378" s="29"/>
      <c r="AQ378" s="29" t="str">
        <f t="shared" ref="AQ378:BL378" si="381">T378/T$2</f>
        <v>#N/A</v>
      </c>
      <c r="AR378" s="29" t="str">
        <f t="shared" si="381"/>
        <v>#DIV/0!</v>
      </c>
      <c r="AS378" s="29" t="str">
        <f t="shared" si="381"/>
        <v>#DIV/0!</v>
      </c>
      <c r="AT378" s="29" t="str">
        <f t="shared" si="381"/>
        <v>#DIV/0!</v>
      </c>
      <c r="AU378" s="29" t="str">
        <f t="shared" si="381"/>
        <v>#DIV/0!</v>
      </c>
      <c r="AV378" s="29" t="str">
        <f t="shared" si="381"/>
        <v>#DIV/0!</v>
      </c>
      <c r="AW378" s="29" t="str">
        <f t="shared" si="381"/>
        <v>#DIV/0!</v>
      </c>
      <c r="AX378" s="29" t="str">
        <f t="shared" si="381"/>
        <v>#DIV/0!</v>
      </c>
      <c r="AY378" s="29" t="str">
        <f t="shared" si="381"/>
        <v>#DIV/0!</v>
      </c>
      <c r="AZ378" s="29" t="str">
        <f t="shared" si="381"/>
        <v>#DIV/0!</v>
      </c>
      <c r="BA378" s="29" t="str">
        <f t="shared" si="381"/>
        <v>#DIV/0!</v>
      </c>
      <c r="BB378" s="29" t="str">
        <f t="shared" si="381"/>
        <v>#DIV/0!</v>
      </c>
      <c r="BC378" s="29" t="str">
        <f t="shared" si="381"/>
        <v>#DIV/0!</v>
      </c>
      <c r="BD378" s="29" t="str">
        <f t="shared" si="381"/>
        <v>#DIV/0!</v>
      </c>
      <c r="BE378" s="29" t="str">
        <f t="shared" si="381"/>
        <v>#DIV/0!</v>
      </c>
      <c r="BF378" s="29" t="str">
        <f t="shared" si="381"/>
        <v>#DIV/0!</v>
      </c>
      <c r="BG378" s="29" t="str">
        <f t="shared" si="381"/>
        <v>#DIV/0!</v>
      </c>
      <c r="BH378" s="29" t="str">
        <f t="shared" si="381"/>
        <v>#DIV/0!</v>
      </c>
      <c r="BI378" s="29" t="str">
        <f t="shared" si="381"/>
        <v>#DIV/0!</v>
      </c>
      <c r="BJ378" s="29" t="str">
        <f t="shared" si="381"/>
        <v>#DIV/0!</v>
      </c>
      <c r="BK378" s="29" t="str">
        <f t="shared" si="381"/>
        <v>#DIV/0!</v>
      </c>
      <c r="BL378" s="29" t="str">
        <f t="shared" si="381"/>
        <v>#DIV/0!</v>
      </c>
      <c r="BM378" s="29" t="str">
        <f t="shared" si="3"/>
        <v>#DIV/0!</v>
      </c>
    </row>
    <row r="379">
      <c r="A379" s="16" t="str">
        <f>IFERROR(__xludf.DUMMYFUNCTION("IFERROR(SPARKLINE(SORT(MAP(TRANSPOSE(AQ379:BL379), LAMBDA(val, IF(ISNUMBER(val), PERCENTRANK(AQ379:BL379, val)+0.01, 0))), SEQUENCE(COLUMNS(AQ379:BL379)), FALSE), {""charttype"",""column""; ""color"",""chartreuse""; ""ymin"", 0; ""ymax"", 1.01; ""highcolo"&amp;"r"", ""darkgreen""; ""lowcolor"", ""red""}), """")"),"")</f>
        <v/>
      </c>
      <c r="B379" s="17" t="str">
        <f t="shared" si="4"/>
        <v/>
      </c>
      <c r="C379" s="1" t="s">
        <v>2354</v>
      </c>
      <c r="D379" s="30" t="str">
        <f>IFERROR(__xludf.DUMMYFUNCTION("IFERROR(GOOGLEFINANCE(C379, ""NAME""))"),"Dolby Laboratories Inc")</f>
        <v>Dolby Laboratories Inc</v>
      </c>
      <c r="E379" s="30" t="s">
        <v>916</v>
      </c>
      <c r="F379" s="33" t="str">
        <f>IFERROR(__xludf.DUMMYFUNCTION("( (GOOGLEFINANCE(C379, ""price"") - Q379) / Q379 ) / (R379 / 100)"),"Loading...")</f>
        <v>Loading...</v>
      </c>
      <c r="G379" s="20" t="str">
        <f>IFERROR(__xludf.DUMMYFUNCTION("AVERAGE(ARRAYFORMULA(100 * (QUERY(GOOGLEFINANCE(C379, ""high"", TODAY()-40, TODAY()), ""SELECT Col2 WHERE Col2 IS NOT NULL ORDER BY Col1 DESC LIMIT 20"", 0) / QUERY(GOOGLEFINANCE(C379, ""low"", TODAY()-40, TODAY()), ""SELECT Col2 WHERE Col2 IS NOT NULL OR"&amp;"DER BY Col1 DESC LIMIT 20"", 0) - 1)))"),"#N/A")</f>
        <v>#N/A</v>
      </c>
      <c r="H379" s="35" t="str">
        <f t="shared" si="6"/>
        <v/>
      </c>
      <c r="I379" s="35" t="str">
        <f t="shared" si="7"/>
        <v/>
      </c>
      <c r="J379" s="37" t="str">
        <f>IFERROR(__xludf.DUMMYFUNCTION("IFERROR(
  IF(C379="""",, 
    IFERROR(
      GOOGLEFINANCE(C379, ""price"") * GOOGLEFINANCE(C379, ""volumeavg""), 
      GOOGLEFINANCE(C379, ""price"") * AVERAGE(QUERY(GOOGLEFINANCE(C379, ""volume"", TODAY()-40, TODAY()), ""SELECT Col2 WHERE Col2 IS NOT "&amp;"NULL ORDER BY Col1 DESC LIMIT 20"", 0))
    )
  ), 
"""")"),"")</f>
        <v/>
      </c>
      <c r="K379" s="21" t="str">
        <f>IFERROR(__xludf.DUMMYFUNCTION("IFERROR(GOOGLEFINANCE(C379, ""changepct"") / 100, """")"),"")</f>
        <v/>
      </c>
      <c r="L379" s="21" t="str">
        <f>IFERROR(__xludf.DUMMYFUNCTION("IFERROR((GOOGLEFINANCE(C379, ""price"") / INDEX(GOOGLEFINANCE(C379, ""price"", TODAY()-7, TODAY()), 2, 2)) - 1, """")"),"")</f>
        <v/>
      </c>
      <c r="M379" s="21" t="str">
        <f>IFERROR(__xludf.DUMMYFUNCTION("IFERROR((GOOGLEFINANCE(C379, ""price"") / INDEX(GOOGLEFINANCE(C379, ""price"", EDATE(TODAY(), -1), TODAY()), 2, 2)) - 1, """")"),"")</f>
        <v/>
      </c>
      <c r="N379" s="21" t="str">
        <f>IFERROR(__xludf.DUMMYFUNCTION("IFERROR((GOOGLEFINANCE(C379, ""price"") / INDEX(GOOGLEFINANCE(C379, ""price"", EDATE(TODAY(), -3), TODAY()), 2, 2)) - 1, """")"),"")</f>
        <v/>
      </c>
      <c r="O379" s="21" t="str">
        <f>IFERROR(__xludf.DUMMYFUNCTION("IFERROR((GOOGLEFINANCE(C379, ""price"") / INDEX(GOOGLEFINANCE(C379, ""price"", EDATE(TODAY(), -6), TODAY()), 2, 2)) - 1, """")"),"")</f>
        <v/>
      </c>
      <c r="P379" s="21" t="str">
        <f>IFERROR(__xludf.DUMMYFUNCTION("IFERROR((GOOGLEFINANCE(C379, ""price"") / INDEX(GOOGLEFINANCE(C379, ""price"", EDATE(TODAY(), -12), TODAY()), 2, 2)) - 1, """")"),"")</f>
        <v/>
      </c>
      <c r="Q379" s="6" t="str">
        <f>IFERROR(__xludf.DUMMYFUNCTION("AVERAGE(QUERY(GOOGLEFINANCE(C379, ""price"", TODAY()-80, TODAY()), ""SELECT Col2 WHERE Col2 IS NOT NULL ORDER BY Col1 DESC LIMIT 50"", 0))"),"#N/A")</f>
        <v>#N/A</v>
      </c>
      <c r="R379" s="24" t="str">
        <f>IFERROR(__xludf.DUMMYFUNCTION("IFERROR(
  LET(
    data, QUERY(GOOGLEFINANCE(C379,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GOOGLEFINANCE(C379, ""price"")) * 100,
    IF(calc=0, G379, calc)
  ), 
G379)"),"#N/A")</f>
        <v>#N/A</v>
      </c>
      <c r="S379" s="8" t="s">
        <v>15</v>
      </c>
      <c r="T379" s="26" t="str">
        <f>IFERROR(__xludf.DUMMYFUNCTION("IFERROR(TRANSPOSE(QUERY(IFERROR(SORT(GOOGLEFINANCE(C379, ""price"", WORKDAY(TODAY(), -40), TODAY()), 1, FALSE)), ""select Col2 where Col2 is not null limit 22 label Col2 ''"", 0)), """")"),"")</f>
        <v/>
      </c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8"/>
      <c r="AO379" s="28"/>
      <c r="AP379" s="29"/>
      <c r="AQ379" s="29" t="str">
        <f t="shared" ref="AQ379:BL379" si="382">T379/T$2</f>
        <v>#N/A</v>
      </c>
      <c r="AR379" s="29" t="str">
        <f t="shared" si="382"/>
        <v>#DIV/0!</v>
      </c>
      <c r="AS379" s="29" t="str">
        <f t="shared" si="382"/>
        <v>#DIV/0!</v>
      </c>
      <c r="AT379" s="29" t="str">
        <f t="shared" si="382"/>
        <v>#DIV/0!</v>
      </c>
      <c r="AU379" s="29" t="str">
        <f t="shared" si="382"/>
        <v>#DIV/0!</v>
      </c>
      <c r="AV379" s="29" t="str">
        <f t="shared" si="382"/>
        <v>#DIV/0!</v>
      </c>
      <c r="AW379" s="29" t="str">
        <f t="shared" si="382"/>
        <v>#DIV/0!</v>
      </c>
      <c r="AX379" s="29" t="str">
        <f t="shared" si="382"/>
        <v>#DIV/0!</v>
      </c>
      <c r="AY379" s="29" t="str">
        <f t="shared" si="382"/>
        <v>#DIV/0!</v>
      </c>
      <c r="AZ379" s="29" t="str">
        <f t="shared" si="382"/>
        <v>#DIV/0!</v>
      </c>
      <c r="BA379" s="29" t="str">
        <f t="shared" si="382"/>
        <v>#DIV/0!</v>
      </c>
      <c r="BB379" s="29" t="str">
        <f t="shared" si="382"/>
        <v>#DIV/0!</v>
      </c>
      <c r="BC379" s="29" t="str">
        <f t="shared" si="382"/>
        <v>#DIV/0!</v>
      </c>
      <c r="BD379" s="29" t="str">
        <f t="shared" si="382"/>
        <v>#DIV/0!</v>
      </c>
      <c r="BE379" s="29" t="str">
        <f t="shared" si="382"/>
        <v>#DIV/0!</v>
      </c>
      <c r="BF379" s="29" t="str">
        <f t="shared" si="382"/>
        <v>#DIV/0!</v>
      </c>
      <c r="BG379" s="29" t="str">
        <f t="shared" si="382"/>
        <v>#DIV/0!</v>
      </c>
      <c r="BH379" s="29" t="str">
        <f t="shared" si="382"/>
        <v>#DIV/0!</v>
      </c>
      <c r="BI379" s="29" t="str">
        <f t="shared" si="382"/>
        <v>#DIV/0!</v>
      </c>
      <c r="BJ379" s="29" t="str">
        <f t="shared" si="382"/>
        <v>#DIV/0!</v>
      </c>
      <c r="BK379" s="29" t="str">
        <f t="shared" si="382"/>
        <v>#DIV/0!</v>
      </c>
      <c r="BL379" s="29" t="str">
        <f t="shared" si="382"/>
        <v>#DIV/0!</v>
      </c>
      <c r="BM379" s="29" t="str">
        <f t="shared" si="3"/>
        <v>#DIV/0!</v>
      </c>
    </row>
    <row r="380">
      <c r="A380" s="16" t="str">
        <f>IFERROR(__xludf.DUMMYFUNCTION("IFERROR(SPARKLINE(SORT(MAP(TRANSPOSE(AQ380:BL380), LAMBDA(val, IF(ISNUMBER(val), PERCENTRANK(AQ380:BL380, val)+0.01, 0))), SEQUENCE(COLUMNS(AQ380:BL380)), FALSE), {""charttype"",""column""; ""color"",""chartreuse""; ""ymin"", 0; ""ymax"", 1.01; ""highcolo"&amp;"r"", ""darkgreen""; ""lowcolor"", ""red""}), """")"),"")</f>
        <v/>
      </c>
      <c r="B380" s="17" t="str">
        <f t="shared" si="4"/>
        <v/>
      </c>
      <c r="C380" s="1" t="s">
        <v>2359</v>
      </c>
      <c r="D380" s="30" t="str">
        <f>IFERROR(__xludf.DUMMYFUNCTION("IFERROR(GOOGLEFINANCE(C380, ""NAME""))"),"GFL Environmental Inc")</f>
        <v>GFL Environmental Inc</v>
      </c>
      <c r="E380" s="30" t="s">
        <v>1371</v>
      </c>
      <c r="F380" s="38" t="str">
        <f>IFERROR(__xludf.DUMMYFUNCTION("( (GOOGLEFINANCE(C380, ""price"") - Q380) / Q380 ) / (R380 / 100)"),"Loading...")</f>
        <v>Loading...</v>
      </c>
      <c r="G380" s="20" t="str">
        <f>IFERROR(__xludf.DUMMYFUNCTION("AVERAGE(ARRAYFORMULA(100 * (QUERY(GOOGLEFINANCE(C380, ""high"", TODAY()-40, TODAY()), ""SELECT Col2 WHERE Col2 IS NOT NULL ORDER BY Col1 DESC LIMIT 20"", 0) / QUERY(GOOGLEFINANCE(C380, ""low"", TODAY()-40, TODAY()), ""SELECT Col2 WHERE Col2 IS NOT NULL OR"&amp;"DER BY Col1 DESC LIMIT 20"", 0) - 1)))"),"#N/A")</f>
        <v>#N/A</v>
      </c>
      <c r="H380" s="35" t="str">
        <f t="shared" si="6"/>
        <v/>
      </c>
      <c r="I380" s="35" t="str">
        <f t="shared" si="7"/>
        <v/>
      </c>
      <c r="J380" s="37" t="str">
        <f>IFERROR(__xludf.DUMMYFUNCTION("IFERROR(
  IF(C380="""",, 
    IFERROR(
      GOOGLEFINANCE(C380, ""price"") * GOOGLEFINANCE(C380, ""volumeavg""), 
      GOOGLEFINANCE(C380, ""price"") * AVERAGE(QUERY(GOOGLEFINANCE(C380, ""volume"", TODAY()-40, TODAY()), ""SELECT Col2 WHERE Col2 IS NOT "&amp;"NULL ORDER BY Col1 DESC LIMIT 20"", 0))
    )
  ), 
"""")"),"")</f>
        <v/>
      </c>
      <c r="K380" s="21" t="str">
        <f>IFERROR(__xludf.DUMMYFUNCTION("IFERROR(GOOGLEFINANCE(C380, ""changepct"") / 100, """")"),"")</f>
        <v/>
      </c>
      <c r="L380" s="21" t="str">
        <f>IFERROR(__xludf.DUMMYFUNCTION("IFERROR((GOOGLEFINANCE(C380, ""price"") / INDEX(GOOGLEFINANCE(C380, ""price"", TODAY()-7, TODAY()), 2, 2)) - 1, """")"),"")</f>
        <v/>
      </c>
      <c r="M380" s="21" t="str">
        <f>IFERROR(__xludf.DUMMYFUNCTION("IFERROR((GOOGLEFINANCE(C380, ""price"") / INDEX(GOOGLEFINANCE(C380, ""price"", EDATE(TODAY(), -1), TODAY()), 2, 2)) - 1, """")"),"")</f>
        <v/>
      </c>
      <c r="N380" s="21" t="str">
        <f>IFERROR(__xludf.DUMMYFUNCTION("IFERROR((GOOGLEFINANCE(C380, ""price"") / INDEX(GOOGLEFINANCE(C380, ""price"", EDATE(TODAY(), -3), TODAY()), 2, 2)) - 1, """")"),"")</f>
        <v/>
      </c>
      <c r="O380" s="21" t="str">
        <f>IFERROR(__xludf.DUMMYFUNCTION("IFERROR((GOOGLEFINANCE(C380, ""price"") / INDEX(GOOGLEFINANCE(C380, ""price"", EDATE(TODAY(), -6), TODAY()), 2, 2)) - 1, """")"),"")</f>
        <v/>
      </c>
      <c r="P380" s="21" t="str">
        <f>IFERROR(__xludf.DUMMYFUNCTION("IFERROR((GOOGLEFINANCE(C380, ""price"") / INDEX(GOOGLEFINANCE(C380, ""price"", EDATE(TODAY(), -12), TODAY()), 2, 2)) - 1, """")"),"")</f>
        <v/>
      </c>
      <c r="Q380" s="6" t="str">
        <f>IFERROR(__xludf.DUMMYFUNCTION("AVERAGE(QUERY(GOOGLEFINANCE(C380, ""price"", TODAY()-80, TODAY()), ""SELECT Col2 WHERE Col2 IS NOT NULL ORDER BY Col1 DESC LIMIT 50"", 0))"),"#N/A")</f>
        <v>#N/A</v>
      </c>
      <c r="R380" s="24" t="str">
        <f>IFERROR(__xludf.DUMMYFUNCTION("IFERROR(
  LET(
    data, QUERY(GOOGLEFINANCE(C380,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GOOGLEFINANCE(C380, ""price"")) * 100,
    IF(calc=0, G380, calc)
  ), 
G380)"),"#N/A")</f>
        <v>#N/A</v>
      </c>
      <c r="S380" s="8" t="s">
        <v>15</v>
      </c>
      <c r="T380" s="26" t="str">
        <f>IFERROR(__xludf.DUMMYFUNCTION("IFERROR(TRANSPOSE(QUERY(IFERROR(SORT(GOOGLEFINANCE(C380, ""price"", WORKDAY(TODAY(), -40), TODAY()), 1, FALSE)), ""select Col2 where Col2 is not null limit 22 label Col2 ''"", 0)), """")"),"")</f>
        <v/>
      </c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8"/>
      <c r="AO380" s="28"/>
      <c r="AP380" s="29"/>
      <c r="AQ380" s="29" t="str">
        <f t="shared" ref="AQ380:BL380" si="383">T380/T$2</f>
        <v>#N/A</v>
      </c>
      <c r="AR380" s="29" t="str">
        <f t="shared" si="383"/>
        <v>#DIV/0!</v>
      </c>
      <c r="AS380" s="29" t="str">
        <f t="shared" si="383"/>
        <v>#DIV/0!</v>
      </c>
      <c r="AT380" s="29" t="str">
        <f t="shared" si="383"/>
        <v>#DIV/0!</v>
      </c>
      <c r="AU380" s="29" t="str">
        <f t="shared" si="383"/>
        <v>#DIV/0!</v>
      </c>
      <c r="AV380" s="29" t="str">
        <f t="shared" si="383"/>
        <v>#DIV/0!</v>
      </c>
      <c r="AW380" s="29" t="str">
        <f t="shared" si="383"/>
        <v>#DIV/0!</v>
      </c>
      <c r="AX380" s="29" t="str">
        <f t="shared" si="383"/>
        <v>#DIV/0!</v>
      </c>
      <c r="AY380" s="29" t="str">
        <f t="shared" si="383"/>
        <v>#DIV/0!</v>
      </c>
      <c r="AZ380" s="29" t="str">
        <f t="shared" si="383"/>
        <v>#DIV/0!</v>
      </c>
      <c r="BA380" s="29" t="str">
        <f t="shared" si="383"/>
        <v>#DIV/0!</v>
      </c>
      <c r="BB380" s="29" t="str">
        <f t="shared" si="383"/>
        <v>#DIV/0!</v>
      </c>
      <c r="BC380" s="29" t="str">
        <f t="shared" si="383"/>
        <v>#DIV/0!</v>
      </c>
      <c r="BD380" s="29" t="str">
        <f t="shared" si="383"/>
        <v>#DIV/0!</v>
      </c>
      <c r="BE380" s="29" t="str">
        <f t="shared" si="383"/>
        <v>#DIV/0!</v>
      </c>
      <c r="BF380" s="29" t="str">
        <f t="shared" si="383"/>
        <v>#DIV/0!</v>
      </c>
      <c r="BG380" s="29" t="str">
        <f t="shared" si="383"/>
        <v>#DIV/0!</v>
      </c>
      <c r="BH380" s="29" t="str">
        <f t="shared" si="383"/>
        <v>#DIV/0!</v>
      </c>
      <c r="BI380" s="29" t="str">
        <f t="shared" si="383"/>
        <v>#DIV/0!</v>
      </c>
      <c r="BJ380" s="29" t="str">
        <f t="shared" si="383"/>
        <v>#DIV/0!</v>
      </c>
      <c r="BK380" s="29" t="str">
        <f t="shared" si="383"/>
        <v>#DIV/0!</v>
      </c>
      <c r="BL380" s="29" t="str">
        <f t="shared" si="383"/>
        <v>#DIV/0!</v>
      </c>
      <c r="BM380" s="29" t="str">
        <f t="shared" si="3"/>
        <v>#DIV/0!</v>
      </c>
    </row>
    <row r="381">
      <c r="A381" s="16" t="str">
        <f>IFERROR(__xludf.DUMMYFUNCTION("IFERROR(SPARKLINE(SORT(MAP(TRANSPOSE(AQ381:BL381), LAMBDA(val, IF(ISNUMBER(val), PERCENTRANK(AQ381:BL381, val)+0.01, 0))), SEQUENCE(COLUMNS(AQ381:BL381)), FALSE), {""charttype"",""column""; ""color"",""chartreuse""; ""ymin"", 0; ""ymax"", 1.01; ""highcolo"&amp;"r"", ""darkgreen""; ""lowcolor"", ""red""}), """")"),"")</f>
        <v/>
      </c>
      <c r="B381" s="17" t="str">
        <f t="shared" si="4"/>
        <v/>
      </c>
      <c r="C381" s="1" t="s">
        <v>2363</v>
      </c>
      <c r="D381" s="30" t="str">
        <f>IFERROR(__xludf.DUMMYFUNCTION("IFERROR(GOOGLEFINANCE(C381, ""NAME""))"),"Kennametal Inc")</f>
        <v>Kennametal Inc</v>
      </c>
      <c r="E381" s="30" t="s">
        <v>1055</v>
      </c>
      <c r="F381" s="33" t="str">
        <f>IFERROR(__xludf.DUMMYFUNCTION("( (GOOGLEFINANCE(C381, ""price"") - Q381) / Q381 ) / (R381 / 100)"),"Loading...")</f>
        <v>Loading...</v>
      </c>
      <c r="G381" s="20" t="str">
        <f>IFERROR(__xludf.DUMMYFUNCTION("AVERAGE(ARRAYFORMULA(100 * (QUERY(GOOGLEFINANCE(C381, ""high"", TODAY()-40, TODAY()), ""SELECT Col2 WHERE Col2 IS NOT NULL ORDER BY Col1 DESC LIMIT 20"", 0) / QUERY(GOOGLEFINANCE(C381, ""low"", TODAY()-40, TODAY()), ""SELECT Col2 WHERE Col2 IS NOT NULL OR"&amp;"DER BY Col1 DESC LIMIT 20"", 0) - 1)))"),"#N/A")</f>
        <v>#N/A</v>
      </c>
      <c r="H381" s="35" t="str">
        <f t="shared" si="6"/>
        <v/>
      </c>
      <c r="I381" s="35" t="str">
        <f t="shared" si="7"/>
        <v/>
      </c>
      <c r="J381" s="37" t="str">
        <f>IFERROR(__xludf.DUMMYFUNCTION("IFERROR(
  IF(C381="""",, 
    IFERROR(
      GOOGLEFINANCE(C381, ""price"") * GOOGLEFINANCE(C381, ""volumeavg""), 
      GOOGLEFINANCE(C381, ""price"") * AVERAGE(QUERY(GOOGLEFINANCE(C381, ""volume"", TODAY()-40, TODAY()), ""SELECT Col2 WHERE Col2 IS NOT "&amp;"NULL ORDER BY Col1 DESC LIMIT 20"", 0))
    )
  ), 
"""")"),"")</f>
        <v/>
      </c>
      <c r="K381" s="21" t="str">
        <f>IFERROR(__xludf.DUMMYFUNCTION("IFERROR(GOOGLEFINANCE(C381, ""changepct"") / 100, """")"),"")</f>
        <v/>
      </c>
      <c r="L381" s="21" t="str">
        <f>IFERROR(__xludf.DUMMYFUNCTION("IFERROR((GOOGLEFINANCE(C381, ""price"") / INDEX(GOOGLEFINANCE(C381, ""price"", TODAY()-7, TODAY()), 2, 2)) - 1, """")"),"")</f>
        <v/>
      </c>
      <c r="M381" s="21" t="str">
        <f>IFERROR(__xludf.DUMMYFUNCTION("IFERROR((GOOGLEFINANCE(C381, ""price"") / INDEX(GOOGLEFINANCE(C381, ""price"", EDATE(TODAY(), -1), TODAY()), 2, 2)) - 1, """")"),"")</f>
        <v/>
      </c>
      <c r="N381" s="21" t="str">
        <f>IFERROR(__xludf.DUMMYFUNCTION("IFERROR((GOOGLEFINANCE(C381, ""price"") / INDEX(GOOGLEFINANCE(C381, ""price"", EDATE(TODAY(), -3), TODAY()), 2, 2)) - 1, """")"),"")</f>
        <v/>
      </c>
      <c r="O381" s="21" t="str">
        <f>IFERROR(__xludf.DUMMYFUNCTION("IFERROR((GOOGLEFINANCE(C381, ""price"") / INDEX(GOOGLEFINANCE(C381, ""price"", EDATE(TODAY(), -6), TODAY()), 2, 2)) - 1, """")"),"")</f>
        <v/>
      </c>
      <c r="P381" s="21" t="str">
        <f>IFERROR(__xludf.DUMMYFUNCTION("IFERROR((GOOGLEFINANCE(C381, ""price"") / INDEX(GOOGLEFINANCE(C381, ""price"", EDATE(TODAY(), -12), TODAY()), 2, 2)) - 1, """")"),"")</f>
        <v/>
      </c>
      <c r="Q381" s="6" t="str">
        <f>IFERROR(__xludf.DUMMYFUNCTION("AVERAGE(QUERY(GOOGLEFINANCE(C381, ""price"", TODAY()-80, TODAY()), ""SELECT Col2 WHERE Col2 IS NOT NULL ORDER BY Col1 DESC LIMIT 50"", 0))"),"#N/A")</f>
        <v>#N/A</v>
      </c>
      <c r="R381" s="24" t="str">
        <f>IFERROR(__xludf.DUMMYFUNCTION("IFERROR(
  LET(
    data, QUERY(GOOGLEFINANCE(C381,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GOOGLEFINANCE(C381, ""price"")) * 100,
    IF(calc=0, G381, calc)
  ), 
G381)"),"#N/A")</f>
        <v>#N/A</v>
      </c>
      <c r="S381" s="8" t="s">
        <v>15</v>
      </c>
      <c r="T381" s="26" t="str">
        <f>IFERROR(__xludf.DUMMYFUNCTION("IFERROR(TRANSPOSE(QUERY(IFERROR(SORT(GOOGLEFINANCE(C381, ""price"", WORKDAY(TODAY(), -40), TODAY()), 1, FALSE)), ""select Col2 where Col2 is not null limit 22 label Col2 ''"", 0)), """")"),"")</f>
        <v/>
      </c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8"/>
      <c r="AO381" s="28"/>
      <c r="AP381" s="29"/>
      <c r="AQ381" s="29" t="str">
        <f t="shared" ref="AQ381:BL381" si="384">T381/T$2</f>
        <v>#N/A</v>
      </c>
      <c r="AR381" s="29" t="str">
        <f t="shared" si="384"/>
        <v>#DIV/0!</v>
      </c>
      <c r="AS381" s="29" t="str">
        <f t="shared" si="384"/>
        <v>#DIV/0!</v>
      </c>
      <c r="AT381" s="29" t="str">
        <f t="shared" si="384"/>
        <v>#DIV/0!</v>
      </c>
      <c r="AU381" s="29" t="str">
        <f t="shared" si="384"/>
        <v>#DIV/0!</v>
      </c>
      <c r="AV381" s="29" t="str">
        <f t="shared" si="384"/>
        <v>#DIV/0!</v>
      </c>
      <c r="AW381" s="29" t="str">
        <f t="shared" si="384"/>
        <v>#DIV/0!</v>
      </c>
      <c r="AX381" s="29" t="str">
        <f t="shared" si="384"/>
        <v>#DIV/0!</v>
      </c>
      <c r="AY381" s="29" t="str">
        <f t="shared" si="384"/>
        <v>#DIV/0!</v>
      </c>
      <c r="AZ381" s="29" t="str">
        <f t="shared" si="384"/>
        <v>#DIV/0!</v>
      </c>
      <c r="BA381" s="29" t="str">
        <f t="shared" si="384"/>
        <v>#DIV/0!</v>
      </c>
      <c r="BB381" s="29" t="str">
        <f t="shared" si="384"/>
        <v>#DIV/0!</v>
      </c>
      <c r="BC381" s="29" t="str">
        <f t="shared" si="384"/>
        <v>#DIV/0!</v>
      </c>
      <c r="BD381" s="29" t="str">
        <f t="shared" si="384"/>
        <v>#DIV/0!</v>
      </c>
      <c r="BE381" s="29" t="str">
        <f t="shared" si="384"/>
        <v>#DIV/0!</v>
      </c>
      <c r="BF381" s="29" t="str">
        <f t="shared" si="384"/>
        <v>#DIV/0!</v>
      </c>
      <c r="BG381" s="29" t="str">
        <f t="shared" si="384"/>
        <v>#DIV/0!</v>
      </c>
      <c r="BH381" s="29" t="str">
        <f t="shared" si="384"/>
        <v>#DIV/0!</v>
      </c>
      <c r="BI381" s="29" t="str">
        <f t="shared" si="384"/>
        <v>#DIV/0!</v>
      </c>
      <c r="BJ381" s="29" t="str">
        <f t="shared" si="384"/>
        <v>#DIV/0!</v>
      </c>
      <c r="BK381" s="29" t="str">
        <f t="shared" si="384"/>
        <v>#DIV/0!</v>
      </c>
      <c r="BL381" s="29" t="str">
        <f t="shared" si="384"/>
        <v>#DIV/0!</v>
      </c>
      <c r="BM381" s="29" t="str">
        <f t="shared" si="3"/>
        <v>#DIV/0!</v>
      </c>
    </row>
    <row r="382">
      <c r="A382" s="16" t="str">
        <f>IFERROR(__xludf.DUMMYFUNCTION("IFERROR(SPARKLINE(SORT(MAP(TRANSPOSE(AQ382:BL382), LAMBDA(val, IF(ISNUMBER(val), PERCENTRANK(AQ382:BL382, val)+0.01, 0))), SEQUENCE(COLUMNS(AQ382:BL382)), FALSE), {""charttype"",""column""; ""color"",""chartreuse""; ""ymin"", 0; ""ymax"", 1.01; ""highcolo"&amp;"r"", ""darkgreen""; ""lowcolor"", ""red""}), """")"),"")</f>
        <v/>
      </c>
      <c r="B382" s="17" t="str">
        <f t="shared" si="4"/>
        <v/>
      </c>
      <c r="C382" s="1" t="s">
        <v>2367</v>
      </c>
      <c r="D382" s="30" t="str">
        <f>IFERROR(__xludf.DUMMYFUNCTION("IFERROR(GOOGLEFINANCE(C382, ""NAME""))"),"Eastman Kodak Co")</f>
        <v>Eastman Kodak Co</v>
      </c>
      <c r="E382" s="30" t="s">
        <v>916</v>
      </c>
      <c r="F382" s="33" t="str">
        <f>IFERROR(__xludf.DUMMYFUNCTION("( (GOOGLEFINANCE(C382, ""price"") - Q382) / Q382 ) / (R382 / 100)"),"Loading...")</f>
        <v>Loading...</v>
      </c>
      <c r="G382" s="20" t="str">
        <f>IFERROR(__xludf.DUMMYFUNCTION("AVERAGE(ARRAYFORMULA(100 * (QUERY(GOOGLEFINANCE(C382, ""high"", TODAY()-40, TODAY()), ""SELECT Col2 WHERE Col2 IS NOT NULL ORDER BY Col1 DESC LIMIT 20"", 0) / QUERY(GOOGLEFINANCE(C382, ""low"", TODAY()-40, TODAY()), ""SELECT Col2 WHERE Col2 IS NOT NULL OR"&amp;"DER BY Col1 DESC LIMIT 20"", 0) - 1)))"),"#N/A")</f>
        <v>#N/A</v>
      </c>
      <c r="H382" s="35" t="str">
        <f t="shared" si="6"/>
        <v/>
      </c>
      <c r="I382" s="35" t="str">
        <f t="shared" si="7"/>
        <v/>
      </c>
      <c r="J382" s="37" t="str">
        <f>IFERROR(__xludf.DUMMYFUNCTION("IFERROR(
  IF(C382="""",, 
    IFERROR(
      GOOGLEFINANCE(C382, ""price"") * GOOGLEFINANCE(C382, ""volumeavg""), 
      GOOGLEFINANCE(C382, ""price"") * AVERAGE(QUERY(GOOGLEFINANCE(C382, ""volume"", TODAY()-40, TODAY()), ""SELECT Col2 WHERE Col2 IS NOT "&amp;"NULL ORDER BY Col1 DESC LIMIT 20"", 0))
    )
  ), 
"""")"),"")</f>
        <v/>
      </c>
      <c r="K382" s="21" t="str">
        <f>IFERROR(__xludf.DUMMYFUNCTION("IFERROR(GOOGLEFINANCE(C382, ""changepct"") / 100, """")"),"")</f>
        <v/>
      </c>
      <c r="L382" s="21" t="str">
        <f>IFERROR(__xludf.DUMMYFUNCTION("IFERROR((GOOGLEFINANCE(C382, ""price"") / INDEX(GOOGLEFINANCE(C382, ""price"", TODAY()-7, TODAY()), 2, 2)) - 1, """")"),"")</f>
        <v/>
      </c>
      <c r="M382" s="21" t="str">
        <f>IFERROR(__xludf.DUMMYFUNCTION("IFERROR((GOOGLEFINANCE(C382, ""price"") / INDEX(GOOGLEFINANCE(C382, ""price"", EDATE(TODAY(), -1), TODAY()), 2, 2)) - 1, """")"),"")</f>
        <v/>
      </c>
      <c r="N382" s="21" t="str">
        <f>IFERROR(__xludf.DUMMYFUNCTION("IFERROR((GOOGLEFINANCE(C382, ""price"") / INDEX(GOOGLEFINANCE(C382, ""price"", EDATE(TODAY(), -3), TODAY()), 2, 2)) - 1, """")"),"")</f>
        <v/>
      </c>
      <c r="O382" s="21" t="str">
        <f>IFERROR(__xludf.DUMMYFUNCTION("IFERROR((GOOGLEFINANCE(C382, ""price"") / INDEX(GOOGLEFINANCE(C382, ""price"", EDATE(TODAY(), -6), TODAY()), 2, 2)) - 1, """")"),"")</f>
        <v/>
      </c>
      <c r="P382" s="21" t="str">
        <f>IFERROR(__xludf.DUMMYFUNCTION("IFERROR((GOOGLEFINANCE(C382, ""price"") / INDEX(GOOGLEFINANCE(C382, ""price"", EDATE(TODAY(), -12), TODAY()), 2, 2)) - 1, """")"),"")</f>
        <v/>
      </c>
      <c r="Q382" s="6" t="str">
        <f>IFERROR(__xludf.DUMMYFUNCTION("AVERAGE(QUERY(GOOGLEFINANCE(C382, ""price"", TODAY()-80, TODAY()), ""SELECT Col2 WHERE Col2 IS NOT NULL ORDER BY Col1 DESC LIMIT 50"", 0))"),"#N/A")</f>
        <v>#N/A</v>
      </c>
      <c r="R382" s="24" t="str">
        <f>IFERROR(__xludf.DUMMYFUNCTION("IFERROR(
  LET(
    data, QUERY(GOOGLEFINANCE(C382,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GOOGLEFINANCE(C382, ""price"")) * 100,
    IF(calc=0, G382, calc)
  ), 
G382)"),"#N/A")</f>
        <v>#N/A</v>
      </c>
      <c r="S382" s="8" t="s">
        <v>15</v>
      </c>
      <c r="T382" s="26" t="str">
        <f>IFERROR(__xludf.DUMMYFUNCTION("IFERROR(TRANSPOSE(QUERY(IFERROR(SORT(GOOGLEFINANCE(C382, ""price"", WORKDAY(TODAY(), -40), TODAY()), 1, FALSE)), ""select Col2 where Col2 is not null limit 22 label Col2 ''"", 0)), """")"),"")</f>
        <v/>
      </c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8"/>
      <c r="AO382" s="28"/>
      <c r="AP382" s="29"/>
      <c r="AQ382" s="29" t="str">
        <f t="shared" ref="AQ382:BL382" si="385">T382/T$2</f>
        <v>#N/A</v>
      </c>
      <c r="AR382" s="29" t="str">
        <f t="shared" si="385"/>
        <v>#DIV/0!</v>
      </c>
      <c r="AS382" s="29" t="str">
        <f t="shared" si="385"/>
        <v>#DIV/0!</v>
      </c>
      <c r="AT382" s="29" t="str">
        <f t="shared" si="385"/>
        <v>#DIV/0!</v>
      </c>
      <c r="AU382" s="29" t="str">
        <f t="shared" si="385"/>
        <v>#DIV/0!</v>
      </c>
      <c r="AV382" s="29" t="str">
        <f t="shared" si="385"/>
        <v>#DIV/0!</v>
      </c>
      <c r="AW382" s="29" t="str">
        <f t="shared" si="385"/>
        <v>#DIV/0!</v>
      </c>
      <c r="AX382" s="29" t="str">
        <f t="shared" si="385"/>
        <v>#DIV/0!</v>
      </c>
      <c r="AY382" s="29" t="str">
        <f t="shared" si="385"/>
        <v>#DIV/0!</v>
      </c>
      <c r="AZ382" s="29" t="str">
        <f t="shared" si="385"/>
        <v>#DIV/0!</v>
      </c>
      <c r="BA382" s="29" t="str">
        <f t="shared" si="385"/>
        <v>#DIV/0!</v>
      </c>
      <c r="BB382" s="29" t="str">
        <f t="shared" si="385"/>
        <v>#DIV/0!</v>
      </c>
      <c r="BC382" s="29" t="str">
        <f t="shared" si="385"/>
        <v>#DIV/0!</v>
      </c>
      <c r="BD382" s="29" t="str">
        <f t="shared" si="385"/>
        <v>#DIV/0!</v>
      </c>
      <c r="BE382" s="29" t="str">
        <f t="shared" si="385"/>
        <v>#DIV/0!</v>
      </c>
      <c r="BF382" s="29" t="str">
        <f t="shared" si="385"/>
        <v>#DIV/0!</v>
      </c>
      <c r="BG382" s="29" t="str">
        <f t="shared" si="385"/>
        <v>#DIV/0!</v>
      </c>
      <c r="BH382" s="29" t="str">
        <f t="shared" si="385"/>
        <v>#DIV/0!</v>
      </c>
      <c r="BI382" s="29" t="str">
        <f t="shared" si="385"/>
        <v>#DIV/0!</v>
      </c>
      <c r="BJ382" s="29" t="str">
        <f t="shared" si="385"/>
        <v>#DIV/0!</v>
      </c>
      <c r="BK382" s="29" t="str">
        <f t="shared" si="385"/>
        <v>#DIV/0!</v>
      </c>
      <c r="BL382" s="29" t="str">
        <f t="shared" si="385"/>
        <v>#DIV/0!</v>
      </c>
      <c r="BM382" s="29" t="str">
        <f t="shared" si="3"/>
        <v>#DIV/0!</v>
      </c>
    </row>
    <row r="383">
      <c r="A383" s="16" t="str">
        <f>IFERROR(__xludf.DUMMYFUNCTION("IFERROR(SPARKLINE(SORT(MAP(TRANSPOSE(AQ383:BL383), LAMBDA(val, IF(ISNUMBER(val), PERCENTRANK(AQ383:BL383, val)+0.01, 0))), SEQUENCE(COLUMNS(AQ383:BL383)), FALSE), {""charttype"",""column""; ""color"",""chartreuse""; ""ymin"", 0; ""ymax"", 1.01; ""highcolo"&amp;"r"", ""darkgreen""; ""lowcolor"", ""red""}), """")"),"")</f>
        <v/>
      </c>
      <c r="B383" s="17" t="str">
        <f t="shared" si="4"/>
        <v/>
      </c>
      <c r="C383" s="1" t="s">
        <v>2373</v>
      </c>
      <c r="D383" s="30" t="str">
        <f>IFERROR(__xludf.DUMMYFUNCTION("IFERROR(GOOGLEFINANCE(C383, ""NAME""))"),"AerSale Corp")</f>
        <v>AerSale Corp</v>
      </c>
      <c r="E383" s="30" t="s">
        <v>1001</v>
      </c>
      <c r="F383" s="33" t="str">
        <f>IFERROR(__xludf.DUMMYFUNCTION("( (GOOGLEFINANCE(C383, ""price"") - Q383) / Q383 ) / (R383 / 100)"),"Loading...")</f>
        <v>Loading...</v>
      </c>
      <c r="G383" s="20" t="str">
        <f>IFERROR(__xludf.DUMMYFUNCTION("AVERAGE(ARRAYFORMULA(100 * (QUERY(GOOGLEFINANCE(C383, ""high"", TODAY()-40, TODAY()), ""SELECT Col2 WHERE Col2 IS NOT NULL ORDER BY Col1 DESC LIMIT 20"", 0) / QUERY(GOOGLEFINANCE(C383, ""low"", TODAY()-40, TODAY()), ""SELECT Col2 WHERE Col2 IS NOT NULL OR"&amp;"DER BY Col1 DESC LIMIT 20"", 0) - 1)))"),"#N/A")</f>
        <v>#N/A</v>
      </c>
      <c r="H383" s="35" t="str">
        <f t="shared" si="6"/>
        <v/>
      </c>
      <c r="I383" s="35" t="str">
        <f t="shared" si="7"/>
        <v/>
      </c>
      <c r="J383" s="37" t="str">
        <f>IFERROR(__xludf.DUMMYFUNCTION("IFERROR(
  IF(C383="""",, 
    IFERROR(
      GOOGLEFINANCE(C383, ""price"") * GOOGLEFINANCE(C383, ""volumeavg""), 
      GOOGLEFINANCE(C383, ""price"") * AVERAGE(QUERY(GOOGLEFINANCE(C383, ""volume"", TODAY()-40, TODAY()), ""SELECT Col2 WHERE Col2 IS NOT "&amp;"NULL ORDER BY Col1 DESC LIMIT 20"", 0))
    )
  ), 
"""")"),"")</f>
        <v/>
      </c>
      <c r="K383" s="21" t="str">
        <f>IFERROR(__xludf.DUMMYFUNCTION("IFERROR(GOOGLEFINANCE(C383, ""changepct"") / 100, """")"),"")</f>
        <v/>
      </c>
      <c r="L383" s="21" t="str">
        <f>IFERROR(__xludf.DUMMYFUNCTION("IFERROR((GOOGLEFINANCE(C383, ""price"") / INDEX(GOOGLEFINANCE(C383, ""price"", TODAY()-7, TODAY()), 2, 2)) - 1, """")"),"")</f>
        <v/>
      </c>
      <c r="M383" s="21" t="str">
        <f>IFERROR(__xludf.DUMMYFUNCTION("IFERROR((GOOGLEFINANCE(C383, ""price"") / INDEX(GOOGLEFINANCE(C383, ""price"", EDATE(TODAY(), -1), TODAY()), 2, 2)) - 1, """")"),"")</f>
        <v/>
      </c>
      <c r="N383" s="21" t="str">
        <f>IFERROR(__xludf.DUMMYFUNCTION("IFERROR((GOOGLEFINANCE(C383, ""price"") / INDEX(GOOGLEFINANCE(C383, ""price"", EDATE(TODAY(), -3), TODAY()), 2, 2)) - 1, """")"),"")</f>
        <v/>
      </c>
      <c r="O383" s="21" t="str">
        <f>IFERROR(__xludf.DUMMYFUNCTION("IFERROR((GOOGLEFINANCE(C383, ""price"") / INDEX(GOOGLEFINANCE(C383, ""price"", EDATE(TODAY(), -6), TODAY()), 2, 2)) - 1, """")"),"")</f>
        <v/>
      </c>
      <c r="P383" s="21" t="str">
        <f>IFERROR(__xludf.DUMMYFUNCTION("IFERROR((GOOGLEFINANCE(C383, ""price"") / INDEX(GOOGLEFINANCE(C383, ""price"", EDATE(TODAY(), -12), TODAY()), 2, 2)) - 1, """")"),"")</f>
        <v/>
      </c>
      <c r="Q383" s="6" t="str">
        <f>IFERROR(__xludf.DUMMYFUNCTION("AVERAGE(QUERY(GOOGLEFINANCE(C383, ""price"", TODAY()-80, TODAY()), ""SELECT Col2 WHERE Col2 IS NOT NULL ORDER BY Col1 DESC LIMIT 50"", 0))"),"#N/A")</f>
        <v>#N/A</v>
      </c>
      <c r="R383" s="24" t="str">
        <f>IFERROR(__xludf.DUMMYFUNCTION("IFERROR(
  LET(
    data, QUERY(GOOGLEFINANCE(C383,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GOOGLEFINANCE(C383, ""price"")) * 100,
    IF(calc=0, G383, calc)
  ), 
G383)"),"#N/A")</f>
        <v>#N/A</v>
      </c>
      <c r="S383" s="8" t="s">
        <v>15</v>
      </c>
      <c r="T383" s="26" t="str">
        <f>IFERROR(__xludf.DUMMYFUNCTION("IFERROR(TRANSPOSE(QUERY(IFERROR(SORT(GOOGLEFINANCE(C383, ""price"", WORKDAY(TODAY(), -40), TODAY()), 1, FALSE)), ""select Col2 where Col2 is not null limit 22 label Col2 ''"", 0)), """")"),"")</f>
        <v/>
      </c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8"/>
      <c r="AO383" s="28"/>
      <c r="AP383" s="29"/>
      <c r="AQ383" s="29" t="str">
        <f t="shared" ref="AQ383:BL383" si="386">T383/T$2</f>
        <v>#N/A</v>
      </c>
      <c r="AR383" s="29" t="str">
        <f t="shared" si="386"/>
        <v>#DIV/0!</v>
      </c>
      <c r="AS383" s="29" t="str">
        <f t="shared" si="386"/>
        <v>#DIV/0!</v>
      </c>
      <c r="AT383" s="29" t="str">
        <f t="shared" si="386"/>
        <v>#DIV/0!</v>
      </c>
      <c r="AU383" s="29" t="str">
        <f t="shared" si="386"/>
        <v>#DIV/0!</v>
      </c>
      <c r="AV383" s="29" t="str">
        <f t="shared" si="386"/>
        <v>#DIV/0!</v>
      </c>
      <c r="AW383" s="29" t="str">
        <f t="shared" si="386"/>
        <v>#DIV/0!</v>
      </c>
      <c r="AX383" s="29" t="str">
        <f t="shared" si="386"/>
        <v>#DIV/0!</v>
      </c>
      <c r="AY383" s="29" t="str">
        <f t="shared" si="386"/>
        <v>#DIV/0!</v>
      </c>
      <c r="AZ383" s="29" t="str">
        <f t="shared" si="386"/>
        <v>#DIV/0!</v>
      </c>
      <c r="BA383" s="29" t="str">
        <f t="shared" si="386"/>
        <v>#DIV/0!</v>
      </c>
      <c r="BB383" s="29" t="str">
        <f t="shared" si="386"/>
        <v>#DIV/0!</v>
      </c>
      <c r="BC383" s="29" t="str">
        <f t="shared" si="386"/>
        <v>#DIV/0!</v>
      </c>
      <c r="BD383" s="29" t="str">
        <f t="shared" si="386"/>
        <v>#DIV/0!</v>
      </c>
      <c r="BE383" s="29" t="str">
        <f t="shared" si="386"/>
        <v>#DIV/0!</v>
      </c>
      <c r="BF383" s="29" t="str">
        <f t="shared" si="386"/>
        <v>#DIV/0!</v>
      </c>
      <c r="BG383" s="29" t="str">
        <f t="shared" si="386"/>
        <v>#DIV/0!</v>
      </c>
      <c r="BH383" s="29" t="str">
        <f t="shared" si="386"/>
        <v>#DIV/0!</v>
      </c>
      <c r="BI383" s="29" t="str">
        <f t="shared" si="386"/>
        <v>#DIV/0!</v>
      </c>
      <c r="BJ383" s="29" t="str">
        <f t="shared" si="386"/>
        <v>#DIV/0!</v>
      </c>
      <c r="BK383" s="29" t="str">
        <f t="shared" si="386"/>
        <v>#DIV/0!</v>
      </c>
      <c r="BL383" s="29" t="str">
        <f t="shared" si="386"/>
        <v>#DIV/0!</v>
      </c>
      <c r="BM383" s="29" t="str">
        <f t="shared" si="3"/>
        <v>#DIV/0!</v>
      </c>
    </row>
    <row r="384">
      <c r="A384" s="16" t="str">
        <f>IFERROR(__xludf.DUMMYFUNCTION("IFERROR(SPARKLINE(SORT(MAP(TRANSPOSE(AQ384:BL384), LAMBDA(val, IF(ISNUMBER(val), PERCENTRANK(AQ384:BL384, val)+0.01, 0))), SEQUENCE(COLUMNS(AQ384:BL384)), FALSE), {""charttype"",""column""; ""color"",""chartreuse""; ""ymin"", 0; ""ymax"", 1.01; ""highcolo"&amp;"r"", ""darkgreen""; ""lowcolor"", ""red""}), """")"),"")</f>
        <v/>
      </c>
      <c r="B384" s="17" t="str">
        <f t="shared" si="4"/>
        <v/>
      </c>
      <c r="C384" s="1" t="s">
        <v>2378</v>
      </c>
      <c r="D384" s="30" t="str">
        <f>IFERROR(__xludf.DUMMYFUNCTION("IFERROR(GOOGLEFINANCE(C384, ""NAME""))"),"Matrix Service Co")</f>
        <v>Matrix Service Co</v>
      </c>
      <c r="E384" s="30" t="s">
        <v>856</v>
      </c>
      <c r="F384" s="33" t="str">
        <f>IFERROR(__xludf.DUMMYFUNCTION("( (GOOGLEFINANCE(C384, ""price"") - Q384) / Q384 ) / (R384 / 100)"),"Loading...")</f>
        <v>Loading...</v>
      </c>
      <c r="G384" s="20" t="str">
        <f>IFERROR(__xludf.DUMMYFUNCTION("AVERAGE(ARRAYFORMULA(100 * (QUERY(GOOGLEFINANCE(C384, ""high"", TODAY()-40, TODAY()), ""SELECT Col2 WHERE Col2 IS NOT NULL ORDER BY Col1 DESC LIMIT 20"", 0) / QUERY(GOOGLEFINANCE(C384, ""low"", TODAY()-40, TODAY()), ""SELECT Col2 WHERE Col2 IS NOT NULL OR"&amp;"DER BY Col1 DESC LIMIT 20"", 0) - 1)))"),"#N/A")</f>
        <v>#N/A</v>
      </c>
      <c r="H384" s="35" t="str">
        <f t="shared" si="6"/>
        <v/>
      </c>
      <c r="I384" s="35" t="str">
        <f t="shared" si="7"/>
        <v/>
      </c>
      <c r="J384" s="37" t="str">
        <f>IFERROR(__xludf.DUMMYFUNCTION("IFERROR(
  IF(C384="""",, 
    IFERROR(
      GOOGLEFINANCE(C384, ""price"") * GOOGLEFINANCE(C384, ""volumeavg""), 
      GOOGLEFINANCE(C384, ""price"") * AVERAGE(QUERY(GOOGLEFINANCE(C384, ""volume"", TODAY()-40, TODAY()), ""SELECT Col2 WHERE Col2 IS NOT "&amp;"NULL ORDER BY Col1 DESC LIMIT 20"", 0))
    )
  ), 
"""")"),"")</f>
        <v/>
      </c>
      <c r="K384" s="21" t="str">
        <f>IFERROR(__xludf.DUMMYFUNCTION("IFERROR(GOOGLEFINANCE(C384, ""changepct"") / 100, """")"),"")</f>
        <v/>
      </c>
      <c r="L384" s="21" t="str">
        <f>IFERROR(__xludf.DUMMYFUNCTION("IFERROR((GOOGLEFINANCE(C384, ""price"") / INDEX(GOOGLEFINANCE(C384, ""price"", TODAY()-7, TODAY()), 2, 2)) - 1, """")"),"")</f>
        <v/>
      </c>
      <c r="M384" s="21" t="str">
        <f>IFERROR(__xludf.DUMMYFUNCTION("IFERROR((GOOGLEFINANCE(C384, ""price"") / INDEX(GOOGLEFINANCE(C384, ""price"", EDATE(TODAY(), -1), TODAY()), 2, 2)) - 1, """")"),"")</f>
        <v/>
      </c>
      <c r="N384" s="21" t="str">
        <f>IFERROR(__xludf.DUMMYFUNCTION("IFERROR((GOOGLEFINANCE(C384, ""price"") / INDEX(GOOGLEFINANCE(C384, ""price"", EDATE(TODAY(), -3), TODAY()), 2, 2)) - 1, """")"),"")</f>
        <v/>
      </c>
      <c r="O384" s="21" t="str">
        <f>IFERROR(__xludf.DUMMYFUNCTION("IFERROR((GOOGLEFINANCE(C384, ""price"") / INDEX(GOOGLEFINANCE(C384, ""price"", EDATE(TODAY(), -6), TODAY()), 2, 2)) - 1, """")"),"")</f>
        <v/>
      </c>
      <c r="P384" s="21" t="str">
        <f>IFERROR(__xludf.DUMMYFUNCTION("IFERROR((GOOGLEFINANCE(C384, ""price"") / INDEX(GOOGLEFINANCE(C384, ""price"", EDATE(TODAY(), -12), TODAY()), 2, 2)) - 1, """")"),"")</f>
        <v/>
      </c>
      <c r="Q384" s="6" t="str">
        <f>IFERROR(__xludf.DUMMYFUNCTION("AVERAGE(QUERY(GOOGLEFINANCE(C384, ""price"", TODAY()-80, TODAY()), ""SELECT Col2 WHERE Col2 IS NOT NULL ORDER BY Col1 DESC LIMIT 50"", 0))"),"#N/A")</f>
        <v>#N/A</v>
      </c>
      <c r="R384" s="24" t="str">
        <f>IFERROR(__xludf.DUMMYFUNCTION("IFERROR(
  LET(
    data, QUERY(GOOGLEFINANCE(C384,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GOOGLEFINANCE(C384, ""price"")) * 100,
    IF(calc=0, G384, calc)
  ), 
G384)"),"#N/A")</f>
        <v>#N/A</v>
      </c>
      <c r="S384" s="8" t="s">
        <v>15</v>
      </c>
      <c r="T384" s="26" t="str">
        <f>IFERROR(__xludf.DUMMYFUNCTION("IFERROR(TRANSPOSE(QUERY(IFERROR(SORT(GOOGLEFINANCE(C384, ""price"", WORKDAY(TODAY(), -40), TODAY()), 1, FALSE)), ""select Col2 where Col2 is not null limit 22 label Col2 ''"", 0)), """")"),"")</f>
        <v/>
      </c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8"/>
      <c r="AO384" s="28"/>
      <c r="AP384" s="29"/>
      <c r="AQ384" s="29" t="str">
        <f t="shared" ref="AQ384:BL384" si="387">T384/T$2</f>
        <v>#N/A</v>
      </c>
      <c r="AR384" s="29" t="str">
        <f t="shared" si="387"/>
        <v>#DIV/0!</v>
      </c>
      <c r="AS384" s="29" t="str">
        <f t="shared" si="387"/>
        <v>#DIV/0!</v>
      </c>
      <c r="AT384" s="29" t="str">
        <f t="shared" si="387"/>
        <v>#DIV/0!</v>
      </c>
      <c r="AU384" s="29" t="str">
        <f t="shared" si="387"/>
        <v>#DIV/0!</v>
      </c>
      <c r="AV384" s="29" t="str">
        <f t="shared" si="387"/>
        <v>#DIV/0!</v>
      </c>
      <c r="AW384" s="29" t="str">
        <f t="shared" si="387"/>
        <v>#DIV/0!</v>
      </c>
      <c r="AX384" s="29" t="str">
        <f t="shared" si="387"/>
        <v>#DIV/0!</v>
      </c>
      <c r="AY384" s="29" t="str">
        <f t="shared" si="387"/>
        <v>#DIV/0!</v>
      </c>
      <c r="AZ384" s="29" t="str">
        <f t="shared" si="387"/>
        <v>#DIV/0!</v>
      </c>
      <c r="BA384" s="29" t="str">
        <f t="shared" si="387"/>
        <v>#DIV/0!</v>
      </c>
      <c r="BB384" s="29" t="str">
        <f t="shared" si="387"/>
        <v>#DIV/0!</v>
      </c>
      <c r="BC384" s="29" t="str">
        <f t="shared" si="387"/>
        <v>#DIV/0!</v>
      </c>
      <c r="BD384" s="29" t="str">
        <f t="shared" si="387"/>
        <v>#DIV/0!</v>
      </c>
      <c r="BE384" s="29" t="str">
        <f t="shared" si="387"/>
        <v>#DIV/0!</v>
      </c>
      <c r="BF384" s="29" t="str">
        <f t="shared" si="387"/>
        <v>#DIV/0!</v>
      </c>
      <c r="BG384" s="29" t="str">
        <f t="shared" si="387"/>
        <v>#DIV/0!</v>
      </c>
      <c r="BH384" s="29" t="str">
        <f t="shared" si="387"/>
        <v>#DIV/0!</v>
      </c>
      <c r="BI384" s="29" t="str">
        <f t="shared" si="387"/>
        <v>#DIV/0!</v>
      </c>
      <c r="BJ384" s="29" t="str">
        <f t="shared" si="387"/>
        <v>#DIV/0!</v>
      </c>
      <c r="BK384" s="29" t="str">
        <f t="shared" si="387"/>
        <v>#DIV/0!</v>
      </c>
      <c r="BL384" s="29" t="str">
        <f t="shared" si="387"/>
        <v>#DIV/0!</v>
      </c>
      <c r="BM384" s="29" t="str">
        <f t="shared" si="3"/>
        <v>#DIV/0!</v>
      </c>
    </row>
    <row r="385">
      <c r="A385" s="16" t="str">
        <f>IFERROR(__xludf.DUMMYFUNCTION("IFERROR(SPARKLINE(SORT(MAP(TRANSPOSE(AQ385:BL385), LAMBDA(val, IF(ISNUMBER(val), PERCENTRANK(AQ385:BL385, val)+0.01, 0))), SEQUENCE(COLUMNS(AQ385:BL385)), FALSE), {""charttype"",""column""; ""color"",""chartreuse""; ""ymin"", 0; ""ymax"", 1.01; ""highcolo"&amp;"r"", ""darkgreen""; ""lowcolor"", ""red""}), """")"),"")</f>
        <v/>
      </c>
      <c r="B385" s="17" t="str">
        <f t="shared" si="4"/>
        <v/>
      </c>
      <c r="C385" s="1" t="s">
        <v>2382</v>
      </c>
      <c r="D385" s="30" t="str">
        <f>IFERROR(__xludf.DUMMYFUNCTION("IFERROR(GOOGLEFINANCE(C385, ""NAME""))"),"Symbotic Inc")</f>
        <v>Symbotic Inc</v>
      </c>
      <c r="E385" s="30" t="s">
        <v>893</v>
      </c>
      <c r="F385" s="33" t="str">
        <f>IFERROR(__xludf.DUMMYFUNCTION("( (GOOGLEFINANCE(C385, ""price"") - Q385) / Q385 ) / (R385 / 100)"),"Loading...")</f>
        <v>Loading...</v>
      </c>
      <c r="G385" s="20" t="str">
        <f>IFERROR(__xludf.DUMMYFUNCTION("AVERAGE(ARRAYFORMULA(100 * (QUERY(GOOGLEFINANCE(C385, ""high"", TODAY()-40, TODAY()), ""SELECT Col2 WHERE Col2 IS NOT NULL ORDER BY Col1 DESC LIMIT 20"", 0) / QUERY(GOOGLEFINANCE(C385, ""low"", TODAY()-40, TODAY()), ""SELECT Col2 WHERE Col2 IS NOT NULL OR"&amp;"DER BY Col1 DESC LIMIT 20"", 0) - 1)))"),"#N/A")</f>
        <v>#N/A</v>
      </c>
      <c r="H385" s="35" t="str">
        <f t="shared" si="6"/>
        <v/>
      </c>
      <c r="I385" s="35" t="str">
        <f t="shared" si="7"/>
        <v/>
      </c>
      <c r="J385" s="37" t="str">
        <f>IFERROR(__xludf.DUMMYFUNCTION("IFERROR(
  IF(C385="""",, 
    IFERROR(
      GOOGLEFINANCE(C385, ""price"") * GOOGLEFINANCE(C385, ""volumeavg""), 
      GOOGLEFINANCE(C385, ""price"") * AVERAGE(QUERY(GOOGLEFINANCE(C385, ""volume"", TODAY()-40, TODAY()), ""SELECT Col2 WHERE Col2 IS NOT "&amp;"NULL ORDER BY Col1 DESC LIMIT 20"", 0))
    )
  ), 
"""")"),"")</f>
        <v/>
      </c>
      <c r="K385" s="21" t="str">
        <f>IFERROR(__xludf.DUMMYFUNCTION("IFERROR(GOOGLEFINANCE(C385, ""changepct"") / 100, """")"),"")</f>
        <v/>
      </c>
      <c r="L385" s="21" t="str">
        <f>IFERROR(__xludf.DUMMYFUNCTION("IFERROR((GOOGLEFINANCE(C385, ""price"") / INDEX(GOOGLEFINANCE(C385, ""price"", TODAY()-7, TODAY()), 2, 2)) - 1, """")"),"")</f>
        <v/>
      </c>
      <c r="M385" s="21" t="str">
        <f>IFERROR(__xludf.DUMMYFUNCTION("IFERROR((GOOGLEFINANCE(C385, ""price"") / INDEX(GOOGLEFINANCE(C385, ""price"", EDATE(TODAY(), -1), TODAY()), 2, 2)) - 1, """")"),"")</f>
        <v/>
      </c>
      <c r="N385" s="21" t="str">
        <f>IFERROR(__xludf.DUMMYFUNCTION("IFERROR((GOOGLEFINANCE(C385, ""price"") / INDEX(GOOGLEFINANCE(C385, ""price"", EDATE(TODAY(), -3), TODAY()), 2, 2)) - 1, """")"),"")</f>
        <v/>
      </c>
      <c r="O385" s="21" t="str">
        <f>IFERROR(__xludf.DUMMYFUNCTION("IFERROR((GOOGLEFINANCE(C385, ""price"") / INDEX(GOOGLEFINANCE(C385, ""price"", EDATE(TODAY(), -6), TODAY()), 2, 2)) - 1, """")"),"")</f>
        <v/>
      </c>
      <c r="P385" s="21" t="str">
        <f>IFERROR(__xludf.DUMMYFUNCTION("IFERROR((GOOGLEFINANCE(C385, ""price"") / INDEX(GOOGLEFINANCE(C385, ""price"", EDATE(TODAY(), -12), TODAY()), 2, 2)) - 1, """")"),"")</f>
        <v/>
      </c>
      <c r="Q385" s="6" t="str">
        <f>IFERROR(__xludf.DUMMYFUNCTION("AVERAGE(QUERY(GOOGLEFINANCE(C385, ""price"", TODAY()-80, TODAY()), ""SELECT Col2 WHERE Col2 IS NOT NULL ORDER BY Col1 DESC LIMIT 50"", 0))"),"#N/A")</f>
        <v>#N/A</v>
      </c>
      <c r="R385" s="24" t="str">
        <f>IFERROR(__xludf.DUMMYFUNCTION("IFERROR(
  LET(
    data, QUERY(GOOGLEFINANCE(C385,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GOOGLEFINANCE(C385, ""price"")) * 100,
    IF(calc=0, G385, calc)
  ), 
G385)"),"#N/A")</f>
        <v>#N/A</v>
      </c>
      <c r="S385" s="8" t="s">
        <v>15</v>
      </c>
      <c r="T385" s="26" t="str">
        <f>IFERROR(__xludf.DUMMYFUNCTION("IFERROR(TRANSPOSE(QUERY(IFERROR(SORT(GOOGLEFINANCE(C385, ""price"", WORKDAY(TODAY(), -40), TODAY()), 1, FALSE)), ""select Col2 where Col2 is not null limit 22 label Col2 ''"", 0)), """")"),"")</f>
        <v/>
      </c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8"/>
      <c r="AO385" s="28"/>
      <c r="AP385" s="29"/>
      <c r="AQ385" s="29" t="str">
        <f t="shared" ref="AQ385:BL385" si="388">T385/T$2</f>
        <v>#N/A</v>
      </c>
      <c r="AR385" s="29" t="str">
        <f t="shared" si="388"/>
        <v>#DIV/0!</v>
      </c>
      <c r="AS385" s="29" t="str">
        <f t="shared" si="388"/>
        <v>#DIV/0!</v>
      </c>
      <c r="AT385" s="29" t="str">
        <f t="shared" si="388"/>
        <v>#DIV/0!</v>
      </c>
      <c r="AU385" s="29" t="str">
        <f t="shared" si="388"/>
        <v>#DIV/0!</v>
      </c>
      <c r="AV385" s="29" t="str">
        <f t="shared" si="388"/>
        <v>#DIV/0!</v>
      </c>
      <c r="AW385" s="29" t="str">
        <f t="shared" si="388"/>
        <v>#DIV/0!</v>
      </c>
      <c r="AX385" s="29" t="str">
        <f t="shared" si="388"/>
        <v>#DIV/0!</v>
      </c>
      <c r="AY385" s="29" t="str">
        <f t="shared" si="388"/>
        <v>#DIV/0!</v>
      </c>
      <c r="AZ385" s="29" t="str">
        <f t="shared" si="388"/>
        <v>#DIV/0!</v>
      </c>
      <c r="BA385" s="29" t="str">
        <f t="shared" si="388"/>
        <v>#DIV/0!</v>
      </c>
      <c r="BB385" s="29" t="str">
        <f t="shared" si="388"/>
        <v>#DIV/0!</v>
      </c>
      <c r="BC385" s="29" t="str">
        <f t="shared" si="388"/>
        <v>#DIV/0!</v>
      </c>
      <c r="BD385" s="29" t="str">
        <f t="shared" si="388"/>
        <v>#DIV/0!</v>
      </c>
      <c r="BE385" s="29" t="str">
        <f t="shared" si="388"/>
        <v>#DIV/0!</v>
      </c>
      <c r="BF385" s="29" t="str">
        <f t="shared" si="388"/>
        <v>#DIV/0!</v>
      </c>
      <c r="BG385" s="29" t="str">
        <f t="shared" si="388"/>
        <v>#DIV/0!</v>
      </c>
      <c r="BH385" s="29" t="str">
        <f t="shared" si="388"/>
        <v>#DIV/0!</v>
      </c>
      <c r="BI385" s="29" t="str">
        <f t="shared" si="388"/>
        <v>#DIV/0!</v>
      </c>
      <c r="BJ385" s="29" t="str">
        <f t="shared" si="388"/>
        <v>#DIV/0!</v>
      </c>
      <c r="BK385" s="29" t="str">
        <f t="shared" si="388"/>
        <v>#DIV/0!</v>
      </c>
      <c r="BL385" s="29" t="str">
        <f t="shared" si="388"/>
        <v>#DIV/0!</v>
      </c>
      <c r="BM385" s="29" t="str">
        <f t="shared" si="3"/>
        <v>#DIV/0!</v>
      </c>
    </row>
    <row r="386">
      <c r="A386" s="16" t="str">
        <f>IFERROR(__xludf.DUMMYFUNCTION("IFERROR(SPARKLINE(SORT(MAP(TRANSPOSE(AQ386:BL386), LAMBDA(val, IF(ISNUMBER(val), PERCENTRANK(AQ386:BL386, val)+0.01, 0))), SEQUENCE(COLUMNS(AQ386:BL386)), FALSE), {""charttype"",""column""; ""color"",""chartreuse""; ""ymin"", 0; ""ymax"", 1.01; ""highcolo"&amp;"r"", ""darkgreen""; ""lowcolor"", ""red""}), """")"),"")</f>
        <v/>
      </c>
      <c r="B386" s="17" t="str">
        <f t="shared" si="4"/>
        <v/>
      </c>
      <c r="C386" s="1" t="s">
        <v>2387</v>
      </c>
      <c r="D386" s="30" t="str">
        <f>IFERROR(__xludf.DUMMYFUNCTION("IFERROR(GOOGLEFINANCE(C386, ""NAME""))"),"Lindsay Corp")</f>
        <v>Lindsay Corp</v>
      </c>
      <c r="E386" s="30" t="s">
        <v>1036</v>
      </c>
      <c r="F386" s="33" t="str">
        <f>IFERROR(__xludf.DUMMYFUNCTION("( (GOOGLEFINANCE(C386, ""price"") - Q386) / Q386 ) / (R386 / 100)"),"Loading...")</f>
        <v>Loading...</v>
      </c>
      <c r="G386" s="20" t="str">
        <f>IFERROR(__xludf.DUMMYFUNCTION("AVERAGE(ARRAYFORMULA(100 * (QUERY(GOOGLEFINANCE(C386, ""high"", TODAY()-40, TODAY()), ""SELECT Col2 WHERE Col2 IS NOT NULL ORDER BY Col1 DESC LIMIT 20"", 0) / QUERY(GOOGLEFINANCE(C386, ""low"", TODAY()-40, TODAY()), ""SELECT Col2 WHERE Col2 IS NOT NULL OR"&amp;"DER BY Col1 DESC LIMIT 20"", 0) - 1)))"),"#N/A")</f>
        <v>#N/A</v>
      </c>
      <c r="H386" s="35" t="str">
        <f t="shared" si="6"/>
        <v/>
      </c>
      <c r="I386" s="35" t="str">
        <f t="shared" si="7"/>
        <v/>
      </c>
      <c r="J386" s="37" t="str">
        <f>IFERROR(__xludf.DUMMYFUNCTION("IFERROR(
  IF(C386="""",, 
    IFERROR(
      GOOGLEFINANCE(C386, ""price"") * GOOGLEFINANCE(C386, ""volumeavg""), 
      GOOGLEFINANCE(C386, ""price"") * AVERAGE(QUERY(GOOGLEFINANCE(C386, ""volume"", TODAY()-40, TODAY()), ""SELECT Col2 WHERE Col2 IS NOT "&amp;"NULL ORDER BY Col1 DESC LIMIT 20"", 0))
    )
  ), 
"""")"),"")</f>
        <v/>
      </c>
      <c r="K386" s="21" t="str">
        <f>IFERROR(__xludf.DUMMYFUNCTION("IFERROR(GOOGLEFINANCE(C386, ""changepct"") / 100, """")"),"")</f>
        <v/>
      </c>
      <c r="L386" s="21" t="str">
        <f>IFERROR(__xludf.DUMMYFUNCTION("IFERROR((GOOGLEFINANCE(C386, ""price"") / INDEX(GOOGLEFINANCE(C386, ""price"", TODAY()-7, TODAY()), 2, 2)) - 1, """")"),"")</f>
        <v/>
      </c>
      <c r="M386" s="21" t="str">
        <f>IFERROR(__xludf.DUMMYFUNCTION("IFERROR((GOOGLEFINANCE(C386, ""price"") / INDEX(GOOGLEFINANCE(C386, ""price"", EDATE(TODAY(), -1), TODAY()), 2, 2)) - 1, """")"),"")</f>
        <v/>
      </c>
      <c r="N386" s="21" t="str">
        <f>IFERROR(__xludf.DUMMYFUNCTION("IFERROR((GOOGLEFINANCE(C386, ""price"") / INDEX(GOOGLEFINANCE(C386, ""price"", EDATE(TODAY(), -3), TODAY()), 2, 2)) - 1, """")"),"")</f>
        <v/>
      </c>
      <c r="O386" s="21" t="str">
        <f>IFERROR(__xludf.DUMMYFUNCTION("IFERROR((GOOGLEFINANCE(C386, ""price"") / INDEX(GOOGLEFINANCE(C386, ""price"", EDATE(TODAY(), -6), TODAY()), 2, 2)) - 1, """")"),"")</f>
        <v/>
      </c>
      <c r="P386" s="21" t="str">
        <f>IFERROR(__xludf.DUMMYFUNCTION("IFERROR((GOOGLEFINANCE(C386, ""price"") / INDEX(GOOGLEFINANCE(C386, ""price"", EDATE(TODAY(), -12), TODAY()), 2, 2)) - 1, """")"),"")</f>
        <v/>
      </c>
      <c r="Q386" s="6" t="str">
        <f>IFERROR(__xludf.DUMMYFUNCTION("AVERAGE(QUERY(GOOGLEFINANCE(C386, ""price"", TODAY()-80, TODAY()), ""SELECT Col2 WHERE Col2 IS NOT NULL ORDER BY Col1 DESC LIMIT 50"", 0))"),"#N/A")</f>
        <v>#N/A</v>
      </c>
      <c r="R386" s="24" t="str">
        <f>IFERROR(__xludf.DUMMYFUNCTION("IFERROR(
  LET(
    data, QUERY(GOOGLEFINANCE(C386,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GOOGLEFINANCE(C386, ""price"")) * 100,
    IF(calc=0, G386, calc)
  ), 
G386)"),"#N/A")</f>
        <v>#N/A</v>
      </c>
      <c r="S386" s="8" t="s">
        <v>15</v>
      </c>
      <c r="T386" s="26" t="str">
        <f>IFERROR(__xludf.DUMMYFUNCTION("IFERROR(TRANSPOSE(QUERY(IFERROR(SORT(GOOGLEFINANCE(C386, ""price"", WORKDAY(TODAY(), -40), TODAY()), 1, FALSE)), ""select Col2 where Col2 is not null limit 22 label Col2 ''"", 0)), """")"),"")</f>
        <v/>
      </c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8"/>
      <c r="AO386" s="28"/>
      <c r="AP386" s="29"/>
      <c r="AQ386" s="29" t="str">
        <f t="shared" ref="AQ386:BL386" si="389">T386/T$2</f>
        <v>#N/A</v>
      </c>
      <c r="AR386" s="29" t="str">
        <f t="shared" si="389"/>
        <v>#DIV/0!</v>
      </c>
      <c r="AS386" s="29" t="str">
        <f t="shared" si="389"/>
        <v>#DIV/0!</v>
      </c>
      <c r="AT386" s="29" t="str">
        <f t="shared" si="389"/>
        <v>#DIV/0!</v>
      </c>
      <c r="AU386" s="29" t="str">
        <f t="shared" si="389"/>
        <v>#DIV/0!</v>
      </c>
      <c r="AV386" s="29" t="str">
        <f t="shared" si="389"/>
        <v>#DIV/0!</v>
      </c>
      <c r="AW386" s="29" t="str">
        <f t="shared" si="389"/>
        <v>#DIV/0!</v>
      </c>
      <c r="AX386" s="29" t="str">
        <f t="shared" si="389"/>
        <v>#DIV/0!</v>
      </c>
      <c r="AY386" s="29" t="str">
        <f t="shared" si="389"/>
        <v>#DIV/0!</v>
      </c>
      <c r="AZ386" s="29" t="str">
        <f t="shared" si="389"/>
        <v>#DIV/0!</v>
      </c>
      <c r="BA386" s="29" t="str">
        <f t="shared" si="389"/>
        <v>#DIV/0!</v>
      </c>
      <c r="BB386" s="29" t="str">
        <f t="shared" si="389"/>
        <v>#DIV/0!</v>
      </c>
      <c r="BC386" s="29" t="str">
        <f t="shared" si="389"/>
        <v>#DIV/0!</v>
      </c>
      <c r="BD386" s="29" t="str">
        <f t="shared" si="389"/>
        <v>#DIV/0!</v>
      </c>
      <c r="BE386" s="29" t="str">
        <f t="shared" si="389"/>
        <v>#DIV/0!</v>
      </c>
      <c r="BF386" s="29" t="str">
        <f t="shared" si="389"/>
        <v>#DIV/0!</v>
      </c>
      <c r="BG386" s="29" t="str">
        <f t="shared" si="389"/>
        <v>#DIV/0!</v>
      </c>
      <c r="BH386" s="29" t="str">
        <f t="shared" si="389"/>
        <v>#DIV/0!</v>
      </c>
      <c r="BI386" s="29" t="str">
        <f t="shared" si="389"/>
        <v>#DIV/0!</v>
      </c>
      <c r="BJ386" s="29" t="str">
        <f t="shared" si="389"/>
        <v>#DIV/0!</v>
      </c>
      <c r="BK386" s="29" t="str">
        <f t="shared" si="389"/>
        <v>#DIV/0!</v>
      </c>
      <c r="BL386" s="29" t="str">
        <f t="shared" si="389"/>
        <v>#DIV/0!</v>
      </c>
      <c r="BM386" s="29" t="str">
        <f t="shared" si="3"/>
        <v>#DIV/0!</v>
      </c>
    </row>
    <row r="387">
      <c r="A387" s="16" t="str">
        <f>IFERROR(__xludf.DUMMYFUNCTION("IFERROR(SPARKLINE(SORT(MAP(TRANSPOSE(AQ387:BL387), LAMBDA(val, IF(ISNUMBER(val), PERCENTRANK(AQ387:BL387, val)+0.01, 0))), SEQUENCE(COLUMNS(AQ387:BL387)), FALSE), {""charttype"",""column""; ""color"",""chartreuse""; ""ymin"", 0; ""ymax"", 1.01; ""highcolo"&amp;"r"", ""darkgreen""; ""lowcolor"", ""red""}), """")"),"")</f>
        <v/>
      </c>
      <c r="B387" s="17" t="str">
        <f t="shared" si="4"/>
        <v/>
      </c>
      <c r="C387" s="1" t="s">
        <v>2391</v>
      </c>
      <c r="D387" s="30" t="str">
        <f>IFERROR(__xludf.DUMMYFUNCTION("IFERROR(GOOGLEFINANCE(C387, ""NAME""))"),"Oshkosh Corp")</f>
        <v>Oshkosh Corp</v>
      </c>
      <c r="E387" s="30" t="s">
        <v>1036</v>
      </c>
      <c r="F387" s="33" t="str">
        <f>IFERROR(__xludf.DUMMYFUNCTION("( (GOOGLEFINANCE(C387, ""price"") - Q387) / Q387 ) / (R387 / 100)"),"Loading...")</f>
        <v>Loading...</v>
      </c>
      <c r="G387" s="20" t="str">
        <f>IFERROR(__xludf.DUMMYFUNCTION("AVERAGE(ARRAYFORMULA(100 * (QUERY(GOOGLEFINANCE(C387, ""high"", TODAY()-40, TODAY()), ""SELECT Col2 WHERE Col2 IS NOT NULL ORDER BY Col1 DESC LIMIT 20"", 0) / QUERY(GOOGLEFINANCE(C387, ""low"", TODAY()-40, TODAY()), ""SELECT Col2 WHERE Col2 IS NOT NULL OR"&amp;"DER BY Col1 DESC LIMIT 20"", 0) - 1)))"),"#N/A")</f>
        <v>#N/A</v>
      </c>
      <c r="H387" s="35" t="str">
        <f t="shared" si="6"/>
        <v/>
      </c>
      <c r="I387" s="35" t="str">
        <f t="shared" si="7"/>
        <v/>
      </c>
      <c r="J387" s="37" t="str">
        <f>IFERROR(__xludf.DUMMYFUNCTION("IFERROR(
  IF(C387="""",, 
    IFERROR(
      GOOGLEFINANCE(C387, ""price"") * GOOGLEFINANCE(C387, ""volumeavg""), 
      GOOGLEFINANCE(C387, ""price"") * AVERAGE(QUERY(GOOGLEFINANCE(C387, ""volume"", TODAY()-40, TODAY()), ""SELECT Col2 WHERE Col2 IS NOT "&amp;"NULL ORDER BY Col1 DESC LIMIT 20"", 0))
    )
  ), 
"""")"),"")</f>
        <v/>
      </c>
      <c r="K387" s="21" t="str">
        <f>IFERROR(__xludf.DUMMYFUNCTION("IFERROR(GOOGLEFINANCE(C387, ""changepct"") / 100, """")"),"")</f>
        <v/>
      </c>
      <c r="L387" s="21" t="str">
        <f>IFERROR(__xludf.DUMMYFUNCTION("IFERROR((GOOGLEFINANCE(C387, ""price"") / INDEX(GOOGLEFINANCE(C387, ""price"", TODAY()-7, TODAY()), 2, 2)) - 1, """")"),"")</f>
        <v/>
      </c>
      <c r="M387" s="21" t="str">
        <f>IFERROR(__xludf.DUMMYFUNCTION("IFERROR((GOOGLEFINANCE(C387, ""price"") / INDEX(GOOGLEFINANCE(C387, ""price"", EDATE(TODAY(), -1), TODAY()), 2, 2)) - 1, """")"),"")</f>
        <v/>
      </c>
      <c r="N387" s="21" t="str">
        <f>IFERROR(__xludf.DUMMYFUNCTION("IFERROR((GOOGLEFINANCE(C387, ""price"") / INDEX(GOOGLEFINANCE(C387, ""price"", EDATE(TODAY(), -3), TODAY()), 2, 2)) - 1, """")"),"")</f>
        <v/>
      </c>
      <c r="O387" s="21" t="str">
        <f>IFERROR(__xludf.DUMMYFUNCTION("IFERROR((GOOGLEFINANCE(C387, ""price"") / INDEX(GOOGLEFINANCE(C387, ""price"", EDATE(TODAY(), -6), TODAY()), 2, 2)) - 1, """")"),"")</f>
        <v/>
      </c>
      <c r="P387" s="21" t="str">
        <f>IFERROR(__xludf.DUMMYFUNCTION("IFERROR((GOOGLEFINANCE(C387, ""price"") / INDEX(GOOGLEFINANCE(C387, ""price"", EDATE(TODAY(), -12), TODAY()), 2, 2)) - 1, """")"),"")</f>
        <v/>
      </c>
      <c r="Q387" s="6" t="str">
        <f>IFERROR(__xludf.DUMMYFUNCTION("AVERAGE(QUERY(GOOGLEFINANCE(C387, ""price"", TODAY()-80, TODAY()), ""SELECT Col2 WHERE Col2 IS NOT NULL ORDER BY Col1 DESC LIMIT 50"", 0))"),"#N/A")</f>
        <v>#N/A</v>
      </c>
      <c r="R387" s="24" t="str">
        <f>IFERROR(__xludf.DUMMYFUNCTION("IFERROR(
  LET(
    data, QUERY(GOOGLEFINANCE(C387,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GOOGLEFINANCE(C387, ""price"")) * 100,
    IF(calc=0, G387, calc)
  ), 
G387)"),"#N/A")</f>
        <v>#N/A</v>
      </c>
      <c r="S387" s="8" t="s">
        <v>15</v>
      </c>
      <c r="T387" s="26" t="str">
        <f>IFERROR(__xludf.DUMMYFUNCTION("IFERROR(TRANSPOSE(QUERY(IFERROR(SORT(GOOGLEFINANCE(C387, ""price"", WORKDAY(TODAY(), -40), TODAY()), 1, FALSE)), ""select Col2 where Col2 is not null limit 22 label Col2 ''"", 0)), """")"),"")</f>
        <v/>
      </c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8"/>
      <c r="AO387" s="28"/>
      <c r="AP387" s="29"/>
      <c r="AQ387" s="29" t="str">
        <f t="shared" ref="AQ387:BL387" si="390">T387/T$2</f>
        <v>#N/A</v>
      </c>
      <c r="AR387" s="29" t="str">
        <f t="shared" si="390"/>
        <v>#DIV/0!</v>
      </c>
      <c r="AS387" s="29" t="str">
        <f t="shared" si="390"/>
        <v>#DIV/0!</v>
      </c>
      <c r="AT387" s="29" t="str">
        <f t="shared" si="390"/>
        <v>#DIV/0!</v>
      </c>
      <c r="AU387" s="29" t="str">
        <f t="shared" si="390"/>
        <v>#DIV/0!</v>
      </c>
      <c r="AV387" s="29" t="str">
        <f t="shared" si="390"/>
        <v>#DIV/0!</v>
      </c>
      <c r="AW387" s="29" t="str">
        <f t="shared" si="390"/>
        <v>#DIV/0!</v>
      </c>
      <c r="AX387" s="29" t="str">
        <f t="shared" si="390"/>
        <v>#DIV/0!</v>
      </c>
      <c r="AY387" s="29" t="str">
        <f t="shared" si="390"/>
        <v>#DIV/0!</v>
      </c>
      <c r="AZ387" s="29" t="str">
        <f t="shared" si="390"/>
        <v>#DIV/0!</v>
      </c>
      <c r="BA387" s="29" t="str">
        <f t="shared" si="390"/>
        <v>#DIV/0!</v>
      </c>
      <c r="BB387" s="29" t="str">
        <f t="shared" si="390"/>
        <v>#DIV/0!</v>
      </c>
      <c r="BC387" s="29" t="str">
        <f t="shared" si="390"/>
        <v>#DIV/0!</v>
      </c>
      <c r="BD387" s="29" t="str">
        <f t="shared" si="390"/>
        <v>#DIV/0!</v>
      </c>
      <c r="BE387" s="29" t="str">
        <f t="shared" si="390"/>
        <v>#DIV/0!</v>
      </c>
      <c r="BF387" s="29" t="str">
        <f t="shared" si="390"/>
        <v>#DIV/0!</v>
      </c>
      <c r="BG387" s="29" t="str">
        <f t="shared" si="390"/>
        <v>#DIV/0!</v>
      </c>
      <c r="BH387" s="29" t="str">
        <f t="shared" si="390"/>
        <v>#DIV/0!</v>
      </c>
      <c r="BI387" s="29" t="str">
        <f t="shared" si="390"/>
        <v>#DIV/0!</v>
      </c>
      <c r="BJ387" s="29" t="str">
        <f t="shared" si="390"/>
        <v>#DIV/0!</v>
      </c>
      <c r="BK387" s="29" t="str">
        <f t="shared" si="390"/>
        <v>#DIV/0!</v>
      </c>
      <c r="BL387" s="29" t="str">
        <f t="shared" si="390"/>
        <v>#DIV/0!</v>
      </c>
      <c r="BM387" s="29" t="str">
        <f t="shared" si="3"/>
        <v>#DIV/0!</v>
      </c>
    </row>
    <row r="388">
      <c r="A388" s="16" t="str">
        <f>IFERROR(__xludf.DUMMYFUNCTION("IFERROR(SPARKLINE(SORT(MAP(TRANSPOSE(AQ388:BL388), LAMBDA(val, IF(ISNUMBER(val), PERCENTRANK(AQ388:BL388, val)+0.01, 0))), SEQUENCE(COLUMNS(AQ388:BL388)), FALSE), {""charttype"",""column""; ""color"",""chartreuse""; ""ymin"", 0; ""ymax"", 1.01; ""highcolo"&amp;"r"", ""darkgreen""; ""lowcolor"", ""red""}), """")"),"")</f>
        <v/>
      </c>
      <c r="B388" s="17" t="str">
        <f t="shared" si="4"/>
        <v/>
      </c>
      <c r="C388" s="1" t="s">
        <v>2395</v>
      </c>
      <c r="D388" s="30" t="str">
        <f>IFERROR(__xludf.DUMMYFUNCTION("IFERROR(GOOGLEFINANCE(C388, ""NAME""))"),"Ametek Inc")</f>
        <v>Ametek Inc</v>
      </c>
      <c r="E388" s="30" t="s">
        <v>893</v>
      </c>
      <c r="F388" s="33" t="str">
        <f>IFERROR(__xludf.DUMMYFUNCTION("( (GOOGLEFINANCE(C388, ""price"") - Q388) / Q388 ) / (R388 / 100)"),"Loading...")</f>
        <v>Loading...</v>
      </c>
      <c r="G388" s="20" t="str">
        <f>IFERROR(__xludf.DUMMYFUNCTION("AVERAGE(ARRAYFORMULA(100 * (QUERY(GOOGLEFINANCE(C388, ""high"", TODAY()-40, TODAY()), ""SELECT Col2 WHERE Col2 IS NOT NULL ORDER BY Col1 DESC LIMIT 20"", 0) / QUERY(GOOGLEFINANCE(C388, ""low"", TODAY()-40, TODAY()), ""SELECT Col2 WHERE Col2 IS NOT NULL OR"&amp;"DER BY Col1 DESC LIMIT 20"", 0) - 1)))"),"#N/A")</f>
        <v>#N/A</v>
      </c>
      <c r="H388" s="35" t="str">
        <f t="shared" si="6"/>
        <v/>
      </c>
      <c r="I388" s="35" t="str">
        <f t="shared" si="7"/>
        <v/>
      </c>
      <c r="J388" s="37" t="str">
        <f>IFERROR(__xludf.DUMMYFUNCTION("IFERROR(
  IF(C388="""",, 
    IFERROR(
      GOOGLEFINANCE(C388, ""price"") * GOOGLEFINANCE(C388, ""volumeavg""), 
      GOOGLEFINANCE(C388, ""price"") * AVERAGE(QUERY(GOOGLEFINANCE(C388, ""volume"", TODAY()-40, TODAY()), ""SELECT Col2 WHERE Col2 IS NOT "&amp;"NULL ORDER BY Col1 DESC LIMIT 20"", 0))
    )
  ), 
"""")"),"")</f>
        <v/>
      </c>
      <c r="K388" s="21" t="str">
        <f>IFERROR(__xludf.DUMMYFUNCTION("IFERROR(GOOGLEFINANCE(C388, ""changepct"") / 100, """")"),"")</f>
        <v/>
      </c>
      <c r="L388" s="21" t="str">
        <f>IFERROR(__xludf.DUMMYFUNCTION("IFERROR((GOOGLEFINANCE(C388, ""price"") / INDEX(GOOGLEFINANCE(C388, ""price"", TODAY()-7, TODAY()), 2, 2)) - 1, """")"),"")</f>
        <v/>
      </c>
      <c r="M388" s="21" t="str">
        <f>IFERROR(__xludf.DUMMYFUNCTION("IFERROR((GOOGLEFINANCE(C388, ""price"") / INDEX(GOOGLEFINANCE(C388, ""price"", EDATE(TODAY(), -1), TODAY()), 2, 2)) - 1, """")"),"")</f>
        <v/>
      </c>
      <c r="N388" s="21" t="str">
        <f>IFERROR(__xludf.DUMMYFUNCTION("IFERROR((GOOGLEFINANCE(C388, ""price"") / INDEX(GOOGLEFINANCE(C388, ""price"", EDATE(TODAY(), -3), TODAY()), 2, 2)) - 1, """")"),"")</f>
        <v/>
      </c>
      <c r="O388" s="21" t="str">
        <f>IFERROR(__xludf.DUMMYFUNCTION("IFERROR((GOOGLEFINANCE(C388, ""price"") / INDEX(GOOGLEFINANCE(C388, ""price"", EDATE(TODAY(), -6), TODAY()), 2, 2)) - 1, """")"),"")</f>
        <v/>
      </c>
      <c r="P388" s="21" t="str">
        <f>IFERROR(__xludf.DUMMYFUNCTION("IFERROR((GOOGLEFINANCE(C388, ""price"") / INDEX(GOOGLEFINANCE(C388, ""price"", EDATE(TODAY(), -12), TODAY()), 2, 2)) - 1, """")"),"")</f>
        <v/>
      </c>
      <c r="Q388" s="6" t="str">
        <f>IFERROR(__xludf.DUMMYFUNCTION("AVERAGE(QUERY(GOOGLEFINANCE(C388, ""price"", TODAY()-80, TODAY()), ""SELECT Col2 WHERE Col2 IS NOT NULL ORDER BY Col1 DESC LIMIT 50"", 0))"),"#N/A")</f>
        <v>#N/A</v>
      </c>
      <c r="R388" s="24" t="str">
        <f>IFERROR(__xludf.DUMMYFUNCTION("IFERROR(
  LET(
    data, QUERY(GOOGLEFINANCE(C388,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GOOGLEFINANCE(C388, ""price"")) * 100,
    IF(calc=0, G388, calc)
  ), 
G388)"),"#N/A")</f>
        <v>#N/A</v>
      </c>
      <c r="S388" s="8" t="s">
        <v>15</v>
      </c>
      <c r="T388" s="26" t="str">
        <f>IFERROR(__xludf.DUMMYFUNCTION("IFERROR(TRANSPOSE(QUERY(IFERROR(SORT(GOOGLEFINANCE(C388, ""price"", WORKDAY(TODAY(), -40), TODAY()), 1, FALSE)), ""select Col2 where Col2 is not null limit 22 label Col2 ''"", 0)), """")"),"")</f>
        <v/>
      </c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8"/>
      <c r="AO388" s="28"/>
      <c r="AP388" s="29"/>
      <c r="AQ388" s="29" t="str">
        <f t="shared" ref="AQ388:BL388" si="391">T388/T$2</f>
        <v>#N/A</v>
      </c>
      <c r="AR388" s="29" t="str">
        <f t="shared" si="391"/>
        <v>#DIV/0!</v>
      </c>
      <c r="AS388" s="29" t="str">
        <f t="shared" si="391"/>
        <v>#DIV/0!</v>
      </c>
      <c r="AT388" s="29" t="str">
        <f t="shared" si="391"/>
        <v>#DIV/0!</v>
      </c>
      <c r="AU388" s="29" t="str">
        <f t="shared" si="391"/>
        <v>#DIV/0!</v>
      </c>
      <c r="AV388" s="29" t="str">
        <f t="shared" si="391"/>
        <v>#DIV/0!</v>
      </c>
      <c r="AW388" s="29" t="str">
        <f t="shared" si="391"/>
        <v>#DIV/0!</v>
      </c>
      <c r="AX388" s="29" t="str">
        <f t="shared" si="391"/>
        <v>#DIV/0!</v>
      </c>
      <c r="AY388" s="29" t="str">
        <f t="shared" si="391"/>
        <v>#DIV/0!</v>
      </c>
      <c r="AZ388" s="29" t="str">
        <f t="shared" si="391"/>
        <v>#DIV/0!</v>
      </c>
      <c r="BA388" s="29" t="str">
        <f t="shared" si="391"/>
        <v>#DIV/0!</v>
      </c>
      <c r="BB388" s="29" t="str">
        <f t="shared" si="391"/>
        <v>#DIV/0!</v>
      </c>
      <c r="BC388" s="29" t="str">
        <f t="shared" si="391"/>
        <v>#DIV/0!</v>
      </c>
      <c r="BD388" s="29" t="str">
        <f t="shared" si="391"/>
        <v>#DIV/0!</v>
      </c>
      <c r="BE388" s="29" t="str">
        <f t="shared" si="391"/>
        <v>#DIV/0!</v>
      </c>
      <c r="BF388" s="29" t="str">
        <f t="shared" si="391"/>
        <v>#DIV/0!</v>
      </c>
      <c r="BG388" s="29" t="str">
        <f t="shared" si="391"/>
        <v>#DIV/0!</v>
      </c>
      <c r="BH388" s="29" t="str">
        <f t="shared" si="391"/>
        <v>#DIV/0!</v>
      </c>
      <c r="BI388" s="29" t="str">
        <f t="shared" si="391"/>
        <v>#DIV/0!</v>
      </c>
      <c r="BJ388" s="29" t="str">
        <f t="shared" si="391"/>
        <v>#DIV/0!</v>
      </c>
      <c r="BK388" s="29" t="str">
        <f t="shared" si="391"/>
        <v>#DIV/0!</v>
      </c>
      <c r="BL388" s="29" t="str">
        <f t="shared" si="391"/>
        <v>#DIV/0!</v>
      </c>
      <c r="BM388" s="29" t="str">
        <f t="shared" si="3"/>
        <v>#DIV/0!</v>
      </c>
    </row>
    <row r="389">
      <c r="A389" s="16" t="str">
        <f>IFERROR(__xludf.DUMMYFUNCTION("IFERROR(SPARKLINE(SORT(MAP(TRANSPOSE(AQ389:BL389), LAMBDA(val, IF(ISNUMBER(val), PERCENTRANK(AQ389:BL389, val)+0.01, 0))), SEQUENCE(COLUMNS(AQ389:BL389)), FALSE), {""charttype"",""column""; ""color"",""chartreuse""; ""ymin"", 0; ""ymax"", 1.01; ""highcolo"&amp;"r"", ""darkgreen""; ""lowcolor"", ""red""}), """")"),"")</f>
        <v/>
      </c>
      <c r="B389" s="17" t="str">
        <f t="shared" si="4"/>
        <v/>
      </c>
      <c r="C389" s="1" t="s">
        <v>2399</v>
      </c>
      <c r="D389" s="30" t="str">
        <f>IFERROR(__xludf.DUMMYFUNCTION("IFERROR(GOOGLEFINANCE(C389, ""NAME""))"),"Resideo Technologies Inc")</f>
        <v>Resideo Technologies Inc</v>
      </c>
      <c r="E389" s="30" t="s">
        <v>829</v>
      </c>
      <c r="F389" s="38" t="str">
        <f>IFERROR(__xludf.DUMMYFUNCTION("( (GOOGLEFINANCE(C389, ""price"") - Q389) / Q389 ) / (R389 / 100)"),"Loading...")</f>
        <v>Loading...</v>
      </c>
      <c r="G389" s="20" t="str">
        <f>IFERROR(__xludf.DUMMYFUNCTION("AVERAGE(ARRAYFORMULA(100 * (QUERY(GOOGLEFINANCE(C389, ""high"", TODAY()-40, TODAY()), ""SELECT Col2 WHERE Col2 IS NOT NULL ORDER BY Col1 DESC LIMIT 20"", 0) / QUERY(GOOGLEFINANCE(C389, ""low"", TODAY()-40, TODAY()), ""SELECT Col2 WHERE Col2 IS NOT NULL OR"&amp;"DER BY Col1 DESC LIMIT 20"", 0) - 1)))"),"#N/A")</f>
        <v>#N/A</v>
      </c>
      <c r="H389" s="35" t="str">
        <f t="shared" si="6"/>
        <v/>
      </c>
      <c r="I389" s="35" t="str">
        <f t="shared" si="7"/>
        <v/>
      </c>
      <c r="J389" s="37" t="str">
        <f>IFERROR(__xludf.DUMMYFUNCTION("IFERROR(
  IF(C389="""",, 
    IFERROR(
      GOOGLEFINANCE(C389, ""price"") * GOOGLEFINANCE(C389, ""volumeavg""), 
      GOOGLEFINANCE(C389, ""price"") * AVERAGE(QUERY(GOOGLEFINANCE(C389, ""volume"", TODAY()-40, TODAY()), ""SELECT Col2 WHERE Col2 IS NOT "&amp;"NULL ORDER BY Col1 DESC LIMIT 20"", 0))
    )
  ), 
"""")"),"")</f>
        <v/>
      </c>
      <c r="K389" s="21" t="str">
        <f>IFERROR(__xludf.DUMMYFUNCTION("IFERROR(GOOGLEFINANCE(C389, ""changepct"") / 100, """")"),"")</f>
        <v/>
      </c>
      <c r="L389" s="21" t="str">
        <f>IFERROR(__xludf.DUMMYFUNCTION("IFERROR((GOOGLEFINANCE(C389, ""price"") / INDEX(GOOGLEFINANCE(C389, ""price"", TODAY()-7, TODAY()), 2, 2)) - 1, """")"),"")</f>
        <v/>
      </c>
      <c r="M389" s="21" t="str">
        <f>IFERROR(__xludf.DUMMYFUNCTION("IFERROR((GOOGLEFINANCE(C389, ""price"") / INDEX(GOOGLEFINANCE(C389, ""price"", EDATE(TODAY(), -1), TODAY()), 2, 2)) - 1, """")"),"")</f>
        <v/>
      </c>
      <c r="N389" s="21" t="str">
        <f>IFERROR(__xludf.DUMMYFUNCTION("IFERROR((GOOGLEFINANCE(C389, ""price"") / INDEX(GOOGLEFINANCE(C389, ""price"", EDATE(TODAY(), -3), TODAY()), 2, 2)) - 1, """")"),"")</f>
        <v/>
      </c>
      <c r="O389" s="21" t="str">
        <f>IFERROR(__xludf.DUMMYFUNCTION("IFERROR((GOOGLEFINANCE(C389, ""price"") / INDEX(GOOGLEFINANCE(C389, ""price"", EDATE(TODAY(), -6), TODAY()), 2, 2)) - 1, """")"),"")</f>
        <v/>
      </c>
      <c r="P389" s="21" t="str">
        <f>IFERROR(__xludf.DUMMYFUNCTION("IFERROR((GOOGLEFINANCE(C389, ""price"") / INDEX(GOOGLEFINANCE(C389, ""price"", EDATE(TODAY(), -12), TODAY()), 2, 2)) - 1, """")"),"")</f>
        <v/>
      </c>
      <c r="Q389" s="6" t="str">
        <f>IFERROR(__xludf.DUMMYFUNCTION("AVERAGE(QUERY(GOOGLEFINANCE(C389, ""price"", TODAY()-80, TODAY()), ""SELECT Col2 WHERE Col2 IS NOT NULL ORDER BY Col1 DESC LIMIT 50"", 0))"),"#N/A")</f>
        <v>#N/A</v>
      </c>
      <c r="R389" s="24" t="str">
        <f>IFERROR(__xludf.DUMMYFUNCTION("IFERROR(
  LET(
    data, QUERY(GOOGLEFINANCE(C389,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GOOGLEFINANCE(C389, ""price"")) * 100,
    IF(calc=0, G389, calc)
  ), 
G389)"),"#N/A")</f>
        <v>#N/A</v>
      </c>
      <c r="S389" s="8" t="s">
        <v>15</v>
      </c>
      <c r="T389" s="26" t="str">
        <f>IFERROR(__xludf.DUMMYFUNCTION("IFERROR(TRANSPOSE(QUERY(IFERROR(SORT(GOOGLEFINANCE(C389, ""price"", WORKDAY(TODAY(), -40), TODAY()), 1, FALSE)), ""select Col2 where Col2 is not null limit 22 label Col2 ''"", 0)), """")"),"")</f>
        <v/>
      </c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8"/>
      <c r="AO389" s="28"/>
      <c r="AP389" s="29"/>
      <c r="AQ389" s="29" t="str">
        <f t="shared" ref="AQ389:BL389" si="392">T389/T$2</f>
        <v>#N/A</v>
      </c>
      <c r="AR389" s="29" t="str">
        <f t="shared" si="392"/>
        <v>#DIV/0!</v>
      </c>
      <c r="AS389" s="29" t="str">
        <f t="shared" si="392"/>
        <v>#DIV/0!</v>
      </c>
      <c r="AT389" s="29" t="str">
        <f t="shared" si="392"/>
        <v>#DIV/0!</v>
      </c>
      <c r="AU389" s="29" t="str">
        <f t="shared" si="392"/>
        <v>#DIV/0!</v>
      </c>
      <c r="AV389" s="29" t="str">
        <f t="shared" si="392"/>
        <v>#DIV/0!</v>
      </c>
      <c r="AW389" s="29" t="str">
        <f t="shared" si="392"/>
        <v>#DIV/0!</v>
      </c>
      <c r="AX389" s="29" t="str">
        <f t="shared" si="392"/>
        <v>#DIV/0!</v>
      </c>
      <c r="AY389" s="29" t="str">
        <f t="shared" si="392"/>
        <v>#DIV/0!</v>
      </c>
      <c r="AZ389" s="29" t="str">
        <f t="shared" si="392"/>
        <v>#DIV/0!</v>
      </c>
      <c r="BA389" s="29" t="str">
        <f t="shared" si="392"/>
        <v>#DIV/0!</v>
      </c>
      <c r="BB389" s="29" t="str">
        <f t="shared" si="392"/>
        <v>#DIV/0!</v>
      </c>
      <c r="BC389" s="29" t="str">
        <f t="shared" si="392"/>
        <v>#DIV/0!</v>
      </c>
      <c r="BD389" s="29" t="str">
        <f t="shared" si="392"/>
        <v>#DIV/0!</v>
      </c>
      <c r="BE389" s="29" t="str">
        <f t="shared" si="392"/>
        <v>#DIV/0!</v>
      </c>
      <c r="BF389" s="29" t="str">
        <f t="shared" si="392"/>
        <v>#DIV/0!</v>
      </c>
      <c r="BG389" s="29" t="str">
        <f t="shared" si="392"/>
        <v>#DIV/0!</v>
      </c>
      <c r="BH389" s="29" t="str">
        <f t="shared" si="392"/>
        <v>#DIV/0!</v>
      </c>
      <c r="BI389" s="29" t="str">
        <f t="shared" si="392"/>
        <v>#DIV/0!</v>
      </c>
      <c r="BJ389" s="29" t="str">
        <f t="shared" si="392"/>
        <v>#DIV/0!</v>
      </c>
      <c r="BK389" s="29" t="str">
        <f t="shared" si="392"/>
        <v>#DIV/0!</v>
      </c>
      <c r="BL389" s="29" t="str">
        <f t="shared" si="392"/>
        <v>#DIV/0!</v>
      </c>
      <c r="BM389" s="29" t="str">
        <f t="shared" si="3"/>
        <v>#DIV/0!</v>
      </c>
    </row>
    <row r="390">
      <c r="A390" s="16" t="str">
        <f>IFERROR(__xludf.DUMMYFUNCTION("IFERROR(SPARKLINE(SORT(MAP(TRANSPOSE(AQ390:BL390), LAMBDA(val, IF(ISNUMBER(val), PERCENTRANK(AQ390:BL390, val)+0.01, 0))), SEQUENCE(COLUMNS(AQ390:BL390)), FALSE), {""charttype"",""column""; ""color"",""chartreuse""; ""ymin"", 0; ""ymax"", 1.01; ""highcolo"&amp;"r"", ""darkgreen""; ""lowcolor"", ""red""}), """")"),"")</f>
        <v/>
      </c>
      <c r="B390" s="17" t="str">
        <f t="shared" si="4"/>
        <v/>
      </c>
      <c r="C390" s="1" t="s">
        <v>2404</v>
      </c>
      <c r="D390" s="30" t="str">
        <f>IFERROR(__xludf.DUMMYFUNCTION("IFERROR(GOOGLEFINANCE(C390, ""NAME""))"),"Mistras Group Inc")</f>
        <v>Mistras Group Inc</v>
      </c>
      <c r="E390" s="30" t="s">
        <v>1020</v>
      </c>
      <c r="F390" s="33" t="str">
        <f>IFERROR(__xludf.DUMMYFUNCTION("( (GOOGLEFINANCE(C390, ""price"") - Q390) / Q390 ) / (R390 / 100)"),"Loading...")</f>
        <v>Loading...</v>
      </c>
      <c r="G390" s="20" t="str">
        <f>IFERROR(__xludf.DUMMYFUNCTION("AVERAGE(ARRAYFORMULA(100 * (QUERY(GOOGLEFINANCE(C390, ""high"", TODAY()-40, TODAY()), ""SELECT Col2 WHERE Col2 IS NOT NULL ORDER BY Col1 DESC LIMIT 20"", 0) / QUERY(GOOGLEFINANCE(C390, ""low"", TODAY()-40, TODAY()), ""SELECT Col2 WHERE Col2 IS NOT NULL OR"&amp;"DER BY Col1 DESC LIMIT 20"", 0) - 1)))"),"#N/A")</f>
        <v>#N/A</v>
      </c>
      <c r="H390" s="35" t="str">
        <f t="shared" si="6"/>
        <v/>
      </c>
      <c r="I390" s="35" t="str">
        <f t="shared" si="7"/>
        <v/>
      </c>
      <c r="J390" s="37" t="str">
        <f>IFERROR(__xludf.DUMMYFUNCTION("IFERROR(
  IF(C390="""",, 
    IFERROR(
      GOOGLEFINANCE(C390, ""price"") * GOOGLEFINANCE(C390, ""volumeavg""), 
      GOOGLEFINANCE(C390, ""price"") * AVERAGE(QUERY(GOOGLEFINANCE(C390, ""volume"", TODAY()-40, TODAY()), ""SELECT Col2 WHERE Col2 IS NOT "&amp;"NULL ORDER BY Col1 DESC LIMIT 20"", 0))
    )
  ), 
"""")"),"")</f>
        <v/>
      </c>
      <c r="K390" s="21" t="str">
        <f>IFERROR(__xludf.DUMMYFUNCTION("IFERROR(GOOGLEFINANCE(C390, ""changepct"") / 100, """")"),"")</f>
        <v/>
      </c>
      <c r="L390" s="21" t="str">
        <f>IFERROR(__xludf.DUMMYFUNCTION("IFERROR((GOOGLEFINANCE(C390, ""price"") / INDEX(GOOGLEFINANCE(C390, ""price"", TODAY()-7, TODAY()), 2, 2)) - 1, """")"),"")</f>
        <v/>
      </c>
      <c r="M390" s="21" t="str">
        <f>IFERROR(__xludf.DUMMYFUNCTION("IFERROR((GOOGLEFINANCE(C390, ""price"") / INDEX(GOOGLEFINANCE(C390, ""price"", EDATE(TODAY(), -1), TODAY()), 2, 2)) - 1, """")"),"")</f>
        <v/>
      </c>
      <c r="N390" s="21" t="str">
        <f>IFERROR(__xludf.DUMMYFUNCTION("IFERROR((GOOGLEFINANCE(C390, ""price"") / INDEX(GOOGLEFINANCE(C390, ""price"", EDATE(TODAY(), -3), TODAY()), 2, 2)) - 1, """")"),"")</f>
        <v/>
      </c>
      <c r="O390" s="21" t="str">
        <f>IFERROR(__xludf.DUMMYFUNCTION("IFERROR((GOOGLEFINANCE(C390, ""price"") / INDEX(GOOGLEFINANCE(C390, ""price"", EDATE(TODAY(), -6), TODAY()), 2, 2)) - 1, """")"),"")</f>
        <v/>
      </c>
      <c r="P390" s="21" t="str">
        <f>IFERROR(__xludf.DUMMYFUNCTION("IFERROR((GOOGLEFINANCE(C390, ""price"") / INDEX(GOOGLEFINANCE(C390, ""price"", EDATE(TODAY(), -12), TODAY()), 2, 2)) - 1, """")"),"")</f>
        <v/>
      </c>
      <c r="Q390" s="6" t="str">
        <f>IFERROR(__xludf.DUMMYFUNCTION("AVERAGE(QUERY(GOOGLEFINANCE(C390, ""price"", TODAY()-80, TODAY()), ""SELECT Col2 WHERE Col2 IS NOT NULL ORDER BY Col1 DESC LIMIT 50"", 0))"),"#N/A")</f>
        <v>#N/A</v>
      </c>
      <c r="R390" s="24" t="str">
        <f>IFERROR(__xludf.DUMMYFUNCTION("IFERROR(
  LET(
    data, QUERY(GOOGLEFINANCE(C390,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GOOGLEFINANCE(C390, ""price"")) * 100,
    IF(calc=0, G390, calc)
  ), 
G390)"),"#N/A")</f>
        <v>#N/A</v>
      </c>
      <c r="S390" s="8" t="s">
        <v>15</v>
      </c>
      <c r="T390" s="26" t="str">
        <f>IFERROR(__xludf.DUMMYFUNCTION("IFERROR(TRANSPOSE(QUERY(IFERROR(SORT(GOOGLEFINANCE(C390, ""price"", WORKDAY(TODAY(), -40), TODAY()), 1, FALSE)), ""select Col2 where Col2 is not null limit 22 label Col2 ''"", 0)), """")"),"")</f>
        <v/>
      </c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8"/>
      <c r="AO390" s="28"/>
      <c r="AP390" s="29"/>
      <c r="AQ390" s="29" t="str">
        <f t="shared" ref="AQ390:BL390" si="393">T390/T$2</f>
        <v>#N/A</v>
      </c>
      <c r="AR390" s="29" t="str">
        <f t="shared" si="393"/>
        <v>#DIV/0!</v>
      </c>
      <c r="AS390" s="29" t="str">
        <f t="shared" si="393"/>
        <v>#DIV/0!</v>
      </c>
      <c r="AT390" s="29" t="str">
        <f t="shared" si="393"/>
        <v>#DIV/0!</v>
      </c>
      <c r="AU390" s="29" t="str">
        <f t="shared" si="393"/>
        <v>#DIV/0!</v>
      </c>
      <c r="AV390" s="29" t="str">
        <f t="shared" si="393"/>
        <v>#DIV/0!</v>
      </c>
      <c r="AW390" s="29" t="str">
        <f t="shared" si="393"/>
        <v>#DIV/0!</v>
      </c>
      <c r="AX390" s="29" t="str">
        <f t="shared" si="393"/>
        <v>#DIV/0!</v>
      </c>
      <c r="AY390" s="29" t="str">
        <f t="shared" si="393"/>
        <v>#DIV/0!</v>
      </c>
      <c r="AZ390" s="29" t="str">
        <f t="shared" si="393"/>
        <v>#DIV/0!</v>
      </c>
      <c r="BA390" s="29" t="str">
        <f t="shared" si="393"/>
        <v>#DIV/0!</v>
      </c>
      <c r="BB390" s="29" t="str">
        <f t="shared" si="393"/>
        <v>#DIV/0!</v>
      </c>
      <c r="BC390" s="29" t="str">
        <f t="shared" si="393"/>
        <v>#DIV/0!</v>
      </c>
      <c r="BD390" s="29" t="str">
        <f t="shared" si="393"/>
        <v>#DIV/0!</v>
      </c>
      <c r="BE390" s="29" t="str">
        <f t="shared" si="393"/>
        <v>#DIV/0!</v>
      </c>
      <c r="BF390" s="29" t="str">
        <f t="shared" si="393"/>
        <v>#DIV/0!</v>
      </c>
      <c r="BG390" s="29" t="str">
        <f t="shared" si="393"/>
        <v>#DIV/0!</v>
      </c>
      <c r="BH390" s="29" t="str">
        <f t="shared" si="393"/>
        <v>#DIV/0!</v>
      </c>
      <c r="BI390" s="29" t="str">
        <f t="shared" si="393"/>
        <v>#DIV/0!</v>
      </c>
      <c r="BJ390" s="29" t="str">
        <f t="shared" si="393"/>
        <v>#DIV/0!</v>
      </c>
      <c r="BK390" s="29" t="str">
        <f t="shared" si="393"/>
        <v>#DIV/0!</v>
      </c>
      <c r="BL390" s="29" t="str">
        <f t="shared" si="393"/>
        <v>#DIV/0!</v>
      </c>
      <c r="BM390" s="29" t="str">
        <f t="shared" si="3"/>
        <v>#DIV/0!</v>
      </c>
    </row>
    <row r="391">
      <c r="A391" s="16" t="str">
        <f>IFERROR(__xludf.DUMMYFUNCTION("IFERROR(SPARKLINE(SORT(MAP(TRANSPOSE(AQ391:BL391), LAMBDA(val, IF(ISNUMBER(val), PERCENTRANK(AQ391:BL391, val)+0.01, 0))), SEQUENCE(COLUMNS(AQ391:BL391)), FALSE), {""charttype"",""column""; ""color"",""chartreuse""; ""ymin"", 0; ""ymax"", 1.01; ""highcolo"&amp;"r"", ""darkgreen""; ""lowcolor"", ""red""}), """")"),"")</f>
        <v/>
      </c>
      <c r="B391" s="17" t="str">
        <f t="shared" si="4"/>
        <v/>
      </c>
      <c r="C391" s="1" t="s">
        <v>2408</v>
      </c>
      <c r="D391" s="30" t="str">
        <f>IFERROR(__xludf.DUMMYFUNCTION("IFERROR(GOOGLEFINANCE(C391, ""NAME""))"),"Worthington Enterprises, Inc")</f>
        <v>Worthington Enterprises, Inc</v>
      </c>
      <c r="E391" s="30" t="s">
        <v>847</v>
      </c>
      <c r="F391" s="33" t="str">
        <f>IFERROR(__xludf.DUMMYFUNCTION("( (GOOGLEFINANCE(C391, ""price"") - Q391) / Q391 ) / (R391 / 100)"),"Loading...")</f>
        <v>Loading...</v>
      </c>
      <c r="G391" s="20" t="str">
        <f>IFERROR(__xludf.DUMMYFUNCTION("AVERAGE(ARRAYFORMULA(100 * (QUERY(GOOGLEFINANCE(C391, ""high"", TODAY()-40, TODAY()), ""SELECT Col2 WHERE Col2 IS NOT NULL ORDER BY Col1 DESC LIMIT 20"", 0) / QUERY(GOOGLEFINANCE(C391, ""low"", TODAY()-40, TODAY()), ""SELECT Col2 WHERE Col2 IS NOT NULL OR"&amp;"DER BY Col1 DESC LIMIT 20"", 0) - 1)))"),"#N/A")</f>
        <v>#N/A</v>
      </c>
      <c r="H391" s="35" t="str">
        <f t="shared" si="6"/>
        <v/>
      </c>
      <c r="I391" s="35" t="str">
        <f t="shared" si="7"/>
        <v/>
      </c>
      <c r="J391" s="37" t="str">
        <f>IFERROR(__xludf.DUMMYFUNCTION("IFERROR(
  IF(C391="""",, 
    IFERROR(
      GOOGLEFINANCE(C391, ""price"") * GOOGLEFINANCE(C391, ""volumeavg""), 
      GOOGLEFINANCE(C391, ""price"") * AVERAGE(QUERY(GOOGLEFINANCE(C391, ""volume"", TODAY()-40, TODAY()), ""SELECT Col2 WHERE Col2 IS NOT "&amp;"NULL ORDER BY Col1 DESC LIMIT 20"", 0))
    )
  ), 
"""")"),"")</f>
        <v/>
      </c>
      <c r="K391" s="21" t="str">
        <f>IFERROR(__xludf.DUMMYFUNCTION("IFERROR(GOOGLEFINANCE(C391, ""changepct"") / 100, """")"),"")</f>
        <v/>
      </c>
      <c r="L391" s="21" t="str">
        <f>IFERROR(__xludf.DUMMYFUNCTION("IFERROR((GOOGLEFINANCE(C391, ""price"") / INDEX(GOOGLEFINANCE(C391, ""price"", TODAY()-7, TODAY()), 2, 2)) - 1, """")"),"")</f>
        <v/>
      </c>
      <c r="M391" s="21" t="str">
        <f>IFERROR(__xludf.DUMMYFUNCTION("IFERROR((GOOGLEFINANCE(C391, ""price"") / INDEX(GOOGLEFINANCE(C391, ""price"", EDATE(TODAY(), -1), TODAY()), 2, 2)) - 1, """")"),"")</f>
        <v/>
      </c>
      <c r="N391" s="21" t="str">
        <f>IFERROR(__xludf.DUMMYFUNCTION("IFERROR((GOOGLEFINANCE(C391, ""price"") / INDEX(GOOGLEFINANCE(C391, ""price"", EDATE(TODAY(), -3), TODAY()), 2, 2)) - 1, """")"),"")</f>
        <v/>
      </c>
      <c r="O391" s="21" t="str">
        <f>IFERROR(__xludf.DUMMYFUNCTION("IFERROR((GOOGLEFINANCE(C391, ""price"") / INDEX(GOOGLEFINANCE(C391, ""price"", EDATE(TODAY(), -6), TODAY()), 2, 2)) - 1, """")"),"")</f>
        <v/>
      </c>
      <c r="P391" s="21" t="str">
        <f>IFERROR(__xludf.DUMMYFUNCTION("IFERROR((GOOGLEFINANCE(C391, ""price"") / INDEX(GOOGLEFINANCE(C391, ""price"", EDATE(TODAY(), -12), TODAY()), 2, 2)) - 1, """")"),"")</f>
        <v/>
      </c>
      <c r="Q391" s="6" t="str">
        <f>IFERROR(__xludf.DUMMYFUNCTION("AVERAGE(QUERY(GOOGLEFINANCE(C391, ""price"", TODAY()-80, TODAY()), ""SELECT Col2 WHERE Col2 IS NOT NULL ORDER BY Col1 DESC LIMIT 50"", 0))"),"#N/A")</f>
        <v>#N/A</v>
      </c>
      <c r="R391" s="24" t="str">
        <f>IFERROR(__xludf.DUMMYFUNCTION("IFERROR(
  LET(
    data, QUERY(GOOGLEFINANCE(C391,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GOOGLEFINANCE(C391, ""price"")) * 100,
    IF(calc=0, G391, calc)
  ), 
G391)"),"#N/A")</f>
        <v>#N/A</v>
      </c>
      <c r="S391" s="8" t="s">
        <v>15</v>
      </c>
      <c r="T391" s="26" t="str">
        <f>IFERROR(__xludf.DUMMYFUNCTION("IFERROR(TRANSPOSE(QUERY(IFERROR(SORT(GOOGLEFINANCE(C391, ""price"", WORKDAY(TODAY(), -40), TODAY()), 1, FALSE)), ""select Col2 where Col2 is not null limit 22 label Col2 ''"", 0)), """")"),"")</f>
        <v/>
      </c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8"/>
      <c r="AO391" s="28"/>
      <c r="AP391" s="29"/>
      <c r="AQ391" s="29" t="str">
        <f t="shared" ref="AQ391:BL391" si="394">T391/T$2</f>
        <v>#N/A</v>
      </c>
      <c r="AR391" s="29" t="str">
        <f t="shared" si="394"/>
        <v>#DIV/0!</v>
      </c>
      <c r="AS391" s="29" t="str">
        <f t="shared" si="394"/>
        <v>#DIV/0!</v>
      </c>
      <c r="AT391" s="29" t="str">
        <f t="shared" si="394"/>
        <v>#DIV/0!</v>
      </c>
      <c r="AU391" s="29" t="str">
        <f t="shared" si="394"/>
        <v>#DIV/0!</v>
      </c>
      <c r="AV391" s="29" t="str">
        <f t="shared" si="394"/>
        <v>#DIV/0!</v>
      </c>
      <c r="AW391" s="29" t="str">
        <f t="shared" si="394"/>
        <v>#DIV/0!</v>
      </c>
      <c r="AX391" s="29" t="str">
        <f t="shared" si="394"/>
        <v>#DIV/0!</v>
      </c>
      <c r="AY391" s="29" t="str">
        <f t="shared" si="394"/>
        <v>#DIV/0!</v>
      </c>
      <c r="AZ391" s="29" t="str">
        <f t="shared" si="394"/>
        <v>#DIV/0!</v>
      </c>
      <c r="BA391" s="29" t="str">
        <f t="shared" si="394"/>
        <v>#DIV/0!</v>
      </c>
      <c r="BB391" s="29" t="str">
        <f t="shared" si="394"/>
        <v>#DIV/0!</v>
      </c>
      <c r="BC391" s="29" t="str">
        <f t="shared" si="394"/>
        <v>#DIV/0!</v>
      </c>
      <c r="BD391" s="29" t="str">
        <f t="shared" si="394"/>
        <v>#DIV/0!</v>
      </c>
      <c r="BE391" s="29" t="str">
        <f t="shared" si="394"/>
        <v>#DIV/0!</v>
      </c>
      <c r="BF391" s="29" t="str">
        <f t="shared" si="394"/>
        <v>#DIV/0!</v>
      </c>
      <c r="BG391" s="29" t="str">
        <f t="shared" si="394"/>
        <v>#DIV/0!</v>
      </c>
      <c r="BH391" s="29" t="str">
        <f t="shared" si="394"/>
        <v>#DIV/0!</v>
      </c>
      <c r="BI391" s="29" t="str">
        <f t="shared" si="394"/>
        <v>#DIV/0!</v>
      </c>
      <c r="BJ391" s="29" t="str">
        <f t="shared" si="394"/>
        <v>#DIV/0!</v>
      </c>
      <c r="BK391" s="29" t="str">
        <f t="shared" si="394"/>
        <v>#DIV/0!</v>
      </c>
      <c r="BL391" s="29" t="str">
        <f t="shared" si="394"/>
        <v>#DIV/0!</v>
      </c>
      <c r="BM391" s="29" t="str">
        <f t="shared" si="3"/>
        <v>#DIV/0!</v>
      </c>
    </row>
    <row r="392">
      <c r="A392" s="16" t="str">
        <f>IFERROR(__xludf.DUMMYFUNCTION("IFERROR(SPARKLINE(SORT(MAP(TRANSPOSE(AQ392:BL392), LAMBDA(val, IF(ISNUMBER(val), PERCENTRANK(AQ392:BL392, val)+0.01, 0))), SEQUENCE(COLUMNS(AQ392:BL392)), FALSE), {""charttype"",""column""; ""color"",""chartreuse""; ""ymin"", 0; ""ymax"", 1.01; ""highcolo"&amp;"r"", ""darkgreen""; ""lowcolor"", ""red""}), """")"),"")</f>
        <v/>
      </c>
      <c r="B392" s="17" t="str">
        <f t="shared" si="4"/>
        <v/>
      </c>
      <c r="C392" s="1" t="s">
        <v>2412</v>
      </c>
      <c r="D392" s="30" t="str">
        <f>IFERROR(__xludf.DUMMYFUNCTION("IFERROR(GOOGLEFINANCE(C392, ""NAME""))"),"Dover Corp")</f>
        <v>Dover Corp</v>
      </c>
      <c r="E392" s="30" t="s">
        <v>893</v>
      </c>
      <c r="F392" s="33" t="str">
        <f>IFERROR(__xludf.DUMMYFUNCTION("( (GOOGLEFINANCE(C392, ""price"") - Q392) / Q392 ) / (R392 / 100)"),"Loading...")</f>
        <v>Loading...</v>
      </c>
      <c r="G392" s="20" t="str">
        <f>IFERROR(__xludf.DUMMYFUNCTION("AVERAGE(ARRAYFORMULA(100 * (QUERY(GOOGLEFINANCE(C392, ""high"", TODAY()-40, TODAY()), ""SELECT Col2 WHERE Col2 IS NOT NULL ORDER BY Col1 DESC LIMIT 20"", 0) / QUERY(GOOGLEFINANCE(C392, ""low"", TODAY()-40, TODAY()), ""SELECT Col2 WHERE Col2 IS NOT NULL OR"&amp;"DER BY Col1 DESC LIMIT 20"", 0) - 1)))"),"#N/A")</f>
        <v>#N/A</v>
      </c>
      <c r="H392" s="35" t="str">
        <f t="shared" si="6"/>
        <v/>
      </c>
      <c r="I392" s="35" t="str">
        <f t="shared" si="7"/>
        <v/>
      </c>
      <c r="J392" s="37" t="str">
        <f>IFERROR(__xludf.DUMMYFUNCTION("IFERROR(
  IF(C392="""",, 
    IFERROR(
      GOOGLEFINANCE(C392, ""price"") * GOOGLEFINANCE(C392, ""volumeavg""), 
      GOOGLEFINANCE(C392, ""price"") * AVERAGE(QUERY(GOOGLEFINANCE(C392, ""volume"", TODAY()-40, TODAY()), ""SELECT Col2 WHERE Col2 IS NOT "&amp;"NULL ORDER BY Col1 DESC LIMIT 20"", 0))
    )
  ), 
"""")"),"")</f>
        <v/>
      </c>
      <c r="K392" s="21" t="str">
        <f>IFERROR(__xludf.DUMMYFUNCTION("IFERROR(GOOGLEFINANCE(C392, ""changepct"") / 100, """")"),"")</f>
        <v/>
      </c>
      <c r="L392" s="21" t="str">
        <f>IFERROR(__xludf.DUMMYFUNCTION("IFERROR((GOOGLEFINANCE(C392, ""price"") / INDEX(GOOGLEFINANCE(C392, ""price"", TODAY()-7, TODAY()), 2, 2)) - 1, """")"),"")</f>
        <v/>
      </c>
      <c r="M392" s="21" t="str">
        <f>IFERROR(__xludf.DUMMYFUNCTION("IFERROR((GOOGLEFINANCE(C392, ""price"") / INDEX(GOOGLEFINANCE(C392, ""price"", EDATE(TODAY(), -1), TODAY()), 2, 2)) - 1, """")"),"")</f>
        <v/>
      </c>
      <c r="N392" s="21" t="str">
        <f>IFERROR(__xludf.DUMMYFUNCTION("IFERROR((GOOGLEFINANCE(C392, ""price"") / INDEX(GOOGLEFINANCE(C392, ""price"", EDATE(TODAY(), -3), TODAY()), 2, 2)) - 1, """")"),"")</f>
        <v/>
      </c>
      <c r="O392" s="21" t="str">
        <f>IFERROR(__xludf.DUMMYFUNCTION("IFERROR((GOOGLEFINANCE(C392, ""price"") / INDEX(GOOGLEFINANCE(C392, ""price"", EDATE(TODAY(), -6), TODAY()), 2, 2)) - 1, """")"),"")</f>
        <v/>
      </c>
      <c r="P392" s="21" t="str">
        <f>IFERROR(__xludf.DUMMYFUNCTION("IFERROR((GOOGLEFINANCE(C392, ""price"") / INDEX(GOOGLEFINANCE(C392, ""price"", EDATE(TODAY(), -12), TODAY()), 2, 2)) - 1, """")"),"")</f>
        <v/>
      </c>
      <c r="Q392" s="6" t="str">
        <f>IFERROR(__xludf.DUMMYFUNCTION("AVERAGE(QUERY(GOOGLEFINANCE(C392, ""price"", TODAY()-80, TODAY()), ""SELECT Col2 WHERE Col2 IS NOT NULL ORDER BY Col1 DESC LIMIT 50"", 0))"),"#N/A")</f>
        <v>#N/A</v>
      </c>
      <c r="R392" s="24" t="str">
        <f>IFERROR(__xludf.DUMMYFUNCTION("IFERROR(
  LET(
    data, QUERY(GOOGLEFINANCE(C392,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GOOGLEFINANCE(C392, ""price"")) * 100,
    IF(calc=0, G392, calc)
  ), 
G392)"),"#N/A")</f>
        <v>#N/A</v>
      </c>
      <c r="S392" s="8" t="s">
        <v>15</v>
      </c>
      <c r="T392" s="26" t="str">
        <f>IFERROR(__xludf.DUMMYFUNCTION("IFERROR(TRANSPOSE(QUERY(IFERROR(SORT(GOOGLEFINANCE(C392, ""price"", WORKDAY(TODAY(), -40), TODAY()), 1, FALSE)), ""select Col2 where Col2 is not null limit 22 label Col2 ''"", 0)), """")"),"")</f>
        <v/>
      </c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8"/>
      <c r="AO392" s="28"/>
      <c r="AP392" s="29"/>
      <c r="AQ392" s="29" t="str">
        <f t="shared" ref="AQ392:BL392" si="395">T392/T$2</f>
        <v>#N/A</v>
      </c>
      <c r="AR392" s="29" t="str">
        <f t="shared" si="395"/>
        <v>#DIV/0!</v>
      </c>
      <c r="AS392" s="29" t="str">
        <f t="shared" si="395"/>
        <v>#DIV/0!</v>
      </c>
      <c r="AT392" s="29" t="str">
        <f t="shared" si="395"/>
        <v>#DIV/0!</v>
      </c>
      <c r="AU392" s="29" t="str">
        <f t="shared" si="395"/>
        <v>#DIV/0!</v>
      </c>
      <c r="AV392" s="29" t="str">
        <f t="shared" si="395"/>
        <v>#DIV/0!</v>
      </c>
      <c r="AW392" s="29" t="str">
        <f t="shared" si="395"/>
        <v>#DIV/0!</v>
      </c>
      <c r="AX392" s="29" t="str">
        <f t="shared" si="395"/>
        <v>#DIV/0!</v>
      </c>
      <c r="AY392" s="29" t="str">
        <f t="shared" si="395"/>
        <v>#DIV/0!</v>
      </c>
      <c r="AZ392" s="29" t="str">
        <f t="shared" si="395"/>
        <v>#DIV/0!</v>
      </c>
      <c r="BA392" s="29" t="str">
        <f t="shared" si="395"/>
        <v>#DIV/0!</v>
      </c>
      <c r="BB392" s="29" t="str">
        <f t="shared" si="395"/>
        <v>#DIV/0!</v>
      </c>
      <c r="BC392" s="29" t="str">
        <f t="shared" si="395"/>
        <v>#DIV/0!</v>
      </c>
      <c r="BD392" s="29" t="str">
        <f t="shared" si="395"/>
        <v>#DIV/0!</v>
      </c>
      <c r="BE392" s="29" t="str">
        <f t="shared" si="395"/>
        <v>#DIV/0!</v>
      </c>
      <c r="BF392" s="29" t="str">
        <f t="shared" si="395"/>
        <v>#DIV/0!</v>
      </c>
      <c r="BG392" s="29" t="str">
        <f t="shared" si="395"/>
        <v>#DIV/0!</v>
      </c>
      <c r="BH392" s="29" t="str">
        <f t="shared" si="395"/>
        <v>#DIV/0!</v>
      </c>
      <c r="BI392" s="29" t="str">
        <f t="shared" si="395"/>
        <v>#DIV/0!</v>
      </c>
      <c r="BJ392" s="29" t="str">
        <f t="shared" si="395"/>
        <v>#DIV/0!</v>
      </c>
      <c r="BK392" s="29" t="str">
        <f t="shared" si="395"/>
        <v>#DIV/0!</v>
      </c>
      <c r="BL392" s="29" t="str">
        <f t="shared" si="395"/>
        <v>#DIV/0!</v>
      </c>
      <c r="BM392" s="29" t="str">
        <f t="shared" si="3"/>
        <v>#DIV/0!</v>
      </c>
    </row>
    <row r="393">
      <c r="A393" s="16" t="str">
        <f>IFERROR(__xludf.DUMMYFUNCTION("IFERROR(SPARKLINE(SORT(MAP(TRANSPOSE(AQ393:BL393), LAMBDA(val, IF(ISNUMBER(val), PERCENTRANK(AQ393:BL393, val)+0.01, 0))), SEQUENCE(COLUMNS(AQ393:BL393)), FALSE), {""charttype"",""column""; ""color"",""chartreuse""; ""ymin"", 0; ""ymax"", 1.01; ""highcolo"&amp;"r"", ""darkgreen""; ""lowcolor"", ""red""}), """")"),"")</f>
        <v/>
      </c>
      <c r="B393" s="17" t="str">
        <f t="shared" si="4"/>
        <v/>
      </c>
      <c r="C393" s="1" t="s">
        <v>2416</v>
      </c>
      <c r="D393" s="30" t="str">
        <f>IFERROR(__xludf.DUMMYFUNCTION("IFERROR(GOOGLEFINANCE(C393, ""NAME""))"),"Core &amp; Main Inc")</f>
        <v>Core &amp; Main Inc</v>
      </c>
      <c r="E393" s="30" t="s">
        <v>829</v>
      </c>
      <c r="F393" s="33" t="str">
        <f>IFERROR(__xludf.DUMMYFUNCTION("( (GOOGLEFINANCE(C393, ""price"") - Q393) / Q393 ) / (R393 / 100)"),"Loading...")</f>
        <v>Loading...</v>
      </c>
      <c r="G393" s="20" t="str">
        <f>IFERROR(__xludf.DUMMYFUNCTION("AVERAGE(ARRAYFORMULA(100 * (QUERY(GOOGLEFINANCE(C393, ""high"", TODAY()-40, TODAY()), ""SELECT Col2 WHERE Col2 IS NOT NULL ORDER BY Col1 DESC LIMIT 20"", 0) / QUERY(GOOGLEFINANCE(C393, ""low"", TODAY()-40, TODAY()), ""SELECT Col2 WHERE Col2 IS NOT NULL OR"&amp;"DER BY Col1 DESC LIMIT 20"", 0) - 1)))"),"#N/A")</f>
        <v>#N/A</v>
      </c>
      <c r="H393" s="35" t="str">
        <f t="shared" si="6"/>
        <v/>
      </c>
      <c r="I393" s="35" t="str">
        <f t="shared" si="7"/>
        <v/>
      </c>
      <c r="J393" s="37" t="str">
        <f>IFERROR(__xludf.DUMMYFUNCTION("IFERROR(
  IF(C393="""",, 
    IFERROR(
      GOOGLEFINANCE(C393, ""price"") * GOOGLEFINANCE(C393, ""volumeavg""), 
      GOOGLEFINANCE(C393, ""price"") * AVERAGE(QUERY(GOOGLEFINANCE(C393, ""volume"", TODAY()-40, TODAY()), ""SELECT Col2 WHERE Col2 IS NOT "&amp;"NULL ORDER BY Col1 DESC LIMIT 20"", 0))
    )
  ), 
"""")"),"")</f>
        <v/>
      </c>
      <c r="K393" s="21" t="str">
        <f>IFERROR(__xludf.DUMMYFUNCTION("IFERROR(GOOGLEFINANCE(C393, ""changepct"") / 100, """")"),"")</f>
        <v/>
      </c>
      <c r="L393" s="21" t="str">
        <f>IFERROR(__xludf.DUMMYFUNCTION("IFERROR((GOOGLEFINANCE(C393, ""price"") / INDEX(GOOGLEFINANCE(C393, ""price"", TODAY()-7, TODAY()), 2, 2)) - 1, """")"),"")</f>
        <v/>
      </c>
      <c r="M393" s="21" t="str">
        <f>IFERROR(__xludf.DUMMYFUNCTION("IFERROR((GOOGLEFINANCE(C393, ""price"") / INDEX(GOOGLEFINANCE(C393, ""price"", EDATE(TODAY(), -1), TODAY()), 2, 2)) - 1, """")"),"")</f>
        <v/>
      </c>
      <c r="N393" s="21" t="str">
        <f>IFERROR(__xludf.DUMMYFUNCTION("IFERROR((GOOGLEFINANCE(C393, ""price"") / INDEX(GOOGLEFINANCE(C393, ""price"", EDATE(TODAY(), -3), TODAY()), 2, 2)) - 1, """")"),"")</f>
        <v/>
      </c>
      <c r="O393" s="21" t="str">
        <f>IFERROR(__xludf.DUMMYFUNCTION("IFERROR((GOOGLEFINANCE(C393, ""price"") / INDEX(GOOGLEFINANCE(C393, ""price"", EDATE(TODAY(), -6), TODAY()), 2, 2)) - 1, """")"),"")</f>
        <v/>
      </c>
      <c r="P393" s="21" t="str">
        <f>IFERROR(__xludf.DUMMYFUNCTION("IFERROR((GOOGLEFINANCE(C393, ""price"") / INDEX(GOOGLEFINANCE(C393, ""price"", EDATE(TODAY(), -12), TODAY()), 2, 2)) - 1, """")"),"")</f>
        <v/>
      </c>
      <c r="Q393" s="6" t="str">
        <f>IFERROR(__xludf.DUMMYFUNCTION("AVERAGE(QUERY(GOOGLEFINANCE(C393, ""price"", TODAY()-80, TODAY()), ""SELECT Col2 WHERE Col2 IS NOT NULL ORDER BY Col1 DESC LIMIT 50"", 0))"),"#N/A")</f>
        <v>#N/A</v>
      </c>
      <c r="R393" s="24" t="str">
        <f>IFERROR(__xludf.DUMMYFUNCTION("IFERROR(
  LET(
    data, QUERY(GOOGLEFINANCE(C393,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GOOGLEFINANCE(C393, ""price"")) * 100,
    IF(calc=0, G393, calc)
  ), 
G393)"),"#N/A")</f>
        <v>#N/A</v>
      </c>
      <c r="S393" s="8" t="s">
        <v>15</v>
      </c>
      <c r="T393" s="26" t="str">
        <f>IFERROR(__xludf.DUMMYFUNCTION("IFERROR(TRANSPOSE(QUERY(IFERROR(SORT(GOOGLEFINANCE(C393, ""price"", WORKDAY(TODAY(), -40), TODAY()), 1, FALSE)), ""select Col2 where Col2 is not null limit 22 label Col2 ''"", 0)), """")"),"")</f>
        <v/>
      </c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8"/>
      <c r="AO393" s="28"/>
      <c r="AP393" s="29"/>
      <c r="AQ393" s="29" t="str">
        <f t="shared" ref="AQ393:BL393" si="396">T393/T$2</f>
        <v>#N/A</v>
      </c>
      <c r="AR393" s="29" t="str">
        <f t="shared" si="396"/>
        <v>#DIV/0!</v>
      </c>
      <c r="AS393" s="29" t="str">
        <f t="shared" si="396"/>
        <v>#DIV/0!</v>
      </c>
      <c r="AT393" s="29" t="str">
        <f t="shared" si="396"/>
        <v>#DIV/0!</v>
      </c>
      <c r="AU393" s="29" t="str">
        <f t="shared" si="396"/>
        <v>#DIV/0!</v>
      </c>
      <c r="AV393" s="29" t="str">
        <f t="shared" si="396"/>
        <v>#DIV/0!</v>
      </c>
      <c r="AW393" s="29" t="str">
        <f t="shared" si="396"/>
        <v>#DIV/0!</v>
      </c>
      <c r="AX393" s="29" t="str">
        <f t="shared" si="396"/>
        <v>#DIV/0!</v>
      </c>
      <c r="AY393" s="29" t="str">
        <f t="shared" si="396"/>
        <v>#DIV/0!</v>
      </c>
      <c r="AZ393" s="29" t="str">
        <f t="shared" si="396"/>
        <v>#DIV/0!</v>
      </c>
      <c r="BA393" s="29" t="str">
        <f t="shared" si="396"/>
        <v>#DIV/0!</v>
      </c>
      <c r="BB393" s="29" t="str">
        <f t="shared" si="396"/>
        <v>#DIV/0!</v>
      </c>
      <c r="BC393" s="29" t="str">
        <f t="shared" si="396"/>
        <v>#DIV/0!</v>
      </c>
      <c r="BD393" s="29" t="str">
        <f t="shared" si="396"/>
        <v>#DIV/0!</v>
      </c>
      <c r="BE393" s="29" t="str">
        <f t="shared" si="396"/>
        <v>#DIV/0!</v>
      </c>
      <c r="BF393" s="29" t="str">
        <f t="shared" si="396"/>
        <v>#DIV/0!</v>
      </c>
      <c r="BG393" s="29" t="str">
        <f t="shared" si="396"/>
        <v>#DIV/0!</v>
      </c>
      <c r="BH393" s="29" t="str">
        <f t="shared" si="396"/>
        <v>#DIV/0!</v>
      </c>
      <c r="BI393" s="29" t="str">
        <f t="shared" si="396"/>
        <v>#DIV/0!</v>
      </c>
      <c r="BJ393" s="29" t="str">
        <f t="shared" si="396"/>
        <v>#DIV/0!</v>
      </c>
      <c r="BK393" s="29" t="str">
        <f t="shared" si="396"/>
        <v>#DIV/0!</v>
      </c>
      <c r="BL393" s="29" t="str">
        <f t="shared" si="396"/>
        <v>#DIV/0!</v>
      </c>
      <c r="BM393" s="29" t="str">
        <f t="shared" si="3"/>
        <v>#DIV/0!</v>
      </c>
    </row>
    <row r="394">
      <c r="A394" s="16" t="str">
        <f>IFERROR(__xludf.DUMMYFUNCTION("IFERROR(SPARKLINE(SORT(MAP(TRANSPOSE(AQ394:BL394), LAMBDA(val, IF(ISNUMBER(val), PERCENTRANK(AQ394:BL394, val)+0.01, 0))), SEQUENCE(COLUMNS(AQ394:BL394)), FALSE), {""charttype"",""column""; ""color"",""chartreuse""; ""ymin"", 0; ""ymax"", 1.01; ""highcolo"&amp;"r"", ""darkgreen""; ""lowcolor"", ""red""}), """")"),"")</f>
        <v/>
      </c>
      <c r="B394" s="17" t="str">
        <f t="shared" si="4"/>
        <v/>
      </c>
      <c r="C394" s="1" t="s">
        <v>2420</v>
      </c>
      <c r="D394" s="30" t="str">
        <f>IFERROR(__xludf.DUMMYFUNCTION("IFERROR(GOOGLEFINANCE(C394, ""NAME""))"),"SPX Technologies Inc")</f>
        <v>SPX Technologies Inc</v>
      </c>
      <c r="E394" s="30" t="s">
        <v>968</v>
      </c>
      <c r="F394" s="33" t="str">
        <f>IFERROR(__xludf.DUMMYFUNCTION("( (GOOGLEFINANCE(C394, ""price"") - Q394) / Q394 ) / (R394 / 100)"),"Loading...")</f>
        <v>Loading...</v>
      </c>
      <c r="G394" s="20" t="str">
        <f>IFERROR(__xludf.DUMMYFUNCTION("AVERAGE(ARRAYFORMULA(100 * (QUERY(GOOGLEFINANCE(C394, ""high"", TODAY()-40, TODAY()), ""SELECT Col2 WHERE Col2 IS NOT NULL ORDER BY Col1 DESC LIMIT 20"", 0) / QUERY(GOOGLEFINANCE(C394, ""low"", TODAY()-40, TODAY()), ""SELECT Col2 WHERE Col2 IS NOT NULL OR"&amp;"DER BY Col1 DESC LIMIT 20"", 0) - 1)))"),"#N/A")</f>
        <v>#N/A</v>
      </c>
      <c r="H394" s="35" t="str">
        <f t="shared" si="6"/>
        <v/>
      </c>
      <c r="I394" s="35" t="str">
        <f t="shared" si="7"/>
        <v/>
      </c>
      <c r="J394" s="37" t="str">
        <f>IFERROR(__xludf.DUMMYFUNCTION("IFERROR(
  IF(C394="""",, 
    IFERROR(
      GOOGLEFINANCE(C394, ""price"") * GOOGLEFINANCE(C394, ""volumeavg""), 
      GOOGLEFINANCE(C394, ""price"") * AVERAGE(QUERY(GOOGLEFINANCE(C394, ""volume"", TODAY()-40, TODAY()), ""SELECT Col2 WHERE Col2 IS NOT "&amp;"NULL ORDER BY Col1 DESC LIMIT 20"", 0))
    )
  ), 
"""")"),"")</f>
        <v/>
      </c>
      <c r="K394" s="21" t="str">
        <f>IFERROR(__xludf.DUMMYFUNCTION("IFERROR(GOOGLEFINANCE(C394, ""changepct"") / 100, """")"),"")</f>
        <v/>
      </c>
      <c r="L394" s="21" t="str">
        <f>IFERROR(__xludf.DUMMYFUNCTION("IFERROR((GOOGLEFINANCE(C394, ""price"") / INDEX(GOOGLEFINANCE(C394, ""price"", TODAY()-7, TODAY()), 2, 2)) - 1, """")"),"")</f>
        <v/>
      </c>
      <c r="M394" s="21" t="str">
        <f>IFERROR(__xludf.DUMMYFUNCTION("IFERROR((GOOGLEFINANCE(C394, ""price"") / INDEX(GOOGLEFINANCE(C394, ""price"", EDATE(TODAY(), -1), TODAY()), 2, 2)) - 1, """")"),"")</f>
        <v/>
      </c>
      <c r="N394" s="21" t="str">
        <f>IFERROR(__xludf.DUMMYFUNCTION("IFERROR((GOOGLEFINANCE(C394, ""price"") / INDEX(GOOGLEFINANCE(C394, ""price"", EDATE(TODAY(), -3), TODAY()), 2, 2)) - 1, """")"),"")</f>
        <v/>
      </c>
      <c r="O394" s="21" t="str">
        <f>IFERROR(__xludf.DUMMYFUNCTION("IFERROR((GOOGLEFINANCE(C394, ""price"") / INDEX(GOOGLEFINANCE(C394, ""price"", EDATE(TODAY(), -6), TODAY()), 2, 2)) - 1, """")"),"")</f>
        <v/>
      </c>
      <c r="P394" s="21" t="str">
        <f>IFERROR(__xludf.DUMMYFUNCTION("IFERROR((GOOGLEFINANCE(C394, ""price"") / INDEX(GOOGLEFINANCE(C394, ""price"", EDATE(TODAY(), -12), TODAY()), 2, 2)) - 1, """")"),"")</f>
        <v/>
      </c>
      <c r="Q394" s="6" t="str">
        <f>IFERROR(__xludf.DUMMYFUNCTION("AVERAGE(QUERY(GOOGLEFINANCE(C394, ""price"", TODAY()-80, TODAY()), ""SELECT Col2 WHERE Col2 IS NOT NULL ORDER BY Col1 DESC LIMIT 50"", 0))"),"#N/A")</f>
        <v>#N/A</v>
      </c>
      <c r="R394" s="24" t="str">
        <f>IFERROR(__xludf.DUMMYFUNCTION("IFERROR(
  LET(
    data, QUERY(GOOGLEFINANCE(C394,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GOOGLEFINANCE(C394, ""price"")) * 100,
    IF(calc=0, G394, calc)
  ), 
G394)"),"#N/A")</f>
        <v>#N/A</v>
      </c>
      <c r="S394" s="8" t="s">
        <v>15</v>
      </c>
      <c r="T394" s="26" t="str">
        <f>IFERROR(__xludf.DUMMYFUNCTION("IFERROR(TRANSPOSE(QUERY(IFERROR(SORT(GOOGLEFINANCE(C394, ""price"", WORKDAY(TODAY(), -40), TODAY()), 1, FALSE)), ""select Col2 where Col2 is not null limit 22 label Col2 ''"", 0)), """")"),"")</f>
        <v/>
      </c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8"/>
      <c r="AO394" s="28"/>
      <c r="AP394" s="29"/>
      <c r="AQ394" s="29" t="str">
        <f t="shared" ref="AQ394:BL394" si="397">T394/T$2</f>
        <v>#N/A</v>
      </c>
      <c r="AR394" s="29" t="str">
        <f t="shared" si="397"/>
        <v>#DIV/0!</v>
      </c>
      <c r="AS394" s="29" t="str">
        <f t="shared" si="397"/>
        <v>#DIV/0!</v>
      </c>
      <c r="AT394" s="29" t="str">
        <f t="shared" si="397"/>
        <v>#DIV/0!</v>
      </c>
      <c r="AU394" s="29" t="str">
        <f t="shared" si="397"/>
        <v>#DIV/0!</v>
      </c>
      <c r="AV394" s="29" t="str">
        <f t="shared" si="397"/>
        <v>#DIV/0!</v>
      </c>
      <c r="AW394" s="29" t="str">
        <f t="shared" si="397"/>
        <v>#DIV/0!</v>
      </c>
      <c r="AX394" s="29" t="str">
        <f t="shared" si="397"/>
        <v>#DIV/0!</v>
      </c>
      <c r="AY394" s="29" t="str">
        <f t="shared" si="397"/>
        <v>#DIV/0!</v>
      </c>
      <c r="AZ394" s="29" t="str">
        <f t="shared" si="397"/>
        <v>#DIV/0!</v>
      </c>
      <c r="BA394" s="29" t="str">
        <f t="shared" si="397"/>
        <v>#DIV/0!</v>
      </c>
      <c r="BB394" s="29" t="str">
        <f t="shared" si="397"/>
        <v>#DIV/0!</v>
      </c>
      <c r="BC394" s="29" t="str">
        <f t="shared" si="397"/>
        <v>#DIV/0!</v>
      </c>
      <c r="BD394" s="29" t="str">
        <f t="shared" si="397"/>
        <v>#DIV/0!</v>
      </c>
      <c r="BE394" s="29" t="str">
        <f t="shared" si="397"/>
        <v>#DIV/0!</v>
      </c>
      <c r="BF394" s="29" t="str">
        <f t="shared" si="397"/>
        <v>#DIV/0!</v>
      </c>
      <c r="BG394" s="29" t="str">
        <f t="shared" si="397"/>
        <v>#DIV/0!</v>
      </c>
      <c r="BH394" s="29" t="str">
        <f t="shared" si="397"/>
        <v>#DIV/0!</v>
      </c>
      <c r="BI394" s="29" t="str">
        <f t="shared" si="397"/>
        <v>#DIV/0!</v>
      </c>
      <c r="BJ394" s="29" t="str">
        <f t="shared" si="397"/>
        <v>#DIV/0!</v>
      </c>
      <c r="BK394" s="29" t="str">
        <f t="shared" si="397"/>
        <v>#DIV/0!</v>
      </c>
      <c r="BL394" s="29" t="str">
        <f t="shared" si="397"/>
        <v>#DIV/0!</v>
      </c>
      <c r="BM394" s="29" t="str">
        <f t="shared" si="3"/>
        <v>#DIV/0!</v>
      </c>
    </row>
    <row r="395">
      <c r="A395" s="16" t="str">
        <f>IFERROR(__xludf.DUMMYFUNCTION("IFERROR(SPARKLINE(SORT(MAP(TRANSPOSE(AQ395:BL395), LAMBDA(val, IF(ISNUMBER(val), PERCENTRANK(AQ395:BL395, val)+0.01, 0))), SEQUENCE(COLUMNS(AQ395:BL395)), FALSE), {""charttype"",""column""; ""color"",""chartreuse""; ""ymin"", 0; ""ymax"", 1.01; ""highcolo"&amp;"r"", ""darkgreen""; ""lowcolor"", ""red""}), """")"),"")</f>
        <v/>
      </c>
      <c r="B395" s="17" t="str">
        <f t="shared" si="4"/>
        <v/>
      </c>
      <c r="C395" s="1" t="s">
        <v>2424</v>
      </c>
      <c r="D395" s="30" t="str">
        <f>IFERROR(__xludf.DUMMYFUNCTION("IFERROR(GOOGLEFINANCE(C395, ""NAME""))"),"Aecom")</f>
        <v>Aecom</v>
      </c>
      <c r="E395" s="30" t="s">
        <v>856</v>
      </c>
      <c r="F395" s="33" t="str">
        <f>IFERROR(__xludf.DUMMYFUNCTION("( (GOOGLEFINANCE(C395, ""price"") - Q395) / Q395 ) / (R395 / 100)"),"Loading...")</f>
        <v>Loading...</v>
      </c>
      <c r="G395" s="20" t="str">
        <f>IFERROR(__xludf.DUMMYFUNCTION("AVERAGE(ARRAYFORMULA(100 * (QUERY(GOOGLEFINANCE(C395, ""high"", TODAY()-40, TODAY()), ""SELECT Col2 WHERE Col2 IS NOT NULL ORDER BY Col1 DESC LIMIT 20"", 0) / QUERY(GOOGLEFINANCE(C395, ""low"", TODAY()-40, TODAY()), ""SELECT Col2 WHERE Col2 IS NOT NULL OR"&amp;"DER BY Col1 DESC LIMIT 20"", 0) - 1)))"),"#N/A")</f>
        <v>#N/A</v>
      </c>
      <c r="H395" s="35" t="str">
        <f t="shared" si="6"/>
        <v/>
      </c>
      <c r="I395" s="35" t="str">
        <f t="shared" si="7"/>
        <v/>
      </c>
      <c r="J395" s="37" t="str">
        <f>IFERROR(__xludf.DUMMYFUNCTION("IFERROR(
  IF(C395="""",, 
    IFERROR(
      GOOGLEFINANCE(C395, ""price"") * GOOGLEFINANCE(C395, ""volumeavg""), 
      GOOGLEFINANCE(C395, ""price"") * AVERAGE(QUERY(GOOGLEFINANCE(C395, ""volume"", TODAY()-40, TODAY()), ""SELECT Col2 WHERE Col2 IS NOT "&amp;"NULL ORDER BY Col1 DESC LIMIT 20"", 0))
    )
  ), 
"""")"),"")</f>
        <v/>
      </c>
      <c r="K395" s="21" t="str">
        <f>IFERROR(__xludf.DUMMYFUNCTION("IFERROR(GOOGLEFINANCE(C395, ""changepct"") / 100, """")"),"")</f>
        <v/>
      </c>
      <c r="L395" s="21" t="str">
        <f>IFERROR(__xludf.DUMMYFUNCTION("IFERROR((GOOGLEFINANCE(C395, ""price"") / INDEX(GOOGLEFINANCE(C395, ""price"", TODAY()-7, TODAY()), 2, 2)) - 1, """")"),"")</f>
        <v/>
      </c>
      <c r="M395" s="21" t="str">
        <f>IFERROR(__xludf.DUMMYFUNCTION("IFERROR((GOOGLEFINANCE(C395, ""price"") / INDEX(GOOGLEFINANCE(C395, ""price"", EDATE(TODAY(), -1), TODAY()), 2, 2)) - 1, """")"),"")</f>
        <v/>
      </c>
      <c r="N395" s="21" t="str">
        <f>IFERROR(__xludf.DUMMYFUNCTION("IFERROR((GOOGLEFINANCE(C395, ""price"") / INDEX(GOOGLEFINANCE(C395, ""price"", EDATE(TODAY(), -3), TODAY()), 2, 2)) - 1, """")"),"")</f>
        <v/>
      </c>
      <c r="O395" s="21" t="str">
        <f>IFERROR(__xludf.DUMMYFUNCTION("IFERROR((GOOGLEFINANCE(C395, ""price"") / INDEX(GOOGLEFINANCE(C395, ""price"", EDATE(TODAY(), -6), TODAY()), 2, 2)) - 1, """")"),"")</f>
        <v/>
      </c>
      <c r="P395" s="21" t="str">
        <f>IFERROR(__xludf.DUMMYFUNCTION("IFERROR((GOOGLEFINANCE(C395, ""price"") / INDEX(GOOGLEFINANCE(C395, ""price"", EDATE(TODAY(), -12), TODAY()), 2, 2)) - 1, """")"),"")</f>
        <v/>
      </c>
      <c r="Q395" s="6" t="str">
        <f>IFERROR(__xludf.DUMMYFUNCTION("AVERAGE(QUERY(GOOGLEFINANCE(C395, ""price"", TODAY()-80, TODAY()), ""SELECT Col2 WHERE Col2 IS NOT NULL ORDER BY Col1 DESC LIMIT 50"", 0))"),"#N/A")</f>
        <v>#N/A</v>
      </c>
      <c r="R395" s="24" t="str">
        <f>IFERROR(__xludf.DUMMYFUNCTION("IFERROR(
  LET(
    data, QUERY(GOOGLEFINANCE(C395,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GOOGLEFINANCE(C395, ""price"")) * 100,
    IF(calc=0, G395, calc)
  ), 
G395)"),"#N/A")</f>
        <v>#N/A</v>
      </c>
      <c r="S395" s="8" t="s">
        <v>15</v>
      </c>
      <c r="T395" s="26" t="str">
        <f>IFERROR(__xludf.DUMMYFUNCTION("IFERROR(TRANSPOSE(QUERY(IFERROR(SORT(GOOGLEFINANCE(C395, ""price"", WORKDAY(TODAY(), -40), TODAY()), 1, FALSE)), ""select Col2 where Col2 is not null limit 22 label Col2 ''"", 0)), """")"),"")</f>
        <v/>
      </c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8"/>
      <c r="AO395" s="28"/>
      <c r="AP395" s="29"/>
      <c r="AQ395" s="29" t="str">
        <f t="shared" ref="AQ395:BL395" si="398">T395/T$2</f>
        <v>#N/A</v>
      </c>
      <c r="AR395" s="29" t="str">
        <f t="shared" si="398"/>
        <v>#DIV/0!</v>
      </c>
      <c r="AS395" s="29" t="str">
        <f t="shared" si="398"/>
        <v>#DIV/0!</v>
      </c>
      <c r="AT395" s="29" t="str">
        <f t="shared" si="398"/>
        <v>#DIV/0!</v>
      </c>
      <c r="AU395" s="29" t="str">
        <f t="shared" si="398"/>
        <v>#DIV/0!</v>
      </c>
      <c r="AV395" s="29" t="str">
        <f t="shared" si="398"/>
        <v>#DIV/0!</v>
      </c>
      <c r="AW395" s="29" t="str">
        <f t="shared" si="398"/>
        <v>#DIV/0!</v>
      </c>
      <c r="AX395" s="29" t="str">
        <f t="shared" si="398"/>
        <v>#DIV/0!</v>
      </c>
      <c r="AY395" s="29" t="str">
        <f t="shared" si="398"/>
        <v>#DIV/0!</v>
      </c>
      <c r="AZ395" s="29" t="str">
        <f t="shared" si="398"/>
        <v>#DIV/0!</v>
      </c>
      <c r="BA395" s="29" t="str">
        <f t="shared" si="398"/>
        <v>#DIV/0!</v>
      </c>
      <c r="BB395" s="29" t="str">
        <f t="shared" si="398"/>
        <v>#DIV/0!</v>
      </c>
      <c r="BC395" s="29" t="str">
        <f t="shared" si="398"/>
        <v>#DIV/0!</v>
      </c>
      <c r="BD395" s="29" t="str">
        <f t="shared" si="398"/>
        <v>#DIV/0!</v>
      </c>
      <c r="BE395" s="29" t="str">
        <f t="shared" si="398"/>
        <v>#DIV/0!</v>
      </c>
      <c r="BF395" s="29" t="str">
        <f t="shared" si="398"/>
        <v>#DIV/0!</v>
      </c>
      <c r="BG395" s="29" t="str">
        <f t="shared" si="398"/>
        <v>#DIV/0!</v>
      </c>
      <c r="BH395" s="29" t="str">
        <f t="shared" si="398"/>
        <v>#DIV/0!</v>
      </c>
      <c r="BI395" s="29" t="str">
        <f t="shared" si="398"/>
        <v>#DIV/0!</v>
      </c>
      <c r="BJ395" s="29" t="str">
        <f t="shared" si="398"/>
        <v>#DIV/0!</v>
      </c>
      <c r="BK395" s="29" t="str">
        <f t="shared" si="398"/>
        <v>#DIV/0!</v>
      </c>
      <c r="BL395" s="29" t="str">
        <f t="shared" si="398"/>
        <v>#DIV/0!</v>
      </c>
      <c r="BM395" s="29" t="str">
        <f t="shared" si="3"/>
        <v>#DIV/0!</v>
      </c>
    </row>
    <row r="396">
      <c r="A396" s="16" t="str">
        <f>IFERROR(__xludf.DUMMYFUNCTION("IFERROR(SPARKLINE(SORT(MAP(TRANSPOSE(AQ396:BL396), LAMBDA(val, IF(ISNUMBER(val), PERCENTRANK(AQ396:BL396, val)+0.01, 0))), SEQUENCE(COLUMNS(AQ396:BL396)), FALSE), {""charttype"",""column""; ""color"",""chartreuse""; ""ymin"", 0; ""ymax"", 1.01; ""highcolo"&amp;"r"", ""darkgreen""; ""lowcolor"", ""red""}), """")"),"")</f>
        <v/>
      </c>
      <c r="B396" s="17" t="str">
        <f t="shared" si="4"/>
        <v/>
      </c>
      <c r="C396" s="1" t="s">
        <v>2428</v>
      </c>
      <c r="D396" s="30" t="str">
        <f>IFERROR(__xludf.DUMMYFUNCTION("IFERROR(GOOGLEFINANCE(C396, ""NAME""))"),"Distribution Solutions Group Inc")</f>
        <v>Distribution Solutions Group Inc</v>
      </c>
      <c r="E396" s="30" t="s">
        <v>829</v>
      </c>
      <c r="F396" s="33" t="str">
        <f>IFERROR(__xludf.DUMMYFUNCTION("( (GOOGLEFINANCE(C396, ""price"") - Q396) / Q396 ) / (R396 / 100)"),"Loading...")</f>
        <v>Loading...</v>
      </c>
      <c r="G396" s="20" t="str">
        <f>IFERROR(__xludf.DUMMYFUNCTION("AVERAGE(ARRAYFORMULA(100 * (QUERY(GOOGLEFINANCE(C396, ""high"", TODAY()-40, TODAY()), ""SELECT Col2 WHERE Col2 IS NOT NULL ORDER BY Col1 DESC LIMIT 20"", 0) / QUERY(GOOGLEFINANCE(C396, ""low"", TODAY()-40, TODAY()), ""SELECT Col2 WHERE Col2 IS NOT NULL OR"&amp;"DER BY Col1 DESC LIMIT 20"", 0) - 1)))"),"#N/A")</f>
        <v>#N/A</v>
      </c>
      <c r="H396" s="35" t="str">
        <f t="shared" si="6"/>
        <v/>
      </c>
      <c r="I396" s="35" t="str">
        <f t="shared" si="7"/>
        <v/>
      </c>
      <c r="J396" s="37" t="str">
        <f>IFERROR(__xludf.DUMMYFUNCTION("IFERROR(
  IF(C396="""",, 
    IFERROR(
      GOOGLEFINANCE(C396, ""price"") * GOOGLEFINANCE(C396, ""volumeavg""), 
      GOOGLEFINANCE(C396, ""price"") * AVERAGE(QUERY(GOOGLEFINANCE(C396, ""volume"", TODAY()-40, TODAY()), ""SELECT Col2 WHERE Col2 IS NOT "&amp;"NULL ORDER BY Col1 DESC LIMIT 20"", 0))
    )
  ), 
"""")"),"")</f>
        <v/>
      </c>
      <c r="K396" s="21" t="str">
        <f>IFERROR(__xludf.DUMMYFUNCTION("IFERROR(GOOGLEFINANCE(C396, ""changepct"") / 100, """")"),"")</f>
        <v/>
      </c>
      <c r="L396" s="21" t="str">
        <f>IFERROR(__xludf.DUMMYFUNCTION("IFERROR((GOOGLEFINANCE(C396, ""price"") / INDEX(GOOGLEFINANCE(C396, ""price"", TODAY()-7, TODAY()), 2, 2)) - 1, """")"),"")</f>
        <v/>
      </c>
      <c r="M396" s="21" t="str">
        <f>IFERROR(__xludf.DUMMYFUNCTION("IFERROR((GOOGLEFINANCE(C396, ""price"") / INDEX(GOOGLEFINANCE(C396, ""price"", EDATE(TODAY(), -1), TODAY()), 2, 2)) - 1, """")"),"")</f>
        <v/>
      </c>
      <c r="N396" s="21" t="str">
        <f>IFERROR(__xludf.DUMMYFUNCTION("IFERROR((GOOGLEFINANCE(C396, ""price"") / INDEX(GOOGLEFINANCE(C396, ""price"", EDATE(TODAY(), -3), TODAY()), 2, 2)) - 1, """")"),"")</f>
        <v/>
      </c>
      <c r="O396" s="21" t="str">
        <f>IFERROR(__xludf.DUMMYFUNCTION("IFERROR((GOOGLEFINANCE(C396, ""price"") / INDEX(GOOGLEFINANCE(C396, ""price"", EDATE(TODAY(), -6), TODAY()), 2, 2)) - 1, """")"),"")</f>
        <v/>
      </c>
      <c r="P396" s="21" t="str">
        <f>IFERROR(__xludf.DUMMYFUNCTION("IFERROR((GOOGLEFINANCE(C396, ""price"") / INDEX(GOOGLEFINANCE(C396, ""price"", EDATE(TODAY(), -12), TODAY()), 2, 2)) - 1, """")"),"")</f>
        <v/>
      </c>
      <c r="Q396" s="6" t="str">
        <f>IFERROR(__xludf.DUMMYFUNCTION("AVERAGE(QUERY(GOOGLEFINANCE(C396, ""price"", TODAY()-80, TODAY()), ""SELECT Col2 WHERE Col2 IS NOT NULL ORDER BY Col1 DESC LIMIT 50"", 0))"),"#N/A")</f>
        <v>#N/A</v>
      </c>
      <c r="R396" s="24" t="str">
        <f>IFERROR(__xludf.DUMMYFUNCTION("IFERROR(
  LET(
    data, QUERY(GOOGLEFINANCE(C396,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GOOGLEFINANCE(C396, ""price"")) * 100,
    IF(calc=0, G396, calc)
  ), 
G396)"),"#N/A")</f>
        <v>#N/A</v>
      </c>
      <c r="S396" s="8" t="s">
        <v>15</v>
      </c>
      <c r="T396" s="26" t="str">
        <f>IFERROR(__xludf.DUMMYFUNCTION("IFERROR(TRANSPOSE(QUERY(IFERROR(SORT(GOOGLEFINANCE(C396, ""price"", WORKDAY(TODAY(), -40), TODAY()), 1, FALSE)), ""select Col2 where Col2 is not null limit 22 label Col2 ''"", 0)), """")"),"")</f>
        <v/>
      </c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8"/>
      <c r="AO396" s="28"/>
      <c r="AP396" s="29"/>
      <c r="AQ396" s="29" t="str">
        <f t="shared" ref="AQ396:BL396" si="399">T396/T$2</f>
        <v>#N/A</v>
      </c>
      <c r="AR396" s="29" t="str">
        <f t="shared" si="399"/>
        <v>#DIV/0!</v>
      </c>
      <c r="AS396" s="29" t="str">
        <f t="shared" si="399"/>
        <v>#DIV/0!</v>
      </c>
      <c r="AT396" s="29" t="str">
        <f t="shared" si="399"/>
        <v>#DIV/0!</v>
      </c>
      <c r="AU396" s="29" t="str">
        <f t="shared" si="399"/>
        <v>#DIV/0!</v>
      </c>
      <c r="AV396" s="29" t="str">
        <f t="shared" si="399"/>
        <v>#DIV/0!</v>
      </c>
      <c r="AW396" s="29" t="str">
        <f t="shared" si="399"/>
        <v>#DIV/0!</v>
      </c>
      <c r="AX396" s="29" t="str">
        <f t="shared" si="399"/>
        <v>#DIV/0!</v>
      </c>
      <c r="AY396" s="29" t="str">
        <f t="shared" si="399"/>
        <v>#DIV/0!</v>
      </c>
      <c r="AZ396" s="29" t="str">
        <f t="shared" si="399"/>
        <v>#DIV/0!</v>
      </c>
      <c r="BA396" s="29" t="str">
        <f t="shared" si="399"/>
        <v>#DIV/0!</v>
      </c>
      <c r="BB396" s="29" t="str">
        <f t="shared" si="399"/>
        <v>#DIV/0!</v>
      </c>
      <c r="BC396" s="29" t="str">
        <f t="shared" si="399"/>
        <v>#DIV/0!</v>
      </c>
      <c r="BD396" s="29" t="str">
        <f t="shared" si="399"/>
        <v>#DIV/0!</v>
      </c>
      <c r="BE396" s="29" t="str">
        <f t="shared" si="399"/>
        <v>#DIV/0!</v>
      </c>
      <c r="BF396" s="29" t="str">
        <f t="shared" si="399"/>
        <v>#DIV/0!</v>
      </c>
      <c r="BG396" s="29" t="str">
        <f t="shared" si="399"/>
        <v>#DIV/0!</v>
      </c>
      <c r="BH396" s="29" t="str">
        <f t="shared" si="399"/>
        <v>#DIV/0!</v>
      </c>
      <c r="BI396" s="29" t="str">
        <f t="shared" si="399"/>
        <v>#DIV/0!</v>
      </c>
      <c r="BJ396" s="29" t="str">
        <f t="shared" si="399"/>
        <v>#DIV/0!</v>
      </c>
      <c r="BK396" s="29" t="str">
        <f t="shared" si="399"/>
        <v>#DIV/0!</v>
      </c>
      <c r="BL396" s="29" t="str">
        <f t="shared" si="399"/>
        <v>#DIV/0!</v>
      </c>
      <c r="BM396" s="29" t="str">
        <f t="shared" si="3"/>
        <v>#DIV/0!</v>
      </c>
    </row>
    <row r="397">
      <c r="A397" s="16" t="str">
        <f>IFERROR(__xludf.DUMMYFUNCTION("IFERROR(SPARKLINE(SORT(MAP(TRANSPOSE(AQ397:BL397), LAMBDA(val, IF(ISNUMBER(val), PERCENTRANK(AQ397:BL397, val)+0.01, 0))), SEQUENCE(COLUMNS(AQ397:BL397)), FALSE), {""charttype"",""column""; ""color"",""chartreuse""; ""ymin"", 0; ""ymax"", 1.01; ""highcolo"&amp;"r"", ""darkgreen""; ""lowcolor"", ""red""}), """")"),"")</f>
        <v/>
      </c>
      <c r="B397" s="17" t="str">
        <f t="shared" si="4"/>
        <v/>
      </c>
      <c r="C397" s="1" t="s">
        <v>2432</v>
      </c>
      <c r="D397" s="30" t="str">
        <f>IFERROR(__xludf.DUMMYFUNCTION("IFERROR(GOOGLEFINANCE(C397, ""NAME""))"),"ZTO Express (Cayman) Inc")</f>
        <v>ZTO Express (Cayman) Inc</v>
      </c>
      <c r="E397" s="30" t="s">
        <v>955</v>
      </c>
      <c r="F397" s="33" t="str">
        <f>IFERROR(__xludf.DUMMYFUNCTION("( (GOOGLEFINANCE(C397, ""price"") - Q397) / Q397 ) / (R397 / 100)"),"Loading...")</f>
        <v>Loading...</v>
      </c>
      <c r="G397" s="20" t="str">
        <f>IFERROR(__xludf.DUMMYFUNCTION("AVERAGE(ARRAYFORMULA(100 * (QUERY(GOOGLEFINANCE(C397, ""high"", TODAY()-40, TODAY()), ""SELECT Col2 WHERE Col2 IS NOT NULL ORDER BY Col1 DESC LIMIT 20"", 0) / QUERY(GOOGLEFINANCE(C397, ""low"", TODAY()-40, TODAY()), ""SELECT Col2 WHERE Col2 IS NOT NULL OR"&amp;"DER BY Col1 DESC LIMIT 20"", 0) - 1)))"),"#N/A")</f>
        <v>#N/A</v>
      </c>
      <c r="H397" s="35" t="str">
        <f t="shared" si="6"/>
        <v/>
      </c>
      <c r="I397" s="35" t="str">
        <f t="shared" si="7"/>
        <v/>
      </c>
      <c r="J397" s="37" t="str">
        <f>IFERROR(__xludf.DUMMYFUNCTION("IFERROR(
  IF(C397="""",, 
    IFERROR(
      GOOGLEFINANCE(C397, ""price"") * GOOGLEFINANCE(C397, ""volumeavg""), 
      GOOGLEFINANCE(C397, ""price"") * AVERAGE(QUERY(GOOGLEFINANCE(C397, ""volume"", TODAY()-40, TODAY()), ""SELECT Col2 WHERE Col2 IS NOT "&amp;"NULL ORDER BY Col1 DESC LIMIT 20"", 0))
    )
  ), 
"""")"),"")</f>
        <v/>
      </c>
      <c r="K397" s="21" t="str">
        <f>IFERROR(__xludf.DUMMYFUNCTION("IFERROR(GOOGLEFINANCE(C397, ""changepct"") / 100, """")"),"")</f>
        <v/>
      </c>
      <c r="L397" s="21" t="str">
        <f>IFERROR(__xludf.DUMMYFUNCTION("IFERROR((GOOGLEFINANCE(C397, ""price"") / INDEX(GOOGLEFINANCE(C397, ""price"", TODAY()-7, TODAY()), 2, 2)) - 1, """")"),"")</f>
        <v/>
      </c>
      <c r="M397" s="21" t="str">
        <f>IFERROR(__xludf.DUMMYFUNCTION("IFERROR((GOOGLEFINANCE(C397, ""price"") / INDEX(GOOGLEFINANCE(C397, ""price"", EDATE(TODAY(), -1), TODAY()), 2, 2)) - 1, """")"),"")</f>
        <v/>
      </c>
      <c r="N397" s="21" t="str">
        <f>IFERROR(__xludf.DUMMYFUNCTION("IFERROR((GOOGLEFINANCE(C397, ""price"") / INDEX(GOOGLEFINANCE(C397, ""price"", EDATE(TODAY(), -3), TODAY()), 2, 2)) - 1, """")"),"")</f>
        <v/>
      </c>
      <c r="O397" s="21" t="str">
        <f>IFERROR(__xludf.DUMMYFUNCTION("IFERROR((GOOGLEFINANCE(C397, ""price"") / INDEX(GOOGLEFINANCE(C397, ""price"", EDATE(TODAY(), -6), TODAY()), 2, 2)) - 1, """")"),"")</f>
        <v/>
      </c>
      <c r="P397" s="21" t="str">
        <f>IFERROR(__xludf.DUMMYFUNCTION("IFERROR((GOOGLEFINANCE(C397, ""price"") / INDEX(GOOGLEFINANCE(C397, ""price"", EDATE(TODAY(), -12), TODAY()), 2, 2)) - 1, """")"),"")</f>
        <v/>
      </c>
      <c r="Q397" s="6" t="str">
        <f>IFERROR(__xludf.DUMMYFUNCTION("AVERAGE(QUERY(GOOGLEFINANCE(C397, ""price"", TODAY()-80, TODAY()), ""SELECT Col2 WHERE Col2 IS NOT NULL ORDER BY Col1 DESC LIMIT 50"", 0))"),"#N/A")</f>
        <v>#N/A</v>
      </c>
      <c r="R397" s="24" t="str">
        <f>IFERROR(__xludf.DUMMYFUNCTION("IFERROR(
  LET(
    data, QUERY(GOOGLEFINANCE(C397,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GOOGLEFINANCE(C397, ""price"")) * 100,
    IF(calc=0, G397, calc)
  ), 
G397)"),"#N/A")</f>
        <v>#N/A</v>
      </c>
      <c r="S397" s="8" t="s">
        <v>15</v>
      </c>
      <c r="T397" s="26" t="str">
        <f>IFERROR(__xludf.DUMMYFUNCTION("IFERROR(TRANSPOSE(QUERY(IFERROR(SORT(GOOGLEFINANCE(C397, ""price"", WORKDAY(TODAY(), -40), TODAY()), 1, FALSE)), ""select Col2 where Col2 is not null limit 22 label Col2 ''"", 0)), """")"),"")</f>
        <v/>
      </c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8"/>
      <c r="AO397" s="28"/>
      <c r="AP397" s="29"/>
      <c r="AQ397" s="29" t="str">
        <f t="shared" ref="AQ397:BL397" si="400">T397/T$2</f>
        <v>#N/A</v>
      </c>
      <c r="AR397" s="29" t="str">
        <f t="shared" si="400"/>
        <v>#DIV/0!</v>
      </c>
      <c r="AS397" s="29" t="str">
        <f t="shared" si="400"/>
        <v>#DIV/0!</v>
      </c>
      <c r="AT397" s="29" t="str">
        <f t="shared" si="400"/>
        <v>#DIV/0!</v>
      </c>
      <c r="AU397" s="29" t="str">
        <f t="shared" si="400"/>
        <v>#DIV/0!</v>
      </c>
      <c r="AV397" s="29" t="str">
        <f t="shared" si="400"/>
        <v>#DIV/0!</v>
      </c>
      <c r="AW397" s="29" t="str">
        <f t="shared" si="400"/>
        <v>#DIV/0!</v>
      </c>
      <c r="AX397" s="29" t="str">
        <f t="shared" si="400"/>
        <v>#DIV/0!</v>
      </c>
      <c r="AY397" s="29" t="str">
        <f t="shared" si="400"/>
        <v>#DIV/0!</v>
      </c>
      <c r="AZ397" s="29" t="str">
        <f t="shared" si="400"/>
        <v>#DIV/0!</v>
      </c>
      <c r="BA397" s="29" t="str">
        <f t="shared" si="400"/>
        <v>#DIV/0!</v>
      </c>
      <c r="BB397" s="29" t="str">
        <f t="shared" si="400"/>
        <v>#DIV/0!</v>
      </c>
      <c r="BC397" s="29" t="str">
        <f t="shared" si="400"/>
        <v>#DIV/0!</v>
      </c>
      <c r="BD397" s="29" t="str">
        <f t="shared" si="400"/>
        <v>#DIV/0!</v>
      </c>
      <c r="BE397" s="29" t="str">
        <f t="shared" si="400"/>
        <v>#DIV/0!</v>
      </c>
      <c r="BF397" s="29" t="str">
        <f t="shared" si="400"/>
        <v>#DIV/0!</v>
      </c>
      <c r="BG397" s="29" t="str">
        <f t="shared" si="400"/>
        <v>#DIV/0!</v>
      </c>
      <c r="BH397" s="29" t="str">
        <f t="shared" si="400"/>
        <v>#DIV/0!</v>
      </c>
      <c r="BI397" s="29" t="str">
        <f t="shared" si="400"/>
        <v>#DIV/0!</v>
      </c>
      <c r="BJ397" s="29" t="str">
        <f t="shared" si="400"/>
        <v>#DIV/0!</v>
      </c>
      <c r="BK397" s="29" t="str">
        <f t="shared" si="400"/>
        <v>#DIV/0!</v>
      </c>
      <c r="BL397" s="29" t="str">
        <f t="shared" si="400"/>
        <v>#DIV/0!</v>
      </c>
      <c r="BM397" s="29" t="str">
        <f t="shared" si="3"/>
        <v>#DIV/0!</v>
      </c>
    </row>
    <row r="398">
      <c r="A398" s="16" t="str">
        <f>IFERROR(__xludf.DUMMYFUNCTION("IFERROR(SPARKLINE(SORT(MAP(TRANSPOSE(AQ398:BL398), LAMBDA(val, IF(ISNUMBER(val), PERCENTRANK(AQ398:BL398, val)+0.01, 0))), SEQUENCE(COLUMNS(AQ398:BL398)), FALSE), {""charttype"",""column""; ""color"",""chartreuse""; ""ymin"", 0; ""ymax"", 1.01; ""highcolo"&amp;"r"", ""darkgreen""; ""lowcolor"", ""red""}), """")"),"")</f>
        <v/>
      </c>
      <c r="B398" s="17" t="str">
        <f t="shared" si="4"/>
        <v/>
      </c>
      <c r="C398" s="1" t="s">
        <v>2436</v>
      </c>
      <c r="D398" s="30" t="str">
        <f>IFERROR(__xludf.DUMMYFUNCTION("IFERROR(GOOGLEFINANCE(C398, ""NAME""))"),"Illinois Tool Works Inc")</f>
        <v>Illinois Tool Works Inc</v>
      </c>
      <c r="E398" s="30" t="s">
        <v>893</v>
      </c>
      <c r="F398" s="33" t="str">
        <f>IFERROR(__xludf.DUMMYFUNCTION("( (GOOGLEFINANCE(C398, ""price"") - Q398) / Q398 ) / (R398 / 100)"),"Loading...")</f>
        <v>Loading...</v>
      </c>
      <c r="G398" s="20" t="str">
        <f>IFERROR(__xludf.DUMMYFUNCTION("AVERAGE(ARRAYFORMULA(100 * (QUERY(GOOGLEFINANCE(C398, ""high"", TODAY()-40, TODAY()), ""SELECT Col2 WHERE Col2 IS NOT NULL ORDER BY Col1 DESC LIMIT 20"", 0) / QUERY(GOOGLEFINANCE(C398, ""low"", TODAY()-40, TODAY()), ""SELECT Col2 WHERE Col2 IS NOT NULL OR"&amp;"DER BY Col1 DESC LIMIT 20"", 0) - 1)))"),"#N/A")</f>
        <v>#N/A</v>
      </c>
      <c r="H398" s="35" t="str">
        <f t="shared" si="6"/>
        <v/>
      </c>
      <c r="I398" s="35" t="str">
        <f t="shared" si="7"/>
        <v/>
      </c>
      <c r="J398" s="37" t="str">
        <f>IFERROR(__xludf.DUMMYFUNCTION("IFERROR(
  IF(C398="""",, 
    IFERROR(
      GOOGLEFINANCE(C398, ""price"") * GOOGLEFINANCE(C398, ""volumeavg""), 
      GOOGLEFINANCE(C398, ""price"") * AVERAGE(QUERY(GOOGLEFINANCE(C398, ""volume"", TODAY()-40, TODAY()), ""SELECT Col2 WHERE Col2 IS NOT "&amp;"NULL ORDER BY Col1 DESC LIMIT 20"", 0))
    )
  ), 
"""")"),"")</f>
        <v/>
      </c>
      <c r="K398" s="21" t="str">
        <f>IFERROR(__xludf.DUMMYFUNCTION("IFERROR(GOOGLEFINANCE(C398, ""changepct"") / 100, """")"),"")</f>
        <v/>
      </c>
      <c r="L398" s="21" t="str">
        <f>IFERROR(__xludf.DUMMYFUNCTION("IFERROR((GOOGLEFINANCE(C398, ""price"") / INDEX(GOOGLEFINANCE(C398, ""price"", TODAY()-7, TODAY()), 2, 2)) - 1, """")"),"")</f>
        <v/>
      </c>
      <c r="M398" s="21" t="str">
        <f>IFERROR(__xludf.DUMMYFUNCTION("IFERROR((GOOGLEFINANCE(C398, ""price"") / INDEX(GOOGLEFINANCE(C398, ""price"", EDATE(TODAY(), -1), TODAY()), 2, 2)) - 1, """")"),"")</f>
        <v/>
      </c>
      <c r="N398" s="21" t="str">
        <f>IFERROR(__xludf.DUMMYFUNCTION("IFERROR((GOOGLEFINANCE(C398, ""price"") / INDEX(GOOGLEFINANCE(C398, ""price"", EDATE(TODAY(), -3), TODAY()), 2, 2)) - 1, """")"),"")</f>
        <v/>
      </c>
      <c r="O398" s="21" t="str">
        <f>IFERROR(__xludf.DUMMYFUNCTION("IFERROR((GOOGLEFINANCE(C398, ""price"") / INDEX(GOOGLEFINANCE(C398, ""price"", EDATE(TODAY(), -6), TODAY()), 2, 2)) - 1, """")"),"")</f>
        <v/>
      </c>
      <c r="P398" s="21" t="str">
        <f>IFERROR(__xludf.DUMMYFUNCTION("IFERROR((GOOGLEFINANCE(C398, ""price"") / INDEX(GOOGLEFINANCE(C398, ""price"", EDATE(TODAY(), -12), TODAY()), 2, 2)) - 1, """")"),"")</f>
        <v/>
      </c>
      <c r="Q398" s="6" t="str">
        <f>IFERROR(__xludf.DUMMYFUNCTION("AVERAGE(QUERY(GOOGLEFINANCE(C398, ""price"", TODAY()-80, TODAY()), ""SELECT Col2 WHERE Col2 IS NOT NULL ORDER BY Col1 DESC LIMIT 50"", 0))"),"#N/A")</f>
        <v>#N/A</v>
      </c>
      <c r="R398" s="24" t="str">
        <f>IFERROR(__xludf.DUMMYFUNCTION("IFERROR(
  LET(
    data, QUERY(GOOGLEFINANCE(C398,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GOOGLEFINANCE(C398, ""price"")) * 100,
    IF(calc=0, G398, calc)
  ), 
G398)"),"#N/A")</f>
        <v>#N/A</v>
      </c>
      <c r="S398" s="8" t="s">
        <v>15</v>
      </c>
      <c r="T398" s="26" t="str">
        <f>IFERROR(__xludf.DUMMYFUNCTION("IFERROR(TRANSPOSE(QUERY(IFERROR(SORT(GOOGLEFINANCE(C398, ""price"", WORKDAY(TODAY(), -40), TODAY()), 1, FALSE)), ""select Col2 where Col2 is not null limit 22 label Col2 ''"", 0)), """")"),"")</f>
        <v/>
      </c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8"/>
      <c r="AO398" s="28"/>
      <c r="AP398" s="29"/>
      <c r="AQ398" s="29" t="str">
        <f t="shared" ref="AQ398:BL398" si="401">T398/T$2</f>
        <v>#N/A</v>
      </c>
      <c r="AR398" s="29" t="str">
        <f t="shared" si="401"/>
        <v>#DIV/0!</v>
      </c>
      <c r="AS398" s="29" t="str">
        <f t="shared" si="401"/>
        <v>#DIV/0!</v>
      </c>
      <c r="AT398" s="29" t="str">
        <f t="shared" si="401"/>
        <v>#DIV/0!</v>
      </c>
      <c r="AU398" s="29" t="str">
        <f t="shared" si="401"/>
        <v>#DIV/0!</v>
      </c>
      <c r="AV398" s="29" t="str">
        <f t="shared" si="401"/>
        <v>#DIV/0!</v>
      </c>
      <c r="AW398" s="29" t="str">
        <f t="shared" si="401"/>
        <v>#DIV/0!</v>
      </c>
      <c r="AX398" s="29" t="str">
        <f t="shared" si="401"/>
        <v>#DIV/0!</v>
      </c>
      <c r="AY398" s="29" t="str">
        <f t="shared" si="401"/>
        <v>#DIV/0!</v>
      </c>
      <c r="AZ398" s="29" t="str">
        <f t="shared" si="401"/>
        <v>#DIV/0!</v>
      </c>
      <c r="BA398" s="29" t="str">
        <f t="shared" si="401"/>
        <v>#DIV/0!</v>
      </c>
      <c r="BB398" s="29" t="str">
        <f t="shared" si="401"/>
        <v>#DIV/0!</v>
      </c>
      <c r="BC398" s="29" t="str">
        <f t="shared" si="401"/>
        <v>#DIV/0!</v>
      </c>
      <c r="BD398" s="29" t="str">
        <f t="shared" si="401"/>
        <v>#DIV/0!</v>
      </c>
      <c r="BE398" s="29" t="str">
        <f t="shared" si="401"/>
        <v>#DIV/0!</v>
      </c>
      <c r="BF398" s="29" t="str">
        <f t="shared" si="401"/>
        <v>#DIV/0!</v>
      </c>
      <c r="BG398" s="29" t="str">
        <f t="shared" si="401"/>
        <v>#DIV/0!</v>
      </c>
      <c r="BH398" s="29" t="str">
        <f t="shared" si="401"/>
        <v>#DIV/0!</v>
      </c>
      <c r="BI398" s="29" t="str">
        <f t="shared" si="401"/>
        <v>#DIV/0!</v>
      </c>
      <c r="BJ398" s="29" t="str">
        <f t="shared" si="401"/>
        <v>#DIV/0!</v>
      </c>
      <c r="BK398" s="29" t="str">
        <f t="shared" si="401"/>
        <v>#DIV/0!</v>
      </c>
      <c r="BL398" s="29" t="str">
        <f t="shared" si="401"/>
        <v>#DIV/0!</v>
      </c>
      <c r="BM398" s="29" t="str">
        <f t="shared" si="3"/>
        <v>#DIV/0!</v>
      </c>
    </row>
    <row r="399">
      <c r="A399" s="16" t="str">
        <f>IFERROR(__xludf.DUMMYFUNCTION("IFERROR(SPARKLINE(SORT(MAP(TRANSPOSE(AQ399:BL399), LAMBDA(val, IF(ISNUMBER(val), PERCENTRANK(AQ399:BL399, val)+0.01, 0))), SEQUENCE(COLUMNS(AQ399:BL399)), FALSE), {""charttype"",""column""; ""color"",""chartreuse""; ""ymin"", 0; ""ymax"", 1.01; ""highcolo"&amp;"r"", ""darkgreen""; ""lowcolor"", ""red""}), """")"),"")</f>
        <v/>
      </c>
      <c r="B399" s="17" t="str">
        <f t="shared" si="4"/>
        <v/>
      </c>
      <c r="C399" s="1" t="s">
        <v>2440</v>
      </c>
      <c r="D399" s="30" t="str">
        <f>IFERROR(__xludf.DUMMYFUNCTION("IFERROR(GOOGLEFINANCE(C399, ""NAME""))"),"Xylem Inc")</f>
        <v>Xylem Inc</v>
      </c>
      <c r="E399" s="30" t="s">
        <v>893</v>
      </c>
      <c r="F399" s="33" t="str">
        <f>IFERROR(__xludf.DUMMYFUNCTION("( (GOOGLEFINANCE(C399, ""price"") - Q399) / Q399 ) / (R399 / 100)"),"Loading...")</f>
        <v>Loading...</v>
      </c>
      <c r="G399" s="20" t="str">
        <f>IFERROR(__xludf.DUMMYFUNCTION("AVERAGE(ARRAYFORMULA(100 * (QUERY(GOOGLEFINANCE(C399, ""high"", TODAY()-40, TODAY()), ""SELECT Col2 WHERE Col2 IS NOT NULL ORDER BY Col1 DESC LIMIT 20"", 0) / QUERY(GOOGLEFINANCE(C399, ""low"", TODAY()-40, TODAY()), ""SELECT Col2 WHERE Col2 IS NOT NULL OR"&amp;"DER BY Col1 DESC LIMIT 20"", 0) - 1)))"),"#N/A")</f>
        <v>#N/A</v>
      </c>
      <c r="H399" s="35" t="str">
        <f t="shared" si="6"/>
        <v/>
      </c>
      <c r="I399" s="35" t="str">
        <f t="shared" si="7"/>
        <v/>
      </c>
      <c r="J399" s="37" t="str">
        <f>IFERROR(__xludf.DUMMYFUNCTION("IFERROR(
  IF(C399="""",, 
    IFERROR(
      GOOGLEFINANCE(C399, ""price"") * GOOGLEFINANCE(C399, ""volumeavg""), 
      GOOGLEFINANCE(C399, ""price"") * AVERAGE(QUERY(GOOGLEFINANCE(C399, ""volume"", TODAY()-40, TODAY()), ""SELECT Col2 WHERE Col2 IS NOT "&amp;"NULL ORDER BY Col1 DESC LIMIT 20"", 0))
    )
  ), 
"""")"),"")</f>
        <v/>
      </c>
      <c r="K399" s="21" t="str">
        <f>IFERROR(__xludf.DUMMYFUNCTION("IFERROR(GOOGLEFINANCE(C399, ""changepct"") / 100, """")"),"")</f>
        <v/>
      </c>
      <c r="L399" s="21" t="str">
        <f>IFERROR(__xludf.DUMMYFUNCTION("IFERROR((GOOGLEFINANCE(C399, ""price"") / INDEX(GOOGLEFINANCE(C399, ""price"", TODAY()-7, TODAY()), 2, 2)) - 1, """")"),"")</f>
        <v/>
      </c>
      <c r="M399" s="21" t="str">
        <f>IFERROR(__xludf.DUMMYFUNCTION("IFERROR((GOOGLEFINANCE(C399, ""price"") / INDEX(GOOGLEFINANCE(C399, ""price"", EDATE(TODAY(), -1), TODAY()), 2, 2)) - 1, """")"),"")</f>
        <v/>
      </c>
      <c r="N399" s="21" t="str">
        <f>IFERROR(__xludf.DUMMYFUNCTION("IFERROR((GOOGLEFINANCE(C399, ""price"") / INDEX(GOOGLEFINANCE(C399, ""price"", EDATE(TODAY(), -3), TODAY()), 2, 2)) - 1, """")"),"")</f>
        <v/>
      </c>
      <c r="O399" s="21" t="str">
        <f>IFERROR(__xludf.DUMMYFUNCTION("IFERROR((GOOGLEFINANCE(C399, ""price"") / INDEX(GOOGLEFINANCE(C399, ""price"", EDATE(TODAY(), -6), TODAY()), 2, 2)) - 1, """")"),"")</f>
        <v/>
      </c>
      <c r="P399" s="21" t="str">
        <f>IFERROR(__xludf.DUMMYFUNCTION("IFERROR((GOOGLEFINANCE(C399, ""price"") / INDEX(GOOGLEFINANCE(C399, ""price"", EDATE(TODAY(), -12), TODAY()), 2, 2)) - 1, """")"),"")</f>
        <v/>
      </c>
      <c r="Q399" s="6" t="str">
        <f>IFERROR(__xludf.DUMMYFUNCTION("AVERAGE(QUERY(GOOGLEFINANCE(C399, ""price"", TODAY()-80, TODAY()), ""SELECT Col2 WHERE Col2 IS NOT NULL ORDER BY Col1 DESC LIMIT 50"", 0))"),"#N/A")</f>
        <v>#N/A</v>
      </c>
      <c r="R399" s="24" t="str">
        <f>IFERROR(__xludf.DUMMYFUNCTION("IFERROR(
  LET(
    data, QUERY(GOOGLEFINANCE(C399,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GOOGLEFINANCE(C399, ""price"")) * 100,
    IF(calc=0, G399, calc)
  ), 
G399)"),"#N/A")</f>
        <v>#N/A</v>
      </c>
      <c r="S399" s="8" t="s">
        <v>15</v>
      </c>
      <c r="T399" s="26" t="str">
        <f>IFERROR(__xludf.DUMMYFUNCTION("IFERROR(TRANSPOSE(QUERY(IFERROR(SORT(GOOGLEFINANCE(C399, ""price"", WORKDAY(TODAY(), -40), TODAY()), 1, FALSE)), ""select Col2 where Col2 is not null limit 22 label Col2 ''"", 0)), """")"),"")</f>
        <v/>
      </c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8"/>
      <c r="AO399" s="28"/>
      <c r="AP399" s="29"/>
      <c r="AQ399" s="29" t="str">
        <f t="shared" ref="AQ399:BL399" si="402">T399/T$2</f>
        <v>#N/A</v>
      </c>
      <c r="AR399" s="29" t="str">
        <f t="shared" si="402"/>
        <v>#DIV/0!</v>
      </c>
      <c r="AS399" s="29" t="str">
        <f t="shared" si="402"/>
        <v>#DIV/0!</v>
      </c>
      <c r="AT399" s="29" t="str">
        <f t="shared" si="402"/>
        <v>#DIV/0!</v>
      </c>
      <c r="AU399" s="29" t="str">
        <f t="shared" si="402"/>
        <v>#DIV/0!</v>
      </c>
      <c r="AV399" s="29" t="str">
        <f t="shared" si="402"/>
        <v>#DIV/0!</v>
      </c>
      <c r="AW399" s="29" t="str">
        <f t="shared" si="402"/>
        <v>#DIV/0!</v>
      </c>
      <c r="AX399" s="29" t="str">
        <f t="shared" si="402"/>
        <v>#DIV/0!</v>
      </c>
      <c r="AY399" s="29" t="str">
        <f t="shared" si="402"/>
        <v>#DIV/0!</v>
      </c>
      <c r="AZ399" s="29" t="str">
        <f t="shared" si="402"/>
        <v>#DIV/0!</v>
      </c>
      <c r="BA399" s="29" t="str">
        <f t="shared" si="402"/>
        <v>#DIV/0!</v>
      </c>
      <c r="BB399" s="29" t="str">
        <f t="shared" si="402"/>
        <v>#DIV/0!</v>
      </c>
      <c r="BC399" s="29" t="str">
        <f t="shared" si="402"/>
        <v>#DIV/0!</v>
      </c>
      <c r="BD399" s="29" t="str">
        <f t="shared" si="402"/>
        <v>#DIV/0!</v>
      </c>
      <c r="BE399" s="29" t="str">
        <f t="shared" si="402"/>
        <v>#DIV/0!</v>
      </c>
      <c r="BF399" s="29" t="str">
        <f t="shared" si="402"/>
        <v>#DIV/0!</v>
      </c>
      <c r="BG399" s="29" t="str">
        <f t="shared" si="402"/>
        <v>#DIV/0!</v>
      </c>
      <c r="BH399" s="29" t="str">
        <f t="shared" si="402"/>
        <v>#DIV/0!</v>
      </c>
      <c r="BI399" s="29" t="str">
        <f t="shared" si="402"/>
        <v>#DIV/0!</v>
      </c>
      <c r="BJ399" s="29" t="str">
        <f t="shared" si="402"/>
        <v>#DIV/0!</v>
      </c>
      <c r="BK399" s="29" t="str">
        <f t="shared" si="402"/>
        <v>#DIV/0!</v>
      </c>
      <c r="BL399" s="29" t="str">
        <f t="shared" si="402"/>
        <v>#DIV/0!</v>
      </c>
      <c r="BM399" s="29" t="str">
        <f t="shared" si="3"/>
        <v>#DIV/0!</v>
      </c>
    </row>
    <row r="400">
      <c r="A400" s="16" t="str">
        <f>IFERROR(__xludf.DUMMYFUNCTION("IFERROR(SPARKLINE(SORT(MAP(TRANSPOSE(AQ400:BL400), LAMBDA(val, IF(ISNUMBER(val), PERCENTRANK(AQ400:BL400, val)+0.01, 0))), SEQUENCE(COLUMNS(AQ400:BL400)), FALSE), {""charttype"",""column""; ""color"",""chartreuse""; ""ymin"", 0; ""ymax"", 1.01; ""highcolo"&amp;"r"", ""darkgreen""; ""lowcolor"", ""red""}), """")"),"")</f>
        <v/>
      </c>
      <c r="B400" s="17" t="str">
        <f t="shared" si="4"/>
        <v/>
      </c>
      <c r="C400" s="1" t="s">
        <v>2444</v>
      </c>
      <c r="D400" s="30" t="str">
        <f>IFERROR(__xludf.DUMMYFUNCTION("IFERROR(GOOGLEFINANCE(C400, ""NAME""))"),"Byrna Technologies Inc")</f>
        <v>Byrna Technologies Inc</v>
      </c>
      <c r="E400" s="30" t="s">
        <v>839</v>
      </c>
      <c r="F400" s="33" t="str">
        <f>IFERROR(__xludf.DUMMYFUNCTION("( (GOOGLEFINANCE(C400, ""price"") - Q400) / Q400 ) / (R400 / 100)"),"Loading...")</f>
        <v>Loading...</v>
      </c>
      <c r="G400" s="20" t="str">
        <f>IFERROR(__xludf.DUMMYFUNCTION("AVERAGE(ARRAYFORMULA(100 * (QUERY(GOOGLEFINANCE(C400, ""high"", TODAY()-40, TODAY()), ""SELECT Col2 WHERE Col2 IS NOT NULL ORDER BY Col1 DESC LIMIT 20"", 0) / QUERY(GOOGLEFINANCE(C400, ""low"", TODAY()-40, TODAY()), ""SELECT Col2 WHERE Col2 IS NOT NULL OR"&amp;"DER BY Col1 DESC LIMIT 20"", 0) - 1)))"),"#N/A")</f>
        <v>#N/A</v>
      </c>
      <c r="H400" s="35" t="str">
        <f t="shared" si="6"/>
        <v/>
      </c>
      <c r="I400" s="35" t="str">
        <f t="shared" si="7"/>
        <v/>
      </c>
      <c r="J400" s="37" t="str">
        <f>IFERROR(__xludf.DUMMYFUNCTION("IFERROR(
  IF(C400="""",, 
    IFERROR(
      GOOGLEFINANCE(C400, ""price"") * GOOGLEFINANCE(C400, ""volumeavg""), 
      GOOGLEFINANCE(C400, ""price"") * AVERAGE(QUERY(GOOGLEFINANCE(C400, ""volume"", TODAY()-40, TODAY()), ""SELECT Col2 WHERE Col2 IS NOT "&amp;"NULL ORDER BY Col1 DESC LIMIT 20"", 0))
    )
  ), 
"""")"),"")</f>
        <v/>
      </c>
      <c r="K400" s="21" t="str">
        <f>IFERROR(__xludf.DUMMYFUNCTION("IFERROR(GOOGLEFINANCE(C400, ""changepct"") / 100, """")"),"")</f>
        <v/>
      </c>
      <c r="L400" s="21" t="str">
        <f>IFERROR(__xludf.DUMMYFUNCTION("IFERROR((GOOGLEFINANCE(C400, ""price"") / INDEX(GOOGLEFINANCE(C400, ""price"", TODAY()-7, TODAY()), 2, 2)) - 1, """")"),"")</f>
        <v/>
      </c>
      <c r="M400" s="21" t="str">
        <f>IFERROR(__xludf.DUMMYFUNCTION("IFERROR((GOOGLEFINANCE(C400, ""price"") / INDEX(GOOGLEFINANCE(C400, ""price"", EDATE(TODAY(), -1), TODAY()), 2, 2)) - 1, """")"),"")</f>
        <v/>
      </c>
      <c r="N400" s="21" t="str">
        <f>IFERROR(__xludf.DUMMYFUNCTION("IFERROR((GOOGLEFINANCE(C400, ""price"") / INDEX(GOOGLEFINANCE(C400, ""price"", EDATE(TODAY(), -3), TODAY()), 2, 2)) - 1, """")"),"")</f>
        <v/>
      </c>
      <c r="O400" s="21" t="str">
        <f>IFERROR(__xludf.DUMMYFUNCTION("IFERROR((GOOGLEFINANCE(C400, ""price"") / INDEX(GOOGLEFINANCE(C400, ""price"", EDATE(TODAY(), -6), TODAY()), 2, 2)) - 1, """")"),"")</f>
        <v/>
      </c>
      <c r="P400" s="21" t="str">
        <f>IFERROR(__xludf.DUMMYFUNCTION("IFERROR((GOOGLEFINANCE(C400, ""price"") / INDEX(GOOGLEFINANCE(C400, ""price"", EDATE(TODAY(), -12), TODAY()), 2, 2)) - 1, """")"),"")</f>
        <v/>
      </c>
      <c r="Q400" s="6" t="str">
        <f>IFERROR(__xludf.DUMMYFUNCTION("AVERAGE(QUERY(GOOGLEFINANCE(C400, ""price"", TODAY()-80, TODAY()), ""SELECT Col2 WHERE Col2 IS NOT NULL ORDER BY Col1 DESC LIMIT 50"", 0))"),"#N/A")</f>
        <v>#N/A</v>
      </c>
      <c r="R400" s="24" t="str">
        <f>IFERROR(__xludf.DUMMYFUNCTION("IFERROR(
  LET(
    data, QUERY(GOOGLEFINANCE(C400,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GOOGLEFINANCE(C400, ""price"")) * 100,
    IF(calc=0, G400, calc)
  ), 
G400)"),"#N/A")</f>
        <v>#N/A</v>
      </c>
      <c r="S400" s="8" t="s">
        <v>15</v>
      </c>
      <c r="T400" s="26" t="str">
        <f>IFERROR(__xludf.DUMMYFUNCTION("IFERROR(TRANSPOSE(QUERY(IFERROR(SORT(GOOGLEFINANCE(C400, ""price"", WORKDAY(TODAY(), -40), TODAY()), 1, FALSE)), ""select Col2 where Col2 is not null limit 22 label Col2 ''"", 0)), """")"),"")</f>
        <v/>
      </c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8"/>
      <c r="AO400" s="28"/>
      <c r="AP400" s="29"/>
      <c r="AQ400" s="29" t="str">
        <f t="shared" ref="AQ400:BL400" si="403">T400/T$2</f>
        <v>#N/A</v>
      </c>
      <c r="AR400" s="29" t="str">
        <f t="shared" si="403"/>
        <v>#DIV/0!</v>
      </c>
      <c r="AS400" s="29" t="str">
        <f t="shared" si="403"/>
        <v>#DIV/0!</v>
      </c>
      <c r="AT400" s="29" t="str">
        <f t="shared" si="403"/>
        <v>#DIV/0!</v>
      </c>
      <c r="AU400" s="29" t="str">
        <f t="shared" si="403"/>
        <v>#DIV/0!</v>
      </c>
      <c r="AV400" s="29" t="str">
        <f t="shared" si="403"/>
        <v>#DIV/0!</v>
      </c>
      <c r="AW400" s="29" t="str">
        <f t="shared" si="403"/>
        <v>#DIV/0!</v>
      </c>
      <c r="AX400" s="29" t="str">
        <f t="shared" si="403"/>
        <v>#DIV/0!</v>
      </c>
      <c r="AY400" s="29" t="str">
        <f t="shared" si="403"/>
        <v>#DIV/0!</v>
      </c>
      <c r="AZ400" s="29" t="str">
        <f t="shared" si="403"/>
        <v>#DIV/0!</v>
      </c>
      <c r="BA400" s="29" t="str">
        <f t="shared" si="403"/>
        <v>#DIV/0!</v>
      </c>
      <c r="BB400" s="29" t="str">
        <f t="shared" si="403"/>
        <v>#DIV/0!</v>
      </c>
      <c r="BC400" s="29" t="str">
        <f t="shared" si="403"/>
        <v>#DIV/0!</v>
      </c>
      <c r="BD400" s="29" t="str">
        <f t="shared" si="403"/>
        <v>#DIV/0!</v>
      </c>
      <c r="BE400" s="29" t="str">
        <f t="shared" si="403"/>
        <v>#DIV/0!</v>
      </c>
      <c r="BF400" s="29" t="str">
        <f t="shared" si="403"/>
        <v>#DIV/0!</v>
      </c>
      <c r="BG400" s="29" t="str">
        <f t="shared" si="403"/>
        <v>#DIV/0!</v>
      </c>
      <c r="BH400" s="29" t="str">
        <f t="shared" si="403"/>
        <v>#DIV/0!</v>
      </c>
      <c r="BI400" s="29" t="str">
        <f t="shared" si="403"/>
        <v>#DIV/0!</v>
      </c>
      <c r="BJ400" s="29" t="str">
        <f t="shared" si="403"/>
        <v>#DIV/0!</v>
      </c>
      <c r="BK400" s="29" t="str">
        <f t="shared" si="403"/>
        <v>#DIV/0!</v>
      </c>
      <c r="BL400" s="29" t="str">
        <f t="shared" si="403"/>
        <v>#DIV/0!</v>
      </c>
      <c r="BM400" s="29" t="str">
        <f t="shared" si="3"/>
        <v>#DIV/0!</v>
      </c>
    </row>
    <row r="401">
      <c r="A401" s="16" t="str">
        <f>IFERROR(__xludf.DUMMYFUNCTION("IFERROR(SPARKLINE(SORT(MAP(TRANSPOSE(AQ401:BL401), LAMBDA(val, IF(ISNUMBER(val), PERCENTRANK(AQ401:BL401, val)+0.01, 0))), SEQUENCE(COLUMNS(AQ401:BL401)), FALSE), {""charttype"",""column""; ""color"",""chartreuse""; ""ymin"", 0; ""ymax"", 1.01; ""highcolo"&amp;"r"", ""darkgreen""; ""lowcolor"", ""red""}), """")"),"")</f>
        <v/>
      </c>
      <c r="B401" s="17" t="str">
        <f t="shared" si="4"/>
        <v/>
      </c>
      <c r="C401" s="1" t="s">
        <v>2448</v>
      </c>
      <c r="D401" s="30" t="str">
        <f>IFERROR(__xludf.DUMMYFUNCTION("IFERROR(GOOGLEFINANCE(C401, ""NAME""))"),"Fortune Brands Innovations Inc")</f>
        <v>Fortune Brands Innovations Inc</v>
      </c>
      <c r="E401" s="30" t="s">
        <v>968</v>
      </c>
      <c r="F401" s="33" t="str">
        <f>IFERROR(__xludf.DUMMYFUNCTION("( (GOOGLEFINANCE(C401, ""price"") - Q401) / Q401 ) / (R401 / 100)"),"Loading...")</f>
        <v>Loading...</v>
      </c>
      <c r="G401" s="20" t="str">
        <f>IFERROR(__xludf.DUMMYFUNCTION("AVERAGE(ARRAYFORMULA(100 * (QUERY(GOOGLEFINANCE(C401, ""high"", TODAY()-40, TODAY()), ""SELECT Col2 WHERE Col2 IS NOT NULL ORDER BY Col1 DESC LIMIT 20"", 0) / QUERY(GOOGLEFINANCE(C401, ""low"", TODAY()-40, TODAY()), ""SELECT Col2 WHERE Col2 IS NOT NULL OR"&amp;"DER BY Col1 DESC LIMIT 20"", 0) - 1)))"),"#N/A")</f>
        <v>#N/A</v>
      </c>
      <c r="H401" s="35" t="str">
        <f t="shared" si="6"/>
        <v/>
      </c>
      <c r="I401" s="35" t="str">
        <f t="shared" si="7"/>
        <v/>
      </c>
      <c r="J401" s="37" t="str">
        <f>IFERROR(__xludf.DUMMYFUNCTION("IFERROR(
  IF(C401="""",, 
    IFERROR(
      GOOGLEFINANCE(C401, ""price"") * GOOGLEFINANCE(C401, ""volumeavg""), 
      GOOGLEFINANCE(C401, ""price"") * AVERAGE(QUERY(GOOGLEFINANCE(C401, ""volume"", TODAY()-40, TODAY()), ""SELECT Col2 WHERE Col2 IS NOT "&amp;"NULL ORDER BY Col1 DESC LIMIT 20"", 0))
    )
  ), 
"""")"),"")</f>
        <v/>
      </c>
      <c r="K401" s="21" t="str">
        <f>IFERROR(__xludf.DUMMYFUNCTION("IFERROR(GOOGLEFINANCE(C401, ""changepct"") / 100, """")"),"")</f>
        <v/>
      </c>
      <c r="L401" s="21" t="str">
        <f>IFERROR(__xludf.DUMMYFUNCTION("IFERROR((GOOGLEFINANCE(C401, ""price"") / INDEX(GOOGLEFINANCE(C401, ""price"", TODAY()-7, TODAY()), 2, 2)) - 1, """")"),"")</f>
        <v/>
      </c>
      <c r="M401" s="21" t="str">
        <f>IFERROR(__xludf.DUMMYFUNCTION("IFERROR((GOOGLEFINANCE(C401, ""price"") / INDEX(GOOGLEFINANCE(C401, ""price"", EDATE(TODAY(), -1), TODAY()), 2, 2)) - 1, """")"),"")</f>
        <v/>
      </c>
      <c r="N401" s="21" t="str">
        <f>IFERROR(__xludf.DUMMYFUNCTION("IFERROR((GOOGLEFINANCE(C401, ""price"") / INDEX(GOOGLEFINANCE(C401, ""price"", EDATE(TODAY(), -3), TODAY()), 2, 2)) - 1, """")"),"")</f>
        <v/>
      </c>
      <c r="O401" s="21" t="str">
        <f>IFERROR(__xludf.DUMMYFUNCTION("IFERROR((GOOGLEFINANCE(C401, ""price"") / INDEX(GOOGLEFINANCE(C401, ""price"", EDATE(TODAY(), -6), TODAY()), 2, 2)) - 1, """")"),"")</f>
        <v/>
      </c>
      <c r="P401" s="21" t="str">
        <f>IFERROR(__xludf.DUMMYFUNCTION("IFERROR((GOOGLEFINANCE(C401, ""price"") / INDEX(GOOGLEFINANCE(C401, ""price"", EDATE(TODAY(), -12), TODAY()), 2, 2)) - 1, """")"),"")</f>
        <v/>
      </c>
      <c r="Q401" s="6" t="str">
        <f>IFERROR(__xludf.DUMMYFUNCTION("AVERAGE(QUERY(GOOGLEFINANCE(C401, ""price"", TODAY()-80, TODAY()), ""SELECT Col2 WHERE Col2 IS NOT NULL ORDER BY Col1 DESC LIMIT 50"", 0))"),"#N/A")</f>
        <v>#N/A</v>
      </c>
      <c r="R401" s="24" t="str">
        <f>IFERROR(__xludf.DUMMYFUNCTION("IFERROR(
  LET(
    data, QUERY(GOOGLEFINANCE(C401,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GOOGLEFINANCE(C401, ""price"")) * 100,
    IF(calc=0, G401, calc)
  ), 
G401)"),"#N/A")</f>
        <v>#N/A</v>
      </c>
      <c r="S401" s="8" t="s">
        <v>15</v>
      </c>
      <c r="T401" s="26" t="str">
        <f>IFERROR(__xludf.DUMMYFUNCTION("IFERROR(TRANSPOSE(QUERY(IFERROR(SORT(GOOGLEFINANCE(C401, ""price"", WORKDAY(TODAY(), -40), TODAY()), 1, FALSE)), ""select Col2 where Col2 is not null limit 22 label Col2 ''"", 0)), """")"),"")</f>
        <v/>
      </c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8"/>
      <c r="AO401" s="28"/>
      <c r="AP401" s="29"/>
      <c r="AQ401" s="29" t="str">
        <f t="shared" ref="AQ401:BL401" si="404">T401/T$2</f>
        <v>#N/A</v>
      </c>
      <c r="AR401" s="29" t="str">
        <f t="shared" si="404"/>
        <v>#DIV/0!</v>
      </c>
      <c r="AS401" s="29" t="str">
        <f t="shared" si="404"/>
        <v>#DIV/0!</v>
      </c>
      <c r="AT401" s="29" t="str">
        <f t="shared" si="404"/>
        <v>#DIV/0!</v>
      </c>
      <c r="AU401" s="29" t="str">
        <f t="shared" si="404"/>
        <v>#DIV/0!</v>
      </c>
      <c r="AV401" s="29" t="str">
        <f t="shared" si="404"/>
        <v>#DIV/0!</v>
      </c>
      <c r="AW401" s="29" t="str">
        <f t="shared" si="404"/>
        <v>#DIV/0!</v>
      </c>
      <c r="AX401" s="29" t="str">
        <f t="shared" si="404"/>
        <v>#DIV/0!</v>
      </c>
      <c r="AY401" s="29" t="str">
        <f t="shared" si="404"/>
        <v>#DIV/0!</v>
      </c>
      <c r="AZ401" s="29" t="str">
        <f t="shared" si="404"/>
        <v>#DIV/0!</v>
      </c>
      <c r="BA401" s="29" t="str">
        <f t="shared" si="404"/>
        <v>#DIV/0!</v>
      </c>
      <c r="BB401" s="29" t="str">
        <f t="shared" si="404"/>
        <v>#DIV/0!</v>
      </c>
      <c r="BC401" s="29" t="str">
        <f t="shared" si="404"/>
        <v>#DIV/0!</v>
      </c>
      <c r="BD401" s="29" t="str">
        <f t="shared" si="404"/>
        <v>#DIV/0!</v>
      </c>
      <c r="BE401" s="29" t="str">
        <f t="shared" si="404"/>
        <v>#DIV/0!</v>
      </c>
      <c r="BF401" s="29" t="str">
        <f t="shared" si="404"/>
        <v>#DIV/0!</v>
      </c>
      <c r="BG401" s="29" t="str">
        <f t="shared" si="404"/>
        <v>#DIV/0!</v>
      </c>
      <c r="BH401" s="29" t="str">
        <f t="shared" si="404"/>
        <v>#DIV/0!</v>
      </c>
      <c r="BI401" s="29" t="str">
        <f t="shared" si="404"/>
        <v>#DIV/0!</v>
      </c>
      <c r="BJ401" s="29" t="str">
        <f t="shared" si="404"/>
        <v>#DIV/0!</v>
      </c>
      <c r="BK401" s="29" t="str">
        <f t="shared" si="404"/>
        <v>#DIV/0!</v>
      </c>
      <c r="BL401" s="29" t="str">
        <f t="shared" si="404"/>
        <v>#DIV/0!</v>
      </c>
      <c r="BM401" s="29" t="str">
        <f t="shared" si="3"/>
        <v>#DIV/0!</v>
      </c>
    </row>
    <row r="402">
      <c r="A402" s="16" t="str">
        <f>IFERROR(__xludf.DUMMYFUNCTION("IFERROR(SPARKLINE(SORT(MAP(TRANSPOSE(AQ402:BL402), LAMBDA(val, IF(ISNUMBER(val), PERCENTRANK(AQ402:BL402, val)+0.01, 0))), SEQUENCE(COLUMNS(AQ402:BL402)), FALSE), {""charttype"",""column""; ""color"",""chartreuse""; ""ymin"", 0; ""ymax"", 1.01; ""highcolo"&amp;"r"", ""darkgreen""; ""lowcolor"", ""red""}), """")"),"")</f>
        <v/>
      </c>
      <c r="B402" s="17" t="str">
        <f t="shared" si="4"/>
        <v/>
      </c>
      <c r="C402" s="1" t="s">
        <v>2452</v>
      </c>
      <c r="D402" s="30" t="str">
        <f>IFERROR(__xludf.DUMMYFUNCTION("IFERROR(GOOGLEFINANCE(C402, ""NAME""))"),"Ftai Infrastructure Inc")</f>
        <v>Ftai Infrastructure Inc</v>
      </c>
      <c r="E402" s="30" t="s">
        <v>843</v>
      </c>
      <c r="F402" s="33" t="str">
        <f>IFERROR(__xludf.DUMMYFUNCTION("( (GOOGLEFINANCE(C402, ""price"") - Q402) / Q402 ) / (R402 / 100)"),"Loading...")</f>
        <v>Loading...</v>
      </c>
      <c r="G402" s="20" t="str">
        <f>IFERROR(__xludf.DUMMYFUNCTION("AVERAGE(ARRAYFORMULA(100 * (QUERY(GOOGLEFINANCE(C402, ""high"", TODAY()-40, TODAY()), ""SELECT Col2 WHERE Col2 IS NOT NULL ORDER BY Col1 DESC LIMIT 20"", 0) / QUERY(GOOGLEFINANCE(C402, ""low"", TODAY()-40, TODAY()), ""SELECT Col2 WHERE Col2 IS NOT NULL OR"&amp;"DER BY Col1 DESC LIMIT 20"", 0) - 1)))"),"#N/A")</f>
        <v>#N/A</v>
      </c>
      <c r="H402" s="35" t="str">
        <f t="shared" si="6"/>
        <v/>
      </c>
      <c r="I402" s="35" t="str">
        <f t="shared" si="7"/>
        <v/>
      </c>
      <c r="J402" s="37" t="str">
        <f>IFERROR(__xludf.DUMMYFUNCTION("IFERROR(
  IF(C402="""",, 
    IFERROR(
      GOOGLEFINANCE(C402, ""price"") * GOOGLEFINANCE(C402, ""volumeavg""), 
      GOOGLEFINANCE(C402, ""price"") * AVERAGE(QUERY(GOOGLEFINANCE(C402, ""volume"", TODAY()-40, TODAY()), ""SELECT Col2 WHERE Col2 IS NOT "&amp;"NULL ORDER BY Col1 DESC LIMIT 20"", 0))
    )
  ), 
"""")"),"")</f>
        <v/>
      </c>
      <c r="K402" s="21" t="str">
        <f>IFERROR(__xludf.DUMMYFUNCTION("IFERROR(GOOGLEFINANCE(C402, ""changepct"") / 100, """")"),"")</f>
        <v/>
      </c>
      <c r="L402" s="21" t="str">
        <f>IFERROR(__xludf.DUMMYFUNCTION("IFERROR((GOOGLEFINANCE(C402, ""price"") / INDEX(GOOGLEFINANCE(C402, ""price"", TODAY()-7, TODAY()), 2, 2)) - 1, """")"),"")</f>
        <v/>
      </c>
      <c r="M402" s="21" t="str">
        <f>IFERROR(__xludf.DUMMYFUNCTION("IFERROR((GOOGLEFINANCE(C402, ""price"") / INDEX(GOOGLEFINANCE(C402, ""price"", EDATE(TODAY(), -1), TODAY()), 2, 2)) - 1, """")"),"")</f>
        <v/>
      </c>
      <c r="N402" s="21" t="str">
        <f>IFERROR(__xludf.DUMMYFUNCTION("IFERROR((GOOGLEFINANCE(C402, ""price"") / INDEX(GOOGLEFINANCE(C402, ""price"", EDATE(TODAY(), -3), TODAY()), 2, 2)) - 1, """")"),"")</f>
        <v/>
      </c>
      <c r="O402" s="21" t="str">
        <f>IFERROR(__xludf.DUMMYFUNCTION("IFERROR((GOOGLEFINANCE(C402, ""price"") / INDEX(GOOGLEFINANCE(C402, ""price"", EDATE(TODAY(), -6), TODAY()), 2, 2)) - 1, """")"),"")</f>
        <v/>
      </c>
      <c r="P402" s="21" t="str">
        <f>IFERROR(__xludf.DUMMYFUNCTION("IFERROR((GOOGLEFINANCE(C402, ""price"") / INDEX(GOOGLEFINANCE(C402, ""price"", EDATE(TODAY(), -12), TODAY()), 2, 2)) - 1, """")"),"")</f>
        <v/>
      </c>
      <c r="Q402" s="6" t="str">
        <f>IFERROR(__xludf.DUMMYFUNCTION("AVERAGE(QUERY(GOOGLEFINANCE(C402, ""price"", TODAY()-80, TODAY()), ""SELECT Col2 WHERE Col2 IS NOT NULL ORDER BY Col1 DESC LIMIT 50"", 0))"),"#N/A")</f>
        <v>#N/A</v>
      </c>
      <c r="R402" s="24" t="str">
        <f>IFERROR(__xludf.DUMMYFUNCTION("IFERROR(
  LET(
    data, QUERY(GOOGLEFINANCE(C402,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GOOGLEFINANCE(C402, ""price"")) * 100,
    IF(calc=0, G402, calc)
  ), 
G402)"),"#N/A")</f>
        <v>#N/A</v>
      </c>
      <c r="S402" s="8" t="s">
        <v>15</v>
      </c>
      <c r="T402" s="26" t="str">
        <f>IFERROR(__xludf.DUMMYFUNCTION("IFERROR(TRANSPOSE(QUERY(IFERROR(SORT(GOOGLEFINANCE(C402, ""price"", WORKDAY(TODAY(), -40), TODAY()), 1, FALSE)), ""select Col2 where Col2 is not null limit 22 label Col2 ''"", 0)), """")"),"")</f>
        <v/>
      </c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8"/>
      <c r="AO402" s="28"/>
      <c r="AP402" s="29"/>
      <c r="AQ402" s="29" t="str">
        <f t="shared" ref="AQ402:BL402" si="405">T402/T$2</f>
        <v>#N/A</v>
      </c>
      <c r="AR402" s="29" t="str">
        <f t="shared" si="405"/>
        <v>#DIV/0!</v>
      </c>
      <c r="AS402" s="29" t="str">
        <f t="shared" si="405"/>
        <v>#DIV/0!</v>
      </c>
      <c r="AT402" s="29" t="str">
        <f t="shared" si="405"/>
        <v>#DIV/0!</v>
      </c>
      <c r="AU402" s="29" t="str">
        <f t="shared" si="405"/>
        <v>#DIV/0!</v>
      </c>
      <c r="AV402" s="29" t="str">
        <f t="shared" si="405"/>
        <v>#DIV/0!</v>
      </c>
      <c r="AW402" s="29" t="str">
        <f t="shared" si="405"/>
        <v>#DIV/0!</v>
      </c>
      <c r="AX402" s="29" t="str">
        <f t="shared" si="405"/>
        <v>#DIV/0!</v>
      </c>
      <c r="AY402" s="29" t="str">
        <f t="shared" si="405"/>
        <v>#DIV/0!</v>
      </c>
      <c r="AZ402" s="29" t="str">
        <f t="shared" si="405"/>
        <v>#DIV/0!</v>
      </c>
      <c r="BA402" s="29" t="str">
        <f t="shared" si="405"/>
        <v>#DIV/0!</v>
      </c>
      <c r="BB402" s="29" t="str">
        <f t="shared" si="405"/>
        <v>#DIV/0!</v>
      </c>
      <c r="BC402" s="29" t="str">
        <f t="shared" si="405"/>
        <v>#DIV/0!</v>
      </c>
      <c r="BD402" s="29" t="str">
        <f t="shared" si="405"/>
        <v>#DIV/0!</v>
      </c>
      <c r="BE402" s="29" t="str">
        <f t="shared" si="405"/>
        <v>#DIV/0!</v>
      </c>
      <c r="BF402" s="29" t="str">
        <f t="shared" si="405"/>
        <v>#DIV/0!</v>
      </c>
      <c r="BG402" s="29" t="str">
        <f t="shared" si="405"/>
        <v>#DIV/0!</v>
      </c>
      <c r="BH402" s="29" t="str">
        <f t="shared" si="405"/>
        <v>#DIV/0!</v>
      </c>
      <c r="BI402" s="29" t="str">
        <f t="shared" si="405"/>
        <v>#DIV/0!</v>
      </c>
      <c r="BJ402" s="29" t="str">
        <f t="shared" si="405"/>
        <v>#DIV/0!</v>
      </c>
      <c r="BK402" s="29" t="str">
        <f t="shared" si="405"/>
        <v>#DIV/0!</v>
      </c>
      <c r="BL402" s="29" t="str">
        <f t="shared" si="405"/>
        <v>#DIV/0!</v>
      </c>
      <c r="BM402" s="29" t="str">
        <f t="shared" si="3"/>
        <v>#DIV/0!</v>
      </c>
    </row>
    <row r="403">
      <c r="A403" s="16" t="str">
        <f>IFERROR(__xludf.DUMMYFUNCTION("IFERROR(SPARKLINE(SORT(MAP(TRANSPOSE(AQ403:BL403), LAMBDA(val, IF(ISNUMBER(val), PERCENTRANK(AQ403:BL403, val)+0.01, 0))), SEQUENCE(COLUMNS(AQ403:BL403)), FALSE), {""charttype"",""column""; ""color"",""chartreuse""; ""ymin"", 0; ""ymax"", 1.01; ""highcolo"&amp;"r"", ""darkgreen""; ""lowcolor"", ""red""}), """")"),"")</f>
        <v/>
      </c>
      <c r="B403" s="17" t="str">
        <f t="shared" si="4"/>
        <v/>
      </c>
      <c r="C403" s="1" t="s">
        <v>2456</v>
      </c>
      <c r="D403" s="30" t="str">
        <f>IFERROR(__xludf.DUMMYFUNCTION("IFERROR(GOOGLEFINANCE(C403, ""NAME""))"),"Hayward Holdings Inc")</f>
        <v>Hayward Holdings Inc</v>
      </c>
      <c r="E403" s="30" t="s">
        <v>864</v>
      </c>
      <c r="F403" s="33" t="str">
        <f>IFERROR(__xludf.DUMMYFUNCTION("( (GOOGLEFINANCE(C403, ""price"") - Q403) / Q403 ) / (R403 / 100)"),"Loading...")</f>
        <v>Loading...</v>
      </c>
      <c r="G403" s="20" t="str">
        <f>IFERROR(__xludf.DUMMYFUNCTION("AVERAGE(ARRAYFORMULA(100 * (QUERY(GOOGLEFINANCE(C403, ""high"", TODAY()-40, TODAY()), ""SELECT Col2 WHERE Col2 IS NOT NULL ORDER BY Col1 DESC LIMIT 20"", 0) / QUERY(GOOGLEFINANCE(C403, ""low"", TODAY()-40, TODAY()), ""SELECT Col2 WHERE Col2 IS NOT NULL OR"&amp;"DER BY Col1 DESC LIMIT 20"", 0) - 1)))"),"#N/A")</f>
        <v>#N/A</v>
      </c>
      <c r="H403" s="35" t="str">
        <f t="shared" si="6"/>
        <v/>
      </c>
      <c r="I403" s="35" t="str">
        <f t="shared" si="7"/>
        <v/>
      </c>
      <c r="J403" s="37" t="str">
        <f>IFERROR(__xludf.DUMMYFUNCTION("IFERROR(
  IF(C403="""",, 
    IFERROR(
      GOOGLEFINANCE(C403, ""price"") * GOOGLEFINANCE(C403, ""volumeavg""), 
      GOOGLEFINANCE(C403, ""price"") * AVERAGE(QUERY(GOOGLEFINANCE(C403, ""volume"", TODAY()-40, TODAY()), ""SELECT Col2 WHERE Col2 IS NOT "&amp;"NULL ORDER BY Col1 DESC LIMIT 20"", 0))
    )
  ), 
"""")"),"")</f>
        <v/>
      </c>
      <c r="K403" s="21" t="str">
        <f>IFERROR(__xludf.DUMMYFUNCTION("IFERROR(GOOGLEFINANCE(C403, ""changepct"") / 100, """")"),"")</f>
        <v/>
      </c>
      <c r="L403" s="21" t="str">
        <f>IFERROR(__xludf.DUMMYFUNCTION("IFERROR((GOOGLEFINANCE(C403, ""price"") / INDEX(GOOGLEFINANCE(C403, ""price"", TODAY()-7, TODAY()), 2, 2)) - 1, """")"),"")</f>
        <v/>
      </c>
      <c r="M403" s="21" t="str">
        <f>IFERROR(__xludf.DUMMYFUNCTION("IFERROR((GOOGLEFINANCE(C403, ""price"") / INDEX(GOOGLEFINANCE(C403, ""price"", EDATE(TODAY(), -1), TODAY()), 2, 2)) - 1, """")"),"")</f>
        <v/>
      </c>
      <c r="N403" s="21" t="str">
        <f>IFERROR(__xludf.DUMMYFUNCTION("IFERROR((GOOGLEFINANCE(C403, ""price"") / INDEX(GOOGLEFINANCE(C403, ""price"", EDATE(TODAY(), -3), TODAY()), 2, 2)) - 1, """")"),"")</f>
        <v/>
      </c>
      <c r="O403" s="21" t="str">
        <f>IFERROR(__xludf.DUMMYFUNCTION("IFERROR((GOOGLEFINANCE(C403, ""price"") / INDEX(GOOGLEFINANCE(C403, ""price"", EDATE(TODAY(), -6), TODAY()), 2, 2)) - 1, """")"),"")</f>
        <v/>
      </c>
      <c r="P403" s="21" t="str">
        <f>IFERROR(__xludf.DUMMYFUNCTION("IFERROR((GOOGLEFINANCE(C403, ""price"") / INDEX(GOOGLEFINANCE(C403, ""price"", EDATE(TODAY(), -12), TODAY()), 2, 2)) - 1, """")"),"")</f>
        <v/>
      </c>
      <c r="Q403" s="6" t="str">
        <f>IFERROR(__xludf.DUMMYFUNCTION("AVERAGE(QUERY(GOOGLEFINANCE(C403, ""price"", TODAY()-80, TODAY()), ""SELECT Col2 WHERE Col2 IS NOT NULL ORDER BY Col1 DESC LIMIT 50"", 0))"),"#N/A")</f>
        <v>#N/A</v>
      </c>
      <c r="R403" s="24" t="str">
        <f>IFERROR(__xludf.DUMMYFUNCTION("IFERROR(
  LET(
    data, QUERY(GOOGLEFINANCE(C403,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GOOGLEFINANCE(C403, ""price"")) * 100,
    IF(calc=0, G403, calc)
  ), 
G403)"),"#N/A")</f>
        <v>#N/A</v>
      </c>
      <c r="S403" s="8" t="s">
        <v>15</v>
      </c>
      <c r="T403" s="26" t="str">
        <f>IFERROR(__xludf.DUMMYFUNCTION("IFERROR(TRANSPOSE(QUERY(IFERROR(SORT(GOOGLEFINANCE(C403, ""price"", WORKDAY(TODAY(), -40), TODAY()), 1, FALSE)), ""select Col2 where Col2 is not null limit 22 label Col2 ''"", 0)), """")"),"")</f>
        <v/>
      </c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8"/>
      <c r="AO403" s="28"/>
      <c r="AP403" s="29"/>
      <c r="AQ403" s="29" t="str">
        <f t="shared" ref="AQ403:BL403" si="406">T403/T$2</f>
        <v>#N/A</v>
      </c>
      <c r="AR403" s="29" t="str">
        <f t="shared" si="406"/>
        <v>#DIV/0!</v>
      </c>
      <c r="AS403" s="29" t="str">
        <f t="shared" si="406"/>
        <v>#DIV/0!</v>
      </c>
      <c r="AT403" s="29" t="str">
        <f t="shared" si="406"/>
        <v>#DIV/0!</v>
      </c>
      <c r="AU403" s="29" t="str">
        <f t="shared" si="406"/>
        <v>#DIV/0!</v>
      </c>
      <c r="AV403" s="29" t="str">
        <f t="shared" si="406"/>
        <v>#DIV/0!</v>
      </c>
      <c r="AW403" s="29" t="str">
        <f t="shared" si="406"/>
        <v>#DIV/0!</v>
      </c>
      <c r="AX403" s="29" t="str">
        <f t="shared" si="406"/>
        <v>#DIV/0!</v>
      </c>
      <c r="AY403" s="29" t="str">
        <f t="shared" si="406"/>
        <v>#DIV/0!</v>
      </c>
      <c r="AZ403" s="29" t="str">
        <f t="shared" si="406"/>
        <v>#DIV/0!</v>
      </c>
      <c r="BA403" s="29" t="str">
        <f t="shared" si="406"/>
        <v>#DIV/0!</v>
      </c>
      <c r="BB403" s="29" t="str">
        <f t="shared" si="406"/>
        <v>#DIV/0!</v>
      </c>
      <c r="BC403" s="29" t="str">
        <f t="shared" si="406"/>
        <v>#DIV/0!</v>
      </c>
      <c r="BD403" s="29" t="str">
        <f t="shared" si="406"/>
        <v>#DIV/0!</v>
      </c>
      <c r="BE403" s="29" t="str">
        <f t="shared" si="406"/>
        <v>#DIV/0!</v>
      </c>
      <c r="BF403" s="29" t="str">
        <f t="shared" si="406"/>
        <v>#DIV/0!</v>
      </c>
      <c r="BG403" s="29" t="str">
        <f t="shared" si="406"/>
        <v>#DIV/0!</v>
      </c>
      <c r="BH403" s="29" t="str">
        <f t="shared" si="406"/>
        <v>#DIV/0!</v>
      </c>
      <c r="BI403" s="29" t="str">
        <f t="shared" si="406"/>
        <v>#DIV/0!</v>
      </c>
      <c r="BJ403" s="29" t="str">
        <f t="shared" si="406"/>
        <v>#DIV/0!</v>
      </c>
      <c r="BK403" s="29" t="str">
        <f t="shared" si="406"/>
        <v>#DIV/0!</v>
      </c>
      <c r="BL403" s="29" t="str">
        <f t="shared" si="406"/>
        <v>#DIV/0!</v>
      </c>
      <c r="BM403" s="29" t="str">
        <f t="shared" si="3"/>
        <v>#DIV/0!</v>
      </c>
    </row>
    <row r="404">
      <c r="A404" s="16" t="str">
        <f>IFERROR(__xludf.DUMMYFUNCTION("IFERROR(SPARKLINE(SORT(MAP(TRANSPOSE(AQ404:BL404), LAMBDA(val, IF(ISNUMBER(val), PERCENTRANK(AQ404:BL404, val)+0.01, 0))), SEQUENCE(COLUMNS(AQ404:BL404)), FALSE), {""charttype"",""column""; ""color"",""chartreuse""; ""ymin"", 0; ""ymax"", 1.01; ""highcolo"&amp;"r"", ""darkgreen""; ""lowcolor"", ""red""}), """")"),"")</f>
        <v/>
      </c>
      <c r="B404" s="17" t="str">
        <f t="shared" si="4"/>
        <v/>
      </c>
      <c r="C404" s="1" t="s">
        <v>2460</v>
      </c>
      <c r="D404" s="30" t="str">
        <f>IFERROR(__xludf.DUMMYFUNCTION("IFERROR(GOOGLEFINANCE(C404, ""NAME""))"),"APi Group Corp")</f>
        <v>APi Group Corp</v>
      </c>
      <c r="E404" s="30" t="s">
        <v>856</v>
      </c>
      <c r="F404" s="33" t="str">
        <f>IFERROR(__xludf.DUMMYFUNCTION("( (GOOGLEFINANCE(C404, ""price"") - Q404) / Q404 ) / (R404 / 100)"),"Loading...")</f>
        <v>Loading...</v>
      </c>
      <c r="G404" s="20" t="str">
        <f>IFERROR(__xludf.DUMMYFUNCTION("AVERAGE(ARRAYFORMULA(100 * (QUERY(GOOGLEFINANCE(C404, ""high"", TODAY()-40, TODAY()), ""SELECT Col2 WHERE Col2 IS NOT NULL ORDER BY Col1 DESC LIMIT 20"", 0) / QUERY(GOOGLEFINANCE(C404, ""low"", TODAY()-40, TODAY()), ""SELECT Col2 WHERE Col2 IS NOT NULL OR"&amp;"DER BY Col1 DESC LIMIT 20"", 0) - 1)))"),"#N/A")</f>
        <v>#N/A</v>
      </c>
      <c r="H404" s="35" t="str">
        <f t="shared" si="6"/>
        <v/>
      </c>
      <c r="I404" s="35" t="str">
        <f t="shared" si="7"/>
        <v/>
      </c>
      <c r="J404" s="37" t="str">
        <f>IFERROR(__xludf.DUMMYFUNCTION("IFERROR(
  IF(C404="""",, 
    IFERROR(
      GOOGLEFINANCE(C404, ""price"") * GOOGLEFINANCE(C404, ""volumeavg""), 
      GOOGLEFINANCE(C404, ""price"") * AVERAGE(QUERY(GOOGLEFINANCE(C404, ""volume"", TODAY()-40, TODAY()), ""SELECT Col2 WHERE Col2 IS NOT "&amp;"NULL ORDER BY Col1 DESC LIMIT 20"", 0))
    )
  ), 
"""")"),"")</f>
        <v/>
      </c>
      <c r="K404" s="21" t="str">
        <f>IFERROR(__xludf.DUMMYFUNCTION("IFERROR(GOOGLEFINANCE(C404, ""changepct"") / 100, """")"),"")</f>
        <v/>
      </c>
      <c r="L404" s="21" t="str">
        <f>IFERROR(__xludf.DUMMYFUNCTION("IFERROR((GOOGLEFINANCE(C404, ""price"") / INDEX(GOOGLEFINANCE(C404, ""price"", TODAY()-7, TODAY()), 2, 2)) - 1, """")"),"")</f>
        <v/>
      </c>
      <c r="M404" s="21" t="str">
        <f>IFERROR(__xludf.DUMMYFUNCTION("IFERROR((GOOGLEFINANCE(C404, ""price"") / INDEX(GOOGLEFINANCE(C404, ""price"", EDATE(TODAY(), -1), TODAY()), 2, 2)) - 1, """")"),"")</f>
        <v/>
      </c>
      <c r="N404" s="21" t="str">
        <f>IFERROR(__xludf.DUMMYFUNCTION("IFERROR((GOOGLEFINANCE(C404, ""price"") / INDEX(GOOGLEFINANCE(C404, ""price"", EDATE(TODAY(), -3), TODAY()), 2, 2)) - 1, """")"),"")</f>
        <v/>
      </c>
      <c r="O404" s="21" t="str">
        <f>IFERROR(__xludf.DUMMYFUNCTION("IFERROR((GOOGLEFINANCE(C404, ""price"") / INDEX(GOOGLEFINANCE(C404, ""price"", EDATE(TODAY(), -6), TODAY()), 2, 2)) - 1, """")"),"")</f>
        <v/>
      </c>
      <c r="P404" s="21" t="str">
        <f>IFERROR(__xludf.DUMMYFUNCTION("IFERROR((GOOGLEFINANCE(C404, ""price"") / INDEX(GOOGLEFINANCE(C404, ""price"", EDATE(TODAY(), -12), TODAY()), 2, 2)) - 1, """")"),"")</f>
        <v/>
      </c>
      <c r="Q404" s="6" t="str">
        <f>IFERROR(__xludf.DUMMYFUNCTION("AVERAGE(QUERY(GOOGLEFINANCE(C404, ""price"", TODAY()-80, TODAY()), ""SELECT Col2 WHERE Col2 IS NOT NULL ORDER BY Col1 DESC LIMIT 50"", 0))"),"#N/A")</f>
        <v>#N/A</v>
      </c>
      <c r="R404" s="24" t="str">
        <f>IFERROR(__xludf.DUMMYFUNCTION("IFERROR(
  LET(
    data, QUERY(GOOGLEFINANCE(C404,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GOOGLEFINANCE(C404, ""price"")) * 100,
    IF(calc=0, G404, calc)
  ), 
G404)"),"#N/A")</f>
        <v>#N/A</v>
      </c>
      <c r="S404" s="8" t="s">
        <v>15</v>
      </c>
      <c r="T404" s="26" t="str">
        <f>IFERROR(__xludf.DUMMYFUNCTION("IFERROR(TRANSPOSE(QUERY(IFERROR(SORT(GOOGLEFINANCE(C404, ""price"", WORKDAY(TODAY(), -40), TODAY()), 1, FALSE)), ""select Col2 where Col2 is not null limit 22 label Col2 ''"", 0)), """")"),"")</f>
        <v/>
      </c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8"/>
      <c r="AO404" s="28"/>
      <c r="AP404" s="29"/>
      <c r="AQ404" s="29" t="str">
        <f t="shared" ref="AQ404:BL404" si="407">T404/T$2</f>
        <v>#N/A</v>
      </c>
      <c r="AR404" s="29" t="str">
        <f t="shared" si="407"/>
        <v>#DIV/0!</v>
      </c>
      <c r="AS404" s="29" t="str">
        <f t="shared" si="407"/>
        <v>#DIV/0!</v>
      </c>
      <c r="AT404" s="29" t="str">
        <f t="shared" si="407"/>
        <v>#DIV/0!</v>
      </c>
      <c r="AU404" s="29" t="str">
        <f t="shared" si="407"/>
        <v>#DIV/0!</v>
      </c>
      <c r="AV404" s="29" t="str">
        <f t="shared" si="407"/>
        <v>#DIV/0!</v>
      </c>
      <c r="AW404" s="29" t="str">
        <f t="shared" si="407"/>
        <v>#DIV/0!</v>
      </c>
      <c r="AX404" s="29" t="str">
        <f t="shared" si="407"/>
        <v>#DIV/0!</v>
      </c>
      <c r="AY404" s="29" t="str">
        <f t="shared" si="407"/>
        <v>#DIV/0!</v>
      </c>
      <c r="AZ404" s="29" t="str">
        <f t="shared" si="407"/>
        <v>#DIV/0!</v>
      </c>
      <c r="BA404" s="29" t="str">
        <f t="shared" si="407"/>
        <v>#DIV/0!</v>
      </c>
      <c r="BB404" s="29" t="str">
        <f t="shared" si="407"/>
        <v>#DIV/0!</v>
      </c>
      <c r="BC404" s="29" t="str">
        <f t="shared" si="407"/>
        <v>#DIV/0!</v>
      </c>
      <c r="BD404" s="29" t="str">
        <f t="shared" si="407"/>
        <v>#DIV/0!</v>
      </c>
      <c r="BE404" s="29" t="str">
        <f t="shared" si="407"/>
        <v>#DIV/0!</v>
      </c>
      <c r="BF404" s="29" t="str">
        <f t="shared" si="407"/>
        <v>#DIV/0!</v>
      </c>
      <c r="BG404" s="29" t="str">
        <f t="shared" si="407"/>
        <v>#DIV/0!</v>
      </c>
      <c r="BH404" s="29" t="str">
        <f t="shared" si="407"/>
        <v>#DIV/0!</v>
      </c>
      <c r="BI404" s="29" t="str">
        <f t="shared" si="407"/>
        <v>#DIV/0!</v>
      </c>
      <c r="BJ404" s="29" t="str">
        <f t="shared" si="407"/>
        <v>#DIV/0!</v>
      </c>
      <c r="BK404" s="29" t="str">
        <f t="shared" si="407"/>
        <v>#DIV/0!</v>
      </c>
      <c r="BL404" s="29" t="str">
        <f t="shared" si="407"/>
        <v>#DIV/0!</v>
      </c>
      <c r="BM404" s="29" t="str">
        <f t="shared" si="3"/>
        <v>#DIV/0!</v>
      </c>
    </row>
    <row r="405">
      <c r="A405" s="16" t="str">
        <f>IFERROR(__xludf.DUMMYFUNCTION("IFERROR(SPARKLINE(SORT(MAP(TRANSPOSE(AQ405:BL405), LAMBDA(val, IF(ISNUMBER(val), PERCENTRANK(AQ405:BL405, val)+0.01, 0))), SEQUENCE(COLUMNS(AQ405:BL405)), FALSE), {""charttype"",""column""; ""color"",""chartreuse""; ""ymin"", 0; ""ymax"", 1.01; ""highcolo"&amp;"r"", ""darkgreen""; ""lowcolor"", ""red""}), """")"),"")</f>
        <v/>
      </c>
      <c r="B405" s="17" t="str">
        <f t="shared" si="4"/>
        <v/>
      </c>
      <c r="C405" s="1" t="s">
        <v>2464</v>
      </c>
      <c r="D405" s="30" t="str">
        <f>IFERROR(__xludf.DUMMYFUNCTION("IFERROR(GOOGLEFINANCE(C405, ""NAME""))"),"Wabash National Corp")</f>
        <v>Wabash National Corp</v>
      </c>
      <c r="E405" s="30" t="s">
        <v>1036</v>
      </c>
      <c r="F405" s="33" t="str">
        <f>IFERROR(__xludf.DUMMYFUNCTION("( (GOOGLEFINANCE(C405, ""price"") - Q405) / Q405 ) / (R405 / 100)"),"Loading...")</f>
        <v>Loading...</v>
      </c>
      <c r="G405" s="20" t="str">
        <f>IFERROR(__xludf.DUMMYFUNCTION("AVERAGE(ARRAYFORMULA(100 * (QUERY(GOOGLEFINANCE(C405, ""high"", TODAY()-40, TODAY()), ""SELECT Col2 WHERE Col2 IS NOT NULL ORDER BY Col1 DESC LIMIT 20"", 0) / QUERY(GOOGLEFINANCE(C405, ""low"", TODAY()-40, TODAY()), ""SELECT Col2 WHERE Col2 IS NOT NULL OR"&amp;"DER BY Col1 DESC LIMIT 20"", 0) - 1)))"),"#N/A")</f>
        <v>#N/A</v>
      </c>
      <c r="H405" s="35" t="str">
        <f t="shared" si="6"/>
        <v/>
      </c>
      <c r="I405" s="35" t="str">
        <f t="shared" si="7"/>
        <v/>
      </c>
      <c r="J405" s="37" t="str">
        <f>IFERROR(__xludf.DUMMYFUNCTION("IFERROR(
  IF(C405="""",, 
    IFERROR(
      GOOGLEFINANCE(C405, ""price"") * GOOGLEFINANCE(C405, ""volumeavg""), 
      GOOGLEFINANCE(C405, ""price"") * AVERAGE(QUERY(GOOGLEFINANCE(C405, ""volume"", TODAY()-40, TODAY()), ""SELECT Col2 WHERE Col2 IS NOT "&amp;"NULL ORDER BY Col1 DESC LIMIT 20"", 0))
    )
  ), 
"""")"),"")</f>
        <v/>
      </c>
      <c r="K405" s="21" t="str">
        <f>IFERROR(__xludf.DUMMYFUNCTION("IFERROR(GOOGLEFINANCE(C405, ""changepct"") / 100, """")"),"")</f>
        <v/>
      </c>
      <c r="L405" s="21" t="str">
        <f>IFERROR(__xludf.DUMMYFUNCTION("IFERROR((GOOGLEFINANCE(C405, ""price"") / INDEX(GOOGLEFINANCE(C405, ""price"", TODAY()-7, TODAY()), 2, 2)) - 1, """")"),"")</f>
        <v/>
      </c>
      <c r="M405" s="21" t="str">
        <f>IFERROR(__xludf.DUMMYFUNCTION("IFERROR((GOOGLEFINANCE(C405, ""price"") / INDEX(GOOGLEFINANCE(C405, ""price"", EDATE(TODAY(), -1), TODAY()), 2, 2)) - 1, """")"),"")</f>
        <v/>
      </c>
      <c r="N405" s="21" t="str">
        <f>IFERROR(__xludf.DUMMYFUNCTION("IFERROR((GOOGLEFINANCE(C405, ""price"") / INDEX(GOOGLEFINANCE(C405, ""price"", EDATE(TODAY(), -3), TODAY()), 2, 2)) - 1, """")"),"")</f>
        <v/>
      </c>
      <c r="O405" s="21" t="str">
        <f>IFERROR(__xludf.DUMMYFUNCTION("IFERROR((GOOGLEFINANCE(C405, ""price"") / INDEX(GOOGLEFINANCE(C405, ""price"", EDATE(TODAY(), -6), TODAY()), 2, 2)) - 1, """")"),"")</f>
        <v/>
      </c>
      <c r="P405" s="21" t="str">
        <f>IFERROR(__xludf.DUMMYFUNCTION("IFERROR((GOOGLEFINANCE(C405, ""price"") / INDEX(GOOGLEFINANCE(C405, ""price"", EDATE(TODAY(), -12), TODAY()), 2, 2)) - 1, """")"),"")</f>
        <v/>
      </c>
      <c r="Q405" s="6" t="str">
        <f>IFERROR(__xludf.DUMMYFUNCTION("AVERAGE(QUERY(GOOGLEFINANCE(C405, ""price"", TODAY()-80, TODAY()), ""SELECT Col2 WHERE Col2 IS NOT NULL ORDER BY Col1 DESC LIMIT 50"", 0))"),"#N/A")</f>
        <v>#N/A</v>
      </c>
      <c r="R405" s="24" t="str">
        <f>IFERROR(__xludf.DUMMYFUNCTION("IFERROR(
  LET(
    data, QUERY(GOOGLEFINANCE(C405,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GOOGLEFINANCE(C405, ""price"")) * 100,
    IF(calc=0, G405, calc)
  ), 
G405)"),"#N/A")</f>
        <v>#N/A</v>
      </c>
      <c r="S405" s="8" t="s">
        <v>15</v>
      </c>
      <c r="T405" s="26" t="str">
        <f>IFERROR(__xludf.DUMMYFUNCTION("IFERROR(TRANSPOSE(QUERY(IFERROR(SORT(GOOGLEFINANCE(C405, ""price"", WORKDAY(TODAY(), -40), TODAY()), 1, FALSE)), ""select Col2 where Col2 is not null limit 22 label Col2 ''"", 0)), """")"),"")</f>
        <v/>
      </c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8"/>
      <c r="AO405" s="28"/>
      <c r="AP405" s="29"/>
      <c r="AQ405" s="29" t="str">
        <f t="shared" ref="AQ405:BL405" si="408">T405/T$2</f>
        <v>#N/A</v>
      </c>
      <c r="AR405" s="29" t="str">
        <f t="shared" si="408"/>
        <v>#DIV/0!</v>
      </c>
      <c r="AS405" s="29" t="str">
        <f t="shared" si="408"/>
        <v>#DIV/0!</v>
      </c>
      <c r="AT405" s="29" t="str">
        <f t="shared" si="408"/>
        <v>#DIV/0!</v>
      </c>
      <c r="AU405" s="29" t="str">
        <f t="shared" si="408"/>
        <v>#DIV/0!</v>
      </c>
      <c r="AV405" s="29" t="str">
        <f t="shared" si="408"/>
        <v>#DIV/0!</v>
      </c>
      <c r="AW405" s="29" t="str">
        <f t="shared" si="408"/>
        <v>#DIV/0!</v>
      </c>
      <c r="AX405" s="29" t="str">
        <f t="shared" si="408"/>
        <v>#DIV/0!</v>
      </c>
      <c r="AY405" s="29" t="str">
        <f t="shared" si="408"/>
        <v>#DIV/0!</v>
      </c>
      <c r="AZ405" s="29" t="str">
        <f t="shared" si="408"/>
        <v>#DIV/0!</v>
      </c>
      <c r="BA405" s="29" t="str">
        <f t="shared" si="408"/>
        <v>#DIV/0!</v>
      </c>
      <c r="BB405" s="29" t="str">
        <f t="shared" si="408"/>
        <v>#DIV/0!</v>
      </c>
      <c r="BC405" s="29" t="str">
        <f t="shared" si="408"/>
        <v>#DIV/0!</v>
      </c>
      <c r="BD405" s="29" t="str">
        <f t="shared" si="408"/>
        <v>#DIV/0!</v>
      </c>
      <c r="BE405" s="29" t="str">
        <f t="shared" si="408"/>
        <v>#DIV/0!</v>
      </c>
      <c r="BF405" s="29" t="str">
        <f t="shared" si="408"/>
        <v>#DIV/0!</v>
      </c>
      <c r="BG405" s="29" t="str">
        <f t="shared" si="408"/>
        <v>#DIV/0!</v>
      </c>
      <c r="BH405" s="29" t="str">
        <f t="shared" si="408"/>
        <v>#DIV/0!</v>
      </c>
      <c r="BI405" s="29" t="str">
        <f t="shared" si="408"/>
        <v>#DIV/0!</v>
      </c>
      <c r="BJ405" s="29" t="str">
        <f t="shared" si="408"/>
        <v>#DIV/0!</v>
      </c>
      <c r="BK405" s="29" t="str">
        <f t="shared" si="408"/>
        <v>#DIV/0!</v>
      </c>
      <c r="BL405" s="29" t="str">
        <f t="shared" si="408"/>
        <v>#DIV/0!</v>
      </c>
      <c r="BM405" s="29" t="str">
        <f t="shared" si="3"/>
        <v>#DIV/0!</v>
      </c>
    </row>
    <row r="406">
      <c r="A406" s="16" t="str">
        <f>IFERROR(__xludf.DUMMYFUNCTION("IFERROR(SPARKLINE(SORT(MAP(TRANSPOSE(AQ406:BL406), LAMBDA(val, IF(ISNUMBER(val), PERCENTRANK(AQ406:BL406, val)+0.01, 0))), SEQUENCE(COLUMNS(AQ406:BL406)), FALSE), {""charttype"",""column""; ""color"",""chartreuse""; ""ymin"", 0; ""ymax"", 1.01; ""highcolo"&amp;"r"", ""darkgreen""; ""lowcolor"", ""red""}), """")"),"")</f>
        <v/>
      </c>
      <c r="B406" s="17" t="str">
        <f t="shared" si="4"/>
        <v/>
      </c>
      <c r="C406" s="1" t="s">
        <v>2468</v>
      </c>
      <c r="D406" s="30" t="str">
        <f>IFERROR(__xludf.DUMMYFUNCTION("IFERROR(GOOGLEFINANCE(C406, ""NAME""))"),"QXO Inc")</f>
        <v>QXO Inc</v>
      </c>
      <c r="E406" s="30" t="s">
        <v>829</v>
      </c>
      <c r="F406" s="38" t="str">
        <f>IFERROR(__xludf.DUMMYFUNCTION("( (GOOGLEFINANCE(C406, ""price"") - Q406) / Q406 ) / (R406 / 100)"),"Loading...")</f>
        <v>Loading...</v>
      </c>
      <c r="G406" s="20" t="str">
        <f>IFERROR(__xludf.DUMMYFUNCTION("AVERAGE(ARRAYFORMULA(100 * (QUERY(GOOGLEFINANCE(C406, ""high"", TODAY()-40, TODAY()), ""SELECT Col2 WHERE Col2 IS NOT NULL ORDER BY Col1 DESC LIMIT 20"", 0) / QUERY(GOOGLEFINANCE(C406, ""low"", TODAY()-40, TODAY()), ""SELECT Col2 WHERE Col2 IS NOT NULL OR"&amp;"DER BY Col1 DESC LIMIT 20"", 0) - 1)))"),"#N/A")</f>
        <v>#N/A</v>
      </c>
      <c r="H406" s="35" t="str">
        <f t="shared" si="6"/>
        <v/>
      </c>
      <c r="I406" s="35" t="str">
        <f t="shared" si="7"/>
        <v/>
      </c>
      <c r="J406" s="37" t="str">
        <f>IFERROR(__xludf.DUMMYFUNCTION("IFERROR(
  IF(C406="""",, 
    IFERROR(
      GOOGLEFINANCE(C406, ""price"") * GOOGLEFINANCE(C406, ""volumeavg""), 
      GOOGLEFINANCE(C406, ""price"") * AVERAGE(QUERY(GOOGLEFINANCE(C406, ""volume"", TODAY()-40, TODAY()), ""SELECT Col2 WHERE Col2 IS NOT "&amp;"NULL ORDER BY Col1 DESC LIMIT 20"", 0))
    )
  ), 
"""")"),"")</f>
        <v/>
      </c>
      <c r="K406" s="21" t="str">
        <f>IFERROR(__xludf.DUMMYFUNCTION("IFERROR(GOOGLEFINANCE(C406, ""changepct"") / 100, """")"),"")</f>
        <v/>
      </c>
      <c r="L406" s="21" t="str">
        <f>IFERROR(__xludf.DUMMYFUNCTION("IFERROR((GOOGLEFINANCE(C406, ""price"") / INDEX(GOOGLEFINANCE(C406, ""price"", TODAY()-7, TODAY()), 2, 2)) - 1, """")"),"")</f>
        <v/>
      </c>
      <c r="M406" s="21" t="str">
        <f>IFERROR(__xludf.DUMMYFUNCTION("IFERROR((GOOGLEFINANCE(C406, ""price"") / INDEX(GOOGLEFINANCE(C406, ""price"", EDATE(TODAY(), -1), TODAY()), 2, 2)) - 1, """")"),"")</f>
        <v/>
      </c>
      <c r="N406" s="21" t="str">
        <f>IFERROR(__xludf.DUMMYFUNCTION("IFERROR((GOOGLEFINANCE(C406, ""price"") / INDEX(GOOGLEFINANCE(C406, ""price"", EDATE(TODAY(), -3), TODAY()), 2, 2)) - 1, """")"),"")</f>
        <v/>
      </c>
      <c r="O406" s="21" t="str">
        <f>IFERROR(__xludf.DUMMYFUNCTION("IFERROR((GOOGLEFINANCE(C406, ""price"") / INDEX(GOOGLEFINANCE(C406, ""price"", EDATE(TODAY(), -6), TODAY()), 2, 2)) - 1, """")"),"")</f>
        <v/>
      </c>
      <c r="P406" s="21" t="str">
        <f>IFERROR(__xludf.DUMMYFUNCTION("IFERROR((GOOGLEFINANCE(C406, ""price"") / INDEX(GOOGLEFINANCE(C406, ""price"", EDATE(TODAY(), -12), TODAY()), 2, 2)) - 1, """")"),"")</f>
        <v/>
      </c>
      <c r="Q406" s="6" t="str">
        <f>IFERROR(__xludf.DUMMYFUNCTION("AVERAGE(QUERY(GOOGLEFINANCE(C406, ""price"", TODAY()-80, TODAY()), ""SELECT Col2 WHERE Col2 IS NOT NULL ORDER BY Col1 DESC LIMIT 50"", 0))"),"#N/A")</f>
        <v>#N/A</v>
      </c>
      <c r="R406" s="24" t="str">
        <f>IFERROR(__xludf.DUMMYFUNCTION("IFERROR(
  LET(
    data, QUERY(GOOGLEFINANCE(C406,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GOOGLEFINANCE(C406, ""price"")) * 100,
    IF(calc=0, G406, calc)
  ), 
G406)"),"#N/A")</f>
        <v>#N/A</v>
      </c>
      <c r="S406" s="8" t="s">
        <v>15</v>
      </c>
      <c r="T406" s="26" t="str">
        <f>IFERROR(__xludf.DUMMYFUNCTION("IFERROR(TRANSPOSE(QUERY(IFERROR(SORT(GOOGLEFINANCE(C406, ""price"", WORKDAY(TODAY(), -40), TODAY()), 1, FALSE)), ""select Col2 where Col2 is not null limit 22 label Col2 ''"", 0)), """")"),"")</f>
        <v/>
      </c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8"/>
      <c r="AO406" s="28"/>
      <c r="AP406" s="29"/>
      <c r="AQ406" s="29" t="str">
        <f t="shared" ref="AQ406:BL406" si="409">T406/T$2</f>
        <v>#N/A</v>
      </c>
      <c r="AR406" s="29" t="str">
        <f t="shared" si="409"/>
        <v>#DIV/0!</v>
      </c>
      <c r="AS406" s="29" t="str">
        <f t="shared" si="409"/>
        <v>#DIV/0!</v>
      </c>
      <c r="AT406" s="29" t="str">
        <f t="shared" si="409"/>
        <v>#DIV/0!</v>
      </c>
      <c r="AU406" s="29" t="str">
        <f t="shared" si="409"/>
        <v>#DIV/0!</v>
      </c>
      <c r="AV406" s="29" t="str">
        <f t="shared" si="409"/>
        <v>#DIV/0!</v>
      </c>
      <c r="AW406" s="29" t="str">
        <f t="shared" si="409"/>
        <v>#DIV/0!</v>
      </c>
      <c r="AX406" s="29" t="str">
        <f t="shared" si="409"/>
        <v>#DIV/0!</v>
      </c>
      <c r="AY406" s="29" t="str">
        <f t="shared" si="409"/>
        <v>#DIV/0!</v>
      </c>
      <c r="AZ406" s="29" t="str">
        <f t="shared" si="409"/>
        <v>#DIV/0!</v>
      </c>
      <c r="BA406" s="29" t="str">
        <f t="shared" si="409"/>
        <v>#DIV/0!</v>
      </c>
      <c r="BB406" s="29" t="str">
        <f t="shared" si="409"/>
        <v>#DIV/0!</v>
      </c>
      <c r="BC406" s="29" t="str">
        <f t="shared" si="409"/>
        <v>#DIV/0!</v>
      </c>
      <c r="BD406" s="29" t="str">
        <f t="shared" si="409"/>
        <v>#DIV/0!</v>
      </c>
      <c r="BE406" s="29" t="str">
        <f t="shared" si="409"/>
        <v>#DIV/0!</v>
      </c>
      <c r="BF406" s="29" t="str">
        <f t="shared" si="409"/>
        <v>#DIV/0!</v>
      </c>
      <c r="BG406" s="29" t="str">
        <f t="shared" si="409"/>
        <v>#DIV/0!</v>
      </c>
      <c r="BH406" s="29" t="str">
        <f t="shared" si="409"/>
        <v>#DIV/0!</v>
      </c>
      <c r="BI406" s="29" t="str">
        <f t="shared" si="409"/>
        <v>#DIV/0!</v>
      </c>
      <c r="BJ406" s="29" t="str">
        <f t="shared" si="409"/>
        <v>#DIV/0!</v>
      </c>
      <c r="BK406" s="29" t="str">
        <f t="shared" si="409"/>
        <v>#DIV/0!</v>
      </c>
      <c r="BL406" s="29" t="str">
        <f t="shared" si="409"/>
        <v>#DIV/0!</v>
      </c>
      <c r="BM406" s="29" t="str">
        <f t="shared" si="3"/>
        <v>#DIV/0!</v>
      </c>
    </row>
    <row r="407">
      <c r="A407" s="16" t="str">
        <f>IFERROR(__xludf.DUMMYFUNCTION("IFERROR(SPARKLINE(SORT(MAP(TRANSPOSE(AQ407:BL407), LAMBDA(val, IF(ISNUMBER(val), PERCENTRANK(AQ407:BL407, val)+0.01, 0))), SEQUENCE(COLUMNS(AQ407:BL407)), FALSE), {""charttype"",""column""; ""color"",""chartreuse""; ""ymin"", 0; ""ymax"", 1.01; ""highcolo"&amp;"r"", ""darkgreen""; ""lowcolor"", ""red""}), """")"),"")</f>
        <v/>
      </c>
      <c r="B407" s="17" t="str">
        <f t="shared" si="4"/>
        <v/>
      </c>
      <c r="C407" s="1" t="s">
        <v>2472</v>
      </c>
      <c r="D407" s="30" t="str">
        <f>IFERROR(__xludf.DUMMYFUNCTION("IFERROR(GOOGLEFINANCE(C407, ""NAME""))"),"Graco Inc")</f>
        <v>Graco Inc</v>
      </c>
      <c r="E407" s="30" t="s">
        <v>893</v>
      </c>
      <c r="F407" s="33" t="str">
        <f>IFERROR(__xludf.DUMMYFUNCTION("( (GOOGLEFINANCE(C407, ""price"") - Q407) / Q407 ) / (R407 / 100)"),"Loading...")</f>
        <v>Loading...</v>
      </c>
      <c r="G407" s="20" t="str">
        <f>IFERROR(__xludf.DUMMYFUNCTION("AVERAGE(ARRAYFORMULA(100 * (QUERY(GOOGLEFINANCE(C407, ""high"", TODAY()-40, TODAY()), ""SELECT Col2 WHERE Col2 IS NOT NULL ORDER BY Col1 DESC LIMIT 20"", 0) / QUERY(GOOGLEFINANCE(C407, ""low"", TODAY()-40, TODAY()), ""SELECT Col2 WHERE Col2 IS NOT NULL OR"&amp;"DER BY Col1 DESC LIMIT 20"", 0) - 1)))"),"#N/A")</f>
        <v>#N/A</v>
      </c>
      <c r="H407" s="35" t="str">
        <f t="shared" si="6"/>
        <v/>
      </c>
      <c r="I407" s="35" t="str">
        <f t="shared" si="7"/>
        <v/>
      </c>
      <c r="J407" s="37" t="str">
        <f>IFERROR(__xludf.DUMMYFUNCTION("IFERROR(
  IF(C407="""",, 
    IFERROR(
      GOOGLEFINANCE(C407, ""price"") * GOOGLEFINANCE(C407, ""volumeavg""), 
      GOOGLEFINANCE(C407, ""price"") * AVERAGE(QUERY(GOOGLEFINANCE(C407, ""volume"", TODAY()-40, TODAY()), ""SELECT Col2 WHERE Col2 IS NOT "&amp;"NULL ORDER BY Col1 DESC LIMIT 20"", 0))
    )
  ), 
"""")"),"")</f>
        <v/>
      </c>
      <c r="K407" s="21" t="str">
        <f>IFERROR(__xludf.DUMMYFUNCTION("IFERROR(GOOGLEFINANCE(C407, ""changepct"") / 100, """")"),"")</f>
        <v/>
      </c>
      <c r="L407" s="21" t="str">
        <f>IFERROR(__xludf.DUMMYFUNCTION("IFERROR((GOOGLEFINANCE(C407, ""price"") / INDEX(GOOGLEFINANCE(C407, ""price"", TODAY()-7, TODAY()), 2, 2)) - 1, """")"),"")</f>
        <v/>
      </c>
      <c r="M407" s="21" t="str">
        <f>IFERROR(__xludf.DUMMYFUNCTION("IFERROR((GOOGLEFINANCE(C407, ""price"") / INDEX(GOOGLEFINANCE(C407, ""price"", EDATE(TODAY(), -1), TODAY()), 2, 2)) - 1, """")"),"")</f>
        <v/>
      </c>
      <c r="N407" s="21" t="str">
        <f>IFERROR(__xludf.DUMMYFUNCTION("IFERROR((GOOGLEFINANCE(C407, ""price"") / INDEX(GOOGLEFINANCE(C407, ""price"", EDATE(TODAY(), -3), TODAY()), 2, 2)) - 1, """")"),"")</f>
        <v/>
      </c>
      <c r="O407" s="21" t="str">
        <f>IFERROR(__xludf.DUMMYFUNCTION("IFERROR((GOOGLEFINANCE(C407, ""price"") / INDEX(GOOGLEFINANCE(C407, ""price"", EDATE(TODAY(), -6), TODAY()), 2, 2)) - 1, """")"),"")</f>
        <v/>
      </c>
      <c r="P407" s="21" t="str">
        <f>IFERROR(__xludf.DUMMYFUNCTION("IFERROR((GOOGLEFINANCE(C407, ""price"") / INDEX(GOOGLEFINANCE(C407, ""price"", EDATE(TODAY(), -12), TODAY()), 2, 2)) - 1, """")"),"")</f>
        <v/>
      </c>
      <c r="Q407" s="6" t="str">
        <f>IFERROR(__xludf.DUMMYFUNCTION("AVERAGE(QUERY(GOOGLEFINANCE(C407, ""price"", TODAY()-80, TODAY()), ""SELECT Col2 WHERE Col2 IS NOT NULL ORDER BY Col1 DESC LIMIT 50"", 0))"),"#N/A")</f>
        <v>#N/A</v>
      </c>
      <c r="R407" s="24" t="str">
        <f>IFERROR(__xludf.DUMMYFUNCTION("IFERROR(
  LET(
    data, QUERY(GOOGLEFINANCE(C407,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GOOGLEFINANCE(C407, ""price"")) * 100,
    IF(calc=0, G407, calc)
  ), 
G407)"),"#N/A")</f>
        <v>#N/A</v>
      </c>
      <c r="S407" s="8" t="s">
        <v>15</v>
      </c>
      <c r="T407" s="26" t="str">
        <f>IFERROR(__xludf.DUMMYFUNCTION("IFERROR(TRANSPOSE(QUERY(IFERROR(SORT(GOOGLEFINANCE(C407, ""price"", WORKDAY(TODAY(), -40), TODAY()), 1, FALSE)), ""select Col2 where Col2 is not null limit 22 label Col2 ''"", 0)), """")"),"")</f>
        <v/>
      </c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8"/>
      <c r="AO407" s="28"/>
      <c r="AP407" s="29"/>
      <c r="AQ407" s="29" t="str">
        <f t="shared" ref="AQ407:BL407" si="410">T407/T$2</f>
        <v>#N/A</v>
      </c>
      <c r="AR407" s="29" t="str">
        <f t="shared" si="410"/>
        <v>#DIV/0!</v>
      </c>
      <c r="AS407" s="29" t="str">
        <f t="shared" si="410"/>
        <v>#DIV/0!</v>
      </c>
      <c r="AT407" s="29" t="str">
        <f t="shared" si="410"/>
        <v>#DIV/0!</v>
      </c>
      <c r="AU407" s="29" t="str">
        <f t="shared" si="410"/>
        <v>#DIV/0!</v>
      </c>
      <c r="AV407" s="29" t="str">
        <f t="shared" si="410"/>
        <v>#DIV/0!</v>
      </c>
      <c r="AW407" s="29" t="str">
        <f t="shared" si="410"/>
        <v>#DIV/0!</v>
      </c>
      <c r="AX407" s="29" t="str">
        <f t="shared" si="410"/>
        <v>#DIV/0!</v>
      </c>
      <c r="AY407" s="29" t="str">
        <f t="shared" si="410"/>
        <v>#DIV/0!</v>
      </c>
      <c r="AZ407" s="29" t="str">
        <f t="shared" si="410"/>
        <v>#DIV/0!</v>
      </c>
      <c r="BA407" s="29" t="str">
        <f t="shared" si="410"/>
        <v>#DIV/0!</v>
      </c>
      <c r="BB407" s="29" t="str">
        <f t="shared" si="410"/>
        <v>#DIV/0!</v>
      </c>
      <c r="BC407" s="29" t="str">
        <f t="shared" si="410"/>
        <v>#DIV/0!</v>
      </c>
      <c r="BD407" s="29" t="str">
        <f t="shared" si="410"/>
        <v>#DIV/0!</v>
      </c>
      <c r="BE407" s="29" t="str">
        <f t="shared" si="410"/>
        <v>#DIV/0!</v>
      </c>
      <c r="BF407" s="29" t="str">
        <f t="shared" si="410"/>
        <v>#DIV/0!</v>
      </c>
      <c r="BG407" s="29" t="str">
        <f t="shared" si="410"/>
        <v>#DIV/0!</v>
      </c>
      <c r="BH407" s="29" t="str">
        <f t="shared" si="410"/>
        <v>#DIV/0!</v>
      </c>
      <c r="BI407" s="29" t="str">
        <f t="shared" si="410"/>
        <v>#DIV/0!</v>
      </c>
      <c r="BJ407" s="29" t="str">
        <f t="shared" si="410"/>
        <v>#DIV/0!</v>
      </c>
      <c r="BK407" s="29" t="str">
        <f t="shared" si="410"/>
        <v>#DIV/0!</v>
      </c>
      <c r="BL407" s="29" t="str">
        <f t="shared" si="410"/>
        <v>#DIV/0!</v>
      </c>
      <c r="BM407" s="29" t="str">
        <f t="shared" si="3"/>
        <v>#DIV/0!</v>
      </c>
    </row>
    <row r="408">
      <c r="A408" s="16" t="str">
        <f>IFERROR(__xludf.DUMMYFUNCTION("IFERROR(SPARKLINE(SORT(MAP(TRANSPOSE(AQ408:BL408), LAMBDA(val, IF(ISNUMBER(val), PERCENTRANK(AQ408:BL408, val)+0.01, 0))), SEQUENCE(COLUMNS(AQ408:BL408)), FALSE), {""charttype"",""column""; ""color"",""chartreuse""; ""ymin"", 0; ""ymax"", 1.01; ""highcolo"&amp;"r"", ""darkgreen""; ""lowcolor"", ""red""}), """")"),"")</f>
        <v/>
      </c>
      <c r="B408" s="17" t="str">
        <f t="shared" si="4"/>
        <v/>
      </c>
      <c r="C408" s="1" t="s">
        <v>2476</v>
      </c>
      <c r="D408" s="30" t="str">
        <f>IFERROR(__xludf.DUMMYFUNCTION("IFERROR(GOOGLEFINANCE(C408, ""NAME""))"),"Nordson Corp")</f>
        <v>Nordson Corp</v>
      </c>
      <c r="E408" s="30" t="s">
        <v>893</v>
      </c>
      <c r="F408" s="33" t="str">
        <f>IFERROR(__xludf.DUMMYFUNCTION("( (GOOGLEFINANCE(C408, ""price"") - Q408) / Q408 ) / (R408 / 100)"),"Loading...")</f>
        <v>Loading...</v>
      </c>
      <c r="G408" s="20" t="str">
        <f>IFERROR(__xludf.DUMMYFUNCTION("AVERAGE(ARRAYFORMULA(100 * (QUERY(GOOGLEFINANCE(C408, ""high"", TODAY()-40, TODAY()), ""SELECT Col2 WHERE Col2 IS NOT NULL ORDER BY Col1 DESC LIMIT 20"", 0) / QUERY(GOOGLEFINANCE(C408, ""low"", TODAY()-40, TODAY()), ""SELECT Col2 WHERE Col2 IS NOT NULL OR"&amp;"DER BY Col1 DESC LIMIT 20"", 0) - 1)))"),"#N/A")</f>
        <v>#N/A</v>
      </c>
      <c r="H408" s="35" t="str">
        <f t="shared" si="6"/>
        <v/>
      </c>
      <c r="I408" s="35" t="str">
        <f t="shared" si="7"/>
        <v/>
      </c>
      <c r="J408" s="37" t="str">
        <f>IFERROR(__xludf.DUMMYFUNCTION("IFERROR(
  IF(C408="""",, 
    IFERROR(
      GOOGLEFINANCE(C408, ""price"") * GOOGLEFINANCE(C408, ""volumeavg""), 
      GOOGLEFINANCE(C408, ""price"") * AVERAGE(QUERY(GOOGLEFINANCE(C408, ""volume"", TODAY()-40, TODAY()), ""SELECT Col2 WHERE Col2 IS NOT "&amp;"NULL ORDER BY Col1 DESC LIMIT 20"", 0))
    )
  ), 
"""")"),"")</f>
        <v/>
      </c>
      <c r="K408" s="21" t="str">
        <f>IFERROR(__xludf.DUMMYFUNCTION("IFERROR(GOOGLEFINANCE(C408, ""changepct"") / 100, """")"),"")</f>
        <v/>
      </c>
      <c r="L408" s="21" t="str">
        <f>IFERROR(__xludf.DUMMYFUNCTION("IFERROR((GOOGLEFINANCE(C408, ""price"") / INDEX(GOOGLEFINANCE(C408, ""price"", TODAY()-7, TODAY()), 2, 2)) - 1, """")"),"")</f>
        <v/>
      </c>
      <c r="M408" s="21" t="str">
        <f>IFERROR(__xludf.DUMMYFUNCTION("IFERROR((GOOGLEFINANCE(C408, ""price"") / INDEX(GOOGLEFINANCE(C408, ""price"", EDATE(TODAY(), -1), TODAY()), 2, 2)) - 1, """")"),"")</f>
        <v/>
      </c>
      <c r="N408" s="21" t="str">
        <f>IFERROR(__xludf.DUMMYFUNCTION("IFERROR((GOOGLEFINANCE(C408, ""price"") / INDEX(GOOGLEFINANCE(C408, ""price"", EDATE(TODAY(), -3), TODAY()), 2, 2)) - 1, """")"),"")</f>
        <v/>
      </c>
      <c r="O408" s="21" t="str">
        <f>IFERROR(__xludf.DUMMYFUNCTION("IFERROR((GOOGLEFINANCE(C408, ""price"") / INDEX(GOOGLEFINANCE(C408, ""price"", EDATE(TODAY(), -6), TODAY()), 2, 2)) - 1, """")"),"")</f>
        <v/>
      </c>
      <c r="P408" s="21" t="str">
        <f>IFERROR(__xludf.DUMMYFUNCTION("IFERROR((GOOGLEFINANCE(C408, ""price"") / INDEX(GOOGLEFINANCE(C408, ""price"", EDATE(TODAY(), -12), TODAY()), 2, 2)) - 1, """")"),"")</f>
        <v/>
      </c>
      <c r="Q408" s="6" t="str">
        <f>IFERROR(__xludf.DUMMYFUNCTION("AVERAGE(QUERY(GOOGLEFINANCE(C408, ""price"", TODAY()-80, TODAY()), ""SELECT Col2 WHERE Col2 IS NOT NULL ORDER BY Col1 DESC LIMIT 50"", 0))"),"#N/A")</f>
        <v>#N/A</v>
      </c>
      <c r="R408" s="24" t="str">
        <f>IFERROR(__xludf.DUMMYFUNCTION("IFERROR(
  LET(
    data, QUERY(GOOGLEFINANCE(C408,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GOOGLEFINANCE(C408, ""price"")) * 100,
    IF(calc=0, G408, calc)
  ), 
G408)"),"#N/A")</f>
        <v>#N/A</v>
      </c>
      <c r="S408" s="8" t="s">
        <v>15</v>
      </c>
      <c r="T408" s="26" t="str">
        <f>IFERROR(__xludf.DUMMYFUNCTION("IFERROR(TRANSPOSE(QUERY(IFERROR(SORT(GOOGLEFINANCE(C408, ""price"", WORKDAY(TODAY(), -40), TODAY()), 1, FALSE)), ""select Col2 where Col2 is not null limit 22 label Col2 ''"", 0)), """")"),"")</f>
        <v/>
      </c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8"/>
      <c r="AO408" s="28"/>
      <c r="AP408" s="29"/>
      <c r="AQ408" s="29" t="str">
        <f t="shared" ref="AQ408:BL408" si="411">T408/T$2</f>
        <v>#N/A</v>
      </c>
      <c r="AR408" s="29" t="str">
        <f t="shared" si="411"/>
        <v>#DIV/0!</v>
      </c>
      <c r="AS408" s="29" t="str">
        <f t="shared" si="411"/>
        <v>#DIV/0!</v>
      </c>
      <c r="AT408" s="29" t="str">
        <f t="shared" si="411"/>
        <v>#DIV/0!</v>
      </c>
      <c r="AU408" s="29" t="str">
        <f t="shared" si="411"/>
        <v>#DIV/0!</v>
      </c>
      <c r="AV408" s="29" t="str">
        <f t="shared" si="411"/>
        <v>#DIV/0!</v>
      </c>
      <c r="AW408" s="29" t="str">
        <f t="shared" si="411"/>
        <v>#DIV/0!</v>
      </c>
      <c r="AX408" s="29" t="str">
        <f t="shared" si="411"/>
        <v>#DIV/0!</v>
      </c>
      <c r="AY408" s="29" t="str">
        <f t="shared" si="411"/>
        <v>#DIV/0!</v>
      </c>
      <c r="AZ408" s="29" t="str">
        <f t="shared" si="411"/>
        <v>#DIV/0!</v>
      </c>
      <c r="BA408" s="29" t="str">
        <f t="shared" si="411"/>
        <v>#DIV/0!</v>
      </c>
      <c r="BB408" s="29" t="str">
        <f t="shared" si="411"/>
        <v>#DIV/0!</v>
      </c>
      <c r="BC408" s="29" t="str">
        <f t="shared" si="411"/>
        <v>#DIV/0!</v>
      </c>
      <c r="BD408" s="29" t="str">
        <f t="shared" si="411"/>
        <v>#DIV/0!</v>
      </c>
      <c r="BE408" s="29" t="str">
        <f t="shared" si="411"/>
        <v>#DIV/0!</v>
      </c>
      <c r="BF408" s="29" t="str">
        <f t="shared" si="411"/>
        <v>#DIV/0!</v>
      </c>
      <c r="BG408" s="29" t="str">
        <f t="shared" si="411"/>
        <v>#DIV/0!</v>
      </c>
      <c r="BH408" s="29" t="str">
        <f t="shared" si="411"/>
        <v>#DIV/0!</v>
      </c>
      <c r="BI408" s="29" t="str">
        <f t="shared" si="411"/>
        <v>#DIV/0!</v>
      </c>
      <c r="BJ408" s="29" t="str">
        <f t="shared" si="411"/>
        <v>#DIV/0!</v>
      </c>
      <c r="BK408" s="29" t="str">
        <f t="shared" si="411"/>
        <v>#DIV/0!</v>
      </c>
      <c r="BL408" s="29" t="str">
        <f t="shared" si="411"/>
        <v>#DIV/0!</v>
      </c>
      <c r="BM408" s="29" t="str">
        <f t="shared" si="3"/>
        <v>#DIV/0!</v>
      </c>
    </row>
    <row r="409">
      <c r="A409" s="16" t="str">
        <f>IFERROR(__xludf.DUMMYFUNCTION("IFERROR(SPARKLINE(SORT(MAP(TRANSPOSE(AQ409:BL409), LAMBDA(val, IF(ISNUMBER(val), PERCENTRANK(AQ409:BL409, val)+0.01, 0))), SEQUENCE(COLUMNS(AQ409:BL409)), FALSE), {""charttype"",""column""; ""color"",""chartreuse""; ""ymin"", 0; ""ymax"", 1.01; ""highcolo"&amp;"r"", ""darkgreen""; ""lowcolor"", ""red""}), """")"),"")</f>
        <v/>
      </c>
      <c r="B409" s="17" t="str">
        <f t="shared" si="4"/>
        <v/>
      </c>
      <c r="C409" s="1" t="s">
        <v>2480</v>
      </c>
      <c r="D409" s="30" t="str">
        <f>IFERROR(__xludf.DUMMYFUNCTION("IFERROR(GOOGLEFINANCE(C409, ""NAME""))"),"Pentair PLC")</f>
        <v>Pentair PLC</v>
      </c>
      <c r="E409" s="30" t="s">
        <v>893</v>
      </c>
      <c r="F409" s="33" t="str">
        <f>IFERROR(__xludf.DUMMYFUNCTION("( (GOOGLEFINANCE(C409, ""price"") - Q409) / Q409 ) / (R409 / 100)"),"Loading...")</f>
        <v>Loading...</v>
      </c>
      <c r="G409" s="20" t="str">
        <f>IFERROR(__xludf.DUMMYFUNCTION("AVERAGE(ARRAYFORMULA(100 * (QUERY(GOOGLEFINANCE(C409, ""high"", TODAY()-40, TODAY()), ""SELECT Col2 WHERE Col2 IS NOT NULL ORDER BY Col1 DESC LIMIT 20"", 0) / QUERY(GOOGLEFINANCE(C409, ""low"", TODAY()-40, TODAY()), ""SELECT Col2 WHERE Col2 IS NOT NULL OR"&amp;"DER BY Col1 DESC LIMIT 20"", 0) - 1)))"),"#N/A")</f>
        <v>#N/A</v>
      </c>
      <c r="H409" s="35" t="str">
        <f t="shared" si="6"/>
        <v/>
      </c>
      <c r="I409" s="35" t="str">
        <f t="shared" si="7"/>
        <v/>
      </c>
      <c r="J409" s="37" t="str">
        <f>IFERROR(__xludf.DUMMYFUNCTION("IFERROR(
  IF(C409="""",, 
    IFERROR(
      GOOGLEFINANCE(C409, ""price"") * GOOGLEFINANCE(C409, ""volumeavg""), 
      GOOGLEFINANCE(C409, ""price"") * AVERAGE(QUERY(GOOGLEFINANCE(C409, ""volume"", TODAY()-40, TODAY()), ""SELECT Col2 WHERE Col2 IS NOT "&amp;"NULL ORDER BY Col1 DESC LIMIT 20"", 0))
    )
  ), 
"""")"),"")</f>
        <v/>
      </c>
      <c r="K409" s="21" t="str">
        <f>IFERROR(__xludf.DUMMYFUNCTION("IFERROR(GOOGLEFINANCE(C409, ""changepct"") / 100, """")"),"")</f>
        <v/>
      </c>
      <c r="L409" s="21" t="str">
        <f>IFERROR(__xludf.DUMMYFUNCTION("IFERROR((GOOGLEFINANCE(C409, ""price"") / INDEX(GOOGLEFINANCE(C409, ""price"", TODAY()-7, TODAY()), 2, 2)) - 1, """")"),"")</f>
        <v/>
      </c>
      <c r="M409" s="21" t="str">
        <f>IFERROR(__xludf.DUMMYFUNCTION("IFERROR((GOOGLEFINANCE(C409, ""price"") / INDEX(GOOGLEFINANCE(C409, ""price"", EDATE(TODAY(), -1), TODAY()), 2, 2)) - 1, """")"),"")</f>
        <v/>
      </c>
      <c r="N409" s="21" t="str">
        <f>IFERROR(__xludf.DUMMYFUNCTION("IFERROR((GOOGLEFINANCE(C409, ""price"") / INDEX(GOOGLEFINANCE(C409, ""price"", EDATE(TODAY(), -3), TODAY()), 2, 2)) - 1, """")"),"")</f>
        <v/>
      </c>
      <c r="O409" s="21" t="str">
        <f>IFERROR(__xludf.DUMMYFUNCTION("IFERROR((GOOGLEFINANCE(C409, ""price"") / INDEX(GOOGLEFINANCE(C409, ""price"", EDATE(TODAY(), -6), TODAY()), 2, 2)) - 1, """")"),"")</f>
        <v/>
      </c>
      <c r="P409" s="21" t="str">
        <f>IFERROR(__xludf.DUMMYFUNCTION("IFERROR((GOOGLEFINANCE(C409, ""price"") / INDEX(GOOGLEFINANCE(C409, ""price"", EDATE(TODAY(), -12), TODAY()), 2, 2)) - 1, """")"),"")</f>
        <v/>
      </c>
      <c r="Q409" s="6" t="str">
        <f>IFERROR(__xludf.DUMMYFUNCTION("AVERAGE(QUERY(GOOGLEFINANCE(C409, ""price"", TODAY()-80, TODAY()), ""SELECT Col2 WHERE Col2 IS NOT NULL ORDER BY Col1 DESC LIMIT 50"", 0))"),"#N/A")</f>
        <v>#N/A</v>
      </c>
      <c r="R409" s="24" t="str">
        <f>IFERROR(__xludf.DUMMYFUNCTION("IFERROR(
  LET(
    data, QUERY(GOOGLEFINANCE(C409,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GOOGLEFINANCE(C409, ""price"")) * 100,
    IF(calc=0, G409, calc)
  ), 
G409)"),"#N/A")</f>
        <v>#N/A</v>
      </c>
      <c r="S409" s="8" t="s">
        <v>15</v>
      </c>
      <c r="T409" s="26" t="str">
        <f>IFERROR(__xludf.DUMMYFUNCTION("IFERROR(TRANSPOSE(QUERY(IFERROR(SORT(GOOGLEFINANCE(C409, ""price"", WORKDAY(TODAY(), -40), TODAY()), 1, FALSE)), ""select Col2 where Col2 is not null limit 22 label Col2 ''"", 0)), """")"),"")</f>
        <v/>
      </c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8"/>
      <c r="AO409" s="28"/>
      <c r="AP409" s="29"/>
      <c r="AQ409" s="29" t="str">
        <f t="shared" ref="AQ409:BL409" si="412">T409/T$2</f>
        <v>#N/A</v>
      </c>
      <c r="AR409" s="29" t="str">
        <f t="shared" si="412"/>
        <v>#DIV/0!</v>
      </c>
      <c r="AS409" s="29" t="str">
        <f t="shared" si="412"/>
        <v>#DIV/0!</v>
      </c>
      <c r="AT409" s="29" t="str">
        <f t="shared" si="412"/>
        <v>#DIV/0!</v>
      </c>
      <c r="AU409" s="29" t="str">
        <f t="shared" si="412"/>
        <v>#DIV/0!</v>
      </c>
      <c r="AV409" s="29" t="str">
        <f t="shared" si="412"/>
        <v>#DIV/0!</v>
      </c>
      <c r="AW409" s="29" t="str">
        <f t="shared" si="412"/>
        <v>#DIV/0!</v>
      </c>
      <c r="AX409" s="29" t="str">
        <f t="shared" si="412"/>
        <v>#DIV/0!</v>
      </c>
      <c r="AY409" s="29" t="str">
        <f t="shared" si="412"/>
        <v>#DIV/0!</v>
      </c>
      <c r="AZ409" s="29" t="str">
        <f t="shared" si="412"/>
        <v>#DIV/0!</v>
      </c>
      <c r="BA409" s="29" t="str">
        <f t="shared" si="412"/>
        <v>#DIV/0!</v>
      </c>
      <c r="BB409" s="29" t="str">
        <f t="shared" si="412"/>
        <v>#DIV/0!</v>
      </c>
      <c r="BC409" s="29" t="str">
        <f t="shared" si="412"/>
        <v>#DIV/0!</v>
      </c>
      <c r="BD409" s="29" t="str">
        <f t="shared" si="412"/>
        <v>#DIV/0!</v>
      </c>
      <c r="BE409" s="29" t="str">
        <f t="shared" si="412"/>
        <v>#DIV/0!</v>
      </c>
      <c r="BF409" s="29" t="str">
        <f t="shared" si="412"/>
        <v>#DIV/0!</v>
      </c>
      <c r="BG409" s="29" t="str">
        <f t="shared" si="412"/>
        <v>#DIV/0!</v>
      </c>
      <c r="BH409" s="29" t="str">
        <f t="shared" si="412"/>
        <v>#DIV/0!</v>
      </c>
      <c r="BI409" s="29" t="str">
        <f t="shared" si="412"/>
        <v>#DIV/0!</v>
      </c>
      <c r="BJ409" s="29" t="str">
        <f t="shared" si="412"/>
        <v>#DIV/0!</v>
      </c>
      <c r="BK409" s="29" t="str">
        <f t="shared" si="412"/>
        <v>#DIV/0!</v>
      </c>
      <c r="BL409" s="29" t="str">
        <f t="shared" si="412"/>
        <v>#DIV/0!</v>
      </c>
      <c r="BM409" s="29" t="str">
        <f t="shared" si="3"/>
        <v>#DIV/0!</v>
      </c>
    </row>
    <row r="410">
      <c r="A410" s="16" t="str">
        <f>IFERROR(__xludf.DUMMYFUNCTION("IFERROR(SPARKLINE(SORT(MAP(TRANSPOSE(AQ410:BL410), LAMBDA(val, IF(ISNUMBER(val), PERCENTRANK(AQ410:BL410, val)+0.01, 0))), SEQUENCE(COLUMNS(AQ410:BL410)), FALSE), {""charttype"",""column""; ""color"",""chartreuse""; ""ymin"", 0; ""ymax"", 1.01; ""highcolo"&amp;"r"", ""darkgreen""; ""lowcolor"", ""red""}), """")"),"")</f>
        <v/>
      </c>
      <c r="B410" s="17" t="str">
        <f t="shared" si="4"/>
        <v/>
      </c>
      <c r="C410" s="1" t="s">
        <v>2484</v>
      </c>
      <c r="D410" s="30" t="str">
        <f>IFERROR(__xludf.DUMMYFUNCTION("IFERROR(GOOGLEFINANCE(C410, ""NAME""))"),"Donaldson Company Inc")</f>
        <v>Donaldson Company Inc</v>
      </c>
      <c r="E410" s="30" t="s">
        <v>893</v>
      </c>
      <c r="F410" s="33" t="str">
        <f>IFERROR(__xludf.DUMMYFUNCTION("( (GOOGLEFINANCE(C410, ""price"") - Q410) / Q410 ) / (R410 / 100)"),"Loading...")</f>
        <v>Loading...</v>
      </c>
      <c r="G410" s="20" t="str">
        <f>IFERROR(__xludf.DUMMYFUNCTION("AVERAGE(ARRAYFORMULA(100 * (QUERY(GOOGLEFINANCE(C410, ""high"", TODAY()-40, TODAY()), ""SELECT Col2 WHERE Col2 IS NOT NULL ORDER BY Col1 DESC LIMIT 20"", 0) / QUERY(GOOGLEFINANCE(C410, ""low"", TODAY()-40, TODAY()), ""SELECT Col2 WHERE Col2 IS NOT NULL OR"&amp;"DER BY Col1 DESC LIMIT 20"", 0) - 1)))"),"#N/A")</f>
        <v>#N/A</v>
      </c>
      <c r="H410" s="35" t="str">
        <f t="shared" si="6"/>
        <v/>
      </c>
      <c r="I410" s="35" t="str">
        <f t="shared" si="7"/>
        <v/>
      </c>
      <c r="J410" s="37" t="str">
        <f>IFERROR(__xludf.DUMMYFUNCTION("IFERROR(
  IF(C410="""",, 
    IFERROR(
      GOOGLEFINANCE(C410, ""price"") * GOOGLEFINANCE(C410, ""volumeavg""), 
      GOOGLEFINANCE(C410, ""price"") * AVERAGE(QUERY(GOOGLEFINANCE(C410, ""volume"", TODAY()-40, TODAY()), ""SELECT Col2 WHERE Col2 IS NOT "&amp;"NULL ORDER BY Col1 DESC LIMIT 20"", 0))
    )
  ), 
"""")"),"")</f>
        <v/>
      </c>
      <c r="K410" s="21" t="str">
        <f>IFERROR(__xludf.DUMMYFUNCTION("IFERROR(GOOGLEFINANCE(C410, ""changepct"") / 100, """")"),"")</f>
        <v/>
      </c>
      <c r="L410" s="21" t="str">
        <f>IFERROR(__xludf.DUMMYFUNCTION("IFERROR((GOOGLEFINANCE(C410, ""price"") / INDEX(GOOGLEFINANCE(C410, ""price"", TODAY()-7, TODAY()), 2, 2)) - 1, """")"),"")</f>
        <v/>
      </c>
      <c r="M410" s="21" t="str">
        <f>IFERROR(__xludf.DUMMYFUNCTION("IFERROR((GOOGLEFINANCE(C410, ""price"") / INDEX(GOOGLEFINANCE(C410, ""price"", EDATE(TODAY(), -1), TODAY()), 2, 2)) - 1, """")"),"")</f>
        <v/>
      </c>
      <c r="N410" s="21" t="str">
        <f>IFERROR(__xludf.DUMMYFUNCTION("IFERROR((GOOGLEFINANCE(C410, ""price"") / INDEX(GOOGLEFINANCE(C410, ""price"", EDATE(TODAY(), -3), TODAY()), 2, 2)) - 1, """")"),"")</f>
        <v/>
      </c>
      <c r="O410" s="21" t="str">
        <f>IFERROR(__xludf.DUMMYFUNCTION("IFERROR((GOOGLEFINANCE(C410, ""price"") / INDEX(GOOGLEFINANCE(C410, ""price"", EDATE(TODAY(), -6), TODAY()), 2, 2)) - 1, """")"),"")</f>
        <v/>
      </c>
      <c r="P410" s="21" t="str">
        <f>IFERROR(__xludf.DUMMYFUNCTION("IFERROR((GOOGLEFINANCE(C410, ""price"") / INDEX(GOOGLEFINANCE(C410, ""price"", EDATE(TODAY(), -12), TODAY()), 2, 2)) - 1, """")"),"")</f>
        <v/>
      </c>
      <c r="Q410" s="6" t="str">
        <f>IFERROR(__xludf.DUMMYFUNCTION("AVERAGE(QUERY(GOOGLEFINANCE(C410, ""price"", TODAY()-80, TODAY()), ""SELECT Col2 WHERE Col2 IS NOT NULL ORDER BY Col1 DESC LIMIT 50"", 0))"),"#N/A")</f>
        <v>#N/A</v>
      </c>
      <c r="R410" s="24" t="str">
        <f>IFERROR(__xludf.DUMMYFUNCTION("IFERROR(
  LET(
    data, QUERY(GOOGLEFINANCE(C410,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GOOGLEFINANCE(C410, ""price"")) * 100,
    IF(calc=0, G410, calc)
  ), 
G410)"),"#N/A")</f>
        <v>#N/A</v>
      </c>
      <c r="S410" s="8" t="s">
        <v>15</v>
      </c>
      <c r="T410" s="26" t="str">
        <f>IFERROR(__xludf.DUMMYFUNCTION("IFERROR(TRANSPOSE(QUERY(IFERROR(SORT(GOOGLEFINANCE(C410, ""price"", WORKDAY(TODAY(), -40), TODAY()), 1, FALSE)), ""select Col2 where Col2 is not null limit 22 label Col2 ''"", 0)), """")"),"")</f>
        <v/>
      </c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8"/>
      <c r="AO410" s="28"/>
      <c r="AP410" s="29"/>
      <c r="AQ410" s="29" t="str">
        <f t="shared" ref="AQ410:BL410" si="413">T410/T$2</f>
        <v>#N/A</v>
      </c>
      <c r="AR410" s="29" t="str">
        <f t="shared" si="413"/>
        <v>#DIV/0!</v>
      </c>
      <c r="AS410" s="29" t="str">
        <f t="shared" si="413"/>
        <v>#DIV/0!</v>
      </c>
      <c r="AT410" s="29" t="str">
        <f t="shared" si="413"/>
        <v>#DIV/0!</v>
      </c>
      <c r="AU410" s="29" t="str">
        <f t="shared" si="413"/>
        <v>#DIV/0!</v>
      </c>
      <c r="AV410" s="29" t="str">
        <f t="shared" si="413"/>
        <v>#DIV/0!</v>
      </c>
      <c r="AW410" s="29" t="str">
        <f t="shared" si="413"/>
        <v>#DIV/0!</v>
      </c>
      <c r="AX410" s="29" t="str">
        <f t="shared" si="413"/>
        <v>#DIV/0!</v>
      </c>
      <c r="AY410" s="29" t="str">
        <f t="shared" si="413"/>
        <v>#DIV/0!</v>
      </c>
      <c r="AZ410" s="29" t="str">
        <f t="shared" si="413"/>
        <v>#DIV/0!</v>
      </c>
      <c r="BA410" s="29" t="str">
        <f t="shared" si="413"/>
        <v>#DIV/0!</v>
      </c>
      <c r="BB410" s="29" t="str">
        <f t="shared" si="413"/>
        <v>#DIV/0!</v>
      </c>
      <c r="BC410" s="29" t="str">
        <f t="shared" si="413"/>
        <v>#DIV/0!</v>
      </c>
      <c r="BD410" s="29" t="str">
        <f t="shared" si="413"/>
        <v>#DIV/0!</v>
      </c>
      <c r="BE410" s="29" t="str">
        <f t="shared" si="413"/>
        <v>#DIV/0!</v>
      </c>
      <c r="BF410" s="29" t="str">
        <f t="shared" si="413"/>
        <v>#DIV/0!</v>
      </c>
      <c r="BG410" s="29" t="str">
        <f t="shared" si="413"/>
        <v>#DIV/0!</v>
      </c>
      <c r="BH410" s="29" t="str">
        <f t="shared" si="413"/>
        <v>#DIV/0!</v>
      </c>
      <c r="BI410" s="29" t="str">
        <f t="shared" si="413"/>
        <v>#DIV/0!</v>
      </c>
      <c r="BJ410" s="29" t="str">
        <f t="shared" si="413"/>
        <v>#DIV/0!</v>
      </c>
      <c r="BK410" s="29" t="str">
        <f t="shared" si="413"/>
        <v>#DIV/0!</v>
      </c>
      <c r="BL410" s="29" t="str">
        <f t="shared" si="413"/>
        <v>#DIV/0!</v>
      </c>
      <c r="BM410" s="29" t="str">
        <f t="shared" si="3"/>
        <v>#DIV/0!</v>
      </c>
    </row>
    <row r="411">
      <c r="A411" s="16" t="str">
        <f>IFERROR(__xludf.DUMMYFUNCTION("IFERROR(SPARKLINE(SORT(MAP(TRANSPOSE(AQ411:BL411), LAMBDA(val, IF(ISNUMBER(val), PERCENTRANK(AQ411:BL411, val)+0.01, 0))), SEQUENCE(COLUMNS(AQ411:BL411)), FALSE), {""charttype"",""column""; ""color"",""chartreuse""; ""ymin"", 0; ""ymax"", 1.01; ""highcolo"&amp;"r"", ""darkgreen""; ""lowcolor"", ""red""}), """")"),"")</f>
        <v/>
      </c>
      <c r="B411" s="17" t="str">
        <f t="shared" si="4"/>
        <v/>
      </c>
      <c r="C411" s="1" t="s">
        <v>2488</v>
      </c>
      <c r="D411" s="30" t="str">
        <f>IFERROR(__xludf.DUMMYFUNCTION("IFERROR(GOOGLEFINANCE(C411, ""NAME""))"),"Ingersoll Rand Inc")</f>
        <v>Ingersoll Rand Inc</v>
      </c>
      <c r="E411" s="30" t="s">
        <v>893</v>
      </c>
      <c r="F411" s="38" t="str">
        <f>IFERROR(__xludf.DUMMYFUNCTION("( (GOOGLEFINANCE(C411, ""price"") - Q411) / Q411 ) / (R411 / 100)"),"Loading...")</f>
        <v>Loading...</v>
      </c>
      <c r="G411" s="20" t="str">
        <f>IFERROR(__xludf.DUMMYFUNCTION("AVERAGE(ARRAYFORMULA(100 * (QUERY(GOOGLEFINANCE(C411, ""high"", TODAY()-40, TODAY()), ""SELECT Col2 WHERE Col2 IS NOT NULL ORDER BY Col1 DESC LIMIT 20"", 0) / QUERY(GOOGLEFINANCE(C411, ""low"", TODAY()-40, TODAY()), ""SELECT Col2 WHERE Col2 IS NOT NULL OR"&amp;"DER BY Col1 DESC LIMIT 20"", 0) - 1)))"),"#N/A")</f>
        <v>#N/A</v>
      </c>
      <c r="H411" s="35" t="str">
        <f t="shared" si="6"/>
        <v/>
      </c>
      <c r="I411" s="35" t="str">
        <f t="shared" si="7"/>
        <v/>
      </c>
      <c r="J411" s="37" t="str">
        <f>IFERROR(__xludf.DUMMYFUNCTION("IFERROR(
  IF(C411="""",, 
    IFERROR(
      GOOGLEFINANCE(C411, ""price"") * GOOGLEFINANCE(C411, ""volumeavg""), 
      GOOGLEFINANCE(C411, ""price"") * AVERAGE(QUERY(GOOGLEFINANCE(C411, ""volume"", TODAY()-40, TODAY()), ""SELECT Col2 WHERE Col2 IS NOT "&amp;"NULL ORDER BY Col1 DESC LIMIT 20"", 0))
    )
  ), 
"""")"),"")</f>
        <v/>
      </c>
      <c r="K411" s="21" t="str">
        <f>IFERROR(__xludf.DUMMYFUNCTION("IFERROR(GOOGLEFINANCE(C411, ""changepct"") / 100, """")"),"")</f>
        <v/>
      </c>
      <c r="L411" s="21" t="str">
        <f>IFERROR(__xludf.DUMMYFUNCTION("IFERROR((GOOGLEFINANCE(C411, ""price"") / INDEX(GOOGLEFINANCE(C411, ""price"", TODAY()-7, TODAY()), 2, 2)) - 1, """")"),"")</f>
        <v/>
      </c>
      <c r="M411" s="21" t="str">
        <f>IFERROR(__xludf.DUMMYFUNCTION("IFERROR((GOOGLEFINANCE(C411, ""price"") / INDEX(GOOGLEFINANCE(C411, ""price"", EDATE(TODAY(), -1), TODAY()), 2, 2)) - 1, """")"),"")</f>
        <v/>
      </c>
      <c r="N411" s="21" t="str">
        <f>IFERROR(__xludf.DUMMYFUNCTION("IFERROR((GOOGLEFINANCE(C411, ""price"") / INDEX(GOOGLEFINANCE(C411, ""price"", EDATE(TODAY(), -3), TODAY()), 2, 2)) - 1, """")"),"")</f>
        <v/>
      </c>
      <c r="O411" s="21" t="str">
        <f>IFERROR(__xludf.DUMMYFUNCTION("IFERROR((GOOGLEFINANCE(C411, ""price"") / INDEX(GOOGLEFINANCE(C411, ""price"", EDATE(TODAY(), -6), TODAY()), 2, 2)) - 1, """")"),"")</f>
        <v/>
      </c>
      <c r="P411" s="21" t="str">
        <f>IFERROR(__xludf.DUMMYFUNCTION("IFERROR((GOOGLEFINANCE(C411, ""price"") / INDEX(GOOGLEFINANCE(C411, ""price"", EDATE(TODAY(), -12), TODAY()), 2, 2)) - 1, """")"),"")</f>
        <v/>
      </c>
      <c r="Q411" s="6" t="str">
        <f>IFERROR(__xludf.DUMMYFUNCTION("AVERAGE(QUERY(GOOGLEFINANCE(C411, ""price"", TODAY()-80, TODAY()), ""SELECT Col2 WHERE Col2 IS NOT NULL ORDER BY Col1 DESC LIMIT 50"", 0))"),"#N/A")</f>
        <v>#N/A</v>
      </c>
      <c r="R411" s="24" t="str">
        <f>IFERROR(__xludf.DUMMYFUNCTION("IFERROR(
  LET(
    data, QUERY(GOOGLEFINANCE(C411,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GOOGLEFINANCE(C411, ""price"")) * 100,
    IF(calc=0, G411, calc)
  ), 
G411)"),"#N/A")</f>
        <v>#N/A</v>
      </c>
      <c r="S411" s="8" t="s">
        <v>15</v>
      </c>
      <c r="T411" s="26" t="str">
        <f>IFERROR(__xludf.DUMMYFUNCTION("IFERROR(TRANSPOSE(QUERY(IFERROR(SORT(GOOGLEFINANCE(C411, ""price"", WORKDAY(TODAY(), -40), TODAY()), 1, FALSE)), ""select Col2 where Col2 is not null limit 22 label Col2 ''"", 0)), """")"),"")</f>
        <v/>
      </c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8"/>
      <c r="AO411" s="28"/>
      <c r="AP411" s="29"/>
      <c r="AQ411" s="29" t="str">
        <f t="shared" ref="AQ411:BL411" si="414">T411/T$2</f>
        <v>#N/A</v>
      </c>
      <c r="AR411" s="29" t="str">
        <f t="shared" si="414"/>
        <v>#DIV/0!</v>
      </c>
      <c r="AS411" s="29" t="str">
        <f t="shared" si="414"/>
        <v>#DIV/0!</v>
      </c>
      <c r="AT411" s="29" t="str">
        <f t="shared" si="414"/>
        <v>#DIV/0!</v>
      </c>
      <c r="AU411" s="29" t="str">
        <f t="shared" si="414"/>
        <v>#DIV/0!</v>
      </c>
      <c r="AV411" s="29" t="str">
        <f t="shared" si="414"/>
        <v>#DIV/0!</v>
      </c>
      <c r="AW411" s="29" t="str">
        <f t="shared" si="414"/>
        <v>#DIV/0!</v>
      </c>
      <c r="AX411" s="29" t="str">
        <f t="shared" si="414"/>
        <v>#DIV/0!</v>
      </c>
      <c r="AY411" s="29" t="str">
        <f t="shared" si="414"/>
        <v>#DIV/0!</v>
      </c>
      <c r="AZ411" s="29" t="str">
        <f t="shared" si="414"/>
        <v>#DIV/0!</v>
      </c>
      <c r="BA411" s="29" t="str">
        <f t="shared" si="414"/>
        <v>#DIV/0!</v>
      </c>
      <c r="BB411" s="29" t="str">
        <f t="shared" si="414"/>
        <v>#DIV/0!</v>
      </c>
      <c r="BC411" s="29" t="str">
        <f t="shared" si="414"/>
        <v>#DIV/0!</v>
      </c>
      <c r="BD411" s="29" t="str">
        <f t="shared" si="414"/>
        <v>#DIV/0!</v>
      </c>
      <c r="BE411" s="29" t="str">
        <f t="shared" si="414"/>
        <v>#DIV/0!</v>
      </c>
      <c r="BF411" s="29" t="str">
        <f t="shared" si="414"/>
        <v>#DIV/0!</v>
      </c>
      <c r="BG411" s="29" t="str">
        <f t="shared" si="414"/>
        <v>#DIV/0!</v>
      </c>
      <c r="BH411" s="29" t="str">
        <f t="shared" si="414"/>
        <v>#DIV/0!</v>
      </c>
      <c r="BI411" s="29" t="str">
        <f t="shared" si="414"/>
        <v>#DIV/0!</v>
      </c>
      <c r="BJ411" s="29" t="str">
        <f t="shared" si="414"/>
        <v>#DIV/0!</v>
      </c>
      <c r="BK411" s="29" t="str">
        <f t="shared" si="414"/>
        <v>#DIV/0!</v>
      </c>
      <c r="BL411" s="29" t="str">
        <f t="shared" si="414"/>
        <v>#DIV/0!</v>
      </c>
      <c r="BM411" s="29" t="str">
        <f t="shared" si="3"/>
        <v>#DIV/0!</v>
      </c>
    </row>
    <row r="412">
      <c r="A412" s="16" t="str">
        <f>IFERROR(__xludf.DUMMYFUNCTION("IFERROR(SPARKLINE(SORT(MAP(TRANSPOSE(AQ412:BL412), LAMBDA(val, IF(ISNUMBER(val), PERCENTRANK(AQ412:BL412, val)+0.01, 0))), SEQUENCE(COLUMNS(AQ412:BL412)), FALSE), {""charttype"",""column""; ""color"",""chartreuse""; ""ymin"", 0; ""ymax"", 1.01; ""highcolo"&amp;"r"", ""darkgreen""; ""lowcolor"", ""red""}), """")"),"")</f>
        <v/>
      </c>
      <c r="B412" s="17" t="str">
        <f t="shared" si="4"/>
        <v/>
      </c>
      <c r="C412" s="1" t="s">
        <v>2492</v>
      </c>
      <c r="D412" s="30" t="str">
        <f>IFERROR(__xludf.DUMMYFUNCTION("IFERROR(GOOGLEFINANCE(C412, ""NAME""))"),"A O Smith Corp")</f>
        <v>A O Smith Corp</v>
      </c>
      <c r="E412" s="30" t="s">
        <v>893</v>
      </c>
      <c r="F412" s="33" t="str">
        <f>IFERROR(__xludf.DUMMYFUNCTION("( (GOOGLEFINANCE(C412, ""price"") - Q412) / Q412 ) / (R412 / 100)"),"Loading...")</f>
        <v>Loading...</v>
      </c>
      <c r="G412" s="20" t="str">
        <f>IFERROR(__xludf.DUMMYFUNCTION("AVERAGE(ARRAYFORMULA(100 * (QUERY(GOOGLEFINANCE(C412, ""high"", TODAY()-40, TODAY()), ""SELECT Col2 WHERE Col2 IS NOT NULL ORDER BY Col1 DESC LIMIT 20"", 0) / QUERY(GOOGLEFINANCE(C412, ""low"", TODAY()-40, TODAY()), ""SELECT Col2 WHERE Col2 IS NOT NULL OR"&amp;"DER BY Col1 DESC LIMIT 20"", 0) - 1)))"),"#N/A")</f>
        <v>#N/A</v>
      </c>
      <c r="H412" s="35" t="str">
        <f t="shared" si="6"/>
        <v/>
      </c>
      <c r="I412" s="35" t="str">
        <f t="shared" si="7"/>
        <v/>
      </c>
      <c r="J412" s="37" t="str">
        <f>IFERROR(__xludf.DUMMYFUNCTION("IFERROR(
  IF(C412="""",, 
    IFERROR(
      GOOGLEFINANCE(C412, ""price"") * GOOGLEFINANCE(C412, ""volumeavg""), 
      GOOGLEFINANCE(C412, ""price"") * AVERAGE(QUERY(GOOGLEFINANCE(C412, ""volume"", TODAY()-40, TODAY()), ""SELECT Col2 WHERE Col2 IS NOT "&amp;"NULL ORDER BY Col1 DESC LIMIT 20"", 0))
    )
  ), 
"""")"),"")</f>
        <v/>
      </c>
      <c r="K412" s="21" t="str">
        <f>IFERROR(__xludf.DUMMYFUNCTION("IFERROR(GOOGLEFINANCE(C412, ""changepct"") / 100, """")"),"")</f>
        <v/>
      </c>
      <c r="L412" s="21" t="str">
        <f>IFERROR(__xludf.DUMMYFUNCTION("IFERROR((GOOGLEFINANCE(C412, ""price"") / INDEX(GOOGLEFINANCE(C412, ""price"", TODAY()-7, TODAY()), 2, 2)) - 1, """")"),"")</f>
        <v/>
      </c>
      <c r="M412" s="21" t="str">
        <f>IFERROR(__xludf.DUMMYFUNCTION("IFERROR((GOOGLEFINANCE(C412, ""price"") / INDEX(GOOGLEFINANCE(C412, ""price"", EDATE(TODAY(), -1), TODAY()), 2, 2)) - 1, """")"),"")</f>
        <v/>
      </c>
      <c r="N412" s="21" t="str">
        <f>IFERROR(__xludf.DUMMYFUNCTION("IFERROR((GOOGLEFINANCE(C412, ""price"") / INDEX(GOOGLEFINANCE(C412, ""price"", EDATE(TODAY(), -3), TODAY()), 2, 2)) - 1, """")"),"")</f>
        <v/>
      </c>
      <c r="O412" s="21" t="str">
        <f>IFERROR(__xludf.DUMMYFUNCTION("IFERROR((GOOGLEFINANCE(C412, ""price"") / INDEX(GOOGLEFINANCE(C412, ""price"", EDATE(TODAY(), -6), TODAY()), 2, 2)) - 1, """")"),"")</f>
        <v/>
      </c>
      <c r="P412" s="21" t="str">
        <f>IFERROR(__xludf.DUMMYFUNCTION("IFERROR((GOOGLEFINANCE(C412, ""price"") / INDEX(GOOGLEFINANCE(C412, ""price"", EDATE(TODAY(), -12), TODAY()), 2, 2)) - 1, """")"),"")</f>
        <v/>
      </c>
      <c r="Q412" s="6" t="str">
        <f>IFERROR(__xludf.DUMMYFUNCTION("AVERAGE(QUERY(GOOGLEFINANCE(C412, ""price"", TODAY()-80, TODAY()), ""SELECT Col2 WHERE Col2 IS NOT NULL ORDER BY Col1 DESC LIMIT 50"", 0))"),"#N/A")</f>
        <v>#N/A</v>
      </c>
      <c r="R412" s="24" t="str">
        <f>IFERROR(__xludf.DUMMYFUNCTION("IFERROR(
  LET(
    data, QUERY(GOOGLEFINANCE(C412,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GOOGLEFINANCE(C412, ""price"")) * 100,
    IF(calc=0, G412, calc)
  ), 
G412)"),"#N/A")</f>
        <v>#N/A</v>
      </c>
      <c r="S412" s="8" t="s">
        <v>15</v>
      </c>
      <c r="T412" s="26" t="str">
        <f>IFERROR(__xludf.DUMMYFUNCTION("IFERROR(TRANSPOSE(QUERY(IFERROR(SORT(GOOGLEFINANCE(C412, ""price"", WORKDAY(TODAY(), -40), TODAY()), 1, FALSE)), ""select Col2 where Col2 is not null limit 22 label Col2 ''"", 0)), """")"),"")</f>
        <v/>
      </c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8"/>
      <c r="AO412" s="28"/>
      <c r="AP412" s="29"/>
      <c r="AQ412" s="29" t="str">
        <f t="shared" ref="AQ412:BL412" si="415">T412/T$2</f>
        <v>#N/A</v>
      </c>
      <c r="AR412" s="29" t="str">
        <f t="shared" si="415"/>
        <v>#DIV/0!</v>
      </c>
      <c r="AS412" s="29" t="str">
        <f t="shared" si="415"/>
        <v>#DIV/0!</v>
      </c>
      <c r="AT412" s="29" t="str">
        <f t="shared" si="415"/>
        <v>#DIV/0!</v>
      </c>
      <c r="AU412" s="29" t="str">
        <f t="shared" si="415"/>
        <v>#DIV/0!</v>
      </c>
      <c r="AV412" s="29" t="str">
        <f t="shared" si="415"/>
        <v>#DIV/0!</v>
      </c>
      <c r="AW412" s="29" t="str">
        <f t="shared" si="415"/>
        <v>#DIV/0!</v>
      </c>
      <c r="AX412" s="29" t="str">
        <f t="shared" si="415"/>
        <v>#DIV/0!</v>
      </c>
      <c r="AY412" s="29" t="str">
        <f t="shared" si="415"/>
        <v>#DIV/0!</v>
      </c>
      <c r="AZ412" s="29" t="str">
        <f t="shared" si="415"/>
        <v>#DIV/0!</v>
      </c>
      <c r="BA412" s="29" t="str">
        <f t="shared" si="415"/>
        <v>#DIV/0!</v>
      </c>
      <c r="BB412" s="29" t="str">
        <f t="shared" si="415"/>
        <v>#DIV/0!</v>
      </c>
      <c r="BC412" s="29" t="str">
        <f t="shared" si="415"/>
        <v>#DIV/0!</v>
      </c>
      <c r="BD412" s="29" t="str">
        <f t="shared" si="415"/>
        <v>#DIV/0!</v>
      </c>
      <c r="BE412" s="29" t="str">
        <f t="shared" si="415"/>
        <v>#DIV/0!</v>
      </c>
      <c r="BF412" s="29" t="str">
        <f t="shared" si="415"/>
        <v>#DIV/0!</v>
      </c>
      <c r="BG412" s="29" t="str">
        <f t="shared" si="415"/>
        <v>#DIV/0!</v>
      </c>
      <c r="BH412" s="29" t="str">
        <f t="shared" si="415"/>
        <v>#DIV/0!</v>
      </c>
      <c r="BI412" s="29" t="str">
        <f t="shared" si="415"/>
        <v>#DIV/0!</v>
      </c>
      <c r="BJ412" s="29" t="str">
        <f t="shared" si="415"/>
        <v>#DIV/0!</v>
      </c>
      <c r="BK412" s="29" t="str">
        <f t="shared" si="415"/>
        <v>#DIV/0!</v>
      </c>
      <c r="BL412" s="29" t="str">
        <f t="shared" si="415"/>
        <v>#DIV/0!</v>
      </c>
      <c r="BM412" s="29" t="str">
        <f t="shared" si="3"/>
        <v>#DIV/0!</v>
      </c>
    </row>
    <row r="413">
      <c r="A413" s="16" t="str">
        <f>IFERROR(__xludf.DUMMYFUNCTION("IFERROR(SPARKLINE(SORT(MAP(TRANSPOSE(AQ413:BL413), LAMBDA(val, IF(ISNUMBER(val), PERCENTRANK(AQ413:BL413, val)+0.01, 0))), SEQUENCE(COLUMNS(AQ413:BL413)), FALSE), {""charttype"",""column""; ""color"",""chartreuse""; ""ymin"", 0; ""ymax"", 1.01; ""highcolo"&amp;"r"", ""darkgreen""; ""lowcolor"", ""red""}), """")"),"")</f>
        <v/>
      </c>
      <c r="B413" s="17" t="str">
        <f t="shared" si="4"/>
        <v/>
      </c>
      <c r="C413" s="1" t="s">
        <v>2496</v>
      </c>
      <c r="D413" s="30" t="str">
        <f>IFERROR(__xludf.DUMMYFUNCTION("IFERROR(GOOGLEFINANCE(C413, ""NAME""))"),"XPO Inc")</f>
        <v>XPO Inc</v>
      </c>
      <c r="E413" s="30" t="s">
        <v>1317</v>
      </c>
      <c r="F413" s="33" t="str">
        <f>IFERROR(__xludf.DUMMYFUNCTION("( (GOOGLEFINANCE(C413, ""price"") - Q413) / Q413 ) / (R413 / 100)"),"Loading...")</f>
        <v>Loading...</v>
      </c>
      <c r="G413" s="20" t="str">
        <f>IFERROR(__xludf.DUMMYFUNCTION("AVERAGE(ARRAYFORMULA(100 * (QUERY(GOOGLEFINANCE(C413, ""high"", TODAY()-40, TODAY()), ""SELECT Col2 WHERE Col2 IS NOT NULL ORDER BY Col1 DESC LIMIT 20"", 0) / QUERY(GOOGLEFINANCE(C413, ""low"", TODAY()-40, TODAY()), ""SELECT Col2 WHERE Col2 IS NOT NULL OR"&amp;"DER BY Col1 DESC LIMIT 20"", 0) - 1)))"),"#N/A")</f>
        <v>#N/A</v>
      </c>
      <c r="H413" s="35" t="str">
        <f t="shared" si="6"/>
        <v/>
      </c>
      <c r="I413" s="35" t="str">
        <f t="shared" si="7"/>
        <v/>
      </c>
      <c r="J413" s="37" t="str">
        <f>IFERROR(__xludf.DUMMYFUNCTION("IFERROR(
  IF(C413="""",, 
    IFERROR(
      GOOGLEFINANCE(C413, ""price"") * GOOGLEFINANCE(C413, ""volumeavg""), 
      GOOGLEFINANCE(C413, ""price"") * AVERAGE(QUERY(GOOGLEFINANCE(C413, ""volume"", TODAY()-40, TODAY()), ""SELECT Col2 WHERE Col2 IS NOT "&amp;"NULL ORDER BY Col1 DESC LIMIT 20"", 0))
    )
  ), 
"""")"),"")</f>
        <v/>
      </c>
      <c r="K413" s="21" t="str">
        <f>IFERROR(__xludf.DUMMYFUNCTION("IFERROR(GOOGLEFINANCE(C413, ""changepct"") / 100, """")"),"")</f>
        <v/>
      </c>
      <c r="L413" s="21" t="str">
        <f>IFERROR(__xludf.DUMMYFUNCTION("IFERROR((GOOGLEFINANCE(C413, ""price"") / INDEX(GOOGLEFINANCE(C413, ""price"", TODAY()-7, TODAY()), 2, 2)) - 1, """")"),"")</f>
        <v/>
      </c>
      <c r="M413" s="21" t="str">
        <f>IFERROR(__xludf.DUMMYFUNCTION("IFERROR((GOOGLEFINANCE(C413, ""price"") / INDEX(GOOGLEFINANCE(C413, ""price"", EDATE(TODAY(), -1), TODAY()), 2, 2)) - 1, """")"),"")</f>
        <v/>
      </c>
      <c r="N413" s="21" t="str">
        <f>IFERROR(__xludf.DUMMYFUNCTION("IFERROR((GOOGLEFINANCE(C413, ""price"") / INDEX(GOOGLEFINANCE(C413, ""price"", EDATE(TODAY(), -3), TODAY()), 2, 2)) - 1, """")"),"")</f>
        <v/>
      </c>
      <c r="O413" s="21" t="str">
        <f>IFERROR(__xludf.DUMMYFUNCTION("IFERROR((GOOGLEFINANCE(C413, ""price"") / INDEX(GOOGLEFINANCE(C413, ""price"", EDATE(TODAY(), -6), TODAY()), 2, 2)) - 1, """")"),"")</f>
        <v/>
      </c>
      <c r="P413" s="21" t="str">
        <f>IFERROR(__xludf.DUMMYFUNCTION("IFERROR((GOOGLEFINANCE(C413, ""price"") / INDEX(GOOGLEFINANCE(C413, ""price"", EDATE(TODAY(), -12), TODAY()), 2, 2)) - 1, """")"),"")</f>
        <v/>
      </c>
      <c r="Q413" s="6" t="str">
        <f>IFERROR(__xludf.DUMMYFUNCTION("AVERAGE(QUERY(GOOGLEFINANCE(C413, ""price"", TODAY()-80, TODAY()), ""SELECT Col2 WHERE Col2 IS NOT NULL ORDER BY Col1 DESC LIMIT 50"", 0))"),"#N/A")</f>
        <v>#N/A</v>
      </c>
      <c r="R413" s="24" t="str">
        <f>IFERROR(__xludf.DUMMYFUNCTION("IFERROR(
  LET(
    data, QUERY(GOOGLEFINANCE(C413,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GOOGLEFINANCE(C413, ""price"")) * 100,
    IF(calc=0, G413, calc)
  ), 
G413)"),"#N/A")</f>
        <v>#N/A</v>
      </c>
      <c r="S413" s="8" t="s">
        <v>15</v>
      </c>
      <c r="T413" s="26" t="str">
        <f>IFERROR(__xludf.DUMMYFUNCTION("IFERROR(TRANSPOSE(QUERY(IFERROR(SORT(GOOGLEFINANCE(C413, ""price"", WORKDAY(TODAY(), -40), TODAY()), 1, FALSE)), ""select Col2 where Col2 is not null limit 22 label Col2 ''"", 0)), """")"),"")</f>
        <v/>
      </c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8"/>
      <c r="AO413" s="28"/>
      <c r="AP413" s="29"/>
      <c r="AQ413" s="29" t="str">
        <f t="shared" ref="AQ413:BL413" si="416">T413/T$2</f>
        <v>#N/A</v>
      </c>
      <c r="AR413" s="29" t="str">
        <f t="shared" si="416"/>
        <v>#DIV/0!</v>
      </c>
      <c r="AS413" s="29" t="str">
        <f t="shared" si="416"/>
        <v>#DIV/0!</v>
      </c>
      <c r="AT413" s="29" t="str">
        <f t="shared" si="416"/>
        <v>#DIV/0!</v>
      </c>
      <c r="AU413" s="29" t="str">
        <f t="shared" si="416"/>
        <v>#DIV/0!</v>
      </c>
      <c r="AV413" s="29" t="str">
        <f t="shared" si="416"/>
        <v>#DIV/0!</v>
      </c>
      <c r="AW413" s="29" t="str">
        <f t="shared" si="416"/>
        <v>#DIV/0!</v>
      </c>
      <c r="AX413" s="29" t="str">
        <f t="shared" si="416"/>
        <v>#DIV/0!</v>
      </c>
      <c r="AY413" s="29" t="str">
        <f t="shared" si="416"/>
        <v>#DIV/0!</v>
      </c>
      <c r="AZ413" s="29" t="str">
        <f t="shared" si="416"/>
        <v>#DIV/0!</v>
      </c>
      <c r="BA413" s="29" t="str">
        <f t="shared" si="416"/>
        <v>#DIV/0!</v>
      </c>
      <c r="BB413" s="29" t="str">
        <f t="shared" si="416"/>
        <v>#DIV/0!</v>
      </c>
      <c r="BC413" s="29" t="str">
        <f t="shared" si="416"/>
        <v>#DIV/0!</v>
      </c>
      <c r="BD413" s="29" t="str">
        <f t="shared" si="416"/>
        <v>#DIV/0!</v>
      </c>
      <c r="BE413" s="29" t="str">
        <f t="shared" si="416"/>
        <v>#DIV/0!</v>
      </c>
      <c r="BF413" s="29" t="str">
        <f t="shared" si="416"/>
        <v>#DIV/0!</v>
      </c>
      <c r="BG413" s="29" t="str">
        <f t="shared" si="416"/>
        <v>#DIV/0!</v>
      </c>
      <c r="BH413" s="29" t="str">
        <f t="shared" si="416"/>
        <v>#DIV/0!</v>
      </c>
      <c r="BI413" s="29" t="str">
        <f t="shared" si="416"/>
        <v>#DIV/0!</v>
      </c>
      <c r="BJ413" s="29" t="str">
        <f t="shared" si="416"/>
        <v>#DIV/0!</v>
      </c>
      <c r="BK413" s="29" t="str">
        <f t="shared" si="416"/>
        <v>#DIV/0!</v>
      </c>
      <c r="BL413" s="29" t="str">
        <f t="shared" si="416"/>
        <v>#DIV/0!</v>
      </c>
      <c r="BM413" s="29" t="str">
        <f t="shared" si="3"/>
        <v>#DIV/0!</v>
      </c>
    </row>
    <row r="414">
      <c r="A414" s="16" t="str">
        <f>IFERROR(__xludf.DUMMYFUNCTION("IFERROR(SPARKLINE(SORT(MAP(TRANSPOSE(AQ414:BL414), LAMBDA(val, IF(ISNUMBER(val), PERCENTRANK(AQ414:BL414, val)+0.01, 0))), SEQUENCE(COLUMNS(AQ414:BL414)), FALSE), {""charttype"",""column""; ""color"",""chartreuse""; ""ymin"", 0; ""ymax"", 1.01; ""highcolo"&amp;"r"", ""darkgreen""; ""lowcolor"", ""red""}), """")"),"")</f>
        <v/>
      </c>
      <c r="B414" s="17" t="str">
        <f t="shared" si="4"/>
        <v/>
      </c>
      <c r="C414" s="1" t="s">
        <v>2500</v>
      </c>
      <c r="D414" s="30" t="str">
        <f>IFERROR(__xludf.DUMMYFUNCTION("IFERROR(GOOGLEFINANCE(C414, ""NAME""))"),"Grupo Aeroportr dl Pcfco SAB de CV")</f>
        <v>Grupo Aeroportr dl Pcfco SAB de CV</v>
      </c>
      <c r="E414" s="30" t="s">
        <v>1001</v>
      </c>
      <c r="F414" s="33" t="str">
        <f>IFERROR(__xludf.DUMMYFUNCTION("( (GOOGLEFINANCE(C414, ""price"") - Q414) / Q414 ) / (R414 / 100)"),"Loading...")</f>
        <v>Loading...</v>
      </c>
      <c r="G414" s="20" t="str">
        <f>IFERROR(__xludf.DUMMYFUNCTION("AVERAGE(ARRAYFORMULA(100 * (QUERY(GOOGLEFINANCE(C414, ""high"", TODAY()-40, TODAY()), ""SELECT Col2 WHERE Col2 IS NOT NULL ORDER BY Col1 DESC LIMIT 20"", 0) / QUERY(GOOGLEFINANCE(C414, ""low"", TODAY()-40, TODAY()), ""SELECT Col2 WHERE Col2 IS NOT NULL OR"&amp;"DER BY Col1 DESC LIMIT 20"", 0) - 1)))"),"#N/A")</f>
        <v>#N/A</v>
      </c>
      <c r="H414" s="35" t="str">
        <f t="shared" si="6"/>
        <v/>
      </c>
      <c r="I414" s="35" t="str">
        <f t="shared" si="7"/>
        <v/>
      </c>
      <c r="J414" s="37" t="str">
        <f>IFERROR(__xludf.DUMMYFUNCTION("IFERROR(
  IF(C414="""",, 
    IFERROR(
      GOOGLEFINANCE(C414, ""price"") * GOOGLEFINANCE(C414, ""volumeavg""), 
      GOOGLEFINANCE(C414, ""price"") * AVERAGE(QUERY(GOOGLEFINANCE(C414, ""volume"", TODAY()-40, TODAY()), ""SELECT Col2 WHERE Col2 IS NOT "&amp;"NULL ORDER BY Col1 DESC LIMIT 20"", 0))
    )
  ), 
"""")"),"")</f>
        <v/>
      </c>
      <c r="K414" s="21" t="str">
        <f>IFERROR(__xludf.DUMMYFUNCTION("IFERROR(GOOGLEFINANCE(C414, ""changepct"") / 100, """")"),"")</f>
        <v/>
      </c>
      <c r="L414" s="21" t="str">
        <f>IFERROR(__xludf.DUMMYFUNCTION("IFERROR((GOOGLEFINANCE(C414, ""price"") / INDEX(GOOGLEFINANCE(C414, ""price"", TODAY()-7, TODAY()), 2, 2)) - 1, """")"),"")</f>
        <v/>
      </c>
      <c r="M414" s="21" t="str">
        <f>IFERROR(__xludf.DUMMYFUNCTION("IFERROR((GOOGLEFINANCE(C414, ""price"") / INDEX(GOOGLEFINANCE(C414, ""price"", EDATE(TODAY(), -1), TODAY()), 2, 2)) - 1, """")"),"")</f>
        <v/>
      </c>
      <c r="N414" s="21" t="str">
        <f>IFERROR(__xludf.DUMMYFUNCTION("IFERROR((GOOGLEFINANCE(C414, ""price"") / INDEX(GOOGLEFINANCE(C414, ""price"", EDATE(TODAY(), -3), TODAY()), 2, 2)) - 1, """")"),"")</f>
        <v/>
      </c>
      <c r="O414" s="21" t="str">
        <f>IFERROR(__xludf.DUMMYFUNCTION("IFERROR((GOOGLEFINANCE(C414, ""price"") / INDEX(GOOGLEFINANCE(C414, ""price"", EDATE(TODAY(), -6), TODAY()), 2, 2)) - 1, """")"),"")</f>
        <v/>
      </c>
      <c r="P414" s="21" t="str">
        <f>IFERROR(__xludf.DUMMYFUNCTION("IFERROR((GOOGLEFINANCE(C414, ""price"") / INDEX(GOOGLEFINANCE(C414, ""price"", EDATE(TODAY(), -12), TODAY()), 2, 2)) - 1, """")"),"")</f>
        <v/>
      </c>
      <c r="Q414" s="6" t="str">
        <f>IFERROR(__xludf.DUMMYFUNCTION("AVERAGE(QUERY(GOOGLEFINANCE(C414, ""price"", TODAY()-80, TODAY()), ""SELECT Col2 WHERE Col2 IS NOT NULL ORDER BY Col1 DESC LIMIT 50"", 0))"),"#N/A")</f>
        <v>#N/A</v>
      </c>
      <c r="R414" s="24" t="str">
        <f>IFERROR(__xludf.DUMMYFUNCTION("IFERROR(
  LET(
    data, QUERY(GOOGLEFINANCE(C414,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GOOGLEFINANCE(C414, ""price"")) * 100,
    IF(calc=0, G414, calc)
  ), 
G414)"),"#N/A")</f>
        <v>#N/A</v>
      </c>
      <c r="S414" s="8" t="s">
        <v>15</v>
      </c>
      <c r="T414" s="26" t="str">
        <f>IFERROR(__xludf.DUMMYFUNCTION("IFERROR(TRANSPOSE(QUERY(IFERROR(SORT(GOOGLEFINANCE(C414, ""price"", WORKDAY(TODAY(), -40), TODAY()), 1, FALSE)), ""select Col2 where Col2 is not null limit 22 label Col2 ''"", 0)), """")"),"")</f>
        <v/>
      </c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8"/>
      <c r="AO414" s="28"/>
      <c r="AP414" s="29"/>
      <c r="AQ414" s="29" t="str">
        <f t="shared" ref="AQ414:BL414" si="417">T414/T$2</f>
        <v>#N/A</v>
      </c>
      <c r="AR414" s="29" t="str">
        <f t="shared" si="417"/>
        <v>#DIV/0!</v>
      </c>
      <c r="AS414" s="29" t="str">
        <f t="shared" si="417"/>
        <v>#DIV/0!</v>
      </c>
      <c r="AT414" s="29" t="str">
        <f t="shared" si="417"/>
        <v>#DIV/0!</v>
      </c>
      <c r="AU414" s="29" t="str">
        <f t="shared" si="417"/>
        <v>#DIV/0!</v>
      </c>
      <c r="AV414" s="29" t="str">
        <f t="shared" si="417"/>
        <v>#DIV/0!</v>
      </c>
      <c r="AW414" s="29" t="str">
        <f t="shared" si="417"/>
        <v>#DIV/0!</v>
      </c>
      <c r="AX414" s="29" t="str">
        <f t="shared" si="417"/>
        <v>#DIV/0!</v>
      </c>
      <c r="AY414" s="29" t="str">
        <f t="shared" si="417"/>
        <v>#DIV/0!</v>
      </c>
      <c r="AZ414" s="29" t="str">
        <f t="shared" si="417"/>
        <v>#DIV/0!</v>
      </c>
      <c r="BA414" s="29" t="str">
        <f t="shared" si="417"/>
        <v>#DIV/0!</v>
      </c>
      <c r="BB414" s="29" t="str">
        <f t="shared" si="417"/>
        <v>#DIV/0!</v>
      </c>
      <c r="BC414" s="29" t="str">
        <f t="shared" si="417"/>
        <v>#DIV/0!</v>
      </c>
      <c r="BD414" s="29" t="str">
        <f t="shared" si="417"/>
        <v>#DIV/0!</v>
      </c>
      <c r="BE414" s="29" t="str">
        <f t="shared" si="417"/>
        <v>#DIV/0!</v>
      </c>
      <c r="BF414" s="29" t="str">
        <f t="shared" si="417"/>
        <v>#DIV/0!</v>
      </c>
      <c r="BG414" s="29" t="str">
        <f t="shared" si="417"/>
        <v>#DIV/0!</v>
      </c>
      <c r="BH414" s="29" t="str">
        <f t="shared" si="417"/>
        <v>#DIV/0!</v>
      </c>
      <c r="BI414" s="29" t="str">
        <f t="shared" si="417"/>
        <v>#DIV/0!</v>
      </c>
      <c r="BJ414" s="29" t="str">
        <f t="shared" si="417"/>
        <v>#DIV/0!</v>
      </c>
      <c r="BK414" s="29" t="str">
        <f t="shared" si="417"/>
        <v>#DIV/0!</v>
      </c>
      <c r="BL414" s="29" t="str">
        <f t="shared" si="417"/>
        <v>#DIV/0!</v>
      </c>
      <c r="BM414" s="29" t="str">
        <f t="shared" si="3"/>
        <v>#DIV/0!</v>
      </c>
    </row>
    <row r="415">
      <c r="A415" s="16" t="str">
        <f>IFERROR(__xludf.DUMMYFUNCTION("IFERROR(SPARKLINE(SORT(MAP(TRANSPOSE(AQ415:BL415), LAMBDA(val, IF(ISNUMBER(val), PERCENTRANK(AQ415:BL415, val)+0.01, 0))), SEQUENCE(COLUMNS(AQ415:BL415)), FALSE), {""charttype"",""column""; ""color"",""chartreuse""; ""ymin"", 0; ""ymax"", 1.01; ""highcolo"&amp;"r"", ""darkgreen""; ""lowcolor"", ""red""}), """")"),"")</f>
        <v/>
      </c>
      <c r="B415" s="17" t="str">
        <f t="shared" si="4"/>
        <v/>
      </c>
      <c r="C415" s="1" t="s">
        <v>2504</v>
      </c>
      <c r="D415" s="30" t="str">
        <f>IFERROR(__xludf.DUMMYFUNCTION("IFERROR(GOOGLEFINANCE(C415, ""NAME""))"),"Latham Group Inc")</f>
        <v>Latham Group Inc</v>
      </c>
      <c r="E415" s="30" t="s">
        <v>968</v>
      </c>
      <c r="F415" s="33" t="str">
        <f>IFERROR(__xludf.DUMMYFUNCTION("( (GOOGLEFINANCE(C415, ""price"") - Q415) / Q415 ) / (R415 / 100)"),"Loading...")</f>
        <v>Loading...</v>
      </c>
      <c r="G415" s="20" t="str">
        <f>IFERROR(__xludf.DUMMYFUNCTION("AVERAGE(ARRAYFORMULA(100 * (QUERY(GOOGLEFINANCE(C415, ""high"", TODAY()-40, TODAY()), ""SELECT Col2 WHERE Col2 IS NOT NULL ORDER BY Col1 DESC LIMIT 20"", 0) / QUERY(GOOGLEFINANCE(C415, ""low"", TODAY()-40, TODAY()), ""SELECT Col2 WHERE Col2 IS NOT NULL OR"&amp;"DER BY Col1 DESC LIMIT 20"", 0) - 1)))"),"#N/A")</f>
        <v>#N/A</v>
      </c>
      <c r="H415" s="35" t="str">
        <f t="shared" si="6"/>
        <v/>
      </c>
      <c r="I415" s="35" t="str">
        <f t="shared" si="7"/>
        <v/>
      </c>
      <c r="J415" s="37" t="str">
        <f>IFERROR(__xludf.DUMMYFUNCTION("IFERROR(
  IF(C415="""",, 
    IFERROR(
      GOOGLEFINANCE(C415, ""price"") * GOOGLEFINANCE(C415, ""volumeavg""), 
      GOOGLEFINANCE(C415, ""price"") * AVERAGE(QUERY(GOOGLEFINANCE(C415, ""volume"", TODAY()-40, TODAY()), ""SELECT Col2 WHERE Col2 IS NOT "&amp;"NULL ORDER BY Col1 DESC LIMIT 20"", 0))
    )
  ), 
"""")"),"")</f>
        <v/>
      </c>
      <c r="K415" s="21" t="str">
        <f>IFERROR(__xludf.DUMMYFUNCTION("IFERROR(GOOGLEFINANCE(C415, ""changepct"") / 100, """")"),"")</f>
        <v/>
      </c>
      <c r="L415" s="21" t="str">
        <f>IFERROR(__xludf.DUMMYFUNCTION("IFERROR((GOOGLEFINANCE(C415, ""price"") / INDEX(GOOGLEFINANCE(C415, ""price"", TODAY()-7, TODAY()), 2, 2)) - 1, """")"),"")</f>
        <v/>
      </c>
      <c r="M415" s="21" t="str">
        <f>IFERROR(__xludf.DUMMYFUNCTION("IFERROR((GOOGLEFINANCE(C415, ""price"") / INDEX(GOOGLEFINANCE(C415, ""price"", EDATE(TODAY(), -1), TODAY()), 2, 2)) - 1, """")"),"")</f>
        <v/>
      </c>
      <c r="N415" s="21" t="str">
        <f>IFERROR(__xludf.DUMMYFUNCTION("IFERROR((GOOGLEFINANCE(C415, ""price"") / INDEX(GOOGLEFINANCE(C415, ""price"", EDATE(TODAY(), -3), TODAY()), 2, 2)) - 1, """")"),"")</f>
        <v/>
      </c>
      <c r="O415" s="21" t="str">
        <f>IFERROR(__xludf.DUMMYFUNCTION("IFERROR((GOOGLEFINANCE(C415, ""price"") / INDEX(GOOGLEFINANCE(C415, ""price"", EDATE(TODAY(), -6), TODAY()), 2, 2)) - 1, """")"),"")</f>
        <v/>
      </c>
      <c r="P415" s="21" t="str">
        <f>IFERROR(__xludf.DUMMYFUNCTION("IFERROR((GOOGLEFINANCE(C415, ""price"") / INDEX(GOOGLEFINANCE(C415, ""price"", EDATE(TODAY(), -12), TODAY()), 2, 2)) - 1, """")"),"")</f>
        <v/>
      </c>
      <c r="Q415" s="6" t="str">
        <f>IFERROR(__xludf.DUMMYFUNCTION("AVERAGE(QUERY(GOOGLEFINANCE(C415, ""price"", TODAY()-80, TODAY()), ""SELECT Col2 WHERE Col2 IS NOT NULL ORDER BY Col1 DESC LIMIT 50"", 0))"),"#N/A")</f>
        <v>#N/A</v>
      </c>
      <c r="R415" s="24" t="str">
        <f>IFERROR(__xludf.DUMMYFUNCTION("IFERROR(
  LET(
    data, QUERY(GOOGLEFINANCE(C415,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GOOGLEFINANCE(C415, ""price"")) * 100,
    IF(calc=0, G415, calc)
  ), 
G415)"),"#N/A")</f>
        <v>#N/A</v>
      </c>
      <c r="S415" s="8" t="s">
        <v>15</v>
      </c>
      <c r="T415" s="26" t="str">
        <f>IFERROR(__xludf.DUMMYFUNCTION("IFERROR(TRANSPOSE(QUERY(IFERROR(SORT(GOOGLEFINANCE(C415, ""price"", WORKDAY(TODAY(), -40), TODAY()), 1, FALSE)), ""select Col2 where Col2 is not null limit 22 label Col2 ''"", 0)), """")"),"")</f>
        <v/>
      </c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8"/>
      <c r="AO415" s="28"/>
      <c r="AP415" s="29"/>
      <c r="AQ415" s="29" t="str">
        <f t="shared" ref="AQ415:BL415" si="418">T415/T$2</f>
        <v>#N/A</v>
      </c>
      <c r="AR415" s="29" t="str">
        <f t="shared" si="418"/>
        <v>#DIV/0!</v>
      </c>
      <c r="AS415" s="29" t="str">
        <f t="shared" si="418"/>
        <v>#DIV/0!</v>
      </c>
      <c r="AT415" s="29" t="str">
        <f t="shared" si="418"/>
        <v>#DIV/0!</v>
      </c>
      <c r="AU415" s="29" t="str">
        <f t="shared" si="418"/>
        <v>#DIV/0!</v>
      </c>
      <c r="AV415" s="29" t="str">
        <f t="shared" si="418"/>
        <v>#DIV/0!</v>
      </c>
      <c r="AW415" s="29" t="str">
        <f t="shared" si="418"/>
        <v>#DIV/0!</v>
      </c>
      <c r="AX415" s="29" t="str">
        <f t="shared" si="418"/>
        <v>#DIV/0!</v>
      </c>
      <c r="AY415" s="29" t="str">
        <f t="shared" si="418"/>
        <v>#DIV/0!</v>
      </c>
      <c r="AZ415" s="29" t="str">
        <f t="shared" si="418"/>
        <v>#DIV/0!</v>
      </c>
      <c r="BA415" s="29" t="str">
        <f t="shared" si="418"/>
        <v>#DIV/0!</v>
      </c>
      <c r="BB415" s="29" t="str">
        <f t="shared" si="418"/>
        <v>#DIV/0!</v>
      </c>
      <c r="BC415" s="29" t="str">
        <f t="shared" si="418"/>
        <v>#DIV/0!</v>
      </c>
      <c r="BD415" s="29" t="str">
        <f t="shared" si="418"/>
        <v>#DIV/0!</v>
      </c>
      <c r="BE415" s="29" t="str">
        <f t="shared" si="418"/>
        <v>#DIV/0!</v>
      </c>
      <c r="BF415" s="29" t="str">
        <f t="shared" si="418"/>
        <v>#DIV/0!</v>
      </c>
      <c r="BG415" s="29" t="str">
        <f t="shared" si="418"/>
        <v>#DIV/0!</v>
      </c>
      <c r="BH415" s="29" t="str">
        <f t="shared" si="418"/>
        <v>#DIV/0!</v>
      </c>
      <c r="BI415" s="29" t="str">
        <f t="shared" si="418"/>
        <v>#DIV/0!</v>
      </c>
      <c r="BJ415" s="29" t="str">
        <f t="shared" si="418"/>
        <v>#DIV/0!</v>
      </c>
      <c r="BK415" s="29" t="str">
        <f t="shared" si="418"/>
        <v>#DIV/0!</v>
      </c>
      <c r="BL415" s="29" t="str">
        <f t="shared" si="418"/>
        <v>#DIV/0!</v>
      </c>
      <c r="BM415" s="29" t="str">
        <f t="shared" si="3"/>
        <v>#DIV/0!</v>
      </c>
    </row>
    <row r="416">
      <c r="A416" s="16" t="str">
        <f>IFERROR(__xludf.DUMMYFUNCTION("IFERROR(SPARKLINE(SORT(MAP(TRANSPOSE(AQ416:BL416), LAMBDA(val, IF(ISNUMBER(val), PERCENTRANK(AQ416:BL416, val)+0.01, 0))), SEQUENCE(COLUMNS(AQ416:BL416)), FALSE), {""charttype"",""column""; ""color"",""chartreuse""; ""ymin"", 0; ""ymax"", 1.01; ""highcolo"&amp;"r"", ""darkgreen""; ""lowcolor"", ""red""}), """")"),"")</f>
        <v/>
      </c>
      <c r="B416" s="17" t="str">
        <f t="shared" si="4"/>
        <v/>
      </c>
      <c r="C416" s="1" t="s">
        <v>2509</v>
      </c>
      <c r="D416" s="30" t="str">
        <f>IFERROR(__xludf.DUMMYFUNCTION("IFERROR(GOOGLEFINANCE(C416, ""NAME""))"),"Stantec Inc")</f>
        <v>Stantec Inc</v>
      </c>
      <c r="E416" s="30" t="s">
        <v>856</v>
      </c>
      <c r="F416" s="33" t="str">
        <f>IFERROR(__xludf.DUMMYFUNCTION("( (GOOGLEFINANCE(C416, ""price"") - Q416) / Q416 ) / (R416 / 100)"),"Loading...")</f>
        <v>Loading...</v>
      </c>
      <c r="G416" s="20" t="str">
        <f>IFERROR(__xludf.DUMMYFUNCTION("AVERAGE(ARRAYFORMULA(100 * (QUERY(GOOGLEFINANCE(C416, ""high"", TODAY()-40, TODAY()), ""SELECT Col2 WHERE Col2 IS NOT NULL ORDER BY Col1 DESC LIMIT 20"", 0) / QUERY(GOOGLEFINANCE(C416, ""low"", TODAY()-40, TODAY()), ""SELECT Col2 WHERE Col2 IS NOT NULL OR"&amp;"DER BY Col1 DESC LIMIT 20"", 0) - 1)))"),"#N/A")</f>
        <v>#N/A</v>
      </c>
      <c r="H416" s="35" t="str">
        <f t="shared" si="6"/>
        <v/>
      </c>
      <c r="I416" s="35" t="str">
        <f t="shared" si="7"/>
        <v/>
      </c>
      <c r="J416" s="37" t="str">
        <f>IFERROR(__xludf.DUMMYFUNCTION("IFERROR(
  IF(C416="""",, 
    IFERROR(
      GOOGLEFINANCE(C416, ""price"") * GOOGLEFINANCE(C416, ""volumeavg""), 
      GOOGLEFINANCE(C416, ""price"") * AVERAGE(QUERY(GOOGLEFINANCE(C416, ""volume"", TODAY()-40, TODAY()), ""SELECT Col2 WHERE Col2 IS NOT "&amp;"NULL ORDER BY Col1 DESC LIMIT 20"", 0))
    )
  ), 
"""")"),"")</f>
        <v/>
      </c>
      <c r="K416" s="21" t="str">
        <f>IFERROR(__xludf.DUMMYFUNCTION("IFERROR(GOOGLEFINANCE(C416, ""changepct"") / 100, """")"),"")</f>
        <v/>
      </c>
      <c r="L416" s="21" t="str">
        <f>IFERROR(__xludf.DUMMYFUNCTION("IFERROR((GOOGLEFINANCE(C416, ""price"") / INDEX(GOOGLEFINANCE(C416, ""price"", TODAY()-7, TODAY()), 2, 2)) - 1, """")"),"")</f>
        <v/>
      </c>
      <c r="M416" s="21" t="str">
        <f>IFERROR(__xludf.DUMMYFUNCTION("IFERROR((GOOGLEFINANCE(C416, ""price"") / INDEX(GOOGLEFINANCE(C416, ""price"", EDATE(TODAY(), -1), TODAY()), 2, 2)) - 1, """")"),"")</f>
        <v/>
      </c>
      <c r="N416" s="21" t="str">
        <f>IFERROR(__xludf.DUMMYFUNCTION("IFERROR((GOOGLEFINANCE(C416, ""price"") / INDEX(GOOGLEFINANCE(C416, ""price"", EDATE(TODAY(), -3), TODAY()), 2, 2)) - 1, """")"),"")</f>
        <v/>
      </c>
      <c r="O416" s="21" t="str">
        <f>IFERROR(__xludf.DUMMYFUNCTION("IFERROR((GOOGLEFINANCE(C416, ""price"") / INDEX(GOOGLEFINANCE(C416, ""price"", EDATE(TODAY(), -6), TODAY()), 2, 2)) - 1, """")"),"")</f>
        <v/>
      </c>
      <c r="P416" s="21" t="str">
        <f>IFERROR(__xludf.DUMMYFUNCTION("IFERROR((GOOGLEFINANCE(C416, ""price"") / INDEX(GOOGLEFINANCE(C416, ""price"", EDATE(TODAY(), -12), TODAY()), 2, 2)) - 1, """")"),"")</f>
        <v/>
      </c>
      <c r="Q416" s="6" t="str">
        <f>IFERROR(__xludf.DUMMYFUNCTION("AVERAGE(QUERY(GOOGLEFINANCE(C416, ""price"", TODAY()-80, TODAY()), ""SELECT Col2 WHERE Col2 IS NOT NULL ORDER BY Col1 DESC LIMIT 50"", 0))"),"#N/A")</f>
        <v>#N/A</v>
      </c>
      <c r="R416" s="24" t="str">
        <f>IFERROR(__xludf.DUMMYFUNCTION("IFERROR(
  LET(
    data, QUERY(GOOGLEFINANCE(C416,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GOOGLEFINANCE(C416, ""price"")) * 100,
    IF(calc=0, G416, calc)
  ), 
G416)"),"#N/A")</f>
        <v>#N/A</v>
      </c>
      <c r="S416" s="8" t="s">
        <v>15</v>
      </c>
      <c r="T416" s="26" t="str">
        <f>IFERROR(__xludf.DUMMYFUNCTION("IFERROR(TRANSPOSE(QUERY(IFERROR(SORT(GOOGLEFINANCE(C416, ""price"", WORKDAY(TODAY(), -40), TODAY()), 1, FALSE)), ""select Col2 where Col2 is not null limit 22 label Col2 ''"", 0)), """")"),"")</f>
        <v/>
      </c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8"/>
      <c r="AO416" s="28"/>
      <c r="AP416" s="29"/>
      <c r="AQ416" s="29" t="str">
        <f t="shared" ref="AQ416:BL416" si="419">T416/T$2</f>
        <v>#N/A</v>
      </c>
      <c r="AR416" s="29" t="str">
        <f t="shared" si="419"/>
        <v>#DIV/0!</v>
      </c>
      <c r="AS416" s="29" t="str">
        <f t="shared" si="419"/>
        <v>#DIV/0!</v>
      </c>
      <c r="AT416" s="29" t="str">
        <f t="shared" si="419"/>
        <v>#DIV/0!</v>
      </c>
      <c r="AU416" s="29" t="str">
        <f t="shared" si="419"/>
        <v>#DIV/0!</v>
      </c>
      <c r="AV416" s="29" t="str">
        <f t="shared" si="419"/>
        <v>#DIV/0!</v>
      </c>
      <c r="AW416" s="29" t="str">
        <f t="shared" si="419"/>
        <v>#DIV/0!</v>
      </c>
      <c r="AX416" s="29" t="str">
        <f t="shared" si="419"/>
        <v>#DIV/0!</v>
      </c>
      <c r="AY416" s="29" t="str">
        <f t="shared" si="419"/>
        <v>#DIV/0!</v>
      </c>
      <c r="AZ416" s="29" t="str">
        <f t="shared" si="419"/>
        <v>#DIV/0!</v>
      </c>
      <c r="BA416" s="29" t="str">
        <f t="shared" si="419"/>
        <v>#DIV/0!</v>
      </c>
      <c r="BB416" s="29" t="str">
        <f t="shared" si="419"/>
        <v>#DIV/0!</v>
      </c>
      <c r="BC416" s="29" t="str">
        <f t="shared" si="419"/>
        <v>#DIV/0!</v>
      </c>
      <c r="BD416" s="29" t="str">
        <f t="shared" si="419"/>
        <v>#DIV/0!</v>
      </c>
      <c r="BE416" s="29" t="str">
        <f t="shared" si="419"/>
        <v>#DIV/0!</v>
      </c>
      <c r="BF416" s="29" t="str">
        <f t="shared" si="419"/>
        <v>#DIV/0!</v>
      </c>
      <c r="BG416" s="29" t="str">
        <f t="shared" si="419"/>
        <v>#DIV/0!</v>
      </c>
      <c r="BH416" s="29" t="str">
        <f t="shared" si="419"/>
        <v>#DIV/0!</v>
      </c>
      <c r="BI416" s="29" t="str">
        <f t="shared" si="419"/>
        <v>#DIV/0!</v>
      </c>
      <c r="BJ416" s="29" t="str">
        <f t="shared" si="419"/>
        <v>#DIV/0!</v>
      </c>
      <c r="BK416" s="29" t="str">
        <f t="shared" si="419"/>
        <v>#DIV/0!</v>
      </c>
      <c r="BL416" s="29" t="str">
        <f t="shared" si="419"/>
        <v>#DIV/0!</v>
      </c>
      <c r="BM416" s="29" t="str">
        <f t="shared" si="3"/>
        <v>#DIV/0!</v>
      </c>
    </row>
    <row r="417">
      <c r="A417" s="16" t="str">
        <f>IFERROR(__xludf.DUMMYFUNCTION("IFERROR(SPARKLINE(SORT(MAP(TRANSPOSE(AQ417:BL417), LAMBDA(val, IF(ISNUMBER(val), PERCENTRANK(AQ417:BL417, val)+0.01, 0))), SEQUENCE(COLUMNS(AQ417:BL417)), FALSE), {""charttype"",""column""; ""color"",""chartreuse""; ""ymin"", 0; ""ymax"", 1.01; ""highcolo"&amp;"r"", ""darkgreen""; ""lowcolor"", ""red""}), """")"),"")</f>
        <v/>
      </c>
      <c r="B417" s="17" t="str">
        <f t="shared" si="4"/>
        <v/>
      </c>
      <c r="C417" s="1" t="s">
        <v>2513</v>
      </c>
      <c r="D417" s="30" t="str">
        <f>IFERROR(__xludf.DUMMYFUNCTION("IFERROR(GOOGLEFINANCE(C417, ""NAME""))"),"Alamo Group Inc")</f>
        <v>Alamo Group Inc</v>
      </c>
      <c r="E417" s="30" t="s">
        <v>1036</v>
      </c>
      <c r="F417" s="33" t="str">
        <f>IFERROR(__xludf.DUMMYFUNCTION("( (GOOGLEFINANCE(C417, ""price"") - Q417) / Q417 ) / (R417 / 100)"),"Loading...")</f>
        <v>Loading...</v>
      </c>
      <c r="G417" s="20" t="str">
        <f>IFERROR(__xludf.DUMMYFUNCTION("AVERAGE(ARRAYFORMULA(100 * (QUERY(GOOGLEFINANCE(C417, ""high"", TODAY()-40, TODAY()), ""SELECT Col2 WHERE Col2 IS NOT NULL ORDER BY Col1 DESC LIMIT 20"", 0) / QUERY(GOOGLEFINANCE(C417, ""low"", TODAY()-40, TODAY()), ""SELECT Col2 WHERE Col2 IS NOT NULL OR"&amp;"DER BY Col1 DESC LIMIT 20"", 0) - 1)))"),"#N/A")</f>
        <v>#N/A</v>
      </c>
      <c r="H417" s="35" t="str">
        <f t="shared" si="6"/>
        <v/>
      </c>
      <c r="I417" s="35" t="str">
        <f t="shared" si="7"/>
        <v/>
      </c>
      <c r="J417" s="37" t="str">
        <f>IFERROR(__xludf.DUMMYFUNCTION("IFERROR(
  IF(C417="""",, 
    IFERROR(
      GOOGLEFINANCE(C417, ""price"") * GOOGLEFINANCE(C417, ""volumeavg""), 
      GOOGLEFINANCE(C417, ""price"") * AVERAGE(QUERY(GOOGLEFINANCE(C417, ""volume"", TODAY()-40, TODAY()), ""SELECT Col2 WHERE Col2 IS NOT "&amp;"NULL ORDER BY Col1 DESC LIMIT 20"", 0))
    )
  ), 
"""")"),"")</f>
        <v/>
      </c>
      <c r="K417" s="21" t="str">
        <f>IFERROR(__xludf.DUMMYFUNCTION("IFERROR(GOOGLEFINANCE(C417, ""changepct"") / 100, """")"),"")</f>
        <v/>
      </c>
      <c r="L417" s="21" t="str">
        <f>IFERROR(__xludf.DUMMYFUNCTION("IFERROR((GOOGLEFINANCE(C417, ""price"") / INDEX(GOOGLEFINANCE(C417, ""price"", TODAY()-7, TODAY()), 2, 2)) - 1, """")"),"")</f>
        <v/>
      </c>
      <c r="M417" s="21" t="str">
        <f>IFERROR(__xludf.DUMMYFUNCTION("IFERROR((GOOGLEFINANCE(C417, ""price"") / INDEX(GOOGLEFINANCE(C417, ""price"", EDATE(TODAY(), -1), TODAY()), 2, 2)) - 1, """")"),"")</f>
        <v/>
      </c>
      <c r="N417" s="21" t="str">
        <f>IFERROR(__xludf.DUMMYFUNCTION("IFERROR((GOOGLEFINANCE(C417, ""price"") / INDEX(GOOGLEFINANCE(C417, ""price"", EDATE(TODAY(), -3), TODAY()), 2, 2)) - 1, """")"),"")</f>
        <v/>
      </c>
      <c r="O417" s="21" t="str">
        <f>IFERROR(__xludf.DUMMYFUNCTION("IFERROR((GOOGLEFINANCE(C417, ""price"") / INDEX(GOOGLEFINANCE(C417, ""price"", EDATE(TODAY(), -6), TODAY()), 2, 2)) - 1, """")"),"")</f>
        <v/>
      </c>
      <c r="P417" s="21" t="str">
        <f>IFERROR(__xludf.DUMMYFUNCTION("IFERROR((GOOGLEFINANCE(C417, ""price"") / INDEX(GOOGLEFINANCE(C417, ""price"", EDATE(TODAY(), -12), TODAY()), 2, 2)) - 1, """")"),"")</f>
        <v/>
      </c>
      <c r="Q417" s="6" t="str">
        <f>IFERROR(__xludf.DUMMYFUNCTION("AVERAGE(QUERY(GOOGLEFINANCE(C417, ""price"", TODAY()-80, TODAY()), ""SELECT Col2 WHERE Col2 IS NOT NULL ORDER BY Col1 DESC LIMIT 50"", 0))"),"#N/A")</f>
        <v>#N/A</v>
      </c>
      <c r="R417" s="24" t="str">
        <f>IFERROR(__xludf.DUMMYFUNCTION("IFERROR(
  LET(
    data, QUERY(GOOGLEFINANCE(C417,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GOOGLEFINANCE(C417, ""price"")) * 100,
    IF(calc=0, G417, calc)
  ), 
G417)"),"#N/A")</f>
        <v>#N/A</v>
      </c>
      <c r="S417" s="8" t="s">
        <v>15</v>
      </c>
      <c r="T417" s="26" t="str">
        <f>IFERROR(__xludf.DUMMYFUNCTION("IFERROR(TRANSPOSE(QUERY(IFERROR(SORT(GOOGLEFINANCE(C417, ""price"", WORKDAY(TODAY(), -40), TODAY()), 1, FALSE)), ""select Col2 where Col2 is not null limit 22 label Col2 ''"", 0)), """")"),"")</f>
        <v/>
      </c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8"/>
      <c r="AO417" s="28"/>
      <c r="AP417" s="29"/>
      <c r="AQ417" s="29" t="str">
        <f t="shared" ref="AQ417:BL417" si="420">T417/T$2</f>
        <v>#N/A</v>
      </c>
      <c r="AR417" s="29" t="str">
        <f t="shared" si="420"/>
        <v>#DIV/0!</v>
      </c>
      <c r="AS417" s="29" t="str">
        <f t="shared" si="420"/>
        <v>#DIV/0!</v>
      </c>
      <c r="AT417" s="29" t="str">
        <f t="shared" si="420"/>
        <v>#DIV/0!</v>
      </c>
      <c r="AU417" s="29" t="str">
        <f t="shared" si="420"/>
        <v>#DIV/0!</v>
      </c>
      <c r="AV417" s="29" t="str">
        <f t="shared" si="420"/>
        <v>#DIV/0!</v>
      </c>
      <c r="AW417" s="29" t="str">
        <f t="shared" si="420"/>
        <v>#DIV/0!</v>
      </c>
      <c r="AX417" s="29" t="str">
        <f t="shared" si="420"/>
        <v>#DIV/0!</v>
      </c>
      <c r="AY417" s="29" t="str">
        <f t="shared" si="420"/>
        <v>#DIV/0!</v>
      </c>
      <c r="AZ417" s="29" t="str">
        <f t="shared" si="420"/>
        <v>#DIV/0!</v>
      </c>
      <c r="BA417" s="29" t="str">
        <f t="shared" si="420"/>
        <v>#DIV/0!</v>
      </c>
      <c r="BB417" s="29" t="str">
        <f t="shared" si="420"/>
        <v>#DIV/0!</v>
      </c>
      <c r="BC417" s="29" t="str">
        <f t="shared" si="420"/>
        <v>#DIV/0!</v>
      </c>
      <c r="BD417" s="29" t="str">
        <f t="shared" si="420"/>
        <v>#DIV/0!</v>
      </c>
      <c r="BE417" s="29" t="str">
        <f t="shared" si="420"/>
        <v>#DIV/0!</v>
      </c>
      <c r="BF417" s="29" t="str">
        <f t="shared" si="420"/>
        <v>#DIV/0!</v>
      </c>
      <c r="BG417" s="29" t="str">
        <f t="shared" si="420"/>
        <v>#DIV/0!</v>
      </c>
      <c r="BH417" s="29" t="str">
        <f t="shared" si="420"/>
        <v>#DIV/0!</v>
      </c>
      <c r="BI417" s="29" t="str">
        <f t="shared" si="420"/>
        <v>#DIV/0!</v>
      </c>
      <c r="BJ417" s="29" t="str">
        <f t="shared" si="420"/>
        <v>#DIV/0!</v>
      </c>
      <c r="BK417" s="29" t="str">
        <f t="shared" si="420"/>
        <v>#DIV/0!</v>
      </c>
      <c r="BL417" s="29" t="str">
        <f t="shared" si="420"/>
        <v>#DIV/0!</v>
      </c>
      <c r="BM417" s="29" t="str">
        <f t="shared" si="3"/>
        <v>#DIV/0!</v>
      </c>
    </row>
    <row r="418">
      <c r="A418" s="16" t="str">
        <f>IFERROR(__xludf.DUMMYFUNCTION("IFERROR(SPARKLINE(SORT(MAP(TRANSPOSE(AQ418:BL418), LAMBDA(val, IF(ISNUMBER(val), PERCENTRANK(AQ418:BL418, val)+0.01, 0))), SEQUENCE(COLUMNS(AQ418:BL418)), FALSE), {""charttype"",""column""; ""color"",""chartreuse""; ""ymin"", 0; ""ymax"", 1.01; ""highcolo"&amp;"r"", ""darkgreen""; ""lowcolor"", ""red""}), """")"),"")</f>
        <v/>
      </c>
      <c r="B418" s="17" t="str">
        <f t="shared" si="4"/>
        <v/>
      </c>
      <c r="C418" s="1" t="s">
        <v>2517</v>
      </c>
      <c r="D418" s="30" t="str">
        <f>IFERROR(__xludf.DUMMYFUNCTION("IFERROR(GOOGLEFINANCE(C418, ""NAME""))"),"Allegion PLC")</f>
        <v>Allegion PLC</v>
      </c>
      <c r="E418" s="30" t="s">
        <v>1020</v>
      </c>
      <c r="F418" s="33" t="str">
        <f>IFERROR(__xludf.DUMMYFUNCTION("( (GOOGLEFINANCE(C418, ""price"") - Q418) / Q418 ) / (R418 / 100)"),"Loading...")</f>
        <v>Loading...</v>
      </c>
      <c r="G418" s="20" t="str">
        <f>IFERROR(__xludf.DUMMYFUNCTION("AVERAGE(ARRAYFORMULA(100 * (QUERY(GOOGLEFINANCE(C418, ""high"", TODAY()-40, TODAY()), ""SELECT Col2 WHERE Col2 IS NOT NULL ORDER BY Col1 DESC LIMIT 20"", 0) / QUERY(GOOGLEFINANCE(C418, ""low"", TODAY()-40, TODAY()), ""SELECT Col2 WHERE Col2 IS NOT NULL OR"&amp;"DER BY Col1 DESC LIMIT 20"", 0) - 1)))"),"#N/A")</f>
        <v>#N/A</v>
      </c>
      <c r="H418" s="35" t="str">
        <f t="shared" si="6"/>
        <v/>
      </c>
      <c r="I418" s="35" t="str">
        <f t="shared" si="7"/>
        <v/>
      </c>
      <c r="J418" s="37" t="str">
        <f>IFERROR(__xludf.DUMMYFUNCTION("IFERROR(
  IF(C418="""",, 
    IFERROR(
      GOOGLEFINANCE(C418, ""price"") * GOOGLEFINANCE(C418, ""volumeavg""), 
      GOOGLEFINANCE(C418, ""price"") * AVERAGE(QUERY(GOOGLEFINANCE(C418, ""volume"", TODAY()-40, TODAY()), ""SELECT Col2 WHERE Col2 IS NOT "&amp;"NULL ORDER BY Col1 DESC LIMIT 20"", 0))
    )
  ), 
"""")"),"")</f>
        <v/>
      </c>
      <c r="K418" s="21" t="str">
        <f>IFERROR(__xludf.DUMMYFUNCTION("IFERROR(GOOGLEFINANCE(C418, ""changepct"") / 100, """")"),"")</f>
        <v/>
      </c>
      <c r="L418" s="21" t="str">
        <f>IFERROR(__xludf.DUMMYFUNCTION("IFERROR((GOOGLEFINANCE(C418, ""price"") / INDEX(GOOGLEFINANCE(C418, ""price"", TODAY()-7, TODAY()), 2, 2)) - 1, """")"),"")</f>
        <v/>
      </c>
      <c r="M418" s="21" t="str">
        <f>IFERROR(__xludf.DUMMYFUNCTION("IFERROR((GOOGLEFINANCE(C418, ""price"") / INDEX(GOOGLEFINANCE(C418, ""price"", EDATE(TODAY(), -1), TODAY()), 2, 2)) - 1, """")"),"")</f>
        <v/>
      </c>
      <c r="N418" s="21" t="str">
        <f>IFERROR(__xludf.DUMMYFUNCTION("IFERROR((GOOGLEFINANCE(C418, ""price"") / INDEX(GOOGLEFINANCE(C418, ""price"", EDATE(TODAY(), -3), TODAY()), 2, 2)) - 1, """")"),"")</f>
        <v/>
      </c>
      <c r="O418" s="21" t="str">
        <f>IFERROR(__xludf.DUMMYFUNCTION("IFERROR((GOOGLEFINANCE(C418, ""price"") / INDEX(GOOGLEFINANCE(C418, ""price"", EDATE(TODAY(), -6), TODAY()), 2, 2)) - 1, """")"),"")</f>
        <v/>
      </c>
      <c r="P418" s="21" t="str">
        <f>IFERROR(__xludf.DUMMYFUNCTION("IFERROR((GOOGLEFINANCE(C418, ""price"") / INDEX(GOOGLEFINANCE(C418, ""price"", EDATE(TODAY(), -12), TODAY()), 2, 2)) - 1, """")"),"")</f>
        <v/>
      </c>
      <c r="Q418" s="6" t="str">
        <f>IFERROR(__xludf.DUMMYFUNCTION("AVERAGE(QUERY(GOOGLEFINANCE(C418, ""price"", TODAY()-80, TODAY()), ""SELECT Col2 WHERE Col2 IS NOT NULL ORDER BY Col1 DESC LIMIT 50"", 0))"),"#N/A")</f>
        <v>#N/A</v>
      </c>
      <c r="R418" s="24" t="str">
        <f>IFERROR(__xludf.DUMMYFUNCTION("IFERROR(
  LET(
    data, QUERY(GOOGLEFINANCE(C418,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GOOGLEFINANCE(C418, ""price"")) * 100,
    IF(calc=0, G418, calc)
  ), 
G418)"),"#N/A")</f>
        <v>#N/A</v>
      </c>
      <c r="S418" s="8" t="s">
        <v>15</v>
      </c>
      <c r="T418" s="26" t="str">
        <f>IFERROR(__xludf.DUMMYFUNCTION("IFERROR(TRANSPOSE(QUERY(IFERROR(SORT(GOOGLEFINANCE(C418, ""price"", WORKDAY(TODAY(), -40), TODAY()), 1, FALSE)), ""select Col2 where Col2 is not null limit 22 label Col2 ''"", 0)), """")"),"")</f>
        <v/>
      </c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8"/>
      <c r="AO418" s="28"/>
      <c r="AP418" s="29"/>
      <c r="AQ418" s="29" t="str">
        <f t="shared" ref="AQ418:BL418" si="421">T418/T$2</f>
        <v>#N/A</v>
      </c>
      <c r="AR418" s="29" t="str">
        <f t="shared" si="421"/>
        <v>#DIV/0!</v>
      </c>
      <c r="AS418" s="29" t="str">
        <f t="shared" si="421"/>
        <v>#DIV/0!</v>
      </c>
      <c r="AT418" s="29" t="str">
        <f t="shared" si="421"/>
        <v>#DIV/0!</v>
      </c>
      <c r="AU418" s="29" t="str">
        <f t="shared" si="421"/>
        <v>#DIV/0!</v>
      </c>
      <c r="AV418" s="29" t="str">
        <f t="shared" si="421"/>
        <v>#DIV/0!</v>
      </c>
      <c r="AW418" s="29" t="str">
        <f t="shared" si="421"/>
        <v>#DIV/0!</v>
      </c>
      <c r="AX418" s="29" t="str">
        <f t="shared" si="421"/>
        <v>#DIV/0!</v>
      </c>
      <c r="AY418" s="29" t="str">
        <f t="shared" si="421"/>
        <v>#DIV/0!</v>
      </c>
      <c r="AZ418" s="29" t="str">
        <f t="shared" si="421"/>
        <v>#DIV/0!</v>
      </c>
      <c r="BA418" s="29" t="str">
        <f t="shared" si="421"/>
        <v>#DIV/0!</v>
      </c>
      <c r="BB418" s="29" t="str">
        <f t="shared" si="421"/>
        <v>#DIV/0!</v>
      </c>
      <c r="BC418" s="29" t="str">
        <f t="shared" si="421"/>
        <v>#DIV/0!</v>
      </c>
      <c r="BD418" s="29" t="str">
        <f t="shared" si="421"/>
        <v>#DIV/0!</v>
      </c>
      <c r="BE418" s="29" t="str">
        <f t="shared" si="421"/>
        <v>#DIV/0!</v>
      </c>
      <c r="BF418" s="29" t="str">
        <f t="shared" si="421"/>
        <v>#DIV/0!</v>
      </c>
      <c r="BG418" s="29" t="str">
        <f t="shared" si="421"/>
        <v>#DIV/0!</v>
      </c>
      <c r="BH418" s="29" t="str">
        <f t="shared" si="421"/>
        <v>#DIV/0!</v>
      </c>
      <c r="BI418" s="29" t="str">
        <f t="shared" si="421"/>
        <v>#DIV/0!</v>
      </c>
      <c r="BJ418" s="29" t="str">
        <f t="shared" si="421"/>
        <v>#DIV/0!</v>
      </c>
      <c r="BK418" s="29" t="str">
        <f t="shared" si="421"/>
        <v>#DIV/0!</v>
      </c>
      <c r="BL418" s="29" t="str">
        <f t="shared" si="421"/>
        <v>#DIV/0!</v>
      </c>
      <c r="BM418" s="29" t="str">
        <f t="shared" si="3"/>
        <v>#DIV/0!</v>
      </c>
    </row>
    <row r="419">
      <c r="A419" s="16" t="str">
        <f>IFERROR(__xludf.DUMMYFUNCTION("IFERROR(SPARKLINE(SORT(MAP(TRANSPOSE(AQ419:BL419), LAMBDA(val, IF(ISNUMBER(val), PERCENTRANK(AQ419:BL419, val)+0.01, 0))), SEQUENCE(COLUMNS(AQ419:BL419)), FALSE), {""charttype"",""column""; ""color"",""chartreuse""; ""ymin"", 0; ""ymax"", 1.01; ""highcolo"&amp;"r"", ""darkgreen""; ""lowcolor"", ""red""}), """")"),"")</f>
        <v/>
      </c>
      <c r="B419" s="17" t="str">
        <f t="shared" si="4"/>
        <v/>
      </c>
      <c r="C419" s="1" t="s">
        <v>2521</v>
      </c>
      <c r="D419" s="30" t="str">
        <f>IFERROR(__xludf.DUMMYFUNCTION("IFERROR(GOOGLEFINANCE(C419, ""NAME""))"),"Rentokil Initial PLC")</f>
        <v>Rentokil Initial PLC</v>
      </c>
      <c r="E419" s="30" t="s">
        <v>916</v>
      </c>
      <c r="F419" s="33" t="str">
        <f>IFERROR(__xludf.DUMMYFUNCTION("( (GOOGLEFINANCE(C419, ""price"") - Q419) / Q419 ) / (R419 / 100)"),"Loading...")</f>
        <v>Loading...</v>
      </c>
      <c r="G419" s="20" t="str">
        <f>IFERROR(__xludf.DUMMYFUNCTION("AVERAGE(ARRAYFORMULA(100 * (QUERY(GOOGLEFINANCE(C419, ""high"", TODAY()-40, TODAY()), ""SELECT Col2 WHERE Col2 IS NOT NULL ORDER BY Col1 DESC LIMIT 20"", 0) / QUERY(GOOGLEFINANCE(C419, ""low"", TODAY()-40, TODAY()), ""SELECT Col2 WHERE Col2 IS NOT NULL OR"&amp;"DER BY Col1 DESC LIMIT 20"", 0) - 1)))"),"#N/A")</f>
        <v>#N/A</v>
      </c>
      <c r="H419" s="35" t="str">
        <f t="shared" si="6"/>
        <v/>
      </c>
      <c r="I419" s="35" t="str">
        <f t="shared" si="7"/>
        <v/>
      </c>
      <c r="J419" s="37" t="str">
        <f>IFERROR(__xludf.DUMMYFUNCTION("IFERROR(
  IF(C419="""",, 
    IFERROR(
      GOOGLEFINANCE(C419, ""price"") * GOOGLEFINANCE(C419, ""volumeavg""), 
      GOOGLEFINANCE(C419, ""price"") * AVERAGE(QUERY(GOOGLEFINANCE(C419, ""volume"", TODAY()-40, TODAY()), ""SELECT Col2 WHERE Col2 IS NOT "&amp;"NULL ORDER BY Col1 DESC LIMIT 20"", 0))
    )
  ), 
"""")"),"")</f>
        <v/>
      </c>
      <c r="K419" s="21" t="str">
        <f>IFERROR(__xludf.DUMMYFUNCTION("IFERROR(GOOGLEFINANCE(C419, ""changepct"") / 100, """")"),"")</f>
        <v/>
      </c>
      <c r="L419" s="21" t="str">
        <f>IFERROR(__xludf.DUMMYFUNCTION("IFERROR((GOOGLEFINANCE(C419, ""price"") / INDEX(GOOGLEFINANCE(C419, ""price"", TODAY()-7, TODAY()), 2, 2)) - 1, """")"),"")</f>
        <v/>
      </c>
      <c r="M419" s="21" t="str">
        <f>IFERROR(__xludf.DUMMYFUNCTION("IFERROR((GOOGLEFINANCE(C419, ""price"") / INDEX(GOOGLEFINANCE(C419, ""price"", EDATE(TODAY(), -1), TODAY()), 2, 2)) - 1, """")"),"")</f>
        <v/>
      </c>
      <c r="N419" s="21" t="str">
        <f>IFERROR(__xludf.DUMMYFUNCTION("IFERROR((GOOGLEFINANCE(C419, ""price"") / INDEX(GOOGLEFINANCE(C419, ""price"", EDATE(TODAY(), -3), TODAY()), 2, 2)) - 1, """")"),"")</f>
        <v/>
      </c>
      <c r="O419" s="21" t="str">
        <f>IFERROR(__xludf.DUMMYFUNCTION("IFERROR((GOOGLEFINANCE(C419, ""price"") / INDEX(GOOGLEFINANCE(C419, ""price"", EDATE(TODAY(), -6), TODAY()), 2, 2)) - 1, """")"),"")</f>
        <v/>
      </c>
      <c r="P419" s="21" t="str">
        <f>IFERROR(__xludf.DUMMYFUNCTION("IFERROR((GOOGLEFINANCE(C419, ""price"") / INDEX(GOOGLEFINANCE(C419, ""price"", EDATE(TODAY(), -12), TODAY()), 2, 2)) - 1, """")"),"")</f>
        <v/>
      </c>
      <c r="Q419" s="6" t="str">
        <f>IFERROR(__xludf.DUMMYFUNCTION("AVERAGE(QUERY(GOOGLEFINANCE(C419, ""price"", TODAY()-80, TODAY()), ""SELECT Col2 WHERE Col2 IS NOT NULL ORDER BY Col1 DESC LIMIT 50"", 0))"),"#N/A")</f>
        <v>#N/A</v>
      </c>
      <c r="R419" s="24" t="str">
        <f>IFERROR(__xludf.DUMMYFUNCTION("IFERROR(
  LET(
    data, QUERY(GOOGLEFINANCE(C419,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GOOGLEFINANCE(C419, ""price"")) * 100,
    IF(calc=0, G419, calc)
  ), 
G419)"),"#N/A")</f>
        <v>#N/A</v>
      </c>
      <c r="S419" s="8" t="s">
        <v>15</v>
      </c>
      <c r="T419" s="26" t="str">
        <f>IFERROR(__xludf.DUMMYFUNCTION("IFERROR(TRANSPOSE(QUERY(IFERROR(SORT(GOOGLEFINANCE(C419, ""price"", WORKDAY(TODAY(), -40), TODAY()), 1, FALSE)), ""select Col2 where Col2 is not null limit 22 label Col2 ''"", 0)), """")"),"")</f>
        <v/>
      </c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8"/>
      <c r="AO419" s="28"/>
      <c r="AP419" s="29"/>
      <c r="AQ419" s="29" t="str">
        <f t="shared" ref="AQ419:BL419" si="422">T419/T$2</f>
        <v>#N/A</v>
      </c>
      <c r="AR419" s="29" t="str">
        <f t="shared" si="422"/>
        <v>#DIV/0!</v>
      </c>
      <c r="AS419" s="29" t="str">
        <f t="shared" si="422"/>
        <v>#DIV/0!</v>
      </c>
      <c r="AT419" s="29" t="str">
        <f t="shared" si="422"/>
        <v>#DIV/0!</v>
      </c>
      <c r="AU419" s="29" t="str">
        <f t="shared" si="422"/>
        <v>#DIV/0!</v>
      </c>
      <c r="AV419" s="29" t="str">
        <f t="shared" si="422"/>
        <v>#DIV/0!</v>
      </c>
      <c r="AW419" s="29" t="str">
        <f t="shared" si="422"/>
        <v>#DIV/0!</v>
      </c>
      <c r="AX419" s="29" t="str">
        <f t="shared" si="422"/>
        <v>#DIV/0!</v>
      </c>
      <c r="AY419" s="29" t="str">
        <f t="shared" si="422"/>
        <v>#DIV/0!</v>
      </c>
      <c r="AZ419" s="29" t="str">
        <f t="shared" si="422"/>
        <v>#DIV/0!</v>
      </c>
      <c r="BA419" s="29" t="str">
        <f t="shared" si="422"/>
        <v>#DIV/0!</v>
      </c>
      <c r="BB419" s="29" t="str">
        <f t="shared" si="422"/>
        <v>#DIV/0!</v>
      </c>
      <c r="BC419" s="29" t="str">
        <f t="shared" si="422"/>
        <v>#DIV/0!</v>
      </c>
      <c r="BD419" s="29" t="str">
        <f t="shared" si="422"/>
        <v>#DIV/0!</v>
      </c>
      <c r="BE419" s="29" t="str">
        <f t="shared" si="422"/>
        <v>#DIV/0!</v>
      </c>
      <c r="BF419" s="29" t="str">
        <f t="shared" si="422"/>
        <v>#DIV/0!</v>
      </c>
      <c r="BG419" s="29" t="str">
        <f t="shared" si="422"/>
        <v>#DIV/0!</v>
      </c>
      <c r="BH419" s="29" t="str">
        <f t="shared" si="422"/>
        <v>#DIV/0!</v>
      </c>
      <c r="BI419" s="29" t="str">
        <f t="shared" si="422"/>
        <v>#DIV/0!</v>
      </c>
      <c r="BJ419" s="29" t="str">
        <f t="shared" si="422"/>
        <v>#DIV/0!</v>
      </c>
      <c r="BK419" s="29" t="str">
        <f t="shared" si="422"/>
        <v>#DIV/0!</v>
      </c>
      <c r="BL419" s="29" t="str">
        <f t="shared" si="422"/>
        <v>#DIV/0!</v>
      </c>
      <c r="BM419" s="29" t="str">
        <f t="shared" si="3"/>
        <v>#DIV/0!</v>
      </c>
    </row>
    <row r="420">
      <c r="A420" s="16" t="str">
        <f>IFERROR(__xludf.DUMMYFUNCTION("IFERROR(SPARKLINE(SORT(MAP(TRANSPOSE(AQ420:BL420), LAMBDA(val, IF(ISNUMBER(val), PERCENTRANK(AQ420:BL420, val)+0.01, 0))), SEQUENCE(COLUMNS(AQ420:BL420)), FALSE), {""charttype"",""column""; ""color"",""chartreuse""; ""ymin"", 0; ""ymax"", 1.01; ""highcolo"&amp;"r"", ""darkgreen""; ""lowcolor"", ""red""}), """")"),"")</f>
        <v/>
      </c>
      <c r="B420" s="17" t="str">
        <f t="shared" si="4"/>
        <v/>
      </c>
      <c r="C420" s="1" t="s">
        <v>2524</v>
      </c>
      <c r="D420" s="30" t="str">
        <f>IFERROR(__xludf.DUMMYFUNCTION("IFERROR(GOOGLEFINANCE(C420, ""NAME""))"),"Armstrong World Industries Inc")</f>
        <v>Armstrong World Industries Inc</v>
      </c>
      <c r="E420" s="30" t="s">
        <v>968</v>
      </c>
      <c r="F420" s="33" t="str">
        <f>IFERROR(__xludf.DUMMYFUNCTION("( (GOOGLEFINANCE(C420, ""price"") - Q420) / Q420 ) / (R420 / 100)"),"Loading...")</f>
        <v>Loading...</v>
      </c>
      <c r="G420" s="20" t="str">
        <f>IFERROR(__xludf.DUMMYFUNCTION("AVERAGE(ARRAYFORMULA(100 * (QUERY(GOOGLEFINANCE(C420, ""high"", TODAY()-40, TODAY()), ""SELECT Col2 WHERE Col2 IS NOT NULL ORDER BY Col1 DESC LIMIT 20"", 0) / QUERY(GOOGLEFINANCE(C420, ""low"", TODAY()-40, TODAY()), ""SELECT Col2 WHERE Col2 IS NOT NULL OR"&amp;"DER BY Col1 DESC LIMIT 20"", 0) - 1)))"),"#N/A")</f>
        <v>#N/A</v>
      </c>
      <c r="H420" s="35" t="str">
        <f t="shared" si="6"/>
        <v/>
      </c>
      <c r="I420" s="35" t="str">
        <f t="shared" si="7"/>
        <v/>
      </c>
      <c r="J420" s="37" t="str">
        <f>IFERROR(__xludf.DUMMYFUNCTION("IFERROR(
  IF(C420="""",, 
    IFERROR(
      GOOGLEFINANCE(C420, ""price"") * GOOGLEFINANCE(C420, ""volumeavg""), 
      GOOGLEFINANCE(C420, ""price"") * AVERAGE(QUERY(GOOGLEFINANCE(C420, ""volume"", TODAY()-40, TODAY()), ""SELECT Col2 WHERE Col2 IS NOT "&amp;"NULL ORDER BY Col1 DESC LIMIT 20"", 0))
    )
  ), 
"""")"),"")</f>
        <v/>
      </c>
      <c r="K420" s="21" t="str">
        <f>IFERROR(__xludf.DUMMYFUNCTION("IFERROR(GOOGLEFINANCE(C420, ""changepct"") / 100, """")"),"")</f>
        <v/>
      </c>
      <c r="L420" s="21" t="str">
        <f>IFERROR(__xludf.DUMMYFUNCTION("IFERROR((GOOGLEFINANCE(C420, ""price"") / INDEX(GOOGLEFINANCE(C420, ""price"", TODAY()-7, TODAY()), 2, 2)) - 1, """")"),"")</f>
        <v/>
      </c>
      <c r="M420" s="21" t="str">
        <f>IFERROR(__xludf.DUMMYFUNCTION("IFERROR((GOOGLEFINANCE(C420, ""price"") / INDEX(GOOGLEFINANCE(C420, ""price"", EDATE(TODAY(), -1), TODAY()), 2, 2)) - 1, """")"),"")</f>
        <v/>
      </c>
      <c r="N420" s="21" t="str">
        <f>IFERROR(__xludf.DUMMYFUNCTION("IFERROR((GOOGLEFINANCE(C420, ""price"") / INDEX(GOOGLEFINANCE(C420, ""price"", EDATE(TODAY(), -3), TODAY()), 2, 2)) - 1, """")"),"")</f>
        <v/>
      </c>
      <c r="O420" s="21" t="str">
        <f>IFERROR(__xludf.DUMMYFUNCTION("IFERROR((GOOGLEFINANCE(C420, ""price"") / INDEX(GOOGLEFINANCE(C420, ""price"", EDATE(TODAY(), -6), TODAY()), 2, 2)) - 1, """")"),"")</f>
        <v/>
      </c>
      <c r="P420" s="21" t="str">
        <f>IFERROR(__xludf.DUMMYFUNCTION("IFERROR((GOOGLEFINANCE(C420, ""price"") / INDEX(GOOGLEFINANCE(C420, ""price"", EDATE(TODAY(), -12), TODAY()), 2, 2)) - 1, """")"),"")</f>
        <v/>
      </c>
      <c r="Q420" s="6" t="str">
        <f>IFERROR(__xludf.DUMMYFUNCTION("AVERAGE(QUERY(GOOGLEFINANCE(C420, ""price"", TODAY()-80, TODAY()), ""SELECT Col2 WHERE Col2 IS NOT NULL ORDER BY Col1 DESC LIMIT 50"", 0))"),"#N/A")</f>
        <v>#N/A</v>
      </c>
      <c r="R420" s="24" t="str">
        <f>IFERROR(__xludf.DUMMYFUNCTION("IFERROR(
  LET(
    data, QUERY(GOOGLEFINANCE(C420,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GOOGLEFINANCE(C420, ""price"")) * 100,
    IF(calc=0, G420, calc)
  ), 
G420)"),"#N/A")</f>
        <v>#N/A</v>
      </c>
      <c r="S420" s="8" t="s">
        <v>15</v>
      </c>
      <c r="T420" s="26" t="str">
        <f>IFERROR(__xludf.DUMMYFUNCTION("IFERROR(TRANSPOSE(QUERY(IFERROR(SORT(GOOGLEFINANCE(C420, ""price"", WORKDAY(TODAY(), -40), TODAY()), 1, FALSE)), ""select Col2 where Col2 is not null limit 22 label Col2 ''"", 0)), """")"),"")</f>
        <v/>
      </c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8"/>
      <c r="AO420" s="28"/>
      <c r="AP420" s="29"/>
      <c r="AQ420" s="29" t="str">
        <f t="shared" ref="AQ420:BL420" si="423">T420/T$2</f>
        <v>#N/A</v>
      </c>
      <c r="AR420" s="29" t="str">
        <f t="shared" si="423"/>
        <v>#DIV/0!</v>
      </c>
      <c r="AS420" s="29" t="str">
        <f t="shared" si="423"/>
        <v>#DIV/0!</v>
      </c>
      <c r="AT420" s="29" t="str">
        <f t="shared" si="423"/>
        <v>#DIV/0!</v>
      </c>
      <c r="AU420" s="29" t="str">
        <f t="shared" si="423"/>
        <v>#DIV/0!</v>
      </c>
      <c r="AV420" s="29" t="str">
        <f t="shared" si="423"/>
        <v>#DIV/0!</v>
      </c>
      <c r="AW420" s="29" t="str">
        <f t="shared" si="423"/>
        <v>#DIV/0!</v>
      </c>
      <c r="AX420" s="29" t="str">
        <f t="shared" si="423"/>
        <v>#DIV/0!</v>
      </c>
      <c r="AY420" s="29" t="str">
        <f t="shared" si="423"/>
        <v>#DIV/0!</v>
      </c>
      <c r="AZ420" s="29" t="str">
        <f t="shared" si="423"/>
        <v>#DIV/0!</v>
      </c>
      <c r="BA420" s="29" t="str">
        <f t="shared" si="423"/>
        <v>#DIV/0!</v>
      </c>
      <c r="BB420" s="29" t="str">
        <f t="shared" si="423"/>
        <v>#DIV/0!</v>
      </c>
      <c r="BC420" s="29" t="str">
        <f t="shared" si="423"/>
        <v>#DIV/0!</v>
      </c>
      <c r="BD420" s="29" t="str">
        <f t="shared" si="423"/>
        <v>#DIV/0!</v>
      </c>
      <c r="BE420" s="29" t="str">
        <f t="shared" si="423"/>
        <v>#DIV/0!</v>
      </c>
      <c r="BF420" s="29" t="str">
        <f t="shared" si="423"/>
        <v>#DIV/0!</v>
      </c>
      <c r="BG420" s="29" t="str">
        <f t="shared" si="423"/>
        <v>#DIV/0!</v>
      </c>
      <c r="BH420" s="29" t="str">
        <f t="shared" si="423"/>
        <v>#DIV/0!</v>
      </c>
      <c r="BI420" s="29" t="str">
        <f t="shared" si="423"/>
        <v>#DIV/0!</v>
      </c>
      <c r="BJ420" s="29" t="str">
        <f t="shared" si="423"/>
        <v>#DIV/0!</v>
      </c>
      <c r="BK420" s="29" t="str">
        <f t="shared" si="423"/>
        <v>#DIV/0!</v>
      </c>
      <c r="BL420" s="29" t="str">
        <f t="shared" si="423"/>
        <v>#DIV/0!</v>
      </c>
      <c r="BM420" s="29" t="str">
        <f t="shared" si="3"/>
        <v>#DIV/0!</v>
      </c>
    </row>
    <row r="421">
      <c r="A421" s="16" t="str">
        <f>IFERROR(__xludf.DUMMYFUNCTION("IFERROR(SPARKLINE(SORT(MAP(TRANSPOSE(AQ421:BL421), LAMBDA(val, IF(ISNUMBER(val), PERCENTRANK(AQ421:BL421, val)+0.01, 0))), SEQUENCE(COLUMNS(AQ421:BL421)), FALSE), {""charttype"",""column""; ""color"",""chartreuse""; ""ymin"", 0; ""ymax"", 1.01; ""highcolo"&amp;"r"", ""darkgreen""; ""lowcolor"", ""red""}), """")"),"")</f>
        <v/>
      </c>
      <c r="B421" s="17" t="str">
        <f t="shared" si="4"/>
        <v/>
      </c>
      <c r="C421" s="1" t="s">
        <v>2527</v>
      </c>
      <c r="D421" s="30" t="str">
        <f>IFERROR(__xludf.DUMMYFUNCTION("IFERROR(GOOGLEFINANCE(C421, ""NAME""))"),"Huron Consulting Group Inc")</f>
        <v>Huron Consulting Group Inc</v>
      </c>
      <c r="E421" s="30" t="s">
        <v>1591</v>
      </c>
      <c r="F421" s="33" t="str">
        <f>IFERROR(__xludf.DUMMYFUNCTION("( (GOOGLEFINANCE(C421, ""price"") - Q421) / Q421 ) / (R421 / 100)"),"Loading...")</f>
        <v>Loading...</v>
      </c>
      <c r="G421" s="20" t="str">
        <f>IFERROR(__xludf.DUMMYFUNCTION("AVERAGE(ARRAYFORMULA(100 * (QUERY(GOOGLEFINANCE(C421, ""high"", TODAY()-40, TODAY()), ""SELECT Col2 WHERE Col2 IS NOT NULL ORDER BY Col1 DESC LIMIT 20"", 0) / QUERY(GOOGLEFINANCE(C421, ""low"", TODAY()-40, TODAY()), ""SELECT Col2 WHERE Col2 IS NOT NULL OR"&amp;"DER BY Col1 DESC LIMIT 20"", 0) - 1)))"),"#N/A")</f>
        <v>#N/A</v>
      </c>
      <c r="H421" s="35" t="str">
        <f t="shared" si="6"/>
        <v/>
      </c>
      <c r="I421" s="35" t="str">
        <f t="shared" si="7"/>
        <v/>
      </c>
      <c r="J421" s="37" t="str">
        <f>IFERROR(__xludf.DUMMYFUNCTION("IFERROR(
  IF(C421="""",, 
    IFERROR(
      GOOGLEFINANCE(C421, ""price"") * GOOGLEFINANCE(C421, ""volumeavg""), 
      GOOGLEFINANCE(C421, ""price"") * AVERAGE(QUERY(GOOGLEFINANCE(C421, ""volume"", TODAY()-40, TODAY()), ""SELECT Col2 WHERE Col2 IS NOT "&amp;"NULL ORDER BY Col1 DESC LIMIT 20"", 0))
    )
  ), 
"""")"),"")</f>
        <v/>
      </c>
      <c r="K421" s="21" t="str">
        <f>IFERROR(__xludf.DUMMYFUNCTION("IFERROR(GOOGLEFINANCE(C421, ""changepct"") / 100, """")"),"")</f>
        <v/>
      </c>
      <c r="L421" s="21" t="str">
        <f>IFERROR(__xludf.DUMMYFUNCTION("IFERROR((GOOGLEFINANCE(C421, ""price"") / INDEX(GOOGLEFINANCE(C421, ""price"", TODAY()-7, TODAY()), 2, 2)) - 1, """")"),"")</f>
        <v/>
      </c>
      <c r="M421" s="21" t="str">
        <f>IFERROR(__xludf.DUMMYFUNCTION("IFERROR((GOOGLEFINANCE(C421, ""price"") / INDEX(GOOGLEFINANCE(C421, ""price"", EDATE(TODAY(), -1), TODAY()), 2, 2)) - 1, """")"),"")</f>
        <v/>
      </c>
      <c r="N421" s="21" t="str">
        <f>IFERROR(__xludf.DUMMYFUNCTION("IFERROR((GOOGLEFINANCE(C421, ""price"") / INDEX(GOOGLEFINANCE(C421, ""price"", EDATE(TODAY(), -3), TODAY()), 2, 2)) - 1, """")"),"")</f>
        <v/>
      </c>
      <c r="O421" s="21" t="str">
        <f>IFERROR(__xludf.DUMMYFUNCTION("IFERROR((GOOGLEFINANCE(C421, ""price"") / INDEX(GOOGLEFINANCE(C421, ""price"", EDATE(TODAY(), -6), TODAY()), 2, 2)) - 1, """")"),"")</f>
        <v/>
      </c>
      <c r="P421" s="21" t="str">
        <f>IFERROR(__xludf.DUMMYFUNCTION("IFERROR((GOOGLEFINANCE(C421, ""price"") / INDEX(GOOGLEFINANCE(C421, ""price"", EDATE(TODAY(), -12), TODAY()), 2, 2)) - 1, """")"),"")</f>
        <v/>
      </c>
      <c r="Q421" s="6" t="str">
        <f>IFERROR(__xludf.DUMMYFUNCTION("AVERAGE(QUERY(GOOGLEFINANCE(C421, ""price"", TODAY()-80, TODAY()), ""SELECT Col2 WHERE Col2 IS NOT NULL ORDER BY Col1 DESC LIMIT 50"", 0))"),"#N/A")</f>
        <v>#N/A</v>
      </c>
      <c r="R421" s="24" t="str">
        <f>IFERROR(__xludf.DUMMYFUNCTION("IFERROR(
  LET(
    data, QUERY(GOOGLEFINANCE(C421,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GOOGLEFINANCE(C421, ""price"")) * 100,
    IF(calc=0, G421, calc)
  ), 
G421)"),"#N/A")</f>
        <v>#N/A</v>
      </c>
      <c r="S421" s="8" t="s">
        <v>15</v>
      </c>
      <c r="T421" s="26" t="str">
        <f>IFERROR(__xludf.DUMMYFUNCTION("IFERROR(TRANSPOSE(QUERY(IFERROR(SORT(GOOGLEFINANCE(C421, ""price"", WORKDAY(TODAY(), -40), TODAY()), 1, FALSE)), ""select Col2 where Col2 is not null limit 22 label Col2 ''"", 0)), """")"),"")</f>
        <v/>
      </c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8"/>
      <c r="AO421" s="28"/>
      <c r="AP421" s="29"/>
      <c r="AQ421" s="29" t="str">
        <f t="shared" ref="AQ421:BL421" si="424">T421/T$2</f>
        <v>#N/A</v>
      </c>
      <c r="AR421" s="29" t="str">
        <f t="shared" si="424"/>
        <v>#DIV/0!</v>
      </c>
      <c r="AS421" s="29" t="str">
        <f t="shared" si="424"/>
        <v>#DIV/0!</v>
      </c>
      <c r="AT421" s="29" t="str">
        <f t="shared" si="424"/>
        <v>#DIV/0!</v>
      </c>
      <c r="AU421" s="29" t="str">
        <f t="shared" si="424"/>
        <v>#DIV/0!</v>
      </c>
      <c r="AV421" s="29" t="str">
        <f t="shared" si="424"/>
        <v>#DIV/0!</v>
      </c>
      <c r="AW421" s="29" t="str">
        <f t="shared" si="424"/>
        <v>#DIV/0!</v>
      </c>
      <c r="AX421" s="29" t="str">
        <f t="shared" si="424"/>
        <v>#DIV/0!</v>
      </c>
      <c r="AY421" s="29" t="str">
        <f t="shared" si="424"/>
        <v>#DIV/0!</v>
      </c>
      <c r="AZ421" s="29" t="str">
        <f t="shared" si="424"/>
        <v>#DIV/0!</v>
      </c>
      <c r="BA421" s="29" t="str">
        <f t="shared" si="424"/>
        <v>#DIV/0!</v>
      </c>
      <c r="BB421" s="29" t="str">
        <f t="shared" si="424"/>
        <v>#DIV/0!</v>
      </c>
      <c r="BC421" s="29" t="str">
        <f t="shared" si="424"/>
        <v>#DIV/0!</v>
      </c>
      <c r="BD421" s="29" t="str">
        <f t="shared" si="424"/>
        <v>#DIV/0!</v>
      </c>
      <c r="BE421" s="29" t="str">
        <f t="shared" si="424"/>
        <v>#DIV/0!</v>
      </c>
      <c r="BF421" s="29" t="str">
        <f t="shared" si="424"/>
        <v>#DIV/0!</v>
      </c>
      <c r="BG421" s="29" t="str">
        <f t="shared" si="424"/>
        <v>#DIV/0!</v>
      </c>
      <c r="BH421" s="29" t="str">
        <f t="shared" si="424"/>
        <v>#DIV/0!</v>
      </c>
      <c r="BI421" s="29" t="str">
        <f t="shared" si="424"/>
        <v>#DIV/0!</v>
      </c>
      <c r="BJ421" s="29" t="str">
        <f t="shared" si="424"/>
        <v>#DIV/0!</v>
      </c>
      <c r="BK421" s="29" t="str">
        <f t="shared" si="424"/>
        <v>#DIV/0!</v>
      </c>
      <c r="BL421" s="29" t="str">
        <f t="shared" si="424"/>
        <v>#DIV/0!</v>
      </c>
      <c r="BM421" s="29" t="str">
        <f t="shared" si="3"/>
        <v>#DIV/0!</v>
      </c>
    </row>
    <row r="422">
      <c r="A422" s="16" t="str">
        <f>IFERROR(__xludf.DUMMYFUNCTION("IFERROR(SPARKLINE(SORT(MAP(TRANSPOSE(AQ422:BL422), LAMBDA(val, IF(ISNUMBER(val), PERCENTRANK(AQ422:BL422, val)+0.01, 0))), SEQUENCE(COLUMNS(AQ422:BL422)), FALSE), {""charttype"",""column""; ""color"",""chartreuse""; ""ymin"", 0; ""ymax"", 1.01; ""highcolo"&amp;"r"", ""darkgreen""; ""lowcolor"", ""red""}), """")"),"")</f>
        <v/>
      </c>
      <c r="B422" s="17" t="str">
        <f t="shared" si="4"/>
        <v/>
      </c>
      <c r="C422" s="1" t="s">
        <v>2531</v>
      </c>
      <c r="D422" s="30" t="str">
        <f>IFERROR(__xludf.DUMMYFUNCTION("IFERROR(GOOGLEFINANCE(C422, ""NAME""))"),"Hubbell Inc")</f>
        <v>Hubbell Inc</v>
      </c>
      <c r="E422" s="30" t="s">
        <v>864</v>
      </c>
      <c r="F422" s="33" t="str">
        <f>IFERROR(__xludf.DUMMYFUNCTION("( (GOOGLEFINANCE(C422, ""price"") - Q422) / Q422 ) / (R422 / 100)"),"Loading...")</f>
        <v>Loading...</v>
      </c>
      <c r="G422" s="20" t="str">
        <f>IFERROR(__xludf.DUMMYFUNCTION("AVERAGE(ARRAYFORMULA(100 * (QUERY(GOOGLEFINANCE(C422, ""high"", TODAY()-40, TODAY()), ""SELECT Col2 WHERE Col2 IS NOT NULL ORDER BY Col1 DESC LIMIT 20"", 0) / QUERY(GOOGLEFINANCE(C422, ""low"", TODAY()-40, TODAY()), ""SELECT Col2 WHERE Col2 IS NOT NULL OR"&amp;"DER BY Col1 DESC LIMIT 20"", 0) - 1)))"),"#N/A")</f>
        <v>#N/A</v>
      </c>
      <c r="H422" s="35" t="str">
        <f t="shared" si="6"/>
        <v/>
      </c>
      <c r="I422" s="35" t="str">
        <f t="shared" si="7"/>
        <v/>
      </c>
      <c r="J422" s="37" t="str">
        <f>IFERROR(__xludf.DUMMYFUNCTION("IFERROR(
  IF(C422="""",, 
    IFERROR(
      GOOGLEFINANCE(C422, ""price"") * GOOGLEFINANCE(C422, ""volumeavg""), 
      GOOGLEFINANCE(C422, ""price"") * AVERAGE(QUERY(GOOGLEFINANCE(C422, ""volume"", TODAY()-40, TODAY()), ""SELECT Col2 WHERE Col2 IS NOT "&amp;"NULL ORDER BY Col1 DESC LIMIT 20"", 0))
    )
  ), 
"""")"),"")</f>
        <v/>
      </c>
      <c r="K422" s="21" t="str">
        <f>IFERROR(__xludf.DUMMYFUNCTION("IFERROR(GOOGLEFINANCE(C422, ""changepct"") / 100, """")"),"")</f>
        <v/>
      </c>
      <c r="L422" s="21" t="str">
        <f>IFERROR(__xludf.DUMMYFUNCTION("IFERROR((GOOGLEFINANCE(C422, ""price"") / INDEX(GOOGLEFINANCE(C422, ""price"", TODAY()-7, TODAY()), 2, 2)) - 1, """")"),"")</f>
        <v/>
      </c>
      <c r="M422" s="21" t="str">
        <f>IFERROR(__xludf.DUMMYFUNCTION("IFERROR((GOOGLEFINANCE(C422, ""price"") / INDEX(GOOGLEFINANCE(C422, ""price"", EDATE(TODAY(), -1), TODAY()), 2, 2)) - 1, """")"),"")</f>
        <v/>
      </c>
      <c r="N422" s="21" t="str">
        <f>IFERROR(__xludf.DUMMYFUNCTION("IFERROR((GOOGLEFINANCE(C422, ""price"") / INDEX(GOOGLEFINANCE(C422, ""price"", EDATE(TODAY(), -3), TODAY()), 2, 2)) - 1, """")"),"")</f>
        <v/>
      </c>
      <c r="O422" s="21" t="str">
        <f>IFERROR(__xludf.DUMMYFUNCTION("IFERROR((GOOGLEFINANCE(C422, ""price"") / INDEX(GOOGLEFINANCE(C422, ""price"", EDATE(TODAY(), -6), TODAY()), 2, 2)) - 1, """")"),"")</f>
        <v/>
      </c>
      <c r="P422" s="21" t="str">
        <f>IFERROR(__xludf.DUMMYFUNCTION("IFERROR((GOOGLEFINANCE(C422, ""price"") / INDEX(GOOGLEFINANCE(C422, ""price"", EDATE(TODAY(), -12), TODAY()), 2, 2)) - 1, """")"),"")</f>
        <v/>
      </c>
      <c r="Q422" s="6" t="str">
        <f>IFERROR(__xludf.DUMMYFUNCTION("AVERAGE(QUERY(GOOGLEFINANCE(C422, ""price"", TODAY()-80, TODAY()), ""SELECT Col2 WHERE Col2 IS NOT NULL ORDER BY Col1 DESC LIMIT 50"", 0))"),"#N/A")</f>
        <v>#N/A</v>
      </c>
      <c r="R422" s="24" t="str">
        <f>IFERROR(__xludf.DUMMYFUNCTION("IFERROR(
  LET(
    data, QUERY(GOOGLEFINANCE(C422,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GOOGLEFINANCE(C422, ""price"")) * 100,
    IF(calc=0, G422, calc)
  ), 
G422)"),"#N/A")</f>
        <v>#N/A</v>
      </c>
      <c r="S422" s="8" t="s">
        <v>15</v>
      </c>
      <c r="T422" s="26" t="str">
        <f>IFERROR(__xludf.DUMMYFUNCTION("IFERROR(TRANSPOSE(QUERY(IFERROR(SORT(GOOGLEFINANCE(C422, ""price"", WORKDAY(TODAY(), -40), TODAY()), 1, FALSE)), ""select Col2 where Col2 is not null limit 22 label Col2 ''"", 0)), """")"),"")</f>
        <v/>
      </c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8"/>
      <c r="AO422" s="28"/>
      <c r="AP422" s="29"/>
      <c r="AQ422" s="29" t="str">
        <f t="shared" ref="AQ422:BL422" si="425">T422/T$2</f>
        <v>#N/A</v>
      </c>
      <c r="AR422" s="29" t="str">
        <f t="shared" si="425"/>
        <v>#DIV/0!</v>
      </c>
      <c r="AS422" s="29" t="str">
        <f t="shared" si="425"/>
        <v>#DIV/0!</v>
      </c>
      <c r="AT422" s="29" t="str">
        <f t="shared" si="425"/>
        <v>#DIV/0!</v>
      </c>
      <c r="AU422" s="29" t="str">
        <f t="shared" si="425"/>
        <v>#DIV/0!</v>
      </c>
      <c r="AV422" s="29" t="str">
        <f t="shared" si="425"/>
        <v>#DIV/0!</v>
      </c>
      <c r="AW422" s="29" t="str">
        <f t="shared" si="425"/>
        <v>#DIV/0!</v>
      </c>
      <c r="AX422" s="29" t="str">
        <f t="shared" si="425"/>
        <v>#DIV/0!</v>
      </c>
      <c r="AY422" s="29" t="str">
        <f t="shared" si="425"/>
        <v>#DIV/0!</v>
      </c>
      <c r="AZ422" s="29" t="str">
        <f t="shared" si="425"/>
        <v>#DIV/0!</v>
      </c>
      <c r="BA422" s="29" t="str">
        <f t="shared" si="425"/>
        <v>#DIV/0!</v>
      </c>
      <c r="BB422" s="29" t="str">
        <f t="shared" si="425"/>
        <v>#DIV/0!</v>
      </c>
      <c r="BC422" s="29" t="str">
        <f t="shared" si="425"/>
        <v>#DIV/0!</v>
      </c>
      <c r="BD422" s="29" t="str">
        <f t="shared" si="425"/>
        <v>#DIV/0!</v>
      </c>
      <c r="BE422" s="29" t="str">
        <f t="shared" si="425"/>
        <v>#DIV/0!</v>
      </c>
      <c r="BF422" s="29" t="str">
        <f t="shared" si="425"/>
        <v>#DIV/0!</v>
      </c>
      <c r="BG422" s="29" t="str">
        <f t="shared" si="425"/>
        <v>#DIV/0!</v>
      </c>
      <c r="BH422" s="29" t="str">
        <f t="shared" si="425"/>
        <v>#DIV/0!</v>
      </c>
      <c r="BI422" s="29" t="str">
        <f t="shared" si="425"/>
        <v>#DIV/0!</v>
      </c>
      <c r="BJ422" s="29" t="str">
        <f t="shared" si="425"/>
        <v>#DIV/0!</v>
      </c>
      <c r="BK422" s="29" t="str">
        <f t="shared" si="425"/>
        <v>#DIV/0!</v>
      </c>
      <c r="BL422" s="29" t="str">
        <f t="shared" si="425"/>
        <v>#DIV/0!</v>
      </c>
      <c r="BM422" s="29" t="str">
        <f t="shared" si="3"/>
        <v>#DIV/0!</v>
      </c>
    </row>
    <row r="423">
      <c r="A423" s="16" t="str">
        <f>IFERROR(__xludf.DUMMYFUNCTION("IFERROR(SPARKLINE(SORT(MAP(TRANSPOSE(AQ423:BL423), LAMBDA(val, IF(ISNUMBER(val), PERCENTRANK(AQ423:BL423, val)+0.01, 0))), SEQUENCE(COLUMNS(AQ423:BL423)), FALSE), {""charttype"",""column""; ""color"",""chartreuse""; ""ymin"", 0; ""ymax"", 1.01; ""highcolo"&amp;"r"", ""darkgreen""; ""lowcolor"", ""red""}), """")"),"")</f>
        <v/>
      </c>
      <c r="B423" s="17" t="str">
        <f t="shared" si="4"/>
        <v/>
      </c>
      <c r="C423" s="1" t="s">
        <v>2535</v>
      </c>
      <c r="D423" s="30" t="str">
        <f>IFERROR(__xludf.DUMMYFUNCTION("IFERROR(GOOGLEFINANCE(C423, ""NAME""))"),"KBR Inc")</f>
        <v>KBR Inc</v>
      </c>
      <c r="E423" s="30" t="s">
        <v>856</v>
      </c>
      <c r="F423" s="38" t="str">
        <f>IFERROR(__xludf.DUMMYFUNCTION("( (GOOGLEFINANCE(C423, ""price"") - Q423) / Q423 ) / (R423 / 100)"),"Loading...")</f>
        <v>Loading...</v>
      </c>
      <c r="G423" s="20" t="str">
        <f>IFERROR(__xludf.DUMMYFUNCTION("AVERAGE(ARRAYFORMULA(100 * (QUERY(GOOGLEFINANCE(C423, ""high"", TODAY()-40, TODAY()), ""SELECT Col2 WHERE Col2 IS NOT NULL ORDER BY Col1 DESC LIMIT 20"", 0) / QUERY(GOOGLEFINANCE(C423, ""low"", TODAY()-40, TODAY()), ""SELECT Col2 WHERE Col2 IS NOT NULL OR"&amp;"DER BY Col1 DESC LIMIT 20"", 0) - 1)))"),"#N/A")</f>
        <v>#N/A</v>
      </c>
      <c r="H423" s="35" t="str">
        <f t="shared" si="6"/>
        <v/>
      </c>
      <c r="I423" s="35" t="str">
        <f t="shared" si="7"/>
        <v/>
      </c>
      <c r="J423" s="37" t="str">
        <f>IFERROR(__xludf.DUMMYFUNCTION("IFERROR(
  IF(C423="""",, 
    IFERROR(
      GOOGLEFINANCE(C423, ""price"") * GOOGLEFINANCE(C423, ""volumeavg""), 
      GOOGLEFINANCE(C423, ""price"") * AVERAGE(QUERY(GOOGLEFINANCE(C423, ""volume"", TODAY()-40, TODAY()), ""SELECT Col2 WHERE Col2 IS NOT "&amp;"NULL ORDER BY Col1 DESC LIMIT 20"", 0))
    )
  ), 
"""")"),"")</f>
        <v/>
      </c>
      <c r="K423" s="21" t="str">
        <f>IFERROR(__xludf.DUMMYFUNCTION("IFERROR(GOOGLEFINANCE(C423, ""changepct"") / 100, """")"),"")</f>
        <v/>
      </c>
      <c r="L423" s="21" t="str">
        <f>IFERROR(__xludf.DUMMYFUNCTION("IFERROR((GOOGLEFINANCE(C423, ""price"") / INDEX(GOOGLEFINANCE(C423, ""price"", TODAY()-7, TODAY()), 2, 2)) - 1, """")"),"")</f>
        <v/>
      </c>
      <c r="M423" s="21" t="str">
        <f>IFERROR(__xludf.DUMMYFUNCTION("IFERROR((GOOGLEFINANCE(C423, ""price"") / INDEX(GOOGLEFINANCE(C423, ""price"", EDATE(TODAY(), -1), TODAY()), 2, 2)) - 1, """")"),"")</f>
        <v/>
      </c>
      <c r="N423" s="21" t="str">
        <f>IFERROR(__xludf.DUMMYFUNCTION("IFERROR((GOOGLEFINANCE(C423, ""price"") / INDEX(GOOGLEFINANCE(C423, ""price"", EDATE(TODAY(), -3), TODAY()), 2, 2)) - 1, """")"),"")</f>
        <v/>
      </c>
      <c r="O423" s="21" t="str">
        <f>IFERROR(__xludf.DUMMYFUNCTION("IFERROR((GOOGLEFINANCE(C423, ""price"") / INDEX(GOOGLEFINANCE(C423, ""price"", EDATE(TODAY(), -6), TODAY()), 2, 2)) - 1, """")"),"")</f>
        <v/>
      </c>
      <c r="P423" s="21" t="str">
        <f>IFERROR(__xludf.DUMMYFUNCTION("IFERROR((GOOGLEFINANCE(C423, ""price"") / INDEX(GOOGLEFINANCE(C423, ""price"", EDATE(TODAY(), -12), TODAY()), 2, 2)) - 1, """")"),"")</f>
        <v/>
      </c>
      <c r="Q423" s="6" t="str">
        <f>IFERROR(__xludf.DUMMYFUNCTION("AVERAGE(QUERY(GOOGLEFINANCE(C423, ""price"", TODAY()-80, TODAY()), ""SELECT Col2 WHERE Col2 IS NOT NULL ORDER BY Col1 DESC LIMIT 50"", 0))"),"#N/A")</f>
        <v>#N/A</v>
      </c>
      <c r="R423" s="24" t="str">
        <f>IFERROR(__xludf.DUMMYFUNCTION("IFERROR(
  LET(
    data, QUERY(GOOGLEFINANCE(C423,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GOOGLEFINANCE(C423, ""price"")) * 100,
    IF(calc=0, G423, calc)
  ), 
G423)"),"#N/A")</f>
        <v>#N/A</v>
      </c>
      <c r="S423" s="8" t="s">
        <v>15</v>
      </c>
      <c r="T423" s="26" t="str">
        <f>IFERROR(__xludf.DUMMYFUNCTION("IFERROR(TRANSPOSE(QUERY(IFERROR(SORT(GOOGLEFINANCE(C423, ""price"", WORKDAY(TODAY(), -40), TODAY()), 1, FALSE)), ""select Col2 where Col2 is not null limit 22 label Col2 ''"", 0)), """")"),"")</f>
        <v/>
      </c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8"/>
      <c r="AO423" s="28"/>
      <c r="AP423" s="29"/>
      <c r="AQ423" s="29" t="str">
        <f t="shared" ref="AQ423:BL423" si="426">T423/T$2</f>
        <v>#N/A</v>
      </c>
      <c r="AR423" s="29" t="str">
        <f t="shared" si="426"/>
        <v>#DIV/0!</v>
      </c>
      <c r="AS423" s="29" t="str">
        <f t="shared" si="426"/>
        <v>#DIV/0!</v>
      </c>
      <c r="AT423" s="29" t="str">
        <f t="shared" si="426"/>
        <v>#DIV/0!</v>
      </c>
      <c r="AU423" s="29" t="str">
        <f t="shared" si="426"/>
        <v>#DIV/0!</v>
      </c>
      <c r="AV423" s="29" t="str">
        <f t="shared" si="426"/>
        <v>#DIV/0!</v>
      </c>
      <c r="AW423" s="29" t="str">
        <f t="shared" si="426"/>
        <v>#DIV/0!</v>
      </c>
      <c r="AX423" s="29" t="str">
        <f t="shared" si="426"/>
        <v>#DIV/0!</v>
      </c>
      <c r="AY423" s="29" t="str">
        <f t="shared" si="426"/>
        <v>#DIV/0!</v>
      </c>
      <c r="AZ423" s="29" t="str">
        <f t="shared" si="426"/>
        <v>#DIV/0!</v>
      </c>
      <c r="BA423" s="29" t="str">
        <f t="shared" si="426"/>
        <v>#DIV/0!</v>
      </c>
      <c r="BB423" s="29" t="str">
        <f t="shared" si="426"/>
        <v>#DIV/0!</v>
      </c>
      <c r="BC423" s="29" t="str">
        <f t="shared" si="426"/>
        <v>#DIV/0!</v>
      </c>
      <c r="BD423" s="29" t="str">
        <f t="shared" si="426"/>
        <v>#DIV/0!</v>
      </c>
      <c r="BE423" s="29" t="str">
        <f t="shared" si="426"/>
        <v>#DIV/0!</v>
      </c>
      <c r="BF423" s="29" t="str">
        <f t="shared" si="426"/>
        <v>#DIV/0!</v>
      </c>
      <c r="BG423" s="29" t="str">
        <f t="shared" si="426"/>
        <v>#DIV/0!</v>
      </c>
      <c r="BH423" s="29" t="str">
        <f t="shared" si="426"/>
        <v>#DIV/0!</v>
      </c>
      <c r="BI423" s="29" t="str">
        <f t="shared" si="426"/>
        <v>#DIV/0!</v>
      </c>
      <c r="BJ423" s="29" t="str">
        <f t="shared" si="426"/>
        <v>#DIV/0!</v>
      </c>
      <c r="BK423" s="29" t="str">
        <f t="shared" si="426"/>
        <v>#DIV/0!</v>
      </c>
      <c r="BL423" s="29" t="str">
        <f t="shared" si="426"/>
        <v>#DIV/0!</v>
      </c>
      <c r="BM423" s="29" t="str">
        <f t="shared" si="3"/>
        <v>#DIV/0!</v>
      </c>
    </row>
    <row r="424">
      <c r="A424" s="16" t="str">
        <f>IFERROR(__xludf.DUMMYFUNCTION("IFERROR(SPARKLINE(SORT(MAP(TRANSPOSE(AQ424:BL424), LAMBDA(val, IF(ISNUMBER(val), PERCENTRANK(AQ424:BL424, val)+0.01, 0))), SEQUENCE(COLUMNS(AQ424:BL424)), FALSE), {""charttype"",""column""; ""color"",""chartreuse""; ""ymin"", 0; ""ymax"", 1.01; ""highcolo"&amp;"r"", ""darkgreen""; ""lowcolor"", ""red""}), """")"),"")</f>
        <v/>
      </c>
      <c r="B424" s="17" t="str">
        <f t="shared" si="4"/>
        <v/>
      </c>
      <c r="C424" s="1" t="s">
        <v>2540</v>
      </c>
      <c r="D424" s="30" t="str">
        <f>IFERROR(__xludf.DUMMYFUNCTION("IFERROR(GOOGLEFINANCE(C424, ""NAME""))"),"Jacobs Solutions Inc")</f>
        <v>Jacobs Solutions Inc</v>
      </c>
      <c r="E424" s="30" t="s">
        <v>856</v>
      </c>
      <c r="F424" s="33" t="str">
        <f>IFERROR(__xludf.DUMMYFUNCTION("( (GOOGLEFINANCE(C424, ""price"") - Q424) / Q424 ) / (R424 / 100)"),"Loading...")</f>
        <v>Loading...</v>
      </c>
      <c r="G424" s="20" t="str">
        <f>IFERROR(__xludf.DUMMYFUNCTION("AVERAGE(ARRAYFORMULA(100 * (QUERY(GOOGLEFINANCE(C424, ""high"", TODAY()-40, TODAY()), ""SELECT Col2 WHERE Col2 IS NOT NULL ORDER BY Col1 DESC LIMIT 20"", 0) / QUERY(GOOGLEFINANCE(C424, ""low"", TODAY()-40, TODAY()), ""SELECT Col2 WHERE Col2 IS NOT NULL OR"&amp;"DER BY Col1 DESC LIMIT 20"", 0) - 1)))"),"#N/A")</f>
        <v>#N/A</v>
      </c>
      <c r="H424" s="35" t="str">
        <f t="shared" si="6"/>
        <v/>
      </c>
      <c r="I424" s="35" t="str">
        <f t="shared" si="7"/>
        <v/>
      </c>
      <c r="J424" s="37" t="str">
        <f>IFERROR(__xludf.DUMMYFUNCTION("IFERROR(
  IF(C424="""",, 
    IFERROR(
      GOOGLEFINANCE(C424, ""price"") * GOOGLEFINANCE(C424, ""volumeavg""), 
      GOOGLEFINANCE(C424, ""price"") * AVERAGE(QUERY(GOOGLEFINANCE(C424, ""volume"", TODAY()-40, TODAY()), ""SELECT Col2 WHERE Col2 IS NOT "&amp;"NULL ORDER BY Col1 DESC LIMIT 20"", 0))
    )
  ), 
"""")"),"")</f>
        <v/>
      </c>
      <c r="K424" s="21" t="str">
        <f>IFERROR(__xludf.DUMMYFUNCTION("IFERROR(GOOGLEFINANCE(C424, ""changepct"") / 100, """")"),"")</f>
        <v/>
      </c>
      <c r="L424" s="21" t="str">
        <f>IFERROR(__xludf.DUMMYFUNCTION("IFERROR((GOOGLEFINANCE(C424, ""price"") / INDEX(GOOGLEFINANCE(C424, ""price"", TODAY()-7, TODAY()), 2, 2)) - 1, """")"),"")</f>
        <v/>
      </c>
      <c r="M424" s="21" t="str">
        <f>IFERROR(__xludf.DUMMYFUNCTION("IFERROR((GOOGLEFINANCE(C424, ""price"") / INDEX(GOOGLEFINANCE(C424, ""price"", EDATE(TODAY(), -1), TODAY()), 2, 2)) - 1, """")"),"")</f>
        <v/>
      </c>
      <c r="N424" s="21" t="str">
        <f>IFERROR(__xludf.DUMMYFUNCTION("IFERROR((GOOGLEFINANCE(C424, ""price"") / INDEX(GOOGLEFINANCE(C424, ""price"", EDATE(TODAY(), -3), TODAY()), 2, 2)) - 1, """")"),"")</f>
        <v/>
      </c>
      <c r="O424" s="21" t="str">
        <f>IFERROR(__xludf.DUMMYFUNCTION("IFERROR((GOOGLEFINANCE(C424, ""price"") / INDEX(GOOGLEFINANCE(C424, ""price"", EDATE(TODAY(), -6), TODAY()), 2, 2)) - 1, """")"),"")</f>
        <v/>
      </c>
      <c r="P424" s="21" t="str">
        <f>IFERROR(__xludf.DUMMYFUNCTION("IFERROR((GOOGLEFINANCE(C424, ""price"") / INDEX(GOOGLEFINANCE(C424, ""price"", EDATE(TODAY(), -12), TODAY()), 2, 2)) - 1, """")"),"")</f>
        <v/>
      </c>
      <c r="Q424" s="6" t="str">
        <f>IFERROR(__xludf.DUMMYFUNCTION("AVERAGE(QUERY(GOOGLEFINANCE(C424, ""price"", TODAY()-80, TODAY()), ""SELECT Col2 WHERE Col2 IS NOT NULL ORDER BY Col1 DESC LIMIT 50"", 0))"),"#N/A")</f>
        <v>#N/A</v>
      </c>
      <c r="R424" s="24" t="str">
        <f>IFERROR(__xludf.DUMMYFUNCTION("IFERROR(
  LET(
    data, QUERY(GOOGLEFINANCE(C424,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GOOGLEFINANCE(C424, ""price"")) * 100,
    IF(calc=0, G424, calc)
  ), 
G424)"),"#N/A")</f>
        <v>#N/A</v>
      </c>
      <c r="S424" s="8" t="s">
        <v>15</v>
      </c>
      <c r="T424" s="26" t="str">
        <f>IFERROR(__xludf.DUMMYFUNCTION("IFERROR(TRANSPOSE(QUERY(IFERROR(SORT(GOOGLEFINANCE(C424, ""price"", WORKDAY(TODAY(), -40), TODAY()), 1, FALSE)), ""select Col2 where Col2 is not null limit 22 label Col2 ''"", 0)), """")"),"")</f>
        <v/>
      </c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8"/>
      <c r="AO424" s="28"/>
      <c r="AP424" s="29"/>
      <c r="AQ424" s="29" t="str">
        <f t="shared" ref="AQ424:BL424" si="427">T424/T$2</f>
        <v>#N/A</v>
      </c>
      <c r="AR424" s="29" t="str">
        <f t="shared" si="427"/>
        <v>#DIV/0!</v>
      </c>
      <c r="AS424" s="29" t="str">
        <f t="shared" si="427"/>
        <v>#DIV/0!</v>
      </c>
      <c r="AT424" s="29" t="str">
        <f t="shared" si="427"/>
        <v>#DIV/0!</v>
      </c>
      <c r="AU424" s="29" t="str">
        <f t="shared" si="427"/>
        <v>#DIV/0!</v>
      </c>
      <c r="AV424" s="29" t="str">
        <f t="shared" si="427"/>
        <v>#DIV/0!</v>
      </c>
      <c r="AW424" s="29" t="str">
        <f t="shared" si="427"/>
        <v>#DIV/0!</v>
      </c>
      <c r="AX424" s="29" t="str">
        <f t="shared" si="427"/>
        <v>#DIV/0!</v>
      </c>
      <c r="AY424" s="29" t="str">
        <f t="shared" si="427"/>
        <v>#DIV/0!</v>
      </c>
      <c r="AZ424" s="29" t="str">
        <f t="shared" si="427"/>
        <v>#DIV/0!</v>
      </c>
      <c r="BA424" s="29" t="str">
        <f t="shared" si="427"/>
        <v>#DIV/0!</v>
      </c>
      <c r="BB424" s="29" t="str">
        <f t="shared" si="427"/>
        <v>#DIV/0!</v>
      </c>
      <c r="BC424" s="29" t="str">
        <f t="shared" si="427"/>
        <v>#DIV/0!</v>
      </c>
      <c r="BD424" s="29" t="str">
        <f t="shared" si="427"/>
        <v>#DIV/0!</v>
      </c>
      <c r="BE424" s="29" t="str">
        <f t="shared" si="427"/>
        <v>#DIV/0!</v>
      </c>
      <c r="BF424" s="29" t="str">
        <f t="shared" si="427"/>
        <v>#DIV/0!</v>
      </c>
      <c r="BG424" s="29" t="str">
        <f t="shared" si="427"/>
        <v>#DIV/0!</v>
      </c>
      <c r="BH424" s="29" t="str">
        <f t="shared" si="427"/>
        <v>#DIV/0!</v>
      </c>
      <c r="BI424" s="29" t="str">
        <f t="shared" si="427"/>
        <v>#DIV/0!</v>
      </c>
      <c r="BJ424" s="29" t="str">
        <f t="shared" si="427"/>
        <v>#DIV/0!</v>
      </c>
      <c r="BK424" s="29" t="str">
        <f t="shared" si="427"/>
        <v>#DIV/0!</v>
      </c>
      <c r="BL424" s="29" t="str">
        <f t="shared" si="427"/>
        <v>#DIV/0!</v>
      </c>
      <c r="BM424" s="29" t="str">
        <f t="shared" si="3"/>
        <v>#DIV/0!</v>
      </c>
    </row>
    <row r="425">
      <c r="A425" s="16" t="str">
        <f>IFERROR(__xludf.DUMMYFUNCTION("IFERROR(SPARKLINE(SORT(MAP(TRANSPOSE(AQ425:BL425), LAMBDA(val, IF(ISNUMBER(val), PERCENTRANK(AQ425:BL425, val)+0.01, 0))), SEQUENCE(COLUMNS(AQ425:BL425)), FALSE), {""charttype"",""column""; ""color"",""chartreuse""; ""ymin"", 0; ""ymax"", 1.01; ""highcolo"&amp;"r"", ""darkgreen""; ""lowcolor"", ""red""}), """")"),"")</f>
        <v/>
      </c>
      <c r="B425" s="17" t="str">
        <f t="shared" si="4"/>
        <v/>
      </c>
      <c r="C425" s="1" t="s">
        <v>2545</v>
      </c>
      <c r="D425" s="30" t="str">
        <f>IFERROR(__xludf.DUMMYFUNCTION("IFERROR(GOOGLEFINANCE(C425, ""NAME""))"),"Tetra Tech Inc (Delaware)")</f>
        <v>Tetra Tech Inc (Delaware)</v>
      </c>
      <c r="E425" s="30" t="s">
        <v>856</v>
      </c>
      <c r="F425" s="38" t="str">
        <f>IFERROR(__xludf.DUMMYFUNCTION("( (GOOGLEFINANCE(C425, ""price"") - Q425) / Q425 ) / (R425 / 100)"),"Loading...")</f>
        <v>Loading...</v>
      </c>
      <c r="G425" s="20" t="str">
        <f>IFERROR(__xludf.DUMMYFUNCTION("AVERAGE(ARRAYFORMULA(100 * (QUERY(GOOGLEFINANCE(C425, ""high"", TODAY()-40, TODAY()), ""SELECT Col2 WHERE Col2 IS NOT NULL ORDER BY Col1 DESC LIMIT 20"", 0) / QUERY(GOOGLEFINANCE(C425, ""low"", TODAY()-40, TODAY()), ""SELECT Col2 WHERE Col2 IS NOT NULL OR"&amp;"DER BY Col1 DESC LIMIT 20"", 0) - 1)))"),"#N/A")</f>
        <v>#N/A</v>
      </c>
      <c r="H425" s="35" t="str">
        <f t="shared" si="6"/>
        <v/>
      </c>
      <c r="I425" s="35" t="str">
        <f t="shared" si="7"/>
        <v/>
      </c>
      <c r="J425" s="37" t="str">
        <f>IFERROR(__xludf.DUMMYFUNCTION("IFERROR(
  IF(C425="""",, 
    IFERROR(
      GOOGLEFINANCE(C425, ""price"") * GOOGLEFINANCE(C425, ""volumeavg""), 
      GOOGLEFINANCE(C425, ""price"") * AVERAGE(QUERY(GOOGLEFINANCE(C425, ""volume"", TODAY()-40, TODAY()), ""SELECT Col2 WHERE Col2 IS NOT "&amp;"NULL ORDER BY Col1 DESC LIMIT 20"", 0))
    )
  ), 
"""")"),"")</f>
        <v/>
      </c>
      <c r="K425" s="21" t="str">
        <f>IFERROR(__xludf.DUMMYFUNCTION("IFERROR(GOOGLEFINANCE(C425, ""changepct"") / 100, """")"),"")</f>
        <v/>
      </c>
      <c r="L425" s="21" t="str">
        <f>IFERROR(__xludf.DUMMYFUNCTION("IFERROR((GOOGLEFINANCE(C425, ""price"") / INDEX(GOOGLEFINANCE(C425, ""price"", TODAY()-7, TODAY()), 2, 2)) - 1, """")"),"")</f>
        <v/>
      </c>
      <c r="M425" s="21" t="str">
        <f>IFERROR(__xludf.DUMMYFUNCTION("IFERROR((GOOGLEFINANCE(C425, ""price"") / INDEX(GOOGLEFINANCE(C425, ""price"", EDATE(TODAY(), -1), TODAY()), 2, 2)) - 1, """")"),"")</f>
        <v/>
      </c>
      <c r="N425" s="21" t="str">
        <f>IFERROR(__xludf.DUMMYFUNCTION("IFERROR((GOOGLEFINANCE(C425, ""price"") / INDEX(GOOGLEFINANCE(C425, ""price"", EDATE(TODAY(), -3), TODAY()), 2, 2)) - 1, """")"),"")</f>
        <v/>
      </c>
      <c r="O425" s="21" t="str">
        <f>IFERROR(__xludf.DUMMYFUNCTION("IFERROR((GOOGLEFINANCE(C425, ""price"") / INDEX(GOOGLEFINANCE(C425, ""price"", EDATE(TODAY(), -6), TODAY()), 2, 2)) - 1, """")"),"")</f>
        <v/>
      </c>
      <c r="P425" s="21" t="str">
        <f>IFERROR(__xludf.DUMMYFUNCTION("IFERROR((GOOGLEFINANCE(C425, ""price"") / INDEX(GOOGLEFINANCE(C425, ""price"", EDATE(TODAY(), -12), TODAY()), 2, 2)) - 1, """")"),"")</f>
        <v/>
      </c>
      <c r="Q425" s="6" t="str">
        <f>IFERROR(__xludf.DUMMYFUNCTION("AVERAGE(QUERY(GOOGLEFINANCE(C425, ""price"", TODAY()-80, TODAY()), ""SELECT Col2 WHERE Col2 IS NOT NULL ORDER BY Col1 DESC LIMIT 50"", 0))"),"#N/A")</f>
        <v>#N/A</v>
      </c>
      <c r="R425" s="24" t="str">
        <f>IFERROR(__xludf.DUMMYFUNCTION("IFERROR(
  LET(
    data, QUERY(GOOGLEFINANCE(C425,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GOOGLEFINANCE(C425, ""price"")) * 100,
    IF(calc=0, G425, calc)
  ), 
G425)"),"#N/A")</f>
        <v>#N/A</v>
      </c>
      <c r="S425" s="8" t="s">
        <v>15</v>
      </c>
      <c r="T425" s="26" t="str">
        <f>IFERROR(__xludf.DUMMYFUNCTION("IFERROR(TRANSPOSE(QUERY(IFERROR(SORT(GOOGLEFINANCE(C425, ""price"", WORKDAY(TODAY(), -40), TODAY()), 1, FALSE)), ""select Col2 where Col2 is not null limit 22 label Col2 ''"", 0)), """")"),"")</f>
        <v/>
      </c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8"/>
      <c r="AO425" s="28"/>
      <c r="AP425" s="29"/>
      <c r="AQ425" s="29" t="str">
        <f t="shared" ref="AQ425:BL425" si="428">T425/T$2</f>
        <v>#N/A</v>
      </c>
      <c r="AR425" s="29" t="str">
        <f t="shared" si="428"/>
        <v>#DIV/0!</v>
      </c>
      <c r="AS425" s="29" t="str">
        <f t="shared" si="428"/>
        <v>#DIV/0!</v>
      </c>
      <c r="AT425" s="29" t="str">
        <f t="shared" si="428"/>
        <v>#DIV/0!</v>
      </c>
      <c r="AU425" s="29" t="str">
        <f t="shared" si="428"/>
        <v>#DIV/0!</v>
      </c>
      <c r="AV425" s="29" t="str">
        <f t="shared" si="428"/>
        <v>#DIV/0!</v>
      </c>
      <c r="AW425" s="29" t="str">
        <f t="shared" si="428"/>
        <v>#DIV/0!</v>
      </c>
      <c r="AX425" s="29" t="str">
        <f t="shared" si="428"/>
        <v>#DIV/0!</v>
      </c>
      <c r="AY425" s="29" t="str">
        <f t="shared" si="428"/>
        <v>#DIV/0!</v>
      </c>
      <c r="AZ425" s="29" t="str">
        <f t="shared" si="428"/>
        <v>#DIV/0!</v>
      </c>
      <c r="BA425" s="29" t="str">
        <f t="shared" si="428"/>
        <v>#DIV/0!</v>
      </c>
      <c r="BB425" s="29" t="str">
        <f t="shared" si="428"/>
        <v>#DIV/0!</v>
      </c>
      <c r="BC425" s="29" t="str">
        <f t="shared" si="428"/>
        <v>#DIV/0!</v>
      </c>
      <c r="BD425" s="29" t="str">
        <f t="shared" si="428"/>
        <v>#DIV/0!</v>
      </c>
      <c r="BE425" s="29" t="str">
        <f t="shared" si="428"/>
        <v>#DIV/0!</v>
      </c>
      <c r="BF425" s="29" t="str">
        <f t="shared" si="428"/>
        <v>#DIV/0!</v>
      </c>
      <c r="BG425" s="29" t="str">
        <f t="shared" si="428"/>
        <v>#DIV/0!</v>
      </c>
      <c r="BH425" s="29" t="str">
        <f t="shared" si="428"/>
        <v>#DIV/0!</v>
      </c>
      <c r="BI425" s="29" t="str">
        <f t="shared" si="428"/>
        <v>#DIV/0!</v>
      </c>
      <c r="BJ425" s="29" t="str">
        <f t="shared" si="428"/>
        <v>#DIV/0!</v>
      </c>
      <c r="BK425" s="29" t="str">
        <f t="shared" si="428"/>
        <v>#DIV/0!</v>
      </c>
      <c r="BL425" s="29" t="str">
        <f t="shared" si="428"/>
        <v>#DIV/0!</v>
      </c>
      <c r="BM425" s="29" t="str">
        <f t="shared" si="3"/>
        <v>#DIV/0!</v>
      </c>
    </row>
    <row r="426">
      <c r="A426" s="16" t="str">
        <f>IFERROR(__xludf.DUMMYFUNCTION("IFERROR(SPARKLINE(SORT(MAP(TRANSPOSE(AQ426:BL426), LAMBDA(val, IF(ISNUMBER(val), PERCENTRANK(AQ426:BL426, val)+0.01, 0))), SEQUENCE(COLUMNS(AQ426:BL426)), FALSE), {""charttype"",""column""; ""color"",""chartreuse""; ""ymin"", 0; ""ymax"", 1.01; ""highcolo"&amp;"r"", ""darkgreen""; ""lowcolor"", ""red""}), """")"),"")</f>
        <v/>
      </c>
      <c r="B426" s="17" t="str">
        <f t="shared" si="4"/>
        <v/>
      </c>
      <c r="C426" s="1" t="s">
        <v>2550</v>
      </c>
      <c r="D426" s="30" t="str">
        <f>IFERROR(__xludf.DUMMYFUNCTION("IFERROR(GOOGLEFINANCE(C426, ""NAME""))"),"Exponent Inc")</f>
        <v>Exponent Inc</v>
      </c>
      <c r="E426" s="30" t="s">
        <v>856</v>
      </c>
      <c r="F426" s="38" t="str">
        <f>IFERROR(__xludf.DUMMYFUNCTION("( (GOOGLEFINANCE(C426, ""price"") - Q426) / Q426 ) / (R426 / 100)"),"Loading...")</f>
        <v>Loading...</v>
      </c>
      <c r="G426" s="20" t="str">
        <f>IFERROR(__xludf.DUMMYFUNCTION("AVERAGE(ARRAYFORMULA(100 * (QUERY(GOOGLEFINANCE(C426, ""high"", TODAY()-40, TODAY()), ""SELECT Col2 WHERE Col2 IS NOT NULL ORDER BY Col1 DESC LIMIT 20"", 0) / QUERY(GOOGLEFINANCE(C426, ""low"", TODAY()-40, TODAY()), ""SELECT Col2 WHERE Col2 IS NOT NULL OR"&amp;"DER BY Col1 DESC LIMIT 20"", 0) - 1)))"),"#N/A")</f>
        <v>#N/A</v>
      </c>
      <c r="H426" s="35" t="str">
        <f t="shared" si="6"/>
        <v/>
      </c>
      <c r="I426" s="35" t="str">
        <f t="shared" si="7"/>
        <v/>
      </c>
      <c r="J426" s="37" t="str">
        <f>IFERROR(__xludf.DUMMYFUNCTION("IFERROR(
  IF(C426="""",, 
    IFERROR(
      GOOGLEFINANCE(C426, ""price"") * GOOGLEFINANCE(C426, ""volumeavg""), 
      GOOGLEFINANCE(C426, ""price"") * AVERAGE(QUERY(GOOGLEFINANCE(C426, ""volume"", TODAY()-40, TODAY()), ""SELECT Col2 WHERE Col2 IS NOT "&amp;"NULL ORDER BY Col1 DESC LIMIT 20"", 0))
    )
  ), 
"""")"),"")</f>
        <v/>
      </c>
      <c r="K426" s="21" t="str">
        <f>IFERROR(__xludf.DUMMYFUNCTION("IFERROR(GOOGLEFINANCE(C426, ""changepct"") / 100, """")"),"")</f>
        <v/>
      </c>
      <c r="L426" s="21" t="str">
        <f>IFERROR(__xludf.DUMMYFUNCTION("IFERROR((GOOGLEFINANCE(C426, ""price"") / INDEX(GOOGLEFINANCE(C426, ""price"", TODAY()-7, TODAY()), 2, 2)) - 1, """")"),"")</f>
        <v/>
      </c>
      <c r="M426" s="21" t="str">
        <f>IFERROR(__xludf.DUMMYFUNCTION("IFERROR((GOOGLEFINANCE(C426, ""price"") / INDEX(GOOGLEFINANCE(C426, ""price"", EDATE(TODAY(), -1), TODAY()), 2, 2)) - 1, """")"),"")</f>
        <v/>
      </c>
      <c r="N426" s="21" t="str">
        <f>IFERROR(__xludf.DUMMYFUNCTION("IFERROR((GOOGLEFINANCE(C426, ""price"") / INDEX(GOOGLEFINANCE(C426, ""price"", EDATE(TODAY(), -3), TODAY()), 2, 2)) - 1, """")"),"")</f>
        <v/>
      </c>
      <c r="O426" s="21" t="str">
        <f>IFERROR(__xludf.DUMMYFUNCTION("IFERROR((GOOGLEFINANCE(C426, ""price"") / INDEX(GOOGLEFINANCE(C426, ""price"", EDATE(TODAY(), -6), TODAY()), 2, 2)) - 1, """")"),"")</f>
        <v/>
      </c>
      <c r="P426" s="21" t="str">
        <f>IFERROR(__xludf.DUMMYFUNCTION("IFERROR((GOOGLEFINANCE(C426, ""price"") / INDEX(GOOGLEFINANCE(C426, ""price"", EDATE(TODAY(), -12), TODAY()), 2, 2)) - 1, """")"),"")</f>
        <v/>
      </c>
      <c r="Q426" s="6" t="str">
        <f>IFERROR(__xludf.DUMMYFUNCTION("AVERAGE(QUERY(GOOGLEFINANCE(C426, ""price"", TODAY()-80, TODAY()), ""SELECT Col2 WHERE Col2 IS NOT NULL ORDER BY Col1 DESC LIMIT 50"", 0))"),"#N/A")</f>
        <v>#N/A</v>
      </c>
      <c r="R426" s="24" t="str">
        <f>IFERROR(__xludf.DUMMYFUNCTION("IFERROR(
  LET(
    data, QUERY(GOOGLEFINANCE(C426,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GOOGLEFINANCE(C426, ""price"")) * 100,
    IF(calc=0, G426, calc)
  ), 
G426)"),"#N/A")</f>
        <v>#N/A</v>
      </c>
      <c r="S426" s="8" t="s">
        <v>15</v>
      </c>
      <c r="T426" s="26" t="str">
        <f>IFERROR(__xludf.DUMMYFUNCTION("IFERROR(TRANSPOSE(QUERY(IFERROR(SORT(GOOGLEFINANCE(C426, ""price"", WORKDAY(TODAY(), -40), TODAY()), 1, FALSE)), ""select Col2 where Col2 is not null limit 22 label Col2 ''"", 0)), """")"),"")</f>
        <v/>
      </c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8"/>
      <c r="AO426" s="28"/>
      <c r="AP426" s="29"/>
      <c r="AQ426" s="29" t="str">
        <f t="shared" ref="AQ426:BL426" si="429">T426/T$2</f>
        <v>#N/A</v>
      </c>
      <c r="AR426" s="29" t="str">
        <f t="shared" si="429"/>
        <v>#DIV/0!</v>
      </c>
      <c r="AS426" s="29" t="str">
        <f t="shared" si="429"/>
        <v>#DIV/0!</v>
      </c>
      <c r="AT426" s="29" t="str">
        <f t="shared" si="429"/>
        <v>#DIV/0!</v>
      </c>
      <c r="AU426" s="29" t="str">
        <f t="shared" si="429"/>
        <v>#DIV/0!</v>
      </c>
      <c r="AV426" s="29" t="str">
        <f t="shared" si="429"/>
        <v>#DIV/0!</v>
      </c>
      <c r="AW426" s="29" t="str">
        <f t="shared" si="429"/>
        <v>#DIV/0!</v>
      </c>
      <c r="AX426" s="29" t="str">
        <f t="shared" si="429"/>
        <v>#DIV/0!</v>
      </c>
      <c r="AY426" s="29" t="str">
        <f t="shared" si="429"/>
        <v>#DIV/0!</v>
      </c>
      <c r="AZ426" s="29" t="str">
        <f t="shared" si="429"/>
        <v>#DIV/0!</v>
      </c>
      <c r="BA426" s="29" t="str">
        <f t="shared" si="429"/>
        <v>#DIV/0!</v>
      </c>
      <c r="BB426" s="29" t="str">
        <f t="shared" si="429"/>
        <v>#DIV/0!</v>
      </c>
      <c r="BC426" s="29" t="str">
        <f t="shared" si="429"/>
        <v>#DIV/0!</v>
      </c>
      <c r="BD426" s="29" t="str">
        <f t="shared" si="429"/>
        <v>#DIV/0!</v>
      </c>
      <c r="BE426" s="29" t="str">
        <f t="shared" si="429"/>
        <v>#DIV/0!</v>
      </c>
      <c r="BF426" s="29" t="str">
        <f t="shared" si="429"/>
        <v>#DIV/0!</v>
      </c>
      <c r="BG426" s="29" t="str">
        <f t="shared" si="429"/>
        <v>#DIV/0!</v>
      </c>
      <c r="BH426" s="29" t="str">
        <f t="shared" si="429"/>
        <v>#DIV/0!</v>
      </c>
      <c r="BI426" s="29" t="str">
        <f t="shared" si="429"/>
        <v>#DIV/0!</v>
      </c>
      <c r="BJ426" s="29" t="str">
        <f t="shared" si="429"/>
        <v>#DIV/0!</v>
      </c>
      <c r="BK426" s="29" t="str">
        <f t="shared" si="429"/>
        <v>#DIV/0!</v>
      </c>
      <c r="BL426" s="29" t="str">
        <f t="shared" si="429"/>
        <v>#DIV/0!</v>
      </c>
      <c r="BM426" s="29" t="str">
        <f t="shared" si="3"/>
        <v>#DIV/0!</v>
      </c>
    </row>
    <row r="427">
      <c r="A427" s="16" t="str">
        <f>IFERROR(__xludf.DUMMYFUNCTION("IFERROR(SPARKLINE(SORT(MAP(TRANSPOSE(AQ427:BL427), LAMBDA(val, IF(ISNUMBER(val), PERCENTRANK(AQ427:BL427, val)+0.01, 0))), SEQUENCE(COLUMNS(AQ427:BL427)), FALSE), {""charttype"",""column""; ""color"",""chartreuse""; ""ymin"", 0; ""ymax"", 1.01; ""highcolo"&amp;"r"", ""darkgreen""; ""lowcolor"", ""red""}), """")"),"")</f>
        <v/>
      </c>
      <c r="B427" s="17" t="str">
        <f t="shared" si="4"/>
        <v/>
      </c>
      <c r="C427" s="1" t="s">
        <v>2554</v>
      </c>
      <c r="D427" s="30" t="str">
        <f>IFERROR(__xludf.DUMMYFUNCTION("IFERROR(GOOGLEFINANCE(C427, ""NAME""))"),"SiteOne Landscape Supply Inc")</f>
        <v>SiteOne Landscape Supply Inc</v>
      </c>
      <c r="E427" s="30" t="s">
        <v>829</v>
      </c>
      <c r="F427" s="33" t="str">
        <f>IFERROR(__xludf.DUMMYFUNCTION("( (GOOGLEFINANCE(C427, ""price"") - Q427) / Q427 ) / (R427 / 100)"),"Loading...")</f>
        <v>Loading...</v>
      </c>
      <c r="G427" s="20" t="str">
        <f>IFERROR(__xludf.DUMMYFUNCTION("AVERAGE(ARRAYFORMULA(100 * (QUERY(GOOGLEFINANCE(C427, ""high"", TODAY()-40, TODAY()), ""SELECT Col2 WHERE Col2 IS NOT NULL ORDER BY Col1 DESC LIMIT 20"", 0) / QUERY(GOOGLEFINANCE(C427, ""low"", TODAY()-40, TODAY()), ""SELECT Col2 WHERE Col2 IS NOT NULL OR"&amp;"DER BY Col1 DESC LIMIT 20"", 0) - 1)))"),"#N/A")</f>
        <v>#N/A</v>
      </c>
      <c r="H427" s="35" t="str">
        <f t="shared" si="6"/>
        <v/>
      </c>
      <c r="I427" s="35" t="str">
        <f t="shared" si="7"/>
        <v/>
      </c>
      <c r="J427" s="37" t="str">
        <f>IFERROR(__xludf.DUMMYFUNCTION("IFERROR(
  IF(C427="""",, 
    IFERROR(
      GOOGLEFINANCE(C427, ""price"") * GOOGLEFINANCE(C427, ""volumeavg""), 
      GOOGLEFINANCE(C427, ""price"") * AVERAGE(QUERY(GOOGLEFINANCE(C427, ""volume"", TODAY()-40, TODAY()), ""SELECT Col2 WHERE Col2 IS NOT "&amp;"NULL ORDER BY Col1 DESC LIMIT 20"", 0))
    )
  ), 
"""")"),"")</f>
        <v/>
      </c>
      <c r="K427" s="21" t="str">
        <f>IFERROR(__xludf.DUMMYFUNCTION("IFERROR(GOOGLEFINANCE(C427, ""changepct"") / 100, """")"),"")</f>
        <v/>
      </c>
      <c r="L427" s="21" t="str">
        <f>IFERROR(__xludf.DUMMYFUNCTION("IFERROR((GOOGLEFINANCE(C427, ""price"") / INDEX(GOOGLEFINANCE(C427, ""price"", TODAY()-7, TODAY()), 2, 2)) - 1, """")"),"")</f>
        <v/>
      </c>
      <c r="M427" s="21" t="str">
        <f>IFERROR(__xludf.DUMMYFUNCTION("IFERROR((GOOGLEFINANCE(C427, ""price"") / INDEX(GOOGLEFINANCE(C427, ""price"", EDATE(TODAY(), -1), TODAY()), 2, 2)) - 1, """")"),"")</f>
        <v/>
      </c>
      <c r="N427" s="21" t="str">
        <f>IFERROR(__xludf.DUMMYFUNCTION("IFERROR((GOOGLEFINANCE(C427, ""price"") / INDEX(GOOGLEFINANCE(C427, ""price"", EDATE(TODAY(), -3), TODAY()), 2, 2)) - 1, """")"),"")</f>
        <v/>
      </c>
      <c r="O427" s="21" t="str">
        <f>IFERROR(__xludf.DUMMYFUNCTION("IFERROR((GOOGLEFINANCE(C427, ""price"") / INDEX(GOOGLEFINANCE(C427, ""price"", EDATE(TODAY(), -6), TODAY()), 2, 2)) - 1, """")"),"")</f>
        <v/>
      </c>
      <c r="P427" s="21" t="str">
        <f>IFERROR(__xludf.DUMMYFUNCTION("IFERROR((GOOGLEFINANCE(C427, ""price"") / INDEX(GOOGLEFINANCE(C427, ""price"", EDATE(TODAY(), -12), TODAY()), 2, 2)) - 1, """")"),"")</f>
        <v/>
      </c>
      <c r="Q427" s="6" t="str">
        <f>IFERROR(__xludf.DUMMYFUNCTION("AVERAGE(QUERY(GOOGLEFINANCE(C427, ""price"", TODAY()-80, TODAY()), ""SELECT Col2 WHERE Col2 IS NOT NULL ORDER BY Col1 DESC LIMIT 50"", 0))"),"#N/A")</f>
        <v>#N/A</v>
      </c>
      <c r="R427" s="24" t="str">
        <f>IFERROR(__xludf.DUMMYFUNCTION("IFERROR(
  LET(
    data, QUERY(GOOGLEFINANCE(C427,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GOOGLEFINANCE(C427, ""price"")) * 100,
    IF(calc=0, G427, calc)
  ), 
G427)"),"#N/A")</f>
        <v>#N/A</v>
      </c>
      <c r="S427" s="8" t="s">
        <v>15</v>
      </c>
      <c r="T427" s="26" t="str">
        <f>IFERROR(__xludf.DUMMYFUNCTION("IFERROR(TRANSPOSE(QUERY(IFERROR(SORT(GOOGLEFINANCE(C427, ""price"", WORKDAY(TODAY(), -40), TODAY()), 1, FALSE)), ""select Col2 where Col2 is not null limit 22 label Col2 ''"", 0)), """")"),"")</f>
        <v/>
      </c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8"/>
      <c r="AO427" s="28"/>
      <c r="AP427" s="29"/>
      <c r="AQ427" s="29" t="str">
        <f t="shared" ref="AQ427:BL427" si="430">T427/T$2</f>
        <v>#N/A</v>
      </c>
      <c r="AR427" s="29" t="str">
        <f t="shared" si="430"/>
        <v>#DIV/0!</v>
      </c>
      <c r="AS427" s="29" t="str">
        <f t="shared" si="430"/>
        <v>#DIV/0!</v>
      </c>
      <c r="AT427" s="29" t="str">
        <f t="shared" si="430"/>
        <v>#DIV/0!</v>
      </c>
      <c r="AU427" s="29" t="str">
        <f t="shared" si="430"/>
        <v>#DIV/0!</v>
      </c>
      <c r="AV427" s="29" t="str">
        <f t="shared" si="430"/>
        <v>#DIV/0!</v>
      </c>
      <c r="AW427" s="29" t="str">
        <f t="shared" si="430"/>
        <v>#DIV/0!</v>
      </c>
      <c r="AX427" s="29" t="str">
        <f t="shared" si="430"/>
        <v>#DIV/0!</v>
      </c>
      <c r="AY427" s="29" t="str">
        <f t="shared" si="430"/>
        <v>#DIV/0!</v>
      </c>
      <c r="AZ427" s="29" t="str">
        <f t="shared" si="430"/>
        <v>#DIV/0!</v>
      </c>
      <c r="BA427" s="29" t="str">
        <f t="shared" si="430"/>
        <v>#DIV/0!</v>
      </c>
      <c r="BB427" s="29" t="str">
        <f t="shared" si="430"/>
        <v>#DIV/0!</v>
      </c>
      <c r="BC427" s="29" t="str">
        <f t="shared" si="430"/>
        <v>#DIV/0!</v>
      </c>
      <c r="BD427" s="29" t="str">
        <f t="shared" si="430"/>
        <v>#DIV/0!</v>
      </c>
      <c r="BE427" s="29" t="str">
        <f t="shared" si="430"/>
        <v>#DIV/0!</v>
      </c>
      <c r="BF427" s="29" t="str">
        <f t="shared" si="430"/>
        <v>#DIV/0!</v>
      </c>
      <c r="BG427" s="29" t="str">
        <f t="shared" si="430"/>
        <v>#DIV/0!</v>
      </c>
      <c r="BH427" s="29" t="str">
        <f t="shared" si="430"/>
        <v>#DIV/0!</v>
      </c>
      <c r="BI427" s="29" t="str">
        <f t="shared" si="430"/>
        <v>#DIV/0!</v>
      </c>
      <c r="BJ427" s="29" t="str">
        <f t="shared" si="430"/>
        <v>#DIV/0!</v>
      </c>
      <c r="BK427" s="29" t="str">
        <f t="shared" si="430"/>
        <v>#DIV/0!</v>
      </c>
      <c r="BL427" s="29" t="str">
        <f t="shared" si="430"/>
        <v>#DIV/0!</v>
      </c>
      <c r="BM427" s="29" t="str">
        <f t="shared" si="3"/>
        <v>#DIV/0!</v>
      </c>
    </row>
    <row r="428">
      <c r="A428" s="16" t="str">
        <f>IFERROR(__xludf.DUMMYFUNCTION("IFERROR(SPARKLINE(SORT(MAP(TRANSPOSE(AQ428:BL428), LAMBDA(val, IF(ISNUMBER(val), PERCENTRANK(AQ428:BL428, val)+0.01, 0))), SEQUENCE(COLUMNS(AQ428:BL428)), FALSE), {""charttype"",""column""; ""color"",""chartreuse""; ""ymin"", 0; ""ymax"", 1.01; ""highcolo"&amp;"r"", ""darkgreen""; ""lowcolor"", ""red""}), """")"),"")</f>
        <v/>
      </c>
      <c r="B428" s="17" t="str">
        <f t="shared" si="4"/>
        <v/>
      </c>
      <c r="C428" s="1" t="s">
        <v>2558</v>
      </c>
      <c r="D428" s="30" t="str">
        <f>IFERROR(__xludf.DUMMYFUNCTION("IFERROR(GOOGLEFINANCE(C428, ""NAME""))"),"Pool Corp")</f>
        <v>Pool Corp</v>
      </c>
      <c r="E428" s="30" t="s">
        <v>829</v>
      </c>
      <c r="F428" s="33" t="str">
        <f>IFERROR(__xludf.DUMMYFUNCTION("( (GOOGLEFINANCE(C428, ""price"") - Q428) / Q428 ) / (R428 / 100)"),"Loading...")</f>
        <v>Loading...</v>
      </c>
      <c r="G428" s="20" t="str">
        <f>IFERROR(__xludf.DUMMYFUNCTION("AVERAGE(ARRAYFORMULA(100 * (QUERY(GOOGLEFINANCE(C428, ""high"", TODAY()-40, TODAY()), ""SELECT Col2 WHERE Col2 IS NOT NULL ORDER BY Col1 DESC LIMIT 20"", 0) / QUERY(GOOGLEFINANCE(C428, ""low"", TODAY()-40, TODAY()), ""SELECT Col2 WHERE Col2 IS NOT NULL OR"&amp;"DER BY Col1 DESC LIMIT 20"", 0) - 1)))"),"#N/A")</f>
        <v>#N/A</v>
      </c>
      <c r="H428" s="35" t="str">
        <f t="shared" si="6"/>
        <v/>
      </c>
      <c r="I428" s="35" t="str">
        <f t="shared" si="7"/>
        <v/>
      </c>
      <c r="J428" s="37" t="str">
        <f>IFERROR(__xludf.DUMMYFUNCTION("IFERROR(
  IF(C428="""",, 
    IFERROR(
      GOOGLEFINANCE(C428, ""price"") * GOOGLEFINANCE(C428, ""volumeavg""), 
      GOOGLEFINANCE(C428, ""price"") * AVERAGE(QUERY(GOOGLEFINANCE(C428, ""volume"", TODAY()-40, TODAY()), ""SELECT Col2 WHERE Col2 IS NOT "&amp;"NULL ORDER BY Col1 DESC LIMIT 20"", 0))
    )
  ), 
"""")"),"")</f>
        <v/>
      </c>
      <c r="K428" s="21" t="str">
        <f>IFERROR(__xludf.DUMMYFUNCTION("IFERROR(GOOGLEFINANCE(C428, ""changepct"") / 100, """")"),"")</f>
        <v/>
      </c>
      <c r="L428" s="21" t="str">
        <f>IFERROR(__xludf.DUMMYFUNCTION("IFERROR((GOOGLEFINANCE(C428, ""price"") / INDEX(GOOGLEFINANCE(C428, ""price"", TODAY()-7, TODAY()), 2, 2)) - 1, """")"),"")</f>
        <v/>
      </c>
      <c r="M428" s="21" t="str">
        <f>IFERROR(__xludf.DUMMYFUNCTION("IFERROR((GOOGLEFINANCE(C428, ""price"") / INDEX(GOOGLEFINANCE(C428, ""price"", EDATE(TODAY(), -1), TODAY()), 2, 2)) - 1, """")"),"")</f>
        <v/>
      </c>
      <c r="N428" s="21" t="str">
        <f>IFERROR(__xludf.DUMMYFUNCTION("IFERROR((GOOGLEFINANCE(C428, ""price"") / INDEX(GOOGLEFINANCE(C428, ""price"", EDATE(TODAY(), -3), TODAY()), 2, 2)) - 1, """")"),"")</f>
        <v/>
      </c>
      <c r="O428" s="21" t="str">
        <f>IFERROR(__xludf.DUMMYFUNCTION("IFERROR((GOOGLEFINANCE(C428, ""price"") / INDEX(GOOGLEFINANCE(C428, ""price"", EDATE(TODAY(), -6), TODAY()), 2, 2)) - 1, """")"),"")</f>
        <v/>
      </c>
      <c r="P428" s="21" t="str">
        <f>IFERROR(__xludf.DUMMYFUNCTION("IFERROR((GOOGLEFINANCE(C428, ""price"") / INDEX(GOOGLEFINANCE(C428, ""price"", EDATE(TODAY(), -12), TODAY()), 2, 2)) - 1, """")"),"")</f>
        <v/>
      </c>
      <c r="Q428" s="6" t="str">
        <f>IFERROR(__xludf.DUMMYFUNCTION("AVERAGE(QUERY(GOOGLEFINANCE(C428, ""price"", TODAY()-80, TODAY()), ""SELECT Col2 WHERE Col2 IS NOT NULL ORDER BY Col1 DESC LIMIT 50"", 0))"),"#N/A")</f>
        <v>#N/A</v>
      </c>
      <c r="R428" s="24" t="str">
        <f>IFERROR(__xludf.DUMMYFUNCTION("IFERROR(
  LET(
    data, QUERY(GOOGLEFINANCE(C428,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GOOGLEFINANCE(C428, ""price"")) * 100,
    IF(calc=0, G428, calc)
  ), 
G428)"),"#N/A")</f>
        <v>#N/A</v>
      </c>
      <c r="S428" s="8" t="s">
        <v>15</v>
      </c>
      <c r="T428" s="26" t="str">
        <f>IFERROR(__xludf.DUMMYFUNCTION("IFERROR(TRANSPOSE(QUERY(IFERROR(SORT(GOOGLEFINANCE(C428, ""price"", WORKDAY(TODAY(), -40), TODAY()), 1, FALSE)), ""select Col2 where Col2 is not null limit 22 label Col2 ''"", 0)), """")"),"")</f>
        <v/>
      </c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8"/>
      <c r="AO428" s="28"/>
      <c r="AP428" s="29"/>
      <c r="AQ428" s="29" t="str">
        <f t="shared" ref="AQ428:BL428" si="431">T428/T$2</f>
        <v>#N/A</v>
      </c>
      <c r="AR428" s="29" t="str">
        <f t="shared" si="431"/>
        <v>#DIV/0!</v>
      </c>
      <c r="AS428" s="29" t="str">
        <f t="shared" si="431"/>
        <v>#DIV/0!</v>
      </c>
      <c r="AT428" s="29" t="str">
        <f t="shared" si="431"/>
        <v>#DIV/0!</v>
      </c>
      <c r="AU428" s="29" t="str">
        <f t="shared" si="431"/>
        <v>#DIV/0!</v>
      </c>
      <c r="AV428" s="29" t="str">
        <f t="shared" si="431"/>
        <v>#DIV/0!</v>
      </c>
      <c r="AW428" s="29" t="str">
        <f t="shared" si="431"/>
        <v>#DIV/0!</v>
      </c>
      <c r="AX428" s="29" t="str">
        <f t="shared" si="431"/>
        <v>#DIV/0!</v>
      </c>
      <c r="AY428" s="29" t="str">
        <f t="shared" si="431"/>
        <v>#DIV/0!</v>
      </c>
      <c r="AZ428" s="29" t="str">
        <f t="shared" si="431"/>
        <v>#DIV/0!</v>
      </c>
      <c r="BA428" s="29" t="str">
        <f t="shared" si="431"/>
        <v>#DIV/0!</v>
      </c>
      <c r="BB428" s="29" t="str">
        <f t="shared" si="431"/>
        <v>#DIV/0!</v>
      </c>
      <c r="BC428" s="29" t="str">
        <f t="shared" si="431"/>
        <v>#DIV/0!</v>
      </c>
      <c r="BD428" s="29" t="str">
        <f t="shared" si="431"/>
        <v>#DIV/0!</v>
      </c>
      <c r="BE428" s="29" t="str">
        <f t="shared" si="431"/>
        <v>#DIV/0!</v>
      </c>
      <c r="BF428" s="29" t="str">
        <f t="shared" si="431"/>
        <v>#DIV/0!</v>
      </c>
      <c r="BG428" s="29" t="str">
        <f t="shared" si="431"/>
        <v>#DIV/0!</v>
      </c>
      <c r="BH428" s="29" t="str">
        <f t="shared" si="431"/>
        <v>#DIV/0!</v>
      </c>
      <c r="BI428" s="29" t="str">
        <f t="shared" si="431"/>
        <v>#DIV/0!</v>
      </c>
      <c r="BJ428" s="29" t="str">
        <f t="shared" si="431"/>
        <v>#DIV/0!</v>
      </c>
      <c r="BK428" s="29" t="str">
        <f t="shared" si="431"/>
        <v>#DIV/0!</v>
      </c>
      <c r="BL428" s="29" t="str">
        <f t="shared" si="431"/>
        <v>#DIV/0!</v>
      </c>
      <c r="BM428" s="29" t="str">
        <f t="shared" si="3"/>
        <v>#DIV/0!</v>
      </c>
    </row>
    <row r="429">
      <c r="A429" s="16" t="str">
        <f>IFERROR(__xludf.DUMMYFUNCTION("IFERROR(SPARKLINE(SORT(MAP(TRANSPOSE(AQ429:BL429), LAMBDA(val, IF(ISNUMBER(val), PERCENTRANK(AQ429:BL429, val)+0.01, 0))), SEQUENCE(COLUMNS(AQ429:BL429)), FALSE), {""charttype"",""column""; ""color"",""chartreuse""; ""ymin"", 0; ""ymax"", 1.01; ""highcolo"&amp;"r"", ""darkgreen""; ""lowcolor"", ""red""}), """")"),"")</f>
        <v/>
      </c>
      <c r="B429" s="17" t="str">
        <f t="shared" si="4"/>
        <v/>
      </c>
      <c r="C429" s="1" t="s">
        <v>2561</v>
      </c>
      <c r="D429" s="30" t="str">
        <f>IFERROR(__xludf.DUMMYFUNCTION("IFERROR(GOOGLEFINANCE(C429, ""NAME""))"),"Brady Corp")</f>
        <v>Brady Corp</v>
      </c>
      <c r="E429" s="30" t="s">
        <v>1020</v>
      </c>
      <c r="F429" s="33" t="str">
        <f>IFERROR(__xludf.DUMMYFUNCTION("( (GOOGLEFINANCE(C429, ""price"") - Q429) / Q429 ) / (R429 / 100)"),"Loading...")</f>
        <v>Loading...</v>
      </c>
      <c r="G429" s="20" t="str">
        <f>IFERROR(__xludf.DUMMYFUNCTION("AVERAGE(ARRAYFORMULA(100 * (QUERY(GOOGLEFINANCE(C429, ""high"", TODAY()-40, TODAY()), ""SELECT Col2 WHERE Col2 IS NOT NULL ORDER BY Col1 DESC LIMIT 20"", 0) / QUERY(GOOGLEFINANCE(C429, ""low"", TODAY()-40, TODAY()), ""SELECT Col2 WHERE Col2 IS NOT NULL OR"&amp;"DER BY Col1 DESC LIMIT 20"", 0) - 1)))"),"#N/A")</f>
        <v>#N/A</v>
      </c>
      <c r="H429" s="35" t="str">
        <f t="shared" si="6"/>
        <v/>
      </c>
      <c r="I429" s="35" t="str">
        <f t="shared" si="7"/>
        <v/>
      </c>
      <c r="J429" s="37" t="str">
        <f>IFERROR(__xludf.DUMMYFUNCTION("IFERROR(
  IF(C429="""",, 
    IFERROR(
      GOOGLEFINANCE(C429, ""price"") * GOOGLEFINANCE(C429, ""volumeavg""), 
      GOOGLEFINANCE(C429, ""price"") * AVERAGE(QUERY(GOOGLEFINANCE(C429, ""volume"", TODAY()-40, TODAY()), ""SELECT Col2 WHERE Col2 IS NOT "&amp;"NULL ORDER BY Col1 DESC LIMIT 20"", 0))
    )
  ), 
"""")"),"")</f>
        <v/>
      </c>
      <c r="K429" s="21" t="str">
        <f>IFERROR(__xludf.DUMMYFUNCTION("IFERROR(GOOGLEFINANCE(C429, ""changepct"") / 100, """")"),"")</f>
        <v/>
      </c>
      <c r="L429" s="21" t="str">
        <f>IFERROR(__xludf.DUMMYFUNCTION("IFERROR((GOOGLEFINANCE(C429, ""price"") / INDEX(GOOGLEFINANCE(C429, ""price"", TODAY()-7, TODAY()), 2, 2)) - 1, """")"),"")</f>
        <v/>
      </c>
      <c r="M429" s="21" t="str">
        <f>IFERROR(__xludf.DUMMYFUNCTION("IFERROR((GOOGLEFINANCE(C429, ""price"") / INDEX(GOOGLEFINANCE(C429, ""price"", EDATE(TODAY(), -1), TODAY()), 2, 2)) - 1, """")"),"")</f>
        <v/>
      </c>
      <c r="N429" s="21" t="str">
        <f>IFERROR(__xludf.DUMMYFUNCTION("IFERROR((GOOGLEFINANCE(C429, ""price"") / INDEX(GOOGLEFINANCE(C429, ""price"", EDATE(TODAY(), -3), TODAY()), 2, 2)) - 1, """")"),"")</f>
        <v/>
      </c>
      <c r="O429" s="21" t="str">
        <f>IFERROR(__xludf.DUMMYFUNCTION("IFERROR((GOOGLEFINANCE(C429, ""price"") / INDEX(GOOGLEFINANCE(C429, ""price"", EDATE(TODAY(), -6), TODAY()), 2, 2)) - 1, """")"),"")</f>
        <v/>
      </c>
      <c r="P429" s="21" t="str">
        <f>IFERROR(__xludf.DUMMYFUNCTION("IFERROR((GOOGLEFINANCE(C429, ""price"") / INDEX(GOOGLEFINANCE(C429, ""price"", EDATE(TODAY(), -12), TODAY()), 2, 2)) - 1, """")"),"")</f>
        <v/>
      </c>
      <c r="Q429" s="6" t="str">
        <f>IFERROR(__xludf.DUMMYFUNCTION("AVERAGE(QUERY(GOOGLEFINANCE(C429, ""price"", TODAY()-80, TODAY()), ""SELECT Col2 WHERE Col2 IS NOT NULL ORDER BY Col1 DESC LIMIT 50"", 0))"),"#N/A")</f>
        <v>#N/A</v>
      </c>
      <c r="R429" s="24" t="str">
        <f>IFERROR(__xludf.DUMMYFUNCTION("IFERROR(
  LET(
    data, QUERY(GOOGLEFINANCE(C429,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GOOGLEFINANCE(C429, ""price"")) * 100,
    IF(calc=0, G429, calc)
  ), 
G429)"),"#N/A")</f>
        <v>#N/A</v>
      </c>
      <c r="S429" s="8" t="s">
        <v>15</v>
      </c>
      <c r="T429" s="26" t="str">
        <f>IFERROR(__xludf.DUMMYFUNCTION("IFERROR(TRANSPOSE(QUERY(IFERROR(SORT(GOOGLEFINANCE(C429, ""price"", WORKDAY(TODAY(), -40), TODAY()), 1, FALSE)), ""select Col2 where Col2 is not null limit 22 label Col2 ''"", 0)), """")"),"")</f>
        <v/>
      </c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8"/>
      <c r="AO429" s="28"/>
      <c r="AP429" s="29"/>
      <c r="AQ429" s="29" t="str">
        <f t="shared" ref="AQ429:BL429" si="432">T429/T$2</f>
        <v>#N/A</v>
      </c>
      <c r="AR429" s="29" t="str">
        <f t="shared" si="432"/>
        <v>#DIV/0!</v>
      </c>
      <c r="AS429" s="29" t="str">
        <f t="shared" si="432"/>
        <v>#DIV/0!</v>
      </c>
      <c r="AT429" s="29" t="str">
        <f t="shared" si="432"/>
        <v>#DIV/0!</v>
      </c>
      <c r="AU429" s="29" t="str">
        <f t="shared" si="432"/>
        <v>#DIV/0!</v>
      </c>
      <c r="AV429" s="29" t="str">
        <f t="shared" si="432"/>
        <v>#DIV/0!</v>
      </c>
      <c r="AW429" s="29" t="str">
        <f t="shared" si="432"/>
        <v>#DIV/0!</v>
      </c>
      <c r="AX429" s="29" t="str">
        <f t="shared" si="432"/>
        <v>#DIV/0!</v>
      </c>
      <c r="AY429" s="29" t="str">
        <f t="shared" si="432"/>
        <v>#DIV/0!</v>
      </c>
      <c r="AZ429" s="29" t="str">
        <f t="shared" si="432"/>
        <v>#DIV/0!</v>
      </c>
      <c r="BA429" s="29" t="str">
        <f t="shared" si="432"/>
        <v>#DIV/0!</v>
      </c>
      <c r="BB429" s="29" t="str">
        <f t="shared" si="432"/>
        <v>#DIV/0!</v>
      </c>
      <c r="BC429" s="29" t="str">
        <f t="shared" si="432"/>
        <v>#DIV/0!</v>
      </c>
      <c r="BD429" s="29" t="str">
        <f t="shared" si="432"/>
        <v>#DIV/0!</v>
      </c>
      <c r="BE429" s="29" t="str">
        <f t="shared" si="432"/>
        <v>#DIV/0!</v>
      </c>
      <c r="BF429" s="29" t="str">
        <f t="shared" si="432"/>
        <v>#DIV/0!</v>
      </c>
      <c r="BG429" s="29" t="str">
        <f t="shared" si="432"/>
        <v>#DIV/0!</v>
      </c>
      <c r="BH429" s="29" t="str">
        <f t="shared" si="432"/>
        <v>#DIV/0!</v>
      </c>
      <c r="BI429" s="29" t="str">
        <f t="shared" si="432"/>
        <v>#DIV/0!</v>
      </c>
      <c r="BJ429" s="29" t="str">
        <f t="shared" si="432"/>
        <v>#DIV/0!</v>
      </c>
      <c r="BK429" s="29" t="str">
        <f t="shared" si="432"/>
        <v>#DIV/0!</v>
      </c>
      <c r="BL429" s="29" t="str">
        <f t="shared" si="432"/>
        <v>#DIV/0!</v>
      </c>
      <c r="BM429" s="29" t="str">
        <f t="shared" si="3"/>
        <v>#DIV/0!</v>
      </c>
    </row>
    <row r="430">
      <c r="A430" s="16" t="str">
        <f>IFERROR(__xludf.DUMMYFUNCTION("IFERROR(SPARKLINE(SORT(MAP(TRANSPOSE(AQ430:BL430), LAMBDA(val, IF(ISNUMBER(val), PERCENTRANK(AQ430:BL430, val)+0.01, 0))), SEQUENCE(COLUMNS(AQ430:BL430)), FALSE), {""charttype"",""column""; ""color"",""chartreuse""; ""ymin"", 0; ""ymax"", 1.01; ""highcolo"&amp;"r"", ""darkgreen""; ""lowcolor"", ""red""}), """")"),"")</f>
        <v/>
      </c>
      <c r="B430" s="17" t="str">
        <f t="shared" si="4"/>
        <v/>
      </c>
      <c r="C430" s="1" t="s">
        <v>2565</v>
      </c>
      <c r="D430" s="30" t="str">
        <f>IFERROR(__xludf.DUMMYFUNCTION("IFERROR(GOOGLEFINANCE(C430, ""NAME""))"),"ABM Industries Inc")</f>
        <v>ABM Industries Inc</v>
      </c>
      <c r="E430" s="30" t="s">
        <v>916</v>
      </c>
      <c r="F430" s="33" t="str">
        <f>IFERROR(__xludf.DUMMYFUNCTION("( (GOOGLEFINANCE(C430, ""price"") - Q430) / Q430 ) / (R430 / 100)"),"Loading...")</f>
        <v>Loading...</v>
      </c>
      <c r="G430" s="20" t="str">
        <f>IFERROR(__xludf.DUMMYFUNCTION("AVERAGE(ARRAYFORMULA(100 * (QUERY(GOOGLEFINANCE(C430, ""high"", TODAY()-40, TODAY()), ""SELECT Col2 WHERE Col2 IS NOT NULL ORDER BY Col1 DESC LIMIT 20"", 0) / QUERY(GOOGLEFINANCE(C430, ""low"", TODAY()-40, TODAY()), ""SELECT Col2 WHERE Col2 IS NOT NULL OR"&amp;"DER BY Col1 DESC LIMIT 20"", 0) - 1)))"),"#N/A")</f>
        <v>#N/A</v>
      </c>
      <c r="H430" s="35" t="str">
        <f t="shared" si="6"/>
        <v/>
      </c>
      <c r="I430" s="35" t="str">
        <f t="shared" si="7"/>
        <v/>
      </c>
      <c r="J430" s="37" t="str">
        <f>IFERROR(__xludf.DUMMYFUNCTION("IFERROR(
  IF(C430="""",, 
    IFERROR(
      GOOGLEFINANCE(C430, ""price"") * GOOGLEFINANCE(C430, ""volumeavg""), 
      GOOGLEFINANCE(C430, ""price"") * AVERAGE(QUERY(GOOGLEFINANCE(C430, ""volume"", TODAY()-40, TODAY()), ""SELECT Col2 WHERE Col2 IS NOT "&amp;"NULL ORDER BY Col1 DESC LIMIT 20"", 0))
    )
  ), 
"""")"),"")</f>
        <v/>
      </c>
      <c r="K430" s="21" t="str">
        <f>IFERROR(__xludf.DUMMYFUNCTION("IFERROR(GOOGLEFINANCE(C430, ""changepct"") / 100, """")"),"")</f>
        <v/>
      </c>
      <c r="L430" s="21" t="str">
        <f>IFERROR(__xludf.DUMMYFUNCTION("IFERROR((GOOGLEFINANCE(C430, ""price"") / INDEX(GOOGLEFINANCE(C430, ""price"", TODAY()-7, TODAY()), 2, 2)) - 1, """")"),"")</f>
        <v/>
      </c>
      <c r="M430" s="21" t="str">
        <f>IFERROR(__xludf.DUMMYFUNCTION("IFERROR((GOOGLEFINANCE(C430, ""price"") / INDEX(GOOGLEFINANCE(C430, ""price"", EDATE(TODAY(), -1), TODAY()), 2, 2)) - 1, """")"),"")</f>
        <v/>
      </c>
      <c r="N430" s="21" t="str">
        <f>IFERROR(__xludf.DUMMYFUNCTION("IFERROR((GOOGLEFINANCE(C430, ""price"") / INDEX(GOOGLEFINANCE(C430, ""price"", EDATE(TODAY(), -3), TODAY()), 2, 2)) - 1, """")"),"")</f>
        <v/>
      </c>
      <c r="O430" s="21" t="str">
        <f>IFERROR(__xludf.DUMMYFUNCTION("IFERROR((GOOGLEFINANCE(C430, ""price"") / INDEX(GOOGLEFINANCE(C430, ""price"", EDATE(TODAY(), -6), TODAY()), 2, 2)) - 1, """")"),"")</f>
        <v/>
      </c>
      <c r="P430" s="21" t="str">
        <f>IFERROR(__xludf.DUMMYFUNCTION("IFERROR((GOOGLEFINANCE(C430, ""price"") / INDEX(GOOGLEFINANCE(C430, ""price"", EDATE(TODAY(), -12), TODAY()), 2, 2)) - 1, """")"),"")</f>
        <v/>
      </c>
      <c r="Q430" s="6" t="str">
        <f>IFERROR(__xludf.DUMMYFUNCTION("AVERAGE(QUERY(GOOGLEFINANCE(C430, ""price"", TODAY()-80, TODAY()), ""SELECT Col2 WHERE Col2 IS NOT NULL ORDER BY Col1 DESC LIMIT 50"", 0))"),"#N/A")</f>
        <v>#N/A</v>
      </c>
      <c r="R430" s="24" t="str">
        <f>IFERROR(__xludf.DUMMYFUNCTION("IFERROR(
  LET(
    data, QUERY(GOOGLEFINANCE(C430,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GOOGLEFINANCE(C430, ""price"")) * 100,
    IF(calc=0, G430, calc)
  ), 
G430)"),"#N/A")</f>
        <v>#N/A</v>
      </c>
      <c r="S430" s="8" t="s">
        <v>15</v>
      </c>
      <c r="T430" s="26" t="str">
        <f>IFERROR(__xludf.DUMMYFUNCTION("IFERROR(TRANSPOSE(QUERY(IFERROR(SORT(GOOGLEFINANCE(C430, ""price"", WORKDAY(TODAY(), -40), TODAY()), 1, FALSE)), ""select Col2 where Col2 is not null limit 22 label Col2 ''"", 0)), """")"),"")</f>
        <v/>
      </c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8"/>
      <c r="AO430" s="28"/>
      <c r="AP430" s="29"/>
      <c r="AQ430" s="29" t="str">
        <f t="shared" ref="AQ430:BL430" si="433">T430/T$2</f>
        <v>#N/A</v>
      </c>
      <c r="AR430" s="29" t="str">
        <f t="shared" si="433"/>
        <v>#DIV/0!</v>
      </c>
      <c r="AS430" s="29" t="str">
        <f t="shared" si="433"/>
        <v>#DIV/0!</v>
      </c>
      <c r="AT430" s="29" t="str">
        <f t="shared" si="433"/>
        <v>#DIV/0!</v>
      </c>
      <c r="AU430" s="29" t="str">
        <f t="shared" si="433"/>
        <v>#DIV/0!</v>
      </c>
      <c r="AV430" s="29" t="str">
        <f t="shared" si="433"/>
        <v>#DIV/0!</v>
      </c>
      <c r="AW430" s="29" t="str">
        <f t="shared" si="433"/>
        <v>#DIV/0!</v>
      </c>
      <c r="AX430" s="29" t="str">
        <f t="shared" si="433"/>
        <v>#DIV/0!</v>
      </c>
      <c r="AY430" s="29" t="str">
        <f t="shared" si="433"/>
        <v>#DIV/0!</v>
      </c>
      <c r="AZ430" s="29" t="str">
        <f t="shared" si="433"/>
        <v>#DIV/0!</v>
      </c>
      <c r="BA430" s="29" t="str">
        <f t="shared" si="433"/>
        <v>#DIV/0!</v>
      </c>
      <c r="BB430" s="29" t="str">
        <f t="shared" si="433"/>
        <v>#DIV/0!</v>
      </c>
      <c r="BC430" s="29" t="str">
        <f t="shared" si="433"/>
        <v>#DIV/0!</v>
      </c>
      <c r="BD430" s="29" t="str">
        <f t="shared" si="433"/>
        <v>#DIV/0!</v>
      </c>
      <c r="BE430" s="29" t="str">
        <f t="shared" si="433"/>
        <v>#DIV/0!</v>
      </c>
      <c r="BF430" s="29" t="str">
        <f t="shared" si="433"/>
        <v>#DIV/0!</v>
      </c>
      <c r="BG430" s="29" t="str">
        <f t="shared" si="433"/>
        <v>#DIV/0!</v>
      </c>
      <c r="BH430" s="29" t="str">
        <f t="shared" si="433"/>
        <v>#DIV/0!</v>
      </c>
      <c r="BI430" s="29" t="str">
        <f t="shared" si="433"/>
        <v>#DIV/0!</v>
      </c>
      <c r="BJ430" s="29" t="str">
        <f t="shared" si="433"/>
        <v>#DIV/0!</v>
      </c>
      <c r="BK430" s="29" t="str">
        <f t="shared" si="433"/>
        <v>#DIV/0!</v>
      </c>
      <c r="BL430" s="29" t="str">
        <f t="shared" si="433"/>
        <v>#DIV/0!</v>
      </c>
      <c r="BM430" s="29" t="str">
        <f t="shared" si="3"/>
        <v>#DIV/0!</v>
      </c>
    </row>
    <row r="431">
      <c r="A431" s="16" t="str">
        <f>IFERROR(__xludf.DUMMYFUNCTION("IFERROR(SPARKLINE(SORT(MAP(TRANSPOSE(AQ431:BL431), LAMBDA(val, IF(ISNUMBER(val), PERCENTRANK(AQ431:BL431, val)+0.01, 0))), SEQUENCE(COLUMNS(AQ431:BL431)), FALSE), {""charttype"",""column""; ""color"",""chartreuse""; ""ymin"", 0; ""ymax"", 1.01; ""highcolo"&amp;"r"", ""darkgreen""; ""lowcolor"", ""red""}), """")"),"")</f>
        <v/>
      </c>
      <c r="B431" s="17" t="str">
        <f t="shared" si="4"/>
        <v/>
      </c>
      <c r="C431" s="1" t="s">
        <v>2568</v>
      </c>
      <c r="D431" s="30" t="str">
        <f>IFERROR(__xludf.DUMMYFUNCTION("IFERROR(GOOGLEFINANCE(C431, ""NAME""))"),"Maximus Inc")</f>
        <v>Maximus Inc</v>
      </c>
      <c r="E431" s="30" t="s">
        <v>916</v>
      </c>
      <c r="F431" s="33" t="str">
        <f>IFERROR(__xludf.DUMMYFUNCTION("( (GOOGLEFINANCE(C431, ""price"") - Q431) / Q431 ) / (R431 / 100)"),"Loading...")</f>
        <v>Loading...</v>
      </c>
      <c r="G431" s="20" t="str">
        <f>IFERROR(__xludf.DUMMYFUNCTION("AVERAGE(ARRAYFORMULA(100 * (QUERY(GOOGLEFINANCE(C431, ""high"", TODAY()-40, TODAY()), ""SELECT Col2 WHERE Col2 IS NOT NULL ORDER BY Col1 DESC LIMIT 20"", 0) / QUERY(GOOGLEFINANCE(C431, ""low"", TODAY()-40, TODAY()), ""SELECT Col2 WHERE Col2 IS NOT NULL OR"&amp;"DER BY Col1 DESC LIMIT 20"", 0) - 1)))"),"#N/A")</f>
        <v>#N/A</v>
      </c>
      <c r="H431" s="35" t="str">
        <f t="shared" si="6"/>
        <v/>
      </c>
      <c r="I431" s="35" t="str">
        <f t="shared" si="7"/>
        <v/>
      </c>
      <c r="J431" s="37" t="str">
        <f>IFERROR(__xludf.DUMMYFUNCTION("IFERROR(
  IF(C431="""",, 
    IFERROR(
      GOOGLEFINANCE(C431, ""price"") * GOOGLEFINANCE(C431, ""volumeavg""), 
      GOOGLEFINANCE(C431, ""price"") * AVERAGE(QUERY(GOOGLEFINANCE(C431, ""volume"", TODAY()-40, TODAY()), ""SELECT Col2 WHERE Col2 IS NOT "&amp;"NULL ORDER BY Col1 DESC LIMIT 20"", 0))
    )
  ), 
"""")"),"")</f>
        <v/>
      </c>
      <c r="K431" s="21" t="str">
        <f>IFERROR(__xludf.DUMMYFUNCTION("IFERROR(GOOGLEFINANCE(C431, ""changepct"") / 100, """")"),"")</f>
        <v/>
      </c>
      <c r="L431" s="21" t="str">
        <f>IFERROR(__xludf.DUMMYFUNCTION("IFERROR((GOOGLEFINANCE(C431, ""price"") / INDEX(GOOGLEFINANCE(C431, ""price"", TODAY()-7, TODAY()), 2, 2)) - 1, """")"),"")</f>
        <v/>
      </c>
      <c r="M431" s="21" t="str">
        <f>IFERROR(__xludf.DUMMYFUNCTION("IFERROR((GOOGLEFINANCE(C431, ""price"") / INDEX(GOOGLEFINANCE(C431, ""price"", EDATE(TODAY(), -1), TODAY()), 2, 2)) - 1, """")"),"")</f>
        <v/>
      </c>
      <c r="N431" s="21" t="str">
        <f>IFERROR(__xludf.DUMMYFUNCTION("IFERROR((GOOGLEFINANCE(C431, ""price"") / INDEX(GOOGLEFINANCE(C431, ""price"", EDATE(TODAY(), -3), TODAY()), 2, 2)) - 1, """")"),"")</f>
        <v/>
      </c>
      <c r="O431" s="21" t="str">
        <f>IFERROR(__xludf.DUMMYFUNCTION("IFERROR((GOOGLEFINANCE(C431, ""price"") / INDEX(GOOGLEFINANCE(C431, ""price"", EDATE(TODAY(), -6), TODAY()), 2, 2)) - 1, """")"),"")</f>
        <v/>
      </c>
      <c r="P431" s="21" t="str">
        <f>IFERROR(__xludf.DUMMYFUNCTION("IFERROR((GOOGLEFINANCE(C431, ""price"") / INDEX(GOOGLEFINANCE(C431, ""price"", EDATE(TODAY(), -12), TODAY()), 2, 2)) - 1, """")"),"")</f>
        <v/>
      </c>
      <c r="Q431" s="6" t="str">
        <f>IFERROR(__xludf.DUMMYFUNCTION("AVERAGE(QUERY(GOOGLEFINANCE(C431, ""price"", TODAY()-80, TODAY()), ""SELECT Col2 WHERE Col2 IS NOT NULL ORDER BY Col1 DESC LIMIT 50"", 0))"),"#N/A")</f>
        <v>#N/A</v>
      </c>
      <c r="R431" s="24" t="str">
        <f>IFERROR(__xludf.DUMMYFUNCTION("IFERROR(
  LET(
    data, QUERY(GOOGLEFINANCE(C431,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GOOGLEFINANCE(C431, ""price"")) * 100,
    IF(calc=0, G431, calc)
  ), 
G431)"),"#N/A")</f>
        <v>#N/A</v>
      </c>
      <c r="S431" s="8" t="s">
        <v>15</v>
      </c>
      <c r="T431" s="26" t="str">
        <f>IFERROR(__xludf.DUMMYFUNCTION("IFERROR(TRANSPOSE(QUERY(IFERROR(SORT(GOOGLEFINANCE(C431, ""price"", WORKDAY(TODAY(), -40), TODAY()), 1, FALSE)), ""select Col2 where Col2 is not null limit 22 label Col2 ''"", 0)), """")"),"")</f>
        <v/>
      </c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8"/>
      <c r="AO431" s="28"/>
      <c r="AP431" s="29"/>
      <c r="AQ431" s="29" t="str">
        <f t="shared" ref="AQ431:BL431" si="434">T431/T$2</f>
        <v>#N/A</v>
      </c>
      <c r="AR431" s="29" t="str">
        <f t="shared" si="434"/>
        <v>#DIV/0!</v>
      </c>
      <c r="AS431" s="29" t="str">
        <f t="shared" si="434"/>
        <v>#DIV/0!</v>
      </c>
      <c r="AT431" s="29" t="str">
        <f t="shared" si="434"/>
        <v>#DIV/0!</v>
      </c>
      <c r="AU431" s="29" t="str">
        <f t="shared" si="434"/>
        <v>#DIV/0!</v>
      </c>
      <c r="AV431" s="29" t="str">
        <f t="shared" si="434"/>
        <v>#DIV/0!</v>
      </c>
      <c r="AW431" s="29" t="str">
        <f t="shared" si="434"/>
        <v>#DIV/0!</v>
      </c>
      <c r="AX431" s="29" t="str">
        <f t="shared" si="434"/>
        <v>#DIV/0!</v>
      </c>
      <c r="AY431" s="29" t="str">
        <f t="shared" si="434"/>
        <v>#DIV/0!</v>
      </c>
      <c r="AZ431" s="29" t="str">
        <f t="shared" si="434"/>
        <v>#DIV/0!</v>
      </c>
      <c r="BA431" s="29" t="str">
        <f t="shared" si="434"/>
        <v>#DIV/0!</v>
      </c>
      <c r="BB431" s="29" t="str">
        <f t="shared" si="434"/>
        <v>#DIV/0!</v>
      </c>
      <c r="BC431" s="29" t="str">
        <f t="shared" si="434"/>
        <v>#DIV/0!</v>
      </c>
      <c r="BD431" s="29" t="str">
        <f t="shared" si="434"/>
        <v>#DIV/0!</v>
      </c>
      <c r="BE431" s="29" t="str">
        <f t="shared" si="434"/>
        <v>#DIV/0!</v>
      </c>
      <c r="BF431" s="29" t="str">
        <f t="shared" si="434"/>
        <v>#DIV/0!</v>
      </c>
      <c r="BG431" s="29" t="str">
        <f t="shared" si="434"/>
        <v>#DIV/0!</v>
      </c>
      <c r="BH431" s="29" t="str">
        <f t="shared" si="434"/>
        <v>#DIV/0!</v>
      </c>
      <c r="BI431" s="29" t="str">
        <f t="shared" si="434"/>
        <v>#DIV/0!</v>
      </c>
      <c r="BJ431" s="29" t="str">
        <f t="shared" si="434"/>
        <v>#DIV/0!</v>
      </c>
      <c r="BK431" s="29" t="str">
        <f t="shared" si="434"/>
        <v>#DIV/0!</v>
      </c>
      <c r="BL431" s="29" t="str">
        <f t="shared" si="434"/>
        <v>#DIV/0!</v>
      </c>
      <c r="BM431" s="29" t="str">
        <f t="shared" si="3"/>
        <v>#DIV/0!</v>
      </c>
    </row>
    <row r="432">
      <c r="A432" s="16" t="str">
        <f>IFERROR(__xludf.DUMMYFUNCTION("IFERROR(SPARKLINE(SORT(MAP(TRANSPOSE(AQ432:BL432), LAMBDA(val, IF(ISNUMBER(val), PERCENTRANK(AQ432:BL432, val)+0.01, 0))), SEQUENCE(COLUMNS(AQ432:BL432)), FALSE), {""charttype"",""column""; ""color"",""chartreuse""; ""ymin"", 0; ""ymax"", 1.01; ""highcolo"&amp;"r"", ""darkgreen""; ""lowcolor"", ""red""}), """")"),"")</f>
        <v/>
      </c>
      <c r="B432" s="17" t="str">
        <f t="shared" si="4"/>
        <v/>
      </c>
      <c r="C432" s="1" t="s">
        <v>2574</v>
      </c>
      <c r="D432" s="30" t="str">
        <f>IFERROR(__xludf.DUMMYFUNCTION("IFERROR(GOOGLEFINANCE(C432, ""NAME""))"),"Relx PLC")</f>
        <v>Relx PLC</v>
      </c>
      <c r="E432" s="30" t="s">
        <v>916</v>
      </c>
      <c r="F432" s="33" t="str">
        <f>IFERROR(__xludf.DUMMYFUNCTION("( (GOOGLEFINANCE(C432, ""price"") - Q432) / Q432 ) / (R432 / 100)"),"Loading...")</f>
        <v>Loading...</v>
      </c>
      <c r="G432" s="20" t="str">
        <f>IFERROR(__xludf.DUMMYFUNCTION("AVERAGE(ARRAYFORMULA(100 * (QUERY(GOOGLEFINANCE(C432, ""high"", TODAY()-40, TODAY()), ""SELECT Col2 WHERE Col2 IS NOT NULL ORDER BY Col1 DESC LIMIT 20"", 0) / QUERY(GOOGLEFINANCE(C432, ""low"", TODAY()-40, TODAY()), ""SELECT Col2 WHERE Col2 IS NOT NULL OR"&amp;"DER BY Col1 DESC LIMIT 20"", 0) - 1)))"),"#N/A")</f>
        <v>#N/A</v>
      </c>
      <c r="H432" s="35" t="str">
        <f t="shared" si="6"/>
        <v/>
      </c>
      <c r="I432" s="35" t="str">
        <f t="shared" si="7"/>
        <v/>
      </c>
      <c r="J432" s="37" t="str">
        <f>IFERROR(__xludf.DUMMYFUNCTION("IFERROR(
  IF(C432="""",, 
    IFERROR(
      GOOGLEFINANCE(C432, ""price"") * GOOGLEFINANCE(C432, ""volumeavg""), 
      GOOGLEFINANCE(C432, ""price"") * AVERAGE(QUERY(GOOGLEFINANCE(C432, ""volume"", TODAY()-40, TODAY()), ""SELECT Col2 WHERE Col2 IS NOT "&amp;"NULL ORDER BY Col1 DESC LIMIT 20"", 0))
    )
  ), 
"""")"),"")</f>
        <v/>
      </c>
      <c r="K432" s="21" t="str">
        <f>IFERROR(__xludf.DUMMYFUNCTION("IFERROR(GOOGLEFINANCE(C432, ""changepct"") / 100, """")"),"")</f>
        <v/>
      </c>
      <c r="L432" s="21" t="str">
        <f>IFERROR(__xludf.DUMMYFUNCTION("IFERROR((GOOGLEFINANCE(C432, ""price"") / INDEX(GOOGLEFINANCE(C432, ""price"", TODAY()-7, TODAY()), 2, 2)) - 1, """")"),"")</f>
        <v/>
      </c>
      <c r="M432" s="21" t="str">
        <f>IFERROR(__xludf.DUMMYFUNCTION("IFERROR((GOOGLEFINANCE(C432, ""price"") / INDEX(GOOGLEFINANCE(C432, ""price"", EDATE(TODAY(), -1), TODAY()), 2, 2)) - 1, """")"),"")</f>
        <v/>
      </c>
      <c r="N432" s="21" t="str">
        <f>IFERROR(__xludf.DUMMYFUNCTION("IFERROR((GOOGLEFINANCE(C432, ""price"") / INDEX(GOOGLEFINANCE(C432, ""price"", EDATE(TODAY(), -3), TODAY()), 2, 2)) - 1, """")"),"")</f>
        <v/>
      </c>
      <c r="O432" s="21" t="str">
        <f>IFERROR(__xludf.DUMMYFUNCTION("IFERROR((GOOGLEFINANCE(C432, ""price"") / INDEX(GOOGLEFINANCE(C432, ""price"", EDATE(TODAY(), -6), TODAY()), 2, 2)) - 1, """")"),"")</f>
        <v/>
      </c>
      <c r="P432" s="21" t="str">
        <f>IFERROR(__xludf.DUMMYFUNCTION("IFERROR((GOOGLEFINANCE(C432, ""price"") / INDEX(GOOGLEFINANCE(C432, ""price"", EDATE(TODAY(), -12), TODAY()), 2, 2)) - 1, """")"),"")</f>
        <v/>
      </c>
      <c r="Q432" s="6" t="str">
        <f>IFERROR(__xludf.DUMMYFUNCTION("AVERAGE(QUERY(GOOGLEFINANCE(C432, ""price"", TODAY()-80, TODAY()), ""SELECT Col2 WHERE Col2 IS NOT NULL ORDER BY Col1 DESC LIMIT 50"", 0))"),"#N/A")</f>
        <v>#N/A</v>
      </c>
      <c r="R432" s="24" t="str">
        <f>IFERROR(__xludf.DUMMYFUNCTION("IFERROR(
  LET(
    data, QUERY(GOOGLEFINANCE(C432,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GOOGLEFINANCE(C432, ""price"")) * 100,
    IF(calc=0, G432, calc)
  ), 
G432)"),"#N/A")</f>
        <v>#N/A</v>
      </c>
      <c r="S432" s="8" t="s">
        <v>15</v>
      </c>
      <c r="T432" s="26" t="str">
        <f>IFERROR(__xludf.DUMMYFUNCTION("IFERROR(TRANSPOSE(QUERY(IFERROR(SORT(GOOGLEFINANCE(C432, ""price"", WORKDAY(TODAY(), -40), TODAY()), 1, FALSE)), ""select Col2 where Col2 is not null limit 22 label Col2 ''"", 0)), """")"),"")</f>
        <v/>
      </c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8"/>
      <c r="AO432" s="28"/>
      <c r="AP432" s="29"/>
      <c r="AQ432" s="29" t="str">
        <f t="shared" ref="AQ432:BL432" si="435">T432/T$2</f>
        <v>#N/A</v>
      </c>
      <c r="AR432" s="29" t="str">
        <f t="shared" si="435"/>
        <v>#DIV/0!</v>
      </c>
      <c r="AS432" s="29" t="str">
        <f t="shared" si="435"/>
        <v>#DIV/0!</v>
      </c>
      <c r="AT432" s="29" t="str">
        <f t="shared" si="435"/>
        <v>#DIV/0!</v>
      </c>
      <c r="AU432" s="29" t="str">
        <f t="shared" si="435"/>
        <v>#DIV/0!</v>
      </c>
      <c r="AV432" s="29" t="str">
        <f t="shared" si="435"/>
        <v>#DIV/0!</v>
      </c>
      <c r="AW432" s="29" t="str">
        <f t="shared" si="435"/>
        <v>#DIV/0!</v>
      </c>
      <c r="AX432" s="29" t="str">
        <f t="shared" si="435"/>
        <v>#DIV/0!</v>
      </c>
      <c r="AY432" s="29" t="str">
        <f t="shared" si="435"/>
        <v>#DIV/0!</v>
      </c>
      <c r="AZ432" s="29" t="str">
        <f t="shared" si="435"/>
        <v>#DIV/0!</v>
      </c>
      <c r="BA432" s="29" t="str">
        <f t="shared" si="435"/>
        <v>#DIV/0!</v>
      </c>
      <c r="BB432" s="29" t="str">
        <f t="shared" si="435"/>
        <v>#DIV/0!</v>
      </c>
      <c r="BC432" s="29" t="str">
        <f t="shared" si="435"/>
        <v>#DIV/0!</v>
      </c>
      <c r="BD432" s="29" t="str">
        <f t="shared" si="435"/>
        <v>#DIV/0!</v>
      </c>
      <c r="BE432" s="29" t="str">
        <f t="shared" si="435"/>
        <v>#DIV/0!</v>
      </c>
      <c r="BF432" s="29" t="str">
        <f t="shared" si="435"/>
        <v>#DIV/0!</v>
      </c>
      <c r="BG432" s="29" t="str">
        <f t="shared" si="435"/>
        <v>#DIV/0!</v>
      </c>
      <c r="BH432" s="29" t="str">
        <f t="shared" si="435"/>
        <v>#DIV/0!</v>
      </c>
      <c r="BI432" s="29" t="str">
        <f t="shared" si="435"/>
        <v>#DIV/0!</v>
      </c>
      <c r="BJ432" s="29" t="str">
        <f t="shared" si="435"/>
        <v>#DIV/0!</v>
      </c>
      <c r="BK432" s="29" t="str">
        <f t="shared" si="435"/>
        <v>#DIV/0!</v>
      </c>
      <c r="BL432" s="29" t="str">
        <f t="shared" si="435"/>
        <v>#DIV/0!</v>
      </c>
      <c r="BM432" s="29" t="str">
        <f t="shared" si="3"/>
        <v>#DIV/0!</v>
      </c>
    </row>
    <row r="433">
      <c r="A433" s="16" t="str">
        <f>IFERROR(__xludf.DUMMYFUNCTION("IFERROR(SPARKLINE(SORT(MAP(TRANSPOSE(AQ433:BL433), LAMBDA(val, IF(ISNUMBER(val), PERCENTRANK(AQ433:BL433, val)+0.01, 0))), SEQUENCE(COLUMNS(AQ433:BL433)), FALSE), {""charttype"",""column""; ""color"",""chartreuse""; ""ymin"", 0; ""ymax"", 1.01; ""highcolo"&amp;"r"", ""darkgreen""; ""lowcolor"", ""red""}), """")"),"")</f>
        <v/>
      </c>
      <c r="B433" s="17" t="str">
        <f t="shared" si="4"/>
        <v/>
      </c>
      <c r="C433" s="1" t="s">
        <v>2578</v>
      </c>
      <c r="D433" s="30" t="str">
        <f>IFERROR(__xludf.DUMMYFUNCTION("IFERROR(GOOGLEFINANCE(C433, ""NAME""))"),"")</f>
        <v/>
      </c>
      <c r="E433" s="30" t="s">
        <v>893</v>
      </c>
      <c r="F433" s="33" t="str">
        <f>IFERROR(__xludf.DUMMYFUNCTION("( (GOOGLEFINANCE(C433, ""price"") - Q433) / Q433 ) / (R433 / 100)"),"Loading...")</f>
        <v>Loading...</v>
      </c>
      <c r="G433" s="20" t="str">
        <f>IFERROR(__xludf.DUMMYFUNCTION("AVERAGE(ARRAYFORMULA(100 * (QUERY(GOOGLEFINANCE(C433, ""high"", TODAY()-40, TODAY()), ""SELECT Col2 WHERE Col2 IS NOT NULL ORDER BY Col1 DESC LIMIT 20"", 0) / QUERY(GOOGLEFINANCE(C433, ""low"", TODAY()-40, TODAY()), ""SELECT Col2 WHERE Col2 IS NOT NULL OR"&amp;"DER BY Col1 DESC LIMIT 20"", 0) - 1)))"),"#N/A")</f>
        <v>#N/A</v>
      </c>
      <c r="H433" s="35" t="str">
        <f t="shared" si="6"/>
        <v/>
      </c>
      <c r="I433" s="35" t="str">
        <f t="shared" si="7"/>
        <v/>
      </c>
      <c r="J433" s="37" t="str">
        <f>IFERROR(__xludf.DUMMYFUNCTION("IFERROR(
  IF(C433="""",, 
    IFERROR(
      GOOGLEFINANCE(C433, ""price"") * GOOGLEFINANCE(C433, ""volumeavg""), 
      GOOGLEFINANCE(C433, ""price"") * AVERAGE(QUERY(GOOGLEFINANCE(C433, ""volume"", TODAY()-40, TODAY()), ""SELECT Col2 WHERE Col2 IS NOT "&amp;"NULL ORDER BY Col1 DESC LIMIT 20"", 0))
    )
  ), 
"""")"),"")</f>
        <v/>
      </c>
      <c r="K433" s="21" t="str">
        <f>IFERROR(__xludf.DUMMYFUNCTION("IFERROR(GOOGLEFINANCE(C433, ""changepct"") / 100, """")"),"")</f>
        <v/>
      </c>
      <c r="L433" s="21" t="str">
        <f>IFERROR(__xludf.DUMMYFUNCTION("IFERROR((GOOGLEFINANCE(C433, ""price"") / INDEX(GOOGLEFINANCE(C433, ""price"", TODAY()-7, TODAY()), 2, 2)) - 1, """")"),"")</f>
        <v/>
      </c>
      <c r="M433" s="21" t="str">
        <f>IFERROR(__xludf.DUMMYFUNCTION("IFERROR((GOOGLEFINANCE(C433, ""price"") / INDEX(GOOGLEFINANCE(C433, ""price"", EDATE(TODAY(), -1), TODAY()), 2, 2)) - 1, """")"),"")</f>
        <v/>
      </c>
      <c r="N433" s="21" t="str">
        <f>IFERROR(__xludf.DUMMYFUNCTION("IFERROR((GOOGLEFINANCE(C433, ""price"") / INDEX(GOOGLEFINANCE(C433, ""price"", EDATE(TODAY(), -3), TODAY()), 2, 2)) - 1, """")"),"")</f>
        <v/>
      </c>
      <c r="O433" s="21" t="str">
        <f>IFERROR(__xludf.DUMMYFUNCTION("IFERROR((GOOGLEFINANCE(C433, ""price"") / INDEX(GOOGLEFINANCE(C433, ""price"", EDATE(TODAY(), -6), TODAY()), 2, 2)) - 1, """")"),"")</f>
        <v/>
      </c>
      <c r="P433" s="21" t="str">
        <f>IFERROR(__xludf.DUMMYFUNCTION("IFERROR((GOOGLEFINANCE(C433, ""price"") / INDEX(GOOGLEFINANCE(C433, ""price"", EDATE(TODAY(), -12), TODAY()), 2, 2)) - 1, """")"),"")</f>
        <v/>
      </c>
      <c r="Q433" s="6" t="str">
        <f>IFERROR(__xludf.DUMMYFUNCTION("AVERAGE(QUERY(GOOGLEFINANCE(C433, ""price"", TODAY()-80, TODAY()), ""SELECT Col2 WHERE Col2 IS NOT NULL ORDER BY Col1 DESC LIMIT 50"", 0))"),"#N/A")</f>
        <v>#N/A</v>
      </c>
      <c r="R433" s="24" t="str">
        <f>IFERROR(__xludf.DUMMYFUNCTION("IFERROR(
  LET(
    data, QUERY(GOOGLEFINANCE(C433,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GOOGLEFINANCE(C433, ""price"")) * 100,
    IF(calc=0, G433, calc)
  ), 
G433)"),"#N/A")</f>
        <v>#N/A</v>
      </c>
      <c r="S433" s="8" t="s">
        <v>15</v>
      </c>
      <c r="T433" s="26" t="str">
        <f>IFERROR(__xludf.DUMMYFUNCTION("IFERROR(TRANSPOSE(QUERY(IFERROR(SORT(GOOGLEFINANCE(C433, ""price"", WORKDAY(TODAY(), -40), TODAY()), 1, FALSE)), ""select Col2 where Col2 is not null limit 22 label Col2 ''"", 0)), """")"),"")</f>
        <v/>
      </c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8"/>
      <c r="AO433" s="28"/>
      <c r="AP433" s="29"/>
      <c r="AQ433" s="29" t="str">
        <f t="shared" ref="AQ433:BL433" si="436">T433/T$2</f>
        <v>#N/A</v>
      </c>
      <c r="AR433" s="29" t="str">
        <f t="shared" si="436"/>
        <v>#DIV/0!</v>
      </c>
      <c r="AS433" s="29" t="str">
        <f t="shared" si="436"/>
        <v>#DIV/0!</v>
      </c>
      <c r="AT433" s="29" t="str">
        <f t="shared" si="436"/>
        <v>#DIV/0!</v>
      </c>
      <c r="AU433" s="29" t="str">
        <f t="shared" si="436"/>
        <v>#DIV/0!</v>
      </c>
      <c r="AV433" s="29" t="str">
        <f t="shared" si="436"/>
        <v>#DIV/0!</v>
      </c>
      <c r="AW433" s="29" t="str">
        <f t="shared" si="436"/>
        <v>#DIV/0!</v>
      </c>
      <c r="AX433" s="29" t="str">
        <f t="shared" si="436"/>
        <v>#DIV/0!</v>
      </c>
      <c r="AY433" s="29" t="str">
        <f t="shared" si="436"/>
        <v>#DIV/0!</v>
      </c>
      <c r="AZ433" s="29" t="str">
        <f t="shared" si="436"/>
        <v>#DIV/0!</v>
      </c>
      <c r="BA433" s="29" t="str">
        <f t="shared" si="436"/>
        <v>#DIV/0!</v>
      </c>
      <c r="BB433" s="29" t="str">
        <f t="shared" si="436"/>
        <v>#DIV/0!</v>
      </c>
      <c r="BC433" s="29" t="str">
        <f t="shared" si="436"/>
        <v>#DIV/0!</v>
      </c>
      <c r="BD433" s="29" t="str">
        <f t="shared" si="436"/>
        <v>#DIV/0!</v>
      </c>
      <c r="BE433" s="29" t="str">
        <f t="shared" si="436"/>
        <v>#DIV/0!</v>
      </c>
      <c r="BF433" s="29" t="str">
        <f t="shared" si="436"/>
        <v>#DIV/0!</v>
      </c>
      <c r="BG433" s="29" t="str">
        <f t="shared" si="436"/>
        <v>#DIV/0!</v>
      </c>
      <c r="BH433" s="29" t="str">
        <f t="shared" si="436"/>
        <v>#DIV/0!</v>
      </c>
      <c r="BI433" s="29" t="str">
        <f t="shared" si="436"/>
        <v>#DIV/0!</v>
      </c>
      <c r="BJ433" s="29" t="str">
        <f t="shared" si="436"/>
        <v>#DIV/0!</v>
      </c>
      <c r="BK433" s="29" t="str">
        <f t="shared" si="436"/>
        <v>#DIV/0!</v>
      </c>
      <c r="BL433" s="29" t="str">
        <f t="shared" si="436"/>
        <v>#DIV/0!</v>
      </c>
      <c r="BM433" s="29" t="str">
        <f t="shared" si="3"/>
        <v>#DIV/0!</v>
      </c>
    </row>
    <row r="434">
      <c r="A434" s="16" t="str">
        <f>IFERROR(__xludf.DUMMYFUNCTION("IFERROR(SPARKLINE(SORT(MAP(TRANSPOSE(AQ434:BL434), LAMBDA(val, IF(ISNUMBER(val), PERCENTRANK(AQ434:BL434, val)+0.01, 0))), SEQUENCE(COLUMNS(AQ434:BL434)), FALSE), {""charttype"",""column""; ""color"",""chartreuse""; ""ymin"", 0; ""ymax"", 1.01; ""highcolo"&amp;"r"", ""darkgreen""; ""lowcolor"", ""red""}), """")"),"")</f>
        <v/>
      </c>
      <c r="B434" s="17" t="str">
        <f t="shared" si="4"/>
        <v/>
      </c>
      <c r="C434" s="1" t="s">
        <v>2582</v>
      </c>
      <c r="D434" s="30" t="str">
        <f>IFERROR(__xludf.DUMMYFUNCTION("IFERROR(GOOGLEFINANCE(C434, ""NAME""))"),"Franklin Electric Co Inc")</f>
        <v>Franklin Electric Co Inc</v>
      </c>
      <c r="E434" s="30" t="s">
        <v>893</v>
      </c>
      <c r="F434" s="33" t="str">
        <f>IFERROR(__xludf.DUMMYFUNCTION("( (GOOGLEFINANCE(C434, ""price"") - Q434) / Q434 ) / (R434 / 100)"),"Loading...")</f>
        <v>Loading...</v>
      </c>
      <c r="G434" s="20" t="str">
        <f>IFERROR(__xludf.DUMMYFUNCTION("AVERAGE(ARRAYFORMULA(100 * (QUERY(GOOGLEFINANCE(C434, ""high"", TODAY()-40, TODAY()), ""SELECT Col2 WHERE Col2 IS NOT NULL ORDER BY Col1 DESC LIMIT 20"", 0) / QUERY(GOOGLEFINANCE(C434, ""low"", TODAY()-40, TODAY()), ""SELECT Col2 WHERE Col2 IS NOT NULL OR"&amp;"DER BY Col1 DESC LIMIT 20"", 0) - 1)))"),"#N/A")</f>
        <v>#N/A</v>
      </c>
      <c r="H434" s="35" t="str">
        <f t="shared" si="6"/>
        <v/>
      </c>
      <c r="I434" s="35" t="str">
        <f t="shared" si="7"/>
        <v/>
      </c>
      <c r="J434" s="37" t="str">
        <f>IFERROR(__xludf.DUMMYFUNCTION("IFERROR(
  IF(C434="""",, 
    IFERROR(
      GOOGLEFINANCE(C434, ""price"") * GOOGLEFINANCE(C434, ""volumeavg""), 
      GOOGLEFINANCE(C434, ""price"") * AVERAGE(QUERY(GOOGLEFINANCE(C434, ""volume"", TODAY()-40, TODAY()), ""SELECT Col2 WHERE Col2 IS NOT "&amp;"NULL ORDER BY Col1 DESC LIMIT 20"", 0))
    )
  ), 
"""")"),"")</f>
        <v/>
      </c>
      <c r="K434" s="21" t="str">
        <f>IFERROR(__xludf.DUMMYFUNCTION("IFERROR(GOOGLEFINANCE(C434, ""changepct"") / 100, """")"),"")</f>
        <v/>
      </c>
      <c r="L434" s="21" t="str">
        <f>IFERROR(__xludf.DUMMYFUNCTION("IFERROR((GOOGLEFINANCE(C434, ""price"") / INDEX(GOOGLEFINANCE(C434, ""price"", TODAY()-7, TODAY()), 2, 2)) - 1, """")"),"")</f>
        <v/>
      </c>
      <c r="M434" s="21" t="str">
        <f>IFERROR(__xludf.DUMMYFUNCTION("IFERROR((GOOGLEFINANCE(C434, ""price"") / INDEX(GOOGLEFINANCE(C434, ""price"", EDATE(TODAY(), -1), TODAY()), 2, 2)) - 1, """")"),"")</f>
        <v/>
      </c>
      <c r="N434" s="21" t="str">
        <f>IFERROR(__xludf.DUMMYFUNCTION("IFERROR((GOOGLEFINANCE(C434, ""price"") / INDEX(GOOGLEFINANCE(C434, ""price"", EDATE(TODAY(), -3), TODAY()), 2, 2)) - 1, """")"),"")</f>
        <v/>
      </c>
      <c r="O434" s="21" t="str">
        <f>IFERROR(__xludf.DUMMYFUNCTION("IFERROR((GOOGLEFINANCE(C434, ""price"") / INDEX(GOOGLEFINANCE(C434, ""price"", EDATE(TODAY(), -6), TODAY()), 2, 2)) - 1, """")"),"")</f>
        <v/>
      </c>
      <c r="P434" s="21" t="str">
        <f>IFERROR(__xludf.DUMMYFUNCTION("IFERROR((GOOGLEFINANCE(C434, ""price"") / INDEX(GOOGLEFINANCE(C434, ""price"", EDATE(TODAY(), -12), TODAY()), 2, 2)) - 1, """")"),"")</f>
        <v/>
      </c>
      <c r="Q434" s="6" t="str">
        <f>IFERROR(__xludf.DUMMYFUNCTION("AVERAGE(QUERY(GOOGLEFINANCE(C434, ""price"", TODAY()-80, TODAY()), ""SELECT Col2 WHERE Col2 IS NOT NULL ORDER BY Col1 DESC LIMIT 50"", 0))"),"#N/A")</f>
        <v>#N/A</v>
      </c>
      <c r="R434" s="24" t="str">
        <f>IFERROR(__xludf.DUMMYFUNCTION("IFERROR(
  LET(
    data, QUERY(GOOGLEFINANCE(C434,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GOOGLEFINANCE(C434, ""price"")) * 100,
    IF(calc=0, G434, calc)
  ), 
G434)"),"#N/A")</f>
        <v>#N/A</v>
      </c>
      <c r="S434" s="8" t="s">
        <v>15</v>
      </c>
      <c r="T434" s="26" t="str">
        <f>IFERROR(__xludf.DUMMYFUNCTION("IFERROR(TRANSPOSE(QUERY(IFERROR(SORT(GOOGLEFINANCE(C434, ""price"", WORKDAY(TODAY(), -40), TODAY()), 1, FALSE)), ""select Col2 where Col2 is not null limit 22 label Col2 ''"", 0)), """")"),"")</f>
        <v/>
      </c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8"/>
      <c r="AO434" s="28"/>
      <c r="AP434" s="29"/>
      <c r="AQ434" s="29" t="str">
        <f t="shared" ref="AQ434:BL434" si="437">T434/T$2</f>
        <v>#N/A</v>
      </c>
      <c r="AR434" s="29" t="str">
        <f t="shared" si="437"/>
        <v>#DIV/0!</v>
      </c>
      <c r="AS434" s="29" t="str">
        <f t="shared" si="437"/>
        <v>#DIV/0!</v>
      </c>
      <c r="AT434" s="29" t="str">
        <f t="shared" si="437"/>
        <v>#DIV/0!</v>
      </c>
      <c r="AU434" s="29" t="str">
        <f t="shared" si="437"/>
        <v>#DIV/0!</v>
      </c>
      <c r="AV434" s="29" t="str">
        <f t="shared" si="437"/>
        <v>#DIV/0!</v>
      </c>
      <c r="AW434" s="29" t="str">
        <f t="shared" si="437"/>
        <v>#DIV/0!</v>
      </c>
      <c r="AX434" s="29" t="str">
        <f t="shared" si="437"/>
        <v>#DIV/0!</v>
      </c>
      <c r="AY434" s="29" t="str">
        <f t="shared" si="437"/>
        <v>#DIV/0!</v>
      </c>
      <c r="AZ434" s="29" t="str">
        <f t="shared" si="437"/>
        <v>#DIV/0!</v>
      </c>
      <c r="BA434" s="29" t="str">
        <f t="shared" si="437"/>
        <v>#DIV/0!</v>
      </c>
      <c r="BB434" s="29" t="str">
        <f t="shared" si="437"/>
        <v>#DIV/0!</v>
      </c>
      <c r="BC434" s="29" t="str">
        <f t="shared" si="437"/>
        <v>#DIV/0!</v>
      </c>
      <c r="BD434" s="29" t="str">
        <f t="shared" si="437"/>
        <v>#DIV/0!</v>
      </c>
      <c r="BE434" s="29" t="str">
        <f t="shared" si="437"/>
        <v>#DIV/0!</v>
      </c>
      <c r="BF434" s="29" t="str">
        <f t="shared" si="437"/>
        <v>#DIV/0!</v>
      </c>
      <c r="BG434" s="29" t="str">
        <f t="shared" si="437"/>
        <v>#DIV/0!</v>
      </c>
      <c r="BH434" s="29" t="str">
        <f t="shared" si="437"/>
        <v>#DIV/0!</v>
      </c>
      <c r="BI434" s="29" t="str">
        <f t="shared" si="437"/>
        <v>#DIV/0!</v>
      </c>
      <c r="BJ434" s="29" t="str">
        <f t="shared" si="437"/>
        <v>#DIV/0!</v>
      </c>
      <c r="BK434" s="29" t="str">
        <f t="shared" si="437"/>
        <v>#DIV/0!</v>
      </c>
      <c r="BL434" s="29" t="str">
        <f t="shared" si="437"/>
        <v>#DIV/0!</v>
      </c>
      <c r="BM434" s="29" t="str">
        <f t="shared" si="3"/>
        <v>#DIV/0!</v>
      </c>
    </row>
    <row r="435">
      <c r="A435" s="16" t="str">
        <f>IFERROR(__xludf.DUMMYFUNCTION("IFERROR(SPARKLINE(SORT(MAP(TRANSPOSE(AQ435:BL435), LAMBDA(val, IF(ISNUMBER(val), PERCENTRANK(AQ435:BL435, val)+0.01, 0))), SEQUENCE(COLUMNS(AQ435:BL435)), FALSE), {""charttype"",""column""; ""color"",""chartreuse""; ""ymin"", 0; ""ymax"", 1.01; ""highcolo"&amp;"r"", ""darkgreen""; ""lowcolor"", ""red""}), """")"),"")</f>
        <v/>
      </c>
      <c r="B435" s="17" t="str">
        <f t="shared" si="4"/>
        <v/>
      </c>
      <c r="C435" s="1" t="s">
        <v>2586</v>
      </c>
      <c r="D435" s="30" t="str">
        <f>IFERROR(__xludf.DUMMYFUNCTION("IFERROR(GOOGLEFINANCE(C435, ""NAME""))"),"Mueller Water Products Inc")</f>
        <v>Mueller Water Products Inc</v>
      </c>
      <c r="E435" s="30" t="s">
        <v>893</v>
      </c>
      <c r="F435" s="33" t="str">
        <f>IFERROR(__xludf.DUMMYFUNCTION("( (GOOGLEFINANCE(C435, ""price"") - Q435) / Q435 ) / (R435 / 100)"),"Loading...")</f>
        <v>Loading...</v>
      </c>
      <c r="G435" s="20" t="str">
        <f>IFERROR(__xludf.DUMMYFUNCTION("AVERAGE(ARRAYFORMULA(100 * (QUERY(GOOGLEFINANCE(C435, ""high"", TODAY()-40, TODAY()), ""SELECT Col2 WHERE Col2 IS NOT NULL ORDER BY Col1 DESC LIMIT 20"", 0) / QUERY(GOOGLEFINANCE(C435, ""low"", TODAY()-40, TODAY()), ""SELECT Col2 WHERE Col2 IS NOT NULL OR"&amp;"DER BY Col1 DESC LIMIT 20"", 0) - 1)))"),"#N/A")</f>
        <v>#N/A</v>
      </c>
      <c r="H435" s="35" t="str">
        <f t="shared" si="6"/>
        <v/>
      </c>
      <c r="I435" s="35" t="str">
        <f t="shared" si="7"/>
        <v/>
      </c>
      <c r="J435" s="37" t="str">
        <f>IFERROR(__xludf.DUMMYFUNCTION("IFERROR(
  IF(C435="""",, 
    IFERROR(
      GOOGLEFINANCE(C435, ""price"") * GOOGLEFINANCE(C435, ""volumeavg""), 
      GOOGLEFINANCE(C435, ""price"") * AVERAGE(QUERY(GOOGLEFINANCE(C435, ""volume"", TODAY()-40, TODAY()), ""SELECT Col2 WHERE Col2 IS NOT "&amp;"NULL ORDER BY Col1 DESC LIMIT 20"", 0))
    )
  ), 
"""")"),"")</f>
        <v/>
      </c>
      <c r="K435" s="21" t="str">
        <f>IFERROR(__xludf.DUMMYFUNCTION("IFERROR(GOOGLEFINANCE(C435, ""changepct"") / 100, """")"),"")</f>
        <v/>
      </c>
      <c r="L435" s="21" t="str">
        <f>IFERROR(__xludf.DUMMYFUNCTION("IFERROR((GOOGLEFINANCE(C435, ""price"") / INDEX(GOOGLEFINANCE(C435, ""price"", TODAY()-7, TODAY()), 2, 2)) - 1, """")"),"")</f>
        <v/>
      </c>
      <c r="M435" s="21" t="str">
        <f>IFERROR(__xludf.DUMMYFUNCTION("IFERROR((GOOGLEFINANCE(C435, ""price"") / INDEX(GOOGLEFINANCE(C435, ""price"", EDATE(TODAY(), -1), TODAY()), 2, 2)) - 1, """")"),"")</f>
        <v/>
      </c>
      <c r="N435" s="21" t="str">
        <f>IFERROR(__xludf.DUMMYFUNCTION("IFERROR((GOOGLEFINANCE(C435, ""price"") / INDEX(GOOGLEFINANCE(C435, ""price"", EDATE(TODAY(), -3), TODAY()), 2, 2)) - 1, """")"),"")</f>
        <v/>
      </c>
      <c r="O435" s="21" t="str">
        <f>IFERROR(__xludf.DUMMYFUNCTION("IFERROR((GOOGLEFINANCE(C435, ""price"") / INDEX(GOOGLEFINANCE(C435, ""price"", EDATE(TODAY(), -6), TODAY()), 2, 2)) - 1, """")"),"")</f>
        <v/>
      </c>
      <c r="P435" s="21" t="str">
        <f>IFERROR(__xludf.DUMMYFUNCTION("IFERROR((GOOGLEFINANCE(C435, ""price"") / INDEX(GOOGLEFINANCE(C435, ""price"", EDATE(TODAY(), -12), TODAY()), 2, 2)) - 1, """")"),"")</f>
        <v/>
      </c>
      <c r="Q435" s="6" t="str">
        <f>IFERROR(__xludf.DUMMYFUNCTION("AVERAGE(QUERY(GOOGLEFINANCE(C435, ""price"", TODAY()-80, TODAY()), ""SELECT Col2 WHERE Col2 IS NOT NULL ORDER BY Col1 DESC LIMIT 50"", 0))"),"#N/A")</f>
        <v>#N/A</v>
      </c>
      <c r="R435" s="24" t="str">
        <f>IFERROR(__xludf.DUMMYFUNCTION("IFERROR(
  LET(
    data, QUERY(GOOGLEFINANCE(C435,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GOOGLEFINANCE(C435, ""price"")) * 100,
    IF(calc=0, G435, calc)
  ), 
G435)"),"#N/A")</f>
        <v>#N/A</v>
      </c>
      <c r="S435" s="8" t="s">
        <v>15</v>
      </c>
      <c r="T435" s="26" t="str">
        <f>IFERROR(__xludf.DUMMYFUNCTION("IFERROR(TRANSPOSE(QUERY(IFERROR(SORT(GOOGLEFINANCE(C435, ""price"", WORKDAY(TODAY(), -40), TODAY()), 1, FALSE)), ""select Col2 where Col2 is not null limit 22 label Col2 ''"", 0)), """")"),"")</f>
        <v/>
      </c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8"/>
      <c r="AO435" s="28"/>
      <c r="AP435" s="29"/>
      <c r="AQ435" s="29" t="str">
        <f t="shared" ref="AQ435:BL435" si="438">T435/T$2</f>
        <v>#N/A</v>
      </c>
      <c r="AR435" s="29" t="str">
        <f t="shared" si="438"/>
        <v>#DIV/0!</v>
      </c>
      <c r="AS435" s="29" t="str">
        <f t="shared" si="438"/>
        <v>#DIV/0!</v>
      </c>
      <c r="AT435" s="29" t="str">
        <f t="shared" si="438"/>
        <v>#DIV/0!</v>
      </c>
      <c r="AU435" s="29" t="str">
        <f t="shared" si="438"/>
        <v>#DIV/0!</v>
      </c>
      <c r="AV435" s="29" t="str">
        <f t="shared" si="438"/>
        <v>#DIV/0!</v>
      </c>
      <c r="AW435" s="29" t="str">
        <f t="shared" si="438"/>
        <v>#DIV/0!</v>
      </c>
      <c r="AX435" s="29" t="str">
        <f t="shared" si="438"/>
        <v>#DIV/0!</v>
      </c>
      <c r="AY435" s="29" t="str">
        <f t="shared" si="438"/>
        <v>#DIV/0!</v>
      </c>
      <c r="AZ435" s="29" t="str">
        <f t="shared" si="438"/>
        <v>#DIV/0!</v>
      </c>
      <c r="BA435" s="29" t="str">
        <f t="shared" si="438"/>
        <v>#DIV/0!</v>
      </c>
      <c r="BB435" s="29" t="str">
        <f t="shared" si="438"/>
        <v>#DIV/0!</v>
      </c>
      <c r="BC435" s="29" t="str">
        <f t="shared" si="438"/>
        <v>#DIV/0!</v>
      </c>
      <c r="BD435" s="29" t="str">
        <f t="shared" si="438"/>
        <v>#DIV/0!</v>
      </c>
      <c r="BE435" s="29" t="str">
        <f t="shared" si="438"/>
        <v>#DIV/0!</v>
      </c>
      <c r="BF435" s="29" t="str">
        <f t="shared" si="438"/>
        <v>#DIV/0!</v>
      </c>
      <c r="BG435" s="29" t="str">
        <f t="shared" si="438"/>
        <v>#DIV/0!</v>
      </c>
      <c r="BH435" s="29" t="str">
        <f t="shared" si="438"/>
        <v>#DIV/0!</v>
      </c>
      <c r="BI435" s="29" t="str">
        <f t="shared" si="438"/>
        <v>#DIV/0!</v>
      </c>
      <c r="BJ435" s="29" t="str">
        <f t="shared" si="438"/>
        <v>#DIV/0!</v>
      </c>
      <c r="BK435" s="29" t="str">
        <f t="shared" si="438"/>
        <v>#DIV/0!</v>
      </c>
      <c r="BL435" s="29" t="str">
        <f t="shared" si="438"/>
        <v>#DIV/0!</v>
      </c>
      <c r="BM435" s="29" t="str">
        <f t="shared" si="3"/>
        <v>#DIV/0!</v>
      </c>
    </row>
  </sheetData>
  <mergeCells count="5">
    <mergeCell ref="E1:E3"/>
    <mergeCell ref="G1:G3"/>
    <mergeCell ref="H1:H3"/>
    <mergeCell ref="I1:I3"/>
    <mergeCell ref="J1:J3"/>
  </mergeCells>
  <conditionalFormatting sqref="H4:H435">
    <cfRule type="cellIs" dxfId="8" priority="1" operator="equal">
      <formula>"Liquid"</formula>
    </cfRule>
  </conditionalFormatting>
  <conditionalFormatting sqref="I4:I435">
    <cfRule type="containsText" dxfId="8" priority="2" operator="containsText" text="No">
      <formula>NOT(ISERROR(SEARCH(("No"),(I4))))</formula>
    </cfRule>
  </conditionalFormatting>
  <conditionalFormatting sqref="K1:P435">
    <cfRule type="cellIs" dxfId="0" priority="3" operator="lessThan">
      <formula>0</formula>
    </cfRule>
  </conditionalFormatting>
  <conditionalFormatting sqref="A1:BM435">
    <cfRule type="containsBlanks" dxfId="1" priority="4">
      <formula>LEN(TRIM(A1))=0</formula>
    </cfRule>
  </conditionalFormatting>
  <conditionalFormatting sqref="C1:C435">
    <cfRule type="expression" dxfId="2" priority="5">
      <formula>COUNTIF($C:$C, C1) &gt; 1</formula>
    </cfRule>
  </conditionalFormatting>
  <conditionalFormatting sqref="F1:F435">
    <cfRule type="cellIs" dxfId="3" priority="6" operator="greaterThanOrEqual">
      <formula>8</formula>
    </cfRule>
  </conditionalFormatting>
  <conditionalFormatting sqref="F1:F435">
    <cfRule type="cellIs" dxfId="4" priority="7" operator="greaterThanOrEqual">
      <formula>5</formula>
    </cfRule>
  </conditionalFormatting>
  <conditionalFormatting sqref="F1:F435">
    <cfRule type="cellIs" dxfId="5" priority="8" operator="between">
      <formula>5</formula>
      <formula>-1</formula>
    </cfRule>
  </conditionalFormatting>
  <conditionalFormatting sqref="F1:F435">
    <cfRule type="cellIs" dxfId="6" priority="9" operator="lessThan">
      <formula>-5</formula>
    </cfRule>
  </conditionalFormatting>
  <conditionalFormatting sqref="G1:H435">
    <cfRule type="cellIs" dxfId="7" priority="10" operator="greaterThanOrEqual">
      <formula>4</formula>
    </cfRule>
  </conditionalFormatting>
  <conditionalFormatting sqref="F1:F435">
    <cfRule type="cellIs" dxfId="9" priority="11" operator="lessThan">
      <formula>-1</formula>
    </cfRule>
  </conditionalFormatting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2.13"/>
    <col customWidth="1" min="2" max="2" width="9.13"/>
    <col customWidth="1" min="3" max="3" width="8.25"/>
    <col customWidth="1" min="4" max="4" width="39.63"/>
    <col customWidth="1" min="5" max="5" width="18.0"/>
    <col customWidth="1" min="6" max="6" width="11.25"/>
    <col customWidth="1" min="7" max="7" width="8.25"/>
    <col customWidth="1" min="8" max="8" width="6.75"/>
    <col customWidth="1" min="9" max="9" width="14.75"/>
    <col customWidth="1" min="10" max="10" width="13.63"/>
    <col customWidth="1" min="11" max="11" width="6.63"/>
    <col customWidth="1" min="12" max="12" width="7.13"/>
    <col customWidth="1" min="13" max="13" width="7.38"/>
    <col customWidth="1" min="14" max="14" width="7.63"/>
    <col customWidth="1" min="15" max="15" width="8.0"/>
    <col customWidth="1" min="16" max="16" width="8.75"/>
    <col customWidth="1" min="17" max="17" width="9.38"/>
    <col customWidth="1" min="18" max="18" width="8.63"/>
    <col customWidth="1" min="19" max="19" width="1.63"/>
    <col customWidth="1" min="20" max="20" width="9.25"/>
    <col customWidth="1" min="21" max="22" width="10.75"/>
    <col customWidth="1" min="23" max="23" width="10.88"/>
    <col customWidth="1" min="24" max="24" width="10.75"/>
    <col customWidth="1" min="25" max="25" width="10.88"/>
    <col customWidth="1" min="26" max="26" width="10.75"/>
    <col customWidth="1" min="27" max="28" width="10.88"/>
    <col customWidth="1" min="29" max="29" width="11.5"/>
    <col customWidth="1" min="30" max="30" width="11.0"/>
    <col customWidth="1" min="31" max="32" width="11.25"/>
    <col customWidth="1" min="33" max="33" width="11.5"/>
    <col customWidth="1" min="34" max="38" width="11.38"/>
    <col customWidth="1" min="39" max="39" width="11.75"/>
    <col customWidth="1" min="40" max="40" width="11.38"/>
    <col customWidth="1" min="41" max="41" width="11.63"/>
    <col customWidth="1" min="42" max="42" width="14.5"/>
    <col customWidth="1" min="43" max="64" width="5.5"/>
    <col customWidth="1" min="65" max="65" width="5.3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5" t="s">
        <v>5</v>
      </c>
      <c r="F1" s="3" t="s">
        <v>4</v>
      </c>
      <c r="G1" s="9" t="s">
        <v>6</v>
      </c>
      <c r="H1" s="5" t="s">
        <v>17</v>
      </c>
      <c r="I1" s="5" t="s">
        <v>19</v>
      </c>
      <c r="J1" s="5" t="s">
        <v>23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6" t="s">
        <v>13</v>
      </c>
      <c r="R1" s="7" t="s">
        <v>14</v>
      </c>
      <c r="S1" s="8" t="s">
        <v>15</v>
      </c>
      <c r="T1" s="10" t="s">
        <v>16</v>
      </c>
      <c r="U1" s="11" t="s">
        <v>18</v>
      </c>
      <c r="V1" s="12" t="s">
        <v>20</v>
      </c>
      <c r="W1" s="11" t="s">
        <v>21</v>
      </c>
      <c r="X1" s="12" t="s">
        <v>22</v>
      </c>
      <c r="Y1" s="11" t="s">
        <v>24</v>
      </c>
      <c r="Z1" s="11" t="s">
        <v>25</v>
      </c>
      <c r="AA1" s="12" t="s">
        <v>26</v>
      </c>
      <c r="AB1" s="11" t="s">
        <v>27</v>
      </c>
      <c r="AC1" s="12" t="s">
        <v>28</v>
      </c>
      <c r="AD1" s="11" t="s">
        <v>29</v>
      </c>
      <c r="AE1" s="11" t="s">
        <v>30</v>
      </c>
      <c r="AF1" s="12" t="s">
        <v>31</v>
      </c>
      <c r="AG1" s="11" t="s">
        <v>32</v>
      </c>
      <c r="AH1" s="12" t="s">
        <v>33</v>
      </c>
      <c r="AI1" s="11" t="s">
        <v>34</v>
      </c>
      <c r="AJ1" s="11" t="s">
        <v>35</v>
      </c>
      <c r="AK1" s="12" t="s">
        <v>36</v>
      </c>
      <c r="AL1" s="11" t="s">
        <v>37</v>
      </c>
      <c r="AM1" s="12" t="s">
        <v>38</v>
      </c>
      <c r="AN1" s="11" t="s">
        <v>39</v>
      </c>
      <c r="AO1" s="11" t="s">
        <v>40</v>
      </c>
      <c r="AP1" s="13"/>
      <c r="AQ1" s="14">
        <v>1.0</v>
      </c>
      <c r="AR1" s="14">
        <v>2.0</v>
      </c>
      <c r="AS1" s="14">
        <v>3.0</v>
      </c>
      <c r="AT1" s="14">
        <v>4.0</v>
      </c>
      <c r="AU1" s="14">
        <v>5.0</v>
      </c>
      <c r="AV1" s="14">
        <v>6.0</v>
      </c>
      <c r="AW1" s="14">
        <v>7.0</v>
      </c>
      <c r="AX1" s="14">
        <v>8.0</v>
      </c>
      <c r="AY1" s="14">
        <v>9.0</v>
      </c>
      <c r="AZ1" s="14">
        <v>10.0</v>
      </c>
      <c r="BA1" s="14">
        <v>11.0</v>
      </c>
      <c r="BB1" s="14">
        <v>12.0</v>
      </c>
      <c r="BC1" s="14">
        <v>13.0</v>
      </c>
      <c r="BD1" s="14">
        <v>14.0</v>
      </c>
      <c r="BE1" s="14">
        <v>15.0</v>
      </c>
      <c r="BF1" s="14">
        <v>16.0</v>
      </c>
      <c r="BG1" s="14">
        <v>17.0</v>
      </c>
      <c r="BH1" s="14">
        <v>18.0</v>
      </c>
      <c r="BI1" s="14">
        <v>19.0</v>
      </c>
      <c r="BJ1" s="14">
        <v>20.0</v>
      </c>
      <c r="BK1" s="14">
        <v>21.0</v>
      </c>
      <c r="BL1" s="14">
        <v>22.0</v>
      </c>
      <c r="BM1" s="14" t="s">
        <v>41</v>
      </c>
    </row>
    <row r="2">
      <c r="A2" s="16" t="str">
        <f>IFERROR(__xludf.DUMMYFUNCTION("SPARKLINE(SORT(MAP(TRANSPOSE(AQ2:BL2), LAMBDA(val, PERCENTRANK(AQ2:BL2, val)+0.01)), SEQUENCE(COLUMNS(AQ2:BL2)), FALSE), {""charttype"",""column""; ""color"",""chartreuse""; ""ymin"", 0; ""ymax"", 1.01; ""highcolor"", ""darkgreen""; ""lowcolor"", ""red""}"&amp;")"),"#N/A")</f>
        <v>#N/A</v>
      </c>
      <c r="B2" s="17">
        <f>IF(C2="SPY", 1, PERCENTRANK(AQ2:BL2, AQ2))</f>
        <v>1</v>
      </c>
      <c r="C2" s="1" t="s">
        <v>42</v>
      </c>
      <c r="D2" s="18" t="str">
        <f>IFERROR(__xludf.DUMMYFUNCTION("IFERROR(GOOGLEFINANCE(C2, ""NAME""))"),"State Street SPDR S&amp;P 500 ETF Trust")</f>
        <v>State Street SPDR S&amp;P 500 ETF Trust</v>
      </c>
      <c r="E2" s="22"/>
      <c r="F2" s="19" t="str">
        <f>IFERROR(__xludf.DUMMYFUNCTION("( (GOOGLEFINANCE(C2, ""price"") - Q2) / Q2 ) / (R2 / 100)"),"Loading...")</f>
        <v>Loading...</v>
      </c>
      <c r="G2" s="22"/>
      <c r="H2" s="22"/>
      <c r="I2" s="22"/>
      <c r="J2" s="22"/>
      <c r="K2" s="21" t="str">
        <f>IFERROR(__xludf.DUMMYFUNCTION("IFERROR(GOOGLEFINANCE(C2, ""changepct"") / 100, """")"),"")</f>
        <v/>
      </c>
      <c r="L2" s="21" t="str">
        <f>IFERROR(__xludf.DUMMYFUNCTION("IFERROR((GOOGLEFINANCE(C2, ""price"") / INDEX(GOOGLEFINANCE(C2, ""price"", TODAY()-7, TODAY()), 2, 2)) - 1, """")"),"")</f>
        <v/>
      </c>
      <c r="M2" s="21" t="str">
        <f>IFERROR(__xludf.DUMMYFUNCTION("IFERROR((GOOGLEFINANCE(C2, ""price"") / INDEX(GOOGLEFINANCE(C2, ""price"", EDATE(TODAY(), -1), TODAY()), 2, 2)) - 1, """")"),"")</f>
        <v/>
      </c>
      <c r="N2" s="21" t="str">
        <f>IFERROR(__xludf.DUMMYFUNCTION("IFERROR((GOOGLEFINANCE(C2, ""price"") / INDEX(GOOGLEFINANCE(C2, ""price"", EDATE(TODAY(), -3), TODAY()), 2, 2)) - 1, """")"),"")</f>
        <v/>
      </c>
      <c r="O2" s="21" t="str">
        <f>IFERROR(__xludf.DUMMYFUNCTION("IFERROR((GOOGLEFINANCE(C2, ""price"") / INDEX(GOOGLEFINANCE(C2, ""price"", EDATE(TODAY(), -6), TODAY()), 2, 2)) - 1, """")"),"")</f>
        <v/>
      </c>
      <c r="P2" s="21" t="str">
        <f>IFERROR(__xludf.DUMMYFUNCTION("IFERROR((GOOGLEFINANCE(C2, ""price"") / INDEX(GOOGLEFINANCE(C2, ""price"", EDATE(TODAY(), -12), TODAY()), 2, 2)) - 1, """")"),"")</f>
        <v/>
      </c>
      <c r="Q2" s="23" t="str">
        <f>IFERROR(__xludf.DUMMYFUNCTION("AVERAGE(QUERY(GOOGLEFINANCE(C2, ""price"", TODAY()-80, TODAY()), ""SELECT Col2 WHERE Col2 IS NOT NULL ORDER BY Col1 DESC LIMIT 50"", 0))"),"#N/A")</f>
        <v>#N/A</v>
      </c>
      <c r="R2" s="24" t="str">
        <f>IFERROR(__xludf.DUMMYFUNCTION("IFERROR(
  LET(
    data, QUERY(GOOGLEFINANCE(C2,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GOOGLEFINANCE(C2, ""price"")) * 100,
    IF(calc=0, G2, calc)
  ), 
G2)"),"")</f>
        <v/>
      </c>
      <c r="S2" s="8" t="s">
        <v>15</v>
      </c>
      <c r="T2" s="26" t="str">
        <f>IFERROR(__xludf.DUMMYFUNCTION("TRANSPOSE(QUERY(SORT(GOOGLEFINANCE(C2, ""price"", WORKDAY(TODAY(), -40), TODAY()), 1, FALSE), ""select Col2 where Col2 is not null limit 22 label Col2 ''"", 0))"),"#N/A")</f>
        <v>#N/A</v>
      </c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8"/>
      <c r="AO2" s="28"/>
      <c r="AP2" s="29"/>
      <c r="AQ2" s="29" t="str">
        <f t="shared" ref="AQ2:BL2" si="1">T2/T$2</f>
        <v>#N/A</v>
      </c>
      <c r="AR2" s="29" t="str">
        <f t="shared" si="1"/>
        <v>#DIV/0!</v>
      </c>
      <c r="AS2" s="29" t="str">
        <f t="shared" si="1"/>
        <v>#DIV/0!</v>
      </c>
      <c r="AT2" s="29" t="str">
        <f t="shared" si="1"/>
        <v>#DIV/0!</v>
      </c>
      <c r="AU2" s="29" t="str">
        <f t="shared" si="1"/>
        <v>#DIV/0!</v>
      </c>
      <c r="AV2" s="29" t="str">
        <f t="shared" si="1"/>
        <v>#DIV/0!</v>
      </c>
      <c r="AW2" s="29" t="str">
        <f t="shared" si="1"/>
        <v>#DIV/0!</v>
      </c>
      <c r="AX2" s="29" t="str">
        <f t="shared" si="1"/>
        <v>#DIV/0!</v>
      </c>
      <c r="AY2" s="29" t="str">
        <f t="shared" si="1"/>
        <v>#DIV/0!</v>
      </c>
      <c r="AZ2" s="29" t="str">
        <f t="shared" si="1"/>
        <v>#DIV/0!</v>
      </c>
      <c r="BA2" s="29" t="str">
        <f t="shared" si="1"/>
        <v>#DIV/0!</v>
      </c>
      <c r="BB2" s="29" t="str">
        <f t="shared" si="1"/>
        <v>#DIV/0!</v>
      </c>
      <c r="BC2" s="29" t="str">
        <f t="shared" si="1"/>
        <v>#DIV/0!</v>
      </c>
      <c r="BD2" s="29" t="str">
        <f t="shared" si="1"/>
        <v>#DIV/0!</v>
      </c>
      <c r="BE2" s="29" t="str">
        <f t="shared" si="1"/>
        <v>#DIV/0!</v>
      </c>
      <c r="BF2" s="29" t="str">
        <f t="shared" si="1"/>
        <v>#DIV/0!</v>
      </c>
      <c r="BG2" s="29" t="str">
        <f t="shared" si="1"/>
        <v>#DIV/0!</v>
      </c>
      <c r="BH2" s="29" t="str">
        <f t="shared" si="1"/>
        <v>#DIV/0!</v>
      </c>
      <c r="BI2" s="29" t="str">
        <f t="shared" si="1"/>
        <v>#DIV/0!</v>
      </c>
      <c r="BJ2" s="29" t="str">
        <f t="shared" si="1"/>
        <v>#DIV/0!</v>
      </c>
      <c r="BK2" s="29" t="str">
        <f t="shared" si="1"/>
        <v>#DIV/0!</v>
      </c>
      <c r="BL2" s="29" t="str">
        <f t="shared" si="1"/>
        <v>#DIV/0!</v>
      </c>
      <c r="BM2" s="29" t="str">
        <f t="shared" ref="BM2:BM276" si="3">(T2/AO2)/(T$2/AO$2)</f>
        <v>#N/A</v>
      </c>
    </row>
    <row r="3">
      <c r="A3" s="16" t="str">
        <f>IFERROR(__xludf.DUMMYFUNCTION("IFERROR(SPARKLINE(SORT(MAP(TRANSPOSE(AQ3:BL3), LAMBDA(val, IF(ISNUMBER(val), PERCENTRANK(AQ3:BL3, val)+0.01, 0))), SEQUENCE(COLUMNS(AQ3:BL3)), FALSE), {""charttype"",""column""; ""color"",""chartreuse""; ""ymin"", 0; ""ymax"", 1.01; ""highcolor"", ""darkg"&amp;"reen""; ""lowcolor"", ""red""}), """")"),"")</f>
        <v/>
      </c>
      <c r="B3" s="17" t="str">
        <f t="shared" ref="B3:B276" si="4">IFERROR(IF(C3="SPY", 1, IF(ISNUMBER(AQ3), PERCENTRANK(AQ3:BL3, AQ3), "")), "")</f>
        <v/>
      </c>
      <c r="C3" s="1" t="s">
        <v>74</v>
      </c>
      <c r="D3" s="30" t="str">
        <f>IFERROR(__xludf.DUMMYFUNCTION("IFERROR(GOOGLEFINANCE(C3, ""NAME""))"),"State Street Health Care Select Sector SPDR ETF")</f>
        <v>State Street Health Care Select Sector SPDR ETF</v>
      </c>
      <c r="E3" s="31"/>
      <c r="F3" s="33" t="str">
        <f>IFERROR(__xludf.DUMMYFUNCTION("( (GOOGLEFINANCE(C3, ""price"") - Q3) / Q3 ) / (R3 / 100)"),"Loading...")</f>
        <v>Loading...</v>
      </c>
      <c r="G3" s="31"/>
      <c r="H3" s="31"/>
      <c r="I3" s="31"/>
      <c r="J3" s="31"/>
      <c r="K3" s="21" t="str">
        <f>IFERROR(__xludf.DUMMYFUNCTION("IFERROR(GOOGLEFINANCE(C3, ""changepct"") / 100, """")"),"")</f>
        <v/>
      </c>
      <c r="L3" s="21" t="str">
        <f>IFERROR(__xludf.DUMMYFUNCTION("IFERROR((GOOGLEFINANCE(C3, ""price"") / INDEX(GOOGLEFINANCE(C3, ""price"", TODAY()-7, TODAY()), 2, 2)) - 1, """")"),"")</f>
        <v/>
      </c>
      <c r="M3" s="21" t="str">
        <f>IFERROR(__xludf.DUMMYFUNCTION("IFERROR((GOOGLEFINANCE(C3, ""price"") / INDEX(GOOGLEFINANCE(C3, ""price"", EDATE(TODAY(), -1), TODAY()), 2, 2)) - 1, """")"),"")</f>
        <v/>
      </c>
      <c r="N3" s="21" t="str">
        <f>IFERROR(__xludf.DUMMYFUNCTION("IFERROR((GOOGLEFINANCE(C3, ""price"") / INDEX(GOOGLEFINANCE(C3, ""price"", EDATE(TODAY(), -3), TODAY()), 2, 2)) - 1, """")"),"")</f>
        <v/>
      </c>
      <c r="O3" s="21" t="str">
        <f>IFERROR(__xludf.DUMMYFUNCTION("IFERROR((GOOGLEFINANCE(C3, ""price"") / INDEX(GOOGLEFINANCE(C3, ""price"", EDATE(TODAY(), -6), TODAY()), 2, 2)) - 1, """")"),"")</f>
        <v/>
      </c>
      <c r="P3" s="21" t="str">
        <f>IFERROR(__xludf.DUMMYFUNCTION("IFERROR((GOOGLEFINANCE(C3, ""price"") / INDEX(GOOGLEFINANCE(C3, ""price"", EDATE(TODAY(), -12), TODAY()), 2, 2)) - 1, """")"),"")</f>
        <v/>
      </c>
      <c r="Q3" s="6" t="str">
        <f>IFERROR(__xludf.DUMMYFUNCTION("AVERAGE(QUERY(GOOGLEFINANCE(C3, ""price"", TODAY()-80, TODAY()), ""SELECT Col2 WHERE Col2 IS NOT NULL ORDER BY Col1 DESC LIMIT 50"", 0))"),"#N/A")</f>
        <v>#N/A</v>
      </c>
      <c r="R3" s="24" t="str">
        <f>IFERROR(__xludf.DUMMYFUNCTION("IFERROR(
  LET(
    data, QUERY(GOOGLEFINANCE(C3,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GOOGLEFINANCE(C3, ""price"")) * 100,
    IF(calc=0, G3, calc)
  ), 
G3)"),"")</f>
        <v/>
      </c>
      <c r="S3" s="8" t="s">
        <v>15</v>
      </c>
      <c r="T3" s="26" t="str">
        <f>IFERROR(__xludf.DUMMYFUNCTION("IFERROR(TRANSPOSE(QUERY(IFERROR(SORT(GOOGLEFINANCE(C3, ""price"", WORKDAY(TODAY(), -40), TODAY()), 1, FALSE)), ""select Col2 where Col2 is not null limit 22 label Col2 ''"", 0)), """")"),"")</f>
        <v/>
      </c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8"/>
      <c r="AO3" s="28"/>
      <c r="AP3" s="29"/>
      <c r="AQ3" s="29" t="str">
        <f t="shared" ref="AQ3:BL3" si="2">T3/T$2</f>
        <v>#N/A</v>
      </c>
      <c r="AR3" s="29" t="str">
        <f t="shared" si="2"/>
        <v>#DIV/0!</v>
      </c>
      <c r="AS3" s="29" t="str">
        <f t="shared" si="2"/>
        <v>#DIV/0!</v>
      </c>
      <c r="AT3" s="29" t="str">
        <f t="shared" si="2"/>
        <v>#DIV/0!</v>
      </c>
      <c r="AU3" s="29" t="str">
        <f t="shared" si="2"/>
        <v>#DIV/0!</v>
      </c>
      <c r="AV3" s="29" t="str">
        <f t="shared" si="2"/>
        <v>#DIV/0!</v>
      </c>
      <c r="AW3" s="29" t="str">
        <f t="shared" si="2"/>
        <v>#DIV/0!</v>
      </c>
      <c r="AX3" s="29" t="str">
        <f t="shared" si="2"/>
        <v>#DIV/0!</v>
      </c>
      <c r="AY3" s="29" t="str">
        <f t="shared" si="2"/>
        <v>#DIV/0!</v>
      </c>
      <c r="AZ3" s="29" t="str">
        <f t="shared" si="2"/>
        <v>#DIV/0!</v>
      </c>
      <c r="BA3" s="29" t="str">
        <f t="shared" si="2"/>
        <v>#DIV/0!</v>
      </c>
      <c r="BB3" s="29" t="str">
        <f t="shared" si="2"/>
        <v>#DIV/0!</v>
      </c>
      <c r="BC3" s="29" t="str">
        <f t="shared" si="2"/>
        <v>#DIV/0!</v>
      </c>
      <c r="BD3" s="29" t="str">
        <f t="shared" si="2"/>
        <v>#DIV/0!</v>
      </c>
      <c r="BE3" s="29" t="str">
        <f t="shared" si="2"/>
        <v>#DIV/0!</v>
      </c>
      <c r="BF3" s="29" t="str">
        <f t="shared" si="2"/>
        <v>#DIV/0!</v>
      </c>
      <c r="BG3" s="29" t="str">
        <f t="shared" si="2"/>
        <v>#DIV/0!</v>
      </c>
      <c r="BH3" s="29" t="str">
        <f t="shared" si="2"/>
        <v>#DIV/0!</v>
      </c>
      <c r="BI3" s="29" t="str">
        <f t="shared" si="2"/>
        <v>#DIV/0!</v>
      </c>
      <c r="BJ3" s="29" t="str">
        <f t="shared" si="2"/>
        <v>#DIV/0!</v>
      </c>
      <c r="BK3" s="29" t="str">
        <f t="shared" si="2"/>
        <v>#DIV/0!</v>
      </c>
      <c r="BL3" s="29" t="str">
        <f t="shared" si="2"/>
        <v>#DIV/0!</v>
      </c>
      <c r="BM3" s="29" t="str">
        <f t="shared" si="3"/>
        <v>#DIV/0!</v>
      </c>
    </row>
    <row r="4">
      <c r="A4" s="16" t="str">
        <f>IFERROR(__xludf.DUMMYFUNCTION("IFERROR(SPARKLINE(SORT(MAP(TRANSPOSE(AQ4:BL4), LAMBDA(val, IF(ISNUMBER(val), PERCENTRANK(AQ4:BL4, val)+0.01, 0))), SEQUENCE(COLUMNS(AQ4:BL4)), FALSE), {""charttype"",""column""; ""color"",""chartreuse""; ""ymin"", 0; ""ymax"", 1.01; ""highcolor"", ""darkg"&amp;"reen""; ""lowcolor"", ""red""}), """")"),"")</f>
        <v/>
      </c>
      <c r="B4" s="17" t="str">
        <f t="shared" si="4"/>
        <v/>
      </c>
      <c r="C4" s="1" t="s">
        <v>1474</v>
      </c>
      <c r="D4" s="30" t="str">
        <f>IFERROR(__xludf.DUMMYFUNCTION("IFERROR(GOOGLEFINANCE(C4, ""NAME""))"),"Neurocrine Biosciences, Inc")</f>
        <v>Neurocrine Biosciences, Inc</v>
      </c>
      <c r="E4" s="30" t="s">
        <v>1475</v>
      </c>
      <c r="F4" s="33" t="str">
        <f>IFERROR(__xludf.DUMMYFUNCTION("( (GOOGLEFINANCE(C4, ""price"") - Q4) / Q4 ) / (R4 / 100)"),"Loading...")</f>
        <v>Loading...</v>
      </c>
      <c r="G4" s="20" t="str">
        <f>IFERROR(__xludf.DUMMYFUNCTION("AVERAGE(ARRAYFORMULA(100 * (QUERY(GOOGLEFINANCE(C4, ""high"", TODAY()-40, TODAY()), ""SELECT Col2 WHERE Col2 IS NOT NULL ORDER BY Col1 DESC LIMIT 20"", 0) / QUERY(GOOGLEFINANCE(C4, ""low"", TODAY()-40, TODAY()), ""SELECT Col2 WHERE Col2 IS NOT NULL ORDER "&amp;"BY Col1 DESC LIMIT 20"", 0) - 1)))"),"#N/A")</f>
        <v>#N/A</v>
      </c>
      <c r="H4" s="35" t="str">
        <f t="shared" ref="H4:H112" si="6">IFERROR(IF(ISNUMBER(J4), IF(J4 &lt; 50000000, "Illiquid", "Liquid"), ""), "")</f>
        <v/>
      </c>
      <c r="I4" s="36" t="str">
        <f t="shared" ref="I4:I276" si="7">IFERROR(IF(ISNUMBER(J4), IF(J4 &lt; 500000000, "RVol Required", "No RVol Required"), ""), "")</f>
        <v/>
      </c>
      <c r="J4" s="37" t="str">
        <f>IFERROR(__xludf.DUMMYFUNCTION("IFERROR(
  IF(C4="""",, 
    IFERROR(
      GOOGLEFINANCE(C4, ""price"") * GOOGLEFINANCE(C4, ""volumeavg""), 
      GOOGLEFINANCE(C4, ""price"") * AVERAGE(QUERY(GOOGLEFINANCE(C4, ""volume"", TODAY()-40, TODAY()), ""SELECT Col2 WHERE Col2 IS NOT NULL ORDER"&amp;" BY Col1 DESC LIMIT 20"", 0))
    )
  ), 
"""")"),"")</f>
        <v/>
      </c>
      <c r="K4" s="21" t="str">
        <f>IFERROR(__xludf.DUMMYFUNCTION("IFERROR(GOOGLEFINANCE(C4, ""changepct"") / 100, """")"),"")</f>
        <v/>
      </c>
      <c r="L4" s="21" t="str">
        <f>IFERROR(__xludf.DUMMYFUNCTION("IFERROR((GOOGLEFINANCE(C4, ""price"") / INDEX(GOOGLEFINANCE(C4, ""price"", TODAY()-7, TODAY()), 2, 2)) - 1, """")"),"")</f>
        <v/>
      </c>
      <c r="M4" s="21" t="str">
        <f>IFERROR(__xludf.DUMMYFUNCTION("IFERROR((GOOGLEFINANCE(C4, ""price"") / INDEX(GOOGLEFINANCE(C4, ""price"", EDATE(TODAY(), -1), TODAY()), 2, 2)) - 1, """")"),"")</f>
        <v/>
      </c>
      <c r="N4" s="21" t="str">
        <f>IFERROR(__xludf.DUMMYFUNCTION("IFERROR((GOOGLEFINANCE(C4, ""price"") / INDEX(GOOGLEFINANCE(C4, ""price"", EDATE(TODAY(), -3), TODAY()), 2, 2)) - 1, """")"),"")</f>
        <v/>
      </c>
      <c r="O4" s="21" t="str">
        <f>IFERROR(__xludf.DUMMYFUNCTION("IFERROR((GOOGLEFINANCE(C4, ""price"") / INDEX(GOOGLEFINANCE(C4, ""price"", EDATE(TODAY(), -6), TODAY()), 2, 2)) - 1, """")"),"")</f>
        <v/>
      </c>
      <c r="P4" s="21" t="str">
        <f>IFERROR(__xludf.DUMMYFUNCTION("IFERROR((GOOGLEFINANCE(C4, ""price"") / INDEX(GOOGLEFINANCE(C4, ""price"", EDATE(TODAY(), -12), TODAY()), 2, 2)) - 1, """")"),"")</f>
        <v/>
      </c>
      <c r="Q4" s="6" t="str">
        <f>IFERROR(__xludf.DUMMYFUNCTION("AVERAGE(QUERY(GOOGLEFINANCE(C4, ""price"", TODAY()-80, TODAY()), ""SELECT Col2 WHERE Col2 IS NOT NULL ORDER BY Col1 DESC LIMIT 50"", 0))"),"#N/A")</f>
        <v>#N/A</v>
      </c>
      <c r="R4" s="24" t="str">
        <f>IFERROR(__xludf.DUMMYFUNCTION("IFERROR(
  LET(
    data, QUERY(GOOGLEFINANCE(C4,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GOOGLEFINANCE(C4, ""price"")) * 100,
    IF(calc=0, G4, calc)
  ), 
G4)"),"#N/A")</f>
        <v>#N/A</v>
      </c>
      <c r="S4" s="8" t="s">
        <v>15</v>
      </c>
      <c r="T4" s="26" t="str">
        <f>IFERROR(__xludf.DUMMYFUNCTION("IFERROR(TRANSPOSE(QUERY(IFERROR(SORT(GOOGLEFINANCE(C4, ""price"", WORKDAY(TODAY(), -40), TODAY()), 1, FALSE)), ""select Col2 where Col2 is not null limit 22 label Col2 ''"", 0)), """")"),"")</f>
        <v/>
      </c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8"/>
      <c r="AO4" s="28"/>
      <c r="AP4" s="29"/>
      <c r="AQ4" s="29" t="str">
        <f t="shared" ref="AQ4:BL4" si="5">T4/T$2</f>
        <v>#N/A</v>
      </c>
      <c r="AR4" s="29" t="str">
        <f t="shared" si="5"/>
        <v>#DIV/0!</v>
      </c>
      <c r="AS4" s="29" t="str">
        <f t="shared" si="5"/>
        <v>#DIV/0!</v>
      </c>
      <c r="AT4" s="29" t="str">
        <f t="shared" si="5"/>
        <v>#DIV/0!</v>
      </c>
      <c r="AU4" s="29" t="str">
        <f t="shared" si="5"/>
        <v>#DIV/0!</v>
      </c>
      <c r="AV4" s="29" t="str">
        <f t="shared" si="5"/>
        <v>#DIV/0!</v>
      </c>
      <c r="AW4" s="29" t="str">
        <f t="shared" si="5"/>
        <v>#DIV/0!</v>
      </c>
      <c r="AX4" s="29" t="str">
        <f t="shared" si="5"/>
        <v>#DIV/0!</v>
      </c>
      <c r="AY4" s="29" t="str">
        <f t="shared" si="5"/>
        <v>#DIV/0!</v>
      </c>
      <c r="AZ4" s="29" t="str">
        <f t="shared" si="5"/>
        <v>#DIV/0!</v>
      </c>
      <c r="BA4" s="29" t="str">
        <f t="shared" si="5"/>
        <v>#DIV/0!</v>
      </c>
      <c r="BB4" s="29" t="str">
        <f t="shared" si="5"/>
        <v>#DIV/0!</v>
      </c>
      <c r="BC4" s="29" t="str">
        <f t="shared" si="5"/>
        <v>#DIV/0!</v>
      </c>
      <c r="BD4" s="29" t="str">
        <f t="shared" si="5"/>
        <v>#DIV/0!</v>
      </c>
      <c r="BE4" s="29" t="str">
        <f t="shared" si="5"/>
        <v>#DIV/0!</v>
      </c>
      <c r="BF4" s="29" t="str">
        <f t="shared" si="5"/>
        <v>#DIV/0!</v>
      </c>
      <c r="BG4" s="29" t="str">
        <f t="shared" si="5"/>
        <v>#DIV/0!</v>
      </c>
      <c r="BH4" s="29" t="str">
        <f t="shared" si="5"/>
        <v>#DIV/0!</v>
      </c>
      <c r="BI4" s="29" t="str">
        <f t="shared" si="5"/>
        <v>#DIV/0!</v>
      </c>
      <c r="BJ4" s="29" t="str">
        <f t="shared" si="5"/>
        <v>#DIV/0!</v>
      </c>
      <c r="BK4" s="29" t="str">
        <f t="shared" si="5"/>
        <v>#DIV/0!</v>
      </c>
      <c r="BL4" s="29" t="str">
        <f t="shared" si="5"/>
        <v>#DIV/0!</v>
      </c>
      <c r="BM4" s="29" t="str">
        <f t="shared" si="3"/>
        <v>#DIV/0!</v>
      </c>
    </row>
    <row r="5">
      <c r="A5" s="16" t="str">
        <f>IFERROR(__xludf.DUMMYFUNCTION("IFERROR(SPARKLINE(SORT(MAP(TRANSPOSE(AQ5:BL5), LAMBDA(val, IF(ISNUMBER(val), PERCENTRANK(AQ5:BL5, val)+0.01, 0))), SEQUENCE(COLUMNS(AQ5:BL5)), FALSE), {""charttype"",""column""; ""color"",""chartreuse""; ""ymin"", 0; ""ymax"", 1.01; ""highcolor"", ""darkg"&amp;"reen""; ""lowcolor"", ""red""}), """")"),"")</f>
        <v/>
      </c>
      <c r="B5" s="17" t="str">
        <f t="shared" si="4"/>
        <v/>
      </c>
      <c r="C5" s="1" t="s">
        <v>1478</v>
      </c>
      <c r="D5" s="30" t="str">
        <f>IFERROR(__xludf.DUMMYFUNCTION("IFERROR(GOOGLEFINANCE(C5, ""NAME""))"),"Oscar Health Inc")</f>
        <v>Oscar Health Inc</v>
      </c>
      <c r="E5" s="30" t="s">
        <v>1479</v>
      </c>
      <c r="F5" s="33" t="str">
        <f>IFERROR(__xludf.DUMMYFUNCTION("( (GOOGLEFINANCE(C5, ""price"") - Q5) / Q5 ) / (R5 / 100)"),"Loading...")</f>
        <v>Loading...</v>
      </c>
      <c r="G5" s="20" t="str">
        <f>IFERROR(__xludf.DUMMYFUNCTION("AVERAGE(ARRAYFORMULA(100 * (QUERY(GOOGLEFINANCE(C5, ""high"", TODAY()-40, TODAY()), ""SELECT Col2 WHERE Col2 IS NOT NULL ORDER BY Col1 DESC LIMIT 20"", 0) / QUERY(GOOGLEFINANCE(C5, ""low"", TODAY()-40, TODAY()), ""SELECT Col2 WHERE Col2 IS NOT NULL ORDER "&amp;"BY Col1 DESC LIMIT 20"", 0) - 1)))"),"#N/A")</f>
        <v>#N/A</v>
      </c>
      <c r="H5" s="35" t="str">
        <f t="shared" si="6"/>
        <v/>
      </c>
      <c r="I5" s="36" t="str">
        <f t="shared" si="7"/>
        <v/>
      </c>
      <c r="J5" s="37" t="str">
        <f>IFERROR(__xludf.DUMMYFUNCTION("IFERROR(
  IF(C5="""",, 
    IFERROR(
      GOOGLEFINANCE(C5, ""price"") * GOOGLEFINANCE(C5, ""volumeavg""), 
      GOOGLEFINANCE(C5, ""price"") * AVERAGE(QUERY(GOOGLEFINANCE(C5, ""volume"", TODAY()-40, TODAY()), ""SELECT Col2 WHERE Col2 IS NOT NULL ORDER"&amp;" BY Col1 DESC LIMIT 20"", 0))
    )
  ), 
"""")"),"")</f>
        <v/>
      </c>
      <c r="K5" s="21" t="str">
        <f>IFERROR(__xludf.DUMMYFUNCTION("IFERROR(GOOGLEFINANCE(C5, ""changepct"") / 100, """")"),"")</f>
        <v/>
      </c>
      <c r="L5" s="21" t="str">
        <f>IFERROR(__xludf.DUMMYFUNCTION("IFERROR((GOOGLEFINANCE(C5, ""price"") / INDEX(GOOGLEFINANCE(C5, ""price"", TODAY()-7, TODAY()), 2, 2)) - 1, """")"),"")</f>
        <v/>
      </c>
      <c r="M5" s="21" t="str">
        <f>IFERROR(__xludf.DUMMYFUNCTION("IFERROR((GOOGLEFINANCE(C5, ""price"") / INDEX(GOOGLEFINANCE(C5, ""price"", EDATE(TODAY(), -1), TODAY()), 2, 2)) - 1, """")"),"")</f>
        <v/>
      </c>
      <c r="N5" s="21" t="str">
        <f>IFERROR(__xludf.DUMMYFUNCTION("IFERROR((GOOGLEFINANCE(C5, ""price"") / INDEX(GOOGLEFINANCE(C5, ""price"", EDATE(TODAY(), -3), TODAY()), 2, 2)) - 1, """")"),"")</f>
        <v/>
      </c>
      <c r="O5" s="21" t="str">
        <f>IFERROR(__xludf.DUMMYFUNCTION("IFERROR((GOOGLEFINANCE(C5, ""price"") / INDEX(GOOGLEFINANCE(C5, ""price"", EDATE(TODAY(), -6), TODAY()), 2, 2)) - 1, """")"),"")</f>
        <v/>
      </c>
      <c r="P5" s="21" t="str">
        <f>IFERROR(__xludf.DUMMYFUNCTION("IFERROR((GOOGLEFINANCE(C5, ""price"") / INDEX(GOOGLEFINANCE(C5, ""price"", EDATE(TODAY(), -12), TODAY()), 2, 2)) - 1, """")"),"")</f>
        <v/>
      </c>
      <c r="Q5" s="6" t="str">
        <f>IFERROR(__xludf.DUMMYFUNCTION("AVERAGE(QUERY(GOOGLEFINANCE(C5, ""price"", TODAY()-80, TODAY()), ""SELECT Col2 WHERE Col2 IS NOT NULL ORDER BY Col1 DESC LIMIT 50"", 0))"),"#N/A")</f>
        <v>#N/A</v>
      </c>
      <c r="R5" s="24" t="str">
        <f>IFERROR(__xludf.DUMMYFUNCTION("IFERROR(
  LET(
    data, QUERY(GOOGLEFINANCE(C5,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GOOGLEFINANCE(C5, ""price"")) * 100,
    IF(calc=0, G5, calc)
  ), 
G5)"),"#N/A")</f>
        <v>#N/A</v>
      </c>
      <c r="S5" s="8" t="s">
        <v>15</v>
      </c>
      <c r="T5" s="26" t="str">
        <f>IFERROR(__xludf.DUMMYFUNCTION("IFERROR(TRANSPOSE(QUERY(IFERROR(SORT(GOOGLEFINANCE(C5, ""price"", WORKDAY(TODAY(), -40), TODAY()), 1, FALSE)), ""select Col2 where Col2 is not null limit 22 label Col2 ''"", 0)), """")"),"")</f>
        <v/>
      </c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8"/>
      <c r="AO5" s="28"/>
      <c r="AP5" s="29"/>
      <c r="AQ5" s="29" t="str">
        <f t="shared" ref="AQ5:BL5" si="8">T5/T$2</f>
        <v>#N/A</v>
      </c>
      <c r="AR5" s="29" t="str">
        <f t="shared" si="8"/>
        <v>#DIV/0!</v>
      </c>
      <c r="AS5" s="29" t="str">
        <f t="shared" si="8"/>
        <v>#DIV/0!</v>
      </c>
      <c r="AT5" s="29" t="str">
        <f t="shared" si="8"/>
        <v>#DIV/0!</v>
      </c>
      <c r="AU5" s="29" t="str">
        <f t="shared" si="8"/>
        <v>#DIV/0!</v>
      </c>
      <c r="AV5" s="29" t="str">
        <f t="shared" si="8"/>
        <v>#DIV/0!</v>
      </c>
      <c r="AW5" s="29" t="str">
        <f t="shared" si="8"/>
        <v>#DIV/0!</v>
      </c>
      <c r="AX5" s="29" t="str">
        <f t="shared" si="8"/>
        <v>#DIV/0!</v>
      </c>
      <c r="AY5" s="29" t="str">
        <f t="shared" si="8"/>
        <v>#DIV/0!</v>
      </c>
      <c r="AZ5" s="29" t="str">
        <f t="shared" si="8"/>
        <v>#DIV/0!</v>
      </c>
      <c r="BA5" s="29" t="str">
        <f t="shared" si="8"/>
        <v>#DIV/0!</v>
      </c>
      <c r="BB5" s="29" t="str">
        <f t="shared" si="8"/>
        <v>#DIV/0!</v>
      </c>
      <c r="BC5" s="29" t="str">
        <f t="shared" si="8"/>
        <v>#DIV/0!</v>
      </c>
      <c r="BD5" s="29" t="str">
        <f t="shared" si="8"/>
        <v>#DIV/0!</v>
      </c>
      <c r="BE5" s="29" t="str">
        <f t="shared" si="8"/>
        <v>#DIV/0!</v>
      </c>
      <c r="BF5" s="29" t="str">
        <f t="shared" si="8"/>
        <v>#DIV/0!</v>
      </c>
      <c r="BG5" s="29" t="str">
        <f t="shared" si="8"/>
        <v>#DIV/0!</v>
      </c>
      <c r="BH5" s="29" t="str">
        <f t="shared" si="8"/>
        <v>#DIV/0!</v>
      </c>
      <c r="BI5" s="29" t="str">
        <f t="shared" si="8"/>
        <v>#DIV/0!</v>
      </c>
      <c r="BJ5" s="29" t="str">
        <f t="shared" si="8"/>
        <v>#DIV/0!</v>
      </c>
      <c r="BK5" s="29" t="str">
        <f t="shared" si="8"/>
        <v>#DIV/0!</v>
      </c>
      <c r="BL5" s="29" t="str">
        <f t="shared" si="8"/>
        <v>#DIV/0!</v>
      </c>
      <c r="BM5" s="29" t="str">
        <f t="shared" si="3"/>
        <v>#DIV/0!</v>
      </c>
    </row>
    <row r="6">
      <c r="A6" s="16" t="str">
        <f>IFERROR(__xludf.DUMMYFUNCTION("IFERROR(SPARKLINE(SORT(MAP(TRANSPOSE(AQ6:BL6), LAMBDA(val, IF(ISNUMBER(val), PERCENTRANK(AQ6:BL6, val)+0.01, 0))), SEQUENCE(COLUMNS(AQ6:BL6)), FALSE), {""charttype"",""column""; ""color"",""chartreuse""; ""ymin"", 0; ""ymax"", 1.01; ""highcolor"", ""darkg"&amp;"reen""; ""lowcolor"", ""red""}), """")"),"")</f>
        <v/>
      </c>
      <c r="B6" s="17" t="str">
        <f t="shared" si="4"/>
        <v/>
      </c>
      <c r="C6" s="1" t="s">
        <v>1482</v>
      </c>
      <c r="D6" s="30" t="str">
        <f>IFERROR(__xludf.DUMMYFUNCTION("IFERROR(GOOGLEFINANCE(C6, ""NAME""))"),"Centene Corp")</f>
        <v>Centene Corp</v>
      </c>
      <c r="E6" s="30" t="s">
        <v>1479</v>
      </c>
      <c r="F6" s="33" t="str">
        <f>IFERROR(__xludf.DUMMYFUNCTION("( (GOOGLEFINANCE(C6, ""price"") - Q6) / Q6 ) / (R6 / 100)"),"Loading...")</f>
        <v>Loading...</v>
      </c>
      <c r="G6" s="20" t="str">
        <f>IFERROR(__xludf.DUMMYFUNCTION("AVERAGE(ARRAYFORMULA(100 * (QUERY(GOOGLEFINANCE(C6, ""high"", TODAY()-40, TODAY()), ""SELECT Col2 WHERE Col2 IS NOT NULL ORDER BY Col1 DESC LIMIT 20"", 0) / QUERY(GOOGLEFINANCE(C6, ""low"", TODAY()-40, TODAY()), ""SELECT Col2 WHERE Col2 IS NOT NULL ORDER "&amp;"BY Col1 DESC LIMIT 20"", 0) - 1)))"),"#N/A")</f>
        <v>#N/A</v>
      </c>
      <c r="H6" s="35" t="str">
        <f t="shared" si="6"/>
        <v/>
      </c>
      <c r="I6" s="36" t="str">
        <f t="shared" si="7"/>
        <v/>
      </c>
      <c r="J6" s="37" t="str">
        <f>IFERROR(__xludf.DUMMYFUNCTION("IFERROR(
  IF(C6="""",, 
    IFERROR(
      GOOGLEFINANCE(C6, ""price"") * GOOGLEFINANCE(C6, ""volumeavg""), 
      GOOGLEFINANCE(C6, ""price"") * AVERAGE(QUERY(GOOGLEFINANCE(C6, ""volume"", TODAY()-40, TODAY()), ""SELECT Col2 WHERE Col2 IS NOT NULL ORDER"&amp;" BY Col1 DESC LIMIT 20"", 0))
    )
  ), 
"""")"),"")</f>
        <v/>
      </c>
      <c r="K6" s="21" t="str">
        <f>IFERROR(__xludf.DUMMYFUNCTION("IFERROR(GOOGLEFINANCE(C6, ""changepct"") / 100, """")"),"")</f>
        <v/>
      </c>
      <c r="L6" s="21" t="str">
        <f>IFERROR(__xludf.DUMMYFUNCTION("IFERROR((GOOGLEFINANCE(C6, ""price"") / INDEX(GOOGLEFINANCE(C6, ""price"", TODAY()-7, TODAY()), 2, 2)) - 1, """")"),"")</f>
        <v/>
      </c>
      <c r="M6" s="21" t="str">
        <f>IFERROR(__xludf.DUMMYFUNCTION("IFERROR((GOOGLEFINANCE(C6, ""price"") / INDEX(GOOGLEFINANCE(C6, ""price"", EDATE(TODAY(), -1), TODAY()), 2, 2)) - 1, """")"),"")</f>
        <v/>
      </c>
      <c r="N6" s="21" t="str">
        <f>IFERROR(__xludf.DUMMYFUNCTION("IFERROR((GOOGLEFINANCE(C6, ""price"") / INDEX(GOOGLEFINANCE(C6, ""price"", EDATE(TODAY(), -3), TODAY()), 2, 2)) - 1, """")"),"")</f>
        <v/>
      </c>
      <c r="O6" s="21" t="str">
        <f>IFERROR(__xludf.DUMMYFUNCTION("IFERROR((GOOGLEFINANCE(C6, ""price"") / INDEX(GOOGLEFINANCE(C6, ""price"", EDATE(TODAY(), -6), TODAY()), 2, 2)) - 1, """")"),"")</f>
        <v/>
      </c>
      <c r="P6" s="21" t="str">
        <f>IFERROR(__xludf.DUMMYFUNCTION("IFERROR((GOOGLEFINANCE(C6, ""price"") / INDEX(GOOGLEFINANCE(C6, ""price"", EDATE(TODAY(), -12), TODAY()), 2, 2)) - 1, """")"),"")</f>
        <v/>
      </c>
      <c r="Q6" s="6" t="str">
        <f>IFERROR(__xludf.DUMMYFUNCTION("AVERAGE(QUERY(GOOGLEFINANCE(C6, ""price"", TODAY()-80, TODAY()), ""SELECT Col2 WHERE Col2 IS NOT NULL ORDER BY Col1 DESC LIMIT 50"", 0))"),"#N/A")</f>
        <v>#N/A</v>
      </c>
      <c r="R6" s="24" t="str">
        <f>IFERROR(__xludf.DUMMYFUNCTION("IFERROR(
  LET(
    data, QUERY(GOOGLEFINANCE(C6,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GOOGLEFINANCE(C6, ""price"")) * 100,
    IF(calc=0, G6, calc)
  ), 
G6)"),"#N/A")</f>
        <v>#N/A</v>
      </c>
      <c r="S6" s="8" t="s">
        <v>15</v>
      </c>
      <c r="T6" s="26" t="str">
        <f>IFERROR(__xludf.DUMMYFUNCTION("IFERROR(TRANSPOSE(QUERY(IFERROR(SORT(GOOGLEFINANCE(C6, ""price"", WORKDAY(TODAY(), -40), TODAY()), 1, FALSE)), ""select Col2 where Col2 is not null limit 22 label Col2 ''"", 0)), """")"),"")</f>
        <v/>
      </c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8"/>
      <c r="AO6" s="28"/>
      <c r="AP6" s="29"/>
      <c r="AQ6" s="29" t="str">
        <f t="shared" ref="AQ6:BL6" si="9">T6/T$2</f>
        <v>#N/A</v>
      </c>
      <c r="AR6" s="29" t="str">
        <f t="shared" si="9"/>
        <v>#DIV/0!</v>
      </c>
      <c r="AS6" s="29" t="str">
        <f t="shared" si="9"/>
        <v>#DIV/0!</v>
      </c>
      <c r="AT6" s="29" t="str">
        <f t="shared" si="9"/>
        <v>#DIV/0!</v>
      </c>
      <c r="AU6" s="29" t="str">
        <f t="shared" si="9"/>
        <v>#DIV/0!</v>
      </c>
      <c r="AV6" s="29" t="str">
        <f t="shared" si="9"/>
        <v>#DIV/0!</v>
      </c>
      <c r="AW6" s="29" t="str">
        <f t="shared" si="9"/>
        <v>#DIV/0!</v>
      </c>
      <c r="AX6" s="29" t="str">
        <f t="shared" si="9"/>
        <v>#DIV/0!</v>
      </c>
      <c r="AY6" s="29" t="str">
        <f t="shared" si="9"/>
        <v>#DIV/0!</v>
      </c>
      <c r="AZ6" s="29" t="str">
        <f t="shared" si="9"/>
        <v>#DIV/0!</v>
      </c>
      <c r="BA6" s="29" t="str">
        <f t="shared" si="9"/>
        <v>#DIV/0!</v>
      </c>
      <c r="BB6" s="29" t="str">
        <f t="shared" si="9"/>
        <v>#DIV/0!</v>
      </c>
      <c r="BC6" s="29" t="str">
        <f t="shared" si="9"/>
        <v>#DIV/0!</v>
      </c>
      <c r="BD6" s="29" t="str">
        <f t="shared" si="9"/>
        <v>#DIV/0!</v>
      </c>
      <c r="BE6" s="29" t="str">
        <f t="shared" si="9"/>
        <v>#DIV/0!</v>
      </c>
      <c r="BF6" s="29" t="str">
        <f t="shared" si="9"/>
        <v>#DIV/0!</v>
      </c>
      <c r="BG6" s="29" t="str">
        <f t="shared" si="9"/>
        <v>#DIV/0!</v>
      </c>
      <c r="BH6" s="29" t="str">
        <f t="shared" si="9"/>
        <v>#DIV/0!</v>
      </c>
      <c r="BI6" s="29" t="str">
        <f t="shared" si="9"/>
        <v>#DIV/0!</v>
      </c>
      <c r="BJ6" s="29" t="str">
        <f t="shared" si="9"/>
        <v>#DIV/0!</v>
      </c>
      <c r="BK6" s="29" t="str">
        <f t="shared" si="9"/>
        <v>#DIV/0!</v>
      </c>
      <c r="BL6" s="29" t="str">
        <f t="shared" si="9"/>
        <v>#DIV/0!</v>
      </c>
      <c r="BM6" s="29" t="str">
        <f t="shared" si="3"/>
        <v>#DIV/0!</v>
      </c>
    </row>
    <row r="7">
      <c r="A7" s="16" t="str">
        <f>IFERROR(__xludf.DUMMYFUNCTION("IFERROR(SPARKLINE(SORT(MAP(TRANSPOSE(AQ7:BL7), LAMBDA(val, IF(ISNUMBER(val), PERCENTRANK(AQ7:BL7, val)+0.01, 0))), SEQUENCE(COLUMNS(AQ7:BL7)), FALSE), {""charttype"",""column""; ""color"",""chartreuse""; ""ymin"", 0; ""ymax"", 1.01; ""highcolor"", ""darkg"&amp;"reen""; ""lowcolor"", ""red""}), """")"),"")</f>
        <v/>
      </c>
      <c r="B7" s="17" t="str">
        <f t="shared" si="4"/>
        <v/>
      </c>
      <c r="C7" s="1" t="s">
        <v>1486</v>
      </c>
      <c r="D7" s="30" t="str">
        <f>IFERROR(__xludf.DUMMYFUNCTION("IFERROR(GOOGLEFINANCE(C7, ""NAME""))"),"CVS Health Corp")</f>
        <v>CVS Health Corp</v>
      </c>
      <c r="E7" s="30" t="s">
        <v>1479</v>
      </c>
      <c r="F7" s="33" t="str">
        <f>IFERROR(__xludf.DUMMYFUNCTION("( (GOOGLEFINANCE(C7, ""price"") - Q7) / Q7 ) / (R7 / 100)"),"Loading...")</f>
        <v>Loading...</v>
      </c>
      <c r="G7" s="20" t="str">
        <f>IFERROR(__xludf.DUMMYFUNCTION("AVERAGE(ARRAYFORMULA(100 * (QUERY(GOOGLEFINANCE(C7, ""high"", TODAY()-40, TODAY()), ""SELECT Col2 WHERE Col2 IS NOT NULL ORDER BY Col1 DESC LIMIT 20"", 0) / QUERY(GOOGLEFINANCE(C7, ""low"", TODAY()-40, TODAY()), ""SELECT Col2 WHERE Col2 IS NOT NULL ORDER "&amp;"BY Col1 DESC LIMIT 20"", 0) - 1)))"),"#N/A")</f>
        <v>#N/A</v>
      </c>
      <c r="H7" s="35" t="str">
        <f t="shared" si="6"/>
        <v/>
      </c>
      <c r="I7" s="36" t="str">
        <f t="shared" si="7"/>
        <v/>
      </c>
      <c r="J7" s="37" t="str">
        <f>IFERROR(__xludf.DUMMYFUNCTION("IFERROR(
  IF(C7="""",, 
    IFERROR(
      GOOGLEFINANCE(C7, ""price"") * GOOGLEFINANCE(C7, ""volumeavg""), 
      GOOGLEFINANCE(C7, ""price"") * AVERAGE(QUERY(GOOGLEFINANCE(C7, ""volume"", TODAY()-40, TODAY()), ""SELECT Col2 WHERE Col2 IS NOT NULL ORDER"&amp;" BY Col1 DESC LIMIT 20"", 0))
    )
  ), 
"""")"),"")</f>
        <v/>
      </c>
      <c r="K7" s="21" t="str">
        <f>IFERROR(__xludf.DUMMYFUNCTION("IFERROR(GOOGLEFINANCE(C7, ""changepct"") / 100, """")"),"")</f>
        <v/>
      </c>
      <c r="L7" s="21" t="str">
        <f>IFERROR(__xludf.DUMMYFUNCTION("IFERROR((GOOGLEFINANCE(C7, ""price"") / INDEX(GOOGLEFINANCE(C7, ""price"", TODAY()-7, TODAY()), 2, 2)) - 1, """")"),"")</f>
        <v/>
      </c>
      <c r="M7" s="21" t="str">
        <f>IFERROR(__xludf.DUMMYFUNCTION("IFERROR((GOOGLEFINANCE(C7, ""price"") / INDEX(GOOGLEFINANCE(C7, ""price"", EDATE(TODAY(), -1), TODAY()), 2, 2)) - 1, """")"),"")</f>
        <v/>
      </c>
      <c r="N7" s="21" t="str">
        <f>IFERROR(__xludf.DUMMYFUNCTION("IFERROR((GOOGLEFINANCE(C7, ""price"") / INDEX(GOOGLEFINANCE(C7, ""price"", EDATE(TODAY(), -3), TODAY()), 2, 2)) - 1, """")"),"")</f>
        <v/>
      </c>
      <c r="O7" s="21" t="str">
        <f>IFERROR(__xludf.DUMMYFUNCTION("IFERROR((GOOGLEFINANCE(C7, ""price"") / INDEX(GOOGLEFINANCE(C7, ""price"", EDATE(TODAY(), -6), TODAY()), 2, 2)) - 1, """")"),"")</f>
        <v/>
      </c>
      <c r="P7" s="21" t="str">
        <f>IFERROR(__xludf.DUMMYFUNCTION("IFERROR((GOOGLEFINANCE(C7, ""price"") / INDEX(GOOGLEFINANCE(C7, ""price"", EDATE(TODAY(), -12), TODAY()), 2, 2)) - 1, """")"),"")</f>
        <v/>
      </c>
      <c r="Q7" s="6" t="str">
        <f>IFERROR(__xludf.DUMMYFUNCTION("AVERAGE(QUERY(GOOGLEFINANCE(C7, ""price"", TODAY()-80, TODAY()), ""SELECT Col2 WHERE Col2 IS NOT NULL ORDER BY Col1 DESC LIMIT 50"", 0))"),"#N/A")</f>
        <v>#N/A</v>
      </c>
      <c r="R7" s="24" t="str">
        <f>IFERROR(__xludf.DUMMYFUNCTION("IFERROR(
  LET(
    data, QUERY(GOOGLEFINANCE(C7,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GOOGLEFINANCE(C7, ""price"")) * 100,
    IF(calc=0, G7, calc)
  ), 
G7)"),"#N/A")</f>
        <v>#N/A</v>
      </c>
      <c r="S7" s="8" t="s">
        <v>15</v>
      </c>
      <c r="T7" s="26" t="str">
        <f>IFERROR(__xludf.DUMMYFUNCTION("IFERROR(TRANSPOSE(QUERY(IFERROR(SORT(GOOGLEFINANCE(C7, ""price"", WORKDAY(TODAY(), -40), TODAY()), 1, FALSE)), ""select Col2 where Col2 is not null limit 22 label Col2 ''"", 0)), """")"),"")</f>
        <v/>
      </c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8"/>
      <c r="AO7" s="28"/>
      <c r="AP7" s="29"/>
      <c r="AQ7" s="29" t="str">
        <f t="shared" ref="AQ7:BL7" si="10">T7/T$2</f>
        <v>#N/A</v>
      </c>
      <c r="AR7" s="29" t="str">
        <f t="shared" si="10"/>
        <v>#DIV/0!</v>
      </c>
      <c r="AS7" s="29" t="str">
        <f t="shared" si="10"/>
        <v>#DIV/0!</v>
      </c>
      <c r="AT7" s="29" t="str">
        <f t="shared" si="10"/>
        <v>#DIV/0!</v>
      </c>
      <c r="AU7" s="29" t="str">
        <f t="shared" si="10"/>
        <v>#DIV/0!</v>
      </c>
      <c r="AV7" s="29" t="str">
        <f t="shared" si="10"/>
        <v>#DIV/0!</v>
      </c>
      <c r="AW7" s="29" t="str">
        <f t="shared" si="10"/>
        <v>#DIV/0!</v>
      </c>
      <c r="AX7" s="29" t="str">
        <f t="shared" si="10"/>
        <v>#DIV/0!</v>
      </c>
      <c r="AY7" s="29" t="str">
        <f t="shared" si="10"/>
        <v>#DIV/0!</v>
      </c>
      <c r="AZ7" s="29" t="str">
        <f t="shared" si="10"/>
        <v>#DIV/0!</v>
      </c>
      <c r="BA7" s="29" t="str">
        <f t="shared" si="10"/>
        <v>#DIV/0!</v>
      </c>
      <c r="BB7" s="29" t="str">
        <f t="shared" si="10"/>
        <v>#DIV/0!</v>
      </c>
      <c r="BC7" s="29" t="str">
        <f t="shared" si="10"/>
        <v>#DIV/0!</v>
      </c>
      <c r="BD7" s="29" t="str">
        <f t="shared" si="10"/>
        <v>#DIV/0!</v>
      </c>
      <c r="BE7" s="29" t="str">
        <f t="shared" si="10"/>
        <v>#DIV/0!</v>
      </c>
      <c r="BF7" s="29" t="str">
        <f t="shared" si="10"/>
        <v>#DIV/0!</v>
      </c>
      <c r="BG7" s="29" t="str">
        <f t="shared" si="10"/>
        <v>#DIV/0!</v>
      </c>
      <c r="BH7" s="29" t="str">
        <f t="shared" si="10"/>
        <v>#DIV/0!</v>
      </c>
      <c r="BI7" s="29" t="str">
        <f t="shared" si="10"/>
        <v>#DIV/0!</v>
      </c>
      <c r="BJ7" s="29" t="str">
        <f t="shared" si="10"/>
        <v>#DIV/0!</v>
      </c>
      <c r="BK7" s="29" t="str">
        <f t="shared" si="10"/>
        <v>#DIV/0!</v>
      </c>
      <c r="BL7" s="29" t="str">
        <f t="shared" si="10"/>
        <v>#DIV/0!</v>
      </c>
      <c r="BM7" s="29" t="str">
        <f t="shared" si="3"/>
        <v>#DIV/0!</v>
      </c>
    </row>
    <row r="8">
      <c r="A8" s="16" t="str">
        <f>IFERROR(__xludf.DUMMYFUNCTION("IFERROR(SPARKLINE(SORT(MAP(TRANSPOSE(AQ8:BL8), LAMBDA(val, IF(ISNUMBER(val), PERCENTRANK(AQ8:BL8, val)+0.01, 0))), SEQUENCE(COLUMNS(AQ8:BL8)), FALSE), {""charttype"",""column""; ""color"",""chartreuse""; ""ymin"", 0; ""ymax"", 1.01; ""highcolor"", ""darkg"&amp;"reen""; ""lowcolor"", ""red""}), """")"),"")</f>
        <v/>
      </c>
      <c r="B8" s="17" t="str">
        <f t="shared" si="4"/>
        <v/>
      </c>
      <c r="C8" s="1" t="s">
        <v>1490</v>
      </c>
      <c r="D8" s="30" t="str">
        <f>IFERROR(__xludf.DUMMYFUNCTION("IFERROR(GOOGLEFINANCE(C8, ""NAME""))"),"Novocure Ltd")</f>
        <v>Novocure Ltd</v>
      </c>
      <c r="E8" s="30" t="s">
        <v>1491</v>
      </c>
      <c r="F8" s="33" t="str">
        <f>IFERROR(__xludf.DUMMYFUNCTION("( (GOOGLEFINANCE(C8, ""price"") - Q8) / Q8 ) / (R8 / 100)"),"Loading...")</f>
        <v>Loading...</v>
      </c>
      <c r="G8" s="20" t="str">
        <f>IFERROR(__xludf.DUMMYFUNCTION("AVERAGE(ARRAYFORMULA(100 * (QUERY(GOOGLEFINANCE(C8, ""high"", TODAY()-40, TODAY()), ""SELECT Col2 WHERE Col2 IS NOT NULL ORDER BY Col1 DESC LIMIT 20"", 0) / QUERY(GOOGLEFINANCE(C8, ""low"", TODAY()-40, TODAY()), ""SELECT Col2 WHERE Col2 IS NOT NULL ORDER "&amp;"BY Col1 DESC LIMIT 20"", 0) - 1)))"),"#N/A")</f>
        <v>#N/A</v>
      </c>
      <c r="H8" s="35" t="str">
        <f t="shared" si="6"/>
        <v/>
      </c>
      <c r="I8" s="36" t="str">
        <f t="shared" si="7"/>
        <v/>
      </c>
      <c r="J8" s="37" t="str">
        <f>IFERROR(__xludf.DUMMYFUNCTION("IFERROR(
  IF(C8="""",, 
    IFERROR(
      GOOGLEFINANCE(C8, ""price"") * GOOGLEFINANCE(C8, ""volumeavg""), 
      GOOGLEFINANCE(C8, ""price"") * AVERAGE(QUERY(GOOGLEFINANCE(C8, ""volume"", TODAY()-40, TODAY()), ""SELECT Col2 WHERE Col2 IS NOT NULL ORDER"&amp;" BY Col1 DESC LIMIT 20"", 0))
    )
  ), 
"""")"),"")</f>
        <v/>
      </c>
      <c r="K8" s="21" t="str">
        <f>IFERROR(__xludf.DUMMYFUNCTION("IFERROR(GOOGLEFINANCE(C8, ""changepct"") / 100, """")"),"")</f>
        <v/>
      </c>
      <c r="L8" s="21" t="str">
        <f>IFERROR(__xludf.DUMMYFUNCTION("IFERROR((GOOGLEFINANCE(C8, ""price"") / INDEX(GOOGLEFINANCE(C8, ""price"", TODAY()-7, TODAY()), 2, 2)) - 1, """")"),"")</f>
        <v/>
      </c>
      <c r="M8" s="21" t="str">
        <f>IFERROR(__xludf.DUMMYFUNCTION("IFERROR((GOOGLEFINANCE(C8, ""price"") / INDEX(GOOGLEFINANCE(C8, ""price"", EDATE(TODAY(), -1), TODAY()), 2, 2)) - 1, """")"),"")</f>
        <v/>
      </c>
      <c r="N8" s="21" t="str">
        <f>IFERROR(__xludf.DUMMYFUNCTION("IFERROR((GOOGLEFINANCE(C8, ""price"") / INDEX(GOOGLEFINANCE(C8, ""price"", EDATE(TODAY(), -3), TODAY()), 2, 2)) - 1, """")"),"")</f>
        <v/>
      </c>
      <c r="O8" s="21" t="str">
        <f>IFERROR(__xludf.DUMMYFUNCTION("IFERROR((GOOGLEFINANCE(C8, ""price"") / INDEX(GOOGLEFINANCE(C8, ""price"", EDATE(TODAY(), -6), TODAY()), 2, 2)) - 1, """")"),"")</f>
        <v/>
      </c>
      <c r="P8" s="21" t="str">
        <f>IFERROR(__xludf.DUMMYFUNCTION("IFERROR((GOOGLEFINANCE(C8, ""price"") / INDEX(GOOGLEFINANCE(C8, ""price"", EDATE(TODAY(), -12), TODAY()), 2, 2)) - 1, """")"),"")</f>
        <v/>
      </c>
      <c r="Q8" s="6" t="str">
        <f>IFERROR(__xludf.DUMMYFUNCTION("AVERAGE(QUERY(GOOGLEFINANCE(C8, ""price"", TODAY()-80, TODAY()), ""SELECT Col2 WHERE Col2 IS NOT NULL ORDER BY Col1 DESC LIMIT 50"", 0))"),"#N/A")</f>
        <v>#N/A</v>
      </c>
      <c r="R8" s="24" t="str">
        <f>IFERROR(__xludf.DUMMYFUNCTION("IFERROR(
  LET(
    data, QUERY(GOOGLEFINANCE(C8,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GOOGLEFINANCE(C8, ""price"")) * 100,
    IF(calc=0, G8, calc)
  ), 
G8)"),"#N/A")</f>
        <v>#N/A</v>
      </c>
      <c r="S8" s="8" t="s">
        <v>15</v>
      </c>
      <c r="T8" s="26" t="str">
        <f>IFERROR(__xludf.DUMMYFUNCTION("IFERROR(TRANSPOSE(QUERY(IFERROR(SORT(GOOGLEFINANCE(C8, ""price"", WORKDAY(TODAY(), -40), TODAY()), 1, FALSE)), ""select Col2 where Col2 is not null limit 22 label Col2 ''"", 0)), """")"),"")</f>
        <v/>
      </c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8"/>
      <c r="AO8" s="28"/>
      <c r="AP8" s="29"/>
      <c r="AQ8" s="29" t="str">
        <f t="shared" ref="AQ8:BL8" si="11">T8/T$2</f>
        <v>#N/A</v>
      </c>
      <c r="AR8" s="29" t="str">
        <f t="shared" si="11"/>
        <v>#DIV/0!</v>
      </c>
      <c r="AS8" s="29" t="str">
        <f t="shared" si="11"/>
        <v>#DIV/0!</v>
      </c>
      <c r="AT8" s="29" t="str">
        <f t="shared" si="11"/>
        <v>#DIV/0!</v>
      </c>
      <c r="AU8" s="29" t="str">
        <f t="shared" si="11"/>
        <v>#DIV/0!</v>
      </c>
      <c r="AV8" s="29" t="str">
        <f t="shared" si="11"/>
        <v>#DIV/0!</v>
      </c>
      <c r="AW8" s="29" t="str">
        <f t="shared" si="11"/>
        <v>#DIV/0!</v>
      </c>
      <c r="AX8" s="29" t="str">
        <f t="shared" si="11"/>
        <v>#DIV/0!</v>
      </c>
      <c r="AY8" s="29" t="str">
        <f t="shared" si="11"/>
        <v>#DIV/0!</v>
      </c>
      <c r="AZ8" s="29" t="str">
        <f t="shared" si="11"/>
        <v>#DIV/0!</v>
      </c>
      <c r="BA8" s="29" t="str">
        <f t="shared" si="11"/>
        <v>#DIV/0!</v>
      </c>
      <c r="BB8" s="29" t="str">
        <f t="shared" si="11"/>
        <v>#DIV/0!</v>
      </c>
      <c r="BC8" s="29" t="str">
        <f t="shared" si="11"/>
        <v>#DIV/0!</v>
      </c>
      <c r="BD8" s="29" t="str">
        <f t="shared" si="11"/>
        <v>#DIV/0!</v>
      </c>
      <c r="BE8" s="29" t="str">
        <f t="shared" si="11"/>
        <v>#DIV/0!</v>
      </c>
      <c r="BF8" s="29" t="str">
        <f t="shared" si="11"/>
        <v>#DIV/0!</v>
      </c>
      <c r="BG8" s="29" t="str">
        <f t="shared" si="11"/>
        <v>#DIV/0!</v>
      </c>
      <c r="BH8" s="29" t="str">
        <f t="shared" si="11"/>
        <v>#DIV/0!</v>
      </c>
      <c r="BI8" s="29" t="str">
        <f t="shared" si="11"/>
        <v>#DIV/0!</v>
      </c>
      <c r="BJ8" s="29" t="str">
        <f t="shared" si="11"/>
        <v>#DIV/0!</v>
      </c>
      <c r="BK8" s="29" t="str">
        <f t="shared" si="11"/>
        <v>#DIV/0!</v>
      </c>
      <c r="BL8" s="29" t="str">
        <f t="shared" si="11"/>
        <v>#DIV/0!</v>
      </c>
      <c r="BM8" s="29" t="str">
        <f t="shared" si="3"/>
        <v>#DIV/0!</v>
      </c>
    </row>
    <row r="9">
      <c r="A9" s="16" t="str">
        <f>IFERROR(__xludf.DUMMYFUNCTION("IFERROR(SPARKLINE(SORT(MAP(TRANSPOSE(AQ9:BL9), LAMBDA(val, IF(ISNUMBER(val), PERCENTRANK(AQ9:BL9, val)+0.01, 0))), SEQUENCE(COLUMNS(AQ9:BL9)), FALSE), {""charttype"",""column""; ""color"",""chartreuse""; ""ymin"", 0; ""ymax"", 1.01; ""highcolor"", ""darkg"&amp;"reen""; ""lowcolor"", ""red""}), """")"),"")</f>
        <v/>
      </c>
      <c r="B9" s="17" t="str">
        <f t="shared" si="4"/>
        <v/>
      </c>
      <c r="C9" s="1" t="s">
        <v>1495</v>
      </c>
      <c r="D9" s="30" t="str">
        <f>IFERROR(__xludf.DUMMYFUNCTION("IFERROR(GOOGLEFINANCE(C9, ""NAME""))"),"Clover Health Investments Corp")</f>
        <v>Clover Health Investments Corp</v>
      </c>
      <c r="E9" s="30" t="s">
        <v>1479</v>
      </c>
      <c r="F9" s="38" t="str">
        <f>IFERROR(__xludf.DUMMYFUNCTION("( (GOOGLEFINANCE(C9, ""price"") - Q9) / Q9 ) / (R9 / 100)"),"Loading...")</f>
        <v>Loading...</v>
      </c>
      <c r="G9" s="20" t="str">
        <f>IFERROR(__xludf.DUMMYFUNCTION("AVERAGE(ARRAYFORMULA(100 * (QUERY(GOOGLEFINANCE(C9, ""high"", TODAY()-40, TODAY()), ""SELECT Col2 WHERE Col2 IS NOT NULL ORDER BY Col1 DESC LIMIT 20"", 0) / QUERY(GOOGLEFINANCE(C9, ""low"", TODAY()-40, TODAY()), ""SELECT Col2 WHERE Col2 IS NOT NULL ORDER "&amp;"BY Col1 DESC LIMIT 20"", 0) - 1)))"),"#N/A")</f>
        <v>#N/A</v>
      </c>
      <c r="H9" s="35" t="str">
        <f t="shared" si="6"/>
        <v/>
      </c>
      <c r="I9" s="36" t="str">
        <f t="shared" si="7"/>
        <v/>
      </c>
      <c r="J9" s="37" t="str">
        <f>IFERROR(__xludf.DUMMYFUNCTION("IFERROR(
  IF(C9="""",, 
    IFERROR(
      GOOGLEFINANCE(C9, ""price"") * GOOGLEFINANCE(C9, ""volumeavg""), 
      GOOGLEFINANCE(C9, ""price"") * AVERAGE(QUERY(GOOGLEFINANCE(C9, ""volume"", TODAY()-40, TODAY()), ""SELECT Col2 WHERE Col2 IS NOT NULL ORDER"&amp;" BY Col1 DESC LIMIT 20"", 0))
    )
  ), 
"""")"),"")</f>
        <v/>
      </c>
      <c r="K9" s="21" t="str">
        <f>IFERROR(__xludf.DUMMYFUNCTION("IFERROR(GOOGLEFINANCE(C9, ""changepct"") / 100, """")"),"")</f>
        <v/>
      </c>
      <c r="L9" s="21" t="str">
        <f>IFERROR(__xludf.DUMMYFUNCTION("IFERROR((GOOGLEFINANCE(C9, ""price"") / INDEX(GOOGLEFINANCE(C9, ""price"", TODAY()-7, TODAY()), 2, 2)) - 1, """")"),"")</f>
        <v/>
      </c>
      <c r="M9" s="21" t="str">
        <f>IFERROR(__xludf.DUMMYFUNCTION("IFERROR((GOOGLEFINANCE(C9, ""price"") / INDEX(GOOGLEFINANCE(C9, ""price"", EDATE(TODAY(), -1), TODAY()), 2, 2)) - 1, """")"),"")</f>
        <v/>
      </c>
      <c r="N9" s="21" t="str">
        <f>IFERROR(__xludf.DUMMYFUNCTION("IFERROR((GOOGLEFINANCE(C9, ""price"") / INDEX(GOOGLEFINANCE(C9, ""price"", EDATE(TODAY(), -3), TODAY()), 2, 2)) - 1, """")"),"")</f>
        <v/>
      </c>
      <c r="O9" s="21" t="str">
        <f>IFERROR(__xludf.DUMMYFUNCTION("IFERROR((GOOGLEFINANCE(C9, ""price"") / INDEX(GOOGLEFINANCE(C9, ""price"", EDATE(TODAY(), -6), TODAY()), 2, 2)) - 1, """")"),"")</f>
        <v/>
      </c>
      <c r="P9" s="21" t="str">
        <f>IFERROR(__xludf.DUMMYFUNCTION("IFERROR((GOOGLEFINANCE(C9, ""price"") / INDEX(GOOGLEFINANCE(C9, ""price"", EDATE(TODAY(), -12), TODAY()), 2, 2)) - 1, """")"),"")</f>
        <v/>
      </c>
      <c r="Q9" s="6" t="str">
        <f>IFERROR(__xludf.DUMMYFUNCTION("AVERAGE(QUERY(GOOGLEFINANCE(C9, ""price"", TODAY()-80, TODAY()), ""SELECT Col2 WHERE Col2 IS NOT NULL ORDER BY Col1 DESC LIMIT 50"", 0))"),"#N/A")</f>
        <v>#N/A</v>
      </c>
      <c r="R9" s="24" t="str">
        <f>IFERROR(__xludf.DUMMYFUNCTION("IFERROR(
  LET(
    data, QUERY(GOOGLEFINANCE(C9,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GOOGLEFINANCE(C9, ""price"")) * 100,
    IF(calc=0, G9, calc)
  ), 
G9)"),"#N/A")</f>
        <v>#N/A</v>
      </c>
      <c r="S9" s="8" t="s">
        <v>15</v>
      </c>
      <c r="T9" s="26" t="str">
        <f>IFERROR(__xludf.DUMMYFUNCTION("IFERROR(TRANSPOSE(QUERY(IFERROR(SORT(GOOGLEFINANCE(C9, ""price"", WORKDAY(TODAY(), -40), TODAY()), 1, FALSE)), ""select Col2 where Col2 is not null limit 22 label Col2 ''"", 0)), """")"),"")</f>
        <v/>
      </c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8"/>
      <c r="AO9" s="28"/>
      <c r="AP9" s="29"/>
      <c r="AQ9" s="29" t="str">
        <f t="shared" ref="AQ9:BL9" si="12">T9/T$2</f>
        <v>#N/A</v>
      </c>
      <c r="AR9" s="29" t="str">
        <f t="shared" si="12"/>
        <v>#DIV/0!</v>
      </c>
      <c r="AS9" s="29" t="str">
        <f t="shared" si="12"/>
        <v>#DIV/0!</v>
      </c>
      <c r="AT9" s="29" t="str">
        <f t="shared" si="12"/>
        <v>#DIV/0!</v>
      </c>
      <c r="AU9" s="29" t="str">
        <f t="shared" si="12"/>
        <v>#DIV/0!</v>
      </c>
      <c r="AV9" s="29" t="str">
        <f t="shared" si="12"/>
        <v>#DIV/0!</v>
      </c>
      <c r="AW9" s="29" t="str">
        <f t="shared" si="12"/>
        <v>#DIV/0!</v>
      </c>
      <c r="AX9" s="29" t="str">
        <f t="shared" si="12"/>
        <v>#DIV/0!</v>
      </c>
      <c r="AY9" s="29" t="str">
        <f t="shared" si="12"/>
        <v>#DIV/0!</v>
      </c>
      <c r="AZ9" s="29" t="str">
        <f t="shared" si="12"/>
        <v>#DIV/0!</v>
      </c>
      <c r="BA9" s="29" t="str">
        <f t="shared" si="12"/>
        <v>#DIV/0!</v>
      </c>
      <c r="BB9" s="29" t="str">
        <f t="shared" si="12"/>
        <v>#DIV/0!</v>
      </c>
      <c r="BC9" s="29" t="str">
        <f t="shared" si="12"/>
        <v>#DIV/0!</v>
      </c>
      <c r="BD9" s="29" t="str">
        <f t="shared" si="12"/>
        <v>#DIV/0!</v>
      </c>
      <c r="BE9" s="29" t="str">
        <f t="shared" si="12"/>
        <v>#DIV/0!</v>
      </c>
      <c r="BF9" s="29" t="str">
        <f t="shared" si="12"/>
        <v>#DIV/0!</v>
      </c>
      <c r="BG9" s="29" t="str">
        <f t="shared" si="12"/>
        <v>#DIV/0!</v>
      </c>
      <c r="BH9" s="29" t="str">
        <f t="shared" si="12"/>
        <v>#DIV/0!</v>
      </c>
      <c r="BI9" s="29" t="str">
        <f t="shared" si="12"/>
        <v>#DIV/0!</v>
      </c>
      <c r="BJ9" s="29" t="str">
        <f t="shared" si="12"/>
        <v>#DIV/0!</v>
      </c>
      <c r="BK9" s="29" t="str">
        <f t="shared" si="12"/>
        <v>#DIV/0!</v>
      </c>
      <c r="BL9" s="29" t="str">
        <f t="shared" si="12"/>
        <v>#DIV/0!</v>
      </c>
      <c r="BM9" s="29" t="str">
        <f t="shared" si="3"/>
        <v>#DIV/0!</v>
      </c>
    </row>
    <row r="10">
      <c r="A10" s="16" t="str">
        <f>IFERROR(__xludf.DUMMYFUNCTION("IFERROR(SPARKLINE(SORT(MAP(TRANSPOSE(AQ10:BL10), LAMBDA(val, IF(ISNUMBER(val), PERCENTRANK(AQ10:BL10, val)+0.01, 0))), SEQUENCE(COLUMNS(AQ10:BL10)), FALSE), {""charttype"",""column""; ""color"",""chartreuse""; ""ymin"", 0; ""ymax"", 1.01; ""highcolor"", "&amp;"""darkgreen""; ""lowcolor"", ""red""}), """")"),"")</f>
        <v/>
      </c>
      <c r="B10" s="17" t="str">
        <f t="shared" si="4"/>
        <v/>
      </c>
      <c r="C10" s="1" t="s">
        <v>1498</v>
      </c>
      <c r="D10" s="30" t="str">
        <f>IFERROR(__xludf.DUMMYFUNCTION("IFERROR(GOOGLEFINANCE(C10, ""NAME""))"),"Guardant Health Inc")</f>
        <v>Guardant Health Inc</v>
      </c>
      <c r="E10" s="30" t="s">
        <v>1499</v>
      </c>
      <c r="F10" s="33" t="str">
        <f>IFERROR(__xludf.DUMMYFUNCTION("( (GOOGLEFINANCE(C10, ""price"") - Q10) / Q10 ) / (R10 / 100)"),"Loading...")</f>
        <v>Loading...</v>
      </c>
      <c r="G10" s="20" t="str">
        <f>IFERROR(__xludf.DUMMYFUNCTION("AVERAGE(ARRAYFORMULA(100 * (QUERY(GOOGLEFINANCE(C10, ""high"", TODAY()-40, TODAY()), ""SELECT Col2 WHERE Col2 IS NOT NULL ORDER BY Col1 DESC LIMIT 20"", 0) / QUERY(GOOGLEFINANCE(C10, ""low"", TODAY()-40, TODAY()), ""SELECT Col2 WHERE Col2 IS NOT NULL ORDE"&amp;"R BY Col1 DESC LIMIT 20"", 0) - 1)))"),"#N/A")</f>
        <v>#N/A</v>
      </c>
      <c r="H10" s="35" t="str">
        <f t="shared" si="6"/>
        <v/>
      </c>
      <c r="I10" s="36" t="str">
        <f t="shared" si="7"/>
        <v/>
      </c>
      <c r="J10" s="37" t="str">
        <f>IFERROR(__xludf.DUMMYFUNCTION("IFERROR(
  IF(C10="""",, 
    IFERROR(
      GOOGLEFINANCE(C10, ""price"") * GOOGLEFINANCE(C10, ""volumeavg""), 
      GOOGLEFINANCE(C10, ""price"") * AVERAGE(QUERY(GOOGLEFINANCE(C10, ""volume"", TODAY()-40, TODAY()), ""SELECT Col2 WHERE Col2 IS NOT NULL "&amp;"ORDER BY Col1 DESC LIMIT 20"", 0))
    )
  ), 
"""")"),"")</f>
        <v/>
      </c>
      <c r="K10" s="21" t="str">
        <f>IFERROR(__xludf.DUMMYFUNCTION("IFERROR(GOOGLEFINANCE(C10, ""changepct"") / 100, """")"),"")</f>
        <v/>
      </c>
      <c r="L10" s="21" t="str">
        <f>IFERROR(__xludf.DUMMYFUNCTION("IFERROR((GOOGLEFINANCE(C10, ""price"") / INDEX(GOOGLEFINANCE(C10, ""price"", TODAY()-7, TODAY()), 2, 2)) - 1, """")"),"")</f>
        <v/>
      </c>
      <c r="M10" s="21" t="str">
        <f>IFERROR(__xludf.DUMMYFUNCTION("IFERROR((GOOGLEFINANCE(C10, ""price"") / INDEX(GOOGLEFINANCE(C10, ""price"", EDATE(TODAY(), -1), TODAY()), 2, 2)) - 1, """")"),"")</f>
        <v/>
      </c>
      <c r="N10" s="21" t="str">
        <f>IFERROR(__xludf.DUMMYFUNCTION("IFERROR((GOOGLEFINANCE(C10, ""price"") / INDEX(GOOGLEFINANCE(C10, ""price"", EDATE(TODAY(), -3), TODAY()), 2, 2)) - 1, """")"),"")</f>
        <v/>
      </c>
      <c r="O10" s="21" t="str">
        <f>IFERROR(__xludf.DUMMYFUNCTION("IFERROR((GOOGLEFINANCE(C10, ""price"") / INDEX(GOOGLEFINANCE(C10, ""price"", EDATE(TODAY(), -6), TODAY()), 2, 2)) - 1, """")"),"")</f>
        <v/>
      </c>
      <c r="P10" s="21" t="str">
        <f>IFERROR(__xludf.DUMMYFUNCTION("IFERROR((GOOGLEFINANCE(C10, ""price"") / INDEX(GOOGLEFINANCE(C10, ""price"", EDATE(TODAY(), -12), TODAY()), 2, 2)) - 1, """")"),"")</f>
        <v/>
      </c>
      <c r="Q10" s="6" t="str">
        <f>IFERROR(__xludf.DUMMYFUNCTION("AVERAGE(QUERY(GOOGLEFINANCE(C10, ""price"", TODAY()-80, TODAY()), ""SELECT Col2 WHERE Col2 IS NOT NULL ORDER BY Col1 DESC LIMIT 50"", 0))"),"#N/A")</f>
        <v>#N/A</v>
      </c>
      <c r="R10" s="24" t="str">
        <f>IFERROR(__xludf.DUMMYFUNCTION("IFERROR(
  LET(
    data, QUERY(GOOGLEFINANCE(C10,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GOOGLEFINANCE(C10, ""price"")) * 100,
    IF(calc=0, G10, calc)
  ), 
G10)"),"#N/A")</f>
        <v>#N/A</v>
      </c>
      <c r="S10" s="8" t="s">
        <v>15</v>
      </c>
      <c r="T10" s="26" t="str">
        <f>IFERROR(__xludf.DUMMYFUNCTION("IFERROR(TRANSPOSE(QUERY(IFERROR(SORT(GOOGLEFINANCE(C10, ""price"", WORKDAY(TODAY(), -40), TODAY()), 1, FALSE)), ""select Col2 where Col2 is not null limit 22 label Col2 ''"", 0)), """")"),"")</f>
        <v/>
      </c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8"/>
      <c r="AO10" s="28"/>
      <c r="AP10" s="29"/>
      <c r="AQ10" s="29" t="str">
        <f t="shared" ref="AQ10:BL10" si="13">T10/T$2</f>
        <v>#N/A</v>
      </c>
      <c r="AR10" s="29" t="str">
        <f t="shared" si="13"/>
        <v>#DIV/0!</v>
      </c>
      <c r="AS10" s="29" t="str">
        <f t="shared" si="13"/>
        <v>#DIV/0!</v>
      </c>
      <c r="AT10" s="29" t="str">
        <f t="shared" si="13"/>
        <v>#DIV/0!</v>
      </c>
      <c r="AU10" s="29" t="str">
        <f t="shared" si="13"/>
        <v>#DIV/0!</v>
      </c>
      <c r="AV10" s="29" t="str">
        <f t="shared" si="13"/>
        <v>#DIV/0!</v>
      </c>
      <c r="AW10" s="29" t="str">
        <f t="shared" si="13"/>
        <v>#DIV/0!</v>
      </c>
      <c r="AX10" s="29" t="str">
        <f t="shared" si="13"/>
        <v>#DIV/0!</v>
      </c>
      <c r="AY10" s="29" t="str">
        <f t="shared" si="13"/>
        <v>#DIV/0!</v>
      </c>
      <c r="AZ10" s="29" t="str">
        <f t="shared" si="13"/>
        <v>#DIV/0!</v>
      </c>
      <c r="BA10" s="29" t="str">
        <f t="shared" si="13"/>
        <v>#DIV/0!</v>
      </c>
      <c r="BB10" s="29" t="str">
        <f t="shared" si="13"/>
        <v>#DIV/0!</v>
      </c>
      <c r="BC10" s="29" t="str">
        <f t="shared" si="13"/>
        <v>#DIV/0!</v>
      </c>
      <c r="BD10" s="29" t="str">
        <f t="shared" si="13"/>
        <v>#DIV/0!</v>
      </c>
      <c r="BE10" s="29" t="str">
        <f t="shared" si="13"/>
        <v>#DIV/0!</v>
      </c>
      <c r="BF10" s="29" t="str">
        <f t="shared" si="13"/>
        <v>#DIV/0!</v>
      </c>
      <c r="BG10" s="29" t="str">
        <f t="shared" si="13"/>
        <v>#DIV/0!</v>
      </c>
      <c r="BH10" s="29" t="str">
        <f t="shared" si="13"/>
        <v>#DIV/0!</v>
      </c>
      <c r="BI10" s="29" t="str">
        <f t="shared" si="13"/>
        <v>#DIV/0!</v>
      </c>
      <c r="BJ10" s="29" t="str">
        <f t="shared" si="13"/>
        <v>#DIV/0!</v>
      </c>
      <c r="BK10" s="29" t="str">
        <f t="shared" si="13"/>
        <v>#DIV/0!</v>
      </c>
      <c r="BL10" s="29" t="str">
        <f t="shared" si="13"/>
        <v>#DIV/0!</v>
      </c>
      <c r="BM10" s="29" t="str">
        <f t="shared" si="3"/>
        <v>#DIV/0!</v>
      </c>
    </row>
    <row r="11">
      <c r="A11" s="16" t="str">
        <f>IFERROR(__xludf.DUMMYFUNCTION("IFERROR(SPARKLINE(SORT(MAP(TRANSPOSE(AQ11:BL11), LAMBDA(val, IF(ISNUMBER(val), PERCENTRANK(AQ11:BL11, val)+0.01, 0))), SEQUENCE(COLUMNS(AQ11:BL11)), FALSE), {""charttype"",""column""; ""color"",""chartreuse""; ""ymin"", 0; ""ymax"", 1.01; ""highcolor"", "&amp;"""darkgreen""; ""lowcolor"", ""red""}), """")"),"")</f>
        <v/>
      </c>
      <c r="B11" s="17" t="str">
        <f t="shared" si="4"/>
        <v/>
      </c>
      <c r="C11" s="1" t="s">
        <v>1501</v>
      </c>
      <c r="D11" s="30" t="str">
        <f>IFERROR(__xludf.DUMMYFUNCTION("IFERROR(GOOGLEFINANCE(C11, ""NAME""))"),"Solventum Corp")</f>
        <v>Solventum Corp</v>
      </c>
      <c r="E11" s="30" t="s">
        <v>1502</v>
      </c>
      <c r="F11" s="33" t="str">
        <f>IFERROR(__xludf.DUMMYFUNCTION("( (GOOGLEFINANCE(C11, ""price"") - Q11) / Q11 ) / (R11 / 100)"),"Loading...")</f>
        <v>Loading...</v>
      </c>
      <c r="G11" s="20" t="str">
        <f>IFERROR(__xludf.DUMMYFUNCTION("AVERAGE(ARRAYFORMULA(100 * (QUERY(GOOGLEFINANCE(C11, ""high"", TODAY()-40, TODAY()), ""SELECT Col2 WHERE Col2 IS NOT NULL ORDER BY Col1 DESC LIMIT 20"", 0) / QUERY(GOOGLEFINANCE(C11, ""low"", TODAY()-40, TODAY()), ""SELECT Col2 WHERE Col2 IS NOT NULL ORDE"&amp;"R BY Col1 DESC LIMIT 20"", 0) - 1)))"),"#N/A")</f>
        <v>#N/A</v>
      </c>
      <c r="H11" s="35" t="str">
        <f t="shared" si="6"/>
        <v/>
      </c>
      <c r="I11" s="36" t="str">
        <f t="shared" si="7"/>
        <v/>
      </c>
      <c r="J11" s="37" t="str">
        <f>IFERROR(__xludf.DUMMYFUNCTION("IFERROR(
  IF(C11="""",, 
    IFERROR(
      GOOGLEFINANCE(C11, ""price"") * GOOGLEFINANCE(C11, ""volumeavg""), 
      GOOGLEFINANCE(C11, ""price"") * AVERAGE(QUERY(GOOGLEFINANCE(C11, ""volume"", TODAY()-40, TODAY()), ""SELECT Col2 WHERE Col2 IS NOT NULL "&amp;"ORDER BY Col1 DESC LIMIT 20"", 0))
    )
  ), 
"""")"),"")</f>
        <v/>
      </c>
      <c r="K11" s="21" t="str">
        <f>IFERROR(__xludf.DUMMYFUNCTION("IFERROR(GOOGLEFINANCE(C11, ""changepct"") / 100, """")"),"")</f>
        <v/>
      </c>
      <c r="L11" s="21" t="str">
        <f>IFERROR(__xludf.DUMMYFUNCTION("IFERROR((GOOGLEFINANCE(C11, ""price"") / INDEX(GOOGLEFINANCE(C11, ""price"", TODAY()-7, TODAY()), 2, 2)) - 1, """")"),"")</f>
        <v/>
      </c>
      <c r="M11" s="21" t="str">
        <f>IFERROR(__xludf.DUMMYFUNCTION("IFERROR((GOOGLEFINANCE(C11, ""price"") / INDEX(GOOGLEFINANCE(C11, ""price"", EDATE(TODAY(), -1), TODAY()), 2, 2)) - 1, """")"),"")</f>
        <v/>
      </c>
      <c r="N11" s="21" t="str">
        <f>IFERROR(__xludf.DUMMYFUNCTION("IFERROR((GOOGLEFINANCE(C11, ""price"") / INDEX(GOOGLEFINANCE(C11, ""price"", EDATE(TODAY(), -3), TODAY()), 2, 2)) - 1, """")"),"")</f>
        <v/>
      </c>
      <c r="O11" s="21" t="str">
        <f>IFERROR(__xludf.DUMMYFUNCTION("IFERROR((GOOGLEFINANCE(C11, ""price"") / INDEX(GOOGLEFINANCE(C11, ""price"", EDATE(TODAY(), -6), TODAY()), 2, 2)) - 1, """")"),"")</f>
        <v/>
      </c>
      <c r="P11" s="21" t="str">
        <f>IFERROR(__xludf.DUMMYFUNCTION("IFERROR((GOOGLEFINANCE(C11, ""price"") / INDEX(GOOGLEFINANCE(C11, ""price"", EDATE(TODAY(), -12), TODAY()), 2, 2)) - 1, """")"),"")</f>
        <v/>
      </c>
      <c r="Q11" s="6" t="str">
        <f>IFERROR(__xludf.DUMMYFUNCTION("AVERAGE(QUERY(GOOGLEFINANCE(C11, ""price"", TODAY()-80, TODAY()), ""SELECT Col2 WHERE Col2 IS NOT NULL ORDER BY Col1 DESC LIMIT 50"", 0))"),"#N/A")</f>
        <v>#N/A</v>
      </c>
      <c r="R11" s="24" t="str">
        <f>IFERROR(__xludf.DUMMYFUNCTION("IFERROR(
  LET(
    data, QUERY(GOOGLEFINANCE(C11,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GOOGLEFINANCE(C11, ""price"")) * 100,
    IF(calc=0, G11, calc)
  ), 
G11)"),"#N/A")</f>
        <v>#N/A</v>
      </c>
      <c r="S11" s="8" t="s">
        <v>15</v>
      </c>
      <c r="T11" s="26" t="str">
        <f>IFERROR(__xludf.DUMMYFUNCTION("IFERROR(TRANSPOSE(QUERY(IFERROR(SORT(GOOGLEFINANCE(C11, ""price"", WORKDAY(TODAY(), -40), TODAY()), 1, FALSE)), ""select Col2 where Col2 is not null limit 22 label Col2 ''"", 0)), """")"),"")</f>
        <v/>
      </c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8"/>
      <c r="AO11" s="28"/>
      <c r="AP11" s="29"/>
      <c r="AQ11" s="29" t="str">
        <f t="shared" ref="AQ11:BL11" si="14">T11/T$2</f>
        <v>#N/A</v>
      </c>
      <c r="AR11" s="29" t="str">
        <f t="shared" si="14"/>
        <v>#DIV/0!</v>
      </c>
      <c r="AS11" s="29" t="str">
        <f t="shared" si="14"/>
        <v>#DIV/0!</v>
      </c>
      <c r="AT11" s="29" t="str">
        <f t="shared" si="14"/>
        <v>#DIV/0!</v>
      </c>
      <c r="AU11" s="29" t="str">
        <f t="shared" si="14"/>
        <v>#DIV/0!</v>
      </c>
      <c r="AV11" s="29" t="str">
        <f t="shared" si="14"/>
        <v>#DIV/0!</v>
      </c>
      <c r="AW11" s="29" t="str">
        <f t="shared" si="14"/>
        <v>#DIV/0!</v>
      </c>
      <c r="AX11" s="29" t="str">
        <f t="shared" si="14"/>
        <v>#DIV/0!</v>
      </c>
      <c r="AY11" s="29" t="str">
        <f t="shared" si="14"/>
        <v>#DIV/0!</v>
      </c>
      <c r="AZ11" s="29" t="str">
        <f t="shared" si="14"/>
        <v>#DIV/0!</v>
      </c>
      <c r="BA11" s="29" t="str">
        <f t="shared" si="14"/>
        <v>#DIV/0!</v>
      </c>
      <c r="BB11" s="29" t="str">
        <f t="shared" si="14"/>
        <v>#DIV/0!</v>
      </c>
      <c r="BC11" s="29" t="str">
        <f t="shared" si="14"/>
        <v>#DIV/0!</v>
      </c>
      <c r="BD11" s="29" t="str">
        <f t="shared" si="14"/>
        <v>#DIV/0!</v>
      </c>
      <c r="BE11" s="29" t="str">
        <f t="shared" si="14"/>
        <v>#DIV/0!</v>
      </c>
      <c r="BF11" s="29" t="str">
        <f t="shared" si="14"/>
        <v>#DIV/0!</v>
      </c>
      <c r="BG11" s="29" t="str">
        <f t="shared" si="14"/>
        <v>#DIV/0!</v>
      </c>
      <c r="BH11" s="29" t="str">
        <f t="shared" si="14"/>
        <v>#DIV/0!</v>
      </c>
      <c r="BI11" s="29" t="str">
        <f t="shared" si="14"/>
        <v>#DIV/0!</v>
      </c>
      <c r="BJ11" s="29" t="str">
        <f t="shared" si="14"/>
        <v>#DIV/0!</v>
      </c>
      <c r="BK11" s="29" t="str">
        <f t="shared" si="14"/>
        <v>#DIV/0!</v>
      </c>
      <c r="BL11" s="29" t="str">
        <f t="shared" si="14"/>
        <v>#DIV/0!</v>
      </c>
      <c r="BM11" s="29" t="str">
        <f t="shared" si="3"/>
        <v>#DIV/0!</v>
      </c>
    </row>
    <row r="12">
      <c r="A12" s="16" t="str">
        <f>IFERROR(__xludf.DUMMYFUNCTION("IFERROR(SPARKLINE(SORT(MAP(TRANSPOSE(AQ12:BL12), LAMBDA(val, IF(ISNUMBER(val), PERCENTRANK(AQ12:BL12, val)+0.01, 0))), SEQUENCE(COLUMNS(AQ12:BL12)), FALSE), {""charttype"",""column""; ""color"",""chartreuse""; ""ymin"", 0; ""ymax"", 1.01; ""highcolor"", "&amp;"""darkgreen""; ""lowcolor"", ""red""}), """")"),"")</f>
        <v/>
      </c>
      <c r="B12" s="17" t="str">
        <f t="shared" si="4"/>
        <v/>
      </c>
      <c r="C12" s="1" t="s">
        <v>1505</v>
      </c>
      <c r="D12" s="30" t="str">
        <f>IFERROR(__xludf.DUMMYFUNCTION("IFERROR(GOOGLEFINANCE(C12, ""NAME""))"),"Lantheus Holdings Inc")</f>
        <v>Lantheus Holdings Inc</v>
      </c>
      <c r="E12" s="30" t="s">
        <v>1475</v>
      </c>
      <c r="F12" s="33" t="str">
        <f>IFERROR(__xludf.DUMMYFUNCTION("( (GOOGLEFINANCE(C12, ""price"") - Q12) / Q12 ) / (R12 / 100)"),"Loading...")</f>
        <v>Loading...</v>
      </c>
      <c r="G12" s="20" t="str">
        <f>IFERROR(__xludf.DUMMYFUNCTION("AVERAGE(ARRAYFORMULA(100 * (QUERY(GOOGLEFINANCE(C12, ""high"", TODAY()-40, TODAY()), ""SELECT Col2 WHERE Col2 IS NOT NULL ORDER BY Col1 DESC LIMIT 20"", 0) / QUERY(GOOGLEFINANCE(C12, ""low"", TODAY()-40, TODAY()), ""SELECT Col2 WHERE Col2 IS NOT NULL ORDE"&amp;"R BY Col1 DESC LIMIT 20"", 0) - 1)))"),"#N/A")</f>
        <v>#N/A</v>
      </c>
      <c r="H12" s="35" t="str">
        <f t="shared" si="6"/>
        <v/>
      </c>
      <c r="I12" s="36" t="str">
        <f t="shared" si="7"/>
        <v/>
      </c>
      <c r="J12" s="37" t="str">
        <f>IFERROR(__xludf.DUMMYFUNCTION("IFERROR(
  IF(C12="""",, 
    IFERROR(
      GOOGLEFINANCE(C12, ""price"") * GOOGLEFINANCE(C12, ""volumeavg""), 
      GOOGLEFINANCE(C12, ""price"") * AVERAGE(QUERY(GOOGLEFINANCE(C12, ""volume"", TODAY()-40, TODAY()), ""SELECT Col2 WHERE Col2 IS NOT NULL "&amp;"ORDER BY Col1 DESC LIMIT 20"", 0))
    )
  ), 
"""")"),"")</f>
        <v/>
      </c>
      <c r="K12" s="21" t="str">
        <f>IFERROR(__xludf.DUMMYFUNCTION("IFERROR(GOOGLEFINANCE(C12, ""changepct"") / 100, """")"),"")</f>
        <v/>
      </c>
      <c r="L12" s="21" t="str">
        <f>IFERROR(__xludf.DUMMYFUNCTION("IFERROR((GOOGLEFINANCE(C12, ""price"") / INDEX(GOOGLEFINANCE(C12, ""price"", TODAY()-7, TODAY()), 2, 2)) - 1, """")"),"")</f>
        <v/>
      </c>
      <c r="M12" s="21" t="str">
        <f>IFERROR(__xludf.DUMMYFUNCTION("IFERROR((GOOGLEFINANCE(C12, ""price"") / INDEX(GOOGLEFINANCE(C12, ""price"", EDATE(TODAY(), -1), TODAY()), 2, 2)) - 1, """")"),"")</f>
        <v/>
      </c>
      <c r="N12" s="21" t="str">
        <f>IFERROR(__xludf.DUMMYFUNCTION("IFERROR((GOOGLEFINANCE(C12, ""price"") / INDEX(GOOGLEFINANCE(C12, ""price"", EDATE(TODAY(), -3), TODAY()), 2, 2)) - 1, """")"),"")</f>
        <v/>
      </c>
      <c r="O12" s="21" t="str">
        <f>IFERROR(__xludf.DUMMYFUNCTION("IFERROR((GOOGLEFINANCE(C12, ""price"") / INDEX(GOOGLEFINANCE(C12, ""price"", EDATE(TODAY(), -6), TODAY()), 2, 2)) - 1, """")"),"")</f>
        <v/>
      </c>
      <c r="P12" s="21" t="str">
        <f>IFERROR(__xludf.DUMMYFUNCTION("IFERROR((GOOGLEFINANCE(C12, ""price"") / INDEX(GOOGLEFINANCE(C12, ""price"", EDATE(TODAY(), -12), TODAY()), 2, 2)) - 1, """")"),"")</f>
        <v/>
      </c>
      <c r="Q12" s="6" t="str">
        <f>IFERROR(__xludf.DUMMYFUNCTION("AVERAGE(QUERY(GOOGLEFINANCE(C12, ""price"", TODAY()-80, TODAY()), ""SELECT Col2 WHERE Col2 IS NOT NULL ORDER BY Col1 DESC LIMIT 50"", 0))"),"#N/A")</f>
        <v>#N/A</v>
      </c>
      <c r="R12" s="24" t="str">
        <f>IFERROR(__xludf.DUMMYFUNCTION("IFERROR(
  LET(
    data, QUERY(GOOGLEFINANCE(C12,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GOOGLEFINANCE(C12, ""price"")) * 100,
    IF(calc=0, G12, calc)
  ), 
G12)"),"#N/A")</f>
        <v>#N/A</v>
      </c>
      <c r="S12" s="8" t="s">
        <v>15</v>
      </c>
      <c r="T12" s="26" t="str">
        <f>IFERROR(__xludf.DUMMYFUNCTION("IFERROR(TRANSPOSE(QUERY(IFERROR(SORT(GOOGLEFINANCE(C12, ""price"", WORKDAY(TODAY(), -40), TODAY()), 1, FALSE)), ""select Col2 where Col2 is not null limit 22 label Col2 ''"", 0)), """")"),"")</f>
        <v/>
      </c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8"/>
      <c r="AO12" s="28"/>
      <c r="AP12" s="29"/>
      <c r="AQ12" s="29" t="str">
        <f t="shared" ref="AQ12:BL12" si="15">T12/T$2</f>
        <v>#N/A</v>
      </c>
      <c r="AR12" s="29" t="str">
        <f t="shared" si="15"/>
        <v>#DIV/0!</v>
      </c>
      <c r="AS12" s="29" t="str">
        <f t="shared" si="15"/>
        <v>#DIV/0!</v>
      </c>
      <c r="AT12" s="29" t="str">
        <f t="shared" si="15"/>
        <v>#DIV/0!</v>
      </c>
      <c r="AU12" s="29" t="str">
        <f t="shared" si="15"/>
        <v>#DIV/0!</v>
      </c>
      <c r="AV12" s="29" t="str">
        <f t="shared" si="15"/>
        <v>#DIV/0!</v>
      </c>
      <c r="AW12" s="29" t="str">
        <f t="shared" si="15"/>
        <v>#DIV/0!</v>
      </c>
      <c r="AX12" s="29" t="str">
        <f t="shared" si="15"/>
        <v>#DIV/0!</v>
      </c>
      <c r="AY12" s="29" t="str">
        <f t="shared" si="15"/>
        <v>#DIV/0!</v>
      </c>
      <c r="AZ12" s="29" t="str">
        <f t="shared" si="15"/>
        <v>#DIV/0!</v>
      </c>
      <c r="BA12" s="29" t="str">
        <f t="shared" si="15"/>
        <v>#DIV/0!</v>
      </c>
      <c r="BB12" s="29" t="str">
        <f t="shared" si="15"/>
        <v>#DIV/0!</v>
      </c>
      <c r="BC12" s="29" t="str">
        <f t="shared" si="15"/>
        <v>#DIV/0!</v>
      </c>
      <c r="BD12" s="29" t="str">
        <f t="shared" si="15"/>
        <v>#DIV/0!</v>
      </c>
      <c r="BE12" s="29" t="str">
        <f t="shared" si="15"/>
        <v>#DIV/0!</v>
      </c>
      <c r="BF12" s="29" t="str">
        <f t="shared" si="15"/>
        <v>#DIV/0!</v>
      </c>
      <c r="BG12" s="29" t="str">
        <f t="shared" si="15"/>
        <v>#DIV/0!</v>
      </c>
      <c r="BH12" s="29" t="str">
        <f t="shared" si="15"/>
        <v>#DIV/0!</v>
      </c>
      <c r="BI12" s="29" t="str">
        <f t="shared" si="15"/>
        <v>#DIV/0!</v>
      </c>
      <c r="BJ12" s="29" t="str">
        <f t="shared" si="15"/>
        <v>#DIV/0!</v>
      </c>
      <c r="BK12" s="29" t="str">
        <f t="shared" si="15"/>
        <v>#DIV/0!</v>
      </c>
      <c r="BL12" s="29" t="str">
        <f t="shared" si="15"/>
        <v>#DIV/0!</v>
      </c>
      <c r="BM12" s="29" t="str">
        <f t="shared" si="3"/>
        <v>#DIV/0!</v>
      </c>
    </row>
    <row r="13">
      <c r="A13" s="16" t="str">
        <f>IFERROR(__xludf.DUMMYFUNCTION("IFERROR(SPARKLINE(SORT(MAP(TRANSPOSE(AQ13:BL13), LAMBDA(val, IF(ISNUMBER(val), PERCENTRANK(AQ13:BL13, val)+0.01, 0))), SEQUENCE(COLUMNS(AQ13:BL13)), FALSE), {""charttype"",""column""; ""color"",""chartreuse""; ""ymin"", 0; ""ymax"", 1.01; ""highcolor"", "&amp;"""darkgreen""; ""lowcolor"", ""red""}), """")"),"")</f>
        <v/>
      </c>
      <c r="B13" s="17" t="str">
        <f t="shared" si="4"/>
        <v/>
      </c>
      <c r="C13" s="1" t="s">
        <v>1508</v>
      </c>
      <c r="D13" s="30" t="str">
        <f>IFERROR(__xludf.DUMMYFUNCTION("IFERROR(GOOGLEFINANCE(C13, ""NAME""))"),"Novo Nordisk A/S")</f>
        <v>Novo Nordisk A/S</v>
      </c>
      <c r="E13" s="30" t="s">
        <v>1509</v>
      </c>
      <c r="F13" s="33" t="str">
        <f>IFERROR(__xludf.DUMMYFUNCTION("( (GOOGLEFINANCE(C13, ""price"") - Q13) / Q13 ) / (R13 / 100)"),"Loading...")</f>
        <v>Loading...</v>
      </c>
      <c r="G13" s="20" t="str">
        <f>IFERROR(__xludf.DUMMYFUNCTION("AVERAGE(ARRAYFORMULA(100 * (QUERY(GOOGLEFINANCE(C13, ""high"", TODAY()-40, TODAY()), ""SELECT Col2 WHERE Col2 IS NOT NULL ORDER BY Col1 DESC LIMIT 20"", 0) / QUERY(GOOGLEFINANCE(C13, ""low"", TODAY()-40, TODAY()), ""SELECT Col2 WHERE Col2 IS NOT NULL ORDE"&amp;"R BY Col1 DESC LIMIT 20"", 0) - 1)))"),"#N/A")</f>
        <v>#N/A</v>
      </c>
      <c r="H13" s="35" t="str">
        <f t="shared" si="6"/>
        <v/>
      </c>
      <c r="I13" s="36" t="str">
        <f t="shared" si="7"/>
        <v/>
      </c>
      <c r="J13" s="37" t="str">
        <f>IFERROR(__xludf.DUMMYFUNCTION("IFERROR(
  IF(C13="""",, 
    IFERROR(
      GOOGLEFINANCE(C13, ""price"") * GOOGLEFINANCE(C13, ""volumeavg""), 
      GOOGLEFINANCE(C13, ""price"") * AVERAGE(QUERY(GOOGLEFINANCE(C13, ""volume"", TODAY()-40, TODAY()), ""SELECT Col2 WHERE Col2 IS NOT NULL "&amp;"ORDER BY Col1 DESC LIMIT 20"", 0))
    )
  ), 
"""")"),"")</f>
        <v/>
      </c>
      <c r="K13" s="21" t="str">
        <f>IFERROR(__xludf.DUMMYFUNCTION("IFERROR(GOOGLEFINANCE(C13, ""changepct"") / 100, """")"),"")</f>
        <v/>
      </c>
      <c r="L13" s="21" t="str">
        <f>IFERROR(__xludf.DUMMYFUNCTION("IFERROR((GOOGLEFINANCE(C13, ""price"") / INDEX(GOOGLEFINANCE(C13, ""price"", TODAY()-7, TODAY()), 2, 2)) - 1, """")"),"")</f>
        <v/>
      </c>
      <c r="M13" s="21" t="str">
        <f>IFERROR(__xludf.DUMMYFUNCTION("IFERROR((GOOGLEFINANCE(C13, ""price"") / INDEX(GOOGLEFINANCE(C13, ""price"", EDATE(TODAY(), -1), TODAY()), 2, 2)) - 1, """")"),"")</f>
        <v/>
      </c>
      <c r="N13" s="21" t="str">
        <f>IFERROR(__xludf.DUMMYFUNCTION("IFERROR((GOOGLEFINANCE(C13, ""price"") / INDEX(GOOGLEFINANCE(C13, ""price"", EDATE(TODAY(), -3), TODAY()), 2, 2)) - 1, """")"),"")</f>
        <v/>
      </c>
      <c r="O13" s="21" t="str">
        <f>IFERROR(__xludf.DUMMYFUNCTION("IFERROR((GOOGLEFINANCE(C13, ""price"") / INDEX(GOOGLEFINANCE(C13, ""price"", EDATE(TODAY(), -6), TODAY()), 2, 2)) - 1, """")"),"")</f>
        <v/>
      </c>
      <c r="P13" s="21" t="str">
        <f>IFERROR(__xludf.DUMMYFUNCTION("IFERROR((GOOGLEFINANCE(C13, ""price"") / INDEX(GOOGLEFINANCE(C13, ""price"", EDATE(TODAY(), -12), TODAY()), 2, 2)) - 1, """")"),"")</f>
        <v/>
      </c>
      <c r="Q13" s="6" t="str">
        <f>IFERROR(__xludf.DUMMYFUNCTION("AVERAGE(QUERY(GOOGLEFINANCE(C13, ""price"", TODAY()-80, TODAY()), ""SELECT Col2 WHERE Col2 IS NOT NULL ORDER BY Col1 DESC LIMIT 50"", 0))"),"#N/A")</f>
        <v>#N/A</v>
      </c>
      <c r="R13" s="24" t="str">
        <f>IFERROR(__xludf.DUMMYFUNCTION("IFERROR(
  LET(
    data, QUERY(GOOGLEFINANCE(C13,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GOOGLEFINANCE(C13, ""price"")) * 100,
    IF(calc=0, G13, calc)
  ), 
G13)"),"#N/A")</f>
        <v>#N/A</v>
      </c>
      <c r="S13" s="8" t="s">
        <v>15</v>
      </c>
      <c r="T13" s="26" t="str">
        <f>IFERROR(__xludf.DUMMYFUNCTION("IFERROR(TRANSPOSE(QUERY(IFERROR(SORT(GOOGLEFINANCE(C13, ""price"", WORKDAY(TODAY(), -40), TODAY()), 1, FALSE)), ""select Col2 where Col2 is not null limit 22 label Col2 ''"", 0)), """")"),"")</f>
        <v/>
      </c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8"/>
      <c r="AO13" s="28"/>
      <c r="AP13" s="29"/>
      <c r="AQ13" s="29" t="str">
        <f t="shared" ref="AQ13:BL13" si="16">T13/T$2</f>
        <v>#N/A</v>
      </c>
      <c r="AR13" s="29" t="str">
        <f t="shared" si="16"/>
        <v>#DIV/0!</v>
      </c>
      <c r="AS13" s="29" t="str">
        <f t="shared" si="16"/>
        <v>#DIV/0!</v>
      </c>
      <c r="AT13" s="29" t="str">
        <f t="shared" si="16"/>
        <v>#DIV/0!</v>
      </c>
      <c r="AU13" s="29" t="str">
        <f t="shared" si="16"/>
        <v>#DIV/0!</v>
      </c>
      <c r="AV13" s="29" t="str">
        <f t="shared" si="16"/>
        <v>#DIV/0!</v>
      </c>
      <c r="AW13" s="29" t="str">
        <f t="shared" si="16"/>
        <v>#DIV/0!</v>
      </c>
      <c r="AX13" s="29" t="str">
        <f t="shared" si="16"/>
        <v>#DIV/0!</v>
      </c>
      <c r="AY13" s="29" t="str">
        <f t="shared" si="16"/>
        <v>#DIV/0!</v>
      </c>
      <c r="AZ13" s="29" t="str">
        <f t="shared" si="16"/>
        <v>#DIV/0!</v>
      </c>
      <c r="BA13" s="29" t="str">
        <f t="shared" si="16"/>
        <v>#DIV/0!</v>
      </c>
      <c r="BB13" s="29" t="str">
        <f t="shared" si="16"/>
        <v>#DIV/0!</v>
      </c>
      <c r="BC13" s="29" t="str">
        <f t="shared" si="16"/>
        <v>#DIV/0!</v>
      </c>
      <c r="BD13" s="29" t="str">
        <f t="shared" si="16"/>
        <v>#DIV/0!</v>
      </c>
      <c r="BE13" s="29" t="str">
        <f t="shared" si="16"/>
        <v>#DIV/0!</v>
      </c>
      <c r="BF13" s="29" t="str">
        <f t="shared" si="16"/>
        <v>#DIV/0!</v>
      </c>
      <c r="BG13" s="29" t="str">
        <f t="shared" si="16"/>
        <v>#DIV/0!</v>
      </c>
      <c r="BH13" s="29" t="str">
        <f t="shared" si="16"/>
        <v>#DIV/0!</v>
      </c>
      <c r="BI13" s="29" t="str">
        <f t="shared" si="16"/>
        <v>#DIV/0!</v>
      </c>
      <c r="BJ13" s="29" t="str">
        <f t="shared" si="16"/>
        <v>#DIV/0!</v>
      </c>
      <c r="BK13" s="29" t="str">
        <f t="shared" si="16"/>
        <v>#DIV/0!</v>
      </c>
      <c r="BL13" s="29" t="str">
        <f t="shared" si="16"/>
        <v>#DIV/0!</v>
      </c>
      <c r="BM13" s="29" t="str">
        <f t="shared" si="3"/>
        <v>#DIV/0!</v>
      </c>
    </row>
    <row r="14">
      <c r="A14" s="16" t="str">
        <f>IFERROR(__xludf.DUMMYFUNCTION("IFERROR(SPARKLINE(SORT(MAP(TRANSPOSE(AQ14:BL14), LAMBDA(val, IF(ISNUMBER(val), PERCENTRANK(AQ14:BL14, val)+0.01, 0))), SEQUENCE(COLUMNS(AQ14:BL14)), FALSE), {""charttype"",""column""; ""color"",""chartreuse""; ""ymin"", 0; ""ymax"", 1.01; ""highcolor"", "&amp;"""darkgreen""; ""lowcolor"", ""red""}), """")"),"")</f>
        <v/>
      </c>
      <c r="B14" s="17" t="str">
        <f t="shared" si="4"/>
        <v/>
      </c>
      <c r="C14" s="1" t="s">
        <v>1512</v>
      </c>
      <c r="D14" s="30" t="str">
        <f>IFERROR(__xludf.DUMMYFUNCTION("IFERROR(GOOGLEFINANCE(C14, ""NAME""))"),"National Healthcare Corp")</f>
        <v>National Healthcare Corp</v>
      </c>
      <c r="E14" s="30" t="s">
        <v>1513</v>
      </c>
      <c r="F14" s="33" t="str">
        <f>IFERROR(__xludf.DUMMYFUNCTION("( (GOOGLEFINANCE(C14, ""price"") - Q14) / Q14 ) / (R14 / 100)"),"Loading...")</f>
        <v>Loading...</v>
      </c>
      <c r="G14" s="20" t="str">
        <f>IFERROR(__xludf.DUMMYFUNCTION("AVERAGE(ARRAYFORMULA(100 * (QUERY(GOOGLEFINANCE(C14, ""high"", TODAY()-40, TODAY()), ""SELECT Col2 WHERE Col2 IS NOT NULL ORDER BY Col1 DESC LIMIT 20"", 0) / QUERY(GOOGLEFINANCE(C14, ""low"", TODAY()-40, TODAY()), ""SELECT Col2 WHERE Col2 IS NOT NULL ORDE"&amp;"R BY Col1 DESC LIMIT 20"", 0) - 1)))"),"#N/A")</f>
        <v>#N/A</v>
      </c>
      <c r="H14" s="35" t="str">
        <f t="shared" si="6"/>
        <v/>
      </c>
      <c r="I14" s="36" t="str">
        <f t="shared" si="7"/>
        <v/>
      </c>
      <c r="J14" s="37" t="str">
        <f>IFERROR(__xludf.DUMMYFUNCTION("IFERROR(
  IF(C14="""",, 
    IFERROR(
      GOOGLEFINANCE(C14, ""price"") * GOOGLEFINANCE(C14, ""volumeavg""), 
      GOOGLEFINANCE(C14, ""price"") * AVERAGE(QUERY(GOOGLEFINANCE(C14, ""volume"", TODAY()-40, TODAY()), ""SELECT Col2 WHERE Col2 IS NOT NULL "&amp;"ORDER BY Col1 DESC LIMIT 20"", 0))
    )
  ), 
"""")"),"")</f>
        <v/>
      </c>
      <c r="K14" s="21" t="str">
        <f>IFERROR(__xludf.DUMMYFUNCTION("IFERROR(GOOGLEFINANCE(C14, ""changepct"") / 100, """")"),"")</f>
        <v/>
      </c>
      <c r="L14" s="21" t="str">
        <f>IFERROR(__xludf.DUMMYFUNCTION("IFERROR((GOOGLEFINANCE(C14, ""price"") / INDEX(GOOGLEFINANCE(C14, ""price"", TODAY()-7, TODAY()), 2, 2)) - 1, """")"),"")</f>
        <v/>
      </c>
      <c r="M14" s="21" t="str">
        <f>IFERROR(__xludf.DUMMYFUNCTION("IFERROR((GOOGLEFINANCE(C14, ""price"") / INDEX(GOOGLEFINANCE(C14, ""price"", EDATE(TODAY(), -1), TODAY()), 2, 2)) - 1, """")"),"")</f>
        <v/>
      </c>
      <c r="N14" s="21" t="str">
        <f>IFERROR(__xludf.DUMMYFUNCTION("IFERROR((GOOGLEFINANCE(C14, ""price"") / INDEX(GOOGLEFINANCE(C14, ""price"", EDATE(TODAY(), -3), TODAY()), 2, 2)) - 1, """")"),"")</f>
        <v/>
      </c>
      <c r="O14" s="21" t="str">
        <f>IFERROR(__xludf.DUMMYFUNCTION("IFERROR((GOOGLEFINANCE(C14, ""price"") / INDEX(GOOGLEFINANCE(C14, ""price"", EDATE(TODAY(), -6), TODAY()), 2, 2)) - 1, """")"),"")</f>
        <v/>
      </c>
      <c r="P14" s="21" t="str">
        <f>IFERROR(__xludf.DUMMYFUNCTION("IFERROR((GOOGLEFINANCE(C14, ""price"") / INDEX(GOOGLEFINANCE(C14, ""price"", EDATE(TODAY(), -12), TODAY()), 2, 2)) - 1, """")"),"")</f>
        <v/>
      </c>
      <c r="Q14" s="6" t="str">
        <f>IFERROR(__xludf.DUMMYFUNCTION("AVERAGE(QUERY(GOOGLEFINANCE(C14, ""price"", TODAY()-80, TODAY()), ""SELECT Col2 WHERE Col2 IS NOT NULL ORDER BY Col1 DESC LIMIT 50"", 0))"),"#N/A")</f>
        <v>#N/A</v>
      </c>
      <c r="R14" s="24" t="str">
        <f>IFERROR(__xludf.DUMMYFUNCTION("IFERROR(
  LET(
    data, QUERY(GOOGLEFINANCE(C14,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GOOGLEFINANCE(C14, ""price"")) * 100,
    IF(calc=0, G14, calc)
  ), 
G14)"),"#N/A")</f>
        <v>#N/A</v>
      </c>
      <c r="S14" s="8" t="s">
        <v>15</v>
      </c>
      <c r="T14" s="26" t="str">
        <f>IFERROR(__xludf.DUMMYFUNCTION("IFERROR(TRANSPOSE(QUERY(IFERROR(SORT(GOOGLEFINANCE(C14, ""price"", WORKDAY(TODAY(), -40), TODAY()), 1, FALSE)), ""select Col2 where Col2 is not null limit 22 label Col2 ''"", 0)), """")"),"")</f>
        <v/>
      </c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8"/>
      <c r="AO14" s="28"/>
      <c r="AP14" s="29"/>
      <c r="AQ14" s="29" t="str">
        <f t="shared" ref="AQ14:BL14" si="17">T14/T$2</f>
        <v>#N/A</v>
      </c>
      <c r="AR14" s="29" t="str">
        <f t="shared" si="17"/>
        <v>#DIV/0!</v>
      </c>
      <c r="AS14" s="29" t="str">
        <f t="shared" si="17"/>
        <v>#DIV/0!</v>
      </c>
      <c r="AT14" s="29" t="str">
        <f t="shared" si="17"/>
        <v>#DIV/0!</v>
      </c>
      <c r="AU14" s="29" t="str">
        <f t="shared" si="17"/>
        <v>#DIV/0!</v>
      </c>
      <c r="AV14" s="29" t="str">
        <f t="shared" si="17"/>
        <v>#DIV/0!</v>
      </c>
      <c r="AW14" s="29" t="str">
        <f t="shared" si="17"/>
        <v>#DIV/0!</v>
      </c>
      <c r="AX14" s="29" t="str">
        <f t="shared" si="17"/>
        <v>#DIV/0!</v>
      </c>
      <c r="AY14" s="29" t="str">
        <f t="shared" si="17"/>
        <v>#DIV/0!</v>
      </c>
      <c r="AZ14" s="29" t="str">
        <f t="shared" si="17"/>
        <v>#DIV/0!</v>
      </c>
      <c r="BA14" s="29" t="str">
        <f t="shared" si="17"/>
        <v>#DIV/0!</v>
      </c>
      <c r="BB14" s="29" t="str">
        <f t="shared" si="17"/>
        <v>#DIV/0!</v>
      </c>
      <c r="BC14" s="29" t="str">
        <f t="shared" si="17"/>
        <v>#DIV/0!</v>
      </c>
      <c r="BD14" s="29" t="str">
        <f t="shared" si="17"/>
        <v>#DIV/0!</v>
      </c>
      <c r="BE14" s="29" t="str">
        <f t="shared" si="17"/>
        <v>#DIV/0!</v>
      </c>
      <c r="BF14" s="29" t="str">
        <f t="shared" si="17"/>
        <v>#DIV/0!</v>
      </c>
      <c r="BG14" s="29" t="str">
        <f t="shared" si="17"/>
        <v>#DIV/0!</v>
      </c>
      <c r="BH14" s="29" t="str">
        <f t="shared" si="17"/>
        <v>#DIV/0!</v>
      </c>
      <c r="BI14" s="29" t="str">
        <f t="shared" si="17"/>
        <v>#DIV/0!</v>
      </c>
      <c r="BJ14" s="29" t="str">
        <f t="shared" si="17"/>
        <v>#DIV/0!</v>
      </c>
      <c r="BK14" s="29" t="str">
        <f t="shared" si="17"/>
        <v>#DIV/0!</v>
      </c>
      <c r="BL14" s="29" t="str">
        <f t="shared" si="17"/>
        <v>#DIV/0!</v>
      </c>
      <c r="BM14" s="29" t="str">
        <f t="shared" si="3"/>
        <v>#DIV/0!</v>
      </c>
    </row>
    <row r="15">
      <c r="A15" s="16" t="str">
        <f>IFERROR(__xludf.DUMMYFUNCTION("IFERROR(SPARKLINE(SORT(MAP(TRANSPOSE(AQ15:BL15), LAMBDA(val, IF(ISNUMBER(val), PERCENTRANK(AQ15:BL15, val)+0.01, 0))), SEQUENCE(COLUMNS(AQ15:BL15)), FALSE), {""charttype"",""column""; ""color"",""chartreuse""; ""ymin"", 0; ""ymax"", 1.01; ""highcolor"", "&amp;"""darkgreen""; ""lowcolor"", ""red""}), """")"),"")</f>
        <v/>
      </c>
      <c r="B15" s="17" t="str">
        <f t="shared" si="4"/>
        <v/>
      </c>
      <c r="C15" s="1" t="s">
        <v>1516</v>
      </c>
      <c r="D15" s="30" t="str">
        <f>IFERROR(__xludf.DUMMYFUNCTION("IFERROR(GOOGLEFINANCE(C15, ""NAME""))"),"Concentra Group Holdings Parent Inc")</f>
        <v>Concentra Group Holdings Parent Inc</v>
      </c>
      <c r="E15" s="30" t="s">
        <v>1513</v>
      </c>
      <c r="F15" s="33" t="str">
        <f>IFERROR(__xludf.DUMMYFUNCTION("( (GOOGLEFINANCE(C15, ""price"") - Q15) / Q15 ) / (R15 / 100)"),"Loading...")</f>
        <v>Loading...</v>
      </c>
      <c r="G15" s="20" t="str">
        <f>IFERROR(__xludf.DUMMYFUNCTION("AVERAGE(ARRAYFORMULA(100 * (QUERY(GOOGLEFINANCE(C15, ""high"", TODAY()-40, TODAY()), ""SELECT Col2 WHERE Col2 IS NOT NULL ORDER BY Col1 DESC LIMIT 20"", 0) / QUERY(GOOGLEFINANCE(C15, ""low"", TODAY()-40, TODAY()), ""SELECT Col2 WHERE Col2 IS NOT NULL ORDE"&amp;"R BY Col1 DESC LIMIT 20"", 0) - 1)))"),"#N/A")</f>
        <v>#N/A</v>
      </c>
      <c r="H15" s="35" t="str">
        <f t="shared" si="6"/>
        <v/>
      </c>
      <c r="I15" s="36" t="str">
        <f t="shared" si="7"/>
        <v/>
      </c>
      <c r="J15" s="37" t="str">
        <f>IFERROR(__xludf.DUMMYFUNCTION("IFERROR(
  IF(C15="""",, 
    IFERROR(
      GOOGLEFINANCE(C15, ""price"") * GOOGLEFINANCE(C15, ""volumeavg""), 
      GOOGLEFINANCE(C15, ""price"") * AVERAGE(QUERY(GOOGLEFINANCE(C15, ""volume"", TODAY()-40, TODAY()), ""SELECT Col2 WHERE Col2 IS NOT NULL "&amp;"ORDER BY Col1 DESC LIMIT 20"", 0))
    )
  ), 
"""")"),"")</f>
        <v/>
      </c>
      <c r="K15" s="21" t="str">
        <f>IFERROR(__xludf.DUMMYFUNCTION("IFERROR(GOOGLEFINANCE(C15, ""changepct"") / 100, """")"),"")</f>
        <v/>
      </c>
      <c r="L15" s="21" t="str">
        <f>IFERROR(__xludf.DUMMYFUNCTION("IFERROR((GOOGLEFINANCE(C15, ""price"") / INDEX(GOOGLEFINANCE(C15, ""price"", TODAY()-7, TODAY()), 2, 2)) - 1, """")"),"")</f>
        <v/>
      </c>
      <c r="M15" s="21" t="str">
        <f>IFERROR(__xludf.DUMMYFUNCTION("IFERROR((GOOGLEFINANCE(C15, ""price"") / INDEX(GOOGLEFINANCE(C15, ""price"", EDATE(TODAY(), -1), TODAY()), 2, 2)) - 1, """")"),"")</f>
        <v/>
      </c>
      <c r="N15" s="21" t="str">
        <f>IFERROR(__xludf.DUMMYFUNCTION("IFERROR((GOOGLEFINANCE(C15, ""price"") / INDEX(GOOGLEFINANCE(C15, ""price"", EDATE(TODAY(), -3), TODAY()), 2, 2)) - 1, """")"),"")</f>
        <v/>
      </c>
      <c r="O15" s="21" t="str">
        <f>IFERROR(__xludf.DUMMYFUNCTION("IFERROR((GOOGLEFINANCE(C15, ""price"") / INDEX(GOOGLEFINANCE(C15, ""price"", EDATE(TODAY(), -6), TODAY()), 2, 2)) - 1, """")"),"")</f>
        <v/>
      </c>
      <c r="P15" s="21" t="str">
        <f>IFERROR(__xludf.DUMMYFUNCTION("IFERROR((GOOGLEFINANCE(C15, ""price"") / INDEX(GOOGLEFINANCE(C15, ""price"", EDATE(TODAY(), -12), TODAY()), 2, 2)) - 1, """")"),"")</f>
        <v/>
      </c>
      <c r="Q15" s="6" t="str">
        <f>IFERROR(__xludf.DUMMYFUNCTION("AVERAGE(QUERY(GOOGLEFINANCE(C15, ""price"", TODAY()-80, TODAY()), ""SELECT Col2 WHERE Col2 IS NOT NULL ORDER BY Col1 DESC LIMIT 50"", 0))"),"#N/A")</f>
        <v>#N/A</v>
      </c>
      <c r="R15" s="24" t="str">
        <f>IFERROR(__xludf.DUMMYFUNCTION("IFERROR(
  LET(
    data, QUERY(GOOGLEFINANCE(C15,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GOOGLEFINANCE(C15, ""price"")) * 100,
    IF(calc=0, G15, calc)
  ), 
G15)"),"#N/A")</f>
        <v>#N/A</v>
      </c>
      <c r="S15" s="8" t="s">
        <v>15</v>
      </c>
      <c r="T15" s="26" t="str">
        <f>IFERROR(__xludf.DUMMYFUNCTION("IFERROR(TRANSPOSE(QUERY(IFERROR(SORT(GOOGLEFINANCE(C15, ""price"", WORKDAY(TODAY(), -40), TODAY()), 1, FALSE)), ""select Col2 where Col2 is not null limit 22 label Col2 ''"", 0)), """")"),"")</f>
        <v/>
      </c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8"/>
      <c r="AO15" s="28"/>
      <c r="AP15" s="29"/>
      <c r="AQ15" s="29" t="str">
        <f t="shared" ref="AQ15:BL15" si="18">T15/T$2</f>
        <v>#N/A</v>
      </c>
      <c r="AR15" s="29" t="str">
        <f t="shared" si="18"/>
        <v>#DIV/0!</v>
      </c>
      <c r="AS15" s="29" t="str">
        <f t="shared" si="18"/>
        <v>#DIV/0!</v>
      </c>
      <c r="AT15" s="29" t="str">
        <f t="shared" si="18"/>
        <v>#DIV/0!</v>
      </c>
      <c r="AU15" s="29" t="str">
        <f t="shared" si="18"/>
        <v>#DIV/0!</v>
      </c>
      <c r="AV15" s="29" t="str">
        <f t="shared" si="18"/>
        <v>#DIV/0!</v>
      </c>
      <c r="AW15" s="29" t="str">
        <f t="shared" si="18"/>
        <v>#DIV/0!</v>
      </c>
      <c r="AX15" s="29" t="str">
        <f t="shared" si="18"/>
        <v>#DIV/0!</v>
      </c>
      <c r="AY15" s="29" t="str">
        <f t="shared" si="18"/>
        <v>#DIV/0!</v>
      </c>
      <c r="AZ15" s="29" t="str">
        <f t="shared" si="18"/>
        <v>#DIV/0!</v>
      </c>
      <c r="BA15" s="29" t="str">
        <f t="shared" si="18"/>
        <v>#DIV/0!</v>
      </c>
      <c r="BB15" s="29" t="str">
        <f t="shared" si="18"/>
        <v>#DIV/0!</v>
      </c>
      <c r="BC15" s="29" t="str">
        <f t="shared" si="18"/>
        <v>#DIV/0!</v>
      </c>
      <c r="BD15" s="29" t="str">
        <f t="shared" si="18"/>
        <v>#DIV/0!</v>
      </c>
      <c r="BE15" s="29" t="str">
        <f t="shared" si="18"/>
        <v>#DIV/0!</v>
      </c>
      <c r="BF15" s="29" t="str">
        <f t="shared" si="18"/>
        <v>#DIV/0!</v>
      </c>
      <c r="BG15" s="29" t="str">
        <f t="shared" si="18"/>
        <v>#DIV/0!</v>
      </c>
      <c r="BH15" s="29" t="str">
        <f t="shared" si="18"/>
        <v>#DIV/0!</v>
      </c>
      <c r="BI15" s="29" t="str">
        <f t="shared" si="18"/>
        <v>#DIV/0!</v>
      </c>
      <c r="BJ15" s="29" t="str">
        <f t="shared" si="18"/>
        <v>#DIV/0!</v>
      </c>
      <c r="BK15" s="29" t="str">
        <f t="shared" si="18"/>
        <v>#DIV/0!</v>
      </c>
      <c r="BL15" s="29" t="str">
        <f t="shared" si="18"/>
        <v>#DIV/0!</v>
      </c>
      <c r="BM15" s="29" t="str">
        <f t="shared" si="3"/>
        <v>#DIV/0!</v>
      </c>
    </row>
    <row r="16">
      <c r="A16" s="16" t="str">
        <f>IFERROR(__xludf.DUMMYFUNCTION("IFERROR(SPARKLINE(SORT(MAP(TRANSPOSE(AQ16:BL16), LAMBDA(val, IF(ISNUMBER(val), PERCENTRANK(AQ16:BL16, val)+0.01, 0))), SEQUENCE(COLUMNS(AQ16:BL16)), FALSE), {""charttype"",""column""; ""color"",""chartreuse""; ""ymin"", 0; ""ymax"", 1.01; ""highcolor"", "&amp;"""darkgreen""; ""lowcolor"", ""red""}), """")"),"")</f>
        <v/>
      </c>
      <c r="B16" s="17" t="str">
        <f t="shared" si="4"/>
        <v/>
      </c>
      <c r="C16" s="1" t="s">
        <v>1520</v>
      </c>
      <c r="D16" s="30" t="str">
        <f>IFERROR(__xludf.DUMMYFUNCTION("IFERROR(GOOGLEFINANCE(C16, ""NAME""))"),"Davita Inc")</f>
        <v>Davita Inc</v>
      </c>
      <c r="E16" s="30" t="s">
        <v>1513</v>
      </c>
      <c r="F16" s="33" t="str">
        <f>IFERROR(__xludf.DUMMYFUNCTION("( (GOOGLEFINANCE(C16, ""price"") - Q16) / Q16 ) / (R16 / 100)"),"Loading...")</f>
        <v>Loading...</v>
      </c>
      <c r="G16" s="20" t="str">
        <f>IFERROR(__xludf.DUMMYFUNCTION("AVERAGE(ARRAYFORMULA(100 * (QUERY(GOOGLEFINANCE(C16, ""high"", TODAY()-40, TODAY()), ""SELECT Col2 WHERE Col2 IS NOT NULL ORDER BY Col1 DESC LIMIT 20"", 0) / QUERY(GOOGLEFINANCE(C16, ""low"", TODAY()-40, TODAY()), ""SELECT Col2 WHERE Col2 IS NOT NULL ORDE"&amp;"R BY Col1 DESC LIMIT 20"", 0) - 1)))"),"#N/A")</f>
        <v>#N/A</v>
      </c>
      <c r="H16" s="35" t="str">
        <f t="shared" si="6"/>
        <v/>
      </c>
      <c r="I16" s="36" t="str">
        <f t="shared" si="7"/>
        <v/>
      </c>
      <c r="J16" s="37" t="str">
        <f>IFERROR(__xludf.DUMMYFUNCTION("IFERROR(
  IF(C16="""",, 
    IFERROR(
      GOOGLEFINANCE(C16, ""price"") * GOOGLEFINANCE(C16, ""volumeavg""), 
      GOOGLEFINANCE(C16, ""price"") * AVERAGE(QUERY(GOOGLEFINANCE(C16, ""volume"", TODAY()-40, TODAY()), ""SELECT Col2 WHERE Col2 IS NOT NULL "&amp;"ORDER BY Col1 DESC LIMIT 20"", 0))
    )
  ), 
"""")"),"")</f>
        <v/>
      </c>
      <c r="K16" s="21" t="str">
        <f>IFERROR(__xludf.DUMMYFUNCTION("IFERROR(GOOGLEFINANCE(C16, ""changepct"") / 100, """")"),"")</f>
        <v/>
      </c>
      <c r="L16" s="21" t="str">
        <f>IFERROR(__xludf.DUMMYFUNCTION("IFERROR((GOOGLEFINANCE(C16, ""price"") / INDEX(GOOGLEFINANCE(C16, ""price"", TODAY()-7, TODAY()), 2, 2)) - 1, """")"),"")</f>
        <v/>
      </c>
      <c r="M16" s="21" t="str">
        <f>IFERROR(__xludf.DUMMYFUNCTION("IFERROR((GOOGLEFINANCE(C16, ""price"") / INDEX(GOOGLEFINANCE(C16, ""price"", EDATE(TODAY(), -1), TODAY()), 2, 2)) - 1, """")"),"")</f>
        <v/>
      </c>
      <c r="N16" s="21" t="str">
        <f>IFERROR(__xludf.DUMMYFUNCTION("IFERROR((GOOGLEFINANCE(C16, ""price"") / INDEX(GOOGLEFINANCE(C16, ""price"", EDATE(TODAY(), -3), TODAY()), 2, 2)) - 1, """")"),"")</f>
        <v/>
      </c>
      <c r="O16" s="21" t="str">
        <f>IFERROR(__xludf.DUMMYFUNCTION("IFERROR((GOOGLEFINANCE(C16, ""price"") / INDEX(GOOGLEFINANCE(C16, ""price"", EDATE(TODAY(), -6), TODAY()), 2, 2)) - 1, """")"),"")</f>
        <v/>
      </c>
      <c r="P16" s="21" t="str">
        <f>IFERROR(__xludf.DUMMYFUNCTION("IFERROR((GOOGLEFINANCE(C16, ""price"") / INDEX(GOOGLEFINANCE(C16, ""price"", EDATE(TODAY(), -12), TODAY()), 2, 2)) - 1, """")"),"")</f>
        <v/>
      </c>
      <c r="Q16" s="6" t="str">
        <f>IFERROR(__xludf.DUMMYFUNCTION("AVERAGE(QUERY(GOOGLEFINANCE(C16, ""price"", TODAY()-80, TODAY()), ""SELECT Col2 WHERE Col2 IS NOT NULL ORDER BY Col1 DESC LIMIT 50"", 0))"),"#N/A")</f>
        <v>#N/A</v>
      </c>
      <c r="R16" s="24" t="str">
        <f>IFERROR(__xludf.DUMMYFUNCTION("IFERROR(
  LET(
    data, QUERY(GOOGLEFINANCE(C16,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GOOGLEFINANCE(C16, ""price"")) * 100,
    IF(calc=0, G16, calc)
  ), 
G16)"),"#N/A")</f>
        <v>#N/A</v>
      </c>
      <c r="S16" s="8" t="s">
        <v>15</v>
      </c>
      <c r="T16" s="26" t="str">
        <f>IFERROR(__xludf.DUMMYFUNCTION("IFERROR(TRANSPOSE(QUERY(IFERROR(SORT(GOOGLEFINANCE(C16, ""price"", WORKDAY(TODAY(), -40), TODAY()), 1, FALSE)), ""select Col2 where Col2 is not null limit 22 label Col2 ''"", 0)), """")"),"")</f>
        <v/>
      </c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8"/>
      <c r="AO16" s="28"/>
      <c r="AP16" s="29"/>
      <c r="AQ16" s="29" t="str">
        <f t="shared" ref="AQ16:BL16" si="19">T16/T$2</f>
        <v>#N/A</v>
      </c>
      <c r="AR16" s="29" t="str">
        <f t="shared" si="19"/>
        <v>#DIV/0!</v>
      </c>
      <c r="AS16" s="29" t="str">
        <f t="shared" si="19"/>
        <v>#DIV/0!</v>
      </c>
      <c r="AT16" s="29" t="str">
        <f t="shared" si="19"/>
        <v>#DIV/0!</v>
      </c>
      <c r="AU16" s="29" t="str">
        <f t="shared" si="19"/>
        <v>#DIV/0!</v>
      </c>
      <c r="AV16" s="29" t="str">
        <f t="shared" si="19"/>
        <v>#DIV/0!</v>
      </c>
      <c r="AW16" s="29" t="str">
        <f t="shared" si="19"/>
        <v>#DIV/0!</v>
      </c>
      <c r="AX16" s="29" t="str">
        <f t="shared" si="19"/>
        <v>#DIV/0!</v>
      </c>
      <c r="AY16" s="29" t="str">
        <f t="shared" si="19"/>
        <v>#DIV/0!</v>
      </c>
      <c r="AZ16" s="29" t="str">
        <f t="shared" si="19"/>
        <v>#DIV/0!</v>
      </c>
      <c r="BA16" s="29" t="str">
        <f t="shared" si="19"/>
        <v>#DIV/0!</v>
      </c>
      <c r="BB16" s="29" t="str">
        <f t="shared" si="19"/>
        <v>#DIV/0!</v>
      </c>
      <c r="BC16" s="29" t="str">
        <f t="shared" si="19"/>
        <v>#DIV/0!</v>
      </c>
      <c r="BD16" s="29" t="str">
        <f t="shared" si="19"/>
        <v>#DIV/0!</v>
      </c>
      <c r="BE16" s="29" t="str">
        <f t="shared" si="19"/>
        <v>#DIV/0!</v>
      </c>
      <c r="BF16" s="29" t="str">
        <f t="shared" si="19"/>
        <v>#DIV/0!</v>
      </c>
      <c r="BG16" s="29" t="str">
        <f t="shared" si="19"/>
        <v>#DIV/0!</v>
      </c>
      <c r="BH16" s="29" t="str">
        <f t="shared" si="19"/>
        <v>#DIV/0!</v>
      </c>
      <c r="BI16" s="29" t="str">
        <f t="shared" si="19"/>
        <v>#DIV/0!</v>
      </c>
      <c r="BJ16" s="29" t="str">
        <f t="shared" si="19"/>
        <v>#DIV/0!</v>
      </c>
      <c r="BK16" s="29" t="str">
        <f t="shared" si="19"/>
        <v>#DIV/0!</v>
      </c>
      <c r="BL16" s="29" t="str">
        <f t="shared" si="19"/>
        <v>#DIV/0!</v>
      </c>
      <c r="BM16" s="29" t="str">
        <f t="shared" si="3"/>
        <v>#DIV/0!</v>
      </c>
    </row>
    <row r="17">
      <c r="A17" s="16" t="str">
        <f>IFERROR(__xludf.DUMMYFUNCTION("IFERROR(SPARKLINE(SORT(MAP(TRANSPOSE(AQ17:BL17), LAMBDA(val, IF(ISNUMBER(val), PERCENTRANK(AQ17:BL17, val)+0.01, 0))), SEQUENCE(COLUMNS(AQ17:BL17)), FALSE), {""charttype"",""column""; ""color"",""chartreuse""; ""ymin"", 0; ""ymax"", 1.01; ""highcolor"", "&amp;"""darkgreen""; ""lowcolor"", ""red""}), """")"),"")</f>
        <v/>
      </c>
      <c r="B17" s="17" t="str">
        <f t="shared" si="4"/>
        <v/>
      </c>
      <c r="C17" s="1" t="s">
        <v>1527</v>
      </c>
      <c r="D17" s="30" t="str">
        <f>IFERROR(__xludf.DUMMYFUNCTION("IFERROR(GOOGLEFINANCE(C17, ""NAME""))"),"Humana Inc")</f>
        <v>Humana Inc</v>
      </c>
      <c r="E17" s="30" t="s">
        <v>1479</v>
      </c>
      <c r="F17" s="33" t="str">
        <f>IFERROR(__xludf.DUMMYFUNCTION("( (GOOGLEFINANCE(C17, ""price"") - Q17) / Q17 ) / (R17 / 100)"),"Loading...")</f>
        <v>Loading...</v>
      </c>
      <c r="G17" s="20" t="str">
        <f>IFERROR(__xludf.DUMMYFUNCTION("AVERAGE(ARRAYFORMULA(100 * (QUERY(GOOGLEFINANCE(C17, ""high"", TODAY()-40, TODAY()), ""SELECT Col2 WHERE Col2 IS NOT NULL ORDER BY Col1 DESC LIMIT 20"", 0) / QUERY(GOOGLEFINANCE(C17, ""low"", TODAY()-40, TODAY()), ""SELECT Col2 WHERE Col2 IS NOT NULL ORDE"&amp;"R BY Col1 DESC LIMIT 20"", 0) - 1)))"),"#N/A")</f>
        <v>#N/A</v>
      </c>
      <c r="H17" s="35" t="str">
        <f t="shared" si="6"/>
        <v/>
      </c>
      <c r="I17" s="36" t="str">
        <f t="shared" si="7"/>
        <v/>
      </c>
      <c r="J17" s="37" t="str">
        <f>IFERROR(__xludf.DUMMYFUNCTION("IFERROR(
  IF(C17="""",, 
    IFERROR(
      GOOGLEFINANCE(C17, ""price"") * GOOGLEFINANCE(C17, ""volumeavg""), 
      GOOGLEFINANCE(C17, ""price"") * AVERAGE(QUERY(GOOGLEFINANCE(C17, ""volume"", TODAY()-40, TODAY()), ""SELECT Col2 WHERE Col2 IS NOT NULL "&amp;"ORDER BY Col1 DESC LIMIT 20"", 0))
    )
  ), 
"""")"),"")</f>
        <v/>
      </c>
      <c r="K17" s="21" t="str">
        <f>IFERROR(__xludf.DUMMYFUNCTION("IFERROR(GOOGLEFINANCE(C17, ""changepct"") / 100, """")"),"")</f>
        <v/>
      </c>
      <c r="L17" s="21" t="str">
        <f>IFERROR(__xludf.DUMMYFUNCTION("IFERROR((GOOGLEFINANCE(C17, ""price"") / INDEX(GOOGLEFINANCE(C17, ""price"", TODAY()-7, TODAY()), 2, 2)) - 1, """")"),"")</f>
        <v/>
      </c>
      <c r="M17" s="21" t="str">
        <f>IFERROR(__xludf.DUMMYFUNCTION("IFERROR((GOOGLEFINANCE(C17, ""price"") / INDEX(GOOGLEFINANCE(C17, ""price"", EDATE(TODAY(), -1), TODAY()), 2, 2)) - 1, """")"),"")</f>
        <v/>
      </c>
      <c r="N17" s="21" t="str">
        <f>IFERROR(__xludf.DUMMYFUNCTION("IFERROR((GOOGLEFINANCE(C17, ""price"") / INDEX(GOOGLEFINANCE(C17, ""price"", EDATE(TODAY(), -3), TODAY()), 2, 2)) - 1, """")"),"")</f>
        <v/>
      </c>
      <c r="O17" s="21" t="str">
        <f>IFERROR(__xludf.DUMMYFUNCTION("IFERROR((GOOGLEFINANCE(C17, ""price"") / INDEX(GOOGLEFINANCE(C17, ""price"", EDATE(TODAY(), -6), TODAY()), 2, 2)) - 1, """")"),"")</f>
        <v/>
      </c>
      <c r="P17" s="21" t="str">
        <f>IFERROR(__xludf.DUMMYFUNCTION("IFERROR((GOOGLEFINANCE(C17, ""price"") / INDEX(GOOGLEFINANCE(C17, ""price"", EDATE(TODAY(), -12), TODAY()), 2, 2)) - 1, """")"),"")</f>
        <v/>
      </c>
      <c r="Q17" s="6" t="str">
        <f>IFERROR(__xludf.DUMMYFUNCTION("AVERAGE(QUERY(GOOGLEFINANCE(C17, ""price"", TODAY()-80, TODAY()), ""SELECT Col2 WHERE Col2 IS NOT NULL ORDER BY Col1 DESC LIMIT 50"", 0))"),"#N/A")</f>
        <v>#N/A</v>
      </c>
      <c r="R17" s="24" t="str">
        <f>IFERROR(__xludf.DUMMYFUNCTION("IFERROR(
  LET(
    data, QUERY(GOOGLEFINANCE(C17,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GOOGLEFINANCE(C17, ""price"")) * 100,
    IF(calc=0, G17, calc)
  ), 
G17)"),"#N/A")</f>
        <v>#N/A</v>
      </c>
      <c r="S17" s="8" t="s">
        <v>15</v>
      </c>
      <c r="T17" s="26" t="str">
        <f>IFERROR(__xludf.DUMMYFUNCTION("IFERROR(TRANSPOSE(QUERY(IFERROR(SORT(GOOGLEFINANCE(C17, ""price"", WORKDAY(TODAY(), -40), TODAY()), 1, FALSE)), ""select Col2 where Col2 is not null limit 22 label Col2 ''"", 0)), """")"),"")</f>
        <v/>
      </c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8"/>
      <c r="AO17" s="28"/>
      <c r="AP17" s="29"/>
      <c r="AQ17" s="29" t="str">
        <f t="shared" ref="AQ17:BL17" si="20">T17/T$2</f>
        <v>#N/A</v>
      </c>
      <c r="AR17" s="29" t="str">
        <f t="shared" si="20"/>
        <v>#DIV/0!</v>
      </c>
      <c r="AS17" s="29" t="str">
        <f t="shared" si="20"/>
        <v>#DIV/0!</v>
      </c>
      <c r="AT17" s="29" t="str">
        <f t="shared" si="20"/>
        <v>#DIV/0!</v>
      </c>
      <c r="AU17" s="29" t="str">
        <f t="shared" si="20"/>
        <v>#DIV/0!</v>
      </c>
      <c r="AV17" s="29" t="str">
        <f t="shared" si="20"/>
        <v>#DIV/0!</v>
      </c>
      <c r="AW17" s="29" t="str">
        <f t="shared" si="20"/>
        <v>#DIV/0!</v>
      </c>
      <c r="AX17" s="29" t="str">
        <f t="shared" si="20"/>
        <v>#DIV/0!</v>
      </c>
      <c r="AY17" s="29" t="str">
        <f t="shared" si="20"/>
        <v>#DIV/0!</v>
      </c>
      <c r="AZ17" s="29" t="str">
        <f t="shared" si="20"/>
        <v>#DIV/0!</v>
      </c>
      <c r="BA17" s="29" t="str">
        <f t="shared" si="20"/>
        <v>#DIV/0!</v>
      </c>
      <c r="BB17" s="29" t="str">
        <f t="shared" si="20"/>
        <v>#DIV/0!</v>
      </c>
      <c r="BC17" s="29" t="str">
        <f t="shared" si="20"/>
        <v>#DIV/0!</v>
      </c>
      <c r="BD17" s="29" t="str">
        <f t="shared" si="20"/>
        <v>#DIV/0!</v>
      </c>
      <c r="BE17" s="29" t="str">
        <f t="shared" si="20"/>
        <v>#DIV/0!</v>
      </c>
      <c r="BF17" s="29" t="str">
        <f t="shared" si="20"/>
        <v>#DIV/0!</v>
      </c>
      <c r="BG17" s="29" t="str">
        <f t="shared" si="20"/>
        <v>#DIV/0!</v>
      </c>
      <c r="BH17" s="29" t="str">
        <f t="shared" si="20"/>
        <v>#DIV/0!</v>
      </c>
      <c r="BI17" s="29" t="str">
        <f t="shared" si="20"/>
        <v>#DIV/0!</v>
      </c>
      <c r="BJ17" s="29" t="str">
        <f t="shared" si="20"/>
        <v>#DIV/0!</v>
      </c>
      <c r="BK17" s="29" t="str">
        <f t="shared" si="20"/>
        <v>#DIV/0!</v>
      </c>
      <c r="BL17" s="29" t="str">
        <f t="shared" si="20"/>
        <v>#DIV/0!</v>
      </c>
      <c r="BM17" s="29" t="str">
        <f t="shared" si="3"/>
        <v>#DIV/0!</v>
      </c>
    </row>
    <row r="18">
      <c r="A18" s="16" t="str">
        <f>IFERROR(__xludf.DUMMYFUNCTION("IFERROR(SPARKLINE(SORT(MAP(TRANSPOSE(AQ18:BL18), LAMBDA(val, IF(ISNUMBER(val), PERCENTRANK(AQ18:BL18, val)+0.01, 0))), SEQUENCE(COLUMNS(AQ18:BL18)), FALSE), {""charttype"",""column""; ""color"",""chartreuse""; ""ymin"", 0; ""ymax"", 1.01; ""highcolor"", "&amp;"""darkgreen""; ""lowcolor"", ""red""}), """")"),"")</f>
        <v/>
      </c>
      <c r="B18" s="17" t="str">
        <f t="shared" si="4"/>
        <v/>
      </c>
      <c r="C18" s="1" t="s">
        <v>1531</v>
      </c>
      <c r="D18" s="30" t="str">
        <f>IFERROR(__xludf.DUMMYFUNCTION("IFERROR(GOOGLEFINANCE(C18, ""NAME""))"),"Brightspring Health Services Inc")</f>
        <v>Brightspring Health Services Inc</v>
      </c>
      <c r="E18" s="30" t="s">
        <v>1532</v>
      </c>
      <c r="F18" s="33" t="str">
        <f>IFERROR(__xludf.DUMMYFUNCTION("( (GOOGLEFINANCE(C18, ""price"") - Q18) / Q18 ) / (R18 / 100)"),"Loading...")</f>
        <v>Loading...</v>
      </c>
      <c r="G18" s="20" t="str">
        <f>IFERROR(__xludf.DUMMYFUNCTION("AVERAGE(ARRAYFORMULA(100 * (QUERY(GOOGLEFINANCE(C18, ""high"", TODAY()-40, TODAY()), ""SELECT Col2 WHERE Col2 IS NOT NULL ORDER BY Col1 DESC LIMIT 20"", 0) / QUERY(GOOGLEFINANCE(C18, ""low"", TODAY()-40, TODAY()), ""SELECT Col2 WHERE Col2 IS NOT NULL ORDE"&amp;"R BY Col1 DESC LIMIT 20"", 0) - 1)))"),"#N/A")</f>
        <v>#N/A</v>
      </c>
      <c r="H18" s="35" t="str">
        <f t="shared" si="6"/>
        <v/>
      </c>
      <c r="I18" s="36" t="str">
        <f t="shared" si="7"/>
        <v/>
      </c>
      <c r="J18" s="37" t="str">
        <f>IFERROR(__xludf.DUMMYFUNCTION("IFERROR(
  IF(C18="""",, 
    IFERROR(
      GOOGLEFINANCE(C18, ""price"") * GOOGLEFINANCE(C18, ""volumeavg""), 
      GOOGLEFINANCE(C18, ""price"") * AVERAGE(QUERY(GOOGLEFINANCE(C18, ""volume"", TODAY()-40, TODAY()), ""SELECT Col2 WHERE Col2 IS NOT NULL "&amp;"ORDER BY Col1 DESC LIMIT 20"", 0))
    )
  ), 
"""")"),"")</f>
        <v/>
      </c>
      <c r="K18" s="21" t="str">
        <f>IFERROR(__xludf.DUMMYFUNCTION("IFERROR(GOOGLEFINANCE(C18, ""changepct"") / 100, """")"),"")</f>
        <v/>
      </c>
      <c r="L18" s="21" t="str">
        <f>IFERROR(__xludf.DUMMYFUNCTION("IFERROR((GOOGLEFINANCE(C18, ""price"") / INDEX(GOOGLEFINANCE(C18, ""price"", TODAY()-7, TODAY()), 2, 2)) - 1, """")"),"")</f>
        <v/>
      </c>
      <c r="M18" s="21" t="str">
        <f>IFERROR(__xludf.DUMMYFUNCTION("IFERROR((GOOGLEFINANCE(C18, ""price"") / INDEX(GOOGLEFINANCE(C18, ""price"", EDATE(TODAY(), -1), TODAY()), 2, 2)) - 1, """")"),"")</f>
        <v/>
      </c>
      <c r="N18" s="21" t="str">
        <f>IFERROR(__xludf.DUMMYFUNCTION("IFERROR((GOOGLEFINANCE(C18, ""price"") / INDEX(GOOGLEFINANCE(C18, ""price"", EDATE(TODAY(), -3), TODAY()), 2, 2)) - 1, """")"),"")</f>
        <v/>
      </c>
      <c r="O18" s="21" t="str">
        <f>IFERROR(__xludf.DUMMYFUNCTION("IFERROR((GOOGLEFINANCE(C18, ""price"") / INDEX(GOOGLEFINANCE(C18, ""price"", EDATE(TODAY(), -6), TODAY()), 2, 2)) - 1, """")"),"")</f>
        <v/>
      </c>
      <c r="P18" s="21" t="str">
        <f>IFERROR(__xludf.DUMMYFUNCTION("IFERROR((GOOGLEFINANCE(C18, ""price"") / INDEX(GOOGLEFINANCE(C18, ""price"", EDATE(TODAY(), -12), TODAY()), 2, 2)) - 1, """")"),"")</f>
        <v/>
      </c>
      <c r="Q18" s="6" t="str">
        <f>IFERROR(__xludf.DUMMYFUNCTION("AVERAGE(QUERY(GOOGLEFINANCE(C18, ""price"", TODAY()-80, TODAY()), ""SELECT Col2 WHERE Col2 IS NOT NULL ORDER BY Col1 DESC LIMIT 50"", 0))"),"#N/A")</f>
        <v>#N/A</v>
      </c>
      <c r="R18" s="24" t="str">
        <f>IFERROR(__xludf.DUMMYFUNCTION("IFERROR(
  LET(
    data, QUERY(GOOGLEFINANCE(C18,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GOOGLEFINANCE(C18, ""price"")) * 100,
    IF(calc=0, G18, calc)
  ), 
G18)"),"#N/A")</f>
        <v>#N/A</v>
      </c>
      <c r="S18" s="8" t="s">
        <v>15</v>
      </c>
      <c r="T18" s="26" t="str">
        <f>IFERROR(__xludf.DUMMYFUNCTION("IFERROR(TRANSPOSE(QUERY(IFERROR(SORT(GOOGLEFINANCE(C18, ""price"", WORKDAY(TODAY(), -40), TODAY()), 1, FALSE)), ""select Col2 where Col2 is not null limit 22 label Col2 ''"", 0)), """")"),"")</f>
        <v/>
      </c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8"/>
      <c r="AO18" s="28"/>
      <c r="AP18" s="29"/>
      <c r="AQ18" s="29" t="str">
        <f t="shared" ref="AQ18:BL18" si="21">T18/T$2</f>
        <v>#N/A</v>
      </c>
      <c r="AR18" s="29" t="str">
        <f t="shared" si="21"/>
        <v>#DIV/0!</v>
      </c>
      <c r="AS18" s="29" t="str">
        <f t="shared" si="21"/>
        <v>#DIV/0!</v>
      </c>
      <c r="AT18" s="29" t="str">
        <f t="shared" si="21"/>
        <v>#DIV/0!</v>
      </c>
      <c r="AU18" s="29" t="str">
        <f t="shared" si="21"/>
        <v>#DIV/0!</v>
      </c>
      <c r="AV18" s="29" t="str">
        <f t="shared" si="21"/>
        <v>#DIV/0!</v>
      </c>
      <c r="AW18" s="29" t="str">
        <f t="shared" si="21"/>
        <v>#DIV/0!</v>
      </c>
      <c r="AX18" s="29" t="str">
        <f t="shared" si="21"/>
        <v>#DIV/0!</v>
      </c>
      <c r="AY18" s="29" t="str">
        <f t="shared" si="21"/>
        <v>#DIV/0!</v>
      </c>
      <c r="AZ18" s="29" t="str">
        <f t="shared" si="21"/>
        <v>#DIV/0!</v>
      </c>
      <c r="BA18" s="29" t="str">
        <f t="shared" si="21"/>
        <v>#DIV/0!</v>
      </c>
      <c r="BB18" s="29" t="str">
        <f t="shared" si="21"/>
        <v>#DIV/0!</v>
      </c>
      <c r="BC18" s="29" t="str">
        <f t="shared" si="21"/>
        <v>#DIV/0!</v>
      </c>
      <c r="BD18" s="29" t="str">
        <f t="shared" si="21"/>
        <v>#DIV/0!</v>
      </c>
      <c r="BE18" s="29" t="str">
        <f t="shared" si="21"/>
        <v>#DIV/0!</v>
      </c>
      <c r="BF18" s="29" t="str">
        <f t="shared" si="21"/>
        <v>#DIV/0!</v>
      </c>
      <c r="BG18" s="29" t="str">
        <f t="shared" si="21"/>
        <v>#DIV/0!</v>
      </c>
      <c r="BH18" s="29" t="str">
        <f t="shared" si="21"/>
        <v>#DIV/0!</v>
      </c>
      <c r="BI18" s="29" t="str">
        <f t="shared" si="21"/>
        <v>#DIV/0!</v>
      </c>
      <c r="BJ18" s="29" t="str">
        <f t="shared" si="21"/>
        <v>#DIV/0!</v>
      </c>
      <c r="BK18" s="29" t="str">
        <f t="shared" si="21"/>
        <v>#DIV/0!</v>
      </c>
      <c r="BL18" s="29" t="str">
        <f t="shared" si="21"/>
        <v>#DIV/0!</v>
      </c>
      <c r="BM18" s="29" t="str">
        <f t="shared" si="3"/>
        <v>#DIV/0!</v>
      </c>
    </row>
    <row r="19">
      <c r="A19" s="16" t="str">
        <f>IFERROR(__xludf.DUMMYFUNCTION("IFERROR(SPARKLINE(SORT(MAP(TRANSPOSE(AQ19:BL19), LAMBDA(val, IF(ISNUMBER(val), PERCENTRANK(AQ19:BL19, val)+0.01, 0))), SEQUENCE(COLUMNS(AQ19:BL19)), FALSE), {""charttype"",""column""; ""color"",""chartreuse""; ""ymin"", 0; ""ymax"", 1.01; ""highcolor"", "&amp;"""darkgreen""; ""lowcolor"", ""red""}), """")"),"")</f>
        <v/>
      </c>
      <c r="B19" s="17" t="str">
        <f t="shared" si="4"/>
        <v/>
      </c>
      <c r="C19" s="1" t="s">
        <v>1536</v>
      </c>
      <c r="D19" s="30" t="str">
        <f>IFERROR(__xludf.DUMMYFUNCTION("IFERROR(GOOGLEFINANCE(C19, ""NAME""))"),"Agilon Health Inc")</f>
        <v>Agilon Health Inc</v>
      </c>
      <c r="E19" s="30" t="s">
        <v>1513</v>
      </c>
      <c r="F19" s="33" t="str">
        <f>IFERROR(__xludf.DUMMYFUNCTION("( (GOOGLEFINANCE(C19, ""price"") - Q19) / Q19 ) / (R19 / 100)"),"Loading...")</f>
        <v>Loading...</v>
      </c>
      <c r="G19" s="20" t="str">
        <f>IFERROR(__xludf.DUMMYFUNCTION("AVERAGE(ARRAYFORMULA(100 * (QUERY(GOOGLEFINANCE(C19, ""high"", TODAY()-40, TODAY()), ""SELECT Col2 WHERE Col2 IS NOT NULL ORDER BY Col1 DESC LIMIT 20"", 0) / QUERY(GOOGLEFINANCE(C19, ""low"", TODAY()-40, TODAY()), ""SELECT Col2 WHERE Col2 IS NOT NULL ORDE"&amp;"R BY Col1 DESC LIMIT 20"", 0) - 1)))"),"#N/A")</f>
        <v>#N/A</v>
      </c>
      <c r="H19" s="35" t="str">
        <f t="shared" si="6"/>
        <v/>
      </c>
      <c r="I19" s="36" t="str">
        <f t="shared" si="7"/>
        <v/>
      </c>
      <c r="J19" s="37" t="str">
        <f>IFERROR(__xludf.DUMMYFUNCTION("IFERROR(
  IF(C19="""",, 
    IFERROR(
      GOOGLEFINANCE(C19, ""price"") * GOOGLEFINANCE(C19, ""volumeavg""), 
      GOOGLEFINANCE(C19, ""price"") * AVERAGE(QUERY(GOOGLEFINANCE(C19, ""volume"", TODAY()-40, TODAY()), ""SELECT Col2 WHERE Col2 IS NOT NULL "&amp;"ORDER BY Col1 DESC LIMIT 20"", 0))
    )
  ), 
"""")"),"")</f>
        <v/>
      </c>
      <c r="K19" s="21" t="str">
        <f>IFERROR(__xludf.DUMMYFUNCTION("IFERROR(GOOGLEFINANCE(C19, ""changepct"") / 100, """")"),"")</f>
        <v/>
      </c>
      <c r="L19" s="21" t="str">
        <f>IFERROR(__xludf.DUMMYFUNCTION("IFERROR((GOOGLEFINANCE(C19, ""price"") / INDEX(GOOGLEFINANCE(C19, ""price"", TODAY()-7, TODAY()), 2, 2)) - 1, """")"),"")</f>
        <v/>
      </c>
      <c r="M19" s="21" t="str">
        <f>IFERROR(__xludf.DUMMYFUNCTION("IFERROR((GOOGLEFINANCE(C19, ""price"") / INDEX(GOOGLEFINANCE(C19, ""price"", EDATE(TODAY(), -1), TODAY()), 2, 2)) - 1, """")"),"")</f>
        <v/>
      </c>
      <c r="N19" s="21" t="str">
        <f>IFERROR(__xludf.DUMMYFUNCTION("IFERROR((GOOGLEFINANCE(C19, ""price"") / INDEX(GOOGLEFINANCE(C19, ""price"", EDATE(TODAY(), -3), TODAY()), 2, 2)) - 1, """")"),"")</f>
        <v/>
      </c>
      <c r="O19" s="21" t="str">
        <f>IFERROR(__xludf.DUMMYFUNCTION("IFERROR((GOOGLEFINANCE(C19, ""price"") / INDEX(GOOGLEFINANCE(C19, ""price"", EDATE(TODAY(), -6), TODAY()), 2, 2)) - 1, """")"),"")</f>
        <v/>
      </c>
      <c r="P19" s="21" t="str">
        <f>IFERROR(__xludf.DUMMYFUNCTION("IFERROR((GOOGLEFINANCE(C19, ""price"") / INDEX(GOOGLEFINANCE(C19, ""price"", EDATE(TODAY(), -12), TODAY()), 2, 2)) - 1, """")"),"")</f>
        <v/>
      </c>
      <c r="Q19" s="6" t="str">
        <f>IFERROR(__xludf.DUMMYFUNCTION("AVERAGE(QUERY(GOOGLEFINANCE(C19, ""price"", TODAY()-80, TODAY()), ""SELECT Col2 WHERE Col2 IS NOT NULL ORDER BY Col1 DESC LIMIT 50"", 0))"),"#N/A")</f>
        <v>#N/A</v>
      </c>
      <c r="R19" s="24" t="str">
        <f>IFERROR(__xludf.DUMMYFUNCTION("IFERROR(
  LET(
    data, QUERY(GOOGLEFINANCE(C19,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GOOGLEFINANCE(C19, ""price"")) * 100,
    IF(calc=0, G19, calc)
  ), 
G19)"),"#N/A")</f>
        <v>#N/A</v>
      </c>
      <c r="S19" s="8" t="s">
        <v>15</v>
      </c>
      <c r="T19" s="26" t="str">
        <f>IFERROR(__xludf.DUMMYFUNCTION("IFERROR(TRANSPOSE(QUERY(IFERROR(SORT(GOOGLEFINANCE(C19, ""price"", WORKDAY(TODAY(), -40), TODAY()), 1, FALSE)), ""select Col2 where Col2 is not null limit 22 label Col2 ''"", 0)), """")"),"")</f>
        <v/>
      </c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8"/>
      <c r="AO19" s="28"/>
      <c r="AP19" s="29"/>
      <c r="AQ19" s="29" t="str">
        <f t="shared" ref="AQ19:BL19" si="22">T19/T$2</f>
        <v>#N/A</v>
      </c>
      <c r="AR19" s="29" t="str">
        <f t="shared" si="22"/>
        <v>#DIV/0!</v>
      </c>
      <c r="AS19" s="29" t="str">
        <f t="shared" si="22"/>
        <v>#DIV/0!</v>
      </c>
      <c r="AT19" s="29" t="str">
        <f t="shared" si="22"/>
        <v>#DIV/0!</v>
      </c>
      <c r="AU19" s="29" t="str">
        <f t="shared" si="22"/>
        <v>#DIV/0!</v>
      </c>
      <c r="AV19" s="29" t="str">
        <f t="shared" si="22"/>
        <v>#DIV/0!</v>
      </c>
      <c r="AW19" s="29" t="str">
        <f t="shared" si="22"/>
        <v>#DIV/0!</v>
      </c>
      <c r="AX19" s="29" t="str">
        <f t="shared" si="22"/>
        <v>#DIV/0!</v>
      </c>
      <c r="AY19" s="29" t="str">
        <f t="shared" si="22"/>
        <v>#DIV/0!</v>
      </c>
      <c r="AZ19" s="29" t="str">
        <f t="shared" si="22"/>
        <v>#DIV/0!</v>
      </c>
      <c r="BA19" s="29" t="str">
        <f t="shared" si="22"/>
        <v>#DIV/0!</v>
      </c>
      <c r="BB19" s="29" t="str">
        <f t="shared" si="22"/>
        <v>#DIV/0!</v>
      </c>
      <c r="BC19" s="29" t="str">
        <f t="shared" si="22"/>
        <v>#DIV/0!</v>
      </c>
      <c r="BD19" s="29" t="str">
        <f t="shared" si="22"/>
        <v>#DIV/0!</v>
      </c>
      <c r="BE19" s="29" t="str">
        <f t="shared" si="22"/>
        <v>#DIV/0!</v>
      </c>
      <c r="BF19" s="29" t="str">
        <f t="shared" si="22"/>
        <v>#DIV/0!</v>
      </c>
      <c r="BG19" s="29" t="str">
        <f t="shared" si="22"/>
        <v>#DIV/0!</v>
      </c>
      <c r="BH19" s="29" t="str">
        <f t="shared" si="22"/>
        <v>#DIV/0!</v>
      </c>
      <c r="BI19" s="29" t="str">
        <f t="shared" si="22"/>
        <v>#DIV/0!</v>
      </c>
      <c r="BJ19" s="29" t="str">
        <f t="shared" si="22"/>
        <v>#DIV/0!</v>
      </c>
      <c r="BK19" s="29" t="str">
        <f t="shared" si="22"/>
        <v>#DIV/0!</v>
      </c>
      <c r="BL19" s="29" t="str">
        <f t="shared" si="22"/>
        <v>#DIV/0!</v>
      </c>
      <c r="BM19" s="29" t="str">
        <f t="shared" si="3"/>
        <v>#DIV/0!</v>
      </c>
    </row>
    <row r="20">
      <c r="A20" s="16" t="str">
        <f>IFERROR(__xludf.DUMMYFUNCTION("IFERROR(SPARKLINE(SORT(MAP(TRANSPOSE(AQ20:BL20), LAMBDA(val, IF(ISNUMBER(val), PERCENTRANK(AQ20:BL20, val)+0.01, 0))), SEQUENCE(COLUMNS(AQ20:BL20)), FALSE), {""charttype"",""column""; ""color"",""chartreuse""; ""ymin"", 0; ""ymax"", 1.01; ""highcolor"", "&amp;"""darkgreen""; ""lowcolor"", ""red""}), """")"),"")</f>
        <v/>
      </c>
      <c r="B20" s="17" t="str">
        <f t="shared" si="4"/>
        <v/>
      </c>
      <c r="C20" s="1" t="s">
        <v>1540</v>
      </c>
      <c r="D20" s="30" t="str">
        <f>IFERROR(__xludf.DUMMYFUNCTION("IFERROR(GOOGLEFINANCE(C20, ""NAME""))"),"Bruker Corp")</f>
        <v>Bruker Corp</v>
      </c>
      <c r="E20" s="30" t="s">
        <v>1491</v>
      </c>
      <c r="F20" s="33" t="str">
        <f>IFERROR(__xludf.DUMMYFUNCTION("( (GOOGLEFINANCE(C20, ""price"") - Q20) / Q20 ) / (R20 / 100)"),"Loading...")</f>
        <v>Loading...</v>
      </c>
      <c r="G20" s="20" t="str">
        <f>IFERROR(__xludf.DUMMYFUNCTION("AVERAGE(ARRAYFORMULA(100 * (QUERY(GOOGLEFINANCE(C20, ""high"", TODAY()-40, TODAY()), ""SELECT Col2 WHERE Col2 IS NOT NULL ORDER BY Col1 DESC LIMIT 20"", 0) / QUERY(GOOGLEFINANCE(C20, ""low"", TODAY()-40, TODAY()), ""SELECT Col2 WHERE Col2 IS NOT NULL ORDE"&amp;"R BY Col1 DESC LIMIT 20"", 0) - 1)))"),"#N/A")</f>
        <v>#N/A</v>
      </c>
      <c r="H20" s="35" t="str">
        <f t="shared" si="6"/>
        <v/>
      </c>
      <c r="I20" s="36" t="str">
        <f t="shared" si="7"/>
        <v/>
      </c>
      <c r="J20" s="37" t="str">
        <f>IFERROR(__xludf.DUMMYFUNCTION("IFERROR(
  IF(C20="""",, 
    IFERROR(
      GOOGLEFINANCE(C20, ""price"") * GOOGLEFINANCE(C20, ""volumeavg""), 
      GOOGLEFINANCE(C20, ""price"") * AVERAGE(QUERY(GOOGLEFINANCE(C20, ""volume"", TODAY()-40, TODAY()), ""SELECT Col2 WHERE Col2 IS NOT NULL "&amp;"ORDER BY Col1 DESC LIMIT 20"", 0))
    )
  ), 
"""")"),"")</f>
        <v/>
      </c>
      <c r="K20" s="21" t="str">
        <f>IFERROR(__xludf.DUMMYFUNCTION("IFERROR(GOOGLEFINANCE(C20, ""changepct"") / 100, """")"),"")</f>
        <v/>
      </c>
      <c r="L20" s="21" t="str">
        <f>IFERROR(__xludf.DUMMYFUNCTION("IFERROR((GOOGLEFINANCE(C20, ""price"") / INDEX(GOOGLEFINANCE(C20, ""price"", TODAY()-7, TODAY()), 2, 2)) - 1, """")"),"")</f>
        <v/>
      </c>
      <c r="M20" s="21" t="str">
        <f>IFERROR(__xludf.DUMMYFUNCTION("IFERROR((GOOGLEFINANCE(C20, ""price"") / INDEX(GOOGLEFINANCE(C20, ""price"", EDATE(TODAY(), -1), TODAY()), 2, 2)) - 1, """")"),"")</f>
        <v/>
      </c>
      <c r="N20" s="21" t="str">
        <f>IFERROR(__xludf.DUMMYFUNCTION("IFERROR((GOOGLEFINANCE(C20, ""price"") / INDEX(GOOGLEFINANCE(C20, ""price"", EDATE(TODAY(), -3), TODAY()), 2, 2)) - 1, """")"),"")</f>
        <v/>
      </c>
      <c r="O20" s="21" t="str">
        <f>IFERROR(__xludf.DUMMYFUNCTION("IFERROR((GOOGLEFINANCE(C20, ""price"") / INDEX(GOOGLEFINANCE(C20, ""price"", EDATE(TODAY(), -6), TODAY()), 2, 2)) - 1, """")"),"")</f>
        <v/>
      </c>
      <c r="P20" s="21" t="str">
        <f>IFERROR(__xludf.DUMMYFUNCTION("IFERROR((GOOGLEFINANCE(C20, ""price"") / INDEX(GOOGLEFINANCE(C20, ""price"", EDATE(TODAY(), -12), TODAY()), 2, 2)) - 1, """")"),"")</f>
        <v/>
      </c>
      <c r="Q20" s="6" t="str">
        <f>IFERROR(__xludf.DUMMYFUNCTION("AVERAGE(QUERY(GOOGLEFINANCE(C20, ""price"", TODAY()-80, TODAY()), ""SELECT Col2 WHERE Col2 IS NOT NULL ORDER BY Col1 DESC LIMIT 50"", 0))"),"#N/A")</f>
        <v>#N/A</v>
      </c>
      <c r="R20" s="24" t="str">
        <f>IFERROR(__xludf.DUMMYFUNCTION("IFERROR(
  LET(
    data, QUERY(GOOGLEFINANCE(C20,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GOOGLEFINANCE(C20, ""price"")) * 100,
    IF(calc=0, G20, calc)
  ), 
G20)"),"#N/A")</f>
        <v>#N/A</v>
      </c>
      <c r="S20" s="8" t="s">
        <v>15</v>
      </c>
      <c r="T20" s="26" t="str">
        <f>IFERROR(__xludf.DUMMYFUNCTION("IFERROR(TRANSPOSE(QUERY(IFERROR(SORT(GOOGLEFINANCE(C20, ""price"", WORKDAY(TODAY(), -40), TODAY()), 1, FALSE)), ""select Col2 where Col2 is not null limit 22 label Col2 ''"", 0)), """")"),"")</f>
        <v/>
      </c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8"/>
      <c r="AO20" s="28"/>
      <c r="AP20" s="29"/>
      <c r="AQ20" s="29" t="str">
        <f t="shared" ref="AQ20:BL20" si="23">T20/T$2</f>
        <v>#N/A</v>
      </c>
      <c r="AR20" s="29" t="str">
        <f t="shared" si="23"/>
        <v>#DIV/0!</v>
      </c>
      <c r="AS20" s="29" t="str">
        <f t="shared" si="23"/>
        <v>#DIV/0!</v>
      </c>
      <c r="AT20" s="29" t="str">
        <f t="shared" si="23"/>
        <v>#DIV/0!</v>
      </c>
      <c r="AU20" s="29" t="str">
        <f t="shared" si="23"/>
        <v>#DIV/0!</v>
      </c>
      <c r="AV20" s="29" t="str">
        <f t="shared" si="23"/>
        <v>#DIV/0!</v>
      </c>
      <c r="AW20" s="29" t="str">
        <f t="shared" si="23"/>
        <v>#DIV/0!</v>
      </c>
      <c r="AX20" s="29" t="str">
        <f t="shared" si="23"/>
        <v>#DIV/0!</v>
      </c>
      <c r="AY20" s="29" t="str">
        <f t="shared" si="23"/>
        <v>#DIV/0!</v>
      </c>
      <c r="AZ20" s="29" t="str">
        <f t="shared" si="23"/>
        <v>#DIV/0!</v>
      </c>
      <c r="BA20" s="29" t="str">
        <f t="shared" si="23"/>
        <v>#DIV/0!</v>
      </c>
      <c r="BB20" s="29" t="str">
        <f t="shared" si="23"/>
        <v>#DIV/0!</v>
      </c>
      <c r="BC20" s="29" t="str">
        <f t="shared" si="23"/>
        <v>#DIV/0!</v>
      </c>
      <c r="BD20" s="29" t="str">
        <f t="shared" si="23"/>
        <v>#DIV/0!</v>
      </c>
      <c r="BE20" s="29" t="str">
        <f t="shared" si="23"/>
        <v>#DIV/0!</v>
      </c>
      <c r="BF20" s="29" t="str">
        <f t="shared" si="23"/>
        <v>#DIV/0!</v>
      </c>
      <c r="BG20" s="29" t="str">
        <f t="shared" si="23"/>
        <v>#DIV/0!</v>
      </c>
      <c r="BH20" s="29" t="str">
        <f t="shared" si="23"/>
        <v>#DIV/0!</v>
      </c>
      <c r="BI20" s="29" t="str">
        <f t="shared" si="23"/>
        <v>#DIV/0!</v>
      </c>
      <c r="BJ20" s="29" t="str">
        <f t="shared" si="23"/>
        <v>#DIV/0!</v>
      </c>
      <c r="BK20" s="29" t="str">
        <f t="shared" si="23"/>
        <v>#DIV/0!</v>
      </c>
      <c r="BL20" s="29" t="str">
        <f t="shared" si="23"/>
        <v>#DIV/0!</v>
      </c>
      <c r="BM20" s="29" t="str">
        <f t="shared" si="3"/>
        <v>#DIV/0!</v>
      </c>
    </row>
    <row r="21">
      <c r="A21" s="16" t="str">
        <f>IFERROR(__xludf.DUMMYFUNCTION("IFERROR(SPARKLINE(SORT(MAP(TRANSPOSE(AQ21:BL21), LAMBDA(val, IF(ISNUMBER(val), PERCENTRANK(AQ21:BL21, val)+0.01, 0))), SEQUENCE(COLUMNS(AQ21:BL21)), FALSE), {""charttype"",""column""; ""color"",""chartreuse""; ""ymin"", 0; ""ymax"", 1.01; ""highcolor"", "&amp;"""darkgreen""; ""lowcolor"", ""red""}), """")"),"")</f>
        <v/>
      </c>
      <c r="B21" s="17" t="str">
        <f t="shared" si="4"/>
        <v/>
      </c>
      <c r="C21" s="1" t="s">
        <v>1543</v>
      </c>
      <c r="D21" s="30" t="str">
        <f>IFERROR(__xludf.DUMMYFUNCTION("IFERROR(GOOGLEFINANCE(C21, ""NAME""))"),"Illumina Inc")</f>
        <v>Illumina Inc</v>
      </c>
      <c r="E21" s="30" t="s">
        <v>1499</v>
      </c>
      <c r="F21" s="33" t="str">
        <f>IFERROR(__xludf.DUMMYFUNCTION("( (GOOGLEFINANCE(C21, ""price"") - Q21) / Q21 ) / (R21 / 100)"),"Loading...")</f>
        <v>Loading...</v>
      </c>
      <c r="G21" s="20" t="str">
        <f>IFERROR(__xludf.DUMMYFUNCTION("AVERAGE(ARRAYFORMULA(100 * (QUERY(GOOGLEFINANCE(C21, ""high"", TODAY()-40, TODAY()), ""SELECT Col2 WHERE Col2 IS NOT NULL ORDER BY Col1 DESC LIMIT 20"", 0) / QUERY(GOOGLEFINANCE(C21, ""low"", TODAY()-40, TODAY()), ""SELECT Col2 WHERE Col2 IS NOT NULL ORDE"&amp;"R BY Col1 DESC LIMIT 20"", 0) - 1)))"),"#N/A")</f>
        <v>#N/A</v>
      </c>
      <c r="H21" s="35" t="str">
        <f t="shared" si="6"/>
        <v/>
      </c>
      <c r="I21" s="36" t="str">
        <f t="shared" si="7"/>
        <v/>
      </c>
      <c r="J21" s="37" t="str">
        <f>IFERROR(__xludf.DUMMYFUNCTION("IFERROR(
  IF(C21="""",, 
    IFERROR(
      GOOGLEFINANCE(C21, ""price"") * GOOGLEFINANCE(C21, ""volumeavg""), 
      GOOGLEFINANCE(C21, ""price"") * AVERAGE(QUERY(GOOGLEFINANCE(C21, ""volume"", TODAY()-40, TODAY()), ""SELECT Col2 WHERE Col2 IS NOT NULL "&amp;"ORDER BY Col1 DESC LIMIT 20"", 0))
    )
  ), 
"""")"),"")</f>
        <v/>
      </c>
      <c r="K21" s="21" t="str">
        <f>IFERROR(__xludf.DUMMYFUNCTION("IFERROR(GOOGLEFINANCE(C21, ""changepct"") / 100, """")"),"")</f>
        <v/>
      </c>
      <c r="L21" s="21" t="str">
        <f>IFERROR(__xludf.DUMMYFUNCTION("IFERROR((GOOGLEFINANCE(C21, ""price"") / INDEX(GOOGLEFINANCE(C21, ""price"", TODAY()-7, TODAY()), 2, 2)) - 1, """")"),"")</f>
        <v/>
      </c>
      <c r="M21" s="21" t="str">
        <f>IFERROR(__xludf.DUMMYFUNCTION("IFERROR((GOOGLEFINANCE(C21, ""price"") / INDEX(GOOGLEFINANCE(C21, ""price"", EDATE(TODAY(), -1), TODAY()), 2, 2)) - 1, """")"),"")</f>
        <v/>
      </c>
      <c r="N21" s="21" t="str">
        <f>IFERROR(__xludf.DUMMYFUNCTION("IFERROR((GOOGLEFINANCE(C21, ""price"") / INDEX(GOOGLEFINANCE(C21, ""price"", EDATE(TODAY(), -3), TODAY()), 2, 2)) - 1, """")"),"")</f>
        <v/>
      </c>
      <c r="O21" s="21" t="str">
        <f>IFERROR(__xludf.DUMMYFUNCTION("IFERROR((GOOGLEFINANCE(C21, ""price"") / INDEX(GOOGLEFINANCE(C21, ""price"", EDATE(TODAY(), -6), TODAY()), 2, 2)) - 1, """")"),"")</f>
        <v/>
      </c>
      <c r="P21" s="21" t="str">
        <f>IFERROR(__xludf.DUMMYFUNCTION("IFERROR((GOOGLEFINANCE(C21, ""price"") / INDEX(GOOGLEFINANCE(C21, ""price"", EDATE(TODAY(), -12), TODAY()), 2, 2)) - 1, """")"),"")</f>
        <v/>
      </c>
      <c r="Q21" s="6" t="str">
        <f>IFERROR(__xludf.DUMMYFUNCTION("AVERAGE(QUERY(GOOGLEFINANCE(C21, ""price"", TODAY()-80, TODAY()), ""SELECT Col2 WHERE Col2 IS NOT NULL ORDER BY Col1 DESC LIMIT 50"", 0))"),"#N/A")</f>
        <v>#N/A</v>
      </c>
      <c r="R21" s="24" t="str">
        <f>IFERROR(__xludf.DUMMYFUNCTION("IFERROR(
  LET(
    data, QUERY(GOOGLEFINANCE(C21,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GOOGLEFINANCE(C21, ""price"")) * 100,
    IF(calc=0, G21, calc)
  ), 
G21)"),"#N/A")</f>
        <v>#N/A</v>
      </c>
      <c r="S21" s="8" t="s">
        <v>15</v>
      </c>
      <c r="T21" s="26" t="str">
        <f>IFERROR(__xludf.DUMMYFUNCTION("IFERROR(TRANSPOSE(QUERY(IFERROR(SORT(GOOGLEFINANCE(C21, ""price"", WORKDAY(TODAY(), -40), TODAY()), 1, FALSE)), ""select Col2 where Col2 is not null limit 22 label Col2 ''"", 0)), """")"),"")</f>
        <v/>
      </c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8"/>
      <c r="AO21" s="28"/>
      <c r="AP21" s="29"/>
      <c r="AQ21" s="29" t="str">
        <f t="shared" ref="AQ21:BL21" si="24">T21/T$2</f>
        <v>#N/A</v>
      </c>
      <c r="AR21" s="29" t="str">
        <f t="shared" si="24"/>
        <v>#DIV/0!</v>
      </c>
      <c r="AS21" s="29" t="str">
        <f t="shared" si="24"/>
        <v>#DIV/0!</v>
      </c>
      <c r="AT21" s="29" t="str">
        <f t="shared" si="24"/>
        <v>#DIV/0!</v>
      </c>
      <c r="AU21" s="29" t="str">
        <f t="shared" si="24"/>
        <v>#DIV/0!</v>
      </c>
      <c r="AV21" s="29" t="str">
        <f t="shared" si="24"/>
        <v>#DIV/0!</v>
      </c>
      <c r="AW21" s="29" t="str">
        <f t="shared" si="24"/>
        <v>#DIV/0!</v>
      </c>
      <c r="AX21" s="29" t="str">
        <f t="shared" si="24"/>
        <v>#DIV/0!</v>
      </c>
      <c r="AY21" s="29" t="str">
        <f t="shared" si="24"/>
        <v>#DIV/0!</v>
      </c>
      <c r="AZ21" s="29" t="str">
        <f t="shared" si="24"/>
        <v>#DIV/0!</v>
      </c>
      <c r="BA21" s="29" t="str">
        <f t="shared" si="24"/>
        <v>#DIV/0!</v>
      </c>
      <c r="BB21" s="29" t="str">
        <f t="shared" si="24"/>
        <v>#DIV/0!</v>
      </c>
      <c r="BC21" s="29" t="str">
        <f t="shared" si="24"/>
        <v>#DIV/0!</v>
      </c>
      <c r="BD21" s="29" t="str">
        <f t="shared" si="24"/>
        <v>#DIV/0!</v>
      </c>
      <c r="BE21" s="29" t="str">
        <f t="shared" si="24"/>
        <v>#DIV/0!</v>
      </c>
      <c r="BF21" s="29" t="str">
        <f t="shared" si="24"/>
        <v>#DIV/0!</v>
      </c>
      <c r="BG21" s="29" t="str">
        <f t="shared" si="24"/>
        <v>#DIV/0!</v>
      </c>
      <c r="BH21" s="29" t="str">
        <f t="shared" si="24"/>
        <v>#DIV/0!</v>
      </c>
      <c r="BI21" s="29" t="str">
        <f t="shared" si="24"/>
        <v>#DIV/0!</v>
      </c>
      <c r="BJ21" s="29" t="str">
        <f t="shared" si="24"/>
        <v>#DIV/0!</v>
      </c>
      <c r="BK21" s="29" t="str">
        <f t="shared" si="24"/>
        <v>#DIV/0!</v>
      </c>
      <c r="BL21" s="29" t="str">
        <f t="shared" si="24"/>
        <v>#DIV/0!</v>
      </c>
      <c r="BM21" s="29" t="str">
        <f t="shared" si="3"/>
        <v>#DIV/0!</v>
      </c>
    </row>
    <row r="22">
      <c r="A22" s="16" t="str">
        <f>IFERROR(__xludf.DUMMYFUNCTION("IFERROR(SPARKLINE(SORT(MAP(TRANSPOSE(AQ22:BL22), LAMBDA(val, IF(ISNUMBER(val), PERCENTRANK(AQ22:BL22, val)+0.01, 0))), SEQUENCE(COLUMNS(AQ22:BL22)), FALSE), {""charttype"",""column""; ""color"",""chartreuse""; ""ymin"", 0; ""ymax"", 1.01; ""highcolor"", "&amp;"""darkgreen""; ""lowcolor"", ""red""}), """")"),"")</f>
        <v/>
      </c>
      <c r="B22" s="17" t="str">
        <f t="shared" si="4"/>
        <v/>
      </c>
      <c r="C22" s="1" t="s">
        <v>1547</v>
      </c>
      <c r="D22" s="30" t="str">
        <f>IFERROR(__xludf.DUMMYFUNCTION("IFERROR(GOOGLEFINANCE(C22, ""NAME""))"),"Doximity Inc")</f>
        <v>Doximity Inc</v>
      </c>
      <c r="E22" s="30" t="s">
        <v>1532</v>
      </c>
      <c r="F22" s="38" t="str">
        <f>IFERROR(__xludf.DUMMYFUNCTION("( (GOOGLEFINANCE(C22, ""price"") - Q22) / Q22 ) / (R22 / 100)"),"Loading...")</f>
        <v>Loading...</v>
      </c>
      <c r="G22" s="20" t="str">
        <f>IFERROR(__xludf.DUMMYFUNCTION("AVERAGE(ARRAYFORMULA(100 * (QUERY(GOOGLEFINANCE(C22, ""high"", TODAY()-40, TODAY()), ""SELECT Col2 WHERE Col2 IS NOT NULL ORDER BY Col1 DESC LIMIT 20"", 0) / QUERY(GOOGLEFINANCE(C22, ""low"", TODAY()-40, TODAY()), ""SELECT Col2 WHERE Col2 IS NOT NULL ORDE"&amp;"R BY Col1 DESC LIMIT 20"", 0) - 1)))"),"#N/A")</f>
        <v>#N/A</v>
      </c>
      <c r="H22" s="35" t="str">
        <f t="shared" si="6"/>
        <v/>
      </c>
      <c r="I22" s="36" t="str">
        <f t="shared" si="7"/>
        <v/>
      </c>
      <c r="J22" s="37" t="str">
        <f>IFERROR(__xludf.DUMMYFUNCTION("IFERROR(
  IF(C22="""",, 
    IFERROR(
      GOOGLEFINANCE(C22, ""price"") * GOOGLEFINANCE(C22, ""volumeavg""), 
      GOOGLEFINANCE(C22, ""price"") * AVERAGE(QUERY(GOOGLEFINANCE(C22, ""volume"", TODAY()-40, TODAY()), ""SELECT Col2 WHERE Col2 IS NOT NULL "&amp;"ORDER BY Col1 DESC LIMIT 20"", 0))
    )
  ), 
"""")"),"")</f>
        <v/>
      </c>
      <c r="K22" s="21" t="str">
        <f>IFERROR(__xludf.DUMMYFUNCTION("IFERROR(GOOGLEFINANCE(C22, ""changepct"") / 100, """")"),"")</f>
        <v/>
      </c>
      <c r="L22" s="21" t="str">
        <f>IFERROR(__xludf.DUMMYFUNCTION("IFERROR((GOOGLEFINANCE(C22, ""price"") / INDEX(GOOGLEFINANCE(C22, ""price"", TODAY()-7, TODAY()), 2, 2)) - 1, """")"),"")</f>
        <v/>
      </c>
      <c r="M22" s="21" t="str">
        <f>IFERROR(__xludf.DUMMYFUNCTION("IFERROR((GOOGLEFINANCE(C22, ""price"") / INDEX(GOOGLEFINANCE(C22, ""price"", EDATE(TODAY(), -1), TODAY()), 2, 2)) - 1, """")"),"")</f>
        <v/>
      </c>
      <c r="N22" s="21" t="str">
        <f>IFERROR(__xludf.DUMMYFUNCTION("IFERROR((GOOGLEFINANCE(C22, ""price"") / INDEX(GOOGLEFINANCE(C22, ""price"", EDATE(TODAY(), -3), TODAY()), 2, 2)) - 1, """")"),"")</f>
        <v/>
      </c>
      <c r="O22" s="21" t="str">
        <f>IFERROR(__xludf.DUMMYFUNCTION("IFERROR((GOOGLEFINANCE(C22, ""price"") / INDEX(GOOGLEFINANCE(C22, ""price"", EDATE(TODAY(), -6), TODAY()), 2, 2)) - 1, """")"),"")</f>
        <v/>
      </c>
      <c r="P22" s="21" t="str">
        <f>IFERROR(__xludf.DUMMYFUNCTION("IFERROR((GOOGLEFINANCE(C22, ""price"") / INDEX(GOOGLEFINANCE(C22, ""price"", EDATE(TODAY(), -12), TODAY()), 2, 2)) - 1, """")"),"")</f>
        <v/>
      </c>
      <c r="Q22" s="6" t="str">
        <f>IFERROR(__xludf.DUMMYFUNCTION("AVERAGE(QUERY(GOOGLEFINANCE(C22, ""price"", TODAY()-80, TODAY()), ""SELECT Col2 WHERE Col2 IS NOT NULL ORDER BY Col1 DESC LIMIT 50"", 0))"),"#N/A")</f>
        <v>#N/A</v>
      </c>
      <c r="R22" s="24" t="str">
        <f>IFERROR(__xludf.DUMMYFUNCTION("IFERROR(
  LET(
    data, QUERY(GOOGLEFINANCE(C22,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GOOGLEFINANCE(C22, ""price"")) * 100,
    IF(calc=0, G22, calc)
  ), 
G22)"),"#N/A")</f>
        <v>#N/A</v>
      </c>
      <c r="S22" s="8" t="s">
        <v>15</v>
      </c>
      <c r="T22" s="26" t="str">
        <f>IFERROR(__xludf.DUMMYFUNCTION("IFERROR(TRANSPOSE(QUERY(IFERROR(SORT(GOOGLEFINANCE(C22, ""price"", WORKDAY(TODAY(), -40), TODAY()), 1, FALSE)), ""select Col2 where Col2 is not null limit 22 label Col2 ''"", 0)), """")"),"")</f>
        <v/>
      </c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8"/>
      <c r="AO22" s="28"/>
      <c r="AP22" s="29"/>
      <c r="AQ22" s="29" t="str">
        <f t="shared" ref="AQ22:BL22" si="25">T22/T$2</f>
        <v>#N/A</v>
      </c>
      <c r="AR22" s="29" t="str">
        <f t="shared" si="25"/>
        <v>#DIV/0!</v>
      </c>
      <c r="AS22" s="29" t="str">
        <f t="shared" si="25"/>
        <v>#DIV/0!</v>
      </c>
      <c r="AT22" s="29" t="str">
        <f t="shared" si="25"/>
        <v>#DIV/0!</v>
      </c>
      <c r="AU22" s="29" t="str">
        <f t="shared" si="25"/>
        <v>#DIV/0!</v>
      </c>
      <c r="AV22" s="29" t="str">
        <f t="shared" si="25"/>
        <v>#DIV/0!</v>
      </c>
      <c r="AW22" s="29" t="str">
        <f t="shared" si="25"/>
        <v>#DIV/0!</v>
      </c>
      <c r="AX22" s="29" t="str">
        <f t="shared" si="25"/>
        <v>#DIV/0!</v>
      </c>
      <c r="AY22" s="29" t="str">
        <f t="shared" si="25"/>
        <v>#DIV/0!</v>
      </c>
      <c r="AZ22" s="29" t="str">
        <f t="shared" si="25"/>
        <v>#DIV/0!</v>
      </c>
      <c r="BA22" s="29" t="str">
        <f t="shared" si="25"/>
        <v>#DIV/0!</v>
      </c>
      <c r="BB22" s="29" t="str">
        <f t="shared" si="25"/>
        <v>#DIV/0!</v>
      </c>
      <c r="BC22" s="29" t="str">
        <f t="shared" si="25"/>
        <v>#DIV/0!</v>
      </c>
      <c r="BD22" s="29" t="str">
        <f t="shared" si="25"/>
        <v>#DIV/0!</v>
      </c>
      <c r="BE22" s="29" t="str">
        <f t="shared" si="25"/>
        <v>#DIV/0!</v>
      </c>
      <c r="BF22" s="29" t="str">
        <f t="shared" si="25"/>
        <v>#DIV/0!</v>
      </c>
      <c r="BG22" s="29" t="str">
        <f t="shared" si="25"/>
        <v>#DIV/0!</v>
      </c>
      <c r="BH22" s="29" t="str">
        <f t="shared" si="25"/>
        <v>#DIV/0!</v>
      </c>
      <c r="BI22" s="29" t="str">
        <f t="shared" si="25"/>
        <v>#DIV/0!</v>
      </c>
      <c r="BJ22" s="29" t="str">
        <f t="shared" si="25"/>
        <v>#DIV/0!</v>
      </c>
      <c r="BK22" s="29" t="str">
        <f t="shared" si="25"/>
        <v>#DIV/0!</v>
      </c>
      <c r="BL22" s="29" t="str">
        <f t="shared" si="25"/>
        <v>#DIV/0!</v>
      </c>
      <c r="BM22" s="29" t="str">
        <f t="shared" si="3"/>
        <v>#DIV/0!</v>
      </c>
    </row>
    <row r="23">
      <c r="A23" s="16" t="str">
        <f>IFERROR(__xludf.DUMMYFUNCTION("IFERROR(SPARKLINE(SORT(MAP(TRANSPOSE(AQ23:BL23), LAMBDA(val, IF(ISNUMBER(val), PERCENTRANK(AQ23:BL23, val)+0.01, 0))), SEQUENCE(COLUMNS(AQ23:BL23)), FALSE), {""charttype"",""column""; ""color"",""chartreuse""; ""ymin"", 0; ""ymax"", 1.01; ""highcolor"", "&amp;"""darkgreen""; ""lowcolor"", ""red""}), """")"),"")</f>
        <v/>
      </c>
      <c r="B23" s="17" t="str">
        <f t="shared" si="4"/>
        <v/>
      </c>
      <c r="C23" s="1" t="s">
        <v>1551</v>
      </c>
      <c r="D23" s="30" t="str">
        <f>IFERROR(__xludf.DUMMYFUNCTION("IFERROR(GOOGLEFINANCE(C23, ""NAME""))"),"Kiniksa Pharmaceuticals Internatinl, PLC")</f>
        <v>Kiniksa Pharmaceuticals Internatinl, PLC</v>
      </c>
      <c r="E23" s="30" t="s">
        <v>1475</v>
      </c>
      <c r="F23" s="33" t="str">
        <f>IFERROR(__xludf.DUMMYFUNCTION("( (GOOGLEFINANCE(C23, ""price"") - Q23) / Q23 ) / (R23 / 100)"),"Loading...")</f>
        <v>Loading...</v>
      </c>
      <c r="G23" s="20" t="str">
        <f>IFERROR(__xludf.DUMMYFUNCTION("AVERAGE(ARRAYFORMULA(100 * (QUERY(GOOGLEFINANCE(C23, ""high"", TODAY()-40, TODAY()), ""SELECT Col2 WHERE Col2 IS NOT NULL ORDER BY Col1 DESC LIMIT 20"", 0) / QUERY(GOOGLEFINANCE(C23, ""low"", TODAY()-40, TODAY()), ""SELECT Col2 WHERE Col2 IS NOT NULL ORDE"&amp;"R BY Col1 DESC LIMIT 20"", 0) - 1)))"),"#N/A")</f>
        <v>#N/A</v>
      </c>
      <c r="H23" s="35" t="str">
        <f t="shared" si="6"/>
        <v/>
      </c>
      <c r="I23" s="36" t="str">
        <f t="shared" si="7"/>
        <v/>
      </c>
      <c r="J23" s="37" t="str">
        <f>IFERROR(__xludf.DUMMYFUNCTION("IFERROR(
  IF(C23="""",, 
    IFERROR(
      GOOGLEFINANCE(C23, ""price"") * GOOGLEFINANCE(C23, ""volumeavg""), 
      GOOGLEFINANCE(C23, ""price"") * AVERAGE(QUERY(GOOGLEFINANCE(C23, ""volume"", TODAY()-40, TODAY()), ""SELECT Col2 WHERE Col2 IS NOT NULL "&amp;"ORDER BY Col1 DESC LIMIT 20"", 0))
    )
  ), 
"""")"),"")</f>
        <v/>
      </c>
      <c r="K23" s="21" t="str">
        <f>IFERROR(__xludf.DUMMYFUNCTION("IFERROR(GOOGLEFINANCE(C23, ""changepct"") / 100, """")"),"")</f>
        <v/>
      </c>
      <c r="L23" s="21" t="str">
        <f>IFERROR(__xludf.DUMMYFUNCTION("IFERROR((GOOGLEFINANCE(C23, ""price"") / INDEX(GOOGLEFINANCE(C23, ""price"", TODAY()-7, TODAY()), 2, 2)) - 1, """")"),"")</f>
        <v/>
      </c>
      <c r="M23" s="21" t="str">
        <f>IFERROR(__xludf.DUMMYFUNCTION("IFERROR((GOOGLEFINANCE(C23, ""price"") / INDEX(GOOGLEFINANCE(C23, ""price"", EDATE(TODAY(), -1), TODAY()), 2, 2)) - 1, """")"),"")</f>
        <v/>
      </c>
      <c r="N23" s="21" t="str">
        <f>IFERROR(__xludf.DUMMYFUNCTION("IFERROR((GOOGLEFINANCE(C23, ""price"") / INDEX(GOOGLEFINANCE(C23, ""price"", EDATE(TODAY(), -3), TODAY()), 2, 2)) - 1, """")"),"")</f>
        <v/>
      </c>
      <c r="O23" s="21" t="str">
        <f>IFERROR(__xludf.DUMMYFUNCTION("IFERROR((GOOGLEFINANCE(C23, ""price"") / INDEX(GOOGLEFINANCE(C23, ""price"", EDATE(TODAY(), -6), TODAY()), 2, 2)) - 1, """")"),"")</f>
        <v/>
      </c>
      <c r="P23" s="21" t="str">
        <f>IFERROR(__xludf.DUMMYFUNCTION("IFERROR((GOOGLEFINANCE(C23, ""price"") / INDEX(GOOGLEFINANCE(C23, ""price"", EDATE(TODAY(), -12), TODAY()), 2, 2)) - 1, """")"),"")</f>
        <v/>
      </c>
      <c r="Q23" s="6" t="str">
        <f>IFERROR(__xludf.DUMMYFUNCTION("AVERAGE(QUERY(GOOGLEFINANCE(C23, ""price"", TODAY()-80, TODAY()), ""SELECT Col2 WHERE Col2 IS NOT NULL ORDER BY Col1 DESC LIMIT 50"", 0))"),"#N/A")</f>
        <v>#N/A</v>
      </c>
      <c r="R23" s="24" t="str">
        <f>IFERROR(__xludf.DUMMYFUNCTION("IFERROR(
  LET(
    data, QUERY(GOOGLEFINANCE(C23,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GOOGLEFINANCE(C23, ""price"")) * 100,
    IF(calc=0, G23, calc)
  ), 
G23)"),"#N/A")</f>
        <v>#N/A</v>
      </c>
      <c r="S23" s="8" t="s">
        <v>15</v>
      </c>
      <c r="T23" s="26" t="str">
        <f>IFERROR(__xludf.DUMMYFUNCTION("IFERROR(TRANSPOSE(QUERY(IFERROR(SORT(GOOGLEFINANCE(C23, ""price"", WORKDAY(TODAY(), -40), TODAY()), 1, FALSE)), ""select Col2 where Col2 is not null limit 22 label Col2 ''"", 0)), """")"),"")</f>
        <v/>
      </c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8"/>
      <c r="AO23" s="28"/>
      <c r="AP23" s="29"/>
      <c r="AQ23" s="29" t="str">
        <f t="shared" ref="AQ23:BL23" si="26">T23/T$2</f>
        <v>#N/A</v>
      </c>
      <c r="AR23" s="29" t="str">
        <f t="shared" si="26"/>
        <v>#DIV/0!</v>
      </c>
      <c r="AS23" s="29" t="str">
        <f t="shared" si="26"/>
        <v>#DIV/0!</v>
      </c>
      <c r="AT23" s="29" t="str">
        <f t="shared" si="26"/>
        <v>#DIV/0!</v>
      </c>
      <c r="AU23" s="29" t="str">
        <f t="shared" si="26"/>
        <v>#DIV/0!</v>
      </c>
      <c r="AV23" s="29" t="str">
        <f t="shared" si="26"/>
        <v>#DIV/0!</v>
      </c>
      <c r="AW23" s="29" t="str">
        <f t="shared" si="26"/>
        <v>#DIV/0!</v>
      </c>
      <c r="AX23" s="29" t="str">
        <f t="shared" si="26"/>
        <v>#DIV/0!</v>
      </c>
      <c r="AY23" s="29" t="str">
        <f t="shared" si="26"/>
        <v>#DIV/0!</v>
      </c>
      <c r="AZ23" s="29" t="str">
        <f t="shared" si="26"/>
        <v>#DIV/0!</v>
      </c>
      <c r="BA23" s="29" t="str">
        <f t="shared" si="26"/>
        <v>#DIV/0!</v>
      </c>
      <c r="BB23" s="29" t="str">
        <f t="shared" si="26"/>
        <v>#DIV/0!</v>
      </c>
      <c r="BC23" s="29" t="str">
        <f t="shared" si="26"/>
        <v>#DIV/0!</v>
      </c>
      <c r="BD23" s="29" t="str">
        <f t="shared" si="26"/>
        <v>#DIV/0!</v>
      </c>
      <c r="BE23" s="29" t="str">
        <f t="shared" si="26"/>
        <v>#DIV/0!</v>
      </c>
      <c r="BF23" s="29" t="str">
        <f t="shared" si="26"/>
        <v>#DIV/0!</v>
      </c>
      <c r="BG23" s="29" t="str">
        <f t="shared" si="26"/>
        <v>#DIV/0!</v>
      </c>
      <c r="BH23" s="29" t="str">
        <f t="shared" si="26"/>
        <v>#DIV/0!</v>
      </c>
      <c r="BI23" s="29" t="str">
        <f t="shared" si="26"/>
        <v>#DIV/0!</v>
      </c>
      <c r="BJ23" s="29" t="str">
        <f t="shared" si="26"/>
        <v>#DIV/0!</v>
      </c>
      <c r="BK23" s="29" t="str">
        <f t="shared" si="26"/>
        <v>#DIV/0!</v>
      </c>
      <c r="BL23" s="29" t="str">
        <f t="shared" si="26"/>
        <v>#DIV/0!</v>
      </c>
      <c r="BM23" s="29" t="str">
        <f t="shared" si="3"/>
        <v>#DIV/0!</v>
      </c>
    </row>
    <row r="24">
      <c r="A24" s="16" t="str">
        <f>IFERROR(__xludf.DUMMYFUNCTION("IFERROR(SPARKLINE(SORT(MAP(TRANSPOSE(AQ24:BL24), LAMBDA(val, IF(ISNUMBER(val), PERCENTRANK(AQ24:BL24, val)+0.01, 0))), SEQUENCE(COLUMNS(AQ24:BL24)), FALSE), {""charttype"",""column""; ""color"",""chartreuse""; ""ymin"", 0; ""ymax"", 1.01; ""highcolor"", "&amp;"""darkgreen""; ""lowcolor"", ""red""}), """")"),"")</f>
        <v/>
      </c>
      <c r="B24" s="17" t="str">
        <f t="shared" si="4"/>
        <v/>
      </c>
      <c r="C24" s="1" t="s">
        <v>1558</v>
      </c>
      <c r="D24" s="30" t="str">
        <f>IFERROR(__xludf.DUMMYFUNCTION("IFERROR(GOOGLEFINANCE(C24, ""NAME""))"),"Evolus Inc")</f>
        <v>Evolus Inc</v>
      </c>
      <c r="E24" s="30" t="s">
        <v>1475</v>
      </c>
      <c r="F24" s="33" t="str">
        <f>IFERROR(__xludf.DUMMYFUNCTION("( (GOOGLEFINANCE(C24, ""price"") - Q24) / Q24 ) / (R24 / 100)"),"Loading...")</f>
        <v>Loading...</v>
      </c>
      <c r="G24" s="20" t="str">
        <f>IFERROR(__xludf.DUMMYFUNCTION("AVERAGE(ARRAYFORMULA(100 * (QUERY(GOOGLEFINANCE(C24, ""high"", TODAY()-40, TODAY()), ""SELECT Col2 WHERE Col2 IS NOT NULL ORDER BY Col1 DESC LIMIT 20"", 0) / QUERY(GOOGLEFINANCE(C24, ""low"", TODAY()-40, TODAY()), ""SELECT Col2 WHERE Col2 IS NOT NULL ORDE"&amp;"R BY Col1 DESC LIMIT 20"", 0) - 1)))"),"#N/A")</f>
        <v>#N/A</v>
      </c>
      <c r="H24" s="35" t="str">
        <f t="shared" si="6"/>
        <v/>
      </c>
      <c r="I24" s="36" t="str">
        <f t="shared" si="7"/>
        <v/>
      </c>
      <c r="J24" s="37" t="str">
        <f>IFERROR(__xludf.DUMMYFUNCTION("IFERROR(
  IF(C24="""",, 
    IFERROR(
      GOOGLEFINANCE(C24, ""price"") * GOOGLEFINANCE(C24, ""volumeavg""), 
      GOOGLEFINANCE(C24, ""price"") * AVERAGE(QUERY(GOOGLEFINANCE(C24, ""volume"", TODAY()-40, TODAY()), ""SELECT Col2 WHERE Col2 IS NOT NULL "&amp;"ORDER BY Col1 DESC LIMIT 20"", 0))
    )
  ), 
"""")"),"")</f>
        <v/>
      </c>
      <c r="K24" s="21" t="str">
        <f>IFERROR(__xludf.DUMMYFUNCTION("IFERROR(GOOGLEFINANCE(C24, ""changepct"") / 100, """")"),"")</f>
        <v/>
      </c>
      <c r="L24" s="21" t="str">
        <f>IFERROR(__xludf.DUMMYFUNCTION("IFERROR((GOOGLEFINANCE(C24, ""price"") / INDEX(GOOGLEFINANCE(C24, ""price"", TODAY()-7, TODAY()), 2, 2)) - 1, """")"),"")</f>
        <v/>
      </c>
      <c r="M24" s="21" t="str">
        <f>IFERROR(__xludf.DUMMYFUNCTION("IFERROR((GOOGLEFINANCE(C24, ""price"") / INDEX(GOOGLEFINANCE(C24, ""price"", EDATE(TODAY(), -1), TODAY()), 2, 2)) - 1, """")"),"")</f>
        <v/>
      </c>
      <c r="N24" s="21" t="str">
        <f>IFERROR(__xludf.DUMMYFUNCTION("IFERROR((GOOGLEFINANCE(C24, ""price"") / INDEX(GOOGLEFINANCE(C24, ""price"", EDATE(TODAY(), -3), TODAY()), 2, 2)) - 1, """")"),"")</f>
        <v/>
      </c>
      <c r="O24" s="21" t="str">
        <f>IFERROR(__xludf.DUMMYFUNCTION("IFERROR((GOOGLEFINANCE(C24, ""price"") / INDEX(GOOGLEFINANCE(C24, ""price"", EDATE(TODAY(), -6), TODAY()), 2, 2)) - 1, """")"),"")</f>
        <v/>
      </c>
      <c r="P24" s="21" t="str">
        <f>IFERROR(__xludf.DUMMYFUNCTION("IFERROR((GOOGLEFINANCE(C24, ""price"") / INDEX(GOOGLEFINANCE(C24, ""price"", EDATE(TODAY(), -12), TODAY()), 2, 2)) - 1, """")"),"")</f>
        <v/>
      </c>
      <c r="Q24" s="6" t="str">
        <f>IFERROR(__xludf.DUMMYFUNCTION("AVERAGE(QUERY(GOOGLEFINANCE(C24, ""price"", TODAY()-80, TODAY()), ""SELECT Col2 WHERE Col2 IS NOT NULL ORDER BY Col1 DESC LIMIT 50"", 0))"),"#N/A")</f>
        <v>#N/A</v>
      </c>
      <c r="R24" s="24" t="str">
        <f>IFERROR(__xludf.DUMMYFUNCTION("IFERROR(
  LET(
    data, QUERY(GOOGLEFINANCE(C24,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GOOGLEFINANCE(C24, ""price"")) * 100,
    IF(calc=0, G24, calc)
  ), 
G24)"),"#N/A")</f>
        <v>#N/A</v>
      </c>
      <c r="S24" s="8" t="s">
        <v>15</v>
      </c>
      <c r="T24" s="26" t="str">
        <f>IFERROR(__xludf.DUMMYFUNCTION("IFERROR(TRANSPOSE(QUERY(IFERROR(SORT(GOOGLEFINANCE(C24, ""price"", WORKDAY(TODAY(), -40), TODAY()), 1, FALSE)), ""select Col2 where Col2 is not null limit 22 label Col2 ''"", 0)), """")"),"")</f>
        <v/>
      </c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8"/>
      <c r="AO24" s="28"/>
      <c r="AP24" s="29"/>
      <c r="AQ24" s="29" t="str">
        <f t="shared" ref="AQ24:BL24" si="27">T24/T$2</f>
        <v>#N/A</v>
      </c>
      <c r="AR24" s="29" t="str">
        <f t="shared" si="27"/>
        <v>#DIV/0!</v>
      </c>
      <c r="AS24" s="29" t="str">
        <f t="shared" si="27"/>
        <v>#DIV/0!</v>
      </c>
      <c r="AT24" s="29" t="str">
        <f t="shared" si="27"/>
        <v>#DIV/0!</v>
      </c>
      <c r="AU24" s="29" t="str">
        <f t="shared" si="27"/>
        <v>#DIV/0!</v>
      </c>
      <c r="AV24" s="29" t="str">
        <f t="shared" si="27"/>
        <v>#DIV/0!</v>
      </c>
      <c r="AW24" s="29" t="str">
        <f t="shared" si="27"/>
        <v>#DIV/0!</v>
      </c>
      <c r="AX24" s="29" t="str">
        <f t="shared" si="27"/>
        <v>#DIV/0!</v>
      </c>
      <c r="AY24" s="29" t="str">
        <f t="shared" si="27"/>
        <v>#DIV/0!</v>
      </c>
      <c r="AZ24" s="29" t="str">
        <f t="shared" si="27"/>
        <v>#DIV/0!</v>
      </c>
      <c r="BA24" s="29" t="str">
        <f t="shared" si="27"/>
        <v>#DIV/0!</v>
      </c>
      <c r="BB24" s="29" t="str">
        <f t="shared" si="27"/>
        <v>#DIV/0!</v>
      </c>
      <c r="BC24" s="29" t="str">
        <f t="shared" si="27"/>
        <v>#DIV/0!</v>
      </c>
      <c r="BD24" s="29" t="str">
        <f t="shared" si="27"/>
        <v>#DIV/0!</v>
      </c>
      <c r="BE24" s="29" t="str">
        <f t="shared" si="27"/>
        <v>#DIV/0!</v>
      </c>
      <c r="BF24" s="29" t="str">
        <f t="shared" si="27"/>
        <v>#DIV/0!</v>
      </c>
      <c r="BG24" s="29" t="str">
        <f t="shared" si="27"/>
        <v>#DIV/0!</v>
      </c>
      <c r="BH24" s="29" t="str">
        <f t="shared" si="27"/>
        <v>#DIV/0!</v>
      </c>
      <c r="BI24" s="29" t="str">
        <f t="shared" si="27"/>
        <v>#DIV/0!</v>
      </c>
      <c r="BJ24" s="29" t="str">
        <f t="shared" si="27"/>
        <v>#DIV/0!</v>
      </c>
      <c r="BK24" s="29" t="str">
        <f t="shared" si="27"/>
        <v>#DIV/0!</v>
      </c>
      <c r="BL24" s="29" t="str">
        <f t="shared" si="27"/>
        <v>#DIV/0!</v>
      </c>
      <c r="BM24" s="29" t="str">
        <f t="shared" si="3"/>
        <v>#DIV/0!</v>
      </c>
    </row>
    <row r="25">
      <c r="A25" s="16" t="str">
        <f>IFERROR(__xludf.DUMMYFUNCTION("IFERROR(SPARKLINE(SORT(MAP(TRANSPOSE(AQ25:BL25), LAMBDA(val, IF(ISNUMBER(val), PERCENTRANK(AQ25:BL25, val)+0.01, 0))), SEQUENCE(COLUMNS(AQ25:BL25)), FALSE), {""charttype"",""column""; ""color"",""chartreuse""; ""ymin"", 0; ""ymax"", 1.01; ""highcolor"", "&amp;"""darkgreen""; ""lowcolor"", ""red""}), """")"),"")</f>
        <v/>
      </c>
      <c r="B25" s="17" t="str">
        <f t="shared" si="4"/>
        <v/>
      </c>
      <c r="C25" s="1" t="s">
        <v>1560</v>
      </c>
      <c r="D25" s="30" t="str">
        <f>IFERROR(__xludf.DUMMYFUNCTION("IFERROR(GOOGLEFINANCE(C25, ""NAME""))"),"UnitedHealth Group Inc")</f>
        <v>UnitedHealth Group Inc</v>
      </c>
      <c r="E25" s="30" t="s">
        <v>1479</v>
      </c>
      <c r="F25" s="33" t="str">
        <f>IFERROR(__xludf.DUMMYFUNCTION("( (GOOGLEFINANCE(C25, ""price"") - Q25) / Q25 ) / (R25 / 100)"),"Loading...")</f>
        <v>Loading...</v>
      </c>
      <c r="G25" s="20" t="str">
        <f>IFERROR(__xludf.DUMMYFUNCTION("AVERAGE(ARRAYFORMULA(100 * (QUERY(GOOGLEFINANCE(C25, ""high"", TODAY()-40, TODAY()), ""SELECT Col2 WHERE Col2 IS NOT NULL ORDER BY Col1 DESC LIMIT 20"", 0) / QUERY(GOOGLEFINANCE(C25, ""low"", TODAY()-40, TODAY()), ""SELECT Col2 WHERE Col2 IS NOT NULL ORDE"&amp;"R BY Col1 DESC LIMIT 20"", 0) - 1)))"),"#N/A")</f>
        <v>#N/A</v>
      </c>
      <c r="H25" s="35" t="str">
        <f t="shared" si="6"/>
        <v/>
      </c>
      <c r="I25" s="36" t="str">
        <f t="shared" si="7"/>
        <v/>
      </c>
      <c r="J25" s="37" t="str">
        <f>IFERROR(__xludf.DUMMYFUNCTION("IFERROR(
  IF(C25="""",, 
    IFERROR(
      GOOGLEFINANCE(C25, ""price"") * GOOGLEFINANCE(C25, ""volumeavg""), 
      GOOGLEFINANCE(C25, ""price"") * AVERAGE(QUERY(GOOGLEFINANCE(C25, ""volume"", TODAY()-40, TODAY()), ""SELECT Col2 WHERE Col2 IS NOT NULL "&amp;"ORDER BY Col1 DESC LIMIT 20"", 0))
    )
  ), 
"""")"),"")</f>
        <v/>
      </c>
      <c r="K25" s="21" t="str">
        <f>IFERROR(__xludf.DUMMYFUNCTION("IFERROR(GOOGLEFINANCE(C25, ""changepct"") / 100, """")"),"")</f>
        <v/>
      </c>
      <c r="L25" s="21" t="str">
        <f>IFERROR(__xludf.DUMMYFUNCTION("IFERROR((GOOGLEFINANCE(C25, ""price"") / INDEX(GOOGLEFINANCE(C25, ""price"", TODAY()-7, TODAY()), 2, 2)) - 1, """")"),"")</f>
        <v/>
      </c>
      <c r="M25" s="21" t="str">
        <f>IFERROR(__xludf.DUMMYFUNCTION("IFERROR((GOOGLEFINANCE(C25, ""price"") / INDEX(GOOGLEFINANCE(C25, ""price"", EDATE(TODAY(), -1), TODAY()), 2, 2)) - 1, """")"),"")</f>
        <v/>
      </c>
      <c r="N25" s="21" t="str">
        <f>IFERROR(__xludf.DUMMYFUNCTION("IFERROR((GOOGLEFINANCE(C25, ""price"") / INDEX(GOOGLEFINANCE(C25, ""price"", EDATE(TODAY(), -3), TODAY()), 2, 2)) - 1, """")"),"")</f>
        <v/>
      </c>
      <c r="O25" s="21" t="str">
        <f>IFERROR(__xludf.DUMMYFUNCTION("IFERROR((GOOGLEFINANCE(C25, ""price"") / INDEX(GOOGLEFINANCE(C25, ""price"", EDATE(TODAY(), -6), TODAY()), 2, 2)) - 1, """")"),"")</f>
        <v/>
      </c>
      <c r="P25" s="21" t="str">
        <f>IFERROR(__xludf.DUMMYFUNCTION("IFERROR((GOOGLEFINANCE(C25, ""price"") / INDEX(GOOGLEFINANCE(C25, ""price"", EDATE(TODAY(), -12), TODAY()), 2, 2)) - 1, """")"),"")</f>
        <v/>
      </c>
      <c r="Q25" s="6" t="str">
        <f>IFERROR(__xludf.DUMMYFUNCTION("AVERAGE(QUERY(GOOGLEFINANCE(C25, ""price"", TODAY()-80, TODAY()), ""SELECT Col2 WHERE Col2 IS NOT NULL ORDER BY Col1 DESC LIMIT 50"", 0))"),"#N/A")</f>
        <v>#N/A</v>
      </c>
      <c r="R25" s="24" t="str">
        <f>IFERROR(__xludf.DUMMYFUNCTION("IFERROR(
  LET(
    data, QUERY(GOOGLEFINANCE(C25,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GOOGLEFINANCE(C25, ""price"")) * 100,
    IF(calc=0, G25, calc)
  ), 
G25)"),"#N/A")</f>
        <v>#N/A</v>
      </c>
      <c r="S25" s="8" t="s">
        <v>15</v>
      </c>
      <c r="T25" s="26" t="str">
        <f>IFERROR(__xludf.DUMMYFUNCTION("IFERROR(TRANSPOSE(QUERY(IFERROR(SORT(GOOGLEFINANCE(C25, ""price"", WORKDAY(TODAY(), -40), TODAY()), 1, FALSE)), ""select Col2 where Col2 is not null limit 22 label Col2 ''"", 0)), """")"),"")</f>
        <v/>
      </c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8"/>
      <c r="AO25" s="28"/>
      <c r="AP25" s="29"/>
      <c r="AQ25" s="29" t="str">
        <f t="shared" ref="AQ25:BL25" si="28">T25/T$2</f>
        <v>#N/A</v>
      </c>
      <c r="AR25" s="29" t="str">
        <f t="shared" si="28"/>
        <v>#DIV/0!</v>
      </c>
      <c r="AS25" s="29" t="str">
        <f t="shared" si="28"/>
        <v>#DIV/0!</v>
      </c>
      <c r="AT25" s="29" t="str">
        <f t="shared" si="28"/>
        <v>#DIV/0!</v>
      </c>
      <c r="AU25" s="29" t="str">
        <f t="shared" si="28"/>
        <v>#DIV/0!</v>
      </c>
      <c r="AV25" s="29" t="str">
        <f t="shared" si="28"/>
        <v>#DIV/0!</v>
      </c>
      <c r="AW25" s="29" t="str">
        <f t="shared" si="28"/>
        <v>#DIV/0!</v>
      </c>
      <c r="AX25" s="29" t="str">
        <f t="shared" si="28"/>
        <v>#DIV/0!</v>
      </c>
      <c r="AY25" s="29" t="str">
        <f t="shared" si="28"/>
        <v>#DIV/0!</v>
      </c>
      <c r="AZ25" s="29" t="str">
        <f t="shared" si="28"/>
        <v>#DIV/0!</v>
      </c>
      <c r="BA25" s="29" t="str">
        <f t="shared" si="28"/>
        <v>#DIV/0!</v>
      </c>
      <c r="BB25" s="29" t="str">
        <f t="shared" si="28"/>
        <v>#DIV/0!</v>
      </c>
      <c r="BC25" s="29" t="str">
        <f t="shared" si="28"/>
        <v>#DIV/0!</v>
      </c>
      <c r="BD25" s="29" t="str">
        <f t="shared" si="28"/>
        <v>#DIV/0!</v>
      </c>
      <c r="BE25" s="29" t="str">
        <f t="shared" si="28"/>
        <v>#DIV/0!</v>
      </c>
      <c r="BF25" s="29" t="str">
        <f t="shared" si="28"/>
        <v>#DIV/0!</v>
      </c>
      <c r="BG25" s="29" t="str">
        <f t="shared" si="28"/>
        <v>#DIV/0!</v>
      </c>
      <c r="BH25" s="29" t="str">
        <f t="shared" si="28"/>
        <v>#DIV/0!</v>
      </c>
      <c r="BI25" s="29" t="str">
        <f t="shared" si="28"/>
        <v>#DIV/0!</v>
      </c>
      <c r="BJ25" s="29" t="str">
        <f t="shared" si="28"/>
        <v>#DIV/0!</v>
      </c>
      <c r="BK25" s="29" t="str">
        <f t="shared" si="28"/>
        <v>#DIV/0!</v>
      </c>
      <c r="BL25" s="29" t="str">
        <f t="shared" si="28"/>
        <v>#DIV/0!</v>
      </c>
      <c r="BM25" s="29" t="str">
        <f t="shared" si="3"/>
        <v>#DIV/0!</v>
      </c>
    </row>
    <row r="26">
      <c r="A26" s="16" t="str">
        <f>IFERROR(__xludf.DUMMYFUNCTION("IFERROR(SPARKLINE(SORT(MAP(TRANSPOSE(AQ26:BL26), LAMBDA(val, IF(ISNUMBER(val), PERCENTRANK(AQ26:BL26, val)+0.01, 0))), SEQUENCE(COLUMNS(AQ26:BL26)), FALSE), {""charttype"",""column""; ""color"",""chartreuse""; ""ymin"", 0; ""ymax"", 1.01; ""highcolor"", "&amp;"""darkgreen""; ""lowcolor"", ""red""}), """")"),"")</f>
        <v/>
      </c>
      <c r="B26" s="17" t="str">
        <f t="shared" si="4"/>
        <v/>
      </c>
      <c r="C26" s="1" t="s">
        <v>1563</v>
      </c>
      <c r="D26" s="30" t="str">
        <f>IFERROR(__xludf.DUMMYFUNCTION("IFERROR(GOOGLEFINANCE(C26, ""NAME""))"),"Elevance Health Inc")</f>
        <v>Elevance Health Inc</v>
      </c>
      <c r="E26" s="30" t="s">
        <v>1479</v>
      </c>
      <c r="F26" s="33" t="str">
        <f>IFERROR(__xludf.DUMMYFUNCTION("( (GOOGLEFINANCE(C26, ""price"") - Q26) / Q26 ) / (R26 / 100)"),"Loading...")</f>
        <v>Loading...</v>
      </c>
      <c r="G26" s="20" t="str">
        <f>IFERROR(__xludf.DUMMYFUNCTION("AVERAGE(ARRAYFORMULA(100 * (QUERY(GOOGLEFINANCE(C26, ""high"", TODAY()-40, TODAY()), ""SELECT Col2 WHERE Col2 IS NOT NULL ORDER BY Col1 DESC LIMIT 20"", 0) / QUERY(GOOGLEFINANCE(C26, ""low"", TODAY()-40, TODAY()), ""SELECT Col2 WHERE Col2 IS NOT NULL ORDE"&amp;"R BY Col1 DESC LIMIT 20"", 0) - 1)))"),"#N/A")</f>
        <v>#N/A</v>
      </c>
      <c r="H26" s="35" t="str">
        <f t="shared" si="6"/>
        <v/>
      </c>
      <c r="I26" s="36" t="str">
        <f t="shared" si="7"/>
        <v/>
      </c>
      <c r="J26" s="37" t="str">
        <f>IFERROR(__xludf.DUMMYFUNCTION("IFERROR(
  IF(C26="""",, 
    IFERROR(
      GOOGLEFINANCE(C26, ""price"") * GOOGLEFINANCE(C26, ""volumeavg""), 
      GOOGLEFINANCE(C26, ""price"") * AVERAGE(QUERY(GOOGLEFINANCE(C26, ""volume"", TODAY()-40, TODAY()), ""SELECT Col2 WHERE Col2 IS NOT NULL "&amp;"ORDER BY Col1 DESC LIMIT 20"", 0))
    )
  ), 
"""")"),"")</f>
        <v/>
      </c>
      <c r="K26" s="21" t="str">
        <f>IFERROR(__xludf.DUMMYFUNCTION("IFERROR(GOOGLEFINANCE(C26, ""changepct"") / 100, """")"),"")</f>
        <v/>
      </c>
      <c r="L26" s="21" t="str">
        <f>IFERROR(__xludf.DUMMYFUNCTION("IFERROR((GOOGLEFINANCE(C26, ""price"") / INDEX(GOOGLEFINANCE(C26, ""price"", TODAY()-7, TODAY()), 2, 2)) - 1, """")"),"")</f>
        <v/>
      </c>
      <c r="M26" s="21" t="str">
        <f>IFERROR(__xludf.DUMMYFUNCTION("IFERROR((GOOGLEFINANCE(C26, ""price"") / INDEX(GOOGLEFINANCE(C26, ""price"", EDATE(TODAY(), -1), TODAY()), 2, 2)) - 1, """")"),"")</f>
        <v/>
      </c>
      <c r="N26" s="21" t="str">
        <f>IFERROR(__xludf.DUMMYFUNCTION("IFERROR((GOOGLEFINANCE(C26, ""price"") / INDEX(GOOGLEFINANCE(C26, ""price"", EDATE(TODAY(), -3), TODAY()), 2, 2)) - 1, """")"),"")</f>
        <v/>
      </c>
      <c r="O26" s="21" t="str">
        <f>IFERROR(__xludf.DUMMYFUNCTION("IFERROR((GOOGLEFINANCE(C26, ""price"") / INDEX(GOOGLEFINANCE(C26, ""price"", EDATE(TODAY(), -6), TODAY()), 2, 2)) - 1, """")"),"")</f>
        <v/>
      </c>
      <c r="P26" s="21" t="str">
        <f>IFERROR(__xludf.DUMMYFUNCTION("IFERROR((GOOGLEFINANCE(C26, ""price"") / INDEX(GOOGLEFINANCE(C26, ""price"", EDATE(TODAY(), -12), TODAY()), 2, 2)) - 1, """")"),"")</f>
        <v/>
      </c>
      <c r="Q26" s="6" t="str">
        <f>IFERROR(__xludf.DUMMYFUNCTION("AVERAGE(QUERY(GOOGLEFINANCE(C26, ""price"", TODAY()-80, TODAY()), ""SELECT Col2 WHERE Col2 IS NOT NULL ORDER BY Col1 DESC LIMIT 50"", 0))"),"#N/A")</f>
        <v>#N/A</v>
      </c>
      <c r="R26" s="24" t="str">
        <f>IFERROR(__xludf.DUMMYFUNCTION("IFERROR(
  LET(
    data, QUERY(GOOGLEFINANCE(C26,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GOOGLEFINANCE(C26, ""price"")) * 100,
    IF(calc=0, G26, calc)
  ), 
G26)"),"#N/A")</f>
        <v>#N/A</v>
      </c>
      <c r="S26" s="8" t="s">
        <v>15</v>
      </c>
      <c r="T26" s="26" t="str">
        <f>IFERROR(__xludf.DUMMYFUNCTION("IFERROR(TRANSPOSE(QUERY(IFERROR(SORT(GOOGLEFINANCE(C26, ""price"", WORKDAY(TODAY(), -40), TODAY()), 1, FALSE)), ""select Col2 where Col2 is not null limit 22 label Col2 ''"", 0)), """")"),"")</f>
        <v/>
      </c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8"/>
      <c r="AO26" s="28"/>
      <c r="AP26" s="29"/>
      <c r="AQ26" s="29" t="str">
        <f t="shared" ref="AQ26:BL26" si="29">T26/T$2</f>
        <v>#N/A</v>
      </c>
      <c r="AR26" s="29" t="str">
        <f t="shared" si="29"/>
        <v>#DIV/0!</v>
      </c>
      <c r="AS26" s="29" t="str">
        <f t="shared" si="29"/>
        <v>#DIV/0!</v>
      </c>
      <c r="AT26" s="29" t="str">
        <f t="shared" si="29"/>
        <v>#DIV/0!</v>
      </c>
      <c r="AU26" s="29" t="str">
        <f t="shared" si="29"/>
        <v>#DIV/0!</v>
      </c>
      <c r="AV26" s="29" t="str">
        <f t="shared" si="29"/>
        <v>#DIV/0!</v>
      </c>
      <c r="AW26" s="29" t="str">
        <f t="shared" si="29"/>
        <v>#DIV/0!</v>
      </c>
      <c r="AX26" s="29" t="str">
        <f t="shared" si="29"/>
        <v>#DIV/0!</v>
      </c>
      <c r="AY26" s="29" t="str">
        <f t="shared" si="29"/>
        <v>#DIV/0!</v>
      </c>
      <c r="AZ26" s="29" t="str">
        <f t="shared" si="29"/>
        <v>#DIV/0!</v>
      </c>
      <c r="BA26" s="29" t="str">
        <f t="shared" si="29"/>
        <v>#DIV/0!</v>
      </c>
      <c r="BB26" s="29" t="str">
        <f t="shared" si="29"/>
        <v>#DIV/0!</v>
      </c>
      <c r="BC26" s="29" t="str">
        <f t="shared" si="29"/>
        <v>#DIV/0!</v>
      </c>
      <c r="BD26" s="29" t="str">
        <f t="shared" si="29"/>
        <v>#DIV/0!</v>
      </c>
      <c r="BE26" s="29" t="str">
        <f t="shared" si="29"/>
        <v>#DIV/0!</v>
      </c>
      <c r="BF26" s="29" t="str">
        <f t="shared" si="29"/>
        <v>#DIV/0!</v>
      </c>
      <c r="BG26" s="29" t="str">
        <f t="shared" si="29"/>
        <v>#DIV/0!</v>
      </c>
      <c r="BH26" s="29" t="str">
        <f t="shared" si="29"/>
        <v>#DIV/0!</v>
      </c>
      <c r="BI26" s="29" t="str">
        <f t="shared" si="29"/>
        <v>#DIV/0!</v>
      </c>
      <c r="BJ26" s="29" t="str">
        <f t="shared" si="29"/>
        <v>#DIV/0!</v>
      </c>
      <c r="BK26" s="29" t="str">
        <f t="shared" si="29"/>
        <v>#DIV/0!</v>
      </c>
      <c r="BL26" s="29" t="str">
        <f t="shared" si="29"/>
        <v>#DIV/0!</v>
      </c>
      <c r="BM26" s="29" t="str">
        <f t="shared" si="3"/>
        <v>#DIV/0!</v>
      </c>
    </row>
    <row r="27">
      <c r="A27" s="16" t="str">
        <f>IFERROR(__xludf.DUMMYFUNCTION("IFERROR(SPARKLINE(SORT(MAP(TRANSPOSE(AQ27:BL27), LAMBDA(val, IF(ISNUMBER(val), PERCENTRANK(AQ27:BL27, val)+0.01, 0))), SEQUENCE(COLUMNS(AQ27:BL27)), FALSE), {""charttype"",""column""; ""color"",""chartreuse""; ""ymin"", 0; ""ymax"", 1.01; ""highcolor"", "&amp;"""darkgreen""; ""lowcolor"", ""red""}), """")"),"")</f>
        <v/>
      </c>
      <c r="B27" s="17" t="str">
        <f t="shared" si="4"/>
        <v/>
      </c>
      <c r="C27" s="1" t="s">
        <v>1567</v>
      </c>
      <c r="D27" s="30" t="str">
        <f>IFERROR(__xludf.DUMMYFUNCTION("IFERROR(GOOGLEFINANCE(C27, ""NAME""))"),"NRC Health")</f>
        <v>NRC Health</v>
      </c>
      <c r="E27" s="30" t="s">
        <v>1532</v>
      </c>
      <c r="F27" s="33" t="str">
        <f>IFERROR(__xludf.DUMMYFUNCTION("( (GOOGLEFINANCE(C27, ""price"") - Q27) / Q27 ) / (R27 / 100)"),"Loading...")</f>
        <v>Loading...</v>
      </c>
      <c r="G27" s="20" t="str">
        <f>IFERROR(__xludf.DUMMYFUNCTION("AVERAGE(ARRAYFORMULA(100 * (QUERY(GOOGLEFINANCE(C27, ""high"", TODAY()-40, TODAY()), ""SELECT Col2 WHERE Col2 IS NOT NULL ORDER BY Col1 DESC LIMIT 20"", 0) / QUERY(GOOGLEFINANCE(C27, ""low"", TODAY()-40, TODAY()), ""SELECT Col2 WHERE Col2 IS NOT NULL ORDE"&amp;"R BY Col1 DESC LIMIT 20"", 0) - 1)))"),"#N/A")</f>
        <v>#N/A</v>
      </c>
      <c r="H27" s="35" t="str">
        <f t="shared" si="6"/>
        <v/>
      </c>
      <c r="I27" s="36" t="str">
        <f t="shared" si="7"/>
        <v/>
      </c>
      <c r="J27" s="37" t="str">
        <f>IFERROR(__xludf.DUMMYFUNCTION("IFERROR(
  IF(C27="""",, 
    IFERROR(
      GOOGLEFINANCE(C27, ""price"") * GOOGLEFINANCE(C27, ""volumeavg""), 
      GOOGLEFINANCE(C27, ""price"") * AVERAGE(QUERY(GOOGLEFINANCE(C27, ""volume"", TODAY()-40, TODAY()), ""SELECT Col2 WHERE Col2 IS NOT NULL "&amp;"ORDER BY Col1 DESC LIMIT 20"", 0))
    )
  ), 
"""")"),"")</f>
        <v/>
      </c>
      <c r="K27" s="21" t="str">
        <f>IFERROR(__xludf.DUMMYFUNCTION("IFERROR(GOOGLEFINANCE(C27, ""changepct"") / 100, """")"),"")</f>
        <v/>
      </c>
      <c r="L27" s="21" t="str">
        <f>IFERROR(__xludf.DUMMYFUNCTION("IFERROR((GOOGLEFINANCE(C27, ""price"") / INDEX(GOOGLEFINANCE(C27, ""price"", TODAY()-7, TODAY()), 2, 2)) - 1, """")"),"")</f>
        <v/>
      </c>
      <c r="M27" s="21" t="str">
        <f>IFERROR(__xludf.DUMMYFUNCTION("IFERROR((GOOGLEFINANCE(C27, ""price"") / INDEX(GOOGLEFINANCE(C27, ""price"", EDATE(TODAY(), -1), TODAY()), 2, 2)) - 1, """")"),"")</f>
        <v/>
      </c>
      <c r="N27" s="21" t="str">
        <f>IFERROR(__xludf.DUMMYFUNCTION("IFERROR((GOOGLEFINANCE(C27, ""price"") / INDEX(GOOGLEFINANCE(C27, ""price"", EDATE(TODAY(), -3), TODAY()), 2, 2)) - 1, """")"),"")</f>
        <v/>
      </c>
      <c r="O27" s="21" t="str">
        <f>IFERROR(__xludf.DUMMYFUNCTION("IFERROR((GOOGLEFINANCE(C27, ""price"") / INDEX(GOOGLEFINANCE(C27, ""price"", EDATE(TODAY(), -6), TODAY()), 2, 2)) - 1, """")"),"")</f>
        <v/>
      </c>
      <c r="P27" s="21" t="str">
        <f>IFERROR(__xludf.DUMMYFUNCTION("IFERROR((GOOGLEFINANCE(C27, ""price"") / INDEX(GOOGLEFINANCE(C27, ""price"", EDATE(TODAY(), -12), TODAY()), 2, 2)) - 1, """")"),"")</f>
        <v/>
      </c>
      <c r="Q27" s="6" t="str">
        <f>IFERROR(__xludf.DUMMYFUNCTION("AVERAGE(QUERY(GOOGLEFINANCE(C27, ""price"", TODAY()-80, TODAY()), ""SELECT Col2 WHERE Col2 IS NOT NULL ORDER BY Col1 DESC LIMIT 50"", 0))"),"#N/A")</f>
        <v>#N/A</v>
      </c>
      <c r="R27" s="24" t="str">
        <f>IFERROR(__xludf.DUMMYFUNCTION("IFERROR(
  LET(
    data, QUERY(GOOGLEFINANCE(C27,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GOOGLEFINANCE(C27, ""price"")) * 100,
    IF(calc=0, G27, calc)
  ), 
G27)"),"#N/A")</f>
        <v>#N/A</v>
      </c>
      <c r="S27" s="8" t="s">
        <v>15</v>
      </c>
      <c r="T27" s="26" t="str">
        <f>IFERROR(__xludf.DUMMYFUNCTION("IFERROR(TRANSPOSE(QUERY(IFERROR(SORT(GOOGLEFINANCE(C27, ""price"", WORKDAY(TODAY(), -40), TODAY()), 1, FALSE)), ""select Col2 where Col2 is not null limit 22 label Col2 ''"", 0)), """")"),"")</f>
        <v/>
      </c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8"/>
      <c r="AO27" s="28"/>
      <c r="AP27" s="29"/>
      <c r="AQ27" s="29" t="str">
        <f t="shared" ref="AQ27:BL27" si="30">T27/T$2</f>
        <v>#N/A</v>
      </c>
      <c r="AR27" s="29" t="str">
        <f t="shared" si="30"/>
        <v>#DIV/0!</v>
      </c>
      <c r="AS27" s="29" t="str">
        <f t="shared" si="30"/>
        <v>#DIV/0!</v>
      </c>
      <c r="AT27" s="29" t="str">
        <f t="shared" si="30"/>
        <v>#DIV/0!</v>
      </c>
      <c r="AU27" s="29" t="str">
        <f t="shared" si="30"/>
        <v>#DIV/0!</v>
      </c>
      <c r="AV27" s="29" t="str">
        <f t="shared" si="30"/>
        <v>#DIV/0!</v>
      </c>
      <c r="AW27" s="29" t="str">
        <f t="shared" si="30"/>
        <v>#DIV/0!</v>
      </c>
      <c r="AX27" s="29" t="str">
        <f t="shared" si="30"/>
        <v>#DIV/0!</v>
      </c>
      <c r="AY27" s="29" t="str">
        <f t="shared" si="30"/>
        <v>#DIV/0!</v>
      </c>
      <c r="AZ27" s="29" t="str">
        <f t="shared" si="30"/>
        <v>#DIV/0!</v>
      </c>
      <c r="BA27" s="29" t="str">
        <f t="shared" si="30"/>
        <v>#DIV/0!</v>
      </c>
      <c r="BB27" s="29" t="str">
        <f t="shared" si="30"/>
        <v>#DIV/0!</v>
      </c>
      <c r="BC27" s="29" t="str">
        <f t="shared" si="30"/>
        <v>#DIV/0!</v>
      </c>
      <c r="BD27" s="29" t="str">
        <f t="shared" si="30"/>
        <v>#DIV/0!</v>
      </c>
      <c r="BE27" s="29" t="str">
        <f t="shared" si="30"/>
        <v>#DIV/0!</v>
      </c>
      <c r="BF27" s="29" t="str">
        <f t="shared" si="30"/>
        <v>#DIV/0!</v>
      </c>
      <c r="BG27" s="29" t="str">
        <f t="shared" si="30"/>
        <v>#DIV/0!</v>
      </c>
      <c r="BH27" s="29" t="str">
        <f t="shared" si="30"/>
        <v>#DIV/0!</v>
      </c>
      <c r="BI27" s="29" t="str">
        <f t="shared" si="30"/>
        <v>#DIV/0!</v>
      </c>
      <c r="BJ27" s="29" t="str">
        <f t="shared" si="30"/>
        <v>#DIV/0!</v>
      </c>
      <c r="BK27" s="29" t="str">
        <f t="shared" si="30"/>
        <v>#DIV/0!</v>
      </c>
      <c r="BL27" s="29" t="str">
        <f t="shared" si="30"/>
        <v>#DIV/0!</v>
      </c>
      <c r="BM27" s="29" t="str">
        <f t="shared" si="3"/>
        <v>#DIV/0!</v>
      </c>
    </row>
    <row r="28">
      <c r="A28" s="16" t="str">
        <f>IFERROR(__xludf.DUMMYFUNCTION("IFERROR(SPARKLINE(SORT(MAP(TRANSPOSE(AQ28:BL28), LAMBDA(val, IF(ISNUMBER(val), PERCENTRANK(AQ28:BL28, val)+0.01, 0))), SEQUENCE(COLUMNS(AQ28:BL28)), FALSE), {""charttype"",""column""; ""color"",""chartreuse""; ""ymin"", 0; ""ymax"", 1.01; ""highcolor"", "&amp;"""darkgreen""; ""lowcolor"", ""red""}), """")"),"")</f>
        <v/>
      </c>
      <c r="B28" s="17" t="str">
        <f t="shared" si="4"/>
        <v/>
      </c>
      <c r="C28" s="1" t="s">
        <v>1571</v>
      </c>
      <c r="D28" s="30" t="str">
        <f>IFERROR(__xludf.DUMMYFUNCTION("IFERROR(GOOGLEFINANCE(C28, ""NAME""))"),"Procept Biorobotics Corp")</f>
        <v>Procept Biorobotics Corp</v>
      </c>
      <c r="E28" s="30" t="s">
        <v>1491</v>
      </c>
      <c r="F28" s="33" t="str">
        <f>IFERROR(__xludf.DUMMYFUNCTION("( (GOOGLEFINANCE(C28, ""price"") - Q28) / Q28 ) / (R28 / 100)"),"Loading...")</f>
        <v>Loading...</v>
      </c>
      <c r="G28" s="20" t="str">
        <f>IFERROR(__xludf.DUMMYFUNCTION("AVERAGE(ARRAYFORMULA(100 * (QUERY(GOOGLEFINANCE(C28, ""high"", TODAY()-40, TODAY()), ""SELECT Col2 WHERE Col2 IS NOT NULL ORDER BY Col1 DESC LIMIT 20"", 0) / QUERY(GOOGLEFINANCE(C28, ""low"", TODAY()-40, TODAY()), ""SELECT Col2 WHERE Col2 IS NOT NULL ORDE"&amp;"R BY Col1 DESC LIMIT 20"", 0) - 1)))"),"#N/A")</f>
        <v>#N/A</v>
      </c>
      <c r="H28" s="35" t="str">
        <f t="shared" si="6"/>
        <v/>
      </c>
      <c r="I28" s="36" t="str">
        <f t="shared" si="7"/>
        <v/>
      </c>
      <c r="J28" s="37" t="str">
        <f>IFERROR(__xludf.DUMMYFUNCTION("IFERROR(
  IF(C28="""",, 
    IFERROR(
      GOOGLEFINANCE(C28, ""price"") * GOOGLEFINANCE(C28, ""volumeavg""), 
      GOOGLEFINANCE(C28, ""price"") * AVERAGE(QUERY(GOOGLEFINANCE(C28, ""volume"", TODAY()-40, TODAY()), ""SELECT Col2 WHERE Col2 IS NOT NULL "&amp;"ORDER BY Col1 DESC LIMIT 20"", 0))
    )
  ), 
"""")"),"")</f>
        <v/>
      </c>
      <c r="K28" s="21" t="str">
        <f>IFERROR(__xludf.DUMMYFUNCTION("IFERROR(GOOGLEFINANCE(C28, ""changepct"") / 100, """")"),"")</f>
        <v/>
      </c>
      <c r="L28" s="21" t="str">
        <f>IFERROR(__xludf.DUMMYFUNCTION("IFERROR((GOOGLEFINANCE(C28, ""price"") / INDEX(GOOGLEFINANCE(C28, ""price"", TODAY()-7, TODAY()), 2, 2)) - 1, """")"),"")</f>
        <v/>
      </c>
      <c r="M28" s="21" t="str">
        <f>IFERROR(__xludf.DUMMYFUNCTION("IFERROR((GOOGLEFINANCE(C28, ""price"") / INDEX(GOOGLEFINANCE(C28, ""price"", EDATE(TODAY(), -1), TODAY()), 2, 2)) - 1, """")"),"")</f>
        <v/>
      </c>
      <c r="N28" s="21" t="str">
        <f>IFERROR(__xludf.DUMMYFUNCTION("IFERROR((GOOGLEFINANCE(C28, ""price"") / INDEX(GOOGLEFINANCE(C28, ""price"", EDATE(TODAY(), -3), TODAY()), 2, 2)) - 1, """")"),"")</f>
        <v/>
      </c>
      <c r="O28" s="21" t="str">
        <f>IFERROR(__xludf.DUMMYFUNCTION("IFERROR((GOOGLEFINANCE(C28, ""price"") / INDEX(GOOGLEFINANCE(C28, ""price"", EDATE(TODAY(), -6), TODAY()), 2, 2)) - 1, """")"),"")</f>
        <v/>
      </c>
      <c r="P28" s="21" t="str">
        <f>IFERROR(__xludf.DUMMYFUNCTION("IFERROR((GOOGLEFINANCE(C28, ""price"") / INDEX(GOOGLEFINANCE(C28, ""price"", EDATE(TODAY(), -12), TODAY()), 2, 2)) - 1, """")"),"")</f>
        <v/>
      </c>
      <c r="Q28" s="6" t="str">
        <f>IFERROR(__xludf.DUMMYFUNCTION("AVERAGE(QUERY(GOOGLEFINANCE(C28, ""price"", TODAY()-80, TODAY()), ""SELECT Col2 WHERE Col2 IS NOT NULL ORDER BY Col1 DESC LIMIT 50"", 0))"),"#N/A")</f>
        <v>#N/A</v>
      </c>
      <c r="R28" s="24" t="str">
        <f>IFERROR(__xludf.DUMMYFUNCTION("IFERROR(
  LET(
    data, QUERY(GOOGLEFINANCE(C28,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GOOGLEFINANCE(C28, ""price"")) * 100,
    IF(calc=0, G28, calc)
  ), 
G28)"),"#N/A")</f>
        <v>#N/A</v>
      </c>
      <c r="S28" s="8" t="s">
        <v>15</v>
      </c>
      <c r="T28" s="26" t="str">
        <f>IFERROR(__xludf.DUMMYFUNCTION("IFERROR(TRANSPOSE(QUERY(IFERROR(SORT(GOOGLEFINANCE(C28, ""price"", WORKDAY(TODAY(), -40), TODAY()), 1, FALSE)), ""select Col2 where Col2 is not null limit 22 label Col2 ''"", 0)), """")"),"")</f>
        <v/>
      </c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8"/>
      <c r="AO28" s="28"/>
      <c r="AP28" s="29"/>
      <c r="AQ28" s="29" t="str">
        <f t="shared" ref="AQ28:BL28" si="31">T28/T$2</f>
        <v>#N/A</v>
      </c>
      <c r="AR28" s="29" t="str">
        <f t="shared" si="31"/>
        <v>#DIV/0!</v>
      </c>
      <c r="AS28" s="29" t="str">
        <f t="shared" si="31"/>
        <v>#DIV/0!</v>
      </c>
      <c r="AT28" s="29" t="str">
        <f t="shared" si="31"/>
        <v>#DIV/0!</v>
      </c>
      <c r="AU28" s="29" t="str">
        <f t="shared" si="31"/>
        <v>#DIV/0!</v>
      </c>
      <c r="AV28" s="29" t="str">
        <f t="shared" si="31"/>
        <v>#DIV/0!</v>
      </c>
      <c r="AW28" s="29" t="str">
        <f t="shared" si="31"/>
        <v>#DIV/0!</v>
      </c>
      <c r="AX28" s="29" t="str">
        <f t="shared" si="31"/>
        <v>#DIV/0!</v>
      </c>
      <c r="AY28" s="29" t="str">
        <f t="shared" si="31"/>
        <v>#DIV/0!</v>
      </c>
      <c r="AZ28" s="29" t="str">
        <f t="shared" si="31"/>
        <v>#DIV/0!</v>
      </c>
      <c r="BA28" s="29" t="str">
        <f t="shared" si="31"/>
        <v>#DIV/0!</v>
      </c>
      <c r="BB28" s="29" t="str">
        <f t="shared" si="31"/>
        <v>#DIV/0!</v>
      </c>
      <c r="BC28" s="29" t="str">
        <f t="shared" si="31"/>
        <v>#DIV/0!</v>
      </c>
      <c r="BD28" s="29" t="str">
        <f t="shared" si="31"/>
        <v>#DIV/0!</v>
      </c>
      <c r="BE28" s="29" t="str">
        <f t="shared" si="31"/>
        <v>#DIV/0!</v>
      </c>
      <c r="BF28" s="29" t="str">
        <f t="shared" si="31"/>
        <v>#DIV/0!</v>
      </c>
      <c r="BG28" s="29" t="str">
        <f t="shared" si="31"/>
        <v>#DIV/0!</v>
      </c>
      <c r="BH28" s="29" t="str">
        <f t="shared" si="31"/>
        <v>#DIV/0!</v>
      </c>
      <c r="BI28" s="29" t="str">
        <f t="shared" si="31"/>
        <v>#DIV/0!</v>
      </c>
      <c r="BJ28" s="29" t="str">
        <f t="shared" si="31"/>
        <v>#DIV/0!</v>
      </c>
      <c r="BK28" s="29" t="str">
        <f t="shared" si="31"/>
        <v>#DIV/0!</v>
      </c>
      <c r="BL28" s="29" t="str">
        <f t="shared" si="31"/>
        <v>#DIV/0!</v>
      </c>
      <c r="BM28" s="29" t="str">
        <f t="shared" si="3"/>
        <v>#DIV/0!</v>
      </c>
    </row>
    <row r="29">
      <c r="A29" s="16" t="str">
        <f>IFERROR(__xludf.DUMMYFUNCTION("IFERROR(SPARKLINE(SORT(MAP(TRANSPOSE(AQ29:BL29), LAMBDA(val, IF(ISNUMBER(val), PERCENTRANK(AQ29:BL29, val)+0.01, 0))), SEQUENCE(COLUMNS(AQ29:BL29)), FALSE), {""charttype"",""column""; ""color"",""chartreuse""; ""ymin"", 0; ""ymax"", 1.01; ""highcolor"", "&amp;"""darkgreen""; ""lowcolor"", ""red""}), """")"),"")</f>
        <v/>
      </c>
      <c r="B29" s="17" t="str">
        <f t="shared" si="4"/>
        <v/>
      </c>
      <c r="C29" s="1" t="s">
        <v>1574</v>
      </c>
      <c r="D29" s="30" t="str">
        <f>IFERROR(__xludf.DUMMYFUNCTION("IFERROR(GOOGLEFINANCE(C29, ""NAME""))"),"Alkermes Plc")</f>
        <v>Alkermes Plc</v>
      </c>
      <c r="E29" s="30" t="s">
        <v>1475</v>
      </c>
      <c r="F29" s="33" t="str">
        <f>IFERROR(__xludf.DUMMYFUNCTION("( (GOOGLEFINANCE(C29, ""price"") - Q29) / Q29 ) / (R29 / 100)"),"Loading...")</f>
        <v>Loading...</v>
      </c>
      <c r="G29" s="20" t="str">
        <f>IFERROR(__xludf.DUMMYFUNCTION("AVERAGE(ARRAYFORMULA(100 * (QUERY(GOOGLEFINANCE(C29, ""high"", TODAY()-40, TODAY()), ""SELECT Col2 WHERE Col2 IS NOT NULL ORDER BY Col1 DESC LIMIT 20"", 0) / QUERY(GOOGLEFINANCE(C29, ""low"", TODAY()-40, TODAY()), ""SELECT Col2 WHERE Col2 IS NOT NULL ORDE"&amp;"R BY Col1 DESC LIMIT 20"", 0) - 1)))"),"#N/A")</f>
        <v>#N/A</v>
      </c>
      <c r="H29" s="35" t="str">
        <f t="shared" si="6"/>
        <v/>
      </c>
      <c r="I29" s="36" t="str">
        <f t="shared" si="7"/>
        <v/>
      </c>
      <c r="J29" s="37" t="str">
        <f>IFERROR(__xludf.DUMMYFUNCTION("IFERROR(
  IF(C29="""",, 
    IFERROR(
      GOOGLEFINANCE(C29, ""price"") * GOOGLEFINANCE(C29, ""volumeavg""), 
      GOOGLEFINANCE(C29, ""price"") * AVERAGE(QUERY(GOOGLEFINANCE(C29, ""volume"", TODAY()-40, TODAY()), ""SELECT Col2 WHERE Col2 IS NOT NULL "&amp;"ORDER BY Col1 DESC LIMIT 20"", 0))
    )
  ), 
"""")"),"")</f>
        <v/>
      </c>
      <c r="K29" s="21" t="str">
        <f>IFERROR(__xludf.DUMMYFUNCTION("IFERROR(GOOGLEFINANCE(C29, ""changepct"") / 100, """")"),"")</f>
        <v/>
      </c>
      <c r="L29" s="21" t="str">
        <f>IFERROR(__xludf.DUMMYFUNCTION("IFERROR((GOOGLEFINANCE(C29, ""price"") / INDEX(GOOGLEFINANCE(C29, ""price"", TODAY()-7, TODAY()), 2, 2)) - 1, """")"),"")</f>
        <v/>
      </c>
      <c r="M29" s="21" t="str">
        <f>IFERROR(__xludf.DUMMYFUNCTION("IFERROR((GOOGLEFINANCE(C29, ""price"") / INDEX(GOOGLEFINANCE(C29, ""price"", EDATE(TODAY(), -1), TODAY()), 2, 2)) - 1, """")"),"")</f>
        <v/>
      </c>
      <c r="N29" s="21" t="str">
        <f>IFERROR(__xludf.DUMMYFUNCTION("IFERROR((GOOGLEFINANCE(C29, ""price"") / INDEX(GOOGLEFINANCE(C29, ""price"", EDATE(TODAY(), -3), TODAY()), 2, 2)) - 1, """")"),"")</f>
        <v/>
      </c>
      <c r="O29" s="21" t="str">
        <f>IFERROR(__xludf.DUMMYFUNCTION("IFERROR((GOOGLEFINANCE(C29, ""price"") / INDEX(GOOGLEFINANCE(C29, ""price"", EDATE(TODAY(), -6), TODAY()), 2, 2)) - 1, """")"),"")</f>
        <v/>
      </c>
      <c r="P29" s="21" t="str">
        <f>IFERROR(__xludf.DUMMYFUNCTION("IFERROR((GOOGLEFINANCE(C29, ""price"") / INDEX(GOOGLEFINANCE(C29, ""price"", EDATE(TODAY(), -12), TODAY()), 2, 2)) - 1, """")"),"")</f>
        <v/>
      </c>
      <c r="Q29" s="6" t="str">
        <f>IFERROR(__xludf.DUMMYFUNCTION("AVERAGE(QUERY(GOOGLEFINANCE(C29, ""price"", TODAY()-80, TODAY()), ""SELECT Col2 WHERE Col2 IS NOT NULL ORDER BY Col1 DESC LIMIT 50"", 0))"),"#N/A")</f>
        <v>#N/A</v>
      </c>
      <c r="R29" s="24" t="str">
        <f>IFERROR(__xludf.DUMMYFUNCTION("IFERROR(
  LET(
    data, QUERY(GOOGLEFINANCE(C29,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GOOGLEFINANCE(C29, ""price"")) * 100,
    IF(calc=0, G29, calc)
  ), 
G29)"),"#N/A")</f>
        <v>#N/A</v>
      </c>
      <c r="S29" s="8" t="s">
        <v>15</v>
      </c>
      <c r="T29" s="26" t="str">
        <f>IFERROR(__xludf.DUMMYFUNCTION("IFERROR(TRANSPOSE(QUERY(IFERROR(SORT(GOOGLEFINANCE(C29, ""price"", WORKDAY(TODAY(), -40), TODAY()), 1, FALSE)), ""select Col2 where Col2 is not null limit 22 label Col2 ''"", 0)), """")"),"")</f>
        <v/>
      </c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8"/>
      <c r="AO29" s="28"/>
      <c r="AP29" s="29"/>
      <c r="AQ29" s="29" t="str">
        <f t="shared" ref="AQ29:BL29" si="32">T29/T$2</f>
        <v>#N/A</v>
      </c>
      <c r="AR29" s="29" t="str">
        <f t="shared" si="32"/>
        <v>#DIV/0!</v>
      </c>
      <c r="AS29" s="29" t="str">
        <f t="shared" si="32"/>
        <v>#DIV/0!</v>
      </c>
      <c r="AT29" s="29" t="str">
        <f t="shared" si="32"/>
        <v>#DIV/0!</v>
      </c>
      <c r="AU29" s="29" t="str">
        <f t="shared" si="32"/>
        <v>#DIV/0!</v>
      </c>
      <c r="AV29" s="29" t="str">
        <f t="shared" si="32"/>
        <v>#DIV/0!</v>
      </c>
      <c r="AW29" s="29" t="str">
        <f t="shared" si="32"/>
        <v>#DIV/0!</v>
      </c>
      <c r="AX29" s="29" t="str">
        <f t="shared" si="32"/>
        <v>#DIV/0!</v>
      </c>
      <c r="AY29" s="29" t="str">
        <f t="shared" si="32"/>
        <v>#DIV/0!</v>
      </c>
      <c r="AZ29" s="29" t="str">
        <f t="shared" si="32"/>
        <v>#DIV/0!</v>
      </c>
      <c r="BA29" s="29" t="str">
        <f t="shared" si="32"/>
        <v>#DIV/0!</v>
      </c>
      <c r="BB29" s="29" t="str">
        <f t="shared" si="32"/>
        <v>#DIV/0!</v>
      </c>
      <c r="BC29" s="29" t="str">
        <f t="shared" si="32"/>
        <v>#DIV/0!</v>
      </c>
      <c r="BD29" s="29" t="str">
        <f t="shared" si="32"/>
        <v>#DIV/0!</v>
      </c>
      <c r="BE29" s="29" t="str">
        <f t="shared" si="32"/>
        <v>#DIV/0!</v>
      </c>
      <c r="BF29" s="29" t="str">
        <f t="shared" si="32"/>
        <v>#DIV/0!</v>
      </c>
      <c r="BG29" s="29" t="str">
        <f t="shared" si="32"/>
        <v>#DIV/0!</v>
      </c>
      <c r="BH29" s="29" t="str">
        <f t="shared" si="32"/>
        <v>#DIV/0!</v>
      </c>
      <c r="BI29" s="29" t="str">
        <f t="shared" si="32"/>
        <v>#DIV/0!</v>
      </c>
      <c r="BJ29" s="29" t="str">
        <f t="shared" si="32"/>
        <v>#DIV/0!</v>
      </c>
      <c r="BK29" s="29" t="str">
        <f t="shared" si="32"/>
        <v>#DIV/0!</v>
      </c>
      <c r="BL29" s="29" t="str">
        <f t="shared" si="32"/>
        <v>#DIV/0!</v>
      </c>
      <c r="BM29" s="29" t="str">
        <f t="shared" si="3"/>
        <v>#DIV/0!</v>
      </c>
    </row>
    <row r="30">
      <c r="A30" s="16" t="str">
        <f>IFERROR(__xludf.DUMMYFUNCTION("IFERROR(SPARKLINE(SORT(MAP(TRANSPOSE(AQ30:BL30), LAMBDA(val, IF(ISNUMBER(val), PERCENTRANK(AQ30:BL30, val)+0.01, 0))), SEQUENCE(COLUMNS(AQ30:BL30)), FALSE), {""charttype"",""column""; ""color"",""chartreuse""; ""ymin"", 0; ""ymax"", 1.01; ""highcolor"", "&amp;"""darkgreen""; ""lowcolor"", ""red""}), """")"),"")</f>
        <v/>
      </c>
      <c r="B30" s="17" t="str">
        <f t="shared" si="4"/>
        <v/>
      </c>
      <c r="C30" s="1" t="s">
        <v>1577</v>
      </c>
      <c r="D30" s="30" t="str">
        <f>IFERROR(__xludf.DUMMYFUNCTION("IFERROR(GOOGLEFINANCE(C30, ""NAME""))"),"PACS Group Inc")</f>
        <v>PACS Group Inc</v>
      </c>
      <c r="E30" s="30" t="s">
        <v>1513</v>
      </c>
      <c r="F30" s="38" t="str">
        <f>IFERROR(__xludf.DUMMYFUNCTION("( (GOOGLEFINANCE(C30, ""price"") - Q30) / Q30 ) / (R30 / 100)"),"Loading...")</f>
        <v>Loading...</v>
      </c>
      <c r="G30" s="20" t="str">
        <f>IFERROR(__xludf.DUMMYFUNCTION("AVERAGE(ARRAYFORMULA(100 * (QUERY(GOOGLEFINANCE(C30, ""high"", TODAY()-40, TODAY()), ""SELECT Col2 WHERE Col2 IS NOT NULL ORDER BY Col1 DESC LIMIT 20"", 0) / QUERY(GOOGLEFINANCE(C30, ""low"", TODAY()-40, TODAY()), ""SELECT Col2 WHERE Col2 IS NOT NULL ORDE"&amp;"R BY Col1 DESC LIMIT 20"", 0) - 1)))"),"#N/A")</f>
        <v>#N/A</v>
      </c>
      <c r="H30" s="35" t="str">
        <f t="shared" si="6"/>
        <v/>
      </c>
      <c r="I30" s="36" t="str">
        <f t="shared" si="7"/>
        <v/>
      </c>
      <c r="J30" s="37" t="str">
        <f>IFERROR(__xludf.DUMMYFUNCTION("IFERROR(
  IF(C30="""",, 
    IFERROR(
      GOOGLEFINANCE(C30, ""price"") * GOOGLEFINANCE(C30, ""volumeavg""), 
      GOOGLEFINANCE(C30, ""price"") * AVERAGE(QUERY(GOOGLEFINANCE(C30, ""volume"", TODAY()-40, TODAY()), ""SELECT Col2 WHERE Col2 IS NOT NULL "&amp;"ORDER BY Col1 DESC LIMIT 20"", 0))
    )
  ), 
"""")"),"")</f>
        <v/>
      </c>
      <c r="K30" s="21" t="str">
        <f>IFERROR(__xludf.DUMMYFUNCTION("IFERROR(GOOGLEFINANCE(C30, ""changepct"") / 100, """")"),"")</f>
        <v/>
      </c>
      <c r="L30" s="21" t="str">
        <f>IFERROR(__xludf.DUMMYFUNCTION("IFERROR((GOOGLEFINANCE(C30, ""price"") / INDEX(GOOGLEFINANCE(C30, ""price"", TODAY()-7, TODAY()), 2, 2)) - 1, """")"),"")</f>
        <v/>
      </c>
      <c r="M30" s="21" t="str">
        <f>IFERROR(__xludf.DUMMYFUNCTION("IFERROR((GOOGLEFINANCE(C30, ""price"") / INDEX(GOOGLEFINANCE(C30, ""price"", EDATE(TODAY(), -1), TODAY()), 2, 2)) - 1, """")"),"")</f>
        <v/>
      </c>
      <c r="N30" s="21" t="str">
        <f>IFERROR(__xludf.DUMMYFUNCTION("IFERROR((GOOGLEFINANCE(C30, ""price"") / INDEX(GOOGLEFINANCE(C30, ""price"", EDATE(TODAY(), -3), TODAY()), 2, 2)) - 1, """")"),"")</f>
        <v/>
      </c>
      <c r="O30" s="21" t="str">
        <f>IFERROR(__xludf.DUMMYFUNCTION("IFERROR((GOOGLEFINANCE(C30, ""price"") / INDEX(GOOGLEFINANCE(C30, ""price"", EDATE(TODAY(), -6), TODAY()), 2, 2)) - 1, """")"),"")</f>
        <v/>
      </c>
      <c r="P30" s="21" t="str">
        <f>IFERROR(__xludf.DUMMYFUNCTION("IFERROR((GOOGLEFINANCE(C30, ""price"") / INDEX(GOOGLEFINANCE(C30, ""price"", EDATE(TODAY(), -12), TODAY()), 2, 2)) - 1, """")"),"")</f>
        <v/>
      </c>
      <c r="Q30" s="6" t="str">
        <f>IFERROR(__xludf.DUMMYFUNCTION("AVERAGE(QUERY(GOOGLEFINANCE(C30, ""price"", TODAY()-80, TODAY()), ""SELECT Col2 WHERE Col2 IS NOT NULL ORDER BY Col1 DESC LIMIT 50"", 0))"),"#N/A")</f>
        <v>#N/A</v>
      </c>
      <c r="R30" s="24" t="str">
        <f>IFERROR(__xludf.DUMMYFUNCTION("IFERROR(
  LET(
    data, QUERY(GOOGLEFINANCE(C30,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GOOGLEFINANCE(C30, ""price"")) * 100,
    IF(calc=0, G30, calc)
  ), 
G30)"),"#N/A")</f>
        <v>#N/A</v>
      </c>
      <c r="S30" s="8" t="s">
        <v>15</v>
      </c>
      <c r="T30" s="26" t="str">
        <f>IFERROR(__xludf.DUMMYFUNCTION("IFERROR(TRANSPOSE(QUERY(IFERROR(SORT(GOOGLEFINANCE(C30, ""price"", WORKDAY(TODAY(), -40), TODAY()), 1, FALSE)), ""select Col2 where Col2 is not null limit 22 label Col2 ''"", 0)), """")"),"")</f>
        <v/>
      </c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8"/>
      <c r="AO30" s="28"/>
      <c r="AP30" s="29"/>
      <c r="AQ30" s="29" t="str">
        <f t="shared" ref="AQ30:BL30" si="33">T30/T$2</f>
        <v>#N/A</v>
      </c>
      <c r="AR30" s="29" t="str">
        <f t="shared" si="33"/>
        <v>#DIV/0!</v>
      </c>
      <c r="AS30" s="29" t="str">
        <f t="shared" si="33"/>
        <v>#DIV/0!</v>
      </c>
      <c r="AT30" s="29" t="str">
        <f t="shared" si="33"/>
        <v>#DIV/0!</v>
      </c>
      <c r="AU30" s="29" t="str">
        <f t="shared" si="33"/>
        <v>#DIV/0!</v>
      </c>
      <c r="AV30" s="29" t="str">
        <f t="shared" si="33"/>
        <v>#DIV/0!</v>
      </c>
      <c r="AW30" s="29" t="str">
        <f t="shared" si="33"/>
        <v>#DIV/0!</v>
      </c>
      <c r="AX30" s="29" t="str">
        <f t="shared" si="33"/>
        <v>#DIV/0!</v>
      </c>
      <c r="AY30" s="29" t="str">
        <f t="shared" si="33"/>
        <v>#DIV/0!</v>
      </c>
      <c r="AZ30" s="29" t="str">
        <f t="shared" si="33"/>
        <v>#DIV/0!</v>
      </c>
      <c r="BA30" s="29" t="str">
        <f t="shared" si="33"/>
        <v>#DIV/0!</v>
      </c>
      <c r="BB30" s="29" t="str">
        <f t="shared" si="33"/>
        <v>#DIV/0!</v>
      </c>
      <c r="BC30" s="29" t="str">
        <f t="shared" si="33"/>
        <v>#DIV/0!</v>
      </c>
      <c r="BD30" s="29" t="str">
        <f t="shared" si="33"/>
        <v>#DIV/0!</v>
      </c>
      <c r="BE30" s="29" t="str">
        <f t="shared" si="33"/>
        <v>#DIV/0!</v>
      </c>
      <c r="BF30" s="29" t="str">
        <f t="shared" si="33"/>
        <v>#DIV/0!</v>
      </c>
      <c r="BG30" s="29" t="str">
        <f t="shared" si="33"/>
        <v>#DIV/0!</v>
      </c>
      <c r="BH30" s="29" t="str">
        <f t="shared" si="33"/>
        <v>#DIV/0!</v>
      </c>
      <c r="BI30" s="29" t="str">
        <f t="shared" si="33"/>
        <v>#DIV/0!</v>
      </c>
      <c r="BJ30" s="29" t="str">
        <f t="shared" si="33"/>
        <v>#DIV/0!</v>
      </c>
      <c r="BK30" s="29" t="str">
        <f t="shared" si="33"/>
        <v>#DIV/0!</v>
      </c>
      <c r="BL30" s="29" t="str">
        <f t="shared" si="33"/>
        <v>#DIV/0!</v>
      </c>
      <c r="BM30" s="29" t="str">
        <f t="shared" si="3"/>
        <v>#DIV/0!</v>
      </c>
    </row>
    <row r="31">
      <c r="A31" s="16" t="str">
        <f>IFERROR(__xludf.DUMMYFUNCTION("IFERROR(SPARKLINE(SORT(MAP(TRANSPOSE(AQ31:BL31), LAMBDA(val, IF(ISNUMBER(val), PERCENTRANK(AQ31:BL31, val)+0.01, 0))), SEQUENCE(COLUMNS(AQ31:BL31)), FALSE), {""charttype"",""column""; ""color"",""chartreuse""; ""ymin"", 0; ""ymax"", 1.01; ""highcolor"", "&amp;"""darkgreen""; ""lowcolor"", ""red""}), """")"),"")</f>
        <v/>
      </c>
      <c r="B31" s="17" t="str">
        <f t="shared" si="4"/>
        <v/>
      </c>
      <c r="C31" s="1" t="s">
        <v>1581</v>
      </c>
      <c r="D31" s="30" t="str">
        <f>IFERROR(__xludf.DUMMYFUNCTION("IFERROR(GOOGLEFINANCE(C31, ""NAME""))"),"Claritev Corp")</f>
        <v>Claritev Corp</v>
      </c>
      <c r="E31" s="30" t="s">
        <v>1532</v>
      </c>
      <c r="F31" s="33" t="str">
        <f>IFERROR(__xludf.DUMMYFUNCTION("( (GOOGLEFINANCE(C31, ""price"") - Q31) / Q31 ) / (R31 / 100)"),"Loading...")</f>
        <v>Loading...</v>
      </c>
      <c r="G31" s="20" t="str">
        <f>IFERROR(__xludf.DUMMYFUNCTION("AVERAGE(ARRAYFORMULA(100 * (QUERY(GOOGLEFINANCE(C31, ""high"", TODAY()-40, TODAY()), ""SELECT Col2 WHERE Col2 IS NOT NULL ORDER BY Col1 DESC LIMIT 20"", 0) / QUERY(GOOGLEFINANCE(C31, ""low"", TODAY()-40, TODAY()), ""SELECT Col2 WHERE Col2 IS NOT NULL ORDE"&amp;"R BY Col1 DESC LIMIT 20"", 0) - 1)))"),"#N/A")</f>
        <v>#N/A</v>
      </c>
      <c r="H31" s="35" t="str">
        <f t="shared" si="6"/>
        <v/>
      </c>
      <c r="I31" s="36" t="str">
        <f t="shared" si="7"/>
        <v/>
      </c>
      <c r="J31" s="37" t="str">
        <f>IFERROR(__xludf.DUMMYFUNCTION("IFERROR(
  IF(C31="""",, 
    IFERROR(
      GOOGLEFINANCE(C31, ""price"") * GOOGLEFINANCE(C31, ""volumeavg""), 
      GOOGLEFINANCE(C31, ""price"") * AVERAGE(QUERY(GOOGLEFINANCE(C31, ""volume"", TODAY()-40, TODAY()), ""SELECT Col2 WHERE Col2 IS NOT NULL "&amp;"ORDER BY Col1 DESC LIMIT 20"", 0))
    )
  ), 
"""")"),"")</f>
        <v/>
      </c>
      <c r="K31" s="21" t="str">
        <f>IFERROR(__xludf.DUMMYFUNCTION("IFERROR(GOOGLEFINANCE(C31, ""changepct"") / 100, """")"),"")</f>
        <v/>
      </c>
      <c r="L31" s="21" t="str">
        <f>IFERROR(__xludf.DUMMYFUNCTION("IFERROR((GOOGLEFINANCE(C31, ""price"") / INDEX(GOOGLEFINANCE(C31, ""price"", TODAY()-7, TODAY()), 2, 2)) - 1, """")"),"")</f>
        <v/>
      </c>
      <c r="M31" s="21" t="str">
        <f>IFERROR(__xludf.DUMMYFUNCTION("IFERROR((GOOGLEFINANCE(C31, ""price"") / INDEX(GOOGLEFINANCE(C31, ""price"", EDATE(TODAY(), -1), TODAY()), 2, 2)) - 1, """")"),"")</f>
        <v/>
      </c>
      <c r="N31" s="21" t="str">
        <f>IFERROR(__xludf.DUMMYFUNCTION("IFERROR((GOOGLEFINANCE(C31, ""price"") / INDEX(GOOGLEFINANCE(C31, ""price"", EDATE(TODAY(), -3), TODAY()), 2, 2)) - 1, """")"),"")</f>
        <v/>
      </c>
      <c r="O31" s="21" t="str">
        <f>IFERROR(__xludf.DUMMYFUNCTION("IFERROR((GOOGLEFINANCE(C31, ""price"") / INDEX(GOOGLEFINANCE(C31, ""price"", EDATE(TODAY(), -6), TODAY()), 2, 2)) - 1, """")"),"")</f>
        <v/>
      </c>
      <c r="P31" s="21" t="str">
        <f>IFERROR(__xludf.DUMMYFUNCTION("IFERROR((GOOGLEFINANCE(C31, ""price"") / INDEX(GOOGLEFINANCE(C31, ""price"", EDATE(TODAY(), -12), TODAY()), 2, 2)) - 1, """")"),"")</f>
        <v/>
      </c>
      <c r="Q31" s="6" t="str">
        <f>IFERROR(__xludf.DUMMYFUNCTION("AVERAGE(QUERY(GOOGLEFINANCE(C31, ""price"", TODAY()-80, TODAY()), ""SELECT Col2 WHERE Col2 IS NOT NULL ORDER BY Col1 DESC LIMIT 50"", 0))"),"#N/A")</f>
        <v>#N/A</v>
      </c>
      <c r="R31" s="24" t="str">
        <f>IFERROR(__xludf.DUMMYFUNCTION("IFERROR(
  LET(
    data, QUERY(GOOGLEFINANCE(C31,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GOOGLEFINANCE(C31, ""price"")) * 100,
    IF(calc=0, G31, calc)
  ), 
G31)"),"#N/A")</f>
        <v>#N/A</v>
      </c>
      <c r="S31" s="8" t="s">
        <v>15</v>
      </c>
      <c r="T31" s="26" t="str">
        <f>IFERROR(__xludf.DUMMYFUNCTION("IFERROR(TRANSPOSE(QUERY(IFERROR(SORT(GOOGLEFINANCE(C31, ""price"", WORKDAY(TODAY(), -40), TODAY()), 1, FALSE)), ""select Col2 where Col2 is not null limit 22 label Col2 ''"", 0)), """")"),"")</f>
        <v/>
      </c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8"/>
      <c r="AO31" s="28"/>
      <c r="AP31" s="29"/>
      <c r="AQ31" s="29" t="str">
        <f t="shared" ref="AQ31:BL31" si="34">T31/T$2</f>
        <v>#N/A</v>
      </c>
      <c r="AR31" s="29" t="str">
        <f t="shared" si="34"/>
        <v>#DIV/0!</v>
      </c>
      <c r="AS31" s="29" t="str">
        <f t="shared" si="34"/>
        <v>#DIV/0!</v>
      </c>
      <c r="AT31" s="29" t="str">
        <f t="shared" si="34"/>
        <v>#DIV/0!</v>
      </c>
      <c r="AU31" s="29" t="str">
        <f t="shared" si="34"/>
        <v>#DIV/0!</v>
      </c>
      <c r="AV31" s="29" t="str">
        <f t="shared" si="34"/>
        <v>#DIV/0!</v>
      </c>
      <c r="AW31" s="29" t="str">
        <f t="shared" si="34"/>
        <v>#DIV/0!</v>
      </c>
      <c r="AX31" s="29" t="str">
        <f t="shared" si="34"/>
        <v>#DIV/0!</v>
      </c>
      <c r="AY31" s="29" t="str">
        <f t="shared" si="34"/>
        <v>#DIV/0!</v>
      </c>
      <c r="AZ31" s="29" t="str">
        <f t="shared" si="34"/>
        <v>#DIV/0!</v>
      </c>
      <c r="BA31" s="29" t="str">
        <f t="shared" si="34"/>
        <v>#DIV/0!</v>
      </c>
      <c r="BB31" s="29" t="str">
        <f t="shared" si="34"/>
        <v>#DIV/0!</v>
      </c>
      <c r="BC31" s="29" t="str">
        <f t="shared" si="34"/>
        <v>#DIV/0!</v>
      </c>
      <c r="BD31" s="29" t="str">
        <f t="shared" si="34"/>
        <v>#DIV/0!</v>
      </c>
      <c r="BE31" s="29" t="str">
        <f t="shared" si="34"/>
        <v>#DIV/0!</v>
      </c>
      <c r="BF31" s="29" t="str">
        <f t="shared" si="34"/>
        <v>#DIV/0!</v>
      </c>
      <c r="BG31" s="29" t="str">
        <f t="shared" si="34"/>
        <v>#DIV/0!</v>
      </c>
      <c r="BH31" s="29" t="str">
        <f t="shared" si="34"/>
        <v>#DIV/0!</v>
      </c>
      <c r="BI31" s="29" t="str">
        <f t="shared" si="34"/>
        <v>#DIV/0!</v>
      </c>
      <c r="BJ31" s="29" t="str">
        <f t="shared" si="34"/>
        <v>#DIV/0!</v>
      </c>
      <c r="BK31" s="29" t="str">
        <f t="shared" si="34"/>
        <v>#DIV/0!</v>
      </c>
      <c r="BL31" s="29" t="str">
        <f t="shared" si="34"/>
        <v>#DIV/0!</v>
      </c>
      <c r="BM31" s="29" t="str">
        <f t="shared" si="3"/>
        <v>#DIV/0!</v>
      </c>
    </row>
    <row r="32">
      <c r="A32" s="16" t="str">
        <f>IFERROR(__xludf.DUMMYFUNCTION("IFERROR(SPARKLINE(SORT(MAP(TRANSPOSE(AQ32:BL32), LAMBDA(val, IF(ISNUMBER(val), PERCENTRANK(AQ32:BL32, val)+0.01, 0))), SEQUENCE(COLUMNS(AQ32:BL32)), FALSE), {""charttype"",""column""; ""color"",""chartreuse""; ""ymin"", 0; ""ymax"", 1.01; ""highcolor"", "&amp;"""darkgreen""; ""lowcolor"", ""red""}), """")"),"")</f>
        <v/>
      </c>
      <c r="B32" s="17" t="str">
        <f t="shared" si="4"/>
        <v/>
      </c>
      <c r="C32" s="1" t="s">
        <v>1583</v>
      </c>
      <c r="D32" s="30" t="str">
        <f>IFERROR(__xludf.DUMMYFUNCTION("IFERROR(GOOGLEFINANCE(C32, ""NAME""))"),"AMN Healthcare Services Inc")</f>
        <v>AMN Healthcare Services Inc</v>
      </c>
      <c r="E32" s="30" t="s">
        <v>1513</v>
      </c>
      <c r="F32" s="33" t="str">
        <f>IFERROR(__xludf.DUMMYFUNCTION("( (GOOGLEFINANCE(C32, ""price"") - Q32) / Q32 ) / (R32 / 100)"),"Loading...")</f>
        <v>Loading...</v>
      </c>
      <c r="G32" s="20" t="str">
        <f>IFERROR(__xludf.DUMMYFUNCTION("AVERAGE(ARRAYFORMULA(100 * (QUERY(GOOGLEFINANCE(C32, ""high"", TODAY()-40, TODAY()), ""SELECT Col2 WHERE Col2 IS NOT NULL ORDER BY Col1 DESC LIMIT 20"", 0) / QUERY(GOOGLEFINANCE(C32, ""low"", TODAY()-40, TODAY()), ""SELECT Col2 WHERE Col2 IS NOT NULL ORDE"&amp;"R BY Col1 DESC LIMIT 20"", 0) - 1)))"),"#N/A")</f>
        <v>#N/A</v>
      </c>
      <c r="H32" s="35" t="str">
        <f t="shared" si="6"/>
        <v/>
      </c>
      <c r="I32" s="36" t="str">
        <f t="shared" si="7"/>
        <v/>
      </c>
      <c r="J32" s="37" t="str">
        <f>IFERROR(__xludf.DUMMYFUNCTION("IFERROR(
  IF(C32="""",, 
    IFERROR(
      GOOGLEFINANCE(C32, ""price"") * GOOGLEFINANCE(C32, ""volumeavg""), 
      GOOGLEFINANCE(C32, ""price"") * AVERAGE(QUERY(GOOGLEFINANCE(C32, ""volume"", TODAY()-40, TODAY()), ""SELECT Col2 WHERE Col2 IS NOT NULL "&amp;"ORDER BY Col1 DESC LIMIT 20"", 0))
    )
  ), 
"""")"),"")</f>
        <v/>
      </c>
      <c r="K32" s="21" t="str">
        <f>IFERROR(__xludf.DUMMYFUNCTION("IFERROR(GOOGLEFINANCE(C32, ""changepct"") / 100, """")"),"")</f>
        <v/>
      </c>
      <c r="L32" s="21" t="str">
        <f>IFERROR(__xludf.DUMMYFUNCTION("IFERROR((GOOGLEFINANCE(C32, ""price"") / INDEX(GOOGLEFINANCE(C32, ""price"", TODAY()-7, TODAY()), 2, 2)) - 1, """")"),"")</f>
        <v/>
      </c>
      <c r="M32" s="21" t="str">
        <f>IFERROR(__xludf.DUMMYFUNCTION("IFERROR((GOOGLEFINANCE(C32, ""price"") / INDEX(GOOGLEFINANCE(C32, ""price"", EDATE(TODAY(), -1), TODAY()), 2, 2)) - 1, """")"),"")</f>
        <v/>
      </c>
      <c r="N32" s="21" t="str">
        <f>IFERROR(__xludf.DUMMYFUNCTION("IFERROR((GOOGLEFINANCE(C32, ""price"") / INDEX(GOOGLEFINANCE(C32, ""price"", EDATE(TODAY(), -3), TODAY()), 2, 2)) - 1, """")"),"")</f>
        <v/>
      </c>
      <c r="O32" s="21" t="str">
        <f>IFERROR(__xludf.DUMMYFUNCTION("IFERROR((GOOGLEFINANCE(C32, ""price"") / INDEX(GOOGLEFINANCE(C32, ""price"", EDATE(TODAY(), -6), TODAY()), 2, 2)) - 1, """")"),"")</f>
        <v/>
      </c>
      <c r="P32" s="21" t="str">
        <f>IFERROR(__xludf.DUMMYFUNCTION("IFERROR((GOOGLEFINANCE(C32, ""price"") / INDEX(GOOGLEFINANCE(C32, ""price"", EDATE(TODAY(), -12), TODAY()), 2, 2)) - 1, """")"),"")</f>
        <v/>
      </c>
      <c r="Q32" s="6" t="str">
        <f>IFERROR(__xludf.DUMMYFUNCTION("AVERAGE(QUERY(GOOGLEFINANCE(C32, ""price"", TODAY()-80, TODAY()), ""SELECT Col2 WHERE Col2 IS NOT NULL ORDER BY Col1 DESC LIMIT 50"", 0))"),"#N/A")</f>
        <v>#N/A</v>
      </c>
      <c r="R32" s="24" t="str">
        <f>IFERROR(__xludf.DUMMYFUNCTION("IFERROR(
  LET(
    data, QUERY(GOOGLEFINANCE(C32,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GOOGLEFINANCE(C32, ""price"")) * 100,
    IF(calc=0, G32, calc)
  ), 
G32)"),"#N/A")</f>
        <v>#N/A</v>
      </c>
      <c r="S32" s="8" t="s">
        <v>15</v>
      </c>
      <c r="T32" s="26" t="str">
        <f>IFERROR(__xludf.DUMMYFUNCTION("IFERROR(TRANSPOSE(QUERY(IFERROR(SORT(GOOGLEFINANCE(C32, ""price"", WORKDAY(TODAY(), -40), TODAY()), 1, FALSE)), ""select Col2 where Col2 is not null limit 22 label Col2 ''"", 0)), """")"),"")</f>
        <v/>
      </c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8"/>
      <c r="AO32" s="28"/>
      <c r="AP32" s="29"/>
      <c r="AQ32" s="29" t="str">
        <f t="shared" ref="AQ32:BL32" si="35">T32/T$2</f>
        <v>#N/A</v>
      </c>
      <c r="AR32" s="29" t="str">
        <f t="shared" si="35"/>
        <v>#DIV/0!</v>
      </c>
      <c r="AS32" s="29" t="str">
        <f t="shared" si="35"/>
        <v>#DIV/0!</v>
      </c>
      <c r="AT32" s="29" t="str">
        <f t="shared" si="35"/>
        <v>#DIV/0!</v>
      </c>
      <c r="AU32" s="29" t="str">
        <f t="shared" si="35"/>
        <v>#DIV/0!</v>
      </c>
      <c r="AV32" s="29" t="str">
        <f t="shared" si="35"/>
        <v>#DIV/0!</v>
      </c>
      <c r="AW32" s="29" t="str">
        <f t="shared" si="35"/>
        <v>#DIV/0!</v>
      </c>
      <c r="AX32" s="29" t="str">
        <f t="shared" si="35"/>
        <v>#DIV/0!</v>
      </c>
      <c r="AY32" s="29" t="str">
        <f t="shared" si="35"/>
        <v>#DIV/0!</v>
      </c>
      <c r="AZ32" s="29" t="str">
        <f t="shared" si="35"/>
        <v>#DIV/0!</v>
      </c>
      <c r="BA32" s="29" t="str">
        <f t="shared" si="35"/>
        <v>#DIV/0!</v>
      </c>
      <c r="BB32" s="29" t="str">
        <f t="shared" si="35"/>
        <v>#DIV/0!</v>
      </c>
      <c r="BC32" s="29" t="str">
        <f t="shared" si="35"/>
        <v>#DIV/0!</v>
      </c>
      <c r="BD32" s="29" t="str">
        <f t="shared" si="35"/>
        <v>#DIV/0!</v>
      </c>
      <c r="BE32" s="29" t="str">
        <f t="shared" si="35"/>
        <v>#DIV/0!</v>
      </c>
      <c r="BF32" s="29" t="str">
        <f t="shared" si="35"/>
        <v>#DIV/0!</v>
      </c>
      <c r="BG32" s="29" t="str">
        <f t="shared" si="35"/>
        <v>#DIV/0!</v>
      </c>
      <c r="BH32" s="29" t="str">
        <f t="shared" si="35"/>
        <v>#DIV/0!</v>
      </c>
      <c r="BI32" s="29" t="str">
        <f t="shared" si="35"/>
        <v>#DIV/0!</v>
      </c>
      <c r="BJ32" s="29" t="str">
        <f t="shared" si="35"/>
        <v>#DIV/0!</v>
      </c>
      <c r="BK32" s="29" t="str">
        <f t="shared" si="35"/>
        <v>#DIV/0!</v>
      </c>
      <c r="BL32" s="29" t="str">
        <f t="shared" si="35"/>
        <v>#DIV/0!</v>
      </c>
      <c r="BM32" s="29" t="str">
        <f t="shared" si="3"/>
        <v>#DIV/0!</v>
      </c>
    </row>
    <row r="33">
      <c r="A33" s="16" t="str">
        <f>IFERROR(__xludf.DUMMYFUNCTION("IFERROR(SPARKLINE(SORT(MAP(TRANSPOSE(AQ33:BL33), LAMBDA(val, IF(ISNUMBER(val), PERCENTRANK(AQ33:BL33, val)+0.01, 0))), SEQUENCE(COLUMNS(AQ33:BL33)), FALSE), {""charttype"",""column""; ""color"",""chartreuse""; ""ymin"", 0; ""ymax"", 1.01; ""highcolor"", "&amp;"""darkgreen""; ""lowcolor"", ""red""}), """")"),"")</f>
        <v/>
      </c>
      <c r="B33" s="17" t="str">
        <f t="shared" si="4"/>
        <v/>
      </c>
      <c r="C33" s="1" t="s">
        <v>1586</v>
      </c>
      <c r="D33" s="30" t="str">
        <f>IFERROR(__xludf.DUMMYFUNCTION("IFERROR(GOOGLEFINANCE(C33, ""NAME""))"),"Progyny Inc")</f>
        <v>Progyny Inc</v>
      </c>
      <c r="E33" s="30" t="s">
        <v>1479</v>
      </c>
      <c r="F33" s="33" t="str">
        <f>IFERROR(__xludf.DUMMYFUNCTION("( (GOOGLEFINANCE(C33, ""price"") - Q33) / Q33 ) / (R33 / 100)"),"Loading...")</f>
        <v>Loading...</v>
      </c>
      <c r="G33" s="20" t="str">
        <f>IFERROR(__xludf.DUMMYFUNCTION("AVERAGE(ARRAYFORMULA(100 * (QUERY(GOOGLEFINANCE(C33, ""high"", TODAY()-40, TODAY()), ""SELECT Col2 WHERE Col2 IS NOT NULL ORDER BY Col1 DESC LIMIT 20"", 0) / QUERY(GOOGLEFINANCE(C33, ""low"", TODAY()-40, TODAY()), ""SELECT Col2 WHERE Col2 IS NOT NULL ORDE"&amp;"R BY Col1 DESC LIMIT 20"", 0) - 1)))"),"#N/A")</f>
        <v>#N/A</v>
      </c>
      <c r="H33" s="35" t="str">
        <f t="shared" si="6"/>
        <v/>
      </c>
      <c r="I33" s="36" t="str">
        <f t="shared" si="7"/>
        <v/>
      </c>
      <c r="J33" s="37" t="str">
        <f>IFERROR(__xludf.DUMMYFUNCTION("IFERROR(
  IF(C33="""",, 
    IFERROR(
      GOOGLEFINANCE(C33, ""price"") * GOOGLEFINANCE(C33, ""volumeavg""), 
      GOOGLEFINANCE(C33, ""price"") * AVERAGE(QUERY(GOOGLEFINANCE(C33, ""volume"", TODAY()-40, TODAY()), ""SELECT Col2 WHERE Col2 IS NOT NULL "&amp;"ORDER BY Col1 DESC LIMIT 20"", 0))
    )
  ), 
"""")"),"")</f>
        <v/>
      </c>
      <c r="K33" s="21" t="str">
        <f>IFERROR(__xludf.DUMMYFUNCTION("IFERROR(GOOGLEFINANCE(C33, ""changepct"") / 100, """")"),"")</f>
        <v/>
      </c>
      <c r="L33" s="21" t="str">
        <f>IFERROR(__xludf.DUMMYFUNCTION("IFERROR((GOOGLEFINANCE(C33, ""price"") / INDEX(GOOGLEFINANCE(C33, ""price"", TODAY()-7, TODAY()), 2, 2)) - 1, """")"),"")</f>
        <v/>
      </c>
      <c r="M33" s="21" t="str">
        <f>IFERROR(__xludf.DUMMYFUNCTION("IFERROR((GOOGLEFINANCE(C33, ""price"") / INDEX(GOOGLEFINANCE(C33, ""price"", EDATE(TODAY(), -1), TODAY()), 2, 2)) - 1, """")"),"")</f>
        <v/>
      </c>
      <c r="N33" s="21" t="str">
        <f>IFERROR(__xludf.DUMMYFUNCTION("IFERROR((GOOGLEFINANCE(C33, ""price"") / INDEX(GOOGLEFINANCE(C33, ""price"", EDATE(TODAY(), -3), TODAY()), 2, 2)) - 1, """")"),"")</f>
        <v/>
      </c>
      <c r="O33" s="21" t="str">
        <f>IFERROR(__xludf.DUMMYFUNCTION("IFERROR((GOOGLEFINANCE(C33, ""price"") / INDEX(GOOGLEFINANCE(C33, ""price"", EDATE(TODAY(), -6), TODAY()), 2, 2)) - 1, """")"),"")</f>
        <v/>
      </c>
      <c r="P33" s="21" t="str">
        <f>IFERROR(__xludf.DUMMYFUNCTION("IFERROR((GOOGLEFINANCE(C33, ""price"") / INDEX(GOOGLEFINANCE(C33, ""price"", EDATE(TODAY(), -12), TODAY()), 2, 2)) - 1, """")"),"")</f>
        <v/>
      </c>
      <c r="Q33" s="6" t="str">
        <f>IFERROR(__xludf.DUMMYFUNCTION("AVERAGE(QUERY(GOOGLEFINANCE(C33, ""price"", TODAY()-80, TODAY()), ""SELECT Col2 WHERE Col2 IS NOT NULL ORDER BY Col1 DESC LIMIT 50"", 0))"),"#N/A")</f>
        <v>#N/A</v>
      </c>
      <c r="R33" s="24" t="str">
        <f>IFERROR(__xludf.DUMMYFUNCTION("IFERROR(
  LET(
    data, QUERY(GOOGLEFINANCE(C33,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GOOGLEFINANCE(C33, ""price"")) * 100,
    IF(calc=0, G33, calc)
  ), 
G33)"),"#N/A")</f>
        <v>#N/A</v>
      </c>
      <c r="S33" s="8" t="s">
        <v>15</v>
      </c>
      <c r="T33" s="26" t="str">
        <f>IFERROR(__xludf.DUMMYFUNCTION("IFERROR(TRANSPOSE(QUERY(IFERROR(SORT(GOOGLEFINANCE(C33, ""price"", WORKDAY(TODAY(), -40), TODAY()), 1, FALSE)), ""select Col2 where Col2 is not null limit 22 label Col2 ''"", 0)), """")"),"")</f>
        <v/>
      </c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8"/>
      <c r="AO33" s="28"/>
      <c r="AP33" s="29"/>
      <c r="AQ33" s="29" t="str">
        <f t="shared" ref="AQ33:BL33" si="36">T33/T$2</f>
        <v>#N/A</v>
      </c>
      <c r="AR33" s="29" t="str">
        <f t="shared" si="36"/>
        <v>#DIV/0!</v>
      </c>
      <c r="AS33" s="29" t="str">
        <f t="shared" si="36"/>
        <v>#DIV/0!</v>
      </c>
      <c r="AT33" s="29" t="str">
        <f t="shared" si="36"/>
        <v>#DIV/0!</v>
      </c>
      <c r="AU33" s="29" t="str">
        <f t="shared" si="36"/>
        <v>#DIV/0!</v>
      </c>
      <c r="AV33" s="29" t="str">
        <f t="shared" si="36"/>
        <v>#DIV/0!</v>
      </c>
      <c r="AW33" s="29" t="str">
        <f t="shared" si="36"/>
        <v>#DIV/0!</v>
      </c>
      <c r="AX33" s="29" t="str">
        <f t="shared" si="36"/>
        <v>#DIV/0!</v>
      </c>
      <c r="AY33" s="29" t="str">
        <f t="shared" si="36"/>
        <v>#DIV/0!</v>
      </c>
      <c r="AZ33" s="29" t="str">
        <f t="shared" si="36"/>
        <v>#DIV/0!</v>
      </c>
      <c r="BA33" s="29" t="str">
        <f t="shared" si="36"/>
        <v>#DIV/0!</v>
      </c>
      <c r="BB33" s="29" t="str">
        <f t="shared" si="36"/>
        <v>#DIV/0!</v>
      </c>
      <c r="BC33" s="29" t="str">
        <f t="shared" si="36"/>
        <v>#DIV/0!</v>
      </c>
      <c r="BD33" s="29" t="str">
        <f t="shared" si="36"/>
        <v>#DIV/0!</v>
      </c>
      <c r="BE33" s="29" t="str">
        <f t="shared" si="36"/>
        <v>#DIV/0!</v>
      </c>
      <c r="BF33" s="29" t="str">
        <f t="shared" si="36"/>
        <v>#DIV/0!</v>
      </c>
      <c r="BG33" s="29" t="str">
        <f t="shared" si="36"/>
        <v>#DIV/0!</v>
      </c>
      <c r="BH33" s="29" t="str">
        <f t="shared" si="36"/>
        <v>#DIV/0!</v>
      </c>
      <c r="BI33" s="29" t="str">
        <f t="shared" si="36"/>
        <v>#DIV/0!</v>
      </c>
      <c r="BJ33" s="29" t="str">
        <f t="shared" si="36"/>
        <v>#DIV/0!</v>
      </c>
      <c r="BK33" s="29" t="str">
        <f t="shared" si="36"/>
        <v>#DIV/0!</v>
      </c>
      <c r="BL33" s="29" t="str">
        <f t="shared" si="36"/>
        <v>#DIV/0!</v>
      </c>
      <c r="BM33" s="29" t="str">
        <f t="shared" si="3"/>
        <v>#DIV/0!</v>
      </c>
    </row>
    <row r="34">
      <c r="A34" s="16" t="str">
        <f>IFERROR(__xludf.DUMMYFUNCTION("IFERROR(SPARKLINE(SORT(MAP(TRANSPOSE(AQ34:BL34), LAMBDA(val, IF(ISNUMBER(val), PERCENTRANK(AQ34:BL34, val)+0.01, 0))), SEQUENCE(COLUMNS(AQ34:BL34)), FALSE), {""charttype"",""column""; ""color"",""chartreuse""; ""ymin"", 0; ""ymax"", 1.01; ""highcolor"", "&amp;"""darkgreen""; ""lowcolor"", ""red""}), """")"),"")</f>
        <v/>
      </c>
      <c r="B34" s="17" t="str">
        <f t="shared" si="4"/>
        <v/>
      </c>
      <c r="C34" s="1" t="s">
        <v>1589</v>
      </c>
      <c r="D34" s="30" t="str">
        <f>IFERROR(__xludf.DUMMYFUNCTION("IFERROR(GOOGLEFINANCE(C34, ""NAME""))"),"LivaNova PLC")</f>
        <v>LivaNova PLC</v>
      </c>
      <c r="E34" s="30" t="s">
        <v>1491</v>
      </c>
      <c r="F34" s="33" t="str">
        <f>IFERROR(__xludf.DUMMYFUNCTION("( (GOOGLEFINANCE(C34, ""price"") - Q34) / Q34 ) / (R34 / 100)"),"Loading...")</f>
        <v>Loading...</v>
      </c>
      <c r="G34" s="20" t="str">
        <f>IFERROR(__xludf.DUMMYFUNCTION("AVERAGE(ARRAYFORMULA(100 * (QUERY(GOOGLEFINANCE(C34, ""high"", TODAY()-40, TODAY()), ""SELECT Col2 WHERE Col2 IS NOT NULL ORDER BY Col1 DESC LIMIT 20"", 0) / QUERY(GOOGLEFINANCE(C34, ""low"", TODAY()-40, TODAY()), ""SELECT Col2 WHERE Col2 IS NOT NULL ORDE"&amp;"R BY Col1 DESC LIMIT 20"", 0) - 1)))"),"#N/A")</f>
        <v>#N/A</v>
      </c>
      <c r="H34" s="35" t="str">
        <f t="shared" si="6"/>
        <v/>
      </c>
      <c r="I34" s="36" t="str">
        <f t="shared" si="7"/>
        <v/>
      </c>
      <c r="J34" s="37" t="str">
        <f>IFERROR(__xludf.DUMMYFUNCTION("IFERROR(
  IF(C34="""",, 
    IFERROR(
      GOOGLEFINANCE(C34, ""price"") * GOOGLEFINANCE(C34, ""volumeavg""), 
      GOOGLEFINANCE(C34, ""price"") * AVERAGE(QUERY(GOOGLEFINANCE(C34, ""volume"", TODAY()-40, TODAY()), ""SELECT Col2 WHERE Col2 IS NOT NULL "&amp;"ORDER BY Col1 DESC LIMIT 20"", 0))
    )
  ), 
"""")"),"")</f>
        <v/>
      </c>
      <c r="K34" s="21" t="str">
        <f>IFERROR(__xludf.DUMMYFUNCTION("IFERROR(GOOGLEFINANCE(C34, ""changepct"") / 100, """")"),"")</f>
        <v/>
      </c>
      <c r="L34" s="21" t="str">
        <f>IFERROR(__xludf.DUMMYFUNCTION("IFERROR((GOOGLEFINANCE(C34, ""price"") / INDEX(GOOGLEFINANCE(C34, ""price"", TODAY()-7, TODAY()), 2, 2)) - 1, """")"),"")</f>
        <v/>
      </c>
      <c r="M34" s="21" t="str">
        <f>IFERROR(__xludf.DUMMYFUNCTION("IFERROR((GOOGLEFINANCE(C34, ""price"") / INDEX(GOOGLEFINANCE(C34, ""price"", EDATE(TODAY(), -1), TODAY()), 2, 2)) - 1, """")"),"")</f>
        <v/>
      </c>
      <c r="N34" s="21" t="str">
        <f>IFERROR(__xludf.DUMMYFUNCTION("IFERROR((GOOGLEFINANCE(C34, ""price"") / INDEX(GOOGLEFINANCE(C34, ""price"", EDATE(TODAY(), -3), TODAY()), 2, 2)) - 1, """")"),"")</f>
        <v/>
      </c>
      <c r="O34" s="21" t="str">
        <f>IFERROR(__xludf.DUMMYFUNCTION("IFERROR((GOOGLEFINANCE(C34, ""price"") / INDEX(GOOGLEFINANCE(C34, ""price"", EDATE(TODAY(), -6), TODAY()), 2, 2)) - 1, """")"),"")</f>
        <v/>
      </c>
      <c r="P34" s="21" t="str">
        <f>IFERROR(__xludf.DUMMYFUNCTION("IFERROR((GOOGLEFINANCE(C34, ""price"") / INDEX(GOOGLEFINANCE(C34, ""price"", EDATE(TODAY(), -12), TODAY()), 2, 2)) - 1, """")"),"")</f>
        <v/>
      </c>
      <c r="Q34" s="6" t="str">
        <f>IFERROR(__xludf.DUMMYFUNCTION("AVERAGE(QUERY(GOOGLEFINANCE(C34, ""price"", TODAY()-80, TODAY()), ""SELECT Col2 WHERE Col2 IS NOT NULL ORDER BY Col1 DESC LIMIT 50"", 0))"),"#N/A")</f>
        <v>#N/A</v>
      </c>
      <c r="R34" s="24" t="str">
        <f>IFERROR(__xludf.DUMMYFUNCTION("IFERROR(
  LET(
    data, QUERY(GOOGLEFINANCE(C34,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GOOGLEFINANCE(C34, ""price"")) * 100,
    IF(calc=0, G34, calc)
  ), 
G34)"),"#N/A")</f>
        <v>#N/A</v>
      </c>
      <c r="S34" s="8" t="s">
        <v>15</v>
      </c>
      <c r="T34" s="26" t="str">
        <f>IFERROR(__xludf.DUMMYFUNCTION("IFERROR(TRANSPOSE(QUERY(IFERROR(SORT(GOOGLEFINANCE(C34, ""price"", WORKDAY(TODAY(), -40), TODAY()), 1, FALSE)), ""select Col2 where Col2 is not null limit 22 label Col2 ''"", 0)), """")"),"")</f>
        <v/>
      </c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8"/>
      <c r="AO34" s="28"/>
      <c r="AP34" s="29"/>
      <c r="AQ34" s="29" t="str">
        <f t="shared" ref="AQ34:BL34" si="37">T34/T$2</f>
        <v>#N/A</v>
      </c>
      <c r="AR34" s="29" t="str">
        <f t="shared" si="37"/>
        <v>#DIV/0!</v>
      </c>
      <c r="AS34" s="29" t="str">
        <f t="shared" si="37"/>
        <v>#DIV/0!</v>
      </c>
      <c r="AT34" s="29" t="str">
        <f t="shared" si="37"/>
        <v>#DIV/0!</v>
      </c>
      <c r="AU34" s="29" t="str">
        <f t="shared" si="37"/>
        <v>#DIV/0!</v>
      </c>
      <c r="AV34" s="29" t="str">
        <f t="shared" si="37"/>
        <v>#DIV/0!</v>
      </c>
      <c r="AW34" s="29" t="str">
        <f t="shared" si="37"/>
        <v>#DIV/0!</v>
      </c>
      <c r="AX34" s="29" t="str">
        <f t="shared" si="37"/>
        <v>#DIV/0!</v>
      </c>
      <c r="AY34" s="29" t="str">
        <f t="shared" si="37"/>
        <v>#DIV/0!</v>
      </c>
      <c r="AZ34" s="29" t="str">
        <f t="shared" si="37"/>
        <v>#DIV/0!</v>
      </c>
      <c r="BA34" s="29" t="str">
        <f t="shared" si="37"/>
        <v>#DIV/0!</v>
      </c>
      <c r="BB34" s="29" t="str">
        <f t="shared" si="37"/>
        <v>#DIV/0!</v>
      </c>
      <c r="BC34" s="29" t="str">
        <f t="shared" si="37"/>
        <v>#DIV/0!</v>
      </c>
      <c r="BD34" s="29" t="str">
        <f t="shared" si="37"/>
        <v>#DIV/0!</v>
      </c>
      <c r="BE34" s="29" t="str">
        <f t="shared" si="37"/>
        <v>#DIV/0!</v>
      </c>
      <c r="BF34" s="29" t="str">
        <f t="shared" si="37"/>
        <v>#DIV/0!</v>
      </c>
      <c r="BG34" s="29" t="str">
        <f t="shared" si="37"/>
        <v>#DIV/0!</v>
      </c>
      <c r="BH34" s="29" t="str">
        <f t="shared" si="37"/>
        <v>#DIV/0!</v>
      </c>
      <c r="BI34" s="29" t="str">
        <f t="shared" si="37"/>
        <v>#DIV/0!</v>
      </c>
      <c r="BJ34" s="29" t="str">
        <f t="shared" si="37"/>
        <v>#DIV/0!</v>
      </c>
      <c r="BK34" s="29" t="str">
        <f t="shared" si="37"/>
        <v>#DIV/0!</v>
      </c>
      <c r="BL34" s="29" t="str">
        <f t="shared" si="37"/>
        <v>#DIV/0!</v>
      </c>
      <c r="BM34" s="29" t="str">
        <f t="shared" si="3"/>
        <v>#DIV/0!</v>
      </c>
    </row>
    <row r="35">
      <c r="A35" s="16" t="str">
        <f>IFERROR(__xludf.DUMMYFUNCTION("IFERROR(SPARKLINE(SORT(MAP(TRANSPOSE(AQ35:BL35), LAMBDA(val, IF(ISNUMBER(val), PERCENTRANK(AQ35:BL35, val)+0.01, 0))), SEQUENCE(COLUMNS(AQ35:BL35)), FALSE), {""charttype"",""column""; ""color"",""chartreuse""; ""ymin"", 0; ""ymax"", 1.01; ""highcolor"", "&amp;"""darkgreen""; ""lowcolor"", ""red""}), """")"),"")</f>
        <v/>
      </c>
      <c r="B35" s="17" t="str">
        <f t="shared" si="4"/>
        <v/>
      </c>
      <c r="C35" s="1" t="s">
        <v>1592</v>
      </c>
      <c r="D35" s="30" t="str">
        <f>IFERROR(__xludf.DUMMYFUNCTION("IFERROR(GOOGLEFINANCE(C35, ""NAME""))"),"BillionToOne Inc")</f>
        <v>BillionToOne Inc</v>
      </c>
      <c r="E35" s="30" t="s">
        <v>1499</v>
      </c>
      <c r="F35" s="38" t="str">
        <f>IFERROR(__xludf.DUMMYFUNCTION("( (GOOGLEFINANCE(C35, ""price"") - Q35) / Q35 ) / (R35 / 100)"),"Loading...")</f>
        <v>Loading...</v>
      </c>
      <c r="G35" s="20" t="str">
        <f>IFERROR(__xludf.DUMMYFUNCTION("AVERAGE(ARRAYFORMULA(100 * (QUERY(GOOGLEFINANCE(C35, ""high"", TODAY()-40, TODAY()), ""SELECT Col2 WHERE Col2 IS NOT NULL ORDER BY Col1 DESC LIMIT 20"", 0) / QUERY(GOOGLEFINANCE(C35, ""low"", TODAY()-40, TODAY()), ""SELECT Col2 WHERE Col2 IS NOT NULL ORDE"&amp;"R BY Col1 DESC LIMIT 20"", 0) - 1)))"),"#N/A")</f>
        <v>#N/A</v>
      </c>
      <c r="H35" s="35" t="str">
        <f t="shared" si="6"/>
        <v/>
      </c>
      <c r="I35" s="36" t="str">
        <f t="shared" si="7"/>
        <v/>
      </c>
      <c r="J35" s="37" t="str">
        <f>IFERROR(__xludf.DUMMYFUNCTION("IFERROR(
  IF(C35="""",, 
    IFERROR(
      GOOGLEFINANCE(C35, ""price"") * GOOGLEFINANCE(C35, ""volumeavg""), 
      GOOGLEFINANCE(C35, ""price"") * AVERAGE(QUERY(GOOGLEFINANCE(C35, ""volume"", TODAY()-40, TODAY()), ""SELECT Col2 WHERE Col2 IS NOT NULL "&amp;"ORDER BY Col1 DESC LIMIT 20"", 0))
    )
  ), 
"""")"),"")</f>
        <v/>
      </c>
      <c r="K35" s="21" t="str">
        <f>IFERROR(__xludf.DUMMYFUNCTION("IFERROR(GOOGLEFINANCE(C35, ""changepct"") / 100, """")"),"")</f>
        <v/>
      </c>
      <c r="L35" s="21" t="str">
        <f>IFERROR(__xludf.DUMMYFUNCTION("IFERROR((GOOGLEFINANCE(C35, ""price"") / INDEX(GOOGLEFINANCE(C35, ""price"", TODAY()-7, TODAY()), 2, 2)) - 1, """")"),"")</f>
        <v/>
      </c>
      <c r="M35" s="21" t="str">
        <f>IFERROR(__xludf.DUMMYFUNCTION("IFERROR((GOOGLEFINANCE(C35, ""price"") / INDEX(GOOGLEFINANCE(C35, ""price"", EDATE(TODAY(), -1), TODAY()), 2, 2)) - 1, """")"),"")</f>
        <v/>
      </c>
      <c r="N35" s="21" t="str">
        <f>IFERROR(__xludf.DUMMYFUNCTION("IFERROR((GOOGLEFINANCE(C35, ""price"") / INDEX(GOOGLEFINANCE(C35, ""price"", EDATE(TODAY(), -3), TODAY()), 2, 2)) - 1, """")"),"")</f>
        <v/>
      </c>
      <c r="O35" s="21" t="str">
        <f>IFERROR(__xludf.DUMMYFUNCTION("IFERROR((GOOGLEFINANCE(C35, ""price"") / INDEX(GOOGLEFINANCE(C35, ""price"", EDATE(TODAY(), -6), TODAY()), 2, 2)) - 1, """")"),"")</f>
        <v/>
      </c>
      <c r="P35" s="21" t="str">
        <f>IFERROR(__xludf.DUMMYFUNCTION("IFERROR((GOOGLEFINANCE(C35, ""price"") / INDEX(GOOGLEFINANCE(C35, ""price"", EDATE(TODAY(), -12), TODAY()), 2, 2)) - 1, """")"),"")</f>
        <v/>
      </c>
      <c r="Q35" s="6" t="str">
        <f>IFERROR(__xludf.DUMMYFUNCTION("AVERAGE(QUERY(GOOGLEFINANCE(C35, ""price"", TODAY()-80, TODAY()), ""SELECT Col2 WHERE Col2 IS NOT NULL ORDER BY Col1 DESC LIMIT 50"", 0))"),"#N/A")</f>
        <v>#N/A</v>
      </c>
      <c r="R35" s="24" t="str">
        <f>IFERROR(__xludf.DUMMYFUNCTION("IFERROR(
  LET(
    data, QUERY(GOOGLEFINANCE(C35,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GOOGLEFINANCE(C35, ""price"")) * 100,
    IF(calc=0, G35, calc)
  ), 
G35)"),"#N/A")</f>
        <v>#N/A</v>
      </c>
      <c r="S35" s="8" t="s">
        <v>15</v>
      </c>
      <c r="T35" s="26" t="str">
        <f>IFERROR(__xludf.DUMMYFUNCTION("IFERROR(TRANSPOSE(QUERY(IFERROR(SORT(GOOGLEFINANCE(C35, ""price"", WORKDAY(TODAY(), -40), TODAY()), 1, FALSE)), ""select Col2 where Col2 is not null limit 22 label Col2 ''"", 0)), """")"),"")</f>
        <v/>
      </c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8"/>
      <c r="AO35" s="28"/>
      <c r="AP35" s="29"/>
      <c r="AQ35" s="29" t="str">
        <f t="shared" ref="AQ35:BL35" si="38">T35/T$2</f>
        <v>#N/A</v>
      </c>
      <c r="AR35" s="29" t="str">
        <f t="shared" si="38"/>
        <v>#DIV/0!</v>
      </c>
      <c r="AS35" s="29" t="str">
        <f t="shared" si="38"/>
        <v>#DIV/0!</v>
      </c>
      <c r="AT35" s="29" t="str">
        <f t="shared" si="38"/>
        <v>#DIV/0!</v>
      </c>
      <c r="AU35" s="29" t="str">
        <f t="shared" si="38"/>
        <v>#DIV/0!</v>
      </c>
      <c r="AV35" s="29" t="str">
        <f t="shared" si="38"/>
        <v>#DIV/0!</v>
      </c>
      <c r="AW35" s="29" t="str">
        <f t="shared" si="38"/>
        <v>#DIV/0!</v>
      </c>
      <c r="AX35" s="29" t="str">
        <f t="shared" si="38"/>
        <v>#DIV/0!</v>
      </c>
      <c r="AY35" s="29" t="str">
        <f t="shared" si="38"/>
        <v>#DIV/0!</v>
      </c>
      <c r="AZ35" s="29" t="str">
        <f t="shared" si="38"/>
        <v>#DIV/0!</v>
      </c>
      <c r="BA35" s="29" t="str">
        <f t="shared" si="38"/>
        <v>#DIV/0!</v>
      </c>
      <c r="BB35" s="29" t="str">
        <f t="shared" si="38"/>
        <v>#DIV/0!</v>
      </c>
      <c r="BC35" s="29" t="str">
        <f t="shared" si="38"/>
        <v>#DIV/0!</v>
      </c>
      <c r="BD35" s="29" t="str">
        <f t="shared" si="38"/>
        <v>#DIV/0!</v>
      </c>
      <c r="BE35" s="29" t="str">
        <f t="shared" si="38"/>
        <v>#DIV/0!</v>
      </c>
      <c r="BF35" s="29" t="str">
        <f t="shared" si="38"/>
        <v>#DIV/0!</v>
      </c>
      <c r="BG35" s="29" t="str">
        <f t="shared" si="38"/>
        <v>#DIV/0!</v>
      </c>
      <c r="BH35" s="29" t="str">
        <f t="shared" si="38"/>
        <v>#DIV/0!</v>
      </c>
      <c r="BI35" s="29" t="str">
        <f t="shared" si="38"/>
        <v>#DIV/0!</v>
      </c>
      <c r="BJ35" s="29" t="str">
        <f t="shared" si="38"/>
        <v>#DIV/0!</v>
      </c>
      <c r="BK35" s="29" t="str">
        <f t="shared" si="38"/>
        <v>#DIV/0!</v>
      </c>
      <c r="BL35" s="29" t="str">
        <f t="shared" si="38"/>
        <v>#DIV/0!</v>
      </c>
      <c r="BM35" s="29" t="str">
        <f t="shared" si="3"/>
        <v>#DIV/0!</v>
      </c>
    </row>
    <row r="36">
      <c r="A36" s="16" t="str">
        <f>IFERROR(__xludf.DUMMYFUNCTION("IFERROR(SPARKLINE(SORT(MAP(TRANSPOSE(AQ36:BL36), LAMBDA(val, IF(ISNUMBER(val), PERCENTRANK(AQ36:BL36, val)+0.01, 0))), SEQUENCE(COLUMNS(AQ36:BL36)), FALSE), {""charttype"",""column""; ""color"",""chartreuse""; ""ymin"", 0; ""ymax"", 1.01; ""highcolor"", "&amp;"""darkgreen""; ""lowcolor"", ""red""}), """")"),"")</f>
        <v/>
      </c>
      <c r="B36" s="17" t="str">
        <f t="shared" si="4"/>
        <v/>
      </c>
      <c r="C36" s="1" t="s">
        <v>1596</v>
      </c>
      <c r="D36" s="30" t="str">
        <f>IFERROR(__xludf.DUMMYFUNCTION("IFERROR(GOOGLEFINANCE(C36, ""NAME""))"),"Astrana Health Inc")</f>
        <v>Astrana Health Inc</v>
      </c>
      <c r="E36" s="30" t="s">
        <v>1513</v>
      </c>
      <c r="F36" s="33" t="str">
        <f>IFERROR(__xludf.DUMMYFUNCTION("( (GOOGLEFINANCE(C36, ""price"") - Q36) / Q36 ) / (R36 / 100)"),"Loading...")</f>
        <v>Loading...</v>
      </c>
      <c r="G36" s="20" t="str">
        <f>IFERROR(__xludf.DUMMYFUNCTION("AVERAGE(ARRAYFORMULA(100 * (QUERY(GOOGLEFINANCE(C36, ""high"", TODAY()-40, TODAY()), ""SELECT Col2 WHERE Col2 IS NOT NULL ORDER BY Col1 DESC LIMIT 20"", 0) / QUERY(GOOGLEFINANCE(C36, ""low"", TODAY()-40, TODAY()), ""SELECT Col2 WHERE Col2 IS NOT NULL ORDE"&amp;"R BY Col1 DESC LIMIT 20"", 0) - 1)))"),"#N/A")</f>
        <v>#N/A</v>
      </c>
      <c r="H36" s="35" t="str">
        <f t="shared" si="6"/>
        <v/>
      </c>
      <c r="I36" s="36" t="str">
        <f t="shared" si="7"/>
        <v/>
      </c>
      <c r="J36" s="37" t="str">
        <f>IFERROR(__xludf.DUMMYFUNCTION("IFERROR(
  IF(C36="""",, 
    IFERROR(
      GOOGLEFINANCE(C36, ""price"") * GOOGLEFINANCE(C36, ""volumeavg""), 
      GOOGLEFINANCE(C36, ""price"") * AVERAGE(QUERY(GOOGLEFINANCE(C36, ""volume"", TODAY()-40, TODAY()), ""SELECT Col2 WHERE Col2 IS NOT NULL "&amp;"ORDER BY Col1 DESC LIMIT 20"", 0))
    )
  ), 
"""")"),"")</f>
        <v/>
      </c>
      <c r="K36" s="21" t="str">
        <f>IFERROR(__xludf.DUMMYFUNCTION("IFERROR(GOOGLEFINANCE(C36, ""changepct"") / 100, """")"),"")</f>
        <v/>
      </c>
      <c r="L36" s="21" t="str">
        <f>IFERROR(__xludf.DUMMYFUNCTION("IFERROR((GOOGLEFINANCE(C36, ""price"") / INDEX(GOOGLEFINANCE(C36, ""price"", TODAY()-7, TODAY()), 2, 2)) - 1, """")"),"")</f>
        <v/>
      </c>
      <c r="M36" s="21" t="str">
        <f>IFERROR(__xludf.DUMMYFUNCTION("IFERROR((GOOGLEFINANCE(C36, ""price"") / INDEX(GOOGLEFINANCE(C36, ""price"", EDATE(TODAY(), -1), TODAY()), 2, 2)) - 1, """")"),"")</f>
        <v/>
      </c>
      <c r="N36" s="21" t="str">
        <f>IFERROR(__xludf.DUMMYFUNCTION("IFERROR((GOOGLEFINANCE(C36, ""price"") / INDEX(GOOGLEFINANCE(C36, ""price"", EDATE(TODAY(), -3), TODAY()), 2, 2)) - 1, """")"),"")</f>
        <v/>
      </c>
      <c r="O36" s="21" t="str">
        <f>IFERROR(__xludf.DUMMYFUNCTION("IFERROR((GOOGLEFINANCE(C36, ""price"") / INDEX(GOOGLEFINANCE(C36, ""price"", EDATE(TODAY(), -6), TODAY()), 2, 2)) - 1, """")"),"")</f>
        <v/>
      </c>
      <c r="P36" s="21" t="str">
        <f>IFERROR(__xludf.DUMMYFUNCTION("IFERROR((GOOGLEFINANCE(C36, ""price"") / INDEX(GOOGLEFINANCE(C36, ""price"", EDATE(TODAY(), -12), TODAY()), 2, 2)) - 1, """")"),"")</f>
        <v/>
      </c>
      <c r="Q36" s="6" t="str">
        <f>IFERROR(__xludf.DUMMYFUNCTION("AVERAGE(QUERY(GOOGLEFINANCE(C36, ""price"", TODAY()-80, TODAY()), ""SELECT Col2 WHERE Col2 IS NOT NULL ORDER BY Col1 DESC LIMIT 50"", 0))"),"#N/A")</f>
        <v>#N/A</v>
      </c>
      <c r="R36" s="24" t="str">
        <f>IFERROR(__xludf.DUMMYFUNCTION("IFERROR(
  LET(
    data, QUERY(GOOGLEFINANCE(C36,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GOOGLEFINANCE(C36, ""price"")) * 100,
    IF(calc=0, G36, calc)
  ), 
G36)"),"#N/A")</f>
        <v>#N/A</v>
      </c>
      <c r="S36" s="8" t="s">
        <v>15</v>
      </c>
      <c r="T36" s="26" t="str">
        <f>IFERROR(__xludf.DUMMYFUNCTION("IFERROR(TRANSPOSE(QUERY(IFERROR(SORT(GOOGLEFINANCE(C36, ""price"", WORKDAY(TODAY(), -40), TODAY()), 1, FALSE)), ""select Col2 where Col2 is not null limit 22 label Col2 ''"", 0)), """")"),"")</f>
        <v/>
      </c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8"/>
      <c r="AO36" s="28"/>
      <c r="AP36" s="29"/>
      <c r="AQ36" s="29" t="str">
        <f t="shared" ref="AQ36:BL36" si="39">T36/T$2</f>
        <v>#N/A</v>
      </c>
      <c r="AR36" s="29" t="str">
        <f t="shared" si="39"/>
        <v>#DIV/0!</v>
      </c>
      <c r="AS36" s="29" t="str">
        <f t="shared" si="39"/>
        <v>#DIV/0!</v>
      </c>
      <c r="AT36" s="29" t="str">
        <f t="shared" si="39"/>
        <v>#DIV/0!</v>
      </c>
      <c r="AU36" s="29" t="str">
        <f t="shared" si="39"/>
        <v>#DIV/0!</v>
      </c>
      <c r="AV36" s="29" t="str">
        <f t="shared" si="39"/>
        <v>#DIV/0!</v>
      </c>
      <c r="AW36" s="29" t="str">
        <f t="shared" si="39"/>
        <v>#DIV/0!</v>
      </c>
      <c r="AX36" s="29" t="str">
        <f t="shared" si="39"/>
        <v>#DIV/0!</v>
      </c>
      <c r="AY36" s="29" t="str">
        <f t="shared" si="39"/>
        <v>#DIV/0!</v>
      </c>
      <c r="AZ36" s="29" t="str">
        <f t="shared" si="39"/>
        <v>#DIV/0!</v>
      </c>
      <c r="BA36" s="29" t="str">
        <f t="shared" si="39"/>
        <v>#DIV/0!</v>
      </c>
      <c r="BB36" s="29" t="str">
        <f t="shared" si="39"/>
        <v>#DIV/0!</v>
      </c>
      <c r="BC36" s="29" t="str">
        <f t="shared" si="39"/>
        <v>#DIV/0!</v>
      </c>
      <c r="BD36" s="29" t="str">
        <f t="shared" si="39"/>
        <v>#DIV/0!</v>
      </c>
      <c r="BE36" s="29" t="str">
        <f t="shared" si="39"/>
        <v>#DIV/0!</v>
      </c>
      <c r="BF36" s="29" t="str">
        <f t="shared" si="39"/>
        <v>#DIV/0!</v>
      </c>
      <c r="BG36" s="29" t="str">
        <f t="shared" si="39"/>
        <v>#DIV/0!</v>
      </c>
      <c r="BH36" s="29" t="str">
        <f t="shared" si="39"/>
        <v>#DIV/0!</v>
      </c>
      <c r="BI36" s="29" t="str">
        <f t="shared" si="39"/>
        <v>#DIV/0!</v>
      </c>
      <c r="BJ36" s="29" t="str">
        <f t="shared" si="39"/>
        <v>#DIV/0!</v>
      </c>
      <c r="BK36" s="29" t="str">
        <f t="shared" si="39"/>
        <v>#DIV/0!</v>
      </c>
      <c r="BL36" s="29" t="str">
        <f t="shared" si="39"/>
        <v>#DIV/0!</v>
      </c>
      <c r="BM36" s="29" t="str">
        <f t="shared" si="3"/>
        <v>#DIV/0!</v>
      </c>
    </row>
    <row r="37">
      <c r="A37" s="16" t="str">
        <f>IFERROR(__xludf.DUMMYFUNCTION("IFERROR(SPARKLINE(SORT(MAP(TRANSPOSE(AQ37:BL37), LAMBDA(val, IF(ISNUMBER(val), PERCENTRANK(AQ37:BL37, val)+0.01, 0))), SEQUENCE(COLUMNS(AQ37:BL37)), FALSE), {""charttype"",""column""; ""color"",""chartreuse""; ""ymin"", 0; ""ymax"", 1.01; ""highcolor"", "&amp;"""darkgreen""; ""lowcolor"", ""red""}), """")"),"")</f>
        <v/>
      </c>
      <c r="B37" s="17" t="str">
        <f t="shared" si="4"/>
        <v/>
      </c>
      <c r="C37" s="1" t="s">
        <v>1599</v>
      </c>
      <c r="D37" s="30" t="str">
        <f>IFERROR(__xludf.DUMMYFUNCTION("IFERROR(GOOGLEFINANCE(C37, ""NAME""))"),"Clearpoint Neuro Inc")</f>
        <v>Clearpoint Neuro Inc</v>
      </c>
      <c r="E37" s="30" t="s">
        <v>1491</v>
      </c>
      <c r="F37" s="33" t="str">
        <f>IFERROR(__xludf.DUMMYFUNCTION("( (GOOGLEFINANCE(C37, ""price"") - Q37) / Q37 ) / (R37 / 100)"),"Loading...")</f>
        <v>Loading...</v>
      </c>
      <c r="G37" s="20" t="str">
        <f>IFERROR(__xludf.DUMMYFUNCTION("AVERAGE(ARRAYFORMULA(100 * (QUERY(GOOGLEFINANCE(C37, ""high"", TODAY()-40, TODAY()), ""SELECT Col2 WHERE Col2 IS NOT NULL ORDER BY Col1 DESC LIMIT 20"", 0) / QUERY(GOOGLEFINANCE(C37, ""low"", TODAY()-40, TODAY()), ""SELECT Col2 WHERE Col2 IS NOT NULL ORDE"&amp;"R BY Col1 DESC LIMIT 20"", 0) - 1)))"),"#N/A")</f>
        <v>#N/A</v>
      </c>
      <c r="H37" s="35" t="str">
        <f t="shared" si="6"/>
        <v/>
      </c>
      <c r="I37" s="36" t="str">
        <f t="shared" si="7"/>
        <v/>
      </c>
      <c r="J37" s="37" t="str">
        <f>IFERROR(__xludf.DUMMYFUNCTION("IFERROR(
  IF(C37="""",, 
    IFERROR(
      GOOGLEFINANCE(C37, ""price"") * GOOGLEFINANCE(C37, ""volumeavg""), 
      GOOGLEFINANCE(C37, ""price"") * AVERAGE(QUERY(GOOGLEFINANCE(C37, ""volume"", TODAY()-40, TODAY()), ""SELECT Col2 WHERE Col2 IS NOT NULL "&amp;"ORDER BY Col1 DESC LIMIT 20"", 0))
    )
  ), 
"""")"),"")</f>
        <v/>
      </c>
      <c r="K37" s="21" t="str">
        <f>IFERROR(__xludf.DUMMYFUNCTION("IFERROR(GOOGLEFINANCE(C37, ""changepct"") / 100, """")"),"")</f>
        <v/>
      </c>
      <c r="L37" s="21" t="str">
        <f>IFERROR(__xludf.DUMMYFUNCTION("IFERROR((GOOGLEFINANCE(C37, ""price"") / INDEX(GOOGLEFINANCE(C37, ""price"", TODAY()-7, TODAY()), 2, 2)) - 1, """")"),"")</f>
        <v/>
      </c>
      <c r="M37" s="21" t="str">
        <f>IFERROR(__xludf.DUMMYFUNCTION("IFERROR((GOOGLEFINANCE(C37, ""price"") / INDEX(GOOGLEFINANCE(C37, ""price"", EDATE(TODAY(), -1), TODAY()), 2, 2)) - 1, """")"),"")</f>
        <v/>
      </c>
      <c r="N37" s="21" t="str">
        <f>IFERROR(__xludf.DUMMYFUNCTION("IFERROR((GOOGLEFINANCE(C37, ""price"") / INDEX(GOOGLEFINANCE(C37, ""price"", EDATE(TODAY(), -3), TODAY()), 2, 2)) - 1, """")"),"")</f>
        <v/>
      </c>
      <c r="O37" s="21" t="str">
        <f>IFERROR(__xludf.DUMMYFUNCTION("IFERROR((GOOGLEFINANCE(C37, ""price"") / INDEX(GOOGLEFINANCE(C37, ""price"", EDATE(TODAY(), -6), TODAY()), 2, 2)) - 1, """")"),"")</f>
        <v/>
      </c>
      <c r="P37" s="21" t="str">
        <f>IFERROR(__xludf.DUMMYFUNCTION("IFERROR((GOOGLEFINANCE(C37, ""price"") / INDEX(GOOGLEFINANCE(C37, ""price"", EDATE(TODAY(), -12), TODAY()), 2, 2)) - 1, """")"),"")</f>
        <v/>
      </c>
      <c r="Q37" s="6" t="str">
        <f>IFERROR(__xludf.DUMMYFUNCTION("AVERAGE(QUERY(GOOGLEFINANCE(C37, ""price"", TODAY()-80, TODAY()), ""SELECT Col2 WHERE Col2 IS NOT NULL ORDER BY Col1 DESC LIMIT 50"", 0))"),"#N/A")</f>
        <v>#N/A</v>
      </c>
      <c r="R37" s="24" t="str">
        <f>IFERROR(__xludf.DUMMYFUNCTION("IFERROR(
  LET(
    data, QUERY(GOOGLEFINANCE(C37,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GOOGLEFINANCE(C37, ""price"")) * 100,
    IF(calc=0, G37, calc)
  ), 
G37)"),"#N/A")</f>
        <v>#N/A</v>
      </c>
      <c r="S37" s="8" t="s">
        <v>15</v>
      </c>
      <c r="T37" s="26" t="str">
        <f>IFERROR(__xludf.DUMMYFUNCTION("IFERROR(TRANSPOSE(QUERY(IFERROR(SORT(GOOGLEFINANCE(C37, ""price"", WORKDAY(TODAY(), -40), TODAY()), 1, FALSE)), ""select Col2 where Col2 is not null limit 22 label Col2 ''"", 0)), """")"),"")</f>
        <v/>
      </c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8"/>
      <c r="AO37" s="28"/>
      <c r="AP37" s="29"/>
      <c r="AQ37" s="29" t="str">
        <f t="shared" ref="AQ37:BL37" si="40">T37/T$2</f>
        <v>#N/A</v>
      </c>
      <c r="AR37" s="29" t="str">
        <f t="shared" si="40"/>
        <v>#DIV/0!</v>
      </c>
      <c r="AS37" s="29" t="str">
        <f t="shared" si="40"/>
        <v>#DIV/0!</v>
      </c>
      <c r="AT37" s="29" t="str">
        <f t="shared" si="40"/>
        <v>#DIV/0!</v>
      </c>
      <c r="AU37" s="29" t="str">
        <f t="shared" si="40"/>
        <v>#DIV/0!</v>
      </c>
      <c r="AV37" s="29" t="str">
        <f t="shared" si="40"/>
        <v>#DIV/0!</v>
      </c>
      <c r="AW37" s="29" t="str">
        <f t="shared" si="40"/>
        <v>#DIV/0!</v>
      </c>
      <c r="AX37" s="29" t="str">
        <f t="shared" si="40"/>
        <v>#DIV/0!</v>
      </c>
      <c r="AY37" s="29" t="str">
        <f t="shared" si="40"/>
        <v>#DIV/0!</v>
      </c>
      <c r="AZ37" s="29" t="str">
        <f t="shared" si="40"/>
        <v>#DIV/0!</v>
      </c>
      <c r="BA37" s="29" t="str">
        <f t="shared" si="40"/>
        <v>#DIV/0!</v>
      </c>
      <c r="BB37" s="29" t="str">
        <f t="shared" si="40"/>
        <v>#DIV/0!</v>
      </c>
      <c r="BC37" s="29" t="str">
        <f t="shared" si="40"/>
        <v>#DIV/0!</v>
      </c>
      <c r="BD37" s="29" t="str">
        <f t="shared" si="40"/>
        <v>#DIV/0!</v>
      </c>
      <c r="BE37" s="29" t="str">
        <f t="shared" si="40"/>
        <v>#DIV/0!</v>
      </c>
      <c r="BF37" s="29" t="str">
        <f t="shared" si="40"/>
        <v>#DIV/0!</v>
      </c>
      <c r="BG37" s="29" t="str">
        <f t="shared" si="40"/>
        <v>#DIV/0!</v>
      </c>
      <c r="BH37" s="29" t="str">
        <f t="shared" si="40"/>
        <v>#DIV/0!</v>
      </c>
      <c r="BI37" s="29" t="str">
        <f t="shared" si="40"/>
        <v>#DIV/0!</v>
      </c>
      <c r="BJ37" s="29" t="str">
        <f t="shared" si="40"/>
        <v>#DIV/0!</v>
      </c>
      <c r="BK37" s="29" t="str">
        <f t="shared" si="40"/>
        <v>#DIV/0!</v>
      </c>
      <c r="BL37" s="29" t="str">
        <f t="shared" si="40"/>
        <v>#DIV/0!</v>
      </c>
      <c r="BM37" s="29" t="str">
        <f t="shared" si="3"/>
        <v>#DIV/0!</v>
      </c>
    </row>
    <row r="38">
      <c r="A38" s="16" t="str">
        <f>IFERROR(__xludf.DUMMYFUNCTION("IFERROR(SPARKLINE(SORT(MAP(TRANSPOSE(AQ38:BL38), LAMBDA(val, IF(ISNUMBER(val), PERCENTRANK(AQ38:BL38, val)+0.01, 0))), SEQUENCE(COLUMNS(AQ38:BL38)), FALSE), {""charttype"",""column""; ""color"",""chartreuse""; ""ymin"", 0; ""ymax"", 1.01; ""highcolor"", "&amp;"""darkgreen""; ""lowcolor"", ""red""}), """")"),"")</f>
        <v/>
      </c>
      <c r="B38" s="17" t="str">
        <f t="shared" si="4"/>
        <v/>
      </c>
      <c r="C38" s="1" t="s">
        <v>1603</v>
      </c>
      <c r="D38" s="30" t="str">
        <f>IFERROR(__xludf.DUMMYFUNCTION("IFERROR(GOOGLEFINANCE(C38, ""NAME""))"),"Lumexa Imaging Holdings Inc")</f>
        <v>Lumexa Imaging Holdings Inc</v>
      </c>
      <c r="E38" s="30" t="s">
        <v>1491</v>
      </c>
      <c r="F38" s="33" t="str">
        <f>IFERROR(__xludf.DUMMYFUNCTION("( (GOOGLEFINANCE(C38, ""price"") - Q38) / Q38 ) / (R38 / 100)"),"Loading...")</f>
        <v>Loading...</v>
      </c>
      <c r="G38" s="20" t="str">
        <f>IFERROR(__xludf.DUMMYFUNCTION("AVERAGE(ARRAYFORMULA(100 * (QUERY(GOOGLEFINANCE(C38, ""high"", TODAY()-40, TODAY()), ""SELECT Col2 WHERE Col2 IS NOT NULL ORDER BY Col1 DESC LIMIT 20"", 0) / QUERY(GOOGLEFINANCE(C38, ""low"", TODAY()-40, TODAY()), ""SELECT Col2 WHERE Col2 IS NOT NULL ORDE"&amp;"R BY Col1 DESC LIMIT 20"", 0) - 1)))"),"#N/A")</f>
        <v>#N/A</v>
      </c>
      <c r="H38" s="35" t="str">
        <f t="shared" si="6"/>
        <v/>
      </c>
      <c r="I38" s="36" t="str">
        <f t="shared" si="7"/>
        <v/>
      </c>
      <c r="J38" s="37" t="str">
        <f>IFERROR(__xludf.DUMMYFUNCTION("IFERROR(
  IF(C38="""",, 
    IFERROR(
      GOOGLEFINANCE(C38, ""price"") * GOOGLEFINANCE(C38, ""volumeavg""), 
      GOOGLEFINANCE(C38, ""price"") * AVERAGE(QUERY(GOOGLEFINANCE(C38, ""volume"", TODAY()-40, TODAY()), ""SELECT Col2 WHERE Col2 IS NOT NULL "&amp;"ORDER BY Col1 DESC LIMIT 20"", 0))
    )
  ), 
"""")"),"")</f>
        <v/>
      </c>
      <c r="K38" s="21" t="str">
        <f>IFERROR(__xludf.DUMMYFUNCTION("IFERROR(GOOGLEFINANCE(C38, ""changepct"") / 100, """")"),"")</f>
        <v/>
      </c>
      <c r="L38" s="21" t="str">
        <f>IFERROR(__xludf.DUMMYFUNCTION("IFERROR((GOOGLEFINANCE(C38, ""price"") / INDEX(GOOGLEFINANCE(C38, ""price"", TODAY()-7, TODAY()), 2, 2)) - 1, """")"),"")</f>
        <v/>
      </c>
      <c r="M38" s="21" t="str">
        <f>IFERROR(__xludf.DUMMYFUNCTION("IFERROR((GOOGLEFINANCE(C38, ""price"") / INDEX(GOOGLEFINANCE(C38, ""price"", EDATE(TODAY(), -1), TODAY()), 2, 2)) - 1, """")"),"")</f>
        <v/>
      </c>
      <c r="N38" s="21" t="str">
        <f>IFERROR(__xludf.DUMMYFUNCTION("IFERROR((GOOGLEFINANCE(C38, ""price"") / INDEX(GOOGLEFINANCE(C38, ""price"", EDATE(TODAY(), -3), TODAY()), 2, 2)) - 1, """")"),"")</f>
        <v/>
      </c>
      <c r="O38" s="21" t="str">
        <f>IFERROR(__xludf.DUMMYFUNCTION("IFERROR((GOOGLEFINANCE(C38, ""price"") / INDEX(GOOGLEFINANCE(C38, ""price"", EDATE(TODAY(), -6), TODAY()), 2, 2)) - 1, """")"),"")</f>
        <v/>
      </c>
      <c r="P38" s="21" t="str">
        <f>IFERROR(__xludf.DUMMYFUNCTION("IFERROR((GOOGLEFINANCE(C38, ""price"") / INDEX(GOOGLEFINANCE(C38, ""price"", EDATE(TODAY(), -12), TODAY()), 2, 2)) - 1, """")"),"")</f>
        <v/>
      </c>
      <c r="Q38" s="6" t="str">
        <f>IFERROR(__xludf.DUMMYFUNCTION("AVERAGE(QUERY(GOOGLEFINANCE(C38, ""price"", TODAY()-80, TODAY()), ""SELECT Col2 WHERE Col2 IS NOT NULL ORDER BY Col1 DESC LIMIT 50"", 0))"),"#N/A")</f>
        <v>#N/A</v>
      </c>
      <c r="R38" s="24" t="str">
        <f>IFERROR(__xludf.DUMMYFUNCTION("IFERROR(
  LET(
    data, QUERY(GOOGLEFINANCE(C38,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GOOGLEFINANCE(C38, ""price"")) * 100,
    IF(calc=0, G38, calc)
  ), 
G38)"),"#N/A")</f>
        <v>#N/A</v>
      </c>
      <c r="S38" s="8" t="s">
        <v>15</v>
      </c>
      <c r="T38" s="26" t="str">
        <f>IFERROR(__xludf.DUMMYFUNCTION("IFERROR(TRANSPOSE(QUERY(IFERROR(SORT(GOOGLEFINANCE(C38, ""price"", WORKDAY(TODAY(), -40), TODAY()), 1, FALSE)), ""select Col2 where Col2 is not null limit 22 label Col2 ''"", 0)), """")"),"")</f>
        <v/>
      </c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8"/>
      <c r="AO38" s="28"/>
      <c r="AP38" s="29"/>
      <c r="AQ38" s="29" t="str">
        <f t="shared" ref="AQ38:BL38" si="41">T38/T$2</f>
        <v>#N/A</v>
      </c>
      <c r="AR38" s="29" t="str">
        <f t="shared" si="41"/>
        <v>#DIV/0!</v>
      </c>
      <c r="AS38" s="29" t="str">
        <f t="shared" si="41"/>
        <v>#DIV/0!</v>
      </c>
      <c r="AT38" s="29" t="str">
        <f t="shared" si="41"/>
        <v>#DIV/0!</v>
      </c>
      <c r="AU38" s="29" t="str">
        <f t="shared" si="41"/>
        <v>#DIV/0!</v>
      </c>
      <c r="AV38" s="29" t="str">
        <f t="shared" si="41"/>
        <v>#DIV/0!</v>
      </c>
      <c r="AW38" s="29" t="str">
        <f t="shared" si="41"/>
        <v>#DIV/0!</v>
      </c>
      <c r="AX38" s="29" t="str">
        <f t="shared" si="41"/>
        <v>#DIV/0!</v>
      </c>
      <c r="AY38" s="29" t="str">
        <f t="shared" si="41"/>
        <v>#DIV/0!</v>
      </c>
      <c r="AZ38" s="29" t="str">
        <f t="shared" si="41"/>
        <v>#DIV/0!</v>
      </c>
      <c r="BA38" s="29" t="str">
        <f t="shared" si="41"/>
        <v>#DIV/0!</v>
      </c>
      <c r="BB38" s="29" t="str">
        <f t="shared" si="41"/>
        <v>#DIV/0!</v>
      </c>
      <c r="BC38" s="29" t="str">
        <f t="shared" si="41"/>
        <v>#DIV/0!</v>
      </c>
      <c r="BD38" s="29" t="str">
        <f t="shared" si="41"/>
        <v>#DIV/0!</v>
      </c>
      <c r="BE38" s="29" t="str">
        <f t="shared" si="41"/>
        <v>#DIV/0!</v>
      </c>
      <c r="BF38" s="29" t="str">
        <f t="shared" si="41"/>
        <v>#DIV/0!</v>
      </c>
      <c r="BG38" s="29" t="str">
        <f t="shared" si="41"/>
        <v>#DIV/0!</v>
      </c>
      <c r="BH38" s="29" t="str">
        <f t="shared" si="41"/>
        <v>#DIV/0!</v>
      </c>
      <c r="BI38" s="29" t="str">
        <f t="shared" si="41"/>
        <v>#DIV/0!</v>
      </c>
      <c r="BJ38" s="29" t="str">
        <f t="shared" si="41"/>
        <v>#DIV/0!</v>
      </c>
      <c r="BK38" s="29" t="str">
        <f t="shared" si="41"/>
        <v>#DIV/0!</v>
      </c>
      <c r="BL38" s="29" t="str">
        <f t="shared" si="41"/>
        <v>#DIV/0!</v>
      </c>
      <c r="BM38" s="29" t="str">
        <f t="shared" si="3"/>
        <v>#DIV/0!</v>
      </c>
    </row>
    <row r="39">
      <c r="A39" s="16" t="str">
        <f>IFERROR(__xludf.DUMMYFUNCTION("IFERROR(SPARKLINE(SORT(MAP(TRANSPOSE(AQ39:BL39), LAMBDA(val, IF(ISNUMBER(val), PERCENTRANK(AQ39:BL39, val)+0.01, 0))), SEQUENCE(COLUMNS(AQ39:BL39)), FALSE), {""charttype"",""column""; ""color"",""chartreuse""; ""ymin"", 0; ""ymax"", 1.01; ""highcolor"", "&amp;"""darkgreen""; ""lowcolor"", ""red""}), """")"),"")</f>
        <v/>
      </c>
      <c r="B39" s="17" t="str">
        <f t="shared" si="4"/>
        <v/>
      </c>
      <c r="C39" s="1" t="s">
        <v>1607</v>
      </c>
      <c r="D39" s="30" t="str">
        <f>IFERROR(__xludf.DUMMYFUNCTION("IFERROR(GOOGLEFINANCE(C39, ""NAME""))"),"Biogen Inc")</f>
        <v>Biogen Inc</v>
      </c>
      <c r="E39" s="30" t="s">
        <v>1509</v>
      </c>
      <c r="F39" s="33" t="str">
        <f>IFERROR(__xludf.DUMMYFUNCTION("( (GOOGLEFINANCE(C39, ""price"") - Q39) / Q39 ) / (R39 / 100)"),"Loading...")</f>
        <v>Loading...</v>
      </c>
      <c r="G39" s="20" t="str">
        <f>IFERROR(__xludf.DUMMYFUNCTION("AVERAGE(ARRAYFORMULA(100 * (QUERY(GOOGLEFINANCE(C39, ""high"", TODAY()-40, TODAY()), ""SELECT Col2 WHERE Col2 IS NOT NULL ORDER BY Col1 DESC LIMIT 20"", 0) / QUERY(GOOGLEFINANCE(C39, ""low"", TODAY()-40, TODAY()), ""SELECT Col2 WHERE Col2 IS NOT NULL ORDE"&amp;"R BY Col1 DESC LIMIT 20"", 0) - 1)))"),"#N/A")</f>
        <v>#N/A</v>
      </c>
      <c r="H39" s="35" t="str">
        <f t="shared" si="6"/>
        <v/>
      </c>
      <c r="I39" s="36" t="str">
        <f t="shared" si="7"/>
        <v/>
      </c>
      <c r="J39" s="37" t="str">
        <f>IFERROR(__xludf.DUMMYFUNCTION("IFERROR(
  IF(C39="""",, 
    IFERROR(
      GOOGLEFINANCE(C39, ""price"") * GOOGLEFINANCE(C39, ""volumeavg""), 
      GOOGLEFINANCE(C39, ""price"") * AVERAGE(QUERY(GOOGLEFINANCE(C39, ""volume"", TODAY()-40, TODAY()), ""SELECT Col2 WHERE Col2 IS NOT NULL "&amp;"ORDER BY Col1 DESC LIMIT 20"", 0))
    )
  ), 
"""")"),"")</f>
        <v/>
      </c>
      <c r="K39" s="21" t="str">
        <f>IFERROR(__xludf.DUMMYFUNCTION("IFERROR(GOOGLEFINANCE(C39, ""changepct"") / 100, """")"),"")</f>
        <v/>
      </c>
      <c r="L39" s="21" t="str">
        <f>IFERROR(__xludf.DUMMYFUNCTION("IFERROR((GOOGLEFINANCE(C39, ""price"") / INDEX(GOOGLEFINANCE(C39, ""price"", TODAY()-7, TODAY()), 2, 2)) - 1, """")"),"")</f>
        <v/>
      </c>
      <c r="M39" s="21" t="str">
        <f>IFERROR(__xludf.DUMMYFUNCTION("IFERROR((GOOGLEFINANCE(C39, ""price"") / INDEX(GOOGLEFINANCE(C39, ""price"", EDATE(TODAY(), -1), TODAY()), 2, 2)) - 1, """")"),"")</f>
        <v/>
      </c>
      <c r="N39" s="21" t="str">
        <f>IFERROR(__xludf.DUMMYFUNCTION("IFERROR((GOOGLEFINANCE(C39, ""price"") / INDEX(GOOGLEFINANCE(C39, ""price"", EDATE(TODAY(), -3), TODAY()), 2, 2)) - 1, """")"),"")</f>
        <v/>
      </c>
      <c r="O39" s="21" t="str">
        <f>IFERROR(__xludf.DUMMYFUNCTION("IFERROR((GOOGLEFINANCE(C39, ""price"") / INDEX(GOOGLEFINANCE(C39, ""price"", EDATE(TODAY(), -6), TODAY()), 2, 2)) - 1, """")"),"")</f>
        <v/>
      </c>
      <c r="P39" s="21" t="str">
        <f>IFERROR(__xludf.DUMMYFUNCTION("IFERROR((GOOGLEFINANCE(C39, ""price"") / INDEX(GOOGLEFINANCE(C39, ""price"", EDATE(TODAY(), -12), TODAY()), 2, 2)) - 1, """")"),"")</f>
        <v/>
      </c>
      <c r="Q39" s="6" t="str">
        <f>IFERROR(__xludf.DUMMYFUNCTION("AVERAGE(QUERY(GOOGLEFINANCE(C39, ""price"", TODAY()-80, TODAY()), ""SELECT Col2 WHERE Col2 IS NOT NULL ORDER BY Col1 DESC LIMIT 50"", 0))"),"#N/A")</f>
        <v>#N/A</v>
      </c>
      <c r="R39" s="24" t="str">
        <f>IFERROR(__xludf.DUMMYFUNCTION("IFERROR(
  LET(
    data, QUERY(GOOGLEFINANCE(C39,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GOOGLEFINANCE(C39, ""price"")) * 100,
    IF(calc=0, G39, calc)
  ), 
G39)"),"#N/A")</f>
        <v>#N/A</v>
      </c>
      <c r="S39" s="8" t="s">
        <v>15</v>
      </c>
      <c r="T39" s="26" t="str">
        <f>IFERROR(__xludf.DUMMYFUNCTION("IFERROR(TRANSPOSE(QUERY(IFERROR(SORT(GOOGLEFINANCE(C39, ""price"", WORKDAY(TODAY(), -40), TODAY()), 1, FALSE)), ""select Col2 where Col2 is not null limit 22 label Col2 ''"", 0)), """")"),"")</f>
        <v/>
      </c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8"/>
      <c r="AO39" s="28"/>
      <c r="AP39" s="29"/>
      <c r="AQ39" s="29" t="str">
        <f t="shared" ref="AQ39:BL39" si="42">T39/T$2</f>
        <v>#N/A</v>
      </c>
      <c r="AR39" s="29" t="str">
        <f t="shared" si="42"/>
        <v>#DIV/0!</v>
      </c>
      <c r="AS39" s="29" t="str">
        <f t="shared" si="42"/>
        <v>#DIV/0!</v>
      </c>
      <c r="AT39" s="29" t="str">
        <f t="shared" si="42"/>
        <v>#DIV/0!</v>
      </c>
      <c r="AU39" s="29" t="str">
        <f t="shared" si="42"/>
        <v>#DIV/0!</v>
      </c>
      <c r="AV39" s="29" t="str">
        <f t="shared" si="42"/>
        <v>#DIV/0!</v>
      </c>
      <c r="AW39" s="29" t="str">
        <f t="shared" si="42"/>
        <v>#DIV/0!</v>
      </c>
      <c r="AX39" s="29" t="str">
        <f t="shared" si="42"/>
        <v>#DIV/0!</v>
      </c>
      <c r="AY39" s="29" t="str">
        <f t="shared" si="42"/>
        <v>#DIV/0!</v>
      </c>
      <c r="AZ39" s="29" t="str">
        <f t="shared" si="42"/>
        <v>#DIV/0!</v>
      </c>
      <c r="BA39" s="29" t="str">
        <f t="shared" si="42"/>
        <v>#DIV/0!</v>
      </c>
      <c r="BB39" s="29" t="str">
        <f t="shared" si="42"/>
        <v>#DIV/0!</v>
      </c>
      <c r="BC39" s="29" t="str">
        <f t="shared" si="42"/>
        <v>#DIV/0!</v>
      </c>
      <c r="BD39" s="29" t="str">
        <f t="shared" si="42"/>
        <v>#DIV/0!</v>
      </c>
      <c r="BE39" s="29" t="str">
        <f t="shared" si="42"/>
        <v>#DIV/0!</v>
      </c>
      <c r="BF39" s="29" t="str">
        <f t="shared" si="42"/>
        <v>#DIV/0!</v>
      </c>
      <c r="BG39" s="29" t="str">
        <f t="shared" si="42"/>
        <v>#DIV/0!</v>
      </c>
      <c r="BH39" s="29" t="str">
        <f t="shared" si="42"/>
        <v>#DIV/0!</v>
      </c>
      <c r="BI39" s="29" t="str">
        <f t="shared" si="42"/>
        <v>#DIV/0!</v>
      </c>
      <c r="BJ39" s="29" t="str">
        <f t="shared" si="42"/>
        <v>#DIV/0!</v>
      </c>
      <c r="BK39" s="29" t="str">
        <f t="shared" si="42"/>
        <v>#DIV/0!</v>
      </c>
      <c r="BL39" s="29" t="str">
        <f t="shared" si="42"/>
        <v>#DIV/0!</v>
      </c>
      <c r="BM39" s="29" t="str">
        <f t="shared" si="3"/>
        <v>#DIV/0!</v>
      </c>
    </row>
    <row r="40">
      <c r="A40" s="16" t="str">
        <f>IFERROR(__xludf.DUMMYFUNCTION("IFERROR(SPARKLINE(SORT(MAP(TRANSPOSE(AQ40:BL40), LAMBDA(val, IF(ISNUMBER(val), PERCENTRANK(AQ40:BL40, val)+0.01, 0))), SEQUENCE(COLUMNS(AQ40:BL40)), FALSE), {""charttype"",""column""; ""color"",""chartreuse""; ""ymin"", 0; ""ymax"", 1.01; ""highcolor"", "&amp;"""darkgreen""; ""lowcolor"", ""red""}), """")"),"")</f>
        <v/>
      </c>
      <c r="B40" s="17" t="str">
        <f t="shared" si="4"/>
        <v/>
      </c>
      <c r="C40" s="1" t="s">
        <v>1611</v>
      </c>
      <c r="D40" s="30" t="str">
        <f>IFERROR(__xludf.DUMMYFUNCTION("IFERROR(GOOGLEFINANCE(C40, ""NAME""))"),"STAAR Surgical Co")</f>
        <v>STAAR Surgical Co</v>
      </c>
      <c r="E40" s="30" t="s">
        <v>1502</v>
      </c>
      <c r="F40" s="33" t="str">
        <f>IFERROR(__xludf.DUMMYFUNCTION("( (GOOGLEFINANCE(C40, ""price"") - Q40) / Q40 ) / (R40 / 100)"),"Loading...")</f>
        <v>Loading...</v>
      </c>
      <c r="G40" s="20" t="str">
        <f>IFERROR(__xludf.DUMMYFUNCTION("AVERAGE(ARRAYFORMULA(100 * (QUERY(GOOGLEFINANCE(C40, ""high"", TODAY()-40, TODAY()), ""SELECT Col2 WHERE Col2 IS NOT NULL ORDER BY Col1 DESC LIMIT 20"", 0) / QUERY(GOOGLEFINANCE(C40, ""low"", TODAY()-40, TODAY()), ""SELECT Col2 WHERE Col2 IS NOT NULL ORDE"&amp;"R BY Col1 DESC LIMIT 20"", 0) - 1)))"),"#N/A")</f>
        <v>#N/A</v>
      </c>
      <c r="H40" s="35" t="str">
        <f t="shared" si="6"/>
        <v/>
      </c>
      <c r="I40" s="36" t="str">
        <f t="shared" si="7"/>
        <v/>
      </c>
      <c r="J40" s="37" t="str">
        <f>IFERROR(__xludf.DUMMYFUNCTION("IFERROR(
  IF(C40="""",, 
    IFERROR(
      GOOGLEFINANCE(C40, ""price"") * GOOGLEFINANCE(C40, ""volumeavg""), 
      GOOGLEFINANCE(C40, ""price"") * AVERAGE(QUERY(GOOGLEFINANCE(C40, ""volume"", TODAY()-40, TODAY()), ""SELECT Col2 WHERE Col2 IS NOT NULL "&amp;"ORDER BY Col1 DESC LIMIT 20"", 0))
    )
  ), 
"""")"),"")</f>
        <v/>
      </c>
      <c r="K40" s="21" t="str">
        <f>IFERROR(__xludf.DUMMYFUNCTION("IFERROR(GOOGLEFINANCE(C40, ""changepct"") / 100, """")"),"")</f>
        <v/>
      </c>
      <c r="L40" s="21" t="str">
        <f>IFERROR(__xludf.DUMMYFUNCTION("IFERROR((GOOGLEFINANCE(C40, ""price"") / INDEX(GOOGLEFINANCE(C40, ""price"", TODAY()-7, TODAY()), 2, 2)) - 1, """")"),"")</f>
        <v/>
      </c>
      <c r="M40" s="21" t="str">
        <f>IFERROR(__xludf.DUMMYFUNCTION("IFERROR((GOOGLEFINANCE(C40, ""price"") / INDEX(GOOGLEFINANCE(C40, ""price"", EDATE(TODAY(), -1), TODAY()), 2, 2)) - 1, """")"),"")</f>
        <v/>
      </c>
      <c r="N40" s="21" t="str">
        <f>IFERROR(__xludf.DUMMYFUNCTION("IFERROR((GOOGLEFINANCE(C40, ""price"") / INDEX(GOOGLEFINANCE(C40, ""price"", EDATE(TODAY(), -3), TODAY()), 2, 2)) - 1, """")"),"")</f>
        <v/>
      </c>
      <c r="O40" s="21" t="str">
        <f>IFERROR(__xludf.DUMMYFUNCTION("IFERROR((GOOGLEFINANCE(C40, ""price"") / INDEX(GOOGLEFINANCE(C40, ""price"", EDATE(TODAY(), -6), TODAY()), 2, 2)) - 1, """")"),"")</f>
        <v/>
      </c>
      <c r="P40" s="21" t="str">
        <f>IFERROR(__xludf.DUMMYFUNCTION("IFERROR((GOOGLEFINANCE(C40, ""price"") / INDEX(GOOGLEFINANCE(C40, ""price"", EDATE(TODAY(), -12), TODAY()), 2, 2)) - 1, """")"),"")</f>
        <v/>
      </c>
      <c r="Q40" s="6" t="str">
        <f>IFERROR(__xludf.DUMMYFUNCTION("AVERAGE(QUERY(GOOGLEFINANCE(C40, ""price"", TODAY()-80, TODAY()), ""SELECT Col2 WHERE Col2 IS NOT NULL ORDER BY Col1 DESC LIMIT 50"", 0))"),"#N/A")</f>
        <v>#N/A</v>
      </c>
      <c r="R40" s="24" t="str">
        <f>IFERROR(__xludf.DUMMYFUNCTION("IFERROR(
  LET(
    data, QUERY(GOOGLEFINANCE(C40,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GOOGLEFINANCE(C40, ""price"")) * 100,
    IF(calc=0, G40, calc)
  ), 
G40)"),"#N/A")</f>
        <v>#N/A</v>
      </c>
      <c r="S40" s="8" t="s">
        <v>15</v>
      </c>
      <c r="T40" s="26" t="str">
        <f>IFERROR(__xludf.DUMMYFUNCTION("IFERROR(TRANSPOSE(QUERY(IFERROR(SORT(GOOGLEFINANCE(C40, ""price"", WORKDAY(TODAY(), -40), TODAY()), 1, FALSE)), ""select Col2 where Col2 is not null limit 22 label Col2 ''"", 0)), """")"),"")</f>
        <v/>
      </c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8"/>
      <c r="AO40" s="28"/>
      <c r="AP40" s="29"/>
      <c r="AQ40" s="29" t="str">
        <f t="shared" ref="AQ40:BL40" si="43">T40/T$2</f>
        <v>#N/A</v>
      </c>
      <c r="AR40" s="29" t="str">
        <f t="shared" si="43"/>
        <v>#DIV/0!</v>
      </c>
      <c r="AS40" s="29" t="str">
        <f t="shared" si="43"/>
        <v>#DIV/0!</v>
      </c>
      <c r="AT40" s="29" t="str">
        <f t="shared" si="43"/>
        <v>#DIV/0!</v>
      </c>
      <c r="AU40" s="29" t="str">
        <f t="shared" si="43"/>
        <v>#DIV/0!</v>
      </c>
      <c r="AV40" s="29" t="str">
        <f t="shared" si="43"/>
        <v>#DIV/0!</v>
      </c>
      <c r="AW40" s="29" t="str">
        <f t="shared" si="43"/>
        <v>#DIV/0!</v>
      </c>
      <c r="AX40" s="29" t="str">
        <f t="shared" si="43"/>
        <v>#DIV/0!</v>
      </c>
      <c r="AY40" s="29" t="str">
        <f t="shared" si="43"/>
        <v>#DIV/0!</v>
      </c>
      <c r="AZ40" s="29" t="str">
        <f t="shared" si="43"/>
        <v>#DIV/0!</v>
      </c>
      <c r="BA40" s="29" t="str">
        <f t="shared" si="43"/>
        <v>#DIV/0!</v>
      </c>
      <c r="BB40" s="29" t="str">
        <f t="shared" si="43"/>
        <v>#DIV/0!</v>
      </c>
      <c r="BC40" s="29" t="str">
        <f t="shared" si="43"/>
        <v>#DIV/0!</v>
      </c>
      <c r="BD40" s="29" t="str">
        <f t="shared" si="43"/>
        <v>#DIV/0!</v>
      </c>
      <c r="BE40" s="29" t="str">
        <f t="shared" si="43"/>
        <v>#DIV/0!</v>
      </c>
      <c r="BF40" s="29" t="str">
        <f t="shared" si="43"/>
        <v>#DIV/0!</v>
      </c>
      <c r="BG40" s="29" t="str">
        <f t="shared" si="43"/>
        <v>#DIV/0!</v>
      </c>
      <c r="BH40" s="29" t="str">
        <f t="shared" si="43"/>
        <v>#DIV/0!</v>
      </c>
      <c r="BI40" s="29" t="str">
        <f t="shared" si="43"/>
        <v>#DIV/0!</v>
      </c>
      <c r="BJ40" s="29" t="str">
        <f t="shared" si="43"/>
        <v>#DIV/0!</v>
      </c>
      <c r="BK40" s="29" t="str">
        <f t="shared" si="43"/>
        <v>#DIV/0!</v>
      </c>
      <c r="BL40" s="29" t="str">
        <f t="shared" si="43"/>
        <v>#DIV/0!</v>
      </c>
      <c r="BM40" s="29" t="str">
        <f t="shared" si="3"/>
        <v>#DIV/0!</v>
      </c>
    </row>
    <row r="41">
      <c r="A41" s="16" t="str">
        <f>IFERROR(__xludf.DUMMYFUNCTION("IFERROR(SPARKLINE(SORT(MAP(TRANSPOSE(AQ41:BL41), LAMBDA(val, IF(ISNUMBER(val), PERCENTRANK(AQ41:BL41, val)+0.01, 0))), SEQUENCE(COLUMNS(AQ41:BL41)), FALSE), {""charttype"",""column""; ""color"",""chartreuse""; ""ymin"", 0; ""ymax"", 1.01; ""highcolor"", "&amp;"""darkgreen""; ""lowcolor"", ""red""}), """")"),"")</f>
        <v/>
      </c>
      <c r="B41" s="17" t="str">
        <f t="shared" si="4"/>
        <v/>
      </c>
      <c r="C41" s="1" t="s">
        <v>1615</v>
      </c>
      <c r="D41" s="30" t="str">
        <f>IFERROR(__xludf.DUMMYFUNCTION("IFERROR(GOOGLEFINANCE(C41, ""NAME""))"),"Cigna Group")</f>
        <v>Cigna Group</v>
      </c>
      <c r="E41" s="30" t="s">
        <v>1479</v>
      </c>
      <c r="F41" s="33" t="str">
        <f>IFERROR(__xludf.DUMMYFUNCTION("( (GOOGLEFINANCE(C41, ""price"") - Q41) / Q41 ) / (R41 / 100)"),"Loading...")</f>
        <v>Loading...</v>
      </c>
      <c r="G41" s="20" t="str">
        <f>IFERROR(__xludf.DUMMYFUNCTION("AVERAGE(ARRAYFORMULA(100 * (QUERY(GOOGLEFINANCE(C41, ""high"", TODAY()-40, TODAY()), ""SELECT Col2 WHERE Col2 IS NOT NULL ORDER BY Col1 DESC LIMIT 20"", 0) / QUERY(GOOGLEFINANCE(C41, ""low"", TODAY()-40, TODAY()), ""SELECT Col2 WHERE Col2 IS NOT NULL ORDE"&amp;"R BY Col1 DESC LIMIT 20"", 0) - 1)))"),"#N/A")</f>
        <v>#N/A</v>
      </c>
      <c r="H41" s="35" t="str">
        <f t="shared" si="6"/>
        <v/>
      </c>
      <c r="I41" s="36" t="str">
        <f t="shared" si="7"/>
        <v/>
      </c>
      <c r="J41" s="37" t="str">
        <f>IFERROR(__xludf.DUMMYFUNCTION("IFERROR(
  IF(C41="""",, 
    IFERROR(
      GOOGLEFINANCE(C41, ""price"") * GOOGLEFINANCE(C41, ""volumeavg""), 
      GOOGLEFINANCE(C41, ""price"") * AVERAGE(QUERY(GOOGLEFINANCE(C41, ""volume"", TODAY()-40, TODAY()), ""SELECT Col2 WHERE Col2 IS NOT NULL "&amp;"ORDER BY Col1 DESC LIMIT 20"", 0))
    )
  ), 
"""")"),"")</f>
        <v/>
      </c>
      <c r="K41" s="21" t="str">
        <f>IFERROR(__xludf.DUMMYFUNCTION("IFERROR(GOOGLEFINANCE(C41, ""changepct"") / 100, """")"),"")</f>
        <v/>
      </c>
      <c r="L41" s="21" t="str">
        <f>IFERROR(__xludf.DUMMYFUNCTION("IFERROR((GOOGLEFINANCE(C41, ""price"") / INDEX(GOOGLEFINANCE(C41, ""price"", TODAY()-7, TODAY()), 2, 2)) - 1, """")"),"")</f>
        <v/>
      </c>
      <c r="M41" s="21" t="str">
        <f>IFERROR(__xludf.DUMMYFUNCTION("IFERROR((GOOGLEFINANCE(C41, ""price"") / INDEX(GOOGLEFINANCE(C41, ""price"", EDATE(TODAY(), -1), TODAY()), 2, 2)) - 1, """")"),"")</f>
        <v/>
      </c>
      <c r="N41" s="21" t="str">
        <f>IFERROR(__xludf.DUMMYFUNCTION("IFERROR((GOOGLEFINANCE(C41, ""price"") / INDEX(GOOGLEFINANCE(C41, ""price"", EDATE(TODAY(), -3), TODAY()), 2, 2)) - 1, """")"),"")</f>
        <v/>
      </c>
      <c r="O41" s="21" t="str">
        <f>IFERROR(__xludf.DUMMYFUNCTION("IFERROR((GOOGLEFINANCE(C41, ""price"") / INDEX(GOOGLEFINANCE(C41, ""price"", EDATE(TODAY(), -6), TODAY()), 2, 2)) - 1, """")"),"")</f>
        <v/>
      </c>
      <c r="P41" s="21" t="str">
        <f>IFERROR(__xludf.DUMMYFUNCTION("IFERROR((GOOGLEFINANCE(C41, ""price"") / INDEX(GOOGLEFINANCE(C41, ""price"", EDATE(TODAY(), -12), TODAY()), 2, 2)) - 1, """")"),"")</f>
        <v/>
      </c>
      <c r="Q41" s="6" t="str">
        <f>IFERROR(__xludf.DUMMYFUNCTION("AVERAGE(QUERY(GOOGLEFINANCE(C41, ""price"", TODAY()-80, TODAY()), ""SELECT Col2 WHERE Col2 IS NOT NULL ORDER BY Col1 DESC LIMIT 50"", 0))"),"#N/A")</f>
        <v>#N/A</v>
      </c>
      <c r="R41" s="24" t="str">
        <f>IFERROR(__xludf.DUMMYFUNCTION("IFERROR(
  LET(
    data, QUERY(GOOGLEFINANCE(C41,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GOOGLEFINANCE(C41, ""price"")) * 100,
    IF(calc=0, G41, calc)
  ), 
G41)"),"#N/A")</f>
        <v>#N/A</v>
      </c>
      <c r="S41" s="8" t="s">
        <v>15</v>
      </c>
      <c r="T41" s="26" t="str">
        <f>IFERROR(__xludf.DUMMYFUNCTION("IFERROR(TRANSPOSE(QUERY(IFERROR(SORT(GOOGLEFINANCE(C41, ""price"", WORKDAY(TODAY(), -40), TODAY()), 1, FALSE)), ""select Col2 where Col2 is not null limit 22 label Col2 ''"", 0)), """")"),"")</f>
        <v/>
      </c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8"/>
      <c r="AO41" s="28"/>
      <c r="AP41" s="29"/>
      <c r="AQ41" s="29" t="str">
        <f t="shared" ref="AQ41:BL41" si="44">T41/T$2</f>
        <v>#N/A</v>
      </c>
      <c r="AR41" s="29" t="str">
        <f t="shared" si="44"/>
        <v>#DIV/0!</v>
      </c>
      <c r="AS41" s="29" t="str">
        <f t="shared" si="44"/>
        <v>#DIV/0!</v>
      </c>
      <c r="AT41" s="29" t="str">
        <f t="shared" si="44"/>
        <v>#DIV/0!</v>
      </c>
      <c r="AU41" s="29" t="str">
        <f t="shared" si="44"/>
        <v>#DIV/0!</v>
      </c>
      <c r="AV41" s="29" t="str">
        <f t="shared" si="44"/>
        <v>#DIV/0!</v>
      </c>
      <c r="AW41" s="29" t="str">
        <f t="shared" si="44"/>
        <v>#DIV/0!</v>
      </c>
      <c r="AX41" s="29" t="str">
        <f t="shared" si="44"/>
        <v>#DIV/0!</v>
      </c>
      <c r="AY41" s="29" t="str">
        <f t="shared" si="44"/>
        <v>#DIV/0!</v>
      </c>
      <c r="AZ41" s="29" t="str">
        <f t="shared" si="44"/>
        <v>#DIV/0!</v>
      </c>
      <c r="BA41" s="29" t="str">
        <f t="shared" si="44"/>
        <v>#DIV/0!</v>
      </c>
      <c r="BB41" s="29" t="str">
        <f t="shared" si="44"/>
        <v>#DIV/0!</v>
      </c>
      <c r="BC41" s="29" t="str">
        <f t="shared" si="44"/>
        <v>#DIV/0!</v>
      </c>
      <c r="BD41" s="29" t="str">
        <f t="shared" si="44"/>
        <v>#DIV/0!</v>
      </c>
      <c r="BE41" s="29" t="str">
        <f t="shared" si="44"/>
        <v>#DIV/0!</v>
      </c>
      <c r="BF41" s="29" t="str">
        <f t="shared" si="44"/>
        <v>#DIV/0!</v>
      </c>
      <c r="BG41" s="29" t="str">
        <f t="shared" si="44"/>
        <v>#DIV/0!</v>
      </c>
      <c r="BH41" s="29" t="str">
        <f t="shared" si="44"/>
        <v>#DIV/0!</v>
      </c>
      <c r="BI41" s="29" t="str">
        <f t="shared" si="44"/>
        <v>#DIV/0!</v>
      </c>
      <c r="BJ41" s="29" t="str">
        <f t="shared" si="44"/>
        <v>#DIV/0!</v>
      </c>
      <c r="BK41" s="29" t="str">
        <f t="shared" si="44"/>
        <v>#DIV/0!</v>
      </c>
      <c r="BL41" s="29" t="str">
        <f t="shared" si="44"/>
        <v>#DIV/0!</v>
      </c>
      <c r="BM41" s="29" t="str">
        <f t="shared" si="3"/>
        <v>#DIV/0!</v>
      </c>
    </row>
    <row r="42">
      <c r="A42" s="16" t="str">
        <f>IFERROR(__xludf.DUMMYFUNCTION("IFERROR(SPARKLINE(SORT(MAP(TRANSPOSE(AQ42:BL42), LAMBDA(val, IF(ISNUMBER(val), PERCENTRANK(AQ42:BL42, val)+0.01, 0))), SEQUENCE(COLUMNS(AQ42:BL42)), FALSE), {""charttype"",""column""; ""color"",""chartreuse""; ""ymin"", 0; ""ymax"", 1.01; ""highcolor"", "&amp;"""darkgreen""; ""lowcolor"", ""red""}), """")"),"")</f>
        <v/>
      </c>
      <c r="B42" s="17" t="str">
        <f t="shared" si="4"/>
        <v/>
      </c>
      <c r="C42" s="1" t="s">
        <v>1619</v>
      </c>
      <c r="D42" s="30" t="str">
        <f>IFERROR(__xludf.DUMMYFUNCTION("IFERROR(GOOGLEFINANCE(C42, ""NAME""))"),"Hinge Health Inc")</f>
        <v>Hinge Health Inc</v>
      </c>
      <c r="E42" s="30" t="s">
        <v>1532</v>
      </c>
      <c r="F42" s="33" t="str">
        <f>IFERROR(__xludf.DUMMYFUNCTION("( (GOOGLEFINANCE(C42, ""price"") - Q42) / Q42 ) / (R42 / 100)"),"Loading...")</f>
        <v>Loading...</v>
      </c>
      <c r="G42" s="20" t="str">
        <f>IFERROR(__xludf.DUMMYFUNCTION("AVERAGE(ARRAYFORMULA(100 * (QUERY(GOOGLEFINANCE(C42, ""high"", TODAY()-40, TODAY()), ""SELECT Col2 WHERE Col2 IS NOT NULL ORDER BY Col1 DESC LIMIT 20"", 0) / QUERY(GOOGLEFINANCE(C42, ""low"", TODAY()-40, TODAY()), ""SELECT Col2 WHERE Col2 IS NOT NULL ORDE"&amp;"R BY Col1 DESC LIMIT 20"", 0) - 1)))"),"#N/A")</f>
        <v>#N/A</v>
      </c>
      <c r="H42" s="35" t="str">
        <f t="shared" si="6"/>
        <v/>
      </c>
      <c r="I42" s="36" t="str">
        <f t="shared" si="7"/>
        <v/>
      </c>
      <c r="J42" s="37" t="str">
        <f>IFERROR(__xludf.DUMMYFUNCTION("IFERROR(
  IF(C42="""",, 
    IFERROR(
      GOOGLEFINANCE(C42, ""price"") * GOOGLEFINANCE(C42, ""volumeavg""), 
      GOOGLEFINANCE(C42, ""price"") * AVERAGE(QUERY(GOOGLEFINANCE(C42, ""volume"", TODAY()-40, TODAY()), ""SELECT Col2 WHERE Col2 IS NOT NULL "&amp;"ORDER BY Col1 DESC LIMIT 20"", 0))
    )
  ), 
"""")"),"")</f>
        <v/>
      </c>
      <c r="K42" s="21" t="str">
        <f>IFERROR(__xludf.DUMMYFUNCTION("IFERROR(GOOGLEFINANCE(C42, ""changepct"") / 100, """")"),"")</f>
        <v/>
      </c>
      <c r="L42" s="21" t="str">
        <f>IFERROR(__xludf.DUMMYFUNCTION("IFERROR((GOOGLEFINANCE(C42, ""price"") / INDEX(GOOGLEFINANCE(C42, ""price"", TODAY()-7, TODAY()), 2, 2)) - 1, """")"),"")</f>
        <v/>
      </c>
      <c r="M42" s="21" t="str">
        <f>IFERROR(__xludf.DUMMYFUNCTION("IFERROR((GOOGLEFINANCE(C42, ""price"") / INDEX(GOOGLEFINANCE(C42, ""price"", EDATE(TODAY(), -1), TODAY()), 2, 2)) - 1, """")"),"")</f>
        <v/>
      </c>
      <c r="N42" s="21" t="str">
        <f>IFERROR(__xludf.DUMMYFUNCTION("IFERROR((GOOGLEFINANCE(C42, ""price"") / INDEX(GOOGLEFINANCE(C42, ""price"", EDATE(TODAY(), -3), TODAY()), 2, 2)) - 1, """")"),"")</f>
        <v/>
      </c>
      <c r="O42" s="21" t="str">
        <f>IFERROR(__xludf.DUMMYFUNCTION("IFERROR((GOOGLEFINANCE(C42, ""price"") / INDEX(GOOGLEFINANCE(C42, ""price"", EDATE(TODAY(), -6), TODAY()), 2, 2)) - 1, """")"),"")</f>
        <v/>
      </c>
      <c r="P42" s="21" t="str">
        <f>IFERROR(__xludf.DUMMYFUNCTION("IFERROR((GOOGLEFINANCE(C42, ""price"") / INDEX(GOOGLEFINANCE(C42, ""price"", EDATE(TODAY(), -12), TODAY()), 2, 2)) - 1, """")"),"")</f>
        <v/>
      </c>
      <c r="Q42" s="6" t="str">
        <f>IFERROR(__xludf.DUMMYFUNCTION("AVERAGE(QUERY(GOOGLEFINANCE(C42, ""price"", TODAY()-80, TODAY()), ""SELECT Col2 WHERE Col2 IS NOT NULL ORDER BY Col1 DESC LIMIT 50"", 0))"),"#N/A")</f>
        <v>#N/A</v>
      </c>
      <c r="R42" s="24" t="str">
        <f>IFERROR(__xludf.DUMMYFUNCTION("IFERROR(
  LET(
    data, QUERY(GOOGLEFINANCE(C42,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GOOGLEFINANCE(C42, ""price"")) * 100,
    IF(calc=0, G42, calc)
  ), 
G42)"),"#N/A")</f>
        <v>#N/A</v>
      </c>
      <c r="S42" s="8" t="s">
        <v>15</v>
      </c>
      <c r="T42" s="26" t="str">
        <f>IFERROR(__xludf.DUMMYFUNCTION("IFERROR(TRANSPOSE(QUERY(IFERROR(SORT(GOOGLEFINANCE(C42, ""price"", WORKDAY(TODAY(), -40), TODAY()), 1, FALSE)), ""select Col2 where Col2 is not null limit 22 label Col2 ''"", 0)), """")"),"")</f>
        <v/>
      </c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8"/>
      <c r="AO42" s="28"/>
      <c r="AP42" s="29"/>
      <c r="AQ42" s="29" t="str">
        <f t="shared" ref="AQ42:BL42" si="45">T42/T$2</f>
        <v>#N/A</v>
      </c>
      <c r="AR42" s="29" t="str">
        <f t="shared" si="45"/>
        <v>#DIV/0!</v>
      </c>
      <c r="AS42" s="29" t="str">
        <f t="shared" si="45"/>
        <v>#DIV/0!</v>
      </c>
      <c r="AT42" s="29" t="str">
        <f t="shared" si="45"/>
        <v>#DIV/0!</v>
      </c>
      <c r="AU42" s="29" t="str">
        <f t="shared" si="45"/>
        <v>#DIV/0!</v>
      </c>
      <c r="AV42" s="29" t="str">
        <f t="shared" si="45"/>
        <v>#DIV/0!</v>
      </c>
      <c r="AW42" s="29" t="str">
        <f t="shared" si="45"/>
        <v>#DIV/0!</v>
      </c>
      <c r="AX42" s="29" t="str">
        <f t="shared" si="45"/>
        <v>#DIV/0!</v>
      </c>
      <c r="AY42" s="29" t="str">
        <f t="shared" si="45"/>
        <v>#DIV/0!</v>
      </c>
      <c r="AZ42" s="29" t="str">
        <f t="shared" si="45"/>
        <v>#DIV/0!</v>
      </c>
      <c r="BA42" s="29" t="str">
        <f t="shared" si="45"/>
        <v>#DIV/0!</v>
      </c>
      <c r="BB42" s="29" t="str">
        <f t="shared" si="45"/>
        <v>#DIV/0!</v>
      </c>
      <c r="BC42" s="29" t="str">
        <f t="shared" si="45"/>
        <v>#DIV/0!</v>
      </c>
      <c r="BD42" s="29" t="str">
        <f t="shared" si="45"/>
        <v>#DIV/0!</v>
      </c>
      <c r="BE42" s="29" t="str">
        <f t="shared" si="45"/>
        <v>#DIV/0!</v>
      </c>
      <c r="BF42" s="29" t="str">
        <f t="shared" si="45"/>
        <v>#DIV/0!</v>
      </c>
      <c r="BG42" s="29" t="str">
        <f t="shared" si="45"/>
        <v>#DIV/0!</v>
      </c>
      <c r="BH42" s="29" t="str">
        <f t="shared" si="45"/>
        <v>#DIV/0!</v>
      </c>
      <c r="BI42" s="29" t="str">
        <f t="shared" si="45"/>
        <v>#DIV/0!</v>
      </c>
      <c r="BJ42" s="29" t="str">
        <f t="shared" si="45"/>
        <v>#DIV/0!</v>
      </c>
      <c r="BK42" s="29" t="str">
        <f t="shared" si="45"/>
        <v>#DIV/0!</v>
      </c>
      <c r="BL42" s="29" t="str">
        <f t="shared" si="45"/>
        <v>#DIV/0!</v>
      </c>
      <c r="BM42" s="29" t="str">
        <f t="shared" si="3"/>
        <v>#DIV/0!</v>
      </c>
    </row>
    <row r="43">
      <c r="A43" s="16" t="str">
        <f>IFERROR(__xludf.DUMMYFUNCTION("IFERROR(SPARKLINE(SORT(MAP(TRANSPOSE(AQ43:BL43), LAMBDA(val, IF(ISNUMBER(val), PERCENTRANK(AQ43:BL43, val)+0.01, 0))), SEQUENCE(COLUMNS(AQ43:BL43)), FALSE), {""charttype"",""column""; ""color"",""chartreuse""; ""ymin"", 0; ""ymax"", 1.01; ""highcolor"", "&amp;"""darkgreen""; ""lowcolor"", ""red""}), """")"),"")</f>
        <v/>
      </c>
      <c r="B43" s="17" t="str">
        <f t="shared" si="4"/>
        <v/>
      </c>
      <c r="C43" s="1" t="s">
        <v>1623</v>
      </c>
      <c r="D43" s="30" t="str">
        <f>IFERROR(__xludf.DUMMYFUNCTION("IFERROR(GOOGLEFINANCE(C43, ""NAME""))"),"Strata Critical Medical Inc")</f>
        <v>Strata Critical Medical Inc</v>
      </c>
      <c r="E43" s="30" t="s">
        <v>1513</v>
      </c>
      <c r="F43" s="33" t="str">
        <f>IFERROR(__xludf.DUMMYFUNCTION("( (GOOGLEFINANCE(C43, ""price"") - Q43) / Q43 ) / (R43 / 100)"),"Loading...")</f>
        <v>Loading...</v>
      </c>
      <c r="G43" s="20" t="str">
        <f>IFERROR(__xludf.DUMMYFUNCTION("AVERAGE(ARRAYFORMULA(100 * (QUERY(GOOGLEFINANCE(C43, ""high"", TODAY()-40, TODAY()), ""SELECT Col2 WHERE Col2 IS NOT NULL ORDER BY Col1 DESC LIMIT 20"", 0) / QUERY(GOOGLEFINANCE(C43, ""low"", TODAY()-40, TODAY()), ""SELECT Col2 WHERE Col2 IS NOT NULL ORDE"&amp;"R BY Col1 DESC LIMIT 20"", 0) - 1)))"),"#N/A")</f>
        <v>#N/A</v>
      </c>
      <c r="H43" s="35" t="str">
        <f t="shared" si="6"/>
        <v/>
      </c>
      <c r="I43" s="36" t="str">
        <f t="shared" si="7"/>
        <v/>
      </c>
      <c r="J43" s="37" t="str">
        <f>IFERROR(__xludf.DUMMYFUNCTION("IFERROR(
  IF(C43="""",, 
    IFERROR(
      GOOGLEFINANCE(C43, ""price"") * GOOGLEFINANCE(C43, ""volumeavg""), 
      GOOGLEFINANCE(C43, ""price"") * AVERAGE(QUERY(GOOGLEFINANCE(C43, ""volume"", TODAY()-40, TODAY()), ""SELECT Col2 WHERE Col2 IS NOT NULL "&amp;"ORDER BY Col1 DESC LIMIT 20"", 0))
    )
  ), 
"""")"),"")</f>
        <v/>
      </c>
      <c r="K43" s="21" t="str">
        <f>IFERROR(__xludf.DUMMYFUNCTION("IFERROR(GOOGLEFINANCE(C43, ""changepct"") / 100, """")"),"")</f>
        <v/>
      </c>
      <c r="L43" s="21" t="str">
        <f>IFERROR(__xludf.DUMMYFUNCTION("IFERROR((GOOGLEFINANCE(C43, ""price"") / INDEX(GOOGLEFINANCE(C43, ""price"", TODAY()-7, TODAY()), 2, 2)) - 1, """")"),"")</f>
        <v/>
      </c>
      <c r="M43" s="21" t="str">
        <f>IFERROR(__xludf.DUMMYFUNCTION("IFERROR((GOOGLEFINANCE(C43, ""price"") / INDEX(GOOGLEFINANCE(C43, ""price"", EDATE(TODAY(), -1), TODAY()), 2, 2)) - 1, """")"),"")</f>
        <v/>
      </c>
      <c r="N43" s="21" t="str">
        <f>IFERROR(__xludf.DUMMYFUNCTION("IFERROR((GOOGLEFINANCE(C43, ""price"") / INDEX(GOOGLEFINANCE(C43, ""price"", EDATE(TODAY(), -3), TODAY()), 2, 2)) - 1, """")"),"")</f>
        <v/>
      </c>
      <c r="O43" s="21" t="str">
        <f>IFERROR(__xludf.DUMMYFUNCTION("IFERROR((GOOGLEFINANCE(C43, ""price"") / INDEX(GOOGLEFINANCE(C43, ""price"", EDATE(TODAY(), -6), TODAY()), 2, 2)) - 1, """")"),"")</f>
        <v/>
      </c>
      <c r="P43" s="21" t="str">
        <f>IFERROR(__xludf.DUMMYFUNCTION("IFERROR((GOOGLEFINANCE(C43, ""price"") / INDEX(GOOGLEFINANCE(C43, ""price"", EDATE(TODAY(), -12), TODAY()), 2, 2)) - 1, """")"),"")</f>
        <v/>
      </c>
      <c r="Q43" s="6" t="str">
        <f>IFERROR(__xludf.DUMMYFUNCTION("AVERAGE(QUERY(GOOGLEFINANCE(C43, ""price"", TODAY()-80, TODAY()), ""SELECT Col2 WHERE Col2 IS NOT NULL ORDER BY Col1 DESC LIMIT 50"", 0))"),"#N/A")</f>
        <v>#N/A</v>
      </c>
      <c r="R43" s="24" t="str">
        <f>IFERROR(__xludf.DUMMYFUNCTION("IFERROR(
  LET(
    data, QUERY(GOOGLEFINANCE(C43,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GOOGLEFINANCE(C43, ""price"")) * 100,
    IF(calc=0, G43, calc)
  ), 
G43)"),"#N/A")</f>
        <v>#N/A</v>
      </c>
      <c r="S43" s="8" t="s">
        <v>15</v>
      </c>
      <c r="T43" s="26" t="str">
        <f>IFERROR(__xludf.DUMMYFUNCTION("IFERROR(TRANSPOSE(QUERY(IFERROR(SORT(GOOGLEFINANCE(C43, ""price"", WORKDAY(TODAY(), -40), TODAY()), 1, FALSE)), ""select Col2 where Col2 is not null limit 22 label Col2 ''"", 0)), """")"),"")</f>
        <v/>
      </c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8"/>
      <c r="AO43" s="28"/>
      <c r="AP43" s="29"/>
      <c r="AQ43" s="29" t="str">
        <f t="shared" ref="AQ43:BL43" si="46">T43/T$2</f>
        <v>#N/A</v>
      </c>
      <c r="AR43" s="29" t="str">
        <f t="shared" si="46"/>
        <v>#DIV/0!</v>
      </c>
      <c r="AS43" s="29" t="str">
        <f t="shared" si="46"/>
        <v>#DIV/0!</v>
      </c>
      <c r="AT43" s="29" t="str">
        <f t="shared" si="46"/>
        <v>#DIV/0!</v>
      </c>
      <c r="AU43" s="29" t="str">
        <f t="shared" si="46"/>
        <v>#DIV/0!</v>
      </c>
      <c r="AV43" s="29" t="str">
        <f t="shared" si="46"/>
        <v>#DIV/0!</v>
      </c>
      <c r="AW43" s="29" t="str">
        <f t="shared" si="46"/>
        <v>#DIV/0!</v>
      </c>
      <c r="AX43" s="29" t="str">
        <f t="shared" si="46"/>
        <v>#DIV/0!</v>
      </c>
      <c r="AY43" s="29" t="str">
        <f t="shared" si="46"/>
        <v>#DIV/0!</v>
      </c>
      <c r="AZ43" s="29" t="str">
        <f t="shared" si="46"/>
        <v>#DIV/0!</v>
      </c>
      <c r="BA43" s="29" t="str">
        <f t="shared" si="46"/>
        <v>#DIV/0!</v>
      </c>
      <c r="BB43" s="29" t="str">
        <f t="shared" si="46"/>
        <v>#DIV/0!</v>
      </c>
      <c r="BC43" s="29" t="str">
        <f t="shared" si="46"/>
        <v>#DIV/0!</v>
      </c>
      <c r="BD43" s="29" t="str">
        <f t="shared" si="46"/>
        <v>#DIV/0!</v>
      </c>
      <c r="BE43" s="29" t="str">
        <f t="shared" si="46"/>
        <v>#DIV/0!</v>
      </c>
      <c r="BF43" s="29" t="str">
        <f t="shared" si="46"/>
        <v>#DIV/0!</v>
      </c>
      <c r="BG43" s="29" t="str">
        <f t="shared" si="46"/>
        <v>#DIV/0!</v>
      </c>
      <c r="BH43" s="29" t="str">
        <f t="shared" si="46"/>
        <v>#DIV/0!</v>
      </c>
      <c r="BI43" s="29" t="str">
        <f t="shared" si="46"/>
        <v>#DIV/0!</v>
      </c>
      <c r="BJ43" s="29" t="str">
        <f t="shared" si="46"/>
        <v>#DIV/0!</v>
      </c>
      <c r="BK43" s="29" t="str">
        <f t="shared" si="46"/>
        <v>#DIV/0!</v>
      </c>
      <c r="BL43" s="29" t="str">
        <f t="shared" si="46"/>
        <v>#DIV/0!</v>
      </c>
      <c r="BM43" s="29" t="str">
        <f t="shared" si="3"/>
        <v>#DIV/0!</v>
      </c>
    </row>
    <row r="44">
      <c r="A44" s="16" t="str">
        <f>IFERROR(__xludf.DUMMYFUNCTION("IFERROR(SPARKLINE(SORT(MAP(TRANSPOSE(AQ44:BL44), LAMBDA(val, IF(ISNUMBER(val), PERCENTRANK(AQ44:BL44, val)+0.01, 0))), SEQUENCE(COLUMNS(AQ44:BL44)), FALSE), {""charttype"",""column""; ""color"",""chartreuse""; ""ymin"", 0; ""ymax"", 1.01; ""highcolor"", "&amp;"""darkgreen""; ""lowcolor"", ""red""}), """")"),"")</f>
        <v/>
      </c>
      <c r="B44" s="17" t="str">
        <f t="shared" si="4"/>
        <v/>
      </c>
      <c r="C44" s="1" t="s">
        <v>1627</v>
      </c>
      <c r="D44" s="30" t="str">
        <f>IFERROR(__xludf.DUMMYFUNCTION("IFERROR(GOOGLEFINANCE(C44, ""NAME""))"),"Waters Corp")</f>
        <v>Waters Corp</v>
      </c>
      <c r="E44" s="30" t="s">
        <v>1499</v>
      </c>
      <c r="F44" s="33" t="str">
        <f>IFERROR(__xludf.DUMMYFUNCTION("( (GOOGLEFINANCE(C44, ""price"") - Q44) / Q44 ) / (R44 / 100)"),"Loading...")</f>
        <v>Loading...</v>
      </c>
      <c r="G44" s="20" t="str">
        <f>IFERROR(__xludf.DUMMYFUNCTION("AVERAGE(ARRAYFORMULA(100 * (QUERY(GOOGLEFINANCE(C44, ""high"", TODAY()-40, TODAY()), ""SELECT Col2 WHERE Col2 IS NOT NULL ORDER BY Col1 DESC LIMIT 20"", 0) / QUERY(GOOGLEFINANCE(C44, ""low"", TODAY()-40, TODAY()), ""SELECT Col2 WHERE Col2 IS NOT NULL ORDE"&amp;"R BY Col1 DESC LIMIT 20"", 0) - 1)))"),"#N/A")</f>
        <v>#N/A</v>
      </c>
      <c r="H44" s="35" t="str">
        <f t="shared" si="6"/>
        <v/>
      </c>
      <c r="I44" s="36" t="str">
        <f t="shared" si="7"/>
        <v/>
      </c>
      <c r="J44" s="37" t="str">
        <f>IFERROR(__xludf.DUMMYFUNCTION("IFERROR(
  IF(C44="""",, 
    IFERROR(
      GOOGLEFINANCE(C44, ""price"") * GOOGLEFINANCE(C44, ""volumeavg""), 
      GOOGLEFINANCE(C44, ""price"") * AVERAGE(QUERY(GOOGLEFINANCE(C44, ""volume"", TODAY()-40, TODAY()), ""SELECT Col2 WHERE Col2 IS NOT NULL "&amp;"ORDER BY Col1 DESC LIMIT 20"", 0))
    )
  ), 
"""")"),"")</f>
        <v/>
      </c>
      <c r="K44" s="21" t="str">
        <f>IFERROR(__xludf.DUMMYFUNCTION("IFERROR(GOOGLEFINANCE(C44, ""changepct"") / 100, """")"),"")</f>
        <v/>
      </c>
      <c r="L44" s="21" t="str">
        <f>IFERROR(__xludf.DUMMYFUNCTION("IFERROR((GOOGLEFINANCE(C44, ""price"") / INDEX(GOOGLEFINANCE(C44, ""price"", TODAY()-7, TODAY()), 2, 2)) - 1, """")"),"")</f>
        <v/>
      </c>
      <c r="M44" s="21" t="str">
        <f>IFERROR(__xludf.DUMMYFUNCTION("IFERROR((GOOGLEFINANCE(C44, ""price"") / INDEX(GOOGLEFINANCE(C44, ""price"", EDATE(TODAY(), -1), TODAY()), 2, 2)) - 1, """")"),"")</f>
        <v/>
      </c>
      <c r="N44" s="21" t="str">
        <f>IFERROR(__xludf.DUMMYFUNCTION("IFERROR((GOOGLEFINANCE(C44, ""price"") / INDEX(GOOGLEFINANCE(C44, ""price"", EDATE(TODAY(), -3), TODAY()), 2, 2)) - 1, """")"),"")</f>
        <v/>
      </c>
      <c r="O44" s="21" t="str">
        <f>IFERROR(__xludf.DUMMYFUNCTION("IFERROR((GOOGLEFINANCE(C44, ""price"") / INDEX(GOOGLEFINANCE(C44, ""price"", EDATE(TODAY(), -6), TODAY()), 2, 2)) - 1, """")"),"")</f>
        <v/>
      </c>
      <c r="P44" s="21" t="str">
        <f>IFERROR(__xludf.DUMMYFUNCTION("IFERROR((GOOGLEFINANCE(C44, ""price"") / INDEX(GOOGLEFINANCE(C44, ""price"", EDATE(TODAY(), -12), TODAY()), 2, 2)) - 1, """")"),"")</f>
        <v/>
      </c>
      <c r="Q44" s="6" t="str">
        <f>IFERROR(__xludf.DUMMYFUNCTION("AVERAGE(QUERY(GOOGLEFINANCE(C44, ""price"", TODAY()-80, TODAY()), ""SELECT Col2 WHERE Col2 IS NOT NULL ORDER BY Col1 DESC LIMIT 50"", 0))"),"#N/A")</f>
        <v>#N/A</v>
      </c>
      <c r="R44" s="24" t="str">
        <f>IFERROR(__xludf.DUMMYFUNCTION("IFERROR(
  LET(
    data, QUERY(GOOGLEFINANCE(C44,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GOOGLEFINANCE(C44, ""price"")) * 100,
    IF(calc=0, G44, calc)
  ), 
G44)"),"#N/A")</f>
        <v>#N/A</v>
      </c>
      <c r="S44" s="8" t="s">
        <v>15</v>
      </c>
      <c r="T44" s="26" t="str">
        <f>IFERROR(__xludf.DUMMYFUNCTION("IFERROR(TRANSPOSE(QUERY(IFERROR(SORT(GOOGLEFINANCE(C44, ""price"", WORKDAY(TODAY(), -40), TODAY()), 1, FALSE)), ""select Col2 where Col2 is not null limit 22 label Col2 ''"", 0)), """")"),"")</f>
        <v/>
      </c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8"/>
      <c r="AO44" s="28"/>
      <c r="AP44" s="29"/>
      <c r="AQ44" s="29" t="str">
        <f t="shared" ref="AQ44:BL44" si="47">T44/T$2</f>
        <v>#N/A</v>
      </c>
      <c r="AR44" s="29" t="str">
        <f t="shared" si="47"/>
        <v>#DIV/0!</v>
      </c>
      <c r="AS44" s="29" t="str">
        <f t="shared" si="47"/>
        <v>#DIV/0!</v>
      </c>
      <c r="AT44" s="29" t="str">
        <f t="shared" si="47"/>
        <v>#DIV/0!</v>
      </c>
      <c r="AU44" s="29" t="str">
        <f t="shared" si="47"/>
        <v>#DIV/0!</v>
      </c>
      <c r="AV44" s="29" t="str">
        <f t="shared" si="47"/>
        <v>#DIV/0!</v>
      </c>
      <c r="AW44" s="29" t="str">
        <f t="shared" si="47"/>
        <v>#DIV/0!</v>
      </c>
      <c r="AX44" s="29" t="str">
        <f t="shared" si="47"/>
        <v>#DIV/0!</v>
      </c>
      <c r="AY44" s="29" t="str">
        <f t="shared" si="47"/>
        <v>#DIV/0!</v>
      </c>
      <c r="AZ44" s="29" t="str">
        <f t="shared" si="47"/>
        <v>#DIV/0!</v>
      </c>
      <c r="BA44" s="29" t="str">
        <f t="shared" si="47"/>
        <v>#DIV/0!</v>
      </c>
      <c r="BB44" s="29" t="str">
        <f t="shared" si="47"/>
        <v>#DIV/0!</v>
      </c>
      <c r="BC44" s="29" t="str">
        <f t="shared" si="47"/>
        <v>#DIV/0!</v>
      </c>
      <c r="BD44" s="29" t="str">
        <f t="shared" si="47"/>
        <v>#DIV/0!</v>
      </c>
      <c r="BE44" s="29" t="str">
        <f t="shared" si="47"/>
        <v>#DIV/0!</v>
      </c>
      <c r="BF44" s="29" t="str">
        <f t="shared" si="47"/>
        <v>#DIV/0!</v>
      </c>
      <c r="BG44" s="29" t="str">
        <f t="shared" si="47"/>
        <v>#DIV/0!</v>
      </c>
      <c r="BH44" s="29" t="str">
        <f t="shared" si="47"/>
        <v>#DIV/0!</v>
      </c>
      <c r="BI44" s="29" t="str">
        <f t="shared" si="47"/>
        <v>#DIV/0!</v>
      </c>
      <c r="BJ44" s="29" t="str">
        <f t="shared" si="47"/>
        <v>#DIV/0!</v>
      </c>
      <c r="BK44" s="29" t="str">
        <f t="shared" si="47"/>
        <v>#DIV/0!</v>
      </c>
      <c r="BL44" s="29" t="str">
        <f t="shared" si="47"/>
        <v>#DIV/0!</v>
      </c>
      <c r="BM44" s="29" t="str">
        <f t="shared" si="3"/>
        <v>#DIV/0!</v>
      </c>
    </row>
    <row r="45">
      <c r="A45" s="16" t="str">
        <f>IFERROR(__xludf.DUMMYFUNCTION("IFERROR(SPARKLINE(SORT(MAP(TRANSPOSE(AQ45:BL45), LAMBDA(val, IF(ISNUMBER(val), PERCENTRANK(AQ45:BL45, val)+0.01, 0))), SEQUENCE(COLUMNS(AQ45:BL45)), FALSE), {""charttype"",""column""; ""color"",""chartreuse""; ""ymin"", 0; ""ymax"", 1.01; ""highcolor"", "&amp;"""darkgreen""; ""lowcolor"", ""red""}), """")"),"")</f>
        <v/>
      </c>
      <c r="B45" s="17" t="str">
        <f t="shared" si="4"/>
        <v/>
      </c>
      <c r="C45" s="1" t="s">
        <v>1631</v>
      </c>
      <c r="D45" s="30" t="str">
        <f>IFERROR(__xludf.DUMMYFUNCTION("IFERROR(GOOGLEFINANCE(C45, ""NAME""))"),"Pennant Group Inc")</f>
        <v>Pennant Group Inc</v>
      </c>
      <c r="E45" s="30" t="s">
        <v>1513</v>
      </c>
      <c r="F45" s="33" t="str">
        <f>IFERROR(__xludf.DUMMYFUNCTION("( (GOOGLEFINANCE(C45, ""price"") - Q45) / Q45 ) / (R45 / 100)"),"Loading...")</f>
        <v>Loading...</v>
      </c>
      <c r="G45" s="20" t="str">
        <f>IFERROR(__xludf.DUMMYFUNCTION("AVERAGE(ARRAYFORMULA(100 * (QUERY(GOOGLEFINANCE(C45, ""high"", TODAY()-40, TODAY()), ""SELECT Col2 WHERE Col2 IS NOT NULL ORDER BY Col1 DESC LIMIT 20"", 0) / QUERY(GOOGLEFINANCE(C45, ""low"", TODAY()-40, TODAY()), ""SELECT Col2 WHERE Col2 IS NOT NULL ORDE"&amp;"R BY Col1 DESC LIMIT 20"", 0) - 1)))"),"#N/A")</f>
        <v>#N/A</v>
      </c>
      <c r="H45" s="35" t="str">
        <f t="shared" si="6"/>
        <v/>
      </c>
      <c r="I45" s="36" t="str">
        <f t="shared" si="7"/>
        <v/>
      </c>
      <c r="J45" s="37" t="str">
        <f>IFERROR(__xludf.DUMMYFUNCTION("IFERROR(
  IF(C45="""",, 
    IFERROR(
      GOOGLEFINANCE(C45, ""price"") * GOOGLEFINANCE(C45, ""volumeavg""), 
      GOOGLEFINANCE(C45, ""price"") * AVERAGE(QUERY(GOOGLEFINANCE(C45, ""volume"", TODAY()-40, TODAY()), ""SELECT Col2 WHERE Col2 IS NOT NULL "&amp;"ORDER BY Col1 DESC LIMIT 20"", 0))
    )
  ), 
"""")"),"")</f>
        <v/>
      </c>
      <c r="K45" s="21" t="str">
        <f>IFERROR(__xludf.DUMMYFUNCTION("IFERROR(GOOGLEFINANCE(C45, ""changepct"") / 100, """")"),"")</f>
        <v/>
      </c>
      <c r="L45" s="21" t="str">
        <f>IFERROR(__xludf.DUMMYFUNCTION("IFERROR((GOOGLEFINANCE(C45, ""price"") / INDEX(GOOGLEFINANCE(C45, ""price"", TODAY()-7, TODAY()), 2, 2)) - 1, """")"),"")</f>
        <v/>
      </c>
      <c r="M45" s="21" t="str">
        <f>IFERROR(__xludf.DUMMYFUNCTION("IFERROR((GOOGLEFINANCE(C45, ""price"") / INDEX(GOOGLEFINANCE(C45, ""price"", EDATE(TODAY(), -1), TODAY()), 2, 2)) - 1, """")"),"")</f>
        <v/>
      </c>
      <c r="N45" s="21" t="str">
        <f>IFERROR(__xludf.DUMMYFUNCTION("IFERROR((GOOGLEFINANCE(C45, ""price"") / INDEX(GOOGLEFINANCE(C45, ""price"", EDATE(TODAY(), -3), TODAY()), 2, 2)) - 1, """")"),"")</f>
        <v/>
      </c>
      <c r="O45" s="21" t="str">
        <f>IFERROR(__xludf.DUMMYFUNCTION("IFERROR((GOOGLEFINANCE(C45, ""price"") / INDEX(GOOGLEFINANCE(C45, ""price"", EDATE(TODAY(), -6), TODAY()), 2, 2)) - 1, """")"),"")</f>
        <v/>
      </c>
      <c r="P45" s="21" t="str">
        <f>IFERROR(__xludf.DUMMYFUNCTION("IFERROR((GOOGLEFINANCE(C45, ""price"") / INDEX(GOOGLEFINANCE(C45, ""price"", EDATE(TODAY(), -12), TODAY()), 2, 2)) - 1, """")"),"")</f>
        <v/>
      </c>
      <c r="Q45" s="6" t="str">
        <f>IFERROR(__xludf.DUMMYFUNCTION("AVERAGE(QUERY(GOOGLEFINANCE(C45, ""price"", TODAY()-80, TODAY()), ""SELECT Col2 WHERE Col2 IS NOT NULL ORDER BY Col1 DESC LIMIT 50"", 0))"),"#N/A")</f>
        <v>#N/A</v>
      </c>
      <c r="R45" s="24" t="str">
        <f>IFERROR(__xludf.DUMMYFUNCTION("IFERROR(
  LET(
    data, QUERY(GOOGLEFINANCE(C45,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GOOGLEFINANCE(C45, ""price"")) * 100,
    IF(calc=0, G45, calc)
  ), 
G45)"),"#N/A")</f>
        <v>#N/A</v>
      </c>
      <c r="S45" s="8" t="s">
        <v>15</v>
      </c>
      <c r="T45" s="26" t="str">
        <f>IFERROR(__xludf.DUMMYFUNCTION("IFERROR(TRANSPOSE(QUERY(IFERROR(SORT(GOOGLEFINANCE(C45, ""price"", WORKDAY(TODAY(), -40), TODAY()), 1, FALSE)), ""select Col2 where Col2 is not null limit 22 label Col2 ''"", 0)), """")"),"")</f>
        <v/>
      </c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8"/>
      <c r="AO45" s="28"/>
      <c r="AP45" s="29"/>
      <c r="AQ45" s="29" t="str">
        <f t="shared" ref="AQ45:BL45" si="48">T45/T$2</f>
        <v>#N/A</v>
      </c>
      <c r="AR45" s="29" t="str">
        <f t="shared" si="48"/>
        <v>#DIV/0!</v>
      </c>
      <c r="AS45" s="29" t="str">
        <f t="shared" si="48"/>
        <v>#DIV/0!</v>
      </c>
      <c r="AT45" s="29" t="str">
        <f t="shared" si="48"/>
        <v>#DIV/0!</v>
      </c>
      <c r="AU45" s="29" t="str">
        <f t="shared" si="48"/>
        <v>#DIV/0!</v>
      </c>
      <c r="AV45" s="29" t="str">
        <f t="shared" si="48"/>
        <v>#DIV/0!</v>
      </c>
      <c r="AW45" s="29" t="str">
        <f t="shared" si="48"/>
        <v>#DIV/0!</v>
      </c>
      <c r="AX45" s="29" t="str">
        <f t="shared" si="48"/>
        <v>#DIV/0!</v>
      </c>
      <c r="AY45" s="29" t="str">
        <f t="shared" si="48"/>
        <v>#DIV/0!</v>
      </c>
      <c r="AZ45" s="29" t="str">
        <f t="shared" si="48"/>
        <v>#DIV/0!</v>
      </c>
      <c r="BA45" s="29" t="str">
        <f t="shared" si="48"/>
        <v>#DIV/0!</v>
      </c>
      <c r="BB45" s="29" t="str">
        <f t="shared" si="48"/>
        <v>#DIV/0!</v>
      </c>
      <c r="BC45" s="29" t="str">
        <f t="shared" si="48"/>
        <v>#DIV/0!</v>
      </c>
      <c r="BD45" s="29" t="str">
        <f t="shared" si="48"/>
        <v>#DIV/0!</v>
      </c>
      <c r="BE45" s="29" t="str">
        <f t="shared" si="48"/>
        <v>#DIV/0!</v>
      </c>
      <c r="BF45" s="29" t="str">
        <f t="shared" si="48"/>
        <v>#DIV/0!</v>
      </c>
      <c r="BG45" s="29" t="str">
        <f t="shared" si="48"/>
        <v>#DIV/0!</v>
      </c>
      <c r="BH45" s="29" t="str">
        <f t="shared" si="48"/>
        <v>#DIV/0!</v>
      </c>
      <c r="BI45" s="29" t="str">
        <f t="shared" si="48"/>
        <v>#DIV/0!</v>
      </c>
      <c r="BJ45" s="29" t="str">
        <f t="shared" si="48"/>
        <v>#DIV/0!</v>
      </c>
      <c r="BK45" s="29" t="str">
        <f t="shared" si="48"/>
        <v>#DIV/0!</v>
      </c>
      <c r="BL45" s="29" t="str">
        <f t="shared" si="48"/>
        <v>#DIV/0!</v>
      </c>
      <c r="BM45" s="29" t="str">
        <f t="shared" si="3"/>
        <v>#DIV/0!</v>
      </c>
    </row>
    <row r="46">
      <c r="A46" s="16" t="str">
        <f>IFERROR(__xludf.DUMMYFUNCTION("IFERROR(SPARKLINE(SORT(MAP(TRANSPOSE(AQ46:BL46), LAMBDA(val, IF(ISNUMBER(val), PERCENTRANK(AQ46:BL46, val)+0.01, 0))), SEQUENCE(COLUMNS(AQ46:BL46)), FALSE), {""charttype"",""column""; ""color"",""chartreuse""; ""ymin"", 0; ""ymax"", 1.01; ""highcolor"", "&amp;"""darkgreen""; ""lowcolor"", ""red""}), """")"),"")</f>
        <v/>
      </c>
      <c r="B46" s="17" t="str">
        <f t="shared" si="4"/>
        <v/>
      </c>
      <c r="C46" s="1" t="s">
        <v>1635</v>
      </c>
      <c r="D46" s="30" t="str">
        <f>IFERROR(__xludf.DUMMYFUNCTION("IFERROR(GOOGLEFINANCE(C46, ""NAME""))"),"Evolent Health Inc")</f>
        <v>Evolent Health Inc</v>
      </c>
      <c r="E46" s="30" t="s">
        <v>1532</v>
      </c>
      <c r="F46" s="33" t="str">
        <f>IFERROR(__xludf.DUMMYFUNCTION("( (GOOGLEFINANCE(C46, ""price"") - Q46) / Q46 ) / (R46 / 100)"),"Loading...")</f>
        <v>Loading...</v>
      </c>
      <c r="G46" s="20" t="str">
        <f>IFERROR(__xludf.DUMMYFUNCTION("AVERAGE(ARRAYFORMULA(100 * (QUERY(GOOGLEFINANCE(C46, ""high"", TODAY()-40, TODAY()), ""SELECT Col2 WHERE Col2 IS NOT NULL ORDER BY Col1 DESC LIMIT 20"", 0) / QUERY(GOOGLEFINANCE(C46, ""low"", TODAY()-40, TODAY()), ""SELECT Col2 WHERE Col2 IS NOT NULL ORDE"&amp;"R BY Col1 DESC LIMIT 20"", 0) - 1)))"),"#N/A")</f>
        <v>#N/A</v>
      </c>
      <c r="H46" s="35" t="str">
        <f t="shared" si="6"/>
        <v/>
      </c>
      <c r="I46" s="36" t="str">
        <f t="shared" si="7"/>
        <v/>
      </c>
      <c r="J46" s="37" t="str">
        <f>IFERROR(__xludf.DUMMYFUNCTION("IFERROR(
  IF(C46="""",, 
    IFERROR(
      GOOGLEFINANCE(C46, ""price"") * GOOGLEFINANCE(C46, ""volumeavg""), 
      GOOGLEFINANCE(C46, ""price"") * AVERAGE(QUERY(GOOGLEFINANCE(C46, ""volume"", TODAY()-40, TODAY()), ""SELECT Col2 WHERE Col2 IS NOT NULL "&amp;"ORDER BY Col1 DESC LIMIT 20"", 0))
    )
  ), 
"""")"),"")</f>
        <v/>
      </c>
      <c r="K46" s="21" t="str">
        <f>IFERROR(__xludf.DUMMYFUNCTION("IFERROR(GOOGLEFINANCE(C46, ""changepct"") / 100, """")"),"")</f>
        <v/>
      </c>
      <c r="L46" s="21" t="str">
        <f>IFERROR(__xludf.DUMMYFUNCTION("IFERROR((GOOGLEFINANCE(C46, ""price"") / INDEX(GOOGLEFINANCE(C46, ""price"", TODAY()-7, TODAY()), 2, 2)) - 1, """")"),"")</f>
        <v/>
      </c>
      <c r="M46" s="21" t="str">
        <f>IFERROR(__xludf.DUMMYFUNCTION("IFERROR((GOOGLEFINANCE(C46, ""price"") / INDEX(GOOGLEFINANCE(C46, ""price"", EDATE(TODAY(), -1), TODAY()), 2, 2)) - 1, """")"),"")</f>
        <v/>
      </c>
      <c r="N46" s="21" t="str">
        <f>IFERROR(__xludf.DUMMYFUNCTION("IFERROR((GOOGLEFINANCE(C46, ""price"") / INDEX(GOOGLEFINANCE(C46, ""price"", EDATE(TODAY(), -3), TODAY()), 2, 2)) - 1, """")"),"")</f>
        <v/>
      </c>
      <c r="O46" s="21" t="str">
        <f>IFERROR(__xludf.DUMMYFUNCTION("IFERROR((GOOGLEFINANCE(C46, ""price"") / INDEX(GOOGLEFINANCE(C46, ""price"", EDATE(TODAY(), -6), TODAY()), 2, 2)) - 1, """")"),"")</f>
        <v/>
      </c>
      <c r="P46" s="21" t="str">
        <f>IFERROR(__xludf.DUMMYFUNCTION("IFERROR((GOOGLEFINANCE(C46, ""price"") / INDEX(GOOGLEFINANCE(C46, ""price"", EDATE(TODAY(), -12), TODAY()), 2, 2)) - 1, """")"),"")</f>
        <v/>
      </c>
      <c r="Q46" s="6" t="str">
        <f>IFERROR(__xludf.DUMMYFUNCTION("AVERAGE(QUERY(GOOGLEFINANCE(C46, ""price"", TODAY()-80, TODAY()), ""SELECT Col2 WHERE Col2 IS NOT NULL ORDER BY Col1 DESC LIMIT 50"", 0))"),"#N/A")</f>
        <v>#N/A</v>
      </c>
      <c r="R46" s="24" t="str">
        <f>IFERROR(__xludf.DUMMYFUNCTION("IFERROR(
  LET(
    data, QUERY(GOOGLEFINANCE(C46,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GOOGLEFINANCE(C46, ""price"")) * 100,
    IF(calc=0, G46, calc)
  ), 
G46)"),"#N/A")</f>
        <v>#N/A</v>
      </c>
      <c r="S46" s="8" t="s">
        <v>15</v>
      </c>
      <c r="T46" s="26" t="str">
        <f>IFERROR(__xludf.DUMMYFUNCTION("IFERROR(TRANSPOSE(QUERY(IFERROR(SORT(GOOGLEFINANCE(C46, ""price"", WORKDAY(TODAY(), -40), TODAY()), 1, FALSE)), ""select Col2 where Col2 is not null limit 22 label Col2 ''"", 0)), """")"),"")</f>
        <v/>
      </c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8"/>
      <c r="AO46" s="28"/>
      <c r="AP46" s="29"/>
      <c r="AQ46" s="29" t="str">
        <f t="shared" ref="AQ46:BL46" si="49">T46/T$2</f>
        <v>#N/A</v>
      </c>
      <c r="AR46" s="29" t="str">
        <f t="shared" si="49"/>
        <v>#DIV/0!</v>
      </c>
      <c r="AS46" s="29" t="str">
        <f t="shared" si="49"/>
        <v>#DIV/0!</v>
      </c>
      <c r="AT46" s="29" t="str">
        <f t="shared" si="49"/>
        <v>#DIV/0!</v>
      </c>
      <c r="AU46" s="29" t="str">
        <f t="shared" si="49"/>
        <v>#DIV/0!</v>
      </c>
      <c r="AV46" s="29" t="str">
        <f t="shared" si="49"/>
        <v>#DIV/0!</v>
      </c>
      <c r="AW46" s="29" t="str">
        <f t="shared" si="49"/>
        <v>#DIV/0!</v>
      </c>
      <c r="AX46" s="29" t="str">
        <f t="shared" si="49"/>
        <v>#DIV/0!</v>
      </c>
      <c r="AY46" s="29" t="str">
        <f t="shared" si="49"/>
        <v>#DIV/0!</v>
      </c>
      <c r="AZ46" s="29" t="str">
        <f t="shared" si="49"/>
        <v>#DIV/0!</v>
      </c>
      <c r="BA46" s="29" t="str">
        <f t="shared" si="49"/>
        <v>#DIV/0!</v>
      </c>
      <c r="BB46" s="29" t="str">
        <f t="shared" si="49"/>
        <v>#DIV/0!</v>
      </c>
      <c r="BC46" s="29" t="str">
        <f t="shared" si="49"/>
        <v>#DIV/0!</v>
      </c>
      <c r="BD46" s="29" t="str">
        <f t="shared" si="49"/>
        <v>#DIV/0!</v>
      </c>
      <c r="BE46" s="29" t="str">
        <f t="shared" si="49"/>
        <v>#DIV/0!</v>
      </c>
      <c r="BF46" s="29" t="str">
        <f t="shared" si="49"/>
        <v>#DIV/0!</v>
      </c>
      <c r="BG46" s="29" t="str">
        <f t="shared" si="49"/>
        <v>#DIV/0!</v>
      </c>
      <c r="BH46" s="29" t="str">
        <f t="shared" si="49"/>
        <v>#DIV/0!</v>
      </c>
      <c r="BI46" s="29" t="str">
        <f t="shared" si="49"/>
        <v>#DIV/0!</v>
      </c>
      <c r="BJ46" s="29" t="str">
        <f t="shared" si="49"/>
        <v>#DIV/0!</v>
      </c>
      <c r="BK46" s="29" t="str">
        <f t="shared" si="49"/>
        <v>#DIV/0!</v>
      </c>
      <c r="BL46" s="29" t="str">
        <f t="shared" si="49"/>
        <v>#DIV/0!</v>
      </c>
      <c r="BM46" s="29" t="str">
        <f t="shared" si="3"/>
        <v>#DIV/0!</v>
      </c>
    </row>
    <row r="47">
      <c r="A47" s="16" t="str">
        <f>IFERROR(__xludf.DUMMYFUNCTION("IFERROR(SPARKLINE(SORT(MAP(TRANSPOSE(AQ47:BL47), LAMBDA(val, IF(ISNUMBER(val), PERCENTRANK(AQ47:BL47, val)+0.01, 0))), SEQUENCE(COLUMNS(AQ47:BL47)), FALSE), {""charttype"",""column""; ""color"",""chartreuse""; ""ymin"", 0; ""ymax"", 1.01; ""highcolor"", "&amp;"""darkgreen""; ""lowcolor"", ""red""}), """")"),"")</f>
        <v/>
      </c>
      <c r="B47" s="17" t="str">
        <f t="shared" si="4"/>
        <v/>
      </c>
      <c r="C47" s="1" t="s">
        <v>1638</v>
      </c>
      <c r="D47" s="30" t="str">
        <f>IFERROR(__xludf.DUMMYFUNCTION("IFERROR(GOOGLEFINANCE(C47, ""NAME""))"),"Viatris Inc")</f>
        <v>Viatris Inc</v>
      </c>
      <c r="E47" s="30" t="s">
        <v>1475</v>
      </c>
      <c r="F47" s="33" t="str">
        <f>IFERROR(__xludf.DUMMYFUNCTION("( (GOOGLEFINANCE(C47, ""price"") - Q47) / Q47 ) / (R47 / 100)"),"Loading...")</f>
        <v>Loading...</v>
      </c>
      <c r="G47" s="20" t="str">
        <f>IFERROR(__xludf.DUMMYFUNCTION("AVERAGE(ARRAYFORMULA(100 * (QUERY(GOOGLEFINANCE(C47, ""high"", TODAY()-40, TODAY()), ""SELECT Col2 WHERE Col2 IS NOT NULL ORDER BY Col1 DESC LIMIT 20"", 0) / QUERY(GOOGLEFINANCE(C47, ""low"", TODAY()-40, TODAY()), ""SELECT Col2 WHERE Col2 IS NOT NULL ORDE"&amp;"R BY Col1 DESC LIMIT 20"", 0) - 1)))"),"#N/A")</f>
        <v>#N/A</v>
      </c>
      <c r="H47" s="35" t="str">
        <f t="shared" si="6"/>
        <v/>
      </c>
      <c r="I47" s="36" t="str">
        <f t="shared" si="7"/>
        <v/>
      </c>
      <c r="J47" s="37" t="str">
        <f>IFERROR(__xludf.DUMMYFUNCTION("IFERROR(
  IF(C47="""",, 
    IFERROR(
      GOOGLEFINANCE(C47, ""price"") * GOOGLEFINANCE(C47, ""volumeavg""), 
      GOOGLEFINANCE(C47, ""price"") * AVERAGE(QUERY(GOOGLEFINANCE(C47, ""volume"", TODAY()-40, TODAY()), ""SELECT Col2 WHERE Col2 IS NOT NULL "&amp;"ORDER BY Col1 DESC LIMIT 20"", 0))
    )
  ), 
"""")"),"")</f>
        <v/>
      </c>
      <c r="K47" s="21" t="str">
        <f>IFERROR(__xludf.DUMMYFUNCTION("IFERROR(GOOGLEFINANCE(C47, ""changepct"") / 100, """")"),"")</f>
        <v/>
      </c>
      <c r="L47" s="21" t="str">
        <f>IFERROR(__xludf.DUMMYFUNCTION("IFERROR((GOOGLEFINANCE(C47, ""price"") / INDEX(GOOGLEFINANCE(C47, ""price"", TODAY()-7, TODAY()), 2, 2)) - 1, """")"),"")</f>
        <v/>
      </c>
      <c r="M47" s="21" t="str">
        <f>IFERROR(__xludf.DUMMYFUNCTION("IFERROR((GOOGLEFINANCE(C47, ""price"") / INDEX(GOOGLEFINANCE(C47, ""price"", EDATE(TODAY(), -1), TODAY()), 2, 2)) - 1, """")"),"")</f>
        <v/>
      </c>
      <c r="N47" s="21" t="str">
        <f>IFERROR(__xludf.DUMMYFUNCTION("IFERROR((GOOGLEFINANCE(C47, ""price"") / INDEX(GOOGLEFINANCE(C47, ""price"", EDATE(TODAY(), -3), TODAY()), 2, 2)) - 1, """")"),"")</f>
        <v/>
      </c>
      <c r="O47" s="21" t="str">
        <f>IFERROR(__xludf.DUMMYFUNCTION("IFERROR((GOOGLEFINANCE(C47, ""price"") / INDEX(GOOGLEFINANCE(C47, ""price"", EDATE(TODAY(), -6), TODAY()), 2, 2)) - 1, """")"),"")</f>
        <v/>
      </c>
      <c r="P47" s="21" t="str">
        <f>IFERROR(__xludf.DUMMYFUNCTION("IFERROR((GOOGLEFINANCE(C47, ""price"") / INDEX(GOOGLEFINANCE(C47, ""price"", EDATE(TODAY(), -12), TODAY()), 2, 2)) - 1, """")"),"")</f>
        <v/>
      </c>
      <c r="Q47" s="6" t="str">
        <f>IFERROR(__xludf.DUMMYFUNCTION("AVERAGE(QUERY(GOOGLEFINANCE(C47, ""price"", TODAY()-80, TODAY()), ""SELECT Col2 WHERE Col2 IS NOT NULL ORDER BY Col1 DESC LIMIT 50"", 0))"),"#N/A")</f>
        <v>#N/A</v>
      </c>
      <c r="R47" s="24" t="str">
        <f>IFERROR(__xludf.DUMMYFUNCTION("IFERROR(
  LET(
    data, QUERY(GOOGLEFINANCE(C47,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GOOGLEFINANCE(C47, ""price"")) * 100,
    IF(calc=0, G47, calc)
  ), 
G47)"),"#N/A")</f>
        <v>#N/A</v>
      </c>
      <c r="S47" s="8" t="s">
        <v>15</v>
      </c>
      <c r="T47" s="26" t="str">
        <f>IFERROR(__xludf.DUMMYFUNCTION("IFERROR(TRANSPOSE(QUERY(IFERROR(SORT(GOOGLEFINANCE(C47, ""price"", WORKDAY(TODAY(), -40), TODAY()), 1, FALSE)), ""select Col2 where Col2 is not null limit 22 label Col2 ''"", 0)), """")"),"")</f>
        <v/>
      </c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8"/>
      <c r="AO47" s="28"/>
      <c r="AP47" s="29"/>
      <c r="AQ47" s="29" t="str">
        <f t="shared" ref="AQ47:BL47" si="50">T47/T$2</f>
        <v>#N/A</v>
      </c>
      <c r="AR47" s="29" t="str">
        <f t="shared" si="50"/>
        <v>#DIV/0!</v>
      </c>
      <c r="AS47" s="29" t="str">
        <f t="shared" si="50"/>
        <v>#DIV/0!</v>
      </c>
      <c r="AT47" s="29" t="str">
        <f t="shared" si="50"/>
        <v>#DIV/0!</v>
      </c>
      <c r="AU47" s="29" t="str">
        <f t="shared" si="50"/>
        <v>#DIV/0!</v>
      </c>
      <c r="AV47" s="29" t="str">
        <f t="shared" si="50"/>
        <v>#DIV/0!</v>
      </c>
      <c r="AW47" s="29" t="str">
        <f t="shared" si="50"/>
        <v>#DIV/0!</v>
      </c>
      <c r="AX47" s="29" t="str">
        <f t="shared" si="50"/>
        <v>#DIV/0!</v>
      </c>
      <c r="AY47" s="29" t="str">
        <f t="shared" si="50"/>
        <v>#DIV/0!</v>
      </c>
      <c r="AZ47" s="29" t="str">
        <f t="shared" si="50"/>
        <v>#DIV/0!</v>
      </c>
      <c r="BA47" s="29" t="str">
        <f t="shared" si="50"/>
        <v>#DIV/0!</v>
      </c>
      <c r="BB47" s="29" t="str">
        <f t="shared" si="50"/>
        <v>#DIV/0!</v>
      </c>
      <c r="BC47" s="29" t="str">
        <f t="shared" si="50"/>
        <v>#DIV/0!</v>
      </c>
      <c r="BD47" s="29" t="str">
        <f t="shared" si="50"/>
        <v>#DIV/0!</v>
      </c>
      <c r="BE47" s="29" t="str">
        <f t="shared" si="50"/>
        <v>#DIV/0!</v>
      </c>
      <c r="BF47" s="29" t="str">
        <f t="shared" si="50"/>
        <v>#DIV/0!</v>
      </c>
      <c r="BG47" s="29" t="str">
        <f t="shared" si="50"/>
        <v>#DIV/0!</v>
      </c>
      <c r="BH47" s="29" t="str">
        <f t="shared" si="50"/>
        <v>#DIV/0!</v>
      </c>
      <c r="BI47" s="29" t="str">
        <f t="shared" si="50"/>
        <v>#DIV/0!</v>
      </c>
      <c r="BJ47" s="29" t="str">
        <f t="shared" si="50"/>
        <v>#DIV/0!</v>
      </c>
      <c r="BK47" s="29" t="str">
        <f t="shared" si="50"/>
        <v>#DIV/0!</v>
      </c>
      <c r="BL47" s="29" t="str">
        <f t="shared" si="50"/>
        <v>#DIV/0!</v>
      </c>
      <c r="BM47" s="29" t="str">
        <f t="shared" si="3"/>
        <v>#DIV/0!</v>
      </c>
    </row>
    <row r="48">
      <c r="A48" s="16" t="str">
        <f>IFERROR(__xludf.DUMMYFUNCTION("IFERROR(SPARKLINE(SORT(MAP(TRANSPOSE(AQ48:BL48), LAMBDA(val, IF(ISNUMBER(val), PERCENTRANK(AQ48:BL48, val)+0.01, 0))), SEQUENCE(COLUMNS(AQ48:BL48)), FALSE), {""charttype"",""column""; ""color"",""chartreuse""; ""ymin"", 0; ""ymax"", 1.01; ""highcolor"", "&amp;"""darkgreen""; ""lowcolor"", ""red""}), """")"),"")</f>
        <v/>
      </c>
      <c r="B48" s="17" t="str">
        <f t="shared" si="4"/>
        <v/>
      </c>
      <c r="C48" s="1" t="s">
        <v>1642</v>
      </c>
      <c r="D48" s="30" t="str">
        <f>IFERROR(__xludf.DUMMYFUNCTION("IFERROR(GOOGLEFINANCE(C48, ""NAME""))"),"Grail Inc")</f>
        <v>Grail Inc</v>
      </c>
      <c r="E48" s="30" t="s">
        <v>1499</v>
      </c>
      <c r="F48" s="33" t="str">
        <f>IFERROR(__xludf.DUMMYFUNCTION("( (GOOGLEFINANCE(C48, ""price"") - Q48) / Q48 ) / (R48 / 100)"),"Loading...")</f>
        <v>Loading...</v>
      </c>
      <c r="G48" s="20" t="str">
        <f>IFERROR(__xludf.DUMMYFUNCTION("AVERAGE(ARRAYFORMULA(100 * (QUERY(GOOGLEFINANCE(C48, ""high"", TODAY()-40, TODAY()), ""SELECT Col2 WHERE Col2 IS NOT NULL ORDER BY Col1 DESC LIMIT 20"", 0) / QUERY(GOOGLEFINANCE(C48, ""low"", TODAY()-40, TODAY()), ""SELECT Col2 WHERE Col2 IS NOT NULL ORDE"&amp;"R BY Col1 DESC LIMIT 20"", 0) - 1)))"),"#N/A")</f>
        <v>#N/A</v>
      </c>
      <c r="H48" s="35" t="str">
        <f t="shared" si="6"/>
        <v/>
      </c>
      <c r="I48" s="36" t="str">
        <f t="shared" si="7"/>
        <v/>
      </c>
      <c r="J48" s="37" t="str">
        <f>IFERROR(__xludf.DUMMYFUNCTION("IFERROR(
  IF(C48="""",, 
    IFERROR(
      GOOGLEFINANCE(C48, ""price"") * GOOGLEFINANCE(C48, ""volumeavg""), 
      GOOGLEFINANCE(C48, ""price"") * AVERAGE(QUERY(GOOGLEFINANCE(C48, ""volume"", TODAY()-40, TODAY()), ""SELECT Col2 WHERE Col2 IS NOT NULL "&amp;"ORDER BY Col1 DESC LIMIT 20"", 0))
    )
  ), 
"""")"),"")</f>
        <v/>
      </c>
      <c r="K48" s="21" t="str">
        <f>IFERROR(__xludf.DUMMYFUNCTION("IFERROR(GOOGLEFINANCE(C48, ""changepct"") / 100, """")"),"")</f>
        <v/>
      </c>
      <c r="L48" s="21" t="str">
        <f>IFERROR(__xludf.DUMMYFUNCTION("IFERROR((GOOGLEFINANCE(C48, ""price"") / INDEX(GOOGLEFINANCE(C48, ""price"", TODAY()-7, TODAY()), 2, 2)) - 1, """")"),"")</f>
        <v/>
      </c>
      <c r="M48" s="21" t="str">
        <f>IFERROR(__xludf.DUMMYFUNCTION("IFERROR((GOOGLEFINANCE(C48, ""price"") / INDEX(GOOGLEFINANCE(C48, ""price"", EDATE(TODAY(), -1), TODAY()), 2, 2)) - 1, """")"),"")</f>
        <v/>
      </c>
      <c r="N48" s="21" t="str">
        <f>IFERROR(__xludf.DUMMYFUNCTION("IFERROR((GOOGLEFINANCE(C48, ""price"") / INDEX(GOOGLEFINANCE(C48, ""price"", EDATE(TODAY(), -3), TODAY()), 2, 2)) - 1, """")"),"")</f>
        <v/>
      </c>
      <c r="O48" s="21" t="str">
        <f>IFERROR(__xludf.DUMMYFUNCTION("IFERROR((GOOGLEFINANCE(C48, ""price"") / INDEX(GOOGLEFINANCE(C48, ""price"", EDATE(TODAY(), -6), TODAY()), 2, 2)) - 1, """")"),"")</f>
        <v/>
      </c>
      <c r="P48" s="21" t="str">
        <f>IFERROR(__xludf.DUMMYFUNCTION("IFERROR((GOOGLEFINANCE(C48, ""price"") / INDEX(GOOGLEFINANCE(C48, ""price"", EDATE(TODAY(), -12), TODAY()), 2, 2)) - 1, """")"),"")</f>
        <v/>
      </c>
      <c r="Q48" s="6" t="str">
        <f>IFERROR(__xludf.DUMMYFUNCTION("AVERAGE(QUERY(GOOGLEFINANCE(C48, ""price"", TODAY()-80, TODAY()), ""SELECT Col2 WHERE Col2 IS NOT NULL ORDER BY Col1 DESC LIMIT 50"", 0))"),"#N/A")</f>
        <v>#N/A</v>
      </c>
      <c r="R48" s="24" t="str">
        <f>IFERROR(__xludf.DUMMYFUNCTION("IFERROR(
  LET(
    data, QUERY(GOOGLEFINANCE(C48,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GOOGLEFINANCE(C48, ""price"")) * 100,
    IF(calc=0, G48, calc)
  ), 
G48)"),"#N/A")</f>
        <v>#N/A</v>
      </c>
      <c r="S48" s="8" t="s">
        <v>15</v>
      </c>
      <c r="T48" s="26" t="str">
        <f>IFERROR(__xludf.DUMMYFUNCTION("IFERROR(TRANSPOSE(QUERY(IFERROR(SORT(GOOGLEFINANCE(C48, ""price"", WORKDAY(TODAY(), -40), TODAY()), 1, FALSE)), ""select Col2 where Col2 is not null limit 22 label Col2 ''"", 0)), """")"),"")</f>
        <v/>
      </c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8"/>
      <c r="AO48" s="28"/>
      <c r="AP48" s="29"/>
      <c r="AQ48" s="29" t="str">
        <f t="shared" ref="AQ48:BL48" si="51">T48/T$2</f>
        <v>#N/A</v>
      </c>
      <c r="AR48" s="29" t="str">
        <f t="shared" si="51"/>
        <v>#DIV/0!</v>
      </c>
      <c r="AS48" s="29" t="str">
        <f t="shared" si="51"/>
        <v>#DIV/0!</v>
      </c>
      <c r="AT48" s="29" t="str">
        <f t="shared" si="51"/>
        <v>#DIV/0!</v>
      </c>
      <c r="AU48" s="29" t="str">
        <f t="shared" si="51"/>
        <v>#DIV/0!</v>
      </c>
      <c r="AV48" s="29" t="str">
        <f t="shared" si="51"/>
        <v>#DIV/0!</v>
      </c>
      <c r="AW48" s="29" t="str">
        <f t="shared" si="51"/>
        <v>#DIV/0!</v>
      </c>
      <c r="AX48" s="29" t="str">
        <f t="shared" si="51"/>
        <v>#DIV/0!</v>
      </c>
      <c r="AY48" s="29" t="str">
        <f t="shared" si="51"/>
        <v>#DIV/0!</v>
      </c>
      <c r="AZ48" s="29" t="str">
        <f t="shared" si="51"/>
        <v>#DIV/0!</v>
      </c>
      <c r="BA48" s="29" t="str">
        <f t="shared" si="51"/>
        <v>#DIV/0!</v>
      </c>
      <c r="BB48" s="29" t="str">
        <f t="shared" si="51"/>
        <v>#DIV/0!</v>
      </c>
      <c r="BC48" s="29" t="str">
        <f t="shared" si="51"/>
        <v>#DIV/0!</v>
      </c>
      <c r="BD48" s="29" t="str">
        <f t="shared" si="51"/>
        <v>#DIV/0!</v>
      </c>
      <c r="BE48" s="29" t="str">
        <f t="shared" si="51"/>
        <v>#DIV/0!</v>
      </c>
      <c r="BF48" s="29" t="str">
        <f t="shared" si="51"/>
        <v>#DIV/0!</v>
      </c>
      <c r="BG48" s="29" t="str">
        <f t="shared" si="51"/>
        <v>#DIV/0!</v>
      </c>
      <c r="BH48" s="29" t="str">
        <f t="shared" si="51"/>
        <v>#DIV/0!</v>
      </c>
      <c r="BI48" s="29" t="str">
        <f t="shared" si="51"/>
        <v>#DIV/0!</v>
      </c>
      <c r="BJ48" s="29" t="str">
        <f t="shared" si="51"/>
        <v>#DIV/0!</v>
      </c>
      <c r="BK48" s="29" t="str">
        <f t="shared" si="51"/>
        <v>#DIV/0!</v>
      </c>
      <c r="BL48" s="29" t="str">
        <f t="shared" si="51"/>
        <v>#DIV/0!</v>
      </c>
      <c r="BM48" s="29" t="str">
        <f t="shared" si="3"/>
        <v>#DIV/0!</v>
      </c>
    </row>
    <row r="49">
      <c r="A49" s="16" t="str">
        <f>IFERROR(__xludf.DUMMYFUNCTION("IFERROR(SPARKLINE(SORT(MAP(TRANSPOSE(AQ49:BL49), LAMBDA(val, IF(ISNUMBER(val), PERCENTRANK(AQ49:BL49, val)+0.01, 0))), SEQUENCE(COLUMNS(AQ49:BL49)), FALSE), {""charttype"",""column""; ""color"",""chartreuse""; ""ymin"", 0; ""ymax"", 1.01; ""highcolor"", "&amp;"""darkgreen""; ""lowcolor"", ""red""}), """")"),"")</f>
        <v/>
      </c>
      <c r="B49" s="17" t="str">
        <f t="shared" si="4"/>
        <v/>
      </c>
      <c r="C49" s="1" t="s">
        <v>1645</v>
      </c>
      <c r="D49" s="30" t="str">
        <f>IFERROR(__xludf.DUMMYFUNCTION("IFERROR(GOOGLEFINANCE(C49, ""NAME""))"),"Lifestance Health Group Inc")</f>
        <v>Lifestance Health Group Inc</v>
      </c>
      <c r="E49" s="30" t="s">
        <v>1513</v>
      </c>
      <c r="F49" s="33" t="str">
        <f>IFERROR(__xludf.DUMMYFUNCTION("( (GOOGLEFINANCE(C49, ""price"") - Q49) / Q49 ) / (R49 / 100)"),"Loading...")</f>
        <v>Loading...</v>
      </c>
      <c r="G49" s="20" t="str">
        <f>IFERROR(__xludf.DUMMYFUNCTION("AVERAGE(ARRAYFORMULA(100 * (QUERY(GOOGLEFINANCE(C49, ""high"", TODAY()-40, TODAY()), ""SELECT Col2 WHERE Col2 IS NOT NULL ORDER BY Col1 DESC LIMIT 20"", 0) / QUERY(GOOGLEFINANCE(C49, ""low"", TODAY()-40, TODAY()), ""SELECT Col2 WHERE Col2 IS NOT NULL ORDE"&amp;"R BY Col1 DESC LIMIT 20"", 0) - 1)))"),"#N/A")</f>
        <v>#N/A</v>
      </c>
      <c r="H49" s="35" t="str">
        <f t="shared" si="6"/>
        <v/>
      </c>
      <c r="I49" s="36" t="str">
        <f t="shared" si="7"/>
        <v/>
      </c>
      <c r="J49" s="37" t="str">
        <f>IFERROR(__xludf.DUMMYFUNCTION("IFERROR(
  IF(C49="""",, 
    IFERROR(
      GOOGLEFINANCE(C49, ""price"") * GOOGLEFINANCE(C49, ""volumeavg""), 
      GOOGLEFINANCE(C49, ""price"") * AVERAGE(QUERY(GOOGLEFINANCE(C49, ""volume"", TODAY()-40, TODAY()), ""SELECT Col2 WHERE Col2 IS NOT NULL "&amp;"ORDER BY Col1 DESC LIMIT 20"", 0))
    )
  ), 
"""")"),"")</f>
        <v/>
      </c>
      <c r="K49" s="21" t="str">
        <f>IFERROR(__xludf.DUMMYFUNCTION("IFERROR(GOOGLEFINANCE(C49, ""changepct"") / 100, """")"),"")</f>
        <v/>
      </c>
      <c r="L49" s="21" t="str">
        <f>IFERROR(__xludf.DUMMYFUNCTION("IFERROR((GOOGLEFINANCE(C49, ""price"") / INDEX(GOOGLEFINANCE(C49, ""price"", TODAY()-7, TODAY()), 2, 2)) - 1, """")"),"")</f>
        <v/>
      </c>
      <c r="M49" s="21" t="str">
        <f>IFERROR(__xludf.DUMMYFUNCTION("IFERROR((GOOGLEFINANCE(C49, ""price"") / INDEX(GOOGLEFINANCE(C49, ""price"", EDATE(TODAY(), -1), TODAY()), 2, 2)) - 1, """")"),"")</f>
        <v/>
      </c>
      <c r="N49" s="21" t="str">
        <f>IFERROR(__xludf.DUMMYFUNCTION("IFERROR((GOOGLEFINANCE(C49, ""price"") / INDEX(GOOGLEFINANCE(C49, ""price"", EDATE(TODAY(), -3), TODAY()), 2, 2)) - 1, """")"),"")</f>
        <v/>
      </c>
      <c r="O49" s="21" t="str">
        <f>IFERROR(__xludf.DUMMYFUNCTION("IFERROR((GOOGLEFINANCE(C49, ""price"") / INDEX(GOOGLEFINANCE(C49, ""price"", EDATE(TODAY(), -6), TODAY()), 2, 2)) - 1, """")"),"")</f>
        <v/>
      </c>
      <c r="P49" s="21" t="str">
        <f>IFERROR(__xludf.DUMMYFUNCTION("IFERROR((GOOGLEFINANCE(C49, ""price"") / INDEX(GOOGLEFINANCE(C49, ""price"", EDATE(TODAY(), -12), TODAY()), 2, 2)) - 1, """")"),"")</f>
        <v/>
      </c>
      <c r="Q49" s="6" t="str">
        <f>IFERROR(__xludf.DUMMYFUNCTION("AVERAGE(QUERY(GOOGLEFINANCE(C49, ""price"", TODAY()-80, TODAY()), ""SELECT Col2 WHERE Col2 IS NOT NULL ORDER BY Col1 DESC LIMIT 50"", 0))"),"#N/A")</f>
        <v>#N/A</v>
      </c>
      <c r="R49" s="24" t="str">
        <f>IFERROR(__xludf.DUMMYFUNCTION("IFERROR(
  LET(
    data, QUERY(GOOGLEFINANCE(C49,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GOOGLEFINANCE(C49, ""price"")) * 100,
    IF(calc=0, G49, calc)
  ), 
G49)"),"#N/A")</f>
        <v>#N/A</v>
      </c>
      <c r="S49" s="8" t="s">
        <v>15</v>
      </c>
      <c r="T49" s="26" t="str">
        <f>IFERROR(__xludf.DUMMYFUNCTION("IFERROR(TRANSPOSE(QUERY(IFERROR(SORT(GOOGLEFINANCE(C49, ""price"", WORKDAY(TODAY(), -40), TODAY()), 1, FALSE)), ""select Col2 where Col2 is not null limit 22 label Col2 ''"", 0)), """")"),"")</f>
        <v/>
      </c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8"/>
      <c r="AO49" s="28"/>
      <c r="AP49" s="29"/>
      <c r="AQ49" s="29" t="str">
        <f t="shared" ref="AQ49:BL49" si="52">T49/T$2</f>
        <v>#N/A</v>
      </c>
      <c r="AR49" s="29" t="str">
        <f t="shared" si="52"/>
        <v>#DIV/0!</v>
      </c>
      <c r="AS49" s="29" t="str">
        <f t="shared" si="52"/>
        <v>#DIV/0!</v>
      </c>
      <c r="AT49" s="29" t="str">
        <f t="shared" si="52"/>
        <v>#DIV/0!</v>
      </c>
      <c r="AU49" s="29" t="str">
        <f t="shared" si="52"/>
        <v>#DIV/0!</v>
      </c>
      <c r="AV49" s="29" t="str">
        <f t="shared" si="52"/>
        <v>#DIV/0!</v>
      </c>
      <c r="AW49" s="29" t="str">
        <f t="shared" si="52"/>
        <v>#DIV/0!</v>
      </c>
      <c r="AX49" s="29" t="str">
        <f t="shared" si="52"/>
        <v>#DIV/0!</v>
      </c>
      <c r="AY49" s="29" t="str">
        <f t="shared" si="52"/>
        <v>#DIV/0!</v>
      </c>
      <c r="AZ49" s="29" t="str">
        <f t="shared" si="52"/>
        <v>#DIV/0!</v>
      </c>
      <c r="BA49" s="29" t="str">
        <f t="shared" si="52"/>
        <v>#DIV/0!</v>
      </c>
      <c r="BB49" s="29" t="str">
        <f t="shared" si="52"/>
        <v>#DIV/0!</v>
      </c>
      <c r="BC49" s="29" t="str">
        <f t="shared" si="52"/>
        <v>#DIV/0!</v>
      </c>
      <c r="BD49" s="29" t="str">
        <f t="shared" si="52"/>
        <v>#DIV/0!</v>
      </c>
      <c r="BE49" s="29" t="str">
        <f t="shared" si="52"/>
        <v>#DIV/0!</v>
      </c>
      <c r="BF49" s="29" t="str">
        <f t="shared" si="52"/>
        <v>#DIV/0!</v>
      </c>
      <c r="BG49" s="29" t="str">
        <f t="shared" si="52"/>
        <v>#DIV/0!</v>
      </c>
      <c r="BH49" s="29" t="str">
        <f t="shared" si="52"/>
        <v>#DIV/0!</v>
      </c>
      <c r="BI49" s="29" t="str">
        <f t="shared" si="52"/>
        <v>#DIV/0!</v>
      </c>
      <c r="BJ49" s="29" t="str">
        <f t="shared" si="52"/>
        <v>#DIV/0!</v>
      </c>
      <c r="BK49" s="29" t="str">
        <f t="shared" si="52"/>
        <v>#DIV/0!</v>
      </c>
      <c r="BL49" s="29" t="str">
        <f t="shared" si="52"/>
        <v>#DIV/0!</v>
      </c>
      <c r="BM49" s="29" t="str">
        <f t="shared" si="3"/>
        <v>#DIV/0!</v>
      </c>
    </row>
    <row r="50">
      <c r="A50" s="16" t="str">
        <f>IFERROR(__xludf.DUMMYFUNCTION("IFERROR(SPARKLINE(SORT(MAP(TRANSPOSE(AQ50:BL50), LAMBDA(val, IF(ISNUMBER(val), PERCENTRANK(AQ50:BL50, val)+0.01, 0))), SEQUENCE(COLUMNS(AQ50:BL50)), FALSE), {""charttype"",""column""; ""color"",""chartreuse""; ""ymin"", 0; ""ymax"", 1.01; ""highcolor"", "&amp;"""darkgreen""; ""lowcolor"", ""red""}), """")"),"")</f>
        <v/>
      </c>
      <c r="B50" s="17" t="str">
        <f t="shared" si="4"/>
        <v/>
      </c>
      <c r="C50" s="1" t="s">
        <v>1650</v>
      </c>
      <c r="D50" s="30" t="str">
        <f>IFERROR(__xludf.DUMMYFUNCTION("IFERROR(GOOGLEFINANCE(C50, ""NAME""))"),"Integra Lifesciences Holdings Corp")</f>
        <v>Integra Lifesciences Holdings Corp</v>
      </c>
      <c r="E50" s="30" t="s">
        <v>1491</v>
      </c>
      <c r="F50" s="33" t="str">
        <f>IFERROR(__xludf.DUMMYFUNCTION("( (GOOGLEFINANCE(C50, ""price"") - Q50) / Q50 ) / (R50 / 100)"),"Loading...")</f>
        <v>Loading...</v>
      </c>
      <c r="G50" s="20" t="str">
        <f>IFERROR(__xludf.DUMMYFUNCTION("AVERAGE(ARRAYFORMULA(100 * (QUERY(GOOGLEFINANCE(C50, ""high"", TODAY()-40, TODAY()), ""SELECT Col2 WHERE Col2 IS NOT NULL ORDER BY Col1 DESC LIMIT 20"", 0) / QUERY(GOOGLEFINANCE(C50, ""low"", TODAY()-40, TODAY()), ""SELECT Col2 WHERE Col2 IS NOT NULL ORDE"&amp;"R BY Col1 DESC LIMIT 20"", 0) - 1)))"),"#N/A")</f>
        <v>#N/A</v>
      </c>
      <c r="H50" s="35" t="str">
        <f t="shared" si="6"/>
        <v/>
      </c>
      <c r="I50" s="36" t="str">
        <f t="shared" si="7"/>
        <v/>
      </c>
      <c r="J50" s="37" t="str">
        <f>IFERROR(__xludf.DUMMYFUNCTION("IFERROR(
  IF(C50="""",, 
    IFERROR(
      GOOGLEFINANCE(C50, ""price"") * GOOGLEFINANCE(C50, ""volumeavg""), 
      GOOGLEFINANCE(C50, ""price"") * AVERAGE(QUERY(GOOGLEFINANCE(C50, ""volume"", TODAY()-40, TODAY()), ""SELECT Col2 WHERE Col2 IS NOT NULL "&amp;"ORDER BY Col1 DESC LIMIT 20"", 0))
    )
  ), 
"""")"),"")</f>
        <v/>
      </c>
      <c r="K50" s="21" t="str">
        <f>IFERROR(__xludf.DUMMYFUNCTION("IFERROR(GOOGLEFINANCE(C50, ""changepct"") / 100, """")"),"")</f>
        <v/>
      </c>
      <c r="L50" s="21" t="str">
        <f>IFERROR(__xludf.DUMMYFUNCTION("IFERROR((GOOGLEFINANCE(C50, ""price"") / INDEX(GOOGLEFINANCE(C50, ""price"", TODAY()-7, TODAY()), 2, 2)) - 1, """")"),"")</f>
        <v/>
      </c>
      <c r="M50" s="21" t="str">
        <f>IFERROR(__xludf.DUMMYFUNCTION("IFERROR((GOOGLEFINANCE(C50, ""price"") / INDEX(GOOGLEFINANCE(C50, ""price"", EDATE(TODAY(), -1), TODAY()), 2, 2)) - 1, """")"),"")</f>
        <v/>
      </c>
      <c r="N50" s="21" t="str">
        <f>IFERROR(__xludf.DUMMYFUNCTION("IFERROR((GOOGLEFINANCE(C50, ""price"") / INDEX(GOOGLEFINANCE(C50, ""price"", EDATE(TODAY(), -3), TODAY()), 2, 2)) - 1, """")"),"")</f>
        <v/>
      </c>
      <c r="O50" s="21" t="str">
        <f>IFERROR(__xludf.DUMMYFUNCTION("IFERROR((GOOGLEFINANCE(C50, ""price"") / INDEX(GOOGLEFINANCE(C50, ""price"", EDATE(TODAY(), -6), TODAY()), 2, 2)) - 1, """")"),"")</f>
        <v/>
      </c>
      <c r="P50" s="21" t="str">
        <f>IFERROR(__xludf.DUMMYFUNCTION("IFERROR((GOOGLEFINANCE(C50, ""price"") / INDEX(GOOGLEFINANCE(C50, ""price"", EDATE(TODAY(), -12), TODAY()), 2, 2)) - 1, """")"),"")</f>
        <v/>
      </c>
      <c r="Q50" s="6" t="str">
        <f>IFERROR(__xludf.DUMMYFUNCTION("AVERAGE(QUERY(GOOGLEFINANCE(C50, ""price"", TODAY()-80, TODAY()), ""SELECT Col2 WHERE Col2 IS NOT NULL ORDER BY Col1 DESC LIMIT 50"", 0))"),"#N/A")</f>
        <v>#N/A</v>
      </c>
      <c r="R50" s="24" t="str">
        <f>IFERROR(__xludf.DUMMYFUNCTION("IFERROR(
  LET(
    data, QUERY(GOOGLEFINANCE(C50,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GOOGLEFINANCE(C50, ""price"")) * 100,
    IF(calc=0, G50, calc)
  ), 
G50)"),"#N/A")</f>
        <v>#N/A</v>
      </c>
      <c r="S50" s="8" t="s">
        <v>15</v>
      </c>
      <c r="T50" s="26" t="str">
        <f>IFERROR(__xludf.DUMMYFUNCTION("IFERROR(TRANSPOSE(QUERY(IFERROR(SORT(GOOGLEFINANCE(C50, ""price"", WORKDAY(TODAY(), -40), TODAY()), 1, FALSE)), ""select Col2 where Col2 is not null limit 22 label Col2 ''"", 0)), """")"),"")</f>
        <v/>
      </c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8"/>
      <c r="AO50" s="28"/>
      <c r="AP50" s="29"/>
      <c r="AQ50" s="29" t="str">
        <f t="shared" ref="AQ50:BL50" si="53">T50/T$2</f>
        <v>#N/A</v>
      </c>
      <c r="AR50" s="29" t="str">
        <f t="shared" si="53"/>
        <v>#DIV/0!</v>
      </c>
      <c r="AS50" s="29" t="str">
        <f t="shared" si="53"/>
        <v>#DIV/0!</v>
      </c>
      <c r="AT50" s="29" t="str">
        <f t="shared" si="53"/>
        <v>#DIV/0!</v>
      </c>
      <c r="AU50" s="29" t="str">
        <f t="shared" si="53"/>
        <v>#DIV/0!</v>
      </c>
      <c r="AV50" s="29" t="str">
        <f t="shared" si="53"/>
        <v>#DIV/0!</v>
      </c>
      <c r="AW50" s="29" t="str">
        <f t="shared" si="53"/>
        <v>#DIV/0!</v>
      </c>
      <c r="AX50" s="29" t="str">
        <f t="shared" si="53"/>
        <v>#DIV/0!</v>
      </c>
      <c r="AY50" s="29" t="str">
        <f t="shared" si="53"/>
        <v>#DIV/0!</v>
      </c>
      <c r="AZ50" s="29" t="str">
        <f t="shared" si="53"/>
        <v>#DIV/0!</v>
      </c>
      <c r="BA50" s="29" t="str">
        <f t="shared" si="53"/>
        <v>#DIV/0!</v>
      </c>
      <c r="BB50" s="29" t="str">
        <f t="shared" si="53"/>
        <v>#DIV/0!</v>
      </c>
      <c r="BC50" s="29" t="str">
        <f t="shared" si="53"/>
        <v>#DIV/0!</v>
      </c>
      <c r="BD50" s="29" t="str">
        <f t="shared" si="53"/>
        <v>#DIV/0!</v>
      </c>
      <c r="BE50" s="29" t="str">
        <f t="shared" si="53"/>
        <v>#DIV/0!</v>
      </c>
      <c r="BF50" s="29" t="str">
        <f t="shared" si="53"/>
        <v>#DIV/0!</v>
      </c>
      <c r="BG50" s="29" t="str">
        <f t="shared" si="53"/>
        <v>#DIV/0!</v>
      </c>
      <c r="BH50" s="29" t="str">
        <f t="shared" si="53"/>
        <v>#DIV/0!</v>
      </c>
      <c r="BI50" s="29" t="str">
        <f t="shared" si="53"/>
        <v>#DIV/0!</v>
      </c>
      <c r="BJ50" s="29" t="str">
        <f t="shared" si="53"/>
        <v>#DIV/0!</v>
      </c>
      <c r="BK50" s="29" t="str">
        <f t="shared" si="53"/>
        <v>#DIV/0!</v>
      </c>
      <c r="BL50" s="29" t="str">
        <f t="shared" si="53"/>
        <v>#DIV/0!</v>
      </c>
      <c r="BM50" s="29" t="str">
        <f t="shared" si="3"/>
        <v>#DIV/0!</v>
      </c>
    </row>
    <row r="51">
      <c r="A51" s="16" t="str">
        <f>IFERROR(__xludf.DUMMYFUNCTION("IFERROR(SPARKLINE(SORT(MAP(TRANSPOSE(AQ51:BL51), LAMBDA(val, IF(ISNUMBER(val), PERCENTRANK(AQ51:BL51, val)+0.01, 0))), SEQUENCE(COLUMNS(AQ51:BL51)), FALSE), {""charttype"",""column""; ""color"",""chartreuse""; ""ymin"", 0; ""ymax"", 1.01; ""highcolor"", "&amp;"""darkgreen""; ""lowcolor"", ""red""}), """")"),"")</f>
        <v/>
      </c>
      <c r="B51" s="17" t="str">
        <f t="shared" si="4"/>
        <v/>
      </c>
      <c r="C51" s="1" t="s">
        <v>1655</v>
      </c>
      <c r="D51" s="30" t="str">
        <f>IFERROR(__xludf.DUMMYFUNCTION("IFERROR(GOOGLEFINANCE(C51, ""NAME""))"),"UFP Technologies Inc")</f>
        <v>UFP Technologies Inc</v>
      </c>
      <c r="E51" s="30" t="s">
        <v>1491</v>
      </c>
      <c r="F51" s="33" t="str">
        <f>IFERROR(__xludf.DUMMYFUNCTION("( (GOOGLEFINANCE(C51, ""price"") - Q51) / Q51 ) / (R51 / 100)"),"Loading...")</f>
        <v>Loading...</v>
      </c>
      <c r="G51" s="20" t="str">
        <f>IFERROR(__xludf.DUMMYFUNCTION("AVERAGE(ARRAYFORMULA(100 * (QUERY(GOOGLEFINANCE(C51, ""high"", TODAY()-40, TODAY()), ""SELECT Col2 WHERE Col2 IS NOT NULL ORDER BY Col1 DESC LIMIT 20"", 0) / QUERY(GOOGLEFINANCE(C51, ""low"", TODAY()-40, TODAY()), ""SELECT Col2 WHERE Col2 IS NOT NULL ORDE"&amp;"R BY Col1 DESC LIMIT 20"", 0) - 1)))"),"#N/A")</f>
        <v>#N/A</v>
      </c>
      <c r="H51" s="35" t="str">
        <f t="shared" si="6"/>
        <v/>
      </c>
      <c r="I51" s="36" t="str">
        <f t="shared" si="7"/>
        <v/>
      </c>
      <c r="J51" s="37" t="str">
        <f>IFERROR(__xludf.DUMMYFUNCTION("IFERROR(
  IF(C51="""",, 
    IFERROR(
      GOOGLEFINANCE(C51, ""price"") * GOOGLEFINANCE(C51, ""volumeavg""), 
      GOOGLEFINANCE(C51, ""price"") * AVERAGE(QUERY(GOOGLEFINANCE(C51, ""volume"", TODAY()-40, TODAY()), ""SELECT Col2 WHERE Col2 IS NOT NULL "&amp;"ORDER BY Col1 DESC LIMIT 20"", 0))
    )
  ), 
"""")"),"")</f>
        <v/>
      </c>
      <c r="K51" s="21" t="str">
        <f>IFERROR(__xludf.DUMMYFUNCTION("IFERROR(GOOGLEFINANCE(C51, ""changepct"") / 100, """")"),"")</f>
        <v/>
      </c>
      <c r="L51" s="21" t="str">
        <f>IFERROR(__xludf.DUMMYFUNCTION("IFERROR((GOOGLEFINANCE(C51, ""price"") / INDEX(GOOGLEFINANCE(C51, ""price"", TODAY()-7, TODAY()), 2, 2)) - 1, """")"),"")</f>
        <v/>
      </c>
      <c r="M51" s="21" t="str">
        <f>IFERROR(__xludf.DUMMYFUNCTION("IFERROR((GOOGLEFINANCE(C51, ""price"") / INDEX(GOOGLEFINANCE(C51, ""price"", EDATE(TODAY(), -1), TODAY()), 2, 2)) - 1, """")"),"")</f>
        <v/>
      </c>
      <c r="N51" s="21" t="str">
        <f>IFERROR(__xludf.DUMMYFUNCTION("IFERROR((GOOGLEFINANCE(C51, ""price"") / INDEX(GOOGLEFINANCE(C51, ""price"", EDATE(TODAY(), -3), TODAY()), 2, 2)) - 1, """")"),"")</f>
        <v/>
      </c>
      <c r="O51" s="21" t="str">
        <f>IFERROR(__xludf.DUMMYFUNCTION("IFERROR((GOOGLEFINANCE(C51, ""price"") / INDEX(GOOGLEFINANCE(C51, ""price"", EDATE(TODAY(), -6), TODAY()), 2, 2)) - 1, """")"),"")</f>
        <v/>
      </c>
      <c r="P51" s="21" t="str">
        <f>IFERROR(__xludf.DUMMYFUNCTION("IFERROR((GOOGLEFINANCE(C51, ""price"") / INDEX(GOOGLEFINANCE(C51, ""price"", EDATE(TODAY(), -12), TODAY()), 2, 2)) - 1, """")"),"")</f>
        <v/>
      </c>
      <c r="Q51" s="6" t="str">
        <f>IFERROR(__xludf.DUMMYFUNCTION("AVERAGE(QUERY(GOOGLEFINANCE(C51, ""price"", TODAY()-80, TODAY()), ""SELECT Col2 WHERE Col2 IS NOT NULL ORDER BY Col1 DESC LIMIT 50"", 0))"),"#N/A")</f>
        <v>#N/A</v>
      </c>
      <c r="R51" s="24" t="str">
        <f>IFERROR(__xludf.DUMMYFUNCTION("IFERROR(
  LET(
    data, QUERY(GOOGLEFINANCE(C51,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GOOGLEFINANCE(C51, ""price"")) * 100,
    IF(calc=0, G51, calc)
  ), 
G51)"),"#N/A")</f>
        <v>#N/A</v>
      </c>
      <c r="S51" s="8" t="s">
        <v>15</v>
      </c>
      <c r="T51" s="26" t="str">
        <f>IFERROR(__xludf.DUMMYFUNCTION("IFERROR(TRANSPOSE(QUERY(IFERROR(SORT(GOOGLEFINANCE(C51, ""price"", WORKDAY(TODAY(), -40), TODAY()), 1, FALSE)), ""select Col2 where Col2 is not null limit 22 label Col2 ''"", 0)), """")"),"")</f>
        <v/>
      </c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8"/>
      <c r="AO51" s="28"/>
      <c r="AP51" s="29"/>
      <c r="AQ51" s="29" t="str">
        <f t="shared" ref="AQ51:BL51" si="54">T51/T$2</f>
        <v>#N/A</v>
      </c>
      <c r="AR51" s="29" t="str">
        <f t="shared" si="54"/>
        <v>#DIV/0!</v>
      </c>
      <c r="AS51" s="29" t="str">
        <f t="shared" si="54"/>
        <v>#DIV/0!</v>
      </c>
      <c r="AT51" s="29" t="str">
        <f t="shared" si="54"/>
        <v>#DIV/0!</v>
      </c>
      <c r="AU51" s="29" t="str">
        <f t="shared" si="54"/>
        <v>#DIV/0!</v>
      </c>
      <c r="AV51" s="29" t="str">
        <f t="shared" si="54"/>
        <v>#DIV/0!</v>
      </c>
      <c r="AW51" s="29" t="str">
        <f t="shared" si="54"/>
        <v>#DIV/0!</v>
      </c>
      <c r="AX51" s="29" t="str">
        <f t="shared" si="54"/>
        <v>#DIV/0!</v>
      </c>
      <c r="AY51" s="29" t="str">
        <f t="shared" si="54"/>
        <v>#DIV/0!</v>
      </c>
      <c r="AZ51" s="29" t="str">
        <f t="shared" si="54"/>
        <v>#DIV/0!</v>
      </c>
      <c r="BA51" s="29" t="str">
        <f t="shared" si="54"/>
        <v>#DIV/0!</v>
      </c>
      <c r="BB51" s="29" t="str">
        <f t="shared" si="54"/>
        <v>#DIV/0!</v>
      </c>
      <c r="BC51" s="29" t="str">
        <f t="shared" si="54"/>
        <v>#DIV/0!</v>
      </c>
      <c r="BD51" s="29" t="str">
        <f t="shared" si="54"/>
        <v>#DIV/0!</v>
      </c>
      <c r="BE51" s="29" t="str">
        <f t="shared" si="54"/>
        <v>#DIV/0!</v>
      </c>
      <c r="BF51" s="29" t="str">
        <f t="shared" si="54"/>
        <v>#DIV/0!</v>
      </c>
      <c r="BG51" s="29" t="str">
        <f t="shared" si="54"/>
        <v>#DIV/0!</v>
      </c>
      <c r="BH51" s="29" t="str">
        <f t="shared" si="54"/>
        <v>#DIV/0!</v>
      </c>
      <c r="BI51" s="29" t="str">
        <f t="shared" si="54"/>
        <v>#DIV/0!</v>
      </c>
      <c r="BJ51" s="29" t="str">
        <f t="shared" si="54"/>
        <v>#DIV/0!</v>
      </c>
      <c r="BK51" s="29" t="str">
        <f t="shared" si="54"/>
        <v>#DIV/0!</v>
      </c>
      <c r="BL51" s="29" t="str">
        <f t="shared" si="54"/>
        <v>#DIV/0!</v>
      </c>
      <c r="BM51" s="29" t="str">
        <f t="shared" si="3"/>
        <v>#DIV/0!</v>
      </c>
    </row>
    <row r="52">
      <c r="A52" s="16" t="str">
        <f>IFERROR(__xludf.DUMMYFUNCTION("IFERROR(SPARKLINE(SORT(MAP(TRANSPOSE(AQ52:BL52), LAMBDA(val, IF(ISNUMBER(val), PERCENTRANK(AQ52:BL52, val)+0.01, 0))), SEQUENCE(COLUMNS(AQ52:BL52)), FALSE), {""charttype"",""column""; ""color"",""chartreuse""; ""ymin"", 0; ""ymax"", 1.01; ""highcolor"", "&amp;"""darkgreen""; ""lowcolor"", ""red""}), """")"),"")</f>
        <v/>
      </c>
      <c r="B52" s="17" t="str">
        <f t="shared" si="4"/>
        <v/>
      </c>
      <c r="C52" s="1" t="s">
        <v>1660</v>
      </c>
      <c r="D52" s="30" t="str">
        <f>IFERROR(__xludf.DUMMYFUNCTION("IFERROR(GOOGLEFINANCE(C52, ""NAME""))"),"Goodrx Holdings Inc")</f>
        <v>Goodrx Holdings Inc</v>
      </c>
      <c r="E52" s="30" t="s">
        <v>1532</v>
      </c>
      <c r="F52" s="33" t="str">
        <f>IFERROR(__xludf.DUMMYFUNCTION("( (GOOGLEFINANCE(C52, ""price"") - Q52) / Q52 ) / (R52 / 100)"),"Loading...")</f>
        <v>Loading...</v>
      </c>
      <c r="G52" s="20" t="str">
        <f>IFERROR(__xludf.DUMMYFUNCTION("AVERAGE(ARRAYFORMULA(100 * (QUERY(GOOGLEFINANCE(C52, ""high"", TODAY()-40, TODAY()), ""SELECT Col2 WHERE Col2 IS NOT NULL ORDER BY Col1 DESC LIMIT 20"", 0) / QUERY(GOOGLEFINANCE(C52, ""low"", TODAY()-40, TODAY()), ""SELECT Col2 WHERE Col2 IS NOT NULL ORDE"&amp;"R BY Col1 DESC LIMIT 20"", 0) - 1)))"),"#N/A")</f>
        <v>#N/A</v>
      </c>
      <c r="H52" s="35" t="str">
        <f t="shared" si="6"/>
        <v/>
      </c>
      <c r="I52" s="36" t="str">
        <f t="shared" si="7"/>
        <v/>
      </c>
      <c r="J52" s="37" t="str">
        <f>IFERROR(__xludf.DUMMYFUNCTION("IFERROR(
  IF(C52="""",, 
    IFERROR(
      GOOGLEFINANCE(C52, ""price"") * GOOGLEFINANCE(C52, ""volumeavg""), 
      GOOGLEFINANCE(C52, ""price"") * AVERAGE(QUERY(GOOGLEFINANCE(C52, ""volume"", TODAY()-40, TODAY()), ""SELECT Col2 WHERE Col2 IS NOT NULL "&amp;"ORDER BY Col1 DESC LIMIT 20"", 0))
    )
  ), 
"""")"),"")</f>
        <v/>
      </c>
      <c r="K52" s="21" t="str">
        <f>IFERROR(__xludf.DUMMYFUNCTION("IFERROR(GOOGLEFINANCE(C52, ""changepct"") / 100, """")"),"")</f>
        <v/>
      </c>
      <c r="L52" s="21" t="str">
        <f>IFERROR(__xludf.DUMMYFUNCTION("IFERROR((GOOGLEFINANCE(C52, ""price"") / INDEX(GOOGLEFINANCE(C52, ""price"", TODAY()-7, TODAY()), 2, 2)) - 1, """")"),"")</f>
        <v/>
      </c>
      <c r="M52" s="21" t="str">
        <f>IFERROR(__xludf.DUMMYFUNCTION("IFERROR((GOOGLEFINANCE(C52, ""price"") / INDEX(GOOGLEFINANCE(C52, ""price"", EDATE(TODAY(), -1), TODAY()), 2, 2)) - 1, """")"),"")</f>
        <v/>
      </c>
      <c r="N52" s="21" t="str">
        <f>IFERROR(__xludf.DUMMYFUNCTION("IFERROR((GOOGLEFINANCE(C52, ""price"") / INDEX(GOOGLEFINANCE(C52, ""price"", EDATE(TODAY(), -3), TODAY()), 2, 2)) - 1, """")"),"")</f>
        <v/>
      </c>
      <c r="O52" s="21" t="str">
        <f>IFERROR(__xludf.DUMMYFUNCTION("IFERROR((GOOGLEFINANCE(C52, ""price"") / INDEX(GOOGLEFINANCE(C52, ""price"", EDATE(TODAY(), -6), TODAY()), 2, 2)) - 1, """")"),"")</f>
        <v/>
      </c>
      <c r="P52" s="21" t="str">
        <f>IFERROR(__xludf.DUMMYFUNCTION("IFERROR((GOOGLEFINANCE(C52, ""price"") / INDEX(GOOGLEFINANCE(C52, ""price"", EDATE(TODAY(), -12), TODAY()), 2, 2)) - 1, """")"),"")</f>
        <v/>
      </c>
      <c r="Q52" s="6" t="str">
        <f>IFERROR(__xludf.DUMMYFUNCTION("AVERAGE(QUERY(GOOGLEFINANCE(C52, ""price"", TODAY()-80, TODAY()), ""SELECT Col2 WHERE Col2 IS NOT NULL ORDER BY Col1 DESC LIMIT 50"", 0))"),"#N/A")</f>
        <v>#N/A</v>
      </c>
      <c r="R52" s="24" t="str">
        <f>IFERROR(__xludf.DUMMYFUNCTION("IFERROR(
  LET(
    data, QUERY(GOOGLEFINANCE(C52,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GOOGLEFINANCE(C52, ""price"")) * 100,
    IF(calc=0, G52, calc)
  ), 
G52)"),"#N/A")</f>
        <v>#N/A</v>
      </c>
      <c r="S52" s="8" t="s">
        <v>15</v>
      </c>
      <c r="T52" s="26" t="str">
        <f>IFERROR(__xludf.DUMMYFUNCTION("IFERROR(TRANSPOSE(QUERY(IFERROR(SORT(GOOGLEFINANCE(C52, ""price"", WORKDAY(TODAY(), -40), TODAY()), 1, FALSE)), ""select Col2 where Col2 is not null limit 22 label Col2 ''"", 0)), """")"),"")</f>
        <v/>
      </c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8"/>
      <c r="AO52" s="28"/>
      <c r="AP52" s="29"/>
      <c r="AQ52" s="29" t="str">
        <f t="shared" ref="AQ52:BL52" si="55">T52/T$2</f>
        <v>#N/A</v>
      </c>
      <c r="AR52" s="29" t="str">
        <f t="shared" si="55"/>
        <v>#DIV/0!</v>
      </c>
      <c r="AS52" s="29" t="str">
        <f t="shared" si="55"/>
        <v>#DIV/0!</v>
      </c>
      <c r="AT52" s="29" t="str">
        <f t="shared" si="55"/>
        <v>#DIV/0!</v>
      </c>
      <c r="AU52" s="29" t="str">
        <f t="shared" si="55"/>
        <v>#DIV/0!</v>
      </c>
      <c r="AV52" s="29" t="str">
        <f t="shared" si="55"/>
        <v>#DIV/0!</v>
      </c>
      <c r="AW52" s="29" t="str">
        <f t="shared" si="55"/>
        <v>#DIV/0!</v>
      </c>
      <c r="AX52" s="29" t="str">
        <f t="shared" si="55"/>
        <v>#DIV/0!</v>
      </c>
      <c r="AY52" s="29" t="str">
        <f t="shared" si="55"/>
        <v>#DIV/0!</v>
      </c>
      <c r="AZ52" s="29" t="str">
        <f t="shared" si="55"/>
        <v>#DIV/0!</v>
      </c>
      <c r="BA52" s="29" t="str">
        <f t="shared" si="55"/>
        <v>#DIV/0!</v>
      </c>
      <c r="BB52" s="29" t="str">
        <f t="shared" si="55"/>
        <v>#DIV/0!</v>
      </c>
      <c r="BC52" s="29" t="str">
        <f t="shared" si="55"/>
        <v>#DIV/0!</v>
      </c>
      <c r="BD52" s="29" t="str">
        <f t="shared" si="55"/>
        <v>#DIV/0!</v>
      </c>
      <c r="BE52" s="29" t="str">
        <f t="shared" si="55"/>
        <v>#DIV/0!</v>
      </c>
      <c r="BF52" s="29" t="str">
        <f t="shared" si="55"/>
        <v>#DIV/0!</v>
      </c>
      <c r="BG52" s="29" t="str">
        <f t="shared" si="55"/>
        <v>#DIV/0!</v>
      </c>
      <c r="BH52" s="29" t="str">
        <f t="shared" si="55"/>
        <v>#DIV/0!</v>
      </c>
      <c r="BI52" s="29" t="str">
        <f t="shared" si="55"/>
        <v>#DIV/0!</v>
      </c>
      <c r="BJ52" s="29" t="str">
        <f t="shared" si="55"/>
        <v>#DIV/0!</v>
      </c>
      <c r="BK52" s="29" t="str">
        <f t="shared" si="55"/>
        <v>#DIV/0!</v>
      </c>
      <c r="BL52" s="29" t="str">
        <f t="shared" si="55"/>
        <v>#DIV/0!</v>
      </c>
      <c r="BM52" s="29" t="str">
        <f t="shared" si="3"/>
        <v>#DIV/0!</v>
      </c>
    </row>
    <row r="53">
      <c r="A53" s="16" t="str">
        <f>IFERROR(__xludf.DUMMYFUNCTION("IFERROR(SPARKLINE(SORT(MAP(TRANSPOSE(AQ53:BL53), LAMBDA(val, IF(ISNUMBER(val), PERCENTRANK(AQ53:BL53, val)+0.01, 0))), SEQUENCE(COLUMNS(AQ53:BL53)), FALSE), {""charttype"",""column""; ""color"",""chartreuse""; ""ymin"", 0; ""ymax"", 1.01; ""highcolor"", "&amp;"""darkgreen""; ""lowcolor"", ""red""}), """")"),"")</f>
        <v/>
      </c>
      <c r="B53" s="17" t="str">
        <f t="shared" si="4"/>
        <v/>
      </c>
      <c r="C53" s="1" t="s">
        <v>1664</v>
      </c>
      <c r="D53" s="30" t="str">
        <f>IFERROR(__xludf.DUMMYFUNCTION("IFERROR(GOOGLEFINANCE(C53, ""NAME""))"),"Sight Sciences Inc")</f>
        <v>Sight Sciences Inc</v>
      </c>
      <c r="E53" s="30" t="s">
        <v>1491</v>
      </c>
      <c r="F53" s="33" t="str">
        <f>IFERROR(__xludf.DUMMYFUNCTION("( (GOOGLEFINANCE(C53, ""price"") - Q53) / Q53 ) / (R53 / 100)"),"Loading...")</f>
        <v>Loading...</v>
      </c>
      <c r="G53" s="20" t="str">
        <f>IFERROR(__xludf.DUMMYFUNCTION("AVERAGE(ARRAYFORMULA(100 * (QUERY(GOOGLEFINANCE(C53, ""high"", TODAY()-40, TODAY()), ""SELECT Col2 WHERE Col2 IS NOT NULL ORDER BY Col1 DESC LIMIT 20"", 0) / QUERY(GOOGLEFINANCE(C53, ""low"", TODAY()-40, TODAY()), ""SELECT Col2 WHERE Col2 IS NOT NULL ORDE"&amp;"R BY Col1 DESC LIMIT 20"", 0) - 1)))"),"#N/A")</f>
        <v>#N/A</v>
      </c>
      <c r="H53" s="35" t="str">
        <f t="shared" si="6"/>
        <v/>
      </c>
      <c r="I53" s="36" t="str">
        <f t="shared" si="7"/>
        <v/>
      </c>
      <c r="J53" s="37" t="str">
        <f>IFERROR(__xludf.DUMMYFUNCTION("IFERROR(
  IF(C53="""",, 
    IFERROR(
      GOOGLEFINANCE(C53, ""price"") * GOOGLEFINANCE(C53, ""volumeavg""), 
      GOOGLEFINANCE(C53, ""price"") * AVERAGE(QUERY(GOOGLEFINANCE(C53, ""volume"", TODAY()-40, TODAY()), ""SELECT Col2 WHERE Col2 IS NOT NULL "&amp;"ORDER BY Col1 DESC LIMIT 20"", 0))
    )
  ), 
"""")"),"")</f>
        <v/>
      </c>
      <c r="K53" s="21" t="str">
        <f>IFERROR(__xludf.DUMMYFUNCTION("IFERROR(GOOGLEFINANCE(C53, ""changepct"") / 100, """")"),"")</f>
        <v/>
      </c>
      <c r="L53" s="21" t="str">
        <f>IFERROR(__xludf.DUMMYFUNCTION("IFERROR((GOOGLEFINANCE(C53, ""price"") / INDEX(GOOGLEFINANCE(C53, ""price"", TODAY()-7, TODAY()), 2, 2)) - 1, """")"),"")</f>
        <v/>
      </c>
      <c r="M53" s="21" t="str">
        <f>IFERROR(__xludf.DUMMYFUNCTION("IFERROR((GOOGLEFINANCE(C53, ""price"") / INDEX(GOOGLEFINANCE(C53, ""price"", EDATE(TODAY(), -1), TODAY()), 2, 2)) - 1, """")"),"")</f>
        <v/>
      </c>
      <c r="N53" s="21" t="str">
        <f>IFERROR(__xludf.DUMMYFUNCTION("IFERROR((GOOGLEFINANCE(C53, ""price"") / INDEX(GOOGLEFINANCE(C53, ""price"", EDATE(TODAY(), -3), TODAY()), 2, 2)) - 1, """")"),"")</f>
        <v/>
      </c>
      <c r="O53" s="21" t="str">
        <f>IFERROR(__xludf.DUMMYFUNCTION("IFERROR((GOOGLEFINANCE(C53, ""price"") / INDEX(GOOGLEFINANCE(C53, ""price"", EDATE(TODAY(), -6), TODAY()), 2, 2)) - 1, """")"),"")</f>
        <v/>
      </c>
      <c r="P53" s="21" t="str">
        <f>IFERROR(__xludf.DUMMYFUNCTION("IFERROR((GOOGLEFINANCE(C53, ""price"") / INDEX(GOOGLEFINANCE(C53, ""price"", EDATE(TODAY(), -12), TODAY()), 2, 2)) - 1, """")"),"")</f>
        <v/>
      </c>
      <c r="Q53" s="6" t="str">
        <f>IFERROR(__xludf.DUMMYFUNCTION("AVERAGE(QUERY(GOOGLEFINANCE(C53, ""price"", TODAY()-80, TODAY()), ""SELECT Col2 WHERE Col2 IS NOT NULL ORDER BY Col1 DESC LIMIT 50"", 0))"),"#N/A")</f>
        <v>#N/A</v>
      </c>
      <c r="R53" s="24" t="str">
        <f>IFERROR(__xludf.DUMMYFUNCTION("IFERROR(
  LET(
    data, QUERY(GOOGLEFINANCE(C53,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GOOGLEFINANCE(C53, ""price"")) * 100,
    IF(calc=0, G53, calc)
  ), 
G53)"),"#N/A")</f>
        <v>#N/A</v>
      </c>
      <c r="S53" s="8" t="s">
        <v>15</v>
      </c>
      <c r="T53" s="26" t="str">
        <f>IFERROR(__xludf.DUMMYFUNCTION("IFERROR(TRANSPOSE(QUERY(IFERROR(SORT(GOOGLEFINANCE(C53, ""price"", WORKDAY(TODAY(), -40), TODAY()), 1, FALSE)), ""select Col2 where Col2 is not null limit 22 label Col2 ''"", 0)), """")"),"")</f>
        <v/>
      </c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8"/>
      <c r="AO53" s="28"/>
      <c r="AP53" s="29"/>
      <c r="AQ53" s="29" t="str">
        <f t="shared" ref="AQ53:BL53" si="56">T53/T$2</f>
        <v>#N/A</v>
      </c>
      <c r="AR53" s="29" t="str">
        <f t="shared" si="56"/>
        <v>#DIV/0!</v>
      </c>
      <c r="AS53" s="29" t="str">
        <f t="shared" si="56"/>
        <v>#DIV/0!</v>
      </c>
      <c r="AT53" s="29" t="str">
        <f t="shared" si="56"/>
        <v>#DIV/0!</v>
      </c>
      <c r="AU53" s="29" t="str">
        <f t="shared" si="56"/>
        <v>#DIV/0!</v>
      </c>
      <c r="AV53" s="29" t="str">
        <f t="shared" si="56"/>
        <v>#DIV/0!</v>
      </c>
      <c r="AW53" s="29" t="str">
        <f t="shared" si="56"/>
        <v>#DIV/0!</v>
      </c>
      <c r="AX53" s="29" t="str">
        <f t="shared" si="56"/>
        <v>#DIV/0!</v>
      </c>
      <c r="AY53" s="29" t="str">
        <f t="shared" si="56"/>
        <v>#DIV/0!</v>
      </c>
      <c r="AZ53" s="29" t="str">
        <f t="shared" si="56"/>
        <v>#DIV/0!</v>
      </c>
      <c r="BA53" s="29" t="str">
        <f t="shared" si="56"/>
        <v>#DIV/0!</v>
      </c>
      <c r="BB53" s="29" t="str">
        <f t="shared" si="56"/>
        <v>#DIV/0!</v>
      </c>
      <c r="BC53" s="29" t="str">
        <f t="shared" si="56"/>
        <v>#DIV/0!</v>
      </c>
      <c r="BD53" s="29" t="str">
        <f t="shared" si="56"/>
        <v>#DIV/0!</v>
      </c>
      <c r="BE53" s="29" t="str">
        <f t="shared" si="56"/>
        <v>#DIV/0!</v>
      </c>
      <c r="BF53" s="29" t="str">
        <f t="shared" si="56"/>
        <v>#DIV/0!</v>
      </c>
      <c r="BG53" s="29" t="str">
        <f t="shared" si="56"/>
        <v>#DIV/0!</v>
      </c>
      <c r="BH53" s="29" t="str">
        <f t="shared" si="56"/>
        <v>#DIV/0!</v>
      </c>
      <c r="BI53" s="29" t="str">
        <f t="shared" si="56"/>
        <v>#DIV/0!</v>
      </c>
      <c r="BJ53" s="29" t="str">
        <f t="shared" si="56"/>
        <v>#DIV/0!</v>
      </c>
      <c r="BK53" s="29" t="str">
        <f t="shared" si="56"/>
        <v>#DIV/0!</v>
      </c>
      <c r="BL53" s="29" t="str">
        <f t="shared" si="56"/>
        <v>#DIV/0!</v>
      </c>
      <c r="BM53" s="29" t="str">
        <f t="shared" si="3"/>
        <v>#DIV/0!</v>
      </c>
    </row>
    <row r="54">
      <c r="A54" s="16" t="str">
        <f>IFERROR(__xludf.DUMMYFUNCTION("IFERROR(SPARKLINE(SORT(MAP(TRANSPOSE(AQ54:BL54), LAMBDA(val, IF(ISNUMBER(val), PERCENTRANK(AQ54:BL54, val)+0.01, 0))), SEQUENCE(COLUMNS(AQ54:BL54)), FALSE), {""charttype"",""column""; ""color"",""chartreuse""; ""ymin"", 0; ""ymax"", 1.01; ""highcolor"", "&amp;"""darkgreen""; ""lowcolor"", ""red""}), """")"),"")</f>
        <v/>
      </c>
      <c r="B54" s="17" t="str">
        <f t="shared" si="4"/>
        <v/>
      </c>
      <c r="C54" s="1" t="s">
        <v>1667</v>
      </c>
      <c r="D54" s="30" t="str">
        <f>IFERROR(__xludf.DUMMYFUNCTION("IFERROR(GOOGLEFINANCE(C54, ""NAME""))"),"HealthStream Inc")</f>
        <v>HealthStream Inc</v>
      </c>
      <c r="E54" s="30" t="s">
        <v>1532</v>
      </c>
      <c r="F54" s="33" t="str">
        <f>IFERROR(__xludf.DUMMYFUNCTION("( (GOOGLEFINANCE(C54, ""price"") - Q54) / Q54 ) / (R54 / 100)"),"Loading...")</f>
        <v>Loading...</v>
      </c>
      <c r="G54" s="20" t="str">
        <f>IFERROR(__xludf.DUMMYFUNCTION("AVERAGE(ARRAYFORMULA(100 * (QUERY(GOOGLEFINANCE(C54, ""high"", TODAY()-40, TODAY()), ""SELECT Col2 WHERE Col2 IS NOT NULL ORDER BY Col1 DESC LIMIT 20"", 0) / QUERY(GOOGLEFINANCE(C54, ""low"", TODAY()-40, TODAY()), ""SELECT Col2 WHERE Col2 IS NOT NULL ORDE"&amp;"R BY Col1 DESC LIMIT 20"", 0) - 1)))"),"#N/A")</f>
        <v>#N/A</v>
      </c>
      <c r="H54" s="35" t="str">
        <f t="shared" si="6"/>
        <v/>
      </c>
      <c r="I54" s="36" t="str">
        <f t="shared" si="7"/>
        <v/>
      </c>
      <c r="J54" s="37" t="str">
        <f>IFERROR(__xludf.DUMMYFUNCTION("IFERROR(
  IF(C54="""",, 
    IFERROR(
      GOOGLEFINANCE(C54, ""price"") * GOOGLEFINANCE(C54, ""volumeavg""), 
      GOOGLEFINANCE(C54, ""price"") * AVERAGE(QUERY(GOOGLEFINANCE(C54, ""volume"", TODAY()-40, TODAY()), ""SELECT Col2 WHERE Col2 IS NOT NULL "&amp;"ORDER BY Col1 DESC LIMIT 20"", 0))
    )
  ), 
"""")"),"")</f>
        <v/>
      </c>
      <c r="K54" s="21" t="str">
        <f>IFERROR(__xludf.DUMMYFUNCTION("IFERROR(GOOGLEFINANCE(C54, ""changepct"") / 100, """")"),"")</f>
        <v/>
      </c>
      <c r="L54" s="21" t="str">
        <f>IFERROR(__xludf.DUMMYFUNCTION("IFERROR((GOOGLEFINANCE(C54, ""price"") / INDEX(GOOGLEFINANCE(C54, ""price"", TODAY()-7, TODAY()), 2, 2)) - 1, """")"),"")</f>
        <v/>
      </c>
      <c r="M54" s="21" t="str">
        <f>IFERROR(__xludf.DUMMYFUNCTION("IFERROR((GOOGLEFINANCE(C54, ""price"") / INDEX(GOOGLEFINANCE(C54, ""price"", EDATE(TODAY(), -1), TODAY()), 2, 2)) - 1, """")"),"")</f>
        <v/>
      </c>
      <c r="N54" s="21" t="str">
        <f>IFERROR(__xludf.DUMMYFUNCTION("IFERROR((GOOGLEFINANCE(C54, ""price"") / INDEX(GOOGLEFINANCE(C54, ""price"", EDATE(TODAY(), -3), TODAY()), 2, 2)) - 1, """")"),"")</f>
        <v/>
      </c>
      <c r="O54" s="21" t="str">
        <f>IFERROR(__xludf.DUMMYFUNCTION("IFERROR((GOOGLEFINANCE(C54, ""price"") / INDEX(GOOGLEFINANCE(C54, ""price"", EDATE(TODAY(), -6), TODAY()), 2, 2)) - 1, """")"),"")</f>
        <v/>
      </c>
      <c r="P54" s="21" t="str">
        <f>IFERROR(__xludf.DUMMYFUNCTION("IFERROR((GOOGLEFINANCE(C54, ""price"") / INDEX(GOOGLEFINANCE(C54, ""price"", EDATE(TODAY(), -12), TODAY()), 2, 2)) - 1, """")"),"")</f>
        <v/>
      </c>
      <c r="Q54" s="6" t="str">
        <f>IFERROR(__xludf.DUMMYFUNCTION("AVERAGE(QUERY(GOOGLEFINANCE(C54, ""price"", TODAY()-80, TODAY()), ""SELECT Col2 WHERE Col2 IS NOT NULL ORDER BY Col1 DESC LIMIT 50"", 0))"),"#N/A")</f>
        <v>#N/A</v>
      </c>
      <c r="R54" s="24" t="str">
        <f>IFERROR(__xludf.DUMMYFUNCTION("IFERROR(
  LET(
    data, QUERY(GOOGLEFINANCE(C54,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GOOGLEFINANCE(C54, ""price"")) * 100,
    IF(calc=0, G54, calc)
  ), 
G54)"),"#N/A")</f>
        <v>#N/A</v>
      </c>
      <c r="S54" s="8" t="s">
        <v>15</v>
      </c>
      <c r="T54" s="26" t="str">
        <f>IFERROR(__xludf.DUMMYFUNCTION("IFERROR(TRANSPOSE(QUERY(IFERROR(SORT(GOOGLEFINANCE(C54, ""price"", WORKDAY(TODAY(), -40), TODAY()), 1, FALSE)), ""select Col2 where Col2 is not null limit 22 label Col2 ''"", 0)), """")"),"")</f>
        <v/>
      </c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8"/>
      <c r="AO54" s="28"/>
      <c r="AP54" s="29"/>
      <c r="AQ54" s="29" t="str">
        <f t="shared" ref="AQ54:BL54" si="57">T54/T$2</f>
        <v>#N/A</v>
      </c>
      <c r="AR54" s="29" t="str">
        <f t="shared" si="57"/>
        <v>#DIV/0!</v>
      </c>
      <c r="AS54" s="29" t="str">
        <f t="shared" si="57"/>
        <v>#DIV/0!</v>
      </c>
      <c r="AT54" s="29" t="str">
        <f t="shared" si="57"/>
        <v>#DIV/0!</v>
      </c>
      <c r="AU54" s="29" t="str">
        <f t="shared" si="57"/>
        <v>#DIV/0!</v>
      </c>
      <c r="AV54" s="29" t="str">
        <f t="shared" si="57"/>
        <v>#DIV/0!</v>
      </c>
      <c r="AW54" s="29" t="str">
        <f t="shared" si="57"/>
        <v>#DIV/0!</v>
      </c>
      <c r="AX54" s="29" t="str">
        <f t="shared" si="57"/>
        <v>#DIV/0!</v>
      </c>
      <c r="AY54" s="29" t="str">
        <f t="shared" si="57"/>
        <v>#DIV/0!</v>
      </c>
      <c r="AZ54" s="29" t="str">
        <f t="shared" si="57"/>
        <v>#DIV/0!</v>
      </c>
      <c r="BA54" s="29" t="str">
        <f t="shared" si="57"/>
        <v>#DIV/0!</v>
      </c>
      <c r="BB54" s="29" t="str">
        <f t="shared" si="57"/>
        <v>#DIV/0!</v>
      </c>
      <c r="BC54" s="29" t="str">
        <f t="shared" si="57"/>
        <v>#DIV/0!</v>
      </c>
      <c r="BD54" s="29" t="str">
        <f t="shared" si="57"/>
        <v>#DIV/0!</v>
      </c>
      <c r="BE54" s="29" t="str">
        <f t="shared" si="57"/>
        <v>#DIV/0!</v>
      </c>
      <c r="BF54" s="29" t="str">
        <f t="shared" si="57"/>
        <v>#DIV/0!</v>
      </c>
      <c r="BG54" s="29" t="str">
        <f t="shared" si="57"/>
        <v>#DIV/0!</v>
      </c>
      <c r="BH54" s="29" t="str">
        <f t="shared" si="57"/>
        <v>#DIV/0!</v>
      </c>
      <c r="BI54" s="29" t="str">
        <f t="shared" si="57"/>
        <v>#DIV/0!</v>
      </c>
      <c r="BJ54" s="29" t="str">
        <f t="shared" si="57"/>
        <v>#DIV/0!</v>
      </c>
      <c r="BK54" s="29" t="str">
        <f t="shared" si="57"/>
        <v>#DIV/0!</v>
      </c>
      <c r="BL54" s="29" t="str">
        <f t="shared" si="57"/>
        <v>#DIV/0!</v>
      </c>
      <c r="BM54" s="29" t="str">
        <f t="shared" si="3"/>
        <v>#DIV/0!</v>
      </c>
    </row>
    <row r="55">
      <c r="A55" s="16" t="str">
        <f>IFERROR(__xludf.DUMMYFUNCTION("IFERROR(SPARKLINE(SORT(MAP(TRANSPOSE(AQ55:BL55), LAMBDA(val, IF(ISNUMBER(val), PERCENTRANK(AQ55:BL55, val)+0.01, 0))), SEQUENCE(COLUMNS(AQ55:BL55)), FALSE), {""charttype"",""column""; ""color"",""chartreuse""; ""ymin"", 0; ""ymax"", 1.01; ""highcolor"", "&amp;"""darkgreen""; ""lowcolor"", ""red""}), """")"),"")</f>
        <v/>
      </c>
      <c r="B55" s="17" t="str">
        <f t="shared" si="4"/>
        <v/>
      </c>
      <c r="C55" s="1" t="s">
        <v>1671</v>
      </c>
      <c r="D55" s="30" t="str">
        <f>IFERROR(__xludf.DUMMYFUNCTION("IFERROR(GOOGLEFINANCE(C55, ""NAME""))"),"Standard Biotools Inc")</f>
        <v>Standard Biotools Inc</v>
      </c>
      <c r="E55" s="30" t="s">
        <v>1491</v>
      </c>
      <c r="F55" s="33" t="str">
        <f>IFERROR(__xludf.DUMMYFUNCTION("( (GOOGLEFINANCE(C55, ""price"") - Q55) / Q55 ) / (R55 / 100)"),"Loading...")</f>
        <v>Loading...</v>
      </c>
      <c r="G55" s="20" t="str">
        <f>IFERROR(__xludf.DUMMYFUNCTION("AVERAGE(ARRAYFORMULA(100 * (QUERY(GOOGLEFINANCE(C55, ""high"", TODAY()-40, TODAY()), ""SELECT Col2 WHERE Col2 IS NOT NULL ORDER BY Col1 DESC LIMIT 20"", 0) / QUERY(GOOGLEFINANCE(C55, ""low"", TODAY()-40, TODAY()), ""SELECT Col2 WHERE Col2 IS NOT NULL ORDE"&amp;"R BY Col1 DESC LIMIT 20"", 0) - 1)))"),"#N/A")</f>
        <v>#N/A</v>
      </c>
      <c r="H55" s="35" t="str">
        <f t="shared" si="6"/>
        <v/>
      </c>
      <c r="I55" s="36" t="str">
        <f t="shared" si="7"/>
        <v/>
      </c>
      <c r="J55" s="37" t="str">
        <f>IFERROR(__xludf.DUMMYFUNCTION("IFERROR(
  IF(C55="""",, 
    IFERROR(
      GOOGLEFINANCE(C55, ""price"") * GOOGLEFINANCE(C55, ""volumeavg""), 
      GOOGLEFINANCE(C55, ""price"") * AVERAGE(QUERY(GOOGLEFINANCE(C55, ""volume"", TODAY()-40, TODAY()), ""SELECT Col2 WHERE Col2 IS NOT NULL "&amp;"ORDER BY Col1 DESC LIMIT 20"", 0))
    )
  ), 
"""")"),"")</f>
        <v/>
      </c>
      <c r="K55" s="21" t="str">
        <f>IFERROR(__xludf.DUMMYFUNCTION("IFERROR(GOOGLEFINANCE(C55, ""changepct"") / 100, """")"),"")</f>
        <v/>
      </c>
      <c r="L55" s="21" t="str">
        <f>IFERROR(__xludf.DUMMYFUNCTION("IFERROR((GOOGLEFINANCE(C55, ""price"") / INDEX(GOOGLEFINANCE(C55, ""price"", TODAY()-7, TODAY()), 2, 2)) - 1, """")"),"")</f>
        <v/>
      </c>
      <c r="M55" s="21" t="str">
        <f>IFERROR(__xludf.DUMMYFUNCTION("IFERROR((GOOGLEFINANCE(C55, ""price"") / INDEX(GOOGLEFINANCE(C55, ""price"", EDATE(TODAY(), -1), TODAY()), 2, 2)) - 1, """")"),"")</f>
        <v/>
      </c>
      <c r="N55" s="21" t="str">
        <f>IFERROR(__xludf.DUMMYFUNCTION("IFERROR((GOOGLEFINANCE(C55, ""price"") / INDEX(GOOGLEFINANCE(C55, ""price"", EDATE(TODAY(), -3), TODAY()), 2, 2)) - 1, """")"),"")</f>
        <v/>
      </c>
      <c r="O55" s="21" t="str">
        <f>IFERROR(__xludf.DUMMYFUNCTION("IFERROR((GOOGLEFINANCE(C55, ""price"") / INDEX(GOOGLEFINANCE(C55, ""price"", EDATE(TODAY(), -6), TODAY()), 2, 2)) - 1, """")"),"")</f>
        <v/>
      </c>
      <c r="P55" s="21" t="str">
        <f>IFERROR(__xludf.DUMMYFUNCTION("IFERROR((GOOGLEFINANCE(C55, ""price"") / INDEX(GOOGLEFINANCE(C55, ""price"", EDATE(TODAY(), -12), TODAY()), 2, 2)) - 1, """")"),"")</f>
        <v/>
      </c>
      <c r="Q55" s="6" t="str">
        <f>IFERROR(__xludf.DUMMYFUNCTION("AVERAGE(QUERY(GOOGLEFINANCE(C55, ""price"", TODAY()-80, TODAY()), ""SELECT Col2 WHERE Col2 IS NOT NULL ORDER BY Col1 DESC LIMIT 50"", 0))"),"#N/A")</f>
        <v>#N/A</v>
      </c>
      <c r="R55" s="24" t="str">
        <f>IFERROR(__xludf.DUMMYFUNCTION("IFERROR(
  LET(
    data, QUERY(GOOGLEFINANCE(C55,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GOOGLEFINANCE(C55, ""price"")) * 100,
    IF(calc=0, G55, calc)
  ), 
G55)"),"#N/A")</f>
        <v>#N/A</v>
      </c>
      <c r="S55" s="8" t="s">
        <v>15</v>
      </c>
      <c r="T55" s="26" t="str">
        <f>IFERROR(__xludf.DUMMYFUNCTION("IFERROR(TRANSPOSE(QUERY(IFERROR(SORT(GOOGLEFINANCE(C55, ""price"", WORKDAY(TODAY(), -40), TODAY()), 1, FALSE)), ""select Col2 where Col2 is not null limit 22 label Col2 ''"", 0)), """")"),"")</f>
        <v/>
      </c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8"/>
      <c r="AO55" s="28"/>
      <c r="AP55" s="29"/>
      <c r="AQ55" s="29" t="str">
        <f t="shared" ref="AQ55:BL55" si="58">T55/T$2</f>
        <v>#N/A</v>
      </c>
      <c r="AR55" s="29" t="str">
        <f t="shared" si="58"/>
        <v>#DIV/0!</v>
      </c>
      <c r="AS55" s="29" t="str">
        <f t="shared" si="58"/>
        <v>#DIV/0!</v>
      </c>
      <c r="AT55" s="29" t="str">
        <f t="shared" si="58"/>
        <v>#DIV/0!</v>
      </c>
      <c r="AU55" s="29" t="str">
        <f t="shared" si="58"/>
        <v>#DIV/0!</v>
      </c>
      <c r="AV55" s="29" t="str">
        <f t="shared" si="58"/>
        <v>#DIV/0!</v>
      </c>
      <c r="AW55" s="29" t="str">
        <f t="shared" si="58"/>
        <v>#DIV/0!</v>
      </c>
      <c r="AX55" s="29" t="str">
        <f t="shared" si="58"/>
        <v>#DIV/0!</v>
      </c>
      <c r="AY55" s="29" t="str">
        <f t="shared" si="58"/>
        <v>#DIV/0!</v>
      </c>
      <c r="AZ55" s="29" t="str">
        <f t="shared" si="58"/>
        <v>#DIV/0!</v>
      </c>
      <c r="BA55" s="29" t="str">
        <f t="shared" si="58"/>
        <v>#DIV/0!</v>
      </c>
      <c r="BB55" s="29" t="str">
        <f t="shared" si="58"/>
        <v>#DIV/0!</v>
      </c>
      <c r="BC55" s="29" t="str">
        <f t="shared" si="58"/>
        <v>#DIV/0!</v>
      </c>
      <c r="BD55" s="29" t="str">
        <f t="shared" si="58"/>
        <v>#DIV/0!</v>
      </c>
      <c r="BE55" s="29" t="str">
        <f t="shared" si="58"/>
        <v>#DIV/0!</v>
      </c>
      <c r="BF55" s="29" t="str">
        <f t="shared" si="58"/>
        <v>#DIV/0!</v>
      </c>
      <c r="BG55" s="29" t="str">
        <f t="shared" si="58"/>
        <v>#DIV/0!</v>
      </c>
      <c r="BH55" s="29" t="str">
        <f t="shared" si="58"/>
        <v>#DIV/0!</v>
      </c>
      <c r="BI55" s="29" t="str">
        <f t="shared" si="58"/>
        <v>#DIV/0!</v>
      </c>
      <c r="BJ55" s="29" t="str">
        <f t="shared" si="58"/>
        <v>#DIV/0!</v>
      </c>
      <c r="BK55" s="29" t="str">
        <f t="shared" si="58"/>
        <v>#DIV/0!</v>
      </c>
      <c r="BL55" s="29" t="str">
        <f t="shared" si="58"/>
        <v>#DIV/0!</v>
      </c>
      <c r="BM55" s="29" t="str">
        <f t="shared" si="3"/>
        <v>#DIV/0!</v>
      </c>
    </row>
    <row r="56">
      <c r="A56" s="16" t="str">
        <f>IFERROR(__xludf.DUMMYFUNCTION("IFERROR(SPARKLINE(SORT(MAP(TRANSPOSE(AQ56:BL56), LAMBDA(val, IF(ISNUMBER(val), PERCENTRANK(AQ56:BL56, val)+0.01, 0))), SEQUENCE(COLUMNS(AQ56:BL56)), FALSE), {""charttype"",""column""; ""color"",""chartreuse""; ""ymin"", 0; ""ymax"", 1.01; ""highcolor"", "&amp;"""darkgreen""; ""lowcolor"", ""red""}), """")"),"")</f>
        <v/>
      </c>
      <c r="B56" s="17" t="str">
        <f t="shared" si="4"/>
        <v/>
      </c>
      <c r="C56" s="1" t="s">
        <v>1674</v>
      </c>
      <c r="D56" s="30" t="str">
        <f>IFERROR(__xludf.DUMMYFUNCTION("IFERROR(GOOGLEFINANCE(C56, ""NAME""))"),"Glaukos Corp")</f>
        <v>Glaukos Corp</v>
      </c>
      <c r="E56" s="30" t="s">
        <v>1491</v>
      </c>
      <c r="F56" s="33" t="str">
        <f>IFERROR(__xludf.DUMMYFUNCTION("( (GOOGLEFINANCE(C56, ""price"") - Q56) / Q56 ) / (R56 / 100)"),"Loading...")</f>
        <v>Loading...</v>
      </c>
      <c r="G56" s="20" t="str">
        <f>IFERROR(__xludf.DUMMYFUNCTION("AVERAGE(ARRAYFORMULA(100 * (QUERY(GOOGLEFINANCE(C56, ""high"", TODAY()-40, TODAY()), ""SELECT Col2 WHERE Col2 IS NOT NULL ORDER BY Col1 DESC LIMIT 20"", 0) / QUERY(GOOGLEFINANCE(C56, ""low"", TODAY()-40, TODAY()), ""SELECT Col2 WHERE Col2 IS NOT NULL ORDE"&amp;"R BY Col1 DESC LIMIT 20"", 0) - 1)))"),"#N/A")</f>
        <v>#N/A</v>
      </c>
      <c r="H56" s="35" t="str">
        <f t="shared" si="6"/>
        <v/>
      </c>
      <c r="I56" s="36" t="str">
        <f t="shared" si="7"/>
        <v/>
      </c>
      <c r="J56" s="37" t="str">
        <f>IFERROR(__xludf.DUMMYFUNCTION("IFERROR(
  IF(C56="""",, 
    IFERROR(
      GOOGLEFINANCE(C56, ""price"") * GOOGLEFINANCE(C56, ""volumeavg""), 
      GOOGLEFINANCE(C56, ""price"") * AVERAGE(QUERY(GOOGLEFINANCE(C56, ""volume"", TODAY()-40, TODAY()), ""SELECT Col2 WHERE Col2 IS NOT NULL "&amp;"ORDER BY Col1 DESC LIMIT 20"", 0))
    )
  ), 
"""")"),"")</f>
        <v/>
      </c>
      <c r="K56" s="21" t="str">
        <f>IFERROR(__xludf.DUMMYFUNCTION("IFERROR(GOOGLEFINANCE(C56, ""changepct"") / 100, """")"),"")</f>
        <v/>
      </c>
      <c r="L56" s="21" t="str">
        <f>IFERROR(__xludf.DUMMYFUNCTION("IFERROR((GOOGLEFINANCE(C56, ""price"") / INDEX(GOOGLEFINANCE(C56, ""price"", TODAY()-7, TODAY()), 2, 2)) - 1, """")"),"")</f>
        <v/>
      </c>
      <c r="M56" s="21" t="str">
        <f>IFERROR(__xludf.DUMMYFUNCTION("IFERROR((GOOGLEFINANCE(C56, ""price"") / INDEX(GOOGLEFINANCE(C56, ""price"", EDATE(TODAY(), -1), TODAY()), 2, 2)) - 1, """")"),"")</f>
        <v/>
      </c>
      <c r="N56" s="21" t="str">
        <f>IFERROR(__xludf.DUMMYFUNCTION("IFERROR((GOOGLEFINANCE(C56, ""price"") / INDEX(GOOGLEFINANCE(C56, ""price"", EDATE(TODAY(), -3), TODAY()), 2, 2)) - 1, """")"),"")</f>
        <v/>
      </c>
      <c r="O56" s="21" t="str">
        <f>IFERROR(__xludf.DUMMYFUNCTION("IFERROR((GOOGLEFINANCE(C56, ""price"") / INDEX(GOOGLEFINANCE(C56, ""price"", EDATE(TODAY(), -6), TODAY()), 2, 2)) - 1, """")"),"")</f>
        <v/>
      </c>
      <c r="P56" s="21" t="str">
        <f>IFERROR(__xludf.DUMMYFUNCTION("IFERROR((GOOGLEFINANCE(C56, ""price"") / INDEX(GOOGLEFINANCE(C56, ""price"", EDATE(TODAY(), -12), TODAY()), 2, 2)) - 1, """")"),"")</f>
        <v/>
      </c>
      <c r="Q56" s="6" t="str">
        <f>IFERROR(__xludf.DUMMYFUNCTION("AVERAGE(QUERY(GOOGLEFINANCE(C56, ""price"", TODAY()-80, TODAY()), ""SELECT Col2 WHERE Col2 IS NOT NULL ORDER BY Col1 DESC LIMIT 50"", 0))"),"#N/A")</f>
        <v>#N/A</v>
      </c>
      <c r="R56" s="24" t="str">
        <f>IFERROR(__xludf.DUMMYFUNCTION("IFERROR(
  LET(
    data, QUERY(GOOGLEFINANCE(C56,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GOOGLEFINANCE(C56, ""price"")) * 100,
    IF(calc=0, G56, calc)
  ), 
G56)"),"#N/A")</f>
        <v>#N/A</v>
      </c>
      <c r="S56" s="8" t="s">
        <v>15</v>
      </c>
      <c r="T56" s="26" t="str">
        <f>IFERROR(__xludf.DUMMYFUNCTION("IFERROR(TRANSPOSE(QUERY(IFERROR(SORT(GOOGLEFINANCE(C56, ""price"", WORKDAY(TODAY(), -40), TODAY()), 1, FALSE)), ""select Col2 where Col2 is not null limit 22 label Col2 ''"", 0)), """")"),"")</f>
        <v/>
      </c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8"/>
      <c r="AO56" s="28"/>
      <c r="AP56" s="29"/>
      <c r="AQ56" s="29" t="str">
        <f t="shared" ref="AQ56:BL56" si="59">T56/T$2</f>
        <v>#N/A</v>
      </c>
      <c r="AR56" s="29" t="str">
        <f t="shared" si="59"/>
        <v>#DIV/0!</v>
      </c>
      <c r="AS56" s="29" t="str">
        <f t="shared" si="59"/>
        <v>#DIV/0!</v>
      </c>
      <c r="AT56" s="29" t="str">
        <f t="shared" si="59"/>
        <v>#DIV/0!</v>
      </c>
      <c r="AU56" s="29" t="str">
        <f t="shared" si="59"/>
        <v>#DIV/0!</v>
      </c>
      <c r="AV56" s="29" t="str">
        <f t="shared" si="59"/>
        <v>#DIV/0!</v>
      </c>
      <c r="AW56" s="29" t="str">
        <f t="shared" si="59"/>
        <v>#DIV/0!</v>
      </c>
      <c r="AX56" s="29" t="str">
        <f t="shared" si="59"/>
        <v>#DIV/0!</v>
      </c>
      <c r="AY56" s="29" t="str">
        <f t="shared" si="59"/>
        <v>#DIV/0!</v>
      </c>
      <c r="AZ56" s="29" t="str">
        <f t="shared" si="59"/>
        <v>#DIV/0!</v>
      </c>
      <c r="BA56" s="29" t="str">
        <f t="shared" si="59"/>
        <v>#DIV/0!</v>
      </c>
      <c r="BB56" s="29" t="str">
        <f t="shared" si="59"/>
        <v>#DIV/0!</v>
      </c>
      <c r="BC56" s="29" t="str">
        <f t="shared" si="59"/>
        <v>#DIV/0!</v>
      </c>
      <c r="BD56" s="29" t="str">
        <f t="shared" si="59"/>
        <v>#DIV/0!</v>
      </c>
      <c r="BE56" s="29" t="str">
        <f t="shared" si="59"/>
        <v>#DIV/0!</v>
      </c>
      <c r="BF56" s="29" t="str">
        <f t="shared" si="59"/>
        <v>#DIV/0!</v>
      </c>
      <c r="BG56" s="29" t="str">
        <f t="shared" si="59"/>
        <v>#DIV/0!</v>
      </c>
      <c r="BH56" s="29" t="str">
        <f t="shared" si="59"/>
        <v>#DIV/0!</v>
      </c>
      <c r="BI56" s="29" t="str">
        <f t="shared" si="59"/>
        <v>#DIV/0!</v>
      </c>
      <c r="BJ56" s="29" t="str">
        <f t="shared" si="59"/>
        <v>#DIV/0!</v>
      </c>
      <c r="BK56" s="29" t="str">
        <f t="shared" si="59"/>
        <v>#DIV/0!</v>
      </c>
      <c r="BL56" s="29" t="str">
        <f t="shared" si="59"/>
        <v>#DIV/0!</v>
      </c>
      <c r="BM56" s="29" t="str">
        <f t="shared" si="3"/>
        <v>#DIV/0!</v>
      </c>
    </row>
    <row r="57">
      <c r="A57" s="16" t="str">
        <f>IFERROR(__xludf.DUMMYFUNCTION("IFERROR(SPARKLINE(SORT(MAP(TRANSPOSE(AQ57:BL57), LAMBDA(val, IF(ISNUMBER(val), PERCENTRANK(AQ57:BL57, val)+0.01, 0))), SEQUENCE(COLUMNS(AQ57:BL57)), FALSE), {""charttype"",""column""; ""color"",""chartreuse""; ""ymin"", 0; ""ymax"", 1.01; ""highcolor"", "&amp;"""darkgreen""; ""lowcolor"", ""red""}), """")"),"")</f>
        <v/>
      </c>
      <c r="B57" s="17" t="str">
        <f t="shared" si="4"/>
        <v/>
      </c>
      <c r="C57" s="1" t="s">
        <v>1680</v>
      </c>
      <c r="D57" s="30" t="str">
        <f>IFERROR(__xludf.DUMMYFUNCTION("IFERROR(GOOGLEFINANCE(C57, ""NAME""))"),"Warby Parker Inc")</f>
        <v>Warby Parker Inc</v>
      </c>
      <c r="E57" s="30" t="s">
        <v>1502</v>
      </c>
      <c r="F57" s="33" t="str">
        <f>IFERROR(__xludf.DUMMYFUNCTION("( (GOOGLEFINANCE(C57, ""price"") - Q57) / Q57 ) / (R57 / 100)"),"Loading...")</f>
        <v>Loading...</v>
      </c>
      <c r="G57" s="20" t="str">
        <f>IFERROR(__xludf.DUMMYFUNCTION("AVERAGE(ARRAYFORMULA(100 * (QUERY(GOOGLEFINANCE(C57, ""high"", TODAY()-40, TODAY()), ""SELECT Col2 WHERE Col2 IS NOT NULL ORDER BY Col1 DESC LIMIT 20"", 0) / QUERY(GOOGLEFINANCE(C57, ""low"", TODAY()-40, TODAY()), ""SELECT Col2 WHERE Col2 IS NOT NULL ORDE"&amp;"R BY Col1 DESC LIMIT 20"", 0) - 1)))"),"#N/A")</f>
        <v>#N/A</v>
      </c>
      <c r="H57" s="35" t="str">
        <f t="shared" si="6"/>
        <v/>
      </c>
      <c r="I57" s="36" t="str">
        <f t="shared" si="7"/>
        <v/>
      </c>
      <c r="J57" s="37" t="str">
        <f>IFERROR(__xludf.DUMMYFUNCTION("IFERROR(
  IF(C57="""",, 
    IFERROR(
      GOOGLEFINANCE(C57, ""price"") * GOOGLEFINANCE(C57, ""volumeavg""), 
      GOOGLEFINANCE(C57, ""price"") * AVERAGE(QUERY(GOOGLEFINANCE(C57, ""volume"", TODAY()-40, TODAY()), ""SELECT Col2 WHERE Col2 IS NOT NULL "&amp;"ORDER BY Col1 DESC LIMIT 20"", 0))
    )
  ), 
"""")"),"")</f>
        <v/>
      </c>
      <c r="K57" s="21" t="str">
        <f>IFERROR(__xludf.DUMMYFUNCTION("IFERROR(GOOGLEFINANCE(C57, ""changepct"") / 100, """")"),"")</f>
        <v/>
      </c>
      <c r="L57" s="21" t="str">
        <f>IFERROR(__xludf.DUMMYFUNCTION("IFERROR((GOOGLEFINANCE(C57, ""price"") / INDEX(GOOGLEFINANCE(C57, ""price"", TODAY()-7, TODAY()), 2, 2)) - 1, """")"),"")</f>
        <v/>
      </c>
      <c r="M57" s="21" t="str">
        <f>IFERROR(__xludf.DUMMYFUNCTION("IFERROR((GOOGLEFINANCE(C57, ""price"") / INDEX(GOOGLEFINANCE(C57, ""price"", EDATE(TODAY(), -1), TODAY()), 2, 2)) - 1, """")"),"")</f>
        <v/>
      </c>
      <c r="N57" s="21" t="str">
        <f>IFERROR(__xludf.DUMMYFUNCTION("IFERROR((GOOGLEFINANCE(C57, ""price"") / INDEX(GOOGLEFINANCE(C57, ""price"", EDATE(TODAY(), -3), TODAY()), 2, 2)) - 1, """")"),"")</f>
        <v/>
      </c>
      <c r="O57" s="21" t="str">
        <f>IFERROR(__xludf.DUMMYFUNCTION("IFERROR((GOOGLEFINANCE(C57, ""price"") / INDEX(GOOGLEFINANCE(C57, ""price"", EDATE(TODAY(), -6), TODAY()), 2, 2)) - 1, """")"),"")</f>
        <v/>
      </c>
      <c r="P57" s="21" t="str">
        <f>IFERROR(__xludf.DUMMYFUNCTION("IFERROR((GOOGLEFINANCE(C57, ""price"") / INDEX(GOOGLEFINANCE(C57, ""price"", EDATE(TODAY(), -12), TODAY()), 2, 2)) - 1, """")"),"")</f>
        <v/>
      </c>
      <c r="Q57" s="6" t="str">
        <f>IFERROR(__xludf.DUMMYFUNCTION("AVERAGE(QUERY(GOOGLEFINANCE(C57, ""price"", TODAY()-80, TODAY()), ""SELECT Col2 WHERE Col2 IS NOT NULL ORDER BY Col1 DESC LIMIT 50"", 0))"),"#N/A")</f>
        <v>#N/A</v>
      </c>
      <c r="R57" s="24" t="str">
        <f>IFERROR(__xludf.DUMMYFUNCTION("IFERROR(
  LET(
    data, QUERY(GOOGLEFINANCE(C57,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GOOGLEFINANCE(C57, ""price"")) * 100,
    IF(calc=0, G57, calc)
  ), 
G57)"),"#N/A")</f>
        <v>#N/A</v>
      </c>
      <c r="S57" s="8" t="s">
        <v>15</v>
      </c>
      <c r="T57" s="26" t="str">
        <f>IFERROR(__xludf.DUMMYFUNCTION("IFERROR(TRANSPOSE(QUERY(IFERROR(SORT(GOOGLEFINANCE(C57, ""price"", WORKDAY(TODAY(), -40), TODAY()), 1, FALSE)), ""select Col2 where Col2 is not null limit 22 label Col2 ''"", 0)), """")"),"")</f>
        <v/>
      </c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8"/>
      <c r="AO57" s="28"/>
      <c r="AP57" s="29"/>
      <c r="AQ57" s="29" t="str">
        <f t="shared" ref="AQ57:BL57" si="60">T57/T$2</f>
        <v>#N/A</v>
      </c>
      <c r="AR57" s="29" t="str">
        <f t="shared" si="60"/>
        <v>#DIV/0!</v>
      </c>
      <c r="AS57" s="29" t="str">
        <f t="shared" si="60"/>
        <v>#DIV/0!</v>
      </c>
      <c r="AT57" s="29" t="str">
        <f t="shared" si="60"/>
        <v>#DIV/0!</v>
      </c>
      <c r="AU57" s="29" t="str">
        <f t="shared" si="60"/>
        <v>#DIV/0!</v>
      </c>
      <c r="AV57" s="29" t="str">
        <f t="shared" si="60"/>
        <v>#DIV/0!</v>
      </c>
      <c r="AW57" s="29" t="str">
        <f t="shared" si="60"/>
        <v>#DIV/0!</v>
      </c>
      <c r="AX57" s="29" t="str">
        <f t="shared" si="60"/>
        <v>#DIV/0!</v>
      </c>
      <c r="AY57" s="29" t="str">
        <f t="shared" si="60"/>
        <v>#DIV/0!</v>
      </c>
      <c r="AZ57" s="29" t="str">
        <f t="shared" si="60"/>
        <v>#DIV/0!</v>
      </c>
      <c r="BA57" s="29" t="str">
        <f t="shared" si="60"/>
        <v>#DIV/0!</v>
      </c>
      <c r="BB57" s="29" t="str">
        <f t="shared" si="60"/>
        <v>#DIV/0!</v>
      </c>
      <c r="BC57" s="29" t="str">
        <f t="shared" si="60"/>
        <v>#DIV/0!</v>
      </c>
      <c r="BD57" s="29" t="str">
        <f t="shared" si="60"/>
        <v>#DIV/0!</v>
      </c>
      <c r="BE57" s="29" t="str">
        <f t="shared" si="60"/>
        <v>#DIV/0!</v>
      </c>
      <c r="BF57" s="29" t="str">
        <f t="shared" si="60"/>
        <v>#DIV/0!</v>
      </c>
      <c r="BG57" s="29" t="str">
        <f t="shared" si="60"/>
        <v>#DIV/0!</v>
      </c>
      <c r="BH57" s="29" t="str">
        <f t="shared" si="60"/>
        <v>#DIV/0!</v>
      </c>
      <c r="BI57" s="29" t="str">
        <f t="shared" si="60"/>
        <v>#DIV/0!</v>
      </c>
      <c r="BJ57" s="29" t="str">
        <f t="shared" si="60"/>
        <v>#DIV/0!</v>
      </c>
      <c r="BK57" s="29" t="str">
        <f t="shared" si="60"/>
        <v>#DIV/0!</v>
      </c>
      <c r="BL57" s="29" t="str">
        <f t="shared" si="60"/>
        <v>#DIV/0!</v>
      </c>
      <c r="BM57" s="29" t="str">
        <f t="shared" si="3"/>
        <v>#DIV/0!</v>
      </c>
    </row>
    <row r="58">
      <c r="A58" s="16" t="str">
        <f>IFERROR(__xludf.DUMMYFUNCTION("IFERROR(SPARKLINE(SORT(MAP(TRANSPOSE(AQ58:BL58), LAMBDA(val, IF(ISNUMBER(val), PERCENTRANK(AQ58:BL58, val)+0.01, 0))), SEQUENCE(COLUMNS(AQ58:BL58)), FALSE), {""charttype"",""column""; ""color"",""chartreuse""; ""ymin"", 0; ""ymax"", 1.01; ""highcolor"", "&amp;"""darkgreen""; ""lowcolor"", ""red""}), """")"),"")</f>
        <v/>
      </c>
      <c r="B58" s="17" t="str">
        <f t="shared" si="4"/>
        <v/>
      </c>
      <c r="C58" s="1" t="s">
        <v>1683</v>
      </c>
      <c r="D58" s="30" t="str">
        <f>IFERROR(__xludf.DUMMYFUNCTION("IFERROR(GOOGLEFINANCE(C58, ""NAME""))"),"Nutex Health Inc")</f>
        <v>Nutex Health Inc</v>
      </c>
      <c r="E58" s="30" t="s">
        <v>1513</v>
      </c>
      <c r="F58" s="33" t="str">
        <f>IFERROR(__xludf.DUMMYFUNCTION("( (GOOGLEFINANCE(C58, ""price"") - Q58) / Q58 ) / (R58 / 100)"),"Loading...")</f>
        <v>Loading...</v>
      </c>
      <c r="G58" s="20" t="str">
        <f>IFERROR(__xludf.DUMMYFUNCTION("AVERAGE(ARRAYFORMULA(100 * (QUERY(GOOGLEFINANCE(C58, ""high"", TODAY()-40, TODAY()), ""SELECT Col2 WHERE Col2 IS NOT NULL ORDER BY Col1 DESC LIMIT 20"", 0) / QUERY(GOOGLEFINANCE(C58, ""low"", TODAY()-40, TODAY()), ""SELECT Col2 WHERE Col2 IS NOT NULL ORDE"&amp;"R BY Col1 DESC LIMIT 20"", 0) - 1)))"),"#N/A")</f>
        <v>#N/A</v>
      </c>
      <c r="H58" s="35" t="str">
        <f t="shared" si="6"/>
        <v/>
      </c>
      <c r="I58" s="36" t="str">
        <f t="shared" si="7"/>
        <v/>
      </c>
      <c r="J58" s="37" t="str">
        <f>IFERROR(__xludf.DUMMYFUNCTION("IFERROR(
  IF(C58="""",, 
    IFERROR(
      GOOGLEFINANCE(C58, ""price"") * GOOGLEFINANCE(C58, ""volumeavg""), 
      GOOGLEFINANCE(C58, ""price"") * AVERAGE(QUERY(GOOGLEFINANCE(C58, ""volume"", TODAY()-40, TODAY()), ""SELECT Col2 WHERE Col2 IS NOT NULL "&amp;"ORDER BY Col1 DESC LIMIT 20"", 0))
    )
  ), 
"""")"),"")</f>
        <v/>
      </c>
      <c r="K58" s="21" t="str">
        <f>IFERROR(__xludf.DUMMYFUNCTION("IFERROR(GOOGLEFINANCE(C58, ""changepct"") / 100, """")"),"")</f>
        <v/>
      </c>
      <c r="L58" s="21" t="str">
        <f>IFERROR(__xludf.DUMMYFUNCTION("IFERROR((GOOGLEFINANCE(C58, ""price"") / INDEX(GOOGLEFINANCE(C58, ""price"", TODAY()-7, TODAY()), 2, 2)) - 1, """")"),"")</f>
        <v/>
      </c>
      <c r="M58" s="21" t="str">
        <f>IFERROR(__xludf.DUMMYFUNCTION("IFERROR((GOOGLEFINANCE(C58, ""price"") / INDEX(GOOGLEFINANCE(C58, ""price"", EDATE(TODAY(), -1), TODAY()), 2, 2)) - 1, """")"),"")</f>
        <v/>
      </c>
      <c r="N58" s="21" t="str">
        <f>IFERROR(__xludf.DUMMYFUNCTION("IFERROR((GOOGLEFINANCE(C58, ""price"") / INDEX(GOOGLEFINANCE(C58, ""price"", EDATE(TODAY(), -3), TODAY()), 2, 2)) - 1, """")"),"")</f>
        <v/>
      </c>
      <c r="O58" s="21" t="str">
        <f>IFERROR(__xludf.DUMMYFUNCTION("IFERROR((GOOGLEFINANCE(C58, ""price"") / INDEX(GOOGLEFINANCE(C58, ""price"", EDATE(TODAY(), -6), TODAY()), 2, 2)) - 1, """")"),"")</f>
        <v/>
      </c>
      <c r="P58" s="21" t="str">
        <f>IFERROR(__xludf.DUMMYFUNCTION("IFERROR((GOOGLEFINANCE(C58, ""price"") / INDEX(GOOGLEFINANCE(C58, ""price"", EDATE(TODAY(), -12), TODAY()), 2, 2)) - 1, """")"),"")</f>
        <v/>
      </c>
      <c r="Q58" s="6" t="str">
        <f>IFERROR(__xludf.DUMMYFUNCTION("AVERAGE(QUERY(GOOGLEFINANCE(C58, ""price"", TODAY()-80, TODAY()), ""SELECT Col2 WHERE Col2 IS NOT NULL ORDER BY Col1 DESC LIMIT 50"", 0))"),"#N/A")</f>
        <v>#N/A</v>
      </c>
      <c r="R58" s="24" t="str">
        <f>IFERROR(__xludf.DUMMYFUNCTION("IFERROR(
  LET(
    data, QUERY(GOOGLEFINANCE(C58,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GOOGLEFINANCE(C58, ""price"")) * 100,
    IF(calc=0, G58, calc)
  ), 
G58)"),"#N/A")</f>
        <v>#N/A</v>
      </c>
      <c r="S58" s="8" t="s">
        <v>15</v>
      </c>
      <c r="T58" s="26" t="str">
        <f>IFERROR(__xludf.DUMMYFUNCTION("IFERROR(TRANSPOSE(QUERY(IFERROR(SORT(GOOGLEFINANCE(C58, ""price"", WORKDAY(TODAY(), -40), TODAY()), 1, FALSE)), ""select Col2 where Col2 is not null limit 22 label Col2 ''"", 0)), """")"),"")</f>
        <v/>
      </c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8"/>
      <c r="AO58" s="28"/>
      <c r="AP58" s="29"/>
      <c r="AQ58" s="29" t="str">
        <f t="shared" ref="AQ58:BL58" si="61">T58/T$2</f>
        <v>#N/A</v>
      </c>
      <c r="AR58" s="29" t="str">
        <f t="shared" si="61"/>
        <v>#DIV/0!</v>
      </c>
      <c r="AS58" s="29" t="str">
        <f t="shared" si="61"/>
        <v>#DIV/0!</v>
      </c>
      <c r="AT58" s="29" t="str">
        <f t="shared" si="61"/>
        <v>#DIV/0!</v>
      </c>
      <c r="AU58" s="29" t="str">
        <f t="shared" si="61"/>
        <v>#DIV/0!</v>
      </c>
      <c r="AV58" s="29" t="str">
        <f t="shared" si="61"/>
        <v>#DIV/0!</v>
      </c>
      <c r="AW58" s="29" t="str">
        <f t="shared" si="61"/>
        <v>#DIV/0!</v>
      </c>
      <c r="AX58" s="29" t="str">
        <f t="shared" si="61"/>
        <v>#DIV/0!</v>
      </c>
      <c r="AY58" s="29" t="str">
        <f t="shared" si="61"/>
        <v>#DIV/0!</v>
      </c>
      <c r="AZ58" s="29" t="str">
        <f t="shared" si="61"/>
        <v>#DIV/0!</v>
      </c>
      <c r="BA58" s="29" t="str">
        <f t="shared" si="61"/>
        <v>#DIV/0!</v>
      </c>
      <c r="BB58" s="29" t="str">
        <f t="shared" si="61"/>
        <v>#DIV/0!</v>
      </c>
      <c r="BC58" s="29" t="str">
        <f t="shared" si="61"/>
        <v>#DIV/0!</v>
      </c>
      <c r="BD58" s="29" t="str">
        <f t="shared" si="61"/>
        <v>#DIV/0!</v>
      </c>
      <c r="BE58" s="29" t="str">
        <f t="shared" si="61"/>
        <v>#DIV/0!</v>
      </c>
      <c r="BF58" s="29" t="str">
        <f t="shared" si="61"/>
        <v>#DIV/0!</v>
      </c>
      <c r="BG58" s="29" t="str">
        <f t="shared" si="61"/>
        <v>#DIV/0!</v>
      </c>
      <c r="BH58" s="29" t="str">
        <f t="shared" si="61"/>
        <v>#DIV/0!</v>
      </c>
      <c r="BI58" s="29" t="str">
        <f t="shared" si="61"/>
        <v>#DIV/0!</v>
      </c>
      <c r="BJ58" s="29" t="str">
        <f t="shared" si="61"/>
        <v>#DIV/0!</v>
      </c>
      <c r="BK58" s="29" t="str">
        <f t="shared" si="61"/>
        <v>#DIV/0!</v>
      </c>
      <c r="BL58" s="29" t="str">
        <f t="shared" si="61"/>
        <v>#DIV/0!</v>
      </c>
      <c r="BM58" s="29" t="str">
        <f t="shared" si="3"/>
        <v>#DIV/0!</v>
      </c>
    </row>
    <row r="59">
      <c r="A59" s="16" t="str">
        <f>IFERROR(__xludf.DUMMYFUNCTION("IFERROR(SPARKLINE(SORT(MAP(TRANSPOSE(AQ59:BL59), LAMBDA(val, IF(ISNUMBER(val), PERCENTRANK(AQ59:BL59, val)+0.01, 0))), SEQUENCE(COLUMNS(AQ59:BL59)), FALSE), {""charttype"",""column""; ""color"",""chartreuse""; ""ymin"", 0; ""ymax"", 1.01; ""highcolor"", "&amp;"""darkgreen""; ""lowcolor"", ""red""}), """")"),"")</f>
        <v/>
      </c>
      <c r="B59" s="17" t="str">
        <f t="shared" si="4"/>
        <v/>
      </c>
      <c r="C59" s="1" t="s">
        <v>1687</v>
      </c>
      <c r="D59" s="30" t="str">
        <f>IFERROR(__xludf.DUMMYFUNCTION("IFERROR(GOOGLEFINANCE(C59, ""NAME""))"),"Veracyte Inc")</f>
        <v>Veracyte Inc</v>
      </c>
      <c r="E59" s="30" t="s">
        <v>1499</v>
      </c>
      <c r="F59" s="38" t="str">
        <f>IFERROR(__xludf.DUMMYFUNCTION("( (GOOGLEFINANCE(C59, ""price"") - Q59) / Q59 ) / (R59 / 100)"),"Loading...")</f>
        <v>Loading...</v>
      </c>
      <c r="G59" s="20" t="str">
        <f>IFERROR(__xludf.DUMMYFUNCTION("AVERAGE(ARRAYFORMULA(100 * (QUERY(GOOGLEFINANCE(C59, ""high"", TODAY()-40, TODAY()), ""SELECT Col2 WHERE Col2 IS NOT NULL ORDER BY Col1 DESC LIMIT 20"", 0) / QUERY(GOOGLEFINANCE(C59, ""low"", TODAY()-40, TODAY()), ""SELECT Col2 WHERE Col2 IS NOT NULL ORDE"&amp;"R BY Col1 DESC LIMIT 20"", 0) - 1)))"),"#N/A")</f>
        <v>#N/A</v>
      </c>
      <c r="H59" s="35" t="str">
        <f t="shared" si="6"/>
        <v/>
      </c>
      <c r="I59" s="36" t="str">
        <f t="shared" si="7"/>
        <v/>
      </c>
      <c r="J59" s="37" t="str">
        <f>IFERROR(__xludf.DUMMYFUNCTION("IFERROR(
  IF(C59="""",, 
    IFERROR(
      GOOGLEFINANCE(C59, ""price"") * GOOGLEFINANCE(C59, ""volumeavg""), 
      GOOGLEFINANCE(C59, ""price"") * AVERAGE(QUERY(GOOGLEFINANCE(C59, ""volume"", TODAY()-40, TODAY()), ""SELECT Col2 WHERE Col2 IS NOT NULL "&amp;"ORDER BY Col1 DESC LIMIT 20"", 0))
    )
  ), 
"""")"),"")</f>
        <v/>
      </c>
      <c r="K59" s="21" t="str">
        <f>IFERROR(__xludf.DUMMYFUNCTION("IFERROR(GOOGLEFINANCE(C59, ""changepct"") / 100, """")"),"")</f>
        <v/>
      </c>
      <c r="L59" s="21" t="str">
        <f>IFERROR(__xludf.DUMMYFUNCTION("IFERROR((GOOGLEFINANCE(C59, ""price"") / INDEX(GOOGLEFINANCE(C59, ""price"", TODAY()-7, TODAY()), 2, 2)) - 1, """")"),"")</f>
        <v/>
      </c>
      <c r="M59" s="21" t="str">
        <f>IFERROR(__xludf.DUMMYFUNCTION("IFERROR((GOOGLEFINANCE(C59, ""price"") / INDEX(GOOGLEFINANCE(C59, ""price"", EDATE(TODAY(), -1), TODAY()), 2, 2)) - 1, """")"),"")</f>
        <v/>
      </c>
      <c r="N59" s="21" t="str">
        <f>IFERROR(__xludf.DUMMYFUNCTION("IFERROR((GOOGLEFINANCE(C59, ""price"") / INDEX(GOOGLEFINANCE(C59, ""price"", EDATE(TODAY(), -3), TODAY()), 2, 2)) - 1, """")"),"")</f>
        <v/>
      </c>
      <c r="O59" s="21" t="str">
        <f>IFERROR(__xludf.DUMMYFUNCTION("IFERROR((GOOGLEFINANCE(C59, ""price"") / INDEX(GOOGLEFINANCE(C59, ""price"", EDATE(TODAY(), -6), TODAY()), 2, 2)) - 1, """")"),"")</f>
        <v/>
      </c>
      <c r="P59" s="21" t="str">
        <f>IFERROR(__xludf.DUMMYFUNCTION("IFERROR((GOOGLEFINANCE(C59, ""price"") / INDEX(GOOGLEFINANCE(C59, ""price"", EDATE(TODAY(), -12), TODAY()), 2, 2)) - 1, """")"),"")</f>
        <v/>
      </c>
      <c r="Q59" s="6" t="str">
        <f>IFERROR(__xludf.DUMMYFUNCTION("AVERAGE(QUERY(GOOGLEFINANCE(C59, ""price"", TODAY()-80, TODAY()), ""SELECT Col2 WHERE Col2 IS NOT NULL ORDER BY Col1 DESC LIMIT 50"", 0))"),"#N/A")</f>
        <v>#N/A</v>
      </c>
      <c r="R59" s="24" t="str">
        <f>IFERROR(__xludf.DUMMYFUNCTION("IFERROR(
  LET(
    data, QUERY(GOOGLEFINANCE(C59,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GOOGLEFINANCE(C59, ""price"")) * 100,
    IF(calc=0, G59, calc)
  ), 
G59)"),"#N/A")</f>
        <v>#N/A</v>
      </c>
      <c r="S59" s="8" t="s">
        <v>15</v>
      </c>
      <c r="T59" s="26" t="str">
        <f>IFERROR(__xludf.DUMMYFUNCTION("IFERROR(TRANSPOSE(QUERY(IFERROR(SORT(GOOGLEFINANCE(C59, ""price"", WORKDAY(TODAY(), -40), TODAY()), 1, FALSE)), ""select Col2 where Col2 is not null limit 22 label Col2 ''"", 0)), """")"),"")</f>
        <v/>
      </c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8"/>
      <c r="AO59" s="28"/>
      <c r="AP59" s="29"/>
      <c r="AQ59" s="29" t="str">
        <f t="shared" ref="AQ59:BL59" si="62">T59/T$2</f>
        <v>#N/A</v>
      </c>
      <c r="AR59" s="29" t="str">
        <f t="shared" si="62"/>
        <v>#DIV/0!</v>
      </c>
      <c r="AS59" s="29" t="str">
        <f t="shared" si="62"/>
        <v>#DIV/0!</v>
      </c>
      <c r="AT59" s="29" t="str">
        <f t="shared" si="62"/>
        <v>#DIV/0!</v>
      </c>
      <c r="AU59" s="29" t="str">
        <f t="shared" si="62"/>
        <v>#DIV/0!</v>
      </c>
      <c r="AV59" s="29" t="str">
        <f t="shared" si="62"/>
        <v>#DIV/0!</v>
      </c>
      <c r="AW59" s="29" t="str">
        <f t="shared" si="62"/>
        <v>#DIV/0!</v>
      </c>
      <c r="AX59" s="29" t="str">
        <f t="shared" si="62"/>
        <v>#DIV/0!</v>
      </c>
      <c r="AY59" s="29" t="str">
        <f t="shared" si="62"/>
        <v>#DIV/0!</v>
      </c>
      <c r="AZ59" s="29" t="str">
        <f t="shared" si="62"/>
        <v>#DIV/0!</v>
      </c>
      <c r="BA59" s="29" t="str">
        <f t="shared" si="62"/>
        <v>#DIV/0!</v>
      </c>
      <c r="BB59" s="29" t="str">
        <f t="shared" si="62"/>
        <v>#DIV/0!</v>
      </c>
      <c r="BC59" s="29" t="str">
        <f t="shared" si="62"/>
        <v>#DIV/0!</v>
      </c>
      <c r="BD59" s="29" t="str">
        <f t="shared" si="62"/>
        <v>#DIV/0!</v>
      </c>
      <c r="BE59" s="29" t="str">
        <f t="shared" si="62"/>
        <v>#DIV/0!</v>
      </c>
      <c r="BF59" s="29" t="str">
        <f t="shared" si="62"/>
        <v>#DIV/0!</v>
      </c>
      <c r="BG59" s="29" t="str">
        <f t="shared" si="62"/>
        <v>#DIV/0!</v>
      </c>
      <c r="BH59" s="29" t="str">
        <f t="shared" si="62"/>
        <v>#DIV/0!</v>
      </c>
      <c r="BI59" s="29" t="str">
        <f t="shared" si="62"/>
        <v>#DIV/0!</v>
      </c>
      <c r="BJ59" s="29" t="str">
        <f t="shared" si="62"/>
        <v>#DIV/0!</v>
      </c>
      <c r="BK59" s="29" t="str">
        <f t="shared" si="62"/>
        <v>#DIV/0!</v>
      </c>
      <c r="BL59" s="29" t="str">
        <f t="shared" si="62"/>
        <v>#DIV/0!</v>
      </c>
      <c r="BM59" s="29" t="str">
        <f t="shared" si="3"/>
        <v>#DIV/0!</v>
      </c>
    </row>
    <row r="60">
      <c r="A60" s="16" t="str">
        <f>IFERROR(__xludf.DUMMYFUNCTION("IFERROR(SPARKLINE(SORT(MAP(TRANSPOSE(AQ60:BL60), LAMBDA(val, IF(ISNUMBER(val), PERCENTRANK(AQ60:BL60, val)+0.01, 0))), SEQUENCE(COLUMNS(AQ60:BL60)), FALSE), {""charttype"",""column""; ""color"",""chartreuse""; ""ymin"", 0; ""ymax"", 1.01; ""highcolor"", "&amp;"""darkgreen""; ""lowcolor"", ""red""}), """")"),"")</f>
        <v/>
      </c>
      <c r="B60" s="17" t="str">
        <f t="shared" si="4"/>
        <v/>
      </c>
      <c r="C60" s="1" t="s">
        <v>1692</v>
      </c>
      <c r="D60" s="30" t="str">
        <f>IFERROR(__xludf.DUMMYFUNCTION("IFERROR(GOOGLEFINANCE(C60, ""NAME""))"),"Topicus.Com Inc")</f>
        <v>Topicus.Com Inc</v>
      </c>
      <c r="E60" s="30" t="s">
        <v>1513</v>
      </c>
      <c r="F60" s="33" t="str">
        <f>IFERROR(__xludf.DUMMYFUNCTION("( (GOOGLEFINANCE(C60, ""price"") - Q60) / Q60 ) / (R60 / 100)"),"Loading...")</f>
        <v>Loading...</v>
      </c>
      <c r="G60" s="20" t="str">
        <f>IFERROR(__xludf.DUMMYFUNCTION("AVERAGE(ARRAYFORMULA(100 * (QUERY(GOOGLEFINANCE(C60, ""high"", TODAY()-40, TODAY()), ""SELECT Col2 WHERE Col2 IS NOT NULL ORDER BY Col1 DESC LIMIT 20"", 0) / QUERY(GOOGLEFINANCE(C60, ""low"", TODAY()-40, TODAY()), ""SELECT Col2 WHERE Col2 IS NOT NULL ORDE"&amp;"R BY Col1 DESC LIMIT 20"", 0) - 1)))"),"#N/A")</f>
        <v>#N/A</v>
      </c>
      <c r="H60" s="35" t="str">
        <f t="shared" si="6"/>
        <v/>
      </c>
      <c r="I60" s="36" t="str">
        <f t="shared" si="7"/>
        <v/>
      </c>
      <c r="J60" s="37" t="str">
        <f>IFERROR(__xludf.DUMMYFUNCTION("IFERROR(
  IF(C60="""",, 
    IFERROR(
      GOOGLEFINANCE(C60, ""price"") * GOOGLEFINANCE(C60, ""volumeavg""), 
      GOOGLEFINANCE(C60, ""price"") * AVERAGE(QUERY(GOOGLEFINANCE(C60, ""volume"", TODAY()-40, TODAY()), ""SELECT Col2 WHERE Col2 IS NOT NULL "&amp;"ORDER BY Col1 DESC LIMIT 20"", 0))
    )
  ), 
"""")"),"")</f>
        <v/>
      </c>
      <c r="K60" s="21" t="str">
        <f>IFERROR(__xludf.DUMMYFUNCTION("IFERROR(GOOGLEFINANCE(C60, ""changepct"") / 100, """")"),"")</f>
        <v/>
      </c>
      <c r="L60" s="21" t="str">
        <f>IFERROR(__xludf.DUMMYFUNCTION("IFERROR((GOOGLEFINANCE(C60, ""price"") / INDEX(GOOGLEFINANCE(C60, ""price"", TODAY()-7, TODAY()), 2, 2)) - 1, """")"),"")</f>
        <v/>
      </c>
      <c r="M60" s="21" t="str">
        <f>IFERROR(__xludf.DUMMYFUNCTION("IFERROR((GOOGLEFINANCE(C60, ""price"") / INDEX(GOOGLEFINANCE(C60, ""price"", EDATE(TODAY(), -1), TODAY()), 2, 2)) - 1, """")"),"")</f>
        <v/>
      </c>
      <c r="N60" s="21" t="str">
        <f>IFERROR(__xludf.DUMMYFUNCTION("IFERROR((GOOGLEFINANCE(C60, ""price"") / INDEX(GOOGLEFINANCE(C60, ""price"", EDATE(TODAY(), -3), TODAY()), 2, 2)) - 1, """")"),"")</f>
        <v/>
      </c>
      <c r="O60" s="21" t="str">
        <f>IFERROR(__xludf.DUMMYFUNCTION("IFERROR((GOOGLEFINANCE(C60, ""price"") / INDEX(GOOGLEFINANCE(C60, ""price"", EDATE(TODAY(), -6), TODAY()), 2, 2)) - 1, """")"),"")</f>
        <v/>
      </c>
      <c r="P60" s="21" t="str">
        <f>IFERROR(__xludf.DUMMYFUNCTION("IFERROR((GOOGLEFINANCE(C60, ""price"") / INDEX(GOOGLEFINANCE(C60, ""price"", EDATE(TODAY(), -12), TODAY()), 2, 2)) - 1, """")"),"")</f>
        <v/>
      </c>
      <c r="Q60" s="6" t="str">
        <f>IFERROR(__xludf.DUMMYFUNCTION("AVERAGE(QUERY(GOOGLEFINANCE(C60, ""price"", TODAY()-80, TODAY()), ""SELECT Col2 WHERE Col2 IS NOT NULL ORDER BY Col1 DESC LIMIT 50"", 0))"),"#N/A")</f>
        <v>#N/A</v>
      </c>
      <c r="R60" s="24" t="str">
        <f>IFERROR(__xludf.DUMMYFUNCTION("IFERROR(
  LET(
    data, QUERY(GOOGLEFINANCE(C60,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GOOGLEFINANCE(C60, ""price"")) * 100,
    IF(calc=0, G60, calc)
  ), 
G60)"),"#N/A")</f>
        <v>#N/A</v>
      </c>
      <c r="S60" s="8" t="s">
        <v>15</v>
      </c>
      <c r="T60" s="26" t="str">
        <f>IFERROR(__xludf.DUMMYFUNCTION("IFERROR(TRANSPOSE(QUERY(IFERROR(SORT(GOOGLEFINANCE(C60, ""price"", WORKDAY(TODAY(), -40), TODAY()), 1, FALSE)), ""select Col2 where Col2 is not null limit 22 label Col2 ''"", 0)), """")"),"")</f>
        <v/>
      </c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8"/>
      <c r="AO60" s="28"/>
      <c r="AP60" s="29"/>
      <c r="AQ60" s="29" t="str">
        <f t="shared" ref="AQ60:BL60" si="63">T60/T$2</f>
        <v>#N/A</v>
      </c>
      <c r="AR60" s="29" t="str">
        <f t="shared" si="63"/>
        <v>#DIV/0!</v>
      </c>
      <c r="AS60" s="29" t="str">
        <f t="shared" si="63"/>
        <v>#DIV/0!</v>
      </c>
      <c r="AT60" s="29" t="str">
        <f t="shared" si="63"/>
        <v>#DIV/0!</v>
      </c>
      <c r="AU60" s="29" t="str">
        <f t="shared" si="63"/>
        <v>#DIV/0!</v>
      </c>
      <c r="AV60" s="29" t="str">
        <f t="shared" si="63"/>
        <v>#DIV/0!</v>
      </c>
      <c r="AW60" s="29" t="str">
        <f t="shared" si="63"/>
        <v>#DIV/0!</v>
      </c>
      <c r="AX60" s="29" t="str">
        <f t="shared" si="63"/>
        <v>#DIV/0!</v>
      </c>
      <c r="AY60" s="29" t="str">
        <f t="shared" si="63"/>
        <v>#DIV/0!</v>
      </c>
      <c r="AZ60" s="29" t="str">
        <f t="shared" si="63"/>
        <v>#DIV/0!</v>
      </c>
      <c r="BA60" s="29" t="str">
        <f t="shared" si="63"/>
        <v>#DIV/0!</v>
      </c>
      <c r="BB60" s="29" t="str">
        <f t="shared" si="63"/>
        <v>#DIV/0!</v>
      </c>
      <c r="BC60" s="29" t="str">
        <f t="shared" si="63"/>
        <v>#DIV/0!</v>
      </c>
      <c r="BD60" s="29" t="str">
        <f t="shared" si="63"/>
        <v>#DIV/0!</v>
      </c>
      <c r="BE60" s="29" t="str">
        <f t="shared" si="63"/>
        <v>#DIV/0!</v>
      </c>
      <c r="BF60" s="29" t="str">
        <f t="shared" si="63"/>
        <v>#DIV/0!</v>
      </c>
      <c r="BG60" s="29" t="str">
        <f t="shared" si="63"/>
        <v>#DIV/0!</v>
      </c>
      <c r="BH60" s="29" t="str">
        <f t="shared" si="63"/>
        <v>#DIV/0!</v>
      </c>
      <c r="BI60" s="29" t="str">
        <f t="shared" si="63"/>
        <v>#DIV/0!</v>
      </c>
      <c r="BJ60" s="29" t="str">
        <f t="shared" si="63"/>
        <v>#DIV/0!</v>
      </c>
      <c r="BK60" s="29" t="str">
        <f t="shared" si="63"/>
        <v>#DIV/0!</v>
      </c>
      <c r="BL60" s="29" t="str">
        <f t="shared" si="63"/>
        <v>#DIV/0!</v>
      </c>
      <c r="BM60" s="29" t="str">
        <f t="shared" si="3"/>
        <v>#DIV/0!</v>
      </c>
    </row>
    <row r="61">
      <c r="A61" s="16" t="str">
        <f>IFERROR(__xludf.DUMMYFUNCTION("IFERROR(SPARKLINE(SORT(MAP(TRANSPOSE(AQ61:BL61), LAMBDA(val, IF(ISNUMBER(val), PERCENTRANK(AQ61:BL61, val)+0.01, 0))), SEQUENCE(COLUMNS(AQ61:BL61)), FALSE), {""charttype"",""column""; ""color"",""chartreuse""; ""ymin"", 0; ""ymax"", 1.01; ""highcolor"", "&amp;"""darkgreen""; ""lowcolor"", ""red""}), """")"),"")</f>
        <v/>
      </c>
      <c r="B61" s="17" t="str">
        <f t="shared" si="4"/>
        <v/>
      </c>
      <c r="C61" s="1" t="s">
        <v>1695</v>
      </c>
      <c r="D61" s="30" t="str">
        <f>IFERROR(__xludf.DUMMYFUNCTION("IFERROR(GOOGLEFINANCE(C61, ""NAME""))"),"Eli Lilly And Co")</f>
        <v>Eli Lilly And Co</v>
      </c>
      <c r="E61" s="30" t="s">
        <v>1509</v>
      </c>
      <c r="F61" s="33" t="str">
        <f>IFERROR(__xludf.DUMMYFUNCTION("( (GOOGLEFINANCE(C61, ""price"") - Q61) / Q61 ) / (R61 / 100)"),"Loading...")</f>
        <v>Loading...</v>
      </c>
      <c r="G61" s="20" t="str">
        <f>IFERROR(__xludf.DUMMYFUNCTION("AVERAGE(ARRAYFORMULA(100 * (QUERY(GOOGLEFINANCE(C61, ""high"", TODAY()-40, TODAY()), ""SELECT Col2 WHERE Col2 IS NOT NULL ORDER BY Col1 DESC LIMIT 20"", 0) / QUERY(GOOGLEFINANCE(C61, ""low"", TODAY()-40, TODAY()), ""SELECT Col2 WHERE Col2 IS NOT NULL ORDE"&amp;"R BY Col1 DESC LIMIT 20"", 0) - 1)))"),"#N/A")</f>
        <v>#N/A</v>
      </c>
      <c r="H61" s="35" t="str">
        <f t="shared" si="6"/>
        <v/>
      </c>
      <c r="I61" s="36" t="str">
        <f t="shared" si="7"/>
        <v/>
      </c>
      <c r="J61" s="37" t="str">
        <f>IFERROR(__xludf.DUMMYFUNCTION("IFERROR(
  IF(C61="""",, 
    IFERROR(
      GOOGLEFINANCE(C61, ""price"") * GOOGLEFINANCE(C61, ""volumeavg""), 
      GOOGLEFINANCE(C61, ""price"") * AVERAGE(QUERY(GOOGLEFINANCE(C61, ""volume"", TODAY()-40, TODAY()), ""SELECT Col2 WHERE Col2 IS NOT NULL "&amp;"ORDER BY Col1 DESC LIMIT 20"", 0))
    )
  ), 
"""")"),"")</f>
        <v/>
      </c>
      <c r="K61" s="21" t="str">
        <f>IFERROR(__xludf.DUMMYFUNCTION("IFERROR(GOOGLEFINANCE(C61, ""changepct"") / 100, """")"),"")</f>
        <v/>
      </c>
      <c r="L61" s="21" t="str">
        <f>IFERROR(__xludf.DUMMYFUNCTION("IFERROR((GOOGLEFINANCE(C61, ""price"") / INDEX(GOOGLEFINANCE(C61, ""price"", TODAY()-7, TODAY()), 2, 2)) - 1, """")"),"")</f>
        <v/>
      </c>
      <c r="M61" s="21" t="str">
        <f>IFERROR(__xludf.DUMMYFUNCTION("IFERROR((GOOGLEFINANCE(C61, ""price"") / INDEX(GOOGLEFINANCE(C61, ""price"", EDATE(TODAY(), -1), TODAY()), 2, 2)) - 1, """")"),"")</f>
        <v/>
      </c>
      <c r="N61" s="21" t="str">
        <f>IFERROR(__xludf.DUMMYFUNCTION("IFERROR((GOOGLEFINANCE(C61, ""price"") / INDEX(GOOGLEFINANCE(C61, ""price"", EDATE(TODAY(), -3), TODAY()), 2, 2)) - 1, """")"),"")</f>
        <v/>
      </c>
      <c r="O61" s="21" t="str">
        <f>IFERROR(__xludf.DUMMYFUNCTION("IFERROR((GOOGLEFINANCE(C61, ""price"") / INDEX(GOOGLEFINANCE(C61, ""price"", EDATE(TODAY(), -6), TODAY()), 2, 2)) - 1, """")"),"")</f>
        <v/>
      </c>
      <c r="P61" s="21" t="str">
        <f>IFERROR(__xludf.DUMMYFUNCTION("IFERROR((GOOGLEFINANCE(C61, ""price"") / INDEX(GOOGLEFINANCE(C61, ""price"", EDATE(TODAY(), -12), TODAY()), 2, 2)) - 1, """")"),"")</f>
        <v/>
      </c>
      <c r="Q61" s="6" t="str">
        <f>IFERROR(__xludf.DUMMYFUNCTION("AVERAGE(QUERY(GOOGLEFINANCE(C61, ""price"", TODAY()-80, TODAY()), ""SELECT Col2 WHERE Col2 IS NOT NULL ORDER BY Col1 DESC LIMIT 50"", 0))"),"#N/A")</f>
        <v>#N/A</v>
      </c>
      <c r="R61" s="24" t="str">
        <f>IFERROR(__xludf.DUMMYFUNCTION("IFERROR(
  LET(
    data, QUERY(GOOGLEFINANCE(C61,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GOOGLEFINANCE(C61, ""price"")) * 100,
    IF(calc=0, G61, calc)
  ), 
G61)"),"#N/A")</f>
        <v>#N/A</v>
      </c>
      <c r="S61" s="8" t="s">
        <v>15</v>
      </c>
      <c r="T61" s="26" t="str">
        <f>IFERROR(__xludf.DUMMYFUNCTION("IFERROR(TRANSPOSE(QUERY(IFERROR(SORT(GOOGLEFINANCE(C61, ""price"", WORKDAY(TODAY(), -40), TODAY()), 1, FALSE)), ""select Col2 where Col2 is not null limit 22 label Col2 ''"", 0)), """")"),"")</f>
        <v/>
      </c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8"/>
      <c r="AO61" s="28"/>
      <c r="AP61" s="29"/>
      <c r="AQ61" s="29" t="str">
        <f t="shared" ref="AQ61:BL61" si="64">T61/T$2</f>
        <v>#N/A</v>
      </c>
      <c r="AR61" s="29" t="str">
        <f t="shared" si="64"/>
        <v>#DIV/0!</v>
      </c>
      <c r="AS61" s="29" t="str">
        <f t="shared" si="64"/>
        <v>#DIV/0!</v>
      </c>
      <c r="AT61" s="29" t="str">
        <f t="shared" si="64"/>
        <v>#DIV/0!</v>
      </c>
      <c r="AU61" s="29" t="str">
        <f t="shared" si="64"/>
        <v>#DIV/0!</v>
      </c>
      <c r="AV61" s="29" t="str">
        <f t="shared" si="64"/>
        <v>#DIV/0!</v>
      </c>
      <c r="AW61" s="29" t="str">
        <f t="shared" si="64"/>
        <v>#DIV/0!</v>
      </c>
      <c r="AX61" s="29" t="str">
        <f t="shared" si="64"/>
        <v>#DIV/0!</v>
      </c>
      <c r="AY61" s="29" t="str">
        <f t="shared" si="64"/>
        <v>#DIV/0!</v>
      </c>
      <c r="AZ61" s="29" t="str">
        <f t="shared" si="64"/>
        <v>#DIV/0!</v>
      </c>
      <c r="BA61" s="29" t="str">
        <f t="shared" si="64"/>
        <v>#DIV/0!</v>
      </c>
      <c r="BB61" s="29" t="str">
        <f t="shared" si="64"/>
        <v>#DIV/0!</v>
      </c>
      <c r="BC61" s="29" t="str">
        <f t="shared" si="64"/>
        <v>#DIV/0!</v>
      </c>
      <c r="BD61" s="29" t="str">
        <f t="shared" si="64"/>
        <v>#DIV/0!</v>
      </c>
      <c r="BE61" s="29" t="str">
        <f t="shared" si="64"/>
        <v>#DIV/0!</v>
      </c>
      <c r="BF61" s="29" t="str">
        <f t="shared" si="64"/>
        <v>#DIV/0!</v>
      </c>
      <c r="BG61" s="29" t="str">
        <f t="shared" si="64"/>
        <v>#DIV/0!</v>
      </c>
      <c r="BH61" s="29" t="str">
        <f t="shared" si="64"/>
        <v>#DIV/0!</v>
      </c>
      <c r="BI61" s="29" t="str">
        <f t="shared" si="64"/>
        <v>#DIV/0!</v>
      </c>
      <c r="BJ61" s="29" t="str">
        <f t="shared" si="64"/>
        <v>#DIV/0!</v>
      </c>
      <c r="BK61" s="29" t="str">
        <f t="shared" si="64"/>
        <v>#DIV/0!</v>
      </c>
      <c r="BL61" s="29" t="str">
        <f t="shared" si="64"/>
        <v>#DIV/0!</v>
      </c>
      <c r="BM61" s="29" t="str">
        <f t="shared" si="3"/>
        <v>#DIV/0!</v>
      </c>
    </row>
    <row r="62">
      <c r="A62" s="16" t="str">
        <f>IFERROR(__xludf.DUMMYFUNCTION("IFERROR(SPARKLINE(SORT(MAP(TRANSPOSE(AQ62:BL62), LAMBDA(val, IF(ISNUMBER(val), PERCENTRANK(AQ62:BL62, val)+0.01, 0))), SEQUENCE(COLUMNS(AQ62:BL62)), FALSE), {""charttype"",""column""; ""color"",""chartreuse""; ""ymin"", 0; ""ymax"", 1.01; ""highcolor"", "&amp;"""darkgreen""; ""lowcolor"", ""red""}), """")"),"")</f>
        <v/>
      </c>
      <c r="B62" s="17" t="str">
        <f t="shared" si="4"/>
        <v/>
      </c>
      <c r="C62" s="1" t="s">
        <v>1699</v>
      </c>
      <c r="D62" s="30" t="str">
        <f>IFERROR(__xludf.DUMMYFUNCTION("IFERROR(GOOGLEFINANCE(C62, ""NAME""))"),"Owlet Inc")</f>
        <v>Owlet Inc</v>
      </c>
      <c r="E62" s="30" t="s">
        <v>1491</v>
      </c>
      <c r="F62" s="33" t="str">
        <f>IFERROR(__xludf.DUMMYFUNCTION("( (GOOGLEFINANCE(C62, ""price"") - Q62) / Q62 ) / (R62 / 100)"),"Loading...")</f>
        <v>Loading...</v>
      </c>
      <c r="G62" s="20" t="str">
        <f>IFERROR(__xludf.DUMMYFUNCTION("AVERAGE(ARRAYFORMULA(100 * (QUERY(GOOGLEFINANCE(C62, ""high"", TODAY()-40, TODAY()), ""SELECT Col2 WHERE Col2 IS NOT NULL ORDER BY Col1 DESC LIMIT 20"", 0) / QUERY(GOOGLEFINANCE(C62, ""low"", TODAY()-40, TODAY()), ""SELECT Col2 WHERE Col2 IS NOT NULL ORDE"&amp;"R BY Col1 DESC LIMIT 20"", 0) - 1)))"),"#N/A")</f>
        <v>#N/A</v>
      </c>
      <c r="H62" s="35" t="str">
        <f t="shared" si="6"/>
        <v/>
      </c>
      <c r="I62" s="36" t="str">
        <f t="shared" si="7"/>
        <v/>
      </c>
      <c r="J62" s="37" t="str">
        <f>IFERROR(__xludf.DUMMYFUNCTION("IFERROR(
  IF(C62="""",, 
    IFERROR(
      GOOGLEFINANCE(C62, ""price"") * GOOGLEFINANCE(C62, ""volumeavg""), 
      GOOGLEFINANCE(C62, ""price"") * AVERAGE(QUERY(GOOGLEFINANCE(C62, ""volume"", TODAY()-40, TODAY()), ""SELECT Col2 WHERE Col2 IS NOT NULL "&amp;"ORDER BY Col1 DESC LIMIT 20"", 0))
    )
  ), 
"""")"),"")</f>
        <v/>
      </c>
      <c r="K62" s="21" t="str">
        <f>IFERROR(__xludf.DUMMYFUNCTION("IFERROR(GOOGLEFINANCE(C62, ""changepct"") / 100, """")"),"")</f>
        <v/>
      </c>
      <c r="L62" s="21" t="str">
        <f>IFERROR(__xludf.DUMMYFUNCTION("IFERROR((GOOGLEFINANCE(C62, ""price"") / INDEX(GOOGLEFINANCE(C62, ""price"", TODAY()-7, TODAY()), 2, 2)) - 1, """")"),"")</f>
        <v/>
      </c>
      <c r="M62" s="21" t="str">
        <f>IFERROR(__xludf.DUMMYFUNCTION("IFERROR((GOOGLEFINANCE(C62, ""price"") / INDEX(GOOGLEFINANCE(C62, ""price"", EDATE(TODAY(), -1), TODAY()), 2, 2)) - 1, """")"),"")</f>
        <v/>
      </c>
      <c r="N62" s="21" t="str">
        <f>IFERROR(__xludf.DUMMYFUNCTION("IFERROR((GOOGLEFINANCE(C62, ""price"") / INDEX(GOOGLEFINANCE(C62, ""price"", EDATE(TODAY(), -3), TODAY()), 2, 2)) - 1, """")"),"")</f>
        <v/>
      </c>
      <c r="O62" s="21" t="str">
        <f>IFERROR(__xludf.DUMMYFUNCTION("IFERROR((GOOGLEFINANCE(C62, ""price"") / INDEX(GOOGLEFINANCE(C62, ""price"", EDATE(TODAY(), -6), TODAY()), 2, 2)) - 1, """")"),"")</f>
        <v/>
      </c>
      <c r="P62" s="21" t="str">
        <f>IFERROR(__xludf.DUMMYFUNCTION("IFERROR((GOOGLEFINANCE(C62, ""price"") / INDEX(GOOGLEFINANCE(C62, ""price"", EDATE(TODAY(), -12), TODAY()), 2, 2)) - 1, """")"),"")</f>
        <v/>
      </c>
      <c r="Q62" s="6" t="str">
        <f>IFERROR(__xludf.DUMMYFUNCTION("AVERAGE(QUERY(GOOGLEFINANCE(C62, ""price"", TODAY()-80, TODAY()), ""SELECT Col2 WHERE Col2 IS NOT NULL ORDER BY Col1 DESC LIMIT 50"", 0))"),"#N/A")</f>
        <v>#N/A</v>
      </c>
      <c r="R62" s="24" t="str">
        <f>IFERROR(__xludf.DUMMYFUNCTION("IFERROR(
  LET(
    data, QUERY(GOOGLEFINANCE(C62,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GOOGLEFINANCE(C62, ""price"")) * 100,
    IF(calc=0, G62, calc)
  ), 
G62)"),"#N/A")</f>
        <v>#N/A</v>
      </c>
      <c r="S62" s="8" t="s">
        <v>15</v>
      </c>
      <c r="T62" s="26" t="str">
        <f>IFERROR(__xludf.DUMMYFUNCTION("IFERROR(TRANSPOSE(QUERY(IFERROR(SORT(GOOGLEFINANCE(C62, ""price"", WORKDAY(TODAY(), -40), TODAY()), 1, FALSE)), ""select Col2 where Col2 is not null limit 22 label Col2 ''"", 0)), """")"),"")</f>
        <v/>
      </c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8"/>
      <c r="AO62" s="28"/>
      <c r="AP62" s="29"/>
      <c r="AQ62" s="29" t="str">
        <f t="shared" ref="AQ62:BL62" si="65">T62/T$2</f>
        <v>#N/A</v>
      </c>
      <c r="AR62" s="29" t="str">
        <f t="shared" si="65"/>
        <v>#DIV/0!</v>
      </c>
      <c r="AS62" s="29" t="str">
        <f t="shared" si="65"/>
        <v>#DIV/0!</v>
      </c>
      <c r="AT62" s="29" t="str">
        <f t="shared" si="65"/>
        <v>#DIV/0!</v>
      </c>
      <c r="AU62" s="29" t="str">
        <f t="shared" si="65"/>
        <v>#DIV/0!</v>
      </c>
      <c r="AV62" s="29" t="str">
        <f t="shared" si="65"/>
        <v>#DIV/0!</v>
      </c>
      <c r="AW62" s="29" t="str">
        <f t="shared" si="65"/>
        <v>#DIV/0!</v>
      </c>
      <c r="AX62" s="29" t="str">
        <f t="shared" si="65"/>
        <v>#DIV/0!</v>
      </c>
      <c r="AY62" s="29" t="str">
        <f t="shared" si="65"/>
        <v>#DIV/0!</v>
      </c>
      <c r="AZ62" s="29" t="str">
        <f t="shared" si="65"/>
        <v>#DIV/0!</v>
      </c>
      <c r="BA62" s="29" t="str">
        <f t="shared" si="65"/>
        <v>#DIV/0!</v>
      </c>
      <c r="BB62" s="29" t="str">
        <f t="shared" si="65"/>
        <v>#DIV/0!</v>
      </c>
      <c r="BC62" s="29" t="str">
        <f t="shared" si="65"/>
        <v>#DIV/0!</v>
      </c>
      <c r="BD62" s="29" t="str">
        <f t="shared" si="65"/>
        <v>#DIV/0!</v>
      </c>
      <c r="BE62" s="29" t="str">
        <f t="shared" si="65"/>
        <v>#DIV/0!</v>
      </c>
      <c r="BF62" s="29" t="str">
        <f t="shared" si="65"/>
        <v>#DIV/0!</v>
      </c>
      <c r="BG62" s="29" t="str">
        <f t="shared" si="65"/>
        <v>#DIV/0!</v>
      </c>
      <c r="BH62" s="29" t="str">
        <f t="shared" si="65"/>
        <v>#DIV/0!</v>
      </c>
      <c r="BI62" s="29" t="str">
        <f t="shared" si="65"/>
        <v>#DIV/0!</v>
      </c>
      <c r="BJ62" s="29" t="str">
        <f t="shared" si="65"/>
        <v>#DIV/0!</v>
      </c>
      <c r="BK62" s="29" t="str">
        <f t="shared" si="65"/>
        <v>#DIV/0!</v>
      </c>
      <c r="BL62" s="29" t="str">
        <f t="shared" si="65"/>
        <v>#DIV/0!</v>
      </c>
      <c r="BM62" s="29" t="str">
        <f t="shared" si="3"/>
        <v>#DIV/0!</v>
      </c>
    </row>
    <row r="63">
      <c r="A63" s="16" t="str">
        <f>IFERROR(__xludf.DUMMYFUNCTION("IFERROR(SPARKLINE(SORT(MAP(TRANSPOSE(AQ63:BL63), LAMBDA(val, IF(ISNUMBER(val), PERCENTRANK(AQ63:BL63, val)+0.01, 0))), SEQUENCE(COLUMNS(AQ63:BL63)), FALSE), {""charttype"",""column""; ""color"",""chartreuse""; ""ymin"", 0; ""ymax"", 1.01; ""highcolor"", "&amp;"""darkgreen""; ""lowcolor"", ""red""}), """")"),"")</f>
        <v/>
      </c>
      <c r="B63" s="17" t="str">
        <f t="shared" si="4"/>
        <v/>
      </c>
      <c r="C63" s="1" t="s">
        <v>1703</v>
      </c>
      <c r="D63" s="30" t="str">
        <f>IFERROR(__xludf.DUMMYFUNCTION("IFERROR(GOOGLEFINANCE(C63, ""NAME""))"),"Stevanato Group SpA")</f>
        <v>Stevanato Group SpA</v>
      </c>
      <c r="E63" s="30" t="s">
        <v>1502</v>
      </c>
      <c r="F63" s="33" t="str">
        <f>IFERROR(__xludf.DUMMYFUNCTION("( (GOOGLEFINANCE(C63, ""price"") - Q63) / Q63 ) / (R63 / 100)"),"Loading...")</f>
        <v>Loading...</v>
      </c>
      <c r="G63" s="20" t="str">
        <f>IFERROR(__xludf.DUMMYFUNCTION("AVERAGE(ARRAYFORMULA(100 * (QUERY(GOOGLEFINANCE(C63, ""high"", TODAY()-40, TODAY()), ""SELECT Col2 WHERE Col2 IS NOT NULL ORDER BY Col1 DESC LIMIT 20"", 0) / QUERY(GOOGLEFINANCE(C63, ""low"", TODAY()-40, TODAY()), ""SELECT Col2 WHERE Col2 IS NOT NULL ORDE"&amp;"R BY Col1 DESC LIMIT 20"", 0) - 1)))"),"#N/A")</f>
        <v>#N/A</v>
      </c>
      <c r="H63" s="35" t="str">
        <f t="shared" si="6"/>
        <v/>
      </c>
      <c r="I63" s="36" t="str">
        <f t="shared" si="7"/>
        <v/>
      </c>
      <c r="J63" s="37" t="str">
        <f>IFERROR(__xludf.DUMMYFUNCTION("IFERROR(
  IF(C63="""",, 
    IFERROR(
      GOOGLEFINANCE(C63, ""price"") * GOOGLEFINANCE(C63, ""volumeavg""), 
      GOOGLEFINANCE(C63, ""price"") * AVERAGE(QUERY(GOOGLEFINANCE(C63, ""volume"", TODAY()-40, TODAY()), ""SELECT Col2 WHERE Col2 IS NOT NULL "&amp;"ORDER BY Col1 DESC LIMIT 20"", 0))
    )
  ), 
"""")"),"")</f>
        <v/>
      </c>
      <c r="K63" s="21" t="str">
        <f>IFERROR(__xludf.DUMMYFUNCTION("IFERROR(GOOGLEFINANCE(C63, ""changepct"") / 100, """")"),"")</f>
        <v/>
      </c>
      <c r="L63" s="21" t="str">
        <f>IFERROR(__xludf.DUMMYFUNCTION("IFERROR((GOOGLEFINANCE(C63, ""price"") / INDEX(GOOGLEFINANCE(C63, ""price"", TODAY()-7, TODAY()), 2, 2)) - 1, """")"),"")</f>
        <v/>
      </c>
      <c r="M63" s="21" t="str">
        <f>IFERROR(__xludf.DUMMYFUNCTION("IFERROR((GOOGLEFINANCE(C63, ""price"") / INDEX(GOOGLEFINANCE(C63, ""price"", EDATE(TODAY(), -1), TODAY()), 2, 2)) - 1, """")"),"")</f>
        <v/>
      </c>
      <c r="N63" s="21" t="str">
        <f>IFERROR(__xludf.DUMMYFUNCTION("IFERROR((GOOGLEFINANCE(C63, ""price"") / INDEX(GOOGLEFINANCE(C63, ""price"", EDATE(TODAY(), -3), TODAY()), 2, 2)) - 1, """")"),"")</f>
        <v/>
      </c>
      <c r="O63" s="21" t="str">
        <f>IFERROR(__xludf.DUMMYFUNCTION("IFERROR((GOOGLEFINANCE(C63, ""price"") / INDEX(GOOGLEFINANCE(C63, ""price"", EDATE(TODAY(), -6), TODAY()), 2, 2)) - 1, """")"),"")</f>
        <v/>
      </c>
      <c r="P63" s="21" t="str">
        <f>IFERROR(__xludf.DUMMYFUNCTION("IFERROR((GOOGLEFINANCE(C63, ""price"") / INDEX(GOOGLEFINANCE(C63, ""price"", EDATE(TODAY(), -12), TODAY()), 2, 2)) - 1, """")"),"")</f>
        <v/>
      </c>
      <c r="Q63" s="6" t="str">
        <f>IFERROR(__xludf.DUMMYFUNCTION("AVERAGE(QUERY(GOOGLEFINANCE(C63, ""price"", TODAY()-80, TODAY()), ""SELECT Col2 WHERE Col2 IS NOT NULL ORDER BY Col1 DESC LIMIT 50"", 0))"),"#N/A")</f>
        <v>#N/A</v>
      </c>
      <c r="R63" s="24" t="str">
        <f>IFERROR(__xludf.DUMMYFUNCTION("IFERROR(
  LET(
    data, QUERY(GOOGLEFINANCE(C63,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GOOGLEFINANCE(C63, ""price"")) * 100,
    IF(calc=0, G63, calc)
  ), 
G63)"),"#N/A")</f>
        <v>#N/A</v>
      </c>
      <c r="S63" s="8" t="s">
        <v>15</v>
      </c>
      <c r="T63" s="26" t="str">
        <f>IFERROR(__xludf.DUMMYFUNCTION("IFERROR(TRANSPOSE(QUERY(IFERROR(SORT(GOOGLEFINANCE(C63, ""price"", WORKDAY(TODAY(), -40), TODAY()), 1, FALSE)), ""select Col2 where Col2 is not null limit 22 label Col2 ''"", 0)), """")"),"")</f>
        <v/>
      </c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8"/>
      <c r="AO63" s="28"/>
      <c r="AP63" s="29"/>
      <c r="AQ63" s="29" t="str">
        <f t="shared" ref="AQ63:BL63" si="66">T63/T$2</f>
        <v>#N/A</v>
      </c>
      <c r="AR63" s="29" t="str">
        <f t="shared" si="66"/>
        <v>#DIV/0!</v>
      </c>
      <c r="AS63" s="29" t="str">
        <f t="shared" si="66"/>
        <v>#DIV/0!</v>
      </c>
      <c r="AT63" s="29" t="str">
        <f t="shared" si="66"/>
        <v>#DIV/0!</v>
      </c>
      <c r="AU63" s="29" t="str">
        <f t="shared" si="66"/>
        <v>#DIV/0!</v>
      </c>
      <c r="AV63" s="29" t="str">
        <f t="shared" si="66"/>
        <v>#DIV/0!</v>
      </c>
      <c r="AW63" s="29" t="str">
        <f t="shared" si="66"/>
        <v>#DIV/0!</v>
      </c>
      <c r="AX63" s="29" t="str">
        <f t="shared" si="66"/>
        <v>#DIV/0!</v>
      </c>
      <c r="AY63" s="29" t="str">
        <f t="shared" si="66"/>
        <v>#DIV/0!</v>
      </c>
      <c r="AZ63" s="29" t="str">
        <f t="shared" si="66"/>
        <v>#DIV/0!</v>
      </c>
      <c r="BA63" s="29" t="str">
        <f t="shared" si="66"/>
        <v>#DIV/0!</v>
      </c>
      <c r="BB63" s="29" t="str">
        <f t="shared" si="66"/>
        <v>#DIV/0!</v>
      </c>
      <c r="BC63" s="29" t="str">
        <f t="shared" si="66"/>
        <v>#DIV/0!</v>
      </c>
      <c r="BD63" s="29" t="str">
        <f t="shared" si="66"/>
        <v>#DIV/0!</v>
      </c>
      <c r="BE63" s="29" t="str">
        <f t="shared" si="66"/>
        <v>#DIV/0!</v>
      </c>
      <c r="BF63" s="29" t="str">
        <f t="shared" si="66"/>
        <v>#DIV/0!</v>
      </c>
      <c r="BG63" s="29" t="str">
        <f t="shared" si="66"/>
        <v>#DIV/0!</v>
      </c>
      <c r="BH63" s="29" t="str">
        <f t="shared" si="66"/>
        <v>#DIV/0!</v>
      </c>
      <c r="BI63" s="29" t="str">
        <f t="shared" si="66"/>
        <v>#DIV/0!</v>
      </c>
      <c r="BJ63" s="29" t="str">
        <f t="shared" si="66"/>
        <v>#DIV/0!</v>
      </c>
      <c r="BK63" s="29" t="str">
        <f t="shared" si="66"/>
        <v>#DIV/0!</v>
      </c>
      <c r="BL63" s="29" t="str">
        <f t="shared" si="66"/>
        <v>#DIV/0!</v>
      </c>
      <c r="BM63" s="29" t="str">
        <f t="shared" si="3"/>
        <v>#DIV/0!</v>
      </c>
    </row>
    <row r="64">
      <c r="A64" s="16" t="str">
        <f>IFERROR(__xludf.DUMMYFUNCTION("IFERROR(SPARKLINE(SORT(MAP(TRANSPOSE(AQ64:BL64), LAMBDA(val, IF(ISNUMBER(val), PERCENTRANK(AQ64:BL64, val)+0.01, 0))), SEQUENCE(COLUMNS(AQ64:BL64)), FALSE), {""charttype"",""column""; ""color"",""chartreuse""; ""ymin"", 0; ""ymax"", 1.01; ""highcolor"", "&amp;"""darkgreen""; ""lowcolor"", ""red""}), """")"),"")</f>
        <v/>
      </c>
      <c r="B64" s="17" t="str">
        <f t="shared" si="4"/>
        <v/>
      </c>
      <c r="C64" s="1" t="s">
        <v>1707</v>
      </c>
      <c r="D64" s="30" t="str">
        <f>IFERROR(__xludf.DUMMYFUNCTION("IFERROR(GOOGLEFINANCE(C64, ""NAME""))"),"Eton Pharmaceuticals Inc")</f>
        <v>Eton Pharmaceuticals Inc</v>
      </c>
      <c r="E64" s="30" t="s">
        <v>1475</v>
      </c>
      <c r="F64" s="33" t="str">
        <f>IFERROR(__xludf.DUMMYFUNCTION("( (GOOGLEFINANCE(C64, ""price"") - Q64) / Q64 ) / (R64 / 100)"),"Loading...")</f>
        <v>Loading...</v>
      </c>
      <c r="G64" s="20" t="str">
        <f>IFERROR(__xludf.DUMMYFUNCTION("AVERAGE(ARRAYFORMULA(100 * (QUERY(GOOGLEFINANCE(C64, ""high"", TODAY()-40, TODAY()), ""SELECT Col2 WHERE Col2 IS NOT NULL ORDER BY Col1 DESC LIMIT 20"", 0) / QUERY(GOOGLEFINANCE(C64, ""low"", TODAY()-40, TODAY()), ""SELECT Col2 WHERE Col2 IS NOT NULL ORDE"&amp;"R BY Col1 DESC LIMIT 20"", 0) - 1)))"),"#N/A")</f>
        <v>#N/A</v>
      </c>
      <c r="H64" s="35" t="str">
        <f t="shared" si="6"/>
        <v/>
      </c>
      <c r="I64" s="36" t="str">
        <f t="shared" si="7"/>
        <v/>
      </c>
      <c r="J64" s="37" t="str">
        <f>IFERROR(__xludf.DUMMYFUNCTION("IFERROR(
  IF(C64="""",, 
    IFERROR(
      GOOGLEFINANCE(C64, ""price"") * GOOGLEFINANCE(C64, ""volumeavg""), 
      GOOGLEFINANCE(C64, ""price"") * AVERAGE(QUERY(GOOGLEFINANCE(C64, ""volume"", TODAY()-40, TODAY()), ""SELECT Col2 WHERE Col2 IS NOT NULL "&amp;"ORDER BY Col1 DESC LIMIT 20"", 0))
    )
  ), 
"""")"),"")</f>
        <v/>
      </c>
      <c r="K64" s="21" t="str">
        <f>IFERROR(__xludf.DUMMYFUNCTION("IFERROR(GOOGLEFINANCE(C64, ""changepct"") / 100, """")"),"")</f>
        <v/>
      </c>
      <c r="L64" s="21" t="str">
        <f>IFERROR(__xludf.DUMMYFUNCTION("IFERROR((GOOGLEFINANCE(C64, ""price"") / INDEX(GOOGLEFINANCE(C64, ""price"", TODAY()-7, TODAY()), 2, 2)) - 1, """")"),"")</f>
        <v/>
      </c>
      <c r="M64" s="21" t="str">
        <f>IFERROR(__xludf.DUMMYFUNCTION("IFERROR((GOOGLEFINANCE(C64, ""price"") / INDEX(GOOGLEFINANCE(C64, ""price"", EDATE(TODAY(), -1), TODAY()), 2, 2)) - 1, """")"),"")</f>
        <v/>
      </c>
      <c r="N64" s="21" t="str">
        <f>IFERROR(__xludf.DUMMYFUNCTION("IFERROR((GOOGLEFINANCE(C64, ""price"") / INDEX(GOOGLEFINANCE(C64, ""price"", EDATE(TODAY(), -3), TODAY()), 2, 2)) - 1, """")"),"")</f>
        <v/>
      </c>
      <c r="O64" s="21" t="str">
        <f>IFERROR(__xludf.DUMMYFUNCTION("IFERROR((GOOGLEFINANCE(C64, ""price"") / INDEX(GOOGLEFINANCE(C64, ""price"", EDATE(TODAY(), -6), TODAY()), 2, 2)) - 1, """")"),"")</f>
        <v/>
      </c>
      <c r="P64" s="21" t="str">
        <f>IFERROR(__xludf.DUMMYFUNCTION("IFERROR((GOOGLEFINANCE(C64, ""price"") / INDEX(GOOGLEFINANCE(C64, ""price"", EDATE(TODAY(), -12), TODAY()), 2, 2)) - 1, """")"),"")</f>
        <v/>
      </c>
      <c r="Q64" s="6" t="str">
        <f>IFERROR(__xludf.DUMMYFUNCTION("AVERAGE(QUERY(GOOGLEFINANCE(C64, ""price"", TODAY()-80, TODAY()), ""SELECT Col2 WHERE Col2 IS NOT NULL ORDER BY Col1 DESC LIMIT 50"", 0))"),"#N/A")</f>
        <v>#N/A</v>
      </c>
      <c r="R64" s="24" t="str">
        <f>IFERROR(__xludf.DUMMYFUNCTION("IFERROR(
  LET(
    data, QUERY(GOOGLEFINANCE(C64,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GOOGLEFINANCE(C64, ""price"")) * 100,
    IF(calc=0, G64, calc)
  ), 
G64)"),"#N/A")</f>
        <v>#N/A</v>
      </c>
      <c r="S64" s="8" t="s">
        <v>15</v>
      </c>
      <c r="T64" s="26" t="str">
        <f>IFERROR(__xludf.DUMMYFUNCTION("IFERROR(TRANSPOSE(QUERY(IFERROR(SORT(GOOGLEFINANCE(C64, ""price"", WORKDAY(TODAY(), -40), TODAY()), 1, FALSE)), ""select Col2 where Col2 is not null limit 22 label Col2 ''"", 0)), """")"),"")</f>
        <v/>
      </c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8"/>
      <c r="AO64" s="28"/>
      <c r="AP64" s="29"/>
      <c r="AQ64" s="29" t="str">
        <f t="shared" ref="AQ64:BL64" si="67">T64/T$2</f>
        <v>#N/A</v>
      </c>
      <c r="AR64" s="29" t="str">
        <f t="shared" si="67"/>
        <v>#DIV/0!</v>
      </c>
      <c r="AS64" s="29" t="str">
        <f t="shared" si="67"/>
        <v>#DIV/0!</v>
      </c>
      <c r="AT64" s="29" t="str">
        <f t="shared" si="67"/>
        <v>#DIV/0!</v>
      </c>
      <c r="AU64" s="29" t="str">
        <f t="shared" si="67"/>
        <v>#DIV/0!</v>
      </c>
      <c r="AV64" s="29" t="str">
        <f t="shared" si="67"/>
        <v>#DIV/0!</v>
      </c>
      <c r="AW64" s="29" t="str">
        <f t="shared" si="67"/>
        <v>#DIV/0!</v>
      </c>
      <c r="AX64" s="29" t="str">
        <f t="shared" si="67"/>
        <v>#DIV/0!</v>
      </c>
      <c r="AY64" s="29" t="str">
        <f t="shared" si="67"/>
        <v>#DIV/0!</v>
      </c>
      <c r="AZ64" s="29" t="str">
        <f t="shared" si="67"/>
        <v>#DIV/0!</v>
      </c>
      <c r="BA64" s="29" t="str">
        <f t="shared" si="67"/>
        <v>#DIV/0!</v>
      </c>
      <c r="BB64" s="29" t="str">
        <f t="shared" si="67"/>
        <v>#DIV/0!</v>
      </c>
      <c r="BC64" s="29" t="str">
        <f t="shared" si="67"/>
        <v>#DIV/0!</v>
      </c>
      <c r="BD64" s="29" t="str">
        <f t="shared" si="67"/>
        <v>#DIV/0!</v>
      </c>
      <c r="BE64" s="29" t="str">
        <f t="shared" si="67"/>
        <v>#DIV/0!</v>
      </c>
      <c r="BF64" s="29" t="str">
        <f t="shared" si="67"/>
        <v>#DIV/0!</v>
      </c>
      <c r="BG64" s="29" t="str">
        <f t="shared" si="67"/>
        <v>#DIV/0!</v>
      </c>
      <c r="BH64" s="29" t="str">
        <f t="shared" si="67"/>
        <v>#DIV/0!</v>
      </c>
      <c r="BI64" s="29" t="str">
        <f t="shared" si="67"/>
        <v>#DIV/0!</v>
      </c>
      <c r="BJ64" s="29" t="str">
        <f t="shared" si="67"/>
        <v>#DIV/0!</v>
      </c>
      <c r="BK64" s="29" t="str">
        <f t="shared" si="67"/>
        <v>#DIV/0!</v>
      </c>
      <c r="BL64" s="29" t="str">
        <f t="shared" si="67"/>
        <v>#DIV/0!</v>
      </c>
      <c r="BM64" s="29" t="str">
        <f t="shared" si="3"/>
        <v>#DIV/0!</v>
      </c>
    </row>
    <row r="65">
      <c r="A65" s="16" t="str">
        <f>IFERROR(__xludf.DUMMYFUNCTION("IFERROR(SPARKLINE(SORT(MAP(TRANSPOSE(AQ65:BL65), LAMBDA(val, IF(ISNUMBER(val), PERCENTRANK(AQ65:BL65, val)+0.01, 0))), SEQUENCE(COLUMNS(AQ65:BL65)), FALSE), {""charttype"",""column""; ""color"",""chartreuse""; ""ymin"", 0; ""ymax"", 1.01; ""highcolor"", "&amp;"""darkgreen""; ""lowcolor"", ""red""}), """")"),"")</f>
        <v/>
      </c>
      <c r="B65" s="17" t="str">
        <f t="shared" si="4"/>
        <v/>
      </c>
      <c r="C65" s="1" t="s">
        <v>1711</v>
      </c>
      <c r="D65" s="30" t="str">
        <f>IFERROR(__xludf.DUMMYFUNCTION("IFERROR(GOOGLEFINANCE(C65, ""NAME""))"),"Revvity Inc")</f>
        <v>Revvity Inc</v>
      </c>
      <c r="E65" s="30" t="s">
        <v>1499</v>
      </c>
      <c r="F65" s="33" t="str">
        <f>IFERROR(__xludf.DUMMYFUNCTION("( (GOOGLEFINANCE(C65, ""price"") - Q65) / Q65 ) / (R65 / 100)"),"Loading...")</f>
        <v>Loading...</v>
      </c>
      <c r="G65" s="20" t="str">
        <f>IFERROR(__xludf.DUMMYFUNCTION("AVERAGE(ARRAYFORMULA(100 * (QUERY(GOOGLEFINANCE(C65, ""high"", TODAY()-40, TODAY()), ""SELECT Col2 WHERE Col2 IS NOT NULL ORDER BY Col1 DESC LIMIT 20"", 0) / QUERY(GOOGLEFINANCE(C65, ""low"", TODAY()-40, TODAY()), ""SELECT Col2 WHERE Col2 IS NOT NULL ORDE"&amp;"R BY Col1 DESC LIMIT 20"", 0) - 1)))"),"#N/A")</f>
        <v>#N/A</v>
      </c>
      <c r="H65" s="35" t="str">
        <f t="shared" si="6"/>
        <v/>
      </c>
      <c r="I65" s="36" t="str">
        <f t="shared" si="7"/>
        <v/>
      </c>
      <c r="J65" s="37" t="str">
        <f>IFERROR(__xludf.DUMMYFUNCTION("IFERROR(
  IF(C65="""",, 
    IFERROR(
      GOOGLEFINANCE(C65, ""price"") * GOOGLEFINANCE(C65, ""volumeavg""), 
      GOOGLEFINANCE(C65, ""price"") * AVERAGE(QUERY(GOOGLEFINANCE(C65, ""volume"", TODAY()-40, TODAY()), ""SELECT Col2 WHERE Col2 IS NOT NULL "&amp;"ORDER BY Col1 DESC LIMIT 20"", 0))
    )
  ), 
"""")"),"")</f>
        <v/>
      </c>
      <c r="K65" s="21" t="str">
        <f>IFERROR(__xludf.DUMMYFUNCTION("IFERROR(GOOGLEFINANCE(C65, ""changepct"") / 100, """")"),"")</f>
        <v/>
      </c>
      <c r="L65" s="21" t="str">
        <f>IFERROR(__xludf.DUMMYFUNCTION("IFERROR((GOOGLEFINANCE(C65, ""price"") / INDEX(GOOGLEFINANCE(C65, ""price"", TODAY()-7, TODAY()), 2, 2)) - 1, """")"),"")</f>
        <v/>
      </c>
      <c r="M65" s="21" t="str">
        <f>IFERROR(__xludf.DUMMYFUNCTION("IFERROR((GOOGLEFINANCE(C65, ""price"") / INDEX(GOOGLEFINANCE(C65, ""price"", EDATE(TODAY(), -1), TODAY()), 2, 2)) - 1, """")"),"")</f>
        <v/>
      </c>
      <c r="N65" s="21" t="str">
        <f>IFERROR(__xludf.DUMMYFUNCTION("IFERROR((GOOGLEFINANCE(C65, ""price"") / INDEX(GOOGLEFINANCE(C65, ""price"", EDATE(TODAY(), -3), TODAY()), 2, 2)) - 1, """")"),"")</f>
        <v/>
      </c>
      <c r="O65" s="21" t="str">
        <f>IFERROR(__xludf.DUMMYFUNCTION("IFERROR((GOOGLEFINANCE(C65, ""price"") / INDEX(GOOGLEFINANCE(C65, ""price"", EDATE(TODAY(), -6), TODAY()), 2, 2)) - 1, """")"),"")</f>
        <v/>
      </c>
      <c r="P65" s="21" t="str">
        <f>IFERROR(__xludf.DUMMYFUNCTION("IFERROR((GOOGLEFINANCE(C65, ""price"") / INDEX(GOOGLEFINANCE(C65, ""price"", EDATE(TODAY(), -12), TODAY()), 2, 2)) - 1, """")"),"")</f>
        <v/>
      </c>
      <c r="Q65" s="6" t="str">
        <f>IFERROR(__xludf.DUMMYFUNCTION("AVERAGE(QUERY(GOOGLEFINANCE(C65, ""price"", TODAY()-80, TODAY()), ""SELECT Col2 WHERE Col2 IS NOT NULL ORDER BY Col1 DESC LIMIT 50"", 0))"),"#N/A")</f>
        <v>#N/A</v>
      </c>
      <c r="R65" s="24" t="str">
        <f>IFERROR(__xludf.DUMMYFUNCTION("IFERROR(
  LET(
    data, QUERY(GOOGLEFINANCE(C65,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GOOGLEFINANCE(C65, ""price"")) * 100,
    IF(calc=0, G65, calc)
  ), 
G65)"),"#N/A")</f>
        <v>#N/A</v>
      </c>
      <c r="S65" s="8" t="s">
        <v>15</v>
      </c>
      <c r="T65" s="26" t="str">
        <f>IFERROR(__xludf.DUMMYFUNCTION("IFERROR(TRANSPOSE(QUERY(IFERROR(SORT(GOOGLEFINANCE(C65, ""price"", WORKDAY(TODAY(), -40), TODAY()), 1, FALSE)), ""select Col2 where Col2 is not null limit 22 label Col2 ''"", 0)), """")"),"")</f>
        <v/>
      </c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8"/>
      <c r="AO65" s="28"/>
      <c r="AP65" s="29"/>
      <c r="AQ65" s="29" t="str">
        <f t="shared" ref="AQ65:BL65" si="68">T65/T$2</f>
        <v>#N/A</v>
      </c>
      <c r="AR65" s="29" t="str">
        <f t="shared" si="68"/>
        <v>#DIV/0!</v>
      </c>
      <c r="AS65" s="29" t="str">
        <f t="shared" si="68"/>
        <v>#DIV/0!</v>
      </c>
      <c r="AT65" s="29" t="str">
        <f t="shared" si="68"/>
        <v>#DIV/0!</v>
      </c>
      <c r="AU65" s="29" t="str">
        <f t="shared" si="68"/>
        <v>#DIV/0!</v>
      </c>
      <c r="AV65" s="29" t="str">
        <f t="shared" si="68"/>
        <v>#DIV/0!</v>
      </c>
      <c r="AW65" s="29" t="str">
        <f t="shared" si="68"/>
        <v>#DIV/0!</v>
      </c>
      <c r="AX65" s="29" t="str">
        <f t="shared" si="68"/>
        <v>#DIV/0!</v>
      </c>
      <c r="AY65" s="29" t="str">
        <f t="shared" si="68"/>
        <v>#DIV/0!</v>
      </c>
      <c r="AZ65" s="29" t="str">
        <f t="shared" si="68"/>
        <v>#DIV/0!</v>
      </c>
      <c r="BA65" s="29" t="str">
        <f t="shared" si="68"/>
        <v>#DIV/0!</v>
      </c>
      <c r="BB65" s="29" t="str">
        <f t="shared" si="68"/>
        <v>#DIV/0!</v>
      </c>
      <c r="BC65" s="29" t="str">
        <f t="shared" si="68"/>
        <v>#DIV/0!</v>
      </c>
      <c r="BD65" s="29" t="str">
        <f t="shared" si="68"/>
        <v>#DIV/0!</v>
      </c>
      <c r="BE65" s="29" t="str">
        <f t="shared" si="68"/>
        <v>#DIV/0!</v>
      </c>
      <c r="BF65" s="29" t="str">
        <f t="shared" si="68"/>
        <v>#DIV/0!</v>
      </c>
      <c r="BG65" s="29" t="str">
        <f t="shared" si="68"/>
        <v>#DIV/0!</v>
      </c>
      <c r="BH65" s="29" t="str">
        <f t="shared" si="68"/>
        <v>#DIV/0!</v>
      </c>
      <c r="BI65" s="29" t="str">
        <f t="shared" si="68"/>
        <v>#DIV/0!</v>
      </c>
      <c r="BJ65" s="29" t="str">
        <f t="shared" si="68"/>
        <v>#DIV/0!</v>
      </c>
      <c r="BK65" s="29" t="str">
        <f t="shared" si="68"/>
        <v>#DIV/0!</v>
      </c>
      <c r="BL65" s="29" t="str">
        <f t="shared" si="68"/>
        <v>#DIV/0!</v>
      </c>
      <c r="BM65" s="29" t="str">
        <f t="shared" si="3"/>
        <v>#DIV/0!</v>
      </c>
    </row>
    <row r="66">
      <c r="A66" s="16" t="str">
        <f>IFERROR(__xludf.DUMMYFUNCTION("IFERROR(SPARKLINE(SORT(MAP(TRANSPOSE(AQ66:BL66), LAMBDA(val, IF(ISNUMBER(val), PERCENTRANK(AQ66:BL66, val)+0.01, 0))), SEQUENCE(COLUMNS(AQ66:BL66)), FALSE), {""charttype"",""column""; ""color"",""chartreuse""; ""ymin"", 0; ""ymax"", 1.01; ""highcolor"", "&amp;"""darkgreen""; ""lowcolor"", ""red""}), """")"),"")</f>
        <v/>
      </c>
      <c r="B66" s="17" t="str">
        <f t="shared" si="4"/>
        <v/>
      </c>
      <c r="C66" s="1" t="s">
        <v>1715</v>
      </c>
      <c r="D66" s="30" t="str">
        <f>IFERROR(__xludf.DUMMYFUNCTION("IFERROR(GOOGLEFINANCE(C66, ""NAME""))"),"Orthopediatrics Corp")</f>
        <v>Orthopediatrics Corp</v>
      </c>
      <c r="E66" s="30" t="s">
        <v>1491</v>
      </c>
      <c r="F66" s="33" t="str">
        <f>IFERROR(__xludf.DUMMYFUNCTION("( (GOOGLEFINANCE(C66, ""price"") - Q66) / Q66 ) / (R66 / 100)"),"Loading...")</f>
        <v>Loading...</v>
      </c>
      <c r="G66" s="20" t="str">
        <f>IFERROR(__xludf.DUMMYFUNCTION("AVERAGE(ARRAYFORMULA(100 * (QUERY(GOOGLEFINANCE(C66, ""high"", TODAY()-40, TODAY()), ""SELECT Col2 WHERE Col2 IS NOT NULL ORDER BY Col1 DESC LIMIT 20"", 0) / QUERY(GOOGLEFINANCE(C66, ""low"", TODAY()-40, TODAY()), ""SELECT Col2 WHERE Col2 IS NOT NULL ORDE"&amp;"R BY Col1 DESC LIMIT 20"", 0) - 1)))"),"#N/A")</f>
        <v>#N/A</v>
      </c>
      <c r="H66" s="35" t="str">
        <f t="shared" si="6"/>
        <v/>
      </c>
      <c r="I66" s="36" t="str">
        <f t="shared" si="7"/>
        <v/>
      </c>
      <c r="J66" s="37" t="str">
        <f>IFERROR(__xludf.DUMMYFUNCTION("IFERROR(
  IF(C66="""",, 
    IFERROR(
      GOOGLEFINANCE(C66, ""price"") * GOOGLEFINANCE(C66, ""volumeavg""), 
      GOOGLEFINANCE(C66, ""price"") * AVERAGE(QUERY(GOOGLEFINANCE(C66, ""volume"", TODAY()-40, TODAY()), ""SELECT Col2 WHERE Col2 IS NOT NULL "&amp;"ORDER BY Col1 DESC LIMIT 20"", 0))
    )
  ), 
"""")"),"")</f>
        <v/>
      </c>
      <c r="K66" s="21" t="str">
        <f>IFERROR(__xludf.DUMMYFUNCTION("IFERROR(GOOGLEFINANCE(C66, ""changepct"") / 100, """")"),"")</f>
        <v/>
      </c>
      <c r="L66" s="21" t="str">
        <f>IFERROR(__xludf.DUMMYFUNCTION("IFERROR((GOOGLEFINANCE(C66, ""price"") / INDEX(GOOGLEFINANCE(C66, ""price"", TODAY()-7, TODAY()), 2, 2)) - 1, """")"),"")</f>
        <v/>
      </c>
      <c r="M66" s="21" t="str">
        <f>IFERROR(__xludf.DUMMYFUNCTION("IFERROR((GOOGLEFINANCE(C66, ""price"") / INDEX(GOOGLEFINANCE(C66, ""price"", EDATE(TODAY(), -1), TODAY()), 2, 2)) - 1, """")"),"")</f>
        <v/>
      </c>
      <c r="N66" s="21" t="str">
        <f>IFERROR(__xludf.DUMMYFUNCTION("IFERROR((GOOGLEFINANCE(C66, ""price"") / INDEX(GOOGLEFINANCE(C66, ""price"", EDATE(TODAY(), -3), TODAY()), 2, 2)) - 1, """")"),"")</f>
        <v/>
      </c>
      <c r="O66" s="21" t="str">
        <f>IFERROR(__xludf.DUMMYFUNCTION("IFERROR((GOOGLEFINANCE(C66, ""price"") / INDEX(GOOGLEFINANCE(C66, ""price"", EDATE(TODAY(), -6), TODAY()), 2, 2)) - 1, """")"),"")</f>
        <v/>
      </c>
      <c r="P66" s="21" t="str">
        <f>IFERROR(__xludf.DUMMYFUNCTION("IFERROR((GOOGLEFINANCE(C66, ""price"") / INDEX(GOOGLEFINANCE(C66, ""price"", EDATE(TODAY(), -12), TODAY()), 2, 2)) - 1, """")"),"")</f>
        <v/>
      </c>
      <c r="Q66" s="6" t="str">
        <f>IFERROR(__xludf.DUMMYFUNCTION("AVERAGE(QUERY(GOOGLEFINANCE(C66, ""price"", TODAY()-80, TODAY()), ""SELECT Col2 WHERE Col2 IS NOT NULL ORDER BY Col1 DESC LIMIT 50"", 0))"),"#N/A")</f>
        <v>#N/A</v>
      </c>
      <c r="R66" s="24" t="str">
        <f>IFERROR(__xludf.DUMMYFUNCTION("IFERROR(
  LET(
    data, QUERY(GOOGLEFINANCE(C66,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GOOGLEFINANCE(C66, ""price"")) * 100,
    IF(calc=0, G66, calc)
  ), 
G66)"),"#N/A")</f>
        <v>#N/A</v>
      </c>
      <c r="S66" s="8" t="s">
        <v>15</v>
      </c>
      <c r="T66" s="26" t="str">
        <f>IFERROR(__xludf.DUMMYFUNCTION("IFERROR(TRANSPOSE(QUERY(IFERROR(SORT(GOOGLEFINANCE(C66, ""price"", WORKDAY(TODAY(), -40), TODAY()), 1, FALSE)), ""select Col2 where Col2 is not null limit 22 label Col2 ''"", 0)), """")"),"")</f>
        <v/>
      </c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8"/>
      <c r="AO66" s="28"/>
      <c r="AP66" s="29"/>
      <c r="AQ66" s="29" t="str">
        <f t="shared" ref="AQ66:BL66" si="69">T66/T$2</f>
        <v>#N/A</v>
      </c>
      <c r="AR66" s="29" t="str">
        <f t="shared" si="69"/>
        <v>#DIV/0!</v>
      </c>
      <c r="AS66" s="29" t="str">
        <f t="shared" si="69"/>
        <v>#DIV/0!</v>
      </c>
      <c r="AT66" s="29" t="str">
        <f t="shared" si="69"/>
        <v>#DIV/0!</v>
      </c>
      <c r="AU66" s="29" t="str">
        <f t="shared" si="69"/>
        <v>#DIV/0!</v>
      </c>
      <c r="AV66" s="29" t="str">
        <f t="shared" si="69"/>
        <v>#DIV/0!</v>
      </c>
      <c r="AW66" s="29" t="str">
        <f t="shared" si="69"/>
        <v>#DIV/0!</v>
      </c>
      <c r="AX66" s="29" t="str">
        <f t="shared" si="69"/>
        <v>#DIV/0!</v>
      </c>
      <c r="AY66" s="29" t="str">
        <f t="shared" si="69"/>
        <v>#DIV/0!</v>
      </c>
      <c r="AZ66" s="29" t="str">
        <f t="shared" si="69"/>
        <v>#DIV/0!</v>
      </c>
      <c r="BA66" s="29" t="str">
        <f t="shared" si="69"/>
        <v>#DIV/0!</v>
      </c>
      <c r="BB66" s="29" t="str">
        <f t="shared" si="69"/>
        <v>#DIV/0!</v>
      </c>
      <c r="BC66" s="29" t="str">
        <f t="shared" si="69"/>
        <v>#DIV/0!</v>
      </c>
      <c r="BD66" s="29" t="str">
        <f t="shared" si="69"/>
        <v>#DIV/0!</v>
      </c>
      <c r="BE66" s="29" t="str">
        <f t="shared" si="69"/>
        <v>#DIV/0!</v>
      </c>
      <c r="BF66" s="29" t="str">
        <f t="shared" si="69"/>
        <v>#DIV/0!</v>
      </c>
      <c r="BG66" s="29" t="str">
        <f t="shared" si="69"/>
        <v>#DIV/0!</v>
      </c>
      <c r="BH66" s="29" t="str">
        <f t="shared" si="69"/>
        <v>#DIV/0!</v>
      </c>
      <c r="BI66" s="29" t="str">
        <f t="shared" si="69"/>
        <v>#DIV/0!</v>
      </c>
      <c r="BJ66" s="29" t="str">
        <f t="shared" si="69"/>
        <v>#DIV/0!</v>
      </c>
      <c r="BK66" s="29" t="str">
        <f t="shared" si="69"/>
        <v>#DIV/0!</v>
      </c>
      <c r="BL66" s="29" t="str">
        <f t="shared" si="69"/>
        <v>#DIV/0!</v>
      </c>
      <c r="BM66" s="29" t="str">
        <f t="shared" si="3"/>
        <v>#DIV/0!</v>
      </c>
    </row>
    <row r="67">
      <c r="A67" s="16" t="str">
        <f>IFERROR(__xludf.DUMMYFUNCTION("IFERROR(SPARKLINE(SORT(MAP(TRANSPOSE(AQ67:BL67), LAMBDA(val, IF(ISNUMBER(val), PERCENTRANK(AQ67:BL67, val)+0.01, 0))), SEQUENCE(COLUMNS(AQ67:BL67)), FALSE), {""charttype"",""column""; ""color"",""chartreuse""; ""ymin"", 0; ""ymax"", 1.01; ""highcolor"", "&amp;"""darkgreen""; ""lowcolor"", ""red""}), """")"),"")</f>
        <v/>
      </c>
      <c r="B67" s="17" t="str">
        <f t="shared" si="4"/>
        <v/>
      </c>
      <c r="C67" s="1" t="s">
        <v>1719</v>
      </c>
      <c r="D67" s="30" t="str">
        <f>IFERROR(__xludf.DUMMYFUNCTION("IFERROR(GOOGLEFINANCE(C67, ""NAME""))"),"Teladoc Health Inc")</f>
        <v>Teladoc Health Inc</v>
      </c>
      <c r="E67" s="30" t="s">
        <v>1532</v>
      </c>
      <c r="F67" s="33" t="str">
        <f>IFERROR(__xludf.DUMMYFUNCTION("( (GOOGLEFINANCE(C67, ""price"") - Q67) / Q67 ) / (R67 / 100)"),"Loading...")</f>
        <v>Loading...</v>
      </c>
      <c r="G67" s="20" t="str">
        <f>IFERROR(__xludf.DUMMYFUNCTION("AVERAGE(ARRAYFORMULA(100 * (QUERY(GOOGLEFINANCE(C67, ""high"", TODAY()-40, TODAY()), ""SELECT Col2 WHERE Col2 IS NOT NULL ORDER BY Col1 DESC LIMIT 20"", 0) / QUERY(GOOGLEFINANCE(C67, ""low"", TODAY()-40, TODAY()), ""SELECT Col2 WHERE Col2 IS NOT NULL ORDE"&amp;"R BY Col1 DESC LIMIT 20"", 0) - 1)))"),"#N/A")</f>
        <v>#N/A</v>
      </c>
      <c r="H67" s="35" t="str">
        <f t="shared" si="6"/>
        <v/>
      </c>
      <c r="I67" s="36" t="str">
        <f t="shared" si="7"/>
        <v/>
      </c>
      <c r="J67" s="37" t="str">
        <f>IFERROR(__xludf.DUMMYFUNCTION("IFERROR(
  IF(C67="""",, 
    IFERROR(
      GOOGLEFINANCE(C67, ""price"") * GOOGLEFINANCE(C67, ""volumeavg""), 
      GOOGLEFINANCE(C67, ""price"") * AVERAGE(QUERY(GOOGLEFINANCE(C67, ""volume"", TODAY()-40, TODAY()), ""SELECT Col2 WHERE Col2 IS NOT NULL "&amp;"ORDER BY Col1 DESC LIMIT 20"", 0))
    )
  ), 
"""")"),"")</f>
        <v/>
      </c>
      <c r="K67" s="21" t="str">
        <f>IFERROR(__xludf.DUMMYFUNCTION("IFERROR(GOOGLEFINANCE(C67, ""changepct"") / 100, """")"),"")</f>
        <v/>
      </c>
      <c r="L67" s="21" t="str">
        <f>IFERROR(__xludf.DUMMYFUNCTION("IFERROR((GOOGLEFINANCE(C67, ""price"") / INDEX(GOOGLEFINANCE(C67, ""price"", TODAY()-7, TODAY()), 2, 2)) - 1, """")"),"")</f>
        <v/>
      </c>
      <c r="M67" s="21" t="str">
        <f>IFERROR(__xludf.DUMMYFUNCTION("IFERROR((GOOGLEFINANCE(C67, ""price"") / INDEX(GOOGLEFINANCE(C67, ""price"", EDATE(TODAY(), -1), TODAY()), 2, 2)) - 1, """")"),"")</f>
        <v/>
      </c>
      <c r="N67" s="21" t="str">
        <f>IFERROR(__xludf.DUMMYFUNCTION("IFERROR((GOOGLEFINANCE(C67, ""price"") / INDEX(GOOGLEFINANCE(C67, ""price"", EDATE(TODAY(), -3), TODAY()), 2, 2)) - 1, """")"),"")</f>
        <v/>
      </c>
      <c r="O67" s="21" t="str">
        <f>IFERROR(__xludf.DUMMYFUNCTION("IFERROR((GOOGLEFINANCE(C67, ""price"") / INDEX(GOOGLEFINANCE(C67, ""price"", EDATE(TODAY(), -6), TODAY()), 2, 2)) - 1, """")"),"")</f>
        <v/>
      </c>
      <c r="P67" s="21" t="str">
        <f>IFERROR(__xludf.DUMMYFUNCTION("IFERROR((GOOGLEFINANCE(C67, ""price"") / INDEX(GOOGLEFINANCE(C67, ""price"", EDATE(TODAY(), -12), TODAY()), 2, 2)) - 1, """")"),"")</f>
        <v/>
      </c>
      <c r="Q67" s="6" t="str">
        <f>IFERROR(__xludf.DUMMYFUNCTION("AVERAGE(QUERY(GOOGLEFINANCE(C67, ""price"", TODAY()-80, TODAY()), ""SELECT Col2 WHERE Col2 IS NOT NULL ORDER BY Col1 DESC LIMIT 50"", 0))"),"#N/A")</f>
        <v>#N/A</v>
      </c>
      <c r="R67" s="24" t="str">
        <f>IFERROR(__xludf.DUMMYFUNCTION("IFERROR(
  LET(
    data, QUERY(GOOGLEFINANCE(C67,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GOOGLEFINANCE(C67, ""price"")) * 100,
    IF(calc=0, G67, calc)
  ), 
G67)"),"#N/A")</f>
        <v>#N/A</v>
      </c>
      <c r="S67" s="8" t="s">
        <v>15</v>
      </c>
      <c r="T67" s="26" t="str">
        <f>IFERROR(__xludf.DUMMYFUNCTION("IFERROR(TRANSPOSE(QUERY(IFERROR(SORT(GOOGLEFINANCE(C67, ""price"", WORKDAY(TODAY(), -40), TODAY()), 1, FALSE)), ""select Col2 where Col2 is not null limit 22 label Col2 ''"", 0)), """")"),"")</f>
        <v/>
      </c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8"/>
      <c r="AO67" s="28"/>
      <c r="AP67" s="29"/>
      <c r="AQ67" s="29" t="str">
        <f t="shared" ref="AQ67:BL67" si="70">T67/T$2</f>
        <v>#N/A</v>
      </c>
      <c r="AR67" s="29" t="str">
        <f t="shared" si="70"/>
        <v>#DIV/0!</v>
      </c>
      <c r="AS67" s="29" t="str">
        <f t="shared" si="70"/>
        <v>#DIV/0!</v>
      </c>
      <c r="AT67" s="29" t="str">
        <f t="shared" si="70"/>
        <v>#DIV/0!</v>
      </c>
      <c r="AU67" s="29" t="str">
        <f t="shared" si="70"/>
        <v>#DIV/0!</v>
      </c>
      <c r="AV67" s="29" t="str">
        <f t="shared" si="70"/>
        <v>#DIV/0!</v>
      </c>
      <c r="AW67" s="29" t="str">
        <f t="shared" si="70"/>
        <v>#DIV/0!</v>
      </c>
      <c r="AX67" s="29" t="str">
        <f t="shared" si="70"/>
        <v>#DIV/0!</v>
      </c>
      <c r="AY67" s="29" t="str">
        <f t="shared" si="70"/>
        <v>#DIV/0!</v>
      </c>
      <c r="AZ67" s="29" t="str">
        <f t="shared" si="70"/>
        <v>#DIV/0!</v>
      </c>
      <c r="BA67" s="29" t="str">
        <f t="shared" si="70"/>
        <v>#DIV/0!</v>
      </c>
      <c r="BB67" s="29" t="str">
        <f t="shared" si="70"/>
        <v>#DIV/0!</v>
      </c>
      <c r="BC67" s="29" t="str">
        <f t="shared" si="70"/>
        <v>#DIV/0!</v>
      </c>
      <c r="BD67" s="29" t="str">
        <f t="shared" si="70"/>
        <v>#DIV/0!</v>
      </c>
      <c r="BE67" s="29" t="str">
        <f t="shared" si="70"/>
        <v>#DIV/0!</v>
      </c>
      <c r="BF67" s="29" t="str">
        <f t="shared" si="70"/>
        <v>#DIV/0!</v>
      </c>
      <c r="BG67" s="29" t="str">
        <f t="shared" si="70"/>
        <v>#DIV/0!</v>
      </c>
      <c r="BH67" s="29" t="str">
        <f t="shared" si="70"/>
        <v>#DIV/0!</v>
      </c>
      <c r="BI67" s="29" t="str">
        <f t="shared" si="70"/>
        <v>#DIV/0!</v>
      </c>
      <c r="BJ67" s="29" t="str">
        <f t="shared" si="70"/>
        <v>#DIV/0!</v>
      </c>
      <c r="BK67" s="29" t="str">
        <f t="shared" si="70"/>
        <v>#DIV/0!</v>
      </c>
      <c r="BL67" s="29" t="str">
        <f t="shared" si="70"/>
        <v>#DIV/0!</v>
      </c>
      <c r="BM67" s="29" t="str">
        <f t="shared" si="3"/>
        <v>#DIV/0!</v>
      </c>
    </row>
    <row r="68">
      <c r="A68" s="16" t="str">
        <f>IFERROR(__xludf.DUMMYFUNCTION("IFERROR(SPARKLINE(SORT(MAP(TRANSPOSE(AQ68:BL68), LAMBDA(val, IF(ISNUMBER(val), PERCENTRANK(AQ68:BL68, val)+0.01, 0))), SEQUENCE(COLUMNS(AQ68:BL68)), FALSE), {""charttype"",""column""; ""color"",""chartreuse""; ""ymin"", 0; ""ymax"", 1.01; ""highcolor"", "&amp;"""darkgreen""; ""lowcolor"", ""red""}), """")"),"")</f>
        <v/>
      </c>
      <c r="B68" s="17" t="str">
        <f t="shared" si="4"/>
        <v/>
      </c>
      <c r="C68" s="1" t="s">
        <v>1723</v>
      </c>
      <c r="D68" s="30" t="str">
        <f>IFERROR(__xludf.DUMMYFUNCTION("IFERROR(GOOGLEFINANCE(C68, ""NAME""))"),"Cerus Corp")</f>
        <v>Cerus Corp</v>
      </c>
      <c r="E68" s="30" t="s">
        <v>1491</v>
      </c>
      <c r="F68" s="33" t="str">
        <f>IFERROR(__xludf.DUMMYFUNCTION("( (GOOGLEFINANCE(C68, ""price"") - Q68) / Q68 ) / (R68 / 100)"),"Loading...")</f>
        <v>Loading...</v>
      </c>
      <c r="G68" s="20" t="str">
        <f>IFERROR(__xludf.DUMMYFUNCTION("AVERAGE(ARRAYFORMULA(100 * (QUERY(GOOGLEFINANCE(C68, ""high"", TODAY()-40, TODAY()), ""SELECT Col2 WHERE Col2 IS NOT NULL ORDER BY Col1 DESC LIMIT 20"", 0) / QUERY(GOOGLEFINANCE(C68, ""low"", TODAY()-40, TODAY()), ""SELECT Col2 WHERE Col2 IS NOT NULL ORDE"&amp;"R BY Col1 DESC LIMIT 20"", 0) - 1)))"),"#N/A")</f>
        <v>#N/A</v>
      </c>
      <c r="H68" s="35" t="str">
        <f t="shared" si="6"/>
        <v/>
      </c>
      <c r="I68" s="36" t="str">
        <f t="shared" si="7"/>
        <v/>
      </c>
      <c r="J68" s="37" t="str">
        <f>IFERROR(__xludf.DUMMYFUNCTION("IFERROR(
  IF(C68="""",, 
    IFERROR(
      GOOGLEFINANCE(C68, ""price"") * GOOGLEFINANCE(C68, ""volumeavg""), 
      GOOGLEFINANCE(C68, ""price"") * AVERAGE(QUERY(GOOGLEFINANCE(C68, ""volume"", TODAY()-40, TODAY()), ""SELECT Col2 WHERE Col2 IS NOT NULL "&amp;"ORDER BY Col1 DESC LIMIT 20"", 0))
    )
  ), 
"""")"),"")</f>
        <v/>
      </c>
      <c r="K68" s="21" t="str">
        <f>IFERROR(__xludf.DUMMYFUNCTION("IFERROR(GOOGLEFINANCE(C68, ""changepct"") / 100, """")"),"")</f>
        <v/>
      </c>
      <c r="L68" s="21" t="str">
        <f>IFERROR(__xludf.DUMMYFUNCTION("IFERROR((GOOGLEFINANCE(C68, ""price"") / INDEX(GOOGLEFINANCE(C68, ""price"", TODAY()-7, TODAY()), 2, 2)) - 1, """")"),"")</f>
        <v/>
      </c>
      <c r="M68" s="21" t="str">
        <f>IFERROR(__xludf.DUMMYFUNCTION("IFERROR((GOOGLEFINANCE(C68, ""price"") / INDEX(GOOGLEFINANCE(C68, ""price"", EDATE(TODAY(), -1), TODAY()), 2, 2)) - 1, """")"),"")</f>
        <v/>
      </c>
      <c r="N68" s="21" t="str">
        <f>IFERROR(__xludf.DUMMYFUNCTION("IFERROR((GOOGLEFINANCE(C68, ""price"") / INDEX(GOOGLEFINANCE(C68, ""price"", EDATE(TODAY(), -3), TODAY()), 2, 2)) - 1, """")"),"")</f>
        <v/>
      </c>
      <c r="O68" s="21" t="str">
        <f>IFERROR(__xludf.DUMMYFUNCTION("IFERROR((GOOGLEFINANCE(C68, ""price"") / INDEX(GOOGLEFINANCE(C68, ""price"", EDATE(TODAY(), -6), TODAY()), 2, 2)) - 1, """")"),"")</f>
        <v/>
      </c>
      <c r="P68" s="21" t="str">
        <f>IFERROR(__xludf.DUMMYFUNCTION("IFERROR((GOOGLEFINANCE(C68, ""price"") / INDEX(GOOGLEFINANCE(C68, ""price"", EDATE(TODAY(), -12), TODAY()), 2, 2)) - 1, """")"),"")</f>
        <v/>
      </c>
      <c r="Q68" s="6" t="str">
        <f>IFERROR(__xludf.DUMMYFUNCTION("AVERAGE(QUERY(GOOGLEFINANCE(C68, ""price"", TODAY()-80, TODAY()), ""SELECT Col2 WHERE Col2 IS NOT NULL ORDER BY Col1 DESC LIMIT 50"", 0))"),"#N/A")</f>
        <v>#N/A</v>
      </c>
      <c r="R68" s="24" t="str">
        <f>IFERROR(__xludf.DUMMYFUNCTION("IFERROR(
  LET(
    data, QUERY(GOOGLEFINANCE(C68,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GOOGLEFINANCE(C68, ""price"")) * 100,
    IF(calc=0, G68, calc)
  ), 
G68)"),"#N/A")</f>
        <v>#N/A</v>
      </c>
      <c r="S68" s="8" t="s">
        <v>15</v>
      </c>
      <c r="T68" s="26" t="str">
        <f>IFERROR(__xludf.DUMMYFUNCTION("IFERROR(TRANSPOSE(QUERY(IFERROR(SORT(GOOGLEFINANCE(C68, ""price"", WORKDAY(TODAY(), -40), TODAY()), 1, FALSE)), ""select Col2 where Col2 is not null limit 22 label Col2 ''"", 0)), """")"),"")</f>
        <v/>
      </c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8"/>
      <c r="AO68" s="28"/>
      <c r="AP68" s="29"/>
      <c r="AQ68" s="29" t="str">
        <f t="shared" ref="AQ68:BL68" si="71">T68/T$2</f>
        <v>#N/A</v>
      </c>
      <c r="AR68" s="29" t="str">
        <f t="shared" si="71"/>
        <v>#DIV/0!</v>
      </c>
      <c r="AS68" s="29" t="str">
        <f t="shared" si="71"/>
        <v>#DIV/0!</v>
      </c>
      <c r="AT68" s="29" t="str">
        <f t="shared" si="71"/>
        <v>#DIV/0!</v>
      </c>
      <c r="AU68" s="29" t="str">
        <f t="shared" si="71"/>
        <v>#DIV/0!</v>
      </c>
      <c r="AV68" s="29" t="str">
        <f t="shared" si="71"/>
        <v>#DIV/0!</v>
      </c>
      <c r="AW68" s="29" t="str">
        <f t="shared" si="71"/>
        <v>#DIV/0!</v>
      </c>
      <c r="AX68" s="29" t="str">
        <f t="shared" si="71"/>
        <v>#DIV/0!</v>
      </c>
      <c r="AY68" s="29" t="str">
        <f t="shared" si="71"/>
        <v>#DIV/0!</v>
      </c>
      <c r="AZ68" s="29" t="str">
        <f t="shared" si="71"/>
        <v>#DIV/0!</v>
      </c>
      <c r="BA68" s="29" t="str">
        <f t="shared" si="71"/>
        <v>#DIV/0!</v>
      </c>
      <c r="BB68" s="29" t="str">
        <f t="shared" si="71"/>
        <v>#DIV/0!</v>
      </c>
      <c r="BC68" s="29" t="str">
        <f t="shared" si="71"/>
        <v>#DIV/0!</v>
      </c>
      <c r="BD68" s="29" t="str">
        <f t="shared" si="71"/>
        <v>#DIV/0!</v>
      </c>
      <c r="BE68" s="29" t="str">
        <f t="shared" si="71"/>
        <v>#DIV/0!</v>
      </c>
      <c r="BF68" s="29" t="str">
        <f t="shared" si="71"/>
        <v>#DIV/0!</v>
      </c>
      <c r="BG68" s="29" t="str">
        <f t="shared" si="71"/>
        <v>#DIV/0!</v>
      </c>
      <c r="BH68" s="29" t="str">
        <f t="shared" si="71"/>
        <v>#DIV/0!</v>
      </c>
      <c r="BI68" s="29" t="str">
        <f t="shared" si="71"/>
        <v>#DIV/0!</v>
      </c>
      <c r="BJ68" s="29" t="str">
        <f t="shared" si="71"/>
        <v>#DIV/0!</v>
      </c>
      <c r="BK68" s="29" t="str">
        <f t="shared" si="71"/>
        <v>#DIV/0!</v>
      </c>
      <c r="BL68" s="29" t="str">
        <f t="shared" si="71"/>
        <v>#DIV/0!</v>
      </c>
      <c r="BM68" s="29" t="str">
        <f t="shared" si="3"/>
        <v>#DIV/0!</v>
      </c>
    </row>
    <row r="69">
      <c r="A69" s="16" t="str">
        <f>IFERROR(__xludf.DUMMYFUNCTION("IFERROR(SPARKLINE(SORT(MAP(TRANSPOSE(AQ69:BL69), LAMBDA(val, IF(ISNUMBER(val), PERCENTRANK(AQ69:BL69, val)+0.01, 0))), SEQUENCE(COLUMNS(AQ69:BL69)), FALSE), {""charttype"",""column""; ""color"",""chartreuse""; ""ymin"", 0; ""ymax"", 1.01; ""highcolor"", "&amp;"""darkgreen""; ""lowcolor"", ""red""}), """")"),"")</f>
        <v/>
      </c>
      <c r="B69" s="17" t="str">
        <f t="shared" si="4"/>
        <v/>
      </c>
      <c r="C69" s="1" t="s">
        <v>1726</v>
      </c>
      <c r="D69" s="30" t="str">
        <f>IFERROR(__xludf.DUMMYFUNCTION("IFERROR(GOOGLEFINANCE(C69, ""NAME""))"),"")</f>
        <v/>
      </c>
      <c r="E69" s="30" t="s">
        <v>1475</v>
      </c>
      <c r="F69" s="33" t="str">
        <f>IFERROR(__xludf.DUMMYFUNCTION("( (GOOGLEFINANCE(C69, ""price"") - Q69) / Q69 ) / (R69 / 100)"),"Loading...")</f>
        <v>Loading...</v>
      </c>
      <c r="G69" s="20" t="str">
        <f>IFERROR(__xludf.DUMMYFUNCTION("AVERAGE(ARRAYFORMULA(100 * (QUERY(GOOGLEFINANCE(C69, ""high"", TODAY()-40, TODAY()), ""SELECT Col2 WHERE Col2 IS NOT NULL ORDER BY Col1 DESC LIMIT 20"", 0) / QUERY(GOOGLEFINANCE(C69, ""low"", TODAY()-40, TODAY()), ""SELECT Col2 WHERE Col2 IS NOT NULL ORDE"&amp;"R BY Col1 DESC LIMIT 20"", 0) - 1)))"),"#N/A")</f>
        <v>#N/A</v>
      </c>
      <c r="H69" s="35" t="str">
        <f t="shared" si="6"/>
        <v/>
      </c>
      <c r="I69" s="36" t="str">
        <f t="shared" si="7"/>
        <v/>
      </c>
      <c r="J69" s="37" t="str">
        <f>IFERROR(__xludf.DUMMYFUNCTION("IFERROR(
  IF(C69="""",, 
    IFERROR(
      GOOGLEFINANCE(C69, ""price"") * GOOGLEFINANCE(C69, ""volumeavg""), 
      GOOGLEFINANCE(C69, ""price"") * AVERAGE(QUERY(GOOGLEFINANCE(C69, ""volume"", TODAY()-40, TODAY()), ""SELECT Col2 WHERE Col2 IS NOT NULL "&amp;"ORDER BY Col1 DESC LIMIT 20"", 0))
    )
  ), 
"""")"),"")</f>
        <v/>
      </c>
      <c r="K69" s="21" t="str">
        <f>IFERROR(__xludf.DUMMYFUNCTION("IFERROR(GOOGLEFINANCE(C69, ""changepct"") / 100, """")"),"")</f>
        <v/>
      </c>
      <c r="L69" s="21" t="str">
        <f>IFERROR(__xludf.DUMMYFUNCTION("IFERROR((GOOGLEFINANCE(C69, ""price"") / INDEX(GOOGLEFINANCE(C69, ""price"", TODAY()-7, TODAY()), 2, 2)) - 1, """")"),"")</f>
        <v/>
      </c>
      <c r="M69" s="21" t="str">
        <f>IFERROR(__xludf.DUMMYFUNCTION("IFERROR((GOOGLEFINANCE(C69, ""price"") / INDEX(GOOGLEFINANCE(C69, ""price"", EDATE(TODAY(), -1), TODAY()), 2, 2)) - 1, """")"),"")</f>
        <v/>
      </c>
      <c r="N69" s="21" t="str">
        <f>IFERROR(__xludf.DUMMYFUNCTION("IFERROR((GOOGLEFINANCE(C69, ""price"") / INDEX(GOOGLEFINANCE(C69, ""price"", EDATE(TODAY(), -3), TODAY()), 2, 2)) - 1, """")"),"")</f>
        <v/>
      </c>
      <c r="O69" s="21" t="str">
        <f>IFERROR(__xludf.DUMMYFUNCTION("IFERROR((GOOGLEFINANCE(C69, ""price"") / INDEX(GOOGLEFINANCE(C69, ""price"", EDATE(TODAY(), -6), TODAY()), 2, 2)) - 1, """")"),"")</f>
        <v/>
      </c>
      <c r="P69" s="21" t="str">
        <f>IFERROR(__xludf.DUMMYFUNCTION("IFERROR((GOOGLEFINANCE(C69, ""price"") / INDEX(GOOGLEFINANCE(C69, ""price"", EDATE(TODAY(), -12), TODAY()), 2, 2)) - 1, """")"),"")</f>
        <v/>
      </c>
      <c r="Q69" s="6" t="str">
        <f>IFERROR(__xludf.DUMMYFUNCTION("AVERAGE(QUERY(GOOGLEFINANCE(C69, ""price"", TODAY()-80, TODAY()), ""SELECT Col2 WHERE Col2 IS NOT NULL ORDER BY Col1 DESC LIMIT 50"", 0))"),"#N/A")</f>
        <v>#N/A</v>
      </c>
      <c r="R69" s="24" t="str">
        <f>IFERROR(__xludf.DUMMYFUNCTION("IFERROR(
  LET(
    data, QUERY(GOOGLEFINANCE(C69,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GOOGLEFINANCE(C69, ""price"")) * 100,
    IF(calc=0, G69, calc)
  ), 
G69)"),"#N/A")</f>
        <v>#N/A</v>
      </c>
      <c r="S69" s="8" t="s">
        <v>15</v>
      </c>
      <c r="T69" s="26" t="str">
        <f>IFERROR(__xludf.DUMMYFUNCTION("IFERROR(TRANSPOSE(QUERY(IFERROR(SORT(GOOGLEFINANCE(C69, ""price"", WORKDAY(TODAY(), -40), TODAY()), 1, FALSE)), ""select Col2 where Col2 is not null limit 22 label Col2 ''"", 0)), """")"),"")</f>
        <v/>
      </c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8"/>
      <c r="AO69" s="28"/>
      <c r="AP69" s="29"/>
      <c r="AQ69" s="29" t="str">
        <f t="shared" ref="AQ69:BL69" si="72">T69/T$2</f>
        <v>#N/A</v>
      </c>
      <c r="AR69" s="29" t="str">
        <f t="shared" si="72"/>
        <v>#DIV/0!</v>
      </c>
      <c r="AS69" s="29" t="str">
        <f t="shared" si="72"/>
        <v>#DIV/0!</v>
      </c>
      <c r="AT69" s="29" t="str">
        <f t="shared" si="72"/>
        <v>#DIV/0!</v>
      </c>
      <c r="AU69" s="29" t="str">
        <f t="shared" si="72"/>
        <v>#DIV/0!</v>
      </c>
      <c r="AV69" s="29" t="str">
        <f t="shared" si="72"/>
        <v>#DIV/0!</v>
      </c>
      <c r="AW69" s="29" t="str">
        <f t="shared" si="72"/>
        <v>#DIV/0!</v>
      </c>
      <c r="AX69" s="29" t="str">
        <f t="shared" si="72"/>
        <v>#DIV/0!</v>
      </c>
      <c r="AY69" s="29" t="str">
        <f t="shared" si="72"/>
        <v>#DIV/0!</v>
      </c>
      <c r="AZ69" s="29" t="str">
        <f t="shared" si="72"/>
        <v>#DIV/0!</v>
      </c>
      <c r="BA69" s="29" t="str">
        <f t="shared" si="72"/>
        <v>#DIV/0!</v>
      </c>
      <c r="BB69" s="29" t="str">
        <f t="shared" si="72"/>
        <v>#DIV/0!</v>
      </c>
      <c r="BC69" s="29" t="str">
        <f t="shared" si="72"/>
        <v>#DIV/0!</v>
      </c>
      <c r="BD69" s="29" t="str">
        <f t="shared" si="72"/>
        <v>#DIV/0!</v>
      </c>
      <c r="BE69" s="29" t="str">
        <f t="shared" si="72"/>
        <v>#DIV/0!</v>
      </c>
      <c r="BF69" s="29" t="str">
        <f t="shared" si="72"/>
        <v>#DIV/0!</v>
      </c>
      <c r="BG69" s="29" t="str">
        <f t="shared" si="72"/>
        <v>#DIV/0!</v>
      </c>
      <c r="BH69" s="29" t="str">
        <f t="shared" si="72"/>
        <v>#DIV/0!</v>
      </c>
      <c r="BI69" s="29" t="str">
        <f t="shared" si="72"/>
        <v>#DIV/0!</v>
      </c>
      <c r="BJ69" s="29" t="str">
        <f t="shared" si="72"/>
        <v>#DIV/0!</v>
      </c>
      <c r="BK69" s="29" t="str">
        <f t="shared" si="72"/>
        <v>#DIV/0!</v>
      </c>
      <c r="BL69" s="29" t="str">
        <f t="shared" si="72"/>
        <v>#DIV/0!</v>
      </c>
      <c r="BM69" s="29" t="str">
        <f t="shared" si="3"/>
        <v>#DIV/0!</v>
      </c>
    </row>
    <row r="70">
      <c r="A70" s="16" t="str">
        <f>IFERROR(__xludf.DUMMYFUNCTION("IFERROR(SPARKLINE(SORT(MAP(TRANSPOSE(AQ70:BL70), LAMBDA(val, IF(ISNUMBER(val), PERCENTRANK(AQ70:BL70, val)+0.01, 0))), SEQUENCE(COLUMNS(AQ70:BL70)), FALSE), {""charttype"",""column""; ""color"",""chartreuse""; ""ymin"", 0; ""ymax"", 1.01; ""highcolor"", "&amp;"""darkgreen""; ""lowcolor"", ""red""}), """")"),"")</f>
        <v/>
      </c>
      <c r="B70" s="17" t="str">
        <f t="shared" si="4"/>
        <v/>
      </c>
      <c r="C70" s="1" t="s">
        <v>1730</v>
      </c>
      <c r="D70" s="30" t="str">
        <f>IFERROR(__xludf.DUMMYFUNCTION("IFERROR(GOOGLEFINANCE(C70, ""NAME""))"),"BIOAGE Labs Inc")</f>
        <v>BIOAGE Labs Inc</v>
      </c>
      <c r="E70" s="30" t="s">
        <v>1475</v>
      </c>
      <c r="F70" s="33" t="str">
        <f>IFERROR(__xludf.DUMMYFUNCTION("( (GOOGLEFINANCE(C70, ""price"") - Q70) / Q70 ) / (R70 / 100)"),"Loading...")</f>
        <v>Loading...</v>
      </c>
      <c r="G70" s="20" t="str">
        <f>IFERROR(__xludf.DUMMYFUNCTION("AVERAGE(ARRAYFORMULA(100 * (QUERY(GOOGLEFINANCE(C70, ""high"", TODAY()-40, TODAY()), ""SELECT Col2 WHERE Col2 IS NOT NULL ORDER BY Col1 DESC LIMIT 20"", 0) / QUERY(GOOGLEFINANCE(C70, ""low"", TODAY()-40, TODAY()), ""SELECT Col2 WHERE Col2 IS NOT NULL ORDE"&amp;"R BY Col1 DESC LIMIT 20"", 0) - 1)))"),"#N/A")</f>
        <v>#N/A</v>
      </c>
      <c r="H70" s="35" t="str">
        <f t="shared" si="6"/>
        <v/>
      </c>
      <c r="I70" s="36" t="str">
        <f t="shared" si="7"/>
        <v/>
      </c>
      <c r="J70" s="37" t="str">
        <f>IFERROR(__xludf.DUMMYFUNCTION("IFERROR(
  IF(C70="""",, 
    IFERROR(
      GOOGLEFINANCE(C70, ""price"") * GOOGLEFINANCE(C70, ""volumeavg""), 
      GOOGLEFINANCE(C70, ""price"") * AVERAGE(QUERY(GOOGLEFINANCE(C70, ""volume"", TODAY()-40, TODAY()), ""SELECT Col2 WHERE Col2 IS NOT NULL "&amp;"ORDER BY Col1 DESC LIMIT 20"", 0))
    )
  ), 
"""")"),"")</f>
        <v/>
      </c>
      <c r="K70" s="21" t="str">
        <f>IFERROR(__xludf.DUMMYFUNCTION("IFERROR(GOOGLEFINANCE(C70, ""changepct"") / 100, """")"),"")</f>
        <v/>
      </c>
      <c r="L70" s="21" t="str">
        <f>IFERROR(__xludf.DUMMYFUNCTION("IFERROR((GOOGLEFINANCE(C70, ""price"") / INDEX(GOOGLEFINANCE(C70, ""price"", TODAY()-7, TODAY()), 2, 2)) - 1, """")"),"")</f>
        <v/>
      </c>
      <c r="M70" s="21" t="str">
        <f>IFERROR(__xludf.DUMMYFUNCTION("IFERROR((GOOGLEFINANCE(C70, ""price"") / INDEX(GOOGLEFINANCE(C70, ""price"", EDATE(TODAY(), -1), TODAY()), 2, 2)) - 1, """")"),"")</f>
        <v/>
      </c>
      <c r="N70" s="21" t="str">
        <f>IFERROR(__xludf.DUMMYFUNCTION("IFERROR((GOOGLEFINANCE(C70, ""price"") / INDEX(GOOGLEFINANCE(C70, ""price"", EDATE(TODAY(), -3), TODAY()), 2, 2)) - 1, """")"),"")</f>
        <v/>
      </c>
      <c r="O70" s="21" t="str">
        <f>IFERROR(__xludf.DUMMYFUNCTION("IFERROR((GOOGLEFINANCE(C70, ""price"") / INDEX(GOOGLEFINANCE(C70, ""price"", EDATE(TODAY(), -6), TODAY()), 2, 2)) - 1, """")"),"")</f>
        <v/>
      </c>
      <c r="P70" s="21" t="str">
        <f>IFERROR(__xludf.DUMMYFUNCTION("IFERROR((GOOGLEFINANCE(C70, ""price"") / INDEX(GOOGLEFINANCE(C70, ""price"", EDATE(TODAY(), -12), TODAY()), 2, 2)) - 1, """")"),"")</f>
        <v/>
      </c>
      <c r="Q70" s="6" t="str">
        <f>IFERROR(__xludf.DUMMYFUNCTION("AVERAGE(QUERY(GOOGLEFINANCE(C70, ""price"", TODAY()-80, TODAY()), ""SELECT Col2 WHERE Col2 IS NOT NULL ORDER BY Col1 DESC LIMIT 50"", 0))"),"#N/A")</f>
        <v>#N/A</v>
      </c>
      <c r="R70" s="24" t="str">
        <f>IFERROR(__xludf.DUMMYFUNCTION("IFERROR(
  LET(
    data, QUERY(GOOGLEFINANCE(C70,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GOOGLEFINANCE(C70, ""price"")) * 100,
    IF(calc=0, G70, calc)
  ), 
G70)"),"#N/A")</f>
        <v>#N/A</v>
      </c>
      <c r="S70" s="8" t="s">
        <v>15</v>
      </c>
      <c r="T70" s="26" t="str">
        <f>IFERROR(__xludf.DUMMYFUNCTION("IFERROR(TRANSPOSE(QUERY(IFERROR(SORT(GOOGLEFINANCE(C70, ""price"", WORKDAY(TODAY(), -40), TODAY()), 1, FALSE)), ""select Col2 where Col2 is not null limit 22 label Col2 ''"", 0)), """")"),"")</f>
        <v/>
      </c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8"/>
      <c r="AO70" s="28"/>
      <c r="AP70" s="29"/>
      <c r="AQ70" s="29" t="str">
        <f t="shared" ref="AQ70:BL70" si="73">T70/T$2</f>
        <v>#N/A</v>
      </c>
      <c r="AR70" s="29" t="str">
        <f t="shared" si="73"/>
        <v>#DIV/0!</v>
      </c>
      <c r="AS70" s="29" t="str">
        <f t="shared" si="73"/>
        <v>#DIV/0!</v>
      </c>
      <c r="AT70" s="29" t="str">
        <f t="shared" si="73"/>
        <v>#DIV/0!</v>
      </c>
      <c r="AU70" s="29" t="str">
        <f t="shared" si="73"/>
        <v>#DIV/0!</v>
      </c>
      <c r="AV70" s="29" t="str">
        <f t="shared" si="73"/>
        <v>#DIV/0!</v>
      </c>
      <c r="AW70" s="29" t="str">
        <f t="shared" si="73"/>
        <v>#DIV/0!</v>
      </c>
      <c r="AX70" s="29" t="str">
        <f t="shared" si="73"/>
        <v>#DIV/0!</v>
      </c>
      <c r="AY70" s="29" t="str">
        <f t="shared" si="73"/>
        <v>#DIV/0!</v>
      </c>
      <c r="AZ70" s="29" t="str">
        <f t="shared" si="73"/>
        <v>#DIV/0!</v>
      </c>
      <c r="BA70" s="29" t="str">
        <f t="shared" si="73"/>
        <v>#DIV/0!</v>
      </c>
      <c r="BB70" s="29" t="str">
        <f t="shared" si="73"/>
        <v>#DIV/0!</v>
      </c>
      <c r="BC70" s="29" t="str">
        <f t="shared" si="73"/>
        <v>#DIV/0!</v>
      </c>
      <c r="BD70" s="29" t="str">
        <f t="shared" si="73"/>
        <v>#DIV/0!</v>
      </c>
      <c r="BE70" s="29" t="str">
        <f t="shared" si="73"/>
        <v>#DIV/0!</v>
      </c>
      <c r="BF70" s="29" t="str">
        <f t="shared" si="73"/>
        <v>#DIV/0!</v>
      </c>
      <c r="BG70" s="29" t="str">
        <f t="shared" si="73"/>
        <v>#DIV/0!</v>
      </c>
      <c r="BH70" s="29" t="str">
        <f t="shared" si="73"/>
        <v>#DIV/0!</v>
      </c>
      <c r="BI70" s="29" t="str">
        <f t="shared" si="73"/>
        <v>#DIV/0!</v>
      </c>
      <c r="BJ70" s="29" t="str">
        <f t="shared" si="73"/>
        <v>#DIV/0!</v>
      </c>
      <c r="BK70" s="29" t="str">
        <f t="shared" si="73"/>
        <v>#DIV/0!</v>
      </c>
      <c r="BL70" s="29" t="str">
        <f t="shared" si="73"/>
        <v>#DIV/0!</v>
      </c>
      <c r="BM70" s="29" t="str">
        <f t="shared" si="3"/>
        <v>#DIV/0!</v>
      </c>
    </row>
    <row r="71">
      <c r="A71" s="16" t="str">
        <f>IFERROR(__xludf.DUMMYFUNCTION("IFERROR(SPARKLINE(SORT(MAP(TRANSPOSE(AQ71:BL71), LAMBDA(val, IF(ISNUMBER(val), PERCENTRANK(AQ71:BL71, val)+0.01, 0))), SEQUENCE(COLUMNS(AQ71:BL71)), FALSE), {""charttype"",""column""; ""color"",""chartreuse""; ""ymin"", 0; ""ymax"", 1.01; ""highcolor"", "&amp;"""darkgreen""; ""lowcolor"", ""red""}), """")"),"")</f>
        <v/>
      </c>
      <c r="B71" s="17" t="str">
        <f t="shared" si="4"/>
        <v/>
      </c>
      <c r="C71" s="1" t="s">
        <v>1734</v>
      </c>
      <c r="D71" s="30" t="str">
        <f>IFERROR(__xludf.DUMMYFUNCTION("IFERROR(GOOGLEFINANCE(C71, ""NAME""))"),"Teva Pharmaceutical Industries Limited")</f>
        <v>Teva Pharmaceutical Industries Limited</v>
      </c>
      <c r="E71" s="30" t="s">
        <v>1475</v>
      </c>
      <c r="F71" s="33" t="str">
        <f>IFERROR(__xludf.DUMMYFUNCTION("( (GOOGLEFINANCE(C71, ""price"") - Q71) / Q71 ) / (R71 / 100)"),"Loading...")</f>
        <v>Loading...</v>
      </c>
      <c r="G71" s="20" t="str">
        <f>IFERROR(__xludf.DUMMYFUNCTION("AVERAGE(ARRAYFORMULA(100 * (QUERY(GOOGLEFINANCE(C71, ""high"", TODAY()-40, TODAY()), ""SELECT Col2 WHERE Col2 IS NOT NULL ORDER BY Col1 DESC LIMIT 20"", 0) / QUERY(GOOGLEFINANCE(C71, ""low"", TODAY()-40, TODAY()), ""SELECT Col2 WHERE Col2 IS NOT NULL ORDE"&amp;"R BY Col1 DESC LIMIT 20"", 0) - 1)))"),"#N/A")</f>
        <v>#N/A</v>
      </c>
      <c r="H71" s="35" t="str">
        <f t="shared" si="6"/>
        <v/>
      </c>
      <c r="I71" s="36" t="str">
        <f t="shared" si="7"/>
        <v/>
      </c>
      <c r="J71" s="37" t="str">
        <f>IFERROR(__xludf.DUMMYFUNCTION("IFERROR(
  IF(C71="""",, 
    IFERROR(
      GOOGLEFINANCE(C71, ""price"") * GOOGLEFINANCE(C71, ""volumeavg""), 
      GOOGLEFINANCE(C71, ""price"") * AVERAGE(QUERY(GOOGLEFINANCE(C71, ""volume"", TODAY()-40, TODAY()), ""SELECT Col2 WHERE Col2 IS NOT NULL "&amp;"ORDER BY Col1 DESC LIMIT 20"", 0))
    )
  ), 
"""")"),"")</f>
        <v/>
      </c>
      <c r="K71" s="21" t="str">
        <f>IFERROR(__xludf.DUMMYFUNCTION("IFERROR(GOOGLEFINANCE(C71, ""changepct"") / 100, """")"),"")</f>
        <v/>
      </c>
      <c r="L71" s="21" t="str">
        <f>IFERROR(__xludf.DUMMYFUNCTION("IFERROR((GOOGLEFINANCE(C71, ""price"") / INDEX(GOOGLEFINANCE(C71, ""price"", TODAY()-7, TODAY()), 2, 2)) - 1, """")"),"")</f>
        <v/>
      </c>
      <c r="M71" s="21" t="str">
        <f>IFERROR(__xludf.DUMMYFUNCTION("IFERROR((GOOGLEFINANCE(C71, ""price"") / INDEX(GOOGLEFINANCE(C71, ""price"", EDATE(TODAY(), -1), TODAY()), 2, 2)) - 1, """")"),"")</f>
        <v/>
      </c>
      <c r="N71" s="21" t="str">
        <f>IFERROR(__xludf.DUMMYFUNCTION("IFERROR((GOOGLEFINANCE(C71, ""price"") / INDEX(GOOGLEFINANCE(C71, ""price"", EDATE(TODAY(), -3), TODAY()), 2, 2)) - 1, """")"),"")</f>
        <v/>
      </c>
      <c r="O71" s="21" t="str">
        <f>IFERROR(__xludf.DUMMYFUNCTION("IFERROR((GOOGLEFINANCE(C71, ""price"") / INDEX(GOOGLEFINANCE(C71, ""price"", EDATE(TODAY(), -6), TODAY()), 2, 2)) - 1, """")"),"")</f>
        <v/>
      </c>
      <c r="P71" s="21" t="str">
        <f>IFERROR(__xludf.DUMMYFUNCTION("IFERROR((GOOGLEFINANCE(C71, ""price"") / INDEX(GOOGLEFINANCE(C71, ""price"", EDATE(TODAY(), -12), TODAY()), 2, 2)) - 1, """")"),"")</f>
        <v/>
      </c>
      <c r="Q71" s="6" t="str">
        <f>IFERROR(__xludf.DUMMYFUNCTION("AVERAGE(QUERY(GOOGLEFINANCE(C71, ""price"", TODAY()-80, TODAY()), ""SELECT Col2 WHERE Col2 IS NOT NULL ORDER BY Col1 DESC LIMIT 50"", 0))"),"#N/A")</f>
        <v>#N/A</v>
      </c>
      <c r="R71" s="24" t="str">
        <f>IFERROR(__xludf.DUMMYFUNCTION("IFERROR(
  LET(
    data, QUERY(GOOGLEFINANCE(C71,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GOOGLEFINANCE(C71, ""price"")) * 100,
    IF(calc=0, G71, calc)
  ), 
G71)"),"#N/A")</f>
        <v>#N/A</v>
      </c>
      <c r="S71" s="8" t="s">
        <v>15</v>
      </c>
      <c r="T71" s="26" t="str">
        <f>IFERROR(__xludf.DUMMYFUNCTION("IFERROR(TRANSPOSE(QUERY(IFERROR(SORT(GOOGLEFINANCE(C71, ""price"", WORKDAY(TODAY(), -40), TODAY()), 1, FALSE)), ""select Col2 where Col2 is not null limit 22 label Col2 ''"", 0)), """")"),"")</f>
        <v/>
      </c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8"/>
      <c r="AO71" s="28"/>
      <c r="AP71" s="29"/>
      <c r="AQ71" s="29" t="str">
        <f t="shared" ref="AQ71:BL71" si="74">T71/T$2</f>
        <v>#N/A</v>
      </c>
      <c r="AR71" s="29" t="str">
        <f t="shared" si="74"/>
        <v>#DIV/0!</v>
      </c>
      <c r="AS71" s="29" t="str">
        <f t="shared" si="74"/>
        <v>#DIV/0!</v>
      </c>
      <c r="AT71" s="29" t="str">
        <f t="shared" si="74"/>
        <v>#DIV/0!</v>
      </c>
      <c r="AU71" s="29" t="str">
        <f t="shared" si="74"/>
        <v>#DIV/0!</v>
      </c>
      <c r="AV71" s="29" t="str">
        <f t="shared" si="74"/>
        <v>#DIV/0!</v>
      </c>
      <c r="AW71" s="29" t="str">
        <f t="shared" si="74"/>
        <v>#DIV/0!</v>
      </c>
      <c r="AX71" s="29" t="str">
        <f t="shared" si="74"/>
        <v>#DIV/0!</v>
      </c>
      <c r="AY71" s="29" t="str">
        <f t="shared" si="74"/>
        <v>#DIV/0!</v>
      </c>
      <c r="AZ71" s="29" t="str">
        <f t="shared" si="74"/>
        <v>#DIV/0!</v>
      </c>
      <c r="BA71" s="29" t="str">
        <f t="shared" si="74"/>
        <v>#DIV/0!</v>
      </c>
      <c r="BB71" s="29" t="str">
        <f t="shared" si="74"/>
        <v>#DIV/0!</v>
      </c>
      <c r="BC71" s="29" t="str">
        <f t="shared" si="74"/>
        <v>#DIV/0!</v>
      </c>
      <c r="BD71" s="29" t="str">
        <f t="shared" si="74"/>
        <v>#DIV/0!</v>
      </c>
      <c r="BE71" s="29" t="str">
        <f t="shared" si="74"/>
        <v>#DIV/0!</v>
      </c>
      <c r="BF71" s="29" t="str">
        <f t="shared" si="74"/>
        <v>#DIV/0!</v>
      </c>
      <c r="BG71" s="29" t="str">
        <f t="shared" si="74"/>
        <v>#DIV/0!</v>
      </c>
      <c r="BH71" s="29" t="str">
        <f t="shared" si="74"/>
        <v>#DIV/0!</v>
      </c>
      <c r="BI71" s="29" t="str">
        <f t="shared" si="74"/>
        <v>#DIV/0!</v>
      </c>
      <c r="BJ71" s="29" t="str">
        <f t="shared" si="74"/>
        <v>#DIV/0!</v>
      </c>
      <c r="BK71" s="29" t="str">
        <f t="shared" si="74"/>
        <v>#DIV/0!</v>
      </c>
      <c r="BL71" s="29" t="str">
        <f t="shared" si="74"/>
        <v>#DIV/0!</v>
      </c>
      <c r="BM71" s="29" t="str">
        <f t="shared" si="3"/>
        <v>#DIV/0!</v>
      </c>
    </row>
    <row r="72">
      <c r="A72" s="16" t="str">
        <f>IFERROR(__xludf.DUMMYFUNCTION("IFERROR(SPARKLINE(SORT(MAP(TRANSPOSE(AQ72:BL72), LAMBDA(val, IF(ISNUMBER(val), PERCENTRANK(AQ72:BL72, val)+0.01, 0))), SEQUENCE(COLUMNS(AQ72:BL72)), FALSE), {""charttype"",""column""; ""color"",""chartreuse""; ""ymin"", 0; ""ymax"", 1.01; ""highcolor"", "&amp;"""darkgreen""; ""lowcolor"", ""red""}), """")"),"")</f>
        <v/>
      </c>
      <c r="B72" s="17" t="str">
        <f t="shared" si="4"/>
        <v/>
      </c>
      <c r="C72" s="1" t="s">
        <v>1738</v>
      </c>
      <c r="D72" s="30" t="str">
        <f>IFERROR(__xludf.DUMMYFUNCTION("IFERROR(GOOGLEFINANCE(C72, ""NAME""))"),"West Pharmaceutical Services Inc")</f>
        <v>West Pharmaceutical Services Inc</v>
      </c>
      <c r="E72" s="30" t="s">
        <v>1502</v>
      </c>
      <c r="F72" s="33" t="str">
        <f>IFERROR(__xludf.DUMMYFUNCTION("( (GOOGLEFINANCE(C72, ""price"") - Q72) / Q72 ) / (R72 / 100)"),"Loading...")</f>
        <v>Loading...</v>
      </c>
      <c r="G72" s="20" t="str">
        <f>IFERROR(__xludf.DUMMYFUNCTION("AVERAGE(ARRAYFORMULA(100 * (QUERY(GOOGLEFINANCE(C72, ""high"", TODAY()-40, TODAY()), ""SELECT Col2 WHERE Col2 IS NOT NULL ORDER BY Col1 DESC LIMIT 20"", 0) / QUERY(GOOGLEFINANCE(C72, ""low"", TODAY()-40, TODAY()), ""SELECT Col2 WHERE Col2 IS NOT NULL ORDE"&amp;"R BY Col1 DESC LIMIT 20"", 0) - 1)))"),"#N/A")</f>
        <v>#N/A</v>
      </c>
      <c r="H72" s="35" t="str">
        <f t="shared" si="6"/>
        <v/>
      </c>
      <c r="I72" s="36" t="str">
        <f t="shared" si="7"/>
        <v/>
      </c>
      <c r="J72" s="37" t="str">
        <f>IFERROR(__xludf.DUMMYFUNCTION("IFERROR(
  IF(C72="""",, 
    IFERROR(
      GOOGLEFINANCE(C72, ""price"") * GOOGLEFINANCE(C72, ""volumeavg""), 
      GOOGLEFINANCE(C72, ""price"") * AVERAGE(QUERY(GOOGLEFINANCE(C72, ""volume"", TODAY()-40, TODAY()), ""SELECT Col2 WHERE Col2 IS NOT NULL "&amp;"ORDER BY Col1 DESC LIMIT 20"", 0))
    )
  ), 
"""")"),"")</f>
        <v/>
      </c>
      <c r="K72" s="21" t="str">
        <f>IFERROR(__xludf.DUMMYFUNCTION("IFERROR(GOOGLEFINANCE(C72, ""changepct"") / 100, """")"),"")</f>
        <v/>
      </c>
      <c r="L72" s="21" t="str">
        <f>IFERROR(__xludf.DUMMYFUNCTION("IFERROR((GOOGLEFINANCE(C72, ""price"") / INDEX(GOOGLEFINANCE(C72, ""price"", TODAY()-7, TODAY()), 2, 2)) - 1, """")"),"")</f>
        <v/>
      </c>
      <c r="M72" s="21" t="str">
        <f>IFERROR(__xludf.DUMMYFUNCTION("IFERROR((GOOGLEFINANCE(C72, ""price"") / INDEX(GOOGLEFINANCE(C72, ""price"", EDATE(TODAY(), -1), TODAY()), 2, 2)) - 1, """")"),"")</f>
        <v/>
      </c>
      <c r="N72" s="21" t="str">
        <f>IFERROR(__xludf.DUMMYFUNCTION("IFERROR((GOOGLEFINANCE(C72, ""price"") / INDEX(GOOGLEFINANCE(C72, ""price"", EDATE(TODAY(), -3), TODAY()), 2, 2)) - 1, """")"),"")</f>
        <v/>
      </c>
      <c r="O72" s="21" t="str">
        <f>IFERROR(__xludf.DUMMYFUNCTION("IFERROR((GOOGLEFINANCE(C72, ""price"") / INDEX(GOOGLEFINANCE(C72, ""price"", EDATE(TODAY(), -6), TODAY()), 2, 2)) - 1, """")"),"")</f>
        <v/>
      </c>
      <c r="P72" s="21" t="str">
        <f>IFERROR(__xludf.DUMMYFUNCTION("IFERROR((GOOGLEFINANCE(C72, ""price"") / INDEX(GOOGLEFINANCE(C72, ""price"", EDATE(TODAY(), -12), TODAY()), 2, 2)) - 1, """")"),"")</f>
        <v/>
      </c>
      <c r="Q72" s="6" t="str">
        <f>IFERROR(__xludf.DUMMYFUNCTION("AVERAGE(QUERY(GOOGLEFINANCE(C72, ""price"", TODAY()-80, TODAY()), ""SELECT Col2 WHERE Col2 IS NOT NULL ORDER BY Col1 DESC LIMIT 50"", 0))"),"#N/A")</f>
        <v>#N/A</v>
      </c>
      <c r="R72" s="24" t="str">
        <f>IFERROR(__xludf.DUMMYFUNCTION("IFERROR(
  LET(
    data, QUERY(GOOGLEFINANCE(C72,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GOOGLEFINANCE(C72, ""price"")) * 100,
    IF(calc=0, G72, calc)
  ), 
G72)"),"#N/A")</f>
        <v>#N/A</v>
      </c>
      <c r="S72" s="8" t="s">
        <v>15</v>
      </c>
      <c r="T72" s="26" t="str">
        <f>IFERROR(__xludf.DUMMYFUNCTION("IFERROR(TRANSPOSE(QUERY(IFERROR(SORT(GOOGLEFINANCE(C72, ""price"", WORKDAY(TODAY(), -40), TODAY()), 1, FALSE)), ""select Col2 where Col2 is not null limit 22 label Col2 ''"", 0)), """")"),"")</f>
        <v/>
      </c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8"/>
      <c r="AO72" s="28"/>
      <c r="AP72" s="29"/>
      <c r="AQ72" s="29" t="str">
        <f t="shared" ref="AQ72:BL72" si="75">T72/T$2</f>
        <v>#N/A</v>
      </c>
      <c r="AR72" s="29" t="str">
        <f t="shared" si="75"/>
        <v>#DIV/0!</v>
      </c>
      <c r="AS72" s="29" t="str">
        <f t="shared" si="75"/>
        <v>#DIV/0!</v>
      </c>
      <c r="AT72" s="29" t="str">
        <f t="shared" si="75"/>
        <v>#DIV/0!</v>
      </c>
      <c r="AU72" s="29" t="str">
        <f t="shared" si="75"/>
        <v>#DIV/0!</v>
      </c>
      <c r="AV72" s="29" t="str">
        <f t="shared" si="75"/>
        <v>#DIV/0!</v>
      </c>
      <c r="AW72" s="29" t="str">
        <f t="shared" si="75"/>
        <v>#DIV/0!</v>
      </c>
      <c r="AX72" s="29" t="str">
        <f t="shared" si="75"/>
        <v>#DIV/0!</v>
      </c>
      <c r="AY72" s="29" t="str">
        <f t="shared" si="75"/>
        <v>#DIV/0!</v>
      </c>
      <c r="AZ72" s="29" t="str">
        <f t="shared" si="75"/>
        <v>#DIV/0!</v>
      </c>
      <c r="BA72" s="29" t="str">
        <f t="shared" si="75"/>
        <v>#DIV/0!</v>
      </c>
      <c r="BB72" s="29" t="str">
        <f t="shared" si="75"/>
        <v>#DIV/0!</v>
      </c>
      <c r="BC72" s="29" t="str">
        <f t="shared" si="75"/>
        <v>#DIV/0!</v>
      </c>
      <c r="BD72" s="29" t="str">
        <f t="shared" si="75"/>
        <v>#DIV/0!</v>
      </c>
      <c r="BE72" s="29" t="str">
        <f t="shared" si="75"/>
        <v>#DIV/0!</v>
      </c>
      <c r="BF72" s="29" t="str">
        <f t="shared" si="75"/>
        <v>#DIV/0!</v>
      </c>
      <c r="BG72" s="29" t="str">
        <f t="shared" si="75"/>
        <v>#DIV/0!</v>
      </c>
      <c r="BH72" s="29" t="str">
        <f t="shared" si="75"/>
        <v>#DIV/0!</v>
      </c>
      <c r="BI72" s="29" t="str">
        <f t="shared" si="75"/>
        <v>#DIV/0!</v>
      </c>
      <c r="BJ72" s="29" t="str">
        <f t="shared" si="75"/>
        <v>#DIV/0!</v>
      </c>
      <c r="BK72" s="29" t="str">
        <f t="shared" si="75"/>
        <v>#DIV/0!</v>
      </c>
      <c r="BL72" s="29" t="str">
        <f t="shared" si="75"/>
        <v>#DIV/0!</v>
      </c>
      <c r="BM72" s="29" t="str">
        <f t="shared" si="3"/>
        <v>#DIV/0!</v>
      </c>
    </row>
    <row r="73">
      <c r="A73" s="16" t="str">
        <f>IFERROR(__xludf.DUMMYFUNCTION("IFERROR(SPARKLINE(SORT(MAP(TRANSPOSE(AQ73:BL73), LAMBDA(val, IF(ISNUMBER(val), PERCENTRANK(AQ73:BL73, val)+0.01, 0))), SEQUENCE(COLUMNS(AQ73:BL73)), FALSE), {""charttype"",""column""; ""color"",""chartreuse""; ""ymin"", 0; ""ymax"", 1.01; ""highcolor"", "&amp;"""darkgreen""; ""lowcolor"", ""red""}), """")"),"")</f>
        <v/>
      </c>
      <c r="B73" s="17" t="str">
        <f t="shared" si="4"/>
        <v/>
      </c>
      <c r="C73" s="1" t="s">
        <v>1742</v>
      </c>
      <c r="D73" s="30" t="str">
        <f>IFERROR(__xludf.DUMMYFUNCTION("IFERROR(GOOGLEFINANCE(C73, ""NAME""))"),"Indivior Pharmaceuticals Inc")</f>
        <v>Indivior Pharmaceuticals Inc</v>
      </c>
      <c r="E73" s="30" t="s">
        <v>1475</v>
      </c>
      <c r="F73" s="33" t="str">
        <f>IFERROR(__xludf.DUMMYFUNCTION("( (GOOGLEFINANCE(C73, ""price"") - Q73) / Q73 ) / (R73 / 100)"),"Loading...")</f>
        <v>Loading...</v>
      </c>
      <c r="G73" s="20" t="str">
        <f>IFERROR(__xludf.DUMMYFUNCTION("AVERAGE(ARRAYFORMULA(100 * (QUERY(GOOGLEFINANCE(C73, ""high"", TODAY()-40, TODAY()), ""SELECT Col2 WHERE Col2 IS NOT NULL ORDER BY Col1 DESC LIMIT 20"", 0) / QUERY(GOOGLEFINANCE(C73, ""low"", TODAY()-40, TODAY()), ""SELECT Col2 WHERE Col2 IS NOT NULL ORDE"&amp;"R BY Col1 DESC LIMIT 20"", 0) - 1)))"),"#N/A")</f>
        <v>#N/A</v>
      </c>
      <c r="H73" s="35" t="str">
        <f t="shared" si="6"/>
        <v/>
      </c>
      <c r="I73" s="36" t="str">
        <f t="shared" si="7"/>
        <v/>
      </c>
      <c r="J73" s="37" t="str">
        <f>IFERROR(__xludf.DUMMYFUNCTION("IFERROR(
  IF(C73="""",, 
    IFERROR(
      GOOGLEFINANCE(C73, ""price"") * GOOGLEFINANCE(C73, ""volumeavg""), 
      GOOGLEFINANCE(C73, ""price"") * AVERAGE(QUERY(GOOGLEFINANCE(C73, ""volume"", TODAY()-40, TODAY()), ""SELECT Col2 WHERE Col2 IS NOT NULL "&amp;"ORDER BY Col1 DESC LIMIT 20"", 0))
    )
  ), 
"""")"),"")</f>
        <v/>
      </c>
      <c r="K73" s="21" t="str">
        <f>IFERROR(__xludf.DUMMYFUNCTION("IFERROR(GOOGLEFINANCE(C73, ""changepct"") / 100, """")"),"")</f>
        <v/>
      </c>
      <c r="L73" s="21" t="str">
        <f>IFERROR(__xludf.DUMMYFUNCTION("IFERROR((GOOGLEFINANCE(C73, ""price"") / INDEX(GOOGLEFINANCE(C73, ""price"", TODAY()-7, TODAY()), 2, 2)) - 1, """")"),"")</f>
        <v/>
      </c>
      <c r="M73" s="21" t="str">
        <f>IFERROR(__xludf.DUMMYFUNCTION("IFERROR((GOOGLEFINANCE(C73, ""price"") / INDEX(GOOGLEFINANCE(C73, ""price"", EDATE(TODAY(), -1), TODAY()), 2, 2)) - 1, """")"),"")</f>
        <v/>
      </c>
      <c r="N73" s="21" t="str">
        <f>IFERROR(__xludf.DUMMYFUNCTION("IFERROR((GOOGLEFINANCE(C73, ""price"") / INDEX(GOOGLEFINANCE(C73, ""price"", EDATE(TODAY(), -3), TODAY()), 2, 2)) - 1, """")"),"")</f>
        <v/>
      </c>
      <c r="O73" s="21" t="str">
        <f>IFERROR(__xludf.DUMMYFUNCTION("IFERROR((GOOGLEFINANCE(C73, ""price"") / INDEX(GOOGLEFINANCE(C73, ""price"", EDATE(TODAY(), -6), TODAY()), 2, 2)) - 1, """")"),"")</f>
        <v/>
      </c>
      <c r="P73" s="21" t="str">
        <f>IFERROR(__xludf.DUMMYFUNCTION("IFERROR((GOOGLEFINANCE(C73, ""price"") / INDEX(GOOGLEFINANCE(C73, ""price"", EDATE(TODAY(), -12), TODAY()), 2, 2)) - 1, """")"),"")</f>
        <v/>
      </c>
      <c r="Q73" s="6" t="str">
        <f>IFERROR(__xludf.DUMMYFUNCTION("AVERAGE(QUERY(GOOGLEFINANCE(C73, ""price"", TODAY()-80, TODAY()), ""SELECT Col2 WHERE Col2 IS NOT NULL ORDER BY Col1 DESC LIMIT 50"", 0))"),"#N/A")</f>
        <v>#N/A</v>
      </c>
      <c r="R73" s="24" t="str">
        <f>IFERROR(__xludf.DUMMYFUNCTION("IFERROR(
  LET(
    data, QUERY(GOOGLEFINANCE(C73,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GOOGLEFINANCE(C73, ""price"")) * 100,
    IF(calc=0, G73, calc)
  ), 
G73)"),"#N/A")</f>
        <v>#N/A</v>
      </c>
      <c r="S73" s="8" t="s">
        <v>15</v>
      </c>
      <c r="T73" s="26" t="str">
        <f>IFERROR(__xludf.DUMMYFUNCTION("IFERROR(TRANSPOSE(QUERY(IFERROR(SORT(GOOGLEFINANCE(C73, ""price"", WORKDAY(TODAY(), -40), TODAY()), 1, FALSE)), ""select Col2 where Col2 is not null limit 22 label Col2 ''"", 0)), """")"),"")</f>
        <v/>
      </c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8"/>
      <c r="AO73" s="28"/>
      <c r="AP73" s="29"/>
      <c r="AQ73" s="29" t="str">
        <f t="shared" ref="AQ73:BL73" si="76">T73/T$2</f>
        <v>#N/A</v>
      </c>
      <c r="AR73" s="29" t="str">
        <f t="shared" si="76"/>
        <v>#DIV/0!</v>
      </c>
      <c r="AS73" s="29" t="str">
        <f t="shared" si="76"/>
        <v>#DIV/0!</v>
      </c>
      <c r="AT73" s="29" t="str">
        <f t="shared" si="76"/>
        <v>#DIV/0!</v>
      </c>
      <c r="AU73" s="29" t="str">
        <f t="shared" si="76"/>
        <v>#DIV/0!</v>
      </c>
      <c r="AV73" s="29" t="str">
        <f t="shared" si="76"/>
        <v>#DIV/0!</v>
      </c>
      <c r="AW73" s="29" t="str">
        <f t="shared" si="76"/>
        <v>#DIV/0!</v>
      </c>
      <c r="AX73" s="29" t="str">
        <f t="shared" si="76"/>
        <v>#DIV/0!</v>
      </c>
      <c r="AY73" s="29" t="str">
        <f t="shared" si="76"/>
        <v>#DIV/0!</v>
      </c>
      <c r="AZ73" s="29" t="str">
        <f t="shared" si="76"/>
        <v>#DIV/0!</v>
      </c>
      <c r="BA73" s="29" t="str">
        <f t="shared" si="76"/>
        <v>#DIV/0!</v>
      </c>
      <c r="BB73" s="29" t="str">
        <f t="shared" si="76"/>
        <v>#DIV/0!</v>
      </c>
      <c r="BC73" s="29" t="str">
        <f t="shared" si="76"/>
        <v>#DIV/0!</v>
      </c>
      <c r="BD73" s="29" t="str">
        <f t="shared" si="76"/>
        <v>#DIV/0!</v>
      </c>
      <c r="BE73" s="29" t="str">
        <f t="shared" si="76"/>
        <v>#DIV/0!</v>
      </c>
      <c r="BF73" s="29" t="str">
        <f t="shared" si="76"/>
        <v>#DIV/0!</v>
      </c>
      <c r="BG73" s="29" t="str">
        <f t="shared" si="76"/>
        <v>#DIV/0!</v>
      </c>
      <c r="BH73" s="29" t="str">
        <f t="shared" si="76"/>
        <v>#DIV/0!</v>
      </c>
      <c r="BI73" s="29" t="str">
        <f t="shared" si="76"/>
        <v>#DIV/0!</v>
      </c>
      <c r="BJ73" s="29" t="str">
        <f t="shared" si="76"/>
        <v>#DIV/0!</v>
      </c>
      <c r="BK73" s="29" t="str">
        <f t="shared" si="76"/>
        <v>#DIV/0!</v>
      </c>
      <c r="BL73" s="29" t="str">
        <f t="shared" si="76"/>
        <v>#DIV/0!</v>
      </c>
      <c r="BM73" s="29" t="str">
        <f t="shared" si="3"/>
        <v>#DIV/0!</v>
      </c>
    </row>
    <row r="74">
      <c r="A74" s="16" t="str">
        <f>IFERROR(__xludf.DUMMYFUNCTION("IFERROR(SPARKLINE(SORT(MAP(TRANSPOSE(AQ74:BL74), LAMBDA(val, IF(ISNUMBER(val), PERCENTRANK(AQ74:BL74, val)+0.01, 0))), SEQUENCE(COLUMNS(AQ74:BL74)), FALSE), {""charttype"",""column""; ""color"",""chartreuse""; ""ymin"", 0; ""ymax"", 1.01; ""highcolor"", "&amp;"""darkgreen""; ""lowcolor"", ""red""}), """")"),"")</f>
        <v/>
      </c>
      <c r="B74" s="17" t="str">
        <f t="shared" si="4"/>
        <v/>
      </c>
      <c r="C74" s="1" t="s">
        <v>1746</v>
      </c>
      <c r="D74" s="30" t="str">
        <f>IFERROR(__xludf.DUMMYFUNCTION("IFERROR(GOOGLEFINANCE(C74, ""NAME""))"),"Delcath Systems Inc")</f>
        <v>Delcath Systems Inc</v>
      </c>
      <c r="E74" s="30" t="s">
        <v>1491</v>
      </c>
      <c r="F74" s="33" t="str">
        <f>IFERROR(__xludf.DUMMYFUNCTION("( (GOOGLEFINANCE(C74, ""price"") - Q74) / Q74 ) / (R74 / 100)"),"Loading...")</f>
        <v>Loading...</v>
      </c>
      <c r="G74" s="20" t="str">
        <f>IFERROR(__xludf.DUMMYFUNCTION("AVERAGE(ARRAYFORMULA(100 * (QUERY(GOOGLEFINANCE(C74, ""high"", TODAY()-40, TODAY()), ""SELECT Col2 WHERE Col2 IS NOT NULL ORDER BY Col1 DESC LIMIT 20"", 0) / QUERY(GOOGLEFINANCE(C74, ""low"", TODAY()-40, TODAY()), ""SELECT Col2 WHERE Col2 IS NOT NULL ORDE"&amp;"R BY Col1 DESC LIMIT 20"", 0) - 1)))"),"#N/A")</f>
        <v>#N/A</v>
      </c>
      <c r="H74" s="35" t="str">
        <f t="shared" si="6"/>
        <v/>
      </c>
      <c r="I74" s="36" t="str">
        <f t="shared" si="7"/>
        <v/>
      </c>
      <c r="J74" s="37" t="str">
        <f>IFERROR(__xludf.DUMMYFUNCTION("IFERROR(
  IF(C74="""",, 
    IFERROR(
      GOOGLEFINANCE(C74, ""price"") * GOOGLEFINANCE(C74, ""volumeavg""), 
      GOOGLEFINANCE(C74, ""price"") * AVERAGE(QUERY(GOOGLEFINANCE(C74, ""volume"", TODAY()-40, TODAY()), ""SELECT Col2 WHERE Col2 IS NOT NULL "&amp;"ORDER BY Col1 DESC LIMIT 20"", 0))
    )
  ), 
"""")"),"")</f>
        <v/>
      </c>
      <c r="K74" s="21" t="str">
        <f>IFERROR(__xludf.DUMMYFUNCTION("IFERROR(GOOGLEFINANCE(C74, ""changepct"") / 100, """")"),"")</f>
        <v/>
      </c>
      <c r="L74" s="21" t="str">
        <f>IFERROR(__xludf.DUMMYFUNCTION("IFERROR((GOOGLEFINANCE(C74, ""price"") / INDEX(GOOGLEFINANCE(C74, ""price"", TODAY()-7, TODAY()), 2, 2)) - 1, """")"),"")</f>
        <v/>
      </c>
      <c r="M74" s="21" t="str">
        <f>IFERROR(__xludf.DUMMYFUNCTION("IFERROR((GOOGLEFINANCE(C74, ""price"") / INDEX(GOOGLEFINANCE(C74, ""price"", EDATE(TODAY(), -1), TODAY()), 2, 2)) - 1, """")"),"")</f>
        <v/>
      </c>
      <c r="N74" s="21" t="str">
        <f>IFERROR(__xludf.DUMMYFUNCTION("IFERROR((GOOGLEFINANCE(C74, ""price"") / INDEX(GOOGLEFINANCE(C74, ""price"", EDATE(TODAY(), -3), TODAY()), 2, 2)) - 1, """")"),"")</f>
        <v/>
      </c>
      <c r="O74" s="21" t="str">
        <f>IFERROR(__xludf.DUMMYFUNCTION("IFERROR((GOOGLEFINANCE(C74, ""price"") / INDEX(GOOGLEFINANCE(C74, ""price"", EDATE(TODAY(), -6), TODAY()), 2, 2)) - 1, """")"),"")</f>
        <v/>
      </c>
      <c r="P74" s="21" t="str">
        <f>IFERROR(__xludf.DUMMYFUNCTION("IFERROR((GOOGLEFINANCE(C74, ""price"") / INDEX(GOOGLEFINANCE(C74, ""price"", EDATE(TODAY(), -12), TODAY()), 2, 2)) - 1, """")"),"")</f>
        <v/>
      </c>
      <c r="Q74" s="6" t="str">
        <f>IFERROR(__xludf.DUMMYFUNCTION("AVERAGE(QUERY(GOOGLEFINANCE(C74, ""price"", TODAY()-80, TODAY()), ""SELECT Col2 WHERE Col2 IS NOT NULL ORDER BY Col1 DESC LIMIT 50"", 0))"),"#N/A")</f>
        <v>#N/A</v>
      </c>
      <c r="R74" s="24" t="str">
        <f>IFERROR(__xludf.DUMMYFUNCTION("IFERROR(
  LET(
    data, QUERY(GOOGLEFINANCE(C74,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GOOGLEFINANCE(C74, ""price"")) * 100,
    IF(calc=0, G74, calc)
  ), 
G74)"),"#N/A")</f>
        <v>#N/A</v>
      </c>
      <c r="S74" s="8" t="s">
        <v>15</v>
      </c>
      <c r="T74" s="26" t="str">
        <f>IFERROR(__xludf.DUMMYFUNCTION("IFERROR(TRANSPOSE(QUERY(IFERROR(SORT(GOOGLEFINANCE(C74, ""price"", WORKDAY(TODAY(), -40), TODAY()), 1, FALSE)), ""select Col2 where Col2 is not null limit 22 label Col2 ''"", 0)), """")"),"")</f>
        <v/>
      </c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8"/>
      <c r="AO74" s="28"/>
      <c r="AP74" s="29"/>
      <c r="AQ74" s="29" t="str">
        <f t="shared" ref="AQ74:BL74" si="77">T74/T$2</f>
        <v>#N/A</v>
      </c>
      <c r="AR74" s="29" t="str">
        <f t="shared" si="77"/>
        <v>#DIV/0!</v>
      </c>
      <c r="AS74" s="29" t="str">
        <f t="shared" si="77"/>
        <v>#DIV/0!</v>
      </c>
      <c r="AT74" s="29" t="str">
        <f t="shared" si="77"/>
        <v>#DIV/0!</v>
      </c>
      <c r="AU74" s="29" t="str">
        <f t="shared" si="77"/>
        <v>#DIV/0!</v>
      </c>
      <c r="AV74" s="29" t="str">
        <f t="shared" si="77"/>
        <v>#DIV/0!</v>
      </c>
      <c r="AW74" s="29" t="str">
        <f t="shared" si="77"/>
        <v>#DIV/0!</v>
      </c>
      <c r="AX74" s="29" t="str">
        <f t="shared" si="77"/>
        <v>#DIV/0!</v>
      </c>
      <c r="AY74" s="29" t="str">
        <f t="shared" si="77"/>
        <v>#DIV/0!</v>
      </c>
      <c r="AZ74" s="29" t="str">
        <f t="shared" si="77"/>
        <v>#DIV/0!</v>
      </c>
      <c r="BA74" s="29" t="str">
        <f t="shared" si="77"/>
        <v>#DIV/0!</v>
      </c>
      <c r="BB74" s="29" t="str">
        <f t="shared" si="77"/>
        <v>#DIV/0!</v>
      </c>
      <c r="BC74" s="29" t="str">
        <f t="shared" si="77"/>
        <v>#DIV/0!</v>
      </c>
      <c r="BD74" s="29" t="str">
        <f t="shared" si="77"/>
        <v>#DIV/0!</v>
      </c>
      <c r="BE74" s="29" t="str">
        <f t="shared" si="77"/>
        <v>#DIV/0!</v>
      </c>
      <c r="BF74" s="29" t="str">
        <f t="shared" si="77"/>
        <v>#DIV/0!</v>
      </c>
      <c r="BG74" s="29" t="str">
        <f t="shared" si="77"/>
        <v>#DIV/0!</v>
      </c>
      <c r="BH74" s="29" t="str">
        <f t="shared" si="77"/>
        <v>#DIV/0!</v>
      </c>
      <c r="BI74" s="29" t="str">
        <f t="shared" si="77"/>
        <v>#DIV/0!</v>
      </c>
      <c r="BJ74" s="29" t="str">
        <f t="shared" si="77"/>
        <v>#DIV/0!</v>
      </c>
      <c r="BK74" s="29" t="str">
        <f t="shared" si="77"/>
        <v>#DIV/0!</v>
      </c>
      <c r="BL74" s="29" t="str">
        <f t="shared" si="77"/>
        <v>#DIV/0!</v>
      </c>
      <c r="BM74" s="29" t="str">
        <f t="shared" si="3"/>
        <v>#DIV/0!</v>
      </c>
    </row>
    <row r="75">
      <c r="A75" s="16" t="str">
        <f>IFERROR(__xludf.DUMMYFUNCTION("IFERROR(SPARKLINE(SORT(MAP(TRANSPOSE(AQ75:BL75), LAMBDA(val, IF(ISNUMBER(val), PERCENTRANK(AQ75:BL75, val)+0.01, 0))), SEQUENCE(COLUMNS(AQ75:BL75)), FALSE), {""charttype"",""column""; ""color"",""chartreuse""; ""ymin"", 0; ""ymax"", 1.01; ""highcolor"", "&amp;"""darkgreen""; ""lowcolor"", ""red""}), """")"),"")</f>
        <v/>
      </c>
      <c r="B75" s="17" t="str">
        <f t="shared" si="4"/>
        <v/>
      </c>
      <c r="C75" s="1" t="s">
        <v>1750</v>
      </c>
      <c r="D75" s="30" t="str">
        <f>IFERROR(__xludf.DUMMYFUNCTION("IFERROR(GOOGLEFINANCE(C75, ""NAME""))"),"ICON PLC")</f>
        <v>ICON PLC</v>
      </c>
      <c r="E75" s="30" t="s">
        <v>1499</v>
      </c>
      <c r="F75" s="33" t="str">
        <f>IFERROR(__xludf.DUMMYFUNCTION("( (GOOGLEFINANCE(C75, ""price"") - Q75) / Q75 ) / (R75 / 100)"),"Loading...")</f>
        <v>Loading...</v>
      </c>
      <c r="G75" s="20" t="str">
        <f>IFERROR(__xludf.DUMMYFUNCTION("AVERAGE(ARRAYFORMULA(100 * (QUERY(GOOGLEFINANCE(C75, ""high"", TODAY()-40, TODAY()), ""SELECT Col2 WHERE Col2 IS NOT NULL ORDER BY Col1 DESC LIMIT 20"", 0) / QUERY(GOOGLEFINANCE(C75, ""low"", TODAY()-40, TODAY()), ""SELECT Col2 WHERE Col2 IS NOT NULL ORDE"&amp;"R BY Col1 DESC LIMIT 20"", 0) - 1)))"),"#N/A")</f>
        <v>#N/A</v>
      </c>
      <c r="H75" s="35" t="str">
        <f t="shared" si="6"/>
        <v/>
      </c>
      <c r="I75" s="36" t="str">
        <f t="shared" si="7"/>
        <v/>
      </c>
      <c r="J75" s="37" t="str">
        <f>IFERROR(__xludf.DUMMYFUNCTION("IFERROR(
  IF(C75="""",, 
    IFERROR(
      GOOGLEFINANCE(C75, ""price"") * GOOGLEFINANCE(C75, ""volumeavg""), 
      GOOGLEFINANCE(C75, ""price"") * AVERAGE(QUERY(GOOGLEFINANCE(C75, ""volume"", TODAY()-40, TODAY()), ""SELECT Col2 WHERE Col2 IS NOT NULL "&amp;"ORDER BY Col1 DESC LIMIT 20"", 0))
    )
  ), 
"""")"),"")</f>
        <v/>
      </c>
      <c r="K75" s="21" t="str">
        <f>IFERROR(__xludf.DUMMYFUNCTION("IFERROR(GOOGLEFINANCE(C75, ""changepct"") / 100, """")"),"")</f>
        <v/>
      </c>
      <c r="L75" s="21" t="str">
        <f>IFERROR(__xludf.DUMMYFUNCTION("IFERROR((GOOGLEFINANCE(C75, ""price"") / INDEX(GOOGLEFINANCE(C75, ""price"", TODAY()-7, TODAY()), 2, 2)) - 1, """")"),"")</f>
        <v/>
      </c>
      <c r="M75" s="21" t="str">
        <f>IFERROR(__xludf.DUMMYFUNCTION("IFERROR((GOOGLEFINANCE(C75, ""price"") / INDEX(GOOGLEFINANCE(C75, ""price"", EDATE(TODAY(), -1), TODAY()), 2, 2)) - 1, """")"),"")</f>
        <v/>
      </c>
      <c r="N75" s="21" t="str">
        <f>IFERROR(__xludf.DUMMYFUNCTION("IFERROR((GOOGLEFINANCE(C75, ""price"") / INDEX(GOOGLEFINANCE(C75, ""price"", EDATE(TODAY(), -3), TODAY()), 2, 2)) - 1, """")"),"")</f>
        <v/>
      </c>
      <c r="O75" s="21" t="str">
        <f>IFERROR(__xludf.DUMMYFUNCTION("IFERROR((GOOGLEFINANCE(C75, ""price"") / INDEX(GOOGLEFINANCE(C75, ""price"", EDATE(TODAY(), -6), TODAY()), 2, 2)) - 1, """")"),"")</f>
        <v/>
      </c>
      <c r="P75" s="21" t="str">
        <f>IFERROR(__xludf.DUMMYFUNCTION("IFERROR((GOOGLEFINANCE(C75, ""price"") / INDEX(GOOGLEFINANCE(C75, ""price"", EDATE(TODAY(), -12), TODAY()), 2, 2)) - 1, """")"),"")</f>
        <v/>
      </c>
      <c r="Q75" s="6" t="str">
        <f>IFERROR(__xludf.DUMMYFUNCTION("AVERAGE(QUERY(GOOGLEFINANCE(C75, ""price"", TODAY()-80, TODAY()), ""SELECT Col2 WHERE Col2 IS NOT NULL ORDER BY Col1 DESC LIMIT 50"", 0))"),"#N/A")</f>
        <v>#N/A</v>
      </c>
      <c r="R75" s="24" t="str">
        <f>IFERROR(__xludf.DUMMYFUNCTION("IFERROR(
  LET(
    data, QUERY(GOOGLEFINANCE(C75,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GOOGLEFINANCE(C75, ""price"")) * 100,
    IF(calc=0, G75, calc)
  ), 
G75)"),"#N/A")</f>
        <v>#N/A</v>
      </c>
      <c r="S75" s="8" t="s">
        <v>15</v>
      </c>
      <c r="T75" s="26" t="str">
        <f>IFERROR(__xludf.DUMMYFUNCTION("IFERROR(TRANSPOSE(QUERY(IFERROR(SORT(GOOGLEFINANCE(C75, ""price"", WORKDAY(TODAY(), -40), TODAY()), 1, FALSE)), ""select Col2 where Col2 is not null limit 22 label Col2 ''"", 0)), """")"),"")</f>
        <v/>
      </c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8"/>
      <c r="AO75" s="28"/>
      <c r="AP75" s="29"/>
      <c r="AQ75" s="29" t="str">
        <f t="shared" ref="AQ75:BL75" si="78">T75/T$2</f>
        <v>#N/A</v>
      </c>
      <c r="AR75" s="29" t="str">
        <f t="shared" si="78"/>
        <v>#DIV/0!</v>
      </c>
      <c r="AS75" s="29" t="str">
        <f t="shared" si="78"/>
        <v>#DIV/0!</v>
      </c>
      <c r="AT75" s="29" t="str">
        <f t="shared" si="78"/>
        <v>#DIV/0!</v>
      </c>
      <c r="AU75" s="29" t="str">
        <f t="shared" si="78"/>
        <v>#DIV/0!</v>
      </c>
      <c r="AV75" s="29" t="str">
        <f t="shared" si="78"/>
        <v>#DIV/0!</v>
      </c>
      <c r="AW75" s="29" t="str">
        <f t="shared" si="78"/>
        <v>#DIV/0!</v>
      </c>
      <c r="AX75" s="29" t="str">
        <f t="shared" si="78"/>
        <v>#DIV/0!</v>
      </c>
      <c r="AY75" s="29" t="str">
        <f t="shared" si="78"/>
        <v>#DIV/0!</v>
      </c>
      <c r="AZ75" s="29" t="str">
        <f t="shared" si="78"/>
        <v>#DIV/0!</v>
      </c>
      <c r="BA75" s="29" t="str">
        <f t="shared" si="78"/>
        <v>#DIV/0!</v>
      </c>
      <c r="BB75" s="29" t="str">
        <f t="shared" si="78"/>
        <v>#DIV/0!</v>
      </c>
      <c r="BC75" s="29" t="str">
        <f t="shared" si="78"/>
        <v>#DIV/0!</v>
      </c>
      <c r="BD75" s="29" t="str">
        <f t="shared" si="78"/>
        <v>#DIV/0!</v>
      </c>
      <c r="BE75" s="29" t="str">
        <f t="shared" si="78"/>
        <v>#DIV/0!</v>
      </c>
      <c r="BF75" s="29" t="str">
        <f t="shared" si="78"/>
        <v>#DIV/0!</v>
      </c>
      <c r="BG75" s="29" t="str">
        <f t="shared" si="78"/>
        <v>#DIV/0!</v>
      </c>
      <c r="BH75" s="29" t="str">
        <f t="shared" si="78"/>
        <v>#DIV/0!</v>
      </c>
      <c r="BI75" s="29" t="str">
        <f t="shared" si="78"/>
        <v>#DIV/0!</v>
      </c>
      <c r="BJ75" s="29" t="str">
        <f t="shared" si="78"/>
        <v>#DIV/0!</v>
      </c>
      <c r="BK75" s="29" t="str">
        <f t="shared" si="78"/>
        <v>#DIV/0!</v>
      </c>
      <c r="BL75" s="29" t="str">
        <f t="shared" si="78"/>
        <v>#DIV/0!</v>
      </c>
      <c r="BM75" s="29" t="str">
        <f t="shared" si="3"/>
        <v>#DIV/0!</v>
      </c>
    </row>
    <row r="76">
      <c r="A76" s="16" t="str">
        <f>IFERROR(__xludf.DUMMYFUNCTION("IFERROR(SPARKLINE(SORT(MAP(TRANSPOSE(AQ76:BL76), LAMBDA(val, IF(ISNUMBER(val), PERCENTRANK(AQ76:BL76, val)+0.01, 0))), SEQUENCE(COLUMNS(AQ76:BL76)), FALSE), {""charttype"",""column""; ""color"",""chartreuse""; ""ymin"", 0; ""ymax"", 1.01; ""highcolor"", "&amp;"""darkgreen""; ""lowcolor"", ""red""}), """")"),"")</f>
        <v/>
      </c>
      <c r="B76" s="17" t="str">
        <f t="shared" si="4"/>
        <v/>
      </c>
      <c r="C76" s="1" t="s">
        <v>1755</v>
      </c>
      <c r="D76" s="30" t="str">
        <f>IFERROR(__xludf.DUMMYFUNCTION("IFERROR(GOOGLEFINANCE(C76, ""NAME""))"),"Pulse Biosciences Inc")</f>
        <v>Pulse Biosciences Inc</v>
      </c>
      <c r="E76" s="30" t="s">
        <v>1502</v>
      </c>
      <c r="F76" s="33" t="str">
        <f>IFERROR(__xludf.DUMMYFUNCTION("( (GOOGLEFINANCE(C76, ""price"") - Q76) / Q76 ) / (R76 / 100)"),"Loading...")</f>
        <v>Loading...</v>
      </c>
      <c r="G76" s="20" t="str">
        <f>IFERROR(__xludf.DUMMYFUNCTION("AVERAGE(ARRAYFORMULA(100 * (QUERY(GOOGLEFINANCE(C76, ""high"", TODAY()-40, TODAY()), ""SELECT Col2 WHERE Col2 IS NOT NULL ORDER BY Col1 DESC LIMIT 20"", 0) / QUERY(GOOGLEFINANCE(C76, ""low"", TODAY()-40, TODAY()), ""SELECT Col2 WHERE Col2 IS NOT NULL ORDE"&amp;"R BY Col1 DESC LIMIT 20"", 0) - 1)))"),"#N/A")</f>
        <v>#N/A</v>
      </c>
      <c r="H76" s="35" t="str">
        <f t="shared" si="6"/>
        <v/>
      </c>
      <c r="I76" s="36" t="str">
        <f t="shared" si="7"/>
        <v/>
      </c>
      <c r="J76" s="37" t="str">
        <f>IFERROR(__xludf.DUMMYFUNCTION("IFERROR(
  IF(C76="""",, 
    IFERROR(
      GOOGLEFINANCE(C76, ""price"") * GOOGLEFINANCE(C76, ""volumeavg""), 
      GOOGLEFINANCE(C76, ""price"") * AVERAGE(QUERY(GOOGLEFINANCE(C76, ""volume"", TODAY()-40, TODAY()), ""SELECT Col2 WHERE Col2 IS NOT NULL "&amp;"ORDER BY Col1 DESC LIMIT 20"", 0))
    )
  ), 
"""")"),"")</f>
        <v/>
      </c>
      <c r="K76" s="21" t="str">
        <f>IFERROR(__xludf.DUMMYFUNCTION("IFERROR(GOOGLEFINANCE(C76, ""changepct"") / 100, """")"),"")</f>
        <v/>
      </c>
      <c r="L76" s="21" t="str">
        <f>IFERROR(__xludf.DUMMYFUNCTION("IFERROR((GOOGLEFINANCE(C76, ""price"") / INDEX(GOOGLEFINANCE(C76, ""price"", TODAY()-7, TODAY()), 2, 2)) - 1, """")"),"")</f>
        <v/>
      </c>
      <c r="M76" s="21" t="str">
        <f>IFERROR(__xludf.DUMMYFUNCTION("IFERROR((GOOGLEFINANCE(C76, ""price"") / INDEX(GOOGLEFINANCE(C76, ""price"", EDATE(TODAY(), -1), TODAY()), 2, 2)) - 1, """")"),"")</f>
        <v/>
      </c>
      <c r="N76" s="21" t="str">
        <f>IFERROR(__xludf.DUMMYFUNCTION("IFERROR((GOOGLEFINANCE(C76, ""price"") / INDEX(GOOGLEFINANCE(C76, ""price"", EDATE(TODAY(), -3), TODAY()), 2, 2)) - 1, """")"),"")</f>
        <v/>
      </c>
      <c r="O76" s="21" t="str">
        <f>IFERROR(__xludf.DUMMYFUNCTION("IFERROR((GOOGLEFINANCE(C76, ""price"") / INDEX(GOOGLEFINANCE(C76, ""price"", EDATE(TODAY(), -6), TODAY()), 2, 2)) - 1, """")"),"")</f>
        <v/>
      </c>
      <c r="P76" s="21" t="str">
        <f>IFERROR(__xludf.DUMMYFUNCTION("IFERROR((GOOGLEFINANCE(C76, ""price"") / INDEX(GOOGLEFINANCE(C76, ""price"", EDATE(TODAY(), -12), TODAY()), 2, 2)) - 1, """")"),"")</f>
        <v/>
      </c>
      <c r="Q76" s="6" t="str">
        <f>IFERROR(__xludf.DUMMYFUNCTION("AVERAGE(QUERY(GOOGLEFINANCE(C76, ""price"", TODAY()-80, TODAY()), ""SELECT Col2 WHERE Col2 IS NOT NULL ORDER BY Col1 DESC LIMIT 50"", 0))"),"#N/A")</f>
        <v>#N/A</v>
      </c>
      <c r="R76" s="24" t="str">
        <f>IFERROR(__xludf.DUMMYFUNCTION("IFERROR(
  LET(
    data, QUERY(GOOGLEFINANCE(C76,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GOOGLEFINANCE(C76, ""price"")) * 100,
    IF(calc=0, G76, calc)
  ), 
G76)"),"#N/A")</f>
        <v>#N/A</v>
      </c>
      <c r="S76" s="8" t="s">
        <v>15</v>
      </c>
      <c r="T76" s="26" t="str">
        <f>IFERROR(__xludf.DUMMYFUNCTION("IFERROR(TRANSPOSE(QUERY(IFERROR(SORT(GOOGLEFINANCE(C76, ""price"", WORKDAY(TODAY(), -40), TODAY()), 1, FALSE)), ""select Col2 where Col2 is not null limit 22 label Col2 ''"", 0)), """")"),"")</f>
        <v/>
      </c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8"/>
      <c r="AO76" s="28"/>
      <c r="AP76" s="29"/>
      <c r="AQ76" s="29" t="str">
        <f t="shared" ref="AQ76:BL76" si="79">T76/T$2</f>
        <v>#N/A</v>
      </c>
      <c r="AR76" s="29" t="str">
        <f t="shared" si="79"/>
        <v>#DIV/0!</v>
      </c>
      <c r="AS76" s="29" t="str">
        <f t="shared" si="79"/>
        <v>#DIV/0!</v>
      </c>
      <c r="AT76" s="29" t="str">
        <f t="shared" si="79"/>
        <v>#DIV/0!</v>
      </c>
      <c r="AU76" s="29" t="str">
        <f t="shared" si="79"/>
        <v>#DIV/0!</v>
      </c>
      <c r="AV76" s="29" t="str">
        <f t="shared" si="79"/>
        <v>#DIV/0!</v>
      </c>
      <c r="AW76" s="29" t="str">
        <f t="shared" si="79"/>
        <v>#DIV/0!</v>
      </c>
      <c r="AX76" s="29" t="str">
        <f t="shared" si="79"/>
        <v>#DIV/0!</v>
      </c>
      <c r="AY76" s="29" t="str">
        <f t="shared" si="79"/>
        <v>#DIV/0!</v>
      </c>
      <c r="AZ76" s="29" t="str">
        <f t="shared" si="79"/>
        <v>#DIV/0!</v>
      </c>
      <c r="BA76" s="29" t="str">
        <f t="shared" si="79"/>
        <v>#DIV/0!</v>
      </c>
      <c r="BB76" s="29" t="str">
        <f t="shared" si="79"/>
        <v>#DIV/0!</v>
      </c>
      <c r="BC76" s="29" t="str">
        <f t="shared" si="79"/>
        <v>#DIV/0!</v>
      </c>
      <c r="BD76" s="29" t="str">
        <f t="shared" si="79"/>
        <v>#DIV/0!</v>
      </c>
      <c r="BE76" s="29" t="str">
        <f t="shared" si="79"/>
        <v>#DIV/0!</v>
      </c>
      <c r="BF76" s="29" t="str">
        <f t="shared" si="79"/>
        <v>#DIV/0!</v>
      </c>
      <c r="BG76" s="29" t="str">
        <f t="shared" si="79"/>
        <v>#DIV/0!</v>
      </c>
      <c r="BH76" s="29" t="str">
        <f t="shared" si="79"/>
        <v>#DIV/0!</v>
      </c>
      <c r="BI76" s="29" t="str">
        <f t="shared" si="79"/>
        <v>#DIV/0!</v>
      </c>
      <c r="BJ76" s="29" t="str">
        <f t="shared" si="79"/>
        <v>#DIV/0!</v>
      </c>
      <c r="BK76" s="29" t="str">
        <f t="shared" si="79"/>
        <v>#DIV/0!</v>
      </c>
      <c r="BL76" s="29" t="str">
        <f t="shared" si="79"/>
        <v>#DIV/0!</v>
      </c>
      <c r="BM76" s="29" t="str">
        <f t="shared" si="3"/>
        <v>#DIV/0!</v>
      </c>
    </row>
    <row r="77">
      <c r="A77" s="16" t="str">
        <f>IFERROR(__xludf.DUMMYFUNCTION("IFERROR(SPARKLINE(SORT(MAP(TRANSPOSE(AQ77:BL77), LAMBDA(val, IF(ISNUMBER(val), PERCENTRANK(AQ77:BL77, val)+0.01, 0))), SEQUENCE(COLUMNS(AQ77:BL77)), FALSE), {""charttype"",""column""; ""color"",""chartreuse""; ""ymin"", 0; ""ymax"", 1.01; ""highcolor"", "&amp;"""darkgreen""; ""lowcolor"", ""red""}), """")"),"")</f>
        <v/>
      </c>
      <c r="B77" s="17" t="str">
        <f t="shared" si="4"/>
        <v/>
      </c>
      <c r="C77" s="1" t="s">
        <v>1759</v>
      </c>
      <c r="D77" s="30" t="str">
        <f>IFERROR(__xludf.DUMMYFUNCTION("IFERROR(GOOGLEFINANCE(C77, ""NAME""))"),"Omnicell Inc")</f>
        <v>Omnicell Inc</v>
      </c>
      <c r="E77" s="30" t="s">
        <v>1532</v>
      </c>
      <c r="F77" s="33" t="str">
        <f>IFERROR(__xludf.DUMMYFUNCTION("( (GOOGLEFINANCE(C77, ""price"") - Q77) / Q77 ) / (R77 / 100)"),"Loading...")</f>
        <v>Loading...</v>
      </c>
      <c r="G77" s="20" t="str">
        <f>IFERROR(__xludf.DUMMYFUNCTION("AVERAGE(ARRAYFORMULA(100 * (QUERY(GOOGLEFINANCE(C77, ""high"", TODAY()-40, TODAY()), ""SELECT Col2 WHERE Col2 IS NOT NULL ORDER BY Col1 DESC LIMIT 20"", 0) / QUERY(GOOGLEFINANCE(C77, ""low"", TODAY()-40, TODAY()), ""SELECT Col2 WHERE Col2 IS NOT NULL ORDE"&amp;"R BY Col1 DESC LIMIT 20"", 0) - 1)))"),"#N/A")</f>
        <v>#N/A</v>
      </c>
      <c r="H77" s="35" t="str">
        <f t="shared" si="6"/>
        <v/>
      </c>
      <c r="I77" s="36" t="str">
        <f t="shared" si="7"/>
        <v/>
      </c>
      <c r="J77" s="37" t="str">
        <f>IFERROR(__xludf.DUMMYFUNCTION("IFERROR(
  IF(C77="""",, 
    IFERROR(
      GOOGLEFINANCE(C77, ""price"") * GOOGLEFINANCE(C77, ""volumeavg""), 
      GOOGLEFINANCE(C77, ""price"") * AVERAGE(QUERY(GOOGLEFINANCE(C77, ""volume"", TODAY()-40, TODAY()), ""SELECT Col2 WHERE Col2 IS NOT NULL "&amp;"ORDER BY Col1 DESC LIMIT 20"", 0))
    )
  ), 
"""")"),"")</f>
        <v/>
      </c>
      <c r="K77" s="21" t="str">
        <f>IFERROR(__xludf.DUMMYFUNCTION("IFERROR(GOOGLEFINANCE(C77, ""changepct"") / 100, """")"),"")</f>
        <v/>
      </c>
      <c r="L77" s="21" t="str">
        <f>IFERROR(__xludf.DUMMYFUNCTION("IFERROR((GOOGLEFINANCE(C77, ""price"") / INDEX(GOOGLEFINANCE(C77, ""price"", TODAY()-7, TODAY()), 2, 2)) - 1, """")"),"")</f>
        <v/>
      </c>
      <c r="M77" s="21" t="str">
        <f>IFERROR(__xludf.DUMMYFUNCTION("IFERROR((GOOGLEFINANCE(C77, ""price"") / INDEX(GOOGLEFINANCE(C77, ""price"", EDATE(TODAY(), -1), TODAY()), 2, 2)) - 1, """")"),"")</f>
        <v/>
      </c>
      <c r="N77" s="21" t="str">
        <f>IFERROR(__xludf.DUMMYFUNCTION("IFERROR((GOOGLEFINANCE(C77, ""price"") / INDEX(GOOGLEFINANCE(C77, ""price"", EDATE(TODAY(), -3), TODAY()), 2, 2)) - 1, """")"),"")</f>
        <v/>
      </c>
      <c r="O77" s="21" t="str">
        <f>IFERROR(__xludf.DUMMYFUNCTION("IFERROR((GOOGLEFINANCE(C77, ""price"") / INDEX(GOOGLEFINANCE(C77, ""price"", EDATE(TODAY(), -6), TODAY()), 2, 2)) - 1, """")"),"")</f>
        <v/>
      </c>
      <c r="P77" s="21" t="str">
        <f>IFERROR(__xludf.DUMMYFUNCTION("IFERROR((GOOGLEFINANCE(C77, ""price"") / INDEX(GOOGLEFINANCE(C77, ""price"", EDATE(TODAY(), -12), TODAY()), 2, 2)) - 1, """")"),"")</f>
        <v/>
      </c>
      <c r="Q77" s="6" t="str">
        <f>IFERROR(__xludf.DUMMYFUNCTION("AVERAGE(QUERY(GOOGLEFINANCE(C77, ""price"", TODAY()-80, TODAY()), ""SELECT Col2 WHERE Col2 IS NOT NULL ORDER BY Col1 DESC LIMIT 50"", 0))"),"#N/A")</f>
        <v>#N/A</v>
      </c>
      <c r="R77" s="24" t="str">
        <f>IFERROR(__xludf.DUMMYFUNCTION("IFERROR(
  LET(
    data, QUERY(GOOGLEFINANCE(C77,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GOOGLEFINANCE(C77, ""price"")) * 100,
    IF(calc=0, G77, calc)
  ), 
G77)"),"#N/A")</f>
        <v>#N/A</v>
      </c>
      <c r="S77" s="8" t="s">
        <v>15</v>
      </c>
      <c r="T77" s="26" t="str">
        <f>IFERROR(__xludf.DUMMYFUNCTION("IFERROR(TRANSPOSE(QUERY(IFERROR(SORT(GOOGLEFINANCE(C77, ""price"", WORKDAY(TODAY(), -40), TODAY()), 1, FALSE)), ""select Col2 where Col2 is not null limit 22 label Col2 ''"", 0)), """")"),"")</f>
        <v/>
      </c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8"/>
      <c r="AO77" s="28"/>
      <c r="AP77" s="29"/>
      <c r="AQ77" s="29" t="str">
        <f t="shared" ref="AQ77:BL77" si="80">T77/T$2</f>
        <v>#N/A</v>
      </c>
      <c r="AR77" s="29" t="str">
        <f t="shared" si="80"/>
        <v>#DIV/0!</v>
      </c>
      <c r="AS77" s="29" t="str">
        <f t="shared" si="80"/>
        <v>#DIV/0!</v>
      </c>
      <c r="AT77" s="29" t="str">
        <f t="shared" si="80"/>
        <v>#DIV/0!</v>
      </c>
      <c r="AU77" s="29" t="str">
        <f t="shared" si="80"/>
        <v>#DIV/0!</v>
      </c>
      <c r="AV77" s="29" t="str">
        <f t="shared" si="80"/>
        <v>#DIV/0!</v>
      </c>
      <c r="AW77" s="29" t="str">
        <f t="shared" si="80"/>
        <v>#DIV/0!</v>
      </c>
      <c r="AX77" s="29" t="str">
        <f t="shared" si="80"/>
        <v>#DIV/0!</v>
      </c>
      <c r="AY77" s="29" t="str">
        <f t="shared" si="80"/>
        <v>#DIV/0!</v>
      </c>
      <c r="AZ77" s="29" t="str">
        <f t="shared" si="80"/>
        <v>#DIV/0!</v>
      </c>
      <c r="BA77" s="29" t="str">
        <f t="shared" si="80"/>
        <v>#DIV/0!</v>
      </c>
      <c r="BB77" s="29" t="str">
        <f t="shared" si="80"/>
        <v>#DIV/0!</v>
      </c>
      <c r="BC77" s="29" t="str">
        <f t="shared" si="80"/>
        <v>#DIV/0!</v>
      </c>
      <c r="BD77" s="29" t="str">
        <f t="shared" si="80"/>
        <v>#DIV/0!</v>
      </c>
      <c r="BE77" s="29" t="str">
        <f t="shared" si="80"/>
        <v>#DIV/0!</v>
      </c>
      <c r="BF77" s="29" t="str">
        <f t="shared" si="80"/>
        <v>#DIV/0!</v>
      </c>
      <c r="BG77" s="29" t="str">
        <f t="shared" si="80"/>
        <v>#DIV/0!</v>
      </c>
      <c r="BH77" s="29" t="str">
        <f t="shared" si="80"/>
        <v>#DIV/0!</v>
      </c>
      <c r="BI77" s="29" t="str">
        <f t="shared" si="80"/>
        <v>#DIV/0!</v>
      </c>
      <c r="BJ77" s="29" t="str">
        <f t="shared" si="80"/>
        <v>#DIV/0!</v>
      </c>
      <c r="BK77" s="29" t="str">
        <f t="shared" si="80"/>
        <v>#DIV/0!</v>
      </c>
      <c r="BL77" s="29" t="str">
        <f t="shared" si="80"/>
        <v>#DIV/0!</v>
      </c>
      <c r="BM77" s="29" t="str">
        <f t="shared" si="3"/>
        <v>#DIV/0!</v>
      </c>
    </row>
    <row r="78">
      <c r="A78" s="16" t="str">
        <f>IFERROR(__xludf.DUMMYFUNCTION("IFERROR(SPARKLINE(SORT(MAP(TRANSPOSE(AQ78:BL78), LAMBDA(val, IF(ISNUMBER(val), PERCENTRANK(AQ78:BL78, val)+0.01, 0))), SEQUENCE(COLUMNS(AQ78:BL78)), FALSE), {""charttype"",""column""; ""color"",""chartreuse""; ""ymin"", 0; ""ymax"", 1.01; ""highcolor"", "&amp;"""darkgreen""; ""lowcolor"", ""red""}), """")"),"")</f>
        <v/>
      </c>
      <c r="B78" s="17" t="str">
        <f t="shared" si="4"/>
        <v/>
      </c>
      <c r="C78" s="1" t="s">
        <v>1763</v>
      </c>
      <c r="D78" s="30" t="str">
        <f>IFERROR(__xludf.DUMMYFUNCTION("IFERROR(GOOGLEFINANCE(C78, ""NAME""))"),"Brainsway Ltd - ADR")</f>
        <v>Brainsway Ltd - ADR</v>
      </c>
      <c r="E78" s="30" t="s">
        <v>1491</v>
      </c>
      <c r="F78" s="33" t="str">
        <f>IFERROR(__xludf.DUMMYFUNCTION("( (GOOGLEFINANCE(C78, ""price"") - Q78) / Q78 ) / (R78 / 100)"),"Loading...")</f>
        <v>Loading...</v>
      </c>
      <c r="G78" s="20" t="str">
        <f>IFERROR(__xludf.DUMMYFUNCTION("AVERAGE(ARRAYFORMULA(100 * (QUERY(GOOGLEFINANCE(C78, ""high"", TODAY()-40, TODAY()), ""SELECT Col2 WHERE Col2 IS NOT NULL ORDER BY Col1 DESC LIMIT 20"", 0) / QUERY(GOOGLEFINANCE(C78, ""low"", TODAY()-40, TODAY()), ""SELECT Col2 WHERE Col2 IS NOT NULL ORDE"&amp;"R BY Col1 DESC LIMIT 20"", 0) - 1)))"),"#N/A")</f>
        <v>#N/A</v>
      </c>
      <c r="H78" s="35" t="str">
        <f t="shared" si="6"/>
        <v/>
      </c>
      <c r="I78" s="36" t="str">
        <f t="shared" si="7"/>
        <v/>
      </c>
      <c r="J78" s="37" t="str">
        <f>IFERROR(__xludf.DUMMYFUNCTION("IFERROR(
  IF(C78="""",, 
    IFERROR(
      GOOGLEFINANCE(C78, ""price"") * GOOGLEFINANCE(C78, ""volumeavg""), 
      GOOGLEFINANCE(C78, ""price"") * AVERAGE(QUERY(GOOGLEFINANCE(C78, ""volume"", TODAY()-40, TODAY()), ""SELECT Col2 WHERE Col2 IS NOT NULL "&amp;"ORDER BY Col1 DESC LIMIT 20"", 0))
    )
  ), 
"""")"),"")</f>
        <v/>
      </c>
      <c r="K78" s="21" t="str">
        <f>IFERROR(__xludf.DUMMYFUNCTION("IFERROR(GOOGLEFINANCE(C78, ""changepct"") / 100, """")"),"")</f>
        <v/>
      </c>
      <c r="L78" s="21" t="str">
        <f>IFERROR(__xludf.DUMMYFUNCTION("IFERROR((GOOGLEFINANCE(C78, ""price"") / INDEX(GOOGLEFINANCE(C78, ""price"", TODAY()-7, TODAY()), 2, 2)) - 1, """")"),"")</f>
        <v/>
      </c>
      <c r="M78" s="21" t="str">
        <f>IFERROR(__xludf.DUMMYFUNCTION("IFERROR((GOOGLEFINANCE(C78, ""price"") / INDEX(GOOGLEFINANCE(C78, ""price"", EDATE(TODAY(), -1), TODAY()), 2, 2)) - 1, """")"),"")</f>
        <v/>
      </c>
      <c r="N78" s="21" t="str">
        <f>IFERROR(__xludf.DUMMYFUNCTION("IFERROR((GOOGLEFINANCE(C78, ""price"") / INDEX(GOOGLEFINANCE(C78, ""price"", EDATE(TODAY(), -3), TODAY()), 2, 2)) - 1, """")"),"")</f>
        <v/>
      </c>
      <c r="O78" s="21" t="str">
        <f>IFERROR(__xludf.DUMMYFUNCTION("IFERROR((GOOGLEFINANCE(C78, ""price"") / INDEX(GOOGLEFINANCE(C78, ""price"", EDATE(TODAY(), -6), TODAY()), 2, 2)) - 1, """")"),"")</f>
        <v/>
      </c>
      <c r="P78" s="21" t="str">
        <f>IFERROR(__xludf.DUMMYFUNCTION("IFERROR((GOOGLEFINANCE(C78, ""price"") / INDEX(GOOGLEFINANCE(C78, ""price"", EDATE(TODAY(), -12), TODAY()), 2, 2)) - 1, """")"),"")</f>
        <v/>
      </c>
      <c r="Q78" s="6" t="str">
        <f>IFERROR(__xludf.DUMMYFUNCTION("AVERAGE(QUERY(GOOGLEFINANCE(C78, ""price"", TODAY()-80, TODAY()), ""SELECT Col2 WHERE Col2 IS NOT NULL ORDER BY Col1 DESC LIMIT 50"", 0))"),"#N/A")</f>
        <v>#N/A</v>
      </c>
      <c r="R78" s="24" t="str">
        <f>IFERROR(__xludf.DUMMYFUNCTION("IFERROR(
  LET(
    data, QUERY(GOOGLEFINANCE(C78,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GOOGLEFINANCE(C78, ""price"")) * 100,
    IF(calc=0, G78, calc)
  ), 
G78)"),"#N/A")</f>
        <v>#N/A</v>
      </c>
      <c r="S78" s="8" t="s">
        <v>15</v>
      </c>
      <c r="T78" s="26" t="str">
        <f>IFERROR(__xludf.DUMMYFUNCTION("IFERROR(TRANSPOSE(QUERY(IFERROR(SORT(GOOGLEFINANCE(C78, ""price"", WORKDAY(TODAY(), -40), TODAY()), 1, FALSE)), ""select Col2 where Col2 is not null limit 22 label Col2 ''"", 0)), """")"),"")</f>
        <v/>
      </c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8"/>
      <c r="AO78" s="28"/>
      <c r="AP78" s="29"/>
      <c r="AQ78" s="29" t="str">
        <f t="shared" ref="AQ78:BL78" si="81">T78/T$2</f>
        <v>#N/A</v>
      </c>
      <c r="AR78" s="29" t="str">
        <f t="shared" si="81"/>
        <v>#DIV/0!</v>
      </c>
      <c r="AS78" s="29" t="str">
        <f t="shared" si="81"/>
        <v>#DIV/0!</v>
      </c>
      <c r="AT78" s="29" t="str">
        <f t="shared" si="81"/>
        <v>#DIV/0!</v>
      </c>
      <c r="AU78" s="29" t="str">
        <f t="shared" si="81"/>
        <v>#DIV/0!</v>
      </c>
      <c r="AV78" s="29" t="str">
        <f t="shared" si="81"/>
        <v>#DIV/0!</v>
      </c>
      <c r="AW78" s="29" t="str">
        <f t="shared" si="81"/>
        <v>#DIV/0!</v>
      </c>
      <c r="AX78" s="29" t="str">
        <f t="shared" si="81"/>
        <v>#DIV/0!</v>
      </c>
      <c r="AY78" s="29" t="str">
        <f t="shared" si="81"/>
        <v>#DIV/0!</v>
      </c>
      <c r="AZ78" s="29" t="str">
        <f t="shared" si="81"/>
        <v>#DIV/0!</v>
      </c>
      <c r="BA78" s="29" t="str">
        <f t="shared" si="81"/>
        <v>#DIV/0!</v>
      </c>
      <c r="BB78" s="29" t="str">
        <f t="shared" si="81"/>
        <v>#DIV/0!</v>
      </c>
      <c r="BC78" s="29" t="str">
        <f t="shared" si="81"/>
        <v>#DIV/0!</v>
      </c>
      <c r="BD78" s="29" t="str">
        <f t="shared" si="81"/>
        <v>#DIV/0!</v>
      </c>
      <c r="BE78" s="29" t="str">
        <f t="shared" si="81"/>
        <v>#DIV/0!</v>
      </c>
      <c r="BF78" s="29" t="str">
        <f t="shared" si="81"/>
        <v>#DIV/0!</v>
      </c>
      <c r="BG78" s="29" t="str">
        <f t="shared" si="81"/>
        <v>#DIV/0!</v>
      </c>
      <c r="BH78" s="29" t="str">
        <f t="shared" si="81"/>
        <v>#DIV/0!</v>
      </c>
      <c r="BI78" s="29" t="str">
        <f t="shared" si="81"/>
        <v>#DIV/0!</v>
      </c>
      <c r="BJ78" s="29" t="str">
        <f t="shared" si="81"/>
        <v>#DIV/0!</v>
      </c>
      <c r="BK78" s="29" t="str">
        <f t="shared" si="81"/>
        <v>#DIV/0!</v>
      </c>
      <c r="BL78" s="29" t="str">
        <f t="shared" si="81"/>
        <v>#DIV/0!</v>
      </c>
      <c r="BM78" s="29" t="str">
        <f t="shared" si="3"/>
        <v>#DIV/0!</v>
      </c>
    </row>
    <row r="79">
      <c r="A79" s="16" t="str">
        <f>IFERROR(__xludf.DUMMYFUNCTION("IFERROR(SPARKLINE(SORT(MAP(TRANSPOSE(AQ79:BL79), LAMBDA(val, IF(ISNUMBER(val), PERCENTRANK(AQ79:BL79, val)+0.01, 0))), SEQUENCE(COLUMNS(AQ79:BL79)), FALSE), {""charttype"",""column""; ""color"",""chartreuse""; ""ymin"", 0; ""ymax"", 1.01; ""highcolor"", "&amp;"""darkgreen""; ""lowcolor"", ""red""}), """")"),"")</f>
        <v/>
      </c>
      <c r="B79" s="17" t="str">
        <f t="shared" si="4"/>
        <v/>
      </c>
      <c r="C79" s="1" t="s">
        <v>1766</v>
      </c>
      <c r="D79" s="30" t="str">
        <f>IFERROR(__xludf.DUMMYFUNCTION("IFERROR(GOOGLEFINANCE(C79, ""NAME""))"),"Molina Healthcare Inc")</f>
        <v>Molina Healthcare Inc</v>
      </c>
      <c r="E79" s="30" t="s">
        <v>1479</v>
      </c>
      <c r="F79" s="33" t="str">
        <f>IFERROR(__xludf.DUMMYFUNCTION("( (GOOGLEFINANCE(C79, ""price"") - Q79) / Q79 ) / (R79 / 100)"),"Loading...")</f>
        <v>Loading...</v>
      </c>
      <c r="G79" s="20" t="str">
        <f>IFERROR(__xludf.DUMMYFUNCTION("AVERAGE(ARRAYFORMULA(100 * (QUERY(GOOGLEFINANCE(C79, ""high"", TODAY()-40, TODAY()), ""SELECT Col2 WHERE Col2 IS NOT NULL ORDER BY Col1 DESC LIMIT 20"", 0) / QUERY(GOOGLEFINANCE(C79, ""low"", TODAY()-40, TODAY()), ""SELECT Col2 WHERE Col2 IS NOT NULL ORDE"&amp;"R BY Col1 DESC LIMIT 20"", 0) - 1)))"),"#N/A")</f>
        <v>#N/A</v>
      </c>
      <c r="H79" s="35" t="str">
        <f t="shared" si="6"/>
        <v/>
      </c>
      <c r="I79" s="36" t="str">
        <f t="shared" si="7"/>
        <v/>
      </c>
      <c r="J79" s="37" t="str">
        <f>IFERROR(__xludf.DUMMYFUNCTION("IFERROR(
  IF(C79="""",, 
    IFERROR(
      GOOGLEFINANCE(C79, ""price"") * GOOGLEFINANCE(C79, ""volumeavg""), 
      GOOGLEFINANCE(C79, ""price"") * AVERAGE(QUERY(GOOGLEFINANCE(C79, ""volume"", TODAY()-40, TODAY()), ""SELECT Col2 WHERE Col2 IS NOT NULL "&amp;"ORDER BY Col1 DESC LIMIT 20"", 0))
    )
  ), 
"""")"),"")</f>
        <v/>
      </c>
      <c r="K79" s="21" t="str">
        <f>IFERROR(__xludf.DUMMYFUNCTION("IFERROR(GOOGLEFINANCE(C79, ""changepct"") / 100, """")"),"")</f>
        <v/>
      </c>
      <c r="L79" s="21" t="str">
        <f>IFERROR(__xludf.DUMMYFUNCTION("IFERROR((GOOGLEFINANCE(C79, ""price"") / INDEX(GOOGLEFINANCE(C79, ""price"", TODAY()-7, TODAY()), 2, 2)) - 1, """")"),"")</f>
        <v/>
      </c>
      <c r="M79" s="21" t="str">
        <f>IFERROR(__xludf.DUMMYFUNCTION("IFERROR((GOOGLEFINANCE(C79, ""price"") / INDEX(GOOGLEFINANCE(C79, ""price"", EDATE(TODAY(), -1), TODAY()), 2, 2)) - 1, """")"),"")</f>
        <v/>
      </c>
      <c r="N79" s="21" t="str">
        <f>IFERROR(__xludf.DUMMYFUNCTION("IFERROR((GOOGLEFINANCE(C79, ""price"") / INDEX(GOOGLEFINANCE(C79, ""price"", EDATE(TODAY(), -3), TODAY()), 2, 2)) - 1, """")"),"")</f>
        <v/>
      </c>
      <c r="O79" s="21" t="str">
        <f>IFERROR(__xludf.DUMMYFUNCTION("IFERROR((GOOGLEFINANCE(C79, ""price"") / INDEX(GOOGLEFINANCE(C79, ""price"", EDATE(TODAY(), -6), TODAY()), 2, 2)) - 1, """")"),"")</f>
        <v/>
      </c>
      <c r="P79" s="21" t="str">
        <f>IFERROR(__xludf.DUMMYFUNCTION("IFERROR((GOOGLEFINANCE(C79, ""price"") / INDEX(GOOGLEFINANCE(C79, ""price"", EDATE(TODAY(), -12), TODAY()), 2, 2)) - 1, """")"),"")</f>
        <v/>
      </c>
      <c r="Q79" s="6" t="str">
        <f>IFERROR(__xludf.DUMMYFUNCTION("AVERAGE(QUERY(GOOGLEFINANCE(C79, ""price"", TODAY()-80, TODAY()), ""SELECT Col2 WHERE Col2 IS NOT NULL ORDER BY Col1 DESC LIMIT 50"", 0))"),"#N/A")</f>
        <v>#N/A</v>
      </c>
      <c r="R79" s="24" t="str">
        <f>IFERROR(__xludf.DUMMYFUNCTION("IFERROR(
  LET(
    data, QUERY(GOOGLEFINANCE(C79,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GOOGLEFINANCE(C79, ""price"")) * 100,
    IF(calc=0, G79, calc)
  ), 
G79)"),"#N/A")</f>
        <v>#N/A</v>
      </c>
      <c r="S79" s="8" t="s">
        <v>15</v>
      </c>
      <c r="T79" s="26" t="str">
        <f>IFERROR(__xludf.DUMMYFUNCTION("IFERROR(TRANSPOSE(QUERY(IFERROR(SORT(GOOGLEFINANCE(C79, ""price"", WORKDAY(TODAY(), -40), TODAY()), 1, FALSE)), ""select Col2 where Col2 is not null limit 22 label Col2 ''"", 0)), """")"),"")</f>
        <v/>
      </c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8"/>
      <c r="AO79" s="28"/>
      <c r="AP79" s="29"/>
      <c r="AQ79" s="29" t="str">
        <f t="shared" ref="AQ79:BL79" si="82">T79/T$2</f>
        <v>#N/A</v>
      </c>
      <c r="AR79" s="29" t="str">
        <f t="shared" si="82"/>
        <v>#DIV/0!</v>
      </c>
      <c r="AS79" s="29" t="str">
        <f t="shared" si="82"/>
        <v>#DIV/0!</v>
      </c>
      <c r="AT79" s="29" t="str">
        <f t="shared" si="82"/>
        <v>#DIV/0!</v>
      </c>
      <c r="AU79" s="29" t="str">
        <f t="shared" si="82"/>
        <v>#DIV/0!</v>
      </c>
      <c r="AV79" s="29" t="str">
        <f t="shared" si="82"/>
        <v>#DIV/0!</v>
      </c>
      <c r="AW79" s="29" t="str">
        <f t="shared" si="82"/>
        <v>#DIV/0!</v>
      </c>
      <c r="AX79" s="29" t="str">
        <f t="shared" si="82"/>
        <v>#DIV/0!</v>
      </c>
      <c r="AY79" s="29" t="str">
        <f t="shared" si="82"/>
        <v>#DIV/0!</v>
      </c>
      <c r="AZ79" s="29" t="str">
        <f t="shared" si="82"/>
        <v>#DIV/0!</v>
      </c>
      <c r="BA79" s="29" t="str">
        <f t="shared" si="82"/>
        <v>#DIV/0!</v>
      </c>
      <c r="BB79" s="29" t="str">
        <f t="shared" si="82"/>
        <v>#DIV/0!</v>
      </c>
      <c r="BC79" s="29" t="str">
        <f t="shared" si="82"/>
        <v>#DIV/0!</v>
      </c>
      <c r="BD79" s="29" t="str">
        <f t="shared" si="82"/>
        <v>#DIV/0!</v>
      </c>
      <c r="BE79" s="29" t="str">
        <f t="shared" si="82"/>
        <v>#DIV/0!</v>
      </c>
      <c r="BF79" s="29" t="str">
        <f t="shared" si="82"/>
        <v>#DIV/0!</v>
      </c>
      <c r="BG79" s="29" t="str">
        <f t="shared" si="82"/>
        <v>#DIV/0!</v>
      </c>
      <c r="BH79" s="29" t="str">
        <f t="shared" si="82"/>
        <v>#DIV/0!</v>
      </c>
      <c r="BI79" s="29" t="str">
        <f t="shared" si="82"/>
        <v>#DIV/0!</v>
      </c>
      <c r="BJ79" s="29" t="str">
        <f t="shared" si="82"/>
        <v>#DIV/0!</v>
      </c>
      <c r="BK79" s="29" t="str">
        <f t="shared" si="82"/>
        <v>#DIV/0!</v>
      </c>
      <c r="BL79" s="29" t="str">
        <f t="shared" si="82"/>
        <v>#DIV/0!</v>
      </c>
      <c r="BM79" s="29" t="str">
        <f t="shared" si="3"/>
        <v>#DIV/0!</v>
      </c>
    </row>
    <row r="80">
      <c r="A80" s="16" t="str">
        <f>IFERROR(__xludf.DUMMYFUNCTION("IFERROR(SPARKLINE(SORT(MAP(TRANSPOSE(AQ80:BL80), LAMBDA(val, IF(ISNUMBER(val), PERCENTRANK(AQ80:BL80, val)+0.01, 0))), SEQUENCE(COLUMNS(AQ80:BL80)), FALSE), {""charttype"",""column""; ""color"",""chartreuse""; ""ymin"", 0; ""ymax"", 1.01; ""highcolor"", "&amp;"""darkgreen""; ""lowcolor"", ""red""}), """")"),"")</f>
        <v/>
      </c>
      <c r="B80" s="17" t="str">
        <f t="shared" si="4"/>
        <v/>
      </c>
      <c r="C80" s="1" t="s">
        <v>1769</v>
      </c>
      <c r="D80" s="30" t="str">
        <f>IFERROR(__xludf.DUMMYFUNCTION("IFERROR(GOOGLEFINANCE(C80, ""NAME""))"),"Cronos Group Inc")</f>
        <v>Cronos Group Inc</v>
      </c>
      <c r="E80" s="30" t="s">
        <v>1475</v>
      </c>
      <c r="F80" s="33" t="str">
        <f>IFERROR(__xludf.DUMMYFUNCTION("( (GOOGLEFINANCE(C80, ""price"") - Q80) / Q80 ) / (R80 / 100)"),"Loading...")</f>
        <v>Loading...</v>
      </c>
      <c r="G80" s="20" t="str">
        <f>IFERROR(__xludf.DUMMYFUNCTION("AVERAGE(ARRAYFORMULA(100 * (QUERY(GOOGLEFINANCE(C80, ""high"", TODAY()-40, TODAY()), ""SELECT Col2 WHERE Col2 IS NOT NULL ORDER BY Col1 DESC LIMIT 20"", 0) / QUERY(GOOGLEFINANCE(C80, ""low"", TODAY()-40, TODAY()), ""SELECT Col2 WHERE Col2 IS NOT NULL ORDE"&amp;"R BY Col1 DESC LIMIT 20"", 0) - 1)))"),"#N/A")</f>
        <v>#N/A</v>
      </c>
      <c r="H80" s="35" t="str">
        <f t="shared" si="6"/>
        <v/>
      </c>
      <c r="I80" s="36" t="str">
        <f t="shared" si="7"/>
        <v/>
      </c>
      <c r="J80" s="37" t="str">
        <f>IFERROR(__xludf.DUMMYFUNCTION("IFERROR(
  IF(C80="""",, 
    IFERROR(
      GOOGLEFINANCE(C80, ""price"") * GOOGLEFINANCE(C80, ""volumeavg""), 
      GOOGLEFINANCE(C80, ""price"") * AVERAGE(QUERY(GOOGLEFINANCE(C80, ""volume"", TODAY()-40, TODAY()), ""SELECT Col2 WHERE Col2 IS NOT NULL "&amp;"ORDER BY Col1 DESC LIMIT 20"", 0))
    )
  ), 
"""")"),"")</f>
        <v/>
      </c>
      <c r="K80" s="21" t="str">
        <f>IFERROR(__xludf.DUMMYFUNCTION("IFERROR(GOOGLEFINANCE(C80, ""changepct"") / 100, """")"),"")</f>
        <v/>
      </c>
      <c r="L80" s="21" t="str">
        <f>IFERROR(__xludf.DUMMYFUNCTION("IFERROR((GOOGLEFINANCE(C80, ""price"") / INDEX(GOOGLEFINANCE(C80, ""price"", TODAY()-7, TODAY()), 2, 2)) - 1, """")"),"")</f>
        <v/>
      </c>
      <c r="M80" s="21" t="str">
        <f>IFERROR(__xludf.DUMMYFUNCTION("IFERROR((GOOGLEFINANCE(C80, ""price"") / INDEX(GOOGLEFINANCE(C80, ""price"", EDATE(TODAY(), -1), TODAY()), 2, 2)) - 1, """")"),"")</f>
        <v/>
      </c>
      <c r="N80" s="21" t="str">
        <f>IFERROR(__xludf.DUMMYFUNCTION("IFERROR((GOOGLEFINANCE(C80, ""price"") / INDEX(GOOGLEFINANCE(C80, ""price"", EDATE(TODAY(), -3), TODAY()), 2, 2)) - 1, """")"),"")</f>
        <v/>
      </c>
      <c r="O80" s="21" t="str">
        <f>IFERROR(__xludf.DUMMYFUNCTION("IFERROR((GOOGLEFINANCE(C80, ""price"") / INDEX(GOOGLEFINANCE(C80, ""price"", EDATE(TODAY(), -6), TODAY()), 2, 2)) - 1, """")"),"")</f>
        <v/>
      </c>
      <c r="P80" s="21" t="str">
        <f>IFERROR(__xludf.DUMMYFUNCTION("IFERROR((GOOGLEFINANCE(C80, ""price"") / INDEX(GOOGLEFINANCE(C80, ""price"", EDATE(TODAY(), -12), TODAY()), 2, 2)) - 1, """")"),"")</f>
        <v/>
      </c>
      <c r="Q80" s="6" t="str">
        <f>IFERROR(__xludf.DUMMYFUNCTION("AVERAGE(QUERY(GOOGLEFINANCE(C80, ""price"", TODAY()-80, TODAY()), ""SELECT Col2 WHERE Col2 IS NOT NULL ORDER BY Col1 DESC LIMIT 50"", 0))"),"#N/A")</f>
        <v>#N/A</v>
      </c>
      <c r="R80" s="24" t="str">
        <f>IFERROR(__xludf.DUMMYFUNCTION("IFERROR(
  LET(
    data, QUERY(GOOGLEFINANCE(C80,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GOOGLEFINANCE(C80, ""price"")) * 100,
    IF(calc=0, G80, calc)
  ), 
G80)"),"#N/A")</f>
        <v>#N/A</v>
      </c>
      <c r="S80" s="8" t="s">
        <v>15</v>
      </c>
      <c r="T80" s="26" t="str">
        <f>IFERROR(__xludf.DUMMYFUNCTION("IFERROR(TRANSPOSE(QUERY(IFERROR(SORT(GOOGLEFINANCE(C80, ""price"", WORKDAY(TODAY(), -40), TODAY()), 1, FALSE)), ""select Col2 where Col2 is not null limit 22 label Col2 ''"", 0)), """")"),"")</f>
        <v/>
      </c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8"/>
      <c r="AO80" s="28"/>
      <c r="AP80" s="29"/>
      <c r="AQ80" s="29" t="str">
        <f t="shared" ref="AQ80:BL80" si="83">T80/T$2</f>
        <v>#N/A</v>
      </c>
      <c r="AR80" s="29" t="str">
        <f t="shared" si="83"/>
        <v>#DIV/0!</v>
      </c>
      <c r="AS80" s="29" t="str">
        <f t="shared" si="83"/>
        <v>#DIV/0!</v>
      </c>
      <c r="AT80" s="29" t="str">
        <f t="shared" si="83"/>
        <v>#DIV/0!</v>
      </c>
      <c r="AU80" s="29" t="str">
        <f t="shared" si="83"/>
        <v>#DIV/0!</v>
      </c>
      <c r="AV80" s="29" t="str">
        <f t="shared" si="83"/>
        <v>#DIV/0!</v>
      </c>
      <c r="AW80" s="29" t="str">
        <f t="shared" si="83"/>
        <v>#DIV/0!</v>
      </c>
      <c r="AX80" s="29" t="str">
        <f t="shared" si="83"/>
        <v>#DIV/0!</v>
      </c>
      <c r="AY80" s="29" t="str">
        <f t="shared" si="83"/>
        <v>#DIV/0!</v>
      </c>
      <c r="AZ80" s="29" t="str">
        <f t="shared" si="83"/>
        <v>#DIV/0!</v>
      </c>
      <c r="BA80" s="29" t="str">
        <f t="shared" si="83"/>
        <v>#DIV/0!</v>
      </c>
      <c r="BB80" s="29" t="str">
        <f t="shared" si="83"/>
        <v>#DIV/0!</v>
      </c>
      <c r="BC80" s="29" t="str">
        <f t="shared" si="83"/>
        <v>#DIV/0!</v>
      </c>
      <c r="BD80" s="29" t="str">
        <f t="shared" si="83"/>
        <v>#DIV/0!</v>
      </c>
      <c r="BE80" s="29" t="str">
        <f t="shared" si="83"/>
        <v>#DIV/0!</v>
      </c>
      <c r="BF80" s="29" t="str">
        <f t="shared" si="83"/>
        <v>#DIV/0!</v>
      </c>
      <c r="BG80" s="29" t="str">
        <f t="shared" si="83"/>
        <v>#DIV/0!</v>
      </c>
      <c r="BH80" s="29" t="str">
        <f t="shared" si="83"/>
        <v>#DIV/0!</v>
      </c>
      <c r="BI80" s="29" t="str">
        <f t="shared" si="83"/>
        <v>#DIV/0!</v>
      </c>
      <c r="BJ80" s="29" t="str">
        <f t="shared" si="83"/>
        <v>#DIV/0!</v>
      </c>
      <c r="BK80" s="29" t="str">
        <f t="shared" si="83"/>
        <v>#DIV/0!</v>
      </c>
      <c r="BL80" s="29" t="str">
        <f t="shared" si="83"/>
        <v>#DIV/0!</v>
      </c>
      <c r="BM80" s="29" t="str">
        <f t="shared" si="3"/>
        <v>#DIV/0!</v>
      </c>
    </row>
    <row r="81">
      <c r="A81" s="16" t="str">
        <f>IFERROR(__xludf.DUMMYFUNCTION("IFERROR(SPARKLINE(SORT(MAP(TRANSPOSE(AQ81:BL81), LAMBDA(val, IF(ISNUMBER(val), PERCENTRANK(AQ81:BL81, val)+0.01, 0))), SEQUENCE(COLUMNS(AQ81:BL81)), FALSE), {""charttype"",""column""; ""color"",""chartreuse""; ""ymin"", 0; ""ymax"", 1.01; ""highcolor"", "&amp;"""darkgreen""; ""lowcolor"", ""red""}), """")"),"")</f>
        <v/>
      </c>
      <c r="B81" s="17" t="str">
        <f t="shared" si="4"/>
        <v/>
      </c>
      <c r="C81" s="1" t="s">
        <v>1771</v>
      </c>
      <c r="D81" s="30" t="str">
        <f>IFERROR(__xludf.DUMMYFUNCTION("IFERROR(GOOGLEFINANCE(C81, ""NAME""))"),"Enovis Corp")</f>
        <v>Enovis Corp</v>
      </c>
      <c r="E81" s="30" t="s">
        <v>1491</v>
      </c>
      <c r="F81" s="33" t="str">
        <f>IFERROR(__xludf.DUMMYFUNCTION("( (GOOGLEFINANCE(C81, ""price"") - Q81) / Q81 ) / (R81 / 100)"),"Loading...")</f>
        <v>Loading...</v>
      </c>
      <c r="G81" s="20" t="str">
        <f>IFERROR(__xludf.DUMMYFUNCTION("AVERAGE(ARRAYFORMULA(100 * (QUERY(GOOGLEFINANCE(C81, ""high"", TODAY()-40, TODAY()), ""SELECT Col2 WHERE Col2 IS NOT NULL ORDER BY Col1 DESC LIMIT 20"", 0) / QUERY(GOOGLEFINANCE(C81, ""low"", TODAY()-40, TODAY()), ""SELECT Col2 WHERE Col2 IS NOT NULL ORDE"&amp;"R BY Col1 DESC LIMIT 20"", 0) - 1)))"),"#N/A")</f>
        <v>#N/A</v>
      </c>
      <c r="H81" s="35" t="str">
        <f t="shared" si="6"/>
        <v/>
      </c>
      <c r="I81" s="36" t="str">
        <f t="shared" si="7"/>
        <v/>
      </c>
      <c r="J81" s="37" t="str">
        <f>IFERROR(__xludf.DUMMYFUNCTION("IFERROR(
  IF(C81="""",, 
    IFERROR(
      GOOGLEFINANCE(C81, ""price"") * GOOGLEFINANCE(C81, ""volumeavg""), 
      GOOGLEFINANCE(C81, ""price"") * AVERAGE(QUERY(GOOGLEFINANCE(C81, ""volume"", TODAY()-40, TODAY()), ""SELECT Col2 WHERE Col2 IS NOT NULL "&amp;"ORDER BY Col1 DESC LIMIT 20"", 0))
    )
  ), 
"""")"),"")</f>
        <v/>
      </c>
      <c r="K81" s="21" t="str">
        <f>IFERROR(__xludf.DUMMYFUNCTION("IFERROR(GOOGLEFINANCE(C81, ""changepct"") / 100, """")"),"")</f>
        <v/>
      </c>
      <c r="L81" s="21" t="str">
        <f>IFERROR(__xludf.DUMMYFUNCTION("IFERROR((GOOGLEFINANCE(C81, ""price"") / INDEX(GOOGLEFINANCE(C81, ""price"", TODAY()-7, TODAY()), 2, 2)) - 1, """")"),"")</f>
        <v/>
      </c>
      <c r="M81" s="21" t="str">
        <f>IFERROR(__xludf.DUMMYFUNCTION("IFERROR((GOOGLEFINANCE(C81, ""price"") / INDEX(GOOGLEFINANCE(C81, ""price"", EDATE(TODAY(), -1), TODAY()), 2, 2)) - 1, """")"),"")</f>
        <v/>
      </c>
      <c r="N81" s="21" t="str">
        <f>IFERROR(__xludf.DUMMYFUNCTION("IFERROR((GOOGLEFINANCE(C81, ""price"") / INDEX(GOOGLEFINANCE(C81, ""price"", EDATE(TODAY(), -3), TODAY()), 2, 2)) - 1, """")"),"")</f>
        <v/>
      </c>
      <c r="O81" s="21" t="str">
        <f>IFERROR(__xludf.DUMMYFUNCTION("IFERROR((GOOGLEFINANCE(C81, ""price"") / INDEX(GOOGLEFINANCE(C81, ""price"", EDATE(TODAY(), -6), TODAY()), 2, 2)) - 1, """")"),"")</f>
        <v/>
      </c>
      <c r="P81" s="21" t="str">
        <f>IFERROR(__xludf.DUMMYFUNCTION("IFERROR((GOOGLEFINANCE(C81, ""price"") / INDEX(GOOGLEFINANCE(C81, ""price"", EDATE(TODAY(), -12), TODAY()), 2, 2)) - 1, """")"),"")</f>
        <v/>
      </c>
      <c r="Q81" s="6" t="str">
        <f>IFERROR(__xludf.DUMMYFUNCTION("AVERAGE(QUERY(GOOGLEFINANCE(C81, ""price"", TODAY()-80, TODAY()), ""SELECT Col2 WHERE Col2 IS NOT NULL ORDER BY Col1 DESC LIMIT 50"", 0))"),"#N/A")</f>
        <v>#N/A</v>
      </c>
      <c r="R81" s="24" t="str">
        <f>IFERROR(__xludf.DUMMYFUNCTION("IFERROR(
  LET(
    data, QUERY(GOOGLEFINANCE(C81,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GOOGLEFINANCE(C81, ""price"")) * 100,
    IF(calc=0, G81, calc)
  ), 
G81)"),"#N/A")</f>
        <v>#N/A</v>
      </c>
      <c r="S81" s="8" t="s">
        <v>15</v>
      </c>
      <c r="T81" s="26" t="str">
        <f>IFERROR(__xludf.DUMMYFUNCTION("IFERROR(TRANSPOSE(QUERY(IFERROR(SORT(GOOGLEFINANCE(C81, ""price"", WORKDAY(TODAY(), -40), TODAY()), 1, FALSE)), ""select Col2 where Col2 is not null limit 22 label Col2 ''"", 0)), """")"),"")</f>
        <v/>
      </c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8"/>
      <c r="AO81" s="28"/>
      <c r="AP81" s="29"/>
      <c r="AQ81" s="29" t="str">
        <f t="shared" ref="AQ81:BL81" si="84">T81/T$2</f>
        <v>#N/A</v>
      </c>
      <c r="AR81" s="29" t="str">
        <f t="shared" si="84"/>
        <v>#DIV/0!</v>
      </c>
      <c r="AS81" s="29" t="str">
        <f t="shared" si="84"/>
        <v>#DIV/0!</v>
      </c>
      <c r="AT81" s="29" t="str">
        <f t="shared" si="84"/>
        <v>#DIV/0!</v>
      </c>
      <c r="AU81" s="29" t="str">
        <f t="shared" si="84"/>
        <v>#DIV/0!</v>
      </c>
      <c r="AV81" s="29" t="str">
        <f t="shared" si="84"/>
        <v>#DIV/0!</v>
      </c>
      <c r="AW81" s="29" t="str">
        <f t="shared" si="84"/>
        <v>#DIV/0!</v>
      </c>
      <c r="AX81" s="29" t="str">
        <f t="shared" si="84"/>
        <v>#DIV/0!</v>
      </c>
      <c r="AY81" s="29" t="str">
        <f t="shared" si="84"/>
        <v>#DIV/0!</v>
      </c>
      <c r="AZ81" s="29" t="str">
        <f t="shared" si="84"/>
        <v>#DIV/0!</v>
      </c>
      <c r="BA81" s="29" t="str">
        <f t="shared" si="84"/>
        <v>#DIV/0!</v>
      </c>
      <c r="BB81" s="29" t="str">
        <f t="shared" si="84"/>
        <v>#DIV/0!</v>
      </c>
      <c r="BC81" s="29" t="str">
        <f t="shared" si="84"/>
        <v>#DIV/0!</v>
      </c>
      <c r="BD81" s="29" t="str">
        <f t="shared" si="84"/>
        <v>#DIV/0!</v>
      </c>
      <c r="BE81" s="29" t="str">
        <f t="shared" si="84"/>
        <v>#DIV/0!</v>
      </c>
      <c r="BF81" s="29" t="str">
        <f t="shared" si="84"/>
        <v>#DIV/0!</v>
      </c>
      <c r="BG81" s="29" t="str">
        <f t="shared" si="84"/>
        <v>#DIV/0!</v>
      </c>
      <c r="BH81" s="29" t="str">
        <f t="shared" si="84"/>
        <v>#DIV/0!</v>
      </c>
      <c r="BI81" s="29" t="str">
        <f t="shared" si="84"/>
        <v>#DIV/0!</v>
      </c>
      <c r="BJ81" s="29" t="str">
        <f t="shared" si="84"/>
        <v>#DIV/0!</v>
      </c>
      <c r="BK81" s="29" t="str">
        <f t="shared" si="84"/>
        <v>#DIV/0!</v>
      </c>
      <c r="BL81" s="29" t="str">
        <f t="shared" si="84"/>
        <v>#DIV/0!</v>
      </c>
      <c r="BM81" s="29" t="str">
        <f t="shared" si="3"/>
        <v>#DIV/0!</v>
      </c>
    </row>
    <row r="82">
      <c r="A82" s="16" t="str">
        <f>IFERROR(__xludf.DUMMYFUNCTION("IFERROR(SPARKLINE(SORT(MAP(TRANSPOSE(AQ82:BL82), LAMBDA(val, IF(ISNUMBER(val), PERCENTRANK(AQ82:BL82, val)+0.01, 0))), SEQUENCE(COLUMNS(AQ82:BL82)), FALSE), {""charttype"",""column""; ""color"",""chartreuse""; ""ymin"", 0; ""ymax"", 1.01; ""highcolor"", "&amp;"""darkgreen""; ""lowcolor"", ""red""}), """")"),"")</f>
        <v/>
      </c>
      <c r="B82" s="17" t="str">
        <f t="shared" si="4"/>
        <v/>
      </c>
      <c r="C82" s="1" t="s">
        <v>1774</v>
      </c>
      <c r="D82" s="30" t="str">
        <f>IFERROR(__xludf.DUMMYFUNCTION("IFERROR(GOOGLEFINANCE(C82, ""NAME""))"),"AxoGen, Inc Common Stock")</f>
        <v>AxoGen, Inc Common Stock</v>
      </c>
      <c r="E82" s="30" t="s">
        <v>1491</v>
      </c>
      <c r="F82" s="33" t="str">
        <f>IFERROR(__xludf.DUMMYFUNCTION("( (GOOGLEFINANCE(C82, ""price"") - Q82) / Q82 ) / (R82 / 100)"),"Loading...")</f>
        <v>Loading...</v>
      </c>
      <c r="G82" s="20" t="str">
        <f>IFERROR(__xludf.DUMMYFUNCTION("AVERAGE(ARRAYFORMULA(100 * (QUERY(GOOGLEFINANCE(C82, ""high"", TODAY()-40, TODAY()), ""SELECT Col2 WHERE Col2 IS NOT NULL ORDER BY Col1 DESC LIMIT 20"", 0) / QUERY(GOOGLEFINANCE(C82, ""low"", TODAY()-40, TODAY()), ""SELECT Col2 WHERE Col2 IS NOT NULL ORDE"&amp;"R BY Col1 DESC LIMIT 20"", 0) - 1)))"),"#N/A")</f>
        <v>#N/A</v>
      </c>
      <c r="H82" s="35" t="str">
        <f t="shared" si="6"/>
        <v/>
      </c>
      <c r="I82" s="36" t="str">
        <f t="shared" si="7"/>
        <v/>
      </c>
      <c r="J82" s="37" t="str">
        <f>IFERROR(__xludf.DUMMYFUNCTION("IFERROR(
  IF(C82="""",, 
    IFERROR(
      GOOGLEFINANCE(C82, ""price"") * GOOGLEFINANCE(C82, ""volumeavg""), 
      GOOGLEFINANCE(C82, ""price"") * AVERAGE(QUERY(GOOGLEFINANCE(C82, ""volume"", TODAY()-40, TODAY()), ""SELECT Col2 WHERE Col2 IS NOT NULL "&amp;"ORDER BY Col1 DESC LIMIT 20"", 0))
    )
  ), 
"""")"),"")</f>
        <v/>
      </c>
      <c r="K82" s="21" t="str">
        <f>IFERROR(__xludf.DUMMYFUNCTION("IFERROR(GOOGLEFINANCE(C82, ""changepct"") / 100, """")"),"")</f>
        <v/>
      </c>
      <c r="L82" s="21" t="str">
        <f>IFERROR(__xludf.DUMMYFUNCTION("IFERROR((GOOGLEFINANCE(C82, ""price"") / INDEX(GOOGLEFINANCE(C82, ""price"", TODAY()-7, TODAY()), 2, 2)) - 1, """")"),"")</f>
        <v/>
      </c>
      <c r="M82" s="21" t="str">
        <f>IFERROR(__xludf.DUMMYFUNCTION("IFERROR((GOOGLEFINANCE(C82, ""price"") / INDEX(GOOGLEFINANCE(C82, ""price"", EDATE(TODAY(), -1), TODAY()), 2, 2)) - 1, """")"),"")</f>
        <v/>
      </c>
      <c r="N82" s="21" t="str">
        <f>IFERROR(__xludf.DUMMYFUNCTION("IFERROR((GOOGLEFINANCE(C82, ""price"") / INDEX(GOOGLEFINANCE(C82, ""price"", EDATE(TODAY(), -3), TODAY()), 2, 2)) - 1, """")"),"")</f>
        <v/>
      </c>
      <c r="O82" s="21" t="str">
        <f>IFERROR(__xludf.DUMMYFUNCTION("IFERROR((GOOGLEFINANCE(C82, ""price"") / INDEX(GOOGLEFINANCE(C82, ""price"", EDATE(TODAY(), -6), TODAY()), 2, 2)) - 1, """")"),"")</f>
        <v/>
      </c>
      <c r="P82" s="21" t="str">
        <f>IFERROR(__xludf.DUMMYFUNCTION("IFERROR((GOOGLEFINANCE(C82, ""price"") / INDEX(GOOGLEFINANCE(C82, ""price"", EDATE(TODAY(), -12), TODAY()), 2, 2)) - 1, """")"),"")</f>
        <v/>
      </c>
      <c r="Q82" s="6" t="str">
        <f>IFERROR(__xludf.DUMMYFUNCTION("AVERAGE(QUERY(GOOGLEFINANCE(C82, ""price"", TODAY()-80, TODAY()), ""SELECT Col2 WHERE Col2 IS NOT NULL ORDER BY Col1 DESC LIMIT 50"", 0))"),"#N/A")</f>
        <v>#N/A</v>
      </c>
      <c r="R82" s="24" t="str">
        <f>IFERROR(__xludf.DUMMYFUNCTION("IFERROR(
  LET(
    data, QUERY(GOOGLEFINANCE(C82,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GOOGLEFINANCE(C82, ""price"")) * 100,
    IF(calc=0, G82, calc)
  ), 
G82)"),"#N/A")</f>
        <v>#N/A</v>
      </c>
      <c r="S82" s="8" t="s">
        <v>15</v>
      </c>
      <c r="T82" s="26" t="str">
        <f>IFERROR(__xludf.DUMMYFUNCTION("IFERROR(TRANSPOSE(QUERY(IFERROR(SORT(GOOGLEFINANCE(C82, ""price"", WORKDAY(TODAY(), -40), TODAY()), 1, FALSE)), ""select Col2 where Col2 is not null limit 22 label Col2 ''"", 0)), """")"),"")</f>
        <v/>
      </c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8"/>
      <c r="AO82" s="28"/>
      <c r="AP82" s="29"/>
      <c r="AQ82" s="29" t="str">
        <f t="shared" ref="AQ82:BL82" si="85">T82/T$2</f>
        <v>#N/A</v>
      </c>
      <c r="AR82" s="29" t="str">
        <f t="shared" si="85"/>
        <v>#DIV/0!</v>
      </c>
      <c r="AS82" s="29" t="str">
        <f t="shared" si="85"/>
        <v>#DIV/0!</v>
      </c>
      <c r="AT82" s="29" t="str">
        <f t="shared" si="85"/>
        <v>#DIV/0!</v>
      </c>
      <c r="AU82" s="29" t="str">
        <f t="shared" si="85"/>
        <v>#DIV/0!</v>
      </c>
      <c r="AV82" s="29" t="str">
        <f t="shared" si="85"/>
        <v>#DIV/0!</v>
      </c>
      <c r="AW82" s="29" t="str">
        <f t="shared" si="85"/>
        <v>#DIV/0!</v>
      </c>
      <c r="AX82" s="29" t="str">
        <f t="shared" si="85"/>
        <v>#DIV/0!</v>
      </c>
      <c r="AY82" s="29" t="str">
        <f t="shared" si="85"/>
        <v>#DIV/0!</v>
      </c>
      <c r="AZ82" s="29" t="str">
        <f t="shared" si="85"/>
        <v>#DIV/0!</v>
      </c>
      <c r="BA82" s="29" t="str">
        <f t="shared" si="85"/>
        <v>#DIV/0!</v>
      </c>
      <c r="BB82" s="29" t="str">
        <f t="shared" si="85"/>
        <v>#DIV/0!</v>
      </c>
      <c r="BC82" s="29" t="str">
        <f t="shared" si="85"/>
        <v>#DIV/0!</v>
      </c>
      <c r="BD82" s="29" t="str">
        <f t="shared" si="85"/>
        <v>#DIV/0!</v>
      </c>
      <c r="BE82" s="29" t="str">
        <f t="shared" si="85"/>
        <v>#DIV/0!</v>
      </c>
      <c r="BF82" s="29" t="str">
        <f t="shared" si="85"/>
        <v>#DIV/0!</v>
      </c>
      <c r="BG82" s="29" t="str">
        <f t="shared" si="85"/>
        <v>#DIV/0!</v>
      </c>
      <c r="BH82" s="29" t="str">
        <f t="shared" si="85"/>
        <v>#DIV/0!</v>
      </c>
      <c r="BI82" s="29" t="str">
        <f t="shared" si="85"/>
        <v>#DIV/0!</v>
      </c>
      <c r="BJ82" s="29" t="str">
        <f t="shared" si="85"/>
        <v>#DIV/0!</v>
      </c>
      <c r="BK82" s="29" t="str">
        <f t="shared" si="85"/>
        <v>#DIV/0!</v>
      </c>
      <c r="BL82" s="29" t="str">
        <f t="shared" si="85"/>
        <v>#DIV/0!</v>
      </c>
      <c r="BM82" s="29" t="str">
        <f t="shared" si="3"/>
        <v>#DIV/0!</v>
      </c>
    </row>
    <row r="83">
      <c r="A83" s="16" t="str">
        <f>IFERROR(__xludf.DUMMYFUNCTION("IFERROR(SPARKLINE(SORT(MAP(TRANSPOSE(AQ83:BL83), LAMBDA(val, IF(ISNUMBER(val), PERCENTRANK(AQ83:BL83, val)+0.01, 0))), SEQUENCE(COLUMNS(AQ83:BL83)), FALSE), {""charttype"",""column""; ""color"",""chartreuse""; ""ymin"", 0; ""ymax"", 1.01; ""highcolor"", "&amp;"""darkgreen""; ""lowcolor"", ""red""}), """")"),"")</f>
        <v/>
      </c>
      <c r="B83" s="17" t="str">
        <f t="shared" si="4"/>
        <v/>
      </c>
      <c r="C83" s="1" t="s">
        <v>1778</v>
      </c>
      <c r="D83" s="30" t="str">
        <f>IFERROR(__xludf.DUMMYFUNCTION("IFERROR(GOOGLEFINANCE(C83, ""NAME""))"),"Pediatrix Medical Group Inc")</f>
        <v>Pediatrix Medical Group Inc</v>
      </c>
      <c r="E83" s="30" t="s">
        <v>1513</v>
      </c>
      <c r="F83" s="33" t="str">
        <f>IFERROR(__xludf.DUMMYFUNCTION("( (GOOGLEFINANCE(C83, ""price"") - Q83) / Q83 ) / (R83 / 100)"),"Loading...")</f>
        <v>Loading...</v>
      </c>
      <c r="G83" s="20" t="str">
        <f>IFERROR(__xludf.DUMMYFUNCTION("AVERAGE(ARRAYFORMULA(100 * (QUERY(GOOGLEFINANCE(C83, ""high"", TODAY()-40, TODAY()), ""SELECT Col2 WHERE Col2 IS NOT NULL ORDER BY Col1 DESC LIMIT 20"", 0) / QUERY(GOOGLEFINANCE(C83, ""low"", TODAY()-40, TODAY()), ""SELECT Col2 WHERE Col2 IS NOT NULL ORDE"&amp;"R BY Col1 DESC LIMIT 20"", 0) - 1)))"),"#N/A")</f>
        <v>#N/A</v>
      </c>
      <c r="H83" s="35" t="str">
        <f t="shared" si="6"/>
        <v/>
      </c>
      <c r="I83" s="36" t="str">
        <f t="shared" si="7"/>
        <v/>
      </c>
      <c r="J83" s="37" t="str">
        <f>IFERROR(__xludf.DUMMYFUNCTION("IFERROR(
  IF(C83="""",, 
    IFERROR(
      GOOGLEFINANCE(C83, ""price"") * GOOGLEFINANCE(C83, ""volumeavg""), 
      GOOGLEFINANCE(C83, ""price"") * AVERAGE(QUERY(GOOGLEFINANCE(C83, ""volume"", TODAY()-40, TODAY()), ""SELECT Col2 WHERE Col2 IS NOT NULL "&amp;"ORDER BY Col1 DESC LIMIT 20"", 0))
    )
  ), 
"""")"),"")</f>
        <v/>
      </c>
      <c r="K83" s="21" t="str">
        <f>IFERROR(__xludf.DUMMYFUNCTION("IFERROR(GOOGLEFINANCE(C83, ""changepct"") / 100, """")"),"")</f>
        <v/>
      </c>
      <c r="L83" s="21" t="str">
        <f>IFERROR(__xludf.DUMMYFUNCTION("IFERROR((GOOGLEFINANCE(C83, ""price"") / INDEX(GOOGLEFINANCE(C83, ""price"", TODAY()-7, TODAY()), 2, 2)) - 1, """")"),"")</f>
        <v/>
      </c>
      <c r="M83" s="21" t="str">
        <f>IFERROR(__xludf.DUMMYFUNCTION("IFERROR((GOOGLEFINANCE(C83, ""price"") / INDEX(GOOGLEFINANCE(C83, ""price"", EDATE(TODAY(), -1), TODAY()), 2, 2)) - 1, """")"),"")</f>
        <v/>
      </c>
      <c r="N83" s="21" t="str">
        <f>IFERROR(__xludf.DUMMYFUNCTION("IFERROR((GOOGLEFINANCE(C83, ""price"") / INDEX(GOOGLEFINANCE(C83, ""price"", EDATE(TODAY(), -3), TODAY()), 2, 2)) - 1, """")"),"")</f>
        <v/>
      </c>
      <c r="O83" s="21" t="str">
        <f>IFERROR(__xludf.DUMMYFUNCTION("IFERROR((GOOGLEFINANCE(C83, ""price"") / INDEX(GOOGLEFINANCE(C83, ""price"", EDATE(TODAY(), -6), TODAY()), 2, 2)) - 1, """")"),"")</f>
        <v/>
      </c>
      <c r="P83" s="21" t="str">
        <f>IFERROR(__xludf.DUMMYFUNCTION("IFERROR((GOOGLEFINANCE(C83, ""price"") / INDEX(GOOGLEFINANCE(C83, ""price"", EDATE(TODAY(), -12), TODAY()), 2, 2)) - 1, """")"),"")</f>
        <v/>
      </c>
      <c r="Q83" s="6" t="str">
        <f>IFERROR(__xludf.DUMMYFUNCTION("AVERAGE(QUERY(GOOGLEFINANCE(C83, ""price"", TODAY()-80, TODAY()), ""SELECT Col2 WHERE Col2 IS NOT NULL ORDER BY Col1 DESC LIMIT 50"", 0))"),"#N/A")</f>
        <v>#N/A</v>
      </c>
      <c r="R83" s="24" t="str">
        <f>IFERROR(__xludf.DUMMYFUNCTION("IFERROR(
  LET(
    data, QUERY(GOOGLEFINANCE(C83,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GOOGLEFINANCE(C83, ""price"")) * 100,
    IF(calc=0, G83, calc)
  ), 
G83)"),"#N/A")</f>
        <v>#N/A</v>
      </c>
      <c r="S83" s="8" t="s">
        <v>15</v>
      </c>
      <c r="T83" s="26" t="str">
        <f>IFERROR(__xludf.DUMMYFUNCTION("IFERROR(TRANSPOSE(QUERY(IFERROR(SORT(GOOGLEFINANCE(C83, ""price"", WORKDAY(TODAY(), -40), TODAY()), 1, FALSE)), ""select Col2 where Col2 is not null limit 22 label Col2 ''"", 0)), """")"),"")</f>
        <v/>
      </c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8"/>
      <c r="AO83" s="28"/>
      <c r="AP83" s="29"/>
      <c r="AQ83" s="29" t="str">
        <f t="shared" ref="AQ83:BL83" si="86">T83/T$2</f>
        <v>#N/A</v>
      </c>
      <c r="AR83" s="29" t="str">
        <f t="shared" si="86"/>
        <v>#DIV/0!</v>
      </c>
      <c r="AS83" s="29" t="str">
        <f t="shared" si="86"/>
        <v>#DIV/0!</v>
      </c>
      <c r="AT83" s="29" t="str">
        <f t="shared" si="86"/>
        <v>#DIV/0!</v>
      </c>
      <c r="AU83" s="29" t="str">
        <f t="shared" si="86"/>
        <v>#DIV/0!</v>
      </c>
      <c r="AV83" s="29" t="str">
        <f t="shared" si="86"/>
        <v>#DIV/0!</v>
      </c>
      <c r="AW83" s="29" t="str">
        <f t="shared" si="86"/>
        <v>#DIV/0!</v>
      </c>
      <c r="AX83" s="29" t="str">
        <f t="shared" si="86"/>
        <v>#DIV/0!</v>
      </c>
      <c r="AY83" s="29" t="str">
        <f t="shared" si="86"/>
        <v>#DIV/0!</v>
      </c>
      <c r="AZ83" s="29" t="str">
        <f t="shared" si="86"/>
        <v>#DIV/0!</v>
      </c>
      <c r="BA83" s="29" t="str">
        <f t="shared" si="86"/>
        <v>#DIV/0!</v>
      </c>
      <c r="BB83" s="29" t="str">
        <f t="shared" si="86"/>
        <v>#DIV/0!</v>
      </c>
      <c r="BC83" s="29" t="str">
        <f t="shared" si="86"/>
        <v>#DIV/0!</v>
      </c>
      <c r="BD83" s="29" t="str">
        <f t="shared" si="86"/>
        <v>#DIV/0!</v>
      </c>
      <c r="BE83" s="29" t="str">
        <f t="shared" si="86"/>
        <v>#DIV/0!</v>
      </c>
      <c r="BF83" s="29" t="str">
        <f t="shared" si="86"/>
        <v>#DIV/0!</v>
      </c>
      <c r="BG83" s="29" t="str">
        <f t="shared" si="86"/>
        <v>#DIV/0!</v>
      </c>
      <c r="BH83" s="29" t="str">
        <f t="shared" si="86"/>
        <v>#DIV/0!</v>
      </c>
      <c r="BI83" s="29" t="str">
        <f t="shared" si="86"/>
        <v>#DIV/0!</v>
      </c>
      <c r="BJ83" s="29" t="str">
        <f t="shared" si="86"/>
        <v>#DIV/0!</v>
      </c>
      <c r="BK83" s="29" t="str">
        <f t="shared" si="86"/>
        <v>#DIV/0!</v>
      </c>
      <c r="BL83" s="29" t="str">
        <f t="shared" si="86"/>
        <v>#DIV/0!</v>
      </c>
      <c r="BM83" s="29" t="str">
        <f t="shared" si="3"/>
        <v>#DIV/0!</v>
      </c>
    </row>
    <row r="84">
      <c r="A84" s="16" t="str">
        <f>IFERROR(__xludf.DUMMYFUNCTION("IFERROR(SPARKLINE(SORT(MAP(TRANSPOSE(AQ84:BL84), LAMBDA(val, IF(ISNUMBER(val), PERCENTRANK(AQ84:BL84, val)+0.01, 0))), SEQUENCE(COLUMNS(AQ84:BL84)), FALSE), {""charttype"",""column""; ""color"",""chartreuse""; ""ymin"", 0; ""ymax"", 1.01; ""highcolor"", "&amp;"""darkgreen""; ""lowcolor"", ""red""}), """")"),"")</f>
        <v/>
      </c>
      <c r="B84" s="17" t="str">
        <f t="shared" si="4"/>
        <v/>
      </c>
      <c r="C84" s="1" t="s">
        <v>1782</v>
      </c>
      <c r="D84" s="30" t="str">
        <f>IFERROR(__xludf.DUMMYFUNCTION("IFERROR(GOOGLEFINANCE(C84, ""NAME""))"),"Encompass Health Corp")</f>
        <v>Encompass Health Corp</v>
      </c>
      <c r="E84" s="30" t="s">
        <v>1513</v>
      </c>
      <c r="F84" s="33" t="str">
        <f>IFERROR(__xludf.DUMMYFUNCTION("( (GOOGLEFINANCE(C84, ""price"") - Q84) / Q84 ) / (R84 / 100)"),"Loading...")</f>
        <v>Loading...</v>
      </c>
      <c r="G84" s="20" t="str">
        <f>IFERROR(__xludf.DUMMYFUNCTION("AVERAGE(ARRAYFORMULA(100 * (QUERY(GOOGLEFINANCE(C84, ""high"", TODAY()-40, TODAY()), ""SELECT Col2 WHERE Col2 IS NOT NULL ORDER BY Col1 DESC LIMIT 20"", 0) / QUERY(GOOGLEFINANCE(C84, ""low"", TODAY()-40, TODAY()), ""SELECT Col2 WHERE Col2 IS NOT NULL ORDE"&amp;"R BY Col1 DESC LIMIT 20"", 0) - 1)))"),"#N/A")</f>
        <v>#N/A</v>
      </c>
      <c r="H84" s="35" t="str">
        <f t="shared" si="6"/>
        <v/>
      </c>
      <c r="I84" s="36" t="str">
        <f t="shared" si="7"/>
        <v/>
      </c>
      <c r="J84" s="37" t="str">
        <f>IFERROR(__xludf.DUMMYFUNCTION("IFERROR(
  IF(C84="""",, 
    IFERROR(
      GOOGLEFINANCE(C84, ""price"") * GOOGLEFINANCE(C84, ""volumeavg""), 
      GOOGLEFINANCE(C84, ""price"") * AVERAGE(QUERY(GOOGLEFINANCE(C84, ""volume"", TODAY()-40, TODAY()), ""SELECT Col2 WHERE Col2 IS NOT NULL "&amp;"ORDER BY Col1 DESC LIMIT 20"", 0))
    )
  ), 
"""")"),"")</f>
        <v/>
      </c>
      <c r="K84" s="21" t="str">
        <f>IFERROR(__xludf.DUMMYFUNCTION("IFERROR(GOOGLEFINANCE(C84, ""changepct"") / 100, """")"),"")</f>
        <v/>
      </c>
      <c r="L84" s="21" t="str">
        <f>IFERROR(__xludf.DUMMYFUNCTION("IFERROR((GOOGLEFINANCE(C84, ""price"") / INDEX(GOOGLEFINANCE(C84, ""price"", TODAY()-7, TODAY()), 2, 2)) - 1, """")"),"")</f>
        <v/>
      </c>
      <c r="M84" s="21" t="str">
        <f>IFERROR(__xludf.DUMMYFUNCTION("IFERROR((GOOGLEFINANCE(C84, ""price"") / INDEX(GOOGLEFINANCE(C84, ""price"", EDATE(TODAY(), -1), TODAY()), 2, 2)) - 1, """")"),"")</f>
        <v/>
      </c>
      <c r="N84" s="21" t="str">
        <f>IFERROR(__xludf.DUMMYFUNCTION("IFERROR((GOOGLEFINANCE(C84, ""price"") / INDEX(GOOGLEFINANCE(C84, ""price"", EDATE(TODAY(), -3), TODAY()), 2, 2)) - 1, """")"),"")</f>
        <v/>
      </c>
      <c r="O84" s="21" t="str">
        <f>IFERROR(__xludf.DUMMYFUNCTION("IFERROR((GOOGLEFINANCE(C84, ""price"") / INDEX(GOOGLEFINANCE(C84, ""price"", EDATE(TODAY(), -6), TODAY()), 2, 2)) - 1, """")"),"")</f>
        <v/>
      </c>
      <c r="P84" s="21" t="str">
        <f>IFERROR(__xludf.DUMMYFUNCTION("IFERROR((GOOGLEFINANCE(C84, ""price"") / INDEX(GOOGLEFINANCE(C84, ""price"", EDATE(TODAY(), -12), TODAY()), 2, 2)) - 1, """")"),"")</f>
        <v/>
      </c>
      <c r="Q84" s="6" t="str">
        <f>IFERROR(__xludf.DUMMYFUNCTION("AVERAGE(QUERY(GOOGLEFINANCE(C84, ""price"", TODAY()-80, TODAY()), ""SELECT Col2 WHERE Col2 IS NOT NULL ORDER BY Col1 DESC LIMIT 50"", 0))"),"#N/A")</f>
        <v>#N/A</v>
      </c>
      <c r="R84" s="24" t="str">
        <f>IFERROR(__xludf.DUMMYFUNCTION("IFERROR(
  LET(
    data, QUERY(GOOGLEFINANCE(C84,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GOOGLEFINANCE(C84, ""price"")) * 100,
    IF(calc=0, G84, calc)
  ), 
G84)"),"#N/A")</f>
        <v>#N/A</v>
      </c>
      <c r="S84" s="8" t="s">
        <v>15</v>
      </c>
      <c r="T84" s="26" t="str">
        <f>IFERROR(__xludf.DUMMYFUNCTION("IFERROR(TRANSPOSE(QUERY(IFERROR(SORT(GOOGLEFINANCE(C84, ""price"", WORKDAY(TODAY(), -40), TODAY()), 1, FALSE)), ""select Col2 where Col2 is not null limit 22 label Col2 ''"", 0)), """")"),"")</f>
        <v/>
      </c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8"/>
      <c r="AO84" s="28"/>
      <c r="AP84" s="29"/>
      <c r="AQ84" s="29" t="str">
        <f t="shared" ref="AQ84:BL84" si="87">T84/T$2</f>
        <v>#N/A</v>
      </c>
      <c r="AR84" s="29" t="str">
        <f t="shared" si="87"/>
        <v>#DIV/0!</v>
      </c>
      <c r="AS84" s="29" t="str">
        <f t="shared" si="87"/>
        <v>#DIV/0!</v>
      </c>
      <c r="AT84" s="29" t="str">
        <f t="shared" si="87"/>
        <v>#DIV/0!</v>
      </c>
      <c r="AU84" s="29" t="str">
        <f t="shared" si="87"/>
        <v>#DIV/0!</v>
      </c>
      <c r="AV84" s="29" t="str">
        <f t="shared" si="87"/>
        <v>#DIV/0!</v>
      </c>
      <c r="AW84" s="29" t="str">
        <f t="shared" si="87"/>
        <v>#DIV/0!</v>
      </c>
      <c r="AX84" s="29" t="str">
        <f t="shared" si="87"/>
        <v>#DIV/0!</v>
      </c>
      <c r="AY84" s="29" t="str">
        <f t="shared" si="87"/>
        <v>#DIV/0!</v>
      </c>
      <c r="AZ84" s="29" t="str">
        <f t="shared" si="87"/>
        <v>#DIV/0!</v>
      </c>
      <c r="BA84" s="29" t="str">
        <f t="shared" si="87"/>
        <v>#DIV/0!</v>
      </c>
      <c r="BB84" s="29" t="str">
        <f t="shared" si="87"/>
        <v>#DIV/0!</v>
      </c>
      <c r="BC84" s="29" t="str">
        <f t="shared" si="87"/>
        <v>#DIV/0!</v>
      </c>
      <c r="BD84" s="29" t="str">
        <f t="shared" si="87"/>
        <v>#DIV/0!</v>
      </c>
      <c r="BE84" s="29" t="str">
        <f t="shared" si="87"/>
        <v>#DIV/0!</v>
      </c>
      <c r="BF84" s="29" t="str">
        <f t="shared" si="87"/>
        <v>#DIV/0!</v>
      </c>
      <c r="BG84" s="29" t="str">
        <f t="shared" si="87"/>
        <v>#DIV/0!</v>
      </c>
      <c r="BH84" s="29" t="str">
        <f t="shared" si="87"/>
        <v>#DIV/0!</v>
      </c>
      <c r="BI84" s="29" t="str">
        <f t="shared" si="87"/>
        <v>#DIV/0!</v>
      </c>
      <c r="BJ84" s="29" t="str">
        <f t="shared" si="87"/>
        <v>#DIV/0!</v>
      </c>
      <c r="BK84" s="29" t="str">
        <f t="shared" si="87"/>
        <v>#DIV/0!</v>
      </c>
      <c r="BL84" s="29" t="str">
        <f t="shared" si="87"/>
        <v>#DIV/0!</v>
      </c>
      <c r="BM84" s="29" t="str">
        <f t="shared" si="3"/>
        <v>#DIV/0!</v>
      </c>
    </row>
    <row r="85">
      <c r="A85" s="16" t="str">
        <f>IFERROR(__xludf.DUMMYFUNCTION("IFERROR(SPARKLINE(SORT(MAP(TRANSPOSE(AQ85:BL85), LAMBDA(val, IF(ISNUMBER(val), PERCENTRANK(AQ85:BL85, val)+0.01, 0))), SEQUENCE(COLUMNS(AQ85:BL85)), FALSE), {""charttype"",""column""; ""color"",""chartreuse""; ""ymin"", 0; ""ymax"", 1.01; ""highcolor"", "&amp;"""darkgreen""; ""lowcolor"", ""red""}), """")"),"")</f>
        <v/>
      </c>
      <c r="B85" s="17" t="str">
        <f t="shared" si="4"/>
        <v/>
      </c>
      <c r="C85" s="1" t="s">
        <v>1784</v>
      </c>
      <c r="D85" s="30" t="str">
        <f>IFERROR(__xludf.DUMMYFUNCTION("IFERROR(GOOGLEFINANCE(C85, ""NAME""))"),"Tenet Healthcare Corp")</f>
        <v>Tenet Healthcare Corp</v>
      </c>
      <c r="E85" s="30" t="s">
        <v>1513</v>
      </c>
      <c r="F85" s="33" t="str">
        <f>IFERROR(__xludf.DUMMYFUNCTION("( (GOOGLEFINANCE(C85, ""price"") - Q85) / Q85 ) / (R85 / 100)"),"Loading...")</f>
        <v>Loading...</v>
      </c>
      <c r="G85" s="20" t="str">
        <f>IFERROR(__xludf.DUMMYFUNCTION("AVERAGE(ARRAYFORMULA(100 * (QUERY(GOOGLEFINANCE(C85, ""high"", TODAY()-40, TODAY()), ""SELECT Col2 WHERE Col2 IS NOT NULL ORDER BY Col1 DESC LIMIT 20"", 0) / QUERY(GOOGLEFINANCE(C85, ""low"", TODAY()-40, TODAY()), ""SELECT Col2 WHERE Col2 IS NOT NULL ORDE"&amp;"R BY Col1 DESC LIMIT 20"", 0) - 1)))"),"#N/A")</f>
        <v>#N/A</v>
      </c>
      <c r="H85" s="35" t="str">
        <f t="shared" si="6"/>
        <v/>
      </c>
      <c r="I85" s="36" t="str">
        <f t="shared" si="7"/>
        <v/>
      </c>
      <c r="J85" s="37" t="str">
        <f>IFERROR(__xludf.DUMMYFUNCTION("IFERROR(
  IF(C85="""",, 
    IFERROR(
      GOOGLEFINANCE(C85, ""price"") * GOOGLEFINANCE(C85, ""volumeavg""), 
      GOOGLEFINANCE(C85, ""price"") * AVERAGE(QUERY(GOOGLEFINANCE(C85, ""volume"", TODAY()-40, TODAY()), ""SELECT Col2 WHERE Col2 IS NOT NULL "&amp;"ORDER BY Col1 DESC LIMIT 20"", 0))
    )
  ), 
"""")"),"")</f>
        <v/>
      </c>
      <c r="K85" s="21" t="str">
        <f>IFERROR(__xludf.DUMMYFUNCTION("IFERROR(GOOGLEFINANCE(C85, ""changepct"") / 100, """")"),"")</f>
        <v/>
      </c>
      <c r="L85" s="21" t="str">
        <f>IFERROR(__xludf.DUMMYFUNCTION("IFERROR((GOOGLEFINANCE(C85, ""price"") / INDEX(GOOGLEFINANCE(C85, ""price"", TODAY()-7, TODAY()), 2, 2)) - 1, """")"),"")</f>
        <v/>
      </c>
      <c r="M85" s="21" t="str">
        <f>IFERROR(__xludf.DUMMYFUNCTION("IFERROR((GOOGLEFINANCE(C85, ""price"") / INDEX(GOOGLEFINANCE(C85, ""price"", EDATE(TODAY(), -1), TODAY()), 2, 2)) - 1, """")"),"")</f>
        <v/>
      </c>
      <c r="N85" s="21" t="str">
        <f>IFERROR(__xludf.DUMMYFUNCTION("IFERROR((GOOGLEFINANCE(C85, ""price"") / INDEX(GOOGLEFINANCE(C85, ""price"", EDATE(TODAY(), -3), TODAY()), 2, 2)) - 1, """")"),"")</f>
        <v/>
      </c>
      <c r="O85" s="21" t="str">
        <f>IFERROR(__xludf.DUMMYFUNCTION("IFERROR((GOOGLEFINANCE(C85, ""price"") / INDEX(GOOGLEFINANCE(C85, ""price"", EDATE(TODAY(), -6), TODAY()), 2, 2)) - 1, """")"),"")</f>
        <v/>
      </c>
      <c r="P85" s="21" t="str">
        <f>IFERROR(__xludf.DUMMYFUNCTION("IFERROR((GOOGLEFINANCE(C85, ""price"") / INDEX(GOOGLEFINANCE(C85, ""price"", EDATE(TODAY(), -12), TODAY()), 2, 2)) - 1, """")"),"")</f>
        <v/>
      </c>
      <c r="Q85" s="6" t="str">
        <f>IFERROR(__xludf.DUMMYFUNCTION("AVERAGE(QUERY(GOOGLEFINANCE(C85, ""price"", TODAY()-80, TODAY()), ""SELECT Col2 WHERE Col2 IS NOT NULL ORDER BY Col1 DESC LIMIT 50"", 0))"),"#N/A")</f>
        <v>#N/A</v>
      </c>
      <c r="R85" s="24" t="str">
        <f>IFERROR(__xludf.DUMMYFUNCTION("IFERROR(
  LET(
    data, QUERY(GOOGLEFINANCE(C85,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GOOGLEFINANCE(C85, ""price"")) * 100,
    IF(calc=0, G85, calc)
  ), 
G85)"),"#N/A")</f>
        <v>#N/A</v>
      </c>
      <c r="S85" s="8" t="s">
        <v>15</v>
      </c>
      <c r="T85" s="26" t="str">
        <f>IFERROR(__xludf.DUMMYFUNCTION("IFERROR(TRANSPOSE(QUERY(IFERROR(SORT(GOOGLEFINANCE(C85, ""price"", WORKDAY(TODAY(), -40), TODAY()), 1, FALSE)), ""select Col2 where Col2 is not null limit 22 label Col2 ''"", 0)), """")"),"")</f>
        <v/>
      </c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8"/>
      <c r="AO85" s="28"/>
      <c r="AP85" s="29"/>
      <c r="AQ85" s="29" t="str">
        <f t="shared" ref="AQ85:BL85" si="88">T85/T$2</f>
        <v>#N/A</v>
      </c>
      <c r="AR85" s="29" t="str">
        <f t="shared" si="88"/>
        <v>#DIV/0!</v>
      </c>
      <c r="AS85" s="29" t="str">
        <f t="shared" si="88"/>
        <v>#DIV/0!</v>
      </c>
      <c r="AT85" s="29" t="str">
        <f t="shared" si="88"/>
        <v>#DIV/0!</v>
      </c>
      <c r="AU85" s="29" t="str">
        <f t="shared" si="88"/>
        <v>#DIV/0!</v>
      </c>
      <c r="AV85" s="29" t="str">
        <f t="shared" si="88"/>
        <v>#DIV/0!</v>
      </c>
      <c r="AW85" s="29" t="str">
        <f t="shared" si="88"/>
        <v>#DIV/0!</v>
      </c>
      <c r="AX85" s="29" t="str">
        <f t="shared" si="88"/>
        <v>#DIV/0!</v>
      </c>
      <c r="AY85" s="29" t="str">
        <f t="shared" si="88"/>
        <v>#DIV/0!</v>
      </c>
      <c r="AZ85" s="29" t="str">
        <f t="shared" si="88"/>
        <v>#DIV/0!</v>
      </c>
      <c r="BA85" s="29" t="str">
        <f t="shared" si="88"/>
        <v>#DIV/0!</v>
      </c>
      <c r="BB85" s="29" t="str">
        <f t="shared" si="88"/>
        <v>#DIV/0!</v>
      </c>
      <c r="BC85" s="29" t="str">
        <f t="shared" si="88"/>
        <v>#DIV/0!</v>
      </c>
      <c r="BD85" s="29" t="str">
        <f t="shared" si="88"/>
        <v>#DIV/0!</v>
      </c>
      <c r="BE85" s="29" t="str">
        <f t="shared" si="88"/>
        <v>#DIV/0!</v>
      </c>
      <c r="BF85" s="29" t="str">
        <f t="shared" si="88"/>
        <v>#DIV/0!</v>
      </c>
      <c r="BG85" s="29" t="str">
        <f t="shared" si="88"/>
        <v>#DIV/0!</v>
      </c>
      <c r="BH85" s="29" t="str">
        <f t="shared" si="88"/>
        <v>#DIV/0!</v>
      </c>
      <c r="BI85" s="29" t="str">
        <f t="shared" si="88"/>
        <v>#DIV/0!</v>
      </c>
      <c r="BJ85" s="29" t="str">
        <f t="shared" si="88"/>
        <v>#DIV/0!</v>
      </c>
      <c r="BK85" s="29" t="str">
        <f t="shared" si="88"/>
        <v>#DIV/0!</v>
      </c>
      <c r="BL85" s="29" t="str">
        <f t="shared" si="88"/>
        <v>#DIV/0!</v>
      </c>
      <c r="BM85" s="29" t="str">
        <f t="shared" si="3"/>
        <v>#DIV/0!</v>
      </c>
    </row>
    <row r="86">
      <c r="A86" s="16" t="str">
        <f>IFERROR(__xludf.DUMMYFUNCTION("IFERROR(SPARKLINE(SORT(MAP(TRANSPOSE(AQ86:BL86), LAMBDA(val, IF(ISNUMBER(val), PERCENTRANK(AQ86:BL86, val)+0.01, 0))), SEQUENCE(COLUMNS(AQ86:BL86)), FALSE), {""charttype"",""column""; ""color"",""chartreuse""; ""ymin"", 0; ""ymax"", 1.01; ""highcolor"", "&amp;"""darkgreen""; ""lowcolor"", ""red""}), """")"),"")</f>
        <v/>
      </c>
      <c r="B86" s="17" t="str">
        <f t="shared" si="4"/>
        <v/>
      </c>
      <c r="C86" s="1" t="s">
        <v>1788</v>
      </c>
      <c r="D86" s="30" t="str">
        <f>IFERROR(__xludf.DUMMYFUNCTION("IFERROR(GOOGLEFINANCE(C86, ""NAME""))"),"Aveanna Healthcare Holdings Inc")</f>
        <v>Aveanna Healthcare Holdings Inc</v>
      </c>
      <c r="E86" s="30" t="s">
        <v>1513</v>
      </c>
      <c r="F86" s="33" t="str">
        <f>IFERROR(__xludf.DUMMYFUNCTION("( (GOOGLEFINANCE(C86, ""price"") - Q86) / Q86 ) / (R86 / 100)"),"Loading...")</f>
        <v>Loading...</v>
      </c>
      <c r="G86" s="20" t="str">
        <f>IFERROR(__xludf.DUMMYFUNCTION("AVERAGE(ARRAYFORMULA(100 * (QUERY(GOOGLEFINANCE(C86, ""high"", TODAY()-40, TODAY()), ""SELECT Col2 WHERE Col2 IS NOT NULL ORDER BY Col1 DESC LIMIT 20"", 0) / QUERY(GOOGLEFINANCE(C86, ""low"", TODAY()-40, TODAY()), ""SELECT Col2 WHERE Col2 IS NOT NULL ORDE"&amp;"R BY Col1 DESC LIMIT 20"", 0) - 1)))"),"#N/A")</f>
        <v>#N/A</v>
      </c>
      <c r="H86" s="35" t="str">
        <f t="shared" si="6"/>
        <v/>
      </c>
      <c r="I86" s="36" t="str">
        <f t="shared" si="7"/>
        <v/>
      </c>
      <c r="J86" s="37" t="str">
        <f>IFERROR(__xludf.DUMMYFUNCTION("IFERROR(
  IF(C86="""",, 
    IFERROR(
      GOOGLEFINANCE(C86, ""price"") * GOOGLEFINANCE(C86, ""volumeavg""), 
      GOOGLEFINANCE(C86, ""price"") * AVERAGE(QUERY(GOOGLEFINANCE(C86, ""volume"", TODAY()-40, TODAY()), ""SELECT Col2 WHERE Col2 IS NOT NULL "&amp;"ORDER BY Col1 DESC LIMIT 20"", 0))
    )
  ), 
"""")"),"")</f>
        <v/>
      </c>
      <c r="K86" s="21" t="str">
        <f>IFERROR(__xludf.DUMMYFUNCTION("IFERROR(GOOGLEFINANCE(C86, ""changepct"") / 100, """")"),"")</f>
        <v/>
      </c>
      <c r="L86" s="21" t="str">
        <f>IFERROR(__xludf.DUMMYFUNCTION("IFERROR((GOOGLEFINANCE(C86, ""price"") / INDEX(GOOGLEFINANCE(C86, ""price"", TODAY()-7, TODAY()), 2, 2)) - 1, """")"),"")</f>
        <v/>
      </c>
      <c r="M86" s="21" t="str">
        <f>IFERROR(__xludf.DUMMYFUNCTION("IFERROR((GOOGLEFINANCE(C86, ""price"") / INDEX(GOOGLEFINANCE(C86, ""price"", EDATE(TODAY(), -1), TODAY()), 2, 2)) - 1, """")"),"")</f>
        <v/>
      </c>
      <c r="N86" s="21" t="str">
        <f>IFERROR(__xludf.DUMMYFUNCTION("IFERROR((GOOGLEFINANCE(C86, ""price"") / INDEX(GOOGLEFINANCE(C86, ""price"", EDATE(TODAY(), -3), TODAY()), 2, 2)) - 1, """")"),"")</f>
        <v/>
      </c>
      <c r="O86" s="21" t="str">
        <f>IFERROR(__xludf.DUMMYFUNCTION("IFERROR((GOOGLEFINANCE(C86, ""price"") / INDEX(GOOGLEFINANCE(C86, ""price"", EDATE(TODAY(), -6), TODAY()), 2, 2)) - 1, """")"),"")</f>
        <v/>
      </c>
      <c r="P86" s="21" t="str">
        <f>IFERROR(__xludf.DUMMYFUNCTION("IFERROR((GOOGLEFINANCE(C86, ""price"") / INDEX(GOOGLEFINANCE(C86, ""price"", EDATE(TODAY(), -12), TODAY()), 2, 2)) - 1, """")"),"")</f>
        <v/>
      </c>
      <c r="Q86" s="6" t="str">
        <f>IFERROR(__xludf.DUMMYFUNCTION("AVERAGE(QUERY(GOOGLEFINANCE(C86, ""price"", TODAY()-80, TODAY()), ""SELECT Col2 WHERE Col2 IS NOT NULL ORDER BY Col1 DESC LIMIT 50"", 0))"),"#N/A")</f>
        <v>#N/A</v>
      </c>
      <c r="R86" s="24" t="str">
        <f>IFERROR(__xludf.DUMMYFUNCTION("IFERROR(
  LET(
    data, QUERY(GOOGLEFINANCE(C86,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GOOGLEFINANCE(C86, ""price"")) * 100,
    IF(calc=0, G86, calc)
  ), 
G86)"),"#N/A")</f>
        <v>#N/A</v>
      </c>
      <c r="S86" s="8" t="s">
        <v>15</v>
      </c>
      <c r="T86" s="26" t="str">
        <f>IFERROR(__xludf.DUMMYFUNCTION("IFERROR(TRANSPOSE(QUERY(IFERROR(SORT(GOOGLEFINANCE(C86, ""price"", WORKDAY(TODAY(), -40), TODAY()), 1, FALSE)), ""select Col2 where Col2 is not null limit 22 label Col2 ''"", 0)), """")"),"")</f>
        <v/>
      </c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8"/>
      <c r="AO86" s="28"/>
      <c r="AP86" s="29"/>
      <c r="AQ86" s="29" t="str">
        <f t="shared" ref="AQ86:BL86" si="89">T86/T$2</f>
        <v>#N/A</v>
      </c>
      <c r="AR86" s="29" t="str">
        <f t="shared" si="89"/>
        <v>#DIV/0!</v>
      </c>
      <c r="AS86" s="29" t="str">
        <f t="shared" si="89"/>
        <v>#DIV/0!</v>
      </c>
      <c r="AT86" s="29" t="str">
        <f t="shared" si="89"/>
        <v>#DIV/0!</v>
      </c>
      <c r="AU86" s="29" t="str">
        <f t="shared" si="89"/>
        <v>#DIV/0!</v>
      </c>
      <c r="AV86" s="29" t="str">
        <f t="shared" si="89"/>
        <v>#DIV/0!</v>
      </c>
      <c r="AW86" s="29" t="str">
        <f t="shared" si="89"/>
        <v>#DIV/0!</v>
      </c>
      <c r="AX86" s="29" t="str">
        <f t="shared" si="89"/>
        <v>#DIV/0!</v>
      </c>
      <c r="AY86" s="29" t="str">
        <f t="shared" si="89"/>
        <v>#DIV/0!</v>
      </c>
      <c r="AZ86" s="29" t="str">
        <f t="shared" si="89"/>
        <v>#DIV/0!</v>
      </c>
      <c r="BA86" s="29" t="str">
        <f t="shared" si="89"/>
        <v>#DIV/0!</v>
      </c>
      <c r="BB86" s="29" t="str">
        <f t="shared" si="89"/>
        <v>#DIV/0!</v>
      </c>
      <c r="BC86" s="29" t="str">
        <f t="shared" si="89"/>
        <v>#DIV/0!</v>
      </c>
      <c r="BD86" s="29" t="str">
        <f t="shared" si="89"/>
        <v>#DIV/0!</v>
      </c>
      <c r="BE86" s="29" t="str">
        <f t="shared" si="89"/>
        <v>#DIV/0!</v>
      </c>
      <c r="BF86" s="29" t="str">
        <f t="shared" si="89"/>
        <v>#DIV/0!</v>
      </c>
      <c r="BG86" s="29" t="str">
        <f t="shared" si="89"/>
        <v>#DIV/0!</v>
      </c>
      <c r="BH86" s="29" t="str">
        <f t="shared" si="89"/>
        <v>#DIV/0!</v>
      </c>
      <c r="BI86" s="29" t="str">
        <f t="shared" si="89"/>
        <v>#DIV/0!</v>
      </c>
      <c r="BJ86" s="29" t="str">
        <f t="shared" si="89"/>
        <v>#DIV/0!</v>
      </c>
      <c r="BK86" s="29" t="str">
        <f t="shared" si="89"/>
        <v>#DIV/0!</v>
      </c>
      <c r="BL86" s="29" t="str">
        <f t="shared" si="89"/>
        <v>#DIV/0!</v>
      </c>
      <c r="BM86" s="29" t="str">
        <f t="shared" si="3"/>
        <v>#DIV/0!</v>
      </c>
    </row>
    <row r="87">
      <c r="A87" s="16" t="str">
        <f>IFERROR(__xludf.DUMMYFUNCTION("IFERROR(SPARKLINE(SORT(MAP(TRANSPOSE(AQ87:BL87), LAMBDA(val, IF(ISNUMBER(val), PERCENTRANK(AQ87:BL87, val)+0.01, 0))), SEQUENCE(COLUMNS(AQ87:BL87)), FALSE), {""charttype"",""column""; ""color"",""chartreuse""; ""ymin"", 0; ""ymax"", 1.01; ""highcolor"", "&amp;"""darkgreen""; ""lowcolor"", ""red""}), """")"),"")</f>
        <v/>
      </c>
      <c r="B87" s="17" t="str">
        <f t="shared" si="4"/>
        <v/>
      </c>
      <c r="C87" s="1" t="s">
        <v>1793</v>
      </c>
      <c r="D87" s="30" t="str">
        <f>IFERROR(__xludf.DUMMYFUNCTION("IFERROR(GOOGLEFINANCE(C87, ""NAME""))"),"Compass Pathways PLC")</f>
        <v>Compass Pathways PLC</v>
      </c>
      <c r="E87" s="30" t="s">
        <v>1513</v>
      </c>
      <c r="F87" s="33" t="str">
        <f>IFERROR(__xludf.DUMMYFUNCTION("( (GOOGLEFINANCE(C87, ""price"") - Q87) / Q87 ) / (R87 / 100)"),"Loading...")</f>
        <v>Loading...</v>
      </c>
      <c r="G87" s="20" t="str">
        <f>IFERROR(__xludf.DUMMYFUNCTION("AVERAGE(ARRAYFORMULA(100 * (QUERY(GOOGLEFINANCE(C87, ""high"", TODAY()-40, TODAY()), ""SELECT Col2 WHERE Col2 IS NOT NULL ORDER BY Col1 DESC LIMIT 20"", 0) / QUERY(GOOGLEFINANCE(C87, ""low"", TODAY()-40, TODAY()), ""SELECT Col2 WHERE Col2 IS NOT NULL ORDE"&amp;"R BY Col1 DESC LIMIT 20"", 0) - 1)))"),"#N/A")</f>
        <v>#N/A</v>
      </c>
      <c r="H87" s="35" t="str">
        <f t="shared" si="6"/>
        <v/>
      </c>
      <c r="I87" s="36" t="str">
        <f t="shared" si="7"/>
        <v/>
      </c>
      <c r="J87" s="37" t="str">
        <f>IFERROR(__xludf.DUMMYFUNCTION("IFERROR(
  IF(C87="""",, 
    IFERROR(
      GOOGLEFINANCE(C87, ""price"") * GOOGLEFINANCE(C87, ""volumeavg""), 
      GOOGLEFINANCE(C87, ""price"") * AVERAGE(QUERY(GOOGLEFINANCE(C87, ""volume"", TODAY()-40, TODAY()), ""SELECT Col2 WHERE Col2 IS NOT NULL "&amp;"ORDER BY Col1 DESC LIMIT 20"", 0))
    )
  ), 
"""")"),"")</f>
        <v/>
      </c>
      <c r="K87" s="21" t="str">
        <f>IFERROR(__xludf.DUMMYFUNCTION("IFERROR(GOOGLEFINANCE(C87, ""changepct"") / 100, """")"),"")</f>
        <v/>
      </c>
      <c r="L87" s="21" t="str">
        <f>IFERROR(__xludf.DUMMYFUNCTION("IFERROR((GOOGLEFINANCE(C87, ""price"") / INDEX(GOOGLEFINANCE(C87, ""price"", TODAY()-7, TODAY()), 2, 2)) - 1, """")"),"")</f>
        <v/>
      </c>
      <c r="M87" s="21" t="str">
        <f>IFERROR(__xludf.DUMMYFUNCTION("IFERROR((GOOGLEFINANCE(C87, ""price"") / INDEX(GOOGLEFINANCE(C87, ""price"", EDATE(TODAY(), -1), TODAY()), 2, 2)) - 1, """")"),"")</f>
        <v/>
      </c>
      <c r="N87" s="21" t="str">
        <f>IFERROR(__xludf.DUMMYFUNCTION("IFERROR((GOOGLEFINANCE(C87, ""price"") / INDEX(GOOGLEFINANCE(C87, ""price"", EDATE(TODAY(), -3), TODAY()), 2, 2)) - 1, """")"),"")</f>
        <v/>
      </c>
      <c r="O87" s="21" t="str">
        <f>IFERROR(__xludf.DUMMYFUNCTION("IFERROR((GOOGLEFINANCE(C87, ""price"") / INDEX(GOOGLEFINANCE(C87, ""price"", EDATE(TODAY(), -6), TODAY()), 2, 2)) - 1, """")"),"")</f>
        <v/>
      </c>
      <c r="P87" s="21" t="str">
        <f>IFERROR(__xludf.DUMMYFUNCTION("IFERROR((GOOGLEFINANCE(C87, ""price"") / INDEX(GOOGLEFINANCE(C87, ""price"", EDATE(TODAY(), -12), TODAY()), 2, 2)) - 1, """")"),"")</f>
        <v/>
      </c>
      <c r="Q87" s="6" t="str">
        <f>IFERROR(__xludf.DUMMYFUNCTION("AVERAGE(QUERY(GOOGLEFINANCE(C87, ""price"", TODAY()-80, TODAY()), ""SELECT Col2 WHERE Col2 IS NOT NULL ORDER BY Col1 DESC LIMIT 50"", 0))"),"#N/A")</f>
        <v>#N/A</v>
      </c>
      <c r="R87" s="24" t="str">
        <f>IFERROR(__xludf.DUMMYFUNCTION("IFERROR(
  LET(
    data, QUERY(GOOGLEFINANCE(C87,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GOOGLEFINANCE(C87, ""price"")) * 100,
    IF(calc=0, G87, calc)
  ), 
G87)"),"#N/A")</f>
        <v>#N/A</v>
      </c>
      <c r="S87" s="8" t="s">
        <v>15</v>
      </c>
      <c r="T87" s="26" t="str">
        <f>IFERROR(__xludf.DUMMYFUNCTION("IFERROR(TRANSPOSE(QUERY(IFERROR(SORT(GOOGLEFINANCE(C87, ""price"", WORKDAY(TODAY(), -40), TODAY()), 1, FALSE)), ""select Col2 where Col2 is not null limit 22 label Col2 ''"", 0)), """")"),"")</f>
        <v/>
      </c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8"/>
      <c r="AO87" s="28"/>
      <c r="AP87" s="29"/>
      <c r="AQ87" s="29" t="str">
        <f t="shared" ref="AQ87:BL87" si="90">T87/T$2</f>
        <v>#N/A</v>
      </c>
      <c r="AR87" s="29" t="str">
        <f t="shared" si="90"/>
        <v>#DIV/0!</v>
      </c>
      <c r="AS87" s="29" t="str">
        <f t="shared" si="90"/>
        <v>#DIV/0!</v>
      </c>
      <c r="AT87" s="29" t="str">
        <f t="shared" si="90"/>
        <v>#DIV/0!</v>
      </c>
      <c r="AU87" s="29" t="str">
        <f t="shared" si="90"/>
        <v>#DIV/0!</v>
      </c>
      <c r="AV87" s="29" t="str">
        <f t="shared" si="90"/>
        <v>#DIV/0!</v>
      </c>
      <c r="AW87" s="29" t="str">
        <f t="shared" si="90"/>
        <v>#DIV/0!</v>
      </c>
      <c r="AX87" s="29" t="str">
        <f t="shared" si="90"/>
        <v>#DIV/0!</v>
      </c>
      <c r="AY87" s="29" t="str">
        <f t="shared" si="90"/>
        <v>#DIV/0!</v>
      </c>
      <c r="AZ87" s="29" t="str">
        <f t="shared" si="90"/>
        <v>#DIV/0!</v>
      </c>
      <c r="BA87" s="29" t="str">
        <f t="shared" si="90"/>
        <v>#DIV/0!</v>
      </c>
      <c r="BB87" s="29" t="str">
        <f t="shared" si="90"/>
        <v>#DIV/0!</v>
      </c>
      <c r="BC87" s="29" t="str">
        <f t="shared" si="90"/>
        <v>#DIV/0!</v>
      </c>
      <c r="BD87" s="29" t="str">
        <f t="shared" si="90"/>
        <v>#DIV/0!</v>
      </c>
      <c r="BE87" s="29" t="str">
        <f t="shared" si="90"/>
        <v>#DIV/0!</v>
      </c>
      <c r="BF87" s="29" t="str">
        <f t="shared" si="90"/>
        <v>#DIV/0!</v>
      </c>
      <c r="BG87" s="29" t="str">
        <f t="shared" si="90"/>
        <v>#DIV/0!</v>
      </c>
      <c r="BH87" s="29" t="str">
        <f t="shared" si="90"/>
        <v>#DIV/0!</v>
      </c>
      <c r="BI87" s="29" t="str">
        <f t="shared" si="90"/>
        <v>#DIV/0!</v>
      </c>
      <c r="BJ87" s="29" t="str">
        <f t="shared" si="90"/>
        <v>#DIV/0!</v>
      </c>
      <c r="BK87" s="29" t="str">
        <f t="shared" si="90"/>
        <v>#DIV/0!</v>
      </c>
      <c r="BL87" s="29" t="str">
        <f t="shared" si="90"/>
        <v>#DIV/0!</v>
      </c>
      <c r="BM87" s="29" t="str">
        <f t="shared" si="3"/>
        <v>#DIV/0!</v>
      </c>
    </row>
    <row r="88">
      <c r="A88" s="16" t="str">
        <f>IFERROR(__xludf.DUMMYFUNCTION("IFERROR(SPARKLINE(SORT(MAP(TRANSPOSE(AQ88:BL88), LAMBDA(val, IF(ISNUMBER(val), PERCENTRANK(AQ88:BL88, val)+0.01, 0))), SEQUENCE(COLUMNS(AQ88:BL88)), FALSE), {""charttype"",""column""; ""color"",""chartreuse""; ""ymin"", 0; ""ymax"", 1.01; ""highcolor"", "&amp;"""darkgreen""; ""lowcolor"", ""red""}), """")"),"")</f>
        <v/>
      </c>
      <c r="B88" s="17" t="str">
        <f t="shared" si="4"/>
        <v/>
      </c>
      <c r="C88" s="1" t="s">
        <v>1797</v>
      </c>
      <c r="D88" s="30" t="str">
        <f>IFERROR(__xludf.DUMMYFUNCTION("IFERROR(GOOGLEFINANCE(C88, ""NAME""))"),"Collegium Pharmaceutical Inc")</f>
        <v>Collegium Pharmaceutical Inc</v>
      </c>
      <c r="E88" s="30" t="s">
        <v>1475</v>
      </c>
      <c r="F88" s="33" t="str">
        <f>IFERROR(__xludf.DUMMYFUNCTION("( (GOOGLEFINANCE(C88, ""price"") - Q88) / Q88 ) / (R88 / 100)"),"Loading...")</f>
        <v>Loading...</v>
      </c>
      <c r="G88" s="20" t="str">
        <f>IFERROR(__xludf.DUMMYFUNCTION("AVERAGE(ARRAYFORMULA(100 * (QUERY(GOOGLEFINANCE(C88, ""high"", TODAY()-40, TODAY()), ""SELECT Col2 WHERE Col2 IS NOT NULL ORDER BY Col1 DESC LIMIT 20"", 0) / QUERY(GOOGLEFINANCE(C88, ""low"", TODAY()-40, TODAY()), ""SELECT Col2 WHERE Col2 IS NOT NULL ORDE"&amp;"R BY Col1 DESC LIMIT 20"", 0) - 1)))"),"#N/A")</f>
        <v>#N/A</v>
      </c>
      <c r="H88" s="35" t="str">
        <f t="shared" si="6"/>
        <v/>
      </c>
      <c r="I88" s="36" t="str">
        <f t="shared" si="7"/>
        <v/>
      </c>
      <c r="J88" s="37" t="str">
        <f>IFERROR(__xludf.DUMMYFUNCTION("IFERROR(
  IF(C88="""",, 
    IFERROR(
      GOOGLEFINANCE(C88, ""price"") * GOOGLEFINANCE(C88, ""volumeavg""), 
      GOOGLEFINANCE(C88, ""price"") * AVERAGE(QUERY(GOOGLEFINANCE(C88, ""volume"", TODAY()-40, TODAY()), ""SELECT Col2 WHERE Col2 IS NOT NULL "&amp;"ORDER BY Col1 DESC LIMIT 20"", 0))
    )
  ), 
"""")"),"")</f>
        <v/>
      </c>
      <c r="K88" s="21" t="str">
        <f>IFERROR(__xludf.DUMMYFUNCTION("IFERROR(GOOGLEFINANCE(C88, ""changepct"") / 100, """")"),"")</f>
        <v/>
      </c>
      <c r="L88" s="21" t="str">
        <f>IFERROR(__xludf.DUMMYFUNCTION("IFERROR((GOOGLEFINANCE(C88, ""price"") / INDEX(GOOGLEFINANCE(C88, ""price"", TODAY()-7, TODAY()), 2, 2)) - 1, """")"),"")</f>
        <v/>
      </c>
      <c r="M88" s="21" t="str">
        <f>IFERROR(__xludf.DUMMYFUNCTION("IFERROR((GOOGLEFINANCE(C88, ""price"") / INDEX(GOOGLEFINANCE(C88, ""price"", EDATE(TODAY(), -1), TODAY()), 2, 2)) - 1, """")"),"")</f>
        <v/>
      </c>
      <c r="N88" s="21" t="str">
        <f>IFERROR(__xludf.DUMMYFUNCTION("IFERROR((GOOGLEFINANCE(C88, ""price"") / INDEX(GOOGLEFINANCE(C88, ""price"", EDATE(TODAY(), -3), TODAY()), 2, 2)) - 1, """")"),"")</f>
        <v/>
      </c>
      <c r="O88" s="21" t="str">
        <f>IFERROR(__xludf.DUMMYFUNCTION("IFERROR((GOOGLEFINANCE(C88, ""price"") / INDEX(GOOGLEFINANCE(C88, ""price"", EDATE(TODAY(), -6), TODAY()), 2, 2)) - 1, """")"),"")</f>
        <v/>
      </c>
      <c r="P88" s="21" t="str">
        <f>IFERROR(__xludf.DUMMYFUNCTION("IFERROR((GOOGLEFINANCE(C88, ""price"") / INDEX(GOOGLEFINANCE(C88, ""price"", EDATE(TODAY(), -12), TODAY()), 2, 2)) - 1, """")"),"")</f>
        <v/>
      </c>
      <c r="Q88" s="6" t="str">
        <f>IFERROR(__xludf.DUMMYFUNCTION("AVERAGE(QUERY(GOOGLEFINANCE(C88, ""price"", TODAY()-80, TODAY()), ""SELECT Col2 WHERE Col2 IS NOT NULL ORDER BY Col1 DESC LIMIT 50"", 0))"),"#N/A")</f>
        <v>#N/A</v>
      </c>
      <c r="R88" s="24" t="str">
        <f>IFERROR(__xludf.DUMMYFUNCTION("IFERROR(
  LET(
    data, QUERY(GOOGLEFINANCE(C88,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GOOGLEFINANCE(C88, ""price"")) * 100,
    IF(calc=0, G88, calc)
  ), 
G88)"),"#N/A")</f>
        <v>#N/A</v>
      </c>
      <c r="S88" s="8" t="s">
        <v>15</v>
      </c>
      <c r="T88" s="26" t="str">
        <f>IFERROR(__xludf.DUMMYFUNCTION("IFERROR(TRANSPOSE(QUERY(IFERROR(SORT(GOOGLEFINANCE(C88, ""price"", WORKDAY(TODAY(), -40), TODAY()), 1, FALSE)), ""select Col2 where Col2 is not null limit 22 label Col2 ''"", 0)), """")"),"")</f>
        <v/>
      </c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8"/>
      <c r="AO88" s="28"/>
      <c r="AP88" s="29"/>
      <c r="AQ88" s="29" t="str">
        <f t="shared" ref="AQ88:BL88" si="91">T88/T$2</f>
        <v>#N/A</v>
      </c>
      <c r="AR88" s="29" t="str">
        <f t="shared" si="91"/>
        <v>#DIV/0!</v>
      </c>
      <c r="AS88" s="29" t="str">
        <f t="shared" si="91"/>
        <v>#DIV/0!</v>
      </c>
      <c r="AT88" s="29" t="str">
        <f t="shared" si="91"/>
        <v>#DIV/0!</v>
      </c>
      <c r="AU88" s="29" t="str">
        <f t="shared" si="91"/>
        <v>#DIV/0!</v>
      </c>
      <c r="AV88" s="29" t="str">
        <f t="shared" si="91"/>
        <v>#DIV/0!</v>
      </c>
      <c r="AW88" s="29" t="str">
        <f t="shared" si="91"/>
        <v>#DIV/0!</v>
      </c>
      <c r="AX88" s="29" t="str">
        <f t="shared" si="91"/>
        <v>#DIV/0!</v>
      </c>
      <c r="AY88" s="29" t="str">
        <f t="shared" si="91"/>
        <v>#DIV/0!</v>
      </c>
      <c r="AZ88" s="29" t="str">
        <f t="shared" si="91"/>
        <v>#DIV/0!</v>
      </c>
      <c r="BA88" s="29" t="str">
        <f t="shared" si="91"/>
        <v>#DIV/0!</v>
      </c>
      <c r="BB88" s="29" t="str">
        <f t="shared" si="91"/>
        <v>#DIV/0!</v>
      </c>
      <c r="BC88" s="29" t="str">
        <f t="shared" si="91"/>
        <v>#DIV/0!</v>
      </c>
      <c r="BD88" s="29" t="str">
        <f t="shared" si="91"/>
        <v>#DIV/0!</v>
      </c>
      <c r="BE88" s="29" t="str">
        <f t="shared" si="91"/>
        <v>#DIV/0!</v>
      </c>
      <c r="BF88" s="29" t="str">
        <f t="shared" si="91"/>
        <v>#DIV/0!</v>
      </c>
      <c r="BG88" s="29" t="str">
        <f t="shared" si="91"/>
        <v>#DIV/0!</v>
      </c>
      <c r="BH88" s="29" t="str">
        <f t="shared" si="91"/>
        <v>#DIV/0!</v>
      </c>
      <c r="BI88" s="29" t="str">
        <f t="shared" si="91"/>
        <v>#DIV/0!</v>
      </c>
      <c r="BJ88" s="29" t="str">
        <f t="shared" si="91"/>
        <v>#DIV/0!</v>
      </c>
      <c r="BK88" s="29" t="str">
        <f t="shared" si="91"/>
        <v>#DIV/0!</v>
      </c>
      <c r="BL88" s="29" t="str">
        <f t="shared" si="91"/>
        <v>#DIV/0!</v>
      </c>
      <c r="BM88" s="29" t="str">
        <f t="shared" si="3"/>
        <v>#DIV/0!</v>
      </c>
    </row>
    <row r="89">
      <c r="A89" s="16" t="str">
        <f>IFERROR(__xludf.DUMMYFUNCTION("IFERROR(SPARKLINE(SORT(MAP(TRANSPOSE(AQ89:BL89), LAMBDA(val, IF(ISNUMBER(val), PERCENTRANK(AQ89:BL89, val)+0.01, 0))), SEQUENCE(COLUMNS(AQ89:BL89)), FALSE), {""charttype"",""column""; ""color"",""chartreuse""; ""ymin"", 0; ""ymax"", 1.01; ""highcolor"", "&amp;"""darkgreen""; ""lowcolor"", ""red""}), """")"),"")</f>
        <v/>
      </c>
      <c r="B89" s="17" t="str">
        <f t="shared" si="4"/>
        <v/>
      </c>
      <c r="C89" s="1" t="s">
        <v>1801</v>
      </c>
      <c r="D89" s="30" t="str">
        <f>IFERROR(__xludf.DUMMYFUNCTION("IFERROR(GOOGLEFINANCE(C89, ""NAME""))"),"Organon &amp; Co")</f>
        <v>Organon &amp; Co</v>
      </c>
      <c r="E89" s="30" t="s">
        <v>1509</v>
      </c>
      <c r="F89" s="33" t="str">
        <f>IFERROR(__xludf.DUMMYFUNCTION("( (GOOGLEFINANCE(C89, ""price"") - Q89) / Q89 ) / (R89 / 100)"),"Loading...")</f>
        <v>Loading...</v>
      </c>
      <c r="G89" s="20" t="str">
        <f>IFERROR(__xludf.DUMMYFUNCTION("AVERAGE(ARRAYFORMULA(100 * (QUERY(GOOGLEFINANCE(C89, ""high"", TODAY()-40, TODAY()), ""SELECT Col2 WHERE Col2 IS NOT NULL ORDER BY Col1 DESC LIMIT 20"", 0) / QUERY(GOOGLEFINANCE(C89, ""low"", TODAY()-40, TODAY()), ""SELECT Col2 WHERE Col2 IS NOT NULL ORDE"&amp;"R BY Col1 DESC LIMIT 20"", 0) - 1)))"),"#N/A")</f>
        <v>#N/A</v>
      </c>
      <c r="H89" s="35" t="str">
        <f t="shared" si="6"/>
        <v/>
      </c>
      <c r="I89" s="36" t="str">
        <f t="shared" si="7"/>
        <v/>
      </c>
      <c r="J89" s="37" t="str">
        <f>IFERROR(__xludf.DUMMYFUNCTION("IFERROR(
  IF(C89="""",, 
    IFERROR(
      GOOGLEFINANCE(C89, ""price"") * GOOGLEFINANCE(C89, ""volumeavg""), 
      GOOGLEFINANCE(C89, ""price"") * AVERAGE(QUERY(GOOGLEFINANCE(C89, ""volume"", TODAY()-40, TODAY()), ""SELECT Col2 WHERE Col2 IS NOT NULL "&amp;"ORDER BY Col1 DESC LIMIT 20"", 0))
    )
  ), 
"""")"),"")</f>
        <v/>
      </c>
      <c r="K89" s="21" t="str">
        <f>IFERROR(__xludf.DUMMYFUNCTION("IFERROR(GOOGLEFINANCE(C89, ""changepct"") / 100, """")"),"")</f>
        <v/>
      </c>
      <c r="L89" s="21" t="str">
        <f>IFERROR(__xludf.DUMMYFUNCTION("IFERROR((GOOGLEFINANCE(C89, ""price"") / INDEX(GOOGLEFINANCE(C89, ""price"", TODAY()-7, TODAY()), 2, 2)) - 1, """")"),"")</f>
        <v/>
      </c>
      <c r="M89" s="21" t="str">
        <f>IFERROR(__xludf.DUMMYFUNCTION("IFERROR((GOOGLEFINANCE(C89, ""price"") / INDEX(GOOGLEFINANCE(C89, ""price"", EDATE(TODAY(), -1), TODAY()), 2, 2)) - 1, """")"),"")</f>
        <v/>
      </c>
      <c r="N89" s="21" t="str">
        <f>IFERROR(__xludf.DUMMYFUNCTION("IFERROR((GOOGLEFINANCE(C89, ""price"") / INDEX(GOOGLEFINANCE(C89, ""price"", EDATE(TODAY(), -3), TODAY()), 2, 2)) - 1, """")"),"")</f>
        <v/>
      </c>
      <c r="O89" s="21" t="str">
        <f>IFERROR(__xludf.DUMMYFUNCTION("IFERROR((GOOGLEFINANCE(C89, ""price"") / INDEX(GOOGLEFINANCE(C89, ""price"", EDATE(TODAY(), -6), TODAY()), 2, 2)) - 1, """")"),"")</f>
        <v/>
      </c>
      <c r="P89" s="21" t="str">
        <f>IFERROR(__xludf.DUMMYFUNCTION("IFERROR((GOOGLEFINANCE(C89, ""price"") / INDEX(GOOGLEFINANCE(C89, ""price"", EDATE(TODAY(), -12), TODAY()), 2, 2)) - 1, """")"),"")</f>
        <v/>
      </c>
      <c r="Q89" s="6" t="str">
        <f>IFERROR(__xludf.DUMMYFUNCTION("AVERAGE(QUERY(GOOGLEFINANCE(C89, ""price"", TODAY()-80, TODAY()), ""SELECT Col2 WHERE Col2 IS NOT NULL ORDER BY Col1 DESC LIMIT 50"", 0))"),"#N/A")</f>
        <v>#N/A</v>
      </c>
      <c r="R89" s="24" t="str">
        <f>IFERROR(__xludf.DUMMYFUNCTION("IFERROR(
  LET(
    data, QUERY(GOOGLEFINANCE(C89,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GOOGLEFINANCE(C89, ""price"")) * 100,
    IF(calc=0, G89, calc)
  ), 
G89)"),"#N/A")</f>
        <v>#N/A</v>
      </c>
      <c r="S89" s="8" t="s">
        <v>15</v>
      </c>
      <c r="T89" s="26" t="str">
        <f>IFERROR(__xludf.DUMMYFUNCTION("IFERROR(TRANSPOSE(QUERY(IFERROR(SORT(GOOGLEFINANCE(C89, ""price"", WORKDAY(TODAY(), -40), TODAY()), 1, FALSE)), ""select Col2 where Col2 is not null limit 22 label Col2 ''"", 0)), """")"),"")</f>
        <v/>
      </c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8"/>
      <c r="AO89" s="28"/>
      <c r="AP89" s="29"/>
      <c r="AQ89" s="29" t="str">
        <f t="shared" ref="AQ89:BL89" si="92">T89/T$2</f>
        <v>#N/A</v>
      </c>
      <c r="AR89" s="29" t="str">
        <f t="shared" si="92"/>
        <v>#DIV/0!</v>
      </c>
      <c r="AS89" s="29" t="str">
        <f t="shared" si="92"/>
        <v>#DIV/0!</v>
      </c>
      <c r="AT89" s="29" t="str">
        <f t="shared" si="92"/>
        <v>#DIV/0!</v>
      </c>
      <c r="AU89" s="29" t="str">
        <f t="shared" si="92"/>
        <v>#DIV/0!</v>
      </c>
      <c r="AV89" s="29" t="str">
        <f t="shared" si="92"/>
        <v>#DIV/0!</v>
      </c>
      <c r="AW89" s="29" t="str">
        <f t="shared" si="92"/>
        <v>#DIV/0!</v>
      </c>
      <c r="AX89" s="29" t="str">
        <f t="shared" si="92"/>
        <v>#DIV/0!</v>
      </c>
      <c r="AY89" s="29" t="str">
        <f t="shared" si="92"/>
        <v>#DIV/0!</v>
      </c>
      <c r="AZ89" s="29" t="str">
        <f t="shared" si="92"/>
        <v>#DIV/0!</v>
      </c>
      <c r="BA89" s="29" t="str">
        <f t="shared" si="92"/>
        <v>#DIV/0!</v>
      </c>
      <c r="BB89" s="29" t="str">
        <f t="shared" si="92"/>
        <v>#DIV/0!</v>
      </c>
      <c r="BC89" s="29" t="str">
        <f t="shared" si="92"/>
        <v>#DIV/0!</v>
      </c>
      <c r="BD89" s="29" t="str">
        <f t="shared" si="92"/>
        <v>#DIV/0!</v>
      </c>
      <c r="BE89" s="29" t="str">
        <f t="shared" si="92"/>
        <v>#DIV/0!</v>
      </c>
      <c r="BF89" s="29" t="str">
        <f t="shared" si="92"/>
        <v>#DIV/0!</v>
      </c>
      <c r="BG89" s="29" t="str">
        <f t="shared" si="92"/>
        <v>#DIV/0!</v>
      </c>
      <c r="BH89" s="29" t="str">
        <f t="shared" si="92"/>
        <v>#DIV/0!</v>
      </c>
      <c r="BI89" s="29" t="str">
        <f t="shared" si="92"/>
        <v>#DIV/0!</v>
      </c>
      <c r="BJ89" s="29" t="str">
        <f t="shared" si="92"/>
        <v>#DIV/0!</v>
      </c>
      <c r="BK89" s="29" t="str">
        <f t="shared" si="92"/>
        <v>#DIV/0!</v>
      </c>
      <c r="BL89" s="29" t="str">
        <f t="shared" si="92"/>
        <v>#DIV/0!</v>
      </c>
      <c r="BM89" s="29" t="str">
        <f t="shared" si="3"/>
        <v>#DIV/0!</v>
      </c>
    </row>
    <row r="90">
      <c r="A90" s="16" t="str">
        <f>IFERROR(__xludf.DUMMYFUNCTION("IFERROR(SPARKLINE(SORT(MAP(TRANSPOSE(AQ90:BL90), LAMBDA(val, IF(ISNUMBER(val), PERCENTRANK(AQ90:BL90, val)+0.01, 0))), SEQUENCE(COLUMNS(AQ90:BL90)), FALSE), {""charttype"",""column""; ""color"",""chartreuse""; ""ymin"", 0; ""ymax"", 1.01; ""highcolor"", "&amp;"""darkgreen""; ""lowcolor"", ""red""}), """")"),"")</f>
        <v/>
      </c>
      <c r="B90" s="17" t="str">
        <f t="shared" si="4"/>
        <v/>
      </c>
      <c r="C90" s="1" t="s">
        <v>1804</v>
      </c>
      <c r="D90" s="30" t="str">
        <f>IFERROR(__xludf.DUMMYFUNCTION("IFERROR(GOOGLEFINANCE(C90, ""NAME""))"),"")</f>
        <v/>
      </c>
      <c r="E90" s="30" t="s">
        <v>1532</v>
      </c>
      <c r="F90" s="33" t="str">
        <f>IFERROR(__xludf.DUMMYFUNCTION("( (GOOGLEFINANCE(C90, ""price"") - Q90) / Q90 ) / (R90 / 100)"),"Loading...")</f>
        <v>Loading...</v>
      </c>
      <c r="G90" s="20" t="str">
        <f>IFERROR(__xludf.DUMMYFUNCTION("AVERAGE(ARRAYFORMULA(100 * (QUERY(GOOGLEFINANCE(C90, ""high"", TODAY()-40, TODAY()), ""SELECT Col2 WHERE Col2 IS NOT NULL ORDER BY Col1 DESC LIMIT 20"", 0) / QUERY(GOOGLEFINANCE(C90, ""low"", TODAY()-40, TODAY()), ""SELECT Col2 WHERE Col2 IS NOT NULL ORDE"&amp;"R BY Col1 DESC LIMIT 20"", 0) - 1)))"),"#N/A")</f>
        <v>#N/A</v>
      </c>
      <c r="H90" s="35" t="str">
        <f t="shared" si="6"/>
        <v/>
      </c>
      <c r="I90" s="36" t="str">
        <f t="shared" si="7"/>
        <v/>
      </c>
      <c r="J90" s="37" t="str">
        <f>IFERROR(__xludf.DUMMYFUNCTION("IFERROR(
  IF(C90="""",, 
    IFERROR(
      GOOGLEFINANCE(C90, ""price"") * GOOGLEFINANCE(C90, ""volumeavg""), 
      GOOGLEFINANCE(C90, ""price"") * AVERAGE(QUERY(GOOGLEFINANCE(C90, ""volume"", TODAY()-40, TODAY()), ""SELECT Col2 WHERE Col2 IS NOT NULL "&amp;"ORDER BY Col1 DESC LIMIT 20"", 0))
    )
  ), 
"""")"),"")</f>
        <v/>
      </c>
      <c r="K90" s="21" t="str">
        <f>IFERROR(__xludf.DUMMYFUNCTION("IFERROR(GOOGLEFINANCE(C90, ""changepct"") / 100, """")"),"")</f>
        <v/>
      </c>
      <c r="L90" s="21" t="str">
        <f>IFERROR(__xludf.DUMMYFUNCTION("IFERROR((GOOGLEFINANCE(C90, ""price"") / INDEX(GOOGLEFINANCE(C90, ""price"", TODAY()-7, TODAY()), 2, 2)) - 1, """")"),"")</f>
        <v/>
      </c>
      <c r="M90" s="21" t="str">
        <f>IFERROR(__xludf.DUMMYFUNCTION("IFERROR((GOOGLEFINANCE(C90, ""price"") / INDEX(GOOGLEFINANCE(C90, ""price"", EDATE(TODAY(), -1), TODAY()), 2, 2)) - 1, """")"),"")</f>
        <v/>
      </c>
      <c r="N90" s="21" t="str">
        <f>IFERROR(__xludf.DUMMYFUNCTION("IFERROR((GOOGLEFINANCE(C90, ""price"") / INDEX(GOOGLEFINANCE(C90, ""price"", EDATE(TODAY(), -3), TODAY()), 2, 2)) - 1, """")"),"")</f>
        <v/>
      </c>
      <c r="O90" s="21" t="str">
        <f>IFERROR(__xludf.DUMMYFUNCTION("IFERROR((GOOGLEFINANCE(C90, ""price"") / INDEX(GOOGLEFINANCE(C90, ""price"", EDATE(TODAY(), -6), TODAY()), 2, 2)) - 1, """")"),"")</f>
        <v/>
      </c>
      <c r="P90" s="21" t="str">
        <f>IFERROR(__xludf.DUMMYFUNCTION("IFERROR((GOOGLEFINANCE(C90, ""price"") / INDEX(GOOGLEFINANCE(C90, ""price"", EDATE(TODAY(), -12), TODAY()), 2, 2)) - 1, """")"),"")</f>
        <v/>
      </c>
      <c r="Q90" s="6" t="str">
        <f>IFERROR(__xludf.DUMMYFUNCTION("AVERAGE(QUERY(GOOGLEFINANCE(C90, ""price"", TODAY()-80, TODAY()), ""SELECT Col2 WHERE Col2 IS NOT NULL ORDER BY Col1 DESC LIMIT 50"", 0))"),"#N/A")</f>
        <v>#N/A</v>
      </c>
      <c r="R90" s="24" t="str">
        <f>IFERROR(__xludf.DUMMYFUNCTION("IFERROR(
  LET(
    data, QUERY(GOOGLEFINANCE(C90,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GOOGLEFINANCE(C90, ""price"")) * 100,
    IF(calc=0, G90, calc)
  ), 
G90)"),"#N/A")</f>
        <v>#N/A</v>
      </c>
      <c r="S90" s="8" t="s">
        <v>15</v>
      </c>
      <c r="T90" s="26" t="str">
        <f>IFERROR(__xludf.DUMMYFUNCTION("IFERROR(TRANSPOSE(QUERY(IFERROR(SORT(GOOGLEFINANCE(C90, ""price"", WORKDAY(TODAY(), -40), TODAY()), 1, FALSE)), ""select Col2 where Col2 is not null limit 22 label Col2 ''"", 0)), """")"),"")</f>
        <v/>
      </c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8"/>
      <c r="AO90" s="28"/>
      <c r="AP90" s="29"/>
      <c r="AQ90" s="29" t="str">
        <f t="shared" ref="AQ90:BL90" si="93">T90/T$2</f>
        <v>#N/A</v>
      </c>
      <c r="AR90" s="29" t="str">
        <f t="shared" si="93"/>
        <v>#DIV/0!</v>
      </c>
      <c r="AS90" s="29" t="str">
        <f t="shared" si="93"/>
        <v>#DIV/0!</v>
      </c>
      <c r="AT90" s="29" t="str">
        <f t="shared" si="93"/>
        <v>#DIV/0!</v>
      </c>
      <c r="AU90" s="29" t="str">
        <f t="shared" si="93"/>
        <v>#DIV/0!</v>
      </c>
      <c r="AV90" s="29" t="str">
        <f t="shared" si="93"/>
        <v>#DIV/0!</v>
      </c>
      <c r="AW90" s="29" t="str">
        <f t="shared" si="93"/>
        <v>#DIV/0!</v>
      </c>
      <c r="AX90" s="29" t="str">
        <f t="shared" si="93"/>
        <v>#DIV/0!</v>
      </c>
      <c r="AY90" s="29" t="str">
        <f t="shared" si="93"/>
        <v>#DIV/0!</v>
      </c>
      <c r="AZ90" s="29" t="str">
        <f t="shared" si="93"/>
        <v>#DIV/0!</v>
      </c>
      <c r="BA90" s="29" t="str">
        <f t="shared" si="93"/>
        <v>#DIV/0!</v>
      </c>
      <c r="BB90" s="29" t="str">
        <f t="shared" si="93"/>
        <v>#DIV/0!</v>
      </c>
      <c r="BC90" s="29" t="str">
        <f t="shared" si="93"/>
        <v>#DIV/0!</v>
      </c>
      <c r="BD90" s="29" t="str">
        <f t="shared" si="93"/>
        <v>#DIV/0!</v>
      </c>
      <c r="BE90" s="29" t="str">
        <f t="shared" si="93"/>
        <v>#DIV/0!</v>
      </c>
      <c r="BF90" s="29" t="str">
        <f t="shared" si="93"/>
        <v>#DIV/0!</v>
      </c>
      <c r="BG90" s="29" t="str">
        <f t="shared" si="93"/>
        <v>#DIV/0!</v>
      </c>
      <c r="BH90" s="29" t="str">
        <f t="shared" si="93"/>
        <v>#DIV/0!</v>
      </c>
      <c r="BI90" s="29" t="str">
        <f t="shared" si="93"/>
        <v>#DIV/0!</v>
      </c>
      <c r="BJ90" s="29" t="str">
        <f t="shared" si="93"/>
        <v>#DIV/0!</v>
      </c>
      <c r="BK90" s="29" t="str">
        <f t="shared" si="93"/>
        <v>#DIV/0!</v>
      </c>
      <c r="BL90" s="29" t="str">
        <f t="shared" si="93"/>
        <v>#DIV/0!</v>
      </c>
      <c r="BM90" s="29" t="str">
        <f t="shared" si="3"/>
        <v>#DIV/0!</v>
      </c>
    </row>
    <row r="91">
      <c r="A91" s="16" t="str">
        <f>IFERROR(__xludf.DUMMYFUNCTION("IFERROR(SPARKLINE(SORT(MAP(TRANSPOSE(AQ91:BL91), LAMBDA(val, IF(ISNUMBER(val), PERCENTRANK(AQ91:BL91, val)+0.01, 0))), SEQUENCE(COLUMNS(AQ91:BL91)), FALSE), {""charttype"",""column""; ""color"",""chartreuse""; ""ymin"", 0; ""ymax"", 1.01; ""highcolor"", "&amp;"""darkgreen""; ""lowcolor"", ""red""}), """")"),"")</f>
        <v/>
      </c>
      <c r="B91" s="17" t="str">
        <f t="shared" si="4"/>
        <v/>
      </c>
      <c r="C91" s="1" t="s">
        <v>1806</v>
      </c>
      <c r="D91" s="30" t="str">
        <f>IFERROR(__xludf.DUMMYFUNCTION("IFERROR(GOOGLEFINANCE(C91, ""NAME""))"),"Omada Health Inc")</f>
        <v>Omada Health Inc</v>
      </c>
      <c r="E91" s="30" t="s">
        <v>1532</v>
      </c>
      <c r="F91" s="33" t="str">
        <f>IFERROR(__xludf.DUMMYFUNCTION("( (GOOGLEFINANCE(C91, ""price"") - Q91) / Q91 ) / (R91 / 100)"),"Loading...")</f>
        <v>Loading...</v>
      </c>
      <c r="G91" s="20" t="str">
        <f>IFERROR(__xludf.DUMMYFUNCTION("AVERAGE(ARRAYFORMULA(100 * (QUERY(GOOGLEFINANCE(C91, ""high"", TODAY()-40, TODAY()), ""SELECT Col2 WHERE Col2 IS NOT NULL ORDER BY Col1 DESC LIMIT 20"", 0) / QUERY(GOOGLEFINANCE(C91, ""low"", TODAY()-40, TODAY()), ""SELECT Col2 WHERE Col2 IS NOT NULL ORDE"&amp;"R BY Col1 DESC LIMIT 20"", 0) - 1)))"),"#N/A")</f>
        <v>#N/A</v>
      </c>
      <c r="H91" s="35" t="str">
        <f t="shared" si="6"/>
        <v/>
      </c>
      <c r="I91" s="36" t="str">
        <f t="shared" si="7"/>
        <v/>
      </c>
      <c r="J91" s="37" t="str">
        <f>IFERROR(__xludf.DUMMYFUNCTION("IFERROR(
  IF(C91="""",, 
    IFERROR(
      GOOGLEFINANCE(C91, ""price"") * GOOGLEFINANCE(C91, ""volumeavg""), 
      GOOGLEFINANCE(C91, ""price"") * AVERAGE(QUERY(GOOGLEFINANCE(C91, ""volume"", TODAY()-40, TODAY()), ""SELECT Col2 WHERE Col2 IS NOT NULL "&amp;"ORDER BY Col1 DESC LIMIT 20"", 0))
    )
  ), 
"""")"),"")</f>
        <v/>
      </c>
      <c r="K91" s="21" t="str">
        <f>IFERROR(__xludf.DUMMYFUNCTION("IFERROR(GOOGLEFINANCE(C91, ""changepct"") / 100, """")"),"")</f>
        <v/>
      </c>
      <c r="L91" s="21" t="str">
        <f>IFERROR(__xludf.DUMMYFUNCTION("IFERROR((GOOGLEFINANCE(C91, ""price"") / INDEX(GOOGLEFINANCE(C91, ""price"", TODAY()-7, TODAY()), 2, 2)) - 1, """")"),"")</f>
        <v/>
      </c>
      <c r="M91" s="21" t="str">
        <f>IFERROR(__xludf.DUMMYFUNCTION("IFERROR((GOOGLEFINANCE(C91, ""price"") / INDEX(GOOGLEFINANCE(C91, ""price"", EDATE(TODAY(), -1), TODAY()), 2, 2)) - 1, """")"),"")</f>
        <v/>
      </c>
      <c r="N91" s="21" t="str">
        <f>IFERROR(__xludf.DUMMYFUNCTION("IFERROR((GOOGLEFINANCE(C91, ""price"") / INDEX(GOOGLEFINANCE(C91, ""price"", EDATE(TODAY(), -3), TODAY()), 2, 2)) - 1, """")"),"")</f>
        <v/>
      </c>
      <c r="O91" s="21" t="str">
        <f>IFERROR(__xludf.DUMMYFUNCTION("IFERROR((GOOGLEFINANCE(C91, ""price"") / INDEX(GOOGLEFINANCE(C91, ""price"", EDATE(TODAY(), -6), TODAY()), 2, 2)) - 1, """")"),"")</f>
        <v/>
      </c>
      <c r="P91" s="21" t="str">
        <f>IFERROR(__xludf.DUMMYFUNCTION("IFERROR((GOOGLEFINANCE(C91, ""price"") / INDEX(GOOGLEFINANCE(C91, ""price"", EDATE(TODAY(), -12), TODAY()), 2, 2)) - 1, """")"),"")</f>
        <v/>
      </c>
      <c r="Q91" s="6" t="str">
        <f>IFERROR(__xludf.DUMMYFUNCTION("AVERAGE(QUERY(GOOGLEFINANCE(C91, ""price"", TODAY()-80, TODAY()), ""SELECT Col2 WHERE Col2 IS NOT NULL ORDER BY Col1 DESC LIMIT 50"", 0))"),"#N/A")</f>
        <v>#N/A</v>
      </c>
      <c r="R91" s="24" t="str">
        <f>IFERROR(__xludf.DUMMYFUNCTION("IFERROR(
  LET(
    data, QUERY(GOOGLEFINANCE(C91,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GOOGLEFINANCE(C91, ""price"")) * 100,
    IF(calc=0, G91, calc)
  ), 
G91)"),"#N/A")</f>
        <v>#N/A</v>
      </c>
      <c r="S91" s="8" t="s">
        <v>15</v>
      </c>
      <c r="T91" s="26" t="str">
        <f>IFERROR(__xludf.DUMMYFUNCTION("IFERROR(TRANSPOSE(QUERY(IFERROR(SORT(GOOGLEFINANCE(C91, ""price"", WORKDAY(TODAY(), -40), TODAY()), 1, FALSE)), ""select Col2 where Col2 is not null limit 22 label Col2 ''"", 0)), """")"),"")</f>
        <v/>
      </c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8"/>
      <c r="AO91" s="28"/>
      <c r="AP91" s="29"/>
      <c r="AQ91" s="29" t="str">
        <f t="shared" ref="AQ91:BL91" si="94">T91/T$2</f>
        <v>#N/A</v>
      </c>
      <c r="AR91" s="29" t="str">
        <f t="shared" si="94"/>
        <v>#DIV/0!</v>
      </c>
      <c r="AS91" s="29" t="str">
        <f t="shared" si="94"/>
        <v>#DIV/0!</v>
      </c>
      <c r="AT91" s="29" t="str">
        <f t="shared" si="94"/>
        <v>#DIV/0!</v>
      </c>
      <c r="AU91" s="29" t="str">
        <f t="shared" si="94"/>
        <v>#DIV/0!</v>
      </c>
      <c r="AV91" s="29" t="str">
        <f t="shared" si="94"/>
        <v>#DIV/0!</v>
      </c>
      <c r="AW91" s="29" t="str">
        <f t="shared" si="94"/>
        <v>#DIV/0!</v>
      </c>
      <c r="AX91" s="29" t="str">
        <f t="shared" si="94"/>
        <v>#DIV/0!</v>
      </c>
      <c r="AY91" s="29" t="str">
        <f t="shared" si="94"/>
        <v>#DIV/0!</v>
      </c>
      <c r="AZ91" s="29" t="str">
        <f t="shared" si="94"/>
        <v>#DIV/0!</v>
      </c>
      <c r="BA91" s="29" t="str">
        <f t="shared" si="94"/>
        <v>#DIV/0!</v>
      </c>
      <c r="BB91" s="29" t="str">
        <f t="shared" si="94"/>
        <v>#DIV/0!</v>
      </c>
      <c r="BC91" s="29" t="str">
        <f t="shared" si="94"/>
        <v>#DIV/0!</v>
      </c>
      <c r="BD91" s="29" t="str">
        <f t="shared" si="94"/>
        <v>#DIV/0!</v>
      </c>
      <c r="BE91" s="29" t="str">
        <f t="shared" si="94"/>
        <v>#DIV/0!</v>
      </c>
      <c r="BF91" s="29" t="str">
        <f t="shared" si="94"/>
        <v>#DIV/0!</v>
      </c>
      <c r="BG91" s="29" t="str">
        <f t="shared" si="94"/>
        <v>#DIV/0!</v>
      </c>
      <c r="BH91" s="29" t="str">
        <f t="shared" si="94"/>
        <v>#DIV/0!</v>
      </c>
      <c r="BI91" s="29" t="str">
        <f t="shared" si="94"/>
        <v>#DIV/0!</v>
      </c>
      <c r="BJ91" s="29" t="str">
        <f t="shared" si="94"/>
        <v>#DIV/0!</v>
      </c>
      <c r="BK91" s="29" t="str">
        <f t="shared" si="94"/>
        <v>#DIV/0!</v>
      </c>
      <c r="BL91" s="29" t="str">
        <f t="shared" si="94"/>
        <v>#DIV/0!</v>
      </c>
      <c r="BM91" s="29" t="str">
        <f t="shared" si="3"/>
        <v>#DIV/0!</v>
      </c>
    </row>
    <row r="92">
      <c r="A92" s="16" t="str">
        <f>IFERROR(__xludf.DUMMYFUNCTION("IFERROR(SPARKLINE(SORT(MAP(TRANSPOSE(AQ92:BL92), LAMBDA(val, IF(ISNUMBER(val), PERCENTRANK(AQ92:BL92, val)+0.01, 0))), SEQUENCE(COLUMNS(AQ92:BL92)), FALSE), {""charttype"",""column""; ""color"",""chartreuse""; ""ymin"", 0; ""ymax"", 1.01; ""highcolor"", "&amp;"""darkgreen""; ""lowcolor"", ""red""}), """")"),"")</f>
        <v/>
      </c>
      <c r="B92" s="17" t="str">
        <f t="shared" si="4"/>
        <v/>
      </c>
      <c r="C92" s="1" t="s">
        <v>1810</v>
      </c>
      <c r="D92" s="30" t="str">
        <f>IFERROR(__xludf.DUMMYFUNCTION("IFERROR(GOOGLEFINANCE(C92, ""NAME""))"),"SI-Bone Inc")</f>
        <v>SI-Bone Inc</v>
      </c>
      <c r="E92" s="30" t="s">
        <v>1491</v>
      </c>
      <c r="F92" s="38" t="str">
        <f>IFERROR(__xludf.DUMMYFUNCTION("( (GOOGLEFINANCE(C92, ""price"") - Q92) / Q92 ) / (R92 / 100)"),"Loading...")</f>
        <v>Loading...</v>
      </c>
      <c r="G92" s="20" t="str">
        <f>IFERROR(__xludf.DUMMYFUNCTION("AVERAGE(ARRAYFORMULA(100 * (QUERY(GOOGLEFINANCE(C92, ""high"", TODAY()-40, TODAY()), ""SELECT Col2 WHERE Col2 IS NOT NULL ORDER BY Col1 DESC LIMIT 20"", 0) / QUERY(GOOGLEFINANCE(C92, ""low"", TODAY()-40, TODAY()), ""SELECT Col2 WHERE Col2 IS NOT NULL ORDE"&amp;"R BY Col1 DESC LIMIT 20"", 0) - 1)))"),"#N/A")</f>
        <v>#N/A</v>
      </c>
      <c r="H92" s="35" t="str">
        <f t="shared" si="6"/>
        <v/>
      </c>
      <c r="I92" s="36" t="str">
        <f t="shared" si="7"/>
        <v/>
      </c>
      <c r="J92" s="37" t="str">
        <f>IFERROR(__xludf.DUMMYFUNCTION("IFERROR(
  IF(C92="""",, 
    IFERROR(
      GOOGLEFINANCE(C92, ""price"") * GOOGLEFINANCE(C92, ""volumeavg""), 
      GOOGLEFINANCE(C92, ""price"") * AVERAGE(QUERY(GOOGLEFINANCE(C92, ""volume"", TODAY()-40, TODAY()), ""SELECT Col2 WHERE Col2 IS NOT NULL "&amp;"ORDER BY Col1 DESC LIMIT 20"", 0))
    )
  ), 
"""")"),"")</f>
        <v/>
      </c>
      <c r="K92" s="21" t="str">
        <f>IFERROR(__xludf.DUMMYFUNCTION("IFERROR(GOOGLEFINANCE(C92, ""changepct"") / 100, """")"),"")</f>
        <v/>
      </c>
      <c r="L92" s="21" t="str">
        <f>IFERROR(__xludf.DUMMYFUNCTION("IFERROR((GOOGLEFINANCE(C92, ""price"") / INDEX(GOOGLEFINANCE(C92, ""price"", TODAY()-7, TODAY()), 2, 2)) - 1, """")"),"")</f>
        <v/>
      </c>
      <c r="M92" s="21" t="str">
        <f>IFERROR(__xludf.DUMMYFUNCTION("IFERROR((GOOGLEFINANCE(C92, ""price"") / INDEX(GOOGLEFINANCE(C92, ""price"", EDATE(TODAY(), -1), TODAY()), 2, 2)) - 1, """")"),"")</f>
        <v/>
      </c>
      <c r="N92" s="21" t="str">
        <f>IFERROR(__xludf.DUMMYFUNCTION("IFERROR((GOOGLEFINANCE(C92, ""price"") / INDEX(GOOGLEFINANCE(C92, ""price"", EDATE(TODAY(), -3), TODAY()), 2, 2)) - 1, """")"),"")</f>
        <v/>
      </c>
      <c r="O92" s="21" t="str">
        <f>IFERROR(__xludf.DUMMYFUNCTION("IFERROR((GOOGLEFINANCE(C92, ""price"") / INDEX(GOOGLEFINANCE(C92, ""price"", EDATE(TODAY(), -6), TODAY()), 2, 2)) - 1, """")"),"")</f>
        <v/>
      </c>
      <c r="P92" s="21" t="str">
        <f>IFERROR(__xludf.DUMMYFUNCTION("IFERROR((GOOGLEFINANCE(C92, ""price"") / INDEX(GOOGLEFINANCE(C92, ""price"", EDATE(TODAY(), -12), TODAY()), 2, 2)) - 1, """")"),"")</f>
        <v/>
      </c>
      <c r="Q92" s="6" t="str">
        <f>IFERROR(__xludf.DUMMYFUNCTION("AVERAGE(QUERY(GOOGLEFINANCE(C92, ""price"", TODAY()-80, TODAY()), ""SELECT Col2 WHERE Col2 IS NOT NULL ORDER BY Col1 DESC LIMIT 50"", 0))"),"#N/A")</f>
        <v>#N/A</v>
      </c>
      <c r="R92" s="24" t="str">
        <f>IFERROR(__xludf.DUMMYFUNCTION("IFERROR(
  LET(
    data, QUERY(GOOGLEFINANCE(C92,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GOOGLEFINANCE(C92, ""price"")) * 100,
    IF(calc=0, G92, calc)
  ), 
G92)"),"#N/A")</f>
        <v>#N/A</v>
      </c>
      <c r="S92" s="8" t="s">
        <v>15</v>
      </c>
      <c r="T92" s="26" t="str">
        <f>IFERROR(__xludf.DUMMYFUNCTION("IFERROR(TRANSPOSE(QUERY(IFERROR(SORT(GOOGLEFINANCE(C92, ""price"", WORKDAY(TODAY(), -40), TODAY()), 1, FALSE)), ""select Col2 where Col2 is not null limit 22 label Col2 ''"", 0)), """")"),"")</f>
        <v/>
      </c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8"/>
      <c r="AO92" s="28"/>
      <c r="AP92" s="29"/>
      <c r="AQ92" s="29" t="str">
        <f t="shared" ref="AQ92:BL92" si="95">T92/T$2</f>
        <v>#N/A</v>
      </c>
      <c r="AR92" s="29" t="str">
        <f t="shared" si="95"/>
        <v>#DIV/0!</v>
      </c>
      <c r="AS92" s="29" t="str">
        <f t="shared" si="95"/>
        <v>#DIV/0!</v>
      </c>
      <c r="AT92" s="29" t="str">
        <f t="shared" si="95"/>
        <v>#DIV/0!</v>
      </c>
      <c r="AU92" s="29" t="str">
        <f t="shared" si="95"/>
        <v>#DIV/0!</v>
      </c>
      <c r="AV92" s="29" t="str">
        <f t="shared" si="95"/>
        <v>#DIV/0!</v>
      </c>
      <c r="AW92" s="29" t="str">
        <f t="shared" si="95"/>
        <v>#DIV/0!</v>
      </c>
      <c r="AX92" s="29" t="str">
        <f t="shared" si="95"/>
        <v>#DIV/0!</v>
      </c>
      <c r="AY92" s="29" t="str">
        <f t="shared" si="95"/>
        <v>#DIV/0!</v>
      </c>
      <c r="AZ92" s="29" t="str">
        <f t="shared" si="95"/>
        <v>#DIV/0!</v>
      </c>
      <c r="BA92" s="29" t="str">
        <f t="shared" si="95"/>
        <v>#DIV/0!</v>
      </c>
      <c r="BB92" s="29" t="str">
        <f t="shared" si="95"/>
        <v>#DIV/0!</v>
      </c>
      <c r="BC92" s="29" t="str">
        <f t="shared" si="95"/>
        <v>#DIV/0!</v>
      </c>
      <c r="BD92" s="29" t="str">
        <f t="shared" si="95"/>
        <v>#DIV/0!</v>
      </c>
      <c r="BE92" s="29" t="str">
        <f t="shared" si="95"/>
        <v>#DIV/0!</v>
      </c>
      <c r="BF92" s="29" t="str">
        <f t="shared" si="95"/>
        <v>#DIV/0!</v>
      </c>
      <c r="BG92" s="29" t="str">
        <f t="shared" si="95"/>
        <v>#DIV/0!</v>
      </c>
      <c r="BH92" s="29" t="str">
        <f t="shared" si="95"/>
        <v>#DIV/0!</v>
      </c>
      <c r="BI92" s="29" t="str">
        <f t="shared" si="95"/>
        <v>#DIV/0!</v>
      </c>
      <c r="BJ92" s="29" t="str">
        <f t="shared" si="95"/>
        <v>#DIV/0!</v>
      </c>
      <c r="BK92" s="29" t="str">
        <f t="shared" si="95"/>
        <v>#DIV/0!</v>
      </c>
      <c r="BL92" s="29" t="str">
        <f t="shared" si="95"/>
        <v>#DIV/0!</v>
      </c>
      <c r="BM92" s="29" t="str">
        <f t="shared" si="3"/>
        <v>#DIV/0!</v>
      </c>
    </row>
    <row r="93">
      <c r="A93" s="16" t="str">
        <f>IFERROR(__xludf.DUMMYFUNCTION("IFERROR(SPARKLINE(SORT(MAP(TRANSPOSE(AQ93:BL93), LAMBDA(val, IF(ISNUMBER(val), PERCENTRANK(AQ93:BL93, val)+0.01, 0))), SEQUENCE(COLUMNS(AQ93:BL93)), FALSE), {""charttype"",""column""; ""color"",""chartreuse""; ""ymin"", 0; ""ymax"", 1.01; ""highcolor"", "&amp;"""darkgreen""; ""lowcolor"", ""red""}), """")"),"")</f>
        <v/>
      </c>
      <c r="B93" s="17" t="str">
        <f t="shared" si="4"/>
        <v/>
      </c>
      <c r="C93" s="1" t="s">
        <v>1814</v>
      </c>
      <c r="D93" s="30" t="str">
        <f>IFERROR(__xludf.DUMMYFUNCTION("IFERROR(GOOGLEFINANCE(C93, ""NAME""))"),"Healthcare Services Group Inc")</f>
        <v>Healthcare Services Group Inc</v>
      </c>
      <c r="E93" s="30" t="s">
        <v>1513</v>
      </c>
      <c r="F93" s="33" t="str">
        <f>IFERROR(__xludf.DUMMYFUNCTION("( (GOOGLEFINANCE(C93, ""price"") - Q93) / Q93 ) / (R93 / 100)"),"Loading...")</f>
        <v>Loading...</v>
      </c>
      <c r="G93" s="20" t="str">
        <f>IFERROR(__xludf.DUMMYFUNCTION("AVERAGE(ARRAYFORMULA(100 * (QUERY(GOOGLEFINANCE(C93, ""high"", TODAY()-40, TODAY()), ""SELECT Col2 WHERE Col2 IS NOT NULL ORDER BY Col1 DESC LIMIT 20"", 0) / QUERY(GOOGLEFINANCE(C93, ""low"", TODAY()-40, TODAY()), ""SELECT Col2 WHERE Col2 IS NOT NULL ORDE"&amp;"R BY Col1 DESC LIMIT 20"", 0) - 1)))"),"#N/A")</f>
        <v>#N/A</v>
      </c>
      <c r="H93" s="35" t="str">
        <f t="shared" si="6"/>
        <v/>
      </c>
      <c r="I93" s="36" t="str">
        <f t="shared" si="7"/>
        <v/>
      </c>
      <c r="J93" s="37" t="str">
        <f>IFERROR(__xludf.DUMMYFUNCTION("IFERROR(
  IF(C93="""",, 
    IFERROR(
      GOOGLEFINANCE(C93, ""price"") * GOOGLEFINANCE(C93, ""volumeavg""), 
      GOOGLEFINANCE(C93, ""price"") * AVERAGE(QUERY(GOOGLEFINANCE(C93, ""volume"", TODAY()-40, TODAY()), ""SELECT Col2 WHERE Col2 IS NOT NULL "&amp;"ORDER BY Col1 DESC LIMIT 20"", 0))
    )
  ), 
"""")"),"")</f>
        <v/>
      </c>
      <c r="K93" s="21" t="str">
        <f>IFERROR(__xludf.DUMMYFUNCTION("IFERROR(GOOGLEFINANCE(C93, ""changepct"") / 100, """")"),"")</f>
        <v/>
      </c>
      <c r="L93" s="21" t="str">
        <f>IFERROR(__xludf.DUMMYFUNCTION("IFERROR((GOOGLEFINANCE(C93, ""price"") / INDEX(GOOGLEFINANCE(C93, ""price"", TODAY()-7, TODAY()), 2, 2)) - 1, """")"),"")</f>
        <v/>
      </c>
      <c r="M93" s="21" t="str">
        <f>IFERROR(__xludf.DUMMYFUNCTION("IFERROR((GOOGLEFINANCE(C93, ""price"") / INDEX(GOOGLEFINANCE(C93, ""price"", EDATE(TODAY(), -1), TODAY()), 2, 2)) - 1, """")"),"")</f>
        <v/>
      </c>
      <c r="N93" s="21" t="str">
        <f>IFERROR(__xludf.DUMMYFUNCTION("IFERROR((GOOGLEFINANCE(C93, ""price"") / INDEX(GOOGLEFINANCE(C93, ""price"", EDATE(TODAY(), -3), TODAY()), 2, 2)) - 1, """")"),"")</f>
        <v/>
      </c>
      <c r="O93" s="21" t="str">
        <f>IFERROR(__xludf.DUMMYFUNCTION("IFERROR((GOOGLEFINANCE(C93, ""price"") / INDEX(GOOGLEFINANCE(C93, ""price"", EDATE(TODAY(), -6), TODAY()), 2, 2)) - 1, """")"),"")</f>
        <v/>
      </c>
      <c r="P93" s="21" t="str">
        <f>IFERROR(__xludf.DUMMYFUNCTION("IFERROR((GOOGLEFINANCE(C93, ""price"") / INDEX(GOOGLEFINANCE(C93, ""price"", EDATE(TODAY(), -12), TODAY()), 2, 2)) - 1, """")"),"")</f>
        <v/>
      </c>
      <c r="Q93" s="6" t="str">
        <f>IFERROR(__xludf.DUMMYFUNCTION("AVERAGE(QUERY(GOOGLEFINANCE(C93, ""price"", TODAY()-80, TODAY()), ""SELECT Col2 WHERE Col2 IS NOT NULL ORDER BY Col1 DESC LIMIT 50"", 0))"),"#N/A")</f>
        <v>#N/A</v>
      </c>
      <c r="R93" s="24" t="str">
        <f>IFERROR(__xludf.DUMMYFUNCTION("IFERROR(
  LET(
    data, QUERY(GOOGLEFINANCE(C93,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GOOGLEFINANCE(C93, ""price"")) * 100,
    IF(calc=0, G93, calc)
  ), 
G93)"),"#N/A")</f>
        <v>#N/A</v>
      </c>
      <c r="S93" s="8" t="s">
        <v>15</v>
      </c>
      <c r="T93" s="26" t="str">
        <f>IFERROR(__xludf.DUMMYFUNCTION("IFERROR(TRANSPOSE(QUERY(IFERROR(SORT(GOOGLEFINANCE(C93, ""price"", WORKDAY(TODAY(), -40), TODAY()), 1, FALSE)), ""select Col2 where Col2 is not null limit 22 label Col2 ''"", 0)), """")"),"")</f>
        <v/>
      </c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8"/>
      <c r="AO93" s="28"/>
      <c r="AP93" s="29"/>
      <c r="AQ93" s="29" t="str">
        <f t="shared" ref="AQ93:BL93" si="96">T93/T$2</f>
        <v>#N/A</v>
      </c>
      <c r="AR93" s="29" t="str">
        <f t="shared" si="96"/>
        <v>#DIV/0!</v>
      </c>
      <c r="AS93" s="29" t="str">
        <f t="shared" si="96"/>
        <v>#DIV/0!</v>
      </c>
      <c r="AT93" s="29" t="str">
        <f t="shared" si="96"/>
        <v>#DIV/0!</v>
      </c>
      <c r="AU93" s="29" t="str">
        <f t="shared" si="96"/>
        <v>#DIV/0!</v>
      </c>
      <c r="AV93" s="29" t="str">
        <f t="shared" si="96"/>
        <v>#DIV/0!</v>
      </c>
      <c r="AW93" s="29" t="str">
        <f t="shared" si="96"/>
        <v>#DIV/0!</v>
      </c>
      <c r="AX93" s="29" t="str">
        <f t="shared" si="96"/>
        <v>#DIV/0!</v>
      </c>
      <c r="AY93" s="29" t="str">
        <f t="shared" si="96"/>
        <v>#DIV/0!</v>
      </c>
      <c r="AZ93" s="29" t="str">
        <f t="shared" si="96"/>
        <v>#DIV/0!</v>
      </c>
      <c r="BA93" s="29" t="str">
        <f t="shared" si="96"/>
        <v>#DIV/0!</v>
      </c>
      <c r="BB93" s="29" t="str">
        <f t="shared" si="96"/>
        <v>#DIV/0!</v>
      </c>
      <c r="BC93" s="29" t="str">
        <f t="shared" si="96"/>
        <v>#DIV/0!</v>
      </c>
      <c r="BD93" s="29" t="str">
        <f t="shared" si="96"/>
        <v>#DIV/0!</v>
      </c>
      <c r="BE93" s="29" t="str">
        <f t="shared" si="96"/>
        <v>#DIV/0!</v>
      </c>
      <c r="BF93" s="29" t="str">
        <f t="shared" si="96"/>
        <v>#DIV/0!</v>
      </c>
      <c r="BG93" s="29" t="str">
        <f t="shared" si="96"/>
        <v>#DIV/0!</v>
      </c>
      <c r="BH93" s="29" t="str">
        <f t="shared" si="96"/>
        <v>#DIV/0!</v>
      </c>
      <c r="BI93" s="29" t="str">
        <f t="shared" si="96"/>
        <v>#DIV/0!</v>
      </c>
      <c r="BJ93" s="29" t="str">
        <f t="shared" si="96"/>
        <v>#DIV/0!</v>
      </c>
      <c r="BK93" s="29" t="str">
        <f t="shared" si="96"/>
        <v>#DIV/0!</v>
      </c>
      <c r="BL93" s="29" t="str">
        <f t="shared" si="96"/>
        <v>#DIV/0!</v>
      </c>
      <c r="BM93" s="29" t="str">
        <f t="shared" si="3"/>
        <v>#DIV/0!</v>
      </c>
    </row>
    <row r="94">
      <c r="A94" s="16" t="str">
        <f>IFERROR(__xludf.DUMMYFUNCTION("IFERROR(SPARKLINE(SORT(MAP(TRANSPOSE(AQ94:BL94), LAMBDA(val, IF(ISNUMBER(val), PERCENTRANK(AQ94:BL94, val)+0.01, 0))), SEQUENCE(COLUMNS(AQ94:BL94)), FALSE), {""charttype"",""column""; ""color"",""chartreuse""; ""ymin"", 0; ""ymax"", 1.01; ""highcolor"", "&amp;"""darkgreen""; ""lowcolor"", ""red""}), """")"),"")</f>
        <v/>
      </c>
      <c r="B94" s="17" t="str">
        <f t="shared" si="4"/>
        <v/>
      </c>
      <c r="C94" s="1" t="s">
        <v>1818</v>
      </c>
      <c r="D94" s="30" t="str">
        <f>IFERROR(__xludf.DUMMYFUNCTION("IFERROR(GOOGLEFINANCE(C94, ""NAME""))"),"Addus Homecare Corporation")</f>
        <v>Addus Homecare Corporation</v>
      </c>
      <c r="E94" s="30" t="s">
        <v>1513</v>
      </c>
      <c r="F94" s="38" t="str">
        <f>IFERROR(__xludf.DUMMYFUNCTION("( (GOOGLEFINANCE(C94, ""price"") - Q94) / Q94 ) / (R94 / 100)"),"Loading...")</f>
        <v>Loading...</v>
      </c>
      <c r="G94" s="20" t="str">
        <f>IFERROR(__xludf.DUMMYFUNCTION("AVERAGE(ARRAYFORMULA(100 * (QUERY(GOOGLEFINANCE(C94, ""high"", TODAY()-40, TODAY()), ""SELECT Col2 WHERE Col2 IS NOT NULL ORDER BY Col1 DESC LIMIT 20"", 0) / QUERY(GOOGLEFINANCE(C94, ""low"", TODAY()-40, TODAY()), ""SELECT Col2 WHERE Col2 IS NOT NULL ORDE"&amp;"R BY Col1 DESC LIMIT 20"", 0) - 1)))"),"#N/A")</f>
        <v>#N/A</v>
      </c>
      <c r="H94" s="35" t="str">
        <f t="shared" si="6"/>
        <v/>
      </c>
      <c r="I94" s="36" t="str">
        <f t="shared" si="7"/>
        <v/>
      </c>
      <c r="J94" s="37" t="str">
        <f>IFERROR(__xludf.DUMMYFUNCTION("IFERROR(
  IF(C94="""",, 
    IFERROR(
      GOOGLEFINANCE(C94, ""price"") * GOOGLEFINANCE(C94, ""volumeavg""), 
      GOOGLEFINANCE(C94, ""price"") * AVERAGE(QUERY(GOOGLEFINANCE(C94, ""volume"", TODAY()-40, TODAY()), ""SELECT Col2 WHERE Col2 IS NOT NULL "&amp;"ORDER BY Col1 DESC LIMIT 20"", 0))
    )
  ), 
"""")"),"")</f>
        <v/>
      </c>
      <c r="K94" s="21" t="str">
        <f>IFERROR(__xludf.DUMMYFUNCTION("IFERROR(GOOGLEFINANCE(C94, ""changepct"") / 100, """")"),"")</f>
        <v/>
      </c>
      <c r="L94" s="21" t="str">
        <f>IFERROR(__xludf.DUMMYFUNCTION("IFERROR((GOOGLEFINANCE(C94, ""price"") / INDEX(GOOGLEFINANCE(C94, ""price"", TODAY()-7, TODAY()), 2, 2)) - 1, """")"),"")</f>
        <v/>
      </c>
      <c r="M94" s="21" t="str">
        <f>IFERROR(__xludf.DUMMYFUNCTION("IFERROR((GOOGLEFINANCE(C94, ""price"") / INDEX(GOOGLEFINANCE(C94, ""price"", EDATE(TODAY(), -1), TODAY()), 2, 2)) - 1, """")"),"")</f>
        <v/>
      </c>
      <c r="N94" s="21" t="str">
        <f>IFERROR(__xludf.DUMMYFUNCTION("IFERROR((GOOGLEFINANCE(C94, ""price"") / INDEX(GOOGLEFINANCE(C94, ""price"", EDATE(TODAY(), -3), TODAY()), 2, 2)) - 1, """")"),"")</f>
        <v/>
      </c>
      <c r="O94" s="21" t="str">
        <f>IFERROR(__xludf.DUMMYFUNCTION("IFERROR((GOOGLEFINANCE(C94, ""price"") / INDEX(GOOGLEFINANCE(C94, ""price"", EDATE(TODAY(), -6), TODAY()), 2, 2)) - 1, """")"),"")</f>
        <v/>
      </c>
      <c r="P94" s="21" t="str">
        <f>IFERROR(__xludf.DUMMYFUNCTION("IFERROR((GOOGLEFINANCE(C94, ""price"") / INDEX(GOOGLEFINANCE(C94, ""price"", EDATE(TODAY(), -12), TODAY()), 2, 2)) - 1, """")"),"")</f>
        <v/>
      </c>
      <c r="Q94" s="6" t="str">
        <f>IFERROR(__xludf.DUMMYFUNCTION("AVERAGE(QUERY(GOOGLEFINANCE(C94, ""price"", TODAY()-80, TODAY()), ""SELECT Col2 WHERE Col2 IS NOT NULL ORDER BY Col1 DESC LIMIT 50"", 0))"),"#N/A")</f>
        <v>#N/A</v>
      </c>
      <c r="R94" s="24" t="str">
        <f>IFERROR(__xludf.DUMMYFUNCTION("IFERROR(
  LET(
    data, QUERY(GOOGLEFINANCE(C94,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GOOGLEFINANCE(C94, ""price"")) * 100,
    IF(calc=0, G94, calc)
  ), 
G94)"),"#N/A")</f>
        <v>#N/A</v>
      </c>
      <c r="S94" s="8" t="s">
        <v>15</v>
      </c>
      <c r="T94" s="26" t="str">
        <f>IFERROR(__xludf.DUMMYFUNCTION("IFERROR(TRANSPOSE(QUERY(IFERROR(SORT(GOOGLEFINANCE(C94, ""price"", WORKDAY(TODAY(), -40), TODAY()), 1, FALSE)), ""select Col2 where Col2 is not null limit 22 label Col2 ''"", 0)), """")"),"")</f>
        <v/>
      </c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8"/>
      <c r="AO94" s="28"/>
      <c r="AP94" s="29"/>
      <c r="AQ94" s="29" t="str">
        <f t="shared" ref="AQ94:BL94" si="97">T94/T$2</f>
        <v>#N/A</v>
      </c>
      <c r="AR94" s="29" t="str">
        <f t="shared" si="97"/>
        <v>#DIV/0!</v>
      </c>
      <c r="AS94" s="29" t="str">
        <f t="shared" si="97"/>
        <v>#DIV/0!</v>
      </c>
      <c r="AT94" s="29" t="str">
        <f t="shared" si="97"/>
        <v>#DIV/0!</v>
      </c>
      <c r="AU94" s="29" t="str">
        <f t="shared" si="97"/>
        <v>#DIV/0!</v>
      </c>
      <c r="AV94" s="29" t="str">
        <f t="shared" si="97"/>
        <v>#DIV/0!</v>
      </c>
      <c r="AW94" s="29" t="str">
        <f t="shared" si="97"/>
        <v>#DIV/0!</v>
      </c>
      <c r="AX94" s="29" t="str">
        <f t="shared" si="97"/>
        <v>#DIV/0!</v>
      </c>
      <c r="AY94" s="29" t="str">
        <f t="shared" si="97"/>
        <v>#DIV/0!</v>
      </c>
      <c r="AZ94" s="29" t="str">
        <f t="shared" si="97"/>
        <v>#DIV/0!</v>
      </c>
      <c r="BA94" s="29" t="str">
        <f t="shared" si="97"/>
        <v>#DIV/0!</v>
      </c>
      <c r="BB94" s="29" t="str">
        <f t="shared" si="97"/>
        <v>#DIV/0!</v>
      </c>
      <c r="BC94" s="29" t="str">
        <f t="shared" si="97"/>
        <v>#DIV/0!</v>
      </c>
      <c r="BD94" s="29" t="str">
        <f t="shared" si="97"/>
        <v>#DIV/0!</v>
      </c>
      <c r="BE94" s="29" t="str">
        <f t="shared" si="97"/>
        <v>#DIV/0!</v>
      </c>
      <c r="BF94" s="29" t="str">
        <f t="shared" si="97"/>
        <v>#DIV/0!</v>
      </c>
      <c r="BG94" s="29" t="str">
        <f t="shared" si="97"/>
        <v>#DIV/0!</v>
      </c>
      <c r="BH94" s="29" t="str">
        <f t="shared" si="97"/>
        <v>#DIV/0!</v>
      </c>
      <c r="BI94" s="29" t="str">
        <f t="shared" si="97"/>
        <v>#DIV/0!</v>
      </c>
      <c r="BJ94" s="29" t="str">
        <f t="shared" si="97"/>
        <v>#DIV/0!</v>
      </c>
      <c r="BK94" s="29" t="str">
        <f t="shared" si="97"/>
        <v>#DIV/0!</v>
      </c>
      <c r="BL94" s="29" t="str">
        <f t="shared" si="97"/>
        <v>#DIV/0!</v>
      </c>
      <c r="BM94" s="29" t="str">
        <f t="shared" si="3"/>
        <v>#DIV/0!</v>
      </c>
    </row>
    <row r="95">
      <c r="A95" s="16" t="str">
        <f>IFERROR(__xludf.DUMMYFUNCTION("IFERROR(SPARKLINE(SORT(MAP(TRANSPOSE(AQ95:BL95), LAMBDA(val, IF(ISNUMBER(val), PERCENTRANK(AQ95:BL95, val)+0.01, 0))), SEQUENCE(COLUMNS(AQ95:BL95)), FALSE), {""charttype"",""column""; ""color"",""chartreuse""; ""ymin"", 0; ""ymax"", 1.01; ""highcolor"", "&amp;"""darkgreen""; ""lowcolor"", ""red""}), """")"),"")</f>
        <v/>
      </c>
      <c r="B95" s="17" t="str">
        <f t="shared" si="4"/>
        <v/>
      </c>
      <c r="C95" s="1" t="s">
        <v>1822</v>
      </c>
      <c r="D95" s="30" t="str">
        <f>IFERROR(__xludf.DUMMYFUNCTION("IFERROR(GOOGLEFINANCE(C95, ""NAME""))"),"Sonida Senior Living Inc")</f>
        <v>Sonida Senior Living Inc</v>
      </c>
      <c r="E95" s="30" t="s">
        <v>1513</v>
      </c>
      <c r="F95" s="33" t="str">
        <f>IFERROR(__xludf.DUMMYFUNCTION("( (GOOGLEFINANCE(C95, ""price"") - Q95) / Q95 ) / (R95 / 100)"),"Loading...")</f>
        <v>Loading...</v>
      </c>
      <c r="G95" s="20" t="str">
        <f>IFERROR(__xludf.DUMMYFUNCTION("AVERAGE(ARRAYFORMULA(100 * (QUERY(GOOGLEFINANCE(C95, ""high"", TODAY()-40, TODAY()), ""SELECT Col2 WHERE Col2 IS NOT NULL ORDER BY Col1 DESC LIMIT 20"", 0) / QUERY(GOOGLEFINANCE(C95, ""low"", TODAY()-40, TODAY()), ""SELECT Col2 WHERE Col2 IS NOT NULL ORDE"&amp;"R BY Col1 DESC LIMIT 20"", 0) - 1)))"),"#N/A")</f>
        <v>#N/A</v>
      </c>
      <c r="H95" s="35" t="str">
        <f t="shared" si="6"/>
        <v/>
      </c>
      <c r="I95" s="36" t="str">
        <f t="shared" si="7"/>
        <v/>
      </c>
      <c r="J95" s="37" t="str">
        <f>IFERROR(__xludf.DUMMYFUNCTION("IFERROR(
  IF(C95="""",, 
    IFERROR(
      GOOGLEFINANCE(C95, ""price"") * GOOGLEFINANCE(C95, ""volumeavg""), 
      GOOGLEFINANCE(C95, ""price"") * AVERAGE(QUERY(GOOGLEFINANCE(C95, ""volume"", TODAY()-40, TODAY()), ""SELECT Col2 WHERE Col2 IS NOT NULL "&amp;"ORDER BY Col1 DESC LIMIT 20"", 0))
    )
  ), 
"""")"),"")</f>
        <v/>
      </c>
      <c r="K95" s="21" t="str">
        <f>IFERROR(__xludf.DUMMYFUNCTION("IFERROR(GOOGLEFINANCE(C95, ""changepct"") / 100, """")"),"")</f>
        <v/>
      </c>
      <c r="L95" s="21" t="str">
        <f>IFERROR(__xludf.DUMMYFUNCTION("IFERROR((GOOGLEFINANCE(C95, ""price"") / INDEX(GOOGLEFINANCE(C95, ""price"", TODAY()-7, TODAY()), 2, 2)) - 1, """")"),"")</f>
        <v/>
      </c>
      <c r="M95" s="21" t="str">
        <f>IFERROR(__xludf.DUMMYFUNCTION("IFERROR((GOOGLEFINANCE(C95, ""price"") / INDEX(GOOGLEFINANCE(C95, ""price"", EDATE(TODAY(), -1), TODAY()), 2, 2)) - 1, """")"),"")</f>
        <v/>
      </c>
      <c r="N95" s="21" t="str">
        <f>IFERROR(__xludf.DUMMYFUNCTION("IFERROR((GOOGLEFINANCE(C95, ""price"") / INDEX(GOOGLEFINANCE(C95, ""price"", EDATE(TODAY(), -3), TODAY()), 2, 2)) - 1, """")"),"")</f>
        <v/>
      </c>
      <c r="O95" s="21" t="str">
        <f>IFERROR(__xludf.DUMMYFUNCTION("IFERROR((GOOGLEFINANCE(C95, ""price"") / INDEX(GOOGLEFINANCE(C95, ""price"", EDATE(TODAY(), -6), TODAY()), 2, 2)) - 1, """")"),"")</f>
        <v/>
      </c>
      <c r="P95" s="21" t="str">
        <f>IFERROR(__xludf.DUMMYFUNCTION("IFERROR((GOOGLEFINANCE(C95, ""price"") / INDEX(GOOGLEFINANCE(C95, ""price"", EDATE(TODAY(), -12), TODAY()), 2, 2)) - 1, """")"),"")</f>
        <v/>
      </c>
      <c r="Q95" s="6" t="str">
        <f>IFERROR(__xludf.DUMMYFUNCTION("AVERAGE(QUERY(GOOGLEFINANCE(C95, ""price"", TODAY()-80, TODAY()), ""SELECT Col2 WHERE Col2 IS NOT NULL ORDER BY Col1 DESC LIMIT 50"", 0))"),"#N/A")</f>
        <v>#N/A</v>
      </c>
      <c r="R95" s="24" t="str">
        <f>IFERROR(__xludf.DUMMYFUNCTION("IFERROR(
  LET(
    data, QUERY(GOOGLEFINANCE(C95,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GOOGLEFINANCE(C95, ""price"")) * 100,
    IF(calc=0, G95, calc)
  ), 
G95)"),"#N/A")</f>
        <v>#N/A</v>
      </c>
      <c r="S95" s="8" t="s">
        <v>15</v>
      </c>
      <c r="T95" s="26" t="str">
        <f>IFERROR(__xludf.DUMMYFUNCTION("IFERROR(TRANSPOSE(QUERY(IFERROR(SORT(GOOGLEFINANCE(C95, ""price"", WORKDAY(TODAY(), -40), TODAY()), 1, FALSE)), ""select Col2 where Col2 is not null limit 22 label Col2 ''"", 0)), """")"),"")</f>
        <v/>
      </c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8"/>
      <c r="AO95" s="28"/>
      <c r="AP95" s="29"/>
      <c r="AQ95" s="29" t="str">
        <f t="shared" ref="AQ95:BL95" si="98">T95/T$2</f>
        <v>#N/A</v>
      </c>
      <c r="AR95" s="29" t="str">
        <f t="shared" si="98"/>
        <v>#DIV/0!</v>
      </c>
      <c r="AS95" s="29" t="str">
        <f t="shared" si="98"/>
        <v>#DIV/0!</v>
      </c>
      <c r="AT95" s="29" t="str">
        <f t="shared" si="98"/>
        <v>#DIV/0!</v>
      </c>
      <c r="AU95" s="29" t="str">
        <f t="shared" si="98"/>
        <v>#DIV/0!</v>
      </c>
      <c r="AV95" s="29" t="str">
        <f t="shared" si="98"/>
        <v>#DIV/0!</v>
      </c>
      <c r="AW95" s="29" t="str">
        <f t="shared" si="98"/>
        <v>#DIV/0!</v>
      </c>
      <c r="AX95" s="29" t="str">
        <f t="shared" si="98"/>
        <v>#DIV/0!</v>
      </c>
      <c r="AY95" s="29" t="str">
        <f t="shared" si="98"/>
        <v>#DIV/0!</v>
      </c>
      <c r="AZ95" s="29" t="str">
        <f t="shared" si="98"/>
        <v>#DIV/0!</v>
      </c>
      <c r="BA95" s="29" t="str">
        <f t="shared" si="98"/>
        <v>#DIV/0!</v>
      </c>
      <c r="BB95" s="29" t="str">
        <f t="shared" si="98"/>
        <v>#DIV/0!</v>
      </c>
      <c r="BC95" s="29" t="str">
        <f t="shared" si="98"/>
        <v>#DIV/0!</v>
      </c>
      <c r="BD95" s="29" t="str">
        <f t="shared" si="98"/>
        <v>#DIV/0!</v>
      </c>
      <c r="BE95" s="29" t="str">
        <f t="shared" si="98"/>
        <v>#DIV/0!</v>
      </c>
      <c r="BF95" s="29" t="str">
        <f t="shared" si="98"/>
        <v>#DIV/0!</v>
      </c>
      <c r="BG95" s="29" t="str">
        <f t="shared" si="98"/>
        <v>#DIV/0!</v>
      </c>
      <c r="BH95" s="29" t="str">
        <f t="shared" si="98"/>
        <v>#DIV/0!</v>
      </c>
      <c r="BI95" s="29" t="str">
        <f t="shared" si="98"/>
        <v>#DIV/0!</v>
      </c>
      <c r="BJ95" s="29" t="str">
        <f t="shared" si="98"/>
        <v>#DIV/0!</v>
      </c>
      <c r="BK95" s="29" t="str">
        <f t="shared" si="98"/>
        <v>#DIV/0!</v>
      </c>
      <c r="BL95" s="29" t="str">
        <f t="shared" si="98"/>
        <v>#DIV/0!</v>
      </c>
      <c r="BM95" s="29" t="str">
        <f t="shared" si="3"/>
        <v>#DIV/0!</v>
      </c>
    </row>
    <row r="96">
      <c r="A96" s="16" t="str">
        <f>IFERROR(__xludf.DUMMYFUNCTION("IFERROR(SPARKLINE(SORT(MAP(TRANSPOSE(AQ96:BL96), LAMBDA(val, IF(ISNUMBER(val), PERCENTRANK(AQ96:BL96, val)+0.01, 0))), SEQUENCE(COLUMNS(AQ96:BL96)), FALSE), {""charttype"",""column""; ""color"",""chartreuse""; ""ymin"", 0; ""ymax"", 1.01; ""highcolor"", "&amp;"""darkgreen""; ""lowcolor"", ""red""}), """")"),"")</f>
        <v/>
      </c>
      <c r="B96" s="17" t="str">
        <f t="shared" si="4"/>
        <v/>
      </c>
      <c r="C96" s="1" t="s">
        <v>1826</v>
      </c>
      <c r="D96" s="30" t="str">
        <f>IFERROR(__xludf.DUMMYFUNCTION("IFERROR(GOOGLEFINANCE(C96, ""NAME""))"),"Kestra Medical Technologies Ltd")</f>
        <v>Kestra Medical Technologies Ltd</v>
      </c>
      <c r="E96" s="30" t="s">
        <v>1502</v>
      </c>
      <c r="F96" s="33" t="str">
        <f>IFERROR(__xludf.DUMMYFUNCTION("( (GOOGLEFINANCE(C96, ""price"") - Q96) / Q96 ) / (R96 / 100)"),"Loading...")</f>
        <v>Loading...</v>
      </c>
      <c r="G96" s="20" t="str">
        <f>IFERROR(__xludf.DUMMYFUNCTION("AVERAGE(ARRAYFORMULA(100 * (QUERY(GOOGLEFINANCE(C96, ""high"", TODAY()-40, TODAY()), ""SELECT Col2 WHERE Col2 IS NOT NULL ORDER BY Col1 DESC LIMIT 20"", 0) / QUERY(GOOGLEFINANCE(C96, ""low"", TODAY()-40, TODAY()), ""SELECT Col2 WHERE Col2 IS NOT NULL ORDE"&amp;"R BY Col1 DESC LIMIT 20"", 0) - 1)))"),"#N/A")</f>
        <v>#N/A</v>
      </c>
      <c r="H96" s="35" t="str">
        <f t="shared" si="6"/>
        <v/>
      </c>
      <c r="I96" s="36" t="str">
        <f t="shared" si="7"/>
        <v/>
      </c>
      <c r="J96" s="37" t="str">
        <f>IFERROR(__xludf.DUMMYFUNCTION("IFERROR(
  IF(C96="""",, 
    IFERROR(
      GOOGLEFINANCE(C96, ""price"") * GOOGLEFINANCE(C96, ""volumeavg""), 
      GOOGLEFINANCE(C96, ""price"") * AVERAGE(QUERY(GOOGLEFINANCE(C96, ""volume"", TODAY()-40, TODAY()), ""SELECT Col2 WHERE Col2 IS NOT NULL "&amp;"ORDER BY Col1 DESC LIMIT 20"", 0))
    )
  ), 
"""")"),"")</f>
        <v/>
      </c>
      <c r="K96" s="21" t="str">
        <f>IFERROR(__xludf.DUMMYFUNCTION("IFERROR(GOOGLEFINANCE(C96, ""changepct"") / 100, """")"),"")</f>
        <v/>
      </c>
      <c r="L96" s="21" t="str">
        <f>IFERROR(__xludf.DUMMYFUNCTION("IFERROR((GOOGLEFINANCE(C96, ""price"") / INDEX(GOOGLEFINANCE(C96, ""price"", TODAY()-7, TODAY()), 2, 2)) - 1, """")"),"")</f>
        <v/>
      </c>
      <c r="M96" s="21" t="str">
        <f>IFERROR(__xludf.DUMMYFUNCTION("IFERROR((GOOGLEFINANCE(C96, ""price"") / INDEX(GOOGLEFINANCE(C96, ""price"", EDATE(TODAY(), -1), TODAY()), 2, 2)) - 1, """")"),"")</f>
        <v/>
      </c>
      <c r="N96" s="21" t="str">
        <f>IFERROR(__xludf.DUMMYFUNCTION("IFERROR((GOOGLEFINANCE(C96, ""price"") / INDEX(GOOGLEFINANCE(C96, ""price"", EDATE(TODAY(), -3), TODAY()), 2, 2)) - 1, """")"),"")</f>
        <v/>
      </c>
      <c r="O96" s="21" t="str">
        <f>IFERROR(__xludf.DUMMYFUNCTION("IFERROR((GOOGLEFINANCE(C96, ""price"") / INDEX(GOOGLEFINANCE(C96, ""price"", EDATE(TODAY(), -6), TODAY()), 2, 2)) - 1, """")"),"")</f>
        <v/>
      </c>
      <c r="P96" s="21" t="str">
        <f>IFERROR(__xludf.DUMMYFUNCTION("IFERROR((GOOGLEFINANCE(C96, ""price"") / INDEX(GOOGLEFINANCE(C96, ""price"", EDATE(TODAY(), -12), TODAY()), 2, 2)) - 1, """")"),"")</f>
        <v/>
      </c>
      <c r="Q96" s="6" t="str">
        <f>IFERROR(__xludf.DUMMYFUNCTION("AVERAGE(QUERY(GOOGLEFINANCE(C96, ""price"", TODAY()-80, TODAY()), ""SELECT Col2 WHERE Col2 IS NOT NULL ORDER BY Col1 DESC LIMIT 50"", 0))"),"#N/A")</f>
        <v>#N/A</v>
      </c>
      <c r="R96" s="24" t="str">
        <f>IFERROR(__xludf.DUMMYFUNCTION("IFERROR(
  LET(
    data, QUERY(GOOGLEFINANCE(C96,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GOOGLEFINANCE(C96, ""price"")) * 100,
    IF(calc=0, G96, calc)
  ), 
G96)"),"#N/A")</f>
        <v>#N/A</v>
      </c>
      <c r="S96" s="8" t="s">
        <v>15</v>
      </c>
      <c r="T96" s="26" t="str">
        <f>IFERROR(__xludf.DUMMYFUNCTION("IFERROR(TRANSPOSE(QUERY(IFERROR(SORT(GOOGLEFINANCE(C96, ""price"", WORKDAY(TODAY(), -40), TODAY()), 1, FALSE)), ""select Col2 where Col2 is not null limit 22 label Col2 ''"", 0)), """")"),"")</f>
        <v/>
      </c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8"/>
      <c r="AO96" s="28"/>
      <c r="AP96" s="29"/>
      <c r="AQ96" s="29" t="str">
        <f t="shared" ref="AQ96:BL96" si="99">T96/T$2</f>
        <v>#N/A</v>
      </c>
      <c r="AR96" s="29" t="str">
        <f t="shared" si="99"/>
        <v>#DIV/0!</v>
      </c>
      <c r="AS96" s="29" t="str">
        <f t="shared" si="99"/>
        <v>#DIV/0!</v>
      </c>
      <c r="AT96" s="29" t="str">
        <f t="shared" si="99"/>
        <v>#DIV/0!</v>
      </c>
      <c r="AU96" s="29" t="str">
        <f t="shared" si="99"/>
        <v>#DIV/0!</v>
      </c>
      <c r="AV96" s="29" t="str">
        <f t="shared" si="99"/>
        <v>#DIV/0!</v>
      </c>
      <c r="AW96" s="29" t="str">
        <f t="shared" si="99"/>
        <v>#DIV/0!</v>
      </c>
      <c r="AX96" s="29" t="str">
        <f t="shared" si="99"/>
        <v>#DIV/0!</v>
      </c>
      <c r="AY96" s="29" t="str">
        <f t="shared" si="99"/>
        <v>#DIV/0!</v>
      </c>
      <c r="AZ96" s="29" t="str">
        <f t="shared" si="99"/>
        <v>#DIV/0!</v>
      </c>
      <c r="BA96" s="29" t="str">
        <f t="shared" si="99"/>
        <v>#DIV/0!</v>
      </c>
      <c r="BB96" s="29" t="str">
        <f t="shared" si="99"/>
        <v>#DIV/0!</v>
      </c>
      <c r="BC96" s="29" t="str">
        <f t="shared" si="99"/>
        <v>#DIV/0!</v>
      </c>
      <c r="BD96" s="29" t="str">
        <f t="shared" si="99"/>
        <v>#DIV/0!</v>
      </c>
      <c r="BE96" s="29" t="str">
        <f t="shared" si="99"/>
        <v>#DIV/0!</v>
      </c>
      <c r="BF96" s="29" t="str">
        <f t="shared" si="99"/>
        <v>#DIV/0!</v>
      </c>
      <c r="BG96" s="29" t="str">
        <f t="shared" si="99"/>
        <v>#DIV/0!</v>
      </c>
      <c r="BH96" s="29" t="str">
        <f t="shared" si="99"/>
        <v>#DIV/0!</v>
      </c>
      <c r="BI96" s="29" t="str">
        <f t="shared" si="99"/>
        <v>#DIV/0!</v>
      </c>
      <c r="BJ96" s="29" t="str">
        <f t="shared" si="99"/>
        <v>#DIV/0!</v>
      </c>
      <c r="BK96" s="29" t="str">
        <f t="shared" si="99"/>
        <v>#DIV/0!</v>
      </c>
      <c r="BL96" s="29" t="str">
        <f t="shared" si="99"/>
        <v>#DIV/0!</v>
      </c>
      <c r="BM96" s="29" t="str">
        <f t="shared" si="3"/>
        <v>#DIV/0!</v>
      </c>
    </row>
    <row r="97">
      <c r="A97" s="16" t="str">
        <f>IFERROR(__xludf.DUMMYFUNCTION("IFERROR(SPARKLINE(SORT(MAP(TRANSPOSE(AQ97:BL97), LAMBDA(val, IF(ISNUMBER(val), PERCENTRANK(AQ97:BL97, val)+0.01, 0))), SEQUENCE(COLUMNS(AQ97:BL97)), FALSE), {""charttype"",""column""; ""color"",""chartreuse""; ""ymin"", 0; ""ymax"", 1.01; ""highcolor"", "&amp;"""darkgreen""; ""lowcolor"", ""red""}), """")"),"")</f>
        <v/>
      </c>
      <c r="B97" s="17" t="str">
        <f t="shared" si="4"/>
        <v/>
      </c>
      <c r="C97" s="1" t="s">
        <v>1830</v>
      </c>
      <c r="D97" s="30" t="str">
        <f>IFERROR(__xludf.DUMMYFUNCTION("IFERROR(GOOGLEFINANCE(C97, ""NAME""))"),"Ardent Health Inc")</f>
        <v>Ardent Health Inc</v>
      </c>
      <c r="E97" s="30" t="s">
        <v>1513</v>
      </c>
      <c r="F97" s="33" t="str">
        <f>IFERROR(__xludf.DUMMYFUNCTION("( (GOOGLEFINANCE(C97, ""price"") - Q97) / Q97 ) / (R97 / 100)"),"Loading...")</f>
        <v>Loading...</v>
      </c>
      <c r="G97" s="20" t="str">
        <f>IFERROR(__xludf.DUMMYFUNCTION("AVERAGE(ARRAYFORMULA(100 * (QUERY(GOOGLEFINANCE(C97, ""high"", TODAY()-40, TODAY()), ""SELECT Col2 WHERE Col2 IS NOT NULL ORDER BY Col1 DESC LIMIT 20"", 0) / QUERY(GOOGLEFINANCE(C97, ""low"", TODAY()-40, TODAY()), ""SELECT Col2 WHERE Col2 IS NOT NULL ORDE"&amp;"R BY Col1 DESC LIMIT 20"", 0) - 1)))"),"#N/A")</f>
        <v>#N/A</v>
      </c>
      <c r="H97" s="35" t="str">
        <f t="shared" si="6"/>
        <v/>
      </c>
      <c r="I97" s="36" t="str">
        <f t="shared" si="7"/>
        <v/>
      </c>
      <c r="J97" s="37" t="str">
        <f>IFERROR(__xludf.DUMMYFUNCTION("IFERROR(
  IF(C97="""",, 
    IFERROR(
      GOOGLEFINANCE(C97, ""price"") * GOOGLEFINANCE(C97, ""volumeavg""), 
      GOOGLEFINANCE(C97, ""price"") * AVERAGE(QUERY(GOOGLEFINANCE(C97, ""volume"", TODAY()-40, TODAY()), ""SELECT Col2 WHERE Col2 IS NOT NULL "&amp;"ORDER BY Col1 DESC LIMIT 20"", 0))
    )
  ), 
"""")"),"")</f>
        <v/>
      </c>
      <c r="K97" s="21" t="str">
        <f>IFERROR(__xludf.DUMMYFUNCTION("IFERROR(GOOGLEFINANCE(C97, ""changepct"") / 100, """")"),"")</f>
        <v/>
      </c>
      <c r="L97" s="21" t="str">
        <f>IFERROR(__xludf.DUMMYFUNCTION("IFERROR((GOOGLEFINANCE(C97, ""price"") / INDEX(GOOGLEFINANCE(C97, ""price"", TODAY()-7, TODAY()), 2, 2)) - 1, """")"),"")</f>
        <v/>
      </c>
      <c r="M97" s="21" t="str">
        <f>IFERROR(__xludf.DUMMYFUNCTION("IFERROR((GOOGLEFINANCE(C97, ""price"") / INDEX(GOOGLEFINANCE(C97, ""price"", EDATE(TODAY(), -1), TODAY()), 2, 2)) - 1, """")"),"")</f>
        <v/>
      </c>
      <c r="N97" s="21" t="str">
        <f>IFERROR(__xludf.DUMMYFUNCTION("IFERROR((GOOGLEFINANCE(C97, ""price"") / INDEX(GOOGLEFINANCE(C97, ""price"", EDATE(TODAY(), -3), TODAY()), 2, 2)) - 1, """")"),"")</f>
        <v/>
      </c>
      <c r="O97" s="21" t="str">
        <f>IFERROR(__xludf.DUMMYFUNCTION("IFERROR((GOOGLEFINANCE(C97, ""price"") / INDEX(GOOGLEFINANCE(C97, ""price"", EDATE(TODAY(), -6), TODAY()), 2, 2)) - 1, """")"),"")</f>
        <v/>
      </c>
      <c r="P97" s="21" t="str">
        <f>IFERROR(__xludf.DUMMYFUNCTION("IFERROR((GOOGLEFINANCE(C97, ""price"") / INDEX(GOOGLEFINANCE(C97, ""price"", EDATE(TODAY(), -12), TODAY()), 2, 2)) - 1, """")"),"")</f>
        <v/>
      </c>
      <c r="Q97" s="6" t="str">
        <f>IFERROR(__xludf.DUMMYFUNCTION("AVERAGE(QUERY(GOOGLEFINANCE(C97, ""price"", TODAY()-80, TODAY()), ""SELECT Col2 WHERE Col2 IS NOT NULL ORDER BY Col1 DESC LIMIT 50"", 0))"),"#N/A")</f>
        <v>#N/A</v>
      </c>
      <c r="R97" s="24" t="str">
        <f>IFERROR(__xludf.DUMMYFUNCTION("IFERROR(
  LET(
    data, QUERY(GOOGLEFINANCE(C97,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GOOGLEFINANCE(C97, ""price"")) * 100,
    IF(calc=0, G97, calc)
  ), 
G97)"),"#N/A")</f>
        <v>#N/A</v>
      </c>
      <c r="S97" s="8" t="s">
        <v>15</v>
      </c>
      <c r="T97" s="26" t="str">
        <f>IFERROR(__xludf.DUMMYFUNCTION("IFERROR(TRANSPOSE(QUERY(IFERROR(SORT(GOOGLEFINANCE(C97, ""price"", WORKDAY(TODAY(), -40), TODAY()), 1, FALSE)), ""select Col2 where Col2 is not null limit 22 label Col2 ''"", 0)), """")"),"")</f>
        <v/>
      </c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8"/>
      <c r="AO97" s="28"/>
      <c r="AP97" s="29"/>
      <c r="AQ97" s="29" t="str">
        <f t="shared" ref="AQ97:BL97" si="100">T97/T$2</f>
        <v>#N/A</v>
      </c>
      <c r="AR97" s="29" t="str">
        <f t="shared" si="100"/>
        <v>#DIV/0!</v>
      </c>
      <c r="AS97" s="29" t="str">
        <f t="shared" si="100"/>
        <v>#DIV/0!</v>
      </c>
      <c r="AT97" s="29" t="str">
        <f t="shared" si="100"/>
        <v>#DIV/0!</v>
      </c>
      <c r="AU97" s="29" t="str">
        <f t="shared" si="100"/>
        <v>#DIV/0!</v>
      </c>
      <c r="AV97" s="29" t="str">
        <f t="shared" si="100"/>
        <v>#DIV/0!</v>
      </c>
      <c r="AW97" s="29" t="str">
        <f t="shared" si="100"/>
        <v>#DIV/0!</v>
      </c>
      <c r="AX97" s="29" t="str">
        <f t="shared" si="100"/>
        <v>#DIV/0!</v>
      </c>
      <c r="AY97" s="29" t="str">
        <f t="shared" si="100"/>
        <v>#DIV/0!</v>
      </c>
      <c r="AZ97" s="29" t="str">
        <f t="shared" si="100"/>
        <v>#DIV/0!</v>
      </c>
      <c r="BA97" s="29" t="str">
        <f t="shared" si="100"/>
        <v>#DIV/0!</v>
      </c>
      <c r="BB97" s="29" t="str">
        <f t="shared" si="100"/>
        <v>#DIV/0!</v>
      </c>
      <c r="BC97" s="29" t="str">
        <f t="shared" si="100"/>
        <v>#DIV/0!</v>
      </c>
      <c r="BD97" s="29" t="str">
        <f t="shared" si="100"/>
        <v>#DIV/0!</v>
      </c>
      <c r="BE97" s="29" t="str">
        <f t="shared" si="100"/>
        <v>#DIV/0!</v>
      </c>
      <c r="BF97" s="29" t="str">
        <f t="shared" si="100"/>
        <v>#DIV/0!</v>
      </c>
      <c r="BG97" s="29" t="str">
        <f t="shared" si="100"/>
        <v>#DIV/0!</v>
      </c>
      <c r="BH97" s="29" t="str">
        <f t="shared" si="100"/>
        <v>#DIV/0!</v>
      </c>
      <c r="BI97" s="29" t="str">
        <f t="shared" si="100"/>
        <v>#DIV/0!</v>
      </c>
      <c r="BJ97" s="29" t="str">
        <f t="shared" si="100"/>
        <v>#DIV/0!</v>
      </c>
      <c r="BK97" s="29" t="str">
        <f t="shared" si="100"/>
        <v>#DIV/0!</v>
      </c>
      <c r="BL97" s="29" t="str">
        <f t="shared" si="100"/>
        <v>#DIV/0!</v>
      </c>
      <c r="BM97" s="29" t="str">
        <f t="shared" si="3"/>
        <v>#DIV/0!</v>
      </c>
    </row>
    <row r="98">
      <c r="A98" s="16" t="str">
        <f>IFERROR(__xludf.DUMMYFUNCTION("IFERROR(SPARKLINE(SORT(MAP(TRANSPOSE(AQ98:BL98), LAMBDA(val, IF(ISNUMBER(val), PERCENTRANK(AQ98:BL98, val)+0.01, 0))), SEQUENCE(COLUMNS(AQ98:BL98)), FALSE), {""charttype"",""column""; ""color"",""chartreuse""; ""ymin"", 0; ""ymax"", 1.01; ""highcolor"", "&amp;"""darkgreen""; ""lowcolor"", ""red""}), """")"),"")</f>
        <v/>
      </c>
      <c r="B98" s="17" t="str">
        <f t="shared" si="4"/>
        <v/>
      </c>
      <c r="C98" s="1" t="s">
        <v>1833</v>
      </c>
      <c r="D98" s="30" t="str">
        <f>IFERROR(__xludf.DUMMYFUNCTION("IFERROR(GOOGLEFINANCE(C98, ""NAME""))"),"Chemed Corp")</f>
        <v>Chemed Corp</v>
      </c>
      <c r="E98" s="30" t="s">
        <v>1513</v>
      </c>
      <c r="F98" s="33" t="str">
        <f>IFERROR(__xludf.DUMMYFUNCTION("( (GOOGLEFINANCE(C98, ""price"") - Q98) / Q98 ) / (R98 / 100)"),"Loading...")</f>
        <v>Loading...</v>
      </c>
      <c r="G98" s="20" t="str">
        <f>IFERROR(__xludf.DUMMYFUNCTION("AVERAGE(ARRAYFORMULA(100 * (QUERY(GOOGLEFINANCE(C98, ""high"", TODAY()-40, TODAY()), ""SELECT Col2 WHERE Col2 IS NOT NULL ORDER BY Col1 DESC LIMIT 20"", 0) / QUERY(GOOGLEFINANCE(C98, ""low"", TODAY()-40, TODAY()), ""SELECT Col2 WHERE Col2 IS NOT NULL ORDE"&amp;"R BY Col1 DESC LIMIT 20"", 0) - 1)))"),"#N/A")</f>
        <v>#N/A</v>
      </c>
      <c r="H98" s="35" t="str">
        <f t="shared" si="6"/>
        <v/>
      </c>
      <c r="I98" s="36" t="str">
        <f t="shared" si="7"/>
        <v/>
      </c>
      <c r="J98" s="37" t="str">
        <f>IFERROR(__xludf.DUMMYFUNCTION("IFERROR(
  IF(C98="""",, 
    IFERROR(
      GOOGLEFINANCE(C98, ""price"") * GOOGLEFINANCE(C98, ""volumeavg""), 
      GOOGLEFINANCE(C98, ""price"") * AVERAGE(QUERY(GOOGLEFINANCE(C98, ""volume"", TODAY()-40, TODAY()), ""SELECT Col2 WHERE Col2 IS NOT NULL "&amp;"ORDER BY Col1 DESC LIMIT 20"", 0))
    )
  ), 
"""")"),"")</f>
        <v/>
      </c>
      <c r="K98" s="21" t="str">
        <f>IFERROR(__xludf.DUMMYFUNCTION("IFERROR(GOOGLEFINANCE(C98, ""changepct"") / 100, """")"),"")</f>
        <v/>
      </c>
      <c r="L98" s="21" t="str">
        <f>IFERROR(__xludf.DUMMYFUNCTION("IFERROR((GOOGLEFINANCE(C98, ""price"") / INDEX(GOOGLEFINANCE(C98, ""price"", TODAY()-7, TODAY()), 2, 2)) - 1, """")"),"")</f>
        <v/>
      </c>
      <c r="M98" s="21" t="str">
        <f>IFERROR(__xludf.DUMMYFUNCTION("IFERROR((GOOGLEFINANCE(C98, ""price"") / INDEX(GOOGLEFINANCE(C98, ""price"", EDATE(TODAY(), -1), TODAY()), 2, 2)) - 1, """")"),"")</f>
        <v/>
      </c>
      <c r="N98" s="21" t="str">
        <f>IFERROR(__xludf.DUMMYFUNCTION("IFERROR((GOOGLEFINANCE(C98, ""price"") / INDEX(GOOGLEFINANCE(C98, ""price"", EDATE(TODAY(), -3), TODAY()), 2, 2)) - 1, """")"),"")</f>
        <v/>
      </c>
      <c r="O98" s="21" t="str">
        <f>IFERROR(__xludf.DUMMYFUNCTION("IFERROR((GOOGLEFINANCE(C98, ""price"") / INDEX(GOOGLEFINANCE(C98, ""price"", EDATE(TODAY(), -6), TODAY()), 2, 2)) - 1, """")"),"")</f>
        <v/>
      </c>
      <c r="P98" s="21" t="str">
        <f>IFERROR(__xludf.DUMMYFUNCTION("IFERROR((GOOGLEFINANCE(C98, ""price"") / INDEX(GOOGLEFINANCE(C98, ""price"", EDATE(TODAY(), -12), TODAY()), 2, 2)) - 1, """")"),"")</f>
        <v/>
      </c>
      <c r="Q98" s="6" t="str">
        <f>IFERROR(__xludf.DUMMYFUNCTION("AVERAGE(QUERY(GOOGLEFINANCE(C98, ""price"", TODAY()-80, TODAY()), ""SELECT Col2 WHERE Col2 IS NOT NULL ORDER BY Col1 DESC LIMIT 50"", 0))"),"#N/A")</f>
        <v>#N/A</v>
      </c>
      <c r="R98" s="24" t="str">
        <f>IFERROR(__xludf.DUMMYFUNCTION("IFERROR(
  LET(
    data, QUERY(GOOGLEFINANCE(C98,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GOOGLEFINANCE(C98, ""price"")) * 100,
    IF(calc=0, G98, calc)
  ), 
G98)"),"#N/A")</f>
        <v>#N/A</v>
      </c>
      <c r="S98" s="8" t="s">
        <v>15</v>
      </c>
      <c r="T98" s="26" t="str">
        <f>IFERROR(__xludf.DUMMYFUNCTION("IFERROR(TRANSPOSE(QUERY(IFERROR(SORT(GOOGLEFINANCE(C98, ""price"", WORKDAY(TODAY(), -40), TODAY()), 1, FALSE)), ""select Col2 where Col2 is not null limit 22 label Col2 ''"", 0)), """")"),"")</f>
        <v/>
      </c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8"/>
      <c r="AO98" s="28"/>
      <c r="AP98" s="29"/>
      <c r="AQ98" s="29" t="str">
        <f t="shared" ref="AQ98:BL98" si="101">T98/T$2</f>
        <v>#N/A</v>
      </c>
      <c r="AR98" s="29" t="str">
        <f t="shared" si="101"/>
        <v>#DIV/0!</v>
      </c>
      <c r="AS98" s="29" t="str">
        <f t="shared" si="101"/>
        <v>#DIV/0!</v>
      </c>
      <c r="AT98" s="29" t="str">
        <f t="shared" si="101"/>
        <v>#DIV/0!</v>
      </c>
      <c r="AU98" s="29" t="str">
        <f t="shared" si="101"/>
        <v>#DIV/0!</v>
      </c>
      <c r="AV98" s="29" t="str">
        <f t="shared" si="101"/>
        <v>#DIV/0!</v>
      </c>
      <c r="AW98" s="29" t="str">
        <f t="shared" si="101"/>
        <v>#DIV/0!</v>
      </c>
      <c r="AX98" s="29" t="str">
        <f t="shared" si="101"/>
        <v>#DIV/0!</v>
      </c>
      <c r="AY98" s="29" t="str">
        <f t="shared" si="101"/>
        <v>#DIV/0!</v>
      </c>
      <c r="AZ98" s="29" t="str">
        <f t="shared" si="101"/>
        <v>#DIV/0!</v>
      </c>
      <c r="BA98" s="29" t="str">
        <f t="shared" si="101"/>
        <v>#DIV/0!</v>
      </c>
      <c r="BB98" s="29" t="str">
        <f t="shared" si="101"/>
        <v>#DIV/0!</v>
      </c>
      <c r="BC98" s="29" t="str">
        <f t="shared" si="101"/>
        <v>#DIV/0!</v>
      </c>
      <c r="BD98" s="29" t="str">
        <f t="shared" si="101"/>
        <v>#DIV/0!</v>
      </c>
      <c r="BE98" s="29" t="str">
        <f t="shared" si="101"/>
        <v>#DIV/0!</v>
      </c>
      <c r="BF98" s="29" t="str">
        <f t="shared" si="101"/>
        <v>#DIV/0!</v>
      </c>
      <c r="BG98" s="29" t="str">
        <f t="shared" si="101"/>
        <v>#DIV/0!</v>
      </c>
      <c r="BH98" s="29" t="str">
        <f t="shared" si="101"/>
        <v>#DIV/0!</v>
      </c>
      <c r="BI98" s="29" t="str">
        <f t="shared" si="101"/>
        <v>#DIV/0!</v>
      </c>
      <c r="BJ98" s="29" t="str">
        <f t="shared" si="101"/>
        <v>#DIV/0!</v>
      </c>
      <c r="BK98" s="29" t="str">
        <f t="shared" si="101"/>
        <v>#DIV/0!</v>
      </c>
      <c r="BL98" s="29" t="str">
        <f t="shared" si="101"/>
        <v>#DIV/0!</v>
      </c>
      <c r="BM98" s="29" t="str">
        <f t="shared" si="3"/>
        <v>#DIV/0!</v>
      </c>
    </row>
    <row r="99">
      <c r="A99" s="16" t="str">
        <f>IFERROR(__xludf.DUMMYFUNCTION("IFERROR(SPARKLINE(SORT(MAP(TRANSPOSE(AQ99:BL99), LAMBDA(val, IF(ISNUMBER(val), PERCENTRANK(AQ99:BL99, val)+0.01, 0))), SEQUENCE(COLUMNS(AQ99:BL99)), FALSE), {""charttype"",""column""; ""color"",""chartreuse""; ""ymin"", 0; ""ymax"", 1.01; ""highcolor"", "&amp;"""darkgreen""; ""lowcolor"", ""red""}), """")"),"")</f>
        <v/>
      </c>
      <c r="B99" s="17" t="str">
        <f t="shared" si="4"/>
        <v/>
      </c>
      <c r="C99" s="1" t="s">
        <v>1837</v>
      </c>
      <c r="D99" s="30" t="str">
        <f>IFERROR(__xludf.DUMMYFUNCTION("IFERROR(GOOGLEFINANCE(C99, ""NAME""))"),"Iqvia Holdings Inc")</f>
        <v>Iqvia Holdings Inc</v>
      </c>
      <c r="E99" s="30" t="s">
        <v>1499</v>
      </c>
      <c r="F99" s="33" t="str">
        <f>IFERROR(__xludf.DUMMYFUNCTION("( (GOOGLEFINANCE(C99, ""price"") - Q99) / Q99 ) / (R99 / 100)"),"Loading...")</f>
        <v>Loading...</v>
      </c>
      <c r="G99" s="20" t="str">
        <f>IFERROR(__xludf.DUMMYFUNCTION("AVERAGE(ARRAYFORMULA(100 * (QUERY(GOOGLEFINANCE(C99, ""high"", TODAY()-40, TODAY()), ""SELECT Col2 WHERE Col2 IS NOT NULL ORDER BY Col1 DESC LIMIT 20"", 0) / QUERY(GOOGLEFINANCE(C99, ""low"", TODAY()-40, TODAY()), ""SELECT Col2 WHERE Col2 IS NOT NULL ORDE"&amp;"R BY Col1 DESC LIMIT 20"", 0) - 1)))"),"#N/A")</f>
        <v>#N/A</v>
      </c>
      <c r="H99" s="35" t="str">
        <f t="shared" si="6"/>
        <v/>
      </c>
      <c r="I99" s="36" t="str">
        <f t="shared" si="7"/>
        <v/>
      </c>
      <c r="J99" s="37" t="str">
        <f>IFERROR(__xludf.DUMMYFUNCTION("IFERROR(
  IF(C99="""",, 
    IFERROR(
      GOOGLEFINANCE(C99, ""price"") * GOOGLEFINANCE(C99, ""volumeavg""), 
      GOOGLEFINANCE(C99, ""price"") * AVERAGE(QUERY(GOOGLEFINANCE(C99, ""volume"", TODAY()-40, TODAY()), ""SELECT Col2 WHERE Col2 IS NOT NULL "&amp;"ORDER BY Col1 DESC LIMIT 20"", 0))
    )
  ), 
"""")"),"")</f>
        <v/>
      </c>
      <c r="K99" s="21" t="str">
        <f>IFERROR(__xludf.DUMMYFUNCTION("IFERROR(GOOGLEFINANCE(C99, ""changepct"") / 100, """")"),"")</f>
        <v/>
      </c>
      <c r="L99" s="21" t="str">
        <f>IFERROR(__xludf.DUMMYFUNCTION("IFERROR((GOOGLEFINANCE(C99, ""price"") / INDEX(GOOGLEFINANCE(C99, ""price"", TODAY()-7, TODAY()), 2, 2)) - 1, """")"),"")</f>
        <v/>
      </c>
      <c r="M99" s="21" t="str">
        <f>IFERROR(__xludf.DUMMYFUNCTION("IFERROR((GOOGLEFINANCE(C99, ""price"") / INDEX(GOOGLEFINANCE(C99, ""price"", EDATE(TODAY(), -1), TODAY()), 2, 2)) - 1, """")"),"")</f>
        <v/>
      </c>
      <c r="N99" s="21" t="str">
        <f>IFERROR(__xludf.DUMMYFUNCTION("IFERROR((GOOGLEFINANCE(C99, ""price"") / INDEX(GOOGLEFINANCE(C99, ""price"", EDATE(TODAY(), -3), TODAY()), 2, 2)) - 1, """")"),"")</f>
        <v/>
      </c>
      <c r="O99" s="21" t="str">
        <f>IFERROR(__xludf.DUMMYFUNCTION("IFERROR((GOOGLEFINANCE(C99, ""price"") / INDEX(GOOGLEFINANCE(C99, ""price"", EDATE(TODAY(), -6), TODAY()), 2, 2)) - 1, """")"),"")</f>
        <v/>
      </c>
      <c r="P99" s="21" t="str">
        <f>IFERROR(__xludf.DUMMYFUNCTION("IFERROR((GOOGLEFINANCE(C99, ""price"") / INDEX(GOOGLEFINANCE(C99, ""price"", EDATE(TODAY(), -12), TODAY()), 2, 2)) - 1, """")"),"")</f>
        <v/>
      </c>
      <c r="Q99" s="6" t="str">
        <f>IFERROR(__xludf.DUMMYFUNCTION("AVERAGE(QUERY(GOOGLEFINANCE(C99, ""price"", TODAY()-80, TODAY()), ""SELECT Col2 WHERE Col2 IS NOT NULL ORDER BY Col1 DESC LIMIT 50"", 0))"),"#N/A")</f>
        <v>#N/A</v>
      </c>
      <c r="R99" s="24" t="str">
        <f>IFERROR(__xludf.DUMMYFUNCTION("IFERROR(
  LET(
    data, QUERY(GOOGLEFINANCE(C99,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GOOGLEFINANCE(C99, ""price"")) * 100,
    IF(calc=0, G99, calc)
  ), 
G99)"),"#N/A")</f>
        <v>#N/A</v>
      </c>
      <c r="S99" s="8" t="s">
        <v>15</v>
      </c>
      <c r="T99" s="26" t="str">
        <f>IFERROR(__xludf.DUMMYFUNCTION("IFERROR(TRANSPOSE(QUERY(IFERROR(SORT(GOOGLEFINANCE(C99, ""price"", WORKDAY(TODAY(), -40), TODAY()), 1, FALSE)), ""select Col2 where Col2 is not null limit 22 label Col2 ''"", 0)), """")"),"")</f>
        <v/>
      </c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8"/>
      <c r="AO99" s="28"/>
      <c r="AP99" s="29"/>
      <c r="AQ99" s="29" t="str">
        <f t="shared" ref="AQ99:BL99" si="102">T99/T$2</f>
        <v>#N/A</v>
      </c>
      <c r="AR99" s="29" t="str">
        <f t="shared" si="102"/>
        <v>#DIV/0!</v>
      </c>
      <c r="AS99" s="29" t="str">
        <f t="shared" si="102"/>
        <v>#DIV/0!</v>
      </c>
      <c r="AT99" s="29" t="str">
        <f t="shared" si="102"/>
        <v>#DIV/0!</v>
      </c>
      <c r="AU99" s="29" t="str">
        <f t="shared" si="102"/>
        <v>#DIV/0!</v>
      </c>
      <c r="AV99" s="29" t="str">
        <f t="shared" si="102"/>
        <v>#DIV/0!</v>
      </c>
      <c r="AW99" s="29" t="str">
        <f t="shared" si="102"/>
        <v>#DIV/0!</v>
      </c>
      <c r="AX99" s="29" t="str">
        <f t="shared" si="102"/>
        <v>#DIV/0!</v>
      </c>
      <c r="AY99" s="29" t="str">
        <f t="shared" si="102"/>
        <v>#DIV/0!</v>
      </c>
      <c r="AZ99" s="29" t="str">
        <f t="shared" si="102"/>
        <v>#DIV/0!</v>
      </c>
      <c r="BA99" s="29" t="str">
        <f t="shared" si="102"/>
        <v>#DIV/0!</v>
      </c>
      <c r="BB99" s="29" t="str">
        <f t="shared" si="102"/>
        <v>#DIV/0!</v>
      </c>
      <c r="BC99" s="29" t="str">
        <f t="shared" si="102"/>
        <v>#DIV/0!</v>
      </c>
      <c r="BD99" s="29" t="str">
        <f t="shared" si="102"/>
        <v>#DIV/0!</v>
      </c>
      <c r="BE99" s="29" t="str">
        <f t="shared" si="102"/>
        <v>#DIV/0!</v>
      </c>
      <c r="BF99" s="29" t="str">
        <f t="shared" si="102"/>
        <v>#DIV/0!</v>
      </c>
      <c r="BG99" s="29" t="str">
        <f t="shared" si="102"/>
        <v>#DIV/0!</v>
      </c>
      <c r="BH99" s="29" t="str">
        <f t="shared" si="102"/>
        <v>#DIV/0!</v>
      </c>
      <c r="BI99" s="29" t="str">
        <f t="shared" si="102"/>
        <v>#DIV/0!</v>
      </c>
      <c r="BJ99" s="29" t="str">
        <f t="shared" si="102"/>
        <v>#DIV/0!</v>
      </c>
      <c r="BK99" s="29" t="str">
        <f t="shared" si="102"/>
        <v>#DIV/0!</v>
      </c>
      <c r="BL99" s="29" t="str">
        <f t="shared" si="102"/>
        <v>#DIV/0!</v>
      </c>
      <c r="BM99" s="29" t="str">
        <f t="shared" si="3"/>
        <v>#DIV/0!</v>
      </c>
    </row>
    <row r="100">
      <c r="A100" s="16" t="str">
        <f>IFERROR(__xludf.DUMMYFUNCTION("IFERROR(SPARKLINE(SORT(MAP(TRANSPOSE(AQ100:BL100), LAMBDA(val, IF(ISNUMBER(val), PERCENTRANK(AQ100:BL100, val)+0.01, 0))), SEQUENCE(COLUMNS(AQ100:BL100)), FALSE), {""charttype"",""column""; ""color"",""chartreuse""; ""ymin"", 0; ""ymax"", 1.01; ""highcolo"&amp;"r"", ""darkgreen""; ""lowcolor"", ""red""}), """")"),"")</f>
        <v/>
      </c>
      <c r="B100" s="17" t="str">
        <f t="shared" si="4"/>
        <v/>
      </c>
      <c r="C100" s="1" t="s">
        <v>1841</v>
      </c>
      <c r="D100" s="30" t="str">
        <f>IFERROR(__xludf.DUMMYFUNCTION("IFERROR(GOOGLEFINANCE(C100, ""NAME""))"),"NeoGenomics, Inc.")</f>
        <v>NeoGenomics, Inc.</v>
      </c>
      <c r="E100" s="30" t="s">
        <v>1499</v>
      </c>
      <c r="F100" s="33" t="str">
        <f>IFERROR(__xludf.DUMMYFUNCTION("( (GOOGLEFINANCE(C100, ""price"") - Q100) / Q100 ) / (R100 / 100)"),"Loading...")</f>
        <v>Loading...</v>
      </c>
      <c r="G100" s="20" t="str">
        <f>IFERROR(__xludf.DUMMYFUNCTION("AVERAGE(ARRAYFORMULA(100 * (QUERY(GOOGLEFINANCE(C100, ""high"", TODAY()-40, TODAY()), ""SELECT Col2 WHERE Col2 IS NOT NULL ORDER BY Col1 DESC LIMIT 20"", 0) / QUERY(GOOGLEFINANCE(C100, ""low"", TODAY()-40, TODAY()), ""SELECT Col2 WHERE Col2 IS NOT NULL OR"&amp;"DER BY Col1 DESC LIMIT 20"", 0) - 1)))"),"#N/A")</f>
        <v>#N/A</v>
      </c>
      <c r="H100" s="35" t="str">
        <f t="shared" si="6"/>
        <v/>
      </c>
      <c r="I100" s="36" t="str">
        <f t="shared" si="7"/>
        <v/>
      </c>
      <c r="J100" s="37" t="str">
        <f>IFERROR(__xludf.DUMMYFUNCTION("IFERROR(
  IF(C100="""",, 
    IFERROR(
      GOOGLEFINANCE(C100, ""price"") * GOOGLEFINANCE(C100, ""volumeavg""), 
      GOOGLEFINANCE(C100, ""price"") * AVERAGE(QUERY(GOOGLEFINANCE(C100, ""volume"", TODAY()-40, TODAY()), ""SELECT Col2 WHERE Col2 IS NOT "&amp;"NULL ORDER BY Col1 DESC LIMIT 20"", 0))
    )
  ), 
"""")"),"")</f>
        <v/>
      </c>
      <c r="K100" s="21" t="str">
        <f>IFERROR(__xludf.DUMMYFUNCTION("IFERROR(GOOGLEFINANCE(C100, ""changepct"") / 100, """")"),"")</f>
        <v/>
      </c>
      <c r="L100" s="21" t="str">
        <f>IFERROR(__xludf.DUMMYFUNCTION("IFERROR((GOOGLEFINANCE(C100, ""price"") / INDEX(GOOGLEFINANCE(C100, ""price"", TODAY()-7, TODAY()), 2, 2)) - 1, """")"),"")</f>
        <v/>
      </c>
      <c r="M100" s="21" t="str">
        <f>IFERROR(__xludf.DUMMYFUNCTION("IFERROR((GOOGLEFINANCE(C100, ""price"") / INDEX(GOOGLEFINANCE(C100, ""price"", EDATE(TODAY(), -1), TODAY()), 2, 2)) - 1, """")"),"")</f>
        <v/>
      </c>
      <c r="N100" s="21" t="str">
        <f>IFERROR(__xludf.DUMMYFUNCTION("IFERROR((GOOGLEFINANCE(C100, ""price"") / INDEX(GOOGLEFINANCE(C100, ""price"", EDATE(TODAY(), -3), TODAY()), 2, 2)) - 1, """")"),"")</f>
        <v/>
      </c>
      <c r="O100" s="21" t="str">
        <f>IFERROR(__xludf.DUMMYFUNCTION("IFERROR((GOOGLEFINANCE(C100, ""price"") / INDEX(GOOGLEFINANCE(C100, ""price"", EDATE(TODAY(), -6), TODAY()), 2, 2)) - 1, """")"),"")</f>
        <v/>
      </c>
      <c r="P100" s="21" t="str">
        <f>IFERROR(__xludf.DUMMYFUNCTION("IFERROR((GOOGLEFINANCE(C100, ""price"") / INDEX(GOOGLEFINANCE(C100, ""price"", EDATE(TODAY(), -12), TODAY()), 2, 2)) - 1, """")"),"")</f>
        <v/>
      </c>
      <c r="Q100" s="6" t="str">
        <f>IFERROR(__xludf.DUMMYFUNCTION("AVERAGE(QUERY(GOOGLEFINANCE(C100, ""price"", TODAY()-80, TODAY()), ""SELECT Col2 WHERE Col2 IS NOT NULL ORDER BY Col1 DESC LIMIT 50"", 0))"),"#N/A")</f>
        <v>#N/A</v>
      </c>
      <c r="R100" s="24" t="str">
        <f>IFERROR(__xludf.DUMMYFUNCTION("IFERROR(
  LET(
    data, QUERY(GOOGLEFINANCE(C100,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GOOGLEFINANCE(C100, ""price"")) * 100,
    IF(calc=0, G100, calc)
  ), 
G100)"),"#N/A")</f>
        <v>#N/A</v>
      </c>
      <c r="S100" s="8" t="s">
        <v>15</v>
      </c>
      <c r="T100" s="26" t="str">
        <f>IFERROR(__xludf.DUMMYFUNCTION("IFERROR(TRANSPOSE(QUERY(IFERROR(SORT(GOOGLEFINANCE(C100, ""price"", WORKDAY(TODAY(), -40), TODAY()), 1, FALSE)), ""select Col2 where Col2 is not null limit 22 label Col2 ''"", 0)), """")"),"")</f>
        <v/>
      </c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8"/>
      <c r="AO100" s="28"/>
      <c r="AP100" s="29"/>
      <c r="AQ100" s="29" t="str">
        <f t="shared" ref="AQ100:BL100" si="103">T100/T$2</f>
        <v>#N/A</v>
      </c>
      <c r="AR100" s="29" t="str">
        <f t="shared" si="103"/>
        <v>#DIV/0!</v>
      </c>
      <c r="AS100" s="29" t="str">
        <f t="shared" si="103"/>
        <v>#DIV/0!</v>
      </c>
      <c r="AT100" s="29" t="str">
        <f t="shared" si="103"/>
        <v>#DIV/0!</v>
      </c>
      <c r="AU100" s="29" t="str">
        <f t="shared" si="103"/>
        <v>#DIV/0!</v>
      </c>
      <c r="AV100" s="29" t="str">
        <f t="shared" si="103"/>
        <v>#DIV/0!</v>
      </c>
      <c r="AW100" s="29" t="str">
        <f t="shared" si="103"/>
        <v>#DIV/0!</v>
      </c>
      <c r="AX100" s="29" t="str">
        <f t="shared" si="103"/>
        <v>#DIV/0!</v>
      </c>
      <c r="AY100" s="29" t="str">
        <f t="shared" si="103"/>
        <v>#DIV/0!</v>
      </c>
      <c r="AZ100" s="29" t="str">
        <f t="shared" si="103"/>
        <v>#DIV/0!</v>
      </c>
      <c r="BA100" s="29" t="str">
        <f t="shared" si="103"/>
        <v>#DIV/0!</v>
      </c>
      <c r="BB100" s="29" t="str">
        <f t="shared" si="103"/>
        <v>#DIV/0!</v>
      </c>
      <c r="BC100" s="29" t="str">
        <f t="shared" si="103"/>
        <v>#DIV/0!</v>
      </c>
      <c r="BD100" s="29" t="str">
        <f t="shared" si="103"/>
        <v>#DIV/0!</v>
      </c>
      <c r="BE100" s="29" t="str">
        <f t="shared" si="103"/>
        <v>#DIV/0!</v>
      </c>
      <c r="BF100" s="29" t="str">
        <f t="shared" si="103"/>
        <v>#DIV/0!</v>
      </c>
      <c r="BG100" s="29" t="str">
        <f t="shared" si="103"/>
        <v>#DIV/0!</v>
      </c>
      <c r="BH100" s="29" t="str">
        <f t="shared" si="103"/>
        <v>#DIV/0!</v>
      </c>
      <c r="BI100" s="29" t="str">
        <f t="shared" si="103"/>
        <v>#DIV/0!</v>
      </c>
      <c r="BJ100" s="29" t="str">
        <f t="shared" si="103"/>
        <v>#DIV/0!</v>
      </c>
      <c r="BK100" s="29" t="str">
        <f t="shared" si="103"/>
        <v>#DIV/0!</v>
      </c>
      <c r="BL100" s="29" t="str">
        <f t="shared" si="103"/>
        <v>#DIV/0!</v>
      </c>
      <c r="BM100" s="29" t="str">
        <f t="shared" si="3"/>
        <v>#DIV/0!</v>
      </c>
    </row>
    <row r="101">
      <c r="A101" s="16" t="str">
        <f>IFERROR(__xludf.DUMMYFUNCTION("IFERROR(SPARKLINE(SORT(MAP(TRANSPOSE(AQ101:BL101), LAMBDA(val, IF(ISNUMBER(val), PERCENTRANK(AQ101:BL101, val)+0.01, 0))), SEQUENCE(COLUMNS(AQ101:BL101)), FALSE), {""charttype"",""column""; ""color"",""chartreuse""; ""ymin"", 0; ""ymax"", 1.01; ""highcolo"&amp;"r"", ""darkgreen""; ""lowcolor"", ""red""}), """")"),"")</f>
        <v/>
      </c>
      <c r="B101" s="17" t="str">
        <f t="shared" si="4"/>
        <v/>
      </c>
      <c r="C101" s="1" t="s">
        <v>1842</v>
      </c>
      <c r="D101" s="30" t="str">
        <f>IFERROR(__xludf.DUMMYFUNCTION("IFERROR(GOOGLEFINANCE(C101, ""NAME""))"),"Akso Health Group - ADR")</f>
        <v>Akso Health Group - ADR</v>
      </c>
      <c r="E101" s="30" t="s">
        <v>1843</v>
      </c>
      <c r="F101" s="33" t="str">
        <f>IFERROR(__xludf.DUMMYFUNCTION("( (GOOGLEFINANCE(C101, ""price"") - Q101) / Q101 ) / (R101 / 100)"),"Loading...")</f>
        <v>Loading...</v>
      </c>
      <c r="G101" s="20" t="str">
        <f>IFERROR(__xludf.DUMMYFUNCTION("AVERAGE(ARRAYFORMULA(100 * (QUERY(GOOGLEFINANCE(C101, ""high"", TODAY()-40, TODAY()), ""SELECT Col2 WHERE Col2 IS NOT NULL ORDER BY Col1 DESC LIMIT 20"", 0) / QUERY(GOOGLEFINANCE(C101, ""low"", TODAY()-40, TODAY()), ""SELECT Col2 WHERE Col2 IS NOT NULL OR"&amp;"DER BY Col1 DESC LIMIT 20"", 0) - 1)))"),"#N/A")</f>
        <v>#N/A</v>
      </c>
      <c r="H101" s="35" t="str">
        <f t="shared" si="6"/>
        <v/>
      </c>
      <c r="I101" s="36" t="str">
        <f t="shared" si="7"/>
        <v/>
      </c>
      <c r="J101" s="37" t="str">
        <f>IFERROR(__xludf.DUMMYFUNCTION("IFERROR(
  IF(C101="""",, 
    IFERROR(
      GOOGLEFINANCE(C101, ""price"") * GOOGLEFINANCE(C101, ""volumeavg""), 
      GOOGLEFINANCE(C101, ""price"") * AVERAGE(QUERY(GOOGLEFINANCE(C101, ""volume"", TODAY()-40, TODAY()), ""SELECT Col2 WHERE Col2 IS NOT "&amp;"NULL ORDER BY Col1 DESC LIMIT 20"", 0))
    )
  ), 
"""")"),"")</f>
        <v/>
      </c>
      <c r="K101" s="21" t="str">
        <f>IFERROR(__xludf.DUMMYFUNCTION("IFERROR(GOOGLEFINANCE(C101, ""changepct"") / 100, """")"),"")</f>
        <v/>
      </c>
      <c r="L101" s="21" t="str">
        <f>IFERROR(__xludf.DUMMYFUNCTION("IFERROR((GOOGLEFINANCE(C101, ""price"") / INDEX(GOOGLEFINANCE(C101, ""price"", TODAY()-7, TODAY()), 2, 2)) - 1, """")"),"")</f>
        <v/>
      </c>
      <c r="M101" s="21" t="str">
        <f>IFERROR(__xludf.DUMMYFUNCTION("IFERROR((GOOGLEFINANCE(C101, ""price"") / INDEX(GOOGLEFINANCE(C101, ""price"", EDATE(TODAY(), -1), TODAY()), 2, 2)) - 1, """")"),"")</f>
        <v/>
      </c>
      <c r="N101" s="21" t="str">
        <f>IFERROR(__xludf.DUMMYFUNCTION("IFERROR((GOOGLEFINANCE(C101, ""price"") / INDEX(GOOGLEFINANCE(C101, ""price"", EDATE(TODAY(), -3), TODAY()), 2, 2)) - 1, """")"),"")</f>
        <v/>
      </c>
      <c r="O101" s="21" t="str">
        <f>IFERROR(__xludf.DUMMYFUNCTION("IFERROR((GOOGLEFINANCE(C101, ""price"") / INDEX(GOOGLEFINANCE(C101, ""price"", EDATE(TODAY(), -6), TODAY()), 2, 2)) - 1, """")"),"")</f>
        <v/>
      </c>
      <c r="P101" s="21" t="str">
        <f>IFERROR(__xludf.DUMMYFUNCTION("IFERROR((GOOGLEFINANCE(C101, ""price"") / INDEX(GOOGLEFINANCE(C101, ""price"", EDATE(TODAY(), -12), TODAY()), 2, 2)) - 1, """")"),"")</f>
        <v/>
      </c>
      <c r="Q101" s="6" t="str">
        <f>IFERROR(__xludf.DUMMYFUNCTION("AVERAGE(QUERY(GOOGLEFINANCE(C101, ""price"", TODAY()-80, TODAY()), ""SELECT Col2 WHERE Col2 IS NOT NULL ORDER BY Col1 DESC LIMIT 50"", 0))"),"#N/A")</f>
        <v>#N/A</v>
      </c>
      <c r="R101" s="24" t="str">
        <f>IFERROR(__xludf.DUMMYFUNCTION("IFERROR(
  LET(
    data, QUERY(GOOGLEFINANCE(C101,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GOOGLEFINANCE(C101, ""price"")) * 100,
    IF(calc=0, G101, calc)
  ), 
G101)"),"#N/A")</f>
        <v>#N/A</v>
      </c>
      <c r="S101" s="8" t="s">
        <v>15</v>
      </c>
      <c r="T101" s="26" t="str">
        <f>IFERROR(__xludf.DUMMYFUNCTION("IFERROR(TRANSPOSE(QUERY(IFERROR(SORT(GOOGLEFINANCE(C101, ""price"", WORKDAY(TODAY(), -40), TODAY()), 1, FALSE)), ""select Col2 where Col2 is not null limit 22 label Col2 ''"", 0)), """")"),"")</f>
        <v/>
      </c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8"/>
      <c r="AO101" s="28"/>
      <c r="AP101" s="29"/>
      <c r="AQ101" s="29" t="str">
        <f t="shared" ref="AQ101:BL101" si="104">T101/T$2</f>
        <v>#N/A</v>
      </c>
      <c r="AR101" s="29" t="str">
        <f t="shared" si="104"/>
        <v>#DIV/0!</v>
      </c>
      <c r="AS101" s="29" t="str">
        <f t="shared" si="104"/>
        <v>#DIV/0!</v>
      </c>
      <c r="AT101" s="29" t="str">
        <f t="shared" si="104"/>
        <v>#DIV/0!</v>
      </c>
      <c r="AU101" s="29" t="str">
        <f t="shared" si="104"/>
        <v>#DIV/0!</v>
      </c>
      <c r="AV101" s="29" t="str">
        <f t="shared" si="104"/>
        <v>#DIV/0!</v>
      </c>
      <c r="AW101" s="29" t="str">
        <f t="shared" si="104"/>
        <v>#DIV/0!</v>
      </c>
      <c r="AX101" s="29" t="str">
        <f t="shared" si="104"/>
        <v>#DIV/0!</v>
      </c>
      <c r="AY101" s="29" t="str">
        <f t="shared" si="104"/>
        <v>#DIV/0!</v>
      </c>
      <c r="AZ101" s="29" t="str">
        <f t="shared" si="104"/>
        <v>#DIV/0!</v>
      </c>
      <c r="BA101" s="29" t="str">
        <f t="shared" si="104"/>
        <v>#DIV/0!</v>
      </c>
      <c r="BB101" s="29" t="str">
        <f t="shared" si="104"/>
        <v>#DIV/0!</v>
      </c>
      <c r="BC101" s="29" t="str">
        <f t="shared" si="104"/>
        <v>#DIV/0!</v>
      </c>
      <c r="BD101" s="29" t="str">
        <f t="shared" si="104"/>
        <v>#DIV/0!</v>
      </c>
      <c r="BE101" s="29" t="str">
        <f t="shared" si="104"/>
        <v>#DIV/0!</v>
      </c>
      <c r="BF101" s="29" t="str">
        <f t="shared" si="104"/>
        <v>#DIV/0!</v>
      </c>
      <c r="BG101" s="29" t="str">
        <f t="shared" si="104"/>
        <v>#DIV/0!</v>
      </c>
      <c r="BH101" s="29" t="str">
        <f t="shared" si="104"/>
        <v>#DIV/0!</v>
      </c>
      <c r="BI101" s="29" t="str">
        <f t="shared" si="104"/>
        <v>#DIV/0!</v>
      </c>
      <c r="BJ101" s="29" t="str">
        <f t="shared" si="104"/>
        <v>#DIV/0!</v>
      </c>
      <c r="BK101" s="29" t="str">
        <f t="shared" si="104"/>
        <v>#DIV/0!</v>
      </c>
      <c r="BL101" s="29" t="str">
        <f t="shared" si="104"/>
        <v>#DIV/0!</v>
      </c>
      <c r="BM101" s="29" t="str">
        <f t="shared" si="3"/>
        <v>#DIV/0!</v>
      </c>
    </row>
    <row r="102">
      <c r="A102" s="16" t="str">
        <f>IFERROR(__xludf.DUMMYFUNCTION("IFERROR(SPARKLINE(SORT(MAP(TRANSPOSE(AQ102:BL102), LAMBDA(val, IF(ISNUMBER(val), PERCENTRANK(AQ102:BL102, val)+0.01, 0))), SEQUENCE(COLUMNS(AQ102:BL102)), FALSE), {""charttype"",""column""; ""color"",""chartreuse""; ""ymin"", 0; ""ymax"", 1.01; ""highcolo"&amp;"r"", ""darkgreen""; ""lowcolor"", ""red""}), """")"),"")</f>
        <v/>
      </c>
      <c r="B102" s="17" t="str">
        <f t="shared" si="4"/>
        <v/>
      </c>
      <c r="C102" s="1" t="s">
        <v>1847</v>
      </c>
      <c r="D102" s="30" t="str">
        <f>IFERROR(__xludf.DUMMYFUNCTION("IFERROR(GOOGLEFINANCE(C102, ""NAME""))"),"Phreesia Inc")</f>
        <v>Phreesia Inc</v>
      </c>
      <c r="E102" s="30" t="s">
        <v>1532</v>
      </c>
      <c r="F102" s="33" t="str">
        <f>IFERROR(__xludf.DUMMYFUNCTION("( (GOOGLEFINANCE(C102, ""price"") - Q102) / Q102 ) / (R102 / 100)"),"Loading...")</f>
        <v>Loading...</v>
      </c>
      <c r="G102" s="20" t="str">
        <f>IFERROR(__xludf.DUMMYFUNCTION("AVERAGE(ARRAYFORMULA(100 * (QUERY(GOOGLEFINANCE(C102, ""high"", TODAY()-40, TODAY()), ""SELECT Col2 WHERE Col2 IS NOT NULL ORDER BY Col1 DESC LIMIT 20"", 0) / QUERY(GOOGLEFINANCE(C102, ""low"", TODAY()-40, TODAY()), ""SELECT Col2 WHERE Col2 IS NOT NULL OR"&amp;"DER BY Col1 DESC LIMIT 20"", 0) - 1)))"),"#N/A")</f>
        <v>#N/A</v>
      </c>
      <c r="H102" s="35" t="str">
        <f t="shared" si="6"/>
        <v/>
      </c>
      <c r="I102" s="36" t="str">
        <f t="shared" si="7"/>
        <v/>
      </c>
      <c r="J102" s="37" t="str">
        <f>IFERROR(__xludf.DUMMYFUNCTION("IFERROR(
  IF(C102="""",, 
    IFERROR(
      GOOGLEFINANCE(C102, ""price"") * GOOGLEFINANCE(C102, ""volumeavg""), 
      GOOGLEFINANCE(C102, ""price"") * AVERAGE(QUERY(GOOGLEFINANCE(C102, ""volume"", TODAY()-40, TODAY()), ""SELECT Col2 WHERE Col2 IS NOT "&amp;"NULL ORDER BY Col1 DESC LIMIT 20"", 0))
    )
  ), 
"""")"),"")</f>
        <v/>
      </c>
      <c r="K102" s="21" t="str">
        <f>IFERROR(__xludf.DUMMYFUNCTION("IFERROR(GOOGLEFINANCE(C102, ""changepct"") / 100, """")"),"")</f>
        <v/>
      </c>
      <c r="L102" s="21" t="str">
        <f>IFERROR(__xludf.DUMMYFUNCTION("IFERROR((GOOGLEFINANCE(C102, ""price"") / INDEX(GOOGLEFINANCE(C102, ""price"", TODAY()-7, TODAY()), 2, 2)) - 1, """")"),"")</f>
        <v/>
      </c>
      <c r="M102" s="21" t="str">
        <f>IFERROR(__xludf.DUMMYFUNCTION("IFERROR((GOOGLEFINANCE(C102, ""price"") / INDEX(GOOGLEFINANCE(C102, ""price"", EDATE(TODAY(), -1), TODAY()), 2, 2)) - 1, """")"),"")</f>
        <v/>
      </c>
      <c r="N102" s="21" t="str">
        <f>IFERROR(__xludf.DUMMYFUNCTION("IFERROR((GOOGLEFINANCE(C102, ""price"") / INDEX(GOOGLEFINANCE(C102, ""price"", EDATE(TODAY(), -3), TODAY()), 2, 2)) - 1, """")"),"")</f>
        <v/>
      </c>
      <c r="O102" s="21" t="str">
        <f>IFERROR(__xludf.DUMMYFUNCTION("IFERROR((GOOGLEFINANCE(C102, ""price"") / INDEX(GOOGLEFINANCE(C102, ""price"", EDATE(TODAY(), -6), TODAY()), 2, 2)) - 1, """")"),"")</f>
        <v/>
      </c>
      <c r="P102" s="21" t="str">
        <f>IFERROR(__xludf.DUMMYFUNCTION("IFERROR((GOOGLEFINANCE(C102, ""price"") / INDEX(GOOGLEFINANCE(C102, ""price"", EDATE(TODAY(), -12), TODAY()), 2, 2)) - 1, """")"),"")</f>
        <v/>
      </c>
      <c r="Q102" s="6" t="str">
        <f>IFERROR(__xludf.DUMMYFUNCTION("AVERAGE(QUERY(GOOGLEFINANCE(C102, ""price"", TODAY()-80, TODAY()), ""SELECT Col2 WHERE Col2 IS NOT NULL ORDER BY Col1 DESC LIMIT 50"", 0))"),"#N/A")</f>
        <v>#N/A</v>
      </c>
      <c r="R102" s="24" t="str">
        <f>IFERROR(__xludf.DUMMYFUNCTION("IFERROR(
  LET(
    data, QUERY(GOOGLEFINANCE(C102,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GOOGLEFINANCE(C102, ""price"")) * 100,
    IF(calc=0, G102, calc)
  ), 
G102)"),"#N/A")</f>
        <v>#N/A</v>
      </c>
      <c r="S102" s="8" t="s">
        <v>15</v>
      </c>
      <c r="T102" s="26" t="str">
        <f>IFERROR(__xludf.DUMMYFUNCTION("IFERROR(TRANSPOSE(QUERY(IFERROR(SORT(GOOGLEFINANCE(C102, ""price"", WORKDAY(TODAY(), -40), TODAY()), 1, FALSE)), ""select Col2 where Col2 is not null limit 22 label Col2 ''"", 0)), """")"),"")</f>
        <v/>
      </c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8"/>
      <c r="AO102" s="28"/>
      <c r="AP102" s="29"/>
      <c r="AQ102" s="29" t="str">
        <f t="shared" ref="AQ102:BL102" si="105">T102/T$2</f>
        <v>#N/A</v>
      </c>
      <c r="AR102" s="29" t="str">
        <f t="shared" si="105"/>
        <v>#DIV/0!</v>
      </c>
      <c r="AS102" s="29" t="str">
        <f t="shared" si="105"/>
        <v>#DIV/0!</v>
      </c>
      <c r="AT102" s="29" t="str">
        <f t="shared" si="105"/>
        <v>#DIV/0!</v>
      </c>
      <c r="AU102" s="29" t="str">
        <f t="shared" si="105"/>
        <v>#DIV/0!</v>
      </c>
      <c r="AV102" s="29" t="str">
        <f t="shared" si="105"/>
        <v>#DIV/0!</v>
      </c>
      <c r="AW102" s="29" t="str">
        <f t="shared" si="105"/>
        <v>#DIV/0!</v>
      </c>
      <c r="AX102" s="29" t="str">
        <f t="shared" si="105"/>
        <v>#DIV/0!</v>
      </c>
      <c r="AY102" s="29" t="str">
        <f t="shared" si="105"/>
        <v>#DIV/0!</v>
      </c>
      <c r="AZ102" s="29" t="str">
        <f t="shared" si="105"/>
        <v>#DIV/0!</v>
      </c>
      <c r="BA102" s="29" t="str">
        <f t="shared" si="105"/>
        <v>#DIV/0!</v>
      </c>
      <c r="BB102" s="29" t="str">
        <f t="shared" si="105"/>
        <v>#DIV/0!</v>
      </c>
      <c r="BC102" s="29" t="str">
        <f t="shared" si="105"/>
        <v>#DIV/0!</v>
      </c>
      <c r="BD102" s="29" t="str">
        <f t="shared" si="105"/>
        <v>#DIV/0!</v>
      </c>
      <c r="BE102" s="29" t="str">
        <f t="shared" si="105"/>
        <v>#DIV/0!</v>
      </c>
      <c r="BF102" s="29" t="str">
        <f t="shared" si="105"/>
        <v>#DIV/0!</v>
      </c>
      <c r="BG102" s="29" t="str">
        <f t="shared" si="105"/>
        <v>#DIV/0!</v>
      </c>
      <c r="BH102" s="29" t="str">
        <f t="shared" si="105"/>
        <v>#DIV/0!</v>
      </c>
      <c r="BI102" s="29" t="str">
        <f t="shared" si="105"/>
        <v>#DIV/0!</v>
      </c>
      <c r="BJ102" s="29" t="str">
        <f t="shared" si="105"/>
        <v>#DIV/0!</v>
      </c>
      <c r="BK102" s="29" t="str">
        <f t="shared" si="105"/>
        <v>#DIV/0!</v>
      </c>
      <c r="BL102" s="29" t="str">
        <f t="shared" si="105"/>
        <v>#DIV/0!</v>
      </c>
      <c r="BM102" s="29" t="str">
        <f t="shared" si="3"/>
        <v>#DIV/0!</v>
      </c>
    </row>
    <row r="103">
      <c r="A103" s="16" t="str">
        <f>IFERROR(__xludf.DUMMYFUNCTION("IFERROR(SPARKLINE(SORT(MAP(TRANSPOSE(AQ103:BL103), LAMBDA(val, IF(ISNUMBER(val), PERCENTRANK(AQ103:BL103, val)+0.01, 0))), SEQUENCE(COLUMNS(AQ103:BL103)), FALSE), {""charttype"",""column""; ""color"",""chartreuse""; ""ymin"", 0; ""ymax"", 1.01; ""highcolo"&amp;"r"", ""darkgreen""; ""lowcolor"", ""red""}), """")"),"")</f>
        <v/>
      </c>
      <c r="B103" s="17" t="str">
        <f t="shared" si="4"/>
        <v/>
      </c>
      <c r="C103" s="1" t="s">
        <v>1850</v>
      </c>
      <c r="D103" s="30" t="str">
        <f>IFERROR(__xludf.DUMMYFUNCTION("IFERROR(GOOGLEFINANCE(C103, ""NAME""))"),"Establishment Labs Holdings Inc")</f>
        <v>Establishment Labs Holdings Inc</v>
      </c>
      <c r="E103" s="30" t="s">
        <v>1491</v>
      </c>
      <c r="F103" s="33" t="str">
        <f>IFERROR(__xludf.DUMMYFUNCTION("( (GOOGLEFINANCE(C103, ""price"") - Q103) / Q103 ) / (R103 / 100)"),"Loading...")</f>
        <v>Loading...</v>
      </c>
      <c r="G103" s="20" t="str">
        <f>IFERROR(__xludf.DUMMYFUNCTION("AVERAGE(ARRAYFORMULA(100 * (QUERY(GOOGLEFINANCE(C103, ""high"", TODAY()-40, TODAY()), ""SELECT Col2 WHERE Col2 IS NOT NULL ORDER BY Col1 DESC LIMIT 20"", 0) / QUERY(GOOGLEFINANCE(C103, ""low"", TODAY()-40, TODAY()), ""SELECT Col2 WHERE Col2 IS NOT NULL OR"&amp;"DER BY Col1 DESC LIMIT 20"", 0) - 1)))"),"#N/A")</f>
        <v>#N/A</v>
      </c>
      <c r="H103" s="35" t="str">
        <f t="shared" si="6"/>
        <v/>
      </c>
      <c r="I103" s="36" t="str">
        <f t="shared" si="7"/>
        <v/>
      </c>
      <c r="J103" s="37" t="str">
        <f>IFERROR(__xludf.DUMMYFUNCTION("IFERROR(
  IF(C103="""",, 
    IFERROR(
      GOOGLEFINANCE(C103, ""price"") * GOOGLEFINANCE(C103, ""volumeavg""), 
      GOOGLEFINANCE(C103, ""price"") * AVERAGE(QUERY(GOOGLEFINANCE(C103, ""volume"", TODAY()-40, TODAY()), ""SELECT Col2 WHERE Col2 IS NOT "&amp;"NULL ORDER BY Col1 DESC LIMIT 20"", 0))
    )
  ), 
"""")"),"")</f>
        <v/>
      </c>
      <c r="K103" s="21" t="str">
        <f>IFERROR(__xludf.DUMMYFUNCTION("IFERROR(GOOGLEFINANCE(C103, ""changepct"") / 100, """")"),"")</f>
        <v/>
      </c>
      <c r="L103" s="21" t="str">
        <f>IFERROR(__xludf.DUMMYFUNCTION("IFERROR((GOOGLEFINANCE(C103, ""price"") / INDEX(GOOGLEFINANCE(C103, ""price"", TODAY()-7, TODAY()), 2, 2)) - 1, """")"),"")</f>
        <v/>
      </c>
      <c r="M103" s="21" t="str">
        <f>IFERROR(__xludf.DUMMYFUNCTION("IFERROR((GOOGLEFINANCE(C103, ""price"") / INDEX(GOOGLEFINANCE(C103, ""price"", EDATE(TODAY(), -1), TODAY()), 2, 2)) - 1, """")"),"")</f>
        <v/>
      </c>
      <c r="N103" s="21" t="str">
        <f>IFERROR(__xludf.DUMMYFUNCTION("IFERROR((GOOGLEFINANCE(C103, ""price"") / INDEX(GOOGLEFINANCE(C103, ""price"", EDATE(TODAY(), -3), TODAY()), 2, 2)) - 1, """")"),"")</f>
        <v/>
      </c>
      <c r="O103" s="21" t="str">
        <f>IFERROR(__xludf.DUMMYFUNCTION("IFERROR((GOOGLEFINANCE(C103, ""price"") / INDEX(GOOGLEFINANCE(C103, ""price"", EDATE(TODAY(), -6), TODAY()), 2, 2)) - 1, """")"),"")</f>
        <v/>
      </c>
      <c r="P103" s="21" t="str">
        <f>IFERROR(__xludf.DUMMYFUNCTION("IFERROR((GOOGLEFINANCE(C103, ""price"") / INDEX(GOOGLEFINANCE(C103, ""price"", EDATE(TODAY(), -12), TODAY()), 2, 2)) - 1, """")"),"")</f>
        <v/>
      </c>
      <c r="Q103" s="6" t="str">
        <f>IFERROR(__xludf.DUMMYFUNCTION("AVERAGE(QUERY(GOOGLEFINANCE(C103, ""price"", TODAY()-80, TODAY()), ""SELECT Col2 WHERE Col2 IS NOT NULL ORDER BY Col1 DESC LIMIT 50"", 0))"),"#N/A")</f>
        <v>#N/A</v>
      </c>
      <c r="R103" s="24" t="str">
        <f>IFERROR(__xludf.DUMMYFUNCTION("IFERROR(
  LET(
    data, QUERY(GOOGLEFINANCE(C103,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GOOGLEFINANCE(C103, ""price"")) * 100,
    IF(calc=0, G103, calc)
  ), 
G103)"),"#N/A")</f>
        <v>#N/A</v>
      </c>
      <c r="S103" s="8" t="s">
        <v>15</v>
      </c>
      <c r="T103" s="26" t="str">
        <f>IFERROR(__xludf.DUMMYFUNCTION("IFERROR(TRANSPOSE(QUERY(IFERROR(SORT(GOOGLEFINANCE(C103, ""price"", WORKDAY(TODAY(), -40), TODAY()), 1, FALSE)), ""select Col2 where Col2 is not null limit 22 label Col2 ''"", 0)), """")"),"")</f>
        <v/>
      </c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8"/>
      <c r="AO103" s="28"/>
      <c r="AP103" s="29"/>
      <c r="AQ103" s="29" t="str">
        <f t="shared" ref="AQ103:BL103" si="106">T103/T$2</f>
        <v>#N/A</v>
      </c>
      <c r="AR103" s="29" t="str">
        <f t="shared" si="106"/>
        <v>#DIV/0!</v>
      </c>
      <c r="AS103" s="29" t="str">
        <f t="shared" si="106"/>
        <v>#DIV/0!</v>
      </c>
      <c r="AT103" s="29" t="str">
        <f t="shared" si="106"/>
        <v>#DIV/0!</v>
      </c>
      <c r="AU103" s="29" t="str">
        <f t="shared" si="106"/>
        <v>#DIV/0!</v>
      </c>
      <c r="AV103" s="29" t="str">
        <f t="shared" si="106"/>
        <v>#DIV/0!</v>
      </c>
      <c r="AW103" s="29" t="str">
        <f t="shared" si="106"/>
        <v>#DIV/0!</v>
      </c>
      <c r="AX103" s="29" t="str">
        <f t="shared" si="106"/>
        <v>#DIV/0!</v>
      </c>
      <c r="AY103" s="29" t="str">
        <f t="shared" si="106"/>
        <v>#DIV/0!</v>
      </c>
      <c r="AZ103" s="29" t="str">
        <f t="shared" si="106"/>
        <v>#DIV/0!</v>
      </c>
      <c r="BA103" s="29" t="str">
        <f t="shared" si="106"/>
        <v>#DIV/0!</v>
      </c>
      <c r="BB103" s="29" t="str">
        <f t="shared" si="106"/>
        <v>#DIV/0!</v>
      </c>
      <c r="BC103" s="29" t="str">
        <f t="shared" si="106"/>
        <v>#DIV/0!</v>
      </c>
      <c r="BD103" s="29" t="str">
        <f t="shared" si="106"/>
        <v>#DIV/0!</v>
      </c>
      <c r="BE103" s="29" t="str">
        <f t="shared" si="106"/>
        <v>#DIV/0!</v>
      </c>
      <c r="BF103" s="29" t="str">
        <f t="shared" si="106"/>
        <v>#DIV/0!</v>
      </c>
      <c r="BG103" s="29" t="str">
        <f t="shared" si="106"/>
        <v>#DIV/0!</v>
      </c>
      <c r="BH103" s="29" t="str">
        <f t="shared" si="106"/>
        <v>#DIV/0!</v>
      </c>
      <c r="BI103" s="29" t="str">
        <f t="shared" si="106"/>
        <v>#DIV/0!</v>
      </c>
      <c r="BJ103" s="29" t="str">
        <f t="shared" si="106"/>
        <v>#DIV/0!</v>
      </c>
      <c r="BK103" s="29" t="str">
        <f t="shared" si="106"/>
        <v>#DIV/0!</v>
      </c>
      <c r="BL103" s="29" t="str">
        <f t="shared" si="106"/>
        <v>#DIV/0!</v>
      </c>
      <c r="BM103" s="29" t="str">
        <f t="shared" si="3"/>
        <v>#DIV/0!</v>
      </c>
    </row>
    <row r="104">
      <c r="A104" s="16" t="str">
        <f>IFERROR(__xludf.DUMMYFUNCTION("IFERROR(SPARKLINE(SORT(MAP(TRANSPOSE(AQ104:BL104), LAMBDA(val, IF(ISNUMBER(val), PERCENTRANK(AQ104:BL104, val)+0.01, 0))), SEQUENCE(COLUMNS(AQ104:BL104)), FALSE), {""charttype"",""column""; ""color"",""chartreuse""; ""ymin"", 0; ""ymax"", 1.01; ""highcolo"&amp;"r"", ""darkgreen""; ""lowcolor"", ""red""}), """")"),"")</f>
        <v/>
      </c>
      <c r="B104" s="17" t="str">
        <f t="shared" si="4"/>
        <v/>
      </c>
      <c r="C104" s="1" t="s">
        <v>1854</v>
      </c>
      <c r="D104" s="30" t="str">
        <f>IFERROR(__xludf.DUMMYFUNCTION("IFERROR(GOOGLEFINANCE(C104, ""NAME""))"),"Schrodinger Inc")</f>
        <v>Schrodinger Inc</v>
      </c>
      <c r="E104" s="30" t="s">
        <v>1532</v>
      </c>
      <c r="F104" s="33" t="str">
        <f>IFERROR(__xludf.DUMMYFUNCTION("( (GOOGLEFINANCE(C104, ""price"") - Q104) / Q104 ) / (R104 / 100)"),"Loading...")</f>
        <v>Loading...</v>
      </c>
      <c r="G104" s="20" t="str">
        <f>IFERROR(__xludf.DUMMYFUNCTION("AVERAGE(ARRAYFORMULA(100 * (QUERY(GOOGLEFINANCE(C104, ""high"", TODAY()-40, TODAY()), ""SELECT Col2 WHERE Col2 IS NOT NULL ORDER BY Col1 DESC LIMIT 20"", 0) / QUERY(GOOGLEFINANCE(C104, ""low"", TODAY()-40, TODAY()), ""SELECT Col2 WHERE Col2 IS NOT NULL OR"&amp;"DER BY Col1 DESC LIMIT 20"", 0) - 1)))"),"#N/A")</f>
        <v>#N/A</v>
      </c>
      <c r="H104" s="35" t="str">
        <f t="shared" si="6"/>
        <v/>
      </c>
      <c r="I104" s="36" t="str">
        <f t="shared" si="7"/>
        <v/>
      </c>
      <c r="J104" s="37" t="str">
        <f>IFERROR(__xludf.DUMMYFUNCTION("IFERROR(
  IF(C104="""",, 
    IFERROR(
      GOOGLEFINANCE(C104, ""price"") * GOOGLEFINANCE(C104, ""volumeavg""), 
      GOOGLEFINANCE(C104, ""price"") * AVERAGE(QUERY(GOOGLEFINANCE(C104, ""volume"", TODAY()-40, TODAY()), ""SELECT Col2 WHERE Col2 IS NOT "&amp;"NULL ORDER BY Col1 DESC LIMIT 20"", 0))
    )
  ), 
"""")"),"")</f>
        <v/>
      </c>
      <c r="K104" s="21" t="str">
        <f>IFERROR(__xludf.DUMMYFUNCTION("IFERROR(GOOGLEFINANCE(C104, ""changepct"") / 100, """")"),"")</f>
        <v/>
      </c>
      <c r="L104" s="21" t="str">
        <f>IFERROR(__xludf.DUMMYFUNCTION("IFERROR((GOOGLEFINANCE(C104, ""price"") / INDEX(GOOGLEFINANCE(C104, ""price"", TODAY()-7, TODAY()), 2, 2)) - 1, """")"),"")</f>
        <v/>
      </c>
      <c r="M104" s="21" t="str">
        <f>IFERROR(__xludf.DUMMYFUNCTION("IFERROR((GOOGLEFINANCE(C104, ""price"") / INDEX(GOOGLEFINANCE(C104, ""price"", EDATE(TODAY(), -1), TODAY()), 2, 2)) - 1, """")"),"")</f>
        <v/>
      </c>
      <c r="N104" s="21" t="str">
        <f>IFERROR(__xludf.DUMMYFUNCTION("IFERROR((GOOGLEFINANCE(C104, ""price"") / INDEX(GOOGLEFINANCE(C104, ""price"", EDATE(TODAY(), -3), TODAY()), 2, 2)) - 1, """")"),"")</f>
        <v/>
      </c>
      <c r="O104" s="21" t="str">
        <f>IFERROR(__xludf.DUMMYFUNCTION("IFERROR((GOOGLEFINANCE(C104, ""price"") / INDEX(GOOGLEFINANCE(C104, ""price"", EDATE(TODAY(), -6), TODAY()), 2, 2)) - 1, """")"),"")</f>
        <v/>
      </c>
      <c r="P104" s="21" t="str">
        <f>IFERROR(__xludf.DUMMYFUNCTION("IFERROR((GOOGLEFINANCE(C104, ""price"") / INDEX(GOOGLEFINANCE(C104, ""price"", EDATE(TODAY(), -12), TODAY()), 2, 2)) - 1, """")"),"")</f>
        <v/>
      </c>
      <c r="Q104" s="6" t="str">
        <f>IFERROR(__xludf.DUMMYFUNCTION("AVERAGE(QUERY(GOOGLEFINANCE(C104, ""price"", TODAY()-80, TODAY()), ""SELECT Col2 WHERE Col2 IS NOT NULL ORDER BY Col1 DESC LIMIT 50"", 0))"),"#N/A")</f>
        <v>#N/A</v>
      </c>
      <c r="R104" s="24" t="str">
        <f>IFERROR(__xludf.DUMMYFUNCTION("IFERROR(
  LET(
    data, QUERY(GOOGLEFINANCE(C104,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GOOGLEFINANCE(C104, ""price"")) * 100,
    IF(calc=0, G104, calc)
  ), 
G104)"),"#N/A")</f>
        <v>#N/A</v>
      </c>
      <c r="S104" s="8" t="s">
        <v>15</v>
      </c>
      <c r="T104" s="26" t="str">
        <f>IFERROR(__xludf.DUMMYFUNCTION("IFERROR(TRANSPOSE(QUERY(IFERROR(SORT(GOOGLEFINANCE(C104, ""price"", WORKDAY(TODAY(), -40), TODAY()), 1, FALSE)), ""select Col2 where Col2 is not null limit 22 label Col2 ''"", 0)), """")"),"")</f>
        <v/>
      </c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8"/>
      <c r="AO104" s="28"/>
      <c r="AP104" s="29"/>
      <c r="AQ104" s="29" t="str">
        <f t="shared" ref="AQ104:BL104" si="107">T104/T$2</f>
        <v>#N/A</v>
      </c>
      <c r="AR104" s="29" t="str">
        <f t="shared" si="107"/>
        <v>#DIV/0!</v>
      </c>
      <c r="AS104" s="29" t="str">
        <f t="shared" si="107"/>
        <v>#DIV/0!</v>
      </c>
      <c r="AT104" s="29" t="str">
        <f t="shared" si="107"/>
        <v>#DIV/0!</v>
      </c>
      <c r="AU104" s="29" t="str">
        <f t="shared" si="107"/>
        <v>#DIV/0!</v>
      </c>
      <c r="AV104" s="29" t="str">
        <f t="shared" si="107"/>
        <v>#DIV/0!</v>
      </c>
      <c r="AW104" s="29" t="str">
        <f t="shared" si="107"/>
        <v>#DIV/0!</v>
      </c>
      <c r="AX104" s="29" t="str">
        <f t="shared" si="107"/>
        <v>#DIV/0!</v>
      </c>
      <c r="AY104" s="29" t="str">
        <f t="shared" si="107"/>
        <v>#DIV/0!</v>
      </c>
      <c r="AZ104" s="29" t="str">
        <f t="shared" si="107"/>
        <v>#DIV/0!</v>
      </c>
      <c r="BA104" s="29" t="str">
        <f t="shared" si="107"/>
        <v>#DIV/0!</v>
      </c>
      <c r="BB104" s="29" t="str">
        <f t="shared" si="107"/>
        <v>#DIV/0!</v>
      </c>
      <c r="BC104" s="29" t="str">
        <f t="shared" si="107"/>
        <v>#DIV/0!</v>
      </c>
      <c r="BD104" s="29" t="str">
        <f t="shared" si="107"/>
        <v>#DIV/0!</v>
      </c>
      <c r="BE104" s="29" t="str">
        <f t="shared" si="107"/>
        <v>#DIV/0!</v>
      </c>
      <c r="BF104" s="29" t="str">
        <f t="shared" si="107"/>
        <v>#DIV/0!</v>
      </c>
      <c r="BG104" s="29" t="str">
        <f t="shared" si="107"/>
        <v>#DIV/0!</v>
      </c>
      <c r="BH104" s="29" t="str">
        <f t="shared" si="107"/>
        <v>#DIV/0!</v>
      </c>
      <c r="BI104" s="29" t="str">
        <f t="shared" si="107"/>
        <v>#DIV/0!</v>
      </c>
      <c r="BJ104" s="29" t="str">
        <f t="shared" si="107"/>
        <v>#DIV/0!</v>
      </c>
      <c r="BK104" s="29" t="str">
        <f t="shared" si="107"/>
        <v>#DIV/0!</v>
      </c>
      <c r="BL104" s="29" t="str">
        <f t="shared" si="107"/>
        <v>#DIV/0!</v>
      </c>
      <c r="BM104" s="29" t="str">
        <f t="shared" si="3"/>
        <v>#DIV/0!</v>
      </c>
    </row>
    <row r="105">
      <c r="A105" s="16" t="str">
        <f>IFERROR(__xludf.DUMMYFUNCTION("IFERROR(SPARKLINE(SORT(MAP(TRANSPOSE(AQ105:BL105), LAMBDA(val, IF(ISNUMBER(val), PERCENTRANK(AQ105:BL105, val)+0.01, 0))), SEQUENCE(COLUMNS(AQ105:BL105)), FALSE), {""charttype"",""column""; ""color"",""chartreuse""; ""ymin"", 0; ""ymax"", 1.01; ""highcolo"&amp;"r"", ""darkgreen""; ""lowcolor"", ""red""}), """")"),"")</f>
        <v/>
      </c>
      <c r="B105" s="17" t="str">
        <f t="shared" si="4"/>
        <v/>
      </c>
      <c r="C105" s="1" t="s">
        <v>1856</v>
      </c>
      <c r="D105" s="30" t="str">
        <f>IFERROR(__xludf.DUMMYFUNCTION("IFERROR(GOOGLEFINANCE(C105, ""NAME""))"),"Weave Communications Inc")</f>
        <v>Weave Communications Inc</v>
      </c>
      <c r="E105" s="30" t="s">
        <v>1532</v>
      </c>
      <c r="F105" s="33" t="str">
        <f>IFERROR(__xludf.DUMMYFUNCTION("( (GOOGLEFINANCE(C105, ""price"") - Q105) / Q105 ) / (R105 / 100)"),"Loading...")</f>
        <v>Loading...</v>
      </c>
      <c r="G105" s="20" t="str">
        <f>IFERROR(__xludf.DUMMYFUNCTION("AVERAGE(ARRAYFORMULA(100 * (QUERY(GOOGLEFINANCE(C105, ""high"", TODAY()-40, TODAY()), ""SELECT Col2 WHERE Col2 IS NOT NULL ORDER BY Col1 DESC LIMIT 20"", 0) / QUERY(GOOGLEFINANCE(C105, ""low"", TODAY()-40, TODAY()), ""SELECT Col2 WHERE Col2 IS NOT NULL OR"&amp;"DER BY Col1 DESC LIMIT 20"", 0) - 1)))"),"#N/A")</f>
        <v>#N/A</v>
      </c>
      <c r="H105" s="35" t="str">
        <f t="shared" si="6"/>
        <v/>
      </c>
      <c r="I105" s="36" t="str">
        <f t="shared" si="7"/>
        <v/>
      </c>
      <c r="J105" s="37" t="str">
        <f>IFERROR(__xludf.DUMMYFUNCTION("IFERROR(
  IF(C105="""",, 
    IFERROR(
      GOOGLEFINANCE(C105, ""price"") * GOOGLEFINANCE(C105, ""volumeavg""), 
      GOOGLEFINANCE(C105, ""price"") * AVERAGE(QUERY(GOOGLEFINANCE(C105, ""volume"", TODAY()-40, TODAY()), ""SELECT Col2 WHERE Col2 IS NOT "&amp;"NULL ORDER BY Col1 DESC LIMIT 20"", 0))
    )
  ), 
"""")"),"")</f>
        <v/>
      </c>
      <c r="K105" s="21" t="str">
        <f>IFERROR(__xludf.DUMMYFUNCTION("IFERROR(GOOGLEFINANCE(C105, ""changepct"") / 100, """")"),"")</f>
        <v/>
      </c>
      <c r="L105" s="21" t="str">
        <f>IFERROR(__xludf.DUMMYFUNCTION("IFERROR((GOOGLEFINANCE(C105, ""price"") / INDEX(GOOGLEFINANCE(C105, ""price"", TODAY()-7, TODAY()), 2, 2)) - 1, """")"),"")</f>
        <v/>
      </c>
      <c r="M105" s="21" t="str">
        <f>IFERROR(__xludf.DUMMYFUNCTION("IFERROR((GOOGLEFINANCE(C105, ""price"") / INDEX(GOOGLEFINANCE(C105, ""price"", EDATE(TODAY(), -1), TODAY()), 2, 2)) - 1, """")"),"")</f>
        <v/>
      </c>
      <c r="N105" s="21" t="str">
        <f>IFERROR(__xludf.DUMMYFUNCTION("IFERROR((GOOGLEFINANCE(C105, ""price"") / INDEX(GOOGLEFINANCE(C105, ""price"", EDATE(TODAY(), -3), TODAY()), 2, 2)) - 1, """")"),"")</f>
        <v/>
      </c>
      <c r="O105" s="21" t="str">
        <f>IFERROR(__xludf.DUMMYFUNCTION("IFERROR((GOOGLEFINANCE(C105, ""price"") / INDEX(GOOGLEFINANCE(C105, ""price"", EDATE(TODAY(), -6), TODAY()), 2, 2)) - 1, """")"),"")</f>
        <v/>
      </c>
      <c r="P105" s="21" t="str">
        <f>IFERROR(__xludf.DUMMYFUNCTION("IFERROR((GOOGLEFINANCE(C105, ""price"") / INDEX(GOOGLEFINANCE(C105, ""price"", EDATE(TODAY(), -12), TODAY()), 2, 2)) - 1, """")"),"")</f>
        <v/>
      </c>
      <c r="Q105" s="6" t="str">
        <f>IFERROR(__xludf.DUMMYFUNCTION("AVERAGE(QUERY(GOOGLEFINANCE(C105, ""price"", TODAY()-80, TODAY()), ""SELECT Col2 WHERE Col2 IS NOT NULL ORDER BY Col1 DESC LIMIT 50"", 0))"),"#N/A")</f>
        <v>#N/A</v>
      </c>
      <c r="R105" s="24" t="str">
        <f>IFERROR(__xludf.DUMMYFUNCTION("IFERROR(
  LET(
    data, QUERY(GOOGLEFINANCE(C105,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GOOGLEFINANCE(C105, ""price"")) * 100,
    IF(calc=0, G105, calc)
  ), 
G105)"),"#N/A")</f>
        <v>#N/A</v>
      </c>
      <c r="S105" s="8" t="s">
        <v>15</v>
      </c>
      <c r="T105" s="26" t="str">
        <f>IFERROR(__xludf.DUMMYFUNCTION("IFERROR(TRANSPOSE(QUERY(IFERROR(SORT(GOOGLEFINANCE(C105, ""price"", WORKDAY(TODAY(), -40), TODAY()), 1, FALSE)), ""select Col2 where Col2 is not null limit 22 label Col2 ''"", 0)), """")"),"")</f>
        <v/>
      </c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8"/>
      <c r="AO105" s="28"/>
      <c r="AP105" s="29"/>
      <c r="AQ105" s="29" t="str">
        <f t="shared" ref="AQ105:BL105" si="108">T105/T$2</f>
        <v>#N/A</v>
      </c>
      <c r="AR105" s="29" t="str">
        <f t="shared" si="108"/>
        <v>#DIV/0!</v>
      </c>
      <c r="AS105" s="29" t="str">
        <f t="shared" si="108"/>
        <v>#DIV/0!</v>
      </c>
      <c r="AT105" s="29" t="str">
        <f t="shared" si="108"/>
        <v>#DIV/0!</v>
      </c>
      <c r="AU105" s="29" t="str">
        <f t="shared" si="108"/>
        <v>#DIV/0!</v>
      </c>
      <c r="AV105" s="29" t="str">
        <f t="shared" si="108"/>
        <v>#DIV/0!</v>
      </c>
      <c r="AW105" s="29" t="str">
        <f t="shared" si="108"/>
        <v>#DIV/0!</v>
      </c>
      <c r="AX105" s="29" t="str">
        <f t="shared" si="108"/>
        <v>#DIV/0!</v>
      </c>
      <c r="AY105" s="29" t="str">
        <f t="shared" si="108"/>
        <v>#DIV/0!</v>
      </c>
      <c r="AZ105" s="29" t="str">
        <f t="shared" si="108"/>
        <v>#DIV/0!</v>
      </c>
      <c r="BA105" s="29" t="str">
        <f t="shared" si="108"/>
        <v>#DIV/0!</v>
      </c>
      <c r="BB105" s="29" t="str">
        <f t="shared" si="108"/>
        <v>#DIV/0!</v>
      </c>
      <c r="BC105" s="29" t="str">
        <f t="shared" si="108"/>
        <v>#DIV/0!</v>
      </c>
      <c r="BD105" s="29" t="str">
        <f t="shared" si="108"/>
        <v>#DIV/0!</v>
      </c>
      <c r="BE105" s="29" t="str">
        <f t="shared" si="108"/>
        <v>#DIV/0!</v>
      </c>
      <c r="BF105" s="29" t="str">
        <f t="shared" si="108"/>
        <v>#DIV/0!</v>
      </c>
      <c r="BG105" s="29" t="str">
        <f t="shared" si="108"/>
        <v>#DIV/0!</v>
      </c>
      <c r="BH105" s="29" t="str">
        <f t="shared" si="108"/>
        <v>#DIV/0!</v>
      </c>
      <c r="BI105" s="29" t="str">
        <f t="shared" si="108"/>
        <v>#DIV/0!</v>
      </c>
      <c r="BJ105" s="29" t="str">
        <f t="shared" si="108"/>
        <v>#DIV/0!</v>
      </c>
      <c r="BK105" s="29" t="str">
        <f t="shared" si="108"/>
        <v>#DIV/0!</v>
      </c>
      <c r="BL105" s="29" t="str">
        <f t="shared" si="108"/>
        <v>#DIV/0!</v>
      </c>
      <c r="BM105" s="29" t="str">
        <f t="shared" si="3"/>
        <v>#DIV/0!</v>
      </c>
    </row>
    <row r="106">
      <c r="A106" s="16" t="str">
        <f>IFERROR(__xludf.DUMMYFUNCTION("IFERROR(SPARKLINE(SORT(MAP(TRANSPOSE(AQ106:BL106), LAMBDA(val, IF(ISNUMBER(val), PERCENTRANK(AQ106:BL106, val)+0.01, 0))), SEQUENCE(COLUMNS(AQ106:BL106)), FALSE), {""charttype"",""column""; ""color"",""chartreuse""; ""ymin"", 0; ""ymax"", 1.01; ""highcolo"&amp;"r"", ""darkgreen""; ""lowcolor"", ""red""}), """")"),"")</f>
        <v/>
      </c>
      <c r="B106" s="17" t="str">
        <f t="shared" si="4"/>
        <v/>
      </c>
      <c r="C106" s="1" t="s">
        <v>1860</v>
      </c>
      <c r="D106" s="30" t="str">
        <f>IFERROR(__xludf.DUMMYFUNCTION("IFERROR(GOOGLEFINANCE(C106, ""NAME""))"),"Amarin Corporation PLC")</f>
        <v>Amarin Corporation PLC</v>
      </c>
      <c r="E106" s="30" t="s">
        <v>1509</v>
      </c>
      <c r="F106" s="33" t="str">
        <f>IFERROR(__xludf.DUMMYFUNCTION("( (GOOGLEFINANCE(C106, ""price"") - Q106) / Q106 ) / (R106 / 100)"),"Loading...")</f>
        <v>Loading...</v>
      </c>
      <c r="G106" s="20" t="str">
        <f>IFERROR(__xludf.DUMMYFUNCTION("AVERAGE(ARRAYFORMULA(100 * (QUERY(GOOGLEFINANCE(C106, ""high"", TODAY()-40, TODAY()), ""SELECT Col2 WHERE Col2 IS NOT NULL ORDER BY Col1 DESC LIMIT 20"", 0) / QUERY(GOOGLEFINANCE(C106, ""low"", TODAY()-40, TODAY()), ""SELECT Col2 WHERE Col2 IS NOT NULL OR"&amp;"DER BY Col1 DESC LIMIT 20"", 0) - 1)))"),"#N/A")</f>
        <v>#N/A</v>
      </c>
      <c r="H106" s="35" t="str">
        <f t="shared" si="6"/>
        <v/>
      </c>
      <c r="I106" s="36" t="str">
        <f t="shared" si="7"/>
        <v/>
      </c>
      <c r="J106" s="37" t="str">
        <f>IFERROR(__xludf.DUMMYFUNCTION("IFERROR(
  IF(C106="""",, 
    IFERROR(
      GOOGLEFINANCE(C106, ""price"") * GOOGLEFINANCE(C106, ""volumeavg""), 
      GOOGLEFINANCE(C106, ""price"") * AVERAGE(QUERY(GOOGLEFINANCE(C106, ""volume"", TODAY()-40, TODAY()), ""SELECT Col2 WHERE Col2 IS NOT "&amp;"NULL ORDER BY Col1 DESC LIMIT 20"", 0))
    )
  ), 
"""")"),"")</f>
        <v/>
      </c>
      <c r="K106" s="21" t="str">
        <f>IFERROR(__xludf.DUMMYFUNCTION("IFERROR(GOOGLEFINANCE(C106, ""changepct"") / 100, """")"),"")</f>
        <v/>
      </c>
      <c r="L106" s="21" t="str">
        <f>IFERROR(__xludf.DUMMYFUNCTION("IFERROR((GOOGLEFINANCE(C106, ""price"") / INDEX(GOOGLEFINANCE(C106, ""price"", TODAY()-7, TODAY()), 2, 2)) - 1, """")"),"")</f>
        <v/>
      </c>
      <c r="M106" s="21" t="str">
        <f>IFERROR(__xludf.DUMMYFUNCTION("IFERROR((GOOGLEFINANCE(C106, ""price"") / INDEX(GOOGLEFINANCE(C106, ""price"", EDATE(TODAY(), -1), TODAY()), 2, 2)) - 1, """")"),"")</f>
        <v/>
      </c>
      <c r="N106" s="21" t="str">
        <f>IFERROR(__xludf.DUMMYFUNCTION("IFERROR((GOOGLEFINANCE(C106, ""price"") / INDEX(GOOGLEFINANCE(C106, ""price"", EDATE(TODAY(), -3), TODAY()), 2, 2)) - 1, """")"),"")</f>
        <v/>
      </c>
      <c r="O106" s="21" t="str">
        <f>IFERROR(__xludf.DUMMYFUNCTION("IFERROR((GOOGLEFINANCE(C106, ""price"") / INDEX(GOOGLEFINANCE(C106, ""price"", EDATE(TODAY(), -6), TODAY()), 2, 2)) - 1, """")"),"")</f>
        <v/>
      </c>
      <c r="P106" s="21" t="str">
        <f>IFERROR(__xludf.DUMMYFUNCTION("IFERROR((GOOGLEFINANCE(C106, ""price"") / INDEX(GOOGLEFINANCE(C106, ""price"", EDATE(TODAY(), -12), TODAY()), 2, 2)) - 1, """")"),"")</f>
        <v/>
      </c>
      <c r="Q106" s="6" t="str">
        <f>IFERROR(__xludf.DUMMYFUNCTION("AVERAGE(QUERY(GOOGLEFINANCE(C106, ""price"", TODAY()-80, TODAY()), ""SELECT Col2 WHERE Col2 IS NOT NULL ORDER BY Col1 DESC LIMIT 50"", 0))"),"#N/A")</f>
        <v>#N/A</v>
      </c>
      <c r="R106" s="24" t="str">
        <f>IFERROR(__xludf.DUMMYFUNCTION("IFERROR(
  LET(
    data, QUERY(GOOGLEFINANCE(C106,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GOOGLEFINANCE(C106, ""price"")) * 100,
    IF(calc=0, G106, calc)
  ), 
G106)"),"#N/A")</f>
        <v>#N/A</v>
      </c>
      <c r="S106" s="8" t="s">
        <v>15</v>
      </c>
      <c r="T106" s="26" t="str">
        <f>IFERROR(__xludf.DUMMYFUNCTION("IFERROR(TRANSPOSE(QUERY(IFERROR(SORT(GOOGLEFINANCE(C106, ""price"", WORKDAY(TODAY(), -40), TODAY()), 1, FALSE)), ""select Col2 where Col2 is not null limit 22 label Col2 ''"", 0)), """")"),"")</f>
        <v/>
      </c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8"/>
      <c r="AO106" s="28"/>
      <c r="AP106" s="29"/>
      <c r="AQ106" s="29" t="str">
        <f t="shared" ref="AQ106:BL106" si="109">T106/T$2</f>
        <v>#N/A</v>
      </c>
      <c r="AR106" s="29" t="str">
        <f t="shared" si="109"/>
        <v>#DIV/0!</v>
      </c>
      <c r="AS106" s="29" t="str">
        <f t="shared" si="109"/>
        <v>#DIV/0!</v>
      </c>
      <c r="AT106" s="29" t="str">
        <f t="shared" si="109"/>
        <v>#DIV/0!</v>
      </c>
      <c r="AU106" s="29" t="str">
        <f t="shared" si="109"/>
        <v>#DIV/0!</v>
      </c>
      <c r="AV106" s="29" t="str">
        <f t="shared" si="109"/>
        <v>#DIV/0!</v>
      </c>
      <c r="AW106" s="29" t="str">
        <f t="shared" si="109"/>
        <v>#DIV/0!</v>
      </c>
      <c r="AX106" s="29" t="str">
        <f t="shared" si="109"/>
        <v>#DIV/0!</v>
      </c>
      <c r="AY106" s="29" t="str">
        <f t="shared" si="109"/>
        <v>#DIV/0!</v>
      </c>
      <c r="AZ106" s="29" t="str">
        <f t="shared" si="109"/>
        <v>#DIV/0!</v>
      </c>
      <c r="BA106" s="29" t="str">
        <f t="shared" si="109"/>
        <v>#DIV/0!</v>
      </c>
      <c r="BB106" s="29" t="str">
        <f t="shared" si="109"/>
        <v>#DIV/0!</v>
      </c>
      <c r="BC106" s="29" t="str">
        <f t="shared" si="109"/>
        <v>#DIV/0!</v>
      </c>
      <c r="BD106" s="29" t="str">
        <f t="shared" si="109"/>
        <v>#DIV/0!</v>
      </c>
      <c r="BE106" s="29" t="str">
        <f t="shared" si="109"/>
        <v>#DIV/0!</v>
      </c>
      <c r="BF106" s="29" t="str">
        <f t="shared" si="109"/>
        <v>#DIV/0!</v>
      </c>
      <c r="BG106" s="29" t="str">
        <f t="shared" si="109"/>
        <v>#DIV/0!</v>
      </c>
      <c r="BH106" s="29" t="str">
        <f t="shared" si="109"/>
        <v>#DIV/0!</v>
      </c>
      <c r="BI106" s="29" t="str">
        <f t="shared" si="109"/>
        <v>#DIV/0!</v>
      </c>
      <c r="BJ106" s="29" t="str">
        <f t="shared" si="109"/>
        <v>#DIV/0!</v>
      </c>
      <c r="BK106" s="29" t="str">
        <f t="shared" si="109"/>
        <v>#DIV/0!</v>
      </c>
      <c r="BL106" s="29" t="str">
        <f t="shared" si="109"/>
        <v>#DIV/0!</v>
      </c>
      <c r="BM106" s="29" t="str">
        <f t="shared" si="3"/>
        <v>#DIV/0!</v>
      </c>
    </row>
    <row r="107">
      <c r="A107" s="16" t="str">
        <f>IFERROR(__xludf.DUMMYFUNCTION("IFERROR(SPARKLINE(SORT(MAP(TRANSPOSE(AQ107:BL107), LAMBDA(val, IF(ISNUMBER(val), PERCENTRANK(AQ107:BL107, val)+0.01, 0))), SEQUENCE(COLUMNS(AQ107:BL107)), FALSE), {""charttype"",""column""; ""color"",""chartreuse""; ""ymin"", 0; ""ymax"", 1.01; ""highcolo"&amp;"r"", ""darkgreen""; ""lowcolor"", ""red""}), """")"),"")</f>
        <v/>
      </c>
      <c r="B107" s="17" t="str">
        <f t="shared" si="4"/>
        <v/>
      </c>
      <c r="C107" s="1" t="s">
        <v>1864</v>
      </c>
      <c r="D107" s="30" t="str">
        <f>IFERROR(__xludf.DUMMYFUNCTION("IFERROR(GOOGLEFINANCE(C107, ""NAME""))"),"Fulgent Genetics Inc")</f>
        <v>Fulgent Genetics Inc</v>
      </c>
      <c r="E107" s="30" t="s">
        <v>1499</v>
      </c>
      <c r="F107" s="33" t="str">
        <f>IFERROR(__xludf.DUMMYFUNCTION("( (GOOGLEFINANCE(C107, ""price"") - Q107) / Q107 ) / (R107 / 100)"),"Loading...")</f>
        <v>Loading...</v>
      </c>
      <c r="G107" s="20" t="str">
        <f>IFERROR(__xludf.DUMMYFUNCTION("AVERAGE(ARRAYFORMULA(100 * (QUERY(GOOGLEFINANCE(C107, ""high"", TODAY()-40, TODAY()), ""SELECT Col2 WHERE Col2 IS NOT NULL ORDER BY Col1 DESC LIMIT 20"", 0) / QUERY(GOOGLEFINANCE(C107, ""low"", TODAY()-40, TODAY()), ""SELECT Col2 WHERE Col2 IS NOT NULL OR"&amp;"DER BY Col1 DESC LIMIT 20"", 0) - 1)))"),"#N/A")</f>
        <v>#N/A</v>
      </c>
      <c r="H107" s="35" t="str">
        <f t="shared" si="6"/>
        <v/>
      </c>
      <c r="I107" s="36" t="str">
        <f t="shared" si="7"/>
        <v/>
      </c>
      <c r="J107" s="37" t="str">
        <f>IFERROR(__xludf.DUMMYFUNCTION("IFERROR(
  IF(C107="""",, 
    IFERROR(
      GOOGLEFINANCE(C107, ""price"") * GOOGLEFINANCE(C107, ""volumeavg""), 
      GOOGLEFINANCE(C107, ""price"") * AVERAGE(QUERY(GOOGLEFINANCE(C107, ""volume"", TODAY()-40, TODAY()), ""SELECT Col2 WHERE Col2 IS NOT "&amp;"NULL ORDER BY Col1 DESC LIMIT 20"", 0))
    )
  ), 
"""")"),"")</f>
        <v/>
      </c>
      <c r="K107" s="21" t="str">
        <f>IFERROR(__xludf.DUMMYFUNCTION("IFERROR(GOOGLEFINANCE(C107, ""changepct"") / 100, """")"),"")</f>
        <v/>
      </c>
      <c r="L107" s="21" t="str">
        <f>IFERROR(__xludf.DUMMYFUNCTION("IFERROR((GOOGLEFINANCE(C107, ""price"") / INDEX(GOOGLEFINANCE(C107, ""price"", TODAY()-7, TODAY()), 2, 2)) - 1, """")"),"")</f>
        <v/>
      </c>
      <c r="M107" s="21" t="str">
        <f>IFERROR(__xludf.DUMMYFUNCTION("IFERROR((GOOGLEFINANCE(C107, ""price"") / INDEX(GOOGLEFINANCE(C107, ""price"", EDATE(TODAY(), -1), TODAY()), 2, 2)) - 1, """")"),"")</f>
        <v/>
      </c>
      <c r="N107" s="21" t="str">
        <f>IFERROR(__xludf.DUMMYFUNCTION("IFERROR((GOOGLEFINANCE(C107, ""price"") / INDEX(GOOGLEFINANCE(C107, ""price"", EDATE(TODAY(), -3), TODAY()), 2, 2)) - 1, """")"),"")</f>
        <v/>
      </c>
      <c r="O107" s="21" t="str">
        <f>IFERROR(__xludf.DUMMYFUNCTION("IFERROR((GOOGLEFINANCE(C107, ""price"") / INDEX(GOOGLEFINANCE(C107, ""price"", EDATE(TODAY(), -6), TODAY()), 2, 2)) - 1, """")"),"")</f>
        <v/>
      </c>
      <c r="P107" s="21" t="str">
        <f>IFERROR(__xludf.DUMMYFUNCTION("IFERROR((GOOGLEFINANCE(C107, ""price"") / INDEX(GOOGLEFINANCE(C107, ""price"", EDATE(TODAY(), -12), TODAY()), 2, 2)) - 1, """")"),"")</f>
        <v/>
      </c>
      <c r="Q107" s="6" t="str">
        <f>IFERROR(__xludf.DUMMYFUNCTION("AVERAGE(QUERY(GOOGLEFINANCE(C107, ""price"", TODAY()-80, TODAY()), ""SELECT Col2 WHERE Col2 IS NOT NULL ORDER BY Col1 DESC LIMIT 50"", 0))"),"#N/A")</f>
        <v>#N/A</v>
      </c>
      <c r="R107" s="24" t="str">
        <f>IFERROR(__xludf.DUMMYFUNCTION("IFERROR(
  LET(
    data, QUERY(GOOGLEFINANCE(C107,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GOOGLEFINANCE(C107, ""price"")) * 100,
    IF(calc=0, G107, calc)
  ), 
G107)"),"#N/A")</f>
        <v>#N/A</v>
      </c>
      <c r="S107" s="8" t="s">
        <v>15</v>
      </c>
      <c r="T107" s="26" t="str">
        <f>IFERROR(__xludf.DUMMYFUNCTION("IFERROR(TRANSPOSE(QUERY(IFERROR(SORT(GOOGLEFINANCE(C107, ""price"", WORKDAY(TODAY(), -40), TODAY()), 1, FALSE)), ""select Col2 where Col2 is not null limit 22 label Col2 ''"", 0)), """")"),"")</f>
        <v/>
      </c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8"/>
      <c r="AO107" s="28"/>
      <c r="AP107" s="29"/>
      <c r="AQ107" s="29" t="str">
        <f t="shared" ref="AQ107:BL107" si="110">T107/T$2</f>
        <v>#N/A</v>
      </c>
      <c r="AR107" s="29" t="str">
        <f t="shared" si="110"/>
        <v>#DIV/0!</v>
      </c>
      <c r="AS107" s="29" t="str">
        <f t="shared" si="110"/>
        <v>#DIV/0!</v>
      </c>
      <c r="AT107" s="29" t="str">
        <f t="shared" si="110"/>
        <v>#DIV/0!</v>
      </c>
      <c r="AU107" s="29" t="str">
        <f t="shared" si="110"/>
        <v>#DIV/0!</v>
      </c>
      <c r="AV107" s="29" t="str">
        <f t="shared" si="110"/>
        <v>#DIV/0!</v>
      </c>
      <c r="AW107" s="29" t="str">
        <f t="shared" si="110"/>
        <v>#DIV/0!</v>
      </c>
      <c r="AX107" s="29" t="str">
        <f t="shared" si="110"/>
        <v>#DIV/0!</v>
      </c>
      <c r="AY107" s="29" t="str">
        <f t="shared" si="110"/>
        <v>#DIV/0!</v>
      </c>
      <c r="AZ107" s="29" t="str">
        <f t="shared" si="110"/>
        <v>#DIV/0!</v>
      </c>
      <c r="BA107" s="29" t="str">
        <f t="shared" si="110"/>
        <v>#DIV/0!</v>
      </c>
      <c r="BB107" s="29" t="str">
        <f t="shared" si="110"/>
        <v>#DIV/0!</v>
      </c>
      <c r="BC107" s="29" t="str">
        <f t="shared" si="110"/>
        <v>#DIV/0!</v>
      </c>
      <c r="BD107" s="29" t="str">
        <f t="shared" si="110"/>
        <v>#DIV/0!</v>
      </c>
      <c r="BE107" s="29" t="str">
        <f t="shared" si="110"/>
        <v>#DIV/0!</v>
      </c>
      <c r="BF107" s="29" t="str">
        <f t="shared" si="110"/>
        <v>#DIV/0!</v>
      </c>
      <c r="BG107" s="29" t="str">
        <f t="shared" si="110"/>
        <v>#DIV/0!</v>
      </c>
      <c r="BH107" s="29" t="str">
        <f t="shared" si="110"/>
        <v>#DIV/0!</v>
      </c>
      <c r="BI107" s="29" t="str">
        <f t="shared" si="110"/>
        <v>#DIV/0!</v>
      </c>
      <c r="BJ107" s="29" t="str">
        <f t="shared" si="110"/>
        <v>#DIV/0!</v>
      </c>
      <c r="BK107" s="29" t="str">
        <f t="shared" si="110"/>
        <v>#DIV/0!</v>
      </c>
      <c r="BL107" s="29" t="str">
        <f t="shared" si="110"/>
        <v>#DIV/0!</v>
      </c>
      <c r="BM107" s="29" t="str">
        <f t="shared" si="3"/>
        <v>#DIV/0!</v>
      </c>
    </row>
    <row r="108">
      <c r="A108" s="16" t="str">
        <f>IFERROR(__xludf.DUMMYFUNCTION("IFERROR(SPARKLINE(SORT(MAP(TRANSPOSE(AQ108:BL108), LAMBDA(val, IF(ISNUMBER(val), PERCENTRANK(AQ108:BL108, val)+0.01, 0))), SEQUENCE(COLUMNS(AQ108:BL108)), FALSE), {""charttype"",""column""; ""color"",""chartreuse""; ""ymin"", 0; ""ymax"", 1.01; ""highcolo"&amp;"r"", ""darkgreen""; ""lowcolor"", ""red""}), """")"),"")</f>
        <v/>
      </c>
      <c r="B108" s="17" t="str">
        <f t="shared" si="4"/>
        <v/>
      </c>
      <c r="C108" s="1" t="s">
        <v>1869</v>
      </c>
      <c r="D108" s="30" t="str">
        <f>IFERROR(__xludf.DUMMYFUNCTION("IFERROR(GOOGLEFINANCE(C108, ""NAME""))"),"Carlsmed Inc")</f>
        <v>Carlsmed Inc</v>
      </c>
      <c r="E108" s="30" t="s">
        <v>1532</v>
      </c>
      <c r="F108" s="33" t="str">
        <f>IFERROR(__xludf.DUMMYFUNCTION("( (GOOGLEFINANCE(C108, ""price"") - Q108) / Q108 ) / (R108 / 100)"),"Loading...")</f>
        <v>Loading...</v>
      </c>
      <c r="G108" s="20" t="str">
        <f>IFERROR(__xludf.DUMMYFUNCTION("AVERAGE(ARRAYFORMULA(100 * (QUERY(GOOGLEFINANCE(C108, ""high"", TODAY()-40, TODAY()), ""SELECT Col2 WHERE Col2 IS NOT NULL ORDER BY Col1 DESC LIMIT 20"", 0) / QUERY(GOOGLEFINANCE(C108, ""low"", TODAY()-40, TODAY()), ""SELECT Col2 WHERE Col2 IS NOT NULL OR"&amp;"DER BY Col1 DESC LIMIT 20"", 0) - 1)))"),"#N/A")</f>
        <v>#N/A</v>
      </c>
      <c r="H108" s="35" t="str">
        <f t="shared" si="6"/>
        <v/>
      </c>
      <c r="I108" s="36" t="str">
        <f t="shared" si="7"/>
        <v/>
      </c>
      <c r="J108" s="37" t="str">
        <f>IFERROR(__xludf.DUMMYFUNCTION("IFERROR(
  IF(C108="""",, 
    IFERROR(
      GOOGLEFINANCE(C108, ""price"") * GOOGLEFINANCE(C108, ""volumeavg""), 
      GOOGLEFINANCE(C108, ""price"") * AVERAGE(QUERY(GOOGLEFINANCE(C108, ""volume"", TODAY()-40, TODAY()), ""SELECT Col2 WHERE Col2 IS NOT "&amp;"NULL ORDER BY Col1 DESC LIMIT 20"", 0))
    )
  ), 
"""")"),"")</f>
        <v/>
      </c>
      <c r="K108" s="21" t="str">
        <f>IFERROR(__xludf.DUMMYFUNCTION("IFERROR(GOOGLEFINANCE(C108, ""changepct"") / 100, """")"),"")</f>
        <v/>
      </c>
      <c r="L108" s="21" t="str">
        <f>IFERROR(__xludf.DUMMYFUNCTION("IFERROR((GOOGLEFINANCE(C108, ""price"") / INDEX(GOOGLEFINANCE(C108, ""price"", TODAY()-7, TODAY()), 2, 2)) - 1, """")"),"")</f>
        <v/>
      </c>
      <c r="M108" s="21" t="str">
        <f>IFERROR(__xludf.DUMMYFUNCTION("IFERROR((GOOGLEFINANCE(C108, ""price"") / INDEX(GOOGLEFINANCE(C108, ""price"", EDATE(TODAY(), -1), TODAY()), 2, 2)) - 1, """")"),"")</f>
        <v/>
      </c>
      <c r="N108" s="21" t="str">
        <f>IFERROR(__xludf.DUMMYFUNCTION("IFERROR((GOOGLEFINANCE(C108, ""price"") / INDEX(GOOGLEFINANCE(C108, ""price"", EDATE(TODAY(), -3), TODAY()), 2, 2)) - 1, """")"),"")</f>
        <v/>
      </c>
      <c r="O108" s="21" t="str">
        <f>IFERROR(__xludf.DUMMYFUNCTION("IFERROR((GOOGLEFINANCE(C108, ""price"") / INDEX(GOOGLEFINANCE(C108, ""price"", EDATE(TODAY(), -6), TODAY()), 2, 2)) - 1, """")"),"")</f>
        <v/>
      </c>
      <c r="P108" s="21" t="str">
        <f>IFERROR(__xludf.DUMMYFUNCTION("IFERROR((GOOGLEFINANCE(C108, ""price"") / INDEX(GOOGLEFINANCE(C108, ""price"", EDATE(TODAY(), -12), TODAY()), 2, 2)) - 1, """")"),"")</f>
        <v/>
      </c>
      <c r="Q108" s="6" t="str">
        <f>IFERROR(__xludf.DUMMYFUNCTION("AVERAGE(QUERY(GOOGLEFINANCE(C108, ""price"", TODAY()-80, TODAY()), ""SELECT Col2 WHERE Col2 IS NOT NULL ORDER BY Col1 DESC LIMIT 50"", 0))"),"#N/A")</f>
        <v>#N/A</v>
      </c>
      <c r="R108" s="24" t="str">
        <f>IFERROR(__xludf.DUMMYFUNCTION("IFERROR(
  LET(
    data, QUERY(GOOGLEFINANCE(C108,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GOOGLEFINANCE(C108, ""price"")) * 100,
    IF(calc=0, G108, calc)
  ), 
G108)"),"#N/A")</f>
        <v>#N/A</v>
      </c>
      <c r="S108" s="8" t="s">
        <v>15</v>
      </c>
      <c r="T108" s="26" t="str">
        <f>IFERROR(__xludf.DUMMYFUNCTION("IFERROR(TRANSPOSE(QUERY(IFERROR(SORT(GOOGLEFINANCE(C108, ""price"", WORKDAY(TODAY(), -40), TODAY()), 1, FALSE)), ""select Col2 where Col2 is not null limit 22 label Col2 ''"", 0)), """")"),"")</f>
        <v/>
      </c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8"/>
      <c r="AO108" s="28"/>
      <c r="AP108" s="29"/>
      <c r="AQ108" s="29" t="str">
        <f t="shared" ref="AQ108:BL108" si="111">T108/T$2</f>
        <v>#N/A</v>
      </c>
      <c r="AR108" s="29" t="str">
        <f t="shared" si="111"/>
        <v>#DIV/0!</v>
      </c>
      <c r="AS108" s="29" t="str">
        <f t="shared" si="111"/>
        <v>#DIV/0!</v>
      </c>
      <c r="AT108" s="29" t="str">
        <f t="shared" si="111"/>
        <v>#DIV/0!</v>
      </c>
      <c r="AU108" s="29" t="str">
        <f t="shared" si="111"/>
        <v>#DIV/0!</v>
      </c>
      <c r="AV108" s="29" t="str">
        <f t="shared" si="111"/>
        <v>#DIV/0!</v>
      </c>
      <c r="AW108" s="29" t="str">
        <f t="shared" si="111"/>
        <v>#DIV/0!</v>
      </c>
      <c r="AX108" s="29" t="str">
        <f t="shared" si="111"/>
        <v>#DIV/0!</v>
      </c>
      <c r="AY108" s="29" t="str">
        <f t="shared" si="111"/>
        <v>#DIV/0!</v>
      </c>
      <c r="AZ108" s="29" t="str">
        <f t="shared" si="111"/>
        <v>#DIV/0!</v>
      </c>
      <c r="BA108" s="29" t="str">
        <f t="shared" si="111"/>
        <v>#DIV/0!</v>
      </c>
      <c r="BB108" s="29" t="str">
        <f t="shared" si="111"/>
        <v>#DIV/0!</v>
      </c>
      <c r="BC108" s="29" t="str">
        <f t="shared" si="111"/>
        <v>#DIV/0!</v>
      </c>
      <c r="BD108" s="29" t="str">
        <f t="shared" si="111"/>
        <v>#DIV/0!</v>
      </c>
      <c r="BE108" s="29" t="str">
        <f t="shared" si="111"/>
        <v>#DIV/0!</v>
      </c>
      <c r="BF108" s="29" t="str">
        <f t="shared" si="111"/>
        <v>#DIV/0!</v>
      </c>
      <c r="BG108" s="29" t="str">
        <f t="shared" si="111"/>
        <v>#DIV/0!</v>
      </c>
      <c r="BH108" s="29" t="str">
        <f t="shared" si="111"/>
        <v>#DIV/0!</v>
      </c>
      <c r="BI108" s="29" t="str">
        <f t="shared" si="111"/>
        <v>#DIV/0!</v>
      </c>
      <c r="BJ108" s="29" t="str">
        <f t="shared" si="111"/>
        <v>#DIV/0!</v>
      </c>
      <c r="BK108" s="29" t="str">
        <f t="shared" si="111"/>
        <v>#DIV/0!</v>
      </c>
      <c r="BL108" s="29" t="str">
        <f t="shared" si="111"/>
        <v>#DIV/0!</v>
      </c>
      <c r="BM108" s="29" t="str">
        <f t="shared" si="3"/>
        <v>#DIV/0!</v>
      </c>
    </row>
    <row r="109">
      <c r="A109" s="16" t="str">
        <f>IFERROR(__xludf.DUMMYFUNCTION("IFERROR(SPARKLINE(SORT(MAP(TRANSPOSE(AQ109:BL109), LAMBDA(val, IF(ISNUMBER(val), PERCENTRANK(AQ109:BL109, val)+0.01, 0))), SEQUENCE(COLUMNS(AQ109:BL109)), FALSE), {""charttype"",""column""; ""color"",""chartreuse""; ""ymin"", 0; ""ymax"", 1.01; ""highcolo"&amp;"r"", ""darkgreen""; ""lowcolor"", ""red""}), """")"),"")</f>
        <v/>
      </c>
      <c r="B109" s="17" t="str">
        <f t="shared" si="4"/>
        <v/>
      </c>
      <c r="C109" s="1" t="s">
        <v>1873</v>
      </c>
      <c r="D109" s="30" t="str">
        <f>IFERROR(__xludf.DUMMYFUNCTION("IFERROR(GOOGLEFINANCE(C109, ""NAME""))"),"Shoulder Innovations Inc")</f>
        <v>Shoulder Innovations Inc</v>
      </c>
      <c r="E109" s="30" t="s">
        <v>1491</v>
      </c>
      <c r="F109" s="33" t="str">
        <f>IFERROR(__xludf.DUMMYFUNCTION("( (GOOGLEFINANCE(C109, ""price"") - Q109) / Q109 ) / (R109 / 100)"),"Loading...")</f>
        <v>Loading...</v>
      </c>
      <c r="G109" s="20" t="str">
        <f>IFERROR(__xludf.DUMMYFUNCTION("AVERAGE(ARRAYFORMULA(100 * (QUERY(GOOGLEFINANCE(C109, ""high"", TODAY()-40, TODAY()), ""SELECT Col2 WHERE Col2 IS NOT NULL ORDER BY Col1 DESC LIMIT 20"", 0) / QUERY(GOOGLEFINANCE(C109, ""low"", TODAY()-40, TODAY()), ""SELECT Col2 WHERE Col2 IS NOT NULL OR"&amp;"DER BY Col1 DESC LIMIT 20"", 0) - 1)))"),"#N/A")</f>
        <v>#N/A</v>
      </c>
      <c r="H109" s="35" t="str">
        <f t="shared" si="6"/>
        <v/>
      </c>
      <c r="I109" s="36" t="str">
        <f t="shared" si="7"/>
        <v/>
      </c>
      <c r="J109" s="37" t="str">
        <f>IFERROR(__xludf.DUMMYFUNCTION("IFERROR(
  IF(C109="""",, 
    IFERROR(
      GOOGLEFINANCE(C109, ""price"") * GOOGLEFINANCE(C109, ""volumeavg""), 
      GOOGLEFINANCE(C109, ""price"") * AVERAGE(QUERY(GOOGLEFINANCE(C109, ""volume"", TODAY()-40, TODAY()), ""SELECT Col2 WHERE Col2 IS NOT "&amp;"NULL ORDER BY Col1 DESC LIMIT 20"", 0))
    )
  ), 
"""")"),"")</f>
        <v/>
      </c>
      <c r="K109" s="21" t="str">
        <f>IFERROR(__xludf.DUMMYFUNCTION("IFERROR(GOOGLEFINANCE(C109, ""changepct"") / 100, """")"),"")</f>
        <v/>
      </c>
      <c r="L109" s="21" t="str">
        <f>IFERROR(__xludf.DUMMYFUNCTION("IFERROR((GOOGLEFINANCE(C109, ""price"") / INDEX(GOOGLEFINANCE(C109, ""price"", TODAY()-7, TODAY()), 2, 2)) - 1, """")"),"")</f>
        <v/>
      </c>
      <c r="M109" s="21" t="str">
        <f>IFERROR(__xludf.DUMMYFUNCTION("IFERROR((GOOGLEFINANCE(C109, ""price"") / INDEX(GOOGLEFINANCE(C109, ""price"", EDATE(TODAY(), -1), TODAY()), 2, 2)) - 1, """")"),"")</f>
        <v/>
      </c>
      <c r="N109" s="21" t="str">
        <f>IFERROR(__xludf.DUMMYFUNCTION("IFERROR((GOOGLEFINANCE(C109, ""price"") / INDEX(GOOGLEFINANCE(C109, ""price"", EDATE(TODAY(), -3), TODAY()), 2, 2)) - 1, """")"),"")</f>
        <v/>
      </c>
      <c r="O109" s="21" t="str">
        <f>IFERROR(__xludf.DUMMYFUNCTION("IFERROR((GOOGLEFINANCE(C109, ""price"") / INDEX(GOOGLEFINANCE(C109, ""price"", EDATE(TODAY(), -6), TODAY()), 2, 2)) - 1, """")"),"")</f>
        <v/>
      </c>
      <c r="P109" s="21" t="str">
        <f>IFERROR(__xludf.DUMMYFUNCTION("IFERROR((GOOGLEFINANCE(C109, ""price"") / INDEX(GOOGLEFINANCE(C109, ""price"", EDATE(TODAY(), -12), TODAY()), 2, 2)) - 1, """")"),"")</f>
        <v/>
      </c>
      <c r="Q109" s="6" t="str">
        <f>IFERROR(__xludf.DUMMYFUNCTION("AVERAGE(QUERY(GOOGLEFINANCE(C109, ""price"", TODAY()-80, TODAY()), ""SELECT Col2 WHERE Col2 IS NOT NULL ORDER BY Col1 DESC LIMIT 50"", 0))"),"#N/A")</f>
        <v>#N/A</v>
      </c>
      <c r="R109" s="24" t="str">
        <f>IFERROR(__xludf.DUMMYFUNCTION("IFERROR(
  LET(
    data, QUERY(GOOGLEFINANCE(C109,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GOOGLEFINANCE(C109, ""price"")) * 100,
    IF(calc=0, G109, calc)
  ), 
G109)"),"#N/A")</f>
        <v>#N/A</v>
      </c>
      <c r="S109" s="8" t="s">
        <v>15</v>
      </c>
      <c r="T109" s="26" t="str">
        <f>IFERROR(__xludf.DUMMYFUNCTION("IFERROR(TRANSPOSE(QUERY(IFERROR(SORT(GOOGLEFINANCE(C109, ""price"", WORKDAY(TODAY(), -40), TODAY()), 1, FALSE)), ""select Col2 where Col2 is not null limit 22 label Col2 ''"", 0)), """")"),"")</f>
        <v/>
      </c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8"/>
      <c r="AO109" s="28"/>
      <c r="AP109" s="29"/>
      <c r="AQ109" s="29" t="str">
        <f t="shared" ref="AQ109:BL109" si="112">T109/T$2</f>
        <v>#N/A</v>
      </c>
      <c r="AR109" s="29" t="str">
        <f t="shared" si="112"/>
        <v>#DIV/0!</v>
      </c>
      <c r="AS109" s="29" t="str">
        <f t="shared" si="112"/>
        <v>#DIV/0!</v>
      </c>
      <c r="AT109" s="29" t="str">
        <f t="shared" si="112"/>
        <v>#DIV/0!</v>
      </c>
      <c r="AU109" s="29" t="str">
        <f t="shared" si="112"/>
        <v>#DIV/0!</v>
      </c>
      <c r="AV109" s="29" t="str">
        <f t="shared" si="112"/>
        <v>#DIV/0!</v>
      </c>
      <c r="AW109" s="29" t="str">
        <f t="shared" si="112"/>
        <v>#DIV/0!</v>
      </c>
      <c r="AX109" s="29" t="str">
        <f t="shared" si="112"/>
        <v>#DIV/0!</v>
      </c>
      <c r="AY109" s="29" t="str">
        <f t="shared" si="112"/>
        <v>#DIV/0!</v>
      </c>
      <c r="AZ109" s="29" t="str">
        <f t="shared" si="112"/>
        <v>#DIV/0!</v>
      </c>
      <c r="BA109" s="29" t="str">
        <f t="shared" si="112"/>
        <v>#DIV/0!</v>
      </c>
      <c r="BB109" s="29" t="str">
        <f t="shared" si="112"/>
        <v>#DIV/0!</v>
      </c>
      <c r="BC109" s="29" t="str">
        <f t="shared" si="112"/>
        <v>#DIV/0!</v>
      </c>
      <c r="BD109" s="29" t="str">
        <f t="shared" si="112"/>
        <v>#DIV/0!</v>
      </c>
      <c r="BE109" s="29" t="str">
        <f t="shared" si="112"/>
        <v>#DIV/0!</v>
      </c>
      <c r="BF109" s="29" t="str">
        <f t="shared" si="112"/>
        <v>#DIV/0!</v>
      </c>
      <c r="BG109" s="29" t="str">
        <f t="shared" si="112"/>
        <v>#DIV/0!</v>
      </c>
      <c r="BH109" s="29" t="str">
        <f t="shared" si="112"/>
        <v>#DIV/0!</v>
      </c>
      <c r="BI109" s="29" t="str">
        <f t="shared" si="112"/>
        <v>#DIV/0!</v>
      </c>
      <c r="BJ109" s="29" t="str">
        <f t="shared" si="112"/>
        <v>#DIV/0!</v>
      </c>
      <c r="BK109" s="29" t="str">
        <f t="shared" si="112"/>
        <v>#DIV/0!</v>
      </c>
      <c r="BL109" s="29" t="str">
        <f t="shared" si="112"/>
        <v>#DIV/0!</v>
      </c>
      <c r="BM109" s="29" t="str">
        <f t="shared" si="3"/>
        <v>#DIV/0!</v>
      </c>
    </row>
    <row r="110">
      <c r="A110" s="16" t="str">
        <f>IFERROR(__xludf.DUMMYFUNCTION("IFERROR(SPARKLINE(SORT(MAP(TRANSPOSE(AQ110:BL110), LAMBDA(val, IF(ISNUMBER(val), PERCENTRANK(AQ110:BL110, val)+0.01, 0))), SEQUENCE(COLUMNS(AQ110:BL110)), FALSE), {""charttype"",""column""; ""color"",""chartreuse""; ""ymin"", 0; ""ymax"", 1.01; ""highcolo"&amp;"r"", ""darkgreen""; ""lowcolor"", ""red""}), """")"),"")</f>
        <v/>
      </c>
      <c r="B110" s="17" t="str">
        <f t="shared" si="4"/>
        <v/>
      </c>
      <c r="C110" s="1" t="s">
        <v>1876</v>
      </c>
      <c r="D110" s="30" t="str">
        <f>IFERROR(__xludf.DUMMYFUNCTION("IFERROR(GOOGLEFINANCE(C110, ""NAME""))"),"Alvotech SA")</f>
        <v>Alvotech SA</v>
      </c>
      <c r="E110" s="30" t="s">
        <v>1475</v>
      </c>
      <c r="F110" s="33" t="str">
        <f>IFERROR(__xludf.DUMMYFUNCTION("( (GOOGLEFINANCE(C110, ""price"") - Q110) / Q110 ) / (R110 / 100)"),"Loading...")</f>
        <v>Loading...</v>
      </c>
      <c r="G110" s="20" t="str">
        <f>IFERROR(__xludf.DUMMYFUNCTION("AVERAGE(ARRAYFORMULA(100 * (QUERY(GOOGLEFINANCE(C110, ""high"", TODAY()-40, TODAY()), ""SELECT Col2 WHERE Col2 IS NOT NULL ORDER BY Col1 DESC LIMIT 20"", 0) / QUERY(GOOGLEFINANCE(C110, ""low"", TODAY()-40, TODAY()), ""SELECT Col2 WHERE Col2 IS NOT NULL OR"&amp;"DER BY Col1 DESC LIMIT 20"", 0) - 1)))"),"#N/A")</f>
        <v>#N/A</v>
      </c>
      <c r="H110" s="35" t="str">
        <f t="shared" si="6"/>
        <v/>
      </c>
      <c r="I110" s="36" t="str">
        <f t="shared" si="7"/>
        <v/>
      </c>
      <c r="J110" s="37" t="str">
        <f>IFERROR(__xludf.DUMMYFUNCTION("IFERROR(
  IF(C110="""",, 
    IFERROR(
      GOOGLEFINANCE(C110, ""price"") * GOOGLEFINANCE(C110, ""volumeavg""), 
      GOOGLEFINANCE(C110, ""price"") * AVERAGE(QUERY(GOOGLEFINANCE(C110, ""volume"", TODAY()-40, TODAY()), ""SELECT Col2 WHERE Col2 IS NOT "&amp;"NULL ORDER BY Col1 DESC LIMIT 20"", 0))
    )
  ), 
"""")"),"")</f>
        <v/>
      </c>
      <c r="K110" s="21" t="str">
        <f>IFERROR(__xludf.DUMMYFUNCTION("IFERROR(GOOGLEFINANCE(C110, ""changepct"") / 100, """")"),"")</f>
        <v/>
      </c>
      <c r="L110" s="21" t="str">
        <f>IFERROR(__xludf.DUMMYFUNCTION("IFERROR((GOOGLEFINANCE(C110, ""price"") / INDEX(GOOGLEFINANCE(C110, ""price"", TODAY()-7, TODAY()), 2, 2)) - 1, """")"),"")</f>
        <v/>
      </c>
      <c r="M110" s="21" t="str">
        <f>IFERROR(__xludf.DUMMYFUNCTION("IFERROR((GOOGLEFINANCE(C110, ""price"") / INDEX(GOOGLEFINANCE(C110, ""price"", EDATE(TODAY(), -1), TODAY()), 2, 2)) - 1, """")"),"")</f>
        <v/>
      </c>
      <c r="N110" s="21" t="str">
        <f>IFERROR(__xludf.DUMMYFUNCTION("IFERROR((GOOGLEFINANCE(C110, ""price"") / INDEX(GOOGLEFINANCE(C110, ""price"", EDATE(TODAY(), -3), TODAY()), 2, 2)) - 1, """")"),"")</f>
        <v/>
      </c>
      <c r="O110" s="21" t="str">
        <f>IFERROR(__xludf.DUMMYFUNCTION("IFERROR((GOOGLEFINANCE(C110, ""price"") / INDEX(GOOGLEFINANCE(C110, ""price"", EDATE(TODAY(), -6), TODAY()), 2, 2)) - 1, """")"),"")</f>
        <v/>
      </c>
      <c r="P110" s="21" t="str">
        <f>IFERROR(__xludf.DUMMYFUNCTION("IFERROR((GOOGLEFINANCE(C110, ""price"") / INDEX(GOOGLEFINANCE(C110, ""price"", EDATE(TODAY(), -12), TODAY()), 2, 2)) - 1, """")"),"")</f>
        <v/>
      </c>
      <c r="Q110" s="6" t="str">
        <f>IFERROR(__xludf.DUMMYFUNCTION("AVERAGE(QUERY(GOOGLEFINANCE(C110, ""price"", TODAY()-80, TODAY()), ""SELECT Col2 WHERE Col2 IS NOT NULL ORDER BY Col1 DESC LIMIT 50"", 0))"),"#N/A")</f>
        <v>#N/A</v>
      </c>
      <c r="R110" s="24" t="str">
        <f>IFERROR(__xludf.DUMMYFUNCTION("IFERROR(
  LET(
    data, QUERY(GOOGLEFINANCE(C110,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GOOGLEFINANCE(C110, ""price"")) * 100,
    IF(calc=0, G110, calc)
  ), 
G110)"),"#N/A")</f>
        <v>#N/A</v>
      </c>
      <c r="S110" s="8" t="s">
        <v>15</v>
      </c>
      <c r="T110" s="26" t="str">
        <f>IFERROR(__xludf.DUMMYFUNCTION("IFERROR(TRANSPOSE(QUERY(IFERROR(SORT(GOOGLEFINANCE(C110, ""price"", WORKDAY(TODAY(), -40), TODAY()), 1, FALSE)), ""select Col2 where Col2 is not null limit 22 label Col2 ''"", 0)), """")"),"")</f>
        <v/>
      </c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8"/>
      <c r="AO110" s="28"/>
      <c r="AP110" s="29"/>
      <c r="AQ110" s="29" t="str">
        <f t="shared" ref="AQ110:BL110" si="113">T110/T$2</f>
        <v>#N/A</v>
      </c>
      <c r="AR110" s="29" t="str">
        <f t="shared" si="113"/>
        <v>#DIV/0!</v>
      </c>
      <c r="AS110" s="29" t="str">
        <f t="shared" si="113"/>
        <v>#DIV/0!</v>
      </c>
      <c r="AT110" s="29" t="str">
        <f t="shared" si="113"/>
        <v>#DIV/0!</v>
      </c>
      <c r="AU110" s="29" t="str">
        <f t="shared" si="113"/>
        <v>#DIV/0!</v>
      </c>
      <c r="AV110" s="29" t="str">
        <f t="shared" si="113"/>
        <v>#DIV/0!</v>
      </c>
      <c r="AW110" s="29" t="str">
        <f t="shared" si="113"/>
        <v>#DIV/0!</v>
      </c>
      <c r="AX110" s="29" t="str">
        <f t="shared" si="113"/>
        <v>#DIV/0!</v>
      </c>
      <c r="AY110" s="29" t="str">
        <f t="shared" si="113"/>
        <v>#DIV/0!</v>
      </c>
      <c r="AZ110" s="29" t="str">
        <f t="shared" si="113"/>
        <v>#DIV/0!</v>
      </c>
      <c r="BA110" s="29" t="str">
        <f t="shared" si="113"/>
        <v>#DIV/0!</v>
      </c>
      <c r="BB110" s="29" t="str">
        <f t="shared" si="113"/>
        <v>#DIV/0!</v>
      </c>
      <c r="BC110" s="29" t="str">
        <f t="shared" si="113"/>
        <v>#DIV/0!</v>
      </c>
      <c r="BD110" s="29" t="str">
        <f t="shared" si="113"/>
        <v>#DIV/0!</v>
      </c>
      <c r="BE110" s="29" t="str">
        <f t="shared" si="113"/>
        <v>#DIV/0!</v>
      </c>
      <c r="BF110" s="29" t="str">
        <f t="shared" si="113"/>
        <v>#DIV/0!</v>
      </c>
      <c r="BG110" s="29" t="str">
        <f t="shared" si="113"/>
        <v>#DIV/0!</v>
      </c>
      <c r="BH110" s="29" t="str">
        <f t="shared" si="113"/>
        <v>#DIV/0!</v>
      </c>
      <c r="BI110" s="29" t="str">
        <f t="shared" si="113"/>
        <v>#DIV/0!</v>
      </c>
      <c r="BJ110" s="29" t="str">
        <f t="shared" si="113"/>
        <v>#DIV/0!</v>
      </c>
      <c r="BK110" s="29" t="str">
        <f t="shared" si="113"/>
        <v>#DIV/0!</v>
      </c>
      <c r="BL110" s="29" t="str">
        <f t="shared" si="113"/>
        <v>#DIV/0!</v>
      </c>
      <c r="BM110" s="29" t="str">
        <f t="shared" si="3"/>
        <v>#DIV/0!</v>
      </c>
    </row>
    <row r="111">
      <c r="A111" s="16" t="str">
        <f>IFERROR(__xludf.DUMMYFUNCTION("IFERROR(SPARKLINE(SORT(MAP(TRANSPOSE(AQ111:BL111), LAMBDA(val, IF(ISNUMBER(val), PERCENTRANK(AQ111:BL111, val)+0.01, 0))), SEQUENCE(COLUMNS(AQ111:BL111)), FALSE), {""charttype"",""column""; ""color"",""chartreuse""; ""ymin"", 0; ""ymax"", 1.01; ""highcolo"&amp;"r"", ""darkgreen""; ""lowcolor"", ""red""}), """")"),"")</f>
        <v/>
      </c>
      <c r="B111" s="17" t="str">
        <f t="shared" si="4"/>
        <v/>
      </c>
      <c r="C111" s="1" t="s">
        <v>1880</v>
      </c>
      <c r="D111" s="30" t="str">
        <f>IFERROR(__xludf.DUMMYFUNCTION("IFERROR(GOOGLEFINANCE(C111, ""NAME""))"),"Gilead Sciences, Inc")</f>
        <v>Gilead Sciences, Inc</v>
      </c>
      <c r="E111" s="30" t="s">
        <v>1509</v>
      </c>
      <c r="F111" s="33" t="str">
        <f>IFERROR(__xludf.DUMMYFUNCTION("( (GOOGLEFINANCE(C111, ""price"") - Q111) / Q111 ) / (R111 / 100)"),"Loading...")</f>
        <v>Loading...</v>
      </c>
      <c r="G111" s="20" t="str">
        <f>IFERROR(__xludf.DUMMYFUNCTION("AVERAGE(ARRAYFORMULA(100 * (QUERY(GOOGLEFINANCE(C111, ""high"", TODAY()-40, TODAY()), ""SELECT Col2 WHERE Col2 IS NOT NULL ORDER BY Col1 DESC LIMIT 20"", 0) / QUERY(GOOGLEFINANCE(C111, ""low"", TODAY()-40, TODAY()), ""SELECT Col2 WHERE Col2 IS NOT NULL OR"&amp;"DER BY Col1 DESC LIMIT 20"", 0) - 1)))"),"#N/A")</f>
        <v>#N/A</v>
      </c>
      <c r="H111" s="35" t="str">
        <f t="shared" si="6"/>
        <v/>
      </c>
      <c r="I111" s="36" t="str">
        <f t="shared" si="7"/>
        <v/>
      </c>
      <c r="J111" s="37" t="str">
        <f>IFERROR(__xludf.DUMMYFUNCTION("IFERROR(
  IF(C111="""",, 
    IFERROR(
      GOOGLEFINANCE(C111, ""price"") * GOOGLEFINANCE(C111, ""volumeavg""), 
      GOOGLEFINANCE(C111, ""price"") * AVERAGE(QUERY(GOOGLEFINANCE(C111, ""volume"", TODAY()-40, TODAY()), ""SELECT Col2 WHERE Col2 IS NOT "&amp;"NULL ORDER BY Col1 DESC LIMIT 20"", 0))
    )
  ), 
"""")"),"")</f>
        <v/>
      </c>
      <c r="K111" s="21" t="str">
        <f>IFERROR(__xludf.DUMMYFUNCTION("IFERROR(GOOGLEFINANCE(C111, ""changepct"") / 100, """")"),"")</f>
        <v/>
      </c>
      <c r="L111" s="21" t="str">
        <f>IFERROR(__xludf.DUMMYFUNCTION("IFERROR((GOOGLEFINANCE(C111, ""price"") / INDEX(GOOGLEFINANCE(C111, ""price"", TODAY()-7, TODAY()), 2, 2)) - 1, """")"),"")</f>
        <v/>
      </c>
      <c r="M111" s="21" t="str">
        <f>IFERROR(__xludf.DUMMYFUNCTION("IFERROR((GOOGLEFINANCE(C111, ""price"") / INDEX(GOOGLEFINANCE(C111, ""price"", EDATE(TODAY(), -1), TODAY()), 2, 2)) - 1, """")"),"")</f>
        <v/>
      </c>
      <c r="N111" s="21" t="str">
        <f>IFERROR(__xludf.DUMMYFUNCTION("IFERROR((GOOGLEFINANCE(C111, ""price"") / INDEX(GOOGLEFINANCE(C111, ""price"", EDATE(TODAY(), -3), TODAY()), 2, 2)) - 1, """")"),"")</f>
        <v/>
      </c>
      <c r="O111" s="21" t="str">
        <f>IFERROR(__xludf.DUMMYFUNCTION("IFERROR((GOOGLEFINANCE(C111, ""price"") / INDEX(GOOGLEFINANCE(C111, ""price"", EDATE(TODAY(), -6), TODAY()), 2, 2)) - 1, """")"),"")</f>
        <v/>
      </c>
      <c r="P111" s="21" t="str">
        <f>IFERROR(__xludf.DUMMYFUNCTION("IFERROR((GOOGLEFINANCE(C111, ""price"") / INDEX(GOOGLEFINANCE(C111, ""price"", EDATE(TODAY(), -12), TODAY()), 2, 2)) - 1, """")"),"")</f>
        <v/>
      </c>
      <c r="Q111" s="6" t="str">
        <f>IFERROR(__xludf.DUMMYFUNCTION("AVERAGE(QUERY(GOOGLEFINANCE(C111, ""price"", TODAY()-80, TODAY()), ""SELECT Col2 WHERE Col2 IS NOT NULL ORDER BY Col1 DESC LIMIT 50"", 0))"),"#N/A")</f>
        <v>#N/A</v>
      </c>
      <c r="R111" s="24" t="str">
        <f>IFERROR(__xludf.DUMMYFUNCTION("IFERROR(
  LET(
    data, QUERY(GOOGLEFINANCE(C111,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GOOGLEFINANCE(C111, ""price"")) * 100,
    IF(calc=0, G111, calc)
  ), 
G111)"),"#N/A")</f>
        <v>#N/A</v>
      </c>
      <c r="S111" s="8" t="s">
        <v>15</v>
      </c>
      <c r="T111" s="26" t="str">
        <f>IFERROR(__xludf.DUMMYFUNCTION("IFERROR(TRANSPOSE(QUERY(IFERROR(SORT(GOOGLEFINANCE(C111, ""price"", WORKDAY(TODAY(), -40), TODAY()), 1, FALSE)), ""select Col2 where Col2 is not null limit 22 label Col2 ''"", 0)), """")"),"")</f>
        <v/>
      </c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8"/>
      <c r="AO111" s="28"/>
      <c r="AP111" s="29"/>
      <c r="AQ111" s="29" t="str">
        <f t="shared" ref="AQ111:BL111" si="114">T111/T$2</f>
        <v>#N/A</v>
      </c>
      <c r="AR111" s="29" t="str">
        <f t="shared" si="114"/>
        <v>#DIV/0!</v>
      </c>
      <c r="AS111" s="29" t="str">
        <f t="shared" si="114"/>
        <v>#DIV/0!</v>
      </c>
      <c r="AT111" s="29" t="str">
        <f t="shared" si="114"/>
        <v>#DIV/0!</v>
      </c>
      <c r="AU111" s="29" t="str">
        <f t="shared" si="114"/>
        <v>#DIV/0!</v>
      </c>
      <c r="AV111" s="29" t="str">
        <f t="shared" si="114"/>
        <v>#DIV/0!</v>
      </c>
      <c r="AW111" s="29" t="str">
        <f t="shared" si="114"/>
        <v>#DIV/0!</v>
      </c>
      <c r="AX111" s="29" t="str">
        <f t="shared" si="114"/>
        <v>#DIV/0!</v>
      </c>
      <c r="AY111" s="29" t="str">
        <f t="shared" si="114"/>
        <v>#DIV/0!</v>
      </c>
      <c r="AZ111" s="29" t="str">
        <f t="shared" si="114"/>
        <v>#DIV/0!</v>
      </c>
      <c r="BA111" s="29" t="str">
        <f t="shared" si="114"/>
        <v>#DIV/0!</v>
      </c>
      <c r="BB111" s="29" t="str">
        <f t="shared" si="114"/>
        <v>#DIV/0!</v>
      </c>
      <c r="BC111" s="29" t="str">
        <f t="shared" si="114"/>
        <v>#DIV/0!</v>
      </c>
      <c r="BD111" s="29" t="str">
        <f t="shared" si="114"/>
        <v>#DIV/0!</v>
      </c>
      <c r="BE111" s="29" t="str">
        <f t="shared" si="114"/>
        <v>#DIV/0!</v>
      </c>
      <c r="BF111" s="29" t="str">
        <f t="shared" si="114"/>
        <v>#DIV/0!</v>
      </c>
      <c r="BG111" s="29" t="str">
        <f t="shared" si="114"/>
        <v>#DIV/0!</v>
      </c>
      <c r="BH111" s="29" t="str">
        <f t="shared" si="114"/>
        <v>#DIV/0!</v>
      </c>
      <c r="BI111" s="29" t="str">
        <f t="shared" si="114"/>
        <v>#DIV/0!</v>
      </c>
      <c r="BJ111" s="29" t="str">
        <f t="shared" si="114"/>
        <v>#DIV/0!</v>
      </c>
      <c r="BK111" s="29" t="str">
        <f t="shared" si="114"/>
        <v>#DIV/0!</v>
      </c>
      <c r="BL111" s="29" t="str">
        <f t="shared" si="114"/>
        <v>#DIV/0!</v>
      </c>
      <c r="BM111" s="29" t="str">
        <f t="shared" si="3"/>
        <v>#DIV/0!</v>
      </c>
    </row>
    <row r="112">
      <c r="A112" s="16" t="str">
        <f>IFERROR(__xludf.DUMMYFUNCTION("IFERROR(SPARKLINE(SORT(MAP(TRANSPOSE(AQ112:BL112), LAMBDA(val, IF(ISNUMBER(val), PERCENTRANK(AQ112:BL112, val)+0.01, 0))), SEQUENCE(COLUMNS(AQ112:BL112)), FALSE), {""charttype"",""column""; ""color"",""chartreuse""; ""ymin"", 0; ""ymax"", 1.01; ""highcolo"&amp;"r"", ""darkgreen""; ""lowcolor"", ""red""}), """")"),"")</f>
        <v/>
      </c>
      <c r="B112" s="17" t="str">
        <f t="shared" si="4"/>
        <v/>
      </c>
      <c r="C112" s="1" t="s">
        <v>1884</v>
      </c>
      <c r="D112" s="30" t="str">
        <f>IFERROR(__xludf.DUMMYFUNCTION("IFERROR(GOOGLEFINANCE(C112, ""NAME""))"),"CareDx Inc")</f>
        <v>CareDx Inc</v>
      </c>
      <c r="E112" s="30" t="s">
        <v>1499</v>
      </c>
      <c r="F112" s="33" t="str">
        <f>IFERROR(__xludf.DUMMYFUNCTION("( (GOOGLEFINANCE(C112, ""price"") - Q112) / Q112 ) / (R112 / 100)"),"Loading...")</f>
        <v>Loading...</v>
      </c>
      <c r="G112" s="20" t="str">
        <f>IFERROR(__xludf.DUMMYFUNCTION("AVERAGE(ARRAYFORMULA(100 * (QUERY(GOOGLEFINANCE(C112, ""high"", TODAY()-40, TODAY()), ""SELECT Col2 WHERE Col2 IS NOT NULL ORDER BY Col1 DESC LIMIT 20"", 0) / QUERY(GOOGLEFINANCE(C112, ""low"", TODAY()-40, TODAY()), ""SELECT Col2 WHERE Col2 IS NOT NULL OR"&amp;"DER BY Col1 DESC LIMIT 20"", 0) - 1)))"),"#N/A")</f>
        <v>#N/A</v>
      </c>
      <c r="H112" s="35" t="str">
        <f t="shared" si="6"/>
        <v/>
      </c>
      <c r="I112" s="36" t="str">
        <f t="shared" si="7"/>
        <v/>
      </c>
      <c r="J112" s="37" t="str">
        <f>IFERROR(__xludf.DUMMYFUNCTION("IFERROR(
  IF(C112="""",, 
    IFERROR(
      GOOGLEFINANCE(C112, ""price"") * GOOGLEFINANCE(C112, ""volumeavg""), 
      GOOGLEFINANCE(C112, ""price"") * AVERAGE(QUERY(GOOGLEFINANCE(C112, ""volume"", TODAY()-40, TODAY()), ""SELECT Col2 WHERE Col2 IS NOT "&amp;"NULL ORDER BY Col1 DESC LIMIT 20"", 0))
    )
  ), 
"""")"),"")</f>
        <v/>
      </c>
      <c r="K112" s="21" t="str">
        <f>IFERROR(__xludf.DUMMYFUNCTION("IFERROR(GOOGLEFINANCE(C112, ""changepct"") / 100, """")"),"")</f>
        <v/>
      </c>
      <c r="L112" s="21" t="str">
        <f>IFERROR(__xludf.DUMMYFUNCTION("IFERROR((GOOGLEFINANCE(C112, ""price"") / INDEX(GOOGLEFINANCE(C112, ""price"", TODAY()-7, TODAY()), 2, 2)) - 1, """")"),"")</f>
        <v/>
      </c>
      <c r="M112" s="21" t="str">
        <f>IFERROR(__xludf.DUMMYFUNCTION("IFERROR((GOOGLEFINANCE(C112, ""price"") / INDEX(GOOGLEFINANCE(C112, ""price"", EDATE(TODAY(), -1), TODAY()), 2, 2)) - 1, """")"),"")</f>
        <v/>
      </c>
      <c r="N112" s="21" t="str">
        <f>IFERROR(__xludf.DUMMYFUNCTION("IFERROR((GOOGLEFINANCE(C112, ""price"") / INDEX(GOOGLEFINANCE(C112, ""price"", EDATE(TODAY(), -3), TODAY()), 2, 2)) - 1, """")"),"")</f>
        <v/>
      </c>
      <c r="O112" s="21" t="str">
        <f>IFERROR(__xludf.DUMMYFUNCTION("IFERROR((GOOGLEFINANCE(C112, ""price"") / INDEX(GOOGLEFINANCE(C112, ""price"", EDATE(TODAY(), -6), TODAY()), 2, 2)) - 1, """")"),"")</f>
        <v/>
      </c>
      <c r="P112" s="21" t="str">
        <f>IFERROR(__xludf.DUMMYFUNCTION("IFERROR((GOOGLEFINANCE(C112, ""price"") / INDEX(GOOGLEFINANCE(C112, ""price"", EDATE(TODAY(), -12), TODAY()), 2, 2)) - 1, """")"),"")</f>
        <v/>
      </c>
      <c r="Q112" s="6" t="str">
        <f>IFERROR(__xludf.DUMMYFUNCTION("AVERAGE(QUERY(GOOGLEFINANCE(C112, ""price"", TODAY()-80, TODAY()), ""SELECT Col2 WHERE Col2 IS NOT NULL ORDER BY Col1 DESC LIMIT 50"", 0))"),"#N/A")</f>
        <v>#N/A</v>
      </c>
      <c r="R112" s="24" t="str">
        <f>IFERROR(__xludf.DUMMYFUNCTION("IFERROR(
  LET(
    data, QUERY(GOOGLEFINANCE(C112,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GOOGLEFINANCE(C112, ""price"")) * 100,
    IF(calc=0, G112, calc)
  ), 
G112)"),"#N/A")</f>
        <v>#N/A</v>
      </c>
      <c r="S112" s="8" t="s">
        <v>15</v>
      </c>
      <c r="T112" s="26" t="str">
        <f>IFERROR(__xludf.DUMMYFUNCTION("IFERROR(TRANSPOSE(QUERY(IFERROR(SORT(GOOGLEFINANCE(C112, ""price"", WORKDAY(TODAY(), -40), TODAY()), 1, FALSE)), ""select Col2 where Col2 is not null limit 22 label Col2 ''"", 0)), """")"),"")</f>
        <v/>
      </c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8"/>
      <c r="AO112" s="28"/>
      <c r="AP112" s="29"/>
      <c r="AQ112" s="29" t="str">
        <f t="shared" ref="AQ112:BL112" si="115">T112/T$2</f>
        <v>#N/A</v>
      </c>
      <c r="AR112" s="29" t="str">
        <f t="shared" si="115"/>
        <v>#DIV/0!</v>
      </c>
      <c r="AS112" s="29" t="str">
        <f t="shared" si="115"/>
        <v>#DIV/0!</v>
      </c>
      <c r="AT112" s="29" t="str">
        <f t="shared" si="115"/>
        <v>#DIV/0!</v>
      </c>
      <c r="AU112" s="29" t="str">
        <f t="shared" si="115"/>
        <v>#DIV/0!</v>
      </c>
      <c r="AV112" s="29" t="str">
        <f t="shared" si="115"/>
        <v>#DIV/0!</v>
      </c>
      <c r="AW112" s="29" t="str">
        <f t="shared" si="115"/>
        <v>#DIV/0!</v>
      </c>
      <c r="AX112" s="29" t="str">
        <f t="shared" si="115"/>
        <v>#DIV/0!</v>
      </c>
      <c r="AY112" s="29" t="str">
        <f t="shared" si="115"/>
        <v>#DIV/0!</v>
      </c>
      <c r="AZ112" s="29" t="str">
        <f t="shared" si="115"/>
        <v>#DIV/0!</v>
      </c>
      <c r="BA112" s="29" t="str">
        <f t="shared" si="115"/>
        <v>#DIV/0!</v>
      </c>
      <c r="BB112" s="29" t="str">
        <f t="shared" si="115"/>
        <v>#DIV/0!</v>
      </c>
      <c r="BC112" s="29" t="str">
        <f t="shared" si="115"/>
        <v>#DIV/0!</v>
      </c>
      <c r="BD112" s="29" t="str">
        <f t="shared" si="115"/>
        <v>#DIV/0!</v>
      </c>
      <c r="BE112" s="29" t="str">
        <f t="shared" si="115"/>
        <v>#DIV/0!</v>
      </c>
      <c r="BF112" s="29" t="str">
        <f t="shared" si="115"/>
        <v>#DIV/0!</v>
      </c>
      <c r="BG112" s="29" t="str">
        <f t="shared" si="115"/>
        <v>#DIV/0!</v>
      </c>
      <c r="BH112" s="29" t="str">
        <f t="shared" si="115"/>
        <v>#DIV/0!</v>
      </c>
      <c r="BI112" s="29" t="str">
        <f t="shared" si="115"/>
        <v>#DIV/0!</v>
      </c>
      <c r="BJ112" s="29" t="str">
        <f t="shared" si="115"/>
        <v>#DIV/0!</v>
      </c>
      <c r="BK112" s="29" t="str">
        <f t="shared" si="115"/>
        <v>#DIV/0!</v>
      </c>
      <c r="BL112" s="29" t="str">
        <f t="shared" si="115"/>
        <v>#DIV/0!</v>
      </c>
      <c r="BM112" s="29" t="str">
        <f t="shared" si="3"/>
        <v>#DIV/0!</v>
      </c>
    </row>
    <row r="113">
      <c r="A113" s="16" t="str">
        <f>IFERROR(__xludf.DUMMYFUNCTION("IFERROR(SPARKLINE(SORT(MAP(TRANSPOSE(AQ113:BL113), LAMBDA(val, IF(ISNUMBER(val), PERCENTRANK(AQ113:BL113, val)+0.01, 0))), SEQUENCE(COLUMNS(AQ113:BL113)), FALSE), {""charttype"",""column""; ""color"",""chartreuse""; ""ymin"", 0; ""ymax"", 1.01; ""highcolo"&amp;"r"", ""darkgreen""; ""lowcolor"", ""red""}), """")"),"")</f>
        <v/>
      </c>
      <c r="B113" s="17" t="str">
        <f t="shared" si="4"/>
        <v/>
      </c>
      <c r="C113" s="1" t="s">
        <v>1888</v>
      </c>
      <c r="D113" s="30" t="str">
        <f>IFERROR(__xludf.DUMMYFUNCTION("IFERROR(GOOGLEFINANCE(C113, ""NAME""))"),"Personalis Inc")</f>
        <v>Personalis Inc</v>
      </c>
      <c r="E113" s="30" t="s">
        <v>1499</v>
      </c>
      <c r="F113" s="33" t="str">
        <f>IFERROR(__xludf.DUMMYFUNCTION("( (GOOGLEFINANCE(C113, ""price"") - Q113) / Q113 ) / (R113 / 100)"),"Loading...")</f>
        <v>Loading...</v>
      </c>
      <c r="G113" s="20" t="str">
        <f>IFERROR(__xludf.DUMMYFUNCTION("AVERAGE(ARRAYFORMULA(100 * (QUERY(GOOGLEFINANCE(C113, ""high"", TODAY()-40, TODAY()), ""SELECT Col2 WHERE Col2 IS NOT NULL ORDER BY Col1 DESC LIMIT 20"", 0) / QUERY(GOOGLEFINANCE(C113, ""low"", TODAY()-40, TODAY()), ""SELECT Col2 WHERE Col2 IS NOT NULL OR"&amp;"DER BY Col1 DESC LIMIT 20"", 0) - 1)))"),"#N/A")</f>
        <v>#N/A</v>
      </c>
      <c r="H113" s="35"/>
      <c r="I113" s="36" t="str">
        <f t="shared" si="7"/>
        <v/>
      </c>
      <c r="J113" s="37" t="str">
        <f>IFERROR(__xludf.DUMMYFUNCTION("IFERROR(
  IF(C113="""",, 
    IFERROR(
      GOOGLEFINANCE(C113, ""price"") * GOOGLEFINANCE(C113, ""volumeavg""), 
      GOOGLEFINANCE(C113, ""price"") * AVERAGE(QUERY(GOOGLEFINANCE(C113, ""volume"", TODAY()-40, TODAY()), ""SELECT Col2 WHERE Col2 IS NOT "&amp;"NULL ORDER BY Col1 DESC LIMIT 20"", 0))
    )
  ), 
"""")"),"")</f>
        <v/>
      </c>
      <c r="K113" s="21" t="str">
        <f>IFERROR(__xludf.DUMMYFUNCTION("IFERROR(GOOGLEFINANCE(C113, ""changepct"") / 100, """")"),"")</f>
        <v/>
      </c>
      <c r="L113" s="21" t="str">
        <f>IFERROR(__xludf.DUMMYFUNCTION("IFERROR((GOOGLEFINANCE(C113, ""price"") / INDEX(GOOGLEFINANCE(C113, ""price"", TODAY()-7, TODAY()), 2, 2)) - 1, """")"),"")</f>
        <v/>
      </c>
      <c r="M113" s="21" t="str">
        <f>IFERROR(__xludf.DUMMYFUNCTION("IFERROR((GOOGLEFINANCE(C113, ""price"") / INDEX(GOOGLEFINANCE(C113, ""price"", EDATE(TODAY(), -1), TODAY()), 2, 2)) - 1, """")"),"")</f>
        <v/>
      </c>
      <c r="N113" s="21" t="str">
        <f>IFERROR(__xludf.DUMMYFUNCTION("IFERROR((GOOGLEFINANCE(C113, ""price"") / INDEX(GOOGLEFINANCE(C113, ""price"", EDATE(TODAY(), -3), TODAY()), 2, 2)) - 1, """")"),"")</f>
        <v/>
      </c>
      <c r="O113" s="21" t="str">
        <f>IFERROR(__xludf.DUMMYFUNCTION("IFERROR((GOOGLEFINANCE(C113, ""price"") / INDEX(GOOGLEFINANCE(C113, ""price"", EDATE(TODAY(), -6), TODAY()), 2, 2)) - 1, """")"),"")</f>
        <v/>
      </c>
      <c r="P113" s="21" t="str">
        <f>IFERROR(__xludf.DUMMYFUNCTION("IFERROR((GOOGLEFINANCE(C113, ""price"") / INDEX(GOOGLEFINANCE(C113, ""price"", EDATE(TODAY(), -12), TODAY()), 2, 2)) - 1, """")"),"")</f>
        <v/>
      </c>
      <c r="Q113" s="6" t="str">
        <f>IFERROR(__xludf.DUMMYFUNCTION("AVERAGE(QUERY(GOOGLEFINANCE(C113, ""price"", TODAY()-80, TODAY()), ""SELECT Col2 WHERE Col2 IS NOT NULL ORDER BY Col1 DESC LIMIT 50"", 0))"),"#N/A")</f>
        <v>#N/A</v>
      </c>
      <c r="R113" s="24" t="str">
        <f>IFERROR(__xludf.DUMMYFUNCTION("IFERROR(
  LET(
    data, QUERY(GOOGLEFINANCE(C113,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GOOGLEFINANCE(C113, ""price"")) * 100,
    IF(calc=0, G113, calc)
  ), 
G113)"),"#N/A")</f>
        <v>#N/A</v>
      </c>
      <c r="S113" s="8" t="s">
        <v>15</v>
      </c>
      <c r="T113" s="26" t="str">
        <f>IFERROR(__xludf.DUMMYFUNCTION("IFERROR(TRANSPOSE(QUERY(IFERROR(SORT(GOOGLEFINANCE(C113, ""price"", WORKDAY(TODAY(), -40), TODAY()), 1, FALSE)), ""select Col2 where Col2 is not null limit 22 label Col2 ''"", 0)), """")"),"")</f>
        <v/>
      </c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8"/>
      <c r="AO113" s="28"/>
      <c r="AP113" s="29"/>
      <c r="AQ113" s="29" t="str">
        <f t="shared" ref="AQ113:BL113" si="116">T113/T$2</f>
        <v>#N/A</v>
      </c>
      <c r="AR113" s="29" t="str">
        <f t="shared" si="116"/>
        <v>#DIV/0!</v>
      </c>
      <c r="AS113" s="29" t="str">
        <f t="shared" si="116"/>
        <v>#DIV/0!</v>
      </c>
      <c r="AT113" s="29" t="str">
        <f t="shared" si="116"/>
        <v>#DIV/0!</v>
      </c>
      <c r="AU113" s="29" t="str">
        <f t="shared" si="116"/>
        <v>#DIV/0!</v>
      </c>
      <c r="AV113" s="29" t="str">
        <f t="shared" si="116"/>
        <v>#DIV/0!</v>
      </c>
      <c r="AW113" s="29" t="str">
        <f t="shared" si="116"/>
        <v>#DIV/0!</v>
      </c>
      <c r="AX113" s="29" t="str">
        <f t="shared" si="116"/>
        <v>#DIV/0!</v>
      </c>
      <c r="AY113" s="29" t="str">
        <f t="shared" si="116"/>
        <v>#DIV/0!</v>
      </c>
      <c r="AZ113" s="29" t="str">
        <f t="shared" si="116"/>
        <v>#DIV/0!</v>
      </c>
      <c r="BA113" s="29" t="str">
        <f t="shared" si="116"/>
        <v>#DIV/0!</v>
      </c>
      <c r="BB113" s="29" t="str">
        <f t="shared" si="116"/>
        <v>#DIV/0!</v>
      </c>
      <c r="BC113" s="29" t="str">
        <f t="shared" si="116"/>
        <v>#DIV/0!</v>
      </c>
      <c r="BD113" s="29" t="str">
        <f t="shared" si="116"/>
        <v>#DIV/0!</v>
      </c>
      <c r="BE113" s="29" t="str">
        <f t="shared" si="116"/>
        <v>#DIV/0!</v>
      </c>
      <c r="BF113" s="29" t="str">
        <f t="shared" si="116"/>
        <v>#DIV/0!</v>
      </c>
      <c r="BG113" s="29" t="str">
        <f t="shared" si="116"/>
        <v>#DIV/0!</v>
      </c>
      <c r="BH113" s="29" t="str">
        <f t="shared" si="116"/>
        <v>#DIV/0!</v>
      </c>
      <c r="BI113" s="29" t="str">
        <f t="shared" si="116"/>
        <v>#DIV/0!</v>
      </c>
      <c r="BJ113" s="29" t="str">
        <f t="shared" si="116"/>
        <v>#DIV/0!</v>
      </c>
      <c r="BK113" s="29" t="str">
        <f t="shared" si="116"/>
        <v>#DIV/0!</v>
      </c>
      <c r="BL113" s="29" t="str">
        <f t="shared" si="116"/>
        <v>#DIV/0!</v>
      </c>
      <c r="BM113" s="29" t="str">
        <f t="shared" si="3"/>
        <v>#DIV/0!</v>
      </c>
    </row>
    <row r="114">
      <c r="A114" s="16" t="str">
        <f>IFERROR(__xludf.DUMMYFUNCTION("IFERROR(SPARKLINE(SORT(MAP(TRANSPOSE(AQ114:BL114), LAMBDA(val, IF(ISNUMBER(val), PERCENTRANK(AQ114:BL114, val)+0.01, 0))), SEQUENCE(COLUMNS(AQ114:BL114)), FALSE), {""charttype"",""column""; ""color"",""chartreuse""; ""ymin"", 0; ""ymax"", 1.01; ""highcolo"&amp;"r"", ""darkgreen""; ""lowcolor"", ""red""}), """")"),"")</f>
        <v/>
      </c>
      <c r="B114" s="17" t="str">
        <f t="shared" si="4"/>
        <v/>
      </c>
      <c r="C114" s="1" t="s">
        <v>1891</v>
      </c>
      <c r="D114" s="30" t="str">
        <f>IFERROR(__xludf.DUMMYFUNCTION("IFERROR(GOOGLEFINANCE(C114, ""NAME""))"),"Baxter International Inc")</f>
        <v>Baxter International Inc</v>
      </c>
      <c r="E114" s="30" t="s">
        <v>1502</v>
      </c>
      <c r="F114" s="33" t="str">
        <f>IFERROR(__xludf.DUMMYFUNCTION("( (GOOGLEFINANCE(C114, ""price"") - Q114) / Q114 ) / (R114 / 100)"),"Loading...")</f>
        <v>Loading...</v>
      </c>
      <c r="G114" s="20" t="str">
        <f>IFERROR(__xludf.DUMMYFUNCTION("AVERAGE(ARRAYFORMULA(100 * (QUERY(GOOGLEFINANCE(C114, ""high"", TODAY()-40, TODAY()), ""SELECT Col2 WHERE Col2 IS NOT NULL ORDER BY Col1 DESC LIMIT 20"", 0) / QUERY(GOOGLEFINANCE(C114, ""low"", TODAY()-40, TODAY()), ""SELECT Col2 WHERE Col2 IS NOT NULL OR"&amp;"DER BY Col1 DESC LIMIT 20"", 0) - 1)))"),"#N/A")</f>
        <v>#N/A</v>
      </c>
      <c r="H114" s="35" t="str">
        <f t="shared" ref="H114:H226" si="118">IFERROR(IF(ISNUMBER(J114), IF(J114 &lt; 50000000, "Illiquid", "Liquid"), ""), "")</f>
        <v/>
      </c>
      <c r="I114" s="36" t="str">
        <f t="shared" si="7"/>
        <v/>
      </c>
      <c r="J114" s="37" t="str">
        <f>IFERROR(__xludf.DUMMYFUNCTION("IFERROR(
  IF(C114="""",, 
    IFERROR(
      GOOGLEFINANCE(C114, ""price"") * GOOGLEFINANCE(C114, ""volumeavg""), 
      GOOGLEFINANCE(C114, ""price"") * AVERAGE(QUERY(GOOGLEFINANCE(C114, ""volume"", TODAY()-40, TODAY()), ""SELECT Col2 WHERE Col2 IS NOT "&amp;"NULL ORDER BY Col1 DESC LIMIT 20"", 0))
    )
  ), 
"""")"),"")</f>
        <v/>
      </c>
      <c r="K114" s="21" t="str">
        <f>IFERROR(__xludf.DUMMYFUNCTION("IFERROR(GOOGLEFINANCE(C114, ""changepct"") / 100, """")"),"")</f>
        <v/>
      </c>
      <c r="L114" s="21" t="str">
        <f>IFERROR(__xludf.DUMMYFUNCTION("IFERROR((GOOGLEFINANCE(C114, ""price"") / INDEX(GOOGLEFINANCE(C114, ""price"", TODAY()-7, TODAY()), 2, 2)) - 1, """")"),"")</f>
        <v/>
      </c>
      <c r="M114" s="21" t="str">
        <f>IFERROR(__xludf.DUMMYFUNCTION("IFERROR((GOOGLEFINANCE(C114, ""price"") / INDEX(GOOGLEFINANCE(C114, ""price"", EDATE(TODAY(), -1), TODAY()), 2, 2)) - 1, """")"),"")</f>
        <v/>
      </c>
      <c r="N114" s="21" t="str">
        <f>IFERROR(__xludf.DUMMYFUNCTION("IFERROR((GOOGLEFINANCE(C114, ""price"") / INDEX(GOOGLEFINANCE(C114, ""price"", EDATE(TODAY(), -3), TODAY()), 2, 2)) - 1, """")"),"")</f>
        <v/>
      </c>
      <c r="O114" s="21" t="str">
        <f>IFERROR(__xludf.DUMMYFUNCTION("IFERROR((GOOGLEFINANCE(C114, ""price"") / INDEX(GOOGLEFINANCE(C114, ""price"", EDATE(TODAY(), -6), TODAY()), 2, 2)) - 1, """")"),"")</f>
        <v/>
      </c>
      <c r="P114" s="21" t="str">
        <f>IFERROR(__xludf.DUMMYFUNCTION("IFERROR((GOOGLEFINANCE(C114, ""price"") / INDEX(GOOGLEFINANCE(C114, ""price"", EDATE(TODAY(), -12), TODAY()), 2, 2)) - 1, """")"),"")</f>
        <v/>
      </c>
      <c r="Q114" s="6" t="str">
        <f>IFERROR(__xludf.DUMMYFUNCTION("AVERAGE(QUERY(GOOGLEFINANCE(C114, ""price"", TODAY()-80, TODAY()), ""SELECT Col2 WHERE Col2 IS NOT NULL ORDER BY Col1 DESC LIMIT 50"", 0))"),"#N/A")</f>
        <v>#N/A</v>
      </c>
      <c r="R114" s="24" t="str">
        <f>IFERROR(__xludf.DUMMYFUNCTION("IFERROR(
  LET(
    data, QUERY(GOOGLEFINANCE(C114,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GOOGLEFINANCE(C114, ""price"")) * 100,
    IF(calc=0, G114, calc)
  ), 
G114)"),"#N/A")</f>
        <v>#N/A</v>
      </c>
      <c r="S114" s="8" t="s">
        <v>15</v>
      </c>
      <c r="T114" s="26" t="str">
        <f>IFERROR(__xludf.DUMMYFUNCTION("IFERROR(TRANSPOSE(QUERY(IFERROR(SORT(GOOGLEFINANCE(C114, ""price"", WORKDAY(TODAY(), -40), TODAY()), 1, FALSE)), ""select Col2 where Col2 is not null limit 22 label Col2 ''"", 0)), """")"),"")</f>
        <v/>
      </c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8"/>
      <c r="AO114" s="28"/>
      <c r="AP114" s="29"/>
      <c r="AQ114" s="29" t="str">
        <f t="shared" ref="AQ114:BL114" si="117">T114/T$2</f>
        <v>#N/A</v>
      </c>
      <c r="AR114" s="29" t="str">
        <f t="shared" si="117"/>
        <v>#DIV/0!</v>
      </c>
      <c r="AS114" s="29" t="str">
        <f t="shared" si="117"/>
        <v>#DIV/0!</v>
      </c>
      <c r="AT114" s="29" t="str">
        <f t="shared" si="117"/>
        <v>#DIV/0!</v>
      </c>
      <c r="AU114" s="29" t="str">
        <f t="shared" si="117"/>
        <v>#DIV/0!</v>
      </c>
      <c r="AV114" s="29" t="str">
        <f t="shared" si="117"/>
        <v>#DIV/0!</v>
      </c>
      <c r="AW114" s="29" t="str">
        <f t="shared" si="117"/>
        <v>#DIV/0!</v>
      </c>
      <c r="AX114" s="29" t="str">
        <f t="shared" si="117"/>
        <v>#DIV/0!</v>
      </c>
      <c r="AY114" s="29" t="str">
        <f t="shared" si="117"/>
        <v>#DIV/0!</v>
      </c>
      <c r="AZ114" s="29" t="str">
        <f t="shared" si="117"/>
        <v>#DIV/0!</v>
      </c>
      <c r="BA114" s="29" t="str">
        <f t="shared" si="117"/>
        <v>#DIV/0!</v>
      </c>
      <c r="BB114" s="29" t="str">
        <f t="shared" si="117"/>
        <v>#DIV/0!</v>
      </c>
      <c r="BC114" s="29" t="str">
        <f t="shared" si="117"/>
        <v>#DIV/0!</v>
      </c>
      <c r="BD114" s="29" t="str">
        <f t="shared" si="117"/>
        <v>#DIV/0!</v>
      </c>
      <c r="BE114" s="29" t="str">
        <f t="shared" si="117"/>
        <v>#DIV/0!</v>
      </c>
      <c r="BF114" s="29" t="str">
        <f t="shared" si="117"/>
        <v>#DIV/0!</v>
      </c>
      <c r="BG114" s="29" t="str">
        <f t="shared" si="117"/>
        <v>#DIV/0!</v>
      </c>
      <c r="BH114" s="29" t="str">
        <f t="shared" si="117"/>
        <v>#DIV/0!</v>
      </c>
      <c r="BI114" s="29" t="str">
        <f t="shared" si="117"/>
        <v>#DIV/0!</v>
      </c>
      <c r="BJ114" s="29" t="str">
        <f t="shared" si="117"/>
        <v>#DIV/0!</v>
      </c>
      <c r="BK114" s="29" t="str">
        <f t="shared" si="117"/>
        <v>#DIV/0!</v>
      </c>
      <c r="BL114" s="29" t="str">
        <f t="shared" si="117"/>
        <v>#DIV/0!</v>
      </c>
      <c r="BM114" s="29" t="str">
        <f t="shared" si="3"/>
        <v>#DIV/0!</v>
      </c>
    </row>
    <row r="115">
      <c r="A115" s="16" t="str">
        <f>IFERROR(__xludf.DUMMYFUNCTION("IFERROR(SPARKLINE(SORT(MAP(TRANSPOSE(AQ115:BL115), LAMBDA(val, IF(ISNUMBER(val), PERCENTRANK(AQ115:BL115, val)+0.01, 0))), SEQUENCE(COLUMNS(AQ115:BL115)), FALSE), {""charttype"",""column""; ""color"",""chartreuse""; ""ymin"", 0; ""ymax"", 1.01; ""highcolo"&amp;"r"", ""darkgreen""; ""lowcolor"", ""red""}), """")"),"")</f>
        <v/>
      </c>
      <c r="B115" s="17" t="str">
        <f t="shared" si="4"/>
        <v/>
      </c>
      <c r="C115" s="1" t="s">
        <v>1895</v>
      </c>
      <c r="D115" s="30" t="str">
        <f>IFERROR(__xludf.DUMMYFUNCTION("IFERROR(GOOGLEFINANCE(C115, ""NAME""))"),"Supernus Pharmaceuticals Inc")</f>
        <v>Supernus Pharmaceuticals Inc</v>
      </c>
      <c r="E115" s="30" t="s">
        <v>1475</v>
      </c>
      <c r="F115" s="33" t="str">
        <f>IFERROR(__xludf.DUMMYFUNCTION("( (GOOGLEFINANCE(C115, ""price"") - Q115) / Q115 ) / (R115 / 100)"),"Loading...")</f>
        <v>Loading...</v>
      </c>
      <c r="G115" s="20" t="str">
        <f>IFERROR(__xludf.DUMMYFUNCTION("AVERAGE(ARRAYFORMULA(100 * (QUERY(GOOGLEFINANCE(C115, ""high"", TODAY()-40, TODAY()), ""SELECT Col2 WHERE Col2 IS NOT NULL ORDER BY Col1 DESC LIMIT 20"", 0) / QUERY(GOOGLEFINANCE(C115, ""low"", TODAY()-40, TODAY()), ""SELECT Col2 WHERE Col2 IS NOT NULL OR"&amp;"DER BY Col1 DESC LIMIT 20"", 0) - 1)))"),"#N/A")</f>
        <v>#N/A</v>
      </c>
      <c r="H115" s="35" t="str">
        <f t="shared" si="118"/>
        <v/>
      </c>
      <c r="I115" s="36" t="str">
        <f t="shared" si="7"/>
        <v/>
      </c>
      <c r="J115" s="37" t="str">
        <f>IFERROR(__xludf.DUMMYFUNCTION("IFERROR(
  IF(C115="""",, 
    IFERROR(
      GOOGLEFINANCE(C115, ""price"") * GOOGLEFINANCE(C115, ""volumeavg""), 
      GOOGLEFINANCE(C115, ""price"") * AVERAGE(QUERY(GOOGLEFINANCE(C115, ""volume"", TODAY()-40, TODAY()), ""SELECT Col2 WHERE Col2 IS NOT "&amp;"NULL ORDER BY Col1 DESC LIMIT 20"", 0))
    )
  ), 
"""")"),"")</f>
        <v/>
      </c>
      <c r="K115" s="21" t="str">
        <f>IFERROR(__xludf.DUMMYFUNCTION("IFERROR(GOOGLEFINANCE(C115, ""changepct"") / 100, """")"),"")</f>
        <v/>
      </c>
      <c r="L115" s="21" t="str">
        <f>IFERROR(__xludf.DUMMYFUNCTION("IFERROR((GOOGLEFINANCE(C115, ""price"") / INDEX(GOOGLEFINANCE(C115, ""price"", TODAY()-7, TODAY()), 2, 2)) - 1, """")"),"")</f>
        <v/>
      </c>
      <c r="M115" s="21" t="str">
        <f>IFERROR(__xludf.DUMMYFUNCTION("IFERROR((GOOGLEFINANCE(C115, ""price"") / INDEX(GOOGLEFINANCE(C115, ""price"", EDATE(TODAY(), -1), TODAY()), 2, 2)) - 1, """")"),"")</f>
        <v/>
      </c>
      <c r="N115" s="21" t="str">
        <f>IFERROR(__xludf.DUMMYFUNCTION("IFERROR((GOOGLEFINANCE(C115, ""price"") / INDEX(GOOGLEFINANCE(C115, ""price"", EDATE(TODAY(), -3), TODAY()), 2, 2)) - 1, """")"),"")</f>
        <v/>
      </c>
      <c r="O115" s="21" t="str">
        <f>IFERROR(__xludf.DUMMYFUNCTION("IFERROR((GOOGLEFINANCE(C115, ""price"") / INDEX(GOOGLEFINANCE(C115, ""price"", EDATE(TODAY(), -6), TODAY()), 2, 2)) - 1, """")"),"")</f>
        <v/>
      </c>
      <c r="P115" s="21" t="str">
        <f>IFERROR(__xludf.DUMMYFUNCTION("IFERROR((GOOGLEFINANCE(C115, ""price"") / INDEX(GOOGLEFINANCE(C115, ""price"", EDATE(TODAY(), -12), TODAY()), 2, 2)) - 1, """")"),"")</f>
        <v/>
      </c>
      <c r="Q115" s="6" t="str">
        <f>IFERROR(__xludf.DUMMYFUNCTION("AVERAGE(QUERY(GOOGLEFINANCE(C115, ""price"", TODAY()-80, TODAY()), ""SELECT Col2 WHERE Col2 IS NOT NULL ORDER BY Col1 DESC LIMIT 50"", 0))"),"#N/A")</f>
        <v>#N/A</v>
      </c>
      <c r="R115" s="24" t="str">
        <f>IFERROR(__xludf.DUMMYFUNCTION("IFERROR(
  LET(
    data, QUERY(GOOGLEFINANCE(C115,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GOOGLEFINANCE(C115, ""price"")) * 100,
    IF(calc=0, G115, calc)
  ), 
G115)"),"#N/A")</f>
        <v>#N/A</v>
      </c>
      <c r="S115" s="8" t="s">
        <v>15</v>
      </c>
      <c r="T115" s="26" t="str">
        <f>IFERROR(__xludf.DUMMYFUNCTION("IFERROR(TRANSPOSE(QUERY(IFERROR(SORT(GOOGLEFINANCE(C115, ""price"", WORKDAY(TODAY(), -40), TODAY()), 1, FALSE)), ""select Col2 where Col2 is not null limit 22 label Col2 ''"", 0)), """")"),"")</f>
        <v/>
      </c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8"/>
      <c r="AO115" s="28"/>
      <c r="AP115" s="29"/>
      <c r="AQ115" s="29" t="str">
        <f t="shared" ref="AQ115:BL115" si="119">T115/T$2</f>
        <v>#N/A</v>
      </c>
      <c r="AR115" s="29" t="str">
        <f t="shared" si="119"/>
        <v>#DIV/0!</v>
      </c>
      <c r="AS115" s="29" t="str">
        <f t="shared" si="119"/>
        <v>#DIV/0!</v>
      </c>
      <c r="AT115" s="29" t="str">
        <f t="shared" si="119"/>
        <v>#DIV/0!</v>
      </c>
      <c r="AU115" s="29" t="str">
        <f t="shared" si="119"/>
        <v>#DIV/0!</v>
      </c>
      <c r="AV115" s="29" t="str">
        <f t="shared" si="119"/>
        <v>#DIV/0!</v>
      </c>
      <c r="AW115" s="29" t="str">
        <f t="shared" si="119"/>
        <v>#DIV/0!</v>
      </c>
      <c r="AX115" s="29" t="str">
        <f t="shared" si="119"/>
        <v>#DIV/0!</v>
      </c>
      <c r="AY115" s="29" t="str">
        <f t="shared" si="119"/>
        <v>#DIV/0!</v>
      </c>
      <c r="AZ115" s="29" t="str">
        <f t="shared" si="119"/>
        <v>#DIV/0!</v>
      </c>
      <c r="BA115" s="29" t="str">
        <f t="shared" si="119"/>
        <v>#DIV/0!</v>
      </c>
      <c r="BB115" s="29" t="str">
        <f t="shared" si="119"/>
        <v>#DIV/0!</v>
      </c>
      <c r="BC115" s="29" t="str">
        <f t="shared" si="119"/>
        <v>#DIV/0!</v>
      </c>
      <c r="BD115" s="29" t="str">
        <f t="shared" si="119"/>
        <v>#DIV/0!</v>
      </c>
      <c r="BE115" s="29" t="str">
        <f t="shared" si="119"/>
        <v>#DIV/0!</v>
      </c>
      <c r="BF115" s="29" t="str">
        <f t="shared" si="119"/>
        <v>#DIV/0!</v>
      </c>
      <c r="BG115" s="29" t="str">
        <f t="shared" si="119"/>
        <v>#DIV/0!</v>
      </c>
      <c r="BH115" s="29" t="str">
        <f t="shared" si="119"/>
        <v>#DIV/0!</v>
      </c>
      <c r="BI115" s="29" t="str">
        <f t="shared" si="119"/>
        <v>#DIV/0!</v>
      </c>
      <c r="BJ115" s="29" t="str">
        <f t="shared" si="119"/>
        <v>#DIV/0!</v>
      </c>
      <c r="BK115" s="29" t="str">
        <f t="shared" si="119"/>
        <v>#DIV/0!</v>
      </c>
      <c r="BL115" s="29" t="str">
        <f t="shared" si="119"/>
        <v>#DIV/0!</v>
      </c>
      <c r="BM115" s="29" t="str">
        <f t="shared" si="3"/>
        <v>#DIV/0!</v>
      </c>
    </row>
    <row r="116">
      <c r="A116" s="16" t="str">
        <f>IFERROR(__xludf.DUMMYFUNCTION("IFERROR(SPARKLINE(SORT(MAP(TRANSPOSE(AQ116:BL116), LAMBDA(val, IF(ISNUMBER(val), PERCENTRANK(AQ116:BL116, val)+0.01, 0))), SEQUENCE(COLUMNS(AQ116:BL116)), FALSE), {""charttype"",""column""; ""color"",""chartreuse""; ""ymin"", 0; ""ymax"", 1.01; ""highcolo"&amp;"r"", ""darkgreen""; ""lowcolor"", ""red""}), """")"),"")</f>
        <v/>
      </c>
      <c r="B116" s="17" t="str">
        <f t="shared" si="4"/>
        <v/>
      </c>
      <c r="C116" s="1" t="s">
        <v>1899</v>
      </c>
      <c r="D116" s="30" t="str">
        <f>IFERROR(__xludf.DUMMYFUNCTION("IFERROR(GOOGLEFINANCE(C116, ""NAME""))"),"AbbVie Common Stock")</f>
        <v>AbbVie Common Stock</v>
      </c>
      <c r="E116" s="30" t="s">
        <v>1509</v>
      </c>
      <c r="F116" s="33" t="str">
        <f>IFERROR(__xludf.DUMMYFUNCTION("( (GOOGLEFINANCE(C116, ""price"") - Q116) / Q116 ) / (R116 / 100)"),"Loading...")</f>
        <v>Loading...</v>
      </c>
      <c r="G116" s="20" t="str">
        <f>IFERROR(__xludf.DUMMYFUNCTION("AVERAGE(ARRAYFORMULA(100 * (QUERY(GOOGLEFINANCE(C116, ""high"", TODAY()-40, TODAY()), ""SELECT Col2 WHERE Col2 IS NOT NULL ORDER BY Col1 DESC LIMIT 20"", 0) / QUERY(GOOGLEFINANCE(C116, ""low"", TODAY()-40, TODAY()), ""SELECT Col2 WHERE Col2 IS NOT NULL OR"&amp;"DER BY Col1 DESC LIMIT 20"", 0) - 1)))"),"#N/A")</f>
        <v>#N/A</v>
      </c>
      <c r="H116" s="35" t="str">
        <f t="shared" si="118"/>
        <v/>
      </c>
      <c r="I116" s="36" t="str">
        <f t="shared" si="7"/>
        <v/>
      </c>
      <c r="J116" s="37" t="str">
        <f>IFERROR(__xludf.DUMMYFUNCTION("IFERROR(
  IF(C116="""",, 
    IFERROR(
      GOOGLEFINANCE(C116, ""price"") * GOOGLEFINANCE(C116, ""volumeavg""), 
      GOOGLEFINANCE(C116, ""price"") * AVERAGE(QUERY(GOOGLEFINANCE(C116, ""volume"", TODAY()-40, TODAY()), ""SELECT Col2 WHERE Col2 IS NOT "&amp;"NULL ORDER BY Col1 DESC LIMIT 20"", 0))
    )
  ), 
"""")"),"")</f>
        <v/>
      </c>
      <c r="K116" s="21" t="str">
        <f>IFERROR(__xludf.DUMMYFUNCTION("IFERROR(GOOGLEFINANCE(C116, ""changepct"") / 100, """")"),"")</f>
        <v/>
      </c>
      <c r="L116" s="21" t="str">
        <f>IFERROR(__xludf.DUMMYFUNCTION("IFERROR((GOOGLEFINANCE(C116, ""price"") / INDEX(GOOGLEFINANCE(C116, ""price"", TODAY()-7, TODAY()), 2, 2)) - 1, """")"),"")</f>
        <v/>
      </c>
      <c r="M116" s="21" t="str">
        <f>IFERROR(__xludf.DUMMYFUNCTION("IFERROR((GOOGLEFINANCE(C116, ""price"") / INDEX(GOOGLEFINANCE(C116, ""price"", EDATE(TODAY(), -1), TODAY()), 2, 2)) - 1, """")"),"")</f>
        <v/>
      </c>
      <c r="N116" s="21" t="str">
        <f>IFERROR(__xludf.DUMMYFUNCTION("IFERROR((GOOGLEFINANCE(C116, ""price"") / INDEX(GOOGLEFINANCE(C116, ""price"", EDATE(TODAY(), -3), TODAY()), 2, 2)) - 1, """")"),"")</f>
        <v/>
      </c>
      <c r="O116" s="21" t="str">
        <f>IFERROR(__xludf.DUMMYFUNCTION("IFERROR((GOOGLEFINANCE(C116, ""price"") / INDEX(GOOGLEFINANCE(C116, ""price"", EDATE(TODAY(), -6), TODAY()), 2, 2)) - 1, """")"),"")</f>
        <v/>
      </c>
      <c r="P116" s="21" t="str">
        <f>IFERROR(__xludf.DUMMYFUNCTION("IFERROR((GOOGLEFINANCE(C116, ""price"") / INDEX(GOOGLEFINANCE(C116, ""price"", EDATE(TODAY(), -12), TODAY()), 2, 2)) - 1, """")"),"")</f>
        <v/>
      </c>
      <c r="Q116" s="6" t="str">
        <f>IFERROR(__xludf.DUMMYFUNCTION("AVERAGE(QUERY(GOOGLEFINANCE(C116, ""price"", TODAY()-80, TODAY()), ""SELECT Col2 WHERE Col2 IS NOT NULL ORDER BY Col1 DESC LIMIT 50"", 0))"),"#N/A")</f>
        <v>#N/A</v>
      </c>
      <c r="R116" s="24" t="str">
        <f>IFERROR(__xludf.DUMMYFUNCTION("IFERROR(
  LET(
    data, QUERY(GOOGLEFINANCE(C116,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GOOGLEFINANCE(C116, ""price"")) * 100,
    IF(calc=0, G116, calc)
  ), 
G116)"),"#N/A")</f>
        <v>#N/A</v>
      </c>
      <c r="S116" s="8" t="s">
        <v>15</v>
      </c>
      <c r="T116" s="26" t="str">
        <f>IFERROR(__xludf.DUMMYFUNCTION("IFERROR(TRANSPOSE(QUERY(IFERROR(SORT(GOOGLEFINANCE(C116, ""price"", WORKDAY(TODAY(), -40), TODAY()), 1, FALSE)), ""select Col2 where Col2 is not null limit 22 label Col2 ''"", 0)), """")"),"")</f>
        <v/>
      </c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8"/>
      <c r="AO116" s="28"/>
      <c r="AP116" s="29"/>
      <c r="AQ116" s="29" t="str">
        <f t="shared" ref="AQ116:BL116" si="120">T116/T$2</f>
        <v>#N/A</v>
      </c>
      <c r="AR116" s="29" t="str">
        <f t="shared" si="120"/>
        <v>#DIV/0!</v>
      </c>
      <c r="AS116" s="29" t="str">
        <f t="shared" si="120"/>
        <v>#DIV/0!</v>
      </c>
      <c r="AT116" s="29" t="str">
        <f t="shared" si="120"/>
        <v>#DIV/0!</v>
      </c>
      <c r="AU116" s="29" t="str">
        <f t="shared" si="120"/>
        <v>#DIV/0!</v>
      </c>
      <c r="AV116" s="29" t="str">
        <f t="shared" si="120"/>
        <v>#DIV/0!</v>
      </c>
      <c r="AW116" s="29" t="str">
        <f t="shared" si="120"/>
        <v>#DIV/0!</v>
      </c>
      <c r="AX116" s="29" t="str">
        <f t="shared" si="120"/>
        <v>#DIV/0!</v>
      </c>
      <c r="AY116" s="29" t="str">
        <f t="shared" si="120"/>
        <v>#DIV/0!</v>
      </c>
      <c r="AZ116" s="29" t="str">
        <f t="shared" si="120"/>
        <v>#DIV/0!</v>
      </c>
      <c r="BA116" s="29" t="str">
        <f t="shared" si="120"/>
        <v>#DIV/0!</v>
      </c>
      <c r="BB116" s="29" t="str">
        <f t="shared" si="120"/>
        <v>#DIV/0!</v>
      </c>
      <c r="BC116" s="29" t="str">
        <f t="shared" si="120"/>
        <v>#DIV/0!</v>
      </c>
      <c r="BD116" s="29" t="str">
        <f t="shared" si="120"/>
        <v>#DIV/0!</v>
      </c>
      <c r="BE116" s="29" t="str">
        <f t="shared" si="120"/>
        <v>#DIV/0!</v>
      </c>
      <c r="BF116" s="29" t="str">
        <f t="shared" si="120"/>
        <v>#DIV/0!</v>
      </c>
      <c r="BG116" s="29" t="str">
        <f t="shared" si="120"/>
        <v>#DIV/0!</v>
      </c>
      <c r="BH116" s="29" t="str">
        <f t="shared" si="120"/>
        <v>#DIV/0!</v>
      </c>
      <c r="BI116" s="29" t="str">
        <f t="shared" si="120"/>
        <v>#DIV/0!</v>
      </c>
      <c r="BJ116" s="29" t="str">
        <f t="shared" si="120"/>
        <v>#DIV/0!</v>
      </c>
      <c r="BK116" s="29" t="str">
        <f t="shared" si="120"/>
        <v>#DIV/0!</v>
      </c>
      <c r="BL116" s="29" t="str">
        <f t="shared" si="120"/>
        <v>#DIV/0!</v>
      </c>
      <c r="BM116" s="29" t="str">
        <f t="shared" si="3"/>
        <v>#DIV/0!</v>
      </c>
    </row>
    <row r="117">
      <c r="A117" s="16" t="str">
        <f>IFERROR(__xludf.DUMMYFUNCTION("IFERROR(SPARKLINE(SORT(MAP(TRANSPOSE(AQ117:BL117), LAMBDA(val, IF(ISNUMBER(val), PERCENTRANK(AQ117:BL117, val)+0.01, 0))), SEQUENCE(COLUMNS(AQ117:BL117)), FALSE), {""charttype"",""column""; ""color"",""chartreuse""; ""ymin"", 0; ""ymax"", 1.01; ""highcolo"&amp;"r"", ""darkgreen""; ""lowcolor"", ""red""}), """")"),"")</f>
        <v/>
      </c>
      <c r="B117" s="17" t="str">
        <f t="shared" si="4"/>
        <v/>
      </c>
      <c r="C117" s="1" t="s">
        <v>1902</v>
      </c>
      <c r="D117" s="30" t="str">
        <f>IFERROR(__xludf.DUMMYFUNCTION("IFERROR(GOOGLEFINANCE(C117, ""NAME""))"),"Emergent Biosolutions Inc")</f>
        <v>Emergent Biosolutions Inc</v>
      </c>
      <c r="E117" s="30" t="s">
        <v>1475</v>
      </c>
      <c r="F117" s="33" t="str">
        <f>IFERROR(__xludf.DUMMYFUNCTION("( (GOOGLEFINANCE(C117, ""price"") - Q117) / Q117 ) / (R117 / 100)"),"Loading...")</f>
        <v>Loading...</v>
      </c>
      <c r="G117" s="20" t="str">
        <f>IFERROR(__xludf.DUMMYFUNCTION("AVERAGE(ARRAYFORMULA(100 * (QUERY(GOOGLEFINANCE(C117, ""high"", TODAY()-40, TODAY()), ""SELECT Col2 WHERE Col2 IS NOT NULL ORDER BY Col1 DESC LIMIT 20"", 0) / QUERY(GOOGLEFINANCE(C117, ""low"", TODAY()-40, TODAY()), ""SELECT Col2 WHERE Col2 IS NOT NULL OR"&amp;"DER BY Col1 DESC LIMIT 20"", 0) - 1)))"),"#N/A")</f>
        <v>#N/A</v>
      </c>
      <c r="H117" s="35" t="str">
        <f t="shared" si="118"/>
        <v/>
      </c>
      <c r="I117" s="36" t="str">
        <f t="shared" si="7"/>
        <v/>
      </c>
      <c r="J117" s="37" t="str">
        <f>IFERROR(__xludf.DUMMYFUNCTION("IFERROR(
  IF(C117="""",, 
    IFERROR(
      GOOGLEFINANCE(C117, ""price"") * GOOGLEFINANCE(C117, ""volumeavg""), 
      GOOGLEFINANCE(C117, ""price"") * AVERAGE(QUERY(GOOGLEFINANCE(C117, ""volume"", TODAY()-40, TODAY()), ""SELECT Col2 WHERE Col2 IS NOT "&amp;"NULL ORDER BY Col1 DESC LIMIT 20"", 0))
    )
  ), 
"""")"),"")</f>
        <v/>
      </c>
      <c r="K117" s="21" t="str">
        <f>IFERROR(__xludf.DUMMYFUNCTION("IFERROR(GOOGLEFINANCE(C117, ""changepct"") / 100, """")"),"")</f>
        <v/>
      </c>
      <c r="L117" s="21" t="str">
        <f>IFERROR(__xludf.DUMMYFUNCTION("IFERROR((GOOGLEFINANCE(C117, ""price"") / INDEX(GOOGLEFINANCE(C117, ""price"", TODAY()-7, TODAY()), 2, 2)) - 1, """")"),"")</f>
        <v/>
      </c>
      <c r="M117" s="21" t="str">
        <f>IFERROR(__xludf.DUMMYFUNCTION("IFERROR((GOOGLEFINANCE(C117, ""price"") / INDEX(GOOGLEFINANCE(C117, ""price"", EDATE(TODAY(), -1), TODAY()), 2, 2)) - 1, """")"),"")</f>
        <v/>
      </c>
      <c r="N117" s="21" t="str">
        <f>IFERROR(__xludf.DUMMYFUNCTION("IFERROR((GOOGLEFINANCE(C117, ""price"") / INDEX(GOOGLEFINANCE(C117, ""price"", EDATE(TODAY(), -3), TODAY()), 2, 2)) - 1, """")"),"")</f>
        <v/>
      </c>
      <c r="O117" s="21" t="str">
        <f>IFERROR(__xludf.DUMMYFUNCTION("IFERROR((GOOGLEFINANCE(C117, ""price"") / INDEX(GOOGLEFINANCE(C117, ""price"", EDATE(TODAY(), -6), TODAY()), 2, 2)) - 1, """")"),"")</f>
        <v/>
      </c>
      <c r="P117" s="21" t="str">
        <f>IFERROR(__xludf.DUMMYFUNCTION("IFERROR((GOOGLEFINANCE(C117, ""price"") / INDEX(GOOGLEFINANCE(C117, ""price"", EDATE(TODAY(), -12), TODAY()), 2, 2)) - 1, """")"),"")</f>
        <v/>
      </c>
      <c r="Q117" s="6" t="str">
        <f>IFERROR(__xludf.DUMMYFUNCTION("AVERAGE(QUERY(GOOGLEFINANCE(C117, ""price"", TODAY()-80, TODAY()), ""SELECT Col2 WHERE Col2 IS NOT NULL ORDER BY Col1 DESC LIMIT 50"", 0))"),"#N/A")</f>
        <v>#N/A</v>
      </c>
      <c r="R117" s="24" t="str">
        <f>IFERROR(__xludf.DUMMYFUNCTION("IFERROR(
  LET(
    data, QUERY(GOOGLEFINANCE(C117,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GOOGLEFINANCE(C117, ""price"")) * 100,
    IF(calc=0, G117, calc)
  ), 
G117)"),"#N/A")</f>
        <v>#N/A</v>
      </c>
      <c r="S117" s="8" t="s">
        <v>15</v>
      </c>
      <c r="T117" s="26" t="str">
        <f>IFERROR(__xludf.DUMMYFUNCTION("IFERROR(TRANSPOSE(QUERY(IFERROR(SORT(GOOGLEFINANCE(C117, ""price"", WORKDAY(TODAY(), -40), TODAY()), 1, FALSE)), ""select Col2 where Col2 is not null limit 22 label Col2 ''"", 0)), """")"),"")</f>
        <v/>
      </c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8"/>
      <c r="AO117" s="28"/>
      <c r="AP117" s="29"/>
      <c r="AQ117" s="29" t="str">
        <f t="shared" ref="AQ117:BL117" si="121">T117/T$2</f>
        <v>#N/A</v>
      </c>
      <c r="AR117" s="29" t="str">
        <f t="shared" si="121"/>
        <v>#DIV/0!</v>
      </c>
      <c r="AS117" s="29" t="str">
        <f t="shared" si="121"/>
        <v>#DIV/0!</v>
      </c>
      <c r="AT117" s="29" t="str">
        <f t="shared" si="121"/>
        <v>#DIV/0!</v>
      </c>
      <c r="AU117" s="29" t="str">
        <f t="shared" si="121"/>
        <v>#DIV/0!</v>
      </c>
      <c r="AV117" s="29" t="str">
        <f t="shared" si="121"/>
        <v>#DIV/0!</v>
      </c>
      <c r="AW117" s="29" t="str">
        <f t="shared" si="121"/>
        <v>#DIV/0!</v>
      </c>
      <c r="AX117" s="29" t="str">
        <f t="shared" si="121"/>
        <v>#DIV/0!</v>
      </c>
      <c r="AY117" s="29" t="str">
        <f t="shared" si="121"/>
        <v>#DIV/0!</v>
      </c>
      <c r="AZ117" s="29" t="str">
        <f t="shared" si="121"/>
        <v>#DIV/0!</v>
      </c>
      <c r="BA117" s="29" t="str">
        <f t="shared" si="121"/>
        <v>#DIV/0!</v>
      </c>
      <c r="BB117" s="29" t="str">
        <f t="shared" si="121"/>
        <v>#DIV/0!</v>
      </c>
      <c r="BC117" s="29" t="str">
        <f t="shared" si="121"/>
        <v>#DIV/0!</v>
      </c>
      <c r="BD117" s="29" t="str">
        <f t="shared" si="121"/>
        <v>#DIV/0!</v>
      </c>
      <c r="BE117" s="29" t="str">
        <f t="shared" si="121"/>
        <v>#DIV/0!</v>
      </c>
      <c r="BF117" s="29" t="str">
        <f t="shared" si="121"/>
        <v>#DIV/0!</v>
      </c>
      <c r="BG117" s="29" t="str">
        <f t="shared" si="121"/>
        <v>#DIV/0!</v>
      </c>
      <c r="BH117" s="29" t="str">
        <f t="shared" si="121"/>
        <v>#DIV/0!</v>
      </c>
      <c r="BI117" s="29" t="str">
        <f t="shared" si="121"/>
        <v>#DIV/0!</v>
      </c>
      <c r="BJ117" s="29" t="str">
        <f t="shared" si="121"/>
        <v>#DIV/0!</v>
      </c>
      <c r="BK117" s="29" t="str">
        <f t="shared" si="121"/>
        <v>#DIV/0!</v>
      </c>
      <c r="BL117" s="29" t="str">
        <f t="shared" si="121"/>
        <v>#DIV/0!</v>
      </c>
      <c r="BM117" s="29" t="str">
        <f t="shared" si="3"/>
        <v>#DIV/0!</v>
      </c>
    </row>
    <row r="118">
      <c r="A118" s="16" t="str">
        <f>IFERROR(__xludf.DUMMYFUNCTION("IFERROR(SPARKLINE(SORT(MAP(TRANSPOSE(AQ118:BL118), LAMBDA(val, IF(ISNUMBER(val), PERCENTRANK(AQ118:BL118, val)+0.01, 0))), SEQUENCE(COLUMNS(AQ118:BL118)), FALSE), {""charttype"",""column""; ""color"",""chartreuse""; ""ymin"", 0; ""ymax"", 1.01; ""highcolo"&amp;"r"", ""darkgreen""; ""lowcolor"", ""red""}), """")"),"")</f>
        <v/>
      </c>
      <c r="B118" s="17" t="str">
        <f t="shared" si="4"/>
        <v/>
      </c>
      <c r="C118" s="1" t="s">
        <v>1905</v>
      </c>
      <c r="D118" s="30" t="str">
        <f>IFERROR(__xludf.DUMMYFUNCTION("IFERROR(GOOGLEFINANCE(C118, ""NAME""))"),"Kamada Ltd")</f>
        <v>Kamada Ltd</v>
      </c>
      <c r="E118" s="30" t="s">
        <v>1475</v>
      </c>
      <c r="F118" s="33" t="str">
        <f>IFERROR(__xludf.DUMMYFUNCTION("( (GOOGLEFINANCE(C118, ""price"") - Q118) / Q118 ) / (R118 / 100)"),"Loading...")</f>
        <v>Loading...</v>
      </c>
      <c r="G118" s="20" t="str">
        <f>IFERROR(__xludf.DUMMYFUNCTION("AVERAGE(ARRAYFORMULA(100 * (QUERY(GOOGLEFINANCE(C118, ""high"", TODAY()-40, TODAY()), ""SELECT Col2 WHERE Col2 IS NOT NULL ORDER BY Col1 DESC LIMIT 20"", 0) / QUERY(GOOGLEFINANCE(C118, ""low"", TODAY()-40, TODAY()), ""SELECT Col2 WHERE Col2 IS NOT NULL OR"&amp;"DER BY Col1 DESC LIMIT 20"", 0) - 1)))"),"#N/A")</f>
        <v>#N/A</v>
      </c>
      <c r="H118" s="35" t="str">
        <f t="shared" si="118"/>
        <v/>
      </c>
      <c r="I118" s="36" t="str">
        <f t="shared" si="7"/>
        <v/>
      </c>
      <c r="J118" s="37" t="str">
        <f>IFERROR(__xludf.DUMMYFUNCTION("IFERROR(
  IF(C118="""",, 
    IFERROR(
      GOOGLEFINANCE(C118, ""price"") * GOOGLEFINANCE(C118, ""volumeavg""), 
      GOOGLEFINANCE(C118, ""price"") * AVERAGE(QUERY(GOOGLEFINANCE(C118, ""volume"", TODAY()-40, TODAY()), ""SELECT Col2 WHERE Col2 IS NOT "&amp;"NULL ORDER BY Col1 DESC LIMIT 20"", 0))
    )
  ), 
"""")"),"")</f>
        <v/>
      </c>
      <c r="K118" s="21" t="str">
        <f>IFERROR(__xludf.DUMMYFUNCTION("IFERROR(GOOGLEFINANCE(C118, ""changepct"") / 100, """")"),"")</f>
        <v/>
      </c>
      <c r="L118" s="21" t="str">
        <f>IFERROR(__xludf.DUMMYFUNCTION("IFERROR((GOOGLEFINANCE(C118, ""price"") / INDEX(GOOGLEFINANCE(C118, ""price"", TODAY()-7, TODAY()), 2, 2)) - 1, """")"),"")</f>
        <v/>
      </c>
      <c r="M118" s="21" t="str">
        <f>IFERROR(__xludf.DUMMYFUNCTION("IFERROR((GOOGLEFINANCE(C118, ""price"") / INDEX(GOOGLEFINANCE(C118, ""price"", EDATE(TODAY(), -1), TODAY()), 2, 2)) - 1, """")"),"")</f>
        <v/>
      </c>
      <c r="N118" s="21" t="str">
        <f>IFERROR(__xludf.DUMMYFUNCTION("IFERROR((GOOGLEFINANCE(C118, ""price"") / INDEX(GOOGLEFINANCE(C118, ""price"", EDATE(TODAY(), -3), TODAY()), 2, 2)) - 1, """")"),"")</f>
        <v/>
      </c>
      <c r="O118" s="21" t="str">
        <f>IFERROR(__xludf.DUMMYFUNCTION("IFERROR((GOOGLEFINANCE(C118, ""price"") / INDEX(GOOGLEFINANCE(C118, ""price"", EDATE(TODAY(), -6), TODAY()), 2, 2)) - 1, """")"),"")</f>
        <v/>
      </c>
      <c r="P118" s="21" t="str">
        <f>IFERROR(__xludf.DUMMYFUNCTION("IFERROR((GOOGLEFINANCE(C118, ""price"") / INDEX(GOOGLEFINANCE(C118, ""price"", EDATE(TODAY(), -12), TODAY()), 2, 2)) - 1, """")"),"")</f>
        <v/>
      </c>
      <c r="Q118" s="6" t="str">
        <f>IFERROR(__xludf.DUMMYFUNCTION("AVERAGE(QUERY(GOOGLEFINANCE(C118, ""price"", TODAY()-80, TODAY()), ""SELECT Col2 WHERE Col2 IS NOT NULL ORDER BY Col1 DESC LIMIT 50"", 0))"),"#N/A")</f>
        <v>#N/A</v>
      </c>
      <c r="R118" s="24" t="str">
        <f>IFERROR(__xludf.DUMMYFUNCTION("IFERROR(
  LET(
    data, QUERY(GOOGLEFINANCE(C118,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GOOGLEFINANCE(C118, ""price"")) * 100,
    IF(calc=0, G118, calc)
  ), 
G118)"),"#N/A")</f>
        <v>#N/A</v>
      </c>
      <c r="S118" s="8" t="s">
        <v>15</v>
      </c>
      <c r="T118" s="26" t="str">
        <f>IFERROR(__xludf.DUMMYFUNCTION("IFERROR(TRANSPOSE(QUERY(IFERROR(SORT(GOOGLEFINANCE(C118, ""price"", WORKDAY(TODAY(), -40), TODAY()), 1, FALSE)), ""select Col2 where Col2 is not null limit 22 label Col2 ''"", 0)), """")"),"")</f>
        <v/>
      </c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8"/>
      <c r="AO118" s="28"/>
      <c r="AP118" s="29"/>
      <c r="AQ118" s="29" t="str">
        <f t="shared" ref="AQ118:BL118" si="122">T118/T$2</f>
        <v>#N/A</v>
      </c>
      <c r="AR118" s="29" t="str">
        <f t="shared" si="122"/>
        <v>#DIV/0!</v>
      </c>
      <c r="AS118" s="29" t="str">
        <f t="shared" si="122"/>
        <v>#DIV/0!</v>
      </c>
      <c r="AT118" s="29" t="str">
        <f t="shared" si="122"/>
        <v>#DIV/0!</v>
      </c>
      <c r="AU118" s="29" t="str">
        <f t="shared" si="122"/>
        <v>#DIV/0!</v>
      </c>
      <c r="AV118" s="29" t="str">
        <f t="shared" si="122"/>
        <v>#DIV/0!</v>
      </c>
      <c r="AW118" s="29" t="str">
        <f t="shared" si="122"/>
        <v>#DIV/0!</v>
      </c>
      <c r="AX118" s="29" t="str">
        <f t="shared" si="122"/>
        <v>#DIV/0!</v>
      </c>
      <c r="AY118" s="29" t="str">
        <f t="shared" si="122"/>
        <v>#DIV/0!</v>
      </c>
      <c r="AZ118" s="29" t="str">
        <f t="shared" si="122"/>
        <v>#DIV/0!</v>
      </c>
      <c r="BA118" s="29" t="str">
        <f t="shared" si="122"/>
        <v>#DIV/0!</v>
      </c>
      <c r="BB118" s="29" t="str">
        <f t="shared" si="122"/>
        <v>#DIV/0!</v>
      </c>
      <c r="BC118" s="29" t="str">
        <f t="shared" si="122"/>
        <v>#DIV/0!</v>
      </c>
      <c r="BD118" s="29" t="str">
        <f t="shared" si="122"/>
        <v>#DIV/0!</v>
      </c>
      <c r="BE118" s="29" t="str">
        <f t="shared" si="122"/>
        <v>#DIV/0!</v>
      </c>
      <c r="BF118" s="29" t="str">
        <f t="shared" si="122"/>
        <v>#DIV/0!</v>
      </c>
      <c r="BG118" s="29" t="str">
        <f t="shared" si="122"/>
        <v>#DIV/0!</v>
      </c>
      <c r="BH118" s="29" t="str">
        <f t="shared" si="122"/>
        <v>#DIV/0!</v>
      </c>
      <c r="BI118" s="29" t="str">
        <f t="shared" si="122"/>
        <v>#DIV/0!</v>
      </c>
      <c r="BJ118" s="29" t="str">
        <f t="shared" si="122"/>
        <v>#DIV/0!</v>
      </c>
      <c r="BK118" s="29" t="str">
        <f t="shared" si="122"/>
        <v>#DIV/0!</v>
      </c>
      <c r="BL118" s="29" t="str">
        <f t="shared" si="122"/>
        <v>#DIV/0!</v>
      </c>
      <c r="BM118" s="29" t="str">
        <f t="shared" si="3"/>
        <v>#DIV/0!</v>
      </c>
    </row>
    <row r="119">
      <c r="A119" s="16" t="str">
        <f>IFERROR(__xludf.DUMMYFUNCTION("IFERROR(SPARKLINE(SORT(MAP(TRANSPOSE(AQ119:BL119), LAMBDA(val, IF(ISNUMBER(val), PERCENTRANK(AQ119:BL119, val)+0.01, 0))), SEQUENCE(COLUMNS(AQ119:BL119)), FALSE), {""charttype"",""column""; ""color"",""chartreuse""; ""ymin"", 0; ""ymax"", 1.01; ""highcolo"&amp;"r"", ""darkgreen""; ""lowcolor"", ""red""}), """")"),"")</f>
        <v/>
      </c>
      <c r="B119" s="17" t="str">
        <f t="shared" si="4"/>
        <v/>
      </c>
      <c r="C119" s="1" t="s">
        <v>1909</v>
      </c>
      <c r="D119" s="30" t="str">
        <f>IFERROR(__xludf.DUMMYFUNCTION("IFERROR(GOOGLEFINANCE(C119, ""NAME""))"),"ICU Medical Inc")</f>
        <v>ICU Medical Inc</v>
      </c>
      <c r="E119" s="30" t="s">
        <v>1502</v>
      </c>
      <c r="F119" s="33" t="str">
        <f>IFERROR(__xludf.DUMMYFUNCTION("( (GOOGLEFINANCE(C119, ""price"") - Q119) / Q119 ) / (R119 / 100)"),"Loading...")</f>
        <v>Loading...</v>
      </c>
      <c r="G119" s="20" t="str">
        <f>IFERROR(__xludf.DUMMYFUNCTION("AVERAGE(ARRAYFORMULA(100 * (QUERY(GOOGLEFINANCE(C119, ""high"", TODAY()-40, TODAY()), ""SELECT Col2 WHERE Col2 IS NOT NULL ORDER BY Col1 DESC LIMIT 20"", 0) / QUERY(GOOGLEFINANCE(C119, ""low"", TODAY()-40, TODAY()), ""SELECT Col2 WHERE Col2 IS NOT NULL OR"&amp;"DER BY Col1 DESC LIMIT 20"", 0) - 1)))"),"#N/A")</f>
        <v>#N/A</v>
      </c>
      <c r="H119" s="35" t="str">
        <f t="shared" si="118"/>
        <v/>
      </c>
      <c r="I119" s="36" t="str">
        <f t="shared" si="7"/>
        <v/>
      </c>
      <c r="J119" s="37" t="str">
        <f>IFERROR(__xludf.DUMMYFUNCTION("IFERROR(
  IF(C119="""",, 
    IFERROR(
      GOOGLEFINANCE(C119, ""price"") * GOOGLEFINANCE(C119, ""volumeavg""), 
      GOOGLEFINANCE(C119, ""price"") * AVERAGE(QUERY(GOOGLEFINANCE(C119, ""volume"", TODAY()-40, TODAY()), ""SELECT Col2 WHERE Col2 IS NOT "&amp;"NULL ORDER BY Col1 DESC LIMIT 20"", 0))
    )
  ), 
"""")"),"")</f>
        <v/>
      </c>
      <c r="K119" s="21" t="str">
        <f>IFERROR(__xludf.DUMMYFUNCTION("IFERROR(GOOGLEFINANCE(C119, ""changepct"") / 100, """")"),"")</f>
        <v/>
      </c>
      <c r="L119" s="21" t="str">
        <f>IFERROR(__xludf.DUMMYFUNCTION("IFERROR((GOOGLEFINANCE(C119, ""price"") / INDEX(GOOGLEFINANCE(C119, ""price"", TODAY()-7, TODAY()), 2, 2)) - 1, """")"),"")</f>
        <v/>
      </c>
      <c r="M119" s="21" t="str">
        <f>IFERROR(__xludf.DUMMYFUNCTION("IFERROR((GOOGLEFINANCE(C119, ""price"") / INDEX(GOOGLEFINANCE(C119, ""price"", EDATE(TODAY(), -1), TODAY()), 2, 2)) - 1, """")"),"")</f>
        <v/>
      </c>
      <c r="N119" s="21" t="str">
        <f>IFERROR(__xludf.DUMMYFUNCTION("IFERROR((GOOGLEFINANCE(C119, ""price"") / INDEX(GOOGLEFINANCE(C119, ""price"", EDATE(TODAY(), -3), TODAY()), 2, 2)) - 1, """")"),"")</f>
        <v/>
      </c>
      <c r="O119" s="21" t="str">
        <f>IFERROR(__xludf.DUMMYFUNCTION("IFERROR((GOOGLEFINANCE(C119, ""price"") / INDEX(GOOGLEFINANCE(C119, ""price"", EDATE(TODAY(), -6), TODAY()), 2, 2)) - 1, """")"),"")</f>
        <v/>
      </c>
      <c r="P119" s="21" t="str">
        <f>IFERROR(__xludf.DUMMYFUNCTION("IFERROR((GOOGLEFINANCE(C119, ""price"") / INDEX(GOOGLEFINANCE(C119, ""price"", EDATE(TODAY(), -12), TODAY()), 2, 2)) - 1, """")"),"")</f>
        <v/>
      </c>
      <c r="Q119" s="6" t="str">
        <f>IFERROR(__xludf.DUMMYFUNCTION("AVERAGE(QUERY(GOOGLEFINANCE(C119, ""price"", TODAY()-80, TODAY()), ""SELECT Col2 WHERE Col2 IS NOT NULL ORDER BY Col1 DESC LIMIT 50"", 0))"),"#N/A")</f>
        <v>#N/A</v>
      </c>
      <c r="R119" s="24" t="str">
        <f>IFERROR(__xludf.DUMMYFUNCTION("IFERROR(
  LET(
    data, QUERY(GOOGLEFINANCE(C119,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GOOGLEFINANCE(C119, ""price"")) * 100,
    IF(calc=0, G119, calc)
  ), 
G119)"),"#N/A")</f>
        <v>#N/A</v>
      </c>
      <c r="S119" s="8" t="s">
        <v>15</v>
      </c>
      <c r="T119" s="26" t="str">
        <f>IFERROR(__xludf.DUMMYFUNCTION("IFERROR(TRANSPOSE(QUERY(IFERROR(SORT(GOOGLEFINANCE(C119, ""price"", WORKDAY(TODAY(), -40), TODAY()), 1, FALSE)), ""select Col2 where Col2 is not null limit 22 label Col2 ''"", 0)), """")"),"")</f>
        <v/>
      </c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8"/>
      <c r="AO119" s="28"/>
      <c r="AP119" s="29"/>
      <c r="AQ119" s="29" t="str">
        <f t="shared" ref="AQ119:BL119" si="123">T119/T$2</f>
        <v>#N/A</v>
      </c>
      <c r="AR119" s="29" t="str">
        <f t="shared" si="123"/>
        <v>#DIV/0!</v>
      </c>
      <c r="AS119" s="29" t="str">
        <f t="shared" si="123"/>
        <v>#DIV/0!</v>
      </c>
      <c r="AT119" s="29" t="str">
        <f t="shared" si="123"/>
        <v>#DIV/0!</v>
      </c>
      <c r="AU119" s="29" t="str">
        <f t="shared" si="123"/>
        <v>#DIV/0!</v>
      </c>
      <c r="AV119" s="29" t="str">
        <f t="shared" si="123"/>
        <v>#DIV/0!</v>
      </c>
      <c r="AW119" s="29" t="str">
        <f t="shared" si="123"/>
        <v>#DIV/0!</v>
      </c>
      <c r="AX119" s="29" t="str">
        <f t="shared" si="123"/>
        <v>#DIV/0!</v>
      </c>
      <c r="AY119" s="29" t="str">
        <f t="shared" si="123"/>
        <v>#DIV/0!</v>
      </c>
      <c r="AZ119" s="29" t="str">
        <f t="shared" si="123"/>
        <v>#DIV/0!</v>
      </c>
      <c r="BA119" s="29" t="str">
        <f t="shared" si="123"/>
        <v>#DIV/0!</v>
      </c>
      <c r="BB119" s="29" t="str">
        <f t="shared" si="123"/>
        <v>#DIV/0!</v>
      </c>
      <c r="BC119" s="29" t="str">
        <f t="shared" si="123"/>
        <v>#DIV/0!</v>
      </c>
      <c r="BD119" s="29" t="str">
        <f t="shared" si="123"/>
        <v>#DIV/0!</v>
      </c>
      <c r="BE119" s="29" t="str">
        <f t="shared" si="123"/>
        <v>#DIV/0!</v>
      </c>
      <c r="BF119" s="29" t="str">
        <f t="shared" si="123"/>
        <v>#DIV/0!</v>
      </c>
      <c r="BG119" s="29" t="str">
        <f t="shared" si="123"/>
        <v>#DIV/0!</v>
      </c>
      <c r="BH119" s="29" t="str">
        <f t="shared" si="123"/>
        <v>#DIV/0!</v>
      </c>
      <c r="BI119" s="29" t="str">
        <f t="shared" si="123"/>
        <v>#DIV/0!</v>
      </c>
      <c r="BJ119" s="29" t="str">
        <f t="shared" si="123"/>
        <v>#DIV/0!</v>
      </c>
      <c r="BK119" s="29" t="str">
        <f t="shared" si="123"/>
        <v>#DIV/0!</v>
      </c>
      <c r="BL119" s="29" t="str">
        <f t="shared" si="123"/>
        <v>#DIV/0!</v>
      </c>
      <c r="BM119" s="29" t="str">
        <f t="shared" si="3"/>
        <v>#DIV/0!</v>
      </c>
    </row>
    <row r="120">
      <c r="A120" s="16" t="str">
        <f>IFERROR(__xludf.DUMMYFUNCTION("IFERROR(SPARKLINE(SORT(MAP(TRANSPOSE(AQ120:BL120), LAMBDA(val, IF(ISNUMBER(val), PERCENTRANK(AQ120:BL120, val)+0.01, 0))), SEQUENCE(COLUMNS(AQ120:BL120)), FALSE), {""charttype"",""column""; ""color"",""chartreuse""; ""ymin"", 0; ""ymax"", 1.01; ""highcolo"&amp;"r"", ""darkgreen""; ""lowcolor"", ""red""}), """")"),"")</f>
        <v/>
      </c>
      <c r="B120" s="17" t="str">
        <f t="shared" si="4"/>
        <v/>
      </c>
      <c r="C120" s="1" t="s">
        <v>1913</v>
      </c>
      <c r="D120" s="30" t="str">
        <f>IFERROR(__xludf.DUMMYFUNCTION("IFERROR(GOOGLEFINANCE(C120, ""NAME""))"),"Senseonics Holdings Inc")</f>
        <v>Senseonics Holdings Inc</v>
      </c>
      <c r="E120" s="30" t="s">
        <v>1491</v>
      </c>
      <c r="F120" s="33" t="str">
        <f>IFERROR(__xludf.DUMMYFUNCTION("( (GOOGLEFINANCE(C120, ""price"") - Q120) / Q120 ) / (R120 / 100)"),"Loading...")</f>
        <v>Loading...</v>
      </c>
      <c r="G120" s="20" t="str">
        <f>IFERROR(__xludf.DUMMYFUNCTION("AVERAGE(ARRAYFORMULA(100 * (QUERY(GOOGLEFINANCE(C120, ""high"", TODAY()-40, TODAY()), ""SELECT Col2 WHERE Col2 IS NOT NULL ORDER BY Col1 DESC LIMIT 20"", 0) / QUERY(GOOGLEFINANCE(C120, ""low"", TODAY()-40, TODAY()), ""SELECT Col2 WHERE Col2 IS NOT NULL OR"&amp;"DER BY Col1 DESC LIMIT 20"", 0) - 1)))"),"#N/A")</f>
        <v>#N/A</v>
      </c>
      <c r="H120" s="35" t="str">
        <f t="shared" si="118"/>
        <v/>
      </c>
      <c r="I120" s="36" t="str">
        <f t="shared" si="7"/>
        <v/>
      </c>
      <c r="J120" s="37" t="str">
        <f>IFERROR(__xludf.DUMMYFUNCTION("IFERROR(
  IF(C120="""",, 
    IFERROR(
      GOOGLEFINANCE(C120, ""price"") * GOOGLEFINANCE(C120, ""volumeavg""), 
      GOOGLEFINANCE(C120, ""price"") * AVERAGE(QUERY(GOOGLEFINANCE(C120, ""volume"", TODAY()-40, TODAY()), ""SELECT Col2 WHERE Col2 IS NOT "&amp;"NULL ORDER BY Col1 DESC LIMIT 20"", 0))
    )
  ), 
"""")"),"")</f>
        <v/>
      </c>
      <c r="K120" s="21" t="str">
        <f>IFERROR(__xludf.DUMMYFUNCTION("IFERROR(GOOGLEFINANCE(C120, ""changepct"") / 100, """")"),"")</f>
        <v/>
      </c>
      <c r="L120" s="21" t="str">
        <f>IFERROR(__xludf.DUMMYFUNCTION("IFERROR((GOOGLEFINANCE(C120, ""price"") / INDEX(GOOGLEFINANCE(C120, ""price"", TODAY()-7, TODAY()), 2, 2)) - 1, """")"),"")</f>
        <v/>
      </c>
      <c r="M120" s="21" t="str">
        <f>IFERROR(__xludf.DUMMYFUNCTION("IFERROR((GOOGLEFINANCE(C120, ""price"") / INDEX(GOOGLEFINANCE(C120, ""price"", EDATE(TODAY(), -1), TODAY()), 2, 2)) - 1, """")"),"")</f>
        <v/>
      </c>
      <c r="N120" s="21" t="str">
        <f>IFERROR(__xludf.DUMMYFUNCTION("IFERROR((GOOGLEFINANCE(C120, ""price"") / INDEX(GOOGLEFINANCE(C120, ""price"", EDATE(TODAY(), -3), TODAY()), 2, 2)) - 1, """")"),"")</f>
        <v/>
      </c>
      <c r="O120" s="21" t="str">
        <f>IFERROR(__xludf.DUMMYFUNCTION("IFERROR((GOOGLEFINANCE(C120, ""price"") / INDEX(GOOGLEFINANCE(C120, ""price"", EDATE(TODAY(), -6), TODAY()), 2, 2)) - 1, """")"),"")</f>
        <v/>
      </c>
      <c r="P120" s="21" t="str">
        <f>IFERROR(__xludf.DUMMYFUNCTION("IFERROR((GOOGLEFINANCE(C120, ""price"") / INDEX(GOOGLEFINANCE(C120, ""price"", EDATE(TODAY(), -12), TODAY()), 2, 2)) - 1, """")"),"")</f>
        <v/>
      </c>
      <c r="Q120" s="6" t="str">
        <f>IFERROR(__xludf.DUMMYFUNCTION("AVERAGE(QUERY(GOOGLEFINANCE(C120, ""price"", TODAY()-80, TODAY()), ""SELECT Col2 WHERE Col2 IS NOT NULL ORDER BY Col1 DESC LIMIT 50"", 0))"),"#N/A")</f>
        <v>#N/A</v>
      </c>
      <c r="R120" s="24" t="str">
        <f>IFERROR(__xludf.DUMMYFUNCTION("IFERROR(
  LET(
    data, QUERY(GOOGLEFINANCE(C120,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GOOGLEFINANCE(C120, ""price"")) * 100,
    IF(calc=0, G120, calc)
  ), 
G120)"),"#N/A")</f>
        <v>#N/A</v>
      </c>
      <c r="S120" s="8" t="s">
        <v>15</v>
      </c>
      <c r="T120" s="26" t="str">
        <f>IFERROR(__xludf.DUMMYFUNCTION("IFERROR(TRANSPOSE(QUERY(IFERROR(SORT(GOOGLEFINANCE(C120, ""price"", WORKDAY(TODAY(), -40), TODAY()), 1, FALSE)), ""select Col2 where Col2 is not null limit 22 label Col2 ''"", 0)), """")"),"")</f>
        <v/>
      </c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8"/>
      <c r="AO120" s="28"/>
      <c r="AP120" s="29"/>
      <c r="AQ120" s="29" t="str">
        <f t="shared" ref="AQ120:BL120" si="124">T120/T$2</f>
        <v>#N/A</v>
      </c>
      <c r="AR120" s="29" t="str">
        <f t="shared" si="124"/>
        <v>#DIV/0!</v>
      </c>
      <c r="AS120" s="29" t="str">
        <f t="shared" si="124"/>
        <v>#DIV/0!</v>
      </c>
      <c r="AT120" s="29" t="str">
        <f t="shared" si="124"/>
        <v>#DIV/0!</v>
      </c>
      <c r="AU120" s="29" t="str">
        <f t="shared" si="124"/>
        <v>#DIV/0!</v>
      </c>
      <c r="AV120" s="29" t="str">
        <f t="shared" si="124"/>
        <v>#DIV/0!</v>
      </c>
      <c r="AW120" s="29" t="str">
        <f t="shared" si="124"/>
        <v>#DIV/0!</v>
      </c>
      <c r="AX120" s="29" t="str">
        <f t="shared" si="124"/>
        <v>#DIV/0!</v>
      </c>
      <c r="AY120" s="29" t="str">
        <f t="shared" si="124"/>
        <v>#DIV/0!</v>
      </c>
      <c r="AZ120" s="29" t="str">
        <f t="shared" si="124"/>
        <v>#DIV/0!</v>
      </c>
      <c r="BA120" s="29" t="str">
        <f t="shared" si="124"/>
        <v>#DIV/0!</v>
      </c>
      <c r="BB120" s="29" t="str">
        <f t="shared" si="124"/>
        <v>#DIV/0!</v>
      </c>
      <c r="BC120" s="29" t="str">
        <f t="shared" si="124"/>
        <v>#DIV/0!</v>
      </c>
      <c r="BD120" s="29" t="str">
        <f t="shared" si="124"/>
        <v>#DIV/0!</v>
      </c>
      <c r="BE120" s="29" t="str">
        <f t="shared" si="124"/>
        <v>#DIV/0!</v>
      </c>
      <c r="BF120" s="29" t="str">
        <f t="shared" si="124"/>
        <v>#DIV/0!</v>
      </c>
      <c r="BG120" s="29" t="str">
        <f t="shared" si="124"/>
        <v>#DIV/0!</v>
      </c>
      <c r="BH120" s="29" t="str">
        <f t="shared" si="124"/>
        <v>#DIV/0!</v>
      </c>
      <c r="BI120" s="29" t="str">
        <f t="shared" si="124"/>
        <v>#DIV/0!</v>
      </c>
      <c r="BJ120" s="29" t="str">
        <f t="shared" si="124"/>
        <v>#DIV/0!</v>
      </c>
      <c r="BK120" s="29" t="str">
        <f t="shared" si="124"/>
        <v>#DIV/0!</v>
      </c>
      <c r="BL120" s="29" t="str">
        <f t="shared" si="124"/>
        <v>#DIV/0!</v>
      </c>
      <c r="BM120" s="29" t="str">
        <f t="shared" si="3"/>
        <v>#DIV/0!</v>
      </c>
    </row>
    <row r="121">
      <c r="A121" s="16" t="str">
        <f>IFERROR(__xludf.DUMMYFUNCTION("IFERROR(SPARKLINE(SORT(MAP(TRANSPOSE(AQ121:BL121), LAMBDA(val, IF(ISNUMBER(val), PERCENTRANK(AQ121:BL121, val)+0.01, 0))), SEQUENCE(COLUMNS(AQ121:BL121)), FALSE), {""charttype"",""column""; ""color"",""chartreuse""; ""ymin"", 0; ""ymax"", 1.01; ""highcolo"&amp;"r"", ""darkgreen""; ""lowcolor"", ""red""}), """")"),"")</f>
        <v/>
      </c>
      <c r="B121" s="17" t="str">
        <f t="shared" si="4"/>
        <v/>
      </c>
      <c r="C121" s="1" t="s">
        <v>1916</v>
      </c>
      <c r="D121" s="30" t="str">
        <f>IFERROR(__xludf.DUMMYFUNCTION("IFERROR(GOOGLEFINANCE(C121, ""NAME""))"),"SS Innovations International Inc")</f>
        <v>SS Innovations International Inc</v>
      </c>
      <c r="E121" s="30" t="s">
        <v>1491</v>
      </c>
      <c r="F121" s="33" t="str">
        <f>IFERROR(__xludf.DUMMYFUNCTION("( (GOOGLEFINANCE(C121, ""price"") - Q121) / Q121 ) / (R121 / 100)"),"Loading...")</f>
        <v>Loading...</v>
      </c>
      <c r="G121" s="20" t="str">
        <f>IFERROR(__xludf.DUMMYFUNCTION("AVERAGE(ARRAYFORMULA(100 * (QUERY(GOOGLEFINANCE(C121, ""high"", TODAY()-40, TODAY()), ""SELECT Col2 WHERE Col2 IS NOT NULL ORDER BY Col1 DESC LIMIT 20"", 0) / QUERY(GOOGLEFINANCE(C121, ""low"", TODAY()-40, TODAY()), ""SELECT Col2 WHERE Col2 IS NOT NULL OR"&amp;"DER BY Col1 DESC LIMIT 20"", 0) - 1)))"),"#N/A")</f>
        <v>#N/A</v>
      </c>
      <c r="H121" s="35" t="str">
        <f t="shared" si="118"/>
        <v/>
      </c>
      <c r="I121" s="36" t="str">
        <f t="shared" si="7"/>
        <v/>
      </c>
      <c r="J121" s="37" t="str">
        <f>IFERROR(__xludf.DUMMYFUNCTION("IFERROR(
  IF(C121="""",, 
    IFERROR(
      GOOGLEFINANCE(C121, ""price"") * GOOGLEFINANCE(C121, ""volumeavg""), 
      GOOGLEFINANCE(C121, ""price"") * AVERAGE(QUERY(GOOGLEFINANCE(C121, ""volume"", TODAY()-40, TODAY()), ""SELECT Col2 WHERE Col2 IS NOT "&amp;"NULL ORDER BY Col1 DESC LIMIT 20"", 0))
    )
  ), 
"""")"),"")</f>
        <v/>
      </c>
      <c r="K121" s="21" t="str">
        <f>IFERROR(__xludf.DUMMYFUNCTION("IFERROR(GOOGLEFINANCE(C121, ""changepct"") / 100, """")"),"")</f>
        <v/>
      </c>
      <c r="L121" s="21" t="str">
        <f>IFERROR(__xludf.DUMMYFUNCTION("IFERROR((GOOGLEFINANCE(C121, ""price"") / INDEX(GOOGLEFINANCE(C121, ""price"", TODAY()-7, TODAY()), 2, 2)) - 1, """")"),"")</f>
        <v/>
      </c>
      <c r="M121" s="21" t="str">
        <f>IFERROR(__xludf.DUMMYFUNCTION("IFERROR((GOOGLEFINANCE(C121, ""price"") / INDEX(GOOGLEFINANCE(C121, ""price"", EDATE(TODAY(), -1), TODAY()), 2, 2)) - 1, """")"),"")</f>
        <v/>
      </c>
      <c r="N121" s="21" t="str">
        <f>IFERROR(__xludf.DUMMYFUNCTION("IFERROR((GOOGLEFINANCE(C121, ""price"") / INDEX(GOOGLEFINANCE(C121, ""price"", EDATE(TODAY(), -3), TODAY()), 2, 2)) - 1, """")"),"")</f>
        <v/>
      </c>
      <c r="O121" s="21" t="str">
        <f>IFERROR(__xludf.DUMMYFUNCTION("IFERROR((GOOGLEFINANCE(C121, ""price"") / INDEX(GOOGLEFINANCE(C121, ""price"", EDATE(TODAY(), -6), TODAY()), 2, 2)) - 1, """")"),"")</f>
        <v/>
      </c>
      <c r="P121" s="21" t="str">
        <f>IFERROR(__xludf.DUMMYFUNCTION("IFERROR((GOOGLEFINANCE(C121, ""price"") / INDEX(GOOGLEFINANCE(C121, ""price"", EDATE(TODAY(), -12), TODAY()), 2, 2)) - 1, """")"),"")</f>
        <v/>
      </c>
      <c r="Q121" s="6" t="str">
        <f>IFERROR(__xludf.DUMMYFUNCTION("AVERAGE(QUERY(GOOGLEFINANCE(C121, ""price"", TODAY()-80, TODAY()), ""SELECT Col2 WHERE Col2 IS NOT NULL ORDER BY Col1 DESC LIMIT 50"", 0))"),"#N/A")</f>
        <v>#N/A</v>
      </c>
      <c r="R121" s="24" t="str">
        <f>IFERROR(__xludf.DUMMYFUNCTION("IFERROR(
  LET(
    data, QUERY(GOOGLEFINANCE(C121,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GOOGLEFINANCE(C121, ""price"")) * 100,
    IF(calc=0, G121, calc)
  ), 
G121)"),"#N/A")</f>
        <v>#N/A</v>
      </c>
      <c r="S121" s="8" t="s">
        <v>15</v>
      </c>
      <c r="T121" s="26" t="str">
        <f>IFERROR(__xludf.DUMMYFUNCTION("IFERROR(TRANSPOSE(QUERY(IFERROR(SORT(GOOGLEFINANCE(C121, ""price"", WORKDAY(TODAY(), -40), TODAY()), 1, FALSE)), ""select Col2 where Col2 is not null limit 22 label Col2 ''"", 0)), """")"),"")</f>
        <v/>
      </c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8"/>
      <c r="AO121" s="28"/>
      <c r="AP121" s="29"/>
      <c r="AQ121" s="29" t="str">
        <f t="shared" ref="AQ121:BL121" si="125">T121/T$2</f>
        <v>#N/A</v>
      </c>
      <c r="AR121" s="29" t="str">
        <f t="shared" si="125"/>
        <v>#DIV/0!</v>
      </c>
      <c r="AS121" s="29" t="str">
        <f t="shared" si="125"/>
        <v>#DIV/0!</v>
      </c>
      <c r="AT121" s="29" t="str">
        <f t="shared" si="125"/>
        <v>#DIV/0!</v>
      </c>
      <c r="AU121" s="29" t="str">
        <f t="shared" si="125"/>
        <v>#DIV/0!</v>
      </c>
      <c r="AV121" s="29" t="str">
        <f t="shared" si="125"/>
        <v>#DIV/0!</v>
      </c>
      <c r="AW121" s="29" t="str">
        <f t="shared" si="125"/>
        <v>#DIV/0!</v>
      </c>
      <c r="AX121" s="29" t="str">
        <f t="shared" si="125"/>
        <v>#DIV/0!</v>
      </c>
      <c r="AY121" s="29" t="str">
        <f t="shared" si="125"/>
        <v>#DIV/0!</v>
      </c>
      <c r="AZ121" s="29" t="str">
        <f t="shared" si="125"/>
        <v>#DIV/0!</v>
      </c>
      <c r="BA121" s="29" t="str">
        <f t="shared" si="125"/>
        <v>#DIV/0!</v>
      </c>
      <c r="BB121" s="29" t="str">
        <f t="shared" si="125"/>
        <v>#DIV/0!</v>
      </c>
      <c r="BC121" s="29" t="str">
        <f t="shared" si="125"/>
        <v>#DIV/0!</v>
      </c>
      <c r="BD121" s="29" t="str">
        <f t="shared" si="125"/>
        <v>#DIV/0!</v>
      </c>
      <c r="BE121" s="29" t="str">
        <f t="shared" si="125"/>
        <v>#DIV/0!</v>
      </c>
      <c r="BF121" s="29" t="str">
        <f t="shared" si="125"/>
        <v>#DIV/0!</v>
      </c>
      <c r="BG121" s="29" t="str">
        <f t="shared" si="125"/>
        <v>#DIV/0!</v>
      </c>
      <c r="BH121" s="29" t="str">
        <f t="shared" si="125"/>
        <v>#DIV/0!</v>
      </c>
      <c r="BI121" s="29" t="str">
        <f t="shared" si="125"/>
        <v>#DIV/0!</v>
      </c>
      <c r="BJ121" s="29" t="str">
        <f t="shared" si="125"/>
        <v>#DIV/0!</v>
      </c>
      <c r="BK121" s="29" t="str">
        <f t="shared" si="125"/>
        <v>#DIV/0!</v>
      </c>
      <c r="BL121" s="29" t="str">
        <f t="shared" si="125"/>
        <v>#DIV/0!</v>
      </c>
      <c r="BM121" s="29" t="str">
        <f t="shared" si="3"/>
        <v>#DIV/0!</v>
      </c>
    </row>
    <row r="122">
      <c r="A122" s="16" t="str">
        <f>IFERROR(__xludf.DUMMYFUNCTION("IFERROR(SPARKLINE(SORT(MAP(TRANSPOSE(AQ122:BL122), LAMBDA(val, IF(ISNUMBER(val), PERCENTRANK(AQ122:BL122, val)+0.01, 0))), SEQUENCE(COLUMNS(AQ122:BL122)), FALSE), {""charttype"",""column""; ""color"",""chartreuse""; ""ymin"", 0; ""ymax"", 1.01; ""highcolo"&amp;"r"", ""darkgreen""; ""lowcolor"", ""red""}), """")"),"")</f>
        <v/>
      </c>
      <c r="B122" s="17" t="str">
        <f t="shared" si="4"/>
        <v/>
      </c>
      <c r="C122" s="1" t="s">
        <v>1920</v>
      </c>
      <c r="D122" s="30" t="str">
        <f>IFERROR(__xludf.DUMMYFUNCTION("IFERROR(GOOGLEFINANCE(C122, ""NAME""))"),"Amgen Inc")</f>
        <v>Amgen Inc</v>
      </c>
      <c r="E122" s="30" t="s">
        <v>1509</v>
      </c>
      <c r="F122" s="33" t="str">
        <f>IFERROR(__xludf.DUMMYFUNCTION("( (GOOGLEFINANCE(C122, ""price"") - Q122) / Q122 ) / (R122 / 100)"),"Loading...")</f>
        <v>Loading...</v>
      </c>
      <c r="G122" s="20" t="str">
        <f>IFERROR(__xludf.DUMMYFUNCTION("AVERAGE(ARRAYFORMULA(100 * (QUERY(GOOGLEFINANCE(C122, ""high"", TODAY()-40, TODAY()), ""SELECT Col2 WHERE Col2 IS NOT NULL ORDER BY Col1 DESC LIMIT 20"", 0) / QUERY(GOOGLEFINANCE(C122, ""low"", TODAY()-40, TODAY()), ""SELECT Col2 WHERE Col2 IS NOT NULL OR"&amp;"DER BY Col1 DESC LIMIT 20"", 0) - 1)))"),"#N/A")</f>
        <v>#N/A</v>
      </c>
      <c r="H122" s="35" t="str">
        <f t="shared" si="118"/>
        <v/>
      </c>
      <c r="I122" s="36" t="str">
        <f t="shared" si="7"/>
        <v/>
      </c>
      <c r="J122" s="37" t="str">
        <f>IFERROR(__xludf.DUMMYFUNCTION("IFERROR(
  IF(C122="""",, 
    IFERROR(
      GOOGLEFINANCE(C122, ""price"") * GOOGLEFINANCE(C122, ""volumeavg""), 
      GOOGLEFINANCE(C122, ""price"") * AVERAGE(QUERY(GOOGLEFINANCE(C122, ""volume"", TODAY()-40, TODAY()), ""SELECT Col2 WHERE Col2 IS NOT "&amp;"NULL ORDER BY Col1 DESC LIMIT 20"", 0))
    )
  ), 
"""")"),"")</f>
        <v/>
      </c>
      <c r="K122" s="21" t="str">
        <f>IFERROR(__xludf.DUMMYFUNCTION("IFERROR(GOOGLEFINANCE(C122, ""changepct"") / 100, """")"),"")</f>
        <v/>
      </c>
      <c r="L122" s="21" t="str">
        <f>IFERROR(__xludf.DUMMYFUNCTION("IFERROR((GOOGLEFINANCE(C122, ""price"") / INDEX(GOOGLEFINANCE(C122, ""price"", TODAY()-7, TODAY()), 2, 2)) - 1, """")"),"")</f>
        <v/>
      </c>
      <c r="M122" s="21" t="str">
        <f>IFERROR(__xludf.DUMMYFUNCTION("IFERROR((GOOGLEFINANCE(C122, ""price"") / INDEX(GOOGLEFINANCE(C122, ""price"", EDATE(TODAY(), -1), TODAY()), 2, 2)) - 1, """")"),"")</f>
        <v/>
      </c>
      <c r="N122" s="21" t="str">
        <f>IFERROR(__xludf.DUMMYFUNCTION("IFERROR((GOOGLEFINANCE(C122, ""price"") / INDEX(GOOGLEFINANCE(C122, ""price"", EDATE(TODAY(), -3), TODAY()), 2, 2)) - 1, """")"),"")</f>
        <v/>
      </c>
      <c r="O122" s="21" t="str">
        <f>IFERROR(__xludf.DUMMYFUNCTION("IFERROR((GOOGLEFINANCE(C122, ""price"") / INDEX(GOOGLEFINANCE(C122, ""price"", EDATE(TODAY(), -6), TODAY()), 2, 2)) - 1, """")"),"")</f>
        <v/>
      </c>
      <c r="P122" s="21" t="str">
        <f>IFERROR(__xludf.DUMMYFUNCTION("IFERROR((GOOGLEFINANCE(C122, ""price"") / INDEX(GOOGLEFINANCE(C122, ""price"", EDATE(TODAY(), -12), TODAY()), 2, 2)) - 1, """")"),"")</f>
        <v/>
      </c>
      <c r="Q122" s="6" t="str">
        <f>IFERROR(__xludf.DUMMYFUNCTION("AVERAGE(QUERY(GOOGLEFINANCE(C122, ""price"", TODAY()-80, TODAY()), ""SELECT Col2 WHERE Col2 IS NOT NULL ORDER BY Col1 DESC LIMIT 50"", 0))"),"#N/A")</f>
        <v>#N/A</v>
      </c>
      <c r="R122" s="24" t="str">
        <f>IFERROR(__xludf.DUMMYFUNCTION("IFERROR(
  LET(
    data, QUERY(GOOGLEFINANCE(C122,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GOOGLEFINANCE(C122, ""price"")) * 100,
    IF(calc=0, G122, calc)
  ), 
G122)"),"#N/A")</f>
        <v>#N/A</v>
      </c>
      <c r="S122" s="8" t="s">
        <v>15</v>
      </c>
      <c r="T122" s="26" t="str">
        <f>IFERROR(__xludf.DUMMYFUNCTION("IFERROR(TRANSPOSE(QUERY(IFERROR(SORT(GOOGLEFINANCE(C122, ""price"", WORKDAY(TODAY(), -40), TODAY()), 1, FALSE)), ""select Col2 where Col2 is not null limit 22 label Col2 ''"", 0)), """")"),"")</f>
        <v/>
      </c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8"/>
      <c r="AO122" s="28"/>
      <c r="AP122" s="29"/>
      <c r="AQ122" s="29" t="str">
        <f t="shared" ref="AQ122:BL122" si="126">T122/T$2</f>
        <v>#N/A</v>
      </c>
      <c r="AR122" s="29" t="str">
        <f t="shared" si="126"/>
        <v>#DIV/0!</v>
      </c>
      <c r="AS122" s="29" t="str">
        <f t="shared" si="126"/>
        <v>#DIV/0!</v>
      </c>
      <c r="AT122" s="29" t="str">
        <f t="shared" si="126"/>
        <v>#DIV/0!</v>
      </c>
      <c r="AU122" s="29" t="str">
        <f t="shared" si="126"/>
        <v>#DIV/0!</v>
      </c>
      <c r="AV122" s="29" t="str">
        <f t="shared" si="126"/>
        <v>#DIV/0!</v>
      </c>
      <c r="AW122" s="29" t="str">
        <f t="shared" si="126"/>
        <v>#DIV/0!</v>
      </c>
      <c r="AX122" s="29" t="str">
        <f t="shared" si="126"/>
        <v>#DIV/0!</v>
      </c>
      <c r="AY122" s="29" t="str">
        <f t="shared" si="126"/>
        <v>#DIV/0!</v>
      </c>
      <c r="AZ122" s="29" t="str">
        <f t="shared" si="126"/>
        <v>#DIV/0!</v>
      </c>
      <c r="BA122" s="29" t="str">
        <f t="shared" si="126"/>
        <v>#DIV/0!</v>
      </c>
      <c r="BB122" s="29" t="str">
        <f t="shared" si="126"/>
        <v>#DIV/0!</v>
      </c>
      <c r="BC122" s="29" t="str">
        <f t="shared" si="126"/>
        <v>#DIV/0!</v>
      </c>
      <c r="BD122" s="29" t="str">
        <f t="shared" si="126"/>
        <v>#DIV/0!</v>
      </c>
      <c r="BE122" s="29" t="str">
        <f t="shared" si="126"/>
        <v>#DIV/0!</v>
      </c>
      <c r="BF122" s="29" t="str">
        <f t="shared" si="126"/>
        <v>#DIV/0!</v>
      </c>
      <c r="BG122" s="29" t="str">
        <f t="shared" si="126"/>
        <v>#DIV/0!</v>
      </c>
      <c r="BH122" s="29" t="str">
        <f t="shared" si="126"/>
        <v>#DIV/0!</v>
      </c>
      <c r="BI122" s="29" t="str">
        <f t="shared" si="126"/>
        <v>#DIV/0!</v>
      </c>
      <c r="BJ122" s="29" t="str">
        <f t="shared" si="126"/>
        <v>#DIV/0!</v>
      </c>
      <c r="BK122" s="29" t="str">
        <f t="shared" si="126"/>
        <v>#DIV/0!</v>
      </c>
      <c r="BL122" s="29" t="str">
        <f t="shared" si="126"/>
        <v>#DIV/0!</v>
      </c>
      <c r="BM122" s="29" t="str">
        <f t="shared" si="3"/>
        <v>#DIV/0!</v>
      </c>
    </row>
    <row r="123">
      <c r="A123" s="16" t="str">
        <f>IFERROR(__xludf.DUMMYFUNCTION("IFERROR(SPARKLINE(SORT(MAP(TRANSPOSE(AQ123:BL123), LAMBDA(val, IF(ISNUMBER(val), PERCENTRANK(AQ123:BL123, val)+0.01, 0))), SEQUENCE(COLUMNS(AQ123:BL123)), FALSE), {""charttype"",""column""; ""color"",""chartreuse""; ""ymin"", 0; ""ymax"", 1.01; ""highcolo"&amp;"r"", ""darkgreen""; ""lowcolor"", ""red""}), """")"),"")</f>
        <v/>
      </c>
      <c r="B123" s="17" t="str">
        <f t="shared" si="4"/>
        <v/>
      </c>
      <c r="C123" s="1" t="s">
        <v>1925</v>
      </c>
      <c r="D123" s="30" t="str">
        <f>IFERROR(__xludf.DUMMYFUNCTION("IFERROR(GOOGLEFINANCE(C123, ""NAME""))"),"Avantor Inc")</f>
        <v>Avantor Inc</v>
      </c>
      <c r="E123" s="30" t="s">
        <v>1502</v>
      </c>
      <c r="F123" s="33" t="str">
        <f>IFERROR(__xludf.DUMMYFUNCTION("( (GOOGLEFINANCE(C123, ""price"") - Q123) / Q123 ) / (R123 / 100)"),"Loading...")</f>
        <v>Loading...</v>
      </c>
      <c r="G123" s="20" t="str">
        <f>IFERROR(__xludf.DUMMYFUNCTION("AVERAGE(ARRAYFORMULA(100 * (QUERY(GOOGLEFINANCE(C123, ""high"", TODAY()-40, TODAY()), ""SELECT Col2 WHERE Col2 IS NOT NULL ORDER BY Col1 DESC LIMIT 20"", 0) / QUERY(GOOGLEFINANCE(C123, ""low"", TODAY()-40, TODAY()), ""SELECT Col2 WHERE Col2 IS NOT NULL OR"&amp;"DER BY Col1 DESC LIMIT 20"", 0) - 1)))"),"#N/A")</f>
        <v>#N/A</v>
      </c>
      <c r="H123" s="35" t="str">
        <f t="shared" si="118"/>
        <v/>
      </c>
      <c r="I123" s="36" t="str">
        <f t="shared" si="7"/>
        <v/>
      </c>
      <c r="J123" s="37" t="str">
        <f>IFERROR(__xludf.DUMMYFUNCTION("IFERROR(
  IF(C123="""",, 
    IFERROR(
      GOOGLEFINANCE(C123, ""price"") * GOOGLEFINANCE(C123, ""volumeavg""), 
      GOOGLEFINANCE(C123, ""price"") * AVERAGE(QUERY(GOOGLEFINANCE(C123, ""volume"", TODAY()-40, TODAY()), ""SELECT Col2 WHERE Col2 IS NOT "&amp;"NULL ORDER BY Col1 DESC LIMIT 20"", 0))
    )
  ), 
"""")"),"")</f>
        <v/>
      </c>
      <c r="K123" s="21" t="str">
        <f>IFERROR(__xludf.DUMMYFUNCTION("IFERROR(GOOGLEFINANCE(C123, ""changepct"") / 100, """")"),"")</f>
        <v/>
      </c>
      <c r="L123" s="21" t="str">
        <f>IFERROR(__xludf.DUMMYFUNCTION("IFERROR((GOOGLEFINANCE(C123, ""price"") / INDEX(GOOGLEFINANCE(C123, ""price"", TODAY()-7, TODAY()), 2, 2)) - 1, """")"),"")</f>
        <v/>
      </c>
      <c r="M123" s="21" t="str">
        <f>IFERROR(__xludf.DUMMYFUNCTION("IFERROR((GOOGLEFINANCE(C123, ""price"") / INDEX(GOOGLEFINANCE(C123, ""price"", EDATE(TODAY(), -1), TODAY()), 2, 2)) - 1, """")"),"")</f>
        <v/>
      </c>
      <c r="N123" s="21" t="str">
        <f>IFERROR(__xludf.DUMMYFUNCTION("IFERROR((GOOGLEFINANCE(C123, ""price"") / INDEX(GOOGLEFINANCE(C123, ""price"", EDATE(TODAY(), -3), TODAY()), 2, 2)) - 1, """")"),"")</f>
        <v/>
      </c>
      <c r="O123" s="21" t="str">
        <f>IFERROR(__xludf.DUMMYFUNCTION("IFERROR((GOOGLEFINANCE(C123, ""price"") / INDEX(GOOGLEFINANCE(C123, ""price"", EDATE(TODAY(), -6), TODAY()), 2, 2)) - 1, """")"),"")</f>
        <v/>
      </c>
      <c r="P123" s="21" t="str">
        <f>IFERROR(__xludf.DUMMYFUNCTION("IFERROR((GOOGLEFINANCE(C123, ""price"") / INDEX(GOOGLEFINANCE(C123, ""price"", EDATE(TODAY(), -12), TODAY()), 2, 2)) - 1, """")"),"")</f>
        <v/>
      </c>
      <c r="Q123" s="6" t="str">
        <f>IFERROR(__xludf.DUMMYFUNCTION("AVERAGE(QUERY(GOOGLEFINANCE(C123, ""price"", TODAY()-80, TODAY()), ""SELECT Col2 WHERE Col2 IS NOT NULL ORDER BY Col1 DESC LIMIT 50"", 0))"),"#N/A")</f>
        <v>#N/A</v>
      </c>
      <c r="R123" s="24" t="str">
        <f>IFERROR(__xludf.DUMMYFUNCTION("IFERROR(
  LET(
    data, QUERY(GOOGLEFINANCE(C123,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GOOGLEFINANCE(C123, ""price"")) * 100,
    IF(calc=0, G123, calc)
  ), 
G123)"),"#N/A")</f>
        <v>#N/A</v>
      </c>
      <c r="S123" s="8" t="s">
        <v>15</v>
      </c>
      <c r="T123" s="26" t="str">
        <f>IFERROR(__xludf.DUMMYFUNCTION("IFERROR(TRANSPOSE(QUERY(IFERROR(SORT(GOOGLEFINANCE(C123, ""price"", WORKDAY(TODAY(), -40), TODAY()), 1, FALSE)), ""select Col2 where Col2 is not null limit 22 label Col2 ''"", 0)), """")"),"")</f>
        <v/>
      </c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8"/>
      <c r="AO123" s="28"/>
      <c r="AP123" s="29"/>
      <c r="AQ123" s="29" t="str">
        <f t="shared" ref="AQ123:BL123" si="127">T123/T$2</f>
        <v>#N/A</v>
      </c>
      <c r="AR123" s="29" t="str">
        <f t="shared" si="127"/>
        <v>#DIV/0!</v>
      </c>
      <c r="AS123" s="29" t="str">
        <f t="shared" si="127"/>
        <v>#DIV/0!</v>
      </c>
      <c r="AT123" s="29" t="str">
        <f t="shared" si="127"/>
        <v>#DIV/0!</v>
      </c>
      <c r="AU123" s="29" t="str">
        <f t="shared" si="127"/>
        <v>#DIV/0!</v>
      </c>
      <c r="AV123" s="29" t="str">
        <f t="shared" si="127"/>
        <v>#DIV/0!</v>
      </c>
      <c r="AW123" s="29" t="str">
        <f t="shared" si="127"/>
        <v>#DIV/0!</v>
      </c>
      <c r="AX123" s="29" t="str">
        <f t="shared" si="127"/>
        <v>#DIV/0!</v>
      </c>
      <c r="AY123" s="29" t="str">
        <f t="shared" si="127"/>
        <v>#DIV/0!</v>
      </c>
      <c r="AZ123" s="29" t="str">
        <f t="shared" si="127"/>
        <v>#DIV/0!</v>
      </c>
      <c r="BA123" s="29" t="str">
        <f t="shared" si="127"/>
        <v>#DIV/0!</v>
      </c>
      <c r="BB123" s="29" t="str">
        <f t="shared" si="127"/>
        <v>#DIV/0!</v>
      </c>
      <c r="BC123" s="29" t="str">
        <f t="shared" si="127"/>
        <v>#DIV/0!</v>
      </c>
      <c r="BD123" s="29" t="str">
        <f t="shared" si="127"/>
        <v>#DIV/0!</v>
      </c>
      <c r="BE123" s="29" t="str">
        <f t="shared" si="127"/>
        <v>#DIV/0!</v>
      </c>
      <c r="BF123" s="29" t="str">
        <f t="shared" si="127"/>
        <v>#DIV/0!</v>
      </c>
      <c r="BG123" s="29" t="str">
        <f t="shared" si="127"/>
        <v>#DIV/0!</v>
      </c>
      <c r="BH123" s="29" t="str">
        <f t="shared" si="127"/>
        <v>#DIV/0!</v>
      </c>
      <c r="BI123" s="29" t="str">
        <f t="shared" si="127"/>
        <v>#DIV/0!</v>
      </c>
      <c r="BJ123" s="29" t="str">
        <f t="shared" si="127"/>
        <v>#DIV/0!</v>
      </c>
      <c r="BK123" s="29" t="str">
        <f t="shared" si="127"/>
        <v>#DIV/0!</v>
      </c>
      <c r="BL123" s="29" t="str">
        <f t="shared" si="127"/>
        <v>#DIV/0!</v>
      </c>
      <c r="BM123" s="29" t="str">
        <f t="shared" si="3"/>
        <v>#DIV/0!</v>
      </c>
    </row>
    <row r="124">
      <c r="A124" s="16" t="str">
        <f>IFERROR(__xludf.DUMMYFUNCTION("IFERROR(SPARKLINE(SORT(MAP(TRANSPOSE(AQ124:BL124), LAMBDA(val, IF(ISNUMBER(val), PERCENTRANK(AQ124:BL124, val)+0.01, 0))), SEQUENCE(COLUMNS(AQ124:BL124)), FALSE), {""charttype"",""column""; ""color"",""chartreuse""; ""ymin"", 0; ""ymax"", 1.01; ""highcolo"&amp;"r"", ""darkgreen""; ""lowcolor"", ""red""}), """")"),"")</f>
        <v/>
      </c>
      <c r="B124" s="17" t="str">
        <f t="shared" si="4"/>
        <v/>
      </c>
      <c r="C124" s="1" t="s">
        <v>1930</v>
      </c>
      <c r="D124" s="30" t="str">
        <f>IFERROR(__xludf.DUMMYFUNCTION("IFERROR(GOOGLEFINANCE(C124, ""NAME""))"),"Bioventus Inc")</f>
        <v>Bioventus Inc</v>
      </c>
      <c r="E124" s="30" t="s">
        <v>1491</v>
      </c>
      <c r="F124" s="33" t="str">
        <f>IFERROR(__xludf.DUMMYFUNCTION("( (GOOGLEFINANCE(C124, ""price"") - Q124) / Q124 ) / (R124 / 100)"),"Loading...")</f>
        <v>Loading...</v>
      </c>
      <c r="G124" s="20" t="str">
        <f>IFERROR(__xludf.DUMMYFUNCTION("AVERAGE(ARRAYFORMULA(100 * (QUERY(GOOGLEFINANCE(C124, ""high"", TODAY()-40, TODAY()), ""SELECT Col2 WHERE Col2 IS NOT NULL ORDER BY Col1 DESC LIMIT 20"", 0) / QUERY(GOOGLEFINANCE(C124, ""low"", TODAY()-40, TODAY()), ""SELECT Col2 WHERE Col2 IS NOT NULL OR"&amp;"DER BY Col1 DESC LIMIT 20"", 0) - 1)))"),"#N/A")</f>
        <v>#N/A</v>
      </c>
      <c r="H124" s="35" t="str">
        <f t="shared" si="118"/>
        <v/>
      </c>
      <c r="I124" s="36" t="str">
        <f t="shared" si="7"/>
        <v/>
      </c>
      <c r="J124" s="37" t="str">
        <f>IFERROR(__xludf.DUMMYFUNCTION("IFERROR(
  IF(C124="""",, 
    IFERROR(
      GOOGLEFINANCE(C124, ""price"") * GOOGLEFINANCE(C124, ""volumeavg""), 
      GOOGLEFINANCE(C124, ""price"") * AVERAGE(QUERY(GOOGLEFINANCE(C124, ""volume"", TODAY()-40, TODAY()), ""SELECT Col2 WHERE Col2 IS NOT "&amp;"NULL ORDER BY Col1 DESC LIMIT 20"", 0))
    )
  ), 
"""")"),"")</f>
        <v/>
      </c>
      <c r="K124" s="21" t="str">
        <f>IFERROR(__xludf.DUMMYFUNCTION("IFERROR(GOOGLEFINANCE(C124, ""changepct"") / 100, """")"),"")</f>
        <v/>
      </c>
      <c r="L124" s="21" t="str">
        <f>IFERROR(__xludf.DUMMYFUNCTION("IFERROR((GOOGLEFINANCE(C124, ""price"") / INDEX(GOOGLEFINANCE(C124, ""price"", TODAY()-7, TODAY()), 2, 2)) - 1, """")"),"")</f>
        <v/>
      </c>
      <c r="M124" s="21" t="str">
        <f>IFERROR(__xludf.DUMMYFUNCTION("IFERROR((GOOGLEFINANCE(C124, ""price"") / INDEX(GOOGLEFINANCE(C124, ""price"", EDATE(TODAY(), -1), TODAY()), 2, 2)) - 1, """")"),"")</f>
        <v/>
      </c>
      <c r="N124" s="21" t="str">
        <f>IFERROR(__xludf.DUMMYFUNCTION("IFERROR((GOOGLEFINANCE(C124, ""price"") / INDEX(GOOGLEFINANCE(C124, ""price"", EDATE(TODAY(), -3), TODAY()), 2, 2)) - 1, """")"),"")</f>
        <v/>
      </c>
      <c r="O124" s="21" t="str">
        <f>IFERROR(__xludf.DUMMYFUNCTION("IFERROR((GOOGLEFINANCE(C124, ""price"") / INDEX(GOOGLEFINANCE(C124, ""price"", EDATE(TODAY(), -6), TODAY()), 2, 2)) - 1, """")"),"")</f>
        <v/>
      </c>
      <c r="P124" s="21" t="str">
        <f>IFERROR(__xludf.DUMMYFUNCTION("IFERROR((GOOGLEFINANCE(C124, ""price"") / INDEX(GOOGLEFINANCE(C124, ""price"", EDATE(TODAY(), -12), TODAY()), 2, 2)) - 1, """")"),"")</f>
        <v/>
      </c>
      <c r="Q124" s="6" t="str">
        <f>IFERROR(__xludf.DUMMYFUNCTION("AVERAGE(QUERY(GOOGLEFINANCE(C124, ""price"", TODAY()-80, TODAY()), ""SELECT Col2 WHERE Col2 IS NOT NULL ORDER BY Col1 DESC LIMIT 50"", 0))"),"#N/A")</f>
        <v>#N/A</v>
      </c>
      <c r="R124" s="24" t="str">
        <f>IFERROR(__xludf.DUMMYFUNCTION("IFERROR(
  LET(
    data, QUERY(GOOGLEFINANCE(C124,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GOOGLEFINANCE(C124, ""price"")) * 100,
    IF(calc=0, G124, calc)
  ), 
G124)"),"#N/A")</f>
        <v>#N/A</v>
      </c>
      <c r="S124" s="8" t="s">
        <v>15</v>
      </c>
      <c r="T124" s="26" t="str">
        <f>IFERROR(__xludf.DUMMYFUNCTION("IFERROR(TRANSPOSE(QUERY(IFERROR(SORT(GOOGLEFINANCE(C124, ""price"", WORKDAY(TODAY(), -40), TODAY()), 1, FALSE)), ""select Col2 where Col2 is not null limit 22 label Col2 ''"", 0)), """")"),"")</f>
        <v/>
      </c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8"/>
      <c r="AO124" s="28"/>
      <c r="AP124" s="29"/>
      <c r="AQ124" s="29" t="str">
        <f t="shared" ref="AQ124:BL124" si="128">T124/T$2</f>
        <v>#N/A</v>
      </c>
      <c r="AR124" s="29" t="str">
        <f t="shared" si="128"/>
        <v>#DIV/0!</v>
      </c>
      <c r="AS124" s="29" t="str">
        <f t="shared" si="128"/>
        <v>#DIV/0!</v>
      </c>
      <c r="AT124" s="29" t="str">
        <f t="shared" si="128"/>
        <v>#DIV/0!</v>
      </c>
      <c r="AU124" s="29" t="str">
        <f t="shared" si="128"/>
        <v>#DIV/0!</v>
      </c>
      <c r="AV124" s="29" t="str">
        <f t="shared" si="128"/>
        <v>#DIV/0!</v>
      </c>
      <c r="AW124" s="29" t="str">
        <f t="shared" si="128"/>
        <v>#DIV/0!</v>
      </c>
      <c r="AX124" s="29" t="str">
        <f t="shared" si="128"/>
        <v>#DIV/0!</v>
      </c>
      <c r="AY124" s="29" t="str">
        <f t="shared" si="128"/>
        <v>#DIV/0!</v>
      </c>
      <c r="AZ124" s="29" t="str">
        <f t="shared" si="128"/>
        <v>#DIV/0!</v>
      </c>
      <c r="BA124" s="29" t="str">
        <f t="shared" si="128"/>
        <v>#DIV/0!</v>
      </c>
      <c r="BB124" s="29" t="str">
        <f t="shared" si="128"/>
        <v>#DIV/0!</v>
      </c>
      <c r="BC124" s="29" t="str">
        <f t="shared" si="128"/>
        <v>#DIV/0!</v>
      </c>
      <c r="BD124" s="29" t="str">
        <f t="shared" si="128"/>
        <v>#DIV/0!</v>
      </c>
      <c r="BE124" s="29" t="str">
        <f t="shared" si="128"/>
        <v>#DIV/0!</v>
      </c>
      <c r="BF124" s="29" t="str">
        <f t="shared" si="128"/>
        <v>#DIV/0!</v>
      </c>
      <c r="BG124" s="29" t="str">
        <f t="shared" si="128"/>
        <v>#DIV/0!</v>
      </c>
      <c r="BH124" s="29" t="str">
        <f t="shared" si="128"/>
        <v>#DIV/0!</v>
      </c>
      <c r="BI124" s="29" t="str">
        <f t="shared" si="128"/>
        <v>#DIV/0!</v>
      </c>
      <c r="BJ124" s="29" t="str">
        <f t="shared" si="128"/>
        <v>#DIV/0!</v>
      </c>
      <c r="BK124" s="29" t="str">
        <f t="shared" si="128"/>
        <v>#DIV/0!</v>
      </c>
      <c r="BL124" s="29" t="str">
        <f t="shared" si="128"/>
        <v>#DIV/0!</v>
      </c>
      <c r="BM124" s="29" t="str">
        <f t="shared" si="3"/>
        <v>#DIV/0!</v>
      </c>
    </row>
    <row r="125">
      <c r="A125" s="16" t="str">
        <f>IFERROR(__xludf.DUMMYFUNCTION("IFERROR(SPARKLINE(SORT(MAP(TRANSPOSE(AQ125:BL125), LAMBDA(val, IF(ISNUMBER(val), PERCENTRANK(AQ125:BL125, val)+0.01, 0))), SEQUENCE(COLUMNS(AQ125:BL125)), FALSE), {""charttype"",""column""; ""color"",""chartreuse""; ""ymin"", 0; ""ymax"", 1.01; ""highcolo"&amp;"r"", ""darkgreen""; ""lowcolor"", ""red""}), """")"),"")</f>
        <v/>
      </c>
      <c r="B125" s="17" t="str">
        <f t="shared" si="4"/>
        <v/>
      </c>
      <c r="C125" s="1" t="s">
        <v>1935</v>
      </c>
      <c r="D125" s="30" t="str">
        <f>IFERROR(__xludf.DUMMYFUNCTION("IFERROR(GOOGLEFINANCE(C125, ""NAME""))"),"GE HealthCare Technologies Inc")</f>
        <v>GE HealthCare Technologies Inc</v>
      </c>
      <c r="E125" s="30" t="s">
        <v>1491</v>
      </c>
      <c r="F125" s="33" t="str">
        <f>IFERROR(__xludf.DUMMYFUNCTION("( (GOOGLEFINANCE(C125, ""price"") - Q125) / Q125 ) / (R125 / 100)"),"Loading...")</f>
        <v>Loading...</v>
      </c>
      <c r="G125" s="20" t="str">
        <f>IFERROR(__xludf.DUMMYFUNCTION("AVERAGE(ARRAYFORMULA(100 * (QUERY(GOOGLEFINANCE(C125, ""high"", TODAY()-40, TODAY()), ""SELECT Col2 WHERE Col2 IS NOT NULL ORDER BY Col1 DESC LIMIT 20"", 0) / QUERY(GOOGLEFINANCE(C125, ""low"", TODAY()-40, TODAY()), ""SELECT Col2 WHERE Col2 IS NOT NULL OR"&amp;"DER BY Col1 DESC LIMIT 20"", 0) - 1)))"),"#N/A")</f>
        <v>#N/A</v>
      </c>
      <c r="H125" s="35" t="str">
        <f t="shared" si="118"/>
        <v/>
      </c>
      <c r="I125" s="36" t="str">
        <f t="shared" si="7"/>
        <v/>
      </c>
      <c r="J125" s="37" t="str">
        <f>IFERROR(__xludf.DUMMYFUNCTION("IFERROR(
  IF(C125="""",, 
    IFERROR(
      GOOGLEFINANCE(C125, ""price"") * GOOGLEFINANCE(C125, ""volumeavg""), 
      GOOGLEFINANCE(C125, ""price"") * AVERAGE(QUERY(GOOGLEFINANCE(C125, ""volume"", TODAY()-40, TODAY()), ""SELECT Col2 WHERE Col2 IS NOT "&amp;"NULL ORDER BY Col1 DESC LIMIT 20"", 0))
    )
  ), 
"""")"),"")</f>
        <v/>
      </c>
      <c r="K125" s="21" t="str">
        <f>IFERROR(__xludf.DUMMYFUNCTION("IFERROR(GOOGLEFINANCE(C125, ""changepct"") / 100, """")"),"")</f>
        <v/>
      </c>
      <c r="L125" s="21" t="str">
        <f>IFERROR(__xludf.DUMMYFUNCTION("IFERROR((GOOGLEFINANCE(C125, ""price"") / INDEX(GOOGLEFINANCE(C125, ""price"", TODAY()-7, TODAY()), 2, 2)) - 1, """")"),"")</f>
        <v/>
      </c>
      <c r="M125" s="21" t="str">
        <f>IFERROR(__xludf.DUMMYFUNCTION("IFERROR((GOOGLEFINANCE(C125, ""price"") / INDEX(GOOGLEFINANCE(C125, ""price"", EDATE(TODAY(), -1), TODAY()), 2, 2)) - 1, """")"),"")</f>
        <v/>
      </c>
      <c r="N125" s="21" t="str">
        <f>IFERROR(__xludf.DUMMYFUNCTION("IFERROR((GOOGLEFINANCE(C125, ""price"") / INDEX(GOOGLEFINANCE(C125, ""price"", EDATE(TODAY(), -3), TODAY()), 2, 2)) - 1, """")"),"")</f>
        <v/>
      </c>
      <c r="O125" s="21" t="str">
        <f>IFERROR(__xludf.DUMMYFUNCTION("IFERROR((GOOGLEFINANCE(C125, ""price"") / INDEX(GOOGLEFINANCE(C125, ""price"", EDATE(TODAY(), -6), TODAY()), 2, 2)) - 1, """")"),"")</f>
        <v/>
      </c>
      <c r="P125" s="21" t="str">
        <f>IFERROR(__xludf.DUMMYFUNCTION("IFERROR((GOOGLEFINANCE(C125, ""price"") / INDEX(GOOGLEFINANCE(C125, ""price"", EDATE(TODAY(), -12), TODAY()), 2, 2)) - 1, """")"),"")</f>
        <v/>
      </c>
      <c r="Q125" s="6" t="str">
        <f>IFERROR(__xludf.DUMMYFUNCTION("AVERAGE(QUERY(GOOGLEFINANCE(C125, ""price"", TODAY()-80, TODAY()), ""SELECT Col2 WHERE Col2 IS NOT NULL ORDER BY Col1 DESC LIMIT 50"", 0))"),"#N/A")</f>
        <v>#N/A</v>
      </c>
      <c r="R125" s="24" t="str">
        <f>IFERROR(__xludf.DUMMYFUNCTION("IFERROR(
  LET(
    data, QUERY(GOOGLEFINANCE(C125,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GOOGLEFINANCE(C125, ""price"")) * 100,
    IF(calc=0, G125, calc)
  ), 
G125)"),"#N/A")</f>
        <v>#N/A</v>
      </c>
      <c r="S125" s="8" t="s">
        <v>15</v>
      </c>
      <c r="T125" s="26" t="str">
        <f>IFERROR(__xludf.DUMMYFUNCTION("IFERROR(TRANSPOSE(QUERY(IFERROR(SORT(GOOGLEFINANCE(C125, ""price"", WORKDAY(TODAY(), -40), TODAY()), 1, FALSE)), ""select Col2 where Col2 is not null limit 22 label Col2 ''"", 0)), """")"),"")</f>
        <v/>
      </c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8"/>
      <c r="AO125" s="28"/>
      <c r="AP125" s="29"/>
      <c r="AQ125" s="29" t="str">
        <f t="shared" ref="AQ125:BL125" si="129">T125/T$2</f>
        <v>#N/A</v>
      </c>
      <c r="AR125" s="29" t="str">
        <f t="shared" si="129"/>
        <v>#DIV/0!</v>
      </c>
      <c r="AS125" s="29" t="str">
        <f t="shared" si="129"/>
        <v>#DIV/0!</v>
      </c>
      <c r="AT125" s="29" t="str">
        <f t="shared" si="129"/>
        <v>#DIV/0!</v>
      </c>
      <c r="AU125" s="29" t="str">
        <f t="shared" si="129"/>
        <v>#DIV/0!</v>
      </c>
      <c r="AV125" s="29" t="str">
        <f t="shared" si="129"/>
        <v>#DIV/0!</v>
      </c>
      <c r="AW125" s="29" t="str">
        <f t="shared" si="129"/>
        <v>#DIV/0!</v>
      </c>
      <c r="AX125" s="29" t="str">
        <f t="shared" si="129"/>
        <v>#DIV/0!</v>
      </c>
      <c r="AY125" s="29" t="str">
        <f t="shared" si="129"/>
        <v>#DIV/0!</v>
      </c>
      <c r="AZ125" s="29" t="str">
        <f t="shared" si="129"/>
        <v>#DIV/0!</v>
      </c>
      <c r="BA125" s="29" t="str">
        <f t="shared" si="129"/>
        <v>#DIV/0!</v>
      </c>
      <c r="BB125" s="29" t="str">
        <f t="shared" si="129"/>
        <v>#DIV/0!</v>
      </c>
      <c r="BC125" s="29" t="str">
        <f t="shared" si="129"/>
        <v>#DIV/0!</v>
      </c>
      <c r="BD125" s="29" t="str">
        <f t="shared" si="129"/>
        <v>#DIV/0!</v>
      </c>
      <c r="BE125" s="29" t="str">
        <f t="shared" si="129"/>
        <v>#DIV/0!</v>
      </c>
      <c r="BF125" s="29" t="str">
        <f t="shared" si="129"/>
        <v>#DIV/0!</v>
      </c>
      <c r="BG125" s="29" t="str">
        <f t="shared" si="129"/>
        <v>#DIV/0!</v>
      </c>
      <c r="BH125" s="29" t="str">
        <f t="shared" si="129"/>
        <v>#DIV/0!</v>
      </c>
      <c r="BI125" s="29" t="str">
        <f t="shared" si="129"/>
        <v>#DIV/0!</v>
      </c>
      <c r="BJ125" s="29" t="str">
        <f t="shared" si="129"/>
        <v>#DIV/0!</v>
      </c>
      <c r="BK125" s="29" t="str">
        <f t="shared" si="129"/>
        <v>#DIV/0!</v>
      </c>
      <c r="BL125" s="29" t="str">
        <f t="shared" si="129"/>
        <v>#DIV/0!</v>
      </c>
      <c r="BM125" s="29" t="str">
        <f t="shared" si="3"/>
        <v>#DIV/0!</v>
      </c>
    </row>
    <row r="126">
      <c r="A126" s="16" t="str">
        <f>IFERROR(__xludf.DUMMYFUNCTION("IFERROR(SPARKLINE(SORT(MAP(TRANSPOSE(AQ126:BL126), LAMBDA(val, IF(ISNUMBER(val), PERCENTRANK(AQ126:BL126, val)+0.01, 0))), SEQUENCE(COLUMNS(AQ126:BL126)), FALSE), {""charttype"",""column""; ""color"",""chartreuse""; ""ymin"", 0; ""ymax"", 1.01; ""highcolo"&amp;"r"", ""darkgreen""; ""lowcolor"", ""red""}), """")"),"")</f>
        <v/>
      </c>
      <c r="B126" s="17" t="str">
        <f t="shared" si="4"/>
        <v/>
      </c>
      <c r="C126" s="1" t="s">
        <v>1939</v>
      </c>
      <c r="D126" s="30" t="str">
        <f>IFERROR(__xludf.DUMMYFUNCTION("IFERROR(GOOGLEFINANCE(C126, ""NAME""))"),"Teleflex Inc")</f>
        <v>Teleflex Inc</v>
      </c>
      <c r="E126" s="30" t="s">
        <v>1502</v>
      </c>
      <c r="F126" s="33" t="str">
        <f>IFERROR(__xludf.DUMMYFUNCTION("( (GOOGLEFINANCE(C126, ""price"") - Q126) / Q126 ) / (R126 / 100)"),"Loading...")</f>
        <v>Loading...</v>
      </c>
      <c r="G126" s="20" t="str">
        <f>IFERROR(__xludf.DUMMYFUNCTION("AVERAGE(ARRAYFORMULA(100 * (QUERY(GOOGLEFINANCE(C126, ""high"", TODAY()-40, TODAY()), ""SELECT Col2 WHERE Col2 IS NOT NULL ORDER BY Col1 DESC LIMIT 20"", 0) / QUERY(GOOGLEFINANCE(C126, ""low"", TODAY()-40, TODAY()), ""SELECT Col2 WHERE Col2 IS NOT NULL OR"&amp;"DER BY Col1 DESC LIMIT 20"", 0) - 1)))"),"#N/A")</f>
        <v>#N/A</v>
      </c>
      <c r="H126" s="35" t="str">
        <f t="shared" si="118"/>
        <v/>
      </c>
      <c r="I126" s="36" t="str">
        <f t="shared" si="7"/>
        <v/>
      </c>
      <c r="J126" s="37" t="str">
        <f>IFERROR(__xludf.DUMMYFUNCTION("IFERROR(
  IF(C126="""",, 
    IFERROR(
      GOOGLEFINANCE(C126, ""price"") * GOOGLEFINANCE(C126, ""volumeavg""), 
      GOOGLEFINANCE(C126, ""price"") * AVERAGE(QUERY(GOOGLEFINANCE(C126, ""volume"", TODAY()-40, TODAY()), ""SELECT Col2 WHERE Col2 IS NOT "&amp;"NULL ORDER BY Col1 DESC LIMIT 20"", 0))
    )
  ), 
"""")"),"")</f>
        <v/>
      </c>
      <c r="K126" s="21" t="str">
        <f>IFERROR(__xludf.DUMMYFUNCTION("IFERROR(GOOGLEFINANCE(C126, ""changepct"") / 100, """")"),"")</f>
        <v/>
      </c>
      <c r="L126" s="21" t="str">
        <f>IFERROR(__xludf.DUMMYFUNCTION("IFERROR((GOOGLEFINANCE(C126, ""price"") / INDEX(GOOGLEFINANCE(C126, ""price"", TODAY()-7, TODAY()), 2, 2)) - 1, """")"),"")</f>
        <v/>
      </c>
      <c r="M126" s="21" t="str">
        <f>IFERROR(__xludf.DUMMYFUNCTION("IFERROR((GOOGLEFINANCE(C126, ""price"") / INDEX(GOOGLEFINANCE(C126, ""price"", EDATE(TODAY(), -1), TODAY()), 2, 2)) - 1, """")"),"")</f>
        <v/>
      </c>
      <c r="N126" s="21" t="str">
        <f>IFERROR(__xludf.DUMMYFUNCTION("IFERROR((GOOGLEFINANCE(C126, ""price"") / INDEX(GOOGLEFINANCE(C126, ""price"", EDATE(TODAY(), -3), TODAY()), 2, 2)) - 1, """")"),"")</f>
        <v/>
      </c>
      <c r="O126" s="21" t="str">
        <f>IFERROR(__xludf.DUMMYFUNCTION("IFERROR((GOOGLEFINANCE(C126, ""price"") / INDEX(GOOGLEFINANCE(C126, ""price"", EDATE(TODAY(), -6), TODAY()), 2, 2)) - 1, """")"),"")</f>
        <v/>
      </c>
      <c r="P126" s="21" t="str">
        <f>IFERROR(__xludf.DUMMYFUNCTION("IFERROR((GOOGLEFINANCE(C126, ""price"") / INDEX(GOOGLEFINANCE(C126, ""price"", EDATE(TODAY(), -12), TODAY()), 2, 2)) - 1, """")"),"")</f>
        <v/>
      </c>
      <c r="Q126" s="6" t="str">
        <f>IFERROR(__xludf.DUMMYFUNCTION("AVERAGE(QUERY(GOOGLEFINANCE(C126, ""price"", TODAY()-80, TODAY()), ""SELECT Col2 WHERE Col2 IS NOT NULL ORDER BY Col1 DESC LIMIT 50"", 0))"),"#N/A")</f>
        <v>#N/A</v>
      </c>
      <c r="R126" s="24" t="str">
        <f>IFERROR(__xludf.DUMMYFUNCTION("IFERROR(
  LET(
    data, QUERY(GOOGLEFINANCE(C126,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GOOGLEFINANCE(C126, ""price"")) * 100,
    IF(calc=0, G126, calc)
  ), 
G126)"),"#N/A")</f>
        <v>#N/A</v>
      </c>
      <c r="S126" s="8" t="s">
        <v>15</v>
      </c>
      <c r="T126" s="26" t="str">
        <f>IFERROR(__xludf.DUMMYFUNCTION("IFERROR(TRANSPOSE(QUERY(IFERROR(SORT(GOOGLEFINANCE(C126, ""price"", WORKDAY(TODAY(), -40), TODAY()), 1, FALSE)), ""select Col2 where Col2 is not null limit 22 label Col2 ''"", 0)), """")"),"")</f>
        <v/>
      </c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8"/>
      <c r="AO126" s="28"/>
      <c r="AP126" s="29"/>
      <c r="AQ126" s="29" t="str">
        <f t="shared" ref="AQ126:BL126" si="130">T126/T$2</f>
        <v>#N/A</v>
      </c>
      <c r="AR126" s="29" t="str">
        <f t="shared" si="130"/>
        <v>#DIV/0!</v>
      </c>
      <c r="AS126" s="29" t="str">
        <f t="shared" si="130"/>
        <v>#DIV/0!</v>
      </c>
      <c r="AT126" s="29" t="str">
        <f t="shared" si="130"/>
        <v>#DIV/0!</v>
      </c>
      <c r="AU126" s="29" t="str">
        <f t="shared" si="130"/>
        <v>#DIV/0!</v>
      </c>
      <c r="AV126" s="29" t="str">
        <f t="shared" si="130"/>
        <v>#DIV/0!</v>
      </c>
      <c r="AW126" s="29" t="str">
        <f t="shared" si="130"/>
        <v>#DIV/0!</v>
      </c>
      <c r="AX126" s="29" t="str">
        <f t="shared" si="130"/>
        <v>#DIV/0!</v>
      </c>
      <c r="AY126" s="29" t="str">
        <f t="shared" si="130"/>
        <v>#DIV/0!</v>
      </c>
      <c r="AZ126" s="29" t="str">
        <f t="shared" si="130"/>
        <v>#DIV/0!</v>
      </c>
      <c r="BA126" s="29" t="str">
        <f t="shared" si="130"/>
        <v>#DIV/0!</v>
      </c>
      <c r="BB126" s="29" t="str">
        <f t="shared" si="130"/>
        <v>#DIV/0!</v>
      </c>
      <c r="BC126" s="29" t="str">
        <f t="shared" si="130"/>
        <v>#DIV/0!</v>
      </c>
      <c r="BD126" s="29" t="str">
        <f t="shared" si="130"/>
        <v>#DIV/0!</v>
      </c>
      <c r="BE126" s="29" t="str">
        <f t="shared" si="130"/>
        <v>#DIV/0!</v>
      </c>
      <c r="BF126" s="29" t="str">
        <f t="shared" si="130"/>
        <v>#DIV/0!</v>
      </c>
      <c r="BG126" s="29" t="str">
        <f t="shared" si="130"/>
        <v>#DIV/0!</v>
      </c>
      <c r="BH126" s="29" t="str">
        <f t="shared" si="130"/>
        <v>#DIV/0!</v>
      </c>
      <c r="BI126" s="29" t="str">
        <f t="shared" si="130"/>
        <v>#DIV/0!</v>
      </c>
      <c r="BJ126" s="29" t="str">
        <f t="shared" si="130"/>
        <v>#DIV/0!</v>
      </c>
      <c r="BK126" s="29" t="str">
        <f t="shared" si="130"/>
        <v>#DIV/0!</v>
      </c>
      <c r="BL126" s="29" t="str">
        <f t="shared" si="130"/>
        <v>#DIV/0!</v>
      </c>
      <c r="BM126" s="29" t="str">
        <f t="shared" si="3"/>
        <v>#DIV/0!</v>
      </c>
    </row>
    <row r="127">
      <c r="A127" s="16" t="str">
        <f>IFERROR(__xludf.DUMMYFUNCTION("IFERROR(SPARKLINE(SORT(MAP(TRANSPOSE(AQ127:BL127), LAMBDA(val, IF(ISNUMBER(val), PERCENTRANK(AQ127:BL127, val)+0.01, 0))), SEQUENCE(COLUMNS(AQ127:BL127)), FALSE), {""charttype"",""column""; ""color"",""chartreuse""; ""ymin"", 0; ""ymax"", 1.01; ""highcolo"&amp;"r"", ""darkgreen""; ""lowcolor"", ""red""}), """")"),"")</f>
        <v/>
      </c>
      <c r="B127" s="17" t="str">
        <f t="shared" si="4"/>
        <v/>
      </c>
      <c r="C127" s="1" t="s">
        <v>1943</v>
      </c>
      <c r="D127" s="30" t="str">
        <f>IFERROR(__xludf.DUMMYFUNCTION("IFERROR(GOOGLEFINANCE(C127, ""NAME""))"),"Fresenius Medical Care AG")</f>
        <v>Fresenius Medical Care AG</v>
      </c>
      <c r="E127" s="30" t="s">
        <v>1513</v>
      </c>
      <c r="F127" s="33" t="str">
        <f>IFERROR(__xludf.DUMMYFUNCTION("( (GOOGLEFINANCE(C127, ""price"") - Q127) / Q127 ) / (R127 / 100)"),"Loading...")</f>
        <v>Loading...</v>
      </c>
      <c r="G127" s="20" t="str">
        <f>IFERROR(__xludf.DUMMYFUNCTION("AVERAGE(ARRAYFORMULA(100 * (QUERY(GOOGLEFINANCE(C127, ""high"", TODAY()-40, TODAY()), ""SELECT Col2 WHERE Col2 IS NOT NULL ORDER BY Col1 DESC LIMIT 20"", 0) / QUERY(GOOGLEFINANCE(C127, ""low"", TODAY()-40, TODAY()), ""SELECT Col2 WHERE Col2 IS NOT NULL OR"&amp;"DER BY Col1 DESC LIMIT 20"", 0) - 1)))"),"#N/A")</f>
        <v>#N/A</v>
      </c>
      <c r="H127" s="35" t="str">
        <f t="shared" si="118"/>
        <v/>
      </c>
      <c r="I127" s="36" t="str">
        <f t="shared" si="7"/>
        <v/>
      </c>
      <c r="J127" s="37" t="str">
        <f>IFERROR(__xludf.DUMMYFUNCTION("IFERROR(
  IF(C127="""",, 
    IFERROR(
      GOOGLEFINANCE(C127, ""price"") * GOOGLEFINANCE(C127, ""volumeavg""), 
      GOOGLEFINANCE(C127, ""price"") * AVERAGE(QUERY(GOOGLEFINANCE(C127, ""volume"", TODAY()-40, TODAY()), ""SELECT Col2 WHERE Col2 IS NOT "&amp;"NULL ORDER BY Col1 DESC LIMIT 20"", 0))
    )
  ), 
"""")"),"")</f>
        <v/>
      </c>
      <c r="K127" s="21" t="str">
        <f>IFERROR(__xludf.DUMMYFUNCTION("IFERROR(GOOGLEFINANCE(C127, ""changepct"") / 100, """")"),"")</f>
        <v/>
      </c>
      <c r="L127" s="21" t="str">
        <f>IFERROR(__xludf.DUMMYFUNCTION("IFERROR((GOOGLEFINANCE(C127, ""price"") / INDEX(GOOGLEFINANCE(C127, ""price"", TODAY()-7, TODAY()), 2, 2)) - 1, """")"),"")</f>
        <v/>
      </c>
      <c r="M127" s="21" t="str">
        <f>IFERROR(__xludf.DUMMYFUNCTION("IFERROR((GOOGLEFINANCE(C127, ""price"") / INDEX(GOOGLEFINANCE(C127, ""price"", EDATE(TODAY(), -1), TODAY()), 2, 2)) - 1, """")"),"")</f>
        <v/>
      </c>
      <c r="N127" s="21" t="str">
        <f>IFERROR(__xludf.DUMMYFUNCTION("IFERROR((GOOGLEFINANCE(C127, ""price"") / INDEX(GOOGLEFINANCE(C127, ""price"", EDATE(TODAY(), -3), TODAY()), 2, 2)) - 1, """")"),"")</f>
        <v/>
      </c>
      <c r="O127" s="21" t="str">
        <f>IFERROR(__xludf.DUMMYFUNCTION("IFERROR((GOOGLEFINANCE(C127, ""price"") / INDEX(GOOGLEFINANCE(C127, ""price"", EDATE(TODAY(), -6), TODAY()), 2, 2)) - 1, """")"),"")</f>
        <v/>
      </c>
      <c r="P127" s="21" t="str">
        <f>IFERROR(__xludf.DUMMYFUNCTION("IFERROR((GOOGLEFINANCE(C127, ""price"") / INDEX(GOOGLEFINANCE(C127, ""price"", EDATE(TODAY(), -12), TODAY()), 2, 2)) - 1, """")"),"")</f>
        <v/>
      </c>
      <c r="Q127" s="6" t="str">
        <f>IFERROR(__xludf.DUMMYFUNCTION("AVERAGE(QUERY(GOOGLEFINANCE(C127, ""price"", TODAY()-80, TODAY()), ""SELECT Col2 WHERE Col2 IS NOT NULL ORDER BY Col1 DESC LIMIT 50"", 0))"),"#N/A")</f>
        <v>#N/A</v>
      </c>
      <c r="R127" s="24" t="str">
        <f>IFERROR(__xludf.DUMMYFUNCTION("IFERROR(
  LET(
    data, QUERY(GOOGLEFINANCE(C127,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GOOGLEFINANCE(C127, ""price"")) * 100,
    IF(calc=0, G127, calc)
  ), 
G127)"),"#N/A")</f>
        <v>#N/A</v>
      </c>
      <c r="S127" s="8" t="s">
        <v>15</v>
      </c>
      <c r="T127" s="26" t="str">
        <f>IFERROR(__xludf.DUMMYFUNCTION("IFERROR(TRANSPOSE(QUERY(IFERROR(SORT(GOOGLEFINANCE(C127, ""price"", WORKDAY(TODAY(), -40), TODAY()), 1, FALSE)), ""select Col2 where Col2 is not null limit 22 label Col2 ''"", 0)), """")"),"")</f>
        <v/>
      </c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8"/>
      <c r="AO127" s="28"/>
      <c r="AP127" s="29"/>
      <c r="AQ127" s="29" t="str">
        <f t="shared" ref="AQ127:BL127" si="131">T127/T$2</f>
        <v>#N/A</v>
      </c>
      <c r="AR127" s="29" t="str">
        <f t="shared" si="131"/>
        <v>#DIV/0!</v>
      </c>
      <c r="AS127" s="29" t="str">
        <f t="shared" si="131"/>
        <v>#DIV/0!</v>
      </c>
      <c r="AT127" s="29" t="str">
        <f t="shared" si="131"/>
        <v>#DIV/0!</v>
      </c>
      <c r="AU127" s="29" t="str">
        <f t="shared" si="131"/>
        <v>#DIV/0!</v>
      </c>
      <c r="AV127" s="29" t="str">
        <f t="shared" si="131"/>
        <v>#DIV/0!</v>
      </c>
      <c r="AW127" s="29" t="str">
        <f t="shared" si="131"/>
        <v>#DIV/0!</v>
      </c>
      <c r="AX127" s="29" t="str">
        <f t="shared" si="131"/>
        <v>#DIV/0!</v>
      </c>
      <c r="AY127" s="29" t="str">
        <f t="shared" si="131"/>
        <v>#DIV/0!</v>
      </c>
      <c r="AZ127" s="29" t="str">
        <f t="shared" si="131"/>
        <v>#DIV/0!</v>
      </c>
      <c r="BA127" s="29" t="str">
        <f t="shared" si="131"/>
        <v>#DIV/0!</v>
      </c>
      <c r="BB127" s="29" t="str">
        <f t="shared" si="131"/>
        <v>#DIV/0!</v>
      </c>
      <c r="BC127" s="29" t="str">
        <f t="shared" si="131"/>
        <v>#DIV/0!</v>
      </c>
      <c r="BD127" s="29" t="str">
        <f t="shared" si="131"/>
        <v>#DIV/0!</v>
      </c>
      <c r="BE127" s="29" t="str">
        <f t="shared" si="131"/>
        <v>#DIV/0!</v>
      </c>
      <c r="BF127" s="29" t="str">
        <f t="shared" si="131"/>
        <v>#DIV/0!</v>
      </c>
      <c r="BG127" s="29" t="str">
        <f t="shared" si="131"/>
        <v>#DIV/0!</v>
      </c>
      <c r="BH127" s="29" t="str">
        <f t="shared" si="131"/>
        <v>#DIV/0!</v>
      </c>
      <c r="BI127" s="29" t="str">
        <f t="shared" si="131"/>
        <v>#DIV/0!</v>
      </c>
      <c r="BJ127" s="29" t="str">
        <f t="shared" si="131"/>
        <v>#DIV/0!</v>
      </c>
      <c r="BK127" s="29" t="str">
        <f t="shared" si="131"/>
        <v>#DIV/0!</v>
      </c>
      <c r="BL127" s="29" t="str">
        <f t="shared" si="131"/>
        <v>#DIV/0!</v>
      </c>
      <c r="BM127" s="29" t="str">
        <f t="shared" si="3"/>
        <v>#DIV/0!</v>
      </c>
    </row>
    <row r="128">
      <c r="A128" s="16" t="str">
        <f>IFERROR(__xludf.DUMMYFUNCTION("IFERROR(SPARKLINE(SORT(MAP(TRANSPOSE(AQ128:BL128), LAMBDA(val, IF(ISNUMBER(val), PERCENTRANK(AQ128:BL128, val)+0.01, 0))), SEQUENCE(COLUMNS(AQ128:BL128)), FALSE), {""charttype"",""column""; ""color"",""chartreuse""; ""ymin"", 0; ""ymax"", 1.01; ""highcolo"&amp;"r"", ""darkgreen""; ""lowcolor"", ""red""}), """")"),"")</f>
        <v/>
      </c>
      <c r="B128" s="17" t="str">
        <f t="shared" si="4"/>
        <v/>
      </c>
      <c r="C128" s="1" t="s">
        <v>1947</v>
      </c>
      <c r="D128" s="30" t="str">
        <f>IFERROR(__xludf.DUMMYFUNCTION("IFERROR(GOOGLEFINANCE(C128, ""NAME""))"),"Community Health Systems Inc")</f>
        <v>Community Health Systems Inc</v>
      </c>
      <c r="E128" s="30" t="s">
        <v>1513</v>
      </c>
      <c r="F128" s="33" t="str">
        <f>IFERROR(__xludf.DUMMYFUNCTION("( (GOOGLEFINANCE(C128, ""price"") - Q128) / Q128 ) / (R128 / 100)"),"Loading...")</f>
        <v>Loading...</v>
      </c>
      <c r="G128" s="20" t="str">
        <f>IFERROR(__xludf.DUMMYFUNCTION("AVERAGE(ARRAYFORMULA(100 * (QUERY(GOOGLEFINANCE(C128, ""high"", TODAY()-40, TODAY()), ""SELECT Col2 WHERE Col2 IS NOT NULL ORDER BY Col1 DESC LIMIT 20"", 0) / QUERY(GOOGLEFINANCE(C128, ""low"", TODAY()-40, TODAY()), ""SELECT Col2 WHERE Col2 IS NOT NULL OR"&amp;"DER BY Col1 DESC LIMIT 20"", 0) - 1)))"),"#N/A")</f>
        <v>#N/A</v>
      </c>
      <c r="H128" s="35" t="str">
        <f t="shared" si="118"/>
        <v/>
      </c>
      <c r="I128" s="36" t="str">
        <f t="shared" si="7"/>
        <v/>
      </c>
      <c r="J128" s="37" t="str">
        <f>IFERROR(__xludf.DUMMYFUNCTION("IFERROR(
  IF(C128="""",, 
    IFERROR(
      GOOGLEFINANCE(C128, ""price"") * GOOGLEFINANCE(C128, ""volumeavg""), 
      GOOGLEFINANCE(C128, ""price"") * AVERAGE(QUERY(GOOGLEFINANCE(C128, ""volume"", TODAY()-40, TODAY()), ""SELECT Col2 WHERE Col2 IS NOT "&amp;"NULL ORDER BY Col1 DESC LIMIT 20"", 0))
    )
  ), 
"""")"),"")</f>
        <v/>
      </c>
      <c r="K128" s="21" t="str">
        <f>IFERROR(__xludf.DUMMYFUNCTION("IFERROR(GOOGLEFINANCE(C128, ""changepct"") / 100, """")"),"")</f>
        <v/>
      </c>
      <c r="L128" s="21" t="str">
        <f>IFERROR(__xludf.DUMMYFUNCTION("IFERROR((GOOGLEFINANCE(C128, ""price"") / INDEX(GOOGLEFINANCE(C128, ""price"", TODAY()-7, TODAY()), 2, 2)) - 1, """")"),"")</f>
        <v/>
      </c>
      <c r="M128" s="21" t="str">
        <f>IFERROR(__xludf.DUMMYFUNCTION("IFERROR((GOOGLEFINANCE(C128, ""price"") / INDEX(GOOGLEFINANCE(C128, ""price"", EDATE(TODAY(), -1), TODAY()), 2, 2)) - 1, """")"),"")</f>
        <v/>
      </c>
      <c r="N128" s="21" t="str">
        <f>IFERROR(__xludf.DUMMYFUNCTION("IFERROR((GOOGLEFINANCE(C128, ""price"") / INDEX(GOOGLEFINANCE(C128, ""price"", EDATE(TODAY(), -3), TODAY()), 2, 2)) - 1, """")"),"")</f>
        <v/>
      </c>
      <c r="O128" s="21" t="str">
        <f>IFERROR(__xludf.DUMMYFUNCTION("IFERROR((GOOGLEFINANCE(C128, ""price"") / INDEX(GOOGLEFINANCE(C128, ""price"", EDATE(TODAY(), -6), TODAY()), 2, 2)) - 1, """")"),"")</f>
        <v/>
      </c>
      <c r="P128" s="21" t="str">
        <f>IFERROR(__xludf.DUMMYFUNCTION("IFERROR((GOOGLEFINANCE(C128, ""price"") / INDEX(GOOGLEFINANCE(C128, ""price"", EDATE(TODAY(), -12), TODAY()), 2, 2)) - 1, """")"),"")</f>
        <v/>
      </c>
      <c r="Q128" s="6" t="str">
        <f>IFERROR(__xludf.DUMMYFUNCTION("AVERAGE(QUERY(GOOGLEFINANCE(C128, ""price"", TODAY()-80, TODAY()), ""SELECT Col2 WHERE Col2 IS NOT NULL ORDER BY Col1 DESC LIMIT 50"", 0))"),"#N/A")</f>
        <v>#N/A</v>
      </c>
      <c r="R128" s="24" t="str">
        <f>IFERROR(__xludf.DUMMYFUNCTION("IFERROR(
  LET(
    data, QUERY(GOOGLEFINANCE(C128,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GOOGLEFINANCE(C128, ""price"")) * 100,
    IF(calc=0, G128, calc)
  ), 
G128)"),"#N/A")</f>
        <v>#N/A</v>
      </c>
      <c r="S128" s="8" t="s">
        <v>15</v>
      </c>
      <c r="T128" s="26" t="str">
        <f>IFERROR(__xludf.DUMMYFUNCTION("IFERROR(TRANSPOSE(QUERY(IFERROR(SORT(GOOGLEFINANCE(C128, ""price"", WORKDAY(TODAY(), -40), TODAY()), 1, FALSE)), ""select Col2 where Col2 is not null limit 22 label Col2 ''"", 0)), """")"),"")</f>
        <v/>
      </c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8"/>
      <c r="AO128" s="28"/>
      <c r="AP128" s="29"/>
      <c r="AQ128" s="29" t="str">
        <f t="shared" ref="AQ128:BL128" si="132">T128/T$2</f>
        <v>#N/A</v>
      </c>
      <c r="AR128" s="29" t="str">
        <f t="shared" si="132"/>
        <v>#DIV/0!</v>
      </c>
      <c r="AS128" s="29" t="str">
        <f t="shared" si="132"/>
        <v>#DIV/0!</v>
      </c>
      <c r="AT128" s="29" t="str">
        <f t="shared" si="132"/>
        <v>#DIV/0!</v>
      </c>
      <c r="AU128" s="29" t="str">
        <f t="shared" si="132"/>
        <v>#DIV/0!</v>
      </c>
      <c r="AV128" s="29" t="str">
        <f t="shared" si="132"/>
        <v>#DIV/0!</v>
      </c>
      <c r="AW128" s="29" t="str">
        <f t="shared" si="132"/>
        <v>#DIV/0!</v>
      </c>
      <c r="AX128" s="29" t="str">
        <f t="shared" si="132"/>
        <v>#DIV/0!</v>
      </c>
      <c r="AY128" s="29" t="str">
        <f t="shared" si="132"/>
        <v>#DIV/0!</v>
      </c>
      <c r="AZ128" s="29" t="str">
        <f t="shared" si="132"/>
        <v>#DIV/0!</v>
      </c>
      <c r="BA128" s="29" t="str">
        <f t="shared" si="132"/>
        <v>#DIV/0!</v>
      </c>
      <c r="BB128" s="29" t="str">
        <f t="shared" si="132"/>
        <v>#DIV/0!</v>
      </c>
      <c r="BC128" s="29" t="str">
        <f t="shared" si="132"/>
        <v>#DIV/0!</v>
      </c>
      <c r="BD128" s="29" t="str">
        <f t="shared" si="132"/>
        <v>#DIV/0!</v>
      </c>
      <c r="BE128" s="29" t="str">
        <f t="shared" si="132"/>
        <v>#DIV/0!</v>
      </c>
      <c r="BF128" s="29" t="str">
        <f t="shared" si="132"/>
        <v>#DIV/0!</v>
      </c>
      <c r="BG128" s="29" t="str">
        <f t="shared" si="132"/>
        <v>#DIV/0!</v>
      </c>
      <c r="BH128" s="29" t="str">
        <f t="shared" si="132"/>
        <v>#DIV/0!</v>
      </c>
      <c r="BI128" s="29" t="str">
        <f t="shared" si="132"/>
        <v>#DIV/0!</v>
      </c>
      <c r="BJ128" s="29" t="str">
        <f t="shared" si="132"/>
        <v>#DIV/0!</v>
      </c>
      <c r="BK128" s="29" t="str">
        <f t="shared" si="132"/>
        <v>#DIV/0!</v>
      </c>
      <c r="BL128" s="29" t="str">
        <f t="shared" si="132"/>
        <v>#DIV/0!</v>
      </c>
      <c r="BM128" s="29" t="str">
        <f t="shared" si="3"/>
        <v>#DIV/0!</v>
      </c>
    </row>
    <row r="129">
      <c r="A129" s="16" t="str">
        <f>IFERROR(__xludf.DUMMYFUNCTION("IFERROR(SPARKLINE(SORT(MAP(TRANSPOSE(AQ129:BL129), LAMBDA(val, IF(ISNUMBER(val), PERCENTRANK(AQ129:BL129, val)+0.01, 0))), SEQUENCE(COLUMNS(AQ129:BL129)), FALSE), {""charttype"",""column""; ""color"",""chartreuse""; ""ymin"", 0; ""ymax"", 1.01; ""highcolo"&amp;"r"", ""darkgreen""; ""lowcolor"", ""red""}), """")"),"")</f>
        <v/>
      </c>
      <c r="B129" s="17" t="str">
        <f t="shared" si="4"/>
        <v/>
      </c>
      <c r="C129" s="1" t="s">
        <v>1951</v>
      </c>
      <c r="D129" s="30" t="str">
        <f>IFERROR(__xludf.DUMMYFUNCTION("IFERROR(GOOGLEFINANCE(C129, ""NAME""))"),"Koninklijke Philips NV")</f>
        <v>Koninklijke Philips NV</v>
      </c>
      <c r="E129" s="30" t="s">
        <v>1491</v>
      </c>
      <c r="F129" s="33" t="str">
        <f>IFERROR(__xludf.DUMMYFUNCTION("( (GOOGLEFINANCE(C129, ""price"") - Q129) / Q129 ) / (R129 / 100)"),"Loading...")</f>
        <v>Loading...</v>
      </c>
      <c r="G129" s="20" t="str">
        <f>IFERROR(__xludf.DUMMYFUNCTION("AVERAGE(ARRAYFORMULA(100 * (QUERY(GOOGLEFINANCE(C129, ""high"", TODAY()-40, TODAY()), ""SELECT Col2 WHERE Col2 IS NOT NULL ORDER BY Col1 DESC LIMIT 20"", 0) / QUERY(GOOGLEFINANCE(C129, ""low"", TODAY()-40, TODAY()), ""SELECT Col2 WHERE Col2 IS NOT NULL OR"&amp;"DER BY Col1 DESC LIMIT 20"", 0) - 1)))"),"#N/A")</f>
        <v>#N/A</v>
      </c>
      <c r="H129" s="35" t="str">
        <f t="shared" si="118"/>
        <v/>
      </c>
      <c r="I129" s="36" t="str">
        <f t="shared" si="7"/>
        <v/>
      </c>
      <c r="J129" s="37" t="str">
        <f>IFERROR(__xludf.DUMMYFUNCTION("IFERROR(
  IF(C129="""",, 
    IFERROR(
      GOOGLEFINANCE(C129, ""price"") * GOOGLEFINANCE(C129, ""volumeavg""), 
      GOOGLEFINANCE(C129, ""price"") * AVERAGE(QUERY(GOOGLEFINANCE(C129, ""volume"", TODAY()-40, TODAY()), ""SELECT Col2 WHERE Col2 IS NOT "&amp;"NULL ORDER BY Col1 DESC LIMIT 20"", 0))
    )
  ), 
"""")"),"")</f>
        <v/>
      </c>
      <c r="K129" s="21" t="str">
        <f>IFERROR(__xludf.DUMMYFUNCTION("IFERROR(GOOGLEFINANCE(C129, ""changepct"") / 100, """")"),"")</f>
        <v/>
      </c>
      <c r="L129" s="21" t="str">
        <f>IFERROR(__xludf.DUMMYFUNCTION("IFERROR((GOOGLEFINANCE(C129, ""price"") / INDEX(GOOGLEFINANCE(C129, ""price"", TODAY()-7, TODAY()), 2, 2)) - 1, """")"),"")</f>
        <v/>
      </c>
      <c r="M129" s="21" t="str">
        <f>IFERROR(__xludf.DUMMYFUNCTION("IFERROR((GOOGLEFINANCE(C129, ""price"") / INDEX(GOOGLEFINANCE(C129, ""price"", EDATE(TODAY(), -1), TODAY()), 2, 2)) - 1, """")"),"")</f>
        <v/>
      </c>
      <c r="N129" s="21" t="str">
        <f>IFERROR(__xludf.DUMMYFUNCTION("IFERROR((GOOGLEFINANCE(C129, ""price"") / INDEX(GOOGLEFINANCE(C129, ""price"", EDATE(TODAY(), -3), TODAY()), 2, 2)) - 1, """")"),"")</f>
        <v/>
      </c>
      <c r="O129" s="21" t="str">
        <f>IFERROR(__xludf.DUMMYFUNCTION("IFERROR((GOOGLEFINANCE(C129, ""price"") / INDEX(GOOGLEFINANCE(C129, ""price"", EDATE(TODAY(), -6), TODAY()), 2, 2)) - 1, """")"),"")</f>
        <v/>
      </c>
      <c r="P129" s="21" t="str">
        <f>IFERROR(__xludf.DUMMYFUNCTION("IFERROR((GOOGLEFINANCE(C129, ""price"") / INDEX(GOOGLEFINANCE(C129, ""price"", EDATE(TODAY(), -12), TODAY()), 2, 2)) - 1, """")"),"")</f>
        <v/>
      </c>
      <c r="Q129" s="6" t="str">
        <f>IFERROR(__xludf.DUMMYFUNCTION("AVERAGE(QUERY(GOOGLEFINANCE(C129, ""price"", TODAY()-80, TODAY()), ""SELECT Col2 WHERE Col2 IS NOT NULL ORDER BY Col1 DESC LIMIT 50"", 0))"),"#N/A")</f>
        <v>#N/A</v>
      </c>
      <c r="R129" s="24" t="str">
        <f>IFERROR(__xludf.DUMMYFUNCTION("IFERROR(
  LET(
    data, QUERY(GOOGLEFINANCE(C129,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GOOGLEFINANCE(C129, ""price"")) * 100,
    IF(calc=0, G129, calc)
  ), 
G129)"),"#N/A")</f>
        <v>#N/A</v>
      </c>
      <c r="S129" s="8" t="s">
        <v>15</v>
      </c>
      <c r="T129" s="26" t="str">
        <f>IFERROR(__xludf.DUMMYFUNCTION("IFERROR(TRANSPOSE(QUERY(IFERROR(SORT(GOOGLEFINANCE(C129, ""price"", WORKDAY(TODAY(), -40), TODAY()), 1, FALSE)), ""select Col2 where Col2 is not null limit 22 label Col2 ''"", 0)), """")"),"")</f>
        <v/>
      </c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8"/>
      <c r="AO129" s="28"/>
      <c r="AP129" s="29"/>
      <c r="AQ129" s="29" t="str">
        <f t="shared" ref="AQ129:BL129" si="133">T129/T$2</f>
        <v>#N/A</v>
      </c>
      <c r="AR129" s="29" t="str">
        <f t="shared" si="133"/>
        <v>#DIV/0!</v>
      </c>
      <c r="AS129" s="29" t="str">
        <f t="shared" si="133"/>
        <v>#DIV/0!</v>
      </c>
      <c r="AT129" s="29" t="str">
        <f t="shared" si="133"/>
        <v>#DIV/0!</v>
      </c>
      <c r="AU129" s="29" t="str">
        <f t="shared" si="133"/>
        <v>#DIV/0!</v>
      </c>
      <c r="AV129" s="29" t="str">
        <f t="shared" si="133"/>
        <v>#DIV/0!</v>
      </c>
      <c r="AW129" s="29" t="str">
        <f t="shared" si="133"/>
        <v>#DIV/0!</v>
      </c>
      <c r="AX129" s="29" t="str">
        <f t="shared" si="133"/>
        <v>#DIV/0!</v>
      </c>
      <c r="AY129" s="29" t="str">
        <f t="shared" si="133"/>
        <v>#DIV/0!</v>
      </c>
      <c r="AZ129" s="29" t="str">
        <f t="shared" si="133"/>
        <v>#DIV/0!</v>
      </c>
      <c r="BA129" s="29" t="str">
        <f t="shared" si="133"/>
        <v>#DIV/0!</v>
      </c>
      <c r="BB129" s="29" t="str">
        <f t="shared" si="133"/>
        <v>#DIV/0!</v>
      </c>
      <c r="BC129" s="29" t="str">
        <f t="shared" si="133"/>
        <v>#DIV/0!</v>
      </c>
      <c r="BD129" s="29" t="str">
        <f t="shared" si="133"/>
        <v>#DIV/0!</v>
      </c>
      <c r="BE129" s="29" t="str">
        <f t="shared" si="133"/>
        <v>#DIV/0!</v>
      </c>
      <c r="BF129" s="29" t="str">
        <f t="shared" si="133"/>
        <v>#DIV/0!</v>
      </c>
      <c r="BG129" s="29" t="str">
        <f t="shared" si="133"/>
        <v>#DIV/0!</v>
      </c>
      <c r="BH129" s="29" t="str">
        <f t="shared" si="133"/>
        <v>#DIV/0!</v>
      </c>
      <c r="BI129" s="29" t="str">
        <f t="shared" si="133"/>
        <v>#DIV/0!</v>
      </c>
      <c r="BJ129" s="29" t="str">
        <f t="shared" si="133"/>
        <v>#DIV/0!</v>
      </c>
      <c r="BK129" s="29" t="str">
        <f t="shared" si="133"/>
        <v>#DIV/0!</v>
      </c>
      <c r="BL129" s="29" t="str">
        <f t="shared" si="133"/>
        <v>#DIV/0!</v>
      </c>
      <c r="BM129" s="29" t="str">
        <f t="shared" si="3"/>
        <v>#DIV/0!</v>
      </c>
    </row>
    <row r="130">
      <c r="A130" s="16" t="str">
        <f>IFERROR(__xludf.DUMMYFUNCTION("IFERROR(SPARKLINE(SORT(MAP(TRANSPOSE(AQ130:BL130), LAMBDA(val, IF(ISNUMBER(val), PERCENTRANK(AQ130:BL130, val)+0.01, 0))), SEQUENCE(COLUMNS(AQ130:BL130)), FALSE), {""charttype"",""column""; ""color"",""chartreuse""; ""ymin"", 0; ""ymax"", 1.01; ""highcolo"&amp;"r"", ""darkgreen""; ""lowcolor"", ""red""}), """")"),"")</f>
        <v/>
      </c>
      <c r="B130" s="17" t="str">
        <f t="shared" si="4"/>
        <v/>
      </c>
      <c r="C130" s="1" t="s">
        <v>1955</v>
      </c>
      <c r="D130" s="30" t="str">
        <f>IFERROR(__xludf.DUMMYFUNCTION("IFERROR(GOOGLEFINANCE(C130, ""NAME""))"),"Acadia Healthcare Company Inc")</f>
        <v>Acadia Healthcare Company Inc</v>
      </c>
      <c r="E130" s="30" t="s">
        <v>1513</v>
      </c>
      <c r="F130" s="33" t="str">
        <f>IFERROR(__xludf.DUMMYFUNCTION("( (GOOGLEFINANCE(C130, ""price"") - Q130) / Q130 ) / (R130 / 100)"),"Loading...")</f>
        <v>Loading...</v>
      </c>
      <c r="G130" s="20" t="str">
        <f>IFERROR(__xludf.DUMMYFUNCTION("AVERAGE(ARRAYFORMULA(100 * (QUERY(GOOGLEFINANCE(C130, ""high"", TODAY()-40, TODAY()), ""SELECT Col2 WHERE Col2 IS NOT NULL ORDER BY Col1 DESC LIMIT 20"", 0) / QUERY(GOOGLEFINANCE(C130, ""low"", TODAY()-40, TODAY()), ""SELECT Col2 WHERE Col2 IS NOT NULL OR"&amp;"DER BY Col1 DESC LIMIT 20"", 0) - 1)))"),"#N/A")</f>
        <v>#N/A</v>
      </c>
      <c r="H130" s="35" t="str">
        <f t="shared" si="118"/>
        <v/>
      </c>
      <c r="I130" s="36" t="str">
        <f t="shared" si="7"/>
        <v/>
      </c>
      <c r="J130" s="37" t="str">
        <f>IFERROR(__xludf.DUMMYFUNCTION("IFERROR(
  IF(C130="""",, 
    IFERROR(
      GOOGLEFINANCE(C130, ""price"") * GOOGLEFINANCE(C130, ""volumeavg""), 
      GOOGLEFINANCE(C130, ""price"") * AVERAGE(QUERY(GOOGLEFINANCE(C130, ""volume"", TODAY()-40, TODAY()), ""SELECT Col2 WHERE Col2 IS NOT "&amp;"NULL ORDER BY Col1 DESC LIMIT 20"", 0))
    )
  ), 
"""")"),"")</f>
        <v/>
      </c>
      <c r="K130" s="21" t="str">
        <f>IFERROR(__xludf.DUMMYFUNCTION("IFERROR(GOOGLEFINANCE(C130, ""changepct"") / 100, """")"),"")</f>
        <v/>
      </c>
      <c r="L130" s="21" t="str">
        <f>IFERROR(__xludf.DUMMYFUNCTION("IFERROR((GOOGLEFINANCE(C130, ""price"") / INDEX(GOOGLEFINANCE(C130, ""price"", TODAY()-7, TODAY()), 2, 2)) - 1, """")"),"")</f>
        <v/>
      </c>
      <c r="M130" s="21" t="str">
        <f>IFERROR(__xludf.DUMMYFUNCTION("IFERROR((GOOGLEFINANCE(C130, ""price"") / INDEX(GOOGLEFINANCE(C130, ""price"", EDATE(TODAY(), -1), TODAY()), 2, 2)) - 1, """")"),"")</f>
        <v/>
      </c>
      <c r="N130" s="21" t="str">
        <f>IFERROR(__xludf.DUMMYFUNCTION("IFERROR((GOOGLEFINANCE(C130, ""price"") / INDEX(GOOGLEFINANCE(C130, ""price"", EDATE(TODAY(), -3), TODAY()), 2, 2)) - 1, """")"),"")</f>
        <v/>
      </c>
      <c r="O130" s="21" t="str">
        <f>IFERROR(__xludf.DUMMYFUNCTION("IFERROR((GOOGLEFINANCE(C130, ""price"") / INDEX(GOOGLEFINANCE(C130, ""price"", EDATE(TODAY(), -6), TODAY()), 2, 2)) - 1, """")"),"")</f>
        <v/>
      </c>
      <c r="P130" s="21" t="str">
        <f>IFERROR(__xludf.DUMMYFUNCTION("IFERROR((GOOGLEFINANCE(C130, ""price"") / INDEX(GOOGLEFINANCE(C130, ""price"", EDATE(TODAY(), -12), TODAY()), 2, 2)) - 1, """")"),"")</f>
        <v/>
      </c>
      <c r="Q130" s="6" t="str">
        <f>IFERROR(__xludf.DUMMYFUNCTION("AVERAGE(QUERY(GOOGLEFINANCE(C130, ""price"", TODAY()-80, TODAY()), ""SELECT Col2 WHERE Col2 IS NOT NULL ORDER BY Col1 DESC LIMIT 50"", 0))"),"#N/A")</f>
        <v>#N/A</v>
      </c>
      <c r="R130" s="24" t="str">
        <f>IFERROR(__xludf.DUMMYFUNCTION("IFERROR(
  LET(
    data, QUERY(GOOGLEFINANCE(C130,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GOOGLEFINANCE(C130, ""price"")) * 100,
    IF(calc=0, G130, calc)
  ), 
G130)"),"#N/A")</f>
        <v>#N/A</v>
      </c>
      <c r="S130" s="8" t="s">
        <v>15</v>
      </c>
      <c r="T130" s="26" t="str">
        <f>IFERROR(__xludf.DUMMYFUNCTION("IFERROR(TRANSPOSE(QUERY(IFERROR(SORT(GOOGLEFINANCE(C130, ""price"", WORKDAY(TODAY(), -40), TODAY()), 1, FALSE)), ""select Col2 where Col2 is not null limit 22 label Col2 ''"", 0)), """")"),"")</f>
        <v/>
      </c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8"/>
      <c r="AO130" s="28"/>
      <c r="AP130" s="29"/>
      <c r="AQ130" s="29" t="str">
        <f t="shared" ref="AQ130:BL130" si="134">T130/T$2</f>
        <v>#N/A</v>
      </c>
      <c r="AR130" s="29" t="str">
        <f t="shared" si="134"/>
        <v>#DIV/0!</v>
      </c>
      <c r="AS130" s="29" t="str">
        <f t="shared" si="134"/>
        <v>#DIV/0!</v>
      </c>
      <c r="AT130" s="29" t="str">
        <f t="shared" si="134"/>
        <v>#DIV/0!</v>
      </c>
      <c r="AU130" s="29" t="str">
        <f t="shared" si="134"/>
        <v>#DIV/0!</v>
      </c>
      <c r="AV130" s="29" t="str">
        <f t="shared" si="134"/>
        <v>#DIV/0!</v>
      </c>
      <c r="AW130" s="29" t="str">
        <f t="shared" si="134"/>
        <v>#DIV/0!</v>
      </c>
      <c r="AX130" s="29" t="str">
        <f t="shared" si="134"/>
        <v>#DIV/0!</v>
      </c>
      <c r="AY130" s="29" t="str">
        <f t="shared" si="134"/>
        <v>#DIV/0!</v>
      </c>
      <c r="AZ130" s="29" t="str">
        <f t="shared" si="134"/>
        <v>#DIV/0!</v>
      </c>
      <c r="BA130" s="29" t="str">
        <f t="shared" si="134"/>
        <v>#DIV/0!</v>
      </c>
      <c r="BB130" s="29" t="str">
        <f t="shared" si="134"/>
        <v>#DIV/0!</v>
      </c>
      <c r="BC130" s="29" t="str">
        <f t="shared" si="134"/>
        <v>#DIV/0!</v>
      </c>
      <c r="BD130" s="29" t="str">
        <f t="shared" si="134"/>
        <v>#DIV/0!</v>
      </c>
      <c r="BE130" s="29" t="str">
        <f t="shared" si="134"/>
        <v>#DIV/0!</v>
      </c>
      <c r="BF130" s="29" t="str">
        <f t="shared" si="134"/>
        <v>#DIV/0!</v>
      </c>
      <c r="BG130" s="29" t="str">
        <f t="shared" si="134"/>
        <v>#DIV/0!</v>
      </c>
      <c r="BH130" s="29" t="str">
        <f t="shared" si="134"/>
        <v>#DIV/0!</v>
      </c>
      <c r="BI130" s="29" t="str">
        <f t="shared" si="134"/>
        <v>#DIV/0!</v>
      </c>
      <c r="BJ130" s="29" t="str">
        <f t="shared" si="134"/>
        <v>#DIV/0!</v>
      </c>
      <c r="BK130" s="29" t="str">
        <f t="shared" si="134"/>
        <v>#DIV/0!</v>
      </c>
      <c r="BL130" s="29" t="str">
        <f t="shared" si="134"/>
        <v>#DIV/0!</v>
      </c>
      <c r="BM130" s="29" t="str">
        <f t="shared" si="3"/>
        <v>#DIV/0!</v>
      </c>
    </row>
    <row r="131">
      <c r="A131" s="16" t="str">
        <f>IFERROR(__xludf.DUMMYFUNCTION("IFERROR(SPARKLINE(SORT(MAP(TRANSPOSE(AQ131:BL131), LAMBDA(val, IF(ISNUMBER(val), PERCENTRANK(AQ131:BL131, val)+0.01, 0))), SEQUENCE(COLUMNS(AQ131:BL131)), FALSE), {""charttype"",""column""; ""color"",""chartreuse""; ""ymin"", 0; ""ymax"", 1.01; ""highcolo"&amp;"r"", ""darkgreen""; ""lowcolor"", ""red""}), """")"),"")</f>
        <v/>
      </c>
      <c r="B131" s="17" t="str">
        <f t="shared" si="4"/>
        <v/>
      </c>
      <c r="C131" s="1" t="s">
        <v>1959</v>
      </c>
      <c r="D131" s="30" t="str">
        <f>IFERROR(__xludf.DUMMYFUNCTION("IFERROR(GOOGLEFINANCE(C131, ""NAME""))"),"DexCom Inc")</f>
        <v>DexCom Inc</v>
      </c>
      <c r="E131" s="30" t="s">
        <v>1491</v>
      </c>
      <c r="F131" s="38" t="str">
        <f>IFERROR(__xludf.DUMMYFUNCTION("( (GOOGLEFINANCE(C131, ""price"") - Q131) / Q131 ) / (R131 / 100)"),"Loading...")</f>
        <v>Loading...</v>
      </c>
      <c r="G131" s="20" t="str">
        <f>IFERROR(__xludf.DUMMYFUNCTION("AVERAGE(ARRAYFORMULA(100 * (QUERY(GOOGLEFINANCE(C131, ""high"", TODAY()-40, TODAY()), ""SELECT Col2 WHERE Col2 IS NOT NULL ORDER BY Col1 DESC LIMIT 20"", 0) / QUERY(GOOGLEFINANCE(C131, ""low"", TODAY()-40, TODAY()), ""SELECT Col2 WHERE Col2 IS NOT NULL OR"&amp;"DER BY Col1 DESC LIMIT 20"", 0) - 1)))"),"#N/A")</f>
        <v>#N/A</v>
      </c>
      <c r="H131" s="35" t="str">
        <f t="shared" si="118"/>
        <v/>
      </c>
      <c r="I131" s="36" t="str">
        <f t="shared" si="7"/>
        <v/>
      </c>
      <c r="J131" s="37" t="str">
        <f>IFERROR(__xludf.DUMMYFUNCTION("IFERROR(
  IF(C131="""",, 
    IFERROR(
      GOOGLEFINANCE(C131, ""price"") * GOOGLEFINANCE(C131, ""volumeavg""), 
      GOOGLEFINANCE(C131, ""price"") * AVERAGE(QUERY(GOOGLEFINANCE(C131, ""volume"", TODAY()-40, TODAY()), ""SELECT Col2 WHERE Col2 IS NOT "&amp;"NULL ORDER BY Col1 DESC LIMIT 20"", 0))
    )
  ), 
"""")"),"")</f>
        <v/>
      </c>
      <c r="K131" s="21" t="str">
        <f>IFERROR(__xludf.DUMMYFUNCTION("IFERROR(GOOGLEFINANCE(C131, ""changepct"") / 100, """")"),"")</f>
        <v/>
      </c>
      <c r="L131" s="21" t="str">
        <f>IFERROR(__xludf.DUMMYFUNCTION("IFERROR((GOOGLEFINANCE(C131, ""price"") / INDEX(GOOGLEFINANCE(C131, ""price"", TODAY()-7, TODAY()), 2, 2)) - 1, """")"),"")</f>
        <v/>
      </c>
      <c r="M131" s="21" t="str">
        <f>IFERROR(__xludf.DUMMYFUNCTION("IFERROR((GOOGLEFINANCE(C131, ""price"") / INDEX(GOOGLEFINANCE(C131, ""price"", EDATE(TODAY(), -1), TODAY()), 2, 2)) - 1, """")"),"")</f>
        <v/>
      </c>
      <c r="N131" s="21" t="str">
        <f>IFERROR(__xludf.DUMMYFUNCTION("IFERROR((GOOGLEFINANCE(C131, ""price"") / INDEX(GOOGLEFINANCE(C131, ""price"", EDATE(TODAY(), -3), TODAY()), 2, 2)) - 1, """")"),"")</f>
        <v/>
      </c>
      <c r="O131" s="21" t="str">
        <f>IFERROR(__xludf.DUMMYFUNCTION("IFERROR((GOOGLEFINANCE(C131, ""price"") / INDEX(GOOGLEFINANCE(C131, ""price"", EDATE(TODAY(), -6), TODAY()), 2, 2)) - 1, """")"),"")</f>
        <v/>
      </c>
      <c r="P131" s="21" t="str">
        <f>IFERROR(__xludf.DUMMYFUNCTION("IFERROR((GOOGLEFINANCE(C131, ""price"") / INDEX(GOOGLEFINANCE(C131, ""price"", EDATE(TODAY(), -12), TODAY()), 2, 2)) - 1, """")"),"")</f>
        <v/>
      </c>
      <c r="Q131" s="6" t="str">
        <f>IFERROR(__xludf.DUMMYFUNCTION("AVERAGE(QUERY(GOOGLEFINANCE(C131, ""price"", TODAY()-80, TODAY()), ""SELECT Col2 WHERE Col2 IS NOT NULL ORDER BY Col1 DESC LIMIT 50"", 0))"),"#N/A")</f>
        <v>#N/A</v>
      </c>
      <c r="R131" s="24" t="str">
        <f>IFERROR(__xludf.DUMMYFUNCTION("IFERROR(
  LET(
    data, QUERY(GOOGLEFINANCE(C131,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GOOGLEFINANCE(C131, ""price"")) * 100,
    IF(calc=0, G131, calc)
  ), 
G131)"),"#N/A")</f>
        <v>#N/A</v>
      </c>
      <c r="S131" s="8" t="s">
        <v>15</v>
      </c>
      <c r="T131" s="26" t="str">
        <f>IFERROR(__xludf.DUMMYFUNCTION("IFERROR(TRANSPOSE(QUERY(IFERROR(SORT(GOOGLEFINANCE(C131, ""price"", WORKDAY(TODAY(), -40), TODAY()), 1, FALSE)), ""select Col2 where Col2 is not null limit 22 label Col2 ''"", 0)), """")"),"")</f>
        <v/>
      </c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8"/>
      <c r="AO131" s="28"/>
      <c r="AP131" s="29"/>
      <c r="AQ131" s="29" t="str">
        <f t="shared" ref="AQ131:BL131" si="135">T131/T$2</f>
        <v>#N/A</v>
      </c>
      <c r="AR131" s="29" t="str">
        <f t="shared" si="135"/>
        <v>#DIV/0!</v>
      </c>
      <c r="AS131" s="29" t="str">
        <f t="shared" si="135"/>
        <v>#DIV/0!</v>
      </c>
      <c r="AT131" s="29" t="str">
        <f t="shared" si="135"/>
        <v>#DIV/0!</v>
      </c>
      <c r="AU131" s="29" t="str">
        <f t="shared" si="135"/>
        <v>#DIV/0!</v>
      </c>
      <c r="AV131" s="29" t="str">
        <f t="shared" si="135"/>
        <v>#DIV/0!</v>
      </c>
      <c r="AW131" s="29" t="str">
        <f t="shared" si="135"/>
        <v>#DIV/0!</v>
      </c>
      <c r="AX131" s="29" t="str">
        <f t="shared" si="135"/>
        <v>#DIV/0!</v>
      </c>
      <c r="AY131" s="29" t="str">
        <f t="shared" si="135"/>
        <v>#DIV/0!</v>
      </c>
      <c r="AZ131" s="29" t="str">
        <f t="shared" si="135"/>
        <v>#DIV/0!</v>
      </c>
      <c r="BA131" s="29" t="str">
        <f t="shared" si="135"/>
        <v>#DIV/0!</v>
      </c>
      <c r="BB131" s="29" t="str">
        <f t="shared" si="135"/>
        <v>#DIV/0!</v>
      </c>
      <c r="BC131" s="29" t="str">
        <f t="shared" si="135"/>
        <v>#DIV/0!</v>
      </c>
      <c r="BD131" s="29" t="str">
        <f t="shared" si="135"/>
        <v>#DIV/0!</v>
      </c>
      <c r="BE131" s="29" t="str">
        <f t="shared" si="135"/>
        <v>#DIV/0!</v>
      </c>
      <c r="BF131" s="29" t="str">
        <f t="shared" si="135"/>
        <v>#DIV/0!</v>
      </c>
      <c r="BG131" s="29" t="str">
        <f t="shared" si="135"/>
        <v>#DIV/0!</v>
      </c>
      <c r="BH131" s="29" t="str">
        <f t="shared" si="135"/>
        <v>#DIV/0!</v>
      </c>
      <c r="BI131" s="29" t="str">
        <f t="shared" si="135"/>
        <v>#DIV/0!</v>
      </c>
      <c r="BJ131" s="29" t="str">
        <f t="shared" si="135"/>
        <v>#DIV/0!</v>
      </c>
      <c r="BK131" s="29" t="str">
        <f t="shared" si="135"/>
        <v>#DIV/0!</v>
      </c>
      <c r="BL131" s="29" t="str">
        <f t="shared" si="135"/>
        <v>#DIV/0!</v>
      </c>
      <c r="BM131" s="29" t="str">
        <f t="shared" si="3"/>
        <v>#DIV/0!</v>
      </c>
    </row>
    <row r="132">
      <c r="A132" s="16" t="str">
        <f>IFERROR(__xludf.DUMMYFUNCTION("IFERROR(SPARKLINE(SORT(MAP(TRANSPOSE(AQ132:BL132), LAMBDA(val, IF(ISNUMBER(val), PERCENTRANK(AQ132:BL132, val)+0.01, 0))), SEQUENCE(COLUMNS(AQ132:BL132)), FALSE), {""charttype"",""column""; ""color"",""chartreuse""; ""ymin"", 0; ""ymax"", 1.01; ""highcolo"&amp;"r"", ""darkgreen""; ""lowcolor"", ""red""}), """")"),"")</f>
        <v/>
      </c>
      <c r="B132" s="17" t="str">
        <f t="shared" si="4"/>
        <v/>
      </c>
      <c r="C132" s="1" t="s">
        <v>1962</v>
      </c>
      <c r="D132" s="30" t="str">
        <f>IFERROR(__xludf.DUMMYFUNCTION("IFERROR(GOOGLEFINANCE(C132, ""NAME""))"),"Orthofix Medical Inc")</f>
        <v>Orthofix Medical Inc</v>
      </c>
      <c r="E132" s="30" t="s">
        <v>1491</v>
      </c>
      <c r="F132" s="33" t="str">
        <f>IFERROR(__xludf.DUMMYFUNCTION("( (GOOGLEFINANCE(C132, ""price"") - Q132) / Q132 ) / (R132 / 100)"),"Loading...")</f>
        <v>Loading...</v>
      </c>
      <c r="G132" s="20" t="str">
        <f>IFERROR(__xludf.DUMMYFUNCTION("AVERAGE(ARRAYFORMULA(100 * (QUERY(GOOGLEFINANCE(C132, ""high"", TODAY()-40, TODAY()), ""SELECT Col2 WHERE Col2 IS NOT NULL ORDER BY Col1 DESC LIMIT 20"", 0) / QUERY(GOOGLEFINANCE(C132, ""low"", TODAY()-40, TODAY()), ""SELECT Col2 WHERE Col2 IS NOT NULL OR"&amp;"DER BY Col1 DESC LIMIT 20"", 0) - 1)))"),"#N/A")</f>
        <v>#N/A</v>
      </c>
      <c r="H132" s="35" t="str">
        <f t="shared" si="118"/>
        <v/>
      </c>
      <c r="I132" s="36" t="str">
        <f t="shared" si="7"/>
        <v/>
      </c>
      <c r="J132" s="37" t="str">
        <f>IFERROR(__xludf.DUMMYFUNCTION("IFERROR(
  IF(C132="""",, 
    IFERROR(
      GOOGLEFINANCE(C132, ""price"") * GOOGLEFINANCE(C132, ""volumeavg""), 
      GOOGLEFINANCE(C132, ""price"") * AVERAGE(QUERY(GOOGLEFINANCE(C132, ""volume"", TODAY()-40, TODAY()), ""SELECT Col2 WHERE Col2 IS NOT "&amp;"NULL ORDER BY Col1 DESC LIMIT 20"", 0))
    )
  ), 
"""")"),"")</f>
        <v/>
      </c>
      <c r="K132" s="21" t="str">
        <f>IFERROR(__xludf.DUMMYFUNCTION("IFERROR(GOOGLEFINANCE(C132, ""changepct"") / 100, """")"),"")</f>
        <v/>
      </c>
      <c r="L132" s="21" t="str">
        <f>IFERROR(__xludf.DUMMYFUNCTION("IFERROR((GOOGLEFINANCE(C132, ""price"") / INDEX(GOOGLEFINANCE(C132, ""price"", TODAY()-7, TODAY()), 2, 2)) - 1, """")"),"")</f>
        <v/>
      </c>
      <c r="M132" s="21" t="str">
        <f>IFERROR(__xludf.DUMMYFUNCTION("IFERROR((GOOGLEFINANCE(C132, ""price"") / INDEX(GOOGLEFINANCE(C132, ""price"", EDATE(TODAY(), -1), TODAY()), 2, 2)) - 1, """")"),"")</f>
        <v/>
      </c>
      <c r="N132" s="21" t="str">
        <f>IFERROR(__xludf.DUMMYFUNCTION("IFERROR((GOOGLEFINANCE(C132, ""price"") / INDEX(GOOGLEFINANCE(C132, ""price"", EDATE(TODAY(), -3), TODAY()), 2, 2)) - 1, """")"),"")</f>
        <v/>
      </c>
      <c r="O132" s="21" t="str">
        <f>IFERROR(__xludf.DUMMYFUNCTION("IFERROR((GOOGLEFINANCE(C132, ""price"") / INDEX(GOOGLEFINANCE(C132, ""price"", EDATE(TODAY(), -6), TODAY()), 2, 2)) - 1, """")"),"")</f>
        <v/>
      </c>
      <c r="P132" s="21" t="str">
        <f>IFERROR(__xludf.DUMMYFUNCTION("IFERROR((GOOGLEFINANCE(C132, ""price"") / INDEX(GOOGLEFINANCE(C132, ""price"", EDATE(TODAY(), -12), TODAY()), 2, 2)) - 1, """")"),"")</f>
        <v/>
      </c>
      <c r="Q132" s="6" t="str">
        <f>IFERROR(__xludf.DUMMYFUNCTION("AVERAGE(QUERY(GOOGLEFINANCE(C132, ""price"", TODAY()-80, TODAY()), ""SELECT Col2 WHERE Col2 IS NOT NULL ORDER BY Col1 DESC LIMIT 50"", 0))"),"#N/A")</f>
        <v>#N/A</v>
      </c>
      <c r="R132" s="24" t="str">
        <f>IFERROR(__xludf.DUMMYFUNCTION("IFERROR(
  LET(
    data, QUERY(GOOGLEFINANCE(C132,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GOOGLEFINANCE(C132, ""price"")) * 100,
    IF(calc=0, G132, calc)
  ), 
G132)"),"#N/A")</f>
        <v>#N/A</v>
      </c>
      <c r="S132" s="8" t="s">
        <v>15</v>
      </c>
      <c r="T132" s="26" t="str">
        <f>IFERROR(__xludf.DUMMYFUNCTION("IFERROR(TRANSPOSE(QUERY(IFERROR(SORT(GOOGLEFINANCE(C132, ""price"", WORKDAY(TODAY(), -40), TODAY()), 1, FALSE)), ""select Col2 where Col2 is not null limit 22 label Col2 ''"", 0)), """")"),"")</f>
        <v/>
      </c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8"/>
      <c r="AO132" s="28"/>
      <c r="AP132" s="29"/>
      <c r="AQ132" s="29" t="str">
        <f t="shared" ref="AQ132:BL132" si="136">T132/T$2</f>
        <v>#N/A</v>
      </c>
      <c r="AR132" s="29" t="str">
        <f t="shared" si="136"/>
        <v>#DIV/0!</v>
      </c>
      <c r="AS132" s="29" t="str">
        <f t="shared" si="136"/>
        <v>#DIV/0!</v>
      </c>
      <c r="AT132" s="29" t="str">
        <f t="shared" si="136"/>
        <v>#DIV/0!</v>
      </c>
      <c r="AU132" s="29" t="str">
        <f t="shared" si="136"/>
        <v>#DIV/0!</v>
      </c>
      <c r="AV132" s="29" t="str">
        <f t="shared" si="136"/>
        <v>#DIV/0!</v>
      </c>
      <c r="AW132" s="29" t="str">
        <f t="shared" si="136"/>
        <v>#DIV/0!</v>
      </c>
      <c r="AX132" s="29" t="str">
        <f t="shared" si="136"/>
        <v>#DIV/0!</v>
      </c>
      <c r="AY132" s="29" t="str">
        <f t="shared" si="136"/>
        <v>#DIV/0!</v>
      </c>
      <c r="AZ132" s="29" t="str">
        <f t="shared" si="136"/>
        <v>#DIV/0!</v>
      </c>
      <c r="BA132" s="29" t="str">
        <f t="shared" si="136"/>
        <v>#DIV/0!</v>
      </c>
      <c r="BB132" s="29" t="str">
        <f t="shared" si="136"/>
        <v>#DIV/0!</v>
      </c>
      <c r="BC132" s="29" t="str">
        <f t="shared" si="136"/>
        <v>#DIV/0!</v>
      </c>
      <c r="BD132" s="29" t="str">
        <f t="shared" si="136"/>
        <v>#DIV/0!</v>
      </c>
      <c r="BE132" s="29" t="str">
        <f t="shared" si="136"/>
        <v>#DIV/0!</v>
      </c>
      <c r="BF132" s="29" t="str">
        <f t="shared" si="136"/>
        <v>#DIV/0!</v>
      </c>
      <c r="BG132" s="29" t="str">
        <f t="shared" si="136"/>
        <v>#DIV/0!</v>
      </c>
      <c r="BH132" s="29" t="str">
        <f t="shared" si="136"/>
        <v>#DIV/0!</v>
      </c>
      <c r="BI132" s="29" t="str">
        <f t="shared" si="136"/>
        <v>#DIV/0!</v>
      </c>
      <c r="BJ132" s="29" t="str">
        <f t="shared" si="136"/>
        <v>#DIV/0!</v>
      </c>
      <c r="BK132" s="29" t="str">
        <f t="shared" si="136"/>
        <v>#DIV/0!</v>
      </c>
      <c r="BL132" s="29" t="str">
        <f t="shared" si="136"/>
        <v>#DIV/0!</v>
      </c>
      <c r="BM132" s="29" t="str">
        <f t="shared" si="3"/>
        <v>#DIV/0!</v>
      </c>
    </row>
    <row r="133">
      <c r="A133" s="16" t="str">
        <f>IFERROR(__xludf.DUMMYFUNCTION("IFERROR(SPARKLINE(SORT(MAP(TRANSPOSE(AQ133:BL133), LAMBDA(val, IF(ISNUMBER(val), PERCENTRANK(AQ133:BL133, val)+0.01, 0))), SEQUENCE(COLUMNS(AQ133:BL133)), FALSE), {""charttype"",""column""; ""color"",""chartreuse""; ""ymin"", 0; ""ymax"", 1.01; ""highcolo"&amp;"r"", ""darkgreen""; ""lowcolor"", ""red""}), """")"),"")</f>
        <v/>
      </c>
      <c r="B133" s="17" t="str">
        <f t="shared" si="4"/>
        <v/>
      </c>
      <c r="C133" s="1" t="s">
        <v>1965</v>
      </c>
      <c r="D133" s="30" t="str">
        <f>IFERROR(__xludf.DUMMYFUNCTION("IFERROR(GOOGLEFINANCE(C133, ""NAME""))"),"Quidelortho Corp")</f>
        <v>Quidelortho Corp</v>
      </c>
      <c r="E133" s="30" t="s">
        <v>1491</v>
      </c>
      <c r="F133" s="38" t="str">
        <f>IFERROR(__xludf.DUMMYFUNCTION("( (GOOGLEFINANCE(C133, ""price"") - Q133) / Q133 ) / (R133 / 100)"),"Loading...")</f>
        <v>Loading...</v>
      </c>
      <c r="G133" s="20" t="str">
        <f>IFERROR(__xludf.DUMMYFUNCTION("AVERAGE(ARRAYFORMULA(100 * (QUERY(GOOGLEFINANCE(C133, ""high"", TODAY()-40, TODAY()), ""SELECT Col2 WHERE Col2 IS NOT NULL ORDER BY Col1 DESC LIMIT 20"", 0) / QUERY(GOOGLEFINANCE(C133, ""low"", TODAY()-40, TODAY()), ""SELECT Col2 WHERE Col2 IS NOT NULL OR"&amp;"DER BY Col1 DESC LIMIT 20"", 0) - 1)))"),"#N/A")</f>
        <v>#N/A</v>
      </c>
      <c r="H133" s="35" t="str">
        <f t="shared" si="118"/>
        <v/>
      </c>
      <c r="I133" s="36" t="str">
        <f t="shared" si="7"/>
        <v/>
      </c>
      <c r="J133" s="37" t="str">
        <f>IFERROR(__xludf.DUMMYFUNCTION("IFERROR(
  IF(C133="""",, 
    IFERROR(
      GOOGLEFINANCE(C133, ""price"") * GOOGLEFINANCE(C133, ""volumeavg""), 
      GOOGLEFINANCE(C133, ""price"") * AVERAGE(QUERY(GOOGLEFINANCE(C133, ""volume"", TODAY()-40, TODAY()), ""SELECT Col2 WHERE Col2 IS NOT "&amp;"NULL ORDER BY Col1 DESC LIMIT 20"", 0))
    )
  ), 
"""")"),"")</f>
        <v/>
      </c>
      <c r="K133" s="21" t="str">
        <f>IFERROR(__xludf.DUMMYFUNCTION("IFERROR(GOOGLEFINANCE(C133, ""changepct"") / 100, """")"),"")</f>
        <v/>
      </c>
      <c r="L133" s="21" t="str">
        <f>IFERROR(__xludf.DUMMYFUNCTION("IFERROR((GOOGLEFINANCE(C133, ""price"") / INDEX(GOOGLEFINANCE(C133, ""price"", TODAY()-7, TODAY()), 2, 2)) - 1, """")"),"")</f>
        <v/>
      </c>
      <c r="M133" s="21" t="str">
        <f>IFERROR(__xludf.DUMMYFUNCTION("IFERROR((GOOGLEFINANCE(C133, ""price"") / INDEX(GOOGLEFINANCE(C133, ""price"", EDATE(TODAY(), -1), TODAY()), 2, 2)) - 1, """")"),"")</f>
        <v/>
      </c>
      <c r="N133" s="21" t="str">
        <f>IFERROR(__xludf.DUMMYFUNCTION("IFERROR((GOOGLEFINANCE(C133, ""price"") / INDEX(GOOGLEFINANCE(C133, ""price"", EDATE(TODAY(), -3), TODAY()), 2, 2)) - 1, """")"),"")</f>
        <v/>
      </c>
      <c r="O133" s="21" t="str">
        <f>IFERROR(__xludf.DUMMYFUNCTION("IFERROR((GOOGLEFINANCE(C133, ""price"") / INDEX(GOOGLEFINANCE(C133, ""price"", EDATE(TODAY(), -6), TODAY()), 2, 2)) - 1, """")"),"")</f>
        <v/>
      </c>
      <c r="P133" s="21" t="str">
        <f>IFERROR(__xludf.DUMMYFUNCTION("IFERROR((GOOGLEFINANCE(C133, ""price"") / INDEX(GOOGLEFINANCE(C133, ""price"", EDATE(TODAY(), -12), TODAY()), 2, 2)) - 1, """")"),"")</f>
        <v/>
      </c>
      <c r="Q133" s="6" t="str">
        <f>IFERROR(__xludf.DUMMYFUNCTION("AVERAGE(QUERY(GOOGLEFINANCE(C133, ""price"", TODAY()-80, TODAY()), ""SELECT Col2 WHERE Col2 IS NOT NULL ORDER BY Col1 DESC LIMIT 50"", 0))"),"#N/A")</f>
        <v>#N/A</v>
      </c>
      <c r="R133" s="24" t="str">
        <f>IFERROR(__xludf.DUMMYFUNCTION("IFERROR(
  LET(
    data, QUERY(GOOGLEFINANCE(C133,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GOOGLEFINANCE(C133, ""price"")) * 100,
    IF(calc=0, G133, calc)
  ), 
G133)"),"#N/A")</f>
        <v>#N/A</v>
      </c>
      <c r="S133" s="8" t="s">
        <v>15</v>
      </c>
      <c r="T133" s="26" t="str">
        <f>IFERROR(__xludf.DUMMYFUNCTION("IFERROR(TRANSPOSE(QUERY(IFERROR(SORT(GOOGLEFINANCE(C133, ""price"", WORKDAY(TODAY(), -40), TODAY()), 1, FALSE)), ""select Col2 where Col2 is not null limit 22 label Col2 ''"", 0)), """")"),"")</f>
        <v/>
      </c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8"/>
      <c r="AO133" s="28"/>
      <c r="AP133" s="29"/>
      <c r="AQ133" s="29" t="str">
        <f t="shared" ref="AQ133:BL133" si="137">T133/T$2</f>
        <v>#N/A</v>
      </c>
      <c r="AR133" s="29" t="str">
        <f t="shared" si="137"/>
        <v>#DIV/0!</v>
      </c>
      <c r="AS133" s="29" t="str">
        <f t="shared" si="137"/>
        <v>#DIV/0!</v>
      </c>
      <c r="AT133" s="29" t="str">
        <f t="shared" si="137"/>
        <v>#DIV/0!</v>
      </c>
      <c r="AU133" s="29" t="str">
        <f t="shared" si="137"/>
        <v>#DIV/0!</v>
      </c>
      <c r="AV133" s="29" t="str">
        <f t="shared" si="137"/>
        <v>#DIV/0!</v>
      </c>
      <c r="AW133" s="29" t="str">
        <f t="shared" si="137"/>
        <v>#DIV/0!</v>
      </c>
      <c r="AX133" s="29" t="str">
        <f t="shared" si="137"/>
        <v>#DIV/0!</v>
      </c>
      <c r="AY133" s="29" t="str">
        <f t="shared" si="137"/>
        <v>#DIV/0!</v>
      </c>
      <c r="AZ133" s="29" t="str">
        <f t="shared" si="137"/>
        <v>#DIV/0!</v>
      </c>
      <c r="BA133" s="29" t="str">
        <f t="shared" si="137"/>
        <v>#DIV/0!</v>
      </c>
      <c r="BB133" s="29" t="str">
        <f t="shared" si="137"/>
        <v>#DIV/0!</v>
      </c>
      <c r="BC133" s="29" t="str">
        <f t="shared" si="137"/>
        <v>#DIV/0!</v>
      </c>
      <c r="BD133" s="29" t="str">
        <f t="shared" si="137"/>
        <v>#DIV/0!</v>
      </c>
      <c r="BE133" s="29" t="str">
        <f t="shared" si="137"/>
        <v>#DIV/0!</v>
      </c>
      <c r="BF133" s="29" t="str">
        <f t="shared" si="137"/>
        <v>#DIV/0!</v>
      </c>
      <c r="BG133" s="29" t="str">
        <f t="shared" si="137"/>
        <v>#DIV/0!</v>
      </c>
      <c r="BH133" s="29" t="str">
        <f t="shared" si="137"/>
        <v>#DIV/0!</v>
      </c>
      <c r="BI133" s="29" t="str">
        <f t="shared" si="137"/>
        <v>#DIV/0!</v>
      </c>
      <c r="BJ133" s="29" t="str">
        <f t="shared" si="137"/>
        <v>#DIV/0!</v>
      </c>
      <c r="BK133" s="29" t="str">
        <f t="shared" si="137"/>
        <v>#DIV/0!</v>
      </c>
      <c r="BL133" s="29" t="str">
        <f t="shared" si="137"/>
        <v>#DIV/0!</v>
      </c>
      <c r="BM133" s="29" t="str">
        <f t="shared" si="3"/>
        <v>#DIV/0!</v>
      </c>
    </row>
    <row r="134">
      <c r="A134" s="16" t="str">
        <f>IFERROR(__xludf.DUMMYFUNCTION("IFERROR(SPARKLINE(SORT(MAP(TRANSPOSE(AQ134:BL134), LAMBDA(val, IF(ISNUMBER(val), PERCENTRANK(AQ134:BL134, val)+0.01, 0))), SEQUENCE(COLUMNS(AQ134:BL134)), FALSE), {""charttype"",""column""; ""color"",""chartreuse""; ""ymin"", 0; ""ymax"", 1.01; ""highcolo"&amp;"r"", ""darkgreen""; ""lowcolor"", ""red""}), """")"),"")</f>
        <v/>
      </c>
      <c r="B134" s="17" t="str">
        <f t="shared" si="4"/>
        <v/>
      </c>
      <c r="C134" s="1" t="s">
        <v>1969</v>
      </c>
      <c r="D134" s="30" t="str">
        <f>IFERROR(__xludf.DUMMYFUNCTION("IFERROR(GOOGLEFINANCE(C134, ""NAME""))"),"Universal Health Services Inc")</f>
        <v>Universal Health Services Inc</v>
      </c>
      <c r="E134" s="30" t="s">
        <v>1513</v>
      </c>
      <c r="F134" s="33" t="str">
        <f>IFERROR(__xludf.DUMMYFUNCTION("( (GOOGLEFINANCE(C134, ""price"") - Q134) / Q134 ) / (R134 / 100)"),"Loading...")</f>
        <v>Loading...</v>
      </c>
      <c r="G134" s="20" t="str">
        <f>IFERROR(__xludf.DUMMYFUNCTION("AVERAGE(ARRAYFORMULA(100 * (QUERY(GOOGLEFINANCE(C134, ""high"", TODAY()-40, TODAY()), ""SELECT Col2 WHERE Col2 IS NOT NULL ORDER BY Col1 DESC LIMIT 20"", 0) / QUERY(GOOGLEFINANCE(C134, ""low"", TODAY()-40, TODAY()), ""SELECT Col2 WHERE Col2 IS NOT NULL OR"&amp;"DER BY Col1 DESC LIMIT 20"", 0) - 1)))"),"#N/A")</f>
        <v>#N/A</v>
      </c>
      <c r="H134" s="35" t="str">
        <f t="shared" si="118"/>
        <v/>
      </c>
      <c r="I134" s="36" t="str">
        <f t="shared" si="7"/>
        <v/>
      </c>
      <c r="J134" s="37" t="str">
        <f>IFERROR(__xludf.DUMMYFUNCTION("IFERROR(
  IF(C134="""",, 
    IFERROR(
      GOOGLEFINANCE(C134, ""price"") * GOOGLEFINANCE(C134, ""volumeavg""), 
      GOOGLEFINANCE(C134, ""price"") * AVERAGE(QUERY(GOOGLEFINANCE(C134, ""volume"", TODAY()-40, TODAY()), ""SELECT Col2 WHERE Col2 IS NOT "&amp;"NULL ORDER BY Col1 DESC LIMIT 20"", 0))
    )
  ), 
"""")"),"")</f>
        <v/>
      </c>
      <c r="K134" s="21" t="str">
        <f>IFERROR(__xludf.DUMMYFUNCTION("IFERROR(GOOGLEFINANCE(C134, ""changepct"") / 100, """")"),"")</f>
        <v/>
      </c>
      <c r="L134" s="21" t="str">
        <f>IFERROR(__xludf.DUMMYFUNCTION("IFERROR((GOOGLEFINANCE(C134, ""price"") / INDEX(GOOGLEFINANCE(C134, ""price"", TODAY()-7, TODAY()), 2, 2)) - 1, """")"),"")</f>
        <v/>
      </c>
      <c r="M134" s="21" t="str">
        <f>IFERROR(__xludf.DUMMYFUNCTION("IFERROR((GOOGLEFINANCE(C134, ""price"") / INDEX(GOOGLEFINANCE(C134, ""price"", EDATE(TODAY(), -1), TODAY()), 2, 2)) - 1, """")"),"")</f>
        <v/>
      </c>
      <c r="N134" s="21" t="str">
        <f>IFERROR(__xludf.DUMMYFUNCTION("IFERROR((GOOGLEFINANCE(C134, ""price"") / INDEX(GOOGLEFINANCE(C134, ""price"", EDATE(TODAY(), -3), TODAY()), 2, 2)) - 1, """")"),"")</f>
        <v/>
      </c>
      <c r="O134" s="21" t="str">
        <f>IFERROR(__xludf.DUMMYFUNCTION("IFERROR((GOOGLEFINANCE(C134, ""price"") / INDEX(GOOGLEFINANCE(C134, ""price"", EDATE(TODAY(), -6), TODAY()), 2, 2)) - 1, """")"),"")</f>
        <v/>
      </c>
      <c r="P134" s="21" t="str">
        <f>IFERROR(__xludf.DUMMYFUNCTION("IFERROR((GOOGLEFINANCE(C134, ""price"") / INDEX(GOOGLEFINANCE(C134, ""price"", EDATE(TODAY(), -12), TODAY()), 2, 2)) - 1, """")"),"")</f>
        <v/>
      </c>
      <c r="Q134" s="6" t="str">
        <f>IFERROR(__xludf.DUMMYFUNCTION("AVERAGE(QUERY(GOOGLEFINANCE(C134, ""price"", TODAY()-80, TODAY()), ""SELECT Col2 WHERE Col2 IS NOT NULL ORDER BY Col1 DESC LIMIT 50"", 0))"),"#N/A")</f>
        <v>#N/A</v>
      </c>
      <c r="R134" s="24" t="str">
        <f>IFERROR(__xludf.DUMMYFUNCTION("IFERROR(
  LET(
    data, QUERY(GOOGLEFINANCE(C134,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GOOGLEFINANCE(C134, ""price"")) * 100,
    IF(calc=0, G134, calc)
  ), 
G134)"),"#N/A")</f>
        <v>#N/A</v>
      </c>
      <c r="S134" s="8" t="s">
        <v>15</v>
      </c>
      <c r="T134" s="26" t="str">
        <f>IFERROR(__xludf.DUMMYFUNCTION("IFERROR(TRANSPOSE(QUERY(IFERROR(SORT(GOOGLEFINANCE(C134, ""price"", WORKDAY(TODAY(), -40), TODAY()), 1, FALSE)), ""select Col2 where Col2 is not null limit 22 label Col2 ''"", 0)), """")"),"")</f>
        <v/>
      </c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8"/>
      <c r="AO134" s="28"/>
      <c r="AP134" s="29"/>
      <c r="AQ134" s="29" t="str">
        <f t="shared" ref="AQ134:BL134" si="138">T134/T$2</f>
        <v>#N/A</v>
      </c>
      <c r="AR134" s="29" t="str">
        <f t="shared" si="138"/>
        <v>#DIV/0!</v>
      </c>
      <c r="AS134" s="29" t="str">
        <f t="shared" si="138"/>
        <v>#DIV/0!</v>
      </c>
      <c r="AT134" s="29" t="str">
        <f t="shared" si="138"/>
        <v>#DIV/0!</v>
      </c>
      <c r="AU134" s="29" t="str">
        <f t="shared" si="138"/>
        <v>#DIV/0!</v>
      </c>
      <c r="AV134" s="29" t="str">
        <f t="shared" si="138"/>
        <v>#DIV/0!</v>
      </c>
      <c r="AW134" s="29" t="str">
        <f t="shared" si="138"/>
        <v>#DIV/0!</v>
      </c>
      <c r="AX134" s="29" t="str">
        <f t="shared" si="138"/>
        <v>#DIV/0!</v>
      </c>
      <c r="AY134" s="29" t="str">
        <f t="shared" si="138"/>
        <v>#DIV/0!</v>
      </c>
      <c r="AZ134" s="29" t="str">
        <f t="shared" si="138"/>
        <v>#DIV/0!</v>
      </c>
      <c r="BA134" s="29" t="str">
        <f t="shared" si="138"/>
        <v>#DIV/0!</v>
      </c>
      <c r="BB134" s="29" t="str">
        <f t="shared" si="138"/>
        <v>#DIV/0!</v>
      </c>
      <c r="BC134" s="29" t="str">
        <f t="shared" si="138"/>
        <v>#DIV/0!</v>
      </c>
      <c r="BD134" s="29" t="str">
        <f t="shared" si="138"/>
        <v>#DIV/0!</v>
      </c>
      <c r="BE134" s="29" t="str">
        <f t="shared" si="138"/>
        <v>#DIV/0!</v>
      </c>
      <c r="BF134" s="29" t="str">
        <f t="shared" si="138"/>
        <v>#DIV/0!</v>
      </c>
      <c r="BG134" s="29" t="str">
        <f t="shared" si="138"/>
        <v>#DIV/0!</v>
      </c>
      <c r="BH134" s="29" t="str">
        <f t="shared" si="138"/>
        <v>#DIV/0!</v>
      </c>
      <c r="BI134" s="29" t="str">
        <f t="shared" si="138"/>
        <v>#DIV/0!</v>
      </c>
      <c r="BJ134" s="29" t="str">
        <f t="shared" si="138"/>
        <v>#DIV/0!</v>
      </c>
      <c r="BK134" s="29" t="str">
        <f t="shared" si="138"/>
        <v>#DIV/0!</v>
      </c>
      <c r="BL134" s="29" t="str">
        <f t="shared" si="138"/>
        <v>#DIV/0!</v>
      </c>
      <c r="BM134" s="29" t="str">
        <f t="shared" si="3"/>
        <v>#DIV/0!</v>
      </c>
    </row>
    <row r="135">
      <c r="A135" s="16" t="str">
        <f>IFERROR(__xludf.DUMMYFUNCTION("IFERROR(SPARKLINE(SORT(MAP(TRANSPOSE(AQ135:BL135), LAMBDA(val, IF(ISNUMBER(val), PERCENTRANK(AQ135:BL135, val)+0.01, 0))), SEQUENCE(COLUMNS(AQ135:BL135)), FALSE), {""charttype"",""column""; ""color"",""chartreuse""; ""ymin"", 0; ""ymax"", 1.01; ""highcolo"&amp;"r"", ""darkgreen""; ""lowcolor"", ""red""}), """")"),"")</f>
        <v/>
      </c>
      <c r="B135" s="17" t="str">
        <f t="shared" si="4"/>
        <v/>
      </c>
      <c r="C135" s="1" t="s">
        <v>1973</v>
      </c>
      <c r="D135" s="30" t="str">
        <f>IFERROR(__xludf.DUMMYFUNCTION("IFERROR(GOOGLEFINANCE(C135, ""NAME""))"),"Zimmer Biomet Holdings, Inc")</f>
        <v>Zimmer Biomet Holdings, Inc</v>
      </c>
      <c r="E135" s="30" t="s">
        <v>1491</v>
      </c>
      <c r="F135" s="33" t="str">
        <f>IFERROR(__xludf.DUMMYFUNCTION("( (GOOGLEFINANCE(C135, ""price"") - Q135) / Q135 ) / (R135 / 100)"),"Loading...")</f>
        <v>Loading...</v>
      </c>
      <c r="G135" s="20" t="str">
        <f>IFERROR(__xludf.DUMMYFUNCTION("AVERAGE(ARRAYFORMULA(100 * (QUERY(GOOGLEFINANCE(C135, ""high"", TODAY()-40, TODAY()), ""SELECT Col2 WHERE Col2 IS NOT NULL ORDER BY Col1 DESC LIMIT 20"", 0) / QUERY(GOOGLEFINANCE(C135, ""low"", TODAY()-40, TODAY()), ""SELECT Col2 WHERE Col2 IS NOT NULL OR"&amp;"DER BY Col1 DESC LIMIT 20"", 0) - 1)))"),"#N/A")</f>
        <v>#N/A</v>
      </c>
      <c r="H135" s="35" t="str">
        <f t="shared" si="118"/>
        <v/>
      </c>
      <c r="I135" s="36" t="str">
        <f t="shared" si="7"/>
        <v/>
      </c>
      <c r="J135" s="37" t="str">
        <f>IFERROR(__xludf.DUMMYFUNCTION("IFERROR(
  IF(C135="""",, 
    IFERROR(
      GOOGLEFINANCE(C135, ""price"") * GOOGLEFINANCE(C135, ""volumeavg""), 
      GOOGLEFINANCE(C135, ""price"") * AVERAGE(QUERY(GOOGLEFINANCE(C135, ""volume"", TODAY()-40, TODAY()), ""SELECT Col2 WHERE Col2 IS NOT "&amp;"NULL ORDER BY Col1 DESC LIMIT 20"", 0))
    )
  ), 
"""")"),"")</f>
        <v/>
      </c>
      <c r="K135" s="21" t="str">
        <f>IFERROR(__xludf.DUMMYFUNCTION("IFERROR(GOOGLEFINANCE(C135, ""changepct"") / 100, """")"),"")</f>
        <v/>
      </c>
      <c r="L135" s="21" t="str">
        <f>IFERROR(__xludf.DUMMYFUNCTION("IFERROR((GOOGLEFINANCE(C135, ""price"") / INDEX(GOOGLEFINANCE(C135, ""price"", TODAY()-7, TODAY()), 2, 2)) - 1, """")"),"")</f>
        <v/>
      </c>
      <c r="M135" s="21" t="str">
        <f>IFERROR(__xludf.DUMMYFUNCTION("IFERROR((GOOGLEFINANCE(C135, ""price"") / INDEX(GOOGLEFINANCE(C135, ""price"", EDATE(TODAY(), -1), TODAY()), 2, 2)) - 1, """")"),"")</f>
        <v/>
      </c>
      <c r="N135" s="21" t="str">
        <f>IFERROR(__xludf.DUMMYFUNCTION("IFERROR((GOOGLEFINANCE(C135, ""price"") / INDEX(GOOGLEFINANCE(C135, ""price"", EDATE(TODAY(), -3), TODAY()), 2, 2)) - 1, """")"),"")</f>
        <v/>
      </c>
      <c r="O135" s="21" t="str">
        <f>IFERROR(__xludf.DUMMYFUNCTION("IFERROR((GOOGLEFINANCE(C135, ""price"") / INDEX(GOOGLEFINANCE(C135, ""price"", EDATE(TODAY(), -6), TODAY()), 2, 2)) - 1, """")"),"")</f>
        <v/>
      </c>
      <c r="P135" s="21" t="str">
        <f>IFERROR(__xludf.DUMMYFUNCTION("IFERROR((GOOGLEFINANCE(C135, ""price"") / INDEX(GOOGLEFINANCE(C135, ""price"", EDATE(TODAY(), -12), TODAY()), 2, 2)) - 1, """")"),"")</f>
        <v/>
      </c>
      <c r="Q135" s="6" t="str">
        <f>IFERROR(__xludf.DUMMYFUNCTION("AVERAGE(QUERY(GOOGLEFINANCE(C135, ""price"", TODAY()-80, TODAY()), ""SELECT Col2 WHERE Col2 IS NOT NULL ORDER BY Col1 DESC LIMIT 50"", 0))"),"#N/A")</f>
        <v>#N/A</v>
      </c>
      <c r="R135" s="24" t="str">
        <f>IFERROR(__xludf.DUMMYFUNCTION("IFERROR(
  LET(
    data, QUERY(GOOGLEFINANCE(C135,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GOOGLEFINANCE(C135, ""price"")) * 100,
    IF(calc=0, G135, calc)
  ), 
G135)"),"#N/A")</f>
        <v>#N/A</v>
      </c>
      <c r="S135" s="8" t="s">
        <v>15</v>
      </c>
      <c r="T135" s="26" t="str">
        <f>IFERROR(__xludf.DUMMYFUNCTION("IFERROR(TRANSPOSE(QUERY(IFERROR(SORT(GOOGLEFINANCE(C135, ""price"", WORKDAY(TODAY(), -40), TODAY()), 1, FALSE)), ""select Col2 where Col2 is not null limit 22 label Col2 ''"", 0)), """")"),"")</f>
        <v/>
      </c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8"/>
      <c r="AO135" s="28"/>
      <c r="AP135" s="29"/>
      <c r="AQ135" s="29" t="str">
        <f t="shared" ref="AQ135:BL135" si="139">T135/T$2</f>
        <v>#N/A</v>
      </c>
      <c r="AR135" s="29" t="str">
        <f t="shared" si="139"/>
        <v>#DIV/0!</v>
      </c>
      <c r="AS135" s="29" t="str">
        <f t="shared" si="139"/>
        <v>#DIV/0!</v>
      </c>
      <c r="AT135" s="29" t="str">
        <f t="shared" si="139"/>
        <v>#DIV/0!</v>
      </c>
      <c r="AU135" s="29" t="str">
        <f t="shared" si="139"/>
        <v>#DIV/0!</v>
      </c>
      <c r="AV135" s="29" t="str">
        <f t="shared" si="139"/>
        <v>#DIV/0!</v>
      </c>
      <c r="AW135" s="29" t="str">
        <f t="shared" si="139"/>
        <v>#DIV/0!</v>
      </c>
      <c r="AX135" s="29" t="str">
        <f t="shared" si="139"/>
        <v>#DIV/0!</v>
      </c>
      <c r="AY135" s="29" t="str">
        <f t="shared" si="139"/>
        <v>#DIV/0!</v>
      </c>
      <c r="AZ135" s="29" t="str">
        <f t="shared" si="139"/>
        <v>#DIV/0!</v>
      </c>
      <c r="BA135" s="29" t="str">
        <f t="shared" si="139"/>
        <v>#DIV/0!</v>
      </c>
      <c r="BB135" s="29" t="str">
        <f t="shared" si="139"/>
        <v>#DIV/0!</v>
      </c>
      <c r="BC135" s="29" t="str">
        <f t="shared" si="139"/>
        <v>#DIV/0!</v>
      </c>
      <c r="BD135" s="29" t="str">
        <f t="shared" si="139"/>
        <v>#DIV/0!</v>
      </c>
      <c r="BE135" s="29" t="str">
        <f t="shared" si="139"/>
        <v>#DIV/0!</v>
      </c>
      <c r="BF135" s="29" t="str">
        <f t="shared" si="139"/>
        <v>#DIV/0!</v>
      </c>
      <c r="BG135" s="29" t="str">
        <f t="shared" si="139"/>
        <v>#DIV/0!</v>
      </c>
      <c r="BH135" s="29" t="str">
        <f t="shared" si="139"/>
        <v>#DIV/0!</v>
      </c>
      <c r="BI135" s="29" t="str">
        <f t="shared" si="139"/>
        <v>#DIV/0!</v>
      </c>
      <c r="BJ135" s="29" t="str">
        <f t="shared" si="139"/>
        <v>#DIV/0!</v>
      </c>
      <c r="BK135" s="29" t="str">
        <f t="shared" si="139"/>
        <v>#DIV/0!</v>
      </c>
      <c r="BL135" s="29" t="str">
        <f t="shared" si="139"/>
        <v>#DIV/0!</v>
      </c>
      <c r="BM135" s="29" t="str">
        <f t="shared" si="3"/>
        <v>#DIV/0!</v>
      </c>
    </row>
    <row r="136">
      <c r="A136" s="16" t="str">
        <f>IFERROR(__xludf.DUMMYFUNCTION("IFERROR(SPARKLINE(SORT(MAP(TRANSPOSE(AQ136:BL136), LAMBDA(val, IF(ISNUMBER(val), PERCENTRANK(AQ136:BL136, val)+0.01, 0))), SEQUENCE(COLUMNS(AQ136:BL136)), FALSE), {""charttype"",""column""; ""color"",""chartreuse""; ""ymin"", 0; ""ymax"", 1.01; ""highcolo"&amp;"r"", ""darkgreen""; ""lowcolor"", ""red""}), """")"),"")</f>
        <v/>
      </c>
      <c r="B136" s="17" t="str">
        <f t="shared" si="4"/>
        <v/>
      </c>
      <c r="C136" s="1" t="s">
        <v>1975</v>
      </c>
      <c r="D136" s="30" t="str">
        <f>IFERROR(__xludf.DUMMYFUNCTION("IFERROR(GOOGLEFINANCE(C136, ""NAME""))"),"Tactile Systems Technology Inc")</f>
        <v>Tactile Systems Technology Inc</v>
      </c>
      <c r="E136" s="30" t="s">
        <v>1491</v>
      </c>
      <c r="F136" s="33" t="str">
        <f>IFERROR(__xludf.DUMMYFUNCTION("( (GOOGLEFINANCE(C136, ""price"") - Q136) / Q136 ) / (R136 / 100)"),"Loading...")</f>
        <v>Loading...</v>
      </c>
      <c r="G136" s="20" t="str">
        <f>IFERROR(__xludf.DUMMYFUNCTION("AVERAGE(ARRAYFORMULA(100 * (QUERY(GOOGLEFINANCE(C136, ""high"", TODAY()-40, TODAY()), ""SELECT Col2 WHERE Col2 IS NOT NULL ORDER BY Col1 DESC LIMIT 20"", 0) / QUERY(GOOGLEFINANCE(C136, ""low"", TODAY()-40, TODAY()), ""SELECT Col2 WHERE Col2 IS NOT NULL OR"&amp;"DER BY Col1 DESC LIMIT 20"", 0) - 1)))"),"#N/A")</f>
        <v>#N/A</v>
      </c>
      <c r="H136" s="35" t="str">
        <f t="shared" si="118"/>
        <v/>
      </c>
      <c r="I136" s="36" t="str">
        <f t="shared" si="7"/>
        <v/>
      </c>
      <c r="J136" s="37" t="str">
        <f>IFERROR(__xludf.DUMMYFUNCTION("IFERROR(
  IF(C136="""",, 
    IFERROR(
      GOOGLEFINANCE(C136, ""price"") * GOOGLEFINANCE(C136, ""volumeavg""), 
      GOOGLEFINANCE(C136, ""price"") * AVERAGE(QUERY(GOOGLEFINANCE(C136, ""volume"", TODAY()-40, TODAY()), ""SELECT Col2 WHERE Col2 IS NOT "&amp;"NULL ORDER BY Col1 DESC LIMIT 20"", 0))
    )
  ), 
"""")"),"")</f>
        <v/>
      </c>
      <c r="K136" s="21" t="str">
        <f>IFERROR(__xludf.DUMMYFUNCTION("IFERROR(GOOGLEFINANCE(C136, ""changepct"") / 100, """")"),"")</f>
        <v/>
      </c>
      <c r="L136" s="21" t="str">
        <f>IFERROR(__xludf.DUMMYFUNCTION("IFERROR((GOOGLEFINANCE(C136, ""price"") / INDEX(GOOGLEFINANCE(C136, ""price"", TODAY()-7, TODAY()), 2, 2)) - 1, """")"),"")</f>
        <v/>
      </c>
      <c r="M136" s="21" t="str">
        <f>IFERROR(__xludf.DUMMYFUNCTION("IFERROR((GOOGLEFINANCE(C136, ""price"") / INDEX(GOOGLEFINANCE(C136, ""price"", EDATE(TODAY(), -1), TODAY()), 2, 2)) - 1, """")"),"")</f>
        <v/>
      </c>
      <c r="N136" s="21" t="str">
        <f>IFERROR(__xludf.DUMMYFUNCTION("IFERROR((GOOGLEFINANCE(C136, ""price"") / INDEX(GOOGLEFINANCE(C136, ""price"", EDATE(TODAY(), -3), TODAY()), 2, 2)) - 1, """")"),"")</f>
        <v/>
      </c>
      <c r="O136" s="21" t="str">
        <f>IFERROR(__xludf.DUMMYFUNCTION("IFERROR((GOOGLEFINANCE(C136, ""price"") / INDEX(GOOGLEFINANCE(C136, ""price"", EDATE(TODAY(), -6), TODAY()), 2, 2)) - 1, """")"),"")</f>
        <v/>
      </c>
      <c r="P136" s="21" t="str">
        <f>IFERROR(__xludf.DUMMYFUNCTION("IFERROR((GOOGLEFINANCE(C136, ""price"") / INDEX(GOOGLEFINANCE(C136, ""price"", EDATE(TODAY(), -12), TODAY()), 2, 2)) - 1, """")"),"")</f>
        <v/>
      </c>
      <c r="Q136" s="6" t="str">
        <f>IFERROR(__xludf.DUMMYFUNCTION("AVERAGE(QUERY(GOOGLEFINANCE(C136, ""price"", TODAY()-80, TODAY()), ""SELECT Col2 WHERE Col2 IS NOT NULL ORDER BY Col1 DESC LIMIT 50"", 0))"),"#N/A")</f>
        <v>#N/A</v>
      </c>
      <c r="R136" s="24" t="str">
        <f>IFERROR(__xludf.DUMMYFUNCTION("IFERROR(
  LET(
    data, QUERY(GOOGLEFINANCE(C136,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GOOGLEFINANCE(C136, ""price"")) * 100,
    IF(calc=0, G136, calc)
  ), 
G136)"),"#N/A")</f>
        <v>#N/A</v>
      </c>
      <c r="S136" s="8" t="s">
        <v>15</v>
      </c>
      <c r="T136" s="26" t="str">
        <f>IFERROR(__xludf.DUMMYFUNCTION("IFERROR(TRANSPOSE(QUERY(IFERROR(SORT(GOOGLEFINANCE(C136, ""price"", WORKDAY(TODAY(), -40), TODAY()), 1, FALSE)), ""select Col2 where Col2 is not null limit 22 label Col2 ''"", 0)), """")"),"")</f>
        <v/>
      </c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8"/>
      <c r="AO136" s="28"/>
      <c r="AP136" s="29"/>
      <c r="AQ136" s="29" t="str">
        <f t="shared" ref="AQ136:BL136" si="140">T136/T$2</f>
        <v>#N/A</v>
      </c>
      <c r="AR136" s="29" t="str">
        <f t="shared" si="140"/>
        <v>#DIV/0!</v>
      </c>
      <c r="AS136" s="29" t="str">
        <f t="shared" si="140"/>
        <v>#DIV/0!</v>
      </c>
      <c r="AT136" s="29" t="str">
        <f t="shared" si="140"/>
        <v>#DIV/0!</v>
      </c>
      <c r="AU136" s="29" t="str">
        <f t="shared" si="140"/>
        <v>#DIV/0!</v>
      </c>
      <c r="AV136" s="29" t="str">
        <f t="shared" si="140"/>
        <v>#DIV/0!</v>
      </c>
      <c r="AW136" s="29" t="str">
        <f t="shared" si="140"/>
        <v>#DIV/0!</v>
      </c>
      <c r="AX136" s="29" t="str">
        <f t="shared" si="140"/>
        <v>#DIV/0!</v>
      </c>
      <c r="AY136" s="29" t="str">
        <f t="shared" si="140"/>
        <v>#DIV/0!</v>
      </c>
      <c r="AZ136" s="29" t="str">
        <f t="shared" si="140"/>
        <v>#DIV/0!</v>
      </c>
      <c r="BA136" s="29" t="str">
        <f t="shared" si="140"/>
        <v>#DIV/0!</v>
      </c>
      <c r="BB136" s="29" t="str">
        <f t="shared" si="140"/>
        <v>#DIV/0!</v>
      </c>
      <c r="BC136" s="29" t="str">
        <f t="shared" si="140"/>
        <v>#DIV/0!</v>
      </c>
      <c r="BD136" s="29" t="str">
        <f t="shared" si="140"/>
        <v>#DIV/0!</v>
      </c>
      <c r="BE136" s="29" t="str">
        <f t="shared" si="140"/>
        <v>#DIV/0!</v>
      </c>
      <c r="BF136" s="29" t="str">
        <f t="shared" si="140"/>
        <v>#DIV/0!</v>
      </c>
      <c r="BG136" s="29" t="str">
        <f t="shared" si="140"/>
        <v>#DIV/0!</v>
      </c>
      <c r="BH136" s="29" t="str">
        <f t="shared" si="140"/>
        <v>#DIV/0!</v>
      </c>
      <c r="BI136" s="29" t="str">
        <f t="shared" si="140"/>
        <v>#DIV/0!</v>
      </c>
      <c r="BJ136" s="29" t="str">
        <f t="shared" si="140"/>
        <v>#DIV/0!</v>
      </c>
      <c r="BK136" s="29" t="str">
        <f t="shared" si="140"/>
        <v>#DIV/0!</v>
      </c>
      <c r="BL136" s="29" t="str">
        <f t="shared" si="140"/>
        <v>#DIV/0!</v>
      </c>
      <c r="BM136" s="29" t="str">
        <f t="shared" si="3"/>
        <v>#DIV/0!</v>
      </c>
    </row>
    <row r="137">
      <c r="A137" s="16" t="str">
        <f>IFERROR(__xludf.DUMMYFUNCTION("IFERROR(SPARKLINE(SORT(MAP(TRANSPOSE(AQ137:BL137), LAMBDA(val, IF(ISNUMBER(val), PERCENTRANK(AQ137:BL137, val)+0.01, 0))), SEQUENCE(COLUMNS(AQ137:BL137)), FALSE), {""charttype"",""column""; ""color"",""chartreuse""; ""ymin"", 0; ""ymax"", 1.01; ""highcolo"&amp;"r"", ""darkgreen""; ""lowcolor"", ""red""}), """")"),"")</f>
        <v/>
      </c>
      <c r="B137" s="17" t="str">
        <f t="shared" si="4"/>
        <v/>
      </c>
      <c r="C137" s="1" t="s">
        <v>1978</v>
      </c>
      <c r="D137" s="30" t="str">
        <f>IFERROR(__xludf.DUMMYFUNCTION("IFERROR(GOOGLEFINANCE(C137, ""NAME""))"),"Ironwood Pharmaceuticals, Inc.")</f>
        <v>Ironwood Pharmaceuticals, Inc.</v>
      </c>
      <c r="E137" s="30" t="s">
        <v>1475</v>
      </c>
      <c r="F137" s="33" t="str">
        <f>IFERROR(__xludf.DUMMYFUNCTION("( (GOOGLEFINANCE(C137, ""price"") - Q137) / Q137 ) / (R137 / 100)"),"Loading...")</f>
        <v>Loading...</v>
      </c>
      <c r="G137" s="20" t="str">
        <f>IFERROR(__xludf.DUMMYFUNCTION("AVERAGE(ARRAYFORMULA(100 * (QUERY(GOOGLEFINANCE(C137, ""high"", TODAY()-40, TODAY()), ""SELECT Col2 WHERE Col2 IS NOT NULL ORDER BY Col1 DESC LIMIT 20"", 0) / QUERY(GOOGLEFINANCE(C137, ""low"", TODAY()-40, TODAY()), ""SELECT Col2 WHERE Col2 IS NOT NULL OR"&amp;"DER BY Col1 DESC LIMIT 20"", 0) - 1)))"),"#N/A")</f>
        <v>#N/A</v>
      </c>
      <c r="H137" s="35" t="str">
        <f t="shared" si="118"/>
        <v/>
      </c>
      <c r="I137" s="36" t="str">
        <f t="shared" si="7"/>
        <v/>
      </c>
      <c r="J137" s="37" t="str">
        <f>IFERROR(__xludf.DUMMYFUNCTION("IFERROR(
  IF(C137="""",, 
    IFERROR(
      GOOGLEFINANCE(C137, ""price"") * GOOGLEFINANCE(C137, ""volumeavg""), 
      GOOGLEFINANCE(C137, ""price"") * AVERAGE(QUERY(GOOGLEFINANCE(C137, ""volume"", TODAY()-40, TODAY()), ""SELECT Col2 WHERE Col2 IS NOT "&amp;"NULL ORDER BY Col1 DESC LIMIT 20"", 0))
    )
  ), 
"""")"),"")</f>
        <v/>
      </c>
      <c r="K137" s="21" t="str">
        <f>IFERROR(__xludf.DUMMYFUNCTION("IFERROR(GOOGLEFINANCE(C137, ""changepct"") / 100, """")"),"")</f>
        <v/>
      </c>
      <c r="L137" s="21" t="str">
        <f>IFERROR(__xludf.DUMMYFUNCTION("IFERROR((GOOGLEFINANCE(C137, ""price"") / INDEX(GOOGLEFINANCE(C137, ""price"", TODAY()-7, TODAY()), 2, 2)) - 1, """")"),"")</f>
        <v/>
      </c>
      <c r="M137" s="21" t="str">
        <f>IFERROR(__xludf.DUMMYFUNCTION("IFERROR((GOOGLEFINANCE(C137, ""price"") / INDEX(GOOGLEFINANCE(C137, ""price"", EDATE(TODAY(), -1), TODAY()), 2, 2)) - 1, """")"),"")</f>
        <v/>
      </c>
      <c r="N137" s="21" t="str">
        <f>IFERROR(__xludf.DUMMYFUNCTION("IFERROR((GOOGLEFINANCE(C137, ""price"") / INDEX(GOOGLEFINANCE(C137, ""price"", EDATE(TODAY(), -3), TODAY()), 2, 2)) - 1, """")"),"")</f>
        <v/>
      </c>
      <c r="O137" s="21" t="str">
        <f>IFERROR(__xludf.DUMMYFUNCTION("IFERROR((GOOGLEFINANCE(C137, ""price"") / INDEX(GOOGLEFINANCE(C137, ""price"", EDATE(TODAY(), -6), TODAY()), 2, 2)) - 1, """")"),"")</f>
        <v/>
      </c>
      <c r="P137" s="21" t="str">
        <f>IFERROR(__xludf.DUMMYFUNCTION("IFERROR((GOOGLEFINANCE(C137, ""price"") / INDEX(GOOGLEFINANCE(C137, ""price"", EDATE(TODAY(), -12), TODAY()), 2, 2)) - 1, """")"),"")</f>
        <v/>
      </c>
      <c r="Q137" s="6" t="str">
        <f>IFERROR(__xludf.DUMMYFUNCTION("AVERAGE(QUERY(GOOGLEFINANCE(C137, ""price"", TODAY()-80, TODAY()), ""SELECT Col2 WHERE Col2 IS NOT NULL ORDER BY Col1 DESC LIMIT 50"", 0))"),"#N/A")</f>
        <v>#N/A</v>
      </c>
      <c r="R137" s="24" t="str">
        <f>IFERROR(__xludf.DUMMYFUNCTION("IFERROR(
  LET(
    data, QUERY(GOOGLEFINANCE(C137,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GOOGLEFINANCE(C137, ""price"")) * 100,
    IF(calc=0, G137, calc)
  ), 
G137)"),"#N/A")</f>
        <v>#N/A</v>
      </c>
      <c r="S137" s="8" t="s">
        <v>15</v>
      </c>
      <c r="T137" s="26" t="str">
        <f>IFERROR(__xludf.DUMMYFUNCTION("IFERROR(TRANSPOSE(QUERY(IFERROR(SORT(GOOGLEFINANCE(C137, ""price"", WORKDAY(TODAY(), -40), TODAY()), 1, FALSE)), ""select Col2 where Col2 is not null limit 22 label Col2 ''"", 0)), """")"),"")</f>
        <v/>
      </c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8"/>
      <c r="AO137" s="28"/>
      <c r="AP137" s="29"/>
      <c r="AQ137" s="29" t="str">
        <f t="shared" ref="AQ137:BL137" si="141">T137/T$2</f>
        <v>#N/A</v>
      </c>
      <c r="AR137" s="29" t="str">
        <f t="shared" si="141"/>
        <v>#DIV/0!</v>
      </c>
      <c r="AS137" s="29" t="str">
        <f t="shared" si="141"/>
        <v>#DIV/0!</v>
      </c>
      <c r="AT137" s="29" t="str">
        <f t="shared" si="141"/>
        <v>#DIV/0!</v>
      </c>
      <c r="AU137" s="29" t="str">
        <f t="shared" si="141"/>
        <v>#DIV/0!</v>
      </c>
      <c r="AV137" s="29" t="str">
        <f t="shared" si="141"/>
        <v>#DIV/0!</v>
      </c>
      <c r="AW137" s="29" t="str">
        <f t="shared" si="141"/>
        <v>#DIV/0!</v>
      </c>
      <c r="AX137" s="29" t="str">
        <f t="shared" si="141"/>
        <v>#DIV/0!</v>
      </c>
      <c r="AY137" s="29" t="str">
        <f t="shared" si="141"/>
        <v>#DIV/0!</v>
      </c>
      <c r="AZ137" s="29" t="str">
        <f t="shared" si="141"/>
        <v>#DIV/0!</v>
      </c>
      <c r="BA137" s="29" t="str">
        <f t="shared" si="141"/>
        <v>#DIV/0!</v>
      </c>
      <c r="BB137" s="29" t="str">
        <f t="shared" si="141"/>
        <v>#DIV/0!</v>
      </c>
      <c r="BC137" s="29" t="str">
        <f t="shared" si="141"/>
        <v>#DIV/0!</v>
      </c>
      <c r="BD137" s="29" t="str">
        <f t="shared" si="141"/>
        <v>#DIV/0!</v>
      </c>
      <c r="BE137" s="29" t="str">
        <f t="shared" si="141"/>
        <v>#DIV/0!</v>
      </c>
      <c r="BF137" s="29" t="str">
        <f t="shared" si="141"/>
        <v>#DIV/0!</v>
      </c>
      <c r="BG137" s="29" t="str">
        <f t="shared" si="141"/>
        <v>#DIV/0!</v>
      </c>
      <c r="BH137" s="29" t="str">
        <f t="shared" si="141"/>
        <v>#DIV/0!</v>
      </c>
      <c r="BI137" s="29" t="str">
        <f t="shared" si="141"/>
        <v>#DIV/0!</v>
      </c>
      <c r="BJ137" s="29" t="str">
        <f t="shared" si="141"/>
        <v>#DIV/0!</v>
      </c>
      <c r="BK137" s="29" t="str">
        <f t="shared" si="141"/>
        <v>#DIV/0!</v>
      </c>
      <c r="BL137" s="29" t="str">
        <f t="shared" si="141"/>
        <v>#DIV/0!</v>
      </c>
      <c r="BM137" s="29" t="str">
        <f t="shared" si="3"/>
        <v>#DIV/0!</v>
      </c>
    </row>
    <row r="138">
      <c r="A138" s="16" t="str">
        <f>IFERROR(__xludf.DUMMYFUNCTION("IFERROR(SPARKLINE(SORT(MAP(TRANSPOSE(AQ138:BL138), LAMBDA(val, IF(ISNUMBER(val), PERCENTRANK(AQ138:BL138, val)+0.01, 0))), SEQUENCE(COLUMNS(AQ138:BL138)), FALSE), {""charttype"",""column""; ""color"",""chartreuse""; ""ymin"", 0; ""ymax"", 1.01; ""highcolo"&amp;"r"", ""darkgreen""; ""lowcolor"", ""red""}), """")"),"")</f>
        <v/>
      </c>
      <c r="B138" s="17" t="str">
        <f t="shared" si="4"/>
        <v/>
      </c>
      <c r="C138" s="1" t="s">
        <v>1982</v>
      </c>
      <c r="D138" s="30" t="str">
        <f>IFERROR(__xludf.DUMMYFUNCTION("IFERROR(GOOGLEFINANCE(C138, ""NAME""))"),"Cencora Inc")</f>
        <v>Cencora Inc</v>
      </c>
      <c r="E138" s="30" t="s">
        <v>1843</v>
      </c>
      <c r="F138" s="33" t="str">
        <f>IFERROR(__xludf.DUMMYFUNCTION("( (GOOGLEFINANCE(C138, ""price"") - Q138) / Q138 ) / (R138 / 100)"),"Loading...")</f>
        <v>Loading...</v>
      </c>
      <c r="G138" s="20" t="str">
        <f>IFERROR(__xludf.DUMMYFUNCTION("AVERAGE(ARRAYFORMULA(100 * (QUERY(GOOGLEFINANCE(C138, ""high"", TODAY()-40, TODAY()), ""SELECT Col2 WHERE Col2 IS NOT NULL ORDER BY Col1 DESC LIMIT 20"", 0) / QUERY(GOOGLEFINANCE(C138, ""low"", TODAY()-40, TODAY()), ""SELECT Col2 WHERE Col2 IS NOT NULL OR"&amp;"DER BY Col1 DESC LIMIT 20"", 0) - 1)))"),"#N/A")</f>
        <v>#N/A</v>
      </c>
      <c r="H138" s="35" t="str">
        <f t="shared" si="118"/>
        <v/>
      </c>
      <c r="I138" s="36" t="str">
        <f t="shared" si="7"/>
        <v/>
      </c>
      <c r="J138" s="37" t="str">
        <f>IFERROR(__xludf.DUMMYFUNCTION("IFERROR(
  IF(C138="""",, 
    IFERROR(
      GOOGLEFINANCE(C138, ""price"") * GOOGLEFINANCE(C138, ""volumeavg""), 
      GOOGLEFINANCE(C138, ""price"") * AVERAGE(QUERY(GOOGLEFINANCE(C138, ""volume"", TODAY()-40, TODAY()), ""SELECT Col2 WHERE Col2 IS NOT "&amp;"NULL ORDER BY Col1 DESC LIMIT 20"", 0))
    )
  ), 
"""")"),"")</f>
        <v/>
      </c>
      <c r="K138" s="21" t="str">
        <f>IFERROR(__xludf.DUMMYFUNCTION("IFERROR(GOOGLEFINANCE(C138, ""changepct"") / 100, """")"),"")</f>
        <v/>
      </c>
      <c r="L138" s="21" t="str">
        <f>IFERROR(__xludf.DUMMYFUNCTION("IFERROR((GOOGLEFINANCE(C138, ""price"") / INDEX(GOOGLEFINANCE(C138, ""price"", TODAY()-7, TODAY()), 2, 2)) - 1, """")"),"")</f>
        <v/>
      </c>
      <c r="M138" s="21" t="str">
        <f>IFERROR(__xludf.DUMMYFUNCTION("IFERROR((GOOGLEFINANCE(C138, ""price"") / INDEX(GOOGLEFINANCE(C138, ""price"", EDATE(TODAY(), -1), TODAY()), 2, 2)) - 1, """")"),"")</f>
        <v/>
      </c>
      <c r="N138" s="21" t="str">
        <f>IFERROR(__xludf.DUMMYFUNCTION("IFERROR((GOOGLEFINANCE(C138, ""price"") / INDEX(GOOGLEFINANCE(C138, ""price"", EDATE(TODAY(), -3), TODAY()), 2, 2)) - 1, """")"),"")</f>
        <v/>
      </c>
      <c r="O138" s="21" t="str">
        <f>IFERROR(__xludf.DUMMYFUNCTION("IFERROR((GOOGLEFINANCE(C138, ""price"") / INDEX(GOOGLEFINANCE(C138, ""price"", EDATE(TODAY(), -6), TODAY()), 2, 2)) - 1, """")"),"")</f>
        <v/>
      </c>
      <c r="P138" s="21" t="str">
        <f>IFERROR(__xludf.DUMMYFUNCTION("IFERROR((GOOGLEFINANCE(C138, ""price"") / INDEX(GOOGLEFINANCE(C138, ""price"", EDATE(TODAY(), -12), TODAY()), 2, 2)) - 1, """")"),"")</f>
        <v/>
      </c>
      <c r="Q138" s="6" t="str">
        <f>IFERROR(__xludf.DUMMYFUNCTION("AVERAGE(QUERY(GOOGLEFINANCE(C138, ""price"", TODAY()-80, TODAY()), ""SELECT Col2 WHERE Col2 IS NOT NULL ORDER BY Col1 DESC LIMIT 50"", 0))"),"#N/A")</f>
        <v>#N/A</v>
      </c>
      <c r="R138" s="24" t="str">
        <f>IFERROR(__xludf.DUMMYFUNCTION("IFERROR(
  LET(
    data, QUERY(GOOGLEFINANCE(C138,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GOOGLEFINANCE(C138, ""price"")) * 100,
    IF(calc=0, G138, calc)
  ), 
G138)"),"#N/A")</f>
        <v>#N/A</v>
      </c>
      <c r="S138" s="8" t="s">
        <v>15</v>
      </c>
      <c r="T138" s="26" t="str">
        <f>IFERROR(__xludf.DUMMYFUNCTION("IFERROR(TRANSPOSE(QUERY(IFERROR(SORT(GOOGLEFINANCE(C138, ""price"", WORKDAY(TODAY(), -40), TODAY()), 1, FALSE)), ""select Col2 where Col2 is not null limit 22 label Col2 ''"", 0)), """")"),"")</f>
        <v/>
      </c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8"/>
      <c r="AO138" s="28"/>
      <c r="AP138" s="29"/>
      <c r="AQ138" s="29" t="str">
        <f t="shared" ref="AQ138:BL138" si="142">T138/T$2</f>
        <v>#N/A</v>
      </c>
      <c r="AR138" s="29" t="str">
        <f t="shared" si="142"/>
        <v>#DIV/0!</v>
      </c>
      <c r="AS138" s="29" t="str">
        <f t="shared" si="142"/>
        <v>#DIV/0!</v>
      </c>
      <c r="AT138" s="29" t="str">
        <f t="shared" si="142"/>
        <v>#DIV/0!</v>
      </c>
      <c r="AU138" s="29" t="str">
        <f t="shared" si="142"/>
        <v>#DIV/0!</v>
      </c>
      <c r="AV138" s="29" t="str">
        <f t="shared" si="142"/>
        <v>#DIV/0!</v>
      </c>
      <c r="AW138" s="29" t="str">
        <f t="shared" si="142"/>
        <v>#DIV/0!</v>
      </c>
      <c r="AX138" s="29" t="str">
        <f t="shared" si="142"/>
        <v>#DIV/0!</v>
      </c>
      <c r="AY138" s="29" t="str">
        <f t="shared" si="142"/>
        <v>#DIV/0!</v>
      </c>
      <c r="AZ138" s="29" t="str">
        <f t="shared" si="142"/>
        <v>#DIV/0!</v>
      </c>
      <c r="BA138" s="29" t="str">
        <f t="shared" si="142"/>
        <v>#DIV/0!</v>
      </c>
      <c r="BB138" s="29" t="str">
        <f t="shared" si="142"/>
        <v>#DIV/0!</v>
      </c>
      <c r="BC138" s="29" t="str">
        <f t="shared" si="142"/>
        <v>#DIV/0!</v>
      </c>
      <c r="BD138" s="29" t="str">
        <f t="shared" si="142"/>
        <v>#DIV/0!</v>
      </c>
      <c r="BE138" s="29" t="str">
        <f t="shared" si="142"/>
        <v>#DIV/0!</v>
      </c>
      <c r="BF138" s="29" t="str">
        <f t="shared" si="142"/>
        <v>#DIV/0!</v>
      </c>
      <c r="BG138" s="29" t="str">
        <f t="shared" si="142"/>
        <v>#DIV/0!</v>
      </c>
      <c r="BH138" s="29" t="str">
        <f t="shared" si="142"/>
        <v>#DIV/0!</v>
      </c>
      <c r="BI138" s="29" t="str">
        <f t="shared" si="142"/>
        <v>#DIV/0!</v>
      </c>
      <c r="BJ138" s="29" t="str">
        <f t="shared" si="142"/>
        <v>#DIV/0!</v>
      </c>
      <c r="BK138" s="29" t="str">
        <f t="shared" si="142"/>
        <v>#DIV/0!</v>
      </c>
      <c r="BL138" s="29" t="str">
        <f t="shared" si="142"/>
        <v>#DIV/0!</v>
      </c>
      <c r="BM138" s="29" t="str">
        <f t="shared" si="3"/>
        <v>#DIV/0!</v>
      </c>
    </row>
    <row r="139">
      <c r="A139" s="16" t="str">
        <f>IFERROR(__xludf.DUMMYFUNCTION("IFERROR(SPARKLINE(SORT(MAP(TRANSPOSE(AQ139:BL139), LAMBDA(val, IF(ISNUMBER(val), PERCENTRANK(AQ139:BL139, val)+0.01, 0))), SEQUENCE(COLUMNS(AQ139:BL139)), FALSE), {""charttype"",""column""; ""color"",""chartreuse""; ""ymin"", 0; ""ymax"", 1.01; ""highcolo"&amp;"r"", ""darkgreen""; ""lowcolor"", ""red""}), """")"),"")</f>
        <v/>
      </c>
      <c r="B139" s="17" t="str">
        <f t="shared" si="4"/>
        <v/>
      </c>
      <c r="C139" s="1" t="s">
        <v>1986</v>
      </c>
      <c r="D139" s="30" t="str">
        <f>IFERROR(__xludf.DUMMYFUNCTION("IFERROR(GOOGLEFINANCE(C139, ""NAME""))"),"Quanterix Corp")</f>
        <v>Quanterix Corp</v>
      </c>
      <c r="E139" s="30" t="s">
        <v>1491</v>
      </c>
      <c r="F139" s="33" t="str">
        <f>IFERROR(__xludf.DUMMYFUNCTION("( (GOOGLEFINANCE(C139, ""price"") - Q139) / Q139 ) / (R139 / 100)"),"Loading...")</f>
        <v>Loading...</v>
      </c>
      <c r="G139" s="20" t="str">
        <f>IFERROR(__xludf.DUMMYFUNCTION("AVERAGE(ARRAYFORMULA(100 * (QUERY(GOOGLEFINANCE(C139, ""high"", TODAY()-40, TODAY()), ""SELECT Col2 WHERE Col2 IS NOT NULL ORDER BY Col1 DESC LIMIT 20"", 0) / QUERY(GOOGLEFINANCE(C139, ""low"", TODAY()-40, TODAY()), ""SELECT Col2 WHERE Col2 IS NOT NULL OR"&amp;"DER BY Col1 DESC LIMIT 20"", 0) - 1)))"),"#N/A")</f>
        <v>#N/A</v>
      </c>
      <c r="H139" s="35" t="str">
        <f t="shared" si="118"/>
        <v/>
      </c>
      <c r="I139" s="36" t="str">
        <f t="shared" si="7"/>
        <v/>
      </c>
      <c r="J139" s="37" t="str">
        <f>IFERROR(__xludf.DUMMYFUNCTION("IFERROR(
  IF(C139="""",, 
    IFERROR(
      GOOGLEFINANCE(C139, ""price"") * GOOGLEFINANCE(C139, ""volumeavg""), 
      GOOGLEFINANCE(C139, ""price"") * AVERAGE(QUERY(GOOGLEFINANCE(C139, ""volume"", TODAY()-40, TODAY()), ""SELECT Col2 WHERE Col2 IS NOT "&amp;"NULL ORDER BY Col1 DESC LIMIT 20"", 0))
    )
  ), 
"""")"),"")</f>
        <v/>
      </c>
      <c r="K139" s="21" t="str">
        <f>IFERROR(__xludf.DUMMYFUNCTION("IFERROR(GOOGLEFINANCE(C139, ""changepct"") / 100, """")"),"")</f>
        <v/>
      </c>
      <c r="L139" s="21" t="str">
        <f>IFERROR(__xludf.DUMMYFUNCTION("IFERROR((GOOGLEFINANCE(C139, ""price"") / INDEX(GOOGLEFINANCE(C139, ""price"", TODAY()-7, TODAY()), 2, 2)) - 1, """")"),"")</f>
        <v/>
      </c>
      <c r="M139" s="21" t="str">
        <f>IFERROR(__xludf.DUMMYFUNCTION("IFERROR((GOOGLEFINANCE(C139, ""price"") / INDEX(GOOGLEFINANCE(C139, ""price"", EDATE(TODAY(), -1), TODAY()), 2, 2)) - 1, """")"),"")</f>
        <v/>
      </c>
      <c r="N139" s="21" t="str">
        <f>IFERROR(__xludf.DUMMYFUNCTION("IFERROR((GOOGLEFINANCE(C139, ""price"") / INDEX(GOOGLEFINANCE(C139, ""price"", EDATE(TODAY(), -3), TODAY()), 2, 2)) - 1, """")"),"")</f>
        <v/>
      </c>
      <c r="O139" s="21" t="str">
        <f>IFERROR(__xludf.DUMMYFUNCTION("IFERROR((GOOGLEFINANCE(C139, ""price"") / INDEX(GOOGLEFINANCE(C139, ""price"", EDATE(TODAY(), -6), TODAY()), 2, 2)) - 1, """")"),"")</f>
        <v/>
      </c>
      <c r="P139" s="21" t="str">
        <f>IFERROR(__xludf.DUMMYFUNCTION("IFERROR((GOOGLEFINANCE(C139, ""price"") / INDEX(GOOGLEFINANCE(C139, ""price"", EDATE(TODAY(), -12), TODAY()), 2, 2)) - 1, """")"),"")</f>
        <v/>
      </c>
      <c r="Q139" s="6" t="str">
        <f>IFERROR(__xludf.DUMMYFUNCTION("AVERAGE(QUERY(GOOGLEFINANCE(C139, ""price"", TODAY()-80, TODAY()), ""SELECT Col2 WHERE Col2 IS NOT NULL ORDER BY Col1 DESC LIMIT 50"", 0))"),"#N/A")</f>
        <v>#N/A</v>
      </c>
      <c r="R139" s="24" t="str">
        <f>IFERROR(__xludf.DUMMYFUNCTION("IFERROR(
  LET(
    data, QUERY(GOOGLEFINANCE(C139,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GOOGLEFINANCE(C139, ""price"")) * 100,
    IF(calc=0, G139, calc)
  ), 
G139)"),"#N/A")</f>
        <v>#N/A</v>
      </c>
      <c r="S139" s="8" t="s">
        <v>15</v>
      </c>
      <c r="T139" s="26" t="str">
        <f>IFERROR(__xludf.DUMMYFUNCTION("IFERROR(TRANSPOSE(QUERY(IFERROR(SORT(GOOGLEFINANCE(C139, ""price"", WORKDAY(TODAY(), -40), TODAY()), 1, FALSE)), ""select Col2 where Col2 is not null limit 22 label Col2 ''"", 0)), """")"),"")</f>
        <v/>
      </c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8"/>
      <c r="AO139" s="28"/>
      <c r="AP139" s="29"/>
      <c r="AQ139" s="29" t="str">
        <f t="shared" ref="AQ139:BL139" si="143">T139/T$2</f>
        <v>#N/A</v>
      </c>
      <c r="AR139" s="29" t="str">
        <f t="shared" si="143"/>
        <v>#DIV/0!</v>
      </c>
      <c r="AS139" s="29" t="str">
        <f t="shared" si="143"/>
        <v>#DIV/0!</v>
      </c>
      <c r="AT139" s="29" t="str">
        <f t="shared" si="143"/>
        <v>#DIV/0!</v>
      </c>
      <c r="AU139" s="29" t="str">
        <f t="shared" si="143"/>
        <v>#DIV/0!</v>
      </c>
      <c r="AV139" s="29" t="str">
        <f t="shared" si="143"/>
        <v>#DIV/0!</v>
      </c>
      <c r="AW139" s="29" t="str">
        <f t="shared" si="143"/>
        <v>#DIV/0!</v>
      </c>
      <c r="AX139" s="29" t="str">
        <f t="shared" si="143"/>
        <v>#DIV/0!</v>
      </c>
      <c r="AY139" s="29" t="str">
        <f t="shared" si="143"/>
        <v>#DIV/0!</v>
      </c>
      <c r="AZ139" s="29" t="str">
        <f t="shared" si="143"/>
        <v>#DIV/0!</v>
      </c>
      <c r="BA139" s="29" t="str">
        <f t="shared" si="143"/>
        <v>#DIV/0!</v>
      </c>
      <c r="BB139" s="29" t="str">
        <f t="shared" si="143"/>
        <v>#DIV/0!</v>
      </c>
      <c r="BC139" s="29" t="str">
        <f t="shared" si="143"/>
        <v>#DIV/0!</v>
      </c>
      <c r="BD139" s="29" t="str">
        <f t="shared" si="143"/>
        <v>#DIV/0!</v>
      </c>
      <c r="BE139" s="29" t="str">
        <f t="shared" si="143"/>
        <v>#DIV/0!</v>
      </c>
      <c r="BF139" s="29" t="str">
        <f t="shared" si="143"/>
        <v>#DIV/0!</v>
      </c>
      <c r="BG139" s="29" t="str">
        <f t="shared" si="143"/>
        <v>#DIV/0!</v>
      </c>
      <c r="BH139" s="29" t="str">
        <f t="shared" si="143"/>
        <v>#DIV/0!</v>
      </c>
      <c r="BI139" s="29" t="str">
        <f t="shared" si="143"/>
        <v>#DIV/0!</v>
      </c>
      <c r="BJ139" s="29" t="str">
        <f t="shared" si="143"/>
        <v>#DIV/0!</v>
      </c>
      <c r="BK139" s="29" t="str">
        <f t="shared" si="143"/>
        <v>#DIV/0!</v>
      </c>
      <c r="BL139" s="29" t="str">
        <f t="shared" si="143"/>
        <v>#DIV/0!</v>
      </c>
      <c r="BM139" s="29" t="str">
        <f t="shared" si="3"/>
        <v>#DIV/0!</v>
      </c>
    </row>
    <row r="140">
      <c r="A140" s="16" t="str">
        <f>IFERROR(__xludf.DUMMYFUNCTION("IFERROR(SPARKLINE(SORT(MAP(TRANSPOSE(AQ140:BL140), LAMBDA(val, IF(ISNUMBER(val), PERCENTRANK(AQ140:BL140, val)+0.01, 0))), SEQUENCE(COLUMNS(AQ140:BL140)), FALSE), {""charttype"",""column""; ""color"",""chartreuse""; ""ymin"", 0; ""ymax"", 1.01; ""highcolo"&amp;"r"", ""darkgreen""; ""lowcolor"", ""red""}), """")"),"")</f>
        <v/>
      </c>
      <c r="B140" s="17" t="str">
        <f t="shared" si="4"/>
        <v/>
      </c>
      <c r="C140" s="1" t="s">
        <v>1989</v>
      </c>
      <c r="D140" s="30" t="str">
        <f>IFERROR(__xludf.DUMMYFUNCTION("IFERROR(GOOGLEFINANCE(C140, ""NAME""))"),"Insulet Corp")</f>
        <v>Insulet Corp</v>
      </c>
      <c r="E140" s="30" t="s">
        <v>1491</v>
      </c>
      <c r="F140" s="33" t="str">
        <f>IFERROR(__xludf.DUMMYFUNCTION("( (GOOGLEFINANCE(C140, ""price"") - Q140) / Q140 ) / (R140 / 100)"),"Loading...")</f>
        <v>Loading...</v>
      </c>
      <c r="G140" s="20" t="str">
        <f>IFERROR(__xludf.DUMMYFUNCTION("AVERAGE(ARRAYFORMULA(100 * (QUERY(GOOGLEFINANCE(C140, ""high"", TODAY()-40, TODAY()), ""SELECT Col2 WHERE Col2 IS NOT NULL ORDER BY Col1 DESC LIMIT 20"", 0) / QUERY(GOOGLEFINANCE(C140, ""low"", TODAY()-40, TODAY()), ""SELECT Col2 WHERE Col2 IS NOT NULL OR"&amp;"DER BY Col1 DESC LIMIT 20"", 0) - 1)))"),"#N/A")</f>
        <v>#N/A</v>
      </c>
      <c r="H140" s="35" t="str">
        <f t="shared" si="118"/>
        <v/>
      </c>
      <c r="I140" s="36" t="str">
        <f t="shared" si="7"/>
        <v/>
      </c>
      <c r="J140" s="37" t="str">
        <f>IFERROR(__xludf.DUMMYFUNCTION("IFERROR(
  IF(C140="""",, 
    IFERROR(
      GOOGLEFINANCE(C140, ""price"") * GOOGLEFINANCE(C140, ""volumeavg""), 
      GOOGLEFINANCE(C140, ""price"") * AVERAGE(QUERY(GOOGLEFINANCE(C140, ""volume"", TODAY()-40, TODAY()), ""SELECT Col2 WHERE Col2 IS NOT "&amp;"NULL ORDER BY Col1 DESC LIMIT 20"", 0))
    )
  ), 
"""")"),"")</f>
        <v/>
      </c>
      <c r="K140" s="21" t="str">
        <f>IFERROR(__xludf.DUMMYFUNCTION("IFERROR(GOOGLEFINANCE(C140, ""changepct"") / 100, """")"),"")</f>
        <v/>
      </c>
      <c r="L140" s="21" t="str">
        <f>IFERROR(__xludf.DUMMYFUNCTION("IFERROR((GOOGLEFINANCE(C140, ""price"") / INDEX(GOOGLEFINANCE(C140, ""price"", TODAY()-7, TODAY()), 2, 2)) - 1, """")"),"")</f>
        <v/>
      </c>
      <c r="M140" s="21" t="str">
        <f>IFERROR(__xludf.DUMMYFUNCTION("IFERROR((GOOGLEFINANCE(C140, ""price"") / INDEX(GOOGLEFINANCE(C140, ""price"", EDATE(TODAY(), -1), TODAY()), 2, 2)) - 1, """")"),"")</f>
        <v/>
      </c>
      <c r="N140" s="21" t="str">
        <f>IFERROR(__xludf.DUMMYFUNCTION("IFERROR((GOOGLEFINANCE(C140, ""price"") / INDEX(GOOGLEFINANCE(C140, ""price"", EDATE(TODAY(), -3), TODAY()), 2, 2)) - 1, """")"),"")</f>
        <v/>
      </c>
      <c r="O140" s="21" t="str">
        <f>IFERROR(__xludf.DUMMYFUNCTION("IFERROR((GOOGLEFINANCE(C140, ""price"") / INDEX(GOOGLEFINANCE(C140, ""price"", EDATE(TODAY(), -6), TODAY()), 2, 2)) - 1, """")"),"")</f>
        <v/>
      </c>
      <c r="P140" s="21" t="str">
        <f>IFERROR(__xludf.DUMMYFUNCTION("IFERROR((GOOGLEFINANCE(C140, ""price"") / INDEX(GOOGLEFINANCE(C140, ""price"", EDATE(TODAY(), -12), TODAY()), 2, 2)) - 1, """")"),"")</f>
        <v/>
      </c>
      <c r="Q140" s="6" t="str">
        <f>IFERROR(__xludf.DUMMYFUNCTION("AVERAGE(QUERY(GOOGLEFINANCE(C140, ""price"", TODAY()-80, TODAY()), ""SELECT Col2 WHERE Col2 IS NOT NULL ORDER BY Col1 DESC LIMIT 50"", 0))"),"#N/A")</f>
        <v>#N/A</v>
      </c>
      <c r="R140" s="24" t="str">
        <f>IFERROR(__xludf.DUMMYFUNCTION("IFERROR(
  LET(
    data, QUERY(GOOGLEFINANCE(C140,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GOOGLEFINANCE(C140, ""price"")) * 100,
    IF(calc=0, G140, calc)
  ), 
G140)"),"#N/A")</f>
        <v>#N/A</v>
      </c>
      <c r="S140" s="8" t="s">
        <v>15</v>
      </c>
      <c r="T140" s="26" t="str">
        <f>IFERROR(__xludf.DUMMYFUNCTION("IFERROR(TRANSPOSE(QUERY(IFERROR(SORT(GOOGLEFINANCE(C140, ""price"", WORKDAY(TODAY(), -40), TODAY()), 1, FALSE)), ""select Col2 where Col2 is not null limit 22 label Col2 ''"", 0)), """")"),"")</f>
        <v/>
      </c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8"/>
      <c r="AO140" s="28"/>
      <c r="AP140" s="29"/>
      <c r="AQ140" s="29" t="str">
        <f t="shared" ref="AQ140:BL140" si="144">T140/T$2</f>
        <v>#N/A</v>
      </c>
      <c r="AR140" s="29" t="str">
        <f t="shared" si="144"/>
        <v>#DIV/0!</v>
      </c>
      <c r="AS140" s="29" t="str">
        <f t="shared" si="144"/>
        <v>#DIV/0!</v>
      </c>
      <c r="AT140" s="29" t="str">
        <f t="shared" si="144"/>
        <v>#DIV/0!</v>
      </c>
      <c r="AU140" s="29" t="str">
        <f t="shared" si="144"/>
        <v>#DIV/0!</v>
      </c>
      <c r="AV140" s="29" t="str">
        <f t="shared" si="144"/>
        <v>#DIV/0!</v>
      </c>
      <c r="AW140" s="29" t="str">
        <f t="shared" si="144"/>
        <v>#DIV/0!</v>
      </c>
      <c r="AX140" s="29" t="str">
        <f t="shared" si="144"/>
        <v>#DIV/0!</v>
      </c>
      <c r="AY140" s="29" t="str">
        <f t="shared" si="144"/>
        <v>#DIV/0!</v>
      </c>
      <c r="AZ140" s="29" t="str">
        <f t="shared" si="144"/>
        <v>#DIV/0!</v>
      </c>
      <c r="BA140" s="29" t="str">
        <f t="shared" si="144"/>
        <v>#DIV/0!</v>
      </c>
      <c r="BB140" s="29" t="str">
        <f t="shared" si="144"/>
        <v>#DIV/0!</v>
      </c>
      <c r="BC140" s="29" t="str">
        <f t="shared" si="144"/>
        <v>#DIV/0!</v>
      </c>
      <c r="BD140" s="29" t="str">
        <f t="shared" si="144"/>
        <v>#DIV/0!</v>
      </c>
      <c r="BE140" s="29" t="str">
        <f t="shared" si="144"/>
        <v>#DIV/0!</v>
      </c>
      <c r="BF140" s="29" t="str">
        <f t="shared" si="144"/>
        <v>#DIV/0!</v>
      </c>
      <c r="BG140" s="29" t="str">
        <f t="shared" si="144"/>
        <v>#DIV/0!</v>
      </c>
      <c r="BH140" s="29" t="str">
        <f t="shared" si="144"/>
        <v>#DIV/0!</v>
      </c>
      <c r="BI140" s="29" t="str">
        <f t="shared" si="144"/>
        <v>#DIV/0!</v>
      </c>
      <c r="BJ140" s="29" t="str">
        <f t="shared" si="144"/>
        <v>#DIV/0!</v>
      </c>
      <c r="BK140" s="29" t="str">
        <f t="shared" si="144"/>
        <v>#DIV/0!</v>
      </c>
      <c r="BL140" s="29" t="str">
        <f t="shared" si="144"/>
        <v>#DIV/0!</v>
      </c>
      <c r="BM140" s="29" t="str">
        <f t="shared" si="3"/>
        <v>#DIV/0!</v>
      </c>
    </row>
    <row r="141">
      <c r="A141" s="16" t="str">
        <f>IFERROR(__xludf.DUMMYFUNCTION("IFERROR(SPARKLINE(SORT(MAP(TRANSPOSE(AQ141:BL141), LAMBDA(val, IF(ISNUMBER(val), PERCENTRANK(AQ141:BL141, val)+0.01, 0))), SEQUENCE(COLUMNS(AQ141:BL141)), FALSE), {""charttype"",""column""; ""color"",""chartreuse""; ""ymin"", 0; ""ymax"", 1.01; ""highcolo"&amp;"r"", ""darkgreen""; ""lowcolor"", ""red""}), """")"),"")</f>
        <v/>
      </c>
      <c r="B141" s="17" t="str">
        <f t="shared" si="4"/>
        <v/>
      </c>
      <c r="C141" s="1" t="s">
        <v>1993</v>
      </c>
      <c r="D141" s="30" t="str">
        <f>IFERROR(__xludf.DUMMYFUNCTION("IFERROR(GOOGLEFINANCE(C141, ""NAME""))"),"Natera Inc")</f>
        <v>Natera Inc</v>
      </c>
      <c r="E141" s="30" t="s">
        <v>1499</v>
      </c>
      <c r="F141" s="38" t="str">
        <f>IFERROR(__xludf.DUMMYFUNCTION("( (GOOGLEFINANCE(C141, ""price"") - Q141) / Q141 ) / (R141 / 100)"),"Loading...")</f>
        <v>Loading...</v>
      </c>
      <c r="G141" s="20" t="str">
        <f>IFERROR(__xludf.DUMMYFUNCTION("AVERAGE(ARRAYFORMULA(100 * (QUERY(GOOGLEFINANCE(C141, ""high"", TODAY()-40, TODAY()), ""SELECT Col2 WHERE Col2 IS NOT NULL ORDER BY Col1 DESC LIMIT 20"", 0) / QUERY(GOOGLEFINANCE(C141, ""low"", TODAY()-40, TODAY()), ""SELECT Col2 WHERE Col2 IS NOT NULL OR"&amp;"DER BY Col1 DESC LIMIT 20"", 0) - 1)))"),"#N/A")</f>
        <v>#N/A</v>
      </c>
      <c r="H141" s="35" t="str">
        <f t="shared" si="118"/>
        <v/>
      </c>
      <c r="I141" s="36" t="str">
        <f t="shared" si="7"/>
        <v/>
      </c>
      <c r="J141" s="37" t="str">
        <f>IFERROR(__xludf.DUMMYFUNCTION("IFERROR(
  IF(C141="""",, 
    IFERROR(
      GOOGLEFINANCE(C141, ""price"") * GOOGLEFINANCE(C141, ""volumeavg""), 
      GOOGLEFINANCE(C141, ""price"") * AVERAGE(QUERY(GOOGLEFINANCE(C141, ""volume"", TODAY()-40, TODAY()), ""SELECT Col2 WHERE Col2 IS NOT "&amp;"NULL ORDER BY Col1 DESC LIMIT 20"", 0))
    )
  ), 
"""")"),"")</f>
        <v/>
      </c>
      <c r="K141" s="21" t="str">
        <f>IFERROR(__xludf.DUMMYFUNCTION("IFERROR(GOOGLEFINANCE(C141, ""changepct"") / 100, """")"),"")</f>
        <v/>
      </c>
      <c r="L141" s="21" t="str">
        <f>IFERROR(__xludf.DUMMYFUNCTION("IFERROR((GOOGLEFINANCE(C141, ""price"") / INDEX(GOOGLEFINANCE(C141, ""price"", TODAY()-7, TODAY()), 2, 2)) - 1, """")"),"")</f>
        <v/>
      </c>
      <c r="M141" s="21" t="str">
        <f>IFERROR(__xludf.DUMMYFUNCTION("IFERROR((GOOGLEFINANCE(C141, ""price"") / INDEX(GOOGLEFINANCE(C141, ""price"", EDATE(TODAY(), -1), TODAY()), 2, 2)) - 1, """")"),"")</f>
        <v/>
      </c>
      <c r="N141" s="21" t="str">
        <f>IFERROR(__xludf.DUMMYFUNCTION("IFERROR((GOOGLEFINANCE(C141, ""price"") / INDEX(GOOGLEFINANCE(C141, ""price"", EDATE(TODAY(), -3), TODAY()), 2, 2)) - 1, """")"),"")</f>
        <v/>
      </c>
      <c r="O141" s="21" t="str">
        <f>IFERROR(__xludf.DUMMYFUNCTION("IFERROR((GOOGLEFINANCE(C141, ""price"") / INDEX(GOOGLEFINANCE(C141, ""price"", EDATE(TODAY(), -6), TODAY()), 2, 2)) - 1, """")"),"")</f>
        <v/>
      </c>
      <c r="P141" s="21" t="str">
        <f>IFERROR(__xludf.DUMMYFUNCTION("IFERROR((GOOGLEFINANCE(C141, ""price"") / INDEX(GOOGLEFINANCE(C141, ""price"", EDATE(TODAY(), -12), TODAY()), 2, 2)) - 1, """")"),"")</f>
        <v/>
      </c>
      <c r="Q141" s="6" t="str">
        <f>IFERROR(__xludf.DUMMYFUNCTION("AVERAGE(QUERY(GOOGLEFINANCE(C141, ""price"", TODAY()-80, TODAY()), ""SELECT Col2 WHERE Col2 IS NOT NULL ORDER BY Col1 DESC LIMIT 50"", 0))"),"#N/A")</f>
        <v>#N/A</v>
      </c>
      <c r="R141" s="24" t="str">
        <f>IFERROR(__xludf.DUMMYFUNCTION("IFERROR(
  LET(
    data, QUERY(GOOGLEFINANCE(C141,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GOOGLEFINANCE(C141, ""price"")) * 100,
    IF(calc=0, G141, calc)
  ), 
G141)"),"#N/A")</f>
        <v>#N/A</v>
      </c>
      <c r="S141" s="8" t="s">
        <v>15</v>
      </c>
      <c r="T141" s="26" t="str">
        <f>IFERROR(__xludf.DUMMYFUNCTION("IFERROR(TRANSPOSE(QUERY(IFERROR(SORT(GOOGLEFINANCE(C141, ""price"", WORKDAY(TODAY(), -40), TODAY()), 1, FALSE)), ""select Col2 where Col2 is not null limit 22 label Col2 ''"", 0)), """")"),"")</f>
        <v/>
      </c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8"/>
      <c r="AO141" s="28"/>
      <c r="AP141" s="29"/>
      <c r="AQ141" s="29" t="str">
        <f t="shared" ref="AQ141:BL141" si="145">T141/T$2</f>
        <v>#N/A</v>
      </c>
      <c r="AR141" s="29" t="str">
        <f t="shared" si="145"/>
        <v>#DIV/0!</v>
      </c>
      <c r="AS141" s="29" t="str">
        <f t="shared" si="145"/>
        <v>#DIV/0!</v>
      </c>
      <c r="AT141" s="29" t="str">
        <f t="shared" si="145"/>
        <v>#DIV/0!</v>
      </c>
      <c r="AU141" s="29" t="str">
        <f t="shared" si="145"/>
        <v>#DIV/0!</v>
      </c>
      <c r="AV141" s="29" t="str">
        <f t="shared" si="145"/>
        <v>#DIV/0!</v>
      </c>
      <c r="AW141" s="29" t="str">
        <f t="shared" si="145"/>
        <v>#DIV/0!</v>
      </c>
      <c r="AX141" s="29" t="str">
        <f t="shared" si="145"/>
        <v>#DIV/0!</v>
      </c>
      <c r="AY141" s="29" t="str">
        <f t="shared" si="145"/>
        <v>#DIV/0!</v>
      </c>
      <c r="AZ141" s="29" t="str">
        <f t="shared" si="145"/>
        <v>#DIV/0!</v>
      </c>
      <c r="BA141" s="29" t="str">
        <f t="shared" si="145"/>
        <v>#DIV/0!</v>
      </c>
      <c r="BB141" s="29" t="str">
        <f t="shared" si="145"/>
        <v>#DIV/0!</v>
      </c>
      <c r="BC141" s="29" t="str">
        <f t="shared" si="145"/>
        <v>#DIV/0!</v>
      </c>
      <c r="BD141" s="29" t="str">
        <f t="shared" si="145"/>
        <v>#DIV/0!</v>
      </c>
      <c r="BE141" s="29" t="str">
        <f t="shared" si="145"/>
        <v>#DIV/0!</v>
      </c>
      <c r="BF141" s="29" t="str">
        <f t="shared" si="145"/>
        <v>#DIV/0!</v>
      </c>
      <c r="BG141" s="29" t="str">
        <f t="shared" si="145"/>
        <v>#DIV/0!</v>
      </c>
      <c r="BH141" s="29" t="str">
        <f t="shared" si="145"/>
        <v>#DIV/0!</v>
      </c>
      <c r="BI141" s="29" t="str">
        <f t="shared" si="145"/>
        <v>#DIV/0!</v>
      </c>
      <c r="BJ141" s="29" t="str">
        <f t="shared" si="145"/>
        <v>#DIV/0!</v>
      </c>
      <c r="BK141" s="29" t="str">
        <f t="shared" si="145"/>
        <v>#DIV/0!</v>
      </c>
      <c r="BL141" s="29" t="str">
        <f t="shared" si="145"/>
        <v>#DIV/0!</v>
      </c>
      <c r="BM141" s="29" t="str">
        <f t="shared" si="3"/>
        <v>#DIV/0!</v>
      </c>
    </row>
    <row r="142">
      <c r="A142" s="16" t="str">
        <f>IFERROR(__xludf.DUMMYFUNCTION("IFERROR(SPARKLINE(SORT(MAP(TRANSPOSE(AQ142:BL142), LAMBDA(val, IF(ISNUMBER(val), PERCENTRANK(AQ142:BL142, val)+0.01, 0))), SEQUENCE(COLUMNS(AQ142:BL142)), FALSE), {""charttype"",""column""; ""color"",""chartreuse""; ""ymin"", 0; ""ymax"", 1.01; ""highcolo"&amp;"r"", ""darkgreen""; ""lowcolor"", ""red""}), """")"),"")</f>
        <v/>
      </c>
      <c r="B142" s="17" t="str">
        <f t="shared" si="4"/>
        <v/>
      </c>
      <c r="C142" s="1" t="s">
        <v>1997</v>
      </c>
      <c r="D142" s="30" t="str">
        <f>IFERROR(__xludf.DUMMYFUNCTION("IFERROR(GOOGLEFINANCE(C142, ""NAME""))"),"United Therapeutics Corp")</f>
        <v>United Therapeutics Corp</v>
      </c>
      <c r="E142" s="30" t="s">
        <v>1475</v>
      </c>
      <c r="F142" s="33" t="str">
        <f>IFERROR(__xludf.DUMMYFUNCTION("( (GOOGLEFINANCE(C142, ""price"") - Q142) / Q142 ) / (R142 / 100)"),"Loading...")</f>
        <v>Loading...</v>
      </c>
      <c r="G142" s="20" t="str">
        <f>IFERROR(__xludf.DUMMYFUNCTION("AVERAGE(ARRAYFORMULA(100 * (QUERY(GOOGLEFINANCE(C142, ""high"", TODAY()-40, TODAY()), ""SELECT Col2 WHERE Col2 IS NOT NULL ORDER BY Col1 DESC LIMIT 20"", 0) / QUERY(GOOGLEFINANCE(C142, ""low"", TODAY()-40, TODAY()), ""SELECT Col2 WHERE Col2 IS NOT NULL OR"&amp;"DER BY Col1 DESC LIMIT 20"", 0) - 1)))"),"#N/A")</f>
        <v>#N/A</v>
      </c>
      <c r="H142" s="35" t="str">
        <f t="shared" si="118"/>
        <v/>
      </c>
      <c r="I142" s="36" t="str">
        <f t="shared" si="7"/>
        <v/>
      </c>
      <c r="J142" s="37" t="str">
        <f>IFERROR(__xludf.DUMMYFUNCTION("IFERROR(
  IF(C142="""",, 
    IFERROR(
      GOOGLEFINANCE(C142, ""price"") * GOOGLEFINANCE(C142, ""volumeavg""), 
      GOOGLEFINANCE(C142, ""price"") * AVERAGE(QUERY(GOOGLEFINANCE(C142, ""volume"", TODAY()-40, TODAY()), ""SELECT Col2 WHERE Col2 IS NOT "&amp;"NULL ORDER BY Col1 DESC LIMIT 20"", 0))
    )
  ), 
"""")"),"")</f>
        <v/>
      </c>
      <c r="K142" s="21" t="str">
        <f>IFERROR(__xludf.DUMMYFUNCTION("IFERROR(GOOGLEFINANCE(C142, ""changepct"") / 100, """")"),"")</f>
        <v/>
      </c>
      <c r="L142" s="21" t="str">
        <f>IFERROR(__xludf.DUMMYFUNCTION("IFERROR((GOOGLEFINANCE(C142, ""price"") / INDEX(GOOGLEFINANCE(C142, ""price"", TODAY()-7, TODAY()), 2, 2)) - 1, """")"),"")</f>
        <v/>
      </c>
      <c r="M142" s="21" t="str">
        <f>IFERROR(__xludf.DUMMYFUNCTION("IFERROR((GOOGLEFINANCE(C142, ""price"") / INDEX(GOOGLEFINANCE(C142, ""price"", EDATE(TODAY(), -1), TODAY()), 2, 2)) - 1, """")"),"")</f>
        <v/>
      </c>
      <c r="N142" s="21" t="str">
        <f>IFERROR(__xludf.DUMMYFUNCTION("IFERROR((GOOGLEFINANCE(C142, ""price"") / INDEX(GOOGLEFINANCE(C142, ""price"", EDATE(TODAY(), -3), TODAY()), 2, 2)) - 1, """")"),"")</f>
        <v/>
      </c>
      <c r="O142" s="21" t="str">
        <f>IFERROR(__xludf.DUMMYFUNCTION("IFERROR((GOOGLEFINANCE(C142, ""price"") / INDEX(GOOGLEFINANCE(C142, ""price"", EDATE(TODAY(), -6), TODAY()), 2, 2)) - 1, """")"),"")</f>
        <v/>
      </c>
      <c r="P142" s="21" t="str">
        <f>IFERROR(__xludf.DUMMYFUNCTION("IFERROR((GOOGLEFINANCE(C142, ""price"") / INDEX(GOOGLEFINANCE(C142, ""price"", EDATE(TODAY(), -12), TODAY()), 2, 2)) - 1, """")"),"")</f>
        <v/>
      </c>
      <c r="Q142" s="6" t="str">
        <f>IFERROR(__xludf.DUMMYFUNCTION("AVERAGE(QUERY(GOOGLEFINANCE(C142, ""price"", TODAY()-80, TODAY()), ""SELECT Col2 WHERE Col2 IS NOT NULL ORDER BY Col1 DESC LIMIT 50"", 0))"),"#N/A")</f>
        <v>#N/A</v>
      </c>
      <c r="R142" s="24" t="str">
        <f>IFERROR(__xludf.DUMMYFUNCTION("IFERROR(
  LET(
    data, QUERY(GOOGLEFINANCE(C142,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GOOGLEFINANCE(C142, ""price"")) * 100,
    IF(calc=0, G142, calc)
  ), 
G142)"),"#N/A")</f>
        <v>#N/A</v>
      </c>
      <c r="S142" s="8" t="s">
        <v>15</v>
      </c>
      <c r="T142" s="26" t="str">
        <f>IFERROR(__xludf.DUMMYFUNCTION("IFERROR(TRANSPOSE(QUERY(IFERROR(SORT(GOOGLEFINANCE(C142, ""price"", WORKDAY(TODAY(), -40), TODAY()), 1, FALSE)), ""select Col2 where Col2 is not null limit 22 label Col2 ''"", 0)), """")"),"")</f>
        <v/>
      </c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8"/>
      <c r="AO142" s="28"/>
      <c r="AP142" s="29"/>
      <c r="AQ142" s="29" t="str">
        <f t="shared" ref="AQ142:BL142" si="146">T142/T$2</f>
        <v>#N/A</v>
      </c>
      <c r="AR142" s="29" t="str">
        <f t="shared" si="146"/>
        <v>#DIV/0!</v>
      </c>
      <c r="AS142" s="29" t="str">
        <f t="shared" si="146"/>
        <v>#DIV/0!</v>
      </c>
      <c r="AT142" s="29" t="str">
        <f t="shared" si="146"/>
        <v>#DIV/0!</v>
      </c>
      <c r="AU142" s="29" t="str">
        <f t="shared" si="146"/>
        <v>#DIV/0!</v>
      </c>
      <c r="AV142" s="29" t="str">
        <f t="shared" si="146"/>
        <v>#DIV/0!</v>
      </c>
      <c r="AW142" s="29" t="str">
        <f t="shared" si="146"/>
        <v>#DIV/0!</v>
      </c>
      <c r="AX142" s="29" t="str">
        <f t="shared" si="146"/>
        <v>#DIV/0!</v>
      </c>
      <c r="AY142" s="29" t="str">
        <f t="shared" si="146"/>
        <v>#DIV/0!</v>
      </c>
      <c r="AZ142" s="29" t="str">
        <f t="shared" si="146"/>
        <v>#DIV/0!</v>
      </c>
      <c r="BA142" s="29" t="str">
        <f t="shared" si="146"/>
        <v>#DIV/0!</v>
      </c>
      <c r="BB142" s="29" t="str">
        <f t="shared" si="146"/>
        <v>#DIV/0!</v>
      </c>
      <c r="BC142" s="29" t="str">
        <f t="shared" si="146"/>
        <v>#DIV/0!</v>
      </c>
      <c r="BD142" s="29" t="str">
        <f t="shared" si="146"/>
        <v>#DIV/0!</v>
      </c>
      <c r="BE142" s="29" t="str">
        <f t="shared" si="146"/>
        <v>#DIV/0!</v>
      </c>
      <c r="BF142" s="29" t="str">
        <f t="shared" si="146"/>
        <v>#DIV/0!</v>
      </c>
      <c r="BG142" s="29" t="str">
        <f t="shared" si="146"/>
        <v>#DIV/0!</v>
      </c>
      <c r="BH142" s="29" t="str">
        <f t="shared" si="146"/>
        <v>#DIV/0!</v>
      </c>
      <c r="BI142" s="29" t="str">
        <f t="shared" si="146"/>
        <v>#DIV/0!</v>
      </c>
      <c r="BJ142" s="29" t="str">
        <f t="shared" si="146"/>
        <v>#DIV/0!</v>
      </c>
      <c r="BK142" s="29" t="str">
        <f t="shared" si="146"/>
        <v>#DIV/0!</v>
      </c>
      <c r="BL142" s="29" t="str">
        <f t="shared" si="146"/>
        <v>#DIV/0!</v>
      </c>
      <c r="BM142" s="29" t="str">
        <f t="shared" si="3"/>
        <v>#DIV/0!</v>
      </c>
    </row>
    <row r="143">
      <c r="A143" s="16" t="str">
        <f>IFERROR(__xludf.DUMMYFUNCTION("IFERROR(SPARKLINE(SORT(MAP(TRANSPOSE(AQ143:BL143), LAMBDA(val, IF(ISNUMBER(val), PERCENTRANK(AQ143:BL143, val)+0.01, 0))), SEQUENCE(COLUMNS(AQ143:BL143)), FALSE), {""charttype"",""column""; ""color"",""chartreuse""; ""ymin"", 0; ""ymax"", 1.01; ""highcolo"&amp;"r"", ""darkgreen""; ""lowcolor"", ""red""}), """")"),"")</f>
        <v/>
      </c>
      <c r="B143" s="17" t="str">
        <f t="shared" si="4"/>
        <v/>
      </c>
      <c r="C143" s="1" t="s">
        <v>2001</v>
      </c>
      <c r="D143" s="30" t="str">
        <f>IFERROR(__xludf.DUMMYFUNCTION("IFERROR(GOOGLEFINANCE(C143, ""NAME""))"),"AstraZeneca PLC (US)")</f>
        <v>AstraZeneca PLC (US)</v>
      </c>
      <c r="E143" s="30" t="s">
        <v>1509</v>
      </c>
      <c r="F143" s="33" t="str">
        <f>IFERROR(__xludf.DUMMYFUNCTION("( (GOOGLEFINANCE(C143, ""price"") - Q143) / Q143 ) / (R143 / 100)"),"Loading...")</f>
        <v>Loading...</v>
      </c>
      <c r="G143" s="20" t="str">
        <f>IFERROR(__xludf.DUMMYFUNCTION("AVERAGE(ARRAYFORMULA(100 * (QUERY(GOOGLEFINANCE(C143, ""high"", TODAY()-40, TODAY()), ""SELECT Col2 WHERE Col2 IS NOT NULL ORDER BY Col1 DESC LIMIT 20"", 0) / QUERY(GOOGLEFINANCE(C143, ""low"", TODAY()-40, TODAY()), ""SELECT Col2 WHERE Col2 IS NOT NULL OR"&amp;"DER BY Col1 DESC LIMIT 20"", 0) - 1)))"),"#N/A")</f>
        <v>#N/A</v>
      </c>
      <c r="H143" s="35" t="str">
        <f t="shared" si="118"/>
        <v/>
      </c>
      <c r="I143" s="36" t="str">
        <f t="shared" si="7"/>
        <v/>
      </c>
      <c r="J143" s="37" t="str">
        <f>IFERROR(__xludf.DUMMYFUNCTION("IFERROR(
  IF(C143="""",, 
    IFERROR(
      GOOGLEFINANCE(C143, ""price"") * GOOGLEFINANCE(C143, ""volumeavg""), 
      GOOGLEFINANCE(C143, ""price"") * AVERAGE(QUERY(GOOGLEFINANCE(C143, ""volume"", TODAY()-40, TODAY()), ""SELECT Col2 WHERE Col2 IS NOT "&amp;"NULL ORDER BY Col1 DESC LIMIT 20"", 0))
    )
  ), 
"""")"),"")</f>
        <v/>
      </c>
      <c r="K143" s="21" t="str">
        <f>IFERROR(__xludf.DUMMYFUNCTION("IFERROR(GOOGLEFINANCE(C143, ""changepct"") / 100, """")"),"")</f>
        <v/>
      </c>
      <c r="L143" s="21" t="str">
        <f>IFERROR(__xludf.DUMMYFUNCTION("IFERROR((GOOGLEFINANCE(C143, ""price"") / INDEX(GOOGLEFINANCE(C143, ""price"", TODAY()-7, TODAY()), 2, 2)) - 1, """")"),"")</f>
        <v/>
      </c>
      <c r="M143" s="21" t="str">
        <f>IFERROR(__xludf.DUMMYFUNCTION("IFERROR((GOOGLEFINANCE(C143, ""price"") / INDEX(GOOGLEFINANCE(C143, ""price"", EDATE(TODAY(), -1), TODAY()), 2, 2)) - 1, """")"),"")</f>
        <v/>
      </c>
      <c r="N143" s="21" t="str">
        <f>IFERROR(__xludf.DUMMYFUNCTION("IFERROR((GOOGLEFINANCE(C143, ""price"") / INDEX(GOOGLEFINANCE(C143, ""price"", EDATE(TODAY(), -3), TODAY()), 2, 2)) - 1, """")"),"")</f>
        <v/>
      </c>
      <c r="O143" s="21" t="str">
        <f>IFERROR(__xludf.DUMMYFUNCTION("IFERROR((GOOGLEFINANCE(C143, ""price"") / INDEX(GOOGLEFINANCE(C143, ""price"", EDATE(TODAY(), -6), TODAY()), 2, 2)) - 1, """")"),"")</f>
        <v/>
      </c>
      <c r="P143" s="21" t="str">
        <f>IFERROR(__xludf.DUMMYFUNCTION("IFERROR((GOOGLEFINANCE(C143, ""price"") / INDEX(GOOGLEFINANCE(C143, ""price"", EDATE(TODAY(), -12), TODAY()), 2, 2)) - 1, """")"),"")</f>
        <v/>
      </c>
      <c r="Q143" s="6" t="str">
        <f>IFERROR(__xludf.DUMMYFUNCTION("AVERAGE(QUERY(GOOGLEFINANCE(C143, ""price"", TODAY()-80, TODAY()), ""SELECT Col2 WHERE Col2 IS NOT NULL ORDER BY Col1 DESC LIMIT 50"", 0))"),"#N/A")</f>
        <v>#N/A</v>
      </c>
      <c r="R143" s="24" t="str">
        <f>IFERROR(__xludf.DUMMYFUNCTION("IFERROR(
  LET(
    data, QUERY(GOOGLEFINANCE(C143,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GOOGLEFINANCE(C143, ""price"")) * 100,
    IF(calc=0, G143, calc)
  ), 
G143)"),"#N/A")</f>
        <v>#N/A</v>
      </c>
      <c r="S143" s="8" t="s">
        <v>15</v>
      </c>
      <c r="T143" s="26" t="str">
        <f>IFERROR(__xludf.DUMMYFUNCTION("IFERROR(TRANSPOSE(QUERY(IFERROR(SORT(GOOGLEFINANCE(C143, ""price"", WORKDAY(TODAY(), -40), TODAY()), 1, FALSE)), ""select Col2 where Col2 is not null limit 22 label Col2 ''"", 0)), """")"),"")</f>
        <v/>
      </c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8"/>
      <c r="AO143" s="28"/>
      <c r="AP143" s="29"/>
      <c r="AQ143" s="29" t="str">
        <f t="shared" ref="AQ143:BL143" si="147">T143/T$2</f>
        <v>#N/A</v>
      </c>
      <c r="AR143" s="29" t="str">
        <f t="shared" si="147"/>
        <v>#DIV/0!</v>
      </c>
      <c r="AS143" s="29" t="str">
        <f t="shared" si="147"/>
        <v>#DIV/0!</v>
      </c>
      <c r="AT143" s="29" t="str">
        <f t="shared" si="147"/>
        <v>#DIV/0!</v>
      </c>
      <c r="AU143" s="29" t="str">
        <f t="shared" si="147"/>
        <v>#DIV/0!</v>
      </c>
      <c r="AV143" s="29" t="str">
        <f t="shared" si="147"/>
        <v>#DIV/0!</v>
      </c>
      <c r="AW143" s="29" t="str">
        <f t="shared" si="147"/>
        <v>#DIV/0!</v>
      </c>
      <c r="AX143" s="29" t="str">
        <f t="shared" si="147"/>
        <v>#DIV/0!</v>
      </c>
      <c r="AY143" s="29" t="str">
        <f t="shared" si="147"/>
        <v>#DIV/0!</v>
      </c>
      <c r="AZ143" s="29" t="str">
        <f t="shared" si="147"/>
        <v>#DIV/0!</v>
      </c>
      <c r="BA143" s="29" t="str">
        <f t="shared" si="147"/>
        <v>#DIV/0!</v>
      </c>
      <c r="BB143" s="29" t="str">
        <f t="shared" si="147"/>
        <v>#DIV/0!</v>
      </c>
      <c r="BC143" s="29" t="str">
        <f t="shared" si="147"/>
        <v>#DIV/0!</v>
      </c>
      <c r="BD143" s="29" t="str">
        <f t="shared" si="147"/>
        <v>#DIV/0!</v>
      </c>
      <c r="BE143" s="29" t="str">
        <f t="shared" si="147"/>
        <v>#DIV/0!</v>
      </c>
      <c r="BF143" s="29" t="str">
        <f t="shared" si="147"/>
        <v>#DIV/0!</v>
      </c>
      <c r="BG143" s="29" t="str">
        <f t="shared" si="147"/>
        <v>#DIV/0!</v>
      </c>
      <c r="BH143" s="29" t="str">
        <f t="shared" si="147"/>
        <v>#DIV/0!</v>
      </c>
      <c r="BI143" s="29" t="str">
        <f t="shared" si="147"/>
        <v>#DIV/0!</v>
      </c>
      <c r="BJ143" s="29" t="str">
        <f t="shared" si="147"/>
        <v>#DIV/0!</v>
      </c>
      <c r="BK143" s="29" t="str">
        <f t="shared" si="147"/>
        <v>#DIV/0!</v>
      </c>
      <c r="BL143" s="29" t="str">
        <f t="shared" si="147"/>
        <v>#DIV/0!</v>
      </c>
      <c r="BM143" s="29" t="str">
        <f t="shared" si="3"/>
        <v>#DIV/0!</v>
      </c>
    </row>
    <row r="144">
      <c r="A144" s="16" t="str">
        <f>IFERROR(__xludf.DUMMYFUNCTION("IFERROR(SPARKLINE(SORT(MAP(TRANSPOSE(AQ144:BL144), LAMBDA(val, IF(ISNUMBER(val), PERCENTRANK(AQ144:BL144, val)+0.01, 0))), SEQUENCE(COLUMNS(AQ144:BL144)), FALSE), {""charttype"",""column""; ""color"",""chartreuse""; ""ymin"", 0; ""ymax"", 1.01; ""highcolo"&amp;"r"", ""darkgreen""; ""lowcolor"", ""red""}), """")"),"")</f>
        <v/>
      </c>
      <c r="B144" s="17" t="str">
        <f t="shared" si="4"/>
        <v/>
      </c>
      <c r="C144" s="1" t="s">
        <v>2005</v>
      </c>
      <c r="D144" s="30" t="str">
        <f>IFERROR(__xludf.DUMMYFUNCTION("IFERROR(GOOGLEFINANCE(C144, ""NAME""))"),"Surgery Partners Inc")</f>
        <v>Surgery Partners Inc</v>
      </c>
      <c r="E144" s="30" t="s">
        <v>1513</v>
      </c>
      <c r="F144" s="33" t="str">
        <f>IFERROR(__xludf.DUMMYFUNCTION("( (GOOGLEFINANCE(C144, ""price"") - Q144) / Q144 ) / (R144 / 100)"),"Loading...")</f>
        <v>Loading...</v>
      </c>
      <c r="G144" s="20" t="str">
        <f>IFERROR(__xludf.DUMMYFUNCTION("AVERAGE(ARRAYFORMULA(100 * (QUERY(GOOGLEFINANCE(C144, ""high"", TODAY()-40, TODAY()), ""SELECT Col2 WHERE Col2 IS NOT NULL ORDER BY Col1 DESC LIMIT 20"", 0) / QUERY(GOOGLEFINANCE(C144, ""low"", TODAY()-40, TODAY()), ""SELECT Col2 WHERE Col2 IS NOT NULL OR"&amp;"DER BY Col1 DESC LIMIT 20"", 0) - 1)))"),"#N/A")</f>
        <v>#N/A</v>
      </c>
      <c r="H144" s="35" t="str">
        <f t="shared" si="118"/>
        <v/>
      </c>
      <c r="I144" s="36" t="str">
        <f t="shared" si="7"/>
        <v/>
      </c>
      <c r="J144" s="37" t="str">
        <f>IFERROR(__xludf.DUMMYFUNCTION("IFERROR(
  IF(C144="""",, 
    IFERROR(
      GOOGLEFINANCE(C144, ""price"") * GOOGLEFINANCE(C144, ""volumeavg""), 
      GOOGLEFINANCE(C144, ""price"") * AVERAGE(QUERY(GOOGLEFINANCE(C144, ""volume"", TODAY()-40, TODAY()), ""SELECT Col2 WHERE Col2 IS NOT "&amp;"NULL ORDER BY Col1 DESC LIMIT 20"", 0))
    )
  ), 
"""")"),"")</f>
        <v/>
      </c>
      <c r="K144" s="21" t="str">
        <f>IFERROR(__xludf.DUMMYFUNCTION("IFERROR(GOOGLEFINANCE(C144, ""changepct"") / 100, """")"),"")</f>
        <v/>
      </c>
      <c r="L144" s="21" t="str">
        <f>IFERROR(__xludf.DUMMYFUNCTION("IFERROR((GOOGLEFINANCE(C144, ""price"") / INDEX(GOOGLEFINANCE(C144, ""price"", TODAY()-7, TODAY()), 2, 2)) - 1, """")"),"")</f>
        <v/>
      </c>
      <c r="M144" s="21" t="str">
        <f>IFERROR(__xludf.DUMMYFUNCTION("IFERROR((GOOGLEFINANCE(C144, ""price"") / INDEX(GOOGLEFINANCE(C144, ""price"", EDATE(TODAY(), -1), TODAY()), 2, 2)) - 1, """")"),"")</f>
        <v/>
      </c>
      <c r="N144" s="21" t="str">
        <f>IFERROR(__xludf.DUMMYFUNCTION("IFERROR((GOOGLEFINANCE(C144, ""price"") / INDEX(GOOGLEFINANCE(C144, ""price"", EDATE(TODAY(), -3), TODAY()), 2, 2)) - 1, """")"),"")</f>
        <v/>
      </c>
      <c r="O144" s="21" t="str">
        <f>IFERROR(__xludf.DUMMYFUNCTION("IFERROR((GOOGLEFINANCE(C144, ""price"") / INDEX(GOOGLEFINANCE(C144, ""price"", EDATE(TODAY(), -6), TODAY()), 2, 2)) - 1, """")"),"")</f>
        <v/>
      </c>
      <c r="P144" s="21" t="str">
        <f>IFERROR(__xludf.DUMMYFUNCTION("IFERROR((GOOGLEFINANCE(C144, ""price"") / INDEX(GOOGLEFINANCE(C144, ""price"", EDATE(TODAY(), -12), TODAY()), 2, 2)) - 1, """")"),"")</f>
        <v/>
      </c>
      <c r="Q144" s="6" t="str">
        <f>IFERROR(__xludf.DUMMYFUNCTION("AVERAGE(QUERY(GOOGLEFINANCE(C144, ""price"", TODAY()-80, TODAY()), ""SELECT Col2 WHERE Col2 IS NOT NULL ORDER BY Col1 DESC LIMIT 50"", 0))"),"#N/A")</f>
        <v>#N/A</v>
      </c>
      <c r="R144" s="24" t="str">
        <f>IFERROR(__xludf.DUMMYFUNCTION("IFERROR(
  LET(
    data, QUERY(GOOGLEFINANCE(C144,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GOOGLEFINANCE(C144, ""price"")) * 100,
    IF(calc=0, G144, calc)
  ), 
G144)"),"#N/A")</f>
        <v>#N/A</v>
      </c>
      <c r="S144" s="8" t="s">
        <v>15</v>
      </c>
      <c r="T144" s="26" t="str">
        <f>IFERROR(__xludf.DUMMYFUNCTION("IFERROR(TRANSPOSE(QUERY(IFERROR(SORT(GOOGLEFINANCE(C144, ""price"", WORKDAY(TODAY(), -40), TODAY()), 1, FALSE)), ""select Col2 where Col2 is not null limit 22 label Col2 ''"", 0)), """")"),"")</f>
        <v/>
      </c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8"/>
      <c r="AO144" s="28"/>
      <c r="AP144" s="29"/>
      <c r="AQ144" s="29" t="str">
        <f t="shared" ref="AQ144:BL144" si="148">T144/T$2</f>
        <v>#N/A</v>
      </c>
      <c r="AR144" s="29" t="str">
        <f t="shared" si="148"/>
        <v>#DIV/0!</v>
      </c>
      <c r="AS144" s="29" t="str">
        <f t="shared" si="148"/>
        <v>#DIV/0!</v>
      </c>
      <c r="AT144" s="29" t="str">
        <f t="shared" si="148"/>
        <v>#DIV/0!</v>
      </c>
      <c r="AU144" s="29" t="str">
        <f t="shared" si="148"/>
        <v>#DIV/0!</v>
      </c>
      <c r="AV144" s="29" t="str">
        <f t="shared" si="148"/>
        <v>#DIV/0!</v>
      </c>
      <c r="AW144" s="29" t="str">
        <f t="shared" si="148"/>
        <v>#DIV/0!</v>
      </c>
      <c r="AX144" s="29" t="str">
        <f t="shared" si="148"/>
        <v>#DIV/0!</v>
      </c>
      <c r="AY144" s="29" t="str">
        <f t="shared" si="148"/>
        <v>#DIV/0!</v>
      </c>
      <c r="AZ144" s="29" t="str">
        <f t="shared" si="148"/>
        <v>#DIV/0!</v>
      </c>
      <c r="BA144" s="29" t="str">
        <f t="shared" si="148"/>
        <v>#DIV/0!</v>
      </c>
      <c r="BB144" s="29" t="str">
        <f t="shared" si="148"/>
        <v>#DIV/0!</v>
      </c>
      <c r="BC144" s="29" t="str">
        <f t="shared" si="148"/>
        <v>#DIV/0!</v>
      </c>
      <c r="BD144" s="29" t="str">
        <f t="shared" si="148"/>
        <v>#DIV/0!</v>
      </c>
      <c r="BE144" s="29" t="str">
        <f t="shared" si="148"/>
        <v>#DIV/0!</v>
      </c>
      <c r="BF144" s="29" t="str">
        <f t="shared" si="148"/>
        <v>#DIV/0!</v>
      </c>
      <c r="BG144" s="29" t="str">
        <f t="shared" si="148"/>
        <v>#DIV/0!</v>
      </c>
      <c r="BH144" s="29" t="str">
        <f t="shared" si="148"/>
        <v>#DIV/0!</v>
      </c>
      <c r="BI144" s="29" t="str">
        <f t="shared" si="148"/>
        <v>#DIV/0!</v>
      </c>
      <c r="BJ144" s="29" t="str">
        <f t="shared" si="148"/>
        <v>#DIV/0!</v>
      </c>
      <c r="BK144" s="29" t="str">
        <f t="shared" si="148"/>
        <v>#DIV/0!</v>
      </c>
      <c r="BL144" s="29" t="str">
        <f t="shared" si="148"/>
        <v>#DIV/0!</v>
      </c>
      <c r="BM144" s="29" t="str">
        <f t="shared" si="3"/>
        <v>#DIV/0!</v>
      </c>
    </row>
    <row r="145">
      <c r="A145" s="16" t="str">
        <f>IFERROR(__xludf.DUMMYFUNCTION("IFERROR(SPARKLINE(SORT(MAP(TRANSPOSE(AQ145:BL145), LAMBDA(val, IF(ISNUMBER(val), PERCENTRANK(AQ145:BL145, val)+0.01, 0))), SEQUENCE(COLUMNS(AQ145:BL145)), FALSE), {""charttype"",""column""; ""color"",""chartreuse""; ""ymin"", 0; ""ymax"", 1.01; ""highcolo"&amp;"r"", ""darkgreen""; ""lowcolor"", ""red""}), """")"),"")</f>
        <v/>
      </c>
      <c r="B145" s="17" t="str">
        <f t="shared" si="4"/>
        <v/>
      </c>
      <c r="C145" s="1" t="s">
        <v>2009</v>
      </c>
      <c r="D145" s="30" t="str">
        <f>IFERROR(__xludf.DUMMYFUNCTION("IFERROR(GOOGLEFINANCE(C145, ""NAME""))"),"Becton Dickinson and Co")</f>
        <v>Becton Dickinson and Co</v>
      </c>
      <c r="E145" s="30" t="s">
        <v>1502</v>
      </c>
      <c r="F145" s="33" t="str">
        <f>IFERROR(__xludf.DUMMYFUNCTION("( (GOOGLEFINANCE(C145, ""price"") - Q145) / Q145 ) / (R145 / 100)"),"Loading...")</f>
        <v>Loading...</v>
      </c>
      <c r="G145" s="20" t="str">
        <f>IFERROR(__xludf.DUMMYFUNCTION("AVERAGE(ARRAYFORMULA(100 * (QUERY(GOOGLEFINANCE(C145, ""high"", TODAY()-40, TODAY()), ""SELECT Col2 WHERE Col2 IS NOT NULL ORDER BY Col1 DESC LIMIT 20"", 0) / QUERY(GOOGLEFINANCE(C145, ""low"", TODAY()-40, TODAY()), ""SELECT Col2 WHERE Col2 IS NOT NULL OR"&amp;"DER BY Col1 DESC LIMIT 20"", 0) - 1)))"),"#N/A")</f>
        <v>#N/A</v>
      </c>
      <c r="H145" s="35" t="str">
        <f t="shared" si="118"/>
        <v/>
      </c>
      <c r="I145" s="36" t="str">
        <f t="shared" si="7"/>
        <v/>
      </c>
      <c r="J145" s="37" t="str">
        <f>IFERROR(__xludf.DUMMYFUNCTION("IFERROR(
  IF(C145="""",, 
    IFERROR(
      GOOGLEFINANCE(C145, ""price"") * GOOGLEFINANCE(C145, ""volumeavg""), 
      GOOGLEFINANCE(C145, ""price"") * AVERAGE(QUERY(GOOGLEFINANCE(C145, ""volume"", TODAY()-40, TODAY()), ""SELECT Col2 WHERE Col2 IS NOT "&amp;"NULL ORDER BY Col1 DESC LIMIT 20"", 0))
    )
  ), 
"""")"),"")</f>
        <v/>
      </c>
      <c r="K145" s="21" t="str">
        <f>IFERROR(__xludf.DUMMYFUNCTION("IFERROR(GOOGLEFINANCE(C145, ""changepct"") / 100, """")"),"")</f>
        <v/>
      </c>
      <c r="L145" s="21" t="str">
        <f>IFERROR(__xludf.DUMMYFUNCTION("IFERROR((GOOGLEFINANCE(C145, ""price"") / INDEX(GOOGLEFINANCE(C145, ""price"", TODAY()-7, TODAY()), 2, 2)) - 1, """")"),"")</f>
        <v/>
      </c>
      <c r="M145" s="21" t="str">
        <f>IFERROR(__xludf.DUMMYFUNCTION("IFERROR((GOOGLEFINANCE(C145, ""price"") / INDEX(GOOGLEFINANCE(C145, ""price"", EDATE(TODAY(), -1), TODAY()), 2, 2)) - 1, """")"),"")</f>
        <v/>
      </c>
      <c r="N145" s="21" t="str">
        <f>IFERROR(__xludf.DUMMYFUNCTION("IFERROR((GOOGLEFINANCE(C145, ""price"") / INDEX(GOOGLEFINANCE(C145, ""price"", EDATE(TODAY(), -3), TODAY()), 2, 2)) - 1, """")"),"")</f>
        <v/>
      </c>
      <c r="O145" s="21" t="str">
        <f>IFERROR(__xludf.DUMMYFUNCTION("IFERROR((GOOGLEFINANCE(C145, ""price"") / INDEX(GOOGLEFINANCE(C145, ""price"", EDATE(TODAY(), -6), TODAY()), 2, 2)) - 1, """")"),"")</f>
        <v/>
      </c>
      <c r="P145" s="21" t="str">
        <f>IFERROR(__xludf.DUMMYFUNCTION("IFERROR((GOOGLEFINANCE(C145, ""price"") / INDEX(GOOGLEFINANCE(C145, ""price"", EDATE(TODAY(), -12), TODAY()), 2, 2)) - 1, """")"),"")</f>
        <v/>
      </c>
      <c r="Q145" s="6" t="str">
        <f>IFERROR(__xludf.DUMMYFUNCTION("AVERAGE(QUERY(GOOGLEFINANCE(C145, ""price"", TODAY()-80, TODAY()), ""SELECT Col2 WHERE Col2 IS NOT NULL ORDER BY Col1 DESC LIMIT 50"", 0))"),"#N/A")</f>
        <v>#N/A</v>
      </c>
      <c r="R145" s="24" t="str">
        <f>IFERROR(__xludf.DUMMYFUNCTION("IFERROR(
  LET(
    data, QUERY(GOOGLEFINANCE(C145,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GOOGLEFINANCE(C145, ""price"")) * 100,
    IF(calc=0, G145, calc)
  ), 
G145)"),"#N/A")</f>
        <v>#N/A</v>
      </c>
      <c r="S145" s="8" t="s">
        <v>15</v>
      </c>
      <c r="T145" s="26" t="str">
        <f>IFERROR(__xludf.DUMMYFUNCTION("IFERROR(TRANSPOSE(QUERY(IFERROR(SORT(GOOGLEFINANCE(C145, ""price"", WORKDAY(TODAY(), -40), TODAY()), 1, FALSE)), ""select Col2 where Col2 is not null limit 22 label Col2 ''"", 0)), """")"),"")</f>
        <v/>
      </c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8"/>
      <c r="AO145" s="28"/>
      <c r="AP145" s="29"/>
      <c r="AQ145" s="29" t="str">
        <f t="shared" ref="AQ145:BL145" si="149">T145/T$2</f>
        <v>#N/A</v>
      </c>
      <c r="AR145" s="29" t="str">
        <f t="shared" si="149"/>
        <v>#DIV/0!</v>
      </c>
      <c r="AS145" s="29" t="str">
        <f t="shared" si="149"/>
        <v>#DIV/0!</v>
      </c>
      <c r="AT145" s="29" t="str">
        <f t="shared" si="149"/>
        <v>#DIV/0!</v>
      </c>
      <c r="AU145" s="29" t="str">
        <f t="shared" si="149"/>
        <v>#DIV/0!</v>
      </c>
      <c r="AV145" s="29" t="str">
        <f t="shared" si="149"/>
        <v>#DIV/0!</v>
      </c>
      <c r="AW145" s="29" t="str">
        <f t="shared" si="149"/>
        <v>#DIV/0!</v>
      </c>
      <c r="AX145" s="29" t="str">
        <f t="shared" si="149"/>
        <v>#DIV/0!</v>
      </c>
      <c r="AY145" s="29" t="str">
        <f t="shared" si="149"/>
        <v>#DIV/0!</v>
      </c>
      <c r="AZ145" s="29" t="str">
        <f t="shared" si="149"/>
        <v>#DIV/0!</v>
      </c>
      <c r="BA145" s="29" t="str">
        <f t="shared" si="149"/>
        <v>#DIV/0!</v>
      </c>
      <c r="BB145" s="29" t="str">
        <f t="shared" si="149"/>
        <v>#DIV/0!</v>
      </c>
      <c r="BC145" s="29" t="str">
        <f t="shared" si="149"/>
        <v>#DIV/0!</v>
      </c>
      <c r="BD145" s="29" t="str">
        <f t="shared" si="149"/>
        <v>#DIV/0!</v>
      </c>
      <c r="BE145" s="29" t="str">
        <f t="shared" si="149"/>
        <v>#DIV/0!</v>
      </c>
      <c r="BF145" s="29" t="str">
        <f t="shared" si="149"/>
        <v>#DIV/0!</v>
      </c>
      <c r="BG145" s="29" t="str">
        <f t="shared" si="149"/>
        <v>#DIV/0!</v>
      </c>
      <c r="BH145" s="29" t="str">
        <f t="shared" si="149"/>
        <v>#DIV/0!</v>
      </c>
      <c r="BI145" s="29" t="str">
        <f t="shared" si="149"/>
        <v>#DIV/0!</v>
      </c>
      <c r="BJ145" s="29" t="str">
        <f t="shared" si="149"/>
        <v>#DIV/0!</v>
      </c>
      <c r="BK145" s="29" t="str">
        <f t="shared" si="149"/>
        <v>#DIV/0!</v>
      </c>
      <c r="BL145" s="29" t="str">
        <f t="shared" si="149"/>
        <v>#DIV/0!</v>
      </c>
      <c r="BM145" s="29" t="str">
        <f t="shared" si="3"/>
        <v>#DIV/0!</v>
      </c>
    </row>
    <row r="146">
      <c r="A146" s="16" t="str">
        <f>IFERROR(__xludf.DUMMYFUNCTION("IFERROR(SPARKLINE(SORT(MAP(TRANSPOSE(AQ146:BL146), LAMBDA(val, IF(ISNUMBER(val), PERCENTRANK(AQ146:BL146, val)+0.01, 0))), SEQUENCE(COLUMNS(AQ146:BL146)), FALSE), {""charttype"",""column""; ""color"",""chartreuse""; ""ymin"", 0; ""ymax"", 1.01; ""highcolo"&amp;"r"", ""darkgreen""; ""lowcolor"", ""red""}), """")"),"")</f>
        <v/>
      </c>
      <c r="B146" s="17" t="str">
        <f t="shared" si="4"/>
        <v/>
      </c>
      <c r="C146" s="1" t="s">
        <v>2013</v>
      </c>
      <c r="D146" s="30" t="str">
        <f>IFERROR(__xludf.DUMMYFUNCTION("IFERROR(GOOGLEFINANCE(C146, ""NAME""))"),"Burning Rock Biotech Ltd")</f>
        <v>Burning Rock Biotech Ltd</v>
      </c>
      <c r="E146" s="30" t="s">
        <v>1499</v>
      </c>
      <c r="F146" s="33" t="str">
        <f>IFERROR(__xludf.DUMMYFUNCTION("( (GOOGLEFINANCE(C146, ""price"") - Q146) / Q146 ) / (R146 / 100)"),"Loading...")</f>
        <v>Loading...</v>
      </c>
      <c r="G146" s="20" t="str">
        <f>IFERROR(__xludf.DUMMYFUNCTION("AVERAGE(ARRAYFORMULA(100 * (QUERY(GOOGLEFINANCE(C146, ""high"", TODAY()-40, TODAY()), ""SELECT Col2 WHERE Col2 IS NOT NULL ORDER BY Col1 DESC LIMIT 20"", 0) / QUERY(GOOGLEFINANCE(C146, ""low"", TODAY()-40, TODAY()), ""SELECT Col2 WHERE Col2 IS NOT NULL OR"&amp;"DER BY Col1 DESC LIMIT 20"", 0) - 1)))"),"#N/A")</f>
        <v>#N/A</v>
      </c>
      <c r="H146" s="35" t="str">
        <f t="shared" si="118"/>
        <v/>
      </c>
      <c r="I146" s="36" t="str">
        <f t="shared" si="7"/>
        <v/>
      </c>
      <c r="J146" s="37" t="str">
        <f>IFERROR(__xludf.DUMMYFUNCTION("IFERROR(
  IF(C146="""",, 
    IFERROR(
      GOOGLEFINANCE(C146, ""price"") * GOOGLEFINANCE(C146, ""volumeavg""), 
      GOOGLEFINANCE(C146, ""price"") * AVERAGE(QUERY(GOOGLEFINANCE(C146, ""volume"", TODAY()-40, TODAY()), ""SELECT Col2 WHERE Col2 IS NOT "&amp;"NULL ORDER BY Col1 DESC LIMIT 20"", 0))
    )
  ), 
"""")"),"")</f>
        <v/>
      </c>
      <c r="K146" s="21" t="str">
        <f>IFERROR(__xludf.DUMMYFUNCTION("IFERROR(GOOGLEFINANCE(C146, ""changepct"") / 100, """")"),"")</f>
        <v/>
      </c>
      <c r="L146" s="21" t="str">
        <f>IFERROR(__xludf.DUMMYFUNCTION("IFERROR((GOOGLEFINANCE(C146, ""price"") / INDEX(GOOGLEFINANCE(C146, ""price"", TODAY()-7, TODAY()), 2, 2)) - 1, """")"),"")</f>
        <v/>
      </c>
      <c r="M146" s="21" t="str">
        <f>IFERROR(__xludf.DUMMYFUNCTION("IFERROR((GOOGLEFINANCE(C146, ""price"") / INDEX(GOOGLEFINANCE(C146, ""price"", EDATE(TODAY(), -1), TODAY()), 2, 2)) - 1, """")"),"")</f>
        <v/>
      </c>
      <c r="N146" s="21" t="str">
        <f>IFERROR(__xludf.DUMMYFUNCTION("IFERROR((GOOGLEFINANCE(C146, ""price"") / INDEX(GOOGLEFINANCE(C146, ""price"", EDATE(TODAY(), -3), TODAY()), 2, 2)) - 1, """")"),"")</f>
        <v/>
      </c>
      <c r="O146" s="21" t="str">
        <f>IFERROR(__xludf.DUMMYFUNCTION("IFERROR((GOOGLEFINANCE(C146, ""price"") / INDEX(GOOGLEFINANCE(C146, ""price"", EDATE(TODAY(), -6), TODAY()), 2, 2)) - 1, """")"),"")</f>
        <v/>
      </c>
      <c r="P146" s="21" t="str">
        <f>IFERROR(__xludf.DUMMYFUNCTION("IFERROR((GOOGLEFINANCE(C146, ""price"") / INDEX(GOOGLEFINANCE(C146, ""price"", EDATE(TODAY(), -12), TODAY()), 2, 2)) - 1, """")"),"")</f>
        <v/>
      </c>
      <c r="Q146" s="6" t="str">
        <f>IFERROR(__xludf.DUMMYFUNCTION("AVERAGE(QUERY(GOOGLEFINANCE(C146, ""price"", TODAY()-80, TODAY()), ""SELECT Col2 WHERE Col2 IS NOT NULL ORDER BY Col1 DESC LIMIT 50"", 0))"),"#N/A")</f>
        <v>#N/A</v>
      </c>
      <c r="R146" s="24" t="str">
        <f>IFERROR(__xludf.DUMMYFUNCTION("IFERROR(
  LET(
    data, QUERY(GOOGLEFINANCE(C146,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GOOGLEFINANCE(C146, ""price"")) * 100,
    IF(calc=0, G146, calc)
  ), 
G146)"),"#N/A")</f>
        <v>#N/A</v>
      </c>
      <c r="S146" s="8" t="s">
        <v>15</v>
      </c>
      <c r="T146" s="26" t="str">
        <f>IFERROR(__xludf.DUMMYFUNCTION("IFERROR(TRANSPOSE(QUERY(IFERROR(SORT(GOOGLEFINANCE(C146, ""price"", WORKDAY(TODAY(), -40), TODAY()), 1, FALSE)), ""select Col2 where Col2 is not null limit 22 label Col2 ''"", 0)), """")"),"")</f>
        <v/>
      </c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8"/>
      <c r="AO146" s="28"/>
      <c r="AP146" s="29"/>
      <c r="AQ146" s="29" t="str">
        <f t="shared" ref="AQ146:BL146" si="150">T146/T$2</f>
        <v>#N/A</v>
      </c>
      <c r="AR146" s="29" t="str">
        <f t="shared" si="150"/>
        <v>#DIV/0!</v>
      </c>
      <c r="AS146" s="29" t="str">
        <f t="shared" si="150"/>
        <v>#DIV/0!</v>
      </c>
      <c r="AT146" s="29" t="str">
        <f t="shared" si="150"/>
        <v>#DIV/0!</v>
      </c>
      <c r="AU146" s="29" t="str">
        <f t="shared" si="150"/>
        <v>#DIV/0!</v>
      </c>
      <c r="AV146" s="29" t="str">
        <f t="shared" si="150"/>
        <v>#DIV/0!</v>
      </c>
      <c r="AW146" s="29" t="str">
        <f t="shared" si="150"/>
        <v>#DIV/0!</v>
      </c>
      <c r="AX146" s="29" t="str">
        <f t="shared" si="150"/>
        <v>#DIV/0!</v>
      </c>
      <c r="AY146" s="29" t="str">
        <f t="shared" si="150"/>
        <v>#DIV/0!</v>
      </c>
      <c r="AZ146" s="29" t="str">
        <f t="shared" si="150"/>
        <v>#DIV/0!</v>
      </c>
      <c r="BA146" s="29" t="str">
        <f t="shared" si="150"/>
        <v>#DIV/0!</v>
      </c>
      <c r="BB146" s="29" t="str">
        <f t="shared" si="150"/>
        <v>#DIV/0!</v>
      </c>
      <c r="BC146" s="29" t="str">
        <f t="shared" si="150"/>
        <v>#DIV/0!</v>
      </c>
      <c r="BD146" s="29" t="str">
        <f t="shared" si="150"/>
        <v>#DIV/0!</v>
      </c>
      <c r="BE146" s="29" t="str">
        <f t="shared" si="150"/>
        <v>#DIV/0!</v>
      </c>
      <c r="BF146" s="29" t="str">
        <f t="shared" si="150"/>
        <v>#DIV/0!</v>
      </c>
      <c r="BG146" s="29" t="str">
        <f t="shared" si="150"/>
        <v>#DIV/0!</v>
      </c>
      <c r="BH146" s="29" t="str">
        <f t="shared" si="150"/>
        <v>#DIV/0!</v>
      </c>
      <c r="BI146" s="29" t="str">
        <f t="shared" si="150"/>
        <v>#DIV/0!</v>
      </c>
      <c r="BJ146" s="29" t="str">
        <f t="shared" si="150"/>
        <v>#DIV/0!</v>
      </c>
      <c r="BK146" s="29" t="str">
        <f t="shared" si="150"/>
        <v>#DIV/0!</v>
      </c>
      <c r="BL146" s="29" t="str">
        <f t="shared" si="150"/>
        <v>#DIV/0!</v>
      </c>
      <c r="BM146" s="29" t="str">
        <f t="shared" si="3"/>
        <v>#DIV/0!</v>
      </c>
    </row>
    <row r="147">
      <c r="A147" s="16" t="str">
        <f>IFERROR(__xludf.DUMMYFUNCTION("IFERROR(SPARKLINE(SORT(MAP(TRANSPOSE(AQ147:BL147), LAMBDA(val, IF(ISNUMBER(val), PERCENTRANK(AQ147:BL147, val)+0.01, 0))), SEQUENCE(COLUMNS(AQ147:BL147)), FALSE), {""charttype"",""column""; ""color"",""chartreuse""; ""ymin"", 0; ""ymax"", 1.01; ""highcolo"&amp;"r"", ""darkgreen""; ""lowcolor"", ""red""}), """")"),"")</f>
        <v/>
      </c>
      <c r="B147" s="17" t="str">
        <f t="shared" si="4"/>
        <v/>
      </c>
      <c r="C147" s="1" t="s">
        <v>2017</v>
      </c>
      <c r="D147" s="30" t="str">
        <f>IFERROR(__xludf.DUMMYFUNCTION("IFERROR(GOOGLEFINANCE(C147, ""NAME""))"),"Alphatec Holdings Inc")</f>
        <v>Alphatec Holdings Inc</v>
      </c>
      <c r="E147" s="30" t="s">
        <v>1491</v>
      </c>
      <c r="F147" s="33" t="str">
        <f>IFERROR(__xludf.DUMMYFUNCTION("( (GOOGLEFINANCE(C147, ""price"") - Q147) / Q147 ) / (R147 / 100)"),"Loading...")</f>
        <v>Loading...</v>
      </c>
      <c r="G147" s="20" t="str">
        <f>IFERROR(__xludf.DUMMYFUNCTION("AVERAGE(ARRAYFORMULA(100 * (QUERY(GOOGLEFINANCE(C147, ""high"", TODAY()-40, TODAY()), ""SELECT Col2 WHERE Col2 IS NOT NULL ORDER BY Col1 DESC LIMIT 20"", 0) / QUERY(GOOGLEFINANCE(C147, ""low"", TODAY()-40, TODAY()), ""SELECT Col2 WHERE Col2 IS NOT NULL OR"&amp;"DER BY Col1 DESC LIMIT 20"", 0) - 1)))"),"#N/A")</f>
        <v>#N/A</v>
      </c>
      <c r="H147" s="35" t="str">
        <f t="shared" si="118"/>
        <v/>
      </c>
      <c r="I147" s="36" t="str">
        <f t="shared" si="7"/>
        <v/>
      </c>
      <c r="J147" s="37" t="str">
        <f>IFERROR(__xludf.DUMMYFUNCTION("IFERROR(
  IF(C147="""",, 
    IFERROR(
      GOOGLEFINANCE(C147, ""price"") * GOOGLEFINANCE(C147, ""volumeavg""), 
      GOOGLEFINANCE(C147, ""price"") * AVERAGE(QUERY(GOOGLEFINANCE(C147, ""volume"", TODAY()-40, TODAY()), ""SELECT Col2 WHERE Col2 IS NOT "&amp;"NULL ORDER BY Col1 DESC LIMIT 20"", 0))
    )
  ), 
"""")"),"")</f>
        <v/>
      </c>
      <c r="K147" s="21" t="str">
        <f>IFERROR(__xludf.DUMMYFUNCTION("IFERROR(GOOGLEFINANCE(C147, ""changepct"") / 100, """")"),"")</f>
        <v/>
      </c>
      <c r="L147" s="21" t="str">
        <f>IFERROR(__xludf.DUMMYFUNCTION("IFERROR((GOOGLEFINANCE(C147, ""price"") / INDEX(GOOGLEFINANCE(C147, ""price"", TODAY()-7, TODAY()), 2, 2)) - 1, """")"),"")</f>
        <v/>
      </c>
      <c r="M147" s="21" t="str">
        <f>IFERROR(__xludf.DUMMYFUNCTION("IFERROR((GOOGLEFINANCE(C147, ""price"") / INDEX(GOOGLEFINANCE(C147, ""price"", EDATE(TODAY(), -1), TODAY()), 2, 2)) - 1, """")"),"")</f>
        <v/>
      </c>
      <c r="N147" s="21" t="str">
        <f>IFERROR(__xludf.DUMMYFUNCTION("IFERROR((GOOGLEFINANCE(C147, ""price"") / INDEX(GOOGLEFINANCE(C147, ""price"", EDATE(TODAY(), -3), TODAY()), 2, 2)) - 1, """")"),"")</f>
        <v/>
      </c>
      <c r="O147" s="21" t="str">
        <f>IFERROR(__xludf.DUMMYFUNCTION("IFERROR((GOOGLEFINANCE(C147, ""price"") / INDEX(GOOGLEFINANCE(C147, ""price"", EDATE(TODAY(), -6), TODAY()), 2, 2)) - 1, """")"),"")</f>
        <v/>
      </c>
      <c r="P147" s="21" t="str">
        <f>IFERROR(__xludf.DUMMYFUNCTION("IFERROR((GOOGLEFINANCE(C147, ""price"") / INDEX(GOOGLEFINANCE(C147, ""price"", EDATE(TODAY(), -12), TODAY()), 2, 2)) - 1, """")"),"")</f>
        <v/>
      </c>
      <c r="Q147" s="6" t="str">
        <f>IFERROR(__xludf.DUMMYFUNCTION("AVERAGE(QUERY(GOOGLEFINANCE(C147, ""price"", TODAY()-80, TODAY()), ""SELECT Col2 WHERE Col2 IS NOT NULL ORDER BY Col1 DESC LIMIT 50"", 0))"),"#N/A")</f>
        <v>#N/A</v>
      </c>
      <c r="R147" s="24" t="str">
        <f>IFERROR(__xludf.DUMMYFUNCTION("IFERROR(
  LET(
    data, QUERY(GOOGLEFINANCE(C147,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GOOGLEFINANCE(C147, ""price"")) * 100,
    IF(calc=0, G147, calc)
  ), 
G147)"),"#N/A")</f>
        <v>#N/A</v>
      </c>
      <c r="S147" s="8" t="s">
        <v>15</v>
      </c>
      <c r="T147" s="26" t="str">
        <f>IFERROR(__xludf.DUMMYFUNCTION("IFERROR(TRANSPOSE(QUERY(IFERROR(SORT(GOOGLEFINANCE(C147, ""price"", WORKDAY(TODAY(), -40), TODAY()), 1, FALSE)), ""select Col2 where Col2 is not null limit 22 label Col2 ''"", 0)), """")"),"")</f>
        <v/>
      </c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8"/>
      <c r="AO147" s="28"/>
      <c r="AP147" s="29"/>
      <c r="AQ147" s="29" t="str">
        <f t="shared" ref="AQ147:BL147" si="151">T147/T$2</f>
        <v>#N/A</v>
      </c>
      <c r="AR147" s="29" t="str">
        <f t="shared" si="151"/>
        <v>#DIV/0!</v>
      </c>
      <c r="AS147" s="29" t="str">
        <f t="shared" si="151"/>
        <v>#DIV/0!</v>
      </c>
      <c r="AT147" s="29" t="str">
        <f t="shared" si="151"/>
        <v>#DIV/0!</v>
      </c>
      <c r="AU147" s="29" t="str">
        <f t="shared" si="151"/>
        <v>#DIV/0!</v>
      </c>
      <c r="AV147" s="29" t="str">
        <f t="shared" si="151"/>
        <v>#DIV/0!</v>
      </c>
      <c r="AW147" s="29" t="str">
        <f t="shared" si="151"/>
        <v>#DIV/0!</v>
      </c>
      <c r="AX147" s="29" t="str">
        <f t="shared" si="151"/>
        <v>#DIV/0!</v>
      </c>
      <c r="AY147" s="29" t="str">
        <f t="shared" si="151"/>
        <v>#DIV/0!</v>
      </c>
      <c r="AZ147" s="29" t="str">
        <f t="shared" si="151"/>
        <v>#DIV/0!</v>
      </c>
      <c r="BA147" s="29" t="str">
        <f t="shared" si="151"/>
        <v>#DIV/0!</v>
      </c>
      <c r="BB147" s="29" t="str">
        <f t="shared" si="151"/>
        <v>#DIV/0!</v>
      </c>
      <c r="BC147" s="29" t="str">
        <f t="shared" si="151"/>
        <v>#DIV/0!</v>
      </c>
      <c r="BD147" s="29" t="str">
        <f t="shared" si="151"/>
        <v>#DIV/0!</v>
      </c>
      <c r="BE147" s="29" t="str">
        <f t="shared" si="151"/>
        <v>#DIV/0!</v>
      </c>
      <c r="BF147" s="29" t="str">
        <f t="shared" si="151"/>
        <v>#DIV/0!</v>
      </c>
      <c r="BG147" s="29" t="str">
        <f t="shared" si="151"/>
        <v>#DIV/0!</v>
      </c>
      <c r="BH147" s="29" t="str">
        <f t="shared" si="151"/>
        <v>#DIV/0!</v>
      </c>
      <c r="BI147" s="29" t="str">
        <f t="shared" si="151"/>
        <v>#DIV/0!</v>
      </c>
      <c r="BJ147" s="29" t="str">
        <f t="shared" si="151"/>
        <v>#DIV/0!</v>
      </c>
      <c r="BK147" s="29" t="str">
        <f t="shared" si="151"/>
        <v>#DIV/0!</v>
      </c>
      <c r="BL147" s="29" t="str">
        <f t="shared" si="151"/>
        <v>#DIV/0!</v>
      </c>
      <c r="BM147" s="29" t="str">
        <f t="shared" si="3"/>
        <v>#DIV/0!</v>
      </c>
    </row>
    <row r="148">
      <c r="A148" s="16" t="str">
        <f>IFERROR(__xludf.DUMMYFUNCTION("IFERROR(SPARKLINE(SORT(MAP(TRANSPOSE(AQ148:BL148), LAMBDA(val, IF(ISNUMBER(val), PERCENTRANK(AQ148:BL148, val)+0.01, 0))), SEQUENCE(COLUMNS(AQ148:BL148)), FALSE), {""charttype"",""column""; ""color"",""chartreuse""; ""ymin"", 0; ""ymax"", 1.01; ""highcolo"&amp;"r"", ""darkgreen""; ""lowcolor"", ""red""}), """")"),"")</f>
        <v/>
      </c>
      <c r="B148" s="17" t="str">
        <f t="shared" si="4"/>
        <v/>
      </c>
      <c r="C148" s="1" t="s">
        <v>2022</v>
      </c>
      <c r="D148" s="30" t="str">
        <f>IFERROR(__xludf.DUMMYFUNCTION("IFERROR(GOOGLEFINANCE(C148, ""NAME""))"),"Organogenesis Holdings Inc")</f>
        <v>Organogenesis Holdings Inc</v>
      </c>
      <c r="E148" s="30" t="s">
        <v>1475</v>
      </c>
      <c r="F148" s="33" t="str">
        <f>IFERROR(__xludf.DUMMYFUNCTION("( (GOOGLEFINANCE(C148, ""price"") - Q148) / Q148 ) / (R148 / 100)"),"Loading...")</f>
        <v>Loading...</v>
      </c>
      <c r="G148" s="20" t="str">
        <f>IFERROR(__xludf.DUMMYFUNCTION("AVERAGE(ARRAYFORMULA(100 * (QUERY(GOOGLEFINANCE(C148, ""high"", TODAY()-40, TODAY()), ""SELECT Col2 WHERE Col2 IS NOT NULL ORDER BY Col1 DESC LIMIT 20"", 0) / QUERY(GOOGLEFINANCE(C148, ""low"", TODAY()-40, TODAY()), ""SELECT Col2 WHERE Col2 IS NOT NULL OR"&amp;"DER BY Col1 DESC LIMIT 20"", 0) - 1)))"),"#N/A")</f>
        <v>#N/A</v>
      </c>
      <c r="H148" s="35" t="str">
        <f t="shared" si="118"/>
        <v/>
      </c>
      <c r="I148" s="36" t="str">
        <f t="shared" si="7"/>
        <v/>
      </c>
      <c r="J148" s="37" t="str">
        <f>IFERROR(__xludf.DUMMYFUNCTION("IFERROR(
  IF(C148="""",, 
    IFERROR(
      GOOGLEFINANCE(C148, ""price"") * GOOGLEFINANCE(C148, ""volumeavg""), 
      GOOGLEFINANCE(C148, ""price"") * AVERAGE(QUERY(GOOGLEFINANCE(C148, ""volume"", TODAY()-40, TODAY()), ""SELECT Col2 WHERE Col2 IS NOT "&amp;"NULL ORDER BY Col1 DESC LIMIT 20"", 0))
    )
  ), 
"""")"),"")</f>
        <v/>
      </c>
      <c r="K148" s="21" t="str">
        <f>IFERROR(__xludf.DUMMYFUNCTION("IFERROR(GOOGLEFINANCE(C148, ""changepct"") / 100, """")"),"")</f>
        <v/>
      </c>
      <c r="L148" s="21" t="str">
        <f>IFERROR(__xludf.DUMMYFUNCTION("IFERROR((GOOGLEFINANCE(C148, ""price"") / INDEX(GOOGLEFINANCE(C148, ""price"", TODAY()-7, TODAY()), 2, 2)) - 1, """")"),"")</f>
        <v/>
      </c>
      <c r="M148" s="21" t="str">
        <f>IFERROR(__xludf.DUMMYFUNCTION("IFERROR((GOOGLEFINANCE(C148, ""price"") / INDEX(GOOGLEFINANCE(C148, ""price"", EDATE(TODAY(), -1), TODAY()), 2, 2)) - 1, """")"),"")</f>
        <v/>
      </c>
      <c r="N148" s="21" t="str">
        <f>IFERROR(__xludf.DUMMYFUNCTION("IFERROR((GOOGLEFINANCE(C148, ""price"") / INDEX(GOOGLEFINANCE(C148, ""price"", EDATE(TODAY(), -3), TODAY()), 2, 2)) - 1, """")"),"")</f>
        <v/>
      </c>
      <c r="O148" s="21" t="str">
        <f>IFERROR(__xludf.DUMMYFUNCTION("IFERROR((GOOGLEFINANCE(C148, ""price"") / INDEX(GOOGLEFINANCE(C148, ""price"", EDATE(TODAY(), -6), TODAY()), 2, 2)) - 1, """")"),"")</f>
        <v/>
      </c>
      <c r="P148" s="21" t="str">
        <f>IFERROR(__xludf.DUMMYFUNCTION("IFERROR((GOOGLEFINANCE(C148, ""price"") / INDEX(GOOGLEFINANCE(C148, ""price"", EDATE(TODAY(), -12), TODAY()), 2, 2)) - 1, """")"),"")</f>
        <v/>
      </c>
      <c r="Q148" s="6" t="str">
        <f>IFERROR(__xludf.DUMMYFUNCTION("AVERAGE(QUERY(GOOGLEFINANCE(C148, ""price"", TODAY()-80, TODAY()), ""SELECT Col2 WHERE Col2 IS NOT NULL ORDER BY Col1 DESC LIMIT 50"", 0))"),"#N/A")</f>
        <v>#N/A</v>
      </c>
      <c r="R148" s="24" t="str">
        <f>IFERROR(__xludf.DUMMYFUNCTION("IFERROR(
  LET(
    data, QUERY(GOOGLEFINANCE(C148,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GOOGLEFINANCE(C148, ""price"")) * 100,
    IF(calc=0, G148, calc)
  ), 
G148)"),"#N/A")</f>
        <v>#N/A</v>
      </c>
      <c r="S148" s="8" t="s">
        <v>15</v>
      </c>
      <c r="T148" s="26" t="str">
        <f>IFERROR(__xludf.DUMMYFUNCTION("IFERROR(TRANSPOSE(QUERY(IFERROR(SORT(GOOGLEFINANCE(C148, ""price"", WORKDAY(TODAY(), -40), TODAY()), 1, FALSE)), ""select Col2 where Col2 is not null limit 22 label Col2 ''"", 0)), """")"),"")</f>
        <v/>
      </c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8"/>
      <c r="AO148" s="28"/>
      <c r="AP148" s="29"/>
      <c r="AQ148" s="29" t="str">
        <f t="shared" ref="AQ148:BL148" si="152">T148/T$2</f>
        <v>#N/A</v>
      </c>
      <c r="AR148" s="29" t="str">
        <f t="shared" si="152"/>
        <v>#DIV/0!</v>
      </c>
      <c r="AS148" s="29" t="str">
        <f t="shared" si="152"/>
        <v>#DIV/0!</v>
      </c>
      <c r="AT148" s="29" t="str">
        <f t="shared" si="152"/>
        <v>#DIV/0!</v>
      </c>
      <c r="AU148" s="29" t="str">
        <f t="shared" si="152"/>
        <v>#DIV/0!</v>
      </c>
      <c r="AV148" s="29" t="str">
        <f t="shared" si="152"/>
        <v>#DIV/0!</v>
      </c>
      <c r="AW148" s="29" t="str">
        <f t="shared" si="152"/>
        <v>#DIV/0!</v>
      </c>
      <c r="AX148" s="29" t="str">
        <f t="shared" si="152"/>
        <v>#DIV/0!</v>
      </c>
      <c r="AY148" s="29" t="str">
        <f t="shared" si="152"/>
        <v>#DIV/0!</v>
      </c>
      <c r="AZ148" s="29" t="str">
        <f t="shared" si="152"/>
        <v>#DIV/0!</v>
      </c>
      <c r="BA148" s="29" t="str">
        <f t="shared" si="152"/>
        <v>#DIV/0!</v>
      </c>
      <c r="BB148" s="29" t="str">
        <f t="shared" si="152"/>
        <v>#DIV/0!</v>
      </c>
      <c r="BC148" s="29" t="str">
        <f t="shared" si="152"/>
        <v>#DIV/0!</v>
      </c>
      <c r="BD148" s="29" t="str">
        <f t="shared" si="152"/>
        <v>#DIV/0!</v>
      </c>
      <c r="BE148" s="29" t="str">
        <f t="shared" si="152"/>
        <v>#DIV/0!</v>
      </c>
      <c r="BF148" s="29" t="str">
        <f t="shared" si="152"/>
        <v>#DIV/0!</v>
      </c>
      <c r="BG148" s="29" t="str">
        <f t="shared" si="152"/>
        <v>#DIV/0!</v>
      </c>
      <c r="BH148" s="29" t="str">
        <f t="shared" si="152"/>
        <v>#DIV/0!</v>
      </c>
      <c r="BI148" s="29" t="str">
        <f t="shared" si="152"/>
        <v>#DIV/0!</v>
      </c>
      <c r="BJ148" s="29" t="str">
        <f t="shared" si="152"/>
        <v>#DIV/0!</v>
      </c>
      <c r="BK148" s="29" t="str">
        <f t="shared" si="152"/>
        <v>#DIV/0!</v>
      </c>
      <c r="BL148" s="29" t="str">
        <f t="shared" si="152"/>
        <v>#DIV/0!</v>
      </c>
      <c r="BM148" s="29" t="str">
        <f t="shared" si="3"/>
        <v>#DIV/0!</v>
      </c>
    </row>
    <row r="149">
      <c r="A149" s="16" t="str">
        <f>IFERROR(__xludf.DUMMYFUNCTION("IFERROR(SPARKLINE(SORT(MAP(TRANSPOSE(AQ149:BL149), LAMBDA(val, IF(ISNUMBER(val), PERCENTRANK(AQ149:BL149, val)+0.01, 0))), SEQUENCE(COLUMNS(AQ149:BL149)), FALSE), {""charttype"",""column""; ""color"",""chartreuse""; ""ymin"", 0; ""ymax"", 1.01; ""highcolo"&amp;"r"", ""darkgreen""; ""lowcolor"", ""red""}), """")"),"")</f>
        <v/>
      </c>
      <c r="B149" s="17" t="str">
        <f t="shared" si="4"/>
        <v/>
      </c>
      <c r="C149" s="1" t="s">
        <v>2026</v>
      </c>
      <c r="D149" s="30" t="str">
        <f>IFERROR(__xludf.DUMMYFUNCTION("IFERROR(GOOGLEFINANCE(C149, ""NAME""))"),"Novartis AG")</f>
        <v>Novartis AG</v>
      </c>
      <c r="E149" s="30" t="s">
        <v>1509</v>
      </c>
      <c r="F149" s="38" t="str">
        <f>IFERROR(__xludf.DUMMYFUNCTION("( (GOOGLEFINANCE(C149, ""price"") - Q149) / Q149 ) / (R149 / 100)"),"Loading...")</f>
        <v>Loading...</v>
      </c>
      <c r="G149" s="20" t="str">
        <f>IFERROR(__xludf.DUMMYFUNCTION("AVERAGE(ARRAYFORMULA(100 * (QUERY(GOOGLEFINANCE(C149, ""high"", TODAY()-40, TODAY()), ""SELECT Col2 WHERE Col2 IS NOT NULL ORDER BY Col1 DESC LIMIT 20"", 0) / QUERY(GOOGLEFINANCE(C149, ""low"", TODAY()-40, TODAY()), ""SELECT Col2 WHERE Col2 IS NOT NULL OR"&amp;"DER BY Col1 DESC LIMIT 20"", 0) - 1)))"),"#N/A")</f>
        <v>#N/A</v>
      </c>
      <c r="H149" s="35" t="str">
        <f t="shared" si="118"/>
        <v/>
      </c>
      <c r="I149" s="36" t="str">
        <f t="shared" si="7"/>
        <v/>
      </c>
      <c r="J149" s="37" t="str">
        <f>IFERROR(__xludf.DUMMYFUNCTION("IFERROR(
  IF(C149="""",, 
    IFERROR(
      GOOGLEFINANCE(C149, ""price"") * GOOGLEFINANCE(C149, ""volumeavg""), 
      GOOGLEFINANCE(C149, ""price"") * AVERAGE(QUERY(GOOGLEFINANCE(C149, ""volume"", TODAY()-40, TODAY()), ""SELECT Col2 WHERE Col2 IS NOT "&amp;"NULL ORDER BY Col1 DESC LIMIT 20"", 0))
    )
  ), 
"""")"),"")</f>
        <v/>
      </c>
      <c r="K149" s="21" t="str">
        <f>IFERROR(__xludf.DUMMYFUNCTION("IFERROR(GOOGLEFINANCE(C149, ""changepct"") / 100, """")"),"")</f>
        <v/>
      </c>
      <c r="L149" s="21" t="str">
        <f>IFERROR(__xludf.DUMMYFUNCTION("IFERROR((GOOGLEFINANCE(C149, ""price"") / INDEX(GOOGLEFINANCE(C149, ""price"", TODAY()-7, TODAY()), 2, 2)) - 1, """")"),"")</f>
        <v/>
      </c>
      <c r="M149" s="21" t="str">
        <f>IFERROR(__xludf.DUMMYFUNCTION("IFERROR((GOOGLEFINANCE(C149, ""price"") / INDEX(GOOGLEFINANCE(C149, ""price"", EDATE(TODAY(), -1), TODAY()), 2, 2)) - 1, """")"),"")</f>
        <v/>
      </c>
      <c r="N149" s="21" t="str">
        <f>IFERROR(__xludf.DUMMYFUNCTION("IFERROR((GOOGLEFINANCE(C149, ""price"") / INDEX(GOOGLEFINANCE(C149, ""price"", EDATE(TODAY(), -3), TODAY()), 2, 2)) - 1, """")"),"")</f>
        <v/>
      </c>
      <c r="O149" s="21" t="str">
        <f>IFERROR(__xludf.DUMMYFUNCTION("IFERROR((GOOGLEFINANCE(C149, ""price"") / INDEX(GOOGLEFINANCE(C149, ""price"", EDATE(TODAY(), -6), TODAY()), 2, 2)) - 1, """")"),"")</f>
        <v/>
      </c>
      <c r="P149" s="21" t="str">
        <f>IFERROR(__xludf.DUMMYFUNCTION("IFERROR((GOOGLEFINANCE(C149, ""price"") / INDEX(GOOGLEFINANCE(C149, ""price"", EDATE(TODAY(), -12), TODAY()), 2, 2)) - 1, """")"),"")</f>
        <v/>
      </c>
      <c r="Q149" s="6" t="str">
        <f>IFERROR(__xludf.DUMMYFUNCTION("AVERAGE(QUERY(GOOGLEFINANCE(C149, ""price"", TODAY()-80, TODAY()), ""SELECT Col2 WHERE Col2 IS NOT NULL ORDER BY Col1 DESC LIMIT 50"", 0))"),"#N/A")</f>
        <v>#N/A</v>
      </c>
      <c r="R149" s="24" t="str">
        <f>IFERROR(__xludf.DUMMYFUNCTION("IFERROR(
  LET(
    data, QUERY(GOOGLEFINANCE(C149,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GOOGLEFINANCE(C149, ""price"")) * 100,
    IF(calc=0, G149, calc)
  ), 
G149)"),"#N/A")</f>
        <v>#N/A</v>
      </c>
      <c r="S149" s="8" t="s">
        <v>15</v>
      </c>
      <c r="T149" s="26" t="str">
        <f>IFERROR(__xludf.DUMMYFUNCTION("IFERROR(TRANSPOSE(QUERY(IFERROR(SORT(GOOGLEFINANCE(C149, ""price"", WORKDAY(TODAY(), -40), TODAY()), 1, FALSE)), ""select Col2 where Col2 is not null limit 22 label Col2 ''"", 0)), """")"),"")</f>
        <v/>
      </c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8"/>
      <c r="AO149" s="28"/>
      <c r="AP149" s="29"/>
      <c r="AQ149" s="29" t="str">
        <f t="shared" ref="AQ149:BL149" si="153">T149/T$2</f>
        <v>#N/A</v>
      </c>
      <c r="AR149" s="29" t="str">
        <f t="shared" si="153"/>
        <v>#DIV/0!</v>
      </c>
      <c r="AS149" s="29" t="str">
        <f t="shared" si="153"/>
        <v>#DIV/0!</v>
      </c>
      <c r="AT149" s="29" t="str">
        <f t="shared" si="153"/>
        <v>#DIV/0!</v>
      </c>
      <c r="AU149" s="29" t="str">
        <f t="shared" si="153"/>
        <v>#DIV/0!</v>
      </c>
      <c r="AV149" s="29" t="str">
        <f t="shared" si="153"/>
        <v>#DIV/0!</v>
      </c>
      <c r="AW149" s="29" t="str">
        <f t="shared" si="153"/>
        <v>#DIV/0!</v>
      </c>
      <c r="AX149" s="29" t="str">
        <f t="shared" si="153"/>
        <v>#DIV/0!</v>
      </c>
      <c r="AY149" s="29" t="str">
        <f t="shared" si="153"/>
        <v>#DIV/0!</v>
      </c>
      <c r="AZ149" s="29" t="str">
        <f t="shared" si="153"/>
        <v>#DIV/0!</v>
      </c>
      <c r="BA149" s="29" t="str">
        <f t="shared" si="153"/>
        <v>#DIV/0!</v>
      </c>
      <c r="BB149" s="29" t="str">
        <f t="shared" si="153"/>
        <v>#DIV/0!</v>
      </c>
      <c r="BC149" s="29" t="str">
        <f t="shared" si="153"/>
        <v>#DIV/0!</v>
      </c>
      <c r="BD149" s="29" t="str">
        <f t="shared" si="153"/>
        <v>#DIV/0!</v>
      </c>
      <c r="BE149" s="29" t="str">
        <f t="shared" si="153"/>
        <v>#DIV/0!</v>
      </c>
      <c r="BF149" s="29" t="str">
        <f t="shared" si="153"/>
        <v>#DIV/0!</v>
      </c>
      <c r="BG149" s="29" t="str">
        <f t="shared" si="153"/>
        <v>#DIV/0!</v>
      </c>
      <c r="BH149" s="29" t="str">
        <f t="shared" si="153"/>
        <v>#DIV/0!</v>
      </c>
      <c r="BI149" s="29" t="str">
        <f t="shared" si="153"/>
        <v>#DIV/0!</v>
      </c>
      <c r="BJ149" s="29" t="str">
        <f t="shared" si="153"/>
        <v>#DIV/0!</v>
      </c>
      <c r="BK149" s="29" t="str">
        <f t="shared" si="153"/>
        <v>#DIV/0!</v>
      </c>
      <c r="BL149" s="29" t="str">
        <f t="shared" si="153"/>
        <v>#DIV/0!</v>
      </c>
      <c r="BM149" s="29" t="str">
        <f t="shared" si="3"/>
        <v>#DIV/0!</v>
      </c>
    </row>
    <row r="150">
      <c r="A150" s="16" t="str">
        <f>IFERROR(__xludf.DUMMYFUNCTION("IFERROR(SPARKLINE(SORT(MAP(TRANSPOSE(AQ150:BL150), LAMBDA(val, IF(ISNUMBER(val), PERCENTRANK(AQ150:BL150, val)+0.01, 0))), SEQUENCE(COLUMNS(AQ150:BL150)), FALSE), {""charttype"",""column""; ""color"",""chartreuse""; ""ymin"", 0; ""ymax"", 1.01; ""highcolo"&amp;"r"", ""darkgreen""; ""lowcolor"", ""red""}), """")"),"")</f>
        <v/>
      </c>
      <c r="B150" s="17" t="str">
        <f t="shared" si="4"/>
        <v/>
      </c>
      <c r="C150" s="1" t="s">
        <v>2028</v>
      </c>
      <c r="D150" s="30" t="str">
        <f>IFERROR(__xludf.DUMMYFUNCTION("IFERROR(GOOGLEFINANCE(C150, ""NAME""))"),"US Physical Therapy Inc")</f>
        <v>US Physical Therapy Inc</v>
      </c>
      <c r="E150" s="30" t="s">
        <v>1513</v>
      </c>
      <c r="F150" s="33" t="str">
        <f>IFERROR(__xludf.DUMMYFUNCTION("( (GOOGLEFINANCE(C150, ""price"") - Q150) / Q150 ) / (R150 / 100)"),"Loading...")</f>
        <v>Loading...</v>
      </c>
      <c r="G150" s="20" t="str">
        <f>IFERROR(__xludf.DUMMYFUNCTION("AVERAGE(ARRAYFORMULA(100 * (QUERY(GOOGLEFINANCE(C150, ""high"", TODAY()-40, TODAY()), ""SELECT Col2 WHERE Col2 IS NOT NULL ORDER BY Col1 DESC LIMIT 20"", 0) / QUERY(GOOGLEFINANCE(C150, ""low"", TODAY()-40, TODAY()), ""SELECT Col2 WHERE Col2 IS NOT NULL OR"&amp;"DER BY Col1 DESC LIMIT 20"", 0) - 1)))"),"#N/A")</f>
        <v>#N/A</v>
      </c>
      <c r="H150" s="35" t="str">
        <f t="shared" si="118"/>
        <v/>
      </c>
      <c r="I150" s="36" t="str">
        <f t="shared" si="7"/>
        <v/>
      </c>
      <c r="J150" s="37" t="str">
        <f>IFERROR(__xludf.DUMMYFUNCTION("IFERROR(
  IF(C150="""",, 
    IFERROR(
      GOOGLEFINANCE(C150, ""price"") * GOOGLEFINANCE(C150, ""volumeavg""), 
      GOOGLEFINANCE(C150, ""price"") * AVERAGE(QUERY(GOOGLEFINANCE(C150, ""volume"", TODAY()-40, TODAY()), ""SELECT Col2 WHERE Col2 IS NOT "&amp;"NULL ORDER BY Col1 DESC LIMIT 20"", 0))
    )
  ), 
"""")"),"")</f>
        <v/>
      </c>
      <c r="K150" s="21" t="str">
        <f>IFERROR(__xludf.DUMMYFUNCTION("IFERROR(GOOGLEFINANCE(C150, ""changepct"") / 100, """")"),"")</f>
        <v/>
      </c>
      <c r="L150" s="21" t="str">
        <f>IFERROR(__xludf.DUMMYFUNCTION("IFERROR((GOOGLEFINANCE(C150, ""price"") / INDEX(GOOGLEFINANCE(C150, ""price"", TODAY()-7, TODAY()), 2, 2)) - 1, """")"),"")</f>
        <v/>
      </c>
      <c r="M150" s="21" t="str">
        <f>IFERROR(__xludf.DUMMYFUNCTION("IFERROR((GOOGLEFINANCE(C150, ""price"") / INDEX(GOOGLEFINANCE(C150, ""price"", EDATE(TODAY(), -1), TODAY()), 2, 2)) - 1, """")"),"")</f>
        <v/>
      </c>
      <c r="N150" s="21" t="str">
        <f>IFERROR(__xludf.DUMMYFUNCTION("IFERROR((GOOGLEFINANCE(C150, ""price"") / INDEX(GOOGLEFINANCE(C150, ""price"", EDATE(TODAY(), -3), TODAY()), 2, 2)) - 1, """")"),"")</f>
        <v/>
      </c>
      <c r="O150" s="21" t="str">
        <f>IFERROR(__xludf.DUMMYFUNCTION("IFERROR((GOOGLEFINANCE(C150, ""price"") / INDEX(GOOGLEFINANCE(C150, ""price"", EDATE(TODAY(), -6), TODAY()), 2, 2)) - 1, """")"),"")</f>
        <v/>
      </c>
      <c r="P150" s="21" t="str">
        <f>IFERROR(__xludf.DUMMYFUNCTION("IFERROR((GOOGLEFINANCE(C150, ""price"") / INDEX(GOOGLEFINANCE(C150, ""price"", EDATE(TODAY(), -12), TODAY()), 2, 2)) - 1, """")"),"")</f>
        <v/>
      </c>
      <c r="Q150" s="6" t="str">
        <f>IFERROR(__xludf.DUMMYFUNCTION("AVERAGE(QUERY(GOOGLEFINANCE(C150, ""price"", TODAY()-80, TODAY()), ""SELECT Col2 WHERE Col2 IS NOT NULL ORDER BY Col1 DESC LIMIT 50"", 0))"),"#N/A")</f>
        <v>#N/A</v>
      </c>
      <c r="R150" s="24" t="str">
        <f>IFERROR(__xludf.DUMMYFUNCTION("IFERROR(
  LET(
    data, QUERY(GOOGLEFINANCE(C150,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GOOGLEFINANCE(C150, ""price"")) * 100,
    IF(calc=0, G150, calc)
  ), 
G150)"),"#N/A")</f>
        <v>#N/A</v>
      </c>
      <c r="S150" s="8" t="s">
        <v>15</v>
      </c>
      <c r="T150" s="26" t="str">
        <f>IFERROR(__xludf.DUMMYFUNCTION("IFERROR(TRANSPOSE(QUERY(IFERROR(SORT(GOOGLEFINANCE(C150, ""price"", WORKDAY(TODAY(), -40), TODAY()), 1, FALSE)), ""select Col2 where Col2 is not null limit 22 label Col2 ''"", 0)), """")"),"")</f>
        <v/>
      </c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8"/>
      <c r="AO150" s="28"/>
      <c r="AP150" s="29"/>
      <c r="AQ150" s="29" t="str">
        <f t="shared" ref="AQ150:BL150" si="154">T150/T$2</f>
        <v>#N/A</v>
      </c>
      <c r="AR150" s="29" t="str">
        <f t="shared" si="154"/>
        <v>#DIV/0!</v>
      </c>
      <c r="AS150" s="29" t="str">
        <f t="shared" si="154"/>
        <v>#DIV/0!</v>
      </c>
      <c r="AT150" s="29" t="str">
        <f t="shared" si="154"/>
        <v>#DIV/0!</v>
      </c>
      <c r="AU150" s="29" t="str">
        <f t="shared" si="154"/>
        <v>#DIV/0!</v>
      </c>
      <c r="AV150" s="29" t="str">
        <f t="shared" si="154"/>
        <v>#DIV/0!</v>
      </c>
      <c r="AW150" s="29" t="str">
        <f t="shared" si="154"/>
        <v>#DIV/0!</v>
      </c>
      <c r="AX150" s="29" t="str">
        <f t="shared" si="154"/>
        <v>#DIV/0!</v>
      </c>
      <c r="AY150" s="29" t="str">
        <f t="shared" si="154"/>
        <v>#DIV/0!</v>
      </c>
      <c r="AZ150" s="29" t="str">
        <f t="shared" si="154"/>
        <v>#DIV/0!</v>
      </c>
      <c r="BA150" s="29" t="str">
        <f t="shared" si="154"/>
        <v>#DIV/0!</v>
      </c>
      <c r="BB150" s="29" t="str">
        <f t="shared" si="154"/>
        <v>#DIV/0!</v>
      </c>
      <c r="BC150" s="29" t="str">
        <f t="shared" si="154"/>
        <v>#DIV/0!</v>
      </c>
      <c r="BD150" s="29" t="str">
        <f t="shared" si="154"/>
        <v>#DIV/0!</v>
      </c>
      <c r="BE150" s="29" t="str">
        <f t="shared" si="154"/>
        <v>#DIV/0!</v>
      </c>
      <c r="BF150" s="29" t="str">
        <f t="shared" si="154"/>
        <v>#DIV/0!</v>
      </c>
      <c r="BG150" s="29" t="str">
        <f t="shared" si="154"/>
        <v>#DIV/0!</v>
      </c>
      <c r="BH150" s="29" t="str">
        <f t="shared" si="154"/>
        <v>#DIV/0!</v>
      </c>
      <c r="BI150" s="29" t="str">
        <f t="shared" si="154"/>
        <v>#DIV/0!</v>
      </c>
      <c r="BJ150" s="29" t="str">
        <f t="shared" si="154"/>
        <v>#DIV/0!</v>
      </c>
      <c r="BK150" s="29" t="str">
        <f t="shared" si="154"/>
        <v>#DIV/0!</v>
      </c>
      <c r="BL150" s="29" t="str">
        <f t="shared" si="154"/>
        <v>#DIV/0!</v>
      </c>
      <c r="BM150" s="29" t="str">
        <f t="shared" si="3"/>
        <v>#DIV/0!</v>
      </c>
    </row>
    <row r="151">
      <c r="A151" s="16" t="str">
        <f>IFERROR(__xludf.DUMMYFUNCTION("IFERROR(SPARKLINE(SORT(MAP(TRANSPOSE(AQ151:BL151), LAMBDA(val, IF(ISNUMBER(val), PERCENTRANK(AQ151:BL151, val)+0.01, 0))), SEQUENCE(COLUMNS(AQ151:BL151)), FALSE), {""charttype"",""column""; ""color"",""chartreuse""; ""ymin"", 0; ""ymax"", 1.01; ""highcolo"&amp;"r"", ""darkgreen""; ""lowcolor"", ""red""}), """")"),"")</f>
        <v/>
      </c>
      <c r="B151" s="17" t="str">
        <f t="shared" si="4"/>
        <v/>
      </c>
      <c r="C151" s="1" t="s">
        <v>2032</v>
      </c>
      <c r="D151" s="30" t="str">
        <f>IFERROR(__xludf.DUMMYFUNCTION("IFERROR(GOOGLEFINANCE(C151, ""NAME""))"),"Merck &amp; Co Inc")</f>
        <v>Merck &amp; Co Inc</v>
      </c>
      <c r="E151" s="30" t="s">
        <v>1509</v>
      </c>
      <c r="F151" s="33" t="str">
        <f>IFERROR(__xludf.DUMMYFUNCTION("( (GOOGLEFINANCE(C151, ""price"") - Q151) / Q151 ) / (R151 / 100)"),"Loading...")</f>
        <v>Loading...</v>
      </c>
      <c r="G151" s="20" t="str">
        <f>IFERROR(__xludf.DUMMYFUNCTION("AVERAGE(ARRAYFORMULA(100 * (QUERY(GOOGLEFINANCE(C151, ""high"", TODAY()-40, TODAY()), ""SELECT Col2 WHERE Col2 IS NOT NULL ORDER BY Col1 DESC LIMIT 20"", 0) / QUERY(GOOGLEFINANCE(C151, ""low"", TODAY()-40, TODAY()), ""SELECT Col2 WHERE Col2 IS NOT NULL OR"&amp;"DER BY Col1 DESC LIMIT 20"", 0) - 1)))"),"#N/A")</f>
        <v>#N/A</v>
      </c>
      <c r="H151" s="35" t="str">
        <f t="shared" si="118"/>
        <v/>
      </c>
      <c r="I151" s="36" t="str">
        <f t="shared" si="7"/>
        <v/>
      </c>
      <c r="J151" s="37" t="str">
        <f>IFERROR(__xludf.DUMMYFUNCTION("IFERROR(
  IF(C151="""",, 
    IFERROR(
      GOOGLEFINANCE(C151, ""price"") * GOOGLEFINANCE(C151, ""volumeavg""), 
      GOOGLEFINANCE(C151, ""price"") * AVERAGE(QUERY(GOOGLEFINANCE(C151, ""volume"", TODAY()-40, TODAY()), ""SELECT Col2 WHERE Col2 IS NOT "&amp;"NULL ORDER BY Col1 DESC LIMIT 20"", 0))
    )
  ), 
"""")"),"")</f>
        <v/>
      </c>
      <c r="K151" s="21" t="str">
        <f>IFERROR(__xludf.DUMMYFUNCTION("IFERROR(GOOGLEFINANCE(C151, ""changepct"") / 100, """")"),"")</f>
        <v/>
      </c>
      <c r="L151" s="21" t="str">
        <f>IFERROR(__xludf.DUMMYFUNCTION("IFERROR((GOOGLEFINANCE(C151, ""price"") / INDEX(GOOGLEFINANCE(C151, ""price"", TODAY()-7, TODAY()), 2, 2)) - 1, """")"),"")</f>
        <v/>
      </c>
      <c r="M151" s="21" t="str">
        <f>IFERROR(__xludf.DUMMYFUNCTION("IFERROR((GOOGLEFINANCE(C151, ""price"") / INDEX(GOOGLEFINANCE(C151, ""price"", EDATE(TODAY(), -1), TODAY()), 2, 2)) - 1, """")"),"")</f>
        <v/>
      </c>
      <c r="N151" s="21" t="str">
        <f>IFERROR(__xludf.DUMMYFUNCTION("IFERROR((GOOGLEFINANCE(C151, ""price"") / INDEX(GOOGLEFINANCE(C151, ""price"", EDATE(TODAY(), -3), TODAY()), 2, 2)) - 1, """")"),"")</f>
        <v/>
      </c>
      <c r="O151" s="21" t="str">
        <f>IFERROR(__xludf.DUMMYFUNCTION("IFERROR((GOOGLEFINANCE(C151, ""price"") / INDEX(GOOGLEFINANCE(C151, ""price"", EDATE(TODAY(), -6), TODAY()), 2, 2)) - 1, """")"),"")</f>
        <v/>
      </c>
      <c r="P151" s="21" t="str">
        <f>IFERROR(__xludf.DUMMYFUNCTION("IFERROR((GOOGLEFINANCE(C151, ""price"") / INDEX(GOOGLEFINANCE(C151, ""price"", EDATE(TODAY(), -12), TODAY()), 2, 2)) - 1, """")"),"")</f>
        <v/>
      </c>
      <c r="Q151" s="6" t="str">
        <f>IFERROR(__xludf.DUMMYFUNCTION("AVERAGE(QUERY(GOOGLEFINANCE(C151, ""price"", TODAY()-80, TODAY()), ""SELECT Col2 WHERE Col2 IS NOT NULL ORDER BY Col1 DESC LIMIT 50"", 0))"),"#N/A")</f>
        <v>#N/A</v>
      </c>
      <c r="R151" s="24" t="str">
        <f>IFERROR(__xludf.DUMMYFUNCTION("IFERROR(
  LET(
    data, QUERY(GOOGLEFINANCE(C151,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GOOGLEFINANCE(C151, ""price"")) * 100,
    IF(calc=0, G151, calc)
  ), 
G151)"),"#N/A")</f>
        <v>#N/A</v>
      </c>
      <c r="S151" s="8" t="s">
        <v>15</v>
      </c>
      <c r="T151" s="26" t="str">
        <f>IFERROR(__xludf.DUMMYFUNCTION("IFERROR(TRANSPOSE(QUERY(IFERROR(SORT(GOOGLEFINANCE(C151, ""price"", WORKDAY(TODAY(), -40), TODAY()), 1, FALSE)), ""select Col2 where Col2 is not null limit 22 label Col2 ''"", 0)), """")"),"")</f>
        <v/>
      </c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8"/>
      <c r="AO151" s="28"/>
      <c r="AP151" s="29"/>
      <c r="AQ151" s="29" t="str">
        <f t="shared" ref="AQ151:BL151" si="155">T151/T$2</f>
        <v>#N/A</v>
      </c>
      <c r="AR151" s="29" t="str">
        <f t="shared" si="155"/>
        <v>#DIV/0!</v>
      </c>
      <c r="AS151" s="29" t="str">
        <f t="shared" si="155"/>
        <v>#DIV/0!</v>
      </c>
      <c r="AT151" s="29" t="str">
        <f t="shared" si="155"/>
        <v>#DIV/0!</v>
      </c>
      <c r="AU151" s="29" t="str">
        <f t="shared" si="155"/>
        <v>#DIV/0!</v>
      </c>
      <c r="AV151" s="29" t="str">
        <f t="shared" si="155"/>
        <v>#DIV/0!</v>
      </c>
      <c r="AW151" s="29" t="str">
        <f t="shared" si="155"/>
        <v>#DIV/0!</v>
      </c>
      <c r="AX151" s="29" t="str">
        <f t="shared" si="155"/>
        <v>#DIV/0!</v>
      </c>
      <c r="AY151" s="29" t="str">
        <f t="shared" si="155"/>
        <v>#DIV/0!</v>
      </c>
      <c r="AZ151" s="29" t="str">
        <f t="shared" si="155"/>
        <v>#DIV/0!</v>
      </c>
      <c r="BA151" s="29" t="str">
        <f t="shared" si="155"/>
        <v>#DIV/0!</v>
      </c>
      <c r="BB151" s="29" t="str">
        <f t="shared" si="155"/>
        <v>#DIV/0!</v>
      </c>
      <c r="BC151" s="29" t="str">
        <f t="shared" si="155"/>
        <v>#DIV/0!</v>
      </c>
      <c r="BD151" s="29" t="str">
        <f t="shared" si="155"/>
        <v>#DIV/0!</v>
      </c>
      <c r="BE151" s="29" t="str">
        <f t="shared" si="155"/>
        <v>#DIV/0!</v>
      </c>
      <c r="BF151" s="29" t="str">
        <f t="shared" si="155"/>
        <v>#DIV/0!</v>
      </c>
      <c r="BG151" s="29" t="str">
        <f t="shared" si="155"/>
        <v>#DIV/0!</v>
      </c>
      <c r="BH151" s="29" t="str">
        <f t="shared" si="155"/>
        <v>#DIV/0!</v>
      </c>
      <c r="BI151" s="29" t="str">
        <f t="shared" si="155"/>
        <v>#DIV/0!</v>
      </c>
      <c r="BJ151" s="29" t="str">
        <f t="shared" si="155"/>
        <v>#DIV/0!</v>
      </c>
      <c r="BK151" s="29" t="str">
        <f t="shared" si="155"/>
        <v>#DIV/0!</v>
      </c>
      <c r="BL151" s="29" t="str">
        <f t="shared" si="155"/>
        <v>#DIV/0!</v>
      </c>
      <c r="BM151" s="29" t="str">
        <f t="shared" si="3"/>
        <v>#DIV/0!</v>
      </c>
    </row>
    <row r="152">
      <c r="A152" s="16" t="str">
        <f>IFERROR(__xludf.DUMMYFUNCTION("IFERROR(SPARKLINE(SORT(MAP(TRANSPOSE(AQ152:BL152), LAMBDA(val, IF(ISNUMBER(val), PERCENTRANK(AQ152:BL152, val)+0.01, 0))), SEQUENCE(COLUMNS(AQ152:BL152)), FALSE), {""charttype"",""column""; ""color"",""chartreuse""; ""ymin"", 0; ""ymax"", 1.01; ""highcolo"&amp;"r"", ""darkgreen""; ""lowcolor"", ""red""}), """")"),"")</f>
        <v/>
      </c>
      <c r="B152" s="17" t="str">
        <f t="shared" si="4"/>
        <v/>
      </c>
      <c r="C152" s="1" t="s">
        <v>2035</v>
      </c>
      <c r="D152" s="30" t="str">
        <f>IFERROR(__xludf.DUMMYFUNCTION("IFERROR(GOOGLEFINANCE(C152, ""NAME""))"),"GSK plc")</f>
        <v>GSK plc</v>
      </c>
      <c r="E152" s="30" t="s">
        <v>1509</v>
      </c>
      <c r="F152" s="33" t="str">
        <f>IFERROR(__xludf.DUMMYFUNCTION("( (GOOGLEFINANCE(C152, ""price"") - Q152) / Q152 ) / (R152 / 100)"),"Loading...")</f>
        <v>Loading...</v>
      </c>
      <c r="G152" s="20" t="str">
        <f>IFERROR(__xludf.DUMMYFUNCTION("AVERAGE(ARRAYFORMULA(100 * (QUERY(GOOGLEFINANCE(C152, ""high"", TODAY()-40, TODAY()), ""SELECT Col2 WHERE Col2 IS NOT NULL ORDER BY Col1 DESC LIMIT 20"", 0) / QUERY(GOOGLEFINANCE(C152, ""low"", TODAY()-40, TODAY()), ""SELECT Col2 WHERE Col2 IS NOT NULL OR"&amp;"DER BY Col1 DESC LIMIT 20"", 0) - 1)))"),"#N/A")</f>
        <v>#N/A</v>
      </c>
      <c r="H152" s="35" t="str">
        <f t="shared" si="118"/>
        <v/>
      </c>
      <c r="I152" s="36" t="str">
        <f t="shared" si="7"/>
        <v/>
      </c>
      <c r="J152" s="37" t="str">
        <f>IFERROR(__xludf.DUMMYFUNCTION("IFERROR(
  IF(C152="""",, 
    IFERROR(
      GOOGLEFINANCE(C152, ""price"") * GOOGLEFINANCE(C152, ""volumeavg""), 
      GOOGLEFINANCE(C152, ""price"") * AVERAGE(QUERY(GOOGLEFINANCE(C152, ""volume"", TODAY()-40, TODAY()), ""SELECT Col2 WHERE Col2 IS NOT "&amp;"NULL ORDER BY Col1 DESC LIMIT 20"", 0))
    )
  ), 
"""")"),"")</f>
        <v/>
      </c>
      <c r="K152" s="21" t="str">
        <f>IFERROR(__xludf.DUMMYFUNCTION("IFERROR(GOOGLEFINANCE(C152, ""changepct"") / 100, """")"),"")</f>
        <v/>
      </c>
      <c r="L152" s="21" t="str">
        <f>IFERROR(__xludf.DUMMYFUNCTION("IFERROR((GOOGLEFINANCE(C152, ""price"") / INDEX(GOOGLEFINANCE(C152, ""price"", TODAY()-7, TODAY()), 2, 2)) - 1, """")"),"")</f>
        <v/>
      </c>
      <c r="M152" s="21" t="str">
        <f>IFERROR(__xludf.DUMMYFUNCTION("IFERROR((GOOGLEFINANCE(C152, ""price"") / INDEX(GOOGLEFINANCE(C152, ""price"", EDATE(TODAY(), -1), TODAY()), 2, 2)) - 1, """")"),"")</f>
        <v/>
      </c>
      <c r="N152" s="21" t="str">
        <f>IFERROR(__xludf.DUMMYFUNCTION("IFERROR((GOOGLEFINANCE(C152, ""price"") / INDEX(GOOGLEFINANCE(C152, ""price"", EDATE(TODAY(), -3), TODAY()), 2, 2)) - 1, """")"),"")</f>
        <v/>
      </c>
      <c r="O152" s="21" t="str">
        <f>IFERROR(__xludf.DUMMYFUNCTION("IFERROR((GOOGLEFINANCE(C152, ""price"") / INDEX(GOOGLEFINANCE(C152, ""price"", EDATE(TODAY(), -6), TODAY()), 2, 2)) - 1, """")"),"")</f>
        <v/>
      </c>
      <c r="P152" s="21" t="str">
        <f>IFERROR(__xludf.DUMMYFUNCTION("IFERROR((GOOGLEFINANCE(C152, ""price"") / INDEX(GOOGLEFINANCE(C152, ""price"", EDATE(TODAY(), -12), TODAY()), 2, 2)) - 1, """")"),"")</f>
        <v/>
      </c>
      <c r="Q152" s="6" t="str">
        <f>IFERROR(__xludf.DUMMYFUNCTION("AVERAGE(QUERY(GOOGLEFINANCE(C152, ""price"", TODAY()-80, TODAY()), ""SELECT Col2 WHERE Col2 IS NOT NULL ORDER BY Col1 DESC LIMIT 50"", 0))"),"#N/A")</f>
        <v>#N/A</v>
      </c>
      <c r="R152" s="24" t="str">
        <f>IFERROR(__xludf.DUMMYFUNCTION("IFERROR(
  LET(
    data, QUERY(GOOGLEFINANCE(C152,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GOOGLEFINANCE(C152, ""price"")) * 100,
    IF(calc=0, G152, calc)
  ), 
G152)"),"#N/A")</f>
        <v>#N/A</v>
      </c>
      <c r="S152" s="8" t="s">
        <v>15</v>
      </c>
      <c r="T152" s="26" t="str">
        <f>IFERROR(__xludf.DUMMYFUNCTION("IFERROR(TRANSPOSE(QUERY(IFERROR(SORT(GOOGLEFINANCE(C152, ""price"", WORKDAY(TODAY(), -40), TODAY()), 1, FALSE)), ""select Col2 where Col2 is not null limit 22 label Col2 ''"", 0)), """")"),"")</f>
        <v/>
      </c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8"/>
      <c r="AO152" s="28"/>
      <c r="AP152" s="29"/>
      <c r="AQ152" s="29" t="str">
        <f t="shared" ref="AQ152:BL152" si="156">T152/T$2</f>
        <v>#N/A</v>
      </c>
      <c r="AR152" s="29" t="str">
        <f t="shared" si="156"/>
        <v>#DIV/0!</v>
      </c>
      <c r="AS152" s="29" t="str">
        <f t="shared" si="156"/>
        <v>#DIV/0!</v>
      </c>
      <c r="AT152" s="29" t="str">
        <f t="shared" si="156"/>
        <v>#DIV/0!</v>
      </c>
      <c r="AU152" s="29" t="str">
        <f t="shared" si="156"/>
        <v>#DIV/0!</v>
      </c>
      <c r="AV152" s="29" t="str">
        <f t="shared" si="156"/>
        <v>#DIV/0!</v>
      </c>
      <c r="AW152" s="29" t="str">
        <f t="shared" si="156"/>
        <v>#DIV/0!</v>
      </c>
      <c r="AX152" s="29" t="str">
        <f t="shared" si="156"/>
        <v>#DIV/0!</v>
      </c>
      <c r="AY152" s="29" t="str">
        <f t="shared" si="156"/>
        <v>#DIV/0!</v>
      </c>
      <c r="AZ152" s="29" t="str">
        <f t="shared" si="156"/>
        <v>#DIV/0!</v>
      </c>
      <c r="BA152" s="29" t="str">
        <f t="shared" si="156"/>
        <v>#DIV/0!</v>
      </c>
      <c r="BB152" s="29" t="str">
        <f t="shared" si="156"/>
        <v>#DIV/0!</v>
      </c>
      <c r="BC152" s="29" t="str">
        <f t="shared" si="156"/>
        <v>#DIV/0!</v>
      </c>
      <c r="BD152" s="29" t="str">
        <f t="shared" si="156"/>
        <v>#DIV/0!</v>
      </c>
      <c r="BE152" s="29" t="str">
        <f t="shared" si="156"/>
        <v>#DIV/0!</v>
      </c>
      <c r="BF152" s="29" t="str">
        <f t="shared" si="156"/>
        <v>#DIV/0!</v>
      </c>
      <c r="BG152" s="29" t="str">
        <f t="shared" si="156"/>
        <v>#DIV/0!</v>
      </c>
      <c r="BH152" s="29" t="str">
        <f t="shared" si="156"/>
        <v>#DIV/0!</v>
      </c>
      <c r="BI152" s="29" t="str">
        <f t="shared" si="156"/>
        <v>#DIV/0!</v>
      </c>
      <c r="BJ152" s="29" t="str">
        <f t="shared" si="156"/>
        <v>#DIV/0!</v>
      </c>
      <c r="BK152" s="29" t="str">
        <f t="shared" si="156"/>
        <v>#DIV/0!</v>
      </c>
      <c r="BL152" s="29" t="str">
        <f t="shared" si="156"/>
        <v>#DIV/0!</v>
      </c>
      <c r="BM152" s="29" t="str">
        <f t="shared" si="3"/>
        <v>#DIV/0!</v>
      </c>
    </row>
    <row r="153">
      <c r="A153" s="16" t="str">
        <f>IFERROR(__xludf.DUMMYFUNCTION("IFERROR(SPARKLINE(SORT(MAP(TRANSPOSE(AQ153:BL153), LAMBDA(val, IF(ISNUMBER(val), PERCENTRANK(AQ153:BL153, val)+0.01, 0))), SEQUENCE(COLUMNS(AQ153:BL153)), FALSE), {""charttype"",""column""; ""color"",""chartreuse""; ""ymin"", 0; ""ymax"", 1.01; ""highcolo"&amp;"r"", ""darkgreen""; ""lowcolor"", ""red""}), """")"),"")</f>
        <v/>
      </c>
      <c r="B153" s="17" t="str">
        <f t="shared" si="4"/>
        <v/>
      </c>
      <c r="C153" s="1" t="s">
        <v>2038</v>
      </c>
      <c r="D153" s="30" t="str">
        <f>IFERROR(__xludf.DUMMYFUNCTION("IFERROR(GOOGLEFINANCE(C153, ""NAME""))"),"Alignment Healthcare Inc")</f>
        <v>Alignment Healthcare Inc</v>
      </c>
      <c r="E153" s="30" t="s">
        <v>1479</v>
      </c>
      <c r="F153" s="33" t="str">
        <f>IFERROR(__xludf.DUMMYFUNCTION("( (GOOGLEFINANCE(C153, ""price"") - Q153) / Q153 ) / (R153 / 100)"),"Loading...")</f>
        <v>Loading...</v>
      </c>
      <c r="G153" s="20" t="str">
        <f>IFERROR(__xludf.DUMMYFUNCTION("AVERAGE(ARRAYFORMULA(100 * (QUERY(GOOGLEFINANCE(C153, ""high"", TODAY()-40, TODAY()), ""SELECT Col2 WHERE Col2 IS NOT NULL ORDER BY Col1 DESC LIMIT 20"", 0) / QUERY(GOOGLEFINANCE(C153, ""low"", TODAY()-40, TODAY()), ""SELECT Col2 WHERE Col2 IS NOT NULL OR"&amp;"DER BY Col1 DESC LIMIT 20"", 0) - 1)))"),"#N/A")</f>
        <v>#N/A</v>
      </c>
      <c r="H153" s="35" t="str">
        <f t="shared" si="118"/>
        <v/>
      </c>
      <c r="I153" s="36" t="str">
        <f t="shared" si="7"/>
        <v/>
      </c>
      <c r="J153" s="37" t="str">
        <f>IFERROR(__xludf.DUMMYFUNCTION("IFERROR(
  IF(C153="""",, 
    IFERROR(
      GOOGLEFINANCE(C153, ""price"") * GOOGLEFINANCE(C153, ""volumeavg""), 
      GOOGLEFINANCE(C153, ""price"") * AVERAGE(QUERY(GOOGLEFINANCE(C153, ""volume"", TODAY()-40, TODAY()), ""SELECT Col2 WHERE Col2 IS NOT "&amp;"NULL ORDER BY Col1 DESC LIMIT 20"", 0))
    )
  ), 
"""")"),"")</f>
        <v/>
      </c>
      <c r="K153" s="21" t="str">
        <f>IFERROR(__xludf.DUMMYFUNCTION("IFERROR(GOOGLEFINANCE(C153, ""changepct"") / 100, """")"),"")</f>
        <v/>
      </c>
      <c r="L153" s="21" t="str">
        <f>IFERROR(__xludf.DUMMYFUNCTION("IFERROR((GOOGLEFINANCE(C153, ""price"") / INDEX(GOOGLEFINANCE(C153, ""price"", TODAY()-7, TODAY()), 2, 2)) - 1, """")"),"")</f>
        <v/>
      </c>
      <c r="M153" s="21" t="str">
        <f>IFERROR(__xludf.DUMMYFUNCTION("IFERROR((GOOGLEFINANCE(C153, ""price"") / INDEX(GOOGLEFINANCE(C153, ""price"", EDATE(TODAY(), -1), TODAY()), 2, 2)) - 1, """")"),"")</f>
        <v/>
      </c>
      <c r="N153" s="21" t="str">
        <f>IFERROR(__xludf.DUMMYFUNCTION("IFERROR((GOOGLEFINANCE(C153, ""price"") / INDEX(GOOGLEFINANCE(C153, ""price"", EDATE(TODAY(), -3), TODAY()), 2, 2)) - 1, """")"),"")</f>
        <v/>
      </c>
      <c r="O153" s="21" t="str">
        <f>IFERROR(__xludf.DUMMYFUNCTION("IFERROR((GOOGLEFINANCE(C153, ""price"") / INDEX(GOOGLEFINANCE(C153, ""price"", EDATE(TODAY(), -6), TODAY()), 2, 2)) - 1, """")"),"")</f>
        <v/>
      </c>
      <c r="P153" s="21" t="str">
        <f>IFERROR(__xludf.DUMMYFUNCTION("IFERROR((GOOGLEFINANCE(C153, ""price"") / INDEX(GOOGLEFINANCE(C153, ""price"", EDATE(TODAY(), -12), TODAY()), 2, 2)) - 1, """")"),"")</f>
        <v/>
      </c>
      <c r="Q153" s="6" t="str">
        <f>IFERROR(__xludf.DUMMYFUNCTION("AVERAGE(QUERY(GOOGLEFINANCE(C153, ""price"", TODAY()-80, TODAY()), ""SELECT Col2 WHERE Col2 IS NOT NULL ORDER BY Col1 DESC LIMIT 50"", 0))"),"#N/A")</f>
        <v>#N/A</v>
      </c>
      <c r="R153" s="24" t="str">
        <f>IFERROR(__xludf.DUMMYFUNCTION("IFERROR(
  LET(
    data, QUERY(GOOGLEFINANCE(C153,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GOOGLEFINANCE(C153, ""price"")) * 100,
    IF(calc=0, G153, calc)
  ), 
G153)"),"#N/A")</f>
        <v>#N/A</v>
      </c>
      <c r="S153" s="8" t="s">
        <v>15</v>
      </c>
      <c r="T153" s="26" t="str">
        <f>IFERROR(__xludf.DUMMYFUNCTION("IFERROR(TRANSPOSE(QUERY(IFERROR(SORT(GOOGLEFINANCE(C153, ""price"", WORKDAY(TODAY(), -40), TODAY()), 1, FALSE)), ""select Col2 where Col2 is not null limit 22 label Col2 ''"", 0)), """")"),"")</f>
        <v/>
      </c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8"/>
      <c r="AO153" s="28"/>
      <c r="AP153" s="29"/>
      <c r="AQ153" s="29" t="str">
        <f t="shared" ref="AQ153:BL153" si="157">T153/T$2</f>
        <v>#N/A</v>
      </c>
      <c r="AR153" s="29" t="str">
        <f t="shared" si="157"/>
        <v>#DIV/0!</v>
      </c>
      <c r="AS153" s="29" t="str">
        <f t="shared" si="157"/>
        <v>#DIV/0!</v>
      </c>
      <c r="AT153" s="29" t="str">
        <f t="shared" si="157"/>
        <v>#DIV/0!</v>
      </c>
      <c r="AU153" s="29" t="str">
        <f t="shared" si="157"/>
        <v>#DIV/0!</v>
      </c>
      <c r="AV153" s="29" t="str">
        <f t="shared" si="157"/>
        <v>#DIV/0!</v>
      </c>
      <c r="AW153" s="29" t="str">
        <f t="shared" si="157"/>
        <v>#DIV/0!</v>
      </c>
      <c r="AX153" s="29" t="str">
        <f t="shared" si="157"/>
        <v>#DIV/0!</v>
      </c>
      <c r="AY153" s="29" t="str">
        <f t="shared" si="157"/>
        <v>#DIV/0!</v>
      </c>
      <c r="AZ153" s="29" t="str">
        <f t="shared" si="157"/>
        <v>#DIV/0!</v>
      </c>
      <c r="BA153" s="29" t="str">
        <f t="shared" si="157"/>
        <v>#DIV/0!</v>
      </c>
      <c r="BB153" s="29" t="str">
        <f t="shared" si="157"/>
        <v>#DIV/0!</v>
      </c>
      <c r="BC153" s="29" t="str">
        <f t="shared" si="157"/>
        <v>#DIV/0!</v>
      </c>
      <c r="BD153" s="29" t="str">
        <f t="shared" si="157"/>
        <v>#DIV/0!</v>
      </c>
      <c r="BE153" s="29" t="str">
        <f t="shared" si="157"/>
        <v>#DIV/0!</v>
      </c>
      <c r="BF153" s="29" t="str">
        <f t="shared" si="157"/>
        <v>#DIV/0!</v>
      </c>
      <c r="BG153" s="29" t="str">
        <f t="shared" si="157"/>
        <v>#DIV/0!</v>
      </c>
      <c r="BH153" s="29" t="str">
        <f t="shared" si="157"/>
        <v>#DIV/0!</v>
      </c>
      <c r="BI153" s="29" t="str">
        <f t="shared" si="157"/>
        <v>#DIV/0!</v>
      </c>
      <c r="BJ153" s="29" t="str">
        <f t="shared" si="157"/>
        <v>#DIV/0!</v>
      </c>
      <c r="BK153" s="29" t="str">
        <f t="shared" si="157"/>
        <v>#DIV/0!</v>
      </c>
      <c r="BL153" s="29" t="str">
        <f t="shared" si="157"/>
        <v>#DIV/0!</v>
      </c>
      <c r="BM153" s="29" t="str">
        <f t="shared" si="3"/>
        <v>#DIV/0!</v>
      </c>
    </row>
    <row r="154">
      <c r="A154" s="16" t="str">
        <f>IFERROR(__xludf.DUMMYFUNCTION("IFERROR(SPARKLINE(SORT(MAP(TRANSPOSE(AQ154:BL154), LAMBDA(val, IF(ISNUMBER(val), PERCENTRANK(AQ154:BL154, val)+0.01, 0))), SEQUENCE(COLUMNS(AQ154:BL154)), FALSE), {""charttype"",""column""; ""color"",""chartreuse""; ""ymin"", 0; ""ymax"", 1.01; ""highcolo"&amp;"r"", ""darkgreen""; ""lowcolor"", ""red""}), """")"),"")</f>
        <v/>
      </c>
      <c r="B154" s="17" t="str">
        <f t="shared" si="4"/>
        <v/>
      </c>
      <c r="C154" s="1" t="s">
        <v>2041</v>
      </c>
      <c r="D154" s="30" t="str">
        <f>IFERROR(__xludf.DUMMYFUNCTION("IFERROR(GOOGLEFINANCE(C154, ""NAME""))"),"The Ensign Group, Inc.")</f>
        <v>The Ensign Group, Inc.</v>
      </c>
      <c r="E154" s="30" t="s">
        <v>1513</v>
      </c>
      <c r="F154" s="33" t="str">
        <f>IFERROR(__xludf.DUMMYFUNCTION("( (GOOGLEFINANCE(C154, ""price"") - Q154) / Q154 ) / (R154 / 100)"),"Loading...")</f>
        <v>Loading...</v>
      </c>
      <c r="G154" s="20" t="str">
        <f>IFERROR(__xludf.DUMMYFUNCTION("AVERAGE(ARRAYFORMULA(100 * (QUERY(GOOGLEFINANCE(C154, ""high"", TODAY()-40, TODAY()), ""SELECT Col2 WHERE Col2 IS NOT NULL ORDER BY Col1 DESC LIMIT 20"", 0) / QUERY(GOOGLEFINANCE(C154, ""low"", TODAY()-40, TODAY()), ""SELECT Col2 WHERE Col2 IS NOT NULL OR"&amp;"DER BY Col1 DESC LIMIT 20"", 0) - 1)))"),"#N/A")</f>
        <v>#N/A</v>
      </c>
      <c r="H154" s="35" t="str">
        <f t="shared" si="118"/>
        <v/>
      </c>
      <c r="I154" s="36" t="str">
        <f t="shared" si="7"/>
        <v/>
      </c>
      <c r="J154" s="37" t="str">
        <f>IFERROR(__xludf.DUMMYFUNCTION("IFERROR(
  IF(C154="""",, 
    IFERROR(
      GOOGLEFINANCE(C154, ""price"") * GOOGLEFINANCE(C154, ""volumeavg""), 
      GOOGLEFINANCE(C154, ""price"") * AVERAGE(QUERY(GOOGLEFINANCE(C154, ""volume"", TODAY()-40, TODAY()), ""SELECT Col2 WHERE Col2 IS NOT "&amp;"NULL ORDER BY Col1 DESC LIMIT 20"", 0))
    )
  ), 
"""")"),"")</f>
        <v/>
      </c>
      <c r="K154" s="21" t="str">
        <f>IFERROR(__xludf.DUMMYFUNCTION("IFERROR(GOOGLEFINANCE(C154, ""changepct"") / 100, """")"),"")</f>
        <v/>
      </c>
      <c r="L154" s="21" t="str">
        <f>IFERROR(__xludf.DUMMYFUNCTION("IFERROR((GOOGLEFINANCE(C154, ""price"") / INDEX(GOOGLEFINANCE(C154, ""price"", TODAY()-7, TODAY()), 2, 2)) - 1, """")"),"")</f>
        <v/>
      </c>
      <c r="M154" s="21" t="str">
        <f>IFERROR(__xludf.DUMMYFUNCTION("IFERROR((GOOGLEFINANCE(C154, ""price"") / INDEX(GOOGLEFINANCE(C154, ""price"", EDATE(TODAY(), -1), TODAY()), 2, 2)) - 1, """")"),"")</f>
        <v/>
      </c>
      <c r="N154" s="21" t="str">
        <f>IFERROR(__xludf.DUMMYFUNCTION("IFERROR((GOOGLEFINANCE(C154, ""price"") / INDEX(GOOGLEFINANCE(C154, ""price"", EDATE(TODAY(), -3), TODAY()), 2, 2)) - 1, """")"),"")</f>
        <v/>
      </c>
      <c r="O154" s="21" t="str">
        <f>IFERROR(__xludf.DUMMYFUNCTION("IFERROR((GOOGLEFINANCE(C154, ""price"") / INDEX(GOOGLEFINANCE(C154, ""price"", EDATE(TODAY(), -6), TODAY()), 2, 2)) - 1, """")"),"")</f>
        <v/>
      </c>
      <c r="P154" s="21" t="str">
        <f>IFERROR(__xludf.DUMMYFUNCTION("IFERROR((GOOGLEFINANCE(C154, ""price"") / INDEX(GOOGLEFINANCE(C154, ""price"", EDATE(TODAY(), -12), TODAY()), 2, 2)) - 1, """")"),"")</f>
        <v/>
      </c>
      <c r="Q154" s="6" t="str">
        <f>IFERROR(__xludf.DUMMYFUNCTION("AVERAGE(QUERY(GOOGLEFINANCE(C154, ""price"", TODAY()-80, TODAY()), ""SELECT Col2 WHERE Col2 IS NOT NULL ORDER BY Col1 DESC LIMIT 50"", 0))"),"#N/A")</f>
        <v>#N/A</v>
      </c>
      <c r="R154" s="24" t="str">
        <f>IFERROR(__xludf.DUMMYFUNCTION("IFERROR(
  LET(
    data, QUERY(GOOGLEFINANCE(C154,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GOOGLEFINANCE(C154, ""price"")) * 100,
    IF(calc=0, G154, calc)
  ), 
G154)"),"#N/A")</f>
        <v>#N/A</v>
      </c>
      <c r="S154" s="8" t="s">
        <v>15</v>
      </c>
      <c r="T154" s="26" t="str">
        <f>IFERROR(__xludf.DUMMYFUNCTION("IFERROR(TRANSPOSE(QUERY(IFERROR(SORT(GOOGLEFINANCE(C154, ""price"", WORKDAY(TODAY(), -40), TODAY()), 1, FALSE)), ""select Col2 where Col2 is not null limit 22 label Col2 ''"", 0)), """")"),"")</f>
        <v/>
      </c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8"/>
      <c r="AO154" s="28"/>
      <c r="AP154" s="29"/>
      <c r="AQ154" s="29" t="str">
        <f t="shared" ref="AQ154:BL154" si="158">T154/T$2</f>
        <v>#N/A</v>
      </c>
      <c r="AR154" s="29" t="str">
        <f t="shared" si="158"/>
        <v>#DIV/0!</v>
      </c>
      <c r="AS154" s="29" t="str">
        <f t="shared" si="158"/>
        <v>#DIV/0!</v>
      </c>
      <c r="AT154" s="29" t="str">
        <f t="shared" si="158"/>
        <v>#DIV/0!</v>
      </c>
      <c r="AU154" s="29" t="str">
        <f t="shared" si="158"/>
        <v>#DIV/0!</v>
      </c>
      <c r="AV154" s="29" t="str">
        <f t="shared" si="158"/>
        <v>#DIV/0!</v>
      </c>
      <c r="AW154" s="29" t="str">
        <f t="shared" si="158"/>
        <v>#DIV/0!</v>
      </c>
      <c r="AX154" s="29" t="str">
        <f t="shared" si="158"/>
        <v>#DIV/0!</v>
      </c>
      <c r="AY154" s="29" t="str">
        <f t="shared" si="158"/>
        <v>#DIV/0!</v>
      </c>
      <c r="AZ154" s="29" t="str">
        <f t="shared" si="158"/>
        <v>#DIV/0!</v>
      </c>
      <c r="BA154" s="29" t="str">
        <f t="shared" si="158"/>
        <v>#DIV/0!</v>
      </c>
      <c r="BB154" s="29" t="str">
        <f t="shared" si="158"/>
        <v>#DIV/0!</v>
      </c>
      <c r="BC154" s="29" t="str">
        <f t="shared" si="158"/>
        <v>#DIV/0!</v>
      </c>
      <c r="BD154" s="29" t="str">
        <f t="shared" si="158"/>
        <v>#DIV/0!</v>
      </c>
      <c r="BE154" s="29" t="str">
        <f t="shared" si="158"/>
        <v>#DIV/0!</v>
      </c>
      <c r="BF154" s="29" t="str">
        <f t="shared" si="158"/>
        <v>#DIV/0!</v>
      </c>
      <c r="BG154" s="29" t="str">
        <f t="shared" si="158"/>
        <v>#DIV/0!</v>
      </c>
      <c r="BH154" s="29" t="str">
        <f t="shared" si="158"/>
        <v>#DIV/0!</v>
      </c>
      <c r="BI154" s="29" t="str">
        <f t="shared" si="158"/>
        <v>#DIV/0!</v>
      </c>
      <c r="BJ154" s="29" t="str">
        <f t="shared" si="158"/>
        <v>#DIV/0!</v>
      </c>
      <c r="BK154" s="29" t="str">
        <f t="shared" si="158"/>
        <v>#DIV/0!</v>
      </c>
      <c r="BL154" s="29" t="str">
        <f t="shared" si="158"/>
        <v>#DIV/0!</v>
      </c>
      <c r="BM154" s="29" t="str">
        <f t="shared" si="3"/>
        <v>#DIV/0!</v>
      </c>
    </row>
    <row r="155">
      <c r="A155" s="16" t="str">
        <f>IFERROR(__xludf.DUMMYFUNCTION("IFERROR(SPARKLINE(SORT(MAP(TRANSPOSE(AQ155:BL155), LAMBDA(val, IF(ISNUMBER(val), PERCENTRANK(AQ155:BL155, val)+0.01, 0))), SEQUENCE(COLUMNS(AQ155:BL155)), FALSE), {""charttype"",""column""; ""color"",""chartreuse""; ""ymin"", 0; ""ymax"", 1.01; ""highcolo"&amp;"r"", ""darkgreen""; ""lowcolor"", ""red""}), """")"),"")</f>
        <v/>
      </c>
      <c r="B155" s="17" t="str">
        <f t="shared" si="4"/>
        <v/>
      </c>
      <c r="C155" s="1" t="s">
        <v>2045</v>
      </c>
      <c r="D155" s="30" t="str">
        <f>IFERROR(__xludf.DUMMYFUNCTION("IFERROR(GOOGLEFINANCE(C155, ""NAME""))"),"Stryker Corp")</f>
        <v>Stryker Corp</v>
      </c>
      <c r="E155" s="30" t="s">
        <v>1491</v>
      </c>
      <c r="F155" s="33" t="str">
        <f>IFERROR(__xludf.DUMMYFUNCTION("( (GOOGLEFINANCE(C155, ""price"") - Q155) / Q155 ) / (R155 / 100)"),"Loading...")</f>
        <v>Loading...</v>
      </c>
      <c r="G155" s="20" t="str">
        <f>IFERROR(__xludf.DUMMYFUNCTION("AVERAGE(ARRAYFORMULA(100 * (QUERY(GOOGLEFINANCE(C155, ""high"", TODAY()-40, TODAY()), ""SELECT Col2 WHERE Col2 IS NOT NULL ORDER BY Col1 DESC LIMIT 20"", 0) / QUERY(GOOGLEFINANCE(C155, ""low"", TODAY()-40, TODAY()), ""SELECT Col2 WHERE Col2 IS NOT NULL OR"&amp;"DER BY Col1 DESC LIMIT 20"", 0) - 1)))"),"#N/A")</f>
        <v>#N/A</v>
      </c>
      <c r="H155" s="35" t="str">
        <f t="shared" si="118"/>
        <v/>
      </c>
      <c r="I155" s="36" t="str">
        <f t="shared" si="7"/>
        <v/>
      </c>
      <c r="J155" s="37" t="str">
        <f>IFERROR(__xludf.DUMMYFUNCTION("IFERROR(
  IF(C155="""",, 
    IFERROR(
      GOOGLEFINANCE(C155, ""price"") * GOOGLEFINANCE(C155, ""volumeavg""), 
      GOOGLEFINANCE(C155, ""price"") * AVERAGE(QUERY(GOOGLEFINANCE(C155, ""volume"", TODAY()-40, TODAY()), ""SELECT Col2 WHERE Col2 IS NOT "&amp;"NULL ORDER BY Col1 DESC LIMIT 20"", 0))
    )
  ), 
"""")"),"")</f>
        <v/>
      </c>
      <c r="K155" s="21" t="str">
        <f>IFERROR(__xludf.DUMMYFUNCTION("IFERROR(GOOGLEFINANCE(C155, ""changepct"") / 100, """")"),"")</f>
        <v/>
      </c>
      <c r="L155" s="21" t="str">
        <f>IFERROR(__xludf.DUMMYFUNCTION("IFERROR((GOOGLEFINANCE(C155, ""price"") / INDEX(GOOGLEFINANCE(C155, ""price"", TODAY()-7, TODAY()), 2, 2)) - 1, """")"),"")</f>
        <v/>
      </c>
      <c r="M155" s="21" t="str">
        <f>IFERROR(__xludf.DUMMYFUNCTION("IFERROR((GOOGLEFINANCE(C155, ""price"") / INDEX(GOOGLEFINANCE(C155, ""price"", EDATE(TODAY(), -1), TODAY()), 2, 2)) - 1, """")"),"")</f>
        <v/>
      </c>
      <c r="N155" s="21" t="str">
        <f>IFERROR(__xludf.DUMMYFUNCTION("IFERROR((GOOGLEFINANCE(C155, ""price"") / INDEX(GOOGLEFINANCE(C155, ""price"", EDATE(TODAY(), -3), TODAY()), 2, 2)) - 1, """")"),"")</f>
        <v/>
      </c>
      <c r="O155" s="21" t="str">
        <f>IFERROR(__xludf.DUMMYFUNCTION("IFERROR((GOOGLEFINANCE(C155, ""price"") / INDEX(GOOGLEFINANCE(C155, ""price"", EDATE(TODAY(), -6), TODAY()), 2, 2)) - 1, """")"),"")</f>
        <v/>
      </c>
      <c r="P155" s="21" t="str">
        <f>IFERROR(__xludf.DUMMYFUNCTION("IFERROR((GOOGLEFINANCE(C155, ""price"") / INDEX(GOOGLEFINANCE(C155, ""price"", EDATE(TODAY(), -12), TODAY()), 2, 2)) - 1, """")"),"")</f>
        <v/>
      </c>
      <c r="Q155" s="6" t="str">
        <f>IFERROR(__xludf.DUMMYFUNCTION("AVERAGE(QUERY(GOOGLEFINANCE(C155, ""price"", TODAY()-80, TODAY()), ""SELECT Col2 WHERE Col2 IS NOT NULL ORDER BY Col1 DESC LIMIT 50"", 0))"),"#N/A")</f>
        <v>#N/A</v>
      </c>
      <c r="R155" s="24" t="str">
        <f>IFERROR(__xludf.DUMMYFUNCTION("IFERROR(
  LET(
    data, QUERY(GOOGLEFINANCE(C155,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GOOGLEFINANCE(C155, ""price"")) * 100,
    IF(calc=0, G155, calc)
  ), 
G155)"),"#N/A")</f>
        <v>#N/A</v>
      </c>
      <c r="S155" s="8" t="s">
        <v>15</v>
      </c>
      <c r="T155" s="26" t="str">
        <f>IFERROR(__xludf.DUMMYFUNCTION("IFERROR(TRANSPOSE(QUERY(IFERROR(SORT(GOOGLEFINANCE(C155, ""price"", WORKDAY(TODAY(), -40), TODAY()), 1, FALSE)), ""select Col2 where Col2 is not null limit 22 label Col2 ''"", 0)), """")"),"")</f>
        <v/>
      </c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8"/>
      <c r="AO155" s="28"/>
      <c r="AP155" s="29"/>
      <c r="AQ155" s="29" t="str">
        <f t="shared" ref="AQ155:BL155" si="159">T155/T$2</f>
        <v>#N/A</v>
      </c>
      <c r="AR155" s="29" t="str">
        <f t="shared" si="159"/>
        <v>#DIV/0!</v>
      </c>
      <c r="AS155" s="29" t="str">
        <f t="shared" si="159"/>
        <v>#DIV/0!</v>
      </c>
      <c r="AT155" s="29" t="str">
        <f t="shared" si="159"/>
        <v>#DIV/0!</v>
      </c>
      <c r="AU155" s="29" t="str">
        <f t="shared" si="159"/>
        <v>#DIV/0!</v>
      </c>
      <c r="AV155" s="29" t="str">
        <f t="shared" si="159"/>
        <v>#DIV/0!</v>
      </c>
      <c r="AW155" s="29" t="str">
        <f t="shared" si="159"/>
        <v>#DIV/0!</v>
      </c>
      <c r="AX155" s="29" t="str">
        <f t="shared" si="159"/>
        <v>#DIV/0!</v>
      </c>
      <c r="AY155" s="29" t="str">
        <f t="shared" si="159"/>
        <v>#DIV/0!</v>
      </c>
      <c r="AZ155" s="29" t="str">
        <f t="shared" si="159"/>
        <v>#DIV/0!</v>
      </c>
      <c r="BA155" s="29" t="str">
        <f t="shared" si="159"/>
        <v>#DIV/0!</v>
      </c>
      <c r="BB155" s="29" t="str">
        <f t="shared" si="159"/>
        <v>#DIV/0!</v>
      </c>
      <c r="BC155" s="29" t="str">
        <f t="shared" si="159"/>
        <v>#DIV/0!</v>
      </c>
      <c r="BD155" s="29" t="str">
        <f t="shared" si="159"/>
        <v>#DIV/0!</v>
      </c>
      <c r="BE155" s="29" t="str">
        <f t="shared" si="159"/>
        <v>#DIV/0!</v>
      </c>
      <c r="BF155" s="29" t="str">
        <f t="shared" si="159"/>
        <v>#DIV/0!</v>
      </c>
      <c r="BG155" s="29" t="str">
        <f t="shared" si="159"/>
        <v>#DIV/0!</v>
      </c>
      <c r="BH155" s="29" t="str">
        <f t="shared" si="159"/>
        <v>#DIV/0!</v>
      </c>
      <c r="BI155" s="29" t="str">
        <f t="shared" si="159"/>
        <v>#DIV/0!</v>
      </c>
      <c r="BJ155" s="29" t="str">
        <f t="shared" si="159"/>
        <v>#DIV/0!</v>
      </c>
      <c r="BK155" s="29" t="str">
        <f t="shared" si="159"/>
        <v>#DIV/0!</v>
      </c>
      <c r="BL155" s="29" t="str">
        <f t="shared" si="159"/>
        <v>#DIV/0!</v>
      </c>
      <c r="BM155" s="29" t="str">
        <f t="shared" si="3"/>
        <v>#DIV/0!</v>
      </c>
    </row>
    <row r="156">
      <c r="A156" s="16" t="str">
        <f>IFERROR(__xludf.DUMMYFUNCTION("IFERROR(SPARKLINE(SORT(MAP(TRANSPOSE(AQ156:BL156), LAMBDA(val, IF(ISNUMBER(val), PERCENTRANK(AQ156:BL156, val)+0.01, 0))), SEQUENCE(COLUMNS(AQ156:BL156)), FALSE), {""charttype"",""column""; ""color"",""chartreuse""; ""ymin"", 0; ""ymax"", 1.01; ""highcolo"&amp;"r"", ""darkgreen""; ""lowcolor"", ""red""}), """")"),"")</f>
        <v/>
      </c>
      <c r="B156" s="17" t="str">
        <f t="shared" si="4"/>
        <v/>
      </c>
      <c r="C156" s="1" t="s">
        <v>2049</v>
      </c>
      <c r="D156" s="30" t="str">
        <f>IFERROR(__xludf.DUMMYFUNCTION("IFERROR(GOOGLEFINANCE(C156, ""NAME""))"),"Hims &amp; Hers Health Inc")</f>
        <v>Hims &amp; Hers Health Inc</v>
      </c>
      <c r="E156" s="30" t="s">
        <v>1475</v>
      </c>
      <c r="F156" s="33" t="str">
        <f>IFERROR(__xludf.DUMMYFUNCTION("( (GOOGLEFINANCE(C156, ""price"") - Q156) / Q156 ) / (R156 / 100)"),"Loading...")</f>
        <v>Loading...</v>
      </c>
      <c r="G156" s="20" t="str">
        <f>IFERROR(__xludf.DUMMYFUNCTION("AVERAGE(ARRAYFORMULA(100 * (QUERY(GOOGLEFINANCE(C156, ""high"", TODAY()-40, TODAY()), ""SELECT Col2 WHERE Col2 IS NOT NULL ORDER BY Col1 DESC LIMIT 20"", 0) / QUERY(GOOGLEFINANCE(C156, ""low"", TODAY()-40, TODAY()), ""SELECT Col2 WHERE Col2 IS NOT NULL OR"&amp;"DER BY Col1 DESC LIMIT 20"", 0) - 1)))"),"#N/A")</f>
        <v>#N/A</v>
      </c>
      <c r="H156" s="35" t="str">
        <f t="shared" si="118"/>
        <v/>
      </c>
      <c r="I156" s="36" t="str">
        <f t="shared" si="7"/>
        <v/>
      </c>
      <c r="J156" s="37" t="str">
        <f>IFERROR(__xludf.DUMMYFUNCTION("IFERROR(
  IF(C156="""",, 
    IFERROR(
      GOOGLEFINANCE(C156, ""price"") * GOOGLEFINANCE(C156, ""volumeavg""), 
      GOOGLEFINANCE(C156, ""price"") * AVERAGE(QUERY(GOOGLEFINANCE(C156, ""volume"", TODAY()-40, TODAY()), ""SELECT Col2 WHERE Col2 IS NOT "&amp;"NULL ORDER BY Col1 DESC LIMIT 20"", 0))
    )
  ), 
"""")"),"")</f>
        <v/>
      </c>
      <c r="K156" s="21" t="str">
        <f>IFERROR(__xludf.DUMMYFUNCTION("IFERROR(GOOGLEFINANCE(C156, ""changepct"") / 100, """")"),"")</f>
        <v/>
      </c>
      <c r="L156" s="21" t="str">
        <f>IFERROR(__xludf.DUMMYFUNCTION("IFERROR((GOOGLEFINANCE(C156, ""price"") / INDEX(GOOGLEFINANCE(C156, ""price"", TODAY()-7, TODAY()), 2, 2)) - 1, """")"),"")</f>
        <v/>
      </c>
      <c r="M156" s="21" t="str">
        <f>IFERROR(__xludf.DUMMYFUNCTION("IFERROR((GOOGLEFINANCE(C156, ""price"") / INDEX(GOOGLEFINANCE(C156, ""price"", EDATE(TODAY(), -1), TODAY()), 2, 2)) - 1, """")"),"")</f>
        <v/>
      </c>
      <c r="N156" s="21" t="str">
        <f>IFERROR(__xludf.DUMMYFUNCTION("IFERROR((GOOGLEFINANCE(C156, ""price"") / INDEX(GOOGLEFINANCE(C156, ""price"", EDATE(TODAY(), -3), TODAY()), 2, 2)) - 1, """")"),"")</f>
        <v/>
      </c>
      <c r="O156" s="21" t="str">
        <f>IFERROR(__xludf.DUMMYFUNCTION("IFERROR((GOOGLEFINANCE(C156, ""price"") / INDEX(GOOGLEFINANCE(C156, ""price"", EDATE(TODAY(), -6), TODAY()), 2, 2)) - 1, """")"),"")</f>
        <v/>
      </c>
      <c r="P156" s="21" t="str">
        <f>IFERROR(__xludf.DUMMYFUNCTION("IFERROR((GOOGLEFINANCE(C156, ""price"") / INDEX(GOOGLEFINANCE(C156, ""price"", EDATE(TODAY(), -12), TODAY()), 2, 2)) - 1, """")"),"")</f>
        <v/>
      </c>
      <c r="Q156" s="6" t="str">
        <f>IFERROR(__xludf.DUMMYFUNCTION("AVERAGE(QUERY(GOOGLEFINANCE(C156, ""price"", TODAY()-80, TODAY()), ""SELECT Col2 WHERE Col2 IS NOT NULL ORDER BY Col1 DESC LIMIT 50"", 0))"),"#N/A")</f>
        <v>#N/A</v>
      </c>
      <c r="R156" s="24" t="str">
        <f>IFERROR(__xludf.DUMMYFUNCTION("IFERROR(
  LET(
    data, QUERY(GOOGLEFINANCE(C156,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GOOGLEFINANCE(C156, ""price"")) * 100,
    IF(calc=0, G156, calc)
  ), 
G156)"),"#N/A")</f>
        <v>#N/A</v>
      </c>
      <c r="S156" s="8" t="s">
        <v>15</v>
      </c>
      <c r="T156" s="26" t="str">
        <f>IFERROR(__xludf.DUMMYFUNCTION("IFERROR(TRANSPOSE(QUERY(IFERROR(SORT(GOOGLEFINANCE(C156, ""price"", WORKDAY(TODAY(), -40), TODAY()), 1, FALSE)), ""select Col2 where Col2 is not null limit 22 label Col2 ''"", 0)), """")"),"")</f>
        <v/>
      </c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8"/>
      <c r="AO156" s="28"/>
      <c r="AP156" s="29"/>
      <c r="AQ156" s="29" t="str">
        <f t="shared" ref="AQ156:BL156" si="160">T156/T$2</f>
        <v>#N/A</v>
      </c>
      <c r="AR156" s="29" t="str">
        <f t="shared" si="160"/>
        <v>#DIV/0!</v>
      </c>
      <c r="AS156" s="29" t="str">
        <f t="shared" si="160"/>
        <v>#DIV/0!</v>
      </c>
      <c r="AT156" s="29" t="str">
        <f t="shared" si="160"/>
        <v>#DIV/0!</v>
      </c>
      <c r="AU156" s="29" t="str">
        <f t="shared" si="160"/>
        <v>#DIV/0!</v>
      </c>
      <c r="AV156" s="29" t="str">
        <f t="shared" si="160"/>
        <v>#DIV/0!</v>
      </c>
      <c r="AW156" s="29" t="str">
        <f t="shared" si="160"/>
        <v>#DIV/0!</v>
      </c>
      <c r="AX156" s="29" t="str">
        <f t="shared" si="160"/>
        <v>#DIV/0!</v>
      </c>
      <c r="AY156" s="29" t="str">
        <f t="shared" si="160"/>
        <v>#DIV/0!</v>
      </c>
      <c r="AZ156" s="29" t="str">
        <f t="shared" si="160"/>
        <v>#DIV/0!</v>
      </c>
      <c r="BA156" s="29" t="str">
        <f t="shared" si="160"/>
        <v>#DIV/0!</v>
      </c>
      <c r="BB156" s="29" t="str">
        <f t="shared" si="160"/>
        <v>#DIV/0!</v>
      </c>
      <c r="BC156" s="29" t="str">
        <f t="shared" si="160"/>
        <v>#DIV/0!</v>
      </c>
      <c r="BD156" s="29" t="str">
        <f t="shared" si="160"/>
        <v>#DIV/0!</v>
      </c>
      <c r="BE156" s="29" t="str">
        <f t="shared" si="160"/>
        <v>#DIV/0!</v>
      </c>
      <c r="BF156" s="29" t="str">
        <f t="shared" si="160"/>
        <v>#DIV/0!</v>
      </c>
      <c r="BG156" s="29" t="str">
        <f t="shared" si="160"/>
        <v>#DIV/0!</v>
      </c>
      <c r="BH156" s="29" t="str">
        <f t="shared" si="160"/>
        <v>#DIV/0!</v>
      </c>
      <c r="BI156" s="29" t="str">
        <f t="shared" si="160"/>
        <v>#DIV/0!</v>
      </c>
      <c r="BJ156" s="29" t="str">
        <f t="shared" si="160"/>
        <v>#DIV/0!</v>
      </c>
      <c r="BK156" s="29" t="str">
        <f t="shared" si="160"/>
        <v>#DIV/0!</v>
      </c>
      <c r="BL156" s="29" t="str">
        <f t="shared" si="160"/>
        <v>#DIV/0!</v>
      </c>
      <c r="BM156" s="29" t="str">
        <f t="shared" si="3"/>
        <v>#DIV/0!</v>
      </c>
    </row>
    <row r="157">
      <c r="A157" s="16" t="str">
        <f>IFERROR(__xludf.DUMMYFUNCTION("IFERROR(SPARKLINE(SORT(MAP(TRANSPOSE(AQ157:BL157), LAMBDA(val, IF(ISNUMBER(val), PERCENTRANK(AQ157:BL157, val)+0.01, 0))), SEQUENCE(COLUMNS(AQ157:BL157)), FALSE), {""charttype"",""column""; ""color"",""chartreuse""; ""ymin"", 0; ""ymax"", 1.01; ""highcolo"&amp;"r"", ""darkgreen""; ""lowcolor"", ""red""}), """")"),"")</f>
        <v/>
      </c>
      <c r="B157" s="17" t="str">
        <f t="shared" si="4"/>
        <v/>
      </c>
      <c r="C157" s="1" t="s">
        <v>2052</v>
      </c>
      <c r="D157" s="30" t="str">
        <f>IFERROR(__xludf.DUMMYFUNCTION("IFERROR(GOOGLEFINANCE(C157, ""NAME""))"),"GeneDx Holdings Corp")</f>
        <v>GeneDx Holdings Corp</v>
      </c>
      <c r="E157" s="30" t="s">
        <v>1499</v>
      </c>
      <c r="F157" s="33" t="str">
        <f>IFERROR(__xludf.DUMMYFUNCTION("( (GOOGLEFINANCE(C157, ""price"") - Q157) / Q157 ) / (R157 / 100)"),"Loading...")</f>
        <v>Loading...</v>
      </c>
      <c r="G157" s="20" t="str">
        <f>IFERROR(__xludf.DUMMYFUNCTION("AVERAGE(ARRAYFORMULA(100 * (QUERY(GOOGLEFINANCE(C157, ""high"", TODAY()-40, TODAY()), ""SELECT Col2 WHERE Col2 IS NOT NULL ORDER BY Col1 DESC LIMIT 20"", 0) / QUERY(GOOGLEFINANCE(C157, ""low"", TODAY()-40, TODAY()), ""SELECT Col2 WHERE Col2 IS NOT NULL OR"&amp;"DER BY Col1 DESC LIMIT 20"", 0) - 1)))"),"#N/A")</f>
        <v>#N/A</v>
      </c>
      <c r="H157" s="35" t="str">
        <f t="shared" si="118"/>
        <v/>
      </c>
      <c r="I157" s="36" t="str">
        <f t="shared" si="7"/>
        <v/>
      </c>
      <c r="J157" s="37" t="str">
        <f>IFERROR(__xludf.DUMMYFUNCTION("IFERROR(
  IF(C157="""",, 
    IFERROR(
      GOOGLEFINANCE(C157, ""price"") * GOOGLEFINANCE(C157, ""volumeavg""), 
      GOOGLEFINANCE(C157, ""price"") * AVERAGE(QUERY(GOOGLEFINANCE(C157, ""volume"", TODAY()-40, TODAY()), ""SELECT Col2 WHERE Col2 IS NOT "&amp;"NULL ORDER BY Col1 DESC LIMIT 20"", 0))
    )
  ), 
"""")"),"")</f>
        <v/>
      </c>
      <c r="K157" s="21" t="str">
        <f>IFERROR(__xludf.DUMMYFUNCTION("IFERROR(GOOGLEFINANCE(C157, ""changepct"") / 100, """")"),"")</f>
        <v/>
      </c>
      <c r="L157" s="21" t="str">
        <f>IFERROR(__xludf.DUMMYFUNCTION("IFERROR((GOOGLEFINANCE(C157, ""price"") / INDEX(GOOGLEFINANCE(C157, ""price"", TODAY()-7, TODAY()), 2, 2)) - 1, """")"),"")</f>
        <v/>
      </c>
      <c r="M157" s="21" t="str">
        <f>IFERROR(__xludf.DUMMYFUNCTION("IFERROR((GOOGLEFINANCE(C157, ""price"") / INDEX(GOOGLEFINANCE(C157, ""price"", EDATE(TODAY(), -1), TODAY()), 2, 2)) - 1, """")"),"")</f>
        <v/>
      </c>
      <c r="N157" s="21" t="str">
        <f>IFERROR(__xludf.DUMMYFUNCTION("IFERROR((GOOGLEFINANCE(C157, ""price"") / INDEX(GOOGLEFINANCE(C157, ""price"", EDATE(TODAY(), -3), TODAY()), 2, 2)) - 1, """")"),"")</f>
        <v/>
      </c>
      <c r="O157" s="21" t="str">
        <f>IFERROR(__xludf.DUMMYFUNCTION("IFERROR((GOOGLEFINANCE(C157, ""price"") / INDEX(GOOGLEFINANCE(C157, ""price"", EDATE(TODAY(), -6), TODAY()), 2, 2)) - 1, """")"),"")</f>
        <v/>
      </c>
      <c r="P157" s="21" t="str">
        <f>IFERROR(__xludf.DUMMYFUNCTION("IFERROR((GOOGLEFINANCE(C157, ""price"") / INDEX(GOOGLEFINANCE(C157, ""price"", EDATE(TODAY(), -12), TODAY()), 2, 2)) - 1, """")"),"")</f>
        <v/>
      </c>
      <c r="Q157" s="6" t="str">
        <f>IFERROR(__xludf.DUMMYFUNCTION("AVERAGE(QUERY(GOOGLEFINANCE(C157, ""price"", TODAY()-80, TODAY()), ""SELECT Col2 WHERE Col2 IS NOT NULL ORDER BY Col1 DESC LIMIT 50"", 0))"),"#N/A")</f>
        <v>#N/A</v>
      </c>
      <c r="R157" s="24" t="str">
        <f>IFERROR(__xludf.DUMMYFUNCTION("IFERROR(
  LET(
    data, QUERY(GOOGLEFINANCE(C157,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GOOGLEFINANCE(C157, ""price"")) * 100,
    IF(calc=0, G157, calc)
  ), 
G157)"),"#N/A")</f>
        <v>#N/A</v>
      </c>
      <c r="S157" s="8" t="s">
        <v>15</v>
      </c>
      <c r="T157" s="26" t="str">
        <f>IFERROR(__xludf.DUMMYFUNCTION("IFERROR(TRANSPOSE(QUERY(IFERROR(SORT(GOOGLEFINANCE(C157, ""price"", WORKDAY(TODAY(), -40), TODAY()), 1, FALSE)), ""select Col2 where Col2 is not null limit 22 label Col2 ''"", 0)), """")"),"")</f>
        <v/>
      </c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8"/>
      <c r="AO157" s="28"/>
      <c r="AP157" s="29"/>
      <c r="AQ157" s="29" t="str">
        <f t="shared" ref="AQ157:BL157" si="161">T157/T$2</f>
        <v>#N/A</v>
      </c>
      <c r="AR157" s="29" t="str">
        <f t="shared" si="161"/>
        <v>#DIV/0!</v>
      </c>
      <c r="AS157" s="29" t="str">
        <f t="shared" si="161"/>
        <v>#DIV/0!</v>
      </c>
      <c r="AT157" s="29" t="str">
        <f t="shared" si="161"/>
        <v>#DIV/0!</v>
      </c>
      <c r="AU157" s="29" t="str">
        <f t="shared" si="161"/>
        <v>#DIV/0!</v>
      </c>
      <c r="AV157" s="29" t="str">
        <f t="shared" si="161"/>
        <v>#DIV/0!</v>
      </c>
      <c r="AW157" s="29" t="str">
        <f t="shared" si="161"/>
        <v>#DIV/0!</v>
      </c>
      <c r="AX157" s="29" t="str">
        <f t="shared" si="161"/>
        <v>#DIV/0!</v>
      </c>
      <c r="AY157" s="29" t="str">
        <f t="shared" si="161"/>
        <v>#DIV/0!</v>
      </c>
      <c r="AZ157" s="29" t="str">
        <f t="shared" si="161"/>
        <v>#DIV/0!</v>
      </c>
      <c r="BA157" s="29" t="str">
        <f t="shared" si="161"/>
        <v>#DIV/0!</v>
      </c>
      <c r="BB157" s="29" t="str">
        <f t="shared" si="161"/>
        <v>#DIV/0!</v>
      </c>
      <c r="BC157" s="29" t="str">
        <f t="shared" si="161"/>
        <v>#DIV/0!</v>
      </c>
      <c r="BD157" s="29" t="str">
        <f t="shared" si="161"/>
        <v>#DIV/0!</v>
      </c>
      <c r="BE157" s="29" t="str">
        <f t="shared" si="161"/>
        <v>#DIV/0!</v>
      </c>
      <c r="BF157" s="29" t="str">
        <f t="shared" si="161"/>
        <v>#DIV/0!</v>
      </c>
      <c r="BG157" s="29" t="str">
        <f t="shared" si="161"/>
        <v>#DIV/0!</v>
      </c>
      <c r="BH157" s="29" t="str">
        <f t="shared" si="161"/>
        <v>#DIV/0!</v>
      </c>
      <c r="BI157" s="29" t="str">
        <f t="shared" si="161"/>
        <v>#DIV/0!</v>
      </c>
      <c r="BJ157" s="29" t="str">
        <f t="shared" si="161"/>
        <v>#DIV/0!</v>
      </c>
      <c r="BK157" s="29" t="str">
        <f t="shared" si="161"/>
        <v>#DIV/0!</v>
      </c>
      <c r="BL157" s="29" t="str">
        <f t="shared" si="161"/>
        <v>#DIV/0!</v>
      </c>
      <c r="BM157" s="29" t="str">
        <f t="shared" si="3"/>
        <v>#DIV/0!</v>
      </c>
    </row>
    <row r="158">
      <c r="A158" s="16" t="str">
        <f>IFERROR(__xludf.DUMMYFUNCTION("IFERROR(SPARKLINE(SORT(MAP(TRANSPOSE(AQ158:BL158), LAMBDA(val, IF(ISNUMBER(val), PERCENTRANK(AQ158:BL158, val)+0.01, 0))), SEQUENCE(COLUMNS(AQ158:BL158)), FALSE), {""charttype"",""column""; ""color"",""chartreuse""; ""ymin"", 0; ""ymax"", 1.01; ""highcolo"&amp;"r"", ""darkgreen""; ""lowcolor"", ""red""}), """")"),"")</f>
        <v/>
      </c>
      <c r="B158" s="17" t="str">
        <f t="shared" si="4"/>
        <v/>
      </c>
      <c r="C158" s="1" t="s">
        <v>2055</v>
      </c>
      <c r="D158" s="30" t="str">
        <f>IFERROR(__xludf.DUMMYFUNCTION("IFERROR(GOOGLEFINANCE(C158, ""NAME""))"),"Heartflow Inc")</f>
        <v>Heartflow Inc</v>
      </c>
      <c r="E158" s="30" t="s">
        <v>1532</v>
      </c>
      <c r="F158" s="33" t="str">
        <f>IFERROR(__xludf.DUMMYFUNCTION("( (GOOGLEFINANCE(C158, ""price"") - Q158) / Q158 ) / (R158 / 100)"),"Loading...")</f>
        <v>Loading...</v>
      </c>
      <c r="G158" s="20" t="str">
        <f>IFERROR(__xludf.DUMMYFUNCTION("AVERAGE(ARRAYFORMULA(100 * (QUERY(GOOGLEFINANCE(C158, ""high"", TODAY()-40, TODAY()), ""SELECT Col2 WHERE Col2 IS NOT NULL ORDER BY Col1 DESC LIMIT 20"", 0) / QUERY(GOOGLEFINANCE(C158, ""low"", TODAY()-40, TODAY()), ""SELECT Col2 WHERE Col2 IS NOT NULL OR"&amp;"DER BY Col1 DESC LIMIT 20"", 0) - 1)))"),"#N/A")</f>
        <v>#N/A</v>
      </c>
      <c r="H158" s="35" t="str">
        <f t="shared" si="118"/>
        <v/>
      </c>
      <c r="I158" s="36" t="str">
        <f t="shared" si="7"/>
        <v/>
      </c>
      <c r="J158" s="37" t="str">
        <f>IFERROR(__xludf.DUMMYFUNCTION("IFERROR(
  IF(C158="""",, 
    IFERROR(
      GOOGLEFINANCE(C158, ""price"") * GOOGLEFINANCE(C158, ""volumeavg""), 
      GOOGLEFINANCE(C158, ""price"") * AVERAGE(QUERY(GOOGLEFINANCE(C158, ""volume"", TODAY()-40, TODAY()), ""SELECT Col2 WHERE Col2 IS NOT "&amp;"NULL ORDER BY Col1 DESC LIMIT 20"", 0))
    )
  ), 
"""")"),"")</f>
        <v/>
      </c>
      <c r="K158" s="21" t="str">
        <f>IFERROR(__xludf.DUMMYFUNCTION("IFERROR(GOOGLEFINANCE(C158, ""changepct"") / 100, """")"),"")</f>
        <v/>
      </c>
      <c r="L158" s="21" t="str">
        <f>IFERROR(__xludf.DUMMYFUNCTION("IFERROR((GOOGLEFINANCE(C158, ""price"") / INDEX(GOOGLEFINANCE(C158, ""price"", TODAY()-7, TODAY()), 2, 2)) - 1, """")"),"")</f>
        <v/>
      </c>
      <c r="M158" s="21" t="str">
        <f>IFERROR(__xludf.DUMMYFUNCTION("IFERROR((GOOGLEFINANCE(C158, ""price"") / INDEX(GOOGLEFINANCE(C158, ""price"", EDATE(TODAY(), -1), TODAY()), 2, 2)) - 1, """")"),"")</f>
        <v/>
      </c>
      <c r="N158" s="21" t="str">
        <f>IFERROR(__xludf.DUMMYFUNCTION("IFERROR((GOOGLEFINANCE(C158, ""price"") / INDEX(GOOGLEFINANCE(C158, ""price"", EDATE(TODAY(), -3), TODAY()), 2, 2)) - 1, """")"),"")</f>
        <v/>
      </c>
      <c r="O158" s="21" t="str">
        <f>IFERROR(__xludf.DUMMYFUNCTION("IFERROR((GOOGLEFINANCE(C158, ""price"") / INDEX(GOOGLEFINANCE(C158, ""price"", EDATE(TODAY(), -6), TODAY()), 2, 2)) - 1, """")"),"")</f>
        <v/>
      </c>
      <c r="P158" s="21" t="str">
        <f>IFERROR(__xludf.DUMMYFUNCTION("IFERROR((GOOGLEFINANCE(C158, ""price"") / INDEX(GOOGLEFINANCE(C158, ""price"", EDATE(TODAY(), -12), TODAY()), 2, 2)) - 1, """")"),"")</f>
        <v/>
      </c>
      <c r="Q158" s="6" t="str">
        <f>IFERROR(__xludf.DUMMYFUNCTION("AVERAGE(QUERY(GOOGLEFINANCE(C158, ""price"", TODAY()-80, TODAY()), ""SELECT Col2 WHERE Col2 IS NOT NULL ORDER BY Col1 DESC LIMIT 50"", 0))"),"#N/A")</f>
        <v>#N/A</v>
      </c>
      <c r="R158" s="24" t="str">
        <f>IFERROR(__xludf.DUMMYFUNCTION("IFERROR(
  LET(
    data, QUERY(GOOGLEFINANCE(C158,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GOOGLEFINANCE(C158, ""price"")) * 100,
    IF(calc=0, G158, calc)
  ), 
G158)"),"#N/A")</f>
        <v>#N/A</v>
      </c>
      <c r="S158" s="8" t="s">
        <v>15</v>
      </c>
      <c r="T158" s="26" t="str">
        <f>IFERROR(__xludf.DUMMYFUNCTION("IFERROR(TRANSPOSE(QUERY(IFERROR(SORT(GOOGLEFINANCE(C158, ""price"", WORKDAY(TODAY(), -40), TODAY()), 1, FALSE)), ""select Col2 where Col2 is not null limit 22 label Col2 ''"", 0)), """")"),"")</f>
        <v/>
      </c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8"/>
      <c r="AO158" s="28"/>
      <c r="AP158" s="29"/>
      <c r="AQ158" s="29" t="str">
        <f t="shared" ref="AQ158:BL158" si="162">T158/T$2</f>
        <v>#N/A</v>
      </c>
      <c r="AR158" s="29" t="str">
        <f t="shared" si="162"/>
        <v>#DIV/0!</v>
      </c>
      <c r="AS158" s="29" t="str">
        <f t="shared" si="162"/>
        <v>#DIV/0!</v>
      </c>
      <c r="AT158" s="29" t="str">
        <f t="shared" si="162"/>
        <v>#DIV/0!</v>
      </c>
      <c r="AU158" s="29" t="str">
        <f t="shared" si="162"/>
        <v>#DIV/0!</v>
      </c>
      <c r="AV158" s="29" t="str">
        <f t="shared" si="162"/>
        <v>#DIV/0!</v>
      </c>
      <c r="AW158" s="29" t="str">
        <f t="shared" si="162"/>
        <v>#DIV/0!</v>
      </c>
      <c r="AX158" s="29" t="str">
        <f t="shared" si="162"/>
        <v>#DIV/0!</v>
      </c>
      <c r="AY158" s="29" t="str">
        <f t="shared" si="162"/>
        <v>#DIV/0!</v>
      </c>
      <c r="AZ158" s="29" t="str">
        <f t="shared" si="162"/>
        <v>#DIV/0!</v>
      </c>
      <c r="BA158" s="29" t="str">
        <f t="shared" si="162"/>
        <v>#DIV/0!</v>
      </c>
      <c r="BB158" s="29" t="str">
        <f t="shared" si="162"/>
        <v>#DIV/0!</v>
      </c>
      <c r="BC158" s="29" t="str">
        <f t="shared" si="162"/>
        <v>#DIV/0!</v>
      </c>
      <c r="BD158" s="29" t="str">
        <f t="shared" si="162"/>
        <v>#DIV/0!</v>
      </c>
      <c r="BE158" s="29" t="str">
        <f t="shared" si="162"/>
        <v>#DIV/0!</v>
      </c>
      <c r="BF158" s="29" t="str">
        <f t="shared" si="162"/>
        <v>#DIV/0!</v>
      </c>
      <c r="BG158" s="29" t="str">
        <f t="shared" si="162"/>
        <v>#DIV/0!</v>
      </c>
      <c r="BH158" s="29" t="str">
        <f t="shared" si="162"/>
        <v>#DIV/0!</v>
      </c>
      <c r="BI158" s="29" t="str">
        <f t="shared" si="162"/>
        <v>#DIV/0!</v>
      </c>
      <c r="BJ158" s="29" t="str">
        <f t="shared" si="162"/>
        <v>#DIV/0!</v>
      </c>
      <c r="BK158" s="29" t="str">
        <f t="shared" si="162"/>
        <v>#DIV/0!</v>
      </c>
      <c r="BL158" s="29" t="str">
        <f t="shared" si="162"/>
        <v>#DIV/0!</v>
      </c>
      <c r="BM158" s="29" t="str">
        <f t="shared" si="3"/>
        <v>#DIV/0!</v>
      </c>
    </row>
    <row r="159">
      <c r="A159" s="16" t="str">
        <f>IFERROR(__xludf.DUMMYFUNCTION("IFERROR(SPARKLINE(SORT(MAP(TRANSPOSE(AQ159:BL159), LAMBDA(val, IF(ISNUMBER(val), PERCENTRANK(AQ159:BL159, val)+0.01, 0))), SEQUENCE(COLUMNS(AQ159:BL159)), FALSE), {""charttype"",""column""; ""color"",""chartreuse""; ""ymin"", 0; ""ymax"", 1.01; ""highcolo"&amp;"r"", ""darkgreen""; ""lowcolor"", ""red""}), """")"),"")</f>
        <v/>
      </c>
      <c r="B159" s="17" t="str">
        <f t="shared" si="4"/>
        <v/>
      </c>
      <c r="C159" s="1" t="s">
        <v>2058</v>
      </c>
      <c r="D159" s="30" t="str">
        <f>IFERROR(__xludf.DUMMYFUNCTION("IFERROR(GOOGLEFINANCE(C159, ""NAME""))"),"Haemonetics Corp")</f>
        <v>Haemonetics Corp</v>
      </c>
      <c r="E159" s="30" t="s">
        <v>1491</v>
      </c>
      <c r="F159" s="33" t="str">
        <f>IFERROR(__xludf.DUMMYFUNCTION("( (GOOGLEFINANCE(C159, ""price"") - Q159) / Q159 ) / (R159 / 100)"),"Loading...")</f>
        <v>Loading...</v>
      </c>
      <c r="G159" s="20" t="str">
        <f>IFERROR(__xludf.DUMMYFUNCTION("AVERAGE(ARRAYFORMULA(100 * (QUERY(GOOGLEFINANCE(C159, ""high"", TODAY()-40, TODAY()), ""SELECT Col2 WHERE Col2 IS NOT NULL ORDER BY Col1 DESC LIMIT 20"", 0) / QUERY(GOOGLEFINANCE(C159, ""low"", TODAY()-40, TODAY()), ""SELECT Col2 WHERE Col2 IS NOT NULL OR"&amp;"DER BY Col1 DESC LIMIT 20"", 0) - 1)))"),"#N/A")</f>
        <v>#N/A</v>
      </c>
      <c r="H159" s="35" t="str">
        <f t="shared" si="118"/>
        <v/>
      </c>
      <c r="I159" s="36" t="str">
        <f t="shared" si="7"/>
        <v/>
      </c>
      <c r="J159" s="37" t="str">
        <f>IFERROR(__xludf.DUMMYFUNCTION("IFERROR(
  IF(C159="""",, 
    IFERROR(
      GOOGLEFINANCE(C159, ""price"") * GOOGLEFINANCE(C159, ""volumeavg""), 
      GOOGLEFINANCE(C159, ""price"") * AVERAGE(QUERY(GOOGLEFINANCE(C159, ""volume"", TODAY()-40, TODAY()), ""SELECT Col2 WHERE Col2 IS NOT "&amp;"NULL ORDER BY Col1 DESC LIMIT 20"", 0))
    )
  ), 
"""")"),"")</f>
        <v/>
      </c>
      <c r="K159" s="21" t="str">
        <f>IFERROR(__xludf.DUMMYFUNCTION("IFERROR(GOOGLEFINANCE(C159, ""changepct"") / 100, """")"),"")</f>
        <v/>
      </c>
      <c r="L159" s="21" t="str">
        <f>IFERROR(__xludf.DUMMYFUNCTION("IFERROR((GOOGLEFINANCE(C159, ""price"") / INDEX(GOOGLEFINANCE(C159, ""price"", TODAY()-7, TODAY()), 2, 2)) - 1, """")"),"")</f>
        <v/>
      </c>
      <c r="M159" s="21" t="str">
        <f>IFERROR(__xludf.DUMMYFUNCTION("IFERROR((GOOGLEFINANCE(C159, ""price"") / INDEX(GOOGLEFINANCE(C159, ""price"", EDATE(TODAY(), -1), TODAY()), 2, 2)) - 1, """")"),"")</f>
        <v/>
      </c>
      <c r="N159" s="21" t="str">
        <f>IFERROR(__xludf.DUMMYFUNCTION("IFERROR((GOOGLEFINANCE(C159, ""price"") / INDEX(GOOGLEFINANCE(C159, ""price"", EDATE(TODAY(), -3), TODAY()), 2, 2)) - 1, """")"),"")</f>
        <v/>
      </c>
      <c r="O159" s="21" t="str">
        <f>IFERROR(__xludf.DUMMYFUNCTION("IFERROR((GOOGLEFINANCE(C159, ""price"") / INDEX(GOOGLEFINANCE(C159, ""price"", EDATE(TODAY(), -6), TODAY()), 2, 2)) - 1, """")"),"")</f>
        <v/>
      </c>
      <c r="P159" s="21" t="str">
        <f>IFERROR(__xludf.DUMMYFUNCTION("IFERROR((GOOGLEFINANCE(C159, ""price"") / INDEX(GOOGLEFINANCE(C159, ""price"", EDATE(TODAY(), -12), TODAY()), 2, 2)) - 1, """")"),"")</f>
        <v/>
      </c>
      <c r="Q159" s="6" t="str">
        <f>IFERROR(__xludf.DUMMYFUNCTION("AVERAGE(QUERY(GOOGLEFINANCE(C159, ""price"", TODAY()-80, TODAY()), ""SELECT Col2 WHERE Col2 IS NOT NULL ORDER BY Col1 DESC LIMIT 50"", 0))"),"#N/A")</f>
        <v>#N/A</v>
      </c>
      <c r="R159" s="24" t="str">
        <f>IFERROR(__xludf.DUMMYFUNCTION("IFERROR(
  LET(
    data, QUERY(GOOGLEFINANCE(C159,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GOOGLEFINANCE(C159, ""price"")) * 100,
    IF(calc=0, G159, calc)
  ), 
G159)"),"#N/A")</f>
        <v>#N/A</v>
      </c>
      <c r="S159" s="8" t="s">
        <v>15</v>
      </c>
      <c r="T159" s="26" t="str">
        <f>IFERROR(__xludf.DUMMYFUNCTION("IFERROR(TRANSPOSE(QUERY(IFERROR(SORT(GOOGLEFINANCE(C159, ""price"", WORKDAY(TODAY(), -40), TODAY()), 1, FALSE)), ""select Col2 where Col2 is not null limit 22 label Col2 ''"", 0)), """")"),"")</f>
        <v/>
      </c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8"/>
      <c r="AO159" s="28"/>
      <c r="AP159" s="29"/>
      <c r="AQ159" s="29" t="str">
        <f t="shared" ref="AQ159:BL159" si="163">T159/T$2</f>
        <v>#N/A</v>
      </c>
      <c r="AR159" s="29" t="str">
        <f t="shared" si="163"/>
        <v>#DIV/0!</v>
      </c>
      <c r="AS159" s="29" t="str">
        <f t="shared" si="163"/>
        <v>#DIV/0!</v>
      </c>
      <c r="AT159" s="29" t="str">
        <f t="shared" si="163"/>
        <v>#DIV/0!</v>
      </c>
      <c r="AU159" s="29" t="str">
        <f t="shared" si="163"/>
        <v>#DIV/0!</v>
      </c>
      <c r="AV159" s="29" t="str">
        <f t="shared" si="163"/>
        <v>#DIV/0!</v>
      </c>
      <c r="AW159" s="29" t="str">
        <f t="shared" si="163"/>
        <v>#DIV/0!</v>
      </c>
      <c r="AX159" s="29" t="str">
        <f t="shared" si="163"/>
        <v>#DIV/0!</v>
      </c>
      <c r="AY159" s="29" t="str">
        <f t="shared" si="163"/>
        <v>#DIV/0!</v>
      </c>
      <c r="AZ159" s="29" t="str">
        <f t="shared" si="163"/>
        <v>#DIV/0!</v>
      </c>
      <c r="BA159" s="29" t="str">
        <f t="shared" si="163"/>
        <v>#DIV/0!</v>
      </c>
      <c r="BB159" s="29" t="str">
        <f t="shared" si="163"/>
        <v>#DIV/0!</v>
      </c>
      <c r="BC159" s="29" t="str">
        <f t="shared" si="163"/>
        <v>#DIV/0!</v>
      </c>
      <c r="BD159" s="29" t="str">
        <f t="shared" si="163"/>
        <v>#DIV/0!</v>
      </c>
      <c r="BE159" s="29" t="str">
        <f t="shared" si="163"/>
        <v>#DIV/0!</v>
      </c>
      <c r="BF159" s="29" t="str">
        <f t="shared" si="163"/>
        <v>#DIV/0!</v>
      </c>
      <c r="BG159" s="29" t="str">
        <f t="shared" si="163"/>
        <v>#DIV/0!</v>
      </c>
      <c r="BH159" s="29" t="str">
        <f t="shared" si="163"/>
        <v>#DIV/0!</v>
      </c>
      <c r="BI159" s="29" t="str">
        <f t="shared" si="163"/>
        <v>#DIV/0!</v>
      </c>
      <c r="BJ159" s="29" t="str">
        <f t="shared" si="163"/>
        <v>#DIV/0!</v>
      </c>
      <c r="BK159" s="29" t="str">
        <f t="shared" si="163"/>
        <v>#DIV/0!</v>
      </c>
      <c r="BL159" s="29" t="str">
        <f t="shared" si="163"/>
        <v>#DIV/0!</v>
      </c>
      <c r="BM159" s="29" t="str">
        <f t="shared" si="3"/>
        <v>#DIV/0!</v>
      </c>
    </row>
    <row r="160">
      <c r="A160" s="16" t="str">
        <f>IFERROR(__xludf.DUMMYFUNCTION("IFERROR(SPARKLINE(SORT(MAP(TRANSPOSE(AQ160:BL160), LAMBDA(val, IF(ISNUMBER(val), PERCENTRANK(AQ160:BL160, val)+0.01, 0))), SEQUENCE(COLUMNS(AQ160:BL160)), FALSE), {""charttype"",""column""; ""color"",""chartreuse""; ""ymin"", 0; ""ymax"", 1.01; ""highcolo"&amp;"r"", ""darkgreen""; ""lowcolor"", ""red""}), """")"),"")</f>
        <v/>
      </c>
      <c r="B160" s="17" t="str">
        <f t="shared" si="4"/>
        <v/>
      </c>
      <c r="C160" s="1" t="s">
        <v>2061</v>
      </c>
      <c r="D160" s="30" t="str">
        <f>IFERROR(__xludf.DUMMYFUNCTION("IFERROR(GOOGLEFINANCE(C160, ""NAME""))"),"Bausch + Lomb Corp")</f>
        <v>Bausch + Lomb Corp</v>
      </c>
      <c r="E160" s="30" t="s">
        <v>1502</v>
      </c>
      <c r="F160" s="33" t="str">
        <f>IFERROR(__xludf.DUMMYFUNCTION("( (GOOGLEFINANCE(C160, ""price"") - Q160) / Q160 ) / (R160 / 100)"),"Loading...")</f>
        <v>Loading...</v>
      </c>
      <c r="G160" s="20" t="str">
        <f>IFERROR(__xludf.DUMMYFUNCTION("AVERAGE(ARRAYFORMULA(100 * (QUERY(GOOGLEFINANCE(C160, ""high"", TODAY()-40, TODAY()), ""SELECT Col2 WHERE Col2 IS NOT NULL ORDER BY Col1 DESC LIMIT 20"", 0) / QUERY(GOOGLEFINANCE(C160, ""low"", TODAY()-40, TODAY()), ""SELECT Col2 WHERE Col2 IS NOT NULL OR"&amp;"DER BY Col1 DESC LIMIT 20"", 0) - 1)))"),"#N/A")</f>
        <v>#N/A</v>
      </c>
      <c r="H160" s="35" t="str">
        <f t="shared" si="118"/>
        <v/>
      </c>
      <c r="I160" s="36" t="str">
        <f t="shared" si="7"/>
        <v/>
      </c>
      <c r="J160" s="37" t="str">
        <f>IFERROR(__xludf.DUMMYFUNCTION("IFERROR(
  IF(C160="""",, 
    IFERROR(
      GOOGLEFINANCE(C160, ""price"") * GOOGLEFINANCE(C160, ""volumeavg""), 
      GOOGLEFINANCE(C160, ""price"") * AVERAGE(QUERY(GOOGLEFINANCE(C160, ""volume"", TODAY()-40, TODAY()), ""SELECT Col2 WHERE Col2 IS NOT "&amp;"NULL ORDER BY Col1 DESC LIMIT 20"", 0))
    )
  ), 
"""")"),"")</f>
        <v/>
      </c>
      <c r="K160" s="21" t="str">
        <f>IFERROR(__xludf.DUMMYFUNCTION("IFERROR(GOOGLEFINANCE(C160, ""changepct"") / 100, """")"),"")</f>
        <v/>
      </c>
      <c r="L160" s="21" t="str">
        <f>IFERROR(__xludf.DUMMYFUNCTION("IFERROR((GOOGLEFINANCE(C160, ""price"") / INDEX(GOOGLEFINANCE(C160, ""price"", TODAY()-7, TODAY()), 2, 2)) - 1, """")"),"")</f>
        <v/>
      </c>
      <c r="M160" s="21" t="str">
        <f>IFERROR(__xludf.DUMMYFUNCTION("IFERROR((GOOGLEFINANCE(C160, ""price"") / INDEX(GOOGLEFINANCE(C160, ""price"", EDATE(TODAY(), -1), TODAY()), 2, 2)) - 1, """")"),"")</f>
        <v/>
      </c>
      <c r="N160" s="21" t="str">
        <f>IFERROR(__xludf.DUMMYFUNCTION("IFERROR((GOOGLEFINANCE(C160, ""price"") / INDEX(GOOGLEFINANCE(C160, ""price"", EDATE(TODAY(), -3), TODAY()), 2, 2)) - 1, """")"),"")</f>
        <v/>
      </c>
      <c r="O160" s="21" t="str">
        <f>IFERROR(__xludf.DUMMYFUNCTION("IFERROR((GOOGLEFINANCE(C160, ""price"") / INDEX(GOOGLEFINANCE(C160, ""price"", EDATE(TODAY(), -6), TODAY()), 2, 2)) - 1, """")"),"")</f>
        <v/>
      </c>
      <c r="P160" s="21" t="str">
        <f>IFERROR(__xludf.DUMMYFUNCTION("IFERROR((GOOGLEFINANCE(C160, ""price"") / INDEX(GOOGLEFINANCE(C160, ""price"", EDATE(TODAY(), -12), TODAY()), 2, 2)) - 1, """")"),"")</f>
        <v/>
      </c>
      <c r="Q160" s="6" t="str">
        <f>IFERROR(__xludf.DUMMYFUNCTION("AVERAGE(QUERY(GOOGLEFINANCE(C160, ""price"", TODAY()-80, TODAY()), ""SELECT Col2 WHERE Col2 IS NOT NULL ORDER BY Col1 DESC LIMIT 50"", 0))"),"#N/A")</f>
        <v>#N/A</v>
      </c>
      <c r="R160" s="24" t="str">
        <f>IFERROR(__xludf.DUMMYFUNCTION("IFERROR(
  LET(
    data, QUERY(GOOGLEFINANCE(C160,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GOOGLEFINANCE(C160, ""price"")) * 100,
    IF(calc=0, G160, calc)
  ), 
G160)"),"#N/A")</f>
        <v>#N/A</v>
      </c>
      <c r="S160" s="8" t="s">
        <v>15</v>
      </c>
      <c r="T160" s="26" t="str">
        <f>IFERROR(__xludf.DUMMYFUNCTION("IFERROR(TRANSPOSE(QUERY(IFERROR(SORT(GOOGLEFINANCE(C160, ""price"", WORKDAY(TODAY(), -40), TODAY()), 1, FALSE)), ""select Col2 where Col2 is not null limit 22 label Col2 ''"", 0)), """")"),"")</f>
        <v/>
      </c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8"/>
      <c r="AO160" s="28"/>
      <c r="AP160" s="29"/>
      <c r="AQ160" s="29" t="str">
        <f t="shared" ref="AQ160:BL160" si="164">T160/T$2</f>
        <v>#N/A</v>
      </c>
      <c r="AR160" s="29" t="str">
        <f t="shared" si="164"/>
        <v>#DIV/0!</v>
      </c>
      <c r="AS160" s="29" t="str">
        <f t="shared" si="164"/>
        <v>#DIV/0!</v>
      </c>
      <c r="AT160" s="29" t="str">
        <f t="shared" si="164"/>
        <v>#DIV/0!</v>
      </c>
      <c r="AU160" s="29" t="str">
        <f t="shared" si="164"/>
        <v>#DIV/0!</v>
      </c>
      <c r="AV160" s="29" t="str">
        <f t="shared" si="164"/>
        <v>#DIV/0!</v>
      </c>
      <c r="AW160" s="29" t="str">
        <f t="shared" si="164"/>
        <v>#DIV/0!</v>
      </c>
      <c r="AX160" s="29" t="str">
        <f t="shared" si="164"/>
        <v>#DIV/0!</v>
      </c>
      <c r="AY160" s="29" t="str">
        <f t="shared" si="164"/>
        <v>#DIV/0!</v>
      </c>
      <c r="AZ160" s="29" t="str">
        <f t="shared" si="164"/>
        <v>#DIV/0!</v>
      </c>
      <c r="BA160" s="29" t="str">
        <f t="shared" si="164"/>
        <v>#DIV/0!</v>
      </c>
      <c r="BB160" s="29" t="str">
        <f t="shared" si="164"/>
        <v>#DIV/0!</v>
      </c>
      <c r="BC160" s="29" t="str">
        <f t="shared" si="164"/>
        <v>#DIV/0!</v>
      </c>
      <c r="BD160" s="29" t="str">
        <f t="shared" si="164"/>
        <v>#DIV/0!</v>
      </c>
      <c r="BE160" s="29" t="str">
        <f t="shared" si="164"/>
        <v>#DIV/0!</v>
      </c>
      <c r="BF160" s="29" t="str">
        <f t="shared" si="164"/>
        <v>#DIV/0!</v>
      </c>
      <c r="BG160" s="29" t="str">
        <f t="shared" si="164"/>
        <v>#DIV/0!</v>
      </c>
      <c r="BH160" s="29" t="str">
        <f t="shared" si="164"/>
        <v>#DIV/0!</v>
      </c>
      <c r="BI160" s="29" t="str">
        <f t="shared" si="164"/>
        <v>#DIV/0!</v>
      </c>
      <c r="BJ160" s="29" t="str">
        <f t="shared" si="164"/>
        <v>#DIV/0!</v>
      </c>
      <c r="BK160" s="29" t="str">
        <f t="shared" si="164"/>
        <v>#DIV/0!</v>
      </c>
      <c r="BL160" s="29" t="str">
        <f t="shared" si="164"/>
        <v>#DIV/0!</v>
      </c>
      <c r="BM160" s="29" t="str">
        <f t="shared" si="3"/>
        <v>#DIV/0!</v>
      </c>
    </row>
    <row r="161">
      <c r="A161" s="16" t="str">
        <f>IFERROR(__xludf.DUMMYFUNCTION("IFERROR(SPARKLINE(SORT(MAP(TRANSPOSE(AQ161:BL161), LAMBDA(val, IF(ISNUMBER(val), PERCENTRANK(AQ161:BL161, val)+0.01, 0))), SEQUENCE(COLUMNS(AQ161:BL161)), FALSE), {""charttype"",""column""; ""color"",""chartreuse""; ""ymin"", 0; ""ymax"", 1.01; ""highcolo"&amp;"r"", ""darkgreen""; ""lowcolor"", ""red""}), """")"),"")</f>
        <v/>
      </c>
      <c r="B161" s="17" t="str">
        <f t="shared" si="4"/>
        <v/>
      </c>
      <c r="C161" s="1" t="s">
        <v>2065</v>
      </c>
      <c r="D161" s="30" t="str">
        <f>IFERROR(__xludf.DUMMYFUNCTION("IFERROR(GOOGLEFINANCE(C161, ""NAME""))"),"Medpace Holdings Inc")</f>
        <v>Medpace Holdings Inc</v>
      </c>
      <c r="E161" s="30" t="s">
        <v>1499</v>
      </c>
      <c r="F161" s="33" t="str">
        <f>IFERROR(__xludf.DUMMYFUNCTION("( (GOOGLEFINANCE(C161, ""price"") - Q161) / Q161 ) / (R161 / 100)"),"Loading...")</f>
        <v>Loading...</v>
      </c>
      <c r="G161" s="20" t="str">
        <f>IFERROR(__xludf.DUMMYFUNCTION("AVERAGE(ARRAYFORMULA(100 * (QUERY(GOOGLEFINANCE(C161, ""high"", TODAY()-40, TODAY()), ""SELECT Col2 WHERE Col2 IS NOT NULL ORDER BY Col1 DESC LIMIT 20"", 0) / QUERY(GOOGLEFINANCE(C161, ""low"", TODAY()-40, TODAY()), ""SELECT Col2 WHERE Col2 IS NOT NULL OR"&amp;"DER BY Col1 DESC LIMIT 20"", 0) - 1)))"),"#N/A")</f>
        <v>#N/A</v>
      </c>
      <c r="H161" s="35" t="str">
        <f t="shared" si="118"/>
        <v/>
      </c>
      <c r="I161" s="36" t="str">
        <f t="shared" si="7"/>
        <v/>
      </c>
      <c r="J161" s="37" t="str">
        <f>IFERROR(__xludf.DUMMYFUNCTION("IFERROR(
  IF(C161="""",, 
    IFERROR(
      GOOGLEFINANCE(C161, ""price"") * GOOGLEFINANCE(C161, ""volumeavg""), 
      GOOGLEFINANCE(C161, ""price"") * AVERAGE(QUERY(GOOGLEFINANCE(C161, ""volume"", TODAY()-40, TODAY()), ""SELECT Col2 WHERE Col2 IS NOT "&amp;"NULL ORDER BY Col1 DESC LIMIT 20"", 0))
    )
  ), 
"""")"),"")</f>
        <v/>
      </c>
      <c r="K161" s="21" t="str">
        <f>IFERROR(__xludf.DUMMYFUNCTION("IFERROR(GOOGLEFINANCE(C161, ""changepct"") / 100, """")"),"")</f>
        <v/>
      </c>
      <c r="L161" s="21" t="str">
        <f>IFERROR(__xludf.DUMMYFUNCTION("IFERROR((GOOGLEFINANCE(C161, ""price"") / INDEX(GOOGLEFINANCE(C161, ""price"", TODAY()-7, TODAY()), 2, 2)) - 1, """")"),"")</f>
        <v/>
      </c>
      <c r="M161" s="21" t="str">
        <f>IFERROR(__xludf.DUMMYFUNCTION("IFERROR((GOOGLEFINANCE(C161, ""price"") / INDEX(GOOGLEFINANCE(C161, ""price"", EDATE(TODAY(), -1), TODAY()), 2, 2)) - 1, """")"),"")</f>
        <v/>
      </c>
      <c r="N161" s="21" t="str">
        <f>IFERROR(__xludf.DUMMYFUNCTION("IFERROR((GOOGLEFINANCE(C161, ""price"") / INDEX(GOOGLEFINANCE(C161, ""price"", EDATE(TODAY(), -3), TODAY()), 2, 2)) - 1, """")"),"")</f>
        <v/>
      </c>
      <c r="O161" s="21" t="str">
        <f>IFERROR(__xludf.DUMMYFUNCTION("IFERROR((GOOGLEFINANCE(C161, ""price"") / INDEX(GOOGLEFINANCE(C161, ""price"", EDATE(TODAY(), -6), TODAY()), 2, 2)) - 1, """")"),"")</f>
        <v/>
      </c>
      <c r="P161" s="21" t="str">
        <f>IFERROR(__xludf.DUMMYFUNCTION("IFERROR((GOOGLEFINANCE(C161, ""price"") / INDEX(GOOGLEFINANCE(C161, ""price"", EDATE(TODAY(), -12), TODAY()), 2, 2)) - 1, """")"),"")</f>
        <v/>
      </c>
      <c r="Q161" s="6" t="str">
        <f>IFERROR(__xludf.DUMMYFUNCTION("AVERAGE(QUERY(GOOGLEFINANCE(C161, ""price"", TODAY()-80, TODAY()), ""SELECT Col2 WHERE Col2 IS NOT NULL ORDER BY Col1 DESC LIMIT 50"", 0))"),"#N/A")</f>
        <v>#N/A</v>
      </c>
      <c r="R161" s="24" t="str">
        <f>IFERROR(__xludf.DUMMYFUNCTION("IFERROR(
  LET(
    data, QUERY(GOOGLEFINANCE(C161,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GOOGLEFINANCE(C161, ""price"")) * 100,
    IF(calc=0, G161, calc)
  ), 
G161)"),"#N/A")</f>
        <v>#N/A</v>
      </c>
      <c r="S161" s="8" t="s">
        <v>15</v>
      </c>
      <c r="T161" s="26" t="str">
        <f>IFERROR(__xludf.DUMMYFUNCTION("IFERROR(TRANSPOSE(QUERY(IFERROR(SORT(GOOGLEFINANCE(C161, ""price"", WORKDAY(TODAY(), -40), TODAY()), 1, FALSE)), ""select Col2 where Col2 is not null limit 22 label Col2 ''"", 0)), """")"),"")</f>
        <v/>
      </c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8"/>
      <c r="AO161" s="28"/>
      <c r="AP161" s="29"/>
      <c r="AQ161" s="29" t="str">
        <f t="shared" ref="AQ161:BL161" si="165">T161/T$2</f>
        <v>#N/A</v>
      </c>
      <c r="AR161" s="29" t="str">
        <f t="shared" si="165"/>
        <v>#DIV/0!</v>
      </c>
      <c r="AS161" s="29" t="str">
        <f t="shared" si="165"/>
        <v>#DIV/0!</v>
      </c>
      <c r="AT161" s="29" t="str">
        <f t="shared" si="165"/>
        <v>#DIV/0!</v>
      </c>
      <c r="AU161" s="29" t="str">
        <f t="shared" si="165"/>
        <v>#DIV/0!</v>
      </c>
      <c r="AV161" s="29" t="str">
        <f t="shared" si="165"/>
        <v>#DIV/0!</v>
      </c>
      <c r="AW161" s="29" t="str">
        <f t="shared" si="165"/>
        <v>#DIV/0!</v>
      </c>
      <c r="AX161" s="29" t="str">
        <f t="shared" si="165"/>
        <v>#DIV/0!</v>
      </c>
      <c r="AY161" s="29" t="str">
        <f t="shared" si="165"/>
        <v>#DIV/0!</v>
      </c>
      <c r="AZ161" s="29" t="str">
        <f t="shared" si="165"/>
        <v>#DIV/0!</v>
      </c>
      <c r="BA161" s="29" t="str">
        <f t="shared" si="165"/>
        <v>#DIV/0!</v>
      </c>
      <c r="BB161" s="29" t="str">
        <f t="shared" si="165"/>
        <v>#DIV/0!</v>
      </c>
      <c r="BC161" s="29" t="str">
        <f t="shared" si="165"/>
        <v>#DIV/0!</v>
      </c>
      <c r="BD161" s="29" t="str">
        <f t="shared" si="165"/>
        <v>#DIV/0!</v>
      </c>
      <c r="BE161" s="29" t="str">
        <f t="shared" si="165"/>
        <v>#DIV/0!</v>
      </c>
      <c r="BF161" s="29" t="str">
        <f t="shared" si="165"/>
        <v>#DIV/0!</v>
      </c>
      <c r="BG161" s="29" t="str">
        <f t="shared" si="165"/>
        <v>#DIV/0!</v>
      </c>
      <c r="BH161" s="29" t="str">
        <f t="shared" si="165"/>
        <v>#DIV/0!</v>
      </c>
      <c r="BI161" s="29" t="str">
        <f t="shared" si="165"/>
        <v>#DIV/0!</v>
      </c>
      <c r="BJ161" s="29" t="str">
        <f t="shared" si="165"/>
        <v>#DIV/0!</v>
      </c>
      <c r="BK161" s="29" t="str">
        <f t="shared" si="165"/>
        <v>#DIV/0!</v>
      </c>
      <c r="BL161" s="29" t="str">
        <f t="shared" si="165"/>
        <v>#DIV/0!</v>
      </c>
      <c r="BM161" s="29" t="str">
        <f t="shared" si="3"/>
        <v>#DIV/0!</v>
      </c>
    </row>
    <row r="162">
      <c r="A162" s="16" t="str">
        <f>IFERROR(__xludf.DUMMYFUNCTION("IFERROR(SPARKLINE(SORT(MAP(TRANSPOSE(AQ162:BL162), LAMBDA(val, IF(ISNUMBER(val), PERCENTRANK(AQ162:BL162, val)+0.01, 0))), SEQUENCE(COLUMNS(AQ162:BL162)), FALSE), {""charttype"",""column""; ""color"",""chartreuse""; ""ymin"", 0; ""ymax"", 1.01; ""highcolo"&amp;"r"", ""darkgreen""; ""lowcolor"", ""red""}), """")"),"")</f>
        <v/>
      </c>
      <c r="B162" s="17" t="str">
        <f t="shared" si="4"/>
        <v/>
      </c>
      <c r="C162" s="1" t="s">
        <v>2070</v>
      </c>
      <c r="D162" s="30" t="str">
        <f>IFERROR(__xludf.DUMMYFUNCTION("IFERROR(GOOGLEFINANCE(C162, ""NAME""))"),"Inmode Ltd")</f>
        <v>Inmode Ltd</v>
      </c>
      <c r="E162" s="30" t="s">
        <v>1491</v>
      </c>
      <c r="F162" s="33" t="str">
        <f>IFERROR(__xludf.DUMMYFUNCTION("( (GOOGLEFINANCE(C162, ""price"") - Q162) / Q162 ) / (R162 / 100)"),"Loading...")</f>
        <v>Loading...</v>
      </c>
      <c r="G162" s="20" t="str">
        <f>IFERROR(__xludf.DUMMYFUNCTION("AVERAGE(ARRAYFORMULA(100 * (QUERY(GOOGLEFINANCE(C162, ""high"", TODAY()-40, TODAY()), ""SELECT Col2 WHERE Col2 IS NOT NULL ORDER BY Col1 DESC LIMIT 20"", 0) / QUERY(GOOGLEFINANCE(C162, ""low"", TODAY()-40, TODAY()), ""SELECT Col2 WHERE Col2 IS NOT NULL OR"&amp;"DER BY Col1 DESC LIMIT 20"", 0) - 1)))"),"#N/A")</f>
        <v>#N/A</v>
      </c>
      <c r="H162" s="35" t="str">
        <f t="shared" si="118"/>
        <v/>
      </c>
      <c r="I162" s="36" t="str">
        <f t="shared" si="7"/>
        <v/>
      </c>
      <c r="J162" s="37" t="str">
        <f>IFERROR(__xludf.DUMMYFUNCTION("IFERROR(
  IF(C162="""",, 
    IFERROR(
      GOOGLEFINANCE(C162, ""price"") * GOOGLEFINANCE(C162, ""volumeavg""), 
      GOOGLEFINANCE(C162, ""price"") * AVERAGE(QUERY(GOOGLEFINANCE(C162, ""volume"", TODAY()-40, TODAY()), ""SELECT Col2 WHERE Col2 IS NOT "&amp;"NULL ORDER BY Col1 DESC LIMIT 20"", 0))
    )
  ), 
"""")"),"")</f>
        <v/>
      </c>
      <c r="K162" s="21" t="str">
        <f>IFERROR(__xludf.DUMMYFUNCTION("IFERROR(GOOGLEFINANCE(C162, ""changepct"") / 100, """")"),"")</f>
        <v/>
      </c>
      <c r="L162" s="21" t="str">
        <f>IFERROR(__xludf.DUMMYFUNCTION("IFERROR((GOOGLEFINANCE(C162, ""price"") / INDEX(GOOGLEFINANCE(C162, ""price"", TODAY()-7, TODAY()), 2, 2)) - 1, """")"),"")</f>
        <v/>
      </c>
      <c r="M162" s="21" t="str">
        <f>IFERROR(__xludf.DUMMYFUNCTION("IFERROR((GOOGLEFINANCE(C162, ""price"") / INDEX(GOOGLEFINANCE(C162, ""price"", EDATE(TODAY(), -1), TODAY()), 2, 2)) - 1, """")"),"")</f>
        <v/>
      </c>
      <c r="N162" s="21" t="str">
        <f>IFERROR(__xludf.DUMMYFUNCTION("IFERROR((GOOGLEFINANCE(C162, ""price"") / INDEX(GOOGLEFINANCE(C162, ""price"", EDATE(TODAY(), -3), TODAY()), 2, 2)) - 1, """")"),"")</f>
        <v/>
      </c>
      <c r="O162" s="21" t="str">
        <f>IFERROR(__xludf.DUMMYFUNCTION("IFERROR((GOOGLEFINANCE(C162, ""price"") / INDEX(GOOGLEFINANCE(C162, ""price"", EDATE(TODAY(), -6), TODAY()), 2, 2)) - 1, """")"),"")</f>
        <v/>
      </c>
      <c r="P162" s="21" t="str">
        <f>IFERROR(__xludf.DUMMYFUNCTION("IFERROR((GOOGLEFINANCE(C162, ""price"") / INDEX(GOOGLEFINANCE(C162, ""price"", EDATE(TODAY(), -12), TODAY()), 2, 2)) - 1, """")"),"")</f>
        <v/>
      </c>
      <c r="Q162" s="6" t="str">
        <f>IFERROR(__xludf.DUMMYFUNCTION("AVERAGE(QUERY(GOOGLEFINANCE(C162, ""price"", TODAY()-80, TODAY()), ""SELECT Col2 WHERE Col2 IS NOT NULL ORDER BY Col1 DESC LIMIT 50"", 0))"),"#N/A")</f>
        <v>#N/A</v>
      </c>
      <c r="R162" s="24" t="str">
        <f>IFERROR(__xludf.DUMMYFUNCTION("IFERROR(
  LET(
    data, QUERY(GOOGLEFINANCE(C162,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GOOGLEFINANCE(C162, ""price"")) * 100,
    IF(calc=0, G162, calc)
  ), 
G162)"),"#N/A")</f>
        <v>#N/A</v>
      </c>
      <c r="S162" s="8" t="s">
        <v>15</v>
      </c>
      <c r="T162" s="26" t="str">
        <f>IFERROR(__xludf.DUMMYFUNCTION("IFERROR(TRANSPOSE(QUERY(IFERROR(SORT(GOOGLEFINANCE(C162, ""price"", WORKDAY(TODAY(), -40), TODAY()), 1, FALSE)), ""select Col2 where Col2 is not null limit 22 label Col2 ''"", 0)), """")"),"")</f>
        <v/>
      </c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8"/>
      <c r="AO162" s="28"/>
      <c r="AP162" s="29"/>
      <c r="AQ162" s="29" t="str">
        <f t="shared" ref="AQ162:BL162" si="166">T162/T$2</f>
        <v>#N/A</v>
      </c>
      <c r="AR162" s="29" t="str">
        <f t="shared" si="166"/>
        <v>#DIV/0!</v>
      </c>
      <c r="AS162" s="29" t="str">
        <f t="shared" si="166"/>
        <v>#DIV/0!</v>
      </c>
      <c r="AT162" s="29" t="str">
        <f t="shared" si="166"/>
        <v>#DIV/0!</v>
      </c>
      <c r="AU162" s="29" t="str">
        <f t="shared" si="166"/>
        <v>#DIV/0!</v>
      </c>
      <c r="AV162" s="29" t="str">
        <f t="shared" si="166"/>
        <v>#DIV/0!</v>
      </c>
      <c r="AW162" s="29" t="str">
        <f t="shared" si="166"/>
        <v>#DIV/0!</v>
      </c>
      <c r="AX162" s="29" t="str">
        <f t="shared" si="166"/>
        <v>#DIV/0!</v>
      </c>
      <c r="AY162" s="29" t="str">
        <f t="shared" si="166"/>
        <v>#DIV/0!</v>
      </c>
      <c r="AZ162" s="29" t="str">
        <f t="shared" si="166"/>
        <v>#DIV/0!</v>
      </c>
      <c r="BA162" s="29" t="str">
        <f t="shared" si="166"/>
        <v>#DIV/0!</v>
      </c>
      <c r="BB162" s="29" t="str">
        <f t="shared" si="166"/>
        <v>#DIV/0!</v>
      </c>
      <c r="BC162" s="29" t="str">
        <f t="shared" si="166"/>
        <v>#DIV/0!</v>
      </c>
      <c r="BD162" s="29" t="str">
        <f t="shared" si="166"/>
        <v>#DIV/0!</v>
      </c>
      <c r="BE162" s="29" t="str">
        <f t="shared" si="166"/>
        <v>#DIV/0!</v>
      </c>
      <c r="BF162" s="29" t="str">
        <f t="shared" si="166"/>
        <v>#DIV/0!</v>
      </c>
      <c r="BG162" s="29" t="str">
        <f t="shared" si="166"/>
        <v>#DIV/0!</v>
      </c>
      <c r="BH162" s="29" t="str">
        <f t="shared" si="166"/>
        <v>#DIV/0!</v>
      </c>
      <c r="BI162" s="29" t="str">
        <f t="shared" si="166"/>
        <v>#DIV/0!</v>
      </c>
      <c r="BJ162" s="29" t="str">
        <f t="shared" si="166"/>
        <v>#DIV/0!</v>
      </c>
      <c r="BK162" s="29" t="str">
        <f t="shared" si="166"/>
        <v>#DIV/0!</v>
      </c>
      <c r="BL162" s="29" t="str">
        <f t="shared" si="166"/>
        <v>#DIV/0!</v>
      </c>
      <c r="BM162" s="29" t="str">
        <f t="shared" si="3"/>
        <v>#DIV/0!</v>
      </c>
    </row>
    <row r="163">
      <c r="A163" s="16" t="str">
        <f>IFERROR(__xludf.DUMMYFUNCTION("IFERROR(SPARKLINE(SORT(MAP(TRANSPOSE(AQ163:BL163), LAMBDA(val, IF(ISNUMBER(val), PERCENTRANK(AQ163:BL163, val)+0.01, 0))), SEQUENCE(COLUMNS(AQ163:BL163)), FALSE), {""charttype"",""column""; ""color"",""chartreuse""; ""ymin"", 0; ""ymax"", 1.01; ""highcolo"&amp;"r"", ""darkgreen""; ""lowcolor"", ""red""}), """")"),"")</f>
        <v/>
      </c>
      <c r="B163" s="17" t="str">
        <f t="shared" si="4"/>
        <v/>
      </c>
      <c r="C163" s="1" t="s">
        <v>2072</v>
      </c>
      <c r="D163" s="30" t="str">
        <f>IFERROR(__xludf.DUMMYFUNCTION("IFERROR(GOOGLEFINANCE(C163, ""NAME""))"),"Labcorp Holdings Inc")</f>
        <v>Labcorp Holdings Inc</v>
      </c>
      <c r="E163" s="30" t="s">
        <v>1499</v>
      </c>
      <c r="F163" s="33" t="str">
        <f>IFERROR(__xludf.DUMMYFUNCTION("( (GOOGLEFINANCE(C163, ""price"") - Q163) / Q163 ) / (R163 / 100)"),"Loading...")</f>
        <v>Loading...</v>
      </c>
      <c r="G163" s="20" t="str">
        <f>IFERROR(__xludf.DUMMYFUNCTION("AVERAGE(ARRAYFORMULA(100 * (QUERY(GOOGLEFINANCE(C163, ""high"", TODAY()-40, TODAY()), ""SELECT Col2 WHERE Col2 IS NOT NULL ORDER BY Col1 DESC LIMIT 20"", 0) / QUERY(GOOGLEFINANCE(C163, ""low"", TODAY()-40, TODAY()), ""SELECT Col2 WHERE Col2 IS NOT NULL OR"&amp;"DER BY Col1 DESC LIMIT 20"", 0) - 1)))"),"#N/A")</f>
        <v>#N/A</v>
      </c>
      <c r="H163" s="35" t="str">
        <f t="shared" si="118"/>
        <v/>
      </c>
      <c r="I163" s="36" t="str">
        <f t="shared" si="7"/>
        <v/>
      </c>
      <c r="J163" s="37" t="str">
        <f>IFERROR(__xludf.DUMMYFUNCTION("IFERROR(
  IF(C163="""",, 
    IFERROR(
      GOOGLEFINANCE(C163, ""price"") * GOOGLEFINANCE(C163, ""volumeavg""), 
      GOOGLEFINANCE(C163, ""price"") * AVERAGE(QUERY(GOOGLEFINANCE(C163, ""volume"", TODAY()-40, TODAY()), ""SELECT Col2 WHERE Col2 IS NOT "&amp;"NULL ORDER BY Col1 DESC LIMIT 20"", 0))
    )
  ), 
"""")"),"")</f>
        <v/>
      </c>
      <c r="K163" s="21" t="str">
        <f>IFERROR(__xludf.DUMMYFUNCTION("IFERROR(GOOGLEFINANCE(C163, ""changepct"") / 100, """")"),"")</f>
        <v/>
      </c>
      <c r="L163" s="21" t="str">
        <f>IFERROR(__xludf.DUMMYFUNCTION("IFERROR((GOOGLEFINANCE(C163, ""price"") / INDEX(GOOGLEFINANCE(C163, ""price"", TODAY()-7, TODAY()), 2, 2)) - 1, """")"),"")</f>
        <v/>
      </c>
      <c r="M163" s="21" t="str">
        <f>IFERROR(__xludf.DUMMYFUNCTION("IFERROR((GOOGLEFINANCE(C163, ""price"") / INDEX(GOOGLEFINANCE(C163, ""price"", EDATE(TODAY(), -1), TODAY()), 2, 2)) - 1, """")"),"")</f>
        <v/>
      </c>
      <c r="N163" s="21" t="str">
        <f>IFERROR(__xludf.DUMMYFUNCTION("IFERROR((GOOGLEFINANCE(C163, ""price"") / INDEX(GOOGLEFINANCE(C163, ""price"", EDATE(TODAY(), -3), TODAY()), 2, 2)) - 1, """")"),"")</f>
        <v/>
      </c>
      <c r="O163" s="21" t="str">
        <f>IFERROR(__xludf.DUMMYFUNCTION("IFERROR((GOOGLEFINANCE(C163, ""price"") / INDEX(GOOGLEFINANCE(C163, ""price"", EDATE(TODAY(), -6), TODAY()), 2, 2)) - 1, """")"),"")</f>
        <v/>
      </c>
      <c r="P163" s="21" t="str">
        <f>IFERROR(__xludf.DUMMYFUNCTION("IFERROR((GOOGLEFINANCE(C163, ""price"") / INDEX(GOOGLEFINANCE(C163, ""price"", EDATE(TODAY(), -12), TODAY()), 2, 2)) - 1, """")"),"")</f>
        <v/>
      </c>
      <c r="Q163" s="6" t="str">
        <f>IFERROR(__xludf.DUMMYFUNCTION("AVERAGE(QUERY(GOOGLEFINANCE(C163, ""price"", TODAY()-80, TODAY()), ""SELECT Col2 WHERE Col2 IS NOT NULL ORDER BY Col1 DESC LIMIT 50"", 0))"),"#N/A")</f>
        <v>#N/A</v>
      </c>
      <c r="R163" s="24" t="str">
        <f>IFERROR(__xludf.DUMMYFUNCTION("IFERROR(
  LET(
    data, QUERY(GOOGLEFINANCE(C163,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GOOGLEFINANCE(C163, ""price"")) * 100,
    IF(calc=0, G163, calc)
  ), 
G163)"),"#N/A")</f>
        <v>#N/A</v>
      </c>
      <c r="S163" s="8" t="s">
        <v>15</v>
      </c>
      <c r="T163" s="26" t="str">
        <f>IFERROR(__xludf.DUMMYFUNCTION("IFERROR(TRANSPOSE(QUERY(IFERROR(SORT(GOOGLEFINANCE(C163, ""price"", WORKDAY(TODAY(), -40), TODAY()), 1, FALSE)), ""select Col2 where Col2 is not null limit 22 label Col2 ''"", 0)), """")"),"")</f>
        <v/>
      </c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8"/>
      <c r="AO163" s="28"/>
      <c r="AP163" s="29"/>
      <c r="AQ163" s="29" t="str">
        <f t="shared" ref="AQ163:BL163" si="167">T163/T$2</f>
        <v>#N/A</v>
      </c>
      <c r="AR163" s="29" t="str">
        <f t="shared" si="167"/>
        <v>#DIV/0!</v>
      </c>
      <c r="AS163" s="29" t="str">
        <f t="shared" si="167"/>
        <v>#DIV/0!</v>
      </c>
      <c r="AT163" s="29" t="str">
        <f t="shared" si="167"/>
        <v>#DIV/0!</v>
      </c>
      <c r="AU163" s="29" t="str">
        <f t="shared" si="167"/>
        <v>#DIV/0!</v>
      </c>
      <c r="AV163" s="29" t="str">
        <f t="shared" si="167"/>
        <v>#DIV/0!</v>
      </c>
      <c r="AW163" s="29" t="str">
        <f t="shared" si="167"/>
        <v>#DIV/0!</v>
      </c>
      <c r="AX163" s="29" t="str">
        <f t="shared" si="167"/>
        <v>#DIV/0!</v>
      </c>
      <c r="AY163" s="29" t="str">
        <f t="shared" si="167"/>
        <v>#DIV/0!</v>
      </c>
      <c r="AZ163" s="29" t="str">
        <f t="shared" si="167"/>
        <v>#DIV/0!</v>
      </c>
      <c r="BA163" s="29" t="str">
        <f t="shared" si="167"/>
        <v>#DIV/0!</v>
      </c>
      <c r="BB163" s="29" t="str">
        <f t="shared" si="167"/>
        <v>#DIV/0!</v>
      </c>
      <c r="BC163" s="29" t="str">
        <f t="shared" si="167"/>
        <v>#DIV/0!</v>
      </c>
      <c r="BD163" s="29" t="str">
        <f t="shared" si="167"/>
        <v>#DIV/0!</v>
      </c>
      <c r="BE163" s="29" t="str">
        <f t="shared" si="167"/>
        <v>#DIV/0!</v>
      </c>
      <c r="BF163" s="29" t="str">
        <f t="shared" si="167"/>
        <v>#DIV/0!</v>
      </c>
      <c r="BG163" s="29" t="str">
        <f t="shared" si="167"/>
        <v>#DIV/0!</v>
      </c>
      <c r="BH163" s="29" t="str">
        <f t="shared" si="167"/>
        <v>#DIV/0!</v>
      </c>
      <c r="BI163" s="29" t="str">
        <f t="shared" si="167"/>
        <v>#DIV/0!</v>
      </c>
      <c r="BJ163" s="29" t="str">
        <f t="shared" si="167"/>
        <v>#DIV/0!</v>
      </c>
      <c r="BK163" s="29" t="str">
        <f t="shared" si="167"/>
        <v>#DIV/0!</v>
      </c>
      <c r="BL163" s="29" t="str">
        <f t="shared" si="167"/>
        <v>#DIV/0!</v>
      </c>
      <c r="BM163" s="29" t="str">
        <f t="shared" si="3"/>
        <v>#DIV/0!</v>
      </c>
    </row>
    <row r="164">
      <c r="A164" s="16" t="str">
        <f>IFERROR(__xludf.DUMMYFUNCTION("IFERROR(SPARKLINE(SORT(MAP(TRANSPOSE(AQ164:BL164), LAMBDA(val, IF(ISNUMBER(val), PERCENTRANK(AQ164:BL164, val)+0.01, 0))), SEQUENCE(COLUMNS(AQ164:BL164)), FALSE), {""charttype"",""column""; ""color"",""chartreuse""; ""ymin"", 0; ""ymax"", 1.01; ""highcolo"&amp;"r"", ""darkgreen""; ""lowcolor"", ""red""}), """")"),"")</f>
        <v/>
      </c>
      <c r="B164" s="17" t="str">
        <f t="shared" si="4"/>
        <v/>
      </c>
      <c r="C164" s="1" t="s">
        <v>2076</v>
      </c>
      <c r="D164" s="30" t="str">
        <f>IFERROR(__xludf.DUMMYFUNCTION("IFERROR(GOOGLEFINANCE(C164, ""NAME""))"),"Akebia Therapeutics Inc")</f>
        <v>Akebia Therapeutics Inc</v>
      </c>
      <c r="E164" s="30" t="s">
        <v>1475</v>
      </c>
      <c r="F164" s="38" t="str">
        <f>IFERROR(__xludf.DUMMYFUNCTION("( (GOOGLEFINANCE(C164, ""price"") - Q164) / Q164 ) / (R164 / 100)"),"Loading...")</f>
        <v>Loading...</v>
      </c>
      <c r="G164" s="20" t="str">
        <f>IFERROR(__xludf.DUMMYFUNCTION("AVERAGE(ARRAYFORMULA(100 * (QUERY(GOOGLEFINANCE(C164, ""high"", TODAY()-40, TODAY()), ""SELECT Col2 WHERE Col2 IS NOT NULL ORDER BY Col1 DESC LIMIT 20"", 0) / QUERY(GOOGLEFINANCE(C164, ""low"", TODAY()-40, TODAY()), ""SELECT Col2 WHERE Col2 IS NOT NULL OR"&amp;"DER BY Col1 DESC LIMIT 20"", 0) - 1)))"),"#N/A")</f>
        <v>#N/A</v>
      </c>
      <c r="H164" s="35" t="str">
        <f t="shared" si="118"/>
        <v/>
      </c>
      <c r="I164" s="36" t="str">
        <f t="shared" si="7"/>
        <v/>
      </c>
      <c r="J164" s="37" t="str">
        <f>IFERROR(__xludf.DUMMYFUNCTION("IFERROR(
  IF(C164="""",, 
    IFERROR(
      GOOGLEFINANCE(C164, ""price"") * GOOGLEFINANCE(C164, ""volumeavg""), 
      GOOGLEFINANCE(C164, ""price"") * AVERAGE(QUERY(GOOGLEFINANCE(C164, ""volume"", TODAY()-40, TODAY()), ""SELECT Col2 WHERE Col2 IS NOT "&amp;"NULL ORDER BY Col1 DESC LIMIT 20"", 0))
    )
  ), 
"""")"),"")</f>
        <v/>
      </c>
      <c r="K164" s="21" t="str">
        <f>IFERROR(__xludf.DUMMYFUNCTION("IFERROR(GOOGLEFINANCE(C164, ""changepct"") / 100, """")"),"")</f>
        <v/>
      </c>
      <c r="L164" s="21" t="str">
        <f>IFERROR(__xludf.DUMMYFUNCTION("IFERROR((GOOGLEFINANCE(C164, ""price"") / INDEX(GOOGLEFINANCE(C164, ""price"", TODAY()-7, TODAY()), 2, 2)) - 1, """")"),"")</f>
        <v/>
      </c>
      <c r="M164" s="21" t="str">
        <f>IFERROR(__xludf.DUMMYFUNCTION("IFERROR((GOOGLEFINANCE(C164, ""price"") / INDEX(GOOGLEFINANCE(C164, ""price"", EDATE(TODAY(), -1), TODAY()), 2, 2)) - 1, """")"),"")</f>
        <v/>
      </c>
      <c r="N164" s="21" t="str">
        <f>IFERROR(__xludf.DUMMYFUNCTION("IFERROR((GOOGLEFINANCE(C164, ""price"") / INDEX(GOOGLEFINANCE(C164, ""price"", EDATE(TODAY(), -3), TODAY()), 2, 2)) - 1, """")"),"")</f>
        <v/>
      </c>
      <c r="O164" s="21" t="str">
        <f>IFERROR(__xludf.DUMMYFUNCTION("IFERROR((GOOGLEFINANCE(C164, ""price"") / INDEX(GOOGLEFINANCE(C164, ""price"", EDATE(TODAY(), -6), TODAY()), 2, 2)) - 1, """")"),"")</f>
        <v/>
      </c>
      <c r="P164" s="21" t="str">
        <f>IFERROR(__xludf.DUMMYFUNCTION("IFERROR((GOOGLEFINANCE(C164, ""price"") / INDEX(GOOGLEFINANCE(C164, ""price"", EDATE(TODAY(), -12), TODAY()), 2, 2)) - 1, """")"),"")</f>
        <v/>
      </c>
      <c r="Q164" s="6" t="str">
        <f>IFERROR(__xludf.DUMMYFUNCTION("AVERAGE(QUERY(GOOGLEFINANCE(C164, ""price"", TODAY()-80, TODAY()), ""SELECT Col2 WHERE Col2 IS NOT NULL ORDER BY Col1 DESC LIMIT 50"", 0))"),"#N/A")</f>
        <v>#N/A</v>
      </c>
      <c r="R164" s="24" t="str">
        <f>IFERROR(__xludf.DUMMYFUNCTION("IFERROR(
  LET(
    data, QUERY(GOOGLEFINANCE(C164,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GOOGLEFINANCE(C164, ""price"")) * 100,
    IF(calc=0, G164, calc)
  ), 
G164)"),"#N/A")</f>
        <v>#N/A</v>
      </c>
      <c r="S164" s="8" t="s">
        <v>15</v>
      </c>
      <c r="T164" s="26" t="str">
        <f>IFERROR(__xludf.DUMMYFUNCTION("IFERROR(TRANSPOSE(QUERY(IFERROR(SORT(GOOGLEFINANCE(C164, ""price"", WORKDAY(TODAY(), -40), TODAY()), 1, FALSE)), ""select Col2 where Col2 is not null limit 22 label Col2 ''"", 0)), """")"),"")</f>
        <v/>
      </c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8"/>
      <c r="AO164" s="28"/>
      <c r="AP164" s="29"/>
      <c r="AQ164" s="29" t="str">
        <f t="shared" ref="AQ164:BL164" si="168">T164/T$2</f>
        <v>#N/A</v>
      </c>
      <c r="AR164" s="29" t="str">
        <f t="shared" si="168"/>
        <v>#DIV/0!</v>
      </c>
      <c r="AS164" s="29" t="str">
        <f t="shared" si="168"/>
        <v>#DIV/0!</v>
      </c>
      <c r="AT164" s="29" t="str">
        <f t="shared" si="168"/>
        <v>#DIV/0!</v>
      </c>
      <c r="AU164" s="29" t="str">
        <f t="shared" si="168"/>
        <v>#DIV/0!</v>
      </c>
      <c r="AV164" s="29" t="str">
        <f t="shared" si="168"/>
        <v>#DIV/0!</v>
      </c>
      <c r="AW164" s="29" t="str">
        <f t="shared" si="168"/>
        <v>#DIV/0!</v>
      </c>
      <c r="AX164" s="29" t="str">
        <f t="shared" si="168"/>
        <v>#DIV/0!</v>
      </c>
      <c r="AY164" s="29" t="str">
        <f t="shared" si="168"/>
        <v>#DIV/0!</v>
      </c>
      <c r="AZ164" s="29" t="str">
        <f t="shared" si="168"/>
        <v>#DIV/0!</v>
      </c>
      <c r="BA164" s="29" t="str">
        <f t="shared" si="168"/>
        <v>#DIV/0!</v>
      </c>
      <c r="BB164" s="29" t="str">
        <f t="shared" si="168"/>
        <v>#DIV/0!</v>
      </c>
      <c r="BC164" s="29" t="str">
        <f t="shared" si="168"/>
        <v>#DIV/0!</v>
      </c>
      <c r="BD164" s="29" t="str">
        <f t="shared" si="168"/>
        <v>#DIV/0!</v>
      </c>
      <c r="BE164" s="29" t="str">
        <f t="shared" si="168"/>
        <v>#DIV/0!</v>
      </c>
      <c r="BF164" s="29" t="str">
        <f t="shared" si="168"/>
        <v>#DIV/0!</v>
      </c>
      <c r="BG164" s="29" t="str">
        <f t="shared" si="168"/>
        <v>#DIV/0!</v>
      </c>
      <c r="BH164" s="29" t="str">
        <f t="shared" si="168"/>
        <v>#DIV/0!</v>
      </c>
      <c r="BI164" s="29" t="str">
        <f t="shared" si="168"/>
        <v>#DIV/0!</v>
      </c>
      <c r="BJ164" s="29" t="str">
        <f t="shared" si="168"/>
        <v>#DIV/0!</v>
      </c>
      <c r="BK164" s="29" t="str">
        <f t="shared" si="168"/>
        <v>#DIV/0!</v>
      </c>
      <c r="BL164" s="29" t="str">
        <f t="shared" si="168"/>
        <v>#DIV/0!</v>
      </c>
      <c r="BM164" s="29" t="str">
        <f t="shared" si="3"/>
        <v>#DIV/0!</v>
      </c>
    </row>
    <row r="165">
      <c r="A165" s="16" t="str">
        <f>IFERROR(__xludf.DUMMYFUNCTION("IFERROR(SPARKLINE(SORT(MAP(TRANSPOSE(AQ165:BL165), LAMBDA(val, IF(ISNUMBER(val), PERCENTRANK(AQ165:BL165, val)+0.01, 0))), SEQUENCE(COLUMNS(AQ165:BL165)), FALSE), {""charttype"",""column""; ""color"",""chartreuse""; ""ymin"", 0; ""ymax"", 1.01; ""highcolo"&amp;"r"", ""darkgreen""; ""lowcolor"", ""red""}), """")"),"")</f>
        <v/>
      </c>
      <c r="B165" s="17" t="str">
        <f t="shared" si="4"/>
        <v/>
      </c>
      <c r="C165" s="1" t="s">
        <v>2080</v>
      </c>
      <c r="D165" s="30" t="str">
        <f>IFERROR(__xludf.DUMMYFUNCTION("IFERROR(GOOGLEFINANCE(C165, ""NAME""))"),"Varex Imaging Corp")</f>
        <v>Varex Imaging Corp</v>
      </c>
      <c r="E165" s="30" t="s">
        <v>1491</v>
      </c>
      <c r="F165" s="38" t="str">
        <f>IFERROR(__xludf.DUMMYFUNCTION("( (GOOGLEFINANCE(C165, ""price"") - Q165) / Q165 ) / (R165 / 100)"),"Loading...")</f>
        <v>Loading...</v>
      </c>
      <c r="G165" s="20" t="str">
        <f>IFERROR(__xludf.DUMMYFUNCTION("AVERAGE(ARRAYFORMULA(100 * (QUERY(GOOGLEFINANCE(C165, ""high"", TODAY()-40, TODAY()), ""SELECT Col2 WHERE Col2 IS NOT NULL ORDER BY Col1 DESC LIMIT 20"", 0) / QUERY(GOOGLEFINANCE(C165, ""low"", TODAY()-40, TODAY()), ""SELECT Col2 WHERE Col2 IS NOT NULL OR"&amp;"DER BY Col1 DESC LIMIT 20"", 0) - 1)))"),"#N/A")</f>
        <v>#N/A</v>
      </c>
      <c r="H165" s="35" t="str">
        <f t="shared" si="118"/>
        <v/>
      </c>
      <c r="I165" s="36" t="str">
        <f t="shared" si="7"/>
        <v/>
      </c>
      <c r="J165" s="37" t="str">
        <f>IFERROR(__xludf.DUMMYFUNCTION("IFERROR(
  IF(C165="""",, 
    IFERROR(
      GOOGLEFINANCE(C165, ""price"") * GOOGLEFINANCE(C165, ""volumeavg""), 
      GOOGLEFINANCE(C165, ""price"") * AVERAGE(QUERY(GOOGLEFINANCE(C165, ""volume"", TODAY()-40, TODAY()), ""SELECT Col2 WHERE Col2 IS NOT "&amp;"NULL ORDER BY Col1 DESC LIMIT 20"", 0))
    )
  ), 
"""")"),"")</f>
        <v/>
      </c>
      <c r="K165" s="21" t="str">
        <f>IFERROR(__xludf.DUMMYFUNCTION("IFERROR(GOOGLEFINANCE(C165, ""changepct"") / 100, """")"),"")</f>
        <v/>
      </c>
      <c r="L165" s="21" t="str">
        <f>IFERROR(__xludf.DUMMYFUNCTION("IFERROR((GOOGLEFINANCE(C165, ""price"") / INDEX(GOOGLEFINANCE(C165, ""price"", TODAY()-7, TODAY()), 2, 2)) - 1, """")"),"")</f>
        <v/>
      </c>
      <c r="M165" s="21" t="str">
        <f>IFERROR(__xludf.DUMMYFUNCTION("IFERROR((GOOGLEFINANCE(C165, ""price"") / INDEX(GOOGLEFINANCE(C165, ""price"", EDATE(TODAY(), -1), TODAY()), 2, 2)) - 1, """")"),"")</f>
        <v/>
      </c>
      <c r="N165" s="21" t="str">
        <f>IFERROR(__xludf.DUMMYFUNCTION("IFERROR((GOOGLEFINANCE(C165, ""price"") / INDEX(GOOGLEFINANCE(C165, ""price"", EDATE(TODAY(), -3), TODAY()), 2, 2)) - 1, """")"),"")</f>
        <v/>
      </c>
      <c r="O165" s="21" t="str">
        <f>IFERROR(__xludf.DUMMYFUNCTION("IFERROR((GOOGLEFINANCE(C165, ""price"") / INDEX(GOOGLEFINANCE(C165, ""price"", EDATE(TODAY(), -6), TODAY()), 2, 2)) - 1, """")"),"")</f>
        <v/>
      </c>
      <c r="P165" s="21" t="str">
        <f>IFERROR(__xludf.DUMMYFUNCTION("IFERROR((GOOGLEFINANCE(C165, ""price"") / INDEX(GOOGLEFINANCE(C165, ""price"", EDATE(TODAY(), -12), TODAY()), 2, 2)) - 1, """")"),"")</f>
        <v/>
      </c>
      <c r="Q165" s="6" t="str">
        <f>IFERROR(__xludf.DUMMYFUNCTION("AVERAGE(QUERY(GOOGLEFINANCE(C165, ""price"", TODAY()-80, TODAY()), ""SELECT Col2 WHERE Col2 IS NOT NULL ORDER BY Col1 DESC LIMIT 50"", 0))"),"#N/A")</f>
        <v>#N/A</v>
      </c>
      <c r="R165" s="24" t="str">
        <f>IFERROR(__xludf.DUMMYFUNCTION("IFERROR(
  LET(
    data, QUERY(GOOGLEFINANCE(C165,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GOOGLEFINANCE(C165, ""price"")) * 100,
    IF(calc=0, G165, calc)
  ), 
G165)"),"#N/A")</f>
        <v>#N/A</v>
      </c>
      <c r="S165" s="8" t="s">
        <v>15</v>
      </c>
      <c r="T165" s="26" t="str">
        <f>IFERROR(__xludf.DUMMYFUNCTION("IFERROR(TRANSPOSE(QUERY(IFERROR(SORT(GOOGLEFINANCE(C165, ""price"", WORKDAY(TODAY(), -40), TODAY()), 1, FALSE)), ""select Col2 where Col2 is not null limit 22 label Col2 ''"", 0)), """")"),"")</f>
        <v/>
      </c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8"/>
      <c r="AO165" s="28"/>
      <c r="AP165" s="29"/>
      <c r="AQ165" s="29" t="str">
        <f t="shared" ref="AQ165:BL165" si="169">T165/T$2</f>
        <v>#N/A</v>
      </c>
      <c r="AR165" s="29" t="str">
        <f t="shared" si="169"/>
        <v>#DIV/0!</v>
      </c>
      <c r="AS165" s="29" t="str">
        <f t="shared" si="169"/>
        <v>#DIV/0!</v>
      </c>
      <c r="AT165" s="29" t="str">
        <f t="shared" si="169"/>
        <v>#DIV/0!</v>
      </c>
      <c r="AU165" s="29" t="str">
        <f t="shared" si="169"/>
        <v>#DIV/0!</v>
      </c>
      <c r="AV165" s="29" t="str">
        <f t="shared" si="169"/>
        <v>#DIV/0!</v>
      </c>
      <c r="AW165" s="29" t="str">
        <f t="shared" si="169"/>
        <v>#DIV/0!</v>
      </c>
      <c r="AX165" s="29" t="str">
        <f t="shared" si="169"/>
        <v>#DIV/0!</v>
      </c>
      <c r="AY165" s="29" t="str">
        <f t="shared" si="169"/>
        <v>#DIV/0!</v>
      </c>
      <c r="AZ165" s="29" t="str">
        <f t="shared" si="169"/>
        <v>#DIV/0!</v>
      </c>
      <c r="BA165" s="29" t="str">
        <f t="shared" si="169"/>
        <v>#DIV/0!</v>
      </c>
      <c r="BB165" s="29" t="str">
        <f t="shared" si="169"/>
        <v>#DIV/0!</v>
      </c>
      <c r="BC165" s="29" t="str">
        <f t="shared" si="169"/>
        <v>#DIV/0!</v>
      </c>
      <c r="BD165" s="29" t="str">
        <f t="shared" si="169"/>
        <v>#DIV/0!</v>
      </c>
      <c r="BE165" s="29" t="str">
        <f t="shared" si="169"/>
        <v>#DIV/0!</v>
      </c>
      <c r="BF165" s="29" t="str">
        <f t="shared" si="169"/>
        <v>#DIV/0!</v>
      </c>
      <c r="BG165" s="29" t="str">
        <f t="shared" si="169"/>
        <v>#DIV/0!</v>
      </c>
      <c r="BH165" s="29" t="str">
        <f t="shared" si="169"/>
        <v>#DIV/0!</v>
      </c>
      <c r="BI165" s="29" t="str">
        <f t="shared" si="169"/>
        <v>#DIV/0!</v>
      </c>
      <c r="BJ165" s="29" t="str">
        <f t="shared" si="169"/>
        <v>#DIV/0!</v>
      </c>
      <c r="BK165" s="29" t="str">
        <f t="shared" si="169"/>
        <v>#DIV/0!</v>
      </c>
      <c r="BL165" s="29" t="str">
        <f t="shared" si="169"/>
        <v>#DIV/0!</v>
      </c>
      <c r="BM165" s="29" t="str">
        <f t="shared" si="3"/>
        <v>#DIV/0!</v>
      </c>
    </row>
    <row r="166">
      <c r="A166" s="16" t="str">
        <f>IFERROR(__xludf.DUMMYFUNCTION("IFERROR(SPARKLINE(SORT(MAP(TRANSPOSE(AQ166:BL166), LAMBDA(val, IF(ISNUMBER(val), PERCENTRANK(AQ166:BL166, val)+0.01, 0))), SEQUENCE(COLUMNS(AQ166:BL166)), FALSE), {""charttype"",""column""; ""color"",""chartreuse""; ""ymin"", 0; ""ymax"", 1.01; ""highcolo"&amp;"r"", ""darkgreen""; ""lowcolor"", ""red""}), """")"),"")</f>
        <v/>
      </c>
      <c r="B166" s="17" t="str">
        <f t="shared" si="4"/>
        <v/>
      </c>
      <c r="C166" s="1" t="s">
        <v>2085</v>
      </c>
      <c r="D166" s="30" t="str">
        <f>IFERROR(__xludf.DUMMYFUNCTION("IFERROR(GOOGLEFINANCE(C166, ""NAME""))"),"Envista Holdings Corp")</f>
        <v>Envista Holdings Corp</v>
      </c>
      <c r="E166" s="30" t="s">
        <v>1502</v>
      </c>
      <c r="F166" s="33" t="str">
        <f>IFERROR(__xludf.DUMMYFUNCTION("( (GOOGLEFINANCE(C166, ""price"") - Q166) / Q166 ) / (R166 / 100)"),"Loading...")</f>
        <v>Loading...</v>
      </c>
      <c r="G166" s="20" t="str">
        <f>IFERROR(__xludf.DUMMYFUNCTION("AVERAGE(ARRAYFORMULA(100 * (QUERY(GOOGLEFINANCE(C166, ""high"", TODAY()-40, TODAY()), ""SELECT Col2 WHERE Col2 IS NOT NULL ORDER BY Col1 DESC LIMIT 20"", 0) / QUERY(GOOGLEFINANCE(C166, ""low"", TODAY()-40, TODAY()), ""SELECT Col2 WHERE Col2 IS NOT NULL OR"&amp;"DER BY Col1 DESC LIMIT 20"", 0) - 1)))"),"#N/A")</f>
        <v>#N/A</v>
      </c>
      <c r="H166" s="35" t="str">
        <f t="shared" si="118"/>
        <v/>
      </c>
      <c r="I166" s="36" t="str">
        <f t="shared" si="7"/>
        <v/>
      </c>
      <c r="J166" s="37" t="str">
        <f>IFERROR(__xludf.DUMMYFUNCTION("IFERROR(
  IF(C166="""",, 
    IFERROR(
      GOOGLEFINANCE(C166, ""price"") * GOOGLEFINANCE(C166, ""volumeavg""), 
      GOOGLEFINANCE(C166, ""price"") * AVERAGE(QUERY(GOOGLEFINANCE(C166, ""volume"", TODAY()-40, TODAY()), ""SELECT Col2 WHERE Col2 IS NOT "&amp;"NULL ORDER BY Col1 DESC LIMIT 20"", 0))
    )
  ), 
"""")"),"")</f>
        <v/>
      </c>
      <c r="K166" s="21" t="str">
        <f>IFERROR(__xludf.DUMMYFUNCTION("IFERROR(GOOGLEFINANCE(C166, ""changepct"") / 100, """")"),"")</f>
        <v/>
      </c>
      <c r="L166" s="21" t="str">
        <f>IFERROR(__xludf.DUMMYFUNCTION("IFERROR((GOOGLEFINANCE(C166, ""price"") / INDEX(GOOGLEFINANCE(C166, ""price"", TODAY()-7, TODAY()), 2, 2)) - 1, """")"),"")</f>
        <v/>
      </c>
      <c r="M166" s="21" t="str">
        <f>IFERROR(__xludf.DUMMYFUNCTION("IFERROR((GOOGLEFINANCE(C166, ""price"") / INDEX(GOOGLEFINANCE(C166, ""price"", EDATE(TODAY(), -1), TODAY()), 2, 2)) - 1, """")"),"")</f>
        <v/>
      </c>
      <c r="N166" s="21" t="str">
        <f>IFERROR(__xludf.DUMMYFUNCTION("IFERROR((GOOGLEFINANCE(C166, ""price"") / INDEX(GOOGLEFINANCE(C166, ""price"", EDATE(TODAY(), -3), TODAY()), 2, 2)) - 1, """")"),"")</f>
        <v/>
      </c>
      <c r="O166" s="21" t="str">
        <f>IFERROR(__xludf.DUMMYFUNCTION("IFERROR((GOOGLEFINANCE(C166, ""price"") / INDEX(GOOGLEFINANCE(C166, ""price"", EDATE(TODAY(), -6), TODAY()), 2, 2)) - 1, """")"),"")</f>
        <v/>
      </c>
      <c r="P166" s="21" t="str">
        <f>IFERROR(__xludf.DUMMYFUNCTION("IFERROR((GOOGLEFINANCE(C166, ""price"") / INDEX(GOOGLEFINANCE(C166, ""price"", EDATE(TODAY(), -12), TODAY()), 2, 2)) - 1, """")"),"")</f>
        <v/>
      </c>
      <c r="Q166" s="6" t="str">
        <f>IFERROR(__xludf.DUMMYFUNCTION("AVERAGE(QUERY(GOOGLEFINANCE(C166, ""price"", TODAY()-80, TODAY()), ""SELECT Col2 WHERE Col2 IS NOT NULL ORDER BY Col1 DESC LIMIT 50"", 0))"),"#N/A")</f>
        <v>#N/A</v>
      </c>
      <c r="R166" s="24" t="str">
        <f>IFERROR(__xludf.DUMMYFUNCTION("IFERROR(
  LET(
    data, QUERY(GOOGLEFINANCE(C166,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GOOGLEFINANCE(C166, ""price"")) * 100,
    IF(calc=0, G166, calc)
  ), 
G166)"),"#N/A")</f>
        <v>#N/A</v>
      </c>
      <c r="S166" s="8" t="s">
        <v>15</v>
      </c>
      <c r="T166" s="26" t="str">
        <f>IFERROR(__xludf.DUMMYFUNCTION("IFERROR(TRANSPOSE(QUERY(IFERROR(SORT(GOOGLEFINANCE(C166, ""price"", WORKDAY(TODAY(), -40), TODAY()), 1, FALSE)), ""select Col2 where Col2 is not null limit 22 label Col2 ''"", 0)), """")"),"")</f>
        <v/>
      </c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8"/>
      <c r="AO166" s="28"/>
      <c r="AP166" s="29"/>
      <c r="AQ166" s="29" t="str">
        <f t="shared" ref="AQ166:BL166" si="170">T166/T$2</f>
        <v>#N/A</v>
      </c>
      <c r="AR166" s="29" t="str">
        <f t="shared" si="170"/>
        <v>#DIV/0!</v>
      </c>
      <c r="AS166" s="29" t="str">
        <f t="shared" si="170"/>
        <v>#DIV/0!</v>
      </c>
      <c r="AT166" s="29" t="str">
        <f t="shared" si="170"/>
        <v>#DIV/0!</v>
      </c>
      <c r="AU166" s="29" t="str">
        <f t="shared" si="170"/>
        <v>#DIV/0!</v>
      </c>
      <c r="AV166" s="29" t="str">
        <f t="shared" si="170"/>
        <v>#DIV/0!</v>
      </c>
      <c r="AW166" s="29" t="str">
        <f t="shared" si="170"/>
        <v>#DIV/0!</v>
      </c>
      <c r="AX166" s="29" t="str">
        <f t="shared" si="170"/>
        <v>#DIV/0!</v>
      </c>
      <c r="AY166" s="29" t="str">
        <f t="shared" si="170"/>
        <v>#DIV/0!</v>
      </c>
      <c r="AZ166" s="29" t="str">
        <f t="shared" si="170"/>
        <v>#DIV/0!</v>
      </c>
      <c r="BA166" s="29" t="str">
        <f t="shared" si="170"/>
        <v>#DIV/0!</v>
      </c>
      <c r="BB166" s="29" t="str">
        <f t="shared" si="170"/>
        <v>#DIV/0!</v>
      </c>
      <c r="BC166" s="29" t="str">
        <f t="shared" si="170"/>
        <v>#DIV/0!</v>
      </c>
      <c r="BD166" s="29" t="str">
        <f t="shared" si="170"/>
        <v>#DIV/0!</v>
      </c>
      <c r="BE166" s="29" t="str">
        <f t="shared" si="170"/>
        <v>#DIV/0!</v>
      </c>
      <c r="BF166" s="29" t="str">
        <f t="shared" si="170"/>
        <v>#DIV/0!</v>
      </c>
      <c r="BG166" s="29" t="str">
        <f t="shared" si="170"/>
        <v>#DIV/0!</v>
      </c>
      <c r="BH166" s="29" t="str">
        <f t="shared" si="170"/>
        <v>#DIV/0!</v>
      </c>
      <c r="BI166" s="29" t="str">
        <f t="shared" si="170"/>
        <v>#DIV/0!</v>
      </c>
      <c r="BJ166" s="29" t="str">
        <f t="shared" si="170"/>
        <v>#DIV/0!</v>
      </c>
      <c r="BK166" s="29" t="str">
        <f t="shared" si="170"/>
        <v>#DIV/0!</v>
      </c>
      <c r="BL166" s="29" t="str">
        <f t="shared" si="170"/>
        <v>#DIV/0!</v>
      </c>
      <c r="BM166" s="29" t="str">
        <f t="shared" si="3"/>
        <v>#DIV/0!</v>
      </c>
    </row>
    <row r="167">
      <c r="A167" s="16" t="str">
        <f>IFERROR(__xludf.DUMMYFUNCTION("IFERROR(SPARKLINE(SORT(MAP(TRANSPOSE(AQ167:BL167), LAMBDA(val, IF(ISNUMBER(val), PERCENTRANK(AQ167:BL167, val)+0.01, 0))), SEQUENCE(COLUMNS(AQ167:BL167)), FALSE), {""charttype"",""column""; ""color"",""chartreuse""; ""ymin"", 0; ""ymax"", 1.01; ""highcolo"&amp;"r"", ""darkgreen""; ""lowcolor"", ""red""}), """")"),"")</f>
        <v/>
      </c>
      <c r="B167" s="17" t="str">
        <f t="shared" si="4"/>
        <v/>
      </c>
      <c r="C167" s="1" t="s">
        <v>2088</v>
      </c>
      <c r="D167" s="30" t="str">
        <f>IFERROR(__xludf.DUMMYFUNCTION("IFERROR(GOOGLEFINANCE(C167, ""NAME""))"),"Quest Diagnostics Inc")</f>
        <v>Quest Diagnostics Inc</v>
      </c>
      <c r="E167" s="30" t="s">
        <v>1499</v>
      </c>
      <c r="F167" s="33" t="str">
        <f>IFERROR(__xludf.DUMMYFUNCTION("( (GOOGLEFINANCE(C167, ""price"") - Q167) / Q167 ) / (R167 / 100)"),"Loading...")</f>
        <v>Loading...</v>
      </c>
      <c r="G167" s="20" t="str">
        <f>IFERROR(__xludf.DUMMYFUNCTION("AVERAGE(ARRAYFORMULA(100 * (QUERY(GOOGLEFINANCE(C167, ""high"", TODAY()-40, TODAY()), ""SELECT Col2 WHERE Col2 IS NOT NULL ORDER BY Col1 DESC LIMIT 20"", 0) / QUERY(GOOGLEFINANCE(C167, ""low"", TODAY()-40, TODAY()), ""SELECT Col2 WHERE Col2 IS NOT NULL OR"&amp;"DER BY Col1 DESC LIMIT 20"", 0) - 1)))"),"#N/A")</f>
        <v>#N/A</v>
      </c>
      <c r="H167" s="35" t="str">
        <f t="shared" si="118"/>
        <v/>
      </c>
      <c r="I167" s="36" t="str">
        <f t="shared" si="7"/>
        <v/>
      </c>
      <c r="J167" s="37" t="str">
        <f>IFERROR(__xludf.DUMMYFUNCTION("IFERROR(
  IF(C167="""",, 
    IFERROR(
      GOOGLEFINANCE(C167, ""price"") * GOOGLEFINANCE(C167, ""volumeavg""), 
      GOOGLEFINANCE(C167, ""price"") * AVERAGE(QUERY(GOOGLEFINANCE(C167, ""volume"", TODAY()-40, TODAY()), ""SELECT Col2 WHERE Col2 IS NOT "&amp;"NULL ORDER BY Col1 DESC LIMIT 20"", 0))
    )
  ), 
"""")"),"")</f>
        <v/>
      </c>
      <c r="K167" s="21" t="str">
        <f>IFERROR(__xludf.DUMMYFUNCTION("IFERROR(GOOGLEFINANCE(C167, ""changepct"") / 100, """")"),"")</f>
        <v/>
      </c>
      <c r="L167" s="21" t="str">
        <f>IFERROR(__xludf.DUMMYFUNCTION("IFERROR((GOOGLEFINANCE(C167, ""price"") / INDEX(GOOGLEFINANCE(C167, ""price"", TODAY()-7, TODAY()), 2, 2)) - 1, """")"),"")</f>
        <v/>
      </c>
      <c r="M167" s="21" t="str">
        <f>IFERROR(__xludf.DUMMYFUNCTION("IFERROR((GOOGLEFINANCE(C167, ""price"") / INDEX(GOOGLEFINANCE(C167, ""price"", EDATE(TODAY(), -1), TODAY()), 2, 2)) - 1, """")"),"")</f>
        <v/>
      </c>
      <c r="N167" s="21" t="str">
        <f>IFERROR(__xludf.DUMMYFUNCTION("IFERROR((GOOGLEFINANCE(C167, ""price"") / INDEX(GOOGLEFINANCE(C167, ""price"", EDATE(TODAY(), -3), TODAY()), 2, 2)) - 1, """")"),"")</f>
        <v/>
      </c>
      <c r="O167" s="21" t="str">
        <f>IFERROR(__xludf.DUMMYFUNCTION("IFERROR((GOOGLEFINANCE(C167, ""price"") / INDEX(GOOGLEFINANCE(C167, ""price"", EDATE(TODAY(), -6), TODAY()), 2, 2)) - 1, """")"),"")</f>
        <v/>
      </c>
      <c r="P167" s="21" t="str">
        <f>IFERROR(__xludf.DUMMYFUNCTION("IFERROR((GOOGLEFINANCE(C167, ""price"") / INDEX(GOOGLEFINANCE(C167, ""price"", EDATE(TODAY(), -12), TODAY()), 2, 2)) - 1, """")"),"")</f>
        <v/>
      </c>
      <c r="Q167" s="6" t="str">
        <f>IFERROR(__xludf.DUMMYFUNCTION("AVERAGE(QUERY(GOOGLEFINANCE(C167, ""price"", TODAY()-80, TODAY()), ""SELECT Col2 WHERE Col2 IS NOT NULL ORDER BY Col1 DESC LIMIT 50"", 0))"),"#N/A")</f>
        <v>#N/A</v>
      </c>
      <c r="R167" s="24" t="str">
        <f>IFERROR(__xludf.DUMMYFUNCTION("IFERROR(
  LET(
    data, QUERY(GOOGLEFINANCE(C167,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GOOGLEFINANCE(C167, ""price"")) * 100,
    IF(calc=0, G167, calc)
  ), 
G167)"),"#N/A")</f>
        <v>#N/A</v>
      </c>
      <c r="S167" s="8" t="s">
        <v>15</v>
      </c>
      <c r="T167" s="26" t="str">
        <f>IFERROR(__xludf.DUMMYFUNCTION("IFERROR(TRANSPOSE(QUERY(IFERROR(SORT(GOOGLEFINANCE(C167, ""price"", WORKDAY(TODAY(), -40), TODAY()), 1, FALSE)), ""select Col2 where Col2 is not null limit 22 label Col2 ''"", 0)), """")"),"")</f>
        <v/>
      </c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8"/>
      <c r="AO167" s="28"/>
      <c r="AP167" s="29"/>
      <c r="AQ167" s="29" t="str">
        <f t="shared" ref="AQ167:BL167" si="171">T167/T$2</f>
        <v>#N/A</v>
      </c>
      <c r="AR167" s="29" t="str">
        <f t="shared" si="171"/>
        <v>#DIV/0!</v>
      </c>
      <c r="AS167" s="29" t="str">
        <f t="shared" si="171"/>
        <v>#DIV/0!</v>
      </c>
      <c r="AT167" s="29" t="str">
        <f t="shared" si="171"/>
        <v>#DIV/0!</v>
      </c>
      <c r="AU167" s="29" t="str">
        <f t="shared" si="171"/>
        <v>#DIV/0!</v>
      </c>
      <c r="AV167" s="29" t="str">
        <f t="shared" si="171"/>
        <v>#DIV/0!</v>
      </c>
      <c r="AW167" s="29" t="str">
        <f t="shared" si="171"/>
        <v>#DIV/0!</v>
      </c>
      <c r="AX167" s="29" t="str">
        <f t="shared" si="171"/>
        <v>#DIV/0!</v>
      </c>
      <c r="AY167" s="29" t="str">
        <f t="shared" si="171"/>
        <v>#DIV/0!</v>
      </c>
      <c r="AZ167" s="29" t="str">
        <f t="shared" si="171"/>
        <v>#DIV/0!</v>
      </c>
      <c r="BA167" s="29" t="str">
        <f t="shared" si="171"/>
        <v>#DIV/0!</v>
      </c>
      <c r="BB167" s="29" t="str">
        <f t="shared" si="171"/>
        <v>#DIV/0!</v>
      </c>
      <c r="BC167" s="29" t="str">
        <f t="shared" si="171"/>
        <v>#DIV/0!</v>
      </c>
      <c r="BD167" s="29" t="str">
        <f t="shared" si="171"/>
        <v>#DIV/0!</v>
      </c>
      <c r="BE167" s="29" t="str">
        <f t="shared" si="171"/>
        <v>#DIV/0!</v>
      </c>
      <c r="BF167" s="29" t="str">
        <f t="shared" si="171"/>
        <v>#DIV/0!</v>
      </c>
      <c r="BG167" s="29" t="str">
        <f t="shared" si="171"/>
        <v>#DIV/0!</v>
      </c>
      <c r="BH167" s="29" t="str">
        <f t="shared" si="171"/>
        <v>#DIV/0!</v>
      </c>
      <c r="BI167" s="29" t="str">
        <f t="shared" si="171"/>
        <v>#DIV/0!</v>
      </c>
      <c r="BJ167" s="29" t="str">
        <f t="shared" si="171"/>
        <v>#DIV/0!</v>
      </c>
      <c r="BK167" s="29" t="str">
        <f t="shared" si="171"/>
        <v>#DIV/0!</v>
      </c>
      <c r="BL167" s="29" t="str">
        <f t="shared" si="171"/>
        <v>#DIV/0!</v>
      </c>
      <c r="BM167" s="29" t="str">
        <f t="shared" si="3"/>
        <v>#DIV/0!</v>
      </c>
    </row>
    <row r="168">
      <c r="A168" s="16" t="str">
        <f>IFERROR(__xludf.DUMMYFUNCTION("IFERROR(SPARKLINE(SORT(MAP(TRANSPOSE(AQ168:BL168), LAMBDA(val, IF(ISNUMBER(val), PERCENTRANK(AQ168:BL168, val)+0.01, 0))), SEQUENCE(COLUMNS(AQ168:BL168)), FALSE), {""charttype"",""column""; ""color"",""chartreuse""; ""ymin"", 0; ""ymax"", 1.01; ""highcolo"&amp;"r"", ""darkgreen""; ""lowcolor"", ""red""}), """")"),"")</f>
        <v/>
      </c>
      <c r="B168" s="17" t="str">
        <f t="shared" si="4"/>
        <v/>
      </c>
      <c r="C168" s="1" t="s">
        <v>2091</v>
      </c>
      <c r="D168" s="30" t="str">
        <f>IFERROR(__xludf.DUMMYFUNCTION("IFERROR(GOOGLEFINANCE(C168, ""NAME""))"),"Johnson &amp; Johnson")</f>
        <v>Johnson &amp; Johnson</v>
      </c>
      <c r="E168" s="30" t="s">
        <v>1509</v>
      </c>
      <c r="F168" s="33" t="str">
        <f>IFERROR(__xludf.DUMMYFUNCTION("( (GOOGLEFINANCE(C168, ""price"") - Q168) / Q168 ) / (R168 / 100)"),"Loading...")</f>
        <v>Loading...</v>
      </c>
      <c r="G168" s="20" t="str">
        <f>IFERROR(__xludf.DUMMYFUNCTION("AVERAGE(ARRAYFORMULA(100 * (QUERY(GOOGLEFINANCE(C168, ""high"", TODAY()-40, TODAY()), ""SELECT Col2 WHERE Col2 IS NOT NULL ORDER BY Col1 DESC LIMIT 20"", 0) / QUERY(GOOGLEFINANCE(C168, ""low"", TODAY()-40, TODAY()), ""SELECT Col2 WHERE Col2 IS NOT NULL OR"&amp;"DER BY Col1 DESC LIMIT 20"", 0) - 1)))"),"#N/A")</f>
        <v>#N/A</v>
      </c>
      <c r="H168" s="35" t="str">
        <f t="shared" si="118"/>
        <v/>
      </c>
      <c r="I168" s="36" t="str">
        <f t="shared" si="7"/>
        <v/>
      </c>
      <c r="J168" s="37" t="str">
        <f>IFERROR(__xludf.DUMMYFUNCTION("IFERROR(
  IF(C168="""",, 
    IFERROR(
      GOOGLEFINANCE(C168, ""price"") * GOOGLEFINANCE(C168, ""volumeavg""), 
      GOOGLEFINANCE(C168, ""price"") * AVERAGE(QUERY(GOOGLEFINANCE(C168, ""volume"", TODAY()-40, TODAY()), ""SELECT Col2 WHERE Col2 IS NOT "&amp;"NULL ORDER BY Col1 DESC LIMIT 20"", 0))
    )
  ), 
"""")"),"")</f>
        <v/>
      </c>
      <c r="K168" s="21" t="str">
        <f>IFERROR(__xludf.DUMMYFUNCTION("IFERROR(GOOGLEFINANCE(C168, ""changepct"") / 100, """")"),"")</f>
        <v/>
      </c>
      <c r="L168" s="21" t="str">
        <f>IFERROR(__xludf.DUMMYFUNCTION("IFERROR((GOOGLEFINANCE(C168, ""price"") / INDEX(GOOGLEFINANCE(C168, ""price"", TODAY()-7, TODAY()), 2, 2)) - 1, """")"),"")</f>
        <v/>
      </c>
      <c r="M168" s="21" t="str">
        <f>IFERROR(__xludf.DUMMYFUNCTION("IFERROR((GOOGLEFINANCE(C168, ""price"") / INDEX(GOOGLEFINANCE(C168, ""price"", EDATE(TODAY(), -1), TODAY()), 2, 2)) - 1, """")"),"")</f>
        <v/>
      </c>
      <c r="N168" s="21" t="str">
        <f>IFERROR(__xludf.DUMMYFUNCTION("IFERROR((GOOGLEFINANCE(C168, ""price"") / INDEX(GOOGLEFINANCE(C168, ""price"", EDATE(TODAY(), -3), TODAY()), 2, 2)) - 1, """")"),"")</f>
        <v/>
      </c>
      <c r="O168" s="21" t="str">
        <f>IFERROR(__xludf.DUMMYFUNCTION("IFERROR((GOOGLEFINANCE(C168, ""price"") / INDEX(GOOGLEFINANCE(C168, ""price"", EDATE(TODAY(), -6), TODAY()), 2, 2)) - 1, """")"),"")</f>
        <v/>
      </c>
      <c r="P168" s="21" t="str">
        <f>IFERROR(__xludf.DUMMYFUNCTION("IFERROR((GOOGLEFINANCE(C168, ""price"") / INDEX(GOOGLEFINANCE(C168, ""price"", EDATE(TODAY(), -12), TODAY()), 2, 2)) - 1, """")"),"")</f>
        <v/>
      </c>
      <c r="Q168" s="6" t="str">
        <f>IFERROR(__xludf.DUMMYFUNCTION("AVERAGE(QUERY(GOOGLEFINANCE(C168, ""price"", TODAY()-80, TODAY()), ""SELECT Col2 WHERE Col2 IS NOT NULL ORDER BY Col1 DESC LIMIT 50"", 0))"),"#N/A")</f>
        <v>#N/A</v>
      </c>
      <c r="R168" s="24" t="str">
        <f>IFERROR(__xludf.DUMMYFUNCTION("IFERROR(
  LET(
    data, QUERY(GOOGLEFINANCE(C168,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GOOGLEFINANCE(C168, ""price"")) * 100,
    IF(calc=0, G168, calc)
  ), 
G168)"),"#N/A")</f>
        <v>#N/A</v>
      </c>
      <c r="S168" s="8" t="s">
        <v>15</v>
      </c>
      <c r="T168" s="26" t="str">
        <f>IFERROR(__xludf.DUMMYFUNCTION("IFERROR(TRANSPOSE(QUERY(IFERROR(SORT(GOOGLEFINANCE(C168, ""price"", WORKDAY(TODAY(), -40), TODAY()), 1, FALSE)), ""select Col2 where Col2 is not null limit 22 label Col2 ''"", 0)), """")"),"")</f>
        <v/>
      </c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8"/>
      <c r="AO168" s="28"/>
      <c r="AP168" s="29"/>
      <c r="AQ168" s="29" t="str">
        <f t="shared" ref="AQ168:BL168" si="172">T168/T$2</f>
        <v>#N/A</v>
      </c>
      <c r="AR168" s="29" t="str">
        <f t="shared" si="172"/>
        <v>#DIV/0!</v>
      </c>
      <c r="AS168" s="29" t="str">
        <f t="shared" si="172"/>
        <v>#DIV/0!</v>
      </c>
      <c r="AT168" s="29" t="str">
        <f t="shared" si="172"/>
        <v>#DIV/0!</v>
      </c>
      <c r="AU168" s="29" t="str">
        <f t="shared" si="172"/>
        <v>#DIV/0!</v>
      </c>
      <c r="AV168" s="29" t="str">
        <f t="shared" si="172"/>
        <v>#DIV/0!</v>
      </c>
      <c r="AW168" s="29" t="str">
        <f t="shared" si="172"/>
        <v>#DIV/0!</v>
      </c>
      <c r="AX168" s="29" t="str">
        <f t="shared" si="172"/>
        <v>#DIV/0!</v>
      </c>
      <c r="AY168" s="29" t="str">
        <f t="shared" si="172"/>
        <v>#DIV/0!</v>
      </c>
      <c r="AZ168" s="29" t="str">
        <f t="shared" si="172"/>
        <v>#DIV/0!</v>
      </c>
      <c r="BA168" s="29" t="str">
        <f t="shared" si="172"/>
        <v>#DIV/0!</v>
      </c>
      <c r="BB168" s="29" t="str">
        <f t="shared" si="172"/>
        <v>#DIV/0!</v>
      </c>
      <c r="BC168" s="29" t="str">
        <f t="shared" si="172"/>
        <v>#DIV/0!</v>
      </c>
      <c r="BD168" s="29" t="str">
        <f t="shared" si="172"/>
        <v>#DIV/0!</v>
      </c>
      <c r="BE168" s="29" t="str">
        <f t="shared" si="172"/>
        <v>#DIV/0!</v>
      </c>
      <c r="BF168" s="29" t="str">
        <f t="shared" si="172"/>
        <v>#DIV/0!</v>
      </c>
      <c r="BG168" s="29" t="str">
        <f t="shared" si="172"/>
        <v>#DIV/0!</v>
      </c>
      <c r="BH168" s="29" t="str">
        <f t="shared" si="172"/>
        <v>#DIV/0!</v>
      </c>
      <c r="BI168" s="29" t="str">
        <f t="shared" si="172"/>
        <v>#DIV/0!</v>
      </c>
      <c r="BJ168" s="29" t="str">
        <f t="shared" si="172"/>
        <v>#DIV/0!</v>
      </c>
      <c r="BK168" s="29" t="str">
        <f t="shared" si="172"/>
        <v>#DIV/0!</v>
      </c>
      <c r="BL168" s="29" t="str">
        <f t="shared" si="172"/>
        <v>#DIV/0!</v>
      </c>
      <c r="BM168" s="29" t="str">
        <f t="shared" si="3"/>
        <v>#DIV/0!</v>
      </c>
    </row>
    <row r="169">
      <c r="A169" s="16" t="str">
        <f>IFERROR(__xludf.DUMMYFUNCTION("IFERROR(SPARKLINE(SORT(MAP(TRANSPOSE(AQ169:BL169), LAMBDA(val, IF(ISNUMBER(val), PERCENTRANK(AQ169:BL169, val)+0.01, 0))), SEQUENCE(COLUMNS(AQ169:BL169)), FALSE), {""charttype"",""column""; ""color"",""chartreuse""; ""ymin"", 0; ""ymax"", 1.01; ""highcolo"&amp;"r"", ""darkgreen""; ""lowcolor"", ""red""}), """")"),"")</f>
        <v/>
      </c>
      <c r="B169" s="17" t="str">
        <f t="shared" si="4"/>
        <v/>
      </c>
      <c r="C169" s="1" t="s">
        <v>2096</v>
      </c>
      <c r="D169" s="30" t="str">
        <f>IFERROR(__xludf.DUMMYFUNCTION("IFERROR(GOOGLEFINANCE(C169, ""NAME""))"),"Pfizer Inc")</f>
        <v>Pfizer Inc</v>
      </c>
      <c r="E169" s="30" t="s">
        <v>1509</v>
      </c>
      <c r="F169" s="33" t="str">
        <f>IFERROR(__xludf.DUMMYFUNCTION("( (GOOGLEFINANCE(C169, ""price"") - Q169) / Q169 ) / (R169 / 100)"),"Loading...")</f>
        <v>Loading...</v>
      </c>
      <c r="G169" s="20" t="str">
        <f>IFERROR(__xludf.DUMMYFUNCTION("AVERAGE(ARRAYFORMULA(100 * (QUERY(GOOGLEFINANCE(C169, ""high"", TODAY()-40, TODAY()), ""SELECT Col2 WHERE Col2 IS NOT NULL ORDER BY Col1 DESC LIMIT 20"", 0) / QUERY(GOOGLEFINANCE(C169, ""low"", TODAY()-40, TODAY()), ""SELECT Col2 WHERE Col2 IS NOT NULL OR"&amp;"DER BY Col1 DESC LIMIT 20"", 0) - 1)))"),"#N/A")</f>
        <v>#N/A</v>
      </c>
      <c r="H169" s="35" t="str">
        <f t="shared" si="118"/>
        <v/>
      </c>
      <c r="I169" s="36" t="str">
        <f t="shared" si="7"/>
        <v/>
      </c>
      <c r="J169" s="37" t="str">
        <f>IFERROR(__xludf.DUMMYFUNCTION("IFERROR(
  IF(C169="""",, 
    IFERROR(
      GOOGLEFINANCE(C169, ""price"") * GOOGLEFINANCE(C169, ""volumeavg""), 
      GOOGLEFINANCE(C169, ""price"") * AVERAGE(QUERY(GOOGLEFINANCE(C169, ""volume"", TODAY()-40, TODAY()), ""SELECT Col2 WHERE Col2 IS NOT "&amp;"NULL ORDER BY Col1 DESC LIMIT 20"", 0))
    )
  ), 
"""")"),"")</f>
        <v/>
      </c>
      <c r="K169" s="21" t="str">
        <f>IFERROR(__xludf.DUMMYFUNCTION("IFERROR(GOOGLEFINANCE(C169, ""changepct"") / 100, """")"),"")</f>
        <v/>
      </c>
      <c r="L169" s="21" t="str">
        <f>IFERROR(__xludf.DUMMYFUNCTION("IFERROR((GOOGLEFINANCE(C169, ""price"") / INDEX(GOOGLEFINANCE(C169, ""price"", TODAY()-7, TODAY()), 2, 2)) - 1, """")"),"")</f>
        <v/>
      </c>
      <c r="M169" s="21" t="str">
        <f>IFERROR(__xludf.DUMMYFUNCTION("IFERROR((GOOGLEFINANCE(C169, ""price"") / INDEX(GOOGLEFINANCE(C169, ""price"", EDATE(TODAY(), -1), TODAY()), 2, 2)) - 1, """")"),"")</f>
        <v/>
      </c>
      <c r="N169" s="21" t="str">
        <f>IFERROR(__xludf.DUMMYFUNCTION("IFERROR((GOOGLEFINANCE(C169, ""price"") / INDEX(GOOGLEFINANCE(C169, ""price"", EDATE(TODAY(), -3), TODAY()), 2, 2)) - 1, """")"),"")</f>
        <v/>
      </c>
      <c r="O169" s="21" t="str">
        <f>IFERROR(__xludf.DUMMYFUNCTION("IFERROR((GOOGLEFINANCE(C169, ""price"") / INDEX(GOOGLEFINANCE(C169, ""price"", EDATE(TODAY(), -6), TODAY()), 2, 2)) - 1, """")"),"")</f>
        <v/>
      </c>
      <c r="P169" s="21" t="str">
        <f>IFERROR(__xludf.DUMMYFUNCTION("IFERROR((GOOGLEFINANCE(C169, ""price"") / INDEX(GOOGLEFINANCE(C169, ""price"", EDATE(TODAY(), -12), TODAY()), 2, 2)) - 1, """")"),"")</f>
        <v/>
      </c>
      <c r="Q169" s="6" t="str">
        <f>IFERROR(__xludf.DUMMYFUNCTION("AVERAGE(QUERY(GOOGLEFINANCE(C169, ""price"", TODAY()-80, TODAY()), ""SELECT Col2 WHERE Col2 IS NOT NULL ORDER BY Col1 DESC LIMIT 50"", 0))"),"#N/A")</f>
        <v>#N/A</v>
      </c>
      <c r="R169" s="24" t="str">
        <f>IFERROR(__xludf.DUMMYFUNCTION("IFERROR(
  LET(
    data, QUERY(GOOGLEFINANCE(C169,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GOOGLEFINANCE(C169, ""price"")) * 100,
    IF(calc=0, G169, calc)
  ), 
G169)"),"#N/A")</f>
        <v>#N/A</v>
      </c>
      <c r="S169" s="8" t="s">
        <v>15</v>
      </c>
      <c r="T169" s="26" t="str">
        <f>IFERROR(__xludf.DUMMYFUNCTION("IFERROR(TRANSPOSE(QUERY(IFERROR(SORT(GOOGLEFINANCE(C169, ""price"", WORKDAY(TODAY(), -40), TODAY()), 1, FALSE)), ""select Col2 where Col2 is not null limit 22 label Col2 ''"", 0)), """")"),"")</f>
        <v/>
      </c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8"/>
      <c r="AO169" s="28"/>
      <c r="AP169" s="29"/>
      <c r="AQ169" s="29" t="str">
        <f t="shared" ref="AQ169:BL169" si="173">T169/T$2</f>
        <v>#N/A</v>
      </c>
      <c r="AR169" s="29" t="str">
        <f t="shared" si="173"/>
        <v>#DIV/0!</v>
      </c>
      <c r="AS169" s="29" t="str">
        <f t="shared" si="173"/>
        <v>#DIV/0!</v>
      </c>
      <c r="AT169" s="29" t="str">
        <f t="shared" si="173"/>
        <v>#DIV/0!</v>
      </c>
      <c r="AU169" s="29" t="str">
        <f t="shared" si="173"/>
        <v>#DIV/0!</v>
      </c>
      <c r="AV169" s="29" t="str">
        <f t="shared" si="173"/>
        <v>#DIV/0!</v>
      </c>
      <c r="AW169" s="29" t="str">
        <f t="shared" si="173"/>
        <v>#DIV/0!</v>
      </c>
      <c r="AX169" s="29" t="str">
        <f t="shared" si="173"/>
        <v>#DIV/0!</v>
      </c>
      <c r="AY169" s="29" t="str">
        <f t="shared" si="173"/>
        <v>#DIV/0!</v>
      </c>
      <c r="AZ169" s="29" t="str">
        <f t="shared" si="173"/>
        <v>#DIV/0!</v>
      </c>
      <c r="BA169" s="29" t="str">
        <f t="shared" si="173"/>
        <v>#DIV/0!</v>
      </c>
      <c r="BB169" s="29" t="str">
        <f t="shared" si="173"/>
        <v>#DIV/0!</v>
      </c>
      <c r="BC169" s="29" t="str">
        <f t="shared" si="173"/>
        <v>#DIV/0!</v>
      </c>
      <c r="BD169" s="29" t="str">
        <f t="shared" si="173"/>
        <v>#DIV/0!</v>
      </c>
      <c r="BE169" s="29" t="str">
        <f t="shared" si="173"/>
        <v>#DIV/0!</v>
      </c>
      <c r="BF169" s="29" t="str">
        <f t="shared" si="173"/>
        <v>#DIV/0!</v>
      </c>
      <c r="BG169" s="29" t="str">
        <f t="shared" si="173"/>
        <v>#DIV/0!</v>
      </c>
      <c r="BH169" s="29" t="str">
        <f t="shared" si="173"/>
        <v>#DIV/0!</v>
      </c>
      <c r="BI169" s="29" t="str">
        <f t="shared" si="173"/>
        <v>#DIV/0!</v>
      </c>
      <c r="BJ169" s="29" t="str">
        <f t="shared" si="173"/>
        <v>#DIV/0!</v>
      </c>
      <c r="BK169" s="29" t="str">
        <f t="shared" si="173"/>
        <v>#DIV/0!</v>
      </c>
      <c r="BL169" s="29" t="str">
        <f t="shared" si="173"/>
        <v>#DIV/0!</v>
      </c>
      <c r="BM169" s="29" t="str">
        <f t="shared" si="3"/>
        <v>#DIV/0!</v>
      </c>
    </row>
    <row r="170">
      <c r="A170" s="16" t="str">
        <f>IFERROR(__xludf.DUMMYFUNCTION("IFERROR(SPARKLINE(SORT(MAP(TRANSPOSE(AQ170:BL170), LAMBDA(val, IF(ISNUMBER(val), PERCENTRANK(AQ170:BL170, val)+0.01, 0))), SEQUENCE(COLUMNS(AQ170:BL170)), FALSE), {""charttype"",""column""; ""color"",""chartreuse""; ""ymin"", 0; ""ymax"", 1.01; ""highcolo"&amp;"r"", ""darkgreen""; ""lowcolor"", ""red""}), """")"),"")</f>
        <v/>
      </c>
      <c r="B170" s="17" t="str">
        <f t="shared" si="4"/>
        <v/>
      </c>
      <c r="C170" s="1" t="s">
        <v>2100</v>
      </c>
      <c r="D170" s="30" t="str">
        <f>IFERROR(__xludf.DUMMYFUNCTION("IFERROR(GOOGLEFINANCE(C170, ""NAME""))"),"Bristol-Myers Squibb Co")</f>
        <v>Bristol-Myers Squibb Co</v>
      </c>
      <c r="E170" s="30" t="s">
        <v>1509</v>
      </c>
      <c r="F170" s="33" t="str">
        <f>IFERROR(__xludf.DUMMYFUNCTION("( (GOOGLEFINANCE(C170, ""price"") - Q170) / Q170 ) / (R170 / 100)"),"Loading...")</f>
        <v>Loading...</v>
      </c>
      <c r="G170" s="20" t="str">
        <f>IFERROR(__xludf.DUMMYFUNCTION("AVERAGE(ARRAYFORMULA(100 * (QUERY(GOOGLEFINANCE(C170, ""high"", TODAY()-40, TODAY()), ""SELECT Col2 WHERE Col2 IS NOT NULL ORDER BY Col1 DESC LIMIT 20"", 0) / QUERY(GOOGLEFINANCE(C170, ""low"", TODAY()-40, TODAY()), ""SELECT Col2 WHERE Col2 IS NOT NULL OR"&amp;"DER BY Col1 DESC LIMIT 20"", 0) - 1)))"),"#N/A")</f>
        <v>#N/A</v>
      </c>
      <c r="H170" s="35" t="str">
        <f t="shared" si="118"/>
        <v/>
      </c>
      <c r="I170" s="36" t="str">
        <f t="shared" si="7"/>
        <v/>
      </c>
      <c r="J170" s="37" t="str">
        <f>IFERROR(__xludf.DUMMYFUNCTION("IFERROR(
  IF(C170="""",, 
    IFERROR(
      GOOGLEFINANCE(C170, ""price"") * GOOGLEFINANCE(C170, ""volumeavg""), 
      GOOGLEFINANCE(C170, ""price"") * AVERAGE(QUERY(GOOGLEFINANCE(C170, ""volume"", TODAY()-40, TODAY()), ""SELECT Col2 WHERE Col2 IS NOT "&amp;"NULL ORDER BY Col1 DESC LIMIT 20"", 0))
    )
  ), 
"""")"),"")</f>
        <v/>
      </c>
      <c r="K170" s="21" t="str">
        <f>IFERROR(__xludf.DUMMYFUNCTION("IFERROR(GOOGLEFINANCE(C170, ""changepct"") / 100, """")"),"")</f>
        <v/>
      </c>
      <c r="L170" s="21" t="str">
        <f>IFERROR(__xludf.DUMMYFUNCTION("IFERROR((GOOGLEFINANCE(C170, ""price"") / INDEX(GOOGLEFINANCE(C170, ""price"", TODAY()-7, TODAY()), 2, 2)) - 1, """")"),"")</f>
        <v/>
      </c>
      <c r="M170" s="21" t="str">
        <f>IFERROR(__xludf.DUMMYFUNCTION("IFERROR((GOOGLEFINANCE(C170, ""price"") / INDEX(GOOGLEFINANCE(C170, ""price"", EDATE(TODAY(), -1), TODAY()), 2, 2)) - 1, """")"),"")</f>
        <v/>
      </c>
      <c r="N170" s="21" t="str">
        <f>IFERROR(__xludf.DUMMYFUNCTION("IFERROR((GOOGLEFINANCE(C170, ""price"") / INDEX(GOOGLEFINANCE(C170, ""price"", EDATE(TODAY(), -3), TODAY()), 2, 2)) - 1, """")"),"")</f>
        <v/>
      </c>
      <c r="O170" s="21" t="str">
        <f>IFERROR(__xludf.DUMMYFUNCTION("IFERROR((GOOGLEFINANCE(C170, ""price"") / INDEX(GOOGLEFINANCE(C170, ""price"", EDATE(TODAY(), -6), TODAY()), 2, 2)) - 1, """")"),"")</f>
        <v/>
      </c>
      <c r="P170" s="21" t="str">
        <f>IFERROR(__xludf.DUMMYFUNCTION("IFERROR((GOOGLEFINANCE(C170, ""price"") / INDEX(GOOGLEFINANCE(C170, ""price"", EDATE(TODAY(), -12), TODAY()), 2, 2)) - 1, """")"),"")</f>
        <v/>
      </c>
      <c r="Q170" s="6" t="str">
        <f>IFERROR(__xludf.DUMMYFUNCTION("AVERAGE(QUERY(GOOGLEFINANCE(C170, ""price"", TODAY()-80, TODAY()), ""SELECT Col2 WHERE Col2 IS NOT NULL ORDER BY Col1 DESC LIMIT 50"", 0))"),"#N/A")</f>
        <v>#N/A</v>
      </c>
      <c r="R170" s="24" t="str">
        <f>IFERROR(__xludf.DUMMYFUNCTION("IFERROR(
  LET(
    data, QUERY(GOOGLEFINANCE(C170,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GOOGLEFINANCE(C170, ""price"")) * 100,
    IF(calc=0, G170, calc)
  ), 
G170)"),"#N/A")</f>
        <v>#N/A</v>
      </c>
      <c r="S170" s="8" t="s">
        <v>15</v>
      </c>
      <c r="T170" s="26" t="str">
        <f>IFERROR(__xludf.DUMMYFUNCTION("IFERROR(TRANSPOSE(QUERY(IFERROR(SORT(GOOGLEFINANCE(C170, ""price"", WORKDAY(TODAY(), -40), TODAY()), 1, FALSE)), ""select Col2 where Col2 is not null limit 22 label Col2 ''"", 0)), """")"),"")</f>
        <v/>
      </c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8"/>
      <c r="AO170" s="28"/>
      <c r="AP170" s="29"/>
      <c r="AQ170" s="29" t="str">
        <f t="shared" ref="AQ170:BL170" si="174">T170/T$2</f>
        <v>#N/A</v>
      </c>
      <c r="AR170" s="29" t="str">
        <f t="shared" si="174"/>
        <v>#DIV/0!</v>
      </c>
      <c r="AS170" s="29" t="str">
        <f t="shared" si="174"/>
        <v>#DIV/0!</v>
      </c>
      <c r="AT170" s="29" t="str">
        <f t="shared" si="174"/>
        <v>#DIV/0!</v>
      </c>
      <c r="AU170" s="29" t="str">
        <f t="shared" si="174"/>
        <v>#DIV/0!</v>
      </c>
      <c r="AV170" s="29" t="str">
        <f t="shared" si="174"/>
        <v>#DIV/0!</v>
      </c>
      <c r="AW170" s="29" t="str">
        <f t="shared" si="174"/>
        <v>#DIV/0!</v>
      </c>
      <c r="AX170" s="29" t="str">
        <f t="shared" si="174"/>
        <v>#DIV/0!</v>
      </c>
      <c r="AY170" s="29" t="str">
        <f t="shared" si="174"/>
        <v>#DIV/0!</v>
      </c>
      <c r="AZ170" s="29" t="str">
        <f t="shared" si="174"/>
        <v>#DIV/0!</v>
      </c>
      <c r="BA170" s="29" t="str">
        <f t="shared" si="174"/>
        <v>#DIV/0!</v>
      </c>
      <c r="BB170" s="29" t="str">
        <f t="shared" si="174"/>
        <v>#DIV/0!</v>
      </c>
      <c r="BC170" s="29" t="str">
        <f t="shared" si="174"/>
        <v>#DIV/0!</v>
      </c>
      <c r="BD170" s="29" t="str">
        <f t="shared" si="174"/>
        <v>#DIV/0!</v>
      </c>
      <c r="BE170" s="29" t="str">
        <f t="shared" si="174"/>
        <v>#DIV/0!</v>
      </c>
      <c r="BF170" s="29" t="str">
        <f t="shared" si="174"/>
        <v>#DIV/0!</v>
      </c>
      <c r="BG170" s="29" t="str">
        <f t="shared" si="174"/>
        <v>#DIV/0!</v>
      </c>
      <c r="BH170" s="29" t="str">
        <f t="shared" si="174"/>
        <v>#DIV/0!</v>
      </c>
      <c r="BI170" s="29" t="str">
        <f t="shared" si="174"/>
        <v>#DIV/0!</v>
      </c>
      <c r="BJ170" s="29" t="str">
        <f t="shared" si="174"/>
        <v>#DIV/0!</v>
      </c>
      <c r="BK170" s="29" t="str">
        <f t="shared" si="174"/>
        <v>#DIV/0!</v>
      </c>
      <c r="BL170" s="29" t="str">
        <f t="shared" si="174"/>
        <v>#DIV/0!</v>
      </c>
      <c r="BM170" s="29" t="str">
        <f t="shared" si="3"/>
        <v>#DIV/0!</v>
      </c>
    </row>
    <row r="171">
      <c r="A171" s="16" t="str">
        <f>IFERROR(__xludf.DUMMYFUNCTION("IFERROR(SPARKLINE(SORT(MAP(TRANSPOSE(AQ171:BL171), LAMBDA(val, IF(ISNUMBER(val), PERCENTRANK(AQ171:BL171, val)+0.01, 0))), SEQUENCE(COLUMNS(AQ171:BL171)), FALSE), {""charttype"",""column""; ""color"",""chartreuse""; ""ymin"", 0; ""ymax"", 1.01; ""highcolo"&amp;"r"", ""darkgreen""; ""lowcolor"", ""red""}), """")"),"")</f>
        <v/>
      </c>
      <c r="B171" s="17" t="str">
        <f t="shared" si="4"/>
        <v/>
      </c>
      <c r="C171" s="1" t="s">
        <v>2104</v>
      </c>
      <c r="D171" s="30" t="str">
        <f>IFERROR(__xludf.DUMMYFUNCTION("IFERROR(GOOGLEFINANCE(C171, ""NAME""))"),"BioCryst Pharmaceuticals Inc")</f>
        <v>BioCryst Pharmaceuticals Inc</v>
      </c>
      <c r="E171" s="30" t="s">
        <v>1475</v>
      </c>
      <c r="F171" s="33" t="str">
        <f>IFERROR(__xludf.DUMMYFUNCTION("( (GOOGLEFINANCE(C171, ""price"") - Q171) / Q171 ) / (R171 / 100)"),"Loading...")</f>
        <v>Loading...</v>
      </c>
      <c r="G171" s="20" t="str">
        <f>IFERROR(__xludf.DUMMYFUNCTION("AVERAGE(ARRAYFORMULA(100 * (QUERY(GOOGLEFINANCE(C171, ""high"", TODAY()-40, TODAY()), ""SELECT Col2 WHERE Col2 IS NOT NULL ORDER BY Col1 DESC LIMIT 20"", 0) / QUERY(GOOGLEFINANCE(C171, ""low"", TODAY()-40, TODAY()), ""SELECT Col2 WHERE Col2 IS NOT NULL OR"&amp;"DER BY Col1 DESC LIMIT 20"", 0) - 1)))"),"#N/A")</f>
        <v>#N/A</v>
      </c>
      <c r="H171" s="35" t="str">
        <f t="shared" si="118"/>
        <v/>
      </c>
      <c r="I171" s="36" t="str">
        <f t="shared" si="7"/>
        <v/>
      </c>
      <c r="J171" s="37" t="str">
        <f>IFERROR(__xludf.DUMMYFUNCTION("IFERROR(
  IF(C171="""",, 
    IFERROR(
      GOOGLEFINANCE(C171, ""price"") * GOOGLEFINANCE(C171, ""volumeavg""), 
      GOOGLEFINANCE(C171, ""price"") * AVERAGE(QUERY(GOOGLEFINANCE(C171, ""volume"", TODAY()-40, TODAY()), ""SELECT Col2 WHERE Col2 IS NOT "&amp;"NULL ORDER BY Col1 DESC LIMIT 20"", 0))
    )
  ), 
"""")"),"")</f>
        <v/>
      </c>
      <c r="K171" s="21" t="str">
        <f>IFERROR(__xludf.DUMMYFUNCTION("IFERROR(GOOGLEFINANCE(C171, ""changepct"") / 100, """")"),"")</f>
        <v/>
      </c>
      <c r="L171" s="21" t="str">
        <f>IFERROR(__xludf.DUMMYFUNCTION("IFERROR((GOOGLEFINANCE(C171, ""price"") / INDEX(GOOGLEFINANCE(C171, ""price"", TODAY()-7, TODAY()), 2, 2)) - 1, """")"),"")</f>
        <v/>
      </c>
      <c r="M171" s="21" t="str">
        <f>IFERROR(__xludf.DUMMYFUNCTION("IFERROR((GOOGLEFINANCE(C171, ""price"") / INDEX(GOOGLEFINANCE(C171, ""price"", EDATE(TODAY(), -1), TODAY()), 2, 2)) - 1, """")"),"")</f>
        <v/>
      </c>
      <c r="N171" s="21" t="str">
        <f>IFERROR(__xludf.DUMMYFUNCTION("IFERROR((GOOGLEFINANCE(C171, ""price"") / INDEX(GOOGLEFINANCE(C171, ""price"", EDATE(TODAY(), -3), TODAY()), 2, 2)) - 1, """")"),"")</f>
        <v/>
      </c>
      <c r="O171" s="21" t="str">
        <f>IFERROR(__xludf.DUMMYFUNCTION("IFERROR((GOOGLEFINANCE(C171, ""price"") / INDEX(GOOGLEFINANCE(C171, ""price"", EDATE(TODAY(), -6), TODAY()), 2, 2)) - 1, """")"),"")</f>
        <v/>
      </c>
      <c r="P171" s="21" t="str">
        <f>IFERROR(__xludf.DUMMYFUNCTION("IFERROR((GOOGLEFINANCE(C171, ""price"") / INDEX(GOOGLEFINANCE(C171, ""price"", EDATE(TODAY(), -12), TODAY()), 2, 2)) - 1, """")"),"")</f>
        <v/>
      </c>
      <c r="Q171" s="6" t="str">
        <f>IFERROR(__xludf.DUMMYFUNCTION("AVERAGE(QUERY(GOOGLEFINANCE(C171, ""price"", TODAY()-80, TODAY()), ""SELECT Col2 WHERE Col2 IS NOT NULL ORDER BY Col1 DESC LIMIT 50"", 0))"),"#N/A")</f>
        <v>#N/A</v>
      </c>
      <c r="R171" s="24" t="str">
        <f>IFERROR(__xludf.DUMMYFUNCTION("IFERROR(
  LET(
    data, QUERY(GOOGLEFINANCE(C171,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GOOGLEFINANCE(C171, ""price"")) * 100,
    IF(calc=0, G171, calc)
  ), 
G171)"),"#N/A")</f>
        <v>#N/A</v>
      </c>
      <c r="S171" s="8" t="s">
        <v>15</v>
      </c>
      <c r="T171" s="26" t="str">
        <f>IFERROR(__xludf.DUMMYFUNCTION("IFERROR(TRANSPOSE(QUERY(IFERROR(SORT(GOOGLEFINANCE(C171, ""price"", WORKDAY(TODAY(), -40), TODAY()), 1, FALSE)), ""select Col2 where Col2 is not null limit 22 label Col2 ''"", 0)), """")"),"")</f>
        <v/>
      </c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8"/>
      <c r="AO171" s="28"/>
      <c r="AP171" s="29"/>
      <c r="AQ171" s="29" t="str">
        <f t="shared" ref="AQ171:BL171" si="175">T171/T$2</f>
        <v>#N/A</v>
      </c>
      <c r="AR171" s="29" t="str">
        <f t="shared" si="175"/>
        <v>#DIV/0!</v>
      </c>
      <c r="AS171" s="29" t="str">
        <f t="shared" si="175"/>
        <v>#DIV/0!</v>
      </c>
      <c r="AT171" s="29" t="str">
        <f t="shared" si="175"/>
        <v>#DIV/0!</v>
      </c>
      <c r="AU171" s="29" t="str">
        <f t="shared" si="175"/>
        <v>#DIV/0!</v>
      </c>
      <c r="AV171" s="29" t="str">
        <f t="shared" si="175"/>
        <v>#DIV/0!</v>
      </c>
      <c r="AW171" s="29" t="str">
        <f t="shared" si="175"/>
        <v>#DIV/0!</v>
      </c>
      <c r="AX171" s="29" t="str">
        <f t="shared" si="175"/>
        <v>#DIV/0!</v>
      </c>
      <c r="AY171" s="29" t="str">
        <f t="shared" si="175"/>
        <v>#DIV/0!</v>
      </c>
      <c r="AZ171" s="29" t="str">
        <f t="shared" si="175"/>
        <v>#DIV/0!</v>
      </c>
      <c r="BA171" s="29" t="str">
        <f t="shared" si="175"/>
        <v>#DIV/0!</v>
      </c>
      <c r="BB171" s="29" t="str">
        <f t="shared" si="175"/>
        <v>#DIV/0!</v>
      </c>
      <c r="BC171" s="29" t="str">
        <f t="shared" si="175"/>
        <v>#DIV/0!</v>
      </c>
      <c r="BD171" s="29" t="str">
        <f t="shared" si="175"/>
        <v>#DIV/0!</v>
      </c>
      <c r="BE171" s="29" t="str">
        <f t="shared" si="175"/>
        <v>#DIV/0!</v>
      </c>
      <c r="BF171" s="29" t="str">
        <f t="shared" si="175"/>
        <v>#DIV/0!</v>
      </c>
      <c r="BG171" s="29" t="str">
        <f t="shared" si="175"/>
        <v>#DIV/0!</v>
      </c>
      <c r="BH171" s="29" t="str">
        <f t="shared" si="175"/>
        <v>#DIV/0!</v>
      </c>
      <c r="BI171" s="29" t="str">
        <f t="shared" si="175"/>
        <v>#DIV/0!</v>
      </c>
      <c r="BJ171" s="29" t="str">
        <f t="shared" si="175"/>
        <v>#DIV/0!</v>
      </c>
      <c r="BK171" s="29" t="str">
        <f t="shared" si="175"/>
        <v>#DIV/0!</v>
      </c>
      <c r="BL171" s="29" t="str">
        <f t="shared" si="175"/>
        <v>#DIV/0!</v>
      </c>
      <c r="BM171" s="29" t="str">
        <f t="shared" si="3"/>
        <v>#DIV/0!</v>
      </c>
    </row>
    <row r="172">
      <c r="A172" s="16" t="str">
        <f>IFERROR(__xludf.DUMMYFUNCTION("IFERROR(SPARKLINE(SORT(MAP(TRANSPOSE(AQ172:BL172), LAMBDA(val, IF(ISNUMBER(val), PERCENTRANK(AQ172:BL172, val)+0.01, 0))), SEQUENCE(COLUMNS(AQ172:BL172)), FALSE), {""charttype"",""column""; ""color"",""chartreuse""; ""ymin"", 0; ""ymax"", 1.01; ""highcolo"&amp;"r"", ""darkgreen""; ""lowcolor"", ""red""}), """")"),"")</f>
        <v/>
      </c>
      <c r="B172" s="17" t="str">
        <f t="shared" si="4"/>
        <v/>
      </c>
      <c r="C172" s="1" t="s">
        <v>2109</v>
      </c>
      <c r="D172" s="30" t="str">
        <f>IFERROR(__xludf.DUMMYFUNCTION("IFERROR(GOOGLEFINANCE(C172, ""NAME""))"),"Semapa Sociedade de Investo e Gst SGPSSA")</f>
        <v>Semapa Sociedade de Investo e Gst SGPSSA</v>
      </c>
      <c r="E172" s="30" t="s">
        <v>1513</v>
      </c>
      <c r="F172" s="33" t="str">
        <f>IFERROR(__xludf.DUMMYFUNCTION("( (GOOGLEFINANCE(C172, ""price"") - Q172) / Q172 ) / (R172 / 100)"),"Loading...")</f>
        <v>Loading...</v>
      </c>
      <c r="G172" s="20" t="str">
        <f>IFERROR(__xludf.DUMMYFUNCTION("AVERAGE(ARRAYFORMULA(100 * (QUERY(GOOGLEFINANCE(C172, ""high"", TODAY()-40, TODAY()), ""SELECT Col2 WHERE Col2 IS NOT NULL ORDER BY Col1 DESC LIMIT 20"", 0) / QUERY(GOOGLEFINANCE(C172, ""low"", TODAY()-40, TODAY()), ""SELECT Col2 WHERE Col2 IS NOT NULL OR"&amp;"DER BY Col1 DESC LIMIT 20"", 0) - 1)))"),"#N/A")</f>
        <v>#N/A</v>
      </c>
      <c r="H172" s="35" t="str">
        <f t="shared" si="118"/>
        <v/>
      </c>
      <c r="I172" s="36" t="str">
        <f t="shared" si="7"/>
        <v/>
      </c>
      <c r="J172" s="37" t="str">
        <f>IFERROR(__xludf.DUMMYFUNCTION("IFERROR(
  IF(C172="""",, 
    IFERROR(
      GOOGLEFINANCE(C172, ""price"") * GOOGLEFINANCE(C172, ""volumeavg""), 
      GOOGLEFINANCE(C172, ""price"") * AVERAGE(QUERY(GOOGLEFINANCE(C172, ""volume"", TODAY()-40, TODAY()), ""SELECT Col2 WHERE Col2 IS NOT "&amp;"NULL ORDER BY Col1 DESC LIMIT 20"", 0))
    )
  ), 
"""")"),"")</f>
        <v/>
      </c>
      <c r="K172" s="21" t="str">
        <f>IFERROR(__xludf.DUMMYFUNCTION("IFERROR(GOOGLEFINANCE(C172, ""changepct"") / 100, """")"),"")</f>
        <v/>
      </c>
      <c r="L172" s="21" t="str">
        <f>IFERROR(__xludf.DUMMYFUNCTION("IFERROR((GOOGLEFINANCE(C172, ""price"") / INDEX(GOOGLEFINANCE(C172, ""price"", TODAY()-7, TODAY()), 2, 2)) - 1, """")"),"")</f>
        <v/>
      </c>
      <c r="M172" s="21" t="str">
        <f>IFERROR(__xludf.DUMMYFUNCTION("IFERROR((GOOGLEFINANCE(C172, ""price"") / INDEX(GOOGLEFINANCE(C172, ""price"", EDATE(TODAY(), -1), TODAY()), 2, 2)) - 1, """")"),"")</f>
        <v/>
      </c>
      <c r="N172" s="21" t="str">
        <f>IFERROR(__xludf.DUMMYFUNCTION("IFERROR((GOOGLEFINANCE(C172, ""price"") / INDEX(GOOGLEFINANCE(C172, ""price"", EDATE(TODAY(), -3), TODAY()), 2, 2)) - 1, """")"),"")</f>
        <v/>
      </c>
      <c r="O172" s="21" t="str">
        <f>IFERROR(__xludf.DUMMYFUNCTION("IFERROR((GOOGLEFINANCE(C172, ""price"") / INDEX(GOOGLEFINANCE(C172, ""price"", EDATE(TODAY(), -6), TODAY()), 2, 2)) - 1, """")"),"")</f>
        <v/>
      </c>
      <c r="P172" s="21" t="str">
        <f>IFERROR(__xludf.DUMMYFUNCTION("IFERROR((GOOGLEFINANCE(C172, ""price"") / INDEX(GOOGLEFINANCE(C172, ""price"", EDATE(TODAY(), -12), TODAY()), 2, 2)) - 1, """")"),"")</f>
        <v/>
      </c>
      <c r="Q172" s="6" t="str">
        <f>IFERROR(__xludf.DUMMYFUNCTION("AVERAGE(QUERY(GOOGLEFINANCE(C172, ""price"", TODAY()-80, TODAY()), ""SELECT Col2 WHERE Col2 IS NOT NULL ORDER BY Col1 DESC LIMIT 50"", 0))"),"#N/A")</f>
        <v>#N/A</v>
      </c>
      <c r="R172" s="24" t="str">
        <f>IFERROR(__xludf.DUMMYFUNCTION("IFERROR(
  LET(
    data, QUERY(GOOGLEFINANCE(C172,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GOOGLEFINANCE(C172, ""price"")) * 100,
    IF(calc=0, G172, calc)
  ), 
G172)"),"#N/A")</f>
        <v>#N/A</v>
      </c>
      <c r="S172" s="8" t="s">
        <v>15</v>
      </c>
      <c r="T172" s="26" t="str">
        <f>IFERROR(__xludf.DUMMYFUNCTION("IFERROR(TRANSPOSE(QUERY(IFERROR(SORT(GOOGLEFINANCE(C172, ""price"", WORKDAY(TODAY(), -40), TODAY()), 1, FALSE)), ""select Col2 where Col2 is not null limit 22 label Col2 ''"", 0)), """")"),"")</f>
        <v/>
      </c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8"/>
      <c r="AO172" s="28"/>
      <c r="AP172" s="29"/>
      <c r="AQ172" s="29" t="str">
        <f t="shared" ref="AQ172:BL172" si="176">T172/T$2</f>
        <v>#N/A</v>
      </c>
      <c r="AR172" s="29" t="str">
        <f t="shared" si="176"/>
        <v>#DIV/0!</v>
      </c>
      <c r="AS172" s="29" t="str">
        <f t="shared" si="176"/>
        <v>#DIV/0!</v>
      </c>
      <c r="AT172" s="29" t="str">
        <f t="shared" si="176"/>
        <v>#DIV/0!</v>
      </c>
      <c r="AU172" s="29" t="str">
        <f t="shared" si="176"/>
        <v>#DIV/0!</v>
      </c>
      <c r="AV172" s="29" t="str">
        <f t="shared" si="176"/>
        <v>#DIV/0!</v>
      </c>
      <c r="AW172" s="29" t="str">
        <f t="shared" si="176"/>
        <v>#DIV/0!</v>
      </c>
      <c r="AX172" s="29" t="str">
        <f t="shared" si="176"/>
        <v>#DIV/0!</v>
      </c>
      <c r="AY172" s="29" t="str">
        <f t="shared" si="176"/>
        <v>#DIV/0!</v>
      </c>
      <c r="AZ172" s="29" t="str">
        <f t="shared" si="176"/>
        <v>#DIV/0!</v>
      </c>
      <c r="BA172" s="29" t="str">
        <f t="shared" si="176"/>
        <v>#DIV/0!</v>
      </c>
      <c r="BB172" s="29" t="str">
        <f t="shared" si="176"/>
        <v>#DIV/0!</v>
      </c>
      <c r="BC172" s="29" t="str">
        <f t="shared" si="176"/>
        <v>#DIV/0!</v>
      </c>
      <c r="BD172" s="29" t="str">
        <f t="shared" si="176"/>
        <v>#DIV/0!</v>
      </c>
      <c r="BE172" s="29" t="str">
        <f t="shared" si="176"/>
        <v>#DIV/0!</v>
      </c>
      <c r="BF172" s="29" t="str">
        <f t="shared" si="176"/>
        <v>#DIV/0!</v>
      </c>
      <c r="BG172" s="29" t="str">
        <f t="shared" si="176"/>
        <v>#DIV/0!</v>
      </c>
      <c r="BH172" s="29" t="str">
        <f t="shared" si="176"/>
        <v>#DIV/0!</v>
      </c>
      <c r="BI172" s="29" t="str">
        <f t="shared" si="176"/>
        <v>#DIV/0!</v>
      </c>
      <c r="BJ172" s="29" t="str">
        <f t="shared" si="176"/>
        <v>#DIV/0!</v>
      </c>
      <c r="BK172" s="29" t="str">
        <f t="shared" si="176"/>
        <v>#DIV/0!</v>
      </c>
      <c r="BL172" s="29" t="str">
        <f t="shared" si="176"/>
        <v>#DIV/0!</v>
      </c>
      <c r="BM172" s="29" t="str">
        <f t="shared" si="3"/>
        <v>#DIV/0!</v>
      </c>
    </row>
    <row r="173">
      <c r="A173" s="16" t="str">
        <f>IFERROR(__xludf.DUMMYFUNCTION("IFERROR(SPARKLINE(SORT(MAP(TRANSPOSE(AQ173:BL173), LAMBDA(val, IF(ISNUMBER(val), PERCENTRANK(AQ173:BL173, val)+0.01, 0))), SEQUENCE(COLUMNS(AQ173:BL173)), FALSE), {""charttype"",""column""; ""color"",""chartreuse""; ""ymin"", 0; ""ymax"", 1.01; ""highcolo"&amp;"r"", ""darkgreen""; ""lowcolor"", ""red""}), """")"),"")</f>
        <v/>
      </c>
      <c r="B173" s="17" t="str">
        <f t="shared" si="4"/>
        <v/>
      </c>
      <c r="C173" s="1" t="s">
        <v>2113</v>
      </c>
      <c r="D173" s="30" t="str">
        <f>IFERROR(__xludf.DUMMYFUNCTION("IFERROR(GOOGLEFINANCE(C173, ""NAME""))"),"Smith &amp; Nephew PLC")</f>
        <v>Smith &amp; Nephew PLC</v>
      </c>
      <c r="E173" s="30" t="s">
        <v>1491</v>
      </c>
      <c r="F173" s="33" t="str">
        <f>IFERROR(__xludf.DUMMYFUNCTION("( (GOOGLEFINANCE(C173, ""price"") - Q173) / Q173 ) / (R173 / 100)"),"Loading...")</f>
        <v>Loading...</v>
      </c>
      <c r="G173" s="20" t="str">
        <f>IFERROR(__xludf.DUMMYFUNCTION("AVERAGE(ARRAYFORMULA(100 * (QUERY(GOOGLEFINANCE(C173, ""high"", TODAY()-40, TODAY()), ""SELECT Col2 WHERE Col2 IS NOT NULL ORDER BY Col1 DESC LIMIT 20"", 0) / QUERY(GOOGLEFINANCE(C173, ""low"", TODAY()-40, TODAY()), ""SELECT Col2 WHERE Col2 IS NOT NULL OR"&amp;"DER BY Col1 DESC LIMIT 20"", 0) - 1)))"),"#N/A")</f>
        <v>#N/A</v>
      </c>
      <c r="H173" s="35" t="str">
        <f t="shared" si="118"/>
        <v/>
      </c>
      <c r="I173" s="36" t="str">
        <f t="shared" si="7"/>
        <v/>
      </c>
      <c r="J173" s="37" t="str">
        <f>IFERROR(__xludf.DUMMYFUNCTION("IFERROR(
  IF(C173="""",, 
    IFERROR(
      GOOGLEFINANCE(C173, ""price"") * GOOGLEFINANCE(C173, ""volumeavg""), 
      GOOGLEFINANCE(C173, ""price"") * AVERAGE(QUERY(GOOGLEFINANCE(C173, ""volume"", TODAY()-40, TODAY()), ""SELECT Col2 WHERE Col2 IS NOT "&amp;"NULL ORDER BY Col1 DESC LIMIT 20"", 0))
    )
  ), 
"""")"),"")</f>
        <v/>
      </c>
      <c r="K173" s="21" t="str">
        <f>IFERROR(__xludf.DUMMYFUNCTION("IFERROR(GOOGLEFINANCE(C173, ""changepct"") / 100, """")"),"")</f>
        <v/>
      </c>
      <c r="L173" s="21" t="str">
        <f>IFERROR(__xludf.DUMMYFUNCTION("IFERROR((GOOGLEFINANCE(C173, ""price"") / INDEX(GOOGLEFINANCE(C173, ""price"", TODAY()-7, TODAY()), 2, 2)) - 1, """")"),"")</f>
        <v/>
      </c>
      <c r="M173" s="21" t="str">
        <f>IFERROR(__xludf.DUMMYFUNCTION("IFERROR((GOOGLEFINANCE(C173, ""price"") / INDEX(GOOGLEFINANCE(C173, ""price"", EDATE(TODAY(), -1), TODAY()), 2, 2)) - 1, """")"),"")</f>
        <v/>
      </c>
      <c r="N173" s="21" t="str">
        <f>IFERROR(__xludf.DUMMYFUNCTION("IFERROR((GOOGLEFINANCE(C173, ""price"") / INDEX(GOOGLEFINANCE(C173, ""price"", EDATE(TODAY(), -3), TODAY()), 2, 2)) - 1, """")"),"")</f>
        <v/>
      </c>
      <c r="O173" s="21" t="str">
        <f>IFERROR(__xludf.DUMMYFUNCTION("IFERROR((GOOGLEFINANCE(C173, ""price"") / INDEX(GOOGLEFINANCE(C173, ""price"", EDATE(TODAY(), -6), TODAY()), 2, 2)) - 1, """")"),"")</f>
        <v/>
      </c>
      <c r="P173" s="21" t="str">
        <f>IFERROR(__xludf.DUMMYFUNCTION("IFERROR((GOOGLEFINANCE(C173, ""price"") / INDEX(GOOGLEFINANCE(C173, ""price"", EDATE(TODAY(), -12), TODAY()), 2, 2)) - 1, """")"),"")</f>
        <v/>
      </c>
      <c r="Q173" s="6" t="str">
        <f>IFERROR(__xludf.DUMMYFUNCTION("AVERAGE(QUERY(GOOGLEFINANCE(C173, ""price"", TODAY()-80, TODAY()), ""SELECT Col2 WHERE Col2 IS NOT NULL ORDER BY Col1 DESC LIMIT 50"", 0))"),"#N/A")</f>
        <v>#N/A</v>
      </c>
      <c r="R173" s="24" t="str">
        <f>IFERROR(__xludf.DUMMYFUNCTION("IFERROR(
  LET(
    data, QUERY(GOOGLEFINANCE(C173,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GOOGLEFINANCE(C173, ""price"")) * 100,
    IF(calc=0, G173, calc)
  ), 
G173)"),"#N/A")</f>
        <v>#N/A</v>
      </c>
      <c r="S173" s="8" t="s">
        <v>15</v>
      </c>
      <c r="T173" s="26" t="str">
        <f>IFERROR(__xludf.DUMMYFUNCTION("IFERROR(TRANSPOSE(QUERY(IFERROR(SORT(GOOGLEFINANCE(C173, ""price"", WORKDAY(TODAY(), -40), TODAY()), 1, FALSE)), ""select Col2 where Col2 is not null limit 22 label Col2 ''"", 0)), """")"),"")</f>
        <v/>
      </c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8"/>
      <c r="AO173" s="28"/>
      <c r="AP173" s="29"/>
      <c r="AQ173" s="29" t="str">
        <f t="shared" ref="AQ173:BL173" si="177">T173/T$2</f>
        <v>#N/A</v>
      </c>
      <c r="AR173" s="29" t="str">
        <f t="shared" si="177"/>
        <v>#DIV/0!</v>
      </c>
      <c r="AS173" s="29" t="str">
        <f t="shared" si="177"/>
        <v>#DIV/0!</v>
      </c>
      <c r="AT173" s="29" t="str">
        <f t="shared" si="177"/>
        <v>#DIV/0!</v>
      </c>
      <c r="AU173" s="29" t="str">
        <f t="shared" si="177"/>
        <v>#DIV/0!</v>
      </c>
      <c r="AV173" s="29" t="str">
        <f t="shared" si="177"/>
        <v>#DIV/0!</v>
      </c>
      <c r="AW173" s="29" t="str">
        <f t="shared" si="177"/>
        <v>#DIV/0!</v>
      </c>
      <c r="AX173" s="29" t="str">
        <f t="shared" si="177"/>
        <v>#DIV/0!</v>
      </c>
      <c r="AY173" s="29" t="str">
        <f t="shared" si="177"/>
        <v>#DIV/0!</v>
      </c>
      <c r="AZ173" s="29" t="str">
        <f t="shared" si="177"/>
        <v>#DIV/0!</v>
      </c>
      <c r="BA173" s="29" t="str">
        <f t="shared" si="177"/>
        <v>#DIV/0!</v>
      </c>
      <c r="BB173" s="29" t="str">
        <f t="shared" si="177"/>
        <v>#DIV/0!</v>
      </c>
      <c r="BC173" s="29" t="str">
        <f t="shared" si="177"/>
        <v>#DIV/0!</v>
      </c>
      <c r="BD173" s="29" t="str">
        <f t="shared" si="177"/>
        <v>#DIV/0!</v>
      </c>
      <c r="BE173" s="29" t="str">
        <f t="shared" si="177"/>
        <v>#DIV/0!</v>
      </c>
      <c r="BF173" s="29" t="str">
        <f t="shared" si="177"/>
        <v>#DIV/0!</v>
      </c>
      <c r="BG173" s="29" t="str">
        <f t="shared" si="177"/>
        <v>#DIV/0!</v>
      </c>
      <c r="BH173" s="29" t="str">
        <f t="shared" si="177"/>
        <v>#DIV/0!</v>
      </c>
      <c r="BI173" s="29" t="str">
        <f t="shared" si="177"/>
        <v>#DIV/0!</v>
      </c>
      <c r="BJ173" s="29" t="str">
        <f t="shared" si="177"/>
        <v>#DIV/0!</v>
      </c>
      <c r="BK173" s="29" t="str">
        <f t="shared" si="177"/>
        <v>#DIV/0!</v>
      </c>
      <c r="BL173" s="29" t="str">
        <f t="shared" si="177"/>
        <v>#DIV/0!</v>
      </c>
      <c r="BM173" s="29" t="str">
        <f t="shared" si="3"/>
        <v>#DIV/0!</v>
      </c>
    </row>
    <row r="174">
      <c r="A174" s="16" t="str">
        <f>IFERROR(__xludf.DUMMYFUNCTION("IFERROR(SPARKLINE(SORT(MAP(TRANSPOSE(AQ174:BL174), LAMBDA(val, IF(ISNUMBER(val), PERCENTRANK(AQ174:BL174, val)+0.01, 0))), SEQUENCE(COLUMNS(AQ174:BL174)), FALSE), {""charttype"",""column""; ""color"",""chartreuse""; ""ymin"", 0; ""ymax"", 1.01; ""highcolo"&amp;"r"", ""darkgreen""; ""lowcolor"", ""red""}), """")"),"")</f>
        <v/>
      </c>
      <c r="B174" s="17" t="str">
        <f t="shared" si="4"/>
        <v/>
      </c>
      <c r="C174" s="1" t="s">
        <v>2117</v>
      </c>
      <c r="D174" s="30" t="str">
        <f>IFERROR(__xludf.DUMMYFUNCTION("IFERROR(GOOGLEFINANCE(C174, ""NAME""))"),"Masi Agricola SpA")</f>
        <v>Masi Agricola SpA</v>
      </c>
      <c r="E174" s="30" t="s">
        <v>1491</v>
      </c>
      <c r="F174" s="33" t="str">
        <f>IFERROR(__xludf.DUMMYFUNCTION("( (GOOGLEFINANCE(C174, ""price"") - Q174) / Q174 ) / (R174 / 100)"),"Loading...")</f>
        <v>Loading...</v>
      </c>
      <c r="G174" s="20" t="str">
        <f>IFERROR(__xludf.DUMMYFUNCTION("AVERAGE(ARRAYFORMULA(100 * (QUERY(GOOGLEFINANCE(C174, ""high"", TODAY()-40, TODAY()), ""SELECT Col2 WHERE Col2 IS NOT NULL ORDER BY Col1 DESC LIMIT 20"", 0) / QUERY(GOOGLEFINANCE(C174, ""low"", TODAY()-40, TODAY()), ""SELECT Col2 WHERE Col2 IS NOT NULL OR"&amp;"DER BY Col1 DESC LIMIT 20"", 0) - 1)))"),"#N/A")</f>
        <v>#N/A</v>
      </c>
      <c r="H174" s="35" t="str">
        <f t="shared" si="118"/>
        <v/>
      </c>
      <c r="I174" s="36" t="str">
        <f t="shared" si="7"/>
        <v/>
      </c>
      <c r="J174" s="37" t="str">
        <f>IFERROR(__xludf.DUMMYFUNCTION("IFERROR(
  IF(C174="""",, 
    IFERROR(
      GOOGLEFINANCE(C174, ""price"") * GOOGLEFINANCE(C174, ""volumeavg""), 
      GOOGLEFINANCE(C174, ""price"") * AVERAGE(QUERY(GOOGLEFINANCE(C174, ""volume"", TODAY()-40, TODAY()), ""SELECT Col2 WHERE Col2 IS NOT "&amp;"NULL ORDER BY Col1 DESC LIMIT 20"", 0))
    )
  ), 
"""")"),"")</f>
        <v/>
      </c>
      <c r="K174" s="21" t="str">
        <f>IFERROR(__xludf.DUMMYFUNCTION("IFERROR(GOOGLEFINANCE(C174, ""changepct"") / 100, """")"),"")</f>
        <v/>
      </c>
      <c r="L174" s="21" t="str">
        <f>IFERROR(__xludf.DUMMYFUNCTION("IFERROR((GOOGLEFINANCE(C174, ""price"") / INDEX(GOOGLEFINANCE(C174, ""price"", TODAY()-7, TODAY()), 2, 2)) - 1, """")"),"")</f>
        <v/>
      </c>
      <c r="M174" s="21" t="str">
        <f>IFERROR(__xludf.DUMMYFUNCTION("IFERROR((GOOGLEFINANCE(C174, ""price"") / INDEX(GOOGLEFINANCE(C174, ""price"", EDATE(TODAY(), -1), TODAY()), 2, 2)) - 1, """")"),"")</f>
        <v/>
      </c>
      <c r="N174" s="21" t="str">
        <f>IFERROR(__xludf.DUMMYFUNCTION("IFERROR((GOOGLEFINANCE(C174, ""price"") / INDEX(GOOGLEFINANCE(C174, ""price"", EDATE(TODAY(), -3), TODAY()), 2, 2)) - 1, """")"),"")</f>
        <v/>
      </c>
      <c r="O174" s="21" t="str">
        <f>IFERROR(__xludf.DUMMYFUNCTION("IFERROR((GOOGLEFINANCE(C174, ""price"") / INDEX(GOOGLEFINANCE(C174, ""price"", EDATE(TODAY(), -6), TODAY()), 2, 2)) - 1, """")"),"")</f>
        <v/>
      </c>
      <c r="P174" s="21" t="str">
        <f>IFERROR(__xludf.DUMMYFUNCTION("IFERROR((GOOGLEFINANCE(C174, ""price"") / INDEX(GOOGLEFINANCE(C174, ""price"", EDATE(TODAY(), -12), TODAY()), 2, 2)) - 1, """")"),"")</f>
        <v/>
      </c>
      <c r="Q174" s="6" t="str">
        <f>IFERROR(__xludf.DUMMYFUNCTION("AVERAGE(QUERY(GOOGLEFINANCE(C174, ""price"", TODAY()-80, TODAY()), ""SELECT Col2 WHERE Col2 IS NOT NULL ORDER BY Col1 DESC LIMIT 50"", 0))"),"#N/A")</f>
        <v>#N/A</v>
      </c>
      <c r="R174" s="24" t="str">
        <f>IFERROR(__xludf.DUMMYFUNCTION("IFERROR(
  LET(
    data, QUERY(GOOGLEFINANCE(C174,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GOOGLEFINANCE(C174, ""price"")) * 100,
    IF(calc=0, G174, calc)
  ), 
G174)"),"#N/A")</f>
        <v>#N/A</v>
      </c>
      <c r="S174" s="8" t="s">
        <v>15</v>
      </c>
      <c r="T174" s="26" t="str">
        <f>IFERROR(__xludf.DUMMYFUNCTION("IFERROR(TRANSPOSE(QUERY(IFERROR(SORT(GOOGLEFINANCE(C174, ""price"", WORKDAY(TODAY(), -40), TODAY()), 1, FALSE)), ""select Col2 where Col2 is not null limit 22 label Col2 ''"", 0)), """")"),"")</f>
        <v/>
      </c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8"/>
      <c r="AO174" s="28"/>
      <c r="AP174" s="29"/>
      <c r="AQ174" s="29" t="str">
        <f t="shared" ref="AQ174:BL174" si="178">T174/T$2</f>
        <v>#N/A</v>
      </c>
      <c r="AR174" s="29" t="str">
        <f t="shared" si="178"/>
        <v>#DIV/0!</v>
      </c>
      <c r="AS174" s="29" t="str">
        <f t="shared" si="178"/>
        <v>#DIV/0!</v>
      </c>
      <c r="AT174" s="29" t="str">
        <f t="shared" si="178"/>
        <v>#DIV/0!</v>
      </c>
      <c r="AU174" s="29" t="str">
        <f t="shared" si="178"/>
        <v>#DIV/0!</v>
      </c>
      <c r="AV174" s="29" t="str">
        <f t="shared" si="178"/>
        <v>#DIV/0!</v>
      </c>
      <c r="AW174" s="29" t="str">
        <f t="shared" si="178"/>
        <v>#DIV/0!</v>
      </c>
      <c r="AX174" s="29" t="str">
        <f t="shared" si="178"/>
        <v>#DIV/0!</v>
      </c>
      <c r="AY174" s="29" t="str">
        <f t="shared" si="178"/>
        <v>#DIV/0!</v>
      </c>
      <c r="AZ174" s="29" t="str">
        <f t="shared" si="178"/>
        <v>#DIV/0!</v>
      </c>
      <c r="BA174" s="29" t="str">
        <f t="shared" si="178"/>
        <v>#DIV/0!</v>
      </c>
      <c r="BB174" s="29" t="str">
        <f t="shared" si="178"/>
        <v>#DIV/0!</v>
      </c>
      <c r="BC174" s="29" t="str">
        <f t="shared" si="178"/>
        <v>#DIV/0!</v>
      </c>
      <c r="BD174" s="29" t="str">
        <f t="shared" si="178"/>
        <v>#DIV/0!</v>
      </c>
      <c r="BE174" s="29" t="str">
        <f t="shared" si="178"/>
        <v>#DIV/0!</v>
      </c>
      <c r="BF174" s="29" t="str">
        <f t="shared" si="178"/>
        <v>#DIV/0!</v>
      </c>
      <c r="BG174" s="29" t="str">
        <f t="shared" si="178"/>
        <v>#DIV/0!</v>
      </c>
      <c r="BH174" s="29" t="str">
        <f t="shared" si="178"/>
        <v>#DIV/0!</v>
      </c>
      <c r="BI174" s="29" t="str">
        <f t="shared" si="178"/>
        <v>#DIV/0!</v>
      </c>
      <c r="BJ174" s="29" t="str">
        <f t="shared" si="178"/>
        <v>#DIV/0!</v>
      </c>
      <c r="BK174" s="29" t="str">
        <f t="shared" si="178"/>
        <v>#DIV/0!</v>
      </c>
      <c r="BL174" s="29" t="str">
        <f t="shared" si="178"/>
        <v>#DIV/0!</v>
      </c>
      <c r="BM174" s="29" t="str">
        <f t="shared" si="3"/>
        <v>#DIV/0!</v>
      </c>
    </row>
    <row r="175">
      <c r="A175" s="16" t="str">
        <f>IFERROR(__xludf.DUMMYFUNCTION("IFERROR(SPARKLINE(SORT(MAP(TRANSPOSE(AQ175:BL175), LAMBDA(val, IF(ISNUMBER(val), PERCENTRANK(AQ175:BL175, val)+0.01, 0))), SEQUENCE(COLUMNS(AQ175:BL175)), FALSE), {""charttype"",""column""; ""color"",""chartreuse""; ""ymin"", 0; ""ymax"", 1.01; ""highcolo"&amp;"r"", ""darkgreen""; ""lowcolor"", ""red""}), """")"),"")</f>
        <v/>
      </c>
      <c r="B175" s="17" t="str">
        <f t="shared" si="4"/>
        <v/>
      </c>
      <c r="C175" s="1" t="s">
        <v>2122</v>
      </c>
      <c r="D175" s="30" t="str">
        <f>IFERROR(__xludf.DUMMYFUNCTION("IFERROR(GOOGLEFINANCE(C175, ""NAME""))"),"Penumbra Inc")</f>
        <v>Penumbra Inc</v>
      </c>
      <c r="E175" s="30" t="s">
        <v>1491</v>
      </c>
      <c r="F175" s="33" t="str">
        <f>IFERROR(__xludf.DUMMYFUNCTION("( (GOOGLEFINANCE(C175, ""price"") - Q175) / Q175 ) / (R175 / 100)"),"Loading...")</f>
        <v>Loading...</v>
      </c>
      <c r="G175" s="20" t="str">
        <f>IFERROR(__xludf.DUMMYFUNCTION("AVERAGE(ARRAYFORMULA(100 * (QUERY(GOOGLEFINANCE(C175, ""high"", TODAY()-40, TODAY()), ""SELECT Col2 WHERE Col2 IS NOT NULL ORDER BY Col1 DESC LIMIT 20"", 0) / QUERY(GOOGLEFINANCE(C175, ""low"", TODAY()-40, TODAY()), ""SELECT Col2 WHERE Col2 IS NOT NULL OR"&amp;"DER BY Col1 DESC LIMIT 20"", 0) - 1)))"),"#N/A")</f>
        <v>#N/A</v>
      </c>
      <c r="H175" s="35" t="str">
        <f t="shared" si="118"/>
        <v/>
      </c>
      <c r="I175" s="36" t="str">
        <f t="shared" si="7"/>
        <v/>
      </c>
      <c r="J175" s="37" t="str">
        <f>IFERROR(__xludf.DUMMYFUNCTION("IFERROR(
  IF(C175="""",, 
    IFERROR(
      GOOGLEFINANCE(C175, ""price"") * GOOGLEFINANCE(C175, ""volumeavg""), 
      GOOGLEFINANCE(C175, ""price"") * AVERAGE(QUERY(GOOGLEFINANCE(C175, ""volume"", TODAY()-40, TODAY()), ""SELECT Col2 WHERE Col2 IS NOT "&amp;"NULL ORDER BY Col1 DESC LIMIT 20"", 0))
    )
  ), 
"""")"),"")</f>
        <v/>
      </c>
      <c r="K175" s="21" t="str">
        <f>IFERROR(__xludf.DUMMYFUNCTION("IFERROR(GOOGLEFINANCE(C175, ""changepct"") / 100, """")"),"")</f>
        <v/>
      </c>
      <c r="L175" s="21" t="str">
        <f>IFERROR(__xludf.DUMMYFUNCTION("IFERROR((GOOGLEFINANCE(C175, ""price"") / INDEX(GOOGLEFINANCE(C175, ""price"", TODAY()-7, TODAY()), 2, 2)) - 1, """")"),"")</f>
        <v/>
      </c>
      <c r="M175" s="21" t="str">
        <f>IFERROR(__xludf.DUMMYFUNCTION("IFERROR((GOOGLEFINANCE(C175, ""price"") / INDEX(GOOGLEFINANCE(C175, ""price"", EDATE(TODAY(), -1), TODAY()), 2, 2)) - 1, """")"),"")</f>
        <v/>
      </c>
      <c r="N175" s="21" t="str">
        <f>IFERROR(__xludf.DUMMYFUNCTION("IFERROR((GOOGLEFINANCE(C175, ""price"") / INDEX(GOOGLEFINANCE(C175, ""price"", EDATE(TODAY(), -3), TODAY()), 2, 2)) - 1, """")"),"")</f>
        <v/>
      </c>
      <c r="O175" s="21" t="str">
        <f>IFERROR(__xludf.DUMMYFUNCTION("IFERROR((GOOGLEFINANCE(C175, ""price"") / INDEX(GOOGLEFINANCE(C175, ""price"", EDATE(TODAY(), -6), TODAY()), 2, 2)) - 1, """")"),"")</f>
        <v/>
      </c>
      <c r="P175" s="21" t="str">
        <f>IFERROR(__xludf.DUMMYFUNCTION("IFERROR((GOOGLEFINANCE(C175, ""price"") / INDEX(GOOGLEFINANCE(C175, ""price"", EDATE(TODAY(), -12), TODAY()), 2, 2)) - 1, """")"),"")</f>
        <v/>
      </c>
      <c r="Q175" s="6" t="str">
        <f>IFERROR(__xludf.DUMMYFUNCTION("AVERAGE(QUERY(GOOGLEFINANCE(C175, ""price"", TODAY()-80, TODAY()), ""SELECT Col2 WHERE Col2 IS NOT NULL ORDER BY Col1 DESC LIMIT 50"", 0))"),"#N/A")</f>
        <v>#N/A</v>
      </c>
      <c r="R175" s="24" t="str">
        <f>IFERROR(__xludf.DUMMYFUNCTION("IFERROR(
  LET(
    data, QUERY(GOOGLEFINANCE(C175,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GOOGLEFINANCE(C175, ""price"")) * 100,
    IF(calc=0, G175, calc)
  ), 
G175)"),"#N/A")</f>
        <v>#N/A</v>
      </c>
      <c r="S175" s="8" t="s">
        <v>15</v>
      </c>
      <c r="T175" s="26" t="str">
        <f>IFERROR(__xludf.DUMMYFUNCTION("IFERROR(TRANSPOSE(QUERY(IFERROR(SORT(GOOGLEFINANCE(C175, ""price"", WORKDAY(TODAY(), -40), TODAY()), 1, FALSE)), ""select Col2 where Col2 is not null limit 22 label Col2 ''"", 0)), """")"),"")</f>
        <v/>
      </c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8"/>
      <c r="AO175" s="28"/>
      <c r="AP175" s="29"/>
      <c r="AQ175" s="29" t="str">
        <f t="shared" ref="AQ175:BL175" si="179">T175/T$2</f>
        <v>#N/A</v>
      </c>
      <c r="AR175" s="29" t="str">
        <f t="shared" si="179"/>
        <v>#DIV/0!</v>
      </c>
      <c r="AS175" s="29" t="str">
        <f t="shared" si="179"/>
        <v>#DIV/0!</v>
      </c>
      <c r="AT175" s="29" t="str">
        <f t="shared" si="179"/>
        <v>#DIV/0!</v>
      </c>
      <c r="AU175" s="29" t="str">
        <f t="shared" si="179"/>
        <v>#DIV/0!</v>
      </c>
      <c r="AV175" s="29" t="str">
        <f t="shared" si="179"/>
        <v>#DIV/0!</v>
      </c>
      <c r="AW175" s="29" t="str">
        <f t="shared" si="179"/>
        <v>#DIV/0!</v>
      </c>
      <c r="AX175" s="29" t="str">
        <f t="shared" si="179"/>
        <v>#DIV/0!</v>
      </c>
      <c r="AY175" s="29" t="str">
        <f t="shared" si="179"/>
        <v>#DIV/0!</v>
      </c>
      <c r="AZ175" s="29" t="str">
        <f t="shared" si="179"/>
        <v>#DIV/0!</v>
      </c>
      <c r="BA175" s="29" t="str">
        <f t="shared" si="179"/>
        <v>#DIV/0!</v>
      </c>
      <c r="BB175" s="29" t="str">
        <f t="shared" si="179"/>
        <v>#DIV/0!</v>
      </c>
      <c r="BC175" s="29" t="str">
        <f t="shared" si="179"/>
        <v>#DIV/0!</v>
      </c>
      <c r="BD175" s="29" t="str">
        <f t="shared" si="179"/>
        <v>#DIV/0!</v>
      </c>
      <c r="BE175" s="29" t="str">
        <f t="shared" si="179"/>
        <v>#DIV/0!</v>
      </c>
      <c r="BF175" s="29" t="str">
        <f t="shared" si="179"/>
        <v>#DIV/0!</v>
      </c>
      <c r="BG175" s="29" t="str">
        <f t="shared" si="179"/>
        <v>#DIV/0!</v>
      </c>
      <c r="BH175" s="29" t="str">
        <f t="shared" si="179"/>
        <v>#DIV/0!</v>
      </c>
      <c r="BI175" s="29" t="str">
        <f t="shared" si="179"/>
        <v>#DIV/0!</v>
      </c>
      <c r="BJ175" s="29" t="str">
        <f t="shared" si="179"/>
        <v>#DIV/0!</v>
      </c>
      <c r="BK175" s="29" t="str">
        <f t="shared" si="179"/>
        <v>#DIV/0!</v>
      </c>
      <c r="BL175" s="29" t="str">
        <f t="shared" si="179"/>
        <v>#DIV/0!</v>
      </c>
      <c r="BM175" s="29" t="str">
        <f t="shared" si="3"/>
        <v>#DIV/0!</v>
      </c>
    </row>
    <row r="176">
      <c r="A176" s="16" t="str">
        <f>IFERROR(__xludf.DUMMYFUNCTION("IFERROR(SPARKLINE(SORT(MAP(TRANSPOSE(AQ176:BL176), LAMBDA(val, IF(ISNUMBER(val), PERCENTRANK(AQ176:BL176, val)+0.01, 0))), SEQUENCE(COLUMNS(AQ176:BL176)), FALSE), {""charttype"",""column""; ""color"",""chartreuse""; ""ymin"", 0; ""ymax"", 1.01; ""highcolo"&amp;"r"", ""darkgreen""; ""lowcolor"", ""red""}), """")"),"")</f>
        <v/>
      </c>
      <c r="B176" s="17" t="str">
        <f t="shared" si="4"/>
        <v/>
      </c>
      <c r="C176" s="1" t="s">
        <v>2126</v>
      </c>
      <c r="D176" s="30" t="str">
        <f>IFERROR(__xludf.DUMMYFUNCTION("IFERROR(GOOGLEFINANCE(C176, ""NAME""))"),"Steris PLC")</f>
        <v>Steris PLC</v>
      </c>
      <c r="E176" s="30" t="s">
        <v>1491</v>
      </c>
      <c r="F176" s="33" t="str">
        <f>IFERROR(__xludf.DUMMYFUNCTION("( (GOOGLEFINANCE(C176, ""price"") - Q176) / Q176 ) / (R176 / 100)"),"Loading...")</f>
        <v>Loading...</v>
      </c>
      <c r="G176" s="20" t="str">
        <f>IFERROR(__xludf.DUMMYFUNCTION("AVERAGE(ARRAYFORMULA(100 * (QUERY(GOOGLEFINANCE(C176, ""high"", TODAY()-40, TODAY()), ""SELECT Col2 WHERE Col2 IS NOT NULL ORDER BY Col1 DESC LIMIT 20"", 0) / QUERY(GOOGLEFINANCE(C176, ""low"", TODAY()-40, TODAY()), ""SELECT Col2 WHERE Col2 IS NOT NULL OR"&amp;"DER BY Col1 DESC LIMIT 20"", 0) - 1)))"),"#N/A")</f>
        <v>#N/A</v>
      </c>
      <c r="H176" s="35" t="str">
        <f t="shared" si="118"/>
        <v/>
      </c>
      <c r="I176" s="36" t="str">
        <f t="shared" si="7"/>
        <v/>
      </c>
      <c r="J176" s="37" t="str">
        <f>IFERROR(__xludf.DUMMYFUNCTION("IFERROR(
  IF(C176="""",, 
    IFERROR(
      GOOGLEFINANCE(C176, ""price"") * GOOGLEFINANCE(C176, ""volumeavg""), 
      GOOGLEFINANCE(C176, ""price"") * AVERAGE(QUERY(GOOGLEFINANCE(C176, ""volume"", TODAY()-40, TODAY()), ""SELECT Col2 WHERE Col2 IS NOT "&amp;"NULL ORDER BY Col1 DESC LIMIT 20"", 0))
    )
  ), 
"""")"),"")</f>
        <v/>
      </c>
      <c r="K176" s="21" t="str">
        <f>IFERROR(__xludf.DUMMYFUNCTION("IFERROR(GOOGLEFINANCE(C176, ""changepct"") / 100, """")"),"")</f>
        <v/>
      </c>
      <c r="L176" s="21" t="str">
        <f>IFERROR(__xludf.DUMMYFUNCTION("IFERROR((GOOGLEFINANCE(C176, ""price"") / INDEX(GOOGLEFINANCE(C176, ""price"", TODAY()-7, TODAY()), 2, 2)) - 1, """")"),"")</f>
        <v/>
      </c>
      <c r="M176" s="21" t="str">
        <f>IFERROR(__xludf.DUMMYFUNCTION("IFERROR((GOOGLEFINANCE(C176, ""price"") / INDEX(GOOGLEFINANCE(C176, ""price"", EDATE(TODAY(), -1), TODAY()), 2, 2)) - 1, """")"),"")</f>
        <v/>
      </c>
      <c r="N176" s="21" t="str">
        <f>IFERROR(__xludf.DUMMYFUNCTION("IFERROR((GOOGLEFINANCE(C176, ""price"") / INDEX(GOOGLEFINANCE(C176, ""price"", EDATE(TODAY(), -3), TODAY()), 2, 2)) - 1, """")"),"")</f>
        <v/>
      </c>
      <c r="O176" s="21" t="str">
        <f>IFERROR(__xludf.DUMMYFUNCTION("IFERROR((GOOGLEFINANCE(C176, ""price"") / INDEX(GOOGLEFINANCE(C176, ""price"", EDATE(TODAY(), -6), TODAY()), 2, 2)) - 1, """")"),"")</f>
        <v/>
      </c>
      <c r="P176" s="21" t="str">
        <f>IFERROR(__xludf.DUMMYFUNCTION("IFERROR((GOOGLEFINANCE(C176, ""price"") / INDEX(GOOGLEFINANCE(C176, ""price"", EDATE(TODAY(), -12), TODAY()), 2, 2)) - 1, """")"),"")</f>
        <v/>
      </c>
      <c r="Q176" s="6" t="str">
        <f>IFERROR(__xludf.DUMMYFUNCTION("AVERAGE(QUERY(GOOGLEFINANCE(C176, ""price"", TODAY()-80, TODAY()), ""SELECT Col2 WHERE Col2 IS NOT NULL ORDER BY Col1 DESC LIMIT 50"", 0))"),"#N/A")</f>
        <v>#N/A</v>
      </c>
      <c r="R176" s="24" t="str">
        <f>IFERROR(__xludf.DUMMYFUNCTION("IFERROR(
  LET(
    data, QUERY(GOOGLEFINANCE(C176,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GOOGLEFINANCE(C176, ""price"")) * 100,
    IF(calc=0, G176, calc)
  ), 
G176)"),"#N/A")</f>
        <v>#N/A</v>
      </c>
      <c r="S176" s="8" t="s">
        <v>15</v>
      </c>
      <c r="T176" s="26" t="str">
        <f>IFERROR(__xludf.DUMMYFUNCTION("IFERROR(TRANSPOSE(QUERY(IFERROR(SORT(GOOGLEFINANCE(C176, ""price"", WORKDAY(TODAY(), -40), TODAY()), 1, FALSE)), ""select Col2 where Col2 is not null limit 22 label Col2 ''"", 0)), """")"),"")</f>
        <v/>
      </c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8"/>
      <c r="AO176" s="28"/>
      <c r="AP176" s="29"/>
      <c r="AQ176" s="29" t="str">
        <f t="shared" ref="AQ176:BL176" si="180">T176/T$2</f>
        <v>#N/A</v>
      </c>
      <c r="AR176" s="29" t="str">
        <f t="shared" si="180"/>
        <v>#DIV/0!</v>
      </c>
      <c r="AS176" s="29" t="str">
        <f t="shared" si="180"/>
        <v>#DIV/0!</v>
      </c>
      <c r="AT176" s="29" t="str">
        <f t="shared" si="180"/>
        <v>#DIV/0!</v>
      </c>
      <c r="AU176" s="29" t="str">
        <f t="shared" si="180"/>
        <v>#DIV/0!</v>
      </c>
      <c r="AV176" s="29" t="str">
        <f t="shared" si="180"/>
        <v>#DIV/0!</v>
      </c>
      <c r="AW176" s="29" t="str">
        <f t="shared" si="180"/>
        <v>#DIV/0!</v>
      </c>
      <c r="AX176" s="29" t="str">
        <f t="shared" si="180"/>
        <v>#DIV/0!</v>
      </c>
      <c r="AY176" s="29" t="str">
        <f t="shared" si="180"/>
        <v>#DIV/0!</v>
      </c>
      <c r="AZ176" s="29" t="str">
        <f t="shared" si="180"/>
        <v>#DIV/0!</v>
      </c>
      <c r="BA176" s="29" t="str">
        <f t="shared" si="180"/>
        <v>#DIV/0!</v>
      </c>
      <c r="BB176" s="29" t="str">
        <f t="shared" si="180"/>
        <v>#DIV/0!</v>
      </c>
      <c r="BC176" s="29" t="str">
        <f t="shared" si="180"/>
        <v>#DIV/0!</v>
      </c>
      <c r="BD176" s="29" t="str">
        <f t="shared" si="180"/>
        <v>#DIV/0!</v>
      </c>
      <c r="BE176" s="29" t="str">
        <f t="shared" si="180"/>
        <v>#DIV/0!</v>
      </c>
      <c r="BF176" s="29" t="str">
        <f t="shared" si="180"/>
        <v>#DIV/0!</v>
      </c>
      <c r="BG176" s="29" t="str">
        <f t="shared" si="180"/>
        <v>#DIV/0!</v>
      </c>
      <c r="BH176" s="29" t="str">
        <f t="shared" si="180"/>
        <v>#DIV/0!</v>
      </c>
      <c r="BI176" s="29" t="str">
        <f t="shared" si="180"/>
        <v>#DIV/0!</v>
      </c>
      <c r="BJ176" s="29" t="str">
        <f t="shared" si="180"/>
        <v>#DIV/0!</v>
      </c>
      <c r="BK176" s="29" t="str">
        <f t="shared" si="180"/>
        <v>#DIV/0!</v>
      </c>
      <c r="BL176" s="29" t="str">
        <f t="shared" si="180"/>
        <v>#DIV/0!</v>
      </c>
      <c r="BM176" s="29" t="str">
        <f t="shared" si="3"/>
        <v>#DIV/0!</v>
      </c>
    </row>
    <row r="177">
      <c r="A177" s="16" t="str">
        <f>IFERROR(__xludf.DUMMYFUNCTION("IFERROR(SPARKLINE(SORT(MAP(TRANSPOSE(AQ177:BL177), LAMBDA(val, IF(ISNUMBER(val), PERCENTRANK(AQ177:BL177, val)+0.01, 0))), SEQUENCE(COLUMNS(AQ177:BL177)), FALSE), {""charttype"",""column""; ""color"",""chartreuse""; ""ymin"", 0; ""ymax"", 1.01; ""highcolo"&amp;"r"", ""darkgreen""; ""lowcolor"", ""red""}), """")"),"")</f>
        <v/>
      </c>
      <c r="B177" s="17" t="str">
        <f t="shared" si="4"/>
        <v/>
      </c>
      <c r="C177" s="1" t="s">
        <v>2130</v>
      </c>
      <c r="D177" s="30" t="str">
        <f>IFERROR(__xludf.DUMMYFUNCTION("IFERROR(GOOGLEFINANCE(C177, ""NAME""))"),"Medtronic PLC")</f>
        <v>Medtronic PLC</v>
      </c>
      <c r="E177" s="30" t="s">
        <v>1491</v>
      </c>
      <c r="F177" s="38" t="str">
        <f>IFERROR(__xludf.DUMMYFUNCTION("( (GOOGLEFINANCE(C177, ""price"") - Q177) / Q177 ) / (R177 / 100)"),"Loading...")</f>
        <v>Loading...</v>
      </c>
      <c r="G177" s="20" t="str">
        <f>IFERROR(__xludf.DUMMYFUNCTION("AVERAGE(ARRAYFORMULA(100 * (QUERY(GOOGLEFINANCE(C177, ""high"", TODAY()-40, TODAY()), ""SELECT Col2 WHERE Col2 IS NOT NULL ORDER BY Col1 DESC LIMIT 20"", 0) / QUERY(GOOGLEFINANCE(C177, ""low"", TODAY()-40, TODAY()), ""SELECT Col2 WHERE Col2 IS NOT NULL OR"&amp;"DER BY Col1 DESC LIMIT 20"", 0) - 1)))"),"#N/A")</f>
        <v>#N/A</v>
      </c>
      <c r="H177" s="35" t="str">
        <f t="shared" si="118"/>
        <v/>
      </c>
      <c r="I177" s="36" t="str">
        <f t="shared" si="7"/>
        <v/>
      </c>
      <c r="J177" s="37" t="str">
        <f>IFERROR(__xludf.DUMMYFUNCTION("IFERROR(
  IF(C177="""",, 
    IFERROR(
      GOOGLEFINANCE(C177, ""price"") * GOOGLEFINANCE(C177, ""volumeavg""), 
      GOOGLEFINANCE(C177, ""price"") * AVERAGE(QUERY(GOOGLEFINANCE(C177, ""volume"", TODAY()-40, TODAY()), ""SELECT Col2 WHERE Col2 IS NOT "&amp;"NULL ORDER BY Col1 DESC LIMIT 20"", 0))
    )
  ), 
"""")"),"")</f>
        <v/>
      </c>
      <c r="K177" s="21" t="str">
        <f>IFERROR(__xludf.DUMMYFUNCTION("IFERROR(GOOGLEFINANCE(C177, ""changepct"") / 100, """")"),"")</f>
        <v/>
      </c>
      <c r="L177" s="21" t="str">
        <f>IFERROR(__xludf.DUMMYFUNCTION("IFERROR((GOOGLEFINANCE(C177, ""price"") / INDEX(GOOGLEFINANCE(C177, ""price"", TODAY()-7, TODAY()), 2, 2)) - 1, """")"),"")</f>
        <v/>
      </c>
      <c r="M177" s="21" t="str">
        <f>IFERROR(__xludf.DUMMYFUNCTION("IFERROR((GOOGLEFINANCE(C177, ""price"") / INDEX(GOOGLEFINANCE(C177, ""price"", EDATE(TODAY(), -1), TODAY()), 2, 2)) - 1, """")"),"")</f>
        <v/>
      </c>
      <c r="N177" s="21" t="str">
        <f>IFERROR(__xludf.DUMMYFUNCTION("IFERROR((GOOGLEFINANCE(C177, ""price"") / INDEX(GOOGLEFINANCE(C177, ""price"", EDATE(TODAY(), -3), TODAY()), 2, 2)) - 1, """")"),"")</f>
        <v/>
      </c>
      <c r="O177" s="21" t="str">
        <f>IFERROR(__xludf.DUMMYFUNCTION("IFERROR((GOOGLEFINANCE(C177, ""price"") / INDEX(GOOGLEFINANCE(C177, ""price"", EDATE(TODAY(), -6), TODAY()), 2, 2)) - 1, """")"),"")</f>
        <v/>
      </c>
      <c r="P177" s="21" t="str">
        <f>IFERROR(__xludf.DUMMYFUNCTION("IFERROR((GOOGLEFINANCE(C177, ""price"") / INDEX(GOOGLEFINANCE(C177, ""price"", EDATE(TODAY(), -12), TODAY()), 2, 2)) - 1, """")"),"")</f>
        <v/>
      </c>
      <c r="Q177" s="6" t="str">
        <f>IFERROR(__xludf.DUMMYFUNCTION("AVERAGE(QUERY(GOOGLEFINANCE(C177, ""price"", TODAY()-80, TODAY()), ""SELECT Col2 WHERE Col2 IS NOT NULL ORDER BY Col1 DESC LIMIT 50"", 0))"),"#N/A")</f>
        <v>#N/A</v>
      </c>
      <c r="R177" s="24" t="str">
        <f>IFERROR(__xludf.DUMMYFUNCTION("IFERROR(
  LET(
    data, QUERY(GOOGLEFINANCE(C177,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GOOGLEFINANCE(C177, ""price"")) * 100,
    IF(calc=0, G177, calc)
  ), 
G177)"),"#N/A")</f>
        <v>#N/A</v>
      </c>
      <c r="S177" s="8" t="s">
        <v>15</v>
      </c>
      <c r="T177" s="26" t="str">
        <f>IFERROR(__xludf.DUMMYFUNCTION("IFERROR(TRANSPOSE(QUERY(IFERROR(SORT(GOOGLEFINANCE(C177, ""price"", WORKDAY(TODAY(), -40), TODAY()), 1, FALSE)), ""select Col2 where Col2 is not null limit 22 label Col2 ''"", 0)), """")"),"")</f>
        <v/>
      </c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8"/>
      <c r="AO177" s="28"/>
      <c r="AP177" s="29"/>
      <c r="AQ177" s="29" t="str">
        <f t="shared" ref="AQ177:BL177" si="181">T177/T$2</f>
        <v>#N/A</v>
      </c>
      <c r="AR177" s="29" t="str">
        <f t="shared" si="181"/>
        <v>#DIV/0!</v>
      </c>
      <c r="AS177" s="29" t="str">
        <f t="shared" si="181"/>
        <v>#DIV/0!</v>
      </c>
      <c r="AT177" s="29" t="str">
        <f t="shared" si="181"/>
        <v>#DIV/0!</v>
      </c>
      <c r="AU177" s="29" t="str">
        <f t="shared" si="181"/>
        <v>#DIV/0!</v>
      </c>
      <c r="AV177" s="29" t="str">
        <f t="shared" si="181"/>
        <v>#DIV/0!</v>
      </c>
      <c r="AW177" s="29" t="str">
        <f t="shared" si="181"/>
        <v>#DIV/0!</v>
      </c>
      <c r="AX177" s="29" t="str">
        <f t="shared" si="181"/>
        <v>#DIV/0!</v>
      </c>
      <c r="AY177" s="29" t="str">
        <f t="shared" si="181"/>
        <v>#DIV/0!</v>
      </c>
      <c r="AZ177" s="29" t="str">
        <f t="shared" si="181"/>
        <v>#DIV/0!</v>
      </c>
      <c r="BA177" s="29" t="str">
        <f t="shared" si="181"/>
        <v>#DIV/0!</v>
      </c>
      <c r="BB177" s="29" t="str">
        <f t="shared" si="181"/>
        <v>#DIV/0!</v>
      </c>
      <c r="BC177" s="29" t="str">
        <f t="shared" si="181"/>
        <v>#DIV/0!</v>
      </c>
      <c r="BD177" s="29" t="str">
        <f t="shared" si="181"/>
        <v>#DIV/0!</v>
      </c>
      <c r="BE177" s="29" t="str">
        <f t="shared" si="181"/>
        <v>#DIV/0!</v>
      </c>
      <c r="BF177" s="29" t="str">
        <f t="shared" si="181"/>
        <v>#DIV/0!</v>
      </c>
      <c r="BG177" s="29" t="str">
        <f t="shared" si="181"/>
        <v>#DIV/0!</v>
      </c>
      <c r="BH177" s="29" t="str">
        <f t="shared" si="181"/>
        <v>#DIV/0!</v>
      </c>
      <c r="BI177" s="29" t="str">
        <f t="shared" si="181"/>
        <v>#DIV/0!</v>
      </c>
      <c r="BJ177" s="29" t="str">
        <f t="shared" si="181"/>
        <v>#DIV/0!</v>
      </c>
      <c r="BK177" s="29" t="str">
        <f t="shared" si="181"/>
        <v>#DIV/0!</v>
      </c>
      <c r="BL177" s="29" t="str">
        <f t="shared" si="181"/>
        <v>#DIV/0!</v>
      </c>
      <c r="BM177" s="29" t="str">
        <f t="shared" si="3"/>
        <v>#DIV/0!</v>
      </c>
    </row>
    <row r="178">
      <c r="A178" s="16" t="str">
        <f>IFERROR(__xludf.DUMMYFUNCTION("IFERROR(SPARKLINE(SORT(MAP(TRANSPOSE(AQ178:BL178), LAMBDA(val, IF(ISNUMBER(val), PERCENTRANK(AQ178:BL178, val)+0.01, 0))), SEQUENCE(COLUMNS(AQ178:BL178)), FALSE), {""charttype"",""column""; ""color"",""chartreuse""; ""ymin"", 0; ""ymax"", 1.01; ""highcolo"&amp;"r"", ""darkgreen""; ""lowcolor"", ""red""}), """")"),"")</f>
        <v/>
      </c>
      <c r="B178" s="17" t="str">
        <f t="shared" si="4"/>
        <v/>
      </c>
      <c r="C178" s="1" t="s">
        <v>2135</v>
      </c>
      <c r="D178" s="30" t="str">
        <f>IFERROR(__xludf.DUMMYFUNCTION("IFERROR(GOOGLEFINANCE(C178, ""NAME""))"),"Boston Scientific Corp")</f>
        <v>Boston Scientific Corp</v>
      </c>
      <c r="E178" s="30" t="s">
        <v>1491</v>
      </c>
      <c r="F178" s="33" t="str">
        <f>IFERROR(__xludf.DUMMYFUNCTION("( (GOOGLEFINANCE(C178, ""price"") - Q178) / Q178 ) / (R178 / 100)"),"Loading...")</f>
        <v>Loading...</v>
      </c>
      <c r="G178" s="20" t="str">
        <f>IFERROR(__xludf.DUMMYFUNCTION("AVERAGE(ARRAYFORMULA(100 * (QUERY(GOOGLEFINANCE(C178, ""high"", TODAY()-40, TODAY()), ""SELECT Col2 WHERE Col2 IS NOT NULL ORDER BY Col1 DESC LIMIT 20"", 0) / QUERY(GOOGLEFINANCE(C178, ""low"", TODAY()-40, TODAY()), ""SELECT Col2 WHERE Col2 IS NOT NULL OR"&amp;"DER BY Col1 DESC LIMIT 20"", 0) - 1)))"),"#N/A")</f>
        <v>#N/A</v>
      </c>
      <c r="H178" s="35" t="str">
        <f t="shared" si="118"/>
        <v/>
      </c>
      <c r="I178" s="36" t="str">
        <f t="shared" si="7"/>
        <v/>
      </c>
      <c r="J178" s="37" t="str">
        <f>IFERROR(__xludf.DUMMYFUNCTION("IFERROR(
  IF(C178="""",, 
    IFERROR(
      GOOGLEFINANCE(C178, ""price"") * GOOGLEFINANCE(C178, ""volumeavg""), 
      GOOGLEFINANCE(C178, ""price"") * AVERAGE(QUERY(GOOGLEFINANCE(C178, ""volume"", TODAY()-40, TODAY()), ""SELECT Col2 WHERE Col2 IS NOT "&amp;"NULL ORDER BY Col1 DESC LIMIT 20"", 0))
    )
  ), 
"""")"),"")</f>
        <v/>
      </c>
      <c r="K178" s="21" t="str">
        <f>IFERROR(__xludf.DUMMYFUNCTION("IFERROR(GOOGLEFINANCE(C178, ""changepct"") / 100, """")"),"")</f>
        <v/>
      </c>
      <c r="L178" s="21" t="str">
        <f>IFERROR(__xludf.DUMMYFUNCTION("IFERROR((GOOGLEFINANCE(C178, ""price"") / INDEX(GOOGLEFINANCE(C178, ""price"", TODAY()-7, TODAY()), 2, 2)) - 1, """")"),"")</f>
        <v/>
      </c>
      <c r="M178" s="21" t="str">
        <f>IFERROR(__xludf.DUMMYFUNCTION("IFERROR((GOOGLEFINANCE(C178, ""price"") / INDEX(GOOGLEFINANCE(C178, ""price"", EDATE(TODAY(), -1), TODAY()), 2, 2)) - 1, """")"),"")</f>
        <v/>
      </c>
      <c r="N178" s="21" t="str">
        <f>IFERROR(__xludf.DUMMYFUNCTION("IFERROR((GOOGLEFINANCE(C178, ""price"") / INDEX(GOOGLEFINANCE(C178, ""price"", EDATE(TODAY(), -3), TODAY()), 2, 2)) - 1, """")"),"")</f>
        <v/>
      </c>
      <c r="O178" s="21" t="str">
        <f>IFERROR(__xludf.DUMMYFUNCTION("IFERROR((GOOGLEFINANCE(C178, ""price"") / INDEX(GOOGLEFINANCE(C178, ""price"", EDATE(TODAY(), -6), TODAY()), 2, 2)) - 1, """")"),"")</f>
        <v/>
      </c>
      <c r="P178" s="21" t="str">
        <f>IFERROR(__xludf.DUMMYFUNCTION("IFERROR((GOOGLEFINANCE(C178, ""price"") / INDEX(GOOGLEFINANCE(C178, ""price"", EDATE(TODAY(), -12), TODAY()), 2, 2)) - 1, """")"),"")</f>
        <v/>
      </c>
      <c r="Q178" s="6" t="str">
        <f>IFERROR(__xludf.DUMMYFUNCTION("AVERAGE(QUERY(GOOGLEFINANCE(C178, ""price"", TODAY()-80, TODAY()), ""SELECT Col2 WHERE Col2 IS NOT NULL ORDER BY Col1 DESC LIMIT 50"", 0))"),"#N/A")</f>
        <v>#N/A</v>
      </c>
      <c r="R178" s="24" t="str">
        <f>IFERROR(__xludf.DUMMYFUNCTION("IFERROR(
  LET(
    data, QUERY(GOOGLEFINANCE(C178,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GOOGLEFINANCE(C178, ""price"")) * 100,
    IF(calc=0, G178, calc)
  ), 
G178)"),"#N/A")</f>
        <v>#N/A</v>
      </c>
      <c r="S178" s="8" t="s">
        <v>15</v>
      </c>
      <c r="T178" s="26" t="str">
        <f>IFERROR(__xludf.DUMMYFUNCTION("IFERROR(TRANSPOSE(QUERY(IFERROR(SORT(GOOGLEFINANCE(C178, ""price"", WORKDAY(TODAY(), -40), TODAY()), 1, FALSE)), ""select Col2 where Col2 is not null limit 22 label Col2 ''"", 0)), """")"),"")</f>
        <v/>
      </c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8"/>
      <c r="AO178" s="28"/>
      <c r="AP178" s="29"/>
      <c r="AQ178" s="29" t="str">
        <f t="shared" ref="AQ178:BL178" si="182">T178/T$2</f>
        <v>#N/A</v>
      </c>
      <c r="AR178" s="29" t="str">
        <f t="shared" si="182"/>
        <v>#DIV/0!</v>
      </c>
      <c r="AS178" s="29" t="str">
        <f t="shared" si="182"/>
        <v>#DIV/0!</v>
      </c>
      <c r="AT178" s="29" t="str">
        <f t="shared" si="182"/>
        <v>#DIV/0!</v>
      </c>
      <c r="AU178" s="29" t="str">
        <f t="shared" si="182"/>
        <v>#DIV/0!</v>
      </c>
      <c r="AV178" s="29" t="str">
        <f t="shared" si="182"/>
        <v>#DIV/0!</v>
      </c>
      <c r="AW178" s="29" t="str">
        <f t="shared" si="182"/>
        <v>#DIV/0!</v>
      </c>
      <c r="AX178" s="29" t="str">
        <f t="shared" si="182"/>
        <v>#DIV/0!</v>
      </c>
      <c r="AY178" s="29" t="str">
        <f t="shared" si="182"/>
        <v>#DIV/0!</v>
      </c>
      <c r="AZ178" s="29" t="str">
        <f t="shared" si="182"/>
        <v>#DIV/0!</v>
      </c>
      <c r="BA178" s="29" t="str">
        <f t="shared" si="182"/>
        <v>#DIV/0!</v>
      </c>
      <c r="BB178" s="29" t="str">
        <f t="shared" si="182"/>
        <v>#DIV/0!</v>
      </c>
      <c r="BC178" s="29" t="str">
        <f t="shared" si="182"/>
        <v>#DIV/0!</v>
      </c>
      <c r="BD178" s="29" t="str">
        <f t="shared" si="182"/>
        <v>#DIV/0!</v>
      </c>
      <c r="BE178" s="29" t="str">
        <f t="shared" si="182"/>
        <v>#DIV/0!</v>
      </c>
      <c r="BF178" s="29" t="str">
        <f t="shared" si="182"/>
        <v>#DIV/0!</v>
      </c>
      <c r="BG178" s="29" t="str">
        <f t="shared" si="182"/>
        <v>#DIV/0!</v>
      </c>
      <c r="BH178" s="29" t="str">
        <f t="shared" si="182"/>
        <v>#DIV/0!</v>
      </c>
      <c r="BI178" s="29" t="str">
        <f t="shared" si="182"/>
        <v>#DIV/0!</v>
      </c>
      <c r="BJ178" s="29" t="str">
        <f t="shared" si="182"/>
        <v>#DIV/0!</v>
      </c>
      <c r="BK178" s="29" t="str">
        <f t="shared" si="182"/>
        <v>#DIV/0!</v>
      </c>
      <c r="BL178" s="29" t="str">
        <f t="shared" si="182"/>
        <v>#DIV/0!</v>
      </c>
      <c r="BM178" s="29" t="str">
        <f t="shared" si="3"/>
        <v>#DIV/0!</v>
      </c>
    </row>
    <row r="179">
      <c r="A179" s="16" t="str">
        <f>IFERROR(__xludf.DUMMYFUNCTION("IFERROR(SPARKLINE(SORT(MAP(TRANSPOSE(AQ179:BL179), LAMBDA(val, IF(ISNUMBER(val), PERCENTRANK(AQ179:BL179, val)+0.01, 0))), SEQUENCE(COLUMNS(AQ179:BL179)), FALSE), {""charttype"",""column""; ""color"",""chartreuse""; ""ymin"", 0; ""ymax"", 1.01; ""highcolo"&amp;"r"", ""darkgreen""; ""lowcolor"", ""red""}), """")"),"")</f>
        <v/>
      </c>
      <c r="B179" s="17" t="str">
        <f t="shared" si="4"/>
        <v/>
      </c>
      <c r="C179" s="1" t="s">
        <v>2139</v>
      </c>
      <c r="D179" s="30" t="str">
        <f>IFERROR(__xludf.DUMMYFUNCTION("IFERROR(GOOGLEFINANCE(C179, ""NAME""))"),"AtriCure Inc")</f>
        <v>AtriCure Inc</v>
      </c>
      <c r="E179" s="30" t="s">
        <v>1502</v>
      </c>
      <c r="F179" s="33" t="str">
        <f>IFERROR(__xludf.DUMMYFUNCTION("( (GOOGLEFINANCE(C179, ""price"") - Q179) / Q179 ) / (R179 / 100)"),"Loading...")</f>
        <v>Loading...</v>
      </c>
      <c r="G179" s="20" t="str">
        <f>IFERROR(__xludf.DUMMYFUNCTION("AVERAGE(ARRAYFORMULA(100 * (QUERY(GOOGLEFINANCE(C179, ""high"", TODAY()-40, TODAY()), ""SELECT Col2 WHERE Col2 IS NOT NULL ORDER BY Col1 DESC LIMIT 20"", 0) / QUERY(GOOGLEFINANCE(C179, ""low"", TODAY()-40, TODAY()), ""SELECT Col2 WHERE Col2 IS NOT NULL OR"&amp;"DER BY Col1 DESC LIMIT 20"", 0) - 1)))"),"#N/A")</f>
        <v>#N/A</v>
      </c>
      <c r="H179" s="35" t="str">
        <f t="shared" si="118"/>
        <v/>
      </c>
      <c r="I179" s="36" t="str">
        <f t="shared" si="7"/>
        <v/>
      </c>
      <c r="J179" s="37" t="str">
        <f>IFERROR(__xludf.DUMMYFUNCTION("IFERROR(
  IF(C179="""",, 
    IFERROR(
      GOOGLEFINANCE(C179, ""price"") * GOOGLEFINANCE(C179, ""volumeavg""), 
      GOOGLEFINANCE(C179, ""price"") * AVERAGE(QUERY(GOOGLEFINANCE(C179, ""volume"", TODAY()-40, TODAY()), ""SELECT Col2 WHERE Col2 IS NOT "&amp;"NULL ORDER BY Col1 DESC LIMIT 20"", 0))
    )
  ), 
"""")"),"")</f>
        <v/>
      </c>
      <c r="K179" s="21" t="str">
        <f>IFERROR(__xludf.DUMMYFUNCTION("IFERROR(GOOGLEFINANCE(C179, ""changepct"") / 100, """")"),"")</f>
        <v/>
      </c>
      <c r="L179" s="21" t="str">
        <f>IFERROR(__xludf.DUMMYFUNCTION("IFERROR((GOOGLEFINANCE(C179, ""price"") / INDEX(GOOGLEFINANCE(C179, ""price"", TODAY()-7, TODAY()), 2, 2)) - 1, """")"),"")</f>
        <v/>
      </c>
      <c r="M179" s="21" t="str">
        <f>IFERROR(__xludf.DUMMYFUNCTION("IFERROR((GOOGLEFINANCE(C179, ""price"") / INDEX(GOOGLEFINANCE(C179, ""price"", EDATE(TODAY(), -1), TODAY()), 2, 2)) - 1, """")"),"")</f>
        <v/>
      </c>
      <c r="N179" s="21" t="str">
        <f>IFERROR(__xludf.DUMMYFUNCTION("IFERROR((GOOGLEFINANCE(C179, ""price"") / INDEX(GOOGLEFINANCE(C179, ""price"", EDATE(TODAY(), -3), TODAY()), 2, 2)) - 1, """")"),"")</f>
        <v/>
      </c>
      <c r="O179" s="21" t="str">
        <f>IFERROR(__xludf.DUMMYFUNCTION("IFERROR((GOOGLEFINANCE(C179, ""price"") / INDEX(GOOGLEFINANCE(C179, ""price"", EDATE(TODAY(), -6), TODAY()), 2, 2)) - 1, """")"),"")</f>
        <v/>
      </c>
      <c r="P179" s="21" t="str">
        <f>IFERROR(__xludf.DUMMYFUNCTION("IFERROR((GOOGLEFINANCE(C179, ""price"") / INDEX(GOOGLEFINANCE(C179, ""price"", EDATE(TODAY(), -12), TODAY()), 2, 2)) - 1, """")"),"")</f>
        <v/>
      </c>
      <c r="Q179" s="6" t="str">
        <f>IFERROR(__xludf.DUMMYFUNCTION("AVERAGE(QUERY(GOOGLEFINANCE(C179, ""price"", TODAY()-80, TODAY()), ""SELECT Col2 WHERE Col2 IS NOT NULL ORDER BY Col1 DESC LIMIT 50"", 0))"),"#N/A")</f>
        <v>#N/A</v>
      </c>
      <c r="R179" s="24" t="str">
        <f>IFERROR(__xludf.DUMMYFUNCTION("IFERROR(
  LET(
    data, QUERY(GOOGLEFINANCE(C179,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GOOGLEFINANCE(C179, ""price"")) * 100,
    IF(calc=0, G179, calc)
  ), 
G179)"),"#N/A")</f>
        <v>#N/A</v>
      </c>
      <c r="S179" s="8" t="s">
        <v>15</v>
      </c>
      <c r="T179" s="26" t="str">
        <f>IFERROR(__xludf.DUMMYFUNCTION("IFERROR(TRANSPOSE(QUERY(IFERROR(SORT(GOOGLEFINANCE(C179, ""price"", WORKDAY(TODAY(), -40), TODAY()), 1, FALSE)), ""select Col2 where Col2 is not null limit 22 label Col2 ''"", 0)), """")"),"")</f>
        <v/>
      </c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8"/>
      <c r="AO179" s="28"/>
      <c r="AP179" s="29"/>
      <c r="AQ179" s="29" t="str">
        <f t="shared" ref="AQ179:BL179" si="183">T179/T$2</f>
        <v>#N/A</v>
      </c>
      <c r="AR179" s="29" t="str">
        <f t="shared" si="183"/>
        <v>#DIV/0!</v>
      </c>
      <c r="AS179" s="29" t="str">
        <f t="shared" si="183"/>
        <v>#DIV/0!</v>
      </c>
      <c r="AT179" s="29" t="str">
        <f t="shared" si="183"/>
        <v>#DIV/0!</v>
      </c>
      <c r="AU179" s="29" t="str">
        <f t="shared" si="183"/>
        <v>#DIV/0!</v>
      </c>
      <c r="AV179" s="29" t="str">
        <f t="shared" si="183"/>
        <v>#DIV/0!</v>
      </c>
      <c r="AW179" s="29" t="str">
        <f t="shared" si="183"/>
        <v>#DIV/0!</v>
      </c>
      <c r="AX179" s="29" t="str">
        <f t="shared" si="183"/>
        <v>#DIV/0!</v>
      </c>
      <c r="AY179" s="29" t="str">
        <f t="shared" si="183"/>
        <v>#DIV/0!</v>
      </c>
      <c r="AZ179" s="29" t="str">
        <f t="shared" si="183"/>
        <v>#DIV/0!</v>
      </c>
      <c r="BA179" s="29" t="str">
        <f t="shared" si="183"/>
        <v>#DIV/0!</v>
      </c>
      <c r="BB179" s="29" t="str">
        <f t="shared" si="183"/>
        <v>#DIV/0!</v>
      </c>
      <c r="BC179" s="29" t="str">
        <f t="shared" si="183"/>
        <v>#DIV/0!</v>
      </c>
      <c r="BD179" s="29" t="str">
        <f t="shared" si="183"/>
        <v>#DIV/0!</v>
      </c>
      <c r="BE179" s="29" t="str">
        <f t="shared" si="183"/>
        <v>#DIV/0!</v>
      </c>
      <c r="BF179" s="29" t="str">
        <f t="shared" si="183"/>
        <v>#DIV/0!</v>
      </c>
      <c r="BG179" s="29" t="str">
        <f t="shared" si="183"/>
        <v>#DIV/0!</v>
      </c>
      <c r="BH179" s="29" t="str">
        <f t="shared" si="183"/>
        <v>#DIV/0!</v>
      </c>
      <c r="BI179" s="29" t="str">
        <f t="shared" si="183"/>
        <v>#DIV/0!</v>
      </c>
      <c r="BJ179" s="29" t="str">
        <f t="shared" si="183"/>
        <v>#DIV/0!</v>
      </c>
      <c r="BK179" s="29" t="str">
        <f t="shared" si="183"/>
        <v>#DIV/0!</v>
      </c>
      <c r="BL179" s="29" t="str">
        <f t="shared" si="183"/>
        <v>#DIV/0!</v>
      </c>
      <c r="BM179" s="29" t="str">
        <f t="shared" si="3"/>
        <v>#DIV/0!</v>
      </c>
    </row>
    <row r="180">
      <c r="A180" s="16" t="str">
        <f>IFERROR(__xludf.DUMMYFUNCTION("IFERROR(SPARKLINE(SORT(MAP(TRANSPOSE(AQ180:BL180), LAMBDA(val, IF(ISNUMBER(val), PERCENTRANK(AQ180:BL180, val)+0.01, 0))), SEQUENCE(COLUMNS(AQ180:BL180)), FALSE), {""charttype"",""column""; ""color"",""chartreuse""; ""ymin"", 0; ""ymax"", 1.01; ""highcolo"&amp;"r"", ""darkgreen""; ""lowcolor"", ""red""}), """")"),"")</f>
        <v/>
      </c>
      <c r="B180" s="17" t="str">
        <f t="shared" si="4"/>
        <v/>
      </c>
      <c r="C180" s="1" t="s">
        <v>2142</v>
      </c>
      <c r="D180" s="30" t="str">
        <f>IFERROR(__xludf.DUMMYFUNCTION("IFERROR(GOOGLEFINANCE(C180, ""NAME""))"),"Alcon AG")</f>
        <v>Alcon AG</v>
      </c>
      <c r="E180" s="30" t="s">
        <v>1502</v>
      </c>
      <c r="F180" s="33" t="str">
        <f>IFERROR(__xludf.DUMMYFUNCTION("( (GOOGLEFINANCE(C180, ""price"") - Q180) / Q180 ) / (R180 / 100)"),"Loading...")</f>
        <v>Loading...</v>
      </c>
      <c r="G180" s="20" t="str">
        <f>IFERROR(__xludf.DUMMYFUNCTION("AVERAGE(ARRAYFORMULA(100 * (QUERY(GOOGLEFINANCE(C180, ""high"", TODAY()-40, TODAY()), ""SELECT Col2 WHERE Col2 IS NOT NULL ORDER BY Col1 DESC LIMIT 20"", 0) / QUERY(GOOGLEFINANCE(C180, ""low"", TODAY()-40, TODAY()), ""SELECT Col2 WHERE Col2 IS NOT NULL OR"&amp;"DER BY Col1 DESC LIMIT 20"", 0) - 1)))"),"#N/A")</f>
        <v>#N/A</v>
      </c>
      <c r="H180" s="35" t="str">
        <f t="shared" si="118"/>
        <v/>
      </c>
      <c r="I180" s="36" t="str">
        <f t="shared" si="7"/>
        <v/>
      </c>
      <c r="J180" s="37" t="str">
        <f>IFERROR(__xludf.DUMMYFUNCTION("IFERROR(
  IF(C180="""",, 
    IFERROR(
      GOOGLEFINANCE(C180, ""price"") * GOOGLEFINANCE(C180, ""volumeavg""), 
      GOOGLEFINANCE(C180, ""price"") * AVERAGE(QUERY(GOOGLEFINANCE(C180, ""volume"", TODAY()-40, TODAY()), ""SELECT Col2 WHERE Col2 IS NOT "&amp;"NULL ORDER BY Col1 DESC LIMIT 20"", 0))
    )
  ), 
"""")"),"")</f>
        <v/>
      </c>
      <c r="K180" s="21" t="str">
        <f>IFERROR(__xludf.DUMMYFUNCTION("IFERROR(GOOGLEFINANCE(C180, ""changepct"") / 100, """")"),"")</f>
        <v/>
      </c>
      <c r="L180" s="21" t="str">
        <f>IFERROR(__xludf.DUMMYFUNCTION("IFERROR((GOOGLEFINANCE(C180, ""price"") / INDEX(GOOGLEFINANCE(C180, ""price"", TODAY()-7, TODAY()), 2, 2)) - 1, """")"),"")</f>
        <v/>
      </c>
      <c r="M180" s="21" t="str">
        <f>IFERROR(__xludf.DUMMYFUNCTION("IFERROR((GOOGLEFINANCE(C180, ""price"") / INDEX(GOOGLEFINANCE(C180, ""price"", EDATE(TODAY(), -1), TODAY()), 2, 2)) - 1, """")"),"")</f>
        <v/>
      </c>
      <c r="N180" s="21" t="str">
        <f>IFERROR(__xludf.DUMMYFUNCTION("IFERROR((GOOGLEFINANCE(C180, ""price"") / INDEX(GOOGLEFINANCE(C180, ""price"", EDATE(TODAY(), -3), TODAY()), 2, 2)) - 1, """")"),"")</f>
        <v/>
      </c>
      <c r="O180" s="21" t="str">
        <f>IFERROR(__xludf.DUMMYFUNCTION("IFERROR((GOOGLEFINANCE(C180, ""price"") / INDEX(GOOGLEFINANCE(C180, ""price"", EDATE(TODAY(), -6), TODAY()), 2, 2)) - 1, """")"),"")</f>
        <v/>
      </c>
      <c r="P180" s="21" t="str">
        <f>IFERROR(__xludf.DUMMYFUNCTION("IFERROR((GOOGLEFINANCE(C180, ""price"") / INDEX(GOOGLEFINANCE(C180, ""price"", EDATE(TODAY(), -12), TODAY()), 2, 2)) - 1, """")"),"")</f>
        <v/>
      </c>
      <c r="Q180" s="6" t="str">
        <f>IFERROR(__xludf.DUMMYFUNCTION("AVERAGE(QUERY(GOOGLEFINANCE(C180, ""price"", TODAY()-80, TODAY()), ""SELECT Col2 WHERE Col2 IS NOT NULL ORDER BY Col1 DESC LIMIT 50"", 0))"),"#N/A")</f>
        <v>#N/A</v>
      </c>
      <c r="R180" s="24" t="str">
        <f>IFERROR(__xludf.DUMMYFUNCTION("IFERROR(
  LET(
    data, QUERY(GOOGLEFINANCE(C180,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GOOGLEFINANCE(C180, ""price"")) * 100,
    IF(calc=0, G180, calc)
  ), 
G180)"),"#N/A")</f>
        <v>#N/A</v>
      </c>
      <c r="S180" s="8" t="s">
        <v>15</v>
      </c>
      <c r="T180" s="26" t="str">
        <f>IFERROR(__xludf.DUMMYFUNCTION("IFERROR(TRANSPOSE(QUERY(IFERROR(SORT(GOOGLEFINANCE(C180, ""price"", WORKDAY(TODAY(), -40), TODAY()), 1, FALSE)), ""select Col2 where Col2 is not null limit 22 label Col2 ''"", 0)), """")"),"")</f>
        <v/>
      </c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8"/>
      <c r="AO180" s="28"/>
      <c r="AP180" s="29"/>
      <c r="AQ180" s="29" t="str">
        <f t="shared" ref="AQ180:BL180" si="184">T180/T$2</f>
        <v>#N/A</v>
      </c>
      <c r="AR180" s="29" t="str">
        <f t="shared" si="184"/>
        <v>#DIV/0!</v>
      </c>
      <c r="AS180" s="29" t="str">
        <f t="shared" si="184"/>
        <v>#DIV/0!</v>
      </c>
      <c r="AT180" s="29" t="str">
        <f t="shared" si="184"/>
        <v>#DIV/0!</v>
      </c>
      <c r="AU180" s="29" t="str">
        <f t="shared" si="184"/>
        <v>#DIV/0!</v>
      </c>
      <c r="AV180" s="29" t="str">
        <f t="shared" si="184"/>
        <v>#DIV/0!</v>
      </c>
      <c r="AW180" s="29" t="str">
        <f t="shared" si="184"/>
        <v>#DIV/0!</v>
      </c>
      <c r="AX180" s="29" t="str">
        <f t="shared" si="184"/>
        <v>#DIV/0!</v>
      </c>
      <c r="AY180" s="29" t="str">
        <f t="shared" si="184"/>
        <v>#DIV/0!</v>
      </c>
      <c r="AZ180" s="29" t="str">
        <f t="shared" si="184"/>
        <v>#DIV/0!</v>
      </c>
      <c r="BA180" s="29" t="str">
        <f t="shared" si="184"/>
        <v>#DIV/0!</v>
      </c>
      <c r="BB180" s="29" t="str">
        <f t="shared" si="184"/>
        <v>#DIV/0!</v>
      </c>
      <c r="BC180" s="29" t="str">
        <f t="shared" si="184"/>
        <v>#DIV/0!</v>
      </c>
      <c r="BD180" s="29" t="str">
        <f t="shared" si="184"/>
        <v>#DIV/0!</v>
      </c>
      <c r="BE180" s="29" t="str">
        <f t="shared" si="184"/>
        <v>#DIV/0!</v>
      </c>
      <c r="BF180" s="29" t="str">
        <f t="shared" si="184"/>
        <v>#DIV/0!</v>
      </c>
      <c r="BG180" s="29" t="str">
        <f t="shared" si="184"/>
        <v>#DIV/0!</v>
      </c>
      <c r="BH180" s="29" t="str">
        <f t="shared" si="184"/>
        <v>#DIV/0!</v>
      </c>
      <c r="BI180" s="29" t="str">
        <f t="shared" si="184"/>
        <v>#DIV/0!</v>
      </c>
      <c r="BJ180" s="29" t="str">
        <f t="shared" si="184"/>
        <v>#DIV/0!</v>
      </c>
      <c r="BK180" s="29" t="str">
        <f t="shared" si="184"/>
        <v>#DIV/0!</v>
      </c>
      <c r="BL180" s="29" t="str">
        <f t="shared" si="184"/>
        <v>#DIV/0!</v>
      </c>
      <c r="BM180" s="29" t="str">
        <f t="shared" si="3"/>
        <v>#DIV/0!</v>
      </c>
    </row>
    <row r="181">
      <c r="A181" s="16" t="str">
        <f>IFERROR(__xludf.DUMMYFUNCTION("IFERROR(SPARKLINE(SORT(MAP(TRANSPOSE(AQ181:BL181), LAMBDA(val, IF(ISNUMBER(val), PERCENTRANK(AQ181:BL181, val)+0.01, 0))), SEQUENCE(COLUMNS(AQ181:BL181)), FALSE), {""charttype"",""column""; ""color"",""chartreuse""; ""ymin"", 0; ""ymax"", 1.01; ""highcolo"&amp;"r"", ""darkgreen""; ""lowcolor"", ""red""}), """")"),"")</f>
        <v/>
      </c>
      <c r="B181" s="17" t="str">
        <f t="shared" si="4"/>
        <v/>
      </c>
      <c r="C181" s="1" t="s">
        <v>2145</v>
      </c>
      <c r="D181" s="30" t="str">
        <f>IFERROR(__xludf.DUMMYFUNCTION("IFERROR(GOOGLEFINANCE(C181, ""NAME""))"),"Simulations Plus Inc")</f>
        <v>Simulations Plus Inc</v>
      </c>
      <c r="E181" s="30" t="s">
        <v>1532</v>
      </c>
      <c r="F181" s="33" t="str">
        <f>IFERROR(__xludf.DUMMYFUNCTION("( (GOOGLEFINANCE(C181, ""price"") - Q181) / Q181 ) / (R181 / 100)"),"Loading...")</f>
        <v>Loading...</v>
      </c>
      <c r="G181" s="20" t="str">
        <f>IFERROR(__xludf.DUMMYFUNCTION("AVERAGE(ARRAYFORMULA(100 * (QUERY(GOOGLEFINANCE(C181, ""high"", TODAY()-40, TODAY()), ""SELECT Col2 WHERE Col2 IS NOT NULL ORDER BY Col1 DESC LIMIT 20"", 0) / QUERY(GOOGLEFINANCE(C181, ""low"", TODAY()-40, TODAY()), ""SELECT Col2 WHERE Col2 IS NOT NULL OR"&amp;"DER BY Col1 DESC LIMIT 20"", 0) - 1)))"),"#N/A")</f>
        <v>#N/A</v>
      </c>
      <c r="H181" s="35" t="str">
        <f t="shared" si="118"/>
        <v/>
      </c>
      <c r="I181" s="36" t="str">
        <f t="shared" si="7"/>
        <v/>
      </c>
      <c r="J181" s="37" t="str">
        <f>IFERROR(__xludf.DUMMYFUNCTION("IFERROR(
  IF(C181="""",, 
    IFERROR(
      GOOGLEFINANCE(C181, ""price"") * GOOGLEFINANCE(C181, ""volumeavg""), 
      GOOGLEFINANCE(C181, ""price"") * AVERAGE(QUERY(GOOGLEFINANCE(C181, ""volume"", TODAY()-40, TODAY()), ""SELECT Col2 WHERE Col2 IS NOT "&amp;"NULL ORDER BY Col1 DESC LIMIT 20"", 0))
    )
  ), 
"""")"),"")</f>
        <v/>
      </c>
      <c r="K181" s="21" t="str">
        <f>IFERROR(__xludf.DUMMYFUNCTION("IFERROR(GOOGLEFINANCE(C181, ""changepct"") / 100, """")"),"")</f>
        <v/>
      </c>
      <c r="L181" s="21" t="str">
        <f>IFERROR(__xludf.DUMMYFUNCTION("IFERROR((GOOGLEFINANCE(C181, ""price"") / INDEX(GOOGLEFINANCE(C181, ""price"", TODAY()-7, TODAY()), 2, 2)) - 1, """")"),"")</f>
        <v/>
      </c>
      <c r="M181" s="21" t="str">
        <f>IFERROR(__xludf.DUMMYFUNCTION("IFERROR((GOOGLEFINANCE(C181, ""price"") / INDEX(GOOGLEFINANCE(C181, ""price"", EDATE(TODAY(), -1), TODAY()), 2, 2)) - 1, """")"),"")</f>
        <v/>
      </c>
      <c r="N181" s="21" t="str">
        <f>IFERROR(__xludf.DUMMYFUNCTION("IFERROR((GOOGLEFINANCE(C181, ""price"") / INDEX(GOOGLEFINANCE(C181, ""price"", EDATE(TODAY(), -3), TODAY()), 2, 2)) - 1, """")"),"")</f>
        <v/>
      </c>
      <c r="O181" s="21" t="str">
        <f>IFERROR(__xludf.DUMMYFUNCTION("IFERROR((GOOGLEFINANCE(C181, ""price"") / INDEX(GOOGLEFINANCE(C181, ""price"", EDATE(TODAY(), -6), TODAY()), 2, 2)) - 1, """")"),"")</f>
        <v/>
      </c>
      <c r="P181" s="21" t="str">
        <f>IFERROR(__xludf.DUMMYFUNCTION("IFERROR((GOOGLEFINANCE(C181, ""price"") / INDEX(GOOGLEFINANCE(C181, ""price"", EDATE(TODAY(), -12), TODAY()), 2, 2)) - 1, """")"),"")</f>
        <v/>
      </c>
      <c r="Q181" s="6" t="str">
        <f>IFERROR(__xludf.DUMMYFUNCTION("AVERAGE(QUERY(GOOGLEFINANCE(C181, ""price"", TODAY()-80, TODAY()), ""SELECT Col2 WHERE Col2 IS NOT NULL ORDER BY Col1 DESC LIMIT 50"", 0))"),"#N/A")</f>
        <v>#N/A</v>
      </c>
      <c r="R181" s="24" t="str">
        <f>IFERROR(__xludf.DUMMYFUNCTION("IFERROR(
  LET(
    data, QUERY(GOOGLEFINANCE(C181,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GOOGLEFINANCE(C181, ""price"")) * 100,
    IF(calc=0, G181, calc)
  ), 
G181)"),"#N/A")</f>
        <v>#N/A</v>
      </c>
      <c r="S181" s="8" t="s">
        <v>15</v>
      </c>
      <c r="T181" s="26" t="str">
        <f>IFERROR(__xludf.DUMMYFUNCTION("IFERROR(TRANSPOSE(QUERY(IFERROR(SORT(GOOGLEFINANCE(C181, ""price"", WORKDAY(TODAY(), -40), TODAY()), 1, FALSE)), ""select Col2 where Col2 is not null limit 22 label Col2 ''"", 0)), """")"),"")</f>
        <v/>
      </c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8"/>
      <c r="AO181" s="28"/>
      <c r="AP181" s="29"/>
      <c r="AQ181" s="29" t="str">
        <f t="shared" ref="AQ181:BL181" si="185">T181/T$2</f>
        <v>#N/A</v>
      </c>
      <c r="AR181" s="29" t="str">
        <f t="shared" si="185"/>
        <v>#DIV/0!</v>
      </c>
      <c r="AS181" s="29" t="str">
        <f t="shared" si="185"/>
        <v>#DIV/0!</v>
      </c>
      <c r="AT181" s="29" t="str">
        <f t="shared" si="185"/>
        <v>#DIV/0!</v>
      </c>
      <c r="AU181" s="29" t="str">
        <f t="shared" si="185"/>
        <v>#DIV/0!</v>
      </c>
      <c r="AV181" s="29" t="str">
        <f t="shared" si="185"/>
        <v>#DIV/0!</v>
      </c>
      <c r="AW181" s="29" t="str">
        <f t="shared" si="185"/>
        <v>#DIV/0!</v>
      </c>
      <c r="AX181" s="29" t="str">
        <f t="shared" si="185"/>
        <v>#DIV/0!</v>
      </c>
      <c r="AY181" s="29" t="str">
        <f t="shared" si="185"/>
        <v>#DIV/0!</v>
      </c>
      <c r="AZ181" s="29" t="str">
        <f t="shared" si="185"/>
        <v>#DIV/0!</v>
      </c>
      <c r="BA181" s="29" t="str">
        <f t="shared" si="185"/>
        <v>#DIV/0!</v>
      </c>
      <c r="BB181" s="29" t="str">
        <f t="shared" si="185"/>
        <v>#DIV/0!</v>
      </c>
      <c r="BC181" s="29" t="str">
        <f t="shared" si="185"/>
        <v>#DIV/0!</v>
      </c>
      <c r="BD181" s="29" t="str">
        <f t="shared" si="185"/>
        <v>#DIV/0!</v>
      </c>
      <c r="BE181" s="29" t="str">
        <f t="shared" si="185"/>
        <v>#DIV/0!</v>
      </c>
      <c r="BF181" s="29" t="str">
        <f t="shared" si="185"/>
        <v>#DIV/0!</v>
      </c>
      <c r="BG181" s="29" t="str">
        <f t="shared" si="185"/>
        <v>#DIV/0!</v>
      </c>
      <c r="BH181" s="29" t="str">
        <f t="shared" si="185"/>
        <v>#DIV/0!</v>
      </c>
      <c r="BI181" s="29" t="str">
        <f t="shared" si="185"/>
        <v>#DIV/0!</v>
      </c>
      <c r="BJ181" s="29" t="str">
        <f t="shared" si="185"/>
        <v>#DIV/0!</v>
      </c>
      <c r="BK181" s="29" t="str">
        <f t="shared" si="185"/>
        <v>#DIV/0!</v>
      </c>
      <c r="BL181" s="29" t="str">
        <f t="shared" si="185"/>
        <v>#DIV/0!</v>
      </c>
      <c r="BM181" s="29" t="str">
        <f t="shared" si="3"/>
        <v>#DIV/0!</v>
      </c>
    </row>
    <row r="182">
      <c r="A182" s="16" t="str">
        <f>IFERROR(__xludf.DUMMYFUNCTION("IFERROR(SPARKLINE(SORT(MAP(TRANSPOSE(AQ182:BL182), LAMBDA(val, IF(ISNUMBER(val), PERCENTRANK(AQ182:BL182, val)+0.01, 0))), SEQUENCE(COLUMNS(AQ182:BL182)), FALSE), {""charttype"",""column""; ""color"",""chartreuse""; ""ymin"", 0; ""ymax"", 1.01; ""highcolo"&amp;"r"", ""darkgreen""; ""lowcolor"", ""red""}), """")"),"")</f>
        <v/>
      </c>
      <c r="B182" s="17" t="str">
        <f t="shared" si="4"/>
        <v/>
      </c>
      <c r="C182" s="1" t="s">
        <v>2148</v>
      </c>
      <c r="D182" s="30" t="str">
        <f>IFERROR(__xludf.DUMMYFUNCTION("IFERROR(GOOGLEFINANCE(C182, ""NAME""))"),"AngioDynamics, Inc.")</f>
        <v>AngioDynamics, Inc.</v>
      </c>
      <c r="E182" s="30" t="s">
        <v>1502</v>
      </c>
      <c r="F182" s="33" t="str">
        <f>IFERROR(__xludf.DUMMYFUNCTION("( (GOOGLEFINANCE(C182, ""price"") - Q182) / Q182 ) / (R182 / 100)"),"Loading...")</f>
        <v>Loading...</v>
      </c>
      <c r="G182" s="20" t="str">
        <f>IFERROR(__xludf.DUMMYFUNCTION("AVERAGE(ARRAYFORMULA(100 * (QUERY(GOOGLEFINANCE(C182, ""high"", TODAY()-40, TODAY()), ""SELECT Col2 WHERE Col2 IS NOT NULL ORDER BY Col1 DESC LIMIT 20"", 0) / QUERY(GOOGLEFINANCE(C182, ""low"", TODAY()-40, TODAY()), ""SELECT Col2 WHERE Col2 IS NOT NULL OR"&amp;"DER BY Col1 DESC LIMIT 20"", 0) - 1)))"),"#N/A")</f>
        <v>#N/A</v>
      </c>
      <c r="H182" s="35" t="str">
        <f t="shared" si="118"/>
        <v/>
      </c>
      <c r="I182" s="36" t="str">
        <f t="shared" si="7"/>
        <v/>
      </c>
      <c r="J182" s="37" t="str">
        <f>IFERROR(__xludf.DUMMYFUNCTION("IFERROR(
  IF(C182="""",, 
    IFERROR(
      GOOGLEFINANCE(C182, ""price"") * GOOGLEFINANCE(C182, ""volumeavg""), 
      GOOGLEFINANCE(C182, ""price"") * AVERAGE(QUERY(GOOGLEFINANCE(C182, ""volume"", TODAY()-40, TODAY()), ""SELECT Col2 WHERE Col2 IS NOT "&amp;"NULL ORDER BY Col1 DESC LIMIT 20"", 0))
    )
  ), 
"""")"),"")</f>
        <v/>
      </c>
      <c r="K182" s="21" t="str">
        <f>IFERROR(__xludf.DUMMYFUNCTION("IFERROR(GOOGLEFINANCE(C182, ""changepct"") / 100, """")"),"")</f>
        <v/>
      </c>
      <c r="L182" s="21" t="str">
        <f>IFERROR(__xludf.DUMMYFUNCTION("IFERROR((GOOGLEFINANCE(C182, ""price"") / INDEX(GOOGLEFINANCE(C182, ""price"", TODAY()-7, TODAY()), 2, 2)) - 1, """")"),"")</f>
        <v/>
      </c>
      <c r="M182" s="21" t="str">
        <f>IFERROR(__xludf.DUMMYFUNCTION("IFERROR((GOOGLEFINANCE(C182, ""price"") / INDEX(GOOGLEFINANCE(C182, ""price"", EDATE(TODAY(), -1), TODAY()), 2, 2)) - 1, """")"),"")</f>
        <v/>
      </c>
      <c r="N182" s="21" t="str">
        <f>IFERROR(__xludf.DUMMYFUNCTION("IFERROR((GOOGLEFINANCE(C182, ""price"") / INDEX(GOOGLEFINANCE(C182, ""price"", EDATE(TODAY(), -3), TODAY()), 2, 2)) - 1, """")"),"")</f>
        <v/>
      </c>
      <c r="O182" s="21" t="str">
        <f>IFERROR(__xludf.DUMMYFUNCTION("IFERROR((GOOGLEFINANCE(C182, ""price"") / INDEX(GOOGLEFINANCE(C182, ""price"", EDATE(TODAY(), -6), TODAY()), 2, 2)) - 1, """")"),"")</f>
        <v/>
      </c>
      <c r="P182" s="21" t="str">
        <f>IFERROR(__xludf.DUMMYFUNCTION("IFERROR((GOOGLEFINANCE(C182, ""price"") / INDEX(GOOGLEFINANCE(C182, ""price"", EDATE(TODAY(), -12), TODAY()), 2, 2)) - 1, """")"),"")</f>
        <v/>
      </c>
      <c r="Q182" s="6" t="str">
        <f>IFERROR(__xludf.DUMMYFUNCTION("AVERAGE(QUERY(GOOGLEFINANCE(C182, ""price"", TODAY()-80, TODAY()), ""SELECT Col2 WHERE Col2 IS NOT NULL ORDER BY Col1 DESC LIMIT 50"", 0))"),"#N/A")</f>
        <v>#N/A</v>
      </c>
      <c r="R182" s="24" t="str">
        <f>IFERROR(__xludf.DUMMYFUNCTION("IFERROR(
  LET(
    data, QUERY(GOOGLEFINANCE(C182,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GOOGLEFINANCE(C182, ""price"")) * 100,
    IF(calc=0, G182, calc)
  ), 
G182)"),"#N/A")</f>
        <v>#N/A</v>
      </c>
      <c r="S182" s="8" t="s">
        <v>15</v>
      </c>
      <c r="T182" s="26" t="str">
        <f>IFERROR(__xludf.DUMMYFUNCTION("IFERROR(TRANSPOSE(QUERY(IFERROR(SORT(GOOGLEFINANCE(C182, ""price"", WORKDAY(TODAY(), -40), TODAY()), 1, FALSE)), ""select Col2 where Col2 is not null limit 22 label Col2 ''"", 0)), """")"),"")</f>
        <v/>
      </c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8"/>
      <c r="AO182" s="28"/>
      <c r="AP182" s="29"/>
      <c r="AQ182" s="29" t="str">
        <f t="shared" ref="AQ182:BL182" si="186">T182/T$2</f>
        <v>#N/A</v>
      </c>
      <c r="AR182" s="29" t="str">
        <f t="shared" si="186"/>
        <v>#DIV/0!</v>
      </c>
      <c r="AS182" s="29" t="str">
        <f t="shared" si="186"/>
        <v>#DIV/0!</v>
      </c>
      <c r="AT182" s="29" t="str">
        <f t="shared" si="186"/>
        <v>#DIV/0!</v>
      </c>
      <c r="AU182" s="29" t="str">
        <f t="shared" si="186"/>
        <v>#DIV/0!</v>
      </c>
      <c r="AV182" s="29" t="str">
        <f t="shared" si="186"/>
        <v>#DIV/0!</v>
      </c>
      <c r="AW182" s="29" t="str">
        <f t="shared" si="186"/>
        <v>#DIV/0!</v>
      </c>
      <c r="AX182" s="29" t="str">
        <f t="shared" si="186"/>
        <v>#DIV/0!</v>
      </c>
      <c r="AY182" s="29" t="str">
        <f t="shared" si="186"/>
        <v>#DIV/0!</v>
      </c>
      <c r="AZ182" s="29" t="str">
        <f t="shared" si="186"/>
        <v>#DIV/0!</v>
      </c>
      <c r="BA182" s="29" t="str">
        <f t="shared" si="186"/>
        <v>#DIV/0!</v>
      </c>
      <c r="BB182" s="29" t="str">
        <f t="shared" si="186"/>
        <v>#DIV/0!</v>
      </c>
      <c r="BC182" s="29" t="str">
        <f t="shared" si="186"/>
        <v>#DIV/0!</v>
      </c>
      <c r="BD182" s="29" t="str">
        <f t="shared" si="186"/>
        <v>#DIV/0!</v>
      </c>
      <c r="BE182" s="29" t="str">
        <f t="shared" si="186"/>
        <v>#DIV/0!</v>
      </c>
      <c r="BF182" s="29" t="str">
        <f t="shared" si="186"/>
        <v>#DIV/0!</v>
      </c>
      <c r="BG182" s="29" t="str">
        <f t="shared" si="186"/>
        <v>#DIV/0!</v>
      </c>
      <c r="BH182" s="29" t="str">
        <f t="shared" si="186"/>
        <v>#DIV/0!</v>
      </c>
      <c r="BI182" s="29" t="str">
        <f t="shared" si="186"/>
        <v>#DIV/0!</v>
      </c>
      <c r="BJ182" s="29" t="str">
        <f t="shared" si="186"/>
        <v>#DIV/0!</v>
      </c>
      <c r="BK182" s="29" t="str">
        <f t="shared" si="186"/>
        <v>#DIV/0!</v>
      </c>
      <c r="BL182" s="29" t="str">
        <f t="shared" si="186"/>
        <v>#DIV/0!</v>
      </c>
      <c r="BM182" s="29" t="str">
        <f t="shared" si="3"/>
        <v>#DIV/0!</v>
      </c>
    </row>
    <row r="183">
      <c r="A183" s="16" t="str">
        <f>IFERROR(__xludf.DUMMYFUNCTION("IFERROR(SPARKLINE(SORT(MAP(TRANSPOSE(AQ183:BL183), LAMBDA(val, IF(ISNUMBER(val), PERCENTRANK(AQ183:BL183, val)+0.01, 0))), SEQUENCE(COLUMNS(AQ183:BL183)), FALSE), {""charttype"",""column""; ""color"",""chartreuse""; ""ymin"", 0; ""ymax"", 1.01; ""highcolo"&amp;"r"", ""darkgreen""; ""lowcolor"", ""red""}), """")"),"")</f>
        <v/>
      </c>
      <c r="B183" s="17" t="str">
        <f t="shared" si="4"/>
        <v/>
      </c>
      <c r="C183" s="1" t="s">
        <v>2152</v>
      </c>
      <c r="D183" s="30" t="str">
        <f>IFERROR(__xludf.DUMMYFUNCTION("IFERROR(GOOGLEFINANCE(C183, ""NAME""))"),"BioLife Solutions Inc")</f>
        <v>BioLife Solutions Inc</v>
      </c>
      <c r="E183" s="30" t="s">
        <v>1502</v>
      </c>
      <c r="F183" s="33" t="str">
        <f>IFERROR(__xludf.DUMMYFUNCTION("( (GOOGLEFINANCE(C183, ""price"") - Q183) / Q183 ) / (R183 / 100)"),"Loading...")</f>
        <v>Loading...</v>
      </c>
      <c r="G183" s="20" t="str">
        <f>IFERROR(__xludf.DUMMYFUNCTION("AVERAGE(ARRAYFORMULA(100 * (QUERY(GOOGLEFINANCE(C183, ""high"", TODAY()-40, TODAY()), ""SELECT Col2 WHERE Col2 IS NOT NULL ORDER BY Col1 DESC LIMIT 20"", 0) / QUERY(GOOGLEFINANCE(C183, ""low"", TODAY()-40, TODAY()), ""SELECT Col2 WHERE Col2 IS NOT NULL OR"&amp;"DER BY Col1 DESC LIMIT 20"", 0) - 1)))"),"#N/A")</f>
        <v>#N/A</v>
      </c>
      <c r="H183" s="35" t="str">
        <f t="shared" si="118"/>
        <v/>
      </c>
      <c r="I183" s="36" t="str">
        <f t="shared" si="7"/>
        <v/>
      </c>
      <c r="J183" s="37" t="str">
        <f>IFERROR(__xludf.DUMMYFUNCTION("IFERROR(
  IF(C183="""",, 
    IFERROR(
      GOOGLEFINANCE(C183, ""price"") * GOOGLEFINANCE(C183, ""volumeavg""), 
      GOOGLEFINANCE(C183, ""price"") * AVERAGE(QUERY(GOOGLEFINANCE(C183, ""volume"", TODAY()-40, TODAY()), ""SELECT Col2 WHERE Col2 IS NOT "&amp;"NULL ORDER BY Col1 DESC LIMIT 20"", 0))
    )
  ), 
"""")"),"")</f>
        <v/>
      </c>
      <c r="K183" s="21" t="str">
        <f>IFERROR(__xludf.DUMMYFUNCTION("IFERROR(GOOGLEFINANCE(C183, ""changepct"") / 100, """")"),"")</f>
        <v/>
      </c>
      <c r="L183" s="21" t="str">
        <f>IFERROR(__xludf.DUMMYFUNCTION("IFERROR((GOOGLEFINANCE(C183, ""price"") / INDEX(GOOGLEFINANCE(C183, ""price"", TODAY()-7, TODAY()), 2, 2)) - 1, """")"),"")</f>
        <v/>
      </c>
      <c r="M183" s="21" t="str">
        <f>IFERROR(__xludf.DUMMYFUNCTION("IFERROR((GOOGLEFINANCE(C183, ""price"") / INDEX(GOOGLEFINANCE(C183, ""price"", EDATE(TODAY(), -1), TODAY()), 2, 2)) - 1, """")"),"")</f>
        <v/>
      </c>
      <c r="N183" s="21" t="str">
        <f>IFERROR(__xludf.DUMMYFUNCTION("IFERROR((GOOGLEFINANCE(C183, ""price"") / INDEX(GOOGLEFINANCE(C183, ""price"", EDATE(TODAY(), -3), TODAY()), 2, 2)) - 1, """")"),"")</f>
        <v/>
      </c>
      <c r="O183" s="21" t="str">
        <f>IFERROR(__xludf.DUMMYFUNCTION("IFERROR((GOOGLEFINANCE(C183, ""price"") / INDEX(GOOGLEFINANCE(C183, ""price"", EDATE(TODAY(), -6), TODAY()), 2, 2)) - 1, """")"),"")</f>
        <v/>
      </c>
      <c r="P183" s="21" t="str">
        <f>IFERROR(__xludf.DUMMYFUNCTION("IFERROR((GOOGLEFINANCE(C183, ""price"") / INDEX(GOOGLEFINANCE(C183, ""price"", EDATE(TODAY(), -12), TODAY()), 2, 2)) - 1, """")"),"")</f>
        <v/>
      </c>
      <c r="Q183" s="6" t="str">
        <f>IFERROR(__xludf.DUMMYFUNCTION("AVERAGE(QUERY(GOOGLEFINANCE(C183, ""price"", TODAY()-80, TODAY()), ""SELECT Col2 WHERE Col2 IS NOT NULL ORDER BY Col1 DESC LIMIT 50"", 0))"),"#N/A")</f>
        <v>#N/A</v>
      </c>
      <c r="R183" s="24" t="str">
        <f>IFERROR(__xludf.DUMMYFUNCTION("IFERROR(
  LET(
    data, QUERY(GOOGLEFINANCE(C183,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GOOGLEFINANCE(C183, ""price"")) * 100,
    IF(calc=0, G183, calc)
  ), 
G183)"),"#N/A")</f>
        <v>#N/A</v>
      </c>
      <c r="S183" s="8" t="s">
        <v>15</v>
      </c>
      <c r="T183" s="26" t="str">
        <f>IFERROR(__xludf.DUMMYFUNCTION("IFERROR(TRANSPOSE(QUERY(IFERROR(SORT(GOOGLEFINANCE(C183, ""price"", WORKDAY(TODAY(), -40), TODAY()), 1, FALSE)), ""select Col2 where Col2 is not null limit 22 label Col2 ''"", 0)), """")"),"")</f>
        <v/>
      </c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8"/>
      <c r="AO183" s="28"/>
      <c r="AP183" s="29"/>
      <c r="AQ183" s="29" t="str">
        <f t="shared" ref="AQ183:BL183" si="187">T183/T$2</f>
        <v>#N/A</v>
      </c>
      <c r="AR183" s="29" t="str">
        <f t="shared" si="187"/>
        <v>#DIV/0!</v>
      </c>
      <c r="AS183" s="29" t="str">
        <f t="shared" si="187"/>
        <v>#DIV/0!</v>
      </c>
      <c r="AT183" s="29" t="str">
        <f t="shared" si="187"/>
        <v>#DIV/0!</v>
      </c>
      <c r="AU183" s="29" t="str">
        <f t="shared" si="187"/>
        <v>#DIV/0!</v>
      </c>
      <c r="AV183" s="29" t="str">
        <f t="shared" si="187"/>
        <v>#DIV/0!</v>
      </c>
      <c r="AW183" s="29" t="str">
        <f t="shared" si="187"/>
        <v>#DIV/0!</v>
      </c>
      <c r="AX183" s="29" t="str">
        <f t="shared" si="187"/>
        <v>#DIV/0!</v>
      </c>
      <c r="AY183" s="29" t="str">
        <f t="shared" si="187"/>
        <v>#DIV/0!</v>
      </c>
      <c r="AZ183" s="29" t="str">
        <f t="shared" si="187"/>
        <v>#DIV/0!</v>
      </c>
      <c r="BA183" s="29" t="str">
        <f t="shared" si="187"/>
        <v>#DIV/0!</v>
      </c>
      <c r="BB183" s="29" t="str">
        <f t="shared" si="187"/>
        <v>#DIV/0!</v>
      </c>
      <c r="BC183" s="29" t="str">
        <f t="shared" si="187"/>
        <v>#DIV/0!</v>
      </c>
      <c r="BD183" s="29" t="str">
        <f t="shared" si="187"/>
        <v>#DIV/0!</v>
      </c>
      <c r="BE183" s="29" t="str">
        <f t="shared" si="187"/>
        <v>#DIV/0!</v>
      </c>
      <c r="BF183" s="29" t="str">
        <f t="shared" si="187"/>
        <v>#DIV/0!</v>
      </c>
      <c r="BG183" s="29" t="str">
        <f t="shared" si="187"/>
        <v>#DIV/0!</v>
      </c>
      <c r="BH183" s="29" t="str">
        <f t="shared" si="187"/>
        <v>#DIV/0!</v>
      </c>
      <c r="BI183" s="29" t="str">
        <f t="shared" si="187"/>
        <v>#DIV/0!</v>
      </c>
      <c r="BJ183" s="29" t="str">
        <f t="shared" si="187"/>
        <v>#DIV/0!</v>
      </c>
      <c r="BK183" s="29" t="str">
        <f t="shared" si="187"/>
        <v>#DIV/0!</v>
      </c>
      <c r="BL183" s="29" t="str">
        <f t="shared" si="187"/>
        <v>#DIV/0!</v>
      </c>
      <c r="BM183" s="29" t="str">
        <f t="shared" si="3"/>
        <v>#DIV/0!</v>
      </c>
    </row>
    <row r="184">
      <c r="A184" s="16" t="str">
        <f>IFERROR(__xludf.DUMMYFUNCTION("IFERROR(SPARKLINE(SORT(MAP(TRANSPOSE(AQ184:BL184), LAMBDA(val, IF(ISNUMBER(val), PERCENTRANK(AQ184:BL184, val)+0.01, 0))), SEQUENCE(COLUMNS(AQ184:BL184)), FALSE), {""charttype"",""column""; ""color"",""chartreuse""; ""ymin"", 0; ""ymax"", 1.01; ""highcolo"&amp;"r"", ""darkgreen""; ""lowcolor"", ""red""}), """")"),"")</f>
        <v/>
      </c>
      <c r="B184" s="17" t="str">
        <f t="shared" si="4"/>
        <v/>
      </c>
      <c r="C184" s="1" t="s">
        <v>2156</v>
      </c>
      <c r="D184" s="30" t="str">
        <f>IFERROR(__xludf.DUMMYFUNCTION("IFERROR(GOOGLEFINANCE(C184, ""NAME""))"),"Integer Holdings Corp")</f>
        <v>Integer Holdings Corp</v>
      </c>
      <c r="E184" s="30" t="s">
        <v>1491</v>
      </c>
      <c r="F184" s="33" t="str">
        <f>IFERROR(__xludf.DUMMYFUNCTION("( (GOOGLEFINANCE(C184, ""price"") - Q184) / Q184 ) / (R184 / 100)"),"Loading...")</f>
        <v>Loading...</v>
      </c>
      <c r="G184" s="20" t="str">
        <f>IFERROR(__xludf.DUMMYFUNCTION("AVERAGE(ARRAYFORMULA(100 * (QUERY(GOOGLEFINANCE(C184, ""high"", TODAY()-40, TODAY()), ""SELECT Col2 WHERE Col2 IS NOT NULL ORDER BY Col1 DESC LIMIT 20"", 0) / QUERY(GOOGLEFINANCE(C184, ""low"", TODAY()-40, TODAY()), ""SELECT Col2 WHERE Col2 IS NOT NULL OR"&amp;"DER BY Col1 DESC LIMIT 20"", 0) - 1)))"),"#N/A")</f>
        <v>#N/A</v>
      </c>
      <c r="H184" s="35" t="str">
        <f t="shared" si="118"/>
        <v/>
      </c>
      <c r="I184" s="36" t="str">
        <f t="shared" si="7"/>
        <v/>
      </c>
      <c r="J184" s="37" t="str">
        <f>IFERROR(__xludf.DUMMYFUNCTION("IFERROR(
  IF(C184="""",, 
    IFERROR(
      GOOGLEFINANCE(C184, ""price"") * GOOGLEFINANCE(C184, ""volumeavg""), 
      GOOGLEFINANCE(C184, ""price"") * AVERAGE(QUERY(GOOGLEFINANCE(C184, ""volume"", TODAY()-40, TODAY()), ""SELECT Col2 WHERE Col2 IS NOT "&amp;"NULL ORDER BY Col1 DESC LIMIT 20"", 0))
    )
  ), 
"""")"),"")</f>
        <v/>
      </c>
      <c r="K184" s="21" t="str">
        <f>IFERROR(__xludf.DUMMYFUNCTION("IFERROR(GOOGLEFINANCE(C184, ""changepct"") / 100, """")"),"")</f>
        <v/>
      </c>
      <c r="L184" s="21" t="str">
        <f>IFERROR(__xludf.DUMMYFUNCTION("IFERROR((GOOGLEFINANCE(C184, ""price"") / INDEX(GOOGLEFINANCE(C184, ""price"", TODAY()-7, TODAY()), 2, 2)) - 1, """")"),"")</f>
        <v/>
      </c>
      <c r="M184" s="21" t="str">
        <f>IFERROR(__xludf.DUMMYFUNCTION("IFERROR((GOOGLEFINANCE(C184, ""price"") / INDEX(GOOGLEFINANCE(C184, ""price"", EDATE(TODAY(), -1), TODAY()), 2, 2)) - 1, """")"),"")</f>
        <v/>
      </c>
      <c r="N184" s="21" t="str">
        <f>IFERROR(__xludf.DUMMYFUNCTION("IFERROR((GOOGLEFINANCE(C184, ""price"") / INDEX(GOOGLEFINANCE(C184, ""price"", EDATE(TODAY(), -3), TODAY()), 2, 2)) - 1, """")"),"")</f>
        <v/>
      </c>
      <c r="O184" s="21" t="str">
        <f>IFERROR(__xludf.DUMMYFUNCTION("IFERROR((GOOGLEFINANCE(C184, ""price"") / INDEX(GOOGLEFINANCE(C184, ""price"", EDATE(TODAY(), -6), TODAY()), 2, 2)) - 1, """")"),"")</f>
        <v/>
      </c>
      <c r="P184" s="21" t="str">
        <f>IFERROR(__xludf.DUMMYFUNCTION("IFERROR((GOOGLEFINANCE(C184, ""price"") / INDEX(GOOGLEFINANCE(C184, ""price"", EDATE(TODAY(), -12), TODAY()), 2, 2)) - 1, """")"),"")</f>
        <v/>
      </c>
      <c r="Q184" s="6" t="str">
        <f>IFERROR(__xludf.DUMMYFUNCTION("AVERAGE(QUERY(GOOGLEFINANCE(C184, ""price"", TODAY()-80, TODAY()), ""SELECT Col2 WHERE Col2 IS NOT NULL ORDER BY Col1 DESC LIMIT 50"", 0))"),"#N/A")</f>
        <v>#N/A</v>
      </c>
      <c r="R184" s="24" t="str">
        <f>IFERROR(__xludf.DUMMYFUNCTION("IFERROR(
  LET(
    data, QUERY(GOOGLEFINANCE(C184,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GOOGLEFINANCE(C184, ""price"")) * 100,
    IF(calc=0, G184, calc)
  ), 
G184)"),"#N/A")</f>
        <v>#N/A</v>
      </c>
      <c r="S184" s="8" t="s">
        <v>15</v>
      </c>
      <c r="T184" s="26" t="str">
        <f>IFERROR(__xludf.DUMMYFUNCTION("IFERROR(TRANSPOSE(QUERY(IFERROR(SORT(GOOGLEFINANCE(C184, ""price"", WORKDAY(TODAY(), -40), TODAY()), 1, FALSE)), ""select Col2 where Col2 is not null limit 22 label Col2 ''"", 0)), """")"),"")</f>
        <v/>
      </c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8"/>
      <c r="AO184" s="28"/>
      <c r="AP184" s="29"/>
      <c r="AQ184" s="29" t="str">
        <f t="shared" ref="AQ184:BL184" si="188">T184/T$2</f>
        <v>#N/A</v>
      </c>
      <c r="AR184" s="29" t="str">
        <f t="shared" si="188"/>
        <v>#DIV/0!</v>
      </c>
      <c r="AS184" s="29" t="str">
        <f t="shared" si="188"/>
        <v>#DIV/0!</v>
      </c>
      <c r="AT184" s="29" t="str">
        <f t="shared" si="188"/>
        <v>#DIV/0!</v>
      </c>
      <c r="AU184" s="29" t="str">
        <f t="shared" si="188"/>
        <v>#DIV/0!</v>
      </c>
      <c r="AV184" s="29" t="str">
        <f t="shared" si="188"/>
        <v>#DIV/0!</v>
      </c>
      <c r="AW184" s="29" t="str">
        <f t="shared" si="188"/>
        <v>#DIV/0!</v>
      </c>
      <c r="AX184" s="29" t="str">
        <f t="shared" si="188"/>
        <v>#DIV/0!</v>
      </c>
      <c r="AY184" s="29" t="str">
        <f t="shared" si="188"/>
        <v>#DIV/0!</v>
      </c>
      <c r="AZ184" s="29" t="str">
        <f t="shared" si="188"/>
        <v>#DIV/0!</v>
      </c>
      <c r="BA184" s="29" t="str">
        <f t="shared" si="188"/>
        <v>#DIV/0!</v>
      </c>
      <c r="BB184" s="29" t="str">
        <f t="shared" si="188"/>
        <v>#DIV/0!</v>
      </c>
      <c r="BC184" s="29" t="str">
        <f t="shared" si="188"/>
        <v>#DIV/0!</v>
      </c>
      <c r="BD184" s="29" t="str">
        <f t="shared" si="188"/>
        <v>#DIV/0!</v>
      </c>
      <c r="BE184" s="29" t="str">
        <f t="shared" si="188"/>
        <v>#DIV/0!</v>
      </c>
      <c r="BF184" s="29" t="str">
        <f t="shared" si="188"/>
        <v>#DIV/0!</v>
      </c>
      <c r="BG184" s="29" t="str">
        <f t="shared" si="188"/>
        <v>#DIV/0!</v>
      </c>
      <c r="BH184" s="29" t="str">
        <f t="shared" si="188"/>
        <v>#DIV/0!</v>
      </c>
      <c r="BI184" s="29" t="str">
        <f t="shared" si="188"/>
        <v>#DIV/0!</v>
      </c>
      <c r="BJ184" s="29" t="str">
        <f t="shared" si="188"/>
        <v>#DIV/0!</v>
      </c>
      <c r="BK184" s="29" t="str">
        <f t="shared" si="188"/>
        <v>#DIV/0!</v>
      </c>
      <c r="BL184" s="29" t="str">
        <f t="shared" si="188"/>
        <v>#DIV/0!</v>
      </c>
      <c r="BM184" s="29" t="str">
        <f t="shared" si="3"/>
        <v>#DIV/0!</v>
      </c>
    </row>
    <row r="185">
      <c r="A185" s="16" t="str">
        <f>IFERROR(__xludf.DUMMYFUNCTION("IFERROR(SPARKLINE(SORT(MAP(TRANSPOSE(AQ185:BL185), LAMBDA(val, IF(ISNUMBER(val), PERCENTRANK(AQ185:BL185, val)+0.01, 0))), SEQUENCE(COLUMNS(AQ185:BL185)), FALSE), {""charttype"",""column""; ""color"",""chartreuse""; ""ymin"", 0; ""ymax"", 1.01; ""highcolo"&amp;"r"", ""darkgreen""; ""lowcolor"", ""red""}), """")"),"")</f>
        <v/>
      </c>
      <c r="B185" s="17" t="str">
        <f t="shared" si="4"/>
        <v/>
      </c>
      <c r="C185" s="1" t="s">
        <v>2160</v>
      </c>
      <c r="D185" s="30" t="str">
        <f>IFERROR(__xludf.DUMMYFUNCTION("IFERROR(GOOGLEFINANCE(C185, ""NAME""))"),"ANI Pharmaceuticals Inc Common Stock")</f>
        <v>ANI Pharmaceuticals Inc Common Stock</v>
      </c>
      <c r="E185" s="30" t="s">
        <v>1475</v>
      </c>
      <c r="F185" s="33" t="str">
        <f>IFERROR(__xludf.DUMMYFUNCTION("( (GOOGLEFINANCE(C185, ""price"") - Q185) / Q185 ) / (R185 / 100)"),"Loading...")</f>
        <v>Loading...</v>
      </c>
      <c r="G185" s="20" t="str">
        <f>IFERROR(__xludf.DUMMYFUNCTION("AVERAGE(ARRAYFORMULA(100 * (QUERY(GOOGLEFINANCE(C185, ""high"", TODAY()-40, TODAY()), ""SELECT Col2 WHERE Col2 IS NOT NULL ORDER BY Col1 DESC LIMIT 20"", 0) / QUERY(GOOGLEFINANCE(C185, ""low"", TODAY()-40, TODAY()), ""SELECT Col2 WHERE Col2 IS NOT NULL OR"&amp;"DER BY Col1 DESC LIMIT 20"", 0) - 1)))"),"#N/A")</f>
        <v>#N/A</v>
      </c>
      <c r="H185" s="35" t="str">
        <f t="shared" si="118"/>
        <v/>
      </c>
      <c r="I185" s="36" t="str">
        <f t="shared" si="7"/>
        <v/>
      </c>
      <c r="J185" s="37" t="str">
        <f>IFERROR(__xludf.DUMMYFUNCTION("IFERROR(
  IF(C185="""",, 
    IFERROR(
      GOOGLEFINANCE(C185, ""price"") * GOOGLEFINANCE(C185, ""volumeavg""), 
      GOOGLEFINANCE(C185, ""price"") * AVERAGE(QUERY(GOOGLEFINANCE(C185, ""volume"", TODAY()-40, TODAY()), ""SELECT Col2 WHERE Col2 IS NOT "&amp;"NULL ORDER BY Col1 DESC LIMIT 20"", 0))
    )
  ), 
"""")"),"")</f>
        <v/>
      </c>
      <c r="K185" s="21" t="str">
        <f>IFERROR(__xludf.DUMMYFUNCTION("IFERROR(GOOGLEFINANCE(C185, ""changepct"") / 100, """")"),"")</f>
        <v/>
      </c>
      <c r="L185" s="21" t="str">
        <f>IFERROR(__xludf.DUMMYFUNCTION("IFERROR((GOOGLEFINANCE(C185, ""price"") / INDEX(GOOGLEFINANCE(C185, ""price"", TODAY()-7, TODAY()), 2, 2)) - 1, """")"),"")</f>
        <v/>
      </c>
      <c r="M185" s="21" t="str">
        <f>IFERROR(__xludf.DUMMYFUNCTION("IFERROR((GOOGLEFINANCE(C185, ""price"") / INDEX(GOOGLEFINANCE(C185, ""price"", EDATE(TODAY(), -1), TODAY()), 2, 2)) - 1, """")"),"")</f>
        <v/>
      </c>
      <c r="N185" s="21" t="str">
        <f>IFERROR(__xludf.DUMMYFUNCTION("IFERROR((GOOGLEFINANCE(C185, ""price"") / INDEX(GOOGLEFINANCE(C185, ""price"", EDATE(TODAY(), -3), TODAY()), 2, 2)) - 1, """")"),"")</f>
        <v/>
      </c>
      <c r="O185" s="21" t="str">
        <f>IFERROR(__xludf.DUMMYFUNCTION("IFERROR((GOOGLEFINANCE(C185, ""price"") / INDEX(GOOGLEFINANCE(C185, ""price"", EDATE(TODAY(), -6), TODAY()), 2, 2)) - 1, """")"),"")</f>
        <v/>
      </c>
      <c r="P185" s="21" t="str">
        <f>IFERROR(__xludf.DUMMYFUNCTION("IFERROR((GOOGLEFINANCE(C185, ""price"") / INDEX(GOOGLEFINANCE(C185, ""price"", EDATE(TODAY(), -12), TODAY()), 2, 2)) - 1, """")"),"")</f>
        <v/>
      </c>
      <c r="Q185" s="6" t="str">
        <f>IFERROR(__xludf.DUMMYFUNCTION("AVERAGE(QUERY(GOOGLEFINANCE(C185, ""price"", TODAY()-80, TODAY()), ""SELECT Col2 WHERE Col2 IS NOT NULL ORDER BY Col1 DESC LIMIT 50"", 0))"),"#N/A")</f>
        <v>#N/A</v>
      </c>
      <c r="R185" s="24" t="str">
        <f>IFERROR(__xludf.DUMMYFUNCTION("IFERROR(
  LET(
    data, QUERY(GOOGLEFINANCE(C185,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GOOGLEFINANCE(C185, ""price"")) * 100,
    IF(calc=0, G185, calc)
  ), 
G185)"),"#N/A")</f>
        <v>#N/A</v>
      </c>
      <c r="S185" s="8" t="s">
        <v>15</v>
      </c>
      <c r="T185" s="26" t="str">
        <f>IFERROR(__xludf.DUMMYFUNCTION("IFERROR(TRANSPOSE(QUERY(IFERROR(SORT(GOOGLEFINANCE(C185, ""price"", WORKDAY(TODAY(), -40), TODAY()), 1, FALSE)), ""select Col2 where Col2 is not null limit 22 label Col2 ''"", 0)), """")"),"")</f>
        <v/>
      </c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8"/>
      <c r="AO185" s="28"/>
      <c r="AP185" s="29"/>
      <c r="AQ185" s="29" t="str">
        <f t="shared" ref="AQ185:BL185" si="189">T185/T$2</f>
        <v>#N/A</v>
      </c>
      <c r="AR185" s="29" t="str">
        <f t="shared" si="189"/>
        <v>#DIV/0!</v>
      </c>
      <c r="AS185" s="29" t="str">
        <f t="shared" si="189"/>
        <v>#DIV/0!</v>
      </c>
      <c r="AT185" s="29" t="str">
        <f t="shared" si="189"/>
        <v>#DIV/0!</v>
      </c>
      <c r="AU185" s="29" t="str">
        <f t="shared" si="189"/>
        <v>#DIV/0!</v>
      </c>
      <c r="AV185" s="29" t="str">
        <f t="shared" si="189"/>
        <v>#DIV/0!</v>
      </c>
      <c r="AW185" s="29" t="str">
        <f t="shared" si="189"/>
        <v>#DIV/0!</v>
      </c>
      <c r="AX185" s="29" t="str">
        <f t="shared" si="189"/>
        <v>#DIV/0!</v>
      </c>
      <c r="AY185" s="29" t="str">
        <f t="shared" si="189"/>
        <v>#DIV/0!</v>
      </c>
      <c r="AZ185" s="29" t="str">
        <f t="shared" si="189"/>
        <v>#DIV/0!</v>
      </c>
      <c r="BA185" s="29" t="str">
        <f t="shared" si="189"/>
        <v>#DIV/0!</v>
      </c>
      <c r="BB185" s="29" t="str">
        <f t="shared" si="189"/>
        <v>#DIV/0!</v>
      </c>
      <c r="BC185" s="29" t="str">
        <f t="shared" si="189"/>
        <v>#DIV/0!</v>
      </c>
      <c r="BD185" s="29" t="str">
        <f t="shared" si="189"/>
        <v>#DIV/0!</v>
      </c>
      <c r="BE185" s="29" t="str">
        <f t="shared" si="189"/>
        <v>#DIV/0!</v>
      </c>
      <c r="BF185" s="29" t="str">
        <f t="shared" si="189"/>
        <v>#DIV/0!</v>
      </c>
      <c r="BG185" s="29" t="str">
        <f t="shared" si="189"/>
        <v>#DIV/0!</v>
      </c>
      <c r="BH185" s="29" t="str">
        <f t="shared" si="189"/>
        <v>#DIV/0!</v>
      </c>
      <c r="BI185" s="29" t="str">
        <f t="shared" si="189"/>
        <v>#DIV/0!</v>
      </c>
      <c r="BJ185" s="29" t="str">
        <f t="shared" si="189"/>
        <v>#DIV/0!</v>
      </c>
      <c r="BK185" s="29" t="str">
        <f t="shared" si="189"/>
        <v>#DIV/0!</v>
      </c>
      <c r="BL185" s="29" t="str">
        <f t="shared" si="189"/>
        <v>#DIV/0!</v>
      </c>
      <c r="BM185" s="29" t="str">
        <f t="shared" si="3"/>
        <v>#DIV/0!</v>
      </c>
    </row>
    <row r="186">
      <c r="A186" s="16" t="str">
        <f>IFERROR(__xludf.DUMMYFUNCTION("IFERROR(SPARKLINE(SORT(MAP(TRANSPOSE(AQ186:BL186), LAMBDA(val, IF(ISNUMBER(val), PERCENTRANK(AQ186:BL186, val)+0.01, 0))), SEQUENCE(COLUMNS(AQ186:BL186)), FALSE), {""charttype"",""column""; ""color"",""chartreuse""; ""ymin"", 0; ""ymax"", 1.01; ""highcolo"&amp;"r"", ""darkgreen""; ""lowcolor"", ""red""}), """")"),"")</f>
        <v/>
      </c>
      <c r="B186" s="17" t="str">
        <f t="shared" si="4"/>
        <v/>
      </c>
      <c r="C186" s="1" t="s">
        <v>2165</v>
      </c>
      <c r="D186" s="30" t="str">
        <f>IFERROR(__xludf.DUMMYFUNCTION("IFERROR(GOOGLEFINANCE(C186, ""NAME""))"),"Charles River Laboratories Intrtnl, Inc.")</f>
        <v>Charles River Laboratories Intrtnl, Inc.</v>
      </c>
      <c r="E186" s="30" t="s">
        <v>1499</v>
      </c>
      <c r="F186" s="33" t="str">
        <f>IFERROR(__xludf.DUMMYFUNCTION("( (GOOGLEFINANCE(C186, ""price"") - Q186) / Q186 ) / (R186 / 100)"),"Loading...")</f>
        <v>Loading...</v>
      </c>
      <c r="G186" s="20" t="str">
        <f>IFERROR(__xludf.DUMMYFUNCTION("AVERAGE(ARRAYFORMULA(100 * (QUERY(GOOGLEFINANCE(C186, ""high"", TODAY()-40, TODAY()), ""SELECT Col2 WHERE Col2 IS NOT NULL ORDER BY Col1 DESC LIMIT 20"", 0) / QUERY(GOOGLEFINANCE(C186, ""low"", TODAY()-40, TODAY()), ""SELECT Col2 WHERE Col2 IS NOT NULL OR"&amp;"DER BY Col1 DESC LIMIT 20"", 0) - 1)))"),"#N/A")</f>
        <v>#N/A</v>
      </c>
      <c r="H186" s="35" t="str">
        <f t="shared" si="118"/>
        <v/>
      </c>
      <c r="I186" s="36" t="str">
        <f t="shared" si="7"/>
        <v/>
      </c>
      <c r="J186" s="37" t="str">
        <f>IFERROR(__xludf.DUMMYFUNCTION("IFERROR(
  IF(C186="""",, 
    IFERROR(
      GOOGLEFINANCE(C186, ""price"") * GOOGLEFINANCE(C186, ""volumeavg""), 
      GOOGLEFINANCE(C186, ""price"") * AVERAGE(QUERY(GOOGLEFINANCE(C186, ""volume"", TODAY()-40, TODAY()), ""SELECT Col2 WHERE Col2 IS NOT "&amp;"NULL ORDER BY Col1 DESC LIMIT 20"", 0))
    )
  ), 
"""")"),"")</f>
        <v/>
      </c>
      <c r="K186" s="21" t="str">
        <f>IFERROR(__xludf.DUMMYFUNCTION("IFERROR(GOOGLEFINANCE(C186, ""changepct"") / 100, """")"),"")</f>
        <v/>
      </c>
      <c r="L186" s="21" t="str">
        <f>IFERROR(__xludf.DUMMYFUNCTION("IFERROR((GOOGLEFINANCE(C186, ""price"") / INDEX(GOOGLEFINANCE(C186, ""price"", TODAY()-7, TODAY()), 2, 2)) - 1, """")"),"")</f>
        <v/>
      </c>
      <c r="M186" s="21" t="str">
        <f>IFERROR(__xludf.DUMMYFUNCTION("IFERROR((GOOGLEFINANCE(C186, ""price"") / INDEX(GOOGLEFINANCE(C186, ""price"", EDATE(TODAY(), -1), TODAY()), 2, 2)) - 1, """")"),"")</f>
        <v/>
      </c>
      <c r="N186" s="21" t="str">
        <f>IFERROR(__xludf.DUMMYFUNCTION("IFERROR((GOOGLEFINANCE(C186, ""price"") / INDEX(GOOGLEFINANCE(C186, ""price"", EDATE(TODAY(), -3), TODAY()), 2, 2)) - 1, """")"),"")</f>
        <v/>
      </c>
      <c r="O186" s="21" t="str">
        <f>IFERROR(__xludf.DUMMYFUNCTION("IFERROR((GOOGLEFINANCE(C186, ""price"") / INDEX(GOOGLEFINANCE(C186, ""price"", EDATE(TODAY(), -6), TODAY()), 2, 2)) - 1, """")"),"")</f>
        <v/>
      </c>
      <c r="P186" s="21" t="str">
        <f>IFERROR(__xludf.DUMMYFUNCTION("IFERROR((GOOGLEFINANCE(C186, ""price"") / INDEX(GOOGLEFINANCE(C186, ""price"", EDATE(TODAY(), -12), TODAY()), 2, 2)) - 1, """")"),"")</f>
        <v/>
      </c>
      <c r="Q186" s="6" t="str">
        <f>IFERROR(__xludf.DUMMYFUNCTION("AVERAGE(QUERY(GOOGLEFINANCE(C186, ""price"", TODAY()-80, TODAY()), ""SELECT Col2 WHERE Col2 IS NOT NULL ORDER BY Col1 DESC LIMIT 50"", 0))"),"#N/A")</f>
        <v>#N/A</v>
      </c>
      <c r="R186" s="24" t="str">
        <f>IFERROR(__xludf.DUMMYFUNCTION("IFERROR(
  LET(
    data, QUERY(GOOGLEFINANCE(C186,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GOOGLEFINANCE(C186, ""price"")) * 100,
    IF(calc=0, G186, calc)
  ), 
G186)"),"#N/A")</f>
        <v>#N/A</v>
      </c>
      <c r="S186" s="8" t="s">
        <v>15</v>
      </c>
      <c r="T186" s="26" t="str">
        <f>IFERROR(__xludf.DUMMYFUNCTION("IFERROR(TRANSPOSE(QUERY(IFERROR(SORT(GOOGLEFINANCE(C186, ""price"", WORKDAY(TODAY(), -40), TODAY()), 1, FALSE)), ""select Col2 where Col2 is not null limit 22 label Col2 ''"", 0)), """")"),"")</f>
        <v/>
      </c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8"/>
      <c r="AO186" s="28"/>
      <c r="AP186" s="29"/>
      <c r="AQ186" s="29" t="str">
        <f t="shared" ref="AQ186:BL186" si="190">T186/T$2</f>
        <v>#N/A</v>
      </c>
      <c r="AR186" s="29" t="str">
        <f t="shared" si="190"/>
        <v>#DIV/0!</v>
      </c>
      <c r="AS186" s="29" t="str">
        <f t="shared" si="190"/>
        <v>#DIV/0!</v>
      </c>
      <c r="AT186" s="29" t="str">
        <f t="shared" si="190"/>
        <v>#DIV/0!</v>
      </c>
      <c r="AU186" s="29" t="str">
        <f t="shared" si="190"/>
        <v>#DIV/0!</v>
      </c>
      <c r="AV186" s="29" t="str">
        <f t="shared" si="190"/>
        <v>#DIV/0!</v>
      </c>
      <c r="AW186" s="29" t="str">
        <f t="shared" si="190"/>
        <v>#DIV/0!</v>
      </c>
      <c r="AX186" s="29" t="str">
        <f t="shared" si="190"/>
        <v>#DIV/0!</v>
      </c>
      <c r="AY186" s="29" t="str">
        <f t="shared" si="190"/>
        <v>#DIV/0!</v>
      </c>
      <c r="AZ186" s="29" t="str">
        <f t="shared" si="190"/>
        <v>#DIV/0!</v>
      </c>
      <c r="BA186" s="29" t="str">
        <f t="shared" si="190"/>
        <v>#DIV/0!</v>
      </c>
      <c r="BB186" s="29" t="str">
        <f t="shared" si="190"/>
        <v>#DIV/0!</v>
      </c>
      <c r="BC186" s="29" t="str">
        <f t="shared" si="190"/>
        <v>#DIV/0!</v>
      </c>
      <c r="BD186" s="29" t="str">
        <f t="shared" si="190"/>
        <v>#DIV/0!</v>
      </c>
      <c r="BE186" s="29" t="str">
        <f t="shared" si="190"/>
        <v>#DIV/0!</v>
      </c>
      <c r="BF186" s="29" t="str">
        <f t="shared" si="190"/>
        <v>#DIV/0!</v>
      </c>
      <c r="BG186" s="29" t="str">
        <f t="shared" si="190"/>
        <v>#DIV/0!</v>
      </c>
      <c r="BH186" s="29" t="str">
        <f t="shared" si="190"/>
        <v>#DIV/0!</v>
      </c>
      <c r="BI186" s="29" t="str">
        <f t="shared" si="190"/>
        <v>#DIV/0!</v>
      </c>
      <c r="BJ186" s="29" t="str">
        <f t="shared" si="190"/>
        <v>#DIV/0!</v>
      </c>
      <c r="BK186" s="29" t="str">
        <f t="shared" si="190"/>
        <v>#DIV/0!</v>
      </c>
      <c r="BL186" s="29" t="str">
        <f t="shared" si="190"/>
        <v>#DIV/0!</v>
      </c>
      <c r="BM186" s="29" t="str">
        <f t="shared" si="3"/>
        <v>#DIV/0!</v>
      </c>
    </row>
    <row r="187">
      <c r="A187" s="16" t="str">
        <f>IFERROR(__xludf.DUMMYFUNCTION("IFERROR(SPARKLINE(SORT(MAP(TRANSPOSE(AQ187:BL187), LAMBDA(val, IF(ISNUMBER(val), PERCENTRANK(AQ187:BL187, val)+0.01, 0))), SEQUENCE(COLUMNS(AQ187:BL187)), FALSE), {""charttype"",""column""; ""color"",""chartreuse""; ""ymin"", 0; ""ymax"", 1.01; ""highcolo"&amp;"r"", ""darkgreen""; ""lowcolor"", ""red""}), """")"),"")</f>
        <v/>
      </c>
      <c r="B187" s="17" t="str">
        <f t="shared" si="4"/>
        <v/>
      </c>
      <c r="C187" s="1" t="s">
        <v>2169</v>
      </c>
      <c r="D187" s="30" t="str">
        <f>IFERROR(__xludf.DUMMYFUNCTION("IFERROR(GOOGLEFINANCE(C187, ""NAME""))"),"Definitive Healthcare Corp")</f>
        <v>Definitive Healthcare Corp</v>
      </c>
      <c r="E187" s="30" t="s">
        <v>1532</v>
      </c>
      <c r="F187" s="33" t="str">
        <f>IFERROR(__xludf.DUMMYFUNCTION("( (GOOGLEFINANCE(C187, ""price"") - Q187) / Q187 ) / (R187 / 100)"),"Loading...")</f>
        <v>Loading...</v>
      </c>
      <c r="G187" s="20" t="str">
        <f>IFERROR(__xludf.DUMMYFUNCTION("AVERAGE(ARRAYFORMULA(100 * (QUERY(GOOGLEFINANCE(C187, ""high"", TODAY()-40, TODAY()), ""SELECT Col2 WHERE Col2 IS NOT NULL ORDER BY Col1 DESC LIMIT 20"", 0) / QUERY(GOOGLEFINANCE(C187, ""low"", TODAY()-40, TODAY()), ""SELECT Col2 WHERE Col2 IS NOT NULL OR"&amp;"DER BY Col1 DESC LIMIT 20"", 0) - 1)))"),"#N/A")</f>
        <v>#N/A</v>
      </c>
      <c r="H187" s="35" t="str">
        <f t="shared" si="118"/>
        <v/>
      </c>
      <c r="I187" s="36" t="str">
        <f t="shared" si="7"/>
        <v/>
      </c>
      <c r="J187" s="37" t="str">
        <f>IFERROR(__xludf.DUMMYFUNCTION("IFERROR(
  IF(C187="""",, 
    IFERROR(
      GOOGLEFINANCE(C187, ""price"") * GOOGLEFINANCE(C187, ""volumeavg""), 
      GOOGLEFINANCE(C187, ""price"") * AVERAGE(QUERY(GOOGLEFINANCE(C187, ""volume"", TODAY()-40, TODAY()), ""SELECT Col2 WHERE Col2 IS NOT "&amp;"NULL ORDER BY Col1 DESC LIMIT 20"", 0))
    )
  ), 
"""")"),"")</f>
        <v/>
      </c>
      <c r="K187" s="21" t="str">
        <f>IFERROR(__xludf.DUMMYFUNCTION("IFERROR(GOOGLEFINANCE(C187, ""changepct"") / 100, """")"),"")</f>
        <v/>
      </c>
      <c r="L187" s="21" t="str">
        <f>IFERROR(__xludf.DUMMYFUNCTION("IFERROR((GOOGLEFINANCE(C187, ""price"") / INDEX(GOOGLEFINANCE(C187, ""price"", TODAY()-7, TODAY()), 2, 2)) - 1, """")"),"")</f>
        <v/>
      </c>
      <c r="M187" s="21" t="str">
        <f>IFERROR(__xludf.DUMMYFUNCTION("IFERROR((GOOGLEFINANCE(C187, ""price"") / INDEX(GOOGLEFINANCE(C187, ""price"", EDATE(TODAY(), -1), TODAY()), 2, 2)) - 1, """")"),"")</f>
        <v/>
      </c>
      <c r="N187" s="21" t="str">
        <f>IFERROR(__xludf.DUMMYFUNCTION("IFERROR((GOOGLEFINANCE(C187, ""price"") / INDEX(GOOGLEFINANCE(C187, ""price"", EDATE(TODAY(), -3), TODAY()), 2, 2)) - 1, """")"),"")</f>
        <v/>
      </c>
      <c r="O187" s="21" t="str">
        <f>IFERROR(__xludf.DUMMYFUNCTION("IFERROR((GOOGLEFINANCE(C187, ""price"") / INDEX(GOOGLEFINANCE(C187, ""price"", EDATE(TODAY(), -6), TODAY()), 2, 2)) - 1, """")"),"")</f>
        <v/>
      </c>
      <c r="P187" s="21" t="str">
        <f>IFERROR(__xludf.DUMMYFUNCTION("IFERROR((GOOGLEFINANCE(C187, ""price"") / INDEX(GOOGLEFINANCE(C187, ""price"", EDATE(TODAY(), -12), TODAY()), 2, 2)) - 1, """")"),"")</f>
        <v/>
      </c>
      <c r="Q187" s="6" t="str">
        <f>IFERROR(__xludf.DUMMYFUNCTION("AVERAGE(QUERY(GOOGLEFINANCE(C187, ""price"", TODAY()-80, TODAY()), ""SELECT Col2 WHERE Col2 IS NOT NULL ORDER BY Col1 DESC LIMIT 50"", 0))"),"#N/A")</f>
        <v>#N/A</v>
      </c>
      <c r="R187" s="24" t="str">
        <f>IFERROR(__xludf.DUMMYFUNCTION("IFERROR(
  LET(
    data, QUERY(GOOGLEFINANCE(C187,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GOOGLEFINANCE(C187, ""price"")) * 100,
    IF(calc=0, G187, calc)
  ), 
G187)"),"#N/A")</f>
        <v>#N/A</v>
      </c>
      <c r="S187" s="8" t="s">
        <v>15</v>
      </c>
      <c r="T187" s="26" t="str">
        <f>IFERROR(__xludf.DUMMYFUNCTION("IFERROR(TRANSPOSE(QUERY(IFERROR(SORT(GOOGLEFINANCE(C187, ""price"", WORKDAY(TODAY(), -40), TODAY()), 1, FALSE)), ""select Col2 where Col2 is not null limit 22 label Col2 ''"", 0)), """")"),"")</f>
        <v/>
      </c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8"/>
      <c r="AO187" s="28"/>
      <c r="AP187" s="29"/>
      <c r="AQ187" s="29" t="str">
        <f t="shared" ref="AQ187:BL187" si="191">T187/T$2</f>
        <v>#N/A</v>
      </c>
      <c r="AR187" s="29" t="str">
        <f t="shared" si="191"/>
        <v>#DIV/0!</v>
      </c>
      <c r="AS187" s="29" t="str">
        <f t="shared" si="191"/>
        <v>#DIV/0!</v>
      </c>
      <c r="AT187" s="29" t="str">
        <f t="shared" si="191"/>
        <v>#DIV/0!</v>
      </c>
      <c r="AU187" s="29" t="str">
        <f t="shared" si="191"/>
        <v>#DIV/0!</v>
      </c>
      <c r="AV187" s="29" t="str">
        <f t="shared" si="191"/>
        <v>#DIV/0!</v>
      </c>
      <c r="AW187" s="29" t="str">
        <f t="shared" si="191"/>
        <v>#DIV/0!</v>
      </c>
      <c r="AX187" s="29" t="str">
        <f t="shared" si="191"/>
        <v>#DIV/0!</v>
      </c>
      <c r="AY187" s="29" t="str">
        <f t="shared" si="191"/>
        <v>#DIV/0!</v>
      </c>
      <c r="AZ187" s="29" t="str">
        <f t="shared" si="191"/>
        <v>#DIV/0!</v>
      </c>
      <c r="BA187" s="29" t="str">
        <f t="shared" si="191"/>
        <v>#DIV/0!</v>
      </c>
      <c r="BB187" s="29" t="str">
        <f t="shared" si="191"/>
        <v>#DIV/0!</v>
      </c>
      <c r="BC187" s="29" t="str">
        <f t="shared" si="191"/>
        <v>#DIV/0!</v>
      </c>
      <c r="BD187" s="29" t="str">
        <f t="shared" si="191"/>
        <v>#DIV/0!</v>
      </c>
      <c r="BE187" s="29" t="str">
        <f t="shared" si="191"/>
        <v>#DIV/0!</v>
      </c>
      <c r="BF187" s="29" t="str">
        <f t="shared" si="191"/>
        <v>#DIV/0!</v>
      </c>
      <c r="BG187" s="29" t="str">
        <f t="shared" si="191"/>
        <v>#DIV/0!</v>
      </c>
      <c r="BH187" s="29" t="str">
        <f t="shared" si="191"/>
        <v>#DIV/0!</v>
      </c>
      <c r="BI187" s="29" t="str">
        <f t="shared" si="191"/>
        <v>#DIV/0!</v>
      </c>
      <c r="BJ187" s="29" t="str">
        <f t="shared" si="191"/>
        <v>#DIV/0!</v>
      </c>
      <c r="BK187" s="29" t="str">
        <f t="shared" si="191"/>
        <v>#DIV/0!</v>
      </c>
      <c r="BL187" s="29" t="str">
        <f t="shared" si="191"/>
        <v>#DIV/0!</v>
      </c>
      <c r="BM187" s="29" t="str">
        <f t="shared" si="3"/>
        <v>#DIV/0!</v>
      </c>
    </row>
    <row r="188">
      <c r="A188" s="16" t="str">
        <f>IFERROR(__xludf.DUMMYFUNCTION("IFERROR(SPARKLINE(SORT(MAP(TRANSPOSE(AQ188:BL188), LAMBDA(val, IF(ISNUMBER(val), PERCENTRANK(AQ188:BL188, val)+0.01, 0))), SEQUENCE(COLUMNS(AQ188:BL188)), FALSE), {""charttype"",""column""; ""color"",""chartreuse""; ""ymin"", 0; ""ymax"", 1.01; ""highcolo"&amp;"r"", ""darkgreen""; ""lowcolor"", ""red""}), """")"),"")</f>
        <v/>
      </c>
      <c r="B188" s="17" t="str">
        <f t="shared" si="4"/>
        <v/>
      </c>
      <c r="C188" s="1" t="s">
        <v>2173</v>
      </c>
      <c r="D188" s="30" t="str">
        <f>IFERROR(__xludf.DUMMYFUNCTION("IFERROR(GOOGLEFINANCE(C188, ""NAME""))"),"Veeva Systems Inc")</f>
        <v>Veeva Systems Inc</v>
      </c>
      <c r="E188" s="30" t="s">
        <v>1532</v>
      </c>
      <c r="F188" s="33" t="str">
        <f>IFERROR(__xludf.DUMMYFUNCTION("( (GOOGLEFINANCE(C188, ""price"") - Q188) / Q188 ) / (R188 / 100)"),"Loading...")</f>
        <v>Loading...</v>
      </c>
      <c r="G188" s="20" t="str">
        <f>IFERROR(__xludf.DUMMYFUNCTION("AVERAGE(ARRAYFORMULA(100 * (QUERY(GOOGLEFINANCE(C188, ""high"", TODAY()-40, TODAY()), ""SELECT Col2 WHERE Col2 IS NOT NULL ORDER BY Col1 DESC LIMIT 20"", 0) / QUERY(GOOGLEFINANCE(C188, ""low"", TODAY()-40, TODAY()), ""SELECT Col2 WHERE Col2 IS NOT NULL OR"&amp;"DER BY Col1 DESC LIMIT 20"", 0) - 1)))"),"#N/A")</f>
        <v>#N/A</v>
      </c>
      <c r="H188" s="35" t="str">
        <f t="shared" si="118"/>
        <v/>
      </c>
      <c r="I188" s="36" t="str">
        <f t="shared" si="7"/>
        <v/>
      </c>
      <c r="J188" s="37" t="str">
        <f>IFERROR(__xludf.DUMMYFUNCTION("IFERROR(
  IF(C188="""",, 
    IFERROR(
      GOOGLEFINANCE(C188, ""price"") * GOOGLEFINANCE(C188, ""volumeavg""), 
      GOOGLEFINANCE(C188, ""price"") * AVERAGE(QUERY(GOOGLEFINANCE(C188, ""volume"", TODAY()-40, TODAY()), ""SELECT Col2 WHERE Col2 IS NOT "&amp;"NULL ORDER BY Col1 DESC LIMIT 20"", 0))
    )
  ), 
"""")"),"")</f>
        <v/>
      </c>
      <c r="K188" s="21" t="str">
        <f>IFERROR(__xludf.DUMMYFUNCTION("IFERROR(GOOGLEFINANCE(C188, ""changepct"") / 100, """")"),"")</f>
        <v/>
      </c>
      <c r="L188" s="21" t="str">
        <f>IFERROR(__xludf.DUMMYFUNCTION("IFERROR((GOOGLEFINANCE(C188, ""price"") / INDEX(GOOGLEFINANCE(C188, ""price"", TODAY()-7, TODAY()), 2, 2)) - 1, """")"),"")</f>
        <v/>
      </c>
      <c r="M188" s="21" t="str">
        <f>IFERROR(__xludf.DUMMYFUNCTION("IFERROR((GOOGLEFINANCE(C188, ""price"") / INDEX(GOOGLEFINANCE(C188, ""price"", EDATE(TODAY(), -1), TODAY()), 2, 2)) - 1, """")"),"")</f>
        <v/>
      </c>
      <c r="N188" s="21" t="str">
        <f>IFERROR(__xludf.DUMMYFUNCTION("IFERROR((GOOGLEFINANCE(C188, ""price"") / INDEX(GOOGLEFINANCE(C188, ""price"", EDATE(TODAY(), -3), TODAY()), 2, 2)) - 1, """")"),"")</f>
        <v/>
      </c>
      <c r="O188" s="21" t="str">
        <f>IFERROR(__xludf.DUMMYFUNCTION("IFERROR((GOOGLEFINANCE(C188, ""price"") / INDEX(GOOGLEFINANCE(C188, ""price"", EDATE(TODAY(), -6), TODAY()), 2, 2)) - 1, """")"),"")</f>
        <v/>
      </c>
      <c r="P188" s="21" t="str">
        <f>IFERROR(__xludf.DUMMYFUNCTION("IFERROR((GOOGLEFINANCE(C188, ""price"") / INDEX(GOOGLEFINANCE(C188, ""price"", EDATE(TODAY(), -12), TODAY()), 2, 2)) - 1, """")"),"")</f>
        <v/>
      </c>
      <c r="Q188" s="6" t="str">
        <f>IFERROR(__xludf.DUMMYFUNCTION("AVERAGE(QUERY(GOOGLEFINANCE(C188, ""price"", TODAY()-80, TODAY()), ""SELECT Col2 WHERE Col2 IS NOT NULL ORDER BY Col1 DESC LIMIT 50"", 0))"),"#N/A")</f>
        <v>#N/A</v>
      </c>
      <c r="R188" s="24" t="str">
        <f>IFERROR(__xludf.DUMMYFUNCTION("IFERROR(
  LET(
    data, QUERY(GOOGLEFINANCE(C188,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GOOGLEFINANCE(C188, ""price"")) * 100,
    IF(calc=0, G188, calc)
  ), 
G188)"),"#N/A")</f>
        <v>#N/A</v>
      </c>
      <c r="S188" s="8" t="s">
        <v>15</v>
      </c>
      <c r="T188" s="26" t="str">
        <f>IFERROR(__xludf.DUMMYFUNCTION("IFERROR(TRANSPOSE(QUERY(IFERROR(SORT(GOOGLEFINANCE(C188, ""price"", WORKDAY(TODAY(), -40), TODAY()), 1, FALSE)), ""select Col2 where Col2 is not null limit 22 label Col2 ''"", 0)), """")"),"")</f>
        <v/>
      </c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8"/>
      <c r="AO188" s="28"/>
      <c r="AP188" s="29"/>
      <c r="AQ188" s="29" t="str">
        <f t="shared" ref="AQ188:BL188" si="192">T188/T$2</f>
        <v>#N/A</v>
      </c>
      <c r="AR188" s="29" t="str">
        <f t="shared" si="192"/>
        <v>#DIV/0!</v>
      </c>
      <c r="AS188" s="29" t="str">
        <f t="shared" si="192"/>
        <v>#DIV/0!</v>
      </c>
      <c r="AT188" s="29" t="str">
        <f t="shared" si="192"/>
        <v>#DIV/0!</v>
      </c>
      <c r="AU188" s="29" t="str">
        <f t="shared" si="192"/>
        <v>#DIV/0!</v>
      </c>
      <c r="AV188" s="29" t="str">
        <f t="shared" si="192"/>
        <v>#DIV/0!</v>
      </c>
      <c r="AW188" s="29" t="str">
        <f t="shared" si="192"/>
        <v>#DIV/0!</v>
      </c>
      <c r="AX188" s="29" t="str">
        <f t="shared" si="192"/>
        <v>#DIV/0!</v>
      </c>
      <c r="AY188" s="29" t="str">
        <f t="shared" si="192"/>
        <v>#DIV/0!</v>
      </c>
      <c r="AZ188" s="29" t="str">
        <f t="shared" si="192"/>
        <v>#DIV/0!</v>
      </c>
      <c r="BA188" s="29" t="str">
        <f t="shared" si="192"/>
        <v>#DIV/0!</v>
      </c>
      <c r="BB188" s="29" t="str">
        <f t="shared" si="192"/>
        <v>#DIV/0!</v>
      </c>
      <c r="BC188" s="29" t="str">
        <f t="shared" si="192"/>
        <v>#DIV/0!</v>
      </c>
      <c r="BD188" s="29" t="str">
        <f t="shared" si="192"/>
        <v>#DIV/0!</v>
      </c>
      <c r="BE188" s="29" t="str">
        <f t="shared" si="192"/>
        <v>#DIV/0!</v>
      </c>
      <c r="BF188" s="29" t="str">
        <f t="shared" si="192"/>
        <v>#DIV/0!</v>
      </c>
      <c r="BG188" s="29" t="str">
        <f t="shared" si="192"/>
        <v>#DIV/0!</v>
      </c>
      <c r="BH188" s="29" t="str">
        <f t="shared" si="192"/>
        <v>#DIV/0!</v>
      </c>
      <c r="BI188" s="29" t="str">
        <f t="shared" si="192"/>
        <v>#DIV/0!</v>
      </c>
      <c r="BJ188" s="29" t="str">
        <f t="shared" si="192"/>
        <v>#DIV/0!</v>
      </c>
      <c r="BK188" s="29" t="str">
        <f t="shared" si="192"/>
        <v>#DIV/0!</v>
      </c>
      <c r="BL188" s="29" t="str">
        <f t="shared" si="192"/>
        <v>#DIV/0!</v>
      </c>
      <c r="BM188" s="29" t="str">
        <f t="shared" si="3"/>
        <v>#DIV/0!</v>
      </c>
    </row>
    <row r="189">
      <c r="A189" s="16" t="str">
        <f>IFERROR(__xludf.DUMMYFUNCTION("IFERROR(SPARKLINE(SORT(MAP(TRANSPOSE(AQ189:BL189), LAMBDA(val, IF(ISNUMBER(val), PERCENTRANK(AQ189:BL189, val)+0.01, 0))), SEQUENCE(COLUMNS(AQ189:BL189)), FALSE), {""charttype"",""column""; ""color"",""chartreuse""; ""ymin"", 0; ""ymax"", 1.01; ""highcolo"&amp;"r"", ""darkgreen""; ""lowcolor"", ""red""}), """")"),"")</f>
        <v/>
      </c>
      <c r="B189" s="17" t="str">
        <f t="shared" si="4"/>
        <v/>
      </c>
      <c r="C189" s="1" t="s">
        <v>2178</v>
      </c>
      <c r="D189" s="30" t="str">
        <f>IFERROR(__xludf.DUMMYFUNCTION("IFERROR(GOOGLEFINANCE(C189, ""NAME""))"),"Perrigo Company PLC")</f>
        <v>Perrigo Company PLC</v>
      </c>
      <c r="E189" s="30" t="s">
        <v>1475</v>
      </c>
      <c r="F189" s="33" t="str">
        <f>IFERROR(__xludf.DUMMYFUNCTION("( (GOOGLEFINANCE(C189, ""price"") - Q189) / Q189 ) / (R189 / 100)"),"Loading...")</f>
        <v>Loading...</v>
      </c>
      <c r="G189" s="20" t="str">
        <f>IFERROR(__xludf.DUMMYFUNCTION("AVERAGE(ARRAYFORMULA(100 * (QUERY(GOOGLEFINANCE(C189, ""high"", TODAY()-40, TODAY()), ""SELECT Col2 WHERE Col2 IS NOT NULL ORDER BY Col1 DESC LIMIT 20"", 0) / QUERY(GOOGLEFINANCE(C189, ""low"", TODAY()-40, TODAY()), ""SELECT Col2 WHERE Col2 IS NOT NULL OR"&amp;"DER BY Col1 DESC LIMIT 20"", 0) - 1)))"),"#N/A")</f>
        <v>#N/A</v>
      </c>
      <c r="H189" s="35" t="str">
        <f t="shared" si="118"/>
        <v/>
      </c>
      <c r="I189" s="36" t="str">
        <f t="shared" si="7"/>
        <v/>
      </c>
      <c r="J189" s="37" t="str">
        <f>IFERROR(__xludf.DUMMYFUNCTION("IFERROR(
  IF(C189="""",, 
    IFERROR(
      GOOGLEFINANCE(C189, ""price"") * GOOGLEFINANCE(C189, ""volumeavg""), 
      GOOGLEFINANCE(C189, ""price"") * AVERAGE(QUERY(GOOGLEFINANCE(C189, ""volume"", TODAY()-40, TODAY()), ""SELECT Col2 WHERE Col2 IS NOT "&amp;"NULL ORDER BY Col1 DESC LIMIT 20"", 0))
    )
  ), 
"""")"),"")</f>
        <v/>
      </c>
      <c r="K189" s="21" t="str">
        <f>IFERROR(__xludf.DUMMYFUNCTION("IFERROR(GOOGLEFINANCE(C189, ""changepct"") / 100, """")"),"")</f>
        <v/>
      </c>
      <c r="L189" s="21" t="str">
        <f>IFERROR(__xludf.DUMMYFUNCTION("IFERROR((GOOGLEFINANCE(C189, ""price"") / INDEX(GOOGLEFINANCE(C189, ""price"", TODAY()-7, TODAY()), 2, 2)) - 1, """")"),"")</f>
        <v/>
      </c>
      <c r="M189" s="21" t="str">
        <f>IFERROR(__xludf.DUMMYFUNCTION("IFERROR((GOOGLEFINANCE(C189, ""price"") / INDEX(GOOGLEFINANCE(C189, ""price"", EDATE(TODAY(), -1), TODAY()), 2, 2)) - 1, """")"),"")</f>
        <v/>
      </c>
      <c r="N189" s="21" t="str">
        <f>IFERROR(__xludf.DUMMYFUNCTION("IFERROR((GOOGLEFINANCE(C189, ""price"") / INDEX(GOOGLEFINANCE(C189, ""price"", EDATE(TODAY(), -3), TODAY()), 2, 2)) - 1, """")"),"")</f>
        <v/>
      </c>
      <c r="O189" s="21" t="str">
        <f>IFERROR(__xludf.DUMMYFUNCTION("IFERROR((GOOGLEFINANCE(C189, ""price"") / INDEX(GOOGLEFINANCE(C189, ""price"", EDATE(TODAY(), -6), TODAY()), 2, 2)) - 1, """")"),"")</f>
        <v/>
      </c>
      <c r="P189" s="21" t="str">
        <f>IFERROR(__xludf.DUMMYFUNCTION("IFERROR((GOOGLEFINANCE(C189, ""price"") / INDEX(GOOGLEFINANCE(C189, ""price"", EDATE(TODAY(), -12), TODAY()), 2, 2)) - 1, """")"),"")</f>
        <v/>
      </c>
      <c r="Q189" s="6" t="str">
        <f>IFERROR(__xludf.DUMMYFUNCTION("AVERAGE(QUERY(GOOGLEFINANCE(C189, ""price"", TODAY()-80, TODAY()), ""SELECT Col2 WHERE Col2 IS NOT NULL ORDER BY Col1 DESC LIMIT 50"", 0))"),"#N/A")</f>
        <v>#N/A</v>
      </c>
      <c r="R189" s="24" t="str">
        <f>IFERROR(__xludf.DUMMYFUNCTION("IFERROR(
  LET(
    data, QUERY(GOOGLEFINANCE(C189,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GOOGLEFINANCE(C189, ""price"")) * 100,
    IF(calc=0, G189, calc)
  ), 
G189)"),"#N/A")</f>
        <v>#N/A</v>
      </c>
      <c r="S189" s="8" t="s">
        <v>15</v>
      </c>
      <c r="T189" s="26" t="str">
        <f>IFERROR(__xludf.DUMMYFUNCTION("IFERROR(TRANSPOSE(QUERY(IFERROR(SORT(GOOGLEFINANCE(C189, ""price"", WORKDAY(TODAY(), -40), TODAY()), 1, FALSE)), ""select Col2 where Col2 is not null limit 22 label Col2 ''"", 0)), """")"),"")</f>
        <v/>
      </c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8"/>
      <c r="AO189" s="28"/>
      <c r="AP189" s="29"/>
      <c r="AQ189" s="29" t="str">
        <f t="shared" ref="AQ189:BL189" si="193">T189/T$2</f>
        <v>#N/A</v>
      </c>
      <c r="AR189" s="29" t="str">
        <f t="shared" si="193"/>
        <v>#DIV/0!</v>
      </c>
      <c r="AS189" s="29" t="str">
        <f t="shared" si="193"/>
        <v>#DIV/0!</v>
      </c>
      <c r="AT189" s="29" t="str">
        <f t="shared" si="193"/>
        <v>#DIV/0!</v>
      </c>
      <c r="AU189" s="29" t="str">
        <f t="shared" si="193"/>
        <v>#DIV/0!</v>
      </c>
      <c r="AV189" s="29" t="str">
        <f t="shared" si="193"/>
        <v>#DIV/0!</v>
      </c>
      <c r="AW189" s="29" t="str">
        <f t="shared" si="193"/>
        <v>#DIV/0!</v>
      </c>
      <c r="AX189" s="29" t="str">
        <f t="shared" si="193"/>
        <v>#DIV/0!</v>
      </c>
      <c r="AY189" s="29" t="str">
        <f t="shared" si="193"/>
        <v>#DIV/0!</v>
      </c>
      <c r="AZ189" s="29" t="str">
        <f t="shared" si="193"/>
        <v>#DIV/0!</v>
      </c>
      <c r="BA189" s="29" t="str">
        <f t="shared" si="193"/>
        <v>#DIV/0!</v>
      </c>
      <c r="BB189" s="29" t="str">
        <f t="shared" si="193"/>
        <v>#DIV/0!</v>
      </c>
      <c r="BC189" s="29" t="str">
        <f t="shared" si="193"/>
        <v>#DIV/0!</v>
      </c>
      <c r="BD189" s="29" t="str">
        <f t="shared" si="193"/>
        <v>#DIV/0!</v>
      </c>
      <c r="BE189" s="29" t="str">
        <f t="shared" si="193"/>
        <v>#DIV/0!</v>
      </c>
      <c r="BF189" s="29" t="str">
        <f t="shared" si="193"/>
        <v>#DIV/0!</v>
      </c>
      <c r="BG189" s="29" t="str">
        <f t="shared" si="193"/>
        <v>#DIV/0!</v>
      </c>
      <c r="BH189" s="29" t="str">
        <f t="shared" si="193"/>
        <v>#DIV/0!</v>
      </c>
      <c r="BI189" s="29" t="str">
        <f t="shared" si="193"/>
        <v>#DIV/0!</v>
      </c>
      <c r="BJ189" s="29" t="str">
        <f t="shared" si="193"/>
        <v>#DIV/0!</v>
      </c>
      <c r="BK189" s="29" t="str">
        <f t="shared" si="193"/>
        <v>#DIV/0!</v>
      </c>
      <c r="BL189" s="29" t="str">
        <f t="shared" si="193"/>
        <v>#DIV/0!</v>
      </c>
      <c r="BM189" s="29" t="str">
        <f t="shared" si="3"/>
        <v>#DIV/0!</v>
      </c>
    </row>
    <row r="190">
      <c r="A190" s="16" t="str">
        <f>IFERROR(__xludf.DUMMYFUNCTION("IFERROR(SPARKLINE(SORT(MAP(TRANSPOSE(AQ190:BL190), LAMBDA(val, IF(ISNUMBER(val), PERCENTRANK(AQ190:BL190, val)+0.01, 0))), SEQUENCE(COLUMNS(AQ190:BL190)), FALSE), {""charttype"",""column""; ""color"",""chartreuse""; ""ymin"", 0; ""ymax"", 1.01; ""highcolo"&amp;"r"", ""darkgreen""; ""lowcolor"", ""red""}), """")"),"")</f>
        <v/>
      </c>
      <c r="B190" s="17" t="str">
        <f t="shared" si="4"/>
        <v/>
      </c>
      <c r="C190" s="1" t="s">
        <v>2182</v>
      </c>
      <c r="D190" s="30" t="str">
        <f>IFERROR(__xludf.DUMMYFUNCTION("IFERROR(GOOGLEFINANCE(C190, ""NAME""))"),"")</f>
        <v/>
      </c>
      <c r="E190" s="30" t="s">
        <v>1491</v>
      </c>
      <c r="F190" s="33" t="str">
        <f>IFERROR(__xludf.DUMMYFUNCTION("( (GOOGLEFINANCE(C190, ""price"") - Q190) / Q190 ) / (R190 / 100)"),"Loading...")</f>
        <v>Loading...</v>
      </c>
      <c r="G190" s="20" t="str">
        <f>IFERROR(__xludf.DUMMYFUNCTION("AVERAGE(ARRAYFORMULA(100 * (QUERY(GOOGLEFINANCE(C190, ""high"", TODAY()-40, TODAY()), ""SELECT Col2 WHERE Col2 IS NOT NULL ORDER BY Col1 DESC LIMIT 20"", 0) / QUERY(GOOGLEFINANCE(C190, ""low"", TODAY()-40, TODAY()), ""SELECT Col2 WHERE Col2 IS NOT NULL OR"&amp;"DER BY Col1 DESC LIMIT 20"", 0) - 1)))"),"#N/A")</f>
        <v>#N/A</v>
      </c>
      <c r="H190" s="35" t="str">
        <f t="shared" si="118"/>
        <v/>
      </c>
      <c r="I190" s="36" t="str">
        <f t="shared" si="7"/>
        <v/>
      </c>
      <c r="J190" s="37" t="str">
        <f>IFERROR(__xludf.DUMMYFUNCTION("IFERROR(
  IF(C190="""",, 
    IFERROR(
      GOOGLEFINANCE(C190, ""price"") * GOOGLEFINANCE(C190, ""volumeavg""), 
      GOOGLEFINANCE(C190, ""price"") * AVERAGE(QUERY(GOOGLEFINANCE(C190, ""volume"", TODAY()-40, TODAY()), ""SELECT Col2 WHERE Col2 IS NOT "&amp;"NULL ORDER BY Col1 DESC LIMIT 20"", 0))
    )
  ), 
"""")"),"")</f>
        <v/>
      </c>
      <c r="K190" s="21" t="str">
        <f>IFERROR(__xludf.DUMMYFUNCTION("IFERROR(GOOGLEFINANCE(C190, ""changepct"") / 100, """")"),"")</f>
        <v/>
      </c>
      <c r="L190" s="21" t="str">
        <f>IFERROR(__xludf.DUMMYFUNCTION("IFERROR((GOOGLEFINANCE(C190, ""price"") / INDEX(GOOGLEFINANCE(C190, ""price"", TODAY()-7, TODAY()), 2, 2)) - 1, """")"),"")</f>
        <v/>
      </c>
      <c r="M190" s="21" t="str">
        <f>IFERROR(__xludf.DUMMYFUNCTION("IFERROR((GOOGLEFINANCE(C190, ""price"") / INDEX(GOOGLEFINANCE(C190, ""price"", EDATE(TODAY(), -1), TODAY()), 2, 2)) - 1, """")"),"")</f>
        <v/>
      </c>
      <c r="N190" s="21" t="str">
        <f>IFERROR(__xludf.DUMMYFUNCTION("IFERROR((GOOGLEFINANCE(C190, ""price"") / INDEX(GOOGLEFINANCE(C190, ""price"", EDATE(TODAY(), -3), TODAY()), 2, 2)) - 1, """")"),"")</f>
        <v/>
      </c>
      <c r="O190" s="21" t="str">
        <f>IFERROR(__xludf.DUMMYFUNCTION("IFERROR((GOOGLEFINANCE(C190, ""price"") / INDEX(GOOGLEFINANCE(C190, ""price"", EDATE(TODAY(), -6), TODAY()), 2, 2)) - 1, """")"),"")</f>
        <v/>
      </c>
      <c r="P190" s="21" t="str">
        <f>IFERROR(__xludf.DUMMYFUNCTION("IFERROR((GOOGLEFINANCE(C190, ""price"") / INDEX(GOOGLEFINANCE(C190, ""price"", EDATE(TODAY(), -12), TODAY()), 2, 2)) - 1, """")"),"")</f>
        <v/>
      </c>
      <c r="Q190" s="6" t="str">
        <f>IFERROR(__xludf.DUMMYFUNCTION("AVERAGE(QUERY(GOOGLEFINANCE(C190, ""price"", TODAY()-80, TODAY()), ""SELECT Col2 WHERE Col2 IS NOT NULL ORDER BY Col1 DESC LIMIT 50"", 0))"),"#N/A")</f>
        <v>#N/A</v>
      </c>
      <c r="R190" s="24" t="str">
        <f>IFERROR(__xludf.DUMMYFUNCTION("IFERROR(
  LET(
    data, QUERY(GOOGLEFINANCE(C190,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GOOGLEFINANCE(C190, ""price"")) * 100,
    IF(calc=0, G190, calc)
  ), 
G190)"),"#N/A")</f>
        <v>#N/A</v>
      </c>
      <c r="S190" s="8" t="s">
        <v>15</v>
      </c>
      <c r="T190" s="26" t="str">
        <f>IFERROR(__xludf.DUMMYFUNCTION("IFERROR(TRANSPOSE(QUERY(IFERROR(SORT(GOOGLEFINANCE(C190, ""price"", WORKDAY(TODAY(), -40), TODAY()), 1, FALSE)), ""select Col2 where Col2 is not null limit 22 label Col2 ''"", 0)), """")"),"")</f>
        <v/>
      </c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8"/>
      <c r="AO190" s="28"/>
      <c r="AP190" s="29"/>
      <c r="AQ190" s="29" t="str">
        <f t="shared" ref="AQ190:BL190" si="194">T190/T$2</f>
        <v>#N/A</v>
      </c>
      <c r="AR190" s="29" t="str">
        <f t="shared" si="194"/>
        <v>#DIV/0!</v>
      </c>
      <c r="AS190" s="29" t="str">
        <f t="shared" si="194"/>
        <v>#DIV/0!</v>
      </c>
      <c r="AT190" s="29" t="str">
        <f t="shared" si="194"/>
        <v>#DIV/0!</v>
      </c>
      <c r="AU190" s="29" t="str">
        <f t="shared" si="194"/>
        <v>#DIV/0!</v>
      </c>
      <c r="AV190" s="29" t="str">
        <f t="shared" si="194"/>
        <v>#DIV/0!</v>
      </c>
      <c r="AW190" s="29" t="str">
        <f t="shared" si="194"/>
        <v>#DIV/0!</v>
      </c>
      <c r="AX190" s="29" t="str">
        <f t="shared" si="194"/>
        <v>#DIV/0!</v>
      </c>
      <c r="AY190" s="29" t="str">
        <f t="shared" si="194"/>
        <v>#DIV/0!</v>
      </c>
      <c r="AZ190" s="29" t="str">
        <f t="shared" si="194"/>
        <v>#DIV/0!</v>
      </c>
      <c r="BA190" s="29" t="str">
        <f t="shared" si="194"/>
        <v>#DIV/0!</v>
      </c>
      <c r="BB190" s="29" t="str">
        <f t="shared" si="194"/>
        <v>#DIV/0!</v>
      </c>
      <c r="BC190" s="29" t="str">
        <f t="shared" si="194"/>
        <v>#DIV/0!</v>
      </c>
      <c r="BD190" s="29" t="str">
        <f t="shared" si="194"/>
        <v>#DIV/0!</v>
      </c>
      <c r="BE190" s="29" t="str">
        <f t="shared" si="194"/>
        <v>#DIV/0!</v>
      </c>
      <c r="BF190" s="29" t="str">
        <f t="shared" si="194"/>
        <v>#DIV/0!</v>
      </c>
      <c r="BG190" s="29" t="str">
        <f t="shared" si="194"/>
        <v>#DIV/0!</v>
      </c>
      <c r="BH190" s="29" t="str">
        <f t="shared" si="194"/>
        <v>#DIV/0!</v>
      </c>
      <c r="BI190" s="29" t="str">
        <f t="shared" si="194"/>
        <v>#DIV/0!</v>
      </c>
      <c r="BJ190" s="29" t="str">
        <f t="shared" si="194"/>
        <v>#DIV/0!</v>
      </c>
      <c r="BK190" s="29" t="str">
        <f t="shared" si="194"/>
        <v>#DIV/0!</v>
      </c>
      <c r="BL190" s="29" t="str">
        <f t="shared" si="194"/>
        <v>#DIV/0!</v>
      </c>
      <c r="BM190" s="29" t="str">
        <f t="shared" si="3"/>
        <v>#DIV/0!</v>
      </c>
    </row>
    <row r="191">
      <c r="A191" s="16" t="str">
        <f>IFERROR(__xludf.DUMMYFUNCTION("IFERROR(SPARKLINE(SORT(MAP(TRANSPOSE(AQ191:BL191), LAMBDA(val, IF(ISNUMBER(val), PERCENTRANK(AQ191:BL191, val)+0.01, 0))), SEQUENCE(COLUMNS(AQ191:BL191)), FALSE), {""charttype"",""column""; ""color"",""chartreuse""; ""ymin"", 0; ""ymax"", 1.01; ""highcolo"&amp;"r"", ""darkgreen""; ""lowcolor"", ""red""}), """")"),"")</f>
        <v/>
      </c>
      <c r="B191" s="17" t="str">
        <f t="shared" si="4"/>
        <v/>
      </c>
      <c r="C191" s="1" t="s">
        <v>2185</v>
      </c>
      <c r="D191" s="30" t="str">
        <f>IFERROR(__xludf.DUMMYFUNCTION("IFERROR(GOOGLEFINANCE(C191, ""NAME""))"),"Sotera Health Co")</f>
        <v>Sotera Health Co</v>
      </c>
      <c r="E191" s="30" t="s">
        <v>1499</v>
      </c>
      <c r="F191" s="33" t="str">
        <f>IFERROR(__xludf.DUMMYFUNCTION("( (GOOGLEFINANCE(C191, ""price"") - Q191) / Q191 ) / (R191 / 100)"),"Loading...")</f>
        <v>Loading...</v>
      </c>
      <c r="G191" s="20" t="str">
        <f>IFERROR(__xludf.DUMMYFUNCTION("AVERAGE(ARRAYFORMULA(100 * (QUERY(GOOGLEFINANCE(C191, ""high"", TODAY()-40, TODAY()), ""SELECT Col2 WHERE Col2 IS NOT NULL ORDER BY Col1 DESC LIMIT 20"", 0) / QUERY(GOOGLEFINANCE(C191, ""low"", TODAY()-40, TODAY()), ""SELECT Col2 WHERE Col2 IS NOT NULL OR"&amp;"DER BY Col1 DESC LIMIT 20"", 0) - 1)))"),"#N/A")</f>
        <v>#N/A</v>
      </c>
      <c r="H191" s="35" t="str">
        <f t="shared" si="118"/>
        <v/>
      </c>
      <c r="I191" s="36" t="str">
        <f t="shared" si="7"/>
        <v/>
      </c>
      <c r="J191" s="37" t="str">
        <f>IFERROR(__xludf.DUMMYFUNCTION("IFERROR(
  IF(C191="""",, 
    IFERROR(
      GOOGLEFINANCE(C191, ""price"") * GOOGLEFINANCE(C191, ""volumeavg""), 
      GOOGLEFINANCE(C191, ""price"") * AVERAGE(QUERY(GOOGLEFINANCE(C191, ""volume"", TODAY()-40, TODAY()), ""SELECT Col2 WHERE Col2 IS NOT "&amp;"NULL ORDER BY Col1 DESC LIMIT 20"", 0))
    )
  ), 
"""")"),"")</f>
        <v/>
      </c>
      <c r="K191" s="21" t="str">
        <f>IFERROR(__xludf.DUMMYFUNCTION("IFERROR(GOOGLEFINANCE(C191, ""changepct"") / 100, """")"),"")</f>
        <v/>
      </c>
      <c r="L191" s="21" t="str">
        <f>IFERROR(__xludf.DUMMYFUNCTION("IFERROR((GOOGLEFINANCE(C191, ""price"") / INDEX(GOOGLEFINANCE(C191, ""price"", TODAY()-7, TODAY()), 2, 2)) - 1, """")"),"")</f>
        <v/>
      </c>
      <c r="M191" s="21" t="str">
        <f>IFERROR(__xludf.DUMMYFUNCTION("IFERROR((GOOGLEFINANCE(C191, ""price"") / INDEX(GOOGLEFINANCE(C191, ""price"", EDATE(TODAY(), -1), TODAY()), 2, 2)) - 1, """")"),"")</f>
        <v/>
      </c>
      <c r="N191" s="21" t="str">
        <f>IFERROR(__xludf.DUMMYFUNCTION("IFERROR((GOOGLEFINANCE(C191, ""price"") / INDEX(GOOGLEFINANCE(C191, ""price"", EDATE(TODAY(), -3), TODAY()), 2, 2)) - 1, """")"),"")</f>
        <v/>
      </c>
      <c r="O191" s="21" t="str">
        <f>IFERROR(__xludf.DUMMYFUNCTION("IFERROR((GOOGLEFINANCE(C191, ""price"") / INDEX(GOOGLEFINANCE(C191, ""price"", EDATE(TODAY(), -6), TODAY()), 2, 2)) - 1, """")"),"")</f>
        <v/>
      </c>
      <c r="P191" s="21" t="str">
        <f>IFERROR(__xludf.DUMMYFUNCTION("IFERROR((GOOGLEFINANCE(C191, ""price"") / INDEX(GOOGLEFINANCE(C191, ""price"", EDATE(TODAY(), -12), TODAY()), 2, 2)) - 1, """")"),"")</f>
        <v/>
      </c>
      <c r="Q191" s="6" t="str">
        <f>IFERROR(__xludf.DUMMYFUNCTION("AVERAGE(QUERY(GOOGLEFINANCE(C191, ""price"", TODAY()-80, TODAY()), ""SELECT Col2 WHERE Col2 IS NOT NULL ORDER BY Col1 DESC LIMIT 50"", 0))"),"#N/A")</f>
        <v>#N/A</v>
      </c>
      <c r="R191" s="24" t="str">
        <f>IFERROR(__xludf.DUMMYFUNCTION("IFERROR(
  LET(
    data, QUERY(GOOGLEFINANCE(C191,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GOOGLEFINANCE(C191, ""price"")) * 100,
    IF(calc=0, G191, calc)
  ), 
G191)"),"#N/A")</f>
        <v>#N/A</v>
      </c>
      <c r="S191" s="8" t="s">
        <v>15</v>
      </c>
      <c r="T191" s="26" t="str">
        <f>IFERROR(__xludf.DUMMYFUNCTION("IFERROR(TRANSPOSE(QUERY(IFERROR(SORT(GOOGLEFINANCE(C191, ""price"", WORKDAY(TODAY(), -40), TODAY()), 1, FALSE)), ""select Col2 where Col2 is not null limit 22 label Col2 ''"", 0)), """")"),"")</f>
        <v/>
      </c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8"/>
      <c r="AO191" s="28"/>
      <c r="AP191" s="29"/>
      <c r="AQ191" s="29" t="str">
        <f t="shared" ref="AQ191:BL191" si="195">T191/T$2</f>
        <v>#N/A</v>
      </c>
      <c r="AR191" s="29" t="str">
        <f t="shared" si="195"/>
        <v>#DIV/0!</v>
      </c>
      <c r="AS191" s="29" t="str">
        <f t="shared" si="195"/>
        <v>#DIV/0!</v>
      </c>
      <c r="AT191" s="29" t="str">
        <f t="shared" si="195"/>
        <v>#DIV/0!</v>
      </c>
      <c r="AU191" s="29" t="str">
        <f t="shared" si="195"/>
        <v>#DIV/0!</v>
      </c>
      <c r="AV191" s="29" t="str">
        <f t="shared" si="195"/>
        <v>#DIV/0!</v>
      </c>
      <c r="AW191" s="29" t="str">
        <f t="shared" si="195"/>
        <v>#DIV/0!</v>
      </c>
      <c r="AX191" s="29" t="str">
        <f t="shared" si="195"/>
        <v>#DIV/0!</v>
      </c>
      <c r="AY191" s="29" t="str">
        <f t="shared" si="195"/>
        <v>#DIV/0!</v>
      </c>
      <c r="AZ191" s="29" t="str">
        <f t="shared" si="195"/>
        <v>#DIV/0!</v>
      </c>
      <c r="BA191" s="29" t="str">
        <f t="shared" si="195"/>
        <v>#DIV/0!</v>
      </c>
      <c r="BB191" s="29" t="str">
        <f t="shared" si="195"/>
        <v>#DIV/0!</v>
      </c>
      <c r="BC191" s="29" t="str">
        <f t="shared" si="195"/>
        <v>#DIV/0!</v>
      </c>
      <c r="BD191" s="29" t="str">
        <f t="shared" si="195"/>
        <v>#DIV/0!</v>
      </c>
      <c r="BE191" s="29" t="str">
        <f t="shared" si="195"/>
        <v>#DIV/0!</v>
      </c>
      <c r="BF191" s="29" t="str">
        <f t="shared" si="195"/>
        <v>#DIV/0!</v>
      </c>
      <c r="BG191" s="29" t="str">
        <f t="shared" si="195"/>
        <v>#DIV/0!</v>
      </c>
      <c r="BH191" s="29" t="str">
        <f t="shared" si="195"/>
        <v>#DIV/0!</v>
      </c>
      <c r="BI191" s="29" t="str">
        <f t="shared" si="195"/>
        <v>#DIV/0!</v>
      </c>
      <c r="BJ191" s="29" t="str">
        <f t="shared" si="195"/>
        <v>#DIV/0!</v>
      </c>
      <c r="BK191" s="29" t="str">
        <f t="shared" si="195"/>
        <v>#DIV/0!</v>
      </c>
      <c r="BL191" s="29" t="str">
        <f t="shared" si="195"/>
        <v>#DIV/0!</v>
      </c>
      <c r="BM191" s="29" t="str">
        <f t="shared" si="3"/>
        <v>#DIV/0!</v>
      </c>
    </row>
    <row r="192">
      <c r="A192" s="16" t="str">
        <f>IFERROR(__xludf.DUMMYFUNCTION("IFERROR(SPARKLINE(SORT(MAP(TRANSPOSE(AQ192:BL192), LAMBDA(val, IF(ISNUMBER(val), PERCENTRANK(AQ192:BL192, val)+0.01, 0))), SEQUENCE(COLUMNS(AQ192:BL192)), FALSE), {""charttype"",""column""; ""color"",""chartreuse""; ""ymin"", 0; ""ymax"", 1.01; ""highcolo"&amp;"r"", ""darkgreen""; ""lowcolor"", ""red""}), """")"),"")</f>
        <v/>
      </c>
      <c r="B192" s="17" t="str">
        <f t="shared" si="4"/>
        <v/>
      </c>
      <c r="C192" s="1" t="s">
        <v>2189</v>
      </c>
      <c r="D192" s="30" t="str">
        <f>IFERROR(__xludf.DUMMYFUNCTION("IFERROR(GOOGLEFINANCE(C192, ""NAME""))"),"Evotec SE")</f>
        <v>Evotec SE</v>
      </c>
      <c r="E192" s="30" t="s">
        <v>1475</v>
      </c>
      <c r="F192" s="33" t="str">
        <f>IFERROR(__xludf.DUMMYFUNCTION("( (GOOGLEFINANCE(C192, ""price"") - Q192) / Q192 ) / (R192 / 100)"),"Loading...")</f>
        <v>Loading...</v>
      </c>
      <c r="G192" s="20" t="str">
        <f>IFERROR(__xludf.DUMMYFUNCTION("AVERAGE(ARRAYFORMULA(100 * (QUERY(GOOGLEFINANCE(C192, ""high"", TODAY()-40, TODAY()), ""SELECT Col2 WHERE Col2 IS NOT NULL ORDER BY Col1 DESC LIMIT 20"", 0) / QUERY(GOOGLEFINANCE(C192, ""low"", TODAY()-40, TODAY()), ""SELECT Col2 WHERE Col2 IS NOT NULL OR"&amp;"DER BY Col1 DESC LIMIT 20"", 0) - 1)))"),"#N/A")</f>
        <v>#N/A</v>
      </c>
      <c r="H192" s="35" t="str">
        <f t="shared" si="118"/>
        <v/>
      </c>
      <c r="I192" s="36" t="str">
        <f t="shared" si="7"/>
        <v/>
      </c>
      <c r="J192" s="37" t="str">
        <f>IFERROR(__xludf.DUMMYFUNCTION("IFERROR(
  IF(C192="""",, 
    IFERROR(
      GOOGLEFINANCE(C192, ""price"") * GOOGLEFINANCE(C192, ""volumeavg""), 
      GOOGLEFINANCE(C192, ""price"") * AVERAGE(QUERY(GOOGLEFINANCE(C192, ""volume"", TODAY()-40, TODAY()), ""SELECT Col2 WHERE Col2 IS NOT "&amp;"NULL ORDER BY Col1 DESC LIMIT 20"", 0))
    )
  ), 
"""")"),"")</f>
        <v/>
      </c>
      <c r="K192" s="21" t="str">
        <f>IFERROR(__xludf.DUMMYFUNCTION("IFERROR(GOOGLEFINANCE(C192, ""changepct"") / 100, """")"),"")</f>
        <v/>
      </c>
      <c r="L192" s="21" t="str">
        <f>IFERROR(__xludf.DUMMYFUNCTION("IFERROR((GOOGLEFINANCE(C192, ""price"") / INDEX(GOOGLEFINANCE(C192, ""price"", TODAY()-7, TODAY()), 2, 2)) - 1, """")"),"")</f>
        <v/>
      </c>
      <c r="M192" s="21" t="str">
        <f>IFERROR(__xludf.DUMMYFUNCTION("IFERROR((GOOGLEFINANCE(C192, ""price"") / INDEX(GOOGLEFINANCE(C192, ""price"", EDATE(TODAY(), -1), TODAY()), 2, 2)) - 1, """")"),"")</f>
        <v/>
      </c>
      <c r="N192" s="21" t="str">
        <f>IFERROR(__xludf.DUMMYFUNCTION("IFERROR((GOOGLEFINANCE(C192, ""price"") / INDEX(GOOGLEFINANCE(C192, ""price"", EDATE(TODAY(), -3), TODAY()), 2, 2)) - 1, """")"),"")</f>
        <v/>
      </c>
      <c r="O192" s="21" t="str">
        <f>IFERROR(__xludf.DUMMYFUNCTION("IFERROR((GOOGLEFINANCE(C192, ""price"") / INDEX(GOOGLEFINANCE(C192, ""price"", EDATE(TODAY(), -6), TODAY()), 2, 2)) - 1, """")"),"")</f>
        <v/>
      </c>
      <c r="P192" s="21" t="str">
        <f>IFERROR(__xludf.DUMMYFUNCTION("IFERROR((GOOGLEFINANCE(C192, ""price"") / INDEX(GOOGLEFINANCE(C192, ""price"", EDATE(TODAY(), -12), TODAY()), 2, 2)) - 1, """")"),"")</f>
        <v/>
      </c>
      <c r="Q192" s="6" t="str">
        <f>IFERROR(__xludf.DUMMYFUNCTION("AVERAGE(QUERY(GOOGLEFINANCE(C192, ""price"", TODAY()-80, TODAY()), ""SELECT Col2 WHERE Col2 IS NOT NULL ORDER BY Col1 DESC LIMIT 50"", 0))"),"#N/A")</f>
        <v>#N/A</v>
      </c>
      <c r="R192" s="24" t="str">
        <f>IFERROR(__xludf.DUMMYFUNCTION("IFERROR(
  LET(
    data, QUERY(GOOGLEFINANCE(C192,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GOOGLEFINANCE(C192, ""price"")) * 100,
    IF(calc=0, G192, calc)
  ), 
G192)"),"#N/A")</f>
        <v>#N/A</v>
      </c>
      <c r="S192" s="8" t="s">
        <v>15</v>
      </c>
      <c r="T192" s="26" t="str">
        <f>IFERROR(__xludf.DUMMYFUNCTION("IFERROR(TRANSPOSE(QUERY(IFERROR(SORT(GOOGLEFINANCE(C192, ""price"", WORKDAY(TODAY(), -40), TODAY()), 1, FALSE)), ""select Col2 where Col2 is not null limit 22 label Col2 ''"", 0)), """")"),"")</f>
        <v/>
      </c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8"/>
      <c r="AO192" s="28"/>
      <c r="AP192" s="29"/>
      <c r="AQ192" s="29" t="str">
        <f t="shared" ref="AQ192:BL192" si="196">T192/T$2</f>
        <v>#N/A</v>
      </c>
      <c r="AR192" s="29" t="str">
        <f t="shared" si="196"/>
        <v>#DIV/0!</v>
      </c>
      <c r="AS192" s="29" t="str">
        <f t="shared" si="196"/>
        <v>#DIV/0!</v>
      </c>
      <c r="AT192" s="29" t="str">
        <f t="shared" si="196"/>
        <v>#DIV/0!</v>
      </c>
      <c r="AU192" s="29" t="str">
        <f t="shared" si="196"/>
        <v>#DIV/0!</v>
      </c>
      <c r="AV192" s="29" t="str">
        <f t="shared" si="196"/>
        <v>#DIV/0!</v>
      </c>
      <c r="AW192" s="29" t="str">
        <f t="shared" si="196"/>
        <v>#DIV/0!</v>
      </c>
      <c r="AX192" s="29" t="str">
        <f t="shared" si="196"/>
        <v>#DIV/0!</v>
      </c>
      <c r="AY192" s="29" t="str">
        <f t="shared" si="196"/>
        <v>#DIV/0!</v>
      </c>
      <c r="AZ192" s="29" t="str">
        <f t="shared" si="196"/>
        <v>#DIV/0!</v>
      </c>
      <c r="BA192" s="29" t="str">
        <f t="shared" si="196"/>
        <v>#DIV/0!</v>
      </c>
      <c r="BB192" s="29" t="str">
        <f t="shared" si="196"/>
        <v>#DIV/0!</v>
      </c>
      <c r="BC192" s="29" t="str">
        <f t="shared" si="196"/>
        <v>#DIV/0!</v>
      </c>
      <c r="BD192" s="29" t="str">
        <f t="shared" si="196"/>
        <v>#DIV/0!</v>
      </c>
      <c r="BE192" s="29" t="str">
        <f t="shared" si="196"/>
        <v>#DIV/0!</v>
      </c>
      <c r="BF192" s="29" t="str">
        <f t="shared" si="196"/>
        <v>#DIV/0!</v>
      </c>
      <c r="BG192" s="29" t="str">
        <f t="shared" si="196"/>
        <v>#DIV/0!</v>
      </c>
      <c r="BH192" s="29" t="str">
        <f t="shared" si="196"/>
        <v>#DIV/0!</v>
      </c>
      <c r="BI192" s="29" t="str">
        <f t="shared" si="196"/>
        <v>#DIV/0!</v>
      </c>
      <c r="BJ192" s="29" t="str">
        <f t="shared" si="196"/>
        <v>#DIV/0!</v>
      </c>
      <c r="BK192" s="29" t="str">
        <f t="shared" si="196"/>
        <v>#DIV/0!</v>
      </c>
      <c r="BL192" s="29" t="str">
        <f t="shared" si="196"/>
        <v>#DIV/0!</v>
      </c>
      <c r="BM192" s="29" t="str">
        <f t="shared" si="3"/>
        <v>#DIV/0!</v>
      </c>
    </row>
    <row r="193">
      <c r="A193" s="16" t="str">
        <f>IFERROR(__xludf.DUMMYFUNCTION("IFERROR(SPARKLINE(SORT(MAP(TRANSPOSE(AQ193:BL193), LAMBDA(val, IF(ISNUMBER(val), PERCENTRANK(AQ193:BL193, val)+0.01, 0))), SEQUENCE(COLUMNS(AQ193:BL193)), FALSE), {""charttype"",""column""; ""color"",""chartreuse""; ""ymin"", 0; ""ymax"", 1.01; ""highcolo"&amp;"r"", ""darkgreen""; ""lowcolor"", ""red""}), """")"),"")</f>
        <v/>
      </c>
      <c r="B193" s="17" t="str">
        <f t="shared" si="4"/>
        <v/>
      </c>
      <c r="C193" s="1" t="s">
        <v>2193</v>
      </c>
      <c r="D193" s="30" t="str">
        <f>IFERROR(__xludf.DUMMYFUNCTION("IFERROR(GOOGLEFINANCE(C193, ""NAME""))"),"Twist Bioscience Corp")</f>
        <v>Twist Bioscience Corp</v>
      </c>
      <c r="E193" s="30" t="s">
        <v>1499</v>
      </c>
      <c r="F193" s="33" t="str">
        <f>IFERROR(__xludf.DUMMYFUNCTION("( (GOOGLEFINANCE(C193, ""price"") - Q193) / Q193 ) / (R193 / 100)"),"Loading...")</f>
        <v>Loading...</v>
      </c>
      <c r="G193" s="20" t="str">
        <f>IFERROR(__xludf.DUMMYFUNCTION("AVERAGE(ARRAYFORMULA(100 * (QUERY(GOOGLEFINANCE(C193, ""high"", TODAY()-40, TODAY()), ""SELECT Col2 WHERE Col2 IS NOT NULL ORDER BY Col1 DESC LIMIT 20"", 0) / QUERY(GOOGLEFINANCE(C193, ""low"", TODAY()-40, TODAY()), ""SELECT Col2 WHERE Col2 IS NOT NULL OR"&amp;"DER BY Col1 DESC LIMIT 20"", 0) - 1)))"),"#N/A")</f>
        <v>#N/A</v>
      </c>
      <c r="H193" s="35" t="str">
        <f t="shared" si="118"/>
        <v/>
      </c>
      <c r="I193" s="36" t="str">
        <f t="shared" si="7"/>
        <v/>
      </c>
      <c r="J193" s="37" t="str">
        <f>IFERROR(__xludf.DUMMYFUNCTION("IFERROR(
  IF(C193="""",, 
    IFERROR(
      GOOGLEFINANCE(C193, ""price"") * GOOGLEFINANCE(C193, ""volumeavg""), 
      GOOGLEFINANCE(C193, ""price"") * AVERAGE(QUERY(GOOGLEFINANCE(C193, ""volume"", TODAY()-40, TODAY()), ""SELECT Col2 WHERE Col2 IS NOT "&amp;"NULL ORDER BY Col1 DESC LIMIT 20"", 0))
    )
  ), 
"""")"),"")</f>
        <v/>
      </c>
      <c r="K193" s="21" t="str">
        <f>IFERROR(__xludf.DUMMYFUNCTION("IFERROR(GOOGLEFINANCE(C193, ""changepct"") / 100, """")"),"")</f>
        <v/>
      </c>
      <c r="L193" s="21" t="str">
        <f>IFERROR(__xludf.DUMMYFUNCTION("IFERROR((GOOGLEFINANCE(C193, ""price"") / INDEX(GOOGLEFINANCE(C193, ""price"", TODAY()-7, TODAY()), 2, 2)) - 1, """")"),"")</f>
        <v/>
      </c>
      <c r="M193" s="21" t="str">
        <f>IFERROR(__xludf.DUMMYFUNCTION("IFERROR((GOOGLEFINANCE(C193, ""price"") / INDEX(GOOGLEFINANCE(C193, ""price"", EDATE(TODAY(), -1), TODAY()), 2, 2)) - 1, """")"),"")</f>
        <v/>
      </c>
      <c r="N193" s="21" t="str">
        <f>IFERROR(__xludf.DUMMYFUNCTION("IFERROR((GOOGLEFINANCE(C193, ""price"") / INDEX(GOOGLEFINANCE(C193, ""price"", EDATE(TODAY(), -3), TODAY()), 2, 2)) - 1, """")"),"")</f>
        <v/>
      </c>
      <c r="O193" s="21" t="str">
        <f>IFERROR(__xludf.DUMMYFUNCTION("IFERROR((GOOGLEFINANCE(C193, ""price"") / INDEX(GOOGLEFINANCE(C193, ""price"", EDATE(TODAY(), -6), TODAY()), 2, 2)) - 1, """")"),"")</f>
        <v/>
      </c>
      <c r="P193" s="21" t="str">
        <f>IFERROR(__xludf.DUMMYFUNCTION("IFERROR((GOOGLEFINANCE(C193, ""price"") / INDEX(GOOGLEFINANCE(C193, ""price"", EDATE(TODAY(), -12), TODAY()), 2, 2)) - 1, """")"),"")</f>
        <v/>
      </c>
      <c r="Q193" s="6" t="str">
        <f>IFERROR(__xludf.DUMMYFUNCTION("AVERAGE(QUERY(GOOGLEFINANCE(C193, ""price"", TODAY()-80, TODAY()), ""SELECT Col2 WHERE Col2 IS NOT NULL ORDER BY Col1 DESC LIMIT 50"", 0))"),"#N/A")</f>
        <v>#N/A</v>
      </c>
      <c r="R193" s="24" t="str">
        <f>IFERROR(__xludf.DUMMYFUNCTION("IFERROR(
  LET(
    data, QUERY(GOOGLEFINANCE(C193,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GOOGLEFINANCE(C193, ""price"")) * 100,
    IF(calc=0, G193, calc)
  ), 
G193)"),"#N/A")</f>
        <v>#N/A</v>
      </c>
      <c r="S193" s="8" t="s">
        <v>15</v>
      </c>
      <c r="T193" s="26" t="str">
        <f>IFERROR(__xludf.DUMMYFUNCTION("IFERROR(TRANSPOSE(QUERY(IFERROR(SORT(GOOGLEFINANCE(C193, ""price"", WORKDAY(TODAY(), -40), TODAY()), 1, FALSE)), ""select Col2 where Col2 is not null limit 22 label Col2 ''"", 0)), """")"),"")</f>
        <v/>
      </c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8"/>
      <c r="AO193" s="28"/>
      <c r="AP193" s="29"/>
      <c r="AQ193" s="29" t="str">
        <f t="shared" ref="AQ193:BL193" si="197">T193/T$2</f>
        <v>#N/A</v>
      </c>
      <c r="AR193" s="29" t="str">
        <f t="shared" si="197"/>
        <v>#DIV/0!</v>
      </c>
      <c r="AS193" s="29" t="str">
        <f t="shared" si="197"/>
        <v>#DIV/0!</v>
      </c>
      <c r="AT193" s="29" t="str">
        <f t="shared" si="197"/>
        <v>#DIV/0!</v>
      </c>
      <c r="AU193" s="29" t="str">
        <f t="shared" si="197"/>
        <v>#DIV/0!</v>
      </c>
      <c r="AV193" s="29" t="str">
        <f t="shared" si="197"/>
        <v>#DIV/0!</v>
      </c>
      <c r="AW193" s="29" t="str">
        <f t="shared" si="197"/>
        <v>#DIV/0!</v>
      </c>
      <c r="AX193" s="29" t="str">
        <f t="shared" si="197"/>
        <v>#DIV/0!</v>
      </c>
      <c r="AY193" s="29" t="str">
        <f t="shared" si="197"/>
        <v>#DIV/0!</v>
      </c>
      <c r="AZ193" s="29" t="str">
        <f t="shared" si="197"/>
        <v>#DIV/0!</v>
      </c>
      <c r="BA193" s="29" t="str">
        <f t="shared" si="197"/>
        <v>#DIV/0!</v>
      </c>
      <c r="BB193" s="29" t="str">
        <f t="shared" si="197"/>
        <v>#DIV/0!</v>
      </c>
      <c r="BC193" s="29" t="str">
        <f t="shared" si="197"/>
        <v>#DIV/0!</v>
      </c>
      <c r="BD193" s="29" t="str">
        <f t="shared" si="197"/>
        <v>#DIV/0!</v>
      </c>
      <c r="BE193" s="29" t="str">
        <f t="shared" si="197"/>
        <v>#DIV/0!</v>
      </c>
      <c r="BF193" s="29" t="str">
        <f t="shared" si="197"/>
        <v>#DIV/0!</v>
      </c>
      <c r="BG193" s="29" t="str">
        <f t="shared" si="197"/>
        <v>#DIV/0!</v>
      </c>
      <c r="BH193" s="29" t="str">
        <f t="shared" si="197"/>
        <v>#DIV/0!</v>
      </c>
      <c r="BI193" s="29" t="str">
        <f t="shared" si="197"/>
        <v>#DIV/0!</v>
      </c>
      <c r="BJ193" s="29" t="str">
        <f t="shared" si="197"/>
        <v>#DIV/0!</v>
      </c>
      <c r="BK193" s="29" t="str">
        <f t="shared" si="197"/>
        <v>#DIV/0!</v>
      </c>
      <c r="BL193" s="29" t="str">
        <f t="shared" si="197"/>
        <v>#DIV/0!</v>
      </c>
      <c r="BM193" s="29" t="str">
        <f t="shared" si="3"/>
        <v>#DIV/0!</v>
      </c>
    </row>
    <row r="194">
      <c r="A194" s="16" t="str">
        <f>IFERROR(__xludf.DUMMYFUNCTION("IFERROR(SPARKLINE(SORT(MAP(TRANSPOSE(AQ194:BL194), LAMBDA(val, IF(ISNUMBER(val), PERCENTRANK(AQ194:BL194, val)+0.01, 0))), SEQUENCE(COLUMNS(AQ194:BL194)), FALSE), {""charttype"",""column""; ""color"",""chartreuse""; ""ymin"", 0; ""ymax"", 1.01; ""highcolo"&amp;"r"", ""darkgreen""; ""lowcolor"", ""red""}), """")"),"")</f>
        <v/>
      </c>
      <c r="B194" s="17" t="str">
        <f t="shared" si="4"/>
        <v/>
      </c>
      <c r="C194" s="1" t="s">
        <v>2196</v>
      </c>
      <c r="D194" s="30" t="str">
        <f>IFERROR(__xludf.DUMMYFUNCTION("IFERROR(GOOGLEFINANCE(C194, ""NAME""))"),"iRhythm Holdings, Inc")</f>
        <v>iRhythm Holdings, Inc</v>
      </c>
      <c r="E194" s="30" t="s">
        <v>1491</v>
      </c>
      <c r="F194" s="33" t="str">
        <f>IFERROR(__xludf.DUMMYFUNCTION("( (GOOGLEFINANCE(C194, ""price"") - Q194) / Q194 ) / (R194 / 100)"),"Loading...")</f>
        <v>Loading...</v>
      </c>
      <c r="G194" s="20" t="str">
        <f>IFERROR(__xludf.DUMMYFUNCTION("AVERAGE(ARRAYFORMULA(100 * (QUERY(GOOGLEFINANCE(C194, ""high"", TODAY()-40, TODAY()), ""SELECT Col2 WHERE Col2 IS NOT NULL ORDER BY Col1 DESC LIMIT 20"", 0) / QUERY(GOOGLEFINANCE(C194, ""low"", TODAY()-40, TODAY()), ""SELECT Col2 WHERE Col2 IS NOT NULL OR"&amp;"DER BY Col1 DESC LIMIT 20"", 0) - 1)))"),"#N/A")</f>
        <v>#N/A</v>
      </c>
      <c r="H194" s="35" t="str">
        <f t="shared" si="118"/>
        <v/>
      </c>
      <c r="I194" s="36" t="str">
        <f t="shared" si="7"/>
        <v/>
      </c>
      <c r="J194" s="37" t="str">
        <f>IFERROR(__xludf.DUMMYFUNCTION("IFERROR(
  IF(C194="""",, 
    IFERROR(
      GOOGLEFINANCE(C194, ""price"") * GOOGLEFINANCE(C194, ""volumeavg""), 
      GOOGLEFINANCE(C194, ""price"") * AVERAGE(QUERY(GOOGLEFINANCE(C194, ""volume"", TODAY()-40, TODAY()), ""SELECT Col2 WHERE Col2 IS NOT "&amp;"NULL ORDER BY Col1 DESC LIMIT 20"", 0))
    )
  ), 
"""")"),"")</f>
        <v/>
      </c>
      <c r="K194" s="21" t="str">
        <f>IFERROR(__xludf.DUMMYFUNCTION("IFERROR(GOOGLEFINANCE(C194, ""changepct"") / 100, """")"),"")</f>
        <v/>
      </c>
      <c r="L194" s="21" t="str">
        <f>IFERROR(__xludf.DUMMYFUNCTION("IFERROR((GOOGLEFINANCE(C194, ""price"") / INDEX(GOOGLEFINANCE(C194, ""price"", TODAY()-7, TODAY()), 2, 2)) - 1, """")"),"")</f>
        <v/>
      </c>
      <c r="M194" s="21" t="str">
        <f>IFERROR(__xludf.DUMMYFUNCTION("IFERROR((GOOGLEFINANCE(C194, ""price"") / INDEX(GOOGLEFINANCE(C194, ""price"", EDATE(TODAY(), -1), TODAY()), 2, 2)) - 1, """")"),"")</f>
        <v/>
      </c>
      <c r="N194" s="21" t="str">
        <f>IFERROR(__xludf.DUMMYFUNCTION("IFERROR((GOOGLEFINANCE(C194, ""price"") / INDEX(GOOGLEFINANCE(C194, ""price"", EDATE(TODAY(), -3), TODAY()), 2, 2)) - 1, """")"),"")</f>
        <v/>
      </c>
      <c r="O194" s="21" t="str">
        <f>IFERROR(__xludf.DUMMYFUNCTION("IFERROR((GOOGLEFINANCE(C194, ""price"") / INDEX(GOOGLEFINANCE(C194, ""price"", EDATE(TODAY(), -6), TODAY()), 2, 2)) - 1, """")"),"")</f>
        <v/>
      </c>
      <c r="P194" s="21" t="str">
        <f>IFERROR(__xludf.DUMMYFUNCTION("IFERROR((GOOGLEFINANCE(C194, ""price"") / INDEX(GOOGLEFINANCE(C194, ""price"", EDATE(TODAY(), -12), TODAY()), 2, 2)) - 1, """")"),"")</f>
        <v/>
      </c>
      <c r="Q194" s="6" t="str">
        <f>IFERROR(__xludf.DUMMYFUNCTION("AVERAGE(QUERY(GOOGLEFINANCE(C194, ""price"", TODAY()-80, TODAY()), ""SELECT Col2 WHERE Col2 IS NOT NULL ORDER BY Col1 DESC LIMIT 50"", 0))"),"#N/A")</f>
        <v>#N/A</v>
      </c>
      <c r="R194" s="24" t="str">
        <f>IFERROR(__xludf.DUMMYFUNCTION("IFERROR(
  LET(
    data, QUERY(GOOGLEFINANCE(C194,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GOOGLEFINANCE(C194, ""price"")) * 100,
    IF(calc=0, G194, calc)
  ), 
G194)"),"#N/A")</f>
        <v>#N/A</v>
      </c>
      <c r="S194" s="8" t="s">
        <v>15</v>
      </c>
      <c r="T194" s="26" t="str">
        <f>IFERROR(__xludf.DUMMYFUNCTION("IFERROR(TRANSPOSE(QUERY(IFERROR(SORT(GOOGLEFINANCE(C194, ""price"", WORKDAY(TODAY(), -40), TODAY()), 1, FALSE)), ""select Col2 where Col2 is not null limit 22 label Col2 ''"", 0)), """")"),"")</f>
        <v/>
      </c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8"/>
      <c r="AO194" s="28"/>
      <c r="AP194" s="29"/>
      <c r="AQ194" s="29" t="str">
        <f t="shared" ref="AQ194:BL194" si="198">T194/T$2</f>
        <v>#N/A</v>
      </c>
      <c r="AR194" s="29" t="str">
        <f t="shared" si="198"/>
        <v>#DIV/0!</v>
      </c>
      <c r="AS194" s="29" t="str">
        <f t="shared" si="198"/>
        <v>#DIV/0!</v>
      </c>
      <c r="AT194" s="29" t="str">
        <f t="shared" si="198"/>
        <v>#DIV/0!</v>
      </c>
      <c r="AU194" s="29" t="str">
        <f t="shared" si="198"/>
        <v>#DIV/0!</v>
      </c>
      <c r="AV194" s="29" t="str">
        <f t="shared" si="198"/>
        <v>#DIV/0!</v>
      </c>
      <c r="AW194" s="29" t="str">
        <f t="shared" si="198"/>
        <v>#DIV/0!</v>
      </c>
      <c r="AX194" s="29" t="str">
        <f t="shared" si="198"/>
        <v>#DIV/0!</v>
      </c>
      <c r="AY194" s="29" t="str">
        <f t="shared" si="198"/>
        <v>#DIV/0!</v>
      </c>
      <c r="AZ194" s="29" t="str">
        <f t="shared" si="198"/>
        <v>#DIV/0!</v>
      </c>
      <c r="BA194" s="29" t="str">
        <f t="shared" si="198"/>
        <v>#DIV/0!</v>
      </c>
      <c r="BB194" s="29" t="str">
        <f t="shared" si="198"/>
        <v>#DIV/0!</v>
      </c>
      <c r="BC194" s="29" t="str">
        <f t="shared" si="198"/>
        <v>#DIV/0!</v>
      </c>
      <c r="BD194" s="29" t="str">
        <f t="shared" si="198"/>
        <v>#DIV/0!</v>
      </c>
      <c r="BE194" s="29" t="str">
        <f t="shared" si="198"/>
        <v>#DIV/0!</v>
      </c>
      <c r="BF194" s="29" t="str">
        <f t="shared" si="198"/>
        <v>#DIV/0!</v>
      </c>
      <c r="BG194" s="29" t="str">
        <f t="shared" si="198"/>
        <v>#DIV/0!</v>
      </c>
      <c r="BH194" s="29" t="str">
        <f t="shared" si="198"/>
        <v>#DIV/0!</v>
      </c>
      <c r="BI194" s="29" t="str">
        <f t="shared" si="198"/>
        <v>#DIV/0!</v>
      </c>
      <c r="BJ194" s="29" t="str">
        <f t="shared" si="198"/>
        <v>#DIV/0!</v>
      </c>
      <c r="BK194" s="29" t="str">
        <f t="shared" si="198"/>
        <v>#DIV/0!</v>
      </c>
      <c r="BL194" s="29" t="str">
        <f t="shared" si="198"/>
        <v>#DIV/0!</v>
      </c>
      <c r="BM194" s="29" t="str">
        <f t="shared" si="3"/>
        <v>#DIV/0!</v>
      </c>
    </row>
    <row r="195">
      <c r="A195" s="16" t="str">
        <f>IFERROR(__xludf.DUMMYFUNCTION("IFERROR(SPARKLINE(SORT(MAP(TRANSPOSE(AQ195:BL195), LAMBDA(val, IF(ISNUMBER(val), PERCENTRANK(AQ195:BL195, val)+0.01, 0))), SEQUENCE(COLUMNS(AQ195:BL195)), FALSE), {""charttype"",""column""; ""color"",""chartreuse""; ""ymin"", 0; ""ymax"", 1.01; ""highcolo"&amp;"r"", ""darkgreen""; ""lowcolor"", ""red""}), """")"),"")</f>
        <v/>
      </c>
      <c r="B195" s="17" t="str">
        <f t="shared" si="4"/>
        <v/>
      </c>
      <c r="C195" s="1" t="s">
        <v>2200</v>
      </c>
      <c r="D195" s="30" t="str">
        <f>IFERROR(__xludf.DUMMYFUNCTION("IFERROR(GOOGLEFINANCE(C195, ""NAME""))"),"Iradimed Corp")</f>
        <v>Iradimed Corp</v>
      </c>
      <c r="E195" s="30" t="s">
        <v>1491</v>
      </c>
      <c r="F195" s="33" t="str">
        <f>IFERROR(__xludf.DUMMYFUNCTION("( (GOOGLEFINANCE(C195, ""price"") - Q195) / Q195 ) / (R195 / 100)"),"Loading...")</f>
        <v>Loading...</v>
      </c>
      <c r="G195" s="20" t="str">
        <f>IFERROR(__xludf.DUMMYFUNCTION("AVERAGE(ARRAYFORMULA(100 * (QUERY(GOOGLEFINANCE(C195, ""high"", TODAY()-40, TODAY()), ""SELECT Col2 WHERE Col2 IS NOT NULL ORDER BY Col1 DESC LIMIT 20"", 0) / QUERY(GOOGLEFINANCE(C195, ""low"", TODAY()-40, TODAY()), ""SELECT Col2 WHERE Col2 IS NOT NULL OR"&amp;"DER BY Col1 DESC LIMIT 20"", 0) - 1)))"),"#N/A")</f>
        <v>#N/A</v>
      </c>
      <c r="H195" s="35" t="str">
        <f t="shared" si="118"/>
        <v/>
      </c>
      <c r="I195" s="36" t="str">
        <f t="shared" si="7"/>
        <v/>
      </c>
      <c r="J195" s="37" t="str">
        <f>IFERROR(__xludf.DUMMYFUNCTION("IFERROR(
  IF(C195="""",, 
    IFERROR(
      GOOGLEFINANCE(C195, ""price"") * GOOGLEFINANCE(C195, ""volumeavg""), 
      GOOGLEFINANCE(C195, ""price"") * AVERAGE(QUERY(GOOGLEFINANCE(C195, ""volume"", TODAY()-40, TODAY()), ""SELECT Col2 WHERE Col2 IS NOT "&amp;"NULL ORDER BY Col1 DESC LIMIT 20"", 0))
    )
  ), 
"""")"),"")</f>
        <v/>
      </c>
      <c r="K195" s="21" t="str">
        <f>IFERROR(__xludf.DUMMYFUNCTION("IFERROR(GOOGLEFINANCE(C195, ""changepct"") / 100, """")"),"")</f>
        <v/>
      </c>
      <c r="L195" s="21" t="str">
        <f>IFERROR(__xludf.DUMMYFUNCTION("IFERROR((GOOGLEFINANCE(C195, ""price"") / INDEX(GOOGLEFINANCE(C195, ""price"", TODAY()-7, TODAY()), 2, 2)) - 1, """")"),"")</f>
        <v/>
      </c>
      <c r="M195" s="21" t="str">
        <f>IFERROR(__xludf.DUMMYFUNCTION("IFERROR((GOOGLEFINANCE(C195, ""price"") / INDEX(GOOGLEFINANCE(C195, ""price"", EDATE(TODAY(), -1), TODAY()), 2, 2)) - 1, """")"),"")</f>
        <v/>
      </c>
      <c r="N195" s="21" t="str">
        <f>IFERROR(__xludf.DUMMYFUNCTION("IFERROR((GOOGLEFINANCE(C195, ""price"") / INDEX(GOOGLEFINANCE(C195, ""price"", EDATE(TODAY(), -3), TODAY()), 2, 2)) - 1, """")"),"")</f>
        <v/>
      </c>
      <c r="O195" s="21" t="str">
        <f>IFERROR(__xludf.DUMMYFUNCTION("IFERROR((GOOGLEFINANCE(C195, ""price"") / INDEX(GOOGLEFINANCE(C195, ""price"", EDATE(TODAY(), -6), TODAY()), 2, 2)) - 1, """")"),"")</f>
        <v/>
      </c>
      <c r="P195" s="21" t="str">
        <f>IFERROR(__xludf.DUMMYFUNCTION("IFERROR((GOOGLEFINANCE(C195, ""price"") / INDEX(GOOGLEFINANCE(C195, ""price"", EDATE(TODAY(), -12), TODAY()), 2, 2)) - 1, """")"),"")</f>
        <v/>
      </c>
      <c r="Q195" s="6" t="str">
        <f>IFERROR(__xludf.DUMMYFUNCTION("AVERAGE(QUERY(GOOGLEFINANCE(C195, ""price"", TODAY()-80, TODAY()), ""SELECT Col2 WHERE Col2 IS NOT NULL ORDER BY Col1 DESC LIMIT 50"", 0))"),"#N/A")</f>
        <v>#N/A</v>
      </c>
      <c r="R195" s="24" t="str">
        <f>IFERROR(__xludf.DUMMYFUNCTION("IFERROR(
  LET(
    data, QUERY(GOOGLEFINANCE(C195,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GOOGLEFINANCE(C195, ""price"")) * 100,
    IF(calc=0, G195, calc)
  ), 
G195)"),"#N/A")</f>
        <v>#N/A</v>
      </c>
      <c r="S195" s="8" t="s">
        <v>15</v>
      </c>
      <c r="T195" s="26" t="str">
        <f>IFERROR(__xludf.DUMMYFUNCTION("IFERROR(TRANSPOSE(QUERY(IFERROR(SORT(GOOGLEFINANCE(C195, ""price"", WORKDAY(TODAY(), -40), TODAY()), 1, FALSE)), ""select Col2 where Col2 is not null limit 22 label Col2 ''"", 0)), """")"),"")</f>
        <v/>
      </c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8"/>
      <c r="AO195" s="28"/>
      <c r="AP195" s="29"/>
      <c r="AQ195" s="29" t="str">
        <f t="shared" ref="AQ195:BL195" si="199">T195/T$2</f>
        <v>#N/A</v>
      </c>
      <c r="AR195" s="29" t="str">
        <f t="shared" si="199"/>
        <v>#DIV/0!</v>
      </c>
      <c r="AS195" s="29" t="str">
        <f t="shared" si="199"/>
        <v>#DIV/0!</v>
      </c>
      <c r="AT195" s="29" t="str">
        <f t="shared" si="199"/>
        <v>#DIV/0!</v>
      </c>
      <c r="AU195" s="29" t="str">
        <f t="shared" si="199"/>
        <v>#DIV/0!</v>
      </c>
      <c r="AV195" s="29" t="str">
        <f t="shared" si="199"/>
        <v>#DIV/0!</v>
      </c>
      <c r="AW195" s="29" t="str">
        <f t="shared" si="199"/>
        <v>#DIV/0!</v>
      </c>
      <c r="AX195" s="29" t="str">
        <f t="shared" si="199"/>
        <v>#DIV/0!</v>
      </c>
      <c r="AY195" s="29" t="str">
        <f t="shared" si="199"/>
        <v>#DIV/0!</v>
      </c>
      <c r="AZ195" s="29" t="str">
        <f t="shared" si="199"/>
        <v>#DIV/0!</v>
      </c>
      <c r="BA195" s="29" t="str">
        <f t="shared" si="199"/>
        <v>#DIV/0!</v>
      </c>
      <c r="BB195" s="29" t="str">
        <f t="shared" si="199"/>
        <v>#DIV/0!</v>
      </c>
      <c r="BC195" s="29" t="str">
        <f t="shared" si="199"/>
        <v>#DIV/0!</v>
      </c>
      <c r="BD195" s="29" t="str">
        <f t="shared" si="199"/>
        <v>#DIV/0!</v>
      </c>
      <c r="BE195" s="29" t="str">
        <f t="shared" si="199"/>
        <v>#DIV/0!</v>
      </c>
      <c r="BF195" s="29" t="str">
        <f t="shared" si="199"/>
        <v>#DIV/0!</v>
      </c>
      <c r="BG195" s="29" t="str">
        <f t="shared" si="199"/>
        <v>#DIV/0!</v>
      </c>
      <c r="BH195" s="29" t="str">
        <f t="shared" si="199"/>
        <v>#DIV/0!</v>
      </c>
      <c r="BI195" s="29" t="str">
        <f t="shared" si="199"/>
        <v>#DIV/0!</v>
      </c>
      <c r="BJ195" s="29" t="str">
        <f t="shared" si="199"/>
        <v>#DIV/0!</v>
      </c>
      <c r="BK195" s="29" t="str">
        <f t="shared" si="199"/>
        <v>#DIV/0!</v>
      </c>
      <c r="BL195" s="29" t="str">
        <f t="shared" si="199"/>
        <v>#DIV/0!</v>
      </c>
      <c r="BM195" s="29" t="str">
        <f t="shared" si="3"/>
        <v>#DIV/0!</v>
      </c>
    </row>
    <row r="196">
      <c r="A196" s="16" t="str">
        <f>IFERROR(__xludf.DUMMYFUNCTION("IFERROR(SPARKLINE(SORT(MAP(TRANSPOSE(AQ196:BL196), LAMBDA(val, IF(ISNUMBER(val), PERCENTRANK(AQ196:BL196, val)+0.01, 0))), SEQUENCE(COLUMNS(AQ196:BL196)), FALSE), {""charttype"",""column""; ""color"",""chartreuse""; ""ymin"", 0; ""ymax"", 1.01; ""highcolo"&amp;"r"", ""darkgreen""; ""lowcolor"", ""red""}), """")"),"")</f>
        <v/>
      </c>
      <c r="B196" s="17" t="str">
        <f t="shared" si="4"/>
        <v/>
      </c>
      <c r="C196" s="1" t="s">
        <v>2204</v>
      </c>
      <c r="D196" s="30" t="str">
        <f>IFERROR(__xludf.DUMMYFUNCTION("IFERROR(GOOGLEFINANCE(C196, ""NAME""))"),"Neuropace Inc")</f>
        <v>Neuropace Inc</v>
      </c>
      <c r="E196" s="30" t="s">
        <v>1491</v>
      </c>
      <c r="F196" s="33" t="str">
        <f>IFERROR(__xludf.DUMMYFUNCTION("( (GOOGLEFINANCE(C196, ""price"") - Q196) / Q196 ) / (R196 / 100)"),"Loading...")</f>
        <v>Loading...</v>
      </c>
      <c r="G196" s="20" t="str">
        <f>IFERROR(__xludf.DUMMYFUNCTION("AVERAGE(ARRAYFORMULA(100 * (QUERY(GOOGLEFINANCE(C196, ""high"", TODAY()-40, TODAY()), ""SELECT Col2 WHERE Col2 IS NOT NULL ORDER BY Col1 DESC LIMIT 20"", 0) / QUERY(GOOGLEFINANCE(C196, ""low"", TODAY()-40, TODAY()), ""SELECT Col2 WHERE Col2 IS NOT NULL OR"&amp;"DER BY Col1 DESC LIMIT 20"", 0) - 1)))"),"#N/A")</f>
        <v>#N/A</v>
      </c>
      <c r="H196" s="35" t="str">
        <f t="shared" si="118"/>
        <v/>
      </c>
      <c r="I196" s="36" t="str">
        <f t="shared" si="7"/>
        <v/>
      </c>
      <c r="J196" s="37" t="str">
        <f>IFERROR(__xludf.DUMMYFUNCTION("IFERROR(
  IF(C196="""",, 
    IFERROR(
      GOOGLEFINANCE(C196, ""price"") * GOOGLEFINANCE(C196, ""volumeavg""), 
      GOOGLEFINANCE(C196, ""price"") * AVERAGE(QUERY(GOOGLEFINANCE(C196, ""volume"", TODAY()-40, TODAY()), ""SELECT Col2 WHERE Col2 IS NOT "&amp;"NULL ORDER BY Col1 DESC LIMIT 20"", 0))
    )
  ), 
"""")"),"")</f>
        <v/>
      </c>
      <c r="K196" s="21" t="str">
        <f>IFERROR(__xludf.DUMMYFUNCTION("IFERROR(GOOGLEFINANCE(C196, ""changepct"") / 100, """")"),"")</f>
        <v/>
      </c>
      <c r="L196" s="21" t="str">
        <f>IFERROR(__xludf.DUMMYFUNCTION("IFERROR((GOOGLEFINANCE(C196, ""price"") / INDEX(GOOGLEFINANCE(C196, ""price"", TODAY()-7, TODAY()), 2, 2)) - 1, """")"),"")</f>
        <v/>
      </c>
      <c r="M196" s="21" t="str">
        <f>IFERROR(__xludf.DUMMYFUNCTION("IFERROR((GOOGLEFINANCE(C196, ""price"") / INDEX(GOOGLEFINANCE(C196, ""price"", EDATE(TODAY(), -1), TODAY()), 2, 2)) - 1, """")"),"")</f>
        <v/>
      </c>
      <c r="N196" s="21" t="str">
        <f>IFERROR(__xludf.DUMMYFUNCTION("IFERROR((GOOGLEFINANCE(C196, ""price"") / INDEX(GOOGLEFINANCE(C196, ""price"", EDATE(TODAY(), -3), TODAY()), 2, 2)) - 1, """")"),"")</f>
        <v/>
      </c>
      <c r="O196" s="21" t="str">
        <f>IFERROR(__xludf.DUMMYFUNCTION("IFERROR((GOOGLEFINANCE(C196, ""price"") / INDEX(GOOGLEFINANCE(C196, ""price"", EDATE(TODAY(), -6), TODAY()), 2, 2)) - 1, """")"),"")</f>
        <v/>
      </c>
      <c r="P196" s="21" t="str">
        <f>IFERROR(__xludf.DUMMYFUNCTION("IFERROR((GOOGLEFINANCE(C196, ""price"") / INDEX(GOOGLEFINANCE(C196, ""price"", EDATE(TODAY(), -12), TODAY()), 2, 2)) - 1, """")"),"")</f>
        <v/>
      </c>
      <c r="Q196" s="6" t="str">
        <f>IFERROR(__xludf.DUMMYFUNCTION("AVERAGE(QUERY(GOOGLEFINANCE(C196, ""price"", TODAY()-80, TODAY()), ""SELECT Col2 WHERE Col2 IS NOT NULL ORDER BY Col1 DESC LIMIT 50"", 0))"),"#N/A")</f>
        <v>#N/A</v>
      </c>
      <c r="R196" s="24" t="str">
        <f>IFERROR(__xludf.DUMMYFUNCTION("IFERROR(
  LET(
    data, QUERY(GOOGLEFINANCE(C196,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GOOGLEFINANCE(C196, ""price"")) * 100,
    IF(calc=0, G196, calc)
  ), 
G196)"),"#N/A")</f>
        <v>#N/A</v>
      </c>
      <c r="S196" s="8" t="s">
        <v>15</v>
      </c>
      <c r="T196" s="26" t="str">
        <f>IFERROR(__xludf.DUMMYFUNCTION("IFERROR(TRANSPOSE(QUERY(IFERROR(SORT(GOOGLEFINANCE(C196, ""price"", WORKDAY(TODAY(), -40), TODAY()), 1, FALSE)), ""select Col2 where Col2 is not null limit 22 label Col2 ''"", 0)), """")"),"")</f>
        <v/>
      </c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8"/>
      <c r="AO196" s="28"/>
      <c r="AP196" s="29"/>
      <c r="AQ196" s="29" t="str">
        <f t="shared" ref="AQ196:BL196" si="200">T196/T$2</f>
        <v>#N/A</v>
      </c>
      <c r="AR196" s="29" t="str">
        <f t="shared" si="200"/>
        <v>#DIV/0!</v>
      </c>
      <c r="AS196" s="29" t="str">
        <f t="shared" si="200"/>
        <v>#DIV/0!</v>
      </c>
      <c r="AT196" s="29" t="str">
        <f t="shared" si="200"/>
        <v>#DIV/0!</v>
      </c>
      <c r="AU196" s="29" t="str">
        <f t="shared" si="200"/>
        <v>#DIV/0!</v>
      </c>
      <c r="AV196" s="29" t="str">
        <f t="shared" si="200"/>
        <v>#DIV/0!</v>
      </c>
      <c r="AW196" s="29" t="str">
        <f t="shared" si="200"/>
        <v>#DIV/0!</v>
      </c>
      <c r="AX196" s="29" t="str">
        <f t="shared" si="200"/>
        <v>#DIV/0!</v>
      </c>
      <c r="AY196" s="29" t="str">
        <f t="shared" si="200"/>
        <v>#DIV/0!</v>
      </c>
      <c r="AZ196" s="29" t="str">
        <f t="shared" si="200"/>
        <v>#DIV/0!</v>
      </c>
      <c r="BA196" s="29" t="str">
        <f t="shared" si="200"/>
        <v>#DIV/0!</v>
      </c>
      <c r="BB196" s="29" t="str">
        <f t="shared" si="200"/>
        <v>#DIV/0!</v>
      </c>
      <c r="BC196" s="29" t="str">
        <f t="shared" si="200"/>
        <v>#DIV/0!</v>
      </c>
      <c r="BD196" s="29" t="str">
        <f t="shared" si="200"/>
        <v>#DIV/0!</v>
      </c>
      <c r="BE196" s="29" t="str">
        <f t="shared" si="200"/>
        <v>#DIV/0!</v>
      </c>
      <c r="BF196" s="29" t="str">
        <f t="shared" si="200"/>
        <v>#DIV/0!</v>
      </c>
      <c r="BG196" s="29" t="str">
        <f t="shared" si="200"/>
        <v>#DIV/0!</v>
      </c>
      <c r="BH196" s="29" t="str">
        <f t="shared" si="200"/>
        <v>#DIV/0!</v>
      </c>
      <c r="BI196" s="29" t="str">
        <f t="shared" si="200"/>
        <v>#DIV/0!</v>
      </c>
      <c r="BJ196" s="29" t="str">
        <f t="shared" si="200"/>
        <v>#DIV/0!</v>
      </c>
      <c r="BK196" s="29" t="str">
        <f t="shared" si="200"/>
        <v>#DIV/0!</v>
      </c>
      <c r="BL196" s="29" t="str">
        <f t="shared" si="200"/>
        <v>#DIV/0!</v>
      </c>
      <c r="BM196" s="29" t="str">
        <f t="shared" si="3"/>
        <v>#DIV/0!</v>
      </c>
    </row>
    <row r="197">
      <c r="A197" s="16" t="str">
        <f>IFERROR(__xludf.DUMMYFUNCTION("IFERROR(SPARKLINE(SORT(MAP(TRANSPOSE(AQ197:BL197), LAMBDA(val, IF(ISNUMBER(val), PERCENTRANK(AQ197:BL197, val)+0.01, 0))), SEQUENCE(COLUMNS(AQ197:BL197)), FALSE), {""charttype"",""column""; ""color"",""chartreuse""; ""ymin"", 0; ""ymax"", 1.01; ""highcolo"&amp;"r"", ""darkgreen""; ""lowcolor"", ""red""}), """")"),"")</f>
        <v/>
      </c>
      <c r="B197" s="17" t="str">
        <f t="shared" si="4"/>
        <v/>
      </c>
      <c r="C197" s="1" t="s">
        <v>2208</v>
      </c>
      <c r="D197" s="30" t="str">
        <f>IFERROR(__xludf.DUMMYFUNCTION("IFERROR(GOOGLEFINANCE(C197, ""NAME""))"),"Beta Bionics Inc")</f>
        <v>Beta Bionics Inc</v>
      </c>
      <c r="E197" s="30" t="s">
        <v>1491</v>
      </c>
      <c r="F197" s="33" t="str">
        <f>IFERROR(__xludf.DUMMYFUNCTION("( (GOOGLEFINANCE(C197, ""price"") - Q197) / Q197 ) / (R197 / 100)"),"Loading...")</f>
        <v>Loading...</v>
      </c>
      <c r="G197" s="20" t="str">
        <f>IFERROR(__xludf.DUMMYFUNCTION("AVERAGE(ARRAYFORMULA(100 * (QUERY(GOOGLEFINANCE(C197, ""high"", TODAY()-40, TODAY()), ""SELECT Col2 WHERE Col2 IS NOT NULL ORDER BY Col1 DESC LIMIT 20"", 0) / QUERY(GOOGLEFINANCE(C197, ""low"", TODAY()-40, TODAY()), ""SELECT Col2 WHERE Col2 IS NOT NULL OR"&amp;"DER BY Col1 DESC LIMIT 20"", 0) - 1)))"),"#N/A")</f>
        <v>#N/A</v>
      </c>
      <c r="H197" s="35" t="str">
        <f t="shared" si="118"/>
        <v/>
      </c>
      <c r="I197" s="36" t="str">
        <f t="shared" si="7"/>
        <v/>
      </c>
      <c r="J197" s="37" t="str">
        <f>IFERROR(__xludf.DUMMYFUNCTION("IFERROR(
  IF(C197="""",, 
    IFERROR(
      GOOGLEFINANCE(C197, ""price"") * GOOGLEFINANCE(C197, ""volumeavg""), 
      GOOGLEFINANCE(C197, ""price"") * AVERAGE(QUERY(GOOGLEFINANCE(C197, ""volume"", TODAY()-40, TODAY()), ""SELECT Col2 WHERE Col2 IS NOT "&amp;"NULL ORDER BY Col1 DESC LIMIT 20"", 0))
    )
  ), 
"""")"),"")</f>
        <v/>
      </c>
      <c r="K197" s="21" t="str">
        <f>IFERROR(__xludf.DUMMYFUNCTION("IFERROR(GOOGLEFINANCE(C197, ""changepct"") / 100, """")"),"")</f>
        <v/>
      </c>
      <c r="L197" s="21" t="str">
        <f>IFERROR(__xludf.DUMMYFUNCTION("IFERROR((GOOGLEFINANCE(C197, ""price"") / INDEX(GOOGLEFINANCE(C197, ""price"", TODAY()-7, TODAY()), 2, 2)) - 1, """")"),"")</f>
        <v/>
      </c>
      <c r="M197" s="21" t="str">
        <f>IFERROR(__xludf.DUMMYFUNCTION("IFERROR((GOOGLEFINANCE(C197, ""price"") / INDEX(GOOGLEFINANCE(C197, ""price"", EDATE(TODAY(), -1), TODAY()), 2, 2)) - 1, """")"),"")</f>
        <v/>
      </c>
      <c r="N197" s="21" t="str">
        <f>IFERROR(__xludf.DUMMYFUNCTION("IFERROR((GOOGLEFINANCE(C197, ""price"") / INDEX(GOOGLEFINANCE(C197, ""price"", EDATE(TODAY(), -3), TODAY()), 2, 2)) - 1, """")"),"")</f>
        <v/>
      </c>
      <c r="O197" s="21" t="str">
        <f>IFERROR(__xludf.DUMMYFUNCTION("IFERROR((GOOGLEFINANCE(C197, ""price"") / INDEX(GOOGLEFINANCE(C197, ""price"", EDATE(TODAY(), -6), TODAY()), 2, 2)) - 1, """")"),"")</f>
        <v/>
      </c>
      <c r="P197" s="21" t="str">
        <f>IFERROR(__xludf.DUMMYFUNCTION("IFERROR((GOOGLEFINANCE(C197, ""price"") / INDEX(GOOGLEFINANCE(C197, ""price"", EDATE(TODAY(), -12), TODAY()), 2, 2)) - 1, """")"),"")</f>
        <v/>
      </c>
      <c r="Q197" s="6" t="str">
        <f>IFERROR(__xludf.DUMMYFUNCTION("AVERAGE(QUERY(GOOGLEFINANCE(C197, ""price"", TODAY()-80, TODAY()), ""SELECT Col2 WHERE Col2 IS NOT NULL ORDER BY Col1 DESC LIMIT 50"", 0))"),"#N/A")</f>
        <v>#N/A</v>
      </c>
      <c r="R197" s="24" t="str">
        <f>IFERROR(__xludf.DUMMYFUNCTION("IFERROR(
  LET(
    data, QUERY(GOOGLEFINANCE(C197,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GOOGLEFINANCE(C197, ""price"")) * 100,
    IF(calc=0, G197, calc)
  ), 
G197)"),"#N/A")</f>
        <v>#N/A</v>
      </c>
      <c r="S197" s="8" t="s">
        <v>15</v>
      </c>
      <c r="T197" s="26" t="str">
        <f>IFERROR(__xludf.DUMMYFUNCTION("IFERROR(TRANSPOSE(QUERY(IFERROR(SORT(GOOGLEFINANCE(C197, ""price"", WORKDAY(TODAY(), -40), TODAY()), 1, FALSE)), ""select Col2 where Col2 is not null limit 22 label Col2 ''"", 0)), """")"),"")</f>
        <v/>
      </c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8"/>
      <c r="AO197" s="28"/>
      <c r="AP197" s="29"/>
      <c r="AQ197" s="29" t="str">
        <f t="shared" ref="AQ197:BL197" si="201">T197/T$2</f>
        <v>#N/A</v>
      </c>
      <c r="AR197" s="29" t="str">
        <f t="shared" si="201"/>
        <v>#DIV/0!</v>
      </c>
      <c r="AS197" s="29" t="str">
        <f t="shared" si="201"/>
        <v>#DIV/0!</v>
      </c>
      <c r="AT197" s="29" t="str">
        <f t="shared" si="201"/>
        <v>#DIV/0!</v>
      </c>
      <c r="AU197" s="29" t="str">
        <f t="shared" si="201"/>
        <v>#DIV/0!</v>
      </c>
      <c r="AV197" s="29" t="str">
        <f t="shared" si="201"/>
        <v>#DIV/0!</v>
      </c>
      <c r="AW197" s="29" t="str">
        <f t="shared" si="201"/>
        <v>#DIV/0!</v>
      </c>
      <c r="AX197" s="29" t="str">
        <f t="shared" si="201"/>
        <v>#DIV/0!</v>
      </c>
      <c r="AY197" s="29" t="str">
        <f t="shared" si="201"/>
        <v>#DIV/0!</v>
      </c>
      <c r="AZ197" s="29" t="str">
        <f t="shared" si="201"/>
        <v>#DIV/0!</v>
      </c>
      <c r="BA197" s="29" t="str">
        <f t="shared" si="201"/>
        <v>#DIV/0!</v>
      </c>
      <c r="BB197" s="29" t="str">
        <f t="shared" si="201"/>
        <v>#DIV/0!</v>
      </c>
      <c r="BC197" s="29" t="str">
        <f t="shared" si="201"/>
        <v>#DIV/0!</v>
      </c>
      <c r="BD197" s="29" t="str">
        <f t="shared" si="201"/>
        <v>#DIV/0!</v>
      </c>
      <c r="BE197" s="29" t="str">
        <f t="shared" si="201"/>
        <v>#DIV/0!</v>
      </c>
      <c r="BF197" s="29" t="str">
        <f t="shared" si="201"/>
        <v>#DIV/0!</v>
      </c>
      <c r="BG197" s="29" t="str">
        <f t="shared" si="201"/>
        <v>#DIV/0!</v>
      </c>
      <c r="BH197" s="29" t="str">
        <f t="shared" si="201"/>
        <v>#DIV/0!</v>
      </c>
      <c r="BI197" s="29" t="str">
        <f t="shared" si="201"/>
        <v>#DIV/0!</v>
      </c>
      <c r="BJ197" s="29" t="str">
        <f t="shared" si="201"/>
        <v>#DIV/0!</v>
      </c>
      <c r="BK197" s="29" t="str">
        <f t="shared" si="201"/>
        <v>#DIV/0!</v>
      </c>
      <c r="BL197" s="29" t="str">
        <f t="shared" si="201"/>
        <v>#DIV/0!</v>
      </c>
      <c r="BM197" s="29" t="str">
        <f t="shared" si="3"/>
        <v>#DIV/0!</v>
      </c>
    </row>
    <row r="198">
      <c r="A198" s="16" t="str">
        <f>IFERROR(__xludf.DUMMYFUNCTION("IFERROR(SPARKLINE(SORT(MAP(TRANSPOSE(AQ198:BL198), LAMBDA(val, IF(ISNUMBER(val), PERCENTRANK(AQ198:BL198, val)+0.01, 0))), SEQUENCE(COLUMNS(AQ198:BL198)), FALSE), {""charttype"",""column""; ""color"",""chartreuse""; ""ymin"", 0; ""ymax"", 1.01; ""highcolo"&amp;"r"", ""darkgreen""; ""lowcolor"", ""red""}), """")"),"")</f>
        <v/>
      </c>
      <c r="B198" s="17" t="str">
        <f t="shared" si="4"/>
        <v/>
      </c>
      <c r="C198" s="1" t="s">
        <v>2212</v>
      </c>
      <c r="D198" s="30" t="str">
        <f>IFERROR(__xludf.DUMMYFUNCTION("IFERROR(GOOGLEFINANCE(C198, ""NAME""))"),"10X Genomics Inc")</f>
        <v>10X Genomics Inc</v>
      </c>
      <c r="E198" s="30" t="s">
        <v>1532</v>
      </c>
      <c r="F198" s="33" t="str">
        <f>IFERROR(__xludf.DUMMYFUNCTION("( (GOOGLEFINANCE(C198, ""price"") - Q198) / Q198 ) / (R198 / 100)"),"Loading...")</f>
        <v>Loading...</v>
      </c>
      <c r="G198" s="20" t="str">
        <f>IFERROR(__xludf.DUMMYFUNCTION("AVERAGE(ARRAYFORMULA(100 * (QUERY(GOOGLEFINANCE(C198, ""high"", TODAY()-40, TODAY()), ""SELECT Col2 WHERE Col2 IS NOT NULL ORDER BY Col1 DESC LIMIT 20"", 0) / QUERY(GOOGLEFINANCE(C198, ""low"", TODAY()-40, TODAY()), ""SELECT Col2 WHERE Col2 IS NOT NULL OR"&amp;"DER BY Col1 DESC LIMIT 20"", 0) - 1)))"),"#N/A")</f>
        <v>#N/A</v>
      </c>
      <c r="H198" s="35" t="str">
        <f t="shared" si="118"/>
        <v/>
      </c>
      <c r="I198" s="36" t="str">
        <f t="shared" si="7"/>
        <v/>
      </c>
      <c r="J198" s="37" t="str">
        <f>IFERROR(__xludf.DUMMYFUNCTION("IFERROR(
  IF(C198="""",, 
    IFERROR(
      GOOGLEFINANCE(C198, ""price"") * GOOGLEFINANCE(C198, ""volumeavg""), 
      GOOGLEFINANCE(C198, ""price"") * AVERAGE(QUERY(GOOGLEFINANCE(C198, ""volume"", TODAY()-40, TODAY()), ""SELECT Col2 WHERE Col2 IS NOT "&amp;"NULL ORDER BY Col1 DESC LIMIT 20"", 0))
    )
  ), 
"""")"),"")</f>
        <v/>
      </c>
      <c r="K198" s="21" t="str">
        <f>IFERROR(__xludf.DUMMYFUNCTION("IFERROR(GOOGLEFINANCE(C198, ""changepct"") / 100, """")"),"")</f>
        <v/>
      </c>
      <c r="L198" s="21" t="str">
        <f>IFERROR(__xludf.DUMMYFUNCTION("IFERROR((GOOGLEFINANCE(C198, ""price"") / INDEX(GOOGLEFINANCE(C198, ""price"", TODAY()-7, TODAY()), 2, 2)) - 1, """")"),"")</f>
        <v/>
      </c>
      <c r="M198" s="21" t="str">
        <f>IFERROR(__xludf.DUMMYFUNCTION("IFERROR((GOOGLEFINANCE(C198, ""price"") / INDEX(GOOGLEFINANCE(C198, ""price"", EDATE(TODAY(), -1), TODAY()), 2, 2)) - 1, """")"),"")</f>
        <v/>
      </c>
      <c r="N198" s="21" t="str">
        <f>IFERROR(__xludf.DUMMYFUNCTION("IFERROR((GOOGLEFINANCE(C198, ""price"") / INDEX(GOOGLEFINANCE(C198, ""price"", EDATE(TODAY(), -3), TODAY()), 2, 2)) - 1, """")"),"")</f>
        <v/>
      </c>
      <c r="O198" s="21" t="str">
        <f>IFERROR(__xludf.DUMMYFUNCTION("IFERROR((GOOGLEFINANCE(C198, ""price"") / INDEX(GOOGLEFINANCE(C198, ""price"", EDATE(TODAY(), -6), TODAY()), 2, 2)) - 1, """")"),"")</f>
        <v/>
      </c>
      <c r="P198" s="21" t="str">
        <f>IFERROR(__xludf.DUMMYFUNCTION("IFERROR((GOOGLEFINANCE(C198, ""price"") / INDEX(GOOGLEFINANCE(C198, ""price"", EDATE(TODAY(), -12), TODAY()), 2, 2)) - 1, """")"),"")</f>
        <v/>
      </c>
      <c r="Q198" s="6" t="str">
        <f>IFERROR(__xludf.DUMMYFUNCTION("AVERAGE(QUERY(GOOGLEFINANCE(C198, ""price"", TODAY()-80, TODAY()), ""SELECT Col2 WHERE Col2 IS NOT NULL ORDER BY Col1 DESC LIMIT 50"", 0))"),"#N/A")</f>
        <v>#N/A</v>
      </c>
      <c r="R198" s="24" t="str">
        <f>IFERROR(__xludf.DUMMYFUNCTION("IFERROR(
  LET(
    data, QUERY(GOOGLEFINANCE(C198,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GOOGLEFINANCE(C198, ""price"")) * 100,
    IF(calc=0, G198, calc)
  ), 
G198)"),"#N/A")</f>
        <v>#N/A</v>
      </c>
      <c r="S198" s="8" t="s">
        <v>15</v>
      </c>
      <c r="T198" s="26" t="str">
        <f>IFERROR(__xludf.DUMMYFUNCTION("IFERROR(TRANSPOSE(QUERY(IFERROR(SORT(GOOGLEFINANCE(C198, ""price"", WORKDAY(TODAY(), -40), TODAY()), 1, FALSE)), ""select Col2 where Col2 is not null limit 22 label Col2 ''"", 0)), """")"),"")</f>
        <v/>
      </c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8"/>
      <c r="AO198" s="28"/>
      <c r="AP198" s="29"/>
      <c r="AQ198" s="29" t="str">
        <f t="shared" ref="AQ198:BL198" si="202">T198/T$2</f>
        <v>#N/A</v>
      </c>
      <c r="AR198" s="29" t="str">
        <f t="shared" si="202"/>
        <v>#DIV/0!</v>
      </c>
      <c r="AS198" s="29" t="str">
        <f t="shared" si="202"/>
        <v>#DIV/0!</v>
      </c>
      <c r="AT198" s="29" t="str">
        <f t="shared" si="202"/>
        <v>#DIV/0!</v>
      </c>
      <c r="AU198" s="29" t="str">
        <f t="shared" si="202"/>
        <v>#DIV/0!</v>
      </c>
      <c r="AV198" s="29" t="str">
        <f t="shared" si="202"/>
        <v>#DIV/0!</v>
      </c>
      <c r="AW198" s="29" t="str">
        <f t="shared" si="202"/>
        <v>#DIV/0!</v>
      </c>
      <c r="AX198" s="29" t="str">
        <f t="shared" si="202"/>
        <v>#DIV/0!</v>
      </c>
      <c r="AY198" s="29" t="str">
        <f t="shared" si="202"/>
        <v>#DIV/0!</v>
      </c>
      <c r="AZ198" s="29" t="str">
        <f t="shared" si="202"/>
        <v>#DIV/0!</v>
      </c>
      <c r="BA198" s="29" t="str">
        <f t="shared" si="202"/>
        <v>#DIV/0!</v>
      </c>
      <c r="BB198" s="29" t="str">
        <f t="shared" si="202"/>
        <v>#DIV/0!</v>
      </c>
      <c r="BC198" s="29" t="str">
        <f t="shared" si="202"/>
        <v>#DIV/0!</v>
      </c>
      <c r="BD198" s="29" t="str">
        <f t="shared" si="202"/>
        <v>#DIV/0!</v>
      </c>
      <c r="BE198" s="29" t="str">
        <f t="shared" si="202"/>
        <v>#DIV/0!</v>
      </c>
      <c r="BF198" s="29" t="str">
        <f t="shared" si="202"/>
        <v>#DIV/0!</v>
      </c>
      <c r="BG198" s="29" t="str">
        <f t="shared" si="202"/>
        <v>#DIV/0!</v>
      </c>
      <c r="BH198" s="29" t="str">
        <f t="shared" si="202"/>
        <v>#DIV/0!</v>
      </c>
      <c r="BI198" s="29" t="str">
        <f t="shared" si="202"/>
        <v>#DIV/0!</v>
      </c>
      <c r="BJ198" s="29" t="str">
        <f t="shared" si="202"/>
        <v>#DIV/0!</v>
      </c>
      <c r="BK198" s="29" t="str">
        <f t="shared" si="202"/>
        <v>#DIV/0!</v>
      </c>
      <c r="BL198" s="29" t="str">
        <f t="shared" si="202"/>
        <v>#DIV/0!</v>
      </c>
      <c r="BM198" s="29" t="str">
        <f t="shared" si="3"/>
        <v>#DIV/0!</v>
      </c>
    </row>
    <row r="199">
      <c r="A199" s="16" t="str">
        <f>IFERROR(__xludf.DUMMYFUNCTION("IFERROR(SPARKLINE(SORT(MAP(TRANSPOSE(AQ199:BL199), LAMBDA(val, IF(ISNUMBER(val), PERCENTRANK(AQ199:BL199, val)+0.01, 0))), SEQUENCE(COLUMNS(AQ199:BL199)), FALSE), {""charttype"",""column""; ""color"",""chartreuse""; ""ymin"", 0; ""ymax"", 1.01; ""highcolo"&amp;"r"", ""darkgreen""; ""lowcolor"", ""red""}), """")"),"")</f>
        <v/>
      </c>
      <c r="B199" s="17" t="str">
        <f t="shared" si="4"/>
        <v/>
      </c>
      <c r="C199" s="1" t="s">
        <v>2215</v>
      </c>
      <c r="D199" s="30" t="str">
        <f>IFERROR(__xludf.DUMMYFUNCTION("IFERROR(GOOGLEFINANCE(C199, ""NAME""))"),"Merit Medical Systems Inc")</f>
        <v>Merit Medical Systems Inc</v>
      </c>
      <c r="E199" s="30" t="s">
        <v>1502</v>
      </c>
      <c r="F199" s="33" t="str">
        <f>IFERROR(__xludf.DUMMYFUNCTION("( (GOOGLEFINANCE(C199, ""price"") - Q199) / Q199 ) / (R199 / 100)"),"Loading...")</f>
        <v>Loading...</v>
      </c>
      <c r="G199" s="20" t="str">
        <f>IFERROR(__xludf.DUMMYFUNCTION("AVERAGE(ARRAYFORMULA(100 * (QUERY(GOOGLEFINANCE(C199, ""high"", TODAY()-40, TODAY()), ""SELECT Col2 WHERE Col2 IS NOT NULL ORDER BY Col1 DESC LIMIT 20"", 0) / QUERY(GOOGLEFINANCE(C199, ""low"", TODAY()-40, TODAY()), ""SELECT Col2 WHERE Col2 IS NOT NULL OR"&amp;"DER BY Col1 DESC LIMIT 20"", 0) - 1)))"),"#N/A")</f>
        <v>#N/A</v>
      </c>
      <c r="H199" s="35" t="str">
        <f t="shared" si="118"/>
        <v/>
      </c>
      <c r="I199" s="36" t="str">
        <f t="shared" si="7"/>
        <v/>
      </c>
      <c r="J199" s="37" t="str">
        <f>IFERROR(__xludf.DUMMYFUNCTION("IFERROR(
  IF(C199="""",, 
    IFERROR(
      GOOGLEFINANCE(C199, ""price"") * GOOGLEFINANCE(C199, ""volumeavg""), 
      GOOGLEFINANCE(C199, ""price"") * AVERAGE(QUERY(GOOGLEFINANCE(C199, ""volume"", TODAY()-40, TODAY()), ""SELECT Col2 WHERE Col2 IS NOT "&amp;"NULL ORDER BY Col1 DESC LIMIT 20"", 0))
    )
  ), 
"""")"),"")</f>
        <v/>
      </c>
      <c r="K199" s="21" t="str">
        <f>IFERROR(__xludf.DUMMYFUNCTION("IFERROR(GOOGLEFINANCE(C199, ""changepct"") / 100, """")"),"")</f>
        <v/>
      </c>
      <c r="L199" s="21" t="str">
        <f>IFERROR(__xludf.DUMMYFUNCTION("IFERROR((GOOGLEFINANCE(C199, ""price"") / INDEX(GOOGLEFINANCE(C199, ""price"", TODAY()-7, TODAY()), 2, 2)) - 1, """")"),"")</f>
        <v/>
      </c>
      <c r="M199" s="21" t="str">
        <f>IFERROR(__xludf.DUMMYFUNCTION("IFERROR((GOOGLEFINANCE(C199, ""price"") / INDEX(GOOGLEFINANCE(C199, ""price"", EDATE(TODAY(), -1), TODAY()), 2, 2)) - 1, """")"),"")</f>
        <v/>
      </c>
      <c r="N199" s="21" t="str">
        <f>IFERROR(__xludf.DUMMYFUNCTION("IFERROR((GOOGLEFINANCE(C199, ""price"") / INDEX(GOOGLEFINANCE(C199, ""price"", EDATE(TODAY(), -3), TODAY()), 2, 2)) - 1, """")"),"")</f>
        <v/>
      </c>
      <c r="O199" s="21" t="str">
        <f>IFERROR(__xludf.DUMMYFUNCTION("IFERROR((GOOGLEFINANCE(C199, ""price"") / INDEX(GOOGLEFINANCE(C199, ""price"", EDATE(TODAY(), -6), TODAY()), 2, 2)) - 1, """")"),"")</f>
        <v/>
      </c>
      <c r="P199" s="21" t="str">
        <f>IFERROR(__xludf.DUMMYFUNCTION("IFERROR((GOOGLEFINANCE(C199, ""price"") / INDEX(GOOGLEFINANCE(C199, ""price"", EDATE(TODAY(), -12), TODAY()), 2, 2)) - 1, """")"),"")</f>
        <v/>
      </c>
      <c r="Q199" s="6" t="str">
        <f>IFERROR(__xludf.DUMMYFUNCTION("AVERAGE(QUERY(GOOGLEFINANCE(C199, ""price"", TODAY()-80, TODAY()), ""SELECT Col2 WHERE Col2 IS NOT NULL ORDER BY Col1 DESC LIMIT 50"", 0))"),"#N/A")</f>
        <v>#N/A</v>
      </c>
      <c r="R199" s="24" t="str">
        <f>IFERROR(__xludf.DUMMYFUNCTION("IFERROR(
  LET(
    data, QUERY(GOOGLEFINANCE(C199,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GOOGLEFINANCE(C199, ""price"")) * 100,
    IF(calc=0, G199, calc)
  ), 
G199)"),"#N/A")</f>
        <v>#N/A</v>
      </c>
      <c r="S199" s="8" t="s">
        <v>15</v>
      </c>
      <c r="T199" s="26" t="str">
        <f>IFERROR(__xludf.DUMMYFUNCTION("IFERROR(TRANSPOSE(QUERY(IFERROR(SORT(GOOGLEFINANCE(C199, ""price"", WORKDAY(TODAY(), -40), TODAY()), 1, FALSE)), ""select Col2 where Col2 is not null limit 22 label Col2 ''"", 0)), """")"),"")</f>
        <v/>
      </c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8"/>
      <c r="AO199" s="28"/>
      <c r="AP199" s="29"/>
      <c r="AQ199" s="29" t="str">
        <f t="shared" ref="AQ199:BL199" si="203">T199/T$2</f>
        <v>#N/A</v>
      </c>
      <c r="AR199" s="29" t="str">
        <f t="shared" si="203"/>
        <v>#DIV/0!</v>
      </c>
      <c r="AS199" s="29" t="str">
        <f t="shared" si="203"/>
        <v>#DIV/0!</v>
      </c>
      <c r="AT199" s="29" t="str">
        <f t="shared" si="203"/>
        <v>#DIV/0!</v>
      </c>
      <c r="AU199" s="29" t="str">
        <f t="shared" si="203"/>
        <v>#DIV/0!</v>
      </c>
      <c r="AV199" s="29" t="str">
        <f t="shared" si="203"/>
        <v>#DIV/0!</v>
      </c>
      <c r="AW199" s="29" t="str">
        <f t="shared" si="203"/>
        <v>#DIV/0!</v>
      </c>
      <c r="AX199" s="29" t="str">
        <f t="shared" si="203"/>
        <v>#DIV/0!</v>
      </c>
      <c r="AY199" s="29" t="str">
        <f t="shared" si="203"/>
        <v>#DIV/0!</v>
      </c>
      <c r="AZ199" s="29" t="str">
        <f t="shared" si="203"/>
        <v>#DIV/0!</v>
      </c>
      <c r="BA199" s="29" t="str">
        <f t="shared" si="203"/>
        <v>#DIV/0!</v>
      </c>
      <c r="BB199" s="29" t="str">
        <f t="shared" si="203"/>
        <v>#DIV/0!</v>
      </c>
      <c r="BC199" s="29" t="str">
        <f t="shared" si="203"/>
        <v>#DIV/0!</v>
      </c>
      <c r="BD199" s="29" t="str">
        <f t="shared" si="203"/>
        <v>#DIV/0!</v>
      </c>
      <c r="BE199" s="29" t="str">
        <f t="shared" si="203"/>
        <v>#DIV/0!</v>
      </c>
      <c r="BF199" s="29" t="str">
        <f t="shared" si="203"/>
        <v>#DIV/0!</v>
      </c>
      <c r="BG199" s="29" t="str">
        <f t="shared" si="203"/>
        <v>#DIV/0!</v>
      </c>
      <c r="BH199" s="29" t="str">
        <f t="shared" si="203"/>
        <v>#DIV/0!</v>
      </c>
      <c r="BI199" s="29" t="str">
        <f t="shared" si="203"/>
        <v>#DIV/0!</v>
      </c>
      <c r="BJ199" s="29" t="str">
        <f t="shared" si="203"/>
        <v>#DIV/0!</v>
      </c>
      <c r="BK199" s="29" t="str">
        <f t="shared" si="203"/>
        <v>#DIV/0!</v>
      </c>
      <c r="BL199" s="29" t="str">
        <f t="shared" si="203"/>
        <v>#DIV/0!</v>
      </c>
      <c r="BM199" s="29" t="str">
        <f t="shared" si="3"/>
        <v>#DIV/0!</v>
      </c>
    </row>
    <row r="200">
      <c r="A200" s="16" t="str">
        <f>IFERROR(__xludf.DUMMYFUNCTION("IFERROR(SPARKLINE(SORT(MAP(TRANSPOSE(AQ200:BL200), LAMBDA(val, IF(ISNUMBER(val), PERCENTRANK(AQ200:BL200, val)+0.01, 0))), SEQUENCE(COLUMNS(AQ200:BL200)), FALSE), {""charttype"",""column""; ""color"",""chartreuse""; ""ymin"", 0; ""ymax"", 1.01; ""highcolo"&amp;"r"", ""darkgreen""; ""lowcolor"", ""red""}), """")"),"")</f>
        <v/>
      </c>
      <c r="B200" s="17" t="str">
        <f t="shared" si="4"/>
        <v/>
      </c>
      <c r="C200" s="1" t="s">
        <v>2220</v>
      </c>
      <c r="D200" s="30" t="str">
        <f>IFERROR(__xludf.DUMMYFUNCTION("IFERROR(GOOGLEFINANCE(C200, ""NAME""))"),"Henry Schein Inc")</f>
        <v>Henry Schein Inc</v>
      </c>
      <c r="E200" s="30" t="s">
        <v>1843</v>
      </c>
      <c r="F200" s="38" t="str">
        <f>IFERROR(__xludf.DUMMYFUNCTION("( (GOOGLEFINANCE(C200, ""price"") - Q200) / Q200 ) / (R200 / 100)"),"Loading...")</f>
        <v>Loading...</v>
      </c>
      <c r="G200" s="20" t="str">
        <f>IFERROR(__xludf.DUMMYFUNCTION("AVERAGE(ARRAYFORMULA(100 * (QUERY(GOOGLEFINANCE(C200, ""high"", TODAY()-40, TODAY()), ""SELECT Col2 WHERE Col2 IS NOT NULL ORDER BY Col1 DESC LIMIT 20"", 0) / QUERY(GOOGLEFINANCE(C200, ""low"", TODAY()-40, TODAY()), ""SELECT Col2 WHERE Col2 IS NOT NULL OR"&amp;"DER BY Col1 DESC LIMIT 20"", 0) - 1)))"),"#N/A")</f>
        <v>#N/A</v>
      </c>
      <c r="H200" s="35" t="str">
        <f t="shared" si="118"/>
        <v/>
      </c>
      <c r="I200" s="36" t="str">
        <f t="shared" si="7"/>
        <v/>
      </c>
      <c r="J200" s="37" t="str">
        <f>IFERROR(__xludf.DUMMYFUNCTION("IFERROR(
  IF(C200="""",, 
    IFERROR(
      GOOGLEFINANCE(C200, ""price"") * GOOGLEFINANCE(C200, ""volumeavg""), 
      GOOGLEFINANCE(C200, ""price"") * AVERAGE(QUERY(GOOGLEFINANCE(C200, ""volume"", TODAY()-40, TODAY()), ""SELECT Col2 WHERE Col2 IS NOT "&amp;"NULL ORDER BY Col1 DESC LIMIT 20"", 0))
    )
  ), 
"""")"),"")</f>
        <v/>
      </c>
      <c r="K200" s="21" t="str">
        <f>IFERROR(__xludf.DUMMYFUNCTION("IFERROR(GOOGLEFINANCE(C200, ""changepct"") / 100, """")"),"")</f>
        <v/>
      </c>
      <c r="L200" s="21" t="str">
        <f>IFERROR(__xludf.DUMMYFUNCTION("IFERROR((GOOGLEFINANCE(C200, ""price"") / INDEX(GOOGLEFINANCE(C200, ""price"", TODAY()-7, TODAY()), 2, 2)) - 1, """")"),"")</f>
        <v/>
      </c>
      <c r="M200" s="21" t="str">
        <f>IFERROR(__xludf.DUMMYFUNCTION("IFERROR((GOOGLEFINANCE(C200, ""price"") / INDEX(GOOGLEFINANCE(C200, ""price"", EDATE(TODAY(), -1), TODAY()), 2, 2)) - 1, """")"),"")</f>
        <v/>
      </c>
      <c r="N200" s="21" t="str">
        <f>IFERROR(__xludf.DUMMYFUNCTION("IFERROR((GOOGLEFINANCE(C200, ""price"") / INDEX(GOOGLEFINANCE(C200, ""price"", EDATE(TODAY(), -3), TODAY()), 2, 2)) - 1, """")"),"")</f>
        <v/>
      </c>
      <c r="O200" s="21" t="str">
        <f>IFERROR(__xludf.DUMMYFUNCTION("IFERROR((GOOGLEFINANCE(C200, ""price"") / INDEX(GOOGLEFINANCE(C200, ""price"", EDATE(TODAY(), -6), TODAY()), 2, 2)) - 1, """")"),"")</f>
        <v/>
      </c>
      <c r="P200" s="21" t="str">
        <f>IFERROR(__xludf.DUMMYFUNCTION("IFERROR((GOOGLEFINANCE(C200, ""price"") / INDEX(GOOGLEFINANCE(C200, ""price"", EDATE(TODAY(), -12), TODAY()), 2, 2)) - 1, """")"),"")</f>
        <v/>
      </c>
      <c r="Q200" s="6" t="str">
        <f>IFERROR(__xludf.DUMMYFUNCTION("AVERAGE(QUERY(GOOGLEFINANCE(C200, ""price"", TODAY()-80, TODAY()), ""SELECT Col2 WHERE Col2 IS NOT NULL ORDER BY Col1 DESC LIMIT 50"", 0))"),"#N/A")</f>
        <v>#N/A</v>
      </c>
      <c r="R200" s="24" t="str">
        <f>IFERROR(__xludf.DUMMYFUNCTION("IFERROR(
  LET(
    data, QUERY(GOOGLEFINANCE(C200,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GOOGLEFINANCE(C200, ""price"")) * 100,
    IF(calc=0, G200, calc)
  ), 
G200)"),"#N/A")</f>
        <v>#N/A</v>
      </c>
      <c r="S200" s="8" t="s">
        <v>15</v>
      </c>
      <c r="T200" s="26" t="str">
        <f>IFERROR(__xludf.DUMMYFUNCTION("IFERROR(TRANSPOSE(QUERY(IFERROR(SORT(GOOGLEFINANCE(C200, ""price"", WORKDAY(TODAY(), -40), TODAY()), 1, FALSE)), ""select Col2 where Col2 is not null limit 22 label Col2 ''"", 0)), """")"),"")</f>
        <v/>
      </c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8"/>
      <c r="AO200" s="28"/>
      <c r="AP200" s="29"/>
      <c r="AQ200" s="29" t="str">
        <f t="shared" ref="AQ200:BL200" si="204">T200/T$2</f>
        <v>#N/A</v>
      </c>
      <c r="AR200" s="29" t="str">
        <f t="shared" si="204"/>
        <v>#DIV/0!</v>
      </c>
      <c r="AS200" s="29" t="str">
        <f t="shared" si="204"/>
        <v>#DIV/0!</v>
      </c>
      <c r="AT200" s="29" t="str">
        <f t="shared" si="204"/>
        <v>#DIV/0!</v>
      </c>
      <c r="AU200" s="29" t="str">
        <f t="shared" si="204"/>
        <v>#DIV/0!</v>
      </c>
      <c r="AV200" s="29" t="str">
        <f t="shared" si="204"/>
        <v>#DIV/0!</v>
      </c>
      <c r="AW200" s="29" t="str">
        <f t="shared" si="204"/>
        <v>#DIV/0!</v>
      </c>
      <c r="AX200" s="29" t="str">
        <f t="shared" si="204"/>
        <v>#DIV/0!</v>
      </c>
      <c r="AY200" s="29" t="str">
        <f t="shared" si="204"/>
        <v>#DIV/0!</v>
      </c>
      <c r="AZ200" s="29" t="str">
        <f t="shared" si="204"/>
        <v>#DIV/0!</v>
      </c>
      <c r="BA200" s="29" t="str">
        <f t="shared" si="204"/>
        <v>#DIV/0!</v>
      </c>
      <c r="BB200" s="29" t="str">
        <f t="shared" si="204"/>
        <v>#DIV/0!</v>
      </c>
      <c r="BC200" s="29" t="str">
        <f t="shared" si="204"/>
        <v>#DIV/0!</v>
      </c>
      <c r="BD200" s="29" t="str">
        <f t="shared" si="204"/>
        <v>#DIV/0!</v>
      </c>
      <c r="BE200" s="29" t="str">
        <f t="shared" si="204"/>
        <v>#DIV/0!</v>
      </c>
      <c r="BF200" s="29" t="str">
        <f t="shared" si="204"/>
        <v>#DIV/0!</v>
      </c>
      <c r="BG200" s="29" t="str">
        <f t="shared" si="204"/>
        <v>#DIV/0!</v>
      </c>
      <c r="BH200" s="29" t="str">
        <f t="shared" si="204"/>
        <v>#DIV/0!</v>
      </c>
      <c r="BI200" s="29" t="str">
        <f t="shared" si="204"/>
        <v>#DIV/0!</v>
      </c>
      <c r="BJ200" s="29" t="str">
        <f t="shared" si="204"/>
        <v>#DIV/0!</v>
      </c>
      <c r="BK200" s="29" t="str">
        <f t="shared" si="204"/>
        <v>#DIV/0!</v>
      </c>
      <c r="BL200" s="29" t="str">
        <f t="shared" si="204"/>
        <v>#DIV/0!</v>
      </c>
      <c r="BM200" s="29" t="str">
        <f t="shared" si="3"/>
        <v>#DIV/0!</v>
      </c>
    </row>
    <row r="201">
      <c r="A201" s="16" t="str">
        <f>IFERROR(__xludf.DUMMYFUNCTION("IFERROR(SPARKLINE(SORT(MAP(TRANSPOSE(AQ201:BL201), LAMBDA(val, IF(ISNUMBER(val), PERCENTRANK(AQ201:BL201, val)+0.01, 0))), SEQUENCE(COLUMNS(AQ201:BL201)), FALSE), {""charttype"",""column""; ""color"",""chartreuse""; ""ymin"", 0; ""ymax"", 1.01; ""highcolo"&amp;"r"", ""darkgreen""; ""lowcolor"", ""red""}), """")"),"")</f>
        <v/>
      </c>
      <c r="B201" s="17" t="str">
        <f t="shared" si="4"/>
        <v/>
      </c>
      <c r="C201" s="1" t="s">
        <v>2224</v>
      </c>
      <c r="D201" s="30" t="str">
        <f>IFERROR(__xludf.DUMMYFUNCTION("IFERROR(GOOGLEFINANCE(C201, ""NAME""))"),"Anbio Biotechnology")</f>
        <v>Anbio Biotechnology</v>
      </c>
      <c r="E201" s="30" t="s">
        <v>1502</v>
      </c>
      <c r="F201" s="33" t="str">
        <f>IFERROR(__xludf.DUMMYFUNCTION("( (GOOGLEFINANCE(C201, ""price"") - Q201) / Q201 ) / (R201 / 100)"),"Loading...")</f>
        <v>Loading...</v>
      </c>
      <c r="G201" s="20" t="str">
        <f>IFERROR(__xludf.DUMMYFUNCTION("AVERAGE(ARRAYFORMULA(100 * (QUERY(GOOGLEFINANCE(C201, ""high"", TODAY()-40, TODAY()), ""SELECT Col2 WHERE Col2 IS NOT NULL ORDER BY Col1 DESC LIMIT 20"", 0) / QUERY(GOOGLEFINANCE(C201, ""low"", TODAY()-40, TODAY()), ""SELECT Col2 WHERE Col2 IS NOT NULL OR"&amp;"DER BY Col1 DESC LIMIT 20"", 0) - 1)))"),"#N/A")</f>
        <v>#N/A</v>
      </c>
      <c r="H201" s="35" t="str">
        <f t="shared" si="118"/>
        <v/>
      </c>
      <c r="I201" s="36" t="str">
        <f t="shared" si="7"/>
        <v/>
      </c>
      <c r="J201" s="37" t="str">
        <f>IFERROR(__xludf.DUMMYFUNCTION("IFERROR(
  IF(C201="""",, 
    IFERROR(
      GOOGLEFINANCE(C201, ""price"") * GOOGLEFINANCE(C201, ""volumeavg""), 
      GOOGLEFINANCE(C201, ""price"") * AVERAGE(QUERY(GOOGLEFINANCE(C201, ""volume"", TODAY()-40, TODAY()), ""SELECT Col2 WHERE Col2 IS NOT "&amp;"NULL ORDER BY Col1 DESC LIMIT 20"", 0))
    )
  ), 
"""")"),"")</f>
        <v/>
      </c>
      <c r="K201" s="21" t="str">
        <f>IFERROR(__xludf.DUMMYFUNCTION("IFERROR(GOOGLEFINANCE(C201, ""changepct"") / 100, """")"),"")</f>
        <v/>
      </c>
      <c r="L201" s="21" t="str">
        <f>IFERROR(__xludf.DUMMYFUNCTION("IFERROR((GOOGLEFINANCE(C201, ""price"") / INDEX(GOOGLEFINANCE(C201, ""price"", TODAY()-7, TODAY()), 2, 2)) - 1, """")"),"")</f>
        <v/>
      </c>
      <c r="M201" s="21" t="str">
        <f>IFERROR(__xludf.DUMMYFUNCTION("IFERROR((GOOGLEFINANCE(C201, ""price"") / INDEX(GOOGLEFINANCE(C201, ""price"", EDATE(TODAY(), -1), TODAY()), 2, 2)) - 1, """")"),"")</f>
        <v/>
      </c>
      <c r="N201" s="21" t="str">
        <f>IFERROR(__xludf.DUMMYFUNCTION("IFERROR((GOOGLEFINANCE(C201, ""price"") / INDEX(GOOGLEFINANCE(C201, ""price"", EDATE(TODAY(), -3), TODAY()), 2, 2)) - 1, """")"),"")</f>
        <v/>
      </c>
      <c r="O201" s="21" t="str">
        <f>IFERROR(__xludf.DUMMYFUNCTION("IFERROR((GOOGLEFINANCE(C201, ""price"") / INDEX(GOOGLEFINANCE(C201, ""price"", EDATE(TODAY(), -6), TODAY()), 2, 2)) - 1, """")"),"")</f>
        <v/>
      </c>
      <c r="P201" s="21" t="str">
        <f>IFERROR(__xludf.DUMMYFUNCTION("IFERROR((GOOGLEFINANCE(C201, ""price"") / INDEX(GOOGLEFINANCE(C201, ""price"", EDATE(TODAY(), -12), TODAY()), 2, 2)) - 1, """")"),"")</f>
        <v/>
      </c>
      <c r="Q201" s="6" t="str">
        <f>IFERROR(__xludf.DUMMYFUNCTION("AVERAGE(QUERY(GOOGLEFINANCE(C201, ""price"", TODAY()-80, TODAY()), ""SELECT Col2 WHERE Col2 IS NOT NULL ORDER BY Col1 DESC LIMIT 50"", 0))"),"#N/A")</f>
        <v>#N/A</v>
      </c>
      <c r="R201" s="24" t="str">
        <f>IFERROR(__xludf.DUMMYFUNCTION("IFERROR(
  LET(
    data, QUERY(GOOGLEFINANCE(C201,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GOOGLEFINANCE(C201, ""price"")) * 100,
    IF(calc=0, G201, calc)
  ), 
G201)"),"#N/A")</f>
        <v>#N/A</v>
      </c>
      <c r="S201" s="8" t="s">
        <v>15</v>
      </c>
      <c r="T201" s="26" t="str">
        <f>IFERROR(__xludf.DUMMYFUNCTION("IFERROR(TRANSPOSE(QUERY(IFERROR(SORT(GOOGLEFINANCE(C201, ""price"", WORKDAY(TODAY(), -40), TODAY()), 1, FALSE)), ""select Col2 where Col2 is not null limit 22 label Col2 ''"", 0)), """")"),"")</f>
        <v/>
      </c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8"/>
      <c r="AO201" s="28"/>
      <c r="AP201" s="29"/>
      <c r="AQ201" s="29" t="str">
        <f t="shared" ref="AQ201:BL201" si="205">T201/T$2</f>
        <v>#N/A</v>
      </c>
      <c r="AR201" s="29" t="str">
        <f t="shared" si="205"/>
        <v>#DIV/0!</v>
      </c>
      <c r="AS201" s="29" t="str">
        <f t="shared" si="205"/>
        <v>#DIV/0!</v>
      </c>
      <c r="AT201" s="29" t="str">
        <f t="shared" si="205"/>
        <v>#DIV/0!</v>
      </c>
      <c r="AU201" s="29" t="str">
        <f t="shared" si="205"/>
        <v>#DIV/0!</v>
      </c>
      <c r="AV201" s="29" t="str">
        <f t="shared" si="205"/>
        <v>#DIV/0!</v>
      </c>
      <c r="AW201" s="29" t="str">
        <f t="shared" si="205"/>
        <v>#DIV/0!</v>
      </c>
      <c r="AX201" s="29" t="str">
        <f t="shared" si="205"/>
        <v>#DIV/0!</v>
      </c>
      <c r="AY201" s="29" t="str">
        <f t="shared" si="205"/>
        <v>#DIV/0!</v>
      </c>
      <c r="AZ201" s="29" t="str">
        <f t="shared" si="205"/>
        <v>#DIV/0!</v>
      </c>
      <c r="BA201" s="29" t="str">
        <f t="shared" si="205"/>
        <v>#DIV/0!</v>
      </c>
      <c r="BB201" s="29" t="str">
        <f t="shared" si="205"/>
        <v>#DIV/0!</v>
      </c>
      <c r="BC201" s="29" t="str">
        <f t="shared" si="205"/>
        <v>#DIV/0!</v>
      </c>
      <c r="BD201" s="29" t="str">
        <f t="shared" si="205"/>
        <v>#DIV/0!</v>
      </c>
      <c r="BE201" s="29" t="str">
        <f t="shared" si="205"/>
        <v>#DIV/0!</v>
      </c>
      <c r="BF201" s="29" t="str">
        <f t="shared" si="205"/>
        <v>#DIV/0!</v>
      </c>
      <c r="BG201" s="29" t="str">
        <f t="shared" si="205"/>
        <v>#DIV/0!</v>
      </c>
      <c r="BH201" s="29" t="str">
        <f t="shared" si="205"/>
        <v>#DIV/0!</v>
      </c>
      <c r="BI201" s="29" t="str">
        <f t="shared" si="205"/>
        <v>#DIV/0!</v>
      </c>
      <c r="BJ201" s="29" t="str">
        <f t="shared" si="205"/>
        <v>#DIV/0!</v>
      </c>
      <c r="BK201" s="29" t="str">
        <f t="shared" si="205"/>
        <v>#DIV/0!</v>
      </c>
      <c r="BL201" s="29" t="str">
        <f t="shared" si="205"/>
        <v>#DIV/0!</v>
      </c>
      <c r="BM201" s="29" t="str">
        <f t="shared" si="3"/>
        <v>#DIV/0!</v>
      </c>
    </row>
    <row r="202">
      <c r="A202" s="16" t="str">
        <f>IFERROR(__xludf.DUMMYFUNCTION("IFERROR(SPARKLINE(SORT(MAP(TRANSPOSE(AQ202:BL202), LAMBDA(val, IF(ISNUMBER(val), PERCENTRANK(AQ202:BL202, val)+0.01, 0))), SEQUENCE(COLUMNS(AQ202:BL202)), FALSE), {""charttype"",""column""; ""color"",""chartreuse""; ""ymin"", 0; ""ymax"", 1.01; ""highcolo"&amp;"r"", ""darkgreen""; ""lowcolor"", ""red""}), """")"),"")</f>
        <v/>
      </c>
      <c r="B202" s="17" t="str">
        <f t="shared" si="4"/>
        <v/>
      </c>
      <c r="C202" s="1" t="s">
        <v>2228</v>
      </c>
      <c r="D202" s="30" t="str">
        <f>IFERROR(__xludf.DUMMYFUNCTION("IFERROR(GOOGLEFINANCE(C202, ""NAME""))"),"Radnet Inc")</f>
        <v>Radnet Inc</v>
      </c>
      <c r="E202" s="30" t="s">
        <v>1499</v>
      </c>
      <c r="F202" s="33" t="str">
        <f>IFERROR(__xludf.DUMMYFUNCTION("( (GOOGLEFINANCE(C202, ""price"") - Q202) / Q202 ) / (R202 / 100)"),"Loading...")</f>
        <v>Loading...</v>
      </c>
      <c r="G202" s="20" t="str">
        <f>IFERROR(__xludf.DUMMYFUNCTION("AVERAGE(ARRAYFORMULA(100 * (QUERY(GOOGLEFINANCE(C202, ""high"", TODAY()-40, TODAY()), ""SELECT Col2 WHERE Col2 IS NOT NULL ORDER BY Col1 DESC LIMIT 20"", 0) / QUERY(GOOGLEFINANCE(C202, ""low"", TODAY()-40, TODAY()), ""SELECT Col2 WHERE Col2 IS NOT NULL OR"&amp;"DER BY Col1 DESC LIMIT 20"", 0) - 1)))"),"#N/A")</f>
        <v>#N/A</v>
      </c>
      <c r="H202" s="35" t="str">
        <f t="shared" si="118"/>
        <v/>
      </c>
      <c r="I202" s="36" t="str">
        <f t="shared" si="7"/>
        <v/>
      </c>
      <c r="J202" s="37" t="str">
        <f>IFERROR(__xludf.DUMMYFUNCTION("IFERROR(
  IF(C202="""",, 
    IFERROR(
      GOOGLEFINANCE(C202, ""price"") * GOOGLEFINANCE(C202, ""volumeavg""), 
      GOOGLEFINANCE(C202, ""price"") * AVERAGE(QUERY(GOOGLEFINANCE(C202, ""volume"", TODAY()-40, TODAY()), ""SELECT Col2 WHERE Col2 IS NOT "&amp;"NULL ORDER BY Col1 DESC LIMIT 20"", 0))
    )
  ), 
"""")"),"")</f>
        <v/>
      </c>
      <c r="K202" s="21" t="str">
        <f>IFERROR(__xludf.DUMMYFUNCTION("IFERROR(GOOGLEFINANCE(C202, ""changepct"") / 100, """")"),"")</f>
        <v/>
      </c>
      <c r="L202" s="21" t="str">
        <f>IFERROR(__xludf.DUMMYFUNCTION("IFERROR((GOOGLEFINANCE(C202, ""price"") / INDEX(GOOGLEFINANCE(C202, ""price"", TODAY()-7, TODAY()), 2, 2)) - 1, """")"),"")</f>
        <v/>
      </c>
      <c r="M202" s="21" t="str">
        <f>IFERROR(__xludf.DUMMYFUNCTION("IFERROR((GOOGLEFINANCE(C202, ""price"") / INDEX(GOOGLEFINANCE(C202, ""price"", EDATE(TODAY(), -1), TODAY()), 2, 2)) - 1, """")"),"")</f>
        <v/>
      </c>
      <c r="N202" s="21" t="str">
        <f>IFERROR(__xludf.DUMMYFUNCTION("IFERROR((GOOGLEFINANCE(C202, ""price"") / INDEX(GOOGLEFINANCE(C202, ""price"", EDATE(TODAY(), -3), TODAY()), 2, 2)) - 1, """")"),"")</f>
        <v/>
      </c>
      <c r="O202" s="21" t="str">
        <f>IFERROR(__xludf.DUMMYFUNCTION("IFERROR((GOOGLEFINANCE(C202, ""price"") / INDEX(GOOGLEFINANCE(C202, ""price"", EDATE(TODAY(), -6), TODAY()), 2, 2)) - 1, """")"),"")</f>
        <v/>
      </c>
      <c r="P202" s="21" t="str">
        <f>IFERROR(__xludf.DUMMYFUNCTION("IFERROR((GOOGLEFINANCE(C202, ""price"") / INDEX(GOOGLEFINANCE(C202, ""price"", EDATE(TODAY(), -12), TODAY()), 2, 2)) - 1, """")"),"")</f>
        <v/>
      </c>
      <c r="Q202" s="6" t="str">
        <f>IFERROR(__xludf.DUMMYFUNCTION("AVERAGE(QUERY(GOOGLEFINANCE(C202, ""price"", TODAY()-80, TODAY()), ""SELECT Col2 WHERE Col2 IS NOT NULL ORDER BY Col1 DESC LIMIT 50"", 0))"),"#N/A")</f>
        <v>#N/A</v>
      </c>
      <c r="R202" s="24" t="str">
        <f>IFERROR(__xludf.DUMMYFUNCTION("IFERROR(
  LET(
    data, QUERY(GOOGLEFINANCE(C202,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GOOGLEFINANCE(C202, ""price"")) * 100,
    IF(calc=0, G202, calc)
  ), 
G202)"),"#N/A")</f>
        <v>#N/A</v>
      </c>
      <c r="S202" s="8" t="s">
        <v>15</v>
      </c>
      <c r="T202" s="26" t="str">
        <f>IFERROR(__xludf.DUMMYFUNCTION("IFERROR(TRANSPOSE(QUERY(IFERROR(SORT(GOOGLEFINANCE(C202, ""price"", WORKDAY(TODAY(), -40), TODAY()), 1, FALSE)), ""select Col2 where Col2 is not null limit 22 label Col2 ''"", 0)), """")"),"")</f>
        <v/>
      </c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8"/>
      <c r="AO202" s="28"/>
      <c r="AP202" s="29"/>
      <c r="AQ202" s="29" t="str">
        <f t="shared" ref="AQ202:BL202" si="206">T202/T$2</f>
        <v>#N/A</v>
      </c>
      <c r="AR202" s="29" t="str">
        <f t="shared" si="206"/>
        <v>#DIV/0!</v>
      </c>
      <c r="AS202" s="29" t="str">
        <f t="shared" si="206"/>
        <v>#DIV/0!</v>
      </c>
      <c r="AT202" s="29" t="str">
        <f t="shared" si="206"/>
        <v>#DIV/0!</v>
      </c>
      <c r="AU202" s="29" t="str">
        <f t="shared" si="206"/>
        <v>#DIV/0!</v>
      </c>
      <c r="AV202" s="29" t="str">
        <f t="shared" si="206"/>
        <v>#DIV/0!</v>
      </c>
      <c r="AW202" s="29" t="str">
        <f t="shared" si="206"/>
        <v>#DIV/0!</v>
      </c>
      <c r="AX202" s="29" t="str">
        <f t="shared" si="206"/>
        <v>#DIV/0!</v>
      </c>
      <c r="AY202" s="29" t="str">
        <f t="shared" si="206"/>
        <v>#DIV/0!</v>
      </c>
      <c r="AZ202" s="29" t="str">
        <f t="shared" si="206"/>
        <v>#DIV/0!</v>
      </c>
      <c r="BA202" s="29" t="str">
        <f t="shared" si="206"/>
        <v>#DIV/0!</v>
      </c>
      <c r="BB202" s="29" t="str">
        <f t="shared" si="206"/>
        <v>#DIV/0!</v>
      </c>
      <c r="BC202" s="29" t="str">
        <f t="shared" si="206"/>
        <v>#DIV/0!</v>
      </c>
      <c r="BD202" s="29" t="str">
        <f t="shared" si="206"/>
        <v>#DIV/0!</v>
      </c>
      <c r="BE202" s="29" t="str">
        <f t="shared" si="206"/>
        <v>#DIV/0!</v>
      </c>
      <c r="BF202" s="29" t="str">
        <f t="shared" si="206"/>
        <v>#DIV/0!</v>
      </c>
      <c r="BG202" s="29" t="str">
        <f t="shared" si="206"/>
        <v>#DIV/0!</v>
      </c>
      <c r="BH202" s="29" t="str">
        <f t="shared" si="206"/>
        <v>#DIV/0!</v>
      </c>
      <c r="BI202" s="29" t="str">
        <f t="shared" si="206"/>
        <v>#DIV/0!</v>
      </c>
      <c r="BJ202" s="29" t="str">
        <f t="shared" si="206"/>
        <v>#DIV/0!</v>
      </c>
      <c r="BK202" s="29" t="str">
        <f t="shared" si="206"/>
        <v>#DIV/0!</v>
      </c>
      <c r="BL202" s="29" t="str">
        <f t="shared" si="206"/>
        <v>#DIV/0!</v>
      </c>
      <c r="BM202" s="29" t="str">
        <f t="shared" si="3"/>
        <v>#DIV/0!</v>
      </c>
    </row>
    <row r="203">
      <c r="A203" s="16" t="str">
        <f>IFERROR(__xludf.DUMMYFUNCTION("IFERROR(SPARKLINE(SORT(MAP(TRANSPOSE(AQ203:BL203), LAMBDA(val, IF(ISNUMBER(val), PERCENTRANK(AQ203:BL203, val)+0.01, 0))), SEQUENCE(COLUMNS(AQ203:BL203)), FALSE), {""charttype"",""column""; ""color"",""chartreuse""; ""ymin"", 0; ""ymax"", 1.01; ""highcolo"&amp;"r"", ""darkgreen""; ""lowcolor"", ""red""}), """")"),"")</f>
        <v/>
      </c>
      <c r="B203" s="17" t="str">
        <f t="shared" si="4"/>
        <v/>
      </c>
      <c r="C203" s="1" t="s">
        <v>2232</v>
      </c>
      <c r="D203" s="30" t="str">
        <f>IFERROR(__xludf.DUMMYFUNCTION("IFERROR(GOOGLEFINANCE(C203, ""NAME""))"),"Bausch Health Companies Inc")</f>
        <v>Bausch Health Companies Inc</v>
      </c>
      <c r="E203" s="30" t="s">
        <v>1475</v>
      </c>
      <c r="F203" s="33" t="str">
        <f>IFERROR(__xludf.DUMMYFUNCTION("( (GOOGLEFINANCE(C203, ""price"") - Q203) / Q203 ) / (R203 / 100)"),"Loading...")</f>
        <v>Loading...</v>
      </c>
      <c r="G203" s="20" t="str">
        <f>IFERROR(__xludf.DUMMYFUNCTION("AVERAGE(ARRAYFORMULA(100 * (QUERY(GOOGLEFINANCE(C203, ""high"", TODAY()-40, TODAY()), ""SELECT Col2 WHERE Col2 IS NOT NULL ORDER BY Col1 DESC LIMIT 20"", 0) / QUERY(GOOGLEFINANCE(C203, ""low"", TODAY()-40, TODAY()), ""SELECT Col2 WHERE Col2 IS NOT NULL OR"&amp;"DER BY Col1 DESC LIMIT 20"", 0) - 1)))"),"#N/A")</f>
        <v>#N/A</v>
      </c>
      <c r="H203" s="35" t="str">
        <f t="shared" si="118"/>
        <v/>
      </c>
      <c r="I203" s="36" t="str">
        <f t="shared" si="7"/>
        <v/>
      </c>
      <c r="J203" s="37" t="str">
        <f>IFERROR(__xludf.DUMMYFUNCTION("IFERROR(
  IF(C203="""",, 
    IFERROR(
      GOOGLEFINANCE(C203, ""price"") * GOOGLEFINANCE(C203, ""volumeavg""), 
      GOOGLEFINANCE(C203, ""price"") * AVERAGE(QUERY(GOOGLEFINANCE(C203, ""volume"", TODAY()-40, TODAY()), ""SELECT Col2 WHERE Col2 IS NOT "&amp;"NULL ORDER BY Col1 DESC LIMIT 20"", 0))
    )
  ), 
"""")"),"")</f>
        <v/>
      </c>
      <c r="K203" s="21" t="str">
        <f>IFERROR(__xludf.DUMMYFUNCTION("IFERROR(GOOGLEFINANCE(C203, ""changepct"") / 100, """")"),"")</f>
        <v/>
      </c>
      <c r="L203" s="21" t="str">
        <f>IFERROR(__xludf.DUMMYFUNCTION("IFERROR((GOOGLEFINANCE(C203, ""price"") / INDEX(GOOGLEFINANCE(C203, ""price"", TODAY()-7, TODAY()), 2, 2)) - 1, """")"),"")</f>
        <v/>
      </c>
      <c r="M203" s="21" t="str">
        <f>IFERROR(__xludf.DUMMYFUNCTION("IFERROR((GOOGLEFINANCE(C203, ""price"") / INDEX(GOOGLEFINANCE(C203, ""price"", EDATE(TODAY(), -1), TODAY()), 2, 2)) - 1, """")"),"")</f>
        <v/>
      </c>
      <c r="N203" s="21" t="str">
        <f>IFERROR(__xludf.DUMMYFUNCTION("IFERROR((GOOGLEFINANCE(C203, ""price"") / INDEX(GOOGLEFINANCE(C203, ""price"", EDATE(TODAY(), -3), TODAY()), 2, 2)) - 1, """")"),"")</f>
        <v/>
      </c>
      <c r="O203" s="21" t="str">
        <f>IFERROR(__xludf.DUMMYFUNCTION("IFERROR((GOOGLEFINANCE(C203, ""price"") / INDEX(GOOGLEFINANCE(C203, ""price"", EDATE(TODAY(), -6), TODAY()), 2, 2)) - 1, """")"),"")</f>
        <v/>
      </c>
      <c r="P203" s="21" t="str">
        <f>IFERROR(__xludf.DUMMYFUNCTION("IFERROR((GOOGLEFINANCE(C203, ""price"") / INDEX(GOOGLEFINANCE(C203, ""price"", EDATE(TODAY(), -12), TODAY()), 2, 2)) - 1, """")"),"")</f>
        <v/>
      </c>
      <c r="Q203" s="6" t="str">
        <f>IFERROR(__xludf.DUMMYFUNCTION("AVERAGE(QUERY(GOOGLEFINANCE(C203, ""price"", TODAY()-80, TODAY()), ""SELECT Col2 WHERE Col2 IS NOT NULL ORDER BY Col1 DESC LIMIT 50"", 0))"),"#N/A")</f>
        <v>#N/A</v>
      </c>
      <c r="R203" s="24" t="str">
        <f>IFERROR(__xludf.DUMMYFUNCTION("IFERROR(
  LET(
    data, QUERY(GOOGLEFINANCE(C203,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GOOGLEFINANCE(C203, ""price"")) * 100,
    IF(calc=0, G203, calc)
  ), 
G203)"),"#N/A")</f>
        <v>#N/A</v>
      </c>
      <c r="S203" s="8" t="s">
        <v>15</v>
      </c>
      <c r="T203" s="26" t="str">
        <f>IFERROR(__xludf.DUMMYFUNCTION("IFERROR(TRANSPOSE(QUERY(IFERROR(SORT(GOOGLEFINANCE(C203, ""price"", WORKDAY(TODAY(), -40), TODAY()), 1, FALSE)), ""select Col2 where Col2 is not null limit 22 label Col2 ''"", 0)), """")"),"")</f>
        <v/>
      </c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8"/>
      <c r="AO203" s="28"/>
      <c r="AP203" s="29"/>
      <c r="AQ203" s="29" t="str">
        <f t="shared" ref="AQ203:BL203" si="207">T203/T$2</f>
        <v>#N/A</v>
      </c>
      <c r="AR203" s="29" t="str">
        <f t="shared" si="207"/>
        <v>#DIV/0!</v>
      </c>
      <c r="AS203" s="29" t="str">
        <f t="shared" si="207"/>
        <v>#DIV/0!</v>
      </c>
      <c r="AT203" s="29" t="str">
        <f t="shared" si="207"/>
        <v>#DIV/0!</v>
      </c>
      <c r="AU203" s="29" t="str">
        <f t="shared" si="207"/>
        <v>#DIV/0!</v>
      </c>
      <c r="AV203" s="29" t="str">
        <f t="shared" si="207"/>
        <v>#DIV/0!</v>
      </c>
      <c r="AW203" s="29" t="str">
        <f t="shared" si="207"/>
        <v>#DIV/0!</v>
      </c>
      <c r="AX203" s="29" t="str">
        <f t="shared" si="207"/>
        <v>#DIV/0!</v>
      </c>
      <c r="AY203" s="29" t="str">
        <f t="shared" si="207"/>
        <v>#DIV/0!</v>
      </c>
      <c r="AZ203" s="29" t="str">
        <f t="shared" si="207"/>
        <v>#DIV/0!</v>
      </c>
      <c r="BA203" s="29" t="str">
        <f t="shared" si="207"/>
        <v>#DIV/0!</v>
      </c>
      <c r="BB203" s="29" t="str">
        <f t="shared" si="207"/>
        <v>#DIV/0!</v>
      </c>
      <c r="BC203" s="29" t="str">
        <f t="shared" si="207"/>
        <v>#DIV/0!</v>
      </c>
      <c r="BD203" s="29" t="str">
        <f t="shared" si="207"/>
        <v>#DIV/0!</v>
      </c>
      <c r="BE203" s="29" t="str">
        <f t="shared" si="207"/>
        <v>#DIV/0!</v>
      </c>
      <c r="BF203" s="29" t="str">
        <f t="shared" si="207"/>
        <v>#DIV/0!</v>
      </c>
      <c r="BG203" s="29" t="str">
        <f t="shared" si="207"/>
        <v>#DIV/0!</v>
      </c>
      <c r="BH203" s="29" t="str">
        <f t="shared" si="207"/>
        <v>#DIV/0!</v>
      </c>
      <c r="BI203" s="29" t="str">
        <f t="shared" si="207"/>
        <v>#DIV/0!</v>
      </c>
      <c r="BJ203" s="29" t="str">
        <f t="shared" si="207"/>
        <v>#DIV/0!</v>
      </c>
      <c r="BK203" s="29" t="str">
        <f t="shared" si="207"/>
        <v>#DIV/0!</v>
      </c>
      <c r="BL203" s="29" t="str">
        <f t="shared" si="207"/>
        <v>#DIV/0!</v>
      </c>
      <c r="BM203" s="29" t="str">
        <f t="shared" si="3"/>
        <v>#DIV/0!</v>
      </c>
    </row>
    <row r="204">
      <c r="A204" s="16" t="str">
        <f>IFERROR(__xludf.DUMMYFUNCTION("IFERROR(SPARKLINE(SORT(MAP(TRANSPOSE(AQ204:BL204), LAMBDA(val, IF(ISNUMBER(val), PERCENTRANK(AQ204:BL204, val)+0.01, 0))), SEQUENCE(COLUMNS(AQ204:BL204)), FALSE), {""charttype"",""column""; ""color"",""chartreuse""; ""ymin"", 0; ""ymax"", 1.01; ""highcolo"&amp;"r"", ""darkgreen""; ""lowcolor"", ""red""}), """")"),"")</f>
        <v/>
      </c>
      <c r="B204" s="17" t="str">
        <f t="shared" si="4"/>
        <v/>
      </c>
      <c r="C204" s="1" t="s">
        <v>2237</v>
      </c>
      <c r="D204" s="30" t="str">
        <f>IFERROR(__xludf.DUMMYFUNCTION("IFERROR(GOOGLEFINANCE(C204, ""NAME""))"),"Agilent Technologies Inc")</f>
        <v>Agilent Technologies Inc</v>
      </c>
      <c r="E204" s="30" t="s">
        <v>1499</v>
      </c>
      <c r="F204" s="33" t="str">
        <f>IFERROR(__xludf.DUMMYFUNCTION("( (GOOGLEFINANCE(C204, ""price"") - Q204) / Q204 ) / (R204 / 100)"),"Loading...")</f>
        <v>Loading...</v>
      </c>
      <c r="G204" s="20" t="str">
        <f>IFERROR(__xludf.DUMMYFUNCTION("AVERAGE(ARRAYFORMULA(100 * (QUERY(GOOGLEFINANCE(C204, ""high"", TODAY()-40, TODAY()), ""SELECT Col2 WHERE Col2 IS NOT NULL ORDER BY Col1 DESC LIMIT 20"", 0) / QUERY(GOOGLEFINANCE(C204, ""low"", TODAY()-40, TODAY()), ""SELECT Col2 WHERE Col2 IS NOT NULL OR"&amp;"DER BY Col1 DESC LIMIT 20"", 0) - 1)))"),"#N/A")</f>
        <v>#N/A</v>
      </c>
      <c r="H204" s="35" t="str">
        <f t="shared" si="118"/>
        <v/>
      </c>
      <c r="I204" s="36" t="str">
        <f t="shared" si="7"/>
        <v/>
      </c>
      <c r="J204" s="37" t="str">
        <f>IFERROR(__xludf.DUMMYFUNCTION("IFERROR(
  IF(C204="""",, 
    IFERROR(
      GOOGLEFINANCE(C204, ""price"") * GOOGLEFINANCE(C204, ""volumeavg""), 
      GOOGLEFINANCE(C204, ""price"") * AVERAGE(QUERY(GOOGLEFINANCE(C204, ""volume"", TODAY()-40, TODAY()), ""SELECT Col2 WHERE Col2 IS NOT "&amp;"NULL ORDER BY Col1 DESC LIMIT 20"", 0))
    )
  ), 
"""")"),"")</f>
        <v/>
      </c>
      <c r="K204" s="21" t="str">
        <f>IFERROR(__xludf.DUMMYFUNCTION("IFERROR(GOOGLEFINANCE(C204, ""changepct"") / 100, """")"),"")</f>
        <v/>
      </c>
      <c r="L204" s="21" t="str">
        <f>IFERROR(__xludf.DUMMYFUNCTION("IFERROR((GOOGLEFINANCE(C204, ""price"") / INDEX(GOOGLEFINANCE(C204, ""price"", TODAY()-7, TODAY()), 2, 2)) - 1, """")"),"")</f>
        <v/>
      </c>
      <c r="M204" s="21" t="str">
        <f>IFERROR(__xludf.DUMMYFUNCTION("IFERROR((GOOGLEFINANCE(C204, ""price"") / INDEX(GOOGLEFINANCE(C204, ""price"", EDATE(TODAY(), -1), TODAY()), 2, 2)) - 1, """")"),"")</f>
        <v/>
      </c>
      <c r="N204" s="21" t="str">
        <f>IFERROR(__xludf.DUMMYFUNCTION("IFERROR((GOOGLEFINANCE(C204, ""price"") / INDEX(GOOGLEFINANCE(C204, ""price"", EDATE(TODAY(), -3), TODAY()), 2, 2)) - 1, """")"),"")</f>
        <v/>
      </c>
      <c r="O204" s="21" t="str">
        <f>IFERROR(__xludf.DUMMYFUNCTION("IFERROR((GOOGLEFINANCE(C204, ""price"") / INDEX(GOOGLEFINANCE(C204, ""price"", EDATE(TODAY(), -6), TODAY()), 2, 2)) - 1, """")"),"")</f>
        <v/>
      </c>
      <c r="P204" s="21" t="str">
        <f>IFERROR(__xludf.DUMMYFUNCTION("IFERROR((GOOGLEFINANCE(C204, ""price"") / INDEX(GOOGLEFINANCE(C204, ""price"", EDATE(TODAY(), -12), TODAY()), 2, 2)) - 1, """")"),"")</f>
        <v/>
      </c>
      <c r="Q204" s="6" t="str">
        <f>IFERROR(__xludf.DUMMYFUNCTION("AVERAGE(QUERY(GOOGLEFINANCE(C204, ""price"", TODAY()-80, TODAY()), ""SELECT Col2 WHERE Col2 IS NOT NULL ORDER BY Col1 DESC LIMIT 50"", 0))"),"#N/A")</f>
        <v>#N/A</v>
      </c>
      <c r="R204" s="24" t="str">
        <f>IFERROR(__xludf.DUMMYFUNCTION("IFERROR(
  LET(
    data, QUERY(GOOGLEFINANCE(C204,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GOOGLEFINANCE(C204, ""price"")) * 100,
    IF(calc=0, G204, calc)
  ), 
G204)"),"#N/A")</f>
        <v>#N/A</v>
      </c>
      <c r="S204" s="8" t="s">
        <v>15</v>
      </c>
      <c r="T204" s="26" t="str">
        <f>IFERROR(__xludf.DUMMYFUNCTION("IFERROR(TRANSPOSE(QUERY(IFERROR(SORT(GOOGLEFINANCE(C204, ""price"", WORKDAY(TODAY(), -40), TODAY()), 1, FALSE)), ""select Col2 where Col2 is not null limit 22 label Col2 ''"", 0)), """")"),"")</f>
        <v/>
      </c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8"/>
      <c r="AO204" s="28"/>
      <c r="AP204" s="29"/>
      <c r="AQ204" s="29" t="str">
        <f t="shared" ref="AQ204:BL204" si="208">T204/T$2</f>
        <v>#N/A</v>
      </c>
      <c r="AR204" s="29" t="str">
        <f t="shared" si="208"/>
        <v>#DIV/0!</v>
      </c>
      <c r="AS204" s="29" t="str">
        <f t="shared" si="208"/>
        <v>#DIV/0!</v>
      </c>
      <c r="AT204" s="29" t="str">
        <f t="shared" si="208"/>
        <v>#DIV/0!</v>
      </c>
      <c r="AU204" s="29" t="str">
        <f t="shared" si="208"/>
        <v>#DIV/0!</v>
      </c>
      <c r="AV204" s="29" t="str">
        <f t="shared" si="208"/>
        <v>#DIV/0!</v>
      </c>
      <c r="AW204" s="29" t="str">
        <f t="shared" si="208"/>
        <v>#DIV/0!</v>
      </c>
      <c r="AX204" s="29" t="str">
        <f t="shared" si="208"/>
        <v>#DIV/0!</v>
      </c>
      <c r="AY204" s="29" t="str">
        <f t="shared" si="208"/>
        <v>#DIV/0!</v>
      </c>
      <c r="AZ204" s="29" t="str">
        <f t="shared" si="208"/>
        <v>#DIV/0!</v>
      </c>
      <c r="BA204" s="29" t="str">
        <f t="shared" si="208"/>
        <v>#DIV/0!</v>
      </c>
      <c r="BB204" s="29" t="str">
        <f t="shared" si="208"/>
        <v>#DIV/0!</v>
      </c>
      <c r="BC204" s="29" t="str">
        <f t="shared" si="208"/>
        <v>#DIV/0!</v>
      </c>
      <c r="BD204" s="29" t="str">
        <f t="shared" si="208"/>
        <v>#DIV/0!</v>
      </c>
      <c r="BE204" s="29" t="str">
        <f t="shared" si="208"/>
        <v>#DIV/0!</v>
      </c>
      <c r="BF204" s="29" t="str">
        <f t="shared" si="208"/>
        <v>#DIV/0!</v>
      </c>
      <c r="BG204" s="29" t="str">
        <f t="shared" si="208"/>
        <v>#DIV/0!</v>
      </c>
      <c r="BH204" s="29" t="str">
        <f t="shared" si="208"/>
        <v>#DIV/0!</v>
      </c>
      <c r="BI204" s="29" t="str">
        <f t="shared" si="208"/>
        <v>#DIV/0!</v>
      </c>
      <c r="BJ204" s="29" t="str">
        <f t="shared" si="208"/>
        <v>#DIV/0!</v>
      </c>
      <c r="BK204" s="29" t="str">
        <f t="shared" si="208"/>
        <v>#DIV/0!</v>
      </c>
      <c r="BL204" s="29" t="str">
        <f t="shared" si="208"/>
        <v>#DIV/0!</v>
      </c>
      <c r="BM204" s="29" t="str">
        <f t="shared" si="3"/>
        <v>#DIV/0!</v>
      </c>
    </row>
    <row r="205">
      <c r="A205" s="16" t="str">
        <f>IFERROR(__xludf.DUMMYFUNCTION("IFERROR(SPARKLINE(SORT(MAP(TRANSPOSE(AQ205:BL205), LAMBDA(val, IF(ISNUMBER(val), PERCENTRANK(AQ205:BL205, val)+0.01, 0))), SEQUENCE(COLUMNS(AQ205:BL205)), FALSE), {""charttype"",""column""; ""color"",""chartreuse""; ""ymin"", 0; ""ymax"", 1.01; ""highcolo"&amp;"r"", ""darkgreen""; ""lowcolor"", ""red""}), """")"),"")</f>
        <v/>
      </c>
      <c r="B205" s="17" t="str">
        <f t="shared" si="4"/>
        <v/>
      </c>
      <c r="C205" s="1" t="s">
        <v>2241</v>
      </c>
      <c r="D205" s="30" t="str">
        <f>IFERROR(__xludf.DUMMYFUNCTION("IFERROR(GOOGLEFINANCE(C205, ""NAME""))"),"HCA Healthcare Inc")</f>
        <v>HCA Healthcare Inc</v>
      </c>
      <c r="E205" s="30" t="s">
        <v>1513</v>
      </c>
      <c r="F205" s="33" t="str">
        <f>IFERROR(__xludf.DUMMYFUNCTION("( (GOOGLEFINANCE(C205, ""price"") - Q205) / Q205 ) / (R205 / 100)"),"Loading...")</f>
        <v>Loading...</v>
      </c>
      <c r="G205" s="20" t="str">
        <f>IFERROR(__xludf.DUMMYFUNCTION("AVERAGE(ARRAYFORMULA(100 * (QUERY(GOOGLEFINANCE(C205, ""high"", TODAY()-40, TODAY()), ""SELECT Col2 WHERE Col2 IS NOT NULL ORDER BY Col1 DESC LIMIT 20"", 0) / QUERY(GOOGLEFINANCE(C205, ""low"", TODAY()-40, TODAY()), ""SELECT Col2 WHERE Col2 IS NOT NULL OR"&amp;"DER BY Col1 DESC LIMIT 20"", 0) - 1)))"),"#N/A")</f>
        <v>#N/A</v>
      </c>
      <c r="H205" s="35" t="str">
        <f t="shared" si="118"/>
        <v/>
      </c>
      <c r="I205" s="36" t="str">
        <f t="shared" si="7"/>
        <v/>
      </c>
      <c r="J205" s="37" t="str">
        <f>IFERROR(__xludf.DUMMYFUNCTION("IFERROR(
  IF(C205="""",, 
    IFERROR(
      GOOGLEFINANCE(C205, ""price"") * GOOGLEFINANCE(C205, ""volumeavg""), 
      GOOGLEFINANCE(C205, ""price"") * AVERAGE(QUERY(GOOGLEFINANCE(C205, ""volume"", TODAY()-40, TODAY()), ""SELECT Col2 WHERE Col2 IS NOT "&amp;"NULL ORDER BY Col1 DESC LIMIT 20"", 0))
    )
  ), 
"""")"),"")</f>
        <v/>
      </c>
      <c r="K205" s="21" t="str">
        <f>IFERROR(__xludf.DUMMYFUNCTION("IFERROR(GOOGLEFINANCE(C205, ""changepct"") / 100, """")"),"")</f>
        <v/>
      </c>
      <c r="L205" s="21" t="str">
        <f>IFERROR(__xludf.DUMMYFUNCTION("IFERROR((GOOGLEFINANCE(C205, ""price"") / INDEX(GOOGLEFINANCE(C205, ""price"", TODAY()-7, TODAY()), 2, 2)) - 1, """")"),"")</f>
        <v/>
      </c>
      <c r="M205" s="21" t="str">
        <f>IFERROR(__xludf.DUMMYFUNCTION("IFERROR((GOOGLEFINANCE(C205, ""price"") / INDEX(GOOGLEFINANCE(C205, ""price"", EDATE(TODAY(), -1), TODAY()), 2, 2)) - 1, """")"),"")</f>
        <v/>
      </c>
      <c r="N205" s="21" t="str">
        <f>IFERROR(__xludf.DUMMYFUNCTION("IFERROR((GOOGLEFINANCE(C205, ""price"") / INDEX(GOOGLEFINANCE(C205, ""price"", EDATE(TODAY(), -3), TODAY()), 2, 2)) - 1, """")"),"")</f>
        <v/>
      </c>
      <c r="O205" s="21" t="str">
        <f>IFERROR(__xludf.DUMMYFUNCTION("IFERROR((GOOGLEFINANCE(C205, ""price"") / INDEX(GOOGLEFINANCE(C205, ""price"", EDATE(TODAY(), -6), TODAY()), 2, 2)) - 1, """")"),"")</f>
        <v/>
      </c>
      <c r="P205" s="21" t="str">
        <f>IFERROR(__xludf.DUMMYFUNCTION("IFERROR((GOOGLEFINANCE(C205, ""price"") / INDEX(GOOGLEFINANCE(C205, ""price"", EDATE(TODAY(), -12), TODAY()), 2, 2)) - 1, """")"),"")</f>
        <v/>
      </c>
      <c r="Q205" s="6" t="str">
        <f>IFERROR(__xludf.DUMMYFUNCTION("AVERAGE(QUERY(GOOGLEFINANCE(C205, ""price"", TODAY()-80, TODAY()), ""SELECT Col2 WHERE Col2 IS NOT NULL ORDER BY Col1 DESC LIMIT 50"", 0))"),"#N/A")</f>
        <v>#N/A</v>
      </c>
      <c r="R205" s="24" t="str">
        <f>IFERROR(__xludf.DUMMYFUNCTION("IFERROR(
  LET(
    data, QUERY(GOOGLEFINANCE(C205,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GOOGLEFINANCE(C205, ""price"")) * 100,
    IF(calc=0, G205, calc)
  ), 
G205)"),"#N/A")</f>
        <v>#N/A</v>
      </c>
      <c r="S205" s="8" t="s">
        <v>15</v>
      </c>
      <c r="T205" s="26" t="str">
        <f>IFERROR(__xludf.DUMMYFUNCTION("IFERROR(TRANSPOSE(QUERY(IFERROR(SORT(GOOGLEFINANCE(C205, ""price"", WORKDAY(TODAY(), -40), TODAY()), 1, FALSE)), ""select Col2 where Col2 is not null limit 22 label Col2 ''"", 0)), """")"),"")</f>
        <v/>
      </c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8"/>
      <c r="AO205" s="28"/>
      <c r="AP205" s="29"/>
      <c r="AQ205" s="29" t="str">
        <f t="shared" ref="AQ205:BL205" si="209">T205/T$2</f>
        <v>#N/A</v>
      </c>
      <c r="AR205" s="29" t="str">
        <f t="shared" si="209"/>
        <v>#DIV/0!</v>
      </c>
      <c r="AS205" s="29" t="str">
        <f t="shared" si="209"/>
        <v>#DIV/0!</v>
      </c>
      <c r="AT205" s="29" t="str">
        <f t="shared" si="209"/>
        <v>#DIV/0!</v>
      </c>
      <c r="AU205" s="29" t="str">
        <f t="shared" si="209"/>
        <v>#DIV/0!</v>
      </c>
      <c r="AV205" s="29" t="str">
        <f t="shared" si="209"/>
        <v>#DIV/0!</v>
      </c>
      <c r="AW205" s="29" t="str">
        <f t="shared" si="209"/>
        <v>#DIV/0!</v>
      </c>
      <c r="AX205" s="29" t="str">
        <f t="shared" si="209"/>
        <v>#DIV/0!</v>
      </c>
      <c r="AY205" s="29" t="str">
        <f t="shared" si="209"/>
        <v>#DIV/0!</v>
      </c>
      <c r="AZ205" s="29" t="str">
        <f t="shared" si="209"/>
        <v>#DIV/0!</v>
      </c>
      <c r="BA205" s="29" t="str">
        <f t="shared" si="209"/>
        <v>#DIV/0!</v>
      </c>
      <c r="BB205" s="29" t="str">
        <f t="shared" si="209"/>
        <v>#DIV/0!</v>
      </c>
      <c r="BC205" s="29" t="str">
        <f t="shared" si="209"/>
        <v>#DIV/0!</v>
      </c>
      <c r="BD205" s="29" t="str">
        <f t="shared" si="209"/>
        <v>#DIV/0!</v>
      </c>
      <c r="BE205" s="29" t="str">
        <f t="shared" si="209"/>
        <v>#DIV/0!</v>
      </c>
      <c r="BF205" s="29" t="str">
        <f t="shared" si="209"/>
        <v>#DIV/0!</v>
      </c>
      <c r="BG205" s="29" t="str">
        <f t="shared" si="209"/>
        <v>#DIV/0!</v>
      </c>
      <c r="BH205" s="29" t="str">
        <f t="shared" si="209"/>
        <v>#DIV/0!</v>
      </c>
      <c r="BI205" s="29" t="str">
        <f t="shared" si="209"/>
        <v>#DIV/0!</v>
      </c>
      <c r="BJ205" s="29" t="str">
        <f t="shared" si="209"/>
        <v>#DIV/0!</v>
      </c>
      <c r="BK205" s="29" t="str">
        <f t="shared" si="209"/>
        <v>#DIV/0!</v>
      </c>
      <c r="BL205" s="29" t="str">
        <f t="shared" si="209"/>
        <v>#DIV/0!</v>
      </c>
      <c r="BM205" s="29" t="str">
        <f t="shared" si="3"/>
        <v>#DIV/0!</v>
      </c>
    </row>
    <row r="206">
      <c r="A206" s="16" t="str">
        <f>IFERROR(__xludf.DUMMYFUNCTION("IFERROR(SPARKLINE(SORT(MAP(TRANSPOSE(AQ206:BL206), LAMBDA(val, IF(ISNUMBER(val), PERCENTRANK(AQ206:BL206, val)+0.01, 0))), SEQUENCE(COLUMNS(AQ206:BL206)), FALSE), {""charttype"",""column""; ""color"",""chartreuse""; ""ymin"", 0; ""ymax"", 1.01; ""highcolo"&amp;"r"", ""darkgreen""; ""lowcolor"", ""red""}), """")"),"")</f>
        <v/>
      </c>
      <c r="B206" s="17" t="str">
        <f t="shared" si="4"/>
        <v/>
      </c>
      <c r="C206" s="1" t="s">
        <v>2245</v>
      </c>
      <c r="D206" s="30" t="str">
        <f>IFERROR(__xludf.DUMMYFUNCTION("IFERROR(GOOGLEFINANCE(C206, ""NAME""))"),"Embecta Corp")</f>
        <v>Embecta Corp</v>
      </c>
      <c r="E206" s="30" t="s">
        <v>1502</v>
      </c>
      <c r="F206" s="33" t="str">
        <f>IFERROR(__xludf.DUMMYFUNCTION("( (GOOGLEFINANCE(C206, ""price"") - Q206) / Q206 ) / (R206 / 100)"),"Loading...")</f>
        <v>Loading...</v>
      </c>
      <c r="G206" s="20" t="str">
        <f>IFERROR(__xludf.DUMMYFUNCTION("AVERAGE(ARRAYFORMULA(100 * (QUERY(GOOGLEFINANCE(C206, ""high"", TODAY()-40, TODAY()), ""SELECT Col2 WHERE Col2 IS NOT NULL ORDER BY Col1 DESC LIMIT 20"", 0) / QUERY(GOOGLEFINANCE(C206, ""low"", TODAY()-40, TODAY()), ""SELECT Col2 WHERE Col2 IS NOT NULL OR"&amp;"DER BY Col1 DESC LIMIT 20"", 0) - 1)))"),"#N/A")</f>
        <v>#N/A</v>
      </c>
      <c r="H206" s="35" t="str">
        <f t="shared" si="118"/>
        <v/>
      </c>
      <c r="I206" s="36" t="str">
        <f t="shared" si="7"/>
        <v/>
      </c>
      <c r="J206" s="37" t="str">
        <f>IFERROR(__xludf.DUMMYFUNCTION("IFERROR(
  IF(C206="""",, 
    IFERROR(
      GOOGLEFINANCE(C206, ""price"") * GOOGLEFINANCE(C206, ""volumeavg""), 
      GOOGLEFINANCE(C206, ""price"") * AVERAGE(QUERY(GOOGLEFINANCE(C206, ""volume"", TODAY()-40, TODAY()), ""SELECT Col2 WHERE Col2 IS NOT "&amp;"NULL ORDER BY Col1 DESC LIMIT 20"", 0))
    )
  ), 
"""")"),"")</f>
        <v/>
      </c>
      <c r="K206" s="21" t="str">
        <f>IFERROR(__xludf.DUMMYFUNCTION("IFERROR(GOOGLEFINANCE(C206, ""changepct"") / 100, """")"),"")</f>
        <v/>
      </c>
      <c r="L206" s="21" t="str">
        <f>IFERROR(__xludf.DUMMYFUNCTION("IFERROR((GOOGLEFINANCE(C206, ""price"") / INDEX(GOOGLEFINANCE(C206, ""price"", TODAY()-7, TODAY()), 2, 2)) - 1, """")"),"")</f>
        <v/>
      </c>
      <c r="M206" s="21" t="str">
        <f>IFERROR(__xludf.DUMMYFUNCTION("IFERROR((GOOGLEFINANCE(C206, ""price"") / INDEX(GOOGLEFINANCE(C206, ""price"", EDATE(TODAY(), -1), TODAY()), 2, 2)) - 1, """")"),"")</f>
        <v/>
      </c>
      <c r="N206" s="21" t="str">
        <f>IFERROR(__xludf.DUMMYFUNCTION("IFERROR((GOOGLEFINANCE(C206, ""price"") / INDEX(GOOGLEFINANCE(C206, ""price"", EDATE(TODAY(), -3), TODAY()), 2, 2)) - 1, """")"),"")</f>
        <v/>
      </c>
      <c r="O206" s="21" t="str">
        <f>IFERROR(__xludf.DUMMYFUNCTION("IFERROR((GOOGLEFINANCE(C206, ""price"") / INDEX(GOOGLEFINANCE(C206, ""price"", EDATE(TODAY(), -6), TODAY()), 2, 2)) - 1, """")"),"")</f>
        <v/>
      </c>
      <c r="P206" s="21" t="str">
        <f>IFERROR(__xludf.DUMMYFUNCTION("IFERROR((GOOGLEFINANCE(C206, ""price"") / INDEX(GOOGLEFINANCE(C206, ""price"", EDATE(TODAY(), -12), TODAY()), 2, 2)) - 1, """")"),"")</f>
        <v/>
      </c>
      <c r="Q206" s="6" t="str">
        <f>IFERROR(__xludf.DUMMYFUNCTION("AVERAGE(QUERY(GOOGLEFINANCE(C206, ""price"", TODAY()-80, TODAY()), ""SELECT Col2 WHERE Col2 IS NOT NULL ORDER BY Col1 DESC LIMIT 50"", 0))"),"#N/A")</f>
        <v>#N/A</v>
      </c>
      <c r="R206" s="24" t="str">
        <f>IFERROR(__xludf.DUMMYFUNCTION("IFERROR(
  LET(
    data, QUERY(GOOGLEFINANCE(C206,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GOOGLEFINANCE(C206, ""price"")) * 100,
    IF(calc=0, G206, calc)
  ), 
G206)"),"#N/A")</f>
        <v>#N/A</v>
      </c>
      <c r="S206" s="8" t="s">
        <v>15</v>
      </c>
      <c r="T206" s="26" t="str">
        <f>IFERROR(__xludf.DUMMYFUNCTION("IFERROR(TRANSPOSE(QUERY(IFERROR(SORT(GOOGLEFINANCE(C206, ""price"", WORKDAY(TODAY(), -40), TODAY()), 1, FALSE)), ""select Col2 where Col2 is not null limit 22 label Col2 ''"", 0)), """")"),"")</f>
        <v/>
      </c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8"/>
      <c r="AO206" s="28"/>
      <c r="AP206" s="29"/>
      <c r="AQ206" s="29" t="str">
        <f t="shared" ref="AQ206:BL206" si="210">T206/T$2</f>
        <v>#N/A</v>
      </c>
      <c r="AR206" s="29" t="str">
        <f t="shared" si="210"/>
        <v>#DIV/0!</v>
      </c>
      <c r="AS206" s="29" t="str">
        <f t="shared" si="210"/>
        <v>#DIV/0!</v>
      </c>
      <c r="AT206" s="29" t="str">
        <f t="shared" si="210"/>
        <v>#DIV/0!</v>
      </c>
      <c r="AU206" s="29" t="str">
        <f t="shared" si="210"/>
        <v>#DIV/0!</v>
      </c>
      <c r="AV206" s="29" t="str">
        <f t="shared" si="210"/>
        <v>#DIV/0!</v>
      </c>
      <c r="AW206" s="29" t="str">
        <f t="shared" si="210"/>
        <v>#DIV/0!</v>
      </c>
      <c r="AX206" s="29" t="str">
        <f t="shared" si="210"/>
        <v>#DIV/0!</v>
      </c>
      <c r="AY206" s="29" t="str">
        <f t="shared" si="210"/>
        <v>#DIV/0!</v>
      </c>
      <c r="AZ206" s="29" t="str">
        <f t="shared" si="210"/>
        <v>#DIV/0!</v>
      </c>
      <c r="BA206" s="29" t="str">
        <f t="shared" si="210"/>
        <v>#DIV/0!</v>
      </c>
      <c r="BB206" s="29" t="str">
        <f t="shared" si="210"/>
        <v>#DIV/0!</v>
      </c>
      <c r="BC206" s="29" t="str">
        <f t="shared" si="210"/>
        <v>#DIV/0!</v>
      </c>
      <c r="BD206" s="29" t="str">
        <f t="shared" si="210"/>
        <v>#DIV/0!</v>
      </c>
      <c r="BE206" s="29" t="str">
        <f t="shared" si="210"/>
        <v>#DIV/0!</v>
      </c>
      <c r="BF206" s="29" t="str">
        <f t="shared" si="210"/>
        <v>#DIV/0!</v>
      </c>
      <c r="BG206" s="29" t="str">
        <f t="shared" si="210"/>
        <v>#DIV/0!</v>
      </c>
      <c r="BH206" s="29" t="str">
        <f t="shared" si="210"/>
        <v>#DIV/0!</v>
      </c>
      <c r="BI206" s="29" t="str">
        <f t="shared" si="210"/>
        <v>#DIV/0!</v>
      </c>
      <c r="BJ206" s="29" t="str">
        <f t="shared" si="210"/>
        <v>#DIV/0!</v>
      </c>
      <c r="BK206" s="29" t="str">
        <f t="shared" si="210"/>
        <v>#DIV/0!</v>
      </c>
      <c r="BL206" s="29" t="str">
        <f t="shared" si="210"/>
        <v>#DIV/0!</v>
      </c>
      <c r="BM206" s="29" t="str">
        <f t="shared" si="3"/>
        <v>#DIV/0!</v>
      </c>
    </row>
    <row r="207">
      <c r="A207" s="16" t="str">
        <f>IFERROR(__xludf.DUMMYFUNCTION("IFERROR(SPARKLINE(SORT(MAP(TRANSPOSE(AQ207:BL207), LAMBDA(val, IF(ISNUMBER(val), PERCENTRANK(AQ207:BL207, val)+0.01, 0))), SEQUENCE(COLUMNS(AQ207:BL207)), FALSE), {""charttype"",""column""; ""color"",""chartreuse""; ""ymin"", 0; ""ymax"", 1.01; ""highcolo"&amp;"r"", ""darkgreen""; ""lowcolor"", ""red""}), """")"),"")</f>
        <v/>
      </c>
      <c r="B207" s="17" t="str">
        <f t="shared" si="4"/>
        <v/>
      </c>
      <c r="C207" s="1" t="s">
        <v>2249</v>
      </c>
      <c r="D207" s="30" t="str">
        <f>IFERROR(__xludf.DUMMYFUNCTION("IFERROR(GOOGLEFINANCE(C207, ""NAME""))"),"Journey Medical Corp")</f>
        <v>Journey Medical Corp</v>
      </c>
      <c r="E207" s="30" t="s">
        <v>1475</v>
      </c>
      <c r="F207" s="38" t="str">
        <f>IFERROR(__xludf.DUMMYFUNCTION("( (GOOGLEFINANCE(C207, ""price"") - Q207) / Q207 ) / (R207 / 100)"),"Loading...")</f>
        <v>Loading...</v>
      </c>
      <c r="G207" s="20" t="str">
        <f>IFERROR(__xludf.DUMMYFUNCTION("AVERAGE(ARRAYFORMULA(100 * (QUERY(GOOGLEFINANCE(C207, ""high"", TODAY()-40, TODAY()), ""SELECT Col2 WHERE Col2 IS NOT NULL ORDER BY Col1 DESC LIMIT 20"", 0) / QUERY(GOOGLEFINANCE(C207, ""low"", TODAY()-40, TODAY()), ""SELECT Col2 WHERE Col2 IS NOT NULL OR"&amp;"DER BY Col1 DESC LIMIT 20"", 0) - 1)))"),"#N/A")</f>
        <v>#N/A</v>
      </c>
      <c r="H207" s="35" t="str">
        <f t="shared" si="118"/>
        <v/>
      </c>
      <c r="I207" s="36" t="str">
        <f t="shared" si="7"/>
        <v/>
      </c>
      <c r="J207" s="37" t="str">
        <f>IFERROR(__xludf.DUMMYFUNCTION("IFERROR(
  IF(C207="""",, 
    IFERROR(
      GOOGLEFINANCE(C207, ""price"") * GOOGLEFINANCE(C207, ""volumeavg""), 
      GOOGLEFINANCE(C207, ""price"") * AVERAGE(QUERY(GOOGLEFINANCE(C207, ""volume"", TODAY()-40, TODAY()), ""SELECT Col2 WHERE Col2 IS NOT "&amp;"NULL ORDER BY Col1 DESC LIMIT 20"", 0))
    )
  ), 
"""")"),"")</f>
        <v/>
      </c>
      <c r="K207" s="21" t="str">
        <f>IFERROR(__xludf.DUMMYFUNCTION("IFERROR(GOOGLEFINANCE(C207, ""changepct"") / 100, """")"),"")</f>
        <v/>
      </c>
      <c r="L207" s="21" t="str">
        <f>IFERROR(__xludf.DUMMYFUNCTION("IFERROR((GOOGLEFINANCE(C207, ""price"") / INDEX(GOOGLEFINANCE(C207, ""price"", TODAY()-7, TODAY()), 2, 2)) - 1, """")"),"")</f>
        <v/>
      </c>
      <c r="M207" s="21" t="str">
        <f>IFERROR(__xludf.DUMMYFUNCTION("IFERROR((GOOGLEFINANCE(C207, ""price"") / INDEX(GOOGLEFINANCE(C207, ""price"", EDATE(TODAY(), -1), TODAY()), 2, 2)) - 1, """")"),"")</f>
        <v/>
      </c>
      <c r="N207" s="21" t="str">
        <f>IFERROR(__xludf.DUMMYFUNCTION("IFERROR((GOOGLEFINANCE(C207, ""price"") / INDEX(GOOGLEFINANCE(C207, ""price"", EDATE(TODAY(), -3), TODAY()), 2, 2)) - 1, """")"),"")</f>
        <v/>
      </c>
      <c r="O207" s="21" t="str">
        <f>IFERROR(__xludf.DUMMYFUNCTION("IFERROR((GOOGLEFINANCE(C207, ""price"") / INDEX(GOOGLEFINANCE(C207, ""price"", EDATE(TODAY(), -6), TODAY()), 2, 2)) - 1, """")"),"")</f>
        <v/>
      </c>
      <c r="P207" s="21" t="str">
        <f>IFERROR(__xludf.DUMMYFUNCTION("IFERROR((GOOGLEFINANCE(C207, ""price"") / INDEX(GOOGLEFINANCE(C207, ""price"", EDATE(TODAY(), -12), TODAY()), 2, 2)) - 1, """")"),"")</f>
        <v/>
      </c>
      <c r="Q207" s="6" t="str">
        <f>IFERROR(__xludf.DUMMYFUNCTION("AVERAGE(QUERY(GOOGLEFINANCE(C207, ""price"", TODAY()-80, TODAY()), ""SELECT Col2 WHERE Col2 IS NOT NULL ORDER BY Col1 DESC LIMIT 50"", 0))"),"#N/A")</f>
        <v>#N/A</v>
      </c>
      <c r="R207" s="24" t="str">
        <f>IFERROR(__xludf.DUMMYFUNCTION("IFERROR(
  LET(
    data, QUERY(GOOGLEFINANCE(C207,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GOOGLEFINANCE(C207, ""price"")) * 100,
    IF(calc=0, G207, calc)
  ), 
G207)"),"#N/A")</f>
        <v>#N/A</v>
      </c>
      <c r="S207" s="8" t="s">
        <v>15</v>
      </c>
      <c r="T207" s="26" t="str">
        <f>IFERROR(__xludf.DUMMYFUNCTION("IFERROR(TRANSPOSE(QUERY(IFERROR(SORT(GOOGLEFINANCE(C207, ""price"", WORKDAY(TODAY(), -40), TODAY()), 1, FALSE)), ""select Col2 where Col2 is not null limit 22 label Col2 ''"", 0)), """")"),"")</f>
        <v/>
      </c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8"/>
      <c r="AO207" s="28"/>
      <c r="AP207" s="29"/>
      <c r="AQ207" s="29" t="str">
        <f t="shared" ref="AQ207:BL207" si="211">T207/T$2</f>
        <v>#N/A</v>
      </c>
      <c r="AR207" s="29" t="str">
        <f t="shared" si="211"/>
        <v>#DIV/0!</v>
      </c>
      <c r="AS207" s="29" t="str">
        <f t="shared" si="211"/>
        <v>#DIV/0!</v>
      </c>
      <c r="AT207" s="29" t="str">
        <f t="shared" si="211"/>
        <v>#DIV/0!</v>
      </c>
      <c r="AU207" s="29" t="str">
        <f t="shared" si="211"/>
        <v>#DIV/0!</v>
      </c>
      <c r="AV207" s="29" t="str">
        <f t="shared" si="211"/>
        <v>#DIV/0!</v>
      </c>
      <c r="AW207" s="29" t="str">
        <f t="shared" si="211"/>
        <v>#DIV/0!</v>
      </c>
      <c r="AX207" s="29" t="str">
        <f t="shared" si="211"/>
        <v>#DIV/0!</v>
      </c>
      <c r="AY207" s="29" t="str">
        <f t="shared" si="211"/>
        <v>#DIV/0!</v>
      </c>
      <c r="AZ207" s="29" t="str">
        <f t="shared" si="211"/>
        <v>#DIV/0!</v>
      </c>
      <c r="BA207" s="29" t="str">
        <f t="shared" si="211"/>
        <v>#DIV/0!</v>
      </c>
      <c r="BB207" s="29" t="str">
        <f t="shared" si="211"/>
        <v>#DIV/0!</v>
      </c>
      <c r="BC207" s="29" t="str">
        <f t="shared" si="211"/>
        <v>#DIV/0!</v>
      </c>
      <c r="BD207" s="29" t="str">
        <f t="shared" si="211"/>
        <v>#DIV/0!</v>
      </c>
      <c r="BE207" s="29" t="str">
        <f t="shared" si="211"/>
        <v>#DIV/0!</v>
      </c>
      <c r="BF207" s="29" t="str">
        <f t="shared" si="211"/>
        <v>#DIV/0!</v>
      </c>
      <c r="BG207" s="29" t="str">
        <f t="shared" si="211"/>
        <v>#DIV/0!</v>
      </c>
      <c r="BH207" s="29" t="str">
        <f t="shared" si="211"/>
        <v>#DIV/0!</v>
      </c>
      <c r="BI207" s="29" t="str">
        <f t="shared" si="211"/>
        <v>#DIV/0!</v>
      </c>
      <c r="BJ207" s="29" t="str">
        <f t="shared" si="211"/>
        <v>#DIV/0!</v>
      </c>
      <c r="BK207" s="29" t="str">
        <f t="shared" si="211"/>
        <v>#DIV/0!</v>
      </c>
      <c r="BL207" s="29" t="str">
        <f t="shared" si="211"/>
        <v>#DIV/0!</v>
      </c>
      <c r="BM207" s="29" t="str">
        <f t="shared" si="3"/>
        <v>#DIV/0!</v>
      </c>
    </row>
    <row r="208">
      <c r="A208" s="16" t="str">
        <f>IFERROR(__xludf.DUMMYFUNCTION("IFERROR(SPARKLINE(SORT(MAP(TRANSPOSE(AQ208:BL208), LAMBDA(val, IF(ISNUMBER(val), PERCENTRANK(AQ208:BL208, val)+0.01, 0))), SEQUENCE(COLUMNS(AQ208:BL208)), FALSE), {""charttype"",""column""; ""color"",""chartreuse""; ""ymin"", 0; ""ymax"", 1.01; ""highcolo"&amp;"r"", ""darkgreen""; ""lowcolor"", ""red""}), """")"),"")</f>
        <v/>
      </c>
      <c r="B208" s="17" t="str">
        <f t="shared" si="4"/>
        <v/>
      </c>
      <c r="C208" s="1" t="s">
        <v>2253</v>
      </c>
      <c r="D208" s="30" t="str">
        <f>IFERROR(__xludf.DUMMYFUNCTION("IFERROR(GOOGLEFINANCE(C208, ""NAME""))"),"Phibro Animal Health Corp")</f>
        <v>Phibro Animal Health Corp</v>
      </c>
      <c r="E208" s="30" t="s">
        <v>1475</v>
      </c>
      <c r="F208" s="33" t="str">
        <f>IFERROR(__xludf.DUMMYFUNCTION("( (GOOGLEFINANCE(C208, ""price"") - Q208) / Q208 ) / (R208 / 100)"),"Loading...")</f>
        <v>Loading...</v>
      </c>
      <c r="G208" s="20" t="str">
        <f>IFERROR(__xludf.DUMMYFUNCTION("AVERAGE(ARRAYFORMULA(100 * (QUERY(GOOGLEFINANCE(C208, ""high"", TODAY()-40, TODAY()), ""SELECT Col2 WHERE Col2 IS NOT NULL ORDER BY Col1 DESC LIMIT 20"", 0) / QUERY(GOOGLEFINANCE(C208, ""low"", TODAY()-40, TODAY()), ""SELECT Col2 WHERE Col2 IS NOT NULL OR"&amp;"DER BY Col1 DESC LIMIT 20"", 0) - 1)))"),"#N/A")</f>
        <v>#N/A</v>
      </c>
      <c r="H208" s="35" t="str">
        <f t="shared" si="118"/>
        <v/>
      </c>
      <c r="I208" s="36" t="str">
        <f t="shared" si="7"/>
        <v/>
      </c>
      <c r="J208" s="37" t="str">
        <f>IFERROR(__xludf.DUMMYFUNCTION("IFERROR(
  IF(C208="""",, 
    IFERROR(
      GOOGLEFINANCE(C208, ""price"") * GOOGLEFINANCE(C208, ""volumeavg""), 
      GOOGLEFINANCE(C208, ""price"") * AVERAGE(QUERY(GOOGLEFINANCE(C208, ""volume"", TODAY()-40, TODAY()), ""SELECT Col2 WHERE Col2 IS NOT "&amp;"NULL ORDER BY Col1 DESC LIMIT 20"", 0))
    )
  ), 
"""")"),"")</f>
        <v/>
      </c>
      <c r="K208" s="21" t="str">
        <f>IFERROR(__xludf.DUMMYFUNCTION("IFERROR(GOOGLEFINANCE(C208, ""changepct"") / 100, """")"),"")</f>
        <v/>
      </c>
      <c r="L208" s="21" t="str">
        <f>IFERROR(__xludf.DUMMYFUNCTION("IFERROR((GOOGLEFINANCE(C208, ""price"") / INDEX(GOOGLEFINANCE(C208, ""price"", TODAY()-7, TODAY()), 2, 2)) - 1, """")"),"")</f>
        <v/>
      </c>
      <c r="M208" s="21" t="str">
        <f>IFERROR(__xludf.DUMMYFUNCTION("IFERROR((GOOGLEFINANCE(C208, ""price"") / INDEX(GOOGLEFINANCE(C208, ""price"", EDATE(TODAY(), -1), TODAY()), 2, 2)) - 1, """")"),"")</f>
        <v/>
      </c>
      <c r="N208" s="21" t="str">
        <f>IFERROR(__xludf.DUMMYFUNCTION("IFERROR((GOOGLEFINANCE(C208, ""price"") / INDEX(GOOGLEFINANCE(C208, ""price"", EDATE(TODAY(), -3), TODAY()), 2, 2)) - 1, """")"),"")</f>
        <v/>
      </c>
      <c r="O208" s="21" t="str">
        <f>IFERROR(__xludf.DUMMYFUNCTION("IFERROR((GOOGLEFINANCE(C208, ""price"") / INDEX(GOOGLEFINANCE(C208, ""price"", EDATE(TODAY(), -6), TODAY()), 2, 2)) - 1, """")"),"")</f>
        <v/>
      </c>
      <c r="P208" s="21" t="str">
        <f>IFERROR(__xludf.DUMMYFUNCTION("IFERROR((GOOGLEFINANCE(C208, ""price"") / INDEX(GOOGLEFINANCE(C208, ""price"", EDATE(TODAY(), -12), TODAY()), 2, 2)) - 1, """")"),"")</f>
        <v/>
      </c>
      <c r="Q208" s="6" t="str">
        <f>IFERROR(__xludf.DUMMYFUNCTION("AVERAGE(QUERY(GOOGLEFINANCE(C208, ""price"", TODAY()-80, TODAY()), ""SELECT Col2 WHERE Col2 IS NOT NULL ORDER BY Col1 DESC LIMIT 50"", 0))"),"#N/A")</f>
        <v>#N/A</v>
      </c>
      <c r="R208" s="24" t="str">
        <f>IFERROR(__xludf.DUMMYFUNCTION("IFERROR(
  LET(
    data, QUERY(GOOGLEFINANCE(C208,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GOOGLEFINANCE(C208, ""price"")) * 100,
    IF(calc=0, G208, calc)
  ), 
G208)"),"#N/A")</f>
        <v>#N/A</v>
      </c>
      <c r="S208" s="8" t="s">
        <v>15</v>
      </c>
      <c r="T208" s="26" t="str">
        <f>IFERROR(__xludf.DUMMYFUNCTION("IFERROR(TRANSPOSE(QUERY(IFERROR(SORT(GOOGLEFINANCE(C208, ""price"", WORKDAY(TODAY(), -40), TODAY()), 1, FALSE)), ""select Col2 where Col2 is not null limit 22 label Col2 ''"", 0)), """")"),"")</f>
        <v/>
      </c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8"/>
      <c r="AO208" s="28"/>
      <c r="AP208" s="29"/>
      <c r="AQ208" s="29" t="str">
        <f t="shared" ref="AQ208:BL208" si="212">T208/T$2</f>
        <v>#N/A</v>
      </c>
      <c r="AR208" s="29" t="str">
        <f t="shared" si="212"/>
        <v>#DIV/0!</v>
      </c>
      <c r="AS208" s="29" t="str">
        <f t="shared" si="212"/>
        <v>#DIV/0!</v>
      </c>
      <c r="AT208" s="29" t="str">
        <f t="shared" si="212"/>
        <v>#DIV/0!</v>
      </c>
      <c r="AU208" s="29" t="str">
        <f t="shared" si="212"/>
        <v>#DIV/0!</v>
      </c>
      <c r="AV208" s="29" t="str">
        <f t="shared" si="212"/>
        <v>#DIV/0!</v>
      </c>
      <c r="AW208" s="29" t="str">
        <f t="shared" si="212"/>
        <v>#DIV/0!</v>
      </c>
      <c r="AX208" s="29" t="str">
        <f t="shared" si="212"/>
        <v>#DIV/0!</v>
      </c>
      <c r="AY208" s="29" t="str">
        <f t="shared" si="212"/>
        <v>#DIV/0!</v>
      </c>
      <c r="AZ208" s="29" t="str">
        <f t="shared" si="212"/>
        <v>#DIV/0!</v>
      </c>
      <c r="BA208" s="29" t="str">
        <f t="shared" si="212"/>
        <v>#DIV/0!</v>
      </c>
      <c r="BB208" s="29" t="str">
        <f t="shared" si="212"/>
        <v>#DIV/0!</v>
      </c>
      <c r="BC208" s="29" t="str">
        <f t="shared" si="212"/>
        <v>#DIV/0!</v>
      </c>
      <c r="BD208" s="29" t="str">
        <f t="shared" si="212"/>
        <v>#DIV/0!</v>
      </c>
      <c r="BE208" s="29" t="str">
        <f t="shared" si="212"/>
        <v>#DIV/0!</v>
      </c>
      <c r="BF208" s="29" t="str">
        <f t="shared" si="212"/>
        <v>#DIV/0!</v>
      </c>
      <c r="BG208" s="29" t="str">
        <f t="shared" si="212"/>
        <v>#DIV/0!</v>
      </c>
      <c r="BH208" s="29" t="str">
        <f t="shared" si="212"/>
        <v>#DIV/0!</v>
      </c>
      <c r="BI208" s="29" t="str">
        <f t="shared" si="212"/>
        <v>#DIV/0!</v>
      </c>
      <c r="BJ208" s="29" t="str">
        <f t="shared" si="212"/>
        <v>#DIV/0!</v>
      </c>
      <c r="BK208" s="29" t="str">
        <f t="shared" si="212"/>
        <v>#DIV/0!</v>
      </c>
      <c r="BL208" s="29" t="str">
        <f t="shared" si="212"/>
        <v>#DIV/0!</v>
      </c>
      <c r="BM208" s="29" t="str">
        <f t="shared" si="3"/>
        <v>#DIV/0!</v>
      </c>
    </row>
    <row r="209">
      <c r="A209" s="16" t="str">
        <f>IFERROR(__xludf.DUMMYFUNCTION("IFERROR(SPARKLINE(SORT(MAP(TRANSPOSE(AQ209:BL209), LAMBDA(val, IF(ISNUMBER(val), PERCENTRANK(AQ209:BL209, val)+0.01, 0))), SEQUENCE(COLUMNS(AQ209:BL209)), FALSE), {""charttype"",""column""; ""color"",""chartreuse""; ""ymin"", 0; ""ymax"", 1.01; ""highcolo"&amp;"r"", ""darkgreen""; ""lowcolor"", ""red""}), """")"),"")</f>
        <v/>
      </c>
      <c r="B209" s="17" t="str">
        <f t="shared" si="4"/>
        <v/>
      </c>
      <c r="C209" s="1" t="s">
        <v>2258</v>
      </c>
      <c r="D209" s="30" t="str">
        <f>IFERROR(__xludf.DUMMYFUNCTION("IFERROR(GOOGLEFINANCE(C209, ""NAME""))"),"IDEXX Laboratories Inc")</f>
        <v>IDEXX Laboratories Inc</v>
      </c>
      <c r="E209" s="30" t="s">
        <v>1499</v>
      </c>
      <c r="F209" s="33" t="str">
        <f>IFERROR(__xludf.DUMMYFUNCTION("( (GOOGLEFINANCE(C209, ""price"") - Q209) / Q209 ) / (R209 / 100)"),"Loading...")</f>
        <v>Loading...</v>
      </c>
      <c r="G209" s="20" t="str">
        <f>IFERROR(__xludf.DUMMYFUNCTION("AVERAGE(ARRAYFORMULA(100 * (QUERY(GOOGLEFINANCE(C209, ""high"", TODAY()-40, TODAY()), ""SELECT Col2 WHERE Col2 IS NOT NULL ORDER BY Col1 DESC LIMIT 20"", 0) / QUERY(GOOGLEFINANCE(C209, ""low"", TODAY()-40, TODAY()), ""SELECT Col2 WHERE Col2 IS NOT NULL OR"&amp;"DER BY Col1 DESC LIMIT 20"", 0) - 1)))"),"#N/A")</f>
        <v>#N/A</v>
      </c>
      <c r="H209" s="35" t="str">
        <f t="shared" si="118"/>
        <v/>
      </c>
      <c r="I209" s="36" t="str">
        <f t="shared" si="7"/>
        <v/>
      </c>
      <c r="J209" s="37" t="str">
        <f>IFERROR(__xludf.DUMMYFUNCTION("IFERROR(
  IF(C209="""",, 
    IFERROR(
      GOOGLEFINANCE(C209, ""price"") * GOOGLEFINANCE(C209, ""volumeavg""), 
      GOOGLEFINANCE(C209, ""price"") * AVERAGE(QUERY(GOOGLEFINANCE(C209, ""volume"", TODAY()-40, TODAY()), ""SELECT Col2 WHERE Col2 IS NOT "&amp;"NULL ORDER BY Col1 DESC LIMIT 20"", 0))
    )
  ), 
"""")"),"")</f>
        <v/>
      </c>
      <c r="K209" s="21" t="str">
        <f>IFERROR(__xludf.DUMMYFUNCTION("IFERROR(GOOGLEFINANCE(C209, ""changepct"") / 100, """")"),"")</f>
        <v/>
      </c>
      <c r="L209" s="21" t="str">
        <f>IFERROR(__xludf.DUMMYFUNCTION("IFERROR((GOOGLEFINANCE(C209, ""price"") / INDEX(GOOGLEFINANCE(C209, ""price"", TODAY()-7, TODAY()), 2, 2)) - 1, """")"),"")</f>
        <v/>
      </c>
      <c r="M209" s="21" t="str">
        <f>IFERROR(__xludf.DUMMYFUNCTION("IFERROR((GOOGLEFINANCE(C209, ""price"") / INDEX(GOOGLEFINANCE(C209, ""price"", EDATE(TODAY(), -1), TODAY()), 2, 2)) - 1, """")"),"")</f>
        <v/>
      </c>
      <c r="N209" s="21" t="str">
        <f>IFERROR(__xludf.DUMMYFUNCTION("IFERROR((GOOGLEFINANCE(C209, ""price"") / INDEX(GOOGLEFINANCE(C209, ""price"", EDATE(TODAY(), -3), TODAY()), 2, 2)) - 1, """")"),"")</f>
        <v/>
      </c>
      <c r="O209" s="21" t="str">
        <f>IFERROR(__xludf.DUMMYFUNCTION("IFERROR((GOOGLEFINANCE(C209, ""price"") / INDEX(GOOGLEFINANCE(C209, ""price"", EDATE(TODAY(), -6), TODAY()), 2, 2)) - 1, """")"),"")</f>
        <v/>
      </c>
      <c r="P209" s="21" t="str">
        <f>IFERROR(__xludf.DUMMYFUNCTION("IFERROR((GOOGLEFINANCE(C209, ""price"") / INDEX(GOOGLEFINANCE(C209, ""price"", EDATE(TODAY(), -12), TODAY()), 2, 2)) - 1, """")"),"")</f>
        <v/>
      </c>
      <c r="Q209" s="6" t="str">
        <f>IFERROR(__xludf.DUMMYFUNCTION("AVERAGE(QUERY(GOOGLEFINANCE(C209, ""price"", TODAY()-80, TODAY()), ""SELECT Col2 WHERE Col2 IS NOT NULL ORDER BY Col1 DESC LIMIT 50"", 0))"),"#N/A")</f>
        <v>#N/A</v>
      </c>
      <c r="R209" s="24" t="str">
        <f>IFERROR(__xludf.DUMMYFUNCTION("IFERROR(
  LET(
    data, QUERY(GOOGLEFINANCE(C209,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GOOGLEFINANCE(C209, ""price"")) * 100,
    IF(calc=0, G209, calc)
  ), 
G209)"),"#N/A")</f>
        <v>#N/A</v>
      </c>
      <c r="S209" s="8" t="s">
        <v>15</v>
      </c>
      <c r="T209" s="26" t="str">
        <f>IFERROR(__xludf.DUMMYFUNCTION("IFERROR(TRANSPOSE(QUERY(IFERROR(SORT(GOOGLEFINANCE(C209, ""price"", WORKDAY(TODAY(), -40), TODAY()), 1, FALSE)), ""select Col2 where Col2 is not null limit 22 label Col2 ''"", 0)), """")"),"")</f>
        <v/>
      </c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8"/>
      <c r="AO209" s="28"/>
      <c r="AP209" s="29"/>
      <c r="AQ209" s="29" t="str">
        <f t="shared" ref="AQ209:BL209" si="213">T209/T$2</f>
        <v>#N/A</v>
      </c>
      <c r="AR209" s="29" t="str">
        <f t="shared" si="213"/>
        <v>#DIV/0!</v>
      </c>
      <c r="AS209" s="29" t="str">
        <f t="shared" si="213"/>
        <v>#DIV/0!</v>
      </c>
      <c r="AT209" s="29" t="str">
        <f t="shared" si="213"/>
        <v>#DIV/0!</v>
      </c>
      <c r="AU209" s="29" t="str">
        <f t="shared" si="213"/>
        <v>#DIV/0!</v>
      </c>
      <c r="AV209" s="29" t="str">
        <f t="shared" si="213"/>
        <v>#DIV/0!</v>
      </c>
      <c r="AW209" s="29" t="str">
        <f t="shared" si="213"/>
        <v>#DIV/0!</v>
      </c>
      <c r="AX209" s="29" t="str">
        <f t="shared" si="213"/>
        <v>#DIV/0!</v>
      </c>
      <c r="AY209" s="29" t="str">
        <f t="shared" si="213"/>
        <v>#DIV/0!</v>
      </c>
      <c r="AZ209" s="29" t="str">
        <f t="shared" si="213"/>
        <v>#DIV/0!</v>
      </c>
      <c r="BA209" s="29" t="str">
        <f t="shared" si="213"/>
        <v>#DIV/0!</v>
      </c>
      <c r="BB209" s="29" t="str">
        <f t="shared" si="213"/>
        <v>#DIV/0!</v>
      </c>
      <c r="BC209" s="29" t="str">
        <f t="shared" si="213"/>
        <v>#DIV/0!</v>
      </c>
      <c r="BD209" s="29" t="str">
        <f t="shared" si="213"/>
        <v>#DIV/0!</v>
      </c>
      <c r="BE209" s="29" t="str">
        <f t="shared" si="213"/>
        <v>#DIV/0!</v>
      </c>
      <c r="BF209" s="29" t="str">
        <f t="shared" si="213"/>
        <v>#DIV/0!</v>
      </c>
      <c r="BG209" s="29" t="str">
        <f t="shared" si="213"/>
        <v>#DIV/0!</v>
      </c>
      <c r="BH209" s="29" t="str">
        <f t="shared" si="213"/>
        <v>#DIV/0!</v>
      </c>
      <c r="BI209" s="29" t="str">
        <f t="shared" si="213"/>
        <v>#DIV/0!</v>
      </c>
      <c r="BJ209" s="29" t="str">
        <f t="shared" si="213"/>
        <v>#DIV/0!</v>
      </c>
      <c r="BK209" s="29" t="str">
        <f t="shared" si="213"/>
        <v>#DIV/0!</v>
      </c>
      <c r="BL209" s="29" t="str">
        <f t="shared" si="213"/>
        <v>#DIV/0!</v>
      </c>
      <c r="BM209" s="29" t="str">
        <f t="shared" si="3"/>
        <v>#DIV/0!</v>
      </c>
    </row>
    <row r="210">
      <c r="A210" s="16" t="str">
        <f>IFERROR(__xludf.DUMMYFUNCTION("IFERROR(SPARKLINE(SORT(MAP(TRANSPOSE(AQ210:BL210), LAMBDA(val, IF(ISNUMBER(val), PERCENTRANK(AQ210:BL210, val)+0.01, 0))), SEQUENCE(COLUMNS(AQ210:BL210)), FALSE), {""charttype"",""column""; ""color"",""chartreuse""; ""ymin"", 0; ""ymax"", 1.01; ""highcolo"&amp;"r"", ""darkgreen""; ""lowcolor"", ""red""}), """")"),"")</f>
        <v/>
      </c>
      <c r="B210" s="17" t="str">
        <f t="shared" si="4"/>
        <v/>
      </c>
      <c r="C210" s="1" t="s">
        <v>2263</v>
      </c>
      <c r="D210" s="30" t="str">
        <f>IFERROR(__xludf.DUMMYFUNCTION("IFERROR(GOOGLEFINANCE(C210, ""NAME""))"),"Edwards Lifesciences Corp")</f>
        <v>Edwards Lifesciences Corp</v>
      </c>
      <c r="E210" s="30" t="s">
        <v>1491</v>
      </c>
      <c r="F210" s="33" t="str">
        <f>IFERROR(__xludf.DUMMYFUNCTION("( (GOOGLEFINANCE(C210, ""price"") - Q210) / Q210 ) / (R210 / 100)"),"Loading...")</f>
        <v>Loading...</v>
      </c>
      <c r="G210" s="20" t="str">
        <f>IFERROR(__xludf.DUMMYFUNCTION("AVERAGE(ARRAYFORMULA(100 * (QUERY(GOOGLEFINANCE(C210, ""high"", TODAY()-40, TODAY()), ""SELECT Col2 WHERE Col2 IS NOT NULL ORDER BY Col1 DESC LIMIT 20"", 0) / QUERY(GOOGLEFINANCE(C210, ""low"", TODAY()-40, TODAY()), ""SELECT Col2 WHERE Col2 IS NOT NULL OR"&amp;"DER BY Col1 DESC LIMIT 20"", 0) - 1)))"),"#N/A")</f>
        <v>#N/A</v>
      </c>
      <c r="H210" s="35" t="str">
        <f t="shared" si="118"/>
        <v/>
      </c>
      <c r="I210" s="36" t="str">
        <f t="shared" si="7"/>
        <v/>
      </c>
      <c r="J210" s="37" t="str">
        <f>IFERROR(__xludf.DUMMYFUNCTION("IFERROR(
  IF(C210="""",, 
    IFERROR(
      GOOGLEFINANCE(C210, ""price"") * GOOGLEFINANCE(C210, ""volumeavg""), 
      GOOGLEFINANCE(C210, ""price"") * AVERAGE(QUERY(GOOGLEFINANCE(C210, ""volume"", TODAY()-40, TODAY()), ""SELECT Col2 WHERE Col2 IS NOT "&amp;"NULL ORDER BY Col1 DESC LIMIT 20"", 0))
    )
  ), 
"""")"),"")</f>
        <v/>
      </c>
      <c r="K210" s="21" t="str">
        <f>IFERROR(__xludf.DUMMYFUNCTION("IFERROR(GOOGLEFINANCE(C210, ""changepct"") / 100, """")"),"")</f>
        <v/>
      </c>
      <c r="L210" s="21" t="str">
        <f>IFERROR(__xludf.DUMMYFUNCTION("IFERROR((GOOGLEFINANCE(C210, ""price"") / INDEX(GOOGLEFINANCE(C210, ""price"", TODAY()-7, TODAY()), 2, 2)) - 1, """")"),"")</f>
        <v/>
      </c>
      <c r="M210" s="21" t="str">
        <f>IFERROR(__xludf.DUMMYFUNCTION("IFERROR((GOOGLEFINANCE(C210, ""price"") / INDEX(GOOGLEFINANCE(C210, ""price"", EDATE(TODAY(), -1), TODAY()), 2, 2)) - 1, """")"),"")</f>
        <v/>
      </c>
      <c r="N210" s="21" t="str">
        <f>IFERROR(__xludf.DUMMYFUNCTION("IFERROR((GOOGLEFINANCE(C210, ""price"") / INDEX(GOOGLEFINANCE(C210, ""price"", EDATE(TODAY(), -3), TODAY()), 2, 2)) - 1, """")"),"")</f>
        <v/>
      </c>
      <c r="O210" s="21" t="str">
        <f>IFERROR(__xludf.DUMMYFUNCTION("IFERROR((GOOGLEFINANCE(C210, ""price"") / INDEX(GOOGLEFINANCE(C210, ""price"", EDATE(TODAY(), -6), TODAY()), 2, 2)) - 1, """")"),"")</f>
        <v/>
      </c>
      <c r="P210" s="21" t="str">
        <f>IFERROR(__xludf.DUMMYFUNCTION("IFERROR((GOOGLEFINANCE(C210, ""price"") / INDEX(GOOGLEFINANCE(C210, ""price"", EDATE(TODAY(), -12), TODAY()), 2, 2)) - 1, """")"),"")</f>
        <v/>
      </c>
      <c r="Q210" s="6" t="str">
        <f>IFERROR(__xludf.DUMMYFUNCTION("AVERAGE(QUERY(GOOGLEFINANCE(C210, ""price"", TODAY()-80, TODAY()), ""SELECT Col2 WHERE Col2 IS NOT NULL ORDER BY Col1 DESC LIMIT 50"", 0))"),"#N/A")</f>
        <v>#N/A</v>
      </c>
      <c r="R210" s="24" t="str">
        <f>IFERROR(__xludf.DUMMYFUNCTION("IFERROR(
  LET(
    data, QUERY(GOOGLEFINANCE(C210,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GOOGLEFINANCE(C210, ""price"")) * 100,
    IF(calc=0, G210, calc)
  ), 
G210)"),"#N/A")</f>
        <v>#N/A</v>
      </c>
      <c r="S210" s="8" t="s">
        <v>15</v>
      </c>
      <c r="T210" s="26" t="str">
        <f>IFERROR(__xludf.DUMMYFUNCTION("IFERROR(TRANSPOSE(QUERY(IFERROR(SORT(GOOGLEFINANCE(C210, ""price"", WORKDAY(TODAY(), -40), TODAY()), 1, FALSE)), ""select Col2 where Col2 is not null limit 22 label Col2 ''"", 0)), """")"),"")</f>
        <v/>
      </c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8"/>
      <c r="AO210" s="28"/>
      <c r="AP210" s="29"/>
      <c r="AQ210" s="29" t="str">
        <f t="shared" ref="AQ210:BL210" si="214">T210/T$2</f>
        <v>#N/A</v>
      </c>
      <c r="AR210" s="29" t="str">
        <f t="shared" si="214"/>
        <v>#DIV/0!</v>
      </c>
      <c r="AS210" s="29" t="str">
        <f t="shared" si="214"/>
        <v>#DIV/0!</v>
      </c>
      <c r="AT210" s="29" t="str">
        <f t="shared" si="214"/>
        <v>#DIV/0!</v>
      </c>
      <c r="AU210" s="29" t="str">
        <f t="shared" si="214"/>
        <v>#DIV/0!</v>
      </c>
      <c r="AV210" s="29" t="str">
        <f t="shared" si="214"/>
        <v>#DIV/0!</v>
      </c>
      <c r="AW210" s="29" t="str">
        <f t="shared" si="214"/>
        <v>#DIV/0!</v>
      </c>
      <c r="AX210" s="29" t="str">
        <f t="shared" si="214"/>
        <v>#DIV/0!</v>
      </c>
      <c r="AY210" s="29" t="str">
        <f t="shared" si="214"/>
        <v>#DIV/0!</v>
      </c>
      <c r="AZ210" s="29" t="str">
        <f t="shared" si="214"/>
        <v>#DIV/0!</v>
      </c>
      <c r="BA210" s="29" t="str">
        <f t="shared" si="214"/>
        <v>#DIV/0!</v>
      </c>
      <c r="BB210" s="29" t="str">
        <f t="shared" si="214"/>
        <v>#DIV/0!</v>
      </c>
      <c r="BC210" s="29" t="str">
        <f t="shared" si="214"/>
        <v>#DIV/0!</v>
      </c>
      <c r="BD210" s="29" t="str">
        <f t="shared" si="214"/>
        <v>#DIV/0!</v>
      </c>
      <c r="BE210" s="29" t="str">
        <f t="shared" si="214"/>
        <v>#DIV/0!</v>
      </c>
      <c r="BF210" s="29" t="str">
        <f t="shared" si="214"/>
        <v>#DIV/0!</v>
      </c>
      <c r="BG210" s="29" t="str">
        <f t="shared" si="214"/>
        <v>#DIV/0!</v>
      </c>
      <c r="BH210" s="29" t="str">
        <f t="shared" si="214"/>
        <v>#DIV/0!</v>
      </c>
      <c r="BI210" s="29" t="str">
        <f t="shared" si="214"/>
        <v>#DIV/0!</v>
      </c>
      <c r="BJ210" s="29" t="str">
        <f t="shared" si="214"/>
        <v>#DIV/0!</v>
      </c>
      <c r="BK210" s="29" t="str">
        <f t="shared" si="214"/>
        <v>#DIV/0!</v>
      </c>
      <c r="BL210" s="29" t="str">
        <f t="shared" si="214"/>
        <v>#DIV/0!</v>
      </c>
      <c r="BM210" s="29" t="str">
        <f t="shared" si="3"/>
        <v>#DIV/0!</v>
      </c>
    </row>
    <row r="211">
      <c r="A211" s="16" t="str">
        <f>IFERROR(__xludf.DUMMYFUNCTION("IFERROR(SPARKLINE(SORT(MAP(TRANSPOSE(AQ211:BL211), LAMBDA(val, IF(ISNUMBER(val), PERCENTRANK(AQ211:BL211, val)+0.01, 0))), SEQUENCE(COLUMNS(AQ211:BL211)), FALSE), {""charttype"",""column""; ""color"",""chartreuse""; ""ymin"", 0; ""ymax"", 1.01; ""highcolo"&amp;"r"", ""darkgreen""; ""lowcolor"", ""red""}), """")"),"")</f>
        <v/>
      </c>
      <c r="B211" s="17" t="str">
        <f t="shared" si="4"/>
        <v/>
      </c>
      <c r="C211" s="1" t="s">
        <v>2266</v>
      </c>
      <c r="D211" s="30" t="str">
        <f>IFERROR(__xludf.DUMMYFUNCTION("IFERROR(GOOGLEFINANCE(C211, ""NAME""))"),"InnovAge Holding Corp")</f>
        <v>InnovAge Holding Corp</v>
      </c>
      <c r="E211" s="30" t="s">
        <v>1513</v>
      </c>
      <c r="F211" s="33" t="str">
        <f>IFERROR(__xludf.DUMMYFUNCTION("( (GOOGLEFINANCE(C211, ""price"") - Q211) / Q211 ) / (R211 / 100)"),"Loading...")</f>
        <v>Loading...</v>
      </c>
      <c r="G211" s="20" t="str">
        <f>IFERROR(__xludf.DUMMYFUNCTION("AVERAGE(ARRAYFORMULA(100 * (QUERY(GOOGLEFINANCE(C211, ""high"", TODAY()-40, TODAY()), ""SELECT Col2 WHERE Col2 IS NOT NULL ORDER BY Col1 DESC LIMIT 20"", 0) / QUERY(GOOGLEFINANCE(C211, ""low"", TODAY()-40, TODAY()), ""SELECT Col2 WHERE Col2 IS NOT NULL OR"&amp;"DER BY Col1 DESC LIMIT 20"", 0) - 1)))"),"#N/A")</f>
        <v>#N/A</v>
      </c>
      <c r="H211" s="35" t="str">
        <f t="shared" si="118"/>
        <v/>
      </c>
      <c r="I211" s="36" t="str">
        <f t="shared" si="7"/>
        <v/>
      </c>
      <c r="J211" s="37" t="str">
        <f>IFERROR(__xludf.DUMMYFUNCTION("IFERROR(
  IF(C211="""",, 
    IFERROR(
      GOOGLEFINANCE(C211, ""price"") * GOOGLEFINANCE(C211, ""volumeavg""), 
      GOOGLEFINANCE(C211, ""price"") * AVERAGE(QUERY(GOOGLEFINANCE(C211, ""volume"", TODAY()-40, TODAY()), ""SELECT Col2 WHERE Col2 IS NOT "&amp;"NULL ORDER BY Col1 DESC LIMIT 20"", 0))
    )
  ), 
"""")"),"")</f>
        <v/>
      </c>
      <c r="K211" s="21" t="str">
        <f>IFERROR(__xludf.DUMMYFUNCTION("IFERROR(GOOGLEFINANCE(C211, ""changepct"") / 100, """")"),"")</f>
        <v/>
      </c>
      <c r="L211" s="21" t="str">
        <f>IFERROR(__xludf.DUMMYFUNCTION("IFERROR((GOOGLEFINANCE(C211, ""price"") / INDEX(GOOGLEFINANCE(C211, ""price"", TODAY()-7, TODAY()), 2, 2)) - 1, """")"),"")</f>
        <v/>
      </c>
      <c r="M211" s="21" t="str">
        <f>IFERROR(__xludf.DUMMYFUNCTION("IFERROR((GOOGLEFINANCE(C211, ""price"") / INDEX(GOOGLEFINANCE(C211, ""price"", EDATE(TODAY(), -1), TODAY()), 2, 2)) - 1, """")"),"")</f>
        <v/>
      </c>
      <c r="N211" s="21" t="str">
        <f>IFERROR(__xludf.DUMMYFUNCTION("IFERROR((GOOGLEFINANCE(C211, ""price"") / INDEX(GOOGLEFINANCE(C211, ""price"", EDATE(TODAY(), -3), TODAY()), 2, 2)) - 1, """")"),"")</f>
        <v/>
      </c>
      <c r="O211" s="21" t="str">
        <f>IFERROR(__xludf.DUMMYFUNCTION("IFERROR((GOOGLEFINANCE(C211, ""price"") / INDEX(GOOGLEFINANCE(C211, ""price"", EDATE(TODAY(), -6), TODAY()), 2, 2)) - 1, """")"),"")</f>
        <v/>
      </c>
      <c r="P211" s="21" t="str">
        <f>IFERROR(__xludf.DUMMYFUNCTION("IFERROR((GOOGLEFINANCE(C211, ""price"") / INDEX(GOOGLEFINANCE(C211, ""price"", EDATE(TODAY(), -12), TODAY()), 2, 2)) - 1, """")"),"")</f>
        <v/>
      </c>
      <c r="Q211" s="6" t="str">
        <f>IFERROR(__xludf.DUMMYFUNCTION("AVERAGE(QUERY(GOOGLEFINANCE(C211, ""price"", TODAY()-80, TODAY()), ""SELECT Col2 WHERE Col2 IS NOT NULL ORDER BY Col1 DESC LIMIT 50"", 0))"),"#N/A")</f>
        <v>#N/A</v>
      </c>
      <c r="R211" s="24" t="str">
        <f>IFERROR(__xludf.DUMMYFUNCTION("IFERROR(
  LET(
    data, QUERY(GOOGLEFINANCE(C211,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GOOGLEFINANCE(C211, ""price"")) * 100,
    IF(calc=0, G211, calc)
  ), 
G211)"),"#N/A")</f>
        <v>#N/A</v>
      </c>
      <c r="S211" s="8" t="s">
        <v>15</v>
      </c>
      <c r="T211" s="26" t="str">
        <f>IFERROR(__xludf.DUMMYFUNCTION("IFERROR(TRANSPOSE(QUERY(IFERROR(SORT(GOOGLEFINANCE(C211, ""price"", WORKDAY(TODAY(), -40), TODAY()), 1, FALSE)), ""select Col2 where Col2 is not null limit 22 label Col2 ''"", 0)), """")"),"")</f>
        <v/>
      </c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8"/>
      <c r="AO211" s="28"/>
      <c r="AP211" s="29"/>
      <c r="AQ211" s="29" t="str">
        <f t="shared" ref="AQ211:BL211" si="215">T211/T$2</f>
        <v>#N/A</v>
      </c>
      <c r="AR211" s="29" t="str">
        <f t="shared" si="215"/>
        <v>#DIV/0!</v>
      </c>
      <c r="AS211" s="29" t="str">
        <f t="shared" si="215"/>
        <v>#DIV/0!</v>
      </c>
      <c r="AT211" s="29" t="str">
        <f t="shared" si="215"/>
        <v>#DIV/0!</v>
      </c>
      <c r="AU211" s="29" t="str">
        <f t="shared" si="215"/>
        <v>#DIV/0!</v>
      </c>
      <c r="AV211" s="29" t="str">
        <f t="shared" si="215"/>
        <v>#DIV/0!</v>
      </c>
      <c r="AW211" s="29" t="str">
        <f t="shared" si="215"/>
        <v>#DIV/0!</v>
      </c>
      <c r="AX211" s="29" t="str">
        <f t="shared" si="215"/>
        <v>#DIV/0!</v>
      </c>
      <c r="AY211" s="29" t="str">
        <f t="shared" si="215"/>
        <v>#DIV/0!</v>
      </c>
      <c r="AZ211" s="29" t="str">
        <f t="shared" si="215"/>
        <v>#DIV/0!</v>
      </c>
      <c r="BA211" s="29" t="str">
        <f t="shared" si="215"/>
        <v>#DIV/0!</v>
      </c>
      <c r="BB211" s="29" t="str">
        <f t="shared" si="215"/>
        <v>#DIV/0!</v>
      </c>
      <c r="BC211" s="29" t="str">
        <f t="shared" si="215"/>
        <v>#DIV/0!</v>
      </c>
      <c r="BD211" s="29" t="str">
        <f t="shared" si="215"/>
        <v>#DIV/0!</v>
      </c>
      <c r="BE211" s="29" t="str">
        <f t="shared" si="215"/>
        <v>#DIV/0!</v>
      </c>
      <c r="BF211" s="29" t="str">
        <f t="shared" si="215"/>
        <v>#DIV/0!</v>
      </c>
      <c r="BG211" s="29" t="str">
        <f t="shared" si="215"/>
        <v>#DIV/0!</v>
      </c>
      <c r="BH211" s="29" t="str">
        <f t="shared" si="215"/>
        <v>#DIV/0!</v>
      </c>
      <c r="BI211" s="29" t="str">
        <f t="shared" si="215"/>
        <v>#DIV/0!</v>
      </c>
      <c r="BJ211" s="29" t="str">
        <f t="shared" si="215"/>
        <v>#DIV/0!</v>
      </c>
      <c r="BK211" s="29" t="str">
        <f t="shared" si="215"/>
        <v>#DIV/0!</v>
      </c>
      <c r="BL211" s="29" t="str">
        <f t="shared" si="215"/>
        <v>#DIV/0!</v>
      </c>
      <c r="BM211" s="29" t="str">
        <f t="shared" si="3"/>
        <v>#DIV/0!</v>
      </c>
    </row>
    <row r="212">
      <c r="A212" s="16" t="str">
        <f>IFERROR(__xludf.DUMMYFUNCTION("IFERROR(SPARKLINE(SORT(MAP(TRANSPOSE(AQ212:BL212), LAMBDA(val, IF(ISNUMBER(val), PERCENTRANK(AQ212:BL212, val)+0.01, 0))), SEQUENCE(COLUMNS(AQ212:BL212)), FALSE), {""charttype"",""column""; ""color"",""chartreuse""; ""ymin"", 0; ""ymax"", 1.01; ""highcolo"&amp;"r"", ""darkgreen""; ""lowcolor"", ""red""}), """")"),"")</f>
        <v/>
      </c>
      <c r="B212" s="17" t="str">
        <f t="shared" si="4"/>
        <v/>
      </c>
      <c r="C212" s="1" t="s">
        <v>2271</v>
      </c>
      <c r="D212" s="30" t="str">
        <f>IFERROR(__xludf.DUMMYFUNCTION("IFERROR(GOOGLEFINANCE(C212, ""NAME""))"),"Brookdale Senior Living Inc")</f>
        <v>Brookdale Senior Living Inc</v>
      </c>
      <c r="E212" s="30" t="s">
        <v>1513</v>
      </c>
      <c r="F212" s="33" t="str">
        <f>IFERROR(__xludf.DUMMYFUNCTION("( (GOOGLEFINANCE(C212, ""price"") - Q212) / Q212 ) / (R212 / 100)"),"Loading...")</f>
        <v>Loading...</v>
      </c>
      <c r="G212" s="20" t="str">
        <f>IFERROR(__xludf.DUMMYFUNCTION("AVERAGE(ARRAYFORMULA(100 * (QUERY(GOOGLEFINANCE(C212, ""high"", TODAY()-40, TODAY()), ""SELECT Col2 WHERE Col2 IS NOT NULL ORDER BY Col1 DESC LIMIT 20"", 0) / QUERY(GOOGLEFINANCE(C212, ""low"", TODAY()-40, TODAY()), ""SELECT Col2 WHERE Col2 IS NOT NULL OR"&amp;"DER BY Col1 DESC LIMIT 20"", 0) - 1)))"),"#N/A")</f>
        <v>#N/A</v>
      </c>
      <c r="H212" s="35" t="str">
        <f t="shared" si="118"/>
        <v/>
      </c>
      <c r="I212" s="36" t="str">
        <f t="shared" si="7"/>
        <v/>
      </c>
      <c r="J212" s="37" t="str">
        <f>IFERROR(__xludf.DUMMYFUNCTION("IFERROR(
  IF(C212="""",, 
    IFERROR(
      GOOGLEFINANCE(C212, ""price"") * GOOGLEFINANCE(C212, ""volumeavg""), 
      GOOGLEFINANCE(C212, ""price"") * AVERAGE(QUERY(GOOGLEFINANCE(C212, ""volume"", TODAY()-40, TODAY()), ""SELECT Col2 WHERE Col2 IS NOT "&amp;"NULL ORDER BY Col1 DESC LIMIT 20"", 0))
    )
  ), 
"""")"),"")</f>
        <v/>
      </c>
      <c r="K212" s="21" t="str">
        <f>IFERROR(__xludf.DUMMYFUNCTION("IFERROR(GOOGLEFINANCE(C212, ""changepct"") / 100, """")"),"")</f>
        <v/>
      </c>
      <c r="L212" s="21" t="str">
        <f>IFERROR(__xludf.DUMMYFUNCTION("IFERROR((GOOGLEFINANCE(C212, ""price"") / INDEX(GOOGLEFINANCE(C212, ""price"", TODAY()-7, TODAY()), 2, 2)) - 1, """")"),"")</f>
        <v/>
      </c>
      <c r="M212" s="21" t="str">
        <f>IFERROR(__xludf.DUMMYFUNCTION("IFERROR((GOOGLEFINANCE(C212, ""price"") / INDEX(GOOGLEFINANCE(C212, ""price"", EDATE(TODAY(), -1), TODAY()), 2, 2)) - 1, """")"),"")</f>
        <v/>
      </c>
      <c r="N212" s="21" t="str">
        <f>IFERROR(__xludf.DUMMYFUNCTION("IFERROR((GOOGLEFINANCE(C212, ""price"") / INDEX(GOOGLEFINANCE(C212, ""price"", EDATE(TODAY(), -3), TODAY()), 2, 2)) - 1, """")"),"")</f>
        <v/>
      </c>
      <c r="O212" s="21" t="str">
        <f>IFERROR(__xludf.DUMMYFUNCTION("IFERROR((GOOGLEFINANCE(C212, ""price"") / INDEX(GOOGLEFINANCE(C212, ""price"", EDATE(TODAY(), -6), TODAY()), 2, 2)) - 1, """")"),"")</f>
        <v/>
      </c>
      <c r="P212" s="21" t="str">
        <f>IFERROR(__xludf.DUMMYFUNCTION("IFERROR((GOOGLEFINANCE(C212, ""price"") / INDEX(GOOGLEFINANCE(C212, ""price"", EDATE(TODAY(), -12), TODAY()), 2, 2)) - 1, """")"),"")</f>
        <v/>
      </c>
      <c r="Q212" s="6" t="str">
        <f>IFERROR(__xludf.DUMMYFUNCTION("AVERAGE(QUERY(GOOGLEFINANCE(C212, ""price"", TODAY()-80, TODAY()), ""SELECT Col2 WHERE Col2 IS NOT NULL ORDER BY Col1 DESC LIMIT 50"", 0))"),"#N/A")</f>
        <v>#N/A</v>
      </c>
      <c r="R212" s="24" t="str">
        <f>IFERROR(__xludf.DUMMYFUNCTION("IFERROR(
  LET(
    data, QUERY(GOOGLEFINANCE(C212,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GOOGLEFINANCE(C212, ""price"")) * 100,
    IF(calc=0, G212, calc)
  ), 
G212)"),"#N/A")</f>
        <v>#N/A</v>
      </c>
      <c r="S212" s="8" t="s">
        <v>15</v>
      </c>
      <c r="T212" s="26" t="str">
        <f>IFERROR(__xludf.DUMMYFUNCTION("IFERROR(TRANSPOSE(QUERY(IFERROR(SORT(GOOGLEFINANCE(C212, ""price"", WORKDAY(TODAY(), -40), TODAY()), 1, FALSE)), ""select Col2 where Col2 is not null limit 22 label Col2 ''"", 0)), """")"),"")</f>
        <v/>
      </c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8"/>
      <c r="AO212" s="28"/>
      <c r="AP212" s="29"/>
      <c r="AQ212" s="29" t="str">
        <f t="shared" ref="AQ212:BL212" si="216">T212/T$2</f>
        <v>#N/A</v>
      </c>
      <c r="AR212" s="29" t="str">
        <f t="shared" si="216"/>
        <v>#DIV/0!</v>
      </c>
      <c r="AS212" s="29" t="str">
        <f t="shared" si="216"/>
        <v>#DIV/0!</v>
      </c>
      <c r="AT212" s="29" t="str">
        <f t="shared" si="216"/>
        <v>#DIV/0!</v>
      </c>
      <c r="AU212" s="29" t="str">
        <f t="shared" si="216"/>
        <v>#DIV/0!</v>
      </c>
      <c r="AV212" s="29" t="str">
        <f t="shared" si="216"/>
        <v>#DIV/0!</v>
      </c>
      <c r="AW212" s="29" t="str">
        <f t="shared" si="216"/>
        <v>#DIV/0!</v>
      </c>
      <c r="AX212" s="29" t="str">
        <f t="shared" si="216"/>
        <v>#DIV/0!</v>
      </c>
      <c r="AY212" s="29" t="str">
        <f t="shared" si="216"/>
        <v>#DIV/0!</v>
      </c>
      <c r="AZ212" s="29" t="str">
        <f t="shared" si="216"/>
        <v>#DIV/0!</v>
      </c>
      <c r="BA212" s="29" t="str">
        <f t="shared" si="216"/>
        <v>#DIV/0!</v>
      </c>
      <c r="BB212" s="29" t="str">
        <f t="shared" si="216"/>
        <v>#DIV/0!</v>
      </c>
      <c r="BC212" s="29" t="str">
        <f t="shared" si="216"/>
        <v>#DIV/0!</v>
      </c>
      <c r="BD212" s="29" t="str">
        <f t="shared" si="216"/>
        <v>#DIV/0!</v>
      </c>
      <c r="BE212" s="29" t="str">
        <f t="shared" si="216"/>
        <v>#DIV/0!</v>
      </c>
      <c r="BF212" s="29" t="str">
        <f t="shared" si="216"/>
        <v>#DIV/0!</v>
      </c>
      <c r="BG212" s="29" t="str">
        <f t="shared" si="216"/>
        <v>#DIV/0!</v>
      </c>
      <c r="BH212" s="29" t="str">
        <f t="shared" si="216"/>
        <v>#DIV/0!</v>
      </c>
      <c r="BI212" s="29" t="str">
        <f t="shared" si="216"/>
        <v>#DIV/0!</v>
      </c>
      <c r="BJ212" s="29" t="str">
        <f t="shared" si="216"/>
        <v>#DIV/0!</v>
      </c>
      <c r="BK212" s="29" t="str">
        <f t="shared" si="216"/>
        <v>#DIV/0!</v>
      </c>
      <c r="BL212" s="29" t="str">
        <f t="shared" si="216"/>
        <v>#DIV/0!</v>
      </c>
      <c r="BM212" s="29" t="str">
        <f t="shared" si="3"/>
        <v>#DIV/0!</v>
      </c>
    </row>
    <row r="213">
      <c r="A213" s="16" t="str">
        <f>IFERROR(__xludf.DUMMYFUNCTION("IFERROR(SPARKLINE(SORT(MAP(TRANSPOSE(AQ213:BL213), LAMBDA(val, IF(ISNUMBER(val), PERCENTRANK(AQ213:BL213, val)+0.01, 0))), SEQUENCE(COLUMNS(AQ213:BL213)), FALSE), {""charttype"",""column""; ""color"",""chartreuse""; ""ymin"", 0; ""ymax"", 1.01; ""highcolo"&amp;"r"", ""darkgreen""; ""lowcolor"", ""red""}), """")"),"")</f>
        <v/>
      </c>
      <c r="B213" s="17" t="str">
        <f t="shared" si="4"/>
        <v/>
      </c>
      <c r="C213" s="1" t="s">
        <v>2275</v>
      </c>
      <c r="D213" s="30" t="str">
        <f>IFERROR(__xludf.DUMMYFUNCTION("IFERROR(GOOGLEFINANCE(C213, ""NAME""))"),"Conmed Corp")</f>
        <v>Conmed Corp</v>
      </c>
      <c r="E213" s="30" t="s">
        <v>1491</v>
      </c>
      <c r="F213" s="33" t="str">
        <f>IFERROR(__xludf.DUMMYFUNCTION("( (GOOGLEFINANCE(C213, ""price"") - Q213) / Q213 ) / (R213 / 100)"),"Loading...")</f>
        <v>Loading...</v>
      </c>
      <c r="G213" s="20" t="str">
        <f>IFERROR(__xludf.DUMMYFUNCTION("AVERAGE(ARRAYFORMULA(100 * (QUERY(GOOGLEFINANCE(C213, ""high"", TODAY()-40, TODAY()), ""SELECT Col2 WHERE Col2 IS NOT NULL ORDER BY Col1 DESC LIMIT 20"", 0) / QUERY(GOOGLEFINANCE(C213, ""low"", TODAY()-40, TODAY()), ""SELECT Col2 WHERE Col2 IS NOT NULL OR"&amp;"DER BY Col1 DESC LIMIT 20"", 0) - 1)))"),"#N/A")</f>
        <v>#N/A</v>
      </c>
      <c r="H213" s="35" t="str">
        <f t="shared" si="118"/>
        <v/>
      </c>
      <c r="I213" s="36" t="str">
        <f t="shared" si="7"/>
        <v/>
      </c>
      <c r="J213" s="37" t="str">
        <f>IFERROR(__xludf.DUMMYFUNCTION("IFERROR(
  IF(C213="""",, 
    IFERROR(
      GOOGLEFINANCE(C213, ""price"") * GOOGLEFINANCE(C213, ""volumeavg""), 
      GOOGLEFINANCE(C213, ""price"") * AVERAGE(QUERY(GOOGLEFINANCE(C213, ""volume"", TODAY()-40, TODAY()), ""SELECT Col2 WHERE Col2 IS NOT "&amp;"NULL ORDER BY Col1 DESC LIMIT 20"", 0))
    )
  ), 
"""")"),"")</f>
        <v/>
      </c>
      <c r="K213" s="21" t="str">
        <f>IFERROR(__xludf.DUMMYFUNCTION("IFERROR(GOOGLEFINANCE(C213, ""changepct"") / 100, """")"),"")</f>
        <v/>
      </c>
      <c r="L213" s="21" t="str">
        <f>IFERROR(__xludf.DUMMYFUNCTION("IFERROR((GOOGLEFINANCE(C213, ""price"") / INDEX(GOOGLEFINANCE(C213, ""price"", TODAY()-7, TODAY()), 2, 2)) - 1, """")"),"")</f>
        <v/>
      </c>
      <c r="M213" s="21" t="str">
        <f>IFERROR(__xludf.DUMMYFUNCTION("IFERROR((GOOGLEFINANCE(C213, ""price"") / INDEX(GOOGLEFINANCE(C213, ""price"", EDATE(TODAY(), -1), TODAY()), 2, 2)) - 1, """")"),"")</f>
        <v/>
      </c>
      <c r="N213" s="21" t="str">
        <f>IFERROR(__xludf.DUMMYFUNCTION("IFERROR((GOOGLEFINANCE(C213, ""price"") / INDEX(GOOGLEFINANCE(C213, ""price"", EDATE(TODAY(), -3), TODAY()), 2, 2)) - 1, """")"),"")</f>
        <v/>
      </c>
      <c r="O213" s="21" t="str">
        <f>IFERROR(__xludf.DUMMYFUNCTION("IFERROR((GOOGLEFINANCE(C213, ""price"") / INDEX(GOOGLEFINANCE(C213, ""price"", EDATE(TODAY(), -6), TODAY()), 2, 2)) - 1, """")"),"")</f>
        <v/>
      </c>
      <c r="P213" s="21" t="str">
        <f>IFERROR(__xludf.DUMMYFUNCTION("IFERROR((GOOGLEFINANCE(C213, ""price"") / INDEX(GOOGLEFINANCE(C213, ""price"", EDATE(TODAY(), -12), TODAY()), 2, 2)) - 1, """")"),"")</f>
        <v/>
      </c>
      <c r="Q213" s="6" t="str">
        <f>IFERROR(__xludf.DUMMYFUNCTION("AVERAGE(QUERY(GOOGLEFINANCE(C213, ""price"", TODAY()-80, TODAY()), ""SELECT Col2 WHERE Col2 IS NOT NULL ORDER BY Col1 DESC LIMIT 50"", 0))"),"#N/A")</f>
        <v>#N/A</v>
      </c>
      <c r="R213" s="24" t="str">
        <f>IFERROR(__xludf.DUMMYFUNCTION("IFERROR(
  LET(
    data, QUERY(GOOGLEFINANCE(C213,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GOOGLEFINANCE(C213, ""price"")) * 100,
    IF(calc=0, G213, calc)
  ), 
G213)"),"#N/A")</f>
        <v>#N/A</v>
      </c>
      <c r="S213" s="8" t="s">
        <v>15</v>
      </c>
      <c r="T213" s="26" t="str">
        <f>IFERROR(__xludf.DUMMYFUNCTION("IFERROR(TRANSPOSE(QUERY(IFERROR(SORT(GOOGLEFINANCE(C213, ""price"", WORKDAY(TODAY(), -40), TODAY()), 1, FALSE)), ""select Col2 where Col2 is not null limit 22 label Col2 ''"", 0)), """")"),"")</f>
        <v/>
      </c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8"/>
      <c r="AO213" s="28"/>
      <c r="AP213" s="29"/>
      <c r="AQ213" s="29" t="str">
        <f t="shared" ref="AQ213:BL213" si="217">T213/T$2</f>
        <v>#N/A</v>
      </c>
      <c r="AR213" s="29" t="str">
        <f t="shared" si="217"/>
        <v>#DIV/0!</v>
      </c>
      <c r="AS213" s="29" t="str">
        <f t="shared" si="217"/>
        <v>#DIV/0!</v>
      </c>
      <c r="AT213" s="29" t="str">
        <f t="shared" si="217"/>
        <v>#DIV/0!</v>
      </c>
      <c r="AU213" s="29" t="str">
        <f t="shared" si="217"/>
        <v>#DIV/0!</v>
      </c>
      <c r="AV213" s="29" t="str">
        <f t="shared" si="217"/>
        <v>#DIV/0!</v>
      </c>
      <c r="AW213" s="29" t="str">
        <f t="shared" si="217"/>
        <v>#DIV/0!</v>
      </c>
      <c r="AX213" s="29" t="str">
        <f t="shared" si="217"/>
        <v>#DIV/0!</v>
      </c>
      <c r="AY213" s="29" t="str">
        <f t="shared" si="217"/>
        <v>#DIV/0!</v>
      </c>
      <c r="AZ213" s="29" t="str">
        <f t="shared" si="217"/>
        <v>#DIV/0!</v>
      </c>
      <c r="BA213" s="29" t="str">
        <f t="shared" si="217"/>
        <v>#DIV/0!</v>
      </c>
      <c r="BB213" s="29" t="str">
        <f t="shared" si="217"/>
        <v>#DIV/0!</v>
      </c>
      <c r="BC213" s="29" t="str">
        <f t="shared" si="217"/>
        <v>#DIV/0!</v>
      </c>
      <c r="BD213" s="29" t="str">
        <f t="shared" si="217"/>
        <v>#DIV/0!</v>
      </c>
      <c r="BE213" s="29" t="str">
        <f t="shared" si="217"/>
        <v>#DIV/0!</v>
      </c>
      <c r="BF213" s="29" t="str">
        <f t="shared" si="217"/>
        <v>#DIV/0!</v>
      </c>
      <c r="BG213" s="29" t="str">
        <f t="shared" si="217"/>
        <v>#DIV/0!</v>
      </c>
      <c r="BH213" s="29" t="str">
        <f t="shared" si="217"/>
        <v>#DIV/0!</v>
      </c>
      <c r="BI213" s="29" t="str">
        <f t="shared" si="217"/>
        <v>#DIV/0!</v>
      </c>
      <c r="BJ213" s="29" t="str">
        <f t="shared" si="217"/>
        <v>#DIV/0!</v>
      </c>
      <c r="BK213" s="29" t="str">
        <f t="shared" si="217"/>
        <v>#DIV/0!</v>
      </c>
      <c r="BL213" s="29" t="str">
        <f t="shared" si="217"/>
        <v>#DIV/0!</v>
      </c>
      <c r="BM213" s="29" t="str">
        <f t="shared" si="3"/>
        <v>#DIV/0!</v>
      </c>
    </row>
    <row r="214">
      <c r="A214" s="16" t="str">
        <f>IFERROR(__xludf.DUMMYFUNCTION("IFERROR(SPARKLINE(SORT(MAP(TRANSPOSE(AQ214:BL214), LAMBDA(val, IF(ISNUMBER(val), PERCENTRANK(AQ214:BL214, val)+0.01, 0))), SEQUENCE(COLUMNS(AQ214:BL214)), FALSE), {""charttype"",""column""; ""color"",""chartreuse""; ""ymin"", 0; ""ymax"", 1.01; ""highcolo"&amp;"r"", ""darkgreen""; ""lowcolor"", ""red""}), """")"),"")</f>
        <v/>
      </c>
      <c r="B214" s="17" t="str">
        <f t="shared" si="4"/>
        <v/>
      </c>
      <c r="C214" s="1" t="s">
        <v>2279</v>
      </c>
      <c r="D214" s="30" t="str">
        <f>IFERROR(__xludf.DUMMYFUNCTION("IFERROR(GOOGLEFINANCE(C214, ""NAME""))"),"Lifecore Biomedical Inc")</f>
        <v>Lifecore Biomedical Inc</v>
      </c>
      <c r="E214" s="30" t="s">
        <v>1475</v>
      </c>
      <c r="F214" s="33" t="str">
        <f>IFERROR(__xludf.DUMMYFUNCTION("( (GOOGLEFINANCE(C214, ""price"") - Q214) / Q214 ) / (R214 / 100)"),"Loading...")</f>
        <v>Loading...</v>
      </c>
      <c r="G214" s="20" t="str">
        <f>IFERROR(__xludf.DUMMYFUNCTION("AVERAGE(ARRAYFORMULA(100 * (QUERY(GOOGLEFINANCE(C214, ""high"", TODAY()-40, TODAY()), ""SELECT Col2 WHERE Col2 IS NOT NULL ORDER BY Col1 DESC LIMIT 20"", 0) / QUERY(GOOGLEFINANCE(C214, ""low"", TODAY()-40, TODAY()), ""SELECT Col2 WHERE Col2 IS NOT NULL OR"&amp;"DER BY Col1 DESC LIMIT 20"", 0) - 1)))"),"#N/A")</f>
        <v>#N/A</v>
      </c>
      <c r="H214" s="35" t="str">
        <f t="shared" si="118"/>
        <v/>
      </c>
      <c r="I214" s="36" t="str">
        <f t="shared" si="7"/>
        <v/>
      </c>
      <c r="J214" s="37" t="str">
        <f>IFERROR(__xludf.DUMMYFUNCTION("IFERROR(
  IF(C214="""",, 
    IFERROR(
      GOOGLEFINANCE(C214, ""price"") * GOOGLEFINANCE(C214, ""volumeavg""), 
      GOOGLEFINANCE(C214, ""price"") * AVERAGE(QUERY(GOOGLEFINANCE(C214, ""volume"", TODAY()-40, TODAY()), ""SELECT Col2 WHERE Col2 IS NOT "&amp;"NULL ORDER BY Col1 DESC LIMIT 20"", 0))
    )
  ), 
"""")"),"")</f>
        <v/>
      </c>
      <c r="K214" s="21" t="str">
        <f>IFERROR(__xludf.DUMMYFUNCTION("IFERROR(GOOGLEFINANCE(C214, ""changepct"") / 100, """")"),"")</f>
        <v/>
      </c>
      <c r="L214" s="21" t="str">
        <f>IFERROR(__xludf.DUMMYFUNCTION("IFERROR((GOOGLEFINANCE(C214, ""price"") / INDEX(GOOGLEFINANCE(C214, ""price"", TODAY()-7, TODAY()), 2, 2)) - 1, """")"),"")</f>
        <v/>
      </c>
      <c r="M214" s="21" t="str">
        <f>IFERROR(__xludf.DUMMYFUNCTION("IFERROR((GOOGLEFINANCE(C214, ""price"") / INDEX(GOOGLEFINANCE(C214, ""price"", EDATE(TODAY(), -1), TODAY()), 2, 2)) - 1, """")"),"")</f>
        <v/>
      </c>
      <c r="N214" s="21" t="str">
        <f>IFERROR(__xludf.DUMMYFUNCTION("IFERROR((GOOGLEFINANCE(C214, ""price"") / INDEX(GOOGLEFINANCE(C214, ""price"", EDATE(TODAY(), -3), TODAY()), 2, 2)) - 1, """")"),"")</f>
        <v/>
      </c>
      <c r="O214" s="21" t="str">
        <f>IFERROR(__xludf.DUMMYFUNCTION("IFERROR((GOOGLEFINANCE(C214, ""price"") / INDEX(GOOGLEFINANCE(C214, ""price"", EDATE(TODAY(), -6), TODAY()), 2, 2)) - 1, """")"),"")</f>
        <v/>
      </c>
      <c r="P214" s="21" t="str">
        <f>IFERROR(__xludf.DUMMYFUNCTION("IFERROR((GOOGLEFINANCE(C214, ""price"") / INDEX(GOOGLEFINANCE(C214, ""price"", EDATE(TODAY(), -12), TODAY()), 2, 2)) - 1, """")"),"")</f>
        <v/>
      </c>
      <c r="Q214" s="6" t="str">
        <f>IFERROR(__xludf.DUMMYFUNCTION("AVERAGE(QUERY(GOOGLEFINANCE(C214, ""price"", TODAY()-80, TODAY()), ""SELECT Col2 WHERE Col2 IS NOT NULL ORDER BY Col1 DESC LIMIT 50"", 0))"),"#N/A")</f>
        <v>#N/A</v>
      </c>
      <c r="R214" s="24" t="str">
        <f>IFERROR(__xludf.DUMMYFUNCTION("IFERROR(
  LET(
    data, QUERY(GOOGLEFINANCE(C214,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GOOGLEFINANCE(C214, ""price"")) * 100,
    IF(calc=0, G214, calc)
  ), 
G214)"),"#N/A")</f>
        <v>#N/A</v>
      </c>
      <c r="S214" s="8" t="s">
        <v>15</v>
      </c>
      <c r="T214" s="26" t="str">
        <f>IFERROR(__xludf.DUMMYFUNCTION("IFERROR(TRANSPOSE(QUERY(IFERROR(SORT(GOOGLEFINANCE(C214, ""price"", WORKDAY(TODAY(), -40), TODAY()), 1, FALSE)), ""select Col2 where Col2 is not null limit 22 label Col2 ''"", 0)), """")"),"")</f>
        <v/>
      </c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8"/>
      <c r="AO214" s="28"/>
      <c r="AP214" s="29"/>
      <c r="AQ214" s="29" t="str">
        <f t="shared" ref="AQ214:BL214" si="218">T214/T$2</f>
        <v>#N/A</v>
      </c>
      <c r="AR214" s="29" t="str">
        <f t="shared" si="218"/>
        <v>#DIV/0!</v>
      </c>
      <c r="AS214" s="29" t="str">
        <f t="shared" si="218"/>
        <v>#DIV/0!</v>
      </c>
      <c r="AT214" s="29" t="str">
        <f t="shared" si="218"/>
        <v>#DIV/0!</v>
      </c>
      <c r="AU214" s="29" t="str">
        <f t="shared" si="218"/>
        <v>#DIV/0!</v>
      </c>
      <c r="AV214" s="29" t="str">
        <f t="shared" si="218"/>
        <v>#DIV/0!</v>
      </c>
      <c r="AW214" s="29" t="str">
        <f t="shared" si="218"/>
        <v>#DIV/0!</v>
      </c>
      <c r="AX214" s="29" t="str">
        <f t="shared" si="218"/>
        <v>#DIV/0!</v>
      </c>
      <c r="AY214" s="29" t="str">
        <f t="shared" si="218"/>
        <v>#DIV/0!</v>
      </c>
      <c r="AZ214" s="29" t="str">
        <f t="shared" si="218"/>
        <v>#DIV/0!</v>
      </c>
      <c r="BA214" s="29" t="str">
        <f t="shared" si="218"/>
        <v>#DIV/0!</v>
      </c>
      <c r="BB214" s="29" t="str">
        <f t="shared" si="218"/>
        <v>#DIV/0!</v>
      </c>
      <c r="BC214" s="29" t="str">
        <f t="shared" si="218"/>
        <v>#DIV/0!</v>
      </c>
      <c r="BD214" s="29" t="str">
        <f t="shared" si="218"/>
        <v>#DIV/0!</v>
      </c>
      <c r="BE214" s="29" t="str">
        <f t="shared" si="218"/>
        <v>#DIV/0!</v>
      </c>
      <c r="BF214" s="29" t="str">
        <f t="shared" si="218"/>
        <v>#DIV/0!</v>
      </c>
      <c r="BG214" s="29" t="str">
        <f t="shared" si="218"/>
        <v>#DIV/0!</v>
      </c>
      <c r="BH214" s="29" t="str">
        <f t="shared" si="218"/>
        <v>#DIV/0!</v>
      </c>
      <c r="BI214" s="29" t="str">
        <f t="shared" si="218"/>
        <v>#DIV/0!</v>
      </c>
      <c r="BJ214" s="29" t="str">
        <f t="shared" si="218"/>
        <v>#DIV/0!</v>
      </c>
      <c r="BK214" s="29" t="str">
        <f t="shared" si="218"/>
        <v>#DIV/0!</v>
      </c>
      <c r="BL214" s="29" t="str">
        <f t="shared" si="218"/>
        <v>#DIV/0!</v>
      </c>
      <c r="BM214" s="29" t="str">
        <f t="shared" si="3"/>
        <v>#DIV/0!</v>
      </c>
    </row>
    <row r="215">
      <c r="A215" s="16" t="str">
        <f>IFERROR(__xludf.DUMMYFUNCTION("IFERROR(SPARKLINE(SORT(MAP(TRANSPOSE(AQ215:BL215), LAMBDA(val, IF(ISNUMBER(val), PERCENTRANK(AQ215:BL215, val)+0.01, 0))), SEQUENCE(COLUMNS(AQ215:BL215)), FALSE), {""charttype"",""column""; ""color"",""chartreuse""; ""ymin"", 0; ""ymax"", 1.01; ""highcolo"&amp;"r"", ""darkgreen""; ""lowcolor"", ""red""}), """")"),"")</f>
        <v/>
      </c>
      <c r="B215" s="17" t="str">
        <f t="shared" si="4"/>
        <v/>
      </c>
      <c r="C215" s="1" t="s">
        <v>2283</v>
      </c>
      <c r="D215" s="30" t="str">
        <f>IFERROR(__xludf.DUMMYFUNCTION("IFERROR(GOOGLEFINANCE(C215, ""NAME""))"),"BGM Group Ltd")</f>
        <v>BGM Group Ltd</v>
      </c>
      <c r="E215" s="30" t="s">
        <v>1475</v>
      </c>
      <c r="F215" s="33" t="str">
        <f>IFERROR(__xludf.DUMMYFUNCTION("( (GOOGLEFINANCE(C215, ""price"") - Q215) / Q215 ) / (R215 / 100)"),"Loading...")</f>
        <v>Loading...</v>
      </c>
      <c r="G215" s="20" t="str">
        <f>IFERROR(__xludf.DUMMYFUNCTION("AVERAGE(ARRAYFORMULA(100 * (QUERY(GOOGLEFINANCE(C215, ""high"", TODAY()-40, TODAY()), ""SELECT Col2 WHERE Col2 IS NOT NULL ORDER BY Col1 DESC LIMIT 20"", 0) / QUERY(GOOGLEFINANCE(C215, ""low"", TODAY()-40, TODAY()), ""SELECT Col2 WHERE Col2 IS NOT NULL OR"&amp;"DER BY Col1 DESC LIMIT 20"", 0) - 1)))"),"#N/A")</f>
        <v>#N/A</v>
      </c>
      <c r="H215" s="35" t="str">
        <f t="shared" si="118"/>
        <v/>
      </c>
      <c r="I215" s="36" t="str">
        <f t="shared" si="7"/>
        <v/>
      </c>
      <c r="J215" s="37" t="str">
        <f>IFERROR(__xludf.DUMMYFUNCTION("IFERROR(
  IF(C215="""",, 
    IFERROR(
      GOOGLEFINANCE(C215, ""price"") * GOOGLEFINANCE(C215, ""volumeavg""), 
      GOOGLEFINANCE(C215, ""price"") * AVERAGE(QUERY(GOOGLEFINANCE(C215, ""volume"", TODAY()-40, TODAY()), ""SELECT Col2 WHERE Col2 IS NOT "&amp;"NULL ORDER BY Col1 DESC LIMIT 20"", 0))
    )
  ), 
"""")"),"")</f>
        <v/>
      </c>
      <c r="K215" s="21" t="str">
        <f>IFERROR(__xludf.DUMMYFUNCTION("IFERROR(GOOGLEFINANCE(C215, ""changepct"") / 100, """")"),"")</f>
        <v/>
      </c>
      <c r="L215" s="21" t="str">
        <f>IFERROR(__xludf.DUMMYFUNCTION("IFERROR((GOOGLEFINANCE(C215, ""price"") / INDEX(GOOGLEFINANCE(C215, ""price"", TODAY()-7, TODAY()), 2, 2)) - 1, """")"),"")</f>
        <v/>
      </c>
      <c r="M215" s="21" t="str">
        <f>IFERROR(__xludf.DUMMYFUNCTION("IFERROR((GOOGLEFINANCE(C215, ""price"") / INDEX(GOOGLEFINANCE(C215, ""price"", EDATE(TODAY(), -1), TODAY()), 2, 2)) - 1, """")"),"")</f>
        <v/>
      </c>
      <c r="N215" s="21" t="str">
        <f>IFERROR(__xludf.DUMMYFUNCTION("IFERROR((GOOGLEFINANCE(C215, ""price"") / INDEX(GOOGLEFINANCE(C215, ""price"", EDATE(TODAY(), -3), TODAY()), 2, 2)) - 1, """")"),"")</f>
        <v/>
      </c>
      <c r="O215" s="21" t="str">
        <f>IFERROR(__xludf.DUMMYFUNCTION("IFERROR((GOOGLEFINANCE(C215, ""price"") / INDEX(GOOGLEFINANCE(C215, ""price"", EDATE(TODAY(), -6), TODAY()), 2, 2)) - 1, """")"),"")</f>
        <v/>
      </c>
      <c r="P215" s="21" t="str">
        <f>IFERROR(__xludf.DUMMYFUNCTION("IFERROR((GOOGLEFINANCE(C215, ""price"") / INDEX(GOOGLEFINANCE(C215, ""price"", EDATE(TODAY(), -12), TODAY()), 2, 2)) - 1, """")"),"")</f>
        <v/>
      </c>
      <c r="Q215" s="6" t="str">
        <f>IFERROR(__xludf.DUMMYFUNCTION("AVERAGE(QUERY(GOOGLEFINANCE(C215, ""price"", TODAY()-80, TODAY()), ""SELECT Col2 WHERE Col2 IS NOT NULL ORDER BY Col1 DESC LIMIT 50"", 0))"),"#N/A")</f>
        <v>#N/A</v>
      </c>
      <c r="R215" s="24" t="str">
        <f>IFERROR(__xludf.DUMMYFUNCTION("IFERROR(
  LET(
    data, QUERY(GOOGLEFINANCE(C215,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GOOGLEFINANCE(C215, ""price"")) * 100,
    IF(calc=0, G215, calc)
  ), 
G215)"),"#N/A")</f>
        <v>#N/A</v>
      </c>
      <c r="S215" s="8" t="s">
        <v>15</v>
      </c>
      <c r="T215" s="26" t="str">
        <f>IFERROR(__xludf.DUMMYFUNCTION("IFERROR(TRANSPOSE(QUERY(IFERROR(SORT(GOOGLEFINANCE(C215, ""price"", WORKDAY(TODAY(), -40), TODAY()), 1, FALSE)), ""select Col2 where Col2 is not null limit 22 label Col2 ''"", 0)), """")"),"")</f>
        <v/>
      </c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8"/>
      <c r="AO215" s="28"/>
      <c r="AP215" s="29"/>
      <c r="AQ215" s="29" t="str">
        <f t="shared" ref="AQ215:BL215" si="219">T215/T$2</f>
        <v>#N/A</v>
      </c>
      <c r="AR215" s="29" t="str">
        <f t="shared" si="219"/>
        <v>#DIV/0!</v>
      </c>
      <c r="AS215" s="29" t="str">
        <f t="shared" si="219"/>
        <v>#DIV/0!</v>
      </c>
      <c r="AT215" s="29" t="str">
        <f t="shared" si="219"/>
        <v>#DIV/0!</v>
      </c>
      <c r="AU215" s="29" t="str">
        <f t="shared" si="219"/>
        <v>#DIV/0!</v>
      </c>
      <c r="AV215" s="29" t="str">
        <f t="shared" si="219"/>
        <v>#DIV/0!</v>
      </c>
      <c r="AW215" s="29" t="str">
        <f t="shared" si="219"/>
        <v>#DIV/0!</v>
      </c>
      <c r="AX215" s="29" t="str">
        <f t="shared" si="219"/>
        <v>#DIV/0!</v>
      </c>
      <c r="AY215" s="29" t="str">
        <f t="shared" si="219"/>
        <v>#DIV/0!</v>
      </c>
      <c r="AZ215" s="29" t="str">
        <f t="shared" si="219"/>
        <v>#DIV/0!</v>
      </c>
      <c r="BA215" s="29" t="str">
        <f t="shared" si="219"/>
        <v>#DIV/0!</v>
      </c>
      <c r="BB215" s="29" t="str">
        <f t="shared" si="219"/>
        <v>#DIV/0!</v>
      </c>
      <c r="BC215" s="29" t="str">
        <f t="shared" si="219"/>
        <v>#DIV/0!</v>
      </c>
      <c r="BD215" s="29" t="str">
        <f t="shared" si="219"/>
        <v>#DIV/0!</v>
      </c>
      <c r="BE215" s="29" t="str">
        <f t="shared" si="219"/>
        <v>#DIV/0!</v>
      </c>
      <c r="BF215" s="29" t="str">
        <f t="shared" si="219"/>
        <v>#DIV/0!</v>
      </c>
      <c r="BG215" s="29" t="str">
        <f t="shared" si="219"/>
        <v>#DIV/0!</v>
      </c>
      <c r="BH215" s="29" t="str">
        <f t="shared" si="219"/>
        <v>#DIV/0!</v>
      </c>
      <c r="BI215" s="29" t="str">
        <f t="shared" si="219"/>
        <v>#DIV/0!</v>
      </c>
      <c r="BJ215" s="29" t="str">
        <f t="shared" si="219"/>
        <v>#DIV/0!</v>
      </c>
      <c r="BK215" s="29" t="str">
        <f t="shared" si="219"/>
        <v>#DIV/0!</v>
      </c>
      <c r="BL215" s="29" t="str">
        <f t="shared" si="219"/>
        <v>#DIV/0!</v>
      </c>
      <c r="BM215" s="29" t="str">
        <f t="shared" si="3"/>
        <v>#DIV/0!</v>
      </c>
    </row>
    <row r="216">
      <c r="A216" s="16" t="str">
        <f>IFERROR(__xludf.DUMMYFUNCTION("IFERROR(SPARKLINE(SORT(MAP(TRANSPOSE(AQ216:BL216), LAMBDA(val, IF(ISNUMBER(val), PERCENTRANK(AQ216:BL216, val)+0.01, 0))), SEQUENCE(COLUMNS(AQ216:BL216)), FALSE), {""charttype"",""column""; ""color"",""chartreuse""; ""ymin"", 0; ""ymax"", 1.01; ""highcolo"&amp;"r"", ""darkgreen""; ""lowcolor"", ""red""}), """")"),"")</f>
        <v/>
      </c>
      <c r="B216" s="17" t="str">
        <f t="shared" si="4"/>
        <v/>
      </c>
      <c r="C216" s="1" t="s">
        <v>2287</v>
      </c>
      <c r="D216" s="30" t="str">
        <f>IFERROR(__xludf.DUMMYFUNCTION("IFERROR(GOOGLEFINANCE(C216, ""NAME""))"),"Thermo Fisher Scientific Inc")</f>
        <v>Thermo Fisher Scientific Inc</v>
      </c>
      <c r="E216" s="30" t="s">
        <v>1499</v>
      </c>
      <c r="F216" s="33" t="str">
        <f>IFERROR(__xludf.DUMMYFUNCTION("( (GOOGLEFINANCE(C216, ""price"") - Q216) / Q216 ) / (R216 / 100)"),"Loading...")</f>
        <v>Loading...</v>
      </c>
      <c r="G216" s="20" t="str">
        <f>IFERROR(__xludf.DUMMYFUNCTION("AVERAGE(ARRAYFORMULA(100 * (QUERY(GOOGLEFINANCE(C216, ""high"", TODAY()-40, TODAY()), ""SELECT Col2 WHERE Col2 IS NOT NULL ORDER BY Col1 DESC LIMIT 20"", 0) / QUERY(GOOGLEFINANCE(C216, ""low"", TODAY()-40, TODAY()), ""SELECT Col2 WHERE Col2 IS NOT NULL OR"&amp;"DER BY Col1 DESC LIMIT 20"", 0) - 1)))"),"#N/A")</f>
        <v>#N/A</v>
      </c>
      <c r="H216" s="35" t="str">
        <f t="shared" si="118"/>
        <v/>
      </c>
      <c r="I216" s="36" t="str">
        <f t="shared" si="7"/>
        <v/>
      </c>
      <c r="J216" s="37" t="str">
        <f>IFERROR(__xludf.DUMMYFUNCTION("IFERROR(
  IF(C216="""",, 
    IFERROR(
      GOOGLEFINANCE(C216, ""price"") * GOOGLEFINANCE(C216, ""volumeavg""), 
      GOOGLEFINANCE(C216, ""price"") * AVERAGE(QUERY(GOOGLEFINANCE(C216, ""volume"", TODAY()-40, TODAY()), ""SELECT Col2 WHERE Col2 IS NOT "&amp;"NULL ORDER BY Col1 DESC LIMIT 20"", 0))
    )
  ), 
"""")"),"")</f>
        <v/>
      </c>
      <c r="K216" s="21" t="str">
        <f>IFERROR(__xludf.DUMMYFUNCTION("IFERROR(GOOGLEFINANCE(C216, ""changepct"") / 100, """")"),"")</f>
        <v/>
      </c>
      <c r="L216" s="21" t="str">
        <f>IFERROR(__xludf.DUMMYFUNCTION("IFERROR((GOOGLEFINANCE(C216, ""price"") / INDEX(GOOGLEFINANCE(C216, ""price"", TODAY()-7, TODAY()), 2, 2)) - 1, """")"),"")</f>
        <v/>
      </c>
      <c r="M216" s="21" t="str">
        <f>IFERROR(__xludf.DUMMYFUNCTION("IFERROR((GOOGLEFINANCE(C216, ""price"") / INDEX(GOOGLEFINANCE(C216, ""price"", EDATE(TODAY(), -1), TODAY()), 2, 2)) - 1, """")"),"")</f>
        <v/>
      </c>
      <c r="N216" s="21" t="str">
        <f>IFERROR(__xludf.DUMMYFUNCTION("IFERROR((GOOGLEFINANCE(C216, ""price"") / INDEX(GOOGLEFINANCE(C216, ""price"", EDATE(TODAY(), -3), TODAY()), 2, 2)) - 1, """")"),"")</f>
        <v/>
      </c>
      <c r="O216" s="21" t="str">
        <f>IFERROR(__xludf.DUMMYFUNCTION("IFERROR((GOOGLEFINANCE(C216, ""price"") / INDEX(GOOGLEFINANCE(C216, ""price"", EDATE(TODAY(), -6), TODAY()), 2, 2)) - 1, """")"),"")</f>
        <v/>
      </c>
      <c r="P216" s="21" t="str">
        <f>IFERROR(__xludf.DUMMYFUNCTION("IFERROR((GOOGLEFINANCE(C216, ""price"") / INDEX(GOOGLEFINANCE(C216, ""price"", EDATE(TODAY(), -12), TODAY()), 2, 2)) - 1, """")"),"")</f>
        <v/>
      </c>
      <c r="Q216" s="6" t="str">
        <f>IFERROR(__xludf.DUMMYFUNCTION("AVERAGE(QUERY(GOOGLEFINANCE(C216, ""price"", TODAY()-80, TODAY()), ""SELECT Col2 WHERE Col2 IS NOT NULL ORDER BY Col1 DESC LIMIT 50"", 0))"),"#N/A")</f>
        <v>#N/A</v>
      </c>
      <c r="R216" s="24" t="str">
        <f>IFERROR(__xludf.DUMMYFUNCTION("IFERROR(
  LET(
    data, QUERY(GOOGLEFINANCE(C216,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GOOGLEFINANCE(C216, ""price"")) * 100,
    IF(calc=0, G216, calc)
  ), 
G216)"),"#N/A")</f>
        <v>#N/A</v>
      </c>
      <c r="S216" s="8" t="s">
        <v>15</v>
      </c>
      <c r="T216" s="26" t="str">
        <f>IFERROR(__xludf.DUMMYFUNCTION("IFERROR(TRANSPOSE(QUERY(IFERROR(SORT(GOOGLEFINANCE(C216, ""price"", WORKDAY(TODAY(), -40), TODAY()), 1, FALSE)), ""select Col2 where Col2 is not null limit 22 label Col2 ''"", 0)), """")"),"")</f>
        <v/>
      </c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8"/>
      <c r="AO216" s="28"/>
      <c r="AP216" s="29"/>
      <c r="AQ216" s="29" t="str">
        <f t="shared" ref="AQ216:BL216" si="220">T216/T$2</f>
        <v>#N/A</v>
      </c>
      <c r="AR216" s="29" t="str">
        <f t="shared" si="220"/>
        <v>#DIV/0!</v>
      </c>
      <c r="AS216" s="29" t="str">
        <f t="shared" si="220"/>
        <v>#DIV/0!</v>
      </c>
      <c r="AT216" s="29" t="str">
        <f t="shared" si="220"/>
        <v>#DIV/0!</v>
      </c>
      <c r="AU216" s="29" t="str">
        <f t="shared" si="220"/>
        <v>#DIV/0!</v>
      </c>
      <c r="AV216" s="29" t="str">
        <f t="shared" si="220"/>
        <v>#DIV/0!</v>
      </c>
      <c r="AW216" s="29" t="str">
        <f t="shared" si="220"/>
        <v>#DIV/0!</v>
      </c>
      <c r="AX216" s="29" t="str">
        <f t="shared" si="220"/>
        <v>#DIV/0!</v>
      </c>
      <c r="AY216" s="29" t="str">
        <f t="shared" si="220"/>
        <v>#DIV/0!</v>
      </c>
      <c r="AZ216" s="29" t="str">
        <f t="shared" si="220"/>
        <v>#DIV/0!</v>
      </c>
      <c r="BA216" s="29" t="str">
        <f t="shared" si="220"/>
        <v>#DIV/0!</v>
      </c>
      <c r="BB216" s="29" t="str">
        <f t="shared" si="220"/>
        <v>#DIV/0!</v>
      </c>
      <c r="BC216" s="29" t="str">
        <f t="shared" si="220"/>
        <v>#DIV/0!</v>
      </c>
      <c r="BD216" s="29" t="str">
        <f t="shared" si="220"/>
        <v>#DIV/0!</v>
      </c>
      <c r="BE216" s="29" t="str">
        <f t="shared" si="220"/>
        <v>#DIV/0!</v>
      </c>
      <c r="BF216" s="29" t="str">
        <f t="shared" si="220"/>
        <v>#DIV/0!</v>
      </c>
      <c r="BG216" s="29" t="str">
        <f t="shared" si="220"/>
        <v>#DIV/0!</v>
      </c>
      <c r="BH216" s="29" t="str">
        <f t="shared" si="220"/>
        <v>#DIV/0!</v>
      </c>
      <c r="BI216" s="29" t="str">
        <f t="shared" si="220"/>
        <v>#DIV/0!</v>
      </c>
      <c r="BJ216" s="29" t="str">
        <f t="shared" si="220"/>
        <v>#DIV/0!</v>
      </c>
      <c r="BK216" s="29" t="str">
        <f t="shared" si="220"/>
        <v>#DIV/0!</v>
      </c>
      <c r="BL216" s="29" t="str">
        <f t="shared" si="220"/>
        <v>#DIV/0!</v>
      </c>
      <c r="BM216" s="29" t="str">
        <f t="shared" si="3"/>
        <v>#DIV/0!</v>
      </c>
    </row>
    <row r="217">
      <c r="A217" s="16" t="str">
        <f>IFERROR(__xludf.DUMMYFUNCTION("IFERROR(SPARKLINE(SORT(MAP(TRANSPOSE(AQ217:BL217), LAMBDA(val, IF(ISNUMBER(val), PERCENTRANK(AQ217:BL217, val)+0.01, 0))), SEQUENCE(COLUMNS(AQ217:BL217)), FALSE), {""charttype"",""column""; ""color"",""chartreuse""; ""ymin"", 0; ""ymax"", 1.01; ""highcolo"&amp;"r"", ""darkgreen""; ""lowcolor"", ""red""}), """")"),"")</f>
        <v/>
      </c>
      <c r="B217" s="17" t="str">
        <f t="shared" si="4"/>
        <v/>
      </c>
      <c r="C217" s="1" t="s">
        <v>2290</v>
      </c>
      <c r="D217" s="30" t="str">
        <f>IFERROR(__xludf.DUMMYFUNCTION("IFERROR(GOOGLEFINANCE(C217, ""NAME""))"),"Align Technology Inc")</f>
        <v>Align Technology Inc</v>
      </c>
      <c r="E217" s="30" t="s">
        <v>1502</v>
      </c>
      <c r="F217" s="38" t="str">
        <f>IFERROR(__xludf.DUMMYFUNCTION("( (GOOGLEFINANCE(C217, ""price"") - Q217) / Q217 ) / (R217 / 100)"),"Loading...")</f>
        <v>Loading...</v>
      </c>
      <c r="G217" s="20" t="str">
        <f>IFERROR(__xludf.DUMMYFUNCTION("AVERAGE(ARRAYFORMULA(100 * (QUERY(GOOGLEFINANCE(C217, ""high"", TODAY()-40, TODAY()), ""SELECT Col2 WHERE Col2 IS NOT NULL ORDER BY Col1 DESC LIMIT 20"", 0) / QUERY(GOOGLEFINANCE(C217, ""low"", TODAY()-40, TODAY()), ""SELECT Col2 WHERE Col2 IS NOT NULL OR"&amp;"DER BY Col1 DESC LIMIT 20"", 0) - 1)))"),"#N/A")</f>
        <v>#N/A</v>
      </c>
      <c r="H217" s="35" t="str">
        <f t="shared" si="118"/>
        <v/>
      </c>
      <c r="I217" s="36" t="str">
        <f t="shared" si="7"/>
        <v/>
      </c>
      <c r="J217" s="37" t="str">
        <f>IFERROR(__xludf.DUMMYFUNCTION("IFERROR(
  IF(C217="""",, 
    IFERROR(
      GOOGLEFINANCE(C217, ""price"") * GOOGLEFINANCE(C217, ""volumeavg""), 
      GOOGLEFINANCE(C217, ""price"") * AVERAGE(QUERY(GOOGLEFINANCE(C217, ""volume"", TODAY()-40, TODAY()), ""SELECT Col2 WHERE Col2 IS NOT "&amp;"NULL ORDER BY Col1 DESC LIMIT 20"", 0))
    )
  ), 
"""")"),"")</f>
        <v/>
      </c>
      <c r="K217" s="21" t="str">
        <f>IFERROR(__xludf.DUMMYFUNCTION("IFERROR(GOOGLEFINANCE(C217, ""changepct"") / 100, """")"),"")</f>
        <v/>
      </c>
      <c r="L217" s="21" t="str">
        <f>IFERROR(__xludf.DUMMYFUNCTION("IFERROR((GOOGLEFINANCE(C217, ""price"") / INDEX(GOOGLEFINANCE(C217, ""price"", TODAY()-7, TODAY()), 2, 2)) - 1, """")"),"")</f>
        <v/>
      </c>
      <c r="M217" s="21" t="str">
        <f>IFERROR(__xludf.DUMMYFUNCTION("IFERROR((GOOGLEFINANCE(C217, ""price"") / INDEX(GOOGLEFINANCE(C217, ""price"", EDATE(TODAY(), -1), TODAY()), 2, 2)) - 1, """")"),"")</f>
        <v/>
      </c>
      <c r="N217" s="21" t="str">
        <f>IFERROR(__xludf.DUMMYFUNCTION("IFERROR((GOOGLEFINANCE(C217, ""price"") / INDEX(GOOGLEFINANCE(C217, ""price"", EDATE(TODAY(), -3), TODAY()), 2, 2)) - 1, """")"),"")</f>
        <v/>
      </c>
      <c r="O217" s="21" t="str">
        <f>IFERROR(__xludf.DUMMYFUNCTION("IFERROR((GOOGLEFINANCE(C217, ""price"") / INDEX(GOOGLEFINANCE(C217, ""price"", EDATE(TODAY(), -6), TODAY()), 2, 2)) - 1, """")"),"")</f>
        <v/>
      </c>
      <c r="P217" s="21" t="str">
        <f>IFERROR(__xludf.DUMMYFUNCTION("IFERROR((GOOGLEFINANCE(C217, ""price"") / INDEX(GOOGLEFINANCE(C217, ""price"", EDATE(TODAY(), -12), TODAY()), 2, 2)) - 1, """")"),"")</f>
        <v/>
      </c>
      <c r="Q217" s="6" t="str">
        <f>IFERROR(__xludf.DUMMYFUNCTION("AVERAGE(QUERY(GOOGLEFINANCE(C217, ""price"", TODAY()-80, TODAY()), ""SELECT Col2 WHERE Col2 IS NOT NULL ORDER BY Col1 DESC LIMIT 50"", 0))"),"#N/A")</f>
        <v>#N/A</v>
      </c>
      <c r="R217" s="24" t="str">
        <f>IFERROR(__xludf.DUMMYFUNCTION("IFERROR(
  LET(
    data, QUERY(GOOGLEFINANCE(C217,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GOOGLEFINANCE(C217, ""price"")) * 100,
    IF(calc=0, G217, calc)
  ), 
G217)"),"#N/A")</f>
        <v>#N/A</v>
      </c>
      <c r="S217" s="8" t="s">
        <v>15</v>
      </c>
      <c r="T217" s="26" t="str">
        <f>IFERROR(__xludf.DUMMYFUNCTION("IFERROR(TRANSPOSE(QUERY(IFERROR(SORT(GOOGLEFINANCE(C217, ""price"", WORKDAY(TODAY(), -40), TODAY()), 1, FALSE)), ""select Col2 where Col2 is not null limit 22 label Col2 ''"", 0)), """")"),"")</f>
        <v/>
      </c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8"/>
      <c r="AO217" s="28"/>
      <c r="AP217" s="29"/>
      <c r="AQ217" s="29" t="str">
        <f t="shared" ref="AQ217:BL217" si="221">T217/T$2</f>
        <v>#N/A</v>
      </c>
      <c r="AR217" s="29" t="str">
        <f t="shared" si="221"/>
        <v>#DIV/0!</v>
      </c>
      <c r="AS217" s="29" t="str">
        <f t="shared" si="221"/>
        <v>#DIV/0!</v>
      </c>
      <c r="AT217" s="29" t="str">
        <f t="shared" si="221"/>
        <v>#DIV/0!</v>
      </c>
      <c r="AU217" s="29" t="str">
        <f t="shared" si="221"/>
        <v>#DIV/0!</v>
      </c>
      <c r="AV217" s="29" t="str">
        <f t="shared" si="221"/>
        <v>#DIV/0!</v>
      </c>
      <c r="AW217" s="29" t="str">
        <f t="shared" si="221"/>
        <v>#DIV/0!</v>
      </c>
      <c r="AX217" s="29" t="str">
        <f t="shared" si="221"/>
        <v>#DIV/0!</v>
      </c>
      <c r="AY217" s="29" t="str">
        <f t="shared" si="221"/>
        <v>#DIV/0!</v>
      </c>
      <c r="AZ217" s="29" t="str">
        <f t="shared" si="221"/>
        <v>#DIV/0!</v>
      </c>
      <c r="BA217" s="29" t="str">
        <f t="shared" si="221"/>
        <v>#DIV/0!</v>
      </c>
      <c r="BB217" s="29" t="str">
        <f t="shared" si="221"/>
        <v>#DIV/0!</v>
      </c>
      <c r="BC217" s="29" t="str">
        <f t="shared" si="221"/>
        <v>#DIV/0!</v>
      </c>
      <c r="BD217" s="29" t="str">
        <f t="shared" si="221"/>
        <v>#DIV/0!</v>
      </c>
      <c r="BE217" s="29" t="str">
        <f t="shared" si="221"/>
        <v>#DIV/0!</v>
      </c>
      <c r="BF217" s="29" t="str">
        <f t="shared" si="221"/>
        <v>#DIV/0!</v>
      </c>
      <c r="BG217" s="29" t="str">
        <f t="shared" si="221"/>
        <v>#DIV/0!</v>
      </c>
      <c r="BH217" s="29" t="str">
        <f t="shared" si="221"/>
        <v>#DIV/0!</v>
      </c>
      <c r="BI217" s="29" t="str">
        <f t="shared" si="221"/>
        <v>#DIV/0!</v>
      </c>
      <c r="BJ217" s="29" t="str">
        <f t="shared" si="221"/>
        <v>#DIV/0!</v>
      </c>
      <c r="BK217" s="29" t="str">
        <f t="shared" si="221"/>
        <v>#DIV/0!</v>
      </c>
      <c r="BL217" s="29" t="str">
        <f t="shared" si="221"/>
        <v>#DIV/0!</v>
      </c>
      <c r="BM217" s="29" t="str">
        <f t="shared" si="3"/>
        <v>#DIV/0!</v>
      </c>
    </row>
    <row r="218">
      <c r="A218" s="16" t="str">
        <f>IFERROR(__xludf.DUMMYFUNCTION("IFERROR(SPARKLINE(SORT(MAP(TRANSPOSE(AQ218:BL218), LAMBDA(val, IF(ISNUMBER(val), PERCENTRANK(AQ218:BL218, val)+0.01, 0))), SEQUENCE(COLUMNS(AQ218:BL218)), FALSE), {""charttype"",""column""; ""color"",""chartreuse""; ""ymin"", 0; ""ymax"", 1.01; ""highcolo"&amp;"r"", ""darkgreen""; ""lowcolor"", ""red""}), """")"),"")</f>
        <v/>
      </c>
      <c r="B218" s="17" t="str">
        <f t="shared" si="4"/>
        <v/>
      </c>
      <c r="C218" s="1" t="s">
        <v>2294</v>
      </c>
      <c r="D218" s="30" t="str">
        <f>IFERROR(__xludf.DUMMYFUNCTION("IFERROR(GOOGLEFINANCE(C218, ""NAME""))"),"Resmed Inc")</f>
        <v>Resmed Inc</v>
      </c>
      <c r="E218" s="30" t="s">
        <v>1502</v>
      </c>
      <c r="F218" s="33" t="str">
        <f>IFERROR(__xludf.DUMMYFUNCTION("( (GOOGLEFINANCE(C218, ""price"") - Q218) / Q218 ) / (R218 / 100)"),"Loading...")</f>
        <v>Loading...</v>
      </c>
      <c r="G218" s="20" t="str">
        <f>IFERROR(__xludf.DUMMYFUNCTION("AVERAGE(ARRAYFORMULA(100 * (QUERY(GOOGLEFINANCE(C218, ""high"", TODAY()-40, TODAY()), ""SELECT Col2 WHERE Col2 IS NOT NULL ORDER BY Col1 DESC LIMIT 20"", 0) / QUERY(GOOGLEFINANCE(C218, ""low"", TODAY()-40, TODAY()), ""SELECT Col2 WHERE Col2 IS NOT NULL OR"&amp;"DER BY Col1 DESC LIMIT 20"", 0) - 1)))"),"#N/A")</f>
        <v>#N/A</v>
      </c>
      <c r="H218" s="35" t="str">
        <f t="shared" si="118"/>
        <v/>
      </c>
      <c r="I218" s="36" t="str">
        <f t="shared" si="7"/>
        <v/>
      </c>
      <c r="J218" s="37" t="str">
        <f>IFERROR(__xludf.DUMMYFUNCTION("IFERROR(
  IF(C218="""",, 
    IFERROR(
      GOOGLEFINANCE(C218, ""price"") * GOOGLEFINANCE(C218, ""volumeavg""), 
      GOOGLEFINANCE(C218, ""price"") * AVERAGE(QUERY(GOOGLEFINANCE(C218, ""volume"", TODAY()-40, TODAY()), ""SELECT Col2 WHERE Col2 IS NOT "&amp;"NULL ORDER BY Col1 DESC LIMIT 20"", 0))
    )
  ), 
"""")"),"")</f>
        <v/>
      </c>
      <c r="K218" s="21" t="str">
        <f>IFERROR(__xludf.DUMMYFUNCTION("IFERROR(GOOGLEFINANCE(C218, ""changepct"") / 100, """")"),"")</f>
        <v/>
      </c>
      <c r="L218" s="21" t="str">
        <f>IFERROR(__xludf.DUMMYFUNCTION("IFERROR((GOOGLEFINANCE(C218, ""price"") / INDEX(GOOGLEFINANCE(C218, ""price"", TODAY()-7, TODAY()), 2, 2)) - 1, """")"),"")</f>
        <v/>
      </c>
      <c r="M218" s="21" t="str">
        <f>IFERROR(__xludf.DUMMYFUNCTION("IFERROR((GOOGLEFINANCE(C218, ""price"") / INDEX(GOOGLEFINANCE(C218, ""price"", EDATE(TODAY(), -1), TODAY()), 2, 2)) - 1, """")"),"")</f>
        <v/>
      </c>
      <c r="N218" s="21" t="str">
        <f>IFERROR(__xludf.DUMMYFUNCTION("IFERROR((GOOGLEFINANCE(C218, ""price"") / INDEX(GOOGLEFINANCE(C218, ""price"", EDATE(TODAY(), -3), TODAY()), 2, 2)) - 1, """")"),"")</f>
        <v/>
      </c>
      <c r="O218" s="21" t="str">
        <f>IFERROR(__xludf.DUMMYFUNCTION("IFERROR((GOOGLEFINANCE(C218, ""price"") / INDEX(GOOGLEFINANCE(C218, ""price"", EDATE(TODAY(), -6), TODAY()), 2, 2)) - 1, """")"),"")</f>
        <v/>
      </c>
      <c r="P218" s="21" t="str">
        <f>IFERROR(__xludf.DUMMYFUNCTION("IFERROR((GOOGLEFINANCE(C218, ""price"") / INDEX(GOOGLEFINANCE(C218, ""price"", EDATE(TODAY(), -12), TODAY()), 2, 2)) - 1, """")"),"")</f>
        <v/>
      </c>
      <c r="Q218" s="6" t="str">
        <f>IFERROR(__xludf.DUMMYFUNCTION("AVERAGE(QUERY(GOOGLEFINANCE(C218, ""price"", TODAY()-80, TODAY()), ""SELECT Col2 WHERE Col2 IS NOT NULL ORDER BY Col1 DESC LIMIT 50"", 0))"),"#N/A")</f>
        <v>#N/A</v>
      </c>
      <c r="R218" s="24" t="str">
        <f>IFERROR(__xludf.DUMMYFUNCTION("IFERROR(
  LET(
    data, QUERY(GOOGLEFINANCE(C218,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GOOGLEFINANCE(C218, ""price"")) * 100,
    IF(calc=0, G218, calc)
  ), 
G218)"),"#N/A")</f>
        <v>#N/A</v>
      </c>
      <c r="S218" s="8" t="s">
        <v>15</v>
      </c>
      <c r="T218" s="26" t="str">
        <f>IFERROR(__xludf.DUMMYFUNCTION("IFERROR(TRANSPOSE(QUERY(IFERROR(SORT(GOOGLEFINANCE(C218, ""price"", WORKDAY(TODAY(), -40), TODAY()), 1, FALSE)), ""select Col2 where Col2 is not null limit 22 label Col2 ''"", 0)), """")"),"")</f>
        <v/>
      </c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8"/>
      <c r="AO218" s="28"/>
      <c r="AP218" s="29"/>
      <c r="AQ218" s="29" t="str">
        <f t="shared" ref="AQ218:BL218" si="222">T218/T$2</f>
        <v>#N/A</v>
      </c>
      <c r="AR218" s="29" t="str">
        <f t="shared" si="222"/>
        <v>#DIV/0!</v>
      </c>
      <c r="AS218" s="29" t="str">
        <f t="shared" si="222"/>
        <v>#DIV/0!</v>
      </c>
      <c r="AT218" s="29" t="str">
        <f t="shared" si="222"/>
        <v>#DIV/0!</v>
      </c>
      <c r="AU218" s="29" t="str">
        <f t="shared" si="222"/>
        <v>#DIV/0!</v>
      </c>
      <c r="AV218" s="29" t="str">
        <f t="shared" si="222"/>
        <v>#DIV/0!</v>
      </c>
      <c r="AW218" s="29" t="str">
        <f t="shared" si="222"/>
        <v>#DIV/0!</v>
      </c>
      <c r="AX218" s="29" t="str">
        <f t="shared" si="222"/>
        <v>#DIV/0!</v>
      </c>
      <c r="AY218" s="29" t="str">
        <f t="shared" si="222"/>
        <v>#DIV/0!</v>
      </c>
      <c r="AZ218" s="29" t="str">
        <f t="shared" si="222"/>
        <v>#DIV/0!</v>
      </c>
      <c r="BA218" s="29" t="str">
        <f t="shared" si="222"/>
        <v>#DIV/0!</v>
      </c>
      <c r="BB218" s="29" t="str">
        <f t="shared" si="222"/>
        <v>#DIV/0!</v>
      </c>
      <c r="BC218" s="29" t="str">
        <f t="shared" si="222"/>
        <v>#DIV/0!</v>
      </c>
      <c r="BD218" s="29" t="str">
        <f t="shared" si="222"/>
        <v>#DIV/0!</v>
      </c>
      <c r="BE218" s="29" t="str">
        <f t="shared" si="222"/>
        <v>#DIV/0!</v>
      </c>
      <c r="BF218" s="29" t="str">
        <f t="shared" si="222"/>
        <v>#DIV/0!</v>
      </c>
      <c r="BG218" s="29" t="str">
        <f t="shared" si="222"/>
        <v>#DIV/0!</v>
      </c>
      <c r="BH218" s="29" t="str">
        <f t="shared" si="222"/>
        <v>#DIV/0!</v>
      </c>
      <c r="BI218" s="29" t="str">
        <f t="shared" si="222"/>
        <v>#DIV/0!</v>
      </c>
      <c r="BJ218" s="29" t="str">
        <f t="shared" si="222"/>
        <v>#DIV/0!</v>
      </c>
      <c r="BK218" s="29" t="str">
        <f t="shared" si="222"/>
        <v>#DIV/0!</v>
      </c>
      <c r="BL218" s="29" t="str">
        <f t="shared" si="222"/>
        <v>#DIV/0!</v>
      </c>
      <c r="BM218" s="29" t="str">
        <f t="shared" si="3"/>
        <v>#DIV/0!</v>
      </c>
    </row>
    <row r="219">
      <c r="A219" s="16" t="str">
        <f>IFERROR(__xludf.DUMMYFUNCTION("IFERROR(SPARKLINE(SORT(MAP(TRANSPOSE(AQ219:BL219), LAMBDA(val, IF(ISNUMBER(val), PERCENTRANK(AQ219:BL219, val)+0.01, 0))), SEQUENCE(COLUMNS(AQ219:BL219)), FALSE), {""charttype"",""column""; ""color"",""chartreuse""; ""ymin"", 0; ""ymax"", 1.01; ""highcolo"&amp;"r"", ""darkgreen""; ""lowcolor"", ""red""}), """")"),"")</f>
        <v/>
      </c>
      <c r="B219" s="17" t="str">
        <f t="shared" si="4"/>
        <v/>
      </c>
      <c r="C219" s="1" t="s">
        <v>2297</v>
      </c>
      <c r="D219" s="30" t="str">
        <f>IFERROR(__xludf.DUMMYFUNCTION("IFERROR(GOOGLEFINANCE(C219, ""NAME""))"),"Sanofi SA")</f>
        <v>Sanofi SA</v>
      </c>
      <c r="E219" s="30" t="s">
        <v>1509</v>
      </c>
      <c r="F219" s="33" t="str">
        <f>IFERROR(__xludf.DUMMYFUNCTION("( (GOOGLEFINANCE(C219, ""price"") - Q219) / Q219 ) / (R219 / 100)"),"Loading...")</f>
        <v>Loading...</v>
      </c>
      <c r="G219" s="20" t="str">
        <f>IFERROR(__xludf.DUMMYFUNCTION("AVERAGE(ARRAYFORMULA(100 * (QUERY(GOOGLEFINANCE(C219, ""high"", TODAY()-40, TODAY()), ""SELECT Col2 WHERE Col2 IS NOT NULL ORDER BY Col1 DESC LIMIT 20"", 0) / QUERY(GOOGLEFINANCE(C219, ""low"", TODAY()-40, TODAY()), ""SELECT Col2 WHERE Col2 IS NOT NULL OR"&amp;"DER BY Col1 DESC LIMIT 20"", 0) - 1)))"),"#N/A")</f>
        <v>#N/A</v>
      </c>
      <c r="H219" s="35" t="str">
        <f t="shared" si="118"/>
        <v/>
      </c>
      <c r="I219" s="36" t="str">
        <f t="shared" si="7"/>
        <v/>
      </c>
      <c r="J219" s="37" t="str">
        <f>IFERROR(__xludf.DUMMYFUNCTION("IFERROR(
  IF(C219="""",, 
    IFERROR(
      GOOGLEFINANCE(C219, ""price"") * GOOGLEFINANCE(C219, ""volumeavg""), 
      GOOGLEFINANCE(C219, ""price"") * AVERAGE(QUERY(GOOGLEFINANCE(C219, ""volume"", TODAY()-40, TODAY()), ""SELECT Col2 WHERE Col2 IS NOT "&amp;"NULL ORDER BY Col1 DESC LIMIT 20"", 0))
    )
  ), 
"""")"),"")</f>
        <v/>
      </c>
      <c r="K219" s="21" t="str">
        <f>IFERROR(__xludf.DUMMYFUNCTION("IFERROR(GOOGLEFINANCE(C219, ""changepct"") / 100, """")"),"")</f>
        <v/>
      </c>
      <c r="L219" s="21" t="str">
        <f>IFERROR(__xludf.DUMMYFUNCTION("IFERROR((GOOGLEFINANCE(C219, ""price"") / INDEX(GOOGLEFINANCE(C219, ""price"", TODAY()-7, TODAY()), 2, 2)) - 1, """")"),"")</f>
        <v/>
      </c>
      <c r="M219" s="21" t="str">
        <f>IFERROR(__xludf.DUMMYFUNCTION("IFERROR((GOOGLEFINANCE(C219, ""price"") / INDEX(GOOGLEFINANCE(C219, ""price"", EDATE(TODAY(), -1), TODAY()), 2, 2)) - 1, """")"),"")</f>
        <v/>
      </c>
      <c r="N219" s="21" t="str">
        <f>IFERROR(__xludf.DUMMYFUNCTION("IFERROR((GOOGLEFINANCE(C219, ""price"") / INDEX(GOOGLEFINANCE(C219, ""price"", EDATE(TODAY(), -3), TODAY()), 2, 2)) - 1, """")"),"")</f>
        <v/>
      </c>
      <c r="O219" s="21" t="str">
        <f>IFERROR(__xludf.DUMMYFUNCTION("IFERROR((GOOGLEFINANCE(C219, ""price"") / INDEX(GOOGLEFINANCE(C219, ""price"", EDATE(TODAY(), -6), TODAY()), 2, 2)) - 1, """")"),"")</f>
        <v/>
      </c>
      <c r="P219" s="21" t="str">
        <f>IFERROR(__xludf.DUMMYFUNCTION("IFERROR((GOOGLEFINANCE(C219, ""price"") / INDEX(GOOGLEFINANCE(C219, ""price"", EDATE(TODAY(), -12), TODAY()), 2, 2)) - 1, """")"),"")</f>
        <v/>
      </c>
      <c r="Q219" s="6" t="str">
        <f>IFERROR(__xludf.DUMMYFUNCTION("AVERAGE(QUERY(GOOGLEFINANCE(C219, ""price"", TODAY()-80, TODAY()), ""SELECT Col2 WHERE Col2 IS NOT NULL ORDER BY Col1 DESC LIMIT 50"", 0))"),"#N/A")</f>
        <v>#N/A</v>
      </c>
      <c r="R219" s="24" t="str">
        <f>IFERROR(__xludf.DUMMYFUNCTION("IFERROR(
  LET(
    data, QUERY(GOOGLEFINANCE(C219,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GOOGLEFINANCE(C219, ""price"")) * 100,
    IF(calc=0, G219, calc)
  ), 
G219)"),"#N/A")</f>
        <v>#N/A</v>
      </c>
      <c r="S219" s="8" t="s">
        <v>15</v>
      </c>
      <c r="T219" s="26" t="str">
        <f>IFERROR(__xludf.DUMMYFUNCTION("IFERROR(TRANSPOSE(QUERY(IFERROR(SORT(GOOGLEFINANCE(C219, ""price"", WORKDAY(TODAY(), -40), TODAY()), 1, FALSE)), ""select Col2 where Col2 is not null limit 22 label Col2 ''"", 0)), """")"),"")</f>
        <v/>
      </c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8"/>
      <c r="AO219" s="28"/>
      <c r="AP219" s="29"/>
      <c r="AQ219" s="29" t="str">
        <f t="shared" ref="AQ219:BL219" si="223">T219/T$2</f>
        <v>#N/A</v>
      </c>
      <c r="AR219" s="29" t="str">
        <f t="shared" si="223"/>
        <v>#DIV/0!</v>
      </c>
      <c r="AS219" s="29" t="str">
        <f t="shared" si="223"/>
        <v>#DIV/0!</v>
      </c>
      <c r="AT219" s="29" t="str">
        <f t="shared" si="223"/>
        <v>#DIV/0!</v>
      </c>
      <c r="AU219" s="29" t="str">
        <f t="shared" si="223"/>
        <v>#DIV/0!</v>
      </c>
      <c r="AV219" s="29" t="str">
        <f t="shared" si="223"/>
        <v>#DIV/0!</v>
      </c>
      <c r="AW219" s="29" t="str">
        <f t="shared" si="223"/>
        <v>#DIV/0!</v>
      </c>
      <c r="AX219" s="29" t="str">
        <f t="shared" si="223"/>
        <v>#DIV/0!</v>
      </c>
      <c r="AY219" s="29" t="str">
        <f t="shared" si="223"/>
        <v>#DIV/0!</v>
      </c>
      <c r="AZ219" s="29" t="str">
        <f t="shared" si="223"/>
        <v>#DIV/0!</v>
      </c>
      <c r="BA219" s="29" t="str">
        <f t="shared" si="223"/>
        <v>#DIV/0!</v>
      </c>
      <c r="BB219" s="29" t="str">
        <f t="shared" si="223"/>
        <v>#DIV/0!</v>
      </c>
      <c r="BC219" s="29" t="str">
        <f t="shared" si="223"/>
        <v>#DIV/0!</v>
      </c>
      <c r="BD219" s="29" t="str">
        <f t="shared" si="223"/>
        <v>#DIV/0!</v>
      </c>
      <c r="BE219" s="29" t="str">
        <f t="shared" si="223"/>
        <v>#DIV/0!</v>
      </c>
      <c r="BF219" s="29" t="str">
        <f t="shared" si="223"/>
        <v>#DIV/0!</v>
      </c>
      <c r="BG219" s="29" t="str">
        <f t="shared" si="223"/>
        <v>#DIV/0!</v>
      </c>
      <c r="BH219" s="29" t="str">
        <f t="shared" si="223"/>
        <v>#DIV/0!</v>
      </c>
      <c r="BI219" s="29" t="str">
        <f t="shared" si="223"/>
        <v>#DIV/0!</v>
      </c>
      <c r="BJ219" s="29" t="str">
        <f t="shared" si="223"/>
        <v>#DIV/0!</v>
      </c>
      <c r="BK219" s="29" t="str">
        <f t="shared" si="223"/>
        <v>#DIV/0!</v>
      </c>
      <c r="BL219" s="29" t="str">
        <f t="shared" si="223"/>
        <v>#DIV/0!</v>
      </c>
      <c r="BM219" s="29" t="str">
        <f t="shared" si="3"/>
        <v>#DIV/0!</v>
      </c>
    </row>
    <row r="220">
      <c r="A220" s="16" t="str">
        <f>IFERROR(__xludf.DUMMYFUNCTION("IFERROR(SPARKLINE(SORT(MAP(TRANSPOSE(AQ220:BL220), LAMBDA(val, IF(ISNUMBER(val), PERCENTRANK(AQ220:BL220, val)+0.01, 0))), SEQUENCE(COLUMNS(AQ220:BL220)), FALSE), {""charttype"",""column""; ""color"",""chartreuse""; ""ymin"", 0; ""ymax"", 1.01; ""highcolo"&amp;"r"", ""darkgreen""; ""lowcolor"", ""red""}), """")"),"")</f>
        <v/>
      </c>
      <c r="B220" s="17" t="str">
        <f t="shared" si="4"/>
        <v/>
      </c>
      <c r="C220" s="1" t="s">
        <v>2301</v>
      </c>
      <c r="D220" s="30" t="str">
        <f>IFERROR(__xludf.DUMMYFUNCTION("IFERROR(GOOGLEFINANCE(C220, ""NAME""))"),"Haleon PLC - ADR")</f>
        <v>Haleon PLC - ADR</v>
      </c>
      <c r="E220" s="30" t="s">
        <v>1475</v>
      </c>
      <c r="F220" s="33" t="str">
        <f>IFERROR(__xludf.DUMMYFUNCTION("( (GOOGLEFINANCE(C220, ""price"") - Q220) / Q220 ) / (R220 / 100)"),"Loading...")</f>
        <v>Loading...</v>
      </c>
      <c r="G220" s="20" t="str">
        <f>IFERROR(__xludf.DUMMYFUNCTION("AVERAGE(ARRAYFORMULA(100 * (QUERY(GOOGLEFINANCE(C220, ""high"", TODAY()-40, TODAY()), ""SELECT Col2 WHERE Col2 IS NOT NULL ORDER BY Col1 DESC LIMIT 20"", 0) / QUERY(GOOGLEFINANCE(C220, ""low"", TODAY()-40, TODAY()), ""SELECT Col2 WHERE Col2 IS NOT NULL OR"&amp;"DER BY Col1 DESC LIMIT 20"", 0) - 1)))"),"#N/A")</f>
        <v>#N/A</v>
      </c>
      <c r="H220" s="35" t="str">
        <f t="shared" si="118"/>
        <v/>
      </c>
      <c r="I220" s="36" t="str">
        <f t="shared" si="7"/>
        <v/>
      </c>
      <c r="J220" s="37" t="str">
        <f>IFERROR(__xludf.DUMMYFUNCTION("IFERROR(
  IF(C220="""",, 
    IFERROR(
      GOOGLEFINANCE(C220, ""price"") * GOOGLEFINANCE(C220, ""volumeavg""), 
      GOOGLEFINANCE(C220, ""price"") * AVERAGE(QUERY(GOOGLEFINANCE(C220, ""volume"", TODAY()-40, TODAY()), ""SELECT Col2 WHERE Col2 IS NOT "&amp;"NULL ORDER BY Col1 DESC LIMIT 20"", 0))
    )
  ), 
"""")"),"")</f>
        <v/>
      </c>
      <c r="K220" s="21" t="str">
        <f>IFERROR(__xludf.DUMMYFUNCTION("IFERROR(GOOGLEFINANCE(C220, ""changepct"") / 100, """")"),"")</f>
        <v/>
      </c>
      <c r="L220" s="21" t="str">
        <f>IFERROR(__xludf.DUMMYFUNCTION("IFERROR((GOOGLEFINANCE(C220, ""price"") / INDEX(GOOGLEFINANCE(C220, ""price"", TODAY()-7, TODAY()), 2, 2)) - 1, """")"),"")</f>
        <v/>
      </c>
      <c r="M220" s="21" t="str">
        <f>IFERROR(__xludf.DUMMYFUNCTION("IFERROR((GOOGLEFINANCE(C220, ""price"") / INDEX(GOOGLEFINANCE(C220, ""price"", EDATE(TODAY(), -1), TODAY()), 2, 2)) - 1, """")"),"")</f>
        <v/>
      </c>
      <c r="N220" s="21" t="str">
        <f>IFERROR(__xludf.DUMMYFUNCTION("IFERROR((GOOGLEFINANCE(C220, ""price"") / INDEX(GOOGLEFINANCE(C220, ""price"", EDATE(TODAY(), -3), TODAY()), 2, 2)) - 1, """")"),"")</f>
        <v/>
      </c>
      <c r="O220" s="21" t="str">
        <f>IFERROR(__xludf.DUMMYFUNCTION("IFERROR((GOOGLEFINANCE(C220, ""price"") / INDEX(GOOGLEFINANCE(C220, ""price"", EDATE(TODAY(), -6), TODAY()), 2, 2)) - 1, """")"),"")</f>
        <v/>
      </c>
      <c r="P220" s="21" t="str">
        <f>IFERROR(__xludf.DUMMYFUNCTION("IFERROR((GOOGLEFINANCE(C220, ""price"") / INDEX(GOOGLEFINANCE(C220, ""price"", EDATE(TODAY(), -12), TODAY()), 2, 2)) - 1, """")"),"")</f>
        <v/>
      </c>
      <c r="Q220" s="6" t="str">
        <f>IFERROR(__xludf.DUMMYFUNCTION("AVERAGE(QUERY(GOOGLEFINANCE(C220, ""price"", TODAY()-80, TODAY()), ""SELECT Col2 WHERE Col2 IS NOT NULL ORDER BY Col1 DESC LIMIT 50"", 0))"),"#N/A")</f>
        <v>#N/A</v>
      </c>
      <c r="R220" s="24" t="str">
        <f>IFERROR(__xludf.DUMMYFUNCTION("IFERROR(
  LET(
    data, QUERY(GOOGLEFINANCE(C220,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GOOGLEFINANCE(C220, ""price"")) * 100,
    IF(calc=0, G220, calc)
  ), 
G220)"),"#N/A")</f>
        <v>#N/A</v>
      </c>
      <c r="S220" s="8" t="s">
        <v>15</v>
      </c>
      <c r="T220" s="26" t="str">
        <f>IFERROR(__xludf.DUMMYFUNCTION("IFERROR(TRANSPOSE(QUERY(IFERROR(SORT(GOOGLEFINANCE(C220, ""price"", WORKDAY(TODAY(), -40), TODAY()), 1, FALSE)), ""select Col2 where Col2 is not null limit 22 label Col2 ''"", 0)), """")"),"")</f>
        <v/>
      </c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8"/>
      <c r="AO220" s="28"/>
      <c r="AP220" s="29"/>
      <c r="AQ220" s="29" t="str">
        <f t="shared" ref="AQ220:BL220" si="224">T220/T$2</f>
        <v>#N/A</v>
      </c>
      <c r="AR220" s="29" t="str">
        <f t="shared" si="224"/>
        <v>#DIV/0!</v>
      </c>
      <c r="AS220" s="29" t="str">
        <f t="shared" si="224"/>
        <v>#DIV/0!</v>
      </c>
      <c r="AT220" s="29" t="str">
        <f t="shared" si="224"/>
        <v>#DIV/0!</v>
      </c>
      <c r="AU220" s="29" t="str">
        <f t="shared" si="224"/>
        <v>#DIV/0!</v>
      </c>
      <c r="AV220" s="29" t="str">
        <f t="shared" si="224"/>
        <v>#DIV/0!</v>
      </c>
      <c r="AW220" s="29" t="str">
        <f t="shared" si="224"/>
        <v>#DIV/0!</v>
      </c>
      <c r="AX220" s="29" t="str">
        <f t="shared" si="224"/>
        <v>#DIV/0!</v>
      </c>
      <c r="AY220" s="29" t="str">
        <f t="shared" si="224"/>
        <v>#DIV/0!</v>
      </c>
      <c r="AZ220" s="29" t="str">
        <f t="shared" si="224"/>
        <v>#DIV/0!</v>
      </c>
      <c r="BA220" s="29" t="str">
        <f t="shared" si="224"/>
        <v>#DIV/0!</v>
      </c>
      <c r="BB220" s="29" t="str">
        <f t="shared" si="224"/>
        <v>#DIV/0!</v>
      </c>
      <c r="BC220" s="29" t="str">
        <f t="shared" si="224"/>
        <v>#DIV/0!</v>
      </c>
      <c r="BD220" s="29" t="str">
        <f t="shared" si="224"/>
        <v>#DIV/0!</v>
      </c>
      <c r="BE220" s="29" t="str">
        <f t="shared" si="224"/>
        <v>#DIV/0!</v>
      </c>
      <c r="BF220" s="29" t="str">
        <f t="shared" si="224"/>
        <v>#DIV/0!</v>
      </c>
      <c r="BG220" s="29" t="str">
        <f t="shared" si="224"/>
        <v>#DIV/0!</v>
      </c>
      <c r="BH220" s="29" t="str">
        <f t="shared" si="224"/>
        <v>#DIV/0!</v>
      </c>
      <c r="BI220" s="29" t="str">
        <f t="shared" si="224"/>
        <v>#DIV/0!</v>
      </c>
      <c r="BJ220" s="29" t="str">
        <f t="shared" si="224"/>
        <v>#DIV/0!</v>
      </c>
      <c r="BK220" s="29" t="str">
        <f t="shared" si="224"/>
        <v>#DIV/0!</v>
      </c>
      <c r="BL220" s="29" t="str">
        <f t="shared" si="224"/>
        <v>#DIV/0!</v>
      </c>
      <c r="BM220" s="29" t="str">
        <f t="shared" si="3"/>
        <v>#DIV/0!</v>
      </c>
    </row>
    <row r="221">
      <c r="A221" s="16" t="str">
        <f>IFERROR(__xludf.DUMMYFUNCTION("IFERROR(SPARKLINE(SORT(MAP(TRANSPOSE(AQ221:BL221), LAMBDA(val, IF(ISNUMBER(val), PERCENTRANK(AQ221:BL221, val)+0.01, 0))), SEQUENCE(COLUMNS(AQ221:BL221)), FALSE), {""charttype"",""column""; ""color"",""chartreuse""; ""ymin"", 0; ""ymax"", 1.01; ""highcolo"&amp;"r"", ""darkgreen""; ""lowcolor"", ""red""}), """")"),"")</f>
        <v/>
      </c>
      <c r="B221" s="17" t="str">
        <f t="shared" si="4"/>
        <v/>
      </c>
      <c r="C221" s="1" t="s">
        <v>2305</v>
      </c>
      <c r="D221" s="30" t="str">
        <f>IFERROR(__xludf.DUMMYFUNCTION("IFERROR(GOOGLEFINANCE(C221, ""NAME""))"),"Takeda Pharmaceutical Co Ltd")</f>
        <v>Takeda Pharmaceutical Co Ltd</v>
      </c>
      <c r="E221" s="30" t="s">
        <v>1475</v>
      </c>
      <c r="F221" s="33" t="str">
        <f>IFERROR(__xludf.DUMMYFUNCTION("( (GOOGLEFINANCE(C221, ""price"") - Q221) / Q221 ) / (R221 / 100)"),"Loading...")</f>
        <v>Loading...</v>
      </c>
      <c r="G221" s="20" t="str">
        <f>IFERROR(__xludf.DUMMYFUNCTION("AVERAGE(ARRAYFORMULA(100 * (QUERY(GOOGLEFINANCE(C221, ""high"", TODAY()-40, TODAY()), ""SELECT Col2 WHERE Col2 IS NOT NULL ORDER BY Col1 DESC LIMIT 20"", 0) / QUERY(GOOGLEFINANCE(C221, ""low"", TODAY()-40, TODAY()), ""SELECT Col2 WHERE Col2 IS NOT NULL OR"&amp;"DER BY Col1 DESC LIMIT 20"", 0) - 1)))"),"#N/A")</f>
        <v>#N/A</v>
      </c>
      <c r="H221" s="35" t="str">
        <f t="shared" si="118"/>
        <v/>
      </c>
      <c r="I221" s="36" t="str">
        <f t="shared" si="7"/>
        <v/>
      </c>
      <c r="J221" s="37" t="str">
        <f>IFERROR(__xludf.DUMMYFUNCTION("IFERROR(
  IF(C221="""",, 
    IFERROR(
      GOOGLEFINANCE(C221, ""price"") * GOOGLEFINANCE(C221, ""volumeavg""), 
      GOOGLEFINANCE(C221, ""price"") * AVERAGE(QUERY(GOOGLEFINANCE(C221, ""volume"", TODAY()-40, TODAY()), ""SELECT Col2 WHERE Col2 IS NOT "&amp;"NULL ORDER BY Col1 DESC LIMIT 20"", 0))
    )
  ), 
"""")"),"")</f>
        <v/>
      </c>
      <c r="K221" s="21" t="str">
        <f>IFERROR(__xludf.DUMMYFUNCTION("IFERROR(GOOGLEFINANCE(C221, ""changepct"") / 100, """")"),"")</f>
        <v/>
      </c>
      <c r="L221" s="21" t="str">
        <f>IFERROR(__xludf.DUMMYFUNCTION("IFERROR((GOOGLEFINANCE(C221, ""price"") / INDEX(GOOGLEFINANCE(C221, ""price"", TODAY()-7, TODAY()), 2, 2)) - 1, """")"),"")</f>
        <v/>
      </c>
      <c r="M221" s="21" t="str">
        <f>IFERROR(__xludf.DUMMYFUNCTION("IFERROR((GOOGLEFINANCE(C221, ""price"") / INDEX(GOOGLEFINANCE(C221, ""price"", EDATE(TODAY(), -1), TODAY()), 2, 2)) - 1, """")"),"")</f>
        <v/>
      </c>
      <c r="N221" s="21" t="str">
        <f>IFERROR(__xludf.DUMMYFUNCTION("IFERROR((GOOGLEFINANCE(C221, ""price"") / INDEX(GOOGLEFINANCE(C221, ""price"", EDATE(TODAY(), -3), TODAY()), 2, 2)) - 1, """")"),"")</f>
        <v/>
      </c>
      <c r="O221" s="21" t="str">
        <f>IFERROR(__xludf.DUMMYFUNCTION("IFERROR((GOOGLEFINANCE(C221, ""price"") / INDEX(GOOGLEFINANCE(C221, ""price"", EDATE(TODAY(), -6), TODAY()), 2, 2)) - 1, """")"),"")</f>
        <v/>
      </c>
      <c r="P221" s="21" t="str">
        <f>IFERROR(__xludf.DUMMYFUNCTION("IFERROR((GOOGLEFINANCE(C221, ""price"") / INDEX(GOOGLEFINANCE(C221, ""price"", EDATE(TODAY(), -12), TODAY()), 2, 2)) - 1, """")"),"")</f>
        <v/>
      </c>
      <c r="Q221" s="6" t="str">
        <f>IFERROR(__xludf.DUMMYFUNCTION("AVERAGE(QUERY(GOOGLEFINANCE(C221, ""price"", TODAY()-80, TODAY()), ""SELECT Col2 WHERE Col2 IS NOT NULL ORDER BY Col1 DESC LIMIT 50"", 0))"),"#N/A")</f>
        <v>#N/A</v>
      </c>
      <c r="R221" s="24" t="str">
        <f>IFERROR(__xludf.DUMMYFUNCTION("IFERROR(
  LET(
    data, QUERY(GOOGLEFINANCE(C221,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GOOGLEFINANCE(C221, ""price"")) * 100,
    IF(calc=0, G221, calc)
  ), 
G221)"),"#N/A")</f>
        <v>#N/A</v>
      </c>
      <c r="S221" s="8" t="s">
        <v>15</v>
      </c>
      <c r="T221" s="26" t="str">
        <f>IFERROR(__xludf.DUMMYFUNCTION("IFERROR(TRANSPOSE(QUERY(IFERROR(SORT(GOOGLEFINANCE(C221, ""price"", WORKDAY(TODAY(), -40), TODAY()), 1, FALSE)), ""select Col2 where Col2 is not null limit 22 label Col2 ''"", 0)), """")"),"")</f>
        <v/>
      </c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8"/>
      <c r="AO221" s="28"/>
      <c r="AP221" s="29"/>
      <c r="AQ221" s="29" t="str">
        <f t="shared" ref="AQ221:BL221" si="225">T221/T$2</f>
        <v>#N/A</v>
      </c>
      <c r="AR221" s="29" t="str">
        <f t="shared" si="225"/>
        <v>#DIV/0!</v>
      </c>
      <c r="AS221" s="29" t="str">
        <f t="shared" si="225"/>
        <v>#DIV/0!</v>
      </c>
      <c r="AT221" s="29" t="str">
        <f t="shared" si="225"/>
        <v>#DIV/0!</v>
      </c>
      <c r="AU221" s="29" t="str">
        <f t="shared" si="225"/>
        <v>#DIV/0!</v>
      </c>
      <c r="AV221" s="29" t="str">
        <f t="shared" si="225"/>
        <v>#DIV/0!</v>
      </c>
      <c r="AW221" s="29" t="str">
        <f t="shared" si="225"/>
        <v>#DIV/0!</v>
      </c>
      <c r="AX221" s="29" t="str">
        <f t="shared" si="225"/>
        <v>#DIV/0!</v>
      </c>
      <c r="AY221" s="29" t="str">
        <f t="shared" si="225"/>
        <v>#DIV/0!</v>
      </c>
      <c r="AZ221" s="29" t="str">
        <f t="shared" si="225"/>
        <v>#DIV/0!</v>
      </c>
      <c r="BA221" s="29" t="str">
        <f t="shared" si="225"/>
        <v>#DIV/0!</v>
      </c>
      <c r="BB221" s="29" t="str">
        <f t="shared" si="225"/>
        <v>#DIV/0!</v>
      </c>
      <c r="BC221" s="29" t="str">
        <f t="shared" si="225"/>
        <v>#DIV/0!</v>
      </c>
      <c r="BD221" s="29" t="str">
        <f t="shared" si="225"/>
        <v>#DIV/0!</v>
      </c>
      <c r="BE221" s="29" t="str">
        <f t="shared" si="225"/>
        <v>#DIV/0!</v>
      </c>
      <c r="BF221" s="29" t="str">
        <f t="shared" si="225"/>
        <v>#DIV/0!</v>
      </c>
      <c r="BG221" s="29" t="str">
        <f t="shared" si="225"/>
        <v>#DIV/0!</v>
      </c>
      <c r="BH221" s="29" t="str">
        <f t="shared" si="225"/>
        <v>#DIV/0!</v>
      </c>
      <c r="BI221" s="29" t="str">
        <f t="shared" si="225"/>
        <v>#DIV/0!</v>
      </c>
      <c r="BJ221" s="29" t="str">
        <f t="shared" si="225"/>
        <v>#DIV/0!</v>
      </c>
      <c r="BK221" s="29" t="str">
        <f t="shared" si="225"/>
        <v>#DIV/0!</v>
      </c>
      <c r="BL221" s="29" t="str">
        <f t="shared" si="225"/>
        <v>#DIV/0!</v>
      </c>
      <c r="BM221" s="29" t="str">
        <f t="shared" si="3"/>
        <v>#DIV/0!</v>
      </c>
    </row>
    <row r="222">
      <c r="A222" s="16" t="str">
        <f>IFERROR(__xludf.DUMMYFUNCTION("IFERROR(SPARKLINE(SORT(MAP(TRANSPOSE(AQ222:BL222), LAMBDA(val, IF(ISNUMBER(val), PERCENTRANK(AQ222:BL222, val)+0.01, 0))), SEQUENCE(COLUMNS(AQ222:BL222)), FALSE), {""charttype"",""column""; ""color"",""chartreuse""; ""ymin"", 0; ""ymax"", 1.01; ""highcolo"&amp;"r"", ""darkgreen""; ""lowcolor"", ""red""}), """")"),"")</f>
        <v/>
      </c>
      <c r="B222" s="17" t="str">
        <f t="shared" si="4"/>
        <v/>
      </c>
      <c r="C222" s="1" t="s">
        <v>2309</v>
      </c>
      <c r="D222" s="30" t="str">
        <f>IFERROR(__xludf.DUMMYFUNCTION("IFERROR(GOOGLEFINANCE(C222, ""NAME""))"),"Zoetis Inc")</f>
        <v>Zoetis Inc</v>
      </c>
      <c r="E222" s="30" t="s">
        <v>1475</v>
      </c>
      <c r="F222" s="33" t="str">
        <f>IFERROR(__xludf.DUMMYFUNCTION("( (GOOGLEFINANCE(C222, ""price"") - Q222) / Q222 ) / (R222 / 100)"),"Loading...")</f>
        <v>Loading...</v>
      </c>
      <c r="G222" s="20" t="str">
        <f>IFERROR(__xludf.DUMMYFUNCTION("AVERAGE(ARRAYFORMULA(100 * (QUERY(GOOGLEFINANCE(C222, ""high"", TODAY()-40, TODAY()), ""SELECT Col2 WHERE Col2 IS NOT NULL ORDER BY Col1 DESC LIMIT 20"", 0) / QUERY(GOOGLEFINANCE(C222, ""low"", TODAY()-40, TODAY()), ""SELECT Col2 WHERE Col2 IS NOT NULL OR"&amp;"DER BY Col1 DESC LIMIT 20"", 0) - 1)))"),"#N/A")</f>
        <v>#N/A</v>
      </c>
      <c r="H222" s="35" t="str">
        <f t="shared" si="118"/>
        <v/>
      </c>
      <c r="I222" s="36" t="str">
        <f t="shared" si="7"/>
        <v/>
      </c>
      <c r="J222" s="37" t="str">
        <f>IFERROR(__xludf.DUMMYFUNCTION("IFERROR(
  IF(C222="""",, 
    IFERROR(
      GOOGLEFINANCE(C222, ""price"") * GOOGLEFINANCE(C222, ""volumeavg""), 
      GOOGLEFINANCE(C222, ""price"") * AVERAGE(QUERY(GOOGLEFINANCE(C222, ""volume"", TODAY()-40, TODAY()), ""SELECT Col2 WHERE Col2 IS NOT "&amp;"NULL ORDER BY Col1 DESC LIMIT 20"", 0))
    )
  ), 
"""")"),"")</f>
        <v/>
      </c>
      <c r="K222" s="21" t="str">
        <f>IFERROR(__xludf.DUMMYFUNCTION("IFERROR(GOOGLEFINANCE(C222, ""changepct"") / 100, """")"),"")</f>
        <v/>
      </c>
      <c r="L222" s="21" t="str">
        <f>IFERROR(__xludf.DUMMYFUNCTION("IFERROR((GOOGLEFINANCE(C222, ""price"") / INDEX(GOOGLEFINANCE(C222, ""price"", TODAY()-7, TODAY()), 2, 2)) - 1, """")"),"")</f>
        <v/>
      </c>
      <c r="M222" s="21" t="str">
        <f>IFERROR(__xludf.DUMMYFUNCTION("IFERROR((GOOGLEFINANCE(C222, ""price"") / INDEX(GOOGLEFINANCE(C222, ""price"", EDATE(TODAY(), -1), TODAY()), 2, 2)) - 1, """")"),"")</f>
        <v/>
      </c>
      <c r="N222" s="21" t="str">
        <f>IFERROR(__xludf.DUMMYFUNCTION("IFERROR((GOOGLEFINANCE(C222, ""price"") / INDEX(GOOGLEFINANCE(C222, ""price"", EDATE(TODAY(), -3), TODAY()), 2, 2)) - 1, """")"),"")</f>
        <v/>
      </c>
      <c r="O222" s="21" t="str">
        <f>IFERROR(__xludf.DUMMYFUNCTION("IFERROR((GOOGLEFINANCE(C222, ""price"") / INDEX(GOOGLEFINANCE(C222, ""price"", EDATE(TODAY(), -6), TODAY()), 2, 2)) - 1, """")"),"")</f>
        <v/>
      </c>
      <c r="P222" s="21" t="str">
        <f>IFERROR(__xludf.DUMMYFUNCTION("IFERROR((GOOGLEFINANCE(C222, ""price"") / INDEX(GOOGLEFINANCE(C222, ""price"", EDATE(TODAY(), -12), TODAY()), 2, 2)) - 1, """")"),"")</f>
        <v/>
      </c>
      <c r="Q222" s="6" t="str">
        <f>IFERROR(__xludf.DUMMYFUNCTION("AVERAGE(QUERY(GOOGLEFINANCE(C222, ""price"", TODAY()-80, TODAY()), ""SELECT Col2 WHERE Col2 IS NOT NULL ORDER BY Col1 DESC LIMIT 50"", 0))"),"#N/A")</f>
        <v>#N/A</v>
      </c>
      <c r="R222" s="24" t="str">
        <f>IFERROR(__xludf.DUMMYFUNCTION("IFERROR(
  LET(
    data, QUERY(GOOGLEFINANCE(C222,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GOOGLEFINANCE(C222, ""price"")) * 100,
    IF(calc=0, G222, calc)
  ), 
G222)"),"#N/A")</f>
        <v>#N/A</v>
      </c>
      <c r="S222" s="8" t="s">
        <v>15</v>
      </c>
      <c r="T222" s="26" t="str">
        <f>IFERROR(__xludf.DUMMYFUNCTION("IFERROR(TRANSPOSE(QUERY(IFERROR(SORT(GOOGLEFINANCE(C222, ""price"", WORKDAY(TODAY(), -40), TODAY()), 1, FALSE)), ""select Col2 where Col2 is not null limit 22 label Col2 ''"", 0)), """")"),"")</f>
        <v/>
      </c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8"/>
      <c r="AO222" s="28"/>
      <c r="AP222" s="29"/>
      <c r="AQ222" s="29" t="str">
        <f t="shared" ref="AQ222:BL222" si="226">T222/T$2</f>
        <v>#N/A</v>
      </c>
      <c r="AR222" s="29" t="str">
        <f t="shared" si="226"/>
        <v>#DIV/0!</v>
      </c>
      <c r="AS222" s="29" t="str">
        <f t="shared" si="226"/>
        <v>#DIV/0!</v>
      </c>
      <c r="AT222" s="29" t="str">
        <f t="shared" si="226"/>
        <v>#DIV/0!</v>
      </c>
      <c r="AU222" s="29" t="str">
        <f t="shared" si="226"/>
        <v>#DIV/0!</v>
      </c>
      <c r="AV222" s="29" t="str">
        <f t="shared" si="226"/>
        <v>#DIV/0!</v>
      </c>
      <c r="AW222" s="29" t="str">
        <f t="shared" si="226"/>
        <v>#DIV/0!</v>
      </c>
      <c r="AX222" s="29" t="str">
        <f t="shared" si="226"/>
        <v>#DIV/0!</v>
      </c>
      <c r="AY222" s="29" t="str">
        <f t="shared" si="226"/>
        <v>#DIV/0!</v>
      </c>
      <c r="AZ222" s="29" t="str">
        <f t="shared" si="226"/>
        <v>#DIV/0!</v>
      </c>
      <c r="BA222" s="29" t="str">
        <f t="shared" si="226"/>
        <v>#DIV/0!</v>
      </c>
      <c r="BB222" s="29" t="str">
        <f t="shared" si="226"/>
        <v>#DIV/0!</v>
      </c>
      <c r="BC222" s="29" t="str">
        <f t="shared" si="226"/>
        <v>#DIV/0!</v>
      </c>
      <c r="BD222" s="29" t="str">
        <f t="shared" si="226"/>
        <v>#DIV/0!</v>
      </c>
      <c r="BE222" s="29" t="str">
        <f t="shared" si="226"/>
        <v>#DIV/0!</v>
      </c>
      <c r="BF222" s="29" t="str">
        <f t="shared" si="226"/>
        <v>#DIV/0!</v>
      </c>
      <c r="BG222" s="29" t="str">
        <f t="shared" si="226"/>
        <v>#DIV/0!</v>
      </c>
      <c r="BH222" s="29" t="str">
        <f t="shared" si="226"/>
        <v>#DIV/0!</v>
      </c>
      <c r="BI222" s="29" t="str">
        <f t="shared" si="226"/>
        <v>#DIV/0!</v>
      </c>
      <c r="BJ222" s="29" t="str">
        <f t="shared" si="226"/>
        <v>#DIV/0!</v>
      </c>
      <c r="BK222" s="29" t="str">
        <f t="shared" si="226"/>
        <v>#DIV/0!</v>
      </c>
      <c r="BL222" s="29" t="str">
        <f t="shared" si="226"/>
        <v>#DIV/0!</v>
      </c>
      <c r="BM222" s="29" t="str">
        <f t="shared" si="3"/>
        <v>#DIV/0!</v>
      </c>
    </row>
    <row r="223">
      <c r="A223" s="16" t="str">
        <f>IFERROR(__xludf.DUMMYFUNCTION("IFERROR(SPARKLINE(SORT(MAP(TRANSPOSE(AQ223:BL223), LAMBDA(val, IF(ISNUMBER(val), PERCENTRANK(AQ223:BL223, val)+0.01, 0))), SEQUENCE(COLUMNS(AQ223:BL223)), FALSE), {""charttype"",""column""; ""color"",""chartreuse""; ""ymin"", 0; ""ymax"", 1.01; ""highcolo"&amp;"r"", ""darkgreen""; ""lowcolor"", ""red""}), """")"),"")</f>
        <v/>
      </c>
      <c r="B223" s="17" t="str">
        <f t="shared" si="4"/>
        <v/>
      </c>
      <c r="C223" s="1" t="s">
        <v>2312</v>
      </c>
      <c r="D223" s="30" t="str">
        <f>IFERROR(__xludf.DUMMYFUNCTION("IFERROR(GOOGLEFINANCE(C223, ""NAME""))"),"Pacira Biosciences Inc")</f>
        <v>Pacira Biosciences Inc</v>
      </c>
      <c r="E223" s="30" t="s">
        <v>1475</v>
      </c>
      <c r="F223" s="33" t="str">
        <f>IFERROR(__xludf.DUMMYFUNCTION("( (GOOGLEFINANCE(C223, ""price"") - Q223) / Q223 ) / (R223 / 100)"),"Loading...")</f>
        <v>Loading...</v>
      </c>
      <c r="G223" s="20" t="str">
        <f>IFERROR(__xludf.DUMMYFUNCTION("AVERAGE(ARRAYFORMULA(100 * (QUERY(GOOGLEFINANCE(C223, ""high"", TODAY()-40, TODAY()), ""SELECT Col2 WHERE Col2 IS NOT NULL ORDER BY Col1 DESC LIMIT 20"", 0) / QUERY(GOOGLEFINANCE(C223, ""low"", TODAY()-40, TODAY()), ""SELECT Col2 WHERE Col2 IS NOT NULL OR"&amp;"DER BY Col1 DESC LIMIT 20"", 0) - 1)))"),"#N/A")</f>
        <v>#N/A</v>
      </c>
      <c r="H223" s="35" t="str">
        <f t="shared" si="118"/>
        <v/>
      </c>
      <c r="I223" s="36" t="str">
        <f t="shared" si="7"/>
        <v/>
      </c>
      <c r="J223" s="37" t="str">
        <f>IFERROR(__xludf.DUMMYFUNCTION("IFERROR(
  IF(C223="""",, 
    IFERROR(
      GOOGLEFINANCE(C223, ""price"") * GOOGLEFINANCE(C223, ""volumeavg""), 
      GOOGLEFINANCE(C223, ""price"") * AVERAGE(QUERY(GOOGLEFINANCE(C223, ""volume"", TODAY()-40, TODAY()), ""SELECT Col2 WHERE Col2 IS NOT "&amp;"NULL ORDER BY Col1 DESC LIMIT 20"", 0))
    )
  ), 
"""")"),"")</f>
        <v/>
      </c>
      <c r="K223" s="21" t="str">
        <f>IFERROR(__xludf.DUMMYFUNCTION("IFERROR(GOOGLEFINANCE(C223, ""changepct"") / 100, """")"),"")</f>
        <v/>
      </c>
      <c r="L223" s="21" t="str">
        <f>IFERROR(__xludf.DUMMYFUNCTION("IFERROR((GOOGLEFINANCE(C223, ""price"") / INDEX(GOOGLEFINANCE(C223, ""price"", TODAY()-7, TODAY()), 2, 2)) - 1, """")"),"")</f>
        <v/>
      </c>
      <c r="M223" s="21" t="str">
        <f>IFERROR(__xludf.DUMMYFUNCTION("IFERROR((GOOGLEFINANCE(C223, ""price"") / INDEX(GOOGLEFINANCE(C223, ""price"", EDATE(TODAY(), -1), TODAY()), 2, 2)) - 1, """")"),"")</f>
        <v/>
      </c>
      <c r="N223" s="21" t="str">
        <f>IFERROR(__xludf.DUMMYFUNCTION("IFERROR((GOOGLEFINANCE(C223, ""price"") / INDEX(GOOGLEFINANCE(C223, ""price"", EDATE(TODAY(), -3), TODAY()), 2, 2)) - 1, """")"),"")</f>
        <v/>
      </c>
      <c r="O223" s="21" t="str">
        <f>IFERROR(__xludf.DUMMYFUNCTION("IFERROR((GOOGLEFINANCE(C223, ""price"") / INDEX(GOOGLEFINANCE(C223, ""price"", EDATE(TODAY(), -6), TODAY()), 2, 2)) - 1, """")"),"")</f>
        <v/>
      </c>
      <c r="P223" s="21" t="str">
        <f>IFERROR(__xludf.DUMMYFUNCTION("IFERROR((GOOGLEFINANCE(C223, ""price"") / INDEX(GOOGLEFINANCE(C223, ""price"", EDATE(TODAY(), -12), TODAY()), 2, 2)) - 1, """")"),"")</f>
        <v/>
      </c>
      <c r="Q223" s="6" t="str">
        <f>IFERROR(__xludf.DUMMYFUNCTION("AVERAGE(QUERY(GOOGLEFINANCE(C223, ""price"", TODAY()-80, TODAY()), ""SELECT Col2 WHERE Col2 IS NOT NULL ORDER BY Col1 DESC LIMIT 50"", 0))"),"#N/A")</f>
        <v>#N/A</v>
      </c>
      <c r="R223" s="24" t="str">
        <f>IFERROR(__xludf.DUMMYFUNCTION("IFERROR(
  LET(
    data, QUERY(GOOGLEFINANCE(C223,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GOOGLEFINANCE(C223, ""price"")) * 100,
    IF(calc=0, G223, calc)
  ), 
G223)"),"#N/A")</f>
        <v>#N/A</v>
      </c>
      <c r="S223" s="8" t="s">
        <v>15</v>
      </c>
      <c r="T223" s="26" t="str">
        <f>IFERROR(__xludf.DUMMYFUNCTION("IFERROR(TRANSPOSE(QUERY(IFERROR(SORT(GOOGLEFINANCE(C223, ""price"", WORKDAY(TODAY(), -40), TODAY()), 1, FALSE)), ""select Col2 where Col2 is not null limit 22 label Col2 ''"", 0)), """")"),"")</f>
        <v/>
      </c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8"/>
      <c r="AO223" s="28"/>
      <c r="AP223" s="29"/>
      <c r="AQ223" s="29" t="str">
        <f t="shared" ref="AQ223:BL223" si="227">T223/T$2</f>
        <v>#N/A</v>
      </c>
      <c r="AR223" s="29" t="str">
        <f t="shared" si="227"/>
        <v>#DIV/0!</v>
      </c>
      <c r="AS223" s="29" t="str">
        <f t="shared" si="227"/>
        <v>#DIV/0!</v>
      </c>
      <c r="AT223" s="29" t="str">
        <f t="shared" si="227"/>
        <v>#DIV/0!</v>
      </c>
      <c r="AU223" s="29" t="str">
        <f t="shared" si="227"/>
        <v>#DIV/0!</v>
      </c>
      <c r="AV223" s="29" t="str">
        <f t="shared" si="227"/>
        <v>#DIV/0!</v>
      </c>
      <c r="AW223" s="29" t="str">
        <f t="shared" si="227"/>
        <v>#DIV/0!</v>
      </c>
      <c r="AX223" s="29" t="str">
        <f t="shared" si="227"/>
        <v>#DIV/0!</v>
      </c>
      <c r="AY223" s="29" t="str">
        <f t="shared" si="227"/>
        <v>#DIV/0!</v>
      </c>
      <c r="AZ223" s="29" t="str">
        <f t="shared" si="227"/>
        <v>#DIV/0!</v>
      </c>
      <c r="BA223" s="29" t="str">
        <f t="shared" si="227"/>
        <v>#DIV/0!</v>
      </c>
      <c r="BB223" s="29" t="str">
        <f t="shared" si="227"/>
        <v>#DIV/0!</v>
      </c>
      <c r="BC223" s="29" t="str">
        <f t="shared" si="227"/>
        <v>#DIV/0!</v>
      </c>
      <c r="BD223" s="29" t="str">
        <f t="shared" si="227"/>
        <v>#DIV/0!</v>
      </c>
      <c r="BE223" s="29" t="str">
        <f t="shared" si="227"/>
        <v>#DIV/0!</v>
      </c>
      <c r="BF223" s="29" t="str">
        <f t="shared" si="227"/>
        <v>#DIV/0!</v>
      </c>
      <c r="BG223" s="29" t="str">
        <f t="shared" si="227"/>
        <v>#DIV/0!</v>
      </c>
      <c r="BH223" s="29" t="str">
        <f t="shared" si="227"/>
        <v>#DIV/0!</v>
      </c>
      <c r="BI223" s="29" t="str">
        <f t="shared" si="227"/>
        <v>#DIV/0!</v>
      </c>
      <c r="BJ223" s="29" t="str">
        <f t="shared" si="227"/>
        <v>#DIV/0!</v>
      </c>
      <c r="BK223" s="29" t="str">
        <f t="shared" si="227"/>
        <v>#DIV/0!</v>
      </c>
      <c r="BL223" s="29" t="str">
        <f t="shared" si="227"/>
        <v>#DIV/0!</v>
      </c>
      <c r="BM223" s="29" t="str">
        <f t="shared" si="3"/>
        <v>#DIV/0!</v>
      </c>
    </row>
    <row r="224">
      <c r="A224" s="16" t="str">
        <f>IFERROR(__xludf.DUMMYFUNCTION("IFERROR(SPARKLINE(SORT(MAP(TRANSPOSE(AQ224:BL224), LAMBDA(val, IF(ISNUMBER(val), PERCENTRANK(AQ224:BL224, val)+0.01, 0))), SEQUENCE(COLUMNS(AQ224:BL224)), FALSE), {""charttype"",""column""; ""color"",""chartreuse""; ""ymin"", 0; ""ymax"", 1.01; ""highcolo"&amp;"r"", ""darkgreen""; ""lowcolor"", ""red""}), """")"),"")</f>
        <v/>
      </c>
      <c r="B224" s="17" t="str">
        <f t="shared" si="4"/>
        <v/>
      </c>
      <c r="C224" s="1" t="s">
        <v>2314</v>
      </c>
      <c r="D224" s="30" t="str">
        <f>IFERROR(__xludf.DUMMYFUNCTION("IFERROR(GOOGLEFINANCE(C224, ""NAME""))"),"Privia Health Group Inc")</f>
        <v>Privia Health Group Inc</v>
      </c>
      <c r="E224" s="30" t="s">
        <v>1532</v>
      </c>
      <c r="F224" s="38" t="str">
        <f>IFERROR(__xludf.DUMMYFUNCTION("( (GOOGLEFINANCE(C224, ""price"") - Q224) / Q224 ) / (R224 / 100)"),"Loading...")</f>
        <v>Loading...</v>
      </c>
      <c r="G224" s="20" t="str">
        <f>IFERROR(__xludf.DUMMYFUNCTION("AVERAGE(ARRAYFORMULA(100 * (QUERY(GOOGLEFINANCE(C224, ""high"", TODAY()-40, TODAY()), ""SELECT Col2 WHERE Col2 IS NOT NULL ORDER BY Col1 DESC LIMIT 20"", 0) / QUERY(GOOGLEFINANCE(C224, ""low"", TODAY()-40, TODAY()), ""SELECT Col2 WHERE Col2 IS NOT NULL OR"&amp;"DER BY Col1 DESC LIMIT 20"", 0) - 1)))"),"#N/A")</f>
        <v>#N/A</v>
      </c>
      <c r="H224" s="35" t="str">
        <f t="shared" si="118"/>
        <v/>
      </c>
      <c r="I224" s="36" t="str">
        <f t="shared" si="7"/>
        <v/>
      </c>
      <c r="J224" s="37" t="str">
        <f>IFERROR(__xludf.DUMMYFUNCTION("IFERROR(
  IF(C224="""",, 
    IFERROR(
      GOOGLEFINANCE(C224, ""price"") * GOOGLEFINANCE(C224, ""volumeavg""), 
      GOOGLEFINANCE(C224, ""price"") * AVERAGE(QUERY(GOOGLEFINANCE(C224, ""volume"", TODAY()-40, TODAY()), ""SELECT Col2 WHERE Col2 IS NOT "&amp;"NULL ORDER BY Col1 DESC LIMIT 20"", 0))
    )
  ), 
"""")"),"")</f>
        <v/>
      </c>
      <c r="K224" s="21" t="str">
        <f>IFERROR(__xludf.DUMMYFUNCTION("IFERROR(GOOGLEFINANCE(C224, ""changepct"") / 100, """")"),"")</f>
        <v/>
      </c>
      <c r="L224" s="21" t="str">
        <f>IFERROR(__xludf.DUMMYFUNCTION("IFERROR((GOOGLEFINANCE(C224, ""price"") / INDEX(GOOGLEFINANCE(C224, ""price"", TODAY()-7, TODAY()), 2, 2)) - 1, """")"),"")</f>
        <v/>
      </c>
      <c r="M224" s="21" t="str">
        <f>IFERROR(__xludf.DUMMYFUNCTION("IFERROR((GOOGLEFINANCE(C224, ""price"") / INDEX(GOOGLEFINANCE(C224, ""price"", EDATE(TODAY(), -1), TODAY()), 2, 2)) - 1, """")"),"")</f>
        <v/>
      </c>
      <c r="N224" s="21" t="str">
        <f>IFERROR(__xludf.DUMMYFUNCTION("IFERROR((GOOGLEFINANCE(C224, ""price"") / INDEX(GOOGLEFINANCE(C224, ""price"", EDATE(TODAY(), -3), TODAY()), 2, 2)) - 1, """")"),"")</f>
        <v/>
      </c>
      <c r="O224" s="21" t="str">
        <f>IFERROR(__xludf.DUMMYFUNCTION("IFERROR((GOOGLEFINANCE(C224, ""price"") / INDEX(GOOGLEFINANCE(C224, ""price"", EDATE(TODAY(), -6), TODAY()), 2, 2)) - 1, """")"),"")</f>
        <v/>
      </c>
      <c r="P224" s="21" t="str">
        <f>IFERROR(__xludf.DUMMYFUNCTION("IFERROR((GOOGLEFINANCE(C224, ""price"") / INDEX(GOOGLEFINANCE(C224, ""price"", EDATE(TODAY(), -12), TODAY()), 2, 2)) - 1, """")"),"")</f>
        <v/>
      </c>
      <c r="Q224" s="6" t="str">
        <f>IFERROR(__xludf.DUMMYFUNCTION("AVERAGE(QUERY(GOOGLEFINANCE(C224, ""price"", TODAY()-80, TODAY()), ""SELECT Col2 WHERE Col2 IS NOT NULL ORDER BY Col1 DESC LIMIT 50"", 0))"),"#N/A")</f>
        <v>#N/A</v>
      </c>
      <c r="R224" s="24" t="str">
        <f>IFERROR(__xludf.DUMMYFUNCTION("IFERROR(
  LET(
    data, QUERY(GOOGLEFINANCE(C224,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GOOGLEFINANCE(C224, ""price"")) * 100,
    IF(calc=0, G224, calc)
  ), 
G224)"),"#N/A")</f>
        <v>#N/A</v>
      </c>
      <c r="S224" s="8" t="s">
        <v>15</v>
      </c>
      <c r="T224" s="26" t="str">
        <f>IFERROR(__xludf.DUMMYFUNCTION("IFERROR(TRANSPOSE(QUERY(IFERROR(SORT(GOOGLEFINANCE(C224, ""price"", WORKDAY(TODAY(), -40), TODAY()), 1, FALSE)), ""select Col2 where Col2 is not null limit 22 label Col2 ''"", 0)), """")"),"")</f>
        <v/>
      </c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8"/>
      <c r="AO224" s="28"/>
      <c r="AP224" s="29"/>
      <c r="AQ224" s="29" t="str">
        <f t="shared" ref="AQ224:BL224" si="228">T224/T$2</f>
        <v>#N/A</v>
      </c>
      <c r="AR224" s="29" t="str">
        <f t="shared" si="228"/>
        <v>#DIV/0!</v>
      </c>
      <c r="AS224" s="29" t="str">
        <f t="shared" si="228"/>
        <v>#DIV/0!</v>
      </c>
      <c r="AT224" s="29" t="str">
        <f t="shared" si="228"/>
        <v>#DIV/0!</v>
      </c>
      <c r="AU224" s="29" t="str">
        <f t="shared" si="228"/>
        <v>#DIV/0!</v>
      </c>
      <c r="AV224" s="29" t="str">
        <f t="shared" si="228"/>
        <v>#DIV/0!</v>
      </c>
      <c r="AW224" s="29" t="str">
        <f t="shared" si="228"/>
        <v>#DIV/0!</v>
      </c>
      <c r="AX224" s="29" t="str">
        <f t="shared" si="228"/>
        <v>#DIV/0!</v>
      </c>
      <c r="AY224" s="29" t="str">
        <f t="shared" si="228"/>
        <v>#DIV/0!</v>
      </c>
      <c r="AZ224" s="29" t="str">
        <f t="shared" si="228"/>
        <v>#DIV/0!</v>
      </c>
      <c r="BA224" s="29" t="str">
        <f t="shared" si="228"/>
        <v>#DIV/0!</v>
      </c>
      <c r="BB224" s="29" t="str">
        <f t="shared" si="228"/>
        <v>#DIV/0!</v>
      </c>
      <c r="BC224" s="29" t="str">
        <f t="shared" si="228"/>
        <v>#DIV/0!</v>
      </c>
      <c r="BD224" s="29" t="str">
        <f t="shared" si="228"/>
        <v>#DIV/0!</v>
      </c>
      <c r="BE224" s="29" t="str">
        <f t="shared" si="228"/>
        <v>#DIV/0!</v>
      </c>
      <c r="BF224" s="29" t="str">
        <f t="shared" si="228"/>
        <v>#DIV/0!</v>
      </c>
      <c r="BG224" s="29" t="str">
        <f t="shared" si="228"/>
        <v>#DIV/0!</v>
      </c>
      <c r="BH224" s="29" t="str">
        <f t="shared" si="228"/>
        <v>#DIV/0!</v>
      </c>
      <c r="BI224" s="29" t="str">
        <f t="shared" si="228"/>
        <v>#DIV/0!</v>
      </c>
      <c r="BJ224" s="29" t="str">
        <f t="shared" si="228"/>
        <v>#DIV/0!</v>
      </c>
      <c r="BK224" s="29" t="str">
        <f t="shared" si="228"/>
        <v>#DIV/0!</v>
      </c>
      <c r="BL224" s="29" t="str">
        <f t="shared" si="228"/>
        <v>#DIV/0!</v>
      </c>
      <c r="BM224" s="29" t="str">
        <f t="shared" si="3"/>
        <v>#DIV/0!</v>
      </c>
    </row>
    <row r="225">
      <c r="A225" s="16" t="str">
        <f>IFERROR(__xludf.DUMMYFUNCTION("IFERROR(SPARKLINE(SORT(MAP(TRANSPOSE(AQ225:BL225), LAMBDA(val, IF(ISNUMBER(val), PERCENTRANK(AQ225:BL225, val)+0.01, 0))), SEQUENCE(COLUMNS(AQ225:BL225)), FALSE), {""charttype"",""column""; ""color"",""chartreuse""; ""ymin"", 0; ""ymax"", 1.01; ""highcolo"&amp;"r"", ""darkgreen""; ""lowcolor"", ""red""}), """")"),"")</f>
        <v/>
      </c>
      <c r="B225" s="17" t="str">
        <f t="shared" si="4"/>
        <v/>
      </c>
      <c r="C225" s="1" t="s">
        <v>2318</v>
      </c>
      <c r="D225" s="30" t="str">
        <f>IFERROR(__xludf.DUMMYFUNCTION("IFERROR(GOOGLEFINANCE(C225, ""NAME""))"),"")</f>
        <v/>
      </c>
      <c r="E225" s="30" t="s">
        <v>1513</v>
      </c>
      <c r="F225" s="33" t="str">
        <f>IFERROR(__xludf.DUMMYFUNCTION("( (GOOGLEFINANCE(C225, ""price"") - Q225) / Q225 ) / (R225 / 100)"),"Loading...")</f>
        <v>Loading...</v>
      </c>
      <c r="G225" s="20" t="str">
        <f>IFERROR(__xludf.DUMMYFUNCTION("AVERAGE(ARRAYFORMULA(100 * (QUERY(GOOGLEFINANCE(C225, ""high"", TODAY()-40, TODAY()), ""SELECT Col2 WHERE Col2 IS NOT NULL ORDER BY Col1 DESC LIMIT 20"", 0) / QUERY(GOOGLEFINANCE(C225, ""low"", TODAY()-40, TODAY()), ""SELECT Col2 WHERE Col2 IS NOT NULL OR"&amp;"DER BY Col1 DESC LIMIT 20"", 0) - 1)))"),"#N/A")</f>
        <v>#N/A</v>
      </c>
      <c r="H225" s="35" t="str">
        <f t="shared" si="118"/>
        <v/>
      </c>
      <c r="I225" s="36" t="str">
        <f t="shared" si="7"/>
        <v/>
      </c>
      <c r="J225" s="37" t="str">
        <f>IFERROR(__xludf.DUMMYFUNCTION("IFERROR(
  IF(C225="""",, 
    IFERROR(
      GOOGLEFINANCE(C225, ""price"") * GOOGLEFINANCE(C225, ""volumeavg""), 
      GOOGLEFINANCE(C225, ""price"") * AVERAGE(QUERY(GOOGLEFINANCE(C225, ""volume"", TODAY()-40, TODAY()), ""SELECT Col2 WHERE Col2 IS NOT "&amp;"NULL ORDER BY Col1 DESC LIMIT 20"", 0))
    )
  ), 
"""")"),"")</f>
        <v/>
      </c>
      <c r="K225" s="21" t="str">
        <f>IFERROR(__xludf.DUMMYFUNCTION("IFERROR(GOOGLEFINANCE(C225, ""changepct"") / 100, """")"),"")</f>
        <v/>
      </c>
      <c r="L225" s="21" t="str">
        <f>IFERROR(__xludf.DUMMYFUNCTION("IFERROR((GOOGLEFINANCE(C225, ""price"") / INDEX(GOOGLEFINANCE(C225, ""price"", TODAY()-7, TODAY()), 2, 2)) - 1, """")"),"")</f>
        <v/>
      </c>
      <c r="M225" s="21" t="str">
        <f>IFERROR(__xludf.DUMMYFUNCTION("IFERROR((GOOGLEFINANCE(C225, ""price"") / INDEX(GOOGLEFINANCE(C225, ""price"", EDATE(TODAY(), -1), TODAY()), 2, 2)) - 1, """")"),"")</f>
        <v/>
      </c>
      <c r="N225" s="21" t="str">
        <f>IFERROR(__xludf.DUMMYFUNCTION("IFERROR((GOOGLEFINANCE(C225, ""price"") / INDEX(GOOGLEFINANCE(C225, ""price"", EDATE(TODAY(), -3), TODAY()), 2, 2)) - 1, """")"),"")</f>
        <v/>
      </c>
      <c r="O225" s="21" t="str">
        <f>IFERROR(__xludf.DUMMYFUNCTION("IFERROR((GOOGLEFINANCE(C225, ""price"") / INDEX(GOOGLEFINANCE(C225, ""price"", EDATE(TODAY(), -6), TODAY()), 2, 2)) - 1, """")"),"")</f>
        <v/>
      </c>
      <c r="P225" s="21" t="str">
        <f>IFERROR(__xludf.DUMMYFUNCTION("IFERROR((GOOGLEFINANCE(C225, ""price"") / INDEX(GOOGLEFINANCE(C225, ""price"", EDATE(TODAY(), -12), TODAY()), 2, 2)) - 1, """")"),"")</f>
        <v/>
      </c>
      <c r="Q225" s="6" t="str">
        <f>IFERROR(__xludf.DUMMYFUNCTION("AVERAGE(QUERY(GOOGLEFINANCE(C225, ""price"", TODAY()-80, TODAY()), ""SELECT Col2 WHERE Col2 IS NOT NULL ORDER BY Col1 DESC LIMIT 50"", 0))"),"#N/A")</f>
        <v>#N/A</v>
      </c>
      <c r="R225" s="24" t="str">
        <f>IFERROR(__xludf.DUMMYFUNCTION("IFERROR(
  LET(
    data, QUERY(GOOGLEFINANCE(C225,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GOOGLEFINANCE(C225, ""price"")) * 100,
    IF(calc=0, G225, calc)
  ), 
G225)"),"#N/A")</f>
        <v>#N/A</v>
      </c>
      <c r="S225" s="8" t="s">
        <v>15</v>
      </c>
      <c r="T225" s="26" t="str">
        <f>IFERROR(__xludf.DUMMYFUNCTION("IFERROR(TRANSPOSE(QUERY(IFERROR(SORT(GOOGLEFINANCE(C225, ""price"", WORKDAY(TODAY(), -40), TODAY()), 1, FALSE)), ""select Col2 where Col2 is not null limit 22 label Col2 ''"", 0)), """")"),"")</f>
        <v/>
      </c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8"/>
      <c r="AO225" s="28"/>
      <c r="AP225" s="29"/>
      <c r="AQ225" s="29" t="str">
        <f t="shared" ref="AQ225:BL225" si="229">T225/T$2</f>
        <v>#N/A</v>
      </c>
      <c r="AR225" s="29" t="str">
        <f t="shared" si="229"/>
        <v>#DIV/0!</v>
      </c>
      <c r="AS225" s="29" t="str">
        <f t="shared" si="229"/>
        <v>#DIV/0!</v>
      </c>
      <c r="AT225" s="29" t="str">
        <f t="shared" si="229"/>
        <v>#DIV/0!</v>
      </c>
      <c r="AU225" s="29" t="str">
        <f t="shared" si="229"/>
        <v>#DIV/0!</v>
      </c>
      <c r="AV225" s="29" t="str">
        <f t="shared" si="229"/>
        <v>#DIV/0!</v>
      </c>
      <c r="AW225" s="29" t="str">
        <f t="shared" si="229"/>
        <v>#DIV/0!</v>
      </c>
      <c r="AX225" s="29" t="str">
        <f t="shared" si="229"/>
        <v>#DIV/0!</v>
      </c>
      <c r="AY225" s="29" t="str">
        <f t="shared" si="229"/>
        <v>#DIV/0!</v>
      </c>
      <c r="AZ225" s="29" t="str">
        <f t="shared" si="229"/>
        <v>#DIV/0!</v>
      </c>
      <c r="BA225" s="29" t="str">
        <f t="shared" si="229"/>
        <v>#DIV/0!</v>
      </c>
      <c r="BB225" s="29" t="str">
        <f t="shared" si="229"/>
        <v>#DIV/0!</v>
      </c>
      <c r="BC225" s="29" t="str">
        <f t="shared" si="229"/>
        <v>#DIV/0!</v>
      </c>
      <c r="BD225" s="29" t="str">
        <f t="shared" si="229"/>
        <v>#DIV/0!</v>
      </c>
      <c r="BE225" s="29" t="str">
        <f t="shared" si="229"/>
        <v>#DIV/0!</v>
      </c>
      <c r="BF225" s="29" t="str">
        <f t="shared" si="229"/>
        <v>#DIV/0!</v>
      </c>
      <c r="BG225" s="29" t="str">
        <f t="shared" si="229"/>
        <v>#DIV/0!</v>
      </c>
      <c r="BH225" s="29" t="str">
        <f t="shared" si="229"/>
        <v>#DIV/0!</v>
      </c>
      <c r="BI225" s="29" t="str">
        <f t="shared" si="229"/>
        <v>#DIV/0!</v>
      </c>
      <c r="BJ225" s="29" t="str">
        <f t="shared" si="229"/>
        <v>#DIV/0!</v>
      </c>
      <c r="BK225" s="29" t="str">
        <f t="shared" si="229"/>
        <v>#DIV/0!</v>
      </c>
      <c r="BL225" s="29" t="str">
        <f t="shared" si="229"/>
        <v>#DIV/0!</v>
      </c>
      <c r="BM225" s="29" t="str">
        <f t="shared" si="3"/>
        <v>#DIV/0!</v>
      </c>
    </row>
    <row r="226">
      <c r="A226" s="16" t="str">
        <f>IFERROR(__xludf.DUMMYFUNCTION("IFERROR(SPARKLINE(SORT(MAP(TRANSPOSE(AQ226:BL226), LAMBDA(val, IF(ISNUMBER(val), PERCENTRANK(AQ226:BL226, val)+0.01, 0))), SEQUENCE(COLUMNS(AQ226:BL226)), FALSE), {""charttype"",""column""; ""color"",""chartreuse""; ""ymin"", 0; ""ymax"", 1.01; ""highcolo"&amp;"r"", ""darkgreen""; ""lowcolor"", ""red""}), """")"),"")</f>
        <v/>
      </c>
      <c r="B226" s="17" t="str">
        <f t="shared" si="4"/>
        <v/>
      </c>
      <c r="C226" s="1" t="s">
        <v>2322</v>
      </c>
      <c r="D226" s="30" t="str">
        <f>IFERROR(__xludf.DUMMYFUNCTION("IFERROR(GOOGLEFINANCE(C226, ""NAME""))"),"Inspire Medical Systems Inc")</f>
        <v>Inspire Medical Systems Inc</v>
      </c>
      <c r="E226" s="30" t="s">
        <v>1491</v>
      </c>
      <c r="F226" s="33" t="str">
        <f>IFERROR(__xludf.DUMMYFUNCTION("( (GOOGLEFINANCE(C226, ""price"") - Q226) / Q226 ) / (R226 / 100)"),"Loading...")</f>
        <v>Loading...</v>
      </c>
      <c r="G226" s="20" t="str">
        <f>IFERROR(__xludf.DUMMYFUNCTION("AVERAGE(ARRAYFORMULA(100 * (QUERY(GOOGLEFINANCE(C226, ""high"", TODAY()-40, TODAY()), ""SELECT Col2 WHERE Col2 IS NOT NULL ORDER BY Col1 DESC LIMIT 20"", 0) / QUERY(GOOGLEFINANCE(C226, ""low"", TODAY()-40, TODAY()), ""SELECT Col2 WHERE Col2 IS NOT NULL OR"&amp;"DER BY Col1 DESC LIMIT 20"", 0) - 1)))"),"#N/A")</f>
        <v>#N/A</v>
      </c>
      <c r="H226" s="35" t="str">
        <f t="shared" si="118"/>
        <v/>
      </c>
      <c r="I226" s="36" t="str">
        <f t="shared" si="7"/>
        <v/>
      </c>
      <c r="J226" s="37" t="str">
        <f>IFERROR(__xludf.DUMMYFUNCTION("IFERROR(
  IF(C226="""",, 
    IFERROR(
      GOOGLEFINANCE(C226, ""price"") * GOOGLEFINANCE(C226, ""volumeavg""), 
      GOOGLEFINANCE(C226, ""price"") * AVERAGE(QUERY(GOOGLEFINANCE(C226, ""volume"", TODAY()-40, TODAY()), ""SELECT Col2 WHERE Col2 IS NOT "&amp;"NULL ORDER BY Col1 DESC LIMIT 20"", 0))
    )
  ), 
"""")"),"")</f>
        <v/>
      </c>
      <c r="K226" s="21" t="str">
        <f>IFERROR(__xludf.DUMMYFUNCTION("IFERROR(GOOGLEFINANCE(C226, ""changepct"") / 100, """")"),"")</f>
        <v/>
      </c>
      <c r="L226" s="21" t="str">
        <f>IFERROR(__xludf.DUMMYFUNCTION("IFERROR((GOOGLEFINANCE(C226, ""price"") / INDEX(GOOGLEFINANCE(C226, ""price"", TODAY()-7, TODAY()), 2, 2)) - 1, """")"),"")</f>
        <v/>
      </c>
      <c r="M226" s="21" t="str">
        <f>IFERROR(__xludf.DUMMYFUNCTION("IFERROR((GOOGLEFINANCE(C226, ""price"") / INDEX(GOOGLEFINANCE(C226, ""price"", EDATE(TODAY(), -1), TODAY()), 2, 2)) - 1, """")"),"")</f>
        <v/>
      </c>
      <c r="N226" s="21" t="str">
        <f>IFERROR(__xludf.DUMMYFUNCTION("IFERROR((GOOGLEFINANCE(C226, ""price"") / INDEX(GOOGLEFINANCE(C226, ""price"", EDATE(TODAY(), -3), TODAY()), 2, 2)) - 1, """")"),"")</f>
        <v/>
      </c>
      <c r="O226" s="21" t="str">
        <f>IFERROR(__xludf.DUMMYFUNCTION("IFERROR((GOOGLEFINANCE(C226, ""price"") / INDEX(GOOGLEFINANCE(C226, ""price"", EDATE(TODAY(), -6), TODAY()), 2, 2)) - 1, """")"),"")</f>
        <v/>
      </c>
      <c r="P226" s="21" t="str">
        <f>IFERROR(__xludf.DUMMYFUNCTION("IFERROR((GOOGLEFINANCE(C226, ""price"") / INDEX(GOOGLEFINANCE(C226, ""price"", EDATE(TODAY(), -12), TODAY()), 2, 2)) - 1, """")"),"")</f>
        <v/>
      </c>
      <c r="Q226" s="6" t="str">
        <f>IFERROR(__xludf.DUMMYFUNCTION("AVERAGE(QUERY(GOOGLEFINANCE(C226, ""price"", TODAY()-80, TODAY()), ""SELECT Col2 WHERE Col2 IS NOT NULL ORDER BY Col1 DESC LIMIT 50"", 0))"),"#N/A")</f>
        <v>#N/A</v>
      </c>
      <c r="R226" s="24" t="str">
        <f>IFERROR(__xludf.DUMMYFUNCTION("IFERROR(
  LET(
    data, QUERY(GOOGLEFINANCE(C226,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GOOGLEFINANCE(C226, ""price"")) * 100,
    IF(calc=0, G226, calc)
  ), 
G226)"),"#N/A")</f>
        <v>#N/A</v>
      </c>
      <c r="S226" s="8" t="s">
        <v>15</v>
      </c>
      <c r="T226" s="26" t="str">
        <f>IFERROR(__xludf.DUMMYFUNCTION("IFERROR(TRANSPOSE(QUERY(IFERROR(SORT(GOOGLEFINANCE(C226, ""price"", WORKDAY(TODAY(), -40), TODAY()), 1, FALSE)), ""select Col2 where Col2 is not null limit 22 label Col2 ''"", 0)), """")"),"")</f>
        <v/>
      </c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8"/>
      <c r="AO226" s="28"/>
      <c r="AP226" s="29"/>
      <c r="AQ226" s="29" t="str">
        <f t="shared" ref="AQ226:BL226" si="230">T226/T$2</f>
        <v>#N/A</v>
      </c>
      <c r="AR226" s="29" t="str">
        <f t="shared" si="230"/>
        <v>#DIV/0!</v>
      </c>
      <c r="AS226" s="29" t="str">
        <f t="shared" si="230"/>
        <v>#DIV/0!</v>
      </c>
      <c r="AT226" s="29" t="str">
        <f t="shared" si="230"/>
        <v>#DIV/0!</v>
      </c>
      <c r="AU226" s="29" t="str">
        <f t="shared" si="230"/>
        <v>#DIV/0!</v>
      </c>
      <c r="AV226" s="29" t="str">
        <f t="shared" si="230"/>
        <v>#DIV/0!</v>
      </c>
      <c r="AW226" s="29" t="str">
        <f t="shared" si="230"/>
        <v>#DIV/0!</v>
      </c>
      <c r="AX226" s="29" t="str">
        <f t="shared" si="230"/>
        <v>#DIV/0!</v>
      </c>
      <c r="AY226" s="29" t="str">
        <f t="shared" si="230"/>
        <v>#DIV/0!</v>
      </c>
      <c r="AZ226" s="29" t="str">
        <f t="shared" si="230"/>
        <v>#DIV/0!</v>
      </c>
      <c r="BA226" s="29" t="str">
        <f t="shared" si="230"/>
        <v>#DIV/0!</v>
      </c>
      <c r="BB226" s="29" t="str">
        <f t="shared" si="230"/>
        <v>#DIV/0!</v>
      </c>
      <c r="BC226" s="29" t="str">
        <f t="shared" si="230"/>
        <v>#DIV/0!</v>
      </c>
      <c r="BD226" s="29" t="str">
        <f t="shared" si="230"/>
        <v>#DIV/0!</v>
      </c>
      <c r="BE226" s="29" t="str">
        <f t="shared" si="230"/>
        <v>#DIV/0!</v>
      </c>
      <c r="BF226" s="29" t="str">
        <f t="shared" si="230"/>
        <v>#DIV/0!</v>
      </c>
      <c r="BG226" s="29" t="str">
        <f t="shared" si="230"/>
        <v>#DIV/0!</v>
      </c>
      <c r="BH226" s="29" t="str">
        <f t="shared" si="230"/>
        <v>#DIV/0!</v>
      </c>
      <c r="BI226" s="29" t="str">
        <f t="shared" si="230"/>
        <v>#DIV/0!</v>
      </c>
      <c r="BJ226" s="29" t="str">
        <f t="shared" si="230"/>
        <v>#DIV/0!</v>
      </c>
      <c r="BK226" s="29" t="str">
        <f t="shared" si="230"/>
        <v>#DIV/0!</v>
      </c>
      <c r="BL226" s="29" t="str">
        <f t="shared" si="230"/>
        <v>#DIV/0!</v>
      </c>
      <c r="BM226" s="29" t="str">
        <f t="shared" si="3"/>
        <v>#DIV/0!</v>
      </c>
    </row>
    <row r="227">
      <c r="A227" s="16" t="str">
        <f>IFERROR(__xludf.DUMMYFUNCTION("IFERROR(SPARKLINE(SORT(MAP(TRANSPOSE(AQ227:BL227), LAMBDA(val, IF(ISNUMBER(val), PERCENTRANK(AQ227:BL227, val)+0.01, 0))), SEQUENCE(COLUMNS(AQ227:BL227)), FALSE), {""charttype"",""column""; ""color"",""chartreuse""; ""ymin"", 0; ""ymax"", 1.01; ""highcolo"&amp;"r"", ""darkgreen""; ""lowcolor"", ""red""}), """")"),"")</f>
        <v/>
      </c>
      <c r="B227" s="17" t="str">
        <f t="shared" si="4"/>
        <v/>
      </c>
      <c r="C227" s="1" t="s">
        <v>2326</v>
      </c>
      <c r="D227" s="30" t="str">
        <f>IFERROR(__xludf.DUMMYFUNCTION("IFERROR(GOOGLEFINANCE(C227, ""NAME""))"),"Adapthealth Corp")</f>
        <v>Adapthealth Corp</v>
      </c>
      <c r="E227" s="30" t="s">
        <v>1491</v>
      </c>
      <c r="F227" s="33" t="str">
        <f>IFERROR(__xludf.DUMMYFUNCTION("( (GOOGLEFINANCE(C227, ""price"") - Q227) / Q227 ) / (R227 / 100)"),"Loading...")</f>
        <v>Loading...</v>
      </c>
      <c r="G227" s="20" t="str">
        <f>IFERROR(__xludf.DUMMYFUNCTION("AVERAGE(ARRAYFORMULA(100 * (QUERY(GOOGLEFINANCE(C227, ""high"", TODAY()-40, TODAY()), ""SELECT Col2 WHERE Col2 IS NOT NULL ORDER BY Col1 DESC LIMIT 20"", 0) / QUERY(GOOGLEFINANCE(C227, ""low"", TODAY()-40, TODAY()), ""SELECT Col2 WHERE Col2 IS NOT NULL OR"&amp;"DER BY Col1 DESC LIMIT 20"", 0) - 1)))"),"#N/A")</f>
        <v>#N/A</v>
      </c>
      <c r="H227" s="35"/>
      <c r="I227" s="36" t="str">
        <f t="shared" si="7"/>
        <v/>
      </c>
      <c r="J227" s="37" t="str">
        <f>IFERROR(__xludf.DUMMYFUNCTION("IFERROR(
  IF(C227="""",, 
    IFERROR(
      GOOGLEFINANCE(C227, ""price"") * GOOGLEFINANCE(C227, ""volumeavg""), 
      GOOGLEFINANCE(C227, ""price"") * AVERAGE(QUERY(GOOGLEFINANCE(C227, ""volume"", TODAY()-40, TODAY()), ""SELECT Col2 WHERE Col2 IS NOT "&amp;"NULL ORDER BY Col1 DESC LIMIT 20"", 0))
    )
  ), 
"""")"),"")</f>
        <v/>
      </c>
      <c r="K227" s="21" t="str">
        <f>IFERROR(__xludf.DUMMYFUNCTION("IFERROR(GOOGLEFINANCE(C227, ""changepct"") / 100, """")"),"")</f>
        <v/>
      </c>
      <c r="L227" s="21" t="str">
        <f>IFERROR(__xludf.DUMMYFUNCTION("IFERROR((GOOGLEFINANCE(C227, ""price"") / INDEX(GOOGLEFINANCE(C227, ""price"", TODAY()-7, TODAY()), 2, 2)) - 1, """")"),"")</f>
        <v/>
      </c>
      <c r="M227" s="21" t="str">
        <f>IFERROR(__xludf.DUMMYFUNCTION("IFERROR((GOOGLEFINANCE(C227, ""price"") / INDEX(GOOGLEFINANCE(C227, ""price"", EDATE(TODAY(), -1), TODAY()), 2, 2)) - 1, """")"),"")</f>
        <v/>
      </c>
      <c r="N227" s="21" t="str">
        <f>IFERROR(__xludf.DUMMYFUNCTION("IFERROR((GOOGLEFINANCE(C227, ""price"") / INDEX(GOOGLEFINANCE(C227, ""price"", EDATE(TODAY(), -3), TODAY()), 2, 2)) - 1, """")"),"")</f>
        <v/>
      </c>
      <c r="O227" s="21" t="str">
        <f>IFERROR(__xludf.DUMMYFUNCTION("IFERROR((GOOGLEFINANCE(C227, ""price"") / INDEX(GOOGLEFINANCE(C227, ""price"", EDATE(TODAY(), -6), TODAY()), 2, 2)) - 1, """")"),"")</f>
        <v/>
      </c>
      <c r="P227" s="21" t="str">
        <f>IFERROR(__xludf.DUMMYFUNCTION("IFERROR((GOOGLEFINANCE(C227, ""price"") / INDEX(GOOGLEFINANCE(C227, ""price"", EDATE(TODAY(), -12), TODAY()), 2, 2)) - 1, """")"),"")</f>
        <v/>
      </c>
      <c r="Q227" s="6" t="str">
        <f>IFERROR(__xludf.DUMMYFUNCTION("AVERAGE(QUERY(GOOGLEFINANCE(C227, ""price"", TODAY()-80, TODAY()), ""SELECT Col2 WHERE Col2 IS NOT NULL ORDER BY Col1 DESC LIMIT 50"", 0))"),"#N/A")</f>
        <v>#N/A</v>
      </c>
      <c r="R227" s="24" t="str">
        <f>IFERROR(__xludf.DUMMYFUNCTION("IFERROR(
  LET(
    data, QUERY(GOOGLEFINANCE(C227,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GOOGLEFINANCE(C227, ""price"")) * 100,
    IF(calc=0, G227, calc)
  ), 
G227)"),"#N/A")</f>
        <v>#N/A</v>
      </c>
      <c r="S227" s="8" t="s">
        <v>15</v>
      </c>
      <c r="T227" s="26" t="str">
        <f>IFERROR(__xludf.DUMMYFUNCTION("IFERROR(TRANSPOSE(QUERY(IFERROR(SORT(GOOGLEFINANCE(C227, ""price"", WORKDAY(TODAY(), -40), TODAY()), 1, FALSE)), ""select Col2 where Col2 is not null limit 22 label Col2 ''"", 0)), """")"),"")</f>
        <v/>
      </c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8"/>
      <c r="AO227" s="28"/>
      <c r="AP227" s="29"/>
      <c r="AQ227" s="29" t="str">
        <f t="shared" ref="AQ227:BL227" si="231">T227/T$2</f>
        <v>#N/A</v>
      </c>
      <c r="AR227" s="29" t="str">
        <f t="shared" si="231"/>
        <v>#DIV/0!</v>
      </c>
      <c r="AS227" s="29" t="str">
        <f t="shared" si="231"/>
        <v>#DIV/0!</v>
      </c>
      <c r="AT227" s="29" t="str">
        <f t="shared" si="231"/>
        <v>#DIV/0!</v>
      </c>
      <c r="AU227" s="29" t="str">
        <f t="shared" si="231"/>
        <v>#DIV/0!</v>
      </c>
      <c r="AV227" s="29" t="str">
        <f t="shared" si="231"/>
        <v>#DIV/0!</v>
      </c>
      <c r="AW227" s="29" t="str">
        <f t="shared" si="231"/>
        <v>#DIV/0!</v>
      </c>
      <c r="AX227" s="29" t="str">
        <f t="shared" si="231"/>
        <v>#DIV/0!</v>
      </c>
      <c r="AY227" s="29" t="str">
        <f t="shared" si="231"/>
        <v>#DIV/0!</v>
      </c>
      <c r="AZ227" s="29" t="str">
        <f t="shared" si="231"/>
        <v>#DIV/0!</v>
      </c>
      <c r="BA227" s="29" t="str">
        <f t="shared" si="231"/>
        <v>#DIV/0!</v>
      </c>
      <c r="BB227" s="29" t="str">
        <f t="shared" si="231"/>
        <v>#DIV/0!</v>
      </c>
      <c r="BC227" s="29" t="str">
        <f t="shared" si="231"/>
        <v>#DIV/0!</v>
      </c>
      <c r="BD227" s="29" t="str">
        <f t="shared" si="231"/>
        <v>#DIV/0!</v>
      </c>
      <c r="BE227" s="29" t="str">
        <f t="shared" si="231"/>
        <v>#DIV/0!</v>
      </c>
      <c r="BF227" s="29" t="str">
        <f t="shared" si="231"/>
        <v>#DIV/0!</v>
      </c>
      <c r="BG227" s="29" t="str">
        <f t="shared" si="231"/>
        <v>#DIV/0!</v>
      </c>
      <c r="BH227" s="29" t="str">
        <f t="shared" si="231"/>
        <v>#DIV/0!</v>
      </c>
      <c r="BI227" s="29" t="str">
        <f t="shared" si="231"/>
        <v>#DIV/0!</v>
      </c>
      <c r="BJ227" s="29" t="str">
        <f t="shared" si="231"/>
        <v>#DIV/0!</v>
      </c>
      <c r="BK227" s="29" t="str">
        <f t="shared" si="231"/>
        <v>#DIV/0!</v>
      </c>
      <c r="BL227" s="29" t="str">
        <f t="shared" si="231"/>
        <v>#DIV/0!</v>
      </c>
      <c r="BM227" s="29" t="str">
        <f t="shared" si="3"/>
        <v>#DIV/0!</v>
      </c>
    </row>
    <row r="228">
      <c r="A228" s="16" t="str">
        <f>IFERROR(__xludf.DUMMYFUNCTION("IFERROR(SPARKLINE(SORT(MAP(TRANSPOSE(AQ228:BL228), LAMBDA(val, IF(ISNUMBER(val), PERCENTRANK(AQ228:BL228, val)+0.01, 0))), SEQUENCE(COLUMNS(AQ228:BL228)), FALSE), {""charttype"",""column""; ""color"",""chartreuse""; ""ymin"", 0; ""ymax"", 1.01; ""highcolo"&amp;"r"", ""darkgreen""; ""lowcolor"", ""red""}), """")"),"")</f>
        <v/>
      </c>
      <c r="B228" s="17" t="str">
        <f t="shared" si="4"/>
        <v/>
      </c>
      <c r="C228" s="1" t="s">
        <v>2331</v>
      </c>
      <c r="D228" s="30" t="str">
        <f>IFERROR(__xludf.DUMMYFUNCTION("IFERROR(GOOGLEFINANCE(C228, ""NAME""))"),"Abbott Laboratories")</f>
        <v>Abbott Laboratories</v>
      </c>
      <c r="E228" s="30" t="s">
        <v>1491</v>
      </c>
      <c r="F228" s="33" t="str">
        <f>IFERROR(__xludf.DUMMYFUNCTION("( (GOOGLEFINANCE(C228, ""price"") - Q228) / Q228 ) / (R228 / 100)"),"Loading...")</f>
        <v>Loading...</v>
      </c>
      <c r="G228" s="20" t="str">
        <f>IFERROR(__xludf.DUMMYFUNCTION("AVERAGE(ARRAYFORMULA(100 * (QUERY(GOOGLEFINANCE(C228, ""high"", TODAY()-40, TODAY()), ""SELECT Col2 WHERE Col2 IS NOT NULL ORDER BY Col1 DESC LIMIT 20"", 0) / QUERY(GOOGLEFINANCE(C228, ""low"", TODAY()-40, TODAY()), ""SELECT Col2 WHERE Col2 IS NOT NULL OR"&amp;"DER BY Col1 DESC LIMIT 20"", 0) - 1)))"),"#N/A")</f>
        <v>#N/A</v>
      </c>
      <c r="H228" s="35" t="str">
        <f t="shared" ref="H228:H276" si="233">IFERROR(IF(ISNUMBER(J228), IF(J228 &lt; 50000000, "Illiquid", "Liquid"), ""), "")</f>
        <v/>
      </c>
      <c r="I228" s="36" t="str">
        <f t="shared" si="7"/>
        <v/>
      </c>
      <c r="J228" s="37" t="str">
        <f>IFERROR(__xludf.DUMMYFUNCTION("IFERROR(
  IF(C228="""",, 
    IFERROR(
      GOOGLEFINANCE(C228, ""price"") * GOOGLEFINANCE(C228, ""volumeavg""), 
      GOOGLEFINANCE(C228, ""price"") * AVERAGE(QUERY(GOOGLEFINANCE(C228, ""volume"", TODAY()-40, TODAY()), ""SELECT Col2 WHERE Col2 IS NOT "&amp;"NULL ORDER BY Col1 DESC LIMIT 20"", 0))
    )
  ), 
"""")"),"")</f>
        <v/>
      </c>
      <c r="K228" s="21" t="str">
        <f>IFERROR(__xludf.DUMMYFUNCTION("IFERROR(GOOGLEFINANCE(C228, ""changepct"") / 100, """")"),"")</f>
        <v/>
      </c>
      <c r="L228" s="21" t="str">
        <f>IFERROR(__xludf.DUMMYFUNCTION("IFERROR((GOOGLEFINANCE(C228, ""price"") / INDEX(GOOGLEFINANCE(C228, ""price"", TODAY()-7, TODAY()), 2, 2)) - 1, """")"),"")</f>
        <v/>
      </c>
      <c r="M228" s="21" t="str">
        <f>IFERROR(__xludf.DUMMYFUNCTION("IFERROR((GOOGLEFINANCE(C228, ""price"") / INDEX(GOOGLEFINANCE(C228, ""price"", EDATE(TODAY(), -1), TODAY()), 2, 2)) - 1, """")"),"")</f>
        <v/>
      </c>
      <c r="N228" s="21" t="str">
        <f>IFERROR(__xludf.DUMMYFUNCTION("IFERROR((GOOGLEFINANCE(C228, ""price"") / INDEX(GOOGLEFINANCE(C228, ""price"", EDATE(TODAY(), -3), TODAY()), 2, 2)) - 1, """")"),"")</f>
        <v/>
      </c>
      <c r="O228" s="21" t="str">
        <f>IFERROR(__xludf.DUMMYFUNCTION("IFERROR((GOOGLEFINANCE(C228, ""price"") / INDEX(GOOGLEFINANCE(C228, ""price"", EDATE(TODAY(), -6), TODAY()), 2, 2)) - 1, """")"),"")</f>
        <v/>
      </c>
      <c r="P228" s="21" t="str">
        <f>IFERROR(__xludf.DUMMYFUNCTION("IFERROR((GOOGLEFINANCE(C228, ""price"") / INDEX(GOOGLEFINANCE(C228, ""price"", EDATE(TODAY(), -12), TODAY()), 2, 2)) - 1, """")"),"")</f>
        <v/>
      </c>
      <c r="Q228" s="6" t="str">
        <f>IFERROR(__xludf.DUMMYFUNCTION("AVERAGE(QUERY(GOOGLEFINANCE(C228, ""price"", TODAY()-80, TODAY()), ""SELECT Col2 WHERE Col2 IS NOT NULL ORDER BY Col1 DESC LIMIT 50"", 0))"),"#N/A")</f>
        <v>#N/A</v>
      </c>
      <c r="R228" s="24" t="str">
        <f>IFERROR(__xludf.DUMMYFUNCTION("IFERROR(
  LET(
    data, QUERY(GOOGLEFINANCE(C228,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GOOGLEFINANCE(C228, ""price"")) * 100,
    IF(calc=0, G228, calc)
  ), 
G228)"),"#N/A")</f>
        <v>#N/A</v>
      </c>
      <c r="S228" s="8" t="s">
        <v>15</v>
      </c>
      <c r="T228" s="26" t="str">
        <f>IFERROR(__xludf.DUMMYFUNCTION("IFERROR(TRANSPOSE(QUERY(IFERROR(SORT(GOOGLEFINANCE(C228, ""price"", WORKDAY(TODAY(), -40), TODAY()), 1, FALSE)), ""select Col2 where Col2 is not null limit 22 label Col2 ''"", 0)), """")"),"")</f>
        <v/>
      </c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8"/>
      <c r="AO228" s="28"/>
      <c r="AP228" s="29"/>
      <c r="AQ228" s="29" t="str">
        <f t="shared" ref="AQ228:BL228" si="232">T228/T$2</f>
        <v>#N/A</v>
      </c>
      <c r="AR228" s="29" t="str">
        <f t="shared" si="232"/>
        <v>#DIV/0!</v>
      </c>
      <c r="AS228" s="29" t="str">
        <f t="shared" si="232"/>
        <v>#DIV/0!</v>
      </c>
      <c r="AT228" s="29" t="str">
        <f t="shared" si="232"/>
        <v>#DIV/0!</v>
      </c>
      <c r="AU228" s="29" t="str">
        <f t="shared" si="232"/>
        <v>#DIV/0!</v>
      </c>
      <c r="AV228" s="29" t="str">
        <f t="shared" si="232"/>
        <v>#DIV/0!</v>
      </c>
      <c r="AW228" s="29" t="str">
        <f t="shared" si="232"/>
        <v>#DIV/0!</v>
      </c>
      <c r="AX228" s="29" t="str">
        <f t="shared" si="232"/>
        <v>#DIV/0!</v>
      </c>
      <c r="AY228" s="29" t="str">
        <f t="shared" si="232"/>
        <v>#DIV/0!</v>
      </c>
      <c r="AZ228" s="29" t="str">
        <f t="shared" si="232"/>
        <v>#DIV/0!</v>
      </c>
      <c r="BA228" s="29" t="str">
        <f t="shared" si="232"/>
        <v>#DIV/0!</v>
      </c>
      <c r="BB228" s="29" t="str">
        <f t="shared" si="232"/>
        <v>#DIV/0!</v>
      </c>
      <c r="BC228" s="29" t="str">
        <f t="shared" si="232"/>
        <v>#DIV/0!</v>
      </c>
      <c r="BD228" s="29" t="str">
        <f t="shared" si="232"/>
        <v>#DIV/0!</v>
      </c>
      <c r="BE228" s="29" t="str">
        <f t="shared" si="232"/>
        <v>#DIV/0!</v>
      </c>
      <c r="BF228" s="29" t="str">
        <f t="shared" si="232"/>
        <v>#DIV/0!</v>
      </c>
      <c r="BG228" s="29" t="str">
        <f t="shared" si="232"/>
        <v>#DIV/0!</v>
      </c>
      <c r="BH228" s="29" t="str">
        <f t="shared" si="232"/>
        <v>#DIV/0!</v>
      </c>
      <c r="BI228" s="29" t="str">
        <f t="shared" si="232"/>
        <v>#DIV/0!</v>
      </c>
      <c r="BJ228" s="29" t="str">
        <f t="shared" si="232"/>
        <v>#DIV/0!</v>
      </c>
      <c r="BK228" s="29" t="str">
        <f t="shared" si="232"/>
        <v>#DIV/0!</v>
      </c>
      <c r="BL228" s="29" t="str">
        <f t="shared" si="232"/>
        <v>#DIV/0!</v>
      </c>
      <c r="BM228" s="29" t="str">
        <f t="shared" si="3"/>
        <v>#DIV/0!</v>
      </c>
    </row>
    <row r="229">
      <c r="A229" s="16" t="str">
        <f>IFERROR(__xludf.DUMMYFUNCTION("IFERROR(SPARKLINE(SORT(MAP(TRANSPOSE(AQ229:BL229), LAMBDA(val, IF(ISNUMBER(val), PERCENTRANK(AQ229:BL229, val)+0.01, 0))), SEQUENCE(COLUMNS(AQ229:BL229)), FALSE), {""charttype"",""column""; ""color"",""chartreuse""; ""ymin"", 0; ""ymax"", 1.01; ""highcolo"&amp;"r"", ""darkgreen""; ""lowcolor"", ""red""}), """")"),"")</f>
        <v/>
      </c>
      <c r="B229" s="17" t="str">
        <f t="shared" si="4"/>
        <v/>
      </c>
      <c r="C229" s="1" t="s">
        <v>2335</v>
      </c>
      <c r="D229" s="30" t="str">
        <f>IFERROR(__xludf.DUMMYFUNCTION("IFERROR(GOOGLEFINANCE(C229, ""NAME""))"),"Cardinal Health, Inc")</f>
        <v>Cardinal Health, Inc</v>
      </c>
      <c r="E229" s="30" t="s">
        <v>1843</v>
      </c>
      <c r="F229" s="33" t="str">
        <f>IFERROR(__xludf.DUMMYFUNCTION("( (GOOGLEFINANCE(C229, ""price"") - Q229) / Q229 ) / (R229 / 100)"),"Loading...")</f>
        <v>Loading...</v>
      </c>
      <c r="G229" s="20" t="str">
        <f>IFERROR(__xludf.DUMMYFUNCTION("AVERAGE(ARRAYFORMULA(100 * (QUERY(GOOGLEFINANCE(C229, ""high"", TODAY()-40, TODAY()), ""SELECT Col2 WHERE Col2 IS NOT NULL ORDER BY Col1 DESC LIMIT 20"", 0) / QUERY(GOOGLEFINANCE(C229, ""low"", TODAY()-40, TODAY()), ""SELECT Col2 WHERE Col2 IS NOT NULL OR"&amp;"DER BY Col1 DESC LIMIT 20"", 0) - 1)))"),"#N/A")</f>
        <v>#N/A</v>
      </c>
      <c r="H229" s="35" t="str">
        <f t="shared" si="233"/>
        <v/>
      </c>
      <c r="I229" s="36" t="str">
        <f t="shared" si="7"/>
        <v/>
      </c>
      <c r="J229" s="37" t="str">
        <f>IFERROR(__xludf.DUMMYFUNCTION("IFERROR(
  IF(C229="""",, 
    IFERROR(
      GOOGLEFINANCE(C229, ""price"") * GOOGLEFINANCE(C229, ""volumeavg""), 
      GOOGLEFINANCE(C229, ""price"") * AVERAGE(QUERY(GOOGLEFINANCE(C229, ""volume"", TODAY()-40, TODAY()), ""SELECT Col2 WHERE Col2 IS NOT "&amp;"NULL ORDER BY Col1 DESC LIMIT 20"", 0))
    )
  ), 
"""")"),"")</f>
        <v/>
      </c>
      <c r="K229" s="21" t="str">
        <f>IFERROR(__xludf.DUMMYFUNCTION("IFERROR(GOOGLEFINANCE(C229, ""changepct"") / 100, """")"),"")</f>
        <v/>
      </c>
      <c r="L229" s="21" t="str">
        <f>IFERROR(__xludf.DUMMYFUNCTION("IFERROR((GOOGLEFINANCE(C229, ""price"") / INDEX(GOOGLEFINANCE(C229, ""price"", TODAY()-7, TODAY()), 2, 2)) - 1, """")"),"")</f>
        <v/>
      </c>
      <c r="M229" s="21" t="str">
        <f>IFERROR(__xludf.DUMMYFUNCTION("IFERROR((GOOGLEFINANCE(C229, ""price"") / INDEX(GOOGLEFINANCE(C229, ""price"", EDATE(TODAY(), -1), TODAY()), 2, 2)) - 1, """")"),"")</f>
        <v/>
      </c>
      <c r="N229" s="21" t="str">
        <f>IFERROR(__xludf.DUMMYFUNCTION("IFERROR((GOOGLEFINANCE(C229, ""price"") / INDEX(GOOGLEFINANCE(C229, ""price"", EDATE(TODAY(), -3), TODAY()), 2, 2)) - 1, """")"),"")</f>
        <v/>
      </c>
      <c r="O229" s="21" t="str">
        <f>IFERROR(__xludf.DUMMYFUNCTION("IFERROR((GOOGLEFINANCE(C229, ""price"") / INDEX(GOOGLEFINANCE(C229, ""price"", EDATE(TODAY(), -6), TODAY()), 2, 2)) - 1, """")"),"")</f>
        <v/>
      </c>
      <c r="P229" s="21" t="str">
        <f>IFERROR(__xludf.DUMMYFUNCTION("IFERROR((GOOGLEFINANCE(C229, ""price"") / INDEX(GOOGLEFINANCE(C229, ""price"", EDATE(TODAY(), -12), TODAY()), 2, 2)) - 1, """")"),"")</f>
        <v/>
      </c>
      <c r="Q229" s="6" t="str">
        <f>IFERROR(__xludf.DUMMYFUNCTION("AVERAGE(QUERY(GOOGLEFINANCE(C229, ""price"", TODAY()-80, TODAY()), ""SELECT Col2 WHERE Col2 IS NOT NULL ORDER BY Col1 DESC LIMIT 50"", 0))"),"#N/A")</f>
        <v>#N/A</v>
      </c>
      <c r="R229" s="24" t="str">
        <f>IFERROR(__xludf.DUMMYFUNCTION("IFERROR(
  LET(
    data, QUERY(GOOGLEFINANCE(C229,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GOOGLEFINANCE(C229, ""price"")) * 100,
    IF(calc=0, G229, calc)
  ), 
G229)"),"#N/A")</f>
        <v>#N/A</v>
      </c>
      <c r="S229" s="8" t="s">
        <v>15</v>
      </c>
      <c r="T229" s="26" t="str">
        <f>IFERROR(__xludf.DUMMYFUNCTION("IFERROR(TRANSPOSE(QUERY(IFERROR(SORT(GOOGLEFINANCE(C229, ""price"", WORKDAY(TODAY(), -40), TODAY()), 1, FALSE)), ""select Col2 where Col2 is not null limit 22 label Col2 ''"", 0)), """")"),"")</f>
        <v/>
      </c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8"/>
      <c r="AO229" s="28"/>
      <c r="AP229" s="29"/>
      <c r="AQ229" s="29" t="str">
        <f t="shared" ref="AQ229:BL229" si="234">T229/T$2</f>
        <v>#N/A</v>
      </c>
      <c r="AR229" s="29" t="str">
        <f t="shared" si="234"/>
        <v>#DIV/0!</v>
      </c>
      <c r="AS229" s="29" t="str">
        <f t="shared" si="234"/>
        <v>#DIV/0!</v>
      </c>
      <c r="AT229" s="29" t="str">
        <f t="shared" si="234"/>
        <v>#DIV/0!</v>
      </c>
      <c r="AU229" s="29" t="str">
        <f t="shared" si="234"/>
        <v>#DIV/0!</v>
      </c>
      <c r="AV229" s="29" t="str">
        <f t="shared" si="234"/>
        <v>#DIV/0!</v>
      </c>
      <c r="AW229" s="29" t="str">
        <f t="shared" si="234"/>
        <v>#DIV/0!</v>
      </c>
      <c r="AX229" s="29" t="str">
        <f t="shared" si="234"/>
        <v>#DIV/0!</v>
      </c>
      <c r="AY229" s="29" t="str">
        <f t="shared" si="234"/>
        <v>#DIV/0!</v>
      </c>
      <c r="AZ229" s="29" t="str">
        <f t="shared" si="234"/>
        <v>#DIV/0!</v>
      </c>
      <c r="BA229" s="29" t="str">
        <f t="shared" si="234"/>
        <v>#DIV/0!</v>
      </c>
      <c r="BB229" s="29" t="str">
        <f t="shared" si="234"/>
        <v>#DIV/0!</v>
      </c>
      <c r="BC229" s="29" t="str">
        <f t="shared" si="234"/>
        <v>#DIV/0!</v>
      </c>
      <c r="BD229" s="29" t="str">
        <f t="shared" si="234"/>
        <v>#DIV/0!</v>
      </c>
      <c r="BE229" s="29" t="str">
        <f t="shared" si="234"/>
        <v>#DIV/0!</v>
      </c>
      <c r="BF229" s="29" t="str">
        <f t="shared" si="234"/>
        <v>#DIV/0!</v>
      </c>
      <c r="BG229" s="29" t="str">
        <f t="shared" si="234"/>
        <v>#DIV/0!</v>
      </c>
      <c r="BH229" s="29" t="str">
        <f t="shared" si="234"/>
        <v>#DIV/0!</v>
      </c>
      <c r="BI229" s="29" t="str">
        <f t="shared" si="234"/>
        <v>#DIV/0!</v>
      </c>
      <c r="BJ229" s="29" t="str">
        <f t="shared" si="234"/>
        <v>#DIV/0!</v>
      </c>
      <c r="BK229" s="29" t="str">
        <f t="shared" si="234"/>
        <v>#DIV/0!</v>
      </c>
      <c r="BL229" s="29" t="str">
        <f t="shared" si="234"/>
        <v>#DIV/0!</v>
      </c>
      <c r="BM229" s="29" t="str">
        <f t="shared" si="3"/>
        <v>#DIV/0!</v>
      </c>
    </row>
    <row r="230">
      <c r="A230" s="16" t="str">
        <f>IFERROR(__xludf.DUMMYFUNCTION("IFERROR(SPARKLINE(SORT(MAP(TRANSPOSE(AQ230:BL230), LAMBDA(val, IF(ISNUMBER(val), PERCENTRANK(AQ230:BL230, val)+0.01, 0))), SEQUENCE(COLUMNS(AQ230:BL230)), FALSE), {""charttype"",""column""; ""color"",""chartreuse""; ""ymin"", 0; ""ymax"", 1.01; ""highcolo"&amp;"r"", ""darkgreen""; ""lowcolor"", ""red""}), """")"),"")</f>
        <v/>
      </c>
      <c r="B230" s="17" t="str">
        <f t="shared" si="4"/>
        <v/>
      </c>
      <c r="C230" s="1" t="s">
        <v>2339</v>
      </c>
      <c r="D230" s="30" t="str">
        <f>IFERROR(__xludf.DUMMYFUNCTION("IFERROR(GOOGLEFINANCE(C230, ""NAME""))"),"McKesson Corp")</f>
        <v>McKesson Corp</v>
      </c>
      <c r="E230" s="30" t="s">
        <v>1843</v>
      </c>
      <c r="F230" s="33" t="str">
        <f>IFERROR(__xludf.DUMMYFUNCTION("( (GOOGLEFINANCE(C230, ""price"") - Q230) / Q230 ) / (R230 / 100)"),"Loading...")</f>
        <v>Loading...</v>
      </c>
      <c r="G230" s="20" t="str">
        <f>IFERROR(__xludf.DUMMYFUNCTION("AVERAGE(ARRAYFORMULA(100 * (QUERY(GOOGLEFINANCE(C230, ""high"", TODAY()-40, TODAY()), ""SELECT Col2 WHERE Col2 IS NOT NULL ORDER BY Col1 DESC LIMIT 20"", 0) / QUERY(GOOGLEFINANCE(C230, ""low"", TODAY()-40, TODAY()), ""SELECT Col2 WHERE Col2 IS NOT NULL OR"&amp;"DER BY Col1 DESC LIMIT 20"", 0) - 1)))"),"#N/A")</f>
        <v>#N/A</v>
      </c>
      <c r="H230" s="35" t="str">
        <f t="shared" si="233"/>
        <v/>
      </c>
      <c r="I230" s="36" t="str">
        <f t="shared" si="7"/>
        <v/>
      </c>
      <c r="J230" s="37" t="str">
        <f>IFERROR(__xludf.DUMMYFUNCTION("IFERROR(
  IF(C230="""",, 
    IFERROR(
      GOOGLEFINANCE(C230, ""price"") * GOOGLEFINANCE(C230, ""volumeavg""), 
      GOOGLEFINANCE(C230, ""price"") * AVERAGE(QUERY(GOOGLEFINANCE(C230, ""volume"", TODAY()-40, TODAY()), ""SELECT Col2 WHERE Col2 IS NOT "&amp;"NULL ORDER BY Col1 DESC LIMIT 20"", 0))
    )
  ), 
"""")"),"")</f>
        <v/>
      </c>
      <c r="K230" s="21" t="str">
        <f>IFERROR(__xludf.DUMMYFUNCTION("IFERROR(GOOGLEFINANCE(C230, ""changepct"") / 100, """")"),"")</f>
        <v/>
      </c>
      <c r="L230" s="21" t="str">
        <f>IFERROR(__xludf.DUMMYFUNCTION("IFERROR((GOOGLEFINANCE(C230, ""price"") / INDEX(GOOGLEFINANCE(C230, ""price"", TODAY()-7, TODAY()), 2, 2)) - 1, """")"),"")</f>
        <v/>
      </c>
      <c r="M230" s="21" t="str">
        <f>IFERROR(__xludf.DUMMYFUNCTION("IFERROR((GOOGLEFINANCE(C230, ""price"") / INDEX(GOOGLEFINANCE(C230, ""price"", EDATE(TODAY(), -1), TODAY()), 2, 2)) - 1, """")"),"")</f>
        <v/>
      </c>
      <c r="N230" s="21" t="str">
        <f>IFERROR(__xludf.DUMMYFUNCTION("IFERROR((GOOGLEFINANCE(C230, ""price"") / INDEX(GOOGLEFINANCE(C230, ""price"", EDATE(TODAY(), -3), TODAY()), 2, 2)) - 1, """")"),"")</f>
        <v/>
      </c>
      <c r="O230" s="21" t="str">
        <f>IFERROR(__xludf.DUMMYFUNCTION("IFERROR((GOOGLEFINANCE(C230, ""price"") / INDEX(GOOGLEFINANCE(C230, ""price"", EDATE(TODAY(), -6), TODAY()), 2, 2)) - 1, """")"),"")</f>
        <v/>
      </c>
      <c r="P230" s="21" t="str">
        <f>IFERROR(__xludf.DUMMYFUNCTION("IFERROR((GOOGLEFINANCE(C230, ""price"") / INDEX(GOOGLEFINANCE(C230, ""price"", EDATE(TODAY(), -12), TODAY()), 2, 2)) - 1, """")"),"")</f>
        <v/>
      </c>
      <c r="Q230" s="6" t="str">
        <f>IFERROR(__xludf.DUMMYFUNCTION("AVERAGE(QUERY(GOOGLEFINANCE(C230, ""price"", TODAY()-80, TODAY()), ""SELECT Col2 WHERE Col2 IS NOT NULL ORDER BY Col1 DESC LIMIT 50"", 0))"),"#N/A")</f>
        <v>#N/A</v>
      </c>
      <c r="R230" s="24" t="str">
        <f>IFERROR(__xludf.DUMMYFUNCTION("IFERROR(
  LET(
    data, QUERY(GOOGLEFINANCE(C230,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GOOGLEFINANCE(C230, ""price"")) * 100,
    IF(calc=0, G230, calc)
  ), 
G230)"),"#N/A")</f>
        <v>#N/A</v>
      </c>
      <c r="S230" s="8" t="s">
        <v>15</v>
      </c>
      <c r="T230" s="26" t="str">
        <f>IFERROR(__xludf.DUMMYFUNCTION("IFERROR(TRANSPOSE(QUERY(IFERROR(SORT(GOOGLEFINANCE(C230, ""price"", WORKDAY(TODAY(), -40), TODAY()), 1, FALSE)), ""select Col2 where Col2 is not null limit 22 label Col2 ''"", 0)), """")"),"")</f>
        <v/>
      </c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8"/>
      <c r="AO230" s="28"/>
      <c r="AP230" s="29"/>
      <c r="AQ230" s="29" t="str">
        <f t="shared" ref="AQ230:BL230" si="235">T230/T$2</f>
        <v>#N/A</v>
      </c>
      <c r="AR230" s="29" t="str">
        <f t="shared" si="235"/>
        <v>#DIV/0!</v>
      </c>
      <c r="AS230" s="29" t="str">
        <f t="shared" si="235"/>
        <v>#DIV/0!</v>
      </c>
      <c r="AT230" s="29" t="str">
        <f t="shared" si="235"/>
        <v>#DIV/0!</v>
      </c>
      <c r="AU230" s="29" t="str">
        <f t="shared" si="235"/>
        <v>#DIV/0!</v>
      </c>
      <c r="AV230" s="29" t="str">
        <f t="shared" si="235"/>
        <v>#DIV/0!</v>
      </c>
      <c r="AW230" s="29" t="str">
        <f t="shared" si="235"/>
        <v>#DIV/0!</v>
      </c>
      <c r="AX230" s="29" t="str">
        <f t="shared" si="235"/>
        <v>#DIV/0!</v>
      </c>
      <c r="AY230" s="29" t="str">
        <f t="shared" si="235"/>
        <v>#DIV/0!</v>
      </c>
      <c r="AZ230" s="29" t="str">
        <f t="shared" si="235"/>
        <v>#DIV/0!</v>
      </c>
      <c r="BA230" s="29" t="str">
        <f t="shared" si="235"/>
        <v>#DIV/0!</v>
      </c>
      <c r="BB230" s="29" t="str">
        <f t="shared" si="235"/>
        <v>#DIV/0!</v>
      </c>
      <c r="BC230" s="29" t="str">
        <f t="shared" si="235"/>
        <v>#DIV/0!</v>
      </c>
      <c r="BD230" s="29" t="str">
        <f t="shared" si="235"/>
        <v>#DIV/0!</v>
      </c>
      <c r="BE230" s="29" t="str">
        <f t="shared" si="235"/>
        <v>#DIV/0!</v>
      </c>
      <c r="BF230" s="29" t="str">
        <f t="shared" si="235"/>
        <v>#DIV/0!</v>
      </c>
      <c r="BG230" s="29" t="str">
        <f t="shared" si="235"/>
        <v>#DIV/0!</v>
      </c>
      <c r="BH230" s="29" t="str">
        <f t="shared" si="235"/>
        <v>#DIV/0!</v>
      </c>
      <c r="BI230" s="29" t="str">
        <f t="shared" si="235"/>
        <v>#DIV/0!</v>
      </c>
      <c r="BJ230" s="29" t="str">
        <f t="shared" si="235"/>
        <v>#DIV/0!</v>
      </c>
      <c r="BK230" s="29" t="str">
        <f t="shared" si="235"/>
        <v>#DIV/0!</v>
      </c>
      <c r="BL230" s="29" t="str">
        <f t="shared" si="235"/>
        <v>#DIV/0!</v>
      </c>
      <c r="BM230" s="29" t="str">
        <f t="shared" si="3"/>
        <v>#DIV/0!</v>
      </c>
    </row>
    <row r="231">
      <c r="A231" s="16" t="str">
        <f>IFERROR(__xludf.DUMMYFUNCTION("IFERROR(SPARKLINE(SORT(MAP(TRANSPOSE(AQ231:BL231), LAMBDA(val, IF(ISNUMBER(val), PERCENTRANK(AQ231:BL231, val)+0.01, 0))), SEQUENCE(COLUMNS(AQ231:BL231)), FALSE), {""charttype"",""column""; ""color"",""chartreuse""; ""ymin"", 0; ""ymax"", 1.01; ""highcolo"&amp;"r"", ""darkgreen""; ""lowcolor"", ""red""}), """")"),"")</f>
        <v/>
      </c>
      <c r="B231" s="17" t="str">
        <f t="shared" si="4"/>
        <v/>
      </c>
      <c r="C231" s="1" t="s">
        <v>2343</v>
      </c>
      <c r="D231" s="30" t="str">
        <f>IFERROR(__xludf.DUMMYFUNCTION("IFERROR(GOOGLEFINANCE(C231, ""NAME""))"),"DENTSPLY SIRONA Inc")</f>
        <v>DENTSPLY SIRONA Inc</v>
      </c>
      <c r="E231" s="30" t="s">
        <v>1502</v>
      </c>
      <c r="F231" s="33" t="str">
        <f>IFERROR(__xludf.DUMMYFUNCTION("( (GOOGLEFINANCE(C231, ""price"") - Q231) / Q231 ) / (R231 / 100)"),"Loading...")</f>
        <v>Loading...</v>
      </c>
      <c r="G231" s="20" t="str">
        <f>IFERROR(__xludf.DUMMYFUNCTION("AVERAGE(ARRAYFORMULA(100 * (QUERY(GOOGLEFINANCE(C231, ""high"", TODAY()-40, TODAY()), ""SELECT Col2 WHERE Col2 IS NOT NULL ORDER BY Col1 DESC LIMIT 20"", 0) / QUERY(GOOGLEFINANCE(C231, ""low"", TODAY()-40, TODAY()), ""SELECT Col2 WHERE Col2 IS NOT NULL OR"&amp;"DER BY Col1 DESC LIMIT 20"", 0) - 1)))"),"#N/A")</f>
        <v>#N/A</v>
      </c>
      <c r="H231" s="35" t="str">
        <f t="shared" si="233"/>
        <v/>
      </c>
      <c r="I231" s="36" t="str">
        <f t="shared" si="7"/>
        <v/>
      </c>
      <c r="J231" s="37" t="str">
        <f>IFERROR(__xludf.DUMMYFUNCTION("IFERROR(
  IF(C231="""",, 
    IFERROR(
      GOOGLEFINANCE(C231, ""price"") * GOOGLEFINANCE(C231, ""volumeavg""), 
      GOOGLEFINANCE(C231, ""price"") * AVERAGE(QUERY(GOOGLEFINANCE(C231, ""volume"", TODAY()-40, TODAY()), ""SELECT Col2 WHERE Col2 IS NOT "&amp;"NULL ORDER BY Col1 DESC LIMIT 20"", 0))
    )
  ), 
"""")"),"")</f>
        <v/>
      </c>
      <c r="K231" s="21" t="str">
        <f>IFERROR(__xludf.DUMMYFUNCTION("IFERROR(GOOGLEFINANCE(C231, ""changepct"") / 100, """")"),"")</f>
        <v/>
      </c>
      <c r="L231" s="21" t="str">
        <f>IFERROR(__xludf.DUMMYFUNCTION("IFERROR((GOOGLEFINANCE(C231, ""price"") / INDEX(GOOGLEFINANCE(C231, ""price"", TODAY()-7, TODAY()), 2, 2)) - 1, """")"),"")</f>
        <v/>
      </c>
      <c r="M231" s="21" t="str">
        <f>IFERROR(__xludf.DUMMYFUNCTION("IFERROR((GOOGLEFINANCE(C231, ""price"") / INDEX(GOOGLEFINANCE(C231, ""price"", EDATE(TODAY(), -1), TODAY()), 2, 2)) - 1, """")"),"")</f>
        <v/>
      </c>
      <c r="N231" s="21" t="str">
        <f>IFERROR(__xludf.DUMMYFUNCTION("IFERROR((GOOGLEFINANCE(C231, ""price"") / INDEX(GOOGLEFINANCE(C231, ""price"", EDATE(TODAY(), -3), TODAY()), 2, 2)) - 1, """")"),"")</f>
        <v/>
      </c>
      <c r="O231" s="21" t="str">
        <f>IFERROR(__xludf.DUMMYFUNCTION("IFERROR((GOOGLEFINANCE(C231, ""price"") / INDEX(GOOGLEFINANCE(C231, ""price"", EDATE(TODAY(), -6), TODAY()), 2, 2)) - 1, """")"),"")</f>
        <v/>
      </c>
      <c r="P231" s="21" t="str">
        <f>IFERROR(__xludf.DUMMYFUNCTION("IFERROR((GOOGLEFINANCE(C231, ""price"") / INDEX(GOOGLEFINANCE(C231, ""price"", EDATE(TODAY(), -12), TODAY()), 2, 2)) - 1, """")"),"")</f>
        <v/>
      </c>
      <c r="Q231" s="6" t="str">
        <f>IFERROR(__xludf.DUMMYFUNCTION("AVERAGE(QUERY(GOOGLEFINANCE(C231, ""price"", TODAY()-80, TODAY()), ""SELECT Col2 WHERE Col2 IS NOT NULL ORDER BY Col1 DESC LIMIT 50"", 0))"),"#N/A")</f>
        <v>#N/A</v>
      </c>
      <c r="R231" s="24" t="str">
        <f>IFERROR(__xludf.DUMMYFUNCTION("IFERROR(
  LET(
    data, QUERY(GOOGLEFINANCE(C231,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GOOGLEFINANCE(C231, ""price"")) * 100,
    IF(calc=0, G231, calc)
  ), 
G231)"),"#N/A")</f>
        <v>#N/A</v>
      </c>
      <c r="S231" s="8" t="s">
        <v>15</v>
      </c>
      <c r="T231" s="26" t="str">
        <f>IFERROR(__xludf.DUMMYFUNCTION("IFERROR(TRANSPOSE(QUERY(IFERROR(SORT(GOOGLEFINANCE(C231, ""price"", WORKDAY(TODAY(), -40), TODAY()), 1, FALSE)), ""select Col2 where Col2 is not null limit 22 label Col2 ''"", 0)), """")"),"")</f>
        <v/>
      </c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8"/>
      <c r="AO231" s="28"/>
      <c r="AP231" s="29"/>
      <c r="AQ231" s="29" t="str">
        <f t="shared" ref="AQ231:BL231" si="236">T231/T$2</f>
        <v>#N/A</v>
      </c>
      <c r="AR231" s="29" t="str">
        <f t="shared" si="236"/>
        <v>#DIV/0!</v>
      </c>
      <c r="AS231" s="29" t="str">
        <f t="shared" si="236"/>
        <v>#DIV/0!</v>
      </c>
      <c r="AT231" s="29" t="str">
        <f t="shared" si="236"/>
        <v>#DIV/0!</v>
      </c>
      <c r="AU231" s="29" t="str">
        <f t="shared" si="236"/>
        <v>#DIV/0!</v>
      </c>
      <c r="AV231" s="29" t="str">
        <f t="shared" si="236"/>
        <v>#DIV/0!</v>
      </c>
      <c r="AW231" s="29" t="str">
        <f t="shared" si="236"/>
        <v>#DIV/0!</v>
      </c>
      <c r="AX231" s="29" t="str">
        <f t="shared" si="236"/>
        <v>#DIV/0!</v>
      </c>
      <c r="AY231" s="29" t="str">
        <f t="shared" si="236"/>
        <v>#DIV/0!</v>
      </c>
      <c r="AZ231" s="29" t="str">
        <f t="shared" si="236"/>
        <v>#DIV/0!</v>
      </c>
      <c r="BA231" s="29" t="str">
        <f t="shared" si="236"/>
        <v>#DIV/0!</v>
      </c>
      <c r="BB231" s="29" t="str">
        <f t="shared" si="236"/>
        <v>#DIV/0!</v>
      </c>
      <c r="BC231" s="29" t="str">
        <f t="shared" si="236"/>
        <v>#DIV/0!</v>
      </c>
      <c r="BD231" s="29" t="str">
        <f t="shared" si="236"/>
        <v>#DIV/0!</v>
      </c>
      <c r="BE231" s="29" t="str">
        <f t="shared" si="236"/>
        <v>#DIV/0!</v>
      </c>
      <c r="BF231" s="29" t="str">
        <f t="shared" si="236"/>
        <v>#DIV/0!</v>
      </c>
      <c r="BG231" s="29" t="str">
        <f t="shared" si="236"/>
        <v>#DIV/0!</v>
      </c>
      <c r="BH231" s="29" t="str">
        <f t="shared" si="236"/>
        <v>#DIV/0!</v>
      </c>
      <c r="BI231" s="29" t="str">
        <f t="shared" si="236"/>
        <v>#DIV/0!</v>
      </c>
      <c r="BJ231" s="29" t="str">
        <f t="shared" si="236"/>
        <v>#DIV/0!</v>
      </c>
      <c r="BK231" s="29" t="str">
        <f t="shared" si="236"/>
        <v>#DIV/0!</v>
      </c>
      <c r="BL231" s="29" t="str">
        <f t="shared" si="236"/>
        <v>#DIV/0!</v>
      </c>
      <c r="BM231" s="29" t="str">
        <f t="shared" si="3"/>
        <v>#DIV/0!</v>
      </c>
    </row>
    <row r="232">
      <c r="A232" s="16" t="str">
        <f>IFERROR(__xludf.DUMMYFUNCTION("IFERROR(SPARKLINE(SORT(MAP(TRANSPOSE(AQ232:BL232), LAMBDA(val, IF(ISNUMBER(val), PERCENTRANK(AQ232:BL232, val)+0.01, 0))), SEQUENCE(COLUMNS(AQ232:BL232)), FALSE), {""charttype"",""column""; ""color"",""chartreuse""; ""ymin"", 0; ""ymax"", 1.01; ""highcolo"&amp;"r"", ""darkgreen""; ""lowcolor"", ""red""}), """")"),"")</f>
        <v/>
      </c>
      <c r="B232" s="17" t="str">
        <f t="shared" si="4"/>
        <v/>
      </c>
      <c r="C232" s="1" t="s">
        <v>2347</v>
      </c>
      <c r="D232" s="30" t="str">
        <f>IFERROR(__xludf.DUMMYFUNCTION("IFERROR(GOOGLEFINANCE(C232, ""NAME""))"),"Intuitive Surgical Inc")</f>
        <v>Intuitive Surgical Inc</v>
      </c>
      <c r="E232" s="30" t="s">
        <v>1502</v>
      </c>
      <c r="F232" s="33" t="str">
        <f>IFERROR(__xludf.DUMMYFUNCTION("( (GOOGLEFINANCE(C232, ""price"") - Q232) / Q232 ) / (R232 / 100)"),"Loading...")</f>
        <v>Loading...</v>
      </c>
      <c r="G232" s="20" t="str">
        <f>IFERROR(__xludf.DUMMYFUNCTION("AVERAGE(ARRAYFORMULA(100 * (QUERY(GOOGLEFINANCE(C232, ""high"", TODAY()-40, TODAY()), ""SELECT Col2 WHERE Col2 IS NOT NULL ORDER BY Col1 DESC LIMIT 20"", 0) / QUERY(GOOGLEFINANCE(C232, ""low"", TODAY()-40, TODAY()), ""SELECT Col2 WHERE Col2 IS NOT NULL OR"&amp;"DER BY Col1 DESC LIMIT 20"", 0) - 1)))"),"#N/A")</f>
        <v>#N/A</v>
      </c>
      <c r="H232" s="35" t="str">
        <f t="shared" si="233"/>
        <v/>
      </c>
      <c r="I232" s="36" t="str">
        <f t="shared" si="7"/>
        <v/>
      </c>
      <c r="J232" s="37" t="str">
        <f>IFERROR(__xludf.DUMMYFUNCTION("IFERROR(
  IF(C232="""",, 
    IFERROR(
      GOOGLEFINANCE(C232, ""price"") * GOOGLEFINANCE(C232, ""volumeavg""), 
      GOOGLEFINANCE(C232, ""price"") * AVERAGE(QUERY(GOOGLEFINANCE(C232, ""volume"", TODAY()-40, TODAY()), ""SELECT Col2 WHERE Col2 IS NOT "&amp;"NULL ORDER BY Col1 DESC LIMIT 20"", 0))
    )
  ), 
"""")"),"")</f>
        <v/>
      </c>
      <c r="K232" s="21" t="str">
        <f>IFERROR(__xludf.DUMMYFUNCTION("IFERROR(GOOGLEFINANCE(C232, ""changepct"") / 100, """")"),"")</f>
        <v/>
      </c>
      <c r="L232" s="21" t="str">
        <f>IFERROR(__xludf.DUMMYFUNCTION("IFERROR((GOOGLEFINANCE(C232, ""price"") / INDEX(GOOGLEFINANCE(C232, ""price"", TODAY()-7, TODAY()), 2, 2)) - 1, """")"),"")</f>
        <v/>
      </c>
      <c r="M232" s="21" t="str">
        <f>IFERROR(__xludf.DUMMYFUNCTION("IFERROR((GOOGLEFINANCE(C232, ""price"") / INDEX(GOOGLEFINANCE(C232, ""price"", EDATE(TODAY(), -1), TODAY()), 2, 2)) - 1, """")"),"")</f>
        <v/>
      </c>
      <c r="N232" s="21" t="str">
        <f>IFERROR(__xludf.DUMMYFUNCTION("IFERROR((GOOGLEFINANCE(C232, ""price"") / INDEX(GOOGLEFINANCE(C232, ""price"", EDATE(TODAY(), -3), TODAY()), 2, 2)) - 1, """")"),"")</f>
        <v/>
      </c>
      <c r="O232" s="21" t="str">
        <f>IFERROR(__xludf.DUMMYFUNCTION("IFERROR((GOOGLEFINANCE(C232, ""price"") / INDEX(GOOGLEFINANCE(C232, ""price"", EDATE(TODAY(), -6), TODAY()), 2, 2)) - 1, """")"),"")</f>
        <v/>
      </c>
      <c r="P232" s="21" t="str">
        <f>IFERROR(__xludf.DUMMYFUNCTION("IFERROR((GOOGLEFINANCE(C232, ""price"") / INDEX(GOOGLEFINANCE(C232, ""price"", EDATE(TODAY(), -12), TODAY()), 2, 2)) - 1, """")"),"")</f>
        <v/>
      </c>
      <c r="Q232" s="6" t="str">
        <f>IFERROR(__xludf.DUMMYFUNCTION("AVERAGE(QUERY(GOOGLEFINANCE(C232, ""price"", TODAY()-80, TODAY()), ""SELECT Col2 WHERE Col2 IS NOT NULL ORDER BY Col1 DESC LIMIT 50"", 0))"),"#N/A")</f>
        <v>#N/A</v>
      </c>
      <c r="R232" s="24" t="str">
        <f>IFERROR(__xludf.DUMMYFUNCTION("IFERROR(
  LET(
    data, QUERY(GOOGLEFINANCE(C232,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GOOGLEFINANCE(C232, ""price"")) * 100,
    IF(calc=0, G232, calc)
  ), 
G232)"),"#N/A")</f>
        <v>#N/A</v>
      </c>
      <c r="S232" s="8" t="s">
        <v>15</v>
      </c>
      <c r="T232" s="26" t="str">
        <f>IFERROR(__xludf.DUMMYFUNCTION("IFERROR(TRANSPOSE(QUERY(IFERROR(SORT(GOOGLEFINANCE(C232, ""price"", WORKDAY(TODAY(), -40), TODAY()), 1, FALSE)), ""select Col2 where Col2 is not null limit 22 label Col2 ''"", 0)), """")"),"")</f>
        <v/>
      </c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8"/>
      <c r="AO232" s="28"/>
      <c r="AP232" s="29"/>
      <c r="AQ232" s="29" t="str">
        <f t="shared" ref="AQ232:BL232" si="237">T232/T$2</f>
        <v>#N/A</v>
      </c>
      <c r="AR232" s="29" t="str">
        <f t="shared" si="237"/>
        <v>#DIV/0!</v>
      </c>
      <c r="AS232" s="29" t="str">
        <f t="shared" si="237"/>
        <v>#DIV/0!</v>
      </c>
      <c r="AT232" s="29" t="str">
        <f t="shared" si="237"/>
        <v>#DIV/0!</v>
      </c>
      <c r="AU232" s="29" t="str">
        <f t="shared" si="237"/>
        <v>#DIV/0!</v>
      </c>
      <c r="AV232" s="29" t="str">
        <f t="shared" si="237"/>
        <v>#DIV/0!</v>
      </c>
      <c r="AW232" s="29" t="str">
        <f t="shared" si="237"/>
        <v>#DIV/0!</v>
      </c>
      <c r="AX232" s="29" t="str">
        <f t="shared" si="237"/>
        <v>#DIV/0!</v>
      </c>
      <c r="AY232" s="29" t="str">
        <f t="shared" si="237"/>
        <v>#DIV/0!</v>
      </c>
      <c r="AZ232" s="29" t="str">
        <f t="shared" si="237"/>
        <v>#DIV/0!</v>
      </c>
      <c r="BA232" s="29" t="str">
        <f t="shared" si="237"/>
        <v>#DIV/0!</v>
      </c>
      <c r="BB232" s="29" t="str">
        <f t="shared" si="237"/>
        <v>#DIV/0!</v>
      </c>
      <c r="BC232" s="29" t="str">
        <f t="shared" si="237"/>
        <v>#DIV/0!</v>
      </c>
      <c r="BD232" s="29" t="str">
        <f t="shared" si="237"/>
        <v>#DIV/0!</v>
      </c>
      <c r="BE232" s="29" t="str">
        <f t="shared" si="237"/>
        <v>#DIV/0!</v>
      </c>
      <c r="BF232" s="29" t="str">
        <f t="shared" si="237"/>
        <v>#DIV/0!</v>
      </c>
      <c r="BG232" s="29" t="str">
        <f t="shared" si="237"/>
        <v>#DIV/0!</v>
      </c>
      <c r="BH232" s="29" t="str">
        <f t="shared" si="237"/>
        <v>#DIV/0!</v>
      </c>
      <c r="BI232" s="29" t="str">
        <f t="shared" si="237"/>
        <v>#DIV/0!</v>
      </c>
      <c r="BJ232" s="29" t="str">
        <f t="shared" si="237"/>
        <v>#DIV/0!</v>
      </c>
      <c r="BK232" s="29" t="str">
        <f t="shared" si="237"/>
        <v>#DIV/0!</v>
      </c>
      <c r="BL232" s="29" t="str">
        <f t="shared" si="237"/>
        <v>#DIV/0!</v>
      </c>
      <c r="BM232" s="29" t="str">
        <f t="shared" si="3"/>
        <v>#DIV/0!</v>
      </c>
    </row>
    <row r="233">
      <c r="A233" s="16" t="str">
        <f>IFERROR(__xludf.DUMMYFUNCTION("IFERROR(SPARKLINE(SORT(MAP(TRANSPOSE(AQ233:BL233), LAMBDA(val, IF(ISNUMBER(val), PERCENTRANK(AQ233:BL233, val)+0.01, 0))), SEQUENCE(COLUMNS(AQ233:BL233)), FALSE), {""charttype"",""column""; ""color"",""chartreuse""; ""ymin"", 0; ""ymax"", 1.01; ""highcolo"&amp;"r"", ""darkgreen""; ""lowcolor"", ""red""}), """")"),"")</f>
        <v/>
      </c>
      <c r="B233" s="17" t="str">
        <f t="shared" si="4"/>
        <v/>
      </c>
      <c r="C233" s="1" t="s">
        <v>2351</v>
      </c>
      <c r="D233" s="30" t="str">
        <f>IFERROR(__xludf.DUMMYFUNCTION("IFERROR(GOOGLEFINANCE(C233, ""NAME""))"),"Cooper Companies Inc")</f>
        <v>Cooper Companies Inc</v>
      </c>
      <c r="E233" s="30" t="s">
        <v>1502</v>
      </c>
      <c r="F233" s="33" t="str">
        <f>IFERROR(__xludf.DUMMYFUNCTION("( (GOOGLEFINANCE(C233, ""price"") - Q233) / Q233 ) / (R233 / 100)"),"Loading...")</f>
        <v>Loading...</v>
      </c>
      <c r="G233" s="20" t="str">
        <f>IFERROR(__xludf.DUMMYFUNCTION("AVERAGE(ARRAYFORMULA(100 * (QUERY(GOOGLEFINANCE(C233, ""high"", TODAY()-40, TODAY()), ""SELECT Col2 WHERE Col2 IS NOT NULL ORDER BY Col1 DESC LIMIT 20"", 0) / QUERY(GOOGLEFINANCE(C233, ""low"", TODAY()-40, TODAY()), ""SELECT Col2 WHERE Col2 IS NOT NULL OR"&amp;"DER BY Col1 DESC LIMIT 20"", 0) - 1)))"),"#N/A")</f>
        <v>#N/A</v>
      </c>
      <c r="H233" s="35" t="str">
        <f t="shared" si="233"/>
        <v/>
      </c>
      <c r="I233" s="36" t="str">
        <f t="shared" si="7"/>
        <v/>
      </c>
      <c r="J233" s="37" t="str">
        <f>IFERROR(__xludf.DUMMYFUNCTION("IFERROR(
  IF(C233="""",, 
    IFERROR(
      GOOGLEFINANCE(C233, ""price"") * GOOGLEFINANCE(C233, ""volumeavg""), 
      GOOGLEFINANCE(C233, ""price"") * AVERAGE(QUERY(GOOGLEFINANCE(C233, ""volume"", TODAY()-40, TODAY()), ""SELECT Col2 WHERE Col2 IS NOT "&amp;"NULL ORDER BY Col1 DESC LIMIT 20"", 0))
    )
  ), 
"""")"),"")</f>
        <v/>
      </c>
      <c r="K233" s="21" t="str">
        <f>IFERROR(__xludf.DUMMYFUNCTION("IFERROR(GOOGLEFINANCE(C233, ""changepct"") / 100, """")"),"")</f>
        <v/>
      </c>
      <c r="L233" s="21" t="str">
        <f>IFERROR(__xludf.DUMMYFUNCTION("IFERROR((GOOGLEFINANCE(C233, ""price"") / INDEX(GOOGLEFINANCE(C233, ""price"", TODAY()-7, TODAY()), 2, 2)) - 1, """")"),"")</f>
        <v/>
      </c>
      <c r="M233" s="21" t="str">
        <f>IFERROR(__xludf.DUMMYFUNCTION("IFERROR((GOOGLEFINANCE(C233, ""price"") / INDEX(GOOGLEFINANCE(C233, ""price"", EDATE(TODAY(), -1), TODAY()), 2, 2)) - 1, """")"),"")</f>
        <v/>
      </c>
      <c r="N233" s="21" t="str">
        <f>IFERROR(__xludf.DUMMYFUNCTION("IFERROR((GOOGLEFINANCE(C233, ""price"") / INDEX(GOOGLEFINANCE(C233, ""price"", EDATE(TODAY(), -3), TODAY()), 2, 2)) - 1, """")"),"")</f>
        <v/>
      </c>
      <c r="O233" s="21" t="str">
        <f>IFERROR(__xludf.DUMMYFUNCTION("IFERROR((GOOGLEFINANCE(C233, ""price"") / INDEX(GOOGLEFINANCE(C233, ""price"", EDATE(TODAY(), -6), TODAY()), 2, 2)) - 1, """")"),"")</f>
        <v/>
      </c>
      <c r="P233" s="21" t="str">
        <f>IFERROR(__xludf.DUMMYFUNCTION("IFERROR((GOOGLEFINANCE(C233, ""price"") / INDEX(GOOGLEFINANCE(C233, ""price"", EDATE(TODAY(), -12), TODAY()), 2, 2)) - 1, """")"),"")</f>
        <v/>
      </c>
      <c r="Q233" s="6" t="str">
        <f>IFERROR(__xludf.DUMMYFUNCTION("AVERAGE(QUERY(GOOGLEFINANCE(C233, ""price"", TODAY()-80, TODAY()), ""SELECT Col2 WHERE Col2 IS NOT NULL ORDER BY Col1 DESC LIMIT 50"", 0))"),"#N/A")</f>
        <v>#N/A</v>
      </c>
      <c r="R233" s="24" t="str">
        <f>IFERROR(__xludf.DUMMYFUNCTION("IFERROR(
  LET(
    data, QUERY(GOOGLEFINANCE(C233,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GOOGLEFINANCE(C233, ""price"")) * 100,
    IF(calc=0, G233, calc)
  ), 
G233)"),"#N/A")</f>
        <v>#N/A</v>
      </c>
      <c r="S233" s="8" t="s">
        <v>15</v>
      </c>
      <c r="T233" s="26" t="str">
        <f>IFERROR(__xludf.DUMMYFUNCTION("IFERROR(TRANSPOSE(QUERY(IFERROR(SORT(GOOGLEFINANCE(C233, ""price"", WORKDAY(TODAY(), -40), TODAY()), 1, FALSE)), ""select Col2 where Col2 is not null limit 22 label Col2 ''"", 0)), """")"),"")</f>
        <v/>
      </c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8"/>
      <c r="AO233" s="28"/>
      <c r="AP233" s="29"/>
      <c r="AQ233" s="29" t="str">
        <f t="shared" ref="AQ233:BL233" si="238">T233/T$2</f>
        <v>#N/A</v>
      </c>
      <c r="AR233" s="29" t="str">
        <f t="shared" si="238"/>
        <v>#DIV/0!</v>
      </c>
      <c r="AS233" s="29" t="str">
        <f t="shared" si="238"/>
        <v>#DIV/0!</v>
      </c>
      <c r="AT233" s="29" t="str">
        <f t="shared" si="238"/>
        <v>#DIV/0!</v>
      </c>
      <c r="AU233" s="29" t="str">
        <f t="shared" si="238"/>
        <v>#DIV/0!</v>
      </c>
      <c r="AV233" s="29" t="str">
        <f t="shared" si="238"/>
        <v>#DIV/0!</v>
      </c>
      <c r="AW233" s="29" t="str">
        <f t="shared" si="238"/>
        <v>#DIV/0!</v>
      </c>
      <c r="AX233" s="29" t="str">
        <f t="shared" si="238"/>
        <v>#DIV/0!</v>
      </c>
      <c r="AY233" s="29" t="str">
        <f t="shared" si="238"/>
        <v>#DIV/0!</v>
      </c>
      <c r="AZ233" s="29" t="str">
        <f t="shared" si="238"/>
        <v>#DIV/0!</v>
      </c>
      <c r="BA233" s="29" t="str">
        <f t="shared" si="238"/>
        <v>#DIV/0!</v>
      </c>
      <c r="BB233" s="29" t="str">
        <f t="shared" si="238"/>
        <v>#DIV/0!</v>
      </c>
      <c r="BC233" s="29" t="str">
        <f t="shared" si="238"/>
        <v>#DIV/0!</v>
      </c>
      <c r="BD233" s="29" t="str">
        <f t="shared" si="238"/>
        <v>#DIV/0!</v>
      </c>
      <c r="BE233" s="29" t="str">
        <f t="shared" si="238"/>
        <v>#DIV/0!</v>
      </c>
      <c r="BF233" s="29" t="str">
        <f t="shared" si="238"/>
        <v>#DIV/0!</v>
      </c>
      <c r="BG233" s="29" t="str">
        <f t="shared" si="238"/>
        <v>#DIV/0!</v>
      </c>
      <c r="BH233" s="29" t="str">
        <f t="shared" si="238"/>
        <v>#DIV/0!</v>
      </c>
      <c r="BI233" s="29" t="str">
        <f t="shared" si="238"/>
        <v>#DIV/0!</v>
      </c>
      <c r="BJ233" s="29" t="str">
        <f t="shared" si="238"/>
        <v>#DIV/0!</v>
      </c>
      <c r="BK233" s="29" t="str">
        <f t="shared" si="238"/>
        <v>#DIV/0!</v>
      </c>
      <c r="BL233" s="29" t="str">
        <f t="shared" si="238"/>
        <v>#DIV/0!</v>
      </c>
      <c r="BM233" s="29" t="str">
        <f t="shared" si="3"/>
        <v>#DIV/0!</v>
      </c>
    </row>
    <row r="234">
      <c r="A234" s="16" t="str">
        <f>IFERROR(__xludf.DUMMYFUNCTION("IFERROR(SPARKLINE(SORT(MAP(TRANSPOSE(AQ234:BL234), LAMBDA(val, IF(ISNUMBER(val), PERCENTRANK(AQ234:BL234, val)+0.01, 0))), SEQUENCE(COLUMNS(AQ234:BL234)), FALSE), {""charttype"",""column""; ""color"",""chartreuse""; ""ymin"", 0; ""ymax"", 1.01; ""highcolo"&amp;"r"", ""darkgreen""; ""lowcolor"", ""red""}), """")"),"")</f>
        <v/>
      </c>
      <c r="B234" s="17" t="str">
        <f t="shared" si="4"/>
        <v/>
      </c>
      <c r="C234" s="1" t="s">
        <v>2355</v>
      </c>
      <c r="D234" s="30" t="str">
        <f>IFERROR(__xludf.DUMMYFUNCTION("IFERROR(GOOGLEFINANCE(C234, ""NAME""))"),"Aquestive Therapeutics Inc")</f>
        <v>Aquestive Therapeutics Inc</v>
      </c>
      <c r="E234" s="30" t="s">
        <v>1475</v>
      </c>
      <c r="F234" s="33" t="str">
        <f>IFERROR(__xludf.DUMMYFUNCTION("( (GOOGLEFINANCE(C234, ""price"") - Q234) / Q234 ) / (R234 / 100)"),"Loading...")</f>
        <v>Loading...</v>
      </c>
      <c r="G234" s="20" t="str">
        <f>IFERROR(__xludf.DUMMYFUNCTION("AVERAGE(ARRAYFORMULA(100 * (QUERY(GOOGLEFINANCE(C234, ""high"", TODAY()-40, TODAY()), ""SELECT Col2 WHERE Col2 IS NOT NULL ORDER BY Col1 DESC LIMIT 20"", 0) / QUERY(GOOGLEFINANCE(C234, ""low"", TODAY()-40, TODAY()), ""SELECT Col2 WHERE Col2 IS NOT NULL OR"&amp;"DER BY Col1 DESC LIMIT 20"", 0) - 1)))"),"#N/A")</f>
        <v>#N/A</v>
      </c>
      <c r="H234" s="35" t="str">
        <f t="shared" si="233"/>
        <v/>
      </c>
      <c r="I234" s="36" t="str">
        <f t="shared" si="7"/>
        <v/>
      </c>
      <c r="J234" s="37" t="str">
        <f>IFERROR(__xludf.DUMMYFUNCTION("IFERROR(
  IF(C234="""",, 
    IFERROR(
      GOOGLEFINANCE(C234, ""price"") * GOOGLEFINANCE(C234, ""volumeavg""), 
      GOOGLEFINANCE(C234, ""price"") * AVERAGE(QUERY(GOOGLEFINANCE(C234, ""volume"", TODAY()-40, TODAY()), ""SELECT Col2 WHERE Col2 IS NOT "&amp;"NULL ORDER BY Col1 DESC LIMIT 20"", 0))
    )
  ), 
"""")"),"")</f>
        <v/>
      </c>
      <c r="K234" s="21" t="str">
        <f>IFERROR(__xludf.DUMMYFUNCTION("IFERROR(GOOGLEFINANCE(C234, ""changepct"") / 100, """")"),"")</f>
        <v/>
      </c>
      <c r="L234" s="21" t="str">
        <f>IFERROR(__xludf.DUMMYFUNCTION("IFERROR((GOOGLEFINANCE(C234, ""price"") / INDEX(GOOGLEFINANCE(C234, ""price"", TODAY()-7, TODAY()), 2, 2)) - 1, """")"),"")</f>
        <v/>
      </c>
      <c r="M234" s="21" t="str">
        <f>IFERROR(__xludf.DUMMYFUNCTION("IFERROR((GOOGLEFINANCE(C234, ""price"") / INDEX(GOOGLEFINANCE(C234, ""price"", EDATE(TODAY(), -1), TODAY()), 2, 2)) - 1, """")"),"")</f>
        <v/>
      </c>
      <c r="N234" s="21" t="str">
        <f>IFERROR(__xludf.DUMMYFUNCTION("IFERROR((GOOGLEFINANCE(C234, ""price"") / INDEX(GOOGLEFINANCE(C234, ""price"", EDATE(TODAY(), -3), TODAY()), 2, 2)) - 1, """")"),"")</f>
        <v/>
      </c>
      <c r="O234" s="21" t="str">
        <f>IFERROR(__xludf.DUMMYFUNCTION("IFERROR((GOOGLEFINANCE(C234, ""price"") / INDEX(GOOGLEFINANCE(C234, ""price"", EDATE(TODAY(), -6), TODAY()), 2, 2)) - 1, """")"),"")</f>
        <v/>
      </c>
      <c r="P234" s="21" t="str">
        <f>IFERROR(__xludf.DUMMYFUNCTION("IFERROR((GOOGLEFINANCE(C234, ""price"") / INDEX(GOOGLEFINANCE(C234, ""price"", EDATE(TODAY(), -12), TODAY()), 2, 2)) - 1, """")"),"")</f>
        <v/>
      </c>
      <c r="Q234" s="6" t="str">
        <f>IFERROR(__xludf.DUMMYFUNCTION("AVERAGE(QUERY(GOOGLEFINANCE(C234, ""price"", TODAY()-80, TODAY()), ""SELECT Col2 WHERE Col2 IS NOT NULL ORDER BY Col1 DESC LIMIT 50"", 0))"),"#N/A")</f>
        <v>#N/A</v>
      </c>
      <c r="R234" s="24" t="str">
        <f>IFERROR(__xludf.DUMMYFUNCTION("IFERROR(
  LET(
    data, QUERY(GOOGLEFINANCE(C234,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GOOGLEFINANCE(C234, ""price"")) * 100,
    IF(calc=0, G234, calc)
  ), 
G234)"),"#N/A")</f>
        <v>#N/A</v>
      </c>
      <c r="S234" s="8" t="s">
        <v>15</v>
      </c>
      <c r="T234" s="26" t="str">
        <f>IFERROR(__xludf.DUMMYFUNCTION("IFERROR(TRANSPOSE(QUERY(IFERROR(SORT(GOOGLEFINANCE(C234, ""price"", WORKDAY(TODAY(), -40), TODAY()), 1, FALSE)), ""select Col2 where Col2 is not null limit 22 label Col2 ''"", 0)), """")"),"")</f>
        <v/>
      </c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8"/>
      <c r="AO234" s="28"/>
      <c r="AP234" s="29"/>
      <c r="AQ234" s="29" t="str">
        <f t="shared" ref="AQ234:BL234" si="239">T234/T$2</f>
        <v>#N/A</v>
      </c>
      <c r="AR234" s="29" t="str">
        <f t="shared" si="239"/>
        <v>#DIV/0!</v>
      </c>
      <c r="AS234" s="29" t="str">
        <f t="shared" si="239"/>
        <v>#DIV/0!</v>
      </c>
      <c r="AT234" s="29" t="str">
        <f t="shared" si="239"/>
        <v>#DIV/0!</v>
      </c>
      <c r="AU234" s="29" t="str">
        <f t="shared" si="239"/>
        <v>#DIV/0!</v>
      </c>
      <c r="AV234" s="29" t="str">
        <f t="shared" si="239"/>
        <v>#DIV/0!</v>
      </c>
      <c r="AW234" s="29" t="str">
        <f t="shared" si="239"/>
        <v>#DIV/0!</v>
      </c>
      <c r="AX234" s="29" t="str">
        <f t="shared" si="239"/>
        <v>#DIV/0!</v>
      </c>
      <c r="AY234" s="29" t="str">
        <f t="shared" si="239"/>
        <v>#DIV/0!</v>
      </c>
      <c r="AZ234" s="29" t="str">
        <f t="shared" si="239"/>
        <v>#DIV/0!</v>
      </c>
      <c r="BA234" s="29" t="str">
        <f t="shared" si="239"/>
        <v>#DIV/0!</v>
      </c>
      <c r="BB234" s="29" t="str">
        <f t="shared" si="239"/>
        <v>#DIV/0!</v>
      </c>
      <c r="BC234" s="29" t="str">
        <f t="shared" si="239"/>
        <v>#DIV/0!</v>
      </c>
      <c r="BD234" s="29" t="str">
        <f t="shared" si="239"/>
        <v>#DIV/0!</v>
      </c>
      <c r="BE234" s="29" t="str">
        <f t="shared" si="239"/>
        <v>#DIV/0!</v>
      </c>
      <c r="BF234" s="29" t="str">
        <f t="shared" si="239"/>
        <v>#DIV/0!</v>
      </c>
      <c r="BG234" s="29" t="str">
        <f t="shared" si="239"/>
        <v>#DIV/0!</v>
      </c>
      <c r="BH234" s="29" t="str">
        <f t="shared" si="239"/>
        <v>#DIV/0!</v>
      </c>
      <c r="BI234" s="29" t="str">
        <f t="shared" si="239"/>
        <v>#DIV/0!</v>
      </c>
      <c r="BJ234" s="29" t="str">
        <f t="shared" si="239"/>
        <v>#DIV/0!</v>
      </c>
      <c r="BK234" s="29" t="str">
        <f t="shared" si="239"/>
        <v>#DIV/0!</v>
      </c>
      <c r="BL234" s="29" t="str">
        <f t="shared" si="239"/>
        <v>#DIV/0!</v>
      </c>
      <c r="BM234" s="29" t="str">
        <f t="shared" si="3"/>
        <v>#DIV/0!</v>
      </c>
    </row>
    <row r="235">
      <c r="A235" s="16" t="str">
        <f>IFERROR(__xludf.DUMMYFUNCTION("IFERROR(SPARKLINE(SORT(MAP(TRANSPOSE(AQ235:BL235), LAMBDA(val, IF(ISNUMBER(val), PERCENTRANK(AQ235:BL235, val)+0.01, 0))), SEQUENCE(COLUMNS(AQ235:BL235)), FALSE), {""charttype"",""column""; ""color"",""chartreuse""; ""ymin"", 0; ""ymax"", 1.01; ""highcolo"&amp;"r"", ""darkgreen""; ""lowcolor"", ""red""}), """")"),"")</f>
        <v/>
      </c>
      <c r="B235" s="17" t="str">
        <f t="shared" si="4"/>
        <v/>
      </c>
      <c r="C235" s="1" t="s">
        <v>2358</v>
      </c>
      <c r="D235" s="30" t="str">
        <f>IFERROR(__xludf.DUMMYFUNCTION("IFERROR(GOOGLEFINANCE(C235, ""NAME""))"),"Repligen Corp")</f>
        <v>Repligen Corp</v>
      </c>
      <c r="E235" s="30" t="s">
        <v>1502</v>
      </c>
      <c r="F235" s="33" t="str">
        <f>IFERROR(__xludf.DUMMYFUNCTION("( (GOOGLEFINANCE(C235, ""price"") - Q235) / Q235 ) / (R235 / 100)"),"Loading...")</f>
        <v>Loading...</v>
      </c>
      <c r="G235" s="20" t="str">
        <f>IFERROR(__xludf.DUMMYFUNCTION("AVERAGE(ARRAYFORMULA(100 * (QUERY(GOOGLEFINANCE(C235, ""high"", TODAY()-40, TODAY()), ""SELECT Col2 WHERE Col2 IS NOT NULL ORDER BY Col1 DESC LIMIT 20"", 0) / QUERY(GOOGLEFINANCE(C235, ""low"", TODAY()-40, TODAY()), ""SELECT Col2 WHERE Col2 IS NOT NULL OR"&amp;"DER BY Col1 DESC LIMIT 20"", 0) - 1)))"),"#N/A")</f>
        <v>#N/A</v>
      </c>
      <c r="H235" s="35" t="str">
        <f t="shared" si="233"/>
        <v/>
      </c>
      <c r="I235" s="36" t="str">
        <f t="shared" si="7"/>
        <v/>
      </c>
      <c r="J235" s="37" t="str">
        <f>IFERROR(__xludf.DUMMYFUNCTION("IFERROR(
  IF(C235="""",, 
    IFERROR(
      GOOGLEFINANCE(C235, ""price"") * GOOGLEFINANCE(C235, ""volumeavg""), 
      GOOGLEFINANCE(C235, ""price"") * AVERAGE(QUERY(GOOGLEFINANCE(C235, ""volume"", TODAY()-40, TODAY()), ""SELECT Col2 WHERE Col2 IS NOT "&amp;"NULL ORDER BY Col1 DESC LIMIT 20"", 0))
    )
  ), 
"""")"),"")</f>
        <v/>
      </c>
      <c r="K235" s="21" t="str">
        <f>IFERROR(__xludf.DUMMYFUNCTION("IFERROR(GOOGLEFINANCE(C235, ""changepct"") / 100, """")"),"")</f>
        <v/>
      </c>
      <c r="L235" s="21" t="str">
        <f>IFERROR(__xludf.DUMMYFUNCTION("IFERROR((GOOGLEFINANCE(C235, ""price"") / INDEX(GOOGLEFINANCE(C235, ""price"", TODAY()-7, TODAY()), 2, 2)) - 1, """")"),"")</f>
        <v/>
      </c>
      <c r="M235" s="21" t="str">
        <f>IFERROR(__xludf.DUMMYFUNCTION("IFERROR((GOOGLEFINANCE(C235, ""price"") / INDEX(GOOGLEFINANCE(C235, ""price"", EDATE(TODAY(), -1), TODAY()), 2, 2)) - 1, """")"),"")</f>
        <v/>
      </c>
      <c r="N235" s="21" t="str">
        <f>IFERROR(__xludf.DUMMYFUNCTION("IFERROR((GOOGLEFINANCE(C235, ""price"") / INDEX(GOOGLEFINANCE(C235, ""price"", EDATE(TODAY(), -3), TODAY()), 2, 2)) - 1, """")"),"")</f>
        <v/>
      </c>
      <c r="O235" s="21" t="str">
        <f>IFERROR(__xludf.DUMMYFUNCTION("IFERROR((GOOGLEFINANCE(C235, ""price"") / INDEX(GOOGLEFINANCE(C235, ""price"", EDATE(TODAY(), -6), TODAY()), 2, 2)) - 1, """")"),"")</f>
        <v/>
      </c>
      <c r="P235" s="21" t="str">
        <f>IFERROR(__xludf.DUMMYFUNCTION("IFERROR((GOOGLEFINANCE(C235, ""price"") / INDEX(GOOGLEFINANCE(C235, ""price"", EDATE(TODAY(), -12), TODAY()), 2, 2)) - 1, """")"),"")</f>
        <v/>
      </c>
      <c r="Q235" s="6" t="str">
        <f>IFERROR(__xludf.DUMMYFUNCTION("AVERAGE(QUERY(GOOGLEFINANCE(C235, ""price"", TODAY()-80, TODAY()), ""SELECT Col2 WHERE Col2 IS NOT NULL ORDER BY Col1 DESC LIMIT 50"", 0))"),"#N/A")</f>
        <v>#N/A</v>
      </c>
      <c r="R235" s="24" t="str">
        <f>IFERROR(__xludf.DUMMYFUNCTION("IFERROR(
  LET(
    data, QUERY(GOOGLEFINANCE(C235,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GOOGLEFINANCE(C235, ""price"")) * 100,
    IF(calc=0, G235, calc)
  ), 
G235)"),"#N/A")</f>
        <v>#N/A</v>
      </c>
      <c r="S235" s="8" t="s">
        <v>15</v>
      </c>
      <c r="T235" s="26" t="str">
        <f>IFERROR(__xludf.DUMMYFUNCTION("IFERROR(TRANSPOSE(QUERY(IFERROR(SORT(GOOGLEFINANCE(C235, ""price"", WORKDAY(TODAY(), -40), TODAY()), 1, FALSE)), ""select Col2 where Col2 is not null limit 22 label Col2 ''"", 0)), """")"),"")</f>
        <v/>
      </c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8"/>
      <c r="AO235" s="28"/>
      <c r="AP235" s="29"/>
      <c r="AQ235" s="29" t="str">
        <f t="shared" ref="AQ235:BL235" si="240">T235/T$2</f>
        <v>#N/A</v>
      </c>
      <c r="AR235" s="29" t="str">
        <f t="shared" si="240"/>
        <v>#DIV/0!</v>
      </c>
      <c r="AS235" s="29" t="str">
        <f t="shared" si="240"/>
        <v>#DIV/0!</v>
      </c>
      <c r="AT235" s="29" t="str">
        <f t="shared" si="240"/>
        <v>#DIV/0!</v>
      </c>
      <c r="AU235" s="29" t="str">
        <f t="shared" si="240"/>
        <v>#DIV/0!</v>
      </c>
      <c r="AV235" s="29" t="str">
        <f t="shared" si="240"/>
        <v>#DIV/0!</v>
      </c>
      <c r="AW235" s="29" t="str">
        <f t="shared" si="240"/>
        <v>#DIV/0!</v>
      </c>
      <c r="AX235" s="29" t="str">
        <f t="shared" si="240"/>
        <v>#DIV/0!</v>
      </c>
      <c r="AY235" s="29" t="str">
        <f t="shared" si="240"/>
        <v>#DIV/0!</v>
      </c>
      <c r="AZ235" s="29" t="str">
        <f t="shared" si="240"/>
        <v>#DIV/0!</v>
      </c>
      <c r="BA235" s="29" t="str">
        <f t="shared" si="240"/>
        <v>#DIV/0!</v>
      </c>
      <c r="BB235" s="29" t="str">
        <f t="shared" si="240"/>
        <v>#DIV/0!</v>
      </c>
      <c r="BC235" s="29" t="str">
        <f t="shared" si="240"/>
        <v>#DIV/0!</v>
      </c>
      <c r="BD235" s="29" t="str">
        <f t="shared" si="240"/>
        <v>#DIV/0!</v>
      </c>
      <c r="BE235" s="29" t="str">
        <f t="shared" si="240"/>
        <v>#DIV/0!</v>
      </c>
      <c r="BF235" s="29" t="str">
        <f t="shared" si="240"/>
        <v>#DIV/0!</v>
      </c>
      <c r="BG235" s="29" t="str">
        <f t="shared" si="240"/>
        <v>#DIV/0!</v>
      </c>
      <c r="BH235" s="29" t="str">
        <f t="shared" si="240"/>
        <v>#DIV/0!</v>
      </c>
      <c r="BI235" s="29" t="str">
        <f t="shared" si="240"/>
        <v>#DIV/0!</v>
      </c>
      <c r="BJ235" s="29" t="str">
        <f t="shared" si="240"/>
        <v>#DIV/0!</v>
      </c>
      <c r="BK235" s="29" t="str">
        <f t="shared" si="240"/>
        <v>#DIV/0!</v>
      </c>
      <c r="BL235" s="29" t="str">
        <f t="shared" si="240"/>
        <v>#DIV/0!</v>
      </c>
      <c r="BM235" s="29" t="str">
        <f t="shared" si="3"/>
        <v>#DIV/0!</v>
      </c>
    </row>
    <row r="236">
      <c r="A236" s="16" t="str">
        <f>IFERROR(__xludf.DUMMYFUNCTION("IFERROR(SPARKLINE(SORT(MAP(TRANSPOSE(AQ236:BL236), LAMBDA(val, IF(ISNUMBER(val), PERCENTRANK(AQ236:BL236, val)+0.01, 0))), SEQUENCE(COLUMNS(AQ236:BL236)), FALSE), {""charttype"",""column""; ""color"",""chartreuse""; ""ymin"", 0; ""ymax"", 1.01; ""highcolo"&amp;"r"", ""darkgreen""; ""lowcolor"", ""red""}), """")"),"")</f>
        <v/>
      </c>
      <c r="B236" s="17" t="str">
        <f t="shared" si="4"/>
        <v/>
      </c>
      <c r="C236" s="1" t="s">
        <v>2362</v>
      </c>
      <c r="D236" s="30" t="str">
        <f>IFERROR(__xludf.DUMMYFUNCTION("IFERROR(GOOGLEFINANCE(C236, ""NAME""))"),"Regencell Bioscience Holdings Ltd")</f>
        <v>Regencell Bioscience Holdings Ltd</v>
      </c>
      <c r="E236" s="30" t="s">
        <v>1475</v>
      </c>
      <c r="F236" s="33" t="str">
        <f>IFERROR(__xludf.DUMMYFUNCTION("( (GOOGLEFINANCE(C236, ""price"") - Q236) / Q236 ) / (R236 / 100)"),"Loading...")</f>
        <v>Loading...</v>
      </c>
      <c r="G236" s="20" t="str">
        <f>IFERROR(__xludf.DUMMYFUNCTION("AVERAGE(ARRAYFORMULA(100 * (QUERY(GOOGLEFINANCE(C236, ""high"", TODAY()-40, TODAY()), ""SELECT Col2 WHERE Col2 IS NOT NULL ORDER BY Col1 DESC LIMIT 20"", 0) / QUERY(GOOGLEFINANCE(C236, ""low"", TODAY()-40, TODAY()), ""SELECT Col2 WHERE Col2 IS NOT NULL OR"&amp;"DER BY Col1 DESC LIMIT 20"", 0) - 1)))"),"#N/A")</f>
        <v>#N/A</v>
      </c>
      <c r="H236" s="35" t="str">
        <f t="shared" si="233"/>
        <v/>
      </c>
      <c r="I236" s="36" t="str">
        <f t="shared" si="7"/>
        <v/>
      </c>
      <c r="J236" s="37" t="str">
        <f>IFERROR(__xludf.DUMMYFUNCTION("IFERROR(
  IF(C236="""",, 
    IFERROR(
      GOOGLEFINANCE(C236, ""price"") * GOOGLEFINANCE(C236, ""volumeavg""), 
      GOOGLEFINANCE(C236, ""price"") * AVERAGE(QUERY(GOOGLEFINANCE(C236, ""volume"", TODAY()-40, TODAY()), ""SELECT Col2 WHERE Col2 IS NOT "&amp;"NULL ORDER BY Col1 DESC LIMIT 20"", 0))
    )
  ), 
"""")"),"")</f>
        <v/>
      </c>
      <c r="K236" s="21" t="str">
        <f>IFERROR(__xludf.DUMMYFUNCTION("IFERROR(GOOGLEFINANCE(C236, ""changepct"") / 100, """")"),"")</f>
        <v/>
      </c>
      <c r="L236" s="21" t="str">
        <f>IFERROR(__xludf.DUMMYFUNCTION("IFERROR((GOOGLEFINANCE(C236, ""price"") / INDEX(GOOGLEFINANCE(C236, ""price"", TODAY()-7, TODAY()), 2, 2)) - 1, """")"),"")</f>
        <v/>
      </c>
      <c r="M236" s="21" t="str">
        <f>IFERROR(__xludf.DUMMYFUNCTION("IFERROR((GOOGLEFINANCE(C236, ""price"") / INDEX(GOOGLEFINANCE(C236, ""price"", EDATE(TODAY(), -1), TODAY()), 2, 2)) - 1, """")"),"")</f>
        <v/>
      </c>
      <c r="N236" s="21" t="str">
        <f>IFERROR(__xludf.DUMMYFUNCTION("IFERROR((GOOGLEFINANCE(C236, ""price"") / INDEX(GOOGLEFINANCE(C236, ""price"", EDATE(TODAY(), -3), TODAY()), 2, 2)) - 1, """")"),"")</f>
        <v/>
      </c>
      <c r="O236" s="21" t="str">
        <f>IFERROR(__xludf.DUMMYFUNCTION("IFERROR((GOOGLEFINANCE(C236, ""price"") / INDEX(GOOGLEFINANCE(C236, ""price"", EDATE(TODAY(), -6), TODAY()), 2, 2)) - 1, """")"),"")</f>
        <v/>
      </c>
      <c r="P236" s="21" t="str">
        <f>IFERROR(__xludf.DUMMYFUNCTION("IFERROR((GOOGLEFINANCE(C236, ""price"") / INDEX(GOOGLEFINANCE(C236, ""price"", EDATE(TODAY(), -12), TODAY()), 2, 2)) - 1, """")"),"")</f>
        <v/>
      </c>
      <c r="Q236" s="6" t="str">
        <f>IFERROR(__xludf.DUMMYFUNCTION("AVERAGE(QUERY(GOOGLEFINANCE(C236, ""price"", TODAY()-80, TODAY()), ""SELECT Col2 WHERE Col2 IS NOT NULL ORDER BY Col1 DESC LIMIT 50"", 0))"),"#N/A")</f>
        <v>#N/A</v>
      </c>
      <c r="R236" s="24" t="str">
        <f>IFERROR(__xludf.DUMMYFUNCTION("IFERROR(
  LET(
    data, QUERY(GOOGLEFINANCE(C236,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GOOGLEFINANCE(C236, ""price"")) * 100,
    IF(calc=0, G236, calc)
  ), 
G236)"),"#N/A")</f>
        <v>#N/A</v>
      </c>
      <c r="S236" s="8" t="s">
        <v>15</v>
      </c>
      <c r="T236" s="26" t="str">
        <f>IFERROR(__xludf.DUMMYFUNCTION("IFERROR(TRANSPOSE(QUERY(IFERROR(SORT(GOOGLEFINANCE(C236, ""price"", WORKDAY(TODAY(), -40), TODAY()), 1, FALSE)), ""select Col2 where Col2 is not null limit 22 label Col2 ''"", 0)), """")"),"")</f>
        <v/>
      </c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8"/>
      <c r="AO236" s="28"/>
      <c r="AP236" s="29"/>
      <c r="AQ236" s="29" t="str">
        <f t="shared" ref="AQ236:BL236" si="241">T236/T$2</f>
        <v>#N/A</v>
      </c>
      <c r="AR236" s="29" t="str">
        <f t="shared" si="241"/>
        <v>#DIV/0!</v>
      </c>
      <c r="AS236" s="29" t="str">
        <f t="shared" si="241"/>
        <v>#DIV/0!</v>
      </c>
      <c r="AT236" s="29" t="str">
        <f t="shared" si="241"/>
        <v>#DIV/0!</v>
      </c>
      <c r="AU236" s="29" t="str">
        <f t="shared" si="241"/>
        <v>#DIV/0!</v>
      </c>
      <c r="AV236" s="29" t="str">
        <f t="shared" si="241"/>
        <v>#DIV/0!</v>
      </c>
      <c r="AW236" s="29" t="str">
        <f t="shared" si="241"/>
        <v>#DIV/0!</v>
      </c>
      <c r="AX236" s="29" t="str">
        <f t="shared" si="241"/>
        <v>#DIV/0!</v>
      </c>
      <c r="AY236" s="29" t="str">
        <f t="shared" si="241"/>
        <v>#DIV/0!</v>
      </c>
      <c r="AZ236" s="29" t="str">
        <f t="shared" si="241"/>
        <v>#DIV/0!</v>
      </c>
      <c r="BA236" s="29" t="str">
        <f t="shared" si="241"/>
        <v>#DIV/0!</v>
      </c>
      <c r="BB236" s="29" t="str">
        <f t="shared" si="241"/>
        <v>#DIV/0!</v>
      </c>
      <c r="BC236" s="29" t="str">
        <f t="shared" si="241"/>
        <v>#DIV/0!</v>
      </c>
      <c r="BD236" s="29" t="str">
        <f t="shared" si="241"/>
        <v>#DIV/0!</v>
      </c>
      <c r="BE236" s="29" t="str">
        <f t="shared" si="241"/>
        <v>#DIV/0!</v>
      </c>
      <c r="BF236" s="29" t="str">
        <f t="shared" si="241"/>
        <v>#DIV/0!</v>
      </c>
      <c r="BG236" s="29" t="str">
        <f t="shared" si="241"/>
        <v>#DIV/0!</v>
      </c>
      <c r="BH236" s="29" t="str">
        <f t="shared" si="241"/>
        <v>#DIV/0!</v>
      </c>
      <c r="BI236" s="29" t="str">
        <f t="shared" si="241"/>
        <v>#DIV/0!</v>
      </c>
      <c r="BJ236" s="29" t="str">
        <f t="shared" si="241"/>
        <v>#DIV/0!</v>
      </c>
      <c r="BK236" s="29" t="str">
        <f t="shared" si="241"/>
        <v>#DIV/0!</v>
      </c>
      <c r="BL236" s="29" t="str">
        <f t="shared" si="241"/>
        <v>#DIV/0!</v>
      </c>
      <c r="BM236" s="29" t="str">
        <f t="shared" si="3"/>
        <v>#DIV/0!</v>
      </c>
    </row>
    <row r="237">
      <c r="A237" s="16" t="str">
        <f>IFERROR(__xludf.DUMMYFUNCTION("IFERROR(SPARKLINE(SORT(MAP(TRANSPOSE(AQ237:BL237), LAMBDA(val, IF(ISNUMBER(val), PERCENTRANK(AQ237:BL237, val)+0.01, 0))), SEQUENCE(COLUMNS(AQ237:BL237)), FALSE), {""charttype"",""column""; ""color"",""chartreuse""; ""ymin"", 0; ""ymax"", 1.01; ""highcolo"&amp;"r"", ""darkgreen""; ""lowcolor"", ""red""}), """")"),"")</f>
        <v/>
      </c>
      <c r="B237" s="17" t="str">
        <f t="shared" si="4"/>
        <v/>
      </c>
      <c r="C237" s="1" t="s">
        <v>2366</v>
      </c>
      <c r="D237" s="30" t="str">
        <f>IFERROR(__xludf.DUMMYFUNCTION("IFERROR(GOOGLEFINANCE(C237, ""NAME""))"),"Amneal Pharmaceuticals Inc")</f>
        <v>Amneal Pharmaceuticals Inc</v>
      </c>
      <c r="E237" s="30" t="s">
        <v>1475</v>
      </c>
      <c r="F237" s="33" t="str">
        <f>IFERROR(__xludf.DUMMYFUNCTION("( (GOOGLEFINANCE(C237, ""price"") - Q237) / Q237 ) / (R237 / 100)"),"Loading...")</f>
        <v>Loading...</v>
      </c>
      <c r="G237" s="20" t="str">
        <f>IFERROR(__xludf.DUMMYFUNCTION("AVERAGE(ARRAYFORMULA(100 * (QUERY(GOOGLEFINANCE(C237, ""high"", TODAY()-40, TODAY()), ""SELECT Col2 WHERE Col2 IS NOT NULL ORDER BY Col1 DESC LIMIT 20"", 0) / QUERY(GOOGLEFINANCE(C237, ""low"", TODAY()-40, TODAY()), ""SELECT Col2 WHERE Col2 IS NOT NULL OR"&amp;"DER BY Col1 DESC LIMIT 20"", 0) - 1)))"),"#N/A")</f>
        <v>#N/A</v>
      </c>
      <c r="H237" s="35" t="str">
        <f t="shared" si="233"/>
        <v/>
      </c>
      <c r="I237" s="36" t="str">
        <f t="shared" si="7"/>
        <v/>
      </c>
      <c r="J237" s="37" t="str">
        <f>IFERROR(__xludf.DUMMYFUNCTION("IFERROR(
  IF(C237="""",, 
    IFERROR(
      GOOGLEFINANCE(C237, ""price"") * GOOGLEFINANCE(C237, ""volumeavg""), 
      GOOGLEFINANCE(C237, ""price"") * AVERAGE(QUERY(GOOGLEFINANCE(C237, ""volume"", TODAY()-40, TODAY()), ""SELECT Col2 WHERE Col2 IS NOT "&amp;"NULL ORDER BY Col1 DESC LIMIT 20"", 0))
    )
  ), 
"""")"),"")</f>
        <v/>
      </c>
      <c r="K237" s="21" t="str">
        <f>IFERROR(__xludf.DUMMYFUNCTION("IFERROR(GOOGLEFINANCE(C237, ""changepct"") / 100, """")"),"")</f>
        <v/>
      </c>
      <c r="L237" s="21" t="str">
        <f>IFERROR(__xludf.DUMMYFUNCTION("IFERROR((GOOGLEFINANCE(C237, ""price"") / INDEX(GOOGLEFINANCE(C237, ""price"", TODAY()-7, TODAY()), 2, 2)) - 1, """")"),"")</f>
        <v/>
      </c>
      <c r="M237" s="21" t="str">
        <f>IFERROR(__xludf.DUMMYFUNCTION("IFERROR((GOOGLEFINANCE(C237, ""price"") / INDEX(GOOGLEFINANCE(C237, ""price"", EDATE(TODAY(), -1), TODAY()), 2, 2)) - 1, """")"),"")</f>
        <v/>
      </c>
      <c r="N237" s="21" t="str">
        <f>IFERROR(__xludf.DUMMYFUNCTION("IFERROR((GOOGLEFINANCE(C237, ""price"") / INDEX(GOOGLEFINANCE(C237, ""price"", EDATE(TODAY(), -3), TODAY()), 2, 2)) - 1, """")"),"")</f>
        <v/>
      </c>
      <c r="O237" s="21" t="str">
        <f>IFERROR(__xludf.DUMMYFUNCTION("IFERROR((GOOGLEFINANCE(C237, ""price"") / INDEX(GOOGLEFINANCE(C237, ""price"", EDATE(TODAY(), -6), TODAY()), 2, 2)) - 1, """")"),"")</f>
        <v/>
      </c>
      <c r="P237" s="21" t="str">
        <f>IFERROR(__xludf.DUMMYFUNCTION("IFERROR((GOOGLEFINANCE(C237, ""price"") / INDEX(GOOGLEFINANCE(C237, ""price"", EDATE(TODAY(), -12), TODAY()), 2, 2)) - 1, """")"),"")</f>
        <v/>
      </c>
      <c r="Q237" s="6" t="str">
        <f>IFERROR(__xludf.DUMMYFUNCTION("AVERAGE(QUERY(GOOGLEFINANCE(C237, ""price"", TODAY()-80, TODAY()), ""SELECT Col2 WHERE Col2 IS NOT NULL ORDER BY Col1 DESC LIMIT 50"", 0))"),"#N/A")</f>
        <v>#N/A</v>
      </c>
      <c r="R237" s="24" t="str">
        <f>IFERROR(__xludf.DUMMYFUNCTION("IFERROR(
  LET(
    data, QUERY(GOOGLEFINANCE(C237,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GOOGLEFINANCE(C237, ""price"")) * 100,
    IF(calc=0, G237, calc)
  ), 
G237)"),"#N/A")</f>
        <v>#N/A</v>
      </c>
      <c r="S237" s="8" t="s">
        <v>15</v>
      </c>
      <c r="T237" s="26" t="str">
        <f>IFERROR(__xludf.DUMMYFUNCTION("IFERROR(TRANSPOSE(QUERY(IFERROR(SORT(GOOGLEFINANCE(C237, ""price"", WORKDAY(TODAY(), -40), TODAY()), 1, FALSE)), ""select Col2 where Col2 is not null limit 22 label Col2 ''"", 0)), """")"),"")</f>
        <v/>
      </c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8"/>
      <c r="AO237" s="28"/>
      <c r="AP237" s="29"/>
      <c r="AQ237" s="29" t="str">
        <f t="shared" ref="AQ237:BL237" si="242">T237/T$2</f>
        <v>#N/A</v>
      </c>
      <c r="AR237" s="29" t="str">
        <f t="shared" si="242"/>
        <v>#DIV/0!</v>
      </c>
      <c r="AS237" s="29" t="str">
        <f t="shared" si="242"/>
        <v>#DIV/0!</v>
      </c>
      <c r="AT237" s="29" t="str">
        <f t="shared" si="242"/>
        <v>#DIV/0!</v>
      </c>
      <c r="AU237" s="29" t="str">
        <f t="shared" si="242"/>
        <v>#DIV/0!</v>
      </c>
      <c r="AV237" s="29" t="str">
        <f t="shared" si="242"/>
        <v>#DIV/0!</v>
      </c>
      <c r="AW237" s="29" t="str">
        <f t="shared" si="242"/>
        <v>#DIV/0!</v>
      </c>
      <c r="AX237" s="29" t="str">
        <f t="shared" si="242"/>
        <v>#DIV/0!</v>
      </c>
      <c r="AY237" s="29" t="str">
        <f t="shared" si="242"/>
        <v>#DIV/0!</v>
      </c>
      <c r="AZ237" s="29" t="str">
        <f t="shared" si="242"/>
        <v>#DIV/0!</v>
      </c>
      <c r="BA237" s="29" t="str">
        <f t="shared" si="242"/>
        <v>#DIV/0!</v>
      </c>
      <c r="BB237" s="29" t="str">
        <f t="shared" si="242"/>
        <v>#DIV/0!</v>
      </c>
      <c r="BC237" s="29" t="str">
        <f t="shared" si="242"/>
        <v>#DIV/0!</v>
      </c>
      <c r="BD237" s="29" t="str">
        <f t="shared" si="242"/>
        <v>#DIV/0!</v>
      </c>
      <c r="BE237" s="29" t="str">
        <f t="shared" si="242"/>
        <v>#DIV/0!</v>
      </c>
      <c r="BF237" s="29" t="str">
        <f t="shared" si="242"/>
        <v>#DIV/0!</v>
      </c>
      <c r="BG237" s="29" t="str">
        <f t="shared" si="242"/>
        <v>#DIV/0!</v>
      </c>
      <c r="BH237" s="29" t="str">
        <f t="shared" si="242"/>
        <v>#DIV/0!</v>
      </c>
      <c r="BI237" s="29" t="str">
        <f t="shared" si="242"/>
        <v>#DIV/0!</v>
      </c>
      <c r="BJ237" s="29" t="str">
        <f t="shared" si="242"/>
        <v>#DIV/0!</v>
      </c>
      <c r="BK237" s="29" t="str">
        <f t="shared" si="242"/>
        <v>#DIV/0!</v>
      </c>
      <c r="BL237" s="29" t="str">
        <f t="shared" si="242"/>
        <v>#DIV/0!</v>
      </c>
      <c r="BM237" s="29" t="str">
        <f t="shared" si="3"/>
        <v>#DIV/0!</v>
      </c>
    </row>
    <row r="238">
      <c r="A238" s="16" t="str">
        <f>IFERROR(__xludf.DUMMYFUNCTION("IFERROR(SPARKLINE(SORT(MAP(TRANSPOSE(AQ238:BL238), LAMBDA(val, IF(ISNUMBER(val), PERCENTRANK(AQ238:BL238, val)+0.01, 0))), SEQUENCE(COLUMNS(AQ238:BL238)), FALSE), {""charttype"",""column""; ""color"",""chartreuse""; ""ymin"", 0; ""ymax"", 1.01; ""highcolo"&amp;"r"", ""darkgreen""; ""lowcolor"", ""red""}), """")"),"")</f>
        <v/>
      </c>
      <c r="B238" s="17" t="str">
        <f t="shared" si="4"/>
        <v/>
      </c>
      <c r="C238" s="1" t="s">
        <v>2369</v>
      </c>
      <c r="D238" s="30" t="str">
        <f>IFERROR(__xludf.DUMMYFUNCTION("IFERROR(GOOGLEFINANCE(C238, ""NAME""))"),"Tempus AI Inc")</f>
        <v>Tempus AI Inc</v>
      </c>
      <c r="E238" s="30" t="s">
        <v>1532</v>
      </c>
      <c r="F238" s="33" t="str">
        <f>IFERROR(__xludf.DUMMYFUNCTION("( (GOOGLEFINANCE(C238, ""price"") - Q238) / Q238 ) / (R238 / 100)"),"Loading...")</f>
        <v>Loading...</v>
      </c>
      <c r="G238" s="20" t="str">
        <f>IFERROR(__xludf.DUMMYFUNCTION("AVERAGE(ARRAYFORMULA(100 * (QUERY(GOOGLEFINANCE(C238, ""high"", TODAY()-40, TODAY()), ""SELECT Col2 WHERE Col2 IS NOT NULL ORDER BY Col1 DESC LIMIT 20"", 0) / QUERY(GOOGLEFINANCE(C238, ""low"", TODAY()-40, TODAY()), ""SELECT Col2 WHERE Col2 IS NOT NULL OR"&amp;"DER BY Col1 DESC LIMIT 20"", 0) - 1)))"),"#N/A")</f>
        <v>#N/A</v>
      </c>
      <c r="H238" s="35" t="str">
        <f t="shared" si="233"/>
        <v/>
      </c>
      <c r="I238" s="36" t="str">
        <f t="shared" si="7"/>
        <v/>
      </c>
      <c r="J238" s="37" t="str">
        <f>IFERROR(__xludf.DUMMYFUNCTION("IFERROR(
  IF(C238="""",, 
    IFERROR(
      GOOGLEFINANCE(C238, ""price"") * GOOGLEFINANCE(C238, ""volumeavg""), 
      GOOGLEFINANCE(C238, ""price"") * AVERAGE(QUERY(GOOGLEFINANCE(C238, ""volume"", TODAY()-40, TODAY()), ""SELECT Col2 WHERE Col2 IS NOT "&amp;"NULL ORDER BY Col1 DESC LIMIT 20"", 0))
    )
  ), 
"""")"),"")</f>
        <v/>
      </c>
      <c r="K238" s="21" t="str">
        <f>IFERROR(__xludf.DUMMYFUNCTION("IFERROR(GOOGLEFINANCE(C238, ""changepct"") / 100, """")"),"")</f>
        <v/>
      </c>
      <c r="L238" s="21" t="str">
        <f>IFERROR(__xludf.DUMMYFUNCTION("IFERROR((GOOGLEFINANCE(C238, ""price"") / INDEX(GOOGLEFINANCE(C238, ""price"", TODAY()-7, TODAY()), 2, 2)) - 1, """")"),"")</f>
        <v/>
      </c>
      <c r="M238" s="21" t="str">
        <f>IFERROR(__xludf.DUMMYFUNCTION("IFERROR((GOOGLEFINANCE(C238, ""price"") / INDEX(GOOGLEFINANCE(C238, ""price"", EDATE(TODAY(), -1), TODAY()), 2, 2)) - 1, """")"),"")</f>
        <v/>
      </c>
      <c r="N238" s="21" t="str">
        <f>IFERROR(__xludf.DUMMYFUNCTION("IFERROR((GOOGLEFINANCE(C238, ""price"") / INDEX(GOOGLEFINANCE(C238, ""price"", EDATE(TODAY(), -3), TODAY()), 2, 2)) - 1, """")"),"")</f>
        <v/>
      </c>
      <c r="O238" s="21" t="str">
        <f>IFERROR(__xludf.DUMMYFUNCTION("IFERROR((GOOGLEFINANCE(C238, ""price"") / INDEX(GOOGLEFINANCE(C238, ""price"", EDATE(TODAY(), -6), TODAY()), 2, 2)) - 1, """")"),"")</f>
        <v/>
      </c>
      <c r="P238" s="21" t="str">
        <f>IFERROR(__xludf.DUMMYFUNCTION("IFERROR((GOOGLEFINANCE(C238, ""price"") / INDEX(GOOGLEFINANCE(C238, ""price"", EDATE(TODAY(), -12), TODAY()), 2, 2)) - 1, """")"),"")</f>
        <v/>
      </c>
      <c r="Q238" s="6" t="str">
        <f>IFERROR(__xludf.DUMMYFUNCTION("AVERAGE(QUERY(GOOGLEFINANCE(C238, ""price"", TODAY()-80, TODAY()), ""SELECT Col2 WHERE Col2 IS NOT NULL ORDER BY Col1 DESC LIMIT 50"", 0))"),"#N/A")</f>
        <v>#N/A</v>
      </c>
      <c r="R238" s="24" t="str">
        <f>IFERROR(__xludf.DUMMYFUNCTION("IFERROR(
  LET(
    data, QUERY(GOOGLEFINANCE(C238,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GOOGLEFINANCE(C238, ""price"")) * 100,
    IF(calc=0, G238, calc)
  ), 
G238)"),"#N/A")</f>
        <v>#N/A</v>
      </c>
      <c r="S238" s="8" t="s">
        <v>15</v>
      </c>
      <c r="T238" s="26" t="str">
        <f>IFERROR(__xludf.DUMMYFUNCTION("IFERROR(TRANSPOSE(QUERY(IFERROR(SORT(GOOGLEFINANCE(C238, ""price"", WORKDAY(TODAY(), -40), TODAY()), 1, FALSE)), ""select Col2 where Col2 is not null limit 22 label Col2 ''"", 0)), """")"),"")</f>
        <v/>
      </c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8"/>
      <c r="AO238" s="28"/>
      <c r="AP238" s="29"/>
      <c r="AQ238" s="29" t="str">
        <f t="shared" ref="AQ238:BL238" si="243">T238/T$2</f>
        <v>#N/A</v>
      </c>
      <c r="AR238" s="29" t="str">
        <f t="shared" si="243"/>
        <v>#DIV/0!</v>
      </c>
      <c r="AS238" s="29" t="str">
        <f t="shared" si="243"/>
        <v>#DIV/0!</v>
      </c>
      <c r="AT238" s="29" t="str">
        <f t="shared" si="243"/>
        <v>#DIV/0!</v>
      </c>
      <c r="AU238" s="29" t="str">
        <f t="shared" si="243"/>
        <v>#DIV/0!</v>
      </c>
      <c r="AV238" s="29" t="str">
        <f t="shared" si="243"/>
        <v>#DIV/0!</v>
      </c>
      <c r="AW238" s="29" t="str">
        <f t="shared" si="243"/>
        <v>#DIV/0!</v>
      </c>
      <c r="AX238" s="29" t="str">
        <f t="shared" si="243"/>
        <v>#DIV/0!</v>
      </c>
      <c r="AY238" s="29" t="str">
        <f t="shared" si="243"/>
        <v>#DIV/0!</v>
      </c>
      <c r="AZ238" s="29" t="str">
        <f t="shared" si="243"/>
        <v>#DIV/0!</v>
      </c>
      <c r="BA238" s="29" t="str">
        <f t="shared" si="243"/>
        <v>#DIV/0!</v>
      </c>
      <c r="BB238" s="29" t="str">
        <f t="shared" si="243"/>
        <v>#DIV/0!</v>
      </c>
      <c r="BC238" s="29" t="str">
        <f t="shared" si="243"/>
        <v>#DIV/0!</v>
      </c>
      <c r="BD238" s="29" t="str">
        <f t="shared" si="243"/>
        <v>#DIV/0!</v>
      </c>
      <c r="BE238" s="29" t="str">
        <f t="shared" si="243"/>
        <v>#DIV/0!</v>
      </c>
      <c r="BF238" s="29" t="str">
        <f t="shared" si="243"/>
        <v>#DIV/0!</v>
      </c>
      <c r="BG238" s="29" t="str">
        <f t="shared" si="243"/>
        <v>#DIV/0!</v>
      </c>
      <c r="BH238" s="29" t="str">
        <f t="shared" si="243"/>
        <v>#DIV/0!</v>
      </c>
      <c r="BI238" s="29" t="str">
        <f t="shared" si="243"/>
        <v>#DIV/0!</v>
      </c>
      <c r="BJ238" s="29" t="str">
        <f t="shared" si="243"/>
        <v>#DIV/0!</v>
      </c>
      <c r="BK238" s="29" t="str">
        <f t="shared" si="243"/>
        <v>#DIV/0!</v>
      </c>
      <c r="BL238" s="29" t="str">
        <f t="shared" si="243"/>
        <v>#DIV/0!</v>
      </c>
      <c r="BM238" s="29" t="str">
        <f t="shared" si="3"/>
        <v>#DIV/0!</v>
      </c>
    </row>
    <row r="239">
      <c r="A239" s="16" t="str">
        <f>IFERROR(__xludf.DUMMYFUNCTION("IFERROR(SPARKLINE(SORT(MAP(TRANSPOSE(AQ239:BL239), LAMBDA(val, IF(ISNUMBER(val), PERCENTRANK(AQ239:BL239, val)+0.01, 0))), SEQUENCE(COLUMNS(AQ239:BL239)), FALSE), {""charttype"",""column""; ""color"",""chartreuse""; ""ymin"", 0; ""ymax"", 1.01; ""highcolo"&amp;"r"", ""darkgreen""; ""lowcolor"", ""red""}), """")"),"")</f>
        <v/>
      </c>
      <c r="B239" s="17" t="str">
        <f t="shared" si="4"/>
        <v/>
      </c>
      <c r="C239" s="1" t="s">
        <v>2371</v>
      </c>
      <c r="D239" s="30" t="str">
        <f>IFERROR(__xludf.DUMMYFUNCTION("IFERROR(GOOGLEFINANCE(C239, ""NAME""))"),"Waystar Holding Corp")</f>
        <v>Waystar Holding Corp</v>
      </c>
      <c r="E239" s="30" t="s">
        <v>1532</v>
      </c>
      <c r="F239" s="33" t="str">
        <f>IFERROR(__xludf.DUMMYFUNCTION("( (GOOGLEFINANCE(C239, ""price"") - Q239) / Q239 ) / (R239 / 100)"),"Loading...")</f>
        <v>Loading...</v>
      </c>
      <c r="G239" s="20" t="str">
        <f>IFERROR(__xludf.DUMMYFUNCTION("AVERAGE(ARRAYFORMULA(100 * (QUERY(GOOGLEFINANCE(C239, ""high"", TODAY()-40, TODAY()), ""SELECT Col2 WHERE Col2 IS NOT NULL ORDER BY Col1 DESC LIMIT 20"", 0) / QUERY(GOOGLEFINANCE(C239, ""low"", TODAY()-40, TODAY()), ""SELECT Col2 WHERE Col2 IS NOT NULL OR"&amp;"DER BY Col1 DESC LIMIT 20"", 0) - 1)))"),"#N/A")</f>
        <v>#N/A</v>
      </c>
      <c r="H239" s="35" t="str">
        <f t="shared" si="233"/>
        <v/>
      </c>
      <c r="I239" s="36" t="str">
        <f t="shared" si="7"/>
        <v/>
      </c>
      <c r="J239" s="37" t="str">
        <f>IFERROR(__xludf.DUMMYFUNCTION("IFERROR(
  IF(C239="""",, 
    IFERROR(
      GOOGLEFINANCE(C239, ""price"") * GOOGLEFINANCE(C239, ""volumeavg""), 
      GOOGLEFINANCE(C239, ""price"") * AVERAGE(QUERY(GOOGLEFINANCE(C239, ""volume"", TODAY()-40, TODAY()), ""SELECT Col2 WHERE Col2 IS NOT "&amp;"NULL ORDER BY Col1 DESC LIMIT 20"", 0))
    )
  ), 
"""")"),"")</f>
        <v/>
      </c>
      <c r="K239" s="21" t="str">
        <f>IFERROR(__xludf.DUMMYFUNCTION("IFERROR(GOOGLEFINANCE(C239, ""changepct"") / 100, """")"),"")</f>
        <v/>
      </c>
      <c r="L239" s="21" t="str">
        <f>IFERROR(__xludf.DUMMYFUNCTION("IFERROR((GOOGLEFINANCE(C239, ""price"") / INDEX(GOOGLEFINANCE(C239, ""price"", TODAY()-7, TODAY()), 2, 2)) - 1, """")"),"")</f>
        <v/>
      </c>
      <c r="M239" s="21" t="str">
        <f>IFERROR(__xludf.DUMMYFUNCTION("IFERROR((GOOGLEFINANCE(C239, ""price"") / INDEX(GOOGLEFINANCE(C239, ""price"", EDATE(TODAY(), -1), TODAY()), 2, 2)) - 1, """")"),"")</f>
        <v/>
      </c>
      <c r="N239" s="21" t="str">
        <f>IFERROR(__xludf.DUMMYFUNCTION("IFERROR((GOOGLEFINANCE(C239, ""price"") / INDEX(GOOGLEFINANCE(C239, ""price"", EDATE(TODAY(), -3), TODAY()), 2, 2)) - 1, """")"),"")</f>
        <v/>
      </c>
      <c r="O239" s="21" t="str">
        <f>IFERROR(__xludf.DUMMYFUNCTION("IFERROR((GOOGLEFINANCE(C239, ""price"") / INDEX(GOOGLEFINANCE(C239, ""price"", EDATE(TODAY(), -6), TODAY()), 2, 2)) - 1, """")"),"")</f>
        <v/>
      </c>
      <c r="P239" s="21" t="str">
        <f>IFERROR(__xludf.DUMMYFUNCTION("IFERROR((GOOGLEFINANCE(C239, ""price"") / INDEX(GOOGLEFINANCE(C239, ""price"", EDATE(TODAY(), -12), TODAY()), 2, 2)) - 1, """")"),"")</f>
        <v/>
      </c>
      <c r="Q239" s="6" t="str">
        <f>IFERROR(__xludf.DUMMYFUNCTION("AVERAGE(QUERY(GOOGLEFINANCE(C239, ""price"", TODAY()-80, TODAY()), ""SELECT Col2 WHERE Col2 IS NOT NULL ORDER BY Col1 DESC LIMIT 50"", 0))"),"#N/A")</f>
        <v>#N/A</v>
      </c>
      <c r="R239" s="24" t="str">
        <f>IFERROR(__xludf.DUMMYFUNCTION("IFERROR(
  LET(
    data, QUERY(GOOGLEFINANCE(C239,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GOOGLEFINANCE(C239, ""price"")) * 100,
    IF(calc=0, G239, calc)
  ), 
G239)"),"#N/A")</f>
        <v>#N/A</v>
      </c>
      <c r="S239" s="8" t="s">
        <v>15</v>
      </c>
      <c r="T239" s="26" t="str">
        <f>IFERROR(__xludf.DUMMYFUNCTION("IFERROR(TRANSPOSE(QUERY(IFERROR(SORT(GOOGLEFINANCE(C239, ""price"", WORKDAY(TODAY(), -40), TODAY()), 1, FALSE)), ""select Col2 where Col2 is not null limit 22 label Col2 ''"", 0)), """")"),"")</f>
        <v/>
      </c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8"/>
      <c r="AO239" s="28"/>
      <c r="AP239" s="29"/>
      <c r="AQ239" s="29" t="str">
        <f t="shared" ref="AQ239:BL239" si="244">T239/T$2</f>
        <v>#N/A</v>
      </c>
      <c r="AR239" s="29" t="str">
        <f t="shared" si="244"/>
        <v>#DIV/0!</v>
      </c>
      <c r="AS239" s="29" t="str">
        <f t="shared" si="244"/>
        <v>#DIV/0!</v>
      </c>
      <c r="AT239" s="29" t="str">
        <f t="shared" si="244"/>
        <v>#DIV/0!</v>
      </c>
      <c r="AU239" s="29" t="str">
        <f t="shared" si="244"/>
        <v>#DIV/0!</v>
      </c>
      <c r="AV239" s="29" t="str">
        <f t="shared" si="244"/>
        <v>#DIV/0!</v>
      </c>
      <c r="AW239" s="29" t="str">
        <f t="shared" si="244"/>
        <v>#DIV/0!</v>
      </c>
      <c r="AX239" s="29" t="str">
        <f t="shared" si="244"/>
        <v>#DIV/0!</v>
      </c>
      <c r="AY239" s="29" t="str">
        <f t="shared" si="244"/>
        <v>#DIV/0!</v>
      </c>
      <c r="AZ239" s="29" t="str">
        <f t="shared" si="244"/>
        <v>#DIV/0!</v>
      </c>
      <c r="BA239" s="29" t="str">
        <f t="shared" si="244"/>
        <v>#DIV/0!</v>
      </c>
      <c r="BB239" s="29" t="str">
        <f t="shared" si="244"/>
        <v>#DIV/0!</v>
      </c>
      <c r="BC239" s="29" t="str">
        <f t="shared" si="244"/>
        <v>#DIV/0!</v>
      </c>
      <c r="BD239" s="29" t="str">
        <f t="shared" si="244"/>
        <v>#DIV/0!</v>
      </c>
      <c r="BE239" s="29" t="str">
        <f t="shared" si="244"/>
        <v>#DIV/0!</v>
      </c>
      <c r="BF239" s="29" t="str">
        <f t="shared" si="244"/>
        <v>#DIV/0!</v>
      </c>
      <c r="BG239" s="29" t="str">
        <f t="shared" si="244"/>
        <v>#DIV/0!</v>
      </c>
      <c r="BH239" s="29" t="str">
        <f t="shared" si="244"/>
        <v>#DIV/0!</v>
      </c>
      <c r="BI239" s="29" t="str">
        <f t="shared" si="244"/>
        <v>#DIV/0!</v>
      </c>
      <c r="BJ239" s="29" t="str">
        <f t="shared" si="244"/>
        <v>#DIV/0!</v>
      </c>
      <c r="BK239" s="29" t="str">
        <f t="shared" si="244"/>
        <v>#DIV/0!</v>
      </c>
      <c r="BL239" s="29" t="str">
        <f t="shared" si="244"/>
        <v>#DIV/0!</v>
      </c>
      <c r="BM239" s="29" t="str">
        <f t="shared" si="3"/>
        <v>#DIV/0!</v>
      </c>
    </row>
    <row r="240">
      <c r="A240" s="16" t="str">
        <f>IFERROR(__xludf.DUMMYFUNCTION("IFERROR(SPARKLINE(SORT(MAP(TRANSPOSE(AQ240:BL240), LAMBDA(val, IF(ISNUMBER(val), PERCENTRANK(AQ240:BL240, val)+0.01, 0))), SEQUENCE(COLUMNS(AQ240:BL240)), FALSE), {""charttype"",""column""; ""color"",""chartreuse""; ""ymin"", 0; ""ymax"", 1.01; ""highcolo"&amp;"r"", ""darkgreen""; ""lowcolor"", ""red""}), """")"),"")</f>
        <v/>
      </c>
      <c r="B240" s="17" t="str">
        <f t="shared" si="4"/>
        <v/>
      </c>
      <c r="C240" s="1" t="s">
        <v>2375</v>
      </c>
      <c r="D240" s="30" t="str">
        <f>IFERROR(__xludf.DUMMYFUNCTION("IFERROR(GOOGLEFINANCE(C240, ""NAME""))"),"Canopy Growth Corp")</f>
        <v>Canopy Growth Corp</v>
      </c>
      <c r="E240" s="30" t="s">
        <v>1475</v>
      </c>
      <c r="F240" s="33" t="str">
        <f>IFERROR(__xludf.DUMMYFUNCTION("( (GOOGLEFINANCE(C240, ""price"") - Q240) / Q240 ) / (R240 / 100)"),"Loading...")</f>
        <v>Loading...</v>
      </c>
      <c r="G240" s="20" t="str">
        <f>IFERROR(__xludf.DUMMYFUNCTION("AVERAGE(ARRAYFORMULA(100 * (QUERY(GOOGLEFINANCE(C240, ""high"", TODAY()-40, TODAY()), ""SELECT Col2 WHERE Col2 IS NOT NULL ORDER BY Col1 DESC LIMIT 20"", 0) / QUERY(GOOGLEFINANCE(C240, ""low"", TODAY()-40, TODAY()), ""SELECT Col2 WHERE Col2 IS NOT NULL OR"&amp;"DER BY Col1 DESC LIMIT 20"", 0) - 1)))"),"#N/A")</f>
        <v>#N/A</v>
      </c>
      <c r="H240" s="35" t="str">
        <f t="shared" si="233"/>
        <v/>
      </c>
      <c r="I240" s="36" t="str">
        <f t="shared" si="7"/>
        <v/>
      </c>
      <c r="J240" s="37" t="str">
        <f>IFERROR(__xludf.DUMMYFUNCTION("IFERROR(
  IF(C240="""",, 
    IFERROR(
      GOOGLEFINANCE(C240, ""price"") * GOOGLEFINANCE(C240, ""volumeavg""), 
      GOOGLEFINANCE(C240, ""price"") * AVERAGE(QUERY(GOOGLEFINANCE(C240, ""volume"", TODAY()-40, TODAY()), ""SELECT Col2 WHERE Col2 IS NOT "&amp;"NULL ORDER BY Col1 DESC LIMIT 20"", 0))
    )
  ), 
"""")"),"")</f>
        <v/>
      </c>
      <c r="K240" s="21" t="str">
        <f>IFERROR(__xludf.DUMMYFUNCTION("IFERROR(GOOGLEFINANCE(C240, ""changepct"") / 100, """")"),"")</f>
        <v/>
      </c>
      <c r="L240" s="21" t="str">
        <f>IFERROR(__xludf.DUMMYFUNCTION("IFERROR((GOOGLEFINANCE(C240, ""price"") / INDEX(GOOGLEFINANCE(C240, ""price"", TODAY()-7, TODAY()), 2, 2)) - 1, """")"),"")</f>
        <v/>
      </c>
      <c r="M240" s="21" t="str">
        <f>IFERROR(__xludf.DUMMYFUNCTION("IFERROR((GOOGLEFINANCE(C240, ""price"") / INDEX(GOOGLEFINANCE(C240, ""price"", EDATE(TODAY(), -1), TODAY()), 2, 2)) - 1, """")"),"")</f>
        <v/>
      </c>
      <c r="N240" s="21" t="str">
        <f>IFERROR(__xludf.DUMMYFUNCTION("IFERROR((GOOGLEFINANCE(C240, ""price"") / INDEX(GOOGLEFINANCE(C240, ""price"", EDATE(TODAY(), -3), TODAY()), 2, 2)) - 1, """")"),"")</f>
        <v/>
      </c>
      <c r="O240" s="21" t="str">
        <f>IFERROR(__xludf.DUMMYFUNCTION("IFERROR((GOOGLEFINANCE(C240, ""price"") / INDEX(GOOGLEFINANCE(C240, ""price"", EDATE(TODAY(), -6), TODAY()), 2, 2)) - 1, """")"),"")</f>
        <v/>
      </c>
      <c r="P240" s="21" t="str">
        <f>IFERROR(__xludf.DUMMYFUNCTION("IFERROR((GOOGLEFINANCE(C240, ""price"") / INDEX(GOOGLEFINANCE(C240, ""price"", EDATE(TODAY(), -12), TODAY()), 2, 2)) - 1, """")"),"")</f>
        <v/>
      </c>
      <c r="Q240" s="6" t="str">
        <f>IFERROR(__xludf.DUMMYFUNCTION("AVERAGE(QUERY(GOOGLEFINANCE(C240, ""price"", TODAY()-80, TODAY()), ""SELECT Col2 WHERE Col2 IS NOT NULL ORDER BY Col1 DESC LIMIT 50"", 0))"),"#N/A")</f>
        <v>#N/A</v>
      </c>
      <c r="R240" s="24" t="str">
        <f>IFERROR(__xludf.DUMMYFUNCTION("IFERROR(
  LET(
    data, QUERY(GOOGLEFINANCE(C240,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GOOGLEFINANCE(C240, ""price"")) * 100,
    IF(calc=0, G240, calc)
  ), 
G240)"),"#N/A")</f>
        <v>#N/A</v>
      </c>
      <c r="S240" s="8" t="s">
        <v>15</v>
      </c>
      <c r="T240" s="26" t="str">
        <f>IFERROR(__xludf.DUMMYFUNCTION("IFERROR(TRANSPOSE(QUERY(IFERROR(SORT(GOOGLEFINANCE(C240, ""price"", WORKDAY(TODAY(), -40), TODAY()), 1, FALSE)), ""select Col2 where Col2 is not null limit 22 label Col2 ''"", 0)), """")"),"")</f>
        <v/>
      </c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8"/>
      <c r="AO240" s="28"/>
      <c r="AP240" s="29"/>
      <c r="AQ240" s="29" t="str">
        <f t="shared" ref="AQ240:BL240" si="245">T240/T$2</f>
        <v>#N/A</v>
      </c>
      <c r="AR240" s="29" t="str">
        <f t="shared" si="245"/>
        <v>#DIV/0!</v>
      </c>
      <c r="AS240" s="29" t="str">
        <f t="shared" si="245"/>
        <v>#DIV/0!</v>
      </c>
      <c r="AT240" s="29" t="str">
        <f t="shared" si="245"/>
        <v>#DIV/0!</v>
      </c>
      <c r="AU240" s="29" t="str">
        <f t="shared" si="245"/>
        <v>#DIV/0!</v>
      </c>
      <c r="AV240" s="29" t="str">
        <f t="shared" si="245"/>
        <v>#DIV/0!</v>
      </c>
      <c r="AW240" s="29" t="str">
        <f t="shared" si="245"/>
        <v>#DIV/0!</v>
      </c>
      <c r="AX240" s="29" t="str">
        <f t="shared" si="245"/>
        <v>#DIV/0!</v>
      </c>
      <c r="AY240" s="29" t="str">
        <f t="shared" si="245"/>
        <v>#DIV/0!</v>
      </c>
      <c r="AZ240" s="29" t="str">
        <f t="shared" si="245"/>
        <v>#DIV/0!</v>
      </c>
      <c r="BA240" s="29" t="str">
        <f t="shared" si="245"/>
        <v>#DIV/0!</v>
      </c>
      <c r="BB240" s="29" t="str">
        <f t="shared" si="245"/>
        <v>#DIV/0!</v>
      </c>
      <c r="BC240" s="29" t="str">
        <f t="shared" si="245"/>
        <v>#DIV/0!</v>
      </c>
      <c r="BD240" s="29" t="str">
        <f t="shared" si="245"/>
        <v>#DIV/0!</v>
      </c>
      <c r="BE240" s="29" t="str">
        <f t="shared" si="245"/>
        <v>#DIV/0!</v>
      </c>
      <c r="BF240" s="29" t="str">
        <f t="shared" si="245"/>
        <v>#DIV/0!</v>
      </c>
      <c r="BG240" s="29" t="str">
        <f t="shared" si="245"/>
        <v>#DIV/0!</v>
      </c>
      <c r="BH240" s="29" t="str">
        <f t="shared" si="245"/>
        <v>#DIV/0!</v>
      </c>
      <c r="BI240" s="29" t="str">
        <f t="shared" si="245"/>
        <v>#DIV/0!</v>
      </c>
      <c r="BJ240" s="29" t="str">
        <f t="shared" si="245"/>
        <v>#DIV/0!</v>
      </c>
      <c r="BK240" s="29" t="str">
        <f t="shared" si="245"/>
        <v>#DIV/0!</v>
      </c>
      <c r="BL240" s="29" t="str">
        <f t="shared" si="245"/>
        <v>#DIV/0!</v>
      </c>
      <c r="BM240" s="29" t="str">
        <f t="shared" si="3"/>
        <v>#DIV/0!</v>
      </c>
    </row>
    <row r="241">
      <c r="A241" s="16" t="str">
        <f>IFERROR(__xludf.DUMMYFUNCTION("IFERROR(SPARKLINE(SORT(MAP(TRANSPOSE(AQ241:BL241), LAMBDA(val, IF(ISNUMBER(val), PERCENTRANK(AQ241:BL241, val)+0.01, 0))), SEQUENCE(COLUMNS(AQ241:BL241)), FALSE), {""charttype"",""column""; ""color"",""chartreuse""; ""ymin"", 0; ""ymax"", 1.01; ""highcolo"&amp;"r"", ""darkgreen""; ""lowcolor"", ""red""}), """")"),"")</f>
        <v/>
      </c>
      <c r="B241" s="17" t="str">
        <f t="shared" si="4"/>
        <v/>
      </c>
      <c r="C241" s="1" t="s">
        <v>2379</v>
      </c>
      <c r="D241" s="30" t="str">
        <f>IFERROR(__xludf.DUMMYFUNCTION("IFERROR(GOOGLEFINANCE(C241, ""NAME""))"),"Cytek Biosciences Inc")</f>
        <v>Cytek Biosciences Inc</v>
      </c>
      <c r="E241" s="30" t="s">
        <v>1491</v>
      </c>
      <c r="F241" s="33" t="str">
        <f>IFERROR(__xludf.DUMMYFUNCTION("( (GOOGLEFINANCE(C241, ""price"") - Q241) / Q241 ) / (R241 / 100)"),"Loading...")</f>
        <v>Loading...</v>
      </c>
      <c r="G241" s="20" t="str">
        <f>IFERROR(__xludf.DUMMYFUNCTION("AVERAGE(ARRAYFORMULA(100 * (QUERY(GOOGLEFINANCE(C241, ""high"", TODAY()-40, TODAY()), ""SELECT Col2 WHERE Col2 IS NOT NULL ORDER BY Col1 DESC LIMIT 20"", 0) / QUERY(GOOGLEFINANCE(C241, ""low"", TODAY()-40, TODAY()), ""SELECT Col2 WHERE Col2 IS NOT NULL OR"&amp;"DER BY Col1 DESC LIMIT 20"", 0) - 1)))"),"#N/A")</f>
        <v>#N/A</v>
      </c>
      <c r="H241" s="35" t="str">
        <f t="shared" si="233"/>
        <v/>
      </c>
      <c r="I241" s="36" t="str">
        <f t="shared" si="7"/>
        <v/>
      </c>
      <c r="J241" s="37" t="str">
        <f>IFERROR(__xludf.DUMMYFUNCTION("IFERROR(
  IF(C241="""",, 
    IFERROR(
      GOOGLEFINANCE(C241, ""price"") * GOOGLEFINANCE(C241, ""volumeavg""), 
      GOOGLEFINANCE(C241, ""price"") * AVERAGE(QUERY(GOOGLEFINANCE(C241, ""volume"", TODAY()-40, TODAY()), ""SELECT Col2 WHERE Col2 IS NOT "&amp;"NULL ORDER BY Col1 DESC LIMIT 20"", 0))
    )
  ), 
"""")"),"")</f>
        <v/>
      </c>
      <c r="K241" s="21" t="str">
        <f>IFERROR(__xludf.DUMMYFUNCTION("IFERROR(GOOGLEFINANCE(C241, ""changepct"") / 100, """")"),"")</f>
        <v/>
      </c>
      <c r="L241" s="21" t="str">
        <f>IFERROR(__xludf.DUMMYFUNCTION("IFERROR((GOOGLEFINANCE(C241, ""price"") / INDEX(GOOGLEFINANCE(C241, ""price"", TODAY()-7, TODAY()), 2, 2)) - 1, """")"),"")</f>
        <v/>
      </c>
      <c r="M241" s="21" t="str">
        <f>IFERROR(__xludf.DUMMYFUNCTION("IFERROR((GOOGLEFINANCE(C241, ""price"") / INDEX(GOOGLEFINANCE(C241, ""price"", EDATE(TODAY(), -1), TODAY()), 2, 2)) - 1, """")"),"")</f>
        <v/>
      </c>
      <c r="N241" s="21" t="str">
        <f>IFERROR(__xludf.DUMMYFUNCTION("IFERROR((GOOGLEFINANCE(C241, ""price"") / INDEX(GOOGLEFINANCE(C241, ""price"", EDATE(TODAY(), -3), TODAY()), 2, 2)) - 1, """")"),"")</f>
        <v/>
      </c>
      <c r="O241" s="21" t="str">
        <f>IFERROR(__xludf.DUMMYFUNCTION("IFERROR((GOOGLEFINANCE(C241, ""price"") / INDEX(GOOGLEFINANCE(C241, ""price"", EDATE(TODAY(), -6), TODAY()), 2, 2)) - 1, """")"),"")</f>
        <v/>
      </c>
      <c r="P241" s="21" t="str">
        <f>IFERROR(__xludf.DUMMYFUNCTION("IFERROR((GOOGLEFINANCE(C241, ""price"") / INDEX(GOOGLEFINANCE(C241, ""price"", EDATE(TODAY(), -12), TODAY()), 2, 2)) - 1, """")"),"")</f>
        <v/>
      </c>
      <c r="Q241" s="6" t="str">
        <f>IFERROR(__xludf.DUMMYFUNCTION("AVERAGE(QUERY(GOOGLEFINANCE(C241, ""price"", TODAY()-80, TODAY()), ""SELECT Col2 WHERE Col2 IS NOT NULL ORDER BY Col1 DESC LIMIT 50"", 0))"),"#N/A")</f>
        <v>#N/A</v>
      </c>
      <c r="R241" s="24" t="str">
        <f>IFERROR(__xludf.DUMMYFUNCTION("IFERROR(
  LET(
    data, QUERY(GOOGLEFINANCE(C241,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GOOGLEFINANCE(C241, ""price"")) * 100,
    IF(calc=0, G241, calc)
  ), 
G241)"),"#N/A")</f>
        <v>#N/A</v>
      </c>
      <c r="S241" s="8" t="s">
        <v>15</v>
      </c>
      <c r="T241" s="26" t="str">
        <f>IFERROR(__xludf.DUMMYFUNCTION("IFERROR(TRANSPOSE(QUERY(IFERROR(SORT(GOOGLEFINANCE(C241, ""price"", WORKDAY(TODAY(), -40), TODAY()), 1, FALSE)), ""select Col2 where Col2 is not null limit 22 label Col2 ''"", 0)), """")"),"")</f>
        <v/>
      </c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8"/>
      <c r="AO241" s="28"/>
      <c r="AP241" s="29"/>
      <c r="AQ241" s="29" t="str">
        <f t="shared" ref="AQ241:BL241" si="246">T241/T$2</f>
        <v>#N/A</v>
      </c>
      <c r="AR241" s="29" t="str">
        <f t="shared" si="246"/>
        <v>#DIV/0!</v>
      </c>
      <c r="AS241" s="29" t="str">
        <f t="shared" si="246"/>
        <v>#DIV/0!</v>
      </c>
      <c r="AT241" s="29" t="str">
        <f t="shared" si="246"/>
        <v>#DIV/0!</v>
      </c>
      <c r="AU241" s="29" t="str">
        <f t="shared" si="246"/>
        <v>#DIV/0!</v>
      </c>
      <c r="AV241" s="29" t="str">
        <f t="shared" si="246"/>
        <v>#DIV/0!</v>
      </c>
      <c r="AW241" s="29" t="str">
        <f t="shared" si="246"/>
        <v>#DIV/0!</v>
      </c>
      <c r="AX241" s="29" t="str">
        <f t="shared" si="246"/>
        <v>#DIV/0!</v>
      </c>
      <c r="AY241" s="29" t="str">
        <f t="shared" si="246"/>
        <v>#DIV/0!</v>
      </c>
      <c r="AZ241" s="29" t="str">
        <f t="shared" si="246"/>
        <v>#DIV/0!</v>
      </c>
      <c r="BA241" s="29" t="str">
        <f t="shared" si="246"/>
        <v>#DIV/0!</v>
      </c>
      <c r="BB241" s="29" t="str">
        <f t="shared" si="246"/>
        <v>#DIV/0!</v>
      </c>
      <c r="BC241" s="29" t="str">
        <f t="shared" si="246"/>
        <v>#DIV/0!</v>
      </c>
      <c r="BD241" s="29" t="str">
        <f t="shared" si="246"/>
        <v>#DIV/0!</v>
      </c>
      <c r="BE241" s="29" t="str">
        <f t="shared" si="246"/>
        <v>#DIV/0!</v>
      </c>
      <c r="BF241" s="29" t="str">
        <f t="shared" si="246"/>
        <v>#DIV/0!</v>
      </c>
      <c r="BG241" s="29" t="str">
        <f t="shared" si="246"/>
        <v>#DIV/0!</v>
      </c>
      <c r="BH241" s="29" t="str">
        <f t="shared" si="246"/>
        <v>#DIV/0!</v>
      </c>
      <c r="BI241" s="29" t="str">
        <f t="shared" si="246"/>
        <v>#DIV/0!</v>
      </c>
      <c r="BJ241" s="29" t="str">
        <f t="shared" si="246"/>
        <v>#DIV/0!</v>
      </c>
      <c r="BK241" s="29" t="str">
        <f t="shared" si="246"/>
        <v>#DIV/0!</v>
      </c>
      <c r="BL241" s="29" t="str">
        <f t="shared" si="246"/>
        <v>#DIV/0!</v>
      </c>
      <c r="BM241" s="29" t="str">
        <f t="shared" si="3"/>
        <v>#DIV/0!</v>
      </c>
    </row>
    <row r="242">
      <c r="A242" s="16" t="str">
        <f>IFERROR(__xludf.DUMMYFUNCTION("IFERROR(SPARKLINE(SORT(MAP(TRANSPOSE(AQ242:BL242), LAMBDA(val, IF(ISNUMBER(val), PERCENTRANK(AQ242:BL242, val)+0.01, 0))), SEQUENCE(COLUMNS(AQ242:BL242)), FALSE), {""charttype"",""column""; ""color"",""chartreuse""; ""ymin"", 0; ""ymax"", 1.01; ""highcolo"&amp;"r"", ""darkgreen""; ""lowcolor"", ""red""}), """")"),"")</f>
        <v/>
      </c>
      <c r="B242" s="17" t="str">
        <f t="shared" si="4"/>
        <v/>
      </c>
      <c r="C242" s="1" t="s">
        <v>2383</v>
      </c>
      <c r="D242" s="30" t="str">
        <f>IFERROR(__xludf.DUMMYFUNCTION("IFERROR(GOOGLEFINANCE(C242, ""NAME""))"),"CeriBell Inc")</f>
        <v>CeriBell Inc</v>
      </c>
      <c r="E242" s="30" t="s">
        <v>1491</v>
      </c>
      <c r="F242" s="33" t="str">
        <f>IFERROR(__xludf.DUMMYFUNCTION("( (GOOGLEFINANCE(C242, ""price"") - Q242) / Q242 ) / (R242 / 100)"),"Loading...")</f>
        <v>Loading...</v>
      </c>
      <c r="G242" s="20" t="str">
        <f>IFERROR(__xludf.DUMMYFUNCTION("AVERAGE(ARRAYFORMULA(100 * (QUERY(GOOGLEFINANCE(C242, ""high"", TODAY()-40, TODAY()), ""SELECT Col2 WHERE Col2 IS NOT NULL ORDER BY Col1 DESC LIMIT 20"", 0) / QUERY(GOOGLEFINANCE(C242, ""low"", TODAY()-40, TODAY()), ""SELECT Col2 WHERE Col2 IS NOT NULL OR"&amp;"DER BY Col1 DESC LIMIT 20"", 0) - 1)))"),"#N/A")</f>
        <v>#N/A</v>
      </c>
      <c r="H242" s="35" t="str">
        <f t="shared" si="233"/>
        <v/>
      </c>
      <c r="I242" s="36" t="str">
        <f t="shared" si="7"/>
        <v/>
      </c>
      <c r="J242" s="37" t="str">
        <f>IFERROR(__xludf.DUMMYFUNCTION("IFERROR(
  IF(C242="""",, 
    IFERROR(
      GOOGLEFINANCE(C242, ""price"") * GOOGLEFINANCE(C242, ""volumeavg""), 
      GOOGLEFINANCE(C242, ""price"") * AVERAGE(QUERY(GOOGLEFINANCE(C242, ""volume"", TODAY()-40, TODAY()), ""SELECT Col2 WHERE Col2 IS NOT "&amp;"NULL ORDER BY Col1 DESC LIMIT 20"", 0))
    )
  ), 
"""")"),"")</f>
        <v/>
      </c>
      <c r="K242" s="21" t="str">
        <f>IFERROR(__xludf.DUMMYFUNCTION("IFERROR(GOOGLEFINANCE(C242, ""changepct"") / 100, """")"),"")</f>
        <v/>
      </c>
      <c r="L242" s="21" t="str">
        <f>IFERROR(__xludf.DUMMYFUNCTION("IFERROR((GOOGLEFINANCE(C242, ""price"") / INDEX(GOOGLEFINANCE(C242, ""price"", TODAY()-7, TODAY()), 2, 2)) - 1, """")"),"")</f>
        <v/>
      </c>
      <c r="M242" s="21" t="str">
        <f>IFERROR(__xludf.DUMMYFUNCTION("IFERROR((GOOGLEFINANCE(C242, ""price"") / INDEX(GOOGLEFINANCE(C242, ""price"", EDATE(TODAY(), -1), TODAY()), 2, 2)) - 1, """")"),"")</f>
        <v/>
      </c>
      <c r="N242" s="21" t="str">
        <f>IFERROR(__xludf.DUMMYFUNCTION("IFERROR((GOOGLEFINANCE(C242, ""price"") / INDEX(GOOGLEFINANCE(C242, ""price"", EDATE(TODAY(), -3), TODAY()), 2, 2)) - 1, """")"),"")</f>
        <v/>
      </c>
      <c r="O242" s="21" t="str">
        <f>IFERROR(__xludf.DUMMYFUNCTION("IFERROR((GOOGLEFINANCE(C242, ""price"") / INDEX(GOOGLEFINANCE(C242, ""price"", EDATE(TODAY(), -6), TODAY()), 2, 2)) - 1, """")"),"")</f>
        <v/>
      </c>
      <c r="P242" s="21" t="str">
        <f>IFERROR(__xludf.DUMMYFUNCTION("IFERROR((GOOGLEFINANCE(C242, ""price"") / INDEX(GOOGLEFINANCE(C242, ""price"", EDATE(TODAY(), -12), TODAY()), 2, 2)) - 1, """")"),"")</f>
        <v/>
      </c>
      <c r="Q242" s="6" t="str">
        <f>IFERROR(__xludf.DUMMYFUNCTION("AVERAGE(QUERY(GOOGLEFINANCE(C242, ""price"", TODAY()-80, TODAY()), ""SELECT Col2 WHERE Col2 IS NOT NULL ORDER BY Col1 DESC LIMIT 50"", 0))"),"#N/A")</f>
        <v>#N/A</v>
      </c>
      <c r="R242" s="24" t="str">
        <f>IFERROR(__xludf.DUMMYFUNCTION("IFERROR(
  LET(
    data, QUERY(GOOGLEFINANCE(C242,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GOOGLEFINANCE(C242, ""price"")) * 100,
    IF(calc=0, G242, calc)
  ), 
G242)"),"#N/A")</f>
        <v>#N/A</v>
      </c>
      <c r="S242" s="8" t="s">
        <v>15</v>
      </c>
      <c r="T242" s="26" t="str">
        <f>IFERROR(__xludf.DUMMYFUNCTION("IFERROR(TRANSPOSE(QUERY(IFERROR(SORT(GOOGLEFINANCE(C242, ""price"", WORKDAY(TODAY(), -40), TODAY()), 1, FALSE)), ""select Col2 where Col2 is not null limit 22 label Col2 ''"", 0)), """")"),"")</f>
        <v/>
      </c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8"/>
      <c r="AO242" s="28"/>
      <c r="AP242" s="29"/>
      <c r="AQ242" s="29" t="str">
        <f t="shared" ref="AQ242:BL242" si="247">T242/T$2</f>
        <v>#N/A</v>
      </c>
      <c r="AR242" s="29" t="str">
        <f t="shared" si="247"/>
        <v>#DIV/0!</v>
      </c>
      <c r="AS242" s="29" t="str">
        <f t="shared" si="247"/>
        <v>#DIV/0!</v>
      </c>
      <c r="AT242" s="29" t="str">
        <f t="shared" si="247"/>
        <v>#DIV/0!</v>
      </c>
      <c r="AU242" s="29" t="str">
        <f t="shared" si="247"/>
        <v>#DIV/0!</v>
      </c>
      <c r="AV242" s="29" t="str">
        <f t="shared" si="247"/>
        <v>#DIV/0!</v>
      </c>
      <c r="AW242" s="29" t="str">
        <f t="shared" si="247"/>
        <v>#DIV/0!</v>
      </c>
      <c r="AX242" s="29" t="str">
        <f t="shared" si="247"/>
        <v>#DIV/0!</v>
      </c>
      <c r="AY242" s="29" t="str">
        <f t="shared" si="247"/>
        <v>#DIV/0!</v>
      </c>
      <c r="AZ242" s="29" t="str">
        <f t="shared" si="247"/>
        <v>#DIV/0!</v>
      </c>
      <c r="BA242" s="29" t="str">
        <f t="shared" si="247"/>
        <v>#DIV/0!</v>
      </c>
      <c r="BB242" s="29" t="str">
        <f t="shared" si="247"/>
        <v>#DIV/0!</v>
      </c>
      <c r="BC242" s="29" t="str">
        <f t="shared" si="247"/>
        <v>#DIV/0!</v>
      </c>
      <c r="BD242" s="29" t="str">
        <f t="shared" si="247"/>
        <v>#DIV/0!</v>
      </c>
      <c r="BE242" s="29" t="str">
        <f t="shared" si="247"/>
        <v>#DIV/0!</v>
      </c>
      <c r="BF242" s="29" t="str">
        <f t="shared" si="247"/>
        <v>#DIV/0!</v>
      </c>
      <c r="BG242" s="29" t="str">
        <f t="shared" si="247"/>
        <v>#DIV/0!</v>
      </c>
      <c r="BH242" s="29" t="str">
        <f t="shared" si="247"/>
        <v>#DIV/0!</v>
      </c>
      <c r="BI242" s="29" t="str">
        <f t="shared" si="247"/>
        <v>#DIV/0!</v>
      </c>
      <c r="BJ242" s="29" t="str">
        <f t="shared" si="247"/>
        <v>#DIV/0!</v>
      </c>
      <c r="BK242" s="29" t="str">
        <f t="shared" si="247"/>
        <v>#DIV/0!</v>
      </c>
      <c r="BL242" s="29" t="str">
        <f t="shared" si="247"/>
        <v>#DIV/0!</v>
      </c>
      <c r="BM242" s="29" t="str">
        <f t="shared" si="3"/>
        <v>#DIV/0!</v>
      </c>
    </row>
    <row r="243">
      <c r="A243" s="16" t="str">
        <f>IFERROR(__xludf.DUMMYFUNCTION("IFERROR(SPARKLINE(SORT(MAP(TRANSPOSE(AQ243:BL243), LAMBDA(val, IF(ISNUMBER(val), PERCENTRANK(AQ243:BL243, val)+0.01, 0))), SEQUENCE(COLUMNS(AQ243:BL243)), FALSE), {""charttype"",""column""; ""color"",""chartreuse""; ""ymin"", 0; ""ymax"", 1.01; ""highcolo"&amp;"r"", ""darkgreen""; ""lowcolor"", ""red""}), """")"),"")</f>
        <v/>
      </c>
      <c r="B243" s="17" t="str">
        <f t="shared" si="4"/>
        <v/>
      </c>
      <c r="C243" s="1" t="s">
        <v>2386</v>
      </c>
      <c r="D243" s="30" t="str">
        <f>IFERROR(__xludf.DUMMYFUNCTION("IFERROR(GOOGLEFINANCE(C243, ""NAME""))"),"Myriad Genetics Inc")</f>
        <v>Myriad Genetics Inc</v>
      </c>
      <c r="E243" s="30" t="s">
        <v>1499</v>
      </c>
      <c r="F243" s="33" t="str">
        <f>IFERROR(__xludf.DUMMYFUNCTION("( (GOOGLEFINANCE(C243, ""price"") - Q243) / Q243 ) / (R243 / 100)"),"Loading...")</f>
        <v>Loading...</v>
      </c>
      <c r="G243" s="20" t="str">
        <f>IFERROR(__xludf.DUMMYFUNCTION("AVERAGE(ARRAYFORMULA(100 * (QUERY(GOOGLEFINANCE(C243, ""high"", TODAY()-40, TODAY()), ""SELECT Col2 WHERE Col2 IS NOT NULL ORDER BY Col1 DESC LIMIT 20"", 0) / QUERY(GOOGLEFINANCE(C243, ""low"", TODAY()-40, TODAY()), ""SELECT Col2 WHERE Col2 IS NOT NULL OR"&amp;"DER BY Col1 DESC LIMIT 20"", 0) - 1)))"),"#N/A")</f>
        <v>#N/A</v>
      </c>
      <c r="H243" s="35" t="str">
        <f t="shared" si="233"/>
        <v/>
      </c>
      <c r="I243" s="36" t="str">
        <f t="shared" si="7"/>
        <v/>
      </c>
      <c r="J243" s="37" t="str">
        <f>IFERROR(__xludf.DUMMYFUNCTION("IFERROR(
  IF(C243="""",, 
    IFERROR(
      GOOGLEFINANCE(C243, ""price"") * GOOGLEFINANCE(C243, ""volumeavg""), 
      GOOGLEFINANCE(C243, ""price"") * AVERAGE(QUERY(GOOGLEFINANCE(C243, ""volume"", TODAY()-40, TODAY()), ""SELECT Col2 WHERE Col2 IS NOT "&amp;"NULL ORDER BY Col1 DESC LIMIT 20"", 0))
    )
  ), 
"""")"),"")</f>
        <v/>
      </c>
      <c r="K243" s="21" t="str">
        <f>IFERROR(__xludf.DUMMYFUNCTION("IFERROR(GOOGLEFINANCE(C243, ""changepct"") / 100, """")"),"")</f>
        <v/>
      </c>
      <c r="L243" s="21" t="str">
        <f>IFERROR(__xludf.DUMMYFUNCTION("IFERROR((GOOGLEFINANCE(C243, ""price"") / INDEX(GOOGLEFINANCE(C243, ""price"", TODAY()-7, TODAY()), 2, 2)) - 1, """")"),"")</f>
        <v/>
      </c>
      <c r="M243" s="21" t="str">
        <f>IFERROR(__xludf.DUMMYFUNCTION("IFERROR((GOOGLEFINANCE(C243, ""price"") / INDEX(GOOGLEFINANCE(C243, ""price"", EDATE(TODAY(), -1), TODAY()), 2, 2)) - 1, """")"),"")</f>
        <v/>
      </c>
      <c r="N243" s="21" t="str">
        <f>IFERROR(__xludf.DUMMYFUNCTION("IFERROR((GOOGLEFINANCE(C243, ""price"") / INDEX(GOOGLEFINANCE(C243, ""price"", EDATE(TODAY(), -3), TODAY()), 2, 2)) - 1, """")"),"")</f>
        <v/>
      </c>
      <c r="O243" s="21" t="str">
        <f>IFERROR(__xludf.DUMMYFUNCTION("IFERROR((GOOGLEFINANCE(C243, ""price"") / INDEX(GOOGLEFINANCE(C243, ""price"", EDATE(TODAY(), -6), TODAY()), 2, 2)) - 1, """")"),"")</f>
        <v/>
      </c>
      <c r="P243" s="21" t="str">
        <f>IFERROR(__xludf.DUMMYFUNCTION("IFERROR((GOOGLEFINANCE(C243, ""price"") / INDEX(GOOGLEFINANCE(C243, ""price"", EDATE(TODAY(), -12), TODAY()), 2, 2)) - 1, """")"),"")</f>
        <v/>
      </c>
      <c r="Q243" s="6" t="str">
        <f>IFERROR(__xludf.DUMMYFUNCTION("AVERAGE(QUERY(GOOGLEFINANCE(C243, ""price"", TODAY()-80, TODAY()), ""SELECT Col2 WHERE Col2 IS NOT NULL ORDER BY Col1 DESC LIMIT 50"", 0))"),"#N/A")</f>
        <v>#N/A</v>
      </c>
      <c r="R243" s="24" t="str">
        <f>IFERROR(__xludf.DUMMYFUNCTION("IFERROR(
  LET(
    data, QUERY(GOOGLEFINANCE(C243,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GOOGLEFINANCE(C243, ""price"")) * 100,
    IF(calc=0, G243, calc)
  ), 
G243)"),"#N/A")</f>
        <v>#N/A</v>
      </c>
      <c r="S243" s="8" t="s">
        <v>15</v>
      </c>
      <c r="T243" s="26" t="str">
        <f>IFERROR(__xludf.DUMMYFUNCTION("IFERROR(TRANSPOSE(QUERY(IFERROR(SORT(GOOGLEFINANCE(C243, ""price"", WORKDAY(TODAY(), -40), TODAY()), 1, FALSE)), ""select Col2 where Col2 is not null limit 22 label Col2 ''"", 0)), """")"),"")</f>
        <v/>
      </c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8"/>
      <c r="AO243" s="28"/>
      <c r="AP243" s="29"/>
      <c r="AQ243" s="29" t="str">
        <f t="shared" ref="AQ243:BL243" si="248">T243/T$2</f>
        <v>#N/A</v>
      </c>
      <c r="AR243" s="29" t="str">
        <f t="shared" si="248"/>
        <v>#DIV/0!</v>
      </c>
      <c r="AS243" s="29" t="str">
        <f t="shared" si="248"/>
        <v>#DIV/0!</v>
      </c>
      <c r="AT243" s="29" t="str">
        <f t="shared" si="248"/>
        <v>#DIV/0!</v>
      </c>
      <c r="AU243" s="29" t="str">
        <f t="shared" si="248"/>
        <v>#DIV/0!</v>
      </c>
      <c r="AV243" s="29" t="str">
        <f t="shared" si="248"/>
        <v>#DIV/0!</v>
      </c>
      <c r="AW243" s="29" t="str">
        <f t="shared" si="248"/>
        <v>#DIV/0!</v>
      </c>
      <c r="AX243" s="29" t="str">
        <f t="shared" si="248"/>
        <v>#DIV/0!</v>
      </c>
      <c r="AY243" s="29" t="str">
        <f t="shared" si="248"/>
        <v>#DIV/0!</v>
      </c>
      <c r="AZ243" s="29" t="str">
        <f t="shared" si="248"/>
        <v>#DIV/0!</v>
      </c>
      <c r="BA243" s="29" t="str">
        <f t="shared" si="248"/>
        <v>#DIV/0!</v>
      </c>
      <c r="BB243" s="29" t="str">
        <f t="shared" si="248"/>
        <v>#DIV/0!</v>
      </c>
      <c r="BC243" s="29" t="str">
        <f t="shared" si="248"/>
        <v>#DIV/0!</v>
      </c>
      <c r="BD243" s="29" t="str">
        <f t="shared" si="248"/>
        <v>#DIV/0!</v>
      </c>
      <c r="BE243" s="29" t="str">
        <f t="shared" si="248"/>
        <v>#DIV/0!</v>
      </c>
      <c r="BF243" s="29" t="str">
        <f t="shared" si="248"/>
        <v>#DIV/0!</v>
      </c>
      <c r="BG243" s="29" t="str">
        <f t="shared" si="248"/>
        <v>#DIV/0!</v>
      </c>
      <c r="BH243" s="29" t="str">
        <f t="shared" si="248"/>
        <v>#DIV/0!</v>
      </c>
      <c r="BI243" s="29" t="str">
        <f t="shared" si="248"/>
        <v>#DIV/0!</v>
      </c>
      <c r="BJ243" s="29" t="str">
        <f t="shared" si="248"/>
        <v>#DIV/0!</v>
      </c>
      <c r="BK243" s="29" t="str">
        <f t="shared" si="248"/>
        <v>#DIV/0!</v>
      </c>
      <c r="BL243" s="29" t="str">
        <f t="shared" si="248"/>
        <v>#DIV/0!</v>
      </c>
      <c r="BM243" s="29" t="str">
        <f t="shared" si="3"/>
        <v>#DIV/0!</v>
      </c>
    </row>
    <row r="244">
      <c r="A244" s="16" t="str">
        <f>IFERROR(__xludf.DUMMYFUNCTION("IFERROR(SPARKLINE(SORT(MAP(TRANSPOSE(AQ244:BL244), LAMBDA(val, IF(ISNUMBER(val), PERCENTRANK(AQ244:BL244, val)+0.01, 0))), SEQUENCE(COLUMNS(AQ244:BL244)), FALSE), {""charttype"",""column""; ""color"",""chartreuse""; ""ymin"", 0; ""ymax"", 1.01; ""highcolo"&amp;"r"", ""darkgreen""; ""lowcolor"", ""red""}), """")"),"")</f>
        <v/>
      </c>
      <c r="B244" s="17" t="str">
        <f t="shared" si="4"/>
        <v/>
      </c>
      <c r="C244" s="1" t="s">
        <v>2390</v>
      </c>
      <c r="D244" s="30" t="str">
        <f>IFERROR(__xludf.DUMMYFUNCTION("IFERROR(GOOGLEFINANCE(C244, ""NAME""))"),"Healthequity Inc")</f>
        <v>Healthequity Inc</v>
      </c>
      <c r="E244" s="30" t="s">
        <v>1532</v>
      </c>
      <c r="F244" s="38" t="str">
        <f>IFERROR(__xludf.DUMMYFUNCTION("( (GOOGLEFINANCE(C244, ""price"") - Q244) / Q244 ) / (R244 / 100)"),"Loading...")</f>
        <v>Loading...</v>
      </c>
      <c r="G244" s="20" t="str">
        <f>IFERROR(__xludf.DUMMYFUNCTION("AVERAGE(ARRAYFORMULA(100 * (QUERY(GOOGLEFINANCE(C244, ""high"", TODAY()-40, TODAY()), ""SELECT Col2 WHERE Col2 IS NOT NULL ORDER BY Col1 DESC LIMIT 20"", 0) / QUERY(GOOGLEFINANCE(C244, ""low"", TODAY()-40, TODAY()), ""SELECT Col2 WHERE Col2 IS NOT NULL OR"&amp;"DER BY Col1 DESC LIMIT 20"", 0) - 1)))"),"#N/A")</f>
        <v>#N/A</v>
      </c>
      <c r="H244" s="35" t="str">
        <f t="shared" si="233"/>
        <v/>
      </c>
      <c r="I244" s="36" t="str">
        <f t="shared" si="7"/>
        <v/>
      </c>
      <c r="J244" s="37" t="str">
        <f>IFERROR(__xludf.DUMMYFUNCTION("IFERROR(
  IF(C244="""",, 
    IFERROR(
      GOOGLEFINANCE(C244, ""price"") * GOOGLEFINANCE(C244, ""volumeavg""), 
      GOOGLEFINANCE(C244, ""price"") * AVERAGE(QUERY(GOOGLEFINANCE(C244, ""volume"", TODAY()-40, TODAY()), ""SELECT Col2 WHERE Col2 IS NOT "&amp;"NULL ORDER BY Col1 DESC LIMIT 20"", 0))
    )
  ), 
"""")"),"")</f>
        <v/>
      </c>
      <c r="K244" s="21" t="str">
        <f>IFERROR(__xludf.DUMMYFUNCTION("IFERROR(GOOGLEFINANCE(C244, ""changepct"") / 100, """")"),"")</f>
        <v/>
      </c>
      <c r="L244" s="21" t="str">
        <f>IFERROR(__xludf.DUMMYFUNCTION("IFERROR((GOOGLEFINANCE(C244, ""price"") / INDEX(GOOGLEFINANCE(C244, ""price"", TODAY()-7, TODAY()), 2, 2)) - 1, """")"),"")</f>
        <v/>
      </c>
      <c r="M244" s="21" t="str">
        <f>IFERROR(__xludf.DUMMYFUNCTION("IFERROR((GOOGLEFINANCE(C244, ""price"") / INDEX(GOOGLEFINANCE(C244, ""price"", EDATE(TODAY(), -1), TODAY()), 2, 2)) - 1, """")"),"")</f>
        <v/>
      </c>
      <c r="N244" s="21" t="str">
        <f>IFERROR(__xludf.DUMMYFUNCTION("IFERROR((GOOGLEFINANCE(C244, ""price"") / INDEX(GOOGLEFINANCE(C244, ""price"", EDATE(TODAY(), -3), TODAY()), 2, 2)) - 1, """")"),"")</f>
        <v/>
      </c>
      <c r="O244" s="21" t="str">
        <f>IFERROR(__xludf.DUMMYFUNCTION("IFERROR((GOOGLEFINANCE(C244, ""price"") / INDEX(GOOGLEFINANCE(C244, ""price"", EDATE(TODAY(), -6), TODAY()), 2, 2)) - 1, """")"),"")</f>
        <v/>
      </c>
      <c r="P244" s="21" t="str">
        <f>IFERROR(__xludf.DUMMYFUNCTION("IFERROR((GOOGLEFINANCE(C244, ""price"") / INDEX(GOOGLEFINANCE(C244, ""price"", EDATE(TODAY(), -12), TODAY()), 2, 2)) - 1, """")"),"")</f>
        <v/>
      </c>
      <c r="Q244" s="6" t="str">
        <f>IFERROR(__xludf.DUMMYFUNCTION("AVERAGE(QUERY(GOOGLEFINANCE(C244, ""price"", TODAY()-80, TODAY()), ""SELECT Col2 WHERE Col2 IS NOT NULL ORDER BY Col1 DESC LIMIT 50"", 0))"),"#N/A")</f>
        <v>#N/A</v>
      </c>
      <c r="R244" s="24" t="str">
        <f>IFERROR(__xludf.DUMMYFUNCTION("IFERROR(
  LET(
    data, QUERY(GOOGLEFINANCE(C244,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GOOGLEFINANCE(C244, ""price"")) * 100,
    IF(calc=0, G244, calc)
  ), 
G244)"),"#N/A")</f>
        <v>#N/A</v>
      </c>
      <c r="S244" s="8" t="s">
        <v>15</v>
      </c>
      <c r="T244" s="26" t="str">
        <f>IFERROR(__xludf.DUMMYFUNCTION("IFERROR(TRANSPOSE(QUERY(IFERROR(SORT(GOOGLEFINANCE(C244, ""price"", WORKDAY(TODAY(), -40), TODAY()), 1, FALSE)), ""select Col2 where Col2 is not null limit 22 label Col2 ''"", 0)), """")"),"")</f>
        <v/>
      </c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8"/>
      <c r="AO244" s="28"/>
      <c r="AP244" s="29"/>
      <c r="AQ244" s="29" t="str">
        <f t="shared" ref="AQ244:BL244" si="249">T244/T$2</f>
        <v>#N/A</v>
      </c>
      <c r="AR244" s="29" t="str">
        <f t="shared" si="249"/>
        <v>#DIV/0!</v>
      </c>
      <c r="AS244" s="29" t="str">
        <f t="shared" si="249"/>
        <v>#DIV/0!</v>
      </c>
      <c r="AT244" s="29" t="str">
        <f t="shared" si="249"/>
        <v>#DIV/0!</v>
      </c>
      <c r="AU244" s="29" t="str">
        <f t="shared" si="249"/>
        <v>#DIV/0!</v>
      </c>
      <c r="AV244" s="29" t="str">
        <f t="shared" si="249"/>
        <v>#DIV/0!</v>
      </c>
      <c r="AW244" s="29" t="str">
        <f t="shared" si="249"/>
        <v>#DIV/0!</v>
      </c>
      <c r="AX244" s="29" t="str">
        <f t="shared" si="249"/>
        <v>#DIV/0!</v>
      </c>
      <c r="AY244" s="29" t="str">
        <f t="shared" si="249"/>
        <v>#DIV/0!</v>
      </c>
      <c r="AZ244" s="29" t="str">
        <f t="shared" si="249"/>
        <v>#DIV/0!</v>
      </c>
      <c r="BA244" s="29" t="str">
        <f t="shared" si="249"/>
        <v>#DIV/0!</v>
      </c>
      <c r="BB244" s="29" t="str">
        <f t="shared" si="249"/>
        <v>#DIV/0!</v>
      </c>
      <c r="BC244" s="29" t="str">
        <f t="shared" si="249"/>
        <v>#DIV/0!</v>
      </c>
      <c r="BD244" s="29" t="str">
        <f t="shared" si="249"/>
        <v>#DIV/0!</v>
      </c>
      <c r="BE244" s="29" t="str">
        <f t="shared" si="249"/>
        <v>#DIV/0!</v>
      </c>
      <c r="BF244" s="29" t="str">
        <f t="shared" si="249"/>
        <v>#DIV/0!</v>
      </c>
      <c r="BG244" s="29" t="str">
        <f t="shared" si="249"/>
        <v>#DIV/0!</v>
      </c>
      <c r="BH244" s="29" t="str">
        <f t="shared" si="249"/>
        <v>#DIV/0!</v>
      </c>
      <c r="BI244" s="29" t="str">
        <f t="shared" si="249"/>
        <v>#DIV/0!</v>
      </c>
      <c r="BJ244" s="29" t="str">
        <f t="shared" si="249"/>
        <v>#DIV/0!</v>
      </c>
      <c r="BK244" s="29" t="str">
        <f t="shared" si="249"/>
        <v>#DIV/0!</v>
      </c>
      <c r="BL244" s="29" t="str">
        <f t="shared" si="249"/>
        <v>#DIV/0!</v>
      </c>
      <c r="BM244" s="29" t="str">
        <f t="shared" si="3"/>
        <v>#DIV/0!</v>
      </c>
    </row>
    <row r="245">
      <c r="A245" s="16" t="str">
        <f>IFERROR(__xludf.DUMMYFUNCTION("IFERROR(SPARKLINE(SORT(MAP(TRANSPOSE(AQ245:BL245), LAMBDA(val, IF(ISNUMBER(val), PERCENTRANK(AQ245:BL245, val)+0.01, 0))), SEQUENCE(COLUMNS(AQ245:BL245)), FALSE), {""charttype"",""column""; ""color"",""chartreuse""; ""ymin"", 0; ""ymax"", 1.01; ""highcolo"&amp;"r"", ""darkgreen""; ""lowcolor"", ""red""}), """")"),"")</f>
        <v/>
      </c>
      <c r="B245" s="17" t="str">
        <f t="shared" si="4"/>
        <v/>
      </c>
      <c r="C245" s="1" t="s">
        <v>2394</v>
      </c>
      <c r="D245" s="30" t="str">
        <f>IFERROR(__xludf.DUMMYFUNCTION("IFERROR(GOOGLEFINANCE(C245, ""NAME""))"),"Castle Biosciences Inc")</f>
        <v>Castle Biosciences Inc</v>
      </c>
      <c r="E245" s="30" t="s">
        <v>1499</v>
      </c>
      <c r="F245" s="33" t="str">
        <f>IFERROR(__xludf.DUMMYFUNCTION("( (GOOGLEFINANCE(C245, ""price"") - Q245) / Q245 ) / (R245 / 100)"),"Loading...")</f>
        <v>Loading...</v>
      </c>
      <c r="G245" s="20" t="str">
        <f>IFERROR(__xludf.DUMMYFUNCTION("AVERAGE(ARRAYFORMULA(100 * (QUERY(GOOGLEFINANCE(C245, ""high"", TODAY()-40, TODAY()), ""SELECT Col2 WHERE Col2 IS NOT NULL ORDER BY Col1 DESC LIMIT 20"", 0) / QUERY(GOOGLEFINANCE(C245, ""low"", TODAY()-40, TODAY()), ""SELECT Col2 WHERE Col2 IS NOT NULL OR"&amp;"DER BY Col1 DESC LIMIT 20"", 0) - 1)))"),"#N/A")</f>
        <v>#N/A</v>
      </c>
      <c r="H245" s="35" t="str">
        <f t="shared" si="233"/>
        <v/>
      </c>
      <c r="I245" s="36" t="str">
        <f t="shared" si="7"/>
        <v/>
      </c>
      <c r="J245" s="37" t="str">
        <f>IFERROR(__xludf.DUMMYFUNCTION("IFERROR(
  IF(C245="""",, 
    IFERROR(
      GOOGLEFINANCE(C245, ""price"") * GOOGLEFINANCE(C245, ""volumeavg""), 
      GOOGLEFINANCE(C245, ""price"") * AVERAGE(QUERY(GOOGLEFINANCE(C245, ""volume"", TODAY()-40, TODAY()), ""SELECT Col2 WHERE Col2 IS NOT "&amp;"NULL ORDER BY Col1 DESC LIMIT 20"", 0))
    )
  ), 
"""")"),"")</f>
        <v/>
      </c>
      <c r="K245" s="21" t="str">
        <f>IFERROR(__xludf.DUMMYFUNCTION("IFERROR(GOOGLEFINANCE(C245, ""changepct"") / 100, """")"),"")</f>
        <v/>
      </c>
      <c r="L245" s="21" t="str">
        <f>IFERROR(__xludf.DUMMYFUNCTION("IFERROR((GOOGLEFINANCE(C245, ""price"") / INDEX(GOOGLEFINANCE(C245, ""price"", TODAY()-7, TODAY()), 2, 2)) - 1, """")"),"")</f>
        <v/>
      </c>
      <c r="M245" s="21" t="str">
        <f>IFERROR(__xludf.DUMMYFUNCTION("IFERROR((GOOGLEFINANCE(C245, ""price"") / INDEX(GOOGLEFINANCE(C245, ""price"", EDATE(TODAY(), -1), TODAY()), 2, 2)) - 1, """")"),"")</f>
        <v/>
      </c>
      <c r="N245" s="21" t="str">
        <f>IFERROR(__xludf.DUMMYFUNCTION("IFERROR((GOOGLEFINANCE(C245, ""price"") / INDEX(GOOGLEFINANCE(C245, ""price"", EDATE(TODAY(), -3), TODAY()), 2, 2)) - 1, """")"),"")</f>
        <v/>
      </c>
      <c r="O245" s="21" t="str">
        <f>IFERROR(__xludf.DUMMYFUNCTION("IFERROR((GOOGLEFINANCE(C245, ""price"") / INDEX(GOOGLEFINANCE(C245, ""price"", EDATE(TODAY(), -6), TODAY()), 2, 2)) - 1, """")"),"")</f>
        <v/>
      </c>
      <c r="P245" s="21" t="str">
        <f>IFERROR(__xludf.DUMMYFUNCTION("IFERROR((GOOGLEFINANCE(C245, ""price"") / INDEX(GOOGLEFINANCE(C245, ""price"", EDATE(TODAY(), -12), TODAY()), 2, 2)) - 1, """")"),"")</f>
        <v/>
      </c>
      <c r="Q245" s="6" t="str">
        <f>IFERROR(__xludf.DUMMYFUNCTION("AVERAGE(QUERY(GOOGLEFINANCE(C245, ""price"", TODAY()-80, TODAY()), ""SELECT Col2 WHERE Col2 IS NOT NULL ORDER BY Col1 DESC LIMIT 50"", 0))"),"#N/A")</f>
        <v>#N/A</v>
      </c>
      <c r="R245" s="24" t="str">
        <f>IFERROR(__xludf.DUMMYFUNCTION("IFERROR(
  LET(
    data, QUERY(GOOGLEFINANCE(C245,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GOOGLEFINANCE(C245, ""price"")) * 100,
    IF(calc=0, G245, calc)
  ), 
G245)"),"#N/A")</f>
        <v>#N/A</v>
      </c>
      <c r="S245" s="8" t="s">
        <v>15</v>
      </c>
      <c r="T245" s="26" t="str">
        <f>IFERROR(__xludf.DUMMYFUNCTION("IFERROR(TRANSPOSE(QUERY(IFERROR(SORT(GOOGLEFINANCE(C245, ""price"", WORKDAY(TODAY(), -40), TODAY()), 1, FALSE)), ""select Col2 where Col2 is not null limit 22 label Col2 ''"", 0)), """")"),"")</f>
        <v/>
      </c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8"/>
      <c r="AO245" s="28"/>
      <c r="AP245" s="29"/>
      <c r="AQ245" s="29" t="str">
        <f t="shared" ref="AQ245:BL245" si="250">T245/T$2</f>
        <v>#N/A</v>
      </c>
      <c r="AR245" s="29" t="str">
        <f t="shared" si="250"/>
        <v>#DIV/0!</v>
      </c>
      <c r="AS245" s="29" t="str">
        <f t="shared" si="250"/>
        <v>#DIV/0!</v>
      </c>
      <c r="AT245" s="29" t="str">
        <f t="shared" si="250"/>
        <v>#DIV/0!</v>
      </c>
      <c r="AU245" s="29" t="str">
        <f t="shared" si="250"/>
        <v>#DIV/0!</v>
      </c>
      <c r="AV245" s="29" t="str">
        <f t="shared" si="250"/>
        <v>#DIV/0!</v>
      </c>
      <c r="AW245" s="29" t="str">
        <f t="shared" si="250"/>
        <v>#DIV/0!</v>
      </c>
      <c r="AX245" s="29" t="str">
        <f t="shared" si="250"/>
        <v>#DIV/0!</v>
      </c>
      <c r="AY245" s="29" t="str">
        <f t="shared" si="250"/>
        <v>#DIV/0!</v>
      </c>
      <c r="AZ245" s="29" t="str">
        <f t="shared" si="250"/>
        <v>#DIV/0!</v>
      </c>
      <c r="BA245" s="29" t="str">
        <f t="shared" si="250"/>
        <v>#DIV/0!</v>
      </c>
      <c r="BB245" s="29" t="str">
        <f t="shared" si="250"/>
        <v>#DIV/0!</v>
      </c>
      <c r="BC245" s="29" t="str">
        <f t="shared" si="250"/>
        <v>#DIV/0!</v>
      </c>
      <c r="BD245" s="29" t="str">
        <f t="shared" si="250"/>
        <v>#DIV/0!</v>
      </c>
      <c r="BE245" s="29" t="str">
        <f t="shared" si="250"/>
        <v>#DIV/0!</v>
      </c>
      <c r="BF245" s="29" t="str">
        <f t="shared" si="250"/>
        <v>#DIV/0!</v>
      </c>
      <c r="BG245" s="29" t="str">
        <f t="shared" si="250"/>
        <v>#DIV/0!</v>
      </c>
      <c r="BH245" s="29" t="str">
        <f t="shared" si="250"/>
        <v>#DIV/0!</v>
      </c>
      <c r="BI245" s="29" t="str">
        <f t="shared" si="250"/>
        <v>#DIV/0!</v>
      </c>
      <c r="BJ245" s="29" t="str">
        <f t="shared" si="250"/>
        <v>#DIV/0!</v>
      </c>
      <c r="BK245" s="29" t="str">
        <f t="shared" si="250"/>
        <v>#DIV/0!</v>
      </c>
      <c r="BL245" s="29" t="str">
        <f t="shared" si="250"/>
        <v>#DIV/0!</v>
      </c>
      <c r="BM245" s="29" t="str">
        <f t="shared" si="3"/>
        <v>#DIV/0!</v>
      </c>
    </row>
    <row r="246">
      <c r="A246" s="16" t="str">
        <f>IFERROR(__xludf.DUMMYFUNCTION("IFERROR(SPARKLINE(SORT(MAP(TRANSPOSE(AQ246:BL246), LAMBDA(val, IF(ISNUMBER(val), PERCENTRANK(AQ246:BL246, val)+0.01, 0))), SEQUENCE(COLUMNS(AQ246:BL246)), FALSE), {""charttype"",""column""; ""color"",""chartreuse""; ""ymin"", 0; ""ymax"", 1.01; ""highcolo"&amp;"r"", ""darkgreen""; ""lowcolor"", ""red""}), """")"),"")</f>
        <v/>
      </c>
      <c r="B246" s="17" t="str">
        <f t="shared" si="4"/>
        <v/>
      </c>
      <c r="C246" s="1" t="s">
        <v>2398</v>
      </c>
      <c r="D246" s="30" t="str">
        <f>IFERROR(__xludf.DUMMYFUNCTION("IFERROR(GOOGLEFINANCE(C246, ""NAME""))"),"Grifols SA - ADR ADR Class B")</f>
        <v>Grifols SA - ADR ADR Class B</v>
      </c>
      <c r="E246" s="30" t="s">
        <v>1509</v>
      </c>
      <c r="F246" s="33" t="str">
        <f>IFERROR(__xludf.DUMMYFUNCTION("( (GOOGLEFINANCE(C246, ""price"") - Q246) / Q246 ) / (R246 / 100)"),"Loading...")</f>
        <v>Loading...</v>
      </c>
      <c r="G246" s="20" t="str">
        <f>IFERROR(__xludf.DUMMYFUNCTION("AVERAGE(ARRAYFORMULA(100 * (QUERY(GOOGLEFINANCE(C246, ""high"", TODAY()-40, TODAY()), ""SELECT Col2 WHERE Col2 IS NOT NULL ORDER BY Col1 DESC LIMIT 20"", 0) / QUERY(GOOGLEFINANCE(C246, ""low"", TODAY()-40, TODAY()), ""SELECT Col2 WHERE Col2 IS NOT NULL OR"&amp;"DER BY Col1 DESC LIMIT 20"", 0) - 1)))"),"#N/A")</f>
        <v>#N/A</v>
      </c>
      <c r="H246" s="35" t="str">
        <f t="shared" si="233"/>
        <v/>
      </c>
      <c r="I246" s="36" t="str">
        <f t="shared" si="7"/>
        <v/>
      </c>
      <c r="J246" s="37" t="str">
        <f>IFERROR(__xludf.DUMMYFUNCTION("IFERROR(
  IF(C246="""",, 
    IFERROR(
      GOOGLEFINANCE(C246, ""price"") * GOOGLEFINANCE(C246, ""volumeavg""), 
      GOOGLEFINANCE(C246, ""price"") * AVERAGE(QUERY(GOOGLEFINANCE(C246, ""volume"", TODAY()-40, TODAY()), ""SELECT Col2 WHERE Col2 IS NOT "&amp;"NULL ORDER BY Col1 DESC LIMIT 20"", 0))
    )
  ), 
"""")"),"")</f>
        <v/>
      </c>
      <c r="K246" s="21" t="str">
        <f>IFERROR(__xludf.DUMMYFUNCTION("IFERROR(GOOGLEFINANCE(C246, ""changepct"") / 100, """")"),"")</f>
        <v/>
      </c>
      <c r="L246" s="21" t="str">
        <f>IFERROR(__xludf.DUMMYFUNCTION("IFERROR((GOOGLEFINANCE(C246, ""price"") / INDEX(GOOGLEFINANCE(C246, ""price"", TODAY()-7, TODAY()), 2, 2)) - 1, """")"),"")</f>
        <v/>
      </c>
      <c r="M246" s="21" t="str">
        <f>IFERROR(__xludf.DUMMYFUNCTION("IFERROR((GOOGLEFINANCE(C246, ""price"") / INDEX(GOOGLEFINANCE(C246, ""price"", EDATE(TODAY(), -1), TODAY()), 2, 2)) - 1, """")"),"")</f>
        <v/>
      </c>
      <c r="N246" s="21" t="str">
        <f>IFERROR(__xludf.DUMMYFUNCTION("IFERROR((GOOGLEFINANCE(C246, ""price"") / INDEX(GOOGLEFINANCE(C246, ""price"", EDATE(TODAY(), -3), TODAY()), 2, 2)) - 1, """")"),"")</f>
        <v/>
      </c>
      <c r="O246" s="21" t="str">
        <f>IFERROR(__xludf.DUMMYFUNCTION("IFERROR((GOOGLEFINANCE(C246, ""price"") / INDEX(GOOGLEFINANCE(C246, ""price"", EDATE(TODAY(), -6), TODAY()), 2, 2)) - 1, """")"),"")</f>
        <v/>
      </c>
      <c r="P246" s="21" t="str">
        <f>IFERROR(__xludf.DUMMYFUNCTION("IFERROR((GOOGLEFINANCE(C246, ""price"") / INDEX(GOOGLEFINANCE(C246, ""price"", EDATE(TODAY(), -12), TODAY()), 2, 2)) - 1, """")"),"")</f>
        <v/>
      </c>
      <c r="Q246" s="6" t="str">
        <f>IFERROR(__xludf.DUMMYFUNCTION("AVERAGE(QUERY(GOOGLEFINANCE(C246, ""price"", TODAY()-80, TODAY()), ""SELECT Col2 WHERE Col2 IS NOT NULL ORDER BY Col1 DESC LIMIT 50"", 0))"),"#N/A")</f>
        <v>#N/A</v>
      </c>
      <c r="R246" s="24" t="str">
        <f>IFERROR(__xludf.DUMMYFUNCTION("IFERROR(
  LET(
    data, QUERY(GOOGLEFINANCE(C246,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GOOGLEFINANCE(C246, ""price"")) * 100,
    IF(calc=0, G246, calc)
  ), 
G246)"),"#N/A")</f>
        <v>#N/A</v>
      </c>
      <c r="S246" s="8" t="s">
        <v>15</v>
      </c>
      <c r="T246" s="26" t="str">
        <f>IFERROR(__xludf.DUMMYFUNCTION("IFERROR(TRANSPOSE(QUERY(IFERROR(SORT(GOOGLEFINANCE(C246, ""price"", WORKDAY(TODAY(), -40), TODAY()), 1, FALSE)), ""select Col2 where Col2 is not null limit 22 label Col2 ''"", 0)), """")"),"")</f>
        <v/>
      </c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8"/>
      <c r="AO246" s="28"/>
      <c r="AP246" s="29"/>
      <c r="AQ246" s="29" t="str">
        <f t="shared" ref="AQ246:BL246" si="251">T246/T$2</f>
        <v>#N/A</v>
      </c>
      <c r="AR246" s="29" t="str">
        <f t="shared" si="251"/>
        <v>#DIV/0!</v>
      </c>
      <c r="AS246" s="29" t="str">
        <f t="shared" si="251"/>
        <v>#DIV/0!</v>
      </c>
      <c r="AT246" s="29" t="str">
        <f t="shared" si="251"/>
        <v>#DIV/0!</v>
      </c>
      <c r="AU246" s="29" t="str">
        <f t="shared" si="251"/>
        <v>#DIV/0!</v>
      </c>
      <c r="AV246" s="29" t="str">
        <f t="shared" si="251"/>
        <v>#DIV/0!</v>
      </c>
      <c r="AW246" s="29" t="str">
        <f t="shared" si="251"/>
        <v>#DIV/0!</v>
      </c>
      <c r="AX246" s="29" t="str">
        <f t="shared" si="251"/>
        <v>#DIV/0!</v>
      </c>
      <c r="AY246" s="29" t="str">
        <f t="shared" si="251"/>
        <v>#DIV/0!</v>
      </c>
      <c r="AZ246" s="29" t="str">
        <f t="shared" si="251"/>
        <v>#DIV/0!</v>
      </c>
      <c r="BA246" s="29" t="str">
        <f t="shared" si="251"/>
        <v>#DIV/0!</v>
      </c>
      <c r="BB246" s="29" t="str">
        <f t="shared" si="251"/>
        <v>#DIV/0!</v>
      </c>
      <c r="BC246" s="29" t="str">
        <f t="shared" si="251"/>
        <v>#DIV/0!</v>
      </c>
      <c r="BD246" s="29" t="str">
        <f t="shared" si="251"/>
        <v>#DIV/0!</v>
      </c>
      <c r="BE246" s="29" t="str">
        <f t="shared" si="251"/>
        <v>#DIV/0!</v>
      </c>
      <c r="BF246" s="29" t="str">
        <f t="shared" si="251"/>
        <v>#DIV/0!</v>
      </c>
      <c r="BG246" s="29" t="str">
        <f t="shared" si="251"/>
        <v>#DIV/0!</v>
      </c>
      <c r="BH246" s="29" t="str">
        <f t="shared" si="251"/>
        <v>#DIV/0!</v>
      </c>
      <c r="BI246" s="29" t="str">
        <f t="shared" si="251"/>
        <v>#DIV/0!</v>
      </c>
      <c r="BJ246" s="29" t="str">
        <f t="shared" si="251"/>
        <v>#DIV/0!</v>
      </c>
      <c r="BK246" s="29" t="str">
        <f t="shared" si="251"/>
        <v>#DIV/0!</v>
      </c>
      <c r="BL246" s="29" t="str">
        <f t="shared" si="251"/>
        <v>#DIV/0!</v>
      </c>
      <c r="BM246" s="29" t="str">
        <f t="shared" si="3"/>
        <v>#DIV/0!</v>
      </c>
    </row>
    <row r="247">
      <c r="A247" s="16" t="str">
        <f>IFERROR(__xludf.DUMMYFUNCTION("IFERROR(SPARKLINE(SORT(MAP(TRANSPOSE(AQ247:BL247), LAMBDA(val, IF(ISNUMBER(val), PERCENTRANK(AQ247:BL247, val)+0.01, 0))), SEQUENCE(COLUMNS(AQ247:BL247)), FALSE), {""charttype"",""column""; ""color"",""chartreuse""; ""ymin"", 0; ""ymax"", 1.01; ""highcolo"&amp;"r"", ""darkgreen""; ""lowcolor"", ""red""}), """")"),"")</f>
        <v/>
      </c>
      <c r="B247" s="17" t="str">
        <f t="shared" si="4"/>
        <v/>
      </c>
      <c r="C247" s="1" t="s">
        <v>2401</v>
      </c>
      <c r="D247" s="30" t="str">
        <f>IFERROR(__xludf.DUMMYFUNCTION("IFERROR(GOOGLEFINANCE(C247, ""NAME""))"),"SIGA Technologies Inc")</f>
        <v>SIGA Technologies Inc</v>
      </c>
      <c r="E247" s="30" t="s">
        <v>1475</v>
      </c>
      <c r="F247" s="38" t="str">
        <f>IFERROR(__xludf.DUMMYFUNCTION("( (GOOGLEFINANCE(C247, ""price"") - Q247) / Q247 ) / (R247 / 100)"),"Loading...")</f>
        <v>Loading...</v>
      </c>
      <c r="G247" s="20" t="str">
        <f>IFERROR(__xludf.DUMMYFUNCTION("AVERAGE(ARRAYFORMULA(100 * (QUERY(GOOGLEFINANCE(C247, ""high"", TODAY()-40, TODAY()), ""SELECT Col2 WHERE Col2 IS NOT NULL ORDER BY Col1 DESC LIMIT 20"", 0) / QUERY(GOOGLEFINANCE(C247, ""low"", TODAY()-40, TODAY()), ""SELECT Col2 WHERE Col2 IS NOT NULL OR"&amp;"DER BY Col1 DESC LIMIT 20"", 0) - 1)))"),"#N/A")</f>
        <v>#N/A</v>
      </c>
      <c r="H247" s="35" t="str">
        <f t="shared" si="233"/>
        <v/>
      </c>
      <c r="I247" s="36" t="str">
        <f t="shared" si="7"/>
        <v/>
      </c>
      <c r="J247" s="37" t="str">
        <f>IFERROR(__xludf.DUMMYFUNCTION("IFERROR(
  IF(C247="""",, 
    IFERROR(
      GOOGLEFINANCE(C247, ""price"") * GOOGLEFINANCE(C247, ""volumeavg""), 
      GOOGLEFINANCE(C247, ""price"") * AVERAGE(QUERY(GOOGLEFINANCE(C247, ""volume"", TODAY()-40, TODAY()), ""SELECT Col2 WHERE Col2 IS NOT "&amp;"NULL ORDER BY Col1 DESC LIMIT 20"", 0))
    )
  ), 
"""")"),"")</f>
        <v/>
      </c>
      <c r="K247" s="21" t="str">
        <f>IFERROR(__xludf.DUMMYFUNCTION("IFERROR(GOOGLEFINANCE(C247, ""changepct"") / 100, """")"),"")</f>
        <v/>
      </c>
      <c r="L247" s="21" t="str">
        <f>IFERROR(__xludf.DUMMYFUNCTION("IFERROR((GOOGLEFINANCE(C247, ""price"") / INDEX(GOOGLEFINANCE(C247, ""price"", TODAY()-7, TODAY()), 2, 2)) - 1, """")"),"")</f>
        <v/>
      </c>
      <c r="M247" s="21" t="str">
        <f>IFERROR(__xludf.DUMMYFUNCTION("IFERROR((GOOGLEFINANCE(C247, ""price"") / INDEX(GOOGLEFINANCE(C247, ""price"", EDATE(TODAY(), -1), TODAY()), 2, 2)) - 1, """")"),"")</f>
        <v/>
      </c>
      <c r="N247" s="21" t="str">
        <f>IFERROR(__xludf.DUMMYFUNCTION("IFERROR((GOOGLEFINANCE(C247, ""price"") / INDEX(GOOGLEFINANCE(C247, ""price"", EDATE(TODAY(), -3), TODAY()), 2, 2)) - 1, """")"),"")</f>
        <v/>
      </c>
      <c r="O247" s="21" t="str">
        <f>IFERROR(__xludf.DUMMYFUNCTION("IFERROR((GOOGLEFINANCE(C247, ""price"") / INDEX(GOOGLEFINANCE(C247, ""price"", EDATE(TODAY(), -6), TODAY()), 2, 2)) - 1, """")"),"")</f>
        <v/>
      </c>
      <c r="P247" s="21" t="str">
        <f>IFERROR(__xludf.DUMMYFUNCTION("IFERROR((GOOGLEFINANCE(C247, ""price"") / INDEX(GOOGLEFINANCE(C247, ""price"", EDATE(TODAY(), -12), TODAY()), 2, 2)) - 1, """")"),"")</f>
        <v/>
      </c>
      <c r="Q247" s="6" t="str">
        <f>IFERROR(__xludf.DUMMYFUNCTION("AVERAGE(QUERY(GOOGLEFINANCE(C247, ""price"", TODAY()-80, TODAY()), ""SELECT Col2 WHERE Col2 IS NOT NULL ORDER BY Col1 DESC LIMIT 50"", 0))"),"#N/A")</f>
        <v>#N/A</v>
      </c>
      <c r="R247" s="24" t="str">
        <f>IFERROR(__xludf.DUMMYFUNCTION("IFERROR(
  LET(
    data, QUERY(GOOGLEFINANCE(C247,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GOOGLEFINANCE(C247, ""price"")) * 100,
    IF(calc=0, G247, calc)
  ), 
G247)"),"#N/A")</f>
        <v>#N/A</v>
      </c>
      <c r="S247" s="8" t="s">
        <v>15</v>
      </c>
      <c r="T247" s="26" t="str">
        <f>IFERROR(__xludf.DUMMYFUNCTION("IFERROR(TRANSPOSE(QUERY(IFERROR(SORT(GOOGLEFINANCE(C247, ""price"", WORKDAY(TODAY(), -40), TODAY()), 1, FALSE)), ""select Col2 where Col2 is not null limit 22 label Col2 ''"", 0)), """")"),"")</f>
        <v/>
      </c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8"/>
      <c r="AO247" s="28"/>
      <c r="AP247" s="29"/>
      <c r="AQ247" s="29" t="str">
        <f t="shared" ref="AQ247:BL247" si="252">T247/T$2</f>
        <v>#N/A</v>
      </c>
      <c r="AR247" s="29" t="str">
        <f t="shared" si="252"/>
        <v>#DIV/0!</v>
      </c>
      <c r="AS247" s="29" t="str">
        <f t="shared" si="252"/>
        <v>#DIV/0!</v>
      </c>
      <c r="AT247" s="29" t="str">
        <f t="shared" si="252"/>
        <v>#DIV/0!</v>
      </c>
      <c r="AU247" s="29" t="str">
        <f t="shared" si="252"/>
        <v>#DIV/0!</v>
      </c>
      <c r="AV247" s="29" t="str">
        <f t="shared" si="252"/>
        <v>#DIV/0!</v>
      </c>
      <c r="AW247" s="29" t="str">
        <f t="shared" si="252"/>
        <v>#DIV/0!</v>
      </c>
      <c r="AX247" s="29" t="str">
        <f t="shared" si="252"/>
        <v>#DIV/0!</v>
      </c>
      <c r="AY247" s="29" t="str">
        <f t="shared" si="252"/>
        <v>#DIV/0!</v>
      </c>
      <c r="AZ247" s="29" t="str">
        <f t="shared" si="252"/>
        <v>#DIV/0!</v>
      </c>
      <c r="BA247" s="29" t="str">
        <f t="shared" si="252"/>
        <v>#DIV/0!</v>
      </c>
      <c r="BB247" s="29" t="str">
        <f t="shared" si="252"/>
        <v>#DIV/0!</v>
      </c>
      <c r="BC247" s="29" t="str">
        <f t="shared" si="252"/>
        <v>#DIV/0!</v>
      </c>
      <c r="BD247" s="29" t="str">
        <f t="shared" si="252"/>
        <v>#DIV/0!</v>
      </c>
      <c r="BE247" s="29" t="str">
        <f t="shared" si="252"/>
        <v>#DIV/0!</v>
      </c>
      <c r="BF247" s="29" t="str">
        <f t="shared" si="252"/>
        <v>#DIV/0!</v>
      </c>
      <c r="BG247" s="29" t="str">
        <f t="shared" si="252"/>
        <v>#DIV/0!</v>
      </c>
      <c r="BH247" s="29" t="str">
        <f t="shared" si="252"/>
        <v>#DIV/0!</v>
      </c>
      <c r="BI247" s="29" t="str">
        <f t="shared" si="252"/>
        <v>#DIV/0!</v>
      </c>
      <c r="BJ247" s="29" t="str">
        <f t="shared" si="252"/>
        <v>#DIV/0!</v>
      </c>
      <c r="BK247" s="29" t="str">
        <f t="shared" si="252"/>
        <v>#DIV/0!</v>
      </c>
      <c r="BL247" s="29" t="str">
        <f t="shared" si="252"/>
        <v>#DIV/0!</v>
      </c>
      <c r="BM247" s="29" t="str">
        <f t="shared" si="3"/>
        <v>#DIV/0!</v>
      </c>
    </row>
    <row r="248">
      <c r="A248" s="16" t="str">
        <f>IFERROR(__xludf.DUMMYFUNCTION("IFERROR(SPARKLINE(SORT(MAP(TRANSPOSE(AQ248:BL248), LAMBDA(val, IF(ISNUMBER(val), PERCENTRANK(AQ248:BL248, val)+0.01, 0))), SEQUENCE(COLUMNS(AQ248:BL248)), FALSE), {""charttype"",""column""; ""color"",""chartreuse""; ""ymin"", 0; ""ymax"", 1.01; ""highcolo"&amp;"r"", ""darkgreen""; ""lowcolor"", ""red""}), """")"),"")</f>
        <v/>
      </c>
      <c r="B248" s="17" t="str">
        <f t="shared" si="4"/>
        <v/>
      </c>
      <c r="C248" s="1" t="s">
        <v>2405</v>
      </c>
      <c r="D248" s="30" t="str">
        <f>IFERROR(__xludf.DUMMYFUNCTION("IFERROR(GOOGLEFINANCE(C248, ""NAME""))"),"Elanco Animal Health Inc")</f>
        <v>Elanco Animal Health Inc</v>
      </c>
      <c r="E248" s="30" t="s">
        <v>1475</v>
      </c>
      <c r="F248" s="33" t="str">
        <f>IFERROR(__xludf.DUMMYFUNCTION("( (GOOGLEFINANCE(C248, ""price"") - Q248) / Q248 ) / (R248 / 100)"),"Loading...")</f>
        <v>Loading...</v>
      </c>
      <c r="G248" s="20" t="str">
        <f>IFERROR(__xludf.DUMMYFUNCTION("AVERAGE(ARRAYFORMULA(100 * (QUERY(GOOGLEFINANCE(C248, ""high"", TODAY()-40, TODAY()), ""SELECT Col2 WHERE Col2 IS NOT NULL ORDER BY Col1 DESC LIMIT 20"", 0) / QUERY(GOOGLEFINANCE(C248, ""low"", TODAY()-40, TODAY()), ""SELECT Col2 WHERE Col2 IS NOT NULL OR"&amp;"DER BY Col1 DESC LIMIT 20"", 0) - 1)))"),"#N/A")</f>
        <v>#N/A</v>
      </c>
      <c r="H248" s="35" t="str">
        <f t="shared" si="233"/>
        <v/>
      </c>
      <c r="I248" s="36" t="str">
        <f t="shared" si="7"/>
        <v/>
      </c>
      <c r="J248" s="37" t="str">
        <f>IFERROR(__xludf.DUMMYFUNCTION("IFERROR(
  IF(C248="""",, 
    IFERROR(
      GOOGLEFINANCE(C248, ""price"") * GOOGLEFINANCE(C248, ""volumeavg""), 
      GOOGLEFINANCE(C248, ""price"") * AVERAGE(QUERY(GOOGLEFINANCE(C248, ""volume"", TODAY()-40, TODAY()), ""SELECT Col2 WHERE Col2 IS NOT "&amp;"NULL ORDER BY Col1 DESC LIMIT 20"", 0))
    )
  ), 
"""")"),"")</f>
        <v/>
      </c>
      <c r="K248" s="21" t="str">
        <f>IFERROR(__xludf.DUMMYFUNCTION("IFERROR(GOOGLEFINANCE(C248, ""changepct"") / 100, """")"),"")</f>
        <v/>
      </c>
      <c r="L248" s="21" t="str">
        <f>IFERROR(__xludf.DUMMYFUNCTION("IFERROR((GOOGLEFINANCE(C248, ""price"") / INDEX(GOOGLEFINANCE(C248, ""price"", TODAY()-7, TODAY()), 2, 2)) - 1, """")"),"")</f>
        <v/>
      </c>
      <c r="M248" s="21" t="str">
        <f>IFERROR(__xludf.DUMMYFUNCTION("IFERROR((GOOGLEFINANCE(C248, ""price"") / INDEX(GOOGLEFINANCE(C248, ""price"", EDATE(TODAY(), -1), TODAY()), 2, 2)) - 1, """")"),"")</f>
        <v/>
      </c>
      <c r="N248" s="21" t="str">
        <f>IFERROR(__xludf.DUMMYFUNCTION("IFERROR((GOOGLEFINANCE(C248, ""price"") / INDEX(GOOGLEFINANCE(C248, ""price"", EDATE(TODAY(), -3), TODAY()), 2, 2)) - 1, """")"),"")</f>
        <v/>
      </c>
      <c r="O248" s="21" t="str">
        <f>IFERROR(__xludf.DUMMYFUNCTION("IFERROR((GOOGLEFINANCE(C248, ""price"") / INDEX(GOOGLEFINANCE(C248, ""price"", EDATE(TODAY(), -6), TODAY()), 2, 2)) - 1, """")"),"")</f>
        <v/>
      </c>
      <c r="P248" s="21" t="str">
        <f>IFERROR(__xludf.DUMMYFUNCTION("IFERROR((GOOGLEFINANCE(C248, ""price"") / INDEX(GOOGLEFINANCE(C248, ""price"", EDATE(TODAY(), -12), TODAY()), 2, 2)) - 1, """")"),"")</f>
        <v/>
      </c>
      <c r="Q248" s="6" t="str">
        <f>IFERROR(__xludf.DUMMYFUNCTION("AVERAGE(QUERY(GOOGLEFINANCE(C248, ""price"", TODAY()-80, TODAY()), ""SELECT Col2 WHERE Col2 IS NOT NULL ORDER BY Col1 DESC LIMIT 50"", 0))"),"#N/A")</f>
        <v>#N/A</v>
      </c>
      <c r="R248" s="24" t="str">
        <f>IFERROR(__xludf.DUMMYFUNCTION("IFERROR(
  LET(
    data, QUERY(GOOGLEFINANCE(C248,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GOOGLEFINANCE(C248, ""price"")) * 100,
    IF(calc=0, G248, calc)
  ), 
G248)"),"#N/A")</f>
        <v>#N/A</v>
      </c>
      <c r="S248" s="8" t="s">
        <v>15</v>
      </c>
      <c r="T248" s="26" t="str">
        <f>IFERROR(__xludf.DUMMYFUNCTION("IFERROR(TRANSPOSE(QUERY(IFERROR(SORT(GOOGLEFINANCE(C248, ""price"", WORKDAY(TODAY(), -40), TODAY()), 1, FALSE)), ""select Col2 where Col2 is not null limit 22 label Col2 ''"", 0)), """")"),"")</f>
        <v/>
      </c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8"/>
      <c r="AO248" s="28"/>
      <c r="AP248" s="29"/>
      <c r="AQ248" s="29" t="str">
        <f t="shared" ref="AQ248:BL248" si="253">T248/T$2</f>
        <v>#N/A</v>
      </c>
      <c r="AR248" s="29" t="str">
        <f t="shared" si="253"/>
        <v>#DIV/0!</v>
      </c>
      <c r="AS248" s="29" t="str">
        <f t="shared" si="253"/>
        <v>#DIV/0!</v>
      </c>
      <c r="AT248" s="29" t="str">
        <f t="shared" si="253"/>
        <v>#DIV/0!</v>
      </c>
      <c r="AU248" s="29" t="str">
        <f t="shared" si="253"/>
        <v>#DIV/0!</v>
      </c>
      <c r="AV248" s="29" t="str">
        <f t="shared" si="253"/>
        <v>#DIV/0!</v>
      </c>
      <c r="AW248" s="29" t="str">
        <f t="shared" si="253"/>
        <v>#DIV/0!</v>
      </c>
      <c r="AX248" s="29" t="str">
        <f t="shared" si="253"/>
        <v>#DIV/0!</v>
      </c>
      <c r="AY248" s="29" t="str">
        <f t="shared" si="253"/>
        <v>#DIV/0!</v>
      </c>
      <c r="AZ248" s="29" t="str">
        <f t="shared" si="253"/>
        <v>#DIV/0!</v>
      </c>
      <c r="BA248" s="29" t="str">
        <f t="shared" si="253"/>
        <v>#DIV/0!</v>
      </c>
      <c r="BB248" s="29" t="str">
        <f t="shared" si="253"/>
        <v>#DIV/0!</v>
      </c>
      <c r="BC248" s="29" t="str">
        <f t="shared" si="253"/>
        <v>#DIV/0!</v>
      </c>
      <c r="BD248" s="29" t="str">
        <f t="shared" si="253"/>
        <v>#DIV/0!</v>
      </c>
      <c r="BE248" s="29" t="str">
        <f t="shared" si="253"/>
        <v>#DIV/0!</v>
      </c>
      <c r="BF248" s="29" t="str">
        <f t="shared" si="253"/>
        <v>#DIV/0!</v>
      </c>
      <c r="BG248" s="29" t="str">
        <f t="shared" si="253"/>
        <v>#DIV/0!</v>
      </c>
      <c r="BH248" s="29" t="str">
        <f t="shared" si="253"/>
        <v>#DIV/0!</v>
      </c>
      <c r="BI248" s="29" t="str">
        <f t="shared" si="253"/>
        <v>#DIV/0!</v>
      </c>
      <c r="BJ248" s="29" t="str">
        <f t="shared" si="253"/>
        <v>#DIV/0!</v>
      </c>
      <c r="BK248" s="29" t="str">
        <f t="shared" si="253"/>
        <v>#DIV/0!</v>
      </c>
      <c r="BL248" s="29" t="str">
        <f t="shared" si="253"/>
        <v>#DIV/0!</v>
      </c>
      <c r="BM248" s="29" t="str">
        <f t="shared" si="3"/>
        <v>#DIV/0!</v>
      </c>
    </row>
    <row r="249">
      <c r="A249" s="16" t="str">
        <f>IFERROR(__xludf.DUMMYFUNCTION("IFERROR(SPARKLINE(SORT(MAP(TRANSPOSE(AQ249:BL249), LAMBDA(val, IF(ISNUMBER(val), PERCENTRANK(AQ249:BL249, val)+0.01, 0))), SEQUENCE(COLUMNS(AQ249:BL249)), FALSE), {""charttype"",""column""; ""color"",""chartreuse""; ""ymin"", 0; ""ymax"", 1.01; ""highcolo"&amp;"r"", ""darkgreen""; ""lowcolor"", ""red""}), """")"),"")</f>
        <v/>
      </c>
      <c r="B249" s="17" t="str">
        <f t="shared" si="4"/>
        <v/>
      </c>
      <c r="C249" s="1" t="s">
        <v>2409</v>
      </c>
      <c r="D249" s="30" t="str">
        <f>IFERROR(__xludf.DUMMYFUNCTION("IFERROR(GOOGLEFINANCE(C249, ""NAME""))"),"Certara Inc")</f>
        <v>Certara Inc</v>
      </c>
      <c r="E249" s="30" t="s">
        <v>1532</v>
      </c>
      <c r="F249" s="33" t="str">
        <f>IFERROR(__xludf.DUMMYFUNCTION("( (GOOGLEFINANCE(C249, ""price"") - Q249) / Q249 ) / (R249 / 100)"),"Loading...")</f>
        <v>Loading...</v>
      </c>
      <c r="G249" s="20" t="str">
        <f>IFERROR(__xludf.DUMMYFUNCTION("AVERAGE(ARRAYFORMULA(100 * (QUERY(GOOGLEFINANCE(C249, ""high"", TODAY()-40, TODAY()), ""SELECT Col2 WHERE Col2 IS NOT NULL ORDER BY Col1 DESC LIMIT 20"", 0) / QUERY(GOOGLEFINANCE(C249, ""low"", TODAY()-40, TODAY()), ""SELECT Col2 WHERE Col2 IS NOT NULL OR"&amp;"DER BY Col1 DESC LIMIT 20"", 0) - 1)))"),"#N/A")</f>
        <v>#N/A</v>
      </c>
      <c r="H249" s="35" t="str">
        <f t="shared" si="233"/>
        <v/>
      </c>
      <c r="I249" s="36" t="str">
        <f t="shared" si="7"/>
        <v/>
      </c>
      <c r="J249" s="37" t="str">
        <f>IFERROR(__xludf.DUMMYFUNCTION("IFERROR(
  IF(C249="""",, 
    IFERROR(
      GOOGLEFINANCE(C249, ""price"") * GOOGLEFINANCE(C249, ""volumeavg""), 
      GOOGLEFINANCE(C249, ""price"") * AVERAGE(QUERY(GOOGLEFINANCE(C249, ""volume"", TODAY()-40, TODAY()), ""SELECT Col2 WHERE Col2 IS NOT "&amp;"NULL ORDER BY Col1 DESC LIMIT 20"", 0))
    )
  ), 
"""")"),"")</f>
        <v/>
      </c>
      <c r="K249" s="21" t="str">
        <f>IFERROR(__xludf.DUMMYFUNCTION("IFERROR(GOOGLEFINANCE(C249, ""changepct"") / 100, """")"),"")</f>
        <v/>
      </c>
      <c r="L249" s="21" t="str">
        <f>IFERROR(__xludf.DUMMYFUNCTION("IFERROR((GOOGLEFINANCE(C249, ""price"") / INDEX(GOOGLEFINANCE(C249, ""price"", TODAY()-7, TODAY()), 2, 2)) - 1, """")"),"")</f>
        <v/>
      </c>
      <c r="M249" s="21" t="str">
        <f>IFERROR(__xludf.DUMMYFUNCTION("IFERROR((GOOGLEFINANCE(C249, ""price"") / INDEX(GOOGLEFINANCE(C249, ""price"", EDATE(TODAY(), -1), TODAY()), 2, 2)) - 1, """")"),"")</f>
        <v/>
      </c>
      <c r="N249" s="21" t="str">
        <f>IFERROR(__xludf.DUMMYFUNCTION("IFERROR((GOOGLEFINANCE(C249, ""price"") / INDEX(GOOGLEFINANCE(C249, ""price"", EDATE(TODAY(), -3), TODAY()), 2, 2)) - 1, """")"),"")</f>
        <v/>
      </c>
      <c r="O249" s="21" t="str">
        <f>IFERROR(__xludf.DUMMYFUNCTION("IFERROR((GOOGLEFINANCE(C249, ""price"") / INDEX(GOOGLEFINANCE(C249, ""price"", EDATE(TODAY(), -6), TODAY()), 2, 2)) - 1, """")"),"")</f>
        <v/>
      </c>
      <c r="P249" s="21" t="str">
        <f>IFERROR(__xludf.DUMMYFUNCTION("IFERROR((GOOGLEFINANCE(C249, ""price"") / INDEX(GOOGLEFINANCE(C249, ""price"", EDATE(TODAY(), -12), TODAY()), 2, 2)) - 1, """")"),"")</f>
        <v/>
      </c>
      <c r="Q249" s="6" t="str">
        <f>IFERROR(__xludf.DUMMYFUNCTION("AVERAGE(QUERY(GOOGLEFINANCE(C249, ""price"", TODAY()-80, TODAY()), ""SELECT Col2 WHERE Col2 IS NOT NULL ORDER BY Col1 DESC LIMIT 50"", 0))"),"#N/A")</f>
        <v>#N/A</v>
      </c>
      <c r="R249" s="24" t="str">
        <f>IFERROR(__xludf.DUMMYFUNCTION("IFERROR(
  LET(
    data, QUERY(GOOGLEFINANCE(C249,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GOOGLEFINANCE(C249, ""price"")) * 100,
    IF(calc=0, G249, calc)
  ), 
G249)"),"#N/A")</f>
        <v>#N/A</v>
      </c>
      <c r="S249" s="8" t="s">
        <v>15</v>
      </c>
      <c r="T249" s="26" t="str">
        <f>IFERROR(__xludf.DUMMYFUNCTION("IFERROR(TRANSPOSE(QUERY(IFERROR(SORT(GOOGLEFINANCE(C249, ""price"", WORKDAY(TODAY(), -40), TODAY()), 1, FALSE)), ""select Col2 where Col2 is not null limit 22 label Col2 ''"", 0)), """")"),"")</f>
        <v/>
      </c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8"/>
      <c r="AO249" s="28"/>
      <c r="AP249" s="29"/>
      <c r="AQ249" s="29" t="str">
        <f t="shared" ref="AQ249:BL249" si="254">T249/T$2</f>
        <v>#N/A</v>
      </c>
      <c r="AR249" s="29" t="str">
        <f t="shared" si="254"/>
        <v>#DIV/0!</v>
      </c>
      <c r="AS249" s="29" t="str">
        <f t="shared" si="254"/>
        <v>#DIV/0!</v>
      </c>
      <c r="AT249" s="29" t="str">
        <f t="shared" si="254"/>
        <v>#DIV/0!</v>
      </c>
      <c r="AU249" s="29" t="str">
        <f t="shared" si="254"/>
        <v>#DIV/0!</v>
      </c>
      <c r="AV249" s="29" t="str">
        <f t="shared" si="254"/>
        <v>#DIV/0!</v>
      </c>
      <c r="AW249" s="29" t="str">
        <f t="shared" si="254"/>
        <v>#DIV/0!</v>
      </c>
      <c r="AX249" s="29" t="str">
        <f t="shared" si="254"/>
        <v>#DIV/0!</v>
      </c>
      <c r="AY249" s="29" t="str">
        <f t="shared" si="254"/>
        <v>#DIV/0!</v>
      </c>
      <c r="AZ249" s="29" t="str">
        <f t="shared" si="254"/>
        <v>#DIV/0!</v>
      </c>
      <c r="BA249" s="29" t="str">
        <f t="shared" si="254"/>
        <v>#DIV/0!</v>
      </c>
      <c r="BB249" s="29" t="str">
        <f t="shared" si="254"/>
        <v>#DIV/0!</v>
      </c>
      <c r="BC249" s="29" t="str">
        <f t="shared" si="254"/>
        <v>#DIV/0!</v>
      </c>
      <c r="BD249" s="29" t="str">
        <f t="shared" si="254"/>
        <v>#DIV/0!</v>
      </c>
      <c r="BE249" s="29" t="str">
        <f t="shared" si="254"/>
        <v>#DIV/0!</v>
      </c>
      <c r="BF249" s="29" t="str">
        <f t="shared" si="254"/>
        <v>#DIV/0!</v>
      </c>
      <c r="BG249" s="29" t="str">
        <f t="shared" si="254"/>
        <v>#DIV/0!</v>
      </c>
      <c r="BH249" s="29" t="str">
        <f t="shared" si="254"/>
        <v>#DIV/0!</v>
      </c>
      <c r="BI249" s="29" t="str">
        <f t="shared" si="254"/>
        <v>#DIV/0!</v>
      </c>
      <c r="BJ249" s="29" t="str">
        <f t="shared" si="254"/>
        <v>#DIV/0!</v>
      </c>
      <c r="BK249" s="29" t="str">
        <f t="shared" si="254"/>
        <v>#DIV/0!</v>
      </c>
      <c r="BL249" s="29" t="str">
        <f t="shared" si="254"/>
        <v>#DIV/0!</v>
      </c>
      <c r="BM249" s="29" t="str">
        <f t="shared" si="3"/>
        <v>#DIV/0!</v>
      </c>
    </row>
    <row r="250">
      <c r="A250" s="16" t="str">
        <f>IFERROR(__xludf.DUMMYFUNCTION("IFERROR(SPARKLINE(SORT(MAP(TRANSPOSE(AQ250:BL250), LAMBDA(val, IF(ISNUMBER(val), PERCENTRANK(AQ250:BL250, val)+0.01, 0))), SEQUENCE(COLUMNS(AQ250:BL250)), FALSE), {""charttype"",""column""; ""color"",""chartreuse""; ""ymin"", 0; ""ymax"", 1.01; ""highcolo"&amp;"r"", ""darkgreen""; ""lowcolor"", ""red""}), """")"),"")</f>
        <v/>
      </c>
      <c r="B250" s="17" t="str">
        <f t="shared" si="4"/>
        <v/>
      </c>
      <c r="C250" s="1" t="s">
        <v>2413</v>
      </c>
      <c r="D250" s="30" t="str">
        <f>IFERROR(__xludf.DUMMYFUNCTION("IFERROR(GOOGLEFINANCE(C250, ""NAME""))"),"Sophia Genetics SA")</f>
        <v>Sophia Genetics SA</v>
      </c>
      <c r="E250" s="30" t="s">
        <v>1532</v>
      </c>
      <c r="F250" s="33" t="str">
        <f>IFERROR(__xludf.DUMMYFUNCTION("( (GOOGLEFINANCE(C250, ""price"") - Q250) / Q250 ) / (R250 / 100)"),"Loading...")</f>
        <v>Loading...</v>
      </c>
      <c r="G250" s="20" t="str">
        <f>IFERROR(__xludf.DUMMYFUNCTION("AVERAGE(ARRAYFORMULA(100 * (QUERY(GOOGLEFINANCE(C250, ""high"", TODAY()-40, TODAY()), ""SELECT Col2 WHERE Col2 IS NOT NULL ORDER BY Col1 DESC LIMIT 20"", 0) / QUERY(GOOGLEFINANCE(C250, ""low"", TODAY()-40, TODAY()), ""SELECT Col2 WHERE Col2 IS NOT NULL OR"&amp;"DER BY Col1 DESC LIMIT 20"", 0) - 1)))"),"#N/A")</f>
        <v>#N/A</v>
      </c>
      <c r="H250" s="35" t="str">
        <f t="shared" si="233"/>
        <v/>
      </c>
      <c r="I250" s="36" t="str">
        <f t="shared" si="7"/>
        <v/>
      </c>
      <c r="J250" s="37" t="str">
        <f>IFERROR(__xludf.DUMMYFUNCTION("IFERROR(
  IF(C250="""",, 
    IFERROR(
      GOOGLEFINANCE(C250, ""price"") * GOOGLEFINANCE(C250, ""volumeavg""), 
      GOOGLEFINANCE(C250, ""price"") * AVERAGE(QUERY(GOOGLEFINANCE(C250, ""volume"", TODAY()-40, TODAY()), ""SELECT Col2 WHERE Col2 IS NOT "&amp;"NULL ORDER BY Col1 DESC LIMIT 20"", 0))
    )
  ), 
"""")"),"")</f>
        <v/>
      </c>
      <c r="K250" s="21" t="str">
        <f>IFERROR(__xludf.DUMMYFUNCTION("IFERROR(GOOGLEFINANCE(C250, ""changepct"") / 100, """")"),"")</f>
        <v/>
      </c>
      <c r="L250" s="21" t="str">
        <f>IFERROR(__xludf.DUMMYFUNCTION("IFERROR((GOOGLEFINANCE(C250, ""price"") / INDEX(GOOGLEFINANCE(C250, ""price"", TODAY()-7, TODAY()), 2, 2)) - 1, """")"),"")</f>
        <v/>
      </c>
      <c r="M250" s="21" t="str">
        <f>IFERROR(__xludf.DUMMYFUNCTION("IFERROR((GOOGLEFINANCE(C250, ""price"") / INDEX(GOOGLEFINANCE(C250, ""price"", EDATE(TODAY(), -1), TODAY()), 2, 2)) - 1, """")"),"")</f>
        <v/>
      </c>
      <c r="N250" s="21" t="str">
        <f>IFERROR(__xludf.DUMMYFUNCTION("IFERROR((GOOGLEFINANCE(C250, ""price"") / INDEX(GOOGLEFINANCE(C250, ""price"", EDATE(TODAY(), -3), TODAY()), 2, 2)) - 1, """")"),"")</f>
        <v/>
      </c>
      <c r="O250" s="21" t="str">
        <f>IFERROR(__xludf.DUMMYFUNCTION("IFERROR((GOOGLEFINANCE(C250, ""price"") / INDEX(GOOGLEFINANCE(C250, ""price"", EDATE(TODAY(), -6), TODAY()), 2, 2)) - 1, """")"),"")</f>
        <v/>
      </c>
      <c r="P250" s="21" t="str">
        <f>IFERROR(__xludf.DUMMYFUNCTION("IFERROR((GOOGLEFINANCE(C250, ""price"") / INDEX(GOOGLEFINANCE(C250, ""price"", EDATE(TODAY(), -12), TODAY()), 2, 2)) - 1, """")"),"")</f>
        <v/>
      </c>
      <c r="Q250" s="6" t="str">
        <f>IFERROR(__xludf.DUMMYFUNCTION("AVERAGE(QUERY(GOOGLEFINANCE(C250, ""price"", TODAY()-80, TODAY()), ""SELECT Col2 WHERE Col2 IS NOT NULL ORDER BY Col1 DESC LIMIT 50"", 0))"),"#N/A")</f>
        <v>#N/A</v>
      </c>
      <c r="R250" s="24" t="str">
        <f>IFERROR(__xludf.DUMMYFUNCTION("IFERROR(
  LET(
    data, QUERY(GOOGLEFINANCE(C250,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GOOGLEFINANCE(C250, ""price"")) * 100,
    IF(calc=0, G250, calc)
  ), 
G250)"),"#N/A")</f>
        <v>#N/A</v>
      </c>
      <c r="S250" s="8" t="s">
        <v>15</v>
      </c>
      <c r="T250" s="26" t="str">
        <f>IFERROR(__xludf.DUMMYFUNCTION("IFERROR(TRANSPOSE(QUERY(IFERROR(SORT(GOOGLEFINANCE(C250, ""price"", WORKDAY(TODAY(), -40), TODAY()), 1, FALSE)), ""select Col2 where Col2 is not null limit 22 label Col2 ''"", 0)), """")"),"")</f>
        <v/>
      </c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8"/>
      <c r="AO250" s="28"/>
      <c r="AP250" s="29"/>
      <c r="AQ250" s="29" t="str">
        <f t="shared" ref="AQ250:BL250" si="255">T250/T$2</f>
        <v>#N/A</v>
      </c>
      <c r="AR250" s="29" t="str">
        <f t="shared" si="255"/>
        <v>#DIV/0!</v>
      </c>
      <c r="AS250" s="29" t="str">
        <f t="shared" si="255"/>
        <v>#DIV/0!</v>
      </c>
      <c r="AT250" s="29" t="str">
        <f t="shared" si="255"/>
        <v>#DIV/0!</v>
      </c>
      <c r="AU250" s="29" t="str">
        <f t="shared" si="255"/>
        <v>#DIV/0!</v>
      </c>
      <c r="AV250" s="29" t="str">
        <f t="shared" si="255"/>
        <v>#DIV/0!</v>
      </c>
      <c r="AW250" s="29" t="str">
        <f t="shared" si="255"/>
        <v>#DIV/0!</v>
      </c>
      <c r="AX250" s="29" t="str">
        <f t="shared" si="255"/>
        <v>#DIV/0!</v>
      </c>
      <c r="AY250" s="29" t="str">
        <f t="shared" si="255"/>
        <v>#DIV/0!</v>
      </c>
      <c r="AZ250" s="29" t="str">
        <f t="shared" si="255"/>
        <v>#DIV/0!</v>
      </c>
      <c r="BA250" s="29" t="str">
        <f t="shared" si="255"/>
        <v>#DIV/0!</v>
      </c>
      <c r="BB250" s="29" t="str">
        <f t="shared" si="255"/>
        <v>#DIV/0!</v>
      </c>
      <c r="BC250" s="29" t="str">
        <f t="shared" si="255"/>
        <v>#DIV/0!</v>
      </c>
      <c r="BD250" s="29" t="str">
        <f t="shared" si="255"/>
        <v>#DIV/0!</v>
      </c>
      <c r="BE250" s="29" t="str">
        <f t="shared" si="255"/>
        <v>#DIV/0!</v>
      </c>
      <c r="BF250" s="29" t="str">
        <f t="shared" si="255"/>
        <v>#DIV/0!</v>
      </c>
      <c r="BG250" s="29" t="str">
        <f t="shared" si="255"/>
        <v>#DIV/0!</v>
      </c>
      <c r="BH250" s="29" t="str">
        <f t="shared" si="255"/>
        <v>#DIV/0!</v>
      </c>
      <c r="BI250" s="29" t="str">
        <f t="shared" si="255"/>
        <v>#DIV/0!</v>
      </c>
      <c r="BJ250" s="29" t="str">
        <f t="shared" si="255"/>
        <v>#DIV/0!</v>
      </c>
      <c r="BK250" s="29" t="str">
        <f t="shared" si="255"/>
        <v>#DIV/0!</v>
      </c>
      <c r="BL250" s="29" t="str">
        <f t="shared" si="255"/>
        <v>#DIV/0!</v>
      </c>
      <c r="BM250" s="29" t="str">
        <f t="shared" si="3"/>
        <v>#DIV/0!</v>
      </c>
    </row>
    <row r="251">
      <c r="A251" s="16" t="str">
        <f>IFERROR(__xludf.DUMMYFUNCTION("IFERROR(SPARKLINE(SORT(MAP(TRANSPOSE(AQ251:BL251), LAMBDA(val, IF(ISNUMBER(val), PERCENTRANK(AQ251:BL251, val)+0.01, 0))), SEQUENCE(COLUMNS(AQ251:BL251)), FALSE), {""charttype"",""column""; ""color"",""chartreuse""; ""ymin"", 0; ""ymax"", 1.01; ""highcolo"&amp;"r"", ""darkgreen""; ""lowcolor"", ""red""}), """")"),"")</f>
        <v/>
      </c>
      <c r="B251" s="17" t="str">
        <f t="shared" si="4"/>
        <v/>
      </c>
      <c r="C251" s="1" t="s">
        <v>2418</v>
      </c>
      <c r="D251" s="30" t="str">
        <f>IFERROR(__xludf.DUMMYFUNCTION("IFERROR(GOOGLEFINANCE(C251, ""NAME""))"),"OPKO Health Inc")</f>
        <v>OPKO Health Inc</v>
      </c>
      <c r="E251" s="30" t="s">
        <v>1499</v>
      </c>
      <c r="F251" s="33" t="str">
        <f>IFERROR(__xludf.DUMMYFUNCTION("( (GOOGLEFINANCE(C251, ""price"") - Q251) / Q251 ) / (R251 / 100)"),"Loading...")</f>
        <v>Loading...</v>
      </c>
      <c r="G251" s="20" t="str">
        <f>IFERROR(__xludf.DUMMYFUNCTION("AVERAGE(ARRAYFORMULA(100 * (QUERY(GOOGLEFINANCE(C251, ""high"", TODAY()-40, TODAY()), ""SELECT Col2 WHERE Col2 IS NOT NULL ORDER BY Col1 DESC LIMIT 20"", 0) / QUERY(GOOGLEFINANCE(C251, ""low"", TODAY()-40, TODAY()), ""SELECT Col2 WHERE Col2 IS NOT NULL OR"&amp;"DER BY Col1 DESC LIMIT 20"", 0) - 1)))"),"#N/A")</f>
        <v>#N/A</v>
      </c>
      <c r="H251" s="35" t="str">
        <f t="shared" si="233"/>
        <v/>
      </c>
      <c r="I251" s="36" t="str">
        <f t="shared" si="7"/>
        <v/>
      </c>
      <c r="J251" s="37" t="str">
        <f>IFERROR(__xludf.DUMMYFUNCTION("IFERROR(
  IF(C251="""",, 
    IFERROR(
      GOOGLEFINANCE(C251, ""price"") * GOOGLEFINANCE(C251, ""volumeavg""), 
      GOOGLEFINANCE(C251, ""price"") * AVERAGE(QUERY(GOOGLEFINANCE(C251, ""volume"", TODAY()-40, TODAY()), ""SELECT Col2 WHERE Col2 IS NOT "&amp;"NULL ORDER BY Col1 DESC LIMIT 20"", 0))
    )
  ), 
"""")"),"")</f>
        <v/>
      </c>
      <c r="K251" s="21" t="str">
        <f>IFERROR(__xludf.DUMMYFUNCTION("IFERROR(GOOGLEFINANCE(C251, ""changepct"") / 100, """")"),"")</f>
        <v/>
      </c>
      <c r="L251" s="21" t="str">
        <f>IFERROR(__xludf.DUMMYFUNCTION("IFERROR((GOOGLEFINANCE(C251, ""price"") / INDEX(GOOGLEFINANCE(C251, ""price"", TODAY()-7, TODAY()), 2, 2)) - 1, """")"),"")</f>
        <v/>
      </c>
      <c r="M251" s="21" t="str">
        <f>IFERROR(__xludf.DUMMYFUNCTION("IFERROR((GOOGLEFINANCE(C251, ""price"") / INDEX(GOOGLEFINANCE(C251, ""price"", EDATE(TODAY(), -1), TODAY()), 2, 2)) - 1, """")"),"")</f>
        <v/>
      </c>
      <c r="N251" s="21" t="str">
        <f>IFERROR(__xludf.DUMMYFUNCTION("IFERROR((GOOGLEFINANCE(C251, ""price"") / INDEX(GOOGLEFINANCE(C251, ""price"", EDATE(TODAY(), -3), TODAY()), 2, 2)) - 1, """")"),"")</f>
        <v/>
      </c>
      <c r="O251" s="21" t="str">
        <f>IFERROR(__xludf.DUMMYFUNCTION("IFERROR((GOOGLEFINANCE(C251, ""price"") / INDEX(GOOGLEFINANCE(C251, ""price"", EDATE(TODAY(), -6), TODAY()), 2, 2)) - 1, """")"),"")</f>
        <v/>
      </c>
      <c r="P251" s="21" t="str">
        <f>IFERROR(__xludf.DUMMYFUNCTION("IFERROR((GOOGLEFINANCE(C251, ""price"") / INDEX(GOOGLEFINANCE(C251, ""price"", EDATE(TODAY(), -12), TODAY()), 2, 2)) - 1, """")"),"")</f>
        <v/>
      </c>
      <c r="Q251" s="6" t="str">
        <f>IFERROR(__xludf.DUMMYFUNCTION("AVERAGE(QUERY(GOOGLEFINANCE(C251, ""price"", TODAY()-80, TODAY()), ""SELECT Col2 WHERE Col2 IS NOT NULL ORDER BY Col1 DESC LIMIT 50"", 0))"),"#N/A")</f>
        <v>#N/A</v>
      </c>
      <c r="R251" s="24" t="str">
        <f>IFERROR(__xludf.DUMMYFUNCTION("IFERROR(
  LET(
    data, QUERY(GOOGLEFINANCE(C251,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GOOGLEFINANCE(C251, ""price"")) * 100,
    IF(calc=0, G251, calc)
  ), 
G251)"),"#N/A")</f>
        <v>#N/A</v>
      </c>
      <c r="S251" s="8" t="s">
        <v>15</v>
      </c>
      <c r="T251" s="26" t="str">
        <f>IFERROR(__xludf.DUMMYFUNCTION("IFERROR(TRANSPOSE(QUERY(IFERROR(SORT(GOOGLEFINANCE(C251, ""price"", WORKDAY(TODAY(), -40), TODAY()), 1, FALSE)), ""select Col2 where Col2 is not null limit 22 label Col2 ''"", 0)), """")"),"")</f>
        <v/>
      </c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8"/>
      <c r="AO251" s="28"/>
      <c r="AP251" s="29"/>
      <c r="AQ251" s="29" t="str">
        <f t="shared" ref="AQ251:BL251" si="256">T251/T$2</f>
        <v>#N/A</v>
      </c>
      <c r="AR251" s="29" t="str">
        <f t="shared" si="256"/>
        <v>#DIV/0!</v>
      </c>
      <c r="AS251" s="29" t="str">
        <f t="shared" si="256"/>
        <v>#DIV/0!</v>
      </c>
      <c r="AT251" s="29" t="str">
        <f t="shared" si="256"/>
        <v>#DIV/0!</v>
      </c>
      <c r="AU251" s="29" t="str">
        <f t="shared" si="256"/>
        <v>#DIV/0!</v>
      </c>
      <c r="AV251" s="29" t="str">
        <f t="shared" si="256"/>
        <v>#DIV/0!</v>
      </c>
      <c r="AW251" s="29" t="str">
        <f t="shared" si="256"/>
        <v>#DIV/0!</v>
      </c>
      <c r="AX251" s="29" t="str">
        <f t="shared" si="256"/>
        <v>#DIV/0!</v>
      </c>
      <c r="AY251" s="29" t="str">
        <f t="shared" si="256"/>
        <v>#DIV/0!</v>
      </c>
      <c r="AZ251" s="29" t="str">
        <f t="shared" si="256"/>
        <v>#DIV/0!</v>
      </c>
      <c r="BA251" s="29" t="str">
        <f t="shared" si="256"/>
        <v>#DIV/0!</v>
      </c>
      <c r="BB251" s="29" t="str">
        <f t="shared" si="256"/>
        <v>#DIV/0!</v>
      </c>
      <c r="BC251" s="29" t="str">
        <f t="shared" si="256"/>
        <v>#DIV/0!</v>
      </c>
      <c r="BD251" s="29" t="str">
        <f t="shared" si="256"/>
        <v>#DIV/0!</v>
      </c>
      <c r="BE251" s="29" t="str">
        <f t="shared" si="256"/>
        <v>#DIV/0!</v>
      </c>
      <c r="BF251" s="29" t="str">
        <f t="shared" si="256"/>
        <v>#DIV/0!</v>
      </c>
      <c r="BG251" s="29" t="str">
        <f t="shared" si="256"/>
        <v>#DIV/0!</v>
      </c>
      <c r="BH251" s="29" t="str">
        <f t="shared" si="256"/>
        <v>#DIV/0!</v>
      </c>
      <c r="BI251" s="29" t="str">
        <f t="shared" si="256"/>
        <v>#DIV/0!</v>
      </c>
      <c r="BJ251" s="29" t="str">
        <f t="shared" si="256"/>
        <v>#DIV/0!</v>
      </c>
      <c r="BK251" s="29" t="str">
        <f t="shared" si="256"/>
        <v>#DIV/0!</v>
      </c>
      <c r="BL251" s="29" t="str">
        <f t="shared" si="256"/>
        <v>#DIV/0!</v>
      </c>
      <c r="BM251" s="29" t="str">
        <f t="shared" si="3"/>
        <v>#DIV/0!</v>
      </c>
    </row>
    <row r="252">
      <c r="A252" s="16" t="str">
        <f>IFERROR(__xludf.DUMMYFUNCTION("IFERROR(SPARKLINE(SORT(MAP(TRANSPOSE(AQ252:BL252), LAMBDA(val, IF(ISNUMBER(val), PERCENTRANK(AQ252:BL252, val)+0.01, 0))), SEQUENCE(COLUMNS(AQ252:BL252)), FALSE), {""charttype"",""column""; ""color"",""chartreuse""; ""ymin"", 0; ""ymax"", 1.01; ""highcolo"&amp;"r"", ""darkgreen""; ""lowcolor"", ""red""}), """")"),"")</f>
        <v/>
      </c>
      <c r="B252" s="17" t="str">
        <f t="shared" si="4"/>
        <v/>
      </c>
      <c r="C252" s="1" t="s">
        <v>2422</v>
      </c>
      <c r="D252" s="30" t="str">
        <f>IFERROR(__xludf.DUMMYFUNCTION("IFERROR(GOOGLEFINANCE(C252, ""NAME""))"),"Azenta, Inc")</f>
        <v>Azenta, Inc</v>
      </c>
      <c r="E252" s="30" t="s">
        <v>1502</v>
      </c>
      <c r="F252" s="33" t="str">
        <f>IFERROR(__xludf.DUMMYFUNCTION("( (GOOGLEFINANCE(C252, ""price"") - Q252) / Q252 ) / (R252 / 100)"),"Loading...")</f>
        <v>Loading...</v>
      </c>
      <c r="G252" s="20" t="str">
        <f>IFERROR(__xludf.DUMMYFUNCTION("AVERAGE(ARRAYFORMULA(100 * (QUERY(GOOGLEFINANCE(C252, ""high"", TODAY()-40, TODAY()), ""SELECT Col2 WHERE Col2 IS NOT NULL ORDER BY Col1 DESC LIMIT 20"", 0) / QUERY(GOOGLEFINANCE(C252, ""low"", TODAY()-40, TODAY()), ""SELECT Col2 WHERE Col2 IS NOT NULL OR"&amp;"DER BY Col1 DESC LIMIT 20"", 0) - 1)))"),"#N/A")</f>
        <v>#N/A</v>
      </c>
      <c r="H252" s="35" t="str">
        <f t="shared" si="233"/>
        <v/>
      </c>
      <c r="I252" s="36" t="str">
        <f t="shared" si="7"/>
        <v/>
      </c>
      <c r="J252" s="37" t="str">
        <f>IFERROR(__xludf.DUMMYFUNCTION("IFERROR(
  IF(C252="""",, 
    IFERROR(
      GOOGLEFINANCE(C252, ""price"") * GOOGLEFINANCE(C252, ""volumeavg""), 
      GOOGLEFINANCE(C252, ""price"") * AVERAGE(QUERY(GOOGLEFINANCE(C252, ""volume"", TODAY()-40, TODAY()), ""SELECT Col2 WHERE Col2 IS NOT "&amp;"NULL ORDER BY Col1 DESC LIMIT 20"", 0))
    )
  ), 
"""")"),"")</f>
        <v/>
      </c>
      <c r="K252" s="21" t="str">
        <f>IFERROR(__xludf.DUMMYFUNCTION("IFERROR(GOOGLEFINANCE(C252, ""changepct"") / 100, """")"),"")</f>
        <v/>
      </c>
      <c r="L252" s="21" t="str">
        <f>IFERROR(__xludf.DUMMYFUNCTION("IFERROR((GOOGLEFINANCE(C252, ""price"") / INDEX(GOOGLEFINANCE(C252, ""price"", TODAY()-7, TODAY()), 2, 2)) - 1, """")"),"")</f>
        <v/>
      </c>
      <c r="M252" s="21" t="str">
        <f>IFERROR(__xludf.DUMMYFUNCTION("IFERROR((GOOGLEFINANCE(C252, ""price"") / INDEX(GOOGLEFINANCE(C252, ""price"", EDATE(TODAY(), -1), TODAY()), 2, 2)) - 1, """")"),"")</f>
        <v/>
      </c>
      <c r="N252" s="21" t="str">
        <f>IFERROR(__xludf.DUMMYFUNCTION("IFERROR((GOOGLEFINANCE(C252, ""price"") / INDEX(GOOGLEFINANCE(C252, ""price"", EDATE(TODAY(), -3), TODAY()), 2, 2)) - 1, """")"),"")</f>
        <v/>
      </c>
      <c r="O252" s="21" t="str">
        <f>IFERROR(__xludf.DUMMYFUNCTION("IFERROR((GOOGLEFINANCE(C252, ""price"") / INDEX(GOOGLEFINANCE(C252, ""price"", EDATE(TODAY(), -6), TODAY()), 2, 2)) - 1, """")"),"")</f>
        <v/>
      </c>
      <c r="P252" s="21" t="str">
        <f>IFERROR(__xludf.DUMMYFUNCTION("IFERROR((GOOGLEFINANCE(C252, ""price"") / INDEX(GOOGLEFINANCE(C252, ""price"", EDATE(TODAY(), -12), TODAY()), 2, 2)) - 1, """")"),"")</f>
        <v/>
      </c>
      <c r="Q252" s="6" t="str">
        <f>IFERROR(__xludf.DUMMYFUNCTION("AVERAGE(QUERY(GOOGLEFINANCE(C252, ""price"", TODAY()-80, TODAY()), ""SELECT Col2 WHERE Col2 IS NOT NULL ORDER BY Col1 DESC LIMIT 50"", 0))"),"#N/A")</f>
        <v>#N/A</v>
      </c>
      <c r="R252" s="24" t="str">
        <f>IFERROR(__xludf.DUMMYFUNCTION("IFERROR(
  LET(
    data, QUERY(GOOGLEFINANCE(C252,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GOOGLEFINANCE(C252, ""price"")) * 100,
    IF(calc=0, G252, calc)
  ), 
G252)"),"#N/A")</f>
        <v>#N/A</v>
      </c>
      <c r="S252" s="8" t="s">
        <v>15</v>
      </c>
      <c r="T252" s="26" t="str">
        <f>IFERROR(__xludf.DUMMYFUNCTION("IFERROR(TRANSPOSE(QUERY(IFERROR(SORT(GOOGLEFINANCE(C252, ""price"", WORKDAY(TODAY(), -40), TODAY()), 1, FALSE)), ""select Col2 where Col2 is not null limit 22 label Col2 ''"", 0)), """")"),"")</f>
        <v/>
      </c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8"/>
      <c r="AO252" s="28"/>
      <c r="AP252" s="29"/>
      <c r="AQ252" s="29" t="str">
        <f t="shared" ref="AQ252:BL252" si="257">T252/T$2</f>
        <v>#N/A</v>
      </c>
      <c r="AR252" s="29" t="str">
        <f t="shared" si="257"/>
        <v>#DIV/0!</v>
      </c>
      <c r="AS252" s="29" t="str">
        <f t="shared" si="257"/>
        <v>#DIV/0!</v>
      </c>
      <c r="AT252" s="29" t="str">
        <f t="shared" si="257"/>
        <v>#DIV/0!</v>
      </c>
      <c r="AU252" s="29" t="str">
        <f t="shared" si="257"/>
        <v>#DIV/0!</v>
      </c>
      <c r="AV252" s="29" t="str">
        <f t="shared" si="257"/>
        <v>#DIV/0!</v>
      </c>
      <c r="AW252" s="29" t="str">
        <f t="shared" si="257"/>
        <v>#DIV/0!</v>
      </c>
      <c r="AX252" s="29" t="str">
        <f t="shared" si="257"/>
        <v>#DIV/0!</v>
      </c>
      <c r="AY252" s="29" t="str">
        <f t="shared" si="257"/>
        <v>#DIV/0!</v>
      </c>
      <c r="AZ252" s="29" t="str">
        <f t="shared" si="257"/>
        <v>#DIV/0!</v>
      </c>
      <c r="BA252" s="29" t="str">
        <f t="shared" si="257"/>
        <v>#DIV/0!</v>
      </c>
      <c r="BB252" s="29" t="str">
        <f t="shared" si="257"/>
        <v>#DIV/0!</v>
      </c>
      <c r="BC252" s="29" t="str">
        <f t="shared" si="257"/>
        <v>#DIV/0!</v>
      </c>
      <c r="BD252" s="29" t="str">
        <f t="shared" si="257"/>
        <v>#DIV/0!</v>
      </c>
      <c r="BE252" s="29" t="str">
        <f t="shared" si="257"/>
        <v>#DIV/0!</v>
      </c>
      <c r="BF252" s="29" t="str">
        <f t="shared" si="257"/>
        <v>#DIV/0!</v>
      </c>
      <c r="BG252" s="29" t="str">
        <f t="shared" si="257"/>
        <v>#DIV/0!</v>
      </c>
      <c r="BH252" s="29" t="str">
        <f t="shared" si="257"/>
        <v>#DIV/0!</v>
      </c>
      <c r="BI252" s="29" t="str">
        <f t="shared" si="257"/>
        <v>#DIV/0!</v>
      </c>
      <c r="BJ252" s="29" t="str">
        <f t="shared" si="257"/>
        <v>#DIV/0!</v>
      </c>
      <c r="BK252" s="29" t="str">
        <f t="shared" si="257"/>
        <v>#DIV/0!</v>
      </c>
      <c r="BL252" s="29" t="str">
        <f t="shared" si="257"/>
        <v>#DIV/0!</v>
      </c>
      <c r="BM252" s="29" t="str">
        <f t="shared" si="3"/>
        <v>#DIV/0!</v>
      </c>
    </row>
    <row r="253">
      <c r="A253" s="16" t="str">
        <f>IFERROR(__xludf.DUMMYFUNCTION("IFERROR(SPARKLINE(SORT(MAP(TRANSPOSE(AQ253:BL253), LAMBDA(val, IF(ISNUMBER(val), PERCENTRANK(AQ253:BL253, val)+0.01, 0))), SEQUENCE(COLUMNS(AQ253:BL253)), FALSE), {""charttype"",""column""; ""color"",""chartreuse""; ""ymin"", 0; ""ymax"", 1.01; ""highcolo"&amp;"r"", ""darkgreen""; ""lowcolor"", ""red""}), """")"),"")</f>
        <v/>
      </c>
      <c r="B253" s="17" t="str">
        <f t="shared" si="4"/>
        <v/>
      </c>
      <c r="C253" s="1" t="s">
        <v>2426</v>
      </c>
      <c r="D253" s="30" t="str">
        <f>IFERROR(__xludf.DUMMYFUNCTION("IFERROR(GOOGLEFINANCE(C253, ""NAME""))"),"Option Care Health Inc")</f>
        <v>Option Care Health Inc</v>
      </c>
      <c r="E253" s="30" t="s">
        <v>1513</v>
      </c>
      <c r="F253" s="33" t="str">
        <f>IFERROR(__xludf.DUMMYFUNCTION("( (GOOGLEFINANCE(C253, ""price"") - Q253) / Q253 ) / (R253 / 100)"),"Loading...")</f>
        <v>Loading...</v>
      </c>
      <c r="G253" s="20" t="str">
        <f>IFERROR(__xludf.DUMMYFUNCTION("AVERAGE(ARRAYFORMULA(100 * (QUERY(GOOGLEFINANCE(C253, ""high"", TODAY()-40, TODAY()), ""SELECT Col2 WHERE Col2 IS NOT NULL ORDER BY Col1 DESC LIMIT 20"", 0) / QUERY(GOOGLEFINANCE(C253, ""low"", TODAY()-40, TODAY()), ""SELECT Col2 WHERE Col2 IS NOT NULL OR"&amp;"DER BY Col1 DESC LIMIT 20"", 0) - 1)))"),"#N/A")</f>
        <v>#N/A</v>
      </c>
      <c r="H253" s="35" t="str">
        <f t="shared" si="233"/>
        <v/>
      </c>
      <c r="I253" s="36" t="str">
        <f t="shared" si="7"/>
        <v/>
      </c>
      <c r="J253" s="37" t="str">
        <f>IFERROR(__xludf.DUMMYFUNCTION("IFERROR(
  IF(C253="""",, 
    IFERROR(
      GOOGLEFINANCE(C253, ""price"") * GOOGLEFINANCE(C253, ""volumeavg""), 
      GOOGLEFINANCE(C253, ""price"") * AVERAGE(QUERY(GOOGLEFINANCE(C253, ""volume"", TODAY()-40, TODAY()), ""SELECT Col2 WHERE Col2 IS NOT "&amp;"NULL ORDER BY Col1 DESC LIMIT 20"", 0))
    )
  ), 
"""")"),"")</f>
        <v/>
      </c>
      <c r="K253" s="21" t="str">
        <f>IFERROR(__xludf.DUMMYFUNCTION("IFERROR(GOOGLEFINANCE(C253, ""changepct"") / 100, """")"),"")</f>
        <v/>
      </c>
      <c r="L253" s="21" t="str">
        <f>IFERROR(__xludf.DUMMYFUNCTION("IFERROR((GOOGLEFINANCE(C253, ""price"") / INDEX(GOOGLEFINANCE(C253, ""price"", TODAY()-7, TODAY()), 2, 2)) - 1, """")"),"")</f>
        <v/>
      </c>
      <c r="M253" s="21" t="str">
        <f>IFERROR(__xludf.DUMMYFUNCTION("IFERROR((GOOGLEFINANCE(C253, ""price"") / INDEX(GOOGLEFINANCE(C253, ""price"", EDATE(TODAY(), -1), TODAY()), 2, 2)) - 1, """")"),"")</f>
        <v/>
      </c>
      <c r="N253" s="21" t="str">
        <f>IFERROR(__xludf.DUMMYFUNCTION("IFERROR((GOOGLEFINANCE(C253, ""price"") / INDEX(GOOGLEFINANCE(C253, ""price"", EDATE(TODAY(), -3), TODAY()), 2, 2)) - 1, """")"),"")</f>
        <v/>
      </c>
      <c r="O253" s="21" t="str">
        <f>IFERROR(__xludf.DUMMYFUNCTION("IFERROR((GOOGLEFINANCE(C253, ""price"") / INDEX(GOOGLEFINANCE(C253, ""price"", EDATE(TODAY(), -6), TODAY()), 2, 2)) - 1, """")"),"")</f>
        <v/>
      </c>
      <c r="P253" s="21" t="str">
        <f>IFERROR(__xludf.DUMMYFUNCTION("IFERROR((GOOGLEFINANCE(C253, ""price"") / INDEX(GOOGLEFINANCE(C253, ""price"", EDATE(TODAY(), -12), TODAY()), 2, 2)) - 1, """")"),"")</f>
        <v/>
      </c>
      <c r="Q253" s="6" t="str">
        <f>IFERROR(__xludf.DUMMYFUNCTION("AVERAGE(QUERY(GOOGLEFINANCE(C253, ""price"", TODAY()-80, TODAY()), ""SELECT Col2 WHERE Col2 IS NOT NULL ORDER BY Col1 DESC LIMIT 50"", 0))"),"#N/A")</f>
        <v>#N/A</v>
      </c>
      <c r="R253" s="24" t="str">
        <f>IFERROR(__xludf.DUMMYFUNCTION("IFERROR(
  LET(
    data, QUERY(GOOGLEFINANCE(C253,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GOOGLEFINANCE(C253, ""price"")) * 100,
    IF(calc=0, G253, calc)
  ), 
G253)"),"#N/A")</f>
        <v>#N/A</v>
      </c>
      <c r="S253" s="8" t="s">
        <v>15</v>
      </c>
      <c r="T253" s="26" t="str">
        <f>IFERROR(__xludf.DUMMYFUNCTION("IFERROR(TRANSPOSE(QUERY(IFERROR(SORT(GOOGLEFINANCE(C253, ""price"", WORKDAY(TODAY(), -40), TODAY()), 1, FALSE)), ""select Col2 where Col2 is not null limit 22 label Col2 ''"", 0)), """")"),"")</f>
        <v/>
      </c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8"/>
      <c r="AO253" s="28"/>
      <c r="AP253" s="29"/>
      <c r="AQ253" s="29" t="str">
        <f t="shared" ref="AQ253:BL253" si="258">T253/T$2</f>
        <v>#N/A</v>
      </c>
      <c r="AR253" s="29" t="str">
        <f t="shared" si="258"/>
        <v>#DIV/0!</v>
      </c>
      <c r="AS253" s="29" t="str">
        <f t="shared" si="258"/>
        <v>#DIV/0!</v>
      </c>
      <c r="AT253" s="29" t="str">
        <f t="shared" si="258"/>
        <v>#DIV/0!</v>
      </c>
      <c r="AU253" s="29" t="str">
        <f t="shared" si="258"/>
        <v>#DIV/0!</v>
      </c>
      <c r="AV253" s="29" t="str">
        <f t="shared" si="258"/>
        <v>#DIV/0!</v>
      </c>
      <c r="AW253" s="29" t="str">
        <f t="shared" si="258"/>
        <v>#DIV/0!</v>
      </c>
      <c r="AX253" s="29" t="str">
        <f t="shared" si="258"/>
        <v>#DIV/0!</v>
      </c>
      <c r="AY253" s="29" t="str">
        <f t="shared" si="258"/>
        <v>#DIV/0!</v>
      </c>
      <c r="AZ253" s="29" t="str">
        <f t="shared" si="258"/>
        <v>#DIV/0!</v>
      </c>
      <c r="BA253" s="29" t="str">
        <f t="shared" si="258"/>
        <v>#DIV/0!</v>
      </c>
      <c r="BB253" s="29" t="str">
        <f t="shared" si="258"/>
        <v>#DIV/0!</v>
      </c>
      <c r="BC253" s="29" t="str">
        <f t="shared" si="258"/>
        <v>#DIV/0!</v>
      </c>
      <c r="BD253" s="29" t="str">
        <f t="shared" si="258"/>
        <v>#DIV/0!</v>
      </c>
      <c r="BE253" s="29" t="str">
        <f t="shared" si="258"/>
        <v>#DIV/0!</v>
      </c>
      <c r="BF253" s="29" t="str">
        <f t="shared" si="258"/>
        <v>#DIV/0!</v>
      </c>
      <c r="BG253" s="29" t="str">
        <f t="shared" si="258"/>
        <v>#DIV/0!</v>
      </c>
      <c r="BH253" s="29" t="str">
        <f t="shared" si="258"/>
        <v>#DIV/0!</v>
      </c>
      <c r="BI253" s="29" t="str">
        <f t="shared" si="258"/>
        <v>#DIV/0!</v>
      </c>
      <c r="BJ253" s="29" t="str">
        <f t="shared" si="258"/>
        <v>#DIV/0!</v>
      </c>
      <c r="BK253" s="29" t="str">
        <f t="shared" si="258"/>
        <v>#DIV/0!</v>
      </c>
      <c r="BL253" s="29" t="str">
        <f t="shared" si="258"/>
        <v>#DIV/0!</v>
      </c>
      <c r="BM253" s="29" t="str">
        <f t="shared" si="3"/>
        <v>#DIV/0!</v>
      </c>
    </row>
    <row r="254">
      <c r="A254" s="16" t="str">
        <f>IFERROR(__xludf.DUMMYFUNCTION("IFERROR(SPARKLINE(SORT(MAP(TRANSPOSE(AQ254:BL254), LAMBDA(val, IF(ISNUMBER(val), PERCENTRANK(AQ254:BL254, val)+0.01, 0))), SEQUENCE(COLUMNS(AQ254:BL254)), FALSE), {""charttype"",""column""; ""color"",""chartreuse""; ""ymin"", 0; ""ymax"", 1.01; ""highcolo"&amp;"r"", ""darkgreen""; ""lowcolor"", ""red""}), """")"),"")</f>
        <v/>
      </c>
      <c r="B254" s="17" t="str">
        <f t="shared" si="4"/>
        <v/>
      </c>
      <c r="C254" s="1" t="s">
        <v>2430</v>
      </c>
      <c r="D254" s="30" t="str">
        <f>IFERROR(__xludf.DUMMYFUNCTION("IFERROR(GOOGLEFINANCE(C254, ""NAME""))"),"Rxsight Inc")</f>
        <v>Rxsight Inc</v>
      </c>
      <c r="E254" s="30" t="s">
        <v>1491</v>
      </c>
      <c r="F254" s="33" t="str">
        <f>IFERROR(__xludf.DUMMYFUNCTION("( (GOOGLEFINANCE(C254, ""price"") - Q254) / Q254 ) / (R254 / 100)"),"Loading...")</f>
        <v>Loading...</v>
      </c>
      <c r="G254" s="20" t="str">
        <f>IFERROR(__xludf.DUMMYFUNCTION("AVERAGE(ARRAYFORMULA(100 * (QUERY(GOOGLEFINANCE(C254, ""high"", TODAY()-40, TODAY()), ""SELECT Col2 WHERE Col2 IS NOT NULL ORDER BY Col1 DESC LIMIT 20"", 0) / QUERY(GOOGLEFINANCE(C254, ""low"", TODAY()-40, TODAY()), ""SELECT Col2 WHERE Col2 IS NOT NULL OR"&amp;"DER BY Col1 DESC LIMIT 20"", 0) - 1)))"),"#N/A")</f>
        <v>#N/A</v>
      </c>
      <c r="H254" s="35" t="str">
        <f t="shared" si="233"/>
        <v/>
      </c>
      <c r="I254" s="36" t="str">
        <f t="shared" si="7"/>
        <v/>
      </c>
      <c r="J254" s="37" t="str">
        <f>IFERROR(__xludf.DUMMYFUNCTION("IFERROR(
  IF(C254="""",, 
    IFERROR(
      GOOGLEFINANCE(C254, ""price"") * GOOGLEFINANCE(C254, ""volumeavg""), 
      GOOGLEFINANCE(C254, ""price"") * AVERAGE(QUERY(GOOGLEFINANCE(C254, ""volume"", TODAY()-40, TODAY()), ""SELECT Col2 WHERE Col2 IS NOT "&amp;"NULL ORDER BY Col1 DESC LIMIT 20"", 0))
    )
  ), 
"""")"),"")</f>
        <v/>
      </c>
      <c r="K254" s="21" t="str">
        <f>IFERROR(__xludf.DUMMYFUNCTION("IFERROR(GOOGLEFINANCE(C254, ""changepct"") / 100, """")"),"")</f>
        <v/>
      </c>
      <c r="L254" s="21" t="str">
        <f>IFERROR(__xludf.DUMMYFUNCTION("IFERROR((GOOGLEFINANCE(C254, ""price"") / INDEX(GOOGLEFINANCE(C254, ""price"", TODAY()-7, TODAY()), 2, 2)) - 1, """")"),"")</f>
        <v/>
      </c>
      <c r="M254" s="21" t="str">
        <f>IFERROR(__xludf.DUMMYFUNCTION("IFERROR((GOOGLEFINANCE(C254, ""price"") / INDEX(GOOGLEFINANCE(C254, ""price"", EDATE(TODAY(), -1), TODAY()), 2, 2)) - 1, """")"),"")</f>
        <v/>
      </c>
      <c r="N254" s="21" t="str">
        <f>IFERROR(__xludf.DUMMYFUNCTION("IFERROR((GOOGLEFINANCE(C254, ""price"") / INDEX(GOOGLEFINANCE(C254, ""price"", EDATE(TODAY(), -3), TODAY()), 2, 2)) - 1, """")"),"")</f>
        <v/>
      </c>
      <c r="O254" s="21" t="str">
        <f>IFERROR(__xludf.DUMMYFUNCTION("IFERROR((GOOGLEFINANCE(C254, ""price"") / INDEX(GOOGLEFINANCE(C254, ""price"", EDATE(TODAY(), -6), TODAY()), 2, 2)) - 1, """")"),"")</f>
        <v/>
      </c>
      <c r="P254" s="21" t="str">
        <f>IFERROR(__xludf.DUMMYFUNCTION("IFERROR((GOOGLEFINANCE(C254, ""price"") / INDEX(GOOGLEFINANCE(C254, ""price"", EDATE(TODAY(), -12), TODAY()), 2, 2)) - 1, """")"),"")</f>
        <v/>
      </c>
      <c r="Q254" s="6" t="str">
        <f>IFERROR(__xludf.DUMMYFUNCTION("AVERAGE(QUERY(GOOGLEFINANCE(C254, ""price"", TODAY()-80, TODAY()), ""SELECT Col2 WHERE Col2 IS NOT NULL ORDER BY Col1 DESC LIMIT 50"", 0))"),"#N/A")</f>
        <v>#N/A</v>
      </c>
      <c r="R254" s="24" t="str">
        <f>IFERROR(__xludf.DUMMYFUNCTION("IFERROR(
  LET(
    data, QUERY(GOOGLEFINANCE(C254,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GOOGLEFINANCE(C254, ""price"")) * 100,
    IF(calc=0, G254, calc)
  ), 
G254)"),"#N/A")</f>
        <v>#N/A</v>
      </c>
      <c r="S254" s="8" t="s">
        <v>15</v>
      </c>
      <c r="T254" s="26" t="str">
        <f>IFERROR(__xludf.DUMMYFUNCTION("IFERROR(TRANSPOSE(QUERY(IFERROR(SORT(GOOGLEFINANCE(C254, ""price"", WORKDAY(TODAY(), -40), TODAY()), 1, FALSE)), ""select Col2 where Col2 is not null limit 22 label Col2 ''"", 0)), """")"),"")</f>
        <v/>
      </c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8"/>
      <c r="AO254" s="28"/>
      <c r="AP254" s="29"/>
      <c r="AQ254" s="29" t="str">
        <f t="shared" ref="AQ254:BL254" si="259">T254/T$2</f>
        <v>#N/A</v>
      </c>
      <c r="AR254" s="29" t="str">
        <f t="shared" si="259"/>
        <v>#DIV/0!</v>
      </c>
      <c r="AS254" s="29" t="str">
        <f t="shared" si="259"/>
        <v>#DIV/0!</v>
      </c>
      <c r="AT254" s="29" t="str">
        <f t="shared" si="259"/>
        <v>#DIV/0!</v>
      </c>
      <c r="AU254" s="29" t="str">
        <f t="shared" si="259"/>
        <v>#DIV/0!</v>
      </c>
      <c r="AV254" s="29" t="str">
        <f t="shared" si="259"/>
        <v>#DIV/0!</v>
      </c>
      <c r="AW254" s="29" t="str">
        <f t="shared" si="259"/>
        <v>#DIV/0!</v>
      </c>
      <c r="AX254" s="29" t="str">
        <f t="shared" si="259"/>
        <v>#DIV/0!</v>
      </c>
      <c r="AY254" s="29" t="str">
        <f t="shared" si="259"/>
        <v>#DIV/0!</v>
      </c>
      <c r="AZ254" s="29" t="str">
        <f t="shared" si="259"/>
        <v>#DIV/0!</v>
      </c>
      <c r="BA254" s="29" t="str">
        <f t="shared" si="259"/>
        <v>#DIV/0!</v>
      </c>
      <c r="BB254" s="29" t="str">
        <f t="shared" si="259"/>
        <v>#DIV/0!</v>
      </c>
      <c r="BC254" s="29" t="str">
        <f t="shared" si="259"/>
        <v>#DIV/0!</v>
      </c>
      <c r="BD254" s="29" t="str">
        <f t="shared" si="259"/>
        <v>#DIV/0!</v>
      </c>
      <c r="BE254" s="29" t="str">
        <f t="shared" si="259"/>
        <v>#DIV/0!</v>
      </c>
      <c r="BF254" s="29" t="str">
        <f t="shared" si="259"/>
        <v>#DIV/0!</v>
      </c>
      <c r="BG254" s="29" t="str">
        <f t="shared" si="259"/>
        <v>#DIV/0!</v>
      </c>
      <c r="BH254" s="29" t="str">
        <f t="shared" si="259"/>
        <v>#DIV/0!</v>
      </c>
      <c r="BI254" s="29" t="str">
        <f t="shared" si="259"/>
        <v>#DIV/0!</v>
      </c>
      <c r="BJ254" s="29" t="str">
        <f t="shared" si="259"/>
        <v>#DIV/0!</v>
      </c>
      <c r="BK254" s="29" t="str">
        <f t="shared" si="259"/>
        <v>#DIV/0!</v>
      </c>
      <c r="BL254" s="29" t="str">
        <f t="shared" si="259"/>
        <v>#DIV/0!</v>
      </c>
      <c r="BM254" s="29" t="str">
        <f t="shared" si="3"/>
        <v>#DIV/0!</v>
      </c>
    </row>
    <row r="255">
      <c r="A255" s="16" t="str">
        <f>IFERROR(__xludf.DUMMYFUNCTION("IFERROR(SPARKLINE(SORT(MAP(TRANSPOSE(AQ255:BL255), LAMBDA(val, IF(ISNUMBER(val), PERCENTRANK(AQ255:BL255, val)+0.01, 0))), SEQUENCE(COLUMNS(AQ255:BL255)), FALSE), {""charttype"",""column""; ""color"",""chartreuse""; ""ymin"", 0; ""ymax"", 1.01; ""highcolo"&amp;"r"", ""darkgreen""; ""lowcolor"", ""red""}), """")"),"")</f>
        <v/>
      </c>
      <c r="B255" s="17" t="str">
        <f t="shared" si="4"/>
        <v/>
      </c>
      <c r="C255" s="1" t="s">
        <v>2434</v>
      </c>
      <c r="D255" s="30" t="str">
        <f>IFERROR(__xludf.DUMMYFUNCTION("IFERROR(GOOGLEFINANCE(C255, ""NAME""))"),"Amphastar Pharmaceuticals, Inc")</f>
        <v>Amphastar Pharmaceuticals, Inc</v>
      </c>
      <c r="E255" s="30" t="s">
        <v>1475</v>
      </c>
      <c r="F255" s="33" t="str">
        <f>IFERROR(__xludf.DUMMYFUNCTION("( (GOOGLEFINANCE(C255, ""price"") - Q255) / Q255 ) / (R255 / 100)"),"Loading...")</f>
        <v>Loading...</v>
      </c>
      <c r="G255" s="20" t="str">
        <f>IFERROR(__xludf.DUMMYFUNCTION("AVERAGE(ARRAYFORMULA(100 * (QUERY(GOOGLEFINANCE(C255, ""high"", TODAY()-40, TODAY()), ""SELECT Col2 WHERE Col2 IS NOT NULL ORDER BY Col1 DESC LIMIT 20"", 0) / QUERY(GOOGLEFINANCE(C255, ""low"", TODAY()-40, TODAY()), ""SELECT Col2 WHERE Col2 IS NOT NULL OR"&amp;"DER BY Col1 DESC LIMIT 20"", 0) - 1)))"),"#N/A")</f>
        <v>#N/A</v>
      </c>
      <c r="H255" s="35" t="str">
        <f t="shared" si="233"/>
        <v/>
      </c>
      <c r="I255" s="36" t="str">
        <f t="shared" si="7"/>
        <v/>
      </c>
      <c r="J255" s="37" t="str">
        <f>IFERROR(__xludf.DUMMYFUNCTION("IFERROR(
  IF(C255="""",, 
    IFERROR(
      GOOGLEFINANCE(C255, ""price"") * GOOGLEFINANCE(C255, ""volumeavg""), 
      GOOGLEFINANCE(C255, ""price"") * AVERAGE(QUERY(GOOGLEFINANCE(C255, ""volume"", TODAY()-40, TODAY()), ""SELECT Col2 WHERE Col2 IS NOT "&amp;"NULL ORDER BY Col1 DESC LIMIT 20"", 0))
    )
  ), 
"""")"),"")</f>
        <v/>
      </c>
      <c r="K255" s="21" t="str">
        <f>IFERROR(__xludf.DUMMYFUNCTION("IFERROR(GOOGLEFINANCE(C255, ""changepct"") / 100, """")"),"")</f>
        <v/>
      </c>
      <c r="L255" s="21" t="str">
        <f>IFERROR(__xludf.DUMMYFUNCTION("IFERROR((GOOGLEFINANCE(C255, ""price"") / INDEX(GOOGLEFINANCE(C255, ""price"", TODAY()-7, TODAY()), 2, 2)) - 1, """")"),"")</f>
        <v/>
      </c>
      <c r="M255" s="21" t="str">
        <f>IFERROR(__xludf.DUMMYFUNCTION("IFERROR((GOOGLEFINANCE(C255, ""price"") / INDEX(GOOGLEFINANCE(C255, ""price"", EDATE(TODAY(), -1), TODAY()), 2, 2)) - 1, """")"),"")</f>
        <v/>
      </c>
      <c r="N255" s="21" t="str">
        <f>IFERROR(__xludf.DUMMYFUNCTION("IFERROR((GOOGLEFINANCE(C255, ""price"") / INDEX(GOOGLEFINANCE(C255, ""price"", EDATE(TODAY(), -3), TODAY()), 2, 2)) - 1, """")"),"")</f>
        <v/>
      </c>
      <c r="O255" s="21" t="str">
        <f>IFERROR(__xludf.DUMMYFUNCTION("IFERROR((GOOGLEFINANCE(C255, ""price"") / INDEX(GOOGLEFINANCE(C255, ""price"", EDATE(TODAY(), -6), TODAY()), 2, 2)) - 1, """")"),"")</f>
        <v/>
      </c>
      <c r="P255" s="21" t="str">
        <f>IFERROR(__xludf.DUMMYFUNCTION("IFERROR((GOOGLEFINANCE(C255, ""price"") / INDEX(GOOGLEFINANCE(C255, ""price"", EDATE(TODAY(), -12), TODAY()), 2, 2)) - 1, """")"),"")</f>
        <v/>
      </c>
      <c r="Q255" s="6" t="str">
        <f>IFERROR(__xludf.DUMMYFUNCTION("AVERAGE(QUERY(GOOGLEFINANCE(C255, ""price"", TODAY()-80, TODAY()), ""SELECT Col2 WHERE Col2 IS NOT NULL ORDER BY Col1 DESC LIMIT 50"", 0))"),"#N/A")</f>
        <v>#N/A</v>
      </c>
      <c r="R255" s="24" t="str">
        <f>IFERROR(__xludf.DUMMYFUNCTION("IFERROR(
  LET(
    data, QUERY(GOOGLEFINANCE(C255,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GOOGLEFINANCE(C255, ""price"")) * 100,
    IF(calc=0, G255, calc)
  ), 
G255)"),"#N/A")</f>
        <v>#N/A</v>
      </c>
      <c r="S255" s="8" t="s">
        <v>15</v>
      </c>
      <c r="T255" s="26" t="str">
        <f>IFERROR(__xludf.DUMMYFUNCTION("IFERROR(TRANSPOSE(QUERY(IFERROR(SORT(GOOGLEFINANCE(C255, ""price"", WORKDAY(TODAY(), -40), TODAY()), 1, FALSE)), ""select Col2 where Col2 is not null limit 22 label Col2 ''"", 0)), """")"),"")</f>
        <v/>
      </c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8"/>
      <c r="AO255" s="28"/>
      <c r="AP255" s="29"/>
      <c r="AQ255" s="29" t="str">
        <f t="shared" ref="AQ255:BL255" si="260">T255/T$2</f>
        <v>#N/A</v>
      </c>
      <c r="AR255" s="29" t="str">
        <f t="shared" si="260"/>
        <v>#DIV/0!</v>
      </c>
      <c r="AS255" s="29" t="str">
        <f t="shared" si="260"/>
        <v>#DIV/0!</v>
      </c>
      <c r="AT255" s="29" t="str">
        <f t="shared" si="260"/>
        <v>#DIV/0!</v>
      </c>
      <c r="AU255" s="29" t="str">
        <f t="shared" si="260"/>
        <v>#DIV/0!</v>
      </c>
      <c r="AV255" s="29" t="str">
        <f t="shared" si="260"/>
        <v>#DIV/0!</v>
      </c>
      <c r="AW255" s="29" t="str">
        <f t="shared" si="260"/>
        <v>#DIV/0!</v>
      </c>
      <c r="AX255" s="29" t="str">
        <f t="shared" si="260"/>
        <v>#DIV/0!</v>
      </c>
      <c r="AY255" s="29" t="str">
        <f t="shared" si="260"/>
        <v>#DIV/0!</v>
      </c>
      <c r="AZ255" s="29" t="str">
        <f t="shared" si="260"/>
        <v>#DIV/0!</v>
      </c>
      <c r="BA255" s="29" t="str">
        <f t="shared" si="260"/>
        <v>#DIV/0!</v>
      </c>
      <c r="BB255" s="29" t="str">
        <f t="shared" si="260"/>
        <v>#DIV/0!</v>
      </c>
      <c r="BC255" s="29" t="str">
        <f t="shared" si="260"/>
        <v>#DIV/0!</v>
      </c>
      <c r="BD255" s="29" t="str">
        <f t="shared" si="260"/>
        <v>#DIV/0!</v>
      </c>
      <c r="BE255" s="29" t="str">
        <f t="shared" si="260"/>
        <v>#DIV/0!</v>
      </c>
      <c r="BF255" s="29" t="str">
        <f t="shared" si="260"/>
        <v>#DIV/0!</v>
      </c>
      <c r="BG255" s="29" t="str">
        <f t="shared" si="260"/>
        <v>#DIV/0!</v>
      </c>
      <c r="BH255" s="29" t="str">
        <f t="shared" si="260"/>
        <v>#DIV/0!</v>
      </c>
      <c r="BI255" s="29" t="str">
        <f t="shared" si="260"/>
        <v>#DIV/0!</v>
      </c>
      <c r="BJ255" s="29" t="str">
        <f t="shared" si="260"/>
        <v>#DIV/0!</v>
      </c>
      <c r="BK255" s="29" t="str">
        <f t="shared" si="260"/>
        <v>#DIV/0!</v>
      </c>
      <c r="BL255" s="29" t="str">
        <f t="shared" si="260"/>
        <v>#DIV/0!</v>
      </c>
      <c r="BM255" s="29" t="str">
        <f t="shared" si="3"/>
        <v>#DIV/0!</v>
      </c>
    </row>
    <row r="256">
      <c r="A256" s="16" t="str">
        <f>IFERROR(__xludf.DUMMYFUNCTION("IFERROR(SPARKLINE(SORT(MAP(TRANSPOSE(AQ256:BL256), LAMBDA(val, IF(ISNUMBER(val), PERCENTRANK(AQ256:BL256, val)+0.01, 0))), SEQUENCE(COLUMNS(AQ256:BL256)), FALSE), {""charttype"",""column""; ""color"",""chartreuse""; ""ymin"", 0; ""ymax"", 1.01; ""highcolo"&amp;"r"", ""darkgreen""; ""lowcolor"", ""red""}), """")"),"")</f>
        <v/>
      </c>
      <c r="B256" s="17" t="str">
        <f t="shared" si="4"/>
        <v/>
      </c>
      <c r="C256" s="1" t="s">
        <v>2437</v>
      </c>
      <c r="D256" s="30" t="str">
        <f>IFERROR(__xludf.DUMMYFUNCTION("IFERROR(GOOGLEFINANCE(C256, ""NAME""))"),"Pacific Biosciences of California Inc")</f>
        <v>Pacific Biosciences of California Inc</v>
      </c>
      <c r="E256" s="30" t="s">
        <v>1491</v>
      </c>
      <c r="F256" s="33" t="str">
        <f>IFERROR(__xludf.DUMMYFUNCTION("( (GOOGLEFINANCE(C256, ""price"") - Q256) / Q256 ) / (R256 / 100)"),"Loading...")</f>
        <v>Loading...</v>
      </c>
      <c r="G256" s="20" t="str">
        <f>IFERROR(__xludf.DUMMYFUNCTION("AVERAGE(ARRAYFORMULA(100 * (QUERY(GOOGLEFINANCE(C256, ""high"", TODAY()-40, TODAY()), ""SELECT Col2 WHERE Col2 IS NOT NULL ORDER BY Col1 DESC LIMIT 20"", 0) / QUERY(GOOGLEFINANCE(C256, ""low"", TODAY()-40, TODAY()), ""SELECT Col2 WHERE Col2 IS NOT NULL OR"&amp;"DER BY Col1 DESC LIMIT 20"", 0) - 1)))"),"#N/A")</f>
        <v>#N/A</v>
      </c>
      <c r="H256" s="35" t="str">
        <f t="shared" si="233"/>
        <v/>
      </c>
      <c r="I256" s="36" t="str">
        <f t="shared" si="7"/>
        <v/>
      </c>
      <c r="J256" s="37" t="str">
        <f>IFERROR(__xludf.DUMMYFUNCTION("IFERROR(
  IF(C256="""",, 
    IFERROR(
      GOOGLEFINANCE(C256, ""price"") * GOOGLEFINANCE(C256, ""volumeavg""), 
      GOOGLEFINANCE(C256, ""price"") * AVERAGE(QUERY(GOOGLEFINANCE(C256, ""volume"", TODAY()-40, TODAY()), ""SELECT Col2 WHERE Col2 IS NOT "&amp;"NULL ORDER BY Col1 DESC LIMIT 20"", 0))
    )
  ), 
"""")"),"")</f>
        <v/>
      </c>
      <c r="K256" s="21" t="str">
        <f>IFERROR(__xludf.DUMMYFUNCTION("IFERROR(GOOGLEFINANCE(C256, ""changepct"") / 100, """")"),"")</f>
        <v/>
      </c>
      <c r="L256" s="21" t="str">
        <f>IFERROR(__xludf.DUMMYFUNCTION("IFERROR((GOOGLEFINANCE(C256, ""price"") / INDEX(GOOGLEFINANCE(C256, ""price"", TODAY()-7, TODAY()), 2, 2)) - 1, """")"),"")</f>
        <v/>
      </c>
      <c r="M256" s="21" t="str">
        <f>IFERROR(__xludf.DUMMYFUNCTION("IFERROR((GOOGLEFINANCE(C256, ""price"") / INDEX(GOOGLEFINANCE(C256, ""price"", EDATE(TODAY(), -1), TODAY()), 2, 2)) - 1, """")"),"")</f>
        <v/>
      </c>
      <c r="N256" s="21" t="str">
        <f>IFERROR(__xludf.DUMMYFUNCTION("IFERROR((GOOGLEFINANCE(C256, ""price"") / INDEX(GOOGLEFINANCE(C256, ""price"", EDATE(TODAY(), -3), TODAY()), 2, 2)) - 1, """")"),"")</f>
        <v/>
      </c>
      <c r="O256" s="21" t="str">
        <f>IFERROR(__xludf.DUMMYFUNCTION("IFERROR((GOOGLEFINANCE(C256, ""price"") / INDEX(GOOGLEFINANCE(C256, ""price"", EDATE(TODAY(), -6), TODAY()), 2, 2)) - 1, """")"),"")</f>
        <v/>
      </c>
      <c r="P256" s="21" t="str">
        <f>IFERROR(__xludf.DUMMYFUNCTION("IFERROR((GOOGLEFINANCE(C256, ""price"") / INDEX(GOOGLEFINANCE(C256, ""price"", EDATE(TODAY(), -12), TODAY()), 2, 2)) - 1, """")"),"")</f>
        <v/>
      </c>
      <c r="Q256" s="6" t="str">
        <f>IFERROR(__xludf.DUMMYFUNCTION("AVERAGE(QUERY(GOOGLEFINANCE(C256, ""price"", TODAY()-80, TODAY()), ""SELECT Col2 WHERE Col2 IS NOT NULL ORDER BY Col1 DESC LIMIT 50"", 0))"),"#N/A")</f>
        <v>#N/A</v>
      </c>
      <c r="R256" s="24" t="str">
        <f>IFERROR(__xludf.DUMMYFUNCTION("IFERROR(
  LET(
    data, QUERY(GOOGLEFINANCE(C256,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GOOGLEFINANCE(C256, ""price"")) * 100,
    IF(calc=0, G256, calc)
  ), 
G256)"),"#N/A")</f>
        <v>#N/A</v>
      </c>
      <c r="S256" s="8" t="s">
        <v>15</v>
      </c>
      <c r="T256" s="26" t="str">
        <f>IFERROR(__xludf.DUMMYFUNCTION("IFERROR(TRANSPOSE(QUERY(IFERROR(SORT(GOOGLEFINANCE(C256, ""price"", WORKDAY(TODAY(), -40), TODAY()), 1, FALSE)), ""select Col2 where Col2 is not null limit 22 label Col2 ''"", 0)), """")"),"")</f>
        <v/>
      </c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8"/>
      <c r="AO256" s="28"/>
      <c r="AP256" s="29"/>
      <c r="AQ256" s="29" t="str">
        <f t="shared" ref="AQ256:BL256" si="261">T256/T$2</f>
        <v>#N/A</v>
      </c>
      <c r="AR256" s="29" t="str">
        <f t="shared" si="261"/>
        <v>#DIV/0!</v>
      </c>
      <c r="AS256" s="29" t="str">
        <f t="shared" si="261"/>
        <v>#DIV/0!</v>
      </c>
      <c r="AT256" s="29" t="str">
        <f t="shared" si="261"/>
        <v>#DIV/0!</v>
      </c>
      <c r="AU256" s="29" t="str">
        <f t="shared" si="261"/>
        <v>#DIV/0!</v>
      </c>
      <c r="AV256" s="29" t="str">
        <f t="shared" si="261"/>
        <v>#DIV/0!</v>
      </c>
      <c r="AW256" s="29" t="str">
        <f t="shared" si="261"/>
        <v>#DIV/0!</v>
      </c>
      <c r="AX256" s="29" t="str">
        <f t="shared" si="261"/>
        <v>#DIV/0!</v>
      </c>
      <c r="AY256" s="29" t="str">
        <f t="shared" si="261"/>
        <v>#DIV/0!</v>
      </c>
      <c r="AZ256" s="29" t="str">
        <f t="shared" si="261"/>
        <v>#DIV/0!</v>
      </c>
      <c r="BA256" s="29" t="str">
        <f t="shared" si="261"/>
        <v>#DIV/0!</v>
      </c>
      <c r="BB256" s="29" t="str">
        <f t="shared" si="261"/>
        <v>#DIV/0!</v>
      </c>
      <c r="BC256" s="29" t="str">
        <f t="shared" si="261"/>
        <v>#DIV/0!</v>
      </c>
      <c r="BD256" s="29" t="str">
        <f t="shared" si="261"/>
        <v>#DIV/0!</v>
      </c>
      <c r="BE256" s="29" t="str">
        <f t="shared" si="261"/>
        <v>#DIV/0!</v>
      </c>
      <c r="BF256" s="29" t="str">
        <f t="shared" si="261"/>
        <v>#DIV/0!</v>
      </c>
      <c r="BG256" s="29" t="str">
        <f t="shared" si="261"/>
        <v>#DIV/0!</v>
      </c>
      <c r="BH256" s="29" t="str">
        <f t="shared" si="261"/>
        <v>#DIV/0!</v>
      </c>
      <c r="BI256" s="29" t="str">
        <f t="shared" si="261"/>
        <v>#DIV/0!</v>
      </c>
      <c r="BJ256" s="29" t="str">
        <f t="shared" si="261"/>
        <v>#DIV/0!</v>
      </c>
      <c r="BK256" s="29" t="str">
        <f t="shared" si="261"/>
        <v>#DIV/0!</v>
      </c>
      <c r="BL256" s="29" t="str">
        <f t="shared" si="261"/>
        <v>#DIV/0!</v>
      </c>
      <c r="BM256" s="29" t="str">
        <f t="shared" si="3"/>
        <v>#DIV/0!</v>
      </c>
    </row>
    <row r="257">
      <c r="A257" s="16" t="str">
        <f>IFERROR(__xludf.DUMMYFUNCTION("IFERROR(SPARKLINE(SORT(MAP(TRANSPOSE(AQ257:BL257), LAMBDA(val, IF(ISNUMBER(val), PERCENTRANK(AQ257:BL257, val)+0.01, 0))), SEQUENCE(COLUMNS(AQ257:BL257)), FALSE), {""charttype"",""column""; ""color"",""chartreuse""; ""ymin"", 0; ""ymax"", 1.01; ""highcolo"&amp;"r"", ""darkgreen""; ""lowcolor"", ""red""}), """")"),"")</f>
        <v/>
      </c>
      <c r="B257" s="17" t="str">
        <f t="shared" si="4"/>
        <v/>
      </c>
      <c r="C257" s="1" t="s">
        <v>2442</v>
      </c>
      <c r="D257" s="30" t="str">
        <f>IFERROR(__xludf.DUMMYFUNCTION("IFERROR(GOOGLEFINANCE(C257, ""NAME""))"),"Mettler-Toledo International Inc")</f>
        <v>Mettler-Toledo International Inc</v>
      </c>
      <c r="E257" s="30" t="s">
        <v>1499</v>
      </c>
      <c r="F257" s="33" t="str">
        <f>IFERROR(__xludf.DUMMYFUNCTION("( (GOOGLEFINANCE(C257, ""price"") - Q257) / Q257 ) / (R257 / 100)"),"Loading...")</f>
        <v>Loading...</v>
      </c>
      <c r="G257" s="20" t="str">
        <f>IFERROR(__xludf.DUMMYFUNCTION("AVERAGE(ARRAYFORMULA(100 * (QUERY(GOOGLEFINANCE(C257, ""high"", TODAY()-40, TODAY()), ""SELECT Col2 WHERE Col2 IS NOT NULL ORDER BY Col1 DESC LIMIT 20"", 0) / QUERY(GOOGLEFINANCE(C257, ""low"", TODAY()-40, TODAY()), ""SELECT Col2 WHERE Col2 IS NOT NULL OR"&amp;"DER BY Col1 DESC LIMIT 20"", 0) - 1)))"),"#N/A")</f>
        <v>#N/A</v>
      </c>
      <c r="H257" s="35" t="str">
        <f t="shared" si="233"/>
        <v/>
      </c>
      <c r="I257" s="36" t="str">
        <f t="shared" si="7"/>
        <v/>
      </c>
      <c r="J257" s="37" t="str">
        <f>IFERROR(__xludf.DUMMYFUNCTION("IFERROR(
  IF(C257="""",, 
    IFERROR(
      GOOGLEFINANCE(C257, ""price"") * GOOGLEFINANCE(C257, ""volumeavg""), 
      GOOGLEFINANCE(C257, ""price"") * AVERAGE(QUERY(GOOGLEFINANCE(C257, ""volume"", TODAY()-40, TODAY()), ""SELECT Col2 WHERE Col2 IS NOT "&amp;"NULL ORDER BY Col1 DESC LIMIT 20"", 0))
    )
  ), 
"""")"),"")</f>
        <v/>
      </c>
      <c r="K257" s="21" t="str">
        <f>IFERROR(__xludf.DUMMYFUNCTION("IFERROR(GOOGLEFINANCE(C257, ""changepct"") / 100, """")"),"")</f>
        <v/>
      </c>
      <c r="L257" s="21" t="str">
        <f>IFERROR(__xludf.DUMMYFUNCTION("IFERROR((GOOGLEFINANCE(C257, ""price"") / INDEX(GOOGLEFINANCE(C257, ""price"", TODAY()-7, TODAY()), 2, 2)) - 1, """")"),"")</f>
        <v/>
      </c>
      <c r="M257" s="21" t="str">
        <f>IFERROR(__xludf.DUMMYFUNCTION("IFERROR((GOOGLEFINANCE(C257, ""price"") / INDEX(GOOGLEFINANCE(C257, ""price"", EDATE(TODAY(), -1), TODAY()), 2, 2)) - 1, """")"),"")</f>
        <v/>
      </c>
      <c r="N257" s="21" t="str">
        <f>IFERROR(__xludf.DUMMYFUNCTION("IFERROR((GOOGLEFINANCE(C257, ""price"") / INDEX(GOOGLEFINANCE(C257, ""price"", EDATE(TODAY(), -3), TODAY()), 2, 2)) - 1, """")"),"")</f>
        <v/>
      </c>
      <c r="O257" s="21" t="str">
        <f>IFERROR(__xludf.DUMMYFUNCTION("IFERROR((GOOGLEFINANCE(C257, ""price"") / INDEX(GOOGLEFINANCE(C257, ""price"", EDATE(TODAY(), -6), TODAY()), 2, 2)) - 1, """")"),"")</f>
        <v/>
      </c>
      <c r="P257" s="21" t="str">
        <f>IFERROR(__xludf.DUMMYFUNCTION("IFERROR((GOOGLEFINANCE(C257, ""price"") / INDEX(GOOGLEFINANCE(C257, ""price"", EDATE(TODAY(), -12), TODAY()), 2, 2)) - 1, """")"),"")</f>
        <v/>
      </c>
      <c r="Q257" s="6" t="str">
        <f>IFERROR(__xludf.DUMMYFUNCTION("AVERAGE(QUERY(GOOGLEFINANCE(C257, ""price"", TODAY()-80, TODAY()), ""SELECT Col2 WHERE Col2 IS NOT NULL ORDER BY Col1 DESC LIMIT 50"", 0))"),"#N/A")</f>
        <v>#N/A</v>
      </c>
      <c r="R257" s="24" t="str">
        <f>IFERROR(__xludf.DUMMYFUNCTION("IFERROR(
  LET(
    data, QUERY(GOOGLEFINANCE(C257,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GOOGLEFINANCE(C257, ""price"")) * 100,
    IF(calc=0, G257, calc)
  ), 
G257)"),"#N/A")</f>
        <v>#N/A</v>
      </c>
      <c r="S257" s="8" t="s">
        <v>15</v>
      </c>
      <c r="T257" s="26" t="str">
        <f>IFERROR(__xludf.DUMMYFUNCTION("IFERROR(TRANSPOSE(QUERY(IFERROR(SORT(GOOGLEFINANCE(C257, ""price"", WORKDAY(TODAY(), -40), TODAY()), 1, FALSE)), ""select Col2 where Col2 is not null limit 22 label Col2 ''"", 0)), """")"),"")</f>
        <v/>
      </c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8"/>
      <c r="AO257" s="28"/>
      <c r="AP257" s="29"/>
      <c r="AQ257" s="29" t="str">
        <f t="shared" ref="AQ257:BL257" si="262">T257/T$2</f>
        <v>#N/A</v>
      </c>
      <c r="AR257" s="29" t="str">
        <f t="shared" si="262"/>
        <v>#DIV/0!</v>
      </c>
      <c r="AS257" s="29" t="str">
        <f t="shared" si="262"/>
        <v>#DIV/0!</v>
      </c>
      <c r="AT257" s="29" t="str">
        <f t="shared" si="262"/>
        <v>#DIV/0!</v>
      </c>
      <c r="AU257" s="29" t="str">
        <f t="shared" si="262"/>
        <v>#DIV/0!</v>
      </c>
      <c r="AV257" s="29" t="str">
        <f t="shared" si="262"/>
        <v>#DIV/0!</v>
      </c>
      <c r="AW257" s="29" t="str">
        <f t="shared" si="262"/>
        <v>#DIV/0!</v>
      </c>
      <c r="AX257" s="29" t="str">
        <f t="shared" si="262"/>
        <v>#DIV/0!</v>
      </c>
      <c r="AY257" s="29" t="str">
        <f t="shared" si="262"/>
        <v>#DIV/0!</v>
      </c>
      <c r="AZ257" s="29" t="str">
        <f t="shared" si="262"/>
        <v>#DIV/0!</v>
      </c>
      <c r="BA257" s="29" t="str">
        <f t="shared" si="262"/>
        <v>#DIV/0!</v>
      </c>
      <c r="BB257" s="29" t="str">
        <f t="shared" si="262"/>
        <v>#DIV/0!</v>
      </c>
      <c r="BC257" s="29" t="str">
        <f t="shared" si="262"/>
        <v>#DIV/0!</v>
      </c>
      <c r="BD257" s="29" t="str">
        <f t="shared" si="262"/>
        <v>#DIV/0!</v>
      </c>
      <c r="BE257" s="29" t="str">
        <f t="shared" si="262"/>
        <v>#DIV/0!</v>
      </c>
      <c r="BF257" s="29" t="str">
        <f t="shared" si="262"/>
        <v>#DIV/0!</v>
      </c>
      <c r="BG257" s="29" t="str">
        <f t="shared" si="262"/>
        <v>#DIV/0!</v>
      </c>
      <c r="BH257" s="29" t="str">
        <f t="shared" si="262"/>
        <v>#DIV/0!</v>
      </c>
      <c r="BI257" s="29" t="str">
        <f t="shared" si="262"/>
        <v>#DIV/0!</v>
      </c>
      <c r="BJ257" s="29" t="str">
        <f t="shared" si="262"/>
        <v>#DIV/0!</v>
      </c>
      <c r="BK257" s="29" t="str">
        <f t="shared" si="262"/>
        <v>#DIV/0!</v>
      </c>
      <c r="BL257" s="29" t="str">
        <f t="shared" si="262"/>
        <v>#DIV/0!</v>
      </c>
      <c r="BM257" s="29" t="str">
        <f t="shared" si="3"/>
        <v>#DIV/0!</v>
      </c>
    </row>
    <row r="258">
      <c r="A258" s="16" t="str">
        <f>IFERROR(__xludf.DUMMYFUNCTION("IFERROR(SPARKLINE(SORT(MAP(TRANSPOSE(AQ258:BL258), LAMBDA(val, IF(ISNUMBER(val), PERCENTRANK(AQ258:BL258, val)+0.01, 0))), SEQUENCE(COLUMNS(AQ258:BL258)), FALSE), {""charttype"",""column""; ""color"",""chartreuse""; ""ymin"", 0; ""ymax"", 1.01; ""highcolo"&amp;"r"", ""darkgreen""; ""lowcolor"", ""red""}), """")"),"")</f>
        <v/>
      </c>
      <c r="B258" s="17" t="str">
        <f t="shared" si="4"/>
        <v/>
      </c>
      <c r="C258" s="1" t="s">
        <v>2445</v>
      </c>
      <c r="D258" s="30" t="str">
        <f>IFERROR(__xludf.DUMMYFUNCTION("IFERROR(GOOGLEFINANCE(C258, ""NAME""))"),"Harrow Inc")</f>
        <v>Harrow Inc</v>
      </c>
      <c r="E258" s="30" t="s">
        <v>1475</v>
      </c>
      <c r="F258" s="33" t="str">
        <f>IFERROR(__xludf.DUMMYFUNCTION("( (GOOGLEFINANCE(C258, ""price"") - Q258) / Q258 ) / (R258 / 100)"),"Loading...")</f>
        <v>Loading...</v>
      </c>
      <c r="G258" s="20" t="str">
        <f>IFERROR(__xludf.DUMMYFUNCTION("AVERAGE(ARRAYFORMULA(100 * (QUERY(GOOGLEFINANCE(C258, ""high"", TODAY()-40, TODAY()), ""SELECT Col2 WHERE Col2 IS NOT NULL ORDER BY Col1 DESC LIMIT 20"", 0) / QUERY(GOOGLEFINANCE(C258, ""low"", TODAY()-40, TODAY()), ""SELECT Col2 WHERE Col2 IS NOT NULL OR"&amp;"DER BY Col1 DESC LIMIT 20"", 0) - 1)))"),"#N/A")</f>
        <v>#N/A</v>
      </c>
      <c r="H258" s="35" t="str">
        <f t="shared" si="233"/>
        <v/>
      </c>
      <c r="I258" s="36" t="str">
        <f t="shared" si="7"/>
        <v/>
      </c>
      <c r="J258" s="37" t="str">
        <f>IFERROR(__xludf.DUMMYFUNCTION("IFERROR(
  IF(C258="""",, 
    IFERROR(
      GOOGLEFINANCE(C258, ""price"") * GOOGLEFINANCE(C258, ""volumeavg""), 
      GOOGLEFINANCE(C258, ""price"") * AVERAGE(QUERY(GOOGLEFINANCE(C258, ""volume"", TODAY()-40, TODAY()), ""SELECT Col2 WHERE Col2 IS NOT "&amp;"NULL ORDER BY Col1 DESC LIMIT 20"", 0))
    )
  ), 
"""")"),"")</f>
        <v/>
      </c>
      <c r="K258" s="21" t="str">
        <f>IFERROR(__xludf.DUMMYFUNCTION("IFERROR(GOOGLEFINANCE(C258, ""changepct"") / 100, """")"),"")</f>
        <v/>
      </c>
      <c r="L258" s="21" t="str">
        <f>IFERROR(__xludf.DUMMYFUNCTION("IFERROR((GOOGLEFINANCE(C258, ""price"") / INDEX(GOOGLEFINANCE(C258, ""price"", TODAY()-7, TODAY()), 2, 2)) - 1, """")"),"")</f>
        <v/>
      </c>
      <c r="M258" s="21" t="str">
        <f>IFERROR(__xludf.DUMMYFUNCTION("IFERROR((GOOGLEFINANCE(C258, ""price"") / INDEX(GOOGLEFINANCE(C258, ""price"", EDATE(TODAY(), -1), TODAY()), 2, 2)) - 1, """")"),"")</f>
        <v/>
      </c>
      <c r="N258" s="21" t="str">
        <f>IFERROR(__xludf.DUMMYFUNCTION("IFERROR((GOOGLEFINANCE(C258, ""price"") / INDEX(GOOGLEFINANCE(C258, ""price"", EDATE(TODAY(), -3), TODAY()), 2, 2)) - 1, """")"),"")</f>
        <v/>
      </c>
      <c r="O258" s="21" t="str">
        <f>IFERROR(__xludf.DUMMYFUNCTION("IFERROR((GOOGLEFINANCE(C258, ""price"") / INDEX(GOOGLEFINANCE(C258, ""price"", EDATE(TODAY(), -6), TODAY()), 2, 2)) - 1, """")"),"")</f>
        <v/>
      </c>
      <c r="P258" s="21" t="str">
        <f>IFERROR(__xludf.DUMMYFUNCTION("IFERROR((GOOGLEFINANCE(C258, ""price"") / INDEX(GOOGLEFINANCE(C258, ""price"", EDATE(TODAY(), -12), TODAY()), 2, 2)) - 1, """")"),"")</f>
        <v/>
      </c>
      <c r="Q258" s="6" t="str">
        <f>IFERROR(__xludf.DUMMYFUNCTION("AVERAGE(QUERY(GOOGLEFINANCE(C258, ""price"", TODAY()-80, TODAY()), ""SELECT Col2 WHERE Col2 IS NOT NULL ORDER BY Col1 DESC LIMIT 50"", 0))"),"#N/A")</f>
        <v>#N/A</v>
      </c>
      <c r="R258" s="24" t="str">
        <f>IFERROR(__xludf.DUMMYFUNCTION("IFERROR(
  LET(
    data, QUERY(GOOGLEFINANCE(C258,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GOOGLEFINANCE(C258, ""price"")) * 100,
    IF(calc=0, G258, calc)
  ), 
G258)"),"#N/A")</f>
        <v>#N/A</v>
      </c>
      <c r="S258" s="8" t="s">
        <v>15</v>
      </c>
      <c r="T258" s="26" t="str">
        <f>IFERROR(__xludf.DUMMYFUNCTION("IFERROR(TRANSPOSE(QUERY(IFERROR(SORT(GOOGLEFINANCE(C258, ""price"", WORKDAY(TODAY(), -40), TODAY()), 1, FALSE)), ""select Col2 where Col2 is not null limit 22 label Col2 ''"", 0)), """")"),"")</f>
        <v/>
      </c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8"/>
      <c r="AO258" s="28"/>
      <c r="AP258" s="29"/>
      <c r="AQ258" s="29" t="str">
        <f t="shared" ref="AQ258:BL258" si="263">T258/T$2</f>
        <v>#N/A</v>
      </c>
      <c r="AR258" s="29" t="str">
        <f t="shared" si="263"/>
        <v>#DIV/0!</v>
      </c>
      <c r="AS258" s="29" t="str">
        <f t="shared" si="263"/>
        <v>#DIV/0!</v>
      </c>
      <c r="AT258" s="29" t="str">
        <f t="shared" si="263"/>
        <v>#DIV/0!</v>
      </c>
      <c r="AU258" s="29" t="str">
        <f t="shared" si="263"/>
        <v>#DIV/0!</v>
      </c>
      <c r="AV258" s="29" t="str">
        <f t="shared" si="263"/>
        <v>#DIV/0!</v>
      </c>
      <c r="AW258" s="29" t="str">
        <f t="shared" si="263"/>
        <v>#DIV/0!</v>
      </c>
      <c r="AX258" s="29" t="str">
        <f t="shared" si="263"/>
        <v>#DIV/0!</v>
      </c>
      <c r="AY258" s="29" t="str">
        <f t="shared" si="263"/>
        <v>#DIV/0!</v>
      </c>
      <c r="AZ258" s="29" t="str">
        <f t="shared" si="263"/>
        <v>#DIV/0!</v>
      </c>
      <c r="BA258" s="29" t="str">
        <f t="shared" si="263"/>
        <v>#DIV/0!</v>
      </c>
      <c r="BB258" s="29" t="str">
        <f t="shared" si="263"/>
        <v>#DIV/0!</v>
      </c>
      <c r="BC258" s="29" t="str">
        <f t="shared" si="263"/>
        <v>#DIV/0!</v>
      </c>
      <c r="BD258" s="29" t="str">
        <f t="shared" si="263"/>
        <v>#DIV/0!</v>
      </c>
      <c r="BE258" s="29" t="str">
        <f t="shared" si="263"/>
        <v>#DIV/0!</v>
      </c>
      <c r="BF258" s="29" t="str">
        <f t="shared" si="263"/>
        <v>#DIV/0!</v>
      </c>
      <c r="BG258" s="29" t="str">
        <f t="shared" si="263"/>
        <v>#DIV/0!</v>
      </c>
      <c r="BH258" s="29" t="str">
        <f t="shared" si="263"/>
        <v>#DIV/0!</v>
      </c>
      <c r="BI258" s="29" t="str">
        <f t="shared" si="263"/>
        <v>#DIV/0!</v>
      </c>
      <c r="BJ258" s="29" t="str">
        <f t="shared" si="263"/>
        <v>#DIV/0!</v>
      </c>
      <c r="BK258" s="29" t="str">
        <f t="shared" si="263"/>
        <v>#DIV/0!</v>
      </c>
      <c r="BL258" s="29" t="str">
        <f t="shared" si="263"/>
        <v>#DIV/0!</v>
      </c>
      <c r="BM258" s="29" t="str">
        <f t="shared" si="3"/>
        <v>#DIV/0!</v>
      </c>
    </row>
    <row r="259">
      <c r="A259" s="16" t="str">
        <f>IFERROR(__xludf.DUMMYFUNCTION("IFERROR(SPARKLINE(SORT(MAP(TRANSPOSE(AQ259:BL259), LAMBDA(val, IF(ISNUMBER(val), PERCENTRANK(AQ259:BL259, val)+0.01, 0))), SEQUENCE(COLUMNS(AQ259:BL259)), FALSE), {""charttype"",""column""; ""color"",""chartreuse""; ""ymin"", 0; ""ymax"", 1.01; ""highcolo"&amp;"r"", ""darkgreen""; ""lowcolor"", ""red""}), """")"),"")</f>
        <v/>
      </c>
      <c r="B259" s="17" t="str">
        <f t="shared" si="4"/>
        <v/>
      </c>
      <c r="C259" s="1" t="s">
        <v>2449</v>
      </c>
      <c r="D259" s="30" t="str">
        <f>IFERROR(__xludf.DUMMYFUNCTION("IFERROR(GOOGLEFINANCE(C259, ""NAME""))"),"Butterfly Network Inc")</f>
        <v>Butterfly Network Inc</v>
      </c>
      <c r="E259" s="30" t="s">
        <v>1491</v>
      </c>
      <c r="F259" s="33" t="str">
        <f>IFERROR(__xludf.DUMMYFUNCTION("( (GOOGLEFINANCE(C259, ""price"") - Q259) / Q259 ) / (R259 / 100)"),"Loading...")</f>
        <v>Loading...</v>
      </c>
      <c r="G259" s="20" t="str">
        <f>IFERROR(__xludf.DUMMYFUNCTION("AVERAGE(ARRAYFORMULA(100 * (QUERY(GOOGLEFINANCE(C259, ""high"", TODAY()-40, TODAY()), ""SELECT Col2 WHERE Col2 IS NOT NULL ORDER BY Col1 DESC LIMIT 20"", 0) / QUERY(GOOGLEFINANCE(C259, ""low"", TODAY()-40, TODAY()), ""SELECT Col2 WHERE Col2 IS NOT NULL OR"&amp;"DER BY Col1 DESC LIMIT 20"", 0) - 1)))"),"#N/A")</f>
        <v>#N/A</v>
      </c>
      <c r="H259" s="35" t="str">
        <f t="shared" si="233"/>
        <v/>
      </c>
      <c r="I259" s="36" t="str">
        <f t="shared" si="7"/>
        <v/>
      </c>
      <c r="J259" s="37" t="str">
        <f>IFERROR(__xludf.DUMMYFUNCTION("IFERROR(
  IF(C259="""",, 
    IFERROR(
      GOOGLEFINANCE(C259, ""price"") * GOOGLEFINANCE(C259, ""volumeavg""), 
      GOOGLEFINANCE(C259, ""price"") * AVERAGE(QUERY(GOOGLEFINANCE(C259, ""volume"", TODAY()-40, TODAY()), ""SELECT Col2 WHERE Col2 IS NOT "&amp;"NULL ORDER BY Col1 DESC LIMIT 20"", 0))
    )
  ), 
"""")"),"")</f>
        <v/>
      </c>
      <c r="K259" s="21" t="str">
        <f>IFERROR(__xludf.DUMMYFUNCTION("IFERROR(GOOGLEFINANCE(C259, ""changepct"") / 100, """")"),"")</f>
        <v/>
      </c>
      <c r="L259" s="21" t="str">
        <f>IFERROR(__xludf.DUMMYFUNCTION("IFERROR((GOOGLEFINANCE(C259, ""price"") / INDEX(GOOGLEFINANCE(C259, ""price"", TODAY()-7, TODAY()), 2, 2)) - 1, """")"),"")</f>
        <v/>
      </c>
      <c r="M259" s="21" t="str">
        <f>IFERROR(__xludf.DUMMYFUNCTION("IFERROR((GOOGLEFINANCE(C259, ""price"") / INDEX(GOOGLEFINANCE(C259, ""price"", EDATE(TODAY(), -1), TODAY()), 2, 2)) - 1, """")"),"")</f>
        <v/>
      </c>
      <c r="N259" s="21" t="str">
        <f>IFERROR(__xludf.DUMMYFUNCTION("IFERROR((GOOGLEFINANCE(C259, ""price"") / INDEX(GOOGLEFINANCE(C259, ""price"", EDATE(TODAY(), -3), TODAY()), 2, 2)) - 1, """")"),"")</f>
        <v/>
      </c>
      <c r="O259" s="21" t="str">
        <f>IFERROR(__xludf.DUMMYFUNCTION("IFERROR((GOOGLEFINANCE(C259, ""price"") / INDEX(GOOGLEFINANCE(C259, ""price"", EDATE(TODAY(), -6), TODAY()), 2, 2)) - 1, """")"),"")</f>
        <v/>
      </c>
      <c r="P259" s="21" t="str">
        <f>IFERROR(__xludf.DUMMYFUNCTION("IFERROR((GOOGLEFINANCE(C259, ""price"") / INDEX(GOOGLEFINANCE(C259, ""price"", EDATE(TODAY(), -12), TODAY()), 2, 2)) - 1, """")"),"")</f>
        <v/>
      </c>
      <c r="Q259" s="6" t="str">
        <f>IFERROR(__xludf.DUMMYFUNCTION("AVERAGE(QUERY(GOOGLEFINANCE(C259, ""price"", TODAY()-80, TODAY()), ""SELECT Col2 WHERE Col2 IS NOT NULL ORDER BY Col1 DESC LIMIT 50"", 0))"),"#N/A")</f>
        <v>#N/A</v>
      </c>
      <c r="R259" s="24" t="str">
        <f>IFERROR(__xludf.DUMMYFUNCTION("IFERROR(
  LET(
    data, QUERY(GOOGLEFINANCE(C259,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GOOGLEFINANCE(C259, ""price"")) * 100,
    IF(calc=0, G259, calc)
  ), 
G259)"),"#N/A")</f>
        <v>#N/A</v>
      </c>
      <c r="S259" s="8" t="s">
        <v>15</v>
      </c>
      <c r="T259" s="26" t="str">
        <f>IFERROR(__xludf.DUMMYFUNCTION("IFERROR(TRANSPOSE(QUERY(IFERROR(SORT(GOOGLEFINANCE(C259, ""price"", WORKDAY(TODAY(), -40), TODAY()), 1, FALSE)), ""select Col2 where Col2 is not null limit 22 label Col2 ''"", 0)), """")"),"")</f>
        <v/>
      </c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8"/>
      <c r="AO259" s="28"/>
      <c r="AP259" s="29"/>
      <c r="AQ259" s="29" t="str">
        <f t="shared" ref="AQ259:BL259" si="264">T259/T$2</f>
        <v>#N/A</v>
      </c>
      <c r="AR259" s="29" t="str">
        <f t="shared" si="264"/>
        <v>#DIV/0!</v>
      </c>
      <c r="AS259" s="29" t="str">
        <f t="shared" si="264"/>
        <v>#DIV/0!</v>
      </c>
      <c r="AT259" s="29" t="str">
        <f t="shared" si="264"/>
        <v>#DIV/0!</v>
      </c>
      <c r="AU259" s="29" t="str">
        <f t="shared" si="264"/>
        <v>#DIV/0!</v>
      </c>
      <c r="AV259" s="29" t="str">
        <f t="shared" si="264"/>
        <v>#DIV/0!</v>
      </c>
      <c r="AW259" s="29" t="str">
        <f t="shared" si="264"/>
        <v>#DIV/0!</v>
      </c>
      <c r="AX259" s="29" t="str">
        <f t="shared" si="264"/>
        <v>#DIV/0!</v>
      </c>
      <c r="AY259" s="29" t="str">
        <f t="shared" si="264"/>
        <v>#DIV/0!</v>
      </c>
      <c r="AZ259" s="29" t="str">
        <f t="shared" si="264"/>
        <v>#DIV/0!</v>
      </c>
      <c r="BA259" s="29" t="str">
        <f t="shared" si="264"/>
        <v>#DIV/0!</v>
      </c>
      <c r="BB259" s="29" t="str">
        <f t="shared" si="264"/>
        <v>#DIV/0!</v>
      </c>
      <c r="BC259" s="29" t="str">
        <f t="shared" si="264"/>
        <v>#DIV/0!</v>
      </c>
      <c r="BD259" s="29" t="str">
        <f t="shared" si="264"/>
        <v>#DIV/0!</v>
      </c>
      <c r="BE259" s="29" t="str">
        <f t="shared" si="264"/>
        <v>#DIV/0!</v>
      </c>
      <c r="BF259" s="29" t="str">
        <f t="shared" si="264"/>
        <v>#DIV/0!</v>
      </c>
      <c r="BG259" s="29" t="str">
        <f t="shared" si="264"/>
        <v>#DIV/0!</v>
      </c>
      <c r="BH259" s="29" t="str">
        <f t="shared" si="264"/>
        <v>#DIV/0!</v>
      </c>
      <c r="BI259" s="29" t="str">
        <f t="shared" si="264"/>
        <v>#DIV/0!</v>
      </c>
      <c r="BJ259" s="29" t="str">
        <f t="shared" si="264"/>
        <v>#DIV/0!</v>
      </c>
      <c r="BK259" s="29" t="str">
        <f t="shared" si="264"/>
        <v>#DIV/0!</v>
      </c>
      <c r="BL259" s="29" t="str">
        <f t="shared" si="264"/>
        <v>#DIV/0!</v>
      </c>
      <c r="BM259" s="29" t="str">
        <f t="shared" si="3"/>
        <v>#DIV/0!</v>
      </c>
    </row>
    <row r="260">
      <c r="A260" s="16" t="str">
        <f>IFERROR(__xludf.DUMMYFUNCTION("IFERROR(SPARKLINE(SORT(MAP(TRANSPOSE(AQ260:BL260), LAMBDA(val, IF(ISNUMBER(val), PERCENTRANK(AQ260:BL260, val)+0.01, 0))), SEQUENCE(COLUMNS(AQ260:BL260)), FALSE), {""charttype"",""column""; ""color"",""chartreuse""; ""ymin"", 0; ""ymax"", 1.01; ""highcolo"&amp;"r"", ""darkgreen""; ""lowcolor"", ""red""}), """")"),"")</f>
        <v/>
      </c>
      <c r="B260" s="17" t="str">
        <f t="shared" si="4"/>
        <v/>
      </c>
      <c r="C260" s="1" t="s">
        <v>2453</v>
      </c>
      <c r="D260" s="30" t="str">
        <f>IFERROR(__xludf.DUMMYFUNCTION("IFERROR(GOOGLEFINANCE(C260, ""NAME""))"),"Dr Reddy's Laboratories Ltd")</f>
        <v>Dr Reddy's Laboratories Ltd</v>
      </c>
      <c r="E260" s="30" t="s">
        <v>1475</v>
      </c>
      <c r="F260" s="33" t="str">
        <f>IFERROR(__xludf.DUMMYFUNCTION("( (GOOGLEFINANCE(C260, ""price"") - Q260) / Q260 ) / (R260 / 100)"),"Loading...")</f>
        <v>Loading...</v>
      </c>
      <c r="G260" s="20" t="str">
        <f>IFERROR(__xludf.DUMMYFUNCTION("AVERAGE(ARRAYFORMULA(100 * (QUERY(GOOGLEFINANCE(C260, ""high"", TODAY()-40, TODAY()), ""SELECT Col2 WHERE Col2 IS NOT NULL ORDER BY Col1 DESC LIMIT 20"", 0) / QUERY(GOOGLEFINANCE(C260, ""low"", TODAY()-40, TODAY()), ""SELECT Col2 WHERE Col2 IS NOT NULL OR"&amp;"DER BY Col1 DESC LIMIT 20"", 0) - 1)))"),"#N/A")</f>
        <v>#N/A</v>
      </c>
      <c r="H260" s="35" t="str">
        <f t="shared" si="233"/>
        <v/>
      </c>
      <c r="I260" s="36" t="str">
        <f t="shared" si="7"/>
        <v/>
      </c>
      <c r="J260" s="37" t="str">
        <f>IFERROR(__xludf.DUMMYFUNCTION("IFERROR(
  IF(C260="""",, 
    IFERROR(
      GOOGLEFINANCE(C260, ""price"") * GOOGLEFINANCE(C260, ""volumeavg""), 
      GOOGLEFINANCE(C260, ""price"") * AVERAGE(QUERY(GOOGLEFINANCE(C260, ""volume"", TODAY()-40, TODAY()), ""SELECT Col2 WHERE Col2 IS NOT "&amp;"NULL ORDER BY Col1 DESC LIMIT 20"", 0))
    )
  ), 
"""")"),"")</f>
        <v/>
      </c>
      <c r="K260" s="21" t="str">
        <f>IFERROR(__xludf.DUMMYFUNCTION("IFERROR(GOOGLEFINANCE(C260, ""changepct"") / 100, """")"),"")</f>
        <v/>
      </c>
      <c r="L260" s="21" t="str">
        <f>IFERROR(__xludf.DUMMYFUNCTION("IFERROR((GOOGLEFINANCE(C260, ""price"") / INDEX(GOOGLEFINANCE(C260, ""price"", TODAY()-7, TODAY()), 2, 2)) - 1, """")"),"")</f>
        <v/>
      </c>
      <c r="M260" s="21" t="str">
        <f>IFERROR(__xludf.DUMMYFUNCTION("IFERROR((GOOGLEFINANCE(C260, ""price"") / INDEX(GOOGLEFINANCE(C260, ""price"", EDATE(TODAY(), -1), TODAY()), 2, 2)) - 1, """")"),"")</f>
        <v/>
      </c>
      <c r="N260" s="21" t="str">
        <f>IFERROR(__xludf.DUMMYFUNCTION("IFERROR((GOOGLEFINANCE(C260, ""price"") / INDEX(GOOGLEFINANCE(C260, ""price"", EDATE(TODAY(), -3), TODAY()), 2, 2)) - 1, """")"),"")</f>
        <v/>
      </c>
      <c r="O260" s="21" t="str">
        <f>IFERROR(__xludf.DUMMYFUNCTION("IFERROR((GOOGLEFINANCE(C260, ""price"") / INDEX(GOOGLEFINANCE(C260, ""price"", EDATE(TODAY(), -6), TODAY()), 2, 2)) - 1, """")"),"")</f>
        <v/>
      </c>
      <c r="P260" s="21" t="str">
        <f>IFERROR(__xludf.DUMMYFUNCTION("IFERROR((GOOGLEFINANCE(C260, ""price"") / INDEX(GOOGLEFINANCE(C260, ""price"", EDATE(TODAY(), -12), TODAY()), 2, 2)) - 1, """")"),"")</f>
        <v/>
      </c>
      <c r="Q260" s="6" t="str">
        <f>IFERROR(__xludf.DUMMYFUNCTION("AVERAGE(QUERY(GOOGLEFINANCE(C260, ""price"", TODAY()-80, TODAY()), ""SELECT Col2 WHERE Col2 IS NOT NULL ORDER BY Col1 DESC LIMIT 50"", 0))"),"#N/A")</f>
        <v>#N/A</v>
      </c>
      <c r="R260" s="24" t="str">
        <f>IFERROR(__xludf.DUMMYFUNCTION("IFERROR(
  LET(
    data, QUERY(GOOGLEFINANCE(C260,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GOOGLEFINANCE(C260, ""price"")) * 100,
    IF(calc=0, G260, calc)
  ), 
G260)"),"#N/A")</f>
        <v>#N/A</v>
      </c>
      <c r="S260" s="8" t="s">
        <v>15</v>
      </c>
      <c r="T260" s="26" t="str">
        <f>IFERROR(__xludf.DUMMYFUNCTION("IFERROR(TRANSPOSE(QUERY(IFERROR(SORT(GOOGLEFINANCE(C260, ""price"", WORKDAY(TODAY(), -40), TODAY()), 1, FALSE)), ""select Col2 where Col2 is not null limit 22 label Col2 ''"", 0)), """")"),"")</f>
        <v/>
      </c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8"/>
      <c r="AO260" s="28"/>
      <c r="AP260" s="29"/>
      <c r="AQ260" s="29" t="str">
        <f t="shared" ref="AQ260:BL260" si="265">T260/T$2</f>
        <v>#N/A</v>
      </c>
      <c r="AR260" s="29" t="str">
        <f t="shared" si="265"/>
        <v>#DIV/0!</v>
      </c>
      <c r="AS260" s="29" t="str">
        <f t="shared" si="265"/>
        <v>#DIV/0!</v>
      </c>
      <c r="AT260" s="29" t="str">
        <f t="shared" si="265"/>
        <v>#DIV/0!</v>
      </c>
      <c r="AU260" s="29" t="str">
        <f t="shared" si="265"/>
        <v>#DIV/0!</v>
      </c>
      <c r="AV260" s="29" t="str">
        <f t="shared" si="265"/>
        <v>#DIV/0!</v>
      </c>
      <c r="AW260" s="29" t="str">
        <f t="shared" si="265"/>
        <v>#DIV/0!</v>
      </c>
      <c r="AX260" s="29" t="str">
        <f t="shared" si="265"/>
        <v>#DIV/0!</v>
      </c>
      <c r="AY260" s="29" t="str">
        <f t="shared" si="265"/>
        <v>#DIV/0!</v>
      </c>
      <c r="AZ260" s="29" t="str">
        <f t="shared" si="265"/>
        <v>#DIV/0!</v>
      </c>
      <c r="BA260" s="29" t="str">
        <f t="shared" si="265"/>
        <v>#DIV/0!</v>
      </c>
      <c r="BB260" s="29" t="str">
        <f t="shared" si="265"/>
        <v>#DIV/0!</v>
      </c>
      <c r="BC260" s="29" t="str">
        <f t="shared" si="265"/>
        <v>#DIV/0!</v>
      </c>
      <c r="BD260" s="29" t="str">
        <f t="shared" si="265"/>
        <v>#DIV/0!</v>
      </c>
      <c r="BE260" s="29" t="str">
        <f t="shared" si="265"/>
        <v>#DIV/0!</v>
      </c>
      <c r="BF260" s="29" t="str">
        <f t="shared" si="265"/>
        <v>#DIV/0!</v>
      </c>
      <c r="BG260" s="29" t="str">
        <f t="shared" si="265"/>
        <v>#DIV/0!</v>
      </c>
      <c r="BH260" s="29" t="str">
        <f t="shared" si="265"/>
        <v>#DIV/0!</v>
      </c>
      <c r="BI260" s="29" t="str">
        <f t="shared" si="265"/>
        <v>#DIV/0!</v>
      </c>
      <c r="BJ260" s="29" t="str">
        <f t="shared" si="265"/>
        <v>#DIV/0!</v>
      </c>
      <c r="BK260" s="29" t="str">
        <f t="shared" si="265"/>
        <v>#DIV/0!</v>
      </c>
      <c r="BL260" s="29" t="str">
        <f t="shared" si="265"/>
        <v>#DIV/0!</v>
      </c>
      <c r="BM260" s="29" t="str">
        <f t="shared" si="3"/>
        <v>#DIV/0!</v>
      </c>
    </row>
    <row r="261">
      <c r="A261" s="16" t="str">
        <f>IFERROR(__xludf.DUMMYFUNCTION("IFERROR(SPARKLINE(SORT(MAP(TRANSPOSE(AQ261:BL261), LAMBDA(val, IF(ISNUMBER(val), PERCENTRANK(AQ261:BL261, val)+0.01, 0))), SEQUENCE(COLUMNS(AQ261:BL261)), FALSE), {""charttype"",""column""; ""color"",""chartreuse""; ""ymin"", 0; ""ymax"", 1.01; ""highcolo"&amp;"r"", ""darkgreen""; ""lowcolor"", ""red""}), """")"),"")</f>
        <v/>
      </c>
      <c r="B261" s="17" t="str">
        <f t="shared" si="4"/>
        <v/>
      </c>
      <c r="C261" s="1" t="s">
        <v>2457</v>
      </c>
      <c r="D261" s="30" t="str">
        <f>IFERROR(__xludf.DUMMYFUNCTION("IFERROR(GOOGLEFINANCE(C261, ""NAME""))"),"Auna SA")</f>
        <v>Auna SA</v>
      </c>
      <c r="E261" s="30" t="s">
        <v>1513</v>
      </c>
      <c r="F261" s="33" t="str">
        <f>IFERROR(__xludf.DUMMYFUNCTION("( (GOOGLEFINANCE(C261, ""price"") - Q261) / Q261 ) / (R261 / 100)"),"Loading...")</f>
        <v>Loading...</v>
      </c>
      <c r="G261" s="20" t="str">
        <f>IFERROR(__xludf.DUMMYFUNCTION("AVERAGE(ARRAYFORMULA(100 * (QUERY(GOOGLEFINANCE(C261, ""high"", TODAY()-40, TODAY()), ""SELECT Col2 WHERE Col2 IS NOT NULL ORDER BY Col1 DESC LIMIT 20"", 0) / QUERY(GOOGLEFINANCE(C261, ""low"", TODAY()-40, TODAY()), ""SELECT Col2 WHERE Col2 IS NOT NULL OR"&amp;"DER BY Col1 DESC LIMIT 20"", 0) - 1)))"),"#N/A")</f>
        <v>#N/A</v>
      </c>
      <c r="H261" s="35" t="str">
        <f t="shared" si="233"/>
        <v/>
      </c>
      <c r="I261" s="36" t="str">
        <f t="shared" si="7"/>
        <v/>
      </c>
      <c r="J261" s="37" t="str">
        <f>IFERROR(__xludf.DUMMYFUNCTION("IFERROR(
  IF(C261="""",, 
    IFERROR(
      GOOGLEFINANCE(C261, ""price"") * GOOGLEFINANCE(C261, ""volumeavg""), 
      GOOGLEFINANCE(C261, ""price"") * AVERAGE(QUERY(GOOGLEFINANCE(C261, ""volume"", TODAY()-40, TODAY()), ""SELECT Col2 WHERE Col2 IS NOT "&amp;"NULL ORDER BY Col1 DESC LIMIT 20"", 0))
    )
  ), 
"""")"),"")</f>
        <v/>
      </c>
      <c r="K261" s="21" t="str">
        <f>IFERROR(__xludf.DUMMYFUNCTION("IFERROR(GOOGLEFINANCE(C261, ""changepct"") / 100, """")"),"")</f>
        <v/>
      </c>
      <c r="L261" s="21" t="str">
        <f>IFERROR(__xludf.DUMMYFUNCTION("IFERROR((GOOGLEFINANCE(C261, ""price"") / INDEX(GOOGLEFINANCE(C261, ""price"", TODAY()-7, TODAY()), 2, 2)) - 1, """")"),"")</f>
        <v/>
      </c>
      <c r="M261" s="21" t="str">
        <f>IFERROR(__xludf.DUMMYFUNCTION("IFERROR((GOOGLEFINANCE(C261, ""price"") / INDEX(GOOGLEFINANCE(C261, ""price"", EDATE(TODAY(), -1), TODAY()), 2, 2)) - 1, """")"),"")</f>
        <v/>
      </c>
      <c r="N261" s="21" t="str">
        <f>IFERROR(__xludf.DUMMYFUNCTION("IFERROR((GOOGLEFINANCE(C261, ""price"") / INDEX(GOOGLEFINANCE(C261, ""price"", EDATE(TODAY(), -3), TODAY()), 2, 2)) - 1, """")"),"")</f>
        <v/>
      </c>
      <c r="O261" s="21" t="str">
        <f>IFERROR(__xludf.DUMMYFUNCTION("IFERROR((GOOGLEFINANCE(C261, ""price"") / INDEX(GOOGLEFINANCE(C261, ""price"", EDATE(TODAY(), -6), TODAY()), 2, 2)) - 1, """")"),"")</f>
        <v/>
      </c>
      <c r="P261" s="21" t="str">
        <f>IFERROR(__xludf.DUMMYFUNCTION("IFERROR((GOOGLEFINANCE(C261, ""price"") / INDEX(GOOGLEFINANCE(C261, ""price"", EDATE(TODAY(), -12), TODAY()), 2, 2)) - 1, """")"),"")</f>
        <v/>
      </c>
      <c r="Q261" s="6" t="str">
        <f>IFERROR(__xludf.DUMMYFUNCTION("AVERAGE(QUERY(GOOGLEFINANCE(C261, ""price"", TODAY()-80, TODAY()), ""SELECT Col2 WHERE Col2 IS NOT NULL ORDER BY Col1 DESC LIMIT 50"", 0))"),"#N/A")</f>
        <v>#N/A</v>
      </c>
      <c r="R261" s="24" t="str">
        <f>IFERROR(__xludf.DUMMYFUNCTION("IFERROR(
  LET(
    data, QUERY(GOOGLEFINANCE(C261,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GOOGLEFINANCE(C261, ""price"")) * 100,
    IF(calc=0, G261, calc)
  ), 
G261)"),"#N/A")</f>
        <v>#N/A</v>
      </c>
      <c r="S261" s="8" t="s">
        <v>15</v>
      </c>
      <c r="T261" s="26" t="str">
        <f>IFERROR(__xludf.DUMMYFUNCTION("IFERROR(TRANSPOSE(QUERY(IFERROR(SORT(GOOGLEFINANCE(C261, ""price"", WORKDAY(TODAY(), -40), TODAY()), 1, FALSE)), ""select Col2 where Col2 is not null limit 22 label Col2 ''"", 0)), """")"),"")</f>
        <v/>
      </c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8"/>
      <c r="AO261" s="28"/>
      <c r="AP261" s="29"/>
      <c r="AQ261" s="29" t="str">
        <f t="shared" ref="AQ261:BL261" si="266">T261/T$2</f>
        <v>#N/A</v>
      </c>
      <c r="AR261" s="29" t="str">
        <f t="shared" si="266"/>
        <v>#DIV/0!</v>
      </c>
      <c r="AS261" s="29" t="str">
        <f t="shared" si="266"/>
        <v>#DIV/0!</v>
      </c>
      <c r="AT261" s="29" t="str">
        <f t="shared" si="266"/>
        <v>#DIV/0!</v>
      </c>
      <c r="AU261" s="29" t="str">
        <f t="shared" si="266"/>
        <v>#DIV/0!</v>
      </c>
      <c r="AV261" s="29" t="str">
        <f t="shared" si="266"/>
        <v>#DIV/0!</v>
      </c>
      <c r="AW261" s="29" t="str">
        <f t="shared" si="266"/>
        <v>#DIV/0!</v>
      </c>
      <c r="AX261" s="29" t="str">
        <f t="shared" si="266"/>
        <v>#DIV/0!</v>
      </c>
      <c r="AY261" s="29" t="str">
        <f t="shared" si="266"/>
        <v>#DIV/0!</v>
      </c>
      <c r="AZ261" s="29" t="str">
        <f t="shared" si="266"/>
        <v>#DIV/0!</v>
      </c>
      <c r="BA261" s="29" t="str">
        <f t="shared" si="266"/>
        <v>#DIV/0!</v>
      </c>
      <c r="BB261" s="29" t="str">
        <f t="shared" si="266"/>
        <v>#DIV/0!</v>
      </c>
      <c r="BC261" s="29" t="str">
        <f t="shared" si="266"/>
        <v>#DIV/0!</v>
      </c>
      <c r="BD261" s="29" t="str">
        <f t="shared" si="266"/>
        <v>#DIV/0!</v>
      </c>
      <c r="BE261" s="29" t="str">
        <f t="shared" si="266"/>
        <v>#DIV/0!</v>
      </c>
      <c r="BF261" s="29" t="str">
        <f t="shared" si="266"/>
        <v>#DIV/0!</v>
      </c>
      <c r="BG261" s="29" t="str">
        <f t="shared" si="266"/>
        <v>#DIV/0!</v>
      </c>
      <c r="BH261" s="29" t="str">
        <f t="shared" si="266"/>
        <v>#DIV/0!</v>
      </c>
      <c r="BI261" s="29" t="str">
        <f t="shared" si="266"/>
        <v>#DIV/0!</v>
      </c>
      <c r="BJ261" s="29" t="str">
        <f t="shared" si="266"/>
        <v>#DIV/0!</v>
      </c>
      <c r="BK261" s="29" t="str">
        <f t="shared" si="266"/>
        <v>#DIV/0!</v>
      </c>
      <c r="BL261" s="29" t="str">
        <f t="shared" si="266"/>
        <v>#DIV/0!</v>
      </c>
      <c r="BM261" s="29" t="str">
        <f t="shared" si="3"/>
        <v>#DIV/0!</v>
      </c>
    </row>
    <row r="262">
      <c r="A262" s="16" t="str">
        <f>IFERROR(__xludf.DUMMYFUNCTION("IFERROR(SPARKLINE(SORT(MAP(TRANSPOSE(AQ262:BL262), LAMBDA(val, IF(ISNUMBER(val), PERCENTRANK(AQ262:BL262, val)+0.01, 0))), SEQUENCE(COLUMNS(AQ262:BL262)), FALSE), {""charttype"",""column""; ""color"",""chartreuse""; ""ymin"", 0; ""ymax"", 1.01; ""highcolo"&amp;"r"", ""darkgreen""; ""lowcolor"", ""red""}), """")"),"")</f>
        <v/>
      </c>
      <c r="B262" s="17" t="str">
        <f t="shared" si="4"/>
        <v/>
      </c>
      <c r="C262" s="1" t="s">
        <v>2461</v>
      </c>
      <c r="D262" s="30" t="str">
        <f>IFERROR(__xludf.DUMMYFUNCTION("IFERROR(GOOGLEFINANCE(C262, ""NAME""))"),"Aptargroup Inc")</f>
        <v>Aptargroup Inc</v>
      </c>
      <c r="E262" s="30" t="s">
        <v>1502</v>
      </c>
      <c r="F262" s="33" t="str">
        <f>IFERROR(__xludf.DUMMYFUNCTION("( (GOOGLEFINANCE(C262, ""price"") - Q262) / Q262 ) / (R262 / 100)"),"Loading...")</f>
        <v>Loading...</v>
      </c>
      <c r="G262" s="20" t="str">
        <f>IFERROR(__xludf.DUMMYFUNCTION("AVERAGE(ARRAYFORMULA(100 * (QUERY(GOOGLEFINANCE(C262, ""high"", TODAY()-40, TODAY()), ""SELECT Col2 WHERE Col2 IS NOT NULL ORDER BY Col1 DESC LIMIT 20"", 0) / QUERY(GOOGLEFINANCE(C262, ""low"", TODAY()-40, TODAY()), ""SELECT Col2 WHERE Col2 IS NOT NULL OR"&amp;"DER BY Col1 DESC LIMIT 20"", 0) - 1)))"),"#N/A")</f>
        <v>#N/A</v>
      </c>
      <c r="H262" s="35" t="str">
        <f t="shared" si="233"/>
        <v/>
      </c>
      <c r="I262" s="36" t="str">
        <f t="shared" si="7"/>
        <v/>
      </c>
      <c r="J262" s="37" t="str">
        <f>IFERROR(__xludf.DUMMYFUNCTION("IFERROR(
  IF(C262="""",, 
    IFERROR(
      GOOGLEFINANCE(C262, ""price"") * GOOGLEFINANCE(C262, ""volumeavg""), 
      GOOGLEFINANCE(C262, ""price"") * AVERAGE(QUERY(GOOGLEFINANCE(C262, ""volume"", TODAY()-40, TODAY()), ""SELECT Col2 WHERE Col2 IS NOT "&amp;"NULL ORDER BY Col1 DESC LIMIT 20"", 0))
    )
  ), 
"""")"),"")</f>
        <v/>
      </c>
      <c r="K262" s="21" t="str">
        <f>IFERROR(__xludf.DUMMYFUNCTION("IFERROR(GOOGLEFINANCE(C262, ""changepct"") / 100, """")"),"")</f>
        <v/>
      </c>
      <c r="L262" s="21" t="str">
        <f>IFERROR(__xludf.DUMMYFUNCTION("IFERROR((GOOGLEFINANCE(C262, ""price"") / INDEX(GOOGLEFINANCE(C262, ""price"", TODAY()-7, TODAY()), 2, 2)) - 1, """")"),"")</f>
        <v/>
      </c>
      <c r="M262" s="21" t="str">
        <f>IFERROR(__xludf.DUMMYFUNCTION("IFERROR((GOOGLEFINANCE(C262, ""price"") / INDEX(GOOGLEFINANCE(C262, ""price"", EDATE(TODAY(), -1), TODAY()), 2, 2)) - 1, """")"),"")</f>
        <v/>
      </c>
      <c r="N262" s="21" t="str">
        <f>IFERROR(__xludf.DUMMYFUNCTION("IFERROR((GOOGLEFINANCE(C262, ""price"") / INDEX(GOOGLEFINANCE(C262, ""price"", EDATE(TODAY(), -3), TODAY()), 2, 2)) - 1, """")"),"")</f>
        <v/>
      </c>
      <c r="O262" s="21" t="str">
        <f>IFERROR(__xludf.DUMMYFUNCTION("IFERROR((GOOGLEFINANCE(C262, ""price"") / INDEX(GOOGLEFINANCE(C262, ""price"", EDATE(TODAY(), -6), TODAY()), 2, 2)) - 1, """")"),"")</f>
        <v/>
      </c>
      <c r="P262" s="21" t="str">
        <f>IFERROR(__xludf.DUMMYFUNCTION("IFERROR((GOOGLEFINANCE(C262, ""price"") / INDEX(GOOGLEFINANCE(C262, ""price"", EDATE(TODAY(), -12), TODAY()), 2, 2)) - 1, """")"),"")</f>
        <v/>
      </c>
      <c r="Q262" s="6" t="str">
        <f>IFERROR(__xludf.DUMMYFUNCTION("AVERAGE(QUERY(GOOGLEFINANCE(C262, ""price"", TODAY()-80, TODAY()), ""SELECT Col2 WHERE Col2 IS NOT NULL ORDER BY Col1 DESC LIMIT 50"", 0))"),"#N/A")</f>
        <v>#N/A</v>
      </c>
      <c r="R262" s="24" t="str">
        <f>IFERROR(__xludf.DUMMYFUNCTION("IFERROR(
  LET(
    data, QUERY(GOOGLEFINANCE(C262,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GOOGLEFINANCE(C262, ""price"")) * 100,
    IF(calc=0, G262, calc)
  ), 
G262)"),"#N/A")</f>
        <v>#N/A</v>
      </c>
      <c r="S262" s="8" t="s">
        <v>15</v>
      </c>
      <c r="T262" s="26" t="str">
        <f>IFERROR(__xludf.DUMMYFUNCTION("IFERROR(TRANSPOSE(QUERY(IFERROR(SORT(GOOGLEFINANCE(C262, ""price"", WORKDAY(TODAY(), -40), TODAY()), 1, FALSE)), ""select Col2 where Col2 is not null limit 22 label Col2 ''"", 0)), """")"),"")</f>
        <v/>
      </c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8"/>
      <c r="AO262" s="28"/>
      <c r="AP262" s="29"/>
      <c r="AQ262" s="29" t="str">
        <f t="shared" ref="AQ262:BL262" si="267">T262/T$2</f>
        <v>#N/A</v>
      </c>
      <c r="AR262" s="29" t="str">
        <f t="shared" si="267"/>
        <v>#DIV/0!</v>
      </c>
      <c r="AS262" s="29" t="str">
        <f t="shared" si="267"/>
        <v>#DIV/0!</v>
      </c>
      <c r="AT262" s="29" t="str">
        <f t="shared" si="267"/>
        <v>#DIV/0!</v>
      </c>
      <c r="AU262" s="29" t="str">
        <f t="shared" si="267"/>
        <v>#DIV/0!</v>
      </c>
      <c r="AV262" s="29" t="str">
        <f t="shared" si="267"/>
        <v>#DIV/0!</v>
      </c>
      <c r="AW262" s="29" t="str">
        <f t="shared" si="267"/>
        <v>#DIV/0!</v>
      </c>
      <c r="AX262" s="29" t="str">
        <f t="shared" si="267"/>
        <v>#DIV/0!</v>
      </c>
      <c r="AY262" s="29" t="str">
        <f t="shared" si="267"/>
        <v>#DIV/0!</v>
      </c>
      <c r="AZ262" s="29" t="str">
        <f t="shared" si="267"/>
        <v>#DIV/0!</v>
      </c>
      <c r="BA262" s="29" t="str">
        <f t="shared" si="267"/>
        <v>#DIV/0!</v>
      </c>
      <c r="BB262" s="29" t="str">
        <f t="shared" si="267"/>
        <v>#DIV/0!</v>
      </c>
      <c r="BC262" s="29" t="str">
        <f t="shared" si="267"/>
        <v>#DIV/0!</v>
      </c>
      <c r="BD262" s="29" t="str">
        <f t="shared" si="267"/>
        <v>#DIV/0!</v>
      </c>
      <c r="BE262" s="29" t="str">
        <f t="shared" si="267"/>
        <v>#DIV/0!</v>
      </c>
      <c r="BF262" s="29" t="str">
        <f t="shared" si="267"/>
        <v>#DIV/0!</v>
      </c>
      <c r="BG262" s="29" t="str">
        <f t="shared" si="267"/>
        <v>#DIV/0!</v>
      </c>
      <c r="BH262" s="29" t="str">
        <f t="shared" si="267"/>
        <v>#DIV/0!</v>
      </c>
      <c r="BI262" s="29" t="str">
        <f t="shared" si="267"/>
        <v>#DIV/0!</v>
      </c>
      <c r="BJ262" s="29" t="str">
        <f t="shared" si="267"/>
        <v>#DIV/0!</v>
      </c>
      <c r="BK262" s="29" t="str">
        <f t="shared" si="267"/>
        <v>#DIV/0!</v>
      </c>
      <c r="BL262" s="29" t="str">
        <f t="shared" si="267"/>
        <v>#DIV/0!</v>
      </c>
      <c r="BM262" s="29" t="str">
        <f t="shared" si="3"/>
        <v>#DIV/0!</v>
      </c>
    </row>
    <row r="263">
      <c r="A263" s="16" t="str">
        <f>IFERROR(__xludf.DUMMYFUNCTION("IFERROR(SPARKLINE(SORT(MAP(TRANSPOSE(AQ263:BL263), LAMBDA(val, IF(ISNUMBER(val), PERCENTRANK(AQ263:BL263, val)+0.01, 0))), SEQUENCE(COLUMNS(AQ263:BL263)), FALSE), {""charttype"",""column""; ""color"",""chartreuse""; ""ymin"", 0; ""ymax"", 1.01; ""highcolo"&amp;"r"", ""darkgreen""; ""lowcolor"", ""red""}), """")"),"")</f>
        <v/>
      </c>
      <c r="B263" s="17" t="str">
        <f t="shared" si="4"/>
        <v/>
      </c>
      <c r="C263" s="1" t="s">
        <v>2465</v>
      </c>
      <c r="D263" s="30" t="str">
        <f>IFERROR(__xludf.DUMMYFUNCTION("IFERROR(GOOGLEFINANCE(C263, ""NAME""))"),"Neogen Corp")</f>
        <v>Neogen Corp</v>
      </c>
      <c r="E263" s="30" t="s">
        <v>1499</v>
      </c>
      <c r="F263" s="33" t="str">
        <f>IFERROR(__xludf.DUMMYFUNCTION("( (GOOGLEFINANCE(C263, ""price"") - Q263) / Q263 ) / (R263 / 100)"),"Loading...")</f>
        <v>Loading...</v>
      </c>
      <c r="G263" s="20" t="str">
        <f>IFERROR(__xludf.DUMMYFUNCTION("AVERAGE(ARRAYFORMULA(100 * (QUERY(GOOGLEFINANCE(C263, ""high"", TODAY()-40, TODAY()), ""SELECT Col2 WHERE Col2 IS NOT NULL ORDER BY Col1 DESC LIMIT 20"", 0) / QUERY(GOOGLEFINANCE(C263, ""low"", TODAY()-40, TODAY()), ""SELECT Col2 WHERE Col2 IS NOT NULL OR"&amp;"DER BY Col1 DESC LIMIT 20"", 0) - 1)))"),"#N/A")</f>
        <v>#N/A</v>
      </c>
      <c r="H263" s="35" t="str">
        <f t="shared" si="233"/>
        <v/>
      </c>
      <c r="I263" s="36" t="str">
        <f t="shared" si="7"/>
        <v/>
      </c>
      <c r="J263" s="37" t="str">
        <f>IFERROR(__xludf.DUMMYFUNCTION("IFERROR(
  IF(C263="""",, 
    IFERROR(
      GOOGLEFINANCE(C263, ""price"") * GOOGLEFINANCE(C263, ""volumeavg""), 
      GOOGLEFINANCE(C263, ""price"") * AVERAGE(QUERY(GOOGLEFINANCE(C263, ""volume"", TODAY()-40, TODAY()), ""SELECT Col2 WHERE Col2 IS NOT "&amp;"NULL ORDER BY Col1 DESC LIMIT 20"", 0))
    )
  ), 
"""")"),"")</f>
        <v/>
      </c>
      <c r="K263" s="21" t="str">
        <f>IFERROR(__xludf.DUMMYFUNCTION("IFERROR(GOOGLEFINANCE(C263, ""changepct"") / 100, """")"),"")</f>
        <v/>
      </c>
      <c r="L263" s="21" t="str">
        <f>IFERROR(__xludf.DUMMYFUNCTION("IFERROR((GOOGLEFINANCE(C263, ""price"") / INDEX(GOOGLEFINANCE(C263, ""price"", TODAY()-7, TODAY()), 2, 2)) - 1, """")"),"")</f>
        <v/>
      </c>
      <c r="M263" s="21" t="str">
        <f>IFERROR(__xludf.DUMMYFUNCTION("IFERROR((GOOGLEFINANCE(C263, ""price"") / INDEX(GOOGLEFINANCE(C263, ""price"", EDATE(TODAY(), -1), TODAY()), 2, 2)) - 1, """")"),"")</f>
        <v/>
      </c>
      <c r="N263" s="21" t="str">
        <f>IFERROR(__xludf.DUMMYFUNCTION("IFERROR((GOOGLEFINANCE(C263, ""price"") / INDEX(GOOGLEFINANCE(C263, ""price"", EDATE(TODAY(), -3), TODAY()), 2, 2)) - 1, """")"),"")</f>
        <v/>
      </c>
      <c r="O263" s="21" t="str">
        <f>IFERROR(__xludf.DUMMYFUNCTION("IFERROR((GOOGLEFINANCE(C263, ""price"") / INDEX(GOOGLEFINANCE(C263, ""price"", EDATE(TODAY(), -6), TODAY()), 2, 2)) - 1, """")"),"")</f>
        <v/>
      </c>
      <c r="P263" s="21" t="str">
        <f>IFERROR(__xludf.DUMMYFUNCTION("IFERROR((GOOGLEFINANCE(C263, ""price"") / INDEX(GOOGLEFINANCE(C263, ""price"", EDATE(TODAY(), -12), TODAY()), 2, 2)) - 1, """")"),"")</f>
        <v/>
      </c>
      <c r="Q263" s="6" t="str">
        <f>IFERROR(__xludf.DUMMYFUNCTION("AVERAGE(QUERY(GOOGLEFINANCE(C263, ""price"", TODAY()-80, TODAY()), ""SELECT Col2 WHERE Col2 IS NOT NULL ORDER BY Col1 DESC LIMIT 50"", 0))"),"#N/A")</f>
        <v>#N/A</v>
      </c>
      <c r="R263" s="24" t="str">
        <f>IFERROR(__xludf.DUMMYFUNCTION("IFERROR(
  LET(
    data, QUERY(GOOGLEFINANCE(C263,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GOOGLEFINANCE(C263, ""price"")) * 100,
    IF(calc=0, G263, calc)
  ), 
G263)"),"#N/A")</f>
        <v>#N/A</v>
      </c>
      <c r="S263" s="8" t="s">
        <v>15</v>
      </c>
      <c r="T263" s="26" t="str">
        <f>IFERROR(__xludf.DUMMYFUNCTION("IFERROR(TRANSPOSE(QUERY(IFERROR(SORT(GOOGLEFINANCE(C263, ""price"", WORKDAY(TODAY(), -40), TODAY()), 1, FALSE)), ""select Col2 where Col2 is not null limit 22 label Col2 ''"", 0)), """")"),"")</f>
        <v/>
      </c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8"/>
      <c r="AO263" s="28"/>
      <c r="AP263" s="29"/>
      <c r="AQ263" s="29" t="str">
        <f t="shared" ref="AQ263:BL263" si="268">T263/T$2</f>
        <v>#N/A</v>
      </c>
      <c r="AR263" s="29" t="str">
        <f t="shared" si="268"/>
        <v>#DIV/0!</v>
      </c>
      <c r="AS263" s="29" t="str">
        <f t="shared" si="268"/>
        <v>#DIV/0!</v>
      </c>
      <c r="AT263" s="29" t="str">
        <f t="shared" si="268"/>
        <v>#DIV/0!</v>
      </c>
      <c r="AU263" s="29" t="str">
        <f t="shared" si="268"/>
        <v>#DIV/0!</v>
      </c>
      <c r="AV263" s="29" t="str">
        <f t="shared" si="268"/>
        <v>#DIV/0!</v>
      </c>
      <c r="AW263" s="29" t="str">
        <f t="shared" si="268"/>
        <v>#DIV/0!</v>
      </c>
      <c r="AX263" s="29" t="str">
        <f t="shared" si="268"/>
        <v>#DIV/0!</v>
      </c>
      <c r="AY263" s="29" t="str">
        <f t="shared" si="268"/>
        <v>#DIV/0!</v>
      </c>
      <c r="AZ263" s="29" t="str">
        <f t="shared" si="268"/>
        <v>#DIV/0!</v>
      </c>
      <c r="BA263" s="29" t="str">
        <f t="shared" si="268"/>
        <v>#DIV/0!</v>
      </c>
      <c r="BB263" s="29" t="str">
        <f t="shared" si="268"/>
        <v>#DIV/0!</v>
      </c>
      <c r="BC263" s="29" t="str">
        <f t="shared" si="268"/>
        <v>#DIV/0!</v>
      </c>
      <c r="BD263" s="29" t="str">
        <f t="shared" si="268"/>
        <v>#DIV/0!</v>
      </c>
      <c r="BE263" s="29" t="str">
        <f t="shared" si="268"/>
        <v>#DIV/0!</v>
      </c>
      <c r="BF263" s="29" t="str">
        <f t="shared" si="268"/>
        <v>#DIV/0!</v>
      </c>
      <c r="BG263" s="29" t="str">
        <f t="shared" si="268"/>
        <v>#DIV/0!</v>
      </c>
      <c r="BH263" s="29" t="str">
        <f t="shared" si="268"/>
        <v>#DIV/0!</v>
      </c>
      <c r="BI263" s="29" t="str">
        <f t="shared" si="268"/>
        <v>#DIV/0!</v>
      </c>
      <c r="BJ263" s="29" t="str">
        <f t="shared" si="268"/>
        <v>#DIV/0!</v>
      </c>
      <c r="BK263" s="29" t="str">
        <f t="shared" si="268"/>
        <v>#DIV/0!</v>
      </c>
      <c r="BL263" s="29" t="str">
        <f t="shared" si="268"/>
        <v>#DIV/0!</v>
      </c>
      <c r="BM263" s="29" t="str">
        <f t="shared" si="3"/>
        <v>#DIV/0!</v>
      </c>
    </row>
    <row r="264">
      <c r="A264" s="16" t="str">
        <f>IFERROR(__xludf.DUMMYFUNCTION("IFERROR(SPARKLINE(SORT(MAP(TRANSPOSE(AQ264:BL264), LAMBDA(val, IF(ISNUMBER(val), PERCENTRANK(AQ264:BL264, val)+0.01, 0))), SEQUENCE(COLUMNS(AQ264:BL264)), FALSE), {""charttype"",""column""; ""color"",""chartreuse""; ""ymin"", 0; ""ymax"", 1.01; ""highcolo"&amp;"r"", ""darkgreen""; ""lowcolor"", ""red""}), """")"),"")</f>
        <v/>
      </c>
      <c r="B264" s="17" t="str">
        <f t="shared" si="4"/>
        <v/>
      </c>
      <c r="C264" s="1" t="s">
        <v>2469</v>
      </c>
      <c r="D264" s="30" t="str">
        <f>IFERROR(__xludf.DUMMYFUNCTION("IFERROR(GOOGLEFINANCE(C264, ""NAME""))"),"Danaher Corp")</f>
        <v>Danaher Corp</v>
      </c>
      <c r="E264" s="30" t="s">
        <v>1499</v>
      </c>
      <c r="F264" s="38" t="str">
        <f>IFERROR(__xludf.DUMMYFUNCTION("( (GOOGLEFINANCE(C264, ""price"") - Q264) / Q264 ) / (R264 / 100)"),"Loading...")</f>
        <v>Loading...</v>
      </c>
      <c r="G264" s="20" t="str">
        <f>IFERROR(__xludf.DUMMYFUNCTION("AVERAGE(ARRAYFORMULA(100 * (QUERY(GOOGLEFINANCE(C264, ""high"", TODAY()-40, TODAY()), ""SELECT Col2 WHERE Col2 IS NOT NULL ORDER BY Col1 DESC LIMIT 20"", 0) / QUERY(GOOGLEFINANCE(C264, ""low"", TODAY()-40, TODAY()), ""SELECT Col2 WHERE Col2 IS NOT NULL OR"&amp;"DER BY Col1 DESC LIMIT 20"", 0) - 1)))"),"#N/A")</f>
        <v>#N/A</v>
      </c>
      <c r="H264" s="35" t="str">
        <f t="shared" si="233"/>
        <v/>
      </c>
      <c r="I264" s="36" t="str">
        <f t="shared" si="7"/>
        <v/>
      </c>
      <c r="J264" s="37" t="str">
        <f>IFERROR(__xludf.DUMMYFUNCTION("IFERROR(
  IF(C264="""",, 
    IFERROR(
      GOOGLEFINANCE(C264, ""price"") * GOOGLEFINANCE(C264, ""volumeavg""), 
      GOOGLEFINANCE(C264, ""price"") * AVERAGE(QUERY(GOOGLEFINANCE(C264, ""volume"", TODAY()-40, TODAY()), ""SELECT Col2 WHERE Col2 IS NOT "&amp;"NULL ORDER BY Col1 DESC LIMIT 20"", 0))
    )
  ), 
"""")"),"")</f>
        <v/>
      </c>
      <c r="K264" s="21" t="str">
        <f>IFERROR(__xludf.DUMMYFUNCTION("IFERROR(GOOGLEFINANCE(C264, ""changepct"") / 100, """")"),"")</f>
        <v/>
      </c>
      <c r="L264" s="21" t="str">
        <f>IFERROR(__xludf.DUMMYFUNCTION("IFERROR((GOOGLEFINANCE(C264, ""price"") / INDEX(GOOGLEFINANCE(C264, ""price"", TODAY()-7, TODAY()), 2, 2)) - 1, """")"),"")</f>
        <v/>
      </c>
      <c r="M264" s="21" t="str">
        <f>IFERROR(__xludf.DUMMYFUNCTION("IFERROR((GOOGLEFINANCE(C264, ""price"") / INDEX(GOOGLEFINANCE(C264, ""price"", EDATE(TODAY(), -1), TODAY()), 2, 2)) - 1, """")"),"")</f>
        <v/>
      </c>
      <c r="N264" s="21" t="str">
        <f>IFERROR(__xludf.DUMMYFUNCTION("IFERROR((GOOGLEFINANCE(C264, ""price"") / INDEX(GOOGLEFINANCE(C264, ""price"", EDATE(TODAY(), -3), TODAY()), 2, 2)) - 1, """")"),"")</f>
        <v/>
      </c>
      <c r="O264" s="21" t="str">
        <f>IFERROR(__xludf.DUMMYFUNCTION("IFERROR((GOOGLEFINANCE(C264, ""price"") / INDEX(GOOGLEFINANCE(C264, ""price"", EDATE(TODAY(), -6), TODAY()), 2, 2)) - 1, """")"),"")</f>
        <v/>
      </c>
      <c r="P264" s="21" t="str">
        <f>IFERROR(__xludf.DUMMYFUNCTION("IFERROR((GOOGLEFINANCE(C264, ""price"") / INDEX(GOOGLEFINANCE(C264, ""price"", EDATE(TODAY(), -12), TODAY()), 2, 2)) - 1, """")"),"")</f>
        <v/>
      </c>
      <c r="Q264" s="6" t="str">
        <f>IFERROR(__xludf.DUMMYFUNCTION("AVERAGE(QUERY(GOOGLEFINANCE(C264, ""price"", TODAY()-80, TODAY()), ""SELECT Col2 WHERE Col2 IS NOT NULL ORDER BY Col1 DESC LIMIT 50"", 0))"),"#N/A")</f>
        <v>#N/A</v>
      </c>
      <c r="R264" s="24" t="str">
        <f>IFERROR(__xludf.DUMMYFUNCTION("IFERROR(
  LET(
    data, QUERY(GOOGLEFINANCE(C264,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GOOGLEFINANCE(C264, ""price"")) * 100,
    IF(calc=0, G264, calc)
  ), 
G264)"),"#N/A")</f>
        <v>#N/A</v>
      </c>
      <c r="S264" s="8" t="s">
        <v>15</v>
      </c>
      <c r="T264" s="26" t="str">
        <f>IFERROR(__xludf.DUMMYFUNCTION("IFERROR(TRANSPOSE(QUERY(IFERROR(SORT(GOOGLEFINANCE(C264, ""price"", WORKDAY(TODAY(), -40), TODAY()), 1, FALSE)), ""select Col2 where Col2 is not null limit 22 label Col2 ''"", 0)), """")"),"")</f>
        <v/>
      </c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8"/>
      <c r="AO264" s="28"/>
      <c r="AP264" s="29"/>
      <c r="AQ264" s="29" t="str">
        <f t="shared" ref="AQ264:BL264" si="269">T264/T$2</f>
        <v>#N/A</v>
      </c>
      <c r="AR264" s="29" t="str">
        <f t="shared" si="269"/>
        <v>#DIV/0!</v>
      </c>
      <c r="AS264" s="29" t="str">
        <f t="shared" si="269"/>
        <v>#DIV/0!</v>
      </c>
      <c r="AT264" s="29" t="str">
        <f t="shared" si="269"/>
        <v>#DIV/0!</v>
      </c>
      <c r="AU264" s="29" t="str">
        <f t="shared" si="269"/>
        <v>#DIV/0!</v>
      </c>
      <c r="AV264" s="29" t="str">
        <f t="shared" si="269"/>
        <v>#DIV/0!</v>
      </c>
      <c r="AW264" s="29" t="str">
        <f t="shared" si="269"/>
        <v>#DIV/0!</v>
      </c>
      <c r="AX264" s="29" t="str">
        <f t="shared" si="269"/>
        <v>#DIV/0!</v>
      </c>
      <c r="AY264" s="29" t="str">
        <f t="shared" si="269"/>
        <v>#DIV/0!</v>
      </c>
      <c r="AZ264" s="29" t="str">
        <f t="shared" si="269"/>
        <v>#DIV/0!</v>
      </c>
      <c r="BA264" s="29" t="str">
        <f t="shared" si="269"/>
        <v>#DIV/0!</v>
      </c>
      <c r="BB264" s="29" t="str">
        <f t="shared" si="269"/>
        <v>#DIV/0!</v>
      </c>
      <c r="BC264" s="29" t="str">
        <f t="shared" si="269"/>
        <v>#DIV/0!</v>
      </c>
      <c r="BD264" s="29" t="str">
        <f t="shared" si="269"/>
        <v>#DIV/0!</v>
      </c>
      <c r="BE264" s="29" t="str">
        <f t="shared" si="269"/>
        <v>#DIV/0!</v>
      </c>
      <c r="BF264" s="29" t="str">
        <f t="shared" si="269"/>
        <v>#DIV/0!</v>
      </c>
      <c r="BG264" s="29" t="str">
        <f t="shared" si="269"/>
        <v>#DIV/0!</v>
      </c>
      <c r="BH264" s="29" t="str">
        <f t="shared" si="269"/>
        <v>#DIV/0!</v>
      </c>
      <c r="BI264" s="29" t="str">
        <f t="shared" si="269"/>
        <v>#DIV/0!</v>
      </c>
      <c r="BJ264" s="29" t="str">
        <f t="shared" si="269"/>
        <v>#DIV/0!</v>
      </c>
      <c r="BK264" s="29" t="str">
        <f t="shared" si="269"/>
        <v>#DIV/0!</v>
      </c>
      <c r="BL264" s="29" t="str">
        <f t="shared" si="269"/>
        <v>#DIV/0!</v>
      </c>
      <c r="BM264" s="29" t="str">
        <f t="shared" si="3"/>
        <v>#DIV/0!</v>
      </c>
    </row>
    <row r="265">
      <c r="A265" s="16" t="str">
        <f>IFERROR(__xludf.DUMMYFUNCTION("IFERROR(SPARKLINE(SORT(MAP(TRANSPOSE(AQ265:BL265), LAMBDA(val, IF(ISNUMBER(val), PERCENTRANK(AQ265:BL265, val)+0.01, 0))), SEQUENCE(COLUMNS(AQ265:BL265)), FALSE), {""charttype"",""column""; ""color"",""chartreuse""; ""ymin"", 0; ""ymax"", 1.01; ""highcolo"&amp;"r"", ""darkgreen""; ""lowcolor"", ""red""}), """")"),"")</f>
        <v/>
      </c>
      <c r="B265" s="17" t="str">
        <f t="shared" si="4"/>
        <v/>
      </c>
      <c r="C265" s="1" t="s">
        <v>2473</v>
      </c>
      <c r="D265" s="30" t="str">
        <f>IFERROR(__xludf.DUMMYFUNCTION("IFERROR(GOOGLEFINANCE(C265, ""NAME""))"),"Amylyx Pharmaceuticals Inc")</f>
        <v>Amylyx Pharmaceuticals Inc</v>
      </c>
      <c r="E265" s="30" t="s">
        <v>1475</v>
      </c>
      <c r="F265" s="38" t="str">
        <f>IFERROR(__xludf.DUMMYFUNCTION("( (GOOGLEFINANCE(C265, ""price"") - Q265) / Q265 ) / (R265 / 100)"),"Loading...")</f>
        <v>Loading...</v>
      </c>
      <c r="G265" s="20" t="str">
        <f>IFERROR(__xludf.DUMMYFUNCTION("AVERAGE(ARRAYFORMULA(100 * (QUERY(GOOGLEFINANCE(C265, ""high"", TODAY()-40, TODAY()), ""SELECT Col2 WHERE Col2 IS NOT NULL ORDER BY Col1 DESC LIMIT 20"", 0) / QUERY(GOOGLEFINANCE(C265, ""low"", TODAY()-40, TODAY()), ""SELECT Col2 WHERE Col2 IS NOT NULL OR"&amp;"DER BY Col1 DESC LIMIT 20"", 0) - 1)))"),"#N/A")</f>
        <v>#N/A</v>
      </c>
      <c r="H265" s="35" t="str">
        <f t="shared" si="233"/>
        <v/>
      </c>
      <c r="I265" s="36" t="str">
        <f t="shared" si="7"/>
        <v/>
      </c>
      <c r="J265" s="37" t="str">
        <f>IFERROR(__xludf.DUMMYFUNCTION("IFERROR(
  IF(C265="""",, 
    IFERROR(
      GOOGLEFINANCE(C265, ""price"") * GOOGLEFINANCE(C265, ""volumeavg""), 
      GOOGLEFINANCE(C265, ""price"") * AVERAGE(QUERY(GOOGLEFINANCE(C265, ""volume"", TODAY()-40, TODAY()), ""SELECT Col2 WHERE Col2 IS NOT "&amp;"NULL ORDER BY Col1 DESC LIMIT 20"", 0))
    )
  ), 
"""")"),"")</f>
        <v/>
      </c>
      <c r="K265" s="21" t="str">
        <f>IFERROR(__xludf.DUMMYFUNCTION("IFERROR(GOOGLEFINANCE(C265, ""changepct"") / 100, """")"),"")</f>
        <v/>
      </c>
      <c r="L265" s="21" t="str">
        <f>IFERROR(__xludf.DUMMYFUNCTION("IFERROR((GOOGLEFINANCE(C265, ""price"") / INDEX(GOOGLEFINANCE(C265, ""price"", TODAY()-7, TODAY()), 2, 2)) - 1, """")"),"")</f>
        <v/>
      </c>
      <c r="M265" s="21" t="str">
        <f>IFERROR(__xludf.DUMMYFUNCTION("IFERROR((GOOGLEFINANCE(C265, ""price"") / INDEX(GOOGLEFINANCE(C265, ""price"", EDATE(TODAY(), -1), TODAY()), 2, 2)) - 1, """")"),"")</f>
        <v/>
      </c>
      <c r="N265" s="21" t="str">
        <f>IFERROR(__xludf.DUMMYFUNCTION("IFERROR((GOOGLEFINANCE(C265, ""price"") / INDEX(GOOGLEFINANCE(C265, ""price"", EDATE(TODAY(), -3), TODAY()), 2, 2)) - 1, """")"),"")</f>
        <v/>
      </c>
      <c r="O265" s="21" t="str">
        <f>IFERROR(__xludf.DUMMYFUNCTION("IFERROR((GOOGLEFINANCE(C265, ""price"") / INDEX(GOOGLEFINANCE(C265, ""price"", EDATE(TODAY(), -6), TODAY()), 2, 2)) - 1, """")"),"")</f>
        <v/>
      </c>
      <c r="P265" s="21" t="str">
        <f>IFERROR(__xludf.DUMMYFUNCTION("IFERROR((GOOGLEFINANCE(C265, ""price"") / INDEX(GOOGLEFINANCE(C265, ""price"", EDATE(TODAY(), -12), TODAY()), 2, 2)) - 1, """")"),"")</f>
        <v/>
      </c>
      <c r="Q265" s="6" t="str">
        <f>IFERROR(__xludf.DUMMYFUNCTION("AVERAGE(QUERY(GOOGLEFINANCE(C265, ""price"", TODAY()-80, TODAY()), ""SELECT Col2 WHERE Col2 IS NOT NULL ORDER BY Col1 DESC LIMIT 50"", 0))"),"#N/A")</f>
        <v>#N/A</v>
      </c>
      <c r="R265" s="24" t="str">
        <f>IFERROR(__xludf.DUMMYFUNCTION("IFERROR(
  LET(
    data, QUERY(GOOGLEFINANCE(C265,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GOOGLEFINANCE(C265, ""price"")) * 100,
    IF(calc=0, G265, calc)
  ), 
G265)"),"#N/A")</f>
        <v>#N/A</v>
      </c>
      <c r="S265" s="8" t="s">
        <v>15</v>
      </c>
      <c r="T265" s="26" t="str">
        <f>IFERROR(__xludf.DUMMYFUNCTION("IFERROR(TRANSPOSE(QUERY(IFERROR(SORT(GOOGLEFINANCE(C265, ""price"", WORKDAY(TODAY(), -40), TODAY()), 1, FALSE)), ""select Col2 where Col2 is not null limit 22 label Col2 ''"", 0)), """")"),"")</f>
        <v/>
      </c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8"/>
      <c r="AO265" s="28"/>
      <c r="AP265" s="29"/>
      <c r="AQ265" s="29" t="str">
        <f t="shared" ref="AQ265:BL265" si="270">T265/T$2</f>
        <v>#N/A</v>
      </c>
      <c r="AR265" s="29" t="str">
        <f t="shared" si="270"/>
        <v>#DIV/0!</v>
      </c>
      <c r="AS265" s="29" t="str">
        <f t="shared" si="270"/>
        <v>#DIV/0!</v>
      </c>
      <c r="AT265" s="29" t="str">
        <f t="shared" si="270"/>
        <v>#DIV/0!</v>
      </c>
      <c r="AU265" s="29" t="str">
        <f t="shared" si="270"/>
        <v>#DIV/0!</v>
      </c>
      <c r="AV265" s="29" t="str">
        <f t="shared" si="270"/>
        <v>#DIV/0!</v>
      </c>
      <c r="AW265" s="29" t="str">
        <f t="shared" si="270"/>
        <v>#DIV/0!</v>
      </c>
      <c r="AX265" s="29" t="str">
        <f t="shared" si="270"/>
        <v>#DIV/0!</v>
      </c>
      <c r="AY265" s="29" t="str">
        <f t="shared" si="270"/>
        <v>#DIV/0!</v>
      </c>
      <c r="AZ265" s="29" t="str">
        <f t="shared" si="270"/>
        <v>#DIV/0!</v>
      </c>
      <c r="BA265" s="29" t="str">
        <f t="shared" si="270"/>
        <v>#DIV/0!</v>
      </c>
      <c r="BB265" s="29" t="str">
        <f t="shared" si="270"/>
        <v>#DIV/0!</v>
      </c>
      <c r="BC265" s="29" t="str">
        <f t="shared" si="270"/>
        <v>#DIV/0!</v>
      </c>
      <c r="BD265" s="29" t="str">
        <f t="shared" si="270"/>
        <v>#DIV/0!</v>
      </c>
      <c r="BE265" s="29" t="str">
        <f t="shared" si="270"/>
        <v>#DIV/0!</v>
      </c>
      <c r="BF265" s="29" t="str">
        <f t="shared" si="270"/>
        <v>#DIV/0!</v>
      </c>
      <c r="BG265" s="29" t="str">
        <f t="shared" si="270"/>
        <v>#DIV/0!</v>
      </c>
      <c r="BH265" s="29" t="str">
        <f t="shared" si="270"/>
        <v>#DIV/0!</v>
      </c>
      <c r="BI265" s="29" t="str">
        <f t="shared" si="270"/>
        <v>#DIV/0!</v>
      </c>
      <c r="BJ265" s="29" t="str">
        <f t="shared" si="270"/>
        <v>#DIV/0!</v>
      </c>
      <c r="BK265" s="29" t="str">
        <f t="shared" si="270"/>
        <v>#DIV/0!</v>
      </c>
      <c r="BL265" s="29" t="str">
        <f t="shared" si="270"/>
        <v>#DIV/0!</v>
      </c>
      <c r="BM265" s="29" t="str">
        <f t="shared" si="3"/>
        <v>#DIV/0!</v>
      </c>
    </row>
    <row r="266">
      <c r="A266" s="16" t="str">
        <f>IFERROR(__xludf.DUMMYFUNCTION("IFERROR(SPARKLINE(SORT(MAP(TRANSPOSE(AQ266:BL266), LAMBDA(val, IF(ISNUMBER(val), PERCENTRANK(AQ266:BL266, val)+0.01, 0))), SEQUENCE(COLUMNS(AQ266:BL266)), FALSE), {""charttype"",""column""; ""color"",""chartreuse""; ""ymin"", 0; ""ymax"", 1.01; ""highcolo"&amp;"r"", ""darkgreen""; ""lowcolor"", ""red""}), """")"),"")</f>
        <v/>
      </c>
      <c r="B266" s="17" t="str">
        <f t="shared" si="4"/>
        <v/>
      </c>
      <c r="C266" s="1" t="s">
        <v>2477</v>
      </c>
      <c r="D266" s="30" t="str">
        <f>IFERROR(__xludf.DUMMYFUNCTION("IFERROR(GOOGLEFINANCE(C266, ""NAME""))"),"HUTCHMED (China) Ltd")</f>
        <v>HUTCHMED (China) Ltd</v>
      </c>
      <c r="E266" s="30" t="s">
        <v>1475</v>
      </c>
      <c r="F266" s="33" t="str">
        <f>IFERROR(__xludf.DUMMYFUNCTION("( (GOOGLEFINANCE(C266, ""price"") - Q266) / Q266 ) / (R266 / 100)"),"Loading...")</f>
        <v>Loading...</v>
      </c>
      <c r="G266" s="20" t="str">
        <f>IFERROR(__xludf.DUMMYFUNCTION("AVERAGE(ARRAYFORMULA(100 * (QUERY(GOOGLEFINANCE(C266, ""high"", TODAY()-40, TODAY()), ""SELECT Col2 WHERE Col2 IS NOT NULL ORDER BY Col1 DESC LIMIT 20"", 0) / QUERY(GOOGLEFINANCE(C266, ""low"", TODAY()-40, TODAY()), ""SELECT Col2 WHERE Col2 IS NOT NULL OR"&amp;"DER BY Col1 DESC LIMIT 20"", 0) - 1)))"),"#N/A")</f>
        <v>#N/A</v>
      </c>
      <c r="H266" s="35" t="str">
        <f t="shared" si="233"/>
        <v/>
      </c>
      <c r="I266" s="36" t="str">
        <f t="shared" si="7"/>
        <v/>
      </c>
      <c r="J266" s="37" t="str">
        <f>IFERROR(__xludf.DUMMYFUNCTION("IFERROR(
  IF(C266="""",, 
    IFERROR(
      GOOGLEFINANCE(C266, ""price"") * GOOGLEFINANCE(C266, ""volumeavg""), 
      GOOGLEFINANCE(C266, ""price"") * AVERAGE(QUERY(GOOGLEFINANCE(C266, ""volume"", TODAY()-40, TODAY()), ""SELECT Col2 WHERE Col2 IS NOT "&amp;"NULL ORDER BY Col1 DESC LIMIT 20"", 0))
    )
  ), 
"""")"),"")</f>
        <v/>
      </c>
      <c r="K266" s="21" t="str">
        <f>IFERROR(__xludf.DUMMYFUNCTION("IFERROR(GOOGLEFINANCE(C266, ""changepct"") / 100, """")"),"")</f>
        <v/>
      </c>
      <c r="L266" s="21" t="str">
        <f>IFERROR(__xludf.DUMMYFUNCTION("IFERROR((GOOGLEFINANCE(C266, ""price"") / INDEX(GOOGLEFINANCE(C266, ""price"", TODAY()-7, TODAY()), 2, 2)) - 1, """")"),"")</f>
        <v/>
      </c>
      <c r="M266" s="21" t="str">
        <f>IFERROR(__xludf.DUMMYFUNCTION("IFERROR((GOOGLEFINANCE(C266, ""price"") / INDEX(GOOGLEFINANCE(C266, ""price"", EDATE(TODAY(), -1), TODAY()), 2, 2)) - 1, """")"),"")</f>
        <v/>
      </c>
      <c r="N266" s="21" t="str">
        <f>IFERROR(__xludf.DUMMYFUNCTION("IFERROR((GOOGLEFINANCE(C266, ""price"") / INDEX(GOOGLEFINANCE(C266, ""price"", EDATE(TODAY(), -3), TODAY()), 2, 2)) - 1, """")"),"")</f>
        <v/>
      </c>
      <c r="O266" s="21" t="str">
        <f>IFERROR(__xludf.DUMMYFUNCTION("IFERROR((GOOGLEFINANCE(C266, ""price"") / INDEX(GOOGLEFINANCE(C266, ""price"", EDATE(TODAY(), -6), TODAY()), 2, 2)) - 1, """")"),"")</f>
        <v/>
      </c>
      <c r="P266" s="21" t="str">
        <f>IFERROR(__xludf.DUMMYFUNCTION("IFERROR((GOOGLEFINANCE(C266, ""price"") / INDEX(GOOGLEFINANCE(C266, ""price"", EDATE(TODAY(), -12), TODAY()), 2, 2)) - 1, """")"),"")</f>
        <v/>
      </c>
      <c r="Q266" s="6" t="str">
        <f>IFERROR(__xludf.DUMMYFUNCTION("AVERAGE(QUERY(GOOGLEFINANCE(C266, ""price"", TODAY()-80, TODAY()), ""SELECT Col2 WHERE Col2 IS NOT NULL ORDER BY Col1 DESC LIMIT 50"", 0))"),"#N/A")</f>
        <v>#N/A</v>
      </c>
      <c r="R266" s="24" t="str">
        <f>IFERROR(__xludf.DUMMYFUNCTION("IFERROR(
  LET(
    data, QUERY(GOOGLEFINANCE(C266,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GOOGLEFINANCE(C266, ""price"")) * 100,
    IF(calc=0, G266, calc)
  ), 
G266)"),"#N/A")</f>
        <v>#N/A</v>
      </c>
      <c r="S266" s="8" t="s">
        <v>15</v>
      </c>
      <c r="T266" s="26" t="str">
        <f>IFERROR(__xludf.DUMMYFUNCTION("IFERROR(TRANSPOSE(QUERY(IFERROR(SORT(GOOGLEFINANCE(C266, ""price"", WORKDAY(TODAY(), -40), TODAY()), 1, FALSE)), ""select Col2 where Col2 is not null limit 22 label Col2 ''"", 0)), """")"),"")</f>
        <v/>
      </c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8"/>
      <c r="AO266" s="28"/>
      <c r="AP266" s="29"/>
      <c r="AQ266" s="29" t="str">
        <f t="shared" ref="AQ266:BL266" si="271">T266/T$2</f>
        <v>#N/A</v>
      </c>
      <c r="AR266" s="29" t="str">
        <f t="shared" si="271"/>
        <v>#DIV/0!</v>
      </c>
      <c r="AS266" s="29" t="str">
        <f t="shared" si="271"/>
        <v>#DIV/0!</v>
      </c>
      <c r="AT266" s="29" t="str">
        <f t="shared" si="271"/>
        <v>#DIV/0!</v>
      </c>
      <c r="AU266" s="29" t="str">
        <f t="shared" si="271"/>
        <v>#DIV/0!</v>
      </c>
      <c r="AV266" s="29" t="str">
        <f t="shared" si="271"/>
        <v>#DIV/0!</v>
      </c>
      <c r="AW266" s="29" t="str">
        <f t="shared" si="271"/>
        <v>#DIV/0!</v>
      </c>
      <c r="AX266" s="29" t="str">
        <f t="shared" si="271"/>
        <v>#DIV/0!</v>
      </c>
      <c r="AY266" s="29" t="str">
        <f t="shared" si="271"/>
        <v>#DIV/0!</v>
      </c>
      <c r="AZ266" s="29" t="str">
        <f t="shared" si="271"/>
        <v>#DIV/0!</v>
      </c>
      <c r="BA266" s="29" t="str">
        <f t="shared" si="271"/>
        <v>#DIV/0!</v>
      </c>
      <c r="BB266" s="29" t="str">
        <f t="shared" si="271"/>
        <v>#DIV/0!</v>
      </c>
      <c r="BC266" s="29" t="str">
        <f t="shared" si="271"/>
        <v>#DIV/0!</v>
      </c>
      <c r="BD266" s="29" t="str">
        <f t="shared" si="271"/>
        <v>#DIV/0!</v>
      </c>
      <c r="BE266" s="29" t="str">
        <f t="shared" si="271"/>
        <v>#DIV/0!</v>
      </c>
      <c r="BF266" s="29" t="str">
        <f t="shared" si="271"/>
        <v>#DIV/0!</v>
      </c>
      <c r="BG266" s="29" t="str">
        <f t="shared" si="271"/>
        <v>#DIV/0!</v>
      </c>
      <c r="BH266" s="29" t="str">
        <f t="shared" si="271"/>
        <v>#DIV/0!</v>
      </c>
      <c r="BI266" s="29" t="str">
        <f t="shared" si="271"/>
        <v>#DIV/0!</v>
      </c>
      <c r="BJ266" s="29" t="str">
        <f t="shared" si="271"/>
        <v>#DIV/0!</v>
      </c>
      <c r="BK266" s="29" t="str">
        <f t="shared" si="271"/>
        <v>#DIV/0!</v>
      </c>
      <c r="BL266" s="29" t="str">
        <f t="shared" si="271"/>
        <v>#DIV/0!</v>
      </c>
      <c r="BM266" s="29" t="str">
        <f t="shared" si="3"/>
        <v>#DIV/0!</v>
      </c>
    </row>
    <row r="267">
      <c r="A267" s="16" t="str">
        <f>IFERROR(__xludf.DUMMYFUNCTION("IFERROR(SPARKLINE(SORT(MAP(TRANSPOSE(AQ267:BL267), LAMBDA(val, IF(ISNUMBER(val), PERCENTRANK(AQ267:BL267, val)+0.01, 0))), SEQUENCE(COLUMNS(AQ267:BL267)), FALSE), {""charttype"",""column""; ""color"",""chartreuse""; ""ymin"", 0; ""ymax"", 1.01; ""highcolo"&amp;"r"", ""darkgreen""; ""lowcolor"", ""red""}), """")"),"")</f>
        <v/>
      </c>
      <c r="B267" s="17" t="str">
        <f t="shared" si="4"/>
        <v/>
      </c>
      <c r="C267" s="1" t="s">
        <v>2481</v>
      </c>
      <c r="D267" s="30" t="str">
        <f>IFERROR(__xludf.DUMMYFUNCTION("IFERROR(GOOGLEFINANCE(C267, ""NAME""))"),"Tilray Brands Inc")</f>
        <v>Tilray Brands Inc</v>
      </c>
      <c r="E267" s="30" t="s">
        <v>1475</v>
      </c>
      <c r="F267" s="33" t="str">
        <f>IFERROR(__xludf.DUMMYFUNCTION("( (GOOGLEFINANCE(C267, ""price"") - Q267) / Q267 ) / (R267 / 100)"),"Loading...")</f>
        <v>Loading...</v>
      </c>
      <c r="G267" s="20" t="str">
        <f>IFERROR(__xludf.DUMMYFUNCTION("AVERAGE(ARRAYFORMULA(100 * (QUERY(GOOGLEFINANCE(C267, ""high"", TODAY()-40, TODAY()), ""SELECT Col2 WHERE Col2 IS NOT NULL ORDER BY Col1 DESC LIMIT 20"", 0) / QUERY(GOOGLEFINANCE(C267, ""low"", TODAY()-40, TODAY()), ""SELECT Col2 WHERE Col2 IS NOT NULL OR"&amp;"DER BY Col1 DESC LIMIT 20"", 0) - 1)))"),"#N/A")</f>
        <v>#N/A</v>
      </c>
      <c r="H267" s="35" t="str">
        <f t="shared" si="233"/>
        <v/>
      </c>
      <c r="I267" s="36" t="str">
        <f t="shared" si="7"/>
        <v/>
      </c>
      <c r="J267" s="37" t="str">
        <f>IFERROR(__xludf.DUMMYFUNCTION("IFERROR(
  IF(C267="""",, 
    IFERROR(
      GOOGLEFINANCE(C267, ""price"") * GOOGLEFINANCE(C267, ""volumeavg""), 
      GOOGLEFINANCE(C267, ""price"") * AVERAGE(QUERY(GOOGLEFINANCE(C267, ""volume"", TODAY()-40, TODAY()), ""SELECT Col2 WHERE Col2 IS NOT "&amp;"NULL ORDER BY Col1 DESC LIMIT 20"", 0))
    )
  ), 
"""")"),"")</f>
        <v/>
      </c>
      <c r="K267" s="21" t="str">
        <f>IFERROR(__xludf.DUMMYFUNCTION("IFERROR(GOOGLEFINANCE(C267, ""changepct"") / 100, """")"),"")</f>
        <v/>
      </c>
      <c r="L267" s="21" t="str">
        <f>IFERROR(__xludf.DUMMYFUNCTION("IFERROR((GOOGLEFINANCE(C267, ""price"") / INDEX(GOOGLEFINANCE(C267, ""price"", TODAY()-7, TODAY()), 2, 2)) - 1, """")"),"")</f>
        <v/>
      </c>
      <c r="M267" s="21" t="str">
        <f>IFERROR(__xludf.DUMMYFUNCTION("IFERROR((GOOGLEFINANCE(C267, ""price"") / INDEX(GOOGLEFINANCE(C267, ""price"", EDATE(TODAY(), -1), TODAY()), 2, 2)) - 1, """")"),"")</f>
        <v/>
      </c>
      <c r="N267" s="21" t="str">
        <f>IFERROR(__xludf.DUMMYFUNCTION("IFERROR((GOOGLEFINANCE(C267, ""price"") / INDEX(GOOGLEFINANCE(C267, ""price"", EDATE(TODAY(), -3), TODAY()), 2, 2)) - 1, """")"),"")</f>
        <v/>
      </c>
      <c r="O267" s="21" t="str">
        <f>IFERROR(__xludf.DUMMYFUNCTION("IFERROR((GOOGLEFINANCE(C267, ""price"") / INDEX(GOOGLEFINANCE(C267, ""price"", EDATE(TODAY(), -6), TODAY()), 2, 2)) - 1, """")"),"")</f>
        <v/>
      </c>
      <c r="P267" s="21" t="str">
        <f>IFERROR(__xludf.DUMMYFUNCTION("IFERROR((GOOGLEFINANCE(C267, ""price"") / INDEX(GOOGLEFINANCE(C267, ""price"", EDATE(TODAY(), -12), TODAY()), 2, 2)) - 1, """")"),"")</f>
        <v/>
      </c>
      <c r="Q267" s="6" t="str">
        <f>IFERROR(__xludf.DUMMYFUNCTION("AVERAGE(QUERY(GOOGLEFINANCE(C267, ""price"", TODAY()-80, TODAY()), ""SELECT Col2 WHERE Col2 IS NOT NULL ORDER BY Col1 DESC LIMIT 50"", 0))"),"#N/A")</f>
        <v>#N/A</v>
      </c>
      <c r="R267" s="24" t="str">
        <f>IFERROR(__xludf.DUMMYFUNCTION("IFERROR(
  LET(
    data, QUERY(GOOGLEFINANCE(C267,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GOOGLEFINANCE(C267, ""price"")) * 100,
    IF(calc=0, G267, calc)
  ), 
G267)"),"#N/A")</f>
        <v>#N/A</v>
      </c>
      <c r="S267" s="8" t="s">
        <v>15</v>
      </c>
      <c r="T267" s="26" t="str">
        <f>IFERROR(__xludf.DUMMYFUNCTION("IFERROR(TRANSPOSE(QUERY(IFERROR(SORT(GOOGLEFINANCE(C267, ""price"", WORKDAY(TODAY(), -40), TODAY()), 1, FALSE)), ""select Col2 where Col2 is not null limit 22 label Col2 ''"", 0)), """")"),"")</f>
        <v/>
      </c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8"/>
      <c r="AO267" s="28"/>
      <c r="AP267" s="29"/>
      <c r="AQ267" s="29" t="str">
        <f t="shared" ref="AQ267:BL267" si="272">T267/T$2</f>
        <v>#N/A</v>
      </c>
      <c r="AR267" s="29" t="str">
        <f t="shared" si="272"/>
        <v>#DIV/0!</v>
      </c>
      <c r="AS267" s="29" t="str">
        <f t="shared" si="272"/>
        <v>#DIV/0!</v>
      </c>
      <c r="AT267" s="29" t="str">
        <f t="shared" si="272"/>
        <v>#DIV/0!</v>
      </c>
      <c r="AU267" s="29" t="str">
        <f t="shared" si="272"/>
        <v>#DIV/0!</v>
      </c>
      <c r="AV267" s="29" t="str">
        <f t="shared" si="272"/>
        <v>#DIV/0!</v>
      </c>
      <c r="AW267" s="29" t="str">
        <f t="shared" si="272"/>
        <v>#DIV/0!</v>
      </c>
      <c r="AX267" s="29" t="str">
        <f t="shared" si="272"/>
        <v>#DIV/0!</v>
      </c>
      <c r="AY267" s="29" t="str">
        <f t="shared" si="272"/>
        <v>#DIV/0!</v>
      </c>
      <c r="AZ267" s="29" t="str">
        <f t="shared" si="272"/>
        <v>#DIV/0!</v>
      </c>
      <c r="BA267" s="29" t="str">
        <f t="shared" si="272"/>
        <v>#DIV/0!</v>
      </c>
      <c r="BB267" s="29" t="str">
        <f t="shared" si="272"/>
        <v>#DIV/0!</v>
      </c>
      <c r="BC267" s="29" t="str">
        <f t="shared" si="272"/>
        <v>#DIV/0!</v>
      </c>
      <c r="BD267" s="29" t="str">
        <f t="shared" si="272"/>
        <v>#DIV/0!</v>
      </c>
      <c r="BE267" s="29" t="str">
        <f t="shared" si="272"/>
        <v>#DIV/0!</v>
      </c>
      <c r="BF267" s="29" t="str">
        <f t="shared" si="272"/>
        <v>#DIV/0!</v>
      </c>
      <c r="BG267" s="29" t="str">
        <f t="shared" si="272"/>
        <v>#DIV/0!</v>
      </c>
      <c r="BH267" s="29" t="str">
        <f t="shared" si="272"/>
        <v>#DIV/0!</v>
      </c>
      <c r="BI267" s="29" t="str">
        <f t="shared" si="272"/>
        <v>#DIV/0!</v>
      </c>
      <c r="BJ267" s="29" t="str">
        <f t="shared" si="272"/>
        <v>#DIV/0!</v>
      </c>
      <c r="BK267" s="29" t="str">
        <f t="shared" si="272"/>
        <v>#DIV/0!</v>
      </c>
      <c r="BL267" s="29" t="str">
        <f t="shared" si="272"/>
        <v>#DIV/0!</v>
      </c>
      <c r="BM267" s="29" t="str">
        <f t="shared" si="3"/>
        <v>#DIV/0!</v>
      </c>
    </row>
    <row r="268">
      <c r="A268" s="16" t="str">
        <f>IFERROR(__xludf.DUMMYFUNCTION("IFERROR(SPARKLINE(SORT(MAP(TRANSPOSE(AQ268:BL268), LAMBDA(val, IF(ISNUMBER(val), PERCENTRANK(AQ268:BL268, val)+0.01, 0))), SEQUENCE(COLUMNS(AQ268:BL268)), FALSE), {""charttype"",""column""; ""color"",""chartreuse""; ""ymin"", 0; ""ymax"", 1.01; ""highcolo"&amp;"r"", ""darkgreen""; ""lowcolor"", ""red""}), """")"),"")</f>
        <v/>
      </c>
      <c r="B268" s="17" t="str">
        <f t="shared" si="4"/>
        <v/>
      </c>
      <c r="C268" s="1" t="s">
        <v>2485</v>
      </c>
      <c r="D268" s="30" t="str">
        <f>IFERROR(__xludf.DUMMYFUNCTION("IFERROR(GOOGLEFINANCE(C268, ""NAME""))"),"Prestige Consumer Healthcare Inc")</f>
        <v>Prestige Consumer Healthcare Inc</v>
      </c>
      <c r="E268" s="30" t="s">
        <v>1475</v>
      </c>
      <c r="F268" s="33" t="str">
        <f>IFERROR(__xludf.DUMMYFUNCTION("( (GOOGLEFINANCE(C268, ""price"") - Q268) / Q268 ) / (R268 / 100)"),"Loading...")</f>
        <v>Loading...</v>
      </c>
      <c r="G268" s="20" t="str">
        <f>IFERROR(__xludf.DUMMYFUNCTION("AVERAGE(ARRAYFORMULA(100 * (QUERY(GOOGLEFINANCE(C268, ""high"", TODAY()-40, TODAY()), ""SELECT Col2 WHERE Col2 IS NOT NULL ORDER BY Col1 DESC LIMIT 20"", 0) / QUERY(GOOGLEFINANCE(C268, ""low"", TODAY()-40, TODAY()), ""SELECT Col2 WHERE Col2 IS NOT NULL OR"&amp;"DER BY Col1 DESC LIMIT 20"", 0) - 1)))"),"#N/A")</f>
        <v>#N/A</v>
      </c>
      <c r="H268" s="35" t="str">
        <f t="shared" si="233"/>
        <v/>
      </c>
      <c r="I268" s="36" t="str">
        <f t="shared" si="7"/>
        <v/>
      </c>
      <c r="J268" s="37" t="str">
        <f>IFERROR(__xludf.DUMMYFUNCTION("IFERROR(
  IF(C268="""",, 
    IFERROR(
      GOOGLEFINANCE(C268, ""price"") * GOOGLEFINANCE(C268, ""volumeavg""), 
      GOOGLEFINANCE(C268, ""price"") * AVERAGE(QUERY(GOOGLEFINANCE(C268, ""volume"", TODAY()-40, TODAY()), ""SELECT Col2 WHERE Col2 IS NOT "&amp;"NULL ORDER BY Col1 DESC LIMIT 20"", 0))
    )
  ), 
"""")"),"")</f>
        <v/>
      </c>
      <c r="K268" s="21" t="str">
        <f>IFERROR(__xludf.DUMMYFUNCTION("IFERROR(GOOGLEFINANCE(C268, ""changepct"") / 100, """")"),"")</f>
        <v/>
      </c>
      <c r="L268" s="21" t="str">
        <f>IFERROR(__xludf.DUMMYFUNCTION("IFERROR((GOOGLEFINANCE(C268, ""price"") / INDEX(GOOGLEFINANCE(C268, ""price"", TODAY()-7, TODAY()), 2, 2)) - 1, """")"),"")</f>
        <v/>
      </c>
      <c r="M268" s="21" t="str">
        <f>IFERROR(__xludf.DUMMYFUNCTION("IFERROR((GOOGLEFINANCE(C268, ""price"") / INDEX(GOOGLEFINANCE(C268, ""price"", EDATE(TODAY(), -1), TODAY()), 2, 2)) - 1, """")"),"")</f>
        <v/>
      </c>
      <c r="N268" s="21" t="str">
        <f>IFERROR(__xludf.DUMMYFUNCTION("IFERROR((GOOGLEFINANCE(C268, ""price"") / INDEX(GOOGLEFINANCE(C268, ""price"", EDATE(TODAY(), -3), TODAY()), 2, 2)) - 1, """")"),"")</f>
        <v/>
      </c>
      <c r="O268" s="21" t="str">
        <f>IFERROR(__xludf.DUMMYFUNCTION("IFERROR((GOOGLEFINANCE(C268, ""price"") / INDEX(GOOGLEFINANCE(C268, ""price"", EDATE(TODAY(), -6), TODAY()), 2, 2)) - 1, """")"),"")</f>
        <v/>
      </c>
      <c r="P268" s="21" t="str">
        <f>IFERROR(__xludf.DUMMYFUNCTION("IFERROR((GOOGLEFINANCE(C268, ""price"") / INDEX(GOOGLEFINANCE(C268, ""price"", EDATE(TODAY(), -12), TODAY()), 2, 2)) - 1, """")"),"")</f>
        <v/>
      </c>
      <c r="Q268" s="6" t="str">
        <f>IFERROR(__xludf.DUMMYFUNCTION("AVERAGE(QUERY(GOOGLEFINANCE(C268, ""price"", TODAY()-80, TODAY()), ""SELECT Col2 WHERE Col2 IS NOT NULL ORDER BY Col1 DESC LIMIT 50"", 0))"),"#N/A")</f>
        <v>#N/A</v>
      </c>
      <c r="R268" s="24" t="str">
        <f>IFERROR(__xludf.DUMMYFUNCTION("IFERROR(
  LET(
    data, QUERY(GOOGLEFINANCE(C268,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GOOGLEFINANCE(C268, ""price"")) * 100,
    IF(calc=0, G268, calc)
  ), 
G268)"),"#N/A")</f>
        <v>#N/A</v>
      </c>
      <c r="S268" s="8" t="s">
        <v>15</v>
      </c>
      <c r="T268" s="26" t="str">
        <f>IFERROR(__xludf.DUMMYFUNCTION("IFERROR(TRANSPOSE(QUERY(IFERROR(SORT(GOOGLEFINANCE(C268, ""price"", WORKDAY(TODAY(), -40), TODAY()), 1, FALSE)), ""select Col2 where Col2 is not null limit 22 label Col2 ''"", 0)), """")"),"")</f>
        <v/>
      </c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8"/>
      <c r="AO268" s="28"/>
      <c r="AP268" s="29"/>
      <c r="AQ268" s="29" t="str">
        <f t="shared" ref="AQ268:BL268" si="273">T268/T$2</f>
        <v>#N/A</v>
      </c>
      <c r="AR268" s="29" t="str">
        <f t="shared" si="273"/>
        <v>#DIV/0!</v>
      </c>
      <c r="AS268" s="29" t="str">
        <f t="shared" si="273"/>
        <v>#DIV/0!</v>
      </c>
      <c r="AT268" s="29" t="str">
        <f t="shared" si="273"/>
        <v>#DIV/0!</v>
      </c>
      <c r="AU268" s="29" t="str">
        <f t="shared" si="273"/>
        <v>#DIV/0!</v>
      </c>
      <c r="AV268" s="29" t="str">
        <f t="shared" si="273"/>
        <v>#DIV/0!</v>
      </c>
      <c r="AW268" s="29" t="str">
        <f t="shared" si="273"/>
        <v>#DIV/0!</v>
      </c>
      <c r="AX268" s="29" t="str">
        <f t="shared" si="273"/>
        <v>#DIV/0!</v>
      </c>
      <c r="AY268" s="29" t="str">
        <f t="shared" si="273"/>
        <v>#DIV/0!</v>
      </c>
      <c r="AZ268" s="29" t="str">
        <f t="shared" si="273"/>
        <v>#DIV/0!</v>
      </c>
      <c r="BA268" s="29" t="str">
        <f t="shared" si="273"/>
        <v>#DIV/0!</v>
      </c>
      <c r="BB268" s="29" t="str">
        <f t="shared" si="273"/>
        <v>#DIV/0!</v>
      </c>
      <c r="BC268" s="29" t="str">
        <f t="shared" si="273"/>
        <v>#DIV/0!</v>
      </c>
      <c r="BD268" s="29" t="str">
        <f t="shared" si="273"/>
        <v>#DIV/0!</v>
      </c>
      <c r="BE268" s="29" t="str">
        <f t="shared" si="273"/>
        <v>#DIV/0!</v>
      </c>
      <c r="BF268" s="29" t="str">
        <f t="shared" si="273"/>
        <v>#DIV/0!</v>
      </c>
      <c r="BG268" s="29" t="str">
        <f t="shared" si="273"/>
        <v>#DIV/0!</v>
      </c>
      <c r="BH268" s="29" t="str">
        <f t="shared" si="273"/>
        <v>#DIV/0!</v>
      </c>
      <c r="BI268" s="29" t="str">
        <f t="shared" si="273"/>
        <v>#DIV/0!</v>
      </c>
      <c r="BJ268" s="29" t="str">
        <f t="shared" si="273"/>
        <v>#DIV/0!</v>
      </c>
      <c r="BK268" s="29" t="str">
        <f t="shared" si="273"/>
        <v>#DIV/0!</v>
      </c>
      <c r="BL268" s="29" t="str">
        <f t="shared" si="273"/>
        <v>#DIV/0!</v>
      </c>
      <c r="BM268" s="29" t="str">
        <f t="shared" si="3"/>
        <v>#DIV/0!</v>
      </c>
    </row>
    <row r="269">
      <c r="A269" s="16" t="str">
        <f>IFERROR(__xludf.DUMMYFUNCTION("IFERROR(SPARKLINE(SORT(MAP(TRANSPOSE(AQ269:BL269), LAMBDA(val, IF(ISNUMBER(val), PERCENTRANK(AQ269:BL269, val)+0.01, 0))), SEQUENCE(COLUMNS(AQ269:BL269)), FALSE), {""charttype"",""column""; ""color"",""chartreuse""; ""ymin"", 0; ""ymax"", 1.01; ""highcolo"&amp;"r"", ""darkgreen""; ""lowcolor"", ""red""}), """")"),"")</f>
        <v/>
      </c>
      <c r="B269" s="17" t="str">
        <f t="shared" si="4"/>
        <v/>
      </c>
      <c r="C269" s="1" t="s">
        <v>2489</v>
      </c>
      <c r="D269" s="30" t="str">
        <f>IFERROR(__xludf.DUMMYFUNCTION("IFERROR(GOOGLEFINANCE(C269, ""NAME""))"),"TalkPool AG")</f>
        <v>TalkPool AG</v>
      </c>
      <c r="E269" s="30" t="s">
        <v>1532</v>
      </c>
      <c r="F269" s="33" t="str">
        <f>IFERROR(__xludf.DUMMYFUNCTION("( (GOOGLEFINANCE(C269, ""price"") - Q269) / Q269 ) / (R269 / 100)"),"Loading...")</f>
        <v>Loading...</v>
      </c>
      <c r="G269" s="20" t="str">
        <f>IFERROR(__xludf.DUMMYFUNCTION("AVERAGE(ARRAYFORMULA(100 * (QUERY(GOOGLEFINANCE(C269, ""high"", TODAY()-40, TODAY()), ""SELECT Col2 WHERE Col2 IS NOT NULL ORDER BY Col1 DESC LIMIT 20"", 0) / QUERY(GOOGLEFINANCE(C269, ""low"", TODAY()-40, TODAY()), ""SELECT Col2 WHERE Col2 IS NOT NULL OR"&amp;"DER BY Col1 DESC LIMIT 20"", 0) - 1)))"),"#N/A")</f>
        <v>#N/A</v>
      </c>
      <c r="H269" s="35" t="str">
        <f t="shared" si="233"/>
        <v/>
      </c>
      <c r="I269" s="36" t="str">
        <f t="shared" si="7"/>
        <v/>
      </c>
      <c r="J269" s="37" t="str">
        <f>IFERROR(__xludf.DUMMYFUNCTION("IFERROR(
  IF(C269="""",, 
    IFERROR(
      GOOGLEFINANCE(C269, ""price"") * GOOGLEFINANCE(C269, ""volumeavg""), 
      GOOGLEFINANCE(C269, ""price"") * AVERAGE(QUERY(GOOGLEFINANCE(C269, ""volume"", TODAY()-40, TODAY()), ""SELECT Col2 WHERE Col2 IS NOT "&amp;"NULL ORDER BY Col1 DESC LIMIT 20"", 0))
    )
  ), 
"""")"),"")</f>
        <v/>
      </c>
      <c r="K269" s="21" t="str">
        <f>IFERROR(__xludf.DUMMYFUNCTION("IFERROR(GOOGLEFINANCE(C269, ""changepct"") / 100, """")"),"")</f>
        <v/>
      </c>
      <c r="L269" s="21" t="str">
        <f>IFERROR(__xludf.DUMMYFUNCTION("IFERROR((GOOGLEFINANCE(C269, ""price"") / INDEX(GOOGLEFINANCE(C269, ""price"", TODAY()-7, TODAY()), 2, 2)) - 1, """")"),"")</f>
        <v/>
      </c>
      <c r="M269" s="21" t="str">
        <f>IFERROR(__xludf.DUMMYFUNCTION("IFERROR((GOOGLEFINANCE(C269, ""price"") / INDEX(GOOGLEFINANCE(C269, ""price"", EDATE(TODAY(), -1), TODAY()), 2, 2)) - 1, """")"),"")</f>
        <v/>
      </c>
      <c r="N269" s="21" t="str">
        <f>IFERROR(__xludf.DUMMYFUNCTION("IFERROR((GOOGLEFINANCE(C269, ""price"") / INDEX(GOOGLEFINANCE(C269, ""price"", EDATE(TODAY(), -3), TODAY()), 2, 2)) - 1, """")"),"")</f>
        <v/>
      </c>
      <c r="O269" s="21" t="str">
        <f>IFERROR(__xludf.DUMMYFUNCTION("IFERROR((GOOGLEFINANCE(C269, ""price"") / INDEX(GOOGLEFINANCE(C269, ""price"", EDATE(TODAY(), -6), TODAY()), 2, 2)) - 1, """")"),"")</f>
        <v/>
      </c>
      <c r="P269" s="21" t="str">
        <f>IFERROR(__xludf.DUMMYFUNCTION("IFERROR((GOOGLEFINANCE(C269, ""price"") / INDEX(GOOGLEFINANCE(C269, ""price"", EDATE(TODAY(), -12), TODAY()), 2, 2)) - 1, """")"),"")</f>
        <v/>
      </c>
      <c r="Q269" s="6" t="str">
        <f>IFERROR(__xludf.DUMMYFUNCTION("AVERAGE(QUERY(GOOGLEFINANCE(C269, ""price"", TODAY()-80, TODAY()), ""SELECT Col2 WHERE Col2 IS NOT NULL ORDER BY Col1 DESC LIMIT 50"", 0))"),"#N/A")</f>
        <v>#N/A</v>
      </c>
      <c r="R269" s="24" t="str">
        <f>IFERROR(__xludf.DUMMYFUNCTION("IFERROR(
  LET(
    data, QUERY(GOOGLEFINANCE(C269,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GOOGLEFINANCE(C269, ""price"")) * 100,
    IF(calc=0, G269, calc)
  ), 
G269)"),"#N/A")</f>
        <v>#N/A</v>
      </c>
      <c r="S269" s="8" t="s">
        <v>15</v>
      </c>
      <c r="T269" s="26" t="str">
        <f>IFERROR(__xludf.DUMMYFUNCTION("IFERROR(TRANSPOSE(QUERY(IFERROR(SORT(GOOGLEFINANCE(C269, ""price"", WORKDAY(TODAY(), -40), TODAY()), 1, FALSE)), ""select Col2 where Col2 is not null limit 22 label Col2 ''"", 0)), """")"),"")</f>
        <v/>
      </c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8"/>
      <c r="AO269" s="28"/>
      <c r="AP269" s="29"/>
      <c r="AQ269" s="29" t="str">
        <f t="shared" ref="AQ269:BL269" si="274">T269/T$2</f>
        <v>#N/A</v>
      </c>
      <c r="AR269" s="29" t="str">
        <f t="shared" si="274"/>
        <v>#DIV/0!</v>
      </c>
      <c r="AS269" s="29" t="str">
        <f t="shared" si="274"/>
        <v>#DIV/0!</v>
      </c>
      <c r="AT269" s="29" t="str">
        <f t="shared" si="274"/>
        <v>#DIV/0!</v>
      </c>
      <c r="AU269" s="29" t="str">
        <f t="shared" si="274"/>
        <v>#DIV/0!</v>
      </c>
      <c r="AV269" s="29" t="str">
        <f t="shared" si="274"/>
        <v>#DIV/0!</v>
      </c>
      <c r="AW269" s="29" t="str">
        <f t="shared" si="274"/>
        <v>#DIV/0!</v>
      </c>
      <c r="AX269" s="29" t="str">
        <f t="shared" si="274"/>
        <v>#DIV/0!</v>
      </c>
      <c r="AY269" s="29" t="str">
        <f t="shared" si="274"/>
        <v>#DIV/0!</v>
      </c>
      <c r="AZ269" s="29" t="str">
        <f t="shared" si="274"/>
        <v>#DIV/0!</v>
      </c>
      <c r="BA269" s="29" t="str">
        <f t="shared" si="274"/>
        <v>#DIV/0!</v>
      </c>
      <c r="BB269" s="29" t="str">
        <f t="shared" si="274"/>
        <v>#DIV/0!</v>
      </c>
      <c r="BC269" s="29" t="str">
        <f t="shared" si="274"/>
        <v>#DIV/0!</v>
      </c>
      <c r="BD269" s="29" t="str">
        <f t="shared" si="274"/>
        <v>#DIV/0!</v>
      </c>
      <c r="BE269" s="29" t="str">
        <f t="shared" si="274"/>
        <v>#DIV/0!</v>
      </c>
      <c r="BF269" s="29" t="str">
        <f t="shared" si="274"/>
        <v>#DIV/0!</v>
      </c>
      <c r="BG269" s="29" t="str">
        <f t="shared" si="274"/>
        <v>#DIV/0!</v>
      </c>
      <c r="BH269" s="29" t="str">
        <f t="shared" si="274"/>
        <v>#DIV/0!</v>
      </c>
      <c r="BI269" s="29" t="str">
        <f t="shared" si="274"/>
        <v>#DIV/0!</v>
      </c>
      <c r="BJ269" s="29" t="str">
        <f t="shared" si="274"/>
        <v>#DIV/0!</v>
      </c>
      <c r="BK269" s="29" t="str">
        <f t="shared" si="274"/>
        <v>#DIV/0!</v>
      </c>
      <c r="BL269" s="29" t="str">
        <f t="shared" si="274"/>
        <v>#DIV/0!</v>
      </c>
      <c r="BM269" s="29" t="str">
        <f t="shared" si="3"/>
        <v>#DIV/0!</v>
      </c>
    </row>
    <row r="270">
      <c r="A270" s="16" t="str">
        <f>IFERROR(__xludf.DUMMYFUNCTION("IFERROR(SPARKLINE(SORT(MAP(TRANSPOSE(AQ270:BL270), LAMBDA(val, IF(ISNUMBER(val), PERCENTRANK(AQ270:BL270, val)+0.01, 0))), SEQUENCE(COLUMNS(AQ270:BL270)), FALSE), {""charttype"",""column""; ""color"",""chartreuse""; ""ymin"", 0; ""ymax"", 1.01; ""highcolo"&amp;"r"", ""darkgreen""; ""lowcolor"", ""red""}), """")"),"")</f>
        <v/>
      </c>
      <c r="B270" s="17" t="str">
        <f t="shared" si="4"/>
        <v/>
      </c>
      <c r="C270" s="1" t="s">
        <v>2493</v>
      </c>
      <c r="D270" s="30" t="str">
        <f>IFERROR(__xludf.DUMMYFUNCTION("IFERROR(GOOGLEFINANCE(C270, ""NAME""))"),"Guardian Pharmacy Services Inc")</f>
        <v>Guardian Pharmacy Services Inc</v>
      </c>
      <c r="E270" s="30" t="s">
        <v>1513</v>
      </c>
      <c r="F270" s="33" t="str">
        <f>IFERROR(__xludf.DUMMYFUNCTION("( (GOOGLEFINANCE(C270, ""price"") - Q270) / Q270 ) / (R270 / 100)"),"Loading...")</f>
        <v>Loading...</v>
      </c>
      <c r="G270" s="20" t="str">
        <f>IFERROR(__xludf.DUMMYFUNCTION("AVERAGE(ARRAYFORMULA(100 * (QUERY(GOOGLEFINANCE(C270, ""high"", TODAY()-40, TODAY()), ""SELECT Col2 WHERE Col2 IS NOT NULL ORDER BY Col1 DESC LIMIT 20"", 0) / QUERY(GOOGLEFINANCE(C270, ""low"", TODAY()-40, TODAY()), ""SELECT Col2 WHERE Col2 IS NOT NULL OR"&amp;"DER BY Col1 DESC LIMIT 20"", 0) - 1)))"),"#N/A")</f>
        <v>#N/A</v>
      </c>
      <c r="H270" s="35" t="str">
        <f t="shared" si="233"/>
        <v/>
      </c>
      <c r="I270" s="36" t="str">
        <f t="shared" si="7"/>
        <v/>
      </c>
      <c r="J270" s="37" t="str">
        <f>IFERROR(__xludf.DUMMYFUNCTION("IFERROR(
  IF(C270="""",, 
    IFERROR(
      GOOGLEFINANCE(C270, ""price"") * GOOGLEFINANCE(C270, ""volumeavg""), 
      GOOGLEFINANCE(C270, ""price"") * AVERAGE(QUERY(GOOGLEFINANCE(C270, ""volume"", TODAY()-40, TODAY()), ""SELECT Col2 WHERE Col2 IS NOT "&amp;"NULL ORDER BY Col1 DESC LIMIT 20"", 0))
    )
  ), 
"""")"),"")</f>
        <v/>
      </c>
      <c r="K270" s="21" t="str">
        <f>IFERROR(__xludf.DUMMYFUNCTION("IFERROR(GOOGLEFINANCE(C270, ""changepct"") / 100, """")"),"")</f>
        <v/>
      </c>
      <c r="L270" s="21" t="str">
        <f>IFERROR(__xludf.DUMMYFUNCTION("IFERROR((GOOGLEFINANCE(C270, ""price"") / INDEX(GOOGLEFINANCE(C270, ""price"", TODAY()-7, TODAY()), 2, 2)) - 1, """")"),"")</f>
        <v/>
      </c>
      <c r="M270" s="21" t="str">
        <f>IFERROR(__xludf.DUMMYFUNCTION("IFERROR((GOOGLEFINANCE(C270, ""price"") / INDEX(GOOGLEFINANCE(C270, ""price"", EDATE(TODAY(), -1), TODAY()), 2, 2)) - 1, """")"),"")</f>
        <v/>
      </c>
      <c r="N270" s="21" t="str">
        <f>IFERROR(__xludf.DUMMYFUNCTION("IFERROR((GOOGLEFINANCE(C270, ""price"") / INDEX(GOOGLEFINANCE(C270, ""price"", EDATE(TODAY(), -3), TODAY()), 2, 2)) - 1, """")"),"")</f>
        <v/>
      </c>
      <c r="O270" s="21" t="str">
        <f>IFERROR(__xludf.DUMMYFUNCTION("IFERROR((GOOGLEFINANCE(C270, ""price"") / INDEX(GOOGLEFINANCE(C270, ""price"", EDATE(TODAY(), -6), TODAY()), 2, 2)) - 1, """")"),"")</f>
        <v/>
      </c>
      <c r="P270" s="21" t="str">
        <f>IFERROR(__xludf.DUMMYFUNCTION("IFERROR((GOOGLEFINANCE(C270, ""price"") / INDEX(GOOGLEFINANCE(C270, ""price"", EDATE(TODAY(), -12), TODAY()), 2, 2)) - 1, """")"),"")</f>
        <v/>
      </c>
      <c r="Q270" s="6" t="str">
        <f>IFERROR(__xludf.DUMMYFUNCTION("AVERAGE(QUERY(GOOGLEFINANCE(C270, ""price"", TODAY()-80, TODAY()), ""SELECT Col2 WHERE Col2 IS NOT NULL ORDER BY Col1 DESC LIMIT 50"", 0))"),"#N/A")</f>
        <v>#N/A</v>
      </c>
      <c r="R270" s="24" t="str">
        <f>IFERROR(__xludf.DUMMYFUNCTION("IFERROR(
  LET(
    data, QUERY(GOOGLEFINANCE(C270,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GOOGLEFINANCE(C270, ""price"")) * 100,
    IF(calc=0, G270, calc)
  ), 
G270)"),"#N/A")</f>
        <v>#N/A</v>
      </c>
      <c r="S270" s="8" t="s">
        <v>15</v>
      </c>
      <c r="T270" s="26" t="str">
        <f>IFERROR(__xludf.DUMMYFUNCTION("IFERROR(TRANSPOSE(QUERY(IFERROR(SORT(GOOGLEFINANCE(C270, ""price"", WORKDAY(TODAY(), -40), TODAY()), 1, FALSE)), ""select Col2 where Col2 is not null limit 22 label Col2 ''"", 0)), """")"),"")</f>
        <v/>
      </c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8"/>
      <c r="AO270" s="28"/>
      <c r="AP270" s="29"/>
      <c r="AQ270" s="29" t="str">
        <f t="shared" ref="AQ270:BL270" si="275">T270/T$2</f>
        <v>#N/A</v>
      </c>
      <c r="AR270" s="29" t="str">
        <f t="shared" si="275"/>
        <v>#DIV/0!</v>
      </c>
      <c r="AS270" s="29" t="str">
        <f t="shared" si="275"/>
        <v>#DIV/0!</v>
      </c>
      <c r="AT270" s="29" t="str">
        <f t="shared" si="275"/>
        <v>#DIV/0!</v>
      </c>
      <c r="AU270" s="29" t="str">
        <f t="shared" si="275"/>
        <v>#DIV/0!</v>
      </c>
      <c r="AV270" s="29" t="str">
        <f t="shared" si="275"/>
        <v>#DIV/0!</v>
      </c>
      <c r="AW270" s="29" t="str">
        <f t="shared" si="275"/>
        <v>#DIV/0!</v>
      </c>
      <c r="AX270" s="29" t="str">
        <f t="shared" si="275"/>
        <v>#DIV/0!</v>
      </c>
      <c r="AY270" s="29" t="str">
        <f t="shared" si="275"/>
        <v>#DIV/0!</v>
      </c>
      <c r="AZ270" s="29" t="str">
        <f t="shared" si="275"/>
        <v>#DIV/0!</v>
      </c>
      <c r="BA270" s="29" t="str">
        <f t="shared" si="275"/>
        <v>#DIV/0!</v>
      </c>
      <c r="BB270" s="29" t="str">
        <f t="shared" si="275"/>
        <v>#DIV/0!</v>
      </c>
      <c r="BC270" s="29" t="str">
        <f t="shared" si="275"/>
        <v>#DIV/0!</v>
      </c>
      <c r="BD270" s="29" t="str">
        <f t="shared" si="275"/>
        <v>#DIV/0!</v>
      </c>
      <c r="BE270" s="29" t="str">
        <f t="shared" si="275"/>
        <v>#DIV/0!</v>
      </c>
      <c r="BF270" s="29" t="str">
        <f t="shared" si="275"/>
        <v>#DIV/0!</v>
      </c>
      <c r="BG270" s="29" t="str">
        <f t="shared" si="275"/>
        <v>#DIV/0!</v>
      </c>
      <c r="BH270" s="29" t="str">
        <f t="shared" si="275"/>
        <v>#DIV/0!</v>
      </c>
      <c r="BI270" s="29" t="str">
        <f t="shared" si="275"/>
        <v>#DIV/0!</v>
      </c>
      <c r="BJ270" s="29" t="str">
        <f t="shared" si="275"/>
        <v>#DIV/0!</v>
      </c>
      <c r="BK270" s="29" t="str">
        <f t="shared" si="275"/>
        <v>#DIV/0!</v>
      </c>
      <c r="BL270" s="29" t="str">
        <f t="shared" si="275"/>
        <v>#DIV/0!</v>
      </c>
      <c r="BM270" s="29" t="str">
        <f t="shared" si="3"/>
        <v>#DIV/0!</v>
      </c>
    </row>
    <row r="271">
      <c r="A271" s="16" t="str">
        <f>IFERROR(__xludf.DUMMYFUNCTION("IFERROR(SPARKLINE(SORT(MAP(TRANSPOSE(AQ271:BL271), LAMBDA(val, IF(ISNUMBER(val), PERCENTRANK(AQ271:BL271, val)+0.01, 0))), SEQUENCE(COLUMNS(AQ271:BL271)), FALSE), {""charttype"",""column""; ""color"",""chartreuse""; ""ymin"", 0; ""ymax"", 1.01; ""highcolo"&amp;"r"", ""darkgreen""; ""lowcolor"", ""red""}), """")"),"")</f>
        <v/>
      </c>
      <c r="B271" s="17" t="str">
        <f t="shared" si="4"/>
        <v/>
      </c>
      <c r="C271" s="1" t="s">
        <v>2498</v>
      </c>
      <c r="D271" s="30" t="str">
        <f>IFERROR(__xludf.DUMMYFUNCTION("IFERROR(GOOGLEFINANCE(C271, ""NAME""))"),"Globus Medical Inc")</f>
        <v>Globus Medical Inc</v>
      </c>
      <c r="E271" s="30" t="s">
        <v>1491</v>
      </c>
      <c r="F271" s="33" t="str">
        <f>IFERROR(__xludf.DUMMYFUNCTION("( (GOOGLEFINANCE(C271, ""price"") - Q271) / Q271 ) / (R271 / 100)"),"Loading...")</f>
        <v>Loading...</v>
      </c>
      <c r="G271" s="20" t="str">
        <f>IFERROR(__xludf.DUMMYFUNCTION("AVERAGE(ARRAYFORMULA(100 * (QUERY(GOOGLEFINANCE(C271, ""high"", TODAY()-40, TODAY()), ""SELECT Col2 WHERE Col2 IS NOT NULL ORDER BY Col1 DESC LIMIT 20"", 0) / QUERY(GOOGLEFINANCE(C271, ""low"", TODAY()-40, TODAY()), ""SELECT Col2 WHERE Col2 IS NOT NULL OR"&amp;"DER BY Col1 DESC LIMIT 20"", 0) - 1)))"),"#N/A")</f>
        <v>#N/A</v>
      </c>
      <c r="H271" s="35" t="str">
        <f t="shared" si="233"/>
        <v/>
      </c>
      <c r="I271" s="36" t="str">
        <f t="shared" si="7"/>
        <v/>
      </c>
      <c r="J271" s="37" t="str">
        <f>IFERROR(__xludf.DUMMYFUNCTION("IFERROR(
  IF(C271="""",, 
    IFERROR(
      GOOGLEFINANCE(C271, ""price"") * GOOGLEFINANCE(C271, ""volumeavg""), 
      GOOGLEFINANCE(C271, ""price"") * AVERAGE(QUERY(GOOGLEFINANCE(C271, ""volume"", TODAY()-40, TODAY()), ""SELECT Col2 WHERE Col2 IS NOT "&amp;"NULL ORDER BY Col1 DESC LIMIT 20"", 0))
    )
  ), 
"""")"),"")</f>
        <v/>
      </c>
      <c r="K271" s="21" t="str">
        <f>IFERROR(__xludf.DUMMYFUNCTION("IFERROR(GOOGLEFINANCE(C271, ""changepct"") / 100, """")"),"")</f>
        <v/>
      </c>
      <c r="L271" s="21" t="str">
        <f>IFERROR(__xludf.DUMMYFUNCTION("IFERROR((GOOGLEFINANCE(C271, ""price"") / INDEX(GOOGLEFINANCE(C271, ""price"", TODAY()-7, TODAY()), 2, 2)) - 1, """")"),"")</f>
        <v/>
      </c>
      <c r="M271" s="21" t="str">
        <f>IFERROR(__xludf.DUMMYFUNCTION("IFERROR((GOOGLEFINANCE(C271, ""price"") / INDEX(GOOGLEFINANCE(C271, ""price"", EDATE(TODAY(), -1), TODAY()), 2, 2)) - 1, """")"),"")</f>
        <v/>
      </c>
      <c r="N271" s="21" t="str">
        <f>IFERROR(__xludf.DUMMYFUNCTION("IFERROR((GOOGLEFINANCE(C271, ""price"") / INDEX(GOOGLEFINANCE(C271, ""price"", EDATE(TODAY(), -3), TODAY()), 2, 2)) - 1, """")"),"")</f>
        <v/>
      </c>
      <c r="O271" s="21" t="str">
        <f>IFERROR(__xludf.DUMMYFUNCTION("IFERROR((GOOGLEFINANCE(C271, ""price"") / INDEX(GOOGLEFINANCE(C271, ""price"", EDATE(TODAY(), -6), TODAY()), 2, 2)) - 1, """")"),"")</f>
        <v/>
      </c>
      <c r="P271" s="21" t="str">
        <f>IFERROR(__xludf.DUMMYFUNCTION("IFERROR((GOOGLEFINANCE(C271, ""price"") / INDEX(GOOGLEFINANCE(C271, ""price"", EDATE(TODAY(), -12), TODAY()), 2, 2)) - 1, """")"),"")</f>
        <v/>
      </c>
      <c r="Q271" s="6" t="str">
        <f>IFERROR(__xludf.DUMMYFUNCTION("AVERAGE(QUERY(GOOGLEFINANCE(C271, ""price"", TODAY()-80, TODAY()), ""SELECT Col2 WHERE Col2 IS NOT NULL ORDER BY Col1 DESC LIMIT 50"", 0))"),"#N/A")</f>
        <v>#N/A</v>
      </c>
      <c r="R271" s="24" t="str">
        <f>IFERROR(__xludf.DUMMYFUNCTION("IFERROR(
  LET(
    data, QUERY(GOOGLEFINANCE(C271,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GOOGLEFINANCE(C271, ""price"")) * 100,
    IF(calc=0, G271, calc)
  ), 
G271)"),"#N/A")</f>
        <v>#N/A</v>
      </c>
      <c r="S271" s="8" t="s">
        <v>15</v>
      </c>
      <c r="T271" s="26" t="str">
        <f>IFERROR(__xludf.DUMMYFUNCTION("IFERROR(TRANSPOSE(QUERY(IFERROR(SORT(GOOGLEFINANCE(C271, ""price"", WORKDAY(TODAY(), -40), TODAY()), 1, FALSE)), ""select Col2 where Col2 is not null limit 22 label Col2 ''"", 0)), """")"),"")</f>
        <v/>
      </c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8"/>
      <c r="AO271" s="28"/>
      <c r="AP271" s="29"/>
      <c r="AQ271" s="29" t="str">
        <f t="shared" ref="AQ271:BL271" si="276">T271/T$2</f>
        <v>#N/A</v>
      </c>
      <c r="AR271" s="29" t="str">
        <f t="shared" si="276"/>
        <v>#DIV/0!</v>
      </c>
      <c r="AS271" s="29" t="str">
        <f t="shared" si="276"/>
        <v>#DIV/0!</v>
      </c>
      <c r="AT271" s="29" t="str">
        <f t="shared" si="276"/>
        <v>#DIV/0!</v>
      </c>
      <c r="AU271" s="29" t="str">
        <f t="shared" si="276"/>
        <v>#DIV/0!</v>
      </c>
      <c r="AV271" s="29" t="str">
        <f t="shared" si="276"/>
        <v>#DIV/0!</v>
      </c>
      <c r="AW271" s="29" t="str">
        <f t="shared" si="276"/>
        <v>#DIV/0!</v>
      </c>
      <c r="AX271" s="29" t="str">
        <f t="shared" si="276"/>
        <v>#DIV/0!</v>
      </c>
      <c r="AY271" s="29" t="str">
        <f t="shared" si="276"/>
        <v>#DIV/0!</v>
      </c>
      <c r="AZ271" s="29" t="str">
        <f t="shared" si="276"/>
        <v>#DIV/0!</v>
      </c>
      <c r="BA271" s="29" t="str">
        <f t="shared" si="276"/>
        <v>#DIV/0!</v>
      </c>
      <c r="BB271" s="29" t="str">
        <f t="shared" si="276"/>
        <v>#DIV/0!</v>
      </c>
      <c r="BC271" s="29" t="str">
        <f t="shared" si="276"/>
        <v>#DIV/0!</v>
      </c>
      <c r="BD271" s="29" t="str">
        <f t="shared" si="276"/>
        <v>#DIV/0!</v>
      </c>
      <c r="BE271" s="29" t="str">
        <f t="shared" si="276"/>
        <v>#DIV/0!</v>
      </c>
      <c r="BF271" s="29" t="str">
        <f t="shared" si="276"/>
        <v>#DIV/0!</v>
      </c>
      <c r="BG271" s="29" t="str">
        <f t="shared" si="276"/>
        <v>#DIV/0!</v>
      </c>
      <c r="BH271" s="29" t="str">
        <f t="shared" si="276"/>
        <v>#DIV/0!</v>
      </c>
      <c r="BI271" s="29" t="str">
        <f t="shared" si="276"/>
        <v>#DIV/0!</v>
      </c>
      <c r="BJ271" s="29" t="str">
        <f t="shared" si="276"/>
        <v>#DIV/0!</v>
      </c>
      <c r="BK271" s="29" t="str">
        <f t="shared" si="276"/>
        <v>#DIV/0!</v>
      </c>
      <c r="BL271" s="29" t="str">
        <f t="shared" si="276"/>
        <v>#DIV/0!</v>
      </c>
      <c r="BM271" s="29" t="str">
        <f t="shared" si="3"/>
        <v>#DIV/0!</v>
      </c>
    </row>
    <row r="272">
      <c r="A272" s="16" t="str">
        <f>IFERROR(__xludf.DUMMYFUNCTION("IFERROR(SPARKLINE(SORT(MAP(TRANSPOSE(AQ272:BL272), LAMBDA(val, IF(ISNUMBER(val), PERCENTRANK(AQ272:BL272, val)+0.01, 0))), SEQUENCE(COLUMNS(AQ272:BL272)), FALSE), {""charttype"",""column""; ""color"",""chartreuse""; ""ymin"", 0; ""ymax"", 1.01; ""highcolo"&amp;"r"", ""darkgreen""; ""lowcolor"", ""red""}), """")"),"")</f>
        <v/>
      </c>
      <c r="B272" s="17" t="str">
        <f t="shared" si="4"/>
        <v/>
      </c>
      <c r="C272" s="1" t="s">
        <v>2502</v>
      </c>
      <c r="D272" s="30" t="str">
        <f>IFERROR(__xludf.DUMMYFUNCTION("IFERROR(GOOGLEFINANCE(C272, ""NAME""))"),"Tandem Diabetes Care Inc")</f>
        <v>Tandem Diabetes Care Inc</v>
      </c>
      <c r="E272" s="30" t="s">
        <v>1491</v>
      </c>
      <c r="F272" s="33" t="str">
        <f>IFERROR(__xludf.DUMMYFUNCTION("( (GOOGLEFINANCE(C272, ""price"") - Q272) / Q272 ) / (R272 / 100)"),"Loading...")</f>
        <v>Loading...</v>
      </c>
      <c r="G272" s="20" t="str">
        <f>IFERROR(__xludf.DUMMYFUNCTION("AVERAGE(ARRAYFORMULA(100 * (QUERY(GOOGLEFINANCE(C272, ""high"", TODAY()-40, TODAY()), ""SELECT Col2 WHERE Col2 IS NOT NULL ORDER BY Col1 DESC LIMIT 20"", 0) / QUERY(GOOGLEFINANCE(C272, ""low"", TODAY()-40, TODAY()), ""SELECT Col2 WHERE Col2 IS NOT NULL OR"&amp;"DER BY Col1 DESC LIMIT 20"", 0) - 1)))"),"#N/A")</f>
        <v>#N/A</v>
      </c>
      <c r="H272" s="35" t="str">
        <f t="shared" si="233"/>
        <v/>
      </c>
      <c r="I272" s="36" t="str">
        <f t="shared" si="7"/>
        <v/>
      </c>
      <c r="J272" s="37" t="str">
        <f>IFERROR(__xludf.DUMMYFUNCTION("IFERROR(
  IF(C272="""",, 
    IFERROR(
      GOOGLEFINANCE(C272, ""price"") * GOOGLEFINANCE(C272, ""volumeavg""), 
      GOOGLEFINANCE(C272, ""price"") * AVERAGE(QUERY(GOOGLEFINANCE(C272, ""volume"", TODAY()-40, TODAY()), ""SELECT Col2 WHERE Col2 IS NOT "&amp;"NULL ORDER BY Col1 DESC LIMIT 20"", 0))
    )
  ), 
"""")"),"")</f>
        <v/>
      </c>
      <c r="K272" s="21" t="str">
        <f>IFERROR(__xludf.DUMMYFUNCTION("IFERROR(GOOGLEFINANCE(C272, ""changepct"") / 100, """")"),"")</f>
        <v/>
      </c>
      <c r="L272" s="21" t="str">
        <f>IFERROR(__xludf.DUMMYFUNCTION("IFERROR((GOOGLEFINANCE(C272, ""price"") / INDEX(GOOGLEFINANCE(C272, ""price"", TODAY()-7, TODAY()), 2, 2)) - 1, """")"),"")</f>
        <v/>
      </c>
      <c r="M272" s="21" t="str">
        <f>IFERROR(__xludf.DUMMYFUNCTION("IFERROR((GOOGLEFINANCE(C272, ""price"") / INDEX(GOOGLEFINANCE(C272, ""price"", EDATE(TODAY(), -1), TODAY()), 2, 2)) - 1, """")"),"")</f>
        <v/>
      </c>
      <c r="N272" s="21" t="str">
        <f>IFERROR(__xludf.DUMMYFUNCTION("IFERROR((GOOGLEFINANCE(C272, ""price"") / INDEX(GOOGLEFINANCE(C272, ""price"", EDATE(TODAY(), -3), TODAY()), 2, 2)) - 1, """")"),"")</f>
        <v/>
      </c>
      <c r="O272" s="21" t="str">
        <f>IFERROR(__xludf.DUMMYFUNCTION("IFERROR((GOOGLEFINANCE(C272, ""price"") / INDEX(GOOGLEFINANCE(C272, ""price"", EDATE(TODAY(), -6), TODAY()), 2, 2)) - 1, """")"),"")</f>
        <v/>
      </c>
      <c r="P272" s="21" t="str">
        <f>IFERROR(__xludf.DUMMYFUNCTION("IFERROR((GOOGLEFINANCE(C272, ""price"") / INDEX(GOOGLEFINANCE(C272, ""price"", EDATE(TODAY(), -12), TODAY()), 2, 2)) - 1, """")"),"")</f>
        <v/>
      </c>
      <c r="Q272" s="6" t="str">
        <f>IFERROR(__xludf.DUMMYFUNCTION("AVERAGE(QUERY(GOOGLEFINANCE(C272, ""price"", TODAY()-80, TODAY()), ""SELECT Col2 WHERE Col2 IS NOT NULL ORDER BY Col1 DESC LIMIT 50"", 0))"),"#N/A")</f>
        <v>#N/A</v>
      </c>
      <c r="R272" s="24" t="str">
        <f>IFERROR(__xludf.DUMMYFUNCTION("IFERROR(
  LET(
    data, QUERY(GOOGLEFINANCE(C272,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GOOGLEFINANCE(C272, ""price"")) * 100,
    IF(calc=0, G272, calc)
  ), 
G272)"),"#N/A")</f>
        <v>#N/A</v>
      </c>
      <c r="S272" s="8" t="s">
        <v>15</v>
      </c>
      <c r="T272" s="26" t="str">
        <f>IFERROR(__xludf.DUMMYFUNCTION("IFERROR(TRANSPOSE(QUERY(IFERROR(SORT(GOOGLEFINANCE(C272, ""price"", WORKDAY(TODAY(), -40), TODAY()), 1, FALSE)), ""select Col2 where Col2 is not null limit 22 label Col2 ''"", 0)), """")"),"")</f>
        <v/>
      </c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8"/>
      <c r="AO272" s="28"/>
      <c r="AP272" s="29"/>
      <c r="AQ272" s="29" t="str">
        <f t="shared" ref="AQ272:BL272" si="277">T272/T$2</f>
        <v>#N/A</v>
      </c>
      <c r="AR272" s="29" t="str">
        <f t="shared" si="277"/>
        <v>#DIV/0!</v>
      </c>
      <c r="AS272" s="29" t="str">
        <f t="shared" si="277"/>
        <v>#DIV/0!</v>
      </c>
      <c r="AT272" s="29" t="str">
        <f t="shared" si="277"/>
        <v>#DIV/0!</v>
      </c>
      <c r="AU272" s="29" t="str">
        <f t="shared" si="277"/>
        <v>#DIV/0!</v>
      </c>
      <c r="AV272" s="29" t="str">
        <f t="shared" si="277"/>
        <v>#DIV/0!</v>
      </c>
      <c r="AW272" s="29" t="str">
        <f t="shared" si="277"/>
        <v>#DIV/0!</v>
      </c>
      <c r="AX272" s="29" t="str">
        <f t="shared" si="277"/>
        <v>#DIV/0!</v>
      </c>
      <c r="AY272" s="29" t="str">
        <f t="shared" si="277"/>
        <v>#DIV/0!</v>
      </c>
      <c r="AZ272" s="29" t="str">
        <f t="shared" si="277"/>
        <v>#DIV/0!</v>
      </c>
      <c r="BA272" s="29" t="str">
        <f t="shared" si="277"/>
        <v>#DIV/0!</v>
      </c>
      <c r="BB272" s="29" t="str">
        <f t="shared" si="277"/>
        <v>#DIV/0!</v>
      </c>
      <c r="BC272" s="29" t="str">
        <f t="shared" si="277"/>
        <v>#DIV/0!</v>
      </c>
      <c r="BD272" s="29" t="str">
        <f t="shared" si="277"/>
        <v>#DIV/0!</v>
      </c>
      <c r="BE272" s="29" t="str">
        <f t="shared" si="277"/>
        <v>#DIV/0!</v>
      </c>
      <c r="BF272" s="29" t="str">
        <f t="shared" si="277"/>
        <v>#DIV/0!</v>
      </c>
      <c r="BG272" s="29" t="str">
        <f t="shared" si="277"/>
        <v>#DIV/0!</v>
      </c>
      <c r="BH272" s="29" t="str">
        <f t="shared" si="277"/>
        <v>#DIV/0!</v>
      </c>
      <c r="BI272" s="29" t="str">
        <f t="shared" si="277"/>
        <v>#DIV/0!</v>
      </c>
      <c r="BJ272" s="29" t="str">
        <f t="shared" si="277"/>
        <v>#DIV/0!</v>
      </c>
      <c r="BK272" s="29" t="str">
        <f t="shared" si="277"/>
        <v>#DIV/0!</v>
      </c>
      <c r="BL272" s="29" t="str">
        <f t="shared" si="277"/>
        <v>#DIV/0!</v>
      </c>
      <c r="BM272" s="29" t="str">
        <f t="shared" si="3"/>
        <v>#DIV/0!</v>
      </c>
    </row>
    <row r="273">
      <c r="A273" s="16" t="str">
        <f>IFERROR(__xludf.DUMMYFUNCTION("IFERROR(SPARKLINE(SORT(MAP(TRANSPOSE(AQ273:BL273), LAMBDA(val, IF(ISNUMBER(val), PERCENTRANK(AQ273:BL273, val)+0.01, 0))), SEQUENCE(COLUMNS(AQ273:BL273)), FALSE), {""charttype"",""column""; ""color"",""chartreuse""; ""ymin"", 0; ""ymax"", 1.01; ""highcolo"&amp;"r"", ""darkgreen""; ""lowcolor"", ""red""}), """")"),"")</f>
        <v/>
      </c>
      <c r="B273" s="17" t="str">
        <f t="shared" si="4"/>
        <v/>
      </c>
      <c r="C273" s="1" t="s">
        <v>2506</v>
      </c>
      <c r="D273" s="30" t="str">
        <f>IFERROR(__xludf.DUMMYFUNCTION("IFERROR(GOOGLEFINANCE(C273, ""NAME""))"),"TransMedics Group Inc")</f>
        <v>TransMedics Group Inc</v>
      </c>
      <c r="E273" s="30" t="s">
        <v>1491</v>
      </c>
      <c r="F273" s="38" t="str">
        <f>IFERROR(__xludf.DUMMYFUNCTION("( (GOOGLEFINANCE(C273, ""price"") - Q273) / Q273 ) / (R273 / 100)"),"Loading...")</f>
        <v>Loading...</v>
      </c>
      <c r="G273" s="20" t="str">
        <f>IFERROR(__xludf.DUMMYFUNCTION("AVERAGE(ARRAYFORMULA(100 * (QUERY(GOOGLEFINANCE(C273, ""high"", TODAY()-40, TODAY()), ""SELECT Col2 WHERE Col2 IS NOT NULL ORDER BY Col1 DESC LIMIT 20"", 0) / QUERY(GOOGLEFINANCE(C273, ""low"", TODAY()-40, TODAY()), ""SELECT Col2 WHERE Col2 IS NOT NULL OR"&amp;"DER BY Col1 DESC LIMIT 20"", 0) - 1)))"),"#N/A")</f>
        <v>#N/A</v>
      </c>
      <c r="H273" s="35" t="str">
        <f t="shared" si="233"/>
        <v/>
      </c>
      <c r="I273" s="36" t="str">
        <f t="shared" si="7"/>
        <v/>
      </c>
      <c r="J273" s="37" t="str">
        <f>IFERROR(__xludf.DUMMYFUNCTION("IFERROR(
  IF(C273="""",, 
    IFERROR(
      GOOGLEFINANCE(C273, ""price"") * GOOGLEFINANCE(C273, ""volumeavg""), 
      GOOGLEFINANCE(C273, ""price"") * AVERAGE(QUERY(GOOGLEFINANCE(C273, ""volume"", TODAY()-40, TODAY()), ""SELECT Col2 WHERE Col2 IS NOT "&amp;"NULL ORDER BY Col1 DESC LIMIT 20"", 0))
    )
  ), 
"""")"),"")</f>
        <v/>
      </c>
      <c r="K273" s="21" t="str">
        <f>IFERROR(__xludf.DUMMYFUNCTION("IFERROR(GOOGLEFINANCE(C273, ""changepct"") / 100, """")"),"")</f>
        <v/>
      </c>
      <c r="L273" s="21" t="str">
        <f>IFERROR(__xludf.DUMMYFUNCTION("IFERROR((GOOGLEFINANCE(C273, ""price"") / INDEX(GOOGLEFINANCE(C273, ""price"", TODAY()-7, TODAY()), 2, 2)) - 1, """")"),"")</f>
        <v/>
      </c>
      <c r="M273" s="21" t="str">
        <f>IFERROR(__xludf.DUMMYFUNCTION("IFERROR((GOOGLEFINANCE(C273, ""price"") / INDEX(GOOGLEFINANCE(C273, ""price"", EDATE(TODAY(), -1), TODAY()), 2, 2)) - 1, """")"),"")</f>
        <v/>
      </c>
      <c r="N273" s="21" t="str">
        <f>IFERROR(__xludf.DUMMYFUNCTION("IFERROR((GOOGLEFINANCE(C273, ""price"") / INDEX(GOOGLEFINANCE(C273, ""price"", EDATE(TODAY(), -3), TODAY()), 2, 2)) - 1, """")"),"")</f>
        <v/>
      </c>
      <c r="O273" s="21" t="str">
        <f>IFERROR(__xludf.DUMMYFUNCTION("IFERROR((GOOGLEFINANCE(C273, ""price"") / INDEX(GOOGLEFINANCE(C273, ""price"", EDATE(TODAY(), -6), TODAY()), 2, 2)) - 1, """")"),"")</f>
        <v/>
      </c>
      <c r="P273" s="21" t="str">
        <f>IFERROR(__xludf.DUMMYFUNCTION("IFERROR((GOOGLEFINANCE(C273, ""price"") / INDEX(GOOGLEFINANCE(C273, ""price"", EDATE(TODAY(), -12), TODAY()), 2, 2)) - 1, """")"),"")</f>
        <v/>
      </c>
      <c r="Q273" s="6" t="str">
        <f>IFERROR(__xludf.DUMMYFUNCTION("AVERAGE(QUERY(GOOGLEFINANCE(C273, ""price"", TODAY()-80, TODAY()), ""SELECT Col2 WHERE Col2 IS NOT NULL ORDER BY Col1 DESC LIMIT 50"", 0))"),"#N/A")</f>
        <v>#N/A</v>
      </c>
      <c r="R273" s="24" t="str">
        <f>IFERROR(__xludf.DUMMYFUNCTION("IFERROR(
  LET(
    data, QUERY(GOOGLEFINANCE(C273,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GOOGLEFINANCE(C273, ""price"")) * 100,
    IF(calc=0, G273, calc)
  ), 
G273)"),"#N/A")</f>
        <v>#N/A</v>
      </c>
      <c r="S273" s="8" t="s">
        <v>15</v>
      </c>
      <c r="T273" s="26" t="str">
        <f>IFERROR(__xludf.DUMMYFUNCTION("IFERROR(TRANSPOSE(QUERY(IFERROR(SORT(GOOGLEFINANCE(C273, ""price"", WORKDAY(TODAY(), -40), TODAY()), 1, FALSE)), ""select Col2 where Col2 is not null limit 22 label Col2 ''"", 0)), """")"),"")</f>
        <v/>
      </c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8"/>
      <c r="AO273" s="28"/>
      <c r="AP273" s="29"/>
      <c r="AQ273" s="29" t="str">
        <f t="shared" ref="AQ273:BL273" si="278">T273/T$2</f>
        <v>#N/A</v>
      </c>
      <c r="AR273" s="29" t="str">
        <f t="shared" si="278"/>
        <v>#DIV/0!</v>
      </c>
      <c r="AS273" s="29" t="str">
        <f t="shared" si="278"/>
        <v>#DIV/0!</v>
      </c>
      <c r="AT273" s="29" t="str">
        <f t="shared" si="278"/>
        <v>#DIV/0!</v>
      </c>
      <c r="AU273" s="29" t="str">
        <f t="shared" si="278"/>
        <v>#DIV/0!</v>
      </c>
      <c r="AV273" s="29" t="str">
        <f t="shared" si="278"/>
        <v>#DIV/0!</v>
      </c>
      <c r="AW273" s="29" t="str">
        <f t="shared" si="278"/>
        <v>#DIV/0!</v>
      </c>
      <c r="AX273" s="29" t="str">
        <f t="shared" si="278"/>
        <v>#DIV/0!</v>
      </c>
      <c r="AY273" s="29" t="str">
        <f t="shared" si="278"/>
        <v>#DIV/0!</v>
      </c>
      <c r="AZ273" s="29" t="str">
        <f t="shared" si="278"/>
        <v>#DIV/0!</v>
      </c>
      <c r="BA273" s="29" t="str">
        <f t="shared" si="278"/>
        <v>#DIV/0!</v>
      </c>
      <c r="BB273" s="29" t="str">
        <f t="shared" si="278"/>
        <v>#DIV/0!</v>
      </c>
      <c r="BC273" s="29" t="str">
        <f t="shared" si="278"/>
        <v>#DIV/0!</v>
      </c>
      <c r="BD273" s="29" t="str">
        <f t="shared" si="278"/>
        <v>#DIV/0!</v>
      </c>
      <c r="BE273" s="29" t="str">
        <f t="shared" si="278"/>
        <v>#DIV/0!</v>
      </c>
      <c r="BF273" s="29" t="str">
        <f t="shared" si="278"/>
        <v>#DIV/0!</v>
      </c>
      <c r="BG273" s="29" t="str">
        <f t="shared" si="278"/>
        <v>#DIV/0!</v>
      </c>
      <c r="BH273" s="29" t="str">
        <f t="shared" si="278"/>
        <v>#DIV/0!</v>
      </c>
      <c r="BI273" s="29" t="str">
        <f t="shared" si="278"/>
        <v>#DIV/0!</v>
      </c>
      <c r="BJ273" s="29" t="str">
        <f t="shared" si="278"/>
        <v>#DIV/0!</v>
      </c>
      <c r="BK273" s="29" t="str">
        <f t="shared" si="278"/>
        <v>#DIV/0!</v>
      </c>
      <c r="BL273" s="29" t="str">
        <f t="shared" si="278"/>
        <v>#DIV/0!</v>
      </c>
      <c r="BM273" s="29" t="str">
        <f t="shared" si="3"/>
        <v>#DIV/0!</v>
      </c>
    </row>
    <row r="274">
      <c r="A274" s="16" t="str">
        <f>IFERROR(__xludf.DUMMYFUNCTION("IFERROR(SPARKLINE(SORT(MAP(TRANSPOSE(AQ274:BL274), LAMBDA(val, IF(ISNUMBER(val), PERCENTRANK(AQ274:BL274, val)+0.01, 0))), SEQUENCE(COLUMNS(AQ274:BL274)), FALSE), {""charttype"",""column""; ""color"",""chartreuse""; ""ymin"", 0; ""ymax"", 1.01; ""highcolo"&amp;"r"", ""darkgreen""; ""lowcolor"", ""red""}), """")"),"")</f>
        <v/>
      </c>
      <c r="B274" s="17" t="str">
        <f t="shared" si="4"/>
        <v/>
      </c>
      <c r="C274" s="1" t="s">
        <v>2510</v>
      </c>
      <c r="D274" s="30" t="str">
        <f>IFERROR(__xludf.DUMMYFUNCTION("IFERROR(GOOGLEFINANCE(C274, ""NAME""))"),"Bio-Rad Laboratories, Inc. Class A Common Stock")</f>
        <v>Bio-Rad Laboratories, Inc. Class A Common Stock</v>
      </c>
      <c r="E274" s="30" t="s">
        <v>1491</v>
      </c>
      <c r="F274" s="33" t="str">
        <f>IFERROR(__xludf.DUMMYFUNCTION("( (GOOGLEFINANCE(C274, ""price"") - Q274) / Q274 ) / (R274 / 100)"),"Loading...")</f>
        <v>Loading...</v>
      </c>
      <c r="G274" s="20" t="str">
        <f>IFERROR(__xludf.DUMMYFUNCTION("AVERAGE(ARRAYFORMULA(100 * (QUERY(GOOGLEFINANCE(C274, ""high"", TODAY()-40, TODAY()), ""SELECT Col2 WHERE Col2 IS NOT NULL ORDER BY Col1 DESC LIMIT 20"", 0) / QUERY(GOOGLEFINANCE(C274, ""low"", TODAY()-40, TODAY()), ""SELECT Col2 WHERE Col2 IS NOT NULL OR"&amp;"DER BY Col1 DESC LIMIT 20"", 0) - 1)))"),"#N/A")</f>
        <v>#N/A</v>
      </c>
      <c r="H274" s="35" t="str">
        <f t="shared" si="233"/>
        <v/>
      </c>
      <c r="I274" s="36" t="str">
        <f t="shared" si="7"/>
        <v/>
      </c>
      <c r="J274" s="37" t="str">
        <f>IFERROR(__xludf.DUMMYFUNCTION("IFERROR(
  IF(C274="""",, 
    IFERROR(
      GOOGLEFINANCE(C274, ""price"") * GOOGLEFINANCE(C274, ""volumeavg""), 
      GOOGLEFINANCE(C274, ""price"") * AVERAGE(QUERY(GOOGLEFINANCE(C274, ""volume"", TODAY()-40, TODAY()), ""SELECT Col2 WHERE Col2 IS NOT "&amp;"NULL ORDER BY Col1 DESC LIMIT 20"", 0))
    )
  ), 
"""")"),"")</f>
        <v/>
      </c>
      <c r="K274" s="21" t="str">
        <f>IFERROR(__xludf.DUMMYFUNCTION("IFERROR(GOOGLEFINANCE(C274, ""changepct"") / 100, """")"),"")</f>
        <v/>
      </c>
      <c r="L274" s="21" t="str">
        <f>IFERROR(__xludf.DUMMYFUNCTION("IFERROR((GOOGLEFINANCE(C274, ""price"") / INDEX(GOOGLEFINANCE(C274, ""price"", TODAY()-7, TODAY()), 2, 2)) - 1, """")"),"")</f>
        <v/>
      </c>
      <c r="M274" s="21" t="str">
        <f>IFERROR(__xludf.DUMMYFUNCTION("IFERROR((GOOGLEFINANCE(C274, ""price"") / INDEX(GOOGLEFINANCE(C274, ""price"", EDATE(TODAY(), -1), TODAY()), 2, 2)) - 1, """")"),"")</f>
        <v/>
      </c>
      <c r="N274" s="21" t="str">
        <f>IFERROR(__xludf.DUMMYFUNCTION("IFERROR((GOOGLEFINANCE(C274, ""price"") / INDEX(GOOGLEFINANCE(C274, ""price"", EDATE(TODAY(), -3), TODAY()), 2, 2)) - 1, """")"),"")</f>
        <v/>
      </c>
      <c r="O274" s="21" t="str">
        <f>IFERROR(__xludf.DUMMYFUNCTION("IFERROR((GOOGLEFINANCE(C274, ""price"") / INDEX(GOOGLEFINANCE(C274, ""price"", EDATE(TODAY(), -6), TODAY()), 2, 2)) - 1, """")"),"")</f>
        <v/>
      </c>
      <c r="P274" s="21" t="str">
        <f>IFERROR(__xludf.DUMMYFUNCTION("IFERROR((GOOGLEFINANCE(C274, ""price"") / INDEX(GOOGLEFINANCE(C274, ""price"", EDATE(TODAY(), -12), TODAY()), 2, 2)) - 1, """")"),"")</f>
        <v/>
      </c>
      <c r="Q274" s="6" t="str">
        <f>IFERROR(__xludf.DUMMYFUNCTION("AVERAGE(QUERY(GOOGLEFINANCE(C274, ""price"", TODAY()-80, TODAY()), ""SELECT Col2 WHERE Col2 IS NOT NULL ORDER BY Col1 DESC LIMIT 50"", 0))"),"#N/A")</f>
        <v>#N/A</v>
      </c>
      <c r="R274" s="24" t="str">
        <f>IFERROR(__xludf.DUMMYFUNCTION("IFERROR(
  LET(
    data, QUERY(GOOGLEFINANCE(C274,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GOOGLEFINANCE(C274, ""price"")) * 100,
    IF(calc=0, G274, calc)
  ), 
G274)"),"#N/A")</f>
        <v>#N/A</v>
      </c>
      <c r="S274" s="8" t="s">
        <v>15</v>
      </c>
      <c r="T274" s="26" t="str">
        <f>IFERROR(__xludf.DUMMYFUNCTION("IFERROR(TRANSPOSE(QUERY(IFERROR(SORT(GOOGLEFINANCE(C274, ""price"", WORKDAY(TODAY(), -40), TODAY()), 1, FALSE)), ""select Col2 where Col2 is not null limit 22 label Col2 ''"", 0)), """")"),"")</f>
        <v/>
      </c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8"/>
      <c r="AO274" s="28"/>
      <c r="AP274" s="29"/>
      <c r="AQ274" s="29" t="str">
        <f t="shared" ref="AQ274:BL274" si="279">T274/T$2</f>
        <v>#N/A</v>
      </c>
      <c r="AR274" s="29" t="str">
        <f t="shared" si="279"/>
        <v>#DIV/0!</v>
      </c>
      <c r="AS274" s="29" t="str">
        <f t="shared" si="279"/>
        <v>#DIV/0!</v>
      </c>
      <c r="AT274" s="29" t="str">
        <f t="shared" si="279"/>
        <v>#DIV/0!</v>
      </c>
      <c r="AU274" s="29" t="str">
        <f t="shared" si="279"/>
        <v>#DIV/0!</v>
      </c>
      <c r="AV274" s="29" t="str">
        <f t="shared" si="279"/>
        <v>#DIV/0!</v>
      </c>
      <c r="AW274" s="29" t="str">
        <f t="shared" si="279"/>
        <v>#DIV/0!</v>
      </c>
      <c r="AX274" s="29" t="str">
        <f t="shared" si="279"/>
        <v>#DIV/0!</v>
      </c>
      <c r="AY274" s="29" t="str">
        <f t="shared" si="279"/>
        <v>#DIV/0!</v>
      </c>
      <c r="AZ274" s="29" t="str">
        <f t="shared" si="279"/>
        <v>#DIV/0!</v>
      </c>
      <c r="BA274" s="29" t="str">
        <f t="shared" si="279"/>
        <v>#DIV/0!</v>
      </c>
      <c r="BB274" s="29" t="str">
        <f t="shared" si="279"/>
        <v>#DIV/0!</v>
      </c>
      <c r="BC274" s="29" t="str">
        <f t="shared" si="279"/>
        <v>#DIV/0!</v>
      </c>
      <c r="BD274" s="29" t="str">
        <f t="shared" si="279"/>
        <v>#DIV/0!</v>
      </c>
      <c r="BE274" s="29" t="str">
        <f t="shared" si="279"/>
        <v>#DIV/0!</v>
      </c>
      <c r="BF274" s="29" t="str">
        <f t="shared" si="279"/>
        <v>#DIV/0!</v>
      </c>
      <c r="BG274" s="29" t="str">
        <f t="shared" si="279"/>
        <v>#DIV/0!</v>
      </c>
      <c r="BH274" s="29" t="str">
        <f t="shared" si="279"/>
        <v>#DIV/0!</v>
      </c>
      <c r="BI274" s="29" t="str">
        <f t="shared" si="279"/>
        <v>#DIV/0!</v>
      </c>
      <c r="BJ274" s="29" t="str">
        <f t="shared" si="279"/>
        <v>#DIV/0!</v>
      </c>
      <c r="BK274" s="29" t="str">
        <f t="shared" si="279"/>
        <v>#DIV/0!</v>
      </c>
      <c r="BL274" s="29" t="str">
        <f t="shared" si="279"/>
        <v>#DIV/0!</v>
      </c>
      <c r="BM274" s="29" t="str">
        <f t="shared" si="3"/>
        <v>#DIV/0!</v>
      </c>
    </row>
    <row r="275">
      <c r="A275" s="16" t="str">
        <f>IFERROR(__xludf.DUMMYFUNCTION("IFERROR(SPARKLINE(SORT(MAP(TRANSPOSE(AQ275:BL275), LAMBDA(val, IF(ISNUMBER(val), PERCENTRANK(AQ275:BL275, val)+0.01, 0))), SEQUENCE(COLUMNS(AQ275:BL275)), FALSE), {""charttype"",""column""; ""color"",""chartreuse""; ""ymin"", 0; ""ymax"", 1.01; ""highcolo"&amp;"r"", ""darkgreen""; ""lowcolor"", ""red""}), """")"),"")</f>
        <v/>
      </c>
      <c r="B275" s="17" t="str">
        <f t="shared" si="4"/>
        <v/>
      </c>
      <c r="C275" s="1" t="s">
        <v>2514</v>
      </c>
      <c r="D275" s="30" t="str">
        <f>IFERROR(__xludf.DUMMYFUNCTION("IFERROR(GOOGLEFINANCE(C275, ""NAME""))"),"LeMaitre Vascular Inc")</f>
        <v>LeMaitre Vascular Inc</v>
      </c>
      <c r="E275" s="30" t="s">
        <v>1502</v>
      </c>
      <c r="F275" s="33" t="str">
        <f>IFERROR(__xludf.DUMMYFUNCTION("( (GOOGLEFINANCE(C275, ""price"") - Q275) / Q275 ) / (R275 / 100)"),"Loading...")</f>
        <v>Loading...</v>
      </c>
      <c r="G275" s="20" t="str">
        <f>IFERROR(__xludf.DUMMYFUNCTION("AVERAGE(ARRAYFORMULA(100 * (QUERY(GOOGLEFINANCE(C275, ""high"", TODAY()-40, TODAY()), ""SELECT Col2 WHERE Col2 IS NOT NULL ORDER BY Col1 DESC LIMIT 20"", 0) / QUERY(GOOGLEFINANCE(C275, ""low"", TODAY()-40, TODAY()), ""SELECT Col2 WHERE Col2 IS NOT NULL OR"&amp;"DER BY Col1 DESC LIMIT 20"", 0) - 1)))"),"#N/A")</f>
        <v>#N/A</v>
      </c>
      <c r="H275" s="35" t="str">
        <f t="shared" si="233"/>
        <v/>
      </c>
      <c r="I275" s="36" t="str">
        <f t="shared" si="7"/>
        <v/>
      </c>
      <c r="J275" s="37" t="str">
        <f>IFERROR(__xludf.DUMMYFUNCTION("IFERROR(
  IF(C275="""",, 
    IFERROR(
      GOOGLEFINANCE(C275, ""price"") * GOOGLEFINANCE(C275, ""volumeavg""), 
      GOOGLEFINANCE(C275, ""price"") * AVERAGE(QUERY(GOOGLEFINANCE(C275, ""volume"", TODAY()-40, TODAY()), ""SELECT Col2 WHERE Col2 IS NOT "&amp;"NULL ORDER BY Col1 DESC LIMIT 20"", 0))
    )
  ), 
"""")"),"")</f>
        <v/>
      </c>
      <c r="K275" s="21" t="str">
        <f>IFERROR(__xludf.DUMMYFUNCTION("IFERROR(GOOGLEFINANCE(C275, ""changepct"") / 100, """")"),"")</f>
        <v/>
      </c>
      <c r="L275" s="21" t="str">
        <f>IFERROR(__xludf.DUMMYFUNCTION("IFERROR((GOOGLEFINANCE(C275, ""price"") / INDEX(GOOGLEFINANCE(C275, ""price"", TODAY()-7, TODAY()), 2, 2)) - 1, """")"),"")</f>
        <v/>
      </c>
      <c r="M275" s="21" t="str">
        <f>IFERROR(__xludf.DUMMYFUNCTION("IFERROR((GOOGLEFINANCE(C275, ""price"") / INDEX(GOOGLEFINANCE(C275, ""price"", EDATE(TODAY(), -1), TODAY()), 2, 2)) - 1, """")"),"")</f>
        <v/>
      </c>
      <c r="N275" s="21" t="str">
        <f>IFERROR(__xludf.DUMMYFUNCTION("IFERROR((GOOGLEFINANCE(C275, ""price"") / INDEX(GOOGLEFINANCE(C275, ""price"", EDATE(TODAY(), -3), TODAY()), 2, 2)) - 1, """")"),"")</f>
        <v/>
      </c>
      <c r="O275" s="21" t="str">
        <f>IFERROR(__xludf.DUMMYFUNCTION("IFERROR((GOOGLEFINANCE(C275, ""price"") / INDEX(GOOGLEFINANCE(C275, ""price"", EDATE(TODAY(), -6), TODAY()), 2, 2)) - 1, """")"),"")</f>
        <v/>
      </c>
      <c r="P275" s="21" t="str">
        <f>IFERROR(__xludf.DUMMYFUNCTION("IFERROR((GOOGLEFINANCE(C275, ""price"") / INDEX(GOOGLEFINANCE(C275, ""price"", EDATE(TODAY(), -12), TODAY()), 2, 2)) - 1, """")"),"")</f>
        <v/>
      </c>
      <c r="Q275" s="6" t="str">
        <f>IFERROR(__xludf.DUMMYFUNCTION("AVERAGE(QUERY(GOOGLEFINANCE(C275, ""price"", TODAY()-80, TODAY()), ""SELECT Col2 WHERE Col2 IS NOT NULL ORDER BY Col1 DESC LIMIT 50"", 0))"),"#N/A")</f>
        <v>#N/A</v>
      </c>
      <c r="R275" s="24" t="str">
        <f>IFERROR(__xludf.DUMMYFUNCTION("IFERROR(
  LET(
    data, QUERY(GOOGLEFINANCE(C275,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GOOGLEFINANCE(C275, ""price"")) * 100,
    IF(calc=0, G275, calc)
  ), 
G275)"),"#N/A")</f>
        <v>#N/A</v>
      </c>
      <c r="S275" s="8" t="s">
        <v>15</v>
      </c>
      <c r="T275" s="26" t="str">
        <f>IFERROR(__xludf.DUMMYFUNCTION("IFERROR(TRANSPOSE(QUERY(IFERROR(SORT(GOOGLEFINANCE(C275, ""price"", WORKDAY(TODAY(), -40), TODAY()), 1, FALSE)), ""select Col2 where Col2 is not null limit 22 label Col2 ''"", 0)), """")"),"")</f>
        <v/>
      </c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8"/>
      <c r="AO275" s="28"/>
      <c r="AP275" s="29"/>
      <c r="AQ275" s="29" t="str">
        <f t="shared" ref="AQ275:BL275" si="280">T275/T$2</f>
        <v>#N/A</v>
      </c>
      <c r="AR275" s="29" t="str">
        <f t="shared" si="280"/>
        <v>#DIV/0!</v>
      </c>
      <c r="AS275" s="29" t="str">
        <f t="shared" si="280"/>
        <v>#DIV/0!</v>
      </c>
      <c r="AT275" s="29" t="str">
        <f t="shared" si="280"/>
        <v>#DIV/0!</v>
      </c>
      <c r="AU275" s="29" t="str">
        <f t="shared" si="280"/>
        <v>#DIV/0!</v>
      </c>
      <c r="AV275" s="29" t="str">
        <f t="shared" si="280"/>
        <v>#DIV/0!</v>
      </c>
      <c r="AW275" s="29" t="str">
        <f t="shared" si="280"/>
        <v>#DIV/0!</v>
      </c>
      <c r="AX275" s="29" t="str">
        <f t="shared" si="280"/>
        <v>#DIV/0!</v>
      </c>
      <c r="AY275" s="29" t="str">
        <f t="shared" si="280"/>
        <v>#DIV/0!</v>
      </c>
      <c r="AZ275" s="29" t="str">
        <f t="shared" si="280"/>
        <v>#DIV/0!</v>
      </c>
      <c r="BA275" s="29" t="str">
        <f t="shared" si="280"/>
        <v>#DIV/0!</v>
      </c>
      <c r="BB275" s="29" t="str">
        <f t="shared" si="280"/>
        <v>#DIV/0!</v>
      </c>
      <c r="BC275" s="29" t="str">
        <f t="shared" si="280"/>
        <v>#DIV/0!</v>
      </c>
      <c r="BD275" s="29" t="str">
        <f t="shared" si="280"/>
        <v>#DIV/0!</v>
      </c>
      <c r="BE275" s="29" t="str">
        <f t="shared" si="280"/>
        <v>#DIV/0!</v>
      </c>
      <c r="BF275" s="29" t="str">
        <f t="shared" si="280"/>
        <v>#DIV/0!</v>
      </c>
      <c r="BG275" s="29" t="str">
        <f t="shared" si="280"/>
        <v>#DIV/0!</v>
      </c>
      <c r="BH275" s="29" t="str">
        <f t="shared" si="280"/>
        <v>#DIV/0!</v>
      </c>
      <c r="BI275" s="29" t="str">
        <f t="shared" si="280"/>
        <v>#DIV/0!</v>
      </c>
      <c r="BJ275" s="29" t="str">
        <f t="shared" si="280"/>
        <v>#DIV/0!</v>
      </c>
      <c r="BK275" s="29" t="str">
        <f t="shared" si="280"/>
        <v>#DIV/0!</v>
      </c>
      <c r="BL275" s="29" t="str">
        <f t="shared" si="280"/>
        <v>#DIV/0!</v>
      </c>
      <c r="BM275" s="29" t="str">
        <f t="shared" si="3"/>
        <v>#DIV/0!</v>
      </c>
    </row>
    <row r="276">
      <c r="A276" s="16" t="str">
        <f>IFERROR(__xludf.DUMMYFUNCTION("IFERROR(SPARKLINE(SORT(MAP(TRANSPOSE(AQ276:BL276), LAMBDA(val, IF(ISNUMBER(val), PERCENTRANK(AQ276:BL276, val)+0.01, 0))), SEQUENCE(COLUMNS(AQ276:BL276)), FALSE), {""charttype"",""column""; ""color"",""chartreuse""; ""ymin"", 0; ""ymax"", 1.01; ""highcolo"&amp;"r"", ""darkgreen""; ""lowcolor"", ""red""}), """")"),"")</f>
        <v/>
      </c>
      <c r="B276" s="17" t="str">
        <f t="shared" si="4"/>
        <v/>
      </c>
      <c r="C276" s="1" t="s">
        <v>2518</v>
      </c>
      <c r="D276" s="30" t="str">
        <f>IFERROR(__xludf.DUMMYFUNCTION("IFERROR(GOOGLEFINANCE(C276, ""NAME""))"),"Medline Inc")</f>
        <v>Medline Inc</v>
      </c>
      <c r="E276" s="30" t="s">
        <v>1502</v>
      </c>
      <c r="F276" s="33" t="str">
        <f>IFERROR(__xludf.DUMMYFUNCTION("( (GOOGLEFINANCE(C276, ""price"") - Q276) / Q276 ) / (R276 / 100)"),"Loading...")</f>
        <v>Loading...</v>
      </c>
      <c r="G276" s="20" t="str">
        <f>IFERROR(__xludf.DUMMYFUNCTION("AVERAGE(ARRAYFORMULA(100 * (QUERY(GOOGLEFINANCE(C276, ""high"", TODAY()-40, TODAY()), ""SELECT Col2 WHERE Col2 IS NOT NULL ORDER BY Col1 DESC LIMIT 20"", 0) / QUERY(GOOGLEFINANCE(C276, ""low"", TODAY()-40, TODAY()), ""SELECT Col2 WHERE Col2 IS NOT NULL OR"&amp;"DER BY Col1 DESC LIMIT 20"", 0) - 1)))"),"#N/A")</f>
        <v>#N/A</v>
      </c>
      <c r="H276" s="35" t="str">
        <f t="shared" si="233"/>
        <v/>
      </c>
      <c r="I276" s="36" t="str">
        <f t="shared" si="7"/>
        <v/>
      </c>
      <c r="J276" s="37" t="str">
        <f>IFERROR(__xludf.DUMMYFUNCTION("IFERROR(
  IF(C276="""",, 
    IFERROR(
      GOOGLEFINANCE(C276, ""price"") * GOOGLEFINANCE(C276, ""volumeavg""), 
      GOOGLEFINANCE(C276, ""price"") * AVERAGE(QUERY(GOOGLEFINANCE(C276, ""volume"", TODAY()-40, TODAY()), ""SELECT Col2 WHERE Col2 IS NOT "&amp;"NULL ORDER BY Col1 DESC LIMIT 20"", 0))
    )
  ), 
"""")"),"")</f>
        <v/>
      </c>
      <c r="K276" s="21" t="str">
        <f>IFERROR(__xludf.DUMMYFUNCTION("IFERROR(GOOGLEFINANCE(C276, ""changepct"") / 100, """")"),"")</f>
        <v/>
      </c>
      <c r="L276" s="21" t="str">
        <f>IFERROR(__xludf.DUMMYFUNCTION("IFERROR((GOOGLEFINANCE(C276, ""price"") / INDEX(GOOGLEFINANCE(C276, ""price"", TODAY()-7, TODAY()), 2, 2)) - 1, """")"),"")</f>
        <v/>
      </c>
      <c r="M276" s="21" t="str">
        <f>IFERROR(__xludf.DUMMYFUNCTION("IFERROR((GOOGLEFINANCE(C276, ""price"") / INDEX(GOOGLEFINANCE(C276, ""price"", EDATE(TODAY(), -1), TODAY()), 2, 2)) - 1, """")"),"")</f>
        <v/>
      </c>
      <c r="N276" s="21" t="str">
        <f>IFERROR(__xludf.DUMMYFUNCTION("IFERROR((GOOGLEFINANCE(C276, ""price"") / INDEX(GOOGLEFINANCE(C276, ""price"", EDATE(TODAY(), -3), TODAY()), 2, 2)) - 1, """")"),"")</f>
        <v/>
      </c>
      <c r="O276" s="21" t="str">
        <f>IFERROR(__xludf.DUMMYFUNCTION("IFERROR((GOOGLEFINANCE(C276, ""price"") / INDEX(GOOGLEFINANCE(C276, ""price"", EDATE(TODAY(), -6), TODAY()), 2, 2)) - 1, """")"),"")</f>
        <v/>
      </c>
      <c r="P276" s="21" t="str">
        <f>IFERROR(__xludf.DUMMYFUNCTION("IFERROR((GOOGLEFINANCE(C276, ""price"") / INDEX(GOOGLEFINANCE(C276, ""price"", EDATE(TODAY(), -12), TODAY()), 2, 2)) - 1, """")"),"")</f>
        <v/>
      </c>
      <c r="Q276" s="6" t="str">
        <f>IFERROR(__xludf.DUMMYFUNCTION("AVERAGE(QUERY(GOOGLEFINANCE(C276, ""price"", TODAY()-80, TODAY()), ""SELECT Col2 WHERE Col2 IS NOT NULL ORDER BY Col1 DESC LIMIT 50"", 0))"),"#N/A")</f>
        <v>#N/A</v>
      </c>
      <c r="R276" s="24" t="str">
        <f>IFERROR(__xludf.DUMMYFUNCTION("IFERROR(
  LET(
    data, QUERY(GOOGLEFINANCE(C276,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GOOGLEFINANCE(C276, ""price"")) * 100,
    IF(calc=0, G276, calc)
  ), 
G276)"),"#N/A")</f>
        <v>#N/A</v>
      </c>
      <c r="S276" s="8" t="s">
        <v>15</v>
      </c>
      <c r="T276" s="26" t="str">
        <f>IFERROR(__xludf.DUMMYFUNCTION("IFERROR(TRANSPOSE(QUERY(IFERROR(SORT(GOOGLEFINANCE(C276, ""price"", WORKDAY(TODAY(), -40), TODAY()), 1, FALSE)), ""select Col2 where Col2 is not null limit 22 label Col2 ''"", 0)), """")"),"")</f>
        <v/>
      </c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8"/>
      <c r="AO276" s="28"/>
      <c r="AP276" s="29"/>
      <c r="AQ276" s="29" t="str">
        <f t="shared" ref="AQ276:BL276" si="281">T276/T$2</f>
        <v>#N/A</v>
      </c>
      <c r="AR276" s="29" t="str">
        <f t="shared" si="281"/>
        <v>#DIV/0!</v>
      </c>
      <c r="AS276" s="29" t="str">
        <f t="shared" si="281"/>
        <v>#DIV/0!</v>
      </c>
      <c r="AT276" s="29" t="str">
        <f t="shared" si="281"/>
        <v>#DIV/0!</v>
      </c>
      <c r="AU276" s="29" t="str">
        <f t="shared" si="281"/>
        <v>#DIV/0!</v>
      </c>
      <c r="AV276" s="29" t="str">
        <f t="shared" si="281"/>
        <v>#DIV/0!</v>
      </c>
      <c r="AW276" s="29" t="str">
        <f t="shared" si="281"/>
        <v>#DIV/0!</v>
      </c>
      <c r="AX276" s="29" t="str">
        <f t="shared" si="281"/>
        <v>#DIV/0!</v>
      </c>
      <c r="AY276" s="29" t="str">
        <f t="shared" si="281"/>
        <v>#DIV/0!</v>
      </c>
      <c r="AZ276" s="29" t="str">
        <f t="shared" si="281"/>
        <v>#DIV/0!</v>
      </c>
      <c r="BA276" s="29" t="str">
        <f t="shared" si="281"/>
        <v>#DIV/0!</v>
      </c>
      <c r="BB276" s="29" t="str">
        <f t="shared" si="281"/>
        <v>#DIV/0!</v>
      </c>
      <c r="BC276" s="29" t="str">
        <f t="shared" si="281"/>
        <v>#DIV/0!</v>
      </c>
      <c r="BD276" s="29" t="str">
        <f t="shared" si="281"/>
        <v>#DIV/0!</v>
      </c>
      <c r="BE276" s="29" t="str">
        <f t="shared" si="281"/>
        <v>#DIV/0!</v>
      </c>
      <c r="BF276" s="29" t="str">
        <f t="shared" si="281"/>
        <v>#DIV/0!</v>
      </c>
      <c r="BG276" s="29" t="str">
        <f t="shared" si="281"/>
        <v>#DIV/0!</v>
      </c>
      <c r="BH276" s="29" t="str">
        <f t="shared" si="281"/>
        <v>#DIV/0!</v>
      </c>
      <c r="BI276" s="29" t="str">
        <f t="shared" si="281"/>
        <v>#DIV/0!</v>
      </c>
      <c r="BJ276" s="29" t="str">
        <f t="shared" si="281"/>
        <v>#DIV/0!</v>
      </c>
      <c r="BK276" s="29" t="str">
        <f t="shared" si="281"/>
        <v>#DIV/0!</v>
      </c>
      <c r="BL276" s="29" t="str">
        <f t="shared" si="281"/>
        <v>#DIV/0!</v>
      </c>
      <c r="BM276" s="29" t="str">
        <f t="shared" si="3"/>
        <v>#DIV/0!</v>
      </c>
    </row>
  </sheetData>
  <mergeCells count="5">
    <mergeCell ref="E1:E3"/>
    <mergeCell ref="G1:G3"/>
    <mergeCell ref="H1:H3"/>
    <mergeCell ref="I1:I3"/>
    <mergeCell ref="J1:J3"/>
  </mergeCells>
  <conditionalFormatting sqref="H4:H276">
    <cfRule type="cellIs" dxfId="8" priority="1" operator="equal">
      <formula>"Liquid"</formula>
    </cfRule>
  </conditionalFormatting>
  <conditionalFormatting sqref="I4:I276">
    <cfRule type="containsText" dxfId="8" priority="2" operator="containsText" text="No">
      <formula>NOT(ISERROR(SEARCH(("No"),(I4))))</formula>
    </cfRule>
  </conditionalFormatting>
  <conditionalFormatting sqref="K1:P276">
    <cfRule type="cellIs" dxfId="0" priority="3" operator="lessThan">
      <formula>0</formula>
    </cfRule>
  </conditionalFormatting>
  <conditionalFormatting sqref="A1:BM276">
    <cfRule type="containsBlanks" dxfId="1" priority="4">
      <formula>LEN(TRIM(A1))=0</formula>
    </cfRule>
  </conditionalFormatting>
  <conditionalFormatting sqref="C1:C276">
    <cfRule type="expression" dxfId="2" priority="5">
      <formula>COUNTIF($C:$C, C1) &gt; 1</formula>
    </cfRule>
  </conditionalFormatting>
  <conditionalFormatting sqref="F1:F276">
    <cfRule type="cellIs" dxfId="3" priority="6" operator="greaterThanOrEqual">
      <formula>8</formula>
    </cfRule>
  </conditionalFormatting>
  <conditionalFormatting sqref="F1:F276">
    <cfRule type="cellIs" dxfId="4" priority="7" operator="greaterThanOrEqual">
      <formula>5</formula>
    </cfRule>
  </conditionalFormatting>
  <conditionalFormatting sqref="F1:F276">
    <cfRule type="cellIs" dxfId="5" priority="8" operator="between">
      <formula>5</formula>
      <formula>-1</formula>
    </cfRule>
  </conditionalFormatting>
  <conditionalFormatting sqref="F1:F276">
    <cfRule type="cellIs" dxfId="6" priority="9" operator="lessThan">
      <formula>-5</formula>
    </cfRule>
  </conditionalFormatting>
  <conditionalFormatting sqref="G1:H276">
    <cfRule type="cellIs" dxfId="7" priority="10" operator="greaterThanOrEqual">
      <formula>4</formula>
    </cfRule>
  </conditionalFormatting>
  <conditionalFormatting sqref="F1:F276">
    <cfRule type="cellIs" dxfId="9" priority="11" operator="lessThan">
      <formula>-1</formula>
    </cfRule>
  </conditionalFormatting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2.13"/>
    <col customWidth="1" min="2" max="2" width="9.13"/>
    <col customWidth="1" min="3" max="3" width="8.25"/>
    <col customWidth="1" min="4" max="4" width="40.75"/>
    <col customWidth="1" min="5" max="5" width="27.88"/>
    <col customWidth="1" min="6" max="6" width="11.25"/>
    <col customWidth="1" min="7" max="7" width="8.25"/>
    <col customWidth="1" min="8" max="8" width="6.75"/>
    <col customWidth="1" min="9" max="9" width="14.75"/>
    <col customWidth="1" min="10" max="10" width="13.63"/>
    <col customWidth="1" min="11" max="11" width="6.63"/>
    <col customWidth="1" min="12" max="12" width="7.13"/>
    <col customWidth="1" min="13" max="13" width="7.38"/>
    <col customWidth="1" min="14" max="14" width="7.63"/>
    <col customWidth="1" min="15" max="15" width="8.0"/>
    <col customWidth="1" min="16" max="16" width="8.75"/>
    <col customWidth="1" min="17" max="17" width="9.38"/>
    <col customWidth="1" min="18" max="18" width="8.63"/>
    <col customWidth="1" min="19" max="19" width="1.63"/>
    <col customWidth="1" min="20" max="20" width="9.25"/>
    <col customWidth="1" min="21" max="22" width="10.75"/>
    <col customWidth="1" min="23" max="23" width="10.88"/>
    <col customWidth="1" min="24" max="24" width="10.75"/>
    <col customWidth="1" min="25" max="25" width="10.88"/>
    <col customWidth="1" min="26" max="26" width="10.75"/>
    <col customWidth="1" min="27" max="28" width="10.88"/>
    <col customWidth="1" min="29" max="29" width="11.5"/>
    <col customWidth="1" min="30" max="30" width="11.0"/>
    <col customWidth="1" min="31" max="32" width="11.25"/>
    <col customWidth="1" min="33" max="33" width="11.5"/>
    <col customWidth="1" min="34" max="38" width="11.38"/>
    <col customWidth="1" min="39" max="39" width="11.75"/>
    <col customWidth="1" min="40" max="40" width="11.38"/>
    <col customWidth="1" min="41" max="41" width="11.63"/>
    <col customWidth="1" min="42" max="42" width="14.5"/>
    <col customWidth="1" min="43" max="64" width="5.5"/>
    <col customWidth="1" min="65" max="65" width="5.3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5" t="s">
        <v>5</v>
      </c>
      <c r="F1" s="3" t="s">
        <v>4</v>
      </c>
      <c r="G1" s="9" t="s">
        <v>6</v>
      </c>
      <c r="H1" s="5" t="s">
        <v>17</v>
      </c>
      <c r="I1" s="5" t="s">
        <v>19</v>
      </c>
      <c r="J1" s="5" t="s">
        <v>23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6" t="s">
        <v>13</v>
      </c>
      <c r="R1" s="7" t="s">
        <v>14</v>
      </c>
      <c r="S1" s="8" t="s">
        <v>15</v>
      </c>
      <c r="T1" s="10" t="s">
        <v>16</v>
      </c>
      <c r="U1" s="11" t="s">
        <v>18</v>
      </c>
      <c r="V1" s="12" t="s">
        <v>20</v>
      </c>
      <c r="W1" s="11" t="s">
        <v>21</v>
      </c>
      <c r="X1" s="12" t="s">
        <v>22</v>
      </c>
      <c r="Y1" s="11" t="s">
        <v>24</v>
      </c>
      <c r="Z1" s="11" t="s">
        <v>25</v>
      </c>
      <c r="AA1" s="12" t="s">
        <v>26</v>
      </c>
      <c r="AB1" s="11" t="s">
        <v>27</v>
      </c>
      <c r="AC1" s="12" t="s">
        <v>28</v>
      </c>
      <c r="AD1" s="11" t="s">
        <v>29</v>
      </c>
      <c r="AE1" s="11" t="s">
        <v>30</v>
      </c>
      <c r="AF1" s="12" t="s">
        <v>31</v>
      </c>
      <c r="AG1" s="11" t="s">
        <v>32</v>
      </c>
      <c r="AH1" s="12" t="s">
        <v>33</v>
      </c>
      <c r="AI1" s="11" t="s">
        <v>34</v>
      </c>
      <c r="AJ1" s="11" t="s">
        <v>35</v>
      </c>
      <c r="AK1" s="12" t="s">
        <v>36</v>
      </c>
      <c r="AL1" s="11" t="s">
        <v>37</v>
      </c>
      <c r="AM1" s="12" t="s">
        <v>38</v>
      </c>
      <c r="AN1" s="11" t="s">
        <v>39</v>
      </c>
      <c r="AO1" s="11" t="s">
        <v>40</v>
      </c>
      <c r="AP1" s="13"/>
      <c r="AQ1" s="14">
        <v>1.0</v>
      </c>
      <c r="AR1" s="14">
        <v>2.0</v>
      </c>
      <c r="AS1" s="14">
        <v>3.0</v>
      </c>
      <c r="AT1" s="14">
        <v>4.0</v>
      </c>
      <c r="AU1" s="14">
        <v>5.0</v>
      </c>
      <c r="AV1" s="14">
        <v>6.0</v>
      </c>
      <c r="AW1" s="14">
        <v>7.0</v>
      </c>
      <c r="AX1" s="14">
        <v>8.0</v>
      </c>
      <c r="AY1" s="14">
        <v>9.0</v>
      </c>
      <c r="AZ1" s="14">
        <v>10.0</v>
      </c>
      <c r="BA1" s="14">
        <v>11.0</v>
      </c>
      <c r="BB1" s="14">
        <v>12.0</v>
      </c>
      <c r="BC1" s="14">
        <v>13.0</v>
      </c>
      <c r="BD1" s="14">
        <v>14.0</v>
      </c>
      <c r="BE1" s="14">
        <v>15.0</v>
      </c>
      <c r="BF1" s="14">
        <v>16.0</v>
      </c>
      <c r="BG1" s="14">
        <v>17.0</v>
      </c>
      <c r="BH1" s="14">
        <v>18.0</v>
      </c>
      <c r="BI1" s="14">
        <v>19.0</v>
      </c>
      <c r="BJ1" s="14">
        <v>20.0</v>
      </c>
      <c r="BK1" s="14">
        <v>21.0</v>
      </c>
      <c r="BL1" s="14">
        <v>22.0</v>
      </c>
      <c r="BM1" s="14" t="s">
        <v>41</v>
      </c>
    </row>
    <row r="2">
      <c r="A2" s="16" t="str">
        <f>IFERROR(__xludf.DUMMYFUNCTION("SPARKLINE(SORT(MAP(TRANSPOSE(AQ2:BL2), LAMBDA(val, PERCENTRANK(AQ2:BL2, val)+0.01)), SEQUENCE(COLUMNS(AQ2:BL2)), FALSE), {""charttype"",""column""; ""color"",""chartreuse""; ""ymin"", 0; ""ymax"", 1.01; ""highcolor"", ""darkgreen""; ""lowcolor"", ""red""}"&amp;")"),"#N/A")</f>
        <v>#N/A</v>
      </c>
      <c r="B2" s="17">
        <f>IF(C2="SPY", 1, PERCENTRANK(AQ2:BL2, AQ2))</f>
        <v>1</v>
      </c>
      <c r="C2" s="1" t="s">
        <v>42</v>
      </c>
      <c r="D2" s="18" t="str">
        <f>IFERROR(__xludf.DUMMYFUNCTION("IFERROR(GOOGLEFINANCE(C2, ""NAME""))"),"State Street SPDR S&amp;P 500 ETF Trust")</f>
        <v>State Street SPDR S&amp;P 500 ETF Trust</v>
      </c>
      <c r="E2" s="22"/>
      <c r="F2" s="19" t="str">
        <f>IFERROR(__xludf.DUMMYFUNCTION("( (GOOGLEFINANCE(C2, ""price"") - Q2) / Q2 ) / (R2 / 100)"),"Loading...")</f>
        <v>Loading...</v>
      </c>
      <c r="G2" s="22"/>
      <c r="H2" s="22"/>
      <c r="I2" s="22"/>
      <c r="J2" s="22"/>
      <c r="K2" s="21">
        <f>IFERROR(__xludf.DUMMYFUNCTION("IFERROR(GOOGLEFINANCE(C2, ""changepct"") / 100, """")"),-0.0111)</f>
        <v>-0.0111</v>
      </c>
      <c r="L2" s="21" t="str">
        <f>IFERROR(__xludf.DUMMYFUNCTION("IFERROR((GOOGLEFINANCE(C2, ""price"") / INDEX(GOOGLEFINANCE(C2, ""price"", TODAY()-7, TODAY()), 2, 2)) - 1, """")"),"")</f>
        <v/>
      </c>
      <c r="M2" s="21" t="str">
        <f>IFERROR(__xludf.DUMMYFUNCTION("IFERROR((GOOGLEFINANCE(C2, ""price"") / INDEX(GOOGLEFINANCE(C2, ""price"", EDATE(TODAY(), -1), TODAY()), 2, 2)) - 1, """")"),"")</f>
        <v/>
      </c>
      <c r="N2" s="21" t="str">
        <f>IFERROR(__xludf.DUMMYFUNCTION("IFERROR((GOOGLEFINANCE(C2, ""price"") / INDEX(GOOGLEFINANCE(C2, ""price"", EDATE(TODAY(), -3), TODAY()), 2, 2)) - 1, """")"),"")</f>
        <v/>
      </c>
      <c r="O2" s="21" t="str">
        <f>IFERROR(__xludf.DUMMYFUNCTION("IFERROR((GOOGLEFINANCE(C2, ""price"") / INDEX(GOOGLEFINANCE(C2, ""price"", EDATE(TODAY(), -6), TODAY()), 2, 2)) - 1, """")"),"")</f>
        <v/>
      </c>
      <c r="P2" s="21" t="str">
        <f>IFERROR(__xludf.DUMMYFUNCTION("IFERROR((GOOGLEFINANCE(C2, ""price"") / INDEX(GOOGLEFINANCE(C2, ""price"", EDATE(TODAY(), -12), TODAY()), 2, 2)) - 1, """")"),"")</f>
        <v/>
      </c>
      <c r="Q2" s="23" t="str">
        <f>IFERROR(__xludf.DUMMYFUNCTION("AVERAGE(QUERY(GOOGLEFINANCE(C2, ""price"", TODAY()-80, TODAY()), ""SELECT Col2 WHERE Col2 IS NOT NULL ORDER BY Col1 DESC LIMIT 50"", 0))"),"#N/A")</f>
        <v>#N/A</v>
      </c>
      <c r="R2" s="24" t="str">
        <f>IFERROR(__xludf.DUMMYFUNCTION("IFERROR(
  LET(
    data, QUERY(GOOGLEFINANCE(C2,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GOOGLEFINANCE(C2, ""price"")) * 100,
    IF(calc=0, G2, calc)
  ), 
G2)"),"")</f>
        <v/>
      </c>
      <c r="S2" s="8" t="s">
        <v>15</v>
      </c>
      <c r="T2" s="26" t="str">
        <f>IFERROR(__xludf.DUMMYFUNCTION("TRANSPOSE(QUERY(SORT(GOOGLEFINANCE(C2, ""price"", WORKDAY(TODAY(), -40), TODAY()), 1, FALSE), ""select Col2 where Col2 is not null limit 22 label Col2 ''"", 0))"),"#N/A")</f>
        <v>#N/A</v>
      </c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8"/>
      <c r="AO2" s="28"/>
      <c r="AP2" s="29"/>
      <c r="AQ2" s="29" t="str">
        <f t="shared" ref="AQ2:BL2" si="1">T2/T$2</f>
        <v>#N/A</v>
      </c>
      <c r="AR2" s="29" t="str">
        <f t="shared" si="1"/>
        <v>#DIV/0!</v>
      </c>
      <c r="AS2" s="29" t="str">
        <f t="shared" si="1"/>
        <v>#DIV/0!</v>
      </c>
      <c r="AT2" s="29" t="str">
        <f t="shared" si="1"/>
        <v>#DIV/0!</v>
      </c>
      <c r="AU2" s="29" t="str">
        <f t="shared" si="1"/>
        <v>#DIV/0!</v>
      </c>
      <c r="AV2" s="29" t="str">
        <f t="shared" si="1"/>
        <v>#DIV/0!</v>
      </c>
      <c r="AW2" s="29" t="str">
        <f t="shared" si="1"/>
        <v>#DIV/0!</v>
      </c>
      <c r="AX2" s="29" t="str">
        <f t="shared" si="1"/>
        <v>#DIV/0!</v>
      </c>
      <c r="AY2" s="29" t="str">
        <f t="shared" si="1"/>
        <v>#DIV/0!</v>
      </c>
      <c r="AZ2" s="29" t="str">
        <f t="shared" si="1"/>
        <v>#DIV/0!</v>
      </c>
      <c r="BA2" s="29" t="str">
        <f t="shared" si="1"/>
        <v>#DIV/0!</v>
      </c>
      <c r="BB2" s="29" t="str">
        <f t="shared" si="1"/>
        <v>#DIV/0!</v>
      </c>
      <c r="BC2" s="29" t="str">
        <f t="shared" si="1"/>
        <v>#DIV/0!</v>
      </c>
      <c r="BD2" s="29" t="str">
        <f t="shared" si="1"/>
        <v>#DIV/0!</v>
      </c>
      <c r="BE2" s="29" t="str">
        <f t="shared" si="1"/>
        <v>#DIV/0!</v>
      </c>
      <c r="BF2" s="29" t="str">
        <f t="shared" si="1"/>
        <v>#DIV/0!</v>
      </c>
      <c r="BG2" s="29" t="str">
        <f t="shared" si="1"/>
        <v>#DIV/0!</v>
      </c>
      <c r="BH2" s="29" t="str">
        <f t="shared" si="1"/>
        <v>#DIV/0!</v>
      </c>
      <c r="BI2" s="29" t="str">
        <f t="shared" si="1"/>
        <v>#DIV/0!</v>
      </c>
      <c r="BJ2" s="29" t="str">
        <f t="shared" si="1"/>
        <v>#DIV/0!</v>
      </c>
      <c r="BK2" s="29" t="str">
        <f t="shared" si="1"/>
        <v>#DIV/0!</v>
      </c>
      <c r="BL2" s="29" t="str">
        <f t="shared" si="1"/>
        <v>#DIV/0!</v>
      </c>
      <c r="BM2" s="29" t="str">
        <f t="shared" ref="BM2:BM151" si="3">(T2/AO2)/(T$2/AO$2)</f>
        <v>#N/A</v>
      </c>
    </row>
    <row r="3">
      <c r="A3" s="16" t="str">
        <f>IFERROR(__xludf.DUMMYFUNCTION("IFERROR(SPARKLINE(SORT(MAP(TRANSPOSE(AQ3:BL3), LAMBDA(val, IF(ISNUMBER(val), PERCENTRANK(AQ3:BL3, val)+0.01, 0))), SEQUENCE(COLUMNS(AQ3:BL3)), FALSE), {""charttype"",""column""; ""color"",""chartreuse""; ""ymin"", 0; ""ymax"", 1.01; ""highcolor"", ""darkg"&amp;"reen""; ""lowcolor"", ""red""}), """")"),"")</f>
        <v/>
      </c>
      <c r="B3" s="17" t="str">
        <f t="shared" ref="B3:B151" si="4">IFERROR(IF(C3="SPY", 1, IF(ISNUMBER(AQ3), PERCENTRANK(AQ3:BL3, AQ3), "")), "")</f>
        <v/>
      </c>
      <c r="C3" s="1" t="s">
        <v>72</v>
      </c>
      <c r="D3" s="30" t="str">
        <f>IFERROR(__xludf.DUMMYFUNCTION("IFERROR(GOOGLEFINANCE(C3, ""NAME""))"),"State Street Consumer Staples Sel Sect SPDR ETF")</f>
        <v>State Street Consumer Staples Sel Sect SPDR ETF</v>
      </c>
      <c r="E3" s="31"/>
      <c r="F3" s="33" t="str">
        <f>IFERROR(__xludf.DUMMYFUNCTION("( (GOOGLEFINANCE(C3, ""price"") - Q3) / Q3 ) / (R3 / 100)"),"Loading...")</f>
        <v>Loading...</v>
      </c>
      <c r="G3" s="31"/>
      <c r="H3" s="31"/>
      <c r="I3" s="31"/>
      <c r="J3" s="31"/>
      <c r="K3" s="21">
        <f>IFERROR(__xludf.DUMMYFUNCTION("IFERROR(GOOGLEFINANCE(C3, ""changepct"") / 100, """")"),0.0108)</f>
        <v>0.0108</v>
      </c>
      <c r="L3" s="21" t="str">
        <f>IFERROR(__xludf.DUMMYFUNCTION("IFERROR((GOOGLEFINANCE(C3, ""price"") / INDEX(GOOGLEFINANCE(C3, ""price"", TODAY()-7, TODAY()), 2, 2)) - 1, """")"),"")</f>
        <v/>
      </c>
      <c r="M3" s="21" t="str">
        <f>IFERROR(__xludf.DUMMYFUNCTION("IFERROR((GOOGLEFINANCE(C3, ""price"") / INDEX(GOOGLEFINANCE(C3, ""price"", EDATE(TODAY(), -1), TODAY()), 2, 2)) - 1, """")"),"")</f>
        <v/>
      </c>
      <c r="N3" s="21" t="str">
        <f>IFERROR(__xludf.DUMMYFUNCTION("IFERROR((GOOGLEFINANCE(C3, ""price"") / INDEX(GOOGLEFINANCE(C3, ""price"", EDATE(TODAY(), -3), TODAY()), 2, 2)) - 1, """")"),"")</f>
        <v/>
      </c>
      <c r="O3" s="21" t="str">
        <f>IFERROR(__xludf.DUMMYFUNCTION("IFERROR((GOOGLEFINANCE(C3, ""price"") / INDEX(GOOGLEFINANCE(C3, ""price"", EDATE(TODAY(), -6), TODAY()), 2, 2)) - 1, """")"),"")</f>
        <v/>
      </c>
      <c r="P3" s="21" t="str">
        <f>IFERROR(__xludf.DUMMYFUNCTION("IFERROR((GOOGLEFINANCE(C3, ""price"") / INDEX(GOOGLEFINANCE(C3, ""price"", EDATE(TODAY(), -12), TODAY()), 2, 2)) - 1, """")"),"")</f>
        <v/>
      </c>
      <c r="Q3" s="6" t="str">
        <f>IFERROR(__xludf.DUMMYFUNCTION("AVERAGE(QUERY(GOOGLEFINANCE(C3, ""price"", TODAY()-80, TODAY()), ""SELECT Col2 WHERE Col2 IS NOT NULL ORDER BY Col1 DESC LIMIT 50"", 0))"),"#N/A")</f>
        <v>#N/A</v>
      </c>
      <c r="R3" s="24" t="str">
        <f>IFERROR(__xludf.DUMMYFUNCTION("IFERROR(
  LET(
    data, QUERY(GOOGLEFINANCE(C3,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GOOGLEFINANCE(C3, ""price"")) * 100,
    IF(calc=0, G3, calc)
  ), 
G3)"),"")</f>
        <v/>
      </c>
      <c r="S3" s="8" t="s">
        <v>15</v>
      </c>
      <c r="T3" s="26" t="str">
        <f>IFERROR(__xludf.DUMMYFUNCTION("IFERROR(TRANSPOSE(QUERY(IFERROR(SORT(GOOGLEFINANCE(C3, ""price"", WORKDAY(TODAY(), -40), TODAY()), 1, FALSE)), ""select Col2 where Col2 is not null limit 22 label Col2 ''"", 0)), """")"),"")</f>
        <v/>
      </c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8"/>
      <c r="AO3" s="28"/>
      <c r="AP3" s="29"/>
      <c r="AQ3" s="29" t="str">
        <f t="shared" ref="AQ3:BL3" si="2">T3/T$2</f>
        <v>#N/A</v>
      </c>
      <c r="AR3" s="29" t="str">
        <f t="shared" si="2"/>
        <v>#DIV/0!</v>
      </c>
      <c r="AS3" s="29" t="str">
        <f t="shared" si="2"/>
        <v>#DIV/0!</v>
      </c>
      <c r="AT3" s="29" t="str">
        <f t="shared" si="2"/>
        <v>#DIV/0!</v>
      </c>
      <c r="AU3" s="29" t="str">
        <f t="shared" si="2"/>
        <v>#DIV/0!</v>
      </c>
      <c r="AV3" s="29" t="str">
        <f t="shared" si="2"/>
        <v>#DIV/0!</v>
      </c>
      <c r="AW3" s="29" t="str">
        <f t="shared" si="2"/>
        <v>#DIV/0!</v>
      </c>
      <c r="AX3" s="29" t="str">
        <f t="shared" si="2"/>
        <v>#DIV/0!</v>
      </c>
      <c r="AY3" s="29" t="str">
        <f t="shared" si="2"/>
        <v>#DIV/0!</v>
      </c>
      <c r="AZ3" s="29" t="str">
        <f t="shared" si="2"/>
        <v>#DIV/0!</v>
      </c>
      <c r="BA3" s="29" t="str">
        <f t="shared" si="2"/>
        <v>#DIV/0!</v>
      </c>
      <c r="BB3" s="29" t="str">
        <f t="shared" si="2"/>
        <v>#DIV/0!</v>
      </c>
      <c r="BC3" s="29" t="str">
        <f t="shared" si="2"/>
        <v>#DIV/0!</v>
      </c>
      <c r="BD3" s="29" t="str">
        <f t="shared" si="2"/>
        <v>#DIV/0!</v>
      </c>
      <c r="BE3" s="29" t="str">
        <f t="shared" si="2"/>
        <v>#DIV/0!</v>
      </c>
      <c r="BF3" s="29" t="str">
        <f t="shared" si="2"/>
        <v>#DIV/0!</v>
      </c>
      <c r="BG3" s="29" t="str">
        <f t="shared" si="2"/>
        <v>#DIV/0!</v>
      </c>
      <c r="BH3" s="29" t="str">
        <f t="shared" si="2"/>
        <v>#DIV/0!</v>
      </c>
      <c r="BI3" s="29" t="str">
        <f t="shared" si="2"/>
        <v>#DIV/0!</v>
      </c>
      <c r="BJ3" s="29" t="str">
        <f t="shared" si="2"/>
        <v>#DIV/0!</v>
      </c>
      <c r="BK3" s="29" t="str">
        <f t="shared" si="2"/>
        <v>#DIV/0!</v>
      </c>
      <c r="BL3" s="29" t="str">
        <f t="shared" si="2"/>
        <v>#DIV/0!</v>
      </c>
      <c r="BM3" s="29" t="str">
        <f t="shared" si="3"/>
        <v>#DIV/0!</v>
      </c>
    </row>
    <row r="4">
      <c r="A4" s="16" t="str">
        <f>IFERROR(__xludf.DUMMYFUNCTION("IFERROR(SPARKLINE(SORT(MAP(TRANSPOSE(AQ4:BL4), LAMBDA(val, IF(ISNUMBER(val), PERCENTRANK(AQ4:BL4, val)+0.01, 0))), SEQUENCE(COLUMNS(AQ4:BL4)), FALSE), {""charttype"",""column""; ""color"",""chartreuse""; ""ymin"", 0; ""ymax"", 1.01; ""highcolor"", ""darkg"&amp;"reen""; ""lowcolor"", ""red""}), """")"),"")</f>
        <v/>
      </c>
      <c r="B4" s="17" t="str">
        <f t="shared" si="4"/>
        <v/>
      </c>
      <c r="C4" s="1" t="s">
        <v>2062</v>
      </c>
      <c r="D4" s="30" t="str">
        <f>IFERROR(__xludf.DUMMYFUNCTION("IFERROR(GOOGLEFINANCE(C4, ""NAME""))"),"Sprouts Farmers Market Inc")</f>
        <v>Sprouts Farmers Market Inc</v>
      </c>
      <c r="E4" s="30" t="s">
        <v>2063</v>
      </c>
      <c r="F4" s="33" t="str">
        <f>IFERROR(__xludf.DUMMYFUNCTION("( (GOOGLEFINANCE(C4, ""price"") - Q4) / Q4 ) / (R4 / 100)"),"Loading...")</f>
        <v>Loading...</v>
      </c>
      <c r="G4" s="20" t="str">
        <f>IFERROR(__xludf.DUMMYFUNCTION("AVERAGE(ARRAYFORMULA(100 * (QUERY(GOOGLEFINANCE(C4, ""high"", TODAY()-40, TODAY()), ""SELECT Col2 WHERE Col2 IS NOT NULL ORDER BY Col1 DESC LIMIT 20"", 0) / QUERY(GOOGLEFINANCE(C4, ""low"", TODAY()-40, TODAY()), ""SELECT Col2 WHERE Col2 IS NOT NULL ORDER "&amp;"BY Col1 DESC LIMIT 20"", 0) - 1)))"),"#N/A")</f>
        <v>#N/A</v>
      </c>
      <c r="H4" s="35" t="str">
        <f t="shared" ref="H4:H151" si="6">IFERROR(IF(ISNUMBER(J4), IF(J4 &lt; 50000000, "Illiquid", "Liquid"), ""), "")</f>
        <v>Liquid</v>
      </c>
      <c r="I4" s="36" t="str">
        <f t="shared" ref="I4:I151" si="7">IFERROR(IF(ISNUMBER(J4), IF(J4 &lt; 500000000, "RVol Required", "No RVol Required"), ""), "")</f>
        <v>RVol Required</v>
      </c>
      <c r="J4" s="37">
        <f>IFERROR(__xludf.DUMMYFUNCTION("IFERROR(
  IF(C4="""",, 
    IFERROR(
      GOOGLEFINANCE(C4, ""price"") * GOOGLEFINANCE(C4, ""volumeavg""), 
      GOOGLEFINANCE(C4, ""price"") * AVERAGE(QUERY(GOOGLEFINANCE(C4, ""volume"", TODAY()-40, TODAY()), ""SELECT Col2 WHERE Col2 IS NOT NULL ORDER"&amp;" BY Col1 DESC LIMIT 20"", 0))
    )
  ), 
"""")"),1.388580048E8)</f>
        <v>138858004.8</v>
      </c>
      <c r="K4" s="21">
        <f>IFERROR(__xludf.DUMMYFUNCTION("IFERROR(GOOGLEFINANCE(C4, ""changepct"") / 100, """")"),-0.0215)</f>
        <v>-0.0215</v>
      </c>
      <c r="L4" s="21" t="str">
        <f>IFERROR(__xludf.DUMMYFUNCTION("IFERROR((GOOGLEFINANCE(C4, ""price"") / INDEX(GOOGLEFINANCE(C4, ""price"", TODAY()-7, TODAY()), 2, 2)) - 1, """")"),"")</f>
        <v/>
      </c>
      <c r="M4" s="21" t="str">
        <f>IFERROR(__xludf.DUMMYFUNCTION("IFERROR((GOOGLEFINANCE(C4, ""price"") / INDEX(GOOGLEFINANCE(C4, ""price"", EDATE(TODAY(), -1), TODAY()), 2, 2)) - 1, """")"),"")</f>
        <v/>
      </c>
      <c r="N4" s="21" t="str">
        <f>IFERROR(__xludf.DUMMYFUNCTION("IFERROR((GOOGLEFINANCE(C4, ""price"") / INDEX(GOOGLEFINANCE(C4, ""price"", EDATE(TODAY(), -3), TODAY()), 2, 2)) - 1, """")"),"")</f>
        <v/>
      </c>
      <c r="O4" s="21" t="str">
        <f>IFERROR(__xludf.DUMMYFUNCTION("IFERROR((GOOGLEFINANCE(C4, ""price"") / INDEX(GOOGLEFINANCE(C4, ""price"", EDATE(TODAY(), -6), TODAY()), 2, 2)) - 1, """")"),"")</f>
        <v/>
      </c>
      <c r="P4" s="21" t="str">
        <f>IFERROR(__xludf.DUMMYFUNCTION("IFERROR((GOOGLEFINANCE(C4, ""price"") / INDEX(GOOGLEFINANCE(C4, ""price"", EDATE(TODAY(), -12), TODAY()), 2, 2)) - 1, """")"),"")</f>
        <v/>
      </c>
      <c r="Q4" s="6" t="str">
        <f>IFERROR(__xludf.DUMMYFUNCTION("AVERAGE(QUERY(GOOGLEFINANCE(C4, ""price"", TODAY()-80, TODAY()), ""SELECT Col2 WHERE Col2 IS NOT NULL ORDER BY Col1 DESC LIMIT 50"", 0))"),"#N/A")</f>
        <v>#N/A</v>
      </c>
      <c r="R4" s="24" t="str">
        <f>IFERROR(__xludf.DUMMYFUNCTION("IFERROR(
  LET(
    data, QUERY(GOOGLEFINANCE(C4,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GOOGLEFINANCE(C4, ""price"")) * 100,
    IF(calc=0, G4, calc)
  ), 
G4)"),"#N/A")</f>
        <v>#N/A</v>
      </c>
      <c r="S4" s="8" t="s">
        <v>15</v>
      </c>
      <c r="T4" s="26" t="str">
        <f>IFERROR(__xludf.DUMMYFUNCTION("IFERROR(TRANSPOSE(QUERY(IFERROR(SORT(GOOGLEFINANCE(C4, ""price"", WORKDAY(TODAY(), -40), TODAY()), 1, FALSE)), ""select Col2 where Col2 is not null limit 22 label Col2 ''"", 0)), """")"),"")</f>
        <v/>
      </c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8"/>
      <c r="AO4" s="28"/>
      <c r="AP4" s="29"/>
      <c r="AQ4" s="29" t="str">
        <f t="shared" ref="AQ4:BL4" si="5">T4/T$2</f>
        <v>#N/A</v>
      </c>
      <c r="AR4" s="29" t="str">
        <f t="shared" si="5"/>
        <v>#DIV/0!</v>
      </c>
      <c r="AS4" s="29" t="str">
        <f t="shared" si="5"/>
        <v>#DIV/0!</v>
      </c>
      <c r="AT4" s="29" t="str">
        <f t="shared" si="5"/>
        <v>#DIV/0!</v>
      </c>
      <c r="AU4" s="29" t="str">
        <f t="shared" si="5"/>
        <v>#DIV/0!</v>
      </c>
      <c r="AV4" s="29" t="str">
        <f t="shared" si="5"/>
        <v>#DIV/0!</v>
      </c>
      <c r="AW4" s="29" t="str">
        <f t="shared" si="5"/>
        <v>#DIV/0!</v>
      </c>
      <c r="AX4" s="29" t="str">
        <f t="shared" si="5"/>
        <v>#DIV/0!</v>
      </c>
      <c r="AY4" s="29" t="str">
        <f t="shared" si="5"/>
        <v>#DIV/0!</v>
      </c>
      <c r="AZ4" s="29" t="str">
        <f t="shared" si="5"/>
        <v>#DIV/0!</v>
      </c>
      <c r="BA4" s="29" t="str">
        <f t="shared" si="5"/>
        <v>#DIV/0!</v>
      </c>
      <c r="BB4" s="29" t="str">
        <f t="shared" si="5"/>
        <v>#DIV/0!</v>
      </c>
      <c r="BC4" s="29" t="str">
        <f t="shared" si="5"/>
        <v>#DIV/0!</v>
      </c>
      <c r="BD4" s="29" t="str">
        <f t="shared" si="5"/>
        <v>#DIV/0!</v>
      </c>
      <c r="BE4" s="29" t="str">
        <f t="shared" si="5"/>
        <v>#DIV/0!</v>
      </c>
      <c r="BF4" s="29" t="str">
        <f t="shared" si="5"/>
        <v>#DIV/0!</v>
      </c>
      <c r="BG4" s="29" t="str">
        <f t="shared" si="5"/>
        <v>#DIV/0!</v>
      </c>
      <c r="BH4" s="29" t="str">
        <f t="shared" si="5"/>
        <v>#DIV/0!</v>
      </c>
      <c r="BI4" s="29" t="str">
        <f t="shared" si="5"/>
        <v>#DIV/0!</v>
      </c>
      <c r="BJ4" s="29" t="str">
        <f t="shared" si="5"/>
        <v>#DIV/0!</v>
      </c>
      <c r="BK4" s="29" t="str">
        <f t="shared" si="5"/>
        <v>#DIV/0!</v>
      </c>
      <c r="BL4" s="29" t="str">
        <f t="shared" si="5"/>
        <v>#DIV/0!</v>
      </c>
      <c r="BM4" s="29" t="str">
        <f t="shared" si="3"/>
        <v>#DIV/0!</v>
      </c>
    </row>
    <row r="5">
      <c r="A5" s="16" t="str">
        <f>IFERROR(__xludf.DUMMYFUNCTION("IFERROR(SPARKLINE(SORT(MAP(TRANSPOSE(AQ5:BL5), LAMBDA(val, IF(ISNUMBER(val), PERCENTRANK(AQ5:BL5, val)+0.01, 0))), SEQUENCE(COLUMNS(AQ5:BL5)), FALSE), {""charttype"",""column""; ""color"",""chartreuse""; ""ymin"", 0; ""ymax"", 1.01; ""highcolor"", ""darkg"&amp;"reen""; ""lowcolor"", ""red""}), """")"),"")</f>
        <v/>
      </c>
      <c r="B5" s="17" t="str">
        <f t="shared" si="4"/>
        <v/>
      </c>
      <c r="C5" s="1" t="s">
        <v>2067</v>
      </c>
      <c r="D5" s="30" t="str">
        <f>IFERROR(__xludf.DUMMYFUNCTION("IFERROR(GOOGLEFINANCE(C5, ""NAME""))"),"Phoenix Education Partners Inc")</f>
        <v>Phoenix Education Partners Inc</v>
      </c>
      <c r="E5" s="30" t="s">
        <v>2069</v>
      </c>
      <c r="F5" s="38" t="str">
        <f>IFERROR(__xludf.DUMMYFUNCTION("( (GOOGLEFINANCE(C5, ""price"") - Q5) / Q5 ) / (R5 / 100)"),"Loading...")</f>
        <v>Loading...</v>
      </c>
      <c r="G5" s="20" t="str">
        <f>IFERROR(__xludf.DUMMYFUNCTION("AVERAGE(ARRAYFORMULA(100 * (QUERY(GOOGLEFINANCE(C5, ""high"", TODAY()-40, TODAY()), ""SELECT Col2 WHERE Col2 IS NOT NULL ORDER BY Col1 DESC LIMIT 20"", 0) / QUERY(GOOGLEFINANCE(C5, ""low"", TODAY()-40, TODAY()), ""SELECT Col2 WHERE Col2 IS NOT NULL ORDER "&amp;"BY Col1 DESC LIMIT 20"", 0) - 1)))"),"#N/A")</f>
        <v>#N/A</v>
      </c>
      <c r="H5" s="35" t="str">
        <f t="shared" si="6"/>
        <v>Illiquid</v>
      </c>
      <c r="I5" s="36" t="str">
        <f t="shared" si="7"/>
        <v>RVol Required</v>
      </c>
      <c r="J5" s="37">
        <f>IFERROR(__xludf.DUMMYFUNCTION("IFERROR(
  IF(C5="""",, 
    IFERROR(
      GOOGLEFINANCE(C5, ""price"") * GOOGLEFINANCE(C5, ""volumeavg""), 
      GOOGLEFINANCE(C5, ""price"") * AVERAGE(QUERY(GOOGLEFINANCE(C5, ""volume"", TODAY()-40, TODAY()), ""SELECT Col2 WHERE Col2 IS NOT NULL ORDER"&amp;" BY Col1 DESC LIMIT 20"", 0))
    )
  ), 
"""")"),2069373.6199999999)</f>
        <v>2069373.62</v>
      </c>
      <c r="K5" s="21">
        <f>IFERROR(__xludf.DUMMYFUNCTION("IFERROR(GOOGLEFINANCE(C5, ""changepct"") / 100, """")"),-0.0146)</f>
        <v>-0.0146</v>
      </c>
      <c r="L5" s="21" t="str">
        <f>IFERROR(__xludf.DUMMYFUNCTION("IFERROR((GOOGLEFINANCE(C5, ""price"") / INDEX(GOOGLEFINANCE(C5, ""price"", TODAY()-7, TODAY()), 2, 2)) - 1, """")"),"")</f>
        <v/>
      </c>
      <c r="M5" s="21" t="str">
        <f>IFERROR(__xludf.DUMMYFUNCTION("IFERROR((GOOGLEFINANCE(C5, ""price"") / INDEX(GOOGLEFINANCE(C5, ""price"", EDATE(TODAY(), -1), TODAY()), 2, 2)) - 1, """")"),"")</f>
        <v/>
      </c>
      <c r="N5" s="21" t="str">
        <f>IFERROR(__xludf.DUMMYFUNCTION("IFERROR((GOOGLEFINANCE(C5, ""price"") / INDEX(GOOGLEFINANCE(C5, ""price"", EDATE(TODAY(), -3), TODAY()), 2, 2)) - 1, """")"),"")</f>
        <v/>
      </c>
      <c r="O5" s="21" t="str">
        <f>IFERROR(__xludf.DUMMYFUNCTION("IFERROR((GOOGLEFINANCE(C5, ""price"") / INDEX(GOOGLEFINANCE(C5, ""price"", EDATE(TODAY(), -6), TODAY()), 2, 2)) - 1, """")"),"")</f>
        <v/>
      </c>
      <c r="P5" s="21" t="str">
        <f>IFERROR(__xludf.DUMMYFUNCTION("IFERROR((GOOGLEFINANCE(C5, ""price"") / INDEX(GOOGLEFINANCE(C5, ""price"", EDATE(TODAY(), -12), TODAY()), 2, 2)) - 1, """")"),"")</f>
        <v/>
      </c>
      <c r="Q5" s="6" t="str">
        <f>IFERROR(__xludf.DUMMYFUNCTION("AVERAGE(QUERY(GOOGLEFINANCE(C5, ""price"", TODAY()-80, TODAY()), ""SELECT Col2 WHERE Col2 IS NOT NULL ORDER BY Col1 DESC LIMIT 50"", 0))"),"#N/A")</f>
        <v>#N/A</v>
      </c>
      <c r="R5" s="24" t="str">
        <f>IFERROR(__xludf.DUMMYFUNCTION("IFERROR(
  LET(
    data, QUERY(GOOGLEFINANCE(C5,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GOOGLEFINANCE(C5, ""price"")) * 100,
    IF(calc=0, G5, calc)
  ), 
G5)"),"#N/A")</f>
        <v>#N/A</v>
      </c>
      <c r="S5" s="8" t="s">
        <v>15</v>
      </c>
      <c r="T5" s="26" t="str">
        <f>IFERROR(__xludf.DUMMYFUNCTION("IFERROR(TRANSPOSE(QUERY(IFERROR(SORT(GOOGLEFINANCE(C5, ""price"", WORKDAY(TODAY(), -40), TODAY()), 1, FALSE)), ""select Col2 where Col2 is not null limit 22 label Col2 ''"", 0)), """")"),"")</f>
        <v/>
      </c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8"/>
      <c r="AO5" s="28"/>
      <c r="AP5" s="29"/>
      <c r="AQ5" s="29" t="str">
        <f t="shared" ref="AQ5:BL5" si="8">T5/T$2</f>
        <v>#N/A</v>
      </c>
      <c r="AR5" s="29" t="str">
        <f t="shared" si="8"/>
        <v>#DIV/0!</v>
      </c>
      <c r="AS5" s="29" t="str">
        <f t="shared" si="8"/>
        <v>#DIV/0!</v>
      </c>
      <c r="AT5" s="29" t="str">
        <f t="shared" si="8"/>
        <v>#DIV/0!</v>
      </c>
      <c r="AU5" s="29" t="str">
        <f t="shared" si="8"/>
        <v>#DIV/0!</v>
      </c>
      <c r="AV5" s="29" t="str">
        <f t="shared" si="8"/>
        <v>#DIV/0!</v>
      </c>
      <c r="AW5" s="29" t="str">
        <f t="shared" si="8"/>
        <v>#DIV/0!</v>
      </c>
      <c r="AX5" s="29" t="str">
        <f t="shared" si="8"/>
        <v>#DIV/0!</v>
      </c>
      <c r="AY5" s="29" t="str">
        <f t="shared" si="8"/>
        <v>#DIV/0!</v>
      </c>
      <c r="AZ5" s="29" t="str">
        <f t="shared" si="8"/>
        <v>#DIV/0!</v>
      </c>
      <c r="BA5" s="29" t="str">
        <f t="shared" si="8"/>
        <v>#DIV/0!</v>
      </c>
      <c r="BB5" s="29" t="str">
        <f t="shared" si="8"/>
        <v>#DIV/0!</v>
      </c>
      <c r="BC5" s="29" t="str">
        <f t="shared" si="8"/>
        <v>#DIV/0!</v>
      </c>
      <c r="BD5" s="29" t="str">
        <f t="shared" si="8"/>
        <v>#DIV/0!</v>
      </c>
      <c r="BE5" s="29" t="str">
        <f t="shared" si="8"/>
        <v>#DIV/0!</v>
      </c>
      <c r="BF5" s="29" t="str">
        <f t="shared" si="8"/>
        <v>#DIV/0!</v>
      </c>
      <c r="BG5" s="29" t="str">
        <f t="shared" si="8"/>
        <v>#DIV/0!</v>
      </c>
      <c r="BH5" s="29" t="str">
        <f t="shared" si="8"/>
        <v>#DIV/0!</v>
      </c>
      <c r="BI5" s="29" t="str">
        <f t="shared" si="8"/>
        <v>#DIV/0!</v>
      </c>
      <c r="BJ5" s="29" t="str">
        <f t="shared" si="8"/>
        <v>#DIV/0!</v>
      </c>
      <c r="BK5" s="29" t="str">
        <f t="shared" si="8"/>
        <v>#DIV/0!</v>
      </c>
      <c r="BL5" s="29" t="str">
        <f t="shared" si="8"/>
        <v>#DIV/0!</v>
      </c>
      <c r="BM5" s="29" t="str">
        <f t="shared" si="3"/>
        <v>#DIV/0!</v>
      </c>
    </row>
    <row r="6">
      <c r="A6" s="16" t="str">
        <f>IFERROR(__xludf.DUMMYFUNCTION("IFERROR(SPARKLINE(SORT(MAP(TRANSPOSE(AQ6:BL6), LAMBDA(val, IF(ISNUMBER(val), PERCENTRANK(AQ6:BL6, val)+0.01, 0))), SEQUENCE(COLUMNS(AQ6:BL6)), FALSE), {""charttype"",""column""; ""color"",""chartreuse""; ""ymin"", 0; ""ymax"", 1.01; ""highcolor"", ""darkg"&amp;"reen""; ""lowcolor"", ""red""}), """")"),"")</f>
        <v/>
      </c>
      <c r="B6" s="17" t="str">
        <f t="shared" si="4"/>
        <v/>
      </c>
      <c r="C6" s="1" t="s">
        <v>2073</v>
      </c>
      <c r="D6" s="30" t="str">
        <f>IFERROR(__xludf.DUMMYFUNCTION("IFERROR(GOOGLEFINANCE(C6, ""NAME""))"),"Philip Morris International Inc.")</f>
        <v>Philip Morris International Inc.</v>
      </c>
      <c r="E6" s="30" t="s">
        <v>2074</v>
      </c>
      <c r="F6" s="33" t="str">
        <f>IFERROR(__xludf.DUMMYFUNCTION("( (GOOGLEFINANCE(C6, ""price"") - Q6) / Q6 ) / (R6 / 100)"),"Loading...")</f>
        <v>Loading...</v>
      </c>
      <c r="G6" s="20" t="str">
        <f>IFERROR(__xludf.DUMMYFUNCTION("AVERAGE(ARRAYFORMULA(100 * (QUERY(GOOGLEFINANCE(C6, ""high"", TODAY()-40, TODAY()), ""SELECT Col2 WHERE Col2 IS NOT NULL ORDER BY Col1 DESC LIMIT 20"", 0) / QUERY(GOOGLEFINANCE(C6, ""low"", TODAY()-40, TODAY()), ""SELECT Col2 WHERE Col2 IS NOT NULL ORDER "&amp;"BY Col1 DESC LIMIT 20"", 0) - 1)))"),"#N/A")</f>
        <v>#N/A</v>
      </c>
      <c r="H6" s="35" t="str">
        <f t="shared" si="6"/>
        <v>Liquid</v>
      </c>
      <c r="I6" s="36" t="str">
        <f t="shared" si="7"/>
        <v>No RVol Required</v>
      </c>
      <c r="J6" s="37">
        <f>IFERROR(__xludf.DUMMYFUNCTION("IFERROR(
  IF(C6="""",, 
    IFERROR(
      GOOGLEFINANCE(C6, ""price"") * GOOGLEFINANCE(C6, ""volumeavg""), 
      GOOGLEFINANCE(C6, ""price"") * AVERAGE(QUERY(GOOGLEFINANCE(C6, ""volume"", TODAY()-40, TODAY()), ""SELECT Col2 WHERE Col2 IS NOT NULL ORDER"&amp;" BY Col1 DESC LIMIT 20"", 0))
    )
  ), 
"""")"),9.1895742E8)</f>
        <v>918957420</v>
      </c>
      <c r="K6" s="21">
        <f>IFERROR(__xludf.DUMMYFUNCTION("IFERROR(GOOGLEFINANCE(C6, ""changepct"") / 100, """")"),0.0265)</f>
        <v>0.0265</v>
      </c>
      <c r="L6" s="21" t="str">
        <f>IFERROR(__xludf.DUMMYFUNCTION("IFERROR((GOOGLEFINANCE(C6, ""price"") / INDEX(GOOGLEFINANCE(C6, ""price"", TODAY()-7, TODAY()), 2, 2)) - 1, """")"),"")</f>
        <v/>
      </c>
      <c r="M6" s="21" t="str">
        <f>IFERROR(__xludf.DUMMYFUNCTION("IFERROR((GOOGLEFINANCE(C6, ""price"") / INDEX(GOOGLEFINANCE(C6, ""price"", EDATE(TODAY(), -1), TODAY()), 2, 2)) - 1, """")"),"")</f>
        <v/>
      </c>
      <c r="N6" s="21" t="str">
        <f>IFERROR(__xludf.DUMMYFUNCTION("IFERROR((GOOGLEFINANCE(C6, ""price"") / INDEX(GOOGLEFINANCE(C6, ""price"", EDATE(TODAY(), -3), TODAY()), 2, 2)) - 1, """")"),"")</f>
        <v/>
      </c>
      <c r="O6" s="21" t="str">
        <f>IFERROR(__xludf.DUMMYFUNCTION("IFERROR((GOOGLEFINANCE(C6, ""price"") / INDEX(GOOGLEFINANCE(C6, ""price"", EDATE(TODAY(), -6), TODAY()), 2, 2)) - 1, """")"),"")</f>
        <v/>
      </c>
      <c r="P6" s="21" t="str">
        <f>IFERROR(__xludf.DUMMYFUNCTION("IFERROR((GOOGLEFINANCE(C6, ""price"") / INDEX(GOOGLEFINANCE(C6, ""price"", EDATE(TODAY(), -12), TODAY()), 2, 2)) - 1, """")"),"")</f>
        <v/>
      </c>
      <c r="Q6" s="6" t="str">
        <f>IFERROR(__xludf.DUMMYFUNCTION("AVERAGE(QUERY(GOOGLEFINANCE(C6, ""price"", TODAY()-80, TODAY()), ""SELECT Col2 WHERE Col2 IS NOT NULL ORDER BY Col1 DESC LIMIT 50"", 0))"),"#N/A")</f>
        <v>#N/A</v>
      </c>
      <c r="R6" s="24" t="str">
        <f>IFERROR(__xludf.DUMMYFUNCTION("IFERROR(
  LET(
    data, QUERY(GOOGLEFINANCE(C6,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GOOGLEFINANCE(C6, ""price"")) * 100,
    IF(calc=0, G6, calc)
  ), 
G6)"),"#N/A")</f>
        <v>#N/A</v>
      </c>
      <c r="S6" s="8" t="s">
        <v>15</v>
      </c>
      <c r="T6" s="26" t="str">
        <f>IFERROR(__xludf.DUMMYFUNCTION("IFERROR(TRANSPOSE(QUERY(IFERROR(SORT(GOOGLEFINANCE(C6, ""price"", WORKDAY(TODAY(), -40), TODAY()), 1, FALSE)), ""select Col2 where Col2 is not null limit 22 label Col2 ''"", 0)), """")"),"")</f>
        <v/>
      </c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8"/>
      <c r="AO6" s="28"/>
      <c r="AP6" s="29"/>
      <c r="AQ6" s="29" t="str">
        <f t="shared" ref="AQ6:BL6" si="9">T6/T$2</f>
        <v>#N/A</v>
      </c>
      <c r="AR6" s="29" t="str">
        <f t="shared" si="9"/>
        <v>#DIV/0!</v>
      </c>
      <c r="AS6" s="29" t="str">
        <f t="shared" si="9"/>
        <v>#DIV/0!</v>
      </c>
      <c r="AT6" s="29" t="str">
        <f t="shared" si="9"/>
        <v>#DIV/0!</v>
      </c>
      <c r="AU6" s="29" t="str">
        <f t="shared" si="9"/>
        <v>#DIV/0!</v>
      </c>
      <c r="AV6" s="29" t="str">
        <f t="shared" si="9"/>
        <v>#DIV/0!</v>
      </c>
      <c r="AW6" s="29" t="str">
        <f t="shared" si="9"/>
        <v>#DIV/0!</v>
      </c>
      <c r="AX6" s="29" t="str">
        <f t="shared" si="9"/>
        <v>#DIV/0!</v>
      </c>
      <c r="AY6" s="29" t="str">
        <f t="shared" si="9"/>
        <v>#DIV/0!</v>
      </c>
      <c r="AZ6" s="29" t="str">
        <f t="shared" si="9"/>
        <v>#DIV/0!</v>
      </c>
      <c r="BA6" s="29" t="str">
        <f t="shared" si="9"/>
        <v>#DIV/0!</v>
      </c>
      <c r="BB6" s="29" t="str">
        <f t="shared" si="9"/>
        <v>#DIV/0!</v>
      </c>
      <c r="BC6" s="29" t="str">
        <f t="shared" si="9"/>
        <v>#DIV/0!</v>
      </c>
      <c r="BD6" s="29" t="str">
        <f t="shared" si="9"/>
        <v>#DIV/0!</v>
      </c>
      <c r="BE6" s="29" t="str">
        <f t="shared" si="9"/>
        <v>#DIV/0!</v>
      </c>
      <c r="BF6" s="29" t="str">
        <f t="shared" si="9"/>
        <v>#DIV/0!</v>
      </c>
      <c r="BG6" s="29" t="str">
        <f t="shared" si="9"/>
        <v>#DIV/0!</v>
      </c>
      <c r="BH6" s="29" t="str">
        <f t="shared" si="9"/>
        <v>#DIV/0!</v>
      </c>
      <c r="BI6" s="29" t="str">
        <f t="shared" si="9"/>
        <v>#DIV/0!</v>
      </c>
      <c r="BJ6" s="29" t="str">
        <f t="shared" si="9"/>
        <v>#DIV/0!</v>
      </c>
      <c r="BK6" s="29" t="str">
        <f t="shared" si="9"/>
        <v>#DIV/0!</v>
      </c>
      <c r="BL6" s="29" t="str">
        <f t="shared" si="9"/>
        <v>#DIV/0!</v>
      </c>
      <c r="BM6" s="29" t="str">
        <f t="shared" si="3"/>
        <v>#DIV/0!</v>
      </c>
    </row>
    <row r="7">
      <c r="A7" s="16" t="str">
        <f>IFERROR(__xludf.DUMMYFUNCTION("IFERROR(SPARKLINE(SORT(MAP(TRANSPOSE(AQ7:BL7), LAMBDA(val, IF(ISNUMBER(val), PERCENTRANK(AQ7:BL7, val)+0.01, 0))), SEQUENCE(COLUMNS(AQ7:BL7)), FALSE), {""charttype"",""column""; ""color"",""chartreuse""; ""ymin"", 0; ""ymax"", 1.01; ""highcolor"", ""darkg"&amp;"reen""; ""lowcolor"", ""red""}), """")"),"")</f>
        <v/>
      </c>
      <c r="B7" s="17" t="str">
        <f t="shared" si="4"/>
        <v/>
      </c>
      <c r="C7" s="1" t="s">
        <v>2077</v>
      </c>
      <c r="D7" s="30" t="str">
        <f>IFERROR(__xludf.DUMMYFUNCTION("IFERROR(GOOGLEFINANCE(C7, ""NAME""))"),"Lincoln Educational Services Corp")</f>
        <v>Lincoln Educational Services Corp</v>
      </c>
      <c r="E7" s="30" t="s">
        <v>2069</v>
      </c>
      <c r="F7" s="33" t="str">
        <f>IFERROR(__xludf.DUMMYFUNCTION("( (GOOGLEFINANCE(C7, ""price"") - Q7) / Q7 ) / (R7 / 100)"),"Loading...")</f>
        <v>Loading...</v>
      </c>
      <c r="G7" s="20" t="str">
        <f>IFERROR(__xludf.DUMMYFUNCTION("AVERAGE(ARRAYFORMULA(100 * (QUERY(GOOGLEFINANCE(C7, ""high"", TODAY()-40, TODAY()), ""SELECT Col2 WHERE Col2 IS NOT NULL ORDER BY Col1 DESC LIMIT 20"", 0) / QUERY(GOOGLEFINANCE(C7, ""low"", TODAY()-40, TODAY()), ""SELECT Col2 WHERE Col2 IS NOT NULL ORDER "&amp;"BY Col1 DESC LIMIT 20"", 0) - 1)))"),"#N/A")</f>
        <v>#N/A</v>
      </c>
      <c r="H7" s="35" t="str">
        <f t="shared" si="6"/>
        <v>Illiquid</v>
      </c>
      <c r="I7" s="36" t="str">
        <f t="shared" si="7"/>
        <v>RVol Required</v>
      </c>
      <c r="J7" s="37">
        <f>IFERROR(__xludf.DUMMYFUNCTION("IFERROR(
  IF(C7="""",, 
    IFERROR(
      GOOGLEFINANCE(C7, ""price"") * GOOGLEFINANCE(C7, ""volumeavg""), 
      GOOGLEFINANCE(C7, ""price"") * AVERAGE(QUERY(GOOGLEFINANCE(C7, ""volume"", TODAY()-40, TODAY()), ""SELECT Col2 WHERE Col2 IS NOT NULL ORDER"&amp;" BY Col1 DESC LIMIT 20"", 0))
    )
  ), 
"""")"),1.517012728E7)</f>
        <v>15170127.28</v>
      </c>
      <c r="K7" s="21">
        <f>IFERROR(__xludf.DUMMYFUNCTION("IFERROR(GOOGLEFINANCE(C7, ""changepct"") / 100, """")"),-0.0151)</f>
        <v>-0.0151</v>
      </c>
      <c r="L7" s="21" t="str">
        <f>IFERROR(__xludf.DUMMYFUNCTION("IFERROR((GOOGLEFINANCE(C7, ""price"") / INDEX(GOOGLEFINANCE(C7, ""price"", TODAY()-7, TODAY()), 2, 2)) - 1, """")"),"")</f>
        <v/>
      </c>
      <c r="M7" s="21" t="str">
        <f>IFERROR(__xludf.DUMMYFUNCTION("IFERROR((GOOGLEFINANCE(C7, ""price"") / INDEX(GOOGLEFINANCE(C7, ""price"", EDATE(TODAY(), -1), TODAY()), 2, 2)) - 1, """")"),"")</f>
        <v/>
      </c>
      <c r="N7" s="21" t="str">
        <f>IFERROR(__xludf.DUMMYFUNCTION("IFERROR((GOOGLEFINANCE(C7, ""price"") / INDEX(GOOGLEFINANCE(C7, ""price"", EDATE(TODAY(), -3), TODAY()), 2, 2)) - 1, """")"),"")</f>
        <v/>
      </c>
      <c r="O7" s="21" t="str">
        <f>IFERROR(__xludf.DUMMYFUNCTION("IFERROR((GOOGLEFINANCE(C7, ""price"") / INDEX(GOOGLEFINANCE(C7, ""price"", EDATE(TODAY(), -6), TODAY()), 2, 2)) - 1, """")"),"")</f>
        <v/>
      </c>
      <c r="P7" s="21" t="str">
        <f>IFERROR(__xludf.DUMMYFUNCTION("IFERROR((GOOGLEFINANCE(C7, ""price"") / INDEX(GOOGLEFINANCE(C7, ""price"", EDATE(TODAY(), -12), TODAY()), 2, 2)) - 1, """")"),"")</f>
        <v/>
      </c>
      <c r="Q7" s="6" t="str">
        <f>IFERROR(__xludf.DUMMYFUNCTION("AVERAGE(QUERY(GOOGLEFINANCE(C7, ""price"", TODAY()-80, TODAY()), ""SELECT Col2 WHERE Col2 IS NOT NULL ORDER BY Col1 DESC LIMIT 50"", 0))"),"#N/A")</f>
        <v>#N/A</v>
      </c>
      <c r="R7" s="24" t="str">
        <f>IFERROR(__xludf.DUMMYFUNCTION("IFERROR(
  LET(
    data, QUERY(GOOGLEFINANCE(C7,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GOOGLEFINANCE(C7, ""price"")) * 100,
    IF(calc=0, G7, calc)
  ), 
G7)"),"#N/A")</f>
        <v>#N/A</v>
      </c>
      <c r="S7" s="8" t="s">
        <v>15</v>
      </c>
      <c r="T7" s="26" t="str">
        <f>IFERROR(__xludf.DUMMYFUNCTION("IFERROR(TRANSPOSE(QUERY(IFERROR(SORT(GOOGLEFINANCE(C7, ""price"", WORKDAY(TODAY(), -40), TODAY()), 1, FALSE)), ""select Col2 where Col2 is not null limit 22 label Col2 ''"", 0)), """")"),"")</f>
        <v/>
      </c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8"/>
      <c r="AO7" s="28"/>
      <c r="AP7" s="29"/>
      <c r="AQ7" s="29" t="str">
        <f t="shared" ref="AQ7:BL7" si="10">T7/T$2</f>
        <v>#N/A</v>
      </c>
      <c r="AR7" s="29" t="str">
        <f t="shared" si="10"/>
        <v>#DIV/0!</v>
      </c>
      <c r="AS7" s="29" t="str">
        <f t="shared" si="10"/>
        <v>#DIV/0!</v>
      </c>
      <c r="AT7" s="29" t="str">
        <f t="shared" si="10"/>
        <v>#DIV/0!</v>
      </c>
      <c r="AU7" s="29" t="str">
        <f t="shared" si="10"/>
        <v>#DIV/0!</v>
      </c>
      <c r="AV7" s="29" t="str">
        <f t="shared" si="10"/>
        <v>#DIV/0!</v>
      </c>
      <c r="AW7" s="29" t="str">
        <f t="shared" si="10"/>
        <v>#DIV/0!</v>
      </c>
      <c r="AX7" s="29" t="str">
        <f t="shared" si="10"/>
        <v>#DIV/0!</v>
      </c>
      <c r="AY7" s="29" t="str">
        <f t="shared" si="10"/>
        <v>#DIV/0!</v>
      </c>
      <c r="AZ7" s="29" t="str">
        <f t="shared" si="10"/>
        <v>#DIV/0!</v>
      </c>
      <c r="BA7" s="29" t="str">
        <f t="shared" si="10"/>
        <v>#DIV/0!</v>
      </c>
      <c r="BB7" s="29" t="str">
        <f t="shared" si="10"/>
        <v>#DIV/0!</v>
      </c>
      <c r="BC7" s="29" t="str">
        <f t="shared" si="10"/>
        <v>#DIV/0!</v>
      </c>
      <c r="BD7" s="29" t="str">
        <f t="shared" si="10"/>
        <v>#DIV/0!</v>
      </c>
      <c r="BE7" s="29" t="str">
        <f t="shared" si="10"/>
        <v>#DIV/0!</v>
      </c>
      <c r="BF7" s="29" t="str">
        <f t="shared" si="10"/>
        <v>#DIV/0!</v>
      </c>
      <c r="BG7" s="29" t="str">
        <f t="shared" si="10"/>
        <v>#DIV/0!</v>
      </c>
      <c r="BH7" s="29" t="str">
        <f t="shared" si="10"/>
        <v>#DIV/0!</v>
      </c>
      <c r="BI7" s="29" t="str">
        <f t="shared" si="10"/>
        <v>#DIV/0!</v>
      </c>
      <c r="BJ7" s="29" t="str">
        <f t="shared" si="10"/>
        <v>#DIV/0!</v>
      </c>
      <c r="BK7" s="29" t="str">
        <f t="shared" si="10"/>
        <v>#DIV/0!</v>
      </c>
      <c r="BL7" s="29" t="str">
        <f t="shared" si="10"/>
        <v>#DIV/0!</v>
      </c>
      <c r="BM7" s="29" t="str">
        <f t="shared" si="3"/>
        <v>#DIV/0!</v>
      </c>
    </row>
    <row r="8">
      <c r="A8" s="16" t="str">
        <f>IFERROR(__xludf.DUMMYFUNCTION("IFERROR(SPARKLINE(SORT(MAP(TRANSPOSE(AQ8:BL8), LAMBDA(val, IF(ISNUMBER(val), PERCENTRANK(AQ8:BL8, val)+0.01, 0))), SEQUENCE(COLUMNS(AQ8:BL8)), FALSE), {""charttype"",""column""; ""color"",""chartreuse""; ""ymin"", 0; ""ymax"", 1.01; ""highcolor"", ""darkg"&amp;"reen""; ""lowcolor"", ""red""}), """")"),"")</f>
        <v/>
      </c>
      <c r="B8" s="17" t="str">
        <f t="shared" si="4"/>
        <v/>
      </c>
      <c r="C8" s="1" t="s">
        <v>2082</v>
      </c>
      <c r="D8" s="30" t="str">
        <f>IFERROR(__xludf.DUMMYFUNCTION("IFERROR(GOOGLEFINANCE(C8, ""NAME""))"),"Vita Coco Company Inc")</f>
        <v>Vita Coco Company Inc</v>
      </c>
      <c r="E8" s="30" t="s">
        <v>2083</v>
      </c>
      <c r="F8" s="38" t="str">
        <f>IFERROR(__xludf.DUMMYFUNCTION("( (GOOGLEFINANCE(C8, ""price"") - Q8) / Q8 ) / (R8 / 100)"),"Loading...")</f>
        <v>Loading...</v>
      </c>
      <c r="G8" s="20" t="str">
        <f>IFERROR(__xludf.DUMMYFUNCTION("AVERAGE(ARRAYFORMULA(100 * (QUERY(GOOGLEFINANCE(C8, ""high"", TODAY()-40, TODAY()), ""SELECT Col2 WHERE Col2 IS NOT NULL ORDER BY Col1 DESC LIMIT 20"", 0) / QUERY(GOOGLEFINANCE(C8, ""low"", TODAY()-40, TODAY()), ""SELECT Col2 WHERE Col2 IS NOT NULL ORDER "&amp;"BY Col1 DESC LIMIT 20"", 0) - 1)))"),"#N/A")</f>
        <v>#N/A</v>
      </c>
      <c r="H8" s="35" t="str">
        <f t="shared" si="6"/>
        <v>Liquid</v>
      </c>
      <c r="I8" s="36" t="str">
        <f t="shared" si="7"/>
        <v>RVol Required</v>
      </c>
      <c r="J8" s="37">
        <f>IFERROR(__xludf.DUMMYFUNCTION("IFERROR(
  IF(C8="""",, 
    IFERROR(
      GOOGLEFINANCE(C8, ""price"") * GOOGLEFINANCE(C8, ""volumeavg""), 
      GOOGLEFINANCE(C8, ""price"") * AVERAGE(QUERY(GOOGLEFINANCE(C8, ""volume"", TODAY()-40, TODAY()), ""SELECT Col2 WHERE Col2 IS NOT NULL ORDER"&amp;" BY Col1 DESC LIMIT 20"", 0))
    )
  ), 
"""")"),8.283805919E7)</f>
        <v>82838059.19</v>
      </c>
      <c r="K8" s="21">
        <f>IFERROR(__xludf.DUMMYFUNCTION("IFERROR(GOOGLEFINANCE(C8, ""changepct"") / 100, """")"),0.0177)</f>
        <v>0.0177</v>
      </c>
      <c r="L8" s="21" t="str">
        <f>IFERROR(__xludf.DUMMYFUNCTION("IFERROR((GOOGLEFINANCE(C8, ""price"") / INDEX(GOOGLEFINANCE(C8, ""price"", TODAY()-7, TODAY()), 2, 2)) - 1, """")"),"")</f>
        <v/>
      </c>
      <c r="M8" s="21" t="str">
        <f>IFERROR(__xludf.DUMMYFUNCTION("IFERROR((GOOGLEFINANCE(C8, ""price"") / INDEX(GOOGLEFINANCE(C8, ""price"", EDATE(TODAY(), -1), TODAY()), 2, 2)) - 1, """")"),"")</f>
        <v/>
      </c>
      <c r="N8" s="21" t="str">
        <f>IFERROR(__xludf.DUMMYFUNCTION("IFERROR((GOOGLEFINANCE(C8, ""price"") / INDEX(GOOGLEFINANCE(C8, ""price"", EDATE(TODAY(), -3), TODAY()), 2, 2)) - 1, """")"),"")</f>
        <v/>
      </c>
      <c r="O8" s="21" t="str">
        <f>IFERROR(__xludf.DUMMYFUNCTION("IFERROR((GOOGLEFINANCE(C8, ""price"") / INDEX(GOOGLEFINANCE(C8, ""price"", EDATE(TODAY(), -6), TODAY()), 2, 2)) - 1, """")"),"")</f>
        <v/>
      </c>
      <c r="P8" s="21" t="str">
        <f>IFERROR(__xludf.DUMMYFUNCTION("IFERROR((GOOGLEFINANCE(C8, ""price"") / INDEX(GOOGLEFINANCE(C8, ""price"", EDATE(TODAY(), -12), TODAY()), 2, 2)) - 1, """")"),"")</f>
        <v/>
      </c>
      <c r="Q8" s="6" t="str">
        <f>IFERROR(__xludf.DUMMYFUNCTION("AVERAGE(QUERY(GOOGLEFINANCE(C8, ""price"", TODAY()-80, TODAY()), ""SELECT Col2 WHERE Col2 IS NOT NULL ORDER BY Col1 DESC LIMIT 50"", 0))"),"#N/A")</f>
        <v>#N/A</v>
      </c>
      <c r="R8" s="24" t="str">
        <f>IFERROR(__xludf.DUMMYFUNCTION("IFERROR(
  LET(
    data, QUERY(GOOGLEFINANCE(C8,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GOOGLEFINANCE(C8, ""price"")) * 100,
    IF(calc=0, G8, calc)
  ), 
G8)"),"#N/A")</f>
        <v>#N/A</v>
      </c>
      <c r="S8" s="8" t="s">
        <v>15</v>
      </c>
      <c r="T8" s="26" t="str">
        <f>IFERROR(__xludf.DUMMYFUNCTION("IFERROR(TRANSPOSE(QUERY(IFERROR(SORT(GOOGLEFINANCE(C8, ""price"", WORKDAY(TODAY(), -40), TODAY()), 1, FALSE)), ""select Col2 where Col2 is not null limit 22 label Col2 ''"", 0)), """")"),"")</f>
        <v/>
      </c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8"/>
      <c r="AO8" s="28"/>
      <c r="AP8" s="29"/>
      <c r="AQ8" s="29" t="str">
        <f t="shared" ref="AQ8:BL8" si="11">T8/T$2</f>
        <v>#N/A</v>
      </c>
      <c r="AR8" s="29" t="str">
        <f t="shared" si="11"/>
        <v>#DIV/0!</v>
      </c>
      <c r="AS8" s="29" t="str">
        <f t="shared" si="11"/>
        <v>#DIV/0!</v>
      </c>
      <c r="AT8" s="29" t="str">
        <f t="shared" si="11"/>
        <v>#DIV/0!</v>
      </c>
      <c r="AU8" s="29" t="str">
        <f t="shared" si="11"/>
        <v>#DIV/0!</v>
      </c>
      <c r="AV8" s="29" t="str">
        <f t="shared" si="11"/>
        <v>#DIV/0!</v>
      </c>
      <c r="AW8" s="29" t="str">
        <f t="shared" si="11"/>
        <v>#DIV/0!</v>
      </c>
      <c r="AX8" s="29" t="str">
        <f t="shared" si="11"/>
        <v>#DIV/0!</v>
      </c>
      <c r="AY8" s="29" t="str">
        <f t="shared" si="11"/>
        <v>#DIV/0!</v>
      </c>
      <c r="AZ8" s="29" t="str">
        <f t="shared" si="11"/>
        <v>#DIV/0!</v>
      </c>
      <c r="BA8" s="29" t="str">
        <f t="shared" si="11"/>
        <v>#DIV/0!</v>
      </c>
      <c r="BB8" s="29" t="str">
        <f t="shared" si="11"/>
        <v>#DIV/0!</v>
      </c>
      <c r="BC8" s="29" t="str">
        <f t="shared" si="11"/>
        <v>#DIV/0!</v>
      </c>
      <c r="BD8" s="29" t="str">
        <f t="shared" si="11"/>
        <v>#DIV/0!</v>
      </c>
      <c r="BE8" s="29" t="str">
        <f t="shared" si="11"/>
        <v>#DIV/0!</v>
      </c>
      <c r="BF8" s="29" t="str">
        <f t="shared" si="11"/>
        <v>#DIV/0!</v>
      </c>
      <c r="BG8" s="29" t="str">
        <f t="shared" si="11"/>
        <v>#DIV/0!</v>
      </c>
      <c r="BH8" s="29" t="str">
        <f t="shared" si="11"/>
        <v>#DIV/0!</v>
      </c>
      <c r="BI8" s="29" t="str">
        <f t="shared" si="11"/>
        <v>#DIV/0!</v>
      </c>
      <c r="BJ8" s="29" t="str">
        <f t="shared" si="11"/>
        <v>#DIV/0!</v>
      </c>
      <c r="BK8" s="29" t="str">
        <f t="shared" si="11"/>
        <v>#DIV/0!</v>
      </c>
      <c r="BL8" s="29" t="str">
        <f t="shared" si="11"/>
        <v>#DIV/0!</v>
      </c>
      <c r="BM8" s="29" t="str">
        <f t="shared" si="3"/>
        <v>#DIV/0!</v>
      </c>
    </row>
    <row r="9">
      <c r="A9" s="16" t="str">
        <f>IFERROR(__xludf.DUMMYFUNCTION("IFERROR(SPARKLINE(SORT(MAP(TRANSPOSE(AQ9:BL9), LAMBDA(val, IF(ISNUMBER(val), PERCENTRANK(AQ9:BL9, val)+0.01, 0))), SEQUENCE(COLUMNS(AQ9:BL9)), FALSE), {""charttype"",""column""; ""color"",""chartreuse""; ""ymin"", 0; ""ymax"", 1.01; ""highcolor"", ""darkg"&amp;"reen""; ""lowcolor"", ""red""}), """")"),"")</f>
        <v/>
      </c>
      <c r="B9" s="17" t="str">
        <f t="shared" si="4"/>
        <v/>
      </c>
      <c r="C9" s="1" t="s">
        <v>2089</v>
      </c>
      <c r="D9" s="30" t="str">
        <f>IFERROR(__xludf.DUMMYFUNCTION("IFERROR(GOOGLEFINANCE(C9, ""NAME""))"),"British American Tobacco P.l.c")</f>
        <v>British American Tobacco P.l.c</v>
      </c>
      <c r="E9" s="30" t="s">
        <v>2074</v>
      </c>
      <c r="F9" s="33" t="str">
        <f>IFERROR(__xludf.DUMMYFUNCTION("( (GOOGLEFINANCE(C9, ""price"") - Q9) / Q9 ) / (R9 / 100)"),"Loading...")</f>
        <v>Loading...</v>
      </c>
      <c r="G9" s="20" t="str">
        <f>IFERROR(__xludf.DUMMYFUNCTION("AVERAGE(ARRAYFORMULA(100 * (QUERY(GOOGLEFINANCE(C9, ""high"", TODAY()-40, TODAY()), ""SELECT Col2 WHERE Col2 IS NOT NULL ORDER BY Col1 DESC LIMIT 20"", 0) / QUERY(GOOGLEFINANCE(C9, ""low"", TODAY()-40, TODAY()), ""SELECT Col2 WHERE Col2 IS NOT NULL ORDER "&amp;"BY Col1 DESC LIMIT 20"", 0) - 1)))"),"#N/A")</f>
        <v>#N/A</v>
      </c>
      <c r="H9" s="35" t="str">
        <f t="shared" si="6"/>
        <v>Liquid</v>
      </c>
      <c r="I9" s="36" t="str">
        <f t="shared" si="7"/>
        <v>RVol Required</v>
      </c>
      <c r="J9" s="37">
        <f>IFERROR(__xludf.DUMMYFUNCTION("IFERROR(
  IF(C9="""",, 
    IFERROR(
      GOOGLEFINANCE(C9, ""price"") * GOOGLEFINANCE(C9, ""volumeavg""), 
      GOOGLEFINANCE(C9, ""price"") * AVERAGE(QUERY(GOOGLEFINANCE(C9, ""volume"", TODAY()-40, TODAY()), ""SELECT Col2 WHERE Col2 IS NOT NULL ORDER"&amp;" BY Col1 DESC LIMIT 20"", 0))
    )
  ), 
"""")"),2.9935044E8)</f>
        <v>299350440</v>
      </c>
      <c r="K9" s="21">
        <f>IFERROR(__xludf.DUMMYFUNCTION("IFERROR(GOOGLEFINANCE(C9, ""changepct"") / 100, """")"),0.0345)</f>
        <v>0.0345</v>
      </c>
      <c r="L9" s="21" t="str">
        <f>IFERROR(__xludf.DUMMYFUNCTION("IFERROR((GOOGLEFINANCE(C9, ""price"") / INDEX(GOOGLEFINANCE(C9, ""price"", TODAY()-7, TODAY()), 2, 2)) - 1, """")"),"")</f>
        <v/>
      </c>
      <c r="M9" s="21" t="str">
        <f>IFERROR(__xludf.DUMMYFUNCTION("IFERROR((GOOGLEFINANCE(C9, ""price"") / INDEX(GOOGLEFINANCE(C9, ""price"", EDATE(TODAY(), -1), TODAY()), 2, 2)) - 1, """")"),"")</f>
        <v/>
      </c>
      <c r="N9" s="21" t="str">
        <f>IFERROR(__xludf.DUMMYFUNCTION("IFERROR((GOOGLEFINANCE(C9, ""price"") / INDEX(GOOGLEFINANCE(C9, ""price"", EDATE(TODAY(), -3), TODAY()), 2, 2)) - 1, """")"),"")</f>
        <v/>
      </c>
      <c r="O9" s="21" t="str">
        <f>IFERROR(__xludf.DUMMYFUNCTION("IFERROR((GOOGLEFINANCE(C9, ""price"") / INDEX(GOOGLEFINANCE(C9, ""price"", EDATE(TODAY(), -6), TODAY()), 2, 2)) - 1, """")"),"")</f>
        <v/>
      </c>
      <c r="P9" s="21" t="str">
        <f>IFERROR(__xludf.DUMMYFUNCTION("IFERROR((GOOGLEFINANCE(C9, ""price"") / INDEX(GOOGLEFINANCE(C9, ""price"", EDATE(TODAY(), -12), TODAY()), 2, 2)) - 1, """")"),"")</f>
        <v/>
      </c>
      <c r="Q9" s="6" t="str">
        <f>IFERROR(__xludf.DUMMYFUNCTION("AVERAGE(QUERY(GOOGLEFINANCE(C9, ""price"", TODAY()-80, TODAY()), ""SELECT Col2 WHERE Col2 IS NOT NULL ORDER BY Col1 DESC LIMIT 50"", 0))"),"#N/A")</f>
        <v>#N/A</v>
      </c>
      <c r="R9" s="24" t="str">
        <f>IFERROR(__xludf.DUMMYFUNCTION("IFERROR(
  LET(
    data, QUERY(GOOGLEFINANCE(C9,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GOOGLEFINANCE(C9, ""price"")) * 100,
    IF(calc=0, G9, calc)
  ), 
G9)"),"#N/A")</f>
        <v>#N/A</v>
      </c>
      <c r="S9" s="8" t="s">
        <v>15</v>
      </c>
      <c r="T9" s="26" t="str">
        <f>IFERROR(__xludf.DUMMYFUNCTION("IFERROR(TRANSPOSE(QUERY(IFERROR(SORT(GOOGLEFINANCE(C9, ""price"", WORKDAY(TODAY(), -40), TODAY()), 1, FALSE)), ""select Col2 where Col2 is not null limit 22 label Col2 ''"", 0)), """")"),"")</f>
        <v/>
      </c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8"/>
      <c r="AO9" s="28"/>
      <c r="AP9" s="29"/>
      <c r="AQ9" s="29" t="str">
        <f t="shared" ref="AQ9:BL9" si="12">T9/T$2</f>
        <v>#N/A</v>
      </c>
      <c r="AR9" s="29" t="str">
        <f t="shared" si="12"/>
        <v>#DIV/0!</v>
      </c>
      <c r="AS9" s="29" t="str">
        <f t="shared" si="12"/>
        <v>#DIV/0!</v>
      </c>
      <c r="AT9" s="29" t="str">
        <f t="shared" si="12"/>
        <v>#DIV/0!</v>
      </c>
      <c r="AU9" s="29" t="str">
        <f t="shared" si="12"/>
        <v>#DIV/0!</v>
      </c>
      <c r="AV9" s="29" t="str">
        <f t="shared" si="12"/>
        <v>#DIV/0!</v>
      </c>
      <c r="AW9" s="29" t="str">
        <f t="shared" si="12"/>
        <v>#DIV/0!</v>
      </c>
      <c r="AX9" s="29" t="str">
        <f t="shared" si="12"/>
        <v>#DIV/0!</v>
      </c>
      <c r="AY9" s="29" t="str">
        <f t="shared" si="12"/>
        <v>#DIV/0!</v>
      </c>
      <c r="AZ9" s="29" t="str">
        <f t="shared" si="12"/>
        <v>#DIV/0!</v>
      </c>
      <c r="BA9" s="29" t="str">
        <f t="shared" si="12"/>
        <v>#DIV/0!</v>
      </c>
      <c r="BB9" s="29" t="str">
        <f t="shared" si="12"/>
        <v>#DIV/0!</v>
      </c>
      <c r="BC9" s="29" t="str">
        <f t="shared" si="12"/>
        <v>#DIV/0!</v>
      </c>
      <c r="BD9" s="29" t="str">
        <f t="shared" si="12"/>
        <v>#DIV/0!</v>
      </c>
      <c r="BE9" s="29" t="str">
        <f t="shared" si="12"/>
        <v>#DIV/0!</v>
      </c>
      <c r="BF9" s="29" t="str">
        <f t="shared" si="12"/>
        <v>#DIV/0!</v>
      </c>
      <c r="BG9" s="29" t="str">
        <f t="shared" si="12"/>
        <v>#DIV/0!</v>
      </c>
      <c r="BH9" s="29" t="str">
        <f t="shared" si="12"/>
        <v>#DIV/0!</v>
      </c>
      <c r="BI9" s="29" t="str">
        <f t="shared" si="12"/>
        <v>#DIV/0!</v>
      </c>
      <c r="BJ9" s="29" t="str">
        <f t="shared" si="12"/>
        <v>#DIV/0!</v>
      </c>
      <c r="BK9" s="29" t="str">
        <f t="shared" si="12"/>
        <v>#DIV/0!</v>
      </c>
      <c r="BL9" s="29" t="str">
        <f t="shared" si="12"/>
        <v>#DIV/0!</v>
      </c>
      <c r="BM9" s="29" t="str">
        <f t="shared" si="3"/>
        <v>#DIV/0!</v>
      </c>
    </row>
    <row r="10">
      <c r="A10" s="16" t="str">
        <f>IFERROR(__xludf.DUMMYFUNCTION("IFERROR(SPARKLINE(SORT(MAP(TRANSPOSE(AQ10:BL10), LAMBDA(val, IF(ISNUMBER(val), PERCENTRANK(AQ10:BL10, val)+0.01, 0))), SEQUENCE(COLUMNS(AQ10:BL10)), FALSE), {""charttype"",""column""; ""color"",""chartreuse""; ""ymin"", 0; ""ymax"", 1.01; ""highcolor"", "&amp;"""darkgreen""; ""lowcolor"", ""red""}), """")"),"")</f>
        <v/>
      </c>
      <c r="B10" s="17" t="str">
        <f t="shared" si="4"/>
        <v/>
      </c>
      <c r="C10" s="1" t="s">
        <v>2093</v>
      </c>
      <c r="D10" s="30" t="str">
        <f>IFERROR(__xludf.DUMMYFUNCTION("IFERROR(GOOGLEFINANCE(C10, ""NAME""))"),"Westrock Coffee Co")</f>
        <v>Westrock Coffee Co</v>
      </c>
      <c r="E10" s="30" t="s">
        <v>2094</v>
      </c>
      <c r="F10" s="38" t="str">
        <f>IFERROR(__xludf.DUMMYFUNCTION("( (GOOGLEFINANCE(C10, ""price"") - Q10) / Q10 ) / (R10 / 100)"),"Loading...")</f>
        <v>Loading...</v>
      </c>
      <c r="G10" s="20" t="str">
        <f>IFERROR(__xludf.DUMMYFUNCTION("AVERAGE(ARRAYFORMULA(100 * (QUERY(GOOGLEFINANCE(C10, ""high"", TODAY()-40, TODAY()), ""SELECT Col2 WHERE Col2 IS NOT NULL ORDER BY Col1 DESC LIMIT 20"", 0) / QUERY(GOOGLEFINANCE(C10, ""low"", TODAY()-40, TODAY()), ""SELECT Col2 WHERE Col2 IS NOT NULL ORDE"&amp;"R BY Col1 DESC LIMIT 20"", 0) - 1)))"),"#N/A")</f>
        <v>#N/A</v>
      </c>
      <c r="H10" s="35" t="str">
        <f t="shared" si="6"/>
        <v>Illiquid</v>
      </c>
      <c r="I10" s="36" t="str">
        <f t="shared" si="7"/>
        <v>RVol Required</v>
      </c>
      <c r="J10" s="37">
        <f>IFERROR(__xludf.DUMMYFUNCTION("IFERROR(
  IF(C10="""",, 
    IFERROR(
      GOOGLEFINANCE(C10, ""price"") * GOOGLEFINANCE(C10, ""volumeavg""), 
      GOOGLEFINANCE(C10, ""price"") * AVERAGE(QUERY(GOOGLEFINANCE(C10, ""volume"", TODAY()-40, TODAY()), ""SELECT Col2 WHERE Col2 IS NOT NULL "&amp;"ORDER BY Col1 DESC LIMIT 20"", 0))
    )
  ), 
"""")"),2629709.88)</f>
        <v>2629709.88</v>
      </c>
      <c r="K10" s="21">
        <f>IFERROR(__xludf.DUMMYFUNCTION("IFERROR(GOOGLEFINANCE(C10, ""changepct"") / 100, """")"),-0.013999999999999999)</f>
        <v>-0.014</v>
      </c>
      <c r="L10" s="21" t="str">
        <f>IFERROR(__xludf.DUMMYFUNCTION("IFERROR((GOOGLEFINANCE(C10, ""price"") / INDEX(GOOGLEFINANCE(C10, ""price"", TODAY()-7, TODAY()), 2, 2)) - 1, """")"),"")</f>
        <v/>
      </c>
      <c r="M10" s="21" t="str">
        <f>IFERROR(__xludf.DUMMYFUNCTION("IFERROR((GOOGLEFINANCE(C10, ""price"") / INDEX(GOOGLEFINANCE(C10, ""price"", EDATE(TODAY(), -1), TODAY()), 2, 2)) - 1, """")"),"")</f>
        <v/>
      </c>
      <c r="N10" s="21" t="str">
        <f>IFERROR(__xludf.DUMMYFUNCTION("IFERROR((GOOGLEFINANCE(C10, ""price"") / INDEX(GOOGLEFINANCE(C10, ""price"", EDATE(TODAY(), -3), TODAY()), 2, 2)) - 1, """")"),"")</f>
        <v/>
      </c>
      <c r="O10" s="21" t="str">
        <f>IFERROR(__xludf.DUMMYFUNCTION("IFERROR((GOOGLEFINANCE(C10, ""price"") / INDEX(GOOGLEFINANCE(C10, ""price"", EDATE(TODAY(), -6), TODAY()), 2, 2)) - 1, """")"),"")</f>
        <v/>
      </c>
      <c r="P10" s="21" t="str">
        <f>IFERROR(__xludf.DUMMYFUNCTION("IFERROR((GOOGLEFINANCE(C10, ""price"") / INDEX(GOOGLEFINANCE(C10, ""price"", EDATE(TODAY(), -12), TODAY()), 2, 2)) - 1, """")"),"")</f>
        <v/>
      </c>
      <c r="Q10" s="6" t="str">
        <f>IFERROR(__xludf.DUMMYFUNCTION("AVERAGE(QUERY(GOOGLEFINANCE(C10, ""price"", TODAY()-80, TODAY()), ""SELECT Col2 WHERE Col2 IS NOT NULL ORDER BY Col1 DESC LIMIT 50"", 0))"),"#N/A")</f>
        <v>#N/A</v>
      </c>
      <c r="R10" s="24" t="str">
        <f>IFERROR(__xludf.DUMMYFUNCTION("IFERROR(
  LET(
    data, QUERY(GOOGLEFINANCE(C10,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GOOGLEFINANCE(C10, ""price"")) * 100,
    IF(calc=0, G10, calc)
  ), 
G10)"),"#N/A")</f>
        <v>#N/A</v>
      </c>
      <c r="S10" s="8" t="s">
        <v>15</v>
      </c>
      <c r="T10" s="26" t="str">
        <f>IFERROR(__xludf.DUMMYFUNCTION("IFERROR(TRANSPOSE(QUERY(IFERROR(SORT(GOOGLEFINANCE(C10, ""price"", WORKDAY(TODAY(), -40), TODAY()), 1, FALSE)), ""select Col2 where Col2 is not null limit 22 label Col2 ''"", 0)), """")"),"")</f>
        <v/>
      </c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8"/>
      <c r="AO10" s="28"/>
      <c r="AP10" s="29"/>
      <c r="AQ10" s="29" t="str">
        <f t="shared" ref="AQ10:BL10" si="13">T10/T$2</f>
        <v>#N/A</v>
      </c>
      <c r="AR10" s="29" t="str">
        <f t="shared" si="13"/>
        <v>#DIV/0!</v>
      </c>
      <c r="AS10" s="29" t="str">
        <f t="shared" si="13"/>
        <v>#DIV/0!</v>
      </c>
      <c r="AT10" s="29" t="str">
        <f t="shared" si="13"/>
        <v>#DIV/0!</v>
      </c>
      <c r="AU10" s="29" t="str">
        <f t="shared" si="13"/>
        <v>#DIV/0!</v>
      </c>
      <c r="AV10" s="29" t="str">
        <f t="shared" si="13"/>
        <v>#DIV/0!</v>
      </c>
      <c r="AW10" s="29" t="str">
        <f t="shared" si="13"/>
        <v>#DIV/0!</v>
      </c>
      <c r="AX10" s="29" t="str">
        <f t="shared" si="13"/>
        <v>#DIV/0!</v>
      </c>
      <c r="AY10" s="29" t="str">
        <f t="shared" si="13"/>
        <v>#DIV/0!</v>
      </c>
      <c r="AZ10" s="29" t="str">
        <f t="shared" si="13"/>
        <v>#DIV/0!</v>
      </c>
      <c r="BA10" s="29" t="str">
        <f t="shared" si="13"/>
        <v>#DIV/0!</v>
      </c>
      <c r="BB10" s="29" t="str">
        <f t="shared" si="13"/>
        <v>#DIV/0!</v>
      </c>
      <c r="BC10" s="29" t="str">
        <f t="shared" si="13"/>
        <v>#DIV/0!</v>
      </c>
      <c r="BD10" s="29" t="str">
        <f t="shared" si="13"/>
        <v>#DIV/0!</v>
      </c>
      <c r="BE10" s="29" t="str">
        <f t="shared" si="13"/>
        <v>#DIV/0!</v>
      </c>
      <c r="BF10" s="29" t="str">
        <f t="shared" si="13"/>
        <v>#DIV/0!</v>
      </c>
      <c r="BG10" s="29" t="str">
        <f t="shared" si="13"/>
        <v>#DIV/0!</v>
      </c>
      <c r="BH10" s="29" t="str">
        <f t="shared" si="13"/>
        <v>#DIV/0!</v>
      </c>
      <c r="BI10" s="29" t="str">
        <f t="shared" si="13"/>
        <v>#DIV/0!</v>
      </c>
      <c r="BJ10" s="29" t="str">
        <f t="shared" si="13"/>
        <v>#DIV/0!</v>
      </c>
      <c r="BK10" s="29" t="str">
        <f t="shared" si="13"/>
        <v>#DIV/0!</v>
      </c>
      <c r="BL10" s="29" t="str">
        <f t="shared" si="13"/>
        <v>#DIV/0!</v>
      </c>
      <c r="BM10" s="29" t="str">
        <f t="shared" si="3"/>
        <v>#DIV/0!</v>
      </c>
    </row>
    <row r="11">
      <c r="A11" s="16" t="str">
        <f>IFERROR(__xludf.DUMMYFUNCTION("IFERROR(SPARKLINE(SORT(MAP(TRANSPOSE(AQ11:BL11), LAMBDA(val, IF(ISNUMBER(val), PERCENTRANK(AQ11:BL11, val)+0.01, 0))), SEQUENCE(COLUMNS(AQ11:BL11)), FALSE), {""charttype"",""column""; ""color"",""chartreuse""; ""ymin"", 0; ""ymax"", 1.01; ""highcolor"", "&amp;"""darkgreen""; ""lowcolor"", ""red""}), """")"),"")</f>
        <v/>
      </c>
      <c r="B11" s="17" t="str">
        <f t="shared" si="4"/>
        <v/>
      </c>
      <c r="C11" s="1" t="s">
        <v>2098</v>
      </c>
      <c r="D11" s="30" t="str">
        <f>IFERROR(__xludf.DUMMYFUNCTION("IFERROR(GOOGLEFINANCE(C11, ""NAME""))"),"Turning Point Brands Inc")</f>
        <v>Turning Point Brands Inc</v>
      </c>
      <c r="E11" s="30" t="s">
        <v>2074</v>
      </c>
      <c r="F11" s="33" t="str">
        <f>IFERROR(__xludf.DUMMYFUNCTION("( (GOOGLEFINANCE(C11, ""price"") - Q11) / Q11 ) / (R11 / 100)"),"Loading...")</f>
        <v>Loading...</v>
      </c>
      <c r="G11" s="20" t="str">
        <f>IFERROR(__xludf.DUMMYFUNCTION("AVERAGE(ARRAYFORMULA(100 * (QUERY(GOOGLEFINANCE(C11, ""high"", TODAY()-40, TODAY()), ""SELECT Col2 WHERE Col2 IS NOT NULL ORDER BY Col1 DESC LIMIT 20"", 0) / QUERY(GOOGLEFINANCE(C11, ""low"", TODAY()-40, TODAY()), ""SELECT Col2 WHERE Col2 IS NOT NULL ORDE"&amp;"R BY Col1 DESC LIMIT 20"", 0) - 1)))"),"#N/A")</f>
        <v>#N/A</v>
      </c>
      <c r="H11" s="35" t="str">
        <f t="shared" si="6"/>
        <v>Illiquid</v>
      </c>
      <c r="I11" s="36" t="str">
        <f t="shared" si="7"/>
        <v>RVol Required</v>
      </c>
      <c r="J11" s="37">
        <f>IFERROR(__xludf.DUMMYFUNCTION("IFERROR(
  IF(C11="""",, 
    IFERROR(
      GOOGLEFINANCE(C11, ""price"") * GOOGLEFINANCE(C11, ""volumeavg""), 
      GOOGLEFINANCE(C11, ""price"") * AVERAGE(QUERY(GOOGLEFINANCE(C11, ""volume"", TODAY()-40, TODAY()), ""SELECT Col2 WHERE Col2 IS NOT NULL "&amp;"ORDER BY Col1 DESC LIMIT 20"", 0))
    )
  ), 
"""")"),2.758836605E7)</f>
        <v>27588366.05</v>
      </c>
      <c r="K11" s="21">
        <f>IFERROR(__xludf.DUMMYFUNCTION("IFERROR(GOOGLEFINANCE(C11, ""changepct"") / 100, """")"),0.0388)</f>
        <v>0.0388</v>
      </c>
      <c r="L11" s="21" t="str">
        <f>IFERROR(__xludf.DUMMYFUNCTION("IFERROR((GOOGLEFINANCE(C11, ""price"") / INDEX(GOOGLEFINANCE(C11, ""price"", TODAY()-7, TODAY()), 2, 2)) - 1, """")"),"")</f>
        <v/>
      </c>
      <c r="M11" s="21" t="str">
        <f>IFERROR(__xludf.DUMMYFUNCTION("IFERROR((GOOGLEFINANCE(C11, ""price"") / INDEX(GOOGLEFINANCE(C11, ""price"", EDATE(TODAY(), -1), TODAY()), 2, 2)) - 1, """")"),"")</f>
        <v/>
      </c>
      <c r="N11" s="21" t="str">
        <f>IFERROR(__xludf.DUMMYFUNCTION("IFERROR((GOOGLEFINANCE(C11, ""price"") / INDEX(GOOGLEFINANCE(C11, ""price"", EDATE(TODAY(), -3), TODAY()), 2, 2)) - 1, """")"),"")</f>
        <v/>
      </c>
      <c r="O11" s="21" t="str">
        <f>IFERROR(__xludf.DUMMYFUNCTION("IFERROR((GOOGLEFINANCE(C11, ""price"") / INDEX(GOOGLEFINANCE(C11, ""price"", EDATE(TODAY(), -6), TODAY()), 2, 2)) - 1, """")"),"")</f>
        <v/>
      </c>
      <c r="P11" s="21" t="str">
        <f>IFERROR(__xludf.DUMMYFUNCTION("IFERROR((GOOGLEFINANCE(C11, ""price"") / INDEX(GOOGLEFINANCE(C11, ""price"", EDATE(TODAY(), -12), TODAY()), 2, 2)) - 1, """")"),"")</f>
        <v/>
      </c>
      <c r="Q11" s="6" t="str">
        <f>IFERROR(__xludf.DUMMYFUNCTION("AVERAGE(QUERY(GOOGLEFINANCE(C11, ""price"", TODAY()-80, TODAY()), ""SELECT Col2 WHERE Col2 IS NOT NULL ORDER BY Col1 DESC LIMIT 50"", 0))"),"#N/A")</f>
        <v>#N/A</v>
      </c>
      <c r="R11" s="24" t="str">
        <f>IFERROR(__xludf.DUMMYFUNCTION("IFERROR(
  LET(
    data, QUERY(GOOGLEFINANCE(C11,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GOOGLEFINANCE(C11, ""price"")) * 100,
    IF(calc=0, G11, calc)
  ), 
G11)"),"#N/A")</f>
        <v>#N/A</v>
      </c>
      <c r="S11" s="8" t="s">
        <v>15</v>
      </c>
      <c r="T11" s="26" t="str">
        <f>IFERROR(__xludf.DUMMYFUNCTION("IFERROR(TRANSPOSE(QUERY(IFERROR(SORT(GOOGLEFINANCE(C11, ""price"", WORKDAY(TODAY(), -40), TODAY()), 1, FALSE)), ""select Col2 where Col2 is not null limit 22 label Col2 ''"", 0)), """")"),"")</f>
        <v/>
      </c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8"/>
      <c r="AO11" s="28"/>
      <c r="AP11" s="29"/>
      <c r="AQ11" s="29" t="str">
        <f t="shared" ref="AQ11:BL11" si="14">T11/T$2</f>
        <v>#N/A</v>
      </c>
      <c r="AR11" s="29" t="str">
        <f t="shared" si="14"/>
        <v>#DIV/0!</v>
      </c>
      <c r="AS11" s="29" t="str">
        <f t="shared" si="14"/>
        <v>#DIV/0!</v>
      </c>
      <c r="AT11" s="29" t="str">
        <f t="shared" si="14"/>
        <v>#DIV/0!</v>
      </c>
      <c r="AU11" s="29" t="str">
        <f t="shared" si="14"/>
        <v>#DIV/0!</v>
      </c>
      <c r="AV11" s="29" t="str">
        <f t="shared" si="14"/>
        <v>#DIV/0!</v>
      </c>
      <c r="AW11" s="29" t="str">
        <f t="shared" si="14"/>
        <v>#DIV/0!</v>
      </c>
      <c r="AX11" s="29" t="str">
        <f t="shared" si="14"/>
        <v>#DIV/0!</v>
      </c>
      <c r="AY11" s="29" t="str">
        <f t="shared" si="14"/>
        <v>#DIV/0!</v>
      </c>
      <c r="AZ11" s="29" t="str">
        <f t="shared" si="14"/>
        <v>#DIV/0!</v>
      </c>
      <c r="BA11" s="29" t="str">
        <f t="shared" si="14"/>
        <v>#DIV/0!</v>
      </c>
      <c r="BB11" s="29" t="str">
        <f t="shared" si="14"/>
        <v>#DIV/0!</v>
      </c>
      <c r="BC11" s="29" t="str">
        <f t="shared" si="14"/>
        <v>#DIV/0!</v>
      </c>
      <c r="BD11" s="29" t="str">
        <f t="shared" si="14"/>
        <v>#DIV/0!</v>
      </c>
      <c r="BE11" s="29" t="str">
        <f t="shared" si="14"/>
        <v>#DIV/0!</v>
      </c>
      <c r="BF11" s="29" t="str">
        <f t="shared" si="14"/>
        <v>#DIV/0!</v>
      </c>
      <c r="BG11" s="29" t="str">
        <f t="shared" si="14"/>
        <v>#DIV/0!</v>
      </c>
      <c r="BH11" s="29" t="str">
        <f t="shared" si="14"/>
        <v>#DIV/0!</v>
      </c>
      <c r="BI11" s="29" t="str">
        <f t="shared" si="14"/>
        <v>#DIV/0!</v>
      </c>
      <c r="BJ11" s="29" t="str">
        <f t="shared" si="14"/>
        <v>#DIV/0!</v>
      </c>
      <c r="BK11" s="29" t="str">
        <f t="shared" si="14"/>
        <v>#DIV/0!</v>
      </c>
      <c r="BL11" s="29" t="str">
        <f t="shared" si="14"/>
        <v>#DIV/0!</v>
      </c>
      <c r="BM11" s="29" t="str">
        <f t="shared" si="3"/>
        <v>#DIV/0!</v>
      </c>
    </row>
    <row r="12">
      <c r="A12" s="16" t="str">
        <f>IFERROR(__xludf.DUMMYFUNCTION("IFERROR(SPARKLINE(SORT(MAP(TRANSPOSE(AQ12:BL12), LAMBDA(val, IF(ISNUMBER(val), PERCENTRANK(AQ12:BL12, val)+0.01, 0))), SEQUENCE(COLUMNS(AQ12:BL12)), FALSE), {""charttype"",""column""; ""color"",""chartreuse""; ""ymin"", 0; ""ymax"", 1.01; ""highcolor"", "&amp;"""darkgreen""; ""lowcolor"", ""red""}), """")"),"")</f>
        <v/>
      </c>
      <c r="B12" s="17" t="str">
        <f t="shared" si="4"/>
        <v/>
      </c>
      <c r="C12" s="1" t="s">
        <v>2101</v>
      </c>
      <c r="D12" s="30" t="str">
        <f>IFERROR(__xludf.DUMMYFUNCTION("IFERROR(GOOGLEFINANCE(C12, ""NAME""))"),"Primo Brands Corp")</f>
        <v>Primo Brands Corp</v>
      </c>
      <c r="E12" s="30" t="s">
        <v>2083</v>
      </c>
      <c r="F12" s="33" t="str">
        <f>IFERROR(__xludf.DUMMYFUNCTION("( (GOOGLEFINANCE(C12, ""price"") - Q12) / Q12 ) / (R12 / 100)"),"Loading...")</f>
        <v>Loading...</v>
      </c>
      <c r="G12" s="20" t="str">
        <f>IFERROR(__xludf.DUMMYFUNCTION("AVERAGE(ARRAYFORMULA(100 * (QUERY(GOOGLEFINANCE(C12, ""high"", TODAY()-40, TODAY()), ""SELECT Col2 WHERE Col2 IS NOT NULL ORDER BY Col1 DESC LIMIT 20"", 0) / QUERY(GOOGLEFINANCE(C12, ""low"", TODAY()-40, TODAY()), ""SELECT Col2 WHERE Col2 IS NOT NULL ORDE"&amp;"R BY Col1 DESC LIMIT 20"", 0) - 1)))"),"#N/A")</f>
        <v>#N/A</v>
      </c>
      <c r="H12" s="35" t="str">
        <f t="shared" si="6"/>
        <v>Liquid</v>
      </c>
      <c r="I12" s="36" t="str">
        <f t="shared" si="7"/>
        <v>RVol Required</v>
      </c>
      <c r="J12" s="37">
        <f>IFERROR(__xludf.DUMMYFUNCTION("IFERROR(
  IF(C12="""",, 
    IFERROR(
      GOOGLEFINANCE(C12, ""price"") * GOOGLEFINANCE(C12, ""volumeavg""), 
      GOOGLEFINANCE(C12, ""price"") * AVERAGE(QUERY(GOOGLEFINANCE(C12, ""volume"", TODAY()-40, TODAY()), ""SELECT Col2 WHERE Col2 IS NOT NULL "&amp;"ORDER BY Col1 DESC LIMIT 20"", 0))
    )
  ), 
"""")"),8.876289492E7)</f>
        <v>88762894.92</v>
      </c>
      <c r="K12" s="21">
        <f>IFERROR(__xludf.DUMMYFUNCTION("IFERROR(GOOGLEFINANCE(C12, ""changepct"") / 100, """")"),0.039)</f>
        <v>0.039</v>
      </c>
      <c r="L12" s="21" t="str">
        <f>IFERROR(__xludf.DUMMYFUNCTION("IFERROR((GOOGLEFINANCE(C12, ""price"") / INDEX(GOOGLEFINANCE(C12, ""price"", TODAY()-7, TODAY()), 2, 2)) - 1, """")"),"")</f>
        <v/>
      </c>
      <c r="M12" s="21" t="str">
        <f>IFERROR(__xludf.DUMMYFUNCTION("IFERROR((GOOGLEFINANCE(C12, ""price"") / INDEX(GOOGLEFINANCE(C12, ""price"", EDATE(TODAY(), -1), TODAY()), 2, 2)) - 1, """")"),"")</f>
        <v/>
      </c>
      <c r="N12" s="21" t="str">
        <f>IFERROR(__xludf.DUMMYFUNCTION("IFERROR((GOOGLEFINANCE(C12, ""price"") / INDEX(GOOGLEFINANCE(C12, ""price"", EDATE(TODAY(), -3), TODAY()), 2, 2)) - 1, """")"),"")</f>
        <v/>
      </c>
      <c r="O12" s="21" t="str">
        <f>IFERROR(__xludf.DUMMYFUNCTION("IFERROR((GOOGLEFINANCE(C12, ""price"") / INDEX(GOOGLEFINANCE(C12, ""price"", EDATE(TODAY(), -6), TODAY()), 2, 2)) - 1, """")"),"")</f>
        <v/>
      </c>
      <c r="P12" s="21" t="str">
        <f>IFERROR(__xludf.DUMMYFUNCTION("IFERROR((GOOGLEFINANCE(C12, ""price"") / INDEX(GOOGLEFINANCE(C12, ""price"", EDATE(TODAY(), -12), TODAY()), 2, 2)) - 1, """")"),"")</f>
        <v/>
      </c>
      <c r="Q12" s="6" t="str">
        <f>IFERROR(__xludf.DUMMYFUNCTION("AVERAGE(QUERY(GOOGLEFINANCE(C12, ""price"", TODAY()-80, TODAY()), ""SELECT Col2 WHERE Col2 IS NOT NULL ORDER BY Col1 DESC LIMIT 50"", 0))"),"#N/A")</f>
        <v>#N/A</v>
      </c>
      <c r="R12" s="24" t="str">
        <f>IFERROR(__xludf.DUMMYFUNCTION("IFERROR(
  LET(
    data, QUERY(GOOGLEFINANCE(C12,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GOOGLEFINANCE(C12, ""price"")) * 100,
    IF(calc=0, G12, calc)
  ), 
G12)"),"#N/A")</f>
        <v>#N/A</v>
      </c>
      <c r="S12" s="8" t="s">
        <v>15</v>
      </c>
      <c r="T12" s="26" t="str">
        <f>IFERROR(__xludf.DUMMYFUNCTION("IFERROR(TRANSPOSE(QUERY(IFERROR(SORT(GOOGLEFINANCE(C12, ""price"", WORKDAY(TODAY(), -40), TODAY()), 1, FALSE)), ""select Col2 where Col2 is not null limit 22 label Col2 ''"", 0)), """")"),"")</f>
        <v/>
      </c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8"/>
      <c r="AO12" s="28"/>
      <c r="AP12" s="29"/>
      <c r="AQ12" s="29" t="str">
        <f t="shared" ref="AQ12:BL12" si="15">T12/T$2</f>
        <v>#N/A</v>
      </c>
      <c r="AR12" s="29" t="str">
        <f t="shared" si="15"/>
        <v>#DIV/0!</v>
      </c>
      <c r="AS12" s="29" t="str">
        <f t="shared" si="15"/>
        <v>#DIV/0!</v>
      </c>
      <c r="AT12" s="29" t="str">
        <f t="shared" si="15"/>
        <v>#DIV/0!</v>
      </c>
      <c r="AU12" s="29" t="str">
        <f t="shared" si="15"/>
        <v>#DIV/0!</v>
      </c>
      <c r="AV12" s="29" t="str">
        <f t="shared" si="15"/>
        <v>#DIV/0!</v>
      </c>
      <c r="AW12" s="29" t="str">
        <f t="shared" si="15"/>
        <v>#DIV/0!</v>
      </c>
      <c r="AX12" s="29" t="str">
        <f t="shared" si="15"/>
        <v>#DIV/0!</v>
      </c>
      <c r="AY12" s="29" t="str">
        <f t="shared" si="15"/>
        <v>#DIV/0!</v>
      </c>
      <c r="AZ12" s="29" t="str">
        <f t="shared" si="15"/>
        <v>#DIV/0!</v>
      </c>
      <c r="BA12" s="29" t="str">
        <f t="shared" si="15"/>
        <v>#DIV/0!</v>
      </c>
      <c r="BB12" s="29" t="str">
        <f t="shared" si="15"/>
        <v>#DIV/0!</v>
      </c>
      <c r="BC12" s="29" t="str">
        <f t="shared" si="15"/>
        <v>#DIV/0!</v>
      </c>
      <c r="BD12" s="29" t="str">
        <f t="shared" si="15"/>
        <v>#DIV/0!</v>
      </c>
      <c r="BE12" s="29" t="str">
        <f t="shared" si="15"/>
        <v>#DIV/0!</v>
      </c>
      <c r="BF12" s="29" t="str">
        <f t="shared" si="15"/>
        <v>#DIV/0!</v>
      </c>
      <c r="BG12" s="29" t="str">
        <f t="shared" si="15"/>
        <v>#DIV/0!</v>
      </c>
      <c r="BH12" s="29" t="str">
        <f t="shared" si="15"/>
        <v>#DIV/0!</v>
      </c>
      <c r="BI12" s="29" t="str">
        <f t="shared" si="15"/>
        <v>#DIV/0!</v>
      </c>
      <c r="BJ12" s="29" t="str">
        <f t="shared" si="15"/>
        <v>#DIV/0!</v>
      </c>
      <c r="BK12" s="29" t="str">
        <f t="shared" si="15"/>
        <v>#DIV/0!</v>
      </c>
      <c r="BL12" s="29" t="str">
        <f t="shared" si="15"/>
        <v>#DIV/0!</v>
      </c>
      <c r="BM12" s="29" t="str">
        <f t="shared" si="3"/>
        <v>#DIV/0!</v>
      </c>
    </row>
    <row r="13">
      <c r="A13" s="16" t="str">
        <f>IFERROR(__xludf.DUMMYFUNCTION("IFERROR(SPARKLINE(SORT(MAP(TRANSPOSE(AQ13:BL13), LAMBDA(val, IF(ISNUMBER(val), PERCENTRANK(AQ13:BL13, val)+0.01, 0))), SEQUENCE(COLUMNS(AQ13:BL13)), FALSE), {""charttype"",""column""; ""color"",""chartreuse""; ""ymin"", 0; ""ymax"", 1.01; ""highcolor"", "&amp;"""darkgreen""; ""lowcolor"", ""red""}), """")"),"")</f>
        <v/>
      </c>
      <c r="B13" s="17" t="str">
        <f t="shared" si="4"/>
        <v/>
      </c>
      <c r="C13" s="1" t="s">
        <v>2105</v>
      </c>
      <c r="D13" s="30" t="str">
        <f>IFERROR(__xludf.DUMMYFUNCTION("IFERROR(GOOGLEFINANCE(C13, ""NAME""))"),"Fomento Economico Mexcn SAB de CV ADR")</f>
        <v>Fomento Economico Mexcn SAB de CV ADR</v>
      </c>
      <c r="E13" s="30" t="s">
        <v>2106</v>
      </c>
      <c r="F13" s="33" t="str">
        <f>IFERROR(__xludf.DUMMYFUNCTION("( (GOOGLEFINANCE(C13, ""price"") - Q13) / Q13 ) / (R13 / 100)"),"Loading...")</f>
        <v>Loading...</v>
      </c>
      <c r="G13" s="20" t="str">
        <f>IFERROR(__xludf.DUMMYFUNCTION("AVERAGE(ARRAYFORMULA(100 * (QUERY(GOOGLEFINANCE(C13, ""high"", TODAY()-40, TODAY()), ""SELECT Col2 WHERE Col2 IS NOT NULL ORDER BY Col1 DESC LIMIT 20"", 0) / QUERY(GOOGLEFINANCE(C13, ""low"", TODAY()-40, TODAY()), ""SELECT Col2 WHERE Col2 IS NOT NULL ORDE"&amp;"R BY Col1 DESC LIMIT 20"", 0) - 1)))"),"#N/A")</f>
        <v>#N/A</v>
      </c>
      <c r="H13" s="35" t="str">
        <f t="shared" si="6"/>
        <v>Liquid</v>
      </c>
      <c r="I13" s="36" t="str">
        <f t="shared" si="7"/>
        <v>RVol Required</v>
      </c>
      <c r="J13" s="37">
        <f>IFERROR(__xludf.DUMMYFUNCTION("IFERROR(
  IF(C13="""",, 
    IFERROR(
      GOOGLEFINANCE(C13, ""price"") * GOOGLEFINANCE(C13, ""volumeavg""), 
      GOOGLEFINANCE(C13, ""price"") * AVERAGE(QUERY(GOOGLEFINANCE(C13, ""volume"", TODAY()-40, TODAY()), ""SELECT Col2 WHERE Col2 IS NOT NULL "&amp;"ORDER BY Col1 DESC LIMIT 20"", 0))
    )
  ), 
"""")"),5.61691059E7)</f>
        <v>56169105.9</v>
      </c>
      <c r="K13" s="21">
        <f>IFERROR(__xludf.DUMMYFUNCTION("IFERROR(GOOGLEFINANCE(C13, ""changepct"") / 100, """")"),0.0452)</f>
        <v>0.0452</v>
      </c>
      <c r="L13" s="21" t="str">
        <f>IFERROR(__xludf.DUMMYFUNCTION("IFERROR((GOOGLEFINANCE(C13, ""price"") / INDEX(GOOGLEFINANCE(C13, ""price"", TODAY()-7, TODAY()), 2, 2)) - 1, """")"),"")</f>
        <v/>
      </c>
      <c r="M13" s="21" t="str">
        <f>IFERROR(__xludf.DUMMYFUNCTION("IFERROR((GOOGLEFINANCE(C13, ""price"") / INDEX(GOOGLEFINANCE(C13, ""price"", EDATE(TODAY(), -1), TODAY()), 2, 2)) - 1, """")"),"")</f>
        <v/>
      </c>
      <c r="N13" s="21" t="str">
        <f>IFERROR(__xludf.DUMMYFUNCTION("IFERROR((GOOGLEFINANCE(C13, ""price"") / INDEX(GOOGLEFINANCE(C13, ""price"", EDATE(TODAY(), -3), TODAY()), 2, 2)) - 1, """")"),"")</f>
        <v/>
      </c>
      <c r="O13" s="21" t="str">
        <f>IFERROR(__xludf.DUMMYFUNCTION("IFERROR((GOOGLEFINANCE(C13, ""price"") / INDEX(GOOGLEFINANCE(C13, ""price"", EDATE(TODAY(), -6), TODAY()), 2, 2)) - 1, """")"),"")</f>
        <v/>
      </c>
      <c r="P13" s="21" t="str">
        <f>IFERROR(__xludf.DUMMYFUNCTION("IFERROR((GOOGLEFINANCE(C13, ""price"") / INDEX(GOOGLEFINANCE(C13, ""price"", EDATE(TODAY(), -12), TODAY()), 2, 2)) - 1, """")"),"")</f>
        <v/>
      </c>
      <c r="Q13" s="6" t="str">
        <f>IFERROR(__xludf.DUMMYFUNCTION("AVERAGE(QUERY(GOOGLEFINANCE(C13, ""price"", TODAY()-80, TODAY()), ""SELECT Col2 WHERE Col2 IS NOT NULL ORDER BY Col1 DESC LIMIT 50"", 0))"),"#N/A")</f>
        <v>#N/A</v>
      </c>
      <c r="R13" s="24" t="str">
        <f>IFERROR(__xludf.DUMMYFUNCTION("IFERROR(
  LET(
    data, QUERY(GOOGLEFINANCE(C13,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GOOGLEFINANCE(C13, ""price"")) * 100,
    IF(calc=0, G13, calc)
  ), 
G13)"),"#N/A")</f>
        <v>#N/A</v>
      </c>
      <c r="S13" s="8" t="s">
        <v>15</v>
      </c>
      <c r="T13" s="26" t="str">
        <f>IFERROR(__xludf.DUMMYFUNCTION("IFERROR(TRANSPOSE(QUERY(IFERROR(SORT(GOOGLEFINANCE(C13, ""price"", WORKDAY(TODAY(), -40), TODAY()), 1, FALSE)), ""select Col2 where Col2 is not null limit 22 label Col2 ''"", 0)), """")"),"")</f>
        <v/>
      </c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8"/>
      <c r="AO13" s="28"/>
      <c r="AP13" s="29"/>
      <c r="AQ13" s="29" t="str">
        <f t="shared" ref="AQ13:BL13" si="16">T13/T$2</f>
        <v>#N/A</v>
      </c>
      <c r="AR13" s="29" t="str">
        <f t="shared" si="16"/>
        <v>#DIV/0!</v>
      </c>
      <c r="AS13" s="29" t="str">
        <f t="shared" si="16"/>
        <v>#DIV/0!</v>
      </c>
      <c r="AT13" s="29" t="str">
        <f t="shared" si="16"/>
        <v>#DIV/0!</v>
      </c>
      <c r="AU13" s="29" t="str">
        <f t="shared" si="16"/>
        <v>#DIV/0!</v>
      </c>
      <c r="AV13" s="29" t="str">
        <f t="shared" si="16"/>
        <v>#DIV/0!</v>
      </c>
      <c r="AW13" s="29" t="str">
        <f t="shared" si="16"/>
        <v>#DIV/0!</v>
      </c>
      <c r="AX13" s="29" t="str">
        <f t="shared" si="16"/>
        <v>#DIV/0!</v>
      </c>
      <c r="AY13" s="29" t="str">
        <f t="shared" si="16"/>
        <v>#DIV/0!</v>
      </c>
      <c r="AZ13" s="29" t="str">
        <f t="shared" si="16"/>
        <v>#DIV/0!</v>
      </c>
      <c r="BA13" s="29" t="str">
        <f t="shared" si="16"/>
        <v>#DIV/0!</v>
      </c>
      <c r="BB13" s="29" t="str">
        <f t="shared" si="16"/>
        <v>#DIV/0!</v>
      </c>
      <c r="BC13" s="29" t="str">
        <f t="shared" si="16"/>
        <v>#DIV/0!</v>
      </c>
      <c r="BD13" s="29" t="str">
        <f t="shared" si="16"/>
        <v>#DIV/0!</v>
      </c>
      <c r="BE13" s="29" t="str">
        <f t="shared" si="16"/>
        <v>#DIV/0!</v>
      </c>
      <c r="BF13" s="29" t="str">
        <f t="shared" si="16"/>
        <v>#DIV/0!</v>
      </c>
      <c r="BG13" s="29" t="str">
        <f t="shared" si="16"/>
        <v>#DIV/0!</v>
      </c>
      <c r="BH13" s="29" t="str">
        <f t="shared" si="16"/>
        <v>#DIV/0!</v>
      </c>
      <c r="BI13" s="29" t="str">
        <f t="shared" si="16"/>
        <v>#DIV/0!</v>
      </c>
      <c r="BJ13" s="29" t="str">
        <f t="shared" si="16"/>
        <v>#DIV/0!</v>
      </c>
      <c r="BK13" s="29" t="str">
        <f t="shared" si="16"/>
        <v>#DIV/0!</v>
      </c>
      <c r="BL13" s="29" t="str">
        <f t="shared" si="16"/>
        <v>#DIV/0!</v>
      </c>
      <c r="BM13" s="29" t="str">
        <f t="shared" si="3"/>
        <v>#DIV/0!</v>
      </c>
    </row>
    <row r="14">
      <c r="A14" s="16" t="str">
        <f>IFERROR(__xludf.DUMMYFUNCTION("IFERROR(SPARKLINE(SORT(MAP(TRANSPOSE(AQ14:BL14), LAMBDA(val, IF(ISNUMBER(val), PERCENTRANK(AQ14:BL14, val)+0.01, 0))), SEQUENCE(COLUMNS(AQ14:BL14)), FALSE), {""charttype"",""column""; ""color"",""chartreuse""; ""ymin"", 0; ""ymax"", 1.01; ""highcolor"", "&amp;"""darkgreen""; ""lowcolor"", ""red""}), """")"),"")</f>
        <v/>
      </c>
      <c r="B14" s="17" t="str">
        <f t="shared" si="4"/>
        <v/>
      </c>
      <c r="C14" s="1" t="s">
        <v>2110</v>
      </c>
      <c r="D14" s="30" t="str">
        <f>IFERROR(__xludf.DUMMYFUNCTION("IFERROR(GOOGLEFINANCE(C14, ""NAME""))"),"Youdao Inc - ADR")</f>
        <v>Youdao Inc - ADR</v>
      </c>
      <c r="E14" s="30" t="s">
        <v>2069</v>
      </c>
      <c r="F14" s="33" t="str">
        <f>IFERROR(__xludf.DUMMYFUNCTION("( (GOOGLEFINANCE(C14, ""price"") - Q14) / Q14 ) / (R14 / 100)"),"Loading...")</f>
        <v>Loading...</v>
      </c>
      <c r="G14" s="20" t="str">
        <f>IFERROR(__xludf.DUMMYFUNCTION("AVERAGE(ARRAYFORMULA(100 * (QUERY(GOOGLEFINANCE(C14, ""high"", TODAY()-40, TODAY()), ""SELECT Col2 WHERE Col2 IS NOT NULL ORDER BY Col1 DESC LIMIT 20"", 0) / QUERY(GOOGLEFINANCE(C14, ""low"", TODAY()-40, TODAY()), ""SELECT Col2 WHERE Col2 IS NOT NULL ORDE"&amp;"R BY Col1 DESC LIMIT 20"", 0) - 1)))"),"#N/A")</f>
        <v>#N/A</v>
      </c>
      <c r="H14" s="35" t="str">
        <f t="shared" si="6"/>
        <v>Illiquid</v>
      </c>
      <c r="I14" s="36" t="str">
        <f t="shared" si="7"/>
        <v>RVol Required</v>
      </c>
      <c r="J14" s="37">
        <f>IFERROR(__xludf.DUMMYFUNCTION("IFERROR(
  IF(C14="""",, 
    IFERROR(
      GOOGLEFINANCE(C14, ""price"") * GOOGLEFINANCE(C14, ""volumeavg""), 
      GOOGLEFINANCE(C14, ""price"") * AVERAGE(QUERY(GOOGLEFINANCE(C14, ""volume"", TODAY()-40, TODAY()), ""SELECT Col2 WHERE Col2 IS NOT NULL "&amp;"ORDER BY Col1 DESC LIMIT 20"", 0))
    )
  ), 
"""")"),817708.48)</f>
        <v>817708.48</v>
      </c>
      <c r="K14" s="21">
        <f>IFERROR(__xludf.DUMMYFUNCTION("IFERROR(GOOGLEFINANCE(C14, ""changepct"") / 100, """")"),-0.0189)</f>
        <v>-0.0189</v>
      </c>
      <c r="L14" s="21" t="str">
        <f>IFERROR(__xludf.DUMMYFUNCTION("IFERROR((GOOGLEFINANCE(C14, ""price"") / INDEX(GOOGLEFINANCE(C14, ""price"", TODAY()-7, TODAY()), 2, 2)) - 1, """")"),"")</f>
        <v/>
      </c>
      <c r="M14" s="21" t="str">
        <f>IFERROR(__xludf.DUMMYFUNCTION("IFERROR((GOOGLEFINANCE(C14, ""price"") / INDEX(GOOGLEFINANCE(C14, ""price"", EDATE(TODAY(), -1), TODAY()), 2, 2)) - 1, """")"),"")</f>
        <v/>
      </c>
      <c r="N14" s="21" t="str">
        <f>IFERROR(__xludf.DUMMYFUNCTION("IFERROR((GOOGLEFINANCE(C14, ""price"") / INDEX(GOOGLEFINANCE(C14, ""price"", EDATE(TODAY(), -3), TODAY()), 2, 2)) - 1, """")"),"")</f>
        <v/>
      </c>
      <c r="O14" s="21" t="str">
        <f>IFERROR(__xludf.DUMMYFUNCTION("IFERROR((GOOGLEFINANCE(C14, ""price"") / INDEX(GOOGLEFINANCE(C14, ""price"", EDATE(TODAY(), -6), TODAY()), 2, 2)) - 1, """")"),"")</f>
        <v/>
      </c>
      <c r="P14" s="21" t="str">
        <f>IFERROR(__xludf.DUMMYFUNCTION("IFERROR((GOOGLEFINANCE(C14, ""price"") / INDEX(GOOGLEFINANCE(C14, ""price"", EDATE(TODAY(), -12), TODAY()), 2, 2)) - 1, """")"),"")</f>
        <v/>
      </c>
      <c r="Q14" s="6" t="str">
        <f>IFERROR(__xludf.DUMMYFUNCTION("AVERAGE(QUERY(GOOGLEFINANCE(C14, ""price"", TODAY()-80, TODAY()), ""SELECT Col2 WHERE Col2 IS NOT NULL ORDER BY Col1 DESC LIMIT 50"", 0))"),"#N/A")</f>
        <v>#N/A</v>
      </c>
      <c r="R14" s="24" t="str">
        <f>IFERROR(__xludf.DUMMYFUNCTION("IFERROR(
  LET(
    data, QUERY(GOOGLEFINANCE(C14,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GOOGLEFINANCE(C14, ""price"")) * 100,
    IF(calc=0, G14, calc)
  ), 
G14)"),"#N/A")</f>
        <v>#N/A</v>
      </c>
      <c r="S14" s="8" t="s">
        <v>15</v>
      </c>
      <c r="T14" s="26" t="str">
        <f>IFERROR(__xludf.DUMMYFUNCTION("IFERROR(TRANSPOSE(QUERY(IFERROR(SORT(GOOGLEFINANCE(C14, ""price"", WORKDAY(TODAY(), -40), TODAY()), 1, FALSE)), ""select Col2 where Col2 is not null limit 22 label Col2 ''"", 0)), """")"),"")</f>
        <v/>
      </c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8"/>
      <c r="AO14" s="28"/>
      <c r="AP14" s="29"/>
      <c r="AQ14" s="29" t="str">
        <f t="shared" ref="AQ14:BL14" si="17">T14/T$2</f>
        <v>#N/A</v>
      </c>
      <c r="AR14" s="29" t="str">
        <f t="shared" si="17"/>
        <v>#DIV/0!</v>
      </c>
      <c r="AS14" s="29" t="str">
        <f t="shared" si="17"/>
        <v>#DIV/0!</v>
      </c>
      <c r="AT14" s="29" t="str">
        <f t="shared" si="17"/>
        <v>#DIV/0!</v>
      </c>
      <c r="AU14" s="29" t="str">
        <f t="shared" si="17"/>
        <v>#DIV/0!</v>
      </c>
      <c r="AV14" s="29" t="str">
        <f t="shared" si="17"/>
        <v>#DIV/0!</v>
      </c>
      <c r="AW14" s="29" t="str">
        <f t="shared" si="17"/>
        <v>#DIV/0!</v>
      </c>
      <c r="AX14" s="29" t="str">
        <f t="shared" si="17"/>
        <v>#DIV/0!</v>
      </c>
      <c r="AY14" s="29" t="str">
        <f t="shared" si="17"/>
        <v>#DIV/0!</v>
      </c>
      <c r="AZ14" s="29" t="str">
        <f t="shared" si="17"/>
        <v>#DIV/0!</v>
      </c>
      <c r="BA14" s="29" t="str">
        <f t="shared" si="17"/>
        <v>#DIV/0!</v>
      </c>
      <c r="BB14" s="29" t="str">
        <f t="shared" si="17"/>
        <v>#DIV/0!</v>
      </c>
      <c r="BC14" s="29" t="str">
        <f t="shared" si="17"/>
        <v>#DIV/0!</v>
      </c>
      <c r="BD14" s="29" t="str">
        <f t="shared" si="17"/>
        <v>#DIV/0!</v>
      </c>
      <c r="BE14" s="29" t="str">
        <f t="shared" si="17"/>
        <v>#DIV/0!</v>
      </c>
      <c r="BF14" s="29" t="str">
        <f t="shared" si="17"/>
        <v>#DIV/0!</v>
      </c>
      <c r="BG14" s="29" t="str">
        <f t="shared" si="17"/>
        <v>#DIV/0!</v>
      </c>
      <c r="BH14" s="29" t="str">
        <f t="shared" si="17"/>
        <v>#DIV/0!</v>
      </c>
      <c r="BI14" s="29" t="str">
        <f t="shared" si="17"/>
        <v>#DIV/0!</v>
      </c>
      <c r="BJ14" s="29" t="str">
        <f t="shared" si="17"/>
        <v>#DIV/0!</v>
      </c>
      <c r="BK14" s="29" t="str">
        <f t="shared" si="17"/>
        <v>#DIV/0!</v>
      </c>
      <c r="BL14" s="29" t="str">
        <f t="shared" si="17"/>
        <v>#DIV/0!</v>
      </c>
      <c r="BM14" s="29" t="str">
        <f t="shared" si="3"/>
        <v>#DIV/0!</v>
      </c>
    </row>
    <row r="15">
      <c r="A15" s="16" t="str">
        <f>IFERROR(__xludf.DUMMYFUNCTION("IFERROR(SPARKLINE(SORT(MAP(TRANSPOSE(AQ15:BL15), LAMBDA(val, IF(ISNUMBER(val), PERCENTRANK(AQ15:BL15, val)+0.01, 0))), SEQUENCE(COLUMNS(AQ15:BL15)), FALSE), {""charttype"",""column""; ""color"",""chartreuse""; ""ymin"", 0; ""ymax"", 1.01; ""highcolor"", "&amp;"""darkgreen""; ""lowcolor"", ""red""}), """")"),"")</f>
        <v/>
      </c>
      <c r="B15" s="17" t="str">
        <f t="shared" si="4"/>
        <v/>
      </c>
      <c r="C15" s="1" t="s">
        <v>2114</v>
      </c>
      <c r="D15" s="30" t="str">
        <f>IFERROR(__xludf.DUMMYFUNCTION("IFERROR(GOOGLEFINANCE(C15, ""NAME""))"),"Archer-Daniels-Midland Co")</f>
        <v>Archer-Daniels-Midland Co</v>
      </c>
      <c r="E15" s="30" t="s">
        <v>2115</v>
      </c>
      <c r="F15" s="33" t="str">
        <f>IFERROR(__xludf.DUMMYFUNCTION("( (GOOGLEFINANCE(C15, ""price"") - Q15) / Q15 ) / (R15 / 100)"),"Loading...")</f>
        <v>Loading...</v>
      </c>
      <c r="G15" s="20" t="str">
        <f>IFERROR(__xludf.DUMMYFUNCTION("AVERAGE(ARRAYFORMULA(100 * (QUERY(GOOGLEFINANCE(C15, ""high"", TODAY()-40, TODAY()), ""SELECT Col2 WHERE Col2 IS NOT NULL ORDER BY Col1 DESC LIMIT 20"", 0) / QUERY(GOOGLEFINANCE(C15, ""low"", TODAY()-40, TODAY()), ""SELECT Col2 WHERE Col2 IS NOT NULL ORDE"&amp;"R BY Col1 DESC LIMIT 20"", 0) - 1)))"),"#N/A")</f>
        <v>#N/A</v>
      </c>
      <c r="H15" s="35" t="str">
        <f t="shared" si="6"/>
        <v>Liquid</v>
      </c>
      <c r="I15" s="36" t="str">
        <f t="shared" si="7"/>
        <v>RVol Required</v>
      </c>
      <c r="J15" s="37">
        <f>IFERROR(__xludf.DUMMYFUNCTION("IFERROR(
  IF(C15="""",, 
    IFERROR(
      GOOGLEFINANCE(C15, ""price"") * GOOGLEFINANCE(C15, ""volumeavg""), 
      GOOGLEFINANCE(C15, ""price"") * AVERAGE(QUERY(GOOGLEFINANCE(C15, ""volume"", TODAY()-40, TODAY()), ""SELECT Col2 WHERE Col2 IS NOT NULL "&amp;"ORDER BY Col1 DESC LIMIT 20"", 0))
    )
  ), 
"""")"),2.8602184215E8)</f>
        <v>286021842.2</v>
      </c>
      <c r="K15" s="21">
        <f>IFERROR(__xludf.DUMMYFUNCTION("IFERROR(GOOGLEFINANCE(C15, ""changepct"") / 100, """")"),-0.0039000000000000003)</f>
        <v>-0.0039</v>
      </c>
      <c r="L15" s="21" t="str">
        <f>IFERROR(__xludf.DUMMYFUNCTION("IFERROR((GOOGLEFINANCE(C15, ""price"") / INDEX(GOOGLEFINANCE(C15, ""price"", TODAY()-7, TODAY()), 2, 2)) - 1, """")"),"")</f>
        <v/>
      </c>
      <c r="M15" s="21" t="str">
        <f>IFERROR(__xludf.DUMMYFUNCTION("IFERROR((GOOGLEFINANCE(C15, ""price"") / INDEX(GOOGLEFINANCE(C15, ""price"", EDATE(TODAY(), -1), TODAY()), 2, 2)) - 1, """")"),"")</f>
        <v/>
      </c>
      <c r="N15" s="21" t="str">
        <f>IFERROR(__xludf.DUMMYFUNCTION("IFERROR((GOOGLEFINANCE(C15, ""price"") / INDEX(GOOGLEFINANCE(C15, ""price"", EDATE(TODAY(), -3), TODAY()), 2, 2)) - 1, """")"),"")</f>
        <v/>
      </c>
      <c r="O15" s="21" t="str">
        <f>IFERROR(__xludf.DUMMYFUNCTION("IFERROR((GOOGLEFINANCE(C15, ""price"") / INDEX(GOOGLEFINANCE(C15, ""price"", EDATE(TODAY(), -6), TODAY()), 2, 2)) - 1, """")"),"")</f>
        <v/>
      </c>
      <c r="P15" s="21" t="str">
        <f>IFERROR(__xludf.DUMMYFUNCTION("IFERROR((GOOGLEFINANCE(C15, ""price"") / INDEX(GOOGLEFINANCE(C15, ""price"", EDATE(TODAY(), -12), TODAY()), 2, 2)) - 1, """")"),"")</f>
        <v/>
      </c>
      <c r="Q15" s="6" t="str">
        <f>IFERROR(__xludf.DUMMYFUNCTION("AVERAGE(QUERY(GOOGLEFINANCE(C15, ""price"", TODAY()-80, TODAY()), ""SELECT Col2 WHERE Col2 IS NOT NULL ORDER BY Col1 DESC LIMIT 50"", 0))"),"#N/A")</f>
        <v>#N/A</v>
      </c>
      <c r="R15" s="24" t="str">
        <f>IFERROR(__xludf.DUMMYFUNCTION("IFERROR(
  LET(
    data, QUERY(GOOGLEFINANCE(C15,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GOOGLEFINANCE(C15, ""price"")) * 100,
    IF(calc=0, G15, calc)
  ), 
G15)"),"#N/A")</f>
        <v>#N/A</v>
      </c>
      <c r="S15" s="8" t="s">
        <v>15</v>
      </c>
      <c r="T15" s="26" t="str">
        <f>IFERROR(__xludf.DUMMYFUNCTION("IFERROR(TRANSPOSE(QUERY(IFERROR(SORT(GOOGLEFINANCE(C15, ""price"", WORKDAY(TODAY(), -40), TODAY()), 1, FALSE)), ""select Col2 where Col2 is not null limit 22 label Col2 ''"", 0)), """")"),"")</f>
        <v/>
      </c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8"/>
      <c r="AO15" s="28"/>
      <c r="AP15" s="29"/>
      <c r="AQ15" s="29" t="str">
        <f t="shared" ref="AQ15:BL15" si="18">T15/T$2</f>
        <v>#N/A</v>
      </c>
      <c r="AR15" s="29" t="str">
        <f t="shared" si="18"/>
        <v>#DIV/0!</v>
      </c>
      <c r="AS15" s="29" t="str">
        <f t="shared" si="18"/>
        <v>#DIV/0!</v>
      </c>
      <c r="AT15" s="29" t="str">
        <f t="shared" si="18"/>
        <v>#DIV/0!</v>
      </c>
      <c r="AU15" s="29" t="str">
        <f t="shared" si="18"/>
        <v>#DIV/0!</v>
      </c>
      <c r="AV15" s="29" t="str">
        <f t="shared" si="18"/>
        <v>#DIV/0!</v>
      </c>
      <c r="AW15" s="29" t="str">
        <f t="shared" si="18"/>
        <v>#DIV/0!</v>
      </c>
      <c r="AX15" s="29" t="str">
        <f t="shared" si="18"/>
        <v>#DIV/0!</v>
      </c>
      <c r="AY15" s="29" t="str">
        <f t="shared" si="18"/>
        <v>#DIV/0!</v>
      </c>
      <c r="AZ15" s="29" t="str">
        <f t="shared" si="18"/>
        <v>#DIV/0!</v>
      </c>
      <c r="BA15" s="29" t="str">
        <f t="shared" si="18"/>
        <v>#DIV/0!</v>
      </c>
      <c r="BB15" s="29" t="str">
        <f t="shared" si="18"/>
        <v>#DIV/0!</v>
      </c>
      <c r="BC15" s="29" t="str">
        <f t="shared" si="18"/>
        <v>#DIV/0!</v>
      </c>
      <c r="BD15" s="29" t="str">
        <f t="shared" si="18"/>
        <v>#DIV/0!</v>
      </c>
      <c r="BE15" s="29" t="str">
        <f t="shared" si="18"/>
        <v>#DIV/0!</v>
      </c>
      <c r="BF15" s="29" t="str">
        <f t="shared" si="18"/>
        <v>#DIV/0!</v>
      </c>
      <c r="BG15" s="29" t="str">
        <f t="shared" si="18"/>
        <v>#DIV/0!</v>
      </c>
      <c r="BH15" s="29" t="str">
        <f t="shared" si="18"/>
        <v>#DIV/0!</v>
      </c>
      <c r="BI15" s="29" t="str">
        <f t="shared" si="18"/>
        <v>#DIV/0!</v>
      </c>
      <c r="BJ15" s="29" t="str">
        <f t="shared" si="18"/>
        <v>#DIV/0!</v>
      </c>
      <c r="BK15" s="29" t="str">
        <f t="shared" si="18"/>
        <v>#DIV/0!</v>
      </c>
      <c r="BL15" s="29" t="str">
        <f t="shared" si="18"/>
        <v>#DIV/0!</v>
      </c>
      <c r="BM15" s="29" t="str">
        <f t="shared" si="3"/>
        <v>#DIV/0!</v>
      </c>
    </row>
    <row r="16">
      <c r="A16" s="16" t="str">
        <f>IFERROR(__xludf.DUMMYFUNCTION("IFERROR(SPARKLINE(SORT(MAP(TRANSPOSE(AQ16:BL16), LAMBDA(val, IF(ISNUMBER(val), PERCENTRANK(AQ16:BL16, val)+0.01, 0))), SEQUENCE(COLUMNS(AQ16:BL16)), FALSE), {""charttype"",""column""; ""color"",""chartreuse""; ""ymin"", 0; ""ymax"", 1.01; ""highcolor"", "&amp;"""darkgreen""; ""lowcolor"", ""red""}), """")"),"")</f>
        <v/>
      </c>
      <c r="B16" s="17" t="str">
        <f t="shared" si="4"/>
        <v/>
      </c>
      <c r="C16" s="1" t="s">
        <v>2119</v>
      </c>
      <c r="D16" s="30" t="str">
        <f>IFERROR(__xludf.DUMMYFUNCTION("IFERROR(GOOGLEFINANCE(C16, ""NAME""))"),"Fabege AB")</f>
        <v>Fabege AB</v>
      </c>
      <c r="E16" s="30" t="s">
        <v>2120</v>
      </c>
      <c r="F16" s="33" t="str">
        <f>IFERROR(__xludf.DUMMYFUNCTION("( (GOOGLEFINANCE(C16, ""price"") - Q16) / Q16 ) / (R16 / 100)"),"Loading...")</f>
        <v>Loading...</v>
      </c>
      <c r="G16" s="20" t="str">
        <f>IFERROR(__xludf.DUMMYFUNCTION("AVERAGE(ARRAYFORMULA(100 * (QUERY(GOOGLEFINANCE(C16, ""high"", TODAY()-40, TODAY()), ""SELECT Col2 WHERE Col2 IS NOT NULL ORDER BY Col1 DESC LIMIT 20"", 0) / QUERY(GOOGLEFINANCE(C16, ""low"", TODAY()-40, TODAY()), ""SELECT Col2 WHERE Col2 IS NOT NULL ORDE"&amp;"R BY Col1 DESC LIMIT 20"", 0) - 1)))"),"#N/A")</f>
        <v>#N/A</v>
      </c>
      <c r="H16" s="35" t="str">
        <f t="shared" si="6"/>
        <v>Illiquid</v>
      </c>
      <c r="I16" s="36" t="str">
        <f t="shared" si="7"/>
        <v>RVol Required</v>
      </c>
      <c r="J16" s="37">
        <f>IFERROR(__xludf.DUMMYFUNCTION("IFERROR(
  IF(C16="""",, 
    IFERROR(
      GOOGLEFINANCE(C16, ""price"") * GOOGLEFINANCE(C16, ""volumeavg""), 
      GOOGLEFINANCE(C16, ""price"") * AVERAGE(QUERY(GOOGLEFINANCE(C16, ""volume"", TODAY()-40, TODAY()), ""SELECT Col2 WHERE Col2 IS NOT NULL "&amp;"ORDER BY Col1 DESC LIMIT 20"", 0))
    )
  ), 
"""")"),0.0)</f>
        <v>0</v>
      </c>
      <c r="K16" s="21">
        <f>IFERROR(__xludf.DUMMYFUNCTION("IFERROR(GOOGLEFINANCE(C16, ""changepct"") / 100, """")"),0.0034999999999999996)</f>
        <v>0.0035</v>
      </c>
      <c r="L16" s="21" t="str">
        <f>IFERROR(__xludf.DUMMYFUNCTION("IFERROR((GOOGLEFINANCE(C16, ""price"") / INDEX(GOOGLEFINANCE(C16, ""price"", TODAY()-7, TODAY()), 2, 2)) - 1, """")"),"")</f>
        <v/>
      </c>
      <c r="M16" s="21" t="str">
        <f>IFERROR(__xludf.DUMMYFUNCTION("IFERROR((GOOGLEFINANCE(C16, ""price"") / INDEX(GOOGLEFINANCE(C16, ""price"", EDATE(TODAY(), -1), TODAY()), 2, 2)) - 1, """")"),"")</f>
        <v/>
      </c>
      <c r="N16" s="21" t="str">
        <f>IFERROR(__xludf.DUMMYFUNCTION("IFERROR((GOOGLEFINANCE(C16, ""price"") / INDEX(GOOGLEFINANCE(C16, ""price"", EDATE(TODAY(), -3), TODAY()), 2, 2)) - 1, """")"),"")</f>
        <v/>
      </c>
      <c r="O16" s="21" t="str">
        <f>IFERROR(__xludf.DUMMYFUNCTION("IFERROR((GOOGLEFINANCE(C16, ""price"") / INDEX(GOOGLEFINANCE(C16, ""price"", EDATE(TODAY(), -6), TODAY()), 2, 2)) - 1, """")"),"")</f>
        <v/>
      </c>
      <c r="P16" s="21" t="str">
        <f>IFERROR(__xludf.DUMMYFUNCTION("IFERROR((GOOGLEFINANCE(C16, ""price"") / INDEX(GOOGLEFINANCE(C16, ""price"", EDATE(TODAY(), -12), TODAY()), 2, 2)) - 1, """")"),"")</f>
        <v/>
      </c>
      <c r="Q16" s="6" t="str">
        <f>IFERROR(__xludf.DUMMYFUNCTION("AVERAGE(QUERY(GOOGLEFINANCE(C16, ""price"", TODAY()-80, TODAY()), ""SELECT Col2 WHERE Col2 IS NOT NULL ORDER BY Col1 DESC LIMIT 50"", 0))"),"#N/A")</f>
        <v>#N/A</v>
      </c>
      <c r="R16" s="24" t="str">
        <f>IFERROR(__xludf.DUMMYFUNCTION("IFERROR(
  LET(
    data, QUERY(GOOGLEFINANCE(C16,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GOOGLEFINANCE(C16, ""price"")) * 100,
    IF(calc=0, G16, calc)
  ), 
G16)"),"#N/A")</f>
        <v>#N/A</v>
      </c>
      <c r="S16" s="8" t="s">
        <v>15</v>
      </c>
      <c r="T16" s="26" t="str">
        <f>IFERROR(__xludf.DUMMYFUNCTION("IFERROR(TRANSPOSE(QUERY(IFERROR(SORT(GOOGLEFINANCE(C16, ""price"", WORKDAY(TODAY(), -40), TODAY()), 1, FALSE)), ""select Col2 where Col2 is not null limit 22 label Col2 ''"", 0)), """")"),"")</f>
        <v/>
      </c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8"/>
      <c r="AO16" s="28"/>
      <c r="AP16" s="29"/>
      <c r="AQ16" s="29" t="str">
        <f t="shared" ref="AQ16:BL16" si="19">T16/T$2</f>
        <v>#N/A</v>
      </c>
      <c r="AR16" s="29" t="str">
        <f t="shared" si="19"/>
        <v>#DIV/0!</v>
      </c>
      <c r="AS16" s="29" t="str">
        <f t="shared" si="19"/>
        <v>#DIV/0!</v>
      </c>
      <c r="AT16" s="29" t="str">
        <f t="shared" si="19"/>
        <v>#DIV/0!</v>
      </c>
      <c r="AU16" s="29" t="str">
        <f t="shared" si="19"/>
        <v>#DIV/0!</v>
      </c>
      <c r="AV16" s="29" t="str">
        <f t="shared" si="19"/>
        <v>#DIV/0!</v>
      </c>
      <c r="AW16" s="29" t="str">
        <f t="shared" si="19"/>
        <v>#DIV/0!</v>
      </c>
      <c r="AX16" s="29" t="str">
        <f t="shared" si="19"/>
        <v>#DIV/0!</v>
      </c>
      <c r="AY16" s="29" t="str">
        <f t="shared" si="19"/>
        <v>#DIV/0!</v>
      </c>
      <c r="AZ16" s="29" t="str">
        <f t="shared" si="19"/>
        <v>#DIV/0!</v>
      </c>
      <c r="BA16" s="29" t="str">
        <f t="shared" si="19"/>
        <v>#DIV/0!</v>
      </c>
      <c r="BB16" s="29" t="str">
        <f t="shared" si="19"/>
        <v>#DIV/0!</v>
      </c>
      <c r="BC16" s="29" t="str">
        <f t="shared" si="19"/>
        <v>#DIV/0!</v>
      </c>
      <c r="BD16" s="29" t="str">
        <f t="shared" si="19"/>
        <v>#DIV/0!</v>
      </c>
      <c r="BE16" s="29" t="str">
        <f t="shared" si="19"/>
        <v>#DIV/0!</v>
      </c>
      <c r="BF16" s="29" t="str">
        <f t="shared" si="19"/>
        <v>#DIV/0!</v>
      </c>
      <c r="BG16" s="29" t="str">
        <f t="shared" si="19"/>
        <v>#DIV/0!</v>
      </c>
      <c r="BH16" s="29" t="str">
        <f t="shared" si="19"/>
        <v>#DIV/0!</v>
      </c>
      <c r="BI16" s="29" t="str">
        <f t="shared" si="19"/>
        <v>#DIV/0!</v>
      </c>
      <c r="BJ16" s="29" t="str">
        <f t="shared" si="19"/>
        <v>#DIV/0!</v>
      </c>
      <c r="BK16" s="29" t="str">
        <f t="shared" si="19"/>
        <v>#DIV/0!</v>
      </c>
      <c r="BL16" s="29" t="str">
        <f t="shared" si="19"/>
        <v>#DIV/0!</v>
      </c>
      <c r="BM16" s="29" t="str">
        <f t="shared" si="3"/>
        <v>#DIV/0!</v>
      </c>
    </row>
    <row r="17">
      <c r="A17" s="16" t="str">
        <f>IFERROR(__xludf.DUMMYFUNCTION("IFERROR(SPARKLINE(SORT(MAP(TRANSPOSE(AQ17:BL17), LAMBDA(val, IF(ISNUMBER(val), PERCENTRANK(AQ17:BL17, val)+0.01, 0))), SEQUENCE(COLUMNS(AQ17:BL17)), FALSE), {""charttype"",""column""; ""color"",""chartreuse""; ""ymin"", 0; ""ymax"", 1.01; ""highcolor"", "&amp;"""darkgreen""; ""lowcolor"", ""red""}), """")"),"")</f>
        <v/>
      </c>
      <c r="B17" s="17" t="str">
        <f t="shared" si="4"/>
        <v/>
      </c>
      <c r="C17" s="1" t="s">
        <v>2124</v>
      </c>
      <c r="D17" s="30" t="str">
        <f>IFERROR(__xludf.DUMMYFUNCTION("IFERROR(GOOGLEFINANCE(C17, ""NAME""))"),"Monster Beverage Corp")</f>
        <v>Monster Beverage Corp</v>
      </c>
      <c r="E17" s="30" t="s">
        <v>2083</v>
      </c>
      <c r="F17" s="33" t="str">
        <f>IFERROR(__xludf.DUMMYFUNCTION("( (GOOGLEFINANCE(C17, ""price"") - Q17) / Q17 ) / (R17 / 100)"),"Loading...")</f>
        <v>Loading...</v>
      </c>
      <c r="G17" s="20" t="str">
        <f>IFERROR(__xludf.DUMMYFUNCTION("AVERAGE(ARRAYFORMULA(100 * (QUERY(GOOGLEFINANCE(C17, ""high"", TODAY()-40, TODAY()), ""SELECT Col2 WHERE Col2 IS NOT NULL ORDER BY Col1 DESC LIMIT 20"", 0) / QUERY(GOOGLEFINANCE(C17, ""low"", TODAY()-40, TODAY()), ""SELECT Col2 WHERE Col2 IS NOT NULL ORDE"&amp;"R BY Col1 DESC LIMIT 20"", 0) - 1)))"),"#N/A")</f>
        <v>#N/A</v>
      </c>
      <c r="H17" s="35" t="str">
        <f t="shared" si="6"/>
        <v>Liquid</v>
      </c>
      <c r="I17" s="36" t="str">
        <f t="shared" si="7"/>
        <v>RVol Required</v>
      </c>
      <c r="J17" s="37">
        <f>IFERROR(__xludf.DUMMYFUNCTION("IFERROR(
  IF(C17="""",, 
    IFERROR(
      GOOGLEFINANCE(C17, ""price"") * GOOGLEFINANCE(C17, ""volumeavg""), 
      GOOGLEFINANCE(C17, ""price"") * AVERAGE(QUERY(GOOGLEFINANCE(C17, ""volume"", TODAY()-40, TODAY()), ""SELECT Col2 WHERE Col2 IS NOT NULL "&amp;"ORDER BY Col1 DESC LIMIT 20"", 0))
    )
  ), 
"""")"),4.4909096196999997E8)</f>
        <v>449090962</v>
      </c>
      <c r="K17" s="21">
        <f>IFERROR(__xludf.DUMMYFUNCTION("IFERROR(GOOGLEFINANCE(C17, ""changepct"") / 100, """")"),0.0086)</f>
        <v>0.0086</v>
      </c>
      <c r="L17" s="21" t="str">
        <f>IFERROR(__xludf.DUMMYFUNCTION("IFERROR((GOOGLEFINANCE(C17, ""price"") / INDEX(GOOGLEFINANCE(C17, ""price"", TODAY()-7, TODAY()), 2, 2)) - 1, """")"),"")</f>
        <v/>
      </c>
      <c r="M17" s="21" t="str">
        <f>IFERROR(__xludf.DUMMYFUNCTION("IFERROR((GOOGLEFINANCE(C17, ""price"") / INDEX(GOOGLEFINANCE(C17, ""price"", EDATE(TODAY(), -1), TODAY()), 2, 2)) - 1, """")"),"")</f>
        <v/>
      </c>
      <c r="N17" s="21" t="str">
        <f>IFERROR(__xludf.DUMMYFUNCTION("IFERROR((GOOGLEFINANCE(C17, ""price"") / INDEX(GOOGLEFINANCE(C17, ""price"", EDATE(TODAY(), -3), TODAY()), 2, 2)) - 1, """")"),"")</f>
        <v/>
      </c>
      <c r="O17" s="21" t="str">
        <f>IFERROR(__xludf.DUMMYFUNCTION("IFERROR((GOOGLEFINANCE(C17, ""price"") / INDEX(GOOGLEFINANCE(C17, ""price"", EDATE(TODAY(), -6), TODAY()), 2, 2)) - 1, """")"),"")</f>
        <v/>
      </c>
      <c r="P17" s="21" t="str">
        <f>IFERROR(__xludf.DUMMYFUNCTION("IFERROR((GOOGLEFINANCE(C17, ""price"") / INDEX(GOOGLEFINANCE(C17, ""price"", EDATE(TODAY(), -12), TODAY()), 2, 2)) - 1, """")"),"")</f>
        <v/>
      </c>
      <c r="Q17" s="6" t="str">
        <f>IFERROR(__xludf.DUMMYFUNCTION("AVERAGE(QUERY(GOOGLEFINANCE(C17, ""price"", TODAY()-80, TODAY()), ""SELECT Col2 WHERE Col2 IS NOT NULL ORDER BY Col1 DESC LIMIT 50"", 0))"),"#N/A")</f>
        <v>#N/A</v>
      </c>
      <c r="R17" s="24" t="str">
        <f>IFERROR(__xludf.DUMMYFUNCTION("IFERROR(
  LET(
    data, QUERY(GOOGLEFINANCE(C17,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GOOGLEFINANCE(C17, ""price"")) * 100,
    IF(calc=0, G17, calc)
  ), 
G17)"),"#N/A")</f>
        <v>#N/A</v>
      </c>
      <c r="S17" s="8" t="s">
        <v>15</v>
      </c>
      <c r="T17" s="26" t="str">
        <f>IFERROR(__xludf.DUMMYFUNCTION("IFERROR(TRANSPOSE(QUERY(IFERROR(SORT(GOOGLEFINANCE(C17, ""price"", WORKDAY(TODAY(), -40), TODAY()), 1, FALSE)), ""select Col2 where Col2 is not null limit 22 label Col2 ''"", 0)), """")"),"")</f>
        <v/>
      </c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8"/>
      <c r="AO17" s="28"/>
      <c r="AP17" s="29"/>
      <c r="AQ17" s="29" t="str">
        <f t="shared" ref="AQ17:BL17" si="20">T17/T$2</f>
        <v>#N/A</v>
      </c>
      <c r="AR17" s="29" t="str">
        <f t="shared" si="20"/>
        <v>#DIV/0!</v>
      </c>
      <c r="AS17" s="29" t="str">
        <f t="shared" si="20"/>
        <v>#DIV/0!</v>
      </c>
      <c r="AT17" s="29" t="str">
        <f t="shared" si="20"/>
        <v>#DIV/0!</v>
      </c>
      <c r="AU17" s="29" t="str">
        <f t="shared" si="20"/>
        <v>#DIV/0!</v>
      </c>
      <c r="AV17" s="29" t="str">
        <f t="shared" si="20"/>
        <v>#DIV/0!</v>
      </c>
      <c r="AW17" s="29" t="str">
        <f t="shared" si="20"/>
        <v>#DIV/0!</v>
      </c>
      <c r="AX17" s="29" t="str">
        <f t="shared" si="20"/>
        <v>#DIV/0!</v>
      </c>
      <c r="AY17" s="29" t="str">
        <f t="shared" si="20"/>
        <v>#DIV/0!</v>
      </c>
      <c r="AZ17" s="29" t="str">
        <f t="shared" si="20"/>
        <v>#DIV/0!</v>
      </c>
      <c r="BA17" s="29" t="str">
        <f t="shared" si="20"/>
        <v>#DIV/0!</v>
      </c>
      <c r="BB17" s="29" t="str">
        <f t="shared" si="20"/>
        <v>#DIV/0!</v>
      </c>
      <c r="BC17" s="29" t="str">
        <f t="shared" si="20"/>
        <v>#DIV/0!</v>
      </c>
      <c r="BD17" s="29" t="str">
        <f t="shared" si="20"/>
        <v>#DIV/0!</v>
      </c>
      <c r="BE17" s="29" t="str">
        <f t="shared" si="20"/>
        <v>#DIV/0!</v>
      </c>
      <c r="BF17" s="29" t="str">
        <f t="shared" si="20"/>
        <v>#DIV/0!</v>
      </c>
      <c r="BG17" s="29" t="str">
        <f t="shared" si="20"/>
        <v>#DIV/0!</v>
      </c>
      <c r="BH17" s="29" t="str">
        <f t="shared" si="20"/>
        <v>#DIV/0!</v>
      </c>
      <c r="BI17" s="29" t="str">
        <f t="shared" si="20"/>
        <v>#DIV/0!</v>
      </c>
      <c r="BJ17" s="29" t="str">
        <f t="shared" si="20"/>
        <v>#DIV/0!</v>
      </c>
      <c r="BK17" s="29" t="str">
        <f t="shared" si="20"/>
        <v>#DIV/0!</v>
      </c>
      <c r="BL17" s="29" t="str">
        <f t="shared" si="20"/>
        <v>#DIV/0!</v>
      </c>
      <c r="BM17" s="29" t="str">
        <f t="shared" si="3"/>
        <v>#DIV/0!</v>
      </c>
    </row>
    <row r="18">
      <c r="A18" s="16" t="str">
        <f>IFERROR(__xludf.DUMMYFUNCTION("IFERROR(SPARKLINE(SORT(MAP(TRANSPOSE(AQ18:BL18), LAMBDA(val, IF(ISNUMBER(val), PERCENTRANK(AQ18:BL18, val)+0.01, 0))), SEQUENCE(COLUMNS(AQ18:BL18)), FALSE), {""charttype"",""column""; ""color"",""chartreuse""; ""ymin"", 0; ""ymax"", 1.01; ""highcolor"", "&amp;"""darkgreen""; ""lowcolor"", ""red""}), """")"),"")</f>
        <v/>
      </c>
      <c r="B18" s="17" t="str">
        <f t="shared" si="4"/>
        <v/>
      </c>
      <c r="C18" s="1" t="s">
        <v>2127</v>
      </c>
      <c r="D18" s="30" t="str">
        <f>IFERROR(__xludf.DUMMYFUNCTION("IFERROR(GOOGLEFINANCE(C18, ""NAME""))"),"KinderCare Learning Companies Inc")</f>
        <v>KinderCare Learning Companies Inc</v>
      </c>
      <c r="E18" s="30" t="s">
        <v>2069</v>
      </c>
      <c r="F18" s="33" t="str">
        <f>IFERROR(__xludf.DUMMYFUNCTION("( (GOOGLEFINANCE(C18, ""price"") - Q18) / Q18 ) / (R18 / 100)"),"Loading...")</f>
        <v>Loading...</v>
      </c>
      <c r="G18" s="20" t="str">
        <f>IFERROR(__xludf.DUMMYFUNCTION("AVERAGE(ARRAYFORMULA(100 * (QUERY(GOOGLEFINANCE(C18, ""high"", TODAY()-40, TODAY()), ""SELECT Col2 WHERE Col2 IS NOT NULL ORDER BY Col1 DESC LIMIT 20"", 0) / QUERY(GOOGLEFINANCE(C18, ""low"", TODAY()-40, TODAY()), ""SELECT Col2 WHERE Col2 IS NOT NULL ORDE"&amp;"R BY Col1 DESC LIMIT 20"", 0) - 1)))"),"#N/A")</f>
        <v>#N/A</v>
      </c>
      <c r="H18" s="35" t="str">
        <f t="shared" si="6"/>
        <v>Illiquid</v>
      </c>
      <c r="I18" s="36" t="str">
        <f t="shared" si="7"/>
        <v>RVol Required</v>
      </c>
      <c r="J18" s="37">
        <f>IFERROR(__xludf.DUMMYFUNCTION("IFERROR(
  IF(C18="""",, 
    IFERROR(
      GOOGLEFINANCE(C18, ""price"") * GOOGLEFINANCE(C18, ""volumeavg""), 
      GOOGLEFINANCE(C18, ""price"") * AVERAGE(QUERY(GOOGLEFINANCE(C18, ""volume"", TODAY()-40, TODAY()), ""SELECT Col2 WHERE Col2 IS NOT NULL "&amp;"ORDER BY Col1 DESC LIMIT 20"", 0))
    )
  ), 
"""")"),1160544.75)</f>
        <v>1160544.75</v>
      </c>
      <c r="K18" s="21">
        <f>IFERROR(__xludf.DUMMYFUNCTION("IFERROR(GOOGLEFINANCE(C18, ""changepct"") / 100, """")"),-0.032799999999999996)</f>
        <v>-0.0328</v>
      </c>
      <c r="L18" s="21" t="str">
        <f>IFERROR(__xludf.DUMMYFUNCTION("IFERROR((GOOGLEFINANCE(C18, ""price"") / INDEX(GOOGLEFINANCE(C18, ""price"", TODAY()-7, TODAY()), 2, 2)) - 1, """")"),"")</f>
        <v/>
      </c>
      <c r="M18" s="21" t="str">
        <f>IFERROR(__xludf.DUMMYFUNCTION("IFERROR((GOOGLEFINANCE(C18, ""price"") / INDEX(GOOGLEFINANCE(C18, ""price"", EDATE(TODAY(), -1), TODAY()), 2, 2)) - 1, """")"),"")</f>
        <v/>
      </c>
      <c r="N18" s="21" t="str">
        <f>IFERROR(__xludf.DUMMYFUNCTION("IFERROR((GOOGLEFINANCE(C18, ""price"") / INDEX(GOOGLEFINANCE(C18, ""price"", EDATE(TODAY(), -3), TODAY()), 2, 2)) - 1, """")"),"")</f>
        <v/>
      </c>
      <c r="O18" s="21" t="str">
        <f>IFERROR(__xludf.DUMMYFUNCTION("IFERROR((GOOGLEFINANCE(C18, ""price"") / INDEX(GOOGLEFINANCE(C18, ""price"", EDATE(TODAY(), -6), TODAY()), 2, 2)) - 1, """")"),"")</f>
        <v/>
      </c>
      <c r="P18" s="21" t="str">
        <f>IFERROR(__xludf.DUMMYFUNCTION("IFERROR((GOOGLEFINANCE(C18, ""price"") / INDEX(GOOGLEFINANCE(C18, ""price"", EDATE(TODAY(), -12), TODAY()), 2, 2)) - 1, """")"),"")</f>
        <v/>
      </c>
      <c r="Q18" s="6" t="str">
        <f>IFERROR(__xludf.DUMMYFUNCTION("AVERAGE(QUERY(GOOGLEFINANCE(C18, ""price"", TODAY()-80, TODAY()), ""SELECT Col2 WHERE Col2 IS NOT NULL ORDER BY Col1 DESC LIMIT 50"", 0))"),"#N/A")</f>
        <v>#N/A</v>
      </c>
      <c r="R18" s="24" t="str">
        <f>IFERROR(__xludf.DUMMYFUNCTION("IFERROR(
  LET(
    data, QUERY(GOOGLEFINANCE(C18,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GOOGLEFINANCE(C18, ""price"")) * 100,
    IF(calc=0, G18, calc)
  ), 
G18)"),"#N/A")</f>
        <v>#N/A</v>
      </c>
      <c r="S18" s="8" t="s">
        <v>15</v>
      </c>
      <c r="T18" s="26" t="str">
        <f>IFERROR(__xludf.DUMMYFUNCTION("IFERROR(TRANSPOSE(QUERY(IFERROR(SORT(GOOGLEFINANCE(C18, ""price"", WORKDAY(TODAY(), -40), TODAY()), 1, FALSE)), ""select Col2 where Col2 is not null limit 22 label Col2 ''"", 0)), """")"),"")</f>
        <v/>
      </c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8"/>
      <c r="AO18" s="28"/>
      <c r="AP18" s="29"/>
      <c r="AQ18" s="29" t="str">
        <f t="shared" ref="AQ18:BL18" si="21">T18/T$2</f>
        <v>#N/A</v>
      </c>
      <c r="AR18" s="29" t="str">
        <f t="shared" si="21"/>
        <v>#DIV/0!</v>
      </c>
      <c r="AS18" s="29" t="str">
        <f t="shared" si="21"/>
        <v>#DIV/0!</v>
      </c>
      <c r="AT18" s="29" t="str">
        <f t="shared" si="21"/>
        <v>#DIV/0!</v>
      </c>
      <c r="AU18" s="29" t="str">
        <f t="shared" si="21"/>
        <v>#DIV/0!</v>
      </c>
      <c r="AV18" s="29" t="str">
        <f t="shared" si="21"/>
        <v>#DIV/0!</v>
      </c>
      <c r="AW18" s="29" t="str">
        <f t="shared" si="21"/>
        <v>#DIV/0!</v>
      </c>
      <c r="AX18" s="29" t="str">
        <f t="shared" si="21"/>
        <v>#DIV/0!</v>
      </c>
      <c r="AY18" s="29" t="str">
        <f t="shared" si="21"/>
        <v>#DIV/0!</v>
      </c>
      <c r="AZ18" s="29" t="str">
        <f t="shared" si="21"/>
        <v>#DIV/0!</v>
      </c>
      <c r="BA18" s="29" t="str">
        <f t="shared" si="21"/>
        <v>#DIV/0!</v>
      </c>
      <c r="BB18" s="29" t="str">
        <f t="shared" si="21"/>
        <v>#DIV/0!</v>
      </c>
      <c r="BC18" s="29" t="str">
        <f t="shared" si="21"/>
        <v>#DIV/0!</v>
      </c>
      <c r="BD18" s="29" t="str">
        <f t="shared" si="21"/>
        <v>#DIV/0!</v>
      </c>
      <c r="BE18" s="29" t="str">
        <f t="shared" si="21"/>
        <v>#DIV/0!</v>
      </c>
      <c r="BF18" s="29" t="str">
        <f t="shared" si="21"/>
        <v>#DIV/0!</v>
      </c>
      <c r="BG18" s="29" t="str">
        <f t="shared" si="21"/>
        <v>#DIV/0!</v>
      </c>
      <c r="BH18" s="29" t="str">
        <f t="shared" si="21"/>
        <v>#DIV/0!</v>
      </c>
      <c r="BI18" s="29" t="str">
        <f t="shared" si="21"/>
        <v>#DIV/0!</v>
      </c>
      <c r="BJ18" s="29" t="str">
        <f t="shared" si="21"/>
        <v>#DIV/0!</v>
      </c>
      <c r="BK18" s="29" t="str">
        <f t="shared" si="21"/>
        <v>#DIV/0!</v>
      </c>
      <c r="BL18" s="29" t="str">
        <f t="shared" si="21"/>
        <v>#DIV/0!</v>
      </c>
      <c r="BM18" s="29" t="str">
        <f t="shared" si="3"/>
        <v>#DIV/0!</v>
      </c>
    </row>
    <row r="19">
      <c r="A19" s="16" t="str">
        <f>IFERROR(__xludf.DUMMYFUNCTION("IFERROR(SPARKLINE(SORT(MAP(TRANSPOSE(AQ19:BL19), LAMBDA(val, IF(ISNUMBER(val), PERCENTRANK(AQ19:BL19, val)+0.01, 0))), SEQUENCE(COLUMNS(AQ19:BL19)), FALSE), {""charttype"",""column""; ""color"",""chartreuse""; ""ymin"", 0; ""ymax"", 1.01; ""highcolor"", "&amp;"""darkgreen""; ""lowcolor"", ""red""}), """")"),"")</f>
        <v/>
      </c>
      <c r="B19" s="17" t="str">
        <f t="shared" si="4"/>
        <v/>
      </c>
      <c r="C19" s="1" t="s">
        <v>2131</v>
      </c>
      <c r="D19" s="30" t="str">
        <f>IFERROR(__xludf.DUMMYFUNCTION("IFERROR(GOOGLEFINANCE(C19, ""NAME""))"),"Estee Lauder Companies Inc")</f>
        <v>Estee Lauder Companies Inc</v>
      </c>
      <c r="E19" s="30" t="s">
        <v>2132</v>
      </c>
      <c r="F19" s="33" t="str">
        <f>IFERROR(__xludf.DUMMYFUNCTION("( (GOOGLEFINANCE(C19, ""price"") - Q19) / Q19 ) / (R19 / 100)"),"Loading...")</f>
        <v>Loading...</v>
      </c>
      <c r="G19" s="20" t="str">
        <f>IFERROR(__xludf.DUMMYFUNCTION("AVERAGE(ARRAYFORMULA(100 * (QUERY(GOOGLEFINANCE(C19, ""high"", TODAY()-40, TODAY()), ""SELECT Col2 WHERE Col2 IS NOT NULL ORDER BY Col1 DESC LIMIT 20"", 0) / QUERY(GOOGLEFINANCE(C19, ""low"", TODAY()-40, TODAY()), ""SELECT Col2 WHERE Col2 IS NOT NULL ORDE"&amp;"R BY Col1 DESC LIMIT 20"", 0) - 1)))"),"#N/A")</f>
        <v>#N/A</v>
      </c>
      <c r="H19" s="35" t="str">
        <f t="shared" si="6"/>
        <v>Liquid</v>
      </c>
      <c r="I19" s="36" t="str">
        <f t="shared" si="7"/>
        <v>RVol Required</v>
      </c>
      <c r="J19" s="37">
        <f>IFERROR(__xludf.DUMMYFUNCTION("IFERROR(
  IF(C19="""",, 
    IFERROR(
      GOOGLEFINANCE(C19, ""price"") * GOOGLEFINANCE(C19, ""volumeavg""), 
      GOOGLEFINANCE(C19, ""price"") * AVERAGE(QUERY(GOOGLEFINANCE(C19, ""volume"", TODAY()-40, TODAY()), ""SELECT Col2 WHERE Col2 IS NOT NULL "&amp;"ORDER BY Col1 DESC LIMIT 20"", 0))
    )
  ), 
"""")"),3.0328893904E8)</f>
        <v>303288939</v>
      </c>
      <c r="K19" s="21">
        <f>IFERROR(__xludf.DUMMYFUNCTION("IFERROR(GOOGLEFINANCE(C19, ""changepct"") / 100, """")"),-0.024700000000000003)</f>
        <v>-0.0247</v>
      </c>
      <c r="L19" s="21" t="str">
        <f>IFERROR(__xludf.DUMMYFUNCTION("IFERROR((GOOGLEFINANCE(C19, ""price"") / INDEX(GOOGLEFINANCE(C19, ""price"", TODAY()-7, TODAY()), 2, 2)) - 1, """")"),"")</f>
        <v/>
      </c>
      <c r="M19" s="21" t="str">
        <f>IFERROR(__xludf.DUMMYFUNCTION("IFERROR((GOOGLEFINANCE(C19, ""price"") / INDEX(GOOGLEFINANCE(C19, ""price"", EDATE(TODAY(), -1), TODAY()), 2, 2)) - 1, """")"),"")</f>
        <v/>
      </c>
      <c r="N19" s="21" t="str">
        <f>IFERROR(__xludf.DUMMYFUNCTION("IFERROR((GOOGLEFINANCE(C19, ""price"") / INDEX(GOOGLEFINANCE(C19, ""price"", EDATE(TODAY(), -3), TODAY()), 2, 2)) - 1, """")"),"")</f>
        <v/>
      </c>
      <c r="O19" s="21" t="str">
        <f>IFERROR(__xludf.DUMMYFUNCTION("IFERROR((GOOGLEFINANCE(C19, ""price"") / INDEX(GOOGLEFINANCE(C19, ""price"", EDATE(TODAY(), -6), TODAY()), 2, 2)) - 1, """")"),"")</f>
        <v/>
      </c>
      <c r="P19" s="21" t="str">
        <f>IFERROR(__xludf.DUMMYFUNCTION("IFERROR((GOOGLEFINANCE(C19, ""price"") / INDEX(GOOGLEFINANCE(C19, ""price"", EDATE(TODAY(), -12), TODAY()), 2, 2)) - 1, """")"),"")</f>
        <v/>
      </c>
      <c r="Q19" s="6" t="str">
        <f>IFERROR(__xludf.DUMMYFUNCTION("AVERAGE(QUERY(GOOGLEFINANCE(C19, ""price"", TODAY()-80, TODAY()), ""SELECT Col2 WHERE Col2 IS NOT NULL ORDER BY Col1 DESC LIMIT 50"", 0))"),"#N/A")</f>
        <v>#N/A</v>
      </c>
      <c r="R19" s="24" t="str">
        <f>IFERROR(__xludf.DUMMYFUNCTION("IFERROR(
  LET(
    data, QUERY(GOOGLEFINANCE(C19,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GOOGLEFINANCE(C19, ""price"")) * 100,
    IF(calc=0, G19, calc)
  ), 
G19)"),"#N/A")</f>
        <v>#N/A</v>
      </c>
      <c r="S19" s="8" t="s">
        <v>15</v>
      </c>
      <c r="T19" s="26" t="str">
        <f>IFERROR(__xludf.DUMMYFUNCTION("IFERROR(TRANSPOSE(QUERY(IFERROR(SORT(GOOGLEFINANCE(C19, ""price"", WORKDAY(TODAY(), -40), TODAY()), 1, FALSE)), ""select Col2 where Col2 is not null limit 22 label Col2 ''"", 0)), """")"),"")</f>
        <v/>
      </c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8"/>
      <c r="AO19" s="28"/>
      <c r="AP19" s="29"/>
      <c r="AQ19" s="29" t="str">
        <f t="shared" ref="AQ19:BL19" si="22">T19/T$2</f>
        <v>#N/A</v>
      </c>
      <c r="AR19" s="29" t="str">
        <f t="shared" si="22"/>
        <v>#DIV/0!</v>
      </c>
      <c r="AS19" s="29" t="str">
        <f t="shared" si="22"/>
        <v>#DIV/0!</v>
      </c>
      <c r="AT19" s="29" t="str">
        <f t="shared" si="22"/>
        <v>#DIV/0!</v>
      </c>
      <c r="AU19" s="29" t="str">
        <f t="shared" si="22"/>
        <v>#DIV/0!</v>
      </c>
      <c r="AV19" s="29" t="str">
        <f t="shared" si="22"/>
        <v>#DIV/0!</v>
      </c>
      <c r="AW19" s="29" t="str">
        <f t="shared" si="22"/>
        <v>#DIV/0!</v>
      </c>
      <c r="AX19" s="29" t="str">
        <f t="shared" si="22"/>
        <v>#DIV/0!</v>
      </c>
      <c r="AY19" s="29" t="str">
        <f t="shared" si="22"/>
        <v>#DIV/0!</v>
      </c>
      <c r="AZ19" s="29" t="str">
        <f t="shared" si="22"/>
        <v>#DIV/0!</v>
      </c>
      <c r="BA19" s="29" t="str">
        <f t="shared" si="22"/>
        <v>#DIV/0!</v>
      </c>
      <c r="BB19" s="29" t="str">
        <f t="shared" si="22"/>
        <v>#DIV/0!</v>
      </c>
      <c r="BC19" s="29" t="str">
        <f t="shared" si="22"/>
        <v>#DIV/0!</v>
      </c>
      <c r="BD19" s="29" t="str">
        <f t="shared" si="22"/>
        <v>#DIV/0!</v>
      </c>
      <c r="BE19" s="29" t="str">
        <f t="shared" si="22"/>
        <v>#DIV/0!</v>
      </c>
      <c r="BF19" s="29" t="str">
        <f t="shared" si="22"/>
        <v>#DIV/0!</v>
      </c>
      <c r="BG19" s="29" t="str">
        <f t="shared" si="22"/>
        <v>#DIV/0!</v>
      </c>
      <c r="BH19" s="29" t="str">
        <f t="shared" si="22"/>
        <v>#DIV/0!</v>
      </c>
      <c r="BI19" s="29" t="str">
        <f t="shared" si="22"/>
        <v>#DIV/0!</v>
      </c>
      <c r="BJ19" s="29" t="str">
        <f t="shared" si="22"/>
        <v>#DIV/0!</v>
      </c>
      <c r="BK19" s="29" t="str">
        <f t="shared" si="22"/>
        <v>#DIV/0!</v>
      </c>
      <c r="BL19" s="29" t="str">
        <f t="shared" si="22"/>
        <v>#DIV/0!</v>
      </c>
      <c r="BM19" s="29" t="str">
        <f t="shared" si="3"/>
        <v>#DIV/0!</v>
      </c>
    </row>
    <row r="20">
      <c r="A20" s="16" t="str">
        <f>IFERROR(__xludf.DUMMYFUNCTION("IFERROR(SPARKLINE(SORT(MAP(TRANSPOSE(AQ20:BL20), LAMBDA(val, IF(ISNUMBER(val), PERCENTRANK(AQ20:BL20, val)+0.01, 0))), SEQUENCE(COLUMNS(AQ20:BL20)), FALSE), {""charttype"",""column""; ""color"",""chartreuse""; ""ymin"", 0; ""ymax"", 1.01; ""highcolor"", "&amp;"""darkgreen""; ""lowcolor"", ""red""}), """")"),"")</f>
        <v/>
      </c>
      <c r="B20" s="17" t="str">
        <f t="shared" si="4"/>
        <v/>
      </c>
      <c r="C20" s="1" t="s">
        <v>2136</v>
      </c>
      <c r="D20" s="30" t="str">
        <f>IFERROR(__xludf.DUMMYFUNCTION("IFERROR(GOOGLEFINANCE(C20, ""NAME""))"),"The J. M. Smucker Company")</f>
        <v>The J. M. Smucker Company</v>
      </c>
      <c r="E20" s="30" t="s">
        <v>2094</v>
      </c>
      <c r="F20" s="33" t="str">
        <f>IFERROR(__xludf.DUMMYFUNCTION("( (GOOGLEFINANCE(C20, ""price"") - Q20) / Q20 ) / (R20 / 100)"),"Loading...")</f>
        <v>Loading...</v>
      </c>
      <c r="G20" s="20" t="str">
        <f>IFERROR(__xludf.DUMMYFUNCTION("AVERAGE(ARRAYFORMULA(100 * (QUERY(GOOGLEFINANCE(C20, ""high"", TODAY()-40, TODAY()), ""SELECT Col2 WHERE Col2 IS NOT NULL ORDER BY Col1 DESC LIMIT 20"", 0) / QUERY(GOOGLEFINANCE(C20, ""low"", TODAY()-40, TODAY()), ""SELECT Col2 WHERE Col2 IS NOT NULL ORDE"&amp;"R BY Col1 DESC LIMIT 20"", 0) - 1)))"),"#N/A")</f>
        <v>#N/A</v>
      </c>
      <c r="H20" s="35" t="str">
        <f t="shared" si="6"/>
        <v>Liquid</v>
      </c>
      <c r="I20" s="36" t="str">
        <f t="shared" si="7"/>
        <v>RVol Required</v>
      </c>
      <c r="J20" s="37">
        <f>IFERROR(__xludf.DUMMYFUNCTION("IFERROR(
  IF(C20="""",, 
    IFERROR(
      GOOGLEFINANCE(C20, ""price"") * GOOGLEFINANCE(C20, ""volumeavg""), 
      GOOGLEFINANCE(C20, ""price"") * AVERAGE(QUERY(GOOGLEFINANCE(C20, ""volume"", TODAY()-40, TODAY()), ""SELECT Col2 WHERE Col2 IS NOT NULL "&amp;"ORDER BY Col1 DESC LIMIT 20"", 0))
    )
  ), 
"""")"),1.5691819401000002E8)</f>
        <v>156918194</v>
      </c>
      <c r="K20" s="21">
        <f>IFERROR(__xludf.DUMMYFUNCTION("IFERROR(GOOGLEFINANCE(C20, ""changepct"") / 100, """")"),0.011899999999999999)</f>
        <v>0.0119</v>
      </c>
      <c r="L20" s="21" t="str">
        <f>IFERROR(__xludf.DUMMYFUNCTION("IFERROR((GOOGLEFINANCE(C20, ""price"") / INDEX(GOOGLEFINANCE(C20, ""price"", TODAY()-7, TODAY()), 2, 2)) - 1, """")"),"")</f>
        <v/>
      </c>
      <c r="M20" s="21" t="str">
        <f>IFERROR(__xludf.DUMMYFUNCTION("IFERROR((GOOGLEFINANCE(C20, ""price"") / INDEX(GOOGLEFINANCE(C20, ""price"", EDATE(TODAY(), -1), TODAY()), 2, 2)) - 1, """")"),"")</f>
        <v/>
      </c>
      <c r="N20" s="21" t="str">
        <f>IFERROR(__xludf.DUMMYFUNCTION("IFERROR((GOOGLEFINANCE(C20, ""price"") / INDEX(GOOGLEFINANCE(C20, ""price"", EDATE(TODAY(), -3), TODAY()), 2, 2)) - 1, """")"),"")</f>
        <v/>
      </c>
      <c r="O20" s="21" t="str">
        <f>IFERROR(__xludf.DUMMYFUNCTION("IFERROR((GOOGLEFINANCE(C20, ""price"") / INDEX(GOOGLEFINANCE(C20, ""price"", EDATE(TODAY(), -6), TODAY()), 2, 2)) - 1, """")"),"")</f>
        <v/>
      </c>
      <c r="P20" s="21" t="str">
        <f>IFERROR(__xludf.DUMMYFUNCTION("IFERROR((GOOGLEFINANCE(C20, ""price"") / INDEX(GOOGLEFINANCE(C20, ""price"", EDATE(TODAY(), -12), TODAY()), 2, 2)) - 1, """")"),"")</f>
        <v/>
      </c>
      <c r="Q20" s="6" t="str">
        <f>IFERROR(__xludf.DUMMYFUNCTION("AVERAGE(QUERY(GOOGLEFINANCE(C20, ""price"", TODAY()-80, TODAY()), ""SELECT Col2 WHERE Col2 IS NOT NULL ORDER BY Col1 DESC LIMIT 50"", 0))"),"#N/A")</f>
        <v>#N/A</v>
      </c>
      <c r="R20" s="24" t="str">
        <f>IFERROR(__xludf.DUMMYFUNCTION("IFERROR(
  LET(
    data, QUERY(GOOGLEFINANCE(C20,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GOOGLEFINANCE(C20, ""price"")) * 100,
    IF(calc=0, G20, calc)
  ), 
G20)"),"#N/A")</f>
        <v>#N/A</v>
      </c>
      <c r="S20" s="8" t="s">
        <v>15</v>
      </c>
      <c r="T20" s="26" t="str">
        <f>IFERROR(__xludf.DUMMYFUNCTION("IFERROR(TRANSPOSE(QUERY(IFERROR(SORT(GOOGLEFINANCE(C20, ""price"", WORKDAY(TODAY(), -40), TODAY()), 1, FALSE)), ""select Col2 where Col2 is not null limit 22 label Col2 ''"", 0)), """")"),"")</f>
        <v/>
      </c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8"/>
      <c r="AO20" s="28"/>
      <c r="AP20" s="29"/>
      <c r="AQ20" s="29" t="str">
        <f t="shared" ref="AQ20:BL20" si="23">T20/T$2</f>
        <v>#N/A</v>
      </c>
      <c r="AR20" s="29" t="str">
        <f t="shared" si="23"/>
        <v>#DIV/0!</v>
      </c>
      <c r="AS20" s="29" t="str">
        <f t="shared" si="23"/>
        <v>#DIV/0!</v>
      </c>
      <c r="AT20" s="29" t="str">
        <f t="shared" si="23"/>
        <v>#DIV/0!</v>
      </c>
      <c r="AU20" s="29" t="str">
        <f t="shared" si="23"/>
        <v>#DIV/0!</v>
      </c>
      <c r="AV20" s="29" t="str">
        <f t="shared" si="23"/>
        <v>#DIV/0!</v>
      </c>
      <c r="AW20" s="29" t="str">
        <f t="shared" si="23"/>
        <v>#DIV/0!</v>
      </c>
      <c r="AX20" s="29" t="str">
        <f t="shared" si="23"/>
        <v>#DIV/0!</v>
      </c>
      <c r="AY20" s="29" t="str">
        <f t="shared" si="23"/>
        <v>#DIV/0!</v>
      </c>
      <c r="AZ20" s="29" t="str">
        <f t="shared" si="23"/>
        <v>#DIV/0!</v>
      </c>
      <c r="BA20" s="29" t="str">
        <f t="shared" si="23"/>
        <v>#DIV/0!</v>
      </c>
      <c r="BB20" s="29" t="str">
        <f t="shared" si="23"/>
        <v>#DIV/0!</v>
      </c>
      <c r="BC20" s="29" t="str">
        <f t="shared" si="23"/>
        <v>#DIV/0!</v>
      </c>
      <c r="BD20" s="29" t="str">
        <f t="shared" si="23"/>
        <v>#DIV/0!</v>
      </c>
      <c r="BE20" s="29" t="str">
        <f t="shared" si="23"/>
        <v>#DIV/0!</v>
      </c>
      <c r="BF20" s="29" t="str">
        <f t="shared" si="23"/>
        <v>#DIV/0!</v>
      </c>
      <c r="BG20" s="29" t="str">
        <f t="shared" si="23"/>
        <v>#DIV/0!</v>
      </c>
      <c r="BH20" s="29" t="str">
        <f t="shared" si="23"/>
        <v>#DIV/0!</v>
      </c>
      <c r="BI20" s="29" t="str">
        <f t="shared" si="23"/>
        <v>#DIV/0!</v>
      </c>
      <c r="BJ20" s="29" t="str">
        <f t="shared" si="23"/>
        <v>#DIV/0!</v>
      </c>
      <c r="BK20" s="29" t="str">
        <f t="shared" si="23"/>
        <v>#DIV/0!</v>
      </c>
      <c r="BL20" s="29" t="str">
        <f t="shared" si="23"/>
        <v>#DIV/0!</v>
      </c>
      <c r="BM20" s="29" t="str">
        <f t="shared" si="3"/>
        <v>#DIV/0!</v>
      </c>
    </row>
    <row r="21">
      <c r="A21" s="16" t="str">
        <f>IFERROR(__xludf.DUMMYFUNCTION("IFERROR(SPARKLINE(SORT(MAP(TRANSPOSE(AQ21:BL21), LAMBDA(val, IF(ISNUMBER(val), PERCENTRANK(AQ21:BL21, val)+0.01, 0))), SEQUENCE(COLUMNS(AQ21:BL21)), FALSE), {""charttype"",""column""; ""color"",""chartreuse""; ""ymin"", 0; ""ymax"", 1.01; ""highcolor"", "&amp;"""darkgreen""; ""lowcolor"", ""red""}), """")"),"")</f>
        <v/>
      </c>
      <c r="B21" s="17" t="str">
        <f t="shared" si="4"/>
        <v/>
      </c>
      <c r="C21" s="1" t="s">
        <v>2140</v>
      </c>
      <c r="D21" s="30" t="str">
        <f>IFERROR(__xludf.DUMMYFUNCTION("IFERROR(GOOGLEFINANCE(C21, ""NAME""))"),"Performance Food Group Co")</f>
        <v>Performance Food Group Co</v>
      </c>
      <c r="E21" s="30" t="s">
        <v>2120</v>
      </c>
      <c r="F21" s="33" t="str">
        <f>IFERROR(__xludf.DUMMYFUNCTION("( (GOOGLEFINANCE(C21, ""price"") - Q21) / Q21 ) / (R21 / 100)"),"Loading...")</f>
        <v>Loading...</v>
      </c>
      <c r="G21" s="20" t="str">
        <f>IFERROR(__xludf.DUMMYFUNCTION("AVERAGE(ARRAYFORMULA(100 * (QUERY(GOOGLEFINANCE(C21, ""high"", TODAY()-40, TODAY()), ""SELECT Col2 WHERE Col2 IS NOT NULL ORDER BY Col1 DESC LIMIT 20"", 0) / QUERY(GOOGLEFINANCE(C21, ""low"", TODAY()-40, TODAY()), ""SELECT Col2 WHERE Col2 IS NOT NULL ORDE"&amp;"R BY Col1 DESC LIMIT 20"", 0) - 1)))"),"#N/A")</f>
        <v>#N/A</v>
      </c>
      <c r="H21" s="35" t="str">
        <f t="shared" si="6"/>
        <v>Liquid</v>
      </c>
      <c r="I21" s="36" t="str">
        <f t="shared" si="7"/>
        <v>RVol Required</v>
      </c>
      <c r="J21" s="37">
        <f>IFERROR(__xludf.DUMMYFUNCTION("IFERROR(
  IF(C21="""",, 
    IFERROR(
      GOOGLEFINANCE(C21, ""price"") * GOOGLEFINANCE(C21, ""volumeavg""), 
      GOOGLEFINANCE(C21, ""price"") * AVERAGE(QUERY(GOOGLEFINANCE(C21, ""volume"", TODAY()-40, TODAY()), ""SELECT Col2 WHERE Col2 IS NOT NULL "&amp;"ORDER BY Col1 DESC LIMIT 20"", 0))
    )
  ), 
"""")"),1.4040885326E8)</f>
        <v>140408853.3</v>
      </c>
      <c r="K21" s="21">
        <f>IFERROR(__xludf.DUMMYFUNCTION("IFERROR(GOOGLEFINANCE(C21, ""changepct"") / 100, """")"),0.0048)</f>
        <v>0.0048</v>
      </c>
      <c r="L21" s="21" t="str">
        <f>IFERROR(__xludf.DUMMYFUNCTION("IFERROR((GOOGLEFINANCE(C21, ""price"") / INDEX(GOOGLEFINANCE(C21, ""price"", TODAY()-7, TODAY()), 2, 2)) - 1, """")"),"")</f>
        <v/>
      </c>
      <c r="M21" s="21" t="str">
        <f>IFERROR(__xludf.DUMMYFUNCTION("IFERROR((GOOGLEFINANCE(C21, ""price"") / INDEX(GOOGLEFINANCE(C21, ""price"", EDATE(TODAY(), -1), TODAY()), 2, 2)) - 1, """")"),"")</f>
        <v/>
      </c>
      <c r="N21" s="21" t="str">
        <f>IFERROR(__xludf.DUMMYFUNCTION("IFERROR((GOOGLEFINANCE(C21, ""price"") / INDEX(GOOGLEFINANCE(C21, ""price"", EDATE(TODAY(), -3), TODAY()), 2, 2)) - 1, """")"),"")</f>
        <v/>
      </c>
      <c r="O21" s="21" t="str">
        <f>IFERROR(__xludf.DUMMYFUNCTION("IFERROR((GOOGLEFINANCE(C21, ""price"") / INDEX(GOOGLEFINANCE(C21, ""price"", EDATE(TODAY(), -6), TODAY()), 2, 2)) - 1, """")"),"")</f>
        <v/>
      </c>
      <c r="P21" s="21" t="str">
        <f>IFERROR(__xludf.DUMMYFUNCTION("IFERROR((GOOGLEFINANCE(C21, ""price"") / INDEX(GOOGLEFINANCE(C21, ""price"", EDATE(TODAY(), -12), TODAY()), 2, 2)) - 1, """")"),"")</f>
        <v/>
      </c>
      <c r="Q21" s="6" t="str">
        <f>IFERROR(__xludf.DUMMYFUNCTION("AVERAGE(QUERY(GOOGLEFINANCE(C21, ""price"", TODAY()-80, TODAY()), ""SELECT Col2 WHERE Col2 IS NOT NULL ORDER BY Col1 DESC LIMIT 50"", 0))"),"#N/A")</f>
        <v>#N/A</v>
      </c>
      <c r="R21" s="24" t="str">
        <f>IFERROR(__xludf.DUMMYFUNCTION("IFERROR(
  LET(
    data, QUERY(GOOGLEFINANCE(C21,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GOOGLEFINANCE(C21, ""price"")) * 100,
    IF(calc=0, G21, calc)
  ), 
G21)"),"#N/A")</f>
        <v>#N/A</v>
      </c>
      <c r="S21" s="8" t="s">
        <v>15</v>
      </c>
      <c r="T21" s="26" t="str">
        <f>IFERROR(__xludf.DUMMYFUNCTION("IFERROR(TRANSPOSE(QUERY(IFERROR(SORT(GOOGLEFINANCE(C21, ""price"", WORKDAY(TODAY(), -40), TODAY()), 1, FALSE)), ""select Col2 where Col2 is not null limit 22 label Col2 ''"", 0)), """")"),"")</f>
        <v/>
      </c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8"/>
      <c r="AO21" s="28"/>
      <c r="AP21" s="29"/>
      <c r="AQ21" s="29" t="str">
        <f t="shared" ref="AQ21:BL21" si="24">T21/T$2</f>
        <v>#N/A</v>
      </c>
      <c r="AR21" s="29" t="str">
        <f t="shared" si="24"/>
        <v>#DIV/0!</v>
      </c>
      <c r="AS21" s="29" t="str">
        <f t="shared" si="24"/>
        <v>#DIV/0!</v>
      </c>
      <c r="AT21" s="29" t="str">
        <f t="shared" si="24"/>
        <v>#DIV/0!</v>
      </c>
      <c r="AU21" s="29" t="str">
        <f t="shared" si="24"/>
        <v>#DIV/0!</v>
      </c>
      <c r="AV21" s="29" t="str">
        <f t="shared" si="24"/>
        <v>#DIV/0!</v>
      </c>
      <c r="AW21" s="29" t="str">
        <f t="shared" si="24"/>
        <v>#DIV/0!</v>
      </c>
      <c r="AX21" s="29" t="str">
        <f t="shared" si="24"/>
        <v>#DIV/0!</v>
      </c>
      <c r="AY21" s="29" t="str">
        <f t="shared" si="24"/>
        <v>#DIV/0!</v>
      </c>
      <c r="AZ21" s="29" t="str">
        <f t="shared" si="24"/>
        <v>#DIV/0!</v>
      </c>
      <c r="BA21" s="29" t="str">
        <f t="shared" si="24"/>
        <v>#DIV/0!</v>
      </c>
      <c r="BB21" s="29" t="str">
        <f t="shared" si="24"/>
        <v>#DIV/0!</v>
      </c>
      <c r="BC21" s="29" t="str">
        <f t="shared" si="24"/>
        <v>#DIV/0!</v>
      </c>
      <c r="BD21" s="29" t="str">
        <f t="shared" si="24"/>
        <v>#DIV/0!</v>
      </c>
      <c r="BE21" s="29" t="str">
        <f t="shared" si="24"/>
        <v>#DIV/0!</v>
      </c>
      <c r="BF21" s="29" t="str">
        <f t="shared" si="24"/>
        <v>#DIV/0!</v>
      </c>
      <c r="BG21" s="29" t="str">
        <f t="shared" si="24"/>
        <v>#DIV/0!</v>
      </c>
      <c r="BH21" s="29" t="str">
        <f t="shared" si="24"/>
        <v>#DIV/0!</v>
      </c>
      <c r="BI21" s="29" t="str">
        <f t="shared" si="24"/>
        <v>#DIV/0!</v>
      </c>
      <c r="BJ21" s="29" t="str">
        <f t="shared" si="24"/>
        <v>#DIV/0!</v>
      </c>
      <c r="BK21" s="29" t="str">
        <f t="shared" si="24"/>
        <v>#DIV/0!</v>
      </c>
      <c r="BL21" s="29" t="str">
        <f t="shared" si="24"/>
        <v>#DIV/0!</v>
      </c>
      <c r="BM21" s="29" t="str">
        <f t="shared" si="3"/>
        <v>#DIV/0!</v>
      </c>
    </row>
    <row r="22">
      <c r="A22" s="16" t="str">
        <f>IFERROR(__xludf.DUMMYFUNCTION("IFERROR(SPARKLINE(SORT(MAP(TRANSPOSE(AQ22:BL22), LAMBDA(val, IF(ISNUMBER(val), PERCENTRANK(AQ22:BL22, val)+0.01, 0))), SEQUENCE(COLUMNS(AQ22:BL22)), FALSE), {""charttype"",""column""; ""color"",""chartreuse""; ""ymin"", 0; ""ymax"", 1.01; ""highcolor"", "&amp;"""darkgreen""; ""lowcolor"", ""red""}), """")"),"")</f>
        <v/>
      </c>
      <c r="B22" s="17" t="str">
        <f t="shared" si="4"/>
        <v/>
      </c>
      <c r="C22" s="1" t="s">
        <v>2144</v>
      </c>
      <c r="D22" s="30" t="str">
        <f>IFERROR(__xludf.DUMMYFUNCTION("IFERROR(GOOGLEFINANCE(C22, ""NAME""))"),"Kraft Heinz Co")</f>
        <v>Kraft Heinz Co</v>
      </c>
      <c r="E22" s="30" t="s">
        <v>2094</v>
      </c>
      <c r="F22" s="33" t="str">
        <f>IFERROR(__xludf.DUMMYFUNCTION("( (GOOGLEFINANCE(C22, ""price"") - Q22) / Q22 ) / (R22 / 100)"),"Loading...")</f>
        <v>Loading...</v>
      </c>
      <c r="G22" s="20" t="str">
        <f>IFERROR(__xludf.DUMMYFUNCTION("AVERAGE(ARRAYFORMULA(100 * (QUERY(GOOGLEFINANCE(C22, ""high"", TODAY()-40, TODAY()), ""SELECT Col2 WHERE Col2 IS NOT NULL ORDER BY Col1 DESC LIMIT 20"", 0) / QUERY(GOOGLEFINANCE(C22, ""low"", TODAY()-40, TODAY()), ""SELECT Col2 WHERE Col2 IS NOT NULL ORDE"&amp;"R BY Col1 DESC LIMIT 20"", 0) - 1)))"),"#N/A")</f>
        <v>#N/A</v>
      </c>
      <c r="H22" s="35" t="str">
        <f t="shared" si="6"/>
        <v>Liquid</v>
      </c>
      <c r="I22" s="36" t="str">
        <f t="shared" si="7"/>
        <v>RVol Required</v>
      </c>
      <c r="J22" s="37">
        <f>IFERROR(__xludf.DUMMYFUNCTION("IFERROR(
  IF(C22="""",, 
    IFERROR(
      GOOGLEFINANCE(C22, ""price"") * GOOGLEFINANCE(C22, ""volumeavg""), 
      GOOGLEFINANCE(C22, ""price"") * AVERAGE(QUERY(GOOGLEFINANCE(C22, ""volume"", TODAY()-40, TODAY()), ""SELECT Col2 WHERE Col2 IS NOT NULL "&amp;"ORDER BY Col1 DESC LIMIT 20"", 0))
    )
  ), 
"""")"),4.8070444992E8)</f>
        <v>480704449.9</v>
      </c>
      <c r="K22" s="21">
        <f>IFERROR(__xludf.DUMMYFUNCTION("IFERROR(GOOGLEFINANCE(C22, ""changepct"") / 100, """")"),0.0172)</f>
        <v>0.0172</v>
      </c>
      <c r="L22" s="21" t="str">
        <f>IFERROR(__xludf.DUMMYFUNCTION("IFERROR((GOOGLEFINANCE(C22, ""price"") / INDEX(GOOGLEFINANCE(C22, ""price"", TODAY()-7, TODAY()), 2, 2)) - 1, """")"),"")</f>
        <v/>
      </c>
      <c r="M22" s="21" t="str">
        <f>IFERROR(__xludf.DUMMYFUNCTION("IFERROR((GOOGLEFINANCE(C22, ""price"") / INDEX(GOOGLEFINANCE(C22, ""price"", EDATE(TODAY(), -1), TODAY()), 2, 2)) - 1, """")"),"")</f>
        <v/>
      </c>
      <c r="N22" s="21" t="str">
        <f>IFERROR(__xludf.DUMMYFUNCTION("IFERROR((GOOGLEFINANCE(C22, ""price"") / INDEX(GOOGLEFINANCE(C22, ""price"", EDATE(TODAY(), -3), TODAY()), 2, 2)) - 1, """")"),"")</f>
        <v/>
      </c>
      <c r="O22" s="21" t="str">
        <f>IFERROR(__xludf.DUMMYFUNCTION("IFERROR((GOOGLEFINANCE(C22, ""price"") / INDEX(GOOGLEFINANCE(C22, ""price"", EDATE(TODAY(), -6), TODAY()), 2, 2)) - 1, """")"),"")</f>
        <v/>
      </c>
      <c r="P22" s="21" t="str">
        <f>IFERROR(__xludf.DUMMYFUNCTION("IFERROR((GOOGLEFINANCE(C22, ""price"") / INDEX(GOOGLEFINANCE(C22, ""price"", EDATE(TODAY(), -12), TODAY()), 2, 2)) - 1, """")"),"")</f>
        <v/>
      </c>
      <c r="Q22" s="6" t="str">
        <f>IFERROR(__xludf.DUMMYFUNCTION("AVERAGE(QUERY(GOOGLEFINANCE(C22, ""price"", TODAY()-80, TODAY()), ""SELECT Col2 WHERE Col2 IS NOT NULL ORDER BY Col1 DESC LIMIT 50"", 0))"),"#N/A")</f>
        <v>#N/A</v>
      </c>
      <c r="R22" s="24" t="str">
        <f>IFERROR(__xludf.DUMMYFUNCTION("IFERROR(
  LET(
    data, QUERY(GOOGLEFINANCE(C22,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GOOGLEFINANCE(C22, ""price"")) * 100,
    IF(calc=0, G22, calc)
  ), 
G22)"),"#N/A")</f>
        <v>#N/A</v>
      </c>
      <c r="S22" s="8" t="s">
        <v>15</v>
      </c>
      <c r="T22" s="26" t="str">
        <f>IFERROR(__xludf.DUMMYFUNCTION("IFERROR(TRANSPOSE(QUERY(IFERROR(SORT(GOOGLEFINANCE(C22, ""price"", WORKDAY(TODAY(), -40), TODAY()), 1, FALSE)), ""select Col2 where Col2 is not null limit 22 label Col2 ''"", 0)), """")"),"")</f>
        <v/>
      </c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8"/>
      <c r="AO22" s="28"/>
      <c r="AP22" s="29"/>
      <c r="AQ22" s="29" t="str">
        <f t="shared" ref="AQ22:BL22" si="25">T22/T$2</f>
        <v>#N/A</v>
      </c>
      <c r="AR22" s="29" t="str">
        <f t="shared" si="25"/>
        <v>#DIV/0!</v>
      </c>
      <c r="AS22" s="29" t="str">
        <f t="shared" si="25"/>
        <v>#DIV/0!</v>
      </c>
      <c r="AT22" s="29" t="str">
        <f t="shared" si="25"/>
        <v>#DIV/0!</v>
      </c>
      <c r="AU22" s="29" t="str">
        <f t="shared" si="25"/>
        <v>#DIV/0!</v>
      </c>
      <c r="AV22" s="29" t="str">
        <f t="shared" si="25"/>
        <v>#DIV/0!</v>
      </c>
      <c r="AW22" s="29" t="str">
        <f t="shared" si="25"/>
        <v>#DIV/0!</v>
      </c>
      <c r="AX22" s="29" t="str">
        <f t="shared" si="25"/>
        <v>#DIV/0!</v>
      </c>
      <c r="AY22" s="29" t="str">
        <f t="shared" si="25"/>
        <v>#DIV/0!</v>
      </c>
      <c r="AZ22" s="29" t="str">
        <f t="shared" si="25"/>
        <v>#DIV/0!</v>
      </c>
      <c r="BA22" s="29" t="str">
        <f t="shared" si="25"/>
        <v>#DIV/0!</v>
      </c>
      <c r="BB22" s="29" t="str">
        <f t="shared" si="25"/>
        <v>#DIV/0!</v>
      </c>
      <c r="BC22" s="29" t="str">
        <f t="shared" si="25"/>
        <v>#DIV/0!</v>
      </c>
      <c r="BD22" s="29" t="str">
        <f t="shared" si="25"/>
        <v>#DIV/0!</v>
      </c>
      <c r="BE22" s="29" t="str">
        <f t="shared" si="25"/>
        <v>#DIV/0!</v>
      </c>
      <c r="BF22" s="29" t="str">
        <f t="shared" si="25"/>
        <v>#DIV/0!</v>
      </c>
      <c r="BG22" s="29" t="str">
        <f t="shared" si="25"/>
        <v>#DIV/0!</v>
      </c>
      <c r="BH22" s="29" t="str">
        <f t="shared" si="25"/>
        <v>#DIV/0!</v>
      </c>
      <c r="BI22" s="29" t="str">
        <f t="shared" si="25"/>
        <v>#DIV/0!</v>
      </c>
      <c r="BJ22" s="29" t="str">
        <f t="shared" si="25"/>
        <v>#DIV/0!</v>
      </c>
      <c r="BK22" s="29" t="str">
        <f t="shared" si="25"/>
        <v>#DIV/0!</v>
      </c>
      <c r="BL22" s="29" t="str">
        <f t="shared" si="25"/>
        <v>#DIV/0!</v>
      </c>
      <c r="BM22" s="29" t="str">
        <f t="shared" si="3"/>
        <v>#DIV/0!</v>
      </c>
    </row>
    <row r="23">
      <c r="A23" s="16" t="str">
        <f>IFERROR(__xludf.DUMMYFUNCTION("IFERROR(SPARKLINE(SORT(MAP(TRANSPOSE(AQ23:BL23), LAMBDA(val, IF(ISNUMBER(val), PERCENTRANK(AQ23:BL23, val)+0.01, 0))), SEQUENCE(COLUMNS(AQ23:BL23)), FALSE), {""charttype"",""column""; ""color"",""chartreuse""; ""ymin"", 0; ""ymax"", 1.01; ""highcolor"", "&amp;"""darkgreen""; ""lowcolor"", ""red""}), """")"),"")</f>
        <v/>
      </c>
      <c r="B23" s="17" t="str">
        <f t="shared" si="4"/>
        <v/>
      </c>
      <c r="C23" s="1" t="s">
        <v>2147</v>
      </c>
      <c r="D23" s="30" t="str">
        <f>IFERROR(__xludf.DUMMYFUNCTION("IFERROR(GOOGLEFINANCE(C23, ""NAME""))"),"Anheuser-Busch Inbev SA")</f>
        <v>Anheuser-Busch Inbev SA</v>
      </c>
      <c r="E23" s="30" t="s">
        <v>2106</v>
      </c>
      <c r="F23" s="33" t="str">
        <f>IFERROR(__xludf.DUMMYFUNCTION("( (GOOGLEFINANCE(C23, ""price"") - Q23) / Q23 ) / (R23 / 100)"),"Loading...")</f>
        <v>Loading...</v>
      </c>
      <c r="G23" s="20" t="str">
        <f>IFERROR(__xludf.DUMMYFUNCTION("AVERAGE(ARRAYFORMULA(100 * (QUERY(GOOGLEFINANCE(C23, ""high"", TODAY()-40, TODAY()), ""SELECT Col2 WHERE Col2 IS NOT NULL ORDER BY Col1 DESC LIMIT 20"", 0) / QUERY(GOOGLEFINANCE(C23, ""low"", TODAY()-40, TODAY()), ""SELECT Col2 WHERE Col2 IS NOT NULL ORDE"&amp;"R BY Col1 DESC LIMIT 20"", 0) - 1)))"),"#N/A")</f>
        <v>#N/A</v>
      </c>
      <c r="H23" s="35" t="str">
        <f t="shared" si="6"/>
        <v>Liquid</v>
      </c>
      <c r="I23" s="36" t="str">
        <f t="shared" si="7"/>
        <v>RVol Required</v>
      </c>
      <c r="J23" s="37">
        <f>IFERROR(__xludf.DUMMYFUNCTION("IFERROR(
  IF(C23="""",, 
    IFERROR(
      GOOGLEFINANCE(C23, ""price"") * GOOGLEFINANCE(C23, ""volumeavg""), 
      GOOGLEFINANCE(C23, ""price"") * AVERAGE(QUERY(GOOGLEFINANCE(C23, ""volume"", TODAY()-40, TODAY()), ""SELECT Col2 WHERE Col2 IS NOT NULL "&amp;"ORDER BY Col1 DESC LIMIT 20"", 0))
    )
  ), 
"""")"),1.8068817207E8)</f>
        <v>180688172.1</v>
      </c>
      <c r="K23" s="21">
        <f>IFERROR(__xludf.DUMMYFUNCTION("IFERROR(GOOGLEFINANCE(C23, ""changepct"") / 100, """")"),0.0161)</f>
        <v>0.0161</v>
      </c>
      <c r="L23" s="21" t="str">
        <f>IFERROR(__xludf.DUMMYFUNCTION("IFERROR((GOOGLEFINANCE(C23, ""price"") / INDEX(GOOGLEFINANCE(C23, ""price"", TODAY()-7, TODAY()), 2, 2)) - 1, """")"),"")</f>
        <v/>
      </c>
      <c r="M23" s="21" t="str">
        <f>IFERROR(__xludf.DUMMYFUNCTION("IFERROR((GOOGLEFINANCE(C23, ""price"") / INDEX(GOOGLEFINANCE(C23, ""price"", EDATE(TODAY(), -1), TODAY()), 2, 2)) - 1, """")"),"")</f>
        <v/>
      </c>
      <c r="N23" s="21" t="str">
        <f>IFERROR(__xludf.DUMMYFUNCTION("IFERROR((GOOGLEFINANCE(C23, ""price"") / INDEX(GOOGLEFINANCE(C23, ""price"", EDATE(TODAY(), -3), TODAY()), 2, 2)) - 1, """")"),"")</f>
        <v/>
      </c>
      <c r="O23" s="21" t="str">
        <f>IFERROR(__xludf.DUMMYFUNCTION("IFERROR((GOOGLEFINANCE(C23, ""price"") / INDEX(GOOGLEFINANCE(C23, ""price"", EDATE(TODAY(), -6), TODAY()), 2, 2)) - 1, """")"),"")</f>
        <v/>
      </c>
      <c r="P23" s="21" t="str">
        <f>IFERROR(__xludf.DUMMYFUNCTION("IFERROR((GOOGLEFINANCE(C23, ""price"") / INDEX(GOOGLEFINANCE(C23, ""price"", EDATE(TODAY(), -12), TODAY()), 2, 2)) - 1, """")"),"")</f>
        <v/>
      </c>
      <c r="Q23" s="6" t="str">
        <f>IFERROR(__xludf.DUMMYFUNCTION("AVERAGE(QUERY(GOOGLEFINANCE(C23, ""price"", TODAY()-80, TODAY()), ""SELECT Col2 WHERE Col2 IS NOT NULL ORDER BY Col1 DESC LIMIT 50"", 0))"),"#N/A")</f>
        <v>#N/A</v>
      </c>
      <c r="R23" s="24" t="str">
        <f>IFERROR(__xludf.DUMMYFUNCTION("IFERROR(
  LET(
    data, QUERY(GOOGLEFINANCE(C23,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GOOGLEFINANCE(C23, ""price"")) * 100,
    IF(calc=0, G23, calc)
  ), 
G23)"),"#N/A")</f>
        <v>#N/A</v>
      </c>
      <c r="S23" s="8" t="s">
        <v>15</v>
      </c>
      <c r="T23" s="26" t="str">
        <f>IFERROR(__xludf.DUMMYFUNCTION("IFERROR(TRANSPOSE(QUERY(IFERROR(SORT(GOOGLEFINANCE(C23, ""price"", WORKDAY(TODAY(), -40), TODAY()), 1, FALSE)), ""select Col2 where Col2 is not null limit 22 label Col2 ''"", 0)), """")"),"")</f>
        <v/>
      </c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8"/>
      <c r="AO23" s="28"/>
      <c r="AP23" s="29"/>
      <c r="AQ23" s="29" t="str">
        <f t="shared" ref="AQ23:BL23" si="26">T23/T$2</f>
        <v>#N/A</v>
      </c>
      <c r="AR23" s="29" t="str">
        <f t="shared" si="26"/>
        <v>#DIV/0!</v>
      </c>
      <c r="AS23" s="29" t="str">
        <f t="shared" si="26"/>
        <v>#DIV/0!</v>
      </c>
      <c r="AT23" s="29" t="str">
        <f t="shared" si="26"/>
        <v>#DIV/0!</v>
      </c>
      <c r="AU23" s="29" t="str">
        <f t="shared" si="26"/>
        <v>#DIV/0!</v>
      </c>
      <c r="AV23" s="29" t="str">
        <f t="shared" si="26"/>
        <v>#DIV/0!</v>
      </c>
      <c r="AW23" s="29" t="str">
        <f t="shared" si="26"/>
        <v>#DIV/0!</v>
      </c>
      <c r="AX23" s="29" t="str">
        <f t="shared" si="26"/>
        <v>#DIV/0!</v>
      </c>
      <c r="AY23" s="29" t="str">
        <f t="shared" si="26"/>
        <v>#DIV/0!</v>
      </c>
      <c r="AZ23" s="29" t="str">
        <f t="shared" si="26"/>
        <v>#DIV/0!</v>
      </c>
      <c r="BA23" s="29" t="str">
        <f t="shared" si="26"/>
        <v>#DIV/0!</v>
      </c>
      <c r="BB23" s="29" t="str">
        <f t="shared" si="26"/>
        <v>#DIV/0!</v>
      </c>
      <c r="BC23" s="29" t="str">
        <f t="shared" si="26"/>
        <v>#DIV/0!</v>
      </c>
      <c r="BD23" s="29" t="str">
        <f t="shared" si="26"/>
        <v>#DIV/0!</v>
      </c>
      <c r="BE23" s="29" t="str">
        <f t="shared" si="26"/>
        <v>#DIV/0!</v>
      </c>
      <c r="BF23" s="29" t="str">
        <f t="shared" si="26"/>
        <v>#DIV/0!</v>
      </c>
      <c r="BG23" s="29" t="str">
        <f t="shared" si="26"/>
        <v>#DIV/0!</v>
      </c>
      <c r="BH23" s="29" t="str">
        <f t="shared" si="26"/>
        <v>#DIV/0!</v>
      </c>
      <c r="BI23" s="29" t="str">
        <f t="shared" si="26"/>
        <v>#DIV/0!</v>
      </c>
      <c r="BJ23" s="29" t="str">
        <f t="shared" si="26"/>
        <v>#DIV/0!</v>
      </c>
      <c r="BK23" s="29" t="str">
        <f t="shared" si="26"/>
        <v>#DIV/0!</v>
      </c>
      <c r="BL23" s="29" t="str">
        <f t="shared" si="26"/>
        <v>#DIV/0!</v>
      </c>
      <c r="BM23" s="29" t="str">
        <f t="shared" si="3"/>
        <v>#DIV/0!</v>
      </c>
    </row>
    <row r="24">
      <c r="A24" s="16" t="str">
        <f>IFERROR(__xludf.DUMMYFUNCTION("IFERROR(SPARKLINE(SORT(MAP(TRANSPOSE(AQ24:BL24), LAMBDA(val, IF(ISNUMBER(val), PERCENTRANK(AQ24:BL24, val)+0.01, 0))), SEQUENCE(COLUMNS(AQ24:BL24)), FALSE), {""charttype"",""column""; ""color"",""chartreuse""; ""ymin"", 0; ""ymax"", 1.01; ""highcolor"", "&amp;"""darkgreen""; ""lowcolor"", ""red""}), """")"),"")</f>
        <v/>
      </c>
      <c r="B24" s="17" t="str">
        <f t="shared" si="4"/>
        <v/>
      </c>
      <c r="C24" s="1" t="s">
        <v>2151</v>
      </c>
      <c r="D24" s="30" t="str">
        <f>IFERROR(__xludf.DUMMYFUNCTION("IFERROR(GOOGLEFINANCE(C24, ""NAME""))"),"United Natural Foods Inc")</f>
        <v>United Natural Foods Inc</v>
      </c>
      <c r="E24" s="30" t="s">
        <v>2120</v>
      </c>
      <c r="F24" s="33" t="str">
        <f>IFERROR(__xludf.DUMMYFUNCTION("( (GOOGLEFINANCE(C24, ""price"") - Q24) / Q24 ) / (R24 / 100)"),"Loading...")</f>
        <v>Loading...</v>
      </c>
      <c r="G24" s="20" t="str">
        <f>IFERROR(__xludf.DUMMYFUNCTION("AVERAGE(ARRAYFORMULA(100 * (QUERY(GOOGLEFINANCE(C24, ""high"", TODAY()-40, TODAY()), ""SELECT Col2 WHERE Col2 IS NOT NULL ORDER BY Col1 DESC LIMIT 20"", 0) / QUERY(GOOGLEFINANCE(C24, ""low"", TODAY()-40, TODAY()), ""SELECT Col2 WHERE Col2 IS NOT NULL ORDE"&amp;"R BY Col1 DESC LIMIT 20"", 0) - 1)))"),"#N/A")</f>
        <v>#N/A</v>
      </c>
      <c r="H24" s="35" t="str">
        <f t="shared" si="6"/>
        <v>Illiquid</v>
      </c>
      <c r="I24" s="36" t="str">
        <f t="shared" si="7"/>
        <v>RVol Required</v>
      </c>
      <c r="J24" s="37">
        <f>IFERROR(__xludf.DUMMYFUNCTION("IFERROR(
  IF(C24="""",, 
    IFERROR(
      GOOGLEFINANCE(C24, ""price"") * GOOGLEFINANCE(C24, ""volumeavg""), 
      GOOGLEFINANCE(C24, ""price"") * AVERAGE(QUERY(GOOGLEFINANCE(C24, ""volume"", TODAY()-40, TODAY()), ""SELECT Col2 WHERE Col2 IS NOT NULL "&amp;"ORDER BY Col1 DESC LIMIT 20"", 0))
    )
  ), 
"""")"),3.304692837E7)</f>
        <v>33046928.37</v>
      </c>
      <c r="K24" s="21">
        <f>IFERROR(__xludf.DUMMYFUNCTION("IFERROR(GOOGLEFINANCE(C24, ""changepct"") / 100, """")"),-0.0097)</f>
        <v>-0.0097</v>
      </c>
      <c r="L24" s="21" t="str">
        <f>IFERROR(__xludf.DUMMYFUNCTION("IFERROR((GOOGLEFINANCE(C24, ""price"") / INDEX(GOOGLEFINANCE(C24, ""price"", TODAY()-7, TODAY()), 2, 2)) - 1, """")"),"")</f>
        <v/>
      </c>
      <c r="M24" s="21" t="str">
        <f>IFERROR(__xludf.DUMMYFUNCTION("IFERROR((GOOGLEFINANCE(C24, ""price"") / INDEX(GOOGLEFINANCE(C24, ""price"", EDATE(TODAY(), -1), TODAY()), 2, 2)) - 1, """")"),"")</f>
        <v/>
      </c>
      <c r="N24" s="21" t="str">
        <f>IFERROR(__xludf.DUMMYFUNCTION("IFERROR((GOOGLEFINANCE(C24, ""price"") / INDEX(GOOGLEFINANCE(C24, ""price"", EDATE(TODAY(), -3), TODAY()), 2, 2)) - 1, """")"),"")</f>
        <v/>
      </c>
      <c r="O24" s="21" t="str">
        <f>IFERROR(__xludf.DUMMYFUNCTION("IFERROR((GOOGLEFINANCE(C24, ""price"") / INDEX(GOOGLEFINANCE(C24, ""price"", EDATE(TODAY(), -6), TODAY()), 2, 2)) - 1, """")"),"")</f>
        <v/>
      </c>
      <c r="P24" s="21" t="str">
        <f>IFERROR(__xludf.DUMMYFUNCTION("IFERROR((GOOGLEFINANCE(C24, ""price"") / INDEX(GOOGLEFINANCE(C24, ""price"", EDATE(TODAY(), -12), TODAY()), 2, 2)) - 1, """")"),"")</f>
        <v/>
      </c>
      <c r="Q24" s="6" t="str">
        <f>IFERROR(__xludf.DUMMYFUNCTION("AVERAGE(QUERY(GOOGLEFINANCE(C24, ""price"", TODAY()-80, TODAY()), ""SELECT Col2 WHERE Col2 IS NOT NULL ORDER BY Col1 DESC LIMIT 50"", 0))"),"#N/A")</f>
        <v>#N/A</v>
      </c>
      <c r="R24" s="24" t="str">
        <f>IFERROR(__xludf.DUMMYFUNCTION("IFERROR(
  LET(
    data, QUERY(GOOGLEFINANCE(C24,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GOOGLEFINANCE(C24, ""price"")) * 100,
    IF(calc=0, G24, calc)
  ), 
G24)"),"#N/A")</f>
        <v>#N/A</v>
      </c>
      <c r="S24" s="8" t="s">
        <v>15</v>
      </c>
      <c r="T24" s="26" t="str">
        <f>IFERROR(__xludf.DUMMYFUNCTION("IFERROR(TRANSPOSE(QUERY(IFERROR(SORT(GOOGLEFINANCE(C24, ""price"", WORKDAY(TODAY(), -40), TODAY()), 1, FALSE)), ""select Col2 where Col2 is not null limit 22 label Col2 ''"", 0)), """")"),"")</f>
        <v/>
      </c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8"/>
      <c r="AO24" s="28"/>
      <c r="AP24" s="29"/>
      <c r="AQ24" s="29" t="str">
        <f t="shared" ref="AQ24:BL24" si="27">T24/T$2</f>
        <v>#N/A</v>
      </c>
      <c r="AR24" s="29" t="str">
        <f t="shared" si="27"/>
        <v>#DIV/0!</v>
      </c>
      <c r="AS24" s="29" t="str">
        <f t="shared" si="27"/>
        <v>#DIV/0!</v>
      </c>
      <c r="AT24" s="29" t="str">
        <f t="shared" si="27"/>
        <v>#DIV/0!</v>
      </c>
      <c r="AU24" s="29" t="str">
        <f t="shared" si="27"/>
        <v>#DIV/0!</v>
      </c>
      <c r="AV24" s="29" t="str">
        <f t="shared" si="27"/>
        <v>#DIV/0!</v>
      </c>
      <c r="AW24" s="29" t="str">
        <f t="shared" si="27"/>
        <v>#DIV/0!</v>
      </c>
      <c r="AX24" s="29" t="str">
        <f t="shared" si="27"/>
        <v>#DIV/0!</v>
      </c>
      <c r="AY24" s="29" t="str">
        <f t="shared" si="27"/>
        <v>#DIV/0!</v>
      </c>
      <c r="AZ24" s="29" t="str">
        <f t="shared" si="27"/>
        <v>#DIV/0!</v>
      </c>
      <c r="BA24" s="29" t="str">
        <f t="shared" si="27"/>
        <v>#DIV/0!</v>
      </c>
      <c r="BB24" s="29" t="str">
        <f t="shared" si="27"/>
        <v>#DIV/0!</v>
      </c>
      <c r="BC24" s="29" t="str">
        <f t="shared" si="27"/>
        <v>#DIV/0!</v>
      </c>
      <c r="BD24" s="29" t="str">
        <f t="shared" si="27"/>
        <v>#DIV/0!</v>
      </c>
      <c r="BE24" s="29" t="str">
        <f t="shared" si="27"/>
        <v>#DIV/0!</v>
      </c>
      <c r="BF24" s="29" t="str">
        <f t="shared" si="27"/>
        <v>#DIV/0!</v>
      </c>
      <c r="BG24" s="29" t="str">
        <f t="shared" si="27"/>
        <v>#DIV/0!</v>
      </c>
      <c r="BH24" s="29" t="str">
        <f t="shared" si="27"/>
        <v>#DIV/0!</v>
      </c>
      <c r="BI24" s="29" t="str">
        <f t="shared" si="27"/>
        <v>#DIV/0!</v>
      </c>
      <c r="BJ24" s="29" t="str">
        <f t="shared" si="27"/>
        <v>#DIV/0!</v>
      </c>
      <c r="BK24" s="29" t="str">
        <f t="shared" si="27"/>
        <v>#DIV/0!</v>
      </c>
      <c r="BL24" s="29" t="str">
        <f t="shared" si="27"/>
        <v>#DIV/0!</v>
      </c>
      <c r="BM24" s="29" t="str">
        <f t="shared" si="3"/>
        <v>#DIV/0!</v>
      </c>
    </row>
    <row r="25">
      <c r="A25" s="16" t="str">
        <f>IFERROR(__xludf.DUMMYFUNCTION("IFERROR(SPARKLINE(SORT(MAP(TRANSPOSE(AQ25:BL25), LAMBDA(val, IF(ISNUMBER(val), PERCENTRANK(AQ25:BL25, val)+0.01, 0))), SEQUENCE(COLUMNS(AQ25:BL25)), FALSE), {""charttype"",""column""; ""color"",""chartreuse""; ""ymin"", 0; ""ymax"", 1.01; ""highcolor"", "&amp;"""darkgreen""; ""lowcolor"", ""red""}), """")"),"")</f>
        <v/>
      </c>
      <c r="B25" s="17" t="str">
        <f t="shared" si="4"/>
        <v/>
      </c>
      <c r="C25" s="1" t="s">
        <v>2155</v>
      </c>
      <c r="D25" s="30" t="str">
        <f>IFERROR(__xludf.DUMMYFUNCTION("IFERROR(GOOGLEFINANCE(C25, ""NAME""))"),"Magnum Ice Cream Company NV")</f>
        <v>Magnum Ice Cream Company NV</v>
      </c>
      <c r="E25" s="30" t="s">
        <v>2094</v>
      </c>
      <c r="F25" s="38" t="str">
        <f>IFERROR(__xludf.DUMMYFUNCTION("( (GOOGLEFINANCE(C25, ""price"") - Q25) / Q25 ) / (R25 / 100)"),"Loading...")</f>
        <v>Loading...</v>
      </c>
      <c r="G25" s="20" t="str">
        <f>IFERROR(__xludf.DUMMYFUNCTION("AVERAGE(ARRAYFORMULA(100 * (QUERY(GOOGLEFINANCE(C25, ""high"", TODAY()-40, TODAY()), ""SELECT Col2 WHERE Col2 IS NOT NULL ORDER BY Col1 DESC LIMIT 20"", 0) / QUERY(GOOGLEFINANCE(C25, ""low"", TODAY()-40, TODAY()), ""SELECT Col2 WHERE Col2 IS NOT NULL ORDE"&amp;"R BY Col1 DESC LIMIT 20"", 0) - 1)))"),"#N/A")</f>
        <v>#N/A</v>
      </c>
      <c r="H25" s="35" t="str">
        <f t="shared" si="6"/>
        <v>Illiquid</v>
      </c>
      <c r="I25" s="36" t="str">
        <f t="shared" si="7"/>
        <v>RVol Required</v>
      </c>
      <c r="J25" s="37">
        <f>IFERROR(__xludf.DUMMYFUNCTION("IFERROR(
  IF(C25="""",, 
    IFERROR(
      GOOGLEFINANCE(C25, ""price"") * GOOGLEFINANCE(C25, ""volumeavg""), 
      GOOGLEFINANCE(C25, ""price"") * AVERAGE(QUERY(GOOGLEFINANCE(C25, ""volume"", TODAY()-40, TODAY()), ""SELECT Col2 WHERE Col2 IS NOT NULL "&amp;"ORDER BY Col1 DESC LIMIT 20"", 0))
    )
  ), 
"""")"),1.5541820940000001E7)</f>
        <v>15541820.94</v>
      </c>
      <c r="K25" s="21">
        <f>IFERROR(__xludf.DUMMYFUNCTION("IFERROR(GOOGLEFINANCE(C25, ""changepct"") / 100, """")"),0.0184)</f>
        <v>0.0184</v>
      </c>
      <c r="L25" s="21" t="str">
        <f>IFERROR(__xludf.DUMMYFUNCTION("IFERROR((GOOGLEFINANCE(C25, ""price"") / INDEX(GOOGLEFINANCE(C25, ""price"", TODAY()-7, TODAY()), 2, 2)) - 1, """")"),"")</f>
        <v/>
      </c>
      <c r="M25" s="21" t="str">
        <f>IFERROR(__xludf.DUMMYFUNCTION("IFERROR((GOOGLEFINANCE(C25, ""price"") / INDEX(GOOGLEFINANCE(C25, ""price"", EDATE(TODAY(), -1), TODAY()), 2, 2)) - 1, """")"),"")</f>
        <v/>
      </c>
      <c r="N25" s="21" t="str">
        <f>IFERROR(__xludf.DUMMYFUNCTION("IFERROR((GOOGLEFINANCE(C25, ""price"") / INDEX(GOOGLEFINANCE(C25, ""price"", EDATE(TODAY(), -3), TODAY()), 2, 2)) - 1, """")"),"")</f>
        <v/>
      </c>
      <c r="O25" s="21" t="str">
        <f>IFERROR(__xludf.DUMMYFUNCTION("IFERROR((GOOGLEFINANCE(C25, ""price"") / INDEX(GOOGLEFINANCE(C25, ""price"", EDATE(TODAY(), -6), TODAY()), 2, 2)) - 1, """")"),"")</f>
        <v/>
      </c>
      <c r="P25" s="21" t="str">
        <f>IFERROR(__xludf.DUMMYFUNCTION("IFERROR((GOOGLEFINANCE(C25, ""price"") / INDEX(GOOGLEFINANCE(C25, ""price"", EDATE(TODAY(), -12), TODAY()), 2, 2)) - 1, """")"),"")</f>
        <v/>
      </c>
      <c r="Q25" s="6" t="str">
        <f>IFERROR(__xludf.DUMMYFUNCTION("AVERAGE(QUERY(GOOGLEFINANCE(C25, ""price"", TODAY()-80, TODAY()), ""SELECT Col2 WHERE Col2 IS NOT NULL ORDER BY Col1 DESC LIMIT 50"", 0))"),"#N/A")</f>
        <v>#N/A</v>
      </c>
      <c r="R25" s="24" t="str">
        <f>IFERROR(__xludf.DUMMYFUNCTION("IFERROR(
  LET(
    data, QUERY(GOOGLEFINANCE(C25,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GOOGLEFINANCE(C25, ""price"")) * 100,
    IF(calc=0, G25, calc)
  ), 
G25)"),"#N/A")</f>
        <v>#N/A</v>
      </c>
      <c r="S25" s="8" t="s">
        <v>15</v>
      </c>
      <c r="T25" s="26" t="str">
        <f>IFERROR(__xludf.DUMMYFUNCTION("IFERROR(TRANSPOSE(QUERY(IFERROR(SORT(GOOGLEFINANCE(C25, ""price"", WORKDAY(TODAY(), -40), TODAY()), 1, FALSE)), ""select Col2 where Col2 is not null limit 22 label Col2 ''"", 0)), """")"),"")</f>
        <v/>
      </c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8"/>
      <c r="AO25" s="28"/>
      <c r="AP25" s="29"/>
      <c r="AQ25" s="29" t="str">
        <f t="shared" ref="AQ25:BL25" si="28">T25/T$2</f>
        <v>#N/A</v>
      </c>
      <c r="AR25" s="29" t="str">
        <f t="shared" si="28"/>
        <v>#DIV/0!</v>
      </c>
      <c r="AS25" s="29" t="str">
        <f t="shared" si="28"/>
        <v>#DIV/0!</v>
      </c>
      <c r="AT25" s="29" t="str">
        <f t="shared" si="28"/>
        <v>#DIV/0!</v>
      </c>
      <c r="AU25" s="29" t="str">
        <f t="shared" si="28"/>
        <v>#DIV/0!</v>
      </c>
      <c r="AV25" s="29" t="str">
        <f t="shared" si="28"/>
        <v>#DIV/0!</v>
      </c>
      <c r="AW25" s="29" t="str">
        <f t="shared" si="28"/>
        <v>#DIV/0!</v>
      </c>
      <c r="AX25" s="29" t="str">
        <f t="shared" si="28"/>
        <v>#DIV/0!</v>
      </c>
      <c r="AY25" s="29" t="str">
        <f t="shared" si="28"/>
        <v>#DIV/0!</v>
      </c>
      <c r="AZ25" s="29" t="str">
        <f t="shared" si="28"/>
        <v>#DIV/0!</v>
      </c>
      <c r="BA25" s="29" t="str">
        <f t="shared" si="28"/>
        <v>#DIV/0!</v>
      </c>
      <c r="BB25" s="29" t="str">
        <f t="shared" si="28"/>
        <v>#DIV/0!</v>
      </c>
      <c r="BC25" s="29" t="str">
        <f t="shared" si="28"/>
        <v>#DIV/0!</v>
      </c>
      <c r="BD25" s="29" t="str">
        <f t="shared" si="28"/>
        <v>#DIV/0!</v>
      </c>
      <c r="BE25" s="29" t="str">
        <f t="shared" si="28"/>
        <v>#DIV/0!</v>
      </c>
      <c r="BF25" s="29" t="str">
        <f t="shared" si="28"/>
        <v>#DIV/0!</v>
      </c>
      <c r="BG25" s="29" t="str">
        <f t="shared" si="28"/>
        <v>#DIV/0!</v>
      </c>
      <c r="BH25" s="29" t="str">
        <f t="shared" si="28"/>
        <v>#DIV/0!</v>
      </c>
      <c r="BI25" s="29" t="str">
        <f t="shared" si="28"/>
        <v>#DIV/0!</v>
      </c>
      <c r="BJ25" s="29" t="str">
        <f t="shared" si="28"/>
        <v>#DIV/0!</v>
      </c>
      <c r="BK25" s="29" t="str">
        <f t="shared" si="28"/>
        <v>#DIV/0!</v>
      </c>
      <c r="BL25" s="29" t="str">
        <f t="shared" si="28"/>
        <v>#DIV/0!</v>
      </c>
      <c r="BM25" s="29" t="str">
        <f t="shared" si="3"/>
        <v>#DIV/0!</v>
      </c>
    </row>
    <row r="26">
      <c r="A26" s="16" t="str">
        <f>IFERROR(__xludf.DUMMYFUNCTION("IFERROR(SPARKLINE(SORT(MAP(TRANSPOSE(AQ26:BL26), LAMBDA(val, IF(ISNUMBER(val), PERCENTRANK(AQ26:BL26, val)+0.01, 0))), SEQUENCE(COLUMNS(AQ26:BL26)), FALSE), {""charttype"",""column""; ""color"",""chartreuse""; ""ymin"", 0; ""ymax"", 1.01; ""highcolor"", "&amp;"""darkgreen""; ""lowcolor"", ""red""}), """")"),"")</f>
        <v/>
      </c>
      <c r="B26" s="17" t="str">
        <f t="shared" si="4"/>
        <v/>
      </c>
      <c r="C26" s="1" t="s">
        <v>2159</v>
      </c>
      <c r="D26" s="30" t="str">
        <f>IFERROR(__xludf.DUMMYFUNCTION("IFERROR(GOOGLEFINANCE(C26, ""NAME""))"),"Chefs' Warehouse Inc")</f>
        <v>Chefs' Warehouse Inc</v>
      </c>
      <c r="E26" s="30" t="s">
        <v>2120</v>
      </c>
      <c r="F26" s="33" t="str">
        <f>IFERROR(__xludf.DUMMYFUNCTION("( (GOOGLEFINANCE(C26, ""price"") - Q26) / Q26 ) / (R26 / 100)"),"Loading...")</f>
        <v>Loading...</v>
      </c>
      <c r="G26" s="20" t="str">
        <f>IFERROR(__xludf.DUMMYFUNCTION("AVERAGE(ARRAYFORMULA(100 * (QUERY(GOOGLEFINANCE(C26, ""high"", TODAY()-40, TODAY()), ""SELECT Col2 WHERE Col2 IS NOT NULL ORDER BY Col1 DESC LIMIT 20"", 0) / QUERY(GOOGLEFINANCE(C26, ""low"", TODAY()-40, TODAY()), ""SELECT Col2 WHERE Col2 IS NOT NULL ORDE"&amp;"R BY Col1 DESC LIMIT 20"", 0) - 1)))"),"#N/A")</f>
        <v>#N/A</v>
      </c>
      <c r="H26" s="35" t="str">
        <f t="shared" si="6"/>
        <v>Liquid</v>
      </c>
      <c r="I26" s="36" t="str">
        <f t="shared" si="7"/>
        <v>RVol Required</v>
      </c>
      <c r="J26" s="37">
        <f>IFERROR(__xludf.DUMMYFUNCTION("IFERROR(
  IF(C26="""",, 
    IFERROR(
      GOOGLEFINANCE(C26, ""price"") * GOOGLEFINANCE(C26, ""volumeavg""), 
      GOOGLEFINANCE(C26, ""price"") * AVERAGE(QUERY(GOOGLEFINANCE(C26, ""volume"", TODAY()-40, TODAY()), ""SELECT Col2 WHERE Col2 IS NOT NULL "&amp;"ORDER BY Col1 DESC LIMIT 20"", 0))
    )
  ), 
"""")"),7.162712258999999E7)</f>
        <v>71627122.59</v>
      </c>
      <c r="K26" s="21">
        <f>IFERROR(__xludf.DUMMYFUNCTION("IFERROR(GOOGLEFINANCE(C26, ""changepct"") / 100, """")"),-0.0060999999999999995)</f>
        <v>-0.0061</v>
      </c>
      <c r="L26" s="21" t="str">
        <f>IFERROR(__xludf.DUMMYFUNCTION("IFERROR((GOOGLEFINANCE(C26, ""price"") / INDEX(GOOGLEFINANCE(C26, ""price"", TODAY()-7, TODAY()), 2, 2)) - 1, """")"),"")</f>
        <v/>
      </c>
      <c r="M26" s="21" t="str">
        <f>IFERROR(__xludf.DUMMYFUNCTION("IFERROR((GOOGLEFINANCE(C26, ""price"") / INDEX(GOOGLEFINANCE(C26, ""price"", EDATE(TODAY(), -1), TODAY()), 2, 2)) - 1, """")"),"")</f>
        <v/>
      </c>
      <c r="N26" s="21" t="str">
        <f>IFERROR(__xludf.DUMMYFUNCTION("IFERROR((GOOGLEFINANCE(C26, ""price"") / INDEX(GOOGLEFINANCE(C26, ""price"", EDATE(TODAY(), -3), TODAY()), 2, 2)) - 1, """")"),"")</f>
        <v/>
      </c>
      <c r="O26" s="21" t="str">
        <f>IFERROR(__xludf.DUMMYFUNCTION("IFERROR((GOOGLEFINANCE(C26, ""price"") / INDEX(GOOGLEFINANCE(C26, ""price"", EDATE(TODAY(), -6), TODAY()), 2, 2)) - 1, """")"),"")</f>
        <v/>
      </c>
      <c r="P26" s="21" t="str">
        <f>IFERROR(__xludf.DUMMYFUNCTION("IFERROR((GOOGLEFINANCE(C26, ""price"") / INDEX(GOOGLEFINANCE(C26, ""price"", EDATE(TODAY(), -12), TODAY()), 2, 2)) - 1, """")"),"")</f>
        <v/>
      </c>
      <c r="Q26" s="6" t="str">
        <f>IFERROR(__xludf.DUMMYFUNCTION("AVERAGE(QUERY(GOOGLEFINANCE(C26, ""price"", TODAY()-80, TODAY()), ""SELECT Col2 WHERE Col2 IS NOT NULL ORDER BY Col1 DESC LIMIT 50"", 0))"),"#N/A")</f>
        <v>#N/A</v>
      </c>
      <c r="R26" s="24" t="str">
        <f>IFERROR(__xludf.DUMMYFUNCTION("IFERROR(
  LET(
    data, QUERY(GOOGLEFINANCE(C26,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GOOGLEFINANCE(C26, ""price"")) * 100,
    IF(calc=0, G26, calc)
  ), 
G26)"),"#N/A")</f>
        <v>#N/A</v>
      </c>
      <c r="S26" s="8" t="s">
        <v>15</v>
      </c>
      <c r="T26" s="26" t="str">
        <f>IFERROR(__xludf.DUMMYFUNCTION("IFERROR(TRANSPOSE(QUERY(IFERROR(SORT(GOOGLEFINANCE(C26, ""price"", WORKDAY(TODAY(), -40), TODAY()), 1, FALSE)), ""select Col2 where Col2 is not null limit 22 label Col2 ''"", 0)), """")"),"")</f>
        <v/>
      </c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8"/>
      <c r="AO26" s="28"/>
      <c r="AP26" s="29"/>
      <c r="AQ26" s="29" t="str">
        <f t="shared" ref="AQ26:BL26" si="29">T26/T$2</f>
        <v>#N/A</v>
      </c>
      <c r="AR26" s="29" t="str">
        <f t="shared" si="29"/>
        <v>#DIV/0!</v>
      </c>
      <c r="AS26" s="29" t="str">
        <f t="shared" si="29"/>
        <v>#DIV/0!</v>
      </c>
      <c r="AT26" s="29" t="str">
        <f t="shared" si="29"/>
        <v>#DIV/0!</v>
      </c>
      <c r="AU26" s="29" t="str">
        <f t="shared" si="29"/>
        <v>#DIV/0!</v>
      </c>
      <c r="AV26" s="29" t="str">
        <f t="shared" si="29"/>
        <v>#DIV/0!</v>
      </c>
      <c r="AW26" s="29" t="str">
        <f t="shared" si="29"/>
        <v>#DIV/0!</v>
      </c>
      <c r="AX26" s="29" t="str">
        <f t="shared" si="29"/>
        <v>#DIV/0!</v>
      </c>
      <c r="AY26" s="29" t="str">
        <f t="shared" si="29"/>
        <v>#DIV/0!</v>
      </c>
      <c r="AZ26" s="29" t="str">
        <f t="shared" si="29"/>
        <v>#DIV/0!</v>
      </c>
      <c r="BA26" s="29" t="str">
        <f t="shared" si="29"/>
        <v>#DIV/0!</v>
      </c>
      <c r="BB26" s="29" t="str">
        <f t="shared" si="29"/>
        <v>#DIV/0!</v>
      </c>
      <c r="BC26" s="29" t="str">
        <f t="shared" si="29"/>
        <v>#DIV/0!</v>
      </c>
      <c r="BD26" s="29" t="str">
        <f t="shared" si="29"/>
        <v>#DIV/0!</v>
      </c>
      <c r="BE26" s="29" t="str">
        <f t="shared" si="29"/>
        <v>#DIV/0!</v>
      </c>
      <c r="BF26" s="29" t="str">
        <f t="shared" si="29"/>
        <v>#DIV/0!</v>
      </c>
      <c r="BG26" s="29" t="str">
        <f t="shared" si="29"/>
        <v>#DIV/0!</v>
      </c>
      <c r="BH26" s="29" t="str">
        <f t="shared" si="29"/>
        <v>#DIV/0!</v>
      </c>
      <c r="BI26" s="29" t="str">
        <f t="shared" si="29"/>
        <v>#DIV/0!</v>
      </c>
      <c r="BJ26" s="29" t="str">
        <f t="shared" si="29"/>
        <v>#DIV/0!</v>
      </c>
      <c r="BK26" s="29" t="str">
        <f t="shared" si="29"/>
        <v>#DIV/0!</v>
      </c>
      <c r="BL26" s="29" t="str">
        <f t="shared" si="29"/>
        <v>#DIV/0!</v>
      </c>
      <c r="BM26" s="29" t="str">
        <f t="shared" si="3"/>
        <v>#DIV/0!</v>
      </c>
    </row>
    <row r="27">
      <c r="A27" s="16" t="str">
        <f>IFERROR(__xludf.DUMMYFUNCTION("IFERROR(SPARKLINE(SORT(MAP(TRANSPOSE(AQ27:BL27), LAMBDA(val, IF(ISNUMBER(val), PERCENTRANK(AQ27:BL27, val)+0.01, 0))), SEQUENCE(COLUMNS(AQ27:BL27)), FALSE), {""charttype"",""column""; ""color"",""chartreuse""; ""ymin"", 0; ""ymax"", 1.01; ""highcolor"", "&amp;"""darkgreen""; ""lowcolor"", ""red""}), """")"),"")</f>
        <v/>
      </c>
      <c r="B27" s="17" t="str">
        <f t="shared" si="4"/>
        <v/>
      </c>
      <c r="C27" s="1" t="s">
        <v>2163</v>
      </c>
      <c r="D27" s="30" t="str">
        <f>IFERROR(__xludf.DUMMYFUNCTION("IFERROR(GOOGLEFINANCE(C27, ""NAME""))"),"MONDELEZ INTERNATIONAL INC Common Stock")</f>
        <v>MONDELEZ INTERNATIONAL INC Common Stock</v>
      </c>
      <c r="E27" s="30" t="s">
        <v>2164</v>
      </c>
      <c r="F27" s="33" t="str">
        <f>IFERROR(__xludf.DUMMYFUNCTION("( (GOOGLEFINANCE(C27, ""price"") - Q27) / Q27 ) / (R27 / 100)"),"Loading...")</f>
        <v>Loading...</v>
      </c>
      <c r="G27" s="20" t="str">
        <f>IFERROR(__xludf.DUMMYFUNCTION("AVERAGE(ARRAYFORMULA(100 * (QUERY(GOOGLEFINANCE(C27, ""high"", TODAY()-40, TODAY()), ""SELECT Col2 WHERE Col2 IS NOT NULL ORDER BY Col1 DESC LIMIT 20"", 0) / QUERY(GOOGLEFINANCE(C27, ""low"", TODAY()-40, TODAY()), ""SELECT Col2 WHERE Col2 IS NOT NULL ORDE"&amp;"R BY Col1 DESC LIMIT 20"", 0) - 1)))"),"#N/A")</f>
        <v>#N/A</v>
      </c>
      <c r="H27" s="35" t="str">
        <f t="shared" si="6"/>
        <v>Liquid</v>
      </c>
      <c r="I27" s="36" t="str">
        <f t="shared" si="7"/>
        <v>No RVol Required</v>
      </c>
      <c r="J27" s="37">
        <f>IFERROR(__xludf.DUMMYFUNCTION("IFERROR(
  IF(C27="""",, 
    IFERROR(
      GOOGLEFINANCE(C27, ""price"") * GOOGLEFINANCE(C27, ""volumeavg""), 
      GOOGLEFINANCE(C27, ""price"") * AVERAGE(QUERY(GOOGLEFINANCE(C27, ""volume"", TODAY()-40, TODAY()), ""SELECT Col2 WHERE Col2 IS NOT NULL "&amp;"ORDER BY Col1 DESC LIMIT 20"", 0))
    )
  ), 
"""")"),5.0516592203E8)</f>
        <v>505165922</v>
      </c>
      <c r="K27" s="21">
        <f>IFERROR(__xludf.DUMMYFUNCTION("IFERROR(GOOGLEFINANCE(C27, ""changepct"") / 100, """")"),0.013999999999999999)</f>
        <v>0.014</v>
      </c>
      <c r="L27" s="21" t="str">
        <f>IFERROR(__xludf.DUMMYFUNCTION("IFERROR((GOOGLEFINANCE(C27, ""price"") / INDEX(GOOGLEFINANCE(C27, ""price"", TODAY()-7, TODAY()), 2, 2)) - 1, """")"),"")</f>
        <v/>
      </c>
      <c r="M27" s="21" t="str">
        <f>IFERROR(__xludf.DUMMYFUNCTION("IFERROR((GOOGLEFINANCE(C27, ""price"") / INDEX(GOOGLEFINANCE(C27, ""price"", EDATE(TODAY(), -1), TODAY()), 2, 2)) - 1, """")"),"")</f>
        <v/>
      </c>
      <c r="N27" s="21" t="str">
        <f>IFERROR(__xludf.DUMMYFUNCTION("IFERROR((GOOGLEFINANCE(C27, ""price"") / INDEX(GOOGLEFINANCE(C27, ""price"", EDATE(TODAY(), -3), TODAY()), 2, 2)) - 1, """")"),"")</f>
        <v/>
      </c>
      <c r="O27" s="21" t="str">
        <f>IFERROR(__xludf.DUMMYFUNCTION("IFERROR((GOOGLEFINANCE(C27, ""price"") / INDEX(GOOGLEFINANCE(C27, ""price"", EDATE(TODAY(), -6), TODAY()), 2, 2)) - 1, """")"),"")</f>
        <v/>
      </c>
      <c r="P27" s="21" t="str">
        <f>IFERROR(__xludf.DUMMYFUNCTION("IFERROR((GOOGLEFINANCE(C27, ""price"") / INDEX(GOOGLEFINANCE(C27, ""price"", EDATE(TODAY(), -12), TODAY()), 2, 2)) - 1, """")"),"")</f>
        <v/>
      </c>
      <c r="Q27" s="6" t="str">
        <f>IFERROR(__xludf.DUMMYFUNCTION("AVERAGE(QUERY(GOOGLEFINANCE(C27, ""price"", TODAY()-80, TODAY()), ""SELECT Col2 WHERE Col2 IS NOT NULL ORDER BY Col1 DESC LIMIT 50"", 0))"),"#N/A")</f>
        <v>#N/A</v>
      </c>
      <c r="R27" s="24" t="str">
        <f>IFERROR(__xludf.DUMMYFUNCTION("IFERROR(
  LET(
    data, QUERY(GOOGLEFINANCE(C27,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GOOGLEFINANCE(C27, ""price"")) * 100,
    IF(calc=0, G27, calc)
  ), 
G27)"),"#N/A")</f>
        <v>#N/A</v>
      </c>
      <c r="S27" s="8" t="s">
        <v>15</v>
      </c>
      <c r="T27" s="26" t="str">
        <f>IFERROR(__xludf.DUMMYFUNCTION("IFERROR(TRANSPOSE(QUERY(IFERROR(SORT(GOOGLEFINANCE(C27, ""price"", WORKDAY(TODAY(), -40), TODAY()), 1, FALSE)), ""select Col2 where Col2 is not null limit 22 label Col2 ''"", 0)), """")"),"")</f>
        <v/>
      </c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8"/>
      <c r="AO27" s="28"/>
      <c r="AP27" s="29"/>
      <c r="AQ27" s="29" t="str">
        <f t="shared" ref="AQ27:BL27" si="30">T27/T$2</f>
        <v>#N/A</v>
      </c>
      <c r="AR27" s="29" t="str">
        <f t="shared" si="30"/>
        <v>#DIV/0!</v>
      </c>
      <c r="AS27" s="29" t="str">
        <f t="shared" si="30"/>
        <v>#DIV/0!</v>
      </c>
      <c r="AT27" s="29" t="str">
        <f t="shared" si="30"/>
        <v>#DIV/0!</v>
      </c>
      <c r="AU27" s="29" t="str">
        <f t="shared" si="30"/>
        <v>#DIV/0!</v>
      </c>
      <c r="AV27" s="29" t="str">
        <f t="shared" si="30"/>
        <v>#DIV/0!</v>
      </c>
      <c r="AW27" s="29" t="str">
        <f t="shared" si="30"/>
        <v>#DIV/0!</v>
      </c>
      <c r="AX27" s="29" t="str">
        <f t="shared" si="30"/>
        <v>#DIV/0!</v>
      </c>
      <c r="AY27" s="29" t="str">
        <f t="shared" si="30"/>
        <v>#DIV/0!</v>
      </c>
      <c r="AZ27" s="29" t="str">
        <f t="shared" si="30"/>
        <v>#DIV/0!</v>
      </c>
      <c r="BA27" s="29" t="str">
        <f t="shared" si="30"/>
        <v>#DIV/0!</v>
      </c>
      <c r="BB27" s="29" t="str">
        <f t="shared" si="30"/>
        <v>#DIV/0!</v>
      </c>
      <c r="BC27" s="29" t="str">
        <f t="shared" si="30"/>
        <v>#DIV/0!</v>
      </c>
      <c r="BD27" s="29" t="str">
        <f t="shared" si="30"/>
        <v>#DIV/0!</v>
      </c>
      <c r="BE27" s="29" t="str">
        <f t="shared" si="30"/>
        <v>#DIV/0!</v>
      </c>
      <c r="BF27" s="29" t="str">
        <f t="shared" si="30"/>
        <v>#DIV/0!</v>
      </c>
      <c r="BG27" s="29" t="str">
        <f t="shared" si="30"/>
        <v>#DIV/0!</v>
      </c>
      <c r="BH27" s="29" t="str">
        <f t="shared" si="30"/>
        <v>#DIV/0!</v>
      </c>
      <c r="BI27" s="29" t="str">
        <f t="shared" si="30"/>
        <v>#DIV/0!</v>
      </c>
      <c r="BJ27" s="29" t="str">
        <f t="shared" si="30"/>
        <v>#DIV/0!</v>
      </c>
      <c r="BK27" s="29" t="str">
        <f t="shared" si="30"/>
        <v>#DIV/0!</v>
      </c>
      <c r="BL27" s="29" t="str">
        <f t="shared" si="30"/>
        <v>#DIV/0!</v>
      </c>
      <c r="BM27" s="29" t="str">
        <f t="shared" si="3"/>
        <v>#DIV/0!</v>
      </c>
    </row>
    <row r="28">
      <c r="A28" s="16" t="str">
        <f>IFERROR(__xludf.DUMMYFUNCTION("IFERROR(SPARKLINE(SORT(MAP(TRANSPOSE(AQ28:BL28), LAMBDA(val, IF(ISNUMBER(val), PERCENTRANK(AQ28:BL28, val)+0.01, 0))), SEQUENCE(COLUMNS(AQ28:BL28)), FALSE), {""charttype"",""column""; ""color"",""chartreuse""; ""ymin"", 0; ""ymax"", 1.01; ""highcolor"", "&amp;"""darkgreen""; ""lowcolor"", ""red""}), """")"),"")</f>
        <v/>
      </c>
      <c r="B28" s="17" t="str">
        <f t="shared" si="4"/>
        <v/>
      </c>
      <c r="C28" s="1" t="s">
        <v>2168</v>
      </c>
      <c r="D28" s="30" t="str">
        <f>IFERROR(__xludf.DUMMYFUNCTION("IFERROR(GOOGLEFINANCE(C28, ""NAME""))"),"Coca-Cola Co")</f>
        <v>Coca-Cola Co</v>
      </c>
      <c r="E28" s="30" t="s">
        <v>2083</v>
      </c>
      <c r="F28" s="33" t="str">
        <f>IFERROR(__xludf.DUMMYFUNCTION("( (GOOGLEFINANCE(C28, ""price"") - Q28) / Q28 ) / (R28 / 100)"),"Loading...")</f>
        <v>Loading...</v>
      </c>
      <c r="G28" s="20" t="str">
        <f>IFERROR(__xludf.DUMMYFUNCTION("AVERAGE(ARRAYFORMULA(100 * (QUERY(GOOGLEFINANCE(C28, ""high"", TODAY()-40, TODAY()), ""SELECT Col2 WHERE Col2 IS NOT NULL ORDER BY Col1 DESC LIMIT 20"", 0) / QUERY(GOOGLEFINANCE(C28, ""low"", TODAY()-40, TODAY()), ""SELECT Col2 WHERE Col2 IS NOT NULL ORDE"&amp;"R BY Col1 DESC LIMIT 20"", 0) - 1)))"),"#N/A")</f>
        <v>#N/A</v>
      </c>
      <c r="H28" s="35" t="str">
        <f t="shared" si="6"/>
        <v>Liquid</v>
      </c>
      <c r="I28" s="36" t="str">
        <f t="shared" si="7"/>
        <v>No RVol Required</v>
      </c>
      <c r="J28" s="37">
        <f>IFERROR(__xludf.DUMMYFUNCTION("IFERROR(
  IF(C28="""",, 
    IFERROR(
      GOOGLEFINANCE(C28, ""price"") * GOOGLEFINANCE(C28, ""volumeavg""), 
      GOOGLEFINANCE(C28, ""price"") * AVERAGE(QUERY(GOOGLEFINANCE(C28, ""volume"", TODAY()-40, TODAY()), ""SELECT Col2 WHERE Col2 IS NOT NULL "&amp;"ORDER BY Col1 DESC LIMIT 20"", 0))
    )
  ), 
"""")"),1.474428129E9)</f>
        <v>1474428129</v>
      </c>
      <c r="K28" s="21">
        <f>IFERROR(__xludf.DUMMYFUNCTION("IFERROR(GOOGLEFINANCE(C28, ""changepct"") / 100, """")"),0.0207)</f>
        <v>0.0207</v>
      </c>
      <c r="L28" s="21" t="str">
        <f>IFERROR(__xludf.DUMMYFUNCTION("IFERROR((GOOGLEFINANCE(C28, ""price"") / INDEX(GOOGLEFINANCE(C28, ""price"", TODAY()-7, TODAY()), 2, 2)) - 1, """")"),"")</f>
        <v/>
      </c>
      <c r="M28" s="21" t="str">
        <f>IFERROR(__xludf.DUMMYFUNCTION("IFERROR((GOOGLEFINANCE(C28, ""price"") / INDEX(GOOGLEFINANCE(C28, ""price"", EDATE(TODAY(), -1), TODAY()), 2, 2)) - 1, """")"),"")</f>
        <v/>
      </c>
      <c r="N28" s="21" t="str">
        <f>IFERROR(__xludf.DUMMYFUNCTION("IFERROR((GOOGLEFINANCE(C28, ""price"") / INDEX(GOOGLEFINANCE(C28, ""price"", EDATE(TODAY(), -3), TODAY()), 2, 2)) - 1, """")"),"")</f>
        <v/>
      </c>
      <c r="O28" s="21" t="str">
        <f>IFERROR(__xludf.DUMMYFUNCTION("IFERROR((GOOGLEFINANCE(C28, ""price"") / INDEX(GOOGLEFINANCE(C28, ""price"", EDATE(TODAY(), -6), TODAY()), 2, 2)) - 1, """")"),"")</f>
        <v/>
      </c>
      <c r="P28" s="21" t="str">
        <f>IFERROR(__xludf.DUMMYFUNCTION("IFERROR((GOOGLEFINANCE(C28, ""price"") / INDEX(GOOGLEFINANCE(C28, ""price"", EDATE(TODAY(), -12), TODAY()), 2, 2)) - 1, """")"),"")</f>
        <v/>
      </c>
      <c r="Q28" s="6" t="str">
        <f>IFERROR(__xludf.DUMMYFUNCTION("AVERAGE(QUERY(GOOGLEFINANCE(C28, ""price"", TODAY()-80, TODAY()), ""SELECT Col2 WHERE Col2 IS NOT NULL ORDER BY Col1 DESC LIMIT 50"", 0))"),"#N/A")</f>
        <v>#N/A</v>
      </c>
      <c r="R28" s="24" t="str">
        <f>IFERROR(__xludf.DUMMYFUNCTION("IFERROR(
  LET(
    data, QUERY(GOOGLEFINANCE(C28,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GOOGLEFINANCE(C28, ""price"")) * 100,
    IF(calc=0, G28, calc)
  ), 
G28)"),"#N/A")</f>
        <v>#N/A</v>
      </c>
      <c r="S28" s="8" t="s">
        <v>15</v>
      </c>
      <c r="T28" s="26" t="str">
        <f>IFERROR(__xludf.DUMMYFUNCTION("IFERROR(TRANSPOSE(QUERY(IFERROR(SORT(GOOGLEFINANCE(C28, ""price"", WORKDAY(TODAY(), -40), TODAY()), 1, FALSE)), ""select Col2 where Col2 is not null limit 22 label Col2 ''"", 0)), """")"),"")</f>
        <v/>
      </c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8"/>
      <c r="AO28" s="28"/>
      <c r="AP28" s="29"/>
      <c r="AQ28" s="29" t="str">
        <f t="shared" ref="AQ28:BL28" si="31">T28/T$2</f>
        <v>#N/A</v>
      </c>
      <c r="AR28" s="29" t="str">
        <f t="shared" si="31"/>
        <v>#DIV/0!</v>
      </c>
      <c r="AS28" s="29" t="str">
        <f t="shared" si="31"/>
        <v>#DIV/0!</v>
      </c>
      <c r="AT28" s="29" t="str">
        <f t="shared" si="31"/>
        <v>#DIV/0!</v>
      </c>
      <c r="AU28" s="29" t="str">
        <f t="shared" si="31"/>
        <v>#DIV/0!</v>
      </c>
      <c r="AV28" s="29" t="str">
        <f t="shared" si="31"/>
        <v>#DIV/0!</v>
      </c>
      <c r="AW28" s="29" t="str">
        <f t="shared" si="31"/>
        <v>#DIV/0!</v>
      </c>
      <c r="AX28" s="29" t="str">
        <f t="shared" si="31"/>
        <v>#DIV/0!</v>
      </c>
      <c r="AY28" s="29" t="str">
        <f t="shared" si="31"/>
        <v>#DIV/0!</v>
      </c>
      <c r="AZ28" s="29" t="str">
        <f t="shared" si="31"/>
        <v>#DIV/0!</v>
      </c>
      <c r="BA28" s="29" t="str">
        <f t="shared" si="31"/>
        <v>#DIV/0!</v>
      </c>
      <c r="BB28" s="29" t="str">
        <f t="shared" si="31"/>
        <v>#DIV/0!</v>
      </c>
      <c r="BC28" s="29" t="str">
        <f t="shared" si="31"/>
        <v>#DIV/0!</v>
      </c>
      <c r="BD28" s="29" t="str">
        <f t="shared" si="31"/>
        <v>#DIV/0!</v>
      </c>
      <c r="BE28" s="29" t="str">
        <f t="shared" si="31"/>
        <v>#DIV/0!</v>
      </c>
      <c r="BF28" s="29" t="str">
        <f t="shared" si="31"/>
        <v>#DIV/0!</v>
      </c>
      <c r="BG28" s="29" t="str">
        <f t="shared" si="31"/>
        <v>#DIV/0!</v>
      </c>
      <c r="BH28" s="29" t="str">
        <f t="shared" si="31"/>
        <v>#DIV/0!</v>
      </c>
      <c r="BI28" s="29" t="str">
        <f t="shared" si="31"/>
        <v>#DIV/0!</v>
      </c>
      <c r="BJ28" s="29" t="str">
        <f t="shared" si="31"/>
        <v>#DIV/0!</v>
      </c>
      <c r="BK28" s="29" t="str">
        <f t="shared" si="31"/>
        <v>#DIV/0!</v>
      </c>
      <c r="BL28" s="29" t="str">
        <f t="shared" si="31"/>
        <v>#DIV/0!</v>
      </c>
      <c r="BM28" s="29" t="str">
        <f t="shared" si="3"/>
        <v>#DIV/0!</v>
      </c>
    </row>
    <row r="29">
      <c r="A29" s="16" t="str">
        <f>IFERROR(__xludf.DUMMYFUNCTION("IFERROR(SPARKLINE(SORT(MAP(TRANSPOSE(AQ29:BL29), LAMBDA(val, IF(ISNUMBER(val), PERCENTRANK(AQ29:BL29, val)+0.01, 0))), SEQUENCE(COLUMNS(AQ29:BL29)), FALSE), {""charttype"",""column""; ""color"",""chartreuse""; ""ymin"", 0; ""ymax"", 1.01; ""highcolor"", "&amp;"""darkgreen""; ""lowcolor"", ""red""}), """")"),"")</f>
        <v/>
      </c>
      <c r="B29" s="17" t="str">
        <f t="shared" si="4"/>
        <v/>
      </c>
      <c r="C29" s="1" t="s">
        <v>2172</v>
      </c>
      <c r="D29" s="30" t="str">
        <f>IFERROR(__xludf.DUMMYFUNCTION("IFERROR(GOOGLEFINANCE(C29, ""NAME""))"),"Keurig Dr Pepper Inc")</f>
        <v>Keurig Dr Pepper Inc</v>
      </c>
      <c r="E29" s="30" t="s">
        <v>2083</v>
      </c>
      <c r="F29" s="33" t="str">
        <f>IFERROR(__xludf.DUMMYFUNCTION("( (GOOGLEFINANCE(C29, ""price"") - Q29) / Q29 ) / (R29 / 100)"),"Loading...")</f>
        <v>Loading...</v>
      </c>
      <c r="G29" s="20" t="str">
        <f>IFERROR(__xludf.DUMMYFUNCTION("AVERAGE(ARRAYFORMULA(100 * (QUERY(GOOGLEFINANCE(C29, ""high"", TODAY()-40, TODAY()), ""SELECT Col2 WHERE Col2 IS NOT NULL ORDER BY Col1 DESC LIMIT 20"", 0) / QUERY(GOOGLEFINANCE(C29, ""low"", TODAY()-40, TODAY()), ""SELECT Col2 WHERE Col2 IS NOT NULL ORDE"&amp;"R BY Col1 DESC LIMIT 20"", 0) - 1)))"),"#N/A")</f>
        <v>#N/A</v>
      </c>
      <c r="H29" s="35" t="str">
        <f t="shared" si="6"/>
        <v>Liquid</v>
      </c>
      <c r="I29" s="36" t="str">
        <f t="shared" si="7"/>
        <v>RVol Required</v>
      </c>
      <c r="J29" s="37">
        <f>IFERROR(__xludf.DUMMYFUNCTION("IFERROR(
  IF(C29="""",, 
    IFERROR(
      GOOGLEFINANCE(C29, ""price"") * GOOGLEFINANCE(C29, ""volumeavg""), 
      GOOGLEFINANCE(C29, ""price"") * AVERAGE(QUERY(GOOGLEFINANCE(C29, ""volume"", TODAY()-40, TODAY()), ""SELECT Col2 WHERE Col2 IS NOT NULL "&amp;"ORDER BY Col1 DESC LIMIT 20"", 0))
    )
  ), 
"""")"),3.8129110896E8)</f>
        <v>381291109</v>
      </c>
      <c r="K29" s="21">
        <f>IFERROR(__xludf.DUMMYFUNCTION("IFERROR(GOOGLEFINANCE(C29, ""changepct"") / 100, """")"),0.0129)</f>
        <v>0.0129</v>
      </c>
      <c r="L29" s="21" t="str">
        <f>IFERROR(__xludf.DUMMYFUNCTION("IFERROR((GOOGLEFINANCE(C29, ""price"") / INDEX(GOOGLEFINANCE(C29, ""price"", TODAY()-7, TODAY()), 2, 2)) - 1, """")"),"")</f>
        <v/>
      </c>
      <c r="M29" s="21" t="str">
        <f>IFERROR(__xludf.DUMMYFUNCTION("IFERROR((GOOGLEFINANCE(C29, ""price"") / INDEX(GOOGLEFINANCE(C29, ""price"", EDATE(TODAY(), -1), TODAY()), 2, 2)) - 1, """")"),"")</f>
        <v/>
      </c>
      <c r="N29" s="21" t="str">
        <f>IFERROR(__xludf.DUMMYFUNCTION("IFERROR((GOOGLEFINANCE(C29, ""price"") / INDEX(GOOGLEFINANCE(C29, ""price"", EDATE(TODAY(), -3), TODAY()), 2, 2)) - 1, """")"),"")</f>
        <v/>
      </c>
      <c r="O29" s="21" t="str">
        <f>IFERROR(__xludf.DUMMYFUNCTION("IFERROR((GOOGLEFINANCE(C29, ""price"") / INDEX(GOOGLEFINANCE(C29, ""price"", EDATE(TODAY(), -6), TODAY()), 2, 2)) - 1, """")"),"")</f>
        <v/>
      </c>
      <c r="P29" s="21" t="str">
        <f>IFERROR(__xludf.DUMMYFUNCTION("IFERROR((GOOGLEFINANCE(C29, ""price"") / INDEX(GOOGLEFINANCE(C29, ""price"", EDATE(TODAY(), -12), TODAY()), 2, 2)) - 1, """")"),"")</f>
        <v/>
      </c>
      <c r="Q29" s="6" t="str">
        <f>IFERROR(__xludf.DUMMYFUNCTION("AVERAGE(QUERY(GOOGLEFINANCE(C29, ""price"", TODAY()-80, TODAY()), ""SELECT Col2 WHERE Col2 IS NOT NULL ORDER BY Col1 DESC LIMIT 50"", 0))"),"#N/A")</f>
        <v>#N/A</v>
      </c>
      <c r="R29" s="24" t="str">
        <f>IFERROR(__xludf.DUMMYFUNCTION("IFERROR(
  LET(
    data, QUERY(GOOGLEFINANCE(C29,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GOOGLEFINANCE(C29, ""price"")) * 100,
    IF(calc=0, G29, calc)
  ), 
G29)"),"#N/A")</f>
        <v>#N/A</v>
      </c>
      <c r="S29" s="8" t="s">
        <v>15</v>
      </c>
      <c r="T29" s="26" t="str">
        <f>IFERROR(__xludf.DUMMYFUNCTION("IFERROR(TRANSPOSE(QUERY(IFERROR(SORT(GOOGLEFINANCE(C29, ""price"", WORKDAY(TODAY(), -40), TODAY()), 1, FALSE)), ""select Col2 where Col2 is not null limit 22 label Col2 ''"", 0)), """")"),"")</f>
        <v/>
      </c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8"/>
      <c r="AO29" s="28"/>
      <c r="AP29" s="29"/>
      <c r="AQ29" s="29" t="str">
        <f t="shared" ref="AQ29:BL29" si="32">T29/T$2</f>
        <v>#N/A</v>
      </c>
      <c r="AR29" s="29" t="str">
        <f t="shared" si="32"/>
        <v>#DIV/0!</v>
      </c>
      <c r="AS29" s="29" t="str">
        <f t="shared" si="32"/>
        <v>#DIV/0!</v>
      </c>
      <c r="AT29" s="29" t="str">
        <f t="shared" si="32"/>
        <v>#DIV/0!</v>
      </c>
      <c r="AU29" s="29" t="str">
        <f t="shared" si="32"/>
        <v>#DIV/0!</v>
      </c>
      <c r="AV29" s="29" t="str">
        <f t="shared" si="32"/>
        <v>#DIV/0!</v>
      </c>
      <c r="AW29" s="29" t="str">
        <f t="shared" si="32"/>
        <v>#DIV/0!</v>
      </c>
      <c r="AX29" s="29" t="str">
        <f t="shared" si="32"/>
        <v>#DIV/0!</v>
      </c>
      <c r="AY29" s="29" t="str">
        <f t="shared" si="32"/>
        <v>#DIV/0!</v>
      </c>
      <c r="AZ29" s="29" t="str">
        <f t="shared" si="32"/>
        <v>#DIV/0!</v>
      </c>
      <c r="BA29" s="29" t="str">
        <f t="shared" si="32"/>
        <v>#DIV/0!</v>
      </c>
      <c r="BB29" s="29" t="str">
        <f t="shared" si="32"/>
        <v>#DIV/0!</v>
      </c>
      <c r="BC29" s="29" t="str">
        <f t="shared" si="32"/>
        <v>#DIV/0!</v>
      </c>
      <c r="BD29" s="29" t="str">
        <f t="shared" si="32"/>
        <v>#DIV/0!</v>
      </c>
      <c r="BE29" s="29" t="str">
        <f t="shared" si="32"/>
        <v>#DIV/0!</v>
      </c>
      <c r="BF29" s="29" t="str">
        <f t="shared" si="32"/>
        <v>#DIV/0!</v>
      </c>
      <c r="BG29" s="29" t="str">
        <f t="shared" si="32"/>
        <v>#DIV/0!</v>
      </c>
      <c r="BH29" s="29" t="str">
        <f t="shared" si="32"/>
        <v>#DIV/0!</v>
      </c>
      <c r="BI29" s="29" t="str">
        <f t="shared" si="32"/>
        <v>#DIV/0!</v>
      </c>
      <c r="BJ29" s="29" t="str">
        <f t="shared" si="32"/>
        <v>#DIV/0!</v>
      </c>
      <c r="BK29" s="29" t="str">
        <f t="shared" si="32"/>
        <v>#DIV/0!</v>
      </c>
      <c r="BL29" s="29" t="str">
        <f t="shared" si="32"/>
        <v>#DIV/0!</v>
      </c>
      <c r="BM29" s="29" t="str">
        <f t="shared" si="3"/>
        <v>#DIV/0!</v>
      </c>
    </row>
    <row r="30">
      <c r="A30" s="16" t="str">
        <f>IFERROR(__xludf.DUMMYFUNCTION("IFERROR(SPARKLINE(SORT(MAP(TRANSPOSE(AQ30:BL30), LAMBDA(val, IF(ISNUMBER(val), PERCENTRANK(AQ30:BL30, val)+0.01, 0))), SEQUENCE(COLUMNS(AQ30:BL30)), FALSE), {""charttype"",""column""; ""color"",""chartreuse""; ""ymin"", 0; ""ymax"", 1.01; ""highcolor"", "&amp;"""darkgreen""; ""lowcolor"", ""red""}), """")"),"")</f>
        <v/>
      </c>
      <c r="B30" s="17" t="str">
        <f t="shared" si="4"/>
        <v/>
      </c>
      <c r="C30" s="1" t="s">
        <v>2175</v>
      </c>
      <c r="D30" s="30" t="str">
        <f>IFERROR(__xludf.DUMMYFUNCTION("IFERROR(GOOGLEFINANCE(C30, ""NAME""))"),"Agencia Comercial Spirits Ltd")</f>
        <v>Agencia Comercial Spirits Ltd</v>
      </c>
      <c r="E30" s="30" t="s">
        <v>2176</v>
      </c>
      <c r="F30" s="33" t="str">
        <f>IFERROR(__xludf.DUMMYFUNCTION("( (GOOGLEFINANCE(C30, ""price"") - Q30) / Q30 ) / (R30 / 100)"),"Loading...")</f>
        <v>Loading...</v>
      </c>
      <c r="G30" s="20" t="str">
        <f>IFERROR(__xludf.DUMMYFUNCTION("AVERAGE(ARRAYFORMULA(100 * (QUERY(GOOGLEFINANCE(C30, ""high"", TODAY()-40, TODAY()), ""SELECT Col2 WHERE Col2 IS NOT NULL ORDER BY Col1 DESC LIMIT 20"", 0) / QUERY(GOOGLEFINANCE(C30, ""low"", TODAY()-40, TODAY()), ""SELECT Col2 WHERE Col2 IS NOT NULL ORDE"&amp;"R BY Col1 DESC LIMIT 20"", 0) - 1)))"),"#N/A")</f>
        <v>#N/A</v>
      </c>
      <c r="H30" s="35" t="str">
        <f t="shared" si="6"/>
        <v>Illiquid</v>
      </c>
      <c r="I30" s="36" t="str">
        <f t="shared" si="7"/>
        <v>RVol Required</v>
      </c>
      <c r="J30" s="37">
        <f>IFERROR(__xludf.DUMMYFUNCTION("IFERROR(
  IF(C30="""",, 
    IFERROR(
      GOOGLEFINANCE(C30, ""price"") * GOOGLEFINANCE(C30, ""volumeavg""), 
      GOOGLEFINANCE(C30, ""price"") * AVERAGE(QUERY(GOOGLEFINANCE(C30, ""volume"", TODAY()-40, TODAY()), ""SELECT Col2 WHERE Col2 IS NOT NULL "&amp;"ORDER BY Col1 DESC LIMIT 20"", 0))
    )
  ), 
"""")"),230544.00000000003)</f>
        <v>230544</v>
      </c>
      <c r="K30" s="21">
        <f>IFERROR(__xludf.DUMMYFUNCTION("IFERROR(GOOGLEFINANCE(C30, ""changepct"") / 100, """")"),0.061)</f>
        <v>0.061</v>
      </c>
      <c r="L30" s="21" t="str">
        <f>IFERROR(__xludf.DUMMYFUNCTION("IFERROR((GOOGLEFINANCE(C30, ""price"") / INDEX(GOOGLEFINANCE(C30, ""price"", TODAY()-7, TODAY()), 2, 2)) - 1, """")"),"")</f>
        <v/>
      </c>
      <c r="M30" s="21" t="str">
        <f>IFERROR(__xludf.DUMMYFUNCTION("IFERROR((GOOGLEFINANCE(C30, ""price"") / INDEX(GOOGLEFINANCE(C30, ""price"", EDATE(TODAY(), -1), TODAY()), 2, 2)) - 1, """")"),"")</f>
        <v/>
      </c>
      <c r="N30" s="21" t="str">
        <f>IFERROR(__xludf.DUMMYFUNCTION("IFERROR((GOOGLEFINANCE(C30, ""price"") / INDEX(GOOGLEFINANCE(C30, ""price"", EDATE(TODAY(), -3), TODAY()), 2, 2)) - 1, """")"),"")</f>
        <v/>
      </c>
      <c r="O30" s="21" t="str">
        <f>IFERROR(__xludf.DUMMYFUNCTION("IFERROR((GOOGLEFINANCE(C30, ""price"") / INDEX(GOOGLEFINANCE(C30, ""price"", EDATE(TODAY(), -6), TODAY()), 2, 2)) - 1, """")"),"")</f>
        <v/>
      </c>
      <c r="P30" s="21" t="str">
        <f>IFERROR(__xludf.DUMMYFUNCTION("IFERROR((GOOGLEFINANCE(C30, ""price"") / INDEX(GOOGLEFINANCE(C30, ""price"", EDATE(TODAY(), -12), TODAY()), 2, 2)) - 1, """")"),"")</f>
        <v/>
      </c>
      <c r="Q30" s="6" t="str">
        <f>IFERROR(__xludf.DUMMYFUNCTION("AVERAGE(QUERY(GOOGLEFINANCE(C30, ""price"", TODAY()-80, TODAY()), ""SELECT Col2 WHERE Col2 IS NOT NULL ORDER BY Col1 DESC LIMIT 50"", 0))"),"#N/A")</f>
        <v>#N/A</v>
      </c>
      <c r="R30" s="24" t="str">
        <f>IFERROR(__xludf.DUMMYFUNCTION("IFERROR(
  LET(
    data, QUERY(GOOGLEFINANCE(C30,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GOOGLEFINANCE(C30, ""price"")) * 100,
    IF(calc=0, G30, calc)
  ), 
G30)"),"#N/A")</f>
        <v>#N/A</v>
      </c>
      <c r="S30" s="8" t="s">
        <v>15</v>
      </c>
      <c r="T30" s="26" t="str">
        <f>IFERROR(__xludf.DUMMYFUNCTION("IFERROR(TRANSPOSE(QUERY(IFERROR(SORT(GOOGLEFINANCE(C30, ""price"", WORKDAY(TODAY(), -40), TODAY()), 1, FALSE)), ""select Col2 where Col2 is not null limit 22 label Col2 ''"", 0)), """")"),"")</f>
        <v/>
      </c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8"/>
      <c r="AO30" s="28"/>
      <c r="AP30" s="29"/>
      <c r="AQ30" s="29" t="str">
        <f t="shared" ref="AQ30:BL30" si="33">T30/T$2</f>
        <v>#N/A</v>
      </c>
      <c r="AR30" s="29" t="str">
        <f t="shared" si="33"/>
        <v>#DIV/0!</v>
      </c>
      <c r="AS30" s="29" t="str">
        <f t="shared" si="33"/>
        <v>#DIV/0!</v>
      </c>
      <c r="AT30" s="29" t="str">
        <f t="shared" si="33"/>
        <v>#DIV/0!</v>
      </c>
      <c r="AU30" s="29" t="str">
        <f t="shared" si="33"/>
        <v>#DIV/0!</v>
      </c>
      <c r="AV30" s="29" t="str">
        <f t="shared" si="33"/>
        <v>#DIV/0!</v>
      </c>
      <c r="AW30" s="29" t="str">
        <f t="shared" si="33"/>
        <v>#DIV/0!</v>
      </c>
      <c r="AX30" s="29" t="str">
        <f t="shared" si="33"/>
        <v>#DIV/0!</v>
      </c>
      <c r="AY30" s="29" t="str">
        <f t="shared" si="33"/>
        <v>#DIV/0!</v>
      </c>
      <c r="AZ30" s="29" t="str">
        <f t="shared" si="33"/>
        <v>#DIV/0!</v>
      </c>
      <c r="BA30" s="29" t="str">
        <f t="shared" si="33"/>
        <v>#DIV/0!</v>
      </c>
      <c r="BB30" s="29" t="str">
        <f t="shared" si="33"/>
        <v>#DIV/0!</v>
      </c>
      <c r="BC30" s="29" t="str">
        <f t="shared" si="33"/>
        <v>#DIV/0!</v>
      </c>
      <c r="BD30" s="29" t="str">
        <f t="shared" si="33"/>
        <v>#DIV/0!</v>
      </c>
      <c r="BE30" s="29" t="str">
        <f t="shared" si="33"/>
        <v>#DIV/0!</v>
      </c>
      <c r="BF30" s="29" t="str">
        <f t="shared" si="33"/>
        <v>#DIV/0!</v>
      </c>
      <c r="BG30" s="29" t="str">
        <f t="shared" si="33"/>
        <v>#DIV/0!</v>
      </c>
      <c r="BH30" s="29" t="str">
        <f t="shared" si="33"/>
        <v>#DIV/0!</v>
      </c>
      <c r="BI30" s="29" t="str">
        <f t="shared" si="33"/>
        <v>#DIV/0!</v>
      </c>
      <c r="BJ30" s="29" t="str">
        <f t="shared" si="33"/>
        <v>#DIV/0!</v>
      </c>
      <c r="BK30" s="29" t="str">
        <f t="shared" si="33"/>
        <v>#DIV/0!</v>
      </c>
      <c r="BL30" s="29" t="str">
        <f t="shared" si="33"/>
        <v>#DIV/0!</v>
      </c>
      <c r="BM30" s="29" t="str">
        <f t="shared" si="3"/>
        <v>#DIV/0!</v>
      </c>
    </row>
    <row r="31">
      <c r="A31" s="16" t="str">
        <f>IFERROR(__xludf.DUMMYFUNCTION("IFERROR(SPARKLINE(SORT(MAP(TRANSPOSE(AQ31:BL31), LAMBDA(val, IF(ISNUMBER(val), PERCENTRANK(AQ31:BL31, val)+0.01, 0))), SEQUENCE(COLUMNS(AQ31:BL31)), FALSE), {""charttype"",""column""; ""color"",""chartreuse""; ""ymin"", 0; ""ymax"", 1.01; ""highcolor"", "&amp;"""darkgreen""; ""lowcolor"", ""red""}), """")"),"")</f>
        <v/>
      </c>
      <c r="B31" s="17" t="str">
        <f t="shared" si="4"/>
        <v/>
      </c>
      <c r="C31" s="1" t="s">
        <v>2180</v>
      </c>
      <c r="D31" s="30" t="str">
        <f>IFERROR(__xludf.DUMMYFUNCTION("IFERROR(GOOGLEFINANCE(C31, ""NAME""))"),"Ambev SA")</f>
        <v>Ambev SA</v>
      </c>
      <c r="E31" s="30" t="s">
        <v>2106</v>
      </c>
      <c r="F31" s="33" t="str">
        <f>IFERROR(__xludf.DUMMYFUNCTION("( (GOOGLEFINANCE(C31, ""price"") - Q31) / Q31 ) / (R31 / 100)"),"Loading...")</f>
        <v>Loading...</v>
      </c>
      <c r="G31" s="20" t="str">
        <f>IFERROR(__xludf.DUMMYFUNCTION("AVERAGE(ARRAYFORMULA(100 * (QUERY(GOOGLEFINANCE(C31, ""high"", TODAY()-40, TODAY()), ""SELECT Col2 WHERE Col2 IS NOT NULL ORDER BY Col1 DESC LIMIT 20"", 0) / QUERY(GOOGLEFINANCE(C31, ""low"", TODAY()-40, TODAY()), ""SELECT Col2 WHERE Col2 IS NOT NULL ORDE"&amp;"R BY Col1 DESC LIMIT 20"", 0) - 1)))"),"#N/A")</f>
        <v>#N/A</v>
      </c>
      <c r="H31" s="35" t="str">
        <f t="shared" si="6"/>
        <v>Liquid</v>
      </c>
      <c r="I31" s="36" t="str">
        <f t="shared" si="7"/>
        <v>RVol Required</v>
      </c>
      <c r="J31" s="37">
        <f>IFERROR(__xludf.DUMMYFUNCTION("IFERROR(
  IF(C31="""",, 
    IFERROR(
      GOOGLEFINANCE(C31, ""price"") * GOOGLEFINANCE(C31, ""volumeavg""), 
      GOOGLEFINANCE(C31, ""price"") * AVERAGE(QUERY(GOOGLEFINANCE(C31, ""volume"", TODAY()-40, TODAY()), ""SELECT Col2 WHERE Col2 IS NOT NULL "&amp;"ORDER BY Col1 DESC LIMIT 20"", 0))
    )
  ), 
"""")"),7.442161937E7)</f>
        <v>74421619.37</v>
      </c>
      <c r="K31" s="21">
        <f>IFERROR(__xludf.DUMMYFUNCTION("IFERROR(GOOGLEFINANCE(C31, ""changepct"") / 100, """")"),0.0092)</f>
        <v>0.0092</v>
      </c>
      <c r="L31" s="21" t="str">
        <f>IFERROR(__xludf.DUMMYFUNCTION("IFERROR((GOOGLEFINANCE(C31, ""price"") / INDEX(GOOGLEFINANCE(C31, ""price"", TODAY()-7, TODAY()), 2, 2)) - 1, """")"),"")</f>
        <v/>
      </c>
      <c r="M31" s="21" t="str">
        <f>IFERROR(__xludf.DUMMYFUNCTION("IFERROR((GOOGLEFINANCE(C31, ""price"") / INDEX(GOOGLEFINANCE(C31, ""price"", EDATE(TODAY(), -1), TODAY()), 2, 2)) - 1, """")"),"")</f>
        <v/>
      </c>
      <c r="N31" s="21" t="str">
        <f>IFERROR(__xludf.DUMMYFUNCTION("IFERROR((GOOGLEFINANCE(C31, ""price"") / INDEX(GOOGLEFINANCE(C31, ""price"", EDATE(TODAY(), -3), TODAY()), 2, 2)) - 1, """")"),"")</f>
        <v/>
      </c>
      <c r="O31" s="21" t="str">
        <f>IFERROR(__xludf.DUMMYFUNCTION("IFERROR((GOOGLEFINANCE(C31, ""price"") / INDEX(GOOGLEFINANCE(C31, ""price"", EDATE(TODAY(), -6), TODAY()), 2, 2)) - 1, """")"),"")</f>
        <v/>
      </c>
      <c r="P31" s="21" t="str">
        <f>IFERROR(__xludf.DUMMYFUNCTION("IFERROR((GOOGLEFINANCE(C31, ""price"") / INDEX(GOOGLEFINANCE(C31, ""price"", EDATE(TODAY(), -12), TODAY()), 2, 2)) - 1, """")"),"")</f>
        <v/>
      </c>
      <c r="Q31" s="6" t="str">
        <f>IFERROR(__xludf.DUMMYFUNCTION("AVERAGE(QUERY(GOOGLEFINANCE(C31, ""price"", TODAY()-80, TODAY()), ""SELECT Col2 WHERE Col2 IS NOT NULL ORDER BY Col1 DESC LIMIT 50"", 0))"),"#N/A")</f>
        <v>#N/A</v>
      </c>
      <c r="R31" s="24" t="str">
        <f>IFERROR(__xludf.DUMMYFUNCTION("IFERROR(
  LET(
    data, QUERY(GOOGLEFINANCE(C31,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GOOGLEFINANCE(C31, ""price"")) * 100,
    IF(calc=0, G31, calc)
  ), 
G31)"),"#N/A")</f>
        <v>#N/A</v>
      </c>
      <c r="S31" s="8" t="s">
        <v>15</v>
      </c>
      <c r="T31" s="26" t="str">
        <f>IFERROR(__xludf.DUMMYFUNCTION("IFERROR(TRANSPOSE(QUERY(IFERROR(SORT(GOOGLEFINANCE(C31, ""price"", WORKDAY(TODAY(), -40), TODAY()), 1, FALSE)), ""select Col2 where Col2 is not null limit 22 label Col2 ''"", 0)), """")"),"")</f>
        <v/>
      </c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8"/>
      <c r="AO31" s="28"/>
      <c r="AP31" s="29"/>
      <c r="AQ31" s="29" t="str">
        <f t="shared" ref="AQ31:BL31" si="34">T31/T$2</f>
        <v>#N/A</v>
      </c>
      <c r="AR31" s="29" t="str">
        <f t="shared" si="34"/>
        <v>#DIV/0!</v>
      </c>
      <c r="AS31" s="29" t="str">
        <f t="shared" si="34"/>
        <v>#DIV/0!</v>
      </c>
      <c r="AT31" s="29" t="str">
        <f t="shared" si="34"/>
        <v>#DIV/0!</v>
      </c>
      <c r="AU31" s="29" t="str">
        <f t="shared" si="34"/>
        <v>#DIV/0!</v>
      </c>
      <c r="AV31" s="29" t="str">
        <f t="shared" si="34"/>
        <v>#DIV/0!</v>
      </c>
      <c r="AW31" s="29" t="str">
        <f t="shared" si="34"/>
        <v>#DIV/0!</v>
      </c>
      <c r="AX31" s="29" t="str">
        <f t="shared" si="34"/>
        <v>#DIV/0!</v>
      </c>
      <c r="AY31" s="29" t="str">
        <f t="shared" si="34"/>
        <v>#DIV/0!</v>
      </c>
      <c r="AZ31" s="29" t="str">
        <f t="shared" si="34"/>
        <v>#DIV/0!</v>
      </c>
      <c r="BA31" s="29" t="str">
        <f t="shared" si="34"/>
        <v>#DIV/0!</v>
      </c>
      <c r="BB31" s="29" t="str">
        <f t="shared" si="34"/>
        <v>#DIV/0!</v>
      </c>
      <c r="BC31" s="29" t="str">
        <f t="shared" si="34"/>
        <v>#DIV/0!</v>
      </c>
      <c r="BD31" s="29" t="str">
        <f t="shared" si="34"/>
        <v>#DIV/0!</v>
      </c>
      <c r="BE31" s="29" t="str">
        <f t="shared" si="34"/>
        <v>#DIV/0!</v>
      </c>
      <c r="BF31" s="29" t="str">
        <f t="shared" si="34"/>
        <v>#DIV/0!</v>
      </c>
      <c r="BG31" s="29" t="str">
        <f t="shared" si="34"/>
        <v>#DIV/0!</v>
      </c>
      <c r="BH31" s="29" t="str">
        <f t="shared" si="34"/>
        <v>#DIV/0!</v>
      </c>
      <c r="BI31" s="29" t="str">
        <f t="shared" si="34"/>
        <v>#DIV/0!</v>
      </c>
      <c r="BJ31" s="29" t="str">
        <f t="shared" si="34"/>
        <v>#DIV/0!</v>
      </c>
      <c r="BK31" s="29" t="str">
        <f t="shared" si="34"/>
        <v>#DIV/0!</v>
      </c>
      <c r="BL31" s="29" t="str">
        <f t="shared" si="34"/>
        <v>#DIV/0!</v>
      </c>
      <c r="BM31" s="29" t="str">
        <f t="shared" si="3"/>
        <v>#DIV/0!</v>
      </c>
    </row>
    <row r="32">
      <c r="A32" s="16" t="str">
        <f>IFERROR(__xludf.DUMMYFUNCTION("IFERROR(SPARKLINE(SORT(MAP(TRANSPOSE(AQ32:BL32), LAMBDA(val, IF(ISNUMBER(val), PERCENTRANK(AQ32:BL32, val)+0.01, 0))), SEQUENCE(COLUMNS(AQ32:BL32)), FALSE), {""charttype"",""column""; ""color"",""chartreuse""; ""ymin"", 0; ""ymax"", 1.01; ""highcolor"", "&amp;"""darkgreen""; ""lowcolor"", ""red""}), """")"),"")</f>
        <v/>
      </c>
      <c r="B32" s="17" t="str">
        <f t="shared" si="4"/>
        <v/>
      </c>
      <c r="C32" s="1" t="s">
        <v>2184</v>
      </c>
      <c r="D32" s="30" t="str">
        <f>IFERROR(__xludf.DUMMYFUNCTION("IFERROR(GOOGLEFINANCE(C32, ""NAME""))"),"Tyson Foods Inc")</f>
        <v>Tyson Foods Inc</v>
      </c>
      <c r="E32" s="30" t="s">
        <v>2115</v>
      </c>
      <c r="F32" s="33" t="str">
        <f>IFERROR(__xludf.DUMMYFUNCTION("( (GOOGLEFINANCE(C32, ""price"") - Q32) / Q32 ) / (R32 / 100)"),"Loading...")</f>
        <v>Loading...</v>
      </c>
      <c r="G32" s="20" t="str">
        <f>IFERROR(__xludf.DUMMYFUNCTION("AVERAGE(ARRAYFORMULA(100 * (QUERY(GOOGLEFINANCE(C32, ""high"", TODAY()-40, TODAY()), ""SELECT Col2 WHERE Col2 IS NOT NULL ORDER BY Col1 DESC LIMIT 20"", 0) / QUERY(GOOGLEFINANCE(C32, ""low"", TODAY()-40, TODAY()), ""SELECT Col2 WHERE Col2 IS NOT NULL ORDE"&amp;"R BY Col1 DESC LIMIT 20"", 0) - 1)))"),"#N/A")</f>
        <v>#N/A</v>
      </c>
      <c r="H32" s="35" t="str">
        <f t="shared" si="6"/>
        <v>Liquid</v>
      </c>
      <c r="I32" s="36" t="str">
        <f t="shared" si="7"/>
        <v>RVol Required</v>
      </c>
      <c r="J32" s="37">
        <f>IFERROR(__xludf.DUMMYFUNCTION("IFERROR(
  IF(C32="""",, 
    IFERROR(
      GOOGLEFINANCE(C32, ""price"") * GOOGLEFINANCE(C32, ""volumeavg""), 
      GOOGLEFINANCE(C32, ""price"") * AVERAGE(QUERY(GOOGLEFINANCE(C32, ""volume"", TODAY()-40, TODAY()), ""SELECT Col2 WHERE Col2 IS NOT NULL "&amp;"ORDER BY Col1 DESC LIMIT 20"", 0))
    )
  ), 
"""")"),2.0542602779999998E8)</f>
        <v>205426027.8</v>
      </c>
      <c r="K32" s="21">
        <f>IFERROR(__xludf.DUMMYFUNCTION("IFERROR(GOOGLEFINANCE(C32, ""changepct"") / 100, """")"),0.0159)</f>
        <v>0.0159</v>
      </c>
      <c r="L32" s="21" t="str">
        <f>IFERROR(__xludf.DUMMYFUNCTION("IFERROR((GOOGLEFINANCE(C32, ""price"") / INDEX(GOOGLEFINANCE(C32, ""price"", TODAY()-7, TODAY()), 2, 2)) - 1, """")"),"")</f>
        <v/>
      </c>
      <c r="M32" s="21" t="str">
        <f>IFERROR(__xludf.DUMMYFUNCTION("IFERROR((GOOGLEFINANCE(C32, ""price"") / INDEX(GOOGLEFINANCE(C32, ""price"", EDATE(TODAY(), -1), TODAY()), 2, 2)) - 1, """")"),"")</f>
        <v/>
      </c>
      <c r="N32" s="21" t="str">
        <f>IFERROR(__xludf.DUMMYFUNCTION("IFERROR((GOOGLEFINANCE(C32, ""price"") / INDEX(GOOGLEFINANCE(C32, ""price"", EDATE(TODAY(), -3), TODAY()), 2, 2)) - 1, """")"),"")</f>
        <v/>
      </c>
      <c r="O32" s="21" t="str">
        <f>IFERROR(__xludf.DUMMYFUNCTION("IFERROR((GOOGLEFINANCE(C32, ""price"") / INDEX(GOOGLEFINANCE(C32, ""price"", EDATE(TODAY(), -6), TODAY()), 2, 2)) - 1, """")"),"")</f>
        <v/>
      </c>
      <c r="P32" s="21" t="str">
        <f>IFERROR(__xludf.DUMMYFUNCTION("IFERROR((GOOGLEFINANCE(C32, ""price"") / INDEX(GOOGLEFINANCE(C32, ""price"", EDATE(TODAY(), -12), TODAY()), 2, 2)) - 1, """")"),"")</f>
        <v/>
      </c>
      <c r="Q32" s="6" t="str">
        <f>IFERROR(__xludf.DUMMYFUNCTION("AVERAGE(QUERY(GOOGLEFINANCE(C32, ""price"", TODAY()-80, TODAY()), ""SELECT Col2 WHERE Col2 IS NOT NULL ORDER BY Col1 DESC LIMIT 50"", 0))"),"#N/A")</f>
        <v>#N/A</v>
      </c>
      <c r="R32" s="24" t="str">
        <f>IFERROR(__xludf.DUMMYFUNCTION("IFERROR(
  LET(
    data, QUERY(GOOGLEFINANCE(C32,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GOOGLEFINANCE(C32, ""price"")) * 100,
    IF(calc=0, G32, calc)
  ), 
G32)"),"#N/A")</f>
        <v>#N/A</v>
      </c>
      <c r="S32" s="8" t="s">
        <v>15</v>
      </c>
      <c r="T32" s="26" t="str">
        <f>IFERROR(__xludf.DUMMYFUNCTION("IFERROR(TRANSPOSE(QUERY(IFERROR(SORT(GOOGLEFINANCE(C32, ""price"", WORKDAY(TODAY(), -40), TODAY()), 1, FALSE)), ""select Col2 where Col2 is not null limit 22 label Col2 ''"", 0)), """")"),"")</f>
        <v/>
      </c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8"/>
      <c r="AO32" s="28"/>
      <c r="AP32" s="29"/>
      <c r="AQ32" s="29" t="str">
        <f t="shared" ref="AQ32:BL32" si="35">T32/T$2</f>
        <v>#N/A</v>
      </c>
      <c r="AR32" s="29" t="str">
        <f t="shared" si="35"/>
        <v>#DIV/0!</v>
      </c>
      <c r="AS32" s="29" t="str">
        <f t="shared" si="35"/>
        <v>#DIV/0!</v>
      </c>
      <c r="AT32" s="29" t="str">
        <f t="shared" si="35"/>
        <v>#DIV/0!</v>
      </c>
      <c r="AU32" s="29" t="str">
        <f t="shared" si="35"/>
        <v>#DIV/0!</v>
      </c>
      <c r="AV32" s="29" t="str">
        <f t="shared" si="35"/>
        <v>#DIV/0!</v>
      </c>
      <c r="AW32" s="29" t="str">
        <f t="shared" si="35"/>
        <v>#DIV/0!</v>
      </c>
      <c r="AX32" s="29" t="str">
        <f t="shared" si="35"/>
        <v>#DIV/0!</v>
      </c>
      <c r="AY32" s="29" t="str">
        <f t="shared" si="35"/>
        <v>#DIV/0!</v>
      </c>
      <c r="AZ32" s="29" t="str">
        <f t="shared" si="35"/>
        <v>#DIV/0!</v>
      </c>
      <c r="BA32" s="29" t="str">
        <f t="shared" si="35"/>
        <v>#DIV/0!</v>
      </c>
      <c r="BB32" s="29" t="str">
        <f t="shared" si="35"/>
        <v>#DIV/0!</v>
      </c>
      <c r="BC32" s="29" t="str">
        <f t="shared" si="35"/>
        <v>#DIV/0!</v>
      </c>
      <c r="BD32" s="29" t="str">
        <f t="shared" si="35"/>
        <v>#DIV/0!</v>
      </c>
      <c r="BE32" s="29" t="str">
        <f t="shared" si="35"/>
        <v>#DIV/0!</v>
      </c>
      <c r="BF32" s="29" t="str">
        <f t="shared" si="35"/>
        <v>#DIV/0!</v>
      </c>
      <c r="BG32" s="29" t="str">
        <f t="shared" si="35"/>
        <v>#DIV/0!</v>
      </c>
      <c r="BH32" s="29" t="str">
        <f t="shared" si="35"/>
        <v>#DIV/0!</v>
      </c>
      <c r="BI32" s="29" t="str">
        <f t="shared" si="35"/>
        <v>#DIV/0!</v>
      </c>
      <c r="BJ32" s="29" t="str">
        <f t="shared" si="35"/>
        <v>#DIV/0!</v>
      </c>
      <c r="BK32" s="29" t="str">
        <f t="shared" si="35"/>
        <v>#DIV/0!</v>
      </c>
      <c r="BL32" s="29" t="str">
        <f t="shared" si="35"/>
        <v>#DIV/0!</v>
      </c>
      <c r="BM32" s="29" t="str">
        <f t="shared" si="3"/>
        <v>#DIV/0!</v>
      </c>
    </row>
    <row r="33">
      <c r="A33" s="16" t="str">
        <f>IFERROR(__xludf.DUMMYFUNCTION("IFERROR(SPARKLINE(SORT(MAP(TRANSPOSE(AQ33:BL33), LAMBDA(val, IF(ISNUMBER(val), PERCENTRANK(AQ33:BL33, val)+0.01, 0))), SEQUENCE(COLUMNS(AQ33:BL33)), FALSE), {""charttype"",""column""; ""color"",""chartreuse""; ""ymin"", 0; ""ymax"", 1.01; ""highcolor"", "&amp;"""darkgreen""; ""lowcolor"", ""red""}), """")"),"")</f>
        <v/>
      </c>
      <c r="B33" s="17" t="str">
        <f t="shared" si="4"/>
        <v/>
      </c>
      <c r="C33" s="1" t="s">
        <v>2187</v>
      </c>
      <c r="D33" s="30" t="str">
        <f>IFERROR(__xludf.DUMMYFUNCTION("IFERROR(GOOGLEFINANCE(C33, ""NAME""))"),"Altria Group Inc")</f>
        <v>Altria Group Inc</v>
      </c>
      <c r="E33" s="30" t="s">
        <v>2074</v>
      </c>
      <c r="F33" s="38" t="str">
        <f>IFERROR(__xludf.DUMMYFUNCTION("( (GOOGLEFINANCE(C33, ""price"") - Q33) / Q33 ) / (R33 / 100)"),"Loading...")</f>
        <v>Loading...</v>
      </c>
      <c r="G33" s="20" t="str">
        <f>IFERROR(__xludf.DUMMYFUNCTION("AVERAGE(ARRAYFORMULA(100 * (QUERY(GOOGLEFINANCE(C33, ""high"", TODAY()-40, TODAY()), ""SELECT Col2 WHERE Col2 IS NOT NULL ORDER BY Col1 DESC LIMIT 20"", 0) / QUERY(GOOGLEFINANCE(C33, ""low"", TODAY()-40, TODAY()), ""SELECT Col2 WHERE Col2 IS NOT NULL ORDE"&amp;"R BY Col1 DESC LIMIT 20"", 0) - 1)))"),"#N/A")</f>
        <v>#N/A</v>
      </c>
      <c r="H33" s="35" t="str">
        <f t="shared" si="6"/>
        <v>Liquid</v>
      </c>
      <c r="I33" s="36" t="str">
        <f t="shared" si="7"/>
        <v>No RVol Required</v>
      </c>
      <c r="J33" s="37">
        <f>IFERROR(__xludf.DUMMYFUNCTION("IFERROR(
  IF(C33="""",, 
    IFERROR(
      GOOGLEFINANCE(C33, ""price"") * GOOGLEFINANCE(C33, ""volumeavg""), 
      GOOGLEFINANCE(C33, ""price"") * AVERAGE(QUERY(GOOGLEFINANCE(C33, ""volume"", TODAY()-40, TODAY()), ""SELECT Col2 WHERE Col2 IS NOT NULL "&amp;"ORDER BY Col1 DESC LIMIT 20"", 0))
    )
  ), 
"""")"),5.9047854187E8)</f>
        <v>590478541.9</v>
      </c>
      <c r="K33" s="21">
        <f>IFERROR(__xludf.DUMMYFUNCTION("IFERROR(GOOGLEFINANCE(C33, ""changepct"") / 100, """")"),0.0172)</f>
        <v>0.0172</v>
      </c>
      <c r="L33" s="21" t="str">
        <f>IFERROR(__xludf.DUMMYFUNCTION("IFERROR((GOOGLEFINANCE(C33, ""price"") / INDEX(GOOGLEFINANCE(C33, ""price"", TODAY()-7, TODAY()), 2, 2)) - 1, """")"),"")</f>
        <v/>
      </c>
      <c r="M33" s="21" t="str">
        <f>IFERROR(__xludf.DUMMYFUNCTION("IFERROR((GOOGLEFINANCE(C33, ""price"") / INDEX(GOOGLEFINANCE(C33, ""price"", EDATE(TODAY(), -1), TODAY()), 2, 2)) - 1, """")"),"")</f>
        <v/>
      </c>
      <c r="N33" s="21" t="str">
        <f>IFERROR(__xludf.DUMMYFUNCTION("IFERROR((GOOGLEFINANCE(C33, ""price"") / INDEX(GOOGLEFINANCE(C33, ""price"", EDATE(TODAY(), -3), TODAY()), 2, 2)) - 1, """")"),"")</f>
        <v/>
      </c>
      <c r="O33" s="21" t="str">
        <f>IFERROR(__xludf.DUMMYFUNCTION("IFERROR((GOOGLEFINANCE(C33, ""price"") / INDEX(GOOGLEFINANCE(C33, ""price"", EDATE(TODAY(), -6), TODAY()), 2, 2)) - 1, """")"),"")</f>
        <v/>
      </c>
      <c r="P33" s="21" t="str">
        <f>IFERROR(__xludf.DUMMYFUNCTION("IFERROR((GOOGLEFINANCE(C33, ""price"") / INDEX(GOOGLEFINANCE(C33, ""price"", EDATE(TODAY(), -12), TODAY()), 2, 2)) - 1, """")"),"")</f>
        <v/>
      </c>
      <c r="Q33" s="6" t="str">
        <f>IFERROR(__xludf.DUMMYFUNCTION("AVERAGE(QUERY(GOOGLEFINANCE(C33, ""price"", TODAY()-80, TODAY()), ""SELECT Col2 WHERE Col2 IS NOT NULL ORDER BY Col1 DESC LIMIT 50"", 0))"),"#N/A")</f>
        <v>#N/A</v>
      </c>
      <c r="R33" s="24" t="str">
        <f>IFERROR(__xludf.DUMMYFUNCTION("IFERROR(
  LET(
    data, QUERY(GOOGLEFINANCE(C33,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GOOGLEFINANCE(C33, ""price"")) * 100,
    IF(calc=0, G33, calc)
  ), 
G33)"),"#N/A")</f>
        <v>#N/A</v>
      </c>
      <c r="S33" s="8" t="s">
        <v>15</v>
      </c>
      <c r="T33" s="26" t="str">
        <f>IFERROR(__xludf.DUMMYFUNCTION("IFERROR(TRANSPOSE(QUERY(IFERROR(SORT(GOOGLEFINANCE(C33, ""price"", WORKDAY(TODAY(), -40), TODAY()), 1, FALSE)), ""select Col2 where Col2 is not null limit 22 label Col2 ''"", 0)), """")"),"")</f>
        <v/>
      </c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8"/>
      <c r="AO33" s="28"/>
      <c r="AP33" s="29"/>
      <c r="AQ33" s="29" t="str">
        <f t="shared" ref="AQ33:BL33" si="36">T33/T$2</f>
        <v>#N/A</v>
      </c>
      <c r="AR33" s="29" t="str">
        <f t="shared" si="36"/>
        <v>#DIV/0!</v>
      </c>
      <c r="AS33" s="29" t="str">
        <f t="shared" si="36"/>
        <v>#DIV/0!</v>
      </c>
      <c r="AT33" s="29" t="str">
        <f t="shared" si="36"/>
        <v>#DIV/0!</v>
      </c>
      <c r="AU33" s="29" t="str">
        <f t="shared" si="36"/>
        <v>#DIV/0!</v>
      </c>
      <c r="AV33" s="29" t="str">
        <f t="shared" si="36"/>
        <v>#DIV/0!</v>
      </c>
      <c r="AW33" s="29" t="str">
        <f t="shared" si="36"/>
        <v>#DIV/0!</v>
      </c>
      <c r="AX33" s="29" t="str">
        <f t="shared" si="36"/>
        <v>#DIV/0!</v>
      </c>
      <c r="AY33" s="29" t="str">
        <f t="shared" si="36"/>
        <v>#DIV/0!</v>
      </c>
      <c r="AZ33" s="29" t="str">
        <f t="shared" si="36"/>
        <v>#DIV/0!</v>
      </c>
      <c r="BA33" s="29" t="str">
        <f t="shared" si="36"/>
        <v>#DIV/0!</v>
      </c>
      <c r="BB33" s="29" t="str">
        <f t="shared" si="36"/>
        <v>#DIV/0!</v>
      </c>
      <c r="BC33" s="29" t="str">
        <f t="shared" si="36"/>
        <v>#DIV/0!</v>
      </c>
      <c r="BD33" s="29" t="str">
        <f t="shared" si="36"/>
        <v>#DIV/0!</v>
      </c>
      <c r="BE33" s="29" t="str">
        <f t="shared" si="36"/>
        <v>#DIV/0!</v>
      </c>
      <c r="BF33" s="29" t="str">
        <f t="shared" si="36"/>
        <v>#DIV/0!</v>
      </c>
      <c r="BG33" s="29" t="str">
        <f t="shared" si="36"/>
        <v>#DIV/0!</v>
      </c>
      <c r="BH33" s="29" t="str">
        <f t="shared" si="36"/>
        <v>#DIV/0!</v>
      </c>
      <c r="BI33" s="29" t="str">
        <f t="shared" si="36"/>
        <v>#DIV/0!</v>
      </c>
      <c r="BJ33" s="29" t="str">
        <f t="shared" si="36"/>
        <v>#DIV/0!</v>
      </c>
      <c r="BK33" s="29" t="str">
        <f t="shared" si="36"/>
        <v>#DIV/0!</v>
      </c>
      <c r="BL33" s="29" t="str">
        <f t="shared" si="36"/>
        <v>#DIV/0!</v>
      </c>
      <c r="BM33" s="29" t="str">
        <f t="shared" si="3"/>
        <v>#DIV/0!</v>
      </c>
    </row>
    <row r="34">
      <c r="A34" s="16" t="str">
        <f>IFERROR(__xludf.DUMMYFUNCTION("IFERROR(SPARKLINE(SORT(MAP(TRANSPOSE(AQ34:BL34), LAMBDA(val, IF(ISNUMBER(val), PERCENTRANK(AQ34:BL34, val)+0.01, 0))), SEQUENCE(COLUMNS(AQ34:BL34)), FALSE), {""charttype"",""column""; ""color"",""chartreuse""; ""ymin"", 0; ""ymax"", 1.01; ""highcolor"", "&amp;"""darkgreen""; ""lowcolor"", ""red""}), """")"),"")</f>
        <v/>
      </c>
      <c r="B34" s="17" t="str">
        <f t="shared" si="4"/>
        <v/>
      </c>
      <c r="C34" s="1" t="s">
        <v>2191</v>
      </c>
      <c r="D34" s="30" t="str">
        <f>IFERROR(__xludf.DUMMYFUNCTION("IFERROR(GOOGLEFINANCE(C34, ""NAME""))"),"Magnera Corp")</f>
        <v>Magnera Corp</v>
      </c>
      <c r="E34" s="30" t="s">
        <v>2132</v>
      </c>
      <c r="F34" s="33" t="str">
        <f>IFERROR(__xludf.DUMMYFUNCTION("( (GOOGLEFINANCE(C34, ""price"") - Q34) / Q34 ) / (R34 / 100)"),"Loading...")</f>
        <v>Loading...</v>
      </c>
      <c r="G34" s="20" t="str">
        <f>IFERROR(__xludf.DUMMYFUNCTION("AVERAGE(ARRAYFORMULA(100 * (QUERY(GOOGLEFINANCE(C34, ""high"", TODAY()-40, TODAY()), ""SELECT Col2 WHERE Col2 IS NOT NULL ORDER BY Col1 DESC LIMIT 20"", 0) / QUERY(GOOGLEFINANCE(C34, ""low"", TODAY()-40, TODAY()), ""SELECT Col2 WHERE Col2 IS NOT NULL ORDE"&amp;"R BY Col1 DESC LIMIT 20"", 0) - 1)))"),"#N/A")</f>
        <v>#N/A</v>
      </c>
      <c r="H34" s="35" t="str">
        <f t="shared" si="6"/>
        <v>Illiquid</v>
      </c>
      <c r="I34" s="36" t="str">
        <f t="shared" si="7"/>
        <v>RVol Required</v>
      </c>
      <c r="J34" s="37">
        <f>IFERROR(__xludf.DUMMYFUNCTION("IFERROR(
  IF(C34="""",, 
    IFERROR(
      GOOGLEFINANCE(C34, ""price"") * GOOGLEFINANCE(C34, ""volumeavg""), 
      GOOGLEFINANCE(C34, ""price"") * AVERAGE(QUERY(GOOGLEFINANCE(C34, ""volume"", TODAY()-40, TODAY()), ""SELECT Col2 WHERE Col2 IS NOT NULL "&amp;"ORDER BY Col1 DESC LIMIT 20"", 0))
    )
  ), 
"""")"),4283079.45)</f>
        <v>4283079.45</v>
      </c>
      <c r="K34" s="21">
        <f>IFERROR(__xludf.DUMMYFUNCTION("IFERROR(GOOGLEFINANCE(C34, ""changepct"") / 100, """")"),-0.0178)</f>
        <v>-0.0178</v>
      </c>
      <c r="L34" s="21" t="str">
        <f>IFERROR(__xludf.DUMMYFUNCTION("IFERROR((GOOGLEFINANCE(C34, ""price"") / INDEX(GOOGLEFINANCE(C34, ""price"", TODAY()-7, TODAY()), 2, 2)) - 1, """")"),"")</f>
        <v/>
      </c>
      <c r="M34" s="21" t="str">
        <f>IFERROR(__xludf.DUMMYFUNCTION("IFERROR((GOOGLEFINANCE(C34, ""price"") / INDEX(GOOGLEFINANCE(C34, ""price"", EDATE(TODAY(), -1), TODAY()), 2, 2)) - 1, """")"),"")</f>
        <v/>
      </c>
      <c r="N34" s="21" t="str">
        <f>IFERROR(__xludf.DUMMYFUNCTION("IFERROR((GOOGLEFINANCE(C34, ""price"") / INDEX(GOOGLEFINANCE(C34, ""price"", EDATE(TODAY(), -3), TODAY()), 2, 2)) - 1, """")"),"")</f>
        <v/>
      </c>
      <c r="O34" s="21" t="str">
        <f>IFERROR(__xludf.DUMMYFUNCTION("IFERROR((GOOGLEFINANCE(C34, ""price"") / INDEX(GOOGLEFINANCE(C34, ""price"", EDATE(TODAY(), -6), TODAY()), 2, 2)) - 1, """")"),"")</f>
        <v/>
      </c>
      <c r="P34" s="21" t="str">
        <f>IFERROR(__xludf.DUMMYFUNCTION("IFERROR((GOOGLEFINANCE(C34, ""price"") / INDEX(GOOGLEFINANCE(C34, ""price"", EDATE(TODAY(), -12), TODAY()), 2, 2)) - 1, """")"),"")</f>
        <v/>
      </c>
      <c r="Q34" s="6" t="str">
        <f>IFERROR(__xludf.DUMMYFUNCTION("AVERAGE(QUERY(GOOGLEFINANCE(C34, ""price"", TODAY()-80, TODAY()), ""SELECT Col2 WHERE Col2 IS NOT NULL ORDER BY Col1 DESC LIMIT 50"", 0))"),"#N/A")</f>
        <v>#N/A</v>
      </c>
      <c r="R34" s="24" t="str">
        <f>IFERROR(__xludf.DUMMYFUNCTION("IFERROR(
  LET(
    data, QUERY(GOOGLEFINANCE(C34,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GOOGLEFINANCE(C34, ""price"")) * 100,
    IF(calc=0, G34, calc)
  ), 
G34)"),"#N/A")</f>
        <v>#N/A</v>
      </c>
      <c r="S34" s="8" t="s">
        <v>15</v>
      </c>
      <c r="T34" s="26" t="str">
        <f>IFERROR(__xludf.DUMMYFUNCTION("IFERROR(TRANSPOSE(QUERY(IFERROR(SORT(GOOGLEFINANCE(C34, ""price"", WORKDAY(TODAY(), -40), TODAY()), 1, FALSE)), ""select Col2 where Col2 is not null limit 22 label Col2 ''"", 0)), """")"),"")</f>
        <v/>
      </c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8"/>
      <c r="AO34" s="28"/>
      <c r="AP34" s="29"/>
      <c r="AQ34" s="29" t="str">
        <f t="shared" ref="AQ34:BL34" si="37">T34/T$2</f>
        <v>#N/A</v>
      </c>
      <c r="AR34" s="29" t="str">
        <f t="shared" si="37"/>
        <v>#DIV/0!</v>
      </c>
      <c r="AS34" s="29" t="str">
        <f t="shared" si="37"/>
        <v>#DIV/0!</v>
      </c>
      <c r="AT34" s="29" t="str">
        <f t="shared" si="37"/>
        <v>#DIV/0!</v>
      </c>
      <c r="AU34" s="29" t="str">
        <f t="shared" si="37"/>
        <v>#DIV/0!</v>
      </c>
      <c r="AV34" s="29" t="str">
        <f t="shared" si="37"/>
        <v>#DIV/0!</v>
      </c>
      <c r="AW34" s="29" t="str">
        <f t="shared" si="37"/>
        <v>#DIV/0!</v>
      </c>
      <c r="AX34" s="29" t="str">
        <f t="shared" si="37"/>
        <v>#DIV/0!</v>
      </c>
      <c r="AY34" s="29" t="str">
        <f t="shared" si="37"/>
        <v>#DIV/0!</v>
      </c>
      <c r="AZ34" s="29" t="str">
        <f t="shared" si="37"/>
        <v>#DIV/0!</v>
      </c>
      <c r="BA34" s="29" t="str">
        <f t="shared" si="37"/>
        <v>#DIV/0!</v>
      </c>
      <c r="BB34" s="29" t="str">
        <f t="shared" si="37"/>
        <v>#DIV/0!</v>
      </c>
      <c r="BC34" s="29" t="str">
        <f t="shared" si="37"/>
        <v>#DIV/0!</v>
      </c>
      <c r="BD34" s="29" t="str">
        <f t="shared" si="37"/>
        <v>#DIV/0!</v>
      </c>
      <c r="BE34" s="29" t="str">
        <f t="shared" si="37"/>
        <v>#DIV/0!</v>
      </c>
      <c r="BF34" s="29" t="str">
        <f t="shared" si="37"/>
        <v>#DIV/0!</v>
      </c>
      <c r="BG34" s="29" t="str">
        <f t="shared" si="37"/>
        <v>#DIV/0!</v>
      </c>
      <c r="BH34" s="29" t="str">
        <f t="shared" si="37"/>
        <v>#DIV/0!</v>
      </c>
      <c r="BI34" s="29" t="str">
        <f t="shared" si="37"/>
        <v>#DIV/0!</v>
      </c>
      <c r="BJ34" s="29" t="str">
        <f t="shared" si="37"/>
        <v>#DIV/0!</v>
      </c>
      <c r="BK34" s="29" t="str">
        <f t="shared" si="37"/>
        <v>#DIV/0!</v>
      </c>
      <c r="BL34" s="29" t="str">
        <f t="shared" si="37"/>
        <v>#DIV/0!</v>
      </c>
      <c r="BM34" s="29" t="str">
        <f t="shared" si="3"/>
        <v>#DIV/0!</v>
      </c>
    </row>
    <row r="35">
      <c r="A35" s="16" t="str">
        <f>IFERROR(__xludf.DUMMYFUNCTION("IFERROR(SPARKLINE(SORT(MAP(TRANSPOSE(AQ35:BL35), LAMBDA(val, IF(ISNUMBER(val), PERCENTRANK(AQ35:BL35, val)+0.01, 0))), SEQUENCE(COLUMNS(AQ35:BL35)), FALSE), {""charttype"",""column""; ""color"",""chartreuse""; ""ymin"", 0; ""ymax"", 1.01; ""highcolor"", "&amp;"""darkgreen""; ""lowcolor"", ""red""}), """")"),"")</f>
        <v/>
      </c>
      <c r="B35" s="17" t="str">
        <f t="shared" si="4"/>
        <v/>
      </c>
      <c r="C35" s="1" t="s">
        <v>2194</v>
      </c>
      <c r="D35" s="30" t="str">
        <f>IFERROR(__xludf.DUMMYFUNCTION("IFERROR(GOOGLEFINANCE(C35, ""NAME""))"),"Laureate Education Inc")</f>
        <v>Laureate Education Inc</v>
      </c>
      <c r="E35" s="30" t="s">
        <v>2069</v>
      </c>
      <c r="F35" s="33" t="str">
        <f>IFERROR(__xludf.DUMMYFUNCTION("( (GOOGLEFINANCE(C35, ""price"") - Q35) / Q35 ) / (R35 / 100)"),"Loading...")</f>
        <v>Loading...</v>
      </c>
      <c r="G35" s="20" t="str">
        <f>IFERROR(__xludf.DUMMYFUNCTION("AVERAGE(ARRAYFORMULA(100 * (QUERY(GOOGLEFINANCE(C35, ""high"", TODAY()-40, TODAY()), ""SELECT Col2 WHERE Col2 IS NOT NULL ORDER BY Col1 DESC LIMIT 20"", 0) / QUERY(GOOGLEFINANCE(C35, ""low"", TODAY()-40, TODAY()), ""SELECT Col2 WHERE Col2 IS NOT NULL ORDE"&amp;"R BY Col1 DESC LIMIT 20"", 0) - 1)))"),"#N/A")</f>
        <v>#N/A</v>
      </c>
      <c r="H35" s="35" t="str">
        <f t="shared" si="6"/>
        <v>Illiquid</v>
      </c>
      <c r="I35" s="36" t="str">
        <f t="shared" si="7"/>
        <v>RVol Required</v>
      </c>
      <c r="J35" s="37">
        <f>IFERROR(__xludf.DUMMYFUNCTION("IFERROR(
  IF(C35="""",, 
    IFERROR(
      GOOGLEFINANCE(C35, ""price"") * GOOGLEFINANCE(C35, ""volumeavg""), 
      GOOGLEFINANCE(C35, ""price"") * AVERAGE(QUERY(GOOGLEFINANCE(C35, ""volume"", TODAY()-40, TODAY()), ""SELECT Col2 WHERE Col2 IS NOT NULL "&amp;"ORDER BY Col1 DESC LIMIT 20"", 0))
    )
  ), 
"""")"),4.182640605E7)</f>
        <v>41826406.05</v>
      </c>
      <c r="K35" s="21">
        <f>IFERROR(__xludf.DUMMYFUNCTION("IFERROR(GOOGLEFINANCE(C35, ""changepct"") / 100, """")"),-0.011000000000000001)</f>
        <v>-0.011</v>
      </c>
      <c r="L35" s="21" t="str">
        <f>IFERROR(__xludf.DUMMYFUNCTION("IFERROR((GOOGLEFINANCE(C35, ""price"") / INDEX(GOOGLEFINANCE(C35, ""price"", TODAY()-7, TODAY()), 2, 2)) - 1, """")"),"")</f>
        <v/>
      </c>
      <c r="M35" s="21" t="str">
        <f>IFERROR(__xludf.DUMMYFUNCTION("IFERROR((GOOGLEFINANCE(C35, ""price"") / INDEX(GOOGLEFINANCE(C35, ""price"", EDATE(TODAY(), -1), TODAY()), 2, 2)) - 1, """")"),"")</f>
        <v/>
      </c>
      <c r="N35" s="21" t="str">
        <f>IFERROR(__xludf.DUMMYFUNCTION("IFERROR((GOOGLEFINANCE(C35, ""price"") / INDEX(GOOGLEFINANCE(C35, ""price"", EDATE(TODAY(), -3), TODAY()), 2, 2)) - 1, """")"),"")</f>
        <v/>
      </c>
      <c r="O35" s="21" t="str">
        <f>IFERROR(__xludf.DUMMYFUNCTION("IFERROR((GOOGLEFINANCE(C35, ""price"") / INDEX(GOOGLEFINANCE(C35, ""price"", EDATE(TODAY(), -6), TODAY()), 2, 2)) - 1, """")"),"")</f>
        <v/>
      </c>
      <c r="P35" s="21" t="str">
        <f>IFERROR(__xludf.DUMMYFUNCTION("IFERROR((GOOGLEFINANCE(C35, ""price"") / INDEX(GOOGLEFINANCE(C35, ""price"", EDATE(TODAY(), -12), TODAY()), 2, 2)) - 1, """")"),"")</f>
        <v/>
      </c>
      <c r="Q35" s="6" t="str">
        <f>IFERROR(__xludf.DUMMYFUNCTION("AVERAGE(QUERY(GOOGLEFINANCE(C35, ""price"", TODAY()-80, TODAY()), ""SELECT Col2 WHERE Col2 IS NOT NULL ORDER BY Col1 DESC LIMIT 50"", 0))"),"#N/A")</f>
        <v>#N/A</v>
      </c>
      <c r="R35" s="24" t="str">
        <f>IFERROR(__xludf.DUMMYFUNCTION("IFERROR(
  LET(
    data, QUERY(GOOGLEFINANCE(C35,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GOOGLEFINANCE(C35, ""price"")) * 100,
    IF(calc=0, G35, calc)
  ), 
G35)"),"#N/A")</f>
        <v>#N/A</v>
      </c>
      <c r="S35" s="8" t="s">
        <v>15</v>
      </c>
      <c r="T35" s="26" t="str">
        <f>IFERROR(__xludf.DUMMYFUNCTION("IFERROR(TRANSPOSE(QUERY(IFERROR(SORT(GOOGLEFINANCE(C35, ""price"", WORKDAY(TODAY(), -40), TODAY()), 1, FALSE)), ""select Col2 where Col2 is not null limit 22 label Col2 ''"", 0)), """")"),"")</f>
        <v/>
      </c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8"/>
      <c r="AO35" s="28"/>
      <c r="AP35" s="29"/>
      <c r="AQ35" s="29" t="str">
        <f t="shared" ref="AQ35:BL35" si="38">T35/T$2</f>
        <v>#N/A</v>
      </c>
      <c r="AR35" s="29" t="str">
        <f t="shared" si="38"/>
        <v>#DIV/0!</v>
      </c>
      <c r="AS35" s="29" t="str">
        <f t="shared" si="38"/>
        <v>#DIV/0!</v>
      </c>
      <c r="AT35" s="29" t="str">
        <f t="shared" si="38"/>
        <v>#DIV/0!</v>
      </c>
      <c r="AU35" s="29" t="str">
        <f t="shared" si="38"/>
        <v>#DIV/0!</v>
      </c>
      <c r="AV35" s="29" t="str">
        <f t="shared" si="38"/>
        <v>#DIV/0!</v>
      </c>
      <c r="AW35" s="29" t="str">
        <f t="shared" si="38"/>
        <v>#DIV/0!</v>
      </c>
      <c r="AX35" s="29" t="str">
        <f t="shared" si="38"/>
        <v>#DIV/0!</v>
      </c>
      <c r="AY35" s="29" t="str">
        <f t="shared" si="38"/>
        <v>#DIV/0!</v>
      </c>
      <c r="AZ35" s="29" t="str">
        <f t="shared" si="38"/>
        <v>#DIV/0!</v>
      </c>
      <c r="BA35" s="29" t="str">
        <f t="shared" si="38"/>
        <v>#DIV/0!</v>
      </c>
      <c r="BB35" s="29" t="str">
        <f t="shared" si="38"/>
        <v>#DIV/0!</v>
      </c>
      <c r="BC35" s="29" t="str">
        <f t="shared" si="38"/>
        <v>#DIV/0!</v>
      </c>
      <c r="BD35" s="29" t="str">
        <f t="shared" si="38"/>
        <v>#DIV/0!</v>
      </c>
      <c r="BE35" s="29" t="str">
        <f t="shared" si="38"/>
        <v>#DIV/0!</v>
      </c>
      <c r="BF35" s="29" t="str">
        <f t="shared" si="38"/>
        <v>#DIV/0!</v>
      </c>
      <c r="BG35" s="29" t="str">
        <f t="shared" si="38"/>
        <v>#DIV/0!</v>
      </c>
      <c r="BH35" s="29" t="str">
        <f t="shared" si="38"/>
        <v>#DIV/0!</v>
      </c>
      <c r="BI35" s="29" t="str">
        <f t="shared" si="38"/>
        <v>#DIV/0!</v>
      </c>
      <c r="BJ35" s="29" t="str">
        <f t="shared" si="38"/>
        <v>#DIV/0!</v>
      </c>
      <c r="BK35" s="29" t="str">
        <f t="shared" si="38"/>
        <v>#DIV/0!</v>
      </c>
      <c r="BL35" s="29" t="str">
        <f t="shared" si="38"/>
        <v>#DIV/0!</v>
      </c>
      <c r="BM35" s="29" t="str">
        <f t="shared" si="3"/>
        <v>#DIV/0!</v>
      </c>
    </row>
    <row r="36">
      <c r="A36" s="16" t="str">
        <f>IFERROR(__xludf.DUMMYFUNCTION("IFERROR(SPARKLINE(SORT(MAP(TRANSPOSE(AQ36:BL36), LAMBDA(val, IF(ISNUMBER(val), PERCENTRANK(AQ36:BL36, val)+0.01, 0))), SEQUENCE(COLUMNS(AQ36:BL36)), FALSE), {""charttype"",""column""; ""color"",""chartreuse""; ""ymin"", 0; ""ymax"", 1.01; ""highcolor"", "&amp;"""darkgreen""; ""lowcolor"", ""red""}), """")"),"")</f>
        <v/>
      </c>
      <c r="B36" s="17" t="str">
        <f t="shared" si="4"/>
        <v/>
      </c>
      <c r="C36" s="1" t="s">
        <v>2198</v>
      </c>
      <c r="D36" s="30" t="str">
        <f>IFERROR(__xludf.DUMMYFUNCTION("IFERROR(GOOGLEFINANCE(C36, ""NAME""))"),"Universal Technical Institute, Inc.")</f>
        <v>Universal Technical Institute, Inc.</v>
      </c>
      <c r="E36" s="30" t="s">
        <v>2069</v>
      </c>
      <c r="F36" s="33" t="str">
        <f>IFERROR(__xludf.DUMMYFUNCTION("( (GOOGLEFINANCE(C36, ""price"") - Q36) / Q36 ) / (R36 / 100)"),"Loading...")</f>
        <v>Loading...</v>
      </c>
      <c r="G36" s="20" t="str">
        <f>IFERROR(__xludf.DUMMYFUNCTION("AVERAGE(ARRAYFORMULA(100 * (QUERY(GOOGLEFINANCE(C36, ""high"", TODAY()-40, TODAY()), ""SELECT Col2 WHERE Col2 IS NOT NULL ORDER BY Col1 DESC LIMIT 20"", 0) / QUERY(GOOGLEFINANCE(C36, ""low"", TODAY()-40, TODAY()), ""SELECT Col2 WHERE Col2 IS NOT NULL ORDE"&amp;"R BY Col1 DESC LIMIT 20"", 0) - 1)))"),"#N/A")</f>
        <v>#N/A</v>
      </c>
      <c r="H36" s="35" t="str">
        <f t="shared" si="6"/>
        <v>Illiquid</v>
      </c>
      <c r="I36" s="36" t="str">
        <f t="shared" si="7"/>
        <v>RVol Required</v>
      </c>
      <c r="J36" s="37">
        <f>IFERROR(__xludf.DUMMYFUNCTION("IFERROR(
  IF(C36="""",, 
    IFERROR(
      GOOGLEFINANCE(C36, ""price"") * GOOGLEFINANCE(C36, ""volumeavg""), 
      GOOGLEFINANCE(C36, ""price"") * AVERAGE(QUERY(GOOGLEFINANCE(C36, ""volume"", TODAY()-40, TODAY()), ""SELECT Col2 WHERE Col2 IS NOT NULL "&amp;"ORDER BY Col1 DESC LIMIT 20"", 0))
    )
  ), 
"""")"),3.57788445E7)</f>
        <v>35778844.5</v>
      </c>
      <c r="K36" s="21">
        <f>IFERROR(__xludf.DUMMYFUNCTION("IFERROR(GOOGLEFINANCE(C36, ""changepct"") / 100, """")"),0.0039000000000000003)</f>
        <v>0.0039</v>
      </c>
      <c r="L36" s="21" t="str">
        <f>IFERROR(__xludf.DUMMYFUNCTION("IFERROR((GOOGLEFINANCE(C36, ""price"") / INDEX(GOOGLEFINANCE(C36, ""price"", TODAY()-7, TODAY()), 2, 2)) - 1, """")"),"")</f>
        <v/>
      </c>
      <c r="M36" s="21" t="str">
        <f>IFERROR(__xludf.DUMMYFUNCTION("IFERROR((GOOGLEFINANCE(C36, ""price"") / INDEX(GOOGLEFINANCE(C36, ""price"", EDATE(TODAY(), -1), TODAY()), 2, 2)) - 1, """")"),"")</f>
        <v/>
      </c>
      <c r="N36" s="21" t="str">
        <f>IFERROR(__xludf.DUMMYFUNCTION("IFERROR((GOOGLEFINANCE(C36, ""price"") / INDEX(GOOGLEFINANCE(C36, ""price"", EDATE(TODAY(), -3), TODAY()), 2, 2)) - 1, """")"),"")</f>
        <v/>
      </c>
      <c r="O36" s="21" t="str">
        <f>IFERROR(__xludf.DUMMYFUNCTION("IFERROR((GOOGLEFINANCE(C36, ""price"") / INDEX(GOOGLEFINANCE(C36, ""price"", EDATE(TODAY(), -6), TODAY()), 2, 2)) - 1, """")"),"")</f>
        <v/>
      </c>
      <c r="P36" s="21" t="str">
        <f>IFERROR(__xludf.DUMMYFUNCTION("IFERROR((GOOGLEFINANCE(C36, ""price"") / INDEX(GOOGLEFINANCE(C36, ""price"", EDATE(TODAY(), -12), TODAY()), 2, 2)) - 1, """")"),"")</f>
        <v/>
      </c>
      <c r="Q36" s="6" t="str">
        <f>IFERROR(__xludf.DUMMYFUNCTION("AVERAGE(QUERY(GOOGLEFINANCE(C36, ""price"", TODAY()-80, TODAY()), ""SELECT Col2 WHERE Col2 IS NOT NULL ORDER BY Col1 DESC LIMIT 50"", 0))"),"#N/A")</f>
        <v>#N/A</v>
      </c>
      <c r="R36" s="24" t="str">
        <f>IFERROR(__xludf.DUMMYFUNCTION("IFERROR(
  LET(
    data, QUERY(GOOGLEFINANCE(C36,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GOOGLEFINANCE(C36, ""price"")) * 100,
    IF(calc=0, G36, calc)
  ), 
G36)"),"#N/A")</f>
        <v>#N/A</v>
      </c>
      <c r="S36" s="8" t="s">
        <v>15</v>
      </c>
      <c r="T36" s="26" t="str">
        <f>IFERROR(__xludf.DUMMYFUNCTION("IFERROR(TRANSPOSE(QUERY(IFERROR(SORT(GOOGLEFINANCE(C36, ""price"", WORKDAY(TODAY(), -40), TODAY()), 1, FALSE)), ""select Col2 where Col2 is not null limit 22 label Col2 ''"", 0)), """")"),"")</f>
        <v/>
      </c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8"/>
      <c r="AO36" s="28"/>
      <c r="AP36" s="29"/>
      <c r="AQ36" s="29" t="str">
        <f t="shared" ref="AQ36:BL36" si="39">T36/T$2</f>
        <v>#N/A</v>
      </c>
      <c r="AR36" s="29" t="str">
        <f t="shared" si="39"/>
        <v>#DIV/0!</v>
      </c>
      <c r="AS36" s="29" t="str">
        <f t="shared" si="39"/>
        <v>#DIV/0!</v>
      </c>
      <c r="AT36" s="29" t="str">
        <f t="shared" si="39"/>
        <v>#DIV/0!</v>
      </c>
      <c r="AU36" s="29" t="str">
        <f t="shared" si="39"/>
        <v>#DIV/0!</v>
      </c>
      <c r="AV36" s="29" t="str">
        <f t="shared" si="39"/>
        <v>#DIV/0!</v>
      </c>
      <c r="AW36" s="29" t="str">
        <f t="shared" si="39"/>
        <v>#DIV/0!</v>
      </c>
      <c r="AX36" s="29" t="str">
        <f t="shared" si="39"/>
        <v>#DIV/0!</v>
      </c>
      <c r="AY36" s="29" t="str">
        <f t="shared" si="39"/>
        <v>#DIV/0!</v>
      </c>
      <c r="AZ36" s="29" t="str">
        <f t="shared" si="39"/>
        <v>#DIV/0!</v>
      </c>
      <c r="BA36" s="29" t="str">
        <f t="shared" si="39"/>
        <v>#DIV/0!</v>
      </c>
      <c r="BB36" s="29" t="str">
        <f t="shared" si="39"/>
        <v>#DIV/0!</v>
      </c>
      <c r="BC36" s="29" t="str">
        <f t="shared" si="39"/>
        <v>#DIV/0!</v>
      </c>
      <c r="BD36" s="29" t="str">
        <f t="shared" si="39"/>
        <v>#DIV/0!</v>
      </c>
      <c r="BE36" s="29" t="str">
        <f t="shared" si="39"/>
        <v>#DIV/0!</v>
      </c>
      <c r="BF36" s="29" t="str">
        <f t="shared" si="39"/>
        <v>#DIV/0!</v>
      </c>
      <c r="BG36" s="29" t="str">
        <f t="shared" si="39"/>
        <v>#DIV/0!</v>
      </c>
      <c r="BH36" s="29" t="str">
        <f t="shared" si="39"/>
        <v>#DIV/0!</v>
      </c>
      <c r="BI36" s="29" t="str">
        <f t="shared" si="39"/>
        <v>#DIV/0!</v>
      </c>
      <c r="BJ36" s="29" t="str">
        <f t="shared" si="39"/>
        <v>#DIV/0!</v>
      </c>
      <c r="BK36" s="29" t="str">
        <f t="shared" si="39"/>
        <v>#DIV/0!</v>
      </c>
      <c r="BL36" s="29" t="str">
        <f t="shared" si="39"/>
        <v>#DIV/0!</v>
      </c>
      <c r="BM36" s="29" t="str">
        <f t="shared" si="3"/>
        <v>#DIV/0!</v>
      </c>
    </row>
    <row r="37">
      <c r="A37" s="16" t="str">
        <f>IFERROR(__xludf.DUMMYFUNCTION("IFERROR(SPARKLINE(SORT(MAP(TRANSPOSE(AQ37:BL37), LAMBDA(val, IF(ISNUMBER(val), PERCENTRANK(AQ37:BL37, val)+0.01, 0))), SEQUENCE(COLUMNS(AQ37:BL37)), FALSE), {""charttype"",""column""; ""color"",""chartreuse""; ""ymin"", 0; ""ymax"", 1.01; ""highcolor"", "&amp;"""darkgreen""; ""lowcolor"", ""red""}), """")"),"")</f>
        <v/>
      </c>
      <c r="B37" s="17" t="str">
        <f t="shared" si="4"/>
        <v/>
      </c>
      <c r="C37" s="1" t="s">
        <v>2202</v>
      </c>
      <c r="D37" s="30" t="str">
        <f>IFERROR(__xludf.DUMMYFUNCTION("IFERROR(GOOGLEFINANCE(C37, ""NAME""))"),"Darling Ingredients Inc")</f>
        <v>Darling Ingredients Inc</v>
      </c>
      <c r="E37" s="30" t="s">
        <v>2094</v>
      </c>
      <c r="F37" s="38" t="str">
        <f>IFERROR(__xludf.DUMMYFUNCTION("( (GOOGLEFINANCE(C37, ""price"") - Q37) / Q37 ) / (R37 / 100)"),"Loading...")</f>
        <v>Loading...</v>
      </c>
      <c r="G37" s="20" t="str">
        <f>IFERROR(__xludf.DUMMYFUNCTION("AVERAGE(ARRAYFORMULA(100 * (QUERY(GOOGLEFINANCE(C37, ""high"", TODAY()-40, TODAY()), ""SELECT Col2 WHERE Col2 IS NOT NULL ORDER BY Col1 DESC LIMIT 20"", 0) / QUERY(GOOGLEFINANCE(C37, ""low"", TODAY()-40, TODAY()), ""SELECT Col2 WHERE Col2 IS NOT NULL ORDE"&amp;"R BY Col1 DESC LIMIT 20"", 0) - 1)))"),"#N/A")</f>
        <v>#N/A</v>
      </c>
      <c r="H37" s="35" t="str">
        <f t="shared" si="6"/>
        <v>Liquid</v>
      </c>
      <c r="I37" s="36" t="str">
        <f t="shared" si="7"/>
        <v>RVol Required</v>
      </c>
      <c r="J37" s="37">
        <f>IFERROR(__xludf.DUMMYFUNCTION("IFERROR(
  IF(C37="""",, 
    IFERROR(
      GOOGLEFINANCE(C37, ""price"") * GOOGLEFINANCE(C37, ""volumeavg""), 
      GOOGLEFINANCE(C37, ""price"") * AVERAGE(QUERY(GOOGLEFINANCE(C37, ""volume"", TODAY()-40, TODAY()), ""SELECT Col2 WHERE Col2 IS NOT NULL "&amp;"ORDER BY Col1 DESC LIMIT 20"", 0))
    )
  ), 
"""")"),1.334205704E8)</f>
        <v>133420570.4</v>
      </c>
      <c r="K37" s="21">
        <f>IFERROR(__xludf.DUMMYFUNCTION("IFERROR(GOOGLEFINANCE(C37, ""changepct"") / 100, """")"),0.008)</f>
        <v>0.008</v>
      </c>
      <c r="L37" s="21" t="str">
        <f>IFERROR(__xludf.DUMMYFUNCTION("IFERROR((GOOGLEFINANCE(C37, ""price"") / INDEX(GOOGLEFINANCE(C37, ""price"", TODAY()-7, TODAY()), 2, 2)) - 1, """")"),"")</f>
        <v/>
      </c>
      <c r="M37" s="21" t="str">
        <f>IFERROR(__xludf.DUMMYFUNCTION("IFERROR((GOOGLEFINANCE(C37, ""price"") / INDEX(GOOGLEFINANCE(C37, ""price"", EDATE(TODAY(), -1), TODAY()), 2, 2)) - 1, """")"),"")</f>
        <v/>
      </c>
      <c r="N37" s="21" t="str">
        <f>IFERROR(__xludf.DUMMYFUNCTION("IFERROR((GOOGLEFINANCE(C37, ""price"") / INDEX(GOOGLEFINANCE(C37, ""price"", EDATE(TODAY(), -3), TODAY()), 2, 2)) - 1, """")"),"")</f>
        <v/>
      </c>
      <c r="O37" s="21" t="str">
        <f>IFERROR(__xludf.DUMMYFUNCTION("IFERROR((GOOGLEFINANCE(C37, ""price"") / INDEX(GOOGLEFINANCE(C37, ""price"", EDATE(TODAY(), -6), TODAY()), 2, 2)) - 1, """")"),"")</f>
        <v/>
      </c>
      <c r="P37" s="21" t="str">
        <f>IFERROR(__xludf.DUMMYFUNCTION("IFERROR((GOOGLEFINANCE(C37, ""price"") / INDEX(GOOGLEFINANCE(C37, ""price"", EDATE(TODAY(), -12), TODAY()), 2, 2)) - 1, """")"),"")</f>
        <v/>
      </c>
      <c r="Q37" s="6" t="str">
        <f>IFERROR(__xludf.DUMMYFUNCTION("AVERAGE(QUERY(GOOGLEFINANCE(C37, ""price"", TODAY()-80, TODAY()), ""SELECT Col2 WHERE Col2 IS NOT NULL ORDER BY Col1 DESC LIMIT 50"", 0))"),"#N/A")</f>
        <v>#N/A</v>
      </c>
      <c r="R37" s="24" t="str">
        <f>IFERROR(__xludf.DUMMYFUNCTION("IFERROR(
  LET(
    data, QUERY(GOOGLEFINANCE(C37,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GOOGLEFINANCE(C37, ""price"")) * 100,
    IF(calc=0, G37, calc)
  ), 
G37)"),"#N/A")</f>
        <v>#N/A</v>
      </c>
      <c r="S37" s="8" t="s">
        <v>15</v>
      </c>
      <c r="T37" s="26" t="str">
        <f>IFERROR(__xludf.DUMMYFUNCTION("IFERROR(TRANSPOSE(QUERY(IFERROR(SORT(GOOGLEFINANCE(C37, ""price"", WORKDAY(TODAY(), -40), TODAY()), 1, FALSE)), ""select Col2 where Col2 is not null limit 22 label Col2 ''"", 0)), """")"),"")</f>
        <v/>
      </c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8"/>
      <c r="AO37" s="28"/>
      <c r="AP37" s="29"/>
      <c r="AQ37" s="29" t="str">
        <f t="shared" ref="AQ37:BL37" si="40">T37/T$2</f>
        <v>#N/A</v>
      </c>
      <c r="AR37" s="29" t="str">
        <f t="shared" si="40"/>
        <v>#DIV/0!</v>
      </c>
      <c r="AS37" s="29" t="str">
        <f t="shared" si="40"/>
        <v>#DIV/0!</v>
      </c>
      <c r="AT37" s="29" t="str">
        <f t="shared" si="40"/>
        <v>#DIV/0!</v>
      </c>
      <c r="AU37" s="29" t="str">
        <f t="shared" si="40"/>
        <v>#DIV/0!</v>
      </c>
      <c r="AV37" s="29" t="str">
        <f t="shared" si="40"/>
        <v>#DIV/0!</v>
      </c>
      <c r="AW37" s="29" t="str">
        <f t="shared" si="40"/>
        <v>#DIV/0!</v>
      </c>
      <c r="AX37" s="29" t="str">
        <f t="shared" si="40"/>
        <v>#DIV/0!</v>
      </c>
      <c r="AY37" s="29" t="str">
        <f t="shared" si="40"/>
        <v>#DIV/0!</v>
      </c>
      <c r="AZ37" s="29" t="str">
        <f t="shared" si="40"/>
        <v>#DIV/0!</v>
      </c>
      <c r="BA37" s="29" t="str">
        <f t="shared" si="40"/>
        <v>#DIV/0!</v>
      </c>
      <c r="BB37" s="29" t="str">
        <f t="shared" si="40"/>
        <v>#DIV/0!</v>
      </c>
      <c r="BC37" s="29" t="str">
        <f t="shared" si="40"/>
        <v>#DIV/0!</v>
      </c>
      <c r="BD37" s="29" t="str">
        <f t="shared" si="40"/>
        <v>#DIV/0!</v>
      </c>
      <c r="BE37" s="29" t="str">
        <f t="shared" si="40"/>
        <v>#DIV/0!</v>
      </c>
      <c r="BF37" s="29" t="str">
        <f t="shared" si="40"/>
        <v>#DIV/0!</v>
      </c>
      <c r="BG37" s="29" t="str">
        <f t="shared" si="40"/>
        <v>#DIV/0!</v>
      </c>
      <c r="BH37" s="29" t="str">
        <f t="shared" si="40"/>
        <v>#DIV/0!</v>
      </c>
      <c r="BI37" s="29" t="str">
        <f t="shared" si="40"/>
        <v>#DIV/0!</v>
      </c>
      <c r="BJ37" s="29" t="str">
        <f t="shared" si="40"/>
        <v>#DIV/0!</v>
      </c>
      <c r="BK37" s="29" t="str">
        <f t="shared" si="40"/>
        <v>#DIV/0!</v>
      </c>
      <c r="BL37" s="29" t="str">
        <f t="shared" si="40"/>
        <v>#DIV/0!</v>
      </c>
      <c r="BM37" s="29" t="str">
        <f t="shared" si="3"/>
        <v>#DIV/0!</v>
      </c>
    </row>
    <row r="38">
      <c r="A38" s="16" t="str">
        <f>IFERROR(__xludf.DUMMYFUNCTION("IFERROR(SPARKLINE(SORT(MAP(TRANSPOSE(AQ38:BL38), LAMBDA(val, IF(ISNUMBER(val), PERCENTRANK(AQ38:BL38, val)+0.01, 0))), SEQUENCE(COLUMNS(AQ38:BL38)), FALSE), {""charttype"",""column""; ""color"",""chartreuse""; ""ymin"", 0; ""ymax"", 1.01; ""highcolor"", "&amp;"""darkgreen""; ""lowcolor"", ""red""}), """")"),"")</f>
        <v/>
      </c>
      <c r="B38" s="17" t="str">
        <f t="shared" si="4"/>
        <v/>
      </c>
      <c r="C38" s="1" t="s">
        <v>2206</v>
      </c>
      <c r="D38" s="30" t="str">
        <f>IFERROR(__xludf.DUMMYFUNCTION("IFERROR(GOOGLEFINANCE(C38, ""NAME""))"),"Cal-Maine Foods Inc")</f>
        <v>Cal-Maine Foods Inc</v>
      </c>
      <c r="E38" s="30" t="s">
        <v>2115</v>
      </c>
      <c r="F38" s="33" t="str">
        <f>IFERROR(__xludf.DUMMYFUNCTION("( (GOOGLEFINANCE(C38, ""price"") - Q38) / Q38 ) / (R38 / 100)"),"Loading...")</f>
        <v>Loading...</v>
      </c>
      <c r="G38" s="20" t="str">
        <f>IFERROR(__xludf.DUMMYFUNCTION("AVERAGE(ARRAYFORMULA(100 * (QUERY(GOOGLEFINANCE(C38, ""high"", TODAY()-40, TODAY()), ""SELECT Col2 WHERE Col2 IS NOT NULL ORDER BY Col1 DESC LIMIT 20"", 0) / QUERY(GOOGLEFINANCE(C38, ""low"", TODAY()-40, TODAY()), ""SELECT Col2 WHERE Col2 IS NOT NULL ORDE"&amp;"R BY Col1 DESC LIMIT 20"", 0) - 1)))"),"#N/A")</f>
        <v>#N/A</v>
      </c>
      <c r="H38" s="35" t="str">
        <f t="shared" si="6"/>
        <v>Liquid</v>
      </c>
      <c r="I38" s="36" t="str">
        <f t="shared" si="7"/>
        <v>RVol Required</v>
      </c>
      <c r="J38" s="37">
        <f>IFERROR(__xludf.DUMMYFUNCTION("IFERROR(
  IF(C38="""",, 
    IFERROR(
      GOOGLEFINANCE(C38, ""price"") * GOOGLEFINANCE(C38, ""volumeavg""), 
      GOOGLEFINANCE(C38, ""price"") * AVERAGE(QUERY(GOOGLEFINANCE(C38, ""volume"", TODAY()-40, TODAY()), ""SELECT Col2 WHERE Col2 IS NOT NULL "&amp;"ORDER BY Col1 DESC LIMIT 20"", 0))
    )
  ), 
"""")"),8.45949236E7)</f>
        <v>84594923.6</v>
      </c>
      <c r="K38" s="21">
        <f>IFERROR(__xludf.DUMMYFUNCTION("IFERROR(GOOGLEFINANCE(C38, ""changepct"") / 100, """")"),9.0E-4)</f>
        <v>0.0009</v>
      </c>
      <c r="L38" s="21" t="str">
        <f>IFERROR(__xludf.DUMMYFUNCTION("IFERROR((GOOGLEFINANCE(C38, ""price"") / INDEX(GOOGLEFINANCE(C38, ""price"", TODAY()-7, TODAY()), 2, 2)) - 1, """")"),"")</f>
        <v/>
      </c>
      <c r="M38" s="21" t="str">
        <f>IFERROR(__xludf.DUMMYFUNCTION("IFERROR((GOOGLEFINANCE(C38, ""price"") / INDEX(GOOGLEFINANCE(C38, ""price"", EDATE(TODAY(), -1), TODAY()), 2, 2)) - 1, """")"),"")</f>
        <v/>
      </c>
      <c r="N38" s="21" t="str">
        <f>IFERROR(__xludf.DUMMYFUNCTION("IFERROR((GOOGLEFINANCE(C38, ""price"") / INDEX(GOOGLEFINANCE(C38, ""price"", EDATE(TODAY(), -3), TODAY()), 2, 2)) - 1, """")"),"")</f>
        <v/>
      </c>
      <c r="O38" s="21" t="str">
        <f>IFERROR(__xludf.DUMMYFUNCTION("IFERROR((GOOGLEFINANCE(C38, ""price"") / INDEX(GOOGLEFINANCE(C38, ""price"", EDATE(TODAY(), -6), TODAY()), 2, 2)) - 1, """")"),"")</f>
        <v/>
      </c>
      <c r="P38" s="21" t="str">
        <f>IFERROR(__xludf.DUMMYFUNCTION("IFERROR((GOOGLEFINANCE(C38, ""price"") / INDEX(GOOGLEFINANCE(C38, ""price"", EDATE(TODAY(), -12), TODAY()), 2, 2)) - 1, """")"),"")</f>
        <v/>
      </c>
      <c r="Q38" s="6" t="str">
        <f>IFERROR(__xludf.DUMMYFUNCTION("AVERAGE(QUERY(GOOGLEFINANCE(C38, ""price"", TODAY()-80, TODAY()), ""SELECT Col2 WHERE Col2 IS NOT NULL ORDER BY Col1 DESC LIMIT 50"", 0))"),"#N/A")</f>
        <v>#N/A</v>
      </c>
      <c r="R38" s="24" t="str">
        <f>IFERROR(__xludf.DUMMYFUNCTION("IFERROR(
  LET(
    data, QUERY(GOOGLEFINANCE(C38,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GOOGLEFINANCE(C38, ""price"")) * 100,
    IF(calc=0, G38, calc)
  ), 
G38)"),"#N/A")</f>
        <v>#N/A</v>
      </c>
      <c r="S38" s="8" t="s">
        <v>15</v>
      </c>
      <c r="T38" s="26" t="str">
        <f>IFERROR(__xludf.DUMMYFUNCTION("IFERROR(TRANSPOSE(QUERY(IFERROR(SORT(GOOGLEFINANCE(C38, ""price"", WORKDAY(TODAY(), -40), TODAY()), 1, FALSE)), ""select Col2 where Col2 is not null limit 22 label Col2 ''"", 0)), """")"),"")</f>
        <v/>
      </c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8"/>
      <c r="AO38" s="28"/>
      <c r="AP38" s="29"/>
      <c r="AQ38" s="29" t="str">
        <f t="shared" ref="AQ38:BL38" si="41">T38/T$2</f>
        <v>#N/A</v>
      </c>
      <c r="AR38" s="29" t="str">
        <f t="shared" si="41"/>
        <v>#DIV/0!</v>
      </c>
      <c r="AS38" s="29" t="str">
        <f t="shared" si="41"/>
        <v>#DIV/0!</v>
      </c>
      <c r="AT38" s="29" t="str">
        <f t="shared" si="41"/>
        <v>#DIV/0!</v>
      </c>
      <c r="AU38" s="29" t="str">
        <f t="shared" si="41"/>
        <v>#DIV/0!</v>
      </c>
      <c r="AV38" s="29" t="str">
        <f t="shared" si="41"/>
        <v>#DIV/0!</v>
      </c>
      <c r="AW38" s="29" t="str">
        <f t="shared" si="41"/>
        <v>#DIV/0!</v>
      </c>
      <c r="AX38" s="29" t="str">
        <f t="shared" si="41"/>
        <v>#DIV/0!</v>
      </c>
      <c r="AY38" s="29" t="str">
        <f t="shared" si="41"/>
        <v>#DIV/0!</v>
      </c>
      <c r="AZ38" s="29" t="str">
        <f t="shared" si="41"/>
        <v>#DIV/0!</v>
      </c>
      <c r="BA38" s="29" t="str">
        <f t="shared" si="41"/>
        <v>#DIV/0!</v>
      </c>
      <c r="BB38" s="29" t="str">
        <f t="shared" si="41"/>
        <v>#DIV/0!</v>
      </c>
      <c r="BC38" s="29" t="str">
        <f t="shared" si="41"/>
        <v>#DIV/0!</v>
      </c>
      <c r="BD38" s="29" t="str">
        <f t="shared" si="41"/>
        <v>#DIV/0!</v>
      </c>
      <c r="BE38" s="29" t="str">
        <f t="shared" si="41"/>
        <v>#DIV/0!</v>
      </c>
      <c r="BF38" s="29" t="str">
        <f t="shared" si="41"/>
        <v>#DIV/0!</v>
      </c>
      <c r="BG38" s="29" t="str">
        <f t="shared" si="41"/>
        <v>#DIV/0!</v>
      </c>
      <c r="BH38" s="29" t="str">
        <f t="shared" si="41"/>
        <v>#DIV/0!</v>
      </c>
      <c r="BI38" s="29" t="str">
        <f t="shared" si="41"/>
        <v>#DIV/0!</v>
      </c>
      <c r="BJ38" s="29" t="str">
        <f t="shared" si="41"/>
        <v>#DIV/0!</v>
      </c>
      <c r="BK38" s="29" t="str">
        <f t="shared" si="41"/>
        <v>#DIV/0!</v>
      </c>
      <c r="BL38" s="29" t="str">
        <f t="shared" si="41"/>
        <v>#DIV/0!</v>
      </c>
      <c r="BM38" s="29" t="str">
        <f t="shared" si="3"/>
        <v>#DIV/0!</v>
      </c>
    </row>
    <row r="39">
      <c r="A39" s="16" t="str">
        <f>IFERROR(__xludf.DUMMYFUNCTION("IFERROR(SPARKLINE(SORT(MAP(TRANSPOSE(AQ39:BL39), LAMBDA(val, IF(ISNUMBER(val), PERCENTRANK(AQ39:BL39, val)+0.01, 0))), SEQUENCE(COLUMNS(AQ39:BL39)), FALSE), {""charttype"",""column""; ""color"",""chartreuse""; ""ymin"", 0; ""ymax"", 1.01; ""highcolor"", "&amp;"""darkgreen""; ""lowcolor"", ""red""}), """")"),"")</f>
        <v/>
      </c>
      <c r="B39" s="17" t="str">
        <f t="shared" si="4"/>
        <v/>
      </c>
      <c r="C39" s="1" t="s">
        <v>2209</v>
      </c>
      <c r="D39" s="30" t="str">
        <f>IFERROR(__xludf.DUMMYFUNCTION("IFERROR(GOOGLEFINANCE(C39, ""NAME""))"),"Tharisa plc")</f>
        <v>Tharisa plc</v>
      </c>
      <c r="E39" s="30" t="s">
        <v>2094</v>
      </c>
      <c r="F39" s="33" t="str">
        <f>IFERROR(__xludf.DUMMYFUNCTION("( (GOOGLEFINANCE(C39, ""price"") - Q39) / Q39 ) / (R39 / 100)"),"Loading...")</f>
        <v>Loading...</v>
      </c>
      <c r="G39" s="20" t="str">
        <f>IFERROR(__xludf.DUMMYFUNCTION("AVERAGE(ARRAYFORMULA(100 * (QUERY(GOOGLEFINANCE(C39, ""high"", TODAY()-40, TODAY()), ""SELECT Col2 WHERE Col2 IS NOT NULL ORDER BY Col1 DESC LIMIT 20"", 0) / QUERY(GOOGLEFINANCE(C39, ""low"", TODAY()-40, TODAY()), ""SELECT Col2 WHERE Col2 IS NOT NULL ORDE"&amp;"R BY Col1 DESC LIMIT 20"", 0) - 1)))"),"#N/A")</f>
        <v>#N/A</v>
      </c>
      <c r="H39" s="35" t="str">
        <f t="shared" si="6"/>
        <v>Illiquid</v>
      </c>
      <c r="I39" s="36" t="str">
        <f t="shared" si="7"/>
        <v>RVol Required</v>
      </c>
      <c r="J39" s="37">
        <f>IFERROR(__xludf.DUMMYFUNCTION("IFERROR(
  IF(C39="""",, 
    IFERROR(
      GOOGLEFINANCE(C39, ""price"") * GOOGLEFINANCE(C39, ""volumeavg""), 
      GOOGLEFINANCE(C39, ""price"") * AVERAGE(QUERY(GOOGLEFINANCE(C39, ""volume"", TODAY()-40, TODAY()), ""SELECT Col2 WHERE Col2 IS NOT NULL "&amp;"ORDER BY Col1 DESC LIMIT 20"", 0))
    )
  ), 
"""")"),2.8933816E7)</f>
        <v>28933816</v>
      </c>
      <c r="K39" s="21">
        <f>IFERROR(__xludf.DUMMYFUNCTION("IFERROR(GOOGLEFINANCE(C39, ""changepct"") / 100, """")"),0.0023)</f>
        <v>0.0023</v>
      </c>
      <c r="L39" s="21" t="str">
        <f>IFERROR(__xludf.DUMMYFUNCTION("IFERROR((GOOGLEFINANCE(C39, ""price"") / INDEX(GOOGLEFINANCE(C39, ""price"", TODAY()-7, TODAY()), 2, 2)) - 1, """")"),"")</f>
        <v/>
      </c>
      <c r="M39" s="21" t="str">
        <f>IFERROR(__xludf.DUMMYFUNCTION("IFERROR((GOOGLEFINANCE(C39, ""price"") / INDEX(GOOGLEFINANCE(C39, ""price"", EDATE(TODAY(), -1), TODAY()), 2, 2)) - 1, """")"),"")</f>
        <v/>
      </c>
      <c r="N39" s="21" t="str">
        <f>IFERROR(__xludf.DUMMYFUNCTION("IFERROR((GOOGLEFINANCE(C39, ""price"") / INDEX(GOOGLEFINANCE(C39, ""price"", EDATE(TODAY(), -3), TODAY()), 2, 2)) - 1, """")"),"")</f>
        <v/>
      </c>
      <c r="O39" s="21" t="str">
        <f>IFERROR(__xludf.DUMMYFUNCTION("IFERROR((GOOGLEFINANCE(C39, ""price"") / INDEX(GOOGLEFINANCE(C39, ""price"", EDATE(TODAY(), -6), TODAY()), 2, 2)) - 1, """")"),"")</f>
        <v/>
      </c>
      <c r="P39" s="21" t="str">
        <f>IFERROR(__xludf.DUMMYFUNCTION("IFERROR((GOOGLEFINANCE(C39, ""price"") / INDEX(GOOGLEFINANCE(C39, ""price"", EDATE(TODAY(), -12), TODAY()), 2, 2)) - 1, """")"),"")</f>
        <v/>
      </c>
      <c r="Q39" s="6" t="str">
        <f>IFERROR(__xludf.DUMMYFUNCTION("AVERAGE(QUERY(GOOGLEFINANCE(C39, ""price"", TODAY()-80, TODAY()), ""SELECT Col2 WHERE Col2 IS NOT NULL ORDER BY Col1 DESC LIMIT 50"", 0))"),"#N/A")</f>
        <v>#N/A</v>
      </c>
      <c r="R39" s="24" t="str">
        <f>IFERROR(__xludf.DUMMYFUNCTION("IFERROR(
  LET(
    data, QUERY(GOOGLEFINANCE(C39,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GOOGLEFINANCE(C39, ""price"")) * 100,
    IF(calc=0, G39, calc)
  ), 
G39)"),"#N/A")</f>
        <v>#N/A</v>
      </c>
      <c r="S39" s="8" t="s">
        <v>15</v>
      </c>
      <c r="T39" s="26" t="str">
        <f>IFERROR(__xludf.DUMMYFUNCTION("IFERROR(TRANSPOSE(QUERY(IFERROR(SORT(GOOGLEFINANCE(C39, ""price"", WORKDAY(TODAY(), -40), TODAY()), 1, FALSE)), ""select Col2 where Col2 is not null limit 22 label Col2 ''"", 0)), """")"),"")</f>
        <v/>
      </c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8"/>
      <c r="AO39" s="28"/>
      <c r="AP39" s="29"/>
      <c r="AQ39" s="29" t="str">
        <f t="shared" ref="AQ39:BL39" si="42">T39/T$2</f>
        <v>#N/A</v>
      </c>
      <c r="AR39" s="29" t="str">
        <f t="shared" si="42"/>
        <v>#DIV/0!</v>
      </c>
      <c r="AS39" s="29" t="str">
        <f t="shared" si="42"/>
        <v>#DIV/0!</v>
      </c>
      <c r="AT39" s="29" t="str">
        <f t="shared" si="42"/>
        <v>#DIV/0!</v>
      </c>
      <c r="AU39" s="29" t="str">
        <f t="shared" si="42"/>
        <v>#DIV/0!</v>
      </c>
      <c r="AV39" s="29" t="str">
        <f t="shared" si="42"/>
        <v>#DIV/0!</v>
      </c>
      <c r="AW39" s="29" t="str">
        <f t="shared" si="42"/>
        <v>#DIV/0!</v>
      </c>
      <c r="AX39" s="29" t="str">
        <f t="shared" si="42"/>
        <v>#DIV/0!</v>
      </c>
      <c r="AY39" s="29" t="str">
        <f t="shared" si="42"/>
        <v>#DIV/0!</v>
      </c>
      <c r="AZ39" s="29" t="str">
        <f t="shared" si="42"/>
        <v>#DIV/0!</v>
      </c>
      <c r="BA39" s="29" t="str">
        <f t="shared" si="42"/>
        <v>#DIV/0!</v>
      </c>
      <c r="BB39" s="29" t="str">
        <f t="shared" si="42"/>
        <v>#DIV/0!</v>
      </c>
      <c r="BC39" s="29" t="str">
        <f t="shared" si="42"/>
        <v>#DIV/0!</v>
      </c>
      <c r="BD39" s="29" t="str">
        <f t="shared" si="42"/>
        <v>#DIV/0!</v>
      </c>
      <c r="BE39" s="29" t="str">
        <f t="shared" si="42"/>
        <v>#DIV/0!</v>
      </c>
      <c r="BF39" s="29" t="str">
        <f t="shared" si="42"/>
        <v>#DIV/0!</v>
      </c>
      <c r="BG39" s="29" t="str">
        <f t="shared" si="42"/>
        <v>#DIV/0!</v>
      </c>
      <c r="BH39" s="29" t="str">
        <f t="shared" si="42"/>
        <v>#DIV/0!</v>
      </c>
      <c r="BI39" s="29" t="str">
        <f t="shared" si="42"/>
        <v>#DIV/0!</v>
      </c>
      <c r="BJ39" s="29" t="str">
        <f t="shared" si="42"/>
        <v>#DIV/0!</v>
      </c>
      <c r="BK39" s="29" t="str">
        <f t="shared" si="42"/>
        <v>#DIV/0!</v>
      </c>
      <c r="BL39" s="29" t="str">
        <f t="shared" si="42"/>
        <v>#DIV/0!</v>
      </c>
      <c r="BM39" s="29" t="str">
        <f t="shared" si="3"/>
        <v>#DIV/0!</v>
      </c>
    </row>
    <row r="40">
      <c r="A40" s="16" t="str">
        <f>IFERROR(__xludf.DUMMYFUNCTION("IFERROR(SPARKLINE(SORT(MAP(TRANSPOSE(AQ40:BL40), LAMBDA(val, IF(ISNUMBER(val), PERCENTRANK(AQ40:BL40, val)+0.01, 0))), SEQUENCE(COLUMNS(AQ40:BL40)), FALSE), {""charttype"",""column""; ""color"",""chartreuse""; ""ymin"", 0; ""ymax"", 1.01; ""highcolor"", "&amp;"""darkgreen""; ""lowcolor"", ""red""}), """")"),"")</f>
        <v/>
      </c>
      <c r="B40" s="17" t="str">
        <f t="shared" si="4"/>
        <v/>
      </c>
      <c r="C40" s="1" t="s">
        <v>2213</v>
      </c>
      <c r="D40" s="30" t="str">
        <f>IFERROR(__xludf.DUMMYFUNCTION("IFERROR(GOOGLEFINANCE(C40, ""NAME""))"),"Perdoceo Education Corp")</f>
        <v>Perdoceo Education Corp</v>
      </c>
      <c r="E40" s="30" t="s">
        <v>2069</v>
      </c>
      <c r="F40" s="33" t="str">
        <f>IFERROR(__xludf.DUMMYFUNCTION("( (GOOGLEFINANCE(C40, ""price"") - Q40) / Q40 ) / (R40 / 100)"),"Loading...")</f>
        <v>Loading...</v>
      </c>
      <c r="G40" s="20" t="str">
        <f>IFERROR(__xludf.DUMMYFUNCTION("AVERAGE(ARRAYFORMULA(100 * (QUERY(GOOGLEFINANCE(C40, ""high"", TODAY()-40, TODAY()), ""SELECT Col2 WHERE Col2 IS NOT NULL ORDER BY Col1 DESC LIMIT 20"", 0) / QUERY(GOOGLEFINANCE(C40, ""low"", TODAY()-40, TODAY()), ""SELECT Col2 WHERE Col2 IS NOT NULL ORDE"&amp;"R BY Col1 DESC LIMIT 20"", 0) - 1)))"),"#N/A")</f>
        <v>#N/A</v>
      </c>
      <c r="H40" s="35" t="str">
        <f t="shared" si="6"/>
        <v>Illiquid</v>
      </c>
      <c r="I40" s="36" t="str">
        <f t="shared" si="7"/>
        <v>RVol Required</v>
      </c>
      <c r="J40" s="37">
        <f>IFERROR(__xludf.DUMMYFUNCTION("IFERROR(
  IF(C40="""",, 
    IFERROR(
      GOOGLEFINANCE(C40, ""price"") * GOOGLEFINANCE(C40, ""volumeavg""), 
      GOOGLEFINANCE(C40, ""price"") * AVERAGE(QUERY(GOOGLEFINANCE(C40, ""volume"", TODAY()-40, TODAY()), ""SELECT Col2 WHERE Col2 IS NOT NULL "&amp;"ORDER BY Col1 DESC LIMIT 20"", 0))
    )
  ), 
"""")"),2.236966854E7)</f>
        <v>22369668.54</v>
      </c>
      <c r="K40" s="21">
        <f>IFERROR(__xludf.DUMMYFUNCTION("IFERROR(GOOGLEFINANCE(C40, ""changepct"") / 100, """")"),-0.0040999999999999995)</f>
        <v>-0.0041</v>
      </c>
      <c r="L40" s="21" t="str">
        <f>IFERROR(__xludf.DUMMYFUNCTION("IFERROR((GOOGLEFINANCE(C40, ""price"") / INDEX(GOOGLEFINANCE(C40, ""price"", TODAY()-7, TODAY()), 2, 2)) - 1, """")"),"")</f>
        <v/>
      </c>
      <c r="M40" s="21" t="str">
        <f>IFERROR(__xludf.DUMMYFUNCTION("IFERROR((GOOGLEFINANCE(C40, ""price"") / INDEX(GOOGLEFINANCE(C40, ""price"", EDATE(TODAY(), -1), TODAY()), 2, 2)) - 1, """")"),"")</f>
        <v/>
      </c>
      <c r="N40" s="21" t="str">
        <f>IFERROR(__xludf.DUMMYFUNCTION("IFERROR((GOOGLEFINANCE(C40, ""price"") / INDEX(GOOGLEFINANCE(C40, ""price"", EDATE(TODAY(), -3), TODAY()), 2, 2)) - 1, """")"),"")</f>
        <v/>
      </c>
      <c r="O40" s="21" t="str">
        <f>IFERROR(__xludf.DUMMYFUNCTION("IFERROR((GOOGLEFINANCE(C40, ""price"") / INDEX(GOOGLEFINANCE(C40, ""price"", EDATE(TODAY(), -6), TODAY()), 2, 2)) - 1, """")"),"")</f>
        <v/>
      </c>
      <c r="P40" s="21" t="str">
        <f>IFERROR(__xludf.DUMMYFUNCTION("IFERROR((GOOGLEFINANCE(C40, ""price"") / INDEX(GOOGLEFINANCE(C40, ""price"", EDATE(TODAY(), -12), TODAY()), 2, 2)) - 1, """")"),"")</f>
        <v/>
      </c>
      <c r="Q40" s="6" t="str">
        <f>IFERROR(__xludf.DUMMYFUNCTION("AVERAGE(QUERY(GOOGLEFINANCE(C40, ""price"", TODAY()-80, TODAY()), ""SELECT Col2 WHERE Col2 IS NOT NULL ORDER BY Col1 DESC LIMIT 50"", 0))"),"#N/A")</f>
        <v>#N/A</v>
      </c>
      <c r="R40" s="24" t="str">
        <f>IFERROR(__xludf.DUMMYFUNCTION("IFERROR(
  LET(
    data, QUERY(GOOGLEFINANCE(C40,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GOOGLEFINANCE(C40, ""price"")) * 100,
    IF(calc=0, G40, calc)
  ), 
G40)"),"#N/A")</f>
        <v>#N/A</v>
      </c>
      <c r="S40" s="8" t="s">
        <v>15</v>
      </c>
      <c r="T40" s="26" t="str">
        <f>IFERROR(__xludf.DUMMYFUNCTION("IFERROR(TRANSPOSE(QUERY(IFERROR(SORT(GOOGLEFINANCE(C40, ""price"", WORKDAY(TODAY(), -40), TODAY()), 1, FALSE)), ""select Col2 where Col2 is not null limit 22 label Col2 ''"", 0)), """")"),"")</f>
        <v/>
      </c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8"/>
      <c r="AO40" s="28"/>
      <c r="AP40" s="29"/>
      <c r="AQ40" s="29" t="str">
        <f t="shared" ref="AQ40:BL40" si="43">T40/T$2</f>
        <v>#N/A</v>
      </c>
      <c r="AR40" s="29" t="str">
        <f t="shared" si="43"/>
        <v>#DIV/0!</v>
      </c>
      <c r="AS40" s="29" t="str">
        <f t="shared" si="43"/>
        <v>#DIV/0!</v>
      </c>
      <c r="AT40" s="29" t="str">
        <f t="shared" si="43"/>
        <v>#DIV/0!</v>
      </c>
      <c r="AU40" s="29" t="str">
        <f t="shared" si="43"/>
        <v>#DIV/0!</v>
      </c>
      <c r="AV40" s="29" t="str">
        <f t="shared" si="43"/>
        <v>#DIV/0!</v>
      </c>
      <c r="AW40" s="29" t="str">
        <f t="shared" si="43"/>
        <v>#DIV/0!</v>
      </c>
      <c r="AX40" s="29" t="str">
        <f t="shared" si="43"/>
        <v>#DIV/0!</v>
      </c>
      <c r="AY40" s="29" t="str">
        <f t="shared" si="43"/>
        <v>#DIV/0!</v>
      </c>
      <c r="AZ40" s="29" t="str">
        <f t="shared" si="43"/>
        <v>#DIV/0!</v>
      </c>
      <c r="BA40" s="29" t="str">
        <f t="shared" si="43"/>
        <v>#DIV/0!</v>
      </c>
      <c r="BB40" s="29" t="str">
        <f t="shared" si="43"/>
        <v>#DIV/0!</v>
      </c>
      <c r="BC40" s="29" t="str">
        <f t="shared" si="43"/>
        <v>#DIV/0!</v>
      </c>
      <c r="BD40" s="29" t="str">
        <f t="shared" si="43"/>
        <v>#DIV/0!</v>
      </c>
      <c r="BE40" s="29" t="str">
        <f t="shared" si="43"/>
        <v>#DIV/0!</v>
      </c>
      <c r="BF40" s="29" t="str">
        <f t="shared" si="43"/>
        <v>#DIV/0!</v>
      </c>
      <c r="BG40" s="29" t="str">
        <f t="shared" si="43"/>
        <v>#DIV/0!</v>
      </c>
      <c r="BH40" s="29" t="str">
        <f t="shared" si="43"/>
        <v>#DIV/0!</v>
      </c>
      <c r="BI40" s="29" t="str">
        <f t="shared" si="43"/>
        <v>#DIV/0!</v>
      </c>
      <c r="BJ40" s="29" t="str">
        <f t="shared" si="43"/>
        <v>#DIV/0!</v>
      </c>
      <c r="BK40" s="29" t="str">
        <f t="shared" si="43"/>
        <v>#DIV/0!</v>
      </c>
      <c r="BL40" s="29" t="str">
        <f t="shared" si="43"/>
        <v>#DIV/0!</v>
      </c>
      <c r="BM40" s="29" t="str">
        <f t="shared" si="3"/>
        <v>#DIV/0!</v>
      </c>
    </row>
    <row r="41">
      <c r="A41" s="16" t="str">
        <f>IFERROR(__xludf.DUMMYFUNCTION("IFERROR(SPARKLINE(SORT(MAP(TRANSPOSE(AQ41:BL41), LAMBDA(val, IF(ISNUMBER(val), PERCENTRANK(AQ41:BL41, val)+0.01, 0))), SEQUENCE(COLUMNS(AQ41:BL41)), FALSE), {""charttype"",""column""; ""color"",""chartreuse""; ""ymin"", 0; ""ymax"", 1.01; ""highcolor"", "&amp;"""darkgreen""; ""lowcolor"", ""red""}), """")"),"")</f>
        <v/>
      </c>
      <c r="B41" s="17" t="str">
        <f t="shared" si="4"/>
        <v/>
      </c>
      <c r="C41" s="1" t="s">
        <v>2217</v>
      </c>
      <c r="D41" s="30" t="str">
        <f>IFERROR(__xludf.DUMMYFUNCTION("IFERROR(GOOGLEFINANCE(C41, ""NAME""))"),"Helen of Troy Ltd")</f>
        <v>Helen of Troy Ltd</v>
      </c>
      <c r="E41" s="30" t="s">
        <v>2132</v>
      </c>
      <c r="F41" s="33" t="str">
        <f>IFERROR(__xludf.DUMMYFUNCTION("( (GOOGLEFINANCE(C41, ""price"") - Q41) / Q41 ) / (R41 / 100)"),"Loading...")</f>
        <v>Loading...</v>
      </c>
      <c r="G41" s="20" t="str">
        <f>IFERROR(__xludf.DUMMYFUNCTION("AVERAGE(ARRAYFORMULA(100 * (QUERY(GOOGLEFINANCE(C41, ""high"", TODAY()-40, TODAY()), ""SELECT Col2 WHERE Col2 IS NOT NULL ORDER BY Col1 DESC LIMIT 20"", 0) / QUERY(GOOGLEFINANCE(C41, ""low"", TODAY()-40, TODAY()), ""SELECT Col2 WHERE Col2 IS NOT NULL ORDE"&amp;"R BY Col1 DESC LIMIT 20"", 0) - 1)))"),"#N/A")</f>
        <v>#N/A</v>
      </c>
      <c r="H41" s="35" t="str">
        <f t="shared" si="6"/>
        <v>Illiquid</v>
      </c>
      <c r="I41" s="36" t="str">
        <f t="shared" si="7"/>
        <v>RVol Required</v>
      </c>
      <c r="J41" s="37">
        <f>IFERROR(__xludf.DUMMYFUNCTION("IFERROR(
  IF(C41="""",, 
    IFERROR(
      GOOGLEFINANCE(C41, ""price"") * GOOGLEFINANCE(C41, ""volumeavg""), 
      GOOGLEFINANCE(C41, ""price"") * AVERAGE(QUERY(GOOGLEFINANCE(C41, ""volume"", TODAY()-40, TODAY()), ""SELECT Col2 WHERE Col2 IS NOT NULL "&amp;"ORDER BY Col1 DESC LIMIT 20"", 0))
    )
  ), 
"""")"),1.498443817E7)</f>
        <v>14984438.17</v>
      </c>
      <c r="K41" s="21">
        <f>IFERROR(__xludf.DUMMYFUNCTION("IFERROR(GOOGLEFINANCE(C41, ""changepct"") / 100, """")"),-0.0183)</f>
        <v>-0.0183</v>
      </c>
      <c r="L41" s="21" t="str">
        <f>IFERROR(__xludf.DUMMYFUNCTION("IFERROR((GOOGLEFINANCE(C41, ""price"") / INDEX(GOOGLEFINANCE(C41, ""price"", TODAY()-7, TODAY()), 2, 2)) - 1, """")"),"")</f>
        <v/>
      </c>
      <c r="M41" s="21" t="str">
        <f>IFERROR(__xludf.DUMMYFUNCTION("IFERROR((GOOGLEFINANCE(C41, ""price"") / INDEX(GOOGLEFINANCE(C41, ""price"", EDATE(TODAY(), -1), TODAY()), 2, 2)) - 1, """")"),"")</f>
        <v/>
      </c>
      <c r="N41" s="21" t="str">
        <f>IFERROR(__xludf.DUMMYFUNCTION("IFERROR((GOOGLEFINANCE(C41, ""price"") / INDEX(GOOGLEFINANCE(C41, ""price"", EDATE(TODAY(), -3), TODAY()), 2, 2)) - 1, """")"),"")</f>
        <v/>
      </c>
      <c r="O41" s="21" t="str">
        <f>IFERROR(__xludf.DUMMYFUNCTION("IFERROR((GOOGLEFINANCE(C41, ""price"") / INDEX(GOOGLEFINANCE(C41, ""price"", EDATE(TODAY(), -6), TODAY()), 2, 2)) - 1, """")"),"")</f>
        <v/>
      </c>
      <c r="P41" s="21" t="str">
        <f>IFERROR(__xludf.DUMMYFUNCTION("IFERROR((GOOGLEFINANCE(C41, ""price"") / INDEX(GOOGLEFINANCE(C41, ""price"", EDATE(TODAY(), -12), TODAY()), 2, 2)) - 1, """")"),"")</f>
        <v/>
      </c>
      <c r="Q41" s="6" t="str">
        <f>IFERROR(__xludf.DUMMYFUNCTION("AVERAGE(QUERY(GOOGLEFINANCE(C41, ""price"", TODAY()-80, TODAY()), ""SELECT Col2 WHERE Col2 IS NOT NULL ORDER BY Col1 DESC LIMIT 50"", 0))"),"#N/A")</f>
        <v>#N/A</v>
      </c>
      <c r="R41" s="24" t="str">
        <f>IFERROR(__xludf.DUMMYFUNCTION("IFERROR(
  LET(
    data, QUERY(GOOGLEFINANCE(C41,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GOOGLEFINANCE(C41, ""price"")) * 100,
    IF(calc=0, G41, calc)
  ), 
G41)"),"#N/A")</f>
        <v>#N/A</v>
      </c>
      <c r="S41" s="8" t="s">
        <v>15</v>
      </c>
      <c r="T41" s="26" t="str">
        <f>IFERROR(__xludf.DUMMYFUNCTION("IFERROR(TRANSPOSE(QUERY(IFERROR(SORT(GOOGLEFINANCE(C41, ""price"", WORKDAY(TODAY(), -40), TODAY()), 1, FALSE)), ""select Col2 where Col2 is not null limit 22 label Col2 ''"", 0)), """")"),"")</f>
        <v/>
      </c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8"/>
      <c r="AO41" s="28"/>
      <c r="AP41" s="29"/>
      <c r="AQ41" s="29" t="str">
        <f t="shared" ref="AQ41:BL41" si="44">T41/T$2</f>
        <v>#N/A</v>
      </c>
      <c r="AR41" s="29" t="str">
        <f t="shared" si="44"/>
        <v>#DIV/0!</v>
      </c>
      <c r="AS41" s="29" t="str">
        <f t="shared" si="44"/>
        <v>#DIV/0!</v>
      </c>
      <c r="AT41" s="29" t="str">
        <f t="shared" si="44"/>
        <v>#DIV/0!</v>
      </c>
      <c r="AU41" s="29" t="str">
        <f t="shared" si="44"/>
        <v>#DIV/0!</v>
      </c>
      <c r="AV41" s="29" t="str">
        <f t="shared" si="44"/>
        <v>#DIV/0!</v>
      </c>
      <c r="AW41" s="29" t="str">
        <f t="shared" si="44"/>
        <v>#DIV/0!</v>
      </c>
      <c r="AX41" s="29" t="str">
        <f t="shared" si="44"/>
        <v>#DIV/0!</v>
      </c>
      <c r="AY41" s="29" t="str">
        <f t="shared" si="44"/>
        <v>#DIV/0!</v>
      </c>
      <c r="AZ41" s="29" t="str">
        <f t="shared" si="44"/>
        <v>#DIV/0!</v>
      </c>
      <c r="BA41" s="29" t="str">
        <f t="shared" si="44"/>
        <v>#DIV/0!</v>
      </c>
      <c r="BB41" s="29" t="str">
        <f t="shared" si="44"/>
        <v>#DIV/0!</v>
      </c>
      <c r="BC41" s="29" t="str">
        <f t="shared" si="44"/>
        <v>#DIV/0!</v>
      </c>
      <c r="BD41" s="29" t="str">
        <f t="shared" si="44"/>
        <v>#DIV/0!</v>
      </c>
      <c r="BE41" s="29" t="str">
        <f t="shared" si="44"/>
        <v>#DIV/0!</v>
      </c>
      <c r="BF41" s="29" t="str">
        <f t="shared" si="44"/>
        <v>#DIV/0!</v>
      </c>
      <c r="BG41" s="29" t="str">
        <f t="shared" si="44"/>
        <v>#DIV/0!</v>
      </c>
      <c r="BH41" s="29" t="str">
        <f t="shared" si="44"/>
        <v>#DIV/0!</v>
      </c>
      <c r="BI41" s="29" t="str">
        <f t="shared" si="44"/>
        <v>#DIV/0!</v>
      </c>
      <c r="BJ41" s="29" t="str">
        <f t="shared" si="44"/>
        <v>#DIV/0!</v>
      </c>
      <c r="BK41" s="29" t="str">
        <f t="shared" si="44"/>
        <v>#DIV/0!</v>
      </c>
      <c r="BL41" s="29" t="str">
        <f t="shared" si="44"/>
        <v>#DIV/0!</v>
      </c>
      <c r="BM41" s="29" t="str">
        <f t="shared" si="3"/>
        <v>#DIV/0!</v>
      </c>
    </row>
    <row r="42">
      <c r="A42" s="16" t="str">
        <f>IFERROR(__xludf.DUMMYFUNCTION("IFERROR(SPARKLINE(SORT(MAP(TRANSPOSE(AQ42:BL42), LAMBDA(val, IF(ISNUMBER(val), PERCENTRANK(AQ42:BL42, val)+0.01, 0))), SEQUENCE(COLUMNS(AQ42:BL42)), FALSE), {""charttype"",""column""; ""color"",""chartreuse""; ""ymin"", 0; ""ymax"", 1.01; ""highcolor"", "&amp;"""darkgreen""; ""lowcolor"", ""red""}), """")"),"")</f>
        <v/>
      </c>
      <c r="B42" s="17" t="str">
        <f t="shared" si="4"/>
        <v/>
      </c>
      <c r="C42" s="1" t="s">
        <v>2221</v>
      </c>
      <c r="D42" s="30" t="str">
        <f>IFERROR(__xludf.DUMMYFUNCTION("IFERROR(GOOGLEFINANCE(C42, ""NAME""))"),"Village Super Market Inc")</f>
        <v>Village Super Market Inc</v>
      </c>
      <c r="E42" s="30" t="s">
        <v>2063</v>
      </c>
      <c r="F42" s="38" t="str">
        <f>IFERROR(__xludf.DUMMYFUNCTION("( (GOOGLEFINANCE(C42, ""price"") - Q42) / Q42 ) / (R42 / 100)"),"Loading...")</f>
        <v>Loading...</v>
      </c>
      <c r="G42" s="20" t="str">
        <f>IFERROR(__xludf.DUMMYFUNCTION("AVERAGE(ARRAYFORMULA(100 * (QUERY(GOOGLEFINANCE(C42, ""high"", TODAY()-40, TODAY()), ""SELECT Col2 WHERE Col2 IS NOT NULL ORDER BY Col1 DESC LIMIT 20"", 0) / QUERY(GOOGLEFINANCE(C42, ""low"", TODAY()-40, TODAY()), ""SELECT Col2 WHERE Col2 IS NOT NULL ORDE"&amp;"R BY Col1 DESC LIMIT 20"", 0) - 1)))"),"#N/A")</f>
        <v>#N/A</v>
      </c>
      <c r="H42" s="35" t="str">
        <f t="shared" si="6"/>
        <v>Illiquid</v>
      </c>
      <c r="I42" s="36" t="str">
        <f t="shared" si="7"/>
        <v>RVol Required</v>
      </c>
      <c r="J42" s="37">
        <f>IFERROR(__xludf.DUMMYFUNCTION("IFERROR(
  IF(C42="""",, 
    IFERROR(
      GOOGLEFINANCE(C42, ""price"") * GOOGLEFINANCE(C42, ""volumeavg""), 
      GOOGLEFINANCE(C42, ""price"") * AVERAGE(QUERY(GOOGLEFINANCE(C42, ""volume"", TODAY()-40, TODAY()), ""SELECT Col2 WHERE Col2 IS NOT NULL "&amp;"ORDER BY Col1 DESC LIMIT 20"", 0))
    )
  ), 
"""")"),2320278.6599999997)</f>
        <v>2320278.66</v>
      </c>
      <c r="K42" s="21">
        <f>IFERROR(__xludf.DUMMYFUNCTION("IFERROR(GOOGLEFINANCE(C42, ""changepct"") / 100, """")"),-0.0158)</f>
        <v>-0.0158</v>
      </c>
      <c r="L42" s="21" t="str">
        <f>IFERROR(__xludf.DUMMYFUNCTION("IFERROR((GOOGLEFINANCE(C42, ""price"") / INDEX(GOOGLEFINANCE(C42, ""price"", TODAY()-7, TODAY()), 2, 2)) - 1, """")"),"")</f>
        <v/>
      </c>
      <c r="M42" s="21" t="str">
        <f>IFERROR(__xludf.DUMMYFUNCTION("IFERROR((GOOGLEFINANCE(C42, ""price"") / INDEX(GOOGLEFINANCE(C42, ""price"", EDATE(TODAY(), -1), TODAY()), 2, 2)) - 1, """")"),"")</f>
        <v/>
      </c>
      <c r="N42" s="21" t="str">
        <f>IFERROR(__xludf.DUMMYFUNCTION("IFERROR((GOOGLEFINANCE(C42, ""price"") / INDEX(GOOGLEFINANCE(C42, ""price"", EDATE(TODAY(), -3), TODAY()), 2, 2)) - 1, """")"),"")</f>
        <v/>
      </c>
      <c r="O42" s="21" t="str">
        <f>IFERROR(__xludf.DUMMYFUNCTION("IFERROR((GOOGLEFINANCE(C42, ""price"") / INDEX(GOOGLEFINANCE(C42, ""price"", EDATE(TODAY(), -6), TODAY()), 2, 2)) - 1, """")"),"")</f>
        <v/>
      </c>
      <c r="P42" s="21" t="str">
        <f>IFERROR(__xludf.DUMMYFUNCTION("IFERROR((GOOGLEFINANCE(C42, ""price"") / INDEX(GOOGLEFINANCE(C42, ""price"", EDATE(TODAY(), -12), TODAY()), 2, 2)) - 1, """")"),"")</f>
        <v/>
      </c>
      <c r="Q42" s="6" t="str">
        <f>IFERROR(__xludf.DUMMYFUNCTION("AVERAGE(QUERY(GOOGLEFINANCE(C42, ""price"", TODAY()-80, TODAY()), ""SELECT Col2 WHERE Col2 IS NOT NULL ORDER BY Col1 DESC LIMIT 50"", 0))"),"#N/A")</f>
        <v>#N/A</v>
      </c>
      <c r="R42" s="24" t="str">
        <f>IFERROR(__xludf.DUMMYFUNCTION("IFERROR(
  LET(
    data, QUERY(GOOGLEFINANCE(C42,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GOOGLEFINANCE(C42, ""price"")) * 100,
    IF(calc=0, G42, calc)
  ), 
G42)"),"#N/A")</f>
        <v>#N/A</v>
      </c>
      <c r="S42" s="8" t="s">
        <v>15</v>
      </c>
      <c r="T42" s="26" t="str">
        <f>IFERROR(__xludf.DUMMYFUNCTION("IFERROR(TRANSPOSE(QUERY(IFERROR(SORT(GOOGLEFINANCE(C42, ""price"", WORKDAY(TODAY(), -40), TODAY()), 1, FALSE)), ""select Col2 where Col2 is not null limit 22 label Col2 ''"", 0)), """")"),"")</f>
        <v/>
      </c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8"/>
      <c r="AO42" s="28"/>
      <c r="AP42" s="29"/>
      <c r="AQ42" s="29" t="str">
        <f t="shared" ref="AQ42:BL42" si="45">T42/T$2</f>
        <v>#N/A</v>
      </c>
      <c r="AR42" s="29" t="str">
        <f t="shared" si="45"/>
        <v>#DIV/0!</v>
      </c>
      <c r="AS42" s="29" t="str">
        <f t="shared" si="45"/>
        <v>#DIV/0!</v>
      </c>
      <c r="AT42" s="29" t="str">
        <f t="shared" si="45"/>
        <v>#DIV/0!</v>
      </c>
      <c r="AU42" s="29" t="str">
        <f t="shared" si="45"/>
        <v>#DIV/0!</v>
      </c>
      <c r="AV42" s="29" t="str">
        <f t="shared" si="45"/>
        <v>#DIV/0!</v>
      </c>
      <c r="AW42" s="29" t="str">
        <f t="shared" si="45"/>
        <v>#DIV/0!</v>
      </c>
      <c r="AX42" s="29" t="str">
        <f t="shared" si="45"/>
        <v>#DIV/0!</v>
      </c>
      <c r="AY42" s="29" t="str">
        <f t="shared" si="45"/>
        <v>#DIV/0!</v>
      </c>
      <c r="AZ42" s="29" t="str">
        <f t="shared" si="45"/>
        <v>#DIV/0!</v>
      </c>
      <c r="BA42" s="29" t="str">
        <f t="shared" si="45"/>
        <v>#DIV/0!</v>
      </c>
      <c r="BB42" s="29" t="str">
        <f t="shared" si="45"/>
        <v>#DIV/0!</v>
      </c>
      <c r="BC42" s="29" t="str">
        <f t="shared" si="45"/>
        <v>#DIV/0!</v>
      </c>
      <c r="BD42" s="29" t="str">
        <f t="shared" si="45"/>
        <v>#DIV/0!</v>
      </c>
      <c r="BE42" s="29" t="str">
        <f t="shared" si="45"/>
        <v>#DIV/0!</v>
      </c>
      <c r="BF42" s="29" t="str">
        <f t="shared" si="45"/>
        <v>#DIV/0!</v>
      </c>
      <c r="BG42" s="29" t="str">
        <f t="shared" si="45"/>
        <v>#DIV/0!</v>
      </c>
      <c r="BH42" s="29" t="str">
        <f t="shared" si="45"/>
        <v>#DIV/0!</v>
      </c>
      <c r="BI42" s="29" t="str">
        <f t="shared" si="45"/>
        <v>#DIV/0!</v>
      </c>
      <c r="BJ42" s="29" t="str">
        <f t="shared" si="45"/>
        <v>#DIV/0!</v>
      </c>
      <c r="BK42" s="29" t="str">
        <f t="shared" si="45"/>
        <v>#DIV/0!</v>
      </c>
      <c r="BL42" s="29" t="str">
        <f t="shared" si="45"/>
        <v>#DIV/0!</v>
      </c>
      <c r="BM42" s="29" t="str">
        <f t="shared" si="3"/>
        <v>#DIV/0!</v>
      </c>
    </row>
    <row r="43">
      <c r="A43" s="16" t="str">
        <f>IFERROR(__xludf.DUMMYFUNCTION("IFERROR(SPARKLINE(SORT(MAP(TRANSPOSE(AQ43:BL43), LAMBDA(val, IF(ISNUMBER(val), PERCENTRANK(AQ43:BL43, val)+0.01, 0))), SEQUENCE(COLUMNS(AQ43:BL43)), FALSE), {""charttype"",""column""; ""color"",""chartreuse""; ""ymin"", 0; ""ymax"", 1.01; ""highcolor"", "&amp;"""darkgreen""; ""lowcolor"", ""red""}), """")"),"")</f>
        <v/>
      </c>
      <c r="B43" s="17" t="str">
        <f t="shared" si="4"/>
        <v/>
      </c>
      <c r="C43" s="1" t="s">
        <v>2225</v>
      </c>
      <c r="D43" s="30" t="str">
        <f>IFERROR(__xludf.DUMMYFUNCTION("IFERROR(GOOGLEFINANCE(C43, ""NAME""))"),"Coca-Cola Femsa SAB de CV")</f>
        <v>Coca-Cola Femsa SAB de CV</v>
      </c>
      <c r="E43" s="30" t="s">
        <v>2083</v>
      </c>
      <c r="F43" s="33" t="str">
        <f>IFERROR(__xludf.DUMMYFUNCTION("( (GOOGLEFINANCE(C43, ""price"") - Q43) / Q43 ) / (R43 / 100)"),"Loading...")</f>
        <v>Loading...</v>
      </c>
      <c r="G43" s="20" t="str">
        <f>IFERROR(__xludf.DUMMYFUNCTION("AVERAGE(ARRAYFORMULA(100 * (QUERY(GOOGLEFINANCE(C43, ""high"", TODAY()-40, TODAY()), ""SELECT Col2 WHERE Col2 IS NOT NULL ORDER BY Col1 DESC LIMIT 20"", 0) / QUERY(GOOGLEFINANCE(C43, ""low"", TODAY()-40, TODAY()), ""SELECT Col2 WHERE Col2 IS NOT NULL ORDE"&amp;"R BY Col1 DESC LIMIT 20"", 0) - 1)))"),"#N/A")</f>
        <v>#N/A</v>
      </c>
      <c r="H43" s="35" t="str">
        <f t="shared" si="6"/>
        <v>Illiquid</v>
      </c>
      <c r="I43" s="36" t="str">
        <f t="shared" si="7"/>
        <v>RVol Required</v>
      </c>
      <c r="J43" s="37">
        <f>IFERROR(__xludf.DUMMYFUNCTION("IFERROR(
  IF(C43="""",, 
    IFERROR(
      GOOGLEFINANCE(C43, ""price"") * GOOGLEFINANCE(C43, ""volumeavg""), 
      GOOGLEFINANCE(C43, ""price"") * AVERAGE(QUERY(GOOGLEFINANCE(C43, ""volume"", TODAY()-40, TODAY()), ""SELECT Col2 WHERE Col2 IS NOT NULL "&amp;"ORDER BY Col1 DESC LIMIT 20"", 0))
    )
  ), 
"""")"),1.60194723E7)</f>
        <v>16019472.3</v>
      </c>
      <c r="K43" s="21">
        <f>IFERROR(__xludf.DUMMYFUNCTION("IFERROR(GOOGLEFINANCE(C43, ""changepct"") / 100, """")"),0.028399999999999998)</f>
        <v>0.0284</v>
      </c>
      <c r="L43" s="21" t="str">
        <f>IFERROR(__xludf.DUMMYFUNCTION("IFERROR((GOOGLEFINANCE(C43, ""price"") / INDEX(GOOGLEFINANCE(C43, ""price"", TODAY()-7, TODAY()), 2, 2)) - 1, """")"),"")</f>
        <v/>
      </c>
      <c r="M43" s="21" t="str">
        <f>IFERROR(__xludf.DUMMYFUNCTION("IFERROR((GOOGLEFINANCE(C43, ""price"") / INDEX(GOOGLEFINANCE(C43, ""price"", EDATE(TODAY(), -1), TODAY()), 2, 2)) - 1, """")"),"")</f>
        <v/>
      </c>
      <c r="N43" s="21" t="str">
        <f>IFERROR(__xludf.DUMMYFUNCTION("IFERROR((GOOGLEFINANCE(C43, ""price"") / INDEX(GOOGLEFINANCE(C43, ""price"", EDATE(TODAY(), -3), TODAY()), 2, 2)) - 1, """")"),"")</f>
        <v/>
      </c>
      <c r="O43" s="21" t="str">
        <f>IFERROR(__xludf.DUMMYFUNCTION("IFERROR((GOOGLEFINANCE(C43, ""price"") / INDEX(GOOGLEFINANCE(C43, ""price"", EDATE(TODAY(), -6), TODAY()), 2, 2)) - 1, """")"),"")</f>
        <v/>
      </c>
      <c r="P43" s="21" t="str">
        <f>IFERROR(__xludf.DUMMYFUNCTION("IFERROR((GOOGLEFINANCE(C43, ""price"") / INDEX(GOOGLEFINANCE(C43, ""price"", EDATE(TODAY(), -12), TODAY()), 2, 2)) - 1, """")"),"")</f>
        <v/>
      </c>
      <c r="Q43" s="6" t="str">
        <f>IFERROR(__xludf.DUMMYFUNCTION("AVERAGE(QUERY(GOOGLEFINANCE(C43, ""price"", TODAY()-80, TODAY()), ""SELECT Col2 WHERE Col2 IS NOT NULL ORDER BY Col1 DESC LIMIT 50"", 0))"),"#N/A")</f>
        <v>#N/A</v>
      </c>
      <c r="R43" s="24" t="str">
        <f>IFERROR(__xludf.DUMMYFUNCTION("IFERROR(
  LET(
    data, QUERY(GOOGLEFINANCE(C43,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GOOGLEFINANCE(C43, ""price"")) * 100,
    IF(calc=0, G43, calc)
  ), 
G43)"),"#N/A")</f>
        <v>#N/A</v>
      </c>
      <c r="S43" s="8" t="s">
        <v>15</v>
      </c>
      <c r="T43" s="26" t="str">
        <f>IFERROR(__xludf.DUMMYFUNCTION("IFERROR(TRANSPOSE(QUERY(IFERROR(SORT(GOOGLEFINANCE(C43, ""price"", WORKDAY(TODAY(), -40), TODAY()), 1, FALSE)), ""select Col2 where Col2 is not null limit 22 label Col2 ''"", 0)), """")"),"")</f>
        <v/>
      </c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8"/>
      <c r="AO43" s="28"/>
      <c r="AP43" s="29"/>
      <c r="AQ43" s="29" t="str">
        <f t="shared" ref="AQ43:BL43" si="46">T43/T$2</f>
        <v>#N/A</v>
      </c>
      <c r="AR43" s="29" t="str">
        <f t="shared" si="46"/>
        <v>#DIV/0!</v>
      </c>
      <c r="AS43" s="29" t="str">
        <f t="shared" si="46"/>
        <v>#DIV/0!</v>
      </c>
      <c r="AT43" s="29" t="str">
        <f t="shared" si="46"/>
        <v>#DIV/0!</v>
      </c>
      <c r="AU43" s="29" t="str">
        <f t="shared" si="46"/>
        <v>#DIV/0!</v>
      </c>
      <c r="AV43" s="29" t="str">
        <f t="shared" si="46"/>
        <v>#DIV/0!</v>
      </c>
      <c r="AW43" s="29" t="str">
        <f t="shared" si="46"/>
        <v>#DIV/0!</v>
      </c>
      <c r="AX43" s="29" t="str">
        <f t="shared" si="46"/>
        <v>#DIV/0!</v>
      </c>
      <c r="AY43" s="29" t="str">
        <f t="shared" si="46"/>
        <v>#DIV/0!</v>
      </c>
      <c r="AZ43" s="29" t="str">
        <f t="shared" si="46"/>
        <v>#DIV/0!</v>
      </c>
      <c r="BA43" s="29" t="str">
        <f t="shared" si="46"/>
        <v>#DIV/0!</v>
      </c>
      <c r="BB43" s="29" t="str">
        <f t="shared" si="46"/>
        <v>#DIV/0!</v>
      </c>
      <c r="BC43" s="29" t="str">
        <f t="shared" si="46"/>
        <v>#DIV/0!</v>
      </c>
      <c r="BD43" s="29" t="str">
        <f t="shared" si="46"/>
        <v>#DIV/0!</v>
      </c>
      <c r="BE43" s="29" t="str">
        <f t="shared" si="46"/>
        <v>#DIV/0!</v>
      </c>
      <c r="BF43" s="29" t="str">
        <f t="shared" si="46"/>
        <v>#DIV/0!</v>
      </c>
      <c r="BG43" s="29" t="str">
        <f t="shared" si="46"/>
        <v>#DIV/0!</v>
      </c>
      <c r="BH43" s="29" t="str">
        <f t="shared" si="46"/>
        <v>#DIV/0!</v>
      </c>
      <c r="BI43" s="29" t="str">
        <f t="shared" si="46"/>
        <v>#DIV/0!</v>
      </c>
      <c r="BJ43" s="29" t="str">
        <f t="shared" si="46"/>
        <v>#DIV/0!</v>
      </c>
      <c r="BK43" s="29" t="str">
        <f t="shared" si="46"/>
        <v>#DIV/0!</v>
      </c>
      <c r="BL43" s="29" t="str">
        <f t="shared" si="46"/>
        <v>#DIV/0!</v>
      </c>
      <c r="BM43" s="29" t="str">
        <f t="shared" si="3"/>
        <v>#DIV/0!</v>
      </c>
    </row>
    <row r="44">
      <c r="A44" s="16" t="str">
        <f>IFERROR(__xludf.DUMMYFUNCTION("IFERROR(SPARKLINE(SORT(MAP(TRANSPOSE(AQ44:BL44), LAMBDA(val, IF(ISNUMBER(val), PERCENTRANK(AQ44:BL44, val)+0.01, 0))), SEQUENCE(COLUMNS(AQ44:BL44)), FALSE), {""charttype"",""column""; ""color"",""chartreuse""; ""ymin"", 0; ""ymax"", 1.01; ""highcolor"", "&amp;"""darkgreen""; ""lowcolor"", ""red""}), """")"),"")</f>
        <v/>
      </c>
      <c r="B44" s="17" t="str">
        <f t="shared" si="4"/>
        <v/>
      </c>
      <c r="C44" s="1" t="s">
        <v>2229</v>
      </c>
      <c r="D44" s="30" t="str">
        <f>IFERROR(__xludf.DUMMYFUNCTION("IFERROR(GOOGLEFINANCE(C44, ""NAME""))"),"Hershey Co")</f>
        <v>Hershey Co</v>
      </c>
      <c r="E44" s="30" t="s">
        <v>2164</v>
      </c>
      <c r="F44" s="38" t="str">
        <f>IFERROR(__xludf.DUMMYFUNCTION("( (GOOGLEFINANCE(C44, ""price"") - Q44) / Q44 ) / (R44 / 100)"),"Loading...")</f>
        <v>Loading...</v>
      </c>
      <c r="G44" s="20" t="str">
        <f>IFERROR(__xludf.DUMMYFUNCTION("AVERAGE(ARRAYFORMULA(100 * (QUERY(GOOGLEFINANCE(C44, ""high"", TODAY()-40, TODAY()), ""SELECT Col2 WHERE Col2 IS NOT NULL ORDER BY Col1 DESC LIMIT 20"", 0) / QUERY(GOOGLEFINANCE(C44, ""low"", TODAY()-40, TODAY()), ""SELECT Col2 WHERE Col2 IS NOT NULL ORDE"&amp;"R BY Col1 DESC LIMIT 20"", 0) - 1)))"),"#N/A")</f>
        <v>#N/A</v>
      </c>
      <c r="H44" s="35" t="str">
        <f t="shared" si="6"/>
        <v>Liquid</v>
      </c>
      <c r="I44" s="36" t="str">
        <f t="shared" si="7"/>
        <v>RVol Required</v>
      </c>
      <c r="J44" s="37">
        <f>IFERROR(__xludf.DUMMYFUNCTION("IFERROR(
  IF(C44="""",, 
    IFERROR(
      GOOGLEFINANCE(C44, ""price"") * GOOGLEFINANCE(C44, ""volumeavg""), 
      GOOGLEFINANCE(C44, ""price"") * AVERAGE(QUERY(GOOGLEFINANCE(C44, ""volume"", TODAY()-40, TODAY()), ""SELECT Col2 WHERE Col2 IS NOT NULL "&amp;"ORDER BY Col1 DESC LIMIT 20"", 0))
    )
  ), 
"""")"),2.4741923888000003E8)</f>
        <v>247419238.9</v>
      </c>
      <c r="K44" s="21">
        <f>IFERROR(__xludf.DUMMYFUNCTION("IFERROR(GOOGLEFINANCE(C44, ""changepct"") / 100, """")"),0.0127)</f>
        <v>0.0127</v>
      </c>
      <c r="L44" s="21" t="str">
        <f>IFERROR(__xludf.DUMMYFUNCTION("IFERROR((GOOGLEFINANCE(C44, ""price"") / INDEX(GOOGLEFINANCE(C44, ""price"", TODAY()-7, TODAY()), 2, 2)) - 1, """")"),"")</f>
        <v/>
      </c>
      <c r="M44" s="21" t="str">
        <f>IFERROR(__xludf.DUMMYFUNCTION("IFERROR((GOOGLEFINANCE(C44, ""price"") / INDEX(GOOGLEFINANCE(C44, ""price"", EDATE(TODAY(), -1), TODAY()), 2, 2)) - 1, """")"),"")</f>
        <v/>
      </c>
      <c r="N44" s="21" t="str">
        <f>IFERROR(__xludf.DUMMYFUNCTION("IFERROR((GOOGLEFINANCE(C44, ""price"") / INDEX(GOOGLEFINANCE(C44, ""price"", EDATE(TODAY(), -3), TODAY()), 2, 2)) - 1, """")"),"")</f>
        <v/>
      </c>
      <c r="O44" s="21" t="str">
        <f>IFERROR(__xludf.DUMMYFUNCTION("IFERROR((GOOGLEFINANCE(C44, ""price"") / INDEX(GOOGLEFINANCE(C44, ""price"", EDATE(TODAY(), -6), TODAY()), 2, 2)) - 1, """")"),"")</f>
        <v/>
      </c>
      <c r="P44" s="21" t="str">
        <f>IFERROR(__xludf.DUMMYFUNCTION("IFERROR((GOOGLEFINANCE(C44, ""price"") / INDEX(GOOGLEFINANCE(C44, ""price"", EDATE(TODAY(), -12), TODAY()), 2, 2)) - 1, """")"),"")</f>
        <v/>
      </c>
      <c r="Q44" s="6" t="str">
        <f>IFERROR(__xludf.DUMMYFUNCTION("AVERAGE(QUERY(GOOGLEFINANCE(C44, ""price"", TODAY()-80, TODAY()), ""SELECT Col2 WHERE Col2 IS NOT NULL ORDER BY Col1 DESC LIMIT 50"", 0))"),"#N/A")</f>
        <v>#N/A</v>
      </c>
      <c r="R44" s="24" t="str">
        <f>IFERROR(__xludf.DUMMYFUNCTION("IFERROR(
  LET(
    data, QUERY(GOOGLEFINANCE(C44,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GOOGLEFINANCE(C44, ""price"")) * 100,
    IF(calc=0, G44, calc)
  ), 
G44)"),"#N/A")</f>
        <v>#N/A</v>
      </c>
      <c r="S44" s="8" t="s">
        <v>15</v>
      </c>
      <c r="T44" s="26" t="str">
        <f>IFERROR(__xludf.DUMMYFUNCTION("IFERROR(TRANSPOSE(QUERY(IFERROR(SORT(GOOGLEFINANCE(C44, ""price"", WORKDAY(TODAY(), -40), TODAY()), 1, FALSE)), ""select Col2 where Col2 is not null limit 22 label Col2 ''"", 0)), """")"),"")</f>
        <v/>
      </c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8"/>
      <c r="AO44" s="28"/>
      <c r="AP44" s="29"/>
      <c r="AQ44" s="29" t="str">
        <f t="shared" ref="AQ44:BL44" si="47">T44/T$2</f>
        <v>#N/A</v>
      </c>
      <c r="AR44" s="29" t="str">
        <f t="shared" si="47"/>
        <v>#DIV/0!</v>
      </c>
      <c r="AS44" s="29" t="str">
        <f t="shared" si="47"/>
        <v>#DIV/0!</v>
      </c>
      <c r="AT44" s="29" t="str">
        <f t="shared" si="47"/>
        <v>#DIV/0!</v>
      </c>
      <c r="AU44" s="29" t="str">
        <f t="shared" si="47"/>
        <v>#DIV/0!</v>
      </c>
      <c r="AV44" s="29" t="str">
        <f t="shared" si="47"/>
        <v>#DIV/0!</v>
      </c>
      <c r="AW44" s="29" t="str">
        <f t="shared" si="47"/>
        <v>#DIV/0!</v>
      </c>
      <c r="AX44" s="29" t="str">
        <f t="shared" si="47"/>
        <v>#DIV/0!</v>
      </c>
      <c r="AY44" s="29" t="str">
        <f t="shared" si="47"/>
        <v>#DIV/0!</v>
      </c>
      <c r="AZ44" s="29" t="str">
        <f t="shared" si="47"/>
        <v>#DIV/0!</v>
      </c>
      <c r="BA44" s="29" t="str">
        <f t="shared" si="47"/>
        <v>#DIV/0!</v>
      </c>
      <c r="BB44" s="29" t="str">
        <f t="shared" si="47"/>
        <v>#DIV/0!</v>
      </c>
      <c r="BC44" s="29" t="str">
        <f t="shared" si="47"/>
        <v>#DIV/0!</v>
      </c>
      <c r="BD44" s="29" t="str">
        <f t="shared" si="47"/>
        <v>#DIV/0!</v>
      </c>
      <c r="BE44" s="29" t="str">
        <f t="shared" si="47"/>
        <v>#DIV/0!</v>
      </c>
      <c r="BF44" s="29" t="str">
        <f t="shared" si="47"/>
        <v>#DIV/0!</v>
      </c>
      <c r="BG44" s="29" t="str">
        <f t="shared" si="47"/>
        <v>#DIV/0!</v>
      </c>
      <c r="BH44" s="29" t="str">
        <f t="shared" si="47"/>
        <v>#DIV/0!</v>
      </c>
      <c r="BI44" s="29" t="str">
        <f t="shared" si="47"/>
        <v>#DIV/0!</v>
      </c>
      <c r="BJ44" s="29" t="str">
        <f t="shared" si="47"/>
        <v>#DIV/0!</v>
      </c>
      <c r="BK44" s="29" t="str">
        <f t="shared" si="47"/>
        <v>#DIV/0!</v>
      </c>
      <c r="BL44" s="29" t="str">
        <f t="shared" si="47"/>
        <v>#DIV/0!</v>
      </c>
      <c r="BM44" s="29" t="str">
        <f t="shared" si="3"/>
        <v>#DIV/0!</v>
      </c>
    </row>
    <row r="45">
      <c r="A45" s="16" t="str">
        <f>IFERROR(__xludf.DUMMYFUNCTION("IFERROR(SPARKLINE(SORT(MAP(TRANSPOSE(AQ45:BL45), LAMBDA(val, IF(ISNUMBER(val), PERCENTRANK(AQ45:BL45, val)+0.01, 0))), SEQUENCE(COLUMNS(AQ45:BL45)), FALSE), {""charttype"",""column""; ""color"",""chartreuse""; ""ymin"", 0; ""ymax"", 1.01; ""highcolor"", "&amp;"""darkgreen""; ""lowcolor"", ""red""}), """")"),"")</f>
        <v/>
      </c>
      <c r="B45" s="17" t="str">
        <f t="shared" si="4"/>
        <v/>
      </c>
      <c r="C45" s="1" t="s">
        <v>2233</v>
      </c>
      <c r="D45" s="30" t="str">
        <f>IFERROR(__xludf.DUMMYFUNCTION("IFERROR(GOOGLEFINANCE(C45, ""NAME""))"),"Central Garden &amp; Pet Co")</f>
        <v>Central Garden &amp; Pet Co</v>
      </c>
      <c r="E45" s="30" t="s">
        <v>2094</v>
      </c>
      <c r="F45" s="33" t="str">
        <f>IFERROR(__xludf.DUMMYFUNCTION("( (GOOGLEFINANCE(C45, ""price"") - Q45) / Q45 ) / (R45 / 100)"),"Loading...")</f>
        <v>Loading...</v>
      </c>
      <c r="G45" s="20" t="str">
        <f>IFERROR(__xludf.DUMMYFUNCTION("AVERAGE(ARRAYFORMULA(100 * (QUERY(GOOGLEFINANCE(C45, ""high"", TODAY()-40, TODAY()), ""SELECT Col2 WHERE Col2 IS NOT NULL ORDER BY Col1 DESC LIMIT 20"", 0) / QUERY(GOOGLEFINANCE(C45, ""low"", TODAY()-40, TODAY()), ""SELECT Col2 WHERE Col2 IS NOT NULL ORDE"&amp;"R BY Col1 DESC LIMIT 20"", 0) - 1)))"),"#N/A")</f>
        <v>#N/A</v>
      </c>
      <c r="H45" s="35" t="str">
        <f t="shared" si="6"/>
        <v>Illiquid</v>
      </c>
      <c r="I45" s="36" t="str">
        <f t="shared" si="7"/>
        <v>RVol Required</v>
      </c>
      <c r="J45" s="37">
        <f>IFERROR(__xludf.DUMMYFUNCTION("IFERROR(
  IF(C45="""",, 
    IFERROR(
      GOOGLEFINANCE(C45, ""price"") * GOOGLEFINANCE(C45, ""volumeavg""), 
      GOOGLEFINANCE(C45, ""price"") * AVERAGE(QUERY(GOOGLEFINANCE(C45, ""volume"", TODAY()-40, TODAY()), ""SELECT Col2 WHERE Col2 IS NOT NULL "&amp;"ORDER BY Col1 DESC LIMIT 20"", 0))
    )
  ), 
"""")"),3343693.44)</f>
        <v>3343693.44</v>
      </c>
      <c r="K45" s="21">
        <f>IFERROR(__xludf.DUMMYFUNCTION("IFERROR(GOOGLEFINANCE(C45, ""changepct"") / 100, """")"),0.0021)</f>
        <v>0.0021</v>
      </c>
      <c r="L45" s="21" t="str">
        <f>IFERROR(__xludf.DUMMYFUNCTION("IFERROR((GOOGLEFINANCE(C45, ""price"") / INDEX(GOOGLEFINANCE(C45, ""price"", TODAY()-7, TODAY()), 2, 2)) - 1, """")"),"")</f>
        <v/>
      </c>
      <c r="M45" s="21" t="str">
        <f>IFERROR(__xludf.DUMMYFUNCTION("IFERROR((GOOGLEFINANCE(C45, ""price"") / INDEX(GOOGLEFINANCE(C45, ""price"", EDATE(TODAY(), -1), TODAY()), 2, 2)) - 1, """")"),"")</f>
        <v/>
      </c>
      <c r="N45" s="21" t="str">
        <f>IFERROR(__xludf.DUMMYFUNCTION("IFERROR((GOOGLEFINANCE(C45, ""price"") / INDEX(GOOGLEFINANCE(C45, ""price"", EDATE(TODAY(), -3), TODAY()), 2, 2)) - 1, """")"),"")</f>
        <v/>
      </c>
      <c r="O45" s="21" t="str">
        <f>IFERROR(__xludf.DUMMYFUNCTION("IFERROR((GOOGLEFINANCE(C45, ""price"") / INDEX(GOOGLEFINANCE(C45, ""price"", EDATE(TODAY(), -6), TODAY()), 2, 2)) - 1, """")"),"")</f>
        <v/>
      </c>
      <c r="P45" s="21" t="str">
        <f>IFERROR(__xludf.DUMMYFUNCTION("IFERROR((GOOGLEFINANCE(C45, ""price"") / INDEX(GOOGLEFINANCE(C45, ""price"", EDATE(TODAY(), -12), TODAY()), 2, 2)) - 1, """")"),"")</f>
        <v/>
      </c>
      <c r="Q45" s="6" t="str">
        <f>IFERROR(__xludf.DUMMYFUNCTION("AVERAGE(QUERY(GOOGLEFINANCE(C45, ""price"", TODAY()-80, TODAY()), ""SELECT Col2 WHERE Col2 IS NOT NULL ORDER BY Col1 DESC LIMIT 50"", 0))"),"#N/A")</f>
        <v>#N/A</v>
      </c>
      <c r="R45" s="24" t="str">
        <f>IFERROR(__xludf.DUMMYFUNCTION("IFERROR(
  LET(
    data, QUERY(GOOGLEFINANCE(C45,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GOOGLEFINANCE(C45, ""price"")) * 100,
    IF(calc=0, G45, calc)
  ), 
G45)"),"#N/A")</f>
        <v>#N/A</v>
      </c>
      <c r="S45" s="8" t="s">
        <v>15</v>
      </c>
      <c r="T45" s="26" t="str">
        <f>IFERROR(__xludf.DUMMYFUNCTION("IFERROR(TRANSPOSE(QUERY(IFERROR(SORT(GOOGLEFINANCE(C45, ""price"", WORKDAY(TODAY(), -40), TODAY()), 1, FALSE)), ""select Col2 where Col2 is not null limit 22 label Col2 ''"", 0)), """")"),"")</f>
        <v/>
      </c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8"/>
      <c r="AO45" s="28"/>
      <c r="AP45" s="29"/>
      <c r="AQ45" s="29" t="str">
        <f t="shared" ref="AQ45:BL45" si="48">T45/T$2</f>
        <v>#N/A</v>
      </c>
      <c r="AR45" s="29" t="str">
        <f t="shared" si="48"/>
        <v>#DIV/0!</v>
      </c>
      <c r="AS45" s="29" t="str">
        <f t="shared" si="48"/>
        <v>#DIV/0!</v>
      </c>
      <c r="AT45" s="29" t="str">
        <f t="shared" si="48"/>
        <v>#DIV/0!</v>
      </c>
      <c r="AU45" s="29" t="str">
        <f t="shared" si="48"/>
        <v>#DIV/0!</v>
      </c>
      <c r="AV45" s="29" t="str">
        <f t="shared" si="48"/>
        <v>#DIV/0!</v>
      </c>
      <c r="AW45" s="29" t="str">
        <f t="shared" si="48"/>
        <v>#DIV/0!</v>
      </c>
      <c r="AX45" s="29" t="str">
        <f t="shared" si="48"/>
        <v>#DIV/0!</v>
      </c>
      <c r="AY45" s="29" t="str">
        <f t="shared" si="48"/>
        <v>#DIV/0!</v>
      </c>
      <c r="AZ45" s="29" t="str">
        <f t="shared" si="48"/>
        <v>#DIV/0!</v>
      </c>
      <c r="BA45" s="29" t="str">
        <f t="shared" si="48"/>
        <v>#DIV/0!</v>
      </c>
      <c r="BB45" s="29" t="str">
        <f t="shared" si="48"/>
        <v>#DIV/0!</v>
      </c>
      <c r="BC45" s="29" t="str">
        <f t="shared" si="48"/>
        <v>#DIV/0!</v>
      </c>
      <c r="BD45" s="29" t="str">
        <f t="shared" si="48"/>
        <v>#DIV/0!</v>
      </c>
      <c r="BE45" s="29" t="str">
        <f t="shared" si="48"/>
        <v>#DIV/0!</v>
      </c>
      <c r="BF45" s="29" t="str">
        <f t="shared" si="48"/>
        <v>#DIV/0!</v>
      </c>
      <c r="BG45" s="29" t="str">
        <f t="shared" si="48"/>
        <v>#DIV/0!</v>
      </c>
      <c r="BH45" s="29" t="str">
        <f t="shared" si="48"/>
        <v>#DIV/0!</v>
      </c>
      <c r="BI45" s="29" t="str">
        <f t="shared" si="48"/>
        <v>#DIV/0!</v>
      </c>
      <c r="BJ45" s="29" t="str">
        <f t="shared" si="48"/>
        <v>#DIV/0!</v>
      </c>
      <c r="BK45" s="29" t="str">
        <f t="shared" si="48"/>
        <v>#DIV/0!</v>
      </c>
      <c r="BL45" s="29" t="str">
        <f t="shared" si="48"/>
        <v>#DIV/0!</v>
      </c>
      <c r="BM45" s="29" t="str">
        <f t="shared" si="3"/>
        <v>#DIV/0!</v>
      </c>
    </row>
    <row r="46">
      <c r="A46" s="16" t="str">
        <f>IFERROR(__xludf.DUMMYFUNCTION("IFERROR(SPARKLINE(SORT(MAP(TRANSPOSE(AQ46:BL46), LAMBDA(val, IF(ISNUMBER(val), PERCENTRANK(AQ46:BL46, val)+0.01, 0))), SEQUENCE(COLUMNS(AQ46:BL46)), FALSE), {""charttype"",""column""; ""color"",""chartreuse""; ""ymin"", 0; ""ymax"", 1.01; ""highcolor"", "&amp;"""darkgreen""; ""lowcolor"", ""red""}), """")"),"")</f>
        <v/>
      </c>
      <c r="B46" s="17" t="str">
        <f t="shared" si="4"/>
        <v/>
      </c>
      <c r="C46" s="1" t="s">
        <v>2236</v>
      </c>
      <c r="D46" s="30" t="str">
        <f>IFERROR(__xludf.DUMMYFUNCTION("IFERROR(GOOGLEFINANCE(C46, ""NAME""))"),"Compania Cervecerias Unidas, S.A. Common Stock")</f>
        <v>Compania Cervecerias Unidas, S.A. Common Stock</v>
      </c>
      <c r="E46" s="30" t="s">
        <v>2106</v>
      </c>
      <c r="F46" s="33" t="str">
        <f>IFERROR(__xludf.DUMMYFUNCTION("( (GOOGLEFINANCE(C46, ""price"") - Q46) / Q46 ) / (R46 / 100)"),"Loading...")</f>
        <v>Loading...</v>
      </c>
      <c r="G46" s="20" t="str">
        <f>IFERROR(__xludf.DUMMYFUNCTION("AVERAGE(ARRAYFORMULA(100 * (QUERY(GOOGLEFINANCE(C46, ""high"", TODAY()-40, TODAY()), ""SELECT Col2 WHERE Col2 IS NOT NULL ORDER BY Col1 DESC LIMIT 20"", 0) / QUERY(GOOGLEFINANCE(C46, ""low"", TODAY()-40, TODAY()), ""SELECT Col2 WHERE Col2 IS NOT NULL ORDE"&amp;"R BY Col1 DESC LIMIT 20"", 0) - 1)))"),"#N/A")</f>
        <v>#N/A</v>
      </c>
      <c r="H46" s="35" t="str">
        <f t="shared" si="6"/>
        <v>Illiquid</v>
      </c>
      <c r="I46" s="36" t="str">
        <f t="shared" si="7"/>
        <v>RVol Required</v>
      </c>
      <c r="J46" s="37">
        <f>IFERROR(__xludf.DUMMYFUNCTION("IFERROR(
  IF(C46="""",, 
    IFERROR(
      GOOGLEFINANCE(C46, ""price"") * GOOGLEFINANCE(C46, ""volumeavg""), 
      GOOGLEFINANCE(C46, ""price"") * AVERAGE(QUERY(GOOGLEFINANCE(C46, ""volume"", TODAY()-40, TODAY()), ""SELECT Col2 WHERE Col2 IS NOT NULL "&amp;"ORDER BY Col1 DESC LIMIT 20"", 0))
    )
  ), 
"""")"),1357427.61)</f>
        <v>1357427.61</v>
      </c>
      <c r="K46" s="21">
        <f>IFERROR(__xludf.DUMMYFUNCTION("IFERROR(GOOGLEFINANCE(C46, ""changepct"") / 100, """")"),0.0178)</f>
        <v>0.0178</v>
      </c>
      <c r="L46" s="21" t="str">
        <f>IFERROR(__xludf.DUMMYFUNCTION("IFERROR((GOOGLEFINANCE(C46, ""price"") / INDEX(GOOGLEFINANCE(C46, ""price"", TODAY()-7, TODAY()), 2, 2)) - 1, """")"),"")</f>
        <v/>
      </c>
      <c r="M46" s="21" t="str">
        <f>IFERROR(__xludf.DUMMYFUNCTION("IFERROR((GOOGLEFINANCE(C46, ""price"") / INDEX(GOOGLEFINANCE(C46, ""price"", EDATE(TODAY(), -1), TODAY()), 2, 2)) - 1, """")"),"")</f>
        <v/>
      </c>
      <c r="N46" s="21" t="str">
        <f>IFERROR(__xludf.DUMMYFUNCTION("IFERROR((GOOGLEFINANCE(C46, ""price"") / INDEX(GOOGLEFINANCE(C46, ""price"", EDATE(TODAY(), -3), TODAY()), 2, 2)) - 1, """")"),"")</f>
        <v/>
      </c>
      <c r="O46" s="21" t="str">
        <f>IFERROR(__xludf.DUMMYFUNCTION("IFERROR((GOOGLEFINANCE(C46, ""price"") / INDEX(GOOGLEFINANCE(C46, ""price"", EDATE(TODAY(), -6), TODAY()), 2, 2)) - 1, """")"),"")</f>
        <v/>
      </c>
      <c r="P46" s="21" t="str">
        <f>IFERROR(__xludf.DUMMYFUNCTION("IFERROR((GOOGLEFINANCE(C46, ""price"") / INDEX(GOOGLEFINANCE(C46, ""price"", EDATE(TODAY(), -12), TODAY()), 2, 2)) - 1, """")"),"")</f>
        <v/>
      </c>
      <c r="Q46" s="6" t="str">
        <f>IFERROR(__xludf.DUMMYFUNCTION("AVERAGE(QUERY(GOOGLEFINANCE(C46, ""price"", TODAY()-80, TODAY()), ""SELECT Col2 WHERE Col2 IS NOT NULL ORDER BY Col1 DESC LIMIT 50"", 0))"),"#N/A")</f>
        <v>#N/A</v>
      </c>
      <c r="R46" s="24" t="str">
        <f>IFERROR(__xludf.DUMMYFUNCTION("IFERROR(
  LET(
    data, QUERY(GOOGLEFINANCE(C46,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GOOGLEFINANCE(C46, ""price"")) * 100,
    IF(calc=0, G46, calc)
  ), 
G46)"),"#N/A")</f>
        <v>#N/A</v>
      </c>
      <c r="S46" s="8" t="s">
        <v>15</v>
      </c>
      <c r="T46" s="26" t="str">
        <f>IFERROR(__xludf.DUMMYFUNCTION("IFERROR(TRANSPOSE(QUERY(IFERROR(SORT(GOOGLEFINANCE(C46, ""price"", WORKDAY(TODAY(), -40), TODAY()), 1, FALSE)), ""select Col2 where Col2 is not null limit 22 label Col2 ''"", 0)), """")"),"")</f>
        <v/>
      </c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8"/>
      <c r="AO46" s="28"/>
      <c r="AP46" s="29"/>
      <c r="AQ46" s="29" t="str">
        <f t="shared" ref="AQ46:BL46" si="49">T46/T$2</f>
        <v>#N/A</v>
      </c>
      <c r="AR46" s="29" t="str">
        <f t="shared" si="49"/>
        <v>#DIV/0!</v>
      </c>
      <c r="AS46" s="29" t="str">
        <f t="shared" si="49"/>
        <v>#DIV/0!</v>
      </c>
      <c r="AT46" s="29" t="str">
        <f t="shared" si="49"/>
        <v>#DIV/0!</v>
      </c>
      <c r="AU46" s="29" t="str">
        <f t="shared" si="49"/>
        <v>#DIV/0!</v>
      </c>
      <c r="AV46" s="29" t="str">
        <f t="shared" si="49"/>
        <v>#DIV/0!</v>
      </c>
      <c r="AW46" s="29" t="str">
        <f t="shared" si="49"/>
        <v>#DIV/0!</v>
      </c>
      <c r="AX46" s="29" t="str">
        <f t="shared" si="49"/>
        <v>#DIV/0!</v>
      </c>
      <c r="AY46" s="29" t="str">
        <f t="shared" si="49"/>
        <v>#DIV/0!</v>
      </c>
      <c r="AZ46" s="29" t="str">
        <f t="shared" si="49"/>
        <v>#DIV/0!</v>
      </c>
      <c r="BA46" s="29" t="str">
        <f t="shared" si="49"/>
        <v>#DIV/0!</v>
      </c>
      <c r="BB46" s="29" t="str">
        <f t="shared" si="49"/>
        <v>#DIV/0!</v>
      </c>
      <c r="BC46" s="29" t="str">
        <f t="shared" si="49"/>
        <v>#DIV/0!</v>
      </c>
      <c r="BD46" s="29" t="str">
        <f t="shared" si="49"/>
        <v>#DIV/0!</v>
      </c>
      <c r="BE46" s="29" t="str">
        <f t="shared" si="49"/>
        <v>#DIV/0!</v>
      </c>
      <c r="BF46" s="29" t="str">
        <f t="shared" si="49"/>
        <v>#DIV/0!</v>
      </c>
      <c r="BG46" s="29" t="str">
        <f t="shared" si="49"/>
        <v>#DIV/0!</v>
      </c>
      <c r="BH46" s="29" t="str">
        <f t="shared" si="49"/>
        <v>#DIV/0!</v>
      </c>
      <c r="BI46" s="29" t="str">
        <f t="shared" si="49"/>
        <v>#DIV/0!</v>
      </c>
      <c r="BJ46" s="29" t="str">
        <f t="shared" si="49"/>
        <v>#DIV/0!</v>
      </c>
      <c r="BK46" s="29" t="str">
        <f t="shared" si="49"/>
        <v>#DIV/0!</v>
      </c>
      <c r="BL46" s="29" t="str">
        <f t="shared" si="49"/>
        <v>#DIV/0!</v>
      </c>
      <c r="BM46" s="29" t="str">
        <f t="shared" si="3"/>
        <v>#DIV/0!</v>
      </c>
    </row>
    <row r="47">
      <c r="A47" s="16" t="str">
        <f>IFERROR(__xludf.DUMMYFUNCTION("IFERROR(SPARKLINE(SORT(MAP(TRANSPOSE(AQ47:BL47), LAMBDA(val, IF(ISNUMBER(val), PERCENTRANK(AQ47:BL47, val)+0.01, 0))), SEQUENCE(COLUMNS(AQ47:BL47)), FALSE), {""charttype"",""column""; ""color"",""chartreuse""; ""ymin"", 0; ""ymax"", 1.01; ""highcolor"", "&amp;"""darkgreen""; ""lowcolor"", ""red""}), """")"),"")</f>
        <v/>
      </c>
      <c r="B47" s="17" t="str">
        <f t="shared" si="4"/>
        <v/>
      </c>
      <c r="C47" s="1" t="s">
        <v>2240</v>
      </c>
      <c r="D47" s="30" t="str">
        <f>IFERROR(__xludf.DUMMYFUNCTION("IFERROR(GOOGLEFINANCE(C47, ""NAME""))"),"Seneca Foods Corp Class A")</f>
        <v>Seneca Foods Corp Class A</v>
      </c>
      <c r="E47" s="30" t="s">
        <v>2094</v>
      </c>
      <c r="F47" s="33" t="str">
        <f>IFERROR(__xludf.DUMMYFUNCTION("( (GOOGLEFINANCE(C47, ""price"") - Q47) / Q47 ) / (R47 / 100)"),"Loading...")</f>
        <v>Loading...</v>
      </c>
      <c r="G47" s="20" t="str">
        <f>IFERROR(__xludf.DUMMYFUNCTION("AVERAGE(ARRAYFORMULA(100 * (QUERY(GOOGLEFINANCE(C47, ""high"", TODAY()-40, TODAY()), ""SELECT Col2 WHERE Col2 IS NOT NULL ORDER BY Col1 DESC LIMIT 20"", 0) / QUERY(GOOGLEFINANCE(C47, ""low"", TODAY()-40, TODAY()), ""SELECT Col2 WHERE Col2 IS NOT NULL ORDE"&amp;"R BY Col1 DESC LIMIT 20"", 0) - 1)))"),"#N/A")</f>
        <v>#N/A</v>
      </c>
      <c r="H47" s="35" t="str">
        <f t="shared" si="6"/>
        <v>Illiquid</v>
      </c>
      <c r="I47" s="36" t="str">
        <f t="shared" si="7"/>
        <v>RVol Required</v>
      </c>
      <c r="J47" s="37">
        <f>IFERROR(__xludf.DUMMYFUNCTION("IFERROR(
  IF(C47="""",, 
    IFERROR(
      GOOGLEFINANCE(C47, ""price"") * GOOGLEFINANCE(C47, ""volumeavg""), 
      GOOGLEFINANCE(C47, ""price"") * AVERAGE(QUERY(GOOGLEFINANCE(C47, ""volume"", TODAY()-40, TODAY()), ""SELECT Col2 WHERE Col2 IS NOT NULL "&amp;"ORDER BY Col1 DESC LIMIT 20"", 0))
    )
  ), 
"""")"),1.691178375E7)</f>
        <v>16911783.75</v>
      </c>
      <c r="K47" s="21">
        <f>IFERROR(__xludf.DUMMYFUNCTION("IFERROR(GOOGLEFINANCE(C47, ""changepct"") / 100, """")"),-0.0327)</f>
        <v>-0.0327</v>
      </c>
      <c r="L47" s="21" t="str">
        <f>IFERROR(__xludf.DUMMYFUNCTION("IFERROR((GOOGLEFINANCE(C47, ""price"") / INDEX(GOOGLEFINANCE(C47, ""price"", TODAY()-7, TODAY()), 2, 2)) - 1, """")"),"")</f>
        <v/>
      </c>
      <c r="M47" s="21" t="str">
        <f>IFERROR(__xludf.DUMMYFUNCTION("IFERROR((GOOGLEFINANCE(C47, ""price"") / INDEX(GOOGLEFINANCE(C47, ""price"", EDATE(TODAY(), -1), TODAY()), 2, 2)) - 1, """")"),"")</f>
        <v/>
      </c>
      <c r="N47" s="21" t="str">
        <f>IFERROR(__xludf.DUMMYFUNCTION("IFERROR((GOOGLEFINANCE(C47, ""price"") / INDEX(GOOGLEFINANCE(C47, ""price"", EDATE(TODAY(), -3), TODAY()), 2, 2)) - 1, """")"),"")</f>
        <v/>
      </c>
      <c r="O47" s="21" t="str">
        <f>IFERROR(__xludf.DUMMYFUNCTION("IFERROR((GOOGLEFINANCE(C47, ""price"") / INDEX(GOOGLEFINANCE(C47, ""price"", EDATE(TODAY(), -6), TODAY()), 2, 2)) - 1, """")"),"")</f>
        <v/>
      </c>
      <c r="P47" s="21" t="str">
        <f>IFERROR(__xludf.DUMMYFUNCTION("IFERROR((GOOGLEFINANCE(C47, ""price"") / INDEX(GOOGLEFINANCE(C47, ""price"", EDATE(TODAY(), -12), TODAY()), 2, 2)) - 1, """")"),"")</f>
        <v/>
      </c>
      <c r="Q47" s="6" t="str">
        <f>IFERROR(__xludf.DUMMYFUNCTION("AVERAGE(QUERY(GOOGLEFINANCE(C47, ""price"", TODAY()-80, TODAY()), ""SELECT Col2 WHERE Col2 IS NOT NULL ORDER BY Col1 DESC LIMIT 50"", 0))"),"#N/A")</f>
        <v>#N/A</v>
      </c>
      <c r="R47" s="24" t="str">
        <f>IFERROR(__xludf.DUMMYFUNCTION("IFERROR(
  LET(
    data, QUERY(GOOGLEFINANCE(C47,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GOOGLEFINANCE(C47, ""price"")) * 100,
    IF(calc=0, G47, calc)
  ), 
G47)"),"#N/A")</f>
        <v>#N/A</v>
      </c>
      <c r="S47" s="8" t="s">
        <v>15</v>
      </c>
      <c r="T47" s="26" t="str">
        <f>IFERROR(__xludf.DUMMYFUNCTION("IFERROR(TRANSPOSE(QUERY(IFERROR(SORT(GOOGLEFINANCE(C47, ""price"", WORKDAY(TODAY(), -40), TODAY()), 1, FALSE)), ""select Col2 where Col2 is not null limit 22 label Col2 ''"", 0)), """")"),"")</f>
        <v/>
      </c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8"/>
      <c r="AO47" s="28"/>
      <c r="AP47" s="29"/>
      <c r="AQ47" s="29" t="str">
        <f t="shared" ref="AQ47:BL47" si="50">T47/T$2</f>
        <v>#N/A</v>
      </c>
      <c r="AR47" s="29" t="str">
        <f t="shared" si="50"/>
        <v>#DIV/0!</v>
      </c>
      <c r="AS47" s="29" t="str">
        <f t="shared" si="50"/>
        <v>#DIV/0!</v>
      </c>
      <c r="AT47" s="29" t="str">
        <f t="shared" si="50"/>
        <v>#DIV/0!</v>
      </c>
      <c r="AU47" s="29" t="str">
        <f t="shared" si="50"/>
        <v>#DIV/0!</v>
      </c>
      <c r="AV47" s="29" t="str">
        <f t="shared" si="50"/>
        <v>#DIV/0!</v>
      </c>
      <c r="AW47" s="29" t="str">
        <f t="shared" si="50"/>
        <v>#DIV/0!</v>
      </c>
      <c r="AX47" s="29" t="str">
        <f t="shared" si="50"/>
        <v>#DIV/0!</v>
      </c>
      <c r="AY47" s="29" t="str">
        <f t="shared" si="50"/>
        <v>#DIV/0!</v>
      </c>
      <c r="AZ47" s="29" t="str">
        <f t="shared" si="50"/>
        <v>#DIV/0!</v>
      </c>
      <c r="BA47" s="29" t="str">
        <f t="shared" si="50"/>
        <v>#DIV/0!</v>
      </c>
      <c r="BB47" s="29" t="str">
        <f t="shared" si="50"/>
        <v>#DIV/0!</v>
      </c>
      <c r="BC47" s="29" t="str">
        <f t="shared" si="50"/>
        <v>#DIV/0!</v>
      </c>
      <c r="BD47" s="29" t="str">
        <f t="shared" si="50"/>
        <v>#DIV/0!</v>
      </c>
      <c r="BE47" s="29" t="str">
        <f t="shared" si="50"/>
        <v>#DIV/0!</v>
      </c>
      <c r="BF47" s="29" t="str">
        <f t="shared" si="50"/>
        <v>#DIV/0!</v>
      </c>
      <c r="BG47" s="29" t="str">
        <f t="shared" si="50"/>
        <v>#DIV/0!</v>
      </c>
      <c r="BH47" s="29" t="str">
        <f t="shared" si="50"/>
        <v>#DIV/0!</v>
      </c>
      <c r="BI47" s="29" t="str">
        <f t="shared" si="50"/>
        <v>#DIV/0!</v>
      </c>
      <c r="BJ47" s="29" t="str">
        <f t="shared" si="50"/>
        <v>#DIV/0!</v>
      </c>
      <c r="BK47" s="29" t="str">
        <f t="shared" si="50"/>
        <v>#DIV/0!</v>
      </c>
      <c r="BL47" s="29" t="str">
        <f t="shared" si="50"/>
        <v>#DIV/0!</v>
      </c>
      <c r="BM47" s="29" t="str">
        <f t="shared" si="3"/>
        <v>#DIV/0!</v>
      </c>
    </row>
    <row r="48">
      <c r="A48" s="16" t="str">
        <f>IFERROR(__xludf.DUMMYFUNCTION("IFERROR(SPARKLINE(SORT(MAP(TRANSPOSE(AQ48:BL48), LAMBDA(val, IF(ISNUMBER(val), PERCENTRANK(AQ48:BL48, val)+0.01, 0))), SEQUENCE(COLUMNS(AQ48:BL48)), FALSE), {""charttype"",""column""; ""color"",""chartreuse""; ""ymin"", 0; ""ymax"", 1.01; ""highcolor"", "&amp;"""darkgreen""; ""lowcolor"", ""red""}), """")"),"")</f>
        <v/>
      </c>
      <c r="B48" s="17" t="str">
        <f t="shared" si="4"/>
        <v/>
      </c>
      <c r="C48" s="1" t="s">
        <v>2244</v>
      </c>
      <c r="D48" s="30" t="str">
        <f>IFERROR(__xludf.DUMMYFUNCTION("IFERROR(GOOGLEFINANCE(C48, ""NAME""))"),"Grocery Outlet Holding Corp")</f>
        <v>Grocery Outlet Holding Corp</v>
      </c>
      <c r="E48" s="30" t="s">
        <v>2063</v>
      </c>
      <c r="F48" s="33" t="str">
        <f>IFERROR(__xludf.DUMMYFUNCTION("( (GOOGLEFINANCE(C48, ""price"") - Q48) / Q48 ) / (R48 / 100)"),"Loading...")</f>
        <v>Loading...</v>
      </c>
      <c r="G48" s="20" t="str">
        <f>IFERROR(__xludf.DUMMYFUNCTION("AVERAGE(ARRAYFORMULA(100 * (QUERY(GOOGLEFINANCE(C48, ""high"", TODAY()-40, TODAY()), ""SELECT Col2 WHERE Col2 IS NOT NULL ORDER BY Col1 DESC LIMIT 20"", 0) / QUERY(GOOGLEFINANCE(C48, ""low"", TODAY()-40, TODAY()), ""SELECT Col2 WHERE Col2 IS NOT NULL ORDE"&amp;"R BY Col1 DESC LIMIT 20"", 0) - 1)))"),"#N/A")</f>
        <v>#N/A</v>
      </c>
      <c r="H48" s="35" t="str">
        <f t="shared" si="6"/>
        <v>Illiquid</v>
      </c>
      <c r="I48" s="36" t="str">
        <f t="shared" si="7"/>
        <v>RVol Required</v>
      </c>
      <c r="J48" s="37">
        <f>IFERROR(__xludf.DUMMYFUNCTION("IFERROR(
  IF(C48="""",, 
    IFERROR(
      GOOGLEFINANCE(C48, ""price"") * GOOGLEFINANCE(C48, ""volumeavg""), 
      GOOGLEFINANCE(C48, ""price"") * AVERAGE(QUERY(GOOGLEFINANCE(C48, ""volume"", TODAY()-40, TODAY()), ""SELECT Col2 WHERE Col2 IS NOT NULL "&amp;"ORDER BY Col1 DESC LIMIT 20"", 0))
    )
  ), 
"""")"),2.9125788119999997E7)</f>
        <v>29125788.12</v>
      </c>
      <c r="K48" s="21">
        <f>IFERROR(__xludf.DUMMYFUNCTION("IFERROR(GOOGLEFINANCE(C48, ""changepct"") / 100, """")"),-0.014499999999999999)</f>
        <v>-0.0145</v>
      </c>
      <c r="L48" s="21" t="str">
        <f>IFERROR(__xludf.DUMMYFUNCTION("IFERROR((GOOGLEFINANCE(C48, ""price"") / INDEX(GOOGLEFINANCE(C48, ""price"", TODAY()-7, TODAY()), 2, 2)) - 1, """")"),"")</f>
        <v/>
      </c>
      <c r="M48" s="21" t="str">
        <f>IFERROR(__xludf.DUMMYFUNCTION("IFERROR((GOOGLEFINANCE(C48, ""price"") / INDEX(GOOGLEFINANCE(C48, ""price"", EDATE(TODAY(), -1), TODAY()), 2, 2)) - 1, """")"),"")</f>
        <v/>
      </c>
      <c r="N48" s="21" t="str">
        <f>IFERROR(__xludf.DUMMYFUNCTION("IFERROR((GOOGLEFINANCE(C48, ""price"") / INDEX(GOOGLEFINANCE(C48, ""price"", EDATE(TODAY(), -3), TODAY()), 2, 2)) - 1, """")"),"")</f>
        <v/>
      </c>
      <c r="O48" s="21" t="str">
        <f>IFERROR(__xludf.DUMMYFUNCTION("IFERROR((GOOGLEFINANCE(C48, ""price"") / INDEX(GOOGLEFINANCE(C48, ""price"", EDATE(TODAY(), -6), TODAY()), 2, 2)) - 1, """")"),"")</f>
        <v/>
      </c>
      <c r="P48" s="21" t="str">
        <f>IFERROR(__xludf.DUMMYFUNCTION("IFERROR((GOOGLEFINANCE(C48, ""price"") / INDEX(GOOGLEFINANCE(C48, ""price"", EDATE(TODAY(), -12), TODAY()), 2, 2)) - 1, """")"),"")</f>
        <v/>
      </c>
      <c r="Q48" s="6" t="str">
        <f>IFERROR(__xludf.DUMMYFUNCTION("AVERAGE(QUERY(GOOGLEFINANCE(C48, ""price"", TODAY()-80, TODAY()), ""SELECT Col2 WHERE Col2 IS NOT NULL ORDER BY Col1 DESC LIMIT 50"", 0))"),"#N/A")</f>
        <v>#N/A</v>
      </c>
      <c r="R48" s="24" t="str">
        <f>IFERROR(__xludf.DUMMYFUNCTION("IFERROR(
  LET(
    data, QUERY(GOOGLEFINANCE(C48,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GOOGLEFINANCE(C48, ""price"")) * 100,
    IF(calc=0, G48, calc)
  ), 
G48)"),"#N/A")</f>
        <v>#N/A</v>
      </c>
      <c r="S48" s="8" t="s">
        <v>15</v>
      </c>
      <c r="T48" s="26" t="str">
        <f>IFERROR(__xludf.DUMMYFUNCTION("IFERROR(TRANSPOSE(QUERY(IFERROR(SORT(GOOGLEFINANCE(C48, ""price"", WORKDAY(TODAY(), -40), TODAY()), 1, FALSE)), ""select Col2 where Col2 is not null limit 22 label Col2 ''"", 0)), """")"),"")</f>
        <v/>
      </c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8"/>
      <c r="AO48" s="28"/>
      <c r="AP48" s="29"/>
      <c r="AQ48" s="29" t="str">
        <f t="shared" ref="AQ48:BL48" si="51">T48/T$2</f>
        <v>#N/A</v>
      </c>
      <c r="AR48" s="29" t="str">
        <f t="shared" si="51"/>
        <v>#DIV/0!</v>
      </c>
      <c r="AS48" s="29" t="str">
        <f t="shared" si="51"/>
        <v>#DIV/0!</v>
      </c>
      <c r="AT48" s="29" t="str">
        <f t="shared" si="51"/>
        <v>#DIV/0!</v>
      </c>
      <c r="AU48" s="29" t="str">
        <f t="shared" si="51"/>
        <v>#DIV/0!</v>
      </c>
      <c r="AV48" s="29" t="str">
        <f t="shared" si="51"/>
        <v>#DIV/0!</v>
      </c>
      <c r="AW48" s="29" t="str">
        <f t="shared" si="51"/>
        <v>#DIV/0!</v>
      </c>
      <c r="AX48" s="29" t="str">
        <f t="shared" si="51"/>
        <v>#DIV/0!</v>
      </c>
      <c r="AY48" s="29" t="str">
        <f t="shared" si="51"/>
        <v>#DIV/0!</v>
      </c>
      <c r="AZ48" s="29" t="str">
        <f t="shared" si="51"/>
        <v>#DIV/0!</v>
      </c>
      <c r="BA48" s="29" t="str">
        <f t="shared" si="51"/>
        <v>#DIV/0!</v>
      </c>
      <c r="BB48" s="29" t="str">
        <f t="shared" si="51"/>
        <v>#DIV/0!</v>
      </c>
      <c r="BC48" s="29" t="str">
        <f t="shared" si="51"/>
        <v>#DIV/0!</v>
      </c>
      <c r="BD48" s="29" t="str">
        <f t="shared" si="51"/>
        <v>#DIV/0!</v>
      </c>
      <c r="BE48" s="29" t="str">
        <f t="shared" si="51"/>
        <v>#DIV/0!</v>
      </c>
      <c r="BF48" s="29" t="str">
        <f t="shared" si="51"/>
        <v>#DIV/0!</v>
      </c>
      <c r="BG48" s="29" t="str">
        <f t="shared" si="51"/>
        <v>#DIV/0!</v>
      </c>
      <c r="BH48" s="29" t="str">
        <f t="shared" si="51"/>
        <v>#DIV/0!</v>
      </c>
      <c r="BI48" s="29" t="str">
        <f t="shared" si="51"/>
        <v>#DIV/0!</v>
      </c>
      <c r="BJ48" s="29" t="str">
        <f t="shared" si="51"/>
        <v>#DIV/0!</v>
      </c>
      <c r="BK48" s="29" t="str">
        <f t="shared" si="51"/>
        <v>#DIV/0!</v>
      </c>
      <c r="BL48" s="29" t="str">
        <f t="shared" si="51"/>
        <v>#DIV/0!</v>
      </c>
      <c r="BM48" s="29" t="str">
        <f t="shared" si="3"/>
        <v>#DIV/0!</v>
      </c>
    </row>
    <row r="49">
      <c r="A49" s="16" t="str">
        <f>IFERROR(__xludf.DUMMYFUNCTION("IFERROR(SPARKLINE(SORT(MAP(TRANSPOSE(AQ49:BL49), LAMBDA(val, IF(ISNUMBER(val), PERCENTRANK(AQ49:BL49, val)+0.01, 0))), SEQUENCE(COLUMNS(AQ49:BL49)), FALSE), {""charttype"",""column""; ""color"",""chartreuse""; ""ymin"", 0; ""ymax"", 1.01; ""highcolor"", "&amp;"""darkgreen""; ""lowcolor"", ""red""}), """")"),"")</f>
        <v/>
      </c>
      <c r="B49" s="17" t="str">
        <f t="shared" si="4"/>
        <v/>
      </c>
      <c r="C49" s="1" t="s">
        <v>2248</v>
      </c>
      <c r="D49" s="30" t="str">
        <f>IFERROR(__xludf.DUMMYFUNCTION("IFERROR(GOOGLEFINANCE(C49, ""NAME""))"),"Colgate-Palmolive Company")</f>
        <v>Colgate-Palmolive Company</v>
      </c>
      <c r="E49" s="30" t="s">
        <v>2132</v>
      </c>
      <c r="F49" s="33" t="str">
        <f>IFERROR(__xludf.DUMMYFUNCTION("( (GOOGLEFINANCE(C49, ""price"") - Q49) / Q49 ) / (R49 / 100)"),"Loading...")</f>
        <v>Loading...</v>
      </c>
      <c r="G49" s="20" t="str">
        <f>IFERROR(__xludf.DUMMYFUNCTION("AVERAGE(ARRAYFORMULA(100 * (QUERY(GOOGLEFINANCE(C49, ""high"", TODAY()-40, TODAY()), ""SELECT Col2 WHERE Col2 IS NOT NULL ORDER BY Col1 DESC LIMIT 20"", 0) / QUERY(GOOGLEFINANCE(C49, ""low"", TODAY()-40, TODAY()), ""SELECT Col2 WHERE Col2 IS NOT NULL ORDE"&amp;"R BY Col1 DESC LIMIT 20"", 0) - 1)))"),"#N/A")</f>
        <v>#N/A</v>
      </c>
      <c r="H49" s="35" t="str">
        <f t="shared" si="6"/>
        <v>Liquid</v>
      </c>
      <c r="I49" s="36" t="str">
        <f t="shared" si="7"/>
        <v>RVol Required</v>
      </c>
      <c r="J49" s="37">
        <f>IFERROR(__xludf.DUMMYFUNCTION("IFERROR(
  IF(C49="""",, 
    IFERROR(
      GOOGLEFINANCE(C49, ""price"") * GOOGLEFINANCE(C49, ""volumeavg""), 
      GOOGLEFINANCE(C49, ""price"") * AVERAGE(QUERY(GOOGLEFINANCE(C49, ""volume"", TODAY()-40, TODAY()), ""SELECT Col2 WHERE Col2 IS NOT NULL "&amp;"ORDER BY Col1 DESC LIMIT 20"", 0))
    )
  ), 
"""")"),4.9450861791E8)</f>
        <v>494508617.9</v>
      </c>
      <c r="K49" s="21">
        <f>IFERROR(__xludf.DUMMYFUNCTION("IFERROR(GOOGLEFINANCE(C49, ""changepct"") / 100, """")"),0.0155)</f>
        <v>0.0155</v>
      </c>
      <c r="L49" s="21" t="str">
        <f>IFERROR(__xludf.DUMMYFUNCTION("IFERROR((GOOGLEFINANCE(C49, ""price"") / INDEX(GOOGLEFINANCE(C49, ""price"", TODAY()-7, TODAY()), 2, 2)) - 1, """")"),"")</f>
        <v/>
      </c>
      <c r="M49" s="21" t="str">
        <f>IFERROR(__xludf.DUMMYFUNCTION("IFERROR((GOOGLEFINANCE(C49, ""price"") / INDEX(GOOGLEFINANCE(C49, ""price"", EDATE(TODAY(), -1), TODAY()), 2, 2)) - 1, """")"),"")</f>
        <v/>
      </c>
      <c r="N49" s="21" t="str">
        <f>IFERROR(__xludf.DUMMYFUNCTION("IFERROR((GOOGLEFINANCE(C49, ""price"") / INDEX(GOOGLEFINANCE(C49, ""price"", EDATE(TODAY(), -3), TODAY()), 2, 2)) - 1, """")"),"")</f>
        <v/>
      </c>
      <c r="O49" s="21" t="str">
        <f>IFERROR(__xludf.DUMMYFUNCTION("IFERROR((GOOGLEFINANCE(C49, ""price"") / INDEX(GOOGLEFINANCE(C49, ""price"", EDATE(TODAY(), -6), TODAY()), 2, 2)) - 1, """")"),"")</f>
        <v/>
      </c>
      <c r="P49" s="21" t="str">
        <f>IFERROR(__xludf.DUMMYFUNCTION("IFERROR((GOOGLEFINANCE(C49, ""price"") / INDEX(GOOGLEFINANCE(C49, ""price"", EDATE(TODAY(), -12), TODAY()), 2, 2)) - 1, """")"),"")</f>
        <v/>
      </c>
      <c r="Q49" s="6" t="str">
        <f>IFERROR(__xludf.DUMMYFUNCTION("AVERAGE(QUERY(GOOGLEFINANCE(C49, ""price"", TODAY()-80, TODAY()), ""SELECT Col2 WHERE Col2 IS NOT NULL ORDER BY Col1 DESC LIMIT 50"", 0))"),"#N/A")</f>
        <v>#N/A</v>
      </c>
      <c r="R49" s="24" t="str">
        <f>IFERROR(__xludf.DUMMYFUNCTION("IFERROR(
  LET(
    data, QUERY(GOOGLEFINANCE(C49,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GOOGLEFINANCE(C49, ""price"")) * 100,
    IF(calc=0, G49, calc)
  ), 
G49)"),"#N/A")</f>
        <v>#N/A</v>
      </c>
      <c r="S49" s="8" t="s">
        <v>15</v>
      </c>
      <c r="T49" s="26" t="str">
        <f>IFERROR(__xludf.DUMMYFUNCTION("IFERROR(TRANSPOSE(QUERY(IFERROR(SORT(GOOGLEFINANCE(C49, ""price"", WORKDAY(TODAY(), -40), TODAY()), 1, FALSE)), ""select Col2 where Col2 is not null limit 22 label Col2 ''"", 0)), """")"),"")</f>
        <v/>
      </c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8"/>
      <c r="AO49" s="28"/>
      <c r="AP49" s="29"/>
      <c r="AQ49" s="29" t="str">
        <f t="shared" ref="AQ49:BL49" si="52">T49/T$2</f>
        <v>#N/A</v>
      </c>
      <c r="AR49" s="29" t="str">
        <f t="shared" si="52"/>
        <v>#DIV/0!</v>
      </c>
      <c r="AS49" s="29" t="str">
        <f t="shared" si="52"/>
        <v>#DIV/0!</v>
      </c>
      <c r="AT49" s="29" t="str">
        <f t="shared" si="52"/>
        <v>#DIV/0!</v>
      </c>
      <c r="AU49" s="29" t="str">
        <f t="shared" si="52"/>
        <v>#DIV/0!</v>
      </c>
      <c r="AV49" s="29" t="str">
        <f t="shared" si="52"/>
        <v>#DIV/0!</v>
      </c>
      <c r="AW49" s="29" t="str">
        <f t="shared" si="52"/>
        <v>#DIV/0!</v>
      </c>
      <c r="AX49" s="29" t="str">
        <f t="shared" si="52"/>
        <v>#DIV/0!</v>
      </c>
      <c r="AY49" s="29" t="str">
        <f t="shared" si="52"/>
        <v>#DIV/0!</v>
      </c>
      <c r="AZ49" s="29" t="str">
        <f t="shared" si="52"/>
        <v>#DIV/0!</v>
      </c>
      <c r="BA49" s="29" t="str">
        <f t="shared" si="52"/>
        <v>#DIV/0!</v>
      </c>
      <c r="BB49" s="29" t="str">
        <f t="shared" si="52"/>
        <v>#DIV/0!</v>
      </c>
      <c r="BC49" s="29" t="str">
        <f t="shared" si="52"/>
        <v>#DIV/0!</v>
      </c>
      <c r="BD49" s="29" t="str">
        <f t="shared" si="52"/>
        <v>#DIV/0!</v>
      </c>
      <c r="BE49" s="29" t="str">
        <f t="shared" si="52"/>
        <v>#DIV/0!</v>
      </c>
      <c r="BF49" s="29" t="str">
        <f t="shared" si="52"/>
        <v>#DIV/0!</v>
      </c>
      <c r="BG49" s="29" t="str">
        <f t="shared" si="52"/>
        <v>#DIV/0!</v>
      </c>
      <c r="BH49" s="29" t="str">
        <f t="shared" si="52"/>
        <v>#DIV/0!</v>
      </c>
      <c r="BI49" s="29" t="str">
        <f t="shared" si="52"/>
        <v>#DIV/0!</v>
      </c>
      <c r="BJ49" s="29" t="str">
        <f t="shared" si="52"/>
        <v>#DIV/0!</v>
      </c>
      <c r="BK49" s="29" t="str">
        <f t="shared" si="52"/>
        <v>#DIV/0!</v>
      </c>
      <c r="BL49" s="29" t="str">
        <f t="shared" si="52"/>
        <v>#DIV/0!</v>
      </c>
      <c r="BM49" s="29" t="str">
        <f t="shared" si="3"/>
        <v>#DIV/0!</v>
      </c>
    </row>
    <row r="50">
      <c r="A50" s="16" t="str">
        <f>IFERROR(__xludf.DUMMYFUNCTION("IFERROR(SPARKLINE(SORT(MAP(TRANSPOSE(AQ50:BL50), LAMBDA(val, IF(ISNUMBER(val), PERCENTRANK(AQ50:BL50, val)+0.01, 0))), SEQUENCE(COLUMNS(AQ50:BL50)), FALSE), {""charttype"",""column""; ""color"",""chartreuse""; ""ymin"", 0; ""ymax"", 1.01; ""highcolor"", "&amp;"""darkgreen""; ""lowcolor"", ""red""}), """")"),"")</f>
        <v/>
      </c>
      <c r="B50" s="17" t="str">
        <f t="shared" si="4"/>
        <v/>
      </c>
      <c r="C50" s="1" t="s">
        <v>2252</v>
      </c>
      <c r="D50" s="30" t="str">
        <f>IFERROR(__xludf.DUMMYFUNCTION("IFERROR(GOOGLEFINANCE(C50, ""NAME""))"),"Central Garden &amp; Pet Co Class A")</f>
        <v>Central Garden &amp; Pet Co Class A</v>
      </c>
      <c r="E50" s="30" t="s">
        <v>2094</v>
      </c>
      <c r="F50" s="33" t="str">
        <f>IFERROR(__xludf.DUMMYFUNCTION("( (GOOGLEFINANCE(C50, ""price"") - Q50) / Q50 ) / (R50 / 100)"),"Loading...")</f>
        <v>Loading...</v>
      </c>
      <c r="G50" s="20" t="str">
        <f>IFERROR(__xludf.DUMMYFUNCTION("AVERAGE(ARRAYFORMULA(100 * (QUERY(GOOGLEFINANCE(C50, ""high"", TODAY()-40, TODAY()), ""SELECT Col2 WHERE Col2 IS NOT NULL ORDER BY Col1 DESC LIMIT 20"", 0) / QUERY(GOOGLEFINANCE(C50, ""low"", TODAY()-40, TODAY()), ""SELECT Col2 WHERE Col2 IS NOT NULL ORDE"&amp;"R BY Col1 DESC LIMIT 20"", 0) - 1)))"),"#N/A")</f>
        <v>#N/A</v>
      </c>
      <c r="H50" s="35" t="str">
        <f t="shared" si="6"/>
        <v>Illiquid</v>
      </c>
      <c r="I50" s="36" t="str">
        <f t="shared" si="7"/>
        <v>RVol Required</v>
      </c>
      <c r="J50" s="37">
        <f>IFERROR(__xludf.DUMMYFUNCTION("IFERROR(
  IF(C50="""",, 
    IFERROR(
      GOOGLEFINANCE(C50, ""price"") * GOOGLEFINANCE(C50, ""volumeavg""), 
      GOOGLEFINANCE(C50, ""price"") * AVERAGE(QUERY(GOOGLEFINANCE(C50, ""volume"", TODAY()-40, TODAY()), ""SELECT Col2 WHERE Col2 IS NOT NULL "&amp;"ORDER BY Col1 DESC LIMIT 20"", 0))
    )
  ), 
"""")"),1.088103258E7)</f>
        <v>10881032.58</v>
      </c>
      <c r="K50" s="21">
        <f>IFERROR(__xludf.DUMMYFUNCTION("IFERROR(GOOGLEFINANCE(C50, ""changepct"") / 100, """")"),0.0044)</f>
        <v>0.0044</v>
      </c>
      <c r="L50" s="21" t="str">
        <f>IFERROR(__xludf.DUMMYFUNCTION("IFERROR((GOOGLEFINANCE(C50, ""price"") / INDEX(GOOGLEFINANCE(C50, ""price"", TODAY()-7, TODAY()), 2, 2)) - 1, """")"),"")</f>
        <v/>
      </c>
      <c r="M50" s="21" t="str">
        <f>IFERROR(__xludf.DUMMYFUNCTION("IFERROR((GOOGLEFINANCE(C50, ""price"") / INDEX(GOOGLEFINANCE(C50, ""price"", EDATE(TODAY(), -1), TODAY()), 2, 2)) - 1, """")"),"")</f>
        <v/>
      </c>
      <c r="N50" s="21" t="str">
        <f>IFERROR(__xludf.DUMMYFUNCTION("IFERROR((GOOGLEFINANCE(C50, ""price"") / INDEX(GOOGLEFINANCE(C50, ""price"", EDATE(TODAY(), -3), TODAY()), 2, 2)) - 1, """")"),"")</f>
        <v/>
      </c>
      <c r="O50" s="21" t="str">
        <f>IFERROR(__xludf.DUMMYFUNCTION("IFERROR((GOOGLEFINANCE(C50, ""price"") / INDEX(GOOGLEFINANCE(C50, ""price"", EDATE(TODAY(), -6), TODAY()), 2, 2)) - 1, """")"),"")</f>
        <v/>
      </c>
      <c r="P50" s="21" t="str">
        <f>IFERROR(__xludf.DUMMYFUNCTION("IFERROR((GOOGLEFINANCE(C50, ""price"") / INDEX(GOOGLEFINANCE(C50, ""price"", EDATE(TODAY(), -12), TODAY()), 2, 2)) - 1, """")"),"")</f>
        <v/>
      </c>
      <c r="Q50" s="6" t="str">
        <f>IFERROR(__xludf.DUMMYFUNCTION("AVERAGE(QUERY(GOOGLEFINANCE(C50, ""price"", TODAY()-80, TODAY()), ""SELECT Col2 WHERE Col2 IS NOT NULL ORDER BY Col1 DESC LIMIT 50"", 0))"),"#N/A")</f>
        <v>#N/A</v>
      </c>
      <c r="R50" s="24" t="str">
        <f>IFERROR(__xludf.DUMMYFUNCTION("IFERROR(
  LET(
    data, QUERY(GOOGLEFINANCE(C50,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GOOGLEFINANCE(C50, ""price"")) * 100,
    IF(calc=0, G50, calc)
  ), 
G50)"),"#N/A")</f>
        <v>#N/A</v>
      </c>
      <c r="S50" s="8" t="s">
        <v>15</v>
      </c>
      <c r="T50" s="26" t="str">
        <f>IFERROR(__xludf.DUMMYFUNCTION("IFERROR(TRANSPOSE(QUERY(IFERROR(SORT(GOOGLEFINANCE(C50, ""price"", WORKDAY(TODAY(), -40), TODAY()), 1, FALSE)), ""select Col2 where Col2 is not null limit 22 label Col2 ''"", 0)), """")"),"")</f>
        <v/>
      </c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8"/>
      <c r="AO50" s="28"/>
      <c r="AP50" s="29"/>
      <c r="AQ50" s="29" t="str">
        <f t="shared" ref="AQ50:BL50" si="53">T50/T$2</f>
        <v>#N/A</v>
      </c>
      <c r="AR50" s="29" t="str">
        <f t="shared" si="53"/>
        <v>#DIV/0!</v>
      </c>
      <c r="AS50" s="29" t="str">
        <f t="shared" si="53"/>
        <v>#DIV/0!</v>
      </c>
      <c r="AT50" s="29" t="str">
        <f t="shared" si="53"/>
        <v>#DIV/0!</v>
      </c>
      <c r="AU50" s="29" t="str">
        <f t="shared" si="53"/>
        <v>#DIV/0!</v>
      </c>
      <c r="AV50" s="29" t="str">
        <f t="shared" si="53"/>
        <v>#DIV/0!</v>
      </c>
      <c r="AW50" s="29" t="str">
        <f t="shared" si="53"/>
        <v>#DIV/0!</v>
      </c>
      <c r="AX50" s="29" t="str">
        <f t="shared" si="53"/>
        <v>#DIV/0!</v>
      </c>
      <c r="AY50" s="29" t="str">
        <f t="shared" si="53"/>
        <v>#DIV/0!</v>
      </c>
      <c r="AZ50" s="29" t="str">
        <f t="shared" si="53"/>
        <v>#DIV/0!</v>
      </c>
      <c r="BA50" s="29" t="str">
        <f t="shared" si="53"/>
        <v>#DIV/0!</v>
      </c>
      <c r="BB50" s="29" t="str">
        <f t="shared" si="53"/>
        <v>#DIV/0!</v>
      </c>
      <c r="BC50" s="29" t="str">
        <f t="shared" si="53"/>
        <v>#DIV/0!</v>
      </c>
      <c r="BD50" s="29" t="str">
        <f t="shared" si="53"/>
        <v>#DIV/0!</v>
      </c>
      <c r="BE50" s="29" t="str">
        <f t="shared" si="53"/>
        <v>#DIV/0!</v>
      </c>
      <c r="BF50" s="29" t="str">
        <f t="shared" si="53"/>
        <v>#DIV/0!</v>
      </c>
      <c r="BG50" s="29" t="str">
        <f t="shared" si="53"/>
        <v>#DIV/0!</v>
      </c>
      <c r="BH50" s="29" t="str">
        <f t="shared" si="53"/>
        <v>#DIV/0!</v>
      </c>
      <c r="BI50" s="29" t="str">
        <f t="shared" si="53"/>
        <v>#DIV/0!</v>
      </c>
      <c r="BJ50" s="29" t="str">
        <f t="shared" si="53"/>
        <v>#DIV/0!</v>
      </c>
      <c r="BK50" s="29" t="str">
        <f t="shared" si="53"/>
        <v>#DIV/0!</v>
      </c>
      <c r="BL50" s="29" t="str">
        <f t="shared" si="53"/>
        <v>#DIV/0!</v>
      </c>
      <c r="BM50" s="29" t="str">
        <f t="shared" si="3"/>
        <v>#DIV/0!</v>
      </c>
    </row>
    <row r="51">
      <c r="A51" s="16" t="str">
        <f>IFERROR(__xludf.DUMMYFUNCTION("IFERROR(SPARKLINE(SORT(MAP(TRANSPOSE(AQ51:BL51), LAMBDA(val, IF(ISNUMBER(val), PERCENTRANK(AQ51:BL51, val)+0.01, 0))), SEQUENCE(COLUMNS(AQ51:BL51)), FALSE), {""charttype"",""column""; ""color"",""chartreuse""; ""ymin"", 0; ""ymax"", 1.01; ""highcolor"", "&amp;"""darkgreen""; ""lowcolor"", ""red""}), """")"),"")</f>
        <v/>
      </c>
      <c r="B51" s="17" t="str">
        <f t="shared" si="4"/>
        <v/>
      </c>
      <c r="C51" s="1" t="s">
        <v>2256</v>
      </c>
      <c r="D51" s="30" t="str">
        <f>IFERROR(__xludf.DUMMYFUNCTION("IFERROR(GOOGLEFINANCE(C51, ""NAME""))"),"Embotelladora Andina SA ADR Series B")</f>
        <v>Embotelladora Andina SA ADR Series B</v>
      </c>
      <c r="E51" s="30" t="s">
        <v>2083</v>
      </c>
      <c r="F51" s="33" t="str">
        <f>IFERROR(__xludf.DUMMYFUNCTION("( (GOOGLEFINANCE(C51, ""price"") - Q51) / Q51 ) / (R51 / 100)"),"Loading...")</f>
        <v>Loading...</v>
      </c>
      <c r="G51" s="20" t="str">
        <f>IFERROR(__xludf.DUMMYFUNCTION("AVERAGE(ARRAYFORMULA(100 * (QUERY(GOOGLEFINANCE(C51, ""high"", TODAY()-40, TODAY()), ""SELECT Col2 WHERE Col2 IS NOT NULL ORDER BY Col1 DESC LIMIT 20"", 0) / QUERY(GOOGLEFINANCE(C51, ""low"", TODAY()-40, TODAY()), ""SELECT Col2 WHERE Col2 IS NOT NULL ORDE"&amp;"R BY Col1 DESC LIMIT 20"", 0) - 1)))"),"#N/A")</f>
        <v>#N/A</v>
      </c>
      <c r="H51" s="35" t="str">
        <f t="shared" si="6"/>
        <v>Illiquid</v>
      </c>
      <c r="I51" s="36" t="str">
        <f t="shared" si="7"/>
        <v>RVol Required</v>
      </c>
      <c r="J51" s="37">
        <f>IFERROR(__xludf.DUMMYFUNCTION("IFERROR(
  IF(C51="""",, 
    IFERROR(
      GOOGLEFINANCE(C51, ""price"") * GOOGLEFINANCE(C51, ""volumeavg""), 
      GOOGLEFINANCE(C51, ""price"") * AVERAGE(QUERY(GOOGLEFINANCE(C51, ""volume"", TODAY()-40, TODAY()), ""SELECT Col2 WHERE Col2 IS NOT NULL "&amp;"ORDER BY Col1 DESC LIMIT 20"", 0))
    )
  ), 
"""")"),266075.0)</f>
        <v>266075</v>
      </c>
      <c r="K51" s="21">
        <f>IFERROR(__xludf.DUMMYFUNCTION("IFERROR(GOOGLEFINANCE(C51, ""changepct"") / 100, """")"),0.001)</f>
        <v>0.001</v>
      </c>
      <c r="L51" s="21" t="str">
        <f>IFERROR(__xludf.DUMMYFUNCTION("IFERROR((GOOGLEFINANCE(C51, ""price"") / INDEX(GOOGLEFINANCE(C51, ""price"", TODAY()-7, TODAY()), 2, 2)) - 1, """")"),"")</f>
        <v/>
      </c>
      <c r="M51" s="21" t="str">
        <f>IFERROR(__xludf.DUMMYFUNCTION("IFERROR((GOOGLEFINANCE(C51, ""price"") / INDEX(GOOGLEFINANCE(C51, ""price"", EDATE(TODAY(), -1), TODAY()), 2, 2)) - 1, """")"),"")</f>
        <v/>
      </c>
      <c r="N51" s="21" t="str">
        <f>IFERROR(__xludf.DUMMYFUNCTION("IFERROR((GOOGLEFINANCE(C51, ""price"") / INDEX(GOOGLEFINANCE(C51, ""price"", EDATE(TODAY(), -3), TODAY()), 2, 2)) - 1, """")"),"")</f>
        <v/>
      </c>
      <c r="O51" s="21" t="str">
        <f>IFERROR(__xludf.DUMMYFUNCTION("IFERROR((GOOGLEFINANCE(C51, ""price"") / INDEX(GOOGLEFINANCE(C51, ""price"", EDATE(TODAY(), -6), TODAY()), 2, 2)) - 1, """")"),"")</f>
        <v/>
      </c>
      <c r="P51" s="21" t="str">
        <f>IFERROR(__xludf.DUMMYFUNCTION("IFERROR((GOOGLEFINANCE(C51, ""price"") / INDEX(GOOGLEFINANCE(C51, ""price"", EDATE(TODAY(), -12), TODAY()), 2, 2)) - 1, """")"),"")</f>
        <v/>
      </c>
      <c r="Q51" s="6" t="str">
        <f>IFERROR(__xludf.DUMMYFUNCTION("AVERAGE(QUERY(GOOGLEFINANCE(C51, ""price"", TODAY()-80, TODAY()), ""SELECT Col2 WHERE Col2 IS NOT NULL ORDER BY Col1 DESC LIMIT 50"", 0))"),"#N/A")</f>
        <v>#N/A</v>
      </c>
      <c r="R51" s="24" t="str">
        <f>IFERROR(__xludf.DUMMYFUNCTION("IFERROR(
  LET(
    data, QUERY(GOOGLEFINANCE(C51,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GOOGLEFINANCE(C51, ""price"")) * 100,
    IF(calc=0, G51, calc)
  ), 
G51)"),"#N/A")</f>
        <v>#N/A</v>
      </c>
      <c r="S51" s="8" t="s">
        <v>15</v>
      </c>
      <c r="T51" s="26" t="str">
        <f>IFERROR(__xludf.DUMMYFUNCTION("IFERROR(TRANSPOSE(QUERY(IFERROR(SORT(GOOGLEFINANCE(C51, ""price"", WORKDAY(TODAY(), -40), TODAY()), 1, FALSE)), ""select Col2 where Col2 is not null limit 22 label Col2 ''"", 0)), """")"),"")</f>
        <v/>
      </c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8"/>
      <c r="AO51" s="28"/>
      <c r="AP51" s="29"/>
      <c r="AQ51" s="29" t="str">
        <f t="shared" ref="AQ51:BL51" si="54">T51/T$2</f>
        <v>#N/A</v>
      </c>
      <c r="AR51" s="29" t="str">
        <f t="shared" si="54"/>
        <v>#DIV/0!</v>
      </c>
      <c r="AS51" s="29" t="str">
        <f t="shared" si="54"/>
        <v>#DIV/0!</v>
      </c>
      <c r="AT51" s="29" t="str">
        <f t="shared" si="54"/>
        <v>#DIV/0!</v>
      </c>
      <c r="AU51" s="29" t="str">
        <f t="shared" si="54"/>
        <v>#DIV/0!</v>
      </c>
      <c r="AV51" s="29" t="str">
        <f t="shared" si="54"/>
        <v>#DIV/0!</v>
      </c>
      <c r="AW51" s="29" t="str">
        <f t="shared" si="54"/>
        <v>#DIV/0!</v>
      </c>
      <c r="AX51" s="29" t="str">
        <f t="shared" si="54"/>
        <v>#DIV/0!</v>
      </c>
      <c r="AY51" s="29" t="str">
        <f t="shared" si="54"/>
        <v>#DIV/0!</v>
      </c>
      <c r="AZ51" s="29" t="str">
        <f t="shared" si="54"/>
        <v>#DIV/0!</v>
      </c>
      <c r="BA51" s="29" t="str">
        <f t="shared" si="54"/>
        <v>#DIV/0!</v>
      </c>
      <c r="BB51" s="29" t="str">
        <f t="shared" si="54"/>
        <v>#DIV/0!</v>
      </c>
      <c r="BC51" s="29" t="str">
        <f t="shared" si="54"/>
        <v>#DIV/0!</v>
      </c>
      <c r="BD51" s="29" t="str">
        <f t="shared" si="54"/>
        <v>#DIV/0!</v>
      </c>
      <c r="BE51" s="29" t="str">
        <f t="shared" si="54"/>
        <v>#DIV/0!</v>
      </c>
      <c r="BF51" s="29" t="str">
        <f t="shared" si="54"/>
        <v>#DIV/0!</v>
      </c>
      <c r="BG51" s="29" t="str">
        <f t="shared" si="54"/>
        <v>#DIV/0!</v>
      </c>
      <c r="BH51" s="29" t="str">
        <f t="shared" si="54"/>
        <v>#DIV/0!</v>
      </c>
      <c r="BI51" s="29" t="str">
        <f t="shared" si="54"/>
        <v>#DIV/0!</v>
      </c>
      <c r="BJ51" s="29" t="str">
        <f t="shared" si="54"/>
        <v>#DIV/0!</v>
      </c>
      <c r="BK51" s="29" t="str">
        <f t="shared" si="54"/>
        <v>#DIV/0!</v>
      </c>
      <c r="BL51" s="29" t="str">
        <f t="shared" si="54"/>
        <v>#DIV/0!</v>
      </c>
      <c r="BM51" s="29" t="str">
        <f t="shared" si="3"/>
        <v>#DIV/0!</v>
      </c>
    </row>
    <row r="52">
      <c r="A52" s="16" t="str">
        <f>IFERROR(__xludf.DUMMYFUNCTION("IFERROR(SPARKLINE(SORT(MAP(TRANSPOSE(AQ52:BL52), LAMBDA(val, IF(ISNUMBER(val), PERCENTRANK(AQ52:BL52, val)+0.01, 0))), SEQUENCE(COLUMNS(AQ52:BL52)), FALSE), {""charttype"",""column""; ""color"",""chartreuse""; ""ymin"", 0; ""ymax"", 1.01; ""highcolor"", "&amp;"""darkgreen""; ""lowcolor"", ""red""}), """")"),"")</f>
        <v/>
      </c>
      <c r="B52" s="17" t="str">
        <f t="shared" si="4"/>
        <v/>
      </c>
      <c r="C52" s="1" t="s">
        <v>2260</v>
      </c>
      <c r="D52" s="30" t="str">
        <f>IFERROR(__xludf.DUMMYFUNCTION("IFERROR(GOOGLEFINANCE(C52, ""NAME""))"),"Gaotu Techedu Inc - ADR")</f>
        <v>Gaotu Techedu Inc - ADR</v>
      </c>
      <c r="E52" s="30" t="s">
        <v>2069</v>
      </c>
      <c r="F52" s="33" t="str">
        <f>IFERROR(__xludf.DUMMYFUNCTION("( (GOOGLEFINANCE(C52, ""price"") - Q52) / Q52 ) / (R52 / 100)"),"Loading...")</f>
        <v>Loading...</v>
      </c>
      <c r="G52" s="20" t="str">
        <f>IFERROR(__xludf.DUMMYFUNCTION("AVERAGE(ARRAYFORMULA(100 * (QUERY(GOOGLEFINANCE(C52, ""high"", TODAY()-40, TODAY()), ""SELECT Col2 WHERE Col2 IS NOT NULL ORDER BY Col1 DESC LIMIT 20"", 0) / QUERY(GOOGLEFINANCE(C52, ""low"", TODAY()-40, TODAY()), ""SELECT Col2 WHERE Col2 IS NOT NULL ORDE"&amp;"R BY Col1 DESC LIMIT 20"", 0) - 1)))"),"#N/A")</f>
        <v>#N/A</v>
      </c>
      <c r="H52" s="35" t="str">
        <f t="shared" si="6"/>
        <v>Illiquid</v>
      </c>
      <c r="I52" s="36" t="str">
        <f t="shared" si="7"/>
        <v>RVol Required</v>
      </c>
      <c r="J52" s="37">
        <f>IFERROR(__xludf.DUMMYFUNCTION("IFERROR(
  IF(C52="""",, 
    IFERROR(
      GOOGLEFINANCE(C52, ""price"") * GOOGLEFINANCE(C52, ""volumeavg""), 
      GOOGLEFINANCE(C52, ""price"") * AVERAGE(QUERY(GOOGLEFINANCE(C52, ""volume"", TODAY()-40, TODAY()), ""SELECT Col2 WHERE Col2 IS NOT NULL "&amp;"ORDER BY Col1 DESC LIMIT 20"", 0))
    )
  ), 
"""")"),1398009.36)</f>
        <v>1398009.36</v>
      </c>
      <c r="K52" s="21">
        <f>IFERROR(__xludf.DUMMYFUNCTION("IFERROR(GOOGLEFINANCE(C52, ""changepct"") / 100, """")"),-0.011200000000000002)</f>
        <v>-0.0112</v>
      </c>
      <c r="L52" s="21" t="str">
        <f>IFERROR(__xludf.DUMMYFUNCTION("IFERROR((GOOGLEFINANCE(C52, ""price"") / INDEX(GOOGLEFINANCE(C52, ""price"", TODAY()-7, TODAY()), 2, 2)) - 1, """")"),"")</f>
        <v/>
      </c>
      <c r="M52" s="21" t="str">
        <f>IFERROR(__xludf.DUMMYFUNCTION("IFERROR((GOOGLEFINANCE(C52, ""price"") / INDEX(GOOGLEFINANCE(C52, ""price"", EDATE(TODAY(), -1), TODAY()), 2, 2)) - 1, """")"),"")</f>
        <v/>
      </c>
      <c r="N52" s="21" t="str">
        <f>IFERROR(__xludf.DUMMYFUNCTION("IFERROR((GOOGLEFINANCE(C52, ""price"") / INDEX(GOOGLEFINANCE(C52, ""price"", EDATE(TODAY(), -3), TODAY()), 2, 2)) - 1, """")"),"")</f>
        <v/>
      </c>
      <c r="O52" s="21" t="str">
        <f>IFERROR(__xludf.DUMMYFUNCTION("IFERROR((GOOGLEFINANCE(C52, ""price"") / INDEX(GOOGLEFINANCE(C52, ""price"", EDATE(TODAY(), -6), TODAY()), 2, 2)) - 1, """")"),"")</f>
        <v/>
      </c>
      <c r="P52" s="21" t="str">
        <f>IFERROR(__xludf.DUMMYFUNCTION("IFERROR((GOOGLEFINANCE(C52, ""price"") / INDEX(GOOGLEFINANCE(C52, ""price"", EDATE(TODAY(), -12), TODAY()), 2, 2)) - 1, """")"),"")</f>
        <v/>
      </c>
      <c r="Q52" s="6" t="str">
        <f>IFERROR(__xludf.DUMMYFUNCTION("AVERAGE(QUERY(GOOGLEFINANCE(C52, ""price"", TODAY()-80, TODAY()), ""SELECT Col2 WHERE Col2 IS NOT NULL ORDER BY Col1 DESC LIMIT 50"", 0))"),"#N/A")</f>
        <v>#N/A</v>
      </c>
      <c r="R52" s="24" t="str">
        <f>IFERROR(__xludf.DUMMYFUNCTION("IFERROR(
  LET(
    data, QUERY(GOOGLEFINANCE(C52,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GOOGLEFINANCE(C52, ""price"")) * 100,
    IF(calc=0, G52, calc)
  ), 
G52)"),"#N/A")</f>
        <v>#N/A</v>
      </c>
      <c r="S52" s="8" t="s">
        <v>15</v>
      </c>
      <c r="T52" s="26" t="str">
        <f>IFERROR(__xludf.DUMMYFUNCTION("IFERROR(TRANSPOSE(QUERY(IFERROR(SORT(GOOGLEFINANCE(C52, ""price"", WORKDAY(TODAY(), -40), TODAY()), 1, FALSE)), ""select Col2 where Col2 is not null limit 22 label Col2 ''"", 0)), """")"),"")</f>
        <v/>
      </c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8"/>
      <c r="AO52" s="28"/>
      <c r="AP52" s="29"/>
      <c r="AQ52" s="29" t="str">
        <f t="shared" ref="AQ52:BL52" si="55">T52/T$2</f>
        <v>#N/A</v>
      </c>
      <c r="AR52" s="29" t="str">
        <f t="shared" si="55"/>
        <v>#DIV/0!</v>
      </c>
      <c r="AS52" s="29" t="str">
        <f t="shared" si="55"/>
        <v>#DIV/0!</v>
      </c>
      <c r="AT52" s="29" t="str">
        <f t="shared" si="55"/>
        <v>#DIV/0!</v>
      </c>
      <c r="AU52" s="29" t="str">
        <f t="shared" si="55"/>
        <v>#DIV/0!</v>
      </c>
      <c r="AV52" s="29" t="str">
        <f t="shared" si="55"/>
        <v>#DIV/0!</v>
      </c>
      <c r="AW52" s="29" t="str">
        <f t="shared" si="55"/>
        <v>#DIV/0!</v>
      </c>
      <c r="AX52" s="29" t="str">
        <f t="shared" si="55"/>
        <v>#DIV/0!</v>
      </c>
      <c r="AY52" s="29" t="str">
        <f t="shared" si="55"/>
        <v>#DIV/0!</v>
      </c>
      <c r="AZ52" s="29" t="str">
        <f t="shared" si="55"/>
        <v>#DIV/0!</v>
      </c>
      <c r="BA52" s="29" t="str">
        <f t="shared" si="55"/>
        <v>#DIV/0!</v>
      </c>
      <c r="BB52" s="29" t="str">
        <f t="shared" si="55"/>
        <v>#DIV/0!</v>
      </c>
      <c r="BC52" s="29" t="str">
        <f t="shared" si="55"/>
        <v>#DIV/0!</v>
      </c>
      <c r="BD52" s="29" t="str">
        <f t="shared" si="55"/>
        <v>#DIV/0!</v>
      </c>
      <c r="BE52" s="29" t="str">
        <f t="shared" si="55"/>
        <v>#DIV/0!</v>
      </c>
      <c r="BF52" s="29" t="str">
        <f t="shared" si="55"/>
        <v>#DIV/0!</v>
      </c>
      <c r="BG52" s="29" t="str">
        <f t="shared" si="55"/>
        <v>#DIV/0!</v>
      </c>
      <c r="BH52" s="29" t="str">
        <f t="shared" si="55"/>
        <v>#DIV/0!</v>
      </c>
      <c r="BI52" s="29" t="str">
        <f t="shared" si="55"/>
        <v>#DIV/0!</v>
      </c>
      <c r="BJ52" s="29" t="str">
        <f t="shared" si="55"/>
        <v>#DIV/0!</v>
      </c>
      <c r="BK52" s="29" t="str">
        <f t="shared" si="55"/>
        <v>#DIV/0!</v>
      </c>
      <c r="BL52" s="29" t="str">
        <f t="shared" si="55"/>
        <v>#DIV/0!</v>
      </c>
      <c r="BM52" s="29" t="str">
        <f t="shared" si="3"/>
        <v>#DIV/0!</v>
      </c>
    </row>
    <row r="53">
      <c r="A53" s="16" t="str">
        <f>IFERROR(__xludf.DUMMYFUNCTION("IFERROR(SPARKLINE(SORT(MAP(TRANSPOSE(AQ53:BL53), LAMBDA(val, IF(ISNUMBER(val), PERCENTRANK(AQ53:BL53, val)+0.01, 0))), SEQUENCE(COLUMNS(AQ53:BL53)), FALSE), {""charttype"",""column""; ""color"",""chartreuse""; ""ymin"", 0; ""ymax"", 1.01; ""highcolor"", "&amp;"""darkgreen""; ""lowcolor"", ""red""}), """")"),"")</f>
        <v/>
      </c>
      <c r="B53" s="17" t="str">
        <f t="shared" si="4"/>
        <v/>
      </c>
      <c r="C53" s="1" t="s">
        <v>2264</v>
      </c>
      <c r="D53" s="30" t="str">
        <f>IFERROR(__xludf.DUMMYFUNCTION("IFERROR(GOOGLEFINANCE(C53, ""NAME""))"),"Strategic Education Inc")</f>
        <v>Strategic Education Inc</v>
      </c>
      <c r="E53" s="30" t="s">
        <v>2069</v>
      </c>
      <c r="F53" s="33" t="str">
        <f>IFERROR(__xludf.DUMMYFUNCTION("( (GOOGLEFINANCE(C53, ""price"") - Q53) / Q53 ) / (R53 / 100)"),"Loading...")</f>
        <v>Loading...</v>
      </c>
      <c r="G53" s="20" t="str">
        <f>IFERROR(__xludf.DUMMYFUNCTION("AVERAGE(ARRAYFORMULA(100 * (QUERY(GOOGLEFINANCE(C53, ""high"", TODAY()-40, TODAY()), ""SELECT Col2 WHERE Col2 IS NOT NULL ORDER BY Col1 DESC LIMIT 20"", 0) / QUERY(GOOGLEFINANCE(C53, ""low"", TODAY()-40, TODAY()), ""SELECT Col2 WHERE Col2 IS NOT NULL ORDE"&amp;"R BY Col1 DESC LIMIT 20"", 0) - 1)))"),"#N/A")</f>
        <v>#N/A</v>
      </c>
      <c r="H53" s="35" t="str">
        <f t="shared" si="6"/>
        <v>Illiquid</v>
      </c>
      <c r="I53" s="36" t="str">
        <f t="shared" si="7"/>
        <v>RVol Required</v>
      </c>
      <c r="J53" s="37">
        <f>IFERROR(__xludf.DUMMYFUNCTION("IFERROR(
  IF(C53="""",, 
    IFERROR(
      GOOGLEFINANCE(C53, ""price"") * GOOGLEFINANCE(C53, ""volumeavg""), 
      GOOGLEFINANCE(C53, ""price"") * AVERAGE(QUERY(GOOGLEFINANCE(C53, ""volume"", TODAY()-40, TODAY()), ""SELECT Col2 WHERE Col2 IS NOT NULL "&amp;"ORDER BY Col1 DESC LIMIT 20"", 0))
    )
  ), 
"""")"),2.510274849E7)</f>
        <v>25102748.49</v>
      </c>
      <c r="K53" s="21">
        <f>IFERROR(__xludf.DUMMYFUNCTION("IFERROR(GOOGLEFINANCE(C53, ""changepct"") / 100, """")"),-0.0129)</f>
        <v>-0.0129</v>
      </c>
      <c r="L53" s="21" t="str">
        <f>IFERROR(__xludf.DUMMYFUNCTION("IFERROR((GOOGLEFINANCE(C53, ""price"") / INDEX(GOOGLEFINANCE(C53, ""price"", TODAY()-7, TODAY()), 2, 2)) - 1, """")"),"")</f>
        <v/>
      </c>
      <c r="M53" s="21" t="str">
        <f>IFERROR(__xludf.DUMMYFUNCTION("IFERROR((GOOGLEFINANCE(C53, ""price"") / INDEX(GOOGLEFINANCE(C53, ""price"", EDATE(TODAY(), -1), TODAY()), 2, 2)) - 1, """")"),"")</f>
        <v/>
      </c>
      <c r="N53" s="21" t="str">
        <f>IFERROR(__xludf.DUMMYFUNCTION("IFERROR((GOOGLEFINANCE(C53, ""price"") / INDEX(GOOGLEFINANCE(C53, ""price"", EDATE(TODAY(), -3), TODAY()), 2, 2)) - 1, """")"),"")</f>
        <v/>
      </c>
      <c r="O53" s="21" t="str">
        <f>IFERROR(__xludf.DUMMYFUNCTION("IFERROR((GOOGLEFINANCE(C53, ""price"") / INDEX(GOOGLEFINANCE(C53, ""price"", EDATE(TODAY(), -6), TODAY()), 2, 2)) - 1, """")"),"")</f>
        <v/>
      </c>
      <c r="P53" s="21" t="str">
        <f>IFERROR(__xludf.DUMMYFUNCTION("IFERROR((GOOGLEFINANCE(C53, ""price"") / INDEX(GOOGLEFINANCE(C53, ""price"", EDATE(TODAY(), -12), TODAY()), 2, 2)) - 1, """")"),"")</f>
        <v/>
      </c>
      <c r="Q53" s="6" t="str">
        <f>IFERROR(__xludf.DUMMYFUNCTION("AVERAGE(QUERY(GOOGLEFINANCE(C53, ""price"", TODAY()-80, TODAY()), ""SELECT Col2 WHERE Col2 IS NOT NULL ORDER BY Col1 DESC LIMIT 50"", 0))"),"#N/A")</f>
        <v>#N/A</v>
      </c>
      <c r="R53" s="24" t="str">
        <f>IFERROR(__xludf.DUMMYFUNCTION("IFERROR(
  LET(
    data, QUERY(GOOGLEFINANCE(C53,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GOOGLEFINANCE(C53, ""price"")) * 100,
    IF(calc=0, G53, calc)
  ), 
G53)"),"#N/A")</f>
        <v>#N/A</v>
      </c>
      <c r="S53" s="8" t="s">
        <v>15</v>
      </c>
      <c r="T53" s="26" t="str">
        <f>IFERROR(__xludf.DUMMYFUNCTION("IFERROR(TRANSPOSE(QUERY(IFERROR(SORT(GOOGLEFINANCE(C53, ""price"", WORKDAY(TODAY(), -40), TODAY()), 1, FALSE)), ""select Col2 where Col2 is not null limit 22 label Col2 ''"", 0)), """")"),"")</f>
        <v/>
      </c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8"/>
      <c r="AO53" s="28"/>
      <c r="AP53" s="29"/>
      <c r="AQ53" s="29" t="str">
        <f t="shared" ref="AQ53:BL53" si="56">T53/T$2</f>
        <v>#N/A</v>
      </c>
      <c r="AR53" s="29" t="str">
        <f t="shared" si="56"/>
        <v>#DIV/0!</v>
      </c>
      <c r="AS53" s="29" t="str">
        <f t="shared" si="56"/>
        <v>#DIV/0!</v>
      </c>
      <c r="AT53" s="29" t="str">
        <f t="shared" si="56"/>
        <v>#DIV/0!</v>
      </c>
      <c r="AU53" s="29" t="str">
        <f t="shared" si="56"/>
        <v>#DIV/0!</v>
      </c>
      <c r="AV53" s="29" t="str">
        <f t="shared" si="56"/>
        <v>#DIV/0!</v>
      </c>
      <c r="AW53" s="29" t="str">
        <f t="shared" si="56"/>
        <v>#DIV/0!</v>
      </c>
      <c r="AX53" s="29" t="str">
        <f t="shared" si="56"/>
        <v>#DIV/0!</v>
      </c>
      <c r="AY53" s="29" t="str">
        <f t="shared" si="56"/>
        <v>#DIV/0!</v>
      </c>
      <c r="AZ53" s="29" t="str">
        <f t="shared" si="56"/>
        <v>#DIV/0!</v>
      </c>
      <c r="BA53" s="29" t="str">
        <f t="shared" si="56"/>
        <v>#DIV/0!</v>
      </c>
      <c r="BB53" s="29" t="str">
        <f t="shared" si="56"/>
        <v>#DIV/0!</v>
      </c>
      <c r="BC53" s="29" t="str">
        <f t="shared" si="56"/>
        <v>#DIV/0!</v>
      </c>
      <c r="BD53" s="29" t="str">
        <f t="shared" si="56"/>
        <v>#DIV/0!</v>
      </c>
      <c r="BE53" s="29" t="str">
        <f t="shared" si="56"/>
        <v>#DIV/0!</v>
      </c>
      <c r="BF53" s="29" t="str">
        <f t="shared" si="56"/>
        <v>#DIV/0!</v>
      </c>
      <c r="BG53" s="29" t="str">
        <f t="shared" si="56"/>
        <v>#DIV/0!</v>
      </c>
      <c r="BH53" s="29" t="str">
        <f t="shared" si="56"/>
        <v>#DIV/0!</v>
      </c>
      <c r="BI53" s="29" t="str">
        <f t="shared" si="56"/>
        <v>#DIV/0!</v>
      </c>
      <c r="BJ53" s="29" t="str">
        <f t="shared" si="56"/>
        <v>#DIV/0!</v>
      </c>
      <c r="BK53" s="29" t="str">
        <f t="shared" si="56"/>
        <v>#DIV/0!</v>
      </c>
      <c r="BL53" s="29" t="str">
        <f t="shared" si="56"/>
        <v>#DIV/0!</v>
      </c>
      <c r="BM53" s="29" t="str">
        <f t="shared" si="3"/>
        <v>#DIV/0!</v>
      </c>
    </row>
    <row r="54">
      <c r="A54" s="16" t="str">
        <f>IFERROR(__xludf.DUMMYFUNCTION("IFERROR(SPARKLINE(SORT(MAP(TRANSPOSE(AQ54:BL54), LAMBDA(val, IF(ISNUMBER(val), PERCENTRANK(AQ54:BL54, val)+0.01, 0))), SEQUENCE(COLUMNS(AQ54:BL54)), FALSE), {""charttype"",""column""; ""color"",""chartreuse""; ""ymin"", 0; ""ymax"", 1.01; ""highcolor"", "&amp;"""darkgreen""; ""lowcolor"", ""red""}), """")"),"")</f>
        <v/>
      </c>
      <c r="B54" s="17" t="str">
        <f t="shared" si="4"/>
        <v/>
      </c>
      <c r="C54" s="1" t="s">
        <v>2268</v>
      </c>
      <c r="D54" s="30" t="str">
        <f>IFERROR(__xludf.DUMMYFUNCTION("IFERROR(GOOGLEFINANCE(C54, ""NAME""))"),"Costco Wholesale Corp")</f>
        <v>Costco Wholesale Corp</v>
      </c>
      <c r="E54" s="30" t="s">
        <v>2270</v>
      </c>
      <c r="F54" s="33" t="str">
        <f>IFERROR(__xludf.DUMMYFUNCTION("( (GOOGLEFINANCE(C54, ""price"") - Q54) / Q54 ) / (R54 / 100)"),"Loading...")</f>
        <v>Loading...</v>
      </c>
      <c r="G54" s="20" t="str">
        <f>IFERROR(__xludf.DUMMYFUNCTION("AVERAGE(ARRAYFORMULA(100 * (QUERY(GOOGLEFINANCE(C54, ""high"", TODAY()-40, TODAY()), ""SELECT Col2 WHERE Col2 IS NOT NULL ORDER BY Col1 DESC LIMIT 20"", 0) / QUERY(GOOGLEFINANCE(C54, ""low"", TODAY()-40, TODAY()), ""SELECT Col2 WHERE Col2 IS NOT NULL ORDE"&amp;"R BY Col1 DESC LIMIT 20"", 0) - 1)))"),"#N/A")</f>
        <v>#N/A</v>
      </c>
      <c r="H54" s="35" t="str">
        <f t="shared" si="6"/>
        <v>Liquid</v>
      </c>
      <c r="I54" s="36" t="str">
        <f t="shared" si="7"/>
        <v>No RVol Required</v>
      </c>
      <c r="J54" s="37">
        <f>IFERROR(__xludf.DUMMYFUNCTION("IFERROR(
  IF(C54="""",, 
    IFERROR(
      GOOGLEFINANCE(C54, ""price"") * GOOGLEFINANCE(C54, ""volumeavg""), 
      GOOGLEFINANCE(C54, ""price"") * AVERAGE(QUERY(GOOGLEFINANCE(C54, ""volume"", TODAY()-40, TODAY()), ""SELECT Col2 WHERE Col2 IS NOT NULL "&amp;"ORDER BY Col1 DESC LIMIT 20"", 0))
    )
  ), 
"""")"),2.2635980172E9)</f>
        <v>2263598017</v>
      </c>
      <c r="K54" s="21">
        <f>IFERROR(__xludf.DUMMYFUNCTION("IFERROR(GOOGLEFINANCE(C54, ""changepct"") / 100, """")"),0.0113)</f>
        <v>0.0113</v>
      </c>
      <c r="L54" s="21" t="str">
        <f>IFERROR(__xludf.DUMMYFUNCTION("IFERROR((GOOGLEFINANCE(C54, ""price"") / INDEX(GOOGLEFINANCE(C54, ""price"", TODAY()-7, TODAY()), 2, 2)) - 1, """")"),"")</f>
        <v/>
      </c>
      <c r="M54" s="21" t="str">
        <f>IFERROR(__xludf.DUMMYFUNCTION("IFERROR((GOOGLEFINANCE(C54, ""price"") / INDEX(GOOGLEFINANCE(C54, ""price"", EDATE(TODAY(), -1), TODAY()), 2, 2)) - 1, """")"),"")</f>
        <v/>
      </c>
      <c r="N54" s="21" t="str">
        <f>IFERROR(__xludf.DUMMYFUNCTION("IFERROR((GOOGLEFINANCE(C54, ""price"") / INDEX(GOOGLEFINANCE(C54, ""price"", EDATE(TODAY(), -3), TODAY()), 2, 2)) - 1, """")"),"")</f>
        <v/>
      </c>
      <c r="O54" s="21" t="str">
        <f>IFERROR(__xludf.DUMMYFUNCTION("IFERROR((GOOGLEFINANCE(C54, ""price"") / INDEX(GOOGLEFINANCE(C54, ""price"", EDATE(TODAY(), -6), TODAY()), 2, 2)) - 1, """")"),"")</f>
        <v/>
      </c>
      <c r="P54" s="21" t="str">
        <f>IFERROR(__xludf.DUMMYFUNCTION("IFERROR((GOOGLEFINANCE(C54, ""price"") / INDEX(GOOGLEFINANCE(C54, ""price"", EDATE(TODAY(), -12), TODAY()), 2, 2)) - 1, """")"),"")</f>
        <v/>
      </c>
      <c r="Q54" s="6" t="str">
        <f>IFERROR(__xludf.DUMMYFUNCTION("AVERAGE(QUERY(GOOGLEFINANCE(C54, ""price"", TODAY()-80, TODAY()), ""SELECT Col2 WHERE Col2 IS NOT NULL ORDER BY Col1 DESC LIMIT 50"", 0))"),"#N/A")</f>
        <v>#N/A</v>
      </c>
      <c r="R54" s="24" t="str">
        <f>IFERROR(__xludf.DUMMYFUNCTION("IFERROR(
  LET(
    data, QUERY(GOOGLEFINANCE(C54,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GOOGLEFINANCE(C54, ""price"")) * 100,
    IF(calc=0, G54, calc)
  ), 
G54)"),"#N/A")</f>
        <v>#N/A</v>
      </c>
      <c r="S54" s="8" t="s">
        <v>15</v>
      </c>
      <c r="T54" s="26" t="str">
        <f>IFERROR(__xludf.DUMMYFUNCTION("IFERROR(TRANSPOSE(QUERY(IFERROR(SORT(GOOGLEFINANCE(C54, ""price"", WORKDAY(TODAY(), -40), TODAY()), 1, FALSE)), ""select Col2 where Col2 is not null limit 22 label Col2 ''"", 0)), """")"),"")</f>
        <v/>
      </c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8"/>
      <c r="AO54" s="28"/>
      <c r="AP54" s="29"/>
      <c r="AQ54" s="29" t="str">
        <f t="shared" ref="AQ54:BL54" si="57">T54/T$2</f>
        <v>#N/A</v>
      </c>
      <c r="AR54" s="29" t="str">
        <f t="shared" si="57"/>
        <v>#DIV/0!</v>
      </c>
      <c r="AS54" s="29" t="str">
        <f t="shared" si="57"/>
        <v>#DIV/0!</v>
      </c>
      <c r="AT54" s="29" t="str">
        <f t="shared" si="57"/>
        <v>#DIV/0!</v>
      </c>
      <c r="AU54" s="29" t="str">
        <f t="shared" si="57"/>
        <v>#DIV/0!</v>
      </c>
      <c r="AV54" s="29" t="str">
        <f t="shared" si="57"/>
        <v>#DIV/0!</v>
      </c>
      <c r="AW54" s="29" t="str">
        <f t="shared" si="57"/>
        <v>#DIV/0!</v>
      </c>
      <c r="AX54" s="29" t="str">
        <f t="shared" si="57"/>
        <v>#DIV/0!</v>
      </c>
      <c r="AY54" s="29" t="str">
        <f t="shared" si="57"/>
        <v>#DIV/0!</v>
      </c>
      <c r="AZ54" s="29" t="str">
        <f t="shared" si="57"/>
        <v>#DIV/0!</v>
      </c>
      <c r="BA54" s="29" t="str">
        <f t="shared" si="57"/>
        <v>#DIV/0!</v>
      </c>
      <c r="BB54" s="29" t="str">
        <f t="shared" si="57"/>
        <v>#DIV/0!</v>
      </c>
      <c r="BC54" s="29" t="str">
        <f t="shared" si="57"/>
        <v>#DIV/0!</v>
      </c>
      <c r="BD54" s="29" t="str">
        <f t="shared" si="57"/>
        <v>#DIV/0!</v>
      </c>
      <c r="BE54" s="29" t="str">
        <f t="shared" si="57"/>
        <v>#DIV/0!</v>
      </c>
      <c r="BF54" s="29" t="str">
        <f t="shared" si="57"/>
        <v>#DIV/0!</v>
      </c>
      <c r="BG54" s="29" t="str">
        <f t="shared" si="57"/>
        <v>#DIV/0!</v>
      </c>
      <c r="BH54" s="29" t="str">
        <f t="shared" si="57"/>
        <v>#DIV/0!</v>
      </c>
      <c r="BI54" s="29" t="str">
        <f t="shared" si="57"/>
        <v>#DIV/0!</v>
      </c>
      <c r="BJ54" s="29" t="str">
        <f t="shared" si="57"/>
        <v>#DIV/0!</v>
      </c>
      <c r="BK54" s="29" t="str">
        <f t="shared" si="57"/>
        <v>#DIV/0!</v>
      </c>
      <c r="BL54" s="29" t="str">
        <f t="shared" si="57"/>
        <v>#DIV/0!</v>
      </c>
      <c r="BM54" s="29" t="str">
        <f t="shared" si="3"/>
        <v>#DIV/0!</v>
      </c>
    </row>
    <row r="55">
      <c r="A55" s="16" t="str">
        <f>IFERROR(__xludf.DUMMYFUNCTION("IFERROR(SPARKLINE(SORT(MAP(TRANSPOSE(AQ55:BL55), LAMBDA(val, IF(ISNUMBER(val), PERCENTRANK(AQ55:BL55, val)+0.01, 0))), SEQUENCE(COLUMNS(AQ55:BL55)), FALSE), {""charttype"",""column""; ""color"",""chartreuse""; ""ymin"", 0; ""ymax"", 1.01; ""highcolor"", "&amp;"""darkgreen""; ""lowcolor"", ""red""}), """")"),"")</f>
        <v/>
      </c>
      <c r="B55" s="17" t="str">
        <f t="shared" si="4"/>
        <v/>
      </c>
      <c r="C55" s="1" t="s">
        <v>2274</v>
      </c>
      <c r="D55" s="30" t="str">
        <f>IFERROR(__xludf.DUMMYFUNCTION("IFERROR(GOOGLEFINANCE(C55, ""NAME""))"),"Bunge Global SA")</f>
        <v>Bunge Global SA</v>
      </c>
      <c r="E55" s="30" t="s">
        <v>2115</v>
      </c>
      <c r="F55" s="38" t="str">
        <f>IFERROR(__xludf.DUMMYFUNCTION("( (GOOGLEFINANCE(C55, ""price"") - Q55) / Q55 ) / (R55 / 100)"),"Loading...")</f>
        <v>Loading...</v>
      </c>
      <c r="G55" s="20" t="str">
        <f>IFERROR(__xludf.DUMMYFUNCTION("AVERAGE(ARRAYFORMULA(100 * (QUERY(GOOGLEFINANCE(C55, ""high"", TODAY()-40, TODAY()), ""SELECT Col2 WHERE Col2 IS NOT NULL ORDER BY Col1 DESC LIMIT 20"", 0) / QUERY(GOOGLEFINANCE(C55, ""low"", TODAY()-40, TODAY()), ""SELECT Col2 WHERE Col2 IS NOT NULL ORDE"&amp;"R BY Col1 DESC LIMIT 20"", 0) - 1)))"),"#N/A")</f>
        <v>#N/A</v>
      </c>
      <c r="H55" s="35" t="str">
        <f t="shared" si="6"/>
        <v>Liquid</v>
      </c>
      <c r="I55" s="36" t="str">
        <f t="shared" si="7"/>
        <v>RVol Required</v>
      </c>
      <c r="J55" s="37">
        <f>IFERROR(__xludf.DUMMYFUNCTION("IFERROR(
  IF(C55="""",, 
    IFERROR(
      GOOGLEFINANCE(C55, ""price"") * GOOGLEFINANCE(C55, ""volumeavg""), 
      GOOGLEFINANCE(C55, ""price"") * AVERAGE(QUERY(GOOGLEFINANCE(C55, ""volume"", TODAY()-40, TODAY()), ""SELECT Col2 WHERE Col2 IS NOT NULL "&amp;"ORDER BY Col1 DESC LIMIT 20"", 0))
    )
  ), 
"""")"),1.9623439164000002E8)</f>
        <v>196234391.6</v>
      </c>
      <c r="K55" s="21">
        <f>IFERROR(__xludf.DUMMYFUNCTION("IFERROR(GOOGLEFINANCE(C55, ""changepct"") / 100, """")"),-0.008100000000000001)</f>
        <v>-0.0081</v>
      </c>
      <c r="L55" s="21" t="str">
        <f>IFERROR(__xludf.DUMMYFUNCTION("IFERROR((GOOGLEFINANCE(C55, ""price"") / INDEX(GOOGLEFINANCE(C55, ""price"", TODAY()-7, TODAY()), 2, 2)) - 1, """")"),"")</f>
        <v/>
      </c>
      <c r="M55" s="21" t="str">
        <f>IFERROR(__xludf.DUMMYFUNCTION("IFERROR((GOOGLEFINANCE(C55, ""price"") / INDEX(GOOGLEFINANCE(C55, ""price"", EDATE(TODAY(), -1), TODAY()), 2, 2)) - 1, """")"),"")</f>
        <v/>
      </c>
      <c r="N55" s="21" t="str">
        <f>IFERROR(__xludf.DUMMYFUNCTION("IFERROR((GOOGLEFINANCE(C55, ""price"") / INDEX(GOOGLEFINANCE(C55, ""price"", EDATE(TODAY(), -3), TODAY()), 2, 2)) - 1, """")"),"")</f>
        <v/>
      </c>
      <c r="O55" s="21" t="str">
        <f>IFERROR(__xludf.DUMMYFUNCTION("IFERROR((GOOGLEFINANCE(C55, ""price"") / INDEX(GOOGLEFINANCE(C55, ""price"", EDATE(TODAY(), -6), TODAY()), 2, 2)) - 1, """")"),"")</f>
        <v/>
      </c>
      <c r="P55" s="21" t="str">
        <f>IFERROR(__xludf.DUMMYFUNCTION("IFERROR((GOOGLEFINANCE(C55, ""price"") / INDEX(GOOGLEFINANCE(C55, ""price"", EDATE(TODAY(), -12), TODAY()), 2, 2)) - 1, """")"),"")</f>
        <v/>
      </c>
      <c r="Q55" s="6" t="str">
        <f>IFERROR(__xludf.DUMMYFUNCTION("AVERAGE(QUERY(GOOGLEFINANCE(C55, ""price"", TODAY()-80, TODAY()), ""SELECT Col2 WHERE Col2 IS NOT NULL ORDER BY Col1 DESC LIMIT 50"", 0))"),"#N/A")</f>
        <v>#N/A</v>
      </c>
      <c r="R55" s="24" t="str">
        <f>IFERROR(__xludf.DUMMYFUNCTION("IFERROR(
  LET(
    data, QUERY(GOOGLEFINANCE(C55,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GOOGLEFINANCE(C55, ""price"")) * 100,
    IF(calc=0, G55, calc)
  ), 
G55)"),"#N/A")</f>
        <v>#N/A</v>
      </c>
      <c r="S55" s="8" t="s">
        <v>15</v>
      </c>
      <c r="T55" s="26" t="str">
        <f>IFERROR(__xludf.DUMMYFUNCTION("IFERROR(TRANSPOSE(QUERY(IFERROR(SORT(GOOGLEFINANCE(C55, ""price"", WORKDAY(TODAY(), -40), TODAY()), 1, FALSE)), ""select Col2 where Col2 is not null limit 22 label Col2 ''"", 0)), """")"),"")</f>
        <v/>
      </c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8"/>
      <c r="AO55" s="28"/>
      <c r="AP55" s="29"/>
      <c r="AQ55" s="29" t="str">
        <f t="shared" ref="AQ55:BL55" si="58">T55/T$2</f>
        <v>#N/A</v>
      </c>
      <c r="AR55" s="29" t="str">
        <f t="shared" si="58"/>
        <v>#DIV/0!</v>
      </c>
      <c r="AS55" s="29" t="str">
        <f t="shared" si="58"/>
        <v>#DIV/0!</v>
      </c>
      <c r="AT55" s="29" t="str">
        <f t="shared" si="58"/>
        <v>#DIV/0!</v>
      </c>
      <c r="AU55" s="29" t="str">
        <f t="shared" si="58"/>
        <v>#DIV/0!</v>
      </c>
      <c r="AV55" s="29" t="str">
        <f t="shared" si="58"/>
        <v>#DIV/0!</v>
      </c>
      <c r="AW55" s="29" t="str">
        <f t="shared" si="58"/>
        <v>#DIV/0!</v>
      </c>
      <c r="AX55" s="29" t="str">
        <f t="shared" si="58"/>
        <v>#DIV/0!</v>
      </c>
      <c r="AY55" s="29" t="str">
        <f t="shared" si="58"/>
        <v>#DIV/0!</v>
      </c>
      <c r="AZ55" s="29" t="str">
        <f t="shared" si="58"/>
        <v>#DIV/0!</v>
      </c>
      <c r="BA55" s="29" t="str">
        <f t="shared" si="58"/>
        <v>#DIV/0!</v>
      </c>
      <c r="BB55" s="29" t="str">
        <f t="shared" si="58"/>
        <v>#DIV/0!</v>
      </c>
      <c r="BC55" s="29" t="str">
        <f t="shared" si="58"/>
        <v>#DIV/0!</v>
      </c>
      <c r="BD55" s="29" t="str">
        <f t="shared" si="58"/>
        <v>#DIV/0!</v>
      </c>
      <c r="BE55" s="29" t="str">
        <f t="shared" si="58"/>
        <v>#DIV/0!</v>
      </c>
      <c r="BF55" s="29" t="str">
        <f t="shared" si="58"/>
        <v>#DIV/0!</v>
      </c>
      <c r="BG55" s="29" t="str">
        <f t="shared" si="58"/>
        <v>#DIV/0!</v>
      </c>
      <c r="BH55" s="29" t="str">
        <f t="shared" si="58"/>
        <v>#DIV/0!</v>
      </c>
      <c r="BI55" s="29" t="str">
        <f t="shared" si="58"/>
        <v>#DIV/0!</v>
      </c>
      <c r="BJ55" s="29" t="str">
        <f t="shared" si="58"/>
        <v>#DIV/0!</v>
      </c>
      <c r="BK55" s="29" t="str">
        <f t="shared" si="58"/>
        <v>#DIV/0!</v>
      </c>
      <c r="BL55" s="29" t="str">
        <f t="shared" si="58"/>
        <v>#DIV/0!</v>
      </c>
      <c r="BM55" s="29" t="str">
        <f t="shared" si="3"/>
        <v>#DIV/0!</v>
      </c>
    </row>
    <row r="56">
      <c r="A56" s="16" t="str">
        <f>IFERROR(__xludf.DUMMYFUNCTION("IFERROR(SPARKLINE(SORT(MAP(TRANSPOSE(AQ56:BL56), LAMBDA(val, IF(ISNUMBER(val), PERCENTRANK(AQ56:BL56, val)+0.01, 0))), SEQUENCE(COLUMNS(AQ56:BL56)), FALSE), {""charttype"",""column""; ""color"",""chartreuse""; ""ymin"", 0; ""ymax"", 1.01; ""highcolor"", "&amp;"""darkgreen""; ""lowcolor"", ""red""}), """")"),"")</f>
        <v/>
      </c>
      <c r="B56" s="17" t="str">
        <f t="shared" si="4"/>
        <v/>
      </c>
      <c r="C56" s="1" t="s">
        <v>2277</v>
      </c>
      <c r="D56" s="30" t="str">
        <f>IFERROR(__xludf.DUMMYFUNCTION("IFERROR(GOOGLEFINANCE(C56, ""NAME""))"),"Brown-Forman Corp Class B")</f>
        <v>Brown-Forman Corp Class B</v>
      </c>
      <c r="E56" s="30" t="s">
        <v>2176</v>
      </c>
      <c r="F56" s="33" t="str">
        <f>IFERROR(__xludf.DUMMYFUNCTION("( (GOOGLEFINANCE(C56, ""price"") - Q56) / Q56 ) / (R56 / 100)"),"Loading...")</f>
        <v>Loading...</v>
      </c>
      <c r="G56" s="20" t="str">
        <f>IFERROR(__xludf.DUMMYFUNCTION("AVERAGE(ARRAYFORMULA(100 * (QUERY(GOOGLEFINANCE(C56, ""high"", TODAY()-40, TODAY()), ""SELECT Col2 WHERE Col2 IS NOT NULL ORDER BY Col1 DESC LIMIT 20"", 0) / QUERY(GOOGLEFINANCE(C56, ""low"", TODAY()-40, TODAY()), ""SELECT Col2 WHERE Col2 IS NOT NULL ORDE"&amp;"R BY Col1 DESC LIMIT 20"", 0) - 1)))"),"#N/A")</f>
        <v>#N/A</v>
      </c>
      <c r="H56" s="35" t="str">
        <f t="shared" si="6"/>
        <v>Liquid</v>
      </c>
      <c r="I56" s="36" t="str">
        <f t="shared" si="7"/>
        <v>RVol Required</v>
      </c>
      <c r="J56" s="37">
        <f>IFERROR(__xludf.DUMMYFUNCTION("IFERROR(
  IF(C56="""",, 
    IFERROR(
      GOOGLEFINANCE(C56, ""price"") * GOOGLEFINANCE(C56, ""volumeavg""), 
      GOOGLEFINANCE(C56, ""price"") * AVERAGE(QUERY(GOOGLEFINANCE(C56, ""volume"", TODAY()-40, TODAY()), ""SELECT Col2 WHERE Col2 IS NOT NULL "&amp;"ORDER BY Col1 DESC LIMIT 20"", 0))
    )
  ), 
"""")"),7.643155536E7)</f>
        <v>76431555.36</v>
      </c>
      <c r="K56" s="21">
        <f>IFERROR(__xludf.DUMMYFUNCTION("IFERROR(GOOGLEFINANCE(C56, ""changepct"") / 100, """")"),0.0105)</f>
        <v>0.0105</v>
      </c>
      <c r="L56" s="21" t="str">
        <f>IFERROR(__xludf.DUMMYFUNCTION("IFERROR((GOOGLEFINANCE(C56, ""price"") / INDEX(GOOGLEFINANCE(C56, ""price"", TODAY()-7, TODAY()), 2, 2)) - 1, """")"),"")</f>
        <v/>
      </c>
      <c r="M56" s="21" t="str">
        <f>IFERROR(__xludf.DUMMYFUNCTION("IFERROR((GOOGLEFINANCE(C56, ""price"") / INDEX(GOOGLEFINANCE(C56, ""price"", EDATE(TODAY(), -1), TODAY()), 2, 2)) - 1, """")"),"")</f>
        <v/>
      </c>
      <c r="N56" s="21" t="str">
        <f>IFERROR(__xludf.DUMMYFUNCTION("IFERROR((GOOGLEFINANCE(C56, ""price"") / INDEX(GOOGLEFINANCE(C56, ""price"", EDATE(TODAY(), -3), TODAY()), 2, 2)) - 1, """")"),"")</f>
        <v/>
      </c>
      <c r="O56" s="21" t="str">
        <f>IFERROR(__xludf.DUMMYFUNCTION("IFERROR((GOOGLEFINANCE(C56, ""price"") / INDEX(GOOGLEFINANCE(C56, ""price"", EDATE(TODAY(), -6), TODAY()), 2, 2)) - 1, """")"),"")</f>
        <v/>
      </c>
      <c r="P56" s="21" t="str">
        <f>IFERROR(__xludf.DUMMYFUNCTION("IFERROR((GOOGLEFINANCE(C56, ""price"") / INDEX(GOOGLEFINANCE(C56, ""price"", EDATE(TODAY(), -12), TODAY()), 2, 2)) - 1, """")"),"")</f>
        <v/>
      </c>
      <c r="Q56" s="6" t="str">
        <f>IFERROR(__xludf.DUMMYFUNCTION("AVERAGE(QUERY(GOOGLEFINANCE(C56, ""price"", TODAY()-80, TODAY()), ""SELECT Col2 WHERE Col2 IS NOT NULL ORDER BY Col1 DESC LIMIT 50"", 0))"),"#N/A")</f>
        <v>#N/A</v>
      </c>
      <c r="R56" s="24" t="str">
        <f>IFERROR(__xludf.DUMMYFUNCTION("IFERROR(
  LET(
    data, QUERY(GOOGLEFINANCE(C56,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GOOGLEFINANCE(C56, ""price"")) * 100,
    IF(calc=0, G56, calc)
  ), 
G56)"),"#N/A")</f>
        <v>#N/A</v>
      </c>
      <c r="S56" s="8" t="s">
        <v>15</v>
      </c>
      <c r="T56" s="26" t="str">
        <f>IFERROR(__xludf.DUMMYFUNCTION("IFERROR(TRANSPOSE(QUERY(IFERROR(SORT(GOOGLEFINANCE(C56, ""price"", WORKDAY(TODAY(), -40), TODAY()), 1, FALSE)), ""select Col2 where Col2 is not null limit 22 label Col2 ''"", 0)), """")"),"")</f>
        <v/>
      </c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8"/>
      <c r="AO56" s="28"/>
      <c r="AP56" s="29"/>
      <c r="AQ56" s="29" t="str">
        <f t="shared" ref="AQ56:BL56" si="59">T56/T$2</f>
        <v>#N/A</v>
      </c>
      <c r="AR56" s="29" t="str">
        <f t="shared" si="59"/>
        <v>#DIV/0!</v>
      </c>
      <c r="AS56" s="29" t="str">
        <f t="shared" si="59"/>
        <v>#DIV/0!</v>
      </c>
      <c r="AT56" s="29" t="str">
        <f t="shared" si="59"/>
        <v>#DIV/0!</v>
      </c>
      <c r="AU56" s="29" t="str">
        <f t="shared" si="59"/>
        <v>#DIV/0!</v>
      </c>
      <c r="AV56" s="29" t="str">
        <f t="shared" si="59"/>
        <v>#DIV/0!</v>
      </c>
      <c r="AW56" s="29" t="str">
        <f t="shared" si="59"/>
        <v>#DIV/0!</v>
      </c>
      <c r="AX56" s="29" t="str">
        <f t="shared" si="59"/>
        <v>#DIV/0!</v>
      </c>
      <c r="AY56" s="29" t="str">
        <f t="shared" si="59"/>
        <v>#DIV/0!</v>
      </c>
      <c r="AZ56" s="29" t="str">
        <f t="shared" si="59"/>
        <v>#DIV/0!</v>
      </c>
      <c r="BA56" s="29" t="str">
        <f t="shared" si="59"/>
        <v>#DIV/0!</v>
      </c>
      <c r="BB56" s="29" t="str">
        <f t="shared" si="59"/>
        <v>#DIV/0!</v>
      </c>
      <c r="BC56" s="29" t="str">
        <f t="shared" si="59"/>
        <v>#DIV/0!</v>
      </c>
      <c r="BD56" s="29" t="str">
        <f t="shared" si="59"/>
        <v>#DIV/0!</v>
      </c>
      <c r="BE56" s="29" t="str">
        <f t="shared" si="59"/>
        <v>#DIV/0!</v>
      </c>
      <c r="BF56" s="29" t="str">
        <f t="shared" si="59"/>
        <v>#DIV/0!</v>
      </c>
      <c r="BG56" s="29" t="str">
        <f t="shared" si="59"/>
        <v>#DIV/0!</v>
      </c>
      <c r="BH56" s="29" t="str">
        <f t="shared" si="59"/>
        <v>#DIV/0!</v>
      </c>
      <c r="BI56" s="29" t="str">
        <f t="shared" si="59"/>
        <v>#DIV/0!</v>
      </c>
      <c r="BJ56" s="29" t="str">
        <f t="shared" si="59"/>
        <v>#DIV/0!</v>
      </c>
      <c r="BK56" s="29" t="str">
        <f t="shared" si="59"/>
        <v>#DIV/0!</v>
      </c>
      <c r="BL56" s="29" t="str">
        <f t="shared" si="59"/>
        <v>#DIV/0!</v>
      </c>
      <c r="BM56" s="29" t="str">
        <f t="shared" si="3"/>
        <v>#DIV/0!</v>
      </c>
    </row>
    <row r="57">
      <c r="A57" s="16" t="str">
        <f>IFERROR(__xludf.DUMMYFUNCTION("IFERROR(SPARKLINE(SORT(MAP(TRANSPOSE(AQ57:BL57), LAMBDA(val, IF(ISNUMBER(val), PERCENTRANK(AQ57:BL57, val)+0.01, 0))), SEQUENCE(COLUMNS(AQ57:BL57)), FALSE), {""charttype"",""column""; ""color"",""chartreuse""; ""ymin"", 0; ""ymax"", 1.01; ""highcolor"", "&amp;"""darkgreen""; ""lowcolor"", ""red""}), """")"),"")</f>
        <v/>
      </c>
      <c r="B57" s="17" t="str">
        <f t="shared" si="4"/>
        <v/>
      </c>
      <c r="C57" s="1" t="s">
        <v>2281</v>
      </c>
      <c r="D57" s="30" t="str">
        <f>IFERROR(__xludf.DUMMYFUNCTION("IFERROR(GOOGLEFINANCE(C57, ""NAME""))"),"Brown-Forman Corp Class A")</f>
        <v>Brown-Forman Corp Class A</v>
      </c>
      <c r="E57" s="30" t="s">
        <v>2176</v>
      </c>
      <c r="F57" s="33" t="str">
        <f>IFERROR(__xludf.DUMMYFUNCTION("( (GOOGLEFINANCE(C57, ""price"") - Q57) / Q57 ) / (R57 / 100)"),"Loading...")</f>
        <v>Loading...</v>
      </c>
      <c r="G57" s="20" t="str">
        <f>IFERROR(__xludf.DUMMYFUNCTION("AVERAGE(ARRAYFORMULA(100 * (QUERY(GOOGLEFINANCE(C57, ""high"", TODAY()-40, TODAY()), ""SELECT Col2 WHERE Col2 IS NOT NULL ORDER BY Col1 DESC LIMIT 20"", 0) / QUERY(GOOGLEFINANCE(C57, ""low"", TODAY()-40, TODAY()), ""SELECT Col2 WHERE Col2 IS NOT NULL ORDE"&amp;"R BY Col1 DESC LIMIT 20"", 0) - 1)))"),"#N/A")</f>
        <v>#N/A</v>
      </c>
      <c r="H57" s="35" t="str">
        <f t="shared" si="6"/>
        <v>Illiquid</v>
      </c>
      <c r="I57" s="36" t="str">
        <f t="shared" si="7"/>
        <v>RVol Required</v>
      </c>
      <c r="J57" s="37">
        <f>IFERROR(__xludf.DUMMYFUNCTION("IFERROR(
  IF(C57="""",, 
    IFERROR(
      GOOGLEFINANCE(C57, ""price"") * GOOGLEFINANCE(C57, ""volumeavg""), 
      GOOGLEFINANCE(C57, ""price"") * AVERAGE(QUERY(GOOGLEFINANCE(C57, ""volume"", TODAY()-40, TODAY()), ""SELECT Col2 WHERE Col2 IS NOT NULL "&amp;"ORDER BY Col1 DESC LIMIT 20"", 0))
    )
  ), 
"""")"),5051241.0600000005)</f>
        <v>5051241.06</v>
      </c>
      <c r="K57" s="21">
        <f>IFERROR(__xludf.DUMMYFUNCTION("IFERROR(GOOGLEFINANCE(C57, ""changepct"") / 100, """")"),0.0113)</f>
        <v>0.0113</v>
      </c>
      <c r="L57" s="21" t="str">
        <f>IFERROR(__xludf.DUMMYFUNCTION("IFERROR((GOOGLEFINANCE(C57, ""price"") / INDEX(GOOGLEFINANCE(C57, ""price"", TODAY()-7, TODAY()), 2, 2)) - 1, """")"),"")</f>
        <v/>
      </c>
      <c r="M57" s="21" t="str">
        <f>IFERROR(__xludf.DUMMYFUNCTION("IFERROR((GOOGLEFINANCE(C57, ""price"") / INDEX(GOOGLEFINANCE(C57, ""price"", EDATE(TODAY(), -1), TODAY()), 2, 2)) - 1, """")"),"")</f>
        <v/>
      </c>
      <c r="N57" s="21" t="str">
        <f>IFERROR(__xludf.DUMMYFUNCTION("IFERROR((GOOGLEFINANCE(C57, ""price"") / INDEX(GOOGLEFINANCE(C57, ""price"", EDATE(TODAY(), -3), TODAY()), 2, 2)) - 1, """")"),"")</f>
        <v/>
      </c>
      <c r="O57" s="21" t="str">
        <f>IFERROR(__xludf.DUMMYFUNCTION("IFERROR((GOOGLEFINANCE(C57, ""price"") / INDEX(GOOGLEFINANCE(C57, ""price"", EDATE(TODAY(), -6), TODAY()), 2, 2)) - 1, """")"),"")</f>
        <v/>
      </c>
      <c r="P57" s="21" t="str">
        <f>IFERROR(__xludf.DUMMYFUNCTION("IFERROR((GOOGLEFINANCE(C57, ""price"") / INDEX(GOOGLEFINANCE(C57, ""price"", EDATE(TODAY(), -12), TODAY()), 2, 2)) - 1, """")"),"")</f>
        <v/>
      </c>
      <c r="Q57" s="6" t="str">
        <f>IFERROR(__xludf.DUMMYFUNCTION("AVERAGE(QUERY(GOOGLEFINANCE(C57, ""price"", TODAY()-80, TODAY()), ""SELECT Col2 WHERE Col2 IS NOT NULL ORDER BY Col1 DESC LIMIT 50"", 0))"),"#N/A")</f>
        <v>#N/A</v>
      </c>
      <c r="R57" s="24" t="str">
        <f>IFERROR(__xludf.DUMMYFUNCTION("IFERROR(
  LET(
    data, QUERY(GOOGLEFINANCE(C57,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GOOGLEFINANCE(C57, ""price"")) * 100,
    IF(calc=0, G57, calc)
  ), 
G57)"),"#N/A")</f>
        <v>#N/A</v>
      </c>
      <c r="S57" s="8" t="s">
        <v>15</v>
      </c>
      <c r="T57" s="26" t="str">
        <f>IFERROR(__xludf.DUMMYFUNCTION("IFERROR(TRANSPOSE(QUERY(IFERROR(SORT(GOOGLEFINANCE(C57, ""price"", WORKDAY(TODAY(), -40), TODAY()), 1, FALSE)), ""select Col2 where Col2 is not null limit 22 label Col2 ''"", 0)), """")"),"")</f>
        <v/>
      </c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8"/>
      <c r="AO57" s="28"/>
      <c r="AP57" s="29"/>
      <c r="AQ57" s="29" t="str">
        <f t="shared" ref="AQ57:BL57" si="60">T57/T$2</f>
        <v>#N/A</v>
      </c>
      <c r="AR57" s="29" t="str">
        <f t="shared" si="60"/>
        <v>#DIV/0!</v>
      </c>
      <c r="AS57" s="29" t="str">
        <f t="shared" si="60"/>
        <v>#DIV/0!</v>
      </c>
      <c r="AT57" s="29" t="str">
        <f t="shared" si="60"/>
        <v>#DIV/0!</v>
      </c>
      <c r="AU57" s="29" t="str">
        <f t="shared" si="60"/>
        <v>#DIV/0!</v>
      </c>
      <c r="AV57" s="29" t="str">
        <f t="shared" si="60"/>
        <v>#DIV/0!</v>
      </c>
      <c r="AW57" s="29" t="str">
        <f t="shared" si="60"/>
        <v>#DIV/0!</v>
      </c>
      <c r="AX57" s="29" t="str">
        <f t="shared" si="60"/>
        <v>#DIV/0!</v>
      </c>
      <c r="AY57" s="29" t="str">
        <f t="shared" si="60"/>
        <v>#DIV/0!</v>
      </c>
      <c r="AZ57" s="29" t="str">
        <f t="shared" si="60"/>
        <v>#DIV/0!</v>
      </c>
      <c r="BA57" s="29" t="str">
        <f t="shared" si="60"/>
        <v>#DIV/0!</v>
      </c>
      <c r="BB57" s="29" t="str">
        <f t="shared" si="60"/>
        <v>#DIV/0!</v>
      </c>
      <c r="BC57" s="29" t="str">
        <f t="shared" si="60"/>
        <v>#DIV/0!</v>
      </c>
      <c r="BD57" s="29" t="str">
        <f t="shared" si="60"/>
        <v>#DIV/0!</v>
      </c>
      <c r="BE57" s="29" t="str">
        <f t="shared" si="60"/>
        <v>#DIV/0!</v>
      </c>
      <c r="BF57" s="29" t="str">
        <f t="shared" si="60"/>
        <v>#DIV/0!</v>
      </c>
      <c r="BG57" s="29" t="str">
        <f t="shared" si="60"/>
        <v>#DIV/0!</v>
      </c>
      <c r="BH57" s="29" t="str">
        <f t="shared" si="60"/>
        <v>#DIV/0!</v>
      </c>
      <c r="BI57" s="29" t="str">
        <f t="shared" si="60"/>
        <v>#DIV/0!</v>
      </c>
      <c r="BJ57" s="29" t="str">
        <f t="shared" si="60"/>
        <v>#DIV/0!</v>
      </c>
      <c r="BK57" s="29" t="str">
        <f t="shared" si="60"/>
        <v>#DIV/0!</v>
      </c>
      <c r="BL57" s="29" t="str">
        <f t="shared" si="60"/>
        <v>#DIV/0!</v>
      </c>
      <c r="BM57" s="29" t="str">
        <f t="shared" si="3"/>
        <v>#DIV/0!</v>
      </c>
    </row>
    <row r="58">
      <c r="A58" s="16" t="str">
        <f>IFERROR(__xludf.DUMMYFUNCTION("IFERROR(SPARKLINE(SORT(MAP(TRANSPOSE(AQ58:BL58), LAMBDA(val, IF(ISNUMBER(val), PERCENTRANK(AQ58:BL58, val)+0.01, 0))), SEQUENCE(COLUMNS(AQ58:BL58)), FALSE), {""charttype"",""column""; ""color"",""chartreuse""; ""ymin"", 0; ""ymax"", 1.01; ""highcolor"", "&amp;"""darkgreen""; ""lowcolor"", ""red""}), """")"),"")</f>
        <v/>
      </c>
      <c r="B58" s="17" t="str">
        <f t="shared" si="4"/>
        <v/>
      </c>
      <c r="C58" s="1" t="s">
        <v>2284</v>
      </c>
      <c r="D58" s="30" t="str">
        <f>IFERROR(__xludf.DUMMYFUNCTION("IFERROR(GOOGLEFINANCE(C58, ""NAME""))"),"RLX Technology Inc - ADR")</f>
        <v>RLX Technology Inc - ADR</v>
      </c>
      <c r="E58" s="30" t="s">
        <v>2074</v>
      </c>
      <c r="F58" s="33" t="str">
        <f>IFERROR(__xludf.DUMMYFUNCTION("( (GOOGLEFINANCE(C58, ""price"") - Q58) / Q58 ) / (R58 / 100)"),"Loading...")</f>
        <v>Loading...</v>
      </c>
      <c r="G58" s="20" t="str">
        <f>IFERROR(__xludf.DUMMYFUNCTION("AVERAGE(ARRAYFORMULA(100 * (QUERY(GOOGLEFINANCE(C58, ""high"", TODAY()-40, TODAY()), ""SELECT Col2 WHERE Col2 IS NOT NULL ORDER BY Col1 DESC LIMIT 20"", 0) / QUERY(GOOGLEFINANCE(C58, ""low"", TODAY()-40, TODAY()), ""SELECT Col2 WHERE Col2 IS NOT NULL ORDE"&amp;"R BY Col1 DESC LIMIT 20"", 0) - 1)))"),"#N/A")</f>
        <v>#N/A</v>
      </c>
      <c r="H58" s="35" t="str">
        <f t="shared" si="6"/>
        <v>Illiquid</v>
      </c>
      <c r="I58" s="36" t="str">
        <f t="shared" si="7"/>
        <v>RVol Required</v>
      </c>
      <c r="J58" s="37">
        <f>IFERROR(__xludf.DUMMYFUNCTION("IFERROR(
  IF(C58="""",, 
    IFERROR(
      GOOGLEFINANCE(C58, ""price"") * GOOGLEFINANCE(C58, ""volumeavg""), 
      GOOGLEFINANCE(C58, ""price"") * AVERAGE(QUERY(GOOGLEFINANCE(C58, ""volume"", TODAY()-40, TODAY()), ""SELECT Col2 WHERE Col2 IS NOT NULL "&amp;"ORDER BY Col1 DESC LIMIT 20"", 0))
    )
  ), 
"""")"),6188023.8)</f>
        <v>6188023.8</v>
      </c>
      <c r="K58" s="21">
        <f>IFERROR(__xludf.DUMMYFUNCTION("IFERROR(GOOGLEFINANCE(C58, ""changepct"") / 100, """")"),-0.0058)</f>
        <v>-0.0058</v>
      </c>
      <c r="L58" s="21" t="str">
        <f>IFERROR(__xludf.DUMMYFUNCTION("IFERROR((GOOGLEFINANCE(C58, ""price"") / INDEX(GOOGLEFINANCE(C58, ""price"", TODAY()-7, TODAY()), 2, 2)) - 1, """")"),"")</f>
        <v/>
      </c>
      <c r="M58" s="21" t="str">
        <f>IFERROR(__xludf.DUMMYFUNCTION("IFERROR((GOOGLEFINANCE(C58, ""price"") / INDEX(GOOGLEFINANCE(C58, ""price"", EDATE(TODAY(), -1), TODAY()), 2, 2)) - 1, """")"),"")</f>
        <v/>
      </c>
      <c r="N58" s="21" t="str">
        <f>IFERROR(__xludf.DUMMYFUNCTION("IFERROR((GOOGLEFINANCE(C58, ""price"") / INDEX(GOOGLEFINANCE(C58, ""price"", EDATE(TODAY(), -3), TODAY()), 2, 2)) - 1, """")"),"")</f>
        <v/>
      </c>
      <c r="O58" s="21" t="str">
        <f>IFERROR(__xludf.DUMMYFUNCTION("IFERROR((GOOGLEFINANCE(C58, ""price"") / INDEX(GOOGLEFINANCE(C58, ""price"", EDATE(TODAY(), -6), TODAY()), 2, 2)) - 1, """")"),"")</f>
        <v/>
      </c>
      <c r="P58" s="21" t="str">
        <f>IFERROR(__xludf.DUMMYFUNCTION("IFERROR((GOOGLEFINANCE(C58, ""price"") / INDEX(GOOGLEFINANCE(C58, ""price"", EDATE(TODAY(), -12), TODAY()), 2, 2)) - 1, """")"),"")</f>
        <v/>
      </c>
      <c r="Q58" s="6" t="str">
        <f>IFERROR(__xludf.DUMMYFUNCTION("AVERAGE(QUERY(GOOGLEFINANCE(C58, ""price"", TODAY()-80, TODAY()), ""SELECT Col2 WHERE Col2 IS NOT NULL ORDER BY Col1 DESC LIMIT 50"", 0))"),"#N/A")</f>
        <v>#N/A</v>
      </c>
      <c r="R58" s="24" t="str">
        <f>IFERROR(__xludf.DUMMYFUNCTION("IFERROR(
  LET(
    data, QUERY(GOOGLEFINANCE(C58,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GOOGLEFINANCE(C58, ""price"")) * 100,
    IF(calc=0, G58, calc)
  ), 
G58)"),"#N/A")</f>
        <v>#N/A</v>
      </c>
      <c r="S58" s="8" t="s">
        <v>15</v>
      </c>
      <c r="T58" s="26" t="str">
        <f>IFERROR(__xludf.DUMMYFUNCTION("IFERROR(TRANSPOSE(QUERY(IFERROR(SORT(GOOGLEFINANCE(C58, ""price"", WORKDAY(TODAY(), -40), TODAY()), 1, FALSE)), ""select Col2 where Col2 is not null limit 22 label Col2 ''"", 0)), """")"),"")</f>
        <v/>
      </c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8"/>
      <c r="AO58" s="28"/>
      <c r="AP58" s="29"/>
      <c r="AQ58" s="29" t="str">
        <f t="shared" ref="AQ58:BL58" si="61">T58/T$2</f>
        <v>#N/A</v>
      </c>
      <c r="AR58" s="29" t="str">
        <f t="shared" si="61"/>
        <v>#DIV/0!</v>
      </c>
      <c r="AS58" s="29" t="str">
        <f t="shared" si="61"/>
        <v>#DIV/0!</v>
      </c>
      <c r="AT58" s="29" t="str">
        <f t="shared" si="61"/>
        <v>#DIV/0!</v>
      </c>
      <c r="AU58" s="29" t="str">
        <f t="shared" si="61"/>
        <v>#DIV/0!</v>
      </c>
      <c r="AV58" s="29" t="str">
        <f t="shared" si="61"/>
        <v>#DIV/0!</v>
      </c>
      <c r="AW58" s="29" t="str">
        <f t="shared" si="61"/>
        <v>#DIV/0!</v>
      </c>
      <c r="AX58" s="29" t="str">
        <f t="shared" si="61"/>
        <v>#DIV/0!</v>
      </c>
      <c r="AY58" s="29" t="str">
        <f t="shared" si="61"/>
        <v>#DIV/0!</v>
      </c>
      <c r="AZ58" s="29" t="str">
        <f t="shared" si="61"/>
        <v>#DIV/0!</v>
      </c>
      <c r="BA58" s="29" t="str">
        <f t="shared" si="61"/>
        <v>#DIV/0!</v>
      </c>
      <c r="BB58" s="29" t="str">
        <f t="shared" si="61"/>
        <v>#DIV/0!</v>
      </c>
      <c r="BC58" s="29" t="str">
        <f t="shared" si="61"/>
        <v>#DIV/0!</v>
      </c>
      <c r="BD58" s="29" t="str">
        <f t="shared" si="61"/>
        <v>#DIV/0!</v>
      </c>
      <c r="BE58" s="29" t="str">
        <f t="shared" si="61"/>
        <v>#DIV/0!</v>
      </c>
      <c r="BF58" s="29" t="str">
        <f t="shared" si="61"/>
        <v>#DIV/0!</v>
      </c>
      <c r="BG58" s="29" t="str">
        <f t="shared" si="61"/>
        <v>#DIV/0!</v>
      </c>
      <c r="BH58" s="29" t="str">
        <f t="shared" si="61"/>
        <v>#DIV/0!</v>
      </c>
      <c r="BI58" s="29" t="str">
        <f t="shared" si="61"/>
        <v>#DIV/0!</v>
      </c>
      <c r="BJ58" s="29" t="str">
        <f t="shared" si="61"/>
        <v>#DIV/0!</v>
      </c>
      <c r="BK58" s="29" t="str">
        <f t="shared" si="61"/>
        <v>#DIV/0!</v>
      </c>
      <c r="BL58" s="29" t="str">
        <f t="shared" si="61"/>
        <v>#DIV/0!</v>
      </c>
      <c r="BM58" s="29" t="str">
        <f t="shared" si="3"/>
        <v>#DIV/0!</v>
      </c>
    </row>
    <row r="59">
      <c r="A59" s="16" t="str">
        <f>IFERROR(__xludf.DUMMYFUNCTION("IFERROR(SPARKLINE(SORT(MAP(TRANSPOSE(AQ59:BL59), LAMBDA(val, IF(ISNUMBER(val), PERCENTRANK(AQ59:BL59, val)+0.01, 0))), SEQUENCE(COLUMNS(AQ59:BL59)), FALSE), {""charttype"",""column""; ""color"",""chartreuse""; ""ymin"", 0; ""ymax"", 1.01; ""highcolor"", "&amp;"""darkgreen""; ""lowcolor"", ""red""}), """")"),"")</f>
        <v/>
      </c>
      <c r="B59" s="17" t="str">
        <f t="shared" si="4"/>
        <v/>
      </c>
      <c r="C59" s="1" t="s">
        <v>2288</v>
      </c>
      <c r="D59" s="30" t="str">
        <f>IFERROR(__xludf.DUMMYFUNCTION("IFERROR(GOOGLEFINANCE(C59, ""NAME""))"),"National Beverage Corp")</f>
        <v>National Beverage Corp</v>
      </c>
      <c r="E59" s="30" t="s">
        <v>2083</v>
      </c>
      <c r="F59" s="38" t="str">
        <f>IFERROR(__xludf.DUMMYFUNCTION("( (GOOGLEFINANCE(C59, ""price"") - Q59) / Q59 ) / (R59 / 100)"),"Loading...")</f>
        <v>Loading...</v>
      </c>
      <c r="G59" s="20" t="str">
        <f>IFERROR(__xludf.DUMMYFUNCTION("AVERAGE(ARRAYFORMULA(100 * (QUERY(GOOGLEFINANCE(C59, ""high"", TODAY()-40, TODAY()), ""SELECT Col2 WHERE Col2 IS NOT NULL ORDER BY Col1 DESC LIMIT 20"", 0) / QUERY(GOOGLEFINANCE(C59, ""low"", TODAY()-40, TODAY()), ""SELECT Col2 WHERE Col2 IS NOT NULL ORDE"&amp;"R BY Col1 DESC LIMIT 20"", 0) - 1)))"),"#N/A")</f>
        <v>#N/A</v>
      </c>
      <c r="H59" s="35" t="str">
        <f t="shared" si="6"/>
        <v>Illiquid</v>
      </c>
      <c r="I59" s="36" t="str">
        <f t="shared" si="7"/>
        <v>RVol Required</v>
      </c>
      <c r="J59" s="37">
        <f>IFERROR(__xludf.DUMMYFUNCTION("IFERROR(
  IF(C59="""",, 
    IFERROR(
      GOOGLEFINANCE(C59, ""price"") * GOOGLEFINANCE(C59, ""volumeavg""), 
      GOOGLEFINANCE(C59, ""price"") * AVERAGE(QUERY(GOOGLEFINANCE(C59, ""volume"", TODAY()-40, TODAY()), ""SELECT Col2 WHERE Col2 IS NOT NULL "&amp;"ORDER BY Col1 DESC LIMIT 20"", 0))
    )
  ), 
"""")"),1.54306448E7)</f>
        <v>15430644.8</v>
      </c>
      <c r="K59" s="21">
        <f>IFERROR(__xludf.DUMMYFUNCTION("IFERROR(GOOGLEFINANCE(C59, ""changepct"") / 100, """")"),0.0189)</f>
        <v>0.0189</v>
      </c>
      <c r="L59" s="21" t="str">
        <f>IFERROR(__xludf.DUMMYFUNCTION("IFERROR((GOOGLEFINANCE(C59, ""price"") / INDEX(GOOGLEFINANCE(C59, ""price"", TODAY()-7, TODAY()), 2, 2)) - 1, """")"),"")</f>
        <v/>
      </c>
      <c r="M59" s="21" t="str">
        <f>IFERROR(__xludf.DUMMYFUNCTION("IFERROR((GOOGLEFINANCE(C59, ""price"") / INDEX(GOOGLEFINANCE(C59, ""price"", EDATE(TODAY(), -1), TODAY()), 2, 2)) - 1, """")"),"")</f>
        <v/>
      </c>
      <c r="N59" s="21" t="str">
        <f>IFERROR(__xludf.DUMMYFUNCTION("IFERROR((GOOGLEFINANCE(C59, ""price"") / INDEX(GOOGLEFINANCE(C59, ""price"", EDATE(TODAY(), -3), TODAY()), 2, 2)) - 1, """")"),"")</f>
        <v/>
      </c>
      <c r="O59" s="21" t="str">
        <f>IFERROR(__xludf.DUMMYFUNCTION("IFERROR((GOOGLEFINANCE(C59, ""price"") / INDEX(GOOGLEFINANCE(C59, ""price"", EDATE(TODAY(), -6), TODAY()), 2, 2)) - 1, """")"),"")</f>
        <v/>
      </c>
      <c r="P59" s="21" t="str">
        <f>IFERROR(__xludf.DUMMYFUNCTION("IFERROR((GOOGLEFINANCE(C59, ""price"") / INDEX(GOOGLEFINANCE(C59, ""price"", EDATE(TODAY(), -12), TODAY()), 2, 2)) - 1, """")"),"")</f>
        <v/>
      </c>
      <c r="Q59" s="6" t="str">
        <f>IFERROR(__xludf.DUMMYFUNCTION("AVERAGE(QUERY(GOOGLEFINANCE(C59, ""price"", TODAY()-80, TODAY()), ""SELECT Col2 WHERE Col2 IS NOT NULL ORDER BY Col1 DESC LIMIT 50"", 0))"),"#N/A")</f>
        <v>#N/A</v>
      </c>
      <c r="R59" s="24" t="str">
        <f>IFERROR(__xludf.DUMMYFUNCTION("IFERROR(
  LET(
    data, QUERY(GOOGLEFINANCE(C59,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GOOGLEFINANCE(C59, ""price"")) * 100,
    IF(calc=0, G59, calc)
  ), 
G59)"),"#N/A")</f>
        <v>#N/A</v>
      </c>
      <c r="S59" s="8" t="s">
        <v>15</v>
      </c>
      <c r="T59" s="26" t="str">
        <f>IFERROR(__xludf.DUMMYFUNCTION("IFERROR(TRANSPOSE(QUERY(IFERROR(SORT(GOOGLEFINANCE(C59, ""price"", WORKDAY(TODAY(), -40), TODAY()), 1, FALSE)), ""select Col2 where Col2 is not null limit 22 label Col2 ''"", 0)), """")"),"")</f>
        <v/>
      </c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8"/>
      <c r="AO59" s="28"/>
      <c r="AP59" s="29"/>
      <c r="AQ59" s="29" t="str">
        <f t="shared" ref="AQ59:BL59" si="62">T59/T$2</f>
        <v>#N/A</v>
      </c>
      <c r="AR59" s="29" t="str">
        <f t="shared" si="62"/>
        <v>#DIV/0!</v>
      </c>
      <c r="AS59" s="29" t="str">
        <f t="shared" si="62"/>
        <v>#DIV/0!</v>
      </c>
      <c r="AT59" s="29" t="str">
        <f t="shared" si="62"/>
        <v>#DIV/0!</v>
      </c>
      <c r="AU59" s="29" t="str">
        <f t="shared" si="62"/>
        <v>#DIV/0!</v>
      </c>
      <c r="AV59" s="29" t="str">
        <f t="shared" si="62"/>
        <v>#DIV/0!</v>
      </c>
      <c r="AW59" s="29" t="str">
        <f t="shared" si="62"/>
        <v>#DIV/0!</v>
      </c>
      <c r="AX59" s="29" t="str">
        <f t="shared" si="62"/>
        <v>#DIV/0!</v>
      </c>
      <c r="AY59" s="29" t="str">
        <f t="shared" si="62"/>
        <v>#DIV/0!</v>
      </c>
      <c r="AZ59" s="29" t="str">
        <f t="shared" si="62"/>
        <v>#DIV/0!</v>
      </c>
      <c r="BA59" s="29" t="str">
        <f t="shared" si="62"/>
        <v>#DIV/0!</v>
      </c>
      <c r="BB59" s="29" t="str">
        <f t="shared" si="62"/>
        <v>#DIV/0!</v>
      </c>
      <c r="BC59" s="29" t="str">
        <f t="shared" si="62"/>
        <v>#DIV/0!</v>
      </c>
      <c r="BD59" s="29" t="str">
        <f t="shared" si="62"/>
        <v>#DIV/0!</v>
      </c>
      <c r="BE59" s="29" t="str">
        <f t="shared" si="62"/>
        <v>#DIV/0!</v>
      </c>
      <c r="BF59" s="29" t="str">
        <f t="shared" si="62"/>
        <v>#DIV/0!</v>
      </c>
      <c r="BG59" s="29" t="str">
        <f t="shared" si="62"/>
        <v>#DIV/0!</v>
      </c>
      <c r="BH59" s="29" t="str">
        <f t="shared" si="62"/>
        <v>#DIV/0!</v>
      </c>
      <c r="BI59" s="29" t="str">
        <f t="shared" si="62"/>
        <v>#DIV/0!</v>
      </c>
      <c r="BJ59" s="29" t="str">
        <f t="shared" si="62"/>
        <v>#DIV/0!</v>
      </c>
      <c r="BK59" s="29" t="str">
        <f t="shared" si="62"/>
        <v>#DIV/0!</v>
      </c>
      <c r="BL59" s="29" t="str">
        <f t="shared" si="62"/>
        <v>#DIV/0!</v>
      </c>
      <c r="BM59" s="29" t="str">
        <f t="shared" si="3"/>
        <v>#DIV/0!</v>
      </c>
    </row>
    <row r="60">
      <c r="A60" s="16" t="str">
        <f>IFERROR(__xludf.DUMMYFUNCTION("IFERROR(SPARKLINE(SORT(MAP(TRANSPOSE(AQ60:BL60), LAMBDA(val, IF(ISNUMBER(val), PERCENTRANK(AQ60:BL60, val)+0.01, 0))), SEQUENCE(COLUMNS(AQ60:BL60)), FALSE), {""charttype"",""column""; ""color"",""chartreuse""; ""ymin"", 0; ""ymax"", 1.01; ""highcolor"", "&amp;"""darkgreen""; ""lowcolor"", ""red""}), """")"),"")</f>
        <v/>
      </c>
      <c r="B60" s="17" t="str">
        <f t="shared" si="4"/>
        <v/>
      </c>
      <c r="C60" s="1" t="s">
        <v>2292</v>
      </c>
      <c r="D60" s="30" t="str">
        <f>IFERROR(__xludf.DUMMYFUNCTION("IFERROR(GOOGLEFINANCE(C60, ""NAME""))"),"Clorox Co")</f>
        <v>Clorox Co</v>
      </c>
      <c r="E60" s="30" t="s">
        <v>2132</v>
      </c>
      <c r="F60" s="33" t="str">
        <f>IFERROR(__xludf.DUMMYFUNCTION("( (GOOGLEFINANCE(C60, ""price"") - Q60) / Q60 ) / (R60 / 100)"),"Loading...")</f>
        <v>Loading...</v>
      </c>
      <c r="G60" s="20" t="str">
        <f>IFERROR(__xludf.DUMMYFUNCTION("AVERAGE(ARRAYFORMULA(100 * (QUERY(GOOGLEFINANCE(C60, ""high"", TODAY()-40, TODAY()), ""SELECT Col2 WHERE Col2 IS NOT NULL ORDER BY Col1 DESC LIMIT 20"", 0) / QUERY(GOOGLEFINANCE(C60, ""low"", TODAY()-40, TODAY()), ""SELECT Col2 WHERE Col2 IS NOT NULL ORDE"&amp;"R BY Col1 DESC LIMIT 20"", 0) - 1)))"),"#N/A")</f>
        <v>#N/A</v>
      </c>
      <c r="H60" s="35" t="str">
        <f t="shared" si="6"/>
        <v>Liquid</v>
      </c>
      <c r="I60" s="36" t="str">
        <f t="shared" si="7"/>
        <v>RVol Required</v>
      </c>
      <c r="J60" s="37">
        <f>IFERROR(__xludf.DUMMYFUNCTION("IFERROR(
  IF(C60="""",, 
    IFERROR(
      GOOGLEFINANCE(C60, ""price"") * GOOGLEFINANCE(C60, ""volumeavg""), 
      GOOGLEFINANCE(C60, ""price"") * AVERAGE(QUERY(GOOGLEFINANCE(C60, ""volume"", TODAY()-40, TODAY()), ""SELECT Col2 WHERE Col2 IS NOT NULL "&amp;"ORDER BY Col1 DESC LIMIT 20"", 0))
    )
  ), 
"""")"),2.5439616048000002E8)</f>
        <v>254396160.5</v>
      </c>
      <c r="K60" s="21">
        <f>IFERROR(__xludf.DUMMYFUNCTION("IFERROR(GOOGLEFINANCE(C60, ""changepct"") / 100, """")"),0.0103)</f>
        <v>0.0103</v>
      </c>
      <c r="L60" s="21" t="str">
        <f>IFERROR(__xludf.DUMMYFUNCTION("IFERROR((GOOGLEFINANCE(C60, ""price"") / INDEX(GOOGLEFINANCE(C60, ""price"", TODAY()-7, TODAY()), 2, 2)) - 1, """")"),"")</f>
        <v/>
      </c>
      <c r="M60" s="21" t="str">
        <f>IFERROR(__xludf.DUMMYFUNCTION("IFERROR((GOOGLEFINANCE(C60, ""price"") / INDEX(GOOGLEFINANCE(C60, ""price"", EDATE(TODAY(), -1), TODAY()), 2, 2)) - 1, """")"),"")</f>
        <v/>
      </c>
      <c r="N60" s="21" t="str">
        <f>IFERROR(__xludf.DUMMYFUNCTION("IFERROR((GOOGLEFINANCE(C60, ""price"") / INDEX(GOOGLEFINANCE(C60, ""price"", EDATE(TODAY(), -3), TODAY()), 2, 2)) - 1, """")"),"")</f>
        <v/>
      </c>
      <c r="O60" s="21" t="str">
        <f>IFERROR(__xludf.DUMMYFUNCTION("IFERROR((GOOGLEFINANCE(C60, ""price"") / INDEX(GOOGLEFINANCE(C60, ""price"", EDATE(TODAY(), -6), TODAY()), 2, 2)) - 1, """")"),"")</f>
        <v/>
      </c>
      <c r="P60" s="21" t="str">
        <f>IFERROR(__xludf.DUMMYFUNCTION("IFERROR((GOOGLEFINANCE(C60, ""price"") / INDEX(GOOGLEFINANCE(C60, ""price"", EDATE(TODAY(), -12), TODAY()), 2, 2)) - 1, """")"),"")</f>
        <v/>
      </c>
      <c r="Q60" s="6" t="str">
        <f>IFERROR(__xludf.DUMMYFUNCTION("AVERAGE(QUERY(GOOGLEFINANCE(C60, ""price"", TODAY()-80, TODAY()), ""SELECT Col2 WHERE Col2 IS NOT NULL ORDER BY Col1 DESC LIMIT 50"", 0))"),"#N/A")</f>
        <v>#N/A</v>
      </c>
      <c r="R60" s="24" t="str">
        <f>IFERROR(__xludf.DUMMYFUNCTION("IFERROR(
  LET(
    data, QUERY(GOOGLEFINANCE(C60,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GOOGLEFINANCE(C60, ""price"")) * 100,
    IF(calc=0, G60, calc)
  ), 
G60)"),"#N/A")</f>
        <v>#N/A</v>
      </c>
      <c r="S60" s="8" t="s">
        <v>15</v>
      </c>
      <c r="T60" s="26" t="str">
        <f>IFERROR(__xludf.DUMMYFUNCTION("IFERROR(TRANSPOSE(QUERY(IFERROR(SORT(GOOGLEFINANCE(C60, ""price"", WORKDAY(TODAY(), -40), TODAY()), 1, FALSE)), ""select Col2 where Col2 is not null limit 22 label Col2 ''"", 0)), """")"),"")</f>
        <v/>
      </c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8"/>
      <c r="AO60" s="28"/>
      <c r="AP60" s="29"/>
      <c r="AQ60" s="29" t="str">
        <f t="shared" ref="AQ60:BL60" si="63">T60/T$2</f>
        <v>#N/A</v>
      </c>
      <c r="AR60" s="29" t="str">
        <f t="shared" si="63"/>
        <v>#DIV/0!</v>
      </c>
      <c r="AS60" s="29" t="str">
        <f t="shared" si="63"/>
        <v>#DIV/0!</v>
      </c>
      <c r="AT60" s="29" t="str">
        <f t="shared" si="63"/>
        <v>#DIV/0!</v>
      </c>
      <c r="AU60" s="29" t="str">
        <f t="shared" si="63"/>
        <v>#DIV/0!</v>
      </c>
      <c r="AV60" s="29" t="str">
        <f t="shared" si="63"/>
        <v>#DIV/0!</v>
      </c>
      <c r="AW60" s="29" t="str">
        <f t="shared" si="63"/>
        <v>#DIV/0!</v>
      </c>
      <c r="AX60" s="29" t="str">
        <f t="shared" si="63"/>
        <v>#DIV/0!</v>
      </c>
      <c r="AY60" s="29" t="str">
        <f t="shared" si="63"/>
        <v>#DIV/0!</v>
      </c>
      <c r="AZ60" s="29" t="str">
        <f t="shared" si="63"/>
        <v>#DIV/0!</v>
      </c>
      <c r="BA60" s="29" t="str">
        <f t="shared" si="63"/>
        <v>#DIV/0!</v>
      </c>
      <c r="BB60" s="29" t="str">
        <f t="shared" si="63"/>
        <v>#DIV/0!</v>
      </c>
      <c r="BC60" s="29" t="str">
        <f t="shared" si="63"/>
        <v>#DIV/0!</v>
      </c>
      <c r="BD60" s="29" t="str">
        <f t="shared" si="63"/>
        <v>#DIV/0!</v>
      </c>
      <c r="BE60" s="29" t="str">
        <f t="shared" si="63"/>
        <v>#DIV/0!</v>
      </c>
      <c r="BF60" s="29" t="str">
        <f t="shared" si="63"/>
        <v>#DIV/0!</v>
      </c>
      <c r="BG60" s="29" t="str">
        <f t="shared" si="63"/>
        <v>#DIV/0!</v>
      </c>
      <c r="BH60" s="29" t="str">
        <f t="shared" si="63"/>
        <v>#DIV/0!</v>
      </c>
      <c r="BI60" s="29" t="str">
        <f t="shared" si="63"/>
        <v>#DIV/0!</v>
      </c>
      <c r="BJ60" s="29" t="str">
        <f t="shared" si="63"/>
        <v>#DIV/0!</v>
      </c>
      <c r="BK60" s="29" t="str">
        <f t="shared" si="63"/>
        <v>#DIV/0!</v>
      </c>
      <c r="BL60" s="29" t="str">
        <f t="shared" si="63"/>
        <v>#DIV/0!</v>
      </c>
      <c r="BM60" s="29" t="str">
        <f t="shared" si="3"/>
        <v>#DIV/0!</v>
      </c>
    </row>
    <row r="61">
      <c r="A61" s="16" t="str">
        <f>IFERROR(__xludf.DUMMYFUNCTION("IFERROR(SPARKLINE(SORT(MAP(TRANSPOSE(AQ61:BL61), LAMBDA(val, IF(ISNUMBER(val), PERCENTRANK(AQ61:BL61, val)+0.01, 0))), SEQUENCE(COLUMNS(AQ61:BL61)), FALSE), {""charttype"",""column""; ""color"",""chartreuse""; ""ymin"", 0; ""ymax"", 1.01; ""highcolor"", "&amp;"""darkgreen""; ""lowcolor"", ""red""}), """")"),"")</f>
        <v/>
      </c>
      <c r="B61" s="17" t="str">
        <f t="shared" si="4"/>
        <v/>
      </c>
      <c r="C61" s="1" t="s">
        <v>2295</v>
      </c>
      <c r="D61" s="30" t="str">
        <f>IFERROR(__xludf.DUMMYFUNCTION("IFERROR(GOOGLEFINANCE(C61, ""NAME""))"),"Alico Inc")</f>
        <v>Alico Inc</v>
      </c>
      <c r="E61" s="30" t="s">
        <v>2115</v>
      </c>
      <c r="F61" s="33" t="str">
        <f>IFERROR(__xludf.DUMMYFUNCTION("( (GOOGLEFINANCE(C61, ""price"") - Q61) / Q61 ) / (R61 / 100)"),"Loading...")</f>
        <v>Loading...</v>
      </c>
      <c r="G61" s="20" t="str">
        <f>IFERROR(__xludf.DUMMYFUNCTION("AVERAGE(ARRAYFORMULA(100 * (QUERY(GOOGLEFINANCE(C61, ""high"", TODAY()-40, TODAY()), ""SELECT Col2 WHERE Col2 IS NOT NULL ORDER BY Col1 DESC LIMIT 20"", 0) / QUERY(GOOGLEFINANCE(C61, ""low"", TODAY()-40, TODAY()), ""SELECT Col2 WHERE Col2 IS NOT NULL ORDE"&amp;"R BY Col1 DESC LIMIT 20"", 0) - 1)))"),"#N/A")</f>
        <v>#N/A</v>
      </c>
      <c r="H61" s="35" t="str">
        <f t="shared" si="6"/>
        <v>Illiquid</v>
      </c>
      <c r="I61" s="36" t="str">
        <f t="shared" si="7"/>
        <v>RVol Required</v>
      </c>
      <c r="J61" s="37">
        <f>IFERROR(__xludf.DUMMYFUNCTION("IFERROR(
  IF(C61="""",, 
    IFERROR(
      GOOGLEFINANCE(C61, ""price"") * GOOGLEFINANCE(C61, ""volumeavg""), 
      GOOGLEFINANCE(C61, ""price"") * AVERAGE(QUERY(GOOGLEFINANCE(C61, ""volume"", TODAY()-40, TODAY()), ""SELECT Col2 WHERE Col2 IS NOT NULL "&amp;"ORDER BY Col1 DESC LIMIT 20"", 0))
    )
  ), 
"""")"),780893.44)</f>
        <v>780893.44</v>
      </c>
      <c r="K61" s="21">
        <f>IFERROR(__xludf.DUMMYFUNCTION("IFERROR(GOOGLEFINANCE(C61, ""changepct"") / 100, """")"),-0.0226)</f>
        <v>-0.0226</v>
      </c>
      <c r="L61" s="21" t="str">
        <f>IFERROR(__xludf.DUMMYFUNCTION("IFERROR((GOOGLEFINANCE(C61, ""price"") / INDEX(GOOGLEFINANCE(C61, ""price"", TODAY()-7, TODAY()), 2, 2)) - 1, """")"),"")</f>
        <v/>
      </c>
      <c r="M61" s="21" t="str">
        <f>IFERROR(__xludf.DUMMYFUNCTION("IFERROR((GOOGLEFINANCE(C61, ""price"") / INDEX(GOOGLEFINANCE(C61, ""price"", EDATE(TODAY(), -1), TODAY()), 2, 2)) - 1, """")"),"")</f>
        <v/>
      </c>
      <c r="N61" s="21" t="str">
        <f>IFERROR(__xludf.DUMMYFUNCTION("IFERROR((GOOGLEFINANCE(C61, ""price"") / INDEX(GOOGLEFINANCE(C61, ""price"", EDATE(TODAY(), -3), TODAY()), 2, 2)) - 1, """")"),"")</f>
        <v/>
      </c>
      <c r="O61" s="21" t="str">
        <f>IFERROR(__xludf.DUMMYFUNCTION("IFERROR((GOOGLEFINANCE(C61, ""price"") / INDEX(GOOGLEFINANCE(C61, ""price"", EDATE(TODAY(), -6), TODAY()), 2, 2)) - 1, """")"),"")</f>
        <v/>
      </c>
      <c r="P61" s="21" t="str">
        <f>IFERROR(__xludf.DUMMYFUNCTION("IFERROR((GOOGLEFINANCE(C61, ""price"") / INDEX(GOOGLEFINANCE(C61, ""price"", EDATE(TODAY(), -12), TODAY()), 2, 2)) - 1, """")"),"")</f>
        <v/>
      </c>
      <c r="Q61" s="6" t="str">
        <f>IFERROR(__xludf.DUMMYFUNCTION("AVERAGE(QUERY(GOOGLEFINANCE(C61, ""price"", TODAY()-80, TODAY()), ""SELECT Col2 WHERE Col2 IS NOT NULL ORDER BY Col1 DESC LIMIT 50"", 0))"),"#N/A")</f>
        <v>#N/A</v>
      </c>
      <c r="R61" s="24" t="str">
        <f>IFERROR(__xludf.DUMMYFUNCTION("IFERROR(
  LET(
    data, QUERY(GOOGLEFINANCE(C61,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GOOGLEFINANCE(C61, ""price"")) * 100,
    IF(calc=0, G61, calc)
  ), 
G61)"),"#N/A")</f>
        <v>#N/A</v>
      </c>
      <c r="S61" s="8" t="s">
        <v>15</v>
      </c>
      <c r="T61" s="26" t="str">
        <f>IFERROR(__xludf.DUMMYFUNCTION("IFERROR(TRANSPOSE(QUERY(IFERROR(SORT(GOOGLEFINANCE(C61, ""price"", WORKDAY(TODAY(), -40), TODAY()), 1, FALSE)), ""select Col2 where Col2 is not null limit 22 label Col2 ''"", 0)), """")"),"")</f>
        <v/>
      </c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8"/>
      <c r="AO61" s="28"/>
      <c r="AP61" s="29"/>
      <c r="AQ61" s="29" t="str">
        <f t="shared" ref="AQ61:BL61" si="64">T61/T$2</f>
        <v>#N/A</v>
      </c>
      <c r="AR61" s="29" t="str">
        <f t="shared" si="64"/>
        <v>#DIV/0!</v>
      </c>
      <c r="AS61" s="29" t="str">
        <f t="shared" si="64"/>
        <v>#DIV/0!</v>
      </c>
      <c r="AT61" s="29" t="str">
        <f t="shared" si="64"/>
        <v>#DIV/0!</v>
      </c>
      <c r="AU61" s="29" t="str">
        <f t="shared" si="64"/>
        <v>#DIV/0!</v>
      </c>
      <c r="AV61" s="29" t="str">
        <f t="shared" si="64"/>
        <v>#DIV/0!</v>
      </c>
      <c r="AW61" s="29" t="str">
        <f t="shared" si="64"/>
        <v>#DIV/0!</v>
      </c>
      <c r="AX61" s="29" t="str">
        <f t="shared" si="64"/>
        <v>#DIV/0!</v>
      </c>
      <c r="AY61" s="29" t="str">
        <f t="shared" si="64"/>
        <v>#DIV/0!</v>
      </c>
      <c r="AZ61" s="29" t="str">
        <f t="shared" si="64"/>
        <v>#DIV/0!</v>
      </c>
      <c r="BA61" s="29" t="str">
        <f t="shared" si="64"/>
        <v>#DIV/0!</v>
      </c>
      <c r="BB61" s="29" t="str">
        <f t="shared" si="64"/>
        <v>#DIV/0!</v>
      </c>
      <c r="BC61" s="29" t="str">
        <f t="shared" si="64"/>
        <v>#DIV/0!</v>
      </c>
      <c r="BD61" s="29" t="str">
        <f t="shared" si="64"/>
        <v>#DIV/0!</v>
      </c>
      <c r="BE61" s="29" t="str">
        <f t="shared" si="64"/>
        <v>#DIV/0!</v>
      </c>
      <c r="BF61" s="29" t="str">
        <f t="shared" si="64"/>
        <v>#DIV/0!</v>
      </c>
      <c r="BG61" s="29" t="str">
        <f t="shared" si="64"/>
        <v>#DIV/0!</v>
      </c>
      <c r="BH61" s="29" t="str">
        <f t="shared" si="64"/>
        <v>#DIV/0!</v>
      </c>
      <c r="BI61" s="29" t="str">
        <f t="shared" si="64"/>
        <v>#DIV/0!</v>
      </c>
      <c r="BJ61" s="29" t="str">
        <f t="shared" si="64"/>
        <v>#DIV/0!</v>
      </c>
      <c r="BK61" s="29" t="str">
        <f t="shared" si="64"/>
        <v>#DIV/0!</v>
      </c>
      <c r="BL61" s="29" t="str">
        <f t="shared" si="64"/>
        <v>#DIV/0!</v>
      </c>
      <c r="BM61" s="29" t="str">
        <f t="shared" si="3"/>
        <v>#DIV/0!</v>
      </c>
    </row>
    <row r="62">
      <c r="A62" s="16" t="str">
        <f>IFERROR(__xludf.DUMMYFUNCTION("IFERROR(SPARKLINE(SORT(MAP(TRANSPOSE(AQ62:BL62), LAMBDA(val, IF(ISNUMBER(val), PERCENTRANK(AQ62:BL62, val)+0.01, 0))), SEQUENCE(COLUMNS(AQ62:BL62)), FALSE), {""charttype"",""column""; ""color"",""chartreuse""; ""ymin"", 0; ""ymax"", 1.01; ""highcolor"", "&amp;"""darkgreen""; ""lowcolor"", ""red""}), """")"),"")</f>
        <v/>
      </c>
      <c r="B62" s="17" t="str">
        <f t="shared" si="4"/>
        <v/>
      </c>
      <c r="C62" s="1" t="s">
        <v>2299</v>
      </c>
      <c r="D62" s="30" t="str">
        <f>IFERROR(__xludf.DUMMYFUNCTION("IFERROR(GOOGLEFINANCE(C62, ""NAME""))"),"Afya Ltd")</f>
        <v>Afya Ltd</v>
      </c>
      <c r="E62" s="30" t="s">
        <v>2069</v>
      </c>
      <c r="F62" s="33" t="str">
        <f>IFERROR(__xludf.DUMMYFUNCTION("( (GOOGLEFINANCE(C62, ""price"") - Q62) / Q62 ) / (R62 / 100)"),"Loading...")</f>
        <v>Loading...</v>
      </c>
      <c r="G62" s="20" t="str">
        <f>IFERROR(__xludf.DUMMYFUNCTION("AVERAGE(ARRAYFORMULA(100 * (QUERY(GOOGLEFINANCE(C62, ""high"", TODAY()-40, TODAY()), ""SELECT Col2 WHERE Col2 IS NOT NULL ORDER BY Col1 DESC LIMIT 20"", 0) / QUERY(GOOGLEFINANCE(C62, ""low"", TODAY()-40, TODAY()), ""SELECT Col2 WHERE Col2 IS NOT NULL ORDE"&amp;"R BY Col1 DESC LIMIT 20"", 0) - 1)))"),"#N/A")</f>
        <v>#N/A</v>
      </c>
      <c r="H62" s="35" t="str">
        <f t="shared" si="6"/>
        <v>Illiquid</v>
      </c>
      <c r="I62" s="36" t="str">
        <f t="shared" si="7"/>
        <v>RVol Required</v>
      </c>
      <c r="J62" s="37">
        <f>IFERROR(__xludf.DUMMYFUNCTION("IFERROR(
  IF(C62="""",, 
    IFERROR(
      GOOGLEFINANCE(C62, ""price"") * GOOGLEFINANCE(C62, ""volumeavg""), 
      GOOGLEFINANCE(C62, ""price"") * AVERAGE(QUERY(GOOGLEFINANCE(C62, ""volume"", TODAY()-40, TODAY()), ""SELECT Col2 WHERE Col2 IS NOT NULL "&amp;"ORDER BY Col1 DESC LIMIT 20"", 0))
    )
  ), 
"""")"),6379875.989999999)</f>
        <v>6379875.99</v>
      </c>
      <c r="K62" s="21">
        <f>IFERROR(__xludf.DUMMYFUNCTION("IFERROR(GOOGLEFINANCE(C62, ""changepct"") / 100, """")"),7.000000000000001E-4)</f>
        <v>0.0007</v>
      </c>
      <c r="L62" s="21" t="str">
        <f>IFERROR(__xludf.DUMMYFUNCTION("IFERROR((GOOGLEFINANCE(C62, ""price"") / INDEX(GOOGLEFINANCE(C62, ""price"", TODAY()-7, TODAY()), 2, 2)) - 1, """")"),"")</f>
        <v/>
      </c>
      <c r="M62" s="21" t="str">
        <f>IFERROR(__xludf.DUMMYFUNCTION("IFERROR((GOOGLEFINANCE(C62, ""price"") / INDEX(GOOGLEFINANCE(C62, ""price"", EDATE(TODAY(), -1), TODAY()), 2, 2)) - 1, """")"),"")</f>
        <v/>
      </c>
      <c r="N62" s="21" t="str">
        <f>IFERROR(__xludf.DUMMYFUNCTION("IFERROR((GOOGLEFINANCE(C62, ""price"") / INDEX(GOOGLEFINANCE(C62, ""price"", EDATE(TODAY(), -3), TODAY()), 2, 2)) - 1, """")"),"")</f>
        <v/>
      </c>
      <c r="O62" s="21" t="str">
        <f>IFERROR(__xludf.DUMMYFUNCTION("IFERROR((GOOGLEFINANCE(C62, ""price"") / INDEX(GOOGLEFINANCE(C62, ""price"", EDATE(TODAY(), -6), TODAY()), 2, 2)) - 1, """")"),"")</f>
        <v/>
      </c>
      <c r="P62" s="21" t="str">
        <f>IFERROR(__xludf.DUMMYFUNCTION("IFERROR((GOOGLEFINANCE(C62, ""price"") / INDEX(GOOGLEFINANCE(C62, ""price"", EDATE(TODAY(), -12), TODAY()), 2, 2)) - 1, """")"),"")</f>
        <v/>
      </c>
      <c r="Q62" s="6" t="str">
        <f>IFERROR(__xludf.DUMMYFUNCTION("AVERAGE(QUERY(GOOGLEFINANCE(C62, ""price"", TODAY()-80, TODAY()), ""SELECT Col2 WHERE Col2 IS NOT NULL ORDER BY Col1 DESC LIMIT 50"", 0))"),"#N/A")</f>
        <v>#N/A</v>
      </c>
      <c r="R62" s="24" t="str">
        <f>IFERROR(__xludf.DUMMYFUNCTION("IFERROR(
  LET(
    data, QUERY(GOOGLEFINANCE(C62,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GOOGLEFINANCE(C62, ""price"")) * 100,
    IF(calc=0, G62, calc)
  ), 
G62)"),"#N/A")</f>
        <v>#N/A</v>
      </c>
      <c r="S62" s="8" t="s">
        <v>15</v>
      </c>
      <c r="T62" s="26" t="str">
        <f>IFERROR(__xludf.DUMMYFUNCTION("IFERROR(TRANSPOSE(QUERY(IFERROR(SORT(GOOGLEFINANCE(C62, ""price"", WORKDAY(TODAY(), -40), TODAY()), 1, FALSE)), ""select Col2 where Col2 is not null limit 22 label Col2 ''"", 0)), """")"),"")</f>
        <v/>
      </c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8"/>
      <c r="AO62" s="28"/>
      <c r="AP62" s="29"/>
      <c r="AQ62" s="29" t="str">
        <f t="shared" ref="AQ62:BL62" si="65">T62/T$2</f>
        <v>#N/A</v>
      </c>
      <c r="AR62" s="29" t="str">
        <f t="shared" si="65"/>
        <v>#DIV/0!</v>
      </c>
      <c r="AS62" s="29" t="str">
        <f t="shared" si="65"/>
        <v>#DIV/0!</v>
      </c>
      <c r="AT62" s="29" t="str">
        <f t="shared" si="65"/>
        <v>#DIV/0!</v>
      </c>
      <c r="AU62" s="29" t="str">
        <f t="shared" si="65"/>
        <v>#DIV/0!</v>
      </c>
      <c r="AV62" s="29" t="str">
        <f t="shared" si="65"/>
        <v>#DIV/0!</v>
      </c>
      <c r="AW62" s="29" t="str">
        <f t="shared" si="65"/>
        <v>#DIV/0!</v>
      </c>
      <c r="AX62" s="29" t="str">
        <f t="shared" si="65"/>
        <v>#DIV/0!</v>
      </c>
      <c r="AY62" s="29" t="str">
        <f t="shared" si="65"/>
        <v>#DIV/0!</v>
      </c>
      <c r="AZ62" s="29" t="str">
        <f t="shared" si="65"/>
        <v>#DIV/0!</v>
      </c>
      <c r="BA62" s="29" t="str">
        <f t="shared" si="65"/>
        <v>#DIV/0!</v>
      </c>
      <c r="BB62" s="29" t="str">
        <f t="shared" si="65"/>
        <v>#DIV/0!</v>
      </c>
      <c r="BC62" s="29" t="str">
        <f t="shared" si="65"/>
        <v>#DIV/0!</v>
      </c>
      <c r="BD62" s="29" t="str">
        <f t="shared" si="65"/>
        <v>#DIV/0!</v>
      </c>
      <c r="BE62" s="29" t="str">
        <f t="shared" si="65"/>
        <v>#DIV/0!</v>
      </c>
      <c r="BF62" s="29" t="str">
        <f t="shared" si="65"/>
        <v>#DIV/0!</v>
      </c>
      <c r="BG62" s="29" t="str">
        <f t="shared" si="65"/>
        <v>#DIV/0!</v>
      </c>
      <c r="BH62" s="29" t="str">
        <f t="shared" si="65"/>
        <v>#DIV/0!</v>
      </c>
      <c r="BI62" s="29" t="str">
        <f t="shared" si="65"/>
        <v>#DIV/0!</v>
      </c>
      <c r="BJ62" s="29" t="str">
        <f t="shared" si="65"/>
        <v>#DIV/0!</v>
      </c>
      <c r="BK62" s="29" t="str">
        <f t="shared" si="65"/>
        <v>#DIV/0!</v>
      </c>
      <c r="BL62" s="29" t="str">
        <f t="shared" si="65"/>
        <v>#DIV/0!</v>
      </c>
      <c r="BM62" s="29" t="str">
        <f t="shared" si="3"/>
        <v>#DIV/0!</v>
      </c>
    </row>
    <row r="63">
      <c r="A63" s="16" t="str">
        <f>IFERROR(__xludf.DUMMYFUNCTION("IFERROR(SPARKLINE(SORT(MAP(TRANSPOSE(AQ63:BL63), LAMBDA(val, IF(ISNUMBER(val), PERCENTRANK(AQ63:BL63, val)+0.01, 0))), SEQUENCE(COLUMNS(AQ63:BL63)), FALSE), {""charttype"",""column""; ""color"",""chartreuse""; ""ymin"", 0; ""ymax"", 1.01; ""highcolor"", "&amp;"""darkgreen""; ""lowcolor"", ""red""}), """")"),"")</f>
        <v/>
      </c>
      <c r="B63" s="17" t="str">
        <f t="shared" si="4"/>
        <v/>
      </c>
      <c r="C63" s="1" t="s">
        <v>2303</v>
      </c>
      <c r="D63" s="30" t="str">
        <f>IFERROR(__xludf.DUMMYFUNCTION("IFERROR(GOOGLEFINANCE(C63, ""NAME""))"),"Village Farms International Inc")</f>
        <v>Village Farms International Inc</v>
      </c>
      <c r="E63" s="30" t="s">
        <v>2115</v>
      </c>
      <c r="F63" s="33" t="str">
        <f>IFERROR(__xludf.DUMMYFUNCTION("( (GOOGLEFINANCE(C63, ""price"") - Q63) / Q63 ) / (R63 / 100)"),"Loading...")</f>
        <v>Loading...</v>
      </c>
      <c r="G63" s="20" t="str">
        <f>IFERROR(__xludf.DUMMYFUNCTION("AVERAGE(ARRAYFORMULA(100 * (QUERY(GOOGLEFINANCE(C63, ""high"", TODAY()-40, TODAY()), ""SELECT Col2 WHERE Col2 IS NOT NULL ORDER BY Col1 DESC LIMIT 20"", 0) / QUERY(GOOGLEFINANCE(C63, ""low"", TODAY()-40, TODAY()), ""SELECT Col2 WHERE Col2 IS NOT NULL ORDE"&amp;"R BY Col1 DESC LIMIT 20"", 0) - 1)))"),"#N/A")</f>
        <v>#N/A</v>
      </c>
      <c r="H63" s="35" t="str">
        <f t="shared" si="6"/>
        <v>Illiquid</v>
      </c>
      <c r="I63" s="36" t="str">
        <f t="shared" si="7"/>
        <v>RVol Required</v>
      </c>
      <c r="J63" s="37">
        <f>IFERROR(__xludf.DUMMYFUNCTION("IFERROR(
  IF(C63="""",, 
    IFERROR(
      GOOGLEFINANCE(C63, ""price"") * GOOGLEFINANCE(C63, ""volumeavg""), 
      GOOGLEFINANCE(C63, ""price"") * AVERAGE(QUERY(GOOGLEFINANCE(C63, ""volume"", TODAY()-40, TODAY()), ""SELECT Col2 WHERE Col2 IS NOT NULL "&amp;"ORDER BY Col1 DESC LIMIT 20"", 0))
    )
  ), 
"""")"),1867896.47)</f>
        <v>1867896.47</v>
      </c>
      <c r="K63" s="21">
        <f>IFERROR(__xludf.DUMMYFUNCTION("IFERROR(GOOGLEFINANCE(C63, ""changepct"") / 100, """")"),-0.0269)</f>
        <v>-0.0269</v>
      </c>
      <c r="L63" s="21" t="str">
        <f>IFERROR(__xludf.DUMMYFUNCTION("IFERROR((GOOGLEFINANCE(C63, ""price"") / INDEX(GOOGLEFINANCE(C63, ""price"", TODAY()-7, TODAY()), 2, 2)) - 1, """")"),"")</f>
        <v/>
      </c>
      <c r="M63" s="21" t="str">
        <f>IFERROR(__xludf.DUMMYFUNCTION("IFERROR((GOOGLEFINANCE(C63, ""price"") / INDEX(GOOGLEFINANCE(C63, ""price"", EDATE(TODAY(), -1), TODAY()), 2, 2)) - 1, """")"),"")</f>
        <v/>
      </c>
      <c r="N63" s="21" t="str">
        <f>IFERROR(__xludf.DUMMYFUNCTION("IFERROR((GOOGLEFINANCE(C63, ""price"") / INDEX(GOOGLEFINANCE(C63, ""price"", EDATE(TODAY(), -3), TODAY()), 2, 2)) - 1, """")"),"")</f>
        <v/>
      </c>
      <c r="O63" s="21" t="str">
        <f>IFERROR(__xludf.DUMMYFUNCTION("IFERROR((GOOGLEFINANCE(C63, ""price"") / INDEX(GOOGLEFINANCE(C63, ""price"", EDATE(TODAY(), -6), TODAY()), 2, 2)) - 1, """")"),"")</f>
        <v/>
      </c>
      <c r="P63" s="21" t="str">
        <f>IFERROR(__xludf.DUMMYFUNCTION("IFERROR((GOOGLEFINANCE(C63, ""price"") / INDEX(GOOGLEFINANCE(C63, ""price"", EDATE(TODAY(), -12), TODAY()), 2, 2)) - 1, """")"),"")</f>
        <v/>
      </c>
      <c r="Q63" s="6" t="str">
        <f>IFERROR(__xludf.DUMMYFUNCTION("AVERAGE(QUERY(GOOGLEFINANCE(C63, ""price"", TODAY()-80, TODAY()), ""SELECT Col2 WHERE Col2 IS NOT NULL ORDER BY Col1 DESC LIMIT 50"", 0))"),"#N/A")</f>
        <v>#N/A</v>
      </c>
      <c r="R63" s="24" t="str">
        <f>IFERROR(__xludf.DUMMYFUNCTION("IFERROR(
  LET(
    data, QUERY(GOOGLEFINANCE(C63,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GOOGLEFINANCE(C63, ""price"")) * 100,
    IF(calc=0, G63, calc)
  ), 
G63)"),"#N/A")</f>
        <v>#N/A</v>
      </c>
      <c r="S63" s="8" t="s">
        <v>15</v>
      </c>
      <c r="T63" s="26" t="str">
        <f>IFERROR(__xludf.DUMMYFUNCTION("IFERROR(TRANSPOSE(QUERY(IFERROR(SORT(GOOGLEFINANCE(C63, ""price"", WORKDAY(TODAY(), -40), TODAY()), 1, FALSE)), ""select Col2 where Col2 is not null limit 22 label Col2 ''"", 0)), """")"),"")</f>
        <v/>
      </c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8"/>
      <c r="AO63" s="28"/>
      <c r="AP63" s="29"/>
      <c r="AQ63" s="29" t="str">
        <f t="shared" ref="AQ63:BL63" si="66">T63/T$2</f>
        <v>#N/A</v>
      </c>
      <c r="AR63" s="29" t="str">
        <f t="shared" si="66"/>
        <v>#DIV/0!</v>
      </c>
      <c r="AS63" s="29" t="str">
        <f t="shared" si="66"/>
        <v>#DIV/0!</v>
      </c>
      <c r="AT63" s="29" t="str">
        <f t="shared" si="66"/>
        <v>#DIV/0!</v>
      </c>
      <c r="AU63" s="29" t="str">
        <f t="shared" si="66"/>
        <v>#DIV/0!</v>
      </c>
      <c r="AV63" s="29" t="str">
        <f t="shared" si="66"/>
        <v>#DIV/0!</v>
      </c>
      <c r="AW63" s="29" t="str">
        <f t="shared" si="66"/>
        <v>#DIV/0!</v>
      </c>
      <c r="AX63" s="29" t="str">
        <f t="shared" si="66"/>
        <v>#DIV/0!</v>
      </c>
      <c r="AY63" s="29" t="str">
        <f t="shared" si="66"/>
        <v>#DIV/0!</v>
      </c>
      <c r="AZ63" s="29" t="str">
        <f t="shared" si="66"/>
        <v>#DIV/0!</v>
      </c>
      <c r="BA63" s="29" t="str">
        <f t="shared" si="66"/>
        <v>#DIV/0!</v>
      </c>
      <c r="BB63" s="29" t="str">
        <f t="shared" si="66"/>
        <v>#DIV/0!</v>
      </c>
      <c r="BC63" s="29" t="str">
        <f t="shared" si="66"/>
        <v>#DIV/0!</v>
      </c>
      <c r="BD63" s="29" t="str">
        <f t="shared" si="66"/>
        <v>#DIV/0!</v>
      </c>
      <c r="BE63" s="29" t="str">
        <f t="shared" si="66"/>
        <v>#DIV/0!</v>
      </c>
      <c r="BF63" s="29" t="str">
        <f t="shared" si="66"/>
        <v>#DIV/0!</v>
      </c>
      <c r="BG63" s="29" t="str">
        <f t="shared" si="66"/>
        <v>#DIV/0!</v>
      </c>
      <c r="BH63" s="29" t="str">
        <f t="shared" si="66"/>
        <v>#DIV/0!</v>
      </c>
      <c r="BI63" s="29" t="str">
        <f t="shared" si="66"/>
        <v>#DIV/0!</v>
      </c>
      <c r="BJ63" s="29" t="str">
        <f t="shared" si="66"/>
        <v>#DIV/0!</v>
      </c>
      <c r="BK63" s="29" t="str">
        <f t="shared" si="66"/>
        <v>#DIV/0!</v>
      </c>
      <c r="BL63" s="29" t="str">
        <f t="shared" si="66"/>
        <v>#DIV/0!</v>
      </c>
      <c r="BM63" s="29" t="str">
        <f t="shared" si="3"/>
        <v>#DIV/0!</v>
      </c>
    </row>
    <row r="64">
      <c r="A64" s="16" t="str">
        <f>IFERROR(__xludf.DUMMYFUNCTION("IFERROR(SPARKLINE(SORT(MAP(TRANSPOSE(AQ64:BL64), LAMBDA(val, IF(ISNUMBER(val), PERCENTRANK(AQ64:BL64, val)+0.01, 0))), SEQUENCE(COLUMNS(AQ64:BL64)), FALSE), {""charttype"",""column""; ""color"",""chartreuse""; ""ymin"", 0; ""ymax"", 1.01; ""highcolor"", "&amp;"""darkgreen""; ""lowcolor"", ""red""}), """")"),"")</f>
        <v/>
      </c>
      <c r="B64" s="17" t="str">
        <f t="shared" si="4"/>
        <v/>
      </c>
      <c r="C64" s="1" t="s">
        <v>2308</v>
      </c>
      <c r="D64" s="30" t="str">
        <f>IFERROR(__xludf.DUMMYFUNCTION("IFERROR(GOOGLEFINANCE(C64, ""NAME""))"),"Sysco Corp")</f>
        <v>Sysco Corp</v>
      </c>
      <c r="E64" s="30" t="s">
        <v>2120</v>
      </c>
      <c r="F64" s="33" t="str">
        <f>IFERROR(__xludf.DUMMYFUNCTION("( (GOOGLEFINANCE(C64, ""price"") - Q64) / Q64 ) / (R64 / 100)"),"Loading...")</f>
        <v>Loading...</v>
      </c>
      <c r="G64" s="20" t="str">
        <f>IFERROR(__xludf.DUMMYFUNCTION("AVERAGE(ARRAYFORMULA(100 * (QUERY(GOOGLEFINANCE(C64, ""high"", TODAY()-40, TODAY()), ""SELECT Col2 WHERE Col2 IS NOT NULL ORDER BY Col1 DESC LIMIT 20"", 0) / QUERY(GOOGLEFINANCE(C64, ""low"", TODAY()-40, TODAY()), ""SELECT Col2 WHERE Col2 IS NOT NULL ORDE"&amp;"R BY Col1 DESC LIMIT 20"", 0) - 1)))"),"#N/A")</f>
        <v>#N/A</v>
      </c>
      <c r="H64" s="35" t="str">
        <f t="shared" si="6"/>
        <v>Liquid</v>
      </c>
      <c r="I64" s="36" t="str">
        <f t="shared" si="7"/>
        <v>RVol Required</v>
      </c>
      <c r="J64" s="37">
        <f>IFERROR(__xludf.DUMMYFUNCTION("IFERROR(
  IF(C64="""",, 
    IFERROR(
      GOOGLEFINANCE(C64, ""price"") * GOOGLEFINANCE(C64, ""volumeavg""), 
      GOOGLEFINANCE(C64, ""price"") * AVERAGE(QUERY(GOOGLEFINANCE(C64, ""volume"", TODAY()-40, TODAY()), ""SELECT Col2 WHERE Col2 IS NOT NULL "&amp;"ORDER BY Col1 DESC LIMIT 20"", 0))
    )
  ), 
"""")"),3.5576232232E8)</f>
        <v>355762322.3</v>
      </c>
      <c r="K64" s="21">
        <f>IFERROR(__xludf.DUMMYFUNCTION("IFERROR(GOOGLEFINANCE(C64, ""changepct"") / 100, """")"),9.0E-4)</f>
        <v>0.0009</v>
      </c>
      <c r="L64" s="21" t="str">
        <f>IFERROR(__xludf.DUMMYFUNCTION("IFERROR((GOOGLEFINANCE(C64, ""price"") / INDEX(GOOGLEFINANCE(C64, ""price"", TODAY()-7, TODAY()), 2, 2)) - 1, """")"),"")</f>
        <v/>
      </c>
      <c r="M64" s="21" t="str">
        <f>IFERROR(__xludf.DUMMYFUNCTION("IFERROR((GOOGLEFINANCE(C64, ""price"") / INDEX(GOOGLEFINANCE(C64, ""price"", EDATE(TODAY(), -1), TODAY()), 2, 2)) - 1, """")"),"")</f>
        <v/>
      </c>
      <c r="N64" s="21" t="str">
        <f>IFERROR(__xludf.DUMMYFUNCTION("IFERROR((GOOGLEFINANCE(C64, ""price"") / INDEX(GOOGLEFINANCE(C64, ""price"", EDATE(TODAY(), -3), TODAY()), 2, 2)) - 1, """")"),"")</f>
        <v/>
      </c>
      <c r="O64" s="21" t="str">
        <f>IFERROR(__xludf.DUMMYFUNCTION("IFERROR((GOOGLEFINANCE(C64, ""price"") / INDEX(GOOGLEFINANCE(C64, ""price"", EDATE(TODAY(), -6), TODAY()), 2, 2)) - 1, """")"),"")</f>
        <v/>
      </c>
      <c r="P64" s="21" t="str">
        <f>IFERROR(__xludf.DUMMYFUNCTION("IFERROR((GOOGLEFINANCE(C64, ""price"") / INDEX(GOOGLEFINANCE(C64, ""price"", EDATE(TODAY(), -12), TODAY()), 2, 2)) - 1, """")"),"")</f>
        <v/>
      </c>
      <c r="Q64" s="6" t="str">
        <f>IFERROR(__xludf.DUMMYFUNCTION("AVERAGE(QUERY(GOOGLEFINANCE(C64, ""price"", TODAY()-80, TODAY()), ""SELECT Col2 WHERE Col2 IS NOT NULL ORDER BY Col1 DESC LIMIT 50"", 0))"),"#N/A")</f>
        <v>#N/A</v>
      </c>
      <c r="R64" s="24" t="str">
        <f>IFERROR(__xludf.DUMMYFUNCTION("IFERROR(
  LET(
    data, QUERY(GOOGLEFINANCE(C64,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GOOGLEFINANCE(C64, ""price"")) * 100,
    IF(calc=0, G64, calc)
  ), 
G64)"),"#N/A")</f>
        <v>#N/A</v>
      </c>
      <c r="S64" s="8" t="s">
        <v>15</v>
      </c>
      <c r="T64" s="26" t="str">
        <f>IFERROR(__xludf.DUMMYFUNCTION("IFERROR(TRANSPOSE(QUERY(IFERROR(SORT(GOOGLEFINANCE(C64, ""price"", WORKDAY(TODAY(), -40), TODAY()), 1, FALSE)), ""select Col2 where Col2 is not null limit 22 label Col2 ''"", 0)), """")"),"")</f>
        <v/>
      </c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8"/>
      <c r="AO64" s="28"/>
      <c r="AP64" s="29"/>
      <c r="AQ64" s="29" t="str">
        <f t="shared" ref="AQ64:BL64" si="67">T64/T$2</f>
        <v>#N/A</v>
      </c>
      <c r="AR64" s="29" t="str">
        <f t="shared" si="67"/>
        <v>#DIV/0!</v>
      </c>
      <c r="AS64" s="29" t="str">
        <f t="shared" si="67"/>
        <v>#DIV/0!</v>
      </c>
      <c r="AT64" s="29" t="str">
        <f t="shared" si="67"/>
        <v>#DIV/0!</v>
      </c>
      <c r="AU64" s="29" t="str">
        <f t="shared" si="67"/>
        <v>#DIV/0!</v>
      </c>
      <c r="AV64" s="29" t="str">
        <f t="shared" si="67"/>
        <v>#DIV/0!</v>
      </c>
      <c r="AW64" s="29" t="str">
        <f t="shared" si="67"/>
        <v>#DIV/0!</v>
      </c>
      <c r="AX64" s="29" t="str">
        <f t="shared" si="67"/>
        <v>#DIV/0!</v>
      </c>
      <c r="AY64" s="29" t="str">
        <f t="shared" si="67"/>
        <v>#DIV/0!</v>
      </c>
      <c r="AZ64" s="29" t="str">
        <f t="shared" si="67"/>
        <v>#DIV/0!</v>
      </c>
      <c r="BA64" s="29" t="str">
        <f t="shared" si="67"/>
        <v>#DIV/0!</v>
      </c>
      <c r="BB64" s="29" t="str">
        <f t="shared" si="67"/>
        <v>#DIV/0!</v>
      </c>
      <c r="BC64" s="29" t="str">
        <f t="shared" si="67"/>
        <v>#DIV/0!</v>
      </c>
      <c r="BD64" s="29" t="str">
        <f t="shared" si="67"/>
        <v>#DIV/0!</v>
      </c>
      <c r="BE64" s="29" t="str">
        <f t="shared" si="67"/>
        <v>#DIV/0!</v>
      </c>
      <c r="BF64" s="29" t="str">
        <f t="shared" si="67"/>
        <v>#DIV/0!</v>
      </c>
      <c r="BG64" s="29" t="str">
        <f t="shared" si="67"/>
        <v>#DIV/0!</v>
      </c>
      <c r="BH64" s="29" t="str">
        <f t="shared" si="67"/>
        <v>#DIV/0!</v>
      </c>
      <c r="BI64" s="29" t="str">
        <f t="shared" si="67"/>
        <v>#DIV/0!</v>
      </c>
      <c r="BJ64" s="29" t="str">
        <f t="shared" si="67"/>
        <v>#DIV/0!</v>
      </c>
      <c r="BK64" s="29" t="str">
        <f t="shared" si="67"/>
        <v>#DIV/0!</v>
      </c>
      <c r="BL64" s="29" t="str">
        <f t="shared" si="67"/>
        <v>#DIV/0!</v>
      </c>
      <c r="BM64" s="29" t="str">
        <f t="shared" si="3"/>
        <v>#DIV/0!</v>
      </c>
    </row>
    <row r="65">
      <c r="A65" s="16" t="str">
        <f>IFERROR(__xludf.DUMMYFUNCTION("IFERROR(SPARKLINE(SORT(MAP(TRANSPOSE(AQ65:BL65), LAMBDA(val, IF(ISNUMBER(val), PERCENTRANK(AQ65:BL65, val)+0.01, 0))), SEQUENCE(COLUMNS(AQ65:BL65)), FALSE), {""charttype"",""column""; ""color"",""chartreuse""; ""ymin"", 0; ""ymax"", 1.01; ""highcolor"", "&amp;"""darkgreen""; ""lowcolor"", ""red""}), """")"),"")</f>
        <v/>
      </c>
      <c r="B65" s="17" t="str">
        <f t="shared" si="4"/>
        <v/>
      </c>
      <c r="C65" s="1" t="s">
        <v>2311</v>
      </c>
      <c r="D65" s="30" t="str">
        <f>IFERROR(__xludf.DUMMYFUNCTION("IFERROR(GOOGLEFINANCE(C65, ""NAME""))"),"Spectrum Brands Holdings Inc")</f>
        <v>Spectrum Brands Holdings Inc</v>
      </c>
      <c r="E65" s="30" t="s">
        <v>2132</v>
      </c>
      <c r="F65" s="33" t="str">
        <f>IFERROR(__xludf.DUMMYFUNCTION("( (GOOGLEFINANCE(C65, ""price"") - Q65) / Q65 ) / (R65 / 100)"),"Loading...")</f>
        <v>Loading...</v>
      </c>
      <c r="G65" s="20" t="str">
        <f>IFERROR(__xludf.DUMMYFUNCTION("AVERAGE(ARRAYFORMULA(100 * (QUERY(GOOGLEFINANCE(C65, ""high"", TODAY()-40, TODAY()), ""SELECT Col2 WHERE Col2 IS NOT NULL ORDER BY Col1 DESC LIMIT 20"", 0) / QUERY(GOOGLEFINANCE(C65, ""low"", TODAY()-40, TODAY()), ""SELECT Col2 WHERE Col2 IS NOT NULL ORDE"&amp;"R BY Col1 DESC LIMIT 20"", 0) - 1)))"),"#N/A")</f>
        <v>#N/A</v>
      </c>
      <c r="H65" s="35" t="str">
        <f t="shared" si="6"/>
        <v>Illiquid</v>
      </c>
      <c r="I65" s="36" t="str">
        <f t="shared" si="7"/>
        <v>RVol Required</v>
      </c>
      <c r="J65" s="37">
        <f>IFERROR(__xludf.DUMMYFUNCTION("IFERROR(
  IF(C65="""",, 
    IFERROR(
      GOOGLEFINANCE(C65, ""price"") * GOOGLEFINANCE(C65, ""volumeavg""), 
      GOOGLEFINANCE(C65, ""price"") * AVERAGE(QUERY(GOOGLEFINANCE(C65, ""volume"", TODAY()-40, TODAY()), ""SELECT Col2 WHERE Col2 IS NOT NULL "&amp;"ORDER BY Col1 DESC LIMIT 20"", 0))
    )
  ), 
"""")"),2.42213056E7)</f>
        <v>24221305.6</v>
      </c>
      <c r="K65" s="21">
        <f>IFERROR(__xludf.DUMMYFUNCTION("IFERROR(GOOGLEFINANCE(C65, ""changepct"") / 100, """")"),0.0013)</f>
        <v>0.0013</v>
      </c>
      <c r="L65" s="21" t="str">
        <f>IFERROR(__xludf.DUMMYFUNCTION("IFERROR((GOOGLEFINANCE(C65, ""price"") / INDEX(GOOGLEFINANCE(C65, ""price"", TODAY()-7, TODAY()), 2, 2)) - 1, """")"),"")</f>
        <v/>
      </c>
      <c r="M65" s="21" t="str">
        <f>IFERROR(__xludf.DUMMYFUNCTION("IFERROR((GOOGLEFINANCE(C65, ""price"") / INDEX(GOOGLEFINANCE(C65, ""price"", EDATE(TODAY(), -1), TODAY()), 2, 2)) - 1, """")"),"")</f>
        <v/>
      </c>
      <c r="N65" s="21" t="str">
        <f>IFERROR(__xludf.DUMMYFUNCTION("IFERROR((GOOGLEFINANCE(C65, ""price"") / INDEX(GOOGLEFINANCE(C65, ""price"", EDATE(TODAY(), -3), TODAY()), 2, 2)) - 1, """")"),"")</f>
        <v/>
      </c>
      <c r="O65" s="21" t="str">
        <f>IFERROR(__xludf.DUMMYFUNCTION("IFERROR((GOOGLEFINANCE(C65, ""price"") / INDEX(GOOGLEFINANCE(C65, ""price"", EDATE(TODAY(), -6), TODAY()), 2, 2)) - 1, """")"),"")</f>
        <v/>
      </c>
      <c r="P65" s="21" t="str">
        <f>IFERROR(__xludf.DUMMYFUNCTION("IFERROR((GOOGLEFINANCE(C65, ""price"") / INDEX(GOOGLEFINANCE(C65, ""price"", EDATE(TODAY(), -12), TODAY()), 2, 2)) - 1, """")"),"")</f>
        <v/>
      </c>
      <c r="Q65" s="6" t="str">
        <f>IFERROR(__xludf.DUMMYFUNCTION("AVERAGE(QUERY(GOOGLEFINANCE(C65, ""price"", TODAY()-80, TODAY()), ""SELECT Col2 WHERE Col2 IS NOT NULL ORDER BY Col1 DESC LIMIT 50"", 0))"),"#N/A")</f>
        <v>#N/A</v>
      </c>
      <c r="R65" s="24" t="str">
        <f>IFERROR(__xludf.DUMMYFUNCTION("IFERROR(
  LET(
    data, QUERY(GOOGLEFINANCE(C65,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GOOGLEFINANCE(C65, ""price"")) * 100,
    IF(calc=0, G65, calc)
  ), 
G65)"),"#N/A")</f>
        <v>#N/A</v>
      </c>
      <c r="S65" s="8" t="s">
        <v>15</v>
      </c>
      <c r="T65" s="26" t="str">
        <f>IFERROR(__xludf.DUMMYFUNCTION("IFERROR(TRANSPOSE(QUERY(IFERROR(SORT(GOOGLEFINANCE(C65, ""price"", WORKDAY(TODAY(), -40), TODAY()), 1, FALSE)), ""select Col2 where Col2 is not null limit 22 label Col2 ''"", 0)), """")"),"")</f>
        <v/>
      </c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8"/>
      <c r="AO65" s="28"/>
      <c r="AP65" s="29"/>
      <c r="AQ65" s="29" t="str">
        <f t="shared" ref="AQ65:BL65" si="68">T65/T$2</f>
        <v>#N/A</v>
      </c>
      <c r="AR65" s="29" t="str">
        <f t="shared" si="68"/>
        <v>#DIV/0!</v>
      </c>
      <c r="AS65" s="29" t="str">
        <f t="shared" si="68"/>
        <v>#DIV/0!</v>
      </c>
      <c r="AT65" s="29" t="str">
        <f t="shared" si="68"/>
        <v>#DIV/0!</v>
      </c>
      <c r="AU65" s="29" t="str">
        <f t="shared" si="68"/>
        <v>#DIV/0!</v>
      </c>
      <c r="AV65" s="29" t="str">
        <f t="shared" si="68"/>
        <v>#DIV/0!</v>
      </c>
      <c r="AW65" s="29" t="str">
        <f t="shared" si="68"/>
        <v>#DIV/0!</v>
      </c>
      <c r="AX65" s="29" t="str">
        <f t="shared" si="68"/>
        <v>#DIV/0!</v>
      </c>
      <c r="AY65" s="29" t="str">
        <f t="shared" si="68"/>
        <v>#DIV/0!</v>
      </c>
      <c r="AZ65" s="29" t="str">
        <f t="shared" si="68"/>
        <v>#DIV/0!</v>
      </c>
      <c r="BA65" s="29" t="str">
        <f t="shared" si="68"/>
        <v>#DIV/0!</v>
      </c>
      <c r="BB65" s="29" t="str">
        <f t="shared" si="68"/>
        <v>#DIV/0!</v>
      </c>
      <c r="BC65" s="29" t="str">
        <f t="shared" si="68"/>
        <v>#DIV/0!</v>
      </c>
      <c r="BD65" s="29" t="str">
        <f t="shared" si="68"/>
        <v>#DIV/0!</v>
      </c>
      <c r="BE65" s="29" t="str">
        <f t="shared" si="68"/>
        <v>#DIV/0!</v>
      </c>
      <c r="BF65" s="29" t="str">
        <f t="shared" si="68"/>
        <v>#DIV/0!</v>
      </c>
      <c r="BG65" s="29" t="str">
        <f t="shared" si="68"/>
        <v>#DIV/0!</v>
      </c>
      <c r="BH65" s="29" t="str">
        <f t="shared" si="68"/>
        <v>#DIV/0!</v>
      </c>
      <c r="BI65" s="29" t="str">
        <f t="shared" si="68"/>
        <v>#DIV/0!</v>
      </c>
      <c r="BJ65" s="29" t="str">
        <f t="shared" si="68"/>
        <v>#DIV/0!</v>
      </c>
      <c r="BK65" s="29" t="str">
        <f t="shared" si="68"/>
        <v>#DIV/0!</v>
      </c>
      <c r="BL65" s="29" t="str">
        <f t="shared" si="68"/>
        <v>#DIV/0!</v>
      </c>
      <c r="BM65" s="29" t="str">
        <f t="shared" si="3"/>
        <v>#DIV/0!</v>
      </c>
    </row>
    <row r="66">
      <c r="A66" s="16" t="str">
        <f>IFERROR(__xludf.DUMMYFUNCTION("IFERROR(SPARKLINE(SORT(MAP(TRANSPOSE(AQ66:BL66), LAMBDA(val, IF(ISNUMBER(val), PERCENTRANK(AQ66:BL66, val)+0.01, 0))), SEQUENCE(COLUMNS(AQ66:BL66)), FALSE), {""charttype"",""column""; ""color"",""chartreuse""; ""ymin"", 0; ""ymax"", 1.01; ""highcolor"", "&amp;"""darkgreen""; ""lowcolor"", ""red""}), """")"),"")</f>
        <v/>
      </c>
      <c r="B66" s="17" t="str">
        <f t="shared" si="4"/>
        <v/>
      </c>
      <c r="C66" s="1" t="s">
        <v>2315</v>
      </c>
      <c r="D66" s="30" t="str">
        <f>IFERROR(__xludf.DUMMYFUNCTION("IFERROR(GOOGLEFINANCE(C66, ""NAME""))"),"SNDL Inc")</f>
        <v>SNDL Inc</v>
      </c>
      <c r="E66" s="30" t="s">
        <v>2176</v>
      </c>
      <c r="F66" s="33" t="str">
        <f>IFERROR(__xludf.DUMMYFUNCTION("( (GOOGLEFINANCE(C66, ""price"") - Q66) / Q66 ) / (R66 / 100)"),"Loading...")</f>
        <v>Loading...</v>
      </c>
      <c r="G66" s="20" t="str">
        <f>IFERROR(__xludf.DUMMYFUNCTION("AVERAGE(ARRAYFORMULA(100 * (QUERY(GOOGLEFINANCE(C66, ""high"", TODAY()-40, TODAY()), ""SELECT Col2 WHERE Col2 IS NOT NULL ORDER BY Col1 DESC LIMIT 20"", 0) / QUERY(GOOGLEFINANCE(C66, ""low"", TODAY()-40, TODAY()), ""SELECT Col2 WHERE Col2 IS NOT NULL ORDE"&amp;"R BY Col1 DESC LIMIT 20"", 0) - 1)))"),"#N/A")</f>
        <v>#N/A</v>
      </c>
      <c r="H66" s="35" t="str">
        <f t="shared" si="6"/>
        <v>Illiquid</v>
      </c>
      <c r="I66" s="36" t="str">
        <f t="shared" si="7"/>
        <v>RVol Required</v>
      </c>
      <c r="J66" s="37">
        <f>IFERROR(__xludf.DUMMYFUNCTION("IFERROR(
  IF(C66="""",, 
    IFERROR(
      GOOGLEFINANCE(C66, ""price"") * GOOGLEFINANCE(C66, ""volumeavg""), 
      GOOGLEFINANCE(C66, ""price"") * AVERAGE(QUERY(GOOGLEFINANCE(C66, ""volume"", TODAY()-40, TODAY()), ""SELECT Col2 WHERE Col2 IS NOT NULL "&amp;"ORDER BY Col1 DESC LIMIT 20"", 0))
    )
  ), 
"""")"),1683721.25)</f>
        <v>1683721.25</v>
      </c>
      <c r="K66" s="21">
        <f>IFERROR(__xludf.DUMMYFUNCTION("IFERROR(GOOGLEFINANCE(C66, ""changepct"") / 100, """")"),0.0331)</f>
        <v>0.0331</v>
      </c>
      <c r="L66" s="21" t="str">
        <f>IFERROR(__xludf.DUMMYFUNCTION("IFERROR((GOOGLEFINANCE(C66, ""price"") / INDEX(GOOGLEFINANCE(C66, ""price"", TODAY()-7, TODAY()), 2, 2)) - 1, """")"),"")</f>
        <v/>
      </c>
      <c r="M66" s="21" t="str">
        <f>IFERROR(__xludf.DUMMYFUNCTION("IFERROR((GOOGLEFINANCE(C66, ""price"") / INDEX(GOOGLEFINANCE(C66, ""price"", EDATE(TODAY(), -1), TODAY()), 2, 2)) - 1, """")"),"")</f>
        <v/>
      </c>
      <c r="N66" s="21" t="str">
        <f>IFERROR(__xludf.DUMMYFUNCTION("IFERROR((GOOGLEFINANCE(C66, ""price"") / INDEX(GOOGLEFINANCE(C66, ""price"", EDATE(TODAY(), -3), TODAY()), 2, 2)) - 1, """")"),"")</f>
        <v/>
      </c>
      <c r="O66" s="21" t="str">
        <f>IFERROR(__xludf.DUMMYFUNCTION("IFERROR((GOOGLEFINANCE(C66, ""price"") / INDEX(GOOGLEFINANCE(C66, ""price"", EDATE(TODAY(), -6), TODAY()), 2, 2)) - 1, """")"),"")</f>
        <v/>
      </c>
      <c r="P66" s="21" t="str">
        <f>IFERROR(__xludf.DUMMYFUNCTION("IFERROR((GOOGLEFINANCE(C66, ""price"") / INDEX(GOOGLEFINANCE(C66, ""price"", EDATE(TODAY(), -12), TODAY()), 2, 2)) - 1, """")"),"")</f>
        <v/>
      </c>
      <c r="Q66" s="6" t="str">
        <f>IFERROR(__xludf.DUMMYFUNCTION("AVERAGE(QUERY(GOOGLEFINANCE(C66, ""price"", TODAY()-80, TODAY()), ""SELECT Col2 WHERE Col2 IS NOT NULL ORDER BY Col1 DESC LIMIT 50"", 0))"),"#N/A")</f>
        <v>#N/A</v>
      </c>
      <c r="R66" s="24" t="str">
        <f>IFERROR(__xludf.DUMMYFUNCTION("IFERROR(
  LET(
    data, QUERY(GOOGLEFINANCE(C66,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GOOGLEFINANCE(C66, ""price"")) * 100,
    IF(calc=0, G66, calc)
  ), 
G66)"),"#N/A")</f>
        <v>#N/A</v>
      </c>
      <c r="S66" s="8" t="s">
        <v>15</v>
      </c>
      <c r="T66" s="26" t="str">
        <f>IFERROR(__xludf.DUMMYFUNCTION("IFERROR(TRANSPOSE(QUERY(IFERROR(SORT(GOOGLEFINANCE(C66, ""price"", WORKDAY(TODAY(), -40), TODAY()), 1, FALSE)), ""select Col2 where Col2 is not null limit 22 label Col2 ''"", 0)), """")"),"")</f>
        <v/>
      </c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8"/>
      <c r="AO66" s="28"/>
      <c r="AP66" s="29"/>
      <c r="AQ66" s="29" t="str">
        <f t="shared" ref="AQ66:BL66" si="69">T66/T$2</f>
        <v>#N/A</v>
      </c>
      <c r="AR66" s="29" t="str">
        <f t="shared" si="69"/>
        <v>#DIV/0!</v>
      </c>
      <c r="AS66" s="29" t="str">
        <f t="shared" si="69"/>
        <v>#DIV/0!</v>
      </c>
      <c r="AT66" s="29" t="str">
        <f t="shared" si="69"/>
        <v>#DIV/0!</v>
      </c>
      <c r="AU66" s="29" t="str">
        <f t="shared" si="69"/>
        <v>#DIV/0!</v>
      </c>
      <c r="AV66" s="29" t="str">
        <f t="shared" si="69"/>
        <v>#DIV/0!</v>
      </c>
      <c r="AW66" s="29" t="str">
        <f t="shared" si="69"/>
        <v>#DIV/0!</v>
      </c>
      <c r="AX66" s="29" t="str">
        <f t="shared" si="69"/>
        <v>#DIV/0!</v>
      </c>
      <c r="AY66" s="29" t="str">
        <f t="shared" si="69"/>
        <v>#DIV/0!</v>
      </c>
      <c r="AZ66" s="29" t="str">
        <f t="shared" si="69"/>
        <v>#DIV/0!</v>
      </c>
      <c r="BA66" s="29" t="str">
        <f t="shared" si="69"/>
        <v>#DIV/0!</v>
      </c>
      <c r="BB66" s="29" t="str">
        <f t="shared" si="69"/>
        <v>#DIV/0!</v>
      </c>
      <c r="BC66" s="29" t="str">
        <f t="shared" si="69"/>
        <v>#DIV/0!</v>
      </c>
      <c r="BD66" s="29" t="str">
        <f t="shared" si="69"/>
        <v>#DIV/0!</v>
      </c>
      <c r="BE66" s="29" t="str">
        <f t="shared" si="69"/>
        <v>#DIV/0!</v>
      </c>
      <c r="BF66" s="29" t="str">
        <f t="shared" si="69"/>
        <v>#DIV/0!</v>
      </c>
      <c r="BG66" s="29" t="str">
        <f t="shared" si="69"/>
        <v>#DIV/0!</v>
      </c>
      <c r="BH66" s="29" t="str">
        <f t="shared" si="69"/>
        <v>#DIV/0!</v>
      </c>
      <c r="BI66" s="29" t="str">
        <f t="shared" si="69"/>
        <v>#DIV/0!</v>
      </c>
      <c r="BJ66" s="29" t="str">
        <f t="shared" si="69"/>
        <v>#DIV/0!</v>
      </c>
      <c r="BK66" s="29" t="str">
        <f t="shared" si="69"/>
        <v>#DIV/0!</v>
      </c>
      <c r="BL66" s="29" t="str">
        <f t="shared" si="69"/>
        <v>#DIV/0!</v>
      </c>
      <c r="BM66" s="29" t="str">
        <f t="shared" si="3"/>
        <v>#DIV/0!</v>
      </c>
    </row>
    <row r="67">
      <c r="A67" s="16" t="str">
        <f>IFERROR(__xludf.DUMMYFUNCTION("IFERROR(SPARKLINE(SORT(MAP(TRANSPOSE(AQ67:BL67), LAMBDA(val, IF(ISNUMBER(val), PERCENTRANK(AQ67:BL67, val)+0.01, 0))), SEQUENCE(COLUMNS(AQ67:BL67)), FALSE), {""charttype"",""column""; ""color"",""chartreuse""; ""ymin"", 0; ""ymax"", 1.01; ""highcolor"", "&amp;"""darkgreen""; ""lowcolor"", ""red""}), """")"),"")</f>
        <v/>
      </c>
      <c r="B67" s="17" t="str">
        <f t="shared" si="4"/>
        <v/>
      </c>
      <c r="C67" s="1" t="s">
        <v>2319</v>
      </c>
      <c r="D67" s="30" t="str">
        <f>IFERROR(__xludf.DUMMYFUNCTION("IFERROR(GOOGLEFINANCE(C67, ""NAME""))"),"Post Holdings Inc")</f>
        <v>Post Holdings Inc</v>
      </c>
      <c r="E67" s="30" t="s">
        <v>2094</v>
      </c>
      <c r="F67" s="33" t="str">
        <f>IFERROR(__xludf.DUMMYFUNCTION("( (GOOGLEFINANCE(C67, ""price"") - Q67) / Q67 ) / (R67 / 100)"),"Loading...")</f>
        <v>Loading...</v>
      </c>
      <c r="G67" s="20" t="str">
        <f>IFERROR(__xludf.DUMMYFUNCTION("AVERAGE(ARRAYFORMULA(100 * (QUERY(GOOGLEFINANCE(C67, ""high"", TODAY()-40, TODAY()), ""SELECT Col2 WHERE Col2 IS NOT NULL ORDER BY Col1 DESC LIMIT 20"", 0) / QUERY(GOOGLEFINANCE(C67, ""low"", TODAY()-40, TODAY()), ""SELECT Col2 WHERE Col2 IS NOT NULL ORDE"&amp;"R BY Col1 DESC LIMIT 20"", 0) - 1)))"),"#N/A")</f>
        <v>#N/A</v>
      </c>
      <c r="H67" s="35" t="str">
        <f t="shared" si="6"/>
        <v>Liquid</v>
      </c>
      <c r="I67" s="36" t="str">
        <f t="shared" si="7"/>
        <v>RVol Required</v>
      </c>
      <c r="J67" s="37">
        <f>IFERROR(__xludf.DUMMYFUNCTION("IFERROR(
  IF(C67="""",, 
    IFERROR(
      GOOGLEFINANCE(C67, ""price"") * GOOGLEFINANCE(C67, ""volumeavg""), 
      GOOGLEFINANCE(C67, ""price"") * AVERAGE(QUERY(GOOGLEFINANCE(C67, ""volume"", TODAY()-40, TODAY()), ""SELECT Col2 WHERE Col2 IS NOT NULL "&amp;"ORDER BY Col1 DESC LIMIT 20"", 0))
    )
  ), 
"""")"),6.709116314E7)</f>
        <v>67091163.14</v>
      </c>
      <c r="K67" s="21">
        <f>IFERROR(__xludf.DUMMYFUNCTION("IFERROR(GOOGLEFINANCE(C67, ""changepct"") / 100, """")"),0.0147)</f>
        <v>0.0147</v>
      </c>
      <c r="L67" s="21" t="str">
        <f>IFERROR(__xludf.DUMMYFUNCTION("IFERROR((GOOGLEFINANCE(C67, ""price"") / INDEX(GOOGLEFINANCE(C67, ""price"", TODAY()-7, TODAY()), 2, 2)) - 1, """")"),"")</f>
        <v/>
      </c>
      <c r="M67" s="21" t="str">
        <f>IFERROR(__xludf.DUMMYFUNCTION("IFERROR((GOOGLEFINANCE(C67, ""price"") / INDEX(GOOGLEFINANCE(C67, ""price"", EDATE(TODAY(), -1), TODAY()), 2, 2)) - 1, """")"),"")</f>
        <v/>
      </c>
      <c r="N67" s="21" t="str">
        <f>IFERROR(__xludf.DUMMYFUNCTION("IFERROR((GOOGLEFINANCE(C67, ""price"") / INDEX(GOOGLEFINANCE(C67, ""price"", EDATE(TODAY(), -3), TODAY()), 2, 2)) - 1, """")"),"")</f>
        <v/>
      </c>
      <c r="O67" s="21" t="str">
        <f>IFERROR(__xludf.DUMMYFUNCTION("IFERROR((GOOGLEFINANCE(C67, ""price"") / INDEX(GOOGLEFINANCE(C67, ""price"", EDATE(TODAY(), -6), TODAY()), 2, 2)) - 1, """")"),"")</f>
        <v/>
      </c>
      <c r="P67" s="21" t="str">
        <f>IFERROR(__xludf.DUMMYFUNCTION("IFERROR((GOOGLEFINANCE(C67, ""price"") / INDEX(GOOGLEFINANCE(C67, ""price"", EDATE(TODAY(), -12), TODAY()), 2, 2)) - 1, """")"),"")</f>
        <v/>
      </c>
      <c r="Q67" s="6" t="str">
        <f>IFERROR(__xludf.DUMMYFUNCTION("AVERAGE(QUERY(GOOGLEFINANCE(C67, ""price"", TODAY()-80, TODAY()), ""SELECT Col2 WHERE Col2 IS NOT NULL ORDER BY Col1 DESC LIMIT 50"", 0))"),"#N/A")</f>
        <v>#N/A</v>
      </c>
      <c r="R67" s="24" t="str">
        <f>IFERROR(__xludf.DUMMYFUNCTION("IFERROR(
  LET(
    data, QUERY(GOOGLEFINANCE(C67,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GOOGLEFINANCE(C67, ""price"")) * 100,
    IF(calc=0, G67, calc)
  ), 
G67)"),"#N/A")</f>
        <v>#N/A</v>
      </c>
      <c r="S67" s="8" t="s">
        <v>15</v>
      </c>
      <c r="T67" s="26" t="str">
        <f>IFERROR(__xludf.DUMMYFUNCTION("IFERROR(TRANSPOSE(QUERY(IFERROR(SORT(GOOGLEFINANCE(C67, ""price"", WORKDAY(TODAY(), -40), TODAY()), 1, FALSE)), ""select Col2 where Col2 is not null limit 22 label Col2 ''"", 0)), """")"),"")</f>
        <v/>
      </c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8"/>
      <c r="AO67" s="28"/>
      <c r="AP67" s="29"/>
      <c r="AQ67" s="29" t="str">
        <f t="shared" ref="AQ67:BL67" si="70">T67/T$2</f>
        <v>#N/A</v>
      </c>
      <c r="AR67" s="29" t="str">
        <f t="shared" si="70"/>
        <v>#DIV/0!</v>
      </c>
      <c r="AS67" s="29" t="str">
        <f t="shared" si="70"/>
        <v>#DIV/0!</v>
      </c>
      <c r="AT67" s="29" t="str">
        <f t="shared" si="70"/>
        <v>#DIV/0!</v>
      </c>
      <c r="AU67" s="29" t="str">
        <f t="shared" si="70"/>
        <v>#DIV/0!</v>
      </c>
      <c r="AV67" s="29" t="str">
        <f t="shared" si="70"/>
        <v>#DIV/0!</v>
      </c>
      <c r="AW67" s="29" t="str">
        <f t="shared" si="70"/>
        <v>#DIV/0!</v>
      </c>
      <c r="AX67" s="29" t="str">
        <f t="shared" si="70"/>
        <v>#DIV/0!</v>
      </c>
      <c r="AY67" s="29" t="str">
        <f t="shared" si="70"/>
        <v>#DIV/0!</v>
      </c>
      <c r="AZ67" s="29" t="str">
        <f t="shared" si="70"/>
        <v>#DIV/0!</v>
      </c>
      <c r="BA67" s="29" t="str">
        <f t="shared" si="70"/>
        <v>#DIV/0!</v>
      </c>
      <c r="BB67" s="29" t="str">
        <f t="shared" si="70"/>
        <v>#DIV/0!</v>
      </c>
      <c r="BC67" s="29" t="str">
        <f t="shared" si="70"/>
        <v>#DIV/0!</v>
      </c>
      <c r="BD67" s="29" t="str">
        <f t="shared" si="70"/>
        <v>#DIV/0!</v>
      </c>
      <c r="BE67" s="29" t="str">
        <f t="shared" si="70"/>
        <v>#DIV/0!</v>
      </c>
      <c r="BF67" s="29" t="str">
        <f t="shared" si="70"/>
        <v>#DIV/0!</v>
      </c>
      <c r="BG67" s="29" t="str">
        <f t="shared" si="70"/>
        <v>#DIV/0!</v>
      </c>
      <c r="BH67" s="29" t="str">
        <f t="shared" si="70"/>
        <v>#DIV/0!</v>
      </c>
      <c r="BI67" s="29" t="str">
        <f t="shared" si="70"/>
        <v>#DIV/0!</v>
      </c>
      <c r="BJ67" s="29" t="str">
        <f t="shared" si="70"/>
        <v>#DIV/0!</v>
      </c>
      <c r="BK67" s="29" t="str">
        <f t="shared" si="70"/>
        <v>#DIV/0!</v>
      </c>
      <c r="BL67" s="29" t="str">
        <f t="shared" si="70"/>
        <v>#DIV/0!</v>
      </c>
      <c r="BM67" s="29" t="str">
        <f t="shared" si="3"/>
        <v>#DIV/0!</v>
      </c>
    </row>
    <row r="68">
      <c r="A68" s="16" t="str">
        <f>IFERROR(__xludf.DUMMYFUNCTION("IFERROR(SPARKLINE(SORT(MAP(TRANSPOSE(AQ68:BL68), LAMBDA(val, IF(ISNUMBER(val), PERCENTRANK(AQ68:BL68, val)+0.01, 0))), SEQUENCE(COLUMNS(AQ68:BL68)), FALSE), {""charttype"",""column""; ""color"",""chartreuse""; ""ymin"", 0; ""ymax"", 1.01; ""highcolor"", "&amp;"""darkgreen""; ""lowcolor"", ""red""}), """")"),"")</f>
        <v/>
      </c>
      <c r="B68" s="17" t="str">
        <f t="shared" si="4"/>
        <v/>
      </c>
      <c r="C68" s="1" t="s">
        <v>2323</v>
      </c>
      <c r="D68" s="30" t="str">
        <f>IFERROR(__xludf.DUMMYFUNCTION("IFERROR(GOOGLEFINANCE(C68, ""NAME""))"),"Natural Grocers by Vitamin Cottage Inc")</f>
        <v>Natural Grocers by Vitamin Cottage Inc</v>
      </c>
      <c r="E68" s="30" t="s">
        <v>2063</v>
      </c>
      <c r="F68" s="38" t="str">
        <f>IFERROR(__xludf.DUMMYFUNCTION("( (GOOGLEFINANCE(C68, ""price"") - Q68) / Q68 ) / (R68 / 100)"),"Loading...")</f>
        <v>Loading...</v>
      </c>
      <c r="G68" s="20" t="str">
        <f>IFERROR(__xludf.DUMMYFUNCTION("AVERAGE(ARRAYFORMULA(100 * (QUERY(GOOGLEFINANCE(C68, ""high"", TODAY()-40, TODAY()), ""SELECT Col2 WHERE Col2 IS NOT NULL ORDER BY Col1 DESC LIMIT 20"", 0) / QUERY(GOOGLEFINANCE(C68, ""low"", TODAY()-40, TODAY()), ""SELECT Col2 WHERE Col2 IS NOT NULL ORDE"&amp;"R BY Col1 DESC LIMIT 20"", 0) - 1)))"),"#N/A")</f>
        <v>#N/A</v>
      </c>
      <c r="H68" s="35" t="str">
        <f t="shared" si="6"/>
        <v>Illiquid</v>
      </c>
      <c r="I68" s="36" t="str">
        <f t="shared" si="7"/>
        <v>RVol Required</v>
      </c>
      <c r="J68" s="37">
        <f>IFERROR(__xludf.DUMMYFUNCTION("IFERROR(
  IF(C68="""",, 
    IFERROR(
      GOOGLEFINANCE(C68, ""price"") * GOOGLEFINANCE(C68, ""volumeavg""), 
      GOOGLEFINANCE(C68, ""price"") * AVERAGE(QUERY(GOOGLEFINANCE(C68, ""volume"", TODAY()-40, TODAY()), ""SELECT Col2 WHERE Col2 IS NOT NULL "&amp;"ORDER BY Col1 DESC LIMIT 20"", 0))
    )
  ), 
"""")"),4234281.3)</f>
        <v>4234281.3</v>
      </c>
      <c r="K68" s="21">
        <f>IFERROR(__xludf.DUMMYFUNCTION("IFERROR(GOOGLEFINANCE(C68, ""changepct"") / 100, """")"),3.0E-4)</f>
        <v>0.0003</v>
      </c>
      <c r="L68" s="21" t="str">
        <f>IFERROR(__xludf.DUMMYFUNCTION("IFERROR((GOOGLEFINANCE(C68, ""price"") / INDEX(GOOGLEFINANCE(C68, ""price"", TODAY()-7, TODAY()), 2, 2)) - 1, """")"),"")</f>
        <v/>
      </c>
      <c r="M68" s="21" t="str">
        <f>IFERROR(__xludf.DUMMYFUNCTION("IFERROR((GOOGLEFINANCE(C68, ""price"") / INDEX(GOOGLEFINANCE(C68, ""price"", EDATE(TODAY(), -1), TODAY()), 2, 2)) - 1, """")"),"")</f>
        <v/>
      </c>
      <c r="N68" s="21" t="str">
        <f>IFERROR(__xludf.DUMMYFUNCTION("IFERROR((GOOGLEFINANCE(C68, ""price"") / INDEX(GOOGLEFINANCE(C68, ""price"", EDATE(TODAY(), -3), TODAY()), 2, 2)) - 1, """")"),"")</f>
        <v/>
      </c>
      <c r="O68" s="21" t="str">
        <f>IFERROR(__xludf.DUMMYFUNCTION("IFERROR((GOOGLEFINANCE(C68, ""price"") / INDEX(GOOGLEFINANCE(C68, ""price"", EDATE(TODAY(), -6), TODAY()), 2, 2)) - 1, """")"),"")</f>
        <v/>
      </c>
      <c r="P68" s="21" t="str">
        <f>IFERROR(__xludf.DUMMYFUNCTION("IFERROR((GOOGLEFINANCE(C68, ""price"") / INDEX(GOOGLEFINANCE(C68, ""price"", EDATE(TODAY(), -12), TODAY()), 2, 2)) - 1, """")"),"")</f>
        <v/>
      </c>
      <c r="Q68" s="6" t="str">
        <f>IFERROR(__xludf.DUMMYFUNCTION("AVERAGE(QUERY(GOOGLEFINANCE(C68, ""price"", TODAY()-80, TODAY()), ""SELECT Col2 WHERE Col2 IS NOT NULL ORDER BY Col1 DESC LIMIT 50"", 0))"),"#N/A")</f>
        <v>#N/A</v>
      </c>
      <c r="R68" s="24" t="str">
        <f>IFERROR(__xludf.DUMMYFUNCTION("IFERROR(
  LET(
    data, QUERY(GOOGLEFINANCE(C68,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GOOGLEFINANCE(C68, ""price"")) * 100,
    IF(calc=0, G68, calc)
  ), 
G68)"),"#N/A")</f>
        <v>#N/A</v>
      </c>
      <c r="S68" s="8" t="s">
        <v>15</v>
      </c>
      <c r="T68" s="26" t="str">
        <f>IFERROR(__xludf.DUMMYFUNCTION("IFERROR(TRANSPOSE(QUERY(IFERROR(SORT(GOOGLEFINANCE(C68, ""price"", WORKDAY(TODAY(), -40), TODAY()), 1, FALSE)), ""select Col2 where Col2 is not null limit 22 label Col2 ''"", 0)), """")"),"")</f>
        <v/>
      </c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8"/>
      <c r="AO68" s="28"/>
      <c r="AP68" s="29"/>
      <c r="AQ68" s="29" t="str">
        <f t="shared" ref="AQ68:BL68" si="71">T68/T$2</f>
        <v>#N/A</v>
      </c>
      <c r="AR68" s="29" t="str">
        <f t="shared" si="71"/>
        <v>#DIV/0!</v>
      </c>
      <c r="AS68" s="29" t="str">
        <f t="shared" si="71"/>
        <v>#DIV/0!</v>
      </c>
      <c r="AT68" s="29" t="str">
        <f t="shared" si="71"/>
        <v>#DIV/0!</v>
      </c>
      <c r="AU68" s="29" t="str">
        <f t="shared" si="71"/>
        <v>#DIV/0!</v>
      </c>
      <c r="AV68" s="29" t="str">
        <f t="shared" si="71"/>
        <v>#DIV/0!</v>
      </c>
      <c r="AW68" s="29" t="str">
        <f t="shared" si="71"/>
        <v>#DIV/0!</v>
      </c>
      <c r="AX68" s="29" t="str">
        <f t="shared" si="71"/>
        <v>#DIV/0!</v>
      </c>
      <c r="AY68" s="29" t="str">
        <f t="shared" si="71"/>
        <v>#DIV/0!</v>
      </c>
      <c r="AZ68" s="29" t="str">
        <f t="shared" si="71"/>
        <v>#DIV/0!</v>
      </c>
      <c r="BA68" s="29" t="str">
        <f t="shared" si="71"/>
        <v>#DIV/0!</v>
      </c>
      <c r="BB68" s="29" t="str">
        <f t="shared" si="71"/>
        <v>#DIV/0!</v>
      </c>
      <c r="BC68" s="29" t="str">
        <f t="shared" si="71"/>
        <v>#DIV/0!</v>
      </c>
      <c r="BD68" s="29" t="str">
        <f t="shared" si="71"/>
        <v>#DIV/0!</v>
      </c>
      <c r="BE68" s="29" t="str">
        <f t="shared" si="71"/>
        <v>#DIV/0!</v>
      </c>
      <c r="BF68" s="29" t="str">
        <f t="shared" si="71"/>
        <v>#DIV/0!</v>
      </c>
      <c r="BG68" s="29" t="str">
        <f t="shared" si="71"/>
        <v>#DIV/0!</v>
      </c>
      <c r="BH68" s="29" t="str">
        <f t="shared" si="71"/>
        <v>#DIV/0!</v>
      </c>
      <c r="BI68" s="29" t="str">
        <f t="shared" si="71"/>
        <v>#DIV/0!</v>
      </c>
      <c r="BJ68" s="29" t="str">
        <f t="shared" si="71"/>
        <v>#DIV/0!</v>
      </c>
      <c r="BK68" s="29" t="str">
        <f t="shared" si="71"/>
        <v>#DIV/0!</v>
      </c>
      <c r="BL68" s="29" t="str">
        <f t="shared" si="71"/>
        <v>#DIV/0!</v>
      </c>
      <c r="BM68" s="29" t="str">
        <f t="shared" si="3"/>
        <v>#DIV/0!</v>
      </c>
    </row>
    <row r="69">
      <c r="A69" s="16" t="str">
        <f>IFERROR(__xludf.DUMMYFUNCTION("IFERROR(SPARKLINE(SORT(MAP(TRANSPOSE(AQ69:BL69), LAMBDA(val, IF(ISNUMBER(val), PERCENTRANK(AQ69:BL69, val)+0.01, 0))), SEQUENCE(COLUMNS(AQ69:BL69)), FALSE), {""charttype"",""column""; ""color"",""chartreuse""; ""ymin"", 0; ""ymax"", 1.01; ""highcolor"", "&amp;"""darkgreen""; ""lowcolor"", ""red""}), """")"),"")</f>
        <v/>
      </c>
      <c r="B69" s="17" t="str">
        <f t="shared" si="4"/>
        <v/>
      </c>
      <c r="C69" s="1" t="s">
        <v>2327</v>
      </c>
      <c r="D69" s="30" t="str">
        <f>IFERROR(__xludf.DUMMYFUNCTION("IFERROR(GOOGLEFINANCE(C69, ""NAME""))"),"Marzetti Co")</f>
        <v>Marzetti Co</v>
      </c>
      <c r="E69" s="30" t="s">
        <v>2094</v>
      </c>
      <c r="F69" s="33" t="str">
        <f>IFERROR(__xludf.DUMMYFUNCTION("( (GOOGLEFINANCE(C69, ""price"") - Q69) / Q69 ) / (R69 / 100)"),"Loading...")</f>
        <v>Loading...</v>
      </c>
      <c r="G69" s="20" t="str">
        <f>IFERROR(__xludf.DUMMYFUNCTION("AVERAGE(ARRAYFORMULA(100 * (QUERY(GOOGLEFINANCE(C69, ""high"", TODAY()-40, TODAY()), ""SELECT Col2 WHERE Col2 IS NOT NULL ORDER BY Col1 DESC LIMIT 20"", 0) / QUERY(GOOGLEFINANCE(C69, ""low"", TODAY()-40, TODAY()), ""SELECT Col2 WHERE Col2 IS NOT NULL ORDE"&amp;"R BY Col1 DESC LIMIT 20"", 0) - 1)))"),"#N/A")</f>
        <v>#N/A</v>
      </c>
      <c r="H69" s="35" t="str">
        <f t="shared" si="6"/>
        <v>Illiquid</v>
      </c>
      <c r="I69" s="36" t="str">
        <f t="shared" si="7"/>
        <v>RVol Required</v>
      </c>
      <c r="J69" s="37">
        <f>IFERROR(__xludf.DUMMYFUNCTION("IFERROR(
  IF(C69="""",, 
    IFERROR(
      GOOGLEFINANCE(C69, ""price"") * GOOGLEFINANCE(C69, ""volumeavg""), 
      GOOGLEFINANCE(C69, ""price"") * AVERAGE(QUERY(GOOGLEFINANCE(C69, ""volume"", TODAY()-40, TODAY()), ""SELECT Col2 WHERE Col2 IS NOT NULL "&amp;"ORDER BY Col1 DESC LIMIT 20"", 0))
    )
  ), 
"""")"),4.541425817E7)</f>
        <v>45414258.17</v>
      </c>
      <c r="K69" s="21">
        <f>IFERROR(__xludf.DUMMYFUNCTION("IFERROR(GOOGLEFINANCE(C69, ""changepct"") / 100, """")"),0.0124)</f>
        <v>0.0124</v>
      </c>
      <c r="L69" s="21" t="str">
        <f>IFERROR(__xludf.DUMMYFUNCTION("IFERROR((GOOGLEFINANCE(C69, ""price"") / INDEX(GOOGLEFINANCE(C69, ""price"", TODAY()-7, TODAY()), 2, 2)) - 1, """")"),"")</f>
        <v/>
      </c>
      <c r="M69" s="21" t="str">
        <f>IFERROR(__xludf.DUMMYFUNCTION("IFERROR((GOOGLEFINANCE(C69, ""price"") / INDEX(GOOGLEFINANCE(C69, ""price"", EDATE(TODAY(), -1), TODAY()), 2, 2)) - 1, """")"),"")</f>
        <v/>
      </c>
      <c r="N69" s="21" t="str">
        <f>IFERROR(__xludf.DUMMYFUNCTION("IFERROR((GOOGLEFINANCE(C69, ""price"") / INDEX(GOOGLEFINANCE(C69, ""price"", EDATE(TODAY(), -3), TODAY()), 2, 2)) - 1, """")"),"")</f>
        <v/>
      </c>
      <c r="O69" s="21" t="str">
        <f>IFERROR(__xludf.DUMMYFUNCTION("IFERROR((GOOGLEFINANCE(C69, ""price"") / INDEX(GOOGLEFINANCE(C69, ""price"", EDATE(TODAY(), -6), TODAY()), 2, 2)) - 1, """")"),"")</f>
        <v/>
      </c>
      <c r="P69" s="21" t="str">
        <f>IFERROR(__xludf.DUMMYFUNCTION("IFERROR((GOOGLEFINANCE(C69, ""price"") / INDEX(GOOGLEFINANCE(C69, ""price"", EDATE(TODAY(), -12), TODAY()), 2, 2)) - 1, """")"),"")</f>
        <v/>
      </c>
      <c r="Q69" s="6" t="str">
        <f>IFERROR(__xludf.DUMMYFUNCTION("AVERAGE(QUERY(GOOGLEFINANCE(C69, ""price"", TODAY()-80, TODAY()), ""SELECT Col2 WHERE Col2 IS NOT NULL ORDER BY Col1 DESC LIMIT 50"", 0))"),"#N/A")</f>
        <v>#N/A</v>
      </c>
      <c r="R69" s="24" t="str">
        <f>IFERROR(__xludf.DUMMYFUNCTION("IFERROR(
  LET(
    data, QUERY(GOOGLEFINANCE(C69,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GOOGLEFINANCE(C69, ""price"")) * 100,
    IF(calc=0, G69, calc)
  ), 
G69)"),"#N/A")</f>
        <v>#N/A</v>
      </c>
      <c r="S69" s="8" t="s">
        <v>15</v>
      </c>
      <c r="T69" s="26" t="str">
        <f>IFERROR(__xludf.DUMMYFUNCTION("IFERROR(TRANSPOSE(QUERY(IFERROR(SORT(GOOGLEFINANCE(C69, ""price"", WORKDAY(TODAY(), -40), TODAY()), 1, FALSE)), ""select Col2 where Col2 is not null limit 22 label Col2 ''"", 0)), """")"),"")</f>
        <v/>
      </c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8"/>
      <c r="AO69" s="28"/>
      <c r="AP69" s="29"/>
      <c r="AQ69" s="29" t="str">
        <f t="shared" ref="AQ69:BL69" si="72">T69/T$2</f>
        <v>#N/A</v>
      </c>
      <c r="AR69" s="29" t="str">
        <f t="shared" si="72"/>
        <v>#DIV/0!</v>
      </c>
      <c r="AS69" s="29" t="str">
        <f t="shared" si="72"/>
        <v>#DIV/0!</v>
      </c>
      <c r="AT69" s="29" t="str">
        <f t="shared" si="72"/>
        <v>#DIV/0!</v>
      </c>
      <c r="AU69" s="29" t="str">
        <f t="shared" si="72"/>
        <v>#DIV/0!</v>
      </c>
      <c r="AV69" s="29" t="str">
        <f t="shared" si="72"/>
        <v>#DIV/0!</v>
      </c>
      <c r="AW69" s="29" t="str">
        <f t="shared" si="72"/>
        <v>#DIV/0!</v>
      </c>
      <c r="AX69" s="29" t="str">
        <f t="shared" si="72"/>
        <v>#DIV/0!</v>
      </c>
      <c r="AY69" s="29" t="str">
        <f t="shared" si="72"/>
        <v>#DIV/0!</v>
      </c>
      <c r="AZ69" s="29" t="str">
        <f t="shared" si="72"/>
        <v>#DIV/0!</v>
      </c>
      <c r="BA69" s="29" t="str">
        <f t="shared" si="72"/>
        <v>#DIV/0!</v>
      </c>
      <c r="BB69" s="29" t="str">
        <f t="shared" si="72"/>
        <v>#DIV/0!</v>
      </c>
      <c r="BC69" s="29" t="str">
        <f t="shared" si="72"/>
        <v>#DIV/0!</v>
      </c>
      <c r="BD69" s="29" t="str">
        <f t="shared" si="72"/>
        <v>#DIV/0!</v>
      </c>
      <c r="BE69" s="29" t="str">
        <f t="shared" si="72"/>
        <v>#DIV/0!</v>
      </c>
      <c r="BF69" s="29" t="str">
        <f t="shared" si="72"/>
        <v>#DIV/0!</v>
      </c>
      <c r="BG69" s="29" t="str">
        <f t="shared" si="72"/>
        <v>#DIV/0!</v>
      </c>
      <c r="BH69" s="29" t="str">
        <f t="shared" si="72"/>
        <v>#DIV/0!</v>
      </c>
      <c r="BI69" s="29" t="str">
        <f t="shared" si="72"/>
        <v>#DIV/0!</v>
      </c>
      <c r="BJ69" s="29" t="str">
        <f t="shared" si="72"/>
        <v>#DIV/0!</v>
      </c>
      <c r="BK69" s="29" t="str">
        <f t="shared" si="72"/>
        <v>#DIV/0!</v>
      </c>
      <c r="BL69" s="29" t="str">
        <f t="shared" si="72"/>
        <v>#DIV/0!</v>
      </c>
      <c r="BM69" s="29" t="str">
        <f t="shared" si="3"/>
        <v>#DIV/0!</v>
      </c>
    </row>
    <row r="70">
      <c r="A70" s="16" t="str">
        <f>IFERROR(__xludf.DUMMYFUNCTION("IFERROR(SPARKLINE(SORT(MAP(TRANSPOSE(AQ70:BL70), LAMBDA(val, IF(ISNUMBER(val), PERCENTRANK(AQ70:BL70, val)+0.01, 0))), SEQUENCE(COLUMNS(AQ70:BL70)), FALSE), {""charttype"",""column""; ""color"",""chartreuse""; ""ymin"", 0; ""ymax"", 1.01; ""highcolor"", "&amp;"""darkgreen""; ""lowcolor"", ""red""}), """")"),"")</f>
        <v/>
      </c>
      <c r="B70" s="17" t="str">
        <f t="shared" si="4"/>
        <v/>
      </c>
      <c r="C70" s="1" t="s">
        <v>2330</v>
      </c>
      <c r="D70" s="30" t="str">
        <f>IFERROR(__xludf.DUMMYFUNCTION("IFERROR(GOOGLEFINANCE(C70, ""NAME""))"),"Mama's Creations Inc")</f>
        <v>Mama's Creations Inc</v>
      </c>
      <c r="E70" s="30" t="s">
        <v>2094</v>
      </c>
      <c r="F70" s="33" t="str">
        <f>IFERROR(__xludf.DUMMYFUNCTION("( (GOOGLEFINANCE(C70, ""price"") - Q70) / Q70 ) / (R70 / 100)"),"Loading...")</f>
        <v>Loading...</v>
      </c>
      <c r="G70" s="20" t="str">
        <f>IFERROR(__xludf.DUMMYFUNCTION("AVERAGE(ARRAYFORMULA(100 * (QUERY(GOOGLEFINANCE(C70, ""high"", TODAY()-40, TODAY()), ""SELECT Col2 WHERE Col2 IS NOT NULL ORDER BY Col1 DESC LIMIT 20"", 0) / QUERY(GOOGLEFINANCE(C70, ""low"", TODAY()-40, TODAY()), ""SELECT Col2 WHERE Col2 IS NOT NULL ORDE"&amp;"R BY Col1 DESC LIMIT 20"", 0) - 1)))"),"#N/A")</f>
        <v>#N/A</v>
      </c>
      <c r="H70" s="35" t="str">
        <f t="shared" si="6"/>
        <v>Illiquid</v>
      </c>
      <c r="I70" s="36" t="str">
        <f t="shared" si="7"/>
        <v>RVol Required</v>
      </c>
      <c r="J70" s="37">
        <f>IFERROR(__xludf.DUMMYFUNCTION("IFERROR(
  IF(C70="""",, 
    IFERROR(
      GOOGLEFINANCE(C70, ""price"") * GOOGLEFINANCE(C70, ""volumeavg""), 
      GOOGLEFINANCE(C70, ""price"") * AVERAGE(QUERY(GOOGLEFINANCE(C70, ""volume"", TODAY()-40, TODAY()), ""SELECT Col2 WHERE Col2 IS NOT NULL "&amp;"ORDER BY Col1 DESC LIMIT 20"", 0))
    )
  ), 
"""")"),1.0676179799999999E7)</f>
        <v>10676179.8</v>
      </c>
      <c r="K70" s="21">
        <f>IFERROR(__xludf.DUMMYFUNCTION("IFERROR(GOOGLEFINANCE(C70, ""changepct"") / 100, """")"),-0.0301)</f>
        <v>-0.0301</v>
      </c>
      <c r="L70" s="21" t="str">
        <f>IFERROR(__xludf.DUMMYFUNCTION("IFERROR((GOOGLEFINANCE(C70, ""price"") / INDEX(GOOGLEFINANCE(C70, ""price"", TODAY()-7, TODAY()), 2, 2)) - 1, """")"),"")</f>
        <v/>
      </c>
      <c r="M70" s="21" t="str">
        <f>IFERROR(__xludf.DUMMYFUNCTION("IFERROR((GOOGLEFINANCE(C70, ""price"") / INDEX(GOOGLEFINANCE(C70, ""price"", EDATE(TODAY(), -1), TODAY()), 2, 2)) - 1, """")"),"")</f>
        <v/>
      </c>
      <c r="N70" s="21" t="str">
        <f>IFERROR(__xludf.DUMMYFUNCTION("IFERROR((GOOGLEFINANCE(C70, ""price"") / INDEX(GOOGLEFINANCE(C70, ""price"", EDATE(TODAY(), -3), TODAY()), 2, 2)) - 1, """")"),"")</f>
        <v/>
      </c>
      <c r="O70" s="21" t="str">
        <f>IFERROR(__xludf.DUMMYFUNCTION("IFERROR((GOOGLEFINANCE(C70, ""price"") / INDEX(GOOGLEFINANCE(C70, ""price"", EDATE(TODAY(), -6), TODAY()), 2, 2)) - 1, """")"),"")</f>
        <v/>
      </c>
      <c r="P70" s="21" t="str">
        <f>IFERROR(__xludf.DUMMYFUNCTION("IFERROR((GOOGLEFINANCE(C70, ""price"") / INDEX(GOOGLEFINANCE(C70, ""price"", EDATE(TODAY(), -12), TODAY()), 2, 2)) - 1, """")"),"")</f>
        <v/>
      </c>
      <c r="Q70" s="6" t="str">
        <f>IFERROR(__xludf.DUMMYFUNCTION("AVERAGE(QUERY(GOOGLEFINANCE(C70, ""price"", TODAY()-80, TODAY()), ""SELECT Col2 WHERE Col2 IS NOT NULL ORDER BY Col1 DESC LIMIT 50"", 0))"),"#N/A")</f>
        <v>#N/A</v>
      </c>
      <c r="R70" s="24" t="str">
        <f>IFERROR(__xludf.DUMMYFUNCTION("IFERROR(
  LET(
    data, QUERY(GOOGLEFINANCE(C70,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GOOGLEFINANCE(C70, ""price"")) * 100,
    IF(calc=0, G70, calc)
  ), 
G70)"),"#N/A")</f>
        <v>#N/A</v>
      </c>
      <c r="S70" s="8" t="s">
        <v>15</v>
      </c>
      <c r="T70" s="26" t="str">
        <f>IFERROR(__xludf.DUMMYFUNCTION("IFERROR(TRANSPOSE(QUERY(IFERROR(SORT(GOOGLEFINANCE(C70, ""price"", WORKDAY(TODAY(), -40), TODAY()), 1, FALSE)), ""select Col2 where Col2 is not null limit 22 label Col2 ''"", 0)), """")"),"")</f>
        <v/>
      </c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8"/>
      <c r="AO70" s="28"/>
      <c r="AP70" s="29"/>
      <c r="AQ70" s="29" t="str">
        <f t="shared" ref="AQ70:BL70" si="73">T70/T$2</f>
        <v>#N/A</v>
      </c>
      <c r="AR70" s="29" t="str">
        <f t="shared" si="73"/>
        <v>#DIV/0!</v>
      </c>
      <c r="AS70" s="29" t="str">
        <f t="shared" si="73"/>
        <v>#DIV/0!</v>
      </c>
      <c r="AT70" s="29" t="str">
        <f t="shared" si="73"/>
        <v>#DIV/0!</v>
      </c>
      <c r="AU70" s="29" t="str">
        <f t="shared" si="73"/>
        <v>#DIV/0!</v>
      </c>
      <c r="AV70" s="29" t="str">
        <f t="shared" si="73"/>
        <v>#DIV/0!</v>
      </c>
      <c r="AW70" s="29" t="str">
        <f t="shared" si="73"/>
        <v>#DIV/0!</v>
      </c>
      <c r="AX70" s="29" t="str">
        <f t="shared" si="73"/>
        <v>#DIV/0!</v>
      </c>
      <c r="AY70" s="29" t="str">
        <f t="shared" si="73"/>
        <v>#DIV/0!</v>
      </c>
      <c r="AZ70" s="29" t="str">
        <f t="shared" si="73"/>
        <v>#DIV/0!</v>
      </c>
      <c r="BA70" s="29" t="str">
        <f t="shared" si="73"/>
        <v>#DIV/0!</v>
      </c>
      <c r="BB70" s="29" t="str">
        <f t="shared" si="73"/>
        <v>#DIV/0!</v>
      </c>
      <c r="BC70" s="29" t="str">
        <f t="shared" si="73"/>
        <v>#DIV/0!</v>
      </c>
      <c r="BD70" s="29" t="str">
        <f t="shared" si="73"/>
        <v>#DIV/0!</v>
      </c>
      <c r="BE70" s="29" t="str">
        <f t="shared" si="73"/>
        <v>#DIV/0!</v>
      </c>
      <c r="BF70" s="29" t="str">
        <f t="shared" si="73"/>
        <v>#DIV/0!</v>
      </c>
      <c r="BG70" s="29" t="str">
        <f t="shared" si="73"/>
        <v>#DIV/0!</v>
      </c>
      <c r="BH70" s="29" t="str">
        <f t="shared" si="73"/>
        <v>#DIV/0!</v>
      </c>
      <c r="BI70" s="29" t="str">
        <f t="shared" si="73"/>
        <v>#DIV/0!</v>
      </c>
      <c r="BJ70" s="29" t="str">
        <f t="shared" si="73"/>
        <v>#DIV/0!</v>
      </c>
      <c r="BK70" s="29" t="str">
        <f t="shared" si="73"/>
        <v>#DIV/0!</v>
      </c>
      <c r="BL70" s="29" t="str">
        <f t="shared" si="73"/>
        <v>#DIV/0!</v>
      </c>
      <c r="BM70" s="29" t="str">
        <f t="shared" si="3"/>
        <v>#DIV/0!</v>
      </c>
    </row>
    <row r="71">
      <c r="A71" s="16" t="str">
        <f>IFERROR(__xludf.DUMMYFUNCTION("IFERROR(SPARKLINE(SORT(MAP(TRANSPOSE(AQ71:BL71), LAMBDA(val, IF(ISNUMBER(val), PERCENTRANK(AQ71:BL71, val)+0.01, 0))), SEQUENCE(COLUMNS(AQ71:BL71)), FALSE), {""charttype"",""column""; ""color"",""chartreuse""; ""ymin"", 0; ""ymax"", 1.01; ""highcolor"", "&amp;"""darkgreen""; ""lowcolor"", ""red""}), """")"),"")</f>
        <v/>
      </c>
      <c r="B71" s="17" t="str">
        <f t="shared" si="4"/>
        <v/>
      </c>
      <c r="C71" s="1" t="s">
        <v>2334</v>
      </c>
      <c r="D71" s="30" t="str">
        <f>IFERROR(__xludf.DUMMYFUNCTION("IFERROR(GOOGLEFINANCE(C71, ""NAME""))"),"Diageo PLC")</f>
        <v>Diageo PLC</v>
      </c>
      <c r="E71" s="30" t="s">
        <v>2176</v>
      </c>
      <c r="F71" s="33" t="str">
        <f>IFERROR(__xludf.DUMMYFUNCTION("( (GOOGLEFINANCE(C71, ""price"") - Q71) / Q71 ) / (R71 / 100)"),"Loading...")</f>
        <v>Loading...</v>
      </c>
      <c r="G71" s="20" t="str">
        <f>IFERROR(__xludf.DUMMYFUNCTION("AVERAGE(ARRAYFORMULA(100 * (QUERY(GOOGLEFINANCE(C71, ""high"", TODAY()-40, TODAY()), ""SELECT Col2 WHERE Col2 IS NOT NULL ORDER BY Col1 DESC LIMIT 20"", 0) / QUERY(GOOGLEFINANCE(C71, ""low"", TODAY()-40, TODAY()), ""SELECT Col2 WHERE Col2 IS NOT NULL ORDE"&amp;"R BY Col1 DESC LIMIT 20"", 0) - 1)))"),"#N/A")</f>
        <v>#N/A</v>
      </c>
      <c r="H71" s="35" t="str">
        <f t="shared" si="6"/>
        <v>Liquid</v>
      </c>
      <c r="I71" s="36" t="str">
        <f t="shared" si="7"/>
        <v>RVol Required</v>
      </c>
      <c r="J71" s="37">
        <f>IFERROR(__xludf.DUMMYFUNCTION("IFERROR(
  IF(C71="""",, 
    IFERROR(
      GOOGLEFINANCE(C71, ""price"") * GOOGLEFINANCE(C71, ""volumeavg""), 
      GOOGLEFINANCE(C71, ""price"") * AVERAGE(QUERY(GOOGLEFINANCE(C71, ""volume"", TODAY()-40, TODAY()), ""SELECT Col2 WHERE Col2 IS NOT NULL "&amp;"ORDER BY Col1 DESC LIMIT 20"", 0))
    )
  ), 
"""")"),9.891734841E7)</f>
        <v>98917348.41</v>
      </c>
      <c r="K71" s="21">
        <f>IFERROR(__xludf.DUMMYFUNCTION("IFERROR(GOOGLEFINANCE(C71, ""changepct"") / 100, """")"),0.0253)</f>
        <v>0.0253</v>
      </c>
      <c r="L71" s="21" t="str">
        <f>IFERROR(__xludf.DUMMYFUNCTION("IFERROR((GOOGLEFINANCE(C71, ""price"") / INDEX(GOOGLEFINANCE(C71, ""price"", TODAY()-7, TODAY()), 2, 2)) - 1, """")"),"")</f>
        <v/>
      </c>
      <c r="M71" s="21" t="str">
        <f>IFERROR(__xludf.DUMMYFUNCTION("IFERROR((GOOGLEFINANCE(C71, ""price"") / INDEX(GOOGLEFINANCE(C71, ""price"", EDATE(TODAY(), -1), TODAY()), 2, 2)) - 1, """")"),"")</f>
        <v/>
      </c>
      <c r="N71" s="21" t="str">
        <f>IFERROR(__xludf.DUMMYFUNCTION("IFERROR((GOOGLEFINANCE(C71, ""price"") / INDEX(GOOGLEFINANCE(C71, ""price"", EDATE(TODAY(), -3), TODAY()), 2, 2)) - 1, """")"),"")</f>
        <v/>
      </c>
      <c r="O71" s="21" t="str">
        <f>IFERROR(__xludf.DUMMYFUNCTION("IFERROR((GOOGLEFINANCE(C71, ""price"") / INDEX(GOOGLEFINANCE(C71, ""price"", EDATE(TODAY(), -6), TODAY()), 2, 2)) - 1, """")"),"")</f>
        <v/>
      </c>
      <c r="P71" s="21" t="str">
        <f>IFERROR(__xludf.DUMMYFUNCTION("IFERROR((GOOGLEFINANCE(C71, ""price"") / INDEX(GOOGLEFINANCE(C71, ""price"", EDATE(TODAY(), -12), TODAY()), 2, 2)) - 1, """")"),"")</f>
        <v/>
      </c>
      <c r="Q71" s="6" t="str">
        <f>IFERROR(__xludf.DUMMYFUNCTION("AVERAGE(QUERY(GOOGLEFINANCE(C71, ""price"", TODAY()-80, TODAY()), ""SELECT Col2 WHERE Col2 IS NOT NULL ORDER BY Col1 DESC LIMIT 50"", 0))"),"#N/A")</f>
        <v>#N/A</v>
      </c>
      <c r="R71" s="24" t="str">
        <f>IFERROR(__xludf.DUMMYFUNCTION("IFERROR(
  LET(
    data, QUERY(GOOGLEFINANCE(C71,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GOOGLEFINANCE(C71, ""price"")) * 100,
    IF(calc=0, G71, calc)
  ), 
G71)"),"#N/A")</f>
        <v>#N/A</v>
      </c>
      <c r="S71" s="8" t="s">
        <v>15</v>
      </c>
      <c r="T71" s="26" t="str">
        <f>IFERROR(__xludf.DUMMYFUNCTION("IFERROR(TRANSPOSE(QUERY(IFERROR(SORT(GOOGLEFINANCE(C71, ""price"", WORKDAY(TODAY(), -40), TODAY()), 1, FALSE)), ""select Col2 where Col2 is not null limit 22 label Col2 ''"", 0)), """")"),"")</f>
        <v/>
      </c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8"/>
      <c r="AO71" s="28"/>
      <c r="AP71" s="29"/>
      <c r="AQ71" s="29" t="str">
        <f t="shared" ref="AQ71:BL71" si="74">T71/T$2</f>
        <v>#N/A</v>
      </c>
      <c r="AR71" s="29" t="str">
        <f t="shared" si="74"/>
        <v>#DIV/0!</v>
      </c>
      <c r="AS71" s="29" t="str">
        <f t="shared" si="74"/>
        <v>#DIV/0!</v>
      </c>
      <c r="AT71" s="29" t="str">
        <f t="shared" si="74"/>
        <v>#DIV/0!</v>
      </c>
      <c r="AU71" s="29" t="str">
        <f t="shared" si="74"/>
        <v>#DIV/0!</v>
      </c>
      <c r="AV71" s="29" t="str">
        <f t="shared" si="74"/>
        <v>#DIV/0!</v>
      </c>
      <c r="AW71" s="29" t="str">
        <f t="shared" si="74"/>
        <v>#DIV/0!</v>
      </c>
      <c r="AX71" s="29" t="str">
        <f t="shared" si="74"/>
        <v>#DIV/0!</v>
      </c>
      <c r="AY71" s="29" t="str">
        <f t="shared" si="74"/>
        <v>#DIV/0!</v>
      </c>
      <c r="AZ71" s="29" t="str">
        <f t="shared" si="74"/>
        <v>#DIV/0!</v>
      </c>
      <c r="BA71" s="29" t="str">
        <f t="shared" si="74"/>
        <v>#DIV/0!</v>
      </c>
      <c r="BB71" s="29" t="str">
        <f t="shared" si="74"/>
        <v>#DIV/0!</v>
      </c>
      <c r="BC71" s="29" t="str">
        <f t="shared" si="74"/>
        <v>#DIV/0!</v>
      </c>
      <c r="BD71" s="29" t="str">
        <f t="shared" si="74"/>
        <v>#DIV/0!</v>
      </c>
      <c r="BE71" s="29" t="str">
        <f t="shared" si="74"/>
        <v>#DIV/0!</v>
      </c>
      <c r="BF71" s="29" t="str">
        <f t="shared" si="74"/>
        <v>#DIV/0!</v>
      </c>
      <c r="BG71" s="29" t="str">
        <f t="shared" si="74"/>
        <v>#DIV/0!</v>
      </c>
      <c r="BH71" s="29" t="str">
        <f t="shared" si="74"/>
        <v>#DIV/0!</v>
      </c>
      <c r="BI71" s="29" t="str">
        <f t="shared" si="74"/>
        <v>#DIV/0!</v>
      </c>
      <c r="BJ71" s="29" t="str">
        <f t="shared" si="74"/>
        <v>#DIV/0!</v>
      </c>
      <c r="BK71" s="29" t="str">
        <f t="shared" si="74"/>
        <v>#DIV/0!</v>
      </c>
      <c r="BL71" s="29" t="str">
        <f t="shared" si="74"/>
        <v>#DIV/0!</v>
      </c>
      <c r="BM71" s="29" t="str">
        <f t="shared" si="3"/>
        <v>#DIV/0!</v>
      </c>
    </row>
    <row r="72">
      <c r="A72" s="16" t="str">
        <f>IFERROR(__xludf.DUMMYFUNCTION("IFERROR(SPARKLINE(SORT(MAP(TRANSPOSE(AQ72:BL72), LAMBDA(val, IF(ISNUMBER(val), PERCENTRANK(AQ72:BL72, val)+0.01, 0))), SEQUENCE(COLUMNS(AQ72:BL72)), FALSE), {""charttype"",""column""; ""color"",""chartreuse""; ""ymin"", 0; ""ymax"", 1.01; ""highcolor"", "&amp;"""darkgreen""; ""lowcolor"", ""red""}), """")"),"")</f>
        <v/>
      </c>
      <c r="B72" s="17" t="str">
        <f t="shared" si="4"/>
        <v/>
      </c>
      <c r="C72" s="1" t="s">
        <v>2338</v>
      </c>
      <c r="D72" s="30" t="str">
        <f>IFERROR(__xludf.DUMMYFUNCTION("IFERROR(GOOGLEFINANCE(C72, ""NAME""))"),"Coursera Inc")</f>
        <v>Coursera Inc</v>
      </c>
      <c r="E72" s="30" t="s">
        <v>2069</v>
      </c>
      <c r="F72" s="33" t="str">
        <f>IFERROR(__xludf.DUMMYFUNCTION("( (GOOGLEFINANCE(C72, ""price"") - Q72) / Q72 ) / (R72 / 100)"),"Loading...")</f>
        <v>Loading...</v>
      </c>
      <c r="G72" s="20" t="str">
        <f>IFERROR(__xludf.DUMMYFUNCTION("AVERAGE(ARRAYFORMULA(100 * (QUERY(GOOGLEFINANCE(C72, ""high"", TODAY()-40, TODAY()), ""SELECT Col2 WHERE Col2 IS NOT NULL ORDER BY Col1 DESC LIMIT 20"", 0) / QUERY(GOOGLEFINANCE(C72, ""low"", TODAY()-40, TODAY()), ""SELECT Col2 WHERE Col2 IS NOT NULL ORDE"&amp;"R BY Col1 DESC LIMIT 20"", 0) - 1)))"),"#N/A")</f>
        <v>#N/A</v>
      </c>
      <c r="H72" s="35" t="str">
        <f t="shared" si="6"/>
        <v>Illiquid</v>
      </c>
      <c r="I72" s="36" t="str">
        <f t="shared" si="7"/>
        <v>RVol Required</v>
      </c>
      <c r="J72" s="37">
        <f>IFERROR(__xludf.DUMMYFUNCTION("IFERROR(
  IF(C72="""",, 
    IFERROR(
      GOOGLEFINANCE(C72, ""price"") * GOOGLEFINANCE(C72, ""volumeavg""), 
      GOOGLEFINANCE(C72, ""price"") * AVERAGE(QUERY(GOOGLEFINANCE(C72, ""volume"", TODAY()-40, TODAY()), ""SELECT Col2 WHERE Col2 IS NOT NULL "&amp;"ORDER BY Col1 DESC LIMIT 20"", 0))
    )
  ), 
"""")"),3.2635477680000003E7)</f>
        <v>32635477.68</v>
      </c>
      <c r="K72" s="21">
        <f>IFERROR(__xludf.DUMMYFUNCTION("IFERROR(GOOGLEFINANCE(C72, ""changepct"") / 100, """")"),-0.029500000000000002)</f>
        <v>-0.0295</v>
      </c>
      <c r="L72" s="21" t="str">
        <f>IFERROR(__xludf.DUMMYFUNCTION("IFERROR((GOOGLEFINANCE(C72, ""price"") / INDEX(GOOGLEFINANCE(C72, ""price"", TODAY()-7, TODAY()), 2, 2)) - 1, """")"),"")</f>
        <v/>
      </c>
      <c r="M72" s="21" t="str">
        <f>IFERROR(__xludf.DUMMYFUNCTION("IFERROR((GOOGLEFINANCE(C72, ""price"") / INDEX(GOOGLEFINANCE(C72, ""price"", EDATE(TODAY(), -1), TODAY()), 2, 2)) - 1, """")"),"")</f>
        <v/>
      </c>
      <c r="N72" s="21" t="str">
        <f>IFERROR(__xludf.DUMMYFUNCTION("IFERROR((GOOGLEFINANCE(C72, ""price"") / INDEX(GOOGLEFINANCE(C72, ""price"", EDATE(TODAY(), -3), TODAY()), 2, 2)) - 1, """")"),"")</f>
        <v/>
      </c>
      <c r="O72" s="21" t="str">
        <f>IFERROR(__xludf.DUMMYFUNCTION("IFERROR((GOOGLEFINANCE(C72, ""price"") / INDEX(GOOGLEFINANCE(C72, ""price"", EDATE(TODAY(), -6), TODAY()), 2, 2)) - 1, """")"),"")</f>
        <v/>
      </c>
      <c r="P72" s="21" t="str">
        <f>IFERROR(__xludf.DUMMYFUNCTION("IFERROR((GOOGLEFINANCE(C72, ""price"") / INDEX(GOOGLEFINANCE(C72, ""price"", EDATE(TODAY(), -12), TODAY()), 2, 2)) - 1, """")"),"")</f>
        <v/>
      </c>
      <c r="Q72" s="6" t="str">
        <f>IFERROR(__xludf.DUMMYFUNCTION("AVERAGE(QUERY(GOOGLEFINANCE(C72, ""price"", TODAY()-80, TODAY()), ""SELECT Col2 WHERE Col2 IS NOT NULL ORDER BY Col1 DESC LIMIT 50"", 0))"),"#N/A")</f>
        <v>#N/A</v>
      </c>
      <c r="R72" s="24" t="str">
        <f>IFERROR(__xludf.DUMMYFUNCTION("IFERROR(
  LET(
    data, QUERY(GOOGLEFINANCE(C72,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GOOGLEFINANCE(C72, ""price"")) * 100,
    IF(calc=0, G72, calc)
  ), 
G72)"),"#N/A")</f>
        <v>#N/A</v>
      </c>
      <c r="S72" s="8" t="s">
        <v>15</v>
      </c>
      <c r="T72" s="26" t="str">
        <f>IFERROR(__xludf.DUMMYFUNCTION("IFERROR(TRANSPOSE(QUERY(IFERROR(SORT(GOOGLEFINANCE(C72, ""price"", WORKDAY(TODAY(), -40), TODAY()), 1, FALSE)), ""select Col2 where Col2 is not null limit 22 label Col2 ''"", 0)), """")"),"")</f>
        <v/>
      </c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8"/>
      <c r="AO72" s="28"/>
      <c r="AP72" s="29"/>
      <c r="AQ72" s="29" t="str">
        <f t="shared" ref="AQ72:BL72" si="75">T72/T$2</f>
        <v>#N/A</v>
      </c>
      <c r="AR72" s="29" t="str">
        <f t="shared" si="75"/>
        <v>#DIV/0!</v>
      </c>
      <c r="AS72" s="29" t="str">
        <f t="shared" si="75"/>
        <v>#DIV/0!</v>
      </c>
      <c r="AT72" s="29" t="str">
        <f t="shared" si="75"/>
        <v>#DIV/0!</v>
      </c>
      <c r="AU72" s="29" t="str">
        <f t="shared" si="75"/>
        <v>#DIV/0!</v>
      </c>
      <c r="AV72" s="29" t="str">
        <f t="shared" si="75"/>
        <v>#DIV/0!</v>
      </c>
      <c r="AW72" s="29" t="str">
        <f t="shared" si="75"/>
        <v>#DIV/0!</v>
      </c>
      <c r="AX72" s="29" t="str">
        <f t="shared" si="75"/>
        <v>#DIV/0!</v>
      </c>
      <c r="AY72" s="29" t="str">
        <f t="shared" si="75"/>
        <v>#DIV/0!</v>
      </c>
      <c r="AZ72" s="29" t="str">
        <f t="shared" si="75"/>
        <v>#DIV/0!</v>
      </c>
      <c r="BA72" s="29" t="str">
        <f t="shared" si="75"/>
        <v>#DIV/0!</v>
      </c>
      <c r="BB72" s="29" t="str">
        <f t="shared" si="75"/>
        <v>#DIV/0!</v>
      </c>
      <c r="BC72" s="29" t="str">
        <f t="shared" si="75"/>
        <v>#DIV/0!</v>
      </c>
      <c r="BD72" s="29" t="str">
        <f t="shared" si="75"/>
        <v>#DIV/0!</v>
      </c>
      <c r="BE72" s="29" t="str">
        <f t="shared" si="75"/>
        <v>#DIV/0!</v>
      </c>
      <c r="BF72" s="29" t="str">
        <f t="shared" si="75"/>
        <v>#DIV/0!</v>
      </c>
      <c r="BG72" s="29" t="str">
        <f t="shared" si="75"/>
        <v>#DIV/0!</v>
      </c>
      <c r="BH72" s="29" t="str">
        <f t="shared" si="75"/>
        <v>#DIV/0!</v>
      </c>
      <c r="BI72" s="29" t="str">
        <f t="shared" si="75"/>
        <v>#DIV/0!</v>
      </c>
      <c r="BJ72" s="29" t="str">
        <f t="shared" si="75"/>
        <v>#DIV/0!</v>
      </c>
      <c r="BK72" s="29" t="str">
        <f t="shared" si="75"/>
        <v>#DIV/0!</v>
      </c>
      <c r="BL72" s="29" t="str">
        <f t="shared" si="75"/>
        <v>#DIV/0!</v>
      </c>
      <c r="BM72" s="29" t="str">
        <f t="shared" si="3"/>
        <v>#DIV/0!</v>
      </c>
    </row>
    <row r="73">
      <c r="A73" s="16" t="str">
        <f>IFERROR(__xludf.DUMMYFUNCTION("IFERROR(SPARKLINE(SORT(MAP(TRANSPOSE(AQ73:BL73), LAMBDA(val, IF(ISNUMBER(val), PERCENTRANK(AQ73:BL73, val)+0.01, 0))), SEQUENCE(COLUMNS(AQ73:BL73)), FALSE), {""charttype"",""column""; ""color"",""chartreuse""; ""ymin"", 0; ""ymax"", 1.01; ""highcolor"", "&amp;"""darkgreen""; ""lowcolor"", ""red""}), """")"),"")</f>
        <v/>
      </c>
      <c r="B73" s="17" t="str">
        <f t="shared" si="4"/>
        <v/>
      </c>
      <c r="C73" s="1" t="s">
        <v>2342</v>
      </c>
      <c r="D73" s="30" t="str">
        <f>IFERROR(__xludf.DUMMYFUNCTION("IFERROR(GOOGLEFINANCE(C73, ""NAME""))"),"Beyond Meat Inc")</f>
        <v>Beyond Meat Inc</v>
      </c>
      <c r="E73" s="30" t="s">
        <v>2094</v>
      </c>
      <c r="F73" s="33" t="str">
        <f>IFERROR(__xludf.DUMMYFUNCTION("( (GOOGLEFINANCE(C73, ""price"") - Q73) / Q73 ) / (R73 / 100)"),"Loading...")</f>
        <v>Loading...</v>
      </c>
      <c r="G73" s="20" t="str">
        <f>IFERROR(__xludf.DUMMYFUNCTION("AVERAGE(ARRAYFORMULA(100 * (QUERY(GOOGLEFINANCE(C73, ""high"", TODAY()-40, TODAY()), ""SELECT Col2 WHERE Col2 IS NOT NULL ORDER BY Col1 DESC LIMIT 20"", 0) / QUERY(GOOGLEFINANCE(C73, ""low"", TODAY()-40, TODAY()), ""SELECT Col2 WHERE Col2 IS NOT NULL ORDE"&amp;"R BY Col1 DESC LIMIT 20"", 0) - 1)))"),"#N/A")</f>
        <v>#N/A</v>
      </c>
      <c r="H73" s="35" t="str">
        <f t="shared" si="6"/>
        <v>Illiquid</v>
      </c>
      <c r="I73" s="36" t="str">
        <f t="shared" si="7"/>
        <v>RVol Required</v>
      </c>
      <c r="J73" s="37">
        <f>IFERROR(__xludf.DUMMYFUNCTION("IFERROR(
  IF(C73="""",, 
    IFERROR(
      GOOGLEFINANCE(C73, ""price"") * GOOGLEFINANCE(C73, ""volumeavg""), 
      GOOGLEFINANCE(C73, ""price"") * AVERAGE(QUERY(GOOGLEFINANCE(C73, ""volume"", TODAY()-40, TODAY()), ""SELECT Col2 WHERE Col2 IS NOT NULL "&amp;"ORDER BY Col1 DESC LIMIT 20"", 0))
    )
  ), 
"""")"),8331086.449999999)</f>
        <v>8331086.45</v>
      </c>
      <c r="K73" s="21">
        <f>IFERROR(__xludf.DUMMYFUNCTION("IFERROR(GOOGLEFINANCE(C73, ""changepct"") / 100, """")"),-0.0446)</f>
        <v>-0.0446</v>
      </c>
      <c r="L73" s="21" t="str">
        <f>IFERROR(__xludf.DUMMYFUNCTION("IFERROR((GOOGLEFINANCE(C73, ""price"") / INDEX(GOOGLEFINANCE(C73, ""price"", TODAY()-7, TODAY()), 2, 2)) - 1, """")"),"")</f>
        <v/>
      </c>
      <c r="M73" s="21" t="str">
        <f>IFERROR(__xludf.DUMMYFUNCTION("IFERROR((GOOGLEFINANCE(C73, ""price"") / INDEX(GOOGLEFINANCE(C73, ""price"", EDATE(TODAY(), -1), TODAY()), 2, 2)) - 1, """")"),"")</f>
        <v/>
      </c>
      <c r="N73" s="21" t="str">
        <f>IFERROR(__xludf.DUMMYFUNCTION("IFERROR((GOOGLEFINANCE(C73, ""price"") / INDEX(GOOGLEFINANCE(C73, ""price"", EDATE(TODAY(), -3), TODAY()), 2, 2)) - 1, """")"),"")</f>
        <v/>
      </c>
      <c r="O73" s="21" t="str">
        <f>IFERROR(__xludf.DUMMYFUNCTION("IFERROR((GOOGLEFINANCE(C73, ""price"") / INDEX(GOOGLEFINANCE(C73, ""price"", EDATE(TODAY(), -6), TODAY()), 2, 2)) - 1, """")"),"")</f>
        <v/>
      </c>
      <c r="P73" s="21" t="str">
        <f>IFERROR(__xludf.DUMMYFUNCTION("IFERROR((GOOGLEFINANCE(C73, ""price"") / INDEX(GOOGLEFINANCE(C73, ""price"", EDATE(TODAY(), -12), TODAY()), 2, 2)) - 1, """")"),"")</f>
        <v/>
      </c>
      <c r="Q73" s="6" t="str">
        <f>IFERROR(__xludf.DUMMYFUNCTION("AVERAGE(QUERY(GOOGLEFINANCE(C73, ""price"", TODAY()-80, TODAY()), ""SELECT Col2 WHERE Col2 IS NOT NULL ORDER BY Col1 DESC LIMIT 50"", 0))"),"#N/A")</f>
        <v>#N/A</v>
      </c>
      <c r="R73" s="24" t="str">
        <f>IFERROR(__xludf.DUMMYFUNCTION("IFERROR(
  LET(
    data, QUERY(GOOGLEFINANCE(C73,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GOOGLEFINANCE(C73, ""price"")) * 100,
    IF(calc=0, G73, calc)
  ), 
G73)"),"#N/A")</f>
        <v>#N/A</v>
      </c>
      <c r="S73" s="8" t="s">
        <v>15</v>
      </c>
      <c r="T73" s="26" t="str">
        <f>IFERROR(__xludf.DUMMYFUNCTION("IFERROR(TRANSPOSE(QUERY(IFERROR(SORT(GOOGLEFINANCE(C73, ""price"", WORKDAY(TODAY(), -40), TODAY()), 1, FALSE)), ""select Col2 where Col2 is not null limit 22 label Col2 ''"", 0)), """")"),"")</f>
        <v/>
      </c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8"/>
      <c r="AO73" s="28"/>
      <c r="AP73" s="29"/>
      <c r="AQ73" s="29" t="str">
        <f t="shared" ref="AQ73:BL73" si="76">T73/T$2</f>
        <v>#N/A</v>
      </c>
      <c r="AR73" s="29" t="str">
        <f t="shared" si="76"/>
        <v>#DIV/0!</v>
      </c>
      <c r="AS73" s="29" t="str">
        <f t="shared" si="76"/>
        <v>#DIV/0!</v>
      </c>
      <c r="AT73" s="29" t="str">
        <f t="shared" si="76"/>
        <v>#DIV/0!</v>
      </c>
      <c r="AU73" s="29" t="str">
        <f t="shared" si="76"/>
        <v>#DIV/0!</v>
      </c>
      <c r="AV73" s="29" t="str">
        <f t="shared" si="76"/>
        <v>#DIV/0!</v>
      </c>
      <c r="AW73" s="29" t="str">
        <f t="shared" si="76"/>
        <v>#DIV/0!</v>
      </c>
      <c r="AX73" s="29" t="str">
        <f t="shared" si="76"/>
        <v>#DIV/0!</v>
      </c>
      <c r="AY73" s="29" t="str">
        <f t="shared" si="76"/>
        <v>#DIV/0!</v>
      </c>
      <c r="AZ73" s="29" t="str">
        <f t="shared" si="76"/>
        <v>#DIV/0!</v>
      </c>
      <c r="BA73" s="29" t="str">
        <f t="shared" si="76"/>
        <v>#DIV/0!</v>
      </c>
      <c r="BB73" s="29" t="str">
        <f t="shared" si="76"/>
        <v>#DIV/0!</v>
      </c>
      <c r="BC73" s="29" t="str">
        <f t="shared" si="76"/>
        <v>#DIV/0!</v>
      </c>
      <c r="BD73" s="29" t="str">
        <f t="shared" si="76"/>
        <v>#DIV/0!</v>
      </c>
      <c r="BE73" s="29" t="str">
        <f t="shared" si="76"/>
        <v>#DIV/0!</v>
      </c>
      <c r="BF73" s="29" t="str">
        <f t="shared" si="76"/>
        <v>#DIV/0!</v>
      </c>
      <c r="BG73" s="29" t="str">
        <f t="shared" si="76"/>
        <v>#DIV/0!</v>
      </c>
      <c r="BH73" s="29" t="str">
        <f t="shared" si="76"/>
        <v>#DIV/0!</v>
      </c>
      <c r="BI73" s="29" t="str">
        <f t="shared" si="76"/>
        <v>#DIV/0!</v>
      </c>
      <c r="BJ73" s="29" t="str">
        <f t="shared" si="76"/>
        <v>#DIV/0!</v>
      </c>
      <c r="BK73" s="29" t="str">
        <f t="shared" si="76"/>
        <v>#DIV/0!</v>
      </c>
      <c r="BL73" s="29" t="str">
        <f t="shared" si="76"/>
        <v>#DIV/0!</v>
      </c>
      <c r="BM73" s="29" t="str">
        <f t="shared" si="3"/>
        <v>#DIV/0!</v>
      </c>
    </row>
    <row r="74">
      <c r="A74" s="16" t="str">
        <f>IFERROR(__xludf.DUMMYFUNCTION("IFERROR(SPARKLINE(SORT(MAP(TRANSPOSE(AQ74:BL74), LAMBDA(val, IF(ISNUMBER(val), PERCENTRANK(AQ74:BL74, val)+0.01, 0))), SEQUENCE(COLUMNS(AQ74:BL74)), FALSE), {""charttype"",""column""; ""color"",""chartreuse""; ""ymin"", 0; ""ymax"", 1.01; ""highcolor"", "&amp;"""darkgreen""; ""lowcolor"", ""red""}), """")"),"")</f>
        <v/>
      </c>
      <c r="B74" s="17" t="str">
        <f t="shared" si="4"/>
        <v/>
      </c>
      <c r="C74" s="1" t="s">
        <v>2345</v>
      </c>
      <c r="D74" s="30" t="str">
        <f>IFERROR(__xludf.DUMMYFUNCTION("IFERROR(GOOGLEFINANCE(C74, ""NAME""))"),"Walmart Inc")</f>
        <v>Walmart Inc</v>
      </c>
      <c r="E74" s="30" t="s">
        <v>2270</v>
      </c>
      <c r="F74" s="33" t="str">
        <f>IFERROR(__xludf.DUMMYFUNCTION("( (GOOGLEFINANCE(C74, ""price"") - Q74) / Q74 ) / (R74 / 100)"),"Loading...")</f>
        <v>Loading...</v>
      </c>
      <c r="G74" s="20" t="str">
        <f>IFERROR(__xludf.DUMMYFUNCTION("AVERAGE(ARRAYFORMULA(100 * (QUERY(GOOGLEFINANCE(C74, ""high"", TODAY()-40, TODAY()), ""SELECT Col2 WHERE Col2 IS NOT NULL ORDER BY Col1 DESC LIMIT 20"", 0) / QUERY(GOOGLEFINANCE(C74, ""low"", TODAY()-40, TODAY()), ""SELECT Col2 WHERE Col2 IS NOT NULL ORDE"&amp;"R BY Col1 DESC LIMIT 20"", 0) - 1)))"),"#N/A")</f>
        <v>#N/A</v>
      </c>
      <c r="H74" s="35" t="str">
        <f t="shared" si="6"/>
        <v>Liquid</v>
      </c>
      <c r="I74" s="36" t="str">
        <f t="shared" si="7"/>
        <v>No RVol Required</v>
      </c>
      <c r="J74" s="37">
        <f>IFERROR(__xludf.DUMMYFUNCTION("IFERROR(
  IF(C74="""",, 
    IFERROR(
      GOOGLEFINANCE(C74, ""price"") * GOOGLEFINANCE(C74, ""volumeavg""), 
      GOOGLEFINANCE(C74, ""price"") * AVERAGE(QUERY(GOOGLEFINANCE(C74, ""volume"", TODAY()-40, TODAY()), ""SELECT Col2 WHERE Col2 IS NOT NULL "&amp;"ORDER BY Col1 DESC LIMIT 20"", 0))
    )
  ), 
"""")"),2.59339513528E9)</f>
        <v>2593395135</v>
      </c>
      <c r="K74" s="21">
        <f>IFERROR(__xludf.DUMMYFUNCTION("IFERROR(GOOGLEFINANCE(C74, ""changepct"") / 100, """")"),0.008)</f>
        <v>0.008</v>
      </c>
      <c r="L74" s="21" t="str">
        <f>IFERROR(__xludf.DUMMYFUNCTION("IFERROR((GOOGLEFINANCE(C74, ""price"") / INDEX(GOOGLEFINANCE(C74, ""price"", TODAY()-7, TODAY()), 2, 2)) - 1, """")"),"")</f>
        <v/>
      </c>
      <c r="M74" s="21" t="str">
        <f>IFERROR(__xludf.DUMMYFUNCTION("IFERROR((GOOGLEFINANCE(C74, ""price"") / INDEX(GOOGLEFINANCE(C74, ""price"", EDATE(TODAY(), -1), TODAY()), 2, 2)) - 1, """")"),"")</f>
        <v/>
      </c>
      <c r="N74" s="21" t="str">
        <f>IFERROR(__xludf.DUMMYFUNCTION("IFERROR((GOOGLEFINANCE(C74, ""price"") / INDEX(GOOGLEFINANCE(C74, ""price"", EDATE(TODAY(), -3), TODAY()), 2, 2)) - 1, """")"),"")</f>
        <v/>
      </c>
      <c r="O74" s="21" t="str">
        <f>IFERROR(__xludf.DUMMYFUNCTION("IFERROR((GOOGLEFINANCE(C74, ""price"") / INDEX(GOOGLEFINANCE(C74, ""price"", EDATE(TODAY(), -6), TODAY()), 2, 2)) - 1, """")"),"")</f>
        <v/>
      </c>
      <c r="P74" s="21" t="str">
        <f>IFERROR(__xludf.DUMMYFUNCTION("IFERROR((GOOGLEFINANCE(C74, ""price"") / INDEX(GOOGLEFINANCE(C74, ""price"", EDATE(TODAY(), -12), TODAY()), 2, 2)) - 1, """")"),"")</f>
        <v/>
      </c>
      <c r="Q74" s="6" t="str">
        <f>IFERROR(__xludf.DUMMYFUNCTION("AVERAGE(QUERY(GOOGLEFINANCE(C74, ""price"", TODAY()-80, TODAY()), ""SELECT Col2 WHERE Col2 IS NOT NULL ORDER BY Col1 DESC LIMIT 50"", 0))"),"#N/A")</f>
        <v>#N/A</v>
      </c>
      <c r="R74" s="24" t="str">
        <f>IFERROR(__xludf.DUMMYFUNCTION("IFERROR(
  LET(
    data, QUERY(GOOGLEFINANCE(C74,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GOOGLEFINANCE(C74, ""price"")) * 100,
    IF(calc=0, G74, calc)
  ), 
G74)"),"#N/A")</f>
        <v>#N/A</v>
      </c>
      <c r="S74" s="8" t="s">
        <v>15</v>
      </c>
      <c r="T74" s="26" t="str">
        <f>IFERROR(__xludf.DUMMYFUNCTION("IFERROR(TRANSPOSE(QUERY(IFERROR(SORT(GOOGLEFINANCE(C74, ""price"", WORKDAY(TODAY(), -40), TODAY()), 1, FALSE)), ""select Col2 where Col2 is not null limit 22 label Col2 ''"", 0)), """")"),"")</f>
        <v/>
      </c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8"/>
      <c r="AO74" s="28"/>
      <c r="AP74" s="29"/>
      <c r="AQ74" s="29" t="str">
        <f t="shared" ref="AQ74:BL74" si="77">T74/T$2</f>
        <v>#N/A</v>
      </c>
      <c r="AR74" s="29" t="str">
        <f t="shared" si="77"/>
        <v>#DIV/0!</v>
      </c>
      <c r="AS74" s="29" t="str">
        <f t="shared" si="77"/>
        <v>#DIV/0!</v>
      </c>
      <c r="AT74" s="29" t="str">
        <f t="shared" si="77"/>
        <v>#DIV/0!</v>
      </c>
      <c r="AU74" s="29" t="str">
        <f t="shared" si="77"/>
        <v>#DIV/0!</v>
      </c>
      <c r="AV74" s="29" t="str">
        <f t="shared" si="77"/>
        <v>#DIV/0!</v>
      </c>
      <c r="AW74" s="29" t="str">
        <f t="shared" si="77"/>
        <v>#DIV/0!</v>
      </c>
      <c r="AX74" s="29" t="str">
        <f t="shared" si="77"/>
        <v>#DIV/0!</v>
      </c>
      <c r="AY74" s="29" t="str">
        <f t="shared" si="77"/>
        <v>#DIV/0!</v>
      </c>
      <c r="AZ74" s="29" t="str">
        <f t="shared" si="77"/>
        <v>#DIV/0!</v>
      </c>
      <c r="BA74" s="29" t="str">
        <f t="shared" si="77"/>
        <v>#DIV/0!</v>
      </c>
      <c r="BB74" s="29" t="str">
        <f t="shared" si="77"/>
        <v>#DIV/0!</v>
      </c>
      <c r="BC74" s="29" t="str">
        <f t="shared" si="77"/>
        <v>#DIV/0!</v>
      </c>
      <c r="BD74" s="29" t="str">
        <f t="shared" si="77"/>
        <v>#DIV/0!</v>
      </c>
      <c r="BE74" s="29" t="str">
        <f t="shared" si="77"/>
        <v>#DIV/0!</v>
      </c>
      <c r="BF74" s="29" t="str">
        <f t="shared" si="77"/>
        <v>#DIV/0!</v>
      </c>
      <c r="BG74" s="29" t="str">
        <f t="shared" si="77"/>
        <v>#DIV/0!</v>
      </c>
      <c r="BH74" s="29" t="str">
        <f t="shared" si="77"/>
        <v>#DIV/0!</v>
      </c>
      <c r="BI74" s="29" t="str">
        <f t="shared" si="77"/>
        <v>#DIV/0!</v>
      </c>
      <c r="BJ74" s="29" t="str">
        <f t="shared" si="77"/>
        <v>#DIV/0!</v>
      </c>
      <c r="BK74" s="29" t="str">
        <f t="shared" si="77"/>
        <v>#DIV/0!</v>
      </c>
      <c r="BL74" s="29" t="str">
        <f t="shared" si="77"/>
        <v>#DIV/0!</v>
      </c>
      <c r="BM74" s="29" t="str">
        <f t="shared" si="3"/>
        <v>#DIV/0!</v>
      </c>
    </row>
    <row r="75">
      <c r="A75" s="16" t="str">
        <f>IFERROR(__xludf.DUMMYFUNCTION("IFERROR(SPARKLINE(SORT(MAP(TRANSPOSE(AQ75:BL75), LAMBDA(val, IF(ISNUMBER(val), PERCENTRANK(AQ75:BL75, val)+0.01, 0))), SEQUENCE(COLUMNS(AQ75:BL75)), FALSE), {""charttype"",""column""; ""color"",""chartreuse""; ""ymin"", 0; ""ymax"", 1.01; ""highcolor"", "&amp;"""darkgreen""; ""lowcolor"", ""red""}), """")"),"")</f>
        <v/>
      </c>
      <c r="B75" s="17" t="str">
        <f t="shared" si="4"/>
        <v/>
      </c>
      <c r="C75" s="1" t="s">
        <v>2349</v>
      </c>
      <c r="D75" s="30" t="str">
        <f>IFERROR(__xludf.DUMMYFUNCTION("IFERROR(GOOGLEFINANCE(C75, ""NAME""))"),"Universal Corp")</f>
        <v>Universal Corp</v>
      </c>
      <c r="E75" s="30" t="s">
        <v>2074</v>
      </c>
      <c r="F75" s="33" t="str">
        <f>IFERROR(__xludf.DUMMYFUNCTION("( (GOOGLEFINANCE(C75, ""price"") - Q75) / Q75 ) / (R75 / 100)"),"Loading...")</f>
        <v>Loading...</v>
      </c>
      <c r="G75" s="20" t="str">
        <f>IFERROR(__xludf.DUMMYFUNCTION("AVERAGE(ARRAYFORMULA(100 * (QUERY(GOOGLEFINANCE(C75, ""high"", TODAY()-40, TODAY()), ""SELECT Col2 WHERE Col2 IS NOT NULL ORDER BY Col1 DESC LIMIT 20"", 0) / QUERY(GOOGLEFINANCE(C75, ""low"", TODAY()-40, TODAY()), ""SELECT Col2 WHERE Col2 IS NOT NULL ORDE"&amp;"R BY Col1 DESC LIMIT 20"", 0) - 1)))"),"#N/A")</f>
        <v>#N/A</v>
      </c>
      <c r="H75" s="35" t="str">
        <f t="shared" si="6"/>
        <v>Illiquid</v>
      </c>
      <c r="I75" s="36" t="str">
        <f t="shared" si="7"/>
        <v>RVol Required</v>
      </c>
      <c r="J75" s="37">
        <f>IFERROR(__xludf.DUMMYFUNCTION("IFERROR(
  IF(C75="""",, 
    IFERROR(
      GOOGLEFINANCE(C75, ""price"") * GOOGLEFINANCE(C75, ""volumeavg""), 
      GOOGLEFINANCE(C75, ""price"") * AVERAGE(QUERY(GOOGLEFINANCE(C75, ""volume"", TODAY()-40, TODAY()), ""SELECT Col2 WHERE Col2 IS NOT NULL "&amp;"ORDER BY Col1 DESC LIMIT 20"", 0))
    )
  ), 
"""")"),1.426793074E7)</f>
        <v>14267930.74</v>
      </c>
      <c r="K75" s="21">
        <f>IFERROR(__xludf.DUMMYFUNCTION("IFERROR(GOOGLEFINANCE(C75, ""changepct"") / 100, """")"),0.0059)</f>
        <v>0.0059</v>
      </c>
      <c r="L75" s="21" t="str">
        <f>IFERROR(__xludf.DUMMYFUNCTION("IFERROR((GOOGLEFINANCE(C75, ""price"") / INDEX(GOOGLEFINANCE(C75, ""price"", TODAY()-7, TODAY()), 2, 2)) - 1, """")"),"")</f>
        <v/>
      </c>
      <c r="M75" s="21" t="str">
        <f>IFERROR(__xludf.DUMMYFUNCTION("IFERROR((GOOGLEFINANCE(C75, ""price"") / INDEX(GOOGLEFINANCE(C75, ""price"", EDATE(TODAY(), -1), TODAY()), 2, 2)) - 1, """")"),"")</f>
        <v/>
      </c>
      <c r="N75" s="21" t="str">
        <f>IFERROR(__xludf.DUMMYFUNCTION("IFERROR((GOOGLEFINANCE(C75, ""price"") / INDEX(GOOGLEFINANCE(C75, ""price"", EDATE(TODAY(), -3), TODAY()), 2, 2)) - 1, """")"),"")</f>
        <v/>
      </c>
      <c r="O75" s="21" t="str">
        <f>IFERROR(__xludf.DUMMYFUNCTION("IFERROR((GOOGLEFINANCE(C75, ""price"") / INDEX(GOOGLEFINANCE(C75, ""price"", EDATE(TODAY(), -6), TODAY()), 2, 2)) - 1, """")"),"")</f>
        <v/>
      </c>
      <c r="P75" s="21" t="str">
        <f>IFERROR(__xludf.DUMMYFUNCTION("IFERROR((GOOGLEFINANCE(C75, ""price"") / INDEX(GOOGLEFINANCE(C75, ""price"", EDATE(TODAY(), -12), TODAY()), 2, 2)) - 1, """")"),"")</f>
        <v/>
      </c>
      <c r="Q75" s="6" t="str">
        <f>IFERROR(__xludf.DUMMYFUNCTION("AVERAGE(QUERY(GOOGLEFINANCE(C75, ""price"", TODAY()-80, TODAY()), ""SELECT Col2 WHERE Col2 IS NOT NULL ORDER BY Col1 DESC LIMIT 50"", 0))"),"#N/A")</f>
        <v>#N/A</v>
      </c>
      <c r="R75" s="24" t="str">
        <f>IFERROR(__xludf.DUMMYFUNCTION("IFERROR(
  LET(
    data, QUERY(GOOGLEFINANCE(C75,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GOOGLEFINANCE(C75, ""price"")) * 100,
    IF(calc=0, G75, calc)
  ), 
G75)"),"#N/A")</f>
        <v>#N/A</v>
      </c>
      <c r="S75" s="8" t="s">
        <v>15</v>
      </c>
      <c r="T75" s="26" t="str">
        <f>IFERROR(__xludf.DUMMYFUNCTION("IFERROR(TRANSPOSE(QUERY(IFERROR(SORT(GOOGLEFINANCE(C75, ""price"", WORKDAY(TODAY(), -40), TODAY()), 1, FALSE)), ""select Col2 where Col2 is not null limit 22 label Col2 ''"", 0)), """")"),"")</f>
        <v/>
      </c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8"/>
      <c r="AO75" s="28"/>
      <c r="AP75" s="29"/>
      <c r="AQ75" s="29" t="str">
        <f t="shared" ref="AQ75:BL75" si="78">T75/T$2</f>
        <v>#N/A</v>
      </c>
      <c r="AR75" s="29" t="str">
        <f t="shared" si="78"/>
        <v>#DIV/0!</v>
      </c>
      <c r="AS75" s="29" t="str">
        <f t="shared" si="78"/>
        <v>#DIV/0!</v>
      </c>
      <c r="AT75" s="29" t="str">
        <f t="shared" si="78"/>
        <v>#DIV/0!</v>
      </c>
      <c r="AU75" s="29" t="str">
        <f t="shared" si="78"/>
        <v>#DIV/0!</v>
      </c>
      <c r="AV75" s="29" t="str">
        <f t="shared" si="78"/>
        <v>#DIV/0!</v>
      </c>
      <c r="AW75" s="29" t="str">
        <f t="shared" si="78"/>
        <v>#DIV/0!</v>
      </c>
      <c r="AX75" s="29" t="str">
        <f t="shared" si="78"/>
        <v>#DIV/0!</v>
      </c>
      <c r="AY75" s="29" t="str">
        <f t="shared" si="78"/>
        <v>#DIV/0!</v>
      </c>
      <c r="AZ75" s="29" t="str">
        <f t="shared" si="78"/>
        <v>#DIV/0!</v>
      </c>
      <c r="BA75" s="29" t="str">
        <f t="shared" si="78"/>
        <v>#DIV/0!</v>
      </c>
      <c r="BB75" s="29" t="str">
        <f t="shared" si="78"/>
        <v>#DIV/0!</v>
      </c>
      <c r="BC75" s="29" t="str">
        <f t="shared" si="78"/>
        <v>#DIV/0!</v>
      </c>
      <c r="BD75" s="29" t="str">
        <f t="shared" si="78"/>
        <v>#DIV/0!</v>
      </c>
      <c r="BE75" s="29" t="str">
        <f t="shared" si="78"/>
        <v>#DIV/0!</v>
      </c>
      <c r="BF75" s="29" t="str">
        <f t="shared" si="78"/>
        <v>#DIV/0!</v>
      </c>
      <c r="BG75" s="29" t="str">
        <f t="shared" si="78"/>
        <v>#DIV/0!</v>
      </c>
      <c r="BH75" s="29" t="str">
        <f t="shared" si="78"/>
        <v>#DIV/0!</v>
      </c>
      <c r="BI75" s="29" t="str">
        <f t="shared" si="78"/>
        <v>#DIV/0!</v>
      </c>
      <c r="BJ75" s="29" t="str">
        <f t="shared" si="78"/>
        <v>#DIV/0!</v>
      </c>
      <c r="BK75" s="29" t="str">
        <f t="shared" si="78"/>
        <v>#DIV/0!</v>
      </c>
      <c r="BL75" s="29" t="str">
        <f t="shared" si="78"/>
        <v>#DIV/0!</v>
      </c>
      <c r="BM75" s="29" t="str">
        <f t="shared" si="3"/>
        <v>#DIV/0!</v>
      </c>
    </row>
    <row r="76">
      <c r="A76" s="16" t="str">
        <f>IFERROR(__xludf.DUMMYFUNCTION("IFERROR(SPARKLINE(SORT(MAP(TRANSPOSE(AQ76:BL76), LAMBDA(val, IF(ISNUMBER(val), PERCENTRANK(AQ76:BL76, val)+0.01, 0))), SEQUENCE(COLUMNS(AQ76:BL76)), FALSE), {""charttype"",""column""; ""color"",""chartreuse""; ""ymin"", 0; ""ymax"", 1.01; ""highcolor"", "&amp;"""darkgreen""; ""lowcolor"", ""red""}), """")"),"")</f>
        <v/>
      </c>
      <c r="B76" s="17" t="str">
        <f t="shared" si="4"/>
        <v/>
      </c>
      <c r="C76" s="1" t="s">
        <v>2353</v>
      </c>
      <c r="D76" s="30" t="str">
        <f>IFERROR(__xludf.DUMMYFUNCTION("IFERROR(GOOGLEFINANCE(C76, ""NAME""))"),"Utz Brands Inc")</f>
        <v>Utz Brands Inc</v>
      </c>
      <c r="E76" s="30" t="s">
        <v>2094</v>
      </c>
      <c r="F76" s="33" t="str">
        <f>IFERROR(__xludf.DUMMYFUNCTION("( (GOOGLEFINANCE(C76, ""price"") - Q76) / Q76 ) / (R76 / 100)"),"Loading...")</f>
        <v>Loading...</v>
      </c>
      <c r="G76" s="20" t="str">
        <f>IFERROR(__xludf.DUMMYFUNCTION("AVERAGE(ARRAYFORMULA(100 * (QUERY(GOOGLEFINANCE(C76, ""high"", TODAY()-40, TODAY()), ""SELECT Col2 WHERE Col2 IS NOT NULL ORDER BY Col1 DESC LIMIT 20"", 0) / QUERY(GOOGLEFINANCE(C76, ""low"", TODAY()-40, TODAY()), ""SELECT Col2 WHERE Col2 IS NOT NULL ORDE"&amp;"R BY Col1 DESC LIMIT 20"", 0) - 1)))"),"#N/A")</f>
        <v>#N/A</v>
      </c>
      <c r="H76" s="35" t="str">
        <f t="shared" si="6"/>
        <v>Illiquid</v>
      </c>
      <c r="I76" s="36" t="str">
        <f t="shared" si="7"/>
        <v>RVol Required</v>
      </c>
      <c r="J76" s="37">
        <f>IFERROR(__xludf.DUMMYFUNCTION("IFERROR(
  IF(C76="""",, 
    IFERROR(
      GOOGLEFINANCE(C76, ""price"") * GOOGLEFINANCE(C76, ""volumeavg""), 
      GOOGLEFINANCE(C76, ""price"") * AVERAGE(QUERY(GOOGLEFINANCE(C76, ""volume"", TODAY()-40, TODAY()), ""SELECT Col2 WHERE Col2 IS NOT NULL "&amp;"ORDER BY Col1 DESC LIMIT 20"", 0))
    )
  ), 
"""")"),2.418779702E7)</f>
        <v>24187797.02</v>
      </c>
      <c r="K76" s="21">
        <f>IFERROR(__xludf.DUMMYFUNCTION("IFERROR(GOOGLEFINANCE(C76, ""changepct"") / 100, """")"),-0.0021)</f>
        <v>-0.0021</v>
      </c>
      <c r="L76" s="21" t="str">
        <f>IFERROR(__xludf.DUMMYFUNCTION("IFERROR((GOOGLEFINANCE(C76, ""price"") / INDEX(GOOGLEFINANCE(C76, ""price"", TODAY()-7, TODAY()), 2, 2)) - 1, """")"),"")</f>
        <v/>
      </c>
      <c r="M76" s="21" t="str">
        <f>IFERROR(__xludf.DUMMYFUNCTION("IFERROR((GOOGLEFINANCE(C76, ""price"") / INDEX(GOOGLEFINANCE(C76, ""price"", EDATE(TODAY(), -1), TODAY()), 2, 2)) - 1, """")"),"")</f>
        <v/>
      </c>
      <c r="N76" s="21" t="str">
        <f>IFERROR(__xludf.DUMMYFUNCTION("IFERROR((GOOGLEFINANCE(C76, ""price"") / INDEX(GOOGLEFINANCE(C76, ""price"", EDATE(TODAY(), -3), TODAY()), 2, 2)) - 1, """")"),"")</f>
        <v/>
      </c>
      <c r="O76" s="21" t="str">
        <f>IFERROR(__xludf.DUMMYFUNCTION("IFERROR((GOOGLEFINANCE(C76, ""price"") / INDEX(GOOGLEFINANCE(C76, ""price"", EDATE(TODAY(), -6), TODAY()), 2, 2)) - 1, """")"),"")</f>
        <v/>
      </c>
      <c r="P76" s="21" t="str">
        <f>IFERROR(__xludf.DUMMYFUNCTION("IFERROR((GOOGLEFINANCE(C76, ""price"") / INDEX(GOOGLEFINANCE(C76, ""price"", EDATE(TODAY(), -12), TODAY()), 2, 2)) - 1, """")"),"")</f>
        <v/>
      </c>
      <c r="Q76" s="6" t="str">
        <f>IFERROR(__xludf.DUMMYFUNCTION("AVERAGE(QUERY(GOOGLEFINANCE(C76, ""price"", TODAY()-80, TODAY()), ""SELECT Col2 WHERE Col2 IS NOT NULL ORDER BY Col1 DESC LIMIT 50"", 0))"),"#N/A")</f>
        <v>#N/A</v>
      </c>
      <c r="R76" s="24" t="str">
        <f>IFERROR(__xludf.DUMMYFUNCTION("IFERROR(
  LET(
    data, QUERY(GOOGLEFINANCE(C76,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GOOGLEFINANCE(C76, ""price"")) * 100,
    IF(calc=0, G76, calc)
  ), 
G76)"),"#N/A")</f>
        <v>#N/A</v>
      </c>
      <c r="S76" s="8" t="s">
        <v>15</v>
      </c>
      <c r="T76" s="26" t="str">
        <f>IFERROR(__xludf.DUMMYFUNCTION("IFERROR(TRANSPOSE(QUERY(IFERROR(SORT(GOOGLEFINANCE(C76, ""price"", WORKDAY(TODAY(), -40), TODAY()), 1, FALSE)), ""select Col2 where Col2 is not null limit 22 label Col2 ''"", 0)), """")"),"")</f>
        <v/>
      </c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8"/>
      <c r="AO76" s="28"/>
      <c r="AP76" s="29"/>
      <c r="AQ76" s="29" t="str">
        <f t="shared" ref="AQ76:BL76" si="79">T76/T$2</f>
        <v>#N/A</v>
      </c>
      <c r="AR76" s="29" t="str">
        <f t="shared" si="79"/>
        <v>#DIV/0!</v>
      </c>
      <c r="AS76" s="29" t="str">
        <f t="shared" si="79"/>
        <v>#DIV/0!</v>
      </c>
      <c r="AT76" s="29" t="str">
        <f t="shared" si="79"/>
        <v>#DIV/0!</v>
      </c>
      <c r="AU76" s="29" t="str">
        <f t="shared" si="79"/>
        <v>#DIV/0!</v>
      </c>
      <c r="AV76" s="29" t="str">
        <f t="shared" si="79"/>
        <v>#DIV/0!</v>
      </c>
      <c r="AW76" s="29" t="str">
        <f t="shared" si="79"/>
        <v>#DIV/0!</v>
      </c>
      <c r="AX76" s="29" t="str">
        <f t="shared" si="79"/>
        <v>#DIV/0!</v>
      </c>
      <c r="AY76" s="29" t="str">
        <f t="shared" si="79"/>
        <v>#DIV/0!</v>
      </c>
      <c r="AZ76" s="29" t="str">
        <f t="shared" si="79"/>
        <v>#DIV/0!</v>
      </c>
      <c r="BA76" s="29" t="str">
        <f t="shared" si="79"/>
        <v>#DIV/0!</v>
      </c>
      <c r="BB76" s="29" t="str">
        <f t="shared" si="79"/>
        <v>#DIV/0!</v>
      </c>
      <c r="BC76" s="29" t="str">
        <f t="shared" si="79"/>
        <v>#DIV/0!</v>
      </c>
      <c r="BD76" s="29" t="str">
        <f t="shared" si="79"/>
        <v>#DIV/0!</v>
      </c>
      <c r="BE76" s="29" t="str">
        <f t="shared" si="79"/>
        <v>#DIV/0!</v>
      </c>
      <c r="BF76" s="29" t="str">
        <f t="shared" si="79"/>
        <v>#DIV/0!</v>
      </c>
      <c r="BG76" s="29" t="str">
        <f t="shared" si="79"/>
        <v>#DIV/0!</v>
      </c>
      <c r="BH76" s="29" t="str">
        <f t="shared" si="79"/>
        <v>#DIV/0!</v>
      </c>
      <c r="BI76" s="29" t="str">
        <f t="shared" si="79"/>
        <v>#DIV/0!</v>
      </c>
      <c r="BJ76" s="29" t="str">
        <f t="shared" si="79"/>
        <v>#DIV/0!</v>
      </c>
      <c r="BK76" s="29" t="str">
        <f t="shared" si="79"/>
        <v>#DIV/0!</v>
      </c>
      <c r="BL76" s="29" t="str">
        <f t="shared" si="79"/>
        <v>#DIV/0!</v>
      </c>
      <c r="BM76" s="29" t="str">
        <f t="shared" si="3"/>
        <v>#DIV/0!</v>
      </c>
    </row>
    <row r="77">
      <c r="A77" s="16" t="str">
        <f>IFERROR(__xludf.DUMMYFUNCTION("IFERROR(SPARKLINE(SORT(MAP(TRANSPOSE(AQ77:BL77), LAMBDA(val, IF(ISNUMBER(val), PERCENTRANK(AQ77:BL77, val)+0.01, 0))), SEQUENCE(COLUMNS(AQ77:BL77)), FALSE), {""charttype"",""column""; ""color"",""chartreuse""; ""ymin"", 0; ""ymax"", 1.01; ""highcolor"", "&amp;"""darkgreen""; ""lowcolor"", ""red""}), """")"),"")</f>
        <v/>
      </c>
      <c r="B77" s="17" t="str">
        <f t="shared" si="4"/>
        <v/>
      </c>
      <c r="C77" s="1" t="s">
        <v>2357</v>
      </c>
      <c r="D77" s="30" t="str">
        <f>IFERROR(__xludf.DUMMYFUNCTION("IFERROR(GOOGLEFINANCE(C77, ""NAME""))"),"US Foods Holding Corp")</f>
        <v>US Foods Holding Corp</v>
      </c>
      <c r="E77" s="30" t="s">
        <v>2120</v>
      </c>
      <c r="F77" s="33" t="str">
        <f>IFERROR(__xludf.DUMMYFUNCTION("( (GOOGLEFINANCE(C77, ""price"") - Q77) / Q77 ) / (R77 / 100)"),"Loading...")</f>
        <v>Loading...</v>
      </c>
      <c r="G77" s="20" t="str">
        <f>IFERROR(__xludf.DUMMYFUNCTION("AVERAGE(ARRAYFORMULA(100 * (QUERY(GOOGLEFINANCE(C77, ""high"", TODAY()-40, TODAY()), ""SELECT Col2 WHERE Col2 IS NOT NULL ORDER BY Col1 DESC LIMIT 20"", 0) / QUERY(GOOGLEFINANCE(C77, ""low"", TODAY()-40, TODAY()), ""SELECT Col2 WHERE Col2 IS NOT NULL ORDE"&amp;"R BY Col1 DESC LIMIT 20"", 0) - 1)))"),"#N/A")</f>
        <v>#N/A</v>
      </c>
      <c r="H77" s="35" t="str">
        <f t="shared" si="6"/>
        <v>Liquid</v>
      </c>
      <c r="I77" s="36" t="str">
        <f t="shared" si="7"/>
        <v>RVol Required</v>
      </c>
      <c r="J77" s="37">
        <f>IFERROR(__xludf.DUMMYFUNCTION("IFERROR(
  IF(C77="""",, 
    IFERROR(
      GOOGLEFINANCE(C77, ""price"") * GOOGLEFINANCE(C77, ""volumeavg""), 
      GOOGLEFINANCE(C77, ""price"") * AVERAGE(QUERY(GOOGLEFINANCE(C77, ""volume"", TODAY()-40, TODAY()), ""SELECT Col2 WHERE Col2 IS NOT NULL "&amp;"ORDER BY Col1 DESC LIMIT 20"", 0))
    )
  ), 
"""")"),2.3728579823999998E8)</f>
        <v>237285798.2</v>
      </c>
      <c r="K77" s="21">
        <f>IFERROR(__xludf.DUMMYFUNCTION("IFERROR(GOOGLEFINANCE(C77, ""changepct"") / 100, """")"),0.0048)</f>
        <v>0.0048</v>
      </c>
      <c r="L77" s="21" t="str">
        <f>IFERROR(__xludf.DUMMYFUNCTION("IFERROR((GOOGLEFINANCE(C77, ""price"") / INDEX(GOOGLEFINANCE(C77, ""price"", TODAY()-7, TODAY()), 2, 2)) - 1, """")"),"")</f>
        <v/>
      </c>
      <c r="M77" s="21" t="str">
        <f>IFERROR(__xludf.DUMMYFUNCTION("IFERROR((GOOGLEFINANCE(C77, ""price"") / INDEX(GOOGLEFINANCE(C77, ""price"", EDATE(TODAY(), -1), TODAY()), 2, 2)) - 1, """")"),"")</f>
        <v/>
      </c>
      <c r="N77" s="21" t="str">
        <f>IFERROR(__xludf.DUMMYFUNCTION("IFERROR((GOOGLEFINANCE(C77, ""price"") / INDEX(GOOGLEFINANCE(C77, ""price"", EDATE(TODAY(), -3), TODAY()), 2, 2)) - 1, """")"),"")</f>
        <v/>
      </c>
      <c r="O77" s="21" t="str">
        <f>IFERROR(__xludf.DUMMYFUNCTION("IFERROR((GOOGLEFINANCE(C77, ""price"") / INDEX(GOOGLEFINANCE(C77, ""price"", EDATE(TODAY(), -6), TODAY()), 2, 2)) - 1, """")"),"")</f>
        <v/>
      </c>
      <c r="P77" s="21" t="str">
        <f>IFERROR(__xludf.DUMMYFUNCTION("IFERROR((GOOGLEFINANCE(C77, ""price"") / INDEX(GOOGLEFINANCE(C77, ""price"", EDATE(TODAY(), -12), TODAY()), 2, 2)) - 1, """")"),"")</f>
        <v/>
      </c>
      <c r="Q77" s="6" t="str">
        <f>IFERROR(__xludf.DUMMYFUNCTION("AVERAGE(QUERY(GOOGLEFINANCE(C77, ""price"", TODAY()-80, TODAY()), ""SELECT Col2 WHERE Col2 IS NOT NULL ORDER BY Col1 DESC LIMIT 50"", 0))"),"#N/A")</f>
        <v>#N/A</v>
      </c>
      <c r="R77" s="24" t="str">
        <f>IFERROR(__xludf.DUMMYFUNCTION("IFERROR(
  LET(
    data, QUERY(GOOGLEFINANCE(C77,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GOOGLEFINANCE(C77, ""price"")) * 100,
    IF(calc=0, G77, calc)
  ), 
G77)"),"#N/A")</f>
        <v>#N/A</v>
      </c>
      <c r="S77" s="8" t="s">
        <v>15</v>
      </c>
      <c r="T77" s="26" t="str">
        <f>IFERROR(__xludf.DUMMYFUNCTION("IFERROR(TRANSPOSE(QUERY(IFERROR(SORT(GOOGLEFINANCE(C77, ""price"", WORKDAY(TODAY(), -40), TODAY()), 1, FALSE)), ""select Col2 where Col2 is not null limit 22 label Col2 ''"", 0)), """")"),"")</f>
        <v/>
      </c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8"/>
      <c r="AO77" s="28"/>
      <c r="AP77" s="29"/>
      <c r="AQ77" s="29" t="str">
        <f t="shared" ref="AQ77:BL77" si="80">T77/T$2</f>
        <v>#N/A</v>
      </c>
      <c r="AR77" s="29" t="str">
        <f t="shared" si="80"/>
        <v>#DIV/0!</v>
      </c>
      <c r="AS77" s="29" t="str">
        <f t="shared" si="80"/>
        <v>#DIV/0!</v>
      </c>
      <c r="AT77" s="29" t="str">
        <f t="shared" si="80"/>
        <v>#DIV/0!</v>
      </c>
      <c r="AU77" s="29" t="str">
        <f t="shared" si="80"/>
        <v>#DIV/0!</v>
      </c>
      <c r="AV77" s="29" t="str">
        <f t="shared" si="80"/>
        <v>#DIV/0!</v>
      </c>
      <c r="AW77" s="29" t="str">
        <f t="shared" si="80"/>
        <v>#DIV/0!</v>
      </c>
      <c r="AX77" s="29" t="str">
        <f t="shared" si="80"/>
        <v>#DIV/0!</v>
      </c>
      <c r="AY77" s="29" t="str">
        <f t="shared" si="80"/>
        <v>#DIV/0!</v>
      </c>
      <c r="AZ77" s="29" t="str">
        <f t="shared" si="80"/>
        <v>#DIV/0!</v>
      </c>
      <c r="BA77" s="29" t="str">
        <f t="shared" si="80"/>
        <v>#DIV/0!</v>
      </c>
      <c r="BB77" s="29" t="str">
        <f t="shared" si="80"/>
        <v>#DIV/0!</v>
      </c>
      <c r="BC77" s="29" t="str">
        <f t="shared" si="80"/>
        <v>#DIV/0!</v>
      </c>
      <c r="BD77" s="29" t="str">
        <f t="shared" si="80"/>
        <v>#DIV/0!</v>
      </c>
      <c r="BE77" s="29" t="str">
        <f t="shared" si="80"/>
        <v>#DIV/0!</v>
      </c>
      <c r="BF77" s="29" t="str">
        <f t="shared" si="80"/>
        <v>#DIV/0!</v>
      </c>
      <c r="BG77" s="29" t="str">
        <f t="shared" si="80"/>
        <v>#DIV/0!</v>
      </c>
      <c r="BH77" s="29" t="str">
        <f t="shared" si="80"/>
        <v>#DIV/0!</v>
      </c>
      <c r="BI77" s="29" t="str">
        <f t="shared" si="80"/>
        <v>#DIV/0!</v>
      </c>
      <c r="BJ77" s="29" t="str">
        <f t="shared" si="80"/>
        <v>#DIV/0!</v>
      </c>
      <c r="BK77" s="29" t="str">
        <f t="shared" si="80"/>
        <v>#DIV/0!</v>
      </c>
      <c r="BL77" s="29" t="str">
        <f t="shared" si="80"/>
        <v>#DIV/0!</v>
      </c>
      <c r="BM77" s="29" t="str">
        <f t="shared" si="3"/>
        <v>#DIV/0!</v>
      </c>
    </row>
    <row r="78">
      <c r="A78" s="16" t="str">
        <f>IFERROR(__xludf.DUMMYFUNCTION("IFERROR(SPARKLINE(SORT(MAP(TRANSPOSE(AQ78:BL78), LAMBDA(val, IF(ISNUMBER(val), PERCENTRANK(AQ78:BL78, val)+0.01, 0))), SEQUENCE(COLUMNS(AQ78:BL78)), FALSE), {""charttype"",""column""; ""color"",""chartreuse""; ""ymin"", 0; ""ymax"", 1.01; ""highcolor"", "&amp;"""darkgreen""; ""lowcolor"", ""red""}), """")"),"")</f>
        <v/>
      </c>
      <c r="B78" s="17" t="str">
        <f t="shared" si="4"/>
        <v/>
      </c>
      <c r="C78" s="1" t="s">
        <v>2361</v>
      </c>
      <c r="D78" s="30" t="str">
        <f>IFERROR(__xludf.DUMMYFUNCTION("IFERROR(GOOGLEFINANCE(C78, ""NAME""))"),"Unilever PLC")</f>
        <v>Unilever PLC</v>
      </c>
      <c r="E78" s="30" t="s">
        <v>2132</v>
      </c>
      <c r="F78" s="33" t="str">
        <f>IFERROR(__xludf.DUMMYFUNCTION("( (GOOGLEFINANCE(C78, ""price"") - Q78) / Q78 ) / (R78 / 100)"),"Loading...")</f>
        <v>Loading...</v>
      </c>
      <c r="G78" s="20" t="str">
        <f>IFERROR(__xludf.DUMMYFUNCTION("AVERAGE(ARRAYFORMULA(100 * (QUERY(GOOGLEFINANCE(C78, ""high"", TODAY()-40, TODAY()), ""SELECT Col2 WHERE Col2 IS NOT NULL ORDER BY Col1 DESC LIMIT 20"", 0) / QUERY(GOOGLEFINANCE(C78, ""low"", TODAY()-40, TODAY()), ""SELECT Col2 WHERE Col2 IS NOT NULL ORDE"&amp;"R BY Col1 DESC LIMIT 20"", 0) - 1)))"),"#N/A")</f>
        <v>#N/A</v>
      </c>
      <c r="H78" s="35" t="str">
        <f t="shared" si="6"/>
        <v>Liquid</v>
      </c>
      <c r="I78" s="36" t="str">
        <f t="shared" si="7"/>
        <v>RVol Required</v>
      </c>
      <c r="J78" s="37">
        <f>IFERROR(__xludf.DUMMYFUNCTION("IFERROR(
  IF(C78="""",, 
    IFERROR(
      GOOGLEFINANCE(C78, ""price"") * GOOGLEFINANCE(C78, ""volumeavg""), 
      GOOGLEFINANCE(C78, ""price"") * AVERAGE(QUERY(GOOGLEFINANCE(C78, ""volume"", TODAY()-40, TODAY()), ""SELECT Col2 WHERE Col2 IS NOT NULL "&amp;"ORDER BY Col1 DESC LIMIT 20"", 0))
    )
  ), 
"""")"),2.0349770672E8)</f>
        <v>203497706.7</v>
      </c>
      <c r="K78" s="21">
        <f>IFERROR(__xludf.DUMMYFUNCTION("IFERROR(GOOGLEFINANCE(C78, ""changepct"") / 100, """")"),0.023399999999999997)</f>
        <v>0.0234</v>
      </c>
      <c r="L78" s="21" t="str">
        <f>IFERROR(__xludf.DUMMYFUNCTION("IFERROR((GOOGLEFINANCE(C78, ""price"") / INDEX(GOOGLEFINANCE(C78, ""price"", TODAY()-7, TODAY()), 2, 2)) - 1, """")"),"")</f>
        <v/>
      </c>
      <c r="M78" s="21" t="str">
        <f>IFERROR(__xludf.DUMMYFUNCTION("IFERROR((GOOGLEFINANCE(C78, ""price"") / INDEX(GOOGLEFINANCE(C78, ""price"", EDATE(TODAY(), -1), TODAY()), 2, 2)) - 1, """")"),"")</f>
        <v/>
      </c>
      <c r="N78" s="21" t="str">
        <f>IFERROR(__xludf.DUMMYFUNCTION("IFERROR((GOOGLEFINANCE(C78, ""price"") / INDEX(GOOGLEFINANCE(C78, ""price"", EDATE(TODAY(), -3), TODAY()), 2, 2)) - 1, """")"),"")</f>
        <v/>
      </c>
      <c r="O78" s="21" t="str">
        <f>IFERROR(__xludf.DUMMYFUNCTION("IFERROR((GOOGLEFINANCE(C78, ""price"") / INDEX(GOOGLEFINANCE(C78, ""price"", EDATE(TODAY(), -6), TODAY()), 2, 2)) - 1, """")"),"")</f>
        <v/>
      </c>
      <c r="P78" s="21" t="str">
        <f>IFERROR(__xludf.DUMMYFUNCTION("IFERROR((GOOGLEFINANCE(C78, ""price"") / INDEX(GOOGLEFINANCE(C78, ""price"", EDATE(TODAY(), -12), TODAY()), 2, 2)) - 1, """")"),"")</f>
        <v/>
      </c>
      <c r="Q78" s="6" t="str">
        <f>IFERROR(__xludf.DUMMYFUNCTION("AVERAGE(QUERY(GOOGLEFINANCE(C78, ""price"", TODAY()-80, TODAY()), ""SELECT Col2 WHERE Col2 IS NOT NULL ORDER BY Col1 DESC LIMIT 50"", 0))"),"#N/A")</f>
        <v>#N/A</v>
      </c>
      <c r="R78" s="24" t="str">
        <f>IFERROR(__xludf.DUMMYFUNCTION("IFERROR(
  LET(
    data, QUERY(GOOGLEFINANCE(C78,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GOOGLEFINANCE(C78, ""price"")) * 100,
    IF(calc=0, G78, calc)
  ), 
G78)"),"#N/A")</f>
        <v>#N/A</v>
      </c>
      <c r="S78" s="8" t="s">
        <v>15</v>
      </c>
      <c r="T78" s="26" t="str">
        <f>IFERROR(__xludf.DUMMYFUNCTION("IFERROR(TRANSPOSE(QUERY(IFERROR(SORT(GOOGLEFINANCE(C78, ""price"", WORKDAY(TODAY(), -40), TODAY()), 1, FALSE)), ""select Col2 where Col2 is not null limit 22 label Col2 ''"", 0)), """")"),"")</f>
        <v/>
      </c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8"/>
      <c r="AO78" s="28"/>
      <c r="AP78" s="29"/>
      <c r="AQ78" s="29" t="str">
        <f t="shared" ref="AQ78:BL78" si="81">T78/T$2</f>
        <v>#N/A</v>
      </c>
      <c r="AR78" s="29" t="str">
        <f t="shared" si="81"/>
        <v>#DIV/0!</v>
      </c>
      <c r="AS78" s="29" t="str">
        <f t="shared" si="81"/>
        <v>#DIV/0!</v>
      </c>
      <c r="AT78" s="29" t="str">
        <f t="shared" si="81"/>
        <v>#DIV/0!</v>
      </c>
      <c r="AU78" s="29" t="str">
        <f t="shared" si="81"/>
        <v>#DIV/0!</v>
      </c>
      <c r="AV78" s="29" t="str">
        <f t="shared" si="81"/>
        <v>#DIV/0!</v>
      </c>
      <c r="AW78" s="29" t="str">
        <f t="shared" si="81"/>
        <v>#DIV/0!</v>
      </c>
      <c r="AX78" s="29" t="str">
        <f t="shared" si="81"/>
        <v>#DIV/0!</v>
      </c>
      <c r="AY78" s="29" t="str">
        <f t="shared" si="81"/>
        <v>#DIV/0!</v>
      </c>
      <c r="AZ78" s="29" t="str">
        <f t="shared" si="81"/>
        <v>#DIV/0!</v>
      </c>
      <c r="BA78" s="29" t="str">
        <f t="shared" si="81"/>
        <v>#DIV/0!</v>
      </c>
      <c r="BB78" s="29" t="str">
        <f t="shared" si="81"/>
        <v>#DIV/0!</v>
      </c>
      <c r="BC78" s="29" t="str">
        <f t="shared" si="81"/>
        <v>#DIV/0!</v>
      </c>
      <c r="BD78" s="29" t="str">
        <f t="shared" si="81"/>
        <v>#DIV/0!</v>
      </c>
      <c r="BE78" s="29" t="str">
        <f t="shared" si="81"/>
        <v>#DIV/0!</v>
      </c>
      <c r="BF78" s="29" t="str">
        <f t="shared" si="81"/>
        <v>#DIV/0!</v>
      </c>
      <c r="BG78" s="29" t="str">
        <f t="shared" si="81"/>
        <v>#DIV/0!</v>
      </c>
      <c r="BH78" s="29" t="str">
        <f t="shared" si="81"/>
        <v>#DIV/0!</v>
      </c>
      <c r="BI78" s="29" t="str">
        <f t="shared" si="81"/>
        <v>#DIV/0!</v>
      </c>
      <c r="BJ78" s="29" t="str">
        <f t="shared" si="81"/>
        <v>#DIV/0!</v>
      </c>
      <c r="BK78" s="29" t="str">
        <f t="shared" si="81"/>
        <v>#DIV/0!</v>
      </c>
      <c r="BL78" s="29" t="str">
        <f t="shared" si="81"/>
        <v>#DIV/0!</v>
      </c>
      <c r="BM78" s="29" t="str">
        <f t="shared" si="3"/>
        <v>#DIV/0!</v>
      </c>
    </row>
    <row r="79">
      <c r="A79" s="16" t="str">
        <f>IFERROR(__xludf.DUMMYFUNCTION("IFERROR(SPARKLINE(SORT(MAP(TRANSPOSE(AQ79:BL79), LAMBDA(val, IF(ISNUMBER(val), PERCENTRANK(AQ79:BL79, val)+0.01, 0))), SEQUENCE(COLUMNS(AQ79:BL79)), FALSE), {""charttype"",""column""; ""color"",""chartreuse""; ""ymin"", 0; ""ymax"", 1.01; ""highcolor"", "&amp;"""darkgreen""; ""lowcolor"", ""red""}), """")"),"")</f>
        <v/>
      </c>
      <c r="B79" s="17" t="str">
        <f t="shared" si="4"/>
        <v/>
      </c>
      <c r="C79" s="1" t="s">
        <v>2364</v>
      </c>
      <c r="D79" s="30" t="str">
        <f>IFERROR(__xludf.DUMMYFUNCTION("IFERROR(GOOGLEFINANCE(C79, ""NAME""))"),"Target Corp")</f>
        <v>Target Corp</v>
      </c>
      <c r="E79" s="30" t="s">
        <v>2270</v>
      </c>
      <c r="F79" s="33" t="str">
        <f>IFERROR(__xludf.DUMMYFUNCTION("( (GOOGLEFINANCE(C79, ""price"") - Q79) / Q79 ) / (R79 / 100)"),"Loading...")</f>
        <v>Loading...</v>
      </c>
      <c r="G79" s="20" t="str">
        <f>IFERROR(__xludf.DUMMYFUNCTION("AVERAGE(ARRAYFORMULA(100 * (QUERY(GOOGLEFINANCE(C79, ""high"", TODAY()-40, TODAY()), ""SELECT Col2 WHERE Col2 IS NOT NULL ORDER BY Col1 DESC LIMIT 20"", 0) / QUERY(GOOGLEFINANCE(C79, ""low"", TODAY()-40, TODAY()), ""SELECT Col2 WHERE Col2 IS NOT NULL ORDE"&amp;"R BY Col1 DESC LIMIT 20"", 0) - 1)))"),"#N/A")</f>
        <v>#N/A</v>
      </c>
      <c r="H79" s="35" t="str">
        <f t="shared" si="6"/>
        <v>Liquid</v>
      </c>
      <c r="I79" s="36" t="str">
        <f t="shared" si="7"/>
        <v>No RVol Required</v>
      </c>
      <c r="J79" s="37">
        <f>IFERROR(__xludf.DUMMYFUNCTION("IFERROR(
  IF(C79="""",, 
    IFERROR(
      GOOGLEFINANCE(C79, ""price"") * GOOGLEFINANCE(C79, ""volumeavg""), 
      GOOGLEFINANCE(C79, ""price"") * AVERAGE(QUERY(GOOGLEFINANCE(C79, ""volume"", TODAY()-40, TODAY()), ""SELECT Col2 WHERE Col2 IS NOT NULL "&amp;"ORDER BY Col1 DESC LIMIT 20"", 0))
    )
  ), 
"""")"),5.512937709599999E8)</f>
        <v>551293771</v>
      </c>
      <c r="K79" s="21">
        <f>IFERROR(__xludf.DUMMYFUNCTION("IFERROR(GOOGLEFINANCE(C79, ""changepct"") / 100, """")"),-0.0151)</f>
        <v>-0.0151</v>
      </c>
      <c r="L79" s="21" t="str">
        <f>IFERROR(__xludf.DUMMYFUNCTION("IFERROR((GOOGLEFINANCE(C79, ""price"") / INDEX(GOOGLEFINANCE(C79, ""price"", TODAY()-7, TODAY()), 2, 2)) - 1, """")"),"")</f>
        <v/>
      </c>
      <c r="M79" s="21" t="str">
        <f>IFERROR(__xludf.DUMMYFUNCTION("IFERROR((GOOGLEFINANCE(C79, ""price"") / INDEX(GOOGLEFINANCE(C79, ""price"", EDATE(TODAY(), -1), TODAY()), 2, 2)) - 1, """")"),"")</f>
        <v/>
      </c>
      <c r="N79" s="21" t="str">
        <f>IFERROR(__xludf.DUMMYFUNCTION("IFERROR((GOOGLEFINANCE(C79, ""price"") / INDEX(GOOGLEFINANCE(C79, ""price"", EDATE(TODAY(), -3), TODAY()), 2, 2)) - 1, """")"),"")</f>
        <v/>
      </c>
      <c r="O79" s="21" t="str">
        <f>IFERROR(__xludf.DUMMYFUNCTION("IFERROR((GOOGLEFINANCE(C79, ""price"") / INDEX(GOOGLEFINANCE(C79, ""price"", EDATE(TODAY(), -6), TODAY()), 2, 2)) - 1, """")"),"")</f>
        <v/>
      </c>
      <c r="P79" s="21" t="str">
        <f>IFERROR(__xludf.DUMMYFUNCTION("IFERROR((GOOGLEFINANCE(C79, ""price"") / INDEX(GOOGLEFINANCE(C79, ""price"", EDATE(TODAY(), -12), TODAY()), 2, 2)) - 1, """")"),"")</f>
        <v/>
      </c>
      <c r="Q79" s="6" t="str">
        <f>IFERROR(__xludf.DUMMYFUNCTION("AVERAGE(QUERY(GOOGLEFINANCE(C79, ""price"", TODAY()-80, TODAY()), ""SELECT Col2 WHERE Col2 IS NOT NULL ORDER BY Col1 DESC LIMIT 50"", 0))"),"#N/A")</f>
        <v>#N/A</v>
      </c>
      <c r="R79" s="24" t="str">
        <f>IFERROR(__xludf.DUMMYFUNCTION("IFERROR(
  LET(
    data, QUERY(GOOGLEFINANCE(C79,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GOOGLEFINANCE(C79, ""price"")) * 100,
    IF(calc=0, G79, calc)
  ), 
G79)"),"#N/A")</f>
        <v>#N/A</v>
      </c>
      <c r="S79" s="8" t="s">
        <v>15</v>
      </c>
      <c r="T79" s="26" t="str">
        <f>IFERROR(__xludf.DUMMYFUNCTION("IFERROR(TRANSPOSE(QUERY(IFERROR(SORT(GOOGLEFINANCE(C79, ""price"", WORKDAY(TODAY(), -40), TODAY()), 1, FALSE)), ""select Col2 where Col2 is not null limit 22 label Col2 ''"", 0)), """")"),"")</f>
        <v/>
      </c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8"/>
      <c r="AO79" s="28"/>
      <c r="AP79" s="29"/>
      <c r="AQ79" s="29" t="str">
        <f t="shared" ref="AQ79:BL79" si="82">T79/T$2</f>
        <v>#N/A</v>
      </c>
      <c r="AR79" s="29" t="str">
        <f t="shared" si="82"/>
        <v>#DIV/0!</v>
      </c>
      <c r="AS79" s="29" t="str">
        <f t="shared" si="82"/>
        <v>#DIV/0!</v>
      </c>
      <c r="AT79" s="29" t="str">
        <f t="shared" si="82"/>
        <v>#DIV/0!</v>
      </c>
      <c r="AU79" s="29" t="str">
        <f t="shared" si="82"/>
        <v>#DIV/0!</v>
      </c>
      <c r="AV79" s="29" t="str">
        <f t="shared" si="82"/>
        <v>#DIV/0!</v>
      </c>
      <c r="AW79" s="29" t="str">
        <f t="shared" si="82"/>
        <v>#DIV/0!</v>
      </c>
      <c r="AX79" s="29" t="str">
        <f t="shared" si="82"/>
        <v>#DIV/0!</v>
      </c>
      <c r="AY79" s="29" t="str">
        <f t="shared" si="82"/>
        <v>#DIV/0!</v>
      </c>
      <c r="AZ79" s="29" t="str">
        <f t="shared" si="82"/>
        <v>#DIV/0!</v>
      </c>
      <c r="BA79" s="29" t="str">
        <f t="shared" si="82"/>
        <v>#DIV/0!</v>
      </c>
      <c r="BB79" s="29" t="str">
        <f t="shared" si="82"/>
        <v>#DIV/0!</v>
      </c>
      <c r="BC79" s="29" t="str">
        <f t="shared" si="82"/>
        <v>#DIV/0!</v>
      </c>
      <c r="BD79" s="29" t="str">
        <f t="shared" si="82"/>
        <v>#DIV/0!</v>
      </c>
      <c r="BE79" s="29" t="str">
        <f t="shared" si="82"/>
        <v>#DIV/0!</v>
      </c>
      <c r="BF79" s="29" t="str">
        <f t="shared" si="82"/>
        <v>#DIV/0!</v>
      </c>
      <c r="BG79" s="29" t="str">
        <f t="shared" si="82"/>
        <v>#DIV/0!</v>
      </c>
      <c r="BH79" s="29" t="str">
        <f t="shared" si="82"/>
        <v>#DIV/0!</v>
      </c>
      <c r="BI79" s="29" t="str">
        <f t="shared" si="82"/>
        <v>#DIV/0!</v>
      </c>
      <c r="BJ79" s="29" t="str">
        <f t="shared" si="82"/>
        <v>#DIV/0!</v>
      </c>
      <c r="BK79" s="29" t="str">
        <f t="shared" si="82"/>
        <v>#DIV/0!</v>
      </c>
      <c r="BL79" s="29" t="str">
        <f t="shared" si="82"/>
        <v>#DIV/0!</v>
      </c>
      <c r="BM79" s="29" t="str">
        <f t="shared" si="3"/>
        <v>#DIV/0!</v>
      </c>
    </row>
    <row r="80">
      <c r="A80" s="16" t="str">
        <f>IFERROR(__xludf.DUMMYFUNCTION("IFERROR(SPARKLINE(SORT(MAP(TRANSPOSE(AQ80:BL80), LAMBDA(val, IF(ISNUMBER(val), PERCENTRANK(AQ80:BL80, val)+0.01, 0))), SEQUENCE(COLUMNS(AQ80:BL80)), FALSE), {""charttype"",""column""; ""color"",""chartreuse""; ""ymin"", 0; ""ymax"", 1.01; ""highcolor"", "&amp;"""darkgreen""; ""lowcolor"", ""red""}), """")"),"")</f>
        <v/>
      </c>
      <c r="B80" s="17" t="str">
        <f t="shared" si="4"/>
        <v/>
      </c>
      <c r="C80" s="1" t="s">
        <v>2368</v>
      </c>
      <c r="D80" s="30" t="str">
        <f>IFERROR(__xludf.DUMMYFUNCTION("IFERROR(GOOGLEFINANCE(C80, ""NAME""))"),"TAL Education Group")</f>
        <v>TAL Education Group</v>
      </c>
      <c r="E80" s="30" t="s">
        <v>2069</v>
      </c>
      <c r="F80" s="33" t="str">
        <f>IFERROR(__xludf.DUMMYFUNCTION("( (GOOGLEFINANCE(C80, ""price"") - Q80) / Q80 ) / (R80 / 100)"),"Loading...")</f>
        <v>Loading...</v>
      </c>
      <c r="G80" s="20" t="str">
        <f>IFERROR(__xludf.DUMMYFUNCTION("AVERAGE(ARRAYFORMULA(100 * (QUERY(GOOGLEFINANCE(C80, ""high"", TODAY()-40, TODAY()), ""SELECT Col2 WHERE Col2 IS NOT NULL ORDER BY Col1 DESC LIMIT 20"", 0) / QUERY(GOOGLEFINANCE(C80, ""low"", TODAY()-40, TODAY()), ""SELECT Col2 WHERE Col2 IS NOT NULL ORDE"&amp;"R BY Col1 DESC LIMIT 20"", 0) - 1)))"),"#N/A")</f>
        <v>#N/A</v>
      </c>
      <c r="H80" s="35" t="str">
        <f t="shared" si="6"/>
        <v>Illiquid</v>
      </c>
      <c r="I80" s="36" t="str">
        <f t="shared" si="7"/>
        <v>RVol Required</v>
      </c>
      <c r="J80" s="37">
        <f>IFERROR(__xludf.DUMMYFUNCTION("IFERROR(
  IF(C80="""",, 
    IFERROR(
      GOOGLEFINANCE(C80, ""price"") * GOOGLEFINANCE(C80, ""volumeavg""), 
      GOOGLEFINANCE(C80, ""price"") * AVERAGE(QUERY(GOOGLEFINANCE(C80, ""volume"", TODAY()-40, TODAY()), ""SELECT Col2 WHERE Col2 IS NOT NULL "&amp;"ORDER BY Col1 DESC LIMIT 20"", 0))
    )
  ), 
"""")"),4.6381296E7)</f>
        <v>46381296</v>
      </c>
      <c r="K80" s="21">
        <f>IFERROR(__xludf.DUMMYFUNCTION("IFERROR(GOOGLEFINANCE(C80, ""changepct"") / 100, """")"),-0.0431)</f>
        <v>-0.0431</v>
      </c>
      <c r="L80" s="21" t="str">
        <f>IFERROR(__xludf.DUMMYFUNCTION("IFERROR((GOOGLEFINANCE(C80, ""price"") / INDEX(GOOGLEFINANCE(C80, ""price"", TODAY()-7, TODAY()), 2, 2)) - 1, """")"),"")</f>
        <v/>
      </c>
      <c r="M80" s="21" t="str">
        <f>IFERROR(__xludf.DUMMYFUNCTION("IFERROR((GOOGLEFINANCE(C80, ""price"") / INDEX(GOOGLEFINANCE(C80, ""price"", EDATE(TODAY(), -1), TODAY()), 2, 2)) - 1, """")"),"")</f>
        <v/>
      </c>
      <c r="N80" s="21" t="str">
        <f>IFERROR(__xludf.DUMMYFUNCTION("IFERROR((GOOGLEFINANCE(C80, ""price"") / INDEX(GOOGLEFINANCE(C80, ""price"", EDATE(TODAY(), -3), TODAY()), 2, 2)) - 1, """")"),"")</f>
        <v/>
      </c>
      <c r="O80" s="21" t="str">
        <f>IFERROR(__xludf.DUMMYFUNCTION("IFERROR((GOOGLEFINANCE(C80, ""price"") / INDEX(GOOGLEFINANCE(C80, ""price"", EDATE(TODAY(), -6), TODAY()), 2, 2)) - 1, """")"),"")</f>
        <v/>
      </c>
      <c r="P80" s="21" t="str">
        <f>IFERROR(__xludf.DUMMYFUNCTION("IFERROR((GOOGLEFINANCE(C80, ""price"") / INDEX(GOOGLEFINANCE(C80, ""price"", EDATE(TODAY(), -12), TODAY()), 2, 2)) - 1, """")"),"")</f>
        <v/>
      </c>
      <c r="Q80" s="6" t="str">
        <f>IFERROR(__xludf.DUMMYFUNCTION("AVERAGE(QUERY(GOOGLEFINANCE(C80, ""price"", TODAY()-80, TODAY()), ""SELECT Col2 WHERE Col2 IS NOT NULL ORDER BY Col1 DESC LIMIT 50"", 0))"),"#N/A")</f>
        <v>#N/A</v>
      </c>
      <c r="R80" s="24" t="str">
        <f>IFERROR(__xludf.DUMMYFUNCTION("IFERROR(
  LET(
    data, QUERY(GOOGLEFINANCE(C80,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GOOGLEFINANCE(C80, ""price"")) * 100,
    IF(calc=0, G80, calc)
  ), 
G80)"),"#N/A")</f>
        <v>#N/A</v>
      </c>
      <c r="S80" s="8" t="s">
        <v>15</v>
      </c>
      <c r="T80" s="26" t="str">
        <f>IFERROR(__xludf.DUMMYFUNCTION("IFERROR(TRANSPOSE(QUERY(IFERROR(SORT(GOOGLEFINANCE(C80, ""price"", WORKDAY(TODAY(), -40), TODAY()), 1, FALSE)), ""select Col2 where Col2 is not null limit 22 label Col2 ''"", 0)), """")"),"")</f>
        <v/>
      </c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8"/>
      <c r="AO80" s="28"/>
      <c r="AP80" s="29"/>
      <c r="AQ80" s="29" t="str">
        <f t="shared" ref="AQ80:BL80" si="83">T80/T$2</f>
        <v>#N/A</v>
      </c>
      <c r="AR80" s="29" t="str">
        <f t="shared" si="83"/>
        <v>#DIV/0!</v>
      </c>
      <c r="AS80" s="29" t="str">
        <f t="shared" si="83"/>
        <v>#DIV/0!</v>
      </c>
      <c r="AT80" s="29" t="str">
        <f t="shared" si="83"/>
        <v>#DIV/0!</v>
      </c>
      <c r="AU80" s="29" t="str">
        <f t="shared" si="83"/>
        <v>#DIV/0!</v>
      </c>
      <c r="AV80" s="29" t="str">
        <f t="shared" si="83"/>
        <v>#DIV/0!</v>
      </c>
      <c r="AW80" s="29" t="str">
        <f t="shared" si="83"/>
        <v>#DIV/0!</v>
      </c>
      <c r="AX80" s="29" t="str">
        <f t="shared" si="83"/>
        <v>#DIV/0!</v>
      </c>
      <c r="AY80" s="29" t="str">
        <f t="shared" si="83"/>
        <v>#DIV/0!</v>
      </c>
      <c r="AZ80" s="29" t="str">
        <f t="shared" si="83"/>
        <v>#DIV/0!</v>
      </c>
      <c r="BA80" s="29" t="str">
        <f t="shared" si="83"/>
        <v>#DIV/0!</v>
      </c>
      <c r="BB80" s="29" t="str">
        <f t="shared" si="83"/>
        <v>#DIV/0!</v>
      </c>
      <c r="BC80" s="29" t="str">
        <f t="shared" si="83"/>
        <v>#DIV/0!</v>
      </c>
      <c r="BD80" s="29" t="str">
        <f t="shared" si="83"/>
        <v>#DIV/0!</v>
      </c>
      <c r="BE80" s="29" t="str">
        <f t="shared" si="83"/>
        <v>#DIV/0!</v>
      </c>
      <c r="BF80" s="29" t="str">
        <f t="shared" si="83"/>
        <v>#DIV/0!</v>
      </c>
      <c r="BG80" s="29" t="str">
        <f t="shared" si="83"/>
        <v>#DIV/0!</v>
      </c>
      <c r="BH80" s="29" t="str">
        <f t="shared" si="83"/>
        <v>#DIV/0!</v>
      </c>
      <c r="BI80" s="29" t="str">
        <f t="shared" si="83"/>
        <v>#DIV/0!</v>
      </c>
      <c r="BJ80" s="29" t="str">
        <f t="shared" si="83"/>
        <v>#DIV/0!</v>
      </c>
      <c r="BK80" s="29" t="str">
        <f t="shared" si="83"/>
        <v>#DIV/0!</v>
      </c>
      <c r="BL80" s="29" t="str">
        <f t="shared" si="83"/>
        <v>#DIV/0!</v>
      </c>
      <c r="BM80" s="29" t="str">
        <f t="shared" si="3"/>
        <v>#DIV/0!</v>
      </c>
    </row>
    <row r="81">
      <c r="A81" s="16" t="str">
        <f>IFERROR(__xludf.DUMMYFUNCTION("IFERROR(SPARKLINE(SORT(MAP(TRANSPOSE(AQ81:BL81), LAMBDA(val, IF(ISNUMBER(val), PERCENTRANK(AQ81:BL81, val)+0.01, 0))), SEQUENCE(COLUMNS(AQ81:BL81)), FALSE), {""charttype"",""column""; ""color"",""chartreuse""; ""ymin"", 0; ""ymax"", 1.01; ""highcolor"", "&amp;"""darkgreen""; ""lowcolor"", ""red""}), """")"),"")</f>
        <v/>
      </c>
      <c r="B81" s="17" t="str">
        <f t="shared" si="4"/>
        <v/>
      </c>
      <c r="C81" s="1" t="s">
        <v>2372</v>
      </c>
      <c r="D81" s="30" t="str">
        <f>IFERROR(__xludf.DUMMYFUNCTION("IFERROR(GOOGLEFINANCE(C81, ""NAME""))"),"Constellation Brands Inc")</f>
        <v>Constellation Brands Inc</v>
      </c>
      <c r="E81" s="30" t="s">
        <v>2106</v>
      </c>
      <c r="F81" s="33" t="str">
        <f>IFERROR(__xludf.DUMMYFUNCTION("( (GOOGLEFINANCE(C81, ""price"") - Q81) / Q81 ) / (R81 / 100)"),"Loading...")</f>
        <v>Loading...</v>
      </c>
      <c r="G81" s="20" t="str">
        <f>IFERROR(__xludf.DUMMYFUNCTION("AVERAGE(ARRAYFORMULA(100 * (QUERY(GOOGLEFINANCE(C81, ""high"", TODAY()-40, TODAY()), ""SELECT Col2 WHERE Col2 IS NOT NULL ORDER BY Col1 DESC LIMIT 20"", 0) / QUERY(GOOGLEFINANCE(C81, ""low"", TODAY()-40, TODAY()), ""SELECT Col2 WHERE Col2 IS NOT NULL ORDE"&amp;"R BY Col1 DESC LIMIT 20"", 0) - 1)))"),"#N/A")</f>
        <v>#N/A</v>
      </c>
      <c r="H81" s="35" t="str">
        <f t="shared" si="6"/>
        <v>Liquid</v>
      </c>
      <c r="I81" s="36" t="str">
        <f t="shared" si="7"/>
        <v>RVol Required</v>
      </c>
      <c r="J81" s="37">
        <f>IFERROR(__xludf.DUMMYFUNCTION("IFERROR(
  IF(C81="""",, 
    IFERROR(
      GOOGLEFINANCE(C81, ""price"") * GOOGLEFINANCE(C81, ""volumeavg""), 
      GOOGLEFINANCE(C81, ""price"") * AVERAGE(QUERY(GOOGLEFINANCE(C81, ""volume"", TODAY()-40, TODAY()), ""SELECT Col2 WHERE Col2 IS NOT NULL "&amp;"ORDER BY Col1 DESC LIMIT 20"", 0))
    )
  ), 
"""")"),3.4805070459999996E8)</f>
        <v>348050704.6</v>
      </c>
      <c r="K81" s="21">
        <f>IFERROR(__xludf.DUMMYFUNCTION("IFERROR(GOOGLEFINANCE(C81, ""changepct"") / 100, """")"),0.0137)</f>
        <v>0.0137</v>
      </c>
      <c r="L81" s="21" t="str">
        <f>IFERROR(__xludf.DUMMYFUNCTION("IFERROR((GOOGLEFINANCE(C81, ""price"") / INDEX(GOOGLEFINANCE(C81, ""price"", TODAY()-7, TODAY()), 2, 2)) - 1, """")"),"")</f>
        <v/>
      </c>
      <c r="M81" s="21" t="str">
        <f>IFERROR(__xludf.DUMMYFUNCTION("IFERROR((GOOGLEFINANCE(C81, ""price"") / INDEX(GOOGLEFINANCE(C81, ""price"", EDATE(TODAY(), -1), TODAY()), 2, 2)) - 1, """")"),"")</f>
        <v/>
      </c>
      <c r="N81" s="21" t="str">
        <f>IFERROR(__xludf.DUMMYFUNCTION("IFERROR((GOOGLEFINANCE(C81, ""price"") / INDEX(GOOGLEFINANCE(C81, ""price"", EDATE(TODAY(), -3), TODAY()), 2, 2)) - 1, """")"),"")</f>
        <v/>
      </c>
      <c r="O81" s="21" t="str">
        <f>IFERROR(__xludf.DUMMYFUNCTION("IFERROR((GOOGLEFINANCE(C81, ""price"") / INDEX(GOOGLEFINANCE(C81, ""price"", EDATE(TODAY(), -6), TODAY()), 2, 2)) - 1, """")"),"")</f>
        <v/>
      </c>
      <c r="P81" s="21" t="str">
        <f>IFERROR(__xludf.DUMMYFUNCTION("IFERROR((GOOGLEFINANCE(C81, ""price"") / INDEX(GOOGLEFINANCE(C81, ""price"", EDATE(TODAY(), -12), TODAY()), 2, 2)) - 1, """")"),"")</f>
        <v/>
      </c>
      <c r="Q81" s="6" t="str">
        <f>IFERROR(__xludf.DUMMYFUNCTION("AVERAGE(QUERY(GOOGLEFINANCE(C81, ""price"", TODAY()-80, TODAY()), ""SELECT Col2 WHERE Col2 IS NOT NULL ORDER BY Col1 DESC LIMIT 50"", 0))"),"#N/A")</f>
        <v>#N/A</v>
      </c>
      <c r="R81" s="24" t="str">
        <f>IFERROR(__xludf.DUMMYFUNCTION("IFERROR(
  LET(
    data, QUERY(GOOGLEFINANCE(C81,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GOOGLEFINANCE(C81, ""price"")) * 100,
    IF(calc=0, G81, calc)
  ), 
G81)"),"#N/A")</f>
        <v>#N/A</v>
      </c>
      <c r="S81" s="8" t="s">
        <v>15</v>
      </c>
      <c r="T81" s="26" t="str">
        <f>IFERROR(__xludf.DUMMYFUNCTION("IFERROR(TRANSPOSE(QUERY(IFERROR(SORT(GOOGLEFINANCE(C81, ""price"", WORKDAY(TODAY(), -40), TODAY()), 1, FALSE)), ""select Col2 where Col2 is not null limit 22 label Col2 ''"", 0)), """")"),"")</f>
        <v/>
      </c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8"/>
      <c r="AO81" s="28"/>
      <c r="AP81" s="29"/>
      <c r="AQ81" s="29" t="str">
        <f t="shared" ref="AQ81:BL81" si="84">T81/T$2</f>
        <v>#N/A</v>
      </c>
      <c r="AR81" s="29" t="str">
        <f t="shared" si="84"/>
        <v>#DIV/0!</v>
      </c>
      <c r="AS81" s="29" t="str">
        <f t="shared" si="84"/>
        <v>#DIV/0!</v>
      </c>
      <c r="AT81" s="29" t="str">
        <f t="shared" si="84"/>
        <v>#DIV/0!</v>
      </c>
      <c r="AU81" s="29" t="str">
        <f t="shared" si="84"/>
        <v>#DIV/0!</v>
      </c>
      <c r="AV81" s="29" t="str">
        <f t="shared" si="84"/>
        <v>#DIV/0!</v>
      </c>
      <c r="AW81" s="29" t="str">
        <f t="shared" si="84"/>
        <v>#DIV/0!</v>
      </c>
      <c r="AX81" s="29" t="str">
        <f t="shared" si="84"/>
        <v>#DIV/0!</v>
      </c>
      <c r="AY81" s="29" t="str">
        <f t="shared" si="84"/>
        <v>#DIV/0!</v>
      </c>
      <c r="AZ81" s="29" t="str">
        <f t="shared" si="84"/>
        <v>#DIV/0!</v>
      </c>
      <c r="BA81" s="29" t="str">
        <f t="shared" si="84"/>
        <v>#DIV/0!</v>
      </c>
      <c r="BB81" s="29" t="str">
        <f t="shared" si="84"/>
        <v>#DIV/0!</v>
      </c>
      <c r="BC81" s="29" t="str">
        <f t="shared" si="84"/>
        <v>#DIV/0!</v>
      </c>
      <c r="BD81" s="29" t="str">
        <f t="shared" si="84"/>
        <v>#DIV/0!</v>
      </c>
      <c r="BE81" s="29" t="str">
        <f t="shared" si="84"/>
        <v>#DIV/0!</v>
      </c>
      <c r="BF81" s="29" t="str">
        <f t="shared" si="84"/>
        <v>#DIV/0!</v>
      </c>
      <c r="BG81" s="29" t="str">
        <f t="shared" si="84"/>
        <v>#DIV/0!</v>
      </c>
      <c r="BH81" s="29" t="str">
        <f t="shared" si="84"/>
        <v>#DIV/0!</v>
      </c>
      <c r="BI81" s="29" t="str">
        <f t="shared" si="84"/>
        <v>#DIV/0!</v>
      </c>
      <c r="BJ81" s="29" t="str">
        <f t="shared" si="84"/>
        <v>#DIV/0!</v>
      </c>
      <c r="BK81" s="29" t="str">
        <f t="shared" si="84"/>
        <v>#DIV/0!</v>
      </c>
      <c r="BL81" s="29" t="str">
        <f t="shared" si="84"/>
        <v>#DIV/0!</v>
      </c>
      <c r="BM81" s="29" t="str">
        <f t="shared" si="3"/>
        <v>#DIV/0!</v>
      </c>
    </row>
    <row r="82">
      <c r="A82" s="16" t="str">
        <f>IFERROR(__xludf.DUMMYFUNCTION("IFERROR(SPARKLINE(SORT(MAP(TRANSPOSE(AQ82:BL82), LAMBDA(val, IF(ISNUMBER(val), PERCENTRANK(AQ82:BL82, val)+0.01, 0))), SEQUENCE(COLUMNS(AQ82:BL82)), FALSE), {""charttype"",""column""; ""color"",""chartreuse""; ""ymin"", 0; ""ymax"", 1.01; ""highcolor"", "&amp;"""darkgreen""; ""lowcolor"", ""red""}), """")"),"")</f>
        <v/>
      </c>
      <c r="B82" s="17" t="str">
        <f t="shared" si="4"/>
        <v/>
      </c>
      <c r="C82" s="1" t="s">
        <v>2376</v>
      </c>
      <c r="D82" s="30" t="str">
        <f>IFERROR(__xludf.DUMMYFUNCTION("IFERROR(GOOGLEFINANCE(C82, ""NAME""))"),"Smithfield Foods Inc")</f>
        <v>Smithfield Foods Inc</v>
      </c>
      <c r="E82" s="30" t="s">
        <v>2094</v>
      </c>
      <c r="F82" s="33" t="str">
        <f>IFERROR(__xludf.DUMMYFUNCTION("( (GOOGLEFINANCE(C82, ""price"") - Q82) / Q82 ) / (R82 / 100)"),"Loading...")</f>
        <v>Loading...</v>
      </c>
      <c r="G82" s="20" t="str">
        <f>IFERROR(__xludf.DUMMYFUNCTION("AVERAGE(ARRAYFORMULA(100 * (QUERY(GOOGLEFINANCE(C82, ""high"", TODAY()-40, TODAY()), ""SELECT Col2 WHERE Col2 IS NOT NULL ORDER BY Col1 DESC LIMIT 20"", 0) / QUERY(GOOGLEFINANCE(C82, ""low"", TODAY()-40, TODAY()), ""SELECT Col2 WHERE Col2 IS NOT NULL ORDE"&amp;"R BY Col1 DESC LIMIT 20"", 0) - 1)))"),"#N/A")</f>
        <v>#N/A</v>
      </c>
      <c r="H82" s="35" t="str">
        <f t="shared" si="6"/>
        <v>Illiquid</v>
      </c>
      <c r="I82" s="36" t="str">
        <f t="shared" si="7"/>
        <v>RVol Required</v>
      </c>
      <c r="J82" s="37">
        <f>IFERROR(__xludf.DUMMYFUNCTION("IFERROR(
  IF(C82="""",, 
    IFERROR(
      GOOGLEFINANCE(C82, ""price"") * GOOGLEFINANCE(C82, ""volumeavg""), 
      GOOGLEFINANCE(C82, ""price"") * AVERAGE(QUERY(GOOGLEFINANCE(C82, ""volume"", TODAY()-40, TODAY()), ""SELECT Col2 WHERE Col2 IS NOT NULL "&amp;"ORDER BY Col1 DESC LIMIT 20"", 0))
    )
  ), 
"""")"),3.984909528E7)</f>
        <v>39849095.28</v>
      </c>
      <c r="K82" s="21">
        <f>IFERROR(__xludf.DUMMYFUNCTION("IFERROR(GOOGLEFINANCE(C82, ""changepct"") / 100, """")"),0.0087)</f>
        <v>0.0087</v>
      </c>
      <c r="L82" s="21" t="str">
        <f>IFERROR(__xludf.DUMMYFUNCTION("IFERROR((GOOGLEFINANCE(C82, ""price"") / INDEX(GOOGLEFINANCE(C82, ""price"", TODAY()-7, TODAY()), 2, 2)) - 1, """")"),"")</f>
        <v/>
      </c>
      <c r="M82" s="21" t="str">
        <f>IFERROR(__xludf.DUMMYFUNCTION("IFERROR((GOOGLEFINANCE(C82, ""price"") / INDEX(GOOGLEFINANCE(C82, ""price"", EDATE(TODAY(), -1), TODAY()), 2, 2)) - 1, """")"),"")</f>
        <v/>
      </c>
      <c r="N82" s="21" t="str">
        <f>IFERROR(__xludf.DUMMYFUNCTION("IFERROR((GOOGLEFINANCE(C82, ""price"") / INDEX(GOOGLEFINANCE(C82, ""price"", EDATE(TODAY(), -3), TODAY()), 2, 2)) - 1, """")"),"")</f>
        <v/>
      </c>
      <c r="O82" s="21" t="str">
        <f>IFERROR(__xludf.DUMMYFUNCTION("IFERROR((GOOGLEFINANCE(C82, ""price"") / INDEX(GOOGLEFINANCE(C82, ""price"", EDATE(TODAY(), -6), TODAY()), 2, 2)) - 1, """")"),"")</f>
        <v/>
      </c>
      <c r="P82" s="21" t="str">
        <f>IFERROR(__xludf.DUMMYFUNCTION("IFERROR((GOOGLEFINANCE(C82, ""price"") / INDEX(GOOGLEFINANCE(C82, ""price"", EDATE(TODAY(), -12), TODAY()), 2, 2)) - 1, """")"),"")</f>
        <v/>
      </c>
      <c r="Q82" s="6" t="str">
        <f>IFERROR(__xludf.DUMMYFUNCTION("AVERAGE(QUERY(GOOGLEFINANCE(C82, ""price"", TODAY()-80, TODAY()), ""SELECT Col2 WHERE Col2 IS NOT NULL ORDER BY Col1 DESC LIMIT 50"", 0))"),"#N/A")</f>
        <v>#N/A</v>
      </c>
      <c r="R82" s="24" t="str">
        <f>IFERROR(__xludf.DUMMYFUNCTION("IFERROR(
  LET(
    data, QUERY(GOOGLEFINANCE(C82,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GOOGLEFINANCE(C82, ""price"")) * 100,
    IF(calc=0, G82, calc)
  ), 
G82)"),"#N/A")</f>
        <v>#N/A</v>
      </c>
      <c r="S82" s="8" t="s">
        <v>15</v>
      </c>
      <c r="T82" s="26" t="str">
        <f>IFERROR(__xludf.DUMMYFUNCTION("IFERROR(TRANSPOSE(QUERY(IFERROR(SORT(GOOGLEFINANCE(C82, ""price"", WORKDAY(TODAY(), -40), TODAY()), 1, FALSE)), ""select Col2 where Col2 is not null limit 22 label Col2 ''"", 0)), """")"),"")</f>
        <v/>
      </c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8"/>
      <c r="AO82" s="28"/>
      <c r="AP82" s="29"/>
      <c r="AQ82" s="29" t="str">
        <f t="shared" ref="AQ82:BL82" si="85">T82/T$2</f>
        <v>#N/A</v>
      </c>
      <c r="AR82" s="29" t="str">
        <f t="shared" si="85"/>
        <v>#DIV/0!</v>
      </c>
      <c r="AS82" s="29" t="str">
        <f t="shared" si="85"/>
        <v>#DIV/0!</v>
      </c>
      <c r="AT82" s="29" t="str">
        <f t="shared" si="85"/>
        <v>#DIV/0!</v>
      </c>
      <c r="AU82" s="29" t="str">
        <f t="shared" si="85"/>
        <v>#DIV/0!</v>
      </c>
      <c r="AV82" s="29" t="str">
        <f t="shared" si="85"/>
        <v>#DIV/0!</v>
      </c>
      <c r="AW82" s="29" t="str">
        <f t="shared" si="85"/>
        <v>#DIV/0!</v>
      </c>
      <c r="AX82" s="29" t="str">
        <f t="shared" si="85"/>
        <v>#DIV/0!</v>
      </c>
      <c r="AY82" s="29" t="str">
        <f t="shared" si="85"/>
        <v>#DIV/0!</v>
      </c>
      <c r="AZ82" s="29" t="str">
        <f t="shared" si="85"/>
        <v>#DIV/0!</v>
      </c>
      <c r="BA82" s="29" t="str">
        <f t="shared" si="85"/>
        <v>#DIV/0!</v>
      </c>
      <c r="BB82" s="29" t="str">
        <f t="shared" si="85"/>
        <v>#DIV/0!</v>
      </c>
      <c r="BC82" s="29" t="str">
        <f t="shared" si="85"/>
        <v>#DIV/0!</v>
      </c>
      <c r="BD82" s="29" t="str">
        <f t="shared" si="85"/>
        <v>#DIV/0!</v>
      </c>
      <c r="BE82" s="29" t="str">
        <f t="shared" si="85"/>
        <v>#DIV/0!</v>
      </c>
      <c r="BF82" s="29" t="str">
        <f t="shared" si="85"/>
        <v>#DIV/0!</v>
      </c>
      <c r="BG82" s="29" t="str">
        <f t="shared" si="85"/>
        <v>#DIV/0!</v>
      </c>
      <c r="BH82" s="29" t="str">
        <f t="shared" si="85"/>
        <v>#DIV/0!</v>
      </c>
      <c r="BI82" s="29" t="str">
        <f t="shared" si="85"/>
        <v>#DIV/0!</v>
      </c>
      <c r="BJ82" s="29" t="str">
        <f t="shared" si="85"/>
        <v>#DIV/0!</v>
      </c>
      <c r="BK82" s="29" t="str">
        <f t="shared" si="85"/>
        <v>#DIV/0!</v>
      </c>
      <c r="BL82" s="29" t="str">
        <f t="shared" si="85"/>
        <v>#DIV/0!</v>
      </c>
      <c r="BM82" s="29" t="str">
        <f t="shared" si="3"/>
        <v>#DIV/0!</v>
      </c>
    </row>
    <row r="83">
      <c r="A83" s="16" t="str">
        <f>IFERROR(__xludf.DUMMYFUNCTION("IFERROR(SPARKLINE(SORT(MAP(TRANSPOSE(AQ83:BL83), LAMBDA(val, IF(ISNUMBER(val), PERCENTRANK(AQ83:BL83, val)+0.01, 0))), SEQUENCE(COLUMNS(AQ83:BL83)), FALSE), {""charttype"",""column""; ""color"",""chartreuse""; ""ymin"", 0; ""ymax"", 1.01; ""highcolor"", "&amp;"""darkgreen""; ""lowcolor"", ""red""}), """")"),"")</f>
        <v/>
      </c>
      <c r="B83" s="17" t="str">
        <f t="shared" si="4"/>
        <v/>
      </c>
      <c r="C83" s="1" t="s">
        <v>2380</v>
      </c>
      <c r="D83" s="30" t="str">
        <f>IFERROR(__xludf.DUMMYFUNCTION("IFERROR(GOOGLEFINANCE(C83, ""NAME""))"),"Pilgrims Pride Corp")</f>
        <v>Pilgrims Pride Corp</v>
      </c>
      <c r="E83" s="30" t="s">
        <v>2094</v>
      </c>
      <c r="F83" s="33" t="str">
        <f>IFERROR(__xludf.DUMMYFUNCTION("( (GOOGLEFINANCE(C83, ""price"") - Q83) / Q83 ) / (R83 / 100)"),"Loading...")</f>
        <v>Loading...</v>
      </c>
      <c r="G83" s="20" t="str">
        <f>IFERROR(__xludf.DUMMYFUNCTION("AVERAGE(ARRAYFORMULA(100 * (QUERY(GOOGLEFINANCE(C83, ""high"", TODAY()-40, TODAY()), ""SELECT Col2 WHERE Col2 IS NOT NULL ORDER BY Col1 DESC LIMIT 20"", 0) / QUERY(GOOGLEFINANCE(C83, ""low"", TODAY()-40, TODAY()), ""SELECT Col2 WHERE Col2 IS NOT NULL ORDE"&amp;"R BY Col1 DESC LIMIT 20"", 0) - 1)))"),"#N/A")</f>
        <v>#N/A</v>
      </c>
      <c r="H83" s="35" t="str">
        <f t="shared" si="6"/>
        <v>Illiquid</v>
      </c>
      <c r="I83" s="36" t="str">
        <f t="shared" si="7"/>
        <v>RVol Required</v>
      </c>
      <c r="J83" s="37">
        <f>IFERROR(__xludf.DUMMYFUNCTION("IFERROR(
  IF(C83="""",, 
    IFERROR(
      GOOGLEFINANCE(C83, ""price"") * GOOGLEFINANCE(C83, ""volumeavg""), 
      GOOGLEFINANCE(C83, ""price"") * AVERAGE(QUERY(GOOGLEFINANCE(C83, ""volume"", TODAY()-40, TODAY()), ""SELECT Col2 WHERE Col2 IS NOT NULL "&amp;"ORDER BY Col1 DESC LIMIT 20"", 0))
    )
  ), 
"""")"),4.099372389E7)</f>
        <v>40993723.89</v>
      </c>
      <c r="K83" s="21">
        <f>IFERROR(__xludf.DUMMYFUNCTION("IFERROR(GOOGLEFINANCE(C83, ""changepct"") / 100, """")"),0.0187)</f>
        <v>0.0187</v>
      </c>
      <c r="L83" s="21" t="str">
        <f>IFERROR(__xludf.DUMMYFUNCTION("IFERROR((GOOGLEFINANCE(C83, ""price"") / INDEX(GOOGLEFINANCE(C83, ""price"", TODAY()-7, TODAY()), 2, 2)) - 1, """")"),"")</f>
        <v/>
      </c>
      <c r="M83" s="21" t="str">
        <f>IFERROR(__xludf.DUMMYFUNCTION("IFERROR((GOOGLEFINANCE(C83, ""price"") / INDEX(GOOGLEFINANCE(C83, ""price"", EDATE(TODAY(), -1), TODAY()), 2, 2)) - 1, """")"),"")</f>
        <v/>
      </c>
      <c r="N83" s="21" t="str">
        <f>IFERROR(__xludf.DUMMYFUNCTION("IFERROR((GOOGLEFINANCE(C83, ""price"") / INDEX(GOOGLEFINANCE(C83, ""price"", EDATE(TODAY(), -3), TODAY()), 2, 2)) - 1, """")"),"")</f>
        <v/>
      </c>
      <c r="O83" s="21" t="str">
        <f>IFERROR(__xludf.DUMMYFUNCTION("IFERROR((GOOGLEFINANCE(C83, ""price"") / INDEX(GOOGLEFINANCE(C83, ""price"", EDATE(TODAY(), -6), TODAY()), 2, 2)) - 1, """")"),"")</f>
        <v/>
      </c>
      <c r="P83" s="21" t="str">
        <f>IFERROR(__xludf.DUMMYFUNCTION("IFERROR((GOOGLEFINANCE(C83, ""price"") / INDEX(GOOGLEFINANCE(C83, ""price"", EDATE(TODAY(), -12), TODAY()), 2, 2)) - 1, """")"),"")</f>
        <v/>
      </c>
      <c r="Q83" s="6" t="str">
        <f>IFERROR(__xludf.DUMMYFUNCTION("AVERAGE(QUERY(GOOGLEFINANCE(C83, ""price"", TODAY()-80, TODAY()), ""SELECT Col2 WHERE Col2 IS NOT NULL ORDER BY Col1 DESC LIMIT 50"", 0))"),"#N/A")</f>
        <v>#N/A</v>
      </c>
      <c r="R83" s="24" t="str">
        <f>IFERROR(__xludf.DUMMYFUNCTION("IFERROR(
  LET(
    data, QUERY(GOOGLEFINANCE(C83,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GOOGLEFINANCE(C83, ""price"")) * 100,
    IF(calc=0, G83, calc)
  ), 
G83)"),"#N/A")</f>
        <v>#N/A</v>
      </c>
      <c r="S83" s="8" t="s">
        <v>15</v>
      </c>
      <c r="T83" s="26" t="str">
        <f>IFERROR(__xludf.DUMMYFUNCTION("IFERROR(TRANSPOSE(QUERY(IFERROR(SORT(GOOGLEFINANCE(C83, ""price"", WORKDAY(TODAY(), -40), TODAY()), 1, FALSE)), ""select Col2 where Col2 is not null limit 22 label Col2 ''"", 0)), """")"),"")</f>
        <v/>
      </c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8"/>
      <c r="AO83" s="28"/>
      <c r="AP83" s="29"/>
      <c r="AQ83" s="29" t="str">
        <f t="shared" ref="AQ83:BL83" si="86">T83/T$2</f>
        <v>#N/A</v>
      </c>
      <c r="AR83" s="29" t="str">
        <f t="shared" si="86"/>
        <v>#DIV/0!</v>
      </c>
      <c r="AS83" s="29" t="str">
        <f t="shared" si="86"/>
        <v>#DIV/0!</v>
      </c>
      <c r="AT83" s="29" t="str">
        <f t="shared" si="86"/>
        <v>#DIV/0!</v>
      </c>
      <c r="AU83" s="29" t="str">
        <f t="shared" si="86"/>
        <v>#DIV/0!</v>
      </c>
      <c r="AV83" s="29" t="str">
        <f t="shared" si="86"/>
        <v>#DIV/0!</v>
      </c>
      <c r="AW83" s="29" t="str">
        <f t="shared" si="86"/>
        <v>#DIV/0!</v>
      </c>
      <c r="AX83" s="29" t="str">
        <f t="shared" si="86"/>
        <v>#DIV/0!</v>
      </c>
      <c r="AY83" s="29" t="str">
        <f t="shared" si="86"/>
        <v>#DIV/0!</v>
      </c>
      <c r="AZ83" s="29" t="str">
        <f t="shared" si="86"/>
        <v>#DIV/0!</v>
      </c>
      <c r="BA83" s="29" t="str">
        <f t="shared" si="86"/>
        <v>#DIV/0!</v>
      </c>
      <c r="BB83" s="29" t="str">
        <f t="shared" si="86"/>
        <v>#DIV/0!</v>
      </c>
      <c r="BC83" s="29" t="str">
        <f t="shared" si="86"/>
        <v>#DIV/0!</v>
      </c>
      <c r="BD83" s="29" t="str">
        <f t="shared" si="86"/>
        <v>#DIV/0!</v>
      </c>
      <c r="BE83" s="29" t="str">
        <f t="shared" si="86"/>
        <v>#DIV/0!</v>
      </c>
      <c r="BF83" s="29" t="str">
        <f t="shared" si="86"/>
        <v>#DIV/0!</v>
      </c>
      <c r="BG83" s="29" t="str">
        <f t="shared" si="86"/>
        <v>#DIV/0!</v>
      </c>
      <c r="BH83" s="29" t="str">
        <f t="shared" si="86"/>
        <v>#DIV/0!</v>
      </c>
      <c r="BI83" s="29" t="str">
        <f t="shared" si="86"/>
        <v>#DIV/0!</v>
      </c>
      <c r="BJ83" s="29" t="str">
        <f t="shared" si="86"/>
        <v>#DIV/0!</v>
      </c>
      <c r="BK83" s="29" t="str">
        <f t="shared" si="86"/>
        <v>#DIV/0!</v>
      </c>
      <c r="BL83" s="29" t="str">
        <f t="shared" si="86"/>
        <v>#DIV/0!</v>
      </c>
      <c r="BM83" s="29" t="str">
        <f t="shared" si="3"/>
        <v>#DIV/0!</v>
      </c>
    </row>
    <row r="84">
      <c r="A84" s="16" t="str">
        <f>IFERROR(__xludf.DUMMYFUNCTION("IFERROR(SPARKLINE(SORT(MAP(TRANSPOSE(AQ84:BL84), LAMBDA(val, IF(ISNUMBER(val), PERCENTRANK(AQ84:BL84, val)+0.01, 0))), SEQUENCE(COLUMNS(AQ84:BL84)), FALSE), {""charttype"",""column""; ""color"",""chartreuse""; ""ymin"", 0; ""ymax"", 1.01; ""highcolor"", "&amp;"""darkgreen""; ""lowcolor"", ""red""}), """")"),"")</f>
        <v/>
      </c>
      <c r="B84" s="17" t="str">
        <f t="shared" si="4"/>
        <v/>
      </c>
      <c r="C84" s="1" t="s">
        <v>2384</v>
      </c>
      <c r="D84" s="30" t="str">
        <f>IFERROR(__xludf.DUMMYFUNCTION("IFERROR(GOOGLEFINANCE(C84, ""NAME""))"),"Procter &amp; Gamble Co")</f>
        <v>Procter &amp; Gamble Co</v>
      </c>
      <c r="E84" s="30" t="s">
        <v>2132</v>
      </c>
      <c r="F84" s="33" t="str">
        <f>IFERROR(__xludf.DUMMYFUNCTION("( (GOOGLEFINANCE(C84, ""price"") - Q84) / Q84 ) / (R84 / 100)"),"Loading...")</f>
        <v>Loading...</v>
      </c>
      <c r="G84" s="20" t="str">
        <f>IFERROR(__xludf.DUMMYFUNCTION("AVERAGE(ARRAYFORMULA(100 * (QUERY(GOOGLEFINANCE(C84, ""high"", TODAY()-40, TODAY()), ""SELECT Col2 WHERE Col2 IS NOT NULL ORDER BY Col1 DESC LIMIT 20"", 0) / QUERY(GOOGLEFINANCE(C84, ""low"", TODAY()-40, TODAY()), ""SELECT Col2 WHERE Col2 IS NOT NULL ORDE"&amp;"R BY Col1 DESC LIMIT 20"", 0) - 1)))"),"#N/A")</f>
        <v>#N/A</v>
      </c>
      <c r="H84" s="35" t="str">
        <f t="shared" si="6"/>
        <v>Liquid</v>
      </c>
      <c r="I84" s="36" t="str">
        <f t="shared" si="7"/>
        <v>No RVol Required</v>
      </c>
      <c r="J84" s="37">
        <f>IFERROR(__xludf.DUMMYFUNCTION("IFERROR(
  IF(C84="""",, 
    IFERROR(
      GOOGLEFINANCE(C84, ""price"") * GOOGLEFINANCE(C84, ""volumeavg""), 
      GOOGLEFINANCE(C84, ""price"") * AVERAGE(QUERY(GOOGLEFINANCE(C84, ""volume"", TODAY()-40, TODAY()), ""SELECT Col2 WHERE Col2 IS NOT NULL "&amp;"ORDER BY Col1 DESC LIMIT 20"", 0))
    )
  ), 
"""")"),1.34183487995E9)</f>
        <v>1341834880</v>
      </c>
      <c r="K84" s="21">
        <f>IFERROR(__xludf.DUMMYFUNCTION("IFERROR(GOOGLEFINANCE(C84, ""changepct"") / 100, """")"),0.014499999999999999)</f>
        <v>0.0145</v>
      </c>
      <c r="L84" s="21" t="str">
        <f>IFERROR(__xludf.DUMMYFUNCTION("IFERROR((GOOGLEFINANCE(C84, ""price"") / INDEX(GOOGLEFINANCE(C84, ""price"", TODAY()-7, TODAY()), 2, 2)) - 1, """")"),"")</f>
        <v/>
      </c>
      <c r="M84" s="21" t="str">
        <f>IFERROR(__xludf.DUMMYFUNCTION("IFERROR((GOOGLEFINANCE(C84, ""price"") / INDEX(GOOGLEFINANCE(C84, ""price"", EDATE(TODAY(), -1), TODAY()), 2, 2)) - 1, """")"),"")</f>
        <v/>
      </c>
      <c r="N84" s="21" t="str">
        <f>IFERROR(__xludf.DUMMYFUNCTION("IFERROR((GOOGLEFINANCE(C84, ""price"") / INDEX(GOOGLEFINANCE(C84, ""price"", EDATE(TODAY(), -3), TODAY()), 2, 2)) - 1, """")"),"")</f>
        <v/>
      </c>
      <c r="O84" s="21" t="str">
        <f>IFERROR(__xludf.DUMMYFUNCTION("IFERROR((GOOGLEFINANCE(C84, ""price"") / INDEX(GOOGLEFINANCE(C84, ""price"", EDATE(TODAY(), -6), TODAY()), 2, 2)) - 1, """")"),"")</f>
        <v/>
      </c>
      <c r="P84" s="21" t="str">
        <f>IFERROR(__xludf.DUMMYFUNCTION("IFERROR((GOOGLEFINANCE(C84, ""price"") / INDEX(GOOGLEFINANCE(C84, ""price"", EDATE(TODAY(), -12), TODAY()), 2, 2)) - 1, """")"),"")</f>
        <v/>
      </c>
      <c r="Q84" s="6" t="str">
        <f>IFERROR(__xludf.DUMMYFUNCTION("AVERAGE(QUERY(GOOGLEFINANCE(C84, ""price"", TODAY()-80, TODAY()), ""SELECT Col2 WHERE Col2 IS NOT NULL ORDER BY Col1 DESC LIMIT 50"", 0))"),"#N/A")</f>
        <v>#N/A</v>
      </c>
      <c r="R84" s="24" t="str">
        <f>IFERROR(__xludf.DUMMYFUNCTION("IFERROR(
  LET(
    data, QUERY(GOOGLEFINANCE(C84,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GOOGLEFINANCE(C84, ""price"")) * 100,
    IF(calc=0, G84, calc)
  ), 
G84)"),"#N/A")</f>
        <v>#N/A</v>
      </c>
      <c r="S84" s="8" t="s">
        <v>15</v>
      </c>
      <c r="T84" s="26" t="str">
        <f>IFERROR(__xludf.DUMMYFUNCTION("IFERROR(TRANSPOSE(QUERY(IFERROR(SORT(GOOGLEFINANCE(C84, ""price"", WORKDAY(TODAY(), -40), TODAY()), 1, FALSE)), ""select Col2 where Col2 is not null limit 22 label Col2 ''"", 0)), """")"),"")</f>
        <v/>
      </c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8"/>
      <c r="AO84" s="28"/>
      <c r="AP84" s="29"/>
      <c r="AQ84" s="29" t="str">
        <f t="shared" ref="AQ84:BL84" si="87">T84/T$2</f>
        <v>#N/A</v>
      </c>
      <c r="AR84" s="29" t="str">
        <f t="shared" si="87"/>
        <v>#DIV/0!</v>
      </c>
      <c r="AS84" s="29" t="str">
        <f t="shared" si="87"/>
        <v>#DIV/0!</v>
      </c>
      <c r="AT84" s="29" t="str">
        <f t="shared" si="87"/>
        <v>#DIV/0!</v>
      </c>
      <c r="AU84" s="29" t="str">
        <f t="shared" si="87"/>
        <v>#DIV/0!</v>
      </c>
      <c r="AV84" s="29" t="str">
        <f t="shared" si="87"/>
        <v>#DIV/0!</v>
      </c>
      <c r="AW84" s="29" t="str">
        <f t="shared" si="87"/>
        <v>#DIV/0!</v>
      </c>
      <c r="AX84" s="29" t="str">
        <f t="shared" si="87"/>
        <v>#DIV/0!</v>
      </c>
      <c r="AY84" s="29" t="str">
        <f t="shared" si="87"/>
        <v>#DIV/0!</v>
      </c>
      <c r="AZ84" s="29" t="str">
        <f t="shared" si="87"/>
        <v>#DIV/0!</v>
      </c>
      <c r="BA84" s="29" t="str">
        <f t="shared" si="87"/>
        <v>#DIV/0!</v>
      </c>
      <c r="BB84" s="29" t="str">
        <f t="shared" si="87"/>
        <v>#DIV/0!</v>
      </c>
      <c r="BC84" s="29" t="str">
        <f t="shared" si="87"/>
        <v>#DIV/0!</v>
      </c>
      <c r="BD84" s="29" t="str">
        <f t="shared" si="87"/>
        <v>#DIV/0!</v>
      </c>
      <c r="BE84" s="29" t="str">
        <f t="shared" si="87"/>
        <v>#DIV/0!</v>
      </c>
      <c r="BF84" s="29" t="str">
        <f t="shared" si="87"/>
        <v>#DIV/0!</v>
      </c>
      <c r="BG84" s="29" t="str">
        <f t="shared" si="87"/>
        <v>#DIV/0!</v>
      </c>
      <c r="BH84" s="29" t="str">
        <f t="shared" si="87"/>
        <v>#DIV/0!</v>
      </c>
      <c r="BI84" s="29" t="str">
        <f t="shared" si="87"/>
        <v>#DIV/0!</v>
      </c>
      <c r="BJ84" s="29" t="str">
        <f t="shared" si="87"/>
        <v>#DIV/0!</v>
      </c>
      <c r="BK84" s="29" t="str">
        <f t="shared" si="87"/>
        <v>#DIV/0!</v>
      </c>
      <c r="BL84" s="29" t="str">
        <f t="shared" si="87"/>
        <v>#DIV/0!</v>
      </c>
      <c r="BM84" s="29" t="str">
        <f t="shared" si="3"/>
        <v>#DIV/0!</v>
      </c>
    </row>
    <row r="85">
      <c r="A85" s="16" t="str">
        <f>IFERROR(__xludf.DUMMYFUNCTION("IFERROR(SPARKLINE(SORT(MAP(TRANSPOSE(AQ85:BL85), LAMBDA(val, IF(ISNUMBER(val), PERCENTRANK(AQ85:BL85, val)+0.01, 0))), SEQUENCE(COLUMNS(AQ85:BL85)), FALSE), {""charttype"",""column""; ""color"",""chartreuse""; ""ymin"", 0; ""ymax"", 1.01; ""highcolor"", "&amp;"""darkgreen""; ""lowcolor"", ""red""}), """")"),"")</f>
        <v/>
      </c>
      <c r="B85" s="17" t="str">
        <f t="shared" si="4"/>
        <v/>
      </c>
      <c r="C85" s="1" t="s">
        <v>2388</v>
      </c>
      <c r="D85" s="30" t="str">
        <f>IFERROR(__xludf.DUMMYFUNCTION("IFERROR(GOOGLEFINANCE(C85, ""NAME""))"),"PepsiCo Inc")</f>
        <v>PepsiCo Inc</v>
      </c>
      <c r="E85" s="30" t="s">
        <v>2083</v>
      </c>
      <c r="F85" s="33" t="str">
        <f>IFERROR(__xludf.DUMMYFUNCTION("( (GOOGLEFINANCE(C85, ""price"") - Q85) / Q85 ) / (R85 / 100)"),"Loading...")</f>
        <v>Loading...</v>
      </c>
      <c r="G85" s="20" t="str">
        <f>IFERROR(__xludf.DUMMYFUNCTION("AVERAGE(ARRAYFORMULA(100 * (QUERY(GOOGLEFINANCE(C85, ""high"", TODAY()-40, TODAY()), ""SELECT Col2 WHERE Col2 IS NOT NULL ORDER BY Col1 DESC LIMIT 20"", 0) / QUERY(GOOGLEFINANCE(C85, ""low"", TODAY()-40, TODAY()), ""SELECT Col2 WHERE Col2 IS NOT NULL ORDE"&amp;"R BY Col1 DESC LIMIT 20"", 0) - 1)))"),"#N/A")</f>
        <v>#N/A</v>
      </c>
      <c r="H85" s="35" t="str">
        <f t="shared" si="6"/>
        <v>Liquid</v>
      </c>
      <c r="I85" s="36" t="str">
        <f t="shared" si="7"/>
        <v>No RVol Required</v>
      </c>
      <c r="J85" s="37">
        <f>IFERROR(__xludf.DUMMYFUNCTION("IFERROR(
  IF(C85="""",, 
    IFERROR(
      GOOGLEFINANCE(C85, ""price"") * GOOGLEFINANCE(C85, ""volumeavg""), 
      GOOGLEFINANCE(C85, ""price"") * AVERAGE(QUERY(GOOGLEFINANCE(C85, ""volume"", TODAY()-40, TODAY()), ""SELECT Col2 WHERE Col2 IS NOT NULL "&amp;"ORDER BY Col1 DESC LIMIT 20"", 0))
    )
  ), 
"""")"),1.32233930973E9)</f>
        <v>1322339310</v>
      </c>
      <c r="K85" s="21">
        <f>IFERROR(__xludf.DUMMYFUNCTION("IFERROR(GOOGLEFINANCE(C85, ""changepct"") / 100, """")"),0.0242)</f>
        <v>0.0242</v>
      </c>
      <c r="L85" s="21" t="str">
        <f>IFERROR(__xludf.DUMMYFUNCTION("IFERROR((GOOGLEFINANCE(C85, ""price"") / INDEX(GOOGLEFINANCE(C85, ""price"", TODAY()-7, TODAY()), 2, 2)) - 1, """")"),"")</f>
        <v/>
      </c>
      <c r="M85" s="21" t="str">
        <f>IFERROR(__xludf.DUMMYFUNCTION("IFERROR((GOOGLEFINANCE(C85, ""price"") / INDEX(GOOGLEFINANCE(C85, ""price"", EDATE(TODAY(), -1), TODAY()), 2, 2)) - 1, """")"),"")</f>
        <v/>
      </c>
      <c r="N85" s="21" t="str">
        <f>IFERROR(__xludf.DUMMYFUNCTION("IFERROR((GOOGLEFINANCE(C85, ""price"") / INDEX(GOOGLEFINANCE(C85, ""price"", EDATE(TODAY(), -3), TODAY()), 2, 2)) - 1, """")"),"")</f>
        <v/>
      </c>
      <c r="O85" s="21" t="str">
        <f>IFERROR(__xludf.DUMMYFUNCTION("IFERROR((GOOGLEFINANCE(C85, ""price"") / INDEX(GOOGLEFINANCE(C85, ""price"", EDATE(TODAY(), -6), TODAY()), 2, 2)) - 1, """")"),"")</f>
        <v/>
      </c>
      <c r="P85" s="21" t="str">
        <f>IFERROR(__xludf.DUMMYFUNCTION("IFERROR((GOOGLEFINANCE(C85, ""price"") / INDEX(GOOGLEFINANCE(C85, ""price"", EDATE(TODAY(), -12), TODAY()), 2, 2)) - 1, """")"),"")</f>
        <v/>
      </c>
      <c r="Q85" s="6" t="str">
        <f>IFERROR(__xludf.DUMMYFUNCTION("AVERAGE(QUERY(GOOGLEFINANCE(C85, ""price"", TODAY()-80, TODAY()), ""SELECT Col2 WHERE Col2 IS NOT NULL ORDER BY Col1 DESC LIMIT 50"", 0))"),"#N/A")</f>
        <v>#N/A</v>
      </c>
      <c r="R85" s="24" t="str">
        <f>IFERROR(__xludf.DUMMYFUNCTION("IFERROR(
  LET(
    data, QUERY(GOOGLEFINANCE(C85,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GOOGLEFINANCE(C85, ""price"")) * 100,
    IF(calc=0, G85, calc)
  ), 
G85)"),"#N/A")</f>
        <v>#N/A</v>
      </c>
      <c r="S85" s="8" t="s">
        <v>15</v>
      </c>
      <c r="T85" s="26" t="str">
        <f>IFERROR(__xludf.DUMMYFUNCTION("IFERROR(TRANSPOSE(QUERY(IFERROR(SORT(GOOGLEFINANCE(C85, ""price"", WORKDAY(TODAY(), -40), TODAY()), 1, FALSE)), ""select Col2 where Col2 is not null limit 22 label Col2 ''"", 0)), """")"),"")</f>
        <v/>
      </c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8"/>
      <c r="AO85" s="28"/>
      <c r="AP85" s="29"/>
      <c r="AQ85" s="29" t="str">
        <f t="shared" ref="AQ85:BL85" si="88">T85/T$2</f>
        <v>#N/A</v>
      </c>
      <c r="AR85" s="29" t="str">
        <f t="shared" si="88"/>
        <v>#DIV/0!</v>
      </c>
      <c r="AS85" s="29" t="str">
        <f t="shared" si="88"/>
        <v>#DIV/0!</v>
      </c>
      <c r="AT85" s="29" t="str">
        <f t="shared" si="88"/>
        <v>#DIV/0!</v>
      </c>
      <c r="AU85" s="29" t="str">
        <f t="shared" si="88"/>
        <v>#DIV/0!</v>
      </c>
      <c r="AV85" s="29" t="str">
        <f t="shared" si="88"/>
        <v>#DIV/0!</v>
      </c>
      <c r="AW85" s="29" t="str">
        <f t="shared" si="88"/>
        <v>#DIV/0!</v>
      </c>
      <c r="AX85" s="29" t="str">
        <f t="shared" si="88"/>
        <v>#DIV/0!</v>
      </c>
      <c r="AY85" s="29" t="str">
        <f t="shared" si="88"/>
        <v>#DIV/0!</v>
      </c>
      <c r="AZ85" s="29" t="str">
        <f t="shared" si="88"/>
        <v>#DIV/0!</v>
      </c>
      <c r="BA85" s="29" t="str">
        <f t="shared" si="88"/>
        <v>#DIV/0!</v>
      </c>
      <c r="BB85" s="29" t="str">
        <f t="shared" si="88"/>
        <v>#DIV/0!</v>
      </c>
      <c r="BC85" s="29" t="str">
        <f t="shared" si="88"/>
        <v>#DIV/0!</v>
      </c>
      <c r="BD85" s="29" t="str">
        <f t="shared" si="88"/>
        <v>#DIV/0!</v>
      </c>
      <c r="BE85" s="29" t="str">
        <f t="shared" si="88"/>
        <v>#DIV/0!</v>
      </c>
      <c r="BF85" s="29" t="str">
        <f t="shared" si="88"/>
        <v>#DIV/0!</v>
      </c>
      <c r="BG85" s="29" t="str">
        <f t="shared" si="88"/>
        <v>#DIV/0!</v>
      </c>
      <c r="BH85" s="29" t="str">
        <f t="shared" si="88"/>
        <v>#DIV/0!</v>
      </c>
      <c r="BI85" s="29" t="str">
        <f t="shared" si="88"/>
        <v>#DIV/0!</v>
      </c>
      <c r="BJ85" s="29" t="str">
        <f t="shared" si="88"/>
        <v>#DIV/0!</v>
      </c>
      <c r="BK85" s="29" t="str">
        <f t="shared" si="88"/>
        <v>#DIV/0!</v>
      </c>
      <c r="BL85" s="29" t="str">
        <f t="shared" si="88"/>
        <v>#DIV/0!</v>
      </c>
      <c r="BM85" s="29" t="str">
        <f t="shared" si="3"/>
        <v>#DIV/0!</v>
      </c>
    </row>
    <row r="86">
      <c r="A86" s="16" t="str">
        <f>IFERROR(__xludf.DUMMYFUNCTION("IFERROR(SPARKLINE(SORT(MAP(TRANSPOSE(AQ86:BL86), LAMBDA(val, IF(ISNUMBER(val), PERCENTRANK(AQ86:BL86, val)+0.01, 0))), SEQUENCE(COLUMNS(AQ86:BL86)), FALSE), {""charttype"",""column""; ""color"",""chartreuse""; ""ymin"", 0; ""ymax"", 1.01; ""highcolor"", "&amp;"""darkgreen""; ""lowcolor"", ""red""}), """")"),"")</f>
        <v/>
      </c>
      <c r="B86" s="17" t="str">
        <f t="shared" si="4"/>
        <v/>
      </c>
      <c r="C86" s="1" t="s">
        <v>2392</v>
      </c>
      <c r="D86" s="30" t="str">
        <f>IFERROR(__xludf.DUMMYFUNCTION("IFERROR(GOOGLEFINANCE(C86, ""NAME""))"),"Nature's Sunshine Products Common Stock")</f>
        <v>Nature's Sunshine Products Common Stock</v>
      </c>
      <c r="E86" s="30" t="s">
        <v>2094</v>
      </c>
      <c r="F86" s="33" t="str">
        <f>IFERROR(__xludf.DUMMYFUNCTION("( (GOOGLEFINANCE(C86, ""price"") - Q86) / Q86 ) / (R86 / 100)"),"Loading...")</f>
        <v>Loading...</v>
      </c>
      <c r="G86" s="20" t="str">
        <f>IFERROR(__xludf.DUMMYFUNCTION("AVERAGE(ARRAYFORMULA(100 * (QUERY(GOOGLEFINANCE(C86, ""high"", TODAY()-40, TODAY()), ""SELECT Col2 WHERE Col2 IS NOT NULL ORDER BY Col1 DESC LIMIT 20"", 0) / QUERY(GOOGLEFINANCE(C86, ""low"", TODAY()-40, TODAY()), ""SELECT Col2 WHERE Col2 IS NOT NULL ORDE"&amp;"R BY Col1 DESC LIMIT 20"", 0) - 1)))"),"#N/A")</f>
        <v>#N/A</v>
      </c>
      <c r="H86" s="35" t="str">
        <f t="shared" si="6"/>
        <v>Illiquid</v>
      </c>
      <c r="I86" s="36" t="str">
        <f t="shared" si="7"/>
        <v>RVol Required</v>
      </c>
      <c r="J86" s="37">
        <f>IFERROR(__xludf.DUMMYFUNCTION("IFERROR(
  IF(C86="""",, 
    IFERROR(
      GOOGLEFINANCE(C86, ""price"") * GOOGLEFINANCE(C86, ""volumeavg""), 
      GOOGLEFINANCE(C86, ""price"") * AVERAGE(QUERY(GOOGLEFINANCE(C86, ""volume"", TODAY()-40, TODAY()), ""SELECT Col2 WHERE Col2 IS NOT NULL "&amp;"ORDER BY Col1 DESC LIMIT 20"", 0))
    )
  ), 
"""")"),1493605.6)</f>
        <v>1493605.6</v>
      </c>
      <c r="K86" s="21">
        <f>IFERROR(__xludf.DUMMYFUNCTION("IFERROR(GOOGLEFINANCE(C86, ""changepct"") / 100, """")"),0.0)</f>
        <v>0</v>
      </c>
      <c r="L86" s="21" t="str">
        <f>IFERROR(__xludf.DUMMYFUNCTION("IFERROR((GOOGLEFINANCE(C86, ""price"") / INDEX(GOOGLEFINANCE(C86, ""price"", TODAY()-7, TODAY()), 2, 2)) - 1, """")"),"")</f>
        <v/>
      </c>
      <c r="M86" s="21" t="str">
        <f>IFERROR(__xludf.DUMMYFUNCTION("IFERROR((GOOGLEFINANCE(C86, ""price"") / INDEX(GOOGLEFINANCE(C86, ""price"", EDATE(TODAY(), -1), TODAY()), 2, 2)) - 1, """")"),"")</f>
        <v/>
      </c>
      <c r="N86" s="21" t="str">
        <f>IFERROR(__xludf.DUMMYFUNCTION("IFERROR((GOOGLEFINANCE(C86, ""price"") / INDEX(GOOGLEFINANCE(C86, ""price"", EDATE(TODAY(), -3), TODAY()), 2, 2)) - 1, """")"),"")</f>
        <v/>
      </c>
      <c r="O86" s="21" t="str">
        <f>IFERROR(__xludf.DUMMYFUNCTION("IFERROR((GOOGLEFINANCE(C86, ""price"") / INDEX(GOOGLEFINANCE(C86, ""price"", EDATE(TODAY(), -6), TODAY()), 2, 2)) - 1, """")"),"")</f>
        <v/>
      </c>
      <c r="P86" s="21" t="str">
        <f>IFERROR(__xludf.DUMMYFUNCTION("IFERROR((GOOGLEFINANCE(C86, ""price"") / INDEX(GOOGLEFINANCE(C86, ""price"", EDATE(TODAY(), -12), TODAY()), 2, 2)) - 1, """")"),"")</f>
        <v/>
      </c>
      <c r="Q86" s="6" t="str">
        <f>IFERROR(__xludf.DUMMYFUNCTION("AVERAGE(QUERY(GOOGLEFINANCE(C86, ""price"", TODAY()-80, TODAY()), ""SELECT Col2 WHERE Col2 IS NOT NULL ORDER BY Col1 DESC LIMIT 50"", 0))"),"#N/A")</f>
        <v>#N/A</v>
      </c>
      <c r="R86" s="24" t="str">
        <f>IFERROR(__xludf.DUMMYFUNCTION("IFERROR(
  LET(
    data, QUERY(GOOGLEFINANCE(C86,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GOOGLEFINANCE(C86, ""price"")) * 100,
    IF(calc=0, G86, calc)
  ), 
G86)"),"#N/A")</f>
        <v>#N/A</v>
      </c>
      <c r="S86" s="8" t="s">
        <v>15</v>
      </c>
      <c r="T86" s="26" t="str">
        <f>IFERROR(__xludf.DUMMYFUNCTION("IFERROR(TRANSPOSE(QUERY(IFERROR(SORT(GOOGLEFINANCE(C86, ""price"", WORKDAY(TODAY(), -40), TODAY()), 1, FALSE)), ""select Col2 where Col2 is not null limit 22 label Col2 ''"", 0)), """")"),"")</f>
        <v/>
      </c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8"/>
      <c r="AO86" s="28"/>
      <c r="AP86" s="29"/>
      <c r="AQ86" s="29" t="str">
        <f t="shared" ref="AQ86:BL86" si="89">T86/T$2</f>
        <v>#N/A</v>
      </c>
      <c r="AR86" s="29" t="str">
        <f t="shared" si="89"/>
        <v>#DIV/0!</v>
      </c>
      <c r="AS86" s="29" t="str">
        <f t="shared" si="89"/>
        <v>#DIV/0!</v>
      </c>
      <c r="AT86" s="29" t="str">
        <f t="shared" si="89"/>
        <v>#DIV/0!</v>
      </c>
      <c r="AU86" s="29" t="str">
        <f t="shared" si="89"/>
        <v>#DIV/0!</v>
      </c>
      <c r="AV86" s="29" t="str">
        <f t="shared" si="89"/>
        <v>#DIV/0!</v>
      </c>
      <c r="AW86" s="29" t="str">
        <f t="shared" si="89"/>
        <v>#DIV/0!</v>
      </c>
      <c r="AX86" s="29" t="str">
        <f t="shared" si="89"/>
        <v>#DIV/0!</v>
      </c>
      <c r="AY86" s="29" t="str">
        <f t="shared" si="89"/>
        <v>#DIV/0!</v>
      </c>
      <c r="AZ86" s="29" t="str">
        <f t="shared" si="89"/>
        <v>#DIV/0!</v>
      </c>
      <c r="BA86" s="29" t="str">
        <f t="shared" si="89"/>
        <v>#DIV/0!</v>
      </c>
      <c r="BB86" s="29" t="str">
        <f t="shared" si="89"/>
        <v>#DIV/0!</v>
      </c>
      <c r="BC86" s="29" t="str">
        <f t="shared" si="89"/>
        <v>#DIV/0!</v>
      </c>
      <c r="BD86" s="29" t="str">
        <f t="shared" si="89"/>
        <v>#DIV/0!</v>
      </c>
      <c r="BE86" s="29" t="str">
        <f t="shared" si="89"/>
        <v>#DIV/0!</v>
      </c>
      <c r="BF86" s="29" t="str">
        <f t="shared" si="89"/>
        <v>#DIV/0!</v>
      </c>
      <c r="BG86" s="29" t="str">
        <f t="shared" si="89"/>
        <v>#DIV/0!</v>
      </c>
      <c r="BH86" s="29" t="str">
        <f t="shared" si="89"/>
        <v>#DIV/0!</v>
      </c>
      <c r="BI86" s="29" t="str">
        <f t="shared" si="89"/>
        <v>#DIV/0!</v>
      </c>
      <c r="BJ86" s="29" t="str">
        <f t="shared" si="89"/>
        <v>#DIV/0!</v>
      </c>
      <c r="BK86" s="29" t="str">
        <f t="shared" si="89"/>
        <v>#DIV/0!</v>
      </c>
      <c r="BL86" s="29" t="str">
        <f t="shared" si="89"/>
        <v>#DIV/0!</v>
      </c>
      <c r="BM86" s="29" t="str">
        <f t="shared" si="3"/>
        <v>#DIV/0!</v>
      </c>
    </row>
    <row r="87">
      <c r="A87" s="16" t="str">
        <f>IFERROR(__xludf.DUMMYFUNCTION("IFERROR(SPARKLINE(SORT(MAP(TRANSPOSE(AQ87:BL87), LAMBDA(val, IF(ISNUMBER(val), PERCENTRANK(AQ87:BL87, val)+0.01, 0))), SEQUENCE(COLUMNS(AQ87:BL87)), FALSE), {""charttype"",""column""; ""color"",""chartreuse""; ""ymin"", 0; ""ymax"", 1.01; ""highcolor"", "&amp;"""darkgreen""; ""lowcolor"", ""red""}), """")"),"")</f>
        <v/>
      </c>
      <c r="B87" s="17" t="str">
        <f t="shared" si="4"/>
        <v/>
      </c>
      <c r="C87" s="1" t="s">
        <v>2396</v>
      </c>
      <c r="D87" s="30" t="str">
        <f>IFERROR(__xludf.DUMMYFUNCTION("IFERROR(GOOGLEFINANCE(C87, ""NAME""))"),"Lifeway Foods Inc")</f>
        <v>Lifeway Foods Inc</v>
      </c>
      <c r="E87" s="30" t="s">
        <v>2094</v>
      </c>
      <c r="F87" s="33" t="str">
        <f>IFERROR(__xludf.DUMMYFUNCTION("( (GOOGLEFINANCE(C87, ""price"") - Q87) / Q87 ) / (R87 / 100)"),"Loading...")</f>
        <v>Loading...</v>
      </c>
      <c r="G87" s="20" t="str">
        <f>IFERROR(__xludf.DUMMYFUNCTION("AVERAGE(ARRAYFORMULA(100 * (QUERY(GOOGLEFINANCE(C87, ""high"", TODAY()-40, TODAY()), ""SELECT Col2 WHERE Col2 IS NOT NULL ORDER BY Col1 DESC LIMIT 20"", 0) / QUERY(GOOGLEFINANCE(C87, ""low"", TODAY()-40, TODAY()), ""SELECT Col2 WHERE Col2 IS NOT NULL ORDE"&amp;"R BY Col1 DESC LIMIT 20"", 0) - 1)))"),"#N/A")</f>
        <v>#N/A</v>
      </c>
      <c r="H87" s="35" t="str">
        <f t="shared" si="6"/>
        <v>Illiquid</v>
      </c>
      <c r="I87" s="36" t="str">
        <f t="shared" si="7"/>
        <v>RVol Required</v>
      </c>
      <c r="J87" s="37">
        <f>IFERROR(__xludf.DUMMYFUNCTION("IFERROR(
  IF(C87="""",, 
    IFERROR(
      GOOGLEFINANCE(C87, ""price"") * GOOGLEFINANCE(C87, ""volumeavg""), 
      GOOGLEFINANCE(C87, ""price"") * AVERAGE(QUERY(GOOGLEFINANCE(C87, ""volume"", TODAY()-40, TODAY()), ""SELECT Col2 WHERE Col2 IS NOT NULL "&amp;"ORDER BY Col1 DESC LIMIT 20"", 0))
    )
  ), 
"""")"),3269982.7)</f>
        <v>3269982.7</v>
      </c>
      <c r="K87" s="21">
        <f>IFERROR(__xludf.DUMMYFUNCTION("IFERROR(GOOGLEFINANCE(C87, ""changepct"") / 100, """")"),-0.0054)</f>
        <v>-0.0054</v>
      </c>
      <c r="L87" s="21" t="str">
        <f>IFERROR(__xludf.DUMMYFUNCTION("IFERROR((GOOGLEFINANCE(C87, ""price"") / INDEX(GOOGLEFINANCE(C87, ""price"", TODAY()-7, TODAY()), 2, 2)) - 1, """")"),"")</f>
        <v/>
      </c>
      <c r="M87" s="21" t="str">
        <f>IFERROR(__xludf.DUMMYFUNCTION("IFERROR((GOOGLEFINANCE(C87, ""price"") / INDEX(GOOGLEFINANCE(C87, ""price"", EDATE(TODAY(), -1), TODAY()), 2, 2)) - 1, """")"),"")</f>
        <v/>
      </c>
      <c r="N87" s="21" t="str">
        <f>IFERROR(__xludf.DUMMYFUNCTION("IFERROR((GOOGLEFINANCE(C87, ""price"") / INDEX(GOOGLEFINANCE(C87, ""price"", EDATE(TODAY(), -3), TODAY()), 2, 2)) - 1, """")"),"")</f>
        <v/>
      </c>
      <c r="O87" s="21" t="str">
        <f>IFERROR(__xludf.DUMMYFUNCTION("IFERROR((GOOGLEFINANCE(C87, ""price"") / INDEX(GOOGLEFINANCE(C87, ""price"", EDATE(TODAY(), -6), TODAY()), 2, 2)) - 1, """")"),"")</f>
        <v/>
      </c>
      <c r="P87" s="21" t="str">
        <f>IFERROR(__xludf.DUMMYFUNCTION("IFERROR((GOOGLEFINANCE(C87, ""price"") / INDEX(GOOGLEFINANCE(C87, ""price"", EDATE(TODAY(), -12), TODAY()), 2, 2)) - 1, """")"),"")</f>
        <v/>
      </c>
      <c r="Q87" s="6" t="str">
        <f>IFERROR(__xludf.DUMMYFUNCTION("AVERAGE(QUERY(GOOGLEFINANCE(C87, ""price"", TODAY()-80, TODAY()), ""SELECT Col2 WHERE Col2 IS NOT NULL ORDER BY Col1 DESC LIMIT 50"", 0))"),"#N/A")</f>
        <v>#N/A</v>
      </c>
      <c r="R87" s="24" t="str">
        <f>IFERROR(__xludf.DUMMYFUNCTION("IFERROR(
  LET(
    data, QUERY(GOOGLEFINANCE(C87,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GOOGLEFINANCE(C87, ""price"")) * 100,
    IF(calc=0, G87, calc)
  ), 
G87)"),"#N/A")</f>
        <v>#N/A</v>
      </c>
      <c r="S87" s="8" t="s">
        <v>15</v>
      </c>
      <c r="T87" s="26" t="str">
        <f>IFERROR(__xludf.DUMMYFUNCTION("IFERROR(TRANSPOSE(QUERY(IFERROR(SORT(GOOGLEFINANCE(C87, ""price"", WORKDAY(TODAY(), -40), TODAY()), 1, FALSE)), ""select Col2 where Col2 is not null limit 22 label Col2 ''"", 0)), """")"),"")</f>
        <v/>
      </c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8"/>
      <c r="AO87" s="28"/>
      <c r="AP87" s="29"/>
      <c r="AQ87" s="29" t="str">
        <f t="shared" ref="AQ87:BL87" si="90">T87/T$2</f>
        <v>#N/A</v>
      </c>
      <c r="AR87" s="29" t="str">
        <f t="shared" si="90"/>
        <v>#DIV/0!</v>
      </c>
      <c r="AS87" s="29" t="str">
        <f t="shared" si="90"/>
        <v>#DIV/0!</v>
      </c>
      <c r="AT87" s="29" t="str">
        <f t="shared" si="90"/>
        <v>#DIV/0!</v>
      </c>
      <c r="AU87" s="29" t="str">
        <f t="shared" si="90"/>
        <v>#DIV/0!</v>
      </c>
      <c r="AV87" s="29" t="str">
        <f t="shared" si="90"/>
        <v>#DIV/0!</v>
      </c>
      <c r="AW87" s="29" t="str">
        <f t="shared" si="90"/>
        <v>#DIV/0!</v>
      </c>
      <c r="AX87" s="29" t="str">
        <f t="shared" si="90"/>
        <v>#DIV/0!</v>
      </c>
      <c r="AY87" s="29" t="str">
        <f t="shared" si="90"/>
        <v>#DIV/0!</v>
      </c>
      <c r="AZ87" s="29" t="str">
        <f t="shared" si="90"/>
        <v>#DIV/0!</v>
      </c>
      <c r="BA87" s="29" t="str">
        <f t="shared" si="90"/>
        <v>#DIV/0!</v>
      </c>
      <c r="BB87" s="29" t="str">
        <f t="shared" si="90"/>
        <v>#DIV/0!</v>
      </c>
      <c r="BC87" s="29" t="str">
        <f t="shared" si="90"/>
        <v>#DIV/0!</v>
      </c>
      <c r="BD87" s="29" t="str">
        <f t="shared" si="90"/>
        <v>#DIV/0!</v>
      </c>
      <c r="BE87" s="29" t="str">
        <f t="shared" si="90"/>
        <v>#DIV/0!</v>
      </c>
      <c r="BF87" s="29" t="str">
        <f t="shared" si="90"/>
        <v>#DIV/0!</v>
      </c>
      <c r="BG87" s="29" t="str">
        <f t="shared" si="90"/>
        <v>#DIV/0!</v>
      </c>
      <c r="BH87" s="29" t="str">
        <f t="shared" si="90"/>
        <v>#DIV/0!</v>
      </c>
      <c r="BI87" s="29" t="str">
        <f t="shared" si="90"/>
        <v>#DIV/0!</v>
      </c>
      <c r="BJ87" s="29" t="str">
        <f t="shared" si="90"/>
        <v>#DIV/0!</v>
      </c>
      <c r="BK87" s="29" t="str">
        <f t="shared" si="90"/>
        <v>#DIV/0!</v>
      </c>
      <c r="BL87" s="29" t="str">
        <f t="shared" si="90"/>
        <v>#DIV/0!</v>
      </c>
      <c r="BM87" s="29" t="str">
        <f t="shared" si="3"/>
        <v>#DIV/0!</v>
      </c>
    </row>
    <row r="88">
      <c r="A88" s="16" t="str">
        <f>IFERROR(__xludf.DUMMYFUNCTION("IFERROR(SPARKLINE(SORT(MAP(TRANSPOSE(AQ88:BL88), LAMBDA(val, IF(ISNUMBER(val), PERCENTRANK(AQ88:BL88, val)+0.01, 0))), SEQUENCE(COLUMNS(AQ88:BL88)), FALSE), {""charttype"",""column""; ""color"",""chartreuse""; ""ymin"", 0; ""ymax"", 1.01; ""highcolor"", "&amp;"""darkgreen""; ""lowcolor"", ""red""}), """")"),"")</f>
        <v/>
      </c>
      <c r="B88" s="17" t="str">
        <f t="shared" si="4"/>
        <v/>
      </c>
      <c r="C88" s="1" t="s">
        <v>2400</v>
      </c>
      <c r="D88" s="30" t="str">
        <f>IFERROR(__xludf.DUMMYFUNCTION("IFERROR(GOOGLEFINANCE(C88, ""NAME""))"),"Lamb Weston Holdings Inc")</f>
        <v>Lamb Weston Holdings Inc</v>
      </c>
      <c r="E88" s="30" t="s">
        <v>2094</v>
      </c>
      <c r="F88" s="33" t="str">
        <f>IFERROR(__xludf.DUMMYFUNCTION("( (GOOGLEFINANCE(C88, ""price"") - Q88) / Q88 ) / (R88 / 100)"),"Loading...")</f>
        <v>Loading...</v>
      </c>
      <c r="G88" s="20" t="str">
        <f>IFERROR(__xludf.DUMMYFUNCTION("AVERAGE(ARRAYFORMULA(100 * (QUERY(GOOGLEFINANCE(C88, ""high"", TODAY()-40, TODAY()), ""SELECT Col2 WHERE Col2 IS NOT NULL ORDER BY Col1 DESC LIMIT 20"", 0) / QUERY(GOOGLEFINANCE(C88, ""low"", TODAY()-40, TODAY()), ""SELECT Col2 WHERE Col2 IS NOT NULL ORDE"&amp;"R BY Col1 DESC LIMIT 20"", 0) - 1)))"),"#N/A")</f>
        <v>#N/A</v>
      </c>
      <c r="H88" s="35" t="str">
        <f t="shared" si="6"/>
        <v>Liquid</v>
      </c>
      <c r="I88" s="36" t="str">
        <f t="shared" si="7"/>
        <v>RVol Required</v>
      </c>
      <c r="J88" s="37">
        <f>IFERROR(__xludf.DUMMYFUNCTION("IFERROR(
  IF(C88="""",, 
    IFERROR(
      GOOGLEFINANCE(C88, ""price"") * GOOGLEFINANCE(C88, ""volumeavg""), 
      GOOGLEFINANCE(C88, ""price"") * AVERAGE(QUERY(GOOGLEFINANCE(C88, ""volume"", TODAY()-40, TODAY()), ""SELECT Col2 WHERE Col2 IS NOT NULL "&amp;"ORDER BY Col1 DESC LIMIT 20"", 0))
    )
  ), 
"""")"),1.3167481002000001E8)</f>
        <v>131674810</v>
      </c>
      <c r="K88" s="21">
        <f>IFERROR(__xludf.DUMMYFUNCTION("IFERROR(GOOGLEFINANCE(C88, ""changepct"") / 100, """")"),-0.011399999999999999)</f>
        <v>-0.0114</v>
      </c>
      <c r="L88" s="21" t="str">
        <f>IFERROR(__xludf.DUMMYFUNCTION("IFERROR((GOOGLEFINANCE(C88, ""price"") / INDEX(GOOGLEFINANCE(C88, ""price"", TODAY()-7, TODAY()), 2, 2)) - 1, """")"),"")</f>
        <v/>
      </c>
      <c r="M88" s="21" t="str">
        <f>IFERROR(__xludf.DUMMYFUNCTION("IFERROR((GOOGLEFINANCE(C88, ""price"") / INDEX(GOOGLEFINANCE(C88, ""price"", EDATE(TODAY(), -1), TODAY()), 2, 2)) - 1, """")"),"")</f>
        <v/>
      </c>
      <c r="N88" s="21" t="str">
        <f>IFERROR(__xludf.DUMMYFUNCTION("IFERROR((GOOGLEFINANCE(C88, ""price"") / INDEX(GOOGLEFINANCE(C88, ""price"", EDATE(TODAY(), -3), TODAY()), 2, 2)) - 1, """")"),"")</f>
        <v/>
      </c>
      <c r="O88" s="21" t="str">
        <f>IFERROR(__xludf.DUMMYFUNCTION("IFERROR((GOOGLEFINANCE(C88, ""price"") / INDEX(GOOGLEFINANCE(C88, ""price"", EDATE(TODAY(), -6), TODAY()), 2, 2)) - 1, """")"),"")</f>
        <v/>
      </c>
      <c r="P88" s="21" t="str">
        <f>IFERROR(__xludf.DUMMYFUNCTION("IFERROR((GOOGLEFINANCE(C88, ""price"") / INDEX(GOOGLEFINANCE(C88, ""price"", EDATE(TODAY(), -12), TODAY()), 2, 2)) - 1, """")"),"")</f>
        <v/>
      </c>
      <c r="Q88" s="6" t="str">
        <f>IFERROR(__xludf.DUMMYFUNCTION("AVERAGE(QUERY(GOOGLEFINANCE(C88, ""price"", TODAY()-80, TODAY()), ""SELECT Col2 WHERE Col2 IS NOT NULL ORDER BY Col1 DESC LIMIT 50"", 0))"),"#N/A")</f>
        <v>#N/A</v>
      </c>
      <c r="R88" s="24" t="str">
        <f>IFERROR(__xludf.DUMMYFUNCTION("IFERROR(
  LET(
    data, QUERY(GOOGLEFINANCE(C88,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GOOGLEFINANCE(C88, ""price"")) * 100,
    IF(calc=0, G88, calc)
  ), 
G88)"),"#N/A")</f>
        <v>#N/A</v>
      </c>
      <c r="S88" s="8" t="s">
        <v>15</v>
      </c>
      <c r="T88" s="26" t="str">
        <f>IFERROR(__xludf.DUMMYFUNCTION("IFERROR(TRANSPOSE(QUERY(IFERROR(SORT(GOOGLEFINANCE(C88, ""price"", WORKDAY(TODAY(), -40), TODAY()), 1, FALSE)), ""select Col2 where Col2 is not null limit 22 label Col2 ''"", 0)), """")"),"")</f>
        <v/>
      </c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8"/>
      <c r="AO88" s="28"/>
      <c r="AP88" s="29"/>
      <c r="AQ88" s="29" t="str">
        <f t="shared" ref="AQ88:BL88" si="91">T88/T$2</f>
        <v>#N/A</v>
      </c>
      <c r="AR88" s="29" t="str">
        <f t="shared" si="91"/>
        <v>#DIV/0!</v>
      </c>
      <c r="AS88" s="29" t="str">
        <f t="shared" si="91"/>
        <v>#DIV/0!</v>
      </c>
      <c r="AT88" s="29" t="str">
        <f t="shared" si="91"/>
        <v>#DIV/0!</v>
      </c>
      <c r="AU88" s="29" t="str">
        <f t="shared" si="91"/>
        <v>#DIV/0!</v>
      </c>
      <c r="AV88" s="29" t="str">
        <f t="shared" si="91"/>
        <v>#DIV/0!</v>
      </c>
      <c r="AW88" s="29" t="str">
        <f t="shared" si="91"/>
        <v>#DIV/0!</v>
      </c>
      <c r="AX88" s="29" t="str">
        <f t="shared" si="91"/>
        <v>#DIV/0!</v>
      </c>
      <c r="AY88" s="29" t="str">
        <f t="shared" si="91"/>
        <v>#DIV/0!</v>
      </c>
      <c r="AZ88" s="29" t="str">
        <f t="shared" si="91"/>
        <v>#DIV/0!</v>
      </c>
      <c r="BA88" s="29" t="str">
        <f t="shared" si="91"/>
        <v>#DIV/0!</v>
      </c>
      <c r="BB88" s="29" t="str">
        <f t="shared" si="91"/>
        <v>#DIV/0!</v>
      </c>
      <c r="BC88" s="29" t="str">
        <f t="shared" si="91"/>
        <v>#DIV/0!</v>
      </c>
      <c r="BD88" s="29" t="str">
        <f t="shared" si="91"/>
        <v>#DIV/0!</v>
      </c>
      <c r="BE88" s="29" t="str">
        <f t="shared" si="91"/>
        <v>#DIV/0!</v>
      </c>
      <c r="BF88" s="29" t="str">
        <f t="shared" si="91"/>
        <v>#DIV/0!</v>
      </c>
      <c r="BG88" s="29" t="str">
        <f t="shared" si="91"/>
        <v>#DIV/0!</v>
      </c>
      <c r="BH88" s="29" t="str">
        <f t="shared" si="91"/>
        <v>#DIV/0!</v>
      </c>
      <c r="BI88" s="29" t="str">
        <f t="shared" si="91"/>
        <v>#DIV/0!</v>
      </c>
      <c r="BJ88" s="29" t="str">
        <f t="shared" si="91"/>
        <v>#DIV/0!</v>
      </c>
      <c r="BK88" s="29" t="str">
        <f t="shared" si="91"/>
        <v>#DIV/0!</v>
      </c>
      <c r="BL88" s="29" t="str">
        <f t="shared" si="91"/>
        <v>#DIV/0!</v>
      </c>
      <c r="BM88" s="29" t="str">
        <f t="shared" si="3"/>
        <v>#DIV/0!</v>
      </c>
    </row>
    <row r="89">
      <c r="A89" s="16" t="str">
        <f>IFERROR(__xludf.DUMMYFUNCTION("IFERROR(SPARKLINE(SORT(MAP(TRANSPOSE(AQ89:BL89), LAMBDA(val, IF(ISNUMBER(val), PERCENTRANK(AQ89:BL89, val)+0.01, 0))), SEQUENCE(COLUMNS(AQ89:BL89)), FALSE), {""charttype"",""column""; ""color"",""chartreuse""; ""ymin"", 0; ""ymax"", 1.01; ""highcolor"", "&amp;"""darkgreen""; ""lowcolor"", ""red""}), """")"),"")</f>
        <v/>
      </c>
      <c r="B89" s="17" t="str">
        <f t="shared" si="4"/>
        <v/>
      </c>
      <c r="C89" s="1" t="s">
        <v>2403</v>
      </c>
      <c r="D89" s="30" t="str">
        <f>IFERROR(__xludf.DUMMYFUNCTION("IFERROR(GOOGLEFINANCE(C89, ""NAME""))"),"Stride Inc")</f>
        <v>Stride Inc</v>
      </c>
      <c r="E89" s="30" t="s">
        <v>2069</v>
      </c>
      <c r="F89" s="33" t="str">
        <f>IFERROR(__xludf.DUMMYFUNCTION("( (GOOGLEFINANCE(C89, ""price"") - Q89) / Q89 ) / (R89 / 100)"),"Loading...")</f>
        <v>Loading...</v>
      </c>
      <c r="G89" s="20" t="str">
        <f>IFERROR(__xludf.DUMMYFUNCTION("AVERAGE(ARRAYFORMULA(100 * (QUERY(GOOGLEFINANCE(C89, ""high"", TODAY()-40, TODAY()), ""SELECT Col2 WHERE Col2 IS NOT NULL ORDER BY Col1 DESC LIMIT 20"", 0) / QUERY(GOOGLEFINANCE(C89, ""low"", TODAY()-40, TODAY()), ""SELECT Col2 WHERE Col2 IS NOT NULL ORDE"&amp;"R BY Col1 DESC LIMIT 20"", 0) - 1)))"),"#N/A")</f>
        <v>#N/A</v>
      </c>
      <c r="H89" s="35" t="str">
        <f t="shared" si="6"/>
        <v>Liquid</v>
      </c>
      <c r="I89" s="36" t="str">
        <f t="shared" si="7"/>
        <v>RVol Required</v>
      </c>
      <c r="J89" s="37">
        <f>IFERROR(__xludf.DUMMYFUNCTION("IFERROR(
  IF(C89="""",, 
    IFERROR(
      GOOGLEFINANCE(C89, ""price"") * GOOGLEFINANCE(C89, ""volumeavg""), 
      GOOGLEFINANCE(C89, ""price"") * AVERAGE(QUERY(GOOGLEFINANCE(C89, ""volume"", TODAY()-40, TODAY()), ""SELECT Col2 WHERE Col2 IS NOT NULL "&amp;"ORDER BY Col1 DESC LIMIT 20"", 0))
    )
  ), 
"""")"),5.856272961E7)</f>
        <v>58562729.61</v>
      </c>
      <c r="K89" s="21">
        <f>IFERROR(__xludf.DUMMYFUNCTION("IFERROR(GOOGLEFINANCE(C89, ""changepct"") / 100, """")"),-0.0095)</f>
        <v>-0.0095</v>
      </c>
      <c r="L89" s="21" t="str">
        <f>IFERROR(__xludf.DUMMYFUNCTION("IFERROR((GOOGLEFINANCE(C89, ""price"") / INDEX(GOOGLEFINANCE(C89, ""price"", TODAY()-7, TODAY()), 2, 2)) - 1, """")"),"")</f>
        <v/>
      </c>
      <c r="M89" s="21" t="str">
        <f>IFERROR(__xludf.DUMMYFUNCTION("IFERROR((GOOGLEFINANCE(C89, ""price"") / INDEX(GOOGLEFINANCE(C89, ""price"", EDATE(TODAY(), -1), TODAY()), 2, 2)) - 1, """")"),"")</f>
        <v/>
      </c>
      <c r="N89" s="21" t="str">
        <f>IFERROR(__xludf.DUMMYFUNCTION("IFERROR((GOOGLEFINANCE(C89, ""price"") / INDEX(GOOGLEFINANCE(C89, ""price"", EDATE(TODAY(), -3), TODAY()), 2, 2)) - 1, """")"),"")</f>
        <v/>
      </c>
      <c r="O89" s="21" t="str">
        <f>IFERROR(__xludf.DUMMYFUNCTION("IFERROR((GOOGLEFINANCE(C89, ""price"") / INDEX(GOOGLEFINANCE(C89, ""price"", EDATE(TODAY(), -6), TODAY()), 2, 2)) - 1, """")"),"")</f>
        <v/>
      </c>
      <c r="P89" s="21" t="str">
        <f>IFERROR(__xludf.DUMMYFUNCTION("IFERROR((GOOGLEFINANCE(C89, ""price"") / INDEX(GOOGLEFINANCE(C89, ""price"", EDATE(TODAY(), -12), TODAY()), 2, 2)) - 1, """")"),"")</f>
        <v/>
      </c>
      <c r="Q89" s="6" t="str">
        <f>IFERROR(__xludf.DUMMYFUNCTION("AVERAGE(QUERY(GOOGLEFINANCE(C89, ""price"", TODAY()-80, TODAY()), ""SELECT Col2 WHERE Col2 IS NOT NULL ORDER BY Col1 DESC LIMIT 50"", 0))"),"#N/A")</f>
        <v>#N/A</v>
      </c>
      <c r="R89" s="24" t="str">
        <f>IFERROR(__xludf.DUMMYFUNCTION("IFERROR(
  LET(
    data, QUERY(GOOGLEFINANCE(C89,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GOOGLEFINANCE(C89, ""price"")) * 100,
    IF(calc=0, G89, calc)
  ), 
G89)"),"#N/A")</f>
        <v>#N/A</v>
      </c>
      <c r="S89" s="8" t="s">
        <v>15</v>
      </c>
      <c r="T89" s="26" t="str">
        <f>IFERROR(__xludf.DUMMYFUNCTION("IFERROR(TRANSPOSE(QUERY(IFERROR(SORT(GOOGLEFINANCE(C89, ""price"", WORKDAY(TODAY(), -40), TODAY()), 1, FALSE)), ""select Col2 where Col2 is not null limit 22 label Col2 ''"", 0)), """")"),"")</f>
        <v/>
      </c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8"/>
      <c r="AO89" s="28"/>
      <c r="AP89" s="29"/>
      <c r="AQ89" s="29" t="str">
        <f t="shared" ref="AQ89:BL89" si="92">T89/T$2</f>
        <v>#N/A</v>
      </c>
      <c r="AR89" s="29" t="str">
        <f t="shared" si="92"/>
        <v>#DIV/0!</v>
      </c>
      <c r="AS89" s="29" t="str">
        <f t="shared" si="92"/>
        <v>#DIV/0!</v>
      </c>
      <c r="AT89" s="29" t="str">
        <f t="shared" si="92"/>
        <v>#DIV/0!</v>
      </c>
      <c r="AU89" s="29" t="str">
        <f t="shared" si="92"/>
        <v>#DIV/0!</v>
      </c>
      <c r="AV89" s="29" t="str">
        <f t="shared" si="92"/>
        <v>#DIV/0!</v>
      </c>
      <c r="AW89" s="29" t="str">
        <f t="shared" si="92"/>
        <v>#DIV/0!</v>
      </c>
      <c r="AX89" s="29" t="str">
        <f t="shared" si="92"/>
        <v>#DIV/0!</v>
      </c>
      <c r="AY89" s="29" t="str">
        <f t="shared" si="92"/>
        <v>#DIV/0!</v>
      </c>
      <c r="AZ89" s="29" t="str">
        <f t="shared" si="92"/>
        <v>#DIV/0!</v>
      </c>
      <c r="BA89" s="29" t="str">
        <f t="shared" si="92"/>
        <v>#DIV/0!</v>
      </c>
      <c r="BB89" s="29" t="str">
        <f t="shared" si="92"/>
        <v>#DIV/0!</v>
      </c>
      <c r="BC89" s="29" t="str">
        <f t="shared" si="92"/>
        <v>#DIV/0!</v>
      </c>
      <c r="BD89" s="29" t="str">
        <f t="shared" si="92"/>
        <v>#DIV/0!</v>
      </c>
      <c r="BE89" s="29" t="str">
        <f t="shared" si="92"/>
        <v>#DIV/0!</v>
      </c>
      <c r="BF89" s="29" t="str">
        <f t="shared" si="92"/>
        <v>#DIV/0!</v>
      </c>
      <c r="BG89" s="29" t="str">
        <f t="shared" si="92"/>
        <v>#DIV/0!</v>
      </c>
      <c r="BH89" s="29" t="str">
        <f t="shared" si="92"/>
        <v>#DIV/0!</v>
      </c>
      <c r="BI89" s="29" t="str">
        <f t="shared" si="92"/>
        <v>#DIV/0!</v>
      </c>
      <c r="BJ89" s="29" t="str">
        <f t="shared" si="92"/>
        <v>#DIV/0!</v>
      </c>
      <c r="BK89" s="29" t="str">
        <f t="shared" si="92"/>
        <v>#DIV/0!</v>
      </c>
      <c r="BL89" s="29" t="str">
        <f t="shared" si="92"/>
        <v>#DIV/0!</v>
      </c>
      <c r="BM89" s="29" t="str">
        <f t="shared" si="3"/>
        <v>#DIV/0!</v>
      </c>
    </row>
    <row r="90">
      <c r="A90" s="16" t="str">
        <f>IFERROR(__xludf.DUMMYFUNCTION("IFERROR(SPARKLINE(SORT(MAP(TRANSPOSE(AQ90:BL90), LAMBDA(val, IF(ISNUMBER(val), PERCENTRANK(AQ90:BL90, val)+0.01, 0))), SEQUENCE(COLUMNS(AQ90:BL90)), FALSE), {""charttype"",""column""; ""color"",""chartreuse""; ""ymin"", 0; ""ymax"", 1.01; ""highcolor"", "&amp;"""darkgreen""; ""lowcolor"", ""red""}), """")"),"")</f>
        <v/>
      </c>
      <c r="B90" s="17" t="str">
        <f t="shared" si="4"/>
        <v/>
      </c>
      <c r="C90" s="1" t="s">
        <v>2407</v>
      </c>
      <c r="D90" s="30" t="str">
        <f>IFERROR(__xludf.DUMMYFUNCTION("IFERROR(GOOGLEFINANCE(C90, ""NAME""))"),"BrasilAgro - Companhia Br d Pr Agr - ADR")</f>
        <v>BrasilAgro - Companhia Br d Pr Agr - ADR</v>
      </c>
      <c r="E90" s="30" t="s">
        <v>2115</v>
      </c>
      <c r="F90" s="33" t="str">
        <f>IFERROR(__xludf.DUMMYFUNCTION("( (GOOGLEFINANCE(C90, ""price"") - Q90) / Q90 ) / (R90 / 100)"),"Loading...")</f>
        <v>Loading...</v>
      </c>
      <c r="G90" s="20" t="str">
        <f>IFERROR(__xludf.DUMMYFUNCTION("AVERAGE(ARRAYFORMULA(100 * (QUERY(GOOGLEFINANCE(C90, ""high"", TODAY()-40, TODAY()), ""SELECT Col2 WHERE Col2 IS NOT NULL ORDER BY Col1 DESC LIMIT 20"", 0) / QUERY(GOOGLEFINANCE(C90, ""low"", TODAY()-40, TODAY()), ""SELECT Col2 WHERE Col2 IS NOT NULL ORDE"&amp;"R BY Col1 DESC LIMIT 20"", 0) - 1)))"),"#N/A")</f>
        <v>#N/A</v>
      </c>
      <c r="H90" s="35" t="str">
        <f t="shared" si="6"/>
        <v>Illiquid</v>
      </c>
      <c r="I90" s="36" t="str">
        <f t="shared" si="7"/>
        <v>RVol Required</v>
      </c>
      <c r="J90" s="37">
        <f>IFERROR(__xludf.DUMMYFUNCTION("IFERROR(
  IF(C90="""",, 
    IFERROR(
      GOOGLEFINANCE(C90, ""price"") * GOOGLEFINANCE(C90, ""volumeavg""), 
      GOOGLEFINANCE(C90, ""price"") * AVERAGE(QUERY(GOOGLEFINANCE(C90, ""volume"", TODAY()-40, TODAY()), ""SELECT Col2 WHERE Col2 IS NOT NULL "&amp;"ORDER BY Col1 DESC LIMIT 20"", 0))
    )
  ), 
"""")"),199000.88)</f>
        <v>199000.88</v>
      </c>
      <c r="K90" s="21">
        <f>IFERROR(__xludf.DUMMYFUNCTION("IFERROR(GOOGLEFINANCE(C90, ""changepct"") / 100, """")"),0.0028000000000000004)</f>
        <v>0.0028</v>
      </c>
      <c r="L90" s="21" t="str">
        <f>IFERROR(__xludf.DUMMYFUNCTION("IFERROR((GOOGLEFINANCE(C90, ""price"") / INDEX(GOOGLEFINANCE(C90, ""price"", TODAY()-7, TODAY()), 2, 2)) - 1, """")"),"")</f>
        <v/>
      </c>
      <c r="M90" s="21" t="str">
        <f>IFERROR(__xludf.DUMMYFUNCTION("IFERROR((GOOGLEFINANCE(C90, ""price"") / INDEX(GOOGLEFINANCE(C90, ""price"", EDATE(TODAY(), -1), TODAY()), 2, 2)) - 1, """")"),"")</f>
        <v/>
      </c>
      <c r="N90" s="21" t="str">
        <f>IFERROR(__xludf.DUMMYFUNCTION("IFERROR((GOOGLEFINANCE(C90, ""price"") / INDEX(GOOGLEFINANCE(C90, ""price"", EDATE(TODAY(), -3), TODAY()), 2, 2)) - 1, """")"),"")</f>
        <v/>
      </c>
      <c r="O90" s="21" t="str">
        <f>IFERROR(__xludf.DUMMYFUNCTION("IFERROR((GOOGLEFINANCE(C90, ""price"") / INDEX(GOOGLEFINANCE(C90, ""price"", EDATE(TODAY(), -6), TODAY()), 2, 2)) - 1, """")"),"")</f>
        <v/>
      </c>
      <c r="P90" s="21" t="str">
        <f>IFERROR(__xludf.DUMMYFUNCTION("IFERROR((GOOGLEFINANCE(C90, ""price"") / INDEX(GOOGLEFINANCE(C90, ""price"", EDATE(TODAY(), -12), TODAY()), 2, 2)) - 1, """")"),"")</f>
        <v/>
      </c>
      <c r="Q90" s="6" t="str">
        <f>IFERROR(__xludf.DUMMYFUNCTION("AVERAGE(QUERY(GOOGLEFINANCE(C90, ""price"", TODAY()-80, TODAY()), ""SELECT Col2 WHERE Col2 IS NOT NULL ORDER BY Col1 DESC LIMIT 50"", 0))"),"#N/A")</f>
        <v>#N/A</v>
      </c>
      <c r="R90" s="24" t="str">
        <f>IFERROR(__xludf.DUMMYFUNCTION("IFERROR(
  LET(
    data, QUERY(GOOGLEFINANCE(C90,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GOOGLEFINANCE(C90, ""price"")) * 100,
    IF(calc=0, G90, calc)
  ), 
G90)"),"#N/A")</f>
        <v>#N/A</v>
      </c>
      <c r="S90" s="8" t="s">
        <v>15</v>
      </c>
      <c r="T90" s="26" t="str">
        <f>IFERROR(__xludf.DUMMYFUNCTION("IFERROR(TRANSPOSE(QUERY(IFERROR(SORT(GOOGLEFINANCE(C90, ""price"", WORKDAY(TODAY(), -40), TODAY()), 1, FALSE)), ""select Col2 where Col2 is not null limit 22 label Col2 ''"", 0)), """")"),"")</f>
        <v/>
      </c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8"/>
      <c r="AO90" s="28"/>
      <c r="AP90" s="29"/>
      <c r="AQ90" s="29" t="str">
        <f t="shared" ref="AQ90:BL90" si="93">T90/T$2</f>
        <v>#N/A</v>
      </c>
      <c r="AR90" s="29" t="str">
        <f t="shared" si="93"/>
        <v>#DIV/0!</v>
      </c>
      <c r="AS90" s="29" t="str">
        <f t="shared" si="93"/>
        <v>#DIV/0!</v>
      </c>
      <c r="AT90" s="29" t="str">
        <f t="shared" si="93"/>
        <v>#DIV/0!</v>
      </c>
      <c r="AU90" s="29" t="str">
        <f t="shared" si="93"/>
        <v>#DIV/0!</v>
      </c>
      <c r="AV90" s="29" t="str">
        <f t="shared" si="93"/>
        <v>#DIV/0!</v>
      </c>
      <c r="AW90" s="29" t="str">
        <f t="shared" si="93"/>
        <v>#DIV/0!</v>
      </c>
      <c r="AX90" s="29" t="str">
        <f t="shared" si="93"/>
        <v>#DIV/0!</v>
      </c>
      <c r="AY90" s="29" t="str">
        <f t="shared" si="93"/>
        <v>#DIV/0!</v>
      </c>
      <c r="AZ90" s="29" t="str">
        <f t="shared" si="93"/>
        <v>#DIV/0!</v>
      </c>
      <c r="BA90" s="29" t="str">
        <f t="shared" si="93"/>
        <v>#DIV/0!</v>
      </c>
      <c r="BB90" s="29" t="str">
        <f t="shared" si="93"/>
        <v>#DIV/0!</v>
      </c>
      <c r="BC90" s="29" t="str">
        <f t="shared" si="93"/>
        <v>#DIV/0!</v>
      </c>
      <c r="BD90" s="29" t="str">
        <f t="shared" si="93"/>
        <v>#DIV/0!</v>
      </c>
      <c r="BE90" s="29" t="str">
        <f t="shared" si="93"/>
        <v>#DIV/0!</v>
      </c>
      <c r="BF90" s="29" t="str">
        <f t="shared" si="93"/>
        <v>#DIV/0!</v>
      </c>
      <c r="BG90" s="29" t="str">
        <f t="shared" si="93"/>
        <v>#DIV/0!</v>
      </c>
      <c r="BH90" s="29" t="str">
        <f t="shared" si="93"/>
        <v>#DIV/0!</v>
      </c>
      <c r="BI90" s="29" t="str">
        <f t="shared" si="93"/>
        <v>#DIV/0!</v>
      </c>
      <c r="BJ90" s="29" t="str">
        <f t="shared" si="93"/>
        <v>#DIV/0!</v>
      </c>
      <c r="BK90" s="29" t="str">
        <f t="shared" si="93"/>
        <v>#DIV/0!</v>
      </c>
      <c r="BL90" s="29" t="str">
        <f t="shared" si="93"/>
        <v>#DIV/0!</v>
      </c>
      <c r="BM90" s="29" t="str">
        <f t="shared" si="3"/>
        <v>#DIV/0!</v>
      </c>
    </row>
    <row r="91">
      <c r="A91" s="16" t="str">
        <f>IFERROR(__xludf.DUMMYFUNCTION("IFERROR(SPARKLINE(SORT(MAP(TRANSPOSE(AQ91:BL91), LAMBDA(val, IF(ISNUMBER(val), PERCENTRANK(AQ91:BL91, val)+0.01, 0))), SEQUENCE(COLUMNS(AQ91:BL91)), FALSE), {""charttype"",""column""; ""color"",""chartreuse""; ""ymin"", 0; ""ymax"", 1.01; ""highcolor"", "&amp;"""darkgreen""; ""lowcolor"", ""red""}), """")"),"")</f>
        <v/>
      </c>
      <c r="B91" s="17" t="str">
        <f t="shared" si="4"/>
        <v/>
      </c>
      <c r="C91" s="1" t="s">
        <v>2411</v>
      </c>
      <c r="D91" s="30" t="str">
        <f>IFERROR(__xludf.DUMMYFUNCTION("IFERROR(GOOGLEFINANCE(C91, ""NAME""))"),"Kenvue Inc")</f>
        <v>Kenvue Inc</v>
      </c>
      <c r="E91" s="30" t="s">
        <v>2132</v>
      </c>
      <c r="F91" s="33" t="str">
        <f>IFERROR(__xludf.DUMMYFUNCTION("( (GOOGLEFINANCE(C91, ""price"") - Q91) / Q91 ) / (R91 / 100)"),"Loading...")</f>
        <v>Loading...</v>
      </c>
      <c r="G91" s="20" t="str">
        <f>IFERROR(__xludf.DUMMYFUNCTION("AVERAGE(ARRAYFORMULA(100 * (QUERY(GOOGLEFINANCE(C91, ""high"", TODAY()-40, TODAY()), ""SELECT Col2 WHERE Col2 IS NOT NULL ORDER BY Col1 DESC LIMIT 20"", 0) / QUERY(GOOGLEFINANCE(C91, ""low"", TODAY()-40, TODAY()), ""SELECT Col2 WHERE Col2 IS NOT NULL ORDE"&amp;"R BY Col1 DESC LIMIT 20"", 0) - 1)))"),"#N/A")</f>
        <v>#N/A</v>
      </c>
      <c r="H91" s="35" t="str">
        <f t="shared" si="6"/>
        <v>Liquid</v>
      </c>
      <c r="I91" s="36" t="str">
        <f t="shared" si="7"/>
        <v>RVol Required</v>
      </c>
      <c r="J91" s="37">
        <f>IFERROR(__xludf.DUMMYFUNCTION("IFERROR(
  IF(C91="""",, 
    IFERROR(
      GOOGLEFINANCE(C91, ""price"") * GOOGLEFINANCE(C91, ""volumeavg""), 
      GOOGLEFINANCE(C91, ""price"") * AVERAGE(QUERY(GOOGLEFINANCE(C91, ""volume"", TODAY()-40, TODAY()), ""SELECT Col2 WHERE Col2 IS NOT NULL "&amp;"ORDER BY Col1 DESC LIMIT 20"", 0))
    )
  ), 
"""")"),4.6553106968E8)</f>
        <v>465531069.7</v>
      </c>
      <c r="K91" s="21">
        <f>IFERROR(__xludf.DUMMYFUNCTION("IFERROR(GOOGLEFINANCE(C91, ""changepct"") / 100, """")"),0.0129)</f>
        <v>0.0129</v>
      </c>
      <c r="L91" s="21" t="str">
        <f>IFERROR(__xludf.DUMMYFUNCTION("IFERROR((GOOGLEFINANCE(C91, ""price"") / INDEX(GOOGLEFINANCE(C91, ""price"", TODAY()-7, TODAY()), 2, 2)) - 1, """")"),"")</f>
        <v/>
      </c>
      <c r="M91" s="21" t="str">
        <f>IFERROR(__xludf.DUMMYFUNCTION("IFERROR((GOOGLEFINANCE(C91, ""price"") / INDEX(GOOGLEFINANCE(C91, ""price"", EDATE(TODAY(), -1), TODAY()), 2, 2)) - 1, """")"),"")</f>
        <v/>
      </c>
      <c r="N91" s="21" t="str">
        <f>IFERROR(__xludf.DUMMYFUNCTION("IFERROR((GOOGLEFINANCE(C91, ""price"") / INDEX(GOOGLEFINANCE(C91, ""price"", EDATE(TODAY(), -3), TODAY()), 2, 2)) - 1, """")"),"")</f>
        <v/>
      </c>
      <c r="O91" s="21" t="str">
        <f>IFERROR(__xludf.DUMMYFUNCTION("IFERROR((GOOGLEFINANCE(C91, ""price"") / INDEX(GOOGLEFINANCE(C91, ""price"", EDATE(TODAY(), -6), TODAY()), 2, 2)) - 1, """")"),"")</f>
        <v/>
      </c>
      <c r="P91" s="21" t="str">
        <f>IFERROR(__xludf.DUMMYFUNCTION("IFERROR((GOOGLEFINANCE(C91, ""price"") / INDEX(GOOGLEFINANCE(C91, ""price"", EDATE(TODAY(), -12), TODAY()), 2, 2)) - 1, """")"),"")</f>
        <v/>
      </c>
      <c r="Q91" s="6" t="str">
        <f>IFERROR(__xludf.DUMMYFUNCTION("AVERAGE(QUERY(GOOGLEFINANCE(C91, ""price"", TODAY()-80, TODAY()), ""SELECT Col2 WHERE Col2 IS NOT NULL ORDER BY Col1 DESC LIMIT 50"", 0))"),"#N/A")</f>
        <v>#N/A</v>
      </c>
      <c r="R91" s="24" t="str">
        <f>IFERROR(__xludf.DUMMYFUNCTION("IFERROR(
  LET(
    data, QUERY(GOOGLEFINANCE(C91,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GOOGLEFINANCE(C91, ""price"")) * 100,
    IF(calc=0, G91, calc)
  ), 
G91)"),"#N/A")</f>
        <v>#N/A</v>
      </c>
      <c r="S91" s="8" t="s">
        <v>15</v>
      </c>
      <c r="T91" s="26" t="str">
        <f>IFERROR(__xludf.DUMMYFUNCTION("IFERROR(TRANSPOSE(QUERY(IFERROR(SORT(GOOGLEFINANCE(C91, ""price"", WORKDAY(TODAY(), -40), TODAY()), 1, FALSE)), ""select Col2 where Col2 is not null limit 22 label Col2 ''"", 0)), """")"),"")</f>
        <v/>
      </c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8"/>
      <c r="AO91" s="28"/>
      <c r="AP91" s="29"/>
      <c r="AQ91" s="29" t="str">
        <f t="shared" ref="AQ91:BL91" si="94">T91/T$2</f>
        <v>#N/A</v>
      </c>
      <c r="AR91" s="29" t="str">
        <f t="shared" si="94"/>
        <v>#DIV/0!</v>
      </c>
      <c r="AS91" s="29" t="str">
        <f t="shared" si="94"/>
        <v>#DIV/0!</v>
      </c>
      <c r="AT91" s="29" t="str">
        <f t="shared" si="94"/>
        <v>#DIV/0!</v>
      </c>
      <c r="AU91" s="29" t="str">
        <f t="shared" si="94"/>
        <v>#DIV/0!</v>
      </c>
      <c r="AV91" s="29" t="str">
        <f t="shared" si="94"/>
        <v>#DIV/0!</v>
      </c>
      <c r="AW91" s="29" t="str">
        <f t="shared" si="94"/>
        <v>#DIV/0!</v>
      </c>
      <c r="AX91" s="29" t="str">
        <f t="shared" si="94"/>
        <v>#DIV/0!</v>
      </c>
      <c r="AY91" s="29" t="str">
        <f t="shared" si="94"/>
        <v>#DIV/0!</v>
      </c>
      <c r="AZ91" s="29" t="str">
        <f t="shared" si="94"/>
        <v>#DIV/0!</v>
      </c>
      <c r="BA91" s="29" t="str">
        <f t="shared" si="94"/>
        <v>#DIV/0!</v>
      </c>
      <c r="BB91" s="29" t="str">
        <f t="shared" si="94"/>
        <v>#DIV/0!</v>
      </c>
      <c r="BC91" s="29" t="str">
        <f t="shared" si="94"/>
        <v>#DIV/0!</v>
      </c>
      <c r="BD91" s="29" t="str">
        <f t="shared" si="94"/>
        <v>#DIV/0!</v>
      </c>
      <c r="BE91" s="29" t="str">
        <f t="shared" si="94"/>
        <v>#DIV/0!</v>
      </c>
      <c r="BF91" s="29" t="str">
        <f t="shared" si="94"/>
        <v>#DIV/0!</v>
      </c>
      <c r="BG91" s="29" t="str">
        <f t="shared" si="94"/>
        <v>#DIV/0!</v>
      </c>
      <c r="BH91" s="29" t="str">
        <f t="shared" si="94"/>
        <v>#DIV/0!</v>
      </c>
      <c r="BI91" s="29" t="str">
        <f t="shared" si="94"/>
        <v>#DIV/0!</v>
      </c>
      <c r="BJ91" s="29" t="str">
        <f t="shared" si="94"/>
        <v>#DIV/0!</v>
      </c>
      <c r="BK91" s="29" t="str">
        <f t="shared" si="94"/>
        <v>#DIV/0!</v>
      </c>
      <c r="BL91" s="29" t="str">
        <f t="shared" si="94"/>
        <v>#DIV/0!</v>
      </c>
      <c r="BM91" s="29" t="str">
        <f t="shared" si="3"/>
        <v>#DIV/0!</v>
      </c>
    </row>
    <row r="92">
      <c r="A92" s="16" t="str">
        <f>IFERROR(__xludf.DUMMYFUNCTION("IFERROR(SPARKLINE(SORT(MAP(TRANSPOSE(AQ92:BL92), LAMBDA(val, IF(ISNUMBER(val), PERCENTRANK(AQ92:BL92, val)+0.01, 0))), SEQUENCE(COLUMNS(AQ92:BL92)), FALSE), {""charttype"",""column""; ""color"",""chartreuse""; ""ymin"", 0; ""ymax"", 1.01; ""highcolor"", "&amp;"""darkgreen""; ""lowcolor"", ""red""}), """")"),"")</f>
        <v/>
      </c>
      <c r="B92" s="17" t="str">
        <f t="shared" si="4"/>
        <v/>
      </c>
      <c r="C92" s="1" t="s">
        <v>2415</v>
      </c>
      <c r="D92" s="30" t="str">
        <f>IFERROR(__xludf.DUMMYFUNCTION("IFERROR(GOOGLEFINANCE(C92, ""NAME""))"),"Kimberly-Clark Corp")</f>
        <v>Kimberly-Clark Corp</v>
      </c>
      <c r="E92" s="30" t="s">
        <v>2132</v>
      </c>
      <c r="F92" s="33" t="str">
        <f>IFERROR(__xludf.DUMMYFUNCTION("( (GOOGLEFINANCE(C92, ""price"") - Q92) / Q92 ) / (R92 / 100)"),"Loading...")</f>
        <v>Loading...</v>
      </c>
      <c r="G92" s="20" t="str">
        <f>IFERROR(__xludf.DUMMYFUNCTION("AVERAGE(ARRAYFORMULA(100 * (QUERY(GOOGLEFINANCE(C92, ""high"", TODAY()-40, TODAY()), ""SELECT Col2 WHERE Col2 IS NOT NULL ORDER BY Col1 DESC LIMIT 20"", 0) / QUERY(GOOGLEFINANCE(C92, ""low"", TODAY()-40, TODAY()), ""SELECT Col2 WHERE Col2 IS NOT NULL ORDE"&amp;"R BY Col1 DESC LIMIT 20"", 0) - 1)))"),"#N/A")</f>
        <v>#N/A</v>
      </c>
      <c r="H92" s="35" t="str">
        <f t="shared" si="6"/>
        <v>Liquid</v>
      </c>
      <c r="I92" s="36" t="str">
        <f t="shared" si="7"/>
        <v>No RVol Required</v>
      </c>
      <c r="J92" s="37">
        <f>IFERROR(__xludf.DUMMYFUNCTION("IFERROR(
  IF(C92="""",, 
    IFERROR(
      GOOGLEFINANCE(C92, ""price"") * GOOGLEFINANCE(C92, ""volumeavg""), 
      GOOGLEFINANCE(C92, ""price"") * AVERAGE(QUERY(GOOGLEFINANCE(C92, ""volume"", TODAY()-40, TODAY()), ""SELECT Col2 WHERE Col2 IS NOT NULL "&amp;"ORDER BY Col1 DESC LIMIT 20"", 0))
    )
  ), 
"""")"),5.1384571721999997E8)</f>
        <v>513845717.2</v>
      </c>
      <c r="K92" s="21">
        <f>IFERROR(__xludf.DUMMYFUNCTION("IFERROR(GOOGLEFINANCE(C92, ""changepct"") / 100, """")"),0.0144)</f>
        <v>0.0144</v>
      </c>
      <c r="L92" s="21" t="str">
        <f>IFERROR(__xludf.DUMMYFUNCTION("IFERROR((GOOGLEFINANCE(C92, ""price"") / INDEX(GOOGLEFINANCE(C92, ""price"", TODAY()-7, TODAY()), 2, 2)) - 1, """")"),"")</f>
        <v/>
      </c>
      <c r="M92" s="21" t="str">
        <f>IFERROR(__xludf.DUMMYFUNCTION("IFERROR((GOOGLEFINANCE(C92, ""price"") / INDEX(GOOGLEFINANCE(C92, ""price"", EDATE(TODAY(), -1), TODAY()), 2, 2)) - 1, """")"),"")</f>
        <v/>
      </c>
      <c r="N92" s="21" t="str">
        <f>IFERROR(__xludf.DUMMYFUNCTION("IFERROR((GOOGLEFINANCE(C92, ""price"") / INDEX(GOOGLEFINANCE(C92, ""price"", EDATE(TODAY(), -3), TODAY()), 2, 2)) - 1, """")"),"")</f>
        <v/>
      </c>
      <c r="O92" s="21" t="str">
        <f>IFERROR(__xludf.DUMMYFUNCTION("IFERROR((GOOGLEFINANCE(C92, ""price"") / INDEX(GOOGLEFINANCE(C92, ""price"", EDATE(TODAY(), -6), TODAY()), 2, 2)) - 1, """")"),"")</f>
        <v/>
      </c>
      <c r="P92" s="21" t="str">
        <f>IFERROR(__xludf.DUMMYFUNCTION("IFERROR((GOOGLEFINANCE(C92, ""price"") / INDEX(GOOGLEFINANCE(C92, ""price"", EDATE(TODAY(), -12), TODAY()), 2, 2)) - 1, """")"),"")</f>
        <v/>
      </c>
      <c r="Q92" s="6" t="str">
        <f>IFERROR(__xludf.DUMMYFUNCTION("AVERAGE(QUERY(GOOGLEFINANCE(C92, ""price"", TODAY()-80, TODAY()), ""SELECT Col2 WHERE Col2 IS NOT NULL ORDER BY Col1 DESC LIMIT 50"", 0))"),"#N/A")</f>
        <v>#N/A</v>
      </c>
      <c r="R92" s="24" t="str">
        <f>IFERROR(__xludf.DUMMYFUNCTION("IFERROR(
  LET(
    data, QUERY(GOOGLEFINANCE(C92,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GOOGLEFINANCE(C92, ""price"")) * 100,
    IF(calc=0, G92, calc)
  ), 
G92)"),"#N/A")</f>
        <v>#N/A</v>
      </c>
      <c r="S92" s="8" t="s">
        <v>15</v>
      </c>
      <c r="T92" s="26" t="str">
        <f>IFERROR(__xludf.DUMMYFUNCTION("IFERROR(TRANSPOSE(QUERY(IFERROR(SORT(GOOGLEFINANCE(C92, ""price"", WORKDAY(TODAY(), -40), TODAY()), 1, FALSE)), ""select Col2 where Col2 is not null limit 22 label Col2 ''"", 0)), """")"),"")</f>
        <v/>
      </c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8"/>
      <c r="AO92" s="28"/>
      <c r="AP92" s="29"/>
      <c r="AQ92" s="29" t="str">
        <f t="shared" ref="AQ92:BL92" si="95">T92/T$2</f>
        <v>#N/A</v>
      </c>
      <c r="AR92" s="29" t="str">
        <f t="shared" si="95"/>
        <v>#DIV/0!</v>
      </c>
      <c r="AS92" s="29" t="str">
        <f t="shared" si="95"/>
        <v>#DIV/0!</v>
      </c>
      <c r="AT92" s="29" t="str">
        <f t="shared" si="95"/>
        <v>#DIV/0!</v>
      </c>
      <c r="AU92" s="29" t="str">
        <f t="shared" si="95"/>
        <v>#DIV/0!</v>
      </c>
      <c r="AV92" s="29" t="str">
        <f t="shared" si="95"/>
        <v>#DIV/0!</v>
      </c>
      <c r="AW92" s="29" t="str">
        <f t="shared" si="95"/>
        <v>#DIV/0!</v>
      </c>
      <c r="AX92" s="29" t="str">
        <f t="shared" si="95"/>
        <v>#DIV/0!</v>
      </c>
      <c r="AY92" s="29" t="str">
        <f t="shared" si="95"/>
        <v>#DIV/0!</v>
      </c>
      <c r="AZ92" s="29" t="str">
        <f t="shared" si="95"/>
        <v>#DIV/0!</v>
      </c>
      <c r="BA92" s="29" t="str">
        <f t="shared" si="95"/>
        <v>#DIV/0!</v>
      </c>
      <c r="BB92" s="29" t="str">
        <f t="shared" si="95"/>
        <v>#DIV/0!</v>
      </c>
      <c r="BC92" s="29" t="str">
        <f t="shared" si="95"/>
        <v>#DIV/0!</v>
      </c>
      <c r="BD92" s="29" t="str">
        <f t="shared" si="95"/>
        <v>#DIV/0!</v>
      </c>
      <c r="BE92" s="29" t="str">
        <f t="shared" si="95"/>
        <v>#DIV/0!</v>
      </c>
      <c r="BF92" s="29" t="str">
        <f t="shared" si="95"/>
        <v>#DIV/0!</v>
      </c>
      <c r="BG92" s="29" t="str">
        <f t="shared" si="95"/>
        <v>#DIV/0!</v>
      </c>
      <c r="BH92" s="29" t="str">
        <f t="shared" si="95"/>
        <v>#DIV/0!</v>
      </c>
      <c r="BI92" s="29" t="str">
        <f t="shared" si="95"/>
        <v>#DIV/0!</v>
      </c>
      <c r="BJ92" s="29" t="str">
        <f t="shared" si="95"/>
        <v>#DIV/0!</v>
      </c>
      <c r="BK92" s="29" t="str">
        <f t="shared" si="95"/>
        <v>#DIV/0!</v>
      </c>
      <c r="BL92" s="29" t="str">
        <f t="shared" si="95"/>
        <v>#DIV/0!</v>
      </c>
      <c r="BM92" s="29" t="str">
        <f t="shared" si="3"/>
        <v>#DIV/0!</v>
      </c>
    </row>
    <row r="93">
      <c r="A93" s="16" t="str">
        <f>IFERROR(__xludf.DUMMYFUNCTION("IFERROR(SPARKLINE(SORT(MAP(TRANSPOSE(AQ93:BL93), LAMBDA(val, IF(ISNUMBER(val), PERCENTRANK(AQ93:BL93, val)+0.01, 0))), SEQUENCE(COLUMNS(AQ93:BL93)), FALSE), {""charttype"",""column""; ""color"",""chartreuse""; ""ymin"", 0; ""ymax"", 1.01; ""highcolor"", "&amp;"""darkgreen""; ""lowcolor"", ""red""}), """")"),"")</f>
        <v/>
      </c>
      <c r="B93" s="17" t="str">
        <f t="shared" si="4"/>
        <v/>
      </c>
      <c r="C93" s="1" t="s">
        <v>2419</v>
      </c>
      <c r="D93" s="30" t="str">
        <f>IFERROR(__xludf.DUMMYFUNCTION("IFERROR(GOOGLEFINANCE(C93, ""NAME""))"),"John B Sanfilippo &amp; Son Inc")</f>
        <v>John B Sanfilippo &amp; Son Inc</v>
      </c>
      <c r="E93" s="30" t="s">
        <v>2094</v>
      </c>
      <c r="F93" s="33" t="str">
        <f>IFERROR(__xludf.DUMMYFUNCTION("( (GOOGLEFINANCE(C93, ""price"") - Q93) / Q93 ) / (R93 / 100)"),"Loading...")</f>
        <v>Loading...</v>
      </c>
      <c r="G93" s="20" t="str">
        <f>IFERROR(__xludf.DUMMYFUNCTION("AVERAGE(ARRAYFORMULA(100 * (QUERY(GOOGLEFINANCE(C93, ""high"", TODAY()-40, TODAY()), ""SELECT Col2 WHERE Col2 IS NOT NULL ORDER BY Col1 DESC LIMIT 20"", 0) / QUERY(GOOGLEFINANCE(C93, ""low"", TODAY()-40, TODAY()), ""SELECT Col2 WHERE Col2 IS NOT NULL ORDE"&amp;"R BY Col1 DESC LIMIT 20"", 0) - 1)))"),"#N/A")</f>
        <v>#N/A</v>
      </c>
      <c r="H93" s="35" t="str">
        <f t="shared" si="6"/>
        <v>Illiquid</v>
      </c>
      <c r="I93" s="36" t="str">
        <f t="shared" si="7"/>
        <v>RVol Required</v>
      </c>
      <c r="J93" s="37">
        <f>IFERROR(__xludf.DUMMYFUNCTION("IFERROR(
  IF(C93="""",, 
    IFERROR(
      GOOGLEFINANCE(C93, ""price"") * GOOGLEFINANCE(C93, ""volumeavg""), 
      GOOGLEFINANCE(C93, ""price"") * AVERAGE(QUERY(GOOGLEFINANCE(C93, ""volume"", TODAY()-40, TODAY()), ""SELECT Col2 WHERE Col2 IS NOT NULL "&amp;"ORDER BY Col1 DESC LIMIT 20"", 0))
    )
  ), 
"""")"),8512367.32)</f>
        <v>8512367.32</v>
      </c>
      <c r="K93" s="21">
        <f>IFERROR(__xludf.DUMMYFUNCTION("IFERROR(GOOGLEFINANCE(C93, ""changepct"") / 100, """")"),0.0098)</f>
        <v>0.0098</v>
      </c>
      <c r="L93" s="21" t="str">
        <f>IFERROR(__xludf.DUMMYFUNCTION("IFERROR((GOOGLEFINANCE(C93, ""price"") / INDEX(GOOGLEFINANCE(C93, ""price"", TODAY()-7, TODAY()), 2, 2)) - 1, """")"),"")</f>
        <v/>
      </c>
      <c r="M93" s="21" t="str">
        <f>IFERROR(__xludf.DUMMYFUNCTION("IFERROR((GOOGLEFINANCE(C93, ""price"") / INDEX(GOOGLEFINANCE(C93, ""price"", EDATE(TODAY(), -1), TODAY()), 2, 2)) - 1, """")"),"")</f>
        <v/>
      </c>
      <c r="N93" s="21" t="str">
        <f>IFERROR(__xludf.DUMMYFUNCTION("IFERROR((GOOGLEFINANCE(C93, ""price"") / INDEX(GOOGLEFINANCE(C93, ""price"", EDATE(TODAY(), -3), TODAY()), 2, 2)) - 1, """")"),"")</f>
        <v/>
      </c>
      <c r="O93" s="21" t="str">
        <f>IFERROR(__xludf.DUMMYFUNCTION("IFERROR((GOOGLEFINANCE(C93, ""price"") / INDEX(GOOGLEFINANCE(C93, ""price"", EDATE(TODAY(), -6), TODAY()), 2, 2)) - 1, """")"),"")</f>
        <v/>
      </c>
      <c r="P93" s="21" t="str">
        <f>IFERROR(__xludf.DUMMYFUNCTION("IFERROR((GOOGLEFINANCE(C93, ""price"") / INDEX(GOOGLEFINANCE(C93, ""price"", EDATE(TODAY(), -12), TODAY()), 2, 2)) - 1, """")"),"")</f>
        <v/>
      </c>
      <c r="Q93" s="6" t="str">
        <f>IFERROR(__xludf.DUMMYFUNCTION("AVERAGE(QUERY(GOOGLEFINANCE(C93, ""price"", TODAY()-80, TODAY()), ""SELECT Col2 WHERE Col2 IS NOT NULL ORDER BY Col1 DESC LIMIT 50"", 0))"),"#N/A")</f>
        <v>#N/A</v>
      </c>
      <c r="R93" s="24" t="str">
        <f>IFERROR(__xludf.DUMMYFUNCTION("IFERROR(
  LET(
    data, QUERY(GOOGLEFINANCE(C93,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GOOGLEFINANCE(C93, ""price"")) * 100,
    IF(calc=0, G93, calc)
  ), 
G93)"),"#N/A")</f>
        <v>#N/A</v>
      </c>
      <c r="S93" s="8" t="s">
        <v>15</v>
      </c>
      <c r="T93" s="26" t="str">
        <f>IFERROR(__xludf.DUMMYFUNCTION("IFERROR(TRANSPOSE(QUERY(IFERROR(SORT(GOOGLEFINANCE(C93, ""price"", WORKDAY(TODAY(), -40), TODAY()), 1, FALSE)), ""select Col2 where Col2 is not null limit 22 label Col2 ''"", 0)), """")"),"")</f>
        <v/>
      </c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8"/>
      <c r="AO93" s="28"/>
      <c r="AP93" s="29"/>
      <c r="AQ93" s="29" t="str">
        <f t="shared" ref="AQ93:BL93" si="96">T93/T$2</f>
        <v>#N/A</v>
      </c>
      <c r="AR93" s="29" t="str">
        <f t="shared" si="96"/>
        <v>#DIV/0!</v>
      </c>
      <c r="AS93" s="29" t="str">
        <f t="shared" si="96"/>
        <v>#DIV/0!</v>
      </c>
      <c r="AT93" s="29" t="str">
        <f t="shared" si="96"/>
        <v>#DIV/0!</v>
      </c>
      <c r="AU93" s="29" t="str">
        <f t="shared" si="96"/>
        <v>#DIV/0!</v>
      </c>
      <c r="AV93" s="29" t="str">
        <f t="shared" si="96"/>
        <v>#DIV/0!</v>
      </c>
      <c r="AW93" s="29" t="str">
        <f t="shared" si="96"/>
        <v>#DIV/0!</v>
      </c>
      <c r="AX93" s="29" t="str">
        <f t="shared" si="96"/>
        <v>#DIV/0!</v>
      </c>
      <c r="AY93" s="29" t="str">
        <f t="shared" si="96"/>
        <v>#DIV/0!</v>
      </c>
      <c r="AZ93" s="29" t="str">
        <f t="shared" si="96"/>
        <v>#DIV/0!</v>
      </c>
      <c r="BA93" s="29" t="str">
        <f t="shared" si="96"/>
        <v>#DIV/0!</v>
      </c>
      <c r="BB93" s="29" t="str">
        <f t="shared" si="96"/>
        <v>#DIV/0!</v>
      </c>
      <c r="BC93" s="29" t="str">
        <f t="shared" si="96"/>
        <v>#DIV/0!</v>
      </c>
      <c r="BD93" s="29" t="str">
        <f t="shared" si="96"/>
        <v>#DIV/0!</v>
      </c>
      <c r="BE93" s="29" t="str">
        <f t="shared" si="96"/>
        <v>#DIV/0!</v>
      </c>
      <c r="BF93" s="29" t="str">
        <f t="shared" si="96"/>
        <v>#DIV/0!</v>
      </c>
      <c r="BG93" s="29" t="str">
        <f t="shared" si="96"/>
        <v>#DIV/0!</v>
      </c>
      <c r="BH93" s="29" t="str">
        <f t="shared" si="96"/>
        <v>#DIV/0!</v>
      </c>
      <c r="BI93" s="29" t="str">
        <f t="shared" si="96"/>
        <v>#DIV/0!</v>
      </c>
      <c r="BJ93" s="29" t="str">
        <f t="shared" si="96"/>
        <v>#DIV/0!</v>
      </c>
      <c r="BK93" s="29" t="str">
        <f t="shared" si="96"/>
        <v>#DIV/0!</v>
      </c>
      <c r="BL93" s="29" t="str">
        <f t="shared" si="96"/>
        <v>#DIV/0!</v>
      </c>
      <c r="BM93" s="29" t="str">
        <f t="shared" si="3"/>
        <v>#DIV/0!</v>
      </c>
    </row>
    <row r="94">
      <c r="A94" s="16" t="str">
        <f>IFERROR(__xludf.DUMMYFUNCTION("IFERROR(SPARKLINE(SORT(MAP(TRANSPOSE(AQ94:BL94), LAMBDA(val, IF(ISNUMBER(val), PERCENTRANK(AQ94:BL94, val)+0.01, 0))), SEQUENCE(COLUMNS(AQ94:BL94)), FALSE), {""charttype"",""column""; ""color"",""chartreuse""; ""ymin"", 0; ""ymax"", 1.01; ""highcolor"", "&amp;"""darkgreen""; ""lowcolor"", ""red""}), """")"),"")</f>
        <v/>
      </c>
      <c r="B94" s="17" t="str">
        <f t="shared" si="4"/>
        <v/>
      </c>
      <c r="C94" s="1" t="s">
        <v>2423</v>
      </c>
      <c r="D94" s="30" t="str">
        <f>IFERROR(__xludf.DUMMYFUNCTION("IFERROR(GOOGLEFINANCE(C94, ""NAME""))"),"Interparfums Inc")</f>
        <v>Interparfums Inc</v>
      </c>
      <c r="E94" s="30" t="s">
        <v>2132</v>
      </c>
      <c r="F94" s="33" t="str">
        <f>IFERROR(__xludf.DUMMYFUNCTION("( (GOOGLEFINANCE(C94, ""price"") - Q94) / Q94 ) / (R94 / 100)"),"Loading...")</f>
        <v>Loading...</v>
      </c>
      <c r="G94" s="20" t="str">
        <f>IFERROR(__xludf.DUMMYFUNCTION("AVERAGE(ARRAYFORMULA(100 * (QUERY(GOOGLEFINANCE(C94, ""high"", TODAY()-40, TODAY()), ""SELECT Col2 WHERE Col2 IS NOT NULL ORDER BY Col1 DESC LIMIT 20"", 0) / QUERY(GOOGLEFINANCE(C94, ""low"", TODAY()-40, TODAY()), ""SELECT Col2 WHERE Col2 IS NOT NULL ORDE"&amp;"R BY Col1 DESC LIMIT 20"", 0) - 1)))"),"#N/A")</f>
        <v>#N/A</v>
      </c>
      <c r="H94" s="35" t="str">
        <f t="shared" si="6"/>
        <v>Illiquid</v>
      </c>
      <c r="I94" s="36" t="str">
        <f t="shared" si="7"/>
        <v>RVol Required</v>
      </c>
      <c r="J94" s="37">
        <f>IFERROR(__xludf.DUMMYFUNCTION("IFERROR(
  IF(C94="""",, 
    IFERROR(
      GOOGLEFINANCE(C94, ""price"") * GOOGLEFINANCE(C94, ""volumeavg""), 
      GOOGLEFINANCE(C94, ""price"") * AVERAGE(QUERY(GOOGLEFINANCE(C94, ""volume"", TODAY()-40, TODAY()), ""SELECT Col2 WHERE Col2 IS NOT NULL "&amp;"ORDER BY Col1 DESC LIMIT 20"", 0))
    )
  ), 
"""")"),2.55536072E7)</f>
        <v>25553607.2</v>
      </c>
      <c r="K94" s="21">
        <f>IFERROR(__xludf.DUMMYFUNCTION("IFERROR(GOOGLEFINANCE(C94, ""changepct"") / 100, """")"),0.005)</f>
        <v>0.005</v>
      </c>
      <c r="L94" s="21" t="str">
        <f>IFERROR(__xludf.DUMMYFUNCTION("IFERROR((GOOGLEFINANCE(C94, ""price"") / INDEX(GOOGLEFINANCE(C94, ""price"", TODAY()-7, TODAY()), 2, 2)) - 1, """")"),"")</f>
        <v/>
      </c>
      <c r="M94" s="21" t="str">
        <f>IFERROR(__xludf.DUMMYFUNCTION("IFERROR((GOOGLEFINANCE(C94, ""price"") / INDEX(GOOGLEFINANCE(C94, ""price"", EDATE(TODAY(), -1), TODAY()), 2, 2)) - 1, """")"),"")</f>
        <v/>
      </c>
      <c r="N94" s="21" t="str">
        <f>IFERROR(__xludf.DUMMYFUNCTION("IFERROR((GOOGLEFINANCE(C94, ""price"") / INDEX(GOOGLEFINANCE(C94, ""price"", EDATE(TODAY(), -3), TODAY()), 2, 2)) - 1, """")"),"")</f>
        <v/>
      </c>
      <c r="O94" s="21" t="str">
        <f>IFERROR(__xludf.DUMMYFUNCTION("IFERROR((GOOGLEFINANCE(C94, ""price"") / INDEX(GOOGLEFINANCE(C94, ""price"", EDATE(TODAY(), -6), TODAY()), 2, 2)) - 1, """")"),"")</f>
        <v/>
      </c>
      <c r="P94" s="21" t="str">
        <f>IFERROR(__xludf.DUMMYFUNCTION("IFERROR((GOOGLEFINANCE(C94, ""price"") / INDEX(GOOGLEFINANCE(C94, ""price"", EDATE(TODAY(), -12), TODAY()), 2, 2)) - 1, """")"),"")</f>
        <v/>
      </c>
      <c r="Q94" s="6" t="str">
        <f>IFERROR(__xludf.DUMMYFUNCTION("AVERAGE(QUERY(GOOGLEFINANCE(C94, ""price"", TODAY()-80, TODAY()), ""SELECT Col2 WHERE Col2 IS NOT NULL ORDER BY Col1 DESC LIMIT 50"", 0))"),"#N/A")</f>
        <v>#N/A</v>
      </c>
      <c r="R94" s="24" t="str">
        <f>IFERROR(__xludf.DUMMYFUNCTION("IFERROR(
  LET(
    data, QUERY(GOOGLEFINANCE(C94,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GOOGLEFINANCE(C94, ""price"")) * 100,
    IF(calc=0, G94, calc)
  ), 
G94)"),"#N/A")</f>
        <v>#N/A</v>
      </c>
      <c r="S94" s="8" t="s">
        <v>15</v>
      </c>
      <c r="T94" s="26" t="str">
        <f>IFERROR(__xludf.DUMMYFUNCTION("IFERROR(TRANSPOSE(QUERY(IFERROR(SORT(GOOGLEFINANCE(C94, ""price"", WORKDAY(TODAY(), -40), TODAY()), 1, FALSE)), ""select Col2 where Col2 is not null limit 22 label Col2 ''"", 0)), """")"),"")</f>
        <v/>
      </c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8"/>
      <c r="AO94" s="28"/>
      <c r="AP94" s="29"/>
      <c r="AQ94" s="29" t="str">
        <f t="shared" ref="AQ94:BL94" si="97">T94/T$2</f>
        <v>#N/A</v>
      </c>
      <c r="AR94" s="29" t="str">
        <f t="shared" si="97"/>
        <v>#DIV/0!</v>
      </c>
      <c r="AS94" s="29" t="str">
        <f t="shared" si="97"/>
        <v>#DIV/0!</v>
      </c>
      <c r="AT94" s="29" t="str">
        <f t="shared" si="97"/>
        <v>#DIV/0!</v>
      </c>
      <c r="AU94" s="29" t="str">
        <f t="shared" si="97"/>
        <v>#DIV/0!</v>
      </c>
      <c r="AV94" s="29" t="str">
        <f t="shared" si="97"/>
        <v>#DIV/0!</v>
      </c>
      <c r="AW94" s="29" t="str">
        <f t="shared" si="97"/>
        <v>#DIV/0!</v>
      </c>
      <c r="AX94" s="29" t="str">
        <f t="shared" si="97"/>
        <v>#DIV/0!</v>
      </c>
      <c r="AY94" s="29" t="str">
        <f t="shared" si="97"/>
        <v>#DIV/0!</v>
      </c>
      <c r="AZ94" s="29" t="str">
        <f t="shared" si="97"/>
        <v>#DIV/0!</v>
      </c>
      <c r="BA94" s="29" t="str">
        <f t="shared" si="97"/>
        <v>#DIV/0!</v>
      </c>
      <c r="BB94" s="29" t="str">
        <f t="shared" si="97"/>
        <v>#DIV/0!</v>
      </c>
      <c r="BC94" s="29" t="str">
        <f t="shared" si="97"/>
        <v>#DIV/0!</v>
      </c>
      <c r="BD94" s="29" t="str">
        <f t="shared" si="97"/>
        <v>#DIV/0!</v>
      </c>
      <c r="BE94" s="29" t="str">
        <f t="shared" si="97"/>
        <v>#DIV/0!</v>
      </c>
      <c r="BF94" s="29" t="str">
        <f t="shared" si="97"/>
        <v>#DIV/0!</v>
      </c>
      <c r="BG94" s="29" t="str">
        <f t="shared" si="97"/>
        <v>#DIV/0!</v>
      </c>
      <c r="BH94" s="29" t="str">
        <f t="shared" si="97"/>
        <v>#DIV/0!</v>
      </c>
      <c r="BI94" s="29" t="str">
        <f t="shared" si="97"/>
        <v>#DIV/0!</v>
      </c>
      <c r="BJ94" s="29" t="str">
        <f t="shared" si="97"/>
        <v>#DIV/0!</v>
      </c>
      <c r="BK94" s="29" t="str">
        <f t="shared" si="97"/>
        <v>#DIV/0!</v>
      </c>
      <c r="BL94" s="29" t="str">
        <f t="shared" si="97"/>
        <v>#DIV/0!</v>
      </c>
      <c r="BM94" s="29" t="str">
        <f t="shared" si="3"/>
        <v>#DIV/0!</v>
      </c>
    </row>
    <row r="95">
      <c r="A95" s="16" t="str">
        <f>IFERROR(__xludf.DUMMYFUNCTION("IFERROR(SPARKLINE(SORT(MAP(TRANSPOSE(AQ95:BL95), LAMBDA(val, IF(ISNUMBER(val), PERCENTRANK(AQ95:BL95, val)+0.01, 0))), SEQUENCE(COLUMNS(AQ95:BL95)), FALSE), {""charttype"",""column""; ""color"",""chartreuse""; ""ymin"", 0; ""ymax"", 1.01; ""highcolor"", "&amp;"""darkgreen""; ""lowcolor"", ""red""}), """")"),"")</f>
        <v/>
      </c>
      <c r="B95" s="17" t="str">
        <f t="shared" si="4"/>
        <v/>
      </c>
      <c r="C95" s="1" t="s">
        <v>2427</v>
      </c>
      <c r="D95" s="30" t="str">
        <f>IFERROR(__xludf.DUMMYFUNCTION("IFERROR(GOOGLEFINANCE(C95, ""NAME""))"),"Ingredion Inc")</f>
        <v>Ingredion Inc</v>
      </c>
      <c r="E95" s="30" t="s">
        <v>2094</v>
      </c>
      <c r="F95" s="33" t="str">
        <f>IFERROR(__xludf.DUMMYFUNCTION("( (GOOGLEFINANCE(C95, ""price"") - Q95) / Q95 ) / (R95 / 100)"),"Loading...")</f>
        <v>Loading...</v>
      </c>
      <c r="G95" s="20" t="str">
        <f>IFERROR(__xludf.DUMMYFUNCTION("AVERAGE(ARRAYFORMULA(100 * (QUERY(GOOGLEFINANCE(C95, ""high"", TODAY()-40, TODAY()), ""SELECT Col2 WHERE Col2 IS NOT NULL ORDER BY Col1 DESC LIMIT 20"", 0) / QUERY(GOOGLEFINANCE(C95, ""low"", TODAY()-40, TODAY()), ""SELECT Col2 WHERE Col2 IS NOT NULL ORDE"&amp;"R BY Col1 DESC LIMIT 20"", 0) - 1)))"),"#N/A")</f>
        <v>#N/A</v>
      </c>
      <c r="H95" s="35" t="str">
        <f t="shared" si="6"/>
        <v>Liquid</v>
      </c>
      <c r="I95" s="36" t="str">
        <f t="shared" si="7"/>
        <v>RVol Required</v>
      </c>
      <c r="J95" s="37">
        <f>IFERROR(__xludf.DUMMYFUNCTION("IFERROR(
  IF(C95="""",, 
    IFERROR(
      GOOGLEFINANCE(C95, ""price"") * GOOGLEFINANCE(C95, ""volumeavg""), 
      GOOGLEFINANCE(C95, ""price"") * AVERAGE(QUERY(GOOGLEFINANCE(C95, ""volume"", TODAY()-40, TODAY()), ""SELECT Col2 WHERE Col2 IS NOT NULL "&amp;"ORDER BY Col1 DESC LIMIT 20"", 0))
    )
  ), 
"""")"),6.4071779730000004E7)</f>
        <v>64071779.73</v>
      </c>
      <c r="K95" s="21">
        <f>IFERROR(__xludf.DUMMYFUNCTION("IFERROR(GOOGLEFINANCE(C95, ""changepct"") / 100, """")"),0.0068000000000000005)</f>
        <v>0.0068</v>
      </c>
      <c r="L95" s="21" t="str">
        <f>IFERROR(__xludf.DUMMYFUNCTION("IFERROR((GOOGLEFINANCE(C95, ""price"") / INDEX(GOOGLEFINANCE(C95, ""price"", TODAY()-7, TODAY()), 2, 2)) - 1, """")"),"")</f>
        <v/>
      </c>
      <c r="M95" s="21" t="str">
        <f>IFERROR(__xludf.DUMMYFUNCTION("IFERROR((GOOGLEFINANCE(C95, ""price"") / INDEX(GOOGLEFINANCE(C95, ""price"", EDATE(TODAY(), -1), TODAY()), 2, 2)) - 1, """")"),"")</f>
        <v/>
      </c>
      <c r="N95" s="21" t="str">
        <f>IFERROR(__xludf.DUMMYFUNCTION("IFERROR((GOOGLEFINANCE(C95, ""price"") / INDEX(GOOGLEFINANCE(C95, ""price"", EDATE(TODAY(), -3), TODAY()), 2, 2)) - 1, """")"),"")</f>
        <v/>
      </c>
      <c r="O95" s="21" t="str">
        <f>IFERROR(__xludf.DUMMYFUNCTION("IFERROR((GOOGLEFINANCE(C95, ""price"") / INDEX(GOOGLEFINANCE(C95, ""price"", EDATE(TODAY(), -6), TODAY()), 2, 2)) - 1, """")"),"")</f>
        <v/>
      </c>
      <c r="P95" s="21" t="str">
        <f>IFERROR(__xludf.DUMMYFUNCTION("IFERROR((GOOGLEFINANCE(C95, ""price"") / INDEX(GOOGLEFINANCE(C95, ""price"", EDATE(TODAY(), -12), TODAY()), 2, 2)) - 1, """")"),"")</f>
        <v/>
      </c>
      <c r="Q95" s="6" t="str">
        <f>IFERROR(__xludf.DUMMYFUNCTION("AVERAGE(QUERY(GOOGLEFINANCE(C95, ""price"", TODAY()-80, TODAY()), ""SELECT Col2 WHERE Col2 IS NOT NULL ORDER BY Col1 DESC LIMIT 50"", 0))"),"#N/A")</f>
        <v>#N/A</v>
      </c>
      <c r="R95" s="24" t="str">
        <f>IFERROR(__xludf.DUMMYFUNCTION("IFERROR(
  LET(
    data, QUERY(GOOGLEFINANCE(C95,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GOOGLEFINANCE(C95, ""price"")) * 100,
    IF(calc=0, G95, calc)
  ), 
G95)"),"#N/A")</f>
        <v>#N/A</v>
      </c>
      <c r="S95" s="8" t="s">
        <v>15</v>
      </c>
      <c r="T95" s="26" t="str">
        <f>IFERROR(__xludf.DUMMYFUNCTION("IFERROR(TRANSPOSE(QUERY(IFERROR(SORT(GOOGLEFINANCE(C95, ""price"", WORKDAY(TODAY(), -40), TODAY()), 1, FALSE)), ""select Col2 where Col2 is not null limit 22 label Col2 ''"", 0)), """")"),"")</f>
        <v/>
      </c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8"/>
      <c r="AO95" s="28"/>
      <c r="AP95" s="29"/>
      <c r="AQ95" s="29" t="str">
        <f t="shared" ref="AQ95:BL95" si="98">T95/T$2</f>
        <v>#N/A</v>
      </c>
      <c r="AR95" s="29" t="str">
        <f t="shared" si="98"/>
        <v>#DIV/0!</v>
      </c>
      <c r="AS95" s="29" t="str">
        <f t="shared" si="98"/>
        <v>#DIV/0!</v>
      </c>
      <c r="AT95" s="29" t="str">
        <f t="shared" si="98"/>
        <v>#DIV/0!</v>
      </c>
      <c r="AU95" s="29" t="str">
        <f t="shared" si="98"/>
        <v>#DIV/0!</v>
      </c>
      <c r="AV95" s="29" t="str">
        <f t="shared" si="98"/>
        <v>#DIV/0!</v>
      </c>
      <c r="AW95" s="29" t="str">
        <f t="shared" si="98"/>
        <v>#DIV/0!</v>
      </c>
      <c r="AX95" s="29" t="str">
        <f t="shared" si="98"/>
        <v>#DIV/0!</v>
      </c>
      <c r="AY95" s="29" t="str">
        <f t="shared" si="98"/>
        <v>#DIV/0!</v>
      </c>
      <c r="AZ95" s="29" t="str">
        <f t="shared" si="98"/>
        <v>#DIV/0!</v>
      </c>
      <c r="BA95" s="29" t="str">
        <f t="shared" si="98"/>
        <v>#DIV/0!</v>
      </c>
      <c r="BB95" s="29" t="str">
        <f t="shared" si="98"/>
        <v>#DIV/0!</v>
      </c>
      <c r="BC95" s="29" t="str">
        <f t="shared" si="98"/>
        <v>#DIV/0!</v>
      </c>
      <c r="BD95" s="29" t="str">
        <f t="shared" si="98"/>
        <v>#DIV/0!</v>
      </c>
      <c r="BE95" s="29" t="str">
        <f t="shared" si="98"/>
        <v>#DIV/0!</v>
      </c>
      <c r="BF95" s="29" t="str">
        <f t="shared" si="98"/>
        <v>#DIV/0!</v>
      </c>
      <c r="BG95" s="29" t="str">
        <f t="shared" si="98"/>
        <v>#DIV/0!</v>
      </c>
      <c r="BH95" s="29" t="str">
        <f t="shared" si="98"/>
        <v>#DIV/0!</v>
      </c>
      <c r="BI95" s="29" t="str">
        <f t="shared" si="98"/>
        <v>#DIV/0!</v>
      </c>
      <c r="BJ95" s="29" t="str">
        <f t="shared" si="98"/>
        <v>#DIV/0!</v>
      </c>
      <c r="BK95" s="29" t="str">
        <f t="shared" si="98"/>
        <v>#DIV/0!</v>
      </c>
      <c r="BL95" s="29" t="str">
        <f t="shared" si="98"/>
        <v>#DIV/0!</v>
      </c>
      <c r="BM95" s="29" t="str">
        <f t="shared" si="3"/>
        <v>#DIV/0!</v>
      </c>
    </row>
    <row r="96">
      <c r="A96" s="16" t="str">
        <f>IFERROR(__xludf.DUMMYFUNCTION("IFERROR(SPARKLINE(SORT(MAP(TRANSPOSE(AQ96:BL96), LAMBDA(val, IF(ISNUMBER(val), PERCENTRANK(AQ96:BL96, val)+0.01, 0))), SEQUENCE(COLUMNS(AQ96:BL96)), FALSE), {""charttype"",""column""; ""color"",""chartreuse""; ""ymin"", 0; ""ymax"", 1.01; ""highcolor"", "&amp;"""darkgreen""; ""lowcolor"", ""red""}), """")"),"")</f>
        <v/>
      </c>
      <c r="B96" s="17" t="str">
        <f t="shared" si="4"/>
        <v/>
      </c>
      <c r="C96" s="1" t="s">
        <v>2431</v>
      </c>
      <c r="D96" s="30" t="str">
        <f>IFERROR(__xludf.DUMMYFUNCTION("IFERROR(GOOGLEFINANCE(C96, ""NAME""))"),"Hormel Foods Corp")</f>
        <v>Hormel Foods Corp</v>
      </c>
      <c r="E96" s="30" t="s">
        <v>2094</v>
      </c>
      <c r="F96" s="33" t="str">
        <f>IFERROR(__xludf.DUMMYFUNCTION("( (GOOGLEFINANCE(C96, ""price"") - Q96) / Q96 ) / (R96 / 100)"),"Loading...")</f>
        <v>Loading...</v>
      </c>
      <c r="G96" s="20" t="str">
        <f>IFERROR(__xludf.DUMMYFUNCTION("AVERAGE(ARRAYFORMULA(100 * (QUERY(GOOGLEFINANCE(C96, ""high"", TODAY()-40, TODAY()), ""SELECT Col2 WHERE Col2 IS NOT NULL ORDER BY Col1 DESC LIMIT 20"", 0) / QUERY(GOOGLEFINANCE(C96, ""low"", TODAY()-40, TODAY()), ""SELECT Col2 WHERE Col2 IS NOT NULL ORDE"&amp;"R BY Col1 DESC LIMIT 20"", 0) - 1)))"),"#N/A")</f>
        <v>#N/A</v>
      </c>
      <c r="H96" s="35" t="str">
        <f t="shared" si="6"/>
        <v>Liquid</v>
      </c>
      <c r="I96" s="36" t="str">
        <f t="shared" si="7"/>
        <v>RVol Required</v>
      </c>
      <c r="J96" s="37">
        <f>IFERROR(__xludf.DUMMYFUNCTION("IFERROR(
  IF(C96="""",, 
    IFERROR(
      GOOGLEFINANCE(C96, ""price"") * GOOGLEFINANCE(C96, ""volumeavg""), 
      GOOGLEFINANCE(C96, ""price"") * AVERAGE(QUERY(GOOGLEFINANCE(C96, ""volume"", TODAY()-40, TODAY()), ""SELECT Col2 WHERE Col2 IS NOT NULL "&amp;"ORDER BY Col1 DESC LIMIT 20"", 0))
    )
  ), 
"""")"),1.0820655719999999E8)</f>
        <v>108206557.2</v>
      </c>
      <c r="K96" s="21">
        <f>IFERROR(__xludf.DUMMYFUNCTION("IFERROR(GOOGLEFINANCE(C96, ""changepct"") / 100, """")"),0.0104)</f>
        <v>0.0104</v>
      </c>
      <c r="L96" s="21" t="str">
        <f>IFERROR(__xludf.DUMMYFUNCTION("IFERROR((GOOGLEFINANCE(C96, ""price"") / INDEX(GOOGLEFINANCE(C96, ""price"", TODAY()-7, TODAY()), 2, 2)) - 1, """")"),"")</f>
        <v/>
      </c>
      <c r="M96" s="21" t="str">
        <f>IFERROR(__xludf.DUMMYFUNCTION("IFERROR((GOOGLEFINANCE(C96, ""price"") / INDEX(GOOGLEFINANCE(C96, ""price"", EDATE(TODAY(), -1), TODAY()), 2, 2)) - 1, """")"),"")</f>
        <v/>
      </c>
      <c r="N96" s="21" t="str">
        <f>IFERROR(__xludf.DUMMYFUNCTION("IFERROR((GOOGLEFINANCE(C96, ""price"") / INDEX(GOOGLEFINANCE(C96, ""price"", EDATE(TODAY(), -3), TODAY()), 2, 2)) - 1, """")"),"")</f>
        <v/>
      </c>
      <c r="O96" s="21" t="str">
        <f>IFERROR(__xludf.DUMMYFUNCTION("IFERROR((GOOGLEFINANCE(C96, ""price"") / INDEX(GOOGLEFINANCE(C96, ""price"", EDATE(TODAY(), -6), TODAY()), 2, 2)) - 1, """")"),"")</f>
        <v/>
      </c>
      <c r="P96" s="21" t="str">
        <f>IFERROR(__xludf.DUMMYFUNCTION("IFERROR((GOOGLEFINANCE(C96, ""price"") / INDEX(GOOGLEFINANCE(C96, ""price"", EDATE(TODAY(), -12), TODAY()), 2, 2)) - 1, """")"),"")</f>
        <v/>
      </c>
      <c r="Q96" s="6" t="str">
        <f>IFERROR(__xludf.DUMMYFUNCTION("AVERAGE(QUERY(GOOGLEFINANCE(C96, ""price"", TODAY()-80, TODAY()), ""SELECT Col2 WHERE Col2 IS NOT NULL ORDER BY Col1 DESC LIMIT 50"", 0))"),"#N/A")</f>
        <v>#N/A</v>
      </c>
      <c r="R96" s="24" t="str">
        <f>IFERROR(__xludf.DUMMYFUNCTION("IFERROR(
  LET(
    data, QUERY(GOOGLEFINANCE(C96,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GOOGLEFINANCE(C96, ""price"")) * 100,
    IF(calc=0, G96, calc)
  ), 
G96)"),"#N/A")</f>
        <v>#N/A</v>
      </c>
      <c r="S96" s="8" t="s">
        <v>15</v>
      </c>
      <c r="T96" s="26" t="str">
        <f>IFERROR(__xludf.DUMMYFUNCTION("IFERROR(TRANSPOSE(QUERY(IFERROR(SORT(GOOGLEFINANCE(C96, ""price"", WORKDAY(TODAY(), -40), TODAY()), 1, FALSE)), ""select Col2 where Col2 is not null limit 22 label Col2 ''"", 0)), """")"),"")</f>
        <v/>
      </c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8"/>
      <c r="AO96" s="28"/>
      <c r="AP96" s="29"/>
      <c r="AQ96" s="29" t="str">
        <f t="shared" ref="AQ96:BL96" si="99">T96/T$2</f>
        <v>#N/A</v>
      </c>
      <c r="AR96" s="29" t="str">
        <f t="shared" si="99"/>
        <v>#DIV/0!</v>
      </c>
      <c r="AS96" s="29" t="str">
        <f t="shared" si="99"/>
        <v>#DIV/0!</v>
      </c>
      <c r="AT96" s="29" t="str">
        <f t="shared" si="99"/>
        <v>#DIV/0!</v>
      </c>
      <c r="AU96" s="29" t="str">
        <f t="shared" si="99"/>
        <v>#DIV/0!</v>
      </c>
      <c r="AV96" s="29" t="str">
        <f t="shared" si="99"/>
        <v>#DIV/0!</v>
      </c>
      <c r="AW96" s="29" t="str">
        <f t="shared" si="99"/>
        <v>#DIV/0!</v>
      </c>
      <c r="AX96" s="29" t="str">
        <f t="shared" si="99"/>
        <v>#DIV/0!</v>
      </c>
      <c r="AY96" s="29" t="str">
        <f t="shared" si="99"/>
        <v>#DIV/0!</v>
      </c>
      <c r="AZ96" s="29" t="str">
        <f t="shared" si="99"/>
        <v>#DIV/0!</v>
      </c>
      <c r="BA96" s="29" t="str">
        <f t="shared" si="99"/>
        <v>#DIV/0!</v>
      </c>
      <c r="BB96" s="29" t="str">
        <f t="shared" si="99"/>
        <v>#DIV/0!</v>
      </c>
      <c r="BC96" s="29" t="str">
        <f t="shared" si="99"/>
        <v>#DIV/0!</v>
      </c>
      <c r="BD96" s="29" t="str">
        <f t="shared" si="99"/>
        <v>#DIV/0!</v>
      </c>
      <c r="BE96" s="29" t="str">
        <f t="shared" si="99"/>
        <v>#DIV/0!</v>
      </c>
      <c r="BF96" s="29" t="str">
        <f t="shared" si="99"/>
        <v>#DIV/0!</v>
      </c>
      <c r="BG96" s="29" t="str">
        <f t="shared" si="99"/>
        <v>#DIV/0!</v>
      </c>
      <c r="BH96" s="29" t="str">
        <f t="shared" si="99"/>
        <v>#DIV/0!</v>
      </c>
      <c r="BI96" s="29" t="str">
        <f t="shared" si="99"/>
        <v>#DIV/0!</v>
      </c>
      <c r="BJ96" s="29" t="str">
        <f t="shared" si="99"/>
        <v>#DIV/0!</v>
      </c>
      <c r="BK96" s="29" t="str">
        <f t="shared" si="99"/>
        <v>#DIV/0!</v>
      </c>
      <c r="BL96" s="29" t="str">
        <f t="shared" si="99"/>
        <v>#DIV/0!</v>
      </c>
      <c r="BM96" s="29" t="str">
        <f t="shared" si="3"/>
        <v>#DIV/0!</v>
      </c>
    </row>
    <row r="97">
      <c r="A97" s="16" t="str">
        <f>IFERROR(__xludf.DUMMYFUNCTION("IFERROR(SPARKLINE(SORT(MAP(TRANSPOSE(AQ97:BL97), LAMBDA(val, IF(ISNUMBER(val), PERCENTRANK(AQ97:BL97, val)+0.01, 0))), SEQUENCE(COLUMNS(AQ97:BL97)), FALSE), {""charttype"",""column""; ""color"",""chartreuse""; ""ymin"", 0; ""ymax"", 1.01; ""highcolor"", "&amp;"""darkgreen""; ""lowcolor"", ""red""}), """")"),"")</f>
        <v/>
      </c>
      <c r="B97" s="17" t="str">
        <f t="shared" si="4"/>
        <v/>
      </c>
      <c r="C97" s="1" t="s">
        <v>2435</v>
      </c>
      <c r="D97" s="30" t="str">
        <f>IFERROR(__xludf.DUMMYFUNCTION("IFERROR(GOOGLEFINANCE(C97, ""NAME""))"),"Herbalife Ltd")</f>
        <v>Herbalife Ltd</v>
      </c>
      <c r="E97" s="30" t="s">
        <v>2094</v>
      </c>
      <c r="F97" s="33" t="str">
        <f>IFERROR(__xludf.DUMMYFUNCTION("( (GOOGLEFINANCE(C97, ""price"") - Q97) / Q97 ) / (R97 / 100)"),"Loading...")</f>
        <v>Loading...</v>
      </c>
      <c r="G97" s="20" t="str">
        <f>IFERROR(__xludf.DUMMYFUNCTION("AVERAGE(ARRAYFORMULA(100 * (QUERY(GOOGLEFINANCE(C97, ""high"", TODAY()-40, TODAY()), ""SELECT Col2 WHERE Col2 IS NOT NULL ORDER BY Col1 DESC LIMIT 20"", 0) / QUERY(GOOGLEFINANCE(C97, ""low"", TODAY()-40, TODAY()), ""SELECT Col2 WHERE Col2 IS NOT NULL ORDE"&amp;"R BY Col1 DESC LIMIT 20"", 0) - 1)))"),"#N/A")</f>
        <v>#N/A</v>
      </c>
      <c r="H97" s="35" t="str">
        <f t="shared" si="6"/>
        <v>Illiquid</v>
      </c>
      <c r="I97" s="36" t="str">
        <f t="shared" si="7"/>
        <v>RVol Required</v>
      </c>
      <c r="J97" s="37">
        <f>IFERROR(__xludf.DUMMYFUNCTION("IFERROR(
  IF(C97="""",, 
    IFERROR(
      GOOGLEFINANCE(C97, ""price"") * GOOGLEFINANCE(C97, ""volumeavg""), 
      GOOGLEFINANCE(C97, ""price"") * AVERAGE(QUERY(GOOGLEFINANCE(C97, ""volume"", TODAY()-40, TODAY()), ""SELECT Col2 WHERE Col2 IS NOT NULL "&amp;"ORDER BY Col1 DESC LIMIT 20"", 0))
    )
  ), 
"""")"),2.10667488E7)</f>
        <v>21066748.8</v>
      </c>
      <c r="K97" s="21">
        <f>IFERROR(__xludf.DUMMYFUNCTION("IFERROR(GOOGLEFINANCE(C97, ""changepct"") / 100, """")"),0.0021)</f>
        <v>0.0021</v>
      </c>
      <c r="L97" s="21" t="str">
        <f>IFERROR(__xludf.DUMMYFUNCTION("IFERROR((GOOGLEFINANCE(C97, ""price"") / INDEX(GOOGLEFINANCE(C97, ""price"", TODAY()-7, TODAY()), 2, 2)) - 1, """")"),"")</f>
        <v/>
      </c>
      <c r="M97" s="21" t="str">
        <f>IFERROR(__xludf.DUMMYFUNCTION("IFERROR((GOOGLEFINANCE(C97, ""price"") / INDEX(GOOGLEFINANCE(C97, ""price"", EDATE(TODAY(), -1), TODAY()), 2, 2)) - 1, """")"),"")</f>
        <v/>
      </c>
      <c r="N97" s="21" t="str">
        <f>IFERROR(__xludf.DUMMYFUNCTION("IFERROR((GOOGLEFINANCE(C97, ""price"") / INDEX(GOOGLEFINANCE(C97, ""price"", EDATE(TODAY(), -3), TODAY()), 2, 2)) - 1, """")"),"")</f>
        <v/>
      </c>
      <c r="O97" s="21" t="str">
        <f>IFERROR(__xludf.DUMMYFUNCTION("IFERROR((GOOGLEFINANCE(C97, ""price"") / INDEX(GOOGLEFINANCE(C97, ""price"", EDATE(TODAY(), -6), TODAY()), 2, 2)) - 1, """")"),"")</f>
        <v/>
      </c>
      <c r="P97" s="21" t="str">
        <f>IFERROR(__xludf.DUMMYFUNCTION("IFERROR((GOOGLEFINANCE(C97, ""price"") / INDEX(GOOGLEFINANCE(C97, ""price"", EDATE(TODAY(), -12), TODAY()), 2, 2)) - 1, """")"),"")</f>
        <v/>
      </c>
      <c r="Q97" s="6" t="str">
        <f>IFERROR(__xludf.DUMMYFUNCTION("AVERAGE(QUERY(GOOGLEFINANCE(C97, ""price"", TODAY()-80, TODAY()), ""SELECT Col2 WHERE Col2 IS NOT NULL ORDER BY Col1 DESC LIMIT 50"", 0))"),"#N/A")</f>
        <v>#N/A</v>
      </c>
      <c r="R97" s="24" t="str">
        <f>IFERROR(__xludf.DUMMYFUNCTION("IFERROR(
  LET(
    data, QUERY(GOOGLEFINANCE(C97,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GOOGLEFINANCE(C97, ""price"")) * 100,
    IF(calc=0, G97, calc)
  ), 
G97)"),"#N/A")</f>
        <v>#N/A</v>
      </c>
      <c r="S97" s="8" t="s">
        <v>15</v>
      </c>
      <c r="T97" s="26" t="str">
        <f>IFERROR(__xludf.DUMMYFUNCTION("IFERROR(TRANSPOSE(QUERY(IFERROR(SORT(GOOGLEFINANCE(C97, ""price"", WORKDAY(TODAY(), -40), TODAY()), 1, FALSE)), ""select Col2 where Col2 is not null limit 22 label Col2 ''"", 0)), """")"),"")</f>
        <v/>
      </c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8"/>
      <c r="AO97" s="28"/>
      <c r="AP97" s="29"/>
      <c r="AQ97" s="29" t="str">
        <f t="shared" ref="AQ97:BL97" si="100">T97/T$2</f>
        <v>#N/A</v>
      </c>
      <c r="AR97" s="29" t="str">
        <f t="shared" si="100"/>
        <v>#DIV/0!</v>
      </c>
      <c r="AS97" s="29" t="str">
        <f t="shared" si="100"/>
        <v>#DIV/0!</v>
      </c>
      <c r="AT97" s="29" t="str">
        <f t="shared" si="100"/>
        <v>#DIV/0!</v>
      </c>
      <c r="AU97" s="29" t="str">
        <f t="shared" si="100"/>
        <v>#DIV/0!</v>
      </c>
      <c r="AV97" s="29" t="str">
        <f t="shared" si="100"/>
        <v>#DIV/0!</v>
      </c>
      <c r="AW97" s="29" t="str">
        <f t="shared" si="100"/>
        <v>#DIV/0!</v>
      </c>
      <c r="AX97" s="29" t="str">
        <f t="shared" si="100"/>
        <v>#DIV/0!</v>
      </c>
      <c r="AY97" s="29" t="str">
        <f t="shared" si="100"/>
        <v>#DIV/0!</v>
      </c>
      <c r="AZ97" s="29" t="str">
        <f t="shared" si="100"/>
        <v>#DIV/0!</v>
      </c>
      <c r="BA97" s="29" t="str">
        <f t="shared" si="100"/>
        <v>#DIV/0!</v>
      </c>
      <c r="BB97" s="29" t="str">
        <f t="shared" si="100"/>
        <v>#DIV/0!</v>
      </c>
      <c r="BC97" s="29" t="str">
        <f t="shared" si="100"/>
        <v>#DIV/0!</v>
      </c>
      <c r="BD97" s="29" t="str">
        <f t="shared" si="100"/>
        <v>#DIV/0!</v>
      </c>
      <c r="BE97" s="29" t="str">
        <f t="shared" si="100"/>
        <v>#DIV/0!</v>
      </c>
      <c r="BF97" s="29" t="str">
        <f t="shared" si="100"/>
        <v>#DIV/0!</v>
      </c>
      <c r="BG97" s="29" t="str">
        <f t="shared" si="100"/>
        <v>#DIV/0!</v>
      </c>
      <c r="BH97" s="29" t="str">
        <f t="shared" si="100"/>
        <v>#DIV/0!</v>
      </c>
      <c r="BI97" s="29" t="str">
        <f t="shared" si="100"/>
        <v>#DIV/0!</v>
      </c>
      <c r="BJ97" s="29" t="str">
        <f t="shared" si="100"/>
        <v>#DIV/0!</v>
      </c>
      <c r="BK97" s="29" t="str">
        <f t="shared" si="100"/>
        <v>#DIV/0!</v>
      </c>
      <c r="BL97" s="29" t="str">
        <f t="shared" si="100"/>
        <v>#DIV/0!</v>
      </c>
      <c r="BM97" s="29" t="str">
        <f t="shared" si="3"/>
        <v>#DIV/0!</v>
      </c>
    </row>
    <row r="98">
      <c r="A98" s="16" t="str">
        <f>IFERROR(__xludf.DUMMYFUNCTION("IFERROR(SPARKLINE(SORT(MAP(TRANSPOSE(AQ98:BL98), LAMBDA(val, IF(ISNUMBER(val), PERCENTRANK(AQ98:BL98, val)+0.01, 0))), SEQUENCE(COLUMNS(AQ98:BL98)), FALSE), {""charttype"",""column""; ""color"",""chartreuse""; ""ymin"", 0; ""ymax"", 1.01; ""highcolor"", "&amp;"""darkgreen""; ""lowcolor"", ""red""}), """")"),"")</f>
        <v/>
      </c>
      <c r="B98" s="17" t="str">
        <f t="shared" si="4"/>
        <v/>
      </c>
      <c r="C98" s="1" t="s">
        <v>2439</v>
      </c>
      <c r="D98" s="30" t="str">
        <f>IFERROR(__xludf.DUMMYFUNCTION("IFERROR(GOOGLEFINANCE(C98, ""NAME""))"),"General Mills Inc")</f>
        <v>General Mills Inc</v>
      </c>
      <c r="E98" s="30" t="s">
        <v>2094</v>
      </c>
      <c r="F98" s="33" t="str">
        <f>IFERROR(__xludf.DUMMYFUNCTION("( (GOOGLEFINANCE(C98, ""price"") - Q98) / Q98 ) / (R98 / 100)"),"Loading...")</f>
        <v>Loading...</v>
      </c>
      <c r="G98" s="20" t="str">
        <f>IFERROR(__xludf.DUMMYFUNCTION("AVERAGE(ARRAYFORMULA(100 * (QUERY(GOOGLEFINANCE(C98, ""high"", TODAY()-40, TODAY()), ""SELECT Col2 WHERE Col2 IS NOT NULL ORDER BY Col1 DESC LIMIT 20"", 0) / QUERY(GOOGLEFINANCE(C98, ""low"", TODAY()-40, TODAY()), ""SELECT Col2 WHERE Col2 IS NOT NULL ORDE"&amp;"R BY Col1 DESC LIMIT 20"", 0) - 1)))"),"#N/A")</f>
        <v>#N/A</v>
      </c>
      <c r="H98" s="35" t="str">
        <f t="shared" si="6"/>
        <v>Liquid</v>
      </c>
      <c r="I98" s="36" t="str">
        <f t="shared" si="7"/>
        <v>RVol Required</v>
      </c>
      <c r="J98" s="37">
        <f>IFERROR(__xludf.DUMMYFUNCTION("IFERROR(
  IF(C98="""",, 
    IFERROR(
      GOOGLEFINANCE(C98, ""price"") * GOOGLEFINANCE(C98, ""volumeavg""), 
      GOOGLEFINANCE(C98, ""price"") * AVERAGE(QUERY(GOOGLEFINANCE(C98, ""volume"", TODAY()-40, TODAY()), ""SELECT Col2 WHERE Col2 IS NOT NULL "&amp;"ORDER BY Col1 DESC LIMIT 20"", 0))
    )
  ), 
"""")"),3.6211563759000003E8)</f>
        <v>362115637.6</v>
      </c>
      <c r="K98" s="21">
        <f>IFERROR(__xludf.DUMMYFUNCTION("IFERROR(GOOGLEFINANCE(C98, ""changepct"") / 100, """")"),0.0076)</f>
        <v>0.0076</v>
      </c>
      <c r="L98" s="21" t="str">
        <f>IFERROR(__xludf.DUMMYFUNCTION("IFERROR((GOOGLEFINANCE(C98, ""price"") / INDEX(GOOGLEFINANCE(C98, ""price"", TODAY()-7, TODAY()), 2, 2)) - 1, """")"),"")</f>
        <v/>
      </c>
      <c r="M98" s="21" t="str">
        <f>IFERROR(__xludf.DUMMYFUNCTION("IFERROR((GOOGLEFINANCE(C98, ""price"") / INDEX(GOOGLEFINANCE(C98, ""price"", EDATE(TODAY(), -1), TODAY()), 2, 2)) - 1, """")"),"")</f>
        <v/>
      </c>
      <c r="N98" s="21" t="str">
        <f>IFERROR(__xludf.DUMMYFUNCTION("IFERROR((GOOGLEFINANCE(C98, ""price"") / INDEX(GOOGLEFINANCE(C98, ""price"", EDATE(TODAY(), -3), TODAY()), 2, 2)) - 1, """")"),"")</f>
        <v/>
      </c>
      <c r="O98" s="21" t="str">
        <f>IFERROR(__xludf.DUMMYFUNCTION("IFERROR((GOOGLEFINANCE(C98, ""price"") / INDEX(GOOGLEFINANCE(C98, ""price"", EDATE(TODAY(), -6), TODAY()), 2, 2)) - 1, """")"),"")</f>
        <v/>
      </c>
      <c r="P98" s="21" t="str">
        <f>IFERROR(__xludf.DUMMYFUNCTION("IFERROR((GOOGLEFINANCE(C98, ""price"") / INDEX(GOOGLEFINANCE(C98, ""price"", EDATE(TODAY(), -12), TODAY()), 2, 2)) - 1, """")"),"")</f>
        <v/>
      </c>
      <c r="Q98" s="6" t="str">
        <f>IFERROR(__xludf.DUMMYFUNCTION("AVERAGE(QUERY(GOOGLEFINANCE(C98, ""price"", TODAY()-80, TODAY()), ""SELECT Col2 WHERE Col2 IS NOT NULL ORDER BY Col1 DESC LIMIT 50"", 0))"),"#N/A")</f>
        <v>#N/A</v>
      </c>
      <c r="R98" s="24" t="str">
        <f>IFERROR(__xludf.DUMMYFUNCTION("IFERROR(
  LET(
    data, QUERY(GOOGLEFINANCE(C98,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GOOGLEFINANCE(C98, ""price"")) * 100,
    IF(calc=0, G98, calc)
  ), 
G98)"),"#N/A")</f>
        <v>#N/A</v>
      </c>
      <c r="S98" s="8" t="s">
        <v>15</v>
      </c>
      <c r="T98" s="26" t="str">
        <f>IFERROR(__xludf.DUMMYFUNCTION("IFERROR(TRANSPOSE(QUERY(IFERROR(SORT(GOOGLEFINANCE(C98, ""price"", WORKDAY(TODAY(), -40), TODAY()), 1, FALSE)), ""select Col2 where Col2 is not null limit 22 label Col2 ''"", 0)), """")"),"")</f>
        <v/>
      </c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8"/>
      <c r="AO98" s="28"/>
      <c r="AP98" s="29"/>
      <c r="AQ98" s="29" t="str">
        <f t="shared" ref="AQ98:BL98" si="101">T98/T$2</f>
        <v>#N/A</v>
      </c>
      <c r="AR98" s="29" t="str">
        <f t="shared" si="101"/>
        <v>#DIV/0!</v>
      </c>
      <c r="AS98" s="29" t="str">
        <f t="shared" si="101"/>
        <v>#DIV/0!</v>
      </c>
      <c r="AT98" s="29" t="str">
        <f t="shared" si="101"/>
        <v>#DIV/0!</v>
      </c>
      <c r="AU98" s="29" t="str">
        <f t="shared" si="101"/>
        <v>#DIV/0!</v>
      </c>
      <c r="AV98" s="29" t="str">
        <f t="shared" si="101"/>
        <v>#DIV/0!</v>
      </c>
      <c r="AW98" s="29" t="str">
        <f t="shared" si="101"/>
        <v>#DIV/0!</v>
      </c>
      <c r="AX98" s="29" t="str">
        <f t="shared" si="101"/>
        <v>#DIV/0!</v>
      </c>
      <c r="AY98" s="29" t="str">
        <f t="shared" si="101"/>
        <v>#DIV/0!</v>
      </c>
      <c r="AZ98" s="29" t="str">
        <f t="shared" si="101"/>
        <v>#DIV/0!</v>
      </c>
      <c r="BA98" s="29" t="str">
        <f t="shared" si="101"/>
        <v>#DIV/0!</v>
      </c>
      <c r="BB98" s="29" t="str">
        <f t="shared" si="101"/>
        <v>#DIV/0!</v>
      </c>
      <c r="BC98" s="29" t="str">
        <f t="shared" si="101"/>
        <v>#DIV/0!</v>
      </c>
      <c r="BD98" s="29" t="str">
        <f t="shared" si="101"/>
        <v>#DIV/0!</v>
      </c>
      <c r="BE98" s="29" t="str">
        <f t="shared" si="101"/>
        <v>#DIV/0!</v>
      </c>
      <c r="BF98" s="29" t="str">
        <f t="shared" si="101"/>
        <v>#DIV/0!</v>
      </c>
      <c r="BG98" s="29" t="str">
        <f t="shared" si="101"/>
        <v>#DIV/0!</v>
      </c>
      <c r="BH98" s="29" t="str">
        <f t="shared" si="101"/>
        <v>#DIV/0!</v>
      </c>
      <c r="BI98" s="29" t="str">
        <f t="shared" si="101"/>
        <v>#DIV/0!</v>
      </c>
      <c r="BJ98" s="29" t="str">
        <f t="shared" si="101"/>
        <v>#DIV/0!</v>
      </c>
      <c r="BK98" s="29" t="str">
        <f t="shared" si="101"/>
        <v>#DIV/0!</v>
      </c>
      <c r="BL98" s="29" t="str">
        <f t="shared" si="101"/>
        <v>#DIV/0!</v>
      </c>
      <c r="BM98" s="29" t="str">
        <f t="shared" si="3"/>
        <v>#DIV/0!</v>
      </c>
    </row>
    <row r="99">
      <c r="A99" s="16" t="str">
        <f>IFERROR(__xludf.DUMMYFUNCTION("IFERROR(SPARKLINE(SORT(MAP(TRANSPOSE(AQ99:BL99), LAMBDA(val, IF(ISNUMBER(val), PERCENTRANK(AQ99:BL99, val)+0.01, 0))), SEQUENCE(COLUMNS(AQ99:BL99)), FALSE), {""charttype"",""column""; ""color"",""chartreuse""; ""ymin"", 0; ""ymax"", 1.01; ""highcolor"", "&amp;"""darkgreen""; ""lowcolor"", ""red""}), """")"),"")</f>
        <v/>
      </c>
      <c r="B99" s="17" t="str">
        <f t="shared" si="4"/>
        <v/>
      </c>
      <c r="C99" s="1" t="s">
        <v>2443</v>
      </c>
      <c r="D99" s="30" t="str">
        <f>IFERROR(__xludf.DUMMYFUNCTION("IFERROR(GOOGLEFINANCE(C99, ""NAME""))"),"Graham Holdings Co")</f>
        <v>Graham Holdings Co</v>
      </c>
      <c r="E99" s="30" t="s">
        <v>2069</v>
      </c>
      <c r="F99" s="33" t="str">
        <f>IFERROR(__xludf.DUMMYFUNCTION("( (GOOGLEFINANCE(C99, ""price"") - Q99) / Q99 ) / (R99 / 100)"),"Loading...")</f>
        <v>Loading...</v>
      </c>
      <c r="G99" s="20" t="str">
        <f>IFERROR(__xludf.DUMMYFUNCTION("AVERAGE(ARRAYFORMULA(100 * (QUERY(GOOGLEFINANCE(C99, ""high"", TODAY()-40, TODAY()), ""SELECT Col2 WHERE Col2 IS NOT NULL ORDER BY Col1 DESC LIMIT 20"", 0) / QUERY(GOOGLEFINANCE(C99, ""low"", TODAY()-40, TODAY()), ""SELECT Col2 WHERE Col2 IS NOT NULL ORDE"&amp;"R BY Col1 DESC LIMIT 20"", 0) - 1)))"),"#N/A")</f>
        <v>#N/A</v>
      </c>
      <c r="H99" s="35" t="str">
        <f t="shared" si="6"/>
        <v>Illiquid</v>
      </c>
      <c r="I99" s="36" t="str">
        <f t="shared" si="7"/>
        <v>RVol Required</v>
      </c>
      <c r="J99" s="37">
        <f>IFERROR(__xludf.DUMMYFUNCTION("IFERROR(
  IF(C99="""",, 
    IFERROR(
      GOOGLEFINANCE(C99, ""price"") * GOOGLEFINANCE(C99, ""volumeavg""), 
      GOOGLEFINANCE(C99, ""price"") * AVERAGE(QUERY(GOOGLEFINANCE(C99, ""volume"", TODAY()-40, TODAY()), ""SELECT Col2 WHERE Col2 IS NOT NULL "&amp;"ORDER BY Col1 DESC LIMIT 20"", 0))
    )
  ), 
"""")"),4.016000576E7)</f>
        <v>40160005.76</v>
      </c>
      <c r="K99" s="21">
        <f>IFERROR(__xludf.DUMMYFUNCTION("IFERROR(GOOGLEFINANCE(C99, ""changepct"") / 100, """")"),0.0038)</f>
        <v>0.0038</v>
      </c>
      <c r="L99" s="21" t="str">
        <f>IFERROR(__xludf.DUMMYFUNCTION("IFERROR((GOOGLEFINANCE(C99, ""price"") / INDEX(GOOGLEFINANCE(C99, ""price"", TODAY()-7, TODAY()), 2, 2)) - 1, """")"),"")</f>
        <v/>
      </c>
      <c r="M99" s="21" t="str">
        <f>IFERROR(__xludf.DUMMYFUNCTION("IFERROR((GOOGLEFINANCE(C99, ""price"") / INDEX(GOOGLEFINANCE(C99, ""price"", EDATE(TODAY(), -1), TODAY()), 2, 2)) - 1, """")"),"")</f>
        <v/>
      </c>
      <c r="N99" s="21" t="str">
        <f>IFERROR(__xludf.DUMMYFUNCTION("IFERROR((GOOGLEFINANCE(C99, ""price"") / INDEX(GOOGLEFINANCE(C99, ""price"", EDATE(TODAY(), -3), TODAY()), 2, 2)) - 1, """")"),"")</f>
        <v/>
      </c>
      <c r="O99" s="21" t="str">
        <f>IFERROR(__xludf.DUMMYFUNCTION("IFERROR((GOOGLEFINANCE(C99, ""price"") / INDEX(GOOGLEFINANCE(C99, ""price"", EDATE(TODAY(), -6), TODAY()), 2, 2)) - 1, """")"),"")</f>
        <v/>
      </c>
      <c r="P99" s="21" t="str">
        <f>IFERROR(__xludf.DUMMYFUNCTION("IFERROR((GOOGLEFINANCE(C99, ""price"") / INDEX(GOOGLEFINANCE(C99, ""price"", EDATE(TODAY(), -12), TODAY()), 2, 2)) - 1, """")"),"")</f>
        <v/>
      </c>
      <c r="Q99" s="6" t="str">
        <f>IFERROR(__xludf.DUMMYFUNCTION("AVERAGE(QUERY(GOOGLEFINANCE(C99, ""price"", TODAY()-80, TODAY()), ""SELECT Col2 WHERE Col2 IS NOT NULL ORDER BY Col1 DESC LIMIT 50"", 0))"),"#N/A")</f>
        <v>#N/A</v>
      </c>
      <c r="R99" s="24" t="str">
        <f>IFERROR(__xludf.DUMMYFUNCTION("IFERROR(
  LET(
    data, QUERY(GOOGLEFINANCE(C99,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GOOGLEFINANCE(C99, ""price"")) * 100,
    IF(calc=0, G99, calc)
  ), 
G99)"),"#N/A")</f>
        <v>#N/A</v>
      </c>
      <c r="S99" s="8" t="s">
        <v>15</v>
      </c>
      <c r="T99" s="26" t="str">
        <f>IFERROR(__xludf.DUMMYFUNCTION("IFERROR(TRANSPOSE(QUERY(IFERROR(SORT(GOOGLEFINANCE(C99, ""price"", WORKDAY(TODAY(), -40), TODAY()), 1, FALSE)), ""select Col2 where Col2 is not null limit 22 label Col2 ''"", 0)), """")"),"")</f>
        <v/>
      </c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8"/>
      <c r="AO99" s="28"/>
      <c r="AP99" s="29"/>
      <c r="AQ99" s="29" t="str">
        <f t="shared" ref="AQ99:BL99" si="102">T99/T$2</f>
        <v>#N/A</v>
      </c>
      <c r="AR99" s="29" t="str">
        <f t="shared" si="102"/>
        <v>#DIV/0!</v>
      </c>
      <c r="AS99" s="29" t="str">
        <f t="shared" si="102"/>
        <v>#DIV/0!</v>
      </c>
      <c r="AT99" s="29" t="str">
        <f t="shared" si="102"/>
        <v>#DIV/0!</v>
      </c>
      <c r="AU99" s="29" t="str">
        <f t="shared" si="102"/>
        <v>#DIV/0!</v>
      </c>
      <c r="AV99" s="29" t="str">
        <f t="shared" si="102"/>
        <v>#DIV/0!</v>
      </c>
      <c r="AW99" s="29" t="str">
        <f t="shared" si="102"/>
        <v>#DIV/0!</v>
      </c>
      <c r="AX99" s="29" t="str">
        <f t="shared" si="102"/>
        <v>#DIV/0!</v>
      </c>
      <c r="AY99" s="29" t="str">
        <f t="shared" si="102"/>
        <v>#DIV/0!</v>
      </c>
      <c r="AZ99" s="29" t="str">
        <f t="shared" si="102"/>
        <v>#DIV/0!</v>
      </c>
      <c r="BA99" s="29" t="str">
        <f t="shared" si="102"/>
        <v>#DIV/0!</v>
      </c>
      <c r="BB99" s="29" t="str">
        <f t="shared" si="102"/>
        <v>#DIV/0!</v>
      </c>
      <c r="BC99" s="29" t="str">
        <f t="shared" si="102"/>
        <v>#DIV/0!</v>
      </c>
      <c r="BD99" s="29" t="str">
        <f t="shared" si="102"/>
        <v>#DIV/0!</v>
      </c>
      <c r="BE99" s="29" t="str">
        <f t="shared" si="102"/>
        <v>#DIV/0!</v>
      </c>
      <c r="BF99" s="29" t="str">
        <f t="shared" si="102"/>
        <v>#DIV/0!</v>
      </c>
      <c r="BG99" s="29" t="str">
        <f t="shared" si="102"/>
        <v>#DIV/0!</v>
      </c>
      <c r="BH99" s="29" t="str">
        <f t="shared" si="102"/>
        <v>#DIV/0!</v>
      </c>
      <c r="BI99" s="29" t="str">
        <f t="shared" si="102"/>
        <v>#DIV/0!</v>
      </c>
      <c r="BJ99" s="29" t="str">
        <f t="shared" si="102"/>
        <v>#DIV/0!</v>
      </c>
      <c r="BK99" s="29" t="str">
        <f t="shared" si="102"/>
        <v>#DIV/0!</v>
      </c>
      <c r="BL99" s="29" t="str">
        <f t="shared" si="102"/>
        <v>#DIV/0!</v>
      </c>
      <c r="BM99" s="29" t="str">
        <f t="shared" si="3"/>
        <v>#DIV/0!</v>
      </c>
    </row>
    <row r="100">
      <c r="A100" s="16" t="str">
        <f>IFERROR(__xludf.DUMMYFUNCTION("IFERROR(SPARKLINE(SORT(MAP(TRANSPOSE(AQ100:BL100), LAMBDA(val, IF(ISNUMBER(val), PERCENTRANK(AQ100:BL100, val)+0.01, 0))), SEQUENCE(COLUMNS(AQ100:BL100)), FALSE), {""charttype"",""column""; ""color"",""chartreuse""; ""ymin"", 0; ""ymax"", 1.01; ""highcolo"&amp;"r"", ""darkgreen""; ""lowcolor"", ""red""}), """")"),"")</f>
        <v/>
      </c>
      <c r="B100" s="17" t="str">
        <f t="shared" si="4"/>
        <v/>
      </c>
      <c r="C100" s="1" t="s">
        <v>2447</v>
      </c>
      <c r="D100" s="30" t="str">
        <f>IFERROR(__xludf.DUMMYFUNCTION("IFERROR(GOOGLEFINANCE(C100, ""NAME""))"),"Freshpet Inc")</f>
        <v>Freshpet Inc</v>
      </c>
      <c r="E100" s="30" t="s">
        <v>2094</v>
      </c>
      <c r="F100" s="33" t="str">
        <f>IFERROR(__xludf.DUMMYFUNCTION("( (GOOGLEFINANCE(C100, ""price"") - Q100) / Q100 ) / (R100 / 100)"),"Loading...")</f>
        <v>Loading...</v>
      </c>
      <c r="G100" s="20" t="str">
        <f>IFERROR(__xludf.DUMMYFUNCTION("AVERAGE(ARRAYFORMULA(100 * (QUERY(GOOGLEFINANCE(C100, ""high"", TODAY()-40, TODAY()), ""SELECT Col2 WHERE Col2 IS NOT NULL ORDER BY Col1 DESC LIMIT 20"", 0) / QUERY(GOOGLEFINANCE(C100, ""low"", TODAY()-40, TODAY()), ""SELECT Col2 WHERE Col2 IS NOT NULL OR"&amp;"DER BY Col1 DESC LIMIT 20"", 0) - 1)))"),"#N/A")</f>
        <v>#N/A</v>
      </c>
      <c r="H100" s="35" t="str">
        <f t="shared" si="6"/>
        <v>Liquid</v>
      </c>
      <c r="I100" s="36" t="str">
        <f t="shared" si="7"/>
        <v>RVol Required</v>
      </c>
      <c r="J100" s="37">
        <f>IFERROR(__xludf.DUMMYFUNCTION("IFERROR(
  IF(C100="""",, 
    IFERROR(
      GOOGLEFINANCE(C100, ""price"") * GOOGLEFINANCE(C100, ""volumeavg""), 
      GOOGLEFINANCE(C100, ""price"") * AVERAGE(QUERY(GOOGLEFINANCE(C100, ""volume"", TODAY()-40, TODAY()), ""SELECT Col2 WHERE Col2 IS NOT "&amp;"NULL ORDER BY Col1 DESC LIMIT 20"", 0))
    )
  ), 
"""")"),7.223891339999999E7)</f>
        <v>72238913.4</v>
      </c>
      <c r="K100" s="21">
        <f>IFERROR(__xludf.DUMMYFUNCTION("IFERROR(GOOGLEFINANCE(C100, ""changepct"") / 100, """")"),-0.0151)</f>
        <v>-0.0151</v>
      </c>
      <c r="L100" s="21" t="str">
        <f>IFERROR(__xludf.DUMMYFUNCTION("IFERROR((GOOGLEFINANCE(C100, ""price"") / INDEX(GOOGLEFINANCE(C100, ""price"", TODAY()-7, TODAY()), 2, 2)) - 1, """")"),"")</f>
        <v/>
      </c>
      <c r="M100" s="21" t="str">
        <f>IFERROR(__xludf.DUMMYFUNCTION("IFERROR((GOOGLEFINANCE(C100, ""price"") / INDEX(GOOGLEFINANCE(C100, ""price"", EDATE(TODAY(), -1), TODAY()), 2, 2)) - 1, """")"),"")</f>
        <v/>
      </c>
      <c r="N100" s="21" t="str">
        <f>IFERROR(__xludf.DUMMYFUNCTION("IFERROR((GOOGLEFINANCE(C100, ""price"") / INDEX(GOOGLEFINANCE(C100, ""price"", EDATE(TODAY(), -3), TODAY()), 2, 2)) - 1, """")"),"")</f>
        <v/>
      </c>
      <c r="O100" s="21" t="str">
        <f>IFERROR(__xludf.DUMMYFUNCTION("IFERROR((GOOGLEFINANCE(C100, ""price"") / INDEX(GOOGLEFINANCE(C100, ""price"", EDATE(TODAY(), -6), TODAY()), 2, 2)) - 1, """")"),"")</f>
        <v/>
      </c>
      <c r="P100" s="21" t="str">
        <f>IFERROR(__xludf.DUMMYFUNCTION("IFERROR((GOOGLEFINANCE(C100, ""price"") / INDEX(GOOGLEFINANCE(C100, ""price"", EDATE(TODAY(), -12), TODAY()), 2, 2)) - 1, """")"),"")</f>
        <v/>
      </c>
      <c r="Q100" s="6" t="str">
        <f>IFERROR(__xludf.DUMMYFUNCTION("AVERAGE(QUERY(GOOGLEFINANCE(C100, ""price"", TODAY()-80, TODAY()), ""SELECT Col2 WHERE Col2 IS NOT NULL ORDER BY Col1 DESC LIMIT 50"", 0))"),"#N/A")</f>
        <v>#N/A</v>
      </c>
      <c r="R100" s="24" t="str">
        <f>IFERROR(__xludf.DUMMYFUNCTION("IFERROR(
  LET(
    data, QUERY(GOOGLEFINANCE(C100,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GOOGLEFINANCE(C100, ""price"")) * 100,
    IF(calc=0, G100, calc)
  ), 
G100)"),"#N/A")</f>
        <v>#N/A</v>
      </c>
      <c r="S100" s="8" t="s">
        <v>15</v>
      </c>
      <c r="T100" s="26" t="str">
        <f>IFERROR(__xludf.DUMMYFUNCTION("IFERROR(TRANSPOSE(QUERY(IFERROR(SORT(GOOGLEFINANCE(C100, ""price"", WORKDAY(TODAY(), -40), TODAY()), 1, FALSE)), ""select Col2 where Col2 is not null limit 22 label Col2 ''"", 0)), """")"),"")</f>
        <v/>
      </c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8"/>
      <c r="AO100" s="28"/>
      <c r="AP100" s="29"/>
      <c r="AQ100" s="29" t="str">
        <f t="shared" ref="AQ100:BL100" si="103">T100/T$2</f>
        <v>#N/A</v>
      </c>
      <c r="AR100" s="29" t="str">
        <f t="shared" si="103"/>
        <v>#DIV/0!</v>
      </c>
      <c r="AS100" s="29" t="str">
        <f t="shared" si="103"/>
        <v>#DIV/0!</v>
      </c>
      <c r="AT100" s="29" t="str">
        <f t="shared" si="103"/>
        <v>#DIV/0!</v>
      </c>
      <c r="AU100" s="29" t="str">
        <f t="shared" si="103"/>
        <v>#DIV/0!</v>
      </c>
      <c r="AV100" s="29" t="str">
        <f t="shared" si="103"/>
        <v>#DIV/0!</v>
      </c>
      <c r="AW100" s="29" t="str">
        <f t="shared" si="103"/>
        <v>#DIV/0!</v>
      </c>
      <c r="AX100" s="29" t="str">
        <f t="shared" si="103"/>
        <v>#DIV/0!</v>
      </c>
      <c r="AY100" s="29" t="str">
        <f t="shared" si="103"/>
        <v>#DIV/0!</v>
      </c>
      <c r="AZ100" s="29" t="str">
        <f t="shared" si="103"/>
        <v>#DIV/0!</v>
      </c>
      <c r="BA100" s="29" t="str">
        <f t="shared" si="103"/>
        <v>#DIV/0!</v>
      </c>
      <c r="BB100" s="29" t="str">
        <f t="shared" si="103"/>
        <v>#DIV/0!</v>
      </c>
      <c r="BC100" s="29" t="str">
        <f t="shared" si="103"/>
        <v>#DIV/0!</v>
      </c>
      <c r="BD100" s="29" t="str">
        <f t="shared" si="103"/>
        <v>#DIV/0!</v>
      </c>
      <c r="BE100" s="29" t="str">
        <f t="shared" si="103"/>
        <v>#DIV/0!</v>
      </c>
      <c r="BF100" s="29" t="str">
        <f t="shared" si="103"/>
        <v>#DIV/0!</v>
      </c>
      <c r="BG100" s="29" t="str">
        <f t="shared" si="103"/>
        <v>#DIV/0!</v>
      </c>
      <c r="BH100" s="29" t="str">
        <f t="shared" si="103"/>
        <v>#DIV/0!</v>
      </c>
      <c r="BI100" s="29" t="str">
        <f t="shared" si="103"/>
        <v>#DIV/0!</v>
      </c>
      <c r="BJ100" s="29" t="str">
        <f t="shared" si="103"/>
        <v>#DIV/0!</v>
      </c>
      <c r="BK100" s="29" t="str">
        <f t="shared" si="103"/>
        <v>#DIV/0!</v>
      </c>
      <c r="BL100" s="29" t="str">
        <f t="shared" si="103"/>
        <v>#DIV/0!</v>
      </c>
      <c r="BM100" s="29" t="str">
        <f t="shared" si="3"/>
        <v>#DIV/0!</v>
      </c>
    </row>
    <row r="101">
      <c r="A101" s="16" t="str">
        <f>IFERROR(__xludf.DUMMYFUNCTION("IFERROR(SPARKLINE(SORT(MAP(TRANSPOSE(AQ101:BL101), LAMBDA(val, IF(ISNUMBER(val), PERCENTRANK(AQ101:BL101, val)+0.01, 0))), SEQUENCE(COLUMNS(AQ101:BL101)), FALSE), {""charttype"",""column""; ""color"",""chartreuse""; ""ymin"", 0; ""ymax"", 1.01; ""highcolo"&amp;"r"", ""darkgreen""; ""lowcolor"", ""red""}), """")"),"")</f>
        <v/>
      </c>
      <c r="B101" s="17" t="str">
        <f t="shared" si="4"/>
        <v/>
      </c>
      <c r="C101" s="1" t="s">
        <v>2451</v>
      </c>
      <c r="D101" s="30" t="str">
        <f>IFERROR(__xludf.DUMMYFUNCTION("IFERROR(GOOGLEFINANCE(C101, ""NAME""))"),"")</f>
        <v/>
      </c>
      <c r="E101" s="30" t="s">
        <v>2115</v>
      </c>
      <c r="F101" s="33" t="str">
        <f>IFERROR(__xludf.DUMMYFUNCTION("( (GOOGLEFINANCE(C101, ""price"") - Q101) / Q101 ) / (R101 / 100)"),"Loading...")</f>
        <v>Loading...</v>
      </c>
      <c r="G101" s="20" t="str">
        <f>IFERROR(__xludf.DUMMYFUNCTION("AVERAGE(ARRAYFORMULA(100 * (QUERY(GOOGLEFINANCE(C101, ""high"", TODAY()-40, TODAY()), ""SELECT Col2 WHERE Col2 IS NOT NULL ORDER BY Col1 DESC LIMIT 20"", 0) / QUERY(GOOGLEFINANCE(C101, ""low"", TODAY()-40, TODAY()), ""SELECT Col2 WHERE Col2 IS NOT NULL OR"&amp;"DER BY Col1 DESC LIMIT 20"", 0) - 1)))"),"#N/A")</f>
        <v>#N/A</v>
      </c>
      <c r="H101" s="35" t="str">
        <f t="shared" si="6"/>
        <v/>
      </c>
      <c r="I101" s="36" t="str">
        <f t="shared" si="7"/>
        <v/>
      </c>
      <c r="J101" s="37" t="str">
        <f>IFERROR(__xludf.DUMMYFUNCTION("IFERROR(
  IF(C101="""",, 
    IFERROR(
      GOOGLEFINANCE(C101, ""price"") * GOOGLEFINANCE(C101, ""volumeavg""), 
      GOOGLEFINANCE(C101, ""price"") * AVERAGE(QUERY(GOOGLEFINANCE(C101, ""volume"", TODAY()-40, TODAY()), ""SELECT Col2 WHERE Col2 IS NOT "&amp;"NULL ORDER BY Col1 DESC LIMIT 20"", 0))
    )
  ), 
"""")"),"")</f>
        <v/>
      </c>
      <c r="K101" s="21" t="str">
        <f>IFERROR(__xludf.DUMMYFUNCTION("IFERROR(GOOGLEFINANCE(C101, ""changepct"") / 100, """")"),"")</f>
        <v/>
      </c>
      <c r="L101" s="21" t="str">
        <f>IFERROR(__xludf.DUMMYFUNCTION("IFERROR((GOOGLEFINANCE(C101, ""price"") / INDEX(GOOGLEFINANCE(C101, ""price"", TODAY()-7, TODAY()), 2, 2)) - 1, """")"),"")</f>
        <v/>
      </c>
      <c r="M101" s="21" t="str">
        <f>IFERROR(__xludf.DUMMYFUNCTION("IFERROR((GOOGLEFINANCE(C101, ""price"") / INDEX(GOOGLEFINANCE(C101, ""price"", EDATE(TODAY(), -1), TODAY()), 2, 2)) - 1, """")"),"")</f>
        <v/>
      </c>
      <c r="N101" s="21" t="str">
        <f>IFERROR(__xludf.DUMMYFUNCTION("IFERROR((GOOGLEFINANCE(C101, ""price"") / INDEX(GOOGLEFINANCE(C101, ""price"", EDATE(TODAY(), -3), TODAY()), 2, 2)) - 1, """")"),"")</f>
        <v/>
      </c>
      <c r="O101" s="21" t="str">
        <f>IFERROR(__xludf.DUMMYFUNCTION("IFERROR((GOOGLEFINANCE(C101, ""price"") / INDEX(GOOGLEFINANCE(C101, ""price"", EDATE(TODAY(), -6), TODAY()), 2, 2)) - 1, """")"),"")</f>
        <v/>
      </c>
      <c r="P101" s="21" t="str">
        <f>IFERROR(__xludf.DUMMYFUNCTION("IFERROR((GOOGLEFINANCE(C101, ""price"") / INDEX(GOOGLEFINANCE(C101, ""price"", EDATE(TODAY(), -12), TODAY()), 2, 2)) - 1, """")"),"")</f>
        <v/>
      </c>
      <c r="Q101" s="6" t="str">
        <f>IFERROR(__xludf.DUMMYFUNCTION("AVERAGE(QUERY(GOOGLEFINANCE(C101, ""price"", TODAY()-80, TODAY()), ""SELECT Col2 WHERE Col2 IS NOT NULL ORDER BY Col1 DESC LIMIT 50"", 0))"),"#N/A")</f>
        <v>#N/A</v>
      </c>
      <c r="R101" s="24" t="str">
        <f>IFERROR(__xludf.DUMMYFUNCTION("IFERROR(
  LET(
    data, QUERY(GOOGLEFINANCE(C101,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GOOGLEFINANCE(C101, ""price"")) * 100,
    IF(calc=0, G101, calc)
  ), 
G101)"),"#N/A")</f>
        <v>#N/A</v>
      </c>
      <c r="S101" s="8" t="s">
        <v>15</v>
      </c>
      <c r="T101" s="26" t="str">
        <f>IFERROR(__xludf.DUMMYFUNCTION("IFERROR(TRANSPOSE(QUERY(IFERROR(SORT(GOOGLEFINANCE(C101, ""price"", WORKDAY(TODAY(), -40), TODAY()), 1, FALSE)), ""select Col2 where Col2 is not null limit 22 label Col2 ''"", 0)), """")"),"")</f>
        <v/>
      </c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8"/>
      <c r="AO101" s="28"/>
      <c r="AP101" s="29"/>
      <c r="AQ101" s="29" t="str">
        <f t="shared" ref="AQ101:BL101" si="104">T101/T$2</f>
        <v>#N/A</v>
      </c>
      <c r="AR101" s="29" t="str">
        <f t="shared" si="104"/>
        <v>#DIV/0!</v>
      </c>
      <c r="AS101" s="29" t="str">
        <f t="shared" si="104"/>
        <v>#DIV/0!</v>
      </c>
      <c r="AT101" s="29" t="str">
        <f t="shared" si="104"/>
        <v>#DIV/0!</v>
      </c>
      <c r="AU101" s="29" t="str">
        <f t="shared" si="104"/>
        <v>#DIV/0!</v>
      </c>
      <c r="AV101" s="29" t="str">
        <f t="shared" si="104"/>
        <v>#DIV/0!</v>
      </c>
      <c r="AW101" s="29" t="str">
        <f t="shared" si="104"/>
        <v>#DIV/0!</v>
      </c>
      <c r="AX101" s="29" t="str">
        <f t="shared" si="104"/>
        <v>#DIV/0!</v>
      </c>
      <c r="AY101" s="29" t="str">
        <f t="shared" si="104"/>
        <v>#DIV/0!</v>
      </c>
      <c r="AZ101" s="29" t="str">
        <f t="shared" si="104"/>
        <v>#DIV/0!</v>
      </c>
      <c r="BA101" s="29" t="str">
        <f t="shared" si="104"/>
        <v>#DIV/0!</v>
      </c>
      <c r="BB101" s="29" t="str">
        <f t="shared" si="104"/>
        <v>#DIV/0!</v>
      </c>
      <c r="BC101" s="29" t="str">
        <f t="shared" si="104"/>
        <v>#DIV/0!</v>
      </c>
      <c r="BD101" s="29" t="str">
        <f t="shared" si="104"/>
        <v>#DIV/0!</v>
      </c>
      <c r="BE101" s="29" t="str">
        <f t="shared" si="104"/>
        <v>#DIV/0!</v>
      </c>
      <c r="BF101" s="29" t="str">
        <f t="shared" si="104"/>
        <v>#DIV/0!</v>
      </c>
      <c r="BG101" s="29" t="str">
        <f t="shared" si="104"/>
        <v>#DIV/0!</v>
      </c>
      <c r="BH101" s="29" t="str">
        <f t="shared" si="104"/>
        <v>#DIV/0!</v>
      </c>
      <c r="BI101" s="29" t="str">
        <f t="shared" si="104"/>
        <v>#DIV/0!</v>
      </c>
      <c r="BJ101" s="29" t="str">
        <f t="shared" si="104"/>
        <v>#DIV/0!</v>
      </c>
      <c r="BK101" s="29" t="str">
        <f t="shared" si="104"/>
        <v>#DIV/0!</v>
      </c>
      <c r="BL101" s="29" t="str">
        <f t="shared" si="104"/>
        <v>#DIV/0!</v>
      </c>
      <c r="BM101" s="29" t="str">
        <f t="shared" si="3"/>
        <v>#DIV/0!</v>
      </c>
    </row>
    <row r="102">
      <c r="A102" s="16" t="str">
        <f>IFERROR(__xludf.DUMMYFUNCTION("IFERROR(SPARKLINE(SORT(MAP(TRANSPOSE(AQ102:BL102), LAMBDA(val, IF(ISNUMBER(val), PERCENTRANK(AQ102:BL102, val)+0.01, 0))), SEQUENCE(COLUMNS(AQ102:BL102)), FALSE), {""charttype"",""column""; ""color"",""chartreuse""; ""ymin"", 0; ""ymax"", 1.01; ""highcolo"&amp;"r"", ""darkgreen""; ""lowcolor"", ""red""}), """")"),"")</f>
        <v/>
      </c>
      <c r="B102" s="17" t="str">
        <f t="shared" si="4"/>
        <v/>
      </c>
      <c r="C102" s="1" t="s">
        <v>2454</v>
      </c>
      <c r="D102" s="30" t="str">
        <f>IFERROR(__xludf.DUMMYFUNCTION("IFERROR(GOOGLEFINANCE(C102, ""NAME""))"),"elf Beauty Inc")</f>
        <v>elf Beauty Inc</v>
      </c>
      <c r="E102" s="30" t="s">
        <v>2132</v>
      </c>
      <c r="F102" s="33" t="str">
        <f>IFERROR(__xludf.DUMMYFUNCTION("( (GOOGLEFINANCE(C102, ""price"") - Q102) / Q102 ) / (R102 / 100)"),"Loading...")</f>
        <v>Loading...</v>
      </c>
      <c r="G102" s="20" t="str">
        <f>IFERROR(__xludf.DUMMYFUNCTION("AVERAGE(ARRAYFORMULA(100 * (QUERY(GOOGLEFINANCE(C102, ""high"", TODAY()-40, TODAY()), ""SELECT Col2 WHERE Col2 IS NOT NULL ORDER BY Col1 DESC LIMIT 20"", 0) / QUERY(GOOGLEFINANCE(C102, ""low"", TODAY()-40, TODAY()), ""SELECT Col2 WHERE Col2 IS NOT NULL OR"&amp;"DER BY Col1 DESC LIMIT 20"", 0) - 1)))"),"#N/A")</f>
        <v>#N/A</v>
      </c>
      <c r="H102" s="35" t="str">
        <f t="shared" si="6"/>
        <v>Liquid</v>
      </c>
      <c r="I102" s="36" t="str">
        <f t="shared" si="7"/>
        <v>RVol Required</v>
      </c>
      <c r="J102" s="37">
        <f>IFERROR(__xludf.DUMMYFUNCTION("IFERROR(
  IF(C102="""",, 
    IFERROR(
      GOOGLEFINANCE(C102, ""price"") * GOOGLEFINANCE(C102, ""volumeavg""), 
      GOOGLEFINANCE(C102, ""price"") * AVERAGE(QUERY(GOOGLEFINANCE(C102, ""volume"", TODAY()-40, TODAY()), ""SELECT Col2 WHERE Col2 IS NOT "&amp;"NULL ORDER BY Col1 DESC LIMIT 20"", 0))
    )
  ), 
"""")"),1.5332066918E8)</f>
        <v>153320669.2</v>
      </c>
      <c r="K102" s="21">
        <f>IFERROR(__xludf.DUMMYFUNCTION("IFERROR(GOOGLEFINANCE(C102, ""changepct"") / 100, """")"),-0.022099999999999998)</f>
        <v>-0.0221</v>
      </c>
      <c r="L102" s="21" t="str">
        <f>IFERROR(__xludf.DUMMYFUNCTION("IFERROR((GOOGLEFINANCE(C102, ""price"") / INDEX(GOOGLEFINANCE(C102, ""price"", TODAY()-7, TODAY()), 2, 2)) - 1, """")"),"")</f>
        <v/>
      </c>
      <c r="M102" s="21" t="str">
        <f>IFERROR(__xludf.DUMMYFUNCTION("IFERROR((GOOGLEFINANCE(C102, ""price"") / INDEX(GOOGLEFINANCE(C102, ""price"", EDATE(TODAY(), -1), TODAY()), 2, 2)) - 1, """")"),"")</f>
        <v/>
      </c>
      <c r="N102" s="21" t="str">
        <f>IFERROR(__xludf.DUMMYFUNCTION("IFERROR((GOOGLEFINANCE(C102, ""price"") / INDEX(GOOGLEFINANCE(C102, ""price"", EDATE(TODAY(), -3), TODAY()), 2, 2)) - 1, """")"),"")</f>
        <v/>
      </c>
      <c r="O102" s="21" t="str">
        <f>IFERROR(__xludf.DUMMYFUNCTION("IFERROR((GOOGLEFINANCE(C102, ""price"") / INDEX(GOOGLEFINANCE(C102, ""price"", EDATE(TODAY(), -6), TODAY()), 2, 2)) - 1, """")"),"")</f>
        <v/>
      </c>
      <c r="P102" s="21" t="str">
        <f>IFERROR(__xludf.DUMMYFUNCTION("IFERROR((GOOGLEFINANCE(C102, ""price"") / INDEX(GOOGLEFINANCE(C102, ""price"", EDATE(TODAY(), -12), TODAY()), 2, 2)) - 1, """")"),"")</f>
        <v/>
      </c>
      <c r="Q102" s="6" t="str">
        <f>IFERROR(__xludf.DUMMYFUNCTION("AVERAGE(QUERY(GOOGLEFINANCE(C102, ""price"", TODAY()-80, TODAY()), ""SELECT Col2 WHERE Col2 IS NOT NULL ORDER BY Col1 DESC LIMIT 50"", 0))"),"#N/A")</f>
        <v>#N/A</v>
      </c>
      <c r="R102" s="24" t="str">
        <f>IFERROR(__xludf.DUMMYFUNCTION("IFERROR(
  LET(
    data, QUERY(GOOGLEFINANCE(C102,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GOOGLEFINANCE(C102, ""price"")) * 100,
    IF(calc=0, G102, calc)
  ), 
G102)"),"#N/A")</f>
        <v>#N/A</v>
      </c>
      <c r="S102" s="8" t="s">
        <v>15</v>
      </c>
      <c r="T102" s="26" t="str">
        <f>IFERROR(__xludf.DUMMYFUNCTION("IFERROR(TRANSPOSE(QUERY(IFERROR(SORT(GOOGLEFINANCE(C102, ""price"", WORKDAY(TODAY(), -40), TODAY()), 1, FALSE)), ""select Col2 where Col2 is not null limit 22 label Col2 ''"", 0)), """")"),"")</f>
        <v/>
      </c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8"/>
      <c r="AO102" s="28"/>
      <c r="AP102" s="29"/>
      <c r="AQ102" s="29" t="str">
        <f t="shared" ref="AQ102:BL102" si="105">T102/T$2</f>
        <v>#N/A</v>
      </c>
      <c r="AR102" s="29" t="str">
        <f t="shared" si="105"/>
        <v>#DIV/0!</v>
      </c>
      <c r="AS102" s="29" t="str">
        <f t="shared" si="105"/>
        <v>#DIV/0!</v>
      </c>
      <c r="AT102" s="29" t="str">
        <f t="shared" si="105"/>
        <v>#DIV/0!</v>
      </c>
      <c r="AU102" s="29" t="str">
        <f t="shared" si="105"/>
        <v>#DIV/0!</v>
      </c>
      <c r="AV102" s="29" t="str">
        <f t="shared" si="105"/>
        <v>#DIV/0!</v>
      </c>
      <c r="AW102" s="29" t="str">
        <f t="shared" si="105"/>
        <v>#DIV/0!</v>
      </c>
      <c r="AX102" s="29" t="str">
        <f t="shared" si="105"/>
        <v>#DIV/0!</v>
      </c>
      <c r="AY102" s="29" t="str">
        <f t="shared" si="105"/>
        <v>#DIV/0!</v>
      </c>
      <c r="AZ102" s="29" t="str">
        <f t="shared" si="105"/>
        <v>#DIV/0!</v>
      </c>
      <c r="BA102" s="29" t="str">
        <f t="shared" si="105"/>
        <v>#DIV/0!</v>
      </c>
      <c r="BB102" s="29" t="str">
        <f t="shared" si="105"/>
        <v>#DIV/0!</v>
      </c>
      <c r="BC102" s="29" t="str">
        <f t="shared" si="105"/>
        <v>#DIV/0!</v>
      </c>
      <c r="BD102" s="29" t="str">
        <f t="shared" si="105"/>
        <v>#DIV/0!</v>
      </c>
      <c r="BE102" s="29" t="str">
        <f t="shared" si="105"/>
        <v>#DIV/0!</v>
      </c>
      <c r="BF102" s="29" t="str">
        <f t="shared" si="105"/>
        <v>#DIV/0!</v>
      </c>
      <c r="BG102" s="29" t="str">
        <f t="shared" si="105"/>
        <v>#DIV/0!</v>
      </c>
      <c r="BH102" s="29" t="str">
        <f t="shared" si="105"/>
        <v>#DIV/0!</v>
      </c>
      <c r="BI102" s="29" t="str">
        <f t="shared" si="105"/>
        <v>#DIV/0!</v>
      </c>
      <c r="BJ102" s="29" t="str">
        <f t="shared" si="105"/>
        <v>#DIV/0!</v>
      </c>
      <c r="BK102" s="29" t="str">
        <f t="shared" si="105"/>
        <v>#DIV/0!</v>
      </c>
      <c r="BL102" s="29" t="str">
        <f t="shared" si="105"/>
        <v>#DIV/0!</v>
      </c>
      <c r="BM102" s="29" t="str">
        <f t="shared" si="3"/>
        <v>#DIV/0!</v>
      </c>
    </row>
    <row r="103">
      <c r="A103" s="16" t="str">
        <f>IFERROR(__xludf.DUMMYFUNCTION("IFERROR(SPARKLINE(SORT(MAP(TRANSPOSE(AQ103:BL103), LAMBDA(val, IF(ISNUMBER(val), PERCENTRANK(AQ103:BL103, val)+0.01, 0))), SEQUENCE(COLUMNS(AQ103:BL103)), FALSE), {""charttype"",""column""; ""color"",""chartreuse""; ""ymin"", 0; ""ymax"", 1.01; ""highcolo"&amp;"r"", ""darkgreen""; ""lowcolor"", ""red""}), """")"),"")</f>
        <v/>
      </c>
      <c r="B103" s="17" t="str">
        <f t="shared" si="4"/>
        <v/>
      </c>
      <c r="C103" s="1" t="s">
        <v>2458</v>
      </c>
      <c r="D103" s="30" t="str">
        <f>IFERROR(__xludf.DUMMYFUNCTION("IFERROR(GOOGLEFINANCE(C103, ""NAME""))"),"New Oriental Education &amp; Tech Grp")</f>
        <v>New Oriental Education &amp; Tech Grp</v>
      </c>
      <c r="E103" s="30" t="s">
        <v>2069</v>
      </c>
      <c r="F103" s="33" t="str">
        <f>IFERROR(__xludf.DUMMYFUNCTION("( (GOOGLEFINANCE(C103, ""price"") - Q103) / Q103 ) / (R103 / 100)"),"Loading...")</f>
        <v>Loading...</v>
      </c>
      <c r="G103" s="20" t="str">
        <f>IFERROR(__xludf.DUMMYFUNCTION("AVERAGE(ARRAYFORMULA(100 * (QUERY(GOOGLEFINANCE(C103, ""high"", TODAY()-40, TODAY()), ""SELECT Col2 WHERE Col2 IS NOT NULL ORDER BY Col1 DESC LIMIT 20"", 0) / QUERY(GOOGLEFINANCE(C103, ""low"", TODAY()-40, TODAY()), ""SELECT Col2 WHERE Col2 IS NOT NULL OR"&amp;"DER BY Col1 DESC LIMIT 20"", 0) - 1)))"),"#N/A")</f>
        <v>#N/A</v>
      </c>
      <c r="H103" s="35" t="str">
        <f t="shared" si="6"/>
        <v>Illiquid</v>
      </c>
      <c r="I103" s="36" t="str">
        <f t="shared" si="7"/>
        <v>RVol Required</v>
      </c>
      <c r="J103" s="37">
        <f>IFERROR(__xludf.DUMMYFUNCTION("IFERROR(
  IF(C103="""",, 
    IFERROR(
      GOOGLEFINANCE(C103, ""price"") * GOOGLEFINANCE(C103, ""volumeavg""), 
      GOOGLEFINANCE(C103, ""price"") * AVERAGE(QUERY(GOOGLEFINANCE(C103, ""volume"", TODAY()-40, TODAY()), ""SELECT Col2 WHERE Col2 IS NOT "&amp;"NULL ORDER BY Col1 DESC LIMIT 20"", 0))
    )
  ), 
"""")"),3.7896704160000004E7)</f>
        <v>37896704.16</v>
      </c>
      <c r="K103" s="21">
        <f>IFERROR(__xludf.DUMMYFUNCTION("IFERROR(GOOGLEFINANCE(C103, ""changepct"") / 100, """")"),0.0088)</f>
        <v>0.0088</v>
      </c>
      <c r="L103" s="21" t="str">
        <f>IFERROR(__xludf.DUMMYFUNCTION("IFERROR((GOOGLEFINANCE(C103, ""price"") / INDEX(GOOGLEFINANCE(C103, ""price"", TODAY()-7, TODAY()), 2, 2)) - 1, """")"),"")</f>
        <v/>
      </c>
      <c r="M103" s="21" t="str">
        <f>IFERROR(__xludf.DUMMYFUNCTION("IFERROR((GOOGLEFINANCE(C103, ""price"") / INDEX(GOOGLEFINANCE(C103, ""price"", EDATE(TODAY(), -1), TODAY()), 2, 2)) - 1, """")"),"")</f>
        <v/>
      </c>
      <c r="N103" s="21" t="str">
        <f>IFERROR(__xludf.DUMMYFUNCTION("IFERROR((GOOGLEFINANCE(C103, ""price"") / INDEX(GOOGLEFINANCE(C103, ""price"", EDATE(TODAY(), -3), TODAY()), 2, 2)) - 1, """")"),"")</f>
        <v/>
      </c>
      <c r="O103" s="21" t="str">
        <f>IFERROR(__xludf.DUMMYFUNCTION("IFERROR((GOOGLEFINANCE(C103, ""price"") / INDEX(GOOGLEFINANCE(C103, ""price"", EDATE(TODAY(), -6), TODAY()), 2, 2)) - 1, """")"),"")</f>
        <v/>
      </c>
      <c r="P103" s="21" t="str">
        <f>IFERROR(__xludf.DUMMYFUNCTION("IFERROR((GOOGLEFINANCE(C103, ""price"") / INDEX(GOOGLEFINANCE(C103, ""price"", EDATE(TODAY(), -12), TODAY()), 2, 2)) - 1, """")"),"")</f>
        <v/>
      </c>
      <c r="Q103" s="6" t="str">
        <f>IFERROR(__xludf.DUMMYFUNCTION("AVERAGE(QUERY(GOOGLEFINANCE(C103, ""price"", TODAY()-80, TODAY()), ""SELECT Col2 WHERE Col2 IS NOT NULL ORDER BY Col1 DESC LIMIT 50"", 0))"),"#N/A")</f>
        <v>#N/A</v>
      </c>
      <c r="R103" s="24" t="str">
        <f>IFERROR(__xludf.DUMMYFUNCTION("IFERROR(
  LET(
    data, QUERY(GOOGLEFINANCE(C103,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GOOGLEFINANCE(C103, ""price"")) * 100,
    IF(calc=0, G103, calc)
  ), 
G103)"),"#N/A")</f>
        <v>#N/A</v>
      </c>
      <c r="S103" s="8" t="s">
        <v>15</v>
      </c>
      <c r="T103" s="26" t="str">
        <f>IFERROR(__xludf.DUMMYFUNCTION("IFERROR(TRANSPOSE(QUERY(IFERROR(SORT(GOOGLEFINANCE(C103, ""price"", WORKDAY(TODAY(), -40), TODAY()), 1, FALSE)), ""select Col2 where Col2 is not null limit 22 label Col2 ''"", 0)), """")"),"")</f>
        <v/>
      </c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8"/>
      <c r="AO103" s="28"/>
      <c r="AP103" s="29"/>
      <c r="AQ103" s="29" t="str">
        <f t="shared" ref="AQ103:BL103" si="106">T103/T$2</f>
        <v>#N/A</v>
      </c>
      <c r="AR103" s="29" t="str">
        <f t="shared" si="106"/>
        <v>#DIV/0!</v>
      </c>
      <c r="AS103" s="29" t="str">
        <f t="shared" si="106"/>
        <v>#DIV/0!</v>
      </c>
      <c r="AT103" s="29" t="str">
        <f t="shared" si="106"/>
        <v>#DIV/0!</v>
      </c>
      <c r="AU103" s="29" t="str">
        <f t="shared" si="106"/>
        <v>#DIV/0!</v>
      </c>
      <c r="AV103" s="29" t="str">
        <f t="shared" si="106"/>
        <v>#DIV/0!</v>
      </c>
      <c r="AW103" s="29" t="str">
        <f t="shared" si="106"/>
        <v>#DIV/0!</v>
      </c>
      <c r="AX103" s="29" t="str">
        <f t="shared" si="106"/>
        <v>#DIV/0!</v>
      </c>
      <c r="AY103" s="29" t="str">
        <f t="shared" si="106"/>
        <v>#DIV/0!</v>
      </c>
      <c r="AZ103" s="29" t="str">
        <f t="shared" si="106"/>
        <v>#DIV/0!</v>
      </c>
      <c r="BA103" s="29" t="str">
        <f t="shared" si="106"/>
        <v>#DIV/0!</v>
      </c>
      <c r="BB103" s="29" t="str">
        <f t="shared" si="106"/>
        <v>#DIV/0!</v>
      </c>
      <c r="BC103" s="29" t="str">
        <f t="shared" si="106"/>
        <v>#DIV/0!</v>
      </c>
      <c r="BD103" s="29" t="str">
        <f t="shared" si="106"/>
        <v>#DIV/0!</v>
      </c>
      <c r="BE103" s="29" t="str">
        <f t="shared" si="106"/>
        <v>#DIV/0!</v>
      </c>
      <c r="BF103" s="29" t="str">
        <f t="shared" si="106"/>
        <v>#DIV/0!</v>
      </c>
      <c r="BG103" s="29" t="str">
        <f t="shared" si="106"/>
        <v>#DIV/0!</v>
      </c>
      <c r="BH103" s="29" t="str">
        <f t="shared" si="106"/>
        <v>#DIV/0!</v>
      </c>
      <c r="BI103" s="29" t="str">
        <f t="shared" si="106"/>
        <v>#DIV/0!</v>
      </c>
      <c r="BJ103" s="29" t="str">
        <f t="shared" si="106"/>
        <v>#DIV/0!</v>
      </c>
      <c r="BK103" s="29" t="str">
        <f t="shared" si="106"/>
        <v>#DIV/0!</v>
      </c>
      <c r="BL103" s="29" t="str">
        <f t="shared" si="106"/>
        <v>#DIV/0!</v>
      </c>
      <c r="BM103" s="29" t="str">
        <f t="shared" si="3"/>
        <v>#DIV/0!</v>
      </c>
    </row>
    <row r="104">
      <c r="A104" s="16" t="str">
        <f>IFERROR(__xludf.DUMMYFUNCTION("IFERROR(SPARKLINE(SORT(MAP(TRANSPOSE(AQ104:BL104), LAMBDA(val, IF(ISNUMBER(val), PERCENTRANK(AQ104:BL104, val)+0.01, 0))), SEQUENCE(COLUMNS(AQ104:BL104)), FALSE), {""charttype"",""column""; ""color"",""chartreuse""; ""ymin"", 0; ""ymax"", 1.01; ""highcolo"&amp;"r"", ""darkgreen""; ""lowcolor"", ""red""}), """")"),"")</f>
        <v/>
      </c>
      <c r="B104" s="17" t="str">
        <f t="shared" si="4"/>
        <v/>
      </c>
      <c r="C104" s="1" t="s">
        <v>2462</v>
      </c>
      <c r="D104" s="30" t="str">
        <f>IFERROR(__xludf.DUMMYFUNCTION("IFERROR(GOOGLEFINANCE(C104, ""NAME""))"),"Dingdong (Cayman) Ltd")</f>
        <v>Dingdong (Cayman) Ltd</v>
      </c>
      <c r="E104" s="30" t="s">
        <v>2063</v>
      </c>
      <c r="F104" s="33" t="str">
        <f>IFERROR(__xludf.DUMMYFUNCTION("( (GOOGLEFINANCE(C104, ""price"") - Q104) / Q104 ) / (R104 / 100)"),"Loading...")</f>
        <v>Loading...</v>
      </c>
      <c r="G104" s="20" t="str">
        <f>IFERROR(__xludf.DUMMYFUNCTION("AVERAGE(ARRAYFORMULA(100 * (QUERY(GOOGLEFINANCE(C104, ""high"", TODAY()-40, TODAY()), ""SELECT Col2 WHERE Col2 IS NOT NULL ORDER BY Col1 DESC LIMIT 20"", 0) / QUERY(GOOGLEFINANCE(C104, ""low"", TODAY()-40, TODAY()), ""SELECT Col2 WHERE Col2 IS NOT NULL OR"&amp;"DER BY Col1 DESC LIMIT 20"", 0) - 1)))"),"#N/A")</f>
        <v>#N/A</v>
      </c>
      <c r="H104" s="35" t="str">
        <f t="shared" si="6"/>
        <v>Illiquid</v>
      </c>
      <c r="I104" s="36" t="str">
        <f t="shared" si="7"/>
        <v>RVol Required</v>
      </c>
      <c r="J104" s="37">
        <f>IFERROR(__xludf.DUMMYFUNCTION("IFERROR(
  IF(C104="""",, 
    IFERROR(
      GOOGLEFINANCE(C104, ""price"") * GOOGLEFINANCE(C104, ""volumeavg""), 
      GOOGLEFINANCE(C104, ""price"") * AVERAGE(QUERY(GOOGLEFINANCE(C104, ""volume"", TODAY()-40, TODAY()), ""SELECT Col2 WHERE Col2 IS NOT "&amp;"NULL ORDER BY Col1 DESC LIMIT 20"", 0))
    )
  ), 
"""")"),553608.3200000001)</f>
        <v>553608.32</v>
      </c>
      <c r="K104" s="21">
        <f>IFERROR(__xludf.DUMMYFUNCTION("IFERROR(GOOGLEFINANCE(C104, ""changepct"") / 100, """")"),-0.009300000000000001)</f>
        <v>-0.0093</v>
      </c>
      <c r="L104" s="21" t="str">
        <f>IFERROR(__xludf.DUMMYFUNCTION("IFERROR((GOOGLEFINANCE(C104, ""price"") / INDEX(GOOGLEFINANCE(C104, ""price"", TODAY()-7, TODAY()), 2, 2)) - 1, """")"),"")</f>
        <v/>
      </c>
      <c r="M104" s="21" t="str">
        <f>IFERROR(__xludf.DUMMYFUNCTION("IFERROR((GOOGLEFINANCE(C104, ""price"") / INDEX(GOOGLEFINANCE(C104, ""price"", EDATE(TODAY(), -1), TODAY()), 2, 2)) - 1, """")"),"")</f>
        <v/>
      </c>
      <c r="N104" s="21" t="str">
        <f>IFERROR(__xludf.DUMMYFUNCTION("IFERROR((GOOGLEFINANCE(C104, ""price"") / INDEX(GOOGLEFINANCE(C104, ""price"", EDATE(TODAY(), -3), TODAY()), 2, 2)) - 1, """")"),"")</f>
        <v/>
      </c>
      <c r="O104" s="21" t="str">
        <f>IFERROR(__xludf.DUMMYFUNCTION("IFERROR((GOOGLEFINANCE(C104, ""price"") / INDEX(GOOGLEFINANCE(C104, ""price"", EDATE(TODAY(), -6), TODAY()), 2, 2)) - 1, """")"),"")</f>
        <v/>
      </c>
      <c r="P104" s="21" t="str">
        <f>IFERROR(__xludf.DUMMYFUNCTION("IFERROR((GOOGLEFINANCE(C104, ""price"") / INDEX(GOOGLEFINANCE(C104, ""price"", EDATE(TODAY(), -12), TODAY()), 2, 2)) - 1, """")"),"")</f>
        <v/>
      </c>
      <c r="Q104" s="6" t="str">
        <f>IFERROR(__xludf.DUMMYFUNCTION("AVERAGE(QUERY(GOOGLEFINANCE(C104, ""price"", TODAY()-80, TODAY()), ""SELECT Col2 WHERE Col2 IS NOT NULL ORDER BY Col1 DESC LIMIT 50"", 0))"),"#N/A")</f>
        <v>#N/A</v>
      </c>
      <c r="R104" s="24" t="str">
        <f>IFERROR(__xludf.DUMMYFUNCTION("IFERROR(
  LET(
    data, QUERY(GOOGLEFINANCE(C104,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GOOGLEFINANCE(C104, ""price"")) * 100,
    IF(calc=0, G104, calc)
  ), 
G104)"),"#N/A")</f>
        <v>#N/A</v>
      </c>
      <c r="S104" s="8" t="s">
        <v>15</v>
      </c>
      <c r="T104" s="26" t="str">
        <f>IFERROR(__xludf.DUMMYFUNCTION("IFERROR(TRANSPOSE(QUERY(IFERROR(SORT(GOOGLEFINANCE(C104, ""price"", WORKDAY(TODAY(), -40), TODAY()), 1, FALSE)), ""select Col2 where Col2 is not null limit 22 label Col2 ''"", 0)), """")"),"")</f>
        <v/>
      </c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8"/>
      <c r="AO104" s="28"/>
      <c r="AP104" s="29"/>
      <c r="AQ104" s="29" t="str">
        <f t="shared" ref="AQ104:BL104" si="107">T104/T$2</f>
        <v>#N/A</v>
      </c>
      <c r="AR104" s="29" t="str">
        <f t="shared" si="107"/>
        <v>#DIV/0!</v>
      </c>
      <c r="AS104" s="29" t="str">
        <f t="shared" si="107"/>
        <v>#DIV/0!</v>
      </c>
      <c r="AT104" s="29" t="str">
        <f t="shared" si="107"/>
        <v>#DIV/0!</v>
      </c>
      <c r="AU104" s="29" t="str">
        <f t="shared" si="107"/>
        <v>#DIV/0!</v>
      </c>
      <c r="AV104" s="29" t="str">
        <f t="shared" si="107"/>
        <v>#DIV/0!</v>
      </c>
      <c r="AW104" s="29" t="str">
        <f t="shared" si="107"/>
        <v>#DIV/0!</v>
      </c>
      <c r="AX104" s="29" t="str">
        <f t="shared" si="107"/>
        <v>#DIV/0!</v>
      </c>
      <c r="AY104" s="29" t="str">
        <f t="shared" si="107"/>
        <v>#DIV/0!</v>
      </c>
      <c r="AZ104" s="29" t="str">
        <f t="shared" si="107"/>
        <v>#DIV/0!</v>
      </c>
      <c r="BA104" s="29" t="str">
        <f t="shared" si="107"/>
        <v>#DIV/0!</v>
      </c>
      <c r="BB104" s="29" t="str">
        <f t="shared" si="107"/>
        <v>#DIV/0!</v>
      </c>
      <c r="BC104" s="29" t="str">
        <f t="shared" si="107"/>
        <v>#DIV/0!</v>
      </c>
      <c r="BD104" s="29" t="str">
        <f t="shared" si="107"/>
        <v>#DIV/0!</v>
      </c>
      <c r="BE104" s="29" t="str">
        <f t="shared" si="107"/>
        <v>#DIV/0!</v>
      </c>
      <c r="BF104" s="29" t="str">
        <f t="shared" si="107"/>
        <v>#DIV/0!</v>
      </c>
      <c r="BG104" s="29" t="str">
        <f t="shared" si="107"/>
        <v>#DIV/0!</v>
      </c>
      <c r="BH104" s="29" t="str">
        <f t="shared" si="107"/>
        <v>#DIV/0!</v>
      </c>
      <c r="BI104" s="29" t="str">
        <f t="shared" si="107"/>
        <v>#DIV/0!</v>
      </c>
      <c r="BJ104" s="29" t="str">
        <f t="shared" si="107"/>
        <v>#DIV/0!</v>
      </c>
      <c r="BK104" s="29" t="str">
        <f t="shared" si="107"/>
        <v>#DIV/0!</v>
      </c>
      <c r="BL104" s="29" t="str">
        <f t="shared" si="107"/>
        <v>#DIV/0!</v>
      </c>
      <c r="BM104" s="29" t="str">
        <f t="shared" si="3"/>
        <v>#DIV/0!</v>
      </c>
    </row>
    <row r="105">
      <c r="A105" s="16" t="str">
        <f>IFERROR(__xludf.DUMMYFUNCTION("IFERROR(SPARKLINE(SORT(MAP(TRANSPOSE(AQ105:BL105), LAMBDA(val, IF(ISNUMBER(val), PERCENTRANK(AQ105:BL105, val)+0.01, 0))), SEQUENCE(COLUMNS(AQ105:BL105)), FALSE), {""charttype"",""column""; ""color"",""chartreuse""; ""ymin"", 0; ""ymax"", 1.01; ""highcolo"&amp;"r"", ""darkgreen""; ""lowcolor"", ""red""}), """")"),"")</f>
        <v/>
      </c>
      <c r="B105" s="17" t="str">
        <f t="shared" si="4"/>
        <v/>
      </c>
      <c r="C105" s="1" t="s">
        <v>2466</v>
      </c>
      <c r="D105" s="30" t="str">
        <f>IFERROR(__xludf.DUMMYFUNCTION("IFERROR(GOOGLEFINANCE(C105, ""NAME""))"),"Coca-Cola Consolidated Inc")</f>
        <v>Coca-Cola Consolidated Inc</v>
      </c>
      <c r="E105" s="30" t="s">
        <v>2083</v>
      </c>
      <c r="F105" s="38" t="str">
        <f>IFERROR(__xludf.DUMMYFUNCTION("( (GOOGLEFINANCE(C105, ""price"") - Q105) / Q105 ) / (R105 / 100)"),"Loading...")</f>
        <v>Loading...</v>
      </c>
      <c r="G105" s="20" t="str">
        <f>IFERROR(__xludf.DUMMYFUNCTION("AVERAGE(ARRAYFORMULA(100 * (QUERY(GOOGLEFINANCE(C105, ""high"", TODAY()-40, TODAY()), ""SELECT Col2 WHERE Col2 IS NOT NULL ORDER BY Col1 DESC LIMIT 20"", 0) / QUERY(GOOGLEFINANCE(C105, ""low"", TODAY()-40, TODAY()), ""SELECT Col2 WHERE Col2 IS NOT NULL OR"&amp;"DER BY Col1 DESC LIMIT 20"", 0) - 1)))"),"#N/A")</f>
        <v>#N/A</v>
      </c>
      <c r="H105" s="35" t="str">
        <f t="shared" si="6"/>
        <v>Liquid</v>
      </c>
      <c r="I105" s="36" t="str">
        <f t="shared" si="7"/>
        <v>RVol Required</v>
      </c>
      <c r="J105" s="37">
        <f>IFERROR(__xludf.DUMMYFUNCTION("IFERROR(
  IF(C105="""",, 
    IFERROR(
      GOOGLEFINANCE(C105, ""price"") * GOOGLEFINANCE(C105, ""volumeavg""), 
      GOOGLEFINANCE(C105, ""price"") * AVERAGE(QUERY(GOOGLEFINANCE(C105, ""volume"", TODAY()-40, TODAY()), ""SELECT Col2 WHERE Col2 IS NOT "&amp;"NULL ORDER BY Col1 DESC LIMIT 20"", 0))
    )
  ), 
"""")"),1.1035321011E8)</f>
        <v>110353210.1</v>
      </c>
      <c r="K105" s="21">
        <f>IFERROR(__xludf.DUMMYFUNCTION("IFERROR(GOOGLEFINANCE(C105, ""changepct"") / 100, """")"),0.028300000000000002)</f>
        <v>0.0283</v>
      </c>
      <c r="L105" s="21" t="str">
        <f>IFERROR(__xludf.DUMMYFUNCTION("IFERROR((GOOGLEFINANCE(C105, ""price"") / INDEX(GOOGLEFINANCE(C105, ""price"", TODAY()-7, TODAY()), 2, 2)) - 1, """")"),"")</f>
        <v/>
      </c>
      <c r="M105" s="21" t="str">
        <f>IFERROR(__xludf.DUMMYFUNCTION("IFERROR((GOOGLEFINANCE(C105, ""price"") / INDEX(GOOGLEFINANCE(C105, ""price"", EDATE(TODAY(), -1), TODAY()), 2, 2)) - 1, """")"),"")</f>
        <v/>
      </c>
      <c r="N105" s="21" t="str">
        <f>IFERROR(__xludf.DUMMYFUNCTION("IFERROR((GOOGLEFINANCE(C105, ""price"") / INDEX(GOOGLEFINANCE(C105, ""price"", EDATE(TODAY(), -3), TODAY()), 2, 2)) - 1, """")"),"")</f>
        <v/>
      </c>
      <c r="O105" s="21" t="str">
        <f>IFERROR(__xludf.DUMMYFUNCTION("IFERROR((GOOGLEFINANCE(C105, ""price"") / INDEX(GOOGLEFINANCE(C105, ""price"", EDATE(TODAY(), -6), TODAY()), 2, 2)) - 1, """")"),"")</f>
        <v/>
      </c>
      <c r="P105" s="21" t="str">
        <f>IFERROR(__xludf.DUMMYFUNCTION("IFERROR((GOOGLEFINANCE(C105, ""price"") / INDEX(GOOGLEFINANCE(C105, ""price"", EDATE(TODAY(), -12), TODAY()), 2, 2)) - 1, """")"),"")</f>
        <v/>
      </c>
      <c r="Q105" s="6" t="str">
        <f>IFERROR(__xludf.DUMMYFUNCTION("AVERAGE(QUERY(GOOGLEFINANCE(C105, ""price"", TODAY()-80, TODAY()), ""SELECT Col2 WHERE Col2 IS NOT NULL ORDER BY Col1 DESC LIMIT 50"", 0))"),"#N/A")</f>
        <v>#N/A</v>
      </c>
      <c r="R105" s="24" t="str">
        <f>IFERROR(__xludf.DUMMYFUNCTION("IFERROR(
  LET(
    data, QUERY(GOOGLEFINANCE(C105,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GOOGLEFINANCE(C105, ""price"")) * 100,
    IF(calc=0, G105, calc)
  ), 
G105)"),"#N/A")</f>
        <v>#N/A</v>
      </c>
      <c r="S105" s="8" t="s">
        <v>15</v>
      </c>
      <c r="T105" s="26" t="str">
        <f>IFERROR(__xludf.DUMMYFUNCTION("IFERROR(TRANSPOSE(QUERY(IFERROR(SORT(GOOGLEFINANCE(C105, ""price"", WORKDAY(TODAY(), -40), TODAY()), 1, FALSE)), ""select Col2 where Col2 is not null limit 22 label Col2 ''"", 0)), """")"),"")</f>
        <v/>
      </c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8"/>
      <c r="AO105" s="28"/>
      <c r="AP105" s="29"/>
      <c r="AQ105" s="29" t="str">
        <f t="shared" ref="AQ105:BL105" si="108">T105/T$2</f>
        <v>#N/A</v>
      </c>
      <c r="AR105" s="29" t="str">
        <f t="shared" si="108"/>
        <v>#DIV/0!</v>
      </c>
      <c r="AS105" s="29" t="str">
        <f t="shared" si="108"/>
        <v>#DIV/0!</v>
      </c>
      <c r="AT105" s="29" t="str">
        <f t="shared" si="108"/>
        <v>#DIV/0!</v>
      </c>
      <c r="AU105" s="29" t="str">
        <f t="shared" si="108"/>
        <v>#DIV/0!</v>
      </c>
      <c r="AV105" s="29" t="str">
        <f t="shared" si="108"/>
        <v>#DIV/0!</v>
      </c>
      <c r="AW105" s="29" t="str">
        <f t="shared" si="108"/>
        <v>#DIV/0!</v>
      </c>
      <c r="AX105" s="29" t="str">
        <f t="shared" si="108"/>
        <v>#DIV/0!</v>
      </c>
      <c r="AY105" s="29" t="str">
        <f t="shared" si="108"/>
        <v>#DIV/0!</v>
      </c>
      <c r="AZ105" s="29" t="str">
        <f t="shared" si="108"/>
        <v>#DIV/0!</v>
      </c>
      <c r="BA105" s="29" t="str">
        <f t="shared" si="108"/>
        <v>#DIV/0!</v>
      </c>
      <c r="BB105" s="29" t="str">
        <f t="shared" si="108"/>
        <v>#DIV/0!</v>
      </c>
      <c r="BC105" s="29" t="str">
        <f t="shared" si="108"/>
        <v>#DIV/0!</v>
      </c>
      <c r="BD105" s="29" t="str">
        <f t="shared" si="108"/>
        <v>#DIV/0!</v>
      </c>
      <c r="BE105" s="29" t="str">
        <f t="shared" si="108"/>
        <v>#DIV/0!</v>
      </c>
      <c r="BF105" s="29" t="str">
        <f t="shared" si="108"/>
        <v>#DIV/0!</v>
      </c>
      <c r="BG105" s="29" t="str">
        <f t="shared" si="108"/>
        <v>#DIV/0!</v>
      </c>
      <c r="BH105" s="29" t="str">
        <f t="shared" si="108"/>
        <v>#DIV/0!</v>
      </c>
      <c r="BI105" s="29" t="str">
        <f t="shared" si="108"/>
        <v>#DIV/0!</v>
      </c>
      <c r="BJ105" s="29" t="str">
        <f t="shared" si="108"/>
        <v>#DIV/0!</v>
      </c>
      <c r="BK105" s="29" t="str">
        <f t="shared" si="108"/>
        <v>#DIV/0!</v>
      </c>
      <c r="BL105" s="29" t="str">
        <f t="shared" si="108"/>
        <v>#DIV/0!</v>
      </c>
      <c r="BM105" s="29" t="str">
        <f t="shared" si="3"/>
        <v>#DIV/0!</v>
      </c>
    </row>
    <row r="106">
      <c r="A106" s="16" t="str">
        <f>IFERROR(__xludf.DUMMYFUNCTION("IFERROR(SPARKLINE(SORT(MAP(TRANSPOSE(AQ106:BL106), LAMBDA(val, IF(ISNUMBER(val), PERCENTRANK(AQ106:BL106, val)+0.01, 0))), SEQUENCE(COLUMNS(AQ106:BL106)), FALSE), {""charttype"",""column""; ""color"",""chartreuse""; ""ymin"", 0; ""ymax"", 1.01; ""highcolo"&amp;"r"", ""darkgreen""; ""lowcolor"", ""red""}), """")"),"")</f>
        <v/>
      </c>
      <c r="B106" s="17" t="str">
        <f t="shared" si="4"/>
        <v/>
      </c>
      <c r="C106" s="1" t="s">
        <v>2470</v>
      </c>
      <c r="D106" s="30" t="str">
        <f>IFERROR(__xludf.DUMMYFUNCTION("IFERROR(GOOGLEFINANCE(C106, ""NAME""))"),"Church &amp; Dwight Co Inc")</f>
        <v>Church &amp; Dwight Co Inc</v>
      </c>
      <c r="E106" s="30" t="s">
        <v>2132</v>
      </c>
      <c r="F106" s="33" t="str">
        <f>IFERROR(__xludf.DUMMYFUNCTION("( (GOOGLEFINANCE(C106, ""price"") - Q106) / Q106 ) / (R106 / 100)"),"Loading...")</f>
        <v>Loading...</v>
      </c>
      <c r="G106" s="20" t="str">
        <f>IFERROR(__xludf.DUMMYFUNCTION("AVERAGE(ARRAYFORMULA(100 * (QUERY(GOOGLEFINANCE(C106, ""high"", TODAY()-40, TODAY()), ""SELECT Col2 WHERE Col2 IS NOT NULL ORDER BY Col1 DESC LIMIT 20"", 0) / QUERY(GOOGLEFINANCE(C106, ""low"", TODAY()-40, TODAY()), ""SELECT Col2 WHERE Col2 IS NOT NULL OR"&amp;"DER BY Col1 DESC LIMIT 20"", 0) - 1)))"),"#N/A")</f>
        <v>#N/A</v>
      </c>
      <c r="H106" s="35" t="str">
        <f t="shared" si="6"/>
        <v>Liquid</v>
      </c>
      <c r="I106" s="36" t="str">
        <f t="shared" si="7"/>
        <v>RVol Required</v>
      </c>
      <c r="J106" s="37">
        <f>IFERROR(__xludf.DUMMYFUNCTION("IFERROR(
  IF(C106="""",, 
    IFERROR(
      GOOGLEFINANCE(C106, ""price"") * GOOGLEFINANCE(C106, ""volumeavg""), 
      GOOGLEFINANCE(C106, ""price"") * AVERAGE(QUERY(GOOGLEFINANCE(C106, ""volume"", TODAY()-40, TODAY()), ""SELECT Col2 WHERE Col2 IS NOT "&amp;"NULL ORDER BY Col1 DESC LIMIT 20"", 0))
    )
  ), 
"""")"),1.9575239023E8)</f>
        <v>195752390.2</v>
      </c>
      <c r="K106" s="21">
        <f>IFERROR(__xludf.DUMMYFUNCTION("IFERROR(GOOGLEFINANCE(C106, ""changepct"") / 100, """")"),0.0141)</f>
        <v>0.0141</v>
      </c>
      <c r="L106" s="21" t="str">
        <f>IFERROR(__xludf.DUMMYFUNCTION("IFERROR((GOOGLEFINANCE(C106, ""price"") / INDEX(GOOGLEFINANCE(C106, ""price"", TODAY()-7, TODAY()), 2, 2)) - 1, """")"),"")</f>
        <v/>
      </c>
      <c r="M106" s="21" t="str">
        <f>IFERROR(__xludf.DUMMYFUNCTION("IFERROR((GOOGLEFINANCE(C106, ""price"") / INDEX(GOOGLEFINANCE(C106, ""price"", EDATE(TODAY(), -1), TODAY()), 2, 2)) - 1, """")"),"")</f>
        <v/>
      </c>
      <c r="N106" s="21" t="str">
        <f>IFERROR(__xludf.DUMMYFUNCTION("IFERROR((GOOGLEFINANCE(C106, ""price"") / INDEX(GOOGLEFINANCE(C106, ""price"", EDATE(TODAY(), -3), TODAY()), 2, 2)) - 1, """")"),"")</f>
        <v/>
      </c>
      <c r="O106" s="21" t="str">
        <f>IFERROR(__xludf.DUMMYFUNCTION("IFERROR((GOOGLEFINANCE(C106, ""price"") / INDEX(GOOGLEFINANCE(C106, ""price"", EDATE(TODAY(), -6), TODAY()), 2, 2)) - 1, """")"),"")</f>
        <v/>
      </c>
      <c r="P106" s="21" t="str">
        <f>IFERROR(__xludf.DUMMYFUNCTION("IFERROR((GOOGLEFINANCE(C106, ""price"") / INDEX(GOOGLEFINANCE(C106, ""price"", EDATE(TODAY(), -12), TODAY()), 2, 2)) - 1, """")"),"")</f>
        <v/>
      </c>
      <c r="Q106" s="6" t="str">
        <f>IFERROR(__xludf.DUMMYFUNCTION("AVERAGE(QUERY(GOOGLEFINANCE(C106, ""price"", TODAY()-80, TODAY()), ""SELECT Col2 WHERE Col2 IS NOT NULL ORDER BY Col1 DESC LIMIT 50"", 0))"),"#N/A")</f>
        <v>#N/A</v>
      </c>
      <c r="R106" s="24" t="str">
        <f>IFERROR(__xludf.DUMMYFUNCTION("IFERROR(
  LET(
    data, QUERY(GOOGLEFINANCE(C106,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GOOGLEFINANCE(C106, ""price"")) * 100,
    IF(calc=0, G106, calc)
  ), 
G106)"),"#N/A")</f>
        <v>#N/A</v>
      </c>
      <c r="S106" s="8" t="s">
        <v>15</v>
      </c>
      <c r="T106" s="26" t="str">
        <f>IFERROR(__xludf.DUMMYFUNCTION("IFERROR(TRANSPOSE(QUERY(IFERROR(SORT(GOOGLEFINANCE(C106, ""price"", WORKDAY(TODAY(), -40), TODAY()), 1, FALSE)), ""select Col2 where Col2 is not null limit 22 label Col2 ''"", 0)), """")"),"")</f>
        <v/>
      </c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8"/>
      <c r="AO106" s="28"/>
      <c r="AP106" s="29"/>
      <c r="AQ106" s="29" t="str">
        <f t="shared" ref="AQ106:BL106" si="109">T106/T$2</f>
        <v>#N/A</v>
      </c>
      <c r="AR106" s="29" t="str">
        <f t="shared" si="109"/>
        <v>#DIV/0!</v>
      </c>
      <c r="AS106" s="29" t="str">
        <f t="shared" si="109"/>
        <v>#DIV/0!</v>
      </c>
      <c r="AT106" s="29" t="str">
        <f t="shared" si="109"/>
        <v>#DIV/0!</v>
      </c>
      <c r="AU106" s="29" t="str">
        <f t="shared" si="109"/>
        <v>#DIV/0!</v>
      </c>
      <c r="AV106" s="29" t="str">
        <f t="shared" si="109"/>
        <v>#DIV/0!</v>
      </c>
      <c r="AW106" s="29" t="str">
        <f t="shared" si="109"/>
        <v>#DIV/0!</v>
      </c>
      <c r="AX106" s="29" t="str">
        <f t="shared" si="109"/>
        <v>#DIV/0!</v>
      </c>
      <c r="AY106" s="29" t="str">
        <f t="shared" si="109"/>
        <v>#DIV/0!</v>
      </c>
      <c r="AZ106" s="29" t="str">
        <f t="shared" si="109"/>
        <v>#DIV/0!</v>
      </c>
      <c r="BA106" s="29" t="str">
        <f t="shared" si="109"/>
        <v>#DIV/0!</v>
      </c>
      <c r="BB106" s="29" t="str">
        <f t="shared" si="109"/>
        <v>#DIV/0!</v>
      </c>
      <c r="BC106" s="29" t="str">
        <f t="shared" si="109"/>
        <v>#DIV/0!</v>
      </c>
      <c r="BD106" s="29" t="str">
        <f t="shared" si="109"/>
        <v>#DIV/0!</v>
      </c>
      <c r="BE106" s="29" t="str">
        <f t="shared" si="109"/>
        <v>#DIV/0!</v>
      </c>
      <c r="BF106" s="29" t="str">
        <f t="shared" si="109"/>
        <v>#DIV/0!</v>
      </c>
      <c r="BG106" s="29" t="str">
        <f t="shared" si="109"/>
        <v>#DIV/0!</v>
      </c>
      <c r="BH106" s="29" t="str">
        <f t="shared" si="109"/>
        <v>#DIV/0!</v>
      </c>
      <c r="BI106" s="29" t="str">
        <f t="shared" si="109"/>
        <v>#DIV/0!</v>
      </c>
      <c r="BJ106" s="29" t="str">
        <f t="shared" si="109"/>
        <v>#DIV/0!</v>
      </c>
      <c r="BK106" s="29" t="str">
        <f t="shared" si="109"/>
        <v>#DIV/0!</v>
      </c>
      <c r="BL106" s="29" t="str">
        <f t="shared" si="109"/>
        <v>#DIV/0!</v>
      </c>
      <c r="BM106" s="29" t="str">
        <f t="shared" si="3"/>
        <v>#DIV/0!</v>
      </c>
    </row>
    <row r="107">
      <c r="A107" s="16" t="str">
        <f>IFERROR(__xludf.DUMMYFUNCTION("IFERROR(SPARKLINE(SORT(MAP(TRANSPOSE(AQ107:BL107), LAMBDA(val, IF(ISNUMBER(val), PERCENTRANK(AQ107:BL107, val)+0.01, 0))), SEQUENCE(COLUMNS(AQ107:BL107)), FALSE), {""charttype"",""column""; ""color"",""chartreuse""; ""ymin"", 0; ""ymax"", 1.01; ""highcolo"&amp;"r"", ""darkgreen""; ""lowcolor"", ""red""}), """")"),"")</f>
        <v/>
      </c>
      <c r="B107" s="17" t="str">
        <f t="shared" si="4"/>
        <v/>
      </c>
      <c r="C107" s="1" t="s">
        <v>2474</v>
      </c>
      <c r="D107" s="30" t="str">
        <f>IFERROR(__xludf.DUMMYFUNCTION("IFERROR(GOOGLEFINANCE(C107, ""NAME""))"),"Conagra Brands Inc")</f>
        <v>Conagra Brands Inc</v>
      </c>
      <c r="E107" s="30" t="s">
        <v>2094</v>
      </c>
      <c r="F107" s="38" t="str">
        <f>IFERROR(__xludf.DUMMYFUNCTION("( (GOOGLEFINANCE(C107, ""price"") - Q107) / Q107 ) / (R107 / 100)"),"Loading...")</f>
        <v>Loading...</v>
      </c>
      <c r="G107" s="20" t="str">
        <f>IFERROR(__xludf.DUMMYFUNCTION("AVERAGE(ARRAYFORMULA(100 * (QUERY(GOOGLEFINANCE(C107, ""high"", TODAY()-40, TODAY()), ""SELECT Col2 WHERE Col2 IS NOT NULL ORDER BY Col1 DESC LIMIT 20"", 0) / QUERY(GOOGLEFINANCE(C107, ""low"", TODAY()-40, TODAY()), ""SELECT Col2 WHERE Col2 IS NOT NULL OR"&amp;"DER BY Col1 DESC LIMIT 20"", 0) - 1)))"),"#N/A")</f>
        <v>#N/A</v>
      </c>
      <c r="H107" s="35" t="str">
        <f t="shared" si="6"/>
        <v>Liquid</v>
      </c>
      <c r="I107" s="36" t="str">
        <f t="shared" si="7"/>
        <v>RVol Required</v>
      </c>
      <c r="J107" s="37">
        <f>IFERROR(__xludf.DUMMYFUNCTION("IFERROR(
  IF(C107="""",, 
    IFERROR(
      GOOGLEFINANCE(C107, ""price"") * GOOGLEFINANCE(C107, ""volumeavg""), 
      GOOGLEFINANCE(C107, ""price"") * AVERAGE(QUERY(GOOGLEFINANCE(C107, ""volume"", TODAY()-40, TODAY()), ""SELECT Col2 WHERE Col2 IS NOT "&amp;"NULL ORDER BY Col1 DESC LIMIT 20"", 0))
    )
  ), 
"""")"),1.9594447763E8)</f>
        <v>195944477.6</v>
      </c>
      <c r="K107" s="21">
        <f>IFERROR(__xludf.DUMMYFUNCTION("IFERROR(GOOGLEFINANCE(C107, ""changepct"") / 100, """")"),0.020499999999999997)</f>
        <v>0.0205</v>
      </c>
      <c r="L107" s="21" t="str">
        <f>IFERROR(__xludf.DUMMYFUNCTION("IFERROR((GOOGLEFINANCE(C107, ""price"") / INDEX(GOOGLEFINANCE(C107, ""price"", TODAY()-7, TODAY()), 2, 2)) - 1, """")"),"")</f>
        <v/>
      </c>
      <c r="M107" s="21" t="str">
        <f>IFERROR(__xludf.DUMMYFUNCTION("IFERROR((GOOGLEFINANCE(C107, ""price"") / INDEX(GOOGLEFINANCE(C107, ""price"", EDATE(TODAY(), -1), TODAY()), 2, 2)) - 1, """")"),"")</f>
        <v/>
      </c>
      <c r="N107" s="21" t="str">
        <f>IFERROR(__xludf.DUMMYFUNCTION("IFERROR((GOOGLEFINANCE(C107, ""price"") / INDEX(GOOGLEFINANCE(C107, ""price"", EDATE(TODAY(), -3), TODAY()), 2, 2)) - 1, """")"),"")</f>
        <v/>
      </c>
      <c r="O107" s="21" t="str">
        <f>IFERROR(__xludf.DUMMYFUNCTION("IFERROR((GOOGLEFINANCE(C107, ""price"") / INDEX(GOOGLEFINANCE(C107, ""price"", EDATE(TODAY(), -6), TODAY()), 2, 2)) - 1, """")"),"")</f>
        <v/>
      </c>
      <c r="P107" s="21" t="str">
        <f>IFERROR(__xludf.DUMMYFUNCTION("IFERROR((GOOGLEFINANCE(C107, ""price"") / INDEX(GOOGLEFINANCE(C107, ""price"", EDATE(TODAY(), -12), TODAY()), 2, 2)) - 1, """")"),"")</f>
        <v/>
      </c>
      <c r="Q107" s="6" t="str">
        <f>IFERROR(__xludf.DUMMYFUNCTION("AVERAGE(QUERY(GOOGLEFINANCE(C107, ""price"", TODAY()-80, TODAY()), ""SELECT Col2 WHERE Col2 IS NOT NULL ORDER BY Col1 DESC LIMIT 50"", 0))"),"#N/A")</f>
        <v>#N/A</v>
      </c>
      <c r="R107" s="24" t="str">
        <f>IFERROR(__xludf.DUMMYFUNCTION("IFERROR(
  LET(
    data, QUERY(GOOGLEFINANCE(C107,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GOOGLEFINANCE(C107, ""price"")) * 100,
    IF(calc=0, G107, calc)
  ), 
G107)"),"#N/A")</f>
        <v>#N/A</v>
      </c>
      <c r="S107" s="8" t="s">
        <v>15</v>
      </c>
      <c r="T107" s="26" t="str">
        <f>IFERROR(__xludf.DUMMYFUNCTION("IFERROR(TRANSPOSE(QUERY(IFERROR(SORT(GOOGLEFINANCE(C107, ""price"", WORKDAY(TODAY(), -40), TODAY()), 1, FALSE)), ""select Col2 where Col2 is not null limit 22 label Col2 ''"", 0)), """")"),"")</f>
        <v/>
      </c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8"/>
      <c r="AO107" s="28"/>
      <c r="AP107" s="29"/>
      <c r="AQ107" s="29" t="str">
        <f t="shared" ref="AQ107:BL107" si="110">T107/T$2</f>
        <v>#N/A</v>
      </c>
      <c r="AR107" s="29" t="str">
        <f t="shared" si="110"/>
        <v>#DIV/0!</v>
      </c>
      <c r="AS107" s="29" t="str">
        <f t="shared" si="110"/>
        <v>#DIV/0!</v>
      </c>
      <c r="AT107" s="29" t="str">
        <f t="shared" si="110"/>
        <v>#DIV/0!</v>
      </c>
      <c r="AU107" s="29" t="str">
        <f t="shared" si="110"/>
        <v>#DIV/0!</v>
      </c>
      <c r="AV107" s="29" t="str">
        <f t="shared" si="110"/>
        <v>#DIV/0!</v>
      </c>
      <c r="AW107" s="29" t="str">
        <f t="shared" si="110"/>
        <v>#DIV/0!</v>
      </c>
      <c r="AX107" s="29" t="str">
        <f t="shared" si="110"/>
        <v>#DIV/0!</v>
      </c>
      <c r="AY107" s="29" t="str">
        <f t="shared" si="110"/>
        <v>#DIV/0!</v>
      </c>
      <c r="AZ107" s="29" t="str">
        <f t="shared" si="110"/>
        <v>#DIV/0!</v>
      </c>
      <c r="BA107" s="29" t="str">
        <f t="shared" si="110"/>
        <v>#DIV/0!</v>
      </c>
      <c r="BB107" s="29" t="str">
        <f t="shared" si="110"/>
        <v>#DIV/0!</v>
      </c>
      <c r="BC107" s="29" t="str">
        <f t="shared" si="110"/>
        <v>#DIV/0!</v>
      </c>
      <c r="BD107" s="29" t="str">
        <f t="shared" si="110"/>
        <v>#DIV/0!</v>
      </c>
      <c r="BE107" s="29" t="str">
        <f t="shared" si="110"/>
        <v>#DIV/0!</v>
      </c>
      <c r="BF107" s="29" t="str">
        <f t="shared" si="110"/>
        <v>#DIV/0!</v>
      </c>
      <c r="BG107" s="29" t="str">
        <f t="shared" si="110"/>
        <v>#DIV/0!</v>
      </c>
      <c r="BH107" s="29" t="str">
        <f t="shared" si="110"/>
        <v>#DIV/0!</v>
      </c>
      <c r="BI107" s="29" t="str">
        <f t="shared" si="110"/>
        <v>#DIV/0!</v>
      </c>
      <c r="BJ107" s="29" t="str">
        <f t="shared" si="110"/>
        <v>#DIV/0!</v>
      </c>
      <c r="BK107" s="29" t="str">
        <f t="shared" si="110"/>
        <v>#DIV/0!</v>
      </c>
      <c r="BL107" s="29" t="str">
        <f t="shared" si="110"/>
        <v>#DIV/0!</v>
      </c>
      <c r="BM107" s="29" t="str">
        <f t="shared" si="3"/>
        <v>#DIV/0!</v>
      </c>
    </row>
    <row r="108">
      <c r="A108" s="16" t="str">
        <f>IFERROR(__xludf.DUMMYFUNCTION("IFERROR(SPARKLINE(SORT(MAP(TRANSPOSE(AQ108:BL108), LAMBDA(val, IF(ISNUMBER(val), PERCENTRANK(AQ108:BL108, val)+0.01, 0))), SEQUENCE(COLUMNS(AQ108:BL108)), FALSE), {""charttype"",""column""; ""color"",""chartreuse""; ""ymin"", 0; ""ymax"", 1.01; ""highcolo"&amp;"r"", ""darkgreen""; ""lowcolor"", ""red""}), """")"),"")</f>
        <v/>
      </c>
      <c r="B108" s="17" t="str">
        <f t="shared" si="4"/>
        <v/>
      </c>
      <c r="C108" s="1" t="s">
        <v>2478</v>
      </c>
      <c r="D108" s="30" t="str">
        <f>IFERROR(__xludf.DUMMYFUNCTION("IFERROR(GOOGLEFINANCE(C108, ""NAME""))"),"Bellring Brands Inc")</f>
        <v>Bellring Brands Inc</v>
      </c>
      <c r="E108" s="30" t="s">
        <v>2094</v>
      </c>
      <c r="F108" s="33" t="str">
        <f>IFERROR(__xludf.DUMMYFUNCTION("( (GOOGLEFINANCE(C108, ""price"") - Q108) / Q108 ) / (R108 / 100)"),"Loading...")</f>
        <v>Loading...</v>
      </c>
      <c r="G108" s="20" t="str">
        <f>IFERROR(__xludf.DUMMYFUNCTION("AVERAGE(ARRAYFORMULA(100 * (QUERY(GOOGLEFINANCE(C108, ""high"", TODAY()-40, TODAY()), ""SELECT Col2 WHERE Col2 IS NOT NULL ORDER BY Col1 DESC LIMIT 20"", 0) / QUERY(GOOGLEFINANCE(C108, ""low"", TODAY()-40, TODAY()), ""SELECT Col2 WHERE Col2 IS NOT NULL OR"&amp;"DER BY Col1 DESC LIMIT 20"", 0) - 1)))"),"#N/A")</f>
        <v>#N/A</v>
      </c>
      <c r="H108" s="35" t="str">
        <f t="shared" si="6"/>
        <v>Illiquid</v>
      </c>
      <c r="I108" s="36" t="str">
        <f t="shared" si="7"/>
        <v>RVol Required</v>
      </c>
      <c r="J108" s="37">
        <f>IFERROR(__xludf.DUMMYFUNCTION("IFERROR(
  IF(C108="""",, 
    IFERROR(
      GOOGLEFINANCE(C108, ""price"") * GOOGLEFINANCE(C108, ""volumeavg""), 
      GOOGLEFINANCE(C108, ""price"") * AVERAGE(QUERY(GOOGLEFINANCE(C108, ""volume"", TODAY()-40, TODAY()), ""SELECT Col2 WHERE Col2 IS NOT "&amp;"NULL ORDER BY Col1 DESC LIMIT 20"", 0))
    )
  ), 
"""")"),3.587519967E7)</f>
        <v>35875199.67</v>
      </c>
      <c r="K108" s="21">
        <f>IFERROR(__xludf.DUMMYFUNCTION("IFERROR(GOOGLEFINANCE(C108, ""changepct"") / 100, """")"),0.0489)</f>
        <v>0.0489</v>
      </c>
      <c r="L108" s="21" t="str">
        <f>IFERROR(__xludf.DUMMYFUNCTION("IFERROR((GOOGLEFINANCE(C108, ""price"") / INDEX(GOOGLEFINANCE(C108, ""price"", TODAY()-7, TODAY()), 2, 2)) - 1, """")"),"")</f>
        <v/>
      </c>
      <c r="M108" s="21" t="str">
        <f>IFERROR(__xludf.DUMMYFUNCTION("IFERROR((GOOGLEFINANCE(C108, ""price"") / INDEX(GOOGLEFINANCE(C108, ""price"", EDATE(TODAY(), -1), TODAY()), 2, 2)) - 1, """")"),"")</f>
        <v/>
      </c>
      <c r="N108" s="21" t="str">
        <f>IFERROR(__xludf.DUMMYFUNCTION("IFERROR((GOOGLEFINANCE(C108, ""price"") / INDEX(GOOGLEFINANCE(C108, ""price"", EDATE(TODAY(), -3), TODAY()), 2, 2)) - 1, """")"),"")</f>
        <v/>
      </c>
      <c r="O108" s="21" t="str">
        <f>IFERROR(__xludf.DUMMYFUNCTION("IFERROR((GOOGLEFINANCE(C108, ""price"") / INDEX(GOOGLEFINANCE(C108, ""price"", EDATE(TODAY(), -6), TODAY()), 2, 2)) - 1, """")"),"")</f>
        <v/>
      </c>
      <c r="P108" s="21" t="str">
        <f>IFERROR(__xludf.DUMMYFUNCTION("IFERROR((GOOGLEFINANCE(C108, ""price"") / INDEX(GOOGLEFINANCE(C108, ""price"", EDATE(TODAY(), -12), TODAY()), 2, 2)) - 1, """")"),"")</f>
        <v/>
      </c>
      <c r="Q108" s="6" t="str">
        <f>IFERROR(__xludf.DUMMYFUNCTION("AVERAGE(QUERY(GOOGLEFINANCE(C108, ""price"", TODAY()-80, TODAY()), ""SELECT Col2 WHERE Col2 IS NOT NULL ORDER BY Col1 DESC LIMIT 50"", 0))"),"#N/A")</f>
        <v>#N/A</v>
      </c>
      <c r="R108" s="24" t="str">
        <f>IFERROR(__xludf.DUMMYFUNCTION("IFERROR(
  LET(
    data, QUERY(GOOGLEFINANCE(C108,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GOOGLEFINANCE(C108, ""price"")) * 100,
    IF(calc=0, G108, calc)
  ), 
G108)"),"#N/A")</f>
        <v>#N/A</v>
      </c>
      <c r="S108" s="8" t="s">
        <v>15</v>
      </c>
      <c r="T108" s="26" t="str">
        <f>IFERROR(__xludf.DUMMYFUNCTION("IFERROR(TRANSPOSE(QUERY(IFERROR(SORT(GOOGLEFINANCE(C108, ""price"", WORKDAY(TODAY(), -40), TODAY()), 1, FALSE)), ""select Col2 where Col2 is not null limit 22 label Col2 ''"", 0)), """")"),"")</f>
        <v/>
      </c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8"/>
      <c r="AO108" s="28"/>
      <c r="AP108" s="29"/>
      <c r="AQ108" s="29" t="str">
        <f t="shared" ref="AQ108:BL108" si="111">T108/T$2</f>
        <v>#N/A</v>
      </c>
      <c r="AR108" s="29" t="str">
        <f t="shared" si="111"/>
        <v>#DIV/0!</v>
      </c>
      <c r="AS108" s="29" t="str">
        <f t="shared" si="111"/>
        <v>#DIV/0!</v>
      </c>
      <c r="AT108" s="29" t="str">
        <f t="shared" si="111"/>
        <v>#DIV/0!</v>
      </c>
      <c r="AU108" s="29" t="str">
        <f t="shared" si="111"/>
        <v>#DIV/0!</v>
      </c>
      <c r="AV108" s="29" t="str">
        <f t="shared" si="111"/>
        <v>#DIV/0!</v>
      </c>
      <c r="AW108" s="29" t="str">
        <f t="shared" si="111"/>
        <v>#DIV/0!</v>
      </c>
      <c r="AX108" s="29" t="str">
        <f t="shared" si="111"/>
        <v>#DIV/0!</v>
      </c>
      <c r="AY108" s="29" t="str">
        <f t="shared" si="111"/>
        <v>#DIV/0!</v>
      </c>
      <c r="AZ108" s="29" t="str">
        <f t="shared" si="111"/>
        <v>#DIV/0!</v>
      </c>
      <c r="BA108" s="29" t="str">
        <f t="shared" si="111"/>
        <v>#DIV/0!</v>
      </c>
      <c r="BB108" s="29" t="str">
        <f t="shared" si="111"/>
        <v>#DIV/0!</v>
      </c>
      <c r="BC108" s="29" t="str">
        <f t="shared" si="111"/>
        <v>#DIV/0!</v>
      </c>
      <c r="BD108" s="29" t="str">
        <f t="shared" si="111"/>
        <v>#DIV/0!</v>
      </c>
      <c r="BE108" s="29" t="str">
        <f t="shared" si="111"/>
        <v>#DIV/0!</v>
      </c>
      <c r="BF108" s="29" t="str">
        <f t="shared" si="111"/>
        <v>#DIV/0!</v>
      </c>
      <c r="BG108" s="29" t="str">
        <f t="shared" si="111"/>
        <v>#DIV/0!</v>
      </c>
      <c r="BH108" s="29" t="str">
        <f t="shared" si="111"/>
        <v>#DIV/0!</v>
      </c>
      <c r="BI108" s="29" t="str">
        <f t="shared" si="111"/>
        <v>#DIV/0!</v>
      </c>
      <c r="BJ108" s="29" t="str">
        <f t="shared" si="111"/>
        <v>#DIV/0!</v>
      </c>
      <c r="BK108" s="29" t="str">
        <f t="shared" si="111"/>
        <v>#DIV/0!</v>
      </c>
      <c r="BL108" s="29" t="str">
        <f t="shared" si="111"/>
        <v>#DIV/0!</v>
      </c>
      <c r="BM108" s="29" t="str">
        <f t="shared" si="3"/>
        <v>#DIV/0!</v>
      </c>
    </row>
    <row r="109">
      <c r="A109" s="16" t="str">
        <f>IFERROR(__xludf.DUMMYFUNCTION("IFERROR(SPARKLINE(SORT(MAP(TRANSPOSE(AQ109:BL109), LAMBDA(val, IF(ISNUMBER(val), PERCENTRANK(AQ109:BL109, val)+0.01, 0))), SEQUENCE(COLUMNS(AQ109:BL109)), FALSE), {""charttype"",""column""; ""color"",""chartreuse""; ""ymin"", 0; ""ymax"", 1.01; ""highcolo"&amp;"r"", ""darkgreen""; ""lowcolor"", ""red""}), """")"),"")</f>
        <v/>
      </c>
      <c r="B109" s="17" t="str">
        <f t="shared" si="4"/>
        <v/>
      </c>
      <c r="C109" s="1" t="s">
        <v>2482</v>
      </c>
      <c r="D109" s="30" t="str">
        <f>IFERROR(__xludf.DUMMYFUNCTION("IFERROR(GOOGLEFINANCE(C109, ""NAME""))"),"BJ's Wholesale Club Holdings Inc")</f>
        <v>BJ's Wholesale Club Holdings Inc</v>
      </c>
      <c r="E109" s="30" t="s">
        <v>2270</v>
      </c>
      <c r="F109" s="33" t="str">
        <f>IFERROR(__xludf.DUMMYFUNCTION("( (GOOGLEFINANCE(C109, ""price"") - Q109) / Q109 ) / (R109 / 100)"),"Loading...")</f>
        <v>Loading...</v>
      </c>
      <c r="G109" s="20" t="str">
        <f>IFERROR(__xludf.DUMMYFUNCTION("AVERAGE(ARRAYFORMULA(100 * (QUERY(GOOGLEFINANCE(C109, ""high"", TODAY()-40, TODAY()), ""SELECT Col2 WHERE Col2 IS NOT NULL ORDER BY Col1 DESC LIMIT 20"", 0) / QUERY(GOOGLEFINANCE(C109, ""low"", TODAY()-40, TODAY()), ""SELECT Col2 WHERE Col2 IS NOT NULL OR"&amp;"DER BY Col1 DESC LIMIT 20"", 0) - 1)))"),"#N/A")</f>
        <v>#N/A</v>
      </c>
      <c r="H109" s="35" t="str">
        <f t="shared" si="6"/>
        <v>Liquid</v>
      </c>
      <c r="I109" s="36" t="str">
        <f t="shared" si="7"/>
        <v>RVol Required</v>
      </c>
      <c r="J109" s="37">
        <f>IFERROR(__xludf.DUMMYFUNCTION("IFERROR(
  IF(C109="""",, 
    IFERROR(
      GOOGLEFINANCE(C109, ""price"") * GOOGLEFINANCE(C109, ""volumeavg""), 
      GOOGLEFINANCE(C109, ""price"") * AVERAGE(QUERY(GOOGLEFINANCE(C109, ""volume"", TODAY()-40, TODAY()), ""SELECT Col2 WHERE Col2 IS NOT "&amp;"NULL ORDER BY Col1 DESC LIMIT 20"", 0))
    )
  ), 
"""")"),1.941276675E8)</f>
        <v>194127667.5</v>
      </c>
      <c r="K109" s="21">
        <f>IFERROR(__xludf.DUMMYFUNCTION("IFERROR(GOOGLEFINANCE(C109, ""changepct"") / 100, """")"),-0.0031)</f>
        <v>-0.0031</v>
      </c>
      <c r="L109" s="21" t="str">
        <f>IFERROR(__xludf.DUMMYFUNCTION("IFERROR((GOOGLEFINANCE(C109, ""price"") / INDEX(GOOGLEFINANCE(C109, ""price"", TODAY()-7, TODAY()), 2, 2)) - 1, """")"),"")</f>
        <v/>
      </c>
      <c r="M109" s="21" t="str">
        <f>IFERROR(__xludf.DUMMYFUNCTION("IFERROR((GOOGLEFINANCE(C109, ""price"") / INDEX(GOOGLEFINANCE(C109, ""price"", EDATE(TODAY(), -1), TODAY()), 2, 2)) - 1, """")"),"")</f>
        <v/>
      </c>
      <c r="N109" s="21" t="str">
        <f>IFERROR(__xludf.DUMMYFUNCTION("IFERROR((GOOGLEFINANCE(C109, ""price"") / INDEX(GOOGLEFINANCE(C109, ""price"", EDATE(TODAY(), -3), TODAY()), 2, 2)) - 1, """")"),"")</f>
        <v/>
      </c>
      <c r="O109" s="21" t="str">
        <f>IFERROR(__xludf.DUMMYFUNCTION("IFERROR((GOOGLEFINANCE(C109, ""price"") / INDEX(GOOGLEFINANCE(C109, ""price"", EDATE(TODAY(), -6), TODAY()), 2, 2)) - 1, """")"),"")</f>
        <v/>
      </c>
      <c r="P109" s="21" t="str">
        <f>IFERROR(__xludf.DUMMYFUNCTION("IFERROR((GOOGLEFINANCE(C109, ""price"") / INDEX(GOOGLEFINANCE(C109, ""price"", EDATE(TODAY(), -12), TODAY()), 2, 2)) - 1, """")"),"")</f>
        <v/>
      </c>
      <c r="Q109" s="6" t="str">
        <f>IFERROR(__xludf.DUMMYFUNCTION("AVERAGE(QUERY(GOOGLEFINANCE(C109, ""price"", TODAY()-80, TODAY()), ""SELECT Col2 WHERE Col2 IS NOT NULL ORDER BY Col1 DESC LIMIT 50"", 0))"),"#N/A")</f>
        <v>#N/A</v>
      </c>
      <c r="R109" s="24" t="str">
        <f>IFERROR(__xludf.DUMMYFUNCTION("IFERROR(
  LET(
    data, QUERY(GOOGLEFINANCE(C109,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GOOGLEFINANCE(C109, ""price"")) * 100,
    IF(calc=0, G109, calc)
  ), 
G109)"),"#N/A")</f>
        <v>#N/A</v>
      </c>
      <c r="S109" s="8" t="s">
        <v>15</v>
      </c>
      <c r="T109" s="26" t="str">
        <f>IFERROR(__xludf.DUMMYFUNCTION("IFERROR(TRANSPOSE(QUERY(IFERROR(SORT(GOOGLEFINANCE(C109, ""price"", WORKDAY(TODAY(), -40), TODAY()), 1, FALSE)), ""select Col2 where Col2 is not null limit 22 label Col2 ''"", 0)), """")"),"")</f>
        <v/>
      </c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8"/>
      <c r="AO109" s="28"/>
      <c r="AP109" s="29"/>
      <c r="AQ109" s="29" t="str">
        <f t="shared" ref="AQ109:BL109" si="112">T109/T$2</f>
        <v>#N/A</v>
      </c>
      <c r="AR109" s="29" t="str">
        <f t="shared" si="112"/>
        <v>#DIV/0!</v>
      </c>
      <c r="AS109" s="29" t="str">
        <f t="shared" si="112"/>
        <v>#DIV/0!</v>
      </c>
      <c r="AT109" s="29" t="str">
        <f t="shared" si="112"/>
        <v>#DIV/0!</v>
      </c>
      <c r="AU109" s="29" t="str">
        <f t="shared" si="112"/>
        <v>#DIV/0!</v>
      </c>
      <c r="AV109" s="29" t="str">
        <f t="shared" si="112"/>
        <v>#DIV/0!</v>
      </c>
      <c r="AW109" s="29" t="str">
        <f t="shared" si="112"/>
        <v>#DIV/0!</v>
      </c>
      <c r="AX109" s="29" t="str">
        <f t="shared" si="112"/>
        <v>#DIV/0!</v>
      </c>
      <c r="AY109" s="29" t="str">
        <f t="shared" si="112"/>
        <v>#DIV/0!</v>
      </c>
      <c r="AZ109" s="29" t="str">
        <f t="shared" si="112"/>
        <v>#DIV/0!</v>
      </c>
      <c r="BA109" s="29" t="str">
        <f t="shared" si="112"/>
        <v>#DIV/0!</v>
      </c>
      <c r="BB109" s="29" t="str">
        <f t="shared" si="112"/>
        <v>#DIV/0!</v>
      </c>
      <c r="BC109" s="29" t="str">
        <f t="shared" si="112"/>
        <v>#DIV/0!</v>
      </c>
      <c r="BD109" s="29" t="str">
        <f t="shared" si="112"/>
        <v>#DIV/0!</v>
      </c>
      <c r="BE109" s="29" t="str">
        <f t="shared" si="112"/>
        <v>#DIV/0!</v>
      </c>
      <c r="BF109" s="29" t="str">
        <f t="shared" si="112"/>
        <v>#DIV/0!</v>
      </c>
      <c r="BG109" s="29" t="str">
        <f t="shared" si="112"/>
        <v>#DIV/0!</v>
      </c>
      <c r="BH109" s="29" t="str">
        <f t="shared" si="112"/>
        <v>#DIV/0!</v>
      </c>
      <c r="BI109" s="29" t="str">
        <f t="shared" si="112"/>
        <v>#DIV/0!</v>
      </c>
      <c r="BJ109" s="29" t="str">
        <f t="shared" si="112"/>
        <v>#DIV/0!</v>
      </c>
      <c r="BK109" s="29" t="str">
        <f t="shared" si="112"/>
        <v>#DIV/0!</v>
      </c>
      <c r="BL109" s="29" t="str">
        <f t="shared" si="112"/>
        <v>#DIV/0!</v>
      </c>
      <c r="BM109" s="29" t="str">
        <f t="shared" si="3"/>
        <v>#DIV/0!</v>
      </c>
    </row>
    <row r="110">
      <c r="A110" s="16" t="str">
        <f>IFERROR(__xludf.DUMMYFUNCTION("IFERROR(SPARKLINE(SORT(MAP(TRANSPOSE(AQ110:BL110), LAMBDA(val, IF(ISNUMBER(val), PERCENTRANK(AQ110:BL110, val)+0.01, 0))), SEQUENCE(COLUMNS(AQ110:BL110)), FALSE), {""charttype"",""column""; ""color"",""chartreuse""; ""ymin"", 0; ""ymax"", 1.01; ""highcolo"&amp;"r"", ""darkgreen""; ""lowcolor"", ""red""}), """")"),"")</f>
        <v/>
      </c>
      <c r="B110" s="17" t="str">
        <f t="shared" si="4"/>
        <v/>
      </c>
      <c r="C110" s="1" t="s">
        <v>2486</v>
      </c>
      <c r="D110" s="30" t="str">
        <f>IFERROR(__xludf.DUMMYFUNCTION("IFERROR(GOOGLEFINANCE(C110, ""NAME""))"),"Andersons Inc")</f>
        <v>Andersons Inc</v>
      </c>
      <c r="E110" s="30" t="s">
        <v>2120</v>
      </c>
      <c r="F110" s="33" t="str">
        <f>IFERROR(__xludf.DUMMYFUNCTION("( (GOOGLEFINANCE(C110, ""price"") - Q110) / Q110 ) / (R110 / 100)"),"Loading...")</f>
        <v>Loading...</v>
      </c>
      <c r="G110" s="20" t="str">
        <f>IFERROR(__xludf.DUMMYFUNCTION("AVERAGE(ARRAYFORMULA(100 * (QUERY(GOOGLEFINANCE(C110, ""high"", TODAY()-40, TODAY()), ""SELECT Col2 WHERE Col2 IS NOT NULL ORDER BY Col1 DESC LIMIT 20"", 0) / QUERY(GOOGLEFINANCE(C110, ""low"", TODAY()-40, TODAY()), ""SELECT Col2 WHERE Col2 IS NOT NULL OR"&amp;"DER BY Col1 DESC LIMIT 20"", 0) - 1)))"),"#N/A")</f>
        <v>#N/A</v>
      </c>
      <c r="H110" s="35" t="str">
        <f t="shared" si="6"/>
        <v>Illiquid</v>
      </c>
      <c r="I110" s="36" t="str">
        <f t="shared" si="7"/>
        <v>RVol Required</v>
      </c>
      <c r="J110" s="37">
        <f>IFERROR(__xludf.DUMMYFUNCTION("IFERROR(
  IF(C110="""",, 
    IFERROR(
      GOOGLEFINANCE(C110, ""price"") * GOOGLEFINANCE(C110, ""volumeavg""), 
      GOOGLEFINANCE(C110, ""price"") * AVERAGE(QUERY(GOOGLEFINANCE(C110, ""volume"", TODAY()-40, TODAY()), ""SELECT Col2 WHERE Col2 IS NOT "&amp;"NULL ORDER BY Col1 DESC LIMIT 20"", 0))
    )
  ), 
"""")"),2.4296156700000003E7)</f>
        <v>24296156.7</v>
      </c>
      <c r="K110" s="21">
        <f>IFERROR(__xludf.DUMMYFUNCTION("IFERROR(GOOGLEFINANCE(C110, ""changepct"") / 100, """")"),-0.011399999999999999)</f>
        <v>-0.0114</v>
      </c>
      <c r="L110" s="21" t="str">
        <f>IFERROR(__xludf.DUMMYFUNCTION("IFERROR((GOOGLEFINANCE(C110, ""price"") / INDEX(GOOGLEFINANCE(C110, ""price"", TODAY()-7, TODAY()), 2, 2)) - 1, """")"),"")</f>
        <v/>
      </c>
      <c r="M110" s="21" t="str">
        <f>IFERROR(__xludf.DUMMYFUNCTION("IFERROR((GOOGLEFINANCE(C110, ""price"") / INDEX(GOOGLEFINANCE(C110, ""price"", EDATE(TODAY(), -1), TODAY()), 2, 2)) - 1, """")"),"")</f>
        <v/>
      </c>
      <c r="N110" s="21" t="str">
        <f>IFERROR(__xludf.DUMMYFUNCTION("IFERROR((GOOGLEFINANCE(C110, ""price"") / INDEX(GOOGLEFINANCE(C110, ""price"", EDATE(TODAY(), -3), TODAY()), 2, 2)) - 1, """")"),"")</f>
        <v/>
      </c>
      <c r="O110" s="21" t="str">
        <f>IFERROR(__xludf.DUMMYFUNCTION("IFERROR((GOOGLEFINANCE(C110, ""price"") / INDEX(GOOGLEFINANCE(C110, ""price"", EDATE(TODAY(), -6), TODAY()), 2, 2)) - 1, """")"),"")</f>
        <v/>
      </c>
      <c r="P110" s="21" t="str">
        <f>IFERROR(__xludf.DUMMYFUNCTION("IFERROR((GOOGLEFINANCE(C110, ""price"") / INDEX(GOOGLEFINANCE(C110, ""price"", EDATE(TODAY(), -12), TODAY()), 2, 2)) - 1, """")"),"")</f>
        <v/>
      </c>
      <c r="Q110" s="6" t="str">
        <f>IFERROR(__xludf.DUMMYFUNCTION("AVERAGE(QUERY(GOOGLEFINANCE(C110, ""price"", TODAY()-80, TODAY()), ""SELECT Col2 WHERE Col2 IS NOT NULL ORDER BY Col1 DESC LIMIT 50"", 0))"),"#N/A")</f>
        <v>#N/A</v>
      </c>
      <c r="R110" s="24" t="str">
        <f>IFERROR(__xludf.DUMMYFUNCTION("IFERROR(
  LET(
    data, QUERY(GOOGLEFINANCE(C110,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GOOGLEFINANCE(C110, ""price"")) * 100,
    IF(calc=0, G110, calc)
  ), 
G110)"),"#N/A")</f>
        <v>#N/A</v>
      </c>
      <c r="S110" s="8" t="s">
        <v>15</v>
      </c>
      <c r="T110" s="26" t="str">
        <f>IFERROR(__xludf.DUMMYFUNCTION("IFERROR(TRANSPOSE(QUERY(IFERROR(SORT(GOOGLEFINANCE(C110, ""price"", WORKDAY(TODAY(), -40), TODAY()), 1, FALSE)), ""select Col2 where Col2 is not null limit 22 label Col2 ''"", 0)), """")"),"")</f>
        <v/>
      </c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8"/>
      <c r="AO110" s="28"/>
      <c r="AP110" s="29"/>
      <c r="AQ110" s="29" t="str">
        <f t="shared" ref="AQ110:BL110" si="113">T110/T$2</f>
        <v>#N/A</v>
      </c>
      <c r="AR110" s="29" t="str">
        <f t="shared" si="113"/>
        <v>#DIV/0!</v>
      </c>
      <c r="AS110" s="29" t="str">
        <f t="shared" si="113"/>
        <v>#DIV/0!</v>
      </c>
      <c r="AT110" s="29" t="str">
        <f t="shared" si="113"/>
        <v>#DIV/0!</v>
      </c>
      <c r="AU110" s="29" t="str">
        <f t="shared" si="113"/>
        <v>#DIV/0!</v>
      </c>
      <c r="AV110" s="29" t="str">
        <f t="shared" si="113"/>
        <v>#DIV/0!</v>
      </c>
      <c r="AW110" s="29" t="str">
        <f t="shared" si="113"/>
        <v>#DIV/0!</v>
      </c>
      <c r="AX110" s="29" t="str">
        <f t="shared" si="113"/>
        <v>#DIV/0!</v>
      </c>
      <c r="AY110" s="29" t="str">
        <f t="shared" si="113"/>
        <v>#DIV/0!</v>
      </c>
      <c r="AZ110" s="29" t="str">
        <f t="shared" si="113"/>
        <v>#DIV/0!</v>
      </c>
      <c r="BA110" s="29" t="str">
        <f t="shared" si="113"/>
        <v>#DIV/0!</v>
      </c>
      <c r="BB110" s="29" t="str">
        <f t="shared" si="113"/>
        <v>#DIV/0!</v>
      </c>
      <c r="BC110" s="29" t="str">
        <f t="shared" si="113"/>
        <v>#DIV/0!</v>
      </c>
      <c r="BD110" s="29" t="str">
        <f t="shared" si="113"/>
        <v>#DIV/0!</v>
      </c>
      <c r="BE110" s="29" t="str">
        <f t="shared" si="113"/>
        <v>#DIV/0!</v>
      </c>
      <c r="BF110" s="29" t="str">
        <f t="shared" si="113"/>
        <v>#DIV/0!</v>
      </c>
      <c r="BG110" s="29" t="str">
        <f t="shared" si="113"/>
        <v>#DIV/0!</v>
      </c>
      <c r="BH110" s="29" t="str">
        <f t="shared" si="113"/>
        <v>#DIV/0!</v>
      </c>
      <c r="BI110" s="29" t="str">
        <f t="shared" si="113"/>
        <v>#DIV/0!</v>
      </c>
      <c r="BJ110" s="29" t="str">
        <f t="shared" si="113"/>
        <v>#DIV/0!</v>
      </c>
      <c r="BK110" s="29" t="str">
        <f t="shared" si="113"/>
        <v>#DIV/0!</v>
      </c>
      <c r="BL110" s="29" t="str">
        <f t="shared" si="113"/>
        <v>#DIV/0!</v>
      </c>
      <c r="BM110" s="29" t="str">
        <f t="shared" si="3"/>
        <v>#DIV/0!</v>
      </c>
    </row>
    <row r="111">
      <c r="A111" s="16" t="str">
        <f>IFERROR(__xludf.DUMMYFUNCTION("IFERROR(SPARKLINE(SORT(MAP(TRANSPOSE(AQ111:BL111), LAMBDA(val, IF(ISNUMBER(val), PERCENTRANK(AQ111:BL111, val)+0.01, 0))), SEQUENCE(COLUMNS(AQ111:BL111)), FALSE), {""charttype"",""column""; ""color"",""chartreuse""; ""ymin"", 0; ""ymax"", 1.01; ""highcolo"&amp;"r"", ""darkgreen""; ""lowcolor"", ""red""}), """")"),"")</f>
        <v/>
      </c>
      <c r="B111" s="17" t="str">
        <f t="shared" si="4"/>
        <v/>
      </c>
      <c r="C111" s="1" t="s">
        <v>2490</v>
      </c>
      <c r="D111" s="30" t="str">
        <f>IFERROR(__xludf.DUMMYFUNCTION("IFERROR(GOOGLEFINANCE(C111, ""NAME""))"),"Adecoagro SA")</f>
        <v>Adecoagro SA</v>
      </c>
      <c r="E111" s="30" t="s">
        <v>2115</v>
      </c>
      <c r="F111" s="33" t="str">
        <f>IFERROR(__xludf.DUMMYFUNCTION("( (GOOGLEFINANCE(C111, ""price"") - Q111) / Q111 ) / (R111 / 100)"),"Loading...")</f>
        <v>Loading...</v>
      </c>
      <c r="G111" s="20" t="str">
        <f>IFERROR(__xludf.DUMMYFUNCTION("AVERAGE(ARRAYFORMULA(100 * (QUERY(GOOGLEFINANCE(C111, ""high"", TODAY()-40, TODAY()), ""SELECT Col2 WHERE Col2 IS NOT NULL ORDER BY Col1 DESC LIMIT 20"", 0) / QUERY(GOOGLEFINANCE(C111, ""low"", TODAY()-40, TODAY()), ""SELECT Col2 WHERE Col2 IS NOT NULL OR"&amp;"DER BY Col1 DESC LIMIT 20"", 0) - 1)))"),"#N/A")</f>
        <v>#N/A</v>
      </c>
      <c r="H111" s="35" t="str">
        <f t="shared" si="6"/>
        <v>Illiquid</v>
      </c>
      <c r="I111" s="36" t="str">
        <f t="shared" si="7"/>
        <v>RVol Required</v>
      </c>
      <c r="J111" s="37">
        <f>IFERROR(__xludf.DUMMYFUNCTION("IFERROR(
  IF(C111="""",, 
    IFERROR(
      GOOGLEFINANCE(C111, ""price"") * GOOGLEFINANCE(C111, ""volumeavg""), 
      GOOGLEFINANCE(C111, ""price"") * AVERAGE(QUERY(GOOGLEFINANCE(C111, ""volume"", TODAY()-40, TODAY()), ""SELECT Col2 WHERE Col2 IS NOT "&amp;"NULL ORDER BY Col1 DESC LIMIT 20"", 0))
    )
  ), 
"""")"),6579278.8)</f>
        <v>6579278.8</v>
      </c>
      <c r="K111" s="21">
        <f>IFERROR(__xludf.DUMMYFUNCTION("IFERROR(GOOGLEFINANCE(C111, ""changepct"") / 100, """")"),-0.002)</f>
        <v>-0.002</v>
      </c>
      <c r="L111" s="21" t="str">
        <f>IFERROR(__xludf.DUMMYFUNCTION("IFERROR((GOOGLEFINANCE(C111, ""price"") / INDEX(GOOGLEFINANCE(C111, ""price"", TODAY()-7, TODAY()), 2, 2)) - 1, """")"),"")</f>
        <v/>
      </c>
      <c r="M111" s="21" t="str">
        <f>IFERROR(__xludf.DUMMYFUNCTION("IFERROR((GOOGLEFINANCE(C111, ""price"") / INDEX(GOOGLEFINANCE(C111, ""price"", EDATE(TODAY(), -1), TODAY()), 2, 2)) - 1, """")"),"")</f>
        <v/>
      </c>
      <c r="N111" s="21" t="str">
        <f>IFERROR(__xludf.DUMMYFUNCTION("IFERROR((GOOGLEFINANCE(C111, ""price"") / INDEX(GOOGLEFINANCE(C111, ""price"", EDATE(TODAY(), -3), TODAY()), 2, 2)) - 1, """")"),"")</f>
        <v/>
      </c>
      <c r="O111" s="21" t="str">
        <f>IFERROR(__xludf.DUMMYFUNCTION("IFERROR((GOOGLEFINANCE(C111, ""price"") / INDEX(GOOGLEFINANCE(C111, ""price"", EDATE(TODAY(), -6), TODAY()), 2, 2)) - 1, """")"),"")</f>
        <v/>
      </c>
      <c r="P111" s="21" t="str">
        <f>IFERROR(__xludf.DUMMYFUNCTION("IFERROR((GOOGLEFINANCE(C111, ""price"") / INDEX(GOOGLEFINANCE(C111, ""price"", EDATE(TODAY(), -12), TODAY()), 2, 2)) - 1, """")"),"")</f>
        <v/>
      </c>
      <c r="Q111" s="6" t="str">
        <f>IFERROR(__xludf.DUMMYFUNCTION("AVERAGE(QUERY(GOOGLEFINANCE(C111, ""price"", TODAY()-80, TODAY()), ""SELECT Col2 WHERE Col2 IS NOT NULL ORDER BY Col1 DESC LIMIT 50"", 0))"),"#N/A")</f>
        <v>#N/A</v>
      </c>
      <c r="R111" s="24" t="str">
        <f>IFERROR(__xludf.DUMMYFUNCTION("IFERROR(
  LET(
    data, QUERY(GOOGLEFINANCE(C111,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GOOGLEFINANCE(C111, ""price"")) * 100,
    IF(calc=0, G111, calc)
  ), 
G111)"),"#N/A")</f>
        <v>#N/A</v>
      </c>
      <c r="S111" s="8" t="s">
        <v>15</v>
      </c>
      <c r="T111" s="26" t="str">
        <f>IFERROR(__xludf.DUMMYFUNCTION("IFERROR(TRANSPOSE(QUERY(IFERROR(SORT(GOOGLEFINANCE(C111, ""price"", WORKDAY(TODAY(), -40), TODAY()), 1, FALSE)), ""select Col2 where Col2 is not null limit 22 label Col2 ''"", 0)), """")"),"")</f>
        <v/>
      </c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8"/>
      <c r="AO111" s="28"/>
      <c r="AP111" s="29"/>
      <c r="AQ111" s="29" t="str">
        <f t="shared" ref="AQ111:BL111" si="114">T111/T$2</f>
        <v>#N/A</v>
      </c>
      <c r="AR111" s="29" t="str">
        <f t="shared" si="114"/>
        <v>#DIV/0!</v>
      </c>
      <c r="AS111" s="29" t="str">
        <f t="shared" si="114"/>
        <v>#DIV/0!</v>
      </c>
      <c r="AT111" s="29" t="str">
        <f t="shared" si="114"/>
        <v>#DIV/0!</v>
      </c>
      <c r="AU111" s="29" t="str">
        <f t="shared" si="114"/>
        <v>#DIV/0!</v>
      </c>
      <c r="AV111" s="29" t="str">
        <f t="shared" si="114"/>
        <v>#DIV/0!</v>
      </c>
      <c r="AW111" s="29" t="str">
        <f t="shared" si="114"/>
        <v>#DIV/0!</v>
      </c>
      <c r="AX111" s="29" t="str">
        <f t="shared" si="114"/>
        <v>#DIV/0!</v>
      </c>
      <c r="AY111" s="29" t="str">
        <f t="shared" si="114"/>
        <v>#DIV/0!</v>
      </c>
      <c r="AZ111" s="29" t="str">
        <f t="shared" si="114"/>
        <v>#DIV/0!</v>
      </c>
      <c r="BA111" s="29" t="str">
        <f t="shared" si="114"/>
        <v>#DIV/0!</v>
      </c>
      <c r="BB111" s="29" t="str">
        <f t="shared" si="114"/>
        <v>#DIV/0!</v>
      </c>
      <c r="BC111" s="29" t="str">
        <f t="shared" si="114"/>
        <v>#DIV/0!</v>
      </c>
      <c r="BD111" s="29" t="str">
        <f t="shared" si="114"/>
        <v>#DIV/0!</v>
      </c>
      <c r="BE111" s="29" t="str">
        <f t="shared" si="114"/>
        <v>#DIV/0!</v>
      </c>
      <c r="BF111" s="29" t="str">
        <f t="shared" si="114"/>
        <v>#DIV/0!</v>
      </c>
      <c r="BG111" s="29" t="str">
        <f t="shared" si="114"/>
        <v>#DIV/0!</v>
      </c>
      <c r="BH111" s="29" t="str">
        <f t="shared" si="114"/>
        <v>#DIV/0!</v>
      </c>
      <c r="BI111" s="29" t="str">
        <f t="shared" si="114"/>
        <v>#DIV/0!</v>
      </c>
      <c r="BJ111" s="29" t="str">
        <f t="shared" si="114"/>
        <v>#DIV/0!</v>
      </c>
      <c r="BK111" s="29" t="str">
        <f t="shared" si="114"/>
        <v>#DIV/0!</v>
      </c>
      <c r="BL111" s="29" t="str">
        <f t="shared" si="114"/>
        <v>#DIV/0!</v>
      </c>
      <c r="BM111" s="29" t="str">
        <f t="shared" si="3"/>
        <v>#DIV/0!</v>
      </c>
    </row>
    <row r="112">
      <c r="A112" s="16" t="str">
        <f>IFERROR(__xludf.DUMMYFUNCTION("IFERROR(SPARKLINE(SORT(MAP(TRANSPOSE(AQ112:BL112), LAMBDA(val, IF(ISNUMBER(val), PERCENTRANK(AQ112:BL112, val)+0.01, 0))), SEQUENCE(COLUMNS(AQ112:BL112)), FALSE), {""charttype"",""column""; ""color"",""chartreuse""; ""ymin"", 0; ""ymax"", 1.01; ""highcolo"&amp;"r"", ""darkgreen""; ""lowcolor"", ""red""}), """")"),"")</f>
        <v/>
      </c>
      <c r="B112" s="17" t="str">
        <f t="shared" si="4"/>
        <v/>
      </c>
      <c r="C112" s="1" t="s">
        <v>2494</v>
      </c>
      <c r="D112" s="30" t="str">
        <f>IFERROR(__xludf.DUMMYFUNCTION("IFERROR(GOOGLEFINANCE(C112, ""NAME""))"),"Albertsons Companies Inc")</f>
        <v>Albertsons Companies Inc</v>
      </c>
      <c r="E112" s="30" t="s">
        <v>2063</v>
      </c>
      <c r="F112" s="33" t="str">
        <f>IFERROR(__xludf.DUMMYFUNCTION("( (GOOGLEFINANCE(C112, ""price"") - Q112) / Q112 ) / (R112 / 100)"),"Loading...")</f>
        <v>Loading...</v>
      </c>
      <c r="G112" s="20" t="str">
        <f>IFERROR(__xludf.DUMMYFUNCTION("AVERAGE(ARRAYFORMULA(100 * (QUERY(GOOGLEFINANCE(C112, ""high"", TODAY()-40, TODAY()), ""SELECT Col2 WHERE Col2 IS NOT NULL ORDER BY Col1 DESC LIMIT 20"", 0) / QUERY(GOOGLEFINANCE(C112, ""low"", TODAY()-40, TODAY()), ""SELECT Col2 WHERE Col2 IS NOT NULL OR"&amp;"DER BY Col1 DESC LIMIT 20"", 0) - 1)))"),"#N/A")</f>
        <v>#N/A</v>
      </c>
      <c r="H112" s="35" t="str">
        <f t="shared" si="6"/>
        <v>Liquid</v>
      </c>
      <c r="I112" s="36" t="str">
        <f t="shared" si="7"/>
        <v>RVol Required</v>
      </c>
      <c r="J112" s="37">
        <f>IFERROR(__xludf.DUMMYFUNCTION("IFERROR(
  IF(C112="""",, 
    IFERROR(
      GOOGLEFINANCE(C112, ""price"") * GOOGLEFINANCE(C112, ""volumeavg""), 
      GOOGLEFINANCE(C112, ""price"") * AVERAGE(QUERY(GOOGLEFINANCE(C112, ""volume"", TODAY()-40, TODAY()), ""SELECT Col2 WHERE Col2 IS NOT "&amp;"NULL ORDER BY Col1 DESC LIMIT 20"", 0))
    )
  ), 
"""")"),1.1302221469E8)</f>
        <v>113022214.7</v>
      </c>
      <c r="K112" s="21">
        <f>IFERROR(__xludf.DUMMYFUNCTION("IFERROR(GOOGLEFINANCE(C112, ""changepct"") / 100, """")"),0.0046)</f>
        <v>0.0046</v>
      </c>
      <c r="L112" s="21" t="str">
        <f>IFERROR(__xludf.DUMMYFUNCTION("IFERROR((GOOGLEFINANCE(C112, ""price"") / INDEX(GOOGLEFINANCE(C112, ""price"", TODAY()-7, TODAY()), 2, 2)) - 1, """")"),"")</f>
        <v/>
      </c>
      <c r="M112" s="21" t="str">
        <f>IFERROR(__xludf.DUMMYFUNCTION("IFERROR((GOOGLEFINANCE(C112, ""price"") / INDEX(GOOGLEFINANCE(C112, ""price"", EDATE(TODAY(), -1), TODAY()), 2, 2)) - 1, """")"),"")</f>
        <v/>
      </c>
      <c r="N112" s="21" t="str">
        <f>IFERROR(__xludf.DUMMYFUNCTION("IFERROR((GOOGLEFINANCE(C112, ""price"") / INDEX(GOOGLEFINANCE(C112, ""price"", EDATE(TODAY(), -3), TODAY()), 2, 2)) - 1, """")"),"")</f>
        <v/>
      </c>
      <c r="O112" s="21" t="str">
        <f>IFERROR(__xludf.DUMMYFUNCTION("IFERROR((GOOGLEFINANCE(C112, ""price"") / INDEX(GOOGLEFINANCE(C112, ""price"", EDATE(TODAY(), -6), TODAY()), 2, 2)) - 1, """")"),"")</f>
        <v/>
      </c>
      <c r="P112" s="21" t="str">
        <f>IFERROR(__xludf.DUMMYFUNCTION("IFERROR((GOOGLEFINANCE(C112, ""price"") / INDEX(GOOGLEFINANCE(C112, ""price"", EDATE(TODAY(), -12), TODAY()), 2, 2)) - 1, """")"),"")</f>
        <v/>
      </c>
      <c r="Q112" s="6" t="str">
        <f>IFERROR(__xludf.DUMMYFUNCTION("AVERAGE(QUERY(GOOGLEFINANCE(C112, ""price"", TODAY()-80, TODAY()), ""SELECT Col2 WHERE Col2 IS NOT NULL ORDER BY Col1 DESC LIMIT 50"", 0))"),"#N/A")</f>
        <v>#N/A</v>
      </c>
      <c r="R112" s="24" t="str">
        <f>IFERROR(__xludf.DUMMYFUNCTION("IFERROR(
  LET(
    data, QUERY(GOOGLEFINANCE(C112,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GOOGLEFINANCE(C112, ""price"")) * 100,
    IF(calc=0, G112, calc)
  ), 
G112)"),"#N/A")</f>
        <v>#N/A</v>
      </c>
      <c r="S112" s="8" t="s">
        <v>15</v>
      </c>
      <c r="T112" s="26" t="str">
        <f>IFERROR(__xludf.DUMMYFUNCTION("IFERROR(TRANSPOSE(QUERY(IFERROR(SORT(GOOGLEFINANCE(C112, ""price"", WORKDAY(TODAY(), -40), TODAY()), 1, FALSE)), ""select Col2 where Col2 is not null limit 22 label Col2 ''"", 0)), """")"),"")</f>
        <v/>
      </c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8"/>
      <c r="AO112" s="28"/>
      <c r="AP112" s="29"/>
      <c r="AQ112" s="29" t="str">
        <f t="shared" ref="AQ112:BL112" si="115">T112/T$2</f>
        <v>#N/A</v>
      </c>
      <c r="AR112" s="29" t="str">
        <f t="shared" si="115"/>
        <v>#DIV/0!</v>
      </c>
      <c r="AS112" s="29" t="str">
        <f t="shared" si="115"/>
        <v>#DIV/0!</v>
      </c>
      <c r="AT112" s="29" t="str">
        <f t="shared" si="115"/>
        <v>#DIV/0!</v>
      </c>
      <c r="AU112" s="29" t="str">
        <f t="shared" si="115"/>
        <v>#DIV/0!</v>
      </c>
      <c r="AV112" s="29" t="str">
        <f t="shared" si="115"/>
        <v>#DIV/0!</v>
      </c>
      <c r="AW112" s="29" t="str">
        <f t="shared" si="115"/>
        <v>#DIV/0!</v>
      </c>
      <c r="AX112" s="29" t="str">
        <f t="shared" si="115"/>
        <v>#DIV/0!</v>
      </c>
      <c r="AY112" s="29" t="str">
        <f t="shared" si="115"/>
        <v>#DIV/0!</v>
      </c>
      <c r="AZ112" s="29" t="str">
        <f t="shared" si="115"/>
        <v>#DIV/0!</v>
      </c>
      <c r="BA112" s="29" t="str">
        <f t="shared" si="115"/>
        <v>#DIV/0!</v>
      </c>
      <c r="BB112" s="29" t="str">
        <f t="shared" si="115"/>
        <v>#DIV/0!</v>
      </c>
      <c r="BC112" s="29" t="str">
        <f t="shared" si="115"/>
        <v>#DIV/0!</v>
      </c>
      <c r="BD112" s="29" t="str">
        <f t="shared" si="115"/>
        <v>#DIV/0!</v>
      </c>
      <c r="BE112" s="29" t="str">
        <f t="shared" si="115"/>
        <v>#DIV/0!</v>
      </c>
      <c r="BF112" s="29" t="str">
        <f t="shared" si="115"/>
        <v>#DIV/0!</v>
      </c>
      <c r="BG112" s="29" t="str">
        <f t="shared" si="115"/>
        <v>#DIV/0!</v>
      </c>
      <c r="BH112" s="29" t="str">
        <f t="shared" si="115"/>
        <v>#DIV/0!</v>
      </c>
      <c r="BI112" s="29" t="str">
        <f t="shared" si="115"/>
        <v>#DIV/0!</v>
      </c>
      <c r="BJ112" s="29" t="str">
        <f t="shared" si="115"/>
        <v>#DIV/0!</v>
      </c>
      <c r="BK112" s="29" t="str">
        <f t="shared" si="115"/>
        <v>#DIV/0!</v>
      </c>
      <c r="BL112" s="29" t="str">
        <f t="shared" si="115"/>
        <v>#DIV/0!</v>
      </c>
      <c r="BM112" s="29" t="str">
        <f t="shared" si="3"/>
        <v>#DIV/0!</v>
      </c>
    </row>
    <row r="113">
      <c r="A113" s="16" t="str">
        <f>IFERROR(__xludf.DUMMYFUNCTION("IFERROR(SPARKLINE(SORT(MAP(TRANSPOSE(AQ113:BL113), LAMBDA(val, IF(ISNUMBER(val), PERCENTRANK(AQ113:BL113, val)+0.01, 0))), SEQUENCE(COLUMNS(AQ113:BL113)), FALSE), {""charttype"",""column""; ""color"",""chartreuse""; ""ymin"", 0; ""ymax"", 1.01; ""highcolo"&amp;"r"", ""darkgreen""; ""lowcolor"", ""red""}), """")"),"")</f>
        <v/>
      </c>
      <c r="B113" s="17" t="str">
        <f t="shared" si="4"/>
        <v/>
      </c>
      <c r="C113" s="1" t="s">
        <v>2497</v>
      </c>
      <c r="D113" s="30" t="str">
        <f>IFERROR(__xludf.DUMMYFUNCTION("IFERROR(GOOGLEFINANCE(C113, ""NAME""))"),"Weis Markets Inc")</f>
        <v>Weis Markets Inc</v>
      </c>
      <c r="E113" s="30" t="s">
        <v>2063</v>
      </c>
      <c r="F113" s="33" t="str">
        <f>IFERROR(__xludf.DUMMYFUNCTION("( (GOOGLEFINANCE(C113, ""price"") - Q113) / Q113 ) / (R113 / 100)"),"Loading...")</f>
        <v>Loading...</v>
      </c>
      <c r="G113" s="20" t="str">
        <f>IFERROR(__xludf.DUMMYFUNCTION("AVERAGE(ARRAYFORMULA(100 * (QUERY(GOOGLEFINANCE(C113, ""high"", TODAY()-40, TODAY()), ""SELECT Col2 WHERE Col2 IS NOT NULL ORDER BY Col1 DESC LIMIT 20"", 0) / QUERY(GOOGLEFINANCE(C113, ""low"", TODAY()-40, TODAY()), ""SELECT Col2 WHERE Col2 IS NOT NULL OR"&amp;"DER BY Col1 DESC LIMIT 20"", 0) - 1)))"),"#N/A")</f>
        <v>#N/A</v>
      </c>
      <c r="H113" s="35" t="str">
        <f t="shared" si="6"/>
        <v>Illiquid</v>
      </c>
      <c r="I113" s="36" t="str">
        <f t="shared" si="7"/>
        <v>RVol Required</v>
      </c>
      <c r="J113" s="37">
        <f>IFERROR(__xludf.DUMMYFUNCTION("IFERROR(
  IF(C113="""",, 
    IFERROR(
      GOOGLEFINANCE(C113, ""price"") * GOOGLEFINANCE(C113, ""volumeavg""), 
      GOOGLEFINANCE(C113, ""price"") * AVERAGE(QUERY(GOOGLEFINANCE(C113, ""volume"", TODAY()-40, TODAY()), ""SELECT Col2 WHERE Col2 IS NOT "&amp;"NULL ORDER BY Col1 DESC LIMIT 20"", 0))
    )
  ), 
"""")"),1.5003646E7)</f>
        <v>15003646</v>
      </c>
      <c r="K113" s="21">
        <f>IFERROR(__xludf.DUMMYFUNCTION("IFERROR(GOOGLEFINANCE(C113, ""changepct"") / 100, """")"),-0.0016)</f>
        <v>-0.0016</v>
      </c>
      <c r="L113" s="21" t="str">
        <f>IFERROR(__xludf.DUMMYFUNCTION("IFERROR((GOOGLEFINANCE(C113, ""price"") / INDEX(GOOGLEFINANCE(C113, ""price"", TODAY()-7, TODAY()), 2, 2)) - 1, """")"),"")</f>
        <v/>
      </c>
      <c r="M113" s="21" t="str">
        <f>IFERROR(__xludf.DUMMYFUNCTION("IFERROR((GOOGLEFINANCE(C113, ""price"") / INDEX(GOOGLEFINANCE(C113, ""price"", EDATE(TODAY(), -1), TODAY()), 2, 2)) - 1, """")"),"")</f>
        <v/>
      </c>
      <c r="N113" s="21" t="str">
        <f>IFERROR(__xludf.DUMMYFUNCTION("IFERROR((GOOGLEFINANCE(C113, ""price"") / INDEX(GOOGLEFINANCE(C113, ""price"", EDATE(TODAY(), -3), TODAY()), 2, 2)) - 1, """")"),"")</f>
        <v/>
      </c>
      <c r="O113" s="21" t="str">
        <f>IFERROR(__xludf.DUMMYFUNCTION("IFERROR((GOOGLEFINANCE(C113, ""price"") / INDEX(GOOGLEFINANCE(C113, ""price"", EDATE(TODAY(), -6), TODAY()), 2, 2)) - 1, """")"),"")</f>
        <v/>
      </c>
      <c r="P113" s="21" t="str">
        <f>IFERROR(__xludf.DUMMYFUNCTION("IFERROR((GOOGLEFINANCE(C113, ""price"") / INDEX(GOOGLEFINANCE(C113, ""price"", EDATE(TODAY(), -12), TODAY()), 2, 2)) - 1, """")"),"")</f>
        <v/>
      </c>
      <c r="Q113" s="6" t="str">
        <f>IFERROR(__xludf.DUMMYFUNCTION("AVERAGE(QUERY(GOOGLEFINANCE(C113, ""price"", TODAY()-80, TODAY()), ""SELECT Col2 WHERE Col2 IS NOT NULL ORDER BY Col1 DESC LIMIT 50"", 0))"),"#N/A")</f>
        <v>#N/A</v>
      </c>
      <c r="R113" s="24" t="str">
        <f>IFERROR(__xludf.DUMMYFUNCTION("IFERROR(
  LET(
    data, QUERY(GOOGLEFINANCE(C113,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GOOGLEFINANCE(C113, ""price"")) * 100,
    IF(calc=0, G113, calc)
  ), 
G113)"),"#N/A")</f>
        <v>#N/A</v>
      </c>
      <c r="S113" s="8" t="s">
        <v>15</v>
      </c>
      <c r="T113" s="26" t="str">
        <f>IFERROR(__xludf.DUMMYFUNCTION("IFERROR(TRANSPOSE(QUERY(IFERROR(SORT(GOOGLEFINANCE(C113, ""price"", WORKDAY(TODAY(), -40), TODAY()), 1, FALSE)), ""select Col2 where Col2 is not null limit 22 label Col2 ''"", 0)), """")"),"")</f>
        <v/>
      </c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8"/>
      <c r="AO113" s="28"/>
      <c r="AP113" s="29"/>
      <c r="AQ113" s="29" t="str">
        <f t="shared" ref="AQ113:BL113" si="116">T113/T$2</f>
        <v>#N/A</v>
      </c>
      <c r="AR113" s="29" t="str">
        <f t="shared" si="116"/>
        <v>#DIV/0!</v>
      </c>
      <c r="AS113" s="29" t="str">
        <f t="shared" si="116"/>
        <v>#DIV/0!</v>
      </c>
      <c r="AT113" s="29" t="str">
        <f t="shared" si="116"/>
        <v>#DIV/0!</v>
      </c>
      <c r="AU113" s="29" t="str">
        <f t="shared" si="116"/>
        <v>#DIV/0!</v>
      </c>
      <c r="AV113" s="29" t="str">
        <f t="shared" si="116"/>
        <v>#DIV/0!</v>
      </c>
      <c r="AW113" s="29" t="str">
        <f t="shared" si="116"/>
        <v>#DIV/0!</v>
      </c>
      <c r="AX113" s="29" t="str">
        <f t="shared" si="116"/>
        <v>#DIV/0!</v>
      </c>
      <c r="AY113" s="29" t="str">
        <f t="shared" si="116"/>
        <v>#DIV/0!</v>
      </c>
      <c r="AZ113" s="29" t="str">
        <f t="shared" si="116"/>
        <v>#DIV/0!</v>
      </c>
      <c r="BA113" s="29" t="str">
        <f t="shared" si="116"/>
        <v>#DIV/0!</v>
      </c>
      <c r="BB113" s="29" t="str">
        <f t="shared" si="116"/>
        <v>#DIV/0!</v>
      </c>
      <c r="BC113" s="29" t="str">
        <f t="shared" si="116"/>
        <v>#DIV/0!</v>
      </c>
      <c r="BD113" s="29" t="str">
        <f t="shared" si="116"/>
        <v>#DIV/0!</v>
      </c>
      <c r="BE113" s="29" t="str">
        <f t="shared" si="116"/>
        <v>#DIV/0!</v>
      </c>
      <c r="BF113" s="29" t="str">
        <f t="shared" si="116"/>
        <v>#DIV/0!</v>
      </c>
      <c r="BG113" s="29" t="str">
        <f t="shared" si="116"/>
        <v>#DIV/0!</v>
      </c>
      <c r="BH113" s="29" t="str">
        <f t="shared" si="116"/>
        <v>#DIV/0!</v>
      </c>
      <c r="BI113" s="29" t="str">
        <f t="shared" si="116"/>
        <v>#DIV/0!</v>
      </c>
      <c r="BJ113" s="29" t="str">
        <f t="shared" si="116"/>
        <v>#DIV/0!</v>
      </c>
      <c r="BK113" s="29" t="str">
        <f t="shared" si="116"/>
        <v>#DIV/0!</v>
      </c>
      <c r="BL113" s="29" t="str">
        <f t="shared" si="116"/>
        <v>#DIV/0!</v>
      </c>
      <c r="BM113" s="29" t="str">
        <f t="shared" si="3"/>
        <v>#DIV/0!</v>
      </c>
    </row>
    <row r="114">
      <c r="A114" s="16" t="str">
        <f>IFERROR(__xludf.DUMMYFUNCTION("IFERROR(SPARKLINE(SORT(MAP(TRANSPOSE(AQ114:BL114), LAMBDA(val, IF(ISNUMBER(val), PERCENTRANK(AQ114:BL114, val)+0.01, 0))), SEQUENCE(COLUMNS(AQ114:BL114)), FALSE), {""charttype"",""column""; ""color"",""chartreuse""; ""ymin"", 0; ""ymax"", 1.01; ""highcolo"&amp;"r"", ""darkgreen""; ""lowcolor"", ""red""}), """")"),"")</f>
        <v/>
      </c>
      <c r="B114" s="17" t="str">
        <f t="shared" si="4"/>
        <v/>
      </c>
      <c r="C114" s="1" t="s">
        <v>2501</v>
      </c>
      <c r="D114" s="30" t="str">
        <f>IFERROR(__xludf.DUMMYFUNCTION("IFERROR(GOOGLEFINANCE(C114, ""NAME""))"),"Vital Farms, Inc.")</f>
        <v>Vital Farms, Inc.</v>
      </c>
      <c r="E114" s="30" t="s">
        <v>2115</v>
      </c>
      <c r="F114" s="33" t="str">
        <f>IFERROR(__xludf.DUMMYFUNCTION("( (GOOGLEFINANCE(C114, ""price"") - Q114) / Q114 ) / (R114 / 100)"),"Loading...")</f>
        <v>Loading...</v>
      </c>
      <c r="G114" s="20" t="str">
        <f>IFERROR(__xludf.DUMMYFUNCTION("AVERAGE(ARRAYFORMULA(100 * (QUERY(GOOGLEFINANCE(C114, ""high"", TODAY()-40, TODAY()), ""SELECT Col2 WHERE Col2 IS NOT NULL ORDER BY Col1 DESC LIMIT 20"", 0) / QUERY(GOOGLEFINANCE(C114, ""low"", TODAY()-40, TODAY()), ""SELECT Col2 WHERE Col2 IS NOT NULL OR"&amp;"DER BY Col1 DESC LIMIT 20"", 0) - 1)))"),"#N/A")</f>
        <v>#N/A</v>
      </c>
      <c r="H114" s="35" t="str">
        <f t="shared" si="6"/>
        <v>Illiquid</v>
      </c>
      <c r="I114" s="36" t="str">
        <f t="shared" si="7"/>
        <v>RVol Required</v>
      </c>
      <c r="J114" s="37">
        <f>IFERROR(__xludf.DUMMYFUNCTION("IFERROR(
  IF(C114="""",, 
    IFERROR(
      GOOGLEFINANCE(C114, ""price"") * GOOGLEFINANCE(C114, ""volumeavg""), 
      GOOGLEFINANCE(C114, ""price"") * AVERAGE(QUERY(GOOGLEFINANCE(C114, ""volume"", TODAY()-40, TODAY()), ""SELECT Col2 WHERE Col2 IS NOT "&amp;"NULL ORDER BY Col1 DESC LIMIT 20"", 0))
    )
  ), 
"""")"),1.49251704E7)</f>
        <v>14925170.4</v>
      </c>
      <c r="K114" s="21">
        <f>IFERROR(__xludf.DUMMYFUNCTION("IFERROR(GOOGLEFINANCE(C114, ""changepct"") / 100, """")"),-0.0175)</f>
        <v>-0.0175</v>
      </c>
      <c r="L114" s="21" t="str">
        <f>IFERROR(__xludf.DUMMYFUNCTION("IFERROR((GOOGLEFINANCE(C114, ""price"") / INDEX(GOOGLEFINANCE(C114, ""price"", TODAY()-7, TODAY()), 2, 2)) - 1, """")"),"")</f>
        <v/>
      </c>
      <c r="M114" s="21" t="str">
        <f>IFERROR(__xludf.DUMMYFUNCTION("IFERROR((GOOGLEFINANCE(C114, ""price"") / INDEX(GOOGLEFINANCE(C114, ""price"", EDATE(TODAY(), -1), TODAY()), 2, 2)) - 1, """")"),"")</f>
        <v/>
      </c>
      <c r="N114" s="21" t="str">
        <f>IFERROR(__xludf.DUMMYFUNCTION("IFERROR((GOOGLEFINANCE(C114, ""price"") / INDEX(GOOGLEFINANCE(C114, ""price"", EDATE(TODAY(), -3), TODAY()), 2, 2)) - 1, """")"),"")</f>
        <v/>
      </c>
      <c r="O114" s="21" t="str">
        <f>IFERROR(__xludf.DUMMYFUNCTION("IFERROR((GOOGLEFINANCE(C114, ""price"") / INDEX(GOOGLEFINANCE(C114, ""price"", EDATE(TODAY(), -6), TODAY()), 2, 2)) - 1, """")"),"")</f>
        <v/>
      </c>
      <c r="P114" s="21" t="str">
        <f>IFERROR(__xludf.DUMMYFUNCTION("IFERROR((GOOGLEFINANCE(C114, ""price"") / INDEX(GOOGLEFINANCE(C114, ""price"", EDATE(TODAY(), -12), TODAY()), 2, 2)) - 1, """")"),"")</f>
        <v/>
      </c>
      <c r="Q114" s="6" t="str">
        <f>IFERROR(__xludf.DUMMYFUNCTION("AVERAGE(QUERY(GOOGLEFINANCE(C114, ""price"", TODAY()-80, TODAY()), ""SELECT Col2 WHERE Col2 IS NOT NULL ORDER BY Col1 DESC LIMIT 50"", 0))"),"#N/A")</f>
        <v>#N/A</v>
      </c>
      <c r="R114" s="24" t="str">
        <f>IFERROR(__xludf.DUMMYFUNCTION("IFERROR(
  LET(
    data, QUERY(GOOGLEFINANCE(C114,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GOOGLEFINANCE(C114, ""price"")) * 100,
    IF(calc=0, G114, calc)
  ), 
G114)"),"#N/A")</f>
        <v>#N/A</v>
      </c>
      <c r="S114" s="8" t="s">
        <v>15</v>
      </c>
      <c r="T114" s="26" t="str">
        <f>IFERROR(__xludf.DUMMYFUNCTION("IFERROR(TRANSPOSE(QUERY(IFERROR(SORT(GOOGLEFINANCE(C114, ""price"", WORKDAY(TODAY(), -40), TODAY()), 1, FALSE)), ""select Col2 where Col2 is not null limit 22 label Col2 ''"", 0)), """")"),"")</f>
        <v/>
      </c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8"/>
      <c r="AO114" s="28"/>
      <c r="AP114" s="29"/>
      <c r="AQ114" s="29" t="str">
        <f t="shared" ref="AQ114:BL114" si="117">T114/T$2</f>
        <v>#N/A</v>
      </c>
      <c r="AR114" s="29" t="str">
        <f t="shared" si="117"/>
        <v>#DIV/0!</v>
      </c>
      <c r="AS114" s="29" t="str">
        <f t="shared" si="117"/>
        <v>#DIV/0!</v>
      </c>
      <c r="AT114" s="29" t="str">
        <f t="shared" si="117"/>
        <v>#DIV/0!</v>
      </c>
      <c r="AU114" s="29" t="str">
        <f t="shared" si="117"/>
        <v>#DIV/0!</v>
      </c>
      <c r="AV114" s="29" t="str">
        <f t="shared" si="117"/>
        <v>#DIV/0!</v>
      </c>
      <c r="AW114" s="29" t="str">
        <f t="shared" si="117"/>
        <v>#DIV/0!</v>
      </c>
      <c r="AX114" s="29" t="str">
        <f t="shared" si="117"/>
        <v>#DIV/0!</v>
      </c>
      <c r="AY114" s="29" t="str">
        <f t="shared" si="117"/>
        <v>#DIV/0!</v>
      </c>
      <c r="AZ114" s="29" t="str">
        <f t="shared" si="117"/>
        <v>#DIV/0!</v>
      </c>
      <c r="BA114" s="29" t="str">
        <f t="shared" si="117"/>
        <v>#DIV/0!</v>
      </c>
      <c r="BB114" s="29" t="str">
        <f t="shared" si="117"/>
        <v>#DIV/0!</v>
      </c>
      <c r="BC114" s="29" t="str">
        <f t="shared" si="117"/>
        <v>#DIV/0!</v>
      </c>
      <c r="BD114" s="29" t="str">
        <f t="shared" si="117"/>
        <v>#DIV/0!</v>
      </c>
      <c r="BE114" s="29" t="str">
        <f t="shared" si="117"/>
        <v>#DIV/0!</v>
      </c>
      <c r="BF114" s="29" t="str">
        <f t="shared" si="117"/>
        <v>#DIV/0!</v>
      </c>
      <c r="BG114" s="29" t="str">
        <f t="shared" si="117"/>
        <v>#DIV/0!</v>
      </c>
      <c r="BH114" s="29" t="str">
        <f t="shared" si="117"/>
        <v>#DIV/0!</v>
      </c>
      <c r="BI114" s="29" t="str">
        <f t="shared" si="117"/>
        <v>#DIV/0!</v>
      </c>
      <c r="BJ114" s="29" t="str">
        <f t="shared" si="117"/>
        <v>#DIV/0!</v>
      </c>
      <c r="BK114" s="29" t="str">
        <f t="shared" si="117"/>
        <v>#DIV/0!</v>
      </c>
      <c r="BL114" s="29" t="str">
        <f t="shared" si="117"/>
        <v>#DIV/0!</v>
      </c>
      <c r="BM114" s="29" t="str">
        <f t="shared" si="3"/>
        <v>#DIV/0!</v>
      </c>
    </row>
    <row r="115">
      <c r="A115" s="16" t="str">
        <f>IFERROR(__xludf.DUMMYFUNCTION("IFERROR(SPARKLINE(SORT(MAP(TRANSPOSE(AQ115:BL115), LAMBDA(val, IF(ISNUMBER(val), PERCENTRANK(AQ115:BL115, val)+0.01, 0))), SEQUENCE(COLUMNS(AQ115:BL115)), FALSE), {""charttype"",""column""; ""color"",""chartreuse""; ""ymin"", 0; ""ymax"", 1.01; ""highcolo"&amp;"r"", ""darkgreen""; ""lowcolor"", ""red""}), """")"),"")</f>
        <v/>
      </c>
      <c r="B115" s="17" t="str">
        <f t="shared" si="4"/>
        <v/>
      </c>
      <c r="C115" s="1" t="s">
        <v>2505</v>
      </c>
      <c r="D115" s="30" t="str">
        <f>IFERROR(__xludf.DUMMYFUNCTION("IFERROR(GOOGLEFINANCE(C115, ""NAME""))"),"USANA Health Sciences Inc")</f>
        <v>USANA Health Sciences Inc</v>
      </c>
      <c r="E115" s="30" t="s">
        <v>2094</v>
      </c>
      <c r="F115" s="33" t="str">
        <f>IFERROR(__xludf.DUMMYFUNCTION("( (GOOGLEFINANCE(C115, ""price"") - Q115) / Q115 ) / (R115 / 100)"),"Loading...")</f>
        <v>Loading...</v>
      </c>
      <c r="G115" s="20" t="str">
        <f>IFERROR(__xludf.DUMMYFUNCTION("AVERAGE(ARRAYFORMULA(100 * (QUERY(GOOGLEFINANCE(C115, ""high"", TODAY()-40, TODAY()), ""SELECT Col2 WHERE Col2 IS NOT NULL ORDER BY Col1 DESC LIMIT 20"", 0) / QUERY(GOOGLEFINANCE(C115, ""low"", TODAY()-40, TODAY()), ""SELECT Col2 WHERE Col2 IS NOT NULL OR"&amp;"DER BY Col1 DESC LIMIT 20"", 0) - 1)))"),"#N/A")</f>
        <v>#N/A</v>
      </c>
      <c r="H115" s="35" t="str">
        <f t="shared" si="6"/>
        <v>Illiquid</v>
      </c>
      <c r="I115" s="36" t="str">
        <f t="shared" si="7"/>
        <v>RVol Required</v>
      </c>
      <c r="J115" s="37">
        <f>IFERROR(__xludf.DUMMYFUNCTION("IFERROR(
  IF(C115="""",, 
    IFERROR(
      GOOGLEFINANCE(C115, ""price"") * GOOGLEFINANCE(C115, ""volumeavg""), 
      GOOGLEFINANCE(C115, ""price"") * AVERAGE(QUERY(GOOGLEFINANCE(C115, ""volume"", TODAY()-40, TODAY()), ""SELECT Col2 WHERE Col2 IS NOT "&amp;"NULL ORDER BY Col1 DESC LIMIT 20"", 0))
    )
  ), 
"""")"),2943773.28)</f>
        <v>2943773.28</v>
      </c>
      <c r="K115" s="21">
        <f>IFERROR(__xludf.DUMMYFUNCTION("IFERROR(GOOGLEFINANCE(C115, ""changepct"") / 100, """")"),0.0104)</f>
        <v>0.0104</v>
      </c>
      <c r="L115" s="21" t="str">
        <f>IFERROR(__xludf.DUMMYFUNCTION("IFERROR((GOOGLEFINANCE(C115, ""price"") / INDEX(GOOGLEFINANCE(C115, ""price"", TODAY()-7, TODAY()), 2, 2)) - 1, """")"),"")</f>
        <v/>
      </c>
      <c r="M115" s="21" t="str">
        <f>IFERROR(__xludf.DUMMYFUNCTION("IFERROR((GOOGLEFINANCE(C115, ""price"") / INDEX(GOOGLEFINANCE(C115, ""price"", EDATE(TODAY(), -1), TODAY()), 2, 2)) - 1, """")"),"")</f>
        <v/>
      </c>
      <c r="N115" s="21" t="str">
        <f>IFERROR(__xludf.DUMMYFUNCTION("IFERROR((GOOGLEFINANCE(C115, ""price"") / INDEX(GOOGLEFINANCE(C115, ""price"", EDATE(TODAY(), -3), TODAY()), 2, 2)) - 1, """")"),"")</f>
        <v/>
      </c>
      <c r="O115" s="21" t="str">
        <f>IFERROR(__xludf.DUMMYFUNCTION("IFERROR((GOOGLEFINANCE(C115, ""price"") / INDEX(GOOGLEFINANCE(C115, ""price"", EDATE(TODAY(), -6), TODAY()), 2, 2)) - 1, """")"),"")</f>
        <v/>
      </c>
      <c r="P115" s="21" t="str">
        <f>IFERROR(__xludf.DUMMYFUNCTION("IFERROR((GOOGLEFINANCE(C115, ""price"") / INDEX(GOOGLEFINANCE(C115, ""price"", EDATE(TODAY(), -12), TODAY()), 2, 2)) - 1, """")"),"")</f>
        <v/>
      </c>
      <c r="Q115" s="6" t="str">
        <f>IFERROR(__xludf.DUMMYFUNCTION("AVERAGE(QUERY(GOOGLEFINANCE(C115, ""price"", TODAY()-80, TODAY()), ""SELECT Col2 WHERE Col2 IS NOT NULL ORDER BY Col1 DESC LIMIT 50"", 0))"),"#N/A")</f>
        <v>#N/A</v>
      </c>
      <c r="R115" s="24" t="str">
        <f>IFERROR(__xludf.DUMMYFUNCTION("IFERROR(
  LET(
    data, QUERY(GOOGLEFINANCE(C115,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GOOGLEFINANCE(C115, ""price"")) * 100,
    IF(calc=0, G115, calc)
  ), 
G115)"),"#N/A")</f>
        <v>#N/A</v>
      </c>
      <c r="S115" s="8" t="s">
        <v>15</v>
      </c>
      <c r="T115" s="26" t="str">
        <f>IFERROR(__xludf.DUMMYFUNCTION("IFERROR(TRANSPOSE(QUERY(IFERROR(SORT(GOOGLEFINANCE(C115, ""price"", WORKDAY(TODAY(), -40), TODAY()), 1, FALSE)), ""select Col2 where Col2 is not null limit 22 label Col2 ''"", 0)), """")"),"")</f>
        <v/>
      </c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8"/>
      <c r="AO115" s="28"/>
      <c r="AP115" s="29"/>
      <c r="AQ115" s="29" t="str">
        <f t="shared" ref="AQ115:BL115" si="118">T115/T$2</f>
        <v>#N/A</v>
      </c>
      <c r="AR115" s="29" t="str">
        <f t="shared" si="118"/>
        <v>#DIV/0!</v>
      </c>
      <c r="AS115" s="29" t="str">
        <f t="shared" si="118"/>
        <v>#DIV/0!</v>
      </c>
      <c r="AT115" s="29" t="str">
        <f t="shared" si="118"/>
        <v>#DIV/0!</v>
      </c>
      <c r="AU115" s="29" t="str">
        <f t="shared" si="118"/>
        <v>#DIV/0!</v>
      </c>
      <c r="AV115" s="29" t="str">
        <f t="shared" si="118"/>
        <v>#DIV/0!</v>
      </c>
      <c r="AW115" s="29" t="str">
        <f t="shared" si="118"/>
        <v>#DIV/0!</v>
      </c>
      <c r="AX115" s="29" t="str">
        <f t="shared" si="118"/>
        <v>#DIV/0!</v>
      </c>
      <c r="AY115" s="29" t="str">
        <f t="shared" si="118"/>
        <v>#DIV/0!</v>
      </c>
      <c r="AZ115" s="29" t="str">
        <f t="shared" si="118"/>
        <v>#DIV/0!</v>
      </c>
      <c r="BA115" s="29" t="str">
        <f t="shared" si="118"/>
        <v>#DIV/0!</v>
      </c>
      <c r="BB115" s="29" t="str">
        <f t="shared" si="118"/>
        <v>#DIV/0!</v>
      </c>
      <c r="BC115" s="29" t="str">
        <f t="shared" si="118"/>
        <v>#DIV/0!</v>
      </c>
      <c r="BD115" s="29" t="str">
        <f t="shared" si="118"/>
        <v>#DIV/0!</v>
      </c>
      <c r="BE115" s="29" t="str">
        <f t="shared" si="118"/>
        <v>#DIV/0!</v>
      </c>
      <c r="BF115" s="29" t="str">
        <f t="shared" si="118"/>
        <v>#DIV/0!</v>
      </c>
      <c r="BG115" s="29" t="str">
        <f t="shared" si="118"/>
        <v>#DIV/0!</v>
      </c>
      <c r="BH115" s="29" t="str">
        <f t="shared" si="118"/>
        <v>#DIV/0!</v>
      </c>
      <c r="BI115" s="29" t="str">
        <f t="shared" si="118"/>
        <v>#DIV/0!</v>
      </c>
      <c r="BJ115" s="29" t="str">
        <f t="shared" si="118"/>
        <v>#DIV/0!</v>
      </c>
      <c r="BK115" s="29" t="str">
        <f t="shared" si="118"/>
        <v>#DIV/0!</v>
      </c>
      <c r="BL115" s="29" t="str">
        <f t="shared" si="118"/>
        <v>#DIV/0!</v>
      </c>
      <c r="BM115" s="29" t="str">
        <f t="shared" si="3"/>
        <v>#DIV/0!</v>
      </c>
    </row>
    <row r="116">
      <c r="A116" s="16" t="str">
        <f>IFERROR(__xludf.DUMMYFUNCTION("IFERROR(SPARKLINE(SORT(MAP(TRANSPOSE(AQ116:BL116), LAMBDA(val, IF(ISNUMBER(val), PERCENTRANK(AQ116:BL116, val)+0.01, 0))), SEQUENCE(COLUMNS(AQ116:BL116)), FALSE), {""charttype"",""column""; ""color"",""chartreuse""; ""ymin"", 0; ""ymax"", 1.01; ""highcolo"&amp;"r"", ""darkgreen""; ""lowcolor"", ""red""}), """")"),"")</f>
        <v/>
      </c>
      <c r="B116" s="17" t="str">
        <f t="shared" si="4"/>
        <v/>
      </c>
      <c r="C116" s="1" t="s">
        <v>2508</v>
      </c>
      <c r="D116" s="30" t="str">
        <f>IFERROR(__xludf.DUMMYFUNCTION("IFERROR(GOOGLEFINANCE(C116, ""NAME""))"),"")</f>
        <v/>
      </c>
      <c r="E116" s="30" t="s">
        <v>2069</v>
      </c>
      <c r="F116" s="33" t="str">
        <f>IFERROR(__xludf.DUMMYFUNCTION("( (GOOGLEFINANCE(C116, ""price"") - Q116) / Q116 ) / (R116 / 100)"),"Loading...")</f>
        <v>Loading...</v>
      </c>
      <c r="G116" s="20" t="str">
        <f>IFERROR(__xludf.DUMMYFUNCTION("AVERAGE(ARRAYFORMULA(100 * (QUERY(GOOGLEFINANCE(C116, ""high"", TODAY()-40, TODAY()), ""SELECT Col2 WHERE Col2 IS NOT NULL ORDER BY Col1 DESC LIMIT 20"", 0) / QUERY(GOOGLEFINANCE(C116, ""low"", TODAY()-40, TODAY()), ""SELECT Col2 WHERE Col2 IS NOT NULL OR"&amp;"DER BY Col1 DESC LIMIT 20"", 0) - 1)))"),"#N/A")</f>
        <v>#N/A</v>
      </c>
      <c r="H116" s="35" t="str">
        <f t="shared" si="6"/>
        <v/>
      </c>
      <c r="I116" s="36" t="str">
        <f t="shared" si="7"/>
        <v/>
      </c>
      <c r="J116" s="37" t="str">
        <f>IFERROR(__xludf.DUMMYFUNCTION("IFERROR(
  IF(C116="""",, 
    IFERROR(
      GOOGLEFINANCE(C116, ""price"") * GOOGLEFINANCE(C116, ""volumeavg""), 
      GOOGLEFINANCE(C116, ""price"") * AVERAGE(QUERY(GOOGLEFINANCE(C116, ""volume"", TODAY()-40, TODAY()), ""SELECT Col2 WHERE Col2 IS NOT "&amp;"NULL ORDER BY Col1 DESC LIMIT 20"", 0))
    )
  ), 
"""")"),"")</f>
        <v/>
      </c>
      <c r="K116" s="21" t="str">
        <f>IFERROR(__xludf.DUMMYFUNCTION("IFERROR(GOOGLEFINANCE(C116, ""changepct"") / 100, """")"),"")</f>
        <v/>
      </c>
      <c r="L116" s="21" t="str">
        <f>IFERROR(__xludf.DUMMYFUNCTION("IFERROR((GOOGLEFINANCE(C116, ""price"") / INDEX(GOOGLEFINANCE(C116, ""price"", TODAY()-7, TODAY()), 2, 2)) - 1, """")"),"")</f>
        <v/>
      </c>
      <c r="M116" s="21" t="str">
        <f>IFERROR(__xludf.DUMMYFUNCTION("IFERROR((GOOGLEFINANCE(C116, ""price"") / INDEX(GOOGLEFINANCE(C116, ""price"", EDATE(TODAY(), -1), TODAY()), 2, 2)) - 1, """")"),"")</f>
        <v/>
      </c>
      <c r="N116" s="21" t="str">
        <f>IFERROR(__xludf.DUMMYFUNCTION("IFERROR((GOOGLEFINANCE(C116, ""price"") / INDEX(GOOGLEFINANCE(C116, ""price"", EDATE(TODAY(), -3), TODAY()), 2, 2)) - 1, """")"),"")</f>
        <v/>
      </c>
      <c r="O116" s="21" t="str">
        <f>IFERROR(__xludf.DUMMYFUNCTION("IFERROR((GOOGLEFINANCE(C116, ""price"") / INDEX(GOOGLEFINANCE(C116, ""price"", EDATE(TODAY(), -6), TODAY()), 2, 2)) - 1, """")"),"")</f>
        <v/>
      </c>
      <c r="P116" s="21" t="str">
        <f>IFERROR(__xludf.DUMMYFUNCTION("IFERROR((GOOGLEFINANCE(C116, ""price"") / INDEX(GOOGLEFINANCE(C116, ""price"", EDATE(TODAY(), -12), TODAY()), 2, 2)) - 1, """")"),"")</f>
        <v/>
      </c>
      <c r="Q116" s="6" t="str">
        <f>IFERROR(__xludf.DUMMYFUNCTION("AVERAGE(QUERY(GOOGLEFINANCE(C116, ""price"", TODAY()-80, TODAY()), ""SELECT Col2 WHERE Col2 IS NOT NULL ORDER BY Col1 DESC LIMIT 50"", 0))"),"#N/A")</f>
        <v>#N/A</v>
      </c>
      <c r="R116" s="24" t="str">
        <f>IFERROR(__xludf.DUMMYFUNCTION("IFERROR(
  LET(
    data, QUERY(GOOGLEFINANCE(C116,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GOOGLEFINANCE(C116, ""price"")) * 100,
    IF(calc=0, G116, calc)
  ), 
G116)"),"#N/A")</f>
        <v>#N/A</v>
      </c>
      <c r="S116" s="8" t="s">
        <v>15</v>
      </c>
      <c r="T116" s="26" t="str">
        <f>IFERROR(__xludf.DUMMYFUNCTION("IFERROR(TRANSPOSE(QUERY(IFERROR(SORT(GOOGLEFINANCE(C116, ""price"", WORKDAY(TODAY(), -40), TODAY()), 1, FALSE)), ""select Col2 where Col2 is not null limit 22 label Col2 ''"", 0)), """")"),"")</f>
        <v/>
      </c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8"/>
      <c r="AO116" s="28"/>
      <c r="AP116" s="29"/>
      <c r="AQ116" s="29" t="str">
        <f t="shared" ref="AQ116:BL116" si="119">T116/T$2</f>
        <v>#N/A</v>
      </c>
      <c r="AR116" s="29" t="str">
        <f t="shared" si="119"/>
        <v>#DIV/0!</v>
      </c>
      <c r="AS116" s="29" t="str">
        <f t="shared" si="119"/>
        <v>#DIV/0!</v>
      </c>
      <c r="AT116" s="29" t="str">
        <f t="shared" si="119"/>
        <v>#DIV/0!</v>
      </c>
      <c r="AU116" s="29" t="str">
        <f t="shared" si="119"/>
        <v>#DIV/0!</v>
      </c>
      <c r="AV116" s="29" t="str">
        <f t="shared" si="119"/>
        <v>#DIV/0!</v>
      </c>
      <c r="AW116" s="29" t="str">
        <f t="shared" si="119"/>
        <v>#DIV/0!</v>
      </c>
      <c r="AX116" s="29" t="str">
        <f t="shared" si="119"/>
        <v>#DIV/0!</v>
      </c>
      <c r="AY116" s="29" t="str">
        <f t="shared" si="119"/>
        <v>#DIV/0!</v>
      </c>
      <c r="AZ116" s="29" t="str">
        <f t="shared" si="119"/>
        <v>#DIV/0!</v>
      </c>
      <c r="BA116" s="29" t="str">
        <f t="shared" si="119"/>
        <v>#DIV/0!</v>
      </c>
      <c r="BB116" s="29" t="str">
        <f t="shared" si="119"/>
        <v>#DIV/0!</v>
      </c>
      <c r="BC116" s="29" t="str">
        <f t="shared" si="119"/>
        <v>#DIV/0!</v>
      </c>
      <c r="BD116" s="29" t="str">
        <f t="shared" si="119"/>
        <v>#DIV/0!</v>
      </c>
      <c r="BE116" s="29" t="str">
        <f t="shared" si="119"/>
        <v>#DIV/0!</v>
      </c>
      <c r="BF116" s="29" t="str">
        <f t="shared" si="119"/>
        <v>#DIV/0!</v>
      </c>
      <c r="BG116" s="29" t="str">
        <f t="shared" si="119"/>
        <v>#DIV/0!</v>
      </c>
      <c r="BH116" s="29" t="str">
        <f t="shared" si="119"/>
        <v>#DIV/0!</v>
      </c>
      <c r="BI116" s="29" t="str">
        <f t="shared" si="119"/>
        <v>#DIV/0!</v>
      </c>
      <c r="BJ116" s="29" t="str">
        <f t="shared" si="119"/>
        <v>#DIV/0!</v>
      </c>
      <c r="BK116" s="29" t="str">
        <f t="shared" si="119"/>
        <v>#DIV/0!</v>
      </c>
      <c r="BL116" s="29" t="str">
        <f t="shared" si="119"/>
        <v>#DIV/0!</v>
      </c>
      <c r="BM116" s="29" t="str">
        <f t="shared" si="3"/>
        <v>#DIV/0!</v>
      </c>
    </row>
    <row r="117">
      <c r="A117" s="16" t="str">
        <f>IFERROR(__xludf.DUMMYFUNCTION("IFERROR(SPARKLINE(SORT(MAP(TRANSPOSE(AQ117:BL117), LAMBDA(val, IF(ISNUMBER(val), PERCENTRANK(AQ117:BL117, val)+0.01, 0))), SEQUENCE(COLUMNS(AQ117:BL117)), FALSE), {""charttype"",""column""; ""color"",""chartreuse""; ""ymin"", 0; ""ymax"", 1.01; ""highcolo"&amp;"r"", ""darkgreen""; ""lowcolor"", ""red""}), """")"),"")</f>
        <v/>
      </c>
      <c r="B117" s="17" t="str">
        <f t="shared" si="4"/>
        <v/>
      </c>
      <c r="C117" s="1" t="s">
        <v>2512</v>
      </c>
      <c r="D117" s="30" t="str">
        <f>IFERROR(__xludf.DUMMYFUNCTION("IFERROR(GOOGLEFINANCE(C117, ""NAME""))"),"Tootsie Roll Industries Inc")</f>
        <v>Tootsie Roll Industries Inc</v>
      </c>
      <c r="E117" s="30" t="s">
        <v>2164</v>
      </c>
      <c r="F117" s="33" t="str">
        <f>IFERROR(__xludf.DUMMYFUNCTION("( (GOOGLEFINANCE(C117, ""price"") - Q117) / Q117 ) / (R117 / 100)"),"Loading...")</f>
        <v>Loading...</v>
      </c>
      <c r="G117" s="20" t="str">
        <f>IFERROR(__xludf.DUMMYFUNCTION("AVERAGE(ARRAYFORMULA(100 * (QUERY(GOOGLEFINANCE(C117, ""high"", TODAY()-40, TODAY()), ""SELECT Col2 WHERE Col2 IS NOT NULL ORDER BY Col1 DESC LIMIT 20"", 0) / QUERY(GOOGLEFINANCE(C117, ""low"", TODAY()-40, TODAY()), ""SELECT Col2 WHERE Col2 IS NOT NULL OR"&amp;"DER BY Col1 DESC LIMIT 20"", 0) - 1)))"),"#N/A")</f>
        <v>#N/A</v>
      </c>
      <c r="H117" s="35" t="str">
        <f t="shared" si="6"/>
        <v>Illiquid</v>
      </c>
      <c r="I117" s="36" t="str">
        <f t="shared" si="7"/>
        <v>RVol Required</v>
      </c>
      <c r="J117" s="37">
        <f>IFERROR(__xludf.DUMMYFUNCTION("IFERROR(
  IF(C117="""",, 
    IFERROR(
      GOOGLEFINANCE(C117, ""price"") * GOOGLEFINANCE(C117, ""volumeavg""), 
      GOOGLEFINANCE(C117, ""price"") * AVERAGE(QUERY(GOOGLEFINANCE(C117, ""volume"", TODAY()-40, TODAY()), ""SELECT Col2 WHERE Col2 IS NOT "&amp;"NULL ORDER BY Col1 DESC LIMIT 20"", 0))
    )
  ), 
"""")"),6403639.6899999995)</f>
        <v>6403639.69</v>
      </c>
      <c r="K117" s="21">
        <f>IFERROR(__xludf.DUMMYFUNCTION("IFERROR(GOOGLEFINANCE(C117, ""changepct"") / 100, """")"),-0.0031)</f>
        <v>-0.0031</v>
      </c>
      <c r="L117" s="21" t="str">
        <f>IFERROR(__xludf.DUMMYFUNCTION("IFERROR((GOOGLEFINANCE(C117, ""price"") / INDEX(GOOGLEFINANCE(C117, ""price"", TODAY()-7, TODAY()), 2, 2)) - 1, """")"),"")</f>
        <v/>
      </c>
      <c r="M117" s="21" t="str">
        <f>IFERROR(__xludf.DUMMYFUNCTION("IFERROR((GOOGLEFINANCE(C117, ""price"") / INDEX(GOOGLEFINANCE(C117, ""price"", EDATE(TODAY(), -1), TODAY()), 2, 2)) - 1, """")"),"")</f>
        <v/>
      </c>
      <c r="N117" s="21" t="str">
        <f>IFERROR(__xludf.DUMMYFUNCTION("IFERROR((GOOGLEFINANCE(C117, ""price"") / INDEX(GOOGLEFINANCE(C117, ""price"", EDATE(TODAY(), -3), TODAY()), 2, 2)) - 1, """")"),"")</f>
        <v/>
      </c>
      <c r="O117" s="21" t="str">
        <f>IFERROR(__xludf.DUMMYFUNCTION("IFERROR((GOOGLEFINANCE(C117, ""price"") / INDEX(GOOGLEFINANCE(C117, ""price"", EDATE(TODAY(), -6), TODAY()), 2, 2)) - 1, """")"),"")</f>
        <v/>
      </c>
      <c r="P117" s="21" t="str">
        <f>IFERROR(__xludf.DUMMYFUNCTION("IFERROR((GOOGLEFINANCE(C117, ""price"") / INDEX(GOOGLEFINANCE(C117, ""price"", EDATE(TODAY(), -12), TODAY()), 2, 2)) - 1, """")"),"")</f>
        <v/>
      </c>
      <c r="Q117" s="6" t="str">
        <f>IFERROR(__xludf.DUMMYFUNCTION("AVERAGE(QUERY(GOOGLEFINANCE(C117, ""price"", TODAY()-80, TODAY()), ""SELECT Col2 WHERE Col2 IS NOT NULL ORDER BY Col1 DESC LIMIT 50"", 0))"),"#N/A")</f>
        <v>#N/A</v>
      </c>
      <c r="R117" s="24" t="str">
        <f>IFERROR(__xludf.DUMMYFUNCTION("IFERROR(
  LET(
    data, QUERY(GOOGLEFINANCE(C117,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GOOGLEFINANCE(C117, ""price"")) * 100,
    IF(calc=0, G117, calc)
  ), 
G117)"),"#N/A")</f>
        <v>#N/A</v>
      </c>
      <c r="S117" s="8" t="s">
        <v>15</v>
      </c>
      <c r="T117" s="26" t="str">
        <f>IFERROR(__xludf.DUMMYFUNCTION("IFERROR(TRANSPOSE(QUERY(IFERROR(SORT(GOOGLEFINANCE(C117, ""price"", WORKDAY(TODAY(), -40), TODAY()), 1, FALSE)), ""select Col2 where Col2 is not null limit 22 label Col2 ''"", 0)), """")"),"")</f>
        <v/>
      </c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8"/>
      <c r="AO117" s="28"/>
      <c r="AP117" s="29"/>
      <c r="AQ117" s="29" t="str">
        <f t="shared" ref="AQ117:BL117" si="120">T117/T$2</f>
        <v>#N/A</v>
      </c>
      <c r="AR117" s="29" t="str">
        <f t="shared" si="120"/>
        <v>#DIV/0!</v>
      </c>
      <c r="AS117" s="29" t="str">
        <f t="shared" si="120"/>
        <v>#DIV/0!</v>
      </c>
      <c r="AT117" s="29" t="str">
        <f t="shared" si="120"/>
        <v>#DIV/0!</v>
      </c>
      <c r="AU117" s="29" t="str">
        <f t="shared" si="120"/>
        <v>#DIV/0!</v>
      </c>
      <c r="AV117" s="29" t="str">
        <f t="shared" si="120"/>
        <v>#DIV/0!</v>
      </c>
      <c r="AW117" s="29" t="str">
        <f t="shared" si="120"/>
        <v>#DIV/0!</v>
      </c>
      <c r="AX117" s="29" t="str">
        <f t="shared" si="120"/>
        <v>#DIV/0!</v>
      </c>
      <c r="AY117" s="29" t="str">
        <f t="shared" si="120"/>
        <v>#DIV/0!</v>
      </c>
      <c r="AZ117" s="29" t="str">
        <f t="shared" si="120"/>
        <v>#DIV/0!</v>
      </c>
      <c r="BA117" s="29" t="str">
        <f t="shared" si="120"/>
        <v>#DIV/0!</v>
      </c>
      <c r="BB117" s="29" t="str">
        <f t="shared" si="120"/>
        <v>#DIV/0!</v>
      </c>
      <c r="BC117" s="29" t="str">
        <f t="shared" si="120"/>
        <v>#DIV/0!</v>
      </c>
      <c r="BD117" s="29" t="str">
        <f t="shared" si="120"/>
        <v>#DIV/0!</v>
      </c>
      <c r="BE117" s="29" t="str">
        <f t="shared" si="120"/>
        <v>#DIV/0!</v>
      </c>
      <c r="BF117" s="29" t="str">
        <f t="shared" si="120"/>
        <v>#DIV/0!</v>
      </c>
      <c r="BG117" s="29" t="str">
        <f t="shared" si="120"/>
        <v>#DIV/0!</v>
      </c>
      <c r="BH117" s="29" t="str">
        <f t="shared" si="120"/>
        <v>#DIV/0!</v>
      </c>
      <c r="BI117" s="29" t="str">
        <f t="shared" si="120"/>
        <v>#DIV/0!</v>
      </c>
      <c r="BJ117" s="29" t="str">
        <f t="shared" si="120"/>
        <v>#DIV/0!</v>
      </c>
      <c r="BK117" s="29" t="str">
        <f t="shared" si="120"/>
        <v>#DIV/0!</v>
      </c>
      <c r="BL117" s="29" t="str">
        <f t="shared" si="120"/>
        <v>#DIV/0!</v>
      </c>
      <c r="BM117" s="29" t="str">
        <f t="shared" si="3"/>
        <v>#DIV/0!</v>
      </c>
    </row>
    <row r="118">
      <c r="A118" s="16" t="str">
        <f>IFERROR(__xludf.DUMMYFUNCTION("IFERROR(SPARKLINE(SORT(MAP(TRANSPOSE(AQ118:BL118), LAMBDA(val, IF(ISNUMBER(val), PERCENTRANK(AQ118:BL118, val)+0.01, 0))), SEQUENCE(COLUMNS(AQ118:BL118)), FALSE), {""charttype"",""column""; ""color"",""chartreuse""; ""ymin"", 0; ""ymax"", 1.01; ""highcolo"&amp;"r"", ""darkgreen""; ""lowcolor"", ""red""}), """")"),"")</f>
        <v/>
      </c>
      <c r="B118" s="17" t="str">
        <f t="shared" si="4"/>
        <v/>
      </c>
      <c r="C118" s="1" t="s">
        <v>2516</v>
      </c>
      <c r="D118" s="30" t="str">
        <f>IFERROR(__xludf.DUMMYFUNCTION("IFERROR(GOOGLEFINANCE(C118, ""NAME""))"),"BBB Foods Inc")</f>
        <v>BBB Foods Inc</v>
      </c>
      <c r="E118" s="30" t="s">
        <v>2270</v>
      </c>
      <c r="F118" s="33" t="str">
        <f>IFERROR(__xludf.DUMMYFUNCTION("( (GOOGLEFINANCE(C118, ""price"") - Q118) / Q118 ) / (R118 / 100)"),"Loading...")</f>
        <v>Loading...</v>
      </c>
      <c r="G118" s="20" t="str">
        <f>IFERROR(__xludf.DUMMYFUNCTION("AVERAGE(ARRAYFORMULA(100 * (QUERY(GOOGLEFINANCE(C118, ""high"", TODAY()-40, TODAY()), ""SELECT Col2 WHERE Col2 IS NOT NULL ORDER BY Col1 DESC LIMIT 20"", 0) / QUERY(GOOGLEFINANCE(C118, ""low"", TODAY()-40, TODAY()), ""SELECT Col2 WHERE Col2 IS NOT NULL OR"&amp;"DER BY Col1 DESC LIMIT 20"", 0) - 1)))"),"#N/A")</f>
        <v>#N/A</v>
      </c>
      <c r="H118" s="35" t="str">
        <f t="shared" si="6"/>
        <v>Illiquid</v>
      </c>
      <c r="I118" s="36" t="str">
        <f t="shared" si="7"/>
        <v>RVol Required</v>
      </c>
      <c r="J118" s="37">
        <f>IFERROR(__xludf.DUMMYFUNCTION("IFERROR(
  IF(C118="""",, 
    IFERROR(
      GOOGLEFINANCE(C118, ""price"") * GOOGLEFINANCE(C118, ""volumeavg""), 
      GOOGLEFINANCE(C118, ""price"") * AVERAGE(QUERY(GOOGLEFINANCE(C118, ""volume"", TODAY()-40, TODAY()), ""SELECT Col2 WHERE Col2 IS NOT "&amp;"NULL ORDER BY Col1 DESC LIMIT 20"", 0))
    )
  ), 
"""")"),3.936533104E7)</f>
        <v>39365331.04</v>
      </c>
      <c r="K118" s="21">
        <f>IFERROR(__xludf.DUMMYFUNCTION("IFERROR(GOOGLEFINANCE(C118, ""changepct"") / 100, """")"),0.0294)</f>
        <v>0.0294</v>
      </c>
      <c r="L118" s="21" t="str">
        <f>IFERROR(__xludf.DUMMYFUNCTION("IFERROR((GOOGLEFINANCE(C118, ""price"") / INDEX(GOOGLEFINANCE(C118, ""price"", TODAY()-7, TODAY()), 2, 2)) - 1, """")"),"")</f>
        <v/>
      </c>
      <c r="M118" s="21" t="str">
        <f>IFERROR(__xludf.DUMMYFUNCTION("IFERROR((GOOGLEFINANCE(C118, ""price"") / INDEX(GOOGLEFINANCE(C118, ""price"", EDATE(TODAY(), -1), TODAY()), 2, 2)) - 1, """")"),"")</f>
        <v/>
      </c>
      <c r="N118" s="21" t="str">
        <f>IFERROR(__xludf.DUMMYFUNCTION("IFERROR((GOOGLEFINANCE(C118, ""price"") / INDEX(GOOGLEFINANCE(C118, ""price"", EDATE(TODAY(), -3), TODAY()), 2, 2)) - 1, """")"),"")</f>
        <v/>
      </c>
      <c r="O118" s="21" t="str">
        <f>IFERROR(__xludf.DUMMYFUNCTION("IFERROR((GOOGLEFINANCE(C118, ""price"") / INDEX(GOOGLEFINANCE(C118, ""price"", EDATE(TODAY(), -6), TODAY()), 2, 2)) - 1, """")"),"")</f>
        <v/>
      </c>
      <c r="P118" s="21" t="str">
        <f>IFERROR(__xludf.DUMMYFUNCTION("IFERROR((GOOGLEFINANCE(C118, ""price"") / INDEX(GOOGLEFINANCE(C118, ""price"", EDATE(TODAY(), -12), TODAY()), 2, 2)) - 1, """")"),"")</f>
        <v/>
      </c>
      <c r="Q118" s="6" t="str">
        <f>IFERROR(__xludf.DUMMYFUNCTION("AVERAGE(QUERY(GOOGLEFINANCE(C118, ""price"", TODAY()-80, TODAY()), ""SELECT Col2 WHERE Col2 IS NOT NULL ORDER BY Col1 DESC LIMIT 50"", 0))"),"#N/A")</f>
        <v>#N/A</v>
      </c>
      <c r="R118" s="24" t="str">
        <f>IFERROR(__xludf.DUMMYFUNCTION("IFERROR(
  LET(
    data, QUERY(GOOGLEFINANCE(C118,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GOOGLEFINANCE(C118, ""price"")) * 100,
    IF(calc=0, G118, calc)
  ), 
G118)"),"#N/A")</f>
        <v>#N/A</v>
      </c>
      <c r="S118" s="8" t="s">
        <v>15</v>
      </c>
      <c r="T118" s="26" t="str">
        <f>IFERROR(__xludf.DUMMYFUNCTION("IFERROR(TRANSPOSE(QUERY(IFERROR(SORT(GOOGLEFINANCE(C118, ""price"", WORKDAY(TODAY(), -40), TODAY()), 1, FALSE)), ""select Col2 where Col2 is not null limit 22 label Col2 ''"", 0)), """")"),"")</f>
        <v/>
      </c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8"/>
      <c r="AO118" s="28"/>
      <c r="AP118" s="29"/>
      <c r="AQ118" s="29" t="str">
        <f t="shared" ref="AQ118:BL118" si="121">T118/T$2</f>
        <v>#N/A</v>
      </c>
      <c r="AR118" s="29" t="str">
        <f t="shared" si="121"/>
        <v>#DIV/0!</v>
      </c>
      <c r="AS118" s="29" t="str">
        <f t="shared" si="121"/>
        <v>#DIV/0!</v>
      </c>
      <c r="AT118" s="29" t="str">
        <f t="shared" si="121"/>
        <v>#DIV/0!</v>
      </c>
      <c r="AU118" s="29" t="str">
        <f t="shared" si="121"/>
        <v>#DIV/0!</v>
      </c>
      <c r="AV118" s="29" t="str">
        <f t="shared" si="121"/>
        <v>#DIV/0!</v>
      </c>
      <c r="AW118" s="29" t="str">
        <f t="shared" si="121"/>
        <v>#DIV/0!</v>
      </c>
      <c r="AX118" s="29" t="str">
        <f t="shared" si="121"/>
        <v>#DIV/0!</v>
      </c>
      <c r="AY118" s="29" t="str">
        <f t="shared" si="121"/>
        <v>#DIV/0!</v>
      </c>
      <c r="AZ118" s="29" t="str">
        <f t="shared" si="121"/>
        <v>#DIV/0!</v>
      </c>
      <c r="BA118" s="29" t="str">
        <f t="shared" si="121"/>
        <v>#DIV/0!</v>
      </c>
      <c r="BB118" s="29" t="str">
        <f t="shared" si="121"/>
        <v>#DIV/0!</v>
      </c>
      <c r="BC118" s="29" t="str">
        <f t="shared" si="121"/>
        <v>#DIV/0!</v>
      </c>
      <c r="BD118" s="29" t="str">
        <f t="shared" si="121"/>
        <v>#DIV/0!</v>
      </c>
      <c r="BE118" s="29" t="str">
        <f t="shared" si="121"/>
        <v>#DIV/0!</v>
      </c>
      <c r="BF118" s="29" t="str">
        <f t="shared" si="121"/>
        <v>#DIV/0!</v>
      </c>
      <c r="BG118" s="29" t="str">
        <f t="shared" si="121"/>
        <v>#DIV/0!</v>
      </c>
      <c r="BH118" s="29" t="str">
        <f t="shared" si="121"/>
        <v>#DIV/0!</v>
      </c>
      <c r="BI118" s="29" t="str">
        <f t="shared" si="121"/>
        <v>#DIV/0!</v>
      </c>
      <c r="BJ118" s="29" t="str">
        <f t="shared" si="121"/>
        <v>#DIV/0!</v>
      </c>
      <c r="BK118" s="29" t="str">
        <f t="shared" si="121"/>
        <v>#DIV/0!</v>
      </c>
      <c r="BL118" s="29" t="str">
        <f t="shared" si="121"/>
        <v>#DIV/0!</v>
      </c>
      <c r="BM118" s="29" t="str">
        <f t="shared" si="3"/>
        <v>#DIV/0!</v>
      </c>
    </row>
    <row r="119">
      <c r="A119" s="16" t="str">
        <f>IFERROR(__xludf.DUMMYFUNCTION("IFERROR(SPARKLINE(SORT(MAP(TRANSPOSE(AQ119:BL119), LAMBDA(val, IF(ISNUMBER(val), PERCENTRANK(AQ119:BL119, val)+0.01, 0))), SEQUENCE(COLUMNS(AQ119:BL119)), FALSE), {""charttype"",""column""; ""color"",""chartreuse""; ""ymin"", 0; ""ymax"", 1.01; ""highcolo"&amp;"r"", ""darkgreen""; ""lowcolor"", ""red""}), """")"),"")</f>
        <v/>
      </c>
      <c r="B119" s="17" t="str">
        <f t="shared" si="4"/>
        <v/>
      </c>
      <c r="C119" s="1" t="s">
        <v>2520</v>
      </c>
      <c r="D119" s="30" t="str">
        <f>IFERROR(__xludf.DUMMYFUNCTION("IFERROR(GOOGLEFINANCE(C119, ""NAME""))"),"Molson Coors Beverage Co Class B")</f>
        <v>Molson Coors Beverage Co Class B</v>
      </c>
      <c r="E119" s="30" t="s">
        <v>2106</v>
      </c>
      <c r="F119" s="33" t="str">
        <f>IFERROR(__xludf.DUMMYFUNCTION("( (GOOGLEFINANCE(C119, ""price"") - Q119) / Q119 ) / (R119 / 100)"),"Loading...")</f>
        <v>Loading...</v>
      </c>
      <c r="G119" s="20" t="str">
        <f>IFERROR(__xludf.DUMMYFUNCTION("AVERAGE(ARRAYFORMULA(100 * (QUERY(GOOGLEFINANCE(C119, ""high"", TODAY()-40, TODAY()), ""SELECT Col2 WHERE Col2 IS NOT NULL ORDER BY Col1 DESC LIMIT 20"", 0) / QUERY(GOOGLEFINANCE(C119, ""low"", TODAY()-40, TODAY()), ""SELECT Col2 WHERE Col2 IS NOT NULL OR"&amp;"DER BY Col1 DESC LIMIT 20"", 0) - 1)))"),"#N/A")</f>
        <v>#N/A</v>
      </c>
      <c r="H119" s="35" t="str">
        <f t="shared" si="6"/>
        <v>Liquid</v>
      </c>
      <c r="I119" s="36" t="str">
        <f t="shared" si="7"/>
        <v>RVol Required</v>
      </c>
      <c r="J119" s="37">
        <f>IFERROR(__xludf.DUMMYFUNCTION("IFERROR(
  IF(C119="""",, 
    IFERROR(
      GOOGLEFINANCE(C119, ""price"") * GOOGLEFINANCE(C119, ""volumeavg""), 
      GOOGLEFINANCE(C119, ""price"") * AVERAGE(QUERY(GOOGLEFINANCE(C119, ""volume"", TODAY()-40, TODAY()), ""SELECT Col2 WHERE Col2 IS NOT "&amp;"NULL ORDER BY Col1 DESC LIMIT 20"", 0))
    )
  ), 
"""")"),1.9123929552E8)</f>
        <v>191239295.5</v>
      </c>
      <c r="K119" s="21">
        <f>IFERROR(__xludf.DUMMYFUNCTION("IFERROR(GOOGLEFINANCE(C119, ""changepct"") / 100, """")"),0.0126)</f>
        <v>0.0126</v>
      </c>
      <c r="L119" s="21" t="str">
        <f>IFERROR(__xludf.DUMMYFUNCTION("IFERROR((GOOGLEFINANCE(C119, ""price"") / INDEX(GOOGLEFINANCE(C119, ""price"", TODAY()-7, TODAY()), 2, 2)) - 1, """")"),"")</f>
        <v/>
      </c>
      <c r="M119" s="21" t="str">
        <f>IFERROR(__xludf.DUMMYFUNCTION("IFERROR((GOOGLEFINANCE(C119, ""price"") / INDEX(GOOGLEFINANCE(C119, ""price"", EDATE(TODAY(), -1), TODAY()), 2, 2)) - 1, """")"),"")</f>
        <v/>
      </c>
      <c r="N119" s="21" t="str">
        <f>IFERROR(__xludf.DUMMYFUNCTION("IFERROR((GOOGLEFINANCE(C119, ""price"") / INDEX(GOOGLEFINANCE(C119, ""price"", EDATE(TODAY(), -3), TODAY()), 2, 2)) - 1, """")"),"")</f>
        <v/>
      </c>
      <c r="O119" s="21" t="str">
        <f>IFERROR(__xludf.DUMMYFUNCTION("IFERROR((GOOGLEFINANCE(C119, ""price"") / INDEX(GOOGLEFINANCE(C119, ""price"", EDATE(TODAY(), -6), TODAY()), 2, 2)) - 1, """")"),"")</f>
        <v/>
      </c>
      <c r="P119" s="21" t="str">
        <f>IFERROR(__xludf.DUMMYFUNCTION("IFERROR((GOOGLEFINANCE(C119, ""price"") / INDEX(GOOGLEFINANCE(C119, ""price"", EDATE(TODAY(), -12), TODAY()), 2, 2)) - 1, """")"),"")</f>
        <v/>
      </c>
      <c r="Q119" s="6" t="str">
        <f>IFERROR(__xludf.DUMMYFUNCTION("AVERAGE(QUERY(GOOGLEFINANCE(C119, ""price"", TODAY()-80, TODAY()), ""SELECT Col2 WHERE Col2 IS NOT NULL ORDER BY Col1 DESC LIMIT 50"", 0))"),"#N/A")</f>
        <v>#N/A</v>
      </c>
      <c r="R119" s="24" t="str">
        <f>IFERROR(__xludf.DUMMYFUNCTION("IFERROR(
  LET(
    data, QUERY(GOOGLEFINANCE(C119,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GOOGLEFINANCE(C119, ""price"")) * 100,
    IF(calc=0, G119, calc)
  ), 
G119)"),"#N/A")</f>
        <v>#N/A</v>
      </c>
      <c r="S119" s="8" t="s">
        <v>15</v>
      </c>
      <c r="T119" s="26" t="str">
        <f>IFERROR(__xludf.DUMMYFUNCTION("IFERROR(TRANSPOSE(QUERY(IFERROR(SORT(GOOGLEFINANCE(C119, ""price"", WORKDAY(TODAY(), -40), TODAY()), 1, FALSE)), ""select Col2 where Col2 is not null limit 22 label Col2 ''"", 0)), """")"),"")</f>
        <v/>
      </c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8"/>
      <c r="AO119" s="28"/>
      <c r="AP119" s="29"/>
      <c r="AQ119" s="29" t="str">
        <f t="shared" ref="AQ119:BL119" si="122">T119/T$2</f>
        <v>#N/A</v>
      </c>
      <c r="AR119" s="29" t="str">
        <f t="shared" si="122"/>
        <v>#DIV/0!</v>
      </c>
      <c r="AS119" s="29" t="str">
        <f t="shared" si="122"/>
        <v>#DIV/0!</v>
      </c>
      <c r="AT119" s="29" t="str">
        <f t="shared" si="122"/>
        <v>#DIV/0!</v>
      </c>
      <c r="AU119" s="29" t="str">
        <f t="shared" si="122"/>
        <v>#DIV/0!</v>
      </c>
      <c r="AV119" s="29" t="str">
        <f t="shared" si="122"/>
        <v>#DIV/0!</v>
      </c>
      <c r="AW119" s="29" t="str">
        <f t="shared" si="122"/>
        <v>#DIV/0!</v>
      </c>
      <c r="AX119" s="29" t="str">
        <f t="shared" si="122"/>
        <v>#DIV/0!</v>
      </c>
      <c r="AY119" s="29" t="str">
        <f t="shared" si="122"/>
        <v>#DIV/0!</v>
      </c>
      <c r="AZ119" s="29" t="str">
        <f t="shared" si="122"/>
        <v>#DIV/0!</v>
      </c>
      <c r="BA119" s="29" t="str">
        <f t="shared" si="122"/>
        <v>#DIV/0!</v>
      </c>
      <c r="BB119" s="29" t="str">
        <f t="shared" si="122"/>
        <v>#DIV/0!</v>
      </c>
      <c r="BC119" s="29" t="str">
        <f t="shared" si="122"/>
        <v>#DIV/0!</v>
      </c>
      <c r="BD119" s="29" t="str">
        <f t="shared" si="122"/>
        <v>#DIV/0!</v>
      </c>
      <c r="BE119" s="29" t="str">
        <f t="shared" si="122"/>
        <v>#DIV/0!</v>
      </c>
      <c r="BF119" s="29" t="str">
        <f t="shared" si="122"/>
        <v>#DIV/0!</v>
      </c>
      <c r="BG119" s="29" t="str">
        <f t="shared" si="122"/>
        <v>#DIV/0!</v>
      </c>
      <c r="BH119" s="29" t="str">
        <f t="shared" si="122"/>
        <v>#DIV/0!</v>
      </c>
      <c r="BI119" s="29" t="str">
        <f t="shared" si="122"/>
        <v>#DIV/0!</v>
      </c>
      <c r="BJ119" s="29" t="str">
        <f t="shared" si="122"/>
        <v>#DIV/0!</v>
      </c>
      <c r="BK119" s="29" t="str">
        <f t="shared" si="122"/>
        <v>#DIV/0!</v>
      </c>
      <c r="BL119" s="29" t="str">
        <f t="shared" si="122"/>
        <v>#DIV/0!</v>
      </c>
      <c r="BM119" s="29" t="str">
        <f t="shared" si="3"/>
        <v>#DIV/0!</v>
      </c>
    </row>
    <row r="120">
      <c r="A120" s="16" t="str">
        <f>IFERROR(__xludf.DUMMYFUNCTION("IFERROR(SPARKLINE(SORT(MAP(TRANSPOSE(AQ120:BL120), LAMBDA(val, IF(ISNUMBER(val), PERCENTRANK(AQ120:BL120, val)+0.01, 0))), SEQUENCE(COLUMNS(AQ120:BL120)), FALSE), {""charttype"",""column""; ""color"",""chartreuse""; ""ymin"", 0; ""ymax"", 1.01; ""highcolo"&amp;"r"", ""darkgreen""; ""lowcolor"", ""red""}), """")"),"")</f>
        <v/>
      </c>
      <c r="B120" s="17" t="str">
        <f t="shared" si="4"/>
        <v/>
      </c>
      <c r="C120" s="1" t="s">
        <v>2522</v>
      </c>
      <c r="D120" s="30" t="str">
        <f>IFERROR(__xludf.DUMMYFUNCTION("IFERROR(GOOGLEFINANCE(C120, ""NAME""))"),"Simply Good Foods Co")</f>
        <v>Simply Good Foods Co</v>
      </c>
      <c r="E120" s="30" t="s">
        <v>2094</v>
      </c>
      <c r="F120" s="33" t="str">
        <f>IFERROR(__xludf.DUMMYFUNCTION("( (GOOGLEFINANCE(C120, ""price"") - Q120) / Q120 ) / (R120 / 100)"),"Loading...")</f>
        <v>Loading...</v>
      </c>
      <c r="G120" s="20" t="str">
        <f>IFERROR(__xludf.DUMMYFUNCTION("AVERAGE(ARRAYFORMULA(100 * (QUERY(GOOGLEFINANCE(C120, ""high"", TODAY()-40, TODAY()), ""SELECT Col2 WHERE Col2 IS NOT NULL ORDER BY Col1 DESC LIMIT 20"", 0) / QUERY(GOOGLEFINANCE(C120, ""low"", TODAY()-40, TODAY()), ""SELECT Col2 WHERE Col2 IS NOT NULL OR"&amp;"DER BY Col1 DESC LIMIT 20"", 0) - 1)))"),"#N/A")</f>
        <v>#N/A</v>
      </c>
      <c r="H120" s="35" t="str">
        <f t="shared" si="6"/>
        <v>Illiquid</v>
      </c>
      <c r="I120" s="36" t="str">
        <f t="shared" si="7"/>
        <v>RVol Required</v>
      </c>
      <c r="J120" s="37">
        <f>IFERROR(__xludf.DUMMYFUNCTION("IFERROR(
  IF(C120="""",, 
    IFERROR(
      GOOGLEFINANCE(C120, ""price"") * GOOGLEFINANCE(C120, ""volumeavg""), 
      GOOGLEFINANCE(C120, ""price"") * AVERAGE(QUERY(GOOGLEFINANCE(C120, ""volume"", TODAY()-40, TODAY()), ""SELECT Col2 WHERE Col2 IS NOT "&amp;"NULL ORDER BY Col1 DESC LIMIT 20"", 0))
    )
  ), 
"""")"),2.486920431E7)</f>
        <v>24869204.31</v>
      </c>
      <c r="K120" s="21">
        <f>IFERROR(__xludf.DUMMYFUNCTION("IFERROR(GOOGLEFINANCE(C120, ""changepct"") / 100, """")"),0.0054)</f>
        <v>0.0054</v>
      </c>
      <c r="L120" s="21" t="str">
        <f>IFERROR(__xludf.DUMMYFUNCTION("IFERROR((GOOGLEFINANCE(C120, ""price"") / INDEX(GOOGLEFINANCE(C120, ""price"", TODAY()-7, TODAY()), 2, 2)) - 1, """")"),"")</f>
        <v/>
      </c>
      <c r="M120" s="21" t="str">
        <f>IFERROR(__xludf.DUMMYFUNCTION("IFERROR((GOOGLEFINANCE(C120, ""price"") / INDEX(GOOGLEFINANCE(C120, ""price"", EDATE(TODAY(), -1), TODAY()), 2, 2)) - 1, """")"),"")</f>
        <v/>
      </c>
      <c r="N120" s="21" t="str">
        <f>IFERROR(__xludf.DUMMYFUNCTION("IFERROR((GOOGLEFINANCE(C120, ""price"") / INDEX(GOOGLEFINANCE(C120, ""price"", EDATE(TODAY(), -3), TODAY()), 2, 2)) - 1, """")"),"")</f>
        <v/>
      </c>
      <c r="O120" s="21" t="str">
        <f>IFERROR(__xludf.DUMMYFUNCTION("IFERROR((GOOGLEFINANCE(C120, ""price"") / INDEX(GOOGLEFINANCE(C120, ""price"", EDATE(TODAY(), -6), TODAY()), 2, 2)) - 1, """")"),"")</f>
        <v/>
      </c>
      <c r="P120" s="21" t="str">
        <f>IFERROR(__xludf.DUMMYFUNCTION("IFERROR((GOOGLEFINANCE(C120, ""price"") / INDEX(GOOGLEFINANCE(C120, ""price"", EDATE(TODAY(), -12), TODAY()), 2, 2)) - 1, """")"),"")</f>
        <v/>
      </c>
      <c r="Q120" s="6" t="str">
        <f>IFERROR(__xludf.DUMMYFUNCTION("AVERAGE(QUERY(GOOGLEFINANCE(C120, ""price"", TODAY()-80, TODAY()), ""SELECT Col2 WHERE Col2 IS NOT NULL ORDER BY Col1 DESC LIMIT 50"", 0))"),"#N/A")</f>
        <v>#N/A</v>
      </c>
      <c r="R120" s="24" t="str">
        <f>IFERROR(__xludf.DUMMYFUNCTION("IFERROR(
  LET(
    data, QUERY(GOOGLEFINANCE(C120,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GOOGLEFINANCE(C120, ""price"")) * 100,
    IF(calc=0, G120, calc)
  ), 
G120)"),"#N/A")</f>
        <v>#N/A</v>
      </c>
      <c r="S120" s="8" t="s">
        <v>15</v>
      </c>
      <c r="T120" s="26" t="str">
        <f>IFERROR(__xludf.DUMMYFUNCTION("IFERROR(TRANSPOSE(QUERY(IFERROR(SORT(GOOGLEFINANCE(C120, ""price"", WORKDAY(TODAY(), -40), TODAY()), 1, FALSE)), ""select Col2 where Col2 is not null limit 22 label Col2 ''"", 0)), """")"),"")</f>
        <v/>
      </c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8"/>
      <c r="AO120" s="28"/>
      <c r="AP120" s="29"/>
      <c r="AQ120" s="29" t="str">
        <f t="shared" ref="AQ120:BL120" si="123">T120/T$2</f>
        <v>#N/A</v>
      </c>
      <c r="AR120" s="29" t="str">
        <f t="shared" si="123"/>
        <v>#DIV/0!</v>
      </c>
      <c r="AS120" s="29" t="str">
        <f t="shared" si="123"/>
        <v>#DIV/0!</v>
      </c>
      <c r="AT120" s="29" t="str">
        <f t="shared" si="123"/>
        <v>#DIV/0!</v>
      </c>
      <c r="AU120" s="29" t="str">
        <f t="shared" si="123"/>
        <v>#DIV/0!</v>
      </c>
      <c r="AV120" s="29" t="str">
        <f t="shared" si="123"/>
        <v>#DIV/0!</v>
      </c>
      <c r="AW120" s="29" t="str">
        <f t="shared" si="123"/>
        <v>#DIV/0!</v>
      </c>
      <c r="AX120" s="29" t="str">
        <f t="shared" si="123"/>
        <v>#DIV/0!</v>
      </c>
      <c r="AY120" s="29" t="str">
        <f t="shared" si="123"/>
        <v>#DIV/0!</v>
      </c>
      <c r="AZ120" s="29" t="str">
        <f t="shared" si="123"/>
        <v>#DIV/0!</v>
      </c>
      <c r="BA120" s="29" t="str">
        <f t="shared" si="123"/>
        <v>#DIV/0!</v>
      </c>
      <c r="BB120" s="29" t="str">
        <f t="shared" si="123"/>
        <v>#DIV/0!</v>
      </c>
      <c r="BC120" s="29" t="str">
        <f t="shared" si="123"/>
        <v>#DIV/0!</v>
      </c>
      <c r="BD120" s="29" t="str">
        <f t="shared" si="123"/>
        <v>#DIV/0!</v>
      </c>
      <c r="BE120" s="29" t="str">
        <f t="shared" si="123"/>
        <v>#DIV/0!</v>
      </c>
      <c r="BF120" s="29" t="str">
        <f t="shared" si="123"/>
        <v>#DIV/0!</v>
      </c>
      <c r="BG120" s="29" t="str">
        <f t="shared" si="123"/>
        <v>#DIV/0!</v>
      </c>
      <c r="BH120" s="29" t="str">
        <f t="shared" si="123"/>
        <v>#DIV/0!</v>
      </c>
      <c r="BI120" s="29" t="str">
        <f t="shared" si="123"/>
        <v>#DIV/0!</v>
      </c>
      <c r="BJ120" s="29" t="str">
        <f t="shared" si="123"/>
        <v>#DIV/0!</v>
      </c>
      <c r="BK120" s="29" t="str">
        <f t="shared" si="123"/>
        <v>#DIV/0!</v>
      </c>
      <c r="BL120" s="29" t="str">
        <f t="shared" si="123"/>
        <v>#DIV/0!</v>
      </c>
      <c r="BM120" s="29" t="str">
        <f t="shared" si="3"/>
        <v>#DIV/0!</v>
      </c>
    </row>
    <row r="121">
      <c r="A121" s="16" t="str">
        <f>IFERROR(__xludf.DUMMYFUNCTION("IFERROR(SPARKLINE(SORT(MAP(TRANSPOSE(AQ121:BL121), LAMBDA(val, IF(ISNUMBER(val), PERCENTRANK(AQ121:BL121, val)+0.01, 0))), SEQUENCE(COLUMNS(AQ121:BL121)), FALSE), {""charttype"",""column""; ""color"",""chartreuse""; ""ymin"", 0; ""ymax"", 1.01; ""highcolo"&amp;"r"", ""darkgreen""; ""lowcolor"", ""red""}), """")"),"")</f>
        <v/>
      </c>
      <c r="B121" s="17" t="str">
        <f t="shared" si="4"/>
        <v/>
      </c>
      <c r="C121" s="1" t="s">
        <v>2526</v>
      </c>
      <c r="D121" s="30" t="str">
        <f>IFERROR(__xludf.DUMMYFUNCTION("IFERROR(GOOGLEFINANCE(C121, ""NAME""))"),"Boston Beer Company Inc")</f>
        <v>Boston Beer Company Inc</v>
      </c>
      <c r="E121" s="30" t="s">
        <v>2106</v>
      </c>
      <c r="F121" s="33" t="str">
        <f>IFERROR(__xludf.DUMMYFUNCTION("( (GOOGLEFINANCE(C121, ""price"") - Q121) / Q121 ) / (R121 / 100)"),"Loading...")</f>
        <v>Loading...</v>
      </c>
      <c r="G121" s="20" t="str">
        <f>IFERROR(__xludf.DUMMYFUNCTION("AVERAGE(ARRAYFORMULA(100 * (QUERY(GOOGLEFINANCE(C121, ""high"", TODAY()-40, TODAY()), ""SELECT Col2 WHERE Col2 IS NOT NULL ORDER BY Col1 DESC LIMIT 20"", 0) / QUERY(GOOGLEFINANCE(C121, ""low"", TODAY()-40, TODAY()), ""SELECT Col2 WHERE Col2 IS NOT NULL OR"&amp;"DER BY Col1 DESC LIMIT 20"", 0) - 1)))"),"#N/A")</f>
        <v>#N/A</v>
      </c>
      <c r="H121" s="35" t="str">
        <f t="shared" si="6"/>
        <v>Illiquid</v>
      </c>
      <c r="I121" s="36" t="str">
        <f t="shared" si="7"/>
        <v>RVol Required</v>
      </c>
      <c r="J121" s="37">
        <f>IFERROR(__xludf.DUMMYFUNCTION("IFERROR(
  IF(C121="""",, 
    IFERROR(
      GOOGLEFINANCE(C121, ""price"") * GOOGLEFINANCE(C121, ""volumeavg""), 
      GOOGLEFINANCE(C121, ""price"") * AVERAGE(QUERY(GOOGLEFINANCE(C121, ""volume"", TODAY()-40, TODAY()), ""SELECT Col2 WHERE Col2 IS NOT "&amp;"NULL ORDER BY Col1 DESC LIMIT 20"", 0))
    )
  ), 
"""")"),4.394757772E7)</f>
        <v>43947577.72</v>
      </c>
      <c r="K121" s="21">
        <f>IFERROR(__xludf.DUMMYFUNCTION("IFERROR(GOOGLEFINANCE(C121, ""changepct"") / 100, """")"),0.009000000000000001)</f>
        <v>0.009</v>
      </c>
      <c r="L121" s="21" t="str">
        <f>IFERROR(__xludf.DUMMYFUNCTION("IFERROR((GOOGLEFINANCE(C121, ""price"") / INDEX(GOOGLEFINANCE(C121, ""price"", TODAY()-7, TODAY()), 2, 2)) - 1, """")"),"")</f>
        <v/>
      </c>
      <c r="M121" s="21" t="str">
        <f>IFERROR(__xludf.DUMMYFUNCTION("IFERROR((GOOGLEFINANCE(C121, ""price"") / INDEX(GOOGLEFINANCE(C121, ""price"", EDATE(TODAY(), -1), TODAY()), 2, 2)) - 1, """")"),"")</f>
        <v/>
      </c>
      <c r="N121" s="21" t="str">
        <f>IFERROR(__xludf.DUMMYFUNCTION("IFERROR((GOOGLEFINANCE(C121, ""price"") / INDEX(GOOGLEFINANCE(C121, ""price"", EDATE(TODAY(), -3), TODAY()), 2, 2)) - 1, """")"),"")</f>
        <v/>
      </c>
      <c r="O121" s="21" t="str">
        <f>IFERROR(__xludf.DUMMYFUNCTION("IFERROR((GOOGLEFINANCE(C121, ""price"") / INDEX(GOOGLEFINANCE(C121, ""price"", EDATE(TODAY(), -6), TODAY()), 2, 2)) - 1, """")"),"")</f>
        <v/>
      </c>
      <c r="P121" s="21" t="str">
        <f>IFERROR(__xludf.DUMMYFUNCTION("IFERROR((GOOGLEFINANCE(C121, ""price"") / INDEX(GOOGLEFINANCE(C121, ""price"", EDATE(TODAY(), -12), TODAY()), 2, 2)) - 1, """")"),"")</f>
        <v/>
      </c>
      <c r="Q121" s="6" t="str">
        <f>IFERROR(__xludf.DUMMYFUNCTION("AVERAGE(QUERY(GOOGLEFINANCE(C121, ""price"", TODAY()-80, TODAY()), ""SELECT Col2 WHERE Col2 IS NOT NULL ORDER BY Col1 DESC LIMIT 50"", 0))"),"#N/A")</f>
        <v>#N/A</v>
      </c>
      <c r="R121" s="24" t="str">
        <f>IFERROR(__xludf.DUMMYFUNCTION("IFERROR(
  LET(
    data, QUERY(GOOGLEFINANCE(C121,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GOOGLEFINANCE(C121, ""price"")) * 100,
    IF(calc=0, G121, calc)
  ), 
G121)"),"#N/A")</f>
        <v>#N/A</v>
      </c>
      <c r="S121" s="8" t="s">
        <v>15</v>
      </c>
      <c r="T121" s="26" t="str">
        <f>IFERROR(__xludf.DUMMYFUNCTION("IFERROR(TRANSPOSE(QUERY(IFERROR(SORT(GOOGLEFINANCE(C121, ""price"", WORKDAY(TODAY(), -40), TODAY()), 1, FALSE)), ""select Col2 where Col2 is not null limit 22 label Col2 ''"", 0)), """")"),"")</f>
        <v/>
      </c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8"/>
      <c r="AO121" s="28"/>
      <c r="AP121" s="29"/>
      <c r="AQ121" s="29" t="str">
        <f t="shared" ref="AQ121:BL121" si="124">T121/T$2</f>
        <v>#N/A</v>
      </c>
      <c r="AR121" s="29" t="str">
        <f t="shared" si="124"/>
        <v>#DIV/0!</v>
      </c>
      <c r="AS121" s="29" t="str">
        <f t="shared" si="124"/>
        <v>#DIV/0!</v>
      </c>
      <c r="AT121" s="29" t="str">
        <f t="shared" si="124"/>
        <v>#DIV/0!</v>
      </c>
      <c r="AU121" s="29" t="str">
        <f t="shared" si="124"/>
        <v>#DIV/0!</v>
      </c>
      <c r="AV121" s="29" t="str">
        <f t="shared" si="124"/>
        <v>#DIV/0!</v>
      </c>
      <c r="AW121" s="29" t="str">
        <f t="shared" si="124"/>
        <v>#DIV/0!</v>
      </c>
      <c r="AX121" s="29" t="str">
        <f t="shared" si="124"/>
        <v>#DIV/0!</v>
      </c>
      <c r="AY121" s="29" t="str">
        <f t="shared" si="124"/>
        <v>#DIV/0!</v>
      </c>
      <c r="AZ121" s="29" t="str">
        <f t="shared" si="124"/>
        <v>#DIV/0!</v>
      </c>
      <c r="BA121" s="29" t="str">
        <f t="shared" si="124"/>
        <v>#DIV/0!</v>
      </c>
      <c r="BB121" s="29" t="str">
        <f t="shared" si="124"/>
        <v>#DIV/0!</v>
      </c>
      <c r="BC121" s="29" t="str">
        <f t="shared" si="124"/>
        <v>#DIV/0!</v>
      </c>
      <c r="BD121" s="29" t="str">
        <f t="shared" si="124"/>
        <v>#DIV/0!</v>
      </c>
      <c r="BE121" s="29" t="str">
        <f t="shared" si="124"/>
        <v>#DIV/0!</v>
      </c>
      <c r="BF121" s="29" t="str">
        <f t="shared" si="124"/>
        <v>#DIV/0!</v>
      </c>
      <c r="BG121" s="29" t="str">
        <f t="shared" si="124"/>
        <v>#DIV/0!</v>
      </c>
      <c r="BH121" s="29" t="str">
        <f t="shared" si="124"/>
        <v>#DIV/0!</v>
      </c>
      <c r="BI121" s="29" t="str">
        <f t="shared" si="124"/>
        <v>#DIV/0!</v>
      </c>
      <c r="BJ121" s="29" t="str">
        <f t="shared" si="124"/>
        <v>#DIV/0!</v>
      </c>
      <c r="BK121" s="29" t="str">
        <f t="shared" si="124"/>
        <v>#DIV/0!</v>
      </c>
      <c r="BL121" s="29" t="str">
        <f t="shared" si="124"/>
        <v>#DIV/0!</v>
      </c>
      <c r="BM121" s="29" t="str">
        <f t="shared" si="3"/>
        <v>#DIV/0!</v>
      </c>
    </row>
    <row r="122">
      <c r="A122" s="16" t="str">
        <f>IFERROR(__xludf.DUMMYFUNCTION("IFERROR(SPARKLINE(SORT(MAP(TRANSPOSE(AQ122:BL122), LAMBDA(val, IF(ISNUMBER(val), PERCENTRANK(AQ122:BL122, val)+0.01, 0))), SEQUENCE(COLUMNS(AQ122:BL122)), FALSE), {""charttype"",""column""; ""color"",""chartreuse""; ""ymin"", 0; ""ymax"", 1.01; ""highcolo"&amp;"r"", ""darkgreen""; ""lowcolor"", ""red""}), """")"),"")</f>
        <v/>
      </c>
      <c r="B122" s="17" t="str">
        <f t="shared" si="4"/>
        <v/>
      </c>
      <c r="C122" s="1" t="s">
        <v>2528</v>
      </c>
      <c r="D122" s="30" t="str">
        <f>IFERROR(__xludf.DUMMYFUNCTION("IFERROR(GOOGLEFINANCE(C122, ""NAME""))"),"PriceSmart Inc")</f>
        <v>PriceSmart Inc</v>
      </c>
      <c r="E122" s="30" t="s">
        <v>2270</v>
      </c>
      <c r="F122" s="33" t="str">
        <f>IFERROR(__xludf.DUMMYFUNCTION("( (GOOGLEFINANCE(C122, ""price"") - Q122) / Q122 ) / (R122 / 100)"),"Loading...")</f>
        <v>Loading...</v>
      </c>
      <c r="G122" s="20" t="str">
        <f>IFERROR(__xludf.DUMMYFUNCTION("AVERAGE(ARRAYFORMULA(100 * (QUERY(GOOGLEFINANCE(C122, ""high"", TODAY()-40, TODAY()), ""SELECT Col2 WHERE Col2 IS NOT NULL ORDER BY Col1 DESC LIMIT 20"", 0) / QUERY(GOOGLEFINANCE(C122, ""low"", TODAY()-40, TODAY()), ""SELECT Col2 WHERE Col2 IS NOT NULL OR"&amp;"DER BY Col1 DESC LIMIT 20"", 0) - 1)))"),"#N/A")</f>
        <v>#N/A</v>
      </c>
      <c r="H122" s="35" t="str">
        <f t="shared" si="6"/>
        <v>Illiquid</v>
      </c>
      <c r="I122" s="36" t="str">
        <f t="shared" si="7"/>
        <v>RVol Required</v>
      </c>
      <c r="J122" s="37">
        <f>IFERROR(__xludf.DUMMYFUNCTION("IFERROR(
  IF(C122="""",, 
    IFERROR(
      GOOGLEFINANCE(C122, ""price"") * GOOGLEFINANCE(C122, ""volumeavg""), 
      GOOGLEFINANCE(C122, ""price"") * AVERAGE(QUERY(GOOGLEFINANCE(C122, ""volume"", TODAY()-40, TODAY()), ""SELECT Col2 WHERE Col2 IS NOT "&amp;"NULL ORDER BY Col1 DESC LIMIT 20"", 0))
    )
  ), 
"""")"),3.97440305E7)</f>
        <v>39744030.5</v>
      </c>
      <c r="K122" s="21">
        <f>IFERROR(__xludf.DUMMYFUNCTION("IFERROR(GOOGLEFINANCE(C122, ""changepct"") / 100, """")"),8.0E-4)</f>
        <v>0.0008</v>
      </c>
      <c r="L122" s="21" t="str">
        <f>IFERROR(__xludf.DUMMYFUNCTION("IFERROR((GOOGLEFINANCE(C122, ""price"") / INDEX(GOOGLEFINANCE(C122, ""price"", TODAY()-7, TODAY()), 2, 2)) - 1, """")"),"")</f>
        <v/>
      </c>
      <c r="M122" s="21" t="str">
        <f>IFERROR(__xludf.DUMMYFUNCTION("IFERROR((GOOGLEFINANCE(C122, ""price"") / INDEX(GOOGLEFINANCE(C122, ""price"", EDATE(TODAY(), -1), TODAY()), 2, 2)) - 1, """")"),"")</f>
        <v/>
      </c>
      <c r="N122" s="21" t="str">
        <f>IFERROR(__xludf.DUMMYFUNCTION("IFERROR((GOOGLEFINANCE(C122, ""price"") / INDEX(GOOGLEFINANCE(C122, ""price"", EDATE(TODAY(), -3), TODAY()), 2, 2)) - 1, """")"),"")</f>
        <v/>
      </c>
      <c r="O122" s="21" t="str">
        <f>IFERROR(__xludf.DUMMYFUNCTION("IFERROR((GOOGLEFINANCE(C122, ""price"") / INDEX(GOOGLEFINANCE(C122, ""price"", EDATE(TODAY(), -6), TODAY()), 2, 2)) - 1, """")"),"")</f>
        <v/>
      </c>
      <c r="P122" s="21" t="str">
        <f>IFERROR(__xludf.DUMMYFUNCTION("IFERROR((GOOGLEFINANCE(C122, ""price"") / INDEX(GOOGLEFINANCE(C122, ""price"", EDATE(TODAY(), -12), TODAY()), 2, 2)) - 1, """")"),"")</f>
        <v/>
      </c>
      <c r="Q122" s="6" t="str">
        <f>IFERROR(__xludf.DUMMYFUNCTION("AVERAGE(QUERY(GOOGLEFINANCE(C122, ""price"", TODAY()-80, TODAY()), ""SELECT Col2 WHERE Col2 IS NOT NULL ORDER BY Col1 DESC LIMIT 50"", 0))"),"#N/A")</f>
        <v>#N/A</v>
      </c>
      <c r="R122" s="24" t="str">
        <f>IFERROR(__xludf.DUMMYFUNCTION("IFERROR(
  LET(
    data, QUERY(GOOGLEFINANCE(C122,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GOOGLEFINANCE(C122, ""price"")) * 100,
    IF(calc=0, G122, calc)
  ), 
G122)"),"#N/A")</f>
        <v>#N/A</v>
      </c>
      <c r="S122" s="8" t="s">
        <v>15</v>
      </c>
      <c r="T122" s="26" t="str">
        <f>IFERROR(__xludf.DUMMYFUNCTION("IFERROR(TRANSPOSE(QUERY(IFERROR(SORT(GOOGLEFINANCE(C122, ""price"", WORKDAY(TODAY(), -40), TODAY()), 1, FALSE)), ""select Col2 where Col2 is not null limit 22 label Col2 ''"", 0)), """")"),"")</f>
        <v/>
      </c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8"/>
      <c r="AO122" s="28"/>
      <c r="AP122" s="29"/>
      <c r="AQ122" s="29" t="str">
        <f t="shared" ref="AQ122:BL122" si="125">T122/T$2</f>
        <v>#N/A</v>
      </c>
      <c r="AR122" s="29" t="str">
        <f t="shared" si="125"/>
        <v>#DIV/0!</v>
      </c>
      <c r="AS122" s="29" t="str">
        <f t="shared" si="125"/>
        <v>#DIV/0!</v>
      </c>
      <c r="AT122" s="29" t="str">
        <f t="shared" si="125"/>
        <v>#DIV/0!</v>
      </c>
      <c r="AU122" s="29" t="str">
        <f t="shared" si="125"/>
        <v>#DIV/0!</v>
      </c>
      <c r="AV122" s="29" t="str">
        <f t="shared" si="125"/>
        <v>#DIV/0!</v>
      </c>
      <c r="AW122" s="29" t="str">
        <f t="shared" si="125"/>
        <v>#DIV/0!</v>
      </c>
      <c r="AX122" s="29" t="str">
        <f t="shared" si="125"/>
        <v>#DIV/0!</v>
      </c>
      <c r="AY122" s="29" t="str">
        <f t="shared" si="125"/>
        <v>#DIV/0!</v>
      </c>
      <c r="AZ122" s="29" t="str">
        <f t="shared" si="125"/>
        <v>#DIV/0!</v>
      </c>
      <c r="BA122" s="29" t="str">
        <f t="shared" si="125"/>
        <v>#DIV/0!</v>
      </c>
      <c r="BB122" s="29" t="str">
        <f t="shared" si="125"/>
        <v>#DIV/0!</v>
      </c>
      <c r="BC122" s="29" t="str">
        <f t="shared" si="125"/>
        <v>#DIV/0!</v>
      </c>
      <c r="BD122" s="29" t="str">
        <f t="shared" si="125"/>
        <v>#DIV/0!</v>
      </c>
      <c r="BE122" s="29" t="str">
        <f t="shared" si="125"/>
        <v>#DIV/0!</v>
      </c>
      <c r="BF122" s="29" t="str">
        <f t="shared" si="125"/>
        <v>#DIV/0!</v>
      </c>
      <c r="BG122" s="29" t="str">
        <f t="shared" si="125"/>
        <v>#DIV/0!</v>
      </c>
      <c r="BH122" s="29" t="str">
        <f t="shared" si="125"/>
        <v>#DIV/0!</v>
      </c>
      <c r="BI122" s="29" t="str">
        <f t="shared" si="125"/>
        <v>#DIV/0!</v>
      </c>
      <c r="BJ122" s="29" t="str">
        <f t="shared" si="125"/>
        <v>#DIV/0!</v>
      </c>
      <c r="BK122" s="29" t="str">
        <f t="shared" si="125"/>
        <v>#DIV/0!</v>
      </c>
      <c r="BL122" s="29" t="str">
        <f t="shared" si="125"/>
        <v>#DIV/0!</v>
      </c>
      <c r="BM122" s="29" t="str">
        <f t="shared" si="3"/>
        <v>#DIV/0!</v>
      </c>
    </row>
    <row r="123">
      <c r="A123" s="16" t="str">
        <f>IFERROR(__xludf.DUMMYFUNCTION("IFERROR(SPARKLINE(SORT(MAP(TRANSPOSE(AQ123:BL123), LAMBDA(val, IF(ISNUMBER(val), PERCENTRANK(AQ123:BL123, val)+0.01, 0))), SEQUENCE(COLUMNS(AQ123:BL123)), FALSE), {""charttype"",""column""; ""color"",""chartreuse""; ""ymin"", 0; ""ymax"", 1.01; ""highcolo"&amp;"r"", ""darkgreen""; ""lowcolor"", ""red""}), """")"),"")</f>
        <v/>
      </c>
      <c r="B123" s="17" t="str">
        <f t="shared" si="4"/>
        <v/>
      </c>
      <c r="C123" s="1" t="s">
        <v>2530</v>
      </c>
      <c r="D123" s="30" t="str">
        <f>IFERROR(__xludf.DUMMYFUNCTION("IFERROR(GOOGLEFINANCE(C123, ""NAME""))"),"Oatly Group AB - ADR")</f>
        <v>Oatly Group AB - ADR</v>
      </c>
      <c r="E123" s="30" t="s">
        <v>2094</v>
      </c>
      <c r="F123" s="33" t="str">
        <f>IFERROR(__xludf.DUMMYFUNCTION("( (GOOGLEFINANCE(C123, ""price"") - Q123) / Q123 ) / (R123 / 100)"),"Loading...")</f>
        <v>Loading...</v>
      </c>
      <c r="G123" s="20" t="str">
        <f>IFERROR(__xludf.DUMMYFUNCTION("AVERAGE(ARRAYFORMULA(100 * (QUERY(GOOGLEFINANCE(C123, ""high"", TODAY()-40, TODAY()), ""SELECT Col2 WHERE Col2 IS NOT NULL ORDER BY Col1 DESC LIMIT 20"", 0) / QUERY(GOOGLEFINANCE(C123, ""low"", TODAY()-40, TODAY()), ""SELECT Col2 WHERE Col2 IS NOT NULL OR"&amp;"DER BY Col1 DESC LIMIT 20"", 0) - 1)))"),"#N/A")</f>
        <v>#N/A</v>
      </c>
      <c r="H123" s="35" t="str">
        <f t="shared" si="6"/>
        <v>Illiquid</v>
      </c>
      <c r="I123" s="36" t="str">
        <f t="shared" si="7"/>
        <v>RVol Required</v>
      </c>
      <c r="J123" s="37">
        <f>IFERROR(__xludf.DUMMYFUNCTION("IFERROR(
  IF(C123="""",, 
    IFERROR(
      GOOGLEFINANCE(C123, ""price"") * GOOGLEFINANCE(C123, ""volumeavg""), 
      GOOGLEFINANCE(C123, ""price"") * AVERAGE(QUERY(GOOGLEFINANCE(C123, ""volume"", TODAY()-40, TODAY()), ""SELECT Col2 WHERE Col2 IS NOT "&amp;"NULL ORDER BY Col1 DESC LIMIT 20"", 0))
    )
  ), 
"""")"),695835.0)</f>
        <v>695835</v>
      </c>
      <c r="K123" s="21">
        <f>IFERROR(__xludf.DUMMYFUNCTION("IFERROR(GOOGLEFINANCE(C123, ""changepct"") / 100, """")"),0.0072)</f>
        <v>0.0072</v>
      </c>
      <c r="L123" s="21" t="str">
        <f>IFERROR(__xludf.DUMMYFUNCTION("IFERROR((GOOGLEFINANCE(C123, ""price"") / INDEX(GOOGLEFINANCE(C123, ""price"", TODAY()-7, TODAY()), 2, 2)) - 1, """")"),"")</f>
        <v/>
      </c>
      <c r="M123" s="21" t="str">
        <f>IFERROR(__xludf.DUMMYFUNCTION("IFERROR((GOOGLEFINANCE(C123, ""price"") / INDEX(GOOGLEFINANCE(C123, ""price"", EDATE(TODAY(), -1), TODAY()), 2, 2)) - 1, """")"),"")</f>
        <v/>
      </c>
      <c r="N123" s="21" t="str">
        <f>IFERROR(__xludf.DUMMYFUNCTION("IFERROR((GOOGLEFINANCE(C123, ""price"") / INDEX(GOOGLEFINANCE(C123, ""price"", EDATE(TODAY(), -3), TODAY()), 2, 2)) - 1, """")"),"")</f>
        <v/>
      </c>
      <c r="O123" s="21" t="str">
        <f>IFERROR(__xludf.DUMMYFUNCTION("IFERROR((GOOGLEFINANCE(C123, ""price"") / INDEX(GOOGLEFINANCE(C123, ""price"", EDATE(TODAY(), -6), TODAY()), 2, 2)) - 1, """")"),"")</f>
        <v/>
      </c>
      <c r="P123" s="21" t="str">
        <f>IFERROR(__xludf.DUMMYFUNCTION("IFERROR((GOOGLEFINANCE(C123, ""price"") / INDEX(GOOGLEFINANCE(C123, ""price"", EDATE(TODAY(), -12), TODAY()), 2, 2)) - 1, """")"),"")</f>
        <v/>
      </c>
      <c r="Q123" s="6" t="str">
        <f>IFERROR(__xludf.DUMMYFUNCTION("AVERAGE(QUERY(GOOGLEFINANCE(C123, ""price"", TODAY()-80, TODAY()), ""SELECT Col2 WHERE Col2 IS NOT NULL ORDER BY Col1 DESC LIMIT 50"", 0))"),"#N/A")</f>
        <v>#N/A</v>
      </c>
      <c r="R123" s="24" t="str">
        <f>IFERROR(__xludf.DUMMYFUNCTION("IFERROR(
  LET(
    data, QUERY(GOOGLEFINANCE(C123,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GOOGLEFINANCE(C123, ""price"")) * 100,
    IF(calc=0, G123, calc)
  ), 
G123)"),"#N/A")</f>
        <v>#N/A</v>
      </c>
      <c r="S123" s="8" t="s">
        <v>15</v>
      </c>
      <c r="T123" s="26" t="str">
        <f>IFERROR(__xludf.DUMMYFUNCTION("IFERROR(TRANSPOSE(QUERY(IFERROR(SORT(GOOGLEFINANCE(C123, ""price"", WORKDAY(TODAY(), -40), TODAY()), 1, FALSE)), ""select Col2 where Col2 is not null limit 22 label Col2 ''"", 0)), """")"),"")</f>
        <v/>
      </c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8"/>
      <c r="AO123" s="28"/>
      <c r="AP123" s="29"/>
      <c r="AQ123" s="29" t="str">
        <f t="shared" ref="AQ123:BL123" si="126">T123/T$2</f>
        <v>#N/A</v>
      </c>
      <c r="AR123" s="29" t="str">
        <f t="shared" si="126"/>
        <v>#DIV/0!</v>
      </c>
      <c r="AS123" s="29" t="str">
        <f t="shared" si="126"/>
        <v>#DIV/0!</v>
      </c>
      <c r="AT123" s="29" t="str">
        <f t="shared" si="126"/>
        <v>#DIV/0!</v>
      </c>
      <c r="AU123" s="29" t="str">
        <f t="shared" si="126"/>
        <v>#DIV/0!</v>
      </c>
      <c r="AV123" s="29" t="str">
        <f t="shared" si="126"/>
        <v>#DIV/0!</v>
      </c>
      <c r="AW123" s="29" t="str">
        <f t="shared" si="126"/>
        <v>#DIV/0!</v>
      </c>
      <c r="AX123" s="29" t="str">
        <f t="shared" si="126"/>
        <v>#DIV/0!</v>
      </c>
      <c r="AY123" s="29" t="str">
        <f t="shared" si="126"/>
        <v>#DIV/0!</v>
      </c>
      <c r="AZ123" s="29" t="str">
        <f t="shared" si="126"/>
        <v>#DIV/0!</v>
      </c>
      <c r="BA123" s="29" t="str">
        <f t="shared" si="126"/>
        <v>#DIV/0!</v>
      </c>
      <c r="BB123" s="29" t="str">
        <f t="shared" si="126"/>
        <v>#DIV/0!</v>
      </c>
      <c r="BC123" s="29" t="str">
        <f t="shared" si="126"/>
        <v>#DIV/0!</v>
      </c>
      <c r="BD123" s="29" t="str">
        <f t="shared" si="126"/>
        <v>#DIV/0!</v>
      </c>
      <c r="BE123" s="29" t="str">
        <f t="shared" si="126"/>
        <v>#DIV/0!</v>
      </c>
      <c r="BF123" s="29" t="str">
        <f t="shared" si="126"/>
        <v>#DIV/0!</v>
      </c>
      <c r="BG123" s="29" t="str">
        <f t="shared" si="126"/>
        <v>#DIV/0!</v>
      </c>
      <c r="BH123" s="29" t="str">
        <f t="shared" si="126"/>
        <v>#DIV/0!</v>
      </c>
      <c r="BI123" s="29" t="str">
        <f t="shared" si="126"/>
        <v>#DIV/0!</v>
      </c>
      <c r="BJ123" s="29" t="str">
        <f t="shared" si="126"/>
        <v>#DIV/0!</v>
      </c>
      <c r="BK123" s="29" t="str">
        <f t="shared" si="126"/>
        <v>#DIV/0!</v>
      </c>
      <c r="BL123" s="29" t="str">
        <f t="shared" si="126"/>
        <v>#DIV/0!</v>
      </c>
      <c r="BM123" s="29" t="str">
        <f t="shared" si="3"/>
        <v>#DIV/0!</v>
      </c>
    </row>
    <row r="124">
      <c r="A124" s="16" t="str">
        <f>IFERROR(__xludf.DUMMYFUNCTION("IFERROR(SPARKLINE(SORT(MAP(TRANSPOSE(AQ124:BL124), LAMBDA(val, IF(ISNUMBER(val), PERCENTRANK(AQ124:BL124, val)+0.01, 0))), SEQUENCE(COLUMNS(AQ124:BL124)), FALSE), {""charttype"",""column""; ""color"",""chartreuse""; ""ymin"", 0; ""ymax"", 1.01; ""highcolo"&amp;"r"", ""darkgreen""; ""lowcolor"", ""red""}), """")"),"")</f>
        <v/>
      </c>
      <c r="B124" s="17" t="str">
        <f t="shared" si="4"/>
        <v/>
      </c>
      <c r="C124" s="1" t="s">
        <v>2533</v>
      </c>
      <c r="D124" s="30" t="str">
        <f>IFERROR(__xludf.DUMMYFUNCTION("IFERROR(GOOGLEFINANCE(C124, ""NAME""))"),"Ollie's Bargain Outlet Holdings Inc")</f>
        <v>Ollie's Bargain Outlet Holdings Inc</v>
      </c>
      <c r="E124" s="30" t="s">
        <v>2270</v>
      </c>
      <c r="F124" s="33" t="str">
        <f>IFERROR(__xludf.DUMMYFUNCTION("( (GOOGLEFINANCE(C124, ""price"") - Q124) / Q124 ) / (R124 / 100)"),"Loading...")</f>
        <v>Loading...</v>
      </c>
      <c r="G124" s="20" t="str">
        <f>IFERROR(__xludf.DUMMYFUNCTION("AVERAGE(ARRAYFORMULA(100 * (QUERY(GOOGLEFINANCE(C124, ""high"", TODAY()-40, TODAY()), ""SELECT Col2 WHERE Col2 IS NOT NULL ORDER BY Col1 DESC LIMIT 20"", 0) / QUERY(GOOGLEFINANCE(C124, ""low"", TODAY()-40, TODAY()), ""SELECT Col2 WHERE Col2 IS NOT NULL OR"&amp;"DER BY Col1 DESC LIMIT 20"", 0) - 1)))"),"#N/A")</f>
        <v>#N/A</v>
      </c>
      <c r="H124" s="35" t="str">
        <f t="shared" si="6"/>
        <v>Liquid</v>
      </c>
      <c r="I124" s="36" t="str">
        <f t="shared" si="7"/>
        <v>RVol Required</v>
      </c>
      <c r="J124" s="37">
        <f>IFERROR(__xludf.DUMMYFUNCTION("IFERROR(
  IF(C124="""",, 
    IFERROR(
      GOOGLEFINANCE(C124, ""price"") * GOOGLEFINANCE(C124, ""volumeavg""), 
      GOOGLEFINANCE(C124, ""price"") * AVERAGE(QUERY(GOOGLEFINANCE(C124, ""volume"", TODAY()-40, TODAY()), ""SELECT Col2 WHERE Col2 IS NOT "&amp;"NULL ORDER BY Col1 DESC LIMIT 20"", 0))
    )
  ), 
"""")"),1.6974814914000002E8)</f>
        <v>169748149.1</v>
      </c>
      <c r="K124" s="21">
        <f>IFERROR(__xludf.DUMMYFUNCTION("IFERROR(GOOGLEFINANCE(C124, ""changepct"") / 100, """")"),-0.024900000000000002)</f>
        <v>-0.0249</v>
      </c>
      <c r="L124" s="21" t="str">
        <f>IFERROR(__xludf.DUMMYFUNCTION("IFERROR((GOOGLEFINANCE(C124, ""price"") / INDEX(GOOGLEFINANCE(C124, ""price"", TODAY()-7, TODAY()), 2, 2)) - 1, """")"),"")</f>
        <v/>
      </c>
      <c r="M124" s="21" t="str">
        <f>IFERROR(__xludf.DUMMYFUNCTION("IFERROR((GOOGLEFINANCE(C124, ""price"") / INDEX(GOOGLEFINANCE(C124, ""price"", EDATE(TODAY(), -1), TODAY()), 2, 2)) - 1, """")"),"")</f>
        <v/>
      </c>
      <c r="N124" s="21" t="str">
        <f>IFERROR(__xludf.DUMMYFUNCTION("IFERROR((GOOGLEFINANCE(C124, ""price"") / INDEX(GOOGLEFINANCE(C124, ""price"", EDATE(TODAY(), -3), TODAY()), 2, 2)) - 1, """")"),"")</f>
        <v/>
      </c>
      <c r="O124" s="21" t="str">
        <f>IFERROR(__xludf.DUMMYFUNCTION("IFERROR((GOOGLEFINANCE(C124, ""price"") / INDEX(GOOGLEFINANCE(C124, ""price"", EDATE(TODAY(), -6), TODAY()), 2, 2)) - 1, """")"),"")</f>
        <v/>
      </c>
      <c r="P124" s="21" t="str">
        <f>IFERROR(__xludf.DUMMYFUNCTION("IFERROR((GOOGLEFINANCE(C124, ""price"") / INDEX(GOOGLEFINANCE(C124, ""price"", EDATE(TODAY(), -12), TODAY()), 2, 2)) - 1, """")"),"")</f>
        <v/>
      </c>
      <c r="Q124" s="6" t="str">
        <f>IFERROR(__xludf.DUMMYFUNCTION("AVERAGE(QUERY(GOOGLEFINANCE(C124, ""price"", TODAY()-80, TODAY()), ""SELECT Col2 WHERE Col2 IS NOT NULL ORDER BY Col1 DESC LIMIT 50"", 0))"),"#N/A")</f>
        <v>#N/A</v>
      </c>
      <c r="R124" s="24" t="str">
        <f>IFERROR(__xludf.DUMMYFUNCTION("IFERROR(
  LET(
    data, QUERY(GOOGLEFINANCE(C124,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GOOGLEFINANCE(C124, ""price"")) * 100,
    IF(calc=0, G124, calc)
  ), 
G124)"),"#N/A")</f>
        <v>#N/A</v>
      </c>
      <c r="S124" s="8" t="s">
        <v>15</v>
      </c>
      <c r="T124" s="26" t="str">
        <f>IFERROR(__xludf.DUMMYFUNCTION("IFERROR(TRANSPOSE(QUERY(IFERROR(SORT(GOOGLEFINANCE(C124, ""price"", WORKDAY(TODAY(), -40), TODAY()), 1, FALSE)), ""select Col2 where Col2 is not null limit 22 label Col2 ''"", 0)), """")"),"")</f>
        <v/>
      </c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8"/>
      <c r="AO124" s="28"/>
      <c r="AP124" s="29"/>
      <c r="AQ124" s="29" t="str">
        <f t="shared" ref="AQ124:BL124" si="127">T124/T$2</f>
        <v>#N/A</v>
      </c>
      <c r="AR124" s="29" t="str">
        <f t="shared" si="127"/>
        <v>#DIV/0!</v>
      </c>
      <c r="AS124" s="29" t="str">
        <f t="shared" si="127"/>
        <v>#DIV/0!</v>
      </c>
      <c r="AT124" s="29" t="str">
        <f t="shared" si="127"/>
        <v>#DIV/0!</v>
      </c>
      <c r="AU124" s="29" t="str">
        <f t="shared" si="127"/>
        <v>#DIV/0!</v>
      </c>
      <c r="AV124" s="29" t="str">
        <f t="shared" si="127"/>
        <v>#DIV/0!</v>
      </c>
      <c r="AW124" s="29" t="str">
        <f t="shared" si="127"/>
        <v>#DIV/0!</v>
      </c>
      <c r="AX124" s="29" t="str">
        <f t="shared" si="127"/>
        <v>#DIV/0!</v>
      </c>
      <c r="AY124" s="29" t="str">
        <f t="shared" si="127"/>
        <v>#DIV/0!</v>
      </c>
      <c r="AZ124" s="29" t="str">
        <f t="shared" si="127"/>
        <v>#DIV/0!</v>
      </c>
      <c r="BA124" s="29" t="str">
        <f t="shared" si="127"/>
        <v>#DIV/0!</v>
      </c>
      <c r="BB124" s="29" t="str">
        <f t="shared" si="127"/>
        <v>#DIV/0!</v>
      </c>
      <c r="BC124" s="29" t="str">
        <f t="shared" si="127"/>
        <v>#DIV/0!</v>
      </c>
      <c r="BD124" s="29" t="str">
        <f t="shared" si="127"/>
        <v>#DIV/0!</v>
      </c>
      <c r="BE124" s="29" t="str">
        <f t="shared" si="127"/>
        <v>#DIV/0!</v>
      </c>
      <c r="BF124" s="29" t="str">
        <f t="shared" si="127"/>
        <v>#DIV/0!</v>
      </c>
      <c r="BG124" s="29" t="str">
        <f t="shared" si="127"/>
        <v>#DIV/0!</v>
      </c>
      <c r="BH124" s="29" t="str">
        <f t="shared" si="127"/>
        <v>#DIV/0!</v>
      </c>
      <c r="BI124" s="29" t="str">
        <f t="shared" si="127"/>
        <v>#DIV/0!</v>
      </c>
      <c r="BJ124" s="29" t="str">
        <f t="shared" si="127"/>
        <v>#DIV/0!</v>
      </c>
      <c r="BK124" s="29" t="str">
        <f t="shared" si="127"/>
        <v>#DIV/0!</v>
      </c>
      <c r="BL124" s="29" t="str">
        <f t="shared" si="127"/>
        <v>#DIV/0!</v>
      </c>
      <c r="BM124" s="29" t="str">
        <f t="shared" si="3"/>
        <v>#DIV/0!</v>
      </c>
    </row>
    <row r="125">
      <c r="A125" s="16" t="str">
        <f>IFERROR(__xludf.DUMMYFUNCTION("IFERROR(SPARKLINE(SORT(MAP(TRANSPOSE(AQ125:BL125), LAMBDA(val, IF(ISNUMBER(val), PERCENTRANK(AQ125:BL125, val)+0.01, 0))), SEQUENCE(COLUMNS(AQ125:BL125)), FALSE), {""charttype"",""column""; ""color"",""chartreuse""; ""ymin"", 0; ""ymax"", 1.01; ""highcolo"&amp;"r"", ""darkgreen""; ""lowcolor"", ""red""}), """")"),"")</f>
        <v/>
      </c>
      <c r="B125" s="17" t="str">
        <f t="shared" si="4"/>
        <v/>
      </c>
      <c r="C125" s="1" t="s">
        <v>2538</v>
      </c>
      <c r="D125" s="30" t="str">
        <f>IFERROR(__xludf.DUMMYFUNCTION("IFERROR(GOOGLEFINANCE(C125, ""NAME""))"),"Oddity Tech Ltd")</f>
        <v>Oddity Tech Ltd</v>
      </c>
      <c r="E125" s="30" t="s">
        <v>2132</v>
      </c>
      <c r="F125" s="33" t="str">
        <f>IFERROR(__xludf.DUMMYFUNCTION("( (GOOGLEFINANCE(C125, ""price"") - Q125) / Q125 ) / (R125 / 100)"),"Loading...")</f>
        <v>Loading...</v>
      </c>
      <c r="G125" s="20" t="str">
        <f>IFERROR(__xludf.DUMMYFUNCTION("AVERAGE(ARRAYFORMULA(100 * (QUERY(GOOGLEFINANCE(C125, ""high"", TODAY()-40, TODAY()), ""SELECT Col2 WHERE Col2 IS NOT NULL ORDER BY Col1 DESC LIMIT 20"", 0) / QUERY(GOOGLEFINANCE(C125, ""low"", TODAY()-40, TODAY()), ""SELECT Col2 WHERE Col2 IS NOT NULL OR"&amp;"DER BY Col1 DESC LIMIT 20"", 0) - 1)))"),"#N/A")</f>
        <v>#N/A</v>
      </c>
      <c r="H125" s="35" t="str">
        <f t="shared" si="6"/>
        <v>Illiquid</v>
      </c>
      <c r="I125" s="36" t="str">
        <f t="shared" si="7"/>
        <v>RVol Required</v>
      </c>
      <c r="J125" s="37">
        <f>IFERROR(__xludf.DUMMYFUNCTION("IFERROR(
  IF(C125="""",, 
    IFERROR(
      GOOGLEFINANCE(C125, ""price"") * GOOGLEFINANCE(C125, ""volumeavg""), 
      GOOGLEFINANCE(C125, ""price"") * AVERAGE(QUERY(GOOGLEFINANCE(C125, ""volume"", TODAY()-40, TODAY()), ""SELECT Col2 WHERE Col2 IS NOT "&amp;"NULL ORDER BY Col1 DESC LIMIT 20"", 0))
    )
  ), 
"""")"),3.397288174E7)</f>
        <v>33972881.74</v>
      </c>
      <c r="K125" s="21">
        <f>IFERROR(__xludf.DUMMYFUNCTION("IFERROR(GOOGLEFINANCE(C125, ""changepct"") / 100, """")"),-0.0319)</f>
        <v>-0.0319</v>
      </c>
      <c r="L125" s="21" t="str">
        <f>IFERROR(__xludf.DUMMYFUNCTION("IFERROR((GOOGLEFINANCE(C125, ""price"") / INDEX(GOOGLEFINANCE(C125, ""price"", TODAY()-7, TODAY()), 2, 2)) - 1, """")"),"")</f>
        <v/>
      </c>
      <c r="M125" s="21" t="str">
        <f>IFERROR(__xludf.DUMMYFUNCTION("IFERROR((GOOGLEFINANCE(C125, ""price"") / INDEX(GOOGLEFINANCE(C125, ""price"", EDATE(TODAY(), -1), TODAY()), 2, 2)) - 1, """")"),"")</f>
        <v/>
      </c>
      <c r="N125" s="21" t="str">
        <f>IFERROR(__xludf.DUMMYFUNCTION("IFERROR((GOOGLEFINANCE(C125, ""price"") / INDEX(GOOGLEFINANCE(C125, ""price"", EDATE(TODAY(), -3), TODAY()), 2, 2)) - 1, """")"),"")</f>
        <v/>
      </c>
      <c r="O125" s="21" t="str">
        <f>IFERROR(__xludf.DUMMYFUNCTION("IFERROR((GOOGLEFINANCE(C125, ""price"") / INDEX(GOOGLEFINANCE(C125, ""price"", EDATE(TODAY(), -6), TODAY()), 2, 2)) - 1, """")"),"")</f>
        <v/>
      </c>
      <c r="P125" s="21" t="str">
        <f>IFERROR(__xludf.DUMMYFUNCTION("IFERROR((GOOGLEFINANCE(C125, ""price"") / INDEX(GOOGLEFINANCE(C125, ""price"", EDATE(TODAY(), -12), TODAY()), 2, 2)) - 1, """")"),"")</f>
        <v/>
      </c>
      <c r="Q125" s="6" t="str">
        <f>IFERROR(__xludf.DUMMYFUNCTION("AVERAGE(QUERY(GOOGLEFINANCE(C125, ""price"", TODAY()-80, TODAY()), ""SELECT Col2 WHERE Col2 IS NOT NULL ORDER BY Col1 DESC LIMIT 50"", 0))"),"#N/A")</f>
        <v>#N/A</v>
      </c>
      <c r="R125" s="24" t="str">
        <f>IFERROR(__xludf.DUMMYFUNCTION("IFERROR(
  LET(
    data, QUERY(GOOGLEFINANCE(C125,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GOOGLEFINANCE(C125, ""price"")) * 100,
    IF(calc=0, G125, calc)
  ), 
G125)"),"#N/A")</f>
        <v>#N/A</v>
      </c>
      <c r="S125" s="8" t="s">
        <v>15</v>
      </c>
      <c r="T125" s="26" t="str">
        <f>IFERROR(__xludf.DUMMYFUNCTION("IFERROR(TRANSPOSE(QUERY(IFERROR(SORT(GOOGLEFINANCE(C125, ""price"", WORKDAY(TODAY(), -40), TODAY()), 1, FALSE)), ""select Col2 where Col2 is not null limit 22 label Col2 ''"", 0)), """")"),"")</f>
        <v/>
      </c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8"/>
      <c r="AO125" s="28"/>
      <c r="AP125" s="29"/>
      <c r="AQ125" s="29" t="str">
        <f t="shared" ref="AQ125:BL125" si="128">T125/T$2</f>
        <v>#N/A</v>
      </c>
      <c r="AR125" s="29" t="str">
        <f t="shared" si="128"/>
        <v>#DIV/0!</v>
      </c>
      <c r="AS125" s="29" t="str">
        <f t="shared" si="128"/>
        <v>#DIV/0!</v>
      </c>
      <c r="AT125" s="29" t="str">
        <f t="shared" si="128"/>
        <v>#DIV/0!</v>
      </c>
      <c r="AU125" s="29" t="str">
        <f t="shared" si="128"/>
        <v>#DIV/0!</v>
      </c>
      <c r="AV125" s="29" t="str">
        <f t="shared" si="128"/>
        <v>#DIV/0!</v>
      </c>
      <c r="AW125" s="29" t="str">
        <f t="shared" si="128"/>
        <v>#DIV/0!</v>
      </c>
      <c r="AX125" s="29" t="str">
        <f t="shared" si="128"/>
        <v>#DIV/0!</v>
      </c>
      <c r="AY125" s="29" t="str">
        <f t="shared" si="128"/>
        <v>#DIV/0!</v>
      </c>
      <c r="AZ125" s="29" t="str">
        <f t="shared" si="128"/>
        <v>#DIV/0!</v>
      </c>
      <c r="BA125" s="29" t="str">
        <f t="shared" si="128"/>
        <v>#DIV/0!</v>
      </c>
      <c r="BB125" s="29" t="str">
        <f t="shared" si="128"/>
        <v>#DIV/0!</v>
      </c>
      <c r="BC125" s="29" t="str">
        <f t="shared" si="128"/>
        <v>#DIV/0!</v>
      </c>
      <c r="BD125" s="29" t="str">
        <f t="shared" si="128"/>
        <v>#DIV/0!</v>
      </c>
      <c r="BE125" s="29" t="str">
        <f t="shared" si="128"/>
        <v>#DIV/0!</v>
      </c>
      <c r="BF125" s="29" t="str">
        <f t="shared" si="128"/>
        <v>#DIV/0!</v>
      </c>
      <c r="BG125" s="29" t="str">
        <f t="shared" si="128"/>
        <v>#DIV/0!</v>
      </c>
      <c r="BH125" s="29" t="str">
        <f t="shared" si="128"/>
        <v>#DIV/0!</v>
      </c>
      <c r="BI125" s="29" t="str">
        <f t="shared" si="128"/>
        <v>#DIV/0!</v>
      </c>
      <c r="BJ125" s="29" t="str">
        <f t="shared" si="128"/>
        <v>#DIV/0!</v>
      </c>
      <c r="BK125" s="29" t="str">
        <f t="shared" si="128"/>
        <v>#DIV/0!</v>
      </c>
      <c r="BL125" s="29" t="str">
        <f t="shared" si="128"/>
        <v>#DIV/0!</v>
      </c>
      <c r="BM125" s="29" t="str">
        <f t="shared" si="3"/>
        <v>#DIV/0!</v>
      </c>
    </row>
    <row r="126">
      <c r="A126" s="16" t="str">
        <f>IFERROR(__xludf.DUMMYFUNCTION("IFERROR(SPARKLINE(SORT(MAP(TRANSPOSE(AQ126:BL126), LAMBDA(val, IF(ISNUMBER(val), PERCENTRANK(AQ126:BL126, val)+0.01, 0))), SEQUENCE(COLUMNS(AQ126:BL126)), FALSE), {""charttype"",""column""; ""color"",""chartreuse""; ""ymin"", 0; ""ymax"", 1.01; ""highcolo"&amp;"r"", ""darkgreen""; ""lowcolor"", ""red""}), """")"),"")</f>
        <v/>
      </c>
      <c r="B126" s="17" t="str">
        <f t="shared" si="4"/>
        <v/>
      </c>
      <c r="C126" s="1" t="s">
        <v>2543</v>
      </c>
      <c r="D126" s="30" t="str">
        <f>IFERROR(__xludf.DUMMYFUNCTION("IFERROR(GOOGLEFINANCE(C126, ""NAME""))"),"Newell Brands Inc")</f>
        <v>Newell Brands Inc</v>
      </c>
      <c r="E126" s="30" t="s">
        <v>2132</v>
      </c>
      <c r="F126" s="33" t="str">
        <f>IFERROR(__xludf.DUMMYFUNCTION("( (GOOGLEFINANCE(C126, ""price"") - Q126) / Q126 ) / (R126 / 100)"),"Loading...")</f>
        <v>Loading...</v>
      </c>
      <c r="G126" s="20" t="str">
        <f>IFERROR(__xludf.DUMMYFUNCTION("AVERAGE(ARRAYFORMULA(100 * (QUERY(GOOGLEFINANCE(C126, ""high"", TODAY()-40, TODAY()), ""SELECT Col2 WHERE Col2 IS NOT NULL ORDER BY Col1 DESC LIMIT 20"", 0) / QUERY(GOOGLEFINANCE(C126, ""low"", TODAY()-40, TODAY()), ""SELECT Col2 WHERE Col2 IS NOT NULL OR"&amp;"DER BY Col1 DESC LIMIT 20"", 0) - 1)))"),"#N/A")</f>
        <v>#N/A</v>
      </c>
      <c r="H126" s="35" t="str">
        <f t="shared" si="6"/>
        <v>Illiquid</v>
      </c>
      <c r="I126" s="36" t="str">
        <f t="shared" si="7"/>
        <v>RVol Required</v>
      </c>
      <c r="J126" s="37">
        <f>IFERROR(__xludf.DUMMYFUNCTION("IFERROR(
  IF(C126="""",, 
    IFERROR(
      GOOGLEFINANCE(C126, ""price"") * GOOGLEFINANCE(C126, ""volumeavg""), 
      GOOGLEFINANCE(C126, ""price"") * AVERAGE(QUERY(GOOGLEFINANCE(C126, ""volume"", TODAY()-40, TODAY()), ""SELECT Col2 WHERE Col2 IS NOT "&amp;"NULL ORDER BY Col1 DESC LIMIT 20"", 0))
    )
  ), 
"""")"),3.1083650150000002E7)</f>
        <v>31083650.15</v>
      </c>
      <c r="K126" s="21">
        <f>IFERROR(__xludf.DUMMYFUNCTION("IFERROR(GOOGLEFINANCE(C126, ""changepct"") / 100, """")"),-0.0208)</f>
        <v>-0.0208</v>
      </c>
      <c r="L126" s="21" t="str">
        <f>IFERROR(__xludf.DUMMYFUNCTION("IFERROR((GOOGLEFINANCE(C126, ""price"") / INDEX(GOOGLEFINANCE(C126, ""price"", TODAY()-7, TODAY()), 2, 2)) - 1, """")"),"")</f>
        <v/>
      </c>
      <c r="M126" s="21" t="str">
        <f>IFERROR(__xludf.DUMMYFUNCTION("IFERROR((GOOGLEFINANCE(C126, ""price"") / INDEX(GOOGLEFINANCE(C126, ""price"", EDATE(TODAY(), -1), TODAY()), 2, 2)) - 1, """")"),"")</f>
        <v/>
      </c>
      <c r="N126" s="21" t="str">
        <f>IFERROR(__xludf.DUMMYFUNCTION("IFERROR((GOOGLEFINANCE(C126, ""price"") / INDEX(GOOGLEFINANCE(C126, ""price"", EDATE(TODAY(), -3), TODAY()), 2, 2)) - 1, """")"),"")</f>
        <v/>
      </c>
      <c r="O126" s="21" t="str">
        <f>IFERROR(__xludf.DUMMYFUNCTION("IFERROR((GOOGLEFINANCE(C126, ""price"") / INDEX(GOOGLEFINANCE(C126, ""price"", EDATE(TODAY(), -6), TODAY()), 2, 2)) - 1, """")"),"")</f>
        <v/>
      </c>
      <c r="P126" s="21" t="str">
        <f>IFERROR(__xludf.DUMMYFUNCTION("IFERROR((GOOGLEFINANCE(C126, ""price"") / INDEX(GOOGLEFINANCE(C126, ""price"", EDATE(TODAY(), -12), TODAY()), 2, 2)) - 1, """")"),"")</f>
        <v/>
      </c>
      <c r="Q126" s="6" t="str">
        <f>IFERROR(__xludf.DUMMYFUNCTION("AVERAGE(QUERY(GOOGLEFINANCE(C126, ""price"", TODAY()-80, TODAY()), ""SELECT Col2 WHERE Col2 IS NOT NULL ORDER BY Col1 DESC LIMIT 50"", 0))"),"#N/A")</f>
        <v>#N/A</v>
      </c>
      <c r="R126" s="24" t="str">
        <f>IFERROR(__xludf.DUMMYFUNCTION("IFERROR(
  LET(
    data, QUERY(GOOGLEFINANCE(C126,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GOOGLEFINANCE(C126, ""price"")) * 100,
    IF(calc=0, G126, calc)
  ), 
G126)"),"#N/A")</f>
        <v>#N/A</v>
      </c>
      <c r="S126" s="8" t="s">
        <v>15</v>
      </c>
      <c r="T126" s="26" t="str">
        <f>IFERROR(__xludf.DUMMYFUNCTION("IFERROR(TRANSPOSE(QUERY(IFERROR(SORT(GOOGLEFINANCE(C126, ""price"", WORKDAY(TODAY(), -40), TODAY()), 1, FALSE)), ""select Col2 where Col2 is not null limit 22 label Col2 ''"", 0)), """")"),"")</f>
        <v/>
      </c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8"/>
      <c r="AO126" s="28"/>
      <c r="AP126" s="29"/>
      <c r="AQ126" s="29" t="str">
        <f t="shared" ref="AQ126:BL126" si="129">T126/T$2</f>
        <v>#N/A</v>
      </c>
      <c r="AR126" s="29" t="str">
        <f t="shared" si="129"/>
        <v>#DIV/0!</v>
      </c>
      <c r="AS126" s="29" t="str">
        <f t="shared" si="129"/>
        <v>#DIV/0!</v>
      </c>
      <c r="AT126" s="29" t="str">
        <f t="shared" si="129"/>
        <v>#DIV/0!</v>
      </c>
      <c r="AU126" s="29" t="str">
        <f t="shared" si="129"/>
        <v>#DIV/0!</v>
      </c>
      <c r="AV126" s="29" t="str">
        <f t="shared" si="129"/>
        <v>#DIV/0!</v>
      </c>
      <c r="AW126" s="29" t="str">
        <f t="shared" si="129"/>
        <v>#DIV/0!</v>
      </c>
      <c r="AX126" s="29" t="str">
        <f t="shared" si="129"/>
        <v>#DIV/0!</v>
      </c>
      <c r="AY126" s="29" t="str">
        <f t="shared" si="129"/>
        <v>#DIV/0!</v>
      </c>
      <c r="AZ126" s="29" t="str">
        <f t="shared" si="129"/>
        <v>#DIV/0!</v>
      </c>
      <c r="BA126" s="29" t="str">
        <f t="shared" si="129"/>
        <v>#DIV/0!</v>
      </c>
      <c r="BB126" s="29" t="str">
        <f t="shared" si="129"/>
        <v>#DIV/0!</v>
      </c>
      <c r="BC126" s="29" t="str">
        <f t="shared" si="129"/>
        <v>#DIV/0!</v>
      </c>
      <c r="BD126" s="29" t="str">
        <f t="shared" si="129"/>
        <v>#DIV/0!</v>
      </c>
      <c r="BE126" s="29" t="str">
        <f t="shared" si="129"/>
        <v>#DIV/0!</v>
      </c>
      <c r="BF126" s="29" t="str">
        <f t="shared" si="129"/>
        <v>#DIV/0!</v>
      </c>
      <c r="BG126" s="29" t="str">
        <f t="shared" si="129"/>
        <v>#DIV/0!</v>
      </c>
      <c r="BH126" s="29" t="str">
        <f t="shared" si="129"/>
        <v>#DIV/0!</v>
      </c>
      <c r="BI126" s="29" t="str">
        <f t="shared" si="129"/>
        <v>#DIV/0!</v>
      </c>
      <c r="BJ126" s="29" t="str">
        <f t="shared" si="129"/>
        <v>#DIV/0!</v>
      </c>
      <c r="BK126" s="29" t="str">
        <f t="shared" si="129"/>
        <v>#DIV/0!</v>
      </c>
      <c r="BL126" s="29" t="str">
        <f t="shared" si="129"/>
        <v>#DIV/0!</v>
      </c>
      <c r="BM126" s="29" t="str">
        <f t="shared" si="3"/>
        <v>#DIV/0!</v>
      </c>
    </row>
    <row r="127">
      <c r="A127" s="16" t="str">
        <f>IFERROR(__xludf.DUMMYFUNCTION("IFERROR(SPARKLINE(SORT(MAP(TRANSPOSE(AQ127:BL127), LAMBDA(val, IF(ISNUMBER(val), PERCENTRANK(AQ127:BL127, val)+0.01, 0))), SEQUENCE(COLUMNS(AQ127:BL127)), FALSE), {""charttype"",""column""; ""color"",""chartreuse""; ""ymin"", 0; ""ymax"", 1.01; ""highcolo"&amp;"r"", ""darkgreen""; ""lowcolor"", ""red""}), """")"),"")</f>
        <v/>
      </c>
      <c r="B127" s="17" t="str">
        <f t="shared" si="4"/>
        <v/>
      </c>
      <c r="C127" s="1" t="s">
        <v>2548</v>
      </c>
      <c r="D127" s="30" t="str">
        <f>IFERROR(__xludf.DUMMYFUNCTION("IFERROR(GOOGLEFINANCE(C127, ""NAME""))"),"NU Skin Enterprises Inc")</f>
        <v>NU Skin Enterprises Inc</v>
      </c>
      <c r="E127" s="30" t="s">
        <v>2132</v>
      </c>
      <c r="F127" s="33" t="str">
        <f>IFERROR(__xludf.DUMMYFUNCTION("( (GOOGLEFINANCE(C127, ""price"") - Q127) / Q127 ) / (R127 / 100)"),"Loading...")</f>
        <v>Loading...</v>
      </c>
      <c r="G127" s="20" t="str">
        <f>IFERROR(__xludf.DUMMYFUNCTION("AVERAGE(ARRAYFORMULA(100 * (QUERY(GOOGLEFINANCE(C127, ""high"", TODAY()-40, TODAY()), ""SELECT Col2 WHERE Col2 IS NOT NULL ORDER BY Col1 DESC LIMIT 20"", 0) / QUERY(GOOGLEFINANCE(C127, ""low"", TODAY()-40, TODAY()), ""SELECT Col2 WHERE Col2 IS NOT NULL OR"&amp;"DER BY Col1 DESC LIMIT 20"", 0) - 1)))"),"#N/A")</f>
        <v>#N/A</v>
      </c>
      <c r="H127" s="35" t="str">
        <f t="shared" si="6"/>
        <v>Illiquid</v>
      </c>
      <c r="I127" s="36" t="str">
        <f t="shared" si="7"/>
        <v>RVol Required</v>
      </c>
      <c r="J127" s="37">
        <f>IFERROR(__xludf.DUMMYFUNCTION("IFERROR(
  IF(C127="""",, 
    IFERROR(
      GOOGLEFINANCE(C127, ""price"") * GOOGLEFINANCE(C127, ""volumeavg""), 
      GOOGLEFINANCE(C127, ""price"") * AVERAGE(QUERY(GOOGLEFINANCE(C127, ""volume"", TODAY()-40, TODAY()), ""SELECT Col2 WHERE Col2 IS NOT "&amp;"NULL ORDER BY Col1 DESC LIMIT 20"", 0))
    )
  ), 
"""")"),2623044.8)</f>
        <v>2623044.8</v>
      </c>
      <c r="K127" s="21">
        <f>IFERROR(__xludf.DUMMYFUNCTION("IFERROR(GOOGLEFINANCE(C127, ""changepct"") / 100, """")"),-0.0134)</f>
        <v>-0.0134</v>
      </c>
      <c r="L127" s="21" t="str">
        <f>IFERROR(__xludf.DUMMYFUNCTION("IFERROR((GOOGLEFINANCE(C127, ""price"") / INDEX(GOOGLEFINANCE(C127, ""price"", TODAY()-7, TODAY()), 2, 2)) - 1, """")"),"")</f>
        <v/>
      </c>
      <c r="M127" s="21" t="str">
        <f>IFERROR(__xludf.DUMMYFUNCTION("IFERROR((GOOGLEFINANCE(C127, ""price"") / INDEX(GOOGLEFINANCE(C127, ""price"", EDATE(TODAY(), -1), TODAY()), 2, 2)) - 1, """")"),"")</f>
        <v/>
      </c>
      <c r="N127" s="21" t="str">
        <f>IFERROR(__xludf.DUMMYFUNCTION("IFERROR((GOOGLEFINANCE(C127, ""price"") / INDEX(GOOGLEFINANCE(C127, ""price"", EDATE(TODAY(), -3), TODAY()), 2, 2)) - 1, """")"),"")</f>
        <v/>
      </c>
      <c r="O127" s="21" t="str">
        <f>IFERROR(__xludf.DUMMYFUNCTION("IFERROR((GOOGLEFINANCE(C127, ""price"") / INDEX(GOOGLEFINANCE(C127, ""price"", EDATE(TODAY(), -6), TODAY()), 2, 2)) - 1, """")"),"")</f>
        <v/>
      </c>
      <c r="P127" s="21" t="str">
        <f>IFERROR(__xludf.DUMMYFUNCTION("IFERROR((GOOGLEFINANCE(C127, ""price"") / INDEX(GOOGLEFINANCE(C127, ""price"", EDATE(TODAY(), -12), TODAY()), 2, 2)) - 1, """")"),"")</f>
        <v/>
      </c>
      <c r="Q127" s="6" t="str">
        <f>IFERROR(__xludf.DUMMYFUNCTION("AVERAGE(QUERY(GOOGLEFINANCE(C127, ""price"", TODAY()-80, TODAY()), ""SELECT Col2 WHERE Col2 IS NOT NULL ORDER BY Col1 DESC LIMIT 50"", 0))"),"#N/A")</f>
        <v>#N/A</v>
      </c>
      <c r="R127" s="24" t="str">
        <f>IFERROR(__xludf.DUMMYFUNCTION("IFERROR(
  LET(
    data, QUERY(GOOGLEFINANCE(C127,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GOOGLEFINANCE(C127, ""price"")) * 100,
    IF(calc=0, G127, calc)
  ), 
G127)"),"#N/A")</f>
        <v>#N/A</v>
      </c>
      <c r="S127" s="8" t="s">
        <v>15</v>
      </c>
      <c r="T127" s="26" t="str">
        <f>IFERROR(__xludf.DUMMYFUNCTION("IFERROR(TRANSPOSE(QUERY(IFERROR(SORT(GOOGLEFINANCE(C127, ""price"", WORKDAY(TODAY(), -40), TODAY()), 1, FALSE)), ""select Col2 where Col2 is not null limit 22 label Col2 ''"", 0)), """")"),"")</f>
        <v/>
      </c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8"/>
      <c r="AO127" s="28"/>
      <c r="AP127" s="29"/>
      <c r="AQ127" s="29" t="str">
        <f t="shared" ref="AQ127:BL127" si="130">T127/T$2</f>
        <v>#N/A</v>
      </c>
      <c r="AR127" s="29" t="str">
        <f t="shared" si="130"/>
        <v>#DIV/0!</v>
      </c>
      <c r="AS127" s="29" t="str">
        <f t="shared" si="130"/>
        <v>#DIV/0!</v>
      </c>
      <c r="AT127" s="29" t="str">
        <f t="shared" si="130"/>
        <v>#DIV/0!</v>
      </c>
      <c r="AU127" s="29" t="str">
        <f t="shared" si="130"/>
        <v>#DIV/0!</v>
      </c>
      <c r="AV127" s="29" t="str">
        <f t="shared" si="130"/>
        <v>#DIV/0!</v>
      </c>
      <c r="AW127" s="29" t="str">
        <f t="shared" si="130"/>
        <v>#DIV/0!</v>
      </c>
      <c r="AX127" s="29" t="str">
        <f t="shared" si="130"/>
        <v>#DIV/0!</v>
      </c>
      <c r="AY127" s="29" t="str">
        <f t="shared" si="130"/>
        <v>#DIV/0!</v>
      </c>
      <c r="AZ127" s="29" t="str">
        <f t="shared" si="130"/>
        <v>#DIV/0!</v>
      </c>
      <c r="BA127" s="29" t="str">
        <f t="shared" si="130"/>
        <v>#DIV/0!</v>
      </c>
      <c r="BB127" s="29" t="str">
        <f t="shared" si="130"/>
        <v>#DIV/0!</v>
      </c>
      <c r="BC127" s="29" t="str">
        <f t="shared" si="130"/>
        <v>#DIV/0!</v>
      </c>
      <c r="BD127" s="29" t="str">
        <f t="shared" si="130"/>
        <v>#DIV/0!</v>
      </c>
      <c r="BE127" s="29" t="str">
        <f t="shared" si="130"/>
        <v>#DIV/0!</v>
      </c>
      <c r="BF127" s="29" t="str">
        <f t="shared" si="130"/>
        <v>#DIV/0!</v>
      </c>
      <c r="BG127" s="29" t="str">
        <f t="shared" si="130"/>
        <v>#DIV/0!</v>
      </c>
      <c r="BH127" s="29" t="str">
        <f t="shared" si="130"/>
        <v>#DIV/0!</v>
      </c>
      <c r="BI127" s="29" t="str">
        <f t="shared" si="130"/>
        <v>#DIV/0!</v>
      </c>
      <c r="BJ127" s="29" t="str">
        <f t="shared" si="130"/>
        <v>#DIV/0!</v>
      </c>
      <c r="BK127" s="29" t="str">
        <f t="shared" si="130"/>
        <v>#DIV/0!</v>
      </c>
      <c r="BL127" s="29" t="str">
        <f t="shared" si="130"/>
        <v>#DIV/0!</v>
      </c>
      <c r="BM127" s="29" t="str">
        <f t="shared" si="3"/>
        <v>#DIV/0!</v>
      </c>
    </row>
    <row r="128">
      <c r="A128" s="16" t="str">
        <f>IFERROR(__xludf.DUMMYFUNCTION("IFERROR(SPARKLINE(SORT(MAP(TRANSPOSE(AQ128:BL128), LAMBDA(val, IF(ISNUMBER(val), PERCENTRANK(AQ128:BL128, val)+0.01, 0))), SEQUENCE(COLUMNS(AQ128:BL128)), FALSE), {""charttype"",""column""; ""color"",""chartreuse""; ""ymin"", 0; ""ymax"", 1.01; ""highcolo"&amp;"r"", ""darkgreen""; ""lowcolor"", ""red""}), """")"),"")</f>
        <v/>
      </c>
      <c r="B128" s="17" t="str">
        <f t="shared" si="4"/>
        <v/>
      </c>
      <c r="C128" s="1" t="s">
        <v>2552</v>
      </c>
      <c r="D128" s="30" t="str">
        <f>IFERROR(__xludf.DUMMYFUNCTION("IFERROR(GOOGLEFINANCE(C128, ""NAME""))"),"Nomad Foods Ltd")</f>
        <v>Nomad Foods Ltd</v>
      </c>
      <c r="E128" s="30" t="s">
        <v>2094</v>
      </c>
      <c r="F128" s="33" t="str">
        <f>IFERROR(__xludf.DUMMYFUNCTION("( (GOOGLEFINANCE(C128, ""price"") - Q128) / Q128 ) / (R128 / 100)"),"Loading...")</f>
        <v>Loading...</v>
      </c>
      <c r="G128" s="20" t="str">
        <f>IFERROR(__xludf.DUMMYFUNCTION("AVERAGE(ARRAYFORMULA(100 * (QUERY(GOOGLEFINANCE(C128, ""high"", TODAY()-40, TODAY()), ""SELECT Col2 WHERE Col2 IS NOT NULL ORDER BY Col1 DESC LIMIT 20"", 0) / QUERY(GOOGLEFINANCE(C128, ""low"", TODAY()-40, TODAY()), ""SELECT Col2 WHERE Col2 IS NOT NULL OR"&amp;"DER BY Col1 DESC LIMIT 20"", 0) - 1)))"),"#N/A")</f>
        <v>#N/A</v>
      </c>
      <c r="H128" s="35" t="str">
        <f t="shared" si="6"/>
        <v>Illiquid</v>
      </c>
      <c r="I128" s="36" t="str">
        <f t="shared" si="7"/>
        <v>RVol Required</v>
      </c>
      <c r="J128" s="37">
        <f>IFERROR(__xludf.DUMMYFUNCTION("IFERROR(
  IF(C128="""",, 
    IFERROR(
      GOOGLEFINANCE(C128, ""price"") * GOOGLEFINANCE(C128, ""volumeavg""), 
      GOOGLEFINANCE(C128, ""price"") * AVERAGE(QUERY(GOOGLEFINANCE(C128, ""volume"", TODAY()-40, TODAY()), ""SELECT Col2 WHERE Col2 IS NOT "&amp;"NULL ORDER BY Col1 DESC LIMIT 20"", 0))
    )
  ), 
"""")"),1.592461584E7)</f>
        <v>15924615.84</v>
      </c>
      <c r="K128" s="21">
        <f>IFERROR(__xludf.DUMMYFUNCTION("IFERROR(GOOGLEFINANCE(C128, ""changepct"") / 100, """")"),0.0235)</f>
        <v>0.0235</v>
      </c>
      <c r="L128" s="21" t="str">
        <f>IFERROR(__xludf.DUMMYFUNCTION("IFERROR((GOOGLEFINANCE(C128, ""price"") / INDEX(GOOGLEFINANCE(C128, ""price"", TODAY()-7, TODAY()), 2, 2)) - 1, """")"),"")</f>
        <v/>
      </c>
      <c r="M128" s="21" t="str">
        <f>IFERROR(__xludf.DUMMYFUNCTION("IFERROR((GOOGLEFINANCE(C128, ""price"") / INDEX(GOOGLEFINANCE(C128, ""price"", EDATE(TODAY(), -1), TODAY()), 2, 2)) - 1, """")"),"")</f>
        <v/>
      </c>
      <c r="N128" s="21" t="str">
        <f>IFERROR(__xludf.DUMMYFUNCTION("IFERROR((GOOGLEFINANCE(C128, ""price"") / INDEX(GOOGLEFINANCE(C128, ""price"", EDATE(TODAY(), -3), TODAY()), 2, 2)) - 1, """")"),"")</f>
        <v/>
      </c>
      <c r="O128" s="21" t="str">
        <f>IFERROR(__xludf.DUMMYFUNCTION("IFERROR((GOOGLEFINANCE(C128, ""price"") / INDEX(GOOGLEFINANCE(C128, ""price"", EDATE(TODAY(), -6), TODAY()), 2, 2)) - 1, """")"),"")</f>
        <v/>
      </c>
      <c r="P128" s="21" t="str">
        <f>IFERROR(__xludf.DUMMYFUNCTION("IFERROR((GOOGLEFINANCE(C128, ""price"") / INDEX(GOOGLEFINANCE(C128, ""price"", EDATE(TODAY(), -12), TODAY()), 2, 2)) - 1, """")"),"")</f>
        <v/>
      </c>
      <c r="Q128" s="6" t="str">
        <f>IFERROR(__xludf.DUMMYFUNCTION("AVERAGE(QUERY(GOOGLEFINANCE(C128, ""price"", TODAY()-80, TODAY()), ""SELECT Col2 WHERE Col2 IS NOT NULL ORDER BY Col1 DESC LIMIT 50"", 0))"),"#N/A")</f>
        <v>#N/A</v>
      </c>
      <c r="R128" s="24" t="str">
        <f>IFERROR(__xludf.DUMMYFUNCTION("IFERROR(
  LET(
    data, QUERY(GOOGLEFINANCE(C128,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GOOGLEFINANCE(C128, ""price"")) * 100,
    IF(calc=0, G128, calc)
  ), 
G128)"),"#N/A")</f>
        <v>#N/A</v>
      </c>
      <c r="S128" s="8" t="s">
        <v>15</v>
      </c>
      <c r="T128" s="26" t="str">
        <f>IFERROR(__xludf.DUMMYFUNCTION("IFERROR(TRANSPOSE(QUERY(IFERROR(SORT(GOOGLEFINANCE(C128, ""price"", WORKDAY(TODAY(), -40), TODAY()), 1, FALSE)), ""select Col2 where Col2 is not null limit 22 label Col2 ''"", 0)), """")"),"")</f>
        <v/>
      </c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8"/>
      <c r="AO128" s="28"/>
      <c r="AP128" s="29"/>
      <c r="AQ128" s="29" t="str">
        <f t="shared" ref="AQ128:BL128" si="131">T128/T$2</f>
        <v>#N/A</v>
      </c>
      <c r="AR128" s="29" t="str">
        <f t="shared" si="131"/>
        <v>#DIV/0!</v>
      </c>
      <c r="AS128" s="29" t="str">
        <f t="shared" si="131"/>
        <v>#DIV/0!</v>
      </c>
      <c r="AT128" s="29" t="str">
        <f t="shared" si="131"/>
        <v>#DIV/0!</v>
      </c>
      <c r="AU128" s="29" t="str">
        <f t="shared" si="131"/>
        <v>#DIV/0!</v>
      </c>
      <c r="AV128" s="29" t="str">
        <f t="shared" si="131"/>
        <v>#DIV/0!</v>
      </c>
      <c r="AW128" s="29" t="str">
        <f t="shared" si="131"/>
        <v>#DIV/0!</v>
      </c>
      <c r="AX128" s="29" t="str">
        <f t="shared" si="131"/>
        <v>#DIV/0!</v>
      </c>
      <c r="AY128" s="29" t="str">
        <f t="shared" si="131"/>
        <v>#DIV/0!</v>
      </c>
      <c r="AZ128" s="29" t="str">
        <f t="shared" si="131"/>
        <v>#DIV/0!</v>
      </c>
      <c r="BA128" s="29" t="str">
        <f t="shared" si="131"/>
        <v>#DIV/0!</v>
      </c>
      <c r="BB128" s="29" t="str">
        <f t="shared" si="131"/>
        <v>#DIV/0!</v>
      </c>
      <c r="BC128" s="29" t="str">
        <f t="shared" si="131"/>
        <v>#DIV/0!</v>
      </c>
      <c r="BD128" s="29" t="str">
        <f t="shared" si="131"/>
        <v>#DIV/0!</v>
      </c>
      <c r="BE128" s="29" t="str">
        <f t="shared" si="131"/>
        <v>#DIV/0!</v>
      </c>
      <c r="BF128" s="29" t="str">
        <f t="shared" si="131"/>
        <v>#DIV/0!</v>
      </c>
      <c r="BG128" s="29" t="str">
        <f t="shared" si="131"/>
        <v>#DIV/0!</v>
      </c>
      <c r="BH128" s="29" t="str">
        <f t="shared" si="131"/>
        <v>#DIV/0!</v>
      </c>
      <c r="BI128" s="29" t="str">
        <f t="shared" si="131"/>
        <v>#DIV/0!</v>
      </c>
      <c r="BJ128" s="29" t="str">
        <f t="shared" si="131"/>
        <v>#DIV/0!</v>
      </c>
      <c r="BK128" s="29" t="str">
        <f t="shared" si="131"/>
        <v>#DIV/0!</v>
      </c>
      <c r="BL128" s="29" t="str">
        <f t="shared" si="131"/>
        <v>#DIV/0!</v>
      </c>
      <c r="BM128" s="29" t="str">
        <f t="shared" si="3"/>
        <v>#DIV/0!</v>
      </c>
    </row>
    <row r="129">
      <c r="A129" s="16" t="str">
        <f>IFERROR(__xludf.DUMMYFUNCTION("IFERROR(SPARKLINE(SORT(MAP(TRANSPOSE(AQ129:BL129), LAMBDA(val, IF(ISNUMBER(val), PERCENTRANK(AQ129:BL129, val)+0.01, 0))), SEQUENCE(COLUMNS(AQ129:BL129)), FALSE), {""charttype"",""column""; ""color"",""chartreuse""; ""ymin"", 0; ""ymax"", 1.01; ""highcolo"&amp;"r"", ""darkgreen""; ""lowcolor"", ""red""}), """")"),"")</f>
        <v/>
      </c>
      <c r="B129" s="17" t="str">
        <f t="shared" si="4"/>
        <v/>
      </c>
      <c r="C129" s="1" t="s">
        <v>2555</v>
      </c>
      <c r="D129" s="30" t="str">
        <f>IFERROR(__xludf.DUMMYFUNCTION("IFERROR(GOOGLEFINANCE(C129, ""NAME""))"),"McCormick &amp; Company Inc")</f>
        <v>McCormick &amp; Company Inc</v>
      </c>
      <c r="E129" s="30" t="s">
        <v>2094</v>
      </c>
      <c r="F129" s="33" t="str">
        <f>IFERROR(__xludf.DUMMYFUNCTION("( (GOOGLEFINANCE(C129, ""price"") - Q129) / Q129 ) / (R129 / 100)"),"Loading...")</f>
        <v>Loading...</v>
      </c>
      <c r="G129" s="20" t="str">
        <f>IFERROR(__xludf.DUMMYFUNCTION("AVERAGE(ARRAYFORMULA(100 * (QUERY(GOOGLEFINANCE(C129, ""high"", TODAY()-40, TODAY()), ""SELECT Col2 WHERE Col2 IS NOT NULL ORDER BY Col1 DESC LIMIT 20"", 0) / QUERY(GOOGLEFINANCE(C129, ""low"", TODAY()-40, TODAY()), ""SELECT Col2 WHERE Col2 IS NOT NULL OR"&amp;"DER BY Col1 DESC LIMIT 20"", 0) - 1)))"),"#N/A")</f>
        <v>#N/A</v>
      </c>
      <c r="H129" s="35" t="str">
        <f t="shared" si="6"/>
        <v>Liquid</v>
      </c>
      <c r="I129" s="36" t="str">
        <f t="shared" si="7"/>
        <v>RVol Required</v>
      </c>
      <c r="J129" s="37">
        <f>IFERROR(__xludf.DUMMYFUNCTION("IFERROR(
  IF(C129="""",, 
    IFERROR(
      GOOGLEFINANCE(C129, ""price"") * GOOGLEFINANCE(C129, ""volumeavg""), 
      GOOGLEFINANCE(C129, ""price"") * AVERAGE(QUERY(GOOGLEFINANCE(C129, ""volume"", TODAY()-40, TODAY()), ""SELECT Col2 WHERE Col2 IS NOT "&amp;"NULL ORDER BY Col1 DESC LIMIT 20"", 0))
    )
  ), 
"""")"),1.8383601195000002E8)</f>
        <v>183836012</v>
      </c>
      <c r="K129" s="21">
        <f>IFERROR(__xludf.DUMMYFUNCTION("IFERROR(GOOGLEFINANCE(C129, ""changepct"") / 100, """")"),0.013999999999999999)</f>
        <v>0.014</v>
      </c>
      <c r="L129" s="21" t="str">
        <f>IFERROR(__xludf.DUMMYFUNCTION("IFERROR((GOOGLEFINANCE(C129, ""price"") / INDEX(GOOGLEFINANCE(C129, ""price"", TODAY()-7, TODAY()), 2, 2)) - 1, """")"),"")</f>
        <v/>
      </c>
      <c r="M129" s="21" t="str">
        <f>IFERROR(__xludf.DUMMYFUNCTION("IFERROR((GOOGLEFINANCE(C129, ""price"") / INDEX(GOOGLEFINANCE(C129, ""price"", EDATE(TODAY(), -1), TODAY()), 2, 2)) - 1, """")"),"")</f>
        <v/>
      </c>
      <c r="N129" s="21" t="str">
        <f>IFERROR(__xludf.DUMMYFUNCTION("IFERROR((GOOGLEFINANCE(C129, ""price"") / INDEX(GOOGLEFINANCE(C129, ""price"", EDATE(TODAY(), -3), TODAY()), 2, 2)) - 1, """")"),"")</f>
        <v/>
      </c>
      <c r="O129" s="21" t="str">
        <f>IFERROR(__xludf.DUMMYFUNCTION("IFERROR((GOOGLEFINANCE(C129, ""price"") / INDEX(GOOGLEFINANCE(C129, ""price"", EDATE(TODAY(), -6), TODAY()), 2, 2)) - 1, """")"),"")</f>
        <v/>
      </c>
      <c r="P129" s="21" t="str">
        <f>IFERROR(__xludf.DUMMYFUNCTION("IFERROR((GOOGLEFINANCE(C129, ""price"") / INDEX(GOOGLEFINANCE(C129, ""price"", EDATE(TODAY(), -12), TODAY()), 2, 2)) - 1, """")"),"")</f>
        <v/>
      </c>
      <c r="Q129" s="6" t="str">
        <f>IFERROR(__xludf.DUMMYFUNCTION("AVERAGE(QUERY(GOOGLEFINANCE(C129, ""price"", TODAY()-80, TODAY()), ""SELECT Col2 WHERE Col2 IS NOT NULL ORDER BY Col1 DESC LIMIT 50"", 0))"),"#N/A")</f>
        <v>#N/A</v>
      </c>
      <c r="R129" s="24" t="str">
        <f>IFERROR(__xludf.DUMMYFUNCTION("IFERROR(
  LET(
    data, QUERY(GOOGLEFINANCE(C129,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GOOGLEFINANCE(C129, ""price"")) * 100,
    IF(calc=0, G129, calc)
  ), 
G129)"),"#N/A")</f>
        <v>#N/A</v>
      </c>
      <c r="S129" s="8" t="s">
        <v>15</v>
      </c>
      <c r="T129" s="26" t="str">
        <f>IFERROR(__xludf.DUMMYFUNCTION("IFERROR(TRANSPOSE(QUERY(IFERROR(SORT(GOOGLEFINANCE(C129, ""price"", WORKDAY(TODAY(), -40), TODAY()), 1, FALSE)), ""select Col2 where Col2 is not null limit 22 label Col2 ''"", 0)), """")"),"")</f>
        <v/>
      </c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8"/>
      <c r="AO129" s="28"/>
      <c r="AP129" s="29"/>
      <c r="AQ129" s="29" t="str">
        <f t="shared" ref="AQ129:BL129" si="132">T129/T$2</f>
        <v>#N/A</v>
      </c>
      <c r="AR129" s="29" t="str">
        <f t="shared" si="132"/>
        <v>#DIV/0!</v>
      </c>
      <c r="AS129" s="29" t="str">
        <f t="shared" si="132"/>
        <v>#DIV/0!</v>
      </c>
      <c r="AT129" s="29" t="str">
        <f t="shared" si="132"/>
        <v>#DIV/0!</v>
      </c>
      <c r="AU129" s="29" t="str">
        <f t="shared" si="132"/>
        <v>#DIV/0!</v>
      </c>
      <c r="AV129" s="29" t="str">
        <f t="shared" si="132"/>
        <v>#DIV/0!</v>
      </c>
      <c r="AW129" s="29" t="str">
        <f t="shared" si="132"/>
        <v>#DIV/0!</v>
      </c>
      <c r="AX129" s="29" t="str">
        <f t="shared" si="132"/>
        <v>#DIV/0!</v>
      </c>
      <c r="AY129" s="29" t="str">
        <f t="shared" si="132"/>
        <v>#DIV/0!</v>
      </c>
      <c r="AZ129" s="29" t="str">
        <f t="shared" si="132"/>
        <v>#DIV/0!</v>
      </c>
      <c r="BA129" s="29" t="str">
        <f t="shared" si="132"/>
        <v>#DIV/0!</v>
      </c>
      <c r="BB129" s="29" t="str">
        <f t="shared" si="132"/>
        <v>#DIV/0!</v>
      </c>
      <c r="BC129" s="29" t="str">
        <f t="shared" si="132"/>
        <v>#DIV/0!</v>
      </c>
      <c r="BD129" s="29" t="str">
        <f t="shared" si="132"/>
        <v>#DIV/0!</v>
      </c>
      <c r="BE129" s="29" t="str">
        <f t="shared" si="132"/>
        <v>#DIV/0!</v>
      </c>
      <c r="BF129" s="29" t="str">
        <f t="shared" si="132"/>
        <v>#DIV/0!</v>
      </c>
      <c r="BG129" s="29" t="str">
        <f t="shared" si="132"/>
        <v>#DIV/0!</v>
      </c>
      <c r="BH129" s="29" t="str">
        <f t="shared" si="132"/>
        <v>#DIV/0!</v>
      </c>
      <c r="BI129" s="29" t="str">
        <f t="shared" si="132"/>
        <v>#DIV/0!</v>
      </c>
      <c r="BJ129" s="29" t="str">
        <f t="shared" si="132"/>
        <v>#DIV/0!</v>
      </c>
      <c r="BK129" s="29" t="str">
        <f t="shared" si="132"/>
        <v>#DIV/0!</v>
      </c>
      <c r="BL129" s="29" t="str">
        <f t="shared" si="132"/>
        <v>#DIV/0!</v>
      </c>
      <c r="BM129" s="29" t="str">
        <f t="shared" si="3"/>
        <v>#DIV/0!</v>
      </c>
    </row>
    <row r="130">
      <c r="A130" s="16" t="str">
        <f>IFERROR(__xludf.DUMMYFUNCTION("IFERROR(SPARKLINE(SORT(MAP(TRANSPOSE(AQ130:BL130), LAMBDA(val, IF(ISNUMBER(val), PERCENTRANK(AQ130:BL130, val)+0.01, 0))), SEQUENCE(COLUMNS(AQ130:BL130)), FALSE), {""charttype"",""column""; ""color"",""chartreuse""; ""ymin"", 0; ""ymax"", 1.01; ""highcolo"&amp;"r"", ""darkgreen""; ""lowcolor"", ""red""}), """")"),"")</f>
        <v/>
      </c>
      <c r="B130" s="17" t="str">
        <f t="shared" si="4"/>
        <v/>
      </c>
      <c r="C130" s="1" t="s">
        <v>2559</v>
      </c>
      <c r="D130" s="30" t="str">
        <f>IFERROR(__xludf.DUMMYFUNCTION("IFERROR(GOOGLEFINANCE(C130, ""NAME""))"),"McGraw Hill Inc")</f>
        <v>McGraw Hill Inc</v>
      </c>
      <c r="E130" s="30" t="s">
        <v>2069</v>
      </c>
      <c r="F130" s="33" t="str">
        <f>IFERROR(__xludf.DUMMYFUNCTION("( (GOOGLEFINANCE(C130, ""price"") - Q130) / Q130 ) / (R130 / 100)"),"Loading...")</f>
        <v>Loading...</v>
      </c>
      <c r="G130" s="20" t="str">
        <f>IFERROR(__xludf.DUMMYFUNCTION("AVERAGE(ARRAYFORMULA(100 * (QUERY(GOOGLEFINANCE(C130, ""high"", TODAY()-40, TODAY()), ""SELECT Col2 WHERE Col2 IS NOT NULL ORDER BY Col1 DESC LIMIT 20"", 0) / QUERY(GOOGLEFINANCE(C130, ""low"", TODAY()-40, TODAY()), ""SELECT Col2 WHERE Col2 IS NOT NULL OR"&amp;"DER BY Col1 DESC LIMIT 20"", 0) - 1)))"),"#N/A")</f>
        <v>#N/A</v>
      </c>
      <c r="H130" s="35" t="str">
        <f t="shared" si="6"/>
        <v>Illiquid</v>
      </c>
      <c r="I130" s="36" t="str">
        <f t="shared" si="7"/>
        <v>RVol Required</v>
      </c>
      <c r="J130" s="37">
        <f>IFERROR(__xludf.DUMMYFUNCTION("IFERROR(
  IF(C130="""",, 
    IFERROR(
      GOOGLEFINANCE(C130, ""price"") * GOOGLEFINANCE(C130, ""volumeavg""), 
      GOOGLEFINANCE(C130, ""price"") * AVERAGE(QUERY(GOOGLEFINANCE(C130, ""volume"", TODAY()-40, TODAY()), ""SELECT Col2 WHERE Col2 IS NOT "&amp;"NULL ORDER BY Col1 DESC LIMIT 20"", 0))
    )
  ), 
"""")"),8304175.92)</f>
        <v>8304175.92</v>
      </c>
      <c r="K130" s="21">
        <f>IFERROR(__xludf.DUMMYFUNCTION("IFERROR(GOOGLEFINANCE(C130, ""changepct"") / 100, """")"),-0.0155)</f>
        <v>-0.0155</v>
      </c>
      <c r="L130" s="21" t="str">
        <f>IFERROR(__xludf.DUMMYFUNCTION("IFERROR((GOOGLEFINANCE(C130, ""price"") / INDEX(GOOGLEFINANCE(C130, ""price"", TODAY()-7, TODAY()), 2, 2)) - 1, """")"),"")</f>
        <v/>
      </c>
      <c r="M130" s="21" t="str">
        <f>IFERROR(__xludf.DUMMYFUNCTION("IFERROR((GOOGLEFINANCE(C130, ""price"") / INDEX(GOOGLEFINANCE(C130, ""price"", EDATE(TODAY(), -1), TODAY()), 2, 2)) - 1, """")"),"")</f>
        <v/>
      </c>
      <c r="N130" s="21" t="str">
        <f>IFERROR(__xludf.DUMMYFUNCTION("IFERROR((GOOGLEFINANCE(C130, ""price"") / INDEX(GOOGLEFINANCE(C130, ""price"", EDATE(TODAY(), -3), TODAY()), 2, 2)) - 1, """")"),"")</f>
        <v/>
      </c>
      <c r="O130" s="21" t="str">
        <f>IFERROR(__xludf.DUMMYFUNCTION("IFERROR((GOOGLEFINANCE(C130, ""price"") / INDEX(GOOGLEFINANCE(C130, ""price"", EDATE(TODAY(), -6), TODAY()), 2, 2)) - 1, """")"),"")</f>
        <v/>
      </c>
      <c r="P130" s="21" t="str">
        <f>IFERROR(__xludf.DUMMYFUNCTION("IFERROR((GOOGLEFINANCE(C130, ""price"") / INDEX(GOOGLEFINANCE(C130, ""price"", EDATE(TODAY(), -12), TODAY()), 2, 2)) - 1, """")"),"")</f>
        <v/>
      </c>
      <c r="Q130" s="6" t="str">
        <f>IFERROR(__xludf.DUMMYFUNCTION("AVERAGE(QUERY(GOOGLEFINANCE(C130, ""price"", TODAY()-80, TODAY()), ""SELECT Col2 WHERE Col2 IS NOT NULL ORDER BY Col1 DESC LIMIT 50"", 0))"),"#N/A")</f>
        <v>#N/A</v>
      </c>
      <c r="R130" s="24" t="str">
        <f>IFERROR(__xludf.DUMMYFUNCTION("IFERROR(
  LET(
    data, QUERY(GOOGLEFINANCE(C130,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GOOGLEFINANCE(C130, ""price"")) * 100,
    IF(calc=0, G130, calc)
  ), 
G130)"),"#N/A")</f>
        <v>#N/A</v>
      </c>
      <c r="S130" s="8" t="s">
        <v>15</v>
      </c>
      <c r="T130" s="26" t="str">
        <f>IFERROR(__xludf.DUMMYFUNCTION("IFERROR(TRANSPOSE(QUERY(IFERROR(SORT(GOOGLEFINANCE(C130, ""price"", WORKDAY(TODAY(), -40), TODAY()), 1, FALSE)), ""select Col2 where Col2 is not null limit 22 label Col2 ''"", 0)), """")"),"")</f>
        <v/>
      </c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8"/>
      <c r="AO130" s="28"/>
      <c r="AP130" s="29"/>
      <c r="AQ130" s="29" t="str">
        <f t="shared" ref="AQ130:BL130" si="133">T130/T$2</f>
        <v>#N/A</v>
      </c>
      <c r="AR130" s="29" t="str">
        <f t="shared" si="133"/>
        <v>#DIV/0!</v>
      </c>
      <c r="AS130" s="29" t="str">
        <f t="shared" si="133"/>
        <v>#DIV/0!</v>
      </c>
      <c r="AT130" s="29" t="str">
        <f t="shared" si="133"/>
        <v>#DIV/0!</v>
      </c>
      <c r="AU130" s="29" t="str">
        <f t="shared" si="133"/>
        <v>#DIV/0!</v>
      </c>
      <c r="AV130" s="29" t="str">
        <f t="shared" si="133"/>
        <v>#DIV/0!</v>
      </c>
      <c r="AW130" s="29" t="str">
        <f t="shared" si="133"/>
        <v>#DIV/0!</v>
      </c>
      <c r="AX130" s="29" t="str">
        <f t="shared" si="133"/>
        <v>#DIV/0!</v>
      </c>
      <c r="AY130" s="29" t="str">
        <f t="shared" si="133"/>
        <v>#DIV/0!</v>
      </c>
      <c r="AZ130" s="29" t="str">
        <f t="shared" si="133"/>
        <v>#DIV/0!</v>
      </c>
      <c r="BA130" s="29" t="str">
        <f t="shared" si="133"/>
        <v>#DIV/0!</v>
      </c>
      <c r="BB130" s="29" t="str">
        <f t="shared" si="133"/>
        <v>#DIV/0!</v>
      </c>
      <c r="BC130" s="29" t="str">
        <f t="shared" si="133"/>
        <v>#DIV/0!</v>
      </c>
      <c r="BD130" s="29" t="str">
        <f t="shared" si="133"/>
        <v>#DIV/0!</v>
      </c>
      <c r="BE130" s="29" t="str">
        <f t="shared" si="133"/>
        <v>#DIV/0!</v>
      </c>
      <c r="BF130" s="29" t="str">
        <f t="shared" si="133"/>
        <v>#DIV/0!</v>
      </c>
      <c r="BG130" s="29" t="str">
        <f t="shared" si="133"/>
        <v>#DIV/0!</v>
      </c>
      <c r="BH130" s="29" t="str">
        <f t="shared" si="133"/>
        <v>#DIV/0!</v>
      </c>
      <c r="BI130" s="29" t="str">
        <f t="shared" si="133"/>
        <v>#DIV/0!</v>
      </c>
      <c r="BJ130" s="29" t="str">
        <f t="shared" si="133"/>
        <v>#DIV/0!</v>
      </c>
      <c r="BK130" s="29" t="str">
        <f t="shared" si="133"/>
        <v>#DIV/0!</v>
      </c>
      <c r="BL130" s="29" t="str">
        <f t="shared" si="133"/>
        <v>#DIV/0!</v>
      </c>
      <c r="BM130" s="29" t="str">
        <f t="shared" si="3"/>
        <v>#DIV/0!</v>
      </c>
    </row>
    <row r="131">
      <c r="A131" s="16" t="str">
        <f>IFERROR(__xludf.DUMMYFUNCTION("IFERROR(SPARKLINE(SORT(MAP(TRANSPOSE(AQ131:BL131), LAMBDA(val, IF(ISNUMBER(val), PERCENTRANK(AQ131:BL131, val)+0.01, 0))), SEQUENCE(COLUMNS(AQ131:BL131)), FALSE), {""charttype"",""column""; ""color"",""chartreuse""; ""ymin"", 0; ""ymax"", 1.01; ""highcolo"&amp;"r"", ""darkgreen""; ""lowcolor"", ""red""}), """")"),"")</f>
        <v/>
      </c>
      <c r="B131" s="17" t="str">
        <f t="shared" si="4"/>
        <v/>
      </c>
      <c r="C131" s="1" t="s">
        <v>2563</v>
      </c>
      <c r="D131" s="30" t="str">
        <f>IFERROR(__xludf.DUMMYFUNCTION("IFERROR(GOOGLEFINANCE(C131, ""NAME""))"),"MGP Ingredients Inc")</f>
        <v>MGP Ingredients Inc</v>
      </c>
      <c r="E131" s="30" t="s">
        <v>2176</v>
      </c>
      <c r="F131" s="33" t="str">
        <f>IFERROR(__xludf.DUMMYFUNCTION("( (GOOGLEFINANCE(C131, ""price"") - Q131) / Q131 ) / (R131 / 100)"),"Loading...")</f>
        <v>Loading...</v>
      </c>
      <c r="G131" s="20" t="str">
        <f>IFERROR(__xludf.DUMMYFUNCTION("AVERAGE(ARRAYFORMULA(100 * (QUERY(GOOGLEFINANCE(C131, ""high"", TODAY()-40, TODAY()), ""SELECT Col2 WHERE Col2 IS NOT NULL ORDER BY Col1 DESC LIMIT 20"", 0) / QUERY(GOOGLEFINANCE(C131, ""low"", TODAY()-40, TODAY()), ""SELECT Col2 WHERE Col2 IS NOT NULL OR"&amp;"DER BY Col1 DESC LIMIT 20"", 0) - 1)))"),"#N/A")</f>
        <v>#N/A</v>
      </c>
      <c r="H131" s="35" t="str">
        <f t="shared" si="6"/>
        <v>Illiquid</v>
      </c>
      <c r="I131" s="36" t="str">
        <f t="shared" si="7"/>
        <v>RVol Required</v>
      </c>
      <c r="J131" s="37">
        <f>IFERROR(__xludf.DUMMYFUNCTION("IFERROR(
  IF(C131="""",, 
    IFERROR(
      GOOGLEFINANCE(C131, ""price"") * GOOGLEFINANCE(C131, ""volumeavg""), 
      GOOGLEFINANCE(C131, ""price"") * AVERAGE(QUERY(GOOGLEFINANCE(C131, ""volume"", TODAY()-40, TODAY()), ""SELECT Col2 WHERE Col2 IS NOT "&amp;"NULL ORDER BY Col1 DESC LIMIT 20"", 0))
    )
  ), 
"""")"),4532764.319999999)</f>
        <v>4532764.32</v>
      </c>
      <c r="K131" s="21">
        <f>IFERROR(__xludf.DUMMYFUNCTION("IFERROR(GOOGLEFINANCE(C131, ""changepct"") / 100, """")"),-0.0182)</f>
        <v>-0.0182</v>
      </c>
      <c r="L131" s="21" t="str">
        <f>IFERROR(__xludf.DUMMYFUNCTION("IFERROR((GOOGLEFINANCE(C131, ""price"") / INDEX(GOOGLEFINANCE(C131, ""price"", TODAY()-7, TODAY()), 2, 2)) - 1, """")"),"")</f>
        <v/>
      </c>
      <c r="M131" s="21" t="str">
        <f>IFERROR(__xludf.DUMMYFUNCTION("IFERROR((GOOGLEFINANCE(C131, ""price"") / INDEX(GOOGLEFINANCE(C131, ""price"", EDATE(TODAY(), -1), TODAY()), 2, 2)) - 1, """")"),"")</f>
        <v/>
      </c>
      <c r="N131" s="21" t="str">
        <f>IFERROR(__xludf.DUMMYFUNCTION("IFERROR((GOOGLEFINANCE(C131, ""price"") / INDEX(GOOGLEFINANCE(C131, ""price"", EDATE(TODAY(), -3), TODAY()), 2, 2)) - 1, """")"),"")</f>
        <v/>
      </c>
      <c r="O131" s="21" t="str">
        <f>IFERROR(__xludf.DUMMYFUNCTION("IFERROR((GOOGLEFINANCE(C131, ""price"") / INDEX(GOOGLEFINANCE(C131, ""price"", EDATE(TODAY(), -6), TODAY()), 2, 2)) - 1, """")"),"")</f>
        <v/>
      </c>
      <c r="P131" s="21" t="str">
        <f>IFERROR(__xludf.DUMMYFUNCTION("IFERROR((GOOGLEFINANCE(C131, ""price"") / INDEX(GOOGLEFINANCE(C131, ""price"", EDATE(TODAY(), -12), TODAY()), 2, 2)) - 1, """")"),"")</f>
        <v/>
      </c>
      <c r="Q131" s="6" t="str">
        <f>IFERROR(__xludf.DUMMYFUNCTION("AVERAGE(QUERY(GOOGLEFINANCE(C131, ""price"", TODAY()-80, TODAY()), ""SELECT Col2 WHERE Col2 IS NOT NULL ORDER BY Col1 DESC LIMIT 50"", 0))"),"#N/A")</f>
        <v>#N/A</v>
      </c>
      <c r="R131" s="24" t="str">
        <f>IFERROR(__xludf.DUMMYFUNCTION("IFERROR(
  LET(
    data, QUERY(GOOGLEFINANCE(C131,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GOOGLEFINANCE(C131, ""price"")) * 100,
    IF(calc=0, G131, calc)
  ), 
G131)"),"#N/A")</f>
        <v>#N/A</v>
      </c>
      <c r="S131" s="8" t="s">
        <v>15</v>
      </c>
      <c r="T131" s="26" t="str">
        <f>IFERROR(__xludf.DUMMYFUNCTION("IFERROR(TRANSPOSE(QUERY(IFERROR(SORT(GOOGLEFINANCE(C131, ""price"", WORKDAY(TODAY(), -40), TODAY()), 1, FALSE)), ""select Col2 where Col2 is not null limit 22 label Col2 ''"", 0)), """")"),"")</f>
        <v/>
      </c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8"/>
      <c r="AO131" s="28"/>
      <c r="AP131" s="29"/>
      <c r="AQ131" s="29" t="str">
        <f t="shared" ref="AQ131:BL131" si="134">T131/T$2</f>
        <v>#N/A</v>
      </c>
      <c r="AR131" s="29" t="str">
        <f t="shared" si="134"/>
        <v>#DIV/0!</v>
      </c>
      <c r="AS131" s="29" t="str">
        <f t="shared" si="134"/>
        <v>#DIV/0!</v>
      </c>
      <c r="AT131" s="29" t="str">
        <f t="shared" si="134"/>
        <v>#DIV/0!</v>
      </c>
      <c r="AU131" s="29" t="str">
        <f t="shared" si="134"/>
        <v>#DIV/0!</v>
      </c>
      <c r="AV131" s="29" t="str">
        <f t="shared" si="134"/>
        <v>#DIV/0!</v>
      </c>
      <c r="AW131" s="29" t="str">
        <f t="shared" si="134"/>
        <v>#DIV/0!</v>
      </c>
      <c r="AX131" s="29" t="str">
        <f t="shared" si="134"/>
        <v>#DIV/0!</v>
      </c>
      <c r="AY131" s="29" t="str">
        <f t="shared" si="134"/>
        <v>#DIV/0!</v>
      </c>
      <c r="AZ131" s="29" t="str">
        <f t="shared" si="134"/>
        <v>#DIV/0!</v>
      </c>
      <c r="BA131" s="29" t="str">
        <f t="shared" si="134"/>
        <v>#DIV/0!</v>
      </c>
      <c r="BB131" s="29" t="str">
        <f t="shared" si="134"/>
        <v>#DIV/0!</v>
      </c>
      <c r="BC131" s="29" t="str">
        <f t="shared" si="134"/>
        <v>#DIV/0!</v>
      </c>
      <c r="BD131" s="29" t="str">
        <f t="shared" si="134"/>
        <v>#DIV/0!</v>
      </c>
      <c r="BE131" s="29" t="str">
        <f t="shared" si="134"/>
        <v>#DIV/0!</v>
      </c>
      <c r="BF131" s="29" t="str">
        <f t="shared" si="134"/>
        <v>#DIV/0!</v>
      </c>
      <c r="BG131" s="29" t="str">
        <f t="shared" si="134"/>
        <v>#DIV/0!</v>
      </c>
      <c r="BH131" s="29" t="str">
        <f t="shared" si="134"/>
        <v>#DIV/0!</v>
      </c>
      <c r="BI131" s="29" t="str">
        <f t="shared" si="134"/>
        <v>#DIV/0!</v>
      </c>
      <c r="BJ131" s="29" t="str">
        <f t="shared" si="134"/>
        <v>#DIV/0!</v>
      </c>
      <c r="BK131" s="29" t="str">
        <f t="shared" si="134"/>
        <v>#DIV/0!</v>
      </c>
      <c r="BL131" s="29" t="str">
        <f t="shared" si="134"/>
        <v>#DIV/0!</v>
      </c>
      <c r="BM131" s="29" t="str">
        <f t="shared" si="3"/>
        <v>#DIV/0!</v>
      </c>
    </row>
    <row r="132">
      <c r="A132" s="16" t="str">
        <f>IFERROR(__xludf.DUMMYFUNCTION("IFERROR(SPARKLINE(SORT(MAP(TRANSPOSE(AQ132:BL132), LAMBDA(val, IF(ISNUMBER(val), PERCENTRANK(AQ132:BL132, val)+0.01, 0))), SEQUENCE(COLUMNS(AQ132:BL132)), FALSE), {""charttype"",""column""; ""color"",""chartreuse""; ""ymin"", 0; ""ymax"", 1.01; ""highcolo"&amp;"r"", ""darkgreen""; ""lowcolor"", ""red""}), """")"),"")</f>
        <v/>
      </c>
      <c r="B132" s="17" t="str">
        <f t="shared" si="4"/>
        <v/>
      </c>
      <c r="C132" s="1" t="s">
        <v>2567</v>
      </c>
      <c r="D132" s="30" t="str">
        <f>IFERROR(__xludf.DUMMYFUNCTION("IFERROR(GOOGLEFINANCE(C132, ""NAME""))"),"Grand Canyon Education Inc")</f>
        <v>Grand Canyon Education Inc</v>
      </c>
      <c r="E132" s="30" t="s">
        <v>2069</v>
      </c>
      <c r="F132" s="33" t="str">
        <f>IFERROR(__xludf.DUMMYFUNCTION("( (GOOGLEFINANCE(C132, ""price"") - Q132) / Q132 ) / (R132 / 100)"),"Loading...")</f>
        <v>Loading...</v>
      </c>
      <c r="G132" s="20" t="str">
        <f>IFERROR(__xludf.DUMMYFUNCTION("AVERAGE(ARRAYFORMULA(100 * (QUERY(GOOGLEFINANCE(C132, ""high"", TODAY()-40, TODAY()), ""SELECT Col2 WHERE Col2 IS NOT NULL ORDER BY Col1 DESC LIMIT 20"", 0) / QUERY(GOOGLEFINANCE(C132, ""low"", TODAY()-40, TODAY()), ""SELECT Col2 WHERE Col2 IS NOT NULL OR"&amp;"DER BY Col1 DESC LIMIT 20"", 0) - 1)))"),"#N/A")</f>
        <v>#N/A</v>
      </c>
      <c r="H132" s="35" t="str">
        <f t="shared" si="6"/>
        <v>Liquid</v>
      </c>
      <c r="I132" s="36" t="str">
        <f t="shared" si="7"/>
        <v>RVol Required</v>
      </c>
      <c r="J132" s="37">
        <f>IFERROR(__xludf.DUMMYFUNCTION("IFERROR(
  IF(C132="""",, 
    IFERROR(
      GOOGLEFINANCE(C132, ""price"") * GOOGLEFINANCE(C132, ""volumeavg""), 
      GOOGLEFINANCE(C132, ""price"") * AVERAGE(QUERY(GOOGLEFINANCE(C132, ""volume"", TODAY()-40, TODAY()), ""SELECT Col2 WHERE Col2 IS NOT "&amp;"NULL ORDER BY Col1 DESC LIMIT 20"", 0))
    )
  ), 
"""")"),5.081998002E7)</f>
        <v>50819980.02</v>
      </c>
      <c r="K132" s="21">
        <f>IFERROR(__xludf.DUMMYFUNCTION("IFERROR(GOOGLEFINANCE(C132, ""changepct"") / 100, """")"),9.0E-4)</f>
        <v>0.0009</v>
      </c>
      <c r="L132" s="21" t="str">
        <f>IFERROR(__xludf.DUMMYFUNCTION("IFERROR((GOOGLEFINANCE(C132, ""price"") / INDEX(GOOGLEFINANCE(C132, ""price"", TODAY()-7, TODAY()), 2, 2)) - 1, """")"),"")</f>
        <v/>
      </c>
      <c r="M132" s="21" t="str">
        <f>IFERROR(__xludf.DUMMYFUNCTION("IFERROR((GOOGLEFINANCE(C132, ""price"") / INDEX(GOOGLEFINANCE(C132, ""price"", EDATE(TODAY(), -1), TODAY()), 2, 2)) - 1, """")"),"")</f>
        <v/>
      </c>
      <c r="N132" s="21" t="str">
        <f>IFERROR(__xludf.DUMMYFUNCTION("IFERROR((GOOGLEFINANCE(C132, ""price"") / INDEX(GOOGLEFINANCE(C132, ""price"", EDATE(TODAY(), -3), TODAY()), 2, 2)) - 1, """")"),"")</f>
        <v/>
      </c>
      <c r="O132" s="21" t="str">
        <f>IFERROR(__xludf.DUMMYFUNCTION("IFERROR((GOOGLEFINANCE(C132, ""price"") / INDEX(GOOGLEFINANCE(C132, ""price"", EDATE(TODAY(), -6), TODAY()), 2, 2)) - 1, """")"),"")</f>
        <v/>
      </c>
      <c r="P132" s="21" t="str">
        <f>IFERROR(__xludf.DUMMYFUNCTION("IFERROR((GOOGLEFINANCE(C132, ""price"") / INDEX(GOOGLEFINANCE(C132, ""price"", EDATE(TODAY(), -12), TODAY()), 2, 2)) - 1, """")"),"")</f>
        <v/>
      </c>
      <c r="Q132" s="6" t="str">
        <f>IFERROR(__xludf.DUMMYFUNCTION("AVERAGE(QUERY(GOOGLEFINANCE(C132, ""price"", TODAY()-80, TODAY()), ""SELECT Col2 WHERE Col2 IS NOT NULL ORDER BY Col1 DESC LIMIT 50"", 0))"),"#N/A")</f>
        <v>#N/A</v>
      </c>
      <c r="R132" s="24" t="str">
        <f>IFERROR(__xludf.DUMMYFUNCTION("IFERROR(
  LET(
    data, QUERY(GOOGLEFINANCE(C132,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GOOGLEFINANCE(C132, ""price"")) * 100,
    IF(calc=0, G132, calc)
  ), 
G132)"),"#N/A")</f>
        <v>#N/A</v>
      </c>
      <c r="S132" s="8" t="s">
        <v>15</v>
      </c>
      <c r="T132" s="26" t="str">
        <f>IFERROR(__xludf.DUMMYFUNCTION("IFERROR(TRANSPOSE(QUERY(IFERROR(SORT(GOOGLEFINANCE(C132, ""price"", WORKDAY(TODAY(), -40), TODAY()), 1, FALSE)), ""select Col2 where Col2 is not null limit 22 label Col2 ''"", 0)), """")"),"")</f>
        <v/>
      </c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8"/>
      <c r="AO132" s="28"/>
      <c r="AP132" s="29"/>
      <c r="AQ132" s="29" t="str">
        <f t="shared" ref="AQ132:BL132" si="135">T132/T$2</f>
        <v>#N/A</v>
      </c>
      <c r="AR132" s="29" t="str">
        <f t="shared" si="135"/>
        <v>#DIV/0!</v>
      </c>
      <c r="AS132" s="29" t="str">
        <f t="shared" si="135"/>
        <v>#DIV/0!</v>
      </c>
      <c r="AT132" s="29" t="str">
        <f t="shared" si="135"/>
        <v>#DIV/0!</v>
      </c>
      <c r="AU132" s="29" t="str">
        <f t="shared" si="135"/>
        <v>#DIV/0!</v>
      </c>
      <c r="AV132" s="29" t="str">
        <f t="shared" si="135"/>
        <v>#DIV/0!</v>
      </c>
      <c r="AW132" s="29" t="str">
        <f t="shared" si="135"/>
        <v>#DIV/0!</v>
      </c>
      <c r="AX132" s="29" t="str">
        <f t="shared" si="135"/>
        <v>#DIV/0!</v>
      </c>
      <c r="AY132" s="29" t="str">
        <f t="shared" si="135"/>
        <v>#DIV/0!</v>
      </c>
      <c r="AZ132" s="29" t="str">
        <f t="shared" si="135"/>
        <v>#DIV/0!</v>
      </c>
      <c r="BA132" s="29" t="str">
        <f t="shared" si="135"/>
        <v>#DIV/0!</v>
      </c>
      <c r="BB132" s="29" t="str">
        <f t="shared" si="135"/>
        <v>#DIV/0!</v>
      </c>
      <c r="BC132" s="29" t="str">
        <f t="shared" si="135"/>
        <v>#DIV/0!</v>
      </c>
      <c r="BD132" s="29" t="str">
        <f t="shared" si="135"/>
        <v>#DIV/0!</v>
      </c>
      <c r="BE132" s="29" t="str">
        <f t="shared" si="135"/>
        <v>#DIV/0!</v>
      </c>
      <c r="BF132" s="29" t="str">
        <f t="shared" si="135"/>
        <v>#DIV/0!</v>
      </c>
      <c r="BG132" s="29" t="str">
        <f t="shared" si="135"/>
        <v>#DIV/0!</v>
      </c>
      <c r="BH132" s="29" t="str">
        <f t="shared" si="135"/>
        <v>#DIV/0!</v>
      </c>
      <c r="BI132" s="29" t="str">
        <f t="shared" si="135"/>
        <v>#DIV/0!</v>
      </c>
      <c r="BJ132" s="29" t="str">
        <f t="shared" si="135"/>
        <v>#DIV/0!</v>
      </c>
      <c r="BK132" s="29" t="str">
        <f t="shared" si="135"/>
        <v>#DIV/0!</v>
      </c>
      <c r="BL132" s="29" t="str">
        <f t="shared" si="135"/>
        <v>#DIV/0!</v>
      </c>
      <c r="BM132" s="29" t="str">
        <f t="shared" si="3"/>
        <v>#DIV/0!</v>
      </c>
    </row>
    <row r="133">
      <c r="A133" s="16" t="str">
        <f>IFERROR(__xludf.DUMMYFUNCTION("IFERROR(SPARKLINE(SORT(MAP(TRANSPOSE(AQ133:BL133), LAMBDA(val, IF(ISNUMBER(val), PERCENTRANK(AQ133:BL133, val)+0.01, 0))), SEQUENCE(COLUMNS(AQ133:BL133)), FALSE), {""charttype"",""column""; ""color"",""chartreuse""; ""ymin"", 0; ""ymax"", 1.01; ""highcolo"&amp;"r"", ""darkgreen""; ""lowcolor"", ""red""}), """")"),"")</f>
        <v/>
      </c>
      <c r="B133" s="17" t="str">
        <f t="shared" si="4"/>
        <v/>
      </c>
      <c r="C133" s="1" t="s">
        <v>2571</v>
      </c>
      <c r="D133" s="30" t="str">
        <f>IFERROR(__xludf.DUMMYFUNCTION("IFERROR(GOOGLEFINANCE(C133, ""NAME""))"),"Kroger Co")</f>
        <v>Kroger Co</v>
      </c>
      <c r="E133" s="30" t="s">
        <v>2063</v>
      </c>
      <c r="F133" s="33" t="str">
        <f>IFERROR(__xludf.DUMMYFUNCTION("( (GOOGLEFINANCE(C133, ""price"") - Q133) / Q133 ) / (R133 / 100)"),"Loading...")</f>
        <v>Loading...</v>
      </c>
      <c r="G133" s="20" t="str">
        <f>IFERROR(__xludf.DUMMYFUNCTION("AVERAGE(ARRAYFORMULA(100 * (QUERY(GOOGLEFINANCE(C133, ""high"", TODAY()-40, TODAY()), ""SELECT Col2 WHERE Col2 IS NOT NULL ORDER BY Col1 DESC LIMIT 20"", 0) / QUERY(GOOGLEFINANCE(C133, ""low"", TODAY()-40, TODAY()), ""SELECT Col2 WHERE Col2 IS NOT NULL OR"&amp;"DER BY Col1 DESC LIMIT 20"", 0) - 1)))"),"#N/A")</f>
        <v>#N/A</v>
      </c>
      <c r="H133" s="35" t="str">
        <f t="shared" si="6"/>
        <v>Liquid</v>
      </c>
      <c r="I133" s="36" t="str">
        <f t="shared" si="7"/>
        <v>No RVol Required</v>
      </c>
      <c r="J133" s="37">
        <f>IFERROR(__xludf.DUMMYFUNCTION("IFERROR(
  IF(C133="""",, 
    IFERROR(
      GOOGLEFINANCE(C133, ""price"") * GOOGLEFINANCE(C133, ""volumeavg""), 
      GOOGLEFINANCE(C133, ""price"") * AVERAGE(QUERY(GOOGLEFINANCE(C133, ""volume"", TODAY()-40, TODAY()), ""SELECT Col2 WHERE Col2 IS NOT "&amp;"NULL ORDER BY Col1 DESC LIMIT 20"", 0))
    )
  ), 
"""")"),5.1241926204E8)</f>
        <v>512419262</v>
      </c>
      <c r="K133" s="21">
        <f>IFERROR(__xludf.DUMMYFUNCTION("IFERROR(GOOGLEFINANCE(C133, ""changepct"") / 100, """")"),0.0147)</f>
        <v>0.0147</v>
      </c>
      <c r="L133" s="21" t="str">
        <f>IFERROR(__xludf.DUMMYFUNCTION("IFERROR((GOOGLEFINANCE(C133, ""price"") / INDEX(GOOGLEFINANCE(C133, ""price"", TODAY()-7, TODAY()), 2, 2)) - 1, """")"),"")</f>
        <v/>
      </c>
      <c r="M133" s="21" t="str">
        <f>IFERROR(__xludf.DUMMYFUNCTION("IFERROR((GOOGLEFINANCE(C133, ""price"") / INDEX(GOOGLEFINANCE(C133, ""price"", EDATE(TODAY(), -1), TODAY()), 2, 2)) - 1, """")"),"")</f>
        <v/>
      </c>
      <c r="N133" s="21" t="str">
        <f>IFERROR(__xludf.DUMMYFUNCTION("IFERROR((GOOGLEFINANCE(C133, ""price"") / INDEX(GOOGLEFINANCE(C133, ""price"", EDATE(TODAY(), -3), TODAY()), 2, 2)) - 1, """")"),"")</f>
        <v/>
      </c>
      <c r="O133" s="21" t="str">
        <f>IFERROR(__xludf.DUMMYFUNCTION("IFERROR((GOOGLEFINANCE(C133, ""price"") / INDEX(GOOGLEFINANCE(C133, ""price"", EDATE(TODAY(), -6), TODAY()), 2, 2)) - 1, """")"),"")</f>
        <v/>
      </c>
      <c r="P133" s="21" t="str">
        <f>IFERROR(__xludf.DUMMYFUNCTION("IFERROR((GOOGLEFINANCE(C133, ""price"") / INDEX(GOOGLEFINANCE(C133, ""price"", EDATE(TODAY(), -12), TODAY()), 2, 2)) - 1, """")"),"")</f>
        <v/>
      </c>
      <c r="Q133" s="6" t="str">
        <f>IFERROR(__xludf.DUMMYFUNCTION("AVERAGE(QUERY(GOOGLEFINANCE(C133, ""price"", TODAY()-80, TODAY()), ""SELECT Col2 WHERE Col2 IS NOT NULL ORDER BY Col1 DESC LIMIT 50"", 0))"),"#N/A")</f>
        <v>#N/A</v>
      </c>
      <c r="R133" s="24" t="str">
        <f>IFERROR(__xludf.DUMMYFUNCTION("IFERROR(
  LET(
    data, QUERY(GOOGLEFINANCE(C133,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GOOGLEFINANCE(C133, ""price"")) * 100,
    IF(calc=0, G133, calc)
  ), 
G133)"),"#N/A")</f>
        <v>#N/A</v>
      </c>
      <c r="S133" s="8" t="s">
        <v>15</v>
      </c>
      <c r="T133" s="26" t="str">
        <f>IFERROR(__xludf.DUMMYFUNCTION("IFERROR(TRANSPOSE(QUERY(IFERROR(SORT(GOOGLEFINANCE(C133, ""price"", WORKDAY(TODAY(), -40), TODAY()), 1, FALSE)), ""select Col2 where Col2 is not null limit 22 label Col2 ''"", 0)), """")"),"")</f>
        <v/>
      </c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8"/>
      <c r="AO133" s="28"/>
      <c r="AP133" s="29"/>
      <c r="AQ133" s="29" t="str">
        <f t="shared" ref="AQ133:BL133" si="136">T133/T$2</f>
        <v>#N/A</v>
      </c>
      <c r="AR133" s="29" t="str">
        <f t="shared" si="136"/>
        <v>#DIV/0!</v>
      </c>
      <c r="AS133" s="29" t="str">
        <f t="shared" si="136"/>
        <v>#DIV/0!</v>
      </c>
      <c r="AT133" s="29" t="str">
        <f t="shared" si="136"/>
        <v>#DIV/0!</v>
      </c>
      <c r="AU133" s="29" t="str">
        <f t="shared" si="136"/>
        <v>#DIV/0!</v>
      </c>
      <c r="AV133" s="29" t="str">
        <f t="shared" si="136"/>
        <v>#DIV/0!</v>
      </c>
      <c r="AW133" s="29" t="str">
        <f t="shared" si="136"/>
        <v>#DIV/0!</v>
      </c>
      <c r="AX133" s="29" t="str">
        <f t="shared" si="136"/>
        <v>#DIV/0!</v>
      </c>
      <c r="AY133" s="29" t="str">
        <f t="shared" si="136"/>
        <v>#DIV/0!</v>
      </c>
      <c r="AZ133" s="29" t="str">
        <f t="shared" si="136"/>
        <v>#DIV/0!</v>
      </c>
      <c r="BA133" s="29" t="str">
        <f t="shared" si="136"/>
        <v>#DIV/0!</v>
      </c>
      <c r="BB133" s="29" t="str">
        <f t="shared" si="136"/>
        <v>#DIV/0!</v>
      </c>
      <c r="BC133" s="29" t="str">
        <f t="shared" si="136"/>
        <v>#DIV/0!</v>
      </c>
      <c r="BD133" s="29" t="str">
        <f t="shared" si="136"/>
        <v>#DIV/0!</v>
      </c>
      <c r="BE133" s="29" t="str">
        <f t="shared" si="136"/>
        <v>#DIV/0!</v>
      </c>
      <c r="BF133" s="29" t="str">
        <f t="shared" si="136"/>
        <v>#DIV/0!</v>
      </c>
      <c r="BG133" s="29" t="str">
        <f t="shared" si="136"/>
        <v>#DIV/0!</v>
      </c>
      <c r="BH133" s="29" t="str">
        <f t="shared" si="136"/>
        <v>#DIV/0!</v>
      </c>
      <c r="BI133" s="29" t="str">
        <f t="shared" si="136"/>
        <v>#DIV/0!</v>
      </c>
      <c r="BJ133" s="29" t="str">
        <f t="shared" si="136"/>
        <v>#DIV/0!</v>
      </c>
      <c r="BK133" s="29" t="str">
        <f t="shared" si="136"/>
        <v>#DIV/0!</v>
      </c>
      <c r="BL133" s="29" t="str">
        <f t="shared" si="136"/>
        <v>#DIV/0!</v>
      </c>
      <c r="BM133" s="29" t="str">
        <f t="shared" si="3"/>
        <v>#DIV/0!</v>
      </c>
    </row>
    <row r="134">
      <c r="A134" s="16" t="str">
        <f>IFERROR(__xludf.DUMMYFUNCTION("IFERROR(SPARKLINE(SORT(MAP(TRANSPOSE(AQ134:BL134), LAMBDA(val, IF(ISNUMBER(val), PERCENTRANK(AQ134:BL134, val)+0.01, 0))), SEQUENCE(COLUMNS(AQ134:BL134)), FALSE), {""charttype"",""column""; ""color"",""chartreuse""; ""ymin"", 0; ""ymax"", 1.01; ""highcolo"&amp;"r"", ""darkgreen""; ""lowcolor"", ""red""}), """")"),"")</f>
        <v/>
      </c>
      <c r="B134" s="17" t="str">
        <f t="shared" si="4"/>
        <v/>
      </c>
      <c r="C134" s="1" t="s">
        <v>2576</v>
      </c>
      <c r="D134" s="30" t="str">
        <f>IFERROR(__xludf.DUMMYFUNCTION("IFERROR(GOOGLEFINANCE(C134, ""NAME""))"),"J&amp;J Snack Foods Corp")</f>
        <v>J&amp;J Snack Foods Corp</v>
      </c>
      <c r="E134" s="30" t="s">
        <v>2094</v>
      </c>
      <c r="F134" s="33" t="str">
        <f>IFERROR(__xludf.DUMMYFUNCTION("( (GOOGLEFINANCE(C134, ""price"") - Q134) / Q134 ) / (R134 / 100)"),"Loading...")</f>
        <v>Loading...</v>
      </c>
      <c r="G134" s="20" t="str">
        <f>IFERROR(__xludf.DUMMYFUNCTION("AVERAGE(ARRAYFORMULA(100 * (QUERY(GOOGLEFINANCE(C134, ""high"", TODAY()-40, TODAY()), ""SELECT Col2 WHERE Col2 IS NOT NULL ORDER BY Col1 DESC LIMIT 20"", 0) / QUERY(GOOGLEFINANCE(C134, ""low"", TODAY()-40, TODAY()), ""SELECT Col2 WHERE Col2 IS NOT NULL OR"&amp;"DER BY Col1 DESC LIMIT 20"", 0) - 1)))"),"#N/A")</f>
        <v>#N/A</v>
      </c>
      <c r="H134" s="35" t="str">
        <f t="shared" si="6"/>
        <v>Illiquid</v>
      </c>
      <c r="I134" s="36" t="str">
        <f t="shared" si="7"/>
        <v>RVol Required</v>
      </c>
      <c r="J134" s="37">
        <f>IFERROR(__xludf.DUMMYFUNCTION("IFERROR(
  IF(C134="""",, 
    IFERROR(
      GOOGLEFINANCE(C134, ""price"") * GOOGLEFINANCE(C134, ""volumeavg""), 
      GOOGLEFINANCE(C134, ""price"") * AVERAGE(QUERY(GOOGLEFINANCE(C134, ""volume"", TODAY()-40, TODAY()), ""SELECT Col2 WHERE Col2 IS NOT "&amp;"NULL ORDER BY Col1 DESC LIMIT 20"", 0))
    )
  ), 
"""")"),1.686817125E7)</f>
        <v>16868171.25</v>
      </c>
      <c r="K134" s="21">
        <f>IFERROR(__xludf.DUMMYFUNCTION("IFERROR(GOOGLEFINANCE(C134, ""changepct"") / 100, """")"),-0.0025)</f>
        <v>-0.0025</v>
      </c>
      <c r="L134" s="21" t="str">
        <f>IFERROR(__xludf.DUMMYFUNCTION("IFERROR((GOOGLEFINANCE(C134, ""price"") / INDEX(GOOGLEFINANCE(C134, ""price"", TODAY()-7, TODAY()), 2, 2)) - 1, """")"),"")</f>
        <v/>
      </c>
      <c r="M134" s="21" t="str">
        <f>IFERROR(__xludf.DUMMYFUNCTION("IFERROR((GOOGLEFINANCE(C134, ""price"") / INDEX(GOOGLEFINANCE(C134, ""price"", EDATE(TODAY(), -1), TODAY()), 2, 2)) - 1, """")"),"")</f>
        <v/>
      </c>
      <c r="N134" s="21" t="str">
        <f>IFERROR(__xludf.DUMMYFUNCTION("IFERROR((GOOGLEFINANCE(C134, ""price"") / INDEX(GOOGLEFINANCE(C134, ""price"", EDATE(TODAY(), -3), TODAY()), 2, 2)) - 1, """")"),"")</f>
        <v/>
      </c>
      <c r="O134" s="21" t="str">
        <f>IFERROR(__xludf.DUMMYFUNCTION("IFERROR((GOOGLEFINANCE(C134, ""price"") / INDEX(GOOGLEFINANCE(C134, ""price"", EDATE(TODAY(), -6), TODAY()), 2, 2)) - 1, """")"),"")</f>
        <v/>
      </c>
      <c r="P134" s="21" t="str">
        <f>IFERROR(__xludf.DUMMYFUNCTION("IFERROR((GOOGLEFINANCE(C134, ""price"") / INDEX(GOOGLEFINANCE(C134, ""price"", EDATE(TODAY(), -12), TODAY()), 2, 2)) - 1, """")"),"")</f>
        <v/>
      </c>
      <c r="Q134" s="6" t="str">
        <f>IFERROR(__xludf.DUMMYFUNCTION("AVERAGE(QUERY(GOOGLEFINANCE(C134, ""price"", TODAY()-80, TODAY()), ""SELECT Col2 WHERE Col2 IS NOT NULL ORDER BY Col1 DESC LIMIT 50"", 0))"),"#N/A")</f>
        <v>#N/A</v>
      </c>
      <c r="R134" s="24" t="str">
        <f>IFERROR(__xludf.DUMMYFUNCTION("IFERROR(
  LET(
    data, QUERY(GOOGLEFINANCE(C134,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GOOGLEFINANCE(C134, ""price"")) * 100,
    IF(calc=0, G134, calc)
  ), 
G134)"),"#N/A")</f>
        <v>#N/A</v>
      </c>
      <c r="S134" s="8" t="s">
        <v>15</v>
      </c>
      <c r="T134" s="26" t="str">
        <f>IFERROR(__xludf.DUMMYFUNCTION("IFERROR(TRANSPOSE(QUERY(IFERROR(SORT(GOOGLEFINANCE(C134, ""price"", WORKDAY(TODAY(), -40), TODAY()), 1, FALSE)), ""select Col2 where Col2 is not null limit 22 label Col2 ''"", 0)), """")"),"")</f>
        <v/>
      </c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8"/>
      <c r="AO134" s="28"/>
      <c r="AP134" s="29"/>
      <c r="AQ134" s="29" t="str">
        <f t="shared" ref="AQ134:BL134" si="137">T134/T$2</f>
        <v>#N/A</v>
      </c>
      <c r="AR134" s="29" t="str">
        <f t="shared" si="137"/>
        <v>#DIV/0!</v>
      </c>
      <c r="AS134" s="29" t="str">
        <f t="shared" si="137"/>
        <v>#DIV/0!</v>
      </c>
      <c r="AT134" s="29" t="str">
        <f t="shared" si="137"/>
        <v>#DIV/0!</v>
      </c>
      <c r="AU134" s="29" t="str">
        <f t="shared" si="137"/>
        <v>#DIV/0!</v>
      </c>
      <c r="AV134" s="29" t="str">
        <f t="shared" si="137"/>
        <v>#DIV/0!</v>
      </c>
      <c r="AW134" s="29" t="str">
        <f t="shared" si="137"/>
        <v>#DIV/0!</v>
      </c>
      <c r="AX134" s="29" t="str">
        <f t="shared" si="137"/>
        <v>#DIV/0!</v>
      </c>
      <c r="AY134" s="29" t="str">
        <f t="shared" si="137"/>
        <v>#DIV/0!</v>
      </c>
      <c r="AZ134" s="29" t="str">
        <f t="shared" si="137"/>
        <v>#DIV/0!</v>
      </c>
      <c r="BA134" s="29" t="str">
        <f t="shared" si="137"/>
        <v>#DIV/0!</v>
      </c>
      <c r="BB134" s="29" t="str">
        <f t="shared" si="137"/>
        <v>#DIV/0!</v>
      </c>
      <c r="BC134" s="29" t="str">
        <f t="shared" si="137"/>
        <v>#DIV/0!</v>
      </c>
      <c r="BD134" s="29" t="str">
        <f t="shared" si="137"/>
        <v>#DIV/0!</v>
      </c>
      <c r="BE134" s="29" t="str">
        <f t="shared" si="137"/>
        <v>#DIV/0!</v>
      </c>
      <c r="BF134" s="29" t="str">
        <f t="shared" si="137"/>
        <v>#DIV/0!</v>
      </c>
      <c r="BG134" s="29" t="str">
        <f t="shared" si="137"/>
        <v>#DIV/0!</v>
      </c>
      <c r="BH134" s="29" t="str">
        <f t="shared" si="137"/>
        <v>#DIV/0!</v>
      </c>
      <c r="BI134" s="29" t="str">
        <f t="shared" si="137"/>
        <v>#DIV/0!</v>
      </c>
      <c r="BJ134" s="29" t="str">
        <f t="shared" si="137"/>
        <v>#DIV/0!</v>
      </c>
      <c r="BK134" s="29" t="str">
        <f t="shared" si="137"/>
        <v>#DIV/0!</v>
      </c>
      <c r="BL134" s="29" t="str">
        <f t="shared" si="137"/>
        <v>#DIV/0!</v>
      </c>
      <c r="BM134" s="29" t="str">
        <f t="shared" si="3"/>
        <v>#DIV/0!</v>
      </c>
    </row>
    <row r="135">
      <c r="A135" s="16" t="str">
        <f>IFERROR(__xludf.DUMMYFUNCTION("IFERROR(SPARKLINE(SORT(MAP(TRANSPOSE(AQ135:BL135), LAMBDA(val, IF(ISNUMBER(val), PERCENTRANK(AQ135:BL135, val)+0.01, 0))), SEQUENCE(COLUMNS(AQ135:BL135)), FALSE), {""charttype"",""column""; ""color"",""chartreuse""; ""ymin"", 0; ""ymax"", 1.01; ""highcolo"&amp;"r"", ""darkgreen""; ""lowcolor"", ""red""}), """")"),"")</f>
        <v/>
      </c>
      <c r="B135" s="17" t="str">
        <f t="shared" si="4"/>
        <v/>
      </c>
      <c r="C135" s="1" t="s">
        <v>2579</v>
      </c>
      <c r="D135" s="30" t="str">
        <f>IFERROR(__xludf.DUMMYFUNCTION("IFERROR(GOOGLEFINANCE(C135, ""NAME""))"),"JBS NV")</f>
        <v>JBS NV</v>
      </c>
      <c r="E135" s="30" t="s">
        <v>2094</v>
      </c>
      <c r="F135" s="33" t="str">
        <f>IFERROR(__xludf.DUMMYFUNCTION("( (GOOGLEFINANCE(C135, ""price"") - Q135) / Q135 ) / (R135 / 100)"),"Loading...")</f>
        <v>Loading...</v>
      </c>
      <c r="G135" s="20" t="str">
        <f>IFERROR(__xludf.DUMMYFUNCTION("AVERAGE(ARRAYFORMULA(100 * (QUERY(GOOGLEFINANCE(C135, ""high"", TODAY()-40, TODAY()), ""SELECT Col2 WHERE Col2 IS NOT NULL ORDER BY Col1 DESC LIMIT 20"", 0) / QUERY(GOOGLEFINANCE(C135, ""low"", TODAY()-40, TODAY()), ""SELECT Col2 WHERE Col2 IS NOT NULL OR"&amp;"DER BY Col1 DESC LIMIT 20"", 0) - 1)))"),"#N/A")</f>
        <v>#N/A</v>
      </c>
      <c r="H135" s="35" t="str">
        <f t="shared" si="6"/>
        <v>Liquid</v>
      </c>
      <c r="I135" s="36" t="str">
        <f t="shared" si="7"/>
        <v>RVol Required</v>
      </c>
      <c r="J135" s="37">
        <f>IFERROR(__xludf.DUMMYFUNCTION("IFERROR(
  IF(C135="""",, 
    IFERROR(
      GOOGLEFINANCE(C135, ""price"") * GOOGLEFINANCE(C135, ""volumeavg""), 
      GOOGLEFINANCE(C135, ""price"") * AVERAGE(QUERY(GOOGLEFINANCE(C135, ""volume"", TODAY()-40, TODAY()), ""SELECT Col2 WHERE Col2 IS NOT "&amp;"NULL ORDER BY Col1 DESC LIMIT 20"", 0))
    )
  ), 
"""")"),7.335002657E7)</f>
        <v>73350026.57</v>
      </c>
      <c r="K135" s="21">
        <f>IFERROR(__xludf.DUMMYFUNCTION("IFERROR(GOOGLEFINANCE(C135, ""changepct"") / 100, """")"),0.024399999999999998)</f>
        <v>0.0244</v>
      </c>
      <c r="L135" s="21" t="str">
        <f>IFERROR(__xludf.DUMMYFUNCTION("IFERROR((GOOGLEFINANCE(C135, ""price"") / INDEX(GOOGLEFINANCE(C135, ""price"", TODAY()-7, TODAY()), 2, 2)) - 1, """")"),"")</f>
        <v/>
      </c>
      <c r="M135" s="21" t="str">
        <f>IFERROR(__xludf.DUMMYFUNCTION("IFERROR((GOOGLEFINANCE(C135, ""price"") / INDEX(GOOGLEFINANCE(C135, ""price"", EDATE(TODAY(), -1), TODAY()), 2, 2)) - 1, """")"),"")</f>
        <v/>
      </c>
      <c r="N135" s="21" t="str">
        <f>IFERROR(__xludf.DUMMYFUNCTION("IFERROR((GOOGLEFINANCE(C135, ""price"") / INDEX(GOOGLEFINANCE(C135, ""price"", EDATE(TODAY(), -3), TODAY()), 2, 2)) - 1, """")"),"")</f>
        <v/>
      </c>
      <c r="O135" s="21" t="str">
        <f>IFERROR(__xludf.DUMMYFUNCTION("IFERROR((GOOGLEFINANCE(C135, ""price"") / INDEX(GOOGLEFINANCE(C135, ""price"", EDATE(TODAY(), -6), TODAY()), 2, 2)) - 1, """")"),"")</f>
        <v/>
      </c>
      <c r="P135" s="21" t="str">
        <f>IFERROR(__xludf.DUMMYFUNCTION("IFERROR((GOOGLEFINANCE(C135, ""price"") / INDEX(GOOGLEFINANCE(C135, ""price"", EDATE(TODAY(), -12), TODAY()), 2, 2)) - 1, """")"),"")</f>
        <v/>
      </c>
      <c r="Q135" s="6" t="str">
        <f>IFERROR(__xludf.DUMMYFUNCTION("AVERAGE(QUERY(GOOGLEFINANCE(C135, ""price"", TODAY()-80, TODAY()), ""SELECT Col2 WHERE Col2 IS NOT NULL ORDER BY Col1 DESC LIMIT 50"", 0))"),"#N/A")</f>
        <v>#N/A</v>
      </c>
      <c r="R135" s="24" t="str">
        <f>IFERROR(__xludf.DUMMYFUNCTION("IFERROR(
  LET(
    data, QUERY(GOOGLEFINANCE(C135,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GOOGLEFINANCE(C135, ""price"")) * 100,
    IF(calc=0, G135, calc)
  ), 
G135)"),"#N/A")</f>
        <v>#N/A</v>
      </c>
      <c r="S135" s="8" t="s">
        <v>15</v>
      </c>
      <c r="T135" s="26" t="str">
        <f>IFERROR(__xludf.DUMMYFUNCTION("IFERROR(TRANSPOSE(QUERY(IFERROR(SORT(GOOGLEFINANCE(C135, ""price"", WORKDAY(TODAY(), -40), TODAY()), 1, FALSE)), ""select Col2 where Col2 is not null limit 22 label Col2 ''"", 0)), """")"),"")</f>
        <v/>
      </c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8"/>
      <c r="AO135" s="28"/>
      <c r="AP135" s="29"/>
      <c r="AQ135" s="29" t="str">
        <f t="shared" ref="AQ135:BL135" si="138">T135/T$2</f>
        <v>#N/A</v>
      </c>
      <c r="AR135" s="29" t="str">
        <f t="shared" si="138"/>
        <v>#DIV/0!</v>
      </c>
      <c r="AS135" s="29" t="str">
        <f t="shared" si="138"/>
        <v>#DIV/0!</v>
      </c>
      <c r="AT135" s="29" t="str">
        <f t="shared" si="138"/>
        <v>#DIV/0!</v>
      </c>
      <c r="AU135" s="29" t="str">
        <f t="shared" si="138"/>
        <v>#DIV/0!</v>
      </c>
      <c r="AV135" s="29" t="str">
        <f t="shared" si="138"/>
        <v>#DIV/0!</v>
      </c>
      <c r="AW135" s="29" t="str">
        <f t="shared" si="138"/>
        <v>#DIV/0!</v>
      </c>
      <c r="AX135" s="29" t="str">
        <f t="shared" si="138"/>
        <v>#DIV/0!</v>
      </c>
      <c r="AY135" s="29" t="str">
        <f t="shared" si="138"/>
        <v>#DIV/0!</v>
      </c>
      <c r="AZ135" s="29" t="str">
        <f t="shared" si="138"/>
        <v>#DIV/0!</v>
      </c>
      <c r="BA135" s="29" t="str">
        <f t="shared" si="138"/>
        <v>#DIV/0!</v>
      </c>
      <c r="BB135" s="29" t="str">
        <f t="shared" si="138"/>
        <v>#DIV/0!</v>
      </c>
      <c r="BC135" s="29" t="str">
        <f t="shared" si="138"/>
        <v>#DIV/0!</v>
      </c>
      <c r="BD135" s="29" t="str">
        <f t="shared" si="138"/>
        <v>#DIV/0!</v>
      </c>
      <c r="BE135" s="29" t="str">
        <f t="shared" si="138"/>
        <v>#DIV/0!</v>
      </c>
      <c r="BF135" s="29" t="str">
        <f t="shared" si="138"/>
        <v>#DIV/0!</v>
      </c>
      <c r="BG135" s="29" t="str">
        <f t="shared" si="138"/>
        <v>#DIV/0!</v>
      </c>
      <c r="BH135" s="29" t="str">
        <f t="shared" si="138"/>
        <v>#DIV/0!</v>
      </c>
      <c r="BI135" s="29" t="str">
        <f t="shared" si="138"/>
        <v>#DIV/0!</v>
      </c>
      <c r="BJ135" s="29" t="str">
        <f t="shared" si="138"/>
        <v>#DIV/0!</v>
      </c>
      <c r="BK135" s="29" t="str">
        <f t="shared" si="138"/>
        <v>#DIV/0!</v>
      </c>
      <c r="BL135" s="29" t="str">
        <f t="shared" si="138"/>
        <v>#DIV/0!</v>
      </c>
      <c r="BM135" s="29" t="str">
        <f t="shared" si="3"/>
        <v>#DIV/0!</v>
      </c>
    </row>
    <row r="136">
      <c r="A136" s="16" t="str">
        <f>IFERROR(__xludf.DUMMYFUNCTION("IFERROR(SPARKLINE(SORT(MAP(TRANSPOSE(AQ136:BL136), LAMBDA(val, IF(ISNUMBER(val), PERCENTRANK(AQ136:BL136, val)+0.01, 0))), SEQUENCE(COLUMNS(AQ136:BL136)), FALSE), {""charttype"",""column""; ""color"",""chartreuse""; ""ymin"", 0; ""ymax"", 1.01; ""highcolo"&amp;"r"", ""darkgreen""; ""lowcolor"", ""red""}), """")"),"")</f>
        <v/>
      </c>
      <c r="B136" s="17" t="str">
        <f t="shared" si="4"/>
        <v/>
      </c>
      <c r="C136" s="1" t="s">
        <v>2583</v>
      </c>
      <c r="D136" s="30" t="str">
        <f>IFERROR(__xludf.DUMMYFUNCTION("IFERROR(GOOGLEFINANCE(C136, ""NAME""))"),"Ingles Markets Inc")</f>
        <v>Ingles Markets Inc</v>
      </c>
      <c r="E136" s="30" t="s">
        <v>2063</v>
      </c>
      <c r="F136" s="33" t="str">
        <f>IFERROR(__xludf.DUMMYFUNCTION("( (GOOGLEFINANCE(C136, ""price"") - Q136) / Q136 ) / (R136 / 100)"),"Loading...")</f>
        <v>Loading...</v>
      </c>
      <c r="G136" s="20" t="str">
        <f>IFERROR(__xludf.DUMMYFUNCTION("AVERAGE(ARRAYFORMULA(100 * (QUERY(GOOGLEFINANCE(C136, ""high"", TODAY()-40, TODAY()), ""SELECT Col2 WHERE Col2 IS NOT NULL ORDER BY Col1 DESC LIMIT 20"", 0) / QUERY(GOOGLEFINANCE(C136, ""low"", TODAY()-40, TODAY()), ""SELECT Col2 WHERE Col2 IS NOT NULL OR"&amp;"DER BY Col1 DESC LIMIT 20"", 0) - 1)))"),"#N/A")</f>
        <v>#N/A</v>
      </c>
      <c r="H136" s="35" t="str">
        <f t="shared" si="6"/>
        <v>Illiquid</v>
      </c>
      <c r="I136" s="36" t="str">
        <f t="shared" si="7"/>
        <v>RVol Required</v>
      </c>
      <c r="J136" s="37">
        <f>IFERROR(__xludf.DUMMYFUNCTION("IFERROR(
  IF(C136="""",, 
    IFERROR(
      GOOGLEFINANCE(C136, ""price"") * GOOGLEFINANCE(C136, ""volumeavg""), 
      GOOGLEFINANCE(C136, ""price"") * AVERAGE(QUERY(GOOGLEFINANCE(C136, ""volume"", TODAY()-40, TODAY()), ""SELECT Col2 WHERE Col2 IS NOT "&amp;"NULL ORDER BY Col1 DESC LIMIT 20"", 0))
    )
  ), 
"""")"),9528173.200000001)</f>
        <v>9528173.2</v>
      </c>
      <c r="K136" s="21">
        <f>IFERROR(__xludf.DUMMYFUNCTION("IFERROR(GOOGLEFINANCE(C136, ""changepct"") / 100, """")"),-0.0038)</f>
        <v>-0.0038</v>
      </c>
      <c r="L136" s="21" t="str">
        <f>IFERROR(__xludf.DUMMYFUNCTION("IFERROR((GOOGLEFINANCE(C136, ""price"") / INDEX(GOOGLEFINANCE(C136, ""price"", TODAY()-7, TODAY()), 2, 2)) - 1, """")"),"")</f>
        <v/>
      </c>
      <c r="M136" s="21" t="str">
        <f>IFERROR(__xludf.DUMMYFUNCTION("IFERROR((GOOGLEFINANCE(C136, ""price"") / INDEX(GOOGLEFINANCE(C136, ""price"", EDATE(TODAY(), -1), TODAY()), 2, 2)) - 1, """")"),"")</f>
        <v/>
      </c>
      <c r="N136" s="21" t="str">
        <f>IFERROR(__xludf.DUMMYFUNCTION("IFERROR((GOOGLEFINANCE(C136, ""price"") / INDEX(GOOGLEFINANCE(C136, ""price"", EDATE(TODAY(), -3), TODAY()), 2, 2)) - 1, """")"),"")</f>
        <v/>
      </c>
      <c r="O136" s="21" t="str">
        <f>IFERROR(__xludf.DUMMYFUNCTION("IFERROR((GOOGLEFINANCE(C136, ""price"") / INDEX(GOOGLEFINANCE(C136, ""price"", EDATE(TODAY(), -6), TODAY()), 2, 2)) - 1, """")"),"")</f>
        <v/>
      </c>
      <c r="P136" s="21" t="str">
        <f>IFERROR(__xludf.DUMMYFUNCTION("IFERROR((GOOGLEFINANCE(C136, ""price"") / INDEX(GOOGLEFINANCE(C136, ""price"", EDATE(TODAY(), -12), TODAY()), 2, 2)) - 1, """")"),"")</f>
        <v/>
      </c>
      <c r="Q136" s="6" t="str">
        <f>IFERROR(__xludf.DUMMYFUNCTION("AVERAGE(QUERY(GOOGLEFINANCE(C136, ""price"", TODAY()-80, TODAY()), ""SELECT Col2 WHERE Col2 IS NOT NULL ORDER BY Col1 DESC LIMIT 50"", 0))"),"#N/A")</f>
        <v>#N/A</v>
      </c>
      <c r="R136" s="24" t="str">
        <f>IFERROR(__xludf.DUMMYFUNCTION("IFERROR(
  LET(
    data, QUERY(GOOGLEFINANCE(C136,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GOOGLEFINANCE(C136, ""price"")) * 100,
    IF(calc=0, G136, calc)
  ), 
G136)"),"#N/A")</f>
        <v>#N/A</v>
      </c>
      <c r="S136" s="8" t="s">
        <v>15</v>
      </c>
      <c r="T136" s="26" t="str">
        <f>IFERROR(__xludf.DUMMYFUNCTION("IFERROR(TRANSPOSE(QUERY(IFERROR(SORT(GOOGLEFINANCE(C136, ""price"", WORKDAY(TODAY(), -40), TODAY()), 1, FALSE)), ""select Col2 where Col2 is not null limit 22 label Col2 ''"", 0)), """")"),"")</f>
        <v/>
      </c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8"/>
      <c r="AO136" s="28"/>
      <c r="AP136" s="29"/>
      <c r="AQ136" s="29" t="str">
        <f t="shared" ref="AQ136:BL136" si="139">T136/T$2</f>
        <v>#N/A</v>
      </c>
      <c r="AR136" s="29" t="str">
        <f t="shared" si="139"/>
        <v>#DIV/0!</v>
      </c>
      <c r="AS136" s="29" t="str">
        <f t="shared" si="139"/>
        <v>#DIV/0!</v>
      </c>
      <c r="AT136" s="29" t="str">
        <f t="shared" si="139"/>
        <v>#DIV/0!</v>
      </c>
      <c r="AU136" s="29" t="str">
        <f t="shared" si="139"/>
        <v>#DIV/0!</v>
      </c>
      <c r="AV136" s="29" t="str">
        <f t="shared" si="139"/>
        <v>#DIV/0!</v>
      </c>
      <c r="AW136" s="29" t="str">
        <f t="shared" si="139"/>
        <v>#DIV/0!</v>
      </c>
      <c r="AX136" s="29" t="str">
        <f t="shared" si="139"/>
        <v>#DIV/0!</v>
      </c>
      <c r="AY136" s="29" t="str">
        <f t="shared" si="139"/>
        <v>#DIV/0!</v>
      </c>
      <c r="AZ136" s="29" t="str">
        <f t="shared" si="139"/>
        <v>#DIV/0!</v>
      </c>
      <c r="BA136" s="29" t="str">
        <f t="shared" si="139"/>
        <v>#DIV/0!</v>
      </c>
      <c r="BB136" s="29" t="str">
        <f t="shared" si="139"/>
        <v>#DIV/0!</v>
      </c>
      <c r="BC136" s="29" t="str">
        <f t="shared" si="139"/>
        <v>#DIV/0!</v>
      </c>
      <c r="BD136" s="29" t="str">
        <f t="shared" si="139"/>
        <v>#DIV/0!</v>
      </c>
      <c r="BE136" s="29" t="str">
        <f t="shared" si="139"/>
        <v>#DIV/0!</v>
      </c>
      <c r="BF136" s="29" t="str">
        <f t="shared" si="139"/>
        <v>#DIV/0!</v>
      </c>
      <c r="BG136" s="29" t="str">
        <f t="shared" si="139"/>
        <v>#DIV/0!</v>
      </c>
      <c r="BH136" s="29" t="str">
        <f t="shared" si="139"/>
        <v>#DIV/0!</v>
      </c>
      <c r="BI136" s="29" t="str">
        <f t="shared" si="139"/>
        <v>#DIV/0!</v>
      </c>
      <c r="BJ136" s="29" t="str">
        <f t="shared" si="139"/>
        <v>#DIV/0!</v>
      </c>
      <c r="BK136" s="29" t="str">
        <f t="shared" si="139"/>
        <v>#DIV/0!</v>
      </c>
      <c r="BL136" s="29" t="str">
        <f t="shared" si="139"/>
        <v>#DIV/0!</v>
      </c>
      <c r="BM136" s="29" t="str">
        <f t="shared" si="3"/>
        <v>#DIV/0!</v>
      </c>
    </row>
    <row r="137">
      <c r="A137" s="16" t="str">
        <f>IFERROR(__xludf.DUMMYFUNCTION("IFERROR(SPARKLINE(SORT(MAP(TRANSPOSE(AQ137:BL137), LAMBDA(val, IF(ISNUMBER(val), PERCENTRANK(AQ137:BL137, val)+0.01, 0))), SEQUENCE(COLUMNS(AQ137:BL137)), FALSE), {""charttype"",""column""; ""color"",""chartreuse""; ""ymin"", 0; ""ymax"", 1.01; ""highcolo"&amp;"r"", ""darkgreen""; ""lowcolor"", ""red""}), """")"),"")</f>
        <v/>
      </c>
      <c r="B137" s="17" t="str">
        <f t="shared" si="4"/>
        <v/>
      </c>
      <c r="C137" s="1" t="s">
        <v>2587</v>
      </c>
      <c r="D137" s="30" t="str">
        <f>IFERROR(__xludf.DUMMYFUNCTION("IFERROR(GOOGLEFINANCE(C137, ""NAME""))"),"Flowers Foods Inc")</f>
        <v>Flowers Foods Inc</v>
      </c>
      <c r="E137" s="30" t="s">
        <v>2094</v>
      </c>
      <c r="F137" s="33" t="str">
        <f>IFERROR(__xludf.DUMMYFUNCTION("( (GOOGLEFINANCE(C137, ""price"") - Q137) / Q137 ) / (R137 / 100)"),"Loading...")</f>
        <v>Loading...</v>
      </c>
      <c r="G137" s="20" t="str">
        <f>IFERROR(__xludf.DUMMYFUNCTION("AVERAGE(ARRAYFORMULA(100 * (QUERY(GOOGLEFINANCE(C137, ""high"", TODAY()-40, TODAY()), ""SELECT Col2 WHERE Col2 IS NOT NULL ORDER BY Col1 DESC LIMIT 20"", 0) / QUERY(GOOGLEFINANCE(C137, ""low"", TODAY()-40, TODAY()), ""SELECT Col2 WHERE Col2 IS NOT NULL OR"&amp;"DER BY Col1 DESC LIMIT 20"", 0) - 1)))"),"#N/A")</f>
        <v>#N/A</v>
      </c>
      <c r="H137" s="35" t="str">
        <f t="shared" si="6"/>
        <v>Illiquid</v>
      </c>
      <c r="I137" s="36" t="str">
        <f t="shared" si="7"/>
        <v>RVol Required</v>
      </c>
      <c r="J137" s="37">
        <f>IFERROR(__xludf.DUMMYFUNCTION("IFERROR(
  IF(C137="""",, 
    IFERROR(
      GOOGLEFINANCE(C137, ""price"") * GOOGLEFINANCE(C137, ""volumeavg""), 
      GOOGLEFINANCE(C137, ""price"") * AVERAGE(QUERY(GOOGLEFINANCE(C137, ""volume"", TODAY()-40, TODAY()), ""SELECT Col2 WHERE Col2 IS NOT "&amp;"NULL ORDER BY Col1 DESC LIMIT 20"", 0))
    )
  ), 
"""")"),4.7505653260000005E7)</f>
        <v>47505653.26</v>
      </c>
      <c r="K137" s="21">
        <f>IFERROR(__xludf.DUMMYFUNCTION("IFERROR(GOOGLEFINANCE(C137, ""changepct"") / 100, """")"),-0.0016)</f>
        <v>-0.0016</v>
      </c>
      <c r="L137" s="21" t="str">
        <f>IFERROR(__xludf.DUMMYFUNCTION("IFERROR((GOOGLEFINANCE(C137, ""price"") / INDEX(GOOGLEFINANCE(C137, ""price"", TODAY()-7, TODAY()), 2, 2)) - 1, """")"),"")</f>
        <v/>
      </c>
      <c r="M137" s="21" t="str">
        <f>IFERROR(__xludf.DUMMYFUNCTION("IFERROR((GOOGLEFINANCE(C137, ""price"") / INDEX(GOOGLEFINANCE(C137, ""price"", EDATE(TODAY(), -1), TODAY()), 2, 2)) - 1, """")"),"")</f>
        <v/>
      </c>
      <c r="N137" s="21" t="str">
        <f>IFERROR(__xludf.DUMMYFUNCTION("IFERROR((GOOGLEFINANCE(C137, ""price"") / INDEX(GOOGLEFINANCE(C137, ""price"", EDATE(TODAY(), -3), TODAY()), 2, 2)) - 1, """")"),"")</f>
        <v/>
      </c>
      <c r="O137" s="21" t="str">
        <f>IFERROR(__xludf.DUMMYFUNCTION("IFERROR((GOOGLEFINANCE(C137, ""price"") / INDEX(GOOGLEFINANCE(C137, ""price"", EDATE(TODAY(), -6), TODAY()), 2, 2)) - 1, """")"),"")</f>
        <v/>
      </c>
      <c r="P137" s="21" t="str">
        <f>IFERROR(__xludf.DUMMYFUNCTION("IFERROR((GOOGLEFINANCE(C137, ""price"") / INDEX(GOOGLEFINANCE(C137, ""price"", EDATE(TODAY(), -12), TODAY()), 2, 2)) - 1, """")"),"")</f>
        <v/>
      </c>
      <c r="Q137" s="6" t="str">
        <f>IFERROR(__xludf.DUMMYFUNCTION("AVERAGE(QUERY(GOOGLEFINANCE(C137, ""price"", TODAY()-80, TODAY()), ""SELECT Col2 WHERE Col2 IS NOT NULL ORDER BY Col1 DESC LIMIT 50"", 0))"),"#N/A")</f>
        <v>#N/A</v>
      </c>
      <c r="R137" s="24" t="str">
        <f>IFERROR(__xludf.DUMMYFUNCTION("IFERROR(
  LET(
    data, QUERY(GOOGLEFINANCE(C137,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GOOGLEFINANCE(C137, ""price"")) * 100,
    IF(calc=0, G137, calc)
  ), 
G137)"),"#N/A")</f>
        <v>#N/A</v>
      </c>
      <c r="S137" s="8" t="s">
        <v>15</v>
      </c>
      <c r="T137" s="26" t="str">
        <f>IFERROR(__xludf.DUMMYFUNCTION("IFERROR(TRANSPOSE(QUERY(IFERROR(SORT(GOOGLEFINANCE(C137, ""price"", WORKDAY(TODAY(), -40), TODAY()), 1, FALSE)), ""select Col2 where Col2 is not null limit 22 label Col2 ''"", 0)), """")"),"")</f>
        <v/>
      </c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8"/>
      <c r="AO137" s="28"/>
      <c r="AP137" s="29"/>
      <c r="AQ137" s="29" t="str">
        <f t="shared" ref="AQ137:BL137" si="140">T137/T$2</f>
        <v>#N/A</v>
      </c>
      <c r="AR137" s="29" t="str">
        <f t="shared" si="140"/>
        <v>#DIV/0!</v>
      </c>
      <c r="AS137" s="29" t="str">
        <f t="shared" si="140"/>
        <v>#DIV/0!</v>
      </c>
      <c r="AT137" s="29" t="str">
        <f t="shared" si="140"/>
        <v>#DIV/0!</v>
      </c>
      <c r="AU137" s="29" t="str">
        <f t="shared" si="140"/>
        <v>#DIV/0!</v>
      </c>
      <c r="AV137" s="29" t="str">
        <f t="shared" si="140"/>
        <v>#DIV/0!</v>
      </c>
      <c r="AW137" s="29" t="str">
        <f t="shared" si="140"/>
        <v>#DIV/0!</v>
      </c>
      <c r="AX137" s="29" t="str">
        <f t="shared" si="140"/>
        <v>#DIV/0!</v>
      </c>
      <c r="AY137" s="29" t="str">
        <f t="shared" si="140"/>
        <v>#DIV/0!</v>
      </c>
      <c r="AZ137" s="29" t="str">
        <f t="shared" si="140"/>
        <v>#DIV/0!</v>
      </c>
      <c r="BA137" s="29" t="str">
        <f t="shared" si="140"/>
        <v>#DIV/0!</v>
      </c>
      <c r="BB137" s="29" t="str">
        <f t="shared" si="140"/>
        <v>#DIV/0!</v>
      </c>
      <c r="BC137" s="29" t="str">
        <f t="shared" si="140"/>
        <v>#DIV/0!</v>
      </c>
      <c r="BD137" s="29" t="str">
        <f t="shared" si="140"/>
        <v>#DIV/0!</v>
      </c>
      <c r="BE137" s="29" t="str">
        <f t="shared" si="140"/>
        <v>#DIV/0!</v>
      </c>
      <c r="BF137" s="29" t="str">
        <f t="shared" si="140"/>
        <v>#DIV/0!</v>
      </c>
      <c r="BG137" s="29" t="str">
        <f t="shared" si="140"/>
        <v>#DIV/0!</v>
      </c>
      <c r="BH137" s="29" t="str">
        <f t="shared" si="140"/>
        <v>#DIV/0!</v>
      </c>
      <c r="BI137" s="29" t="str">
        <f t="shared" si="140"/>
        <v>#DIV/0!</v>
      </c>
      <c r="BJ137" s="29" t="str">
        <f t="shared" si="140"/>
        <v>#DIV/0!</v>
      </c>
      <c r="BK137" s="29" t="str">
        <f t="shared" si="140"/>
        <v>#DIV/0!</v>
      </c>
      <c r="BL137" s="29" t="str">
        <f t="shared" si="140"/>
        <v>#DIV/0!</v>
      </c>
      <c r="BM137" s="29" t="str">
        <f t="shared" si="3"/>
        <v>#DIV/0!</v>
      </c>
    </row>
    <row r="138">
      <c r="A138" s="16" t="str">
        <f>IFERROR(__xludf.DUMMYFUNCTION("IFERROR(SPARKLINE(SORT(MAP(TRANSPOSE(AQ138:BL138), LAMBDA(val, IF(ISNUMBER(val), PERCENTRANK(AQ138:BL138, val)+0.01, 0))), SEQUENCE(COLUMNS(AQ138:BL138)), FALSE), {""charttype"",""column""; ""color"",""chartreuse""; ""ymin"", 0; ""ymax"", 1.01; ""highcolo"&amp;"r"", ""darkgreen""; ""lowcolor"", ""red""}), """")"),"")</f>
        <v/>
      </c>
      <c r="B138" s="17" t="str">
        <f t="shared" si="4"/>
        <v/>
      </c>
      <c r="C138" s="1" t="s">
        <v>2589</v>
      </c>
      <c r="D138" s="30" t="str">
        <f>IFERROR(__xludf.DUMMYFUNCTION("IFERROR(GOOGLEFINANCE(C138, ""NAME""))"),"Edgewell Personal Care Co")</f>
        <v>Edgewell Personal Care Co</v>
      </c>
      <c r="E138" s="30" t="s">
        <v>2132</v>
      </c>
      <c r="F138" s="33" t="str">
        <f>IFERROR(__xludf.DUMMYFUNCTION("( (GOOGLEFINANCE(C138, ""price"") - Q138) / Q138 ) / (R138 / 100)"),"Loading...")</f>
        <v>Loading...</v>
      </c>
      <c r="G138" s="20" t="str">
        <f>IFERROR(__xludf.DUMMYFUNCTION("AVERAGE(ARRAYFORMULA(100 * (QUERY(GOOGLEFINANCE(C138, ""high"", TODAY()-40, TODAY()), ""SELECT Col2 WHERE Col2 IS NOT NULL ORDER BY Col1 DESC LIMIT 20"", 0) / QUERY(GOOGLEFINANCE(C138, ""low"", TODAY()-40, TODAY()), ""SELECT Col2 WHERE Col2 IS NOT NULL OR"&amp;"DER BY Col1 DESC LIMIT 20"", 0) - 1)))"),"#N/A")</f>
        <v>#N/A</v>
      </c>
      <c r="H138" s="35" t="str">
        <f t="shared" si="6"/>
        <v>Illiquid</v>
      </c>
      <c r="I138" s="36" t="str">
        <f t="shared" si="7"/>
        <v>RVol Required</v>
      </c>
      <c r="J138" s="37">
        <f>IFERROR(__xludf.DUMMYFUNCTION("IFERROR(
  IF(C138="""",, 
    IFERROR(
      GOOGLEFINANCE(C138, ""price"") * GOOGLEFINANCE(C138, ""volumeavg""), 
      GOOGLEFINANCE(C138, ""price"") * AVERAGE(QUERY(GOOGLEFINANCE(C138, ""volume"", TODAY()-40, TODAY()), ""SELECT Col2 WHERE Col2 IS NOT "&amp;"NULL ORDER BY Col1 DESC LIMIT 20"", 0))
    )
  ), 
"""")"),1.602212624E7)</f>
        <v>16022126.24</v>
      </c>
      <c r="K138" s="21">
        <f>IFERROR(__xludf.DUMMYFUNCTION("IFERROR(GOOGLEFINANCE(C138, ""changepct"") / 100, """")"),-0.0068000000000000005)</f>
        <v>-0.0068</v>
      </c>
      <c r="L138" s="21" t="str">
        <f>IFERROR(__xludf.DUMMYFUNCTION("IFERROR((GOOGLEFINANCE(C138, ""price"") / INDEX(GOOGLEFINANCE(C138, ""price"", TODAY()-7, TODAY()), 2, 2)) - 1, """")"),"")</f>
        <v/>
      </c>
      <c r="M138" s="21" t="str">
        <f>IFERROR(__xludf.DUMMYFUNCTION("IFERROR((GOOGLEFINANCE(C138, ""price"") / INDEX(GOOGLEFINANCE(C138, ""price"", EDATE(TODAY(), -1), TODAY()), 2, 2)) - 1, """")"),"")</f>
        <v/>
      </c>
      <c r="N138" s="21" t="str">
        <f>IFERROR(__xludf.DUMMYFUNCTION("IFERROR((GOOGLEFINANCE(C138, ""price"") / INDEX(GOOGLEFINANCE(C138, ""price"", EDATE(TODAY(), -3), TODAY()), 2, 2)) - 1, """")"),"")</f>
        <v/>
      </c>
      <c r="O138" s="21" t="str">
        <f>IFERROR(__xludf.DUMMYFUNCTION("IFERROR((GOOGLEFINANCE(C138, ""price"") / INDEX(GOOGLEFINANCE(C138, ""price"", EDATE(TODAY(), -6), TODAY()), 2, 2)) - 1, """")"),"")</f>
        <v/>
      </c>
      <c r="P138" s="21" t="str">
        <f>IFERROR(__xludf.DUMMYFUNCTION("IFERROR((GOOGLEFINANCE(C138, ""price"") / INDEX(GOOGLEFINANCE(C138, ""price"", EDATE(TODAY(), -12), TODAY()), 2, 2)) - 1, """")"),"")</f>
        <v/>
      </c>
      <c r="Q138" s="6" t="str">
        <f>IFERROR(__xludf.DUMMYFUNCTION("AVERAGE(QUERY(GOOGLEFINANCE(C138, ""price"", TODAY()-80, TODAY()), ""SELECT Col2 WHERE Col2 IS NOT NULL ORDER BY Col1 DESC LIMIT 50"", 0))"),"#N/A")</f>
        <v>#N/A</v>
      </c>
      <c r="R138" s="24" t="str">
        <f>IFERROR(__xludf.DUMMYFUNCTION("IFERROR(
  LET(
    data, QUERY(GOOGLEFINANCE(C138,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GOOGLEFINANCE(C138, ""price"")) * 100,
    IF(calc=0, G138, calc)
  ), 
G138)"),"#N/A")</f>
        <v>#N/A</v>
      </c>
      <c r="S138" s="8" t="s">
        <v>15</v>
      </c>
      <c r="T138" s="26" t="str">
        <f>IFERROR(__xludf.DUMMYFUNCTION("IFERROR(TRANSPOSE(QUERY(IFERROR(SORT(GOOGLEFINANCE(C138, ""price"", WORKDAY(TODAY(), -40), TODAY()), 1, FALSE)), ""select Col2 where Col2 is not null limit 22 label Col2 ''"", 0)), """")"),"")</f>
        <v/>
      </c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8"/>
      <c r="AO138" s="28"/>
      <c r="AP138" s="29"/>
      <c r="AQ138" s="29" t="str">
        <f t="shared" ref="AQ138:BL138" si="141">T138/T$2</f>
        <v>#N/A</v>
      </c>
      <c r="AR138" s="29" t="str">
        <f t="shared" si="141"/>
        <v>#DIV/0!</v>
      </c>
      <c r="AS138" s="29" t="str">
        <f t="shared" si="141"/>
        <v>#DIV/0!</v>
      </c>
      <c r="AT138" s="29" t="str">
        <f t="shared" si="141"/>
        <v>#DIV/0!</v>
      </c>
      <c r="AU138" s="29" t="str">
        <f t="shared" si="141"/>
        <v>#DIV/0!</v>
      </c>
      <c r="AV138" s="29" t="str">
        <f t="shared" si="141"/>
        <v>#DIV/0!</v>
      </c>
      <c r="AW138" s="29" t="str">
        <f t="shared" si="141"/>
        <v>#DIV/0!</v>
      </c>
      <c r="AX138" s="29" t="str">
        <f t="shared" si="141"/>
        <v>#DIV/0!</v>
      </c>
      <c r="AY138" s="29" t="str">
        <f t="shared" si="141"/>
        <v>#DIV/0!</v>
      </c>
      <c r="AZ138" s="29" t="str">
        <f t="shared" si="141"/>
        <v>#DIV/0!</v>
      </c>
      <c r="BA138" s="29" t="str">
        <f t="shared" si="141"/>
        <v>#DIV/0!</v>
      </c>
      <c r="BB138" s="29" t="str">
        <f t="shared" si="141"/>
        <v>#DIV/0!</v>
      </c>
      <c r="BC138" s="29" t="str">
        <f t="shared" si="141"/>
        <v>#DIV/0!</v>
      </c>
      <c r="BD138" s="29" t="str">
        <f t="shared" si="141"/>
        <v>#DIV/0!</v>
      </c>
      <c r="BE138" s="29" t="str">
        <f t="shared" si="141"/>
        <v>#DIV/0!</v>
      </c>
      <c r="BF138" s="29" t="str">
        <f t="shared" si="141"/>
        <v>#DIV/0!</v>
      </c>
      <c r="BG138" s="29" t="str">
        <f t="shared" si="141"/>
        <v>#DIV/0!</v>
      </c>
      <c r="BH138" s="29" t="str">
        <f t="shared" si="141"/>
        <v>#DIV/0!</v>
      </c>
      <c r="BI138" s="29" t="str">
        <f t="shared" si="141"/>
        <v>#DIV/0!</v>
      </c>
      <c r="BJ138" s="29" t="str">
        <f t="shared" si="141"/>
        <v>#DIV/0!</v>
      </c>
      <c r="BK138" s="29" t="str">
        <f t="shared" si="141"/>
        <v>#DIV/0!</v>
      </c>
      <c r="BL138" s="29" t="str">
        <f t="shared" si="141"/>
        <v>#DIV/0!</v>
      </c>
      <c r="BM138" s="29" t="str">
        <f t="shared" si="3"/>
        <v>#DIV/0!</v>
      </c>
    </row>
    <row r="139">
      <c r="A139" s="16" t="str">
        <f>IFERROR(__xludf.DUMMYFUNCTION("IFERROR(SPARKLINE(SORT(MAP(TRANSPOSE(AQ139:BL139), LAMBDA(val, IF(ISNUMBER(val), PERCENTRANK(AQ139:BL139, val)+0.01, 0))), SEQUENCE(COLUMNS(AQ139:BL139)), FALSE), {""charttype"",""column""; ""color"",""chartreuse""; ""ymin"", 0; ""ymax"", 1.01; ""highcolo"&amp;"r"", ""darkgreen""; ""lowcolor"", ""red""}), """")"),"")</f>
        <v/>
      </c>
      <c r="B139" s="17" t="str">
        <f t="shared" si="4"/>
        <v/>
      </c>
      <c r="C139" s="1" t="s">
        <v>2592</v>
      </c>
      <c r="D139" s="30" t="str">
        <f>IFERROR(__xludf.DUMMYFUNCTION("IFERROR(GOOGLEFINANCE(C139, ""NAME""))"),"Dole PLC")</f>
        <v>Dole PLC</v>
      </c>
      <c r="E139" s="30" t="s">
        <v>2115</v>
      </c>
      <c r="F139" s="33" t="str">
        <f>IFERROR(__xludf.DUMMYFUNCTION("( (GOOGLEFINANCE(C139, ""price"") - Q139) / Q139 ) / (R139 / 100)"),"Loading...")</f>
        <v>Loading...</v>
      </c>
      <c r="G139" s="20" t="str">
        <f>IFERROR(__xludf.DUMMYFUNCTION("AVERAGE(ARRAYFORMULA(100 * (QUERY(GOOGLEFINANCE(C139, ""high"", TODAY()-40, TODAY()), ""SELECT Col2 WHERE Col2 IS NOT NULL ORDER BY Col1 DESC LIMIT 20"", 0) / QUERY(GOOGLEFINANCE(C139, ""low"", TODAY()-40, TODAY()), ""SELECT Col2 WHERE Col2 IS NOT NULL OR"&amp;"DER BY Col1 DESC LIMIT 20"", 0) - 1)))"),"#N/A")</f>
        <v>#N/A</v>
      </c>
      <c r="H139" s="35" t="str">
        <f t="shared" si="6"/>
        <v>Illiquid</v>
      </c>
      <c r="I139" s="36" t="str">
        <f t="shared" si="7"/>
        <v>RVol Required</v>
      </c>
      <c r="J139" s="37">
        <f>IFERROR(__xludf.DUMMYFUNCTION("IFERROR(
  IF(C139="""",, 
    IFERROR(
      GOOGLEFINANCE(C139, ""price"") * GOOGLEFINANCE(C139, ""volumeavg""), 
      GOOGLEFINANCE(C139, ""price"") * AVERAGE(QUERY(GOOGLEFINANCE(C139, ""volume"", TODAY()-40, TODAY()), ""SELECT Col2 WHERE Col2 IS NOT "&amp;"NULL ORDER BY Col1 DESC LIMIT 20"", 0))
    )
  ), 
"""")"),1.24098443E7)</f>
        <v>12409844.3</v>
      </c>
      <c r="K139" s="21">
        <f>IFERROR(__xludf.DUMMYFUNCTION("IFERROR(GOOGLEFINANCE(C139, ""changepct"") / 100, """")"),-0.008199999999999999)</f>
        <v>-0.0082</v>
      </c>
      <c r="L139" s="21" t="str">
        <f>IFERROR(__xludf.DUMMYFUNCTION("IFERROR((GOOGLEFINANCE(C139, ""price"") / INDEX(GOOGLEFINANCE(C139, ""price"", TODAY()-7, TODAY()), 2, 2)) - 1, """")"),"")</f>
        <v/>
      </c>
      <c r="M139" s="21" t="str">
        <f>IFERROR(__xludf.DUMMYFUNCTION("IFERROR((GOOGLEFINANCE(C139, ""price"") / INDEX(GOOGLEFINANCE(C139, ""price"", EDATE(TODAY(), -1), TODAY()), 2, 2)) - 1, """")"),"")</f>
        <v/>
      </c>
      <c r="N139" s="21" t="str">
        <f>IFERROR(__xludf.DUMMYFUNCTION("IFERROR((GOOGLEFINANCE(C139, ""price"") / INDEX(GOOGLEFINANCE(C139, ""price"", EDATE(TODAY(), -3), TODAY()), 2, 2)) - 1, """")"),"")</f>
        <v/>
      </c>
      <c r="O139" s="21" t="str">
        <f>IFERROR(__xludf.DUMMYFUNCTION("IFERROR((GOOGLEFINANCE(C139, ""price"") / INDEX(GOOGLEFINANCE(C139, ""price"", EDATE(TODAY(), -6), TODAY()), 2, 2)) - 1, """")"),"")</f>
        <v/>
      </c>
      <c r="P139" s="21" t="str">
        <f>IFERROR(__xludf.DUMMYFUNCTION("IFERROR((GOOGLEFINANCE(C139, ""price"") / INDEX(GOOGLEFINANCE(C139, ""price"", EDATE(TODAY(), -12), TODAY()), 2, 2)) - 1, """")"),"")</f>
        <v/>
      </c>
      <c r="Q139" s="6" t="str">
        <f>IFERROR(__xludf.DUMMYFUNCTION("AVERAGE(QUERY(GOOGLEFINANCE(C139, ""price"", TODAY()-80, TODAY()), ""SELECT Col2 WHERE Col2 IS NOT NULL ORDER BY Col1 DESC LIMIT 50"", 0))"),"#N/A")</f>
        <v>#N/A</v>
      </c>
      <c r="R139" s="24" t="str">
        <f>IFERROR(__xludf.DUMMYFUNCTION("IFERROR(
  LET(
    data, QUERY(GOOGLEFINANCE(C139,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GOOGLEFINANCE(C139, ""price"")) * 100,
    IF(calc=0, G139, calc)
  ), 
G139)"),"#N/A")</f>
        <v>#N/A</v>
      </c>
      <c r="S139" s="8" t="s">
        <v>15</v>
      </c>
      <c r="T139" s="26" t="str">
        <f>IFERROR(__xludf.DUMMYFUNCTION("IFERROR(TRANSPOSE(QUERY(IFERROR(SORT(GOOGLEFINANCE(C139, ""price"", WORKDAY(TODAY(), -40), TODAY()), 1, FALSE)), ""select Col2 where Col2 is not null limit 22 label Col2 ''"", 0)), """")"),"")</f>
        <v/>
      </c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8"/>
      <c r="AO139" s="28"/>
      <c r="AP139" s="29"/>
      <c r="AQ139" s="29" t="str">
        <f t="shared" ref="AQ139:BL139" si="142">T139/T$2</f>
        <v>#N/A</v>
      </c>
      <c r="AR139" s="29" t="str">
        <f t="shared" si="142"/>
        <v>#DIV/0!</v>
      </c>
      <c r="AS139" s="29" t="str">
        <f t="shared" si="142"/>
        <v>#DIV/0!</v>
      </c>
      <c r="AT139" s="29" t="str">
        <f t="shared" si="142"/>
        <v>#DIV/0!</v>
      </c>
      <c r="AU139" s="29" t="str">
        <f t="shared" si="142"/>
        <v>#DIV/0!</v>
      </c>
      <c r="AV139" s="29" t="str">
        <f t="shared" si="142"/>
        <v>#DIV/0!</v>
      </c>
      <c r="AW139" s="29" t="str">
        <f t="shared" si="142"/>
        <v>#DIV/0!</v>
      </c>
      <c r="AX139" s="29" t="str">
        <f t="shared" si="142"/>
        <v>#DIV/0!</v>
      </c>
      <c r="AY139" s="29" t="str">
        <f t="shared" si="142"/>
        <v>#DIV/0!</v>
      </c>
      <c r="AZ139" s="29" t="str">
        <f t="shared" si="142"/>
        <v>#DIV/0!</v>
      </c>
      <c r="BA139" s="29" t="str">
        <f t="shared" si="142"/>
        <v>#DIV/0!</v>
      </c>
      <c r="BB139" s="29" t="str">
        <f t="shared" si="142"/>
        <v>#DIV/0!</v>
      </c>
      <c r="BC139" s="29" t="str">
        <f t="shared" si="142"/>
        <v>#DIV/0!</v>
      </c>
      <c r="BD139" s="29" t="str">
        <f t="shared" si="142"/>
        <v>#DIV/0!</v>
      </c>
      <c r="BE139" s="29" t="str">
        <f t="shared" si="142"/>
        <v>#DIV/0!</v>
      </c>
      <c r="BF139" s="29" t="str">
        <f t="shared" si="142"/>
        <v>#DIV/0!</v>
      </c>
      <c r="BG139" s="29" t="str">
        <f t="shared" si="142"/>
        <v>#DIV/0!</v>
      </c>
      <c r="BH139" s="29" t="str">
        <f t="shared" si="142"/>
        <v>#DIV/0!</v>
      </c>
      <c r="BI139" s="29" t="str">
        <f t="shared" si="142"/>
        <v>#DIV/0!</v>
      </c>
      <c r="BJ139" s="29" t="str">
        <f t="shared" si="142"/>
        <v>#DIV/0!</v>
      </c>
      <c r="BK139" s="29" t="str">
        <f t="shared" si="142"/>
        <v>#DIV/0!</v>
      </c>
      <c r="BL139" s="29" t="str">
        <f t="shared" si="142"/>
        <v>#DIV/0!</v>
      </c>
      <c r="BM139" s="29" t="str">
        <f t="shared" si="3"/>
        <v>#DIV/0!</v>
      </c>
    </row>
    <row r="140">
      <c r="A140" s="16" t="str">
        <f>IFERROR(__xludf.DUMMYFUNCTION("IFERROR(SPARKLINE(SORT(MAP(TRANSPOSE(AQ140:BL140), LAMBDA(val, IF(ISNUMBER(val), PERCENTRANK(AQ140:BL140, val)+0.01, 0))), SEQUENCE(COLUMNS(AQ140:BL140)), FALSE), {""charttype"",""column""; ""color"",""chartreuse""; ""ymin"", 0; ""ymax"", 1.01; ""highcolo"&amp;"r"", ""darkgreen""; ""lowcolor"", ""red""}), """")"),"")</f>
        <v/>
      </c>
      <c r="B140" s="17" t="str">
        <f t="shared" si="4"/>
        <v/>
      </c>
      <c r="C140" s="1" t="s">
        <v>2595</v>
      </c>
      <c r="D140" s="30" t="str">
        <f>IFERROR(__xludf.DUMMYFUNCTION("IFERROR(GOOGLEFINANCE(C140, ""NAME""))"),"Krispy Kreme Inc")</f>
        <v>Krispy Kreme Inc</v>
      </c>
      <c r="E140" s="30" t="s">
        <v>2063</v>
      </c>
      <c r="F140" s="33" t="str">
        <f>IFERROR(__xludf.DUMMYFUNCTION("( (GOOGLEFINANCE(C140, ""price"") - Q140) / Q140 ) / (R140 / 100)"),"Loading...")</f>
        <v>Loading...</v>
      </c>
      <c r="G140" s="20" t="str">
        <f>IFERROR(__xludf.DUMMYFUNCTION("AVERAGE(ARRAYFORMULA(100 * (QUERY(GOOGLEFINANCE(C140, ""high"", TODAY()-40, TODAY()), ""SELECT Col2 WHERE Col2 IS NOT NULL ORDER BY Col1 DESC LIMIT 20"", 0) / QUERY(GOOGLEFINANCE(C140, ""low"", TODAY()-40, TODAY()), ""SELECT Col2 WHERE Col2 IS NOT NULL OR"&amp;"DER BY Col1 DESC LIMIT 20"", 0) - 1)))"),"#N/A")</f>
        <v>#N/A</v>
      </c>
      <c r="H140" s="35" t="str">
        <f t="shared" si="6"/>
        <v>Illiquid</v>
      </c>
      <c r="I140" s="36" t="str">
        <f t="shared" si="7"/>
        <v>RVol Required</v>
      </c>
      <c r="J140" s="37">
        <f>IFERROR(__xludf.DUMMYFUNCTION("IFERROR(
  IF(C140="""",, 
    IFERROR(
      GOOGLEFINANCE(C140, ""price"") * GOOGLEFINANCE(C140, ""volumeavg""), 
      GOOGLEFINANCE(C140, ""price"") * AVERAGE(QUERY(GOOGLEFINANCE(C140, ""volume"", TODAY()-40, TODAY()), ""SELECT Col2 WHERE Col2 IS NOT "&amp;"NULL ORDER BY Col1 DESC LIMIT 20"", 0))
    )
  ), 
"""")"),6143081.66)</f>
        <v>6143081.66</v>
      </c>
      <c r="K140" s="21">
        <f>IFERROR(__xludf.DUMMYFUNCTION("IFERROR(GOOGLEFINANCE(C140, ""changepct"") / 100, """")"),-0.0258)</f>
        <v>-0.0258</v>
      </c>
      <c r="L140" s="21" t="str">
        <f>IFERROR(__xludf.DUMMYFUNCTION("IFERROR((GOOGLEFINANCE(C140, ""price"") / INDEX(GOOGLEFINANCE(C140, ""price"", TODAY()-7, TODAY()), 2, 2)) - 1, """")"),"")</f>
        <v/>
      </c>
      <c r="M140" s="21" t="str">
        <f>IFERROR(__xludf.DUMMYFUNCTION("IFERROR((GOOGLEFINANCE(C140, ""price"") / INDEX(GOOGLEFINANCE(C140, ""price"", EDATE(TODAY(), -1), TODAY()), 2, 2)) - 1, """")"),"")</f>
        <v/>
      </c>
      <c r="N140" s="21" t="str">
        <f>IFERROR(__xludf.DUMMYFUNCTION("IFERROR((GOOGLEFINANCE(C140, ""price"") / INDEX(GOOGLEFINANCE(C140, ""price"", EDATE(TODAY(), -3), TODAY()), 2, 2)) - 1, """")"),"")</f>
        <v/>
      </c>
      <c r="O140" s="21" t="str">
        <f>IFERROR(__xludf.DUMMYFUNCTION("IFERROR((GOOGLEFINANCE(C140, ""price"") / INDEX(GOOGLEFINANCE(C140, ""price"", EDATE(TODAY(), -6), TODAY()), 2, 2)) - 1, """")"),"")</f>
        <v/>
      </c>
      <c r="P140" s="21" t="str">
        <f>IFERROR(__xludf.DUMMYFUNCTION("IFERROR((GOOGLEFINANCE(C140, ""price"") / INDEX(GOOGLEFINANCE(C140, ""price"", EDATE(TODAY(), -12), TODAY()), 2, 2)) - 1, """")"),"")</f>
        <v/>
      </c>
      <c r="Q140" s="6" t="str">
        <f>IFERROR(__xludf.DUMMYFUNCTION("AVERAGE(QUERY(GOOGLEFINANCE(C140, ""price"", TODAY()-80, TODAY()), ""SELECT Col2 WHERE Col2 IS NOT NULL ORDER BY Col1 DESC LIMIT 50"", 0))"),"#N/A")</f>
        <v>#N/A</v>
      </c>
      <c r="R140" s="24" t="str">
        <f>IFERROR(__xludf.DUMMYFUNCTION("IFERROR(
  LET(
    data, QUERY(GOOGLEFINANCE(C140,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GOOGLEFINANCE(C140, ""price"")) * 100,
    IF(calc=0, G140, calc)
  ), 
G140)"),"#N/A")</f>
        <v>#N/A</v>
      </c>
      <c r="S140" s="8" t="s">
        <v>15</v>
      </c>
      <c r="T140" s="26" t="str">
        <f>IFERROR(__xludf.DUMMYFUNCTION("IFERROR(TRANSPOSE(QUERY(IFERROR(SORT(GOOGLEFINANCE(C140, ""price"", WORKDAY(TODAY(), -40), TODAY()), 1, FALSE)), ""select Col2 where Col2 is not null limit 22 label Col2 ''"", 0)), """")"),"")</f>
        <v/>
      </c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8"/>
      <c r="AO140" s="28"/>
      <c r="AP140" s="29"/>
      <c r="AQ140" s="29" t="str">
        <f t="shared" ref="AQ140:BL140" si="143">T140/T$2</f>
        <v>#N/A</v>
      </c>
      <c r="AR140" s="29" t="str">
        <f t="shared" si="143"/>
        <v>#DIV/0!</v>
      </c>
      <c r="AS140" s="29" t="str">
        <f t="shared" si="143"/>
        <v>#DIV/0!</v>
      </c>
      <c r="AT140" s="29" t="str">
        <f t="shared" si="143"/>
        <v>#DIV/0!</v>
      </c>
      <c r="AU140" s="29" t="str">
        <f t="shared" si="143"/>
        <v>#DIV/0!</v>
      </c>
      <c r="AV140" s="29" t="str">
        <f t="shared" si="143"/>
        <v>#DIV/0!</v>
      </c>
      <c r="AW140" s="29" t="str">
        <f t="shared" si="143"/>
        <v>#DIV/0!</v>
      </c>
      <c r="AX140" s="29" t="str">
        <f t="shared" si="143"/>
        <v>#DIV/0!</v>
      </c>
      <c r="AY140" s="29" t="str">
        <f t="shared" si="143"/>
        <v>#DIV/0!</v>
      </c>
      <c r="AZ140" s="29" t="str">
        <f t="shared" si="143"/>
        <v>#DIV/0!</v>
      </c>
      <c r="BA140" s="29" t="str">
        <f t="shared" si="143"/>
        <v>#DIV/0!</v>
      </c>
      <c r="BB140" s="29" t="str">
        <f t="shared" si="143"/>
        <v>#DIV/0!</v>
      </c>
      <c r="BC140" s="29" t="str">
        <f t="shared" si="143"/>
        <v>#DIV/0!</v>
      </c>
      <c r="BD140" s="29" t="str">
        <f t="shared" si="143"/>
        <v>#DIV/0!</v>
      </c>
      <c r="BE140" s="29" t="str">
        <f t="shared" si="143"/>
        <v>#DIV/0!</v>
      </c>
      <c r="BF140" s="29" t="str">
        <f t="shared" si="143"/>
        <v>#DIV/0!</v>
      </c>
      <c r="BG140" s="29" t="str">
        <f t="shared" si="143"/>
        <v>#DIV/0!</v>
      </c>
      <c r="BH140" s="29" t="str">
        <f t="shared" si="143"/>
        <v>#DIV/0!</v>
      </c>
      <c r="BI140" s="29" t="str">
        <f t="shared" si="143"/>
        <v>#DIV/0!</v>
      </c>
      <c r="BJ140" s="29" t="str">
        <f t="shared" si="143"/>
        <v>#DIV/0!</v>
      </c>
      <c r="BK140" s="29" t="str">
        <f t="shared" si="143"/>
        <v>#DIV/0!</v>
      </c>
      <c r="BL140" s="29" t="str">
        <f t="shared" si="143"/>
        <v>#DIV/0!</v>
      </c>
      <c r="BM140" s="29" t="str">
        <f t="shared" si="3"/>
        <v>#DIV/0!</v>
      </c>
    </row>
    <row r="141">
      <c r="A141" s="16" t="str">
        <f>IFERROR(__xludf.DUMMYFUNCTION("IFERROR(SPARKLINE(SORT(MAP(TRANSPOSE(AQ141:BL141), LAMBDA(val, IF(ISNUMBER(val), PERCENTRANK(AQ141:BL141, val)+0.01, 0))), SEQUENCE(COLUMNS(AQ141:BL141)), FALSE), {""charttype"",""column""; ""color"",""chartreuse""; ""ymin"", 0; ""ymax"", 1.01; ""highcolo"&amp;"r"", ""darkgreen""; ""lowcolor"", ""red""}), """")"),"")</f>
        <v/>
      </c>
      <c r="B141" s="17" t="str">
        <f t="shared" si="4"/>
        <v/>
      </c>
      <c r="C141" s="1" t="s">
        <v>2598</v>
      </c>
      <c r="D141" s="30" t="str">
        <f>IFERROR(__xludf.DUMMYFUNCTION("IFERROR(GOOGLEFINANCE(C141, ""NAME""))"),"Dollar Tree Inc")</f>
        <v>Dollar Tree Inc</v>
      </c>
      <c r="E141" s="30" t="s">
        <v>2270</v>
      </c>
      <c r="F141" s="33" t="str">
        <f>IFERROR(__xludf.DUMMYFUNCTION("( (GOOGLEFINANCE(C141, ""price"") - Q141) / Q141 ) / (R141 / 100)"),"Loading...")</f>
        <v>Loading...</v>
      </c>
      <c r="G141" s="20" t="str">
        <f>IFERROR(__xludf.DUMMYFUNCTION("AVERAGE(ARRAYFORMULA(100 * (QUERY(GOOGLEFINANCE(C141, ""high"", TODAY()-40, TODAY()), ""SELECT Col2 WHERE Col2 IS NOT NULL ORDER BY Col1 DESC LIMIT 20"", 0) / QUERY(GOOGLEFINANCE(C141, ""low"", TODAY()-40, TODAY()), ""SELECT Col2 WHERE Col2 IS NOT NULL OR"&amp;"DER BY Col1 DESC LIMIT 20"", 0) - 1)))"),"#N/A")</f>
        <v>#N/A</v>
      </c>
      <c r="H141" s="35" t="str">
        <f t="shared" si="6"/>
        <v>Liquid</v>
      </c>
      <c r="I141" s="36" t="str">
        <f t="shared" si="7"/>
        <v>RVol Required</v>
      </c>
      <c r="J141" s="37">
        <f>IFERROR(__xludf.DUMMYFUNCTION("IFERROR(
  IF(C141="""",, 
    IFERROR(
      GOOGLEFINANCE(C141, ""price"") * GOOGLEFINANCE(C141, ""volumeavg""), 
      GOOGLEFINANCE(C141, ""price"") * AVERAGE(QUERY(GOOGLEFINANCE(C141, ""volume"", TODAY()-40, TODAY()), ""SELECT Col2 WHERE Col2 IS NOT "&amp;"NULL ORDER BY Col1 DESC LIMIT 20"", 0))
    )
  ), 
"""")"),3.1729740938E8)</f>
        <v>317297409.4</v>
      </c>
      <c r="K141" s="21">
        <f>IFERROR(__xludf.DUMMYFUNCTION("IFERROR(GOOGLEFINANCE(C141, ""changepct"") / 100, """")"),-0.0018)</f>
        <v>-0.0018</v>
      </c>
      <c r="L141" s="21" t="str">
        <f>IFERROR(__xludf.DUMMYFUNCTION("IFERROR((GOOGLEFINANCE(C141, ""price"") / INDEX(GOOGLEFINANCE(C141, ""price"", TODAY()-7, TODAY()), 2, 2)) - 1, """")"),"")</f>
        <v/>
      </c>
      <c r="M141" s="21" t="str">
        <f>IFERROR(__xludf.DUMMYFUNCTION("IFERROR((GOOGLEFINANCE(C141, ""price"") / INDEX(GOOGLEFINANCE(C141, ""price"", EDATE(TODAY(), -1), TODAY()), 2, 2)) - 1, """")"),"")</f>
        <v/>
      </c>
      <c r="N141" s="21" t="str">
        <f>IFERROR(__xludf.DUMMYFUNCTION("IFERROR((GOOGLEFINANCE(C141, ""price"") / INDEX(GOOGLEFINANCE(C141, ""price"", EDATE(TODAY(), -3), TODAY()), 2, 2)) - 1, """")"),"")</f>
        <v/>
      </c>
      <c r="O141" s="21" t="str">
        <f>IFERROR(__xludf.DUMMYFUNCTION("IFERROR((GOOGLEFINANCE(C141, ""price"") / INDEX(GOOGLEFINANCE(C141, ""price"", EDATE(TODAY(), -6), TODAY()), 2, 2)) - 1, """")"),"")</f>
        <v/>
      </c>
      <c r="P141" s="21" t="str">
        <f>IFERROR(__xludf.DUMMYFUNCTION("IFERROR((GOOGLEFINANCE(C141, ""price"") / INDEX(GOOGLEFINANCE(C141, ""price"", EDATE(TODAY(), -12), TODAY()), 2, 2)) - 1, """")"),"")</f>
        <v/>
      </c>
      <c r="Q141" s="6" t="str">
        <f>IFERROR(__xludf.DUMMYFUNCTION("AVERAGE(QUERY(GOOGLEFINANCE(C141, ""price"", TODAY()-80, TODAY()), ""SELECT Col2 WHERE Col2 IS NOT NULL ORDER BY Col1 DESC LIMIT 50"", 0))"),"#N/A")</f>
        <v>#N/A</v>
      </c>
      <c r="R141" s="24" t="str">
        <f>IFERROR(__xludf.DUMMYFUNCTION("IFERROR(
  LET(
    data, QUERY(GOOGLEFINANCE(C141,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GOOGLEFINANCE(C141, ""price"")) * 100,
    IF(calc=0, G141, calc)
  ), 
G141)"),"#N/A")</f>
        <v>#N/A</v>
      </c>
      <c r="S141" s="8" t="s">
        <v>15</v>
      </c>
      <c r="T141" s="26" t="str">
        <f>IFERROR(__xludf.DUMMYFUNCTION("IFERROR(TRANSPOSE(QUERY(IFERROR(SORT(GOOGLEFINANCE(C141, ""price"", WORKDAY(TODAY(), -40), TODAY()), 1, FALSE)), ""select Col2 where Col2 is not null limit 22 label Col2 ''"", 0)), """")"),"")</f>
        <v/>
      </c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8"/>
      <c r="AO141" s="28"/>
      <c r="AP141" s="29"/>
      <c r="AQ141" s="29" t="str">
        <f t="shared" ref="AQ141:BL141" si="144">T141/T$2</f>
        <v>#N/A</v>
      </c>
      <c r="AR141" s="29" t="str">
        <f t="shared" si="144"/>
        <v>#DIV/0!</v>
      </c>
      <c r="AS141" s="29" t="str">
        <f t="shared" si="144"/>
        <v>#DIV/0!</v>
      </c>
      <c r="AT141" s="29" t="str">
        <f t="shared" si="144"/>
        <v>#DIV/0!</v>
      </c>
      <c r="AU141" s="29" t="str">
        <f t="shared" si="144"/>
        <v>#DIV/0!</v>
      </c>
      <c r="AV141" s="29" t="str">
        <f t="shared" si="144"/>
        <v>#DIV/0!</v>
      </c>
      <c r="AW141" s="29" t="str">
        <f t="shared" si="144"/>
        <v>#DIV/0!</v>
      </c>
      <c r="AX141" s="29" t="str">
        <f t="shared" si="144"/>
        <v>#DIV/0!</v>
      </c>
      <c r="AY141" s="29" t="str">
        <f t="shared" si="144"/>
        <v>#DIV/0!</v>
      </c>
      <c r="AZ141" s="29" t="str">
        <f t="shared" si="144"/>
        <v>#DIV/0!</v>
      </c>
      <c r="BA141" s="29" t="str">
        <f t="shared" si="144"/>
        <v>#DIV/0!</v>
      </c>
      <c r="BB141" s="29" t="str">
        <f t="shared" si="144"/>
        <v>#DIV/0!</v>
      </c>
      <c r="BC141" s="29" t="str">
        <f t="shared" si="144"/>
        <v>#DIV/0!</v>
      </c>
      <c r="BD141" s="29" t="str">
        <f t="shared" si="144"/>
        <v>#DIV/0!</v>
      </c>
      <c r="BE141" s="29" t="str">
        <f t="shared" si="144"/>
        <v>#DIV/0!</v>
      </c>
      <c r="BF141" s="29" t="str">
        <f t="shared" si="144"/>
        <v>#DIV/0!</v>
      </c>
      <c r="BG141" s="29" t="str">
        <f t="shared" si="144"/>
        <v>#DIV/0!</v>
      </c>
      <c r="BH141" s="29" t="str">
        <f t="shared" si="144"/>
        <v>#DIV/0!</v>
      </c>
      <c r="BI141" s="29" t="str">
        <f t="shared" si="144"/>
        <v>#DIV/0!</v>
      </c>
      <c r="BJ141" s="29" t="str">
        <f t="shared" si="144"/>
        <v>#DIV/0!</v>
      </c>
      <c r="BK141" s="29" t="str">
        <f t="shared" si="144"/>
        <v>#DIV/0!</v>
      </c>
      <c r="BL141" s="29" t="str">
        <f t="shared" si="144"/>
        <v>#DIV/0!</v>
      </c>
      <c r="BM141" s="29" t="str">
        <f t="shared" si="3"/>
        <v>#DIV/0!</v>
      </c>
    </row>
    <row r="142">
      <c r="A142" s="16" t="str">
        <f>IFERROR(__xludf.DUMMYFUNCTION("IFERROR(SPARKLINE(SORT(MAP(TRANSPOSE(AQ142:BL142), LAMBDA(val, IF(ISNUMBER(val), PERCENTRANK(AQ142:BL142, val)+0.01, 0))), SEQUENCE(COLUMNS(AQ142:BL142)), FALSE), {""charttype"",""column""; ""color"",""chartreuse""; ""ymin"", 0; ""ymax"", 1.01; ""highcolo"&amp;"r"", ""darkgreen""; ""lowcolor"", ""red""}), """")"),"")</f>
        <v/>
      </c>
      <c r="B142" s="17" t="str">
        <f t="shared" si="4"/>
        <v/>
      </c>
      <c r="C142" s="1" t="s">
        <v>2601</v>
      </c>
      <c r="D142" s="30" t="str">
        <f>IFERROR(__xludf.DUMMYFUNCTION("IFERROR(GOOGLEFINANCE(C142, ""NAME""))"),"Dollar General Corp")</f>
        <v>Dollar General Corp</v>
      </c>
      <c r="E142" s="30" t="s">
        <v>2270</v>
      </c>
      <c r="F142" s="33" t="str">
        <f>IFERROR(__xludf.DUMMYFUNCTION("( (GOOGLEFINANCE(C142, ""price"") - Q142) / Q142 ) / (R142 / 100)"),"Loading...")</f>
        <v>Loading...</v>
      </c>
      <c r="G142" s="20" t="str">
        <f>IFERROR(__xludf.DUMMYFUNCTION("AVERAGE(ARRAYFORMULA(100 * (QUERY(GOOGLEFINANCE(C142, ""high"", TODAY()-40, TODAY()), ""SELECT Col2 WHERE Col2 IS NOT NULL ORDER BY Col1 DESC LIMIT 20"", 0) / QUERY(GOOGLEFINANCE(C142, ""low"", TODAY()-40, TODAY()), ""SELECT Col2 WHERE Col2 IS NOT NULL OR"&amp;"DER BY Col1 DESC LIMIT 20"", 0) - 1)))"),"#N/A")</f>
        <v>#N/A</v>
      </c>
      <c r="H142" s="35" t="str">
        <f t="shared" si="6"/>
        <v>Liquid</v>
      </c>
      <c r="I142" s="36" t="str">
        <f t="shared" si="7"/>
        <v>RVol Required</v>
      </c>
      <c r="J142" s="37">
        <f>IFERROR(__xludf.DUMMYFUNCTION("IFERROR(
  IF(C142="""",, 
    IFERROR(
      GOOGLEFINANCE(C142, ""price"") * GOOGLEFINANCE(C142, ""volumeavg""), 
      GOOGLEFINANCE(C142, ""price"") * AVERAGE(QUERY(GOOGLEFINANCE(C142, ""volume"", TODAY()-40, TODAY()), ""SELECT Col2 WHERE Col2 IS NOT "&amp;"NULL ORDER BY Col1 DESC LIMIT 20"", 0))
    )
  ), 
"""")"),3.0203805536E8)</f>
        <v>302038055.4</v>
      </c>
      <c r="K142" s="21">
        <f>IFERROR(__xludf.DUMMYFUNCTION("IFERROR(GOOGLEFINANCE(C142, ""changepct"") / 100, """")"),0.0034999999999999996)</f>
        <v>0.0035</v>
      </c>
      <c r="L142" s="21" t="str">
        <f>IFERROR(__xludf.DUMMYFUNCTION("IFERROR((GOOGLEFINANCE(C142, ""price"") / INDEX(GOOGLEFINANCE(C142, ""price"", TODAY()-7, TODAY()), 2, 2)) - 1, """")"),"")</f>
        <v/>
      </c>
      <c r="M142" s="21" t="str">
        <f>IFERROR(__xludf.DUMMYFUNCTION("IFERROR((GOOGLEFINANCE(C142, ""price"") / INDEX(GOOGLEFINANCE(C142, ""price"", EDATE(TODAY(), -1), TODAY()), 2, 2)) - 1, """")"),"")</f>
        <v/>
      </c>
      <c r="N142" s="21" t="str">
        <f>IFERROR(__xludf.DUMMYFUNCTION("IFERROR((GOOGLEFINANCE(C142, ""price"") / INDEX(GOOGLEFINANCE(C142, ""price"", EDATE(TODAY(), -3), TODAY()), 2, 2)) - 1, """")"),"")</f>
        <v/>
      </c>
      <c r="O142" s="21" t="str">
        <f>IFERROR(__xludf.DUMMYFUNCTION("IFERROR((GOOGLEFINANCE(C142, ""price"") / INDEX(GOOGLEFINANCE(C142, ""price"", EDATE(TODAY(), -6), TODAY()), 2, 2)) - 1, """")"),"")</f>
        <v/>
      </c>
      <c r="P142" s="21" t="str">
        <f>IFERROR(__xludf.DUMMYFUNCTION("IFERROR((GOOGLEFINANCE(C142, ""price"") / INDEX(GOOGLEFINANCE(C142, ""price"", EDATE(TODAY(), -12), TODAY()), 2, 2)) - 1, """")"),"")</f>
        <v/>
      </c>
      <c r="Q142" s="6" t="str">
        <f>IFERROR(__xludf.DUMMYFUNCTION("AVERAGE(QUERY(GOOGLEFINANCE(C142, ""price"", TODAY()-80, TODAY()), ""SELECT Col2 WHERE Col2 IS NOT NULL ORDER BY Col1 DESC LIMIT 50"", 0))"),"#N/A")</f>
        <v>#N/A</v>
      </c>
      <c r="R142" s="24" t="str">
        <f>IFERROR(__xludf.DUMMYFUNCTION("IFERROR(
  LET(
    data, QUERY(GOOGLEFINANCE(C142,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GOOGLEFINANCE(C142, ""price"")) * 100,
    IF(calc=0, G142, calc)
  ), 
G142)"),"#N/A")</f>
        <v>#N/A</v>
      </c>
      <c r="S142" s="8" t="s">
        <v>15</v>
      </c>
      <c r="T142" s="26" t="str">
        <f>IFERROR(__xludf.DUMMYFUNCTION("IFERROR(TRANSPOSE(QUERY(IFERROR(SORT(GOOGLEFINANCE(C142, ""price"", WORKDAY(TODAY(), -40), TODAY()), 1, FALSE)), ""select Col2 where Col2 is not null limit 22 label Col2 ''"", 0)), """")"),"")</f>
        <v/>
      </c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8"/>
      <c r="AO142" s="28"/>
      <c r="AP142" s="29"/>
      <c r="AQ142" s="29" t="str">
        <f t="shared" ref="AQ142:BL142" si="145">T142/T$2</f>
        <v>#N/A</v>
      </c>
      <c r="AR142" s="29" t="str">
        <f t="shared" si="145"/>
        <v>#DIV/0!</v>
      </c>
      <c r="AS142" s="29" t="str">
        <f t="shared" si="145"/>
        <v>#DIV/0!</v>
      </c>
      <c r="AT142" s="29" t="str">
        <f t="shared" si="145"/>
        <v>#DIV/0!</v>
      </c>
      <c r="AU142" s="29" t="str">
        <f t="shared" si="145"/>
        <v>#DIV/0!</v>
      </c>
      <c r="AV142" s="29" t="str">
        <f t="shared" si="145"/>
        <v>#DIV/0!</v>
      </c>
      <c r="AW142" s="29" t="str">
        <f t="shared" si="145"/>
        <v>#DIV/0!</v>
      </c>
      <c r="AX142" s="29" t="str">
        <f t="shared" si="145"/>
        <v>#DIV/0!</v>
      </c>
      <c r="AY142" s="29" t="str">
        <f t="shared" si="145"/>
        <v>#DIV/0!</v>
      </c>
      <c r="AZ142" s="29" t="str">
        <f t="shared" si="145"/>
        <v>#DIV/0!</v>
      </c>
      <c r="BA142" s="29" t="str">
        <f t="shared" si="145"/>
        <v>#DIV/0!</v>
      </c>
      <c r="BB142" s="29" t="str">
        <f t="shared" si="145"/>
        <v>#DIV/0!</v>
      </c>
      <c r="BC142" s="29" t="str">
        <f t="shared" si="145"/>
        <v>#DIV/0!</v>
      </c>
      <c r="BD142" s="29" t="str">
        <f t="shared" si="145"/>
        <v>#DIV/0!</v>
      </c>
      <c r="BE142" s="29" t="str">
        <f t="shared" si="145"/>
        <v>#DIV/0!</v>
      </c>
      <c r="BF142" s="29" t="str">
        <f t="shared" si="145"/>
        <v>#DIV/0!</v>
      </c>
      <c r="BG142" s="29" t="str">
        <f t="shared" si="145"/>
        <v>#DIV/0!</v>
      </c>
      <c r="BH142" s="29" t="str">
        <f t="shared" si="145"/>
        <v>#DIV/0!</v>
      </c>
      <c r="BI142" s="29" t="str">
        <f t="shared" si="145"/>
        <v>#DIV/0!</v>
      </c>
      <c r="BJ142" s="29" t="str">
        <f t="shared" si="145"/>
        <v>#DIV/0!</v>
      </c>
      <c r="BK142" s="29" t="str">
        <f t="shared" si="145"/>
        <v>#DIV/0!</v>
      </c>
      <c r="BL142" s="29" t="str">
        <f t="shared" si="145"/>
        <v>#DIV/0!</v>
      </c>
      <c r="BM142" s="29" t="str">
        <f t="shared" si="3"/>
        <v>#DIV/0!</v>
      </c>
    </row>
    <row r="143">
      <c r="A143" s="16" t="str">
        <f>IFERROR(__xludf.DUMMYFUNCTION("IFERROR(SPARKLINE(SORT(MAP(TRANSPOSE(AQ143:BL143), LAMBDA(val, IF(ISNUMBER(val), PERCENTRANK(AQ143:BL143, val)+0.01, 0))), SEQUENCE(COLUMNS(AQ143:BL143)), FALSE), {""charttype"",""column""; ""color"",""chartreuse""; ""ymin"", 0; ""ymax"", 1.01; ""highcolo"&amp;"r"", ""darkgreen""; ""lowcolor"", ""red""}), """")"),"")</f>
        <v/>
      </c>
      <c r="B143" s="17" t="str">
        <f t="shared" si="4"/>
        <v/>
      </c>
      <c r="C143" s="1" t="s">
        <v>2606</v>
      </c>
      <c r="D143" s="30" t="str">
        <f>IFERROR(__xludf.DUMMYFUNCTION("IFERROR(GOOGLEFINANCE(C143, ""NAME""))"),"")</f>
        <v/>
      </c>
      <c r="E143" s="30" t="s">
        <v>2120</v>
      </c>
      <c r="F143" s="38" t="str">
        <f>IFERROR(__xludf.DUMMYFUNCTION("( (GOOGLEFINANCE(C143, ""price"") - Q143) / Q143 ) / (R143 / 100)"),"Loading...")</f>
        <v>Loading...</v>
      </c>
      <c r="G143" s="20" t="str">
        <f>IFERROR(__xludf.DUMMYFUNCTION("AVERAGE(ARRAYFORMULA(100 * (QUERY(GOOGLEFINANCE(C143, ""high"", TODAY()-40, TODAY()), ""SELECT Col2 WHERE Col2 IS NOT NULL ORDER BY Col1 DESC LIMIT 20"", 0) / QUERY(GOOGLEFINANCE(C143, ""low"", TODAY()-40, TODAY()), ""SELECT Col2 WHERE Col2 IS NOT NULL OR"&amp;"DER BY Col1 DESC LIMIT 20"", 0) - 1)))"),"#N/A")</f>
        <v>#N/A</v>
      </c>
      <c r="H143" s="35" t="str">
        <f t="shared" si="6"/>
        <v/>
      </c>
      <c r="I143" s="36" t="str">
        <f t="shared" si="7"/>
        <v/>
      </c>
      <c r="J143" s="37" t="str">
        <f>IFERROR(__xludf.DUMMYFUNCTION("IFERROR(
  IF(C143="""",, 
    IFERROR(
      GOOGLEFINANCE(C143, ""price"") * GOOGLEFINANCE(C143, ""volumeavg""), 
      GOOGLEFINANCE(C143, ""price"") * AVERAGE(QUERY(GOOGLEFINANCE(C143, ""volume"", TODAY()-40, TODAY()), ""SELECT Col2 WHERE Col2 IS NOT "&amp;"NULL ORDER BY Col1 DESC LIMIT 20"", 0))
    )
  ), 
"""")"),"")</f>
        <v/>
      </c>
      <c r="K143" s="21" t="str">
        <f>IFERROR(__xludf.DUMMYFUNCTION("IFERROR(GOOGLEFINANCE(C143, ""changepct"") / 100, """")"),"")</f>
        <v/>
      </c>
      <c r="L143" s="21" t="str">
        <f>IFERROR(__xludf.DUMMYFUNCTION("IFERROR((GOOGLEFINANCE(C143, ""price"") / INDEX(GOOGLEFINANCE(C143, ""price"", TODAY()-7, TODAY()), 2, 2)) - 1, """")"),"")</f>
        <v/>
      </c>
      <c r="M143" s="21" t="str">
        <f>IFERROR(__xludf.DUMMYFUNCTION("IFERROR((GOOGLEFINANCE(C143, ""price"") / INDEX(GOOGLEFINANCE(C143, ""price"", EDATE(TODAY(), -1), TODAY()), 2, 2)) - 1, """")"),"")</f>
        <v/>
      </c>
      <c r="N143" s="21" t="str">
        <f>IFERROR(__xludf.DUMMYFUNCTION("IFERROR((GOOGLEFINANCE(C143, ""price"") / INDEX(GOOGLEFINANCE(C143, ""price"", EDATE(TODAY(), -3), TODAY()), 2, 2)) - 1, """")"),"")</f>
        <v/>
      </c>
      <c r="O143" s="21" t="str">
        <f>IFERROR(__xludf.DUMMYFUNCTION("IFERROR((GOOGLEFINANCE(C143, ""price"") / INDEX(GOOGLEFINANCE(C143, ""price"", EDATE(TODAY(), -6), TODAY()), 2, 2)) - 1, """")"),"")</f>
        <v/>
      </c>
      <c r="P143" s="21" t="str">
        <f>IFERROR(__xludf.DUMMYFUNCTION("IFERROR((GOOGLEFINANCE(C143, ""price"") / INDEX(GOOGLEFINANCE(C143, ""price"", EDATE(TODAY(), -12), TODAY()), 2, 2)) - 1, """")"),"")</f>
        <v/>
      </c>
      <c r="Q143" s="6" t="str">
        <f>IFERROR(__xludf.DUMMYFUNCTION("AVERAGE(QUERY(GOOGLEFINANCE(C143, ""price"", TODAY()-80, TODAY()), ""SELECT Col2 WHERE Col2 IS NOT NULL ORDER BY Col1 DESC LIMIT 50"", 0))"),"#N/A")</f>
        <v>#N/A</v>
      </c>
      <c r="R143" s="24" t="str">
        <f>IFERROR(__xludf.DUMMYFUNCTION("IFERROR(
  LET(
    data, QUERY(GOOGLEFINANCE(C143,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GOOGLEFINANCE(C143, ""price"")) * 100,
    IF(calc=0, G143, calc)
  ), 
G143)"),"#N/A")</f>
        <v>#N/A</v>
      </c>
      <c r="S143" s="8" t="s">
        <v>15</v>
      </c>
      <c r="T143" s="26" t="str">
        <f>IFERROR(__xludf.DUMMYFUNCTION("IFERROR(TRANSPOSE(QUERY(IFERROR(SORT(GOOGLEFINANCE(C143, ""price"", WORKDAY(TODAY(), -40), TODAY()), 1, FALSE)), ""select Col2 where Col2 is not null limit 22 label Col2 ''"", 0)), """")"),"")</f>
        <v/>
      </c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8"/>
      <c r="AO143" s="28"/>
      <c r="AP143" s="29"/>
      <c r="AQ143" s="29" t="str">
        <f t="shared" ref="AQ143:BL143" si="146">T143/T$2</f>
        <v>#N/A</v>
      </c>
      <c r="AR143" s="29" t="str">
        <f t="shared" si="146"/>
        <v>#DIV/0!</v>
      </c>
      <c r="AS143" s="29" t="str">
        <f t="shared" si="146"/>
        <v>#DIV/0!</v>
      </c>
      <c r="AT143" s="29" t="str">
        <f t="shared" si="146"/>
        <v>#DIV/0!</v>
      </c>
      <c r="AU143" s="29" t="str">
        <f t="shared" si="146"/>
        <v>#DIV/0!</v>
      </c>
      <c r="AV143" s="29" t="str">
        <f t="shared" si="146"/>
        <v>#DIV/0!</v>
      </c>
      <c r="AW143" s="29" t="str">
        <f t="shared" si="146"/>
        <v>#DIV/0!</v>
      </c>
      <c r="AX143" s="29" t="str">
        <f t="shared" si="146"/>
        <v>#DIV/0!</v>
      </c>
      <c r="AY143" s="29" t="str">
        <f t="shared" si="146"/>
        <v>#DIV/0!</v>
      </c>
      <c r="AZ143" s="29" t="str">
        <f t="shared" si="146"/>
        <v>#DIV/0!</v>
      </c>
      <c r="BA143" s="29" t="str">
        <f t="shared" si="146"/>
        <v>#DIV/0!</v>
      </c>
      <c r="BB143" s="29" t="str">
        <f t="shared" si="146"/>
        <v>#DIV/0!</v>
      </c>
      <c r="BC143" s="29" t="str">
        <f t="shared" si="146"/>
        <v>#DIV/0!</v>
      </c>
      <c r="BD143" s="29" t="str">
        <f t="shared" si="146"/>
        <v>#DIV/0!</v>
      </c>
      <c r="BE143" s="29" t="str">
        <f t="shared" si="146"/>
        <v>#DIV/0!</v>
      </c>
      <c r="BF143" s="29" t="str">
        <f t="shared" si="146"/>
        <v>#DIV/0!</v>
      </c>
      <c r="BG143" s="29" t="str">
        <f t="shared" si="146"/>
        <v>#DIV/0!</v>
      </c>
      <c r="BH143" s="29" t="str">
        <f t="shared" si="146"/>
        <v>#DIV/0!</v>
      </c>
      <c r="BI143" s="29" t="str">
        <f t="shared" si="146"/>
        <v>#DIV/0!</v>
      </c>
      <c r="BJ143" s="29" t="str">
        <f t="shared" si="146"/>
        <v>#DIV/0!</v>
      </c>
      <c r="BK143" s="29" t="str">
        <f t="shared" si="146"/>
        <v>#DIV/0!</v>
      </c>
      <c r="BL143" s="29" t="str">
        <f t="shared" si="146"/>
        <v>#DIV/0!</v>
      </c>
      <c r="BM143" s="29" t="str">
        <f t="shared" si="3"/>
        <v>#DIV/0!</v>
      </c>
    </row>
    <row r="144">
      <c r="A144" s="16" t="str">
        <f>IFERROR(__xludf.DUMMYFUNCTION("IFERROR(SPARKLINE(SORT(MAP(TRANSPOSE(AQ144:BL144), LAMBDA(val, IF(ISNUMBER(val), PERCENTRANK(AQ144:BL144, val)+0.01, 0))), SEQUENCE(COLUMNS(AQ144:BL144)), FALSE), {""charttype"",""column""; ""color"",""chartreuse""; ""ymin"", 0; ""ymax"", 1.01; ""highcolo"&amp;"r"", ""darkgreen""; ""lowcolor"", ""red""}), """")"),"")</f>
        <v/>
      </c>
      <c r="B144" s="17" t="str">
        <f t="shared" si="4"/>
        <v/>
      </c>
      <c r="C144" s="1" t="s">
        <v>2609</v>
      </c>
      <c r="D144" s="30" t="str">
        <f>IFERROR(__xludf.DUMMYFUNCTION("IFERROR(GOOGLEFINANCE(C144, ""NAME""))"),"Campbell's Co")</f>
        <v>Campbell's Co</v>
      </c>
      <c r="E144" s="30" t="s">
        <v>2094</v>
      </c>
      <c r="F144" s="33" t="str">
        <f>IFERROR(__xludf.DUMMYFUNCTION("( (GOOGLEFINANCE(C144, ""price"") - Q144) / Q144 ) / (R144 / 100)"),"Loading...")</f>
        <v>Loading...</v>
      </c>
      <c r="G144" s="20" t="str">
        <f>IFERROR(__xludf.DUMMYFUNCTION("AVERAGE(ARRAYFORMULA(100 * (QUERY(GOOGLEFINANCE(C144, ""high"", TODAY()-40, TODAY()), ""SELECT Col2 WHERE Col2 IS NOT NULL ORDER BY Col1 DESC LIMIT 20"", 0) / QUERY(GOOGLEFINANCE(C144, ""low"", TODAY()-40, TODAY()), ""SELECT Col2 WHERE Col2 IS NOT NULL OR"&amp;"DER BY Col1 DESC LIMIT 20"", 0) - 1)))"),"#N/A")</f>
        <v>#N/A</v>
      </c>
      <c r="H144" s="35" t="str">
        <f t="shared" si="6"/>
        <v>Liquid</v>
      </c>
      <c r="I144" s="36" t="str">
        <f t="shared" si="7"/>
        <v>RVol Required</v>
      </c>
      <c r="J144" s="37">
        <f>IFERROR(__xludf.DUMMYFUNCTION("IFERROR(
  IF(C144="""",, 
    IFERROR(
      GOOGLEFINANCE(C144, ""price"") * GOOGLEFINANCE(C144, ""volumeavg""), 
      GOOGLEFINANCE(C144, ""price"") * AVERAGE(QUERY(GOOGLEFINANCE(C144, ""volume"", TODAY()-40, TODAY()), ""SELECT Col2 WHERE Col2 IS NOT "&amp;"NULL ORDER BY Col1 DESC LIMIT 20"", 0))
    )
  ), 
"""")"),1.835401835E8)</f>
        <v>183540183.5</v>
      </c>
      <c r="K144" s="21">
        <f>IFERROR(__xludf.DUMMYFUNCTION("IFERROR(GOOGLEFINANCE(C144, ""changepct"") / 100, """")"),0.0015)</f>
        <v>0.0015</v>
      </c>
      <c r="L144" s="21" t="str">
        <f>IFERROR(__xludf.DUMMYFUNCTION("IFERROR((GOOGLEFINANCE(C144, ""price"") / INDEX(GOOGLEFINANCE(C144, ""price"", TODAY()-7, TODAY()), 2, 2)) - 1, """")"),"")</f>
        <v/>
      </c>
      <c r="M144" s="21" t="str">
        <f>IFERROR(__xludf.DUMMYFUNCTION("IFERROR((GOOGLEFINANCE(C144, ""price"") / INDEX(GOOGLEFINANCE(C144, ""price"", EDATE(TODAY(), -1), TODAY()), 2, 2)) - 1, """")"),"")</f>
        <v/>
      </c>
      <c r="N144" s="21" t="str">
        <f>IFERROR(__xludf.DUMMYFUNCTION("IFERROR((GOOGLEFINANCE(C144, ""price"") / INDEX(GOOGLEFINANCE(C144, ""price"", EDATE(TODAY(), -3), TODAY()), 2, 2)) - 1, """")"),"")</f>
        <v/>
      </c>
      <c r="O144" s="21" t="str">
        <f>IFERROR(__xludf.DUMMYFUNCTION("IFERROR((GOOGLEFINANCE(C144, ""price"") / INDEX(GOOGLEFINANCE(C144, ""price"", EDATE(TODAY(), -6), TODAY()), 2, 2)) - 1, """")"),"")</f>
        <v/>
      </c>
      <c r="P144" s="21" t="str">
        <f>IFERROR(__xludf.DUMMYFUNCTION("IFERROR((GOOGLEFINANCE(C144, ""price"") / INDEX(GOOGLEFINANCE(C144, ""price"", EDATE(TODAY(), -12), TODAY()), 2, 2)) - 1, """")"),"")</f>
        <v/>
      </c>
      <c r="Q144" s="6" t="str">
        <f>IFERROR(__xludf.DUMMYFUNCTION("AVERAGE(QUERY(GOOGLEFINANCE(C144, ""price"", TODAY()-80, TODAY()), ""SELECT Col2 WHERE Col2 IS NOT NULL ORDER BY Col1 DESC LIMIT 50"", 0))"),"#N/A")</f>
        <v>#N/A</v>
      </c>
      <c r="R144" s="24" t="str">
        <f>IFERROR(__xludf.DUMMYFUNCTION("IFERROR(
  LET(
    data, QUERY(GOOGLEFINANCE(C144,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GOOGLEFINANCE(C144, ""price"")) * 100,
    IF(calc=0, G144, calc)
  ), 
G144)"),"#N/A")</f>
        <v>#N/A</v>
      </c>
      <c r="S144" s="8" t="s">
        <v>15</v>
      </c>
      <c r="T144" s="26" t="str">
        <f>IFERROR(__xludf.DUMMYFUNCTION("IFERROR(TRANSPOSE(QUERY(IFERROR(SORT(GOOGLEFINANCE(C144, ""price"", WORKDAY(TODAY(), -40), TODAY()), 1, FALSE)), ""select Col2 where Col2 is not null limit 22 label Col2 ''"", 0)), """")"),"")</f>
        <v/>
      </c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8"/>
      <c r="AO144" s="28"/>
      <c r="AP144" s="29"/>
      <c r="AQ144" s="29" t="str">
        <f t="shared" ref="AQ144:BL144" si="147">T144/T$2</f>
        <v>#N/A</v>
      </c>
      <c r="AR144" s="29" t="str">
        <f t="shared" si="147"/>
        <v>#DIV/0!</v>
      </c>
      <c r="AS144" s="29" t="str">
        <f t="shared" si="147"/>
        <v>#DIV/0!</v>
      </c>
      <c r="AT144" s="29" t="str">
        <f t="shared" si="147"/>
        <v>#DIV/0!</v>
      </c>
      <c r="AU144" s="29" t="str">
        <f t="shared" si="147"/>
        <v>#DIV/0!</v>
      </c>
      <c r="AV144" s="29" t="str">
        <f t="shared" si="147"/>
        <v>#DIV/0!</v>
      </c>
      <c r="AW144" s="29" t="str">
        <f t="shared" si="147"/>
        <v>#DIV/0!</v>
      </c>
      <c r="AX144" s="29" t="str">
        <f t="shared" si="147"/>
        <v>#DIV/0!</v>
      </c>
      <c r="AY144" s="29" t="str">
        <f t="shared" si="147"/>
        <v>#DIV/0!</v>
      </c>
      <c r="AZ144" s="29" t="str">
        <f t="shared" si="147"/>
        <v>#DIV/0!</v>
      </c>
      <c r="BA144" s="29" t="str">
        <f t="shared" si="147"/>
        <v>#DIV/0!</v>
      </c>
      <c r="BB144" s="29" t="str">
        <f t="shared" si="147"/>
        <v>#DIV/0!</v>
      </c>
      <c r="BC144" s="29" t="str">
        <f t="shared" si="147"/>
        <v>#DIV/0!</v>
      </c>
      <c r="BD144" s="29" t="str">
        <f t="shared" si="147"/>
        <v>#DIV/0!</v>
      </c>
      <c r="BE144" s="29" t="str">
        <f t="shared" si="147"/>
        <v>#DIV/0!</v>
      </c>
      <c r="BF144" s="29" t="str">
        <f t="shared" si="147"/>
        <v>#DIV/0!</v>
      </c>
      <c r="BG144" s="29" t="str">
        <f t="shared" si="147"/>
        <v>#DIV/0!</v>
      </c>
      <c r="BH144" s="29" t="str">
        <f t="shared" si="147"/>
        <v>#DIV/0!</v>
      </c>
      <c r="BI144" s="29" t="str">
        <f t="shared" si="147"/>
        <v>#DIV/0!</v>
      </c>
      <c r="BJ144" s="29" t="str">
        <f t="shared" si="147"/>
        <v>#DIV/0!</v>
      </c>
      <c r="BK144" s="29" t="str">
        <f t="shared" si="147"/>
        <v>#DIV/0!</v>
      </c>
      <c r="BL144" s="29" t="str">
        <f t="shared" si="147"/>
        <v>#DIV/0!</v>
      </c>
      <c r="BM144" s="29" t="str">
        <f t="shared" si="3"/>
        <v>#DIV/0!</v>
      </c>
    </row>
    <row r="145">
      <c r="A145" s="16" t="str">
        <f>IFERROR(__xludf.DUMMYFUNCTION("IFERROR(SPARKLINE(SORT(MAP(TRANSPOSE(AQ145:BL145), LAMBDA(val, IF(ISNUMBER(val), PERCENTRANK(AQ145:BL145, val)+0.01, 0))), SEQUENCE(COLUMNS(AQ145:BL145)), FALSE), {""charttype"",""column""; ""color"",""chartreuse""; ""ymin"", 0; ""ymax"", 1.01; ""highcolo"&amp;"r"", ""darkgreen""; ""lowcolor"", ""red""}), """")"),"")</f>
        <v/>
      </c>
      <c r="B145" s="17" t="str">
        <f t="shared" si="4"/>
        <v/>
      </c>
      <c r="C145" s="1" t="s">
        <v>2614</v>
      </c>
      <c r="D145" s="30" t="str">
        <f>IFERROR(__xludf.DUMMYFUNCTION("IFERROR(GOOGLEFINANCE(C145, ""NAME""))"),"Coty Inc")</f>
        <v>Coty Inc</v>
      </c>
      <c r="E145" s="30" t="s">
        <v>2132</v>
      </c>
      <c r="F145" s="33" t="str">
        <f>IFERROR(__xludf.DUMMYFUNCTION("( (GOOGLEFINANCE(C145, ""price"") - Q145) / Q145 ) / (R145 / 100)"),"Loading...")</f>
        <v>Loading...</v>
      </c>
      <c r="G145" s="20" t="str">
        <f>IFERROR(__xludf.DUMMYFUNCTION("AVERAGE(ARRAYFORMULA(100 * (QUERY(GOOGLEFINANCE(C145, ""high"", TODAY()-40, TODAY()), ""SELECT Col2 WHERE Col2 IS NOT NULL ORDER BY Col1 DESC LIMIT 20"", 0) / QUERY(GOOGLEFINANCE(C145, ""low"", TODAY()-40, TODAY()), ""SELECT Col2 WHERE Col2 IS NOT NULL OR"&amp;"DER BY Col1 DESC LIMIT 20"", 0) - 1)))"),"#N/A")</f>
        <v>#N/A</v>
      </c>
      <c r="H145" s="35" t="str">
        <f t="shared" si="6"/>
        <v>Illiquid</v>
      </c>
      <c r="I145" s="36" t="str">
        <f t="shared" si="7"/>
        <v>RVol Required</v>
      </c>
      <c r="J145" s="37">
        <f>IFERROR(__xludf.DUMMYFUNCTION("IFERROR(
  IF(C145="""",, 
    IFERROR(
      GOOGLEFINANCE(C145, ""price"") * GOOGLEFINANCE(C145, ""volumeavg""), 
      GOOGLEFINANCE(C145, ""price"") * AVERAGE(QUERY(GOOGLEFINANCE(C145, ""volume"", TODAY()-40, TODAY()), ""SELECT Col2 WHERE Col2 IS NOT "&amp;"NULL ORDER BY Col1 DESC LIMIT 20"", 0))
    )
  ), 
"""")"),1.626912E7)</f>
        <v>16269120</v>
      </c>
      <c r="K145" s="21">
        <f>IFERROR(__xludf.DUMMYFUNCTION("IFERROR(GOOGLEFINANCE(C145, ""changepct"") / 100, """")"),0.0031)</f>
        <v>0.0031</v>
      </c>
      <c r="L145" s="21" t="str">
        <f>IFERROR(__xludf.DUMMYFUNCTION("IFERROR((GOOGLEFINANCE(C145, ""price"") / INDEX(GOOGLEFINANCE(C145, ""price"", TODAY()-7, TODAY()), 2, 2)) - 1, """")"),"")</f>
        <v/>
      </c>
      <c r="M145" s="21" t="str">
        <f>IFERROR(__xludf.DUMMYFUNCTION("IFERROR((GOOGLEFINANCE(C145, ""price"") / INDEX(GOOGLEFINANCE(C145, ""price"", EDATE(TODAY(), -1), TODAY()), 2, 2)) - 1, """")"),"")</f>
        <v/>
      </c>
      <c r="N145" s="21" t="str">
        <f>IFERROR(__xludf.DUMMYFUNCTION("IFERROR((GOOGLEFINANCE(C145, ""price"") / INDEX(GOOGLEFINANCE(C145, ""price"", EDATE(TODAY(), -3), TODAY()), 2, 2)) - 1, """")"),"")</f>
        <v/>
      </c>
      <c r="O145" s="21" t="str">
        <f>IFERROR(__xludf.DUMMYFUNCTION("IFERROR((GOOGLEFINANCE(C145, ""price"") / INDEX(GOOGLEFINANCE(C145, ""price"", EDATE(TODAY(), -6), TODAY()), 2, 2)) - 1, """")"),"")</f>
        <v/>
      </c>
      <c r="P145" s="21" t="str">
        <f>IFERROR(__xludf.DUMMYFUNCTION("IFERROR((GOOGLEFINANCE(C145, ""price"") / INDEX(GOOGLEFINANCE(C145, ""price"", EDATE(TODAY(), -12), TODAY()), 2, 2)) - 1, """")"),"")</f>
        <v/>
      </c>
      <c r="Q145" s="6" t="str">
        <f>IFERROR(__xludf.DUMMYFUNCTION("AVERAGE(QUERY(GOOGLEFINANCE(C145, ""price"", TODAY()-80, TODAY()), ""SELECT Col2 WHERE Col2 IS NOT NULL ORDER BY Col1 DESC LIMIT 50"", 0))"),"#N/A")</f>
        <v>#N/A</v>
      </c>
      <c r="R145" s="24" t="str">
        <f>IFERROR(__xludf.DUMMYFUNCTION("IFERROR(
  LET(
    data, QUERY(GOOGLEFINANCE(C145,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GOOGLEFINANCE(C145, ""price"")) * 100,
    IF(calc=0, G145, calc)
  ), 
G145)"),"#N/A")</f>
        <v>#N/A</v>
      </c>
      <c r="S145" s="8" t="s">
        <v>15</v>
      </c>
      <c r="T145" s="26" t="str">
        <f>IFERROR(__xludf.DUMMYFUNCTION("IFERROR(TRANSPOSE(QUERY(IFERROR(SORT(GOOGLEFINANCE(C145, ""price"", WORKDAY(TODAY(), -40), TODAY()), 1, FALSE)), ""select Col2 where Col2 is not null limit 22 label Col2 ''"", 0)), """")"),"")</f>
        <v/>
      </c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8"/>
      <c r="AO145" s="28"/>
      <c r="AP145" s="29"/>
      <c r="AQ145" s="29" t="str">
        <f t="shared" ref="AQ145:BL145" si="148">T145/T$2</f>
        <v>#N/A</v>
      </c>
      <c r="AR145" s="29" t="str">
        <f t="shared" si="148"/>
        <v>#DIV/0!</v>
      </c>
      <c r="AS145" s="29" t="str">
        <f t="shared" si="148"/>
        <v>#DIV/0!</v>
      </c>
      <c r="AT145" s="29" t="str">
        <f t="shared" si="148"/>
        <v>#DIV/0!</v>
      </c>
      <c r="AU145" s="29" t="str">
        <f t="shared" si="148"/>
        <v>#DIV/0!</v>
      </c>
      <c r="AV145" s="29" t="str">
        <f t="shared" si="148"/>
        <v>#DIV/0!</v>
      </c>
      <c r="AW145" s="29" t="str">
        <f t="shared" si="148"/>
        <v>#DIV/0!</v>
      </c>
      <c r="AX145" s="29" t="str">
        <f t="shared" si="148"/>
        <v>#DIV/0!</v>
      </c>
      <c r="AY145" s="29" t="str">
        <f t="shared" si="148"/>
        <v>#DIV/0!</v>
      </c>
      <c r="AZ145" s="29" t="str">
        <f t="shared" si="148"/>
        <v>#DIV/0!</v>
      </c>
      <c r="BA145" s="29" t="str">
        <f t="shared" si="148"/>
        <v>#DIV/0!</v>
      </c>
      <c r="BB145" s="29" t="str">
        <f t="shared" si="148"/>
        <v>#DIV/0!</v>
      </c>
      <c r="BC145" s="29" t="str">
        <f t="shared" si="148"/>
        <v>#DIV/0!</v>
      </c>
      <c r="BD145" s="29" t="str">
        <f t="shared" si="148"/>
        <v>#DIV/0!</v>
      </c>
      <c r="BE145" s="29" t="str">
        <f t="shared" si="148"/>
        <v>#DIV/0!</v>
      </c>
      <c r="BF145" s="29" t="str">
        <f t="shared" si="148"/>
        <v>#DIV/0!</v>
      </c>
      <c r="BG145" s="29" t="str">
        <f t="shared" si="148"/>
        <v>#DIV/0!</v>
      </c>
      <c r="BH145" s="29" t="str">
        <f t="shared" si="148"/>
        <v>#DIV/0!</v>
      </c>
      <c r="BI145" s="29" t="str">
        <f t="shared" si="148"/>
        <v>#DIV/0!</v>
      </c>
      <c r="BJ145" s="29" t="str">
        <f t="shared" si="148"/>
        <v>#DIV/0!</v>
      </c>
      <c r="BK145" s="29" t="str">
        <f t="shared" si="148"/>
        <v>#DIV/0!</v>
      </c>
      <c r="BL145" s="29" t="str">
        <f t="shared" si="148"/>
        <v>#DIV/0!</v>
      </c>
      <c r="BM145" s="29" t="str">
        <f t="shared" si="3"/>
        <v>#DIV/0!</v>
      </c>
    </row>
    <row r="146">
      <c r="A146" s="16" t="str">
        <f>IFERROR(__xludf.DUMMYFUNCTION("IFERROR(SPARKLINE(SORT(MAP(TRANSPOSE(AQ146:BL146), LAMBDA(val, IF(ISNUMBER(val), PERCENTRANK(AQ146:BL146, val)+0.01, 0))), SEQUENCE(COLUMNS(AQ146:BL146)), FALSE), {""charttype"",""column""; ""color"",""chartreuse""; ""ymin"", 0; ""ymax"", 1.01; ""highcolo"&amp;"r"", ""darkgreen""; ""lowcolor"", ""red""}), """")"),"")</f>
        <v/>
      </c>
      <c r="B146" s="17" t="str">
        <f t="shared" si="4"/>
        <v/>
      </c>
      <c r="C146" s="1" t="s">
        <v>2617</v>
      </c>
      <c r="D146" s="30" t="str">
        <f>IFERROR(__xludf.DUMMYFUNCTION("IFERROR(GOOGLEFINANCE(C146, ""NAME""))"),"Celsius Holdings Inc")</f>
        <v>Celsius Holdings Inc</v>
      </c>
      <c r="E146" s="30" t="s">
        <v>2083</v>
      </c>
      <c r="F146" s="33" t="str">
        <f>IFERROR(__xludf.DUMMYFUNCTION("( (GOOGLEFINANCE(C146, ""price"") - Q146) / Q146 ) / (R146 / 100)"),"Loading...")</f>
        <v>Loading...</v>
      </c>
      <c r="G146" s="20" t="str">
        <f>IFERROR(__xludf.DUMMYFUNCTION("AVERAGE(ARRAYFORMULA(100 * (QUERY(GOOGLEFINANCE(C146, ""high"", TODAY()-40, TODAY()), ""SELECT Col2 WHERE Col2 IS NOT NULL ORDER BY Col1 DESC LIMIT 20"", 0) / QUERY(GOOGLEFINANCE(C146, ""low"", TODAY()-40, TODAY()), ""SELECT Col2 WHERE Col2 IS NOT NULL OR"&amp;"DER BY Col1 DESC LIMIT 20"", 0) - 1)))"),"#N/A")</f>
        <v>#N/A</v>
      </c>
      <c r="H146" s="35" t="str">
        <f t="shared" si="6"/>
        <v>Liquid</v>
      </c>
      <c r="I146" s="36" t="str">
        <f t="shared" si="7"/>
        <v>RVol Required</v>
      </c>
      <c r="J146" s="37">
        <f>IFERROR(__xludf.DUMMYFUNCTION("IFERROR(
  IF(C146="""",, 
    IFERROR(
      GOOGLEFINANCE(C146, ""price"") * GOOGLEFINANCE(C146, ""volumeavg""), 
      GOOGLEFINANCE(C146, ""price"") * AVERAGE(QUERY(GOOGLEFINANCE(C146, ""volume"", TODAY()-40, TODAY()), ""SELECT Col2 WHERE Col2 IS NOT "&amp;"NULL ORDER BY Col1 DESC LIMIT 20"", 0))
    )
  ), 
"""")"),1.8708826291E8)</f>
        <v>187088262.9</v>
      </c>
      <c r="K146" s="21">
        <f>IFERROR(__xludf.DUMMYFUNCTION("IFERROR(GOOGLEFINANCE(C146, ""changepct"") / 100, """")"),0.0011)</f>
        <v>0.0011</v>
      </c>
      <c r="L146" s="21" t="str">
        <f>IFERROR(__xludf.DUMMYFUNCTION("IFERROR((GOOGLEFINANCE(C146, ""price"") / INDEX(GOOGLEFINANCE(C146, ""price"", TODAY()-7, TODAY()), 2, 2)) - 1, """")"),"")</f>
        <v/>
      </c>
      <c r="M146" s="21" t="str">
        <f>IFERROR(__xludf.DUMMYFUNCTION("IFERROR((GOOGLEFINANCE(C146, ""price"") / INDEX(GOOGLEFINANCE(C146, ""price"", EDATE(TODAY(), -1), TODAY()), 2, 2)) - 1, """")"),"")</f>
        <v/>
      </c>
      <c r="N146" s="21" t="str">
        <f>IFERROR(__xludf.DUMMYFUNCTION("IFERROR((GOOGLEFINANCE(C146, ""price"") / INDEX(GOOGLEFINANCE(C146, ""price"", EDATE(TODAY(), -3), TODAY()), 2, 2)) - 1, """")"),"")</f>
        <v/>
      </c>
      <c r="O146" s="21" t="str">
        <f>IFERROR(__xludf.DUMMYFUNCTION("IFERROR((GOOGLEFINANCE(C146, ""price"") / INDEX(GOOGLEFINANCE(C146, ""price"", EDATE(TODAY(), -6), TODAY()), 2, 2)) - 1, """")"),"")</f>
        <v/>
      </c>
      <c r="P146" s="21" t="str">
        <f>IFERROR(__xludf.DUMMYFUNCTION("IFERROR((GOOGLEFINANCE(C146, ""price"") / INDEX(GOOGLEFINANCE(C146, ""price"", EDATE(TODAY(), -12), TODAY()), 2, 2)) - 1, """")"),"")</f>
        <v/>
      </c>
      <c r="Q146" s="6" t="str">
        <f>IFERROR(__xludf.DUMMYFUNCTION("AVERAGE(QUERY(GOOGLEFINANCE(C146, ""price"", TODAY()-80, TODAY()), ""SELECT Col2 WHERE Col2 IS NOT NULL ORDER BY Col1 DESC LIMIT 50"", 0))"),"#N/A")</f>
        <v>#N/A</v>
      </c>
      <c r="R146" s="24" t="str">
        <f>IFERROR(__xludf.DUMMYFUNCTION("IFERROR(
  LET(
    data, QUERY(GOOGLEFINANCE(C146,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GOOGLEFINANCE(C146, ""price"")) * 100,
    IF(calc=0, G146, calc)
  ), 
G146)"),"#N/A")</f>
        <v>#N/A</v>
      </c>
      <c r="S146" s="8" t="s">
        <v>15</v>
      </c>
      <c r="T146" s="26" t="str">
        <f>IFERROR(__xludf.DUMMYFUNCTION("IFERROR(TRANSPOSE(QUERY(IFERROR(SORT(GOOGLEFINANCE(C146, ""price"", WORKDAY(TODAY(), -40), TODAY()), 1, FALSE)), ""select Col2 where Col2 is not null limit 22 label Col2 ''"", 0)), """")"),"")</f>
        <v/>
      </c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8"/>
      <c r="AO146" s="28"/>
      <c r="AP146" s="29"/>
      <c r="AQ146" s="29" t="str">
        <f t="shared" ref="AQ146:BL146" si="149">T146/T$2</f>
        <v>#N/A</v>
      </c>
      <c r="AR146" s="29" t="str">
        <f t="shared" si="149"/>
        <v>#DIV/0!</v>
      </c>
      <c r="AS146" s="29" t="str">
        <f t="shared" si="149"/>
        <v>#DIV/0!</v>
      </c>
      <c r="AT146" s="29" t="str">
        <f t="shared" si="149"/>
        <v>#DIV/0!</v>
      </c>
      <c r="AU146" s="29" t="str">
        <f t="shared" si="149"/>
        <v>#DIV/0!</v>
      </c>
      <c r="AV146" s="29" t="str">
        <f t="shared" si="149"/>
        <v>#DIV/0!</v>
      </c>
      <c r="AW146" s="29" t="str">
        <f t="shared" si="149"/>
        <v>#DIV/0!</v>
      </c>
      <c r="AX146" s="29" t="str">
        <f t="shared" si="149"/>
        <v>#DIV/0!</v>
      </c>
      <c r="AY146" s="29" t="str">
        <f t="shared" si="149"/>
        <v>#DIV/0!</v>
      </c>
      <c r="AZ146" s="29" t="str">
        <f t="shared" si="149"/>
        <v>#DIV/0!</v>
      </c>
      <c r="BA146" s="29" t="str">
        <f t="shared" si="149"/>
        <v>#DIV/0!</v>
      </c>
      <c r="BB146" s="29" t="str">
        <f t="shared" si="149"/>
        <v>#DIV/0!</v>
      </c>
      <c r="BC146" s="29" t="str">
        <f t="shared" si="149"/>
        <v>#DIV/0!</v>
      </c>
      <c r="BD146" s="29" t="str">
        <f t="shared" si="149"/>
        <v>#DIV/0!</v>
      </c>
      <c r="BE146" s="29" t="str">
        <f t="shared" si="149"/>
        <v>#DIV/0!</v>
      </c>
      <c r="BF146" s="29" t="str">
        <f t="shared" si="149"/>
        <v>#DIV/0!</v>
      </c>
      <c r="BG146" s="29" t="str">
        <f t="shared" si="149"/>
        <v>#DIV/0!</v>
      </c>
      <c r="BH146" s="29" t="str">
        <f t="shared" si="149"/>
        <v>#DIV/0!</v>
      </c>
      <c r="BI146" s="29" t="str">
        <f t="shared" si="149"/>
        <v>#DIV/0!</v>
      </c>
      <c r="BJ146" s="29" t="str">
        <f t="shared" si="149"/>
        <v>#DIV/0!</v>
      </c>
      <c r="BK146" s="29" t="str">
        <f t="shared" si="149"/>
        <v>#DIV/0!</v>
      </c>
      <c r="BL146" s="29" t="str">
        <f t="shared" si="149"/>
        <v>#DIV/0!</v>
      </c>
      <c r="BM146" s="29" t="str">
        <f t="shared" si="3"/>
        <v>#DIV/0!</v>
      </c>
    </row>
    <row r="147">
      <c r="A147" s="16" t="str">
        <f>IFERROR(__xludf.DUMMYFUNCTION("IFERROR(SPARKLINE(SORT(MAP(TRANSPOSE(AQ147:BL147), LAMBDA(val, IF(ISNUMBER(val), PERCENTRANK(AQ147:BL147, val)+0.01, 0))), SEQUENCE(COLUMNS(AQ147:BL147)), FALSE), {""charttype"",""column""; ""color"",""chartreuse""; ""ymin"", 0; ""ymax"", 1.01; ""highcolo"&amp;"r"", ""darkgreen""; ""lowcolor"", ""red""}), """")"),"")</f>
        <v/>
      </c>
      <c r="B147" s="17" t="str">
        <f t="shared" si="4"/>
        <v/>
      </c>
      <c r="C147" s="1" t="s">
        <v>2621</v>
      </c>
      <c r="D147" s="30" t="str">
        <f>IFERROR(__xludf.DUMMYFUNCTION("IFERROR(GOOGLEFINANCE(C147, ""NAME""))"),"Coca-Cola Europacific Partners PLC")</f>
        <v>Coca-Cola Europacific Partners PLC</v>
      </c>
      <c r="E147" s="30" t="s">
        <v>2083</v>
      </c>
      <c r="F147" s="33" t="str">
        <f>IFERROR(__xludf.DUMMYFUNCTION("( (GOOGLEFINANCE(C147, ""price"") - Q147) / Q147 ) / (R147 / 100)"),"Loading...")</f>
        <v>Loading...</v>
      </c>
      <c r="G147" s="20" t="str">
        <f>IFERROR(__xludf.DUMMYFUNCTION("AVERAGE(ARRAYFORMULA(100 * (QUERY(GOOGLEFINANCE(C147, ""high"", TODAY()-40, TODAY()), ""SELECT Col2 WHERE Col2 IS NOT NULL ORDER BY Col1 DESC LIMIT 20"", 0) / QUERY(GOOGLEFINANCE(C147, ""low"", TODAY()-40, TODAY()), ""SELECT Col2 WHERE Col2 IS NOT NULL OR"&amp;"DER BY Col1 DESC LIMIT 20"", 0) - 1)))"),"#N/A")</f>
        <v>#N/A</v>
      </c>
      <c r="H147" s="35" t="str">
        <f t="shared" si="6"/>
        <v>Liquid</v>
      </c>
      <c r="I147" s="36" t="str">
        <f t="shared" si="7"/>
        <v>RVol Required</v>
      </c>
      <c r="J147" s="37">
        <f>IFERROR(__xludf.DUMMYFUNCTION("IFERROR(
  IF(C147="""",, 
    IFERROR(
      GOOGLEFINANCE(C147, ""price"") * GOOGLEFINANCE(C147, ""volumeavg""), 
      GOOGLEFINANCE(C147, ""price"") * AVERAGE(QUERY(GOOGLEFINANCE(C147, ""volume"", TODAY()-40, TODAY()), ""SELECT Col2 WHERE Col2 IS NOT "&amp;"NULL ORDER BY Col1 DESC LIMIT 20"", 0))
    )
  ), 
"""")"),2.0208103760000002E8)</f>
        <v>202081037.6</v>
      </c>
      <c r="K147" s="21">
        <f>IFERROR(__xludf.DUMMYFUNCTION("IFERROR(GOOGLEFINANCE(C147, ""changepct"") / 100, """")"),0.024)</f>
        <v>0.024</v>
      </c>
      <c r="L147" s="21" t="str">
        <f>IFERROR(__xludf.DUMMYFUNCTION("IFERROR((GOOGLEFINANCE(C147, ""price"") / INDEX(GOOGLEFINANCE(C147, ""price"", TODAY()-7, TODAY()), 2, 2)) - 1, """")"),"")</f>
        <v/>
      </c>
      <c r="M147" s="21" t="str">
        <f>IFERROR(__xludf.DUMMYFUNCTION("IFERROR((GOOGLEFINANCE(C147, ""price"") / INDEX(GOOGLEFINANCE(C147, ""price"", EDATE(TODAY(), -1), TODAY()), 2, 2)) - 1, """")"),"")</f>
        <v/>
      </c>
      <c r="N147" s="21" t="str">
        <f>IFERROR(__xludf.DUMMYFUNCTION("IFERROR((GOOGLEFINANCE(C147, ""price"") / INDEX(GOOGLEFINANCE(C147, ""price"", EDATE(TODAY(), -3), TODAY()), 2, 2)) - 1, """")"),"")</f>
        <v/>
      </c>
      <c r="O147" s="21" t="str">
        <f>IFERROR(__xludf.DUMMYFUNCTION("IFERROR((GOOGLEFINANCE(C147, ""price"") / INDEX(GOOGLEFINANCE(C147, ""price"", EDATE(TODAY(), -6), TODAY()), 2, 2)) - 1, """")"),"")</f>
        <v/>
      </c>
      <c r="P147" s="21" t="str">
        <f>IFERROR(__xludf.DUMMYFUNCTION("IFERROR((GOOGLEFINANCE(C147, ""price"") / INDEX(GOOGLEFINANCE(C147, ""price"", EDATE(TODAY(), -12), TODAY()), 2, 2)) - 1, """")"),"")</f>
        <v/>
      </c>
      <c r="Q147" s="6" t="str">
        <f>IFERROR(__xludf.DUMMYFUNCTION("AVERAGE(QUERY(GOOGLEFINANCE(C147, ""price"", TODAY()-80, TODAY()), ""SELECT Col2 WHERE Col2 IS NOT NULL ORDER BY Col1 DESC LIMIT 50"", 0))"),"#N/A")</f>
        <v>#N/A</v>
      </c>
      <c r="R147" s="24" t="str">
        <f>IFERROR(__xludf.DUMMYFUNCTION("IFERROR(
  LET(
    data, QUERY(GOOGLEFINANCE(C147,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GOOGLEFINANCE(C147, ""price"")) * 100,
    IF(calc=0, G147, calc)
  ), 
G147)"),"#N/A")</f>
        <v>#N/A</v>
      </c>
      <c r="S147" s="8" t="s">
        <v>15</v>
      </c>
      <c r="T147" s="26" t="str">
        <f>IFERROR(__xludf.DUMMYFUNCTION("IFERROR(TRANSPOSE(QUERY(IFERROR(SORT(GOOGLEFINANCE(C147, ""price"", WORKDAY(TODAY(), -40), TODAY()), 1, FALSE)), ""select Col2 where Col2 is not null limit 22 label Col2 ''"", 0)), """")"),"")</f>
        <v/>
      </c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8"/>
      <c r="AO147" s="28"/>
      <c r="AP147" s="29"/>
      <c r="AQ147" s="29" t="str">
        <f t="shared" ref="AQ147:BL147" si="150">T147/T$2</f>
        <v>#N/A</v>
      </c>
      <c r="AR147" s="29" t="str">
        <f t="shared" si="150"/>
        <v>#DIV/0!</v>
      </c>
      <c r="AS147" s="29" t="str">
        <f t="shared" si="150"/>
        <v>#DIV/0!</v>
      </c>
      <c r="AT147" s="29" t="str">
        <f t="shared" si="150"/>
        <v>#DIV/0!</v>
      </c>
      <c r="AU147" s="29" t="str">
        <f t="shared" si="150"/>
        <v>#DIV/0!</v>
      </c>
      <c r="AV147" s="29" t="str">
        <f t="shared" si="150"/>
        <v>#DIV/0!</v>
      </c>
      <c r="AW147" s="29" t="str">
        <f t="shared" si="150"/>
        <v>#DIV/0!</v>
      </c>
      <c r="AX147" s="29" t="str">
        <f t="shared" si="150"/>
        <v>#DIV/0!</v>
      </c>
      <c r="AY147" s="29" t="str">
        <f t="shared" si="150"/>
        <v>#DIV/0!</v>
      </c>
      <c r="AZ147" s="29" t="str">
        <f t="shared" si="150"/>
        <v>#DIV/0!</v>
      </c>
      <c r="BA147" s="29" t="str">
        <f t="shared" si="150"/>
        <v>#DIV/0!</v>
      </c>
      <c r="BB147" s="29" t="str">
        <f t="shared" si="150"/>
        <v>#DIV/0!</v>
      </c>
      <c r="BC147" s="29" t="str">
        <f t="shared" si="150"/>
        <v>#DIV/0!</v>
      </c>
      <c r="BD147" s="29" t="str">
        <f t="shared" si="150"/>
        <v>#DIV/0!</v>
      </c>
      <c r="BE147" s="29" t="str">
        <f t="shared" si="150"/>
        <v>#DIV/0!</v>
      </c>
      <c r="BF147" s="29" t="str">
        <f t="shared" si="150"/>
        <v>#DIV/0!</v>
      </c>
      <c r="BG147" s="29" t="str">
        <f t="shared" si="150"/>
        <v>#DIV/0!</v>
      </c>
      <c r="BH147" s="29" t="str">
        <f t="shared" si="150"/>
        <v>#DIV/0!</v>
      </c>
      <c r="BI147" s="29" t="str">
        <f t="shared" si="150"/>
        <v>#DIV/0!</v>
      </c>
      <c r="BJ147" s="29" t="str">
        <f t="shared" si="150"/>
        <v>#DIV/0!</v>
      </c>
      <c r="BK147" s="29" t="str">
        <f t="shared" si="150"/>
        <v>#DIV/0!</v>
      </c>
      <c r="BL147" s="29" t="str">
        <f t="shared" si="150"/>
        <v>#DIV/0!</v>
      </c>
      <c r="BM147" s="29" t="str">
        <f t="shared" si="3"/>
        <v>#DIV/0!</v>
      </c>
    </row>
    <row r="148">
      <c r="A148" s="16" t="str">
        <f>IFERROR(__xludf.DUMMYFUNCTION("IFERROR(SPARKLINE(SORT(MAP(TRANSPOSE(AQ148:BL148), LAMBDA(val, IF(ISNUMBER(val), PERCENTRANK(AQ148:BL148, val)+0.01, 0))), SEQUENCE(COLUMNS(AQ148:BL148)), FALSE), {""charttype"",""column""; ""color"",""chartreuse""; ""ymin"", 0; ""ymax"", 1.01; ""highcolo"&amp;"r"", ""darkgreen""; ""lowcolor"", ""red""}), """")"),"")</f>
        <v/>
      </c>
      <c r="B148" s="17" t="str">
        <f t="shared" si="4"/>
        <v/>
      </c>
      <c r="C148" s="1" t="s">
        <v>2624</v>
      </c>
      <c r="D148" s="30" t="str">
        <f>IFERROR(__xludf.DUMMYFUNCTION("IFERROR(GOOGLEFINANCE(C148, ""NAME""))"),"B&amp;G Foods Inc")</f>
        <v>B&amp;G Foods Inc</v>
      </c>
      <c r="E148" s="30" t="s">
        <v>2094</v>
      </c>
      <c r="F148" s="33" t="str">
        <f>IFERROR(__xludf.DUMMYFUNCTION("( (GOOGLEFINANCE(C148, ""price"") - Q148) / Q148 ) / (R148 / 100)"),"Loading...")</f>
        <v>Loading...</v>
      </c>
      <c r="G148" s="20" t="str">
        <f>IFERROR(__xludf.DUMMYFUNCTION("AVERAGE(ARRAYFORMULA(100 * (QUERY(GOOGLEFINANCE(C148, ""high"", TODAY()-40, TODAY()), ""SELECT Col2 WHERE Col2 IS NOT NULL ORDER BY Col1 DESC LIMIT 20"", 0) / QUERY(GOOGLEFINANCE(C148, ""low"", TODAY()-40, TODAY()), ""SELECT Col2 WHERE Col2 IS NOT NULL OR"&amp;"DER BY Col1 DESC LIMIT 20"", 0) - 1)))"),"#N/A")</f>
        <v>#N/A</v>
      </c>
      <c r="H148" s="35" t="str">
        <f t="shared" si="6"/>
        <v>Illiquid</v>
      </c>
      <c r="I148" s="36" t="str">
        <f t="shared" si="7"/>
        <v>RVol Required</v>
      </c>
      <c r="J148" s="37">
        <f>IFERROR(__xludf.DUMMYFUNCTION("IFERROR(
  IF(C148="""",, 
    IFERROR(
      GOOGLEFINANCE(C148, ""price"") * GOOGLEFINANCE(C148, ""volumeavg""), 
      GOOGLEFINANCE(C148, ""price"") * AVERAGE(QUERY(GOOGLEFINANCE(C148, ""volume"", TODAY()-40, TODAY()), ""SELECT Col2 WHERE Col2 IS NOT "&amp;"NULL ORDER BY Col1 DESC LIMIT 20"", 0))
    )
  ), 
"""")"),5231470.65)</f>
        <v>5231470.65</v>
      </c>
      <c r="K148" s="21">
        <f>IFERROR(__xludf.DUMMYFUNCTION("IFERROR(GOOGLEFINANCE(C148, ""changepct"") / 100, """")"),-0.0537)</f>
        <v>-0.0537</v>
      </c>
      <c r="L148" s="21" t="str">
        <f>IFERROR(__xludf.DUMMYFUNCTION("IFERROR((GOOGLEFINANCE(C148, ""price"") / INDEX(GOOGLEFINANCE(C148, ""price"", TODAY()-7, TODAY()), 2, 2)) - 1, """")"),"")</f>
        <v/>
      </c>
      <c r="M148" s="21" t="str">
        <f>IFERROR(__xludf.DUMMYFUNCTION("IFERROR((GOOGLEFINANCE(C148, ""price"") / INDEX(GOOGLEFINANCE(C148, ""price"", EDATE(TODAY(), -1), TODAY()), 2, 2)) - 1, """")"),"")</f>
        <v/>
      </c>
      <c r="N148" s="21" t="str">
        <f>IFERROR(__xludf.DUMMYFUNCTION("IFERROR((GOOGLEFINANCE(C148, ""price"") / INDEX(GOOGLEFINANCE(C148, ""price"", EDATE(TODAY(), -3), TODAY()), 2, 2)) - 1, """")"),"")</f>
        <v/>
      </c>
      <c r="O148" s="21" t="str">
        <f>IFERROR(__xludf.DUMMYFUNCTION("IFERROR((GOOGLEFINANCE(C148, ""price"") / INDEX(GOOGLEFINANCE(C148, ""price"", EDATE(TODAY(), -6), TODAY()), 2, 2)) - 1, """")"),"")</f>
        <v/>
      </c>
      <c r="P148" s="21" t="str">
        <f>IFERROR(__xludf.DUMMYFUNCTION("IFERROR((GOOGLEFINANCE(C148, ""price"") / INDEX(GOOGLEFINANCE(C148, ""price"", EDATE(TODAY(), -12), TODAY()), 2, 2)) - 1, """")"),"")</f>
        <v/>
      </c>
      <c r="Q148" s="6" t="str">
        <f>IFERROR(__xludf.DUMMYFUNCTION("AVERAGE(QUERY(GOOGLEFINANCE(C148, ""price"", TODAY()-80, TODAY()), ""SELECT Col2 WHERE Col2 IS NOT NULL ORDER BY Col1 DESC LIMIT 50"", 0))"),"#N/A")</f>
        <v>#N/A</v>
      </c>
      <c r="R148" s="24" t="str">
        <f>IFERROR(__xludf.DUMMYFUNCTION("IFERROR(
  LET(
    data, QUERY(GOOGLEFINANCE(C148,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GOOGLEFINANCE(C148, ""price"")) * 100,
    IF(calc=0, G148, calc)
  ), 
G148)"),"#N/A")</f>
        <v>#N/A</v>
      </c>
      <c r="S148" s="8" t="s">
        <v>15</v>
      </c>
      <c r="T148" s="26" t="str">
        <f>IFERROR(__xludf.DUMMYFUNCTION("IFERROR(TRANSPOSE(QUERY(IFERROR(SORT(GOOGLEFINANCE(C148, ""price"", WORKDAY(TODAY(), -40), TODAY()), 1, FALSE)), ""select Col2 where Col2 is not null limit 22 label Col2 ''"", 0)), """")"),"")</f>
        <v/>
      </c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8"/>
      <c r="AO148" s="28"/>
      <c r="AP148" s="29"/>
      <c r="AQ148" s="29" t="str">
        <f t="shared" ref="AQ148:BL148" si="151">T148/T$2</f>
        <v>#N/A</v>
      </c>
      <c r="AR148" s="29" t="str">
        <f t="shared" si="151"/>
        <v>#DIV/0!</v>
      </c>
      <c r="AS148" s="29" t="str">
        <f t="shared" si="151"/>
        <v>#DIV/0!</v>
      </c>
      <c r="AT148" s="29" t="str">
        <f t="shared" si="151"/>
        <v>#DIV/0!</v>
      </c>
      <c r="AU148" s="29" t="str">
        <f t="shared" si="151"/>
        <v>#DIV/0!</v>
      </c>
      <c r="AV148" s="29" t="str">
        <f t="shared" si="151"/>
        <v>#DIV/0!</v>
      </c>
      <c r="AW148" s="29" t="str">
        <f t="shared" si="151"/>
        <v>#DIV/0!</v>
      </c>
      <c r="AX148" s="29" t="str">
        <f t="shared" si="151"/>
        <v>#DIV/0!</v>
      </c>
      <c r="AY148" s="29" t="str">
        <f t="shared" si="151"/>
        <v>#DIV/0!</v>
      </c>
      <c r="AZ148" s="29" t="str">
        <f t="shared" si="151"/>
        <v>#DIV/0!</v>
      </c>
      <c r="BA148" s="29" t="str">
        <f t="shared" si="151"/>
        <v>#DIV/0!</v>
      </c>
      <c r="BB148" s="29" t="str">
        <f t="shared" si="151"/>
        <v>#DIV/0!</v>
      </c>
      <c r="BC148" s="29" t="str">
        <f t="shared" si="151"/>
        <v>#DIV/0!</v>
      </c>
      <c r="BD148" s="29" t="str">
        <f t="shared" si="151"/>
        <v>#DIV/0!</v>
      </c>
      <c r="BE148" s="29" t="str">
        <f t="shared" si="151"/>
        <v>#DIV/0!</v>
      </c>
      <c r="BF148" s="29" t="str">
        <f t="shared" si="151"/>
        <v>#DIV/0!</v>
      </c>
      <c r="BG148" s="29" t="str">
        <f t="shared" si="151"/>
        <v>#DIV/0!</v>
      </c>
      <c r="BH148" s="29" t="str">
        <f t="shared" si="151"/>
        <v>#DIV/0!</v>
      </c>
      <c r="BI148" s="29" t="str">
        <f t="shared" si="151"/>
        <v>#DIV/0!</v>
      </c>
      <c r="BJ148" s="29" t="str">
        <f t="shared" si="151"/>
        <v>#DIV/0!</v>
      </c>
      <c r="BK148" s="29" t="str">
        <f t="shared" si="151"/>
        <v>#DIV/0!</v>
      </c>
      <c r="BL148" s="29" t="str">
        <f t="shared" si="151"/>
        <v>#DIV/0!</v>
      </c>
      <c r="BM148" s="29" t="str">
        <f t="shared" si="3"/>
        <v>#DIV/0!</v>
      </c>
    </row>
    <row r="149">
      <c r="A149" s="16" t="str">
        <f>IFERROR(__xludf.DUMMYFUNCTION("IFERROR(SPARKLINE(SORT(MAP(TRANSPOSE(AQ149:BL149), LAMBDA(val, IF(ISNUMBER(val), PERCENTRANK(AQ149:BL149, val)+0.01, 0))), SEQUENCE(COLUMNS(AQ149:BL149)), FALSE), {""charttype"",""column""; ""color"",""chartreuse""; ""ymin"", 0; ""ymax"", 1.01; ""highcolo"&amp;"r"", ""darkgreen""; ""lowcolor"", ""red""}), """")"),"")</f>
        <v/>
      </c>
      <c r="B149" s="17" t="str">
        <f t="shared" si="4"/>
        <v/>
      </c>
      <c r="C149" s="1" t="s">
        <v>2629</v>
      </c>
      <c r="D149" s="30" t="str">
        <f>IFERROR(__xludf.DUMMYFUNCTION("IFERROR(GOOGLEFINANCE(C149, ""NAME""))"),"Mission Produce Inc")</f>
        <v>Mission Produce Inc</v>
      </c>
      <c r="E149" s="30" t="s">
        <v>2120</v>
      </c>
      <c r="F149" s="33" t="str">
        <f>IFERROR(__xludf.DUMMYFUNCTION("( (GOOGLEFINANCE(C149, ""price"") - Q149) / Q149 ) / (R149 / 100)"),"Loading...")</f>
        <v>Loading...</v>
      </c>
      <c r="G149" s="20" t="str">
        <f>IFERROR(__xludf.DUMMYFUNCTION("AVERAGE(ARRAYFORMULA(100 * (QUERY(GOOGLEFINANCE(C149, ""high"", TODAY()-40, TODAY()), ""SELECT Col2 WHERE Col2 IS NOT NULL ORDER BY Col1 DESC LIMIT 20"", 0) / QUERY(GOOGLEFINANCE(C149, ""low"", TODAY()-40, TODAY()), ""SELECT Col2 WHERE Col2 IS NOT NULL OR"&amp;"DER BY Col1 DESC LIMIT 20"", 0) - 1)))"),"#N/A")</f>
        <v>#N/A</v>
      </c>
      <c r="H149" s="35" t="str">
        <f t="shared" si="6"/>
        <v>Illiquid</v>
      </c>
      <c r="I149" s="36" t="str">
        <f t="shared" si="7"/>
        <v>RVol Required</v>
      </c>
      <c r="J149" s="37">
        <f>IFERROR(__xludf.DUMMYFUNCTION("IFERROR(
  IF(C149="""",, 
    IFERROR(
      GOOGLEFINANCE(C149, ""price"") * GOOGLEFINANCE(C149, ""volumeavg""), 
      GOOGLEFINANCE(C149, ""price"") * AVERAGE(QUERY(GOOGLEFINANCE(C149, ""volume"", TODAY()-40, TODAY()), ""SELECT Col2 WHERE Col2 IS NOT "&amp;"NULL ORDER BY Col1 DESC LIMIT 20"", 0))
    )
  ), 
"""")"),1.23372256E7)</f>
        <v>12337225.6</v>
      </c>
      <c r="K149" s="21">
        <f>IFERROR(__xludf.DUMMYFUNCTION("IFERROR(GOOGLEFINANCE(C149, ""changepct"") / 100, """")"),0.009899999999999999)</f>
        <v>0.0099</v>
      </c>
      <c r="L149" s="21" t="str">
        <f>IFERROR(__xludf.DUMMYFUNCTION("IFERROR((GOOGLEFINANCE(C149, ""price"") / INDEX(GOOGLEFINANCE(C149, ""price"", TODAY()-7, TODAY()), 2, 2)) - 1, """")"),"")</f>
        <v/>
      </c>
      <c r="M149" s="21" t="str">
        <f>IFERROR(__xludf.DUMMYFUNCTION("IFERROR((GOOGLEFINANCE(C149, ""price"") / INDEX(GOOGLEFINANCE(C149, ""price"", EDATE(TODAY(), -1), TODAY()), 2, 2)) - 1, """")"),"")</f>
        <v/>
      </c>
      <c r="N149" s="21" t="str">
        <f>IFERROR(__xludf.DUMMYFUNCTION("IFERROR((GOOGLEFINANCE(C149, ""price"") / INDEX(GOOGLEFINANCE(C149, ""price"", EDATE(TODAY(), -3), TODAY()), 2, 2)) - 1, """")"),"")</f>
        <v/>
      </c>
      <c r="O149" s="21" t="str">
        <f>IFERROR(__xludf.DUMMYFUNCTION("IFERROR((GOOGLEFINANCE(C149, ""price"") / INDEX(GOOGLEFINANCE(C149, ""price"", EDATE(TODAY(), -6), TODAY()), 2, 2)) - 1, """")"),"")</f>
        <v/>
      </c>
      <c r="P149" s="21" t="str">
        <f>IFERROR(__xludf.DUMMYFUNCTION("IFERROR((GOOGLEFINANCE(C149, ""price"") / INDEX(GOOGLEFINANCE(C149, ""price"", EDATE(TODAY(), -12), TODAY()), 2, 2)) - 1, """")"),"")</f>
        <v/>
      </c>
      <c r="Q149" s="6" t="str">
        <f>IFERROR(__xludf.DUMMYFUNCTION("AVERAGE(QUERY(GOOGLEFINANCE(C149, ""price"", TODAY()-80, TODAY()), ""SELECT Col2 WHERE Col2 IS NOT NULL ORDER BY Col1 DESC LIMIT 50"", 0))"),"#N/A")</f>
        <v>#N/A</v>
      </c>
      <c r="R149" s="24" t="str">
        <f>IFERROR(__xludf.DUMMYFUNCTION("IFERROR(
  LET(
    data, QUERY(GOOGLEFINANCE(C149,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GOOGLEFINANCE(C149, ""price"")) * 100,
    IF(calc=0, G149, calc)
  ), 
G149)"),"#N/A")</f>
        <v>#N/A</v>
      </c>
      <c r="S149" s="8" t="s">
        <v>15</v>
      </c>
      <c r="T149" s="26" t="str">
        <f>IFERROR(__xludf.DUMMYFUNCTION("IFERROR(TRANSPOSE(QUERY(IFERROR(SORT(GOOGLEFINANCE(C149, ""price"", WORKDAY(TODAY(), -40), TODAY()), 1, FALSE)), ""select Col2 where Col2 is not null limit 22 label Col2 ''"", 0)), """")"),"")</f>
        <v/>
      </c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8"/>
      <c r="AO149" s="28"/>
      <c r="AP149" s="29"/>
      <c r="AQ149" s="29" t="str">
        <f t="shared" ref="AQ149:BL149" si="152">T149/T$2</f>
        <v>#N/A</v>
      </c>
      <c r="AR149" s="29" t="str">
        <f t="shared" si="152"/>
        <v>#DIV/0!</v>
      </c>
      <c r="AS149" s="29" t="str">
        <f t="shared" si="152"/>
        <v>#DIV/0!</v>
      </c>
      <c r="AT149" s="29" t="str">
        <f t="shared" si="152"/>
        <v>#DIV/0!</v>
      </c>
      <c r="AU149" s="29" t="str">
        <f t="shared" si="152"/>
        <v>#DIV/0!</v>
      </c>
      <c r="AV149" s="29" t="str">
        <f t="shared" si="152"/>
        <v>#DIV/0!</v>
      </c>
      <c r="AW149" s="29" t="str">
        <f t="shared" si="152"/>
        <v>#DIV/0!</v>
      </c>
      <c r="AX149" s="29" t="str">
        <f t="shared" si="152"/>
        <v>#DIV/0!</v>
      </c>
      <c r="AY149" s="29" t="str">
        <f t="shared" si="152"/>
        <v>#DIV/0!</v>
      </c>
      <c r="AZ149" s="29" t="str">
        <f t="shared" si="152"/>
        <v>#DIV/0!</v>
      </c>
      <c r="BA149" s="29" t="str">
        <f t="shared" si="152"/>
        <v>#DIV/0!</v>
      </c>
      <c r="BB149" s="29" t="str">
        <f t="shared" si="152"/>
        <v>#DIV/0!</v>
      </c>
      <c r="BC149" s="29" t="str">
        <f t="shared" si="152"/>
        <v>#DIV/0!</v>
      </c>
      <c r="BD149" s="29" t="str">
        <f t="shared" si="152"/>
        <v>#DIV/0!</v>
      </c>
      <c r="BE149" s="29" t="str">
        <f t="shared" si="152"/>
        <v>#DIV/0!</v>
      </c>
      <c r="BF149" s="29" t="str">
        <f t="shared" si="152"/>
        <v>#DIV/0!</v>
      </c>
      <c r="BG149" s="29" t="str">
        <f t="shared" si="152"/>
        <v>#DIV/0!</v>
      </c>
      <c r="BH149" s="29" t="str">
        <f t="shared" si="152"/>
        <v>#DIV/0!</v>
      </c>
      <c r="BI149" s="29" t="str">
        <f t="shared" si="152"/>
        <v>#DIV/0!</v>
      </c>
      <c r="BJ149" s="29" t="str">
        <f t="shared" si="152"/>
        <v>#DIV/0!</v>
      </c>
      <c r="BK149" s="29" t="str">
        <f t="shared" si="152"/>
        <v>#DIV/0!</v>
      </c>
      <c r="BL149" s="29" t="str">
        <f t="shared" si="152"/>
        <v>#DIV/0!</v>
      </c>
      <c r="BM149" s="29" t="str">
        <f t="shared" si="3"/>
        <v>#DIV/0!</v>
      </c>
    </row>
    <row r="150">
      <c r="A150" s="16" t="str">
        <f>IFERROR(__xludf.DUMMYFUNCTION("IFERROR(SPARKLINE(SORT(MAP(TRANSPOSE(AQ150:BL150), LAMBDA(val, IF(ISNUMBER(val), PERCENTRANK(AQ150:BL150, val)+0.01, 0))), SEQUENCE(COLUMNS(AQ150:BL150)), FALSE), {""charttype"",""column""; ""color"",""chartreuse""; ""ymin"", 0; ""ymax"", 1.01; ""highcolo"&amp;"r"", ""darkgreen""; ""lowcolor"", ""red""}), """")"),"")</f>
        <v/>
      </c>
      <c r="B150" s="17" t="str">
        <f t="shared" si="4"/>
        <v/>
      </c>
      <c r="C150" s="1" t="s">
        <v>2635</v>
      </c>
      <c r="D150" s="30" t="str">
        <f>IFERROR(__xludf.DUMMYFUNCTION("IFERROR(GOOGLEFINANCE(C150, ""NAME""))"),"American Public Education, Inc.")</f>
        <v>American Public Education, Inc.</v>
      </c>
      <c r="E150" s="30" t="s">
        <v>2069</v>
      </c>
      <c r="F150" s="33" t="str">
        <f>IFERROR(__xludf.DUMMYFUNCTION("( (GOOGLEFINANCE(C150, ""price"") - Q150) / Q150 ) / (R150 / 100)"),"Loading...")</f>
        <v>Loading...</v>
      </c>
      <c r="G150" s="20" t="str">
        <f>IFERROR(__xludf.DUMMYFUNCTION("AVERAGE(ARRAYFORMULA(100 * (QUERY(GOOGLEFINANCE(C150, ""high"", TODAY()-40, TODAY()), ""SELECT Col2 WHERE Col2 IS NOT NULL ORDER BY Col1 DESC LIMIT 20"", 0) / QUERY(GOOGLEFINANCE(C150, ""low"", TODAY()-40, TODAY()), ""SELECT Col2 WHERE Col2 IS NOT NULL OR"&amp;"DER BY Col1 DESC LIMIT 20"", 0) - 1)))"),"#N/A")</f>
        <v>#N/A</v>
      </c>
      <c r="H150" s="35" t="str">
        <f t="shared" si="6"/>
        <v>Illiquid</v>
      </c>
      <c r="I150" s="36" t="str">
        <f t="shared" si="7"/>
        <v>RVol Required</v>
      </c>
      <c r="J150" s="37">
        <f>IFERROR(__xludf.DUMMYFUNCTION("IFERROR(
  IF(C150="""",, 
    IFERROR(
      GOOGLEFINANCE(C150, ""price"") * GOOGLEFINANCE(C150, ""volumeavg""), 
      GOOGLEFINANCE(C150, ""price"") * AVERAGE(QUERY(GOOGLEFINANCE(C150, ""volume"", TODAY()-40, TODAY()), ""SELECT Col2 WHERE Col2 IS NOT "&amp;"NULL ORDER BY Col1 DESC LIMIT 20"", 0))
    )
  ), 
"""")"),1.210354383E7)</f>
        <v>12103543.83</v>
      </c>
      <c r="K150" s="21">
        <f>IFERROR(__xludf.DUMMYFUNCTION("IFERROR(GOOGLEFINANCE(C150, ""changepct"") / 100, """")"),0.0012)</f>
        <v>0.0012</v>
      </c>
      <c r="L150" s="21" t="str">
        <f>IFERROR(__xludf.DUMMYFUNCTION("IFERROR((GOOGLEFINANCE(C150, ""price"") / INDEX(GOOGLEFINANCE(C150, ""price"", TODAY()-7, TODAY()), 2, 2)) - 1, """")"),"")</f>
        <v/>
      </c>
      <c r="M150" s="21" t="str">
        <f>IFERROR(__xludf.DUMMYFUNCTION("IFERROR((GOOGLEFINANCE(C150, ""price"") / INDEX(GOOGLEFINANCE(C150, ""price"", EDATE(TODAY(), -1), TODAY()), 2, 2)) - 1, """")"),"")</f>
        <v/>
      </c>
      <c r="N150" s="21" t="str">
        <f>IFERROR(__xludf.DUMMYFUNCTION("IFERROR((GOOGLEFINANCE(C150, ""price"") / INDEX(GOOGLEFINANCE(C150, ""price"", EDATE(TODAY(), -3), TODAY()), 2, 2)) - 1, """")"),"")</f>
        <v/>
      </c>
      <c r="O150" s="21" t="str">
        <f>IFERROR(__xludf.DUMMYFUNCTION("IFERROR((GOOGLEFINANCE(C150, ""price"") / INDEX(GOOGLEFINANCE(C150, ""price"", EDATE(TODAY(), -6), TODAY()), 2, 2)) - 1, """")"),"")</f>
        <v/>
      </c>
      <c r="P150" s="21" t="str">
        <f>IFERROR(__xludf.DUMMYFUNCTION("IFERROR((GOOGLEFINANCE(C150, ""price"") / INDEX(GOOGLEFINANCE(C150, ""price"", EDATE(TODAY(), -12), TODAY()), 2, 2)) - 1, """")"),"")</f>
        <v/>
      </c>
      <c r="Q150" s="6" t="str">
        <f>IFERROR(__xludf.DUMMYFUNCTION("AVERAGE(QUERY(GOOGLEFINANCE(C150, ""price"", TODAY()-80, TODAY()), ""SELECT Col2 WHERE Col2 IS NOT NULL ORDER BY Col1 DESC LIMIT 50"", 0))"),"#N/A")</f>
        <v>#N/A</v>
      </c>
      <c r="R150" s="24" t="str">
        <f>IFERROR(__xludf.DUMMYFUNCTION("IFERROR(
  LET(
    data, QUERY(GOOGLEFINANCE(C150,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GOOGLEFINANCE(C150, ""price"")) * 100,
    IF(calc=0, G150, calc)
  ), 
G150)"),"#N/A")</f>
        <v>#N/A</v>
      </c>
      <c r="S150" s="8" t="s">
        <v>15</v>
      </c>
      <c r="T150" s="26" t="str">
        <f>IFERROR(__xludf.DUMMYFUNCTION("IFERROR(TRANSPOSE(QUERY(IFERROR(SORT(GOOGLEFINANCE(C150, ""price"", WORKDAY(TODAY(), -40), TODAY()), 1, FALSE)), ""select Col2 where Col2 is not null limit 22 label Col2 ''"", 0)), """")"),"")</f>
        <v/>
      </c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8"/>
      <c r="AO150" s="28"/>
      <c r="AP150" s="29"/>
      <c r="AQ150" s="29" t="str">
        <f t="shared" ref="AQ150:BL150" si="153">T150/T$2</f>
        <v>#N/A</v>
      </c>
      <c r="AR150" s="29" t="str">
        <f t="shared" si="153"/>
        <v>#DIV/0!</v>
      </c>
      <c r="AS150" s="29" t="str">
        <f t="shared" si="153"/>
        <v>#DIV/0!</v>
      </c>
      <c r="AT150" s="29" t="str">
        <f t="shared" si="153"/>
        <v>#DIV/0!</v>
      </c>
      <c r="AU150" s="29" t="str">
        <f t="shared" si="153"/>
        <v>#DIV/0!</v>
      </c>
      <c r="AV150" s="29" t="str">
        <f t="shared" si="153"/>
        <v>#DIV/0!</v>
      </c>
      <c r="AW150" s="29" t="str">
        <f t="shared" si="153"/>
        <v>#DIV/0!</v>
      </c>
      <c r="AX150" s="29" t="str">
        <f t="shared" si="153"/>
        <v>#DIV/0!</v>
      </c>
      <c r="AY150" s="29" t="str">
        <f t="shared" si="153"/>
        <v>#DIV/0!</v>
      </c>
      <c r="AZ150" s="29" t="str">
        <f t="shared" si="153"/>
        <v>#DIV/0!</v>
      </c>
      <c r="BA150" s="29" t="str">
        <f t="shared" si="153"/>
        <v>#DIV/0!</v>
      </c>
      <c r="BB150" s="29" t="str">
        <f t="shared" si="153"/>
        <v>#DIV/0!</v>
      </c>
      <c r="BC150" s="29" t="str">
        <f t="shared" si="153"/>
        <v>#DIV/0!</v>
      </c>
      <c r="BD150" s="29" t="str">
        <f t="shared" si="153"/>
        <v>#DIV/0!</v>
      </c>
      <c r="BE150" s="29" t="str">
        <f t="shared" si="153"/>
        <v>#DIV/0!</v>
      </c>
      <c r="BF150" s="29" t="str">
        <f t="shared" si="153"/>
        <v>#DIV/0!</v>
      </c>
      <c r="BG150" s="29" t="str">
        <f t="shared" si="153"/>
        <v>#DIV/0!</v>
      </c>
      <c r="BH150" s="29" t="str">
        <f t="shared" si="153"/>
        <v>#DIV/0!</v>
      </c>
      <c r="BI150" s="29" t="str">
        <f t="shared" si="153"/>
        <v>#DIV/0!</v>
      </c>
      <c r="BJ150" s="29" t="str">
        <f t="shared" si="153"/>
        <v>#DIV/0!</v>
      </c>
      <c r="BK150" s="29" t="str">
        <f t="shared" si="153"/>
        <v>#DIV/0!</v>
      </c>
      <c r="BL150" s="29" t="str">
        <f t="shared" si="153"/>
        <v>#DIV/0!</v>
      </c>
      <c r="BM150" s="29" t="str">
        <f t="shared" si="3"/>
        <v>#DIV/0!</v>
      </c>
    </row>
    <row r="151">
      <c r="A151" s="16" t="str">
        <f>IFERROR(__xludf.DUMMYFUNCTION("IFERROR(SPARKLINE(SORT(MAP(TRANSPOSE(AQ151:BL151), LAMBDA(val, IF(ISNUMBER(val), PERCENTRANK(AQ151:BL151, val)+0.01, 0))), SEQUENCE(COLUMNS(AQ151:BL151)), FALSE), {""charttype"",""column""; ""color"",""chartreuse""; ""ymin"", 0; ""ymax"", 1.01; ""highcolo"&amp;"r"", ""darkgreen""; ""lowcolor"", ""red""}), """")"),"")</f>
        <v/>
      </c>
      <c r="B151" s="17" t="str">
        <f t="shared" si="4"/>
        <v/>
      </c>
      <c r="C151" s="1" t="s">
        <v>2639</v>
      </c>
      <c r="D151" s="30" t="str">
        <f>IFERROR(__xludf.DUMMYFUNCTION("IFERROR(GOOGLEFINANCE(C151, ""NAME""))"),"Embotelladora Andina SA ADR Series A")</f>
        <v>Embotelladora Andina SA ADR Series A</v>
      </c>
      <c r="E151" s="30" t="s">
        <v>2083</v>
      </c>
      <c r="F151" s="33" t="str">
        <f>IFERROR(__xludf.DUMMYFUNCTION("( (GOOGLEFINANCE(C151, ""price"") - Q151) / Q151 ) / (R151 / 100)"),"Loading...")</f>
        <v>Loading...</v>
      </c>
      <c r="G151" s="20" t="str">
        <f>IFERROR(__xludf.DUMMYFUNCTION("AVERAGE(ARRAYFORMULA(100 * (QUERY(GOOGLEFINANCE(C151, ""high"", TODAY()-40, TODAY()), ""SELECT Col2 WHERE Col2 IS NOT NULL ORDER BY Col1 DESC LIMIT 20"", 0) / QUERY(GOOGLEFINANCE(C151, ""low"", TODAY()-40, TODAY()), ""SELECT Col2 WHERE Col2 IS NOT NULL OR"&amp;"DER BY Col1 DESC LIMIT 20"", 0) - 1)))"),"#N/A")</f>
        <v>#N/A</v>
      </c>
      <c r="H151" s="35" t="str">
        <f t="shared" si="6"/>
        <v>Illiquid</v>
      </c>
      <c r="I151" s="36" t="str">
        <f t="shared" si="7"/>
        <v>RVol Required</v>
      </c>
      <c r="J151" s="37">
        <f>IFERROR(__xludf.DUMMYFUNCTION("IFERROR(
  IF(C151="""",, 
    IFERROR(
      GOOGLEFINANCE(C151, ""price"") * GOOGLEFINANCE(C151, ""volumeavg""), 
      GOOGLEFINANCE(C151, ""price"") * AVERAGE(QUERY(GOOGLEFINANCE(C151, ""volume"", TODAY()-40, TODAY()), ""SELECT Col2 WHERE Col2 IS NOT "&amp;"NULL ORDER BY Col1 DESC LIMIT 20"", 0))
    )
  ), 
"""")"),8720.11)</f>
        <v>8720.11</v>
      </c>
      <c r="K151" s="21">
        <f>IFERROR(__xludf.DUMMYFUNCTION("IFERROR(GOOGLEFINANCE(C151, ""changepct"") / 100, """")"),0.0163)</f>
        <v>0.0163</v>
      </c>
      <c r="L151" s="21" t="str">
        <f>IFERROR(__xludf.DUMMYFUNCTION("IFERROR((GOOGLEFINANCE(C151, ""price"") / INDEX(GOOGLEFINANCE(C151, ""price"", TODAY()-7, TODAY()), 2, 2)) - 1, """")"),"")</f>
        <v/>
      </c>
      <c r="M151" s="21" t="str">
        <f>IFERROR(__xludf.DUMMYFUNCTION("IFERROR((GOOGLEFINANCE(C151, ""price"") / INDEX(GOOGLEFINANCE(C151, ""price"", EDATE(TODAY(), -1), TODAY()), 2, 2)) - 1, """")"),"")</f>
        <v/>
      </c>
      <c r="N151" s="21" t="str">
        <f>IFERROR(__xludf.DUMMYFUNCTION("IFERROR((GOOGLEFINANCE(C151, ""price"") / INDEX(GOOGLEFINANCE(C151, ""price"", EDATE(TODAY(), -3), TODAY()), 2, 2)) - 1, """")"),"")</f>
        <v/>
      </c>
      <c r="O151" s="21" t="str">
        <f>IFERROR(__xludf.DUMMYFUNCTION("IFERROR((GOOGLEFINANCE(C151, ""price"") / INDEX(GOOGLEFINANCE(C151, ""price"", EDATE(TODAY(), -6), TODAY()), 2, 2)) - 1, """")"),"")</f>
        <v/>
      </c>
      <c r="P151" s="21" t="str">
        <f>IFERROR(__xludf.DUMMYFUNCTION("IFERROR((GOOGLEFINANCE(C151, ""price"") / INDEX(GOOGLEFINANCE(C151, ""price"", EDATE(TODAY(), -12), TODAY()), 2, 2)) - 1, """")"),"")</f>
        <v/>
      </c>
      <c r="Q151" s="6" t="str">
        <f>IFERROR(__xludf.DUMMYFUNCTION("AVERAGE(QUERY(GOOGLEFINANCE(C151, ""price"", TODAY()-80, TODAY()), ""SELECT Col2 WHERE Col2 IS NOT NULL ORDER BY Col1 DESC LIMIT 50"", 0))"),"#N/A")</f>
        <v>#N/A</v>
      </c>
      <c r="R151" s="24" t="str">
        <f>IFERROR(__xludf.DUMMYFUNCTION("IFERROR(
  LET(
    data, QUERY(GOOGLEFINANCE(C151,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GOOGLEFINANCE(C151, ""price"")) * 100,
    IF(calc=0, G151, calc)
  ), 
G151)"),"#N/A")</f>
        <v>#N/A</v>
      </c>
      <c r="S151" s="8" t="s">
        <v>15</v>
      </c>
      <c r="T151" s="26" t="str">
        <f>IFERROR(__xludf.DUMMYFUNCTION("IFERROR(TRANSPOSE(QUERY(IFERROR(SORT(GOOGLEFINANCE(C151, ""price"", WORKDAY(TODAY(), -40), TODAY()), 1, FALSE)), ""select Col2 where Col2 is not null limit 22 label Col2 ''"", 0)), """")"),"")</f>
        <v/>
      </c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8"/>
      <c r="AO151" s="28"/>
      <c r="AP151" s="29"/>
      <c r="AQ151" s="29" t="str">
        <f t="shared" ref="AQ151:BL151" si="154">T151/T$2</f>
        <v>#N/A</v>
      </c>
      <c r="AR151" s="29" t="str">
        <f t="shared" si="154"/>
        <v>#DIV/0!</v>
      </c>
      <c r="AS151" s="29" t="str">
        <f t="shared" si="154"/>
        <v>#DIV/0!</v>
      </c>
      <c r="AT151" s="29" t="str">
        <f t="shared" si="154"/>
        <v>#DIV/0!</v>
      </c>
      <c r="AU151" s="29" t="str">
        <f t="shared" si="154"/>
        <v>#DIV/0!</v>
      </c>
      <c r="AV151" s="29" t="str">
        <f t="shared" si="154"/>
        <v>#DIV/0!</v>
      </c>
      <c r="AW151" s="29" t="str">
        <f t="shared" si="154"/>
        <v>#DIV/0!</v>
      </c>
      <c r="AX151" s="29" t="str">
        <f t="shared" si="154"/>
        <v>#DIV/0!</v>
      </c>
      <c r="AY151" s="29" t="str">
        <f t="shared" si="154"/>
        <v>#DIV/0!</v>
      </c>
      <c r="AZ151" s="29" t="str">
        <f t="shared" si="154"/>
        <v>#DIV/0!</v>
      </c>
      <c r="BA151" s="29" t="str">
        <f t="shared" si="154"/>
        <v>#DIV/0!</v>
      </c>
      <c r="BB151" s="29" t="str">
        <f t="shared" si="154"/>
        <v>#DIV/0!</v>
      </c>
      <c r="BC151" s="29" t="str">
        <f t="shared" si="154"/>
        <v>#DIV/0!</v>
      </c>
      <c r="BD151" s="29" t="str">
        <f t="shared" si="154"/>
        <v>#DIV/0!</v>
      </c>
      <c r="BE151" s="29" t="str">
        <f t="shared" si="154"/>
        <v>#DIV/0!</v>
      </c>
      <c r="BF151" s="29" t="str">
        <f t="shared" si="154"/>
        <v>#DIV/0!</v>
      </c>
      <c r="BG151" s="29" t="str">
        <f t="shared" si="154"/>
        <v>#DIV/0!</v>
      </c>
      <c r="BH151" s="29" t="str">
        <f t="shared" si="154"/>
        <v>#DIV/0!</v>
      </c>
      <c r="BI151" s="29" t="str">
        <f t="shared" si="154"/>
        <v>#DIV/0!</v>
      </c>
      <c r="BJ151" s="29" t="str">
        <f t="shared" si="154"/>
        <v>#DIV/0!</v>
      </c>
      <c r="BK151" s="29" t="str">
        <f t="shared" si="154"/>
        <v>#DIV/0!</v>
      </c>
      <c r="BL151" s="29" t="str">
        <f t="shared" si="154"/>
        <v>#DIV/0!</v>
      </c>
      <c r="BM151" s="29" t="str">
        <f t="shared" si="3"/>
        <v>#DIV/0!</v>
      </c>
    </row>
  </sheetData>
  <mergeCells count="5">
    <mergeCell ref="E1:E3"/>
    <mergeCell ref="G1:G3"/>
    <mergeCell ref="H1:H3"/>
    <mergeCell ref="I1:I3"/>
    <mergeCell ref="J1:J3"/>
  </mergeCells>
  <conditionalFormatting sqref="H4:H151">
    <cfRule type="cellIs" dxfId="8" priority="1" operator="equal">
      <formula>"Liquid"</formula>
    </cfRule>
  </conditionalFormatting>
  <conditionalFormatting sqref="I4:I151">
    <cfRule type="containsText" dxfId="8" priority="2" operator="containsText" text="No">
      <formula>NOT(ISERROR(SEARCH(("No"),(I4))))</formula>
    </cfRule>
  </conditionalFormatting>
  <conditionalFormatting sqref="K1:P151">
    <cfRule type="cellIs" dxfId="0" priority="3" operator="lessThan">
      <formula>0</formula>
    </cfRule>
  </conditionalFormatting>
  <conditionalFormatting sqref="A1:BM151">
    <cfRule type="containsBlanks" dxfId="1" priority="4">
      <formula>LEN(TRIM(A1))=0</formula>
    </cfRule>
  </conditionalFormatting>
  <conditionalFormatting sqref="C1:C151">
    <cfRule type="expression" dxfId="2" priority="5">
      <formula>COUNTIF($C:$C, C1) &gt; 1</formula>
    </cfRule>
  </conditionalFormatting>
  <conditionalFormatting sqref="F1:F151">
    <cfRule type="cellIs" dxfId="3" priority="6" operator="greaterThanOrEqual">
      <formula>8</formula>
    </cfRule>
  </conditionalFormatting>
  <conditionalFormatting sqref="F1:F151">
    <cfRule type="cellIs" dxfId="4" priority="7" operator="greaterThanOrEqual">
      <formula>5</formula>
    </cfRule>
  </conditionalFormatting>
  <conditionalFormatting sqref="F1:F151">
    <cfRule type="cellIs" dxfId="5" priority="8" operator="between">
      <formula>5</formula>
      <formula>-1</formula>
    </cfRule>
  </conditionalFormatting>
  <conditionalFormatting sqref="F1:F151">
    <cfRule type="cellIs" dxfId="6" priority="9" operator="lessThan">
      <formula>-5</formula>
    </cfRule>
  </conditionalFormatting>
  <conditionalFormatting sqref="G1:H151">
    <cfRule type="cellIs" dxfId="7" priority="10" operator="greaterThanOrEqual">
      <formula>4</formula>
    </cfRule>
  </conditionalFormatting>
  <conditionalFormatting sqref="F1:F151">
    <cfRule type="cellIs" dxfId="9" priority="11" operator="lessThan">
      <formula>-1</formula>
    </cfRule>
  </conditionalFormatting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2.13"/>
    <col customWidth="1" min="2" max="2" width="9.13"/>
    <col customWidth="1" min="3" max="3" width="8.25"/>
    <col customWidth="1" min="4" max="4" width="35.63"/>
    <col customWidth="1" min="5" max="5" width="25.63"/>
    <col customWidth="1" min="6" max="6" width="11.25"/>
    <col customWidth="1" min="7" max="7" width="8.25"/>
    <col customWidth="1" min="8" max="8" width="6.75"/>
    <col customWidth="1" min="9" max="9" width="14.75"/>
    <col customWidth="1" min="10" max="10" width="13.63"/>
    <col customWidth="1" min="11" max="11" width="6.63"/>
    <col customWidth="1" min="12" max="12" width="7.13"/>
    <col customWidth="1" min="13" max="13" width="7.38"/>
    <col customWidth="1" min="14" max="14" width="7.63"/>
    <col customWidth="1" min="15" max="15" width="8.0"/>
    <col customWidth="1" min="16" max="16" width="8.75"/>
    <col customWidth="1" min="17" max="17" width="9.38"/>
    <col customWidth="1" min="18" max="18" width="8.63"/>
    <col customWidth="1" min="19" max="19" width="1.63"/>
    <col customWidth="1" min="20" max="20" width="9.25"/>
    <col customWidth="1" min="21" max="22" width="10.75"/>
    <col customWidth="1" min="23" max="23" width="10.88"/>
    <col customWidth="1" min="24" max="24" width="10.75"/>
    <col customWidth="1" min="25" max="25" width="10.88"/>
    <col customWidth="1" min="26" max="26" width="10.75"/>
    <col customWidth="1" min="27" max="28" width="10.88"/>
    <col customWidth="1" min="29" max="29" width="11.5"/>
    <col customWidth="1" min="30" max="30" width="11.0"/>
    <col customWidth="1" min="31" max="32" width="11.25"/>
    <col customWidth="1" min="33" max="33" width="11.5"/>
    <col customWidth="1" min="34" max="38" width="11.38"/>
    <col customWidth="1" min="39" max="39" width="11.75"/>
    <col customWidth="1" min="40" max="40" width="11.38"/>
    <col customWidth="1" min="41" max="41" width="11.63"/>
    <col customWidth="1" min="42" max="42" width="14.5"/>
    <col customWidth="1" min="43" max="64" width="5.5"/>
    <col customWidth="1" min="65" max="65" width="5.3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5" t="s">
        <v>5</v>
      </c>
      <c r="F1" s="3" t="s">
        <v>4</v>
      </c>
      <c r="G1" s="9" t="s">
        <v>6</v>
      </c>
      <c r="H1" s="5" t="s">
        <v>17</v>
      </c>
      <c r="I1" s="5" t="s">
        <v>19</v>
      </c>
      <c r="J1" s="5" t="s">
        <v>23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6" t="s">
        <v>13</v>
      </c>
      <c r="R1" s="7" t="s">
        <v>14</v>
      </c>
      <c r="S1" s="8" t="s">
        <v>15</v>
      </c>
      <c r="T1" s="10" t="s">
        <v>16</v>
      </c>
      <c r="U1" s="11" t="s">
        <v>18</v>
      </c>
      <c r="V1" s="12" t="s">
        <v>20</v>
      </c>
      <c r="W1" s="11" t="s">
        <v>21</v>
      </c>
      <c r="X1" s="12" t="s">
        <v>22</v>
      </c>
      <c r="Y1" s="11" t="s">
        <v>24</v>
      </c>
      <c r="Z1" s="11" t="s">
        <v>25</v>
      </c>
      <c r="AA1" s="12" t="s">
        <v>26</v>
      </c>
      <c r="AB1" s="11" t="s">
        <v>27</v>
      </c>
      <c r="AC1" s="12" t="s">
        <v>28</v>
      </c>
      <c r="AD1" s="11" t="s">
        <v>29</v>
      </c>
      <c r="AE1" s="11" t="s">
        <v>30</v>
      </c>
      <c r="AF1" s="12" t="s">
        <v>31</v>
      </c>
      <c r="AG1" s="11" t="s">
        <v>32</v>
      </c>
      <c r="AH1" s="12" t="s">
        <v>33</v>
      </c>
      <c r="AI1" s="11" t="s">
        <v>34</v>
      </c>
      <c r="AJ1" s="11" t="s">
        <v>35</v>
      </c>
      <c r="AK1" s="12" t="s">
        <v>36</v>
      </c>
      <c r="AL1" s="11" t="s">
        <v>37</v>
      </c>
      <c r="AM1" s="12" t="s">
        <v>38</v>
      </c>
      <c r="AN1" s="11" t="s">
        <v>39</v>
      </c>
      <c r="AO1" s="11" t="s">
        <v>40</v>
      </c>
      <c r="AP1" s="13"/>
      <c r="AQ1" s="14">
        <v>1.0</v>
      </c>
      <c r="AR1" s="14">
        <v>2.0</v>
      </c>
      <c r="AS1" s="14">
        <v>3.0</v>
      </c>
      <c r="AT1" s="14">
        <v>4.0</v>
      </c>
      <c r="AU1" s="14">
        <v>5.0</v>
      </c>
      <c r="AV1" s="14">
        <v>6.0</v>
      </c>
      <c r="AW1" s="14">
        <v>7.0</v>
      </c>
      <c r="AX1" s="14">
        <v>8.0</v>
      </c>
      <c r="AY1" s="14">
        <v>9.0</v>
      </c>
      <c r="AZ1" s="14">
        <v>10.0</v>
      </c>
      <c r="BA1" s="14">
        <v>11.0</v>
      </c>
      <c r="BB1" s="14">
        <v>12.0</v>
      </c>
      <c r="BC1" s="14">
        <v>13.0</v>
      </c>
      <c r="BD1" s="14">
        <v>14.0</v>
      </c>
      <c r="BE1" s="14">
        <v>15.0</v>
      </c>
      <c r="BF1" s="14">
        <v>16.0</v>
      </c>
      <c r="BG1" s="14">
        <v>17.0</v>
      </c>
      <c r="BH1" s="14">
        <v>18.0</v>
      </c>
      <c r="BI1" s="14">
        <v>19.0</v>
      </c>
      <c r="BJ1" s="14">
        <v>20.0</v>
      </c>
      <c r="BK1" s="14">
        <v>21.0</v>
      </c>
      <c r="BL1" s="14">
        <v>22.0</v>
      </c>
      <c r="BM1" s="14" t="s">
        <v>41</v>
      </c>
    </row>
    <row r="2" hidden="1">
      <c r="A2" s="16" t="str">
        <f>IFERROR(__xludf.DUMMYFUNCTION("SPARKLINE(SORT(MAP(TRANSPOSE(AQ2:BL2), LAMBDA(val, PERCENTRANK(AQ2:BL2, val)+0.01)), SEQUENCE(COLUMNS(AQ2:BL2)), FALSE), {""charttype"",""column""; ""color"",""chartreuse""; ""ymin"", 0; ""ymax"", 1.01; ""highcolor"", ""darkgreen""; ""lowcolor"", ""red""}"&amp;")"),"#N/A")</f>
        <v>#N/A</v>
      </c>
      <c r="B2" s="17">
        <f>IF(C2="SPY", 1, PERCENTRANK(AQ2:BL2, AQ2))</f>
        <v>1</v>
      </c>
      <c r="C2" s="1" t="s">
        <v>42</v>
      </c>
      <c r="D2" s="18" t="str">
        <f>IFERROR(__xludf.DUMMYFUNCTION("IFERROR(GOOGLEFINANCE(C2, ""NAME""))"),"State Street SPDR S&amp;P 500 ETF Trust")</f>
        <v>State Street SPDR S&amp;P 500 ETF Trust</v>
      </c>
      <c r="E2" s="39"/>
      <c r="F2" s="19" t="str">
        <f>IFERROR(__xludf.DUMMYFUNCTION("( (GOOGLEFINANCE(C2, ""price"") - Q2) / Q2 ) / (R2 / 100)"),"Loading...")</f>
        <v>Loading...</v>
      </c>
      <c r="G2" s="40"/>
      <c r="H2" s="39"/>
      <c r="I2" s="39"/>
      <c r="J2" s="39"/>
      <c r="K2" s="21">
        <f>IFERROR(__xludf.DUMMYFUNCTION("IFERROR(GOOGLEFINANCE(C2, ""changepct"") / 100, """")"),-0.0111)</f>
        <v>-0.0111</v>
      </c>
      <c r="L2" s="21" t="str">
        <f>IFERROR(__xludf.DUMMYFUNCTION("IFERROR((GOOGLEFINANCE(C2, ""price"") / INDEX(GOOGLEFINANCE(C2, ""price"", TODAY()-7, TODAY()), 2, 2)) - 1, """")"),"")</f>
        <v/>
      </c>
      <c r="M2" s="21" t="str">
        <f>IFERROR(__xludf.DUMMYFUNCTION("IFERROR((GOOGLEFINANCE(C2, ""price"") / INDEX(GOOGLEFINANCE(C2, ""price"", EDATE(TODAY(), -1), TODAY()), 2, 2)) - 1, """")"),"")</f>
        <v/>
      </c>
      <c r="N2" s="21" t="str">
        <f>IFERROR(__xludf.DUMMYFUNCTION("IFERROR((GOOGLEFINANCE(C2, ""price"") / INDEX(GOOGLEFINANCE(C2, ""price"", EDATE(TODAY(), -3), TODAY()), 2, 2)) - 1, """")"),"")</f>
        <v/>
      </c>
      <c r="O2" s="21" t="str">
        <f>IFERROR(__xludf.DUMMYFUNCTION("IFERROR((GOOGLEFINANCE(C2, ""price"") / INDEX(GOOGLEFINANCE(C2, ""price"", EDATE(TODAY(), -6), TODAY()), 2, 2)) - 1, """")"),"")</f>
        <v/>
      </c>
      <c r="P2" s="21" t="str">
        <f>IFERROR(__xludf.DUMMYFUNCTION("IFERROR((GOOGLEFINANCE(C2, ""price"") / INDEX(GOOGLEFINANCE(C2, ""price"", EDATE(TODAY(), -12), TODAY()), 2, 2)) - 1, """")"),"")</f>
        <v/>
      </c>
      <c r="Q2" s="23" t="str">
        <f>IFERROR(__xludf.DUMMYFUNCTION("AVERAGE(QUERY(GOOGLEFINANCE(C2, ""price"", TODAY()-80, TODAY()), ""SELECT Col2 WHERE Col2 IS NOT NULL ORDER BY Col1 DESC LIMIT 50"", 0))"),"#N/A")</f>
        <v>#N/A</v>
      </c>
      <c r="R2" s="24" t="str">
        <f>IFERROR(__xludf.DUMMYFUNCTION("IFERROR(
  LET(
    data, QUERY(GOOGLEFINANCE(C2,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GOOGLEFINANCE(C2, ""price"")) * 100,
    IF(calc=0, G2, calc)
  ), 
G2)"),"")</f>
        <v/>
      </c>
      <c r="S2" s="8" t="s">
        <v>15</v>
      </c>
      <c r="T2" s="26" t="str">
        <f>IFERROR(__xludf.DUMMYFUNCTION("TRANSPOSE(QUERY(SORT(GOOGLEFINANCE(C2, ""price"", WORKDAY(TODAY(), -40), TODAY()), 1, FALSE), ""select Col2 where Col2 is not null limit 22 label Col2 ''"", 0))"),"#N/A")</f>
        <v>#N/A</v>
      </c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8"/>
      <c r="AO2" s="28"/>
      <c r="AP2" s="29"/>
      <c r="AQ2" s="29" t="str">
        <f t="shared" ref="AQ2:BL2" si="1">T2/T$2</f>
        <v>#N/A</v>
      </c>
      <c r="AR2" s="29" t="str">
        <f t="shared" si="1"/>
        <v>#DIV/0!</v>
      </c>
      <c r="AS2" s="29" t="str">
        <f t="shared" si="1"/>
        <v>#DIV/0!</v>
      </c>
      <c r="AT2" s="29" t="str">
        <f t="shared" si="1"/>
        <v>#DIV/0!</v>
      </c>
      <c r="AU2" s="29" t="str">
        <f t="shared" si="1"/>
        <v>#DIV/0!</v>
      </c>
      <c r="AV2" s="29" t="str">
        <f t="shared" si="1"/>
        <v>#DIV/0!</v>
      </c>
      <c r="AW2" s="29" t="str">
        <f t="shared" si="1"/>
        <v>#DIV/0!</v>
      </c>
      <c r="AX2" s="29" t="str">
        <f t="shared" si="1"/>
        <v>#DIV/0!</v>
      </c>
      <c r="AY2" s="29" t="str">
        <f t="shared" si="1"/>
        <v>#DIV/0!</v>
      </c>
      <c r="AZ2" s="29" t="str">
        <f t="shared" si="1"/>
        <v>#DIV/0!</v>
      </c>
      <c r="BA2" s="29" t="str">
        <f t="shared" si="1"/>
        <v>#DIV/0!</v>
      </c>
      <c r="BB2" s="29" t="str">
        <f t="shared" si="1"/>
        <v>#DIV/0!</v>
      </c>
      <c r="BC2" s="29" t="str">
        <f t="shared" si="1"/>
        <v>#DIV/0!</v>
      </c>
      <c r="BD2" s="29" t="str">
        <f t="shared" si="1"/>
        <v>#DIV/0!</v>
      </c>
      <c r="BE2" s="29" t="str">
        <f t="shared" si="1"/>
        <v>#DIV/0!</v>
      </c>
      <c r="BF2" s="29" t="str">
        <f t="shared" si="1"/>
        <v>#DIV/0!</v>
      </c>
      <c r="BG2" s="29" t="str">
        <f t="shared" si="1"/>
        <v>#DIV/0!</v>
      </c>
      <c r="BH2" s="29" t="str">
        <f t="shared" si="1"/>
        <v>#DIV/0!</v>
      </c>
      <c r="BI2" s="29" t="str">
        <f t="shared" si="1"/>
        <v>#DIV/0!</v>
      </c>
      <c r="BJ2" s="29" t="str">
        <f t="shared" si="1"/>
        <v>#DIV/0!</v>
      </c>
      <c r="BK2" s="29" t="str">
        <f t="shared" si="1"/>
        <v>#DIV/0!</v>
      </c>
      <c r="BL2" s="29" t="str">
        <f t="shared" si="1"/>
        <v>#DIV/0!</v>
      </c>
      <c r="BM2" s="29" t="str">
        <f t="shared" ref="BM2:BM196" si="3">(T2/AO2)/(T$2/AO$2)</f>
        <v>#N/A</v>
      </c>
    </row>
    <row r="3" hidden="1">
      <c r="A3" s="16" t="str">
        <f>IFERROR(__xludf.DUMMYFUNCTION("IFERROR(SPARKLINE(SORT(MAP(TRANSPOSE(AQ3:BL3), LAMBDA(val, IF(ISNUMBER(val), PERCENTRANK(AQ3:BL3, val)+0.01, 0))), SEQUENCE(COLUMNS(AQ3:BL3)), FALSE), {""charttype"",""column""; ""color"",""chartreuse""; ""ymin"", 0; ""ymax"", 1.01; ""highcolor"", ""darkg"&amp;"reen""; ""lowcolor"", ""red""}), """")"),"")</f>
        <v/>
      </c>
      <c r="B3" s="17" t="str">
        <f t="shared" ref="B3:B196" si="4">IFERROR(IF(C3="SPY", 1, IF(ISNUMBER(AQ3), PERCENTRANK(AQ3:BL3, AQ3), "")), "")</f>
        <v/>
      </c>
      <c r="C3" s="1" t="s">
        <v>49</v>
      </c>
      <c r="D3" s="30" t="str">
        <f>IFERROR(__xludf.DUMMYFUNCTION("IFERROR(GOOGLEFINANCE(C3, ""NAME""))"),"State Street Energy Select Sector SPDR ETF")</f>
        <v>State Street Energy Select Sector SPDR ETF</v>
      </c>
      <c r="E3" s="41"/>
      <c r="F3" s="33" t="str">
        <f>IFERROR(__xludf.DUMMYFUNCTION("( (GOOGLEFINANCE(C3, ""price"") - Q3) / Q3 ) / (R3 / 100)"),"Loading...")</f>
        <v>Loading...</v>
      </c>
      <c r="G3" s="42"/>
      <c r="H3" s="41"/>
      <c r="I3" s="41"/>
      <c r="J3" s="41"/>
      <c r="K3" s="21">
        <f>IFERROR(__xludf.DUMMYFUNCTION("IFERROR(GOOGLEFINANCE(C3, ""changepct"") / 100, """")"),0.0252)</f>
        <v>0.0252</v>
      </c>
      <c r="L3" s="21" t="str">
        <f>IFERROR(__xludf.DUMMYFUNCTION("IFERROR((GOOGLEFINANCE(C3, ""price"") / INDEX(GOOGLEFINANCE(C3, ""price"", TODAY()-7, TODAY()), 2, 2)) - 1, """")"),"")</f>
        <v/>
      </c>
      <c r="M3" s="21" t="str">
        <f>IFERROR(__xludf.DUMMYFUNCTION("IFERROR((GOOGLEFINANCE(C3, ""price"") / INDEX(GOOGLEFINANCE(C3, ""price"", EDATE(TODAY(), -1), TODAY()), 2, 2)) - 1, """")"),"")</f>
        <v/>
      </c>
      <c r="N3" s="21" t="str">
        <f>IFERROR(__xludf.DUMMYFUNCTION("IFERROR((GOOGLEFINANCE(C3, ""price"") / INDEX(GOOGLEFINANCE(C3, ""price"", EDATE(TODAY(), -3), TODAY()), 2, 2)) - 1, """")"),"")</f>
        <v/>
      </c>
      <c r="O3" s="21" t="str">
        <f>IFERROR(__xludf.DUMMYFUNCTION("IFERROR((GOOGLEFINANCE(C3, ""price"") / INDEX(GOOGLEFINANCE(C3, ""price"", EDATE(TODAY(), -6), TODAY()), 2, 2)) - 1, """")"),"")</f>
        <v/>
      </c>
      <c r="P3" s="21" t="str">
        <f>IFERROR(__xludf.DUMMYFUNCTION("IFERROR((GOOGLEFINANCE(C3, ""price"") / INDEX(GOOGLEFINANCE(C3, ""price"", EDATE(TODAY(), -12), TODAY()), 2, 2)) - 1, """")"),"")</f>
        <v/>
      </c>
      <c r="Q3" s="6" t="str">
        <f>IFERROR(__xludf.DUMMYFUNCTION("AVERAGE(QUERY(GOOGLEFINANCE(C3, ""price"", TODAY()-80, TODAY()), ""SELECT Col2 WHERE Col2 IS NOT NULL ORDER BY Col1 DESC LIMIT 50"", 0))"),"#N/A")</f>
        <v>#N/A</v>
      </c>
      <c r="R3" s="24" t="str">
        <f>IFERROR(__xludf.DUMMYFUNCTION("IFERROR(
  LET(
    data, QUERY(GOOGLEFINANCE(C3,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GOOGLEFINANCE(C3, ""price"")) * 100,
    IF(calc=0, G3, calc)
  ), 
G3)"),"")</f>
        <v/>
      </c>
      <c r="S3" s="8" t="s">
        <v>15</v>
      </c>
      <c r="T3" s="26" t="str">
        <f>IFERROR(__xludf.DUMMYFUNCTION("IFERROR(TRANSPOSE(QUERY(IFERROR(SORT(GOOGLEFINANCE(C3, ""price"", WORKDAY(TODAY(), -40), TODAY()), 1, FALSE)), ""select Col2 where Col2 is not null limit 22 label Col2 ''"", 0)), """")"),"")</f>
        <v/>
      </c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8"/>
      <c r="AO3" s="28"/>
      <c r="AP3" s="29"/>
      <c r="AQ3" s="29" t="str">
        <f t="shared" ref="AQ3:BL3" si="2">T3/T$2</f>
        <v>#N/A</v>
      </c>
      <c r="AR3" s="29" t="str">
        <f t="shared" si="2"/>
        <v>#DIV/0!</v>
      </c>
      <c r="AS3" s="29" t="str">
        <f t="shared" si="2"/>
        <v>#DIV/0!</v>
      </c>
      <c r="AT3" s="29" t="str">
        <f t="shared" si="2"/>
        <v>#DIV/0!</v>
      </c>
      <c r="AU3" s="29" t="str">
        <f t="shared" si="2"/>
        <v>#DIV/0!</v>
      </c>
      <c r="AV3" s="29" t="str">
        <f t="shared" si="2"/>
        <v>#DIV/0!</v>
      </c>
      <c r="AW3" s="29" t="str">
        <f t="shared" si="2"/>
        <v>#DIV/0!</v>
      </c>
      <c r="AX3" s="29" t="str">
        <f t="shared" si="2"/>
        <v>#DIV/0!</v>
      </c>
      <c r="AY3" s="29" t="str">
        <f t="shared" si="2"/>
        <v>#DIV/0!</v>
      </c>
      <c r="AZ3" s="29" t="str">
        <f t="shared" si="2"/>
        <v>#DIV/0!</v>
      </c>
      <c r="BA3" s="29" t="str">
        <f t="shared" si="2"/>
        <v>#DIV/0!</v>
      </c>
      <c r="BB3" s="29" t="str">
        <f t="shared" si="2"/>
        <v>#DIV/0!</v>
      </c>
      <c r="BC3" s="29" t="str">
        <f t="shared" si="2"/>
        <v>#DIV/0!</v>
      </c>
      <c r="BD3" s="29" t="str">
        <f t="shared" si="2"/>
        <v>#DIV/0!</v>
      </c>
      <c r="BE3" s="29" t="str">
        <f t="shared" si="2"/>
        <v>#DIV/0!</v>
      </c>
      <c r="BF3" s="29" t="str">
        <f t="shared" si="2"/>
        <v>#DIV/0!</v>
      </c>
      <c r="BG3" s="29" t="str">
        <f t="shared" si="2"/>
        <v>#DIV/0!</v>
      </c>
      <c r="BH3" s="29" t="str">
        <f t="shared" si="2"/>
        <v>#DIV/0!</v>
      </c>
      <c r="BI3" s="29" t="str">
        <f t="shared" si="2"/>
        <v>#DIV/0!</v>
      </c>
      <c r="BJ3" s="29" t="str">
        <f t="shared" si="2"/>
        <v>#DIV/0!</v>
      </c>
      <c r="BK3" s="29" t="str">
        <f t="shared" si="2"/>
        <v>#DIV/0!</v>
      </c>
      <c r="BL3" s="29" t="str">
        <f t="shared" si="2"/>
        <v>#DIV/0!</v>
      </c>
      <c r="BM3" s="29" t="str">
        <f t="shared" si="3"/>
        <v>#DIV/0!</v>
      </c>
    </row>
    <row r="4" hidden="1">
      <c r="A4" s="16" t="str">
        <f>IFERROR(__xludf.DUMMYFUNCTION("IFERROR(SPARKLINE(SORT(MAP(TRANSPOSE(AQ4:BL4), LAMBDA(val, IF(ISNUMBER(val), PERCENTRANK(AQ4:BL4, val)+0.01, 0))), SEQUENCE(COLUMNS(AQ4:BL4)), FALSE), {""charttype"",""column""; ""color"",""chartreuse""; ""ymin"", 0; ""ymax"", 1.01; ""highcolor"", ""darkg"&amp;"reen""; ""lowcolor"", ""red""}), """")"),"")</f>
        <v/>
      </c>
      <c r="B4" s="17" t="str">
        <f t="shared" si="4"/>
        <v/>
      </c>
      <c r="C4" s="1" t="s">
        <v>2536</v>
      </c>
      <c r="D4" s="30" t="str">
        <f>IFERROR(__xludf.DUMMYFUNCTION("IFERROR(GOOGLEFINANCE(C4, ""NAME""))"),"Select Water Solutions Inc")</f>
        <v>Select Water Solutions Inc</v>
      </c>
      <c r="E4" s="30" t="s">
        <v>2537</v>
      </c>
      <c r="F4" s="33" t="str">
        <f>IFERROR(__xludf.DUMMYFUNCTION("( (GOOGLEFINANCE(C4, ""price"") - Q4) / Q4 ) / (R4 / 100)"),"Loading...")</f>
        <v>Loading...</v>
      </c>
      <c r="G4" s="20" t="str">
        <f>IFERROR(__xludf.DUMMYFUNCTION("AVERAGE(ARRAYFORMULA(100 * (QUERY(GOOGLEFINANCE(C4, ""high"", TODAY()-40, TODAY()), ""SELECT Col2 WHERE Col2 IS NOT NULL ORDER BY Col1 DESC LIMIT 20"", 0) / QUERY(GOOGLEFINANCE(C4, ""low"", TODAY()-40, TODAY()), ""SELECT Col2 WHERE Col2 IS NOT NULL ORDER "&amp;"BY Col1 DESC LIMIT 20"", 0) - 1)))"),"#N/A")</f>
        <v>#N/A</v>
      </c>
      <c r="H4" s="35" t="str">
        <f t="shared" ref="H4:H196" si="6">IFERROR(IF(ISNUMBER(J4), IF(J4 &lt; 50000000, "Illiquid", "Liquid"), ""), "")</f>
        <v>Illiquid</v>
      </c>
      <c r="I4" s="35" t="str">
        <f t="shared" ref="I4:I196" si="7">IFERROR(IF(ISNUMBER(J4), IF(J4 &lt; 500000000, "RVol Required", "No RVol Required"), ""), "")</f>
        <v>RVol Required</v>
      </c>
      <c r="J4" s="37">
        <f>IFERROR(__xludf.DUMMYFUNCTION("IFERROR(
  IF(C4="""",, 
    IFERROR(
      GOOGLEFINANCE(C4, ""price"") * GOOGLEFINANCE(C4, ""volumeavg""), 
      GOOGLEFINANCE(C4, ""price"") * AVERAGE(QUERY(GOOGLEFINANCE(C4, ""volume"", TODAY()-40, TODAY()), ""SELECT Col2 WHERE Col2 IS NOT NULL ORDER"&amp;" BY Col1 DESC LIMIT 20"", 0))
    )
  ), 
"""")"),3.2735618919999998E7)</f>
        <v>32735618.92</v>
      </c>
      <c r="K4" s="21">
        <f>IFERROR(__xludf.DUMMYFUNCTION("IFERROR(GOOGLEFINANCE(C4, ""changepct"") / 100, """")"),0.0209)</f>
        <v>0.0209</v>
      </c>
      <c r="L4" s="21" t="str">
        <f>IFERROR(__xludf.DUMMYFUNCTION("IFERROR((GOOGLEFINANCE(C4, ""price"") / INDEX(GOOGLEFINANCE(C4, ""price"", TODAY()-7, TODAY()), 2, 2)) - 1, """")"),"")</f>
        <v/>
      </c>
      <c r="M4" s="21" t="str">
        <f>IFERROR(__xludf.DUMMYFUNCTION("IFERROR((GOOGLEFINANCE(C4, ""price"") / INDEX(GOOGLEFINANCE(C4, ""price"", EDATE(TODAY(), -1), TODAY()), 2, 2)) - 1, """")"),"")</f>
        <v/>
      </c>
      <c r="N4" s="21" t="str">
        <f>IFERROR(__xludf.DUMMYFUNCTION("IFERROR((GOOGLEFINANCE(C4, ""price"") / INDEX(GOOGLEFINANCE(C4, ""price"", EDATE(TODAY(), -3), TODAY()), 2, 2)) - 1, """")"),"")</f>
        <v/>
      </c>
      <c r="O4" s="21" t="str">
        <f>IFERROR(__xludf.DUMMYFUNCTION("IFERROR((GOOGLEFINANCE(C4, ""price"") / INDEX(GOOGLEFINANCE(C4, ""price"", EDATE(TODAY(), -6), TODAY()), 2, 2)) - 1, """")"),"")</f>
        <v/>
      </c>
      <c r="P4" s="21" t="str">
        <f>IFERROR(__xludf.DUMMYFUNCTION("IFERROR((GOOGLEFINANCE(C4, ""price"") / INDEX(GOOGLEFINANCE(C4, ""price"", EDATE(TODAY(), -12), TODAY()), 2, 2)) - 1, """")"),"")</f>
        <v/>
      </c>
      <c r="Q4" s="6" t="str">
        <f>IFERROR(__xludf.DUMMYFUNCTION("AVERAGE(QUERY(GOOGLEFINANCE(C4, ""price"", TODAY()-80, TODAY()), ""SELECT Col2 WHERE Col2 IS NOT NULL ORDER BY Col1 DESC LIMIT 50"", 0))"),"#N/A")</f>
        <v>#N/A</v>
      </c>
      <c r="R4" s="24" t="str">
        <f>IFERROR(__xludf.DUMMYFUNCTION("IFERROR(
  LET(
    data, QUERY(GOOGLEFINANCE(C4,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GOOGLEFINANCE(C4, ""price"")) * 100,
    IF(calc=0, G4, calc)
  ), 
G4)"),"#N/A")</f>
        <v>#N/A</v>
      </c>
      <c r="S4" s="8" t="s">
        <v>15</v>
      </c>
      <c r="T4" s="26" t="str">
        <f>IFERROR(__xludf.DUMMYFUNCTION("IFERROR(TRANSPOSE(QUERY(IFERROR(SORT(GOOGLEFINANCE(C4, ""price"", WORKDAY(TODAY(), -40), TODAY()), 1, FALSE)), ""select Col2 where Col2 is not null limit 22 label Col2 ''"", 0)), """")"),"")</f>
        <v/>
      </c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8"/>
      <c r="AO4" s="28"/>
      <c r="AP4" s="29"/>
      <c r="AQ4" s="29" t="str">
        <f t="shared" ref="AQ4:BL4" si="5">T4/T$2</f>
        <v>#N/A</v>
      </c>
      <c r="AR4" s="29" t="str">
        <f t="shared" si="5"/>
        <v>#DIV/0!</v>
      </c>
      <c r="AS4" s="29" t="str">
        <f t="shared" si="5"/>
        <v>#DIV/0!</v>
      </c>
      <c r="AT4" s="29" t="str">
        <f t="shared" si="5"/>
        <v>#DIV/0!</v>
      </c>
      <c r="AU4" s="29" t="str">
        <f t="shared" si="5"/>
        <v>#DIV/0!</v>
      </c>
      <c r="AV4" s="29" t="str">
        <f t="shared" si="5"/>
        <v>#DIV/0!</v>
      </c>
      <c r="AW4" s="29" t="str">
        <f t="shared" si="5"/>
        <v>#DIV/0!</v>
      </c>
      <c r="AX4" s="29" t="str">
        <f t="shared" si="5"/>
        <v>#DIV/0!</v>
      </c>
      <c r="AY4" s="29" t="str">
        <f t="shared" si="5"/>
        <v>#DIV/0!</v>
      </c>
      <c r="AZ4" s="29" t="str">
        <f t="shared" si="5"/>
        <v>#DIV/0!</v>
      </c>
      <c r="BA4" s="29" t="str">
        <f t="shared" si="5"/>
        <v>#DIV/0!</v>
      </c>
      <c r="BB4" s="29" t="str">
        <f t="shared" si="5"/>
        <v>#DIV/0!</v>
      </c>
      <c r="BC4" s="29" t="str">
        <f t="shared" si="5"/>
        <v>#DIV/0!</v>
      </c>
      <c r="BD4" s="29" t="str">
        <f t="shared" si="5"/>
        <v>#DIV/0!</v>
      </c>
      <c r="BE4" s="29" t="str">
        <f t="shared" si="5"/>
        <v>#DIV/0!</v>
      </c>
      <c r="BF4" s="29" t="str">
        <f t="shared" si="5"/>
        <v>#DIV/0!</v>
      </c>
      <c r="BG4" s="29" t="str">
        <f t="shared" si="5"/>
        <v>#DIV/0!</v>
      </c>
      <c r="BH4" s="29" t="str">
        <f t="shared" si="5"/>
        <v>#DIV/0!</v>
      </c>
      <c r="BI4" s="29" t="str">
        <f t="shared" si="5"/>
        <v>#DIV/0!</v>
      </c>
      <c r="BJ4" s="29" t="str">
        <f t="shared" si="5"/>
        <v>#DIV/0!</v>
      </c>
      <c r="BK4" s="29" t="str">
        <f t="shared" si="5"/>
        <v>#DIV/0!</v>
      </c>
      <c r="BL4" s="29" t="str">
        <f t="shared" si="5"/>
        <v>#DIV/0!</v>
      </c>
      <c r="BM4" s="29" t="str">
        <f t="shared" si="3"/>
        <v>#DIV/0!</v>
      </c>
    </row>
    <row r="5" hidden="1">
      <c r="A5" s="16" t="str">
        <f>IFERROR(__xludf.DUMMYFUNCTION("IFERROR(SPARKLINE(SORT(MAP(TRANSPOSE(AQ5:BL5), LAMBDA(val, IF(ISNUMBER(val), PERCENTRANK(AQ5:BL5, val)+0.01, 0))), SEQUENCE(COLUMNS(AQ5:BL5)), FALSE), {""charttype"",""column""; ""color"",""chartreuse""; ""ymin"", 0; ""ymax"", 1.01; ""highcolor"", ""darkg"&amp;"reen""; ""lowcolor"", ""red""}), """")"),"")</f>
        <v/>
      </c>
      <c r="B5" s="17" t="str">
        <f t="shared" si="4"/>
        <v/>
      </c>
      <c r="C5" s="1" t="s">
        <v>2541</v>
      </c>
      <c r="D5" s="30" t="str">
        <f>IFERROR(__xludf.DUMMYFUNCTION("IFERROR(GOOGLEFINANCE(C5, ""NAME""))"),"Ur-Energy Inc")</f>
        <v>Ur-Energy Inc</v>
      </c>
      <c r="E5" s="30" t="s">
        <v>2542</v>
      </c>
      <c r="F5" s="33" t="str">
        <f>IFERROR(__xludf.DUMMYFUNCTION("( (GOOGLEFINANCE(C5, ""price"") - Q5) / Q5 ) / (R5 / 100)"),"Loading...")</f>
        <v>Loading...</v>
      </c>
      <c r="G5" s="20" t="str">
        <f>IFERROR(__xludf.DUMMYFUNCTION("AVERAGE(ARRAYFORMULA(100 * (QUERY(GOOGLEFINANCE(C5, ""high"", TODAY()-40, TODAY()), ""SELECT Col2 WHERE Col2 IS NOT NULL ORDER BY Col1 DESC LIMIT 20"", 0) / QUERY(GOOGLEFINANCE(C5, ""low"", TODAY()-40, TODAY()), ""SELECT Col2 WHERE Col2 IS NOT NULL ORDER "&amp;"BY Col1 DESC LIMIT 20"", 0) - 1)))"),"#N/A")</f>
        <v>#N/A</v>
      </c>
      <c r="H5" s="35" t="str">
        <f t="shared" si="6"/>
        <v>Illiquid</v>
      </c>
      <c r="I5" s="35" t="str">
        <f t="shared" si="7"/>
        <v>RVol Required</v>
      </c>
      <c r="J5" s="37">
        <f>IFERROR(__xludf.DUMMYFUNCTION("IFERROR(
  IF(C5="""",, 
    IFERROR(
      GOOGLEFINANCE(C5, ""price"") * GOOGLEFINANCE(C5, ""volumeavg""), 
      GOOGLEFINANCE(C5, ""price"") * AVERAGE(QUERY(GOOGLEFINANCE(C5, ""volume"", TODAY()-40, TODAY()), ""SELECT Col2 WHERE Col2 IS NOT NULL ORDER"&amp;" BY Col1 DESC LIMIT 20"", 0))
    )
  ), 
"""")"),6702738.75)</f>
        <v>6702738.75</v>
      </c>
      <c r="K5" s="21">
        <f>IFERROR(__xludf.DUMMYFUNCTION("IFERROR(GOOGLEFINANCE(C5, ""changepct"") / 100, """")"),-0.054400000000000004)</f>
        <v>-0.0544</v>
      </c>
      <c r="L5" s="21" t="str">
        <f>IFERROR(__xludf.DUMMYFUNCTION("IFERROR((GOOGLEFINANCE(C5, ""price"") / INDEX(GOOGLEFINANCE(C5, ""price"", TODAY()-7, TODAY()), 2, 2)) - 1, """")"),"")</f>
        <v/>
      </c>
      <c r="M5" s="21" t="str">
        <f>IFERROR(__xludf.DUMMYFUNCTION("IFERROR((GOOGLEFINANCE(C5, ""price"") / INDEX(GOOGLEFINANCE(C5, ""price"", EDATE(TODAY(), -1), TODAY()), 2, 2)) - 1, """")"),"")</f>
        <v/>
      </c>
      <c r="N5" s="21" t="str">
        <f>IFERROR(__xludf.DUMMYFUNCTION("IFERROR((GOOGLEFINANCE(C5, ""price"") / INDEX(GOOGLEFINANCE(C5, ""price"", EDATE(TODAY(), -3), TODAY()), 2, 2)) - 1, """")"),"")</f>
        <v/>
      </c>
      <c r="O5" s="21" t="str">
        <f>IFERROR(__xludf.DUMMYFUNCTION("IFERROR((GOOGLEFINANCE(C5, ""price"") / INDEX(GOOGLEFINANCE(C5, ""price"", EDATE(TODAY(), -6), TODAY()), 2, 2)) - 1, """")"),"")</f>
        <v/>
      </c>
      <c r="P5" s="21" t="str">
        <f>IFERROR(__xludf.DUMMYFUNCTION("IFERROR((GOOGLEFINANCE(C5, ""price"") / INDEX(GOOGLEFINANCE(C5, ""price"", EDATE(TODAY(), -12), TODAY()), 2, 2)) - 1, """")"),"")</f>
        <v/>
      </c>
      <c r="Q5" s="6" t="str">
        <f>IFERROR(__xludf.DUMMYFUNCTION("AVERAGE(QUERY(GOOGLEFINANCE(C5, ""price"", TODAY()-80, TODAY()), ""SELECT Col2 WHERE Col2 IS NOT NULL ORDER BY Col1 DESC LIMIT 50"", 0))"),"#N/A")</f>
        <v>#N/A</v>
      </c>
      <c r="R5" s="24" t="str">
        <f>IFERROR(__xludf.DUMMYFUNCTION("IFERROR(
  LET(
    data, QUERY(GOOGLEFINANCE(C5,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GOOGLEFINANCE(C5, ""price"")) * 100,
    IF(calc=0, G5, calc)
  ), 
G5)"),"#N/A")</f>
        <v>#N/A</v>
      </c>
      <c r="S5" s="8" t="s">
        <v>15</v>
      </c>
      <c r="T5" s="26" t="str">
        <f>IFERROR(__xludf.DUMMYFUNCTION("IFERROR(TRANSPOSE(QUERY(IFERROR(SORT(GOOGLEFINANCE(C5, ""price"", WORKDAY(TODAY(), -40), TODAY()), 1, FALSE)), ""select Col2 where Col2 is not null limit 22 label Col2 ''"", 0)), """")"),"")</f>
        <v/>
      </c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8"/>
      <c r="AO5" s="28"/>
      <c r="AP5" s="29"/>
      <c r="AQ5" s="29" t="str">
        <f t="shared" ref="AQ5:BL5" si="8">T5/T$2</f>
        <v>#N/A</v>
      </c>
      <c r="AR5" s="29" t="str">
        <f t="shared" si="8"/>
        <v>#DIV/0!</v>
      </c>
      <c r="AS5" s="29" t="str">
        <f t="shared" si="8"/>
        <v>#DIV/0!</v>
      </c>
      <c r="AT5" s="29" t="str">
        <f t="shared" si="8"/>
        <v>#DIV/0!</v>
      </c>
      <c r="AU5" s="29" t="str">
        <f t="shared" si="8"/>
        <v>#DIV/0!</v>
      </c>
      <c r="AV5" s="29" t="str">
        <f t="shared" si="8"/>
        <v>#DIV/0!</v>
      </c>
      <c r="AW5" s="29" t="str">
        <f t="shared" si="8"/>
        <v>#DIV/0!</v>
      </c>
      <c r="AX5" s="29" t="str">
        <f t="shared" si="8"/>
        <v>#DIV/0!</v>
      </c>
      <c r="AY5" s="29" t="str">
        <f t="shared" si="8"/>
        <v>#DIV/0!</v>
      </c>
      <c r="AZ5" s="29" t="str">
        <f t="shared" si="8"/>
        <v>#DIV/0!</v>
      </c>
      <c r="BA5" s="29" t="str">
        <f t="shared" si="8"/>
        <v>#DIV/0!</v>
      </c>
      <c r="BB5" s="29" t="str">
        <f t="shared" si="8"/>
        <v>#DIV/0!</v>
      </c>
      <c r="BC5" s="29" t="str">
        <f t="shared" si="8"/>
        <v>#DIV/0!</v>
      </c>
      <c r="BD5" s="29" t="str">
        <f t="shared" si="8"/>
        <v>#DIV/0!</v>
      </c>
      <c r="BE5" s="29" t="str">
        <f t="shared" si="8"/>
        <v>#DIV/0!</v>
      </c>
      <c r="BF5" s="29" t="str">
        <f t="shared" si="8"/>
        <v>#DIV/0!</v>
      </c>
      <c r="BG5" s="29" t="str">
        <f t="shared" si="8"/>
        <v>#DIV/0!</v>
      </c>
      <c r="BH5" s="29" t="str">
        <f t="shared" si="8"/>
        <v>#DIV/0!</v>
      </c>
      <c r="BI5" s="29" t="str">
        <f t="shared" si="8"/>
        <v>#DIV/0!</v>
      </c>
      <c r="BJ5" s="29" t="str">
        <f t="shared" si="8"/>
        <v>#DIV/0!</v>
      </c>
      <c r="BK5" s="29" t="str">
        <f t="shared" si="8"/>
        <v>#DIV/0!</v>
      </c>
      <c r="BL5" s="29" t="str">
        <f t="shared" si="8"/>
        <v>#DIV/0!</v>
      </c>
      <c r="BM5" s="29" t="str">
        <f t="shared" si="3"/>
        <v>#DIV/0!</v>
      </c>
    </row>
    <row r="6" hidden="1">
      <c r="A6" s="16" t="str">
        <f>IFERROR(__xludf.DUMMYFUNCTION("IFERROR(SPARKLINE(SORT(MAP(TRANSPOSE(AQ6:BL6), LAMBDA(val, IF(ISNUMBER(val), PERCENTRANK(AQ6:BL6, val)+0.01, 0))), SEQUENCE(COLUMNS(AQ6:BL6)), FALSE), {""charttype"",""column""; ""color"",""chartreuse""; ""ymin"", 0; ""ymax"", 1.01; ""highcolor"", ""darkg"&amp;"reen""; ""lowcolor"", ""red""}), """")"),"")</f>
        <v/>
      </c>
      <c r="B6" s="17" t="str">
        <f t="shared" si="4"/>
        <v/>
      </c>
      <c r="C6" s="1" t="s">
        <v>2546</v>
      </c>
      <c r="D6" s="30" t="str">
        <f>IFERROR(__xludf.DUMMYFUNCTION("IFERROR(GOOGLEFINANCE(C6, ""NAME""))"),"")</f>
        <v/>
      </c>
      <c r="E6" s="30" t="s">
        <v>2547</v>
      </c>
      <c r="F6" s="33" t="str">
        <f>IFERROR(__xludf.DUMMYFUNCTION("( (GOOGLEFINANCE(C6, ""price"") - Q6) / Q6 ) / (R6 / 100)"),"Loading...")</f>
        <v>Loading...</v>
      </c>
      <c r="G6" s="20" t="str">
        <f>IFERROR(__xludf.DUMMYFUNCTION("AVERAGE(ARRAYFORMULA(100 * (QUERY(GOOGLEFINANCE(C6, ""high"", TODAY()-40, TODAY()), ""SELECT Col2 WHERE Col2 IS NOT NULL ORDER BY Col1 DESC LIMIT 20"", 0) / QUERY(GOOGLEFINANCE(C6, ""low"", TODAY()-40, TODAY()), ""SELECT Col2 WHERE Col2 IS NOT NULL ORDER "&amp;"BY Col1 DESC LIMIT 20"", 0) - 1)))"),"#N/A")</f>
        <v>#N/A</v>
      </c>
      <c r="H6" s="35" t="str">
        <f t="shared" si="6"/>
        <v/>
      </c>
      <c r="I6" s="35" t="str">
        <f t="shared" si="7"/>
        <v/>
      </c>
      <c r="J6" s="37" t="str">
        <f>IFERROR(__xludf.DUMMYFUNCTION("IFERROR(
  IF(C6="""",, 
    IFERROR(
      GOOGLEFINANCE(C6, ""price"") * GOOGLEFINANCE(C6, ""volumeavg""), 
      GOOGLEFINANCE(C6, ""price"") * AVERAGE(QUERY(GOOGLEFINANCE(C6, ""volume"", TODAY()-40, TODAY()), ""SELECT Col2 WHERE Col2 IS NOT NULL ORDER"&amp;" BY Col1 DESC LIMIT 20"", 0))
    )
  ), 
"""")"),"")</f>
        <v/>
      </c>
      <c r="K6" s="21" t="str">
        <f>IFERROR(__xludf.DUMMYFUNCTION("IFERROR(GOOGLEFINANCE(C6, ""changepct"") / 100, """")"),"")</f>
        <v/>
      </c>
      <c r="L6" s="21" t="str">
        <f>IFERROR(__xludf.DUMMYFUNCTION("IFERROR((GOOGLEFINANCE(C6, ""price"") / INDEX(GOOGLEFINANCE(C6, ""price"", TODAY()-7, TODAY()), 2, 2)) - 1, """")"),"")</f>
        <v/>
      </c>
      <c r="M6" s="21" t="str">
        <f>IFERROR(__xludf.DUMMYFUNCTION("IFERROR((GOOGLEFINANCE(C6, ""price"") / INDEX(GOOGLEFINANCE(C6, ""price"", EDATE(TODAY(), -1), TODAY()), 2, 2)) - 1, """")"),"")</f>
        <v/>
      </c>
      <c r="N6" s="21" t="str">
        <f>IFERROR(__xludf.DUMMYFUNCTION("IFERROR((GOOGLEFINANCE(C6, ""price"") / INDEX(GOOGLEFINANCE(C6, ""price"", EDATE(TODAY(), -3), TODAY()), 2, 2)) - 1, """")"),"")</f>
        <v/>
      </c>
      <c r="O6" s="21" t="str">
        <f>IFERROR(__xludf.DUMMYFUNCTION("IFERROR((GOOGLEFINANCE(C6, ""price"") / INDEX(GOOGLEFINANCE(C6, ""price"", EDATE(TODAY(), -6), TODAY()), 2, 2)) - 1, """")"),"")</f>
        <v/>
      </c>
      <c r="P6" s="21" t="str">
        <f>IFERROR(__xludf.DUMMYFUNCTION("IFERROR((GOOGLEFINANCE(C6, ""price"") / INDEX(GOOGLEFINANCE(C6, ""price"", EDATE(TODAY(), -12), TODAY()), 2, 2)) - 1, """")"),"")</f>
        <v/>
      </c>
      <c r="Q6" s="6" t="str">
        <f>IFERROR(__xludf.DUMMYFUNCTION("AVERAGE(QUERY(GOOGLEFINANCE(C6, ""price"", TODAY()-80, TODAY()), ""SELECT Col2 WHERE Col2 IS NOT NULL ORDER BY Col1 DESC LIMIT 50"", 0))"),"#N/A")</f>
        <v>#N/A</v>
      </c>
      <c r="R6" s="24" t="str">
        <f>IFERROR(__xludf.DUMMYFUNCTION("IFERROR(
  LET(
    data, QUERY(GOOGLEFINANCE(C6,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GOOGLEFINANCE(C6, ""price"")) * 100,
    IF(calc=0, G6, calc)
  ), 
G6)"),"#N/A")</f>
        <v>#N/A</v>
      </c>
      <c r="S6" s="8" t="s">
        <v>15</v>
      </c>
      <c r="T6" s="26" t="str">
        <f>IFERROR(__xludf.DUMMYFUNCTION("IFERROR(TRANSPOSE(QUERY(IFERROR(SORT(GOOGLEFINANCE(C6, ""price"", WORKDAY(TODAY(), -40), TODAY()), 1, FALSE)), ""select Col2 where Col2 is not null limit 22 label Col2 ''"", 0)), """")"),"")</f>
        <v/>
      </c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8"/>
      <c r="AO6" s="28"/>
      <c r="AP6" s="29"/>
      <c r="AQ6" s="29" t="str">
        <f t="shared" ref="AQ6:BL6" si="9">T6/T$2</f>
        <v>#N/A</v>
      </c>
      <c r="AR6" s="29" t="str">
        <f t="shared" si="9"/>
        <v>#DIV/0!</v>
      </c>
      <c r="AS6" s="29" t="str">
        <f t="shared" si="9"/>
        <v>#DIV/0!</v>
      </c>
      <c r="AT6" s="29" t="str">
        <f t="shared" si="9"/>
        <v>#DIV/0!</v>
      </c>
      <c r="AU6" s="29" t="str">
        <f t="shared" si="9"/>
        <v>#DIV/0!</v>
      </c>
      <c r="AV6" s="29" t="str">
        <f t="shared" si="9"/>
        <v>#DIV/0!</v>
      </c>
      <c r="AW6" s="29" t="str">
        <f t="shared" si="9"/>
        <v>#DIV/0!</v>
      </c>
      <c r="AX6" s="29" t="str">
        <f t="shared" si="9"/>
        <v>#DIV/0!</v>
      </c>
      <c r="AY6" s="29" t="str">
        <f t="shared" si="9"/>
        <v>#DIV/0!</v>
      </c>
      <c r="AZ6" s="29" t="str">
        <f t="shared" si="9"/>
        <v>#DIV/0!</v>
      </c>
      <c r="BA6" s="29" t="str">
        <f t="shared" si="9"/>
        <v>#DIV/0!</v>
      </c>
      <c r="BB6" s="29" t="str">
        <f t="shared" si="9"/>
        <v>#DIV/0!</v>
      </c>
      <c r="BC6" s="29" t="str">
        <f t="shared" si="9"/>
        <v>#DIV/0!</v>
      </c>
      <c r="BD6" s="29" t="str">
        <f t="shared" si="9"/>
        <v>#DIV/0!</v>
      </c>
      <c r="BE6" s="29" t="str">
        <f t="shared" si="9"/>
        <v>#DIV/0!</v>
      </c>
      <c r="BF6" s="29" t="str">
        <f t="shared" si="9"/>
        <v>#DIV/0!</v>
      </c>
      <c r="BG6" s="29" t="str">
        <f t="shared" si="9"/>
        <v>#DIV/0!</v>
      </c>
      <c r="BH6" s="29" t="str">
        <f t="shared" si="9"/>
        <v>#DIV/0!</v>
      </c>
      <c r="BI6" s="29" t="str">
        <f t="shared" si="9"/>
        <v>#DIV/0!</v>
      </c>
      <c r="BJ6" s="29" t="str">
        <f t="shared" si="9"/>
        <v>#DIV/0!</v>
      </c>
      <c r="BK6" s="29" t="str">
        <f t="shared" si="9"/>
        <v>#DIV/0!</v>
      </c>
      <c r="BL6" s="29" t="str">
        <f t="shared" si="9"/>
        <v>#DIV/0!</v>
      </c>
      <c r="BM6" s="29" t="str">
        <f t="shared" si="3"/>
        <v>#DIV/0!</v>
      </c>
    </row>
    <row r="7" hidden="1">
      <c r="A7" s="16" t="str">
        <f>IFERROR(__xludf.DUMMYFUNCTION("IFERROR(SPARKLINE(SORT(MAP(TRANSPOSE(AQ7:BL7), LAMBDA(val, IF(ISNUMBER(val), PERCENTRANK(AQ7:BL7, val)+0.01, 0))), SEQUENCE(COLUMNS(AQ7:BL7)), FALSE), {""charttype"",""column""; ""color"",""chartreuse""; ""ymin"", 0; ""ymax"", 1.01; ""highcolor"", ""darkg"&amp;"reen""; ""lowcolor"", ""red""}), """")"),"")</f>
        <v/>
      </c>
      <c r="B7" s="17" t="str">
        <f t="shared" si="4"/>
        <v/>
      </c>
      <c r="C7" s="1" t="s">
        <v>2551</v>
      </c>
      <c r="D7" s="30" t="str">
        <f>IFERROR(__xludf.DUMMYFUNCTION("IFERROR(GOOGLEFINANCE(C7, ""NAME""))"),"South Bow Corp")</f>
        <v>South Bow Corp</v>
      </c>
      <c r="E7" s="30" t="s">
        <v>2547</v>
      </c>
      <c r="F7" s="33" t="str">
        <f>IFERROR(__xludf.DUMMYFUNCTION("( (GOOGLEFINANCE(C7, ""price"") - Q7) / Q7 ) / (R7 / 100)"),"Loading...")</f>
        <v>Loading...</v>
      </c>
      <c r="G7" s="20" t="str">
        <f>IFERROR(__xludf.DUMMYFUNCTION("AVERAGE(ARRAYFORMULA(100 * (QUERY(GOOGLEFINANCE(C7, ""high"", TODAY()-40, TODAY()), ""SELECT Col2 WHERE Col2 IS NOT NULL ORDER BY Col1 DESC LIMIT 20"", 0) / QUERY(GOOGLEFINANCE(C7, ""low"", TODAY()-40, TODAY()), ""SELECT Col2 WHERE Col2 IS NOT NULL ORDER "&amp;"BY Col1 DESC LIMIT 20"", 0) - 1)))"),"#N/A")</f>
        <v>#N/A</v>
      </c>
      <c r="H7" s="35" t="str">
        <f t="shared" si="6"/>
        <v>Illiquid</v>
      </c>
      <c r="I7" s="35" t="str">
        <f t="shared" si="7"/>
        <v>RVol Required</v>
      </c>
      <c r="J7" s="37">
        <f>IFERROR(__xludf.DUMMYFUNCTION("IFERROR(
  IF(C7="""",, 
    IFERROR(
      GOOGLEFINANCE(C7, ""price"") * GOOGLEFINANCE(C7, ""volumeavg""), 
      GOOGLEFINANCE(C7, ""price"") * AVERAGE(QUERY(GOOGLEFINANCE(C7, ""volume"", TODAY()-40, TODAY()), ""SELECT Col2 WHERE Col2 IS NOT NULL ORDER"&amp;" BY Col1 DESC LIMIT 20"", 0))
    )
  ), 
"""")"),2.772518463E7)</f>
        <v>27725184.63</v>
      </c>
      <c r="K7" s="21">
        <f>IFERROR(__xludf.DUMMYFUNCTION("IFERROR(GOOGLEFINANCE(C7, ""changepct"") / 100, """")"),0.0279)</f>
        <v>0.0279</v>
      </c>
      <c r="L7" s="21" t="str">
        <f>IFERROR(__xludf.DUMMYFUNCTION("IFERROR((GOOGLEFINANCE(C7, ""price"") / INDEX(GOOGLEFINANCE(C7, ""price"", TODAY()-7, TODAY()), 2, 2)) - 1, """")"),"")</f>
        <v/>
      </c>
      <c r="M7" s="21" t="str">
        <f>IFERROR(__xludf.DUMMYFUNCTION("IFERROR((GOOGLEFINANCE(C7, ""price"") / INDEX(GOOGLEFINANCE(C7, ""price"", EDATE(TODAY(), -1), TODAY()), 2, 2)) - 1, """")"),"")</f>
        <v/>
      </c>
      <c r="N7" s="21" t="str">
        <f>IFERROR(__xludf.DUMMYFUNCTION("IFERROR((GOOGLEFINANCE(C7, ""price"") / INDEX(GOOGLEFINANCE(C7, ""price"", EDATE(TODAY(), -3), TODAY()), 2, 2)) - 1, """")"),"")</f>
        <v/>
      </c>
      <c r="O7" s="21" t="str">
        <f>IFERROR(__xludf.DUMMYFUNCTION("IFERROR((GOOGLEFINANCE(C7, ""price"") / INDEX(GOOGLEFINANCE(C7, ""price"", EDATE(TODAY(), -6), TODAY()), 2, 2)) - 1, """")"),"")</f>
        <v/>
      </c>
      <c r="P7" s="21" t="str">
        <f>IFERROR(__xludf.DUMMYFUNCTION("IFERROR((GOOGLEFINANCE(C7, ""price"") / INDEX(GOOGLEFINANCE(C7, ""price"", EDATE(TODAY(), -12), TODAY()), 2, 2)) - 1, """")"),"")</f>
        <v/>
      </c>
      <c r="Q7" s="6" t="str">
        <f>IFERROR(__xludf.DUMMYFUNCTION("AVERAGE(QUERY(GOOGLEFINANCE(C7, ""price"", TODAY()-80, TODAY()), ""SELECT Col2 WHERE Col2 IS NOT NULL ORDER BY Col1 DESC LIMIT 50"", 0))"),"#N/A")</f>
        <v>#N/A</v>
      </c>
      <c r="R7" s="24" t="str">
        <f>IFERROR(__xludf.DUMMYFUNCTION("IFERROR(
  LET(
    data, QUERY(GOOGLEFINANCE(C7,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GOOGLEFINANCE(C7, ""price"")) * 100,
    IF(calc=0, G7, calc)
  ), 
G7)"),"#N/A")</f>
        <v>#N/A</v>
      </c>
      <c r="S7" s="8" t="s">
        <v>15</v>
      </c>
      <c r="T7" s="26" t="str">
        <f>IFERROR(__xludf.DUMMYFUNCTION("IFERROR(TRANSPOSE(QUERY(IFERROR(SORT(GOOGLEFINANCE(C7, ""price"", WORKDAY(TODAY(), -40), TODAY()), 1, FALSE)), ""select Col2 where Col2 is not null limit 22 label Col2 ''"", 0)), """")"),"")</f>
        <v/>
      </c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8"/>
      <c r="AO7" s="28"/>
      <c r="AP7" s="29"/>
      <c r="AQ7" s="29" t="str">
        <f t="shared" ref="AQ7:BL7" si="10">T7/T$2</f>
        <v>#N/A</v>
      </c>
      <c r="AR7" s="29" t="str">
        <f t="shared" si="10"/>
        <v>#DIV/0!</v>
      </c>
      <c r="AS7" s="29" t="str">
        <f t="shared" si="10"/>
        <v>#DIV/0!</v>
      </c>
      <c r="AT7" s="29" t="str">
        <f t="shared" si="10"/>
        <v>#DIV/0!</v>
      </c>
      <c r="AU7" s="29" t="str">
        <f t="shared" si="10"/>
        <v>#DIV/0!</v>
      </c>
      <c r="AV7" s="29" t="str">
        <f t="shared" si="10"/>
        <v>#DIV/0!</v>
      </c>
      <c r="AW7" s="29" t="str">
        <f t="shared" si="10"/>
        <v>#DIV/0!</v>
      </c>
      <c r="AX7" s="29" t="str">
        <f t="shared" si="10"/>
        <v>#DIV/0!</v>
      </c>
      <c r="AY7" s="29" t="str">
        <f t="shared" si="10"/>
        <v>#DIV/0!</v>
      </c>
      <c r="AZ7" s="29" t="str">
        <f t="shared" si="10"/>
        <v>#DIV/0!</v>
      </c>
      <c r="BA7" s="29" t="str">
        <f t="shared" si="10"/>
        <v>#DIV/0!</v>
      </c>
      <c r="BB7" s="29" t="str">
        <f t="shared" si="10"/>
        <v>#DIV/0!</v>
      </c>
      <c r="BC7" s="29" t="str">
        <f t="shared" si="10"/>
        <v>#DIV/0!</v>
      </c>
      <c r="BD7" s="29" t="str">
        <f t="shared" si="10"/>
        <v>#DIV/0!</v>
      </c>
      <c r="BE7" s="29" t="str">
        <f t="shared" si="10"/>
        <v>#DIV/0!</v>
      </c>
      <c r="BF7" s="29" t="str">
        <f t="shared" si="10"/>
        <v>#DIV/0!</v>
      </c>
      <c r="BG7" s="29" t="str">
        <f t="shared" si="10"/>
        <v>#DIV/0!</v>
      </c>
      <c r="BH7" s="29" t="str">
        <f t="shared" si="10"/>
        <v>#DIV/0!</v>
      </c>
      <c r="BI7" s="29" t="str">
        <f t="shared" si="10"/>
        <v>#DIV/0!</v>
      </c>
      <c r="BJ7" s="29" t="str">
        <f t="shared" si="10"/>
        <v>#DIV/0!</v>
      </c>
      <c r="BK7" s="29" t="str">
        <f t="shared" si="10"/>
        <v>#DIV/0!</v>
      </c>
      <c r="BL7" s="29" t="str">
        <f t="shared" si="10"/>
        <v>#DIV/0!</v>
      </c>
      <c r="BM7" s="29" t="str">
        <f t="shared" si="3"/>
        <v>#DIV/0!</v>
      </c>
    </row>
    <row r="8" hidden="1">
      <c r="A8" s="16" t="str">
        <f>IFERROR(__xludf.DUMMYFUNCTION("IFERROR(SPARKLINE(SORT(MAP(TRANSPOSE(AQ8:BL8), LAMBDA(val, IF(ISNUMBER(val), PERCENTRANK(AQ8:BL8, val)+0.01, 0))), SEQUENCE(COLUMNS(AQ8:BL8)), FALSE), {""charttype"",""column""; ""color"",""chartreuse""; ""ymin"", 0; ""ymax"", 1.01; ""highcolor"", ""darkg"&amp;"reen""; ""lowcolor"", ""red""}), """")"),"")</f>
        <v/>
      </c>
      <c r="B8" s="17" t="str">
        <f t="shared" si="4"/>
        <v/>
      </c>
      <c r="C8" s="1" t="s">
        <v>2556</v>
      </c>
      <c r="D8" s="30" t="str">
        <f>IFERROR(__xludf.DUMMYFUNCTION("IFERROR(GOOGLEFINANCE(C8, ""NAME""))"),"Permian Basin Royalty Trust")</f>
        <v>Permian Basin Royalty Trust</v>
      </c>
      <c r="E8" s="30" t="s">
        <v>2547</v>
      </c>
      <c r="F8" s="33" t="str">
        <f>IFERROR(__xludf.DUMMYFUNCTION("( (GOOGLEFINANCE(C8, ""price"") - Q8) / Q8 ) / (R8 / 100)"),"Loading...")</f>
        <v>Loading...</v>
      </c>
      <c r="G8" s="20" t="str">
        <f>IFERROR(__xludf.DUMMYFUNCTION("AVERAGE(ARRAYFORMULA(100 * (QUERY(GOOGLEFINANCE(C8, ""high"", TODAY()-40, TODAY()), ""SELECT Col2 WHERE Col2 IS NOT NULL ORDER BY Col1 DESC LIMIT 20"", 0) / QUERY(GOOGLEFINANCE(C8, ""low"", TODAY()-40, TODAY()), ""SELECT Col2 WHERE Col2 IS NOT NULL ORDER "&amp;"BY Col1 DESC LIMIT 20"", 0) - 1)))"),"#N/A")</f>
        <v>#N/A</v>
      </c>
      <c r="H8" s="35" t="str">
        <f t="shared" si="6"/>
        <v>Illiquid</v>
      </c>
      <c r="I8" s="35" t="str">
        <f t="shared" si="7"/>
        <v>RVol Required</v>
      </c>
      <c r="J8" s="37">
        <f>IFERROR(__xludf.DUMMYFUNCTION("IFERROR(
  IF(C8="""",, 
    IFERROR(
      GOOGLEFINANCE(C8, ""price"") * GOOGLEFINANCE(C8, ""volumeavg""), 
      GOOGLEFINANCE(C8, ""price"") * AVERAGE(QUERY(GOOGLEFINANCE(C8, ""volume"", TODAY()-40, TODAY()), ""SELECT Col2 WHERE Col2 IS NOT NULL ORDER"&amp;" BY Col1 DESC LIMIT 20"", 0))
    )
  ), 
"""")"),5775672.34)</f>
        <v>5775672.34</v>
      </c>
      <c r="K8" s="21">
        <f>IFERROR(__xludf.DUMMYFUNCTION("IFERROR(GOOGLEFINANCE(C8, ""changepct"") / 100, """")"),-0.0143)</f>
        <v>-0.0143</v>
      </c>
      <c r="L8" s="21" t="str">
        <f>IFERROR(__xludf.DUMMYFUNCTION("IFERROR((GOOGLEFINANCE(C8, ""price"") / INDEX(GOOGLEFINANCE(C8, ""price"", TODAY()-7, TODAY()), 2, 2)) - 1, """")"),"")</f>
        <v/>
      </c>
      <c r="M8" s="21" t="str">
        <f>IFERROR(__xludf.DUMMYFUNCTION("IFERROR((GOOGLEFINANCE(C8, ""price"") / INDEX(GOOGLEFINANCE(C8, ""price"", EDATE(TODAY(), -1), TODAY()), 2, 2)) - 1, """")"),"")</f>
        <v/>
      </c>
      <c r="N8" s="21" t="str">
        <f>IFERROR(__xludf.DUMMYFUNCTION("IFERROR((GOOGLEFINANCE(C8, ""price"") / INDEX(GOOGLEFINANCE(C8, ""price"", EDATE(TODAY(), -3), TODAY()), 2, 2)) - 1, """")"),"")</f>
        <v/>
      </c>
      <c r="O8" s="21" t="str">
        <f>IFERROR(__xludf.DUMMYFUNCTION("IFERROR((GOOGLEFINANCE(C8, ""price"") / INDEX(GOOGLEFINANCE(C8, ""price"", EDATE(TODAY(), -6), TODAY()), 2, 2)) - 1, """")"),"")</f>
        <v/>
      </c>
      <c r="P8" s="21" t="str">
        <f>IFERROR(__xludf.DUMMYFUNCTION("IFERROR((GOOGLEFINANCE(C8, ""price"") / INDEX(GOOGLEFINANCE(C8, ""price"", EDATE(TODAY(), -12), TODAY()), 2, 2)) - 1, """")"),"")</f>
        <v/>
      </c>
      <c r="Q8" s="6" t="str">
        <f>IFERROR(__xludf.DUMMYFUNCTION("AVERAGE(QUERY(GOOGLEFINANCE(C8, ""price"", TODAY()-80, TODAY()), ""SELECT Col2 WHERE Col2 IS NOT NULL ORDER BY Col1 DESC LIMIT 50"", 0))"),"#N/A")</f>
        <v>#N/A</v>
      </c>
      <c r="R8" s="24" t="str">
        <f>IFERROR(__xludf.DUMMYFUNCTION("IFERROR(
  LET(
    data, QUERY(GOOGLEFINANCE(C8,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GOOGLEFINANCE(C8, ""price"")) * 100,
    IF(calc=0, G8, calc)
  ), 
G8)"),"#N/A")</f>
        <v>#N/A</v>
      </c>
      <c r="S8" s="8" t="s">
        <v>15</v>
      </c>
      <c r="T8" s="26" t="str">
        <f>IFERROR(__xludf.DUMMYFUNCTION("IFERROR(TRANSPOSE(QUERY(IFERROR(SORT(GOOGLEFINANCE(C8, ""price"", WORKDAY(TODAY(), -40), TODAY()), 1, FALSE)), ""select Col2 where Col2 is not null limit 22 label Col2 ''"", 0)), """")"),"")</f>
        <v/>
      </c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8"/>
      <c r="AO8" s="28"/>
      <c r="AP8" s="29"/>
      <c r="AQ8" s="29" t="str">
        <f t="shared" ref="AQ8:BL8" si="11">T8/T$2</f>
        <v>#N/A</v>
      </c>
      <c r="AR8" s="29" t="str">
        <f t="shared" si="11"/>
        <v>#DIV/0!</v>
      </c>
      <c r="AS8" s="29" t="str">
        <f t="shared" si="11"/>
        <v>#DIV/0!</v>
      </c>
      <c r="AT8" s="29" t="str">
        <f t="shared" si="11"/>
        <v>#DIV/0!</v>
      </c>
      <c r="AU8" s="29" t="str">
        <f t="shared" si="11"/>
        <v>#DIV/0!</v>
      </c>
      <c r="AV8" s="29" t="str">
        <f t="shared" si="11"/>
        <v>#DIV/0!</v>
      </c>
      <c r="AW8" s="29" t="str">
        <f t="shared" si="11"/>
        <v>#DIV/0!</v>
      </c>
      <c r="AX8" s="29" t="str">
        <f t="shared" si="11"/>
        <v>#DIV/0!</v>
      </c>
      <c r="AY8" s="29" t="str">
        <f t="shared" si="11"/>
        <v>#DIV/0!</v>
      </c>
      <c r="AZ8" s="29" t="str">
        <f t="shared" si="11"/>
        <v>#DIV/0!</v>
      </c>
      <c r="BA8" s="29" t="str">
        <f t="shared" si="11"/>
        <v>#DIV/0!</v>
      </c>
      <c r="BB8" s="29" t="str">
        <f t="shared" si="11"/>
        <v>#DIV/0!</v>
      </c>
      <c r="BC8" s="29" t="str">
        <f t="shared" si="11"/>
        <v>#DIV/0!</v>
      </c>
      <c r="BD8" s="29" t="str">
        <f t="shared" si="11"/>
        <v>#DIV/0!</v>
      </c>
      <c r="BE8" s="29" t="str">
        <f t="shared" si="11"/>
        <v>#DIV/0!</v>
      </c>
      <c r="BF8" s="29" t="str">
        <f t="shared" si="11"/>
        <v>#DIV/0!</v>
      </c>
      <c r="BG8" s="29" t="str">
        <f t="shared" si="11"/>
        <v>#DIV/0!</v>
      </c>
      <c r="BH8" s="29" t="str">
        <f t="shared" si="11"/>
        <v>#DIV/0!</v>
      </c>
      <c r="BI8" s="29" t="str">
        <f t="shared" si="11"/>
        <v>#DIV/0!</v>
      </c>
      <c r="BJ8" s="29" t="str">
        <f t="shared" si="11"/>
        <v>#DIV/0!</v>
      </c>
      <c r="BK8" s="29" t="str">
        <f t="shared" si="11"/>
        <v>#DIV/0!</v>
      </c>
      <c r="BL8" s="29" t="str">
        <f t="shared" si="11"/>
        <v>#DIV/0!</v>
      </c>
      <c r="BM8" s="29" t="str">
        <f t="shared" si="3"/>
        <v>#DIV/0!</v>
      </c>
    </row>
    <row r="9" hidden="1">
      <c r="A9" s="16" t="str">
        <f>IFERROR(__xludf.DUMMYFUNCTION("IFERROR(SPARKLINE(SORT(MAP(TRANSPOSE(AQ9:BL9), LAMBDA(val, IF(ISNUMBER(val), PERCENTRANK(AQ9:BL9, val)+0.01, 0))), SEQUENCE(COLUMNS(AQ9:BL9)), FALSE), {""charttype"",""column""; ""color"",""chartreuse""; ""ymin"", 0; ""ymax"", 1.01; ""highcolor"", ""darkg"&amp;"reen""; ""lowcolor"", ""red""}), """")"),"")</f>
        <v/>
      </c>
      <c r="B9" s="17" t="str">
        <f t="shared" si="4"/>
        <v/>
      </c>
      <c r="C9" s="1" t="s">
        <v>2562</v>
      </c>
      <c r="D9" s="30" t="str">
        <f>IFERROR(__xludf.DUMMYFUNCTION("IFERROR(GOOGLEFINANCE(C9, ""NAME""))"),"Navigator Holdings Ltd")</f>
        <v>Navigator Holdings Ltd</v>
      </c>
      <c r="E9" s="30" t="s">
        <v>2547</v>
      </c>
      <c r="F9" s="33" t="str">
        <f>IFERROR(__xludf.DUMMYFUNCTION("( (GOOGLEFINANCE(C9, ""price"") - Q9) / Q9 ) / (R9 / 100)"),"Loading...")</f>
        <v>Loading...</v>
      </c>
      <c r="G9" s="20" t="str">
        <f>IFERROR(__xludf.DUMMYFUNCTION("AVERAGE(ARRAYFORMULA(100 * (QUERY(GOOGLEFINANCE(C9, ""high"", TODAY()-40, TODAY()), ""SELECT Col2 WHERE Col2 IS NOT NULL ORDER BY Col1 DESC LIMIT 20"", 0) / QUERY(GOOGLEFINANCE(C9, ""low"", TODAY()-40, TODAY()), ""SELECT Col2 WHERE Col2 IS NOT NULL ORDER "&amp;"BY Col1 DESC LIMIT 20"", 0) - 1)))"),"#N/A")</f>
        <v>#N/A</v>
      </c>
      <c r="H9" s="35" t="str">
        <f t="shared" si="6"/>
        <v>Illiquid</v>
      </c>
      <c r="I9" s="35" t="str">
        <f t="shared" si="7"/>
        <v>RVol Required</v>
      </c>
      <c r="J9" s="37">
        <f>IFERROR(__xludf.DUMMYFUNCTION("IFERROR(
  IF(C9="""",, 
    IFERROR(
      GOOGLEFINANCE(C9, ""price"") * GOOGLEFINANCE(C9, ""volumeavg""), 
      GOOGLEFINANCE(C9, ""price"") * AVERAGE(QUERY(GOOGLEFINANCE(C9, ""volume"", TODAY()-40, TODAY()), ""SELECT Col2 WHERE Col2 IS NOT NULL ORDER"&amp;" BY Col1 DESC LIMIT 20"", 0))
    )
  ), 
"""")"),1.031919804E7)</f>
        <v>10319198.04</v>
      </c>
      <c r="K9" s="21">
        <f>IFERROR(__xludf.DUMMYFUNCTION("IFERROR(GOOGLEFINANCE(C9, ""changepct"") / 100, """")"),-0.0269)</f>
        <v>-0.0269</v>
      </c>
      <c r="L9" s="21" t="str">
        <f>IFERROR(__xludf.DUMMYFUNCTION("IFERROR((GOOGLEFINANCE(C9, ""price"") / INDEX(GOOGLEFINANCE(C9, ""price"", TODAY()-7, TODAY()), 2, 2)) - 1, """")"),"")</f>
        <v/>
      </c>
      <c r="M9" s="21" t="str">
        <f>IFERROR(__xludf.DUMMYFUNCTION("IFERROR((GOOGLEFINANCE(C9, ""price"") / INDEX(GOOGLEFINANCE(C9, ""price"", EDATE(TODAY(), -1), TODAY()), 2, 2)) - 1, """")"),"")</f>
        <v/>
      </c>
      <c r="N9" s="21" t="str">
        <f>IFERROR(__xludf.DUMMYFUNCTION("IFERROR((GOOGLEFINANCE(C9, ""price"") / INDEX(GOOGLEFINANCE(C9, ""price"", EDATE(TODAY(), -3), TODAY()), 2, 2)) - 1, """")"),"")</f>
        <v/>
      </c>
      <c r="O9" s="21" t="str">
        <f>IFERROR(__xludf.DUMMYFUNCTION("IFERROR((GOOGLEFINANCE(C9, ""price"") / INDEX(GOOGLEFINANCE(C9, ""price"", EDATE(TODAY(), -6), TODAY()), 2, 2)) - 1, """")"),"")</f>
        <v/>
      </c>
      <c r="P9" s="21" t="str">
        <f>IFERROR(__xludf.DUMMYFUNCTION("IFERROR((GOOGLEFINANCE(C9, ""price"") / INDEX(GOOGLEFINANCE(C9, ""price"", EDATE(TODAY(), -12), TODAY()), 2, 2)) - 1, """")"),"")</f>
        <v/>
      </c>
      <c r="Q9" s="6" t="str">
        <f>IFERROR(__xludf.DUMMYFUNCTION("AVERAGE(QUERY(GOOGLEFINANCE(C9, ""price"", TODAY()-80, TODAY()), ""SELECT Col2 WHERE Col2 IS NOT NULL ORDER BY Col1 DESC LIMIT 50"", 0))"),"#N/A")</f>
        <v>#N/A</v>
      </c>
      <c r="R9" s="24" t="str">
        <f>IFERROR(__xludf.DUMMYFUNCTION("IFERROR(
  LET(
    data, QUERY(GOOGLEFINANCE(C9,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GOOGLEFINANCE(C9, ""price"")) * 100,
    IF(calc=0, G9, calc)
  ), 
G9)"),"#N/A")</f>
        <v>#N/A</v>
      </c>
      <c r="S9" s="8" t="s">
        <v>15</v>
      </c>
      <c r="T9" s="26" t="str">
        <f>IFERROR(__xludf.DUMMYFUNCTION("IFERROR(TRANSPOSE(QUERY(IFERROR(SORT(GOOGLEFINANCE(C9, ""price"", WORKDAY(TODAY(), -40), TODAY()), 1, FALSE)), ""select Col2 where Col2 is not null limit 22 label Col2 ''"", 0)), """")"),"")</f>
        <v/>
      </c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8"/>
      <c r="AO9" s="28"/>
      <c r="AP9" s="29"/>
      <c r="AQ9" s="29" t="str">
        <f t="shared" ref="AQ9:BL9" si="12">T9/T$2</f>
        <v>#N/A</v>
      </c>
      <c r="AR9" s="29" t="str">
        <f t="shared" si="12"/>
        <v>#DIV/0!</v>
      </c>
      <c r="AS9" s="29" t="str">
        <f t="shared" si="12"/>
        <v>#DIV/0!</v>
      </c>
      <c r="AT9" s="29" t="str">
        <f t="shared" si="12"/>
        <v>#DIV/0!</v>
      </c>
      <c r="AU9" s="29" t="str">
        <f t="shared" si="12"/>
        <v>#DIV/0!</v>
      </c>
      <c r="AV9" s="29" t="str">
        <f t="shared" si="12"/>
        <v>#DIV/0!</v>
      </c>
      <c r="AW9" s="29" t="str">
        <f t="shared" si="12"/>
        <v>#DIV/0!</v>
      </c>
      <c r="AX9" s="29" t="str">
        <f t="shared" si="12"/>
        <v>#DIV/0!</v>
      </c>
      <c r="AY9" s="29" t="str">
        <f t="shared" si="12"/>
        <v>#DIV/0!</v>
      </c>
      <c r="AZ9" s="29" t="str">
        <f t="shared" si="12"/>
        <v>#DIV/0!</v>
      </c>
      <c r="BA9" s="29" t="str">
        <f t="shared" si="12"/>
        <v>#DIV/0!</v>
      </c>
      <c r="BB9" s="29" t="str">
        <f t="shared" si="12"/>
        <v>#DIV/0!</v>
      </c>
      <c r="BC9" s="29" t="str">
        <f t="shared" si="12"/>
        <v>#DIV/0!</v>
      </c>
      <c r="BD9" s="29" t="str">
        <f t="shared" si="12"/>
        <v>#DIV/0!</v>
      </c>
      <c r="BE9" s="29" t="str">
        <f t="shared" si="12"/>
        <v>#DIV/0!</v>
      </c>
      <c r="BF9" s="29" t="str">
        <f t="shared" si="12"/>
        <v>#DIV/0!</v>
      </c>
      <c r="BG9" s="29" t="str">
        <f t="shared" si="12"/>
        <v>#DIV/0!</v>
      </c>
      <c r="BH9" s="29" t="str">
        <f t="shared" si="12"/>
        <v>#DIV/0!</v>
      </c>
      <c r="BI9" s="29" t="str">
        <f t="shared" si="12"/>
        <v>#DIV/0!</v>
      </c>
      <c r="BJ9" s="29" t="str">
        <f t="shared" si="12"/>
        <v>#DIV/0!</v>
      </c>
      <c r="BK9" s="29" t="str">
        <f t="shared" si="12"/>
        <v>#DIV/0!</v>
      </c>
      <c r="BL9" s="29" t="str">
        <f t="shared" si="12"/>
        <v>#DIV/0!</v>
      </c>
      <c r="BM9" s="29" t="str">
        <f t="shared" si="3"/>
        <v>#DIV/0!</v>
      </c>
    </row>
    <row r="10" hidden="1">
      <c r="A10" s="16" t="str">
        <f>IFERROR(__xludf.DUMMYFUNCTION("IFERROR(SPARKLINE(SORT(MAP(TRANSPOSE(AQ10:BL10), LAMBDA(val, IF(ISNUMBER(val), PERCENTRANK(AQ10:BL10, val)+0.01, 0))), SEQUENCE(COLUMNS(AQ10:BL10)), FALSE), {""charttype"",""column""; ""color"",""chartreuse""; ""ymin"", 0; ""ymax"", 1.01; ""highcolor"", "&amp;"""darkgreen""; ""lowcolor"", ""red""}), """")"),"")</f>
        <v/>
      </c>
      <c r="B10" s="17" t="str">
        <f t="shared" si="4"/>
        <v/>
      </c>
      <c r="C10" s="1" t="s">
        <v>2566</v>
      </c>
      <c r="D10" s="30" t="str">
        <f>IFERROR(__xludf.DUMMYFUNCTION("IFERROR(GOOGLEFINANCE(C10, ""NAME""))"),"Natural Gas Services Group, Inc. Common Stock")</f>
        <v>Natural Gas Services Group, Inc. Common Stock</v>
      </c>
      <c r="E10" s="30" t="s">
        <v>2537</v>
      </c>
      <c r="F10" s="33" t="str">
        <f>IFERROR(__xludf.DUMMYFUNCTION("( (GOOGLEFINANCE(C10, ""price"") - Q10) / Q10 ) / (R10 / 100)"),"Loading...")</f>
        <v>Loading...</v>
      </c>
      <c r="G10" s="20" t="str">
        <f>IFERROR(__xludf.DUMMYFUNCTION("AVERAGE(ARRAYFORMULA(100 * (QUERY(GOOGLEFINANCE(C10, ""high"", TODAY()-40, TODAY()), ""SELECT Col2 WHERE Col2 IS NOT NULL ORDER BY Col1 DESC LIMIT 20"", 0) / QUERY(GOOGLEFINANCE(C10, ""low"", TODAY()-40, TODAY()), ""SELECT Col2 WHERE Col2 IS NOT NULL ORDE"&amp;"R BY Col1 DESC LIMIT 20"", 0) - 1)))"),"#N/A")</f>
        <v>#N/A</v>
      </c>
      <c r="H10" s="35" t="str">
        <f t="shared" si="6"/>
        <v>Illiquid</v>
      </c>
      <c r="I10" s="35" t="str">
        <f t="shared" si="7"/>
        <v>RVol Required</v>
      </c>
      <c r="J10" s="37">
        <f>IFERROR(__xludf.DUMMYFUNCTION("IFERROR(
  IF(C10="""",, 
    IFERROR(
      GOOGLEFINANCE(C10, ""price"") * GOOGLEFINANCE(C10, ""volumeavg""), 
      GOOGLEFINANCE(C10, ""price"") * AVERAGE(QUERY(GOOGLEFINANCE(C10, ""volume"", TODAY()-40, TODAY()), ""SELECT Col2 WHERE Col2 IS NOT NULL "&amp;"ORDER BY Col1 DESC LIMIT 20"", 0))
    )
  ), 
"""")"),3420067.0)</f>
        <v>3420067</v>
      </c>
      <c r="K10" s="21">
        <f>IFERROR(__xludf.DUMMYFUNCTION("IFERROR(GOOGLEFINANCE(C10, ""changepct"") / 100, """")"),0.0045000000000000005)</f>
        <v>0.0045</v>
      </c>
      <c r="L10" s="21" t="str">
        <f>IFERROR(__xludf.DUMMYFUNCTION("IFERROR((GOOGLEFINANCE(C10, ""price"") / INDEX(GOOGLEFINANCE(C10, ""price"", TODAY()-7, TODAY()), 2, 2)) - 1, """")"),"")</f>
        <v/>
      </c>
      <c r="M10" s="21" t="str">
        <f>IFERROR(__xludf.DUMMYFUNCTION("IFERROR((GOOGLEFINANCE(C10, ""price"") / INDEX(GOOGLEFINANCE(C10, ""price"", EDATE(TODAY(), -1), TODAY()), 2, 2)) - 1, """")"),"")</f>
        <v/>
      </c>
      <c r="N10" s="21" t="str">
        <f>IFERROR(__xludf.DUMMYFUNCTION("IFERROR((GOOGLEFINANCE(C10, ""price"") / INDEX(GOOGLEFINANCE(C10, ""price"", EDATE(TODAY(), -3), TODAY()), 2, 2)) - 1, """")"),"")</f>
        <v/>
      </c>
      <c r="O10" s="21" t="str">
        <f>IFERROR(__xludf.DUMMYFUNCTION("IFERROR((GOOGLEFINANCE(C10, ""price"") / INDEX(GOOGLEFINANCE(C10, ""price"", EDATE(TODAY(), -6), TODAY()), 2, 2)) - 1, """")"),"")</f>
        <v/>
      </c>
      <c r="P10" s="21" t="str">
        <f>IFERROR(__xludf.DUMMYFUNCTION("IFERROR((GOOGLEFINANCE(C10, ""price"") / INDEX(GOOGLEFINANCE(C10, ""price"", EDATE(TODAY(), -12), TODAY()), 2, 2)) - 1, """")"),"")</f>
        <v/>
      </c>
      <c r="Q10" s="6" t="str">
        <f>IFERROR(__xludf.DUMMYFUNCTION("AVERAGE(QUERY(GOOGLEFINANCE(C10, ""price"", TODAY()-80, TODAY()), ""SELECT Col2 WHERE Col2 IS NOT NULL ORDER BY Col1 DESC LIMIT 50"", 0))"),"#N/A")</f>
        <v>#N/A</v>
      </c>
      <c r="R10" s="24" t="str">
        <f>IFERROR(__xludf.DUMMYFUNCTION("IFERROR(
  LET(
    data, QUERY(GOOGLEFINANCE(C10,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GOOGLEFINANCE(C10, ""price"")) * 100,
    IF(calc=0, G10, calc)
  ), 
G10)"),"#N/A")</f>
        <v>#N/A</v>
      </c>
      <c r="S10" s="8" t="s">
        <v>15</v>
      </c>
      <c r="T10" s="26" t="str">
        <f>IFERROR(__xludf.DUMMYFUNCTION("IFERROR(TRANSPOSE(QUERY(IFERROR(SORT(GOOGLEFINANCE(C10, ""price"", WORKDAY(TODAY(), -40), TODAY()), 1, FALSE)), ""select Col2 where Col2 is not null limit 22 label Col2 ''"", 0)), """")"),"")</f>
        <v/>
      </c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8"/>
      <c r="AO10" s="28"/>
      <c r="AP10" s="29"/>
      <c r="AQ10" s="29" t="str">
        <f t="shared" ref="AQ10:BL10" si="13">T10/T$2</f>
        <v>#N/A</v>
      </c>
      <c r="AR10" s="29" t="str">
        <f t="shared" si="13"/>
        <v>#DIV/0!</v>
      </c>
      <c r="AS10" s="29" t="str">
        <f t="shared" si="13"/>
        <v>#DIV/0!</v>
      </c>
      <c r="AT10" s="29" t="str">
        <f t="shared" si="13"/>
        <v>#DIV/0!</v>
      </c>
      <c r="AU10" s="29" t="str">
        <f t="shared" si="13"/>
        <v>#DIV/0!</v>
      </c>
      <c r="AV10" s="29" t="str">
        <f t="shared" si="13"/>
        <v>#DIV/0!</v>
      </c>
      <c r="AW10" s="29" t="str">
        <f t="shared" si="13"/>
        <v>#DIV/0!</v>
      </c>
      <c r="AX10" s="29" t="str">
        <f t="shared" si="13"/>
        <v>#DIV/0!</v>
      </c>
      <c r="AY10" s="29" t="str">
        <f t="shared" si="13"/>
        <v>#DIV/0!</v>
      </c>
      <c r="AZ10" s="29" t="str">
        <f t="shared" si="13"/>
        <v>#DIV/0!</v>
      </c>
      <c r="BA10" s="29" t="str">
        <f t="shared" si="13"/>
        <v>#DIV/0!</v>
      </c>
      <c r="BB10" s="29" t="str">
        <f t="shared" si="13"/>
        <v>#DIV/0!</v>
      </c>
      <c r="BC10" s="29" t="str">
        <f t="shared" si="13"/>
        <v>#DIV/0!</v>
      </c>
      <c r="BD10" s="29" t="str">
        <f t="shared" si="13"/>
        <v>#DIV/0!</v>
      </c>
      <c r="BE10" s="29" t="str">
        <f t="shared" si="13"/>
        <v>#DIV/0!</v>
      </c>
      <c r="BF10" s="29" t="str">
        <f t="shared" si="13"/>
        <v>#DIV/0!</v>
      </c>
      <c r="BG10" s="29" t="str">
        <f t="shared" si="13"/>
        <v>#DIV/0!</v>
      </c>
      <c r="BH10" s="29" t="str">
        <f t="shared" si="13"/>
        <v>#DIV/0!</v>
      </c>
      <c r="BI10" s="29" t="str">
        <f t="shared" si="13"/>
        <v>#DIV/0!</v>
      </c>
      <c r="BJ10" s="29" t="str">
        <f t="shared" si="13"/>
        <v>#DIV/0!</v>
      </c>
      <c r="BK10" s="29" t="str">
        <f t="shared" si="13"/>
        <v>#DIV/0!</v>
      </c>
      <c r="BL10" s="29" t="str">
        <f t="shared" si="13"/>
        <v>#DIV/0!</v>
      </c>
      <c r="BM10" s="29" t="str">
        <f t="shared" si="3"/>
        <v>#DIV/0!</v>
      </c>
    </row>
    <row r="11">
      <c r="A11" s="16" t="str">
        <f>IFERROR(__xludf.DUMMYFUNCTION("IFERROR(SPARKLINE(SORT(MAP(TRANSPOSE(AQ11:BL11), LAMBDA(val, IF(ISNUMBER(val), PERCENTRANK(AQ11:BL11, val)+0.01, 0))), SEQUENCE(COLUMNS(AQ11:BL11)), FALSE), {""charttype"",""column""; ""color"",""chartreuse""; ""ymin"", 0; ""ymax"", 1.01; ""highcolor"", "&amp;"""darkgreen""; ""lowcolor"", ""red""}), """")"),"")</f>
        <v/>
      </c>
      <c r="B11" s="17" t="str">
        <f t="shared" si="4"/>
        <v/>
      </c>
      <c r="C11" s="1" t="s">
        <v>2569</v>
      </c>
      <c r="D11" s="30" t="str">
        <f>IFERROR(__xludf.DUMMYFUNCTION("IFERROR(GOOGLEFINANCE(C11, ""NAME""))"),"National Energy Services Reunited Corp")</f>
        <v>National Energy Services Reunited Corp</v>
      </c>
      <c r="E11" s="30" t="s">
        <v>2537</v>
      </c>
      <c r="F11" s="38" t="str">
        <f>IFERROR(__xludf.DUMMYFUNCTION("( (GOOGLEFINANCE(C11, ""price"") - Q11) / Q11 ) / (R11 / 100)"),"Loading...")</f>
        <v>Loading...</v>
      </c>
      <c r="G11" s="20" t="str">
        <f>IFERROR(__xludf.DUMMYFUNCTION("AVERAGE(ARRAYFORMULA(100 * (QUERY(GOOGLEFINANCE(C11, ""high"", TODAY()-40, TODAY()), ""SELECT Col2 WHERE Col2 IS NOT NULL ORDER BY Col1 DESC LIMIT 20"", 0) / QUERY(GOOGLEFINANCE(C11, ""low"", TODAY()-40, TODAY()), ""SELECT Col2 WHERE Col2 IS NOT NULL ORDE"&amp;"R BY Col1 DESC LIMIT 20"", 0) - 1)))"),"#N/A")</f>
        <v>#N/A</v>
      </c>
      <c r="H11" s="35" t="str">
        <f t="shared" si="6"/>
        <v>Illiquid</v>
      </c>
      <c r="I11" s="35" t="str">
        <f t="shared" si="7"/>
        <v>RVol Required</v>
      </c>
      <c r="J11" s="37">
        <f>IFERROR(__xludf.DUMMYFUNCTION("IFERROR(
  IF(C11="""",, 
    IFERROR(
      GOOGLEFINANCE(C11, ""price"") * GOOGLEFINANCE(C11, ""volumeavg""), 
      GOOGLEFINANCE(C11, ""price"") * AVERAGE(QUERY(GOOGLEFINANCE(C11, ""volume"", TODAY()-40, TODAY()), ""SELECT Col2 WHERE Col2 IS NOT NULL "&amp;"ORDER BY Col1 DESC LIMIT 20"", 0))
    )
  ), 
"""")"),4.690932246E7)</f>
        <v>46909322.46</v>
      </c>
      <c r="K11" s="21">
        <f>IFERROR(__xludf.DUMMYFUNCTION("IFERROR(GOOGLEFINANCE(C11, ""changepct"") / 100, """")"),-0.0199)</f>
        <v>-0.0199</v>
      </c>
      <c r="L11" s="21" t="str">
        <f>IFERROR(__xludf.DUMMYFUNCTION("IFERROR((GOOGLEFINANCE(C11, ""price"") / INDEX(GOOGLEFINANCE(C11, ""price"", TODAY()-7, TODAY()), 2, 2)) - 1, """")"),"")</f>
        <v/>
      </c>
      <c r="M11" s="21" t="str">
        <f>IFERROR(__xludf.DUMMYFUNCTION("IFERROR((GOOGLEFINANCE(C11, ""price"") / INDEX(GOOGLEFINANCE(C11, ""price"", EDATE(TODAY(), -1), TODAY()), 2, 2)) - 1, """")"),"")</f>
        <v/>
      </c>
      <c r="N11" s="21" t="str">
        <f>IFERROR(__xludf.DUMMYFUNCTION("IFERROR((GOOGLEFINANCE(C11, ""price"") / INDEX(GOOGLEFINANCE(C11, ""price"", EDATE(TODAY(), -3), TODAY()), 2, 2)) - 1, """")"),"")</f>
        <v/>
      </c>
      <c r="O11" s="21" t="str">
        <f>IFERROR(__xludf.DUMMYFUNCTION("IFERROR((GOOGLEFINANCE(C11, ""price"") / INDEX(GOOGLEFINANCE(C11, ""price"", EDATE(TODAY(), -6), TODAY()), 2, 2)) - 1, """")"),"")</f>
        <v/>
      </c>
      <c r="P11" s="21" t="str">
        <f>IFERROR(__xludf.DUMMYFUNCTION("IFERROR((GOOGLEFINANCE(C11, ""price"") / INDEX(GOOGLEFINANCE(C11, ""price"", EDATE(TODAY(), -12), TODAY()), 2, 2)) - 1, """")"),"")</f>
        <v/>
      </c>
      <c r="Q11" s="6" t="str">
        <f>IFERROR(__xludf.DUMMYFUNCTION("AVERAGE(QUERY(GOOGLEFINANCE(C11, ""price"", TODAY()-80, TODAY()), ""SELECT Col2 WHERE Col2 IS NOT NULL ORDER BY Col1 DESC LIMIT 50"", 0))"),"#N/A")</f>
        <v>#N/A</v>
      </c>
      <c r="R11" s="24" t="str">
        <f>IFERROR(__xludf.DUMMYFUNCTION("IFERROR(
  LET(
    data, QUERY(GOOGLEFINANCE(C11,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GOOGLEFINANCE(C11, ""price"")) * 100,
    IF(calc=0, G11, calc)
  ), 
G11)"),"#N/A")</f>
        <v>#N/A</v>
      </c>
      <c r="S11" s="8" t="s">
        <v>15</v>
      </c>
      <c r="T11" s="26" t="str">
        <f>IFERROR(__xludf.DUMMYFUNCTION("IFERROR(TRANSPOSE(QUERY(IFERROR(SORT(GOOGLEFINANCE(C11, ""price"", WORKDAY(TODAY(), -40), TODAY()), 1, FALSE)), ""select Col2 where Col2 is not null limit 22 label Col2 ''"", 0)), """")"),"")</f>
        <v/>
      </c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8"/>
      <c r="AO11" s="28"/>
      <c r="AP11" s="29"/>
      <c r="AQ11" s="29" t="str">
        <f t="shared" ref="AQ11:BL11" si="14">T11/T$2</f>
        <v>#N/A</v>
      </c>
      <c r="AR11" s="29" t="str">
        <f t="shared" si="14"/>
        <v>#DIV/0!</v>
      </c>
      <c r="AS11" s="29" t="str">
        <f t="shared" si="14"/>
        <v>#DIV/0!</v>
      </c>
      <c r="AT11" s="29" t="str">
        <f t="shared" si="14"/>
        <v>#DIV/0!</v>
      </c>
      <c r="AU11" s="29" t="str">
        <f t="shared" si="14"/>
        <v>#DIV/0!</v>
      </c>
      <c r="AV11" s="29" t="str">
        <f t="shared" si="14"/>
        <v>#DIV/0!</v>
      </c>
      <c r="AW11" s="29" t="str">
        <f t="shared" si="14"/>
        <v>#DIV/0!</v>
      </c>
      <c r="AX11" s="29" t="str">
        <f t="shared" si="14"/>
        <v>#DIV/0!</v>
      </c>
      <c r="AY11" s="29" t="str">
        <f t="shared" si="14"/>
        <v>#DIV/0!</v>
      </c>
      <c r="AZ11" s="29" t="str">
        <f t="shared" si="14"/>
        <v>#DIV/0!</v>
      </c>
      <c r="BA11" s="29" t="str">
        <f t="shared" si="14"/>
        <v>#DIV/0!</v>
      </c>
      <c r="BB11" s="29" t="str">
        <f t="shared" si="14"/>
        <v>#DIV/0!</v>
      </c>
      <c r="BC11" s="29" t="str">
        <f t="shared" si="14"/>
        <v>#DIV/0!</v>
      </c>
      <c r="BD11" s="29" t="str">
        <f t="shared" si="14"/>
        <v>#DIV/0!</v>
      </c>
      <c r="BE11" s="29" t="str">
        <f t="shared" si="14"/>
        <v>#DIV/0!</v>
      </c>
      <c r="BF11" s="29" t="str">
        <f t="shared" si="14"/>
        <v>#DIV/0!</v>
      </c>
      <c r="BG11" s="29" t="str">
        <f t="shared" si="14"/>
        <v>#DIV/0!</v>
      </c>
      <c r="BH11" s="29" t="str">
        <f t="shared" si="14"/>
        <v>#DIV/0!</v>
      </c>
      <c r="BI11" s="29" t="str">
        <f t="shared" si="14"/>
        <v>#DIV/0!</v>
      </c>
      <c r="BJ11" s="29" t="str">
        <f t="shared" si="14"/>
        <v>#DIV/0!</v>
      </c>
      <c r="BK11" s="29" t="str">
        <f t="shared" si="14"/>
        <v>#DIV/0!</v>
      </c>
      <c r="BL11" s="29" t="str">
        <f t="shared" si="14"/>
        <v>#DIV/0!</v>
      </c>
      <c r="BM11" s="29" t="str">
        <f t="shared" si="3"/>
        <v>#DIV/0!</v>
      </c>
    </row>
    <row r="12" hidden="1">
      <c r="A12" s="16" t="str">
        <f>IFERROR(__xludf.DUMMYFUNCTION("IFERROR(SPARKLINE(SORT(MAP(TRANSPOSE(AQ12:BL12), LAMBDA(val, IF(ISNUMBER(val), PERCENTRANK(AQ12:BL12, val)+0.01, 0))), SEQUENCE(COLUMNS(AQ12:BL12)), FALSE), {""charttype"",""column""; ""color"",""chartreuse""; ""ymin"", 0; ""ymax"", 1.01; ""highcolor"", "&amp;"""darkgreen""; ""lowcolor"", ""red""}), """")"),"")</f>
        <v/>
      </c>
      <c r="B12" s="17" t="str">
        <f t="shared" si="4"/>
        <v/>
      </c>
      <c r="C12" s="1" t="s">
        <v>2572</v>
      </c>
      <c r="D12" s="30" t="str">
        <f>IFERROR(__xludf.DUMMYFUNCTION("IFERROR(GOOGLEFINANCE(C12, ""NAME""))"),"Hallador Energy Co")</f>
        <v>Hallador Energy Co</v>
      </c>
      <c r="E12" s="30" t="s">
        <v>2573</v>
      </c>
      <c r="F12" s="33" t="str">
        <f>IFERROR(__xludf.DUMMYFUNCTION("( (GOOGLEFINANCE(C12, ""price"") - Q12) / Q12 ) / (R12 / 100)"),"Loading...")</f>
        <v>Loading...</v>
      </c>
      <c r="G12" s="20" t="str">
        <f>IFERROR(__xludf.DUMMYFUNCTION("AVERAGE(ARRAYFORMULA(100 * (QUERY(GOOGLEFINANCE(C12, ""high"", TODAY()-40, TODAY()), ""SELECT Col2 WHERE Col2 IS NOT NULL ORDER BY Col1 DESC LIMIT 20"", 0) / QUERY(GOOGLEFINANCE(C12, ""low"", TODAY()-40, TODAY()), ""SELECT Col2 WHERE Col2 IS NOT NULL ORDE"&amp;"R BY Col1 DESC LIMIT 20"", 0) - 1)))"),"#N/A")</f>
        <v>#N/A</v>
      </c>
      <c r="H12" s="35" t="str">
        <f t="shared" si="6"/>
        <v>Illiquid</v>
      </c>
      <c r="I12" s="35" t="str">
        <f t="shared" si="7"/>
        <v>RVol Required</v>
      </c>
      <c r="J12" s="37">
        <f>IFERROR(__xludf.DUMMYFUNCTION("IFERROR(
  IF(C12="""",, 
    IFERROR(
      GOOGLEFINANCE(C12, ""price"") * GOOGLEFINANCE(C12, ""volumeavg""), 
      GOOGLEFINANCE(C12, ""price"") * AVERAGE(QUERY(GOOGLEFINANCE(C12, ""volume"", TODAY()-40, TODAY()), ""SELECT Col2 WHERE Col2 IS NOT NULL "&amp;"ORDER BY Col1 DESC LIMIT 20"", 0))
    )
  ), 
"""")"),1.0405962690000001E7)</f>
        <v>10405962.69</v>
      </c>
      <c r="K12" s="21">
        <f>IFERROR(__xludf.DUMMYFUNCTION("IFERROR(GOOGLEFINANCE(C12, ""changepct"") / 100, """")"),-0.0787)</f>
        <v>-0.0787</v>
      </c>
      <c r="L12" s="21" t="str">
        <f>IFERROR(__xludf.DUMMYFUNCTION("IFERROR((GOOGLEFINANCE(C12, ""price"") / INDEX(GOOGLEFINANCE(C12, ""price"", TODAY()-7, TODAY()), 2, 2)) - 1, """")"),"")</f>
        <v/>
      </c>
      <c r="M12" s="21" t="str">
        <f>IFERROR(__xludf.DUMMYFUNCTION("IFERROR((GOOGLEFINANCE(C12, ""price"") / INDEX(GOOGLEFINANCE(C12, ""price"", EDATE(TODAY(), -1), TODAY()), 2, 2)) - 1, """")"),"")</f>
        <v/>
      </c>
      <c r="N12" s="21" t="str">
        <f>IFERROR(__xludf.DUMMYFUNCTION("IFERROR((GOOGLEFINANCE(C12, ""price"") / INDEX(GOOGLEFINANCE(C12, ""price"", EDATE(TODAY(), -3), TODAY()), 2, 2)) - 1, """")"),"")</f>
        <v/>
      </c>
      <c r="O12" s="21" t="str">
        <f>IFERROR(__xludf.DUMMYFUNCTION("IFERROR((GOOGLEFINANCE(C12, ""price"") / INDEX(GOOGLEFINANCE(C12, ""price"", EDATE(TODAY(), -6), TODAY()), 2, 2)) - 1, """")"),"")</f>
        <v/>
      </c>
      <c r="P12" s="21" t="str">
        <f>IFERROR(__xludf.DUMMYFUNCTION("IFERROR((GOOGLEFINANCE(C12, ""price"") / INDEX(GOOGLEFINANCE(C12, ""price"", EDATE(TODAY(), -12), TODAY()), 2, 2)) - 1, """")"),"")</f>
        <v/>
      </c>
      <c r="Q12" s="6" t="str">
        <f>IFERROR(__xludf.DUMMYFUNCTION("AVERAGE(QUERY(GOOGLEFINANCE(C12, ""price"", TODAY()-80, TODAY()), ""SELECT Col2 WHERE Col2 IS NOT NULL ORDER BY Col1 DESC LIMIT 50"", 0))"),"#N/A")</f>
        <v>#N/A</v>
      </c>
      <c r="R12" s="24" t="str">
        <f>IFERROR(__xludf.DUMMYFUNCTION("IFERROR(
  LET(
    data, QUERY(GOOGLEFINANCE(C12,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GOOGLEFINANCE(C12, ""price"")) * 100,
    IF(calc=0, G12, calc)
  ), 
G12)"),"#N/A")</f>
        <v>#N/A</v>
      </c>
      <c r="S12" s="8" t="s">
        <v>15</v>
      </c>
      <c r="T12" s="26" t="str">
        <f>IFERROR(__xludf.DUMMYFUNCTION("IFERROR(TRANSPOSE(QUERY(IFERROR(SORT(GOOGLEFINANCE(C12, ""price"", WORKDAY(TODAY(), -40), TODAY()), 1, FALSE)), ""select Col2 where Col2 is not null limit 22 label Col2 ''"", 0)), """")"),"")</f>
        <v/>
      </c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8"/>
      <c r="AO12" s="28"/>
      <c r="AP12" s="29"/>
      <c r="AQ12" s="29" t="str">
        <f t="shared" ref="AQ12:BL12" si="15">T12/T$2</f>
        <v>#N/A</v>
      </c>
      <c r="AR12" s="29" t="str">
        <f t="shared" si="15"/>
        <v>#DIV/0!</v>
      </c>
      <c r="AS12" s="29" t="str">
        <f t="shared" si="15"/>
        <v>#DIV/0!</v>
      </c>
      <c r="AT12" s="29" t="str">
        <f t="shared" si="15"/>
        <v>#DIV/0!</v>
      </c>
      <c r="AU12" s="29" t="str">
        <f t="shared" si="15"/>
        <v>#DIV/0!</v>
      </c>
      <c r="AV12" s="29" t="str">
        <f t="shared" si="15"/>
        <v>#DIV/0!</v>
      </c>
      <c r="AW12" s="29" t="str">
        <f t="shared" si="15"/>
        <v>#DIV/0!</v>
      </c>
      <c r="AX12" s="29" t="str">
        <f t="shared" si="15"/>
        <v>#DIV/0!</v>
      </c>
      <c r="AY12" s="29" t="str">
        <f t="shared" si="15"/>
        <v>#DIV/0!</v>
      </c>
      <c r="AZ12" s="29" t="str">
        <f t="shared" si="15"/>
        <v>#DIV/0!</v>
      </c>
      <c r="BA12" s="29" t="str">
        <f t="shared" si="15"/>
        <v>#DIV/0!</v>
      </c>
      <c r="BB12" s="29" t="str">
        <f t="shared" si="15"/>
        <v>#DIV/0!</v>
      </c>
      <c r="BC12" s="29" t="str">
        <f t="shared" si="15"/>
        <v>#DIV/0!</v>
      </c>
      <c r="BD12" s="29" t="str">
        <f t="shared" si="15"/>
        <v>#DIV/0!</v>
      </c>
      <c r="BE12" s="29" t="str">
        <f t="shared" si="15"/>
        <v>#DIV/0!</v>
      </c>
      <c r="BF12" s="29" t="str">
        <f t="shared" si="15"/>
        <v>#DIV/0!</v>
      </c>
      <c r="BG12" s="29" t="str">
        <f t="shared" si="15"/>
        <v>#DIV/0!</v>
      </c>
      <c r="BH12" s="29" t="str">
        <f t="shared" si="15"/>
        <v>#DIV/0!</v>
      </c>
      <c r="BI12" s="29" t="str">
        <f t="shared" si="15"/>
        <v>#DIV/0!</v>
      </c>
      <c r="BJ12" s="29" t="str">
        <f t="shared" si="15"/>
        <v>#DIV/0!</v>
      </c>
      <c r="BK12" s="29" t="str">
        <f t="shared" si="15"/>
        <v>#DIV/0!</v>
      </c>
      <c r="BL12" s="29" t="str">
        <f t="shared" si="15"/>
        <v>#DIV/0!</v>
      </c>
      <c r="BM12" s="29" t="str">
        <f t="shared" si="3"/>
        <v>#DIV/0!</v>
      </c>
    </row>
    <row r="13" hidden="1">
      <c r="A13" s="16" t="str">
        <f>IFERROR(__xludf.DUMMYFUNCTION("IFERROR(SPARKLINE(SORT(MAP(TRANSPOSE(AQ13:BL13), LAMBDA(val, IF(ISNUMBER(val), PERCENTRANK(AQ13:BL13, val)+0.01, 0))), SEQUENCE(COLUMNS(AQ13:BL13)), FALSE), {""charttype"",""column""; ""color"",""chartreuse""; ""ymin"", 0; ""ymax"", 1.01; ""highcolor"", "&amp;"""darkgreen""; ""lowcolor"", ""red""}), """")"),"")</f>
        <v/>
      </c>
      <c r="B13" s="17" t="str">
        <f t="shared" si="4"/>
        <v/>
      </c>
      <c r="C13" s="1" t="s">
        <v>2577</v>
      </c>
      <c r="D13" s="30" t="str">
        <f>IFERROR(__xludf.DUMMYFUNCTION("IFERROR(GOOGLEFINANCE(C13, ""NAME""))"),"Flowco Holdings Inc")</f>
        <v>Flowco Holdings Inc</v>
      </c>
      <c r="E13" s="30" t="s">
        <v>2537</v>
      </c>
      <c r="F13" s="33" t="str">
        <f>IFERROR(__xludf.DUMMYFUNCTION("( (GOOGLEFINANCE(C13, ""price"") - Q13) / Q13 ) / (R13 / 100)"),"Loading...")</f>
        <v>Loading...</v>
      </c>
      <c r="G13" s="20" t="str">
        <f>IFERROR(__xludf.DUMMYFUNCTION("AVERAGE(ARRAYFORMULA(100 * (QUERY(GOOGLEFINANCE(C13, ""high"", TODAY()-40, TODAY()), ""SELECT Col2 WHERE Col2 IS NOT NULL ORDER BY Col1 DESC LIMIT 20"", 0) / QUERY(GOOGLEFINANCE(C13, ""low"", TODAY()-40, TODAY()), ""SELECT Col2 WHERE Col2 IS NOT NULL ORDE"&amp;"R BY Col1 DESC LIMIT 20"", 0) - 1)))"),"#N/A")</f>
        <v>#N/A</v>
      </c>
      <c r="H13" s="35" t="str">
        <f t="shared" si="6"/>
        <v>Illiquid</v>
      </c>
      <c r="I13" s="35" t="str">
        <f t="shared" si="7"/>
        <v>RVol Required</v>
      </c>
      <c r="J13" s="37">
        <f>IFERROR(__xludf.DUMMYFUNCTION("IFERROR(
  IF(C13="""",, 
    IFERROR(
      GOOGLEFINANCE(C13, ""price"") * GOOGLEFINANCE(C13, ""volumeavg""), 
      GOOGLEFINANCE(C13, ""price"") * AVERAGE(QUERY(GOOGLEFINANCE(C13, ""volume"", TODAY()-40, TODAY()), ""SELECT Col2 WHERE Col2 IS NOT NULL "&amp;"ORDER BY Col1 DESC LIMIT 20"", 0))
    )
  ), 
"""")"),1.1259158129999999E7)</f>
        <v>11259158.13</v>
      </c>
      <c r="K13" s="21">
        <f>IFERROR(__xludf.DUMMYFUNCTION("IFERROR(GOOGLEFINANCE(C13, ""changepct"") / 100, """")"),0.0262)</f>
        <v>0.0262</v>
      </c>
      <c r="L13" s="21" t="str">
        <f>IFERROR(__xludf.DUMMYFUNCTION("IFERROR((GOOGLEFINANCE(C13, ""price"") / INDEX(GOOGLEFINANCE(C13, ""price"", TODAY()-7, TODAY()), 2, 2)) - 1, """")"),"")</f>
        <v/>
      </c>
      <c r="M13" s="21" t="str">
        <f>IFERROR(__xludf.DUMMYFUNCTION("IFERROR((GOOGLEFINANCE(C13, ""price"") / INDEX(GOOGLEFINANCE(C13, ""price"", EDATE(TODAY(), -1), TODAY()), 2, 2)) - 1, """")"),"")</f>
        <v/>
      </c>
      <c r="N13" s="21" t="str">
        <f>IFERROR(__xludf.DUMMYFUNCTION("IFERROR((GOOGLEFINANCE(C13, ""price"") / INDEX(GOOGLEFINANCE(C13, ""price"", EDATE(TODAY(), -3), TODAY()), 2, 2)) - 1, """")"),"")</f>
        <v/>
      </c>
      <c r="O13" s="21" t="str">
        <f>IFERROR(__xludf.DUMMYFUNCTION("IFERROR((GOOGLEFINANCE(C13, ""price"") / INDEX(GOOGLEFINANCE(C13, ""price"", EDATE(TODAY(), -6), TODAY()), 2, 2)) - 1, """")"),"")</f>
        <v/>
      </c>
      <c r="P13" s="21" t="str">
        <f>IFERROR(__xludf.DUMMYFUNCTION("IFERROR((GOOGLEFINANCE(C13, ""price"") / INDEX(GOOGLEFINANCE(C13, ""price"", EDATE(TODAY(), -12), TODAY()), 2, 2)) - 1, """")"),"")</f>
        <v/>
      </c>
      <c r="Q13" s="6" t="str">
        <f>IFERROR(__xludf.DUMMYFUNCTION("AVERAGE(QUERY(GOOGLEFINANCE(C13, ""price"", TODAY()-80, TODAY()), ""SELECT Col2 WHERE Col2 IS NOT NULL ORDER BY Col1 DESC LIMIT 50"", 0))"),"#N/A")</f>
        <v>#N/A</v>
      </c>
      <c r="R13" s="24" t="str">
        <f>IFERROR(__xludf.DUMMYFUNCTION("IFERROR(
  LET(
    data, QUERY(GOOGLEFINANCE(C13,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GOOGLEFINANCE(C13, ""price"")) * 100,
    IF(calc=0, G13, calc)
  ), 
G13)"),"#N/A")</f>
        <v>#N/A</v>
      </c>
      <c r="S13" s="8" t="s">
        <v>15</v>
      </c>
      <c r="T13" s="26" t="str">
        <f>IFERROR(__xludf.DUMMYFUNCTION("IFERROR(TRANSPOSE(QUERY(IFERROR(SORT(GOOGLEFINANCE(C13, ""price"", WORKDAY(TODAY(), -40), TODAY()), 1, FALSE)), ""select Col2 where Col2 is not null limit 22 label Col2 ''"", 0)), """")"),"")</f>
        <v/>
      </c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8"/>
      <c r="AO13" s="28"/>
      <c r="AP13" s="29"/>
      <c r="AQ13" s="29" t="str">
        <f t="shared" ref="AQ13:BL13" si="16">T13/T$2</f>
        <v>#N/A</v>
      </c>
      <c r="AR13" s="29" t="str">
        <f t="shared" si="16"/>
        <v>#DIV/0!</v>
      </c>
      <c r="AS13" s="29" t="str">
        <f t="shared" si="16"/>
        <v>#DIV/0!</v>
      </c>
      <c r="AT13" s="29" t="str">
        <f t="shared" si="16"/>
        <v>#DIV/0!</v>
      </c>
      <c r="AU13" s="29" t="str">
        <f t="shared" si="16"/>
        <v>#DIV/0!</v>
      </c>
      <c r="AV13" s="29" t="str">
        <f t="shared" si="16"/>
        <v>#DIV/0!</v>
      </c>
      <c r="AW13" s="29" t="str">
        <f t="shared" si="16"/>
        <v>#DIV/0!</v>
      </c>
      <c r="AX13" s="29" t="str">
        <f t="shared" si="16"/>
        <v>#DIV/0!</v>
      </c>
      <c r="AY13" s="29" t="str">
        <f t="shared" si="16"/>
        <v>#DIV/0!</v>
      </c>
      <c r="AZ13" s="29" t="str">
        <f t="shared" si="16"/>
        <v>#DIV/0!</v>
      </c>
      <c r="BA13" s="29" t="str">
        <f t="shared" si="16"/>
        <v>#DIV/0!</v>
      </c>
      <c r="BB13" s="29" t="str">
        <f t="shared" si="16"/>
        <v>#DIV/0!</v>
      </c>
      <c r="BC13" s="29" t="str">
        <f t="shared" si="16"/>
        <v>#DIV/0!</v>
      </c>
      <c r="BD13" s="29" t="str">
        <f t="shared" si="16"/>
        <v>#DIV/0!</v>
      </c>
      <c r="BE13" s="29" t="str">
        <f t="shared" si="16"/>
        <v>#DIV/0!</v>
      </c>
      <c r="BF13" s="29" t="str">
        <f t="shared" si="16"/>
        <v>#DIV/0!</v>
      </c>
      <c r="BG13" s="29" t="str">
        <f t="shared" si="16"/>
        <v>#DIV/0!</v>
      </c>
      <c r="BH13" s="29" t="str">
        <f t="shared" si="16"/>
        <v>#DIV/0!</v>
      </c>
      <c r="BI13" s="29" t="str">
        <f t="shared" si="16"/>
        <v>#DIV/0!</v>
      </c>
      <c r="BJ13" s="29" t="str">
        <f t="shared" si="16"/>
        <v>#DIV/0!</v>
      </c>
      <c r="BK13" s="29" t="str">
        <f t="shared" si="16"/>
        <v>#DIV/0!</v>
      </c>
      <c r="BL13" s="29" t="str">
        <f t="shared" si="16"/>
        <v>#DIV/0!</v>
      </c>
      <c r="BM13" s="29" t="str">
        <f t="shared" si="3"/>
        <v>#DIV/0!</v>
      </c>
    </row>
    <row r="14" hidden="1">
      <c r="A14" s="16" t="str">
        <f>IFERROR(__xludf.DUMMYFUNCTION("IFERROR(SPARKLINE(SORT(MAP(TRANSPOSE(AQ14:BL14), LAMBDA(val, IF(ISNUMBER(val), PERCENTRANK(AQ14:BL14, val)+0.01, 0))), SEQUENCE(COLUMNS(AQ14:BL14)), FALSE), {""charttype"",""column""; ""color"",""chartreuse""; ""ymin"", 0; ""ymax"", 1.01; ""highcolor"", "&amp;"""darkgreen""; ""lowcolor"", ""red""}), """")"),"")</f>
        <v/>
      </c>
      <c r="B14" s="17" t="str">
        <f t="shared" si="4"/>
        <v/>
      </c>
      <c r="C14" s="1" t="s">
        <v>2581</v>
      </c>
      <c r="D14" s="30" t="str">
        <f>IFERROR(__xludf.DUMMYFUNCTION("IFERROR(GOOGLEFINANCE(C14, ""NAME""))"),"Excelerate Energy Inc")</f>
        <v>Excelerate Energy Inc</v>
      </c>
      <c r="E14" s="30" t="s">
        <v>2547</v>
      </c>
      <c r="F14" s="33" t="str">
        <f>IFERROR(__xludf.DUMMYFUNCTION("( (GOOGLEFINANCE(C14, ""price"") - Q14) / Q14 ) / (R14 / 100)"),"Loading...")</f>
        <v>Loading...</v>
      </c>
      <c r="G14" s="20" t="str">
        <f>IFERROR(__xludf.DUMMYFUNCTION("AVERAGE(ARRAYFORMULA(100 * (QUERY(GOOGLEFINANCE(C14, ""high"", TODAY()-40, TODAY()), ""SELECT Col2 WHERE Col2 IS NOT NULL ORDER BY Col1 DESC LIMIT 20"", 0) / QUERY(GOOGLEFINANCE(C14, ""low"", TODAY()-40, TODAY()), ""SELECT Col2 WHERE Col2 IS NOT NULL ORDE"&amp;"R BY Col1 DESC LIMIT 20"", 0) - 1)))"),"#N/A")</f>
        <v>#N/A</v>
      </c>
      <c r="H14" s="35" t="str">
        <f t="shared" si="6"/>
        <v>Illiquid</v>
      </c>
      <c r="I14" s="35" t="str">
        <f t="shared" si="7"/>
        <v>RVol Required</v>
      </c>
      <c r="J14" s="37">
        <f>IFERROR(__xludf.DUMMYFUNCTION("IFERROR(
  IF(C14="""",, 
    IFERROR(
      GOOGLEFINANCE(C14, ""price"") * GOOGLEFINANCE(C14, ""volumeavg""), 
      GOOGLEFINANCE(C14, ""price"") * AVERAGE(QUERY(GOOGLEFINANCE(C14, ""volume"", TODAY()-40, TODAY()), ""SELECT Col2 WHERE Col2 IS NOT NULL "&amp;"ORDER BY Col1 DESC LIMIT 20"", 0))
    )
  ), 
"""")"),1.4185961600000001E7)</f>
        <v>14185961.6</v>
      </c>
      <c r="K14" s="21">
        <f>IFERROR(__xludf.DUMMYFUNCTION("IFERROR(GOOGLEFINANCE(C14, ""changepct"") / 100, """")"),0.0212)</f>
        <v>0.0212</v>
      </c>
      <c r="L14" s="21" t="str">
        <f>IFERROR(__xludf.DUMMYFUNCTION("IFERROR((GOOGLEFINANCE(C14, ""price"") / INDEX(GOOGLEFINANCE(C14, ""price"", TODAY()-7, TODAY()), 2, 2)) - 1, """")"),"")</f>
        <v/>
      </c>
      <c r="M14" s="21" t="str">
        <f>IFERROR(__xludf.DUMMYFUNCTION("IFERROR((GOOGLEFINANCE(C14, ""price"") / INDEX(GOOGLEFINANCE(C14, ""price"", EDATE(TODAY(), -1), TODAY()), 2, 2)) - 1, """")"),"")</f>
        <v/>
      </c>
      <c r="N14" s="21" t="str">
        <f>IFERROR(__xludf.DUMMYFUNCTION("IFERROR((GOOGLEFINANCE(C14, ""price"") / INDEX(GOOGLEFINANCE(C14, ""price"", EDATE(TODAY(), -3), TODAY()), 2, 2)) - 1, """")"),"")</f>
        <v/>
      </c>
      <c r="O14" s="21" t="str">
        <f>IFERROR(__xludf.DUMMYFUNCTION("IFERROR((GOOGLEFINANCE(C14, ""price"") / INDEX(GOOGLEFINANCE(C14, ""price"", EDATE(TODAY(), -6), TODAY()), 2, 2)) - 1, """")"),"")</f>
        <v/>
      </c>
      <c r="P14" s="21" t="str">
        <f>IFERROR(__xludf.DUMMYFUNCTION("IFERROR((GOOGLEFINANCE(C14, ""price"") / INDEX(GOOGLEFINANCE(C14, ""price"", EDATE(TODAY(), -12), TODAY()), 2, 2)) - 1, """")"),"")</f>
        <v/>
      </c>
      <c r="Q14" s="6" t="str">
        <f>IFERROR(__xludf.DUMMYFUNCTION("AVERAGE(QUERY(GOOGLEFINANCE(C14, ""price"", TODAY()-80, TODAY()), ""SELECT Col2 WHERE Col2 IS NOT NULL ORDER BY Col1 DESC LIMIT 50"", 0))"),"#N/A")</f>
        <v>#N/A</v>
      </c>
      <c r="R14" s="24" t="str">
        <f>IFERROR(__xludf.DUMMYFUNCTION("IFERROR(
  LET(
    data, QUERY(GOOGLEFINANCE(C14,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GOOGLEFINANCE(C14, ""price"")) * 100,
    IF(calc=0, G14, calc)
  ), 
G14)"),"#N/A")</f>
        <v>#N/A</v>
      </c>
      <c r="S14" s="8" t="s">
        <v>15</v>
      </c>
      <c r="T14" s="26" t="str">
        <f>IFERROR(__xludf.DUMMYFUNCTION("IFERROR(TRANSPOSE(QUERY(IFERROR(SORT(GOOGLEFINANCE(C14, ""price"", WORKDAY(TODAY(), -40), TODAY()), 1, FALSE)), ""select Col2 where Col2 is not null limit 22 label Col2 ''"", 0)), """")"),"")</f>
        <v/>
      </c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8"/>
      <c r="AO14" s="28"/>
      <c r="AP14" s="29"/>
      <c r="AQ14" s="29" t="str">
        <f t="shared" ref="AQ14:BL14" si="17">T14/T$2</f>
        <v>#N/A</v>
      </c>
      <c r="AR14" s="29" t="str">
        <f t="shared" si="17"/>
        <v>#DIV/0!</v>
      </c>
      <c r="AS14" s="29" t="str">
        <f t="shared" si="17"/>
        <v>#DIV/0!</v>
      </c>
      <c r="AT14" s="29" t="str">
        <f t="shared" si="17"/>
        <v>#DIV/0!</v>
      </c>
      <c r="AU14" s="29" t="str">
        <f t="shared" si="17"/>
        <v>#DIV/0!</v>
      </c>
      <c r="AV14" s="29" t="str">
        <f t="shared" si="17"/>
        <v>#DIV/0!</v>
      </c>
      <c r="AW14" s="29" t="str">
        <f t="shared" si="17"/>
        <v>#DIV/0!</v>
      </c>
      <c r="AX14" s="29" t="str">
        <f t="shared" si="17"/>
        <v>#DIV/0!</v>
      </c>
      <c r="AY14" s="29" t="str">
        <f t="shared" si="17"/>
        <v>#DIV/0!</v>
      </c>
      <c r="AZ14" s="29" t="str">
        <f t="shared" si="17"/>
        <v>#DIV/0!</v>
      </c>
      <c r="BA14" s="29" t="str">
        <f t="shared" si="17"/>
        <v>#DIV/0!</v>
      </c>
      <c r="BB14" s="29" t="str">
        <f t="shared" si="17"/>
        <v>#DIV/0!</v>
      </c>
      <c r="BC14" s="29" t="str">
        <f t="shared" si="17"/>
        <v>#DIV/0!</v>
      </c>
      <c r="BD14" s="29" t="str">
        <f t="shared" si="17"/>
        <v>#DIV/0!</v>
      </c>
      <c r="BE14" s="29" t="str">
        <f t="shared" si="17"/>
        <v>#DIV/0!</v>
      </c>
      <c r="BF14" s="29" t="str">
        <f t="shared" si="17"/>
        <v>#DIV/0!</v>
      </c>
      <c r="BG14" s="29" t="str">
        <f t="shared" si="17"/>
        <v>#DIV/0!</v>
      </c>
      <c r="BH14" s="29" t="str">
        <f t="shared" si="17"/>
        <v>#DIV/0!</v>
      </c>
      <c r="BI14" s="29" t="str">
        <f t="shared" si="17"/>
        <v>#DIV/0!</v>
      </c>
      <c r="BJ14" s="29" t="str">
        <f t="shared" si="17"/>
        <v>#DIV/0!</v>
      </c>
      <c r="BK14" s="29" t="str">
        <f t="shared" si="17"/>
        <v>#DIV/0!</v>
      </c>
      <c r="BL14" s="29" t="str">
        <f t="shared" si="17"/>
        <v>#DIV/0!</v>
      </c>
      <c r="BM14" s="29" t="str">
        <f t="shared" si="3"/>
        <v>#DIV/0!</v>
      </c>
    </row>
    <row r="15">
      <c r="A15" s="16" t="str">
        <f>IFERROR(__xludf.DUMMYFUNCTION("IFERROR(SPARKLINE(SORT(MAP(TRANSPOSE(AQ15:BL15), LAMBDA(val, IF(ISNUMBER(val), PERCENTRANK(AQ15:BL15, val)+0.01, 0))), SEQUENCE(COLUMNS(AQ15:BL15)), FALSE), {""charttype"",""column""; ""color"",""chartreuse""; ""ymin"", 0; ""ymax"", 1.01; ""highcolor"", "&amp;"""darkgreen""; ""lowcolor"", ""red""}), """")"),"")</f>
        <v/>
      </c>
      <c r="B15" s="17" t="str">
        <f t="shared" si="4"/>
        <v/>
      </c>
      <c r="C15" s="1" t="s">
        <v>2585</v>
      </c>
      <c r="D15" s="30" t="str">
        <f>IFERROR(__xludf.DUMMYFUNCTION("IFERROR(GOOGLEFINANCE(C15, ""NAME""))"),"Western Midstream Partners LP")</f>
        <v>Western Midstream Partners LP</v>
      </c>
      <c r="E15" s="30" t="s">
        <v>2547</v>
      </c>
      <c r="F15" s="38" t="str">
        <f>IFERROR(__xludf.DUMMYFUNCTION("( (GOOGLEFINANCE(C15, ""price"") - Q15) / Q15 ) / (R15 / 100)"),"Loading...")</f>
        <v>Loading...</v>
      </c>
      <c r="G15" s="20" t="str">
        <f>IFERROR(__xludf.DUMMYFUNCTION("AVERAGE(ARRAYFORMULA(100 * (QUERY(GOOGLEFINANCE(C15, ""high"", TODAY()-40, TODAY()), ""SELECT Col2 WHERE Col2 IS NOT NULL ORDER BY Col1 DESC LIMIT 20"", 0) / QUERY(GOOGLEFINANCE(C15, ""low"", TODAY()-40, TODAY()), ""SELECT Col2 WHERE Col2 IS NOT NULL ORDE"&amp;"R BY Col1 DESC LIMIT 20"", 0) - 1)))"),"#N/A")</f>
        <v>#N/A</v>
      </c>
      <c r="H15" s="35" t="str">
        <f t="shared" si="6"/>
        <v>Illiquid</v>
      </c>
      <c r="I15" s="35" t="str">
        <f t="shared" si="7"/>
        <v>RVol Required</v>
      </c>
      <c r="J15" s="37">
        <f>IFERROR(__xludf.DUMMYFUNCTION("IFERROR(
  IF(C15="""",, 
    IFERROR(
      GOOGLEFINANCE(C15, ""price"") * GOOGLEFINANCE(C15, ""volumeavg""), 
      GOOGLEFINANCE(C15, ""price"") * AVERAGE(QUERY(GOOGLEFINANCE(C15, ""volume"", TODAY()-40, TODAY()), ""SELECT Col2 WHERE Col2 IS NOT NULL "&amp;"ORDER BY Col1 DESC LIMIT 20"", 0))
    )
  ), 
"""")"),4.15887403E7)</f>
        <v>41588740.3</v>
      </c>
      <c r="K15" s="21">
        <f>IFERROR(__xludf.DUMMYFUNCTION("IFERROR(GOOGLEFINANCE(C15, ""changepct"") / 100, """")"),0.0109)</f>
        <v>0.0109</v>
      </c>
      <c r="L15" s="21" t="str">
        <f>IFERROR(__xludf.DUMMYFUNCTION("IFERROR((GOOGLEFINANCE(C15, ""price"") / INDEX(GOOGLEFINANCE(C15, ""price"", TODAY()-7, TODAY()), 2, 2)) - 1, """")"),"")</f>
        <v/>
      </c>
      <c r="M15" s="21" t="str">
        <f>IFERROR(__xludf.DUMMYFUNCTION("IFERROR((GOOGLEFINANCE(C15, ""price"") / INDEX(GOOGLEFINANCE(C15, ""price"", EDATE(TODAY(), -1), TODAY()), 2, 2)) - 1, """")"),"")</f>
        <v/>
      </c>
      <c r="N15" s="21" t="str">
        <f>IFERROR(__xludf.DUMMYFUNCTION("IFERROR((GOOGLEFINANCE(C15, ""price"") / INDEX(GOOGLEFINANCE(C15, ""price"", EDATE(TODAY(), -3), TODAY()), 2, 2)) - 1, """")"),"")</f>
        <v/>
      </c>
      <c r="O15" s="21" t="str">
        <f>IFERROR(__xludf.DUMMYFUNCTION("IFERROR((GOOGLEFINANCE(C15, ""price"") / INDEX(GOOGLEFINANCE(C15, ""price"", EDATE(TODAY(), -6), TODAY()), 2, 2)) - 1, """")"),"")</f>
        <v/>
      </c>
      <c r="P15" s="21" t="str">
        <f>IFERROR(__xludf.DUMMYFUNCTION("IFERROR((GOOGLEFINANCE(C15, ""price"") / INDEX(GOOGLEFINANCE(C15, ""price"", EDATE(TODAY(), -12), TODAY()), 2, 2)) - 1, """")"),"")</f>
        <v/>
      </c>
      <c r="Q15" s="6" t="str">
        <f>IFERROR(__xludf.DUMMYFUNCTION("AVERAGE(QUERY(GOOGLEFINANCE(C15, ""price"", TODAY()-80, TODAY()), ""SELECT Col2 WHERE Col2 IS NOT NULL ORDER BY Col1 DESC LIMIT 50"", 0))"),"#N/A")</f>
        <v>#N/A</v>
      </c>
      <c r="R15" s="24" t="str">
        <f>IFERROR(__xludf.DUMMYFUNCTION("IFERROR(
  LET(
    data, QUERY(GOOGLEFINANCE(C15,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GOOGLEFINANCE(C15, ""price"")) * 100,
    IF(calc=0, G15, calc)
  ), 
G15)"),"#N/A")</f>
        <v>#N/A</v>
      </c>
      <c r="S15" s="8" t="s">
        <v>15</v>
      </c>
      <c r="T15" s="26" t="str">
        <f>IFERROR(__xludf.DUMMYFUNCTION("IFERROR(TRANSPOSE(QUERY(IFERROR(SORT(GOOGLEFINANCE(C15, ""price"", WORKDAY(TODAY(), -40), TODAY()), 1, FALSE)), ""select Col2 where Col2 is not null limit 22 label Col2 ''"", 0)), """")"),"")</f>
        <v/>
      </c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8"/>
      <c r="AO15" s="28"/>
      <c r="AP15" s="29"/>
      <c r="AQ15" s="29" t="str">
        <f t="shared" ref="AQ15:BL15" si="18">T15/T$2</f>
        <v>#N/A</v>
      </c>
      <c r="AR15" s="29" t="str">
        <f t="shared" si="18"/>
        <v>#DIV/0!</v>
      </c>
      <c r="AS15" s="29" t="str">
        <f t="shared" si="18"/>
        <v>#DIV/0!</v>
      </c>
      <c r="AT15" s="29" t="str">
        <f t="shared" si="18"/>
        <v>#DIV/0!</v>
      </c>
      <c r="AU15" s="29" t="str">
        <f t="shared" si="18"/>
        <v>#DIV/0!</v>
      </c>
      <c r="AV15" s="29" t="str">
        <f t="shared" si="18"/>
        <v>#DIV/0!</v>
      </c>
      <c r="AW15" s="29" t="str">
        <f t="shared" si="18"/>
        <v>#DIV/0!</v>
      </c>
      <c r="AX15" s="29" t="str">
        <f t="shared" si="18"/>
        <v>#DIV/0!</v>
      </c>
      <c r="AY15" s="29" t="str">
        <f t="shared" si="18"/>
        <v>#DIV/0!</v>
      </c>
      <c r="AZ15" s="29" t="str">
        <f t="shared" si="18"/>
        <v>#DIV/0!</v>
      </c>
      <c r="BA15" s="29" t="str">
        <f t="shared" si="18"/>
        <v>#DIV/0!</v>
      </c>
      <c r="BB15" s="29" t="str">
        <f t="shared" si="18"/>
        <v>#DIV/0!</v>
      </c>
      <c r="BC15" s="29" t="str">
        <f t="shared" si="18"/>
        <v>#DIV/0!</v>
      </c>
      <c r="BD15" s="29" t="str">
        <f t="shared" si="18"/>
        <v>#DIV/0!</v>
      </c>
      <c r="BE15" s="29" t="str">
        <f t="shared" si="18"/>
        <v>#DIV/0!</v>
      </c>
      <c r="BF15" s="29" t="str">
        <f t="shared" si="18"/>
        <v>#DIV/0!</v>
      </c>
      <c r="BG15" s="29" t="str">
        <f t="shared" si="18"/>
        <v>#DIV/0!</v>
      </c>
      <c r="BH15" s="29" t="str">
        <f t="shared" si="18"/>
        <v>#DIV/0!</v>
      </c>
      <c r="BI15" s="29" t="str">
        <f t="shared" si="18"/>
        <v>#DIV/0!</v>
      </c>
      <c r="BJ15" s="29" t="str">
        <f t="shared" si="18"/>
        <v>#DIV/0!</v>
      </c>
      <c r="BK15" s="29" t="str">
        <f t="shared" si="18"/>
        <v>#DIV/0!</v>
      </c>
      <c r="BL15" s="29" t="str">
        <f t="shared" si="18"/>
        <v>#DIV/0!</v>
      </c>
      <c r="BM15" s="29" t="str">
        <f t="shared" si="3"/>
        <v>#DIV/0!</v>
      </c>
    </row>
    <row r="16" hidden="1">
      <c r="A16" s="16" t="str">
        <f>IFERROR(__xludf.DUMMYFUNCTION("IFERROR(SPARKLINE(SORT(MAP(TRANSPOSE(AQ16:BL16), LAMBDA(val, IF(ISNUMBER(val), PERCENTRANK(AQ16:BL16, val)+0.01, 0))), SEQUENCE(COLUMNS(AQ16:BL16)), FALSE), {""charttype"",""column""; ""color"",""chartreuse""; ""ymin"", 0; ""ymax"", 1.01; ""highcolor"", "&amp;"""darkgreen""; ""lowcolor"", ""red""}), """")"),"")</f>
        <v/>
      </c>
      <c r="B16" s="17" t="str">
        <f t="shared" si="4"/>
        <v/>
      </c>
      <c r="C16" s="1" t="s">
        <v>2590</v>
      </c>
      <c r="D16" s="30" t="str">
        <f>IFERROR(__xludf.DUMMYFUNCTION("IFERROR(GOOGLEFINANCE(C16, ""NAME""))"),"Amundi MSCI USA ESG Broad Transition UCITS ETF Acc ETF")</f>
        <v>Amundi MSCI USA ESG Broad Transition UCITS ETF Acc ETF</v>
      </c>
      <c r="E16" s="30" t="s">
        <v>2537</v>
      </c>
      <c r="F16" s="33" t="str">
        <f>IFERROR(__xludf.DUMMYFUNCTION("( (GOOGLEFINANCE(C16, ""price"") - Q16) / Q16 ) / (R16 / 100)"),"Loading...")</f>
        <v>Loading...</v>
      </c>
      <c r="G16" s="20" t="str">
        <f>IFERROR(__xludf.DUMMYFUNCTION("AVERAGE(ARRAYFORMULA(100 * (QUERY(GOOGLEFINANCE(C16, ""high"", TODAY()-40, TODAY()), ""SELECT Col2 WHERE Col2 IS NOT NULL ORDER BY Col1 DESC LIMIT 20"", 0) / QUERY(GOOGLEFINANCE(C16, ""low"", TODAY()-40, TODAY()), ""SELECT Col2 WHERE Col2 IS NOT NULL ORDE"&amp;"R BY Col1 DESC LIMIT 20"", 0) - 1)))"),"#N/A")</f>
        <v>#N/A</v>
      </c>
      <c r="H16" s="35" t="str">
        <f t="shared" si="6"/>
        <v>Illiquid</v>
      </c>
      <c r="I16" s="35" t="str">
        <f t="shared" si="7"/>
        <v>RVol Required</v>
      </c>
      <c r="J16" s="37">
        <f>IFERROR(__xludf.DUMMYFUNCTION("IFERROR(
  IF(C16="""",, 
    IFERROR(
      GOOGLEFINANCE(C16, ""price"") * GOOGLEFINANCE(C16, ""volumeavg""), 
      GOOGLEFINANCE(C16, ""price"") * AVERAGE(QUERY(GOOGLEFINANCE(C16, ""volume"", TODAY()-40, TODAY()), ""SELECT Col2 WHERE Col2 IS NOT NULL "&amp;"ORDER BY Col1 DESC LIMIT 20"", 0))
    )
  ), 
"""")"),1065867.53)</f>
        <v>1065867.53</v>
      </c>
      <c r="K16" s="21">
        <f>IFERROR(__xludf.DUMMYFUNCTION("IFERROR(GOOGLEFINANCE(C16, ""changepct"") / 100, """")"),0.0018)</f>
        <v>0.0018</v>
      </c>
      <c r="L16" s="21" t="str">
        <f>IFERROR(__xludf.DUMMYFUNCTION("IFERROR((GOOGLEFINANCE(C16, ""price"") / INDEX(GOOGLEFINANCE(C16, ""price"", TODAY()-7, TODAY()), 2, 2)) - 1, """")"),"")</f>
        <v/>
      </c>
      <c r="M16" s="21" t="str">
        <f>IFERROR(__xludf.DUMMYFUNCTION("IFERROR((GOOGLEFINANCE(C16, ""price"") / INDEX(GOOGLEFINANCE(C16, ""price"", EDATE(TODAY(), -1), TODAY()), 2, 2)) - 1, """")"),"")</f>
        <v/>
      </c>
      <c r="N16" s="21" t="str">
        <f>IFERROR(__xludf.DUMMYFUNCTION("IFERROR((GOOGLEFINANCE(C16, ""price"") / INDEX(GOOGLEFINANCE(C16, ""price"", EDATE(TODAY(), -3), TODAY()), 2, 2)) - 1, """")"),"")</f>
        <v/>
      </c>
      <c r="O16" s="21" t="str">
        <f>IFERROR(__xludf.DUMMYFUNCTION("IFERROR((GOOGLEFINANCE(C16, ""price"") / INDEX(GOOGLEFINANCE(C16, ""price"", EDATE(TODAY(), -6), TODAY()), 2, 2)) - 1, """")"),"")</f>
        <v/>
      </c>
      <c r="P16" s="21" t="str">
        <f>IFERROR(__xludf.DUMMYFUNCTION("IFERROR((GOOGLEFINANCE(C16, ""price"") / INDEX(GOOGLEFINANCE(C16, ""price"", EDATE(TODAY(), -12), TODAY()), 2, 2)) - 1, """")"),"")</f>
        <v/>
      </c>
      <c r="Q16" s="6" t="str">
        <f>IFERROR(__xludf.DUMMYFUNCTION("AVERAGE(QUERY(GOOGLEFINANCE(C16, ""price"", TODAY()-80, TODAY()), ""SELECT Col2 WHERE Col2 IS NOT NULL ORDER BY Col1 DESC LIMIT 50"", 0))"),"#N/A")</f>
        <v>#N/A</v>
      </c>
      <c r="R16" s="24" t="str">
        <f>IFERROR(__xludf.DUMMYFUNCTION("IFERROR(
  LET(
    data, QUERY(GOOGLEFINANCE(C16,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GOOGLEFINANCE(C16, ""price"")) * 100,
    IF(calc=0, G16, calc)
  ), 
G16)"),"#N/A")</f>
        <v>#N/A</v>
      </c>
      <c r="S16" s="8" t="s">
        <v>15</v>
      </c>
      <c r="T16" s="26" t="str">
        <f>IFERROR(__xludf.DUMMYFUNCTION("IFERROR(TRANSPOSE(QUERY(IFERROR(SORT(GOOGLEFINANCE(C16, ""price"", WORKDAY(TODAY(), -40), TODAY()), 1, FALSE)), ""select Col2 where Col2 is not null limit 22 label Col2 ''"", 0)), """")"),"")</f>
        <v/>
      </c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8"/>
      <c r="AO16" s="28"/>
      <c r="AP16" s="29"/>
      <c r="AQ16" s="29" t="str">
        <f t="shared" ref="AQ16:BL16" si="19">T16/T$2</f>
        <v>#N/A</v>
      </c>
      <c r="AR16" s="29" t="str">
        <f t="shared" si="19"/>
        <v>#DIV/0!</v>
      </c>
      <c r="AS16" s="29" t="str">
        <f t="shared" si="19"/>
        <v>#DIV/0!</v>
      </c>
      <c r="AT16" s="29" t="str">
        <f t="shared" si="19"/>
        <v>#DIV/0!</v>
      </c>
      <c r="AU16" s="29" t="str">
        <f t="shared" si="19"/>
        <v>#DIV/0!</v>
      </c>
      <c r="AV16" s="29" t="str">
        <f t="shared" si="19"/>
        <v>#DIV/0!</v>
      </c>
      <c r="AW16" s="29" t="str">
        <f t="shared" si="19"/>
        <v>#DIV/0!</v>
      </c>
      <c r="AX16" s="29" t="str">
        <f t="shared" si="19"/>
        <v>#DIV/0!</v>
      </c>
      <c r="AY16" s="29" t="str">
        <f t="shared" si="19"/>
        <v>#DIV/0!</v>
      </c>
      <c r="AZ16" s="29" t="str">
        <f t="shared" si="19"/>
        <v>#DIV/0!</v>
      </c>
      <c r="BA16" s="29" t="str">
        <f t="shared" si="19"/>
        <v>#DIV/0!</v>
      </c>
      <c r="BB16" s="29" t="str">
        <f t="shared" si="19"/>
        <v>#DIV/0!</v>
      </c>
      <c r="BC16" s="29" t="str">
        <f t="shared" si="19"/>
        <v>#DIV/0!</v>
      </c>
      <c r="BD16" s="29" t="str">
        <f t="shared" si="19"/>
        <v>#DIV/0!</v>
      </c>
      <c r="BE16" s="29" t="str">
        <f t="shared" si="19"/>
        <v>#DIV/0!</v>
      </c>
      <c r="BF16" s="29" t="str">
        <f t="shared" si="19"/>
        <v>#DIV/0!</v>
      </c>
      <c r="BG16" s="29" t="str">
        <f t="shared" si="19"/>
        <v>#DIV/0!</v>
      </c>
      <c r="BH16" s="29" t="str">
        <f t="shared" si="19"/>
        <v>#DIV/0!</v>
      </c>
      <c r="BI16" s="29" t="str">
        <f t="shared" si="19"/>
        <v>#DIV/0!</v>
      </c>
      <c r="BJ16" s="29" t="str">
        <f t="shared" si="19"/>
        <v>#DIV/0!</v>
      </c>
      <c r="BK16" s="29" t="str">
        <f t="shared" si="19"/>
        <v>#DIV/0!</v>
      </c>
      <c r="BL16" s="29" t="str">
        <f t="shared" si="19"/>
        <v>#DIV/0!</v>
      </c>
      <c r="BM16" s="29" t="str">
        <f t="shared" si="3"/>
        <v>#DIV/0!</v>
      </c>
    </row>
    <row r="17" hidden="1">
      <c r="A17" s="16" t="str">
        <f>IFERROR(__xludf.DUMMYFUNCTION("IFERROR(SPARKLINE(SORT(MAP(TRANSPOSE(AQ17:BL17), LAMBDA(val, IF(ISNUMBER(val), PERCENTRANK(AQ17:BL17, val)+0.01, 0))), SEQUENCE(COLUMNS(AQ17:BL17)), FALSE), {""charttype"",""column""; ""color"",""chartreuse""; ""ymin"", 0; ""ymax"", 1.01; ""highcolor"", "&amp;"""darkgreen""; ""lowcolor"", ""red""}), """")"),"")</f>
        <v/>
      </c>
      <c r="B17" s="17" t="str">
        <f t="shared" si="4"/>
        <v/>
      </c>
      <c r="C17" s="1" t="s">
        <v>2593</v>
      </c>
      <c r="D17" s="30" t="str">
        <f>IFERROR(__xludf.DUMMYFUNCTION("IFERROR(GOOGLEFINANCE(C17, ""NAME""))"),"Uranium Royalty Corp")</f>
        <v>Uranium Royalty Corp</v>
      </c>
      <c r="E17" s="30" t="s">
        <v>2542</v>
      </c>
      <c r="F17" s="33" t="str">
        <f>IFERROR(__xludf.DUMMYFUNCTION("( (GOOGLEFINANCE(C17, ""price"") - Q17) / Q17 ) / (R17 / 100)"),"Loading...")</f>
        <v>Loading...</v>
      </c>
      <c r="G17" s="20" t="str">
        <f>IFERROR(__xludf.DUMMYFUNCTION("AVERAGE(ARRAYFORMULA(100 * (QUERY(GOOGLEFINANCE(C17, ""high"", TODAY()-40, TODAY()), ""SELECT Col2 WHERE Col2 IS NOT NULL ORDER BY Col1 DESC LIMIT 20"", 0) / QUERY(GOOGLEFINANCE(C17, ""low"", TODAY()-40, TODAY()), ""SELECT Col2 WHERE Col2 IS NOT NULL ORDE"&amp;"R BY Col1 DESC LIMIT 20"", 0) - 1)))"),"#N/A")</f>
        <v>#N/A</v>
      </c>
      <c r="H17" s="35" t="str">
        <f t="shared" si="6"/>
        <v>Illiquid</v>
      </c>
      <c r="I17" s="35" t="str">
        <f t="shared" si="7"/>
        <v>RVol Required</v>
      </c>
      <c r="J17" s="37">
        <f>IFERROR(__xludf.DUMMYFUNCTION("IFERROR(
  IF(C17="""",, 
    IFERROR(
      GOOGLEFINANCE(C17, ""price"") * GOOGLEFINANCE(C17, ""volumeavg""), 
      GOOGLEFINANCE(C17, ""price"") * AVERAGE(QUERY(GOOGLEFINANCE(C17, ""volume"", TODAY()-40, TODAY()), ""SELECT Col2 WHERE Col2 IS NOT NULL "&amp;"ORDER BY Col1 DESC LIMIT 20"", 0))
    )
  ), 
"""")"),1.43212116E7)</f>
        <v>14321211.6</v>
      </c>
      <c r="K17" s="21">
        <f>IFERROR(__xludf.DUMMYFUNCTION("IFERROR(GOOGLEFINANCE(C17, ""changepct"") / 100, """")"),-0.0458)</f>
        <v>-0.0458</v>
      </c>
      <c r="L17" s="21" t="str">
        <f>IFERROR(__xludf.DUMMYFUNCTION("IFERROR((GOOGLEFINANCE(C17, ""price"") / INDEX(GOOGLEFINANCE(C17, ""price"", TODAY()-7, TODAY()), 2, 2)) - 1, """")"),"")</f>
        <v/>
      </c>
      <c r="M17" s="21" t="str">
        <f>IFERROR(__xludf.DUMMYFUNCTION("IFERROR((GOOGLEFINANCE(C17, ""price"") / INDEX(GOOGLEFINANCE(C17, ""price"", EDATE(TODAY(), -1), TODAY()), 2, 2)) - 1, """")"),"")</f>
        <v/>
      </c>
      <c r="N17" s="21" t="str">
        <f>IFERROR(__xludf.DUMMYFUNCTION("IFERROR((GOOGLEFINANCE(C17, ""price"") / INDEX(GOOGLEFINANCE(C17, ""price"", EDATE(TODAY(), -3), TODAY()), 2, 2)) - 1, """")"),"")</f>
        <v/>
      </c>
      <c r="O17" s="21" t="str">
        <f>IFERROR(__xludf.DUMMYFUNCTION("IFERROR((GOOGLEFINANCE(C17, ""price"") / INDEX(GOOGLEFINANCE(C17, ""price"", EDATE(TODAY(), -6), TODAY()), 2, 2)) - 1, """")"),"")</f>
        <v/>
      </c>
      <c r="P17" s="21" t="str">
        <f>IFERROR(__xludf.DUMMYFUNCTION("IFERROR((GOOGLEFINANCE(C17, ""price"") / INDEX(GOOGLEFINANCE(C17, ""price"", EDATE(TODAY(), -12), TODAY()), 2, 2)) - 1, """")"),"")</f>
        <v/>
      </c>
      <c r="Q17" s="6" t="str">
        <f>IFERROR(__xludf.DUMMYFUNCTION("AVERAGE(QUERY(GOOGLEFINANCE(C17, ""price"", TODAY()-80, TODAY()), ""SELECT Col2 WHERE Col2 IS NOT NULL ORDER BY Col1 DESC LIMIT 50"", 0))"),"#N/A")</f>
        <v>#N/A</v>
      </c>
      <c r="R17" s="24" t="str">
        <f>IFERROR(__xludf.DUMMYFUNCTION("IFERROR(
  LET(
    data, QUERY(GOOGLEFINANCE(C17,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GOOGLEFINANCE(C17, ""price"")) * 100,
    IF(calc=0, G17, calc)
  ), 
G17)"),"#N/A")</f>
        <v>#N/A</v>
      </c>
      <c r="S17" s="8" t="s">
        <v>15</v>
      </c>
      <c r="T17" s="26" t="str">
        <f>IFERROR(__xludf.DUMMYFUNCTION("IFERROR(TRANSPOSE(QUERY(IFERROR(SORT(GOOGLEFINANCE(C17, ""price"", WORKDAY(TODAY(), -40), TODAY()), 1, FALSE)), ""select Col2 where Col2 is not null limit 22 label Col2 ''"", 0)), """")"),"")</f>
        <v/>
      </c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8"/>
      <c r="AO17" s="28"/>
      <c r="AP17" s="29"/>
      <c r="AQ17" s="29" t="str">
        <f t="shared" ref="AQ17:BL17" si="20">T17/T$2</f>
        <v>#N/A</v>
      </c>
      <c r="AR17" s="29" t="str">
        <f t="shared" si="20"/>
        <v>#DIV/0!</v>
      </c>
      <c r="AS17" s="29" t="str">
        <f t="shared" si="20"/>
        <v>#DIV/0!</v>
      </c>
      <c r="AT17" s="29" t="str">
        <f t="shared" si="20"/>
        <v>#DIV/0!</v>
      </c>
      <c r="AU17" s="29" t="str">
        <f t="shared" si="20"/>
        <v>#DIV/0!</v>
      </c>
      <c r="AV17" s="29" t="str">
        <f t="shared" si="20"/>
        <v>#DIV/0!</v>
      </c>
      <c r="AW17" s="29" t="str">
        <f t="shared" si="20"/>
        <v>#DIV/0!</v>
      </c>
      <c r="AX17" s="29" t="str">
        <f t="shared" si="20"/>
        <v>#DIV/0!</v>
      </c>
      <c r="AY17" s="29" t="str">
        <f t="shared" si="20"/>
        <v>#DIV/0!</v>
      </c>
      <c r="AZ17" s="29" t="str">
        <f t="shared" si="20"/>
        <v>#DIV/0!</v>
      </c>
      <c r="BA17" s="29" t="str">
        <f t="shared" si="20"/>
        <v>#DIV/0!</v>
      </c>
      <c r="BB17" s="29" t="str">
        <f t="shared" si="20"/>
        <v>#DIV/0!</v>
      </c>
      <c r="BC17" s="29" t="str">
        <f t="shared" si="20"/>
        <v>#DIV/0!</v>
      </c>
      <c r="BD17" s="29" t="str">
        <f t="shared" si="20"/>
        <v>#DIV/0!</v>
      </c>
      <c r="BE17" s="29" t="str">
        <f t="shared" si="20"/>
        <v>#DIV/0!</v>
      </c>
      <c r="BF17" s="29" t="str">
        <f t="shared" si="20"/>
        <v>#DIV/0!</v>
      </c>
      <c r="BG17" s="29" t="str">
        <f t="shared" si="20"/>
        <v>#DIV/0!</v>
      </c>
      <c r="BH17" s="29" t="str">
        <f t="shared" si="20"/>
        <v>#DIV/0!</v>
      </c>
      <c r="BI17" s="29" t="str">
        <f t="shared" si="20"/>
        <v>#DIV/0!</v>
      </c>
      <c r="BJ17" s="29" t="str">
        <f t="shared" si="20"/>
        <v>#DIV/0!</v>
      </c>
      <c r="BK17" s="29" t="str">
        <f t="shared" si="20"/>
        <v>#DIV/0!</v>
      </c>
      <c r="BL17" s="29" t="str">
        <f t="shared" si="20"/>
        <v>#DIV/0!</v>
      </c>
      <c r="BM17" s="29" t="str">
        <f t="shared" si="3"/>
        <v>#DIV/0!</v>
      </c>
    </row>
    <row r="18" hidden="1">
      <c r="A18" s="16" t="str">
        <f>IFERROR(__xludf.DUMMYFUNCTION("IFERROR(SPARKLINE(SORT(MAP(TRANSPOSE(AQ18:BL18), LAMBDA(val, IF(ISNUMBER(val), PERCENTRANK(AQ18:BL18, val)+0.01, 0))), SEQUENCE(COLUMNS(AQ18:BL18)), FALSE), {""charttype"",""column""; ""color"",""chartreuse""; ""ymin"", 0; ""ymax"", 1.01; ""highcolor"", "&amp;"""darkgreen""; ""lowcolor"", ""red""}), """")"),"")</f>
        <v/>
      </c>
      <c r="B18" s="17" t="str">
        <f t="shared" si="4"/>
        <v/>
      </c>
      <c r="C18" s="1" t="s">
        <v>2596</v>
      </c>
      <c r="D18" s="30" t="str">
        <f>IFERROR(__xludf.DUMMYFUNCTION("IFERROR(GOOGLEFINANCE(C18, ""NAME""))"),"Torm PLC")</f>
        <v>Torm PLC</v>
      </c>
      <c r="E18" s="30" t="s">
        <v>2547</v>
      </c>
      <c r="F18" s="33" t="str">
        <f>IFERROR(__xludf.DUMMYFUNCTION("( (GOOGLEFINANCE(C18, ""price"") - Q18) / Q18 ) / (R18 / 100)"),"Loading...")</f>
        <v>Loading...</v>
      </c>
      <c r="G18" s="20" t="str">
        <f>IFERROR(__xludf.DUMMYFUNCTION("AVERAGE(ARRAYFORMULA(100 * (QUERY(GOOGLEFINANCE(C18, ""high"", TODAY()-40, TODAY()), ""SELECT Col2 WHERE Col2 IS NOT NULL ORDER BY Col1 DESC LIMIT 20"", 0) / QUERY(GOOGLEFINANCE(C18, ""low"", TODAY()-40, TODAY()), ""SELECT Col2 WHERE Col2 IS NOT NULL ORDE"&amp;"R BY Col1 DESC LIMIT 20"", 0) - 1)))"),"#N/A")</f>
        <v>#N/A</v>
      </c>
      <c r="H18" s="35" t="str">
        <f t="shared" si="6"/>
        <v>Liquid</v>
      </c>
      <c r="I18" s="35" t="str">
        <f t="shared" si="7"/>
        <v>RVol Required</v>
      </c>
      <c r="J18" s="37">
        <f>IFERROR(__xludf.DUMMYFUNCTION("IFERROR(
  IF(C18="""",, 
    IFERROR(
      GOOGLEFINANCE(C18, ""price"") * GOOGLEFINANCE(C18, ""volumeavg""), 
      GOOGLEFINANCE(C18, ""price"") * AVERAGE(QUERY(GOOGLEFINANCE(C18, ""volume"", TODAY()-40, TODAY()), ""SELECT Col2 WHERE Col2 IS NOT NULL "&amp;"ORDER BY Col1 DESC LIMIT 20"", 0))
    )
  ), 
"""")"),8.7327874E7)</f>
        <v>87327874</v>
      </c>
      <c r="K18" s="21">
        <f>IFERROR(__xludf.DUMMYFUNCTION("IFERROR(GOOGLEFINANCE(C18, ""changepct"") / 100, """")"),-0.0127)</f>
        <v>-0.0127</v>
      </c>
      <c r="L18" s="21" t="str">
        <f>IFERROR(__xludf.DUMMYFUNCTION("IFERROR((GOOGLEFINANCE(C18, ""price"") / INDEX(GOOGLEFINANCE(C18, ""price"", TODAY()-7, TODAY()), 2, 2)) - 1, """")"),"")</f>
        <v/>
      </c>
      <c r="M18" s="21" t="str">
        <f>IFERROR(__xludf.DUMMYFUNCTION("IFERROR((GOOGLEFINANCE(C18, ""price"") / INDEX(GOOGLEFINANCE(C18, ""price"", EDATE(TODAY(), -1), TODAY()), 2, 2)) - 1, """")"),"")</f>
        <v/>
      </c>
      <c r="N18" s="21" t="str">
        <f>IFERROR(__xludf.DUMMYFUNCTION("IFERROR((GOOGLEFINANCE(C18, ""price"") / INDEX(GOOGLEFINANCE(C18, ""price"", EDATE(TODAY(), -3), TODAY()), 2, 2)) - 1, """")"),"")</f>
        <v/>
      </c>
      <c r="O18" s="21" t="str">
        <f>IFERROR(__xludf.DUMMYFUNCTION("IFERROR((GOOGLEFINANCE(C18, ""price"") / INDEX(GOOGLEFINANCE(C18, ""price"", EDATE(TODAY(), -6), TODAY()), 2, 2)) - 1, """")"),"")</f>
        <v/>
      </c>
      <c r="P18" s="21" t="str">
        <f>IFERROR(__xludf.DUMMYFUNCTION("IFERROR((GOOGLEFINANCE(C18, ""price"") / INDEX(GOOGLEFINANCE(C18, ""price"", EDATE(TODAY(), -12), TODAY()), 2, 2)) - 1, """")"),"")</f>
        <v/>
      </c>
      <c r="Q18" s="6" t="str">
        <f>IFERROR(__xludf.DUMMYFUNCTION("AVERAGE(QUERY(GOOGLEFINANCE(C18, ""price"", TODAY()-80, TODAY()), ""SELECT Col2 WHERE Col2 IS NOT NULL ORDER BY Col1 DESC LIMIT 50"", 0))"),"#N/A")</f>
        <v>#N/A</v>
      </c>
      <c r="R18" s="24" t="str">
        <f>IFERROR(__xludf.DUMMYFUNCTION("IFERROR(
  LET(
    data, QUERY(GOOGLEFINANCE(C18,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GOOGLEFINANCE(C18, ""price"")) * 100,
    IF(calc=0, G18, calc)
  ), 
G18)"),"#N/A")</f>
        <v>#N/A</v>
      </c>
      <c r="S18" s="8" t="s">
        <v>15</v>
      </c>
      <c r="T18" s="26" t="str">
        <f>IFERROR(__xludf.DUMMYFUNCTION("IFERROR(TRANSPOSE(QUERY(IFERROR(SORT(GOOGLEFINANCE(C18, ""price"", WORKDAY(TODAY(), -40), TODAY()), 1, FALSE)), ""select Col2 where Col2 is not null limit 22 label Col2 ''"", 0)), """")"),"")</f>
        <v/>
      </c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8"/>
      <c r="AO18" s="28"/>
      <c r="AP18" s="29"/>
      <c r="AQ18" s="29" t="str">
        <f t="shared" ref="AQ18:BL18" si="21">T18/T$2</f>
        <v>#N/A</v>
      </c>
      <c r="AR18" s="29" t="str">
        <f t="shared" si="21"/>
        <v>#DIV/0!</v>
      </c>
      <c r="AS18" s="29" t="str">
        <f t="shared" si="21"/>
        <v>#DIV/0!</v>
      </c>
      <c r="AT18" s="29" t="str">
        <f t="shared" si="21"/>
        <v>#DIV/0!</v>
      </c>
      <c r="AU18" s="29" t="str">
        <f t="shared" si="21"/>
        <v>#DIV/0!</v>
      </c>
      <c r="AV18" s="29" t="str">
        <f t="shared" si="21"/>
        <v>#DIV/0!</v>
      </c>
      <c r="AW18" s="29" t="str">
        <f t="shared" si="21"/>
        <v>#DIV/0!</v>
      </c>
      <c r="AX18" s="29" t="str">
        <f t="shared" si="21"/>
        <v>#DIV/0!</v>
      </c>
      <c r="AY18" s="29" t="str">
        <f t="shared" si="21"/>
        <v>#DIV/0!</v>
      </c>
      <c r="AZ18" s="29" t="str">
        <f t="shared" si="21"/>
        <v>#DIV/0!</v>
      </c>
      <c r="BA18" s="29" t="str">
        <f t="shared" si="21"/>
        <v>#DIV/0!</v>
      </c>
      <c r="BB18" s="29" t="str">
        <f t="shared" si="21"/>
        <v>#DIV/0!</v>
      </c>
      <c r="BC18" s="29" t="str">
        <f t="shared" si="21"/>
        <v>#DIV/0!</v>
      </c>
      <c r="BD18" s="29" t="str">
        <f t="shared" si="21"/>
        <v>#DIV/0!</v>
      </c>
      <c r="BE18" s="29" t="str">
        <f t="shared" si="21"/>
        <v>#DIV/0!</v>
      </c>
      <c r="BF18" s="29" t="str">
        <f t="shared" si="21"/>
        <v>#DIV/0!</v>
      </c>
      <c r="BG18" s="29" t="str">
        <f t="shared" si="21"/>
        <v>#DIV/0!</v>
      </c>
      <c r="BH18" s="29" t="str">
        <f t="shared" si="21"/>
        <v>#DIV/0!</v>
      </c>
      <c r="BI18" s="29" t="str">
        <f t="shared" si="21"/>
        <v>#DIV/0!</v>
      </c>
      <c r="BJ18" s="29" t="str">
        <f t="shared" si="21"/>
        <v>#DIV/0!</v>
      </c>
      <c r="BK18" s="29" t="str">
        <f t="shared" si="21"/>
        <v>#DIV/0!</v>
      </c>
      <c r="BL18" s="29" t="str">
        <f t="shared" si="21"/>
        <v>#DIV/0!</v>
      </c>
      <c r="BM18" s="29" t="str">
        <f t="shared" si="3"/>
        <v>#DIV/0!</v>
      </c>
    </row>
    <row r="19" hidden="1">
      <c r="A19" s="16" t="str">
        <f>IFERROR(__xludf.DUMMYFUNCTION("IFERROR(SPARKLINE(SORT(MAP(TRANSPOSE(AQ19:BL19), LAMBDA(val, IF(ISNUMBER(val), PERCENTRANK(AQ19:BL19, val)+0.01, 0))), SEQUENCE(COLUMNS(AQ19:BL19)), FALSE), {""charttype"",""column""; ""color"",""chartreuse""; ""ymin"", 0; ""ymax"", 1.01; ""highcolor"", "&amp;"""darkgreen""; ""lowcolor"", ""red""}), """")"),"")</f>
        <v/>
      </c>
      <c r="B19" s="17" t="str">
        <f t="shared" si="4"/>
        <v/>
      </c>
      <c r="C19" s="1" t="s">
        <v>2599</v>
      </c>
      <c r="D19" s="30" t="str">
        <f>IFERROR(__xludf.DUMMYFUNCTION("IFERROR(GOOGLEFINANCE(C19, ""NAME""))"),"Nextdecade Corp")</f>
        <v>Nextdecade Corp</v>
      </c>
      <c r="E19" s="30" t="s">
        <v>2537</v>
      </c>
      <c r="F19" s="33" t="str">
        <f>IFERROR(__xludf.DUMMYFUNCTION("( (GOOGLEFINANCE(C19, ""price"") - Q19) / Q19 ) / (R19 / 100)"),"Loading...")</f>
        <v>Loading...</v>
      </c>
      <c r="G19" s="20" t="str">
        <f>IFERROR(__xludf.DUMMYFUNCTION("AVERAGE(ARRAYFORMULA(100 * (QUERY(GOOGLEFINANCE(C19, ""high"", TODAY()-40, TODAY()), ""SELECT Col2 WHERE Col2 IS NOT NULL ORDER BY Col1 DESC LIMIT 20"", 0) / QUERY(GOOGLEFINANCE(C19, ""low"", TODAY()-40, TODAY()), ""SELECT Col2 WHERE Col2 IS NOT NULL ORDE"&amp;"R BY Col1 DESC LIMIT 20"", 0) - 1)))"),"#N/A")</f>
        <v>#N/A</v>
      </c>
      <c r="H19" s="35" t="str">
        <f t="shared" si="6"/>
        <v>Illiquid</v>
      </c>
      <c r="I19" s="35" t="str">
        <f t="shared" si="7"/>
        <v>RVol Required</v>
      </c>
      <c r="J19" s="37">
        <f>IFERROR(__xludf.DUMMYFUNCTION("IFERROR(
  IF(C19="""",, 
    IFERROR(
      GOOGLEFINANCE(C19, ""price"") * GOOGLEFINANCE(C19, ""volumeavg""), 
      GOOGLEFINANCE(C19, ""price"") * AVERAGE(QUERY(GOOGLEFINANCE(C19, ""volume"", TODAY()-40, TODAY()), ""SELECT Col2 WHERE Col2 IS NOT NULL "&amp;"ORDER BY Col1 DESC LIMIT 20"", 0))
    )
  ), 
"""")"),1.6309209299999999E7)</f>
        <v>16309209.3</v>
      </c>
      <c r="K19" s="21">
        <f>IFERROR(__xludf.DUMMYFUNCTION("IFERROR(GOOGLEFINANCE(C19, ""changepct"") / 100, """")"),0.0416)</f>
        <v>0.0416</v>
      </c>
      <c r="L19" s="21" t="str">
        <f>IFERROR(__xludf.DUMMYFUNCTION("IFERROR((GOOGLEFINANCE(C19, ""price"") / INDEX(GOOGLEFINANCE(C19, ""price"", TODAY()-7, TODAY()), 2, 2)) - 1, """")"),"")</f>
        <v/>
      </c>
      <c r="M19" s="21" t="str">
        <f>IFERROR(__xludf.DUMMYFUNCTION("IFERROR((GOOGLEFINANCE(C19, ""price"") / INDEX(GOOGLEFINANCE(C19, ""price"", EDATE(TODAY(), -1), TODAY()), 2, 2)) - 1, """")"),"")</f>
        <v/>
      </c>
      <c r="N19" s="21" t="str">
        <f>IFERROR(__xludf.DUMMYFUNCTION("IFERROR((GOOGLEFINANCE(C19, ""price"") / INDEX(GOOGLEFINANCE(C19, ""price"", EDATE(TODAY(), -3), TODAY()), 2, 2)) - 1, """")"),"")</f>
        <v/>
      </c>
      <c r="O19" s="21" t="str">
        <f>IFERROR(__xludf.DUMMYFUNCTION("IFERROR((GOOGLEFINANCE(C19, ""price"") / INDEX(GOOGLEFINANCE(C19, ""price"", EDATE(TODAY(), -6), TODAY()), 2, 2)) - 1, """")"),"")</f>
        <v/>
      </c>
      <c r="P19" s="21" t="str">
        <f>IFERROR(__xludf.DUMMYFUNCTION("IFERROR((GOOGLEFINANCE(C19, ""price"") / INDEX(GOOGLEFINANCE(C19, ""price"", EDATE(TODAY(), -12), TODAY()), 2, 2)) - 1, """")"),"")</f>
        <v/>
      </c>
      <c r="Q19" s="6" t="str">
        <f>IFERROR(__xludf.DUMMYFUNCTION("AVERAGE(QUERY(GOOGLEFINANCE(C19, ""price"", TODAY()-80, TODAY()), ""SELECT Col2 WHERE Col2 IS NOT NULL ORDER BY Col1 DESC LIMIT 50"", 0))"),"#N/A")</f>
        <v>#N/A</v>
      </c>
      <c r="R19" s="24" t="str">
        <f>IFERROR(__xludf.DUMMYFUNCTION("IFERROR(
  LET(
    data, QUERY(GOOGLEFINANCE(C19,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GOOGLEFINANCE(C19, ""price"")) * 100,
    IF(calc=0, G19, calc)
  ), 
G19)"),"#N/A")</f>
        <v>#N/A</v>
      </c>
      <c r="S19" s="8" t="s">
        <v>15</v>
      </c>
      <c r="T19" s="26" t="str">
        <f>IFERROR(__xludf.DUMMYFUNCTION("IFERROR(TRANSPOSE(QUERY(IFERROR(SORT(GOOGLEFINANCE(C19, ""price"", WORKDAY(TODAY(), -40), TODAY()), 1, FALSE)), ""select Col2 where Col2 is not null limit 22 label Col2 ''"", 0)), """")"),"")</f>
        <v/>
      </c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8"/>
      <c r="AO19" s="28"/>
      <c r="AP19" s="29"/>
      <c r="AQ19" s="29" t="str">
        <f t="shared" ref="AQ19:BL19" si="22">T19/T$2</f>
        <v>#N/A</v>
      </c>
      <c r="AR19" s="29" t="str">
        <f t="shared" si="22"/>
        <v>#DIV/0!</v>
      </c>
      <c r="AS19" s="29" t="str">
        <f t="shared" si="22"/>
        <v>#DIV/0!</v>
      </c>
      <c r="AT19" s="29" t="str">
        <f t="shared" si="22"/>
        <v>#DIV/0!</v>
      </c>
      <c r="AU19" s="29" t="str">
        <f t="shared" si="22"/>
        <v>#DIV/0!</v>
      </c>
      <c r="AV19" s="29" t="str">
        <f t="shared" si="22"/>
        <v>#DIV/0!</v>
      </c>
      <c r="AW19" s="29" t="str">
        <f t="shared" si="22"/>
        <v>#DIV/0!</v>
      </c>
      <c r="AX19" s="29" t="str">
        <f t="shared" si="22"/>
        <v>#DIV/0!</v>
      </c>
      <c r="AY19" s="29" t="str">
        <f t="shared" si="22"/>
        <v>#DIV/0!</v>
      </c>
      <c r="AZ19" s="29" t="str">
        <f t="shared" si="22"/>
        <v>#DIV/0!</v>
      </c>
      <c r="BA19" s="29" t="str">
        <f t="shared" si="22"/>
        <v>#DIV/0!</v>
      </c>
      <c r="BB19" s="29" t="str">
        <f t="shared" si="22"/>
        <v>#DIV/0!</v>
      </c>
      <c r="BC19" s="29" t="str">
        <f t="shared" si="22"/>
        <v>#DIV/0!</v>
      </c>
      <c r="BD19" s="29" t="str">
        <f t="shared" si="22"/>
        <v>#DIV/0!</v>
      </c>
      <c r="BE19" s="29" t="str">
        <f t="shared" si="22"/>
        <v>#DIV/0!</v>
      </c>
      <c r="BF19" s="29" t="str">
        <f t="shared" si="22"/>
        <v>#DIV/0!</v>
      </c>
      <c r="BG19" s="29" t="str">
        <f t="shared" si="22"/>
        <v>#DIV/0!</v>
      </c>
      <c r="BH19" s="29" t="str">
        <f t="shared" si="22"/>
        <v>#DIV/0!</v>
      </c>
      <c r="BI19" s="29" t="str">
        <f t="shared" si="22"/>
        <v>#DIV/0!</v>
      </c>
      <c r="BJ19" s="29" t="str">
        <f t="shared" si="22"/>
        <v>#DIV/0!</v>
      </c>
      <c r="BK19" s="29" t="str">
        <f t="shared" si="22"/>
        <v>#DIV/0!</v>
      </c>
      <c r="BL19" s="29" t="str">
        <f t="shared" si="22"/>
        <v>#DIV/0!</v>
      </c>
      <c r="BM19" s="29" t="str">
        <f t="shared" si="3"/>
        <v>#DIV/0!</v>
      </c>
    </row>
    <row r="20">
      <c r="A20" s="16" t="str">
        <f>IFERROR(__xludf.DUMMYFUNCTION("IFERROR(SPARKLINE(SORT(MAP(TRANSPOSE(AQ20:BL20), LAMBDA(val, IF(ISNUMBER(val), PERCENTRANK(AQ20:BL20, val)+0.01, 0))), SEQUENCE(COLUMNS(AQ20:BL20)), FALSE), {""charttype"",""column""; ""color"",""chartreuse""; ""ymin"", 0; ""ymax"", 1.01; ""highcolor"", "&amp;"""darkgreen""; ""lowcolor"", ""red""}), """")"),"")</f>
        <v/>
      </c>
      <c r="B20" s="17" t="str">
        <f t="shared" si="4"/>
        <v/>
      </c>
      <c r="C20" s="1" t="s">
        <v>2602</v>
      </c>
      <c r="D20" s="30" t="str">
        <f>IFERROR(__xludf.DUMMYFUNCTION("IFERROR(GOOGLEFINANCE(C20, ""NAME""))"),"Kodiak Gas Services Inc")</f>
        <v>Kodiak Gas Services Inc</v>
      </c>
      <c r="E20" s="30" t="s">
        <v>2537</v>
      </c>
      <c r="F20" s="33" t="str">
        <f>IFERROR(__xludf.DUMMYFUNCTION("( (GOOGLEFINANCE(C20, ""price"") - Q20) / Q20 ) / (R20 / 100)"),"Loading...")</f>
        <v>Loading...</v>
      </c>
      <c r="G20" s="20" t="str">
        <f>IFERROR(__xludf.DUMMYFUNCTION("AVERAGE(ARRAYFORMULA(100 * (QUERY(GOOGLEFINANCE(C20, ""high"", TODAY()-40, TODAY()), ""SELECT Col2 WHERE Col2 IS NOT NULL ORDER BY Col1 DESC LIMIT 20"", 0) / QUERY(GOOGLEFINANCE(C20, ""low"", TODAY()-40, TODAY()), ""SELECT Col2 WHERE Col2 IS NOT NULL ORDE"&amp;"R BY Col1 DESC LIMIT 20"", 0) - 1)))"),"#N/A")</f>
        <v>#N/A</v>
      </c>
      <c r="H20" s="35" t="str">
        <f t="shared" si="6"/>
        <v>Liquid</v>
      </c>
      <c r="I20" s="35" t="str">
        <f t="shared" si="7"/>
        <v>RVol Required</v>
      </c>
      <c r="J20" s="37">
        <f>IFERROR(__xludf.DUMMYFUNCTION("IFERROR(
  IF(C20="""",, 
    IFERROR(
      GOOGLEFINANCE(C20, ""price"") * GOOGLEFINANCE(C20, ""volumeavg""), 
      GOOGLEFINANCE(C20, ""price"") * AVERAGE(QUERY(GOOGLEFINANCE(C20, ""volume"", TODAY()-40, TODAY()), ""SELECT Col2 WHERE Col2 IS NOT NULL "&amp;"ORDER BY Col1 DESC LIMIT 20"", 0))
    )
  ), 
"""")"),9.11186047E7)</f>
        <v>91118604.7</v>
      </c>
      <c r="K20" s="21">
        <f>IFERROR(__xludf.DUMMYFUNCTION("IFERROR(GOOGLEFINANCE(C20, ""changepct"") / 100, """")"),-0.0125)</f>
        <v>-0.0125</v>
      </c>
      <c r="L20" s="21" t="str">
        <f>IFERROR(__xludf.DUMMYFUNCTION("IFERROR((GOOGLEFINANCE(C20, ""price"") / INDEX(GOOGLEFINANCE(C20, ""price"", TODAY()-7, TODAY()), 2, 2)) - 1, """")"),"")</f>
        <v/>
      </c>
      <c r="M20" s="21" t="str">
        <f>IFERROR(__xludf.DUMMYFUNCTION("IFERROR((GOOGLEFINANCE(C20, ""price"") / INDEX(GOOGLEFINANCE(C20, ""price"", EDATE(TODAY(), -1), TODAY()), 2, 2)) - 1, """")"),"")</f>
        <v/>
      </c>
      <c r="N20" s="21" t="str">
        <f>IFERROR(__xludf.DUMMYFUNCTION("IFERROR((GOOGLEFINANCE(C20, ""price"") / INDEX(GOOGLEFINANCE(C20, ""price"", EDATE(TODAY(), -3), TODAY()), 2, 2)) - 1, """")"),"")</f>
        <v/>
      </c>
      <c r="O20" s="21" t="str">
        <f>IFERROR(__xludf.DUMMYFUNCTION("IFERROR((GOOGLEFINANCE(C20, ""price"") / INDEX(GOOGLEFINANCE(C20, ""price"", EDATE(TODAY(), -6), TODAY()), 2, 2)) - 1, """")"),"")</f>
        <v/>
      </c>
      <c r="P20" s="21" t="str">
        <f>IFERROR(__xludf.DUMMYFUNCTION("IFERROR((GOOGLEFINANCE(C20, ""price"") / INDEX(GOOGLEFINANCE(C20, ""price"", EDATE(TODAY(), -12), TODAY()), 2, 2)) - 1, """")"),"")</f>
        <v/>
      </c>
      <c r="Q20" s="6" t="str">
        <f>IFERROR(__xludf.DUMMYFUNCTION("AVERAGE(QUERY(GOOGLEFINANCE(C20, ""price"", TODAY()-80, TODAY()), ""SELECT Col2 WHERE Col2 IS NOT NULL ORDER BY Col1 DESC LIMIT 50"", 0))"),"#N/A")</f>
        <v>#N/A</v>
      </c>
      <c r="R20" s="24" t="str">
        <f>IFERROR(__xludf.DUMMYFUNCTION("IFERROR(
  LET(
    data, QUERY(GOOGLEFINANCE(C20,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GOOGLEFINANCE(C20, ""price"")) * 100,
    IF(calc=0, G20, calc)
  ), 
G20)"),"#N/A")</f>
        <v>#N/A</v>
      </c>
      <c r="S20" s="8" t="s">
        <v>15</v>
      </c>
      <c r="T20" s="26" t="str">
        <f>IFERROR(__xludf.DUMMYFUNCTION("IFERROR(TRANSPOSE(QUERY(IFERROR(SORT(GOOGLEFINANCE(C20, ""price"", WORKDAY(TODAY(), -40), TODAY()), 1, FALSE)), ""select Col2 where Col2 is not null limit 22 label Col2 ''"", 0)), """")"),"")</f>
        <v/>
      </c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8"/>
      <c r="AO20" s="28"/>
      <c r="AP20" s="29"/>
      <c r="AQ20" s="29" t="str">
        <f t="shared" ref="AQ20:BL20" si="23">T20/T$2</f>
        <v>#N/A</v>
      </c>
      <c r="AR20" s="29" t="str">
        <f t="shared" si="23"/>
        <v>#DIV/0!</v>
      </c>
      <c r="AS20" s="29" t="str">
        <f t="shared" si="23"/>
        <v>#DIV/0!</v>
      </c>
      <c r="AT20" s="29" t="str">
        <f t="shared" si="23"/>
        <v>#DIV/0!</v>
      </c>
      <c r="AU20" s="29" t="str">
        <f t="shared" si="23"/>
        <v>#DIV/0!</v>
      </c>
      <c r="AV20" s="29" t="str">
        <f t="shared" si="23"/>
        <v>#DIV/0!</v>
      </c>
      <c r="AW20" s="29" t="str">
        <f t="shared" si="23"/>
        <v>#DIV/0!</v>
      </c>
      <c r="AX20" s="29" t="str">
        <f t="shared" si="23"/>
        <v>#DIV/0!</v>
      </c>
      <c r="AY20" s="29" t="str">
        <f t="shared" si="23"/>
        <v>#DIV/0!</v>
      </c>
      <c r="AZ20" s="29" t="str">
        <f t="shared" si="23"/>
        <v>#DIV/0!</v>
      </c>
      <c r="BA20" s="29" t="str">
        <f t="shared" si="23"/>
        <v>#DIV/0!</v>
      </c>
      <c r="BB20" s="29" t="str">
        <f t="shared" si="23"/>
        <v>#DIV/0!</v>
      </c>
      <c r="BC20" s="29" t="str">
        <f t="shared" si="23"/>
        <v>#DIV/0!</v>
      </c>
      <c r="BD20" s="29" t="str">
        <f t="shared" si="23"/>
        <v>#DIV/0!</v>
      </c>
      <c r="BE20" s="29" t="str">
        <f t="shared" si="23"/>
        <v>#DIV/0!</v>
      </c>
      <c r="BF20" s="29" t="str">
        <f t="shared" si="23"/>
        <v>#DIV/0!</v>
      </c>
      <c r="BG20" s="29" t="str">
        <f t="shared" si="23"/>
        <v>#DIV/0!</v>
      </c>
      <c r="BH20" s="29" t="str">
        <f t="shared" si="23"/>
        <v>#DIV/0!</v>
      </c>
      <c r="BI20" s="29" t="str">
        <f t="shared" si="23"/>
        <v>#DIV/0!</v>
      </c>
      <c r="BJ20" s="29" t="str">
        <f t="shared" si="23"/>
        <v>#DIV/0!</v>
      </c>
      <c r="BK20" s="29" t="str">
        <f t="shared" si="23"/>
        <v>#DIV/0!</v>
      </c>
      <c r="BL20" s="29" t="str">
        <f t="shared" si="23"/>
        <v>#DIV/0!</v>
      </c>
      <c r="BM20" s="29" t="str">
        <f t="shared" si="3"/>
        <v>#DIV/0!</v>
      </c>
    </row>
    <row r="21" hidden="1">
      <c r="A21" s="16" t="str">
        <f>IFERROR(__xludf.DUMMYFUNCTION("IFERROR(SPARKLINE(SORT(MAP(TRANSPOSE(AQ21:BL21), LAMBDA(val, IF(ISNUMBER(val), PERCENTRANK(AQ21:BL21, val)+0.01, 0))), SEQUENCE(COLUMNS(AQ21:BL21)), FALSE), {""charttype"",""column""; ""color"",""chartreuse""; ""ymin"", 0; ""ymax"", 1.01; ""highcolor"", "&amp;"""darkgreen""; ""lowcolor"", ""red""}), """")"),"")</f>
        <v/>
      </c>
      <c r="B21" s="17" t="str">
        <f t="shared" si="4"/>
        <v/>
      </c>
      <c r="C21" s="1" t="s">
        <v>2607</v>
      </c>
      <c r="D21" s="30" t="str">
        <f>IFERROR(__xludf.DUMMYFUNCTION("IFERROR(GOOGLEFINANCE(C21, ""NAME""))"),"CMB.TECH NV")</f>
        <v>CMB.TECH NV</v>
      </c>
      <c r="E21" s="30" t="s">
        <v>2547</v>
      </c>
      <c r="F21" s="33" t="str">
        <f>IFERROR(__xludf.DUMMYFUNCTION("( (GOOGLEFINANCE(C21, ""price"") - Q21) / Q21 ) / (R21 / 100)"),"Loading...")</f>
        <v>Loading...</v>
      </c>
      <c r="G21" s="20" t="str">
        <f>IFERROR(__xludf.DUMMYFUNCTION("AVERAGE(ARRAYFORMULA(100 * (QUERY(GOOGLEFINANCE(C21, ""high"", TODAY()-40, TODAY()), ""SELECT Col2 WHERE Col2 IS NOT NULL ORDER BY Col1 DESC LIMIT 20"", 0) / QUERY(GOOGLEFINANCE(C21, ""low"", TODAY()-40, TODAY()), ""SELECT Col2 WHERE Col2 IS NOT NULL ORDE"&amp;"R BY Col1 DESC LIMIT 20"", 0) - 1)))"),"#N/A")</f>
        <v>#N/A</v>
      </c>
      <c r="H21" s="35" t="str">
        <f t="shared" si="6"/>
        <v>Illiquid</v>
      </c>
      <c r="I21" s="35" t="str">
        <f t="shared" si="7"/>
        <v>RVol Required</v>
      </c>
      <c r="J21" s="37">
        <f>IFERROR(__xludf.DUMMYFUNCTION("IFERROR(
  IF(C21="""",, 
    IFERROR(
      GOOGLEFINANCE(C21, ""price"") * GOOGLEFINANCE(C21, ""volumeavg""), 
      GOOGLEFINANCE(C21, ""price"") * AVERAGE(QUERY(GOOGLEFINANCE(C21, ""volume"", TODAY()-40, TODAY()), ""SELECT Col2 WHERE Col2 IS NOT NULL "&amp;"ORDER BY Col1 DESC LIMIT 20"", 0))
    )
  ), 
"""")"),2.131956825E7)</f>
        <v>21319568.25</v>
      </c>
      <c r="K21" s="21">
        <f>IFERROR(__xludf.DUMMYFUNCTION("IFERROR(GOOGLEFINANCE(C21, ""changepct"") / 100, """")"),-0.0017000000000000001)</f>
        <v>-0.0017</v>
      </c>
      <c r="L21" s="21" t="str">
        <f>IFERROR(__xludf.DUMMYFUNCTION("IFERROR((GOOGLEFINANCE(C21, ""price"") / INDEX(GOOGLEFINANCE(C21, ""price"", TODAY()-7, TODAY()), 2, 2)) - 1, """")"),"")</f>
        <v/>
      </c>
      <c r="M21" s="21" t="str">
        <f>IFERROR(__xludf.DUMMYFUNCTION("IFERROR((GOOGLEFINANCE(C21, ""price"") / INDEX(GOOGLEFINANCE(C21, ""price"", EDATE(TODAY(), -1), TODAY()), 2, 2)) - 1, """")"),"")</f>
        <v/>
      </c>
      <c r="N21" s="21" t="str">
        <f>IFERROR(__xludf.DUMMYFUNCTION("IFERROR((GOOGLEFINANCE(C21, ""price"") / INDEX(GOOGLEFINANCE(C21, ""price"", EDATE(TODAY(), -3), TODAY()), 2, 2)) - 1, """")"),"")</f>
        <v/>
      </c>
      <c r="O21" s="21" t="str">
        <f>IFERROR(__xludf.DUMMYFUNCTION("IFERROR((GOOGLEFINANCE(C21, ""price"") / INDEX(GOOGLEFINANCE(C21, ""price"", EDATE(TODAY(), -6), TODAY()), 2, 2)) - 1, """")"),"")</f>
        <v/>
      </c>
      <c r="P21" s="21" t="str">
        <f>IFERROR(__xludf.DUMMYFUNCTION("IFERROR((GOOGLEFINANCE(C21, ""price"") / INDEX(GOOGLEFINANCE(C21, ""price"", EDATE(TODAY(), -12), TODAY()), 2, 2)) - 1, """")"),"")</f>
        <v/>
      </c>
      <c r="Q21" s="6" t="str">
        <f>IFERROR(__xludf.DUMMYFUNCTION("AVERAGE(QUERY(GOOGLEFINANCE(C21, ""price"", TODAY()-80, TODAY()), ""SELECT Col2 WHERE Col2 IS NOT NULL ORDER BY Col1 DESC LIMIT 50"", 0))"),"#N/A")</f>
        <v>#N/A</v>
      </c>
      <c r="R21" s="24" t="str">
        <f>IFERROR(__xludf.DUMMYFUNCTION("IFERROR(
  LET(
    data, QUERY(GOOGLEFINANCE(C21,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GOOGLEFINANCE(C21, ""price"")) * 100,
    IF(calc=0, G21, calc)
  ), 
G21)"),"#N/A")</f>
        <v>#N/A</v>
      </c>
      <c r="S21" s="8" t="s">
        <v>15</v>
      </c>
      <c r="T21" s="26" t="str">
        <f>IFERROR(__xludf.DUMMYFUNCTION("IFERROR(TRANSPOSE(QUERY(IFERROR(SORT(GOOGLEFINANCE(C21, ""price"", WORKDAY(TODAY(), -40), TODAY()), 1, FALSE)), ""select Col2 where Col2 is not null limit 22 label Col2 ''"", 0)), """")"),"")</f>
        <v/>
      </c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8"/>
      <c r="AO21" s="28"/>
      <c r="AP21" s="29"/>
      <c r="AQ21" s="29" t="str">
        <f t="shared" ref="AQ21:BL21" si="24">T21/T$2</f>
        <v>#N/A</v>
      </c>
      <c r="AR21" s="29" t="str">
        <f t="shared" si="24"/>
        <v>#DIV/0!</v>
      </c>
      <c r="AS21" s="29" t="str">
        <f t="shared" si="24"/>
        <v>#DIV/0!</v>
      </c>
      <c r="AT21" s="29" t="str">
        <f t="shared" si="24"/>
        <v>#DIV/0!</v>
      </c>
      <c r="AU21" s="29" t="str">
        <f t="shared" si="24"/>
        <v>#DIV/0!</v>
      </c>
      <c r="AV21" s="29" t="str">
        <f t="shared" si="24"/>
        <v>#DIV/0!</v>
      </c>
      <c r="AW21" s="29" t="str">
        <f t="shared" si="24"/>
        <v>#DIV/0!</v>
      </c>
      <c r="AX21" s="29" t="str">
        <f t="shared" si="24"/>
        <v>#DIV/0!</v>
      </c>
      <c r="AY21" s="29" t="str">
        <f t="shared" si="24"/>
        <v>#DIV/0!</v>
      </c>
      <c r="AZ21" s="29" t="str">
        <f t="shared" si="24"/>
        <v>#DIV/0!</v>
      </c>
      <c r="BA21" s="29" t="str">
        <f t="shared" si="24"/>
        <v>#DIV/0!</v>
      </c>
      <c r="BB21" s="29" t="str">
        <f t="shared" si="24"/>
        <v>#DIV/0!</v>
      </c>
      <c r="BC21" s="29" t="str">
        <f t="shared" si="24"/>
        <v>#DIV/0!</v>
      </c>
      <c r="BD21" s="29" t="str">
        <f t="shared" si="24"/>
        <v>#DIV/0!</v>
      </c>
      <c r="BE21" s="29" t="str">
        <f t="shared" si="24"/>
        <v>#DIV/0!</v>
      </c>
      <c r="BF21" s="29" t="str">
        <f t="shared" si="24"/>
        <v>#DIV/0!</v>
      </c>
      <c r="BG21" s="29" t="str">
        <f t="shared" si="24"/>
        <v>#DIV/0!</v>
      </c>
      <c r="BH21" s="29" t="str">
        <f t="shared" si="24"/>
        <v>#DIV/0!</v>
      </c>
      <c r="BI21" s="29" t="str">
        <f t="shared" si="24"/>
        <v>#DIV/0!</v>
      </c>
      <c r="BJ21" s="29" t="str">
        <f t="shared" si="24"/>
        <v>#DIV/0!</v>
      </c>
      <c r="BK21" s="29" t="str">
        <f t="shared" si="24"/>
        <v>#DIV/0!</v>
      </c>
      <c r="BL21" s="29" t="str">
        <f t="shared" si="24"/>
        <v>#DIV/0!</v>
      </c>
      <c r="BM21" s="29" t="str">
        <f t="shared" si="3"/>
        <v>#DIV/0!</v>
      </c>
    </row>
    <row r="22" hidden="1">
      <c r="A22" s="16" t="str">
        <f>IFERROR(__xludf.DUMMYFUNCTION("IFERROR(SPARKLINE(SORT(MAP(TRANSPOSE(AQ22:BL22), LAMBDA(val, IF(ISNUMBER(val), PERCENTRANK(AQ22:BL22, val)+0.01, 0))), SEQUENCE(COLUMNS(AQ22:BL22)), FALSE), {""charttype"",""column""; ""color"",""chartreuse""; ""ymin"", 0; ""ymax"", 1.01; ""highcolor"", "&amp;"""darkgreen""; ""lowcolor"", ""red""}), """")"),"")</f>
        <v/>
      </c>
      <c r="B22" s="17" t="str">
        <f t="shared" si="4"/>
        <v/>
      </c>
      <c r="C22" s="1" t="s">
        <v>2611</v>
      </c>
      <c r="D22" s="30" t="str">
        <f>IFERROR(__xludf.DUMMYFUNCTION("IFERROR(GOOGLEFINANCE(C22, ""NAME""))"),"TXO Partners LP")</f>
        <v>TXO Partners LP</v>
      </c>
      <c r="E22" s="30" t="s">
        <v>2613</v>
      </c>
      <c r="F22" s="33" t="str">
        <f>IFERROR(__xludf.DUMMYFUNCTION("( (GOOGLEFINANCE(C22, ""price"") - Q22) / Q22 ) / (R22 / 100)"),"Loading...")</f>
        <v>Loading...</v>
      </c>
      <c r="G22" s="20" t="str">
        <f>IFERROR(__xludf.DUMMYFUNCTION("AVERAGE(ARRAYFORMULA(100 * (QUERY(GOOGLEFINANCE(C22, ""high"", TODAY()-40, TODAY()), ""SELECT Col2 WHERE Col2 IS NOT NULL ORDER BY Col1 DESC LIMIT 20"", 0) / QUERY(GOOGLEFINANCE(C22, ""low"", TODAY()-40, TODAY()), ""SELECT Col2 WHERE Col2 IS NOT NULL ORDE"&amp;"R BY Col1 DESC LIMIT 20"", 0) - 1)))"),"#N/A")</f>
        <v>#N/A</v>
      </c>
      <c r="H22" s="35" t="str">
        <f t="shared" si="6"/>
        <v>Illiquid</v>
      </c>
      <c r="I22" s="35" t="str">
        <f t="shared" si="7"/>
        <v>RVol Required</v>
      </c>
      <c r="J22" s="37">
        <f>IFERROR(__xludf.DUMMYFUNCTION("IFERROR(
  IF(C22="""",, 
    IFERROR(
      GOOGLEFINANCE(C22, ""price"") * GOOGLEFINANCE(C22, ""volumeavg""), 
      GOOGLEFINANCE(C22, ""price"") * AVERAGE(QUERY(GOOGLEFINANCE(C22, ""volume"", TODAY()-40, TODAY()), ""SELECT Col2 WHERE Col2 IS NOT NULL "&amp;"ORDER BY Col1 DESC LIMIT 20"", 0))
    )
  ), 
"""")"),2167668.36)</f>
        <v>2167668.36</v>
      </c>
      <c r="K22" s="21">
        <f>IFERROR(__xludf.DUMMYFUNCTION("IFERROR(GOOGLEFINANCE(C22, ""changepct"") / 100, """")"),0.0021)</f>
        <v>0.0021</v>
      </c>
      <c r="L22" s="21" t="str">
        <f>IFERROR(__xludf.DUMMYFUNCTION("IFERROR((GOOGLEFINANCE(C22, ""price"") / INDEX(GOOGLEFINANCE(C22, ""price"", TODAY()-7, TODAY()), 2, 2)) - 1, """")"),"")</f>
        <v/>
      </c>
      <c r="M22" s="21" t="str">
        <f>IFERROR(__xludf.DUMMYFUNCTION("IFERROR((GOOGLEFINANCE(C22, ""price"") / INDEX(GOOGLEFINANCE(C22, ""price"", EDATE(TODAY(), -1), TODAY()), 2, 2)) - 1, """")"),"")</f>
        <v/>
      </c>
      <c r="N22" s="21" t="str">
        <f>IFERROR(__xludf.DUMMYFUNCTION("IFERROR((GOOGLEFINANCE(C22, ""price"") / INDEX(GOOGLEFINANCE(C22, ""price"", EDATE(TODAY(), -3), TODAY()), 2, 2)) - 1, """")"),"")</f>
        <v/>
      </c>
      <c r="O22" s="21" t="str">
        <f>IFERROR(__xludf.DUMMYFUNCTION("IFERROR((GOOGLEFINANCE(C22, ""price"") / INDEX(GOOGLEFINANCE(C22, ""price"", EDATE(TODAY(), -6), TODAY()), 2, 2)) - 1, """")"),"")</f>
        <v/>
      </c>
      <c r="P22" s="21" t="str">
        <f>IFERROR(__xludf.DUMMYFUNCTION("IFERROR((GOOGLEFINANCE(C22, ""price"") / INDEX(GOOGLEFINANCE(C22, ""price"", EDATE(TODAY(), -12), TODAY()), 2, 2)) - 1, """")"),"")</f>
        <v/>
      </c>
      <c r="Q22" s="6" t="str">
        <f>IFERROR(__xludf.DUMMYFUNCTION("AVERAGE(QUERY(GOOGLEFINANCE(C22, ""price"", TODAY()-80, TODAY()), ""SELECT Col2 WHERE Col2 IS NOT NULL ORDER BY Col1 DESC LIMIT 50"", 0))"),"#N/A")</f>
        <v>#N/A</v>
      </c>
      <c r="R22" s="24" t="str">
        <f>IFERROR(__xludf.DUMMYFUNCTION("IFERROR(
  LET(
    data, QUERY(GOOGLEFINANCE(C22,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GOOGLEFINANCE(C22, ""price"")) * 100,
    IF(calc=0, G22, calc)
  ), 
G22)"),"#N/A")</f>
        <v>#N/A</v>
      </c>
      <c r="S22" s="8" t="s">
        <v>15</v>
      </c>
      <c r="T22" s="26" t="str">
        <f>IFERROR(__xludf.DUMMYFUNCTION("IFERROR(TRANSPOSE(QUERY(IFERROR(SORT(GOOGLEFINANCE(C22, ""price"", WORKDAY(TODAY(), -40), TODAY()), 1, FALSE)), ""select Col2 where Col2 is not null limit 22 label Col2 ''"", 0)), """")"),"")</f>
        <v/>
      </c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8"/>
      <c r="AO22" s="28"/>
      <c r="AP22" s="29"/>
      <c r="AQ22" s="29" t="str">
        <f t="shared" ref="AQ22:BL22" si="25">T22/T$2</f>
        <v>#N/A</v>
      </c>
      <c r="AR22" s="29" t="str">
        <f t="shared" si="25"/>
        <v>#DIV/0!</v>
      </c>
      <c r="AS22" s="29" t="str">
        <f t="shared" si="25"/>
        <v>#DIV/0!</v>
      </c>
      <c r="AT22" s="29" t="str">
        <f t="shared" si="25"/>
        <v>#DIV/0!</v>
      </c>
      <c r="AU22" s="29" t="str">
        <f t="shared" si="25"/>
        <v>#DIV/0!</v>
      </c>
      <c r="AV22" s="29" t="str">
        <f t="shared" si="25"/>
        <v>#DIV/0!</v>
      </c>
      <c r="AW22" s="29" t="str">
        <f t="shared" si="25"/>
        <v>#DIV/0!</v>
      </c>
      <c r="AX22" s="29" t="str">
        <f t="shared" si="25"/>
        <v>#DIV/0!</v>
      </c>
      <c r="AY22" s="29" t="str">
        <f t="shared" si="25"/>
        <v>#DIV/0!</v>
      </c>
      <c r="AZ22" s="29" t="str">
        <f t="shared" si="25"/>
        <v>#DIV/0!</v>
      </c>
      <c r="BA22" s="29" t="str">
        <f t="shared" si="25"/>
        <v>#DIV/0!</v>
      </c>
      <c r="BB22" s="29" t="str">
        <f t="shared" si="25"/>
        <v>#DIV/0!</v>
      </c>
      <c r="BC22" s="29" t="str">
        <f t="shared" si="25"/>
        <v>#DIV/0!</v>
      </c>
      <c r="BD22" s="29" t="str">
        <f t="shared" si="25"/>
        <v>#DIV/0!</v>
      </c>
      <c r="BE22" s="29" t="str">
        <f t="shared" si="25"/>
        <v>#DIV/0!</v>
      </c>
      <c r="BF22" s="29" t="str">
        <f t="shared" si="25"/>
        <v>#DIV/0!</v>
      </c>
      <c r="BG22" s="29" t="str">
        <f t="shared" si="25"/>
        <v>#DIV/0!</v>
      </c>
      <c r="BH22" s="29" t="str">
        <f t="shared" si="25"/>
        <v>#DIV/0!</v>
      </c>
      <c r="BI22" s="29" t="str">
        <f t="shared" si="25"/>
        <v>#DIV/0!</v>
      </c>
      <c r="BJ22" s="29" t="str">
        <f t="shared" si="25"/>
        <v>#DIV/0!</v>
      </c>
      <c r="BK22" s="29" t="str">
        <f t="shared" si="25"/>
        <v>#DIV/0!</v>
      </c>
      <c r="BL22" s="29" t="str">
        <f t="shared" si="25"/>
        <v>#DIV/0!</v>
      </c>
      <c r="BM22" s="29" t="str">
        <f t="shared" si="3"/>
        <v>#DIV/0!</v>
      </c>
    </row>
    <row r="23" hidden="1">
      <c r="A23" s="16" t="str">
        <f>IFERROR(__xludf.DUMMYFUNCTION("IFERROR(SPARKLINE(SORT(MAP(TRANSPOSE(AQ23:BL23), LAMBDA(val, IF(ISNUMBER(val), PERCENTRANK(AQ23:BL23, val)+0.01, 0))), SEQUENCE(COLUMNS(AQ23:BL23)), FALSE), {""charttype"",""column""; ""color"",""chartreuse""; ""ymin"", 0; ""ymax"", 1.01; ""highcolor"", "&amp;"""darkgreen""; ""lowcolor"", ""red""}), """")"),"")</f>
        <v/>
      </c>
      <c r="B23" s="17" t="str">
        <f t="shared" si="4"/>
        <v/>
      </c>
      <c r="C23" s="1" t="s">
        <v>2616</v>
      </c>
      <c r="D23" s="30" t="str">
        <f>IFERROR(__xludf.DUMMYFUNCTION("IFERROR(GOOGLEFINANCE(C23, ""NAME""))"),"Mach Natural Resources LP")</f>
        <v>Mach Natural Resources LP</v>
      </c>
      <c r="E23" s="30" t="s">
        <v>2613</v>
      </c>
      <c r="F23" s="33" t="str">
        <f>IFERROR(__xludf.DUMMYFUNCTION("( (GOOGLEFINANCE(C23, ""price"") - Q23) / Q23 ) / (R23 / 100)"),"Loading...")</f>
        <v>Loading...</v>
      </c>
      <c r="G23" s="20" t="str">
        <f>IFERROR(__xludf.DUMMYFUNCTION("AVERAGE(ARRAYFORMULA(100 * (QUERY(GOOGLEFINANCE(C23, ""high"", TODAY()-40, TODAY()), ""SELECT Col2 WHERE Col2 IS NOT NULL ORDER BY Col1 DESC LIMIT 20"", 0) / QUERY(GOOGLEFINANCE(C23, ""low"", TODAY()-40, TODAY()), ""SELECT Col2 WHERE Col2 IS NOT NULL ORDE"&amp;"R BY Col1 DESC LIMIT 20"", 0) - 1)))"),"#N/A")</f>
        <v>#N/A</v>
      </c>
      <c r="H23" s="35" t="str">
        <f t="shared" si="6"/>
        <v>Illiquid</v>
      </c>
      <c r="I23" s="35" t="str">
        <f t="shared" si="7"/>
        <v>RVol Required</v>
      </c>
      <c r="J23" s="37">
        <f>IFERROR(__xludf.DUMMYFUNCTION("IFERROR(
  IF(C23="""",, 
    IFERROR(
      GOOGLEFINANCE(C23, ""price"") * GOOGLEFINANCE(C23, ""volumeavg""), 
      GOOGLEFINANCE(C23, ""price"") * AVERAGE(QUERY(GOOGLEFINANCE(C23, ""volume"", TODAY()-40, TODAY()), ""SELECT Col2 WHERE Col2 IS NOT NULL "&amp;"ORDER BY Col1 DESC LIMIT 20"", 0))
    )
  ), 
"""")"),1.146691485E7)</f>
        <v>11466914.85</v>
      </c>
      <c r="K23" s="21">
        <f>IFERROR(__xludf.DUMMYFUNCTION("IFERROR(GOOGLEFINANCE(C23, ""changepct"") / 100, """")"),0.0212)</f>
        <v>0.0212</v>
      </c>
      <c r="L23" s="21" t="str">
        <f>IFERROR(__xludf.DUMMYFUNCTION("IFERROR((GOOGLEFINANCE(C23, ""price"") / INDEX(GOOGLEFINANCE(C23, ""price"", TODAY()-7, TODAY()), 2, 2)) - 1, """")"),"")</f>
        <v/>
      </c>
      <c r="M23" s="21" t="str">
        <f>IFERROR(__xludf.DUMMYFUNCTION("IFERROR((GOOGLEFINANCE(C23, ""price"") / INDEX(GOOGLEFINANCE(C23, ""price"", EDATE(TODAY(), -1), TODAY()), 2, 2)) - 1, """")"),"")</f>
        <v/>
      </c>
      <c r="N23" s="21" t="str">
        <f>IFERROR(__xludf.DUMMYFUNCTION("IFERROR((GOOGLEFINANCE(C23, ""price"") / INDEX(GOOGLEFINANCE(C23, ""price"", EDATE(TODAY(), -3), TODAY()), 2, 2)) - 1, """")"),"")</f>
        <v/>
      </c>
      <c r="O23" s="21" t="str">
        <f>IFERROR(__xludf.DUMMYFUNCTION("IFERROR((GOOGLEFINANCE(C23, ""price"") / INDEX(GOOGLEFINANCE(C23, ""price"", EDATE(TODAY(), -6), TODAY()), 2, 2)) - 1, """")"),"")</f>
        <v/>
      </c>
      <c r="P23" s="21" t="str">
        <f>IFERROR(__xludf.DUMMYFUNCTION("IFERROR((GOOGLEFINANCE(C23, ""price"") / INDEX(GOOGLEFINANCE(C23, ""price"", EDATE(TODAY(), -12), TODAY()), 2, 2)) - 1, """")"),"")</f>
        <v/>
      </c>
      <c r="Q23" s="6" t="str">
        <f>IFERROR(__xludf.DUMMYFUNCTION("AVERAGE(QUERY(GOOGLEFINANCE(C23, ""price"", TODAY()-80, TODAY()), ""SELECT Col2 WHERE Col2 IS NOT NULL ORDER BY Col1 DESC LIMIT 50"", 0))"),"#N/A")</f>
        <v>#N/A</v>
      </c>
      <c r="R23" s="24" t="str">
        <f>IFERROR(__xludf.DUMMYFUNCTION("IFERROR(
  LET(
    data, QUERY(GOOGLEFINANCE(C23,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GOOGLEFINANCE(C23, ""price"")) * 100,
    IF(calc=0, G23, calc)
  ), 
G23)"),"#N/A")</f>
        <v>#N/A</v>
      </c>
      <c r="S23" s="8" t="s">
        <v>15</v>
      </c>
      <c r="T23" s="26" t="str">
        <f>IFERROR(__xludf.DUMMYFUNCTION("IFERROR(TRANSPOSE(QUERY(IFERROR(SORT(GOOGLEFINANCE(C23, ""price"", WORKDAY(TODAY(), -40), TODAY()), 1, FALSE)), ""select Col2 where Col2 is not null limit 22 label Col2 ''"", 0)), """")"),"")</f>
        <v/>
      </c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8"/>
      <c r="AO23" s="28"/>
      <c r="AP23" s="29"/>
      <c r="AQ23" s="29" t="str">
        <f t="shared" ref="AQ23:BL23" si="26">T23/T$2</f>
        <v>#N/A</v>
      </c>
      <c r="AR23" s="29" t="str">
        <f t="shared" si="26"/>
        <v>#DIV/0!</v>
      </c>
      <c r="AS23" s="29" t="str">
        <f t="shared" si="26"/>
        <v>#DIV/0!</v>
      </c>
      <c r="AT23" s="29" t="str">
        <f t="shared" si="26"/>
        <v>#DIV/0!</v>
      </c>
      <c r="AU23" s="29" t="str">
        <f t="shared" si="26"/>
        <v>#DIV/0!</v>
      </c>
      <c r="AV23" s="29" t="str">
        <f t="shared" si="26"/>
        <v>#DIV/0!</v>
      </c>
      <c r="AW23" s="29" t="str">
        <f t="shared" si="26"/>
        <v>#DIV/0!</v>
      </c>
      <c r="AX23" s="29" t="str">
        <f t="shared" si="26"/>
        <v>#DIV/0!</v>
      </c>
      <c r="AY23" s="29" t="str">
        <f t="shared" si="26"/>
        <v>#DIV/0!</v>
      </c>
      <c r="AZ23" s="29" t="str">
        <f t="shared" si="26"/>
        <v>#DIV/0!</v>
      </c>
      <c r="BA23" s="29" t="str">
        <f t="shared" si="26"/>
        <v>#DIV/0!</v>
      </c>
      <c r="BB23" s="29" t="str">
        <f t="shared" si="26"/>
        <v>#DIV/0!</v>
      </c>
      <c r="BC23" s="29" t="str">
        <f t="shared" si="26"/>
        <v>#DIV/0!</v>
      </c>
      <c r="BD23" s="29" t="str">
        <f t="shared" si="26"/>
        <v>#DIV/0!</v>
      </c>
      <c r="BE23" s="29" t="str">
        <f t="shared" si="26"/>
        <v>#DIV/0!</v>
      </c>
      <c r="BF23" s="29" t="str">
        <f t="shared" si="26"/>
        <v>#DIV/0!</v>
      </c>
      <c r="BG23" s="29" t="str">
        <f t="shared" si="26"/>
        <v>#DIV/0!</v>
      </c>
      <c r="BH23" s="29" t="str">
        <f t="shared" si="26"/>
        <v>#DIV/0!</v>
      </c>
      <c r="BI23" s="29" t="str">
        <f t="shared" si="26"/>
        <v>#DIV/0!</v>
      </c>
      <c r="BJ23" s="29" t="str">
        <f t="shared" si="26"/>
        <v>#DIV/0!</v>
      </c>
      <c r="BK23" s="29" t="str">
        <f t="shared" si="26"/>
        <v>#DIV/0!</v>
      </c>
      <c r="BL23" s="29" t="str">
        <f t="shared" si="26"/>
        <v>#DIV/0!</v>
      </c>
      <c r="BM23" s="29" t="str">
        <f t="shared" si="3"/>
        <v>#DIV/0!</v>
      </c>
    </row>
    <row r="24" hidden="1">
      <c r="A24" s="16" t="str">
        <f>IFERROR(__xludf.DUMMYFUNCTION("IFERROR(SPARKLINE(SORT(MAP(TRANSPOSE(AQ24:BL24), LAMBDA(val, IF(ISNUMBER(val), PERCENTRANK(AQ24:BL24, val)+0.01, 0))), SEQUENCE(COLUMNS(AQ24:BL24)), FALSE), {""charttype"",""column""; ""color"",""chartreuse""; ""ymin"", 0; ""ymax"", 1.01; ""highcolor"", "&amp;"""darkgreen""; ""lowcolor"", ""red""}), """")"),"")</f>
        <v/>
      </c>
      <c r="B24" s="17" t="str">
        <f t="shared" si="4"/>
        <v/>
      </c>
      <c r="C24" s="1" t="s">
        <v>2619</v>
      </c>
      <c r="D24" s="30" t="str">
        <f>IFERROR(__xludf.DUMMYFUNCTION("IFERROR(GOOGLEFINANCE(C24, ""NAME""))"),"NGL Energy Partners LP Unit")</f>
        <v>NGL Energy Partners LP Unit</v>
      </c>
      <c r="E24" s="30" t="s">
        <v>2547</v>
      </c>
      <c r="F24" s="33" t="str">
        <f>IFERROR(__xludf.DUMMYFUNCTION("( (GOOGLEFINANCE(C24, ""price"") - Q24) / Q24 ) / (R24 / 100)"),"Loading...")</f>
        <v>Loading...</v>
      </c>
      <c r="G24" s="20" t="str">
        <f>IFERROR(__xludf.DUMMYFUNCTION("AVERAGE(ARRAYFORMULA(100 * (QUERY(GOOGLEFINANCE(C24, ""high"", TODAY()-40, TODAY()), ""SELECT Col2 WHERE Col2 IS NOT NULL ORDER BY Col1 DESC LIMIT 20"", 0) / QUERY(GOOGLEFINANCE(C24, ""low"", TODAY()-40, TODAY()), ""SELECT Col2 WHERE Col2 IS NOT NULL ORDE"&amp;"R BY Col1 DESC LIMIT 20"", 0) - 1)))"),"#N/A")</f>
        <v>#N/A</v>
      </c>
      <c r="H24" s="35" t="str">
        <f t="shared" si="6"/>
        <v>Illiquid</v>
      </c>
      <c r="I24" s="35" t="str">
        <f t="shared" si="7"/>
        <v>RVol Required</v>
      </c>
      <c r="J24" s="37">
        <f>IFERROR(__xludf.DUMMYFUNCTION("IFERROR(
  IF(C24="""",, 
    IFERROR(
      GOOGLEFINANCE(C24, ""price"") * GOOGLEFINANCE(C24, ""volumeavg""), 
      GOOGLEFINANCE(C24, ""price"") * AVERAGE(QUERY(GOOGLEFINANCE(C24, ""volume"", TODAY()-40, TODAY()), ""SELECT Col2 WHERE Col2 IS NOT NULL "&amp;"ORDER BY Col1 DESC LIMIT 20"", 0))
    )
  ), 
"""")"),2969852.0)</f>
        <v>2969852</v>
      </c>
      <c r="K24" s="21">
        <f>IFERROR(__xludf.DUMMYFUNCTION("IFERROR(GOOGLEFINANCE(C24, ""changepct"") / 100, """")"),0.0263)</f>
        <v>0.0263</v>
      </c>
      <c r="L24" s="21" t="str">
        <f>IFERROR(__xludf.DUMMYFUNCTION("IFERROR((GOOGLEFINANCE(C24, ""price"") / INDEX(GOOGLEFINANCE(C24, ""price"", TODAY()-7, TODAY()), 2, 2)) - 1, """")"),"")</f>
        <v/>
      </c>
      <c r="M24" s="21" t="str">
        <f>IFERROR(__xludf.DUMMYFUNCTION("IFERROR((GOOGLEFINANCE(C24, ""price"") / INDEX(GOOGLEFINANCE(C24, ""price"", EDATE(TODAY(), -1), TODAY()), 2, 2)) - 1, """")"),"")</f>
        <v/>
      </c>
      <c r="N24" s="21" t="str">
        <f>IFERROR(__xludf.DUMMYFUNCTION("IFERROR((GOOGLEFINANCE(C24, ""price"") / INDEX(GOOGLEFINANCE(C24, ""price"", EDATE(TODAY(), -3), TODAY()), 2, 2)) - 1, """")"),"")</f>
        <v/>
      </c>
      <c r="O24" s="21" t="str">
        <f>IFERROR(__xludf.DUMMYFUNCTION("IFERROR((GOOGLEFINANCE(C24, ""price"") / INDEX(GOOGLEFINANCE(C24, ""price"", EDATE(TODAY(), -6), TODAY()), 2, 2)) - 1, """")"),"")</f>
        <v/>
      </c>
      <c r="P24" s="21" t="str">
        <f>IFERROR(__xludf.DUMMYFUNCTION("IFERROR((GOOGLEFINANCE(C24, ""price"") / INDEX(GOOGLEFINANCE(C24, ""price"", EDATE(TODAY(), -12), TODAY()), 2, 2)) - 1, """")"),"")</f>
        <v/>
      </c>
      <c r="Q24" s="6" t="str">
        <f>IFERROR(__xludf.DUMMYFUNCTION("AVERAGE(QUERY(GOOGLEFINANCE(C24, ""price"", TODAY()-80, TODAY()), ""SELECT Col2 WHERE Col2 IS NOT NULL ORDER BY Col1 DESC LIMIT 50"", 0))"),"#N/A")</f>
        <v>#N/A</v>
      </c>
      <c r="R24" s="24" t="str">
        <f>IFERROR(__xludf.DUMMYFUNCTION("IFERROR(
  LET(
    data, QUERY(GOOGLEFINANCE(C24,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GOOGLEFINANCE(C24, ""price"")) * 100,
    IF(calc=0, G24, calc)
  ), 
G24)"),"#N/A")</f>
        <v>#N/A</v>
      </c>
      <c r="S24" s="8" t="s">
        <v>15</v>
      </c>
      <c r="T24" s="26" t="str">
        <f>IFERROR(__xludf.DUMMYFUNCTION("IFERROR(TRANSPOSE(QUERY(IFERROR(SORT(GOOGLEFINANCE(C24, ""price"", WORKDAY(TODAY(), -40), TODAY()), 1, FALSE)), ""select Col2 where Col2 is not null limit 22 label Col2 ''"", 0)), """")"),"")</f>
        <v/>
      </c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8"/>
      <c r="AO24" s="28"/>
      <c r="AP24" s="29"/>
      <c r="AQ24" s="29" t="str">
        <f t="shared" ref="AQ24:BL24" si="27">T24/T$2</f>
        <v>#N/A</v>
      </c>
      <c r="AR24" s="29" t="str">
        <f t="shared" si="27"/>
        <v>#DIV/0!</v>
      </c>
      <c r="AS24" s="29" t="str">
        <f t="shared" si="27"/>
        <v>#DIV/0!</v>
      </c>
      <c r="AT24" s="29" t="str">
        <f t="shared" si="27"/>
        <v>#DIV/0!</v>
      </c>
      <c r="AU24" s="29" t="str">
        <f t="shared" si="27"/>
        <v>#DIV/0!</v>
      </c>
      <c r="AV24" s="29" t="str">
        <f t="shared" si="27"/>
        <v>#DIV/0!</v>
      </c>
      <c r="AW24" s="29" t="str">
        <f t="shared" si="27"/>
        <v>#DIV/0!</v>
      </c>
      <c r="AX24" s="29" t="str">
        <f t="shared" si="27"/>
        <v>#DIV/0!</v>
      </c>
      <c r="AY24" s="29" t="str">
        <f t="shared" si="27"/>
        <v>#DIV/0!</v>
      </c>
      <c r="AZ24" s="29" t="str">
        <f t="shared" si="27"/>
        <v>#DIV/0!</v>
      </c>
      <c r="BA24" s="29" t="str">
        <f t="shared" si="27"/>
        <v>#DIV/0!</v>
      </c>
      <c r="BB24" s="29" t="str">
        <f t="shared" si="27"/>
        <v>#DIV/0!</v>
      </c>
      <c r="BC24" s="29" t="str">
        <f t="shared" si="27"/>
        <v>#DIV/0!</v>
      </c>
      <c r="BD24" s="29" t="str">
        <f t="shared" si="27"/>
        <v>#DIV/0!</v>
      </c>
      <c r="BE24" s="29" t="str">
        <f t="shared" si="27"/>
        <v>#DIV/0!</v>
      </c>
      <c r="BF24" s="29" t="str">
        <f t="shared" si="27"/>
        <v>#DIV/0!</v>
      </c>
      <c r="BG24" s="29" t="str">
        <f t="shared" si="27"/>
        <v>#DIV/0!</v>
      </c>
      <c r="BH24" s="29" t="str">
        <f t="shared" si="27"/>
        <v>#DIV/0!</v>
      </c>
      <c r="BI24" s="29" t="str">
        <f t="shared" si="27"/>
        <v>#DIV/0!</v>
      </c>
      <c r="BJ24" s="29" t="str">
        <f t="shared" si="27"/>
        <v>#DIV/0!</v>
      </c>
      <c r="BK24" s="29" t="str">
        <f t="shared" si="27"/>
        <v>#DIV/0!</v>
      </c>
      <c r="BL24" s="29" t="str">
        <f t="shared" si="27"/>
        <v>#DIV/0!</v>
      </c>
      <c r="BM24" s="29" t="str">
        <f t="shared" si="3"/>
        <v>#DIV/0!</v>
      </c>
    </row>
    <row r="25">
      <c r="A25" s="16" t="str">
        <f>IFERROR(__xludf.DUMMYFUNCTION("IFERROR(SPARKLINE(SORT(MAP(TRANSPOSE(AQ25:BL25), LAMBDA(val, IF(ISNUMBER(val), PERCENTRANK(AQ25:BL25, val)+0.01, 0))), SEQUENCE(COLUMNS(AQ25:BL25)), FALSE), {""charttype"",""column""; ""color"",""chartreuse""; ""ymin"", 0; ""ymax"", 1.01; ""highcolor"", "&amp;"""darkgreen""; ""lowcolor"", ""red""}), """")"),"")</f>
        <v/>
      </c>
      <c r="B25" s="17" t="str">
        <f t="shared" si="4"/>
        <v/>
      </c>
      <c r="C25" s="1" t="s">
        <v>2623</v>
      </c>
      <c r="D25" s="30" t="str">
        <f>IFERROR(__xludf.DUMMYFUNCTION("IFERROR(GOOGLEFINANCE(C25, ""NAME""))"),"Golar LNG Ltd")</f>
        <v>Golar LNG Ltd</v>
      </c>
      <c r="E25" s="30" t="s">
        <v>2547</v>
      </c>
      <c r="F25" s="38" t="str">
        <f>IFERROR(__xludf.DUMMYFUNCTION("( (GOOGLEFINANCE(C25, ""price"") - Q25) / Q25 ) / (R25 / 100)"),"Loading...")</f>
        <v>Loading...</v>
      </c>
      <c r="G25" s="20" t="str">
        <f>IFERROR(__xludf.DUMMYFUNCTION("AVERAGE(ARRAYFORMULA(100 * (QUERY(GOOGLEFINANCE(C25, ""high"", TODAY()-40, TODAY()), ""SELECT Col2 WHERE Col2 IS NOT NULL ORDER BY Col1 DESC LIMIT 20"", 0) / QUERY(GOOGLEFINANCE(C25, ""low"", TODAY()-40, TODAY()), ""SELECT Col2 WHERE Col2 IS NOT NULL ORDE"&amp;"R BY Col1 DESC LIMIT 20"", 0) - 1)))"),"#N/A")</f>
        <v>#N/A</v>
      </c>
      <c r="H25" s="35" t="str">
        <f t="shared" si="6"/>
        <v>Liquid</v>
      </c>
      <c r="I25" s="35" t="str">
        <f t="shared" si="7"/>
        <v>RVol Required</v>
      </c>
      <c r="J25" s="37">
        <f>IFERROR(__xludf.DUMMYFUNCTION("IFERROR(
  IF(C25="""",, 
    IFERROR(
      GOOGLEFINANCE(C25, ""price"") * GOOGLEFINANCE(C25, ""volumeavg""), 
      GOOGLEFINANCE(C25, ""price"") * AVERAGE(QUERY(GOOGLEFINANCE(C25, ""volume"", TODAY()-40, TODAY()), ""SELECT Col2 WHERE Col2 IS NOT NULL "&amp;"ORDER BY Col1 DESC LIMIT 20"", 0))
    )
  ), 
"""")"),6.664652676E7)</f>
        <v>66646526.76</v>
      </c>
      <c r="K25" s="21">
        <f>IFERROR(__xludf.DUMMYFUNCTION("IFERROR(GOOGLEFINANCE(C25, ""changepct"") / 100, """")"),0.0069)</f>
        <v>0.0069</v>
      </c>
      <c r="L25" s="21" t="str">
        <f>IFERROR(__xludf.DUMMYFUNCTION("IFERROR((GOOGLEFINANCE(C25, ""price"") / INDEX(GOOGLEFINANCE(C25, ""price"", TODAY()-7, TODAY()), 2, 2)) - 1, """")"),"")</f>
        <v/>
      </c>
      <c r="M25" s="21" t="str">
        <f>IFERROR(__xludf.DUMMYFUNCTION("IFERROR((GOOGLEFINANCE(C25, ""price"") / INDEX(GOOGLEFINANCE(C25, ""price"", EDATE(TODAY(), -1), TODAY()), 2, 2)) - 1, """")"),"")</f>
        <v/>
      </c>
      <c r="N25" s="21" t="str">
        <f>IFERROR(__xludf.DUMMYFUNCTION("IFERROR((GOOGLEFINANCE(C25, ""price"") / INDEX(GOOGLEFINANCE(C25, ""price"", EDATE(TODAY(), -3), TODAY()), 2, 2)) - 1, """")"),"")</f>
        <v/>
      </c>
      <c r="O25" s="21" t="str">
        <f>IFERROR(__xludf.DUMMYFUNCTION("IFERROR((GOOGLEFINANCE(C25, ""price"") / INDEX(GOOGLEFINANCE(C25, ""price"", EDATE(TODAY(), -6), TODAY()), 2, 2)) - 1, """")"),"")</f>
        <v/>
      </c>
      <c r="P25" s="21" t="str">
        <f>IFERROR(__xludf.DUMMYFUNCTION("IFERROR((GOOGLEFINANCE(C25, ""price"") / INDEX(GOOGLEFINANCE(C25, ""price"", EDATE(TODAY(), -12), TODAY()), 2, 2)) - 1, """")"),"")</f>
        <v/>
      </c>
      <c r="Q25" s="6" t="str">
        <f>IFERROR(__xludf.DUMMYFUNCTION("AVERAGE(QUERY(GOOGLEFINANCE(C25, ""price"", TODAY()-80, TODAY()), ""SELECT Col2 WHERE Col2 IS NOT NULL ORDER BY Col1 DESC LIMIT 50"", 0))"),"#N/A")</f>
        <v>#N/A</v>
      </c>
      <c r="R25" s="24" t="str">
        <f>IFERROR(__xludf.DUMMYFUNCTION("IFERROR(
  LET(
    data, QUERY(GOOGLEFINANCE(C25,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GOOGLEFINANCE(C25, ""price"")) * 100,
    IF(calc=0, G25, calc)
  ), 
G25)"),"#N/A")</f>
        <v>#N/A</v>
      </c>
      <c r="S25" s="8" t="s">
        <v>15</v>
      </c>
      <c r="T25" s="26" t="str">
        <f>IFERROR(__xludf.DUMMYFUNCTION("IFERROR(TRANSPOSE(QUERY(IFERROR(SORT(GOOGLEFINANCE(C25, ""price"", WORKDAY(TODAY(), -40), TODAY()), 1, FALSE)), ""select Col2 where Col2 is not null limit 22 label Col2 ''"", 0)), """")"),"")</f>
        <v/>
      </c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8"/>
      <c r="AO25" s="28"/>
      <c r="AP25" s="29"/>
      <c r="AQ25" s="29" t="str">
        <f t="shared" ref="AQ25:BL25" si="28">T25/T$2</f>
        <v>#N/A</v>
      </c>
      <c r="AR25" s="29" t="str">
        <f t="shared" si="28"/>
        <v>#DIV/0!</v>
      </c>
      <c r="AS25" s="29" t="str">
        <f t="shared" si="28"/>
        <v>#DIV/0!</v>
      </c>
      <c r="AT25" s="29" t="str">
        <f t="shared" si="28"/>
        <v>#DIV/0!</v>
      </c>
      <c r="AU25" s="29" t="str">
        <f t="shared" si="28"/>
        <v>#DIV/0!</v>
      </c>
      <c r="AV25" s="29" t="str">
        <f t="shared" si="28"/>
        <v>#DIV/0!</v>
      </c>
      <c r="AW25" s="29" t="str">
        <f t="shared" si="28"/>
        <v>#DIV/0!</v>
      </c>
      <c r="AX25" s="29" t="str">
        <f t="shared" si="28"/>
        <v>#DIV/0!</v>
      </c>
      <c r="AY25" s="29" t="str">
        <f t="shared" si="28"/>
        <v>#DIV/0!</v>
      </c>
      <c r="AZ25" s="29" t="str">
        <f t="shared" si="28"/>
        <v>#DIV/0!</v>
      </c>
      <c r="BA25" s="29" t="str">
        <f t="shared" si="28"/>
        <v>#DIV/0!</v>
      </c>
      <c r="BB25" s="29" t="str">
        <f t="shared" si="28"/>
        <v>#DIV/0!</v>
      </c>
      <c r="BC25" s="29" t="str">
        <f t="shared" si="28"/>
        <v>#DIV/0!</v>
      </c>
      <c r="BD25" s="29" t="str">
        <f t="shared" si="28"/>
        <v>#DIV/0!</v>
      </c>
      <c r="BE25" s="29" t="str">
        <f t="shared" si="28"/>
        <v>#DIV/0!</v>
      </c>
      <c r="BF25" s="29" t="str">
        <f t="shared" si="28"/>
        <v>#DIV/0!</v>
      </c>
      <c r="BG25" s="29" t="str">
        <f t="shared" si="28"/>
        <v>#DIV/0!</v>
      </c>
      <c r="BH25" s="29" t="str">
        <f t="shared" si="28"/>
        <v>#DIV/0!</v>
      </c>
      <c r="BI25" s="29" t="str">
        <f t="shared" si="28"/>
        <v>#DIV/0!</v>
      </c>
      <c r="BJ25" s="29" t="str">
        <f t="shared" si="28"/>
        <v>#DIV/0!</v>
      </c>
      <c r="BK25" s="29" t="str">
        <f t="shared" si="28"/>
        <v>#DIV/0!</v>
      </c>
      <c r="BL25" s="29" t="str">
        <f t="shared" si="28"/>
        <v>#DIV/0!</v>
      </c>
      <c r="BM25" s="29" t="str">
        <f t="shared" si="3"/>
        <v>#DIV/0!</v>
      </c>
    </row>
    <row r="26">
      <c r="A26" s="16" t="str">
        <f>IFERROR(__xludf.DUMMYFUNCTION("IFERROR(SPARKLINE(SORT(MAP(TRANSPOSE(AQ26:BL26), LAMBDA(val, IF(ISNUMBER(val), PERCENTRANK(AQ26:BL26, val)+0.01, 0))), SEQUENCE(COLUMNS(AQ26:BL26)), FALSE), {""charttype"",""column""; ""color"",""chartreuse""; ""ymin"", 0; ""ymax"", 1.01; ""highcolor"", "&amp;"""darkgreen""; ""lowcolor"", ""red""}), """")"),"")</f>
        <v/>
      </c>
      <c r="B26" s="17" t="str">
        <f t="shared" si="4"/>
        <v/>
      </c>
      <c r="C26" s="1" t="s">
        <v>2626</v>
      </c>
      <c r="D26" s="30" t="str">
        <f>IFERROR(__xludf.DUMMYFUNCTION("IFERROR(GOOGLEFINANCE(C26, ""NAME""))"),"Frontline Plc")</f>
        <v>Frontline Plc</v>
      </c>
      <c r="E26" s="30" t="s">
        <v>2547</v>
      </c>
      <c r="F26" s="38" t="str">
        <f>IFERROR(__xludf.DUMMYFUNCTION("( (GOOGLEFINANCE(C26, ""price"") - Q26) / Q26 ) / (R26 / 100)"),"Loading...")</f>
        <v>Loading...</v>
      </c>
      <c r="G26" s="20" t="str">
        <f>IFERROR(__xludf.DUMMYFUNCTION("AVERAGE(ARRAYFORMULA(100 * (QUERY(GOOGLEFINANCE(C26, ""high"", TODAY()-40, TODAY()), ""SELECT Col2 WHERE Col2 IS NOT NULL ORDER BY Col1 DESC LIMIT 20"", 0) / QUERY(GOOGLEFINANCE(C26, ""low"", TODAY()-40, TODAY()), ""SELECT Col2 WHERE Col2 IS NOT NULL ORDE"&amp;"R BY Col1 DESC LIMIT 20"", 0) - 1)))"),"#N/A")</f>
        <v>#N/A</v>
      </c>
      <c r="H26" s="35" t="str">
        <f t="shared" si="6"/>
        <v>Liquid</v>
      </c>
      <c r="I26" s="35" t="str">
        <f t="shared" si="7"/>
        <v>RVol Required</v>
      </c>
      <c r="J26" s="37">
        <f>IFERROR(__xludf.DUMMYFUNCTION("IFERROR(
  IF(C26="""",, 
    IFERROR(
      GOOGLEFINANCE(C26, ""price"") * GOOGLEFINANCE(C26, ""volumeavg""), 
      GOOGLEFINANCE(C26, ""price"") * AVERAGE(QUERY(GOOGLEFINANCE(C26, ""volume"", TODAY()-40, TODAY()), ""SELECT Col2 WHERE Col2 IS NOT NULL "&amp;"ORDER BY Col1 DESC LIMIT 20"", 0))
    )
  ), 
"""")"),2.2280288577E8)</f>
        <v>222802885.8</v>
      </c>
      <c r="K26" s="21">
        <f>IFERROR(__xludf.DUMMYFUNCTION("IFERROR(GOOGLEFINANCE(C26, ""changepct"") / 100, """")"),-0.001)</f>
        <v>-0.001</v>
      </c>
      <c r="L26" s="21" t="str">
        <f>IFERROR(__xludf.DUMMYFUNCTION("IFERROR((GOOGLEFINANCE(C26, ""price"") / INDEX(GOOGLEFINANCE(C26, ""price"", TODAY()-7, TODAY()), 2, 2)) - 1, """")"),"")</f>
        <v/>
      </c>
      <c r="M26" s="21" t="str">
        <f>IFERROR(__xludf.DUMMYFUNCTION("IFERROR((GOOGLEFINANCE(C26, ""price"") / INDEX(GOOGLEFINANCE(C26, ""price"", EDATE(TODAY(), -1), TODAY()), 2, 2)) - 1, """")"),"")</f>
        <v/>
      </c>
      <c r="N26" s="21" t="str">
        <f>IFERROR(__xludf.DUMMYFUNCTION("IFERROR((GOOGLEFINANCE(C26, ""price"") / INDEX(GOOGLEFINANCE(C26, ""price"", EDATE(TODAY(), -3), TODAY()), 2, 2)) - 1, """")"),"")</f>
        <v/>
      </c>
      <c r="O26" s="21" t="str">
        <f>IFERROR(__xludf.DUMMYFUNCTION("IFERROR((GOOGLEFINANCE(C26, ""price"") / INDEX(GOOGLEFINANCE(C26, ""price"", EDATE(TODAY(), -6), TODAY()), 2, 2)) - 1, """")"),"")</f>
        <v/>
      </c>
      <c r="P26" s="21" t="str">
        <f>IFERROR(__xludf.DUMMYFUNCTION("IFERROR((GOOGLEFINANCE(C26, ""price"") / INDEX(GOOGLEFINANCE(C26, ""price"", EDATE(TODAY(), -12), TODAY()), 2, 2)) - 1, """")"),"")</f>
        <v/>
      </c>
      <c r="Q26" s="6" t="str">
        <f>IFERROR(__xludf.DUMMYFUNCTION("AVERAGE(QUERY(GOOGLEFINANCE(C26, ""price"", TODAY()-80, TODAY()), ""SELECT Col2 WHERE Col2 IS NOT NULL ORDER BY Col1 DESC LIMIT 50"", 0))"),"#N/A")</f>
        <v>#N/A</v>
      </c>
      <c r="R26" s="24" t="str">
        <f>IFERROR(__xludf.DUMMYFUNCTION("IFERROR(
  LET(
    data, QUERY(GOOGLEFINANCE(C26,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GOOGLEFINANCE(C26, ""price"")) * 100,
    IF(calc=0, G26, calc)
  ), 
G26)"),"#N/A")</f>
        <v>#N/A</v>
      </c>
      <c r="S26" s="8" t="s">
        <v>15</v>
      </c>
      <c r="T26" s="26" t="str">
        <f>IFERROR(__xludf.DUMMYFUNCTION("IFERROR(TRANSPOSE(QUERY(IFERROR(SORT(GOOGLEFINANCE(C26, ""price"", WORKDAY(TODAY(), -40), TODAY()), 1, FALSE)), ""select Col2 where Col2 is not null limit 22 label Col2 ''"", 0)), """")"),"")</f>
        <v/>
      </c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8"/>
      <c r="AO26" s="28"/>
      <c r="AP26" s="29"/>
      <c r="AQ26" s="29" t="str">
        <f t="shared" ref="AQ26:BL26" si="29">T26/T$2</f>
        <v>#N/A</v>
      </c>
      <c r="AR26" s="29" t="str">
        <f t="shared" si="29"/>
        <v>#DIV/0!</v>
      </c>
      <c r="AS26" s="29" t="str">
        <f t="shared" si="29"/>
        <v>#DIV/0!</v>
      </c>
      <c r="AT26" s="29" t="str">
        <f t="shared" si="29"/>
        <v>#DIV/0!</v>
      </c>
      <c r="AU26" s="29" t="str">
        <f t="shared" si="29"/>
        <v>#DIV/0!</v>
      </c>
      <c r="AV26" s="29" t="str">
        <f t="shared" si="29"/>
        <v>#DIV/0!</v>
      </c>
      <c r="AW26" s="29" t="str">
        <f t="shared" si="29"/>
        <v>#DIV/0!</v>
      </c>
      <c r="AX26" s="29" t="str">
        <f t="shared" si="29"/>
        <v>#DIV/0!</v>
      </c>
      <c r="AY26" s="29" t="str">
        <f t="shared" si="29"/>
        <v>#DIV/0!</v>
      </c>
      <c r="AZ26" s="29" t="str">
        <f t="shared" si="29"/>
        <v>#DIV/0!</v>
      </c>
      <c r="BA26" s="29" t="str">
        <f t="shared" si="29"/>
        <v>#DIV/0!</v>
      </c>
      <c r="BB26" s="29" t="str">
        <f t="shared" si="29"/>
        <v>#DIV/0!</v>
      </c>
      <c r="BC26" s="29" t="str">
        <f t="shared" si="29"/>
        <v>#DIV/0!</v>
      </c>
      <c r="BD26" s="29" t="str">
        <f t="shared" si="29"/>
        <v>#DIV/0!</v>
      </c>
      <c r="BE26" s="29" t="str">
        <f t="shared" si="29"/>
        <v>#DIV/0!</v>
      </c>
      <c r="BF26" s="29" t="str">
        <f t="shared" si="29"/>
        <v>#DIV/0!</v>
      </c>
      <c r="BG26" s="29" t="str">
        <f t="shared" si="29"/>
        <v>#DIV/0!</v>
      </c>
      <c r="BH26" s="29" t="str">
        <f t="shared" si="29"/>
        <v>#DIV/0!</v>
      </c>
      <c r="BI26" s="29" t="str">
        <f t="shared" si="29"/>
        <v>#DIV/0!</v>
      </c>
      <c r="BJ26" s="29" t="str">
        <f t="shared" si="29"/>
        <v>#DIV/0!</v>
      </c>
      <c r="BK26" s="29" t="str">
        <f t="shared" si="29"/>
        <v>#DIV/0!</v>
      </c>
      <c r="BL26" s="29" t="str">
        <f t="shared" si="29"/>
        <v>#DIV/0!</v>
      </c>
      <c r="BM26" s="29" t="str">
        <f t="shared" si="3"/>
        <v>#DIV/0!</v>
      </c>
    </row>
    <row r="27">
      <c r="A27" s="16" t="str">
        <f>IFERROR(__xludf.DUMMYFUNCTION("IFERROR(SPARKLINE(SORT(MAP(TRANSPOSE(AQ27:BL27), LAMBDA(val, IF(ISNUMBER(val), PERCENTRANK(AQ27:BL27, val)+0.01, 0))), SEQUENCE(COLUMNS(AQ27:BL27)), FALSE), {""charttype"",""column""; ""color"",""chartreuse""; ""ymin"", 0; ""ymax"", 1.01; ""highcolor"", "&amp;"""darkgreen""; ""lowcolor"", ""red""}), """")"),"")</f>
        <v/>
      </c>
      <c r="B27" s="17" t="str">
        <f t="shared" si="4"/>
        <v/>
      </c>
      <c r="C27" s="1" t="s">
        <v>2630</v>
      </c>
      <c r="D27" s="30" t="str">
        <f>IFERROR(__xludf.DUMMYFUNCTION("IFERROR(GOOGLEFINANCE(C27, ""NAME""))"),"Cenovus Energy Incorporation")</f>
        <v>Cenovus Energy Incorporation</v>
      </c>
      <c r="E27" s="30" t="s">
        <v>2631</v>
      </c>
      <c r="F27" s="33" t="str">
        <f>IFERROR(__xludf.DUMMYFUNCTION("( (GOOGLEFINANCE(C27, ""price"") - Q27) / Q27 ) / (R27 / 100)"),"Loading...")</f>
        <v>Loading...</v>
      </c>
      <c r="G27" s="20" t="str">
        <f>IFERROR(__xludf.DUMMYFUNCTION("AVERAGE(ARRAYFORMULA(100 * (QUERY(GOOGLEFINANCE(C27, ""high"", TODAY()-40, TODAY()), ""SELECT Col2 WHERE Col2 IS NOT NULL ORDER BY Col1 DESC LIMIT 20"", 0) / QUERY(GOOGLEFINANCE(C27, ""low"", TODAY()-40, TODAY()), ""SELECT Col2 WHERE Col2 IS NOT NULL ORDE"&amp;"R BY Col1 DESC LIMIT 20"", 0) - 1)))"),"#N/A")</f>
        <v>#N/A</v>
      </c>
      <c r="H27" s="35" t="str">
        <f t="shared" si="6"/>
        <v>Liquid</v>
      </c>
      <c r="I27" s="35" t="str">
        <f t="shared" si="7"/>
        <v>RVol Required</v>
      </c>
      <c r="J27" s="37">
        <f>IFERROR(__xludf.DUMMYFUNCTION("IFERROR(
  IF(C27="""",, 
    IFERROR(
      GOOGLEFINANCE(C27, ""price"") * GOOGLEFINANCE(C27, ""volumeavg""), 
      GOOGLEFINANCE(C27, ""price"") * AVERAGE(QUERY(GOOGLEFINANCE(C27, ""volume"", TODAY()-40, TODAY()), ""SELECT Col2 WHERE Col2 IS NOT NULL "&amp;"ORDER BY Col1 DESC LIMIT 20"", 0))
    )
  ), 
"""")"),2.3719893066E8)</f>
        <v>237198930.7</v>
      </c>
      <c r="K27" s="21">
        <f>IFERROR(__xludf.DUMMYFUNCTION("IFERROR(GOOGLEFINANCE(C27, ""changepct"") / 100, """")"),0.030299999999999997)</f>
        <v>0.0303</v>
      </c>
      <c r="L27" s="21" t="str">
        <f>IFERROR(__xludf.DUMMYFUNCTION("IFERROR((GOOGLEFINANCE(C27, ""price"") / INDEX(GOOGLEFINANCE(C27, ""price"", TODAY()-7, TODAY()), 2, 2)) - 1, """")"),"")</f>
        <v/>
      </c>
      <c r="M27" s="21" t="str">
        <f>IFERROR(__xludf.DUMMYFUNCTION("IFERROR((GOOGLEFINANCE(C27, ""price"") / INDEX(GOOGLEFINANCE(C27, ""price"", EDATE(TODAY(), -1), TODAY()), 2, 2)) - 1, """")"),"")</f>
        <v/>
      </c>
      <c r="N27" s="21" t="str">
        <f>IFERROR(__xludf.DUMMYFUNCTION("IFERROR((GOOGLEFINANCE(C27, ""price"") / INDEX(GOOGLEFINANCE(C27, ""price"", EDATE(TODAY(), -3), TODAY()), 2, 2)) - 1, """")"),"")</f>
        <v/>
      </c>
      <c r="O27" s="21" t="str">
        <f>IFERROR(__xludf.DUMMYFUNCTION("IFERROR((GOOGLEFINANCE(C27, ""price"") / INDEX(GOOGLEFINANCE(C27, ""price"", EDATE(TODAY(), -6), TODAY()), 2, 2)) - 1, """")"),"")</f>
        <v/>
      </c>
      <c r="P27" s="21" t="str">
        <f>IFERROR(__xludf.DUMMYFUNCTION("IFERROR((GOOGLEFINANCE(C27, ""price"") / INDEX(GOOGLEFINANCE(C27, ""price"", EDATE(TODAY(), -12), TODAY()), 2, 2)) - 1, """")"),"")</f>
        <v/>
      </c>
      <c r="Q27" s="6" t="str">
        <f>IFERROR(__xludf.DUMMYFUNCTION("AVERAGE(QUERY(GOOGLEFINANCE(C27, ""price"", TODAY()-80, TODAY()), ""SELECT Col2 WHERE Col2 IS NOT NULL ORDER BY Col1 DESC LIMIT 50"", 0))"),"#N/A")</f>
        <v>#N/A</v>
      </c>
      <c r="R27" s="24" t="str">
        <f>IFERROR(__xludf.DUMMYFUNCTION("IFERROR(
  LET(
    data, QUERY(GOOGLEFINANCE(C27,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GOOGLEFINANCE(C27, ""price"")) * 100,
    IF(calc=0, G27, calc)
  ), 
G27)"),"#N/A")</f>
        <v>#N/A</v>
      </c>
      <c r="S27" s="8" t="s">
        <v>15</v>
      </c>
      <c r="T27" s="26" t="str">
        <f>IFERROR(__xludf.DUMMYFUNCTION("IFERROR(TRANSPOSE(QUERY(IFERROR(SORT(GOOGLEFINANCE(C27, ""price"", WORKDAY(TODAY(), -40), TODAY()), 1, FALSE)), ""select Col2 where Col2 is not null limit 22 label Col2 ''"", 0)), """")"),"")</f>
        <v/>
      </c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8"/>
      <c r="AO27" s="28"/>
      <c r="AP27" s="29"/>
      <c r="AQ27" s="29" t="str">
        <f t="shared" ref="AQ27:BL27" si="30">T27/T$2</f>
        <v>#N/A</v>
      </c>
      <c r="AR27" s="29" t="str">
        <f t="shared" si="30"/>
        <v>#DIV/0!</v>
      </c>
      <c r="AS27" s="29" t="str">
        <f t="shared" si="30"/>
        <v>#DIV/0!</v>
      </c>
      <c r="AT27" s="29" t="str">
        <f t="shared" si="30"/>
        <v>#DIV/0!</v>
      </c>
      <c r="AU27" s="29" t="str">
        <f t="shared" si="30"/>
        <v>#DIV/0!</v>
      </c>
      <c r="AV27" s="29" t="str">
        <f t="shared" si="30"/>
        <v>#DIV/0!</v>
      </c>
      <c r="AW27" s="29" t="str">
        <f t="shared" si="30"/>
        <v>#DIV/0!</v>
      </c>
      <c r="AX27" s="29" t="str">
        <f t="shared" si="30"/>
        <v>#DIV/0!</v>
      </c>
      <c r="AY27" s="29" t="str">
        <f t="shared" si="30"/>
        <v>#DIV/0!</v>
      </c>
      <c r="AZ27" s="29" t="str">
        <f t="shared" si="30"/>
        <v>#DIV/0!</v>
      </c>
      <c r="BA27" s="29" t="str">
        <f t="shared" si="30"/>
        <v>#DIV/0!</v>
      </c>
      <c r="BB27" s="29" t="str">
        <f t="shared" si="30"/>
        <v>#DIV/0!</v>
      </c>
      <c r="BC27" s="29" t="str">
        <f t="shared" si="30"/>
        <v>#DIV/0!</v>
      </c>
      <c r="BD27" s="29" t="str">
        <f t="shared" si="30"/>
        <v>#DIV/0!</v>
      </c>
      <c r="BE27" s="29" t="str">
        <f t="shared" si="30"/>
        <v>#DIV/0!</v>
      </c>
      <c r="BF27" s="29" t="str">
        <f t="shared" si="30"/>
        <v>#DIV/0!</v>
      </c>
      <c r="BG27" s="29" t="str">
        <f t="shared" si="30"/>
        <v>#DIV/0!</v>
      </c>
      <c r="BH27" s="29" t="str">
        <f t="shared" si="30"/>
        <v>#DIV/0!</v>
      </c>
      <c r="BI27" s="29" t="str">
        <f t="shared" si="30"/>
        <v>#DIV/0!</v>
      </c>
      <c r="BJ27" s="29" t="str">
        <f t="shared" si="30"/>
        <v>#DIV/0!</v>
      </c>
      <c r="BK27" s="29" t="str">
        <f t="shared" si="30"/>
        <v>#DIV/0!</v>
      </c>
      <c r="BL27" s="29" t="str">
        <f t="shared" si="30"/>
        <v>#DIV/0!</v>
      </c>
      <c r="BM27" s="29" t="str">
        <f t="shared" si="3"/>
        <v>#DIV/0!</v>
      </c>
    </row>
    <row r="28">
      <c r="A28" s="16" t="str">
        <f>IFERROR(__xludf.DUMMYFUNCTION("IFERROR(SPARKLINE(SORT(MAP(TRANSPOSE(AQ28:BL28), LAMBDA(val, IF(ISNUMBER(val), PERCENTRANK(AQ28:BL28, val)+0.01, 0))), SEQUENCE(COLUMNS(AQ28:BL28)), FALSE), {""charttype"",""column""; ""color"",""chartreuse""; ""ymin"", 0; ""ymax"", 1.01; ""highcolor"", "&amp;"""darkgreen""; ""lowcolor"", ""red""}), """")"),"")</f>
        <v/>
      </c>
      <c r="B28" s="17" t="str">
        <f t="shared" si="4"/>
        <v/>
      </c>
      <c r="C28" s="1" t="s">
        <v>2636</v>
      </c>
      <c r="D28" s="30" t="str">
        <f>IFERROR(__xludf.DUMMYFUNCTION("IFERROR(GOOGLEFINANCE(C28, ""NAME""))"),"SM Energy Co")</f>
        <v>SM Energy Co</v>
      </c>
      <c r="E28" s="30" t="s">
        <v>2613</v>
      </c>
      <c r="F28" s="33" t="str">
        <f>IFERROR(__xludf.DUMMYFUNCTION("( (GOOGLEFINANCE(C28, ""price"") - Q28) / Q28 ) / (R28 / 100)"),"Loading...")</f>
        <v>Loading...</v>
      </c>
      <c r="G28" s="20" t="str">
        <f>IFERROR(__xludf.DUMMYFUNCTION("AVERAGE(ARRAYFORMULA(100 * (QUERY(GOOGLEFINANCE(C28, ""high"", TODAY()-40, TODAY()), ""SELECT Col2 WHERE Col2 IS NOT NULL ORDER BY Col1 DESC LIMIT 20"", 0) / QUERY(GOOGLEFINANCE(C28, ""low"", TODAY()-40, TODAY()), ""SELECT Col2 WHERE Col2 IS NOT NULL ORDE"&amp;"R BY Col1 DESC LIMIT 20"", 0) - 1)))"),"#N/A")</f>
        <v>#N/A</v>
      </c>
      <c r="H28" s="35" t="str">
        <f t="shared" si="6"/>
        <v>Liquid</v>
      </c>
      <c r="I28" s="35" t="str">
        <f t="shared" si="7"/>
        <v>RVol Required</v>
      </c>
      <c r="J28" s="37">
        <f>IFERROR(__xludf.DUMMYFUNCTION("IFERROR(
  IF(C28="""",, 
    IFERROR(
      GOOGLEFINANCE(C28, ""price"") * GOOGLEFINANCE(C28, ""volumeavg""), 
      GOOGLEFINANCE(C28, ""price"") * AVERAGE(QUERY(GOOGLEFINANCE(C28, ""volume"", TODAY()-40, TODAY()), ""SELECT Col2 WHERE Col2 IS NOT NULL "&amp;"ORDER BY Col1 DESC LIMIT 20"", 0))
    )
  ), 
"""")"),1.415960055E8)</f>
        <v>141596005.5</v>
      </c>
      <c r="K28" s="21">
        <f>IFERROR(__xludf.DUMMYFUNCTION("IFERROR(GOOGLEFINANCE(C28, ""changepct"") / 100, """")"),0.0528)</f>
        <v>0.0528</v>
      </c>
      <c r="L28" s="21" t="str">
        <f>IFERROR(__xludf.DUMMYFUNCTION("IFERROR((GOOGLEFINANCE(C28, ""price"") / INDEX(GOOGLEFINANCE(C28, ""price"", TODAY()-7, TODAY()), 2, 2)) - 1, """")"),"")</f>
        <v/>
      </c>
      <c r="M28" s="21" t="str">
        <f>IFERROR(__xludf.DUMMYFUNCTION("IFERROR((GOOGLEFINANCE(C28, ""price"") / INDEX(GOOGLEFINANCE(C28, ""price"", EDATE(TODAY(), -1), TODAY()), 2, 2)) - 1, """")"),"")</f>
        <v/>
      </c>
      <c r="N28" s="21" t="str">
        <f>IFERROR(__xludf.DUMMYFUNCTION("IFERROR((GOOGLEFINANCE(C28, ""price"") / INDEX(GOOGLEFINANCE(C28, ""price"", EDATE(TODAY(), -3), TODAY()), 2, 2)) - 1, """")"),"")</f>
        <v/>
      </c>
      <c r="O28" s="21" t="str">
        <f>IFERROR(__xludf.DUMMYFUNCTION("IFERROR((GOOGLEFINANCE(C28, ""price"") / INDEX(GOOGLEFINANCE(C28, ""price"", EDATE(TODAY(), -6), TODAY()), 2, 2)) - 1, """")"),"")</f>
        <v/>
      </c>
      <c r="P28" s="21" t="str">
        <f>IFERROR(__xludf.DUMMYFUNCTION("IFERROR((GOOGLEFINANCE(C28, ""price"") / INDEX(GOOGLEFINANCE(C28, ""price"", EDATE(TODAY(), -12), TODAY()), 2, 2)) - 1, """")"),"")</f>
        <v/>
      </c>
      <c r="Q28" s="6" t="str">
        <f>IFERROR(__xludf.DUMMYFUNCTION("AVERAGE(QUERY(GOOGLEFINANCE(C28, ""price"", TODAY()-80, TODAY()), ""SELECT Col2 WHERE Col2 IS NOT NULL ORDER BY Col1 DESC LIMIT 50"", 0))"),"#N/A")</f>
        <v>#N/A</v>
      </c>
      <c r="R28" s="24" t="str">
        <f>IFERROR(__xludf.DUMMYFUNCTION("IFERROR(
  LET(
    data, QUERY(GOOGLEFINANCE(C28,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GOOGLEFINANCE(C28, ""price"")) * 100,
    IF(calc=0, G28, calc)
  ), 
G28)"),"#N/A")</f>
        <v>#N/A</v>
      </c>
      <c r="S28" s="8" t="s">
        <v>15</v>
      </c>
      <c r="T28" s="26" t="str">
        <f>IFERROR(__xludf.DUMMYFUNCTION("IFERROR(TRANSPOSE(QUERY(IFERROR(SORT(GOOGLEFINANCE(C28, ""price"", WORKDAY(TODAY(), -40), TODAY()), 1, FALSE)), ""select Col2 where Col2 is not null limit 22 label Col2 ''"", 0)), """")"),"")</f>
        <v/>
      </c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8"/>
      <c r="AO28" s="28"/>
      <c r="AP28" s="29"/>
      <c r="AQ28" s="29" t="str">
        <f t="shared" ref="AQ28:BL28" si="31">T28/T$2</f>
        <v>#N/A</v>
      </c>
      <c r="AR28" s="29" t="str">
        <f t="shared" si="31"/>
        <v>#DIV/0!</v>
      </c>
      <c r="AS28" s="29" t="str">
        <f t="shared" si="31"/>
        <v>#DIV/0!</v>
      </c>
      <c r="AT28" s="29" t="str">
        <f t="shared" si="31"/>
        <v>#DIV/0!</v>
      </c>
      <c r="AU28" s="29" t="str">
        <f t="shared" si="31"/>
        <v>#DIV/0!</v>
      </c>
      <c r="AV28" s="29" t="str">
        <f t="shared" si="31"/>
        <v>#DIV/0!</v>
      </c>
      <c r="AW28" s="29" t="str">
        <f t="shared" si="31"/>
        <v>#DIV/0!</v>
      </c>
      <c r="AX28" s="29" t="str">
        <f t="shared" si="31"/>
        <v>#DIV/0!</v>
      </c>
      <c r="AY28" s="29" t="str">
        <f t="shared" si="31"/>
        <v>#DIV/0!</v>
      </c>
      <c r="AZ28" s="29" t="str">
        <f t="shared" si="31"/>
        <v>#DIV/0!</v>
      </c>
      <c r="BA28" s="29" t="str">
        <f t="shared" si="31"/>
        <v>#DIV/0!</v>
      </c>
      <c r="BB28" s="29" t="str">
        <f t="shared" si="31"/>
        <v>#DIV/0!</v>
      </c>
      <c r="BC28" s="29" t="str">
        <f t="shared" si="31"/>
        <v>#DIV/0!</v>
      </c>
      <c r="BD28" s="29" t="str">
        <f t="shared" si="31"/>
        <v>#DIV/0!</v>
      </c>
      <c r="BE28" s="29" t="str">
        <f t="shared" si="31"/>
        <v>#DIV/0!</v>
      </c>
      <c r="BF28" s="29" t="str">
        <f t="shared" si="31"/>
        <v>#DIV/0!</v>
      </c>
      <c r="BG28" s="29" t="str">
        <f t="shared" si="31"/>
        <v>#DIV/0!</v>
      </c>
      <c r="BH28" s="29" t="str">
        <f t="shared" si="31"/>
        <v>#DIV/0!</v>
      </c>
      <c r="BI28" s="29" t="str">
        <f t="shared" si="31"/>
        <v>#DIV/0!</v>
      </c>
      <c r="BJ28" s="29" t="str">
        <f t="shared" si="31"/>
        <v>#DIV/0!</v>
      </c>
      <c r="BK28" s="29" t="str">
        <f t="shared" si="31"/>
        <v>#DIV/0!</v>
      </c>
      <c r="BL28" s="29" t="str">
        <f t="shared" si="31"/>
        <v>#DIV/0!</v>
      </c>
      <c r="BM28" s="29" t="str">
        <f t="shared" si="3"/>
        <v>#DIV/0!</v>
      </c>
    </row>
    <row r="29">
      <c r="A29" s="16" t="str">
        <f>IFERROR(__xludf.DUMMYFUNCTION("IFERROR(SPARKLINE(SORT(MAP(TRANSPOSE(AQ29:BL29), LAMBDA(val, IF(ISNUMBER(val), PERCENTRANK(AQ29:BL29, val)+0.01, 0))), SEQUENCE(COLUMNS(AQ29:BL29)), FALSE), {""charttype"",""column""; ""color"",""chartreuse""; ""ymin"", 0; ""ymax"", 1.01; ""highcolor"", "&amp;"""darkgreen""; ""lowcolor"", ""red""}), """")"),"")</f>
        <v/>
      </c>
      <c r="B29" s="17" t="str">
        <f t="shared" si="4"/>
        <v/>
      </c>
      <c r="C29" s="1" t="s">
        <v>2640</v>
      </c>
      <c r="D29" s="30" t="str">
        <f>IFERROR(__xludf.DUMMYFUNCTION("IFERROR(GOOGLEFINANCE(C29, ""NAME""))"),"Solaris Energy Infrastructure Inc")</f>
        <v>Solaris Energy Infrastructure Inc</v>
      </c>
      <c r="E29" s="30" t="s">
        <v>2537</v>
      </c>
      <c r="F29" s="33" t="str">
        <f>IFERROR(__xludf.DUMMYFUNCTION("( (GOOGLEFINANCE(C29, ""price"") - Q29) / Q29 ) / (R29 / 100)"),"Loading...")</f>
        <v>Loading...</v>
      </c>
      <c r="G29" s="20" t="str">
        <f>IFERROR(__xludf.DUMMYFUNCTION("AVERAGE(ARRAYFORMULA(100 * (QUERY(GOOGLEFINANCE(C29, ""high"", TODAY()-40, TODAY()), ""SELECT Col2 WHERE Col2 IS NOT NULL ORDER BY Col1 DESC LIMIT 20"", 0) / QUERY(GOOGLEFINANCE(C29, ""low"", TODAY()-40, TODAY()), ""SELECT Col2 WHERE Col2 IS NOT NULL ORDE"&amp;"R BY Col1 DESC LIMIT 20"", 0) - 1)))"),"#N/A")</f>
        <v>#N/A</v>
      </c>
      <c r="H29" s="35" t="str">
        <f t="shared" si="6"/>
        <v>Liquid</v>
      </c>
      <c r="I29" s="35" t="str">
        <f t="shared" si="7"/>
        <v>RVol Required</v>
      </c>
      <c r="J29" s="37">
        <f>IFERROR(__xludf.DUMMYFUNCTION("IFERROR(
  IF(C29="""",, 
    IFERROR(
      GOOGLEFINANCE(C29, ""price"") * GOOGLEFINANCE(C29, ""volumeavg""), 
      GOOGLEFINANCE(C29, ""price"") * AVERAGE(QUERY(GOOGLEFINANCE(C29, ""volume"", TODAY()-40, TODAY()), ""SELECT Col2 WHERE Col2 IS NOT NULL "&amp;"ORDER BY Col1 DESC LIMIT 20"", 0))
    )
  ), 
"""")"),1.8035246674E8)</f>
        <v>180352466.7</v>
      </c>
      <c r="K29" s="21">
        <f>IFERROR(__xludf.DUMMYFUNCTION("IFERROR(GOOGLEFINANCE(C29, ""changepct"") / 100, """")"),-0.0371)</f>
        <v>-0.0371</v>
      </c>
      <c r="L29" s="21" t="str">
        <f>IFERROR(__xludf.DUMMYFUNCTION("IFERROR((GOOGLEFINANCE(C29, ""price"") / INDEX(GOOGLEFINANCE(C29, ""price"", TODAY()-7, TODAY()), 2, 2)) - 1, """")"),"")</f>
        <v/>
      </c>
      <c r="M29" s="21" t="str">
        <f>IFERROR(__xludf.DUMMYFUNCTION("IFERROR((GOOGLEFINANCE(C29, ""price"") / INDEX(GOOGLEFINANCE(C29, ""price"", EDATE(TODAY(), -1), TODAY()), 2, 2)) - 1, """")"),"")</f>
        <v/>
      </c>
      <c r="N29" s="21" t="str">
        <f>IFERROR(__xludf.DUMMYFUNCTION("IFERROR((GOOGLEFINANCE(C29, ""price"") / INDEX(GOOGLEFINANCE(C29, ""price"", EDATE(TODAY(), -3), TODAY()), 2, 2)) - 1, """")"),"")</f>
        <v/>
      </c>
      <c r="O29" s="21" t="str">
        <f>IFERROR(__xludf.DUMMYFUNCTION("IFERROR((GOOGLEFINANCE(C29, ""price"") / INDEX(GOOGLEFINANCE(C29, ""price"", EDATE(TODAY(), -6), TODAY()), 2, 2)) - 1, """")"),"")</f>
        <v/>
      </c>
      <c r="P29" s="21" t="str">
        <f>IFERROR(__xludf.DUMMYFUNCTION("IFERROR((GOOGLEFINANCE(C29, ""price"") / INDEX(GOOGLEFINANCE(C29, ""price"", EDATE(TODAY(), -12), TODAY()), 2, 2)) - 1, """")"),"")</f>
        <v/>
      </c>
      <c r="Q29" s="6" t="str">
        <f>IFERROR(__xludf.DUMMYFUNCTION("AVERAGE(QUERY(GOOGLEFINANCE(C29, ""price"", TODAY()-80, TODAY()), ""SELECT Col2 WHERE Col2 IS NOT NULL ORDER BY Col1 DESC LIMIT 50"", 0))"),"#N/A")</f>
        <v>#N/A</v>
      </c>
      <c r="R29" s="24" t="str">
        <f>IFERROR(__xludf.DUMMYFUNCTION("IFERROR(
  LET(
    data, QUERY(GOOGLEFINANCE(C29,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GOOGLEFINANCE(C29, ""price"")) * 100,
    IF(calc=0, G29, calc)
  ), 
G29)"),"#N/A")</f>
        <v>#N/A</v>
      </c>
      <c r="S29" s="8" t="s">
        <v>15</v>
      </c>
      <c r="T29" s="26" t="str">
        <f>IFERROR(__xludf.DUMMYFUNCTION("IFERROR(TRANSPOSE(QUERY(IFERROR(SORT(GOOGLEFINANCE(C29, ""price"", WORKDAY(TODAY(), -40), TODAY()), 1, FALSE)), ""select Col2 where Col2 is not null limit 22 label Col2 ''"", 0)), """")"),"")</f>
        <v/>
      </c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8"/>
      <c r="AO29" s="28"/>
      <c r="AP29" s="29"/>
      <c r="AQ29" s="29" t="str">
        <f t="shared" ref="AQ29:BL29" si="32">T29/T$2</f>
        <v>#N/A</v>
      </c>
      <c r="AR29" s="29" t="str">
        <f t="shared" si="32"/>
        <v>#DIV/0!</v>
      </c>
      <c r="AS29" s="29" t="str">
        <f t="shared" si="32"/>
        <v>#DIV/0!</v>
      </c>
      <c r="AT29" s="29" t="str">
        <f t="shared" si="32"/>
        <v>#DIV/0!</v>
      </c>
      <c r="AU29" s="29" t="str">
        <f t="shared" si="32"/>
        <v>#DIV/0!</v>
      </c>
      <c r="AV29" s="29" t="str">
        <f t="shared" si="32"/>
        <v>#DIV/0!</v>
      </c>
      <c r="AW29" s="29" t="str">
        <f t="shared" si="32"/>
        <v>#DIV/0!</v>
      </c>
      <c r="AX29" s="29" t="str">
        <f t="shared" si="32"/>
        <v>#DIV/0!</v>
      </c>
      <c r="AY29" s="29" t="str">
        <f t="shared" si="32"/>
        <v>#DIV/0!</v>
      </c>
      <c r="AZ29" s="29" t="str">
        <f t="shared" si="32"/>
        <v>#DIV/0!</v>
      </c>
      <c r="BA29" s="29" t="str">
        <f t="shared" si="32"/>
        <v>#DIV/0!</v>
      </c>
      <c r="BB29" s="29" t="str">
        <f t="shared" si="32"/>
        <v>#DIV/0!</v>
      </c>
      <c r="BC29" s="29" t="str">
        <f t="shared" si="32"/>
        <v>#DIV/0!</v>
      </c>
      <c r="BD29" s="29" t="str">
        <f t="shared" si="32"/>
        <v>#DIV/0!</v>
      </c>
      <c r="BE29" s="29" t="str">
        <f t="shared" si="32"/>
        <v>#DIV/0!</v>
      </c>
      <c r="BF29" s="29" t="str">
        <f t="shared" si="32"/>
        <v>#DIV/0!</v>
      </c>
      <c r="BG29" s="29" t="str">
        <f t="shared" si="32"/>
        <v>#DIV/0!</v>
      </c>
      <c r="BH29" s="29" t="str">
        <f t="shared" si="32"/>
        <v>#DIV/0!</v>
      </c>
      <c r="BI29" s="29" t="str">
        <f t="shared" si="32"/>
        <v>#DIV/0!</v>
      </c>
      <c r="BJ29" s="29" t="str">
        <f t="shared" si="32"/>
        <v>#DIV/0!</v>
      </c>
      <c r="BK29" s="29" t="str">
        <f t="shared" si="32"/>
        <v>#DIV/0!</v>
      </c>
      <c r="BL29" s="29" t="str">
        <f t="shared" si="32"/>
        <v>#DIV/0!</v>
      </c>
      <c r="BM29" s="29" t="str">
        <f t="shared" si="3"/>
        <v>#DIV/0!</v>
      </c>
    </row>
    <row r="30" hidden="1">
      <c r="A30" s="16" t="str">
        <f>IFERROR(__xludf.DUMMYFUNCTION("IFERROR(SPARKLINE(SORT(MAP(TRANSPOSE(AQ30:BL30), LAMBDA(val, IF(ISNUMBER(val), PERCENTRANK(AQ30:BL30, val)+0.01, 0))), SEQUENCE(COLUMNS(AQ30:BL30)), FALSE), {""charttype"",""column""; ""color"",""chartreuse""; ""ymin"", 0; ""ymax"", 1.01; ""highcolor"", "&amp;"""darkgreen""; ""lowcolor"", ""red""}), """")"),"")</f>
        <v/>
      </c>
      <c r="B30" s="17" t="str">
        <f t="shared" si="4"/>
        <v/>
      </c>
      <c r="C30" s="1" t="s">
        <v>2643</v>
      </c>
      <c r="D30" s="30" t="str">
        <f>IFERROR(__xludf.DUMMYFUNCTION("IFERROR(GOOGLEFINANCE(C30, ""NAME""))"),"International Seaways Inc")</f>
        <v>International Seaways Inc</v>
      </c>
      <c r="E30" s="30" t="s">
        <v>2547</v>
      </c>
      <c r="F30" s="33" t="str">
        <f>IFERROR(__xludf.DUMMYFUNCTION("( (GOOGLEFINANCE(C30, ""price"") - Q30) / Q30 ) / (R30 / 100)"),"Loading...")</f>
        <v>Loading...</v>
      </c>
      <c r="G30" s="20" t="str">
        <f>IFERROR(__xludf.DUMMYFUNCTION("AVERAGE(ARRAYFORMULA(100 * (QUERY(GOOGLEFINANCE(C30, ""high"", TODAY()-40, TODAY()), ""SELECT Col2 WHERE Col2 IS NOT NULL ORDER BY Col1 DESC LIMIT 20"", 0) / QUERY(GOOGLEFINANCE(C30, ""low"", TODAY()-40, TODAY()), ""SELECT Col2 WHERE Col2 IS NOT NULL ORDE"&amp;"R BY Col1 DESC LIMIT 20"", 0) - 1)))"),"#N/A")</f>
        <v>#N/A</v>
      </c>
      <c r="H30" s="35" t="str">
        <f t="shared" si="6"/>
        <v>Liquid</v>
      </c>
      <c r="I30" s="35" t="str">
        <f t="shared" si="7"/>
        <v>RVol Required</v>
      </c>
      <c r="J30" s="37">
        <f>IFERROR(__xludf.DUMMYFUNCTION("IFERROR(
  IF(C30="""",, 
    IFERROR(
      GOOGLEFINANCE(C30, ""price"") * GOOGLEFINANCE(C30, ""volumeavg""), 
      GOOGLEFINANCE(C30, ""price"") * AVERAGE(QUERY(GOOGLEFINANCE(C30, ""volume"", TODAY()-40, TODAY()), ""SELECT Col2 WHERE Col2 IS NOT NULL "&amp;"ORDER BY Col1 DESC LIMIT 20"", 0))
    )
  ), 
"""")"),8.793436524E7)</f>
        <v>87934365.24</v>
      </c>
      <c r="K30" s="21">
        <f>IFERROR(__xludf.DUMMYFUNCTION("IFERROR(GOOGLEFINANCE(C30, ""changepct"") / 100, """")"),-0.0276)</f>
        <v>-0.0276</v>
      </c>
      <c r="L30" s="21" t="str">
        <f>IFERROR(__xludf.DUMMYFUNCTION("IFERROR((GOOGLEFINANCE(C30, ""price"") / INDEX(GOOGLEFINANCE(C30, ""price"", TODAY()-7, TODAY()), 2, 2)) - 1, """")"),"")</f>
        <v/>
      </c>
      <c r="M30" s="21" t="str">
        <f>IFERROR(__xludf.DUMMYFUNCTION("IFERROR((GOOGLEFINANCE(C30, ""price"") / INDEX(GOOGLEFINANCE(C30, ""price"", EDATE(TODAY(), -1), TODAY()), 2, 2)) - 1, """")"),"")</f>
        <v/>
      </c>
      <c r="N30" s="21" t="str">
        <f>IFERROR(__xludf.DUMMYFUNCTION("IFERROR((GOOGLEFINANCE(C30, ""price"") / INDEX(GOOGLEFINANCE(C30, ""price"", EDATE(TODAY(), -3), TODAY()), 2, 2)) - 1, """")"),"")</f>
        <v/>
      </c>
      <c r="O30" s="21" t="str">
        <f>IFERROR(__xludf.DUMMYFUNCTION("IFERROR((GOOGLEFINANCE(C30, ""price"") / INDEX(GOOGLEFINANCE(C30, ""price"", EDATE(TODAY(), -6), TODAY()), 2, 2)) - 1, """")"),"")</f>
        <v/>
      </c>
      <c r="P30" s="21" t="str">
        <f>IFERROR(__xludf.DUMMYFUNCTION("IFERROR((GOOGLEFINANCE(C30, ""price"") / INDEX(GOOGLEFINANCE(C30, ""price"", EDATE(TODAY(), -12), TODAY()), 2, 2)) - 1, """")"),"")</f>
        <v/>
      </c>
      <c r="Q30" s="6" t="str">
        <f>IFERROR(__xludf.DUMMYFUNCTION("AVERAGE(QUERY(GOOGLEFINANCE(C30, ""price"", TODAY()-80, TODAY()), ""SELECT Col2 WHERE Col2 IS NOT NULL ORDER BY Col1 DESC LIMIT 50"", 0))"),"#N/A")</f>
        <v>#N/A</v>
      </c>
      <c r="R30" s="24" t="str">
        <f>IFERROR(__xludf.DUMMYFUNCTION("IFERROR(
  LET(
    data, QUERY(GOOGLEFINANCE(C30,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GOOGLEFINANCE(C30, ""price"")) * 100,
    IF(calc=0, G30, calc)
  ), 
G30)"),"#N/A")</f>
        <v>#N/A</v>
      </c>
      <c r="S30" s="8" t="s">
        <v>15</v>
      </c>
      <c r="T30" s="26" t="str">
        <f>IFERROR(__xludf.DUMMYFUNCTION("IFERROR(TRANSPOSE(QUERY(IFERROR(SORT(GOOGLEFINANCE(C30, ""price"", WORKDAY(TODAY(), -40), TODAY()), 1, FALSE)), ""select Col2 where Col2 is not null limit 22 label Col2 ''"", 0)), """")"),"")</f>
        <v/>
      </c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8"/>
      <c r="AO30" s="28"/>
      <c r="AP30" s="29"/>
      <c r="AQ30" s="29" t="str">
        <f t="shared" ref="AQ30:BL30" si="33">T30/T$2</f>
        <v>#N/A</v>
      </c>
      <c r="AR30" s="29" t="str">
        <f t="shared" si="33"/>
        <v>#DIV/0!</v>
      </c>
      <c r="AS30" s="29" t="str">
        <f t="shared" si="33"/>
        <v>#DIV/0!</v>
      </c>
      <c r="AT30" s="29" t="str">
        <f t="shared" si="33"/>
        <v>#DIV/0!</v>
      </c>
      <c r="AU30" s="29" t="str">
        <f t="shared" si="33"/>
        <v>#DIV/0!</v>
      </c>
      <c r="AV30" s="29" t="str">
        <f t="shared" si="33"/>
        <v>#DIV/0!</v>
      </c>
      <c r="AW30" s="29" t="str">
        <f t="shared" si="33"/>
        <v>#DIV/0!</v>
      </c>
      <c r="AX30" s="29" t="str">
        <f t="shared" si="33"/>
        <v>#DIV/0!</v>
      </c>
      <c r="AY30" s="29" t="str">
        <f t="shared" si="33"/>
        <v>#DIV/0!</v>
      </c>
      <c r="AZ30" s="29" t="str">
        <f t="shared" si="33"/>
        <v>#DIV/0!</v>
      </c>
      <c r="BA30" s="29" t="str">
        <f t="shared" si="33"/>
        <v>#DIV/0!</v>
      </c>
      <c r="BB30" s="29" t="str">
        <f t="shared" si="33"/>
        <v>#DIV/0!</v>
      </c>
      <c r="BC30" s="29" t="str">
        <f t="shared" si="33"/>
        <v>#DIV/0!</v>
      </c>
      <c r="BD30" s="29" t="str">
        <f t="shared" si="33"/>
        <v>#DIV/0!</v>
      </c>
      <c r="BE30" s="29" t="str">
        <f t="shared" si="33"/>
        <v>#DIV/0!</v>
      </c>
      <c r="BF30" s="29" t="str">
        <f t="shared" si="33"/>
        <v>#DIV/0!</v>
      </c>
      <c r="BG30" s="29" t="str">
        <f t="shared" si="33"/>
        <v>#DIV/0!</v>
      </c>
      <c r="BH30" s="29" t="str">
        <f t="shared" si="33"/>
        <v>#DIV/0!</v>
      </c>
      <c r="BI30" s="29" t="str">
        <f t="shared" si="33"/>
        <v>#DIV/0!</v>
      </c>
      <c r="BJ30" s="29" t="str">
        <f t="shared" si="33"/>
        <v>#DIV/0!</v>
      </c>
      <c r="BK30" s="29" t="str">
        <f t="shared" si="33"/>
        <v>#DIV/0!</v>
      </c>
      <c r="BL30" s="29" t="str">
        <f t="shared" si="33"/>
        <v>#DIV/0!</v>
      </c>
      <c r="BM30" s="29" t="str">
        <f t="shared" si="3"/>
        <v>#DIV/0!</v>
      </c>
    </row>
    <row r="31" hidden="1">
      <c r="A31" s="16" t="str">
        <f>IFERROR(__xludf.DUMMYFUNCTION("IFERROR(SPARKLINE(SORT(MAP(TRANSPOSE(AQ31:BL31), LAMBDA(val, IF(ISNUMBER(val), PERCENTRANK(AQ31:BL31, val)+0.01, 0))), SEQUENCE(COLUMNS(AQ31:BL31)), FALSE), {""charttype"",""column""; ""color"",""chartreuse""; ""ymin"", 0; ""ymax"", 1.01; ""highcolor"", "&amp;"""darkgreen""; ""lowcolor"", ""red""}), """")"),"")</f>
        <v/>
      </c>
      <c r="B31" s="17" t="str">
        <f t="shared" si="4"/>
        <v/>
      </c>
      <c r="C31" s="1" t="s">
        <v>2645</v>
      </c>
      <c r="D31" s="30" t="str">
        <f>IFERROR(__xludf.DUMMYFUNCTION("IFERROR(GOOGLEFINANCE(C31, ""NAME""))"),"GeoPark Ltd")</f>
        <v>GeoPark Ltd</v>
      </c>
      <c r="E31" s="30" t="s">
        <v>2613</v>
      </c>
      <c r="F31" s="33" t="str">
        <f>IFERROR(__xludf.DUMMYFUNCTION("( (GOOGLEFINANCE(C31, ""price"") - Q31) / Q31 ) / (R31 / 100)"),"Loading...")</f>
        <v>Loading...</v>
      </c>
      <c r="G31" s="20" t="str">
        <f>IFERROR(__xludf.DUMMYFUNCTION("AVERAGE(ARRAYFORMULA(100 * (QUERY(GOOGLEFINANCE(C31, ""high"", TODAY()-40, TODAY()), ""SELECT Col2 WHERE Col2 IS NOT NULL ORDER BY Col1 DESC LIMIT 20"", 0) / QUERY(GOOGLEFINANCE(C31, ""low"", TODAY()-40, TODAY()), ""SELECT Col2 WHERE Col2 IS NOT NULL ORDE"&amp;"R BY Col1 DESC LIMIT 20"", 0) - 1)))"),"#N/A")</f>
        <v>#N/A</v>
      </c>
      <c r="H31" s="35" t="str">
        <f t="shared" si="6"/>
        <v>Illiquid</v>
      </c>
      <c r="I31" s="35" t="str">
        <f t="shared" si="7"/>
        <v>RVol Required</v>
      </c>
      <c r="J31" s="37">
        <f>IFERROR(__xludf.DUMMYFUNCTION("IFERROR(
  IF(C31="""",, 
    IFERROR(
      GOOGLEFINANCE(C31, ""price"") * GOOGLEFINANCE(C31, ""volumeavg""), 
      GOOGLEFINANCE(C31, ""price"") * AVERAGE(QUERY(GOOGLEFINANCE(C31, ""volume"", TODAY()-40, TODAY()), ""SELECT Col2 WHERE Col2 IS NOT NULL "&amp;"ORDER BY Col1 DESC LIMIT 20"", 0))
    )
  ), 
"""")"),1.2446054879999999E7)</f>
        <v>12446054.88</v>
      </c>
      <c r="K31" s="21">
        <f>IFERROR(__xludf.DUMMYFUNCTION("IFERROR(GOOGLEFINANCE(C31, ""changepct"") / 100, """")"),0.0199)</f>
        <v>0.0199</v>
      </c>
      <c r="L31" s="21" t="str">
        <f>IFERROR(__xludf.DUMMYFUNCTION("IFERROR((GOOGLEFINANCE(C31, ""price"") / INDEX(GOOGLEFINANCE(C31, ""price"", TODAY()-7, TODAY()), 2, 2)) - 1, """")"),"")</f>
        <v/>
      </c>
      <c r="M31" s="21" t="str">
        <f>IFERROR(__xludf.DUMMYFUNCTION("IFERROR((GOOGLEFINANCE(C31, ""price"") / INDEX(GOOGLEFINANCE(C31, ""price"", EDATE(TODAY(), -1), TODAY()), 2, 2)) - 1, """")"),"")</f>
        <v/>
      </c>
      <c r="N31" s="21" t="str">
        <f>IFERROR(__xludf.DUMMYFUNCTION("IFERROR((GOOGLEFINANCE(C31, ""price"") / INDEX(GOOGLEFINANCE(C31, ""price"", EDATE(TODAY(), -3), TODAY()), 2, 2)) - 1, """")"),"")</f>
        <v/>
      </c>
      <c r="O31" s="21" t="str">
        <f>IFERROR(__xludf.DUMMYFUNCTION("IFERROR((GOOGLEFINANCE(C31, ""price"") / INDEX(GOOGLEFINANCE(C31, ""price"", EDATE(TODAY(), -6), TODAY()), 2, 2)) - 1, """")"),"")</f>
        <v/>
      </c>
      <c r="P31" s="21" t="str">
        <f>IFERROR(__xludf.DUMMYFUNCTION("IFERROR((GOOGLEFINANCE(C31, ""price"") / INDEX(GOOGLEFINANCE(C31, ""price"", EDATE(TODAY(), -12), TODAY()), 2, 2)) - 1, """")"),"")</f>
        <v/>
      </c>
      <c r="Q31" s="6" t="str">
        <f>IFERROR(__xludf.DUMMYFUNCTION("AVERAGE(QUERY(GOOGLEFINANCE(C31, ""price"", TODAY()-80, TODAY()), ""SELECT Col2 WHERE Col2 IS NOT NULL ORDER BY Col1 DESC LIMIT 50"", 0))"),"#N/A")</f>
        <v>#N/A</v>
      </c>
      <c r="R31" s="24" t="str">
        <f>IFERROR(__xludf.DUMMYFUNCTION("IFERROR(
  LET(
    data, QUERY(GOOGLEFINANCE(C31,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GOOGLEFINANCE(C31, ""price"")) * 100,
    IF(calc=0, G31, calc)
  ), 
G31)"),"#N/A")</f>
        <v>#N/A</v>
      </c>
      <c r="S31" s="8" t="s">
        <v>15</v>
      </c>
      <c r="T31" s="26" t="str">
        <f>IFERROR(__xludf.DUMMYFUNCTION("IFERROR(TRANSPOSE(QUERY(IFERROR(SORT(GOOGLEFINANCE(C31, ""price"", WORKDAY(TODAY(), -40), TODAY()), 1, FALSE)), ""select Col2 where Col2 is not null limit 22 label Col2 ''"", 0)), """")"),"")</f>
        <v/>
      </c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8"/>
      <c r="AO31" s="28"/>
      <c r="AP31" s="29"/>
      <c r="AQ31" s="29" t="str">
        <f t="shared" ref="AQ31:BL31" si="34">T31/T$2</f>
        <v>#N/A</v>
      </c>
      <c r="AR31" s="29" t="str">
        <f t="shared" si="34"/>
        <v>#DIV/0!</v>
      </c>
      <c r="AS31" s="29" t="str">
        <f t="shared" si="34"/>
        <v>#DIV/0!</v>
      </c>
      <c r="AT31" s="29" t="str">
        <f t="shared" si="34"/>
        <v>#DIV/0!</v>
      </c>
      <c r="AU31" s="29" t="str">
        <f t="shared" si="34"/>
        <v>#DIV/0!</v>
      </c>
      <c r="AV31" s="29" t="str">
        <f t="shared" si="34"/>
        <v>#DIV/0!</v>
      </c>
      <c r="AW31" s="29" t="str">
        <f t="shared" si="34"/>
        <v>#DIV/0!</v>
      </c>
      <c r="AX31" s="29" t="str">
        <f t="shared" si="34"/>
        <v>#DIV/0!</v>
      </c>
      <c r="AY31" s="29" t="str">
        <f t="shared" si="34"/>
        <v>#DIV/0!</v>
      </c>
      <c r="AZ31" s="29" t="str">
        <f t="shared" si="34"/>
        <v>#DIV/0!</v>
      </c>
      <c r="BA31" s="29" t="str">
        <f t="shared" si="34"/>
        <v>#DIV/0!</v>
      </c>
      <c r="BB31" s="29" t="str">
        <f t="shared" si="34"/>
        <v>#DIV/0!</v>
      </c>
      <c r="BC31" s="29" t="str">
        <f t="shared" si="34"/>
        <v>#DIV/0!</v>
      </c>
      <c r="BD31" s="29" t="str">
        <f t="shared" si="34"/>
        <v>#DIV/0!</v>
      </c>
      <c r="BE31" s="29" t="str">
        <f t="shared" si="34"/>
        <v>#DIV/0!</v>
      </c>
      <c r="BF31" s="29" t="str">
        <f t="shared" si="34"/>
        <v>#DIV/0!</v>
      </c>
      <c r="BG31" s="29" t="str">
        <f t="shared" si="34"/>
        <v>#DIV/0!</v>
      </c>
      <c r="BH31" s="29" t="str">
        <f t="shared" si="34"/>
        <v>#DIV/0!</v>
      </c>
      <c r="BI31" s="29" t="str">
        <f t="shared" si="34"/>
        <v>#DIV/0!</v>
      </c>
      <c r="BJ31" s="29" t="str">
        <f t="shared" si="34"/>
        <v>#DIV/0!</v>
      </c>
      <c r="BK31" s="29" t="str">
        <f t="shared" si="34"/>
        <v>#DIV/0!</v>
      </c>
      <c r="BL31" s="29" t="str">
        <f t="shared" si="34"/>
        <v>#DIV/0!</v>
      </c>
      <c r="BM31" s="29" t="str">
        <f t="shared" si="3"/>
        <v>#DIV/0!</v>
      </c>
    </row>
    <row r="32" hidden="1">
      <c r="A32" s="16" t="str">
        <f>IFERROR(__xludf.DUMMYFUNCTION("IFERROR(SPARKLINE(SORT(MAP(TRANSPOSE(AQ32:BL32), LAMBDA(val, IF(ISNUMBER(val), PERCENTRANK(AQ32:BL32, val)+0.01, 0))), SEQUENCE(COLUMNS(AQ32:BL32)), FALSE), {""charttype"",""column""; ""color"",""chartreuse""; ""ymin"", 0; ""ymax"", 1.01; ""highcolor"", "&amp;"""darkgreen""; ""lowcolor"", ""red""}), """")"),"")</f>
        <v/>
      </c>
      <c r="B32" s="17" t="str">
        <f t="shared" si="4"/>
        <v/>
      </c>
      <c r="C32" s="1" t="s">
        <v>2648</v>
      </c>
      <c r="D32" s="30" t="str">
        <f>IFERROR(__xludf.DUMMYFUNCTION("IFERROR(GOOGLEFINANCE(C32, ""NAME""))"),"Crossamerica Partners LP")</f>
        <v>Crossamerica Partners LP</v>
      </c>
      <c r="E32" s="30" t="s">
        <v>2649</v>
      </c>
      <c r="F32" s="33" t="str">
        <f>IFERROR(__xludf.DUMMYFUNCTION("( (GOOGLEFINANCE(C32, ""price"") - Q32) / Q32 ) / (R32 / 100)"),"Loading...")</f>
        <v>Loading...</v>
      </c>
      <c r="G32" s="20" t="str">
        <f>IFERROR(__xludf.DUMMYFUNCTION("AVERAGE(ARRAYFORMULA(100 * (QUERY(GOOGLEFINANCE(C32, ""high"", TODAY()-40, TODAY()), ""SELECT Col2 WHERE Col2 IS NOT NULL ORDER BY Col1 DESC LIMIT 20"", 0) / QUERY(GOOGLEFINANCE(C32, ""low"", TODAY()-40, TODAY()), ""SELECT Col2 WHERE Col2 IS NOT NULL ORDE"&amp;"R BY Col1 DESC LIMIT 20"", 0) - 1)))"),"#N/A")</f>
        <v>#N/A</v>
      </c>
      <c r="H32" s="35" t="str">
        <f t="shared" si="6"/>
        <v>Illiquid</v>
      </c>
      <c r="I32" s="35" t="str">
        <f t="shared" si="7"/>
        <v>RVol Required</v>
      </c>
      <c r="J32" s="37">
        <f>IFERROR(__xludf.DUMMYFUNCTION("IFERROR(
  IF(C32="""",, 
    IFERROR(
      GOOGLEFINANCE(C32, ""price"") * GOOGLEFINANCE(C32, ""volumeavg""), 
      GOOGLEFINANCE(C32, ""price"") * AVERAGE(QUERY(GOOGLEFINANCE(C32, ""volume"", TODAY()-40, TODAY()), ""SELECT Col2 WHERE Col2 IS NOT NULL "&amp;"ORDER BY Col1 DESC LIMIT 20"", 0))
    )
  ), 
"""")"),597327.36)</f>
        <v>597327.36</v>
      </c>
      <c r="K32" s="21">
        <f>IFERROR(__xludf.DUMMYFUNCTION("IFERROR(GOOGLEFINANCE(C32, ""changepct"") / 100, """")"),0.0131)</f>
        <v>0.0131</v>
      </c>
      <c r="L32" s="21" t="str">
        <f>IFERROR(__xludf.DUMMYFUNCTION("IFERROR((GOOGLEFINANCE(C32, ""price"") / INDEX(GOOGLEFINANCE(C32, ""price"", TODAY()-7, TODAY()), 2, 2)) - 1, """")"),"")</f>
        <v/>
      </c>
      <c r="M32" s="21" t="str">
        <f>IFERROR(__xludf.DUMMYFUNCTION("IFERROR((GOOGLEFINANCE(C32, ""price"") / INDEX(GOOGLEFINANCE(C32, ""price"", EDATE(TODAY(), -1), TODAY()), 2, 2)) - 1, """")"),"")</f>
        <v/>
      </c>
      <c r="N32" s="21" t="str">
        <f>IFERROR(__xludf.DUMMYFUNCTION("IFERROR((GOOGLEFINANCE(C32, ""price"") / INDEX(GOOGLEFINANCE(C32, ""price"", EDATE(TODAY(), -3), TODAY()), 2, 2)) - 1, """")"),"")</f>
        <v/>
      </c>
      <c r="O32" s="21" t="str">
        <f>IFERROR(__xludf.DUMMYFUNCTION("IFERROR((GOOGLEFINANCE(C32, ""price"") / INDEX(GOOGLEFINANCE(C32, ""price"", EDATE(TODAY(), -6), TODAY()), 2, 2)) - 1, """")"),"")</f>
        <v/>
      </c>
      <c r="P32" s="21" t="str">
        <f>IFERROR(__xludf.DUMMYFUNCTION("IFERROR((GOOGLEFINANCE(C32, ""price"") / INDEX(GOOGLEFINANCE(C32, ""price"", EDATE(TODAY(), -12), TODAY()), 2, 2)) - 1, """")"),"")</f>
        <v/>
      </c>
      <c r="Q32" s="6" t="str">
        <f>IFERROR(__xludf.DUMMYFUNCTION("AVERAGE(QUERY(GOOGLEFINANCE(C32, ""price"", TODAY()-80, TODAY()), ""SELECT Col2 WHERE Col2 IS NOT NULL ORDER BY Col1 DESC LIMIT 50"", 0))"),"#N/A")</f>
        <v>#N/A</v>
      </c>
      <c r="R32" s="24" t="str">
        <f>IFERROR(__xludf.DUMMYFUNCTION("IFERROR(
  LET(
    data, QUERY(GOOGLEFINANCE(C32,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GOOGLEFINANCE(C32, ""price"")) * 100,
    IF(calc=0, G32, calc)
  ), 
G32)"),"#N/A")</f>
        <v>#N/A</v>
      </c>
      <c r="S32" s="8" t="s">
        <v>15</v>
      </c>
      <c r="T32" s="26" t="str">
        <f>IFERROR(__xludf.DUMMYFUNCTION("IFERROR(TRANSPOSE(QUERY(IFERROR(SORT(GOOGLEFINANCE(C32, ""price"", WORKDAY(TODAY(), -40), TODAY()), 1, FALSE)), ""select Col2 where Col2 is not null limit 22 label Col2 ''"", 0)), """")"),"")</f>
        <v/>
      </c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8"/>
      <c r="AO32" s="28"/>
      <c r="AP32" s="29"/>
      <c r="AQ32" s="29" t="str">
        <f t="shared" ref="AQ32:BL32" si="35">T32/T$2</f>
        <v>#N/A</v>
      </c>
      <c r="AR32" s="29" t="str">
        <f t="shared" si="35"/>
        <v>#DIV/0!</v>
      </c>
      <c r="AS32" s="29" t="str">
        <f t="shared" si="35"/>
        <v>#DIV/0!</v>
      </c>
      <c r="AT32" s="29" t="str">
        <f t="shared" si="35"/>
        <v>#DIV/0!</v>
      </c>
      <c r="AU32" s="29" t="str">
        <f t="shared" si="35"/>
        <v>#DIV/0!</v>
      </c>
      <c r="AV32" s="29" t="str">
        <f t="shared" si="35"/>
        <v>#DIV/0!</v>
      </c>
      <c r="AW32" s="29" t="str">
        <f t="shared" si="35"/>
        <v>#DIV/0!</v>
      </c>
      <c r="AX32" s="29" t="str">
        <f t="shared" si="35"/>
        <v>#DIV/0!</v>
      </c>
      <c r="AY32" s="29" t="str">
        <f t="shared" si="35"/>
        <v>#DIV/0!</v>
      </c>
      <c r="AZ32" s="29" t="str">
        <f t="shared" si="35"/>
        <v>#DIV/0!</v>
      </c>
      <c r="BA32" s="29" t="str">
        <f t="shared" si="35"/>
        <v>#DIV/0!</v>
      </c>
      <c r="BB32" s="29" t="str">
        <f t="shared" si="35"/>
        <v>#DIV/0!</v>
      </c>
      <c r="BC32" s="29" t="str">
        <f t="shared" si="35"/>
        <v>#DIV/0!</v>
      </c>
      <c r="BD32" s="29" t="str">
        <f t="shared" si="35"/>
        <v>#DIV/0!</v>
      </c>
      <c r="BE32" s="29" t="str">
        <f t="shared" si="35"/>
        <v>#DIV/0!</v>
      </c>
      <c r="BF32" s="29" t="str">
        <f t="shared" si="35"/>
        <v>#DIV/0!</v>
      </c>
      <c r="BG32" s="29" t="str">
        <f t="shared" si="35"/>
        <v>#DIV/0!</v>
      </c>
      <c r="BH32" s="29" t="str">
        <f t="shared" si="35"/>
        <v>#DIV/0!</v>
      </c>
      <c r="BI32" s="29" t="str">
        <f t="shared" si="35"/>
        <v>#DIV/0!</v>
      </c>
      <c r="BJ32" s="29" t="str">
        <f t="shared" si="35"/>
        <v>#DIV/0!</v>
      </c>
      <c r="BK32" s="29" t="str">
        <f t="shared" si="35"/>
        <v>#DIV/0!</v>
      </c>
      <c r="BL32" s="29" t="str">
        <f t="shared" si="35"/>
        <v>#DIV/0!</v>
      </c>
      <c r="BM32" s="29" t="str">
        <f t="shared" si="3"/>
        <v>#DIV/0!</v>
      </c>
    </row>
    <row r="33">
      <c r="A33" s="16" t="str">
        <f>IFERROR(__xludf.DUMMYFUNCTION("IFERROR(SPARKLINE(SORT(MAP(TRANSPOSE(AQ33:BL33), LAMBDA(val, IF(ISNUMBER(val), PERCENTRANK(AQ33:BL33, val)+0.01, 0))), SEQUENCE(COLUMNS(AQ33:BL33)), FALSE), {""charttype"",""column""; ""color"",""chartreuse""; ""ymin"", 0; ""ymax"", 1.01; ""highcolor"", "&amp;"""darkgreen""; ""lowcolor"", ""red""}), """")"),"")</f>
        <v/>
      </c>
      <c r="B33" s="17" t="str">
        <f t="shared" si="4"/>
        <v/>
      </c>
      <c r="C33" s="1" t="s">
        <v>2653</v>
      </c>
      <c r="D33" s="30" t="str">
        <f>IFERROR(__xludf.DUMMYFUNCTION("IFERROR(GOOGLEFINANCE(C33, ""NAME""))"),"Phillips 66")</f>
        <v>Phillips 66</v>
      </c>
      <c r="E33" s="30" t="s">
        <v>2649</v>
      </c>
      <c r="F33" s="33" t="str">
        <f>IFERROR(__xludf.DUMMYFUNCTION("( (GOOGLEFINANCE(C33, ""price"") - Q33) / Q33 ) / (R33 / 100)"),"Loading...")</f>
        <v>Loading...</v>
      </c>
      <c r="G33" s="20" t="str">
        <f>IFERROR(__xludf.DUMMYFUNCTION("AVERAGE(ARRAYFORMULA(100 * (QUERY(GOOGLEFINANCE(C33, ""high"", TODAY()-40, TODAY()), ""SELECT Col2 WHERE Col2 IS NOT NULL ORDER BY Col1 DESC LIMIT 20"", 0) / QUERY(GOOGLEFINANCE(C33, ""low"", TODAY()-40, TODAY()), ""SELECT Col2 WHERE Col2 IS NOT NULL ORDE"&amp;"R BY Col1 DESC LIMIT 20"", 0) - 1)))"),"#N/A")</f>
        <v>#N/A</v>
      </c>
      <c r="H33" s="35" t="str">
        <f t="shared" si="6"/>
        <v>Liquid</v>
      </c>
      <c r="I33" s="35" t="str">
        <f t="shared" si="7"/>
        <v>No RVol Required</v>
      </c>
      <c r="J33" s="37">
        <f>IFERROR(__xludf.DUMMYFUNCTION("IFERROR(
  IF(C33="""",, 
    IFERROR(
      GOOGLEFINANCE(C33, ""price"") * GOOGLEFINANCE(C33, ""volumeavg""), 
      GOOGLEFINANCE(C33, ""price"") * AVERAGE(QUERY(GOOGLEFINANCE(C33, ""volume"", TODAY()-40, TODAY()), ""SELECT Col2 WHERE Col2 IS NOT NULL "&amp;"ORDER BY Col1 DESC LIMIT 20"", 0))
    )
  ), 
"""")"),8.706978961400001E8)</f>
        <v>870697896.1</v>
      </c>
      <c r="K33" s="21">
        <f>IFERROR(__xludf.DUMMYFUNCTION("IFERROR(GOOGLEFINANCE(C33, ""changepct"") / 100, """")"),0.0137)</f>
        <v>0.0137</v>
      </c>
      <c r="L33" s="21" t="str">
        <f>IFERROR(__xludf.DUMMYFUNCTION("IFERROR((GOOGLEFINANCE(C33, ""price"") / INDEX(GOOGLEFINANCE(C33, ""price"", TODAY()-7, TODAY()), 2, 2)) - 1, """")"),"")</f>
        <v/>
      </c>
      <c r="M33" s="21" t="str">
        <f>IFERROR(__xludf.DUMMYFUNCTION("IFERROR((GOOGLEFINANCE(C33, ""price"") / INDEX(GOOGLEFINANCE(C33, ""price"", EDATE(TODAY(), -1), TODAY()), 2, 2)) - 1, """")"),"")</f>
        <v/>
      </c>
      <c r="N33" s="21" t="str">
        <f>IFERROR(__xludf.DUMMYFUNCTION("IFERROR((GOOGLEFINANCE(C33, ""price"") / INDEX(GOOGLEFINANCE(C33, ""price"", EDATE(TODAY(), -3), TODAY()), 2, 2)) - 1, """")"),"")</f>
        <v/>
      </c>
      <c r="O33" s="21" t="str">
        <f>IFERROR(__xludf.DUMMYFUNCTION("IFERROR((GOOGLEFINANCE(C33, ""price"") / INDEX(GOOGLEFINANCE(C33, ""price"", EDATE(TODAY(), -6), TODAY()), 2, 2)) - 1, """")"),"")</f>
        <v/>
      </c>
      <c r="P33" s="21" t="str">
        <f>IFERROR(__xludf.DUMMYFUNCTION("IFERROR((GOOGLEFINANCE(C33, ""price"") / INDEX(GOOGLEFINANCE(C33, ""price"", EDATE(TODAY(), -12), TODAY()), 2, 2)) - 1, """")"),"")</f>
        <v/>
      </c>
      <c r="Q33" s="6" t="str">
        <f>IFERROR(__xludf.DUMMYFUNCTION("AVERAGE(QUERY(GOOGLEFINANCE(C33, ""price"", TODAY()-80, TODAY()), ""SELECT Col2 WHERE Col2 IS NOT NULL ORDER BY Col1 DESC LIMIT 50"", 0))"),"#N/A")</f>
        <v>#N/A</v>
      </c>
      <c r="R33" s="24" t="str">
        <f>IFERROR(__xludf.DUMMYFUNCTION("IFERROR(
  LET(
    data, QUERY(GOOGLEFINANCE(C33,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GOOGLEFINANCE(C33, ""price"")) * 100,
    IF(calc=0, G33, calc)
  ), 
G33)"),"#N/A")</f>
        <v>#N/A</v>
      </c>
      <c r="S33" s="8" t="s">
        <v>15</v>
      </c>
      <c r="T33" s="26" t="str">
        <f>IFERROR(__xludf.DUMMYFUNCTION("IFERROR(TRANSPOSE(QUERY(IFERROR(SORT(GOOGLEFINANCE(C33, ""price"", WORKDAY(TODAY(), -40), TODAY()), 1, FALSE)), ""select Col2 where Col2 is not null limit 22 label Col2 ''"", 0)), """")"),"")</f>
        <v/>
      </c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8"/>
      <c r="AO33" s="28"/>
      <c r="AP33" s="29"/>
      <c r="AQ33" s="29" t="str">
        <f t="shared" ref="AQ33:BL33" si="36">T33/T$2</f>
        <v>#N/A</v>
      </c>
      <c r="AR33" s="29" t="str">
        <f t="shared" si="36"/>
        <v>#DIV/0!</v>
      </c>
      <c r="AS33" s="29" t="str">
        <f t="shared" si="36"/>
        <v>#DIV/0!</v>
      </c>
      <c r="AT33" s="29" t="str">
        <f t="shared" si="36"/>
        <v>#DIV/0!</v>
      </c>
      <c r="AU33" s="29" t="str">
        <f t="shared" si="36"/>
        <v>#DIV/0!</v>
      </c>
      <c r="AV33" s="29" t="str">
        <f t="shared" si="36"/>
        <v>#DIV/0!</v>
      </c>
      <c r="AW33" s="29" t="str">
        <f t="shared" si="36"/>
        <v>#DIV/0!</v>
      </c>
      <c r="AX33" s="29" t="str">
        <f t="shared" si="36"/>
        <v>#DIV/0!</v>
      </c>
      <c r="AY33" s="29" t="str">
        <f t="shared" si="36"/>
        <v>#DIV/0!</v>
      </c>
      <c r="AZ33" s="29" t="str">
        <f t="shared" si="36"/>
        <v>#DIV/0!</v>
      </c>
      <c r="BA33" s="29" t="str">
        <f t="shared" si="36"/>
        <v>#DIV/0!</v>
      </c>
      <c r="BB33" s="29" t="str">
        <f t="shared" si="36"/>
        <v>#DIV/0!</v>
      </c>
      <c r="BC33" s="29" t="str">
        <f t="shared" si="36"/>
        <v>#DIV/0!</v>
      </c>
      <c r="BD33" s="29" t="str">
        <f t="shared" si="36"/>
        <v>#DIV/0!</v>
      </c>
      <c r="BE33" s="29" t="str">
        <f t="shared" si="36"/>
        <v>#DIV/0!</v>
      </c>
      <c r="BF33" s="29" t="str">
        <f t="shared" si="36"/>
        <v>#DIV/0!</v>
      </c>
      <c r="BG33" s="29" t="str">
        <f t="shared" si="36"/>
        <v>#DIV/0!</v>
      </c>
      <c r="BH33" s="29" t="str">
        <f t="shared" si="36"/>
        <v>#DIV/0!</v>
      </c>
      <c r="BI33" s="29" t="str">
        <f t="shared" si="36"/>
        <v>#DIV/0!</v>
      </c>
      <c r="BJ33" s="29" t="str">
        <f t="shared" si="36"/>
        <v>#DIV/0!</v>
      </c>
      <c r="BK33" s="29" t="str">
        <f t="shared" si="36"/>
        <v>#DIV/0!</v>
      </c>
      <c r="BL33" s="29" t="str">
        <f t="shared" si="36"/>
        <v>#DIV/0!</v>
      </c>
      <c r="BM33" s="29" t="str">
        <f t="shared" si="3"/>
        <v>#DIV/0!</v>
      </c>
    </row>
    <row r="34" hidden="1">
      <c r="A34" s="16" t="str">
        <f>IFERROR(__xludf.DUMMYFUNCTION("IFERROR(SPARKLINE(SORT(MAP(TRANSPOSE(AQ34:BL34), LAMBDA(val, IF(ISNUMBER(val), PERCENTRANK(AQ34:BL34, val)+0.01, 0))), SEQUENCE(COLUMNS(AQ34:BL34)), FALSE), {""charttype"",""column""; ""color"",""chartreuse""; ""ymin"", 0; ""ymax"", 1.01; ""highcolor"", "&amp;"""darkgreen""; ""lowcolor"", ""red""}), """")"),"")</f>
        <v/>
      </c>
      <c r="B34" s="17" t="str">
        <f t="shared" si="4"/>
        <v/>
      </c>
      <c r="C34" s="1" t="s">
        <v>2657</v>
      </c>
      <c r="D34" s="30" t="str">
        <f>IFERROR(__xludf.DUMMYFUNCTION("IFERROR(GOOGLEFINANCE(C34, ""NAME""))"),"Nabors Industries Ltd")</f>
        <v>Nabors Industries Ltd</v>
      </c>
      <c r="E34" s="30" t="s">
        <v>2658</v>
      </c>
      <c r="F34" s="38" t="str">
        <f>IFERROR(__xludf.DUMMYFUNCTION("( (GOOGLEFINANCE(C34, ""price"") - Q34) / Q34 ) / (R34 / 100)"),"Loading...")</f>
        <v>Loading...</v>
      </c>
      <c r="G34" s="20" t="str">
        <f>IFERROR(__xludf.DUMMYFUNCTION("AVERAGE(ARRAYFORMULA(100 * (QUERY(GOOGLEFINANCE(C34, ""high"", TODAY()-40, TODAY()), ""SELECT Col2 WHERE Col2 IS NOT NULL ORDER BY Col1 DESC LIMIT 20"", 0) / QUERY(GOOGLEFINANCE(C34, ""low"", TODAY()-40, TODAY()), ""SELECT Col2 WHERE Col2 IS NOT NULL ORDE"&amp;"R BY Col1 DESC LIMIT 20"", 0) - 1)))"),"#N/A")</f>
        <v>#N/A</v>
      </c>
      <c r="H34" s="35" t="str">
        <f t="shared" si="6"/>
        <v>Illiquid</v>
      </c>
      <c r="I34" s="35" t="str">
        <f t="shared" si="7"/>
        <v>RVol Required</v>
      </c>
      <c r="J34" s="37">
        <f>IFERROR(__xludf.DUMMYFUNCTION("IFERROR(
  IF(C34="""",, 
    IFERROR(
      GOOGLEFINANCE(C34, ""price"") * GOOGLEFINANCE(C34, ""volumeavg""), 
      GOOGLEFINANCE(C34, ""price"") * AVERAGE(QUERY(GOOGLEFINANCE(C34, ""volume"", TODAY()-40, TODAY()), ""SELECT Col2 WHERE Col2 IS NOT NULL "&amp;"ORDER BY Col1 DESC LIMIT 20"", 0))
    )
  ), 
"""")"),1.6022007E7)</f>
        <v>16022007</v>
      </c>
      <c r="K34" s="21">
        <f>IFERROR(__xludf.DUMMYFUNCTION("IFERROR(GOOGLEFINANCE(C34, ""changepct"") / 100, """")"),0.023700000000000002)</f>
        <v>0.0237</v>
      </c>
      <c r="L34" s="21" t="str">
        <f>IFERROR(__xludf.DUMMYFUNCTION("IFERROR((GOOGLEFINANCE(C34, ""price"") / INDEX(GOOGLEFINANCE(C34, ""price"", TODAY()-7, TODAY()), 2, 2)) - 1, """")"),"")</f>
        <v/>
      </c>
      <c r="M34" s="21" t="str">
        <f>IFERROR(__xludf.DUMMYFUNCTION("IFERROR((GOOGLEFINANCE(C34, ""price"") / INDEX(GOOGLEFINANCE(C34, ""price"", EDATE(TODAY(), -1), TODAY()), 2, 2)) - 1, """")"),"")</f>
        <v/>
      </c>
      <c r="N34" s="21" t="str">
        <f>IFERROR(__xludf.DUMMYFUNCTION("IFERROR((GOOGLEFINANCE(C34, ""price"") / INDEX(GOOGLEFINANCE(C34, ""price"", EDATE(TODAY(), -3), TODAY()), 2, 2)) - 1, """")"),"")</f>
        <v/>
      </c>
      <c r="O34" s="21" t="str">
        <f>IFERROR(__xludf.DUMMYFUNCTION("IFERROR((GOOGLEFINANCE(C34, ""price"") / INDEX(GOOGLEFINANCE(C34, ""price"", EDATE(TODAY(), -6), TODAY()), 2, 2)) - 1, """")"),"")</f>
        <v/>
      </c>
      <c r="P34" s="21" t="str">
        <f>IFERROR(__xludf.DUMMYFUNCTION("IFERROR((GOOGLEFINANCE(C34, ""price"") / INDEX(GOOGLEFINANCE(C34, ""price"", EDATE(TODAY(), -12), TODAY()), 2, 2)) - 1, """")"),"")</f>
        <v/>
      </c>
      <c r="Q34" s="6" t="str">
        <f>IFERROR(__xludf.DUMMYFUNCTION("AVERAGE(QUERY(GOOGLEFINANCE(C34, ""price"", TODAY()-80, TODAY()), ""SELECT Col2 WHERE Col2 IS NOT NULL ORDER BY Col1 DESC LIMIT 50"", 0))"),"#N/A")</f>
        <v>#N/A</v>
      </c>
      <c r="R34" s="24" t="str">
        <f>IFERROR(__xludf.DUMMYFUNCTION("IFERROR(
  LET(
    data, QUERY(GOOGLEFINANCE(C34,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GOOGLEFINANCE(C34, ""price"")) * 100,
    IF(calc=0, G34, calc)
  ), 
G34)"),"#N/A")</f>
        <v>#N/A</v>
      </c>
      <c r="S34" s="8" t="s">
        <v>15</v>
      </c>
      <c r="T34" s="26" t="str">
        <f>IFERROR(__xludf.DUMMYFUNCTION("IFERROR(TRANSPOSE(QUERY(IFERROR(SORT(GOOGLEFINANCE(C34, ""price"", WORKDAY(TODAY(), -40), TODAY()), 1, FALSE)), ""select Col2 where Col2 is not null limit 22 label Col2 ''"", 0)), """")"),"")</f>
        <v/>
      </c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8"/>
      <c r="AO34" s="28"/>
      <c r="AP34" s="29"/>
      <c r="AQ34" s="29" t="str">
        <f t="shared" ref="AQ34:BL34" si="37">T34/T$2</f>
        <v>#N/A</v>
      </c>
      <c r="AR34" s="29" t="str">
        <f t="shared" si="37"/>
        <v>#DIV/0!</v>
      </c>
      <c r="AS34" s="29" t="str">
        <f t="shared" si="37"/>
        <v>#DIV/0!</v>
      </c>
      <c r="AT34" s="29" t="str">
        <f t="shared" si="37"/>
        <v>#DIV/0!</v>
      </c>
      <c r="AU34" s="29" t="str">
        <f t="shared" si="37"/>
        <v>#DIV/0!</v>
      </c>
      <c r="AV34" s="29" t="str">
        <f t="shared" si="37"/>
        <v>#DIV/0!</v>
      </c>
      <c r="AW34" s="29" t="str">
        <f t="shared" si="37"/>
        <v>#DIV/0!</v>
      </c>
      <c r="AX34" s="29" t="str">
        <f t="shared" si="37"/>
        <v>#DIV/0!</v>
      </c>
      <c r="AY34" s="29" t="str">
        <f t="shared" si="37"/>
        <v>#DIV/0!</v>
      </c>
      <c r="AZ34" s="29" t="str">
        <f t="shared" si="37"/>
        <v>#DIV/0!</v>
      </c>
      <c r="BA34" s="29" t="str">
        <f t="shared" si="37"/>
        <v>#DIV/0!</v>
      </c>
      <c r="BB34" s="29" t="str">
        <f t="shared" si="37"/>
        <v>#DIV/0!</v>
      </c>
      <c r="BC34" s="29" t="str">
        <f t="shared" si="37"/>
        <v>#DIV/0!</v>
      </c>
      <c r="BD34" s="29" t="str">
        <f t="shared" si="37"/>
        <v>#DIV/0!</v>
      </c>
      <c r="BE34" s="29" t="str">
        <f t="shared" si="37"/>
        <v>#DIV/0!</v>
      </c>
      <c r="BF34" s="29" t="str">
        <f t="shared" si="37"/>
        <v>#DIV/0!</v>
      </c>
      <c r="BG34" s="29" t="str">
        <f t="shared" si="37"/>
        <v>#DIV/0!</v>
      </c>
      <c r="BH34" s="29" t="str">
        <f t="shared" si="37"/>
        <v>#DIV/0!</v>
      </c>
      <c r="BI34" s="29" t="str">
        <f t="shared" si="37"/>
        <v>#DIV/0!</v>
      </c>
      <c r="BJ34" s="29" t="str">
        <f t="shared" si="37"/>
        <v>#DIV/0!</v>
      </c>
      <c r="BK34" s="29" t="str">
        <f t="shared" si="37"/>
        <v>#DIV/0!</v>
      </c>
      <c r="BL34" s="29" t="str">
        <f t="shared" si="37"/>
        <v>#DIV/0!</v>
      </c>
      <c r="BM34" s="29" t="str">
        <f t="shared" si="3"/>
        <v>#DIV/0!</v>
      </c>
    </row>
    <row r="35">
      <c r="A35" s="16" t="str">
        <f>IFERROR(__xludf.DUMMYFUNCTION("IFERROR(SPARKLINE(SORT(MAP(TRANSPOSE(AQ35:BL35), LAMBDA(val, IF(ISNUMBER(val), PERCENTRANK(AQ35:BL35, val)+0.01, 0))), SEQUENCE(COLUMNS(AQ35:BL35)), FALSE), {""charttype"",""column""; ""color"",""chartreuse""; ""ymin"", 0; ""ymax"", 1.01; ""highcolor"", "&amp;"""darkgreen""; ""lowcolor"", ""red""}), """")"),"")</f>
        <v/>
      </c>
      <c r="B35" s="17" t="str">
        <f t="shared" si="4"/>
        <v/>
      </c>
      <c r="C35" s="1" t="s">
        <v>2664</v>
      </c>
      <c r="D35" s="30" t="str">
        <f>IFERROR(__xludf.DUMMYFUNCTION("IFERROR(GOOGLEFINANCE(C35, ""NAME""))"),"Marathon Petroleum Corp")</f>
        <v>Marathon Petroleum Corp</v>
      </c>
      <c r="E35" s="30" t="s">
        <v>2649</v>
      </c>
      <c r="F35" s="33" t="str">
        <f>IFERROR(__xludf.DUMMYFUNCTION("( (GOOGLEFINANCE(C35, ""price"") - Q35) / Q35 ) / (R35 / 100)"),"Loading...")</f>
        <v>Loading...</v>
      </c>
      <c r="G35" s="20" t="str">
        <f>IFERROR(__xludf.DUMMYFUNCTION("AVERAGE(ARRAYFORMULA(100 * (QUERY(GOOGLEFINANCE(C35, ""high"", TODAY()-40, TODAY()), ""SELECT Col2 WHERE Col2 IS NOT NULL ORDER BY Col1 DESC LIMIT 20"", 0) / QUERY(GOOGLEFINANCE(C35, ""low"", TODAY()-40, TODAY()), ""SELECT Col2 WHERE Col2 IS NOT NULL ORDE"&amp;"R BY Col1 DESC LIMIT 20"", 0) - 1)))"),"#N/A")</f>
        <v>#N/A</v>
      </c>
      <c r="H35" s="35" t="str">
        <f t="shared" si="6"/>
        <v>Liquid</v>
      </c>
      <c r="I35" s="35" t="str">
        <f t="shared" si="7"/>
        <v>No RVol Required</v>
      </c>
      <c r="J35" s="37">
        <f>IFERROR(__xludf.DUMMYFUNCTION("IFERROR(
  IF(C35="""",, 
    IFERROR(
      GOOGLEFINANCE(C35, ""price"") * GOOGLEFINANCE(C35, ""volumeavg""), 
      GOOGLEFINANCE(C35, ""price"") * AVERAGE(QUERY(GOOGLEFINANCE(C35, ""volume"", TODAY()-40, TODAY()), ""SELECT Col2 WHERE Col2 IS NOT NULL "&amp;"ORDER BY Col1 DESC LIMIT 20"", 0))
    )
  ), 
"""")"),1.27055803374E9)</f>
        <v>1270558034</v>
      </c>
      <c r="K35" s="21">
        <f>IFERROR(__xludf.DUMMYFUNCTION("IFERROR(GOOGLEFINANCE(C35, ""changepct"") / 100, """")"),0.0024)</f>
        <v>0.0024</v>
      </c>
      <c r="L35" s="21" t="str">
        <f>IFERROR(__xludf.DUMMYFUNCTION("IFERROR((GOOGLEFINANCE(C35, ""price"") / INDEX(GOOGLEFINANCE(C35, ""price"", TODAY()-7, TODAY()), 2, 2)) - 1, """")"),"")</f>
        <v/>
      </c>
      <c r="M35" s="21" t="str">
        <f>IFERROR(__xludf.DUMMYFUNCTION("IFERROR((GOOGLEFINANCE(C35, ""price"") / INDEX(GOOGLEFINANCE(C35, ""price"", EDATE(TODAY(), -1), TODAY()), 2, 2)) - 1, """")"),"")</f>
        <v/>
      </c>
      <c r="N35" s="21" t="str">
        <f>IFERROR(__xludf.DUMMYFUNCTION("IFERROR((GOOGLEFINANCE(C35, ""price"") / INDEX(GOOGLEFINANCE(C35, ""price"", EDATE(TODAY(), -3), TODAY()), 2, 2)) - 1, """")"),"")</f>
        <v/>
      </c>
      <c r="O35" s="21" t="str">
        <f>IFERROR(__xludf.DUMMYFUNCTION("IFERROR((GOOGLEFINANCE(C35, ""price"") / INDEX(GOOGLEFINANCE(C35, ""price"", EDATE(TODAY(), -6), TODAY()), 2, 2)) - 1, """")"),"")</f>
        <v/>
      </c>
      <c r="P35" s="21" t="str">
        <f>IFERROR(__xludf.DUMMYFUNCTION("IFERROR((GOOGLEFINANCE(C35, ""price"") / INDEX(GOOGLEFINANCE(C35, ""price"", EDATE(TODAY(), -12), TODAY()), 2, 2)) - 1, """")"),"")</f>
        <v/>
      </c>
      <c r="Q35" s="6" t="str">
        <f>IFERROR(__xludf.DUMMYFUNCTION("AVERAGE(QUERY(GOOGLEFINANCE(C35, ""price"", TODAY()-80, TODAY()), ""SELECT Col2 WHERE Col2 IS NOT NULL ORDER BY Col1 DESC LIMIT 50"", 0))"),"#N/A")</f>
        <v>#N/A</v>
      </c>
      <c r="R35" s="24" t="str">
        <f>IFERROR(__xludf.DUMMYFUNCTION("IFERROR(
  LET(
    data, QUERY(GOOGLEFINANCE(C35,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GOOGLEFINANCE(C35, ""price"")) * 100,
    IF(calc=0, G35, calc)
  ), 
G35)"),"#N/A")</f>
        <v>#N/A</v>
      </c>
      <c r="S35" s="8" t="s">
        <v>15</v>
      </c>
      <c r="T35" s="26" t="str">
        <f>IFERROR(__xludf.DUMMYFUNCTION("IFERROR(TRANSPOSE(QUERY(IFERROR(SORT(GOOGLEFINANCE(C35, ""price"", WORKDAY(TODAY(), -40), TODAY()), 1, FALSE)), ""select Col2 where Col2 is not null limit 22 label Col2 ''"", 0)), """")"),"")</f>
        <v/>
      </c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8"/>
      <c r="AO35" s="28"/>
      <c r="AP35" s="29"/>
      <c r="AQ35" s="29" t="str">
        <f t="shared" ref="AQ35:BL35" si="38">T35/T$2</f>
        <v>#N/A</v>
      </c>
      <c r="AR35" s="29" t="str">
        <f t="shared" si="38"/>
        <v>#DIV/0!</v>
      </c>
      <c r="AS35" s="29" t="str">
        <f t="shared" si="38"/>
        <v>#DIV/0!</v>
      </c>
      <c r="AT35" s="29" t="str">
        <f t="shared" si="38"/>
        <v>#DIV/0!</v>
      </c>
      <c r="AU35" s="29" t="str">
        <f t="shared" si="38"/>
        <v>#DIV/0!</v>
      </c>
      <c r="AV35" s="29" t="str">
        <f t="shared" si="38"/>
        <v>#DIV/0!</v>
      </c>
      <c r="AW35" s="29" t="str">
        <f t="shared" si="38"/>
        <v>#DIV/0!</v>
      </c>
      <c r="AX35" s="29" t="str">
        <f t="shared" si="38"/>
        <v>#DIV/0!</v>
      </c>
      <c r="AY35" s="29" t="str">
        <f t="shared" si="38"/>
        <v>#DIV/0!</v>
      </c>
      <c r="AZ35" s="29" t="str">
        <f t="shared" si="38"/>
        <v>#DIV/0!</v>
      </c>
      <c r="BA35" s="29" t="str">
        <f t="shared" si="38"/>
        <v>#DIV/0!</v>
      </c>
      <c r="BB35" s="29" t="str">
        <f t="shared" si="38"/>
        <v>#DIV/0!</v>
      </c>
      <c r="BC35" s="29" t="str">
        <f t="shared" si="38"/>
        <v>#DIV/0!</v>
      </c>
      <c r="BD35" s="29" t="str">
        <f t="shared" si="38"/>
        <v>#DIV/0!</v>
      </c>
      <c r="BE35" s="29" t="str">
        <f t="shared" si="38"/>
        <v>#DIV/0!</v>
      </c>
      <c r="BF35" s="29" t="str">
        <f t="shared" si="38"/>
        <v>#DIV/0!</v>
      </c>
      <c r="BG35" s="29" t="str">
        <f t="shared" si="38"/>
        <v>#DIV/0!</v>
      </c>
      <c r="BH35" s="29" t="str">
        <f t="shared" si="38"/>
        <v>#DIV/0!</v>
      </c>
      <c r="BI35" s="29" t="str">
        <f t="shared" si="38"/>
        <v>#DIV/0!</v>
      </c>
      <c r="BJ35" s="29" t="str">
        <f t="shared" si="38"/>
        <v>#DIV/0!</v>
      </c>
      <c r="BK35" s="29" t="str">
        <f t="shared" si="38"/>
        <v>#DIV/0!</v>
      </c>
      <c r="BL35" s="29" t="str">
        <f t="shared" si="38"/>
        <v>#DIV/0!</v>
      </c>
      <c r="BM35" s="29" t="str">
        <f t="shared" si="3"/>
        <v>#DIV/0!</v>
      </c>
    </row>
    <row r="36" hidden="1">
      <c r="A36" s="16" t="str">
        <f>IFERROR(__xludf.DUMMYFUNCTION("IFERROR(SPARKLINE(SORT(MAP(TRANSPOSE(AQ36:BL36), LAMBDA(val, IF(ISNUMBER(val), PERCENTRANK(AQ36:BL36, val)+0.01, 0))), SEQUENCE(COLUMNS(AQ36:BL36)), FALSE), {""charttype"",""column""; ""color"",""chartreuse""; ""ymin"", 0; ""ymax"", 1.01; ""highcolor"", "&amp;"""darkgreen""; ""lowcolor"", ""red""}), """")"),"")</f>
        <v/>
      </c>
      <c r="B36" s="17" t="str">
        <f t="shared" si="4"/>
        <v/>
      </c>
      <c r="C36" s="1" t="s">
        <v>2667</v>
      </c>
      <c r="D36" s="30" t="str">
        <f>IFERROR(__xludf.DUMMYFUNCTION("IFERROR(GOOGLEFINANCE(C36, ""NAME""))"),"Dorian LPG Ltd")</f>
        <v>Dorian LPG Ltd</v>
      </c>
      <c r="E36" s="30" t="s">
        <v>2547</v>
      </c>
      <c r="F36" s="33" t="str">
        <f>IFERROR(__xludf.DUMMYFUNCTION("( (GOOGLEFINANCE(C36, ""price"") - Q36) / Q36 ) / (R36 / 100)"),"Loading...")</f>
        <v>Loading...</v>
      </c>
      <c r="G36" s="20" t="str">
        <f>IFERROR(__xludf.DUMMYFUNCTION("AVERAGE(ARRAYFORMULA(100 * (QUERY(GOOGLEFINANCE(C36, ""high"", TODAY()-40, TODAY()), ""SELECT Col2 WHERE Col2 IS NOT NULL ORDER BY Col1 DESC LIMIT 20"", 0) / QUERY(GOOGLEFINANCE(C36, ""low"", TODAY()-40, TODAY()), ""SELECT Col2 WHERE Col2 IS NOT NULL ORDE"&amp;"R BY Col1 DESC LIMIT 20"", 0) - 1)))"),"#N/A")</f>
        <v>#N/A</v>
      </c>
      <c r="H36" s="35" t="str">
        <f t="shared" si="6"/>
        <v>Illiquid</v>
      </c>
      <c r="I36" s="35" t="str">
        <f t="shared" si="7"/>
        <v>RVol Required</v>
      </c>
      <c r="J36" s="37">
        <f>IFERROR(__xludf.DUMMYFUNCTION("IFERROR(
  IF(C36="""",, 
    IFERROR(
      GOOGLEFINANCE(C36, ""price"") * GOOGLEFINANCE(C36, ""volumeavg""), 
      GOOGLEFINANCE(C36, ""price"") * AVERAGE(QUERY(GOOGLEFINANCE(C36, ""volume"", TODAY()-40, TODAY()), ""SELECT Col2 WHERE Col2 IS NOT NULL "&amp;"ORDER BY Col1 DESC LIMIT 20"", 0))
    )
  ), 
"""")"),3.22078648E7)</f>
        <v>32207864.8</v>
      </c>
      <c r="K36" s="21">
        <f>IFERROR(__xludf.DUMMYFUNCTION("IFERROR(GOOGLEFINANCE(C36, ""changepct"") / 100, """")"),-0.0015)</f>
        <v>-0.0015</v>
      </c>
      <c r="L36" s="21" t="str">
        <f>IFERROR(__xludf.DUMMYFUNCTION("IFERROR((GOOGLEFINANCE(C36, ""price"") / INDEX(GOOGLEFINANCE(C36, ""price"", TODAY()-7, TODAY()), 2, 2)) - 1, """")"),"")</f>
        <v/>
      </c>
      <c r="M36" s="21" t="str">
        <f>IFERROR(__xludf.DUMMYFUNCTION("IFERROR((GOOGLEFINANCE(C36, ""price"") / INDEX(GOOGLEFINANCE(C36, ""price"", EDATE(TODAY(), -1), TODAY()), 2, 2)) - 1, """")"),"")</f>
        <v/>
      </c>
      <c r="N36" s="21" t="str">
        <f>IFERROR(__xludf.DUMMYFUNCTION("IFERROR((GOOGLEFINANCE(C36, ""price"") / INDEX(GOOGLEFINANCE(C36, ""price"", EDATE(TODAY(), -3), TODAY()), 2, 2)) - 1, """")"),"")</f>
        <v/>
      </c>
      <c r="O36" s="21" t="str">
        <f>IFERROR(__xludf.DUMMYFUNCTION("IFERROR((GOOGLEFINANCE(C36, ""price"") / INDEX(GOOGLEFINANCE(C36, ""price"", EDATE(TODAY(), -6), TODAY()), 2, 2)) - 1, """")"),"")</f>
        <v/>
      </c>
      <c r="P36" s="21" t="str">
        <f>IFERROR(__xludf.DUMMYFUNCTION("IFERROR((GOOGLEFINANCE(C36, ""price"") / INDEX(GOOGLEFINANCE(C36, ""price"", EDATE(TODAY(), -12), TODAY()), 2, 2)) - 1, """")"),"")</f>
        <v/>
      </c>
      <c r="Q36" s="6" t="str">
        <f>IFERROR(__xludf.DUMMYFUNCTION("AVERAGE(QUERY(GOOGLEFINANCE(C36, ""price"", TODAY()-80, TODAY()), ""SELECT Col2 WHERE Col2 IS NOT NULL ORDER BY Col1 DESC LIMIT 50"", 0))"),"#N/A")</f>
        <v>#N/A</v>
      </c>
      <c r="R36" s="24" t="str">
        <f>IFERROR(__xludf.DUMMYFUNCTION("IFERROR(
  LET(
    data, QUERY(GOOGLEFINANCE(C36,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GOOGLEFINANCE(C36, ""price"")) * 100,
    IF(calc=0, G36, calc)
  ), 
G36)"),"#N/A")</f>
        <v>#N/A</v>
      </c>
      <c r="S36" s="8" t="s">
        <v>15</v>
      </c>
      <c r="T36" s="26" t="str">
        <f>IFERROR(__xludf.DUMMYFUNCTION("IFERROR(TRANSPOSE(QUERY(IFERROR(SORT(GOOGLEFINANCE(C36, ""price"", WORKDAY(TODAY(), -40), TODAY()), 1, FALSE)), ""select Col2 where Col2 is not null limit 22 label Col2 ''"", 0)), """")"),"")</f>
        <v/>
      </c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8"/>
      <c r="AO36" s="28"/>
      <c r="AP36" s="29"/>
      <c r="AQ36" s="29" t="str">
        <f t="shared" ref="AQ36:BL36" si="39">T36/T$2</f>
        <v>#N/A</v>
      </c>
      <c r="AR36" s="29" t="str">
        <f t="shared" si="39"/>
        <v>#DIV/0!</v>
      </c>
      <c r="AS36" s="29" t="str">
        <f t="shared" si="39"/>
        <v>#DIV/0!</v>
      </c>
      <c r="AT36" s="29" t="str">
        <f t="shared" si="39"/>
        <v>#DIV/0!</v>
      </c>
      <c r="AU36" s="29" t="str">
        <f t="shared" si="39"/>
        <v>#DIV/0!</v>
      </c>
      <c r="AV36" s="29" t="str">
        <f t="shared" si="39"/>
        <v>#DIV/0!</v>
      </c>
      <c r="AW36" s="29" t="str">
        <f t="shared" si="39"/>
        <v>#DIV/0!</v>
      </c>
      <c r="AX36" s="29" t="str">
        <f t="shared" si="39"/>
        <v>#DIV/0!</v>
      </c>
      <c r="AY36" s="29" t="str">
        <f t="shared" si="39"/>
        <v>#DIV/0!</v>
      </c>
      <c r="AZ36" s="29" t="str">
        <f t="shared" si="39"/>
        <v>#DIV/0!</v>
      </c>
      <c r="BA36" s="29" t="str">
        <f t="shared" si="39"/>
        <v>#DIV/0!</v>
      </c>
      <c r="BB36" s="29" t="str">
        <f t="shared" si="39"/>
        <v>#DIV/0!</v>
      </c>
      <c r="BC36" s="29" t="str">
        <f t="shared" si="39"/>
        <v>#DIV/0!</v>
      </c>
      <c r="BD36" s="29" t="str">
        <f t="shared" si="39"/>
        <v>#DIV/0!</v>
      </c>
      <c r="BE36" s="29" t="str">
        <f t="shared" si="39"/>
        <v>#DIV/0!</v>
      </c>
      <c r="BF36" s="29" t="str">
        <f t="shared" si="39"/>
        <v>#DIV/0!</v>
      </c>
      <c r="BG36" s="29" t="str">
        <f t="shared" si="39"/>
        <v>#DIV/0!</v>
      </c>
      <c r="BH36" s="29" t="str">
        <f t="shared" si="39"/>
        <v>#DIV/0!</v>
      </c>
      <c r="BI36" s="29" t="str">
        <f t="shared" si="39"/>
        <v>#DIV/0!</v>
      </c>
      <c r="BJ36" s="29" t="str">
        <f t="shared" si="39"/>
        <v>#DIV/0!</v>
      </c>
      <c r="BK36" s="29" t="str">
        <f t="shared" si="39"/>
        <v>#DIV/0!</v>
      </c>
      <c r="BL36" s="29" t="str">
        <f t="shared" si="39"/>
        <v>#DIV/0!</v>
      </c>
      <c r="BM36" s="29" t="str">
        <f t="shared" si="3"/>
        <v>#DIV/0!</v>
      </c>
    </row>
    <row r="37">
      <c r="A37" s="16" t="str">
        <f>IFERROR(__xludf.DUMMYFUNCTION("IFERROR(SPARKLINE(SORT(MAP(TRANSPOSE(AQ37:BL37), LAMBDA(val, IF(ISNUMBER(val), PERCENTRANK(AQ37:BL37, val)+0.01, 0))), SEQUENCE(COLUMNS(AQ37:BL37)), FALSE), {""charttype"",""column""; ""color"",""chartreuse""; ""ymin"", 0; ""ymax"", 1.01; ""highcolor"", "&amp;"""darkgreen""; ""lowcolor"", ""red""}), """")"),"")</f>
        <v/>
      </c>
      <c r="B37" s="17" t="str">
        <f t="shared" si="4"/>
        <v/>
      </c>
      <c r="C37" s="1" t="s">
        <v>2671</v>
      </c>
      <c r="D37" s="30" t="str">
        <f>IFERROR(__xludf.DUMMYFUNCTION("IFERROR(GOOGLEFINANCE(C37, ""NAME""))"),"Kosmos Energy Ltd")</f>
        <v>Kosmos Energy Ltd</v>
      </c>
      <c r="E37" s="30" t="s">
        <v>2613</v>
      </c>
      <c r="F37" s="33" t="str">
        <f>IFERROR(__xludf.DUMMYFUNCTION("( (GOOGLEFINANCE(C37, ""price"") - Q37) / Q37 ) / (R37 / 100)"),"Loading...")</f>
        <v>Loading...</v>
      </c>
      <c r="G37" s="20" t="str">
        <f>IFERROR(__xludf.DUMMYFUNCTION("AVERAGE(ARRAYFORMULA(100 * (QUERY(GOOGLEFINANCE(C37, ""high"", TODAY()-40, TODAY()), ""SELECT Col2 WHERE Col2 IS NOT NULL ORDER BY Col1 DESC LIMIT 20"", 0) / QUERY(GOOGLEFINANCE(C37, ""low"", TODAY()-40, TODAY()), ""SELECT Col2 WHERE Col2 IS NOT NULL ORDE"&amp;"R BY Col1 DESC LIMIT 20"", 0) - 1)))"),"#N/A")</f>
        <v>#N/A</v>
      </c>
      <c r="H37" s="35" t="str">
        <f t="shared" si="6"/>
        <v>Illiquid</v>
      </c>
      <c r="I37" s="35" t="str">
        <f t="shared" si="7"/>
        <v>RVol Required</v>
      </c>
      <c r="J37" s="37">
        <f>IFERROR(__xludf.DUMMYFUNCTION("IFERROR(
  IF(C37="""",, 
    IFERROR(
      GOOGLEFINANCE(C37, ""price"") * GOOGLEFINANCE(C37, ""volumeavg""), 
      GOOGLEFINANCE(C37, ""price"") * AVERAGE(QUERY(GOOGLEFINANCE(C37, ""volume"", TODAY()-40, TODAY()), ""SELECT Col2 WHERE Col2 IS NOT NULL "&amp;"ORDER BY Col1 DESC LIMIT 20"", 0))
    )
  ), 
"""")"),3.4921167379999995E7)</f>
        <v>34921167.38</v>
      </c>
      <c r="K37" s="21">
        <f>IFERROR(__xludf.DUMMYFUNCTION("IFERROR(GOOGLEFINANCE(C37, ""changepct"") / 100, """")"),0.0373)</f>
        <v>0.0373</v>
      </c>
      <c r="L37" s="21" t="str">
        <f>IFERROR(__xludf.DUMMYFUNCTION("IFERROR((GOOGLEFINANCE(C37, ""price"") / INDEX(GOOGLEFINANCE(C37, ""price"", TODAY()-7, TODAY()), 2, 2)) - 1, """")"),"")</f>
        <v/>
      </c>
      <c r="M37" s="21" t="str">
        <f>IFERROR(__xludf.DUMMYFUNCTION("IFERROR((GOOGLEFINANCE(C37, ""price"") / INDEX(GOOGLEFINANCE(C37, ""price"", EDATE(TODAY(), -1), TODAY()), 2, 2)) - 1, """")"),"")</f>
        <v/>
      </c>
      <c r="N37" s="21" t="str">
        <f>IFERROR(__xludf.DUMMYFUNCTION("IFERROR((GOOGLEFINANCE(C37, ""price"") / INDEX(GOOGLEFINANCE(C37, ""price"", EDATE(TODAY(), -3), TODAY()), 2, 2)) - 1, """")"),"")</f>
        <v/>
      </c>
      <c r="O37" s="21" t="str">
        <f>IFERROR(__xludf.DUMMYFUNCTION("IFERROR((GOOGLEFINANCE(C37, ""price"") / INDEX(GOOGLEFINANCE(C37, ""price"", EDATE(TODAY(), -6), TODAY()), 2, 2)) - 1, """")"),"")</f>
        <v/>
      </c>
      <c r="P37" s="21" t="str">
        <f>IFERROR(__xludf.DUMMYFUNCTION("IFERROR((GOOGLEFINANCE(C37, ""price"") / INDEX(GOOGLEFINANCE(C37, ""price"", EDATE(TODAY(), -12), TODAY()), 2, 2)) - 1, """")"),"")</f>
        <v/>
      </c>
      <c r="Q37" s="6" t="str">
        <f>IFERROR(__xludf.DUMMYFUNCTION("AVERAGE(QUERY(GOOGLEFINANCE(C37, ""price"", TODAY()-80, TODAY()), ""SELECT Col2 WHERE Col2 IS NOT NULL ORDER BY Col1 DESC LIMIT 50"", 0))"),"#N/A")</f>
        <v>#N/A</v>
      </c>
      <c r="R37" s="24" t="str">
        <f>IFERROR(__xludf.DUMMYFUNCTION("IFERROR(
  LET(
    data, QUERY(GOOGLEFINANCE(C37,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GOOGLEFINANCE(C37, ""price"")) * 100,
    IF(calc=0, G37, calc)
  ), 
G37)"),"#N/A")</f>
        <v>#N/A</v>
      </c>
      <c r="S37" s="8" t="s">
        <v>15</v>
      </c>
      <c r="T37" s="26" t="str">
        <f>IFERROR(__xludf.DUMMYFUNCTION("IFERROR(TRANSPOSE(QUERY(IFERROR(SORT(GOOGLEFINANCE(C37, ""price"", WORKDAY(TODAY(), -40), TODAY()), 1, FALSE)), ""select Col2 where Col2 is not null limit 22 label Col2 ''"", 0)), """")"),"")</f>
        <v/>
      </c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8"/>
      <c r="AO37" s="28"/>
      <c r="AP37" s="29"/>
      <c r="AQ37" s="29" t="str">
        <f t="shared" ref="AQ37:BL37" si="40">T37/T$2</f>
        <v>#N/A</v>
      </c>
      <c r="AR37" s="29" t="str">
        <f t="shared" si="40"/>
        <v>#DIV/0!</v>
      </c>
      <c r="AS37" s="29" t="str">
        <f t="shared" si="40"/>
        <v>#DIV/0!</v>
      </c>
      <c r="AT37" s="29" t="str">
        <f t="shared" si="40"/>
        <v>#DIV/0!</v>
      </c>
      <c r="AU37" s="29" t="str">
        <f t="shared" si="40"/>
        <v>#DIV/0!</v>
      </c>
      <c r="AV37" s="29" t="str">
        <f t="shared" si="40"/>
        <v>#DIV/0!</v>
      </c>
      <c r="AW37" s="29" t="str">
        <f t="shared" si="40"/>
        <v>#DIV/0!</v>
      </c>
      <c r="AX37" s="29" t="str">
        <f t="shared" si="40"/>
        <v>#DIV/0!</v>
      </c>
      <c r="AY37" s="29" t="str">
        <f t="shared" si="40"/>
        <v>#DIV/0!</v>
      </c>
      <c r="AZ37" s="29" t="str">
        <f t="shared" si="40"/>
        <v>#DIV/0!</v>
      </c>
      <c r="BA37" s="29" t="str">
        <f t="shared" si="40"/>
        <v>#DIV/0!</v>
      </c>
      <c r="BB37" s="29" t="str">
        <f t="shared" si="40"/>
        <v>#DIV/0!</v>
      </c>
      <c r="BC37" s="29" t="str">
        <f t="shared" si="40"/>
        <v>#DIV/0!</v>
      </c>
      <c r="BD37" s="29" t="str">
        <f t="shared" si="40"/>
        <v>#DIV/0!</v>
      </c>
      <c r="BE37" s="29" t="str">
        <f t="shared" si="40"/>
        <v>#DIV/0!</v>
      </c>
      <c r="BF37" s="29" t="str">
        <f t="shared" si="40"/>
        <v>#DIV/0!</v>
      </c>
      <c r="BG37" s="29" t="str">
        <f t="shared" si="40"/>
        <v>#DIV/0!</v>
      </c>
      <c r="BH37" s="29" t="str">
        <f t="shared" si="40"/>
        <v>#DIV/0!</v>
      </c>
      <c r="BI37" s="29" t="str">
        <f t="shared" si="40"/>
        <v>#DIV/0!</v>
      </c>
      <c r="BJ37" s="29" t="str">
        <f t="shared" si="40"/>
        <v>#DIV/0!</v>
      </c>
      <c r="BK37" s="29" t="str">
        <f t="shared" si="40"/>
        <v>#DIV/0!</v>
      </c>
      <c r="BL37" s="29" t="str">
        <f t="shared" si="40"/>
        <v>#DIV/0!</v>
      </c>
      <c r="BM37" s="29" t="str">
        <f t="shared" si="3"/>
        <v>#DIV/0!</v>
      </c>
    </row>
    <row r="38" hidden="1">
      <c r="A38" s="16" t="str">
        <f>IFERROR(__xludf.DUMMYFUNCTION("IFERROR(SPARKLINE(SORT(MAP(TRANSPOSE(AQ38:BL38), LAMBDA(val, IF(ISNUMBER(val), PERCENTRANK(AQ38:BL38, val)+0.01, 0))), SEQUENCE(COLUMNS(AQ38:BL38)), FALSE), {""charttype"",""column""; ""color"",""chartreuse""; ""ymin"", 0; ""ymax"", 1.01; ""highcolor"", "&amp;"""darkgreen""; ""lowcolor"", ""red""}), """")"),"")</f>
        <v/>
      </c>
      <c r="B38" s="17" t="str">
        <f t="shared" si="4"/>
        <v/>
      </c>
      <c r="C38" s="1" t="s">
        <v>2676</v>
      </c>
      <c r="D38" s="30" t="str">
        <f>IFERROR(__xludf.DUMMYFUNCTION("IFERROR(GOOGLEFINANCE(C38, ""NAME""))"),"IsoEnergy Ltd.")</f>
        <v>IsoEnergy Ltd.</v>
      </c>
      <c r="E38" s="30" t="s">
        <v>2542</v>
      </c>
      <c r="F38" s="33" t="str">
        <f>IFERROR(__xludf.DUMMYFUNCTION("( (GOOGLEFINANCE(C38, ""price"") - Q38) / Q38 ) / (R38 / 100)"),"Loading...")</f>
        <v>Loading...</v>
      </c>
      <c r="G38" s="20" t="str">
        <f>IFERROR(__xludf.DUMMYFUNCTION("AVERAGE(ARRAYFORMULA(100 * (QUERY(GOOGLEFINANCE(C38, ""high"", TODAY()-40, TODAY()), ""SELECT Col2 WHERE Col2 IS NOT NULL ORDER BY Col1 DESC LIMIT 20"", 0) / QUERY(GOOGLEFINANCE(C38, ""low"", TODAY()-40, TODAY()), ""SELECT Col2 WHERE Col2 IS NOT NULL ORDE"&amp;"R BY Col1 DESC LIMIT 20"", 0) - 1)))"),"#N/A")</f>
        <v>#N/A</v>
      </c>
      <c r="H38" s="35" t="str">
        <f t="shared" si="6"/>
        <v>Illiquid</v>
      </c>
      <c r="I38" s="35" t="str">
        <f t="shared" si="7"/>
        <v>RVol Required</v>
      </c>
      <c r="J38" s="37">
        <f>IFERROR(__xludf.DUMMYFUNCTION("IFERROR(
  IF(C38="""",, 
    IFERROR(
      GOOGLEFINANCE(C38, ""price"") * GOOGLEFINANCE(C38, ""volumeavg""), 
      GOOGLEFINANCE(C38, ""price"") * AVERAGE(QUERY(GOOGLEFINANCE(C38, ""volume"", TODAY()-40, TODAY()), ""SELECT Col2 WHERE Col2 IS NOT NULL "&amp;"ORDER BY Col1 DESC LIMIT 20"", 0))
    )
  ), 
"""")"),1498650.0)</f>
        <v>1498650</v>
      </c>
      <c r="K38" s="21">
        <f>IFERROR(__xludf.DUMMYFUNCTION("IFERROR(GOOGLEFINANCE(C38, ""changepct"") / 100, """")"),-0.04019999999999999)</f>
        <v>-0.0402</v>
      </c>
      <c r="L38" s="21" t="str">
        <f>IFERROR(__xludf.DUMMYFUNCTION("IFERROR((GOOGLEFINANCE(C38, ""price"") / INDEX(GOOGLEFINANCE(C38, ""price"", TODAY()-7, TODAY()), 2, 2)) - 1, """")"),"")</f>
        <v/>
      </c>
      <c r="M38" s="21" t="str">
        <f>IFERROR(__xludf.DUMMYFUNCTION("IFERROR((GOOGLEFINANCE(C38, ""price"") / INDEX(GOOGLEFINANCE(C38, ""price"", EDATE(TODAY(), -1), TODAY()), 2, 2)) - 1, """")"),"")</f>
        <v/>
      </c>
      <c r="N38" s="21" t="str">
        <f>IFERROR(__xludf.DUMMYFUNCTION("IFERROR((GOOGLEFINANCE(C38, ""price"") / INDEX(GOOGLEFINANCE(C38, ""price"", EDATE(TODAY(), -3), TODAY()), 2, 2)) - 1, """")"),"")</f>
        <v/>
      </c>
      <c r="O38" s="21" t="str">
        <f>IFERROR(__xludf.DUMMYFUNCTION("IFERROR((GOOGLEFINANCE(C38, ""price"") / INDEX(GOOGLEFINANCE(C38, ""price"", EDATE(TODAY(), -6), TODAY()), 2, 2)) - 1, """")"),"")</f>
        <v/>
      </c>
      <c r="P38" s="21" t="str">
        <f>IFERROR(__xludf.DUMMYFUNCTION("IFERROR((GOOGLEFINANCE(C38, ""price"") / INDEX(GOOGLEFINANCE(C38, ""price"", EDATE(TODAY(), -12), TODAY()), 2, 2)) - 1, """")"),"")</f>
        <v/>
      </c>
      <c r="Q38" s="6" t="str">
        <f>IFERROR(__xludf.DUMMYFUNCTION("AVERAGE(QUERY(GOOGLEFINANCE(C38, ""price"", TODAY()-80, TODAY()), ""SELECT Col2 WHERE Col2 IS NOT NULL ORDER BY Col1 DESC LIMIT 50"", 0))"),"#N/A")</f>
        <v>#N/A</v>
      </c>
      <c r="R38" s="24" t="str">
        <f>IFERROR(__xludf.DUMMYFUNCTION("IFERROR(
  LET(
    data, QUERY(GOOGLEFINANCE(C38,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GOOGLEFINANCE(C38, ""price"")) * 100,
    IF(calc=0, G38, calc)
  ), 
G38)"),"#N/A")</f>
        <v>#N/A</v>
      </c>
      <c r="S38" s="8" t="s">
        <v>15</v>
      </c>
      <c r="T38" s="26" t="str">
        <f>IFERROR(__xludf.DUMMYFUNCTION("IFERROR(TRANSPOSE(QUERY(IFERROR(SORT(GOOGLEFINANCE(C38, ""price"", WORKDAY(TODAY(), -40), TODAY()), 1, FALSE)), ""select Col2 where Col2 is not null limit 22 label Col2 ''"", 0)), """")"),"")</f>
        <v/>
      </c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8"/>
      <c r="AO38" s="28"/>
      <c r="AP38" s="29"/>
      <c r="AQ38" s="29" t="str">
        <f t="shared" ref="AQ38:BL38" si="41">T38/T$2</f>
        <v>#N/A</v>
      </c>
      <c r="AR38" s="29" t="str">
        <f t="shared" si="41"/>
        <v>#DIV/0!</v>
      </c>
      <c r="AS38" s="29" t="str">
        <f t="shared" si="41"/>
        <v>#DIV/0!</v>
      </c>
      <c r="AT38" s="29" t="str">
        <f t="shared" si="41"/>
        <v>#DIV/0!</v>
      </c>
      <c r="AU38" s="29" t="str">
        <f t="shared" si="41"/>
        <v>#DIV/0!</v>
      </c>
      <c r="AV38" s="29" t="str">
        <f t="shared" si="41"/>
        <v>#DIV/0!</v>
      </c>
      <c r="AW38" s="29" t="str">
        <f t="shared" si="41"/>
        <v>#DIV/0!</v>
      </c>
      <c r="AX38" s="29" t="str">
        <f t="shared" si="41"/>
        <v>#DIV/0!</v>
      </c>
      <c r="AY38" s="29" t="str">
        <f t="shared" si="41"/>
        <v>#DIV/0!</v>
      </c>
      <c r="AZ38" s="29" t="str">
        <f t="shared" si="41"/>
        <v>#DIV/0!</v>
      </c>
      <c r="BA38" s="29" t="str">
        <f t="shared" si="41"/>
        <v>#DIV/0!</v>
      </c>
      <c r="BB38" s="29" t="str">
        <f t="shared" si="41"/>
        <v>#DIV/0!</v>
      </c>
      <c r="BC38" s="29" t="str">
        <f t="shared" si="41"/>
        <v>#DIV/0!</v>
      </c>
      <c r="BD38" s="29" t="str">
        <f t="shared" si="41"/>
        <v>#DIV/0!</v>
      </c>
      <c r="BE38" s="29" t="str">
        <f t="shared" si="41"/>
        <v>#DIV/0!</v>
      </c>
      <c r="BF38" s="29" t="str">
        <f t="shared" si="41"/>
        <v>#DIV/0!</v>
      </c>
      <c r="BG38" s="29" t="str">
        <f t="shared" si="41"/>
        <v>#DIV/0!</v>
      </c>
      <c r="BH38" s="29" t="str">
        <f t="shared" si="41"/>
        <v>#DIV/0!</v>
      </c>
      <c r="BI38" s="29" t="str">
        <f t="shared" si="41"/>
        <v>#DIV/0!</v>
      </c>
      <c r="BJ38" s="29" t="str">
        <f t="shared" si="41"/>
        <v>#DIV/0!</v>
      </c>
      <c r="BK38" s="29" t="str">
        <f t="shared" si="41"/>
        <v>#DIV/0!</v>
      </c>
      <c r="BL38" s="29" t="str">
        <f t="shared" si="41"/>
        <v>#DIV/0!</v>
      </c>
      <c r="BM38" s="29" t="str">
        <f t="shared" si="3"/>
        <v>#DIV/0!</v>
      </c>
    </row>
    <row r="39" hidden="1">
      <c r="A39" s="16" t="str">
        <f>IFERROR(__xludf.DUMMYFUNCTION("IFERROR(SPARKLINE(SORT(MAP(TRANSPOSE(AQ39:BL39), LAMBDA(val, IF(ISNUMBER(val), PERCENTRANK(AQ39:BL39, val)+0.01, 0))), SEQUENCE(COLUMNS(AQ39:BL39)), FALSE), {""charttype"",""column""; ""color"",""chartreuse""; ""ymin"", 0; ""ymax"", 1.01; ""highcolor"", "&amp;"""darkgreen""; ""lowcolor"", ""red""}), """")"),"")</f>
        <v/>
      </c>
      <c r="B39" s="17" t="str">
        <f t="shared" si="4"/>
        <v/>
      </c>
      <c r="C39" s="1" t="s">
        <v>2680</v>
      </c>
      <c r="D39" s="30" t="str">
        <f>IFERROR(__xludf.DUMMYFUNCTION("IFERROR(GOOGLEFINANCE(C39, ""NAME""))"),"Highpeak Energy Inc")</f>
        <v>Highpeak Energy Inc</v>
      </c>
      <c r="E39" s="30" t="s">
        <v>2613</v>
      </c>
      <c r="F39" s="33" t="str">
        <f>IFERROR(__xludf.DUMMYFUNCTION("( (GOOGLEFINANCE(C39, ""price"") - Q39) / Q39 ) / (R39 / 100)"),"Loading...")</f>
        <v>Loading...</v>
      </c>
      <c r="G39" s="20" t="str">
        <f>IFERROR(__xludf.DUMMYFUNCTION("AVERAGE(ARRAYFORMULA(100 * (QUERY(GOOGLEFINANCE(C39, ""high"", TODAY()-40, TODAY()), ""SELECT Col2 WHERE Col2 IS NOT NULL ORDER BY Col1 DESC LIMIT 20"", 0) / QUERY(GOOGLEFINANCE(C39, ""low"", TODAY()-40, TODAY()), ""SELECT Col2 WHERE Col2 IS NOT NULL ORDE"&amp;"R BY Col1 DESC LIMIT 20"", 0) - 1)))"),"#N/A")</f>
        <v>#N/A</v>
      </c>
      <c r="H39" s="35" t="str">
        <f t="shared" si="6"/>
        <v>Illiquid</v>
      </c>
      <c r="I39" s="35" t="str">
        <f t="shared" si="7"/>
        <v>RVol Required</v>
      </c>
      <c r="J39" s="37">
        <f>IFERROR(__xludf.DUMMYFUNCTION("IFERROR(
  IF(C39="""",, 
    IFERROR(
      GOOGLEFINANCE(C39, ""price"") * GOOGLEFINANCE(C39, ""volumeavg""), 
      GOOGLEFINANCE(C39, ""price"") * AVERAGE(QUERY(GOOGLEFINANCE(C39, ""volume"", TODAY()-40, TODAY()), ""SELECT Col2 WHERE Col2 IS NOT NULL "&amp;"ORDER BY Col1 DESC LIMIT 20"", 0))
    )
  ), 
"""")"),6242213.45)</f>
        <v>6242213.45</v>
      </c>
      <c r="K39" s="21">
        <f>IFERROR(__xludf.DUMMYFUNCTION("IFERROR(GOOGLEFINANCE(C39, ""changepct"") / 100, """")"),0.0603)</f>
        <v>0.0603</v>
      </c>
      <c r="L39" s="21" t="str">
        <f>IFERROR(__xludf.DUMMYFUNCTION("IFERROR((GOOGLEFINANCE(C39, ""price"") / INDEX(GOOGLEFINANCE(C39, ""price"", TODAY()-7, TODAY()), 2, 2)) - 1, """")"),"")</f>
        <v/>
      </c>
      <c r="M39" s="21" t="str">
        <f>IFERROR(__xludf.DUMMYFUNCTION("IFERROR((GOOGLEFINANCE(C39, ""price"") / INDEX(GOOGLEFINANCE(C39, ""price"", EDATE(TODAY(), -1), TODAY()), 2, 2)) - 1, """")"),"")</f>
        <v/>
      </c>
      <c r="N39" s="21" t="str">
        <f>IFERROR(__xludf.DUMMYFUNCTION("IFERROR((GOOGLEFINANCE(C39, ""price"") / INDEX(GOOGLEFINANCE(C39, ""price"", EDATE(TODAY(), -3), TODAY()), 2, 2)) - 1, """")"),"")</f>
        <v/>
      </c>
      <c r="O39" s="21" t="str">
        <f>IFERROR(__xludf.DUMMYFUNCTION("IFERROR((GOOGLEFINANCE(C39, ""price"") / INDEX(GOOGLEFINANCE(C39, ""price"", EDATE(TODAY(), -6), TODAY()), 2, 2)) - 1, """")"),"")</f>
        <v/>
      </c>
      <c r="P39" s="21" t="str">
        <f>IFERROR(__xludf.DUMMYFUNCTION("IFERROR((GOOGLEFINANCE(C39, ""price"") / INDEX(GOOGLEFINANCE(C39, ""price"", EDATE(TODAY(), -12), TODAY()), 2, 2)) - 1, """")"),"")</f>
        <v/>
      </c>
      <c r="Q39" s="6" t="str">
        <f>IFERROR(__xludf.DUMMYFUNCTION("AVERAGE(QUERY(GOOGLEFINANCE(C39, ""price"", TODAY()-80, TODAY()), ""SELECT Col2 WHERE Col2 IS NOT NULL ORDER BY Col1 DESC LIMIT 50"", 0))"),"#N/A")</f>
        <v>#N/A</v>
      </c>
      <c r="R39" s="24" t="str">
        <f>IFERROR(__xludf.DUMMYFUNCTION("IFERROR(
  LET(
    data, QUERY(GOOGLEFINANCE(C39,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GOOGLEFINANCE(C39, ""price"")) * 100,
    IF(calc=0, G39, calc)
  ), 
G39)"),"#N/A")</f>
        <v>#N/A</v>
      </c>
      <c r="S39" s="8" t="s">
        <v>15</v>
      </c>
      <c r="T39" s="26" t="str">
        <f>IFERROR(__xludf.DUMMYFUNCTION("IFERROR(TRANSPOSE(QUERY(IFERROR(SORT(GOOGLEFINANCE(C39, ""price"", WORKDAY(TODAY(), -40), TODAY()), 1, FALSE)), ""select Col2 where Col2 is not null limit 22 label Col2 ''"", 0)), """")"),"")</f>
        <v/>
      </c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8"/>
      <c r="AO39" s="28"/>
      <c r="AP39" s="29"/>
      <c r="AQ39" s="29" t="str">
        <f t="shared" ref="AQ39:BL39" si="42">T39/T$2</f>
        <v>#N/A</v>
      </c>
      <c r="AR39" s="29" t="str">
        <f t="shared" si="42"/>
        <v>#DIV/0!</v>
      </c>
      <c r="AS39" s="29" t="str">
        <f t="shared" si="42"/>
        <v>#DIV/0!</v>
      </c>
      <c r="AT39" s="29" t="str">
        <f t="shared" si="42"/>
        <v>#DIV/0!</v>
      </c>
      <c r="AU39" s="29" t="str">
        <f t="shared" si="42"/>
        <v>#DIV/0!</v>
      </c>
      <c r="AV39" s="29" t="str">
        <f t="shared" si="42"/>
        <v>#DIV/0!</v>
      </c>
      <c r="AW39" s="29" t="str">
        <f t="shared" si="42"/>
        <v>#DIV/0!</v>
      </c>
      <c r="AX39" s="29" t="str">
        <f t="shared" si="42"/>
        <v>#DIV/0!</v>
      </c>
      <c r="AY39" s="29" t="str">
        <f t="shared" si="42"/>
        <v>#DIV/0!</v>
      </c>
      <c r="AZ39" s="29" t="str">
        <f t="shared" si="42"/>
        <v>#DIV/0!</v>
      </c>
      <c r="BA39" s="29" t="str">
        <f t="shared" si="42"/>
        <v>#DIV/0!</v>
      </c>
      <c r="BB39" s="29" t="str">
        <f t="shared" si="42"/>
        <v>#DIV/0!</v>
      </c>
      <c r="BC39" s="29" t="str">
        <f t="shared" si="42"/>
        <v>#DIV/0!</v>
      </c>
      <c r="BD39" s="29" t="str">
        <f t="shared" si="42"/>
        <v>#DIV/0!</v>
      </c>
      <c r="BE39" s="29" t="str">
        <f t="shared" si="42"/>
        <v>#DIV/0!</v>
      </c>
      <c r="BF39" s="29" t="str">
        <f t="shared" si="42"/>
        <v>#DIV/0!</v>
      </c>
      <c r="BG39" s="29" t="str">
        <f t="shared" si="42"/>
        <v>#DIV/0!</v>
      </c>
      <c r="BH39" s="29" t="str">
        <f t="shared" si="42"/>
        <v>#DIV/0!</v>
      </c>
      <c r="BI39" s="29" t="str">
        <f t="shared" si="42"/>
        <v>#DIV/0!</v>
      </c>
      <c r="BJ39" s="29" t="str">
        <f t="shared" si="42"/>
        <v>#DIV/0!</v>
      </c>
      <c r="BK39" s="29" t="str">
        <f t="shared" si="42"/>
        <v>#DIV/0!</v>
      </c>
      <c r="BL39" s="29" t="str">
        <f t="shared" si="42"/>
        <v>#DIV/0!</v>
      </c>
      <c r="BM39" s="29" t="str">
        <f t="shared" si="3"/>
        <v>#DIV/0!</v>
      </c>
    </row>
    <row r="40" hidden="1">
      <c r="A40" s="16" t="str">
        <f>IFERROR(__xludf.DUMMYFUNCTION("IFERROR(SPARKLINE(SORT(MAP(TRANSPOSE(AQ40:BL40), LAMBDA(val, IF(ISNUMBER(val), PERCENTRANK(AQ40:BL40, val)+0.01, 0))), SEQUENCE(COLUMNS(AQ40:BL40)), FALSE), {""charttype"",""column""; ""color"",""chartreuse""; ""ymin"", 0; ""ymax"", 1.01; ""highcolor"", "&amp;"""darkgreen""; ""lowcolor"", ""red""}), """")"),"")</f>
        <v/>
      </c>
      <c r="B40" s="17" t="str">
        <f t="shared" si="4"/>
        <v/>
      </c>
      <c r="C40" s="1" t="s">
        <v>2685</v>
      </c>
      <c r="D40" s="30" t="str">
        <f>IFERROR(__xludf.DUMMYFUNCTION("IFERROR(GOOGLEFINANCE(C40, ""NAME""))"),"FLEX LNG Ltd")</f>
        <v>FLEX LNG Ltd</v>
      </c>
      <c r="E40" s="30" t="s">
        <v>2547</v>
      </c>
      <c r="F40" s="33" t="str">
        <f>IFERROR(__xludf.DUMMYFUNCTION("( (GOOGLEFINANCE(C40, ""price"") - Q40) / Q40 ) / (R40 / 100)"),"Loading...")</f>
        <v>Loading...</v>
      </c>
      <c r="G40" s="20" t="str">
        <f>IFERROR(__xludf.DUMMYFUNCTION("AVERAGE(ARRAYFORMULA(100 * (QUERY(GOOGLEFINANCE(C40, ""high"", TODAY()-40, TODAY()), ""SELECT Col2 WHERE Col2 IS NOT NULL ORDER BY Col1 DESC LIMIT 20"", 0) / QUERY(GOOGLEFINANCE(C40, ""low"", TODAY()-40, TODAY()), ""SELECT Col2 WHERE Col2 IS NOT NULL ORDE"&amp;"R BY Col1 DESC LIMIT 20"", 0) - 1)))"),"#N/A")</f>
        <v>#N/A</v>
      </c>
      <c r="H40" s="35" t="str">
        <f t="shared" si="6"/>
        <v>Illiquid</v>
      </c>
      <c r="I40" s="35" t="str">
        <f t="shared" si="7"/>
        <v>RVol Required</v>
      </c>
      <c r="J40" s="37">
        <f>IFERROR(__xludf.DUMMYFUNCTION("IFERROR(
  IF(C40="""",, 
    IFERROR(
      GOOGLEFINANCE(C40, ""price"") * GOOGLEFINANCE(C40, ""volumeavg""), 
      GOOGLEFINANCE(C40, ""price"") * AVERAGE(QUERY(GOOGLEFINANCE(C40, ""volume"", TODAY()-40, TODAY()), ""SELECT Col2 WHERE Col2 IS NOT NULL "&amp;"ORDER BY Col1 DESC LIMIT 20"", 0))
    )
  ), 
"""")"),1.044286983E7)</f>
        <v>10442869.83</v>
      </c>
      <c r="K40" s="21">
        <f>IFERROR(__xludf.DUMMYFUNCTION("IFERROR(GOOGLEFINANCE(C40, ""changepct"") / 100, """")"),-0.0143)</f>
        <v>-0.0143</v>
      </c>
      <c r="L40" s="21" t="str">
        <f>IFERROR(__xludf.DUMMYFUNCTION("IFERROR((GOOGLEFINANCE(C40, ""price"") / INDEX(GOOGLEFINANCE(C40, ""price"", TODAY()-7, TODAY()), 2, 2)) - 1, """")"),"")</f>
        <v/>
      </c>
      <c r="M40" s="21" t="str">
        <f>IFERROR(__xludf.DUMMYFUNCTION("IFERROR((GOOGLEFINANCE(C40, ""price"") / INDEX(GOOGLEFINANCE(C40, ""price"", EDATE(TODAY(), -1), TODAY()), 2, 2)) - 1, """")"),"")</f>
        <v/>
      </c>
      <c r="N40" s="21" t="str">
        <f>IFERROR(__xludf.DUMMYFUNCTION("IFERROR((GOOGLEFINANCE(C40, ""price"") / INDEX(GOOGLEFINANCE(C40, ""price"", EDATE(TODAY(), -3), TODAY()), 2, 2)) - 1, """")"),"")</f>
        <v/>
      </c>
      <c r="O40" s="21" t="str">
        <f>IFERROR(__xludf.DUMMYFUNCTION("IFERROR((GOOGLEFINANCE(C40, ""price"") / INDEX(GOOGLEFINANCE(C40, ""price"", EDATE(TODAY(), -6), TODAY()), 2, 2)) - 1, """")"),"")</f>
        <v/>
      </c>
      <c r="P40" s="21" t="str">
        <f>IFERROR(__xludf.DUMMYFUNCTION("IFERROR((GOOGLEFINANCE(C40, ""price"") / INDEX(GOOGLEFINANCE(C40, ""price"", EDATE(TODAY(), -12), TODAY()), 2, 2)) - 1, """")"),"")</f>
        <v/>
      </c>
      <c r="Q40" s="6" t="str">
        <f>IFERROR(__xludf.DUMMYFUNCTION("AVERAGE(QUERY(GOOGLEFINANCE(C40, ""price"", TODAY()-80, TODAY()), ""SELECT Col2 WHERE Col2 IS NOT NULL ORDER BY Col1 DESC LIMIT 50"", 0))"),"#N/A")</f>
        <v>#N/A</v>
      </c>
      <c r="R40" s="24" t="str">
        <f>IFERROR(__xludf.DUMMYFUNCTION("IFERROR(
  LET(
    data, QUERY(GOOGLEFINANCE(C40,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GOOGLEFINANCE(C40, ""price"")) * 100,
    IF(calc=0, G40, calc)
  ), 
G40)"),"#N/A")</f>
        <v>#N/A</v>
      </c>
      <c r="S40" s="8" t="s">
        <v>15</v>
      </c>
      <c r="T40" s="26" t="str">
        <f>IFERROR(__xludf.DUMMYFUNCTION("IFERROR(TRANSPOSE(QUERY(IFERROR(SORT(GOOGLEFINANCE(C40, ""price"", WORKDAY(TODAY(), -40), TODAY()), 1, FALSE)), ""select Col2 where Col2 is not null limit 22 label Col2 ''"", 0)), """")"),"")</f>
        <v/>
      </c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8"/>
      <c r="AO40" s="28"/>
      <c r="AP40" s="29"/>
      <c r="AQ40" s="29" t="str">
        <f t="shared" ref="AQ40:BL40" si="43">T40/T$2</f>
        <v>#N/A</v>
      </c>
      <c r="AR40" s="29" t="str">
        <f t="shared" si="43"/>
        <v>#DIV/0!</v>
      </c>
      <c r="AS40" s="29" t="str">
        <f t="shared" si="43"/>
        <v>#DIV/0!</v>
      </c>
      <c r="AT40" s="29" t="str">
        <f t="shared" si="43"/>
        <v>#DIV/0!</v>
      </c>
      <c r="AU40" s="29" t="str">
        <f t="shared" si="43"/>
        <v>#DIV/0!</v>
      </c>
      <c r="AV40" s="29" t="str">
        <f t="shared" si="43"/>
        <v>#DIV/0!</v>
      </c>
      <c r="AW40" s="29" t="str">
        <f t="shared" si="43"/>
        <v>#DIV/0!</v>
      </c>
      <c r="AX40" s="29" t="str">
        <f t="shared" si="43"/>
        <v>#DIV/0!</v>
      </c>
      <c r="AY40" s="29" t="str">
        <f t="shared" si="43"/>
        <v>#DIV/0!</v>
      </c>
      <c r="AZ40" s="29" t="str">
        <f t="shared" si="43"/>
        <v>#DIV/0!</v>
      </c>
      <c r="BA40" s="29" t="str">
        <f t="shared" si="43"/>
        <v>#DIV/0!</v>
      </c>
      <c r="BB40" s="29" t="str">
        <f t="shared" si="43"/>
        <v>#DIV/0!</v>
      </c>
      <c r="BC40" s="29" t="str">
        <f t="shared" si="43"/>
        <v>#DIV/0!</v>
      </c>
      <c r="BD40" s="29" t="str">
        <f t="shared" si="43"/>
        <v>#DIV/0!</v>
      </c>
      <c r="BE40" s="29" t="str">
        <f t="shared" si="43"/>
        <v>#DIV/0!</v>
      </c>
      <c r="BF40" s="29" t="str">
        <f t="shared" si="43"/>
        <v>#DIV/0!</v>
      </c>
      <c r="BG40" s="29" t="str">
        <f t="shared" si="43"/>
        <v>#DIV/0!</v>
      </c>
      <c r="BH40" s="29" t="str">
        <f t="shared" si="43"/>
        <v>#DIV/0!</v>
      </c>
      <c r="BI40" s="29" t="str">
        <f t="shared" si="43"/>
        <v>#DIV/0!</v>
      </c>
      <c r="BJ40" s="29" t="str">
        <f t="shared" si="43"/>
        <v>#DIV/0!</v>
      </c>
      <c r="BK40" s="29" t="str">
        <f t="shared" si="43"/>
        <v>#DIV/0!</v>
      </c>
      <c r="BL40" s="29" t="str">
        <f t="shared" si="43"/>
        <v>#DIV/0!</v>
      </c>
      <c r="BM40" s="29" t="str">
        <f t="shared" si="3"/>
        <v>#DIV/0!</v>
      </c>
    </row>
    <row r="41">
      <c r="A41" s="16" t="str">
        <f>IFERROR(__xludf.DUMMYFUNCTION("IFERROR(SPARKLINE(SORT(MAP(TRANSPOSE(AQ41:BL41), LAMBDA(val, IF(ISNUMBER(val), PERCENTRANK(AQ41:BL41, val)+0.01, 0))), SEQUENCE(COLUMNS(AQ41:BL41)), FALSE), {""charttype"",""column""; ""color"",""chartreuse""; ""ymin"", 0; ""ymax"", 1.01; ""highcolor"", "&amp;"""darkgreen""; ""lowcolor"", ""red""}), """")"),"")</f>
        <v/>
      </c>
      <c r="B41" s="17" t="str">
        <f t="shared" si="4"/>
        <v/>
      </c>
      <c r="C41" s="1" t="s">
        <v>2689</v>
      </c>
      <c r="D41" s="30" t="str">
        <f>IFERROR(__xludf.DUMMYFUNCTION("IFERROR(GOOGLEFINANCE(C41, ""NAME""))"),"HF Sinclair Corp")</f>
        <v>HF Sinclair Corp</v>
      </c>
      <c r="E41" s="30" t="s">
        <v>2649</v>
      </c>
      <c r="F41" s="33" t="str">
        <f>IFERROR(__xludf.DUMMYFUNCTION("( (GOOGLEFINANCE(C41, ""price"") - Q41) / Q41 ) / (R41 / 100)"),"Loading...")</f>
        <v>Loading...</v>
      </c>
      <c r="G41" s="20" t="str">
        <f>IFERROR(__xludf.DUMMYFUNCTION("AVERAGE(ARRAYFORMULA(100 * (QUERY(GOOGLEFINANCE(C41, ""high"", TODAY()-40, TODAY()), ""SELECT Col2 WHERE Col2 IS NOT NULL ORDER BY Col1 DESC LIMIT 20"", 0) / QUERY(GOOGLEFINANCE(C41, ""low"", TODAY()-40, TODAY()), ""SELECT Col2 WHERE Col2 IS NOT NULL ORDE"&amp;"R BY Col1 DESC LIMIT 20"", 0) - 1)))"),"#N/A")</f>
        <v>#N/A</v>
      </c>
      <c r="H41" s="35" t="str">
        <f t="shared" si="6"/>
        <v>Liquid</v>
      </c>
      <c r="I41" s="35" t="str">
        <f t="shared" si="7"/>
        <v>RVol Required</v>
      </c>
      <c r="J41" s="37">
        <f>IFERROR(__xludf.DUMMYFUNCTION("IFERROR(
  IF(C41="""",, 
    IFERROR(
      GOOGLEFINANCE(C41, ""price"") * GOOGLEFINANCE(C41, ""volumeavg""), 
      GOOGLEFINANCE(C41, ""price"") * AVERAGE(QUERY(GOOGLEFINANCE(C41, ""volume"", TODAY()-40, TODAY()), ""SELECT Col2 WHERE Col2 IS NOT NULL "&amp;"ORDER BY Col1 DESC LIMIT 20"", 0))
    )
  ), 
"""")"),3.2820617588E8)</f>
        <v>328206175.9</v>
      </c>
      <c r="K41" s="21">
        <f>IFERROR(__xludf.DUMMYFUNCTION("IFERROR(GOOGLEFINANCE(C41, ""changepct"") / 100, """")"),0.004699999999999999)</f>
        <v>0.0047</v>
      </c>
      <c r="L41" s="21" t="str">
        <f>IFERROR(__xludf.DUMMYFUNCTION("IFERROR((GOOGLEFINANCE(C41, ""price"") / INDEX(GOOGLEFINANCE(C41, ""price"", TODAY()-7, TODAY()), 2, 2)) - 1, """")"),"")</f>
        <v/>
      </c>
      <c r="M41" s="21" t="str">
        <f>IFERROR(__xludf.DUMMYFUNCTION("IFERROR((GOOGLEFINANCE(C41, ""price"") / INDEX(GOOGLEFINANCE(C41, ""price"", EDATE(TODAY(), -1), TODAY()), 2, 2)) - 1, """")"),"")</f>
        <v/>
      </c>
      <c r="N41" s="21" t="str">
        <f>IFERROR(__xludf.DUMMYFUNCTION("IFERROR((GOOGLEFINANCE(C41, ""price"") / INDEX(GOOGLEFINANCE(C41, ""price"", EDATE(TODAY(), -3), TODAY()), 2, 2)) - 1, """")"),"")</f>
        <v/>
      </c>
      <c r="O41" s="21" t="str">
        <f>IFERROR(__xludf.DUMMYFUNCTION("IFERROR((GOOGLEFINANCE(C41, ""price"") / INDEX(GOOGLEFINANCE(C41, ""price"", EDATE(TODAY(), -6), TODAY()), 2, 2)) - 1, """")"),"")</f>
        <v/>
      </c>
      <c r="P41" s="21" t="str">
        <f>IFERROR(__xludf.DUMMYFUNCTION("IFERROR((GOOGLEFINANCE(C41, ""price"") / INDEX(GOOGLEFINANCE(C41, ""price"", EDATE(TODAY(), -12), TODAY()), 2, 2)) - 1, """")"),"")</f>
        <v/>
      </c>
      <c r="Q41" s="6" t="str">
        <f>IFERROR(__xludf.DUMMYFUNCTION("AVERAGE(QUERY(GOOGLEFINANCE(C41, ""price"", TODAY()-80, TODAY()), ""SELECT Col2 WHERE Col2 IS NOT NULL ORDER BY Col1 DESC LIMIT 50"", 0))"),"#N/A")</f>
        <v>#N/A</v>
      </c>
      <c r="R41" s="24" t="str">
        <f>IFERROR(__xludf.DUMMYFUNCTION("IFERROR(
  LET(
    data, QUERY(GOOGLEFINANCE(C41,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GOOGLEFINANCE(C41, ""price"")) * 100,
    IF(calc=0, G41, calc)
  ), 
G41)"),"#N/A")</f>
        <v>#N/A</v>
      </c>
      <c r="S41" s="8" t="s">
        <v>15</v>
      </c>
      <c r="T41" s="26" t="str">
        <f>IFERROR(__xludf.DUMMYFUNCTION("IFERROR(TRANSPOSE(QUERY(IFERROR(SORT(GOOGLEFINANCE(C41, ""price"", WORKDAY(TODAY(), -40), TODAY()), 1, FALSE)), ""select Col2 where Col2 is not null limit 22 label Col2 ''"", 0)), """")"),"")</f>
        <v/>
      </c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8"/>
      <c r="AO41" s="28"/>
      <c r="AP41" s="29"/>
      <c r="AQ41" s="29" t="str">
        <f t="shared" ref="AQ41:BL41" si="44">T41/T$2</f>
        <v>#N/A</v>
      </c>
      <c r="AR41" s="29" t="str">
        <f t="shared" si="44"/>
        <v>#DIV/0!</v>
      </c>
      <c r="AS41" s="29" t="str">
        <f t="shared" si="44"/>
        <v>#DIV/0!</v>
      </c>
      <c r="AT41" s="29" t="str">
        <f t="shared" si="44"/>
        <v>#DIV/0!</v>
      </c>
      <c r="AU41" s="29" t="str">
        <f t="shared" si="44"/>
        <v>#DIV/0!</v>
      </c>
      <c r="AV41" s="29" t="str">
        <f t="shared" si="44"/>
        <v>#DIV/0!</v>
      </c>
      <c r="AW41" s="29" t="str">
        <f t="shared" si="44"/>
        <v>#DIV/0!</v>
      </c>
      <c r="AX41" s="29" t="str">
        <f t="shared" si="44"/>
        <v>#DIV/0!</v>
      </c>
      <c r="AY41" s="29" t="str">
        <f t="shared" si="44"/>
        <v>#DIV/0!</v>
      </c>
      <c r="AZ41" s="29" t="str">
        <f t="shared" si="44"/>
        <v>#DIV/0!</v>
      </c>
      <c r="BA41" s="29" t="str">
        <f t="shared" si="44"/>
        <v>#DIV/0!</v>
      </c>
      <c r="BB41" s="29" t="str">
        <f t="shared" si="44"/>
        <v>#DIV/0!</v>
      </c>
      <c r="BC41" s="29" t="str">
        <f t="shared" si="44"/>
        <v>#DIV/0!</v>
      </c>
      <c r="BD41" s="29" t="str">
        <f t="shared" si="44"/>
        <v>#DIV/0!</v>
      </c>
      <c r="BE41" s="29" t="str">
        <f t="shared" si="44"/>
        <v>#DIV/0!</v>
      </c>
      <c r="BF41" s="29" t="str">
        <f t="shared" si="44"/>
        <v>#DIV/0!</v>
      </c>
      <c r="BG41" s="29" t="str">
        <f t="shared" si="44"/>
        <v>#DIV/0!</v>
      </c>
      <c r="BH41" s="29" t="str">
        <f t="shared" si="44"/>
        <v>#DIV/0!</v>
      </c>
      <c r="BI41" s="29" t="str">
        <f t="shared" si="44"/>
        <v>#DIV/0!</v>
      </c>
      <c r="BJ41" s="29" t="str">
        <f t="shared" si="44"/>
        <v>#DIV/0!</v>
      </c>
      <c r="BK41" s="29" t="str">
        <f t="shared" si="44"/>
        <v>#DIV/0!</v>
      </c>
      <c r="BL41" s="29" t="str">
        <f t="shared" si="44"/>
        <v>#DIV/0!</v>
      </c>
      <c r="BM41" s="29" t="str">
        <f t="shared" si="3"/>
        <v>#DIV/0!</v>
      </c>
    </row>
    <row r="42" hidden="1">
      <c r="A42" s="16" t="str">
        <f>IFERROR(__xludf.DUMMYFUNCTION("IFERROR(SPARKLINE(SORT(MAP(TRANSPOSE(AQ42:BL42), LAMBDA(val, IF(ISNUMBER(val), PERCENTRANK(AQ42:BL42, val)+0.01, 0))), SEQUENCE(COLUMNS(AQ42:BL42)), FALSE), {""charttype"",""column""; ""color"",""chartreuse""; ""ymin"", 0; ""ymax"", 1.01; ""highcolor"", "&amp;"""darkgreen""; ""lowcolor"", ""red""}), """")"),"")</f>
        <v/>
      </c>
      <c r="B42" s="17" t="str">
        <f t="shared" si="4"/>
        <v/>
      </c>
      <c r="C42" s="1" t="s">
        <v>2694</v>
      </c>
      <c r="D42" s="30" t="str">
        <f>IFERROR(__xludf.DUMMYFUNCTION("IFERROR(GOOGLEFINANCE(C42, ""NAME""))"),"CVR Energy, Inc.")</f>
        <v>CVR Energy, Inc.</v>
      </c>
      <c r="E42" s="30" t="s">
        <v>2649</v>
      </c>
      <c r="F42" s="33" t="str">
        <f>IFERROR(__xludf.DUMMYFUNCTION("( (GOOGLEFINANCE(C42, ""price"") - Q42) / Q42 ) / (R42 / 100)"),"Loading...")</f>
        <v>Loading...</v>
      </c>
      <c r="G42" s="20" t="str">
        <f>IFERROR(__xludf.DUMMYFUNCTION("AVERAGE(ARRAYFORMULA(100 * (QUERY(GOOGLEFINANCE(C42, ""high"", TODAY()-40, TODAY()), ""SELECT Col2 WHERE Col2 IS NOT NULL ORDER BY Col1 DESC LIMIT 20"", 0) / QUERY(GOOGLEFINANCE(C42, ""low"", TODAY()-40, TODAY()), ""SELECT Col2 WHERE Col2 IS NOT NULL ORDE"&amp;"R BY Col1 DESC LIMIT 20"", 0) - 1)))"),"#N/A")</f>
        <v>#N/A</v>
      </c>
      <c r="H42" s="35" t="str">
        <f t="shared" si="6"/>
        <v>Liquid</v>
      </c>
      <c r="I42" s="35" t="str">
        <f t="shared" si="7"/>
        <v>RVol Required</v>
      </c>
      <c r="J42" s="37">
        <f>IFERROR(__xludf.DUMMYFUNCTION("IFERROR(
  IF(C42="""",, 
    IFERROR(
      GOOGLEFINANCE(C42, ""price"") * GOOGLEFINANCE(C42, ""volumeavg""), 
      GOOGLEFINANCE(C42, ""price"") * AVERAGE(QUERY(GOOGLEFINANCE(C42, ""volume"", TODAY()-40, TODAY()), ""SELECT Col2 WHERE Col2 IS NOT NULL "&amp;"ORDER BY Col1 DESC LIMIT 20"", 0))
    )
  ), 
"""")"),6.502406418E7)</f>
        <v>65024064.18</v>
      </c>
      <c r="K42" s="21">
        <f>IFERROR(__xludf.DUMMYFUNCTION("IFERROR(GOOGLEFINANCE(C42, ""changepct"") / 100, """")"),-0.0042)</f>
        <v>-0.0042</v>
      </c>
      <c r="L42" s="21" t="str">
        <f>IFERROR(__xludf.DUMMYFUNCTION("IFERROR((GOOGLEFINANCE(C42, ""price"") / INDEX(GOOGLEFINANCE(C42, ""price"", TODAY()-7, TODAY()), 2, 2)) - 1, """")"),"")</f>
        <v/>
      </c>
      <c r="M42" s="21" t="str">
        <f>IFERROR(__xludf.DUMMYFUNCTION("IFERROR((GOOGLEFINANCE(C42, ""price"") / INDEX(GOOGLEFINANCE(C42, ""price"", EDATE(TODAY(), -1), TODAY()), 2, 2)) - 1, """")"),"")</f>
        <v/>
      </c>
      <c r="N42" s="21" t="str">
        <f>IFERROR(__xludf.DUMMYFUNCTION("IFERROR((GOOGLEFINANCE(C42, ""price"") / INDEX(GOOGLEFINANCE(C42, ""price"", EDATE(TODAY(), -3), TODAY()), 2, 2)) - 1, """")"),"")</f>
        <v/>
      </c>
      <c r="O42" s="21" t="str">
        <f>IFERROR(__xludf.DUMMYFUNCTION("IFERROR((GOOGLEFINANCE(C42, ""price"") / INDEX(GOOGLEFINANCE(C42, ""price"", EDATE(TODAY(), -6), TODAY()), 2, 2)) - 1, """")"),"")</f>
        <v/>
      </c>
      <c r="P42" s="21" t="str">
        <f>IFERROR(__xludf.DUMMYFUNCTION("IFERROR((GOOGLEFINANCE(C42, ""price"") / INDEX(GOOGLEFINANCE(C42, ""price"", EDATE(TODAY(), -12), TODAY()), 2, 2)) - 1, """")"),"")</f>
        <v/>
      </c>
      <c r="Q42" s="6" t="str">
        <f>IFERROR(__xludf.DUMMYFUNCTION("AVERAGE(QUERY(GOOGLEFINANCE(C42, ""price"", TODAY()-80, TODAY()), ""SELECT Col2 WHERE Col2 IS NOT NULL ORDER BY Col1 DESC LIMIT 50"", 0))"),"#N/A")</f>
        <v>#N/A</v>
      </c>
      <c r="R42" s="24" t="str">
        <f>IFERROR(__xludf.DUMMYFUNCTION("IFERROR(
  LET(
    data, QUERY(GOOGLEFINANCE(C42,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GOOGLEFINANCE(C42, ""price"")) * 100,
    IF(calc=0, G42, calc)
  ), 
G42)"),"#N/A")</f>
        <v>#N/A</v>
      </c>
      <c r="S42" s="8" t="s">
        <v>15</v>
      </c>
      <c r="T42" s="26" t="str">
        <f>IFERROR(__xludf.DUMMYFUNCTION("IFERROR(TRANSPOSE(QUERY(IFERROR(SORT(GOOGLEFINANCE(C42, ""price"", WORKDAY(TODAY(), -40), TODAY()), 1, FALSE)), ""select Col2 where Col2 is not null limit 22 label Col2 ''"", 0)), """")"),"")</f>
        <v/>
      </c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8"/>
      <c r="AO42" s="28"/>
      <c r="AP42" s="29"/>
      <c r="AQ42" s="29" t="str">
        <f t="shared" ref="AQ42:BL42" si="45">T42/T$2</f>
        <v>#N/A</v>
      </c>
      <c r="AR42" s="29" t="str">
        <f t="shared" si="45"/>
        <v>#DIV/0!</v>
      </c>
      <c r="AS42" s="29" t="str">
        <f t="shared" si="45"/>
        <v>#DIV/0!</v>
      </c>
      <c r="AT42" s="29" t="str">
        <f t="shared" si="45"/>
        <v>#DIV/0!</v>
      </c>
      <c r="AU42" s="29" t="str">
        <f t="shared" si="45"/>
        <v>#DIV/0!</v>
      </c>
      <c r="AV42" s="29" t="str">
        <f t="shared" si="45"/>
        <v>#DIV/0!</v>
      </c>
      <c r="AW42" s="29" t="str">
        <f t="shared" si="45"/>
        <v>#DIV/0!</v>
      </c>
      <c r="AX42" s="29" t="str">
        <f t="shared" si="45"/>
        <v>#DIV/0!</v>
      </c>
      <c r="AY42" s="29" t="str">
        <f t="shared" si="45"/>
        <v>#DIV/0!</v>
      </c>
      <c r="AZ42" s="29" t="str">
        <f t="shared" si="45"/>
        <v>#DIV/0!</v>
      </c>
      <c r="BA42" s="29" t="str">
        <f t="shared" si="45"/>
        <v>#DIV/0!</v>
      </c>
      <c r="BB42" s="29" t="str">
        <f t="shared" si="45"/>
        <v>#DIV/0!</v>
      </c>
      <c r="BC42" s="29" t="str">
        <f t="shared" si="45"/>
        <v>#DIV/0!</v>
      </c>
      <c r="BD42" s="29" t="str">
        <f t="shared" si="45"/>
        <v>#DIV/0!</v>
      </c>
      <c r="BE42" s="29" t="str">
        <f t="shared" si="45"/>
        <v>#DIV/0!</v>
      </c>
      <c r="BF42" s="29" t="str">
        <f t="shared" si="45"/>
        <v>#DIV/0!</v>
      </c>
      <c r="BG42" s="29" t="str">
        <f t="shared" si="45"/>
        <v>#DIV/0!</v>
      </c>
      <c r="BH42" s="29" t="str">
        <f t="shared" si="45"/>
        <v>#DIV/0!</v>
      </c>
      <c r="BI42" s="29" t="str">
        <f t="shared" si="45"/>
        <v>#DIV/0!</v>
      </c>
      <c r="BJ42" s="29" t="str">
        <f t="shared" si="45"/>
        <v>#DIV/0!</v>
      </c>
      <c r="BK42" s="29" t="str">
        <f t="shared" si="45"/>
        <v>#DIV/0!</v>
      </c>
      <c r="BL42" s="29" t="str">
        <f t="shared" si="45"/>
        <v>#DIV/0!</v>
      </c>
      <c r="BM42" s="29" t="str">
        <f t="shared" si="3"/>
        <v>#DIV/0!</v>
      </c>
    </row>
    <row r="43">
      <c r="A43" s="16" t="str">
        <f>IFERROR(__xludf.DUMMYFUNCTION("IFERROR(SPARKLINE(SORT(MAP(TRANSPOSE(AQ43:BL43), LAMBDA(val, IF(ISNUMBER(val), PERCENTRANK(AQ43:BL43, val)+0.01, 0))), SEQUENCE(COLUMNS(AQ43:BL43)), FALSE), {""charttype"",""column""; ""color"",""chartreuse""; ""ymin"", 0; ""ymax"", 1.01; ""highcolor"", "&amp;"""darkgreen""; ""lowcolor"", ""red""}), """")"),"")</f>
        <v/>
      </c>
      <c r="B43" s="17" t="str">
        <f t="shared" si="4"/>
        <v/>
      </c>
      <c r="C43" s="1" t="s">
        <v>2698</v>
      </c>
      <c r="D43" s="30" t="str">
        <f>IFERROR(__xludf.DUMMYFUNCTION("IFERROR(GOOGLEFINANCE(C43, ""NAME""))"),"Atlas Energy Solutions Inc")</f>
        <v>Atlas Energy Solutions Inc</v>
      </c>
      <c r="E43" s="30" t="s">
        <v>2537</v>
      </c>
      <c r="F43" s="33" t="str">
        <f>IFERROR(__xludf.DUMMYFUNCTION("( (GOOGLEFINANCE(C43, ""price"") - Q43) / Q43 ) / (R43 / 100)"),"Loading...")</f>
        <v>Loading...</v>
      </c>
      <c r="G43" s="20" t="str">
        <f>IFERROR(__xludf.DUMMYFUNCTION("AVERAGE(ARRAYFORMULA(100 * (QUERY(GOOGLEFINANCE(C43, ""high"", TODAY()-40, TODAY()), ""SELECT Col2 WHERE Col2 IS NOT NULL ORDER BY Col1 DESC LIMIT 20"", 0) / QUERY(GOOGLEFINANCE(C43, ""low"", TODAY()-40, TODAY()), ""SELECT Col2 WHERE Col2 IS NOT NULL ORDE"&amp;"R BY Col1 DESC LIMIT 20"", 0) - 1)))"),"#N/A")</f>
        <v>#N/A</v>
      </c>
      <c r="H43" s="35" t="str">
        <f t="shared" si="6"/>
        <v>Illiquid</v>
      </c>
      <c r="I43" s="35" t="str">
        <f t="shared" si="7"/>
        <v>RVol Required</v>
      </c>
      <c r="J43" s="37">
        <f>IFERROR(__xludf.DUMMYFUNCTION("IFERROR(
  IF(C43="""",, 
    IFERROR(
      GOOGLEFINANCE(C43, ""price"") * GOOGLEFINANCE(C43, ""volumeavg""), 
      GOOGLEFINANCE(C43, ""price"") * AVERAGE(QUERY(GOOGLEFINANCE(C43, ""volume"", TODAY()-40, TODAY()), ""SELECT Col2 WHERE Col2 IS NOT NULL "&amp;"ORDER BY Col1 DESC LIMIT 20"", 0))
    )
  ), 
"""")"),3.525971136E7)</f>
        <v>35259711.36</v>
      </c>
      <c r="K43" s="21">
        <f>IFERROR(__xludf.DUMMYFUNCTION("IFERROR(GOOGLEFINANCE(C43, ""changepct"") / 100, """")"),-0.045599999999999995)</f>
        <v>-0.0456</v>
      </c>
      <c r="L43" s="21" t="str">
        <f>IFERROR(__xludf.DUMMYFUNCTION("IFERROR((GOOGLEFINANCE(C43, ""price"") / INDEX(GOOGLEFINANCE(C43, ""price"", TODAY()-7, TODAY()), 2, 2)) - 1, """")"),"")</f>
        <v/>
      </c>
      <c r="M43" s="21" t="str">
        <f>IFERROR(__xludf.DUMMYFUNCTION("IFERROR((GOOGLEFINANCE(C43, ""price"") / INDEX(GOOGLEFINANCE(C43, ""price"", EDATE(TODAY(), -1), TODAY()), 2, 2)) - 1, """")"),"")</f>
        <v/>
      </c>
      <c r="N43" s="21" t="str">
        <f>IFERROR(__xludf.DUMMYFUNCTION("IFERROR((GOOGLEFINANCE(C43, ""price"") / INDEX(GOOGLEFINANCE(C43, ""price"", EDATE(TODAY(), -3), TODAY()), 2, 2)) - 1, """")"),"")</f>
        <v/>
      </c>
      <c r="O43" s="21" t="str">
        <f>IFERROR(__xludf.DUMMYFUNCTION("IFERROR((GOOGLEFINANCE(C43, ""price"") / INDEX(GOOGLEFINANCE(C43, ""price"", EDATE(TODAY(), -6), TODAY()), 2, 2)) - 1, """")"),"")</f>
        <v/>
      </c>
      <c r="P43" s="21" t="str">
        <f>IFERROR(__xludf.DUMMYFUNCTION("IFERROR((GOOGLEFINANCE(C43, ""price"") / INDEX(GOOGLEFINANCE(C43, ""price"", EDATE(TODAY(), -12), TODAY()), 2, 2)) - 1, """")"),"")</f>
        <v/>
      </c>
      <c r="Q43" s="6" t="str">
        <f>IFERROR(__xludf.DUMMYFUNCTION("AVERAGE(QUERY(GOOGLEFINANCE(C43, ""price"", TODAY()-80, TODAY()), ""SELECT Col2 WHERE Col2 IS NOT NULL ORDER BY Col1 DESC LIMIT 50"", 0))"),"#N/A")</f>
        <v>#N/A</v>
      </c>
      <c r="R43" s="24" t="str">
        <f>IFERROR(__xludf.DUMMYFUNCTION("IFERROR(
  LET(
    data, QUERY(GOOGLEFINANCE(C43,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GOOGLEFINANCE(C43, ""price"")) * 100,
    IF(calc=0, G43, calc)
  ), 
G43)"),"#N/A")</f>
        <v>#N/A</v>
      </c>
      <c r="S43" s="8" t="s">
        <v>15</v>
      </c>
      <c r="T43" s="26" t="str">
        <f>IFERROR(__xludf.DUMMYFUNCTION("IFERROR(TRANSPOSE(QUERY(IFERROR(SORT(GOOGLEFINANCE(C43, ""price"", WORKDAY(TODAY(), -40), TODAY()), 1, FALSE)), ""select Col2 where Col2 is not null limit 22 label Col2 ''"", 0)), """")"),"")</f>
        <v/>
      </c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8"/>
      <c r="AO43" s="28"/>
      <c r="AP43" s="29"/>
      <c r="AQ43" s="29" t="str">
        <f t="shared" ref="AQ43:BL43" si="46">T43/T$2</f>
        <v>#N/A</v>
      </c>
      <c r="AR43" s="29" t="str">
        <f t="shared" si="46"/>
        <v>#DIV/0!</v>
      </c>
      <c r="AS43" s="29" t="str">
        <f t="shared" si="46"/>
        <v>#DIV/0!</v>
      </c>
      <c r="AT43" s="29" t="str">
        <f t="shared" si="46"/>
        <v>#DIV/0!</v>
      </c>
      <c r="AU43" s="29" t="str">
        <f t="shared" si="46"/>
        <v>#DIV/0!</v>
      </c>
      <c r="AV43" s="29" t="str">
        <f t="shared" si="46"/>
        <v>#DIV/0!</v>
      </c>
      <c r="AW43" s="29" t="str">
        <f t="shared" si="46"/>
        <v>#DIV/0!</v>
      </c>
      <c r="AX43" s="29" t="str">
        <f t="shared" si="46"/>
        <v>#DIV/0!</v>
      </c>
      <c r="AY43" s="29" t="str">
        <f t="shared" si="46"/>
        <v>#DIV/0!</v>
      </c>
      <c r="AZ43" s="29" t="str">
        <f t="shared" si="46"/>
        <v>#DIV/0!</v>
      </c>
      <c r="BA43" s="29" t="str">
        <f t="shared" si="46"/>
        <v>#DIV/0!</v>
      </c>
      <c r="BB43" s="29" t="str">
        <f t="shared" si="46"/>
        <v>#DIV/0!</v>
      </c>
      <c r="BC43" s="29" t="str">
        <f t="shared" si="46"/>
        <v>#DIV/0!</v>
      </c>
      <c r="BD43" s="29" t="str">
        <f t="shared" si="46"/>
        <v>#DIV/0!</v>
      </c>
      <c r="BE43" s="29" t="str">
        <f t="shared" si="46"/>
        <v>#DIV/0!</v>
      </c>
      <c r="BF43" s="29" t="str">
        <f t="shared" si="46"/>
        <v>#DIV/0!</v>
      </c>
      <c r="BG43" s="29" t="str">
        <f t="shared" si="46"/>
        <v>#DIV/0!</v>
      </c>
      <c r="BH43" s="29" t="str">
        <f t="shared" si="46"/>
        <v>#DIV/0!</v>
      </c>
      <c r="BI43" s="29" t="str">
        <f t="shared" si="46"/>
        <v>#DIV/0!</v>
      </c>
      <c r="BJ43" s="29" t="str">
        <f t="shared" si="46"/>
        <v>#DIV/0!</v>
      </c>
      <c r="BK43" s="29" t="str">
        <f t="shared" si="46"/>
        <v>#DIV/0!</v>
      </c>
      <c r="BL43" s="29" t="str">
        <f t="shared" si="46"/>
        <v>#DIV/0!</v>
      </c>
      <c r="BM43" s="29" t="str">
        <f t="shared" si="3"/>
        <v>#DIV/0!</v>
      </c>
    </row>
    <row r="44" hidden="1">
      <c r="A44" s="16" t="str">
        <f>IFERROR(__xludf.DUMMYFUNCTION("IFERROR(SPARKLINE(SORT(MAP(TRANSPOSE(AQ44:BL44), LAMBDA(val, IF(ISNUMBER(val), PERCENTRANK(AQ44:BL44, val)+0.01, 0))), SEQUENCE(COLUMNS(AQ44:BL44)), FALSE), {""charttype"",""column""; ""color"",""chartreuse""; ""ymin"", 0; ""ymax"", 1.01; ""highcolor"", "&amp;"""darkgreen""; ""lowcolor"", ""red""}), """")"),"")</f>
        <v/>
      </c>
      <c r="B44" s="17" t="str">
        <f t="shared" si="4"/>
        <v/>
      </c>
      <c r="C44" s="1" t="s">
        <v>2702</v>
      </c>
      <c r="D44" s="30" t="str">
        <f>IFERROR(__xludf.DUMMYFUNCTION("IFERROR(GOOGLEFINANCE(C44, ""NAME""))"),"World Kinect Corp")</f>
        <v>World Kinect Corp</v>
      </c>
      <c r="E44" s="30" t="s">
        <v>2649</v>
      </c>
      <c r="F44" s="33" t="str">
        <f>IFERROR(__xludf.DUMMYFUNCTION("( (GOOGLEFINANCE(C44, ""price"") - Q44) / Q44 ) / (R44 / 100)"),"Loading...")</f>
        <v>Loading...</v>
      </c>
      <c r="G44" s="20" t="str">
        <f>IFERROR(__xludf.DUMMYFUNCTION("AVERAGE(ARRAYFORMULA(100 * (QUERY(GOOGLEFINANCE(C44, ""high"", TODAY()-40, TODAY()), ""SELECT Col2 WHERE Col2 IS NOT NULL ORDER BY Col1 DESC LIMIT 20"", 0) / QUERY(GOOGLEFINANCE(C44, ""low"", TODAY()-40, TODAY()), ""SELECT Col2 WHERE Col2 IS NOT NULL ORDE"&amp;"R BY Col1 DESC LIMIT 20"", 0) - 1)))"),"#N/A")</f>
        <v>#N/A</v>
      </c>
      <c r="H44" s="35" t="str">
        <f t="shared" si="6"/>
        <v>Illiquid</v>
      </c>
      <c r="I44" s="35" t="str">
        <f t="shared" si="7"/>
        <v>RVol Required</v>
      </c>
      <c r="J44" s="37">
        <f>IFERROR(__xludf.DUMMYFUNCTION("IFERROR(
  IF(C44="""",, 
    IFERROR(
      GOOGLEFINANCE(C44, ""price"") * GOOGLEFINANCE(C44, ""volumeavg""), 
      GOOGLEFINANCE(C44, ""price"") * AVERAGE(QUERY(GOOGLEFINANCE(C44, ""volume"", TODAY()-40, TODAY()), ""SELECT Col2 WHERE Col2 IS NOT NULL "&amp;"ORDER BY Col1 DESC LIMIT 20"", 0))
    )
  ), 
"""")"),3.881067074E7)</f>
        <v>38810670.74</v>
      </c>
      <c r="K44" s="21">
        <f>IFERROR(__xludf.DUMMYFUNCTION("IFERROR(GOOGLEFINANCE(C44, ""changepct"") / 100, """")"),-0.018799999999999997)</f>
        <v>-0.0188</v>
      </c>
      <c r="L44" s="21" t="str">
        <f>IFERROR(__xludf.DUMMYFUNCTION("IFERROR((GOOGLEFINANCE(C44, ""price"") / INDEX(GOOGLEFINANCE(C44, ""price"", TODAY()-7, TODAY()), 2, 2)) - 1, """")"),"")</f>
        <v/>
      </c>
      <c r="M44" s="21" t="str">
        <f>IFERROR(__xludf.DUMMYFUNCTION("IFERROR((GOOGLEFINANCE(C44, ""price"") / INDEX(GOOGLEFINANCE(C44, ""price"", EDATE(TODAY(), -1), TODAY()), 2, 2)) - 1, """")"),"")</f>
        <v/>
      </c>
      <c r="N44" s="21" t="str">
        <f>IFERROR(__xludf.DUMMYFUNCTION("IFERROR((GOOGLEFINANCE(C44, ""price"") / INDEX(GOOGLEFINANCE(C44, ""price"", EDATE(TODAY(), -3), TODAY()), 2, 2)) - 1, """")"),"")</f>
        <v/>
      </c>
      <c r="O44" s="21" t="str">
        <f>IFERROR(__xludf.DUMMYFUNCTION("IFERROR((GOOGLEFINANCE(C44, ""price"") / INDEX(GOOGLEFINANCE(C44, ""price"", EDATE(TODAY(), -6), TODAY()), 2, 2)) - 1, """")"),"")</f>
        <v/>
      </c>
      <c r="P44" s="21" t="str">
        <f>IFERROR(__xludf.DUMMYFUNCTION("IFERROR((GOOGLEFINANCE(C44, ""price"") / INDEX(GOOGLEFINANCE(C44, ""price"", EDATE(TODAY(), -12), TODAY()), 2, 2)) - 1, """")"),"")</f>
        <v/>
      </c>
      <c r="Q44" s="6" t="str">
        <f>IFERROR(__xludf.DUMMYFUNCTION("AVERAGE(QUERY(GOOGLEFINANCE(C44, ""price"", TODAY()-80, TODAY()), ""SELECT Col2 WHERE Col2 IS NOT NULL ORDER BY Col1 DESC LIMIT 50"", 0))"),"#N/A")</f>
        <v>#N/A</v>
      </c>
      <c r="R44" s="24" t="str">
        <f>IFERROR(__xludf.DUMMYFUNCTION("IFERROR(
  LET(
    data, QUERY(GOOGLEFINANCE(C44,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GOOGLEFINANCE(C44, ""price"")) * 100,
    IF(calc=0, G44, calc)
  ), 
G44)"),"#N/A")</f>
        <v>#N/A</v>
      </c>
      <c r="S44" s="8" t="s">
        <v>15</v>
      </c>
      <c r="T44" s="26" t="str">
        <f>IFERROR(__xludf.DUMMYFUNCTION("IFERROR(TRANSPOSE(QUERY(IFERROR(SORT(GOOGLEFINANCE(C44, ""price"", WORKDAY(TODAY(), -40), TODAY()), 1, FALSE)), ""select Col2 where Col2 is not null limit 22 label Col2 ''"", 0)), """")"),"")</f>
        <v/>
      </c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8"/>
      <c r="AO44" s="28"/>
      <c r="AP44" s="29"/>
      <c r="AQ44" s="29" t="str">
        <f t="shared" ref="AQ44:BL44" si="47">T44/T$2</f>
        <v>#N/A</v>
      </c>
      <c r="AR44" s="29" t="str">
        <f t="shared" si="47"/>
        <v>#DIV/0!</v>
      </c>
      <c r="AS44" s="29" t="str">
        <f t="shared" si="47"/>
        <v>#DIV/0!</v>
      </c>
      <c r="AT44" s="29" t="str">
        <f t="shared" si="47"/>
        <v>#DIV/0!</v>
      </c>
      <c r="AU44" s="29" t="str">
        <f t="shared" si="47"/>
        <v>#DIV/0!</v>
      </c>
      <c r="AV44" s="29" t="str">
        <f t="shared" si="47"/>
        <v>#DIV/0!</v>
      </c>
      <c r="AW44" s="29" t="str">
        <f t="shared" si="47"/>
        <v>#DIV/0!</v>
      </c>
      <c r="AX44" s="29" t="str">
        <f t="shared" si="47"/>
        <v>#DIV/0!</v>
      </c>
      <c r="AY44" s="29" t="str">
        <f t="shared" si="47"/>
        <v>#DIV/0!</v>
      </c>
      <c r="AZ44" s="29" t="str">
        <f t="shared" si="47"/>
        <v>#DIV/0!</v>
      </c>
      <c r="BA44" s="29" t="str">
        <f t="shared" si="47"/>
        <v>#DIV/0!</v>
      </c>
      <c r="BB44" s="29" t="str">
        <f t="shared" si="47"/>
        <v>#DIV/0!</v>
      </c>
      <c r="BC44" s="29" t="str">
        <f t="shared" si="47"/>
        <v>#DIV/0!</v>
      </c>
      <c r="BD44" s="29" t="str">
        <f t="shared" si="47"/>
        <v>#DIV/0!</v>
      </c>
      <c r="BE44" s="29" t="str">
        <f t="shared" si="47"/>
        <v>#DIV/0!</v>
      </c>
      <c r="BF44" s="29" t="str">
        <f t="shared" si="47"/>
        <v>#DIV/0!</v>
      </c>
      <c r="BG44" s="29" t="str">
        <f t="shared" si="47"/>
        <v>#DIV/0!</v>
      </c>
      <c r="BH44" s="29" t="str">
        <f t="shared" si="47"/>
        <v>#DIV/0!</v>
      </c>
      <c r="BI44" s="29" t="str">
        <f t="shared" si="47"/>
        <v>#DIV/0!</v>
      </c>
      <c r="BJ44" s="29" t="str">
        <f t="shared" si="47"/>
        <v>#DIV/0!</v>
      </c>
      <c r="BK44" s="29" t="str">
        <f t="shared" si="47"/>
        <v>#DIV/0!</v>
      </c>
      <c r="BL44" s="29" t="str">
        <f t="shared" si="47"/>
        <v>#DIV/0!</v>
      </c>
      <c r="BM44" s="29" t="str">
        <f t="shared" si="3"/>
        <v>#DIV/0!</v>
      </c>
    </row>
    <row r="45" hidden="1">
      <c r="A45" s="16" t="str">
        <f>IFERROR(__xludf.DUMMYFUNCTION("IFERROR(SPARKLINE(SORT(MAP(TRANSPOSE(AQ45:BL45), LAMBDA(val, IF(ISNUMBER(val), PERCENTRANK(AQ45:BL45, val)+0.01, 0))), SEQUENCE(COLUMNS(AQ45:BL45)), FALSE), {""charttype"",""column""; ""color"",""chartreuse""; ""ymin"", 0; ""ymax"", 1.01; ""highcolor"", "&amp;"""darkgreen""; ""lowcolor"", ""red""}), """")"),"")</f>
        <v/>
      </c>
      <c r="B45" s="17" t="str">
        <f t="shared" si="4"/>
        <v/>
      </c>
      <c r="C45" s="1" t="s">
        <v>2707</v>
      </c>
      <c r="D45" s="30" t="str">
        <f>IFERROR(__xludf.DUMMYFUNCTION("IFERROR(GOOGLEFINANCE(C45, ""NAME""))"),"Cactus Inc")</f>
        <v>Cactus Inc</v>
      </c>
      <c r="E45" s="30" t="s">
        <v>2537</v>
      </c>
      <c r="F45" s="33" t="str">
        <f>IFERROR(__xludf.DUMMYFUNCTION("( (GOOGLEFINANCE(C45, ""price"") - Q45) / Q45 ) / (R45 / 100)"),"Loading...")</f>
        <v>Loading...</v>
      </c>
      <c r="G45" s="20" t="str">
        <f>IFERROR(__xludf.DUMMYFUNCTION("AVERAGE(ARRAYFORMULA(100 * (QUERY(GOOGLEFINANCE(C45, ""high"", TODAY()-40, TODAY()), ""SELECT Col2 WHERE Col2 IS NOT NULL ORDER BY Col1 DESC LIMIT 20"", 0) / QUERY(GOOGLEFINANCE(C45, ""low"", TODAY()-40, TODAY()), ""SELECT Col2 WHERE Col2 IS NOT NULL ORDE"&amp;"R BY Col1 DESC LIMIT 20"", 0) - 1)))"),"#N/A")</f>
        <v>#N/A</v>
      </c>
      <c r="H45" s="35" t="str">
        <f t="shared" si="6"/>
        <v>Illiquid</v>
      </c>
      <c r="I45" s="35" t="str">
        <f t="shared" si="7"/>
        <v>RVol Required</v>
      </c>
      <c r="J45" s="37">
        <f>IFERROR(__xludf.DUMMYFUNCTION("IFERROR(
  IF(C45="""",, 
    IFERROR(
      GOOGLEFINANCE(C45, ""price"") * GOOGLEFINANCE(C45, ""volumeavg""), 
      GOOGLEFINANCE(C45, ""price"") * AVERAGE(QUERY(GOOGLEFINANCE(C45, ""volume"", TODAY()-40, TODAY()), ""SELECT Col2 WHERE Col2 IS NOT NULL "&amp;"ORDER BY Col1 DESC LIMIT 20"", 0))
    )
  ), 
"""")"),4.257730818E7)</f>
        <v>42577308.18</v>
      </c>
      <c r="K45" s="21">
        <f>IFERROR(__xludf.DUMMYFUNCTION("IFERROR(GOOGLEFINANCE(C45, ""changepct"") / 100, """")"),0.0085)</f>
        <v>0.0085</v>
      </c>
      <c r="L45" s="21" t="str">
        <f>IFERROR(__xludf.DUMMYFUNCTION("IFERROR((GOOGLEFINANCE(C45, ""price"") / INDEX(GOOGLEFINANCE(C45, ""price"", TODAY()-7, TODAY()), 2, 2)) - 1, """")"),"")</f>
        <v/>
      </c>
      <c r="M45" s="21" t="str">
        <f>IFERROR(__xludf.DUMMYFUNCTION("IFERROR((GOOGLEFINANCE(C45, ""price"") / INDEX(GOOGLEFINANCE(C45, ""price"", EDATE(TODAY(), -1), TODAY()), 2, 2)) - 1, """")"),"")</f>
        <v/>
      </c>
      <c r="N45" s="21" t="str">
        <f>IFERROR(__xludf.DUMMYFUNCTION("IFERROR((GOOGLEFINANCE(C45, ""price"") / INDEX(GOOGLEFINANCE(C45, ""price"", EDATE(TODAY(), -3), TODAY()), 2, 2)) - 1, """")"),"")</f>
        <v/>
      </c>
      <c r="O45" s="21" t="str">
        <f>IFERROR(__xludf.DUMMYFUNCTION("IFERROR((GOOGLEFINANCE(C45, ""price"") / INDEX(GOOGLEFINANCE(C45, ""price"", EDATE(TODAY(), -6), TODAY()), 2, 2)) - 1, """")"),"")</f>
        <v/>
      </c>
      <c r="P45" s="21" t="str">
        <f>IFERROR(__xludf.DUMMYFUNCTION("IFERROR((GOOGLEFINANCE(C45, ""price"") / INDEX(GOOGLEFINANCE(C45, ""price"", EDATE(TODAY(), -12), TODAY()), 2, 2)) - 1, """")"),"")</f>
        <v/>
      </c>
      <c r="Q45" s="6" t="str">
        <f>IFERROR(__xludf.DUMMYFUNCTION("AVERAGE(QUERY(GOOGLEFINANCE(C45, ""price"", TODAY()-80, TODAY()), ""SELECT Col2 WHERE Col2 IS NOT NULL ORDER BY Col1 DESC LIMIT 50"", 0))"),"#N/A")</f>
        <v>#N/A</v>
      </c>
      <c r="R45" s="24" t="str">
        <f>IFERROR(__xludf.DUMMYFUNCTION("IFERROR(
  LET(
    data, QUERY(GOOGLEFINANCE(C45,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GOOGLEFINANCE(C45, ""price"")) * 100,
    IF(calc=0, G45, calc)
  ), 
G45)"),"#N/A")</f>
        <v>#N/A</v>
      </c>
      <c r="S45" s="8" t="s">
        <v>15</v>
      </c>
      <c r="T45" s="26" t="str">
        <f>IFERROR(__xludf.DUMMYFUNCTION("IFERROR(TRANSPOSE(QUERY(IFERROR(SORT(GOOGLEFINANCE(C45, ""price"", WORKDAY(TODAY(), -40), TODAY()), 1, FALSE)), ""select Col2 where Col2 is not null limit 22 label Col2 ''"", 0)), """")"),"")</f>
        <v/>
      </c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8"/>
      <c r="AO45" s="28"/>
      <c r="AP45" s="29"/>
      <c r="AQ45" s="29" t="str">
        <f t="shared" ref="AQ45:BL45" si="48">T45/T$2</f>
        <v>#N/A</v>
      </c>
      <c r="AR45" s="29" t="str">
        <f t="shared" si="48"/>
        <v>#DIV/0!</v>
      </c>
      <c r="AS45" s="29" t="str">
        <f t="shared" si="48"/>
        <v>#DIV/0!</v>
      </c>
      <c r="AT45" s="29" t="str">
        <f t="shared" si="48"/>
        <v>#DIV/0!</v>
      </c>
      <c r="AU45" s="29" t="str">
        <f t="shared" si="48"/>
        <v>#DIV/0!</v>
      </c>
      <c r="AV45" s="29" t="str">
        <f t="shared" si="48"/>
        <v>#DIV/0!</v>
      </c>
      <c r="AW45" s="29" t="str">
        <f t="shared" si="48"/>
        <v>#DIV/0!</v>
      </c>
      <c r="AX45" s="29" t="str">
        <f t="shared" si="48"/>
        <v>#DIV/0!</v>
      </c>
      <c r="AY45" s="29" t="str">
        <f t="shared" si="48"/>
        <v>#DIV/0!</v>
      </c>
      <c r="AZ45" s="29" t="str">
        <f t="shared" si="48"/>
        <v>#DIV/0!</v>
      </c>
      <c r="BA45" s="29" t="str">
        <f t="shared" si="48"/>
        <v>#DIV/0!</v>
      </c>
      <c r="BB45" s="29" t="str">
        <f t="shared" si="48"/>
        <v>#DIV/0!</v>
      </c>
      <c r="BC45" s="29" t="str">
        <f t="shared" si="48"/>
        <v>#DIV/0!</v>
      </c>
      <c r="BD45" s="29" t="str">
        <f t="shared" si="48"/>
        <v>#DIV/0!</v>
      </c>
      <c r="BE45" s="29" t="str">
        <f t="shared" si="48"/>
        <v>#DIV/0!</v>
      </c>
      <c r="BF45" s="29" t="str">
        <f t="shared" si="48"/>
        <v>#DIV/0!</v>
      </c>
      <c r="BG45" s="29" t="str">
        <f t="shared" si="48"/>
        <v>#DIV/0!</v>
      </c>
      <c r="BH45" s="29" t="str">
        <f t="shared" si="48"/>
        <v>#DIV/0!</v>
      </c>
      <c r="BI45" s="29" t="str">
        <f t="shared" si="48"/>
        <v>#DIV/0!</v>
      </c>
      <c r="BJ45" s="29" t="str">
        <f t="shared" si="48"/>
        <v>#DIV/0!</v>
      </c>
      <c r="BK45" s="29" t="str">
        <f t="shared" si="48"/>
        <v>#DIV/0!</v>
      </c>
      <c r="BL45" s="29" t="str">
        <f t="shared" si="48"/>
        <v>#DIV/0!</v>
      </c>
      <c r="BM45" s="29" t="str">
        <f t="shared" si="3"/>
        <v>#DIV/0!</v>
      </c>
    </row>
    <row r="46">
      <c r="A46" s="16" t="str">
        <f>IFERROR(__xludf.DUMMYFUNCTION("IFERROR(SPARKLINE(SORT(MAP(TRANSPOSE(AQ46:BL46), LAMBDA(val, IF(ISNUMBER(val), PERCENTRANK(AQ46:BL46, val)+0.01, 0))), SEQUENCE(COLUMNS(AQ46:BL46)), FALSE), {""charttype"",""column""; ""color"",""chartreuse""; ""ymin"", 0; ""ymax"", 1.01; ""highcolor"", "&amp;"""darkgreen""; ""lowcolor"", ""red""}), """")"),"")</f>
        <v/>
      </c>
      <c r="B46" s="17" t="str">
        <f t="shared" si="4"/>
        <v/>
      </c>
      <c r="C46" s="1" t="s">
        <v>2713</v>
      </c>
      <c r="D46" s="30" t="str">
        <f>IFERROR(__xludf.DUMMYFUNCTION("IFERROR(GOOGLEFINANCE(C46, ""NAME""))"),"TC PIPELINES LP Common Stock")</f>
        <v>TC PIPELINES LP Common Stock</v>
      </c>
      <c r="E46" s="30" t="s">
        <v>2547</v>
      </c>
      <c r="F46" s="33" t="str">
        <f>IFERROR(__xludf.DUMMYFUNCTION("( (GOOGLEFINANCE(C46, ""price"") - Q46) / Q46 ) / (R46 / 100)"),"Loading...")</f>
        <v>Loading...</v>
      </c>
      <c r="G46" s="20" t="str">
        <f>IFERROR(__xludf.DUMMYFUNCTION("AVERAGE(ARRAYFORMULA(100 * (QUERY(GOOGLEFINANCE(C46, ""high"", TODAY()-40, TODAY()), ""SELECT Col2 WHERE Col2 IS NOT NULL ORDER BY Col1 DESC LIMIT 20"", 0) / QUERY(GOOGLEFINANCE(C46, ""low"", TODAY()-40, TODAY()), ""SELECT Col2 WHERE Col2 IS NOT NULL ORDE"&amp;"R BY Col1 DESC LIMIT 20"", 0) - 1)))"),"#N/A")</f>
        <v>#N/A</v>
      </c>
      <c r="H46" s="35" t="str">
        <f t="shared" si="6"/>
        <v>Liquid</v>
      </c>
      <c r="I46" s="35" t="str">
        <f t="shared" si="7"/>
        <v>RVol Required</v>
      </c>
      <c r="J46" s="37">
        <f>IFERROR(__xludf.DUMMYFUNCTION("IFERROR(
  IF(C46="""",, 
    IFERROR(
      GOOGLEFINANCE(C46, ""price"") * GOOGLEFINANCE(C46, ""volumeavg""), 
      GOOGLEFINANCE(C46, ""price"") * AVERAGE(QUERY(GOOGLEFINANCE(C46, ""volume"", TODAY()-40, TODAY()), ""SELECT Col2 WHERE Col2 IS NOT NULL "&amp;"ORDER BY Col1 DESC LIMIT 20"", 0))
    )
  ), 
"""")"),1.9510506792000002E8)</f>
        <v>195105067.9</v>
      </c>
      <c r="K46" s="21">
        <f>IFERROR(__xludf.DUMMYFUNCTION("IFERROR(GOOGLEFINANCE(C46, ""changepct"") / 100, """")"),0.0347)</f>
        <v>0.0347</v>
      </c>
      <c r="L46" s="21" t="str">
        <f>IFERROR(__xludf.DUMMYFUNCTION("IFERROR((GOOGLEFINANCE(C46, ""price"") / INDEX(GOOGLEFINANCE(C46, ""price"", TODAY()-7, TODAY()), 2, 2)) - 1, """")"),"")</f>
        <v/>
      </c>
      <c r="M46" s="21" t="str">
        <f>IFERROR(__xludf.DUMMYFUNCTION("IFERROR((GOOGLEFINANCE(C46, ""price"") / INDEX(GOOGLEFINANCE(C46, ""price"", EDATE(TODAY(), -1), TODAY()), 2, 2)) - 1, """")"),"")</f>
        <v/>
      </c>
      <c r="N46" s="21" t="str">
        <f>IFERROR(__xludf.DUMMYFUNCTION("IFERROR((GOOGLEFINANCE(C46, ""price"") / INDEX(GOOGLEFINANCE(C46, ""price"", EDATE(TODAY(), -3), TODAY()), 2, 2)) - 1, """")"),"")</f>
        <v/>
      </c>
      <c r="O46" s="21" t="str">
        <f>IFERROR(__xludf.DUMMYFUNCTION("IFERROR((GOOGLEFINANCE(C46, ""price"") / INDEX(GOOGLEFINANCE(C46, ""price"", EDATE(TODAY(), -6), TODAY()), 2, 2)) - 1, """")"),"")</f>
        <v/>
      </c>
      <c r="P46" s="21" t="str">
        <f>IFERROR(__xludf.DUMMYFUNCTION("IFERROR((GOOGLEFINANCE(C46, ""price"") / INDEX(GOOGLEFINANCE(C46, ""price"", EDATE(TODAY(), -12), TODAY()), 2, 2)) - 1, """")"),"")</f>
        <v/>
      </c>
      <c r="Q46" s="6" t="str">
        <f>IFERROR(__xludf.DUMMYFUNCTION("AVERAGE(QUERY(GOOGLEFINANCE(C46, ""price"", TODAY()-80, TODAY()), ""SELECT Col2 WHERE Col2 IS NOT NULL ORDER BY Col1 DESC LIMIT 50"", 0))"),"#N/A")</f>
        <v>#N/A</v>
      </c>
      <c r="R46" s="24" t="str">
        <f>IFERROR(__xludf.DUMMYFUNCTION("IFERROR(
  LET(
    data, QUERY(GOOGLEFINANCE(C46,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GOOGLEFINANCE(C46, ""price"")) * 100,
    IF(calc=0, G46, calc)
  ), 
G46)"),"#N/A")</f>
        <v>#N/A</v>
      </c>
      <c r="S46" s="8" t="s">
        <v>15</v>
      </c>
      <c r="T46" s="26" t="str">
        <f>IFERROR(__xludf.DUMMYFUNCTION("IFERROR(TRANSPOSE(QUERY(IFERROR(SORT(GOOGLEFINANCE(C46, ""price"", WORKDAY(TODAY(), -40), TODAY()), 1, FALSE)), ""select Col2 where Col2 is not null limit 22 label Col2 ''"", 0)), """")"),"")</f>
        <v/>
      </c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8"/>
      <c r="AO46" s="28"/>
      <c r="AP46" s="29"/>
      <c r="AQ46" s="29" t="str">
        <f t="shared" ref="AQ46:BL46" si="49">T46/T$2</f>
        <v>#N/A</v>
      </c>
      <c r="AR46" s="29" t="str">
        <f t="shared" si="49"/>
        <v>#DIV/0!</v>
      </c>
      <c r="AS46" s="29" t="str">
        <f t="shared" si="49"/>
        <v>#DIV/0!</v>
      </c>
      <c r="AT46" s="29" t="str">
        <f t="shared" si="49"/>
        <v>#DIV/0!</v>
      </c>
      <c r="AU46" s="29" t="str">
        <f t="shared" si="49"/>
        <v>#DIV/0!</v>
      </c>
      <c r="AV46" s="29" t="str">
        <f t="shared" si="49"/>
        <v>#DIV/0!</v>
      </c>
      <c r="AW46" s="29" t="str">
        <f t="shared" si="49"/>
        <v>#DIV/0!</v>
      </c>
      <c r="AX46" s="29" t="str">
        <f t="shared" si="49"/>
        <v>#DIV/0!</v>
      </c>
      <c r="AY46" s="29" t="str">
        <f t="shared" si="49"/>
        <v>#DIV/0!</v>
      </c>
      <c r="AZ46" s="29" t="str">
        <f t="shared" si="49"/>
        <v>#DIV/0!</v>
      </c>
      <c r="BA46" s="29" t="str">
        <f t="shared" si="49"/>
        <v>#DIV/0!</v>
      </c>
      <c r="BB46" s="29" t="str">
        <f t="shared" si="49"/>
        <v>#DIV/0!</v>
      </c>
      <c r="BC46" s="29" t="str">
        <f t="shared" si="49"/>
        <v>#DIV/0!</v>
      </c>
      <c r="BD46" s="29" t="str">
        <f t="shared" si="49"/>
        <v>#DIV/0!</v>
      </c>
      <c r="BE46" s="29" t="str">
        <f t="shared" si="49"/>
        <v>#DIV/0!</v>
      </c>
      <c r="BF46" s="29" t="str">
        <f t="shared" si="49"/>
        <v>#DIV/0!</v>
      </c>
      <c r="BG46" s="29" t="str">
        <f t="shared" si="49"/>
        <v>#DIV/0!</v>
      </c>
      <c r="BH46" s="29" t="str">
        <f t="shared" si="49"/>
        <v>#DIV/0!</v>
      </c>
      <c r="BI46" s="29" t="str">
        <f t="shared" si="49"/>
        <v>#DIV/0!</v>
      </c>
      <c r="BJ46" s="29" t="str">
        <f t="shared" si="49"/>
        <v>#DIV/0!</v>
      </c>
      <c r="BK46" s="29" t="str">
        <f t="shared" si="49"/>
        <v>#DIV/0!</v>
      </c>
      <c r="BL46" s="29" t="str">
        <f t="shared" si="49"/>
        <v>#DIV/0!</v>
      </c>
      <c r="BM46" s="29" t="str">
        <f t="shared" si="3"/>
        <v>#DIV/0!</v>
      </c>
    </row>
    <row r="47">
      <c r="A47" s="16" t="str">
        <f>IFERROR(__xludf.DUMMYFUNCTION("IFERROR(SPARKLINE(SORT(MAP(TRANSPOSE(AQ47:BL47), LAMBDA(val, IF(ISNUMBER(val), PERCENTRANK(AQ47:BL47, val)+0.01, 0))), SEQUENCE(COLUMNS(AQ47:BL47)), FALSE), {""charttype"",""column""; ""color"",""chartreuse""; ""ymin"", 0; ""ymax"", 1.01; ""highcolor"", "&amp;"""darkgreen""; ""lowcolor"", ""red""}), """")"),"")</f>
        <v/>
      </c>
      <c r="B47" s="17" t="str">
        <f t="shared" si="4"/>
        <v/>
      </c>
      <c r="C47" s="1" t="s">
        <v>2719</v>
      </c>
      <c r="D47" s="30" t="str">
        <f>IFERROR(__xludf.DUMMYFUNCTION("IFERROR(GOOGLEFINANCE(C47, ""NAME""))"),"Patterson-UTI Energy Inc")</f>
        <v>Patterson-UTI Energy Inc</v>
      </c>
      <c r="E47" s="30" t="s">
        <v>2658</v>
      </c>
      <c r="F47" s="33" t="str">
        <f>IFERROR(__xludf.DUMMYFUNCTION("( (GOOGLEFINANCE(C47, ""price"") - Q47) / Q47 ) / (R47 / 100)"),"Loading...")</f>
        <v>Loading...</v>
      </c>
      <c r="G47" s="20" t="str">
        <f>IFERROR(__xludf.DUMMYFUNCTION("AVERAGE(ARRAYFORMULA(100 * (QUERY(GOOGLEFINANCE(C47, ""high"", TODAY()-40, TODAY()), ""SELECT Col2 WHERE Col2 IS NOT NULL ORDER BY Col1 DESC LIMIT 20"", 0) / QUERY(GOOGLEFINANCE(C47, ""low"", TODAY()-40, TODAY()), ""SELECT Col2 WHERE Col2 IS NOT NULL ORDE"&amp;"R BY Col1 DESC LIMIT 20"", 0) - 1)))"),"#N/A")</f>
        <v>#N/A</v>
      </c>
      <c r="H47" s="35" t="str">
        <f t="shared" si="6"/>
        <v>Liquid</v>
      </c>
      <c r="I47" s="35" t="str">
        <f t="shared" si="7"/>
        <v>RVol Required</v>
      </c>
      <c r="J47" s="37">
        <f>IFERROR(__xludf.DUMMYFUNCTION("IFERROR(
  IF(C47="""",, 
    IFERROR(
      GOOGLEFINANCE(C47, ""price"") * GOOGLEFINANCE(C47, ""volumeavg""), 
      GOOGLEFINANCE(C47, ""price"") * AVERAGE(QUERY(GOOGLEFINANCE(C47, ""volume"", TODAY()-40, TODAY()), ""SELECT Col2 WHERE Col2 IS NOT NULL "&amp;"ORDER BY Col1 DESC LIMIT 20"", 0))
    )
  ), 
"""")"),8.53141415E7)</f>
        <v>85314141.5</v>
      </c>
      <c r="K47" s="21">
        <f>IFERROR(__xludf.DUMMYFUNCTION("IFERROR(GOOGLEFINANCE(C47, ""changepct"") / 100, """")"),0.0168)</f>
        <v>0.0168</v>
      </c>
      <c r="L47" s="21" t="str">
        <f>IFERROR(__xludf.DUMMYFUNCTION("IFERROR((GOOGLEFINANCE(C47, ""price"") / INDEX(GOOGLEFINANCE(C47, ""price"", TODAY()-7, TODAY()), 2, 2)) - 1, """")"),"")</f>
        <v/>
      </c>
      <c r="M47" s="21" t="str">
        <f>IFERROR(__xludf.DUMMYFUNCTION("IFERROR((GOOGLEFINANCE(C47, ""price"") / INDEX(GOOGLEFINANCE(C47, ""price"", EDATE(TODAY(), -1), TODAY()), 2, 2)) - 1, """")"),"")</f>
        <v/>
      </c>
      <c r="N47" s="21" t="str">
        <f>IFERROR(__xludf.DUMMYFUNCTION("IFERROR((GOOGLEFINANCE(C47, ""price"") / INDEX(GOOGLEFINANCE(C47, ""price"", EDATE(TODAY(), -3), TODAY()), 2, 2)) - 1, """")"),"")</f>
        <v/>
      </c>
      <c r="O47" s="21" t="str">
        <f>IFERROR(__xludf.DUMMYFUNCTION("IFERROR((GOOGLEFINANCE(C47, ""price"") / INDEX(GOOGLEFINANCE(C47, ""price"", EDATE(TODAY(), -6), TODAY()), 2, 2)) - 1, """")"),"")</f>
        <v/>
      </c>
      <c r="P47" s="21" t="str">
        <f>IFERROR(__xludf.DUMMYFUNCTION("IFERROR((GOOGLEFINANCE(C47, ""price"") / INDEX(GOOGLEFINANCE(C47, ""price"", EDATE(TODAY(), -12), TODAY()), 2, 2)) - 1, """")"),"")</f>
        <v/>
      </c>
      <c r="Q47" s="6" t="str">
        <f>IFERROR(__xludf.DUMMYFUNCTION("AVERAGE(QUERY(GOOGLEFINANCE(C47, ""price"", TODAY()-80, TODAY()), ""SELECT Col2 WHERE Col2 IS NOT NULL ORDER BY Col1 DESC LIMIT 50"", 0))"),"#N/A")</f>
        <v>#N/A</v>
      </c>
      <c r="R47" s="24" t="str">
        <f>IFERROR(__xludf.DUMMYFUNCTION("IFERROR(
  LET(
    data, QUERY(GOOGLEFINANCE(C47,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GOOGLEFINANCE(C47, ""price"")) * 100,
    IF(calc=0, G47, calc)
  ), 
G47)"),"#N/A")</f>
        <v>#N/A</v>
      </c>
      <c r="S47" s="8" t="s">
        <v>15</v>
      </c>
      <c r="T47" s="26" t="str">
        <f>IFERROR(__xludf.DUMMYFUNCTION("IFERROR(TRANSPOSE(QUERY(IFERROR(SORT(GOOGLEFINANCE(C47, ""price"", WORKDAY(TODAY(), -40), TODAY()), 1, FALSE)), ""select Col2 where Col2 is not null limit 22 label Col2 ''"", 0)), """")"),"")</f>
        <v/>
      </c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8"/>
      <c r="AO47" s="28"/>
      <c r="AP47" s="29"/>
      <c r="AQ47" s="29" t="str">
        <f t="shared" ref="AQ47:BL47" si="50">T47/T$2</f>
        <v>#N/A</v>
      </c>
      <c r="AR47" s="29" t="str">
        <f t="shared" si="50"/>
        <v>#DIV/0!</v>
      </c>
      <c r="AS47" s="29" t="str">
        <f t="shared" si="50"/>
        <v>#DIV/0!</v>
      </c>
      <c r="AT47" s="29" t="str">
        <f t="shared" si="50"/>
        <v>#DIV/0!</v>
      </c>
      <c r="AU47" s="29" t="str">
        <f t="shared" si="50"/>
        <v>#DIV/0!</v>
      </c>
      <c r="AV47" s="29" t="str">
        <f t="shared" si="50"/>
        <v>#DIV/0!</v>
      </c>
      <c r="AW47" s="29" t="str">
        <f t="shared" si="50"/>
        <v>#DIV/0!</v>
      </c>
      <c r="AX47" s="29" t="str">
        <f t="shared" si="50"/>
        <v>#DIV/0!</v>
      </c>
      <c r="AY47" s="29" t="str">
        <f t="shared" si="50"/>
        <v>#DIV/0!</v>
      </c>
      <c r="AZ47" s="29" t="str">
        <f t="shared" si="50"/>
        <v>#DIV/0!</v>
      </c>
      <c r="BA47" s="29" t="str">
        <f t="shared" si="50"/>
        <v>#DIV/0!</v>
      </c>
      <c r="BB47" s="29" t="str">
        <f t="shared" si="50"/>
        <v>#DIV/0!</v>
      </c>
      <c r="BC47" s="29" t="str">
        <f t="shared" si="50"/>
        <v>#DIV/0!</v>
      </c>
      <c r="BD47" s="29" t="str">
        <f t="shared" si="50"/>
        <v>#DIV/0!</v>
      </c>
      <c r="BE47" s="29" t="str">
        <f t="shared" si="50"/>
        <v>#DIV/0!</v>
      </c>
      <c r="BF47" s="29" t="str">
        <f t="shared" si="50"/>
        <v>#DIV/0!</v>
      </c>
      <c r="BG47" s="29" t="str">
        <f t="shared" si="50"/>
        <v>#DIV/0!</v>
      </c>
      <c r="BH47" s="29" t="str">
        <f t="shared" si="50"/>
        <v>#DIV/0!</v>
      </c>
      <c r="BI47" s="29" t="str">
        <f t="shared" si="50"/>
        <v>#DIV/0!</v>
      </c>
      <c r="BJ47" s="29" t="str">
        <f t="shared" si="50"/>
        <v>#DIV/0!</v>
      </c>
      <c r="BK47" s="29" t="str">
        <f t="shared" si="50"/>
        <v>#DIV/0!</v>
      </c>
      <c r="BL47" s="29" t="str">
        <f t="shared" si="50"/>
        <v>#DIV/0!</v>
      </c>
      <c r="BM47" s="29" t="str">
        <f t="shared" si="3"/>
        <v>#DIV/0!</v>
      </c>
    </row>
    <row r="48">
      <c r="A48" s="16" t="str">
        <f>IFERROR(__xludf.DUMMYFUNCTION("IFERROR(SPARKLINE(SORT(MAP(TRANSPOSE(AQ48:BL48), LAMBDA(val, IF(ISNUMBER(val), PERCENTRANK(AQ48:BL48, val)+0.01, 0))), SEQUENCE(COLUMNS(AQ48:BL48)), FALSE), {""charttype"",""column""; ""color"",""chartreuse""; ""ymin"", 0; ""ymax"", 1.01; ""highcolor"", "&amp;"""darkgreen""; ""lowcolor"", ""red""}), """")"),"")</f>
        <v/>
      </c>
      <c r="B48" s="17" t="str">
        <f t="shared" si="4"/>
        <v/>
      </c>
      <c r="C48" s="1" t="s">
        <v>2723</v>
      </c>
      <c r="D48" s="30" t="str">
        <f>IFERROR(__xludf.DUMMYFUNCTION("IFERROR(GOOGLEFINANCE(C48, ""NAME""))"),"Pembina Pipeline Corp")</f>
        <v>Pembina Pipeline Corp</v>
      </c>
      <c r="E48" s="30" t="s">
        <v>2547</v>
      </c>
      <c r="F48" s="33" t="str">
        <f>IFERROR(__xludf.DUMMYFUNCTION("( (GOOGLEFINANCE(C48, ""price"") - Q48) / Q48 ) / (R48 / 100)"),"Loading...")</f>
        <v>Loading...</v>
      </c>
      <c r="G48" s="20" t="str">
        <f>IFERROR(__xludf.DUMMYFUNCTION("AVERAGE(ARRAYFORMULA(100 * (QUERY(GOOGLEFINANCE(C48, ""high"", TODAY()-40, TODAY()), ""SELECT Col2 WHERE Col2 IS NOT NULL ORDER BY Col1 DESC LIMIT 20"", 0) / QUERY(GOOGLEFINANCE(C48, ""low"", TODAY()-40, TODAY()), ""SELECT Col2 WHERE Col2 IS NOT NULL ORDE"&amp;"R BY Col1 DESC LIMIT 20"", 0) - 1)))"),"#N/A")</f>
        <v>#N/A</v>
      </c>
      <c r="H48" s="35" t="str">
        <f t="shared" si="6"/>
        <v>Liquid</v>
      </c>
      <c r="I48" s="35" t="str">
        <f t="shared" si="7"/>
        <v>RVol Required</v>
      </c>
      <c r="J48" s="37">
        <f>IFERROR(__xludf.DUMMYFUNCTION("IFERROR(
  IF(C48="""",, 
    IFERROR(
      GOOGLEFINANCE(C48, ""price"") * GOOGLEFINANCE(C48, ""volumeavg""), 
      GOOGLEFINANCE(C48, ""price"") * AVERAGE(QUERY(GOOGLEFINANCE(C48, ""volume"", TODAY()-40, TODAY()), ""SELECT Col2 WHERE Col2 IS NOT NULL "&amp;"ORDER BY Col1 DESC LIMIT 20"", 0))
    )
  ), 
"""")"),5.8049367E7)</f>
        <v>58049367</v>
      </c>
      <c r="K48" s="21">
        <f>IFERROR(__xludf.DUMMYFUNCTION("IFERROR(GOOGLEFINANCE(C48, ""changepct"") / 100, """")"),0.039599999999999996)</f>
        <v>0.0396</v>
      </c>
      <c r="L48" s="21" t="str">
        <f>IFERROR(__xludf.DUMMYFUNCTION("IFERROR((GOOGLEFINANCE(C48, ""price"") / INDEX(GOOGLEFINANCE(C48, ""price"", TODAY()-7, TODAY()), 2, 2)) - 1, """")"),"")</f>
        <v/>
      </c>
      <c r="M48" s="21" t="str">
        <f>IFERROR(__xludf.DUMMYFUNCTION("IFERROR((GOOGLEFINANCE(C48, ""price"") / INDEX(GOOGLEFINANCE(C48, ""price"", EDATE(TODAY(), -1), TODAY()), 2, 2)) - 1, """")"),"")</f>
        <v/>
      </c>
      <c r="N48" s="21" t="str">
        <f>IFERROR(__xludf.DUMMYFUNCTION("IFERROR((GOOGLEFINANCE(C48, ""price"") / INDEX(GOOGLEFINANCE(C48, ""price"", EDATE(TODAY(), -3), TODAY()), 2, 2)) - 1, """")"),"")</f>
        <v/>
      </c>
      <c r="O48" s="21" t="str">
        <f>IFERROR(__xludf.DUMMYFUNCTION("IFERROR((GOOGLEFINANCE(C48, ""price"") / INDEX(GOOGLEFINANCE(C48, ""price"", EDATE(TODAY(), -6), TODAY()), 2, 2)) - 1, """")"),"")</f>
        <v/>
      </c>
      <c r="P48" s="21" t="str">
        <f>IFERROR(__xludf.DUMMYFUNCTION("IFERROR((GOOGLEFINANCE(C48, ""price"") / INDEX(GOOGLEFINANCE(C48, ""price"", EDATE(TODAY(), -12), TODAY()), 2, 2)) - 1, """")"),"")</f>
        <v/>
      </c>
      <c r="Q48" s="6" t="str">
        <f>IFERROR(__xludf.DUMMYFUNCTION("AVERAGE(QUERY(GOOGLEFINANCE(C48, ""price"", TODAY()-80, TODAY()), ""SELECT Col2 WHERE Col2 IS NOT NULL ORDER BY Col1 DESC LIMIT 50"", 0))"),"#N/A")</f>
        <v>#N/A</v>
      </c>
      <c r="R48" s="24" t="str">
        <f>IFERROR(__xludf.DUMMYFUNCTION("IFERROR(
  LET(
    data, QUERY(GOOGLEFINANCE(C48,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GOOGLEFINANCE(C48, ""price"")) * 100,
    IF(calc=0, G48, calc)
  ), 
G48)"),"#N/A")</f>
        <v>#N/A</v>
      </c>
      <c r="S48" s="8" t="s">
        <v>15</v>
      </c>
      <c r="T48" s="26" t="str">
        <f>IFERROR(__xludf.DUMMYFUNCTION("IFERROR(TRANSPOSE(QUERY(IFERROR(SORT(GOOGLEFINANCE(C48, ""price"", WORKDAY(TODAY(), -40), TODAY()), 1, FALSE)), ""select Col2 where Col2 is not null limit 22 label Col2 ''"", 0)), """")"),"")</f>
        <v/>
      </c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8"/>
      <c r="AO48" s="28"/>
      <c r="AP48" s="29"/>
      <c r="AQ48" s="29" t="str">
        <f t="shared" ref="AQ48:BL48" si="51">T48/T$2</f>
        <v>#N/A</v>
      </c>
      <c r="AR48" s="29" t="str">
        <f t="shared" si="51"/>
        <v>#DIV/0!</v>
      </c>
      <c r="AS48" s="29" t="str">
        <f t="shared" si="51"/>
        <v>#DIV/0!</v>
      </c>
      <c r="AT48" s="29" t="str">
        <f t="shared" si="51"/>
        <v>#DIV/0!</v>
      </c>
      <c r="AU48" s="29" t="str">
        <f t="shared" si="51"/>
        <v>#DIV/0!</v>
      </c>
      <c r="AV48" s="29" t="str">
        <f t="shared" si="51"/>
        <v>#DIV/0!</v>
      </c>
      <c r="AW48" s="29" t="str">
        <f t="shared" si="51"/>
        <v>#DIV/0!</v>
      </c>
      <c r="AX48" s="29" t="str">
        <f t="shared" si="51"/>
        <v>#DIV/0!</v>
      </c>
      <c r="AY48" s="29" t="str">
        <f t="shared" si="51"/>
        <v>#DIV/0!</v>
      </c>
      <c r="AZ48" s="29" t="str">
        <f t="shared" si="51"/>
        <v>#DIV/0!</v>
      </c>
      <c r="BA48" s="29" t="str">
        <f t="shared" si="51"/>
        <v>#DIV/0!</v>
      </c>
      <c r="BB48" s="29" t="str">
        <f t="shared" si="51"/>
        <v>#DIV/0!</v>
      </c>
      <c r="BC48" s="29" t="str">
        <f t="shared" si="51"/>
        <v>#DIV/0!</v>
      </c>
      <c r="BD48" s="29" t="str">
        <f t="shared" si="51"/>
        <v>#DIV/0!</v>
      </c>
      <c r="BE48" s="29" t="str">
        <f t="shared" si="51"/>
        <v>#DIV/0!</v>
      </c>
      <c r="BF48" s="29" t="str">
        <f t="shared" si="51"/>
        <v>#DIV/0!</v>
      </c>
      <c r="BG48" s="29" t="str">
        <f t="shared" si="51"/>
        <v>#DIV/0!</v>
      </c>
      <c r="BH48" s="29" t="str">
        <f t="shared" si="51"/>
        <v>#DIV/0!</v>
      </c>
      <c r="BI48" s="29" t="str">
        <f t="shared" si="51"/>
        <v>#DIV/0!</v>
      </c>
      <c r="BJ48" s="29" t="str">
        <f t="shared" si="51"/>
        <v>#DIV/0!</v>
      </c>
      <c r="BK48" s="29" t="str">
        <f t="shared" si="51"/>
        <v>#DIV/0!</v>
      </c>
      <c r="BL48" s="29" t="str">
        <f t="shared" si="51"/>
        <v>#DIV/0!</v>
      </c>
      <c r="BM48" s="29" t="str">
        <f t="shared" si="3"/>
        <v>#DIV/0!</v>
      </c>
    </row>
    <row r="49">
      <c r="A49" s="16" t="str">
        <f>IFERROR(__xludf.DUMMYFUNCTION("IFERROR(SPARKLINE(SORT(MAP(TRANSPOSE(AQ49:BL49), LAMBDA(val, IF(ISNUMBER(val), PERCENTRANK(AQ49:BL49, val)+0.01, 0))), SEQUENCE(COLUMNS(AQ49:BL49)), FALSE), {""charttype"",""column""; ""color"",""chartreuse""; ""ymin"", 0; ""ymax"", 1.01; ""highcolor"", "&amp;"""darkgreen""; ""lowcolor"", ""red""}), """")"),"")</f>
        <v/>
      </c>
      <c r="B49" s="17" t="str">
        <f t="shared" si="4"/>
        <v/>
      </c>
      <c r="C49" s="1" t="s">
        <v>2727</v>
      </c>
      <c r="D49" s="30" t="str">
        <f>IFERROR(__xludf.DUMMYFUNCTION("IFERROR(GOOGLEFINANCE(C49, ""NAME""))"),"Imperial Oil Ltd")</f>
        <v>Imperial Oil Ltd</v>
      </c>
      <c r="E49" s="30" t="s">
        <v>2631</v>
      </c>
      <c r="F49" s="33" t="str">
        <f>IFERROR(__xludf.DUMMYFUNCTION("( (GOOGLEFINANCE(C49, ""price"") - Q49) / Q49 ) / (R49 / 100)"),"Loading...")</f>
        <v>Loading...</v>
      </c>
      <c r="G49" s="20" t="str">
        <f>IFERROR(__xludf.DUMMYFUNCTION("AVERAGE(ARRAYFORMULA(100 * (QUERY(GOOGLEFINANCE(C49, ""high"", TODAY()-40, TODAY()), ""SELECT Col2 WHERE Col2 IS NOT NULL ORDER BY Col1 DESC LIMIT 20"", 0) / QUERY(GOOGLEFINANCE(C49, ""low"", TODAY()-40, TODAY()), ""SELECT Col2 WHERE Col2 IS NOT NULL ORDE"&amp;"R BY Col1 DESC LIMIT 20"", 0) - 1)))"),"#N/A")</f>
        <v>#N/A</v>
      </c>
      <c r="H49" s="35" t="str">
        <f t="shared" si="6"/>
        <v>Liquid</v>
      </c>
      <c r="I49" s="35" t="str">
        <f t="shared" si="7"/>
        <v>RVol Required</v>
      </c>
      <c r="J49" s="37">
        <f>IFERROR(__xludf.DUMMYFUNCTION("IFERROR(
  IF(C49="""",, 
    IFERROR(
      GOOGLEFINANCE(C49, ""price"") * GOOGLEFINANCE(C49, ""volumeavg""), 
      GOOGLEFINANCE(C49, ""price"") * AVERAGE(QUERY(GOOGLEFINANCE(C49, ""volume"", TODAY()-40, TODAY()), ""SELECT Col2 WHERE Col2 IS NOT NULL "&amp;"ORDER BY Col1 DESC LIMIT 20"", 0))
    )
  ), 
"""")"),8.339198399999999E7)</f>
        <v>83391984</v>
      </c>
      <c r="K49" s="21">
        <f>IFERROR(__xludf.DUMMYFUNCTION("IFERROR(GOOGLEFINANCE(C49, ""changepct"") / 100, """")"),0.0318)</f>
        <v>0.0318</v>
      </c>
      <c r="L49" s="21" t="str">
        <f>IFERROR(__xludf.DUMMYFUNCTION("IFERROR((GOOGLEFINANCE(C49, ""price"") / INDEX(GOOGLEFINANCE(C49, ""price"", TODAY()-7, TODAY()), 2, 2)) - 1, """")"),"")</f>
        <v/>
      </c>
      <c r="M49" s="21" t="str">
        <f>IFERROR(__xludf.DUMMYFUNCTION("IFERROR((GOOGLEFINANCE(C49, ""price"") / INDEX(GOOGLEFINANCE(C49, ""price"", EDATE(TODAY(), -1), TODAY()), 2, 2)) - 1, """")"),"")</f>
        <v/>
      </c>
      <c r="N49" s="21" t="str">
        <f>IFERROR(__xludf.DUMMYFUNCTION("IFERROR((GOOGLEFINANCE(C49, ""price"") / INDEX(GOOGLEFINANCE(C49, ""price"", EDATE(TODAY(), -3), TODAY()), 2, 2)) - 1, """")"),"")</f>
        <v/>
      </c>
      <c r="O49" s="21" t="str">
        <f>IFERROR(__xludf.DUMMYFUNCTION("IFERROR((GOOGLEFINANCE(C49, ""price"") / INDEX(GOOGLEFINANCE(C49, ""price"", EDATE(TODAY(), -6), TODAY()), 2, 2)) - 1, """")"),"")</f>
        <v/>
      </c>
      <c r="P49" s="21" t="str">
        <f>IFERROR(__xludf.DUMMYFUNCTION("IFERROR((GOOGLEFINANCE(C49, ""price"") / INDEX(GOOGLEFINANCE(C49, ""price"", EDATE(TODAY(), -12), TODAY()), 2, 2)) - 1, """")"),"")</f>
        <v/>
      </c>
      <c r="Q49" s="6" t="str">
        <f>IFERROR(__xludf.DUMMYFUNCTION("AVERAGE(QUERY(GOOGLEFINANCE(C49, ""price"", TODAY()-80, TODAY()), ""SELECT Col2 WHERE Col2 IS NOT NULL ORDER BY Col1 DESC LIMIT 50"", 0))"),"#N/A")</f>
        <v>#N/A</v>
      </c>
      <c r="R49" s="24" t="str">
        <f>IFERROR(__xludf.DUMMYFUNCTION("IFERROR(
  LET(
    data, QUERY(GOOGLEFINANCE(C49,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GOOGLEFINANCE(C49, ""price"")) * 100,
    IF(calc=0, G49, calc)
  ), 
G49)"),"#N/A")</f>
        <v>#N/A</v>
      </c>
      <c r="S49" s="8" t="s">
        <v>15</v>
      </c>
      <c r="T49" s="26" t="str">
        <f>IFERROR(__xludf.DUMMYFUNCTION("IFERROR(TRANSPOSE(QUERY(IFERROR(SORT(GOOGLEFINANCE(C49, ""price"", WORKDAY(TODAY(), -40), TODAY()), 1, FALSE)), ""select Col2 where Col2 is not null limit 22 label Col2 ''"", 0)), """")"),"")</f>
        <v/>
      </c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8"/>
      <c r="AO49" s="28"/>
      <c r="AP49" s="29"/>
      <c r="AQ49" s="29" t="str">
        <f t="shared" ref="AQ49:BL49" si="52">T49/T$2</f>
        <v>#N/A</v>
      </c>
      <c r="AR49" s="29" t="str">
        <f t="shared" si="52"/>
        <v>#DIV/0!</v>
      </c>
      <c r="AS49" s="29" t="str">
        <f t="shared" si="52"/>
        <v>#DIV/0!</v>
      </c>
      <c r="AT49" s="29" t="str">
        <f t="shared" si="52"/>
        <v>#DIV/0!</v>
      </c>
      <c r="AU49" s="29" t="str">
        <f t="shared" si="52"/>
        <v>#DIV/0!</v>
      </c>
      <c r="AV49" s="29" t="str">
        <f t="shared" si="52"/>
        <v>#DIV/0!</v>
      </c>
      <c r="AW49" s="29" t="str">
        <f t="shared" si="52"/>
        <v>#DIV/0!</v>
      </c>
      <c r="AX49" s="29" t="str">
        <f t="shared" si="52"/>
        <v>#DIV/0!</v>
      </c>
      <c r="AY49" s="29" t="str">
        <f t="shared" si="52"/>
        <v>#DIV/0!</v>
      </c>
      <c r="AZ49" s="29" t="str">
        <f t="shared" si="52"/>
        <v>#DIV/0!</v>
      </c>
      <c r="BA49" s="29" t="str">
        <f t="shared" si="52"/>
        <v>#DIV/0!</v>
      </c>
      <c r="BB49" s="29" t="str">
        <f t="shared" si="52"/>
        <v>#DIV/0!</v>
      </c>
      <c r="BC49" s="29" t="str">
        <f t="shared" si="52"/>
        <v>#DIV/0!</v>
      </c>
      <c r="BD49" s="29" t="str">
        <f t="shared" si="52"/>
        <v>#DIV/0!</v>
      </c>
      <c r="BE49" s="29" t="str">
        <f t="shared" si="52"/>
        <v>#DIV/0!</v>
      </c>
      <c r="BF49" s="29" t="str">
        <f t="shared" si="52"/>
        <v>#DIV/0!</v>
      </c>
      <c r="BG49" s="29" t="str">
        <f t="shared" si="52"/>
        <v>#DIV/0!</v>
      </c>
      <c r="BH49" s="29" t="str">
        <f t="shared" si="52"/>
        <v>#DIV/0!</v>
      </c>
      <c r="BI49" s="29" t="str">
        <f t="shared" si="52"/>
        <v>#DIV/0!</v>
      </c>
      <c r="BJ49" s="29" t="str">
        <f t="shared" si="52"/>
        <v>#DIV/0!</v>
      </c>
      <c r="BK49" s="29" t="str">
        <f t="shared" si="52"/>
        <v>#DIV/0!</v>
      </c>
      <c r="BL49" s="29" t="str">
        <f t="shared" si="52"/>
        <v>#DIV/0!</v>
      </c>
      <c r="BM49" s="29" t="str">
        <f t="shared" si="3"/>
        <v>#DIV/0!</v>
      </c>
    </row>
    <row r="50">
      <c r="A50" s="16" t="str">
        <f>IFERROR(__xludf.DUMMYFUNCTION("IFERROR(SPARKLINE(SORT(MAP(TRANSPOSE(AQ50:BL50), LAMBDA(val, IF(ISNUMBER(val), PERCENTRANK(AQ50:BL50, val)+0.01, 0))), SEQUENCE(COLUMNS(AQ50:BL50)), FALSE), {""charttype"",""column""; ""color"",""chartreuse""; ""ymin"", 0; ""ymax"", 1.01; ""highcolor"", "&amp;"""darkgreen""; ""lowcolor"", ""red""}), """")"),"")</f>
        <v/>
      </c>
      <c r="B50" s="17" t="str">
        <f t="shared" si="4"/>
        <v/>
      </c>
      <c r="C50" s="1" t="s">
        <v>2731</v>
      </c>
      <c r="D50" s="30" t="str">
        <f>IFERROR(__xludf.DUMMYFUNCTION("IFERROR(GOOGLEFINANCE(C50, ""NAME""))"),"DT Midstream Inc")</f>
        <v>DT Midstream Inc</v>
      </c>
      <c r="E50" s="30" t="s">
        <v>2547</v>
      </c>
      <c r="F50" s="33" t="str">
        <f>IFERROR(__xludf.DUMMYFUNCTION("( (GOOGLEFINANCE(C50, ""price"") - Q50) / Q50 ) / (R50 / 100)"),"Loading...")</f>
        <v>Loading...</v>
      </c>
      <c r="G50" s="20" t="str">
        <f>IFERROR(__xludf.DUMMYFUNCTION("AVERAGE(ARRAYFORMULA(100 * (QUERY(GOOGLEFINANCE(C50, ""high"", TODAY()-40, TODAY()), ""SELECT Col2 WHERE Col2 IS NOT NULL ORDER BY Col1 DESC LIMIT 20"", 0) / QUERY(GOOGLEFINANCE(C50, ""low"", TODAY()-40, TODAY()), ""SELECT Col2 WHERE Col2 IS NOT NULL ORDE"&amp;"R BY Col1 DESC LIMIT 20"", 0) - 1)))"),"#N/A")</f>
        <v>#N/A</v>
      </c>
      <c r="H50" s="35" t="str">
        <f t="shared" si="6"/>
        <v>Liquid</v>
      </c>
      <c r="I50" s="35" t="str">
        <f t="shared" si="7"/>
        <v>RVol Required</v>
      </c>
      <c r="J50" s="37">
        <f>IFERROR(__xludf.DUMMYFUNCTION("IFERROR(
  IF(C50="""",, 
    IFERROR(
      GOOGLEFINANCE(C50, ""price"") * GOOGLEFINANCE(C50, ""volumeavg""), 
      GOOGLEFINANCE(C50, ""price"") * AVERAGE(QUERY(GOOGLEFINANCE(C50, ""volume"", TODAY()-40, TODAY()), ""SELECT Col2 WHERE Col2 IS NOT NULL "&amp;"ORDER BY Col1 DESC LIMIT 20"", 0))
    )
  ), 
"""")"),1.1328543010000001E8)</f>
        <v>113285430.1</v>
      </c>
      <c r="K50" s="21">
        <f>IFERROR(__xludf.DUMMYFUNCTION("IFERROR(GOOGLEFINANCE(C50, ""changepct"") / 100, """")"),0.0409)</f>
        <v>0.0409</v>
      </c>
      <c r="L50" s="21" t="str">
        <f>IFERROR(__xludf.DUMMYFUNCTION("IFERROR((GOOGLEFINANCE(C50, ""price"") / INDEX(GOOGLEFINANCE(C50, ""price"", TODAY()-7, TODAY()), 2, 2)) - 1, """")"),"")</f>
        <v/>
      </c>
      <c r="M50" s="21" t="str">
        <f>IFERROR(__xludf.DUMMYFUNCTION("IFERROR((GOOGLEFINANCE(C50, ""price"") / INDEX(GOOGLEFINANCE(C50, ""price"", EDATE(TODAY(), -1), TODAY()), 2, 2)) - 1, """")"),"")</f>
        <v/>
      </c>
      <c r="N50" s="21" t="str">
        <f>IFERROR(__xludf.DUMMYFUNCTION("IFERROR((GOOGLEFINANCE(C50, ""price"") / INDEX(GOOGLEFINANCE(C50, ""price"", EDATE(TODAY(), -3), TODAY()), 2, 2)) - 1, """")"),"")</f>
        <v/>
      </c>
      <c r="O50" s="21" t="str">
        <f>IFERROR(__xludf.DUMMYFUNCTION("IFERROR((GOOGLEFINANCE(C50, ""price"") / INDEX(GOOGLEFINANCE(C50, ""price"", EDATE(TODAY(), -6), TODAY()), 2, 2)) - 1, """")"),"")</f>
        <v/>
      </c>
      <c r="P50" s="21" t="str">
        <f>IFERROR(__xludf.DUMMYFUNCTION("IFERROR((GOOGLEFINANCE(C50, ""price"") / INDEX(GOOGLEFINANCE(C50, ""price"", EDATE(TODAY(), -12), TODAY()), 2, 2)) - 1, """")"),"")</f>
        <v/>
      </c>
      <c r="Q50" s="6" t="str">
        <f>IFERROR(__xludf.DUMMYFUNCTION("AVERAGE(QUERY(GOOGLEFINANCE(C50, ""price"", TODAY()-80, TODAY()), ""SELECT Col2 WHERE Col2 IS NOT NULL ORDER BY Col1 DESC LIMIT 50"", 0))"),"#N/A")</f>
        <v>#N/A</v>
      </c>
      <c r="R50" s="24" t="str">
        <f>IFERROR(__xludf.DUMMYFUNCTION("IFERROR(
  LET(
    data, QUERY(GOOGLEFINANCE(C50,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GOOGLEFINANCE(C50, ""price"")) * 100,
    IF(calc=0, G50, calc)
  ), 
G50)"),"#N/A")</f>
        <v>#N/A</v>
      </c>
      <c r="S50" s="8" t="s">
        <v>15</v>
      </c>
      <c r="T50" s="26" t="str">
        <f>IFERROR(__xludf.DUMMYFUNCTION("IFERROR(TRANSPOSE(QUERY(IFERROR(SORT(GOOGLEFINANCE(C50, ""price"", WORKDAY(TODAY(), -40), TODAY()), 1, FALSE)), ""select Col2 where Col2 is not null limit 22 label Col2 ''"", 0)), """")"),"")</f>
        <v/>
      </c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8"/>
      <c r="AO50" s="28"/>
      <c r="AP50" s="29"/>
      <c r="AQ50" s="29" t="str">
        <f t="shared" ref="AQ50:BL50" si="53">T50/T$2</f>
        <v>#N/A</v>
      </c>
      <c r="AR50" s="29" t="str">
        <f t="shared" si="53"/>
        <v>#DIV/0!</v>
      </c>
      <c r="AS50" s="29" t="str">
        <f t="shared" si="53"/>
        <v>#DIV/0!</v>
      </c>
      <c r="AT50" s="29" t="str">
        <f t="shared" si="53"/>
        <v>#DIV/0!</v>
      </c>
      <c r="AU50" s="29" t="str">
        <f t="shared" si="53"/>
        <v>#DIV/0!</v>
      </c>
      <c r="AV50" s="29" t="str">
        <f t="shared" si="53"/>
        <v>#DIV/0!</v>
      </c>
      <c r="AW50" s="29" t="str">
        <f t="shared" si="53"/>
        <v>#DIV/0!</v>
      </c>
      <c r="AX50" s="29" t="str">
        <f t="shared" si="53"/>
        <v>#DIV/0!</v>
      </c>
      <c r="AY50" s="29" t="str">
        <f t="shared" si="53"/>
        <v>#DIV/0!</v>
      </c>
      <c r="AZ50" s="29" t="str">
        <f t="shared" si="53"/>
        <v>#DIV/0!</v>
      </c>
      <c r="BA50" s="29" t="str">
        <f t="shared" si="53"/>
        <v>#DIV/0!</v>
      </c>
      <c r="BB50" s="29" t="str">
        <f t="shared" si="53"/>
        <v>#DIV/0!</v>
      </c>
      <c r="BC50" s="29" t="str">
        <f t="shared" si="53"/>
        <v>#DIV/0!</v>
      </c>
      <c r="BD50" s="29" t="str">
        <f t="shared" si="53"/>
        <v>#DIV/0!</v>
      </c>
      <c r="BE50" s="29" t="str">
        <f t="shared" si="53"/>
        <v>#DIV/0!</v>
      </c>
      <c r="BF50" s="29" t="str">
        <f t="shared" si="53"/>
        <v>#DIV/0!</v>
      </c>
      <c r="BG50" s="29" t="str">
        <f t="shared" si="53"/>
        <v>#DIV/0!</v>
      </c>
      <c r="BH50" s="29" t="str">
        <f t="shared" si="53"/>
        <v>#DIV/0!</v>
      </c>
      <c r="BI50" s="29" t="str">
        <f t="shared" si="53"/>
        <v>#DIV/0!</v>
      </c>
      <c r="BJ50" s="29" t="str">
        <f t="shared" si="53"/>
        <v>#DIV/0!</v>
      </c>
      <c r="BK50" s="29" t="str">
        <f t="shared" si="53"/>
        <v>#DIV/0!</v>
      </c>
      <c r="BL50" s="29" t="str">
        <f t="shared" si="53"/>
        <v>#DIV/0!</v>
      </c>
      <c r="BM50" s="29" t="str">
        <f t="shared" si="3"/>
        <v>#DIV/0!</v>
      </c>
    </row>
    <row r="51">
      <c r="A51" s="16" t="str">
        <f>IFERROR(__xludf.DUMMYFUNCTION("IFERROR(SPARKLINE(SORT(MAP(TRANSPOSE(AQ51:BL51), LAMBDA(val, IF(ISNUMBER(val), PERCENTRANK(AQ51:BL51, val)+0.01, 0))), SEQUENCE(COLUMNS(AQ51:BL51)), FALSE), {""charttype"",""column""; ""color"",""chartreuse""; ""ymin"", 0; ""ymax"", 1.01; ""highcolor"", "&amp;"""darkgreen""; ""lowcolor"", ""red""}), """")"),"")</f>
        <v/>
      </c>
      <c r="B51" s="17" t="str">
        <f t="shared" si="4"/>
        <v/>
      </c>
      <c r="C51" s="1" t="s">
        <v>2735</v>
      </c>
      <c r="D51" s="30" t="str">
        <f>IFERROR(__xludf.DUMMYFUNCTION("IFERROR(GOOGLEFINANCE(C51, ""NAME""))"),"Delek US Holdings Inc")</f>
        <v>Delek US Holdings Inc</v>
      </c>
      <c r="E51" s="30" t="s">
        <v>2649</v>
      </c>
      <c r="F51" s="33" t="str">
        <f>IFERROR(__xludf.DUMMYFUNCTION("( (GOOGLEFINANCE(C51, ""price"") - Q51) / Q51 ) / (R51 / 100)"),"Loading...")</f>
        <v>Loading...</v>
      </c>
      <c r="G51" s="20" t="str">
        <f>IFERROR(__xludf.DUMMYFUNCTION("AVERAGE(ARRAYFORMULA(100 * (QUERY(GOOGLEFINANCE(C51, ""high"", TODAY()-40, TODAY()), ""SELECT Col2 WHERE Col2 IS NOT NULL ORDER BY Col1 DESC LIMIT 20"", 0) / QUERY(GOOGLEFINANCE(C51, ""low"", TODAY()-40, TODAY()), ""SELECT Col2 WHERE Col2 IS NOT NULL ORDE"&amp;"R BY Col1 DESC LIMIT 20"", 0) - 1)))"),"#N/A")</f>
        <v>#N/A</v>
      </c>
      <c r="H51" s="35" t="str">
        <f t="shared" si="6"/>
        <v>Liquid</v>
      </c>
      <c r="I51" s="35" t="str">
        <f t="shared" si="7"/>
        <v>RVol Required</v>
      </c>
      <c r="J51" s="37">
        <f>IFERROR(__xludf.DUMMYFUNCTION("IFERROR(
  IF(C51="""",, 
    IFERROR(
      GOOGLEFINANCE(C51, ""price"") * GOOGLEFINANCE(C51, ""volumeavg""), 
      GOOGLEFINANCE(C51, ""price"") * AVERAGE(QUERY(GOOGLEFINANCE(C51, ""volume"", TODAY()-40, TODAY()), ""SELECT Col2 WHERE Col2 IS NOT NULL "&amp;"ORDER BY Col1 DESC LIMIT 20"", 0))
    )
  ), 
"""")"),1.8722816109E8)</f>
        <v>187228161.1</v>
      </c>
      <c r="K51" s="21">
        <f>IFERROR(__xludf.DUMMYFUNCTION("IFERROR(GOOGLEFINANCE(C51, ""changepct"") / 100, """")"),-0.0038)</f>
        <v>-0.0038</v>
      </c>
      <c r="L51" s="21" t="str">
        <f>IFERROR(__xludf.DUMMYFUNCTION("IFERROR((GOOGLEFINANCE(C51, ""price"") / INDEX(GOOGLEFINANCE(C51, ""price"", TODAY()-7, TODAY()), 2, 2)) - 1, """")"),"")</f>
        <v/>
      </c>
      <c r="M51" s="21" t="str">
        <f>IFERROR(__xludf.DUMMYFUNCTION("IFERROR((GOOGLEFINANCE(C51, ""price"") / INDEX(GOOGLEFINANCE(C51, ""price"", EDATE(TODAY(), -1), TODAY()), 2, 2)) - 1, """")"),"")</f>
        <v/>
      </c>
      <c r="N51" s="21" t="str">
        <f>IFERROR(__xludf.DUMMYFUNCTION("IFERROR((GOOGLEFINANCE(C51, ""price"") / INDEX(GOOGLEFINANCE(C51, ""price"", EDATE(TODAY(), -3), TODAY()), 2, 2)) - 1, """")"),"")</f>
        <v/>
      </c>
      <c r="O51" s="21" t="str">
        <f>IFERROR(__xludf.DUMMYFUNCTION("IFERROR((GOOGLEFINANCE(C51, ""price"") / INDEX(GOOGLEFINANCE(C51, ""price"", EDATE(TODAY(), -6), TODAY()), 2, 2)) - 1, """")"),"")</f>
        <v/>
      </c>
      <c r="P51" s="21" t="str">
        <f>IFERROR(__xludf.DUMMYFUNCTION("IFERROR((GOOGLEFINANCE(C51, ""price"") / INDEX(GOOGLEFINANCE(C51, ""price"", EDATE(TODAY(), -12), TODAY()), 2, 2)) - 1, """")"),"")</f>
        <v/>
      </c>
      <c r="Q51" s="6" t="str">
        <f>IFERROR(__xludf.DUMMYFUNCTION("AVERAGE(QUERY(GOOGLEFINANCE(C51, ""price"", TODAY()-80, TODAY()), ""SELECT Col2 WHERE Col2 IS NOT NULL ORDER BY Col1 DESC LIMIT 50"", 0))"),"#N/A")</f>
        <v>#N/A</v>
      </c>
      <c r="R51" s="24" t="str">
        <f>IFERROR(__xludf.DUMMYFUNCTION("IFERROR(
  LET(
    data, QUERY(GOOGLEFINANCE(C51,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GOOGLEFINANCE(C51, ""price"")) * 100,
    IF(calc=0, G51, calc)
  ), 
G51)"),"#N/A")</f>
        <v>#N/A</v>
      </c>
      <c r="S51" s="8" t="s">
        <v>15</v>
      </c>
      <c r="T51" s="26" t="str">
        <f>IFERROR(__xludf.DUMMYFUNCTION("IFERROR(TRANSPOSE(QUERY(IFERROR(SORT(GOOGLEFINANCE(C51, ""price"", WORKDAY(TODAY(), -40), TODAY()), 1, FALSE)), ""select Col2 where Col2 is not null limit 22 label Col2 ''"", 0)), """")"),"")</f>
        <v/>
      </c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8"/>
      <c r="AO51" s="28"/>
      <c r="AP51" s="29"/>
      <c r="AQ51" s="29" t="str">
        <f t="shared" ref="AQ51:BL51" si="54">T51/T$2</f>
        <v>#N/A</v>
      </c>
      <c r="AR51" s="29" t="str">
        <f t="shared" si="54"/>
        <v>#DIV/0!</v>
      </c>
      <c r="AS51" s="29" t="str">
        <f t="shared" si="54"/>
        <v>#DIV/0!</v>
      </c>
      <c r="AT51" s="29" t="str">
        <f t="shared" si="54"/>
        <v>#DIV/0!</v>
      </c>
      <c r="AU51" s="29" t="str">
        <f t="shared" si="54"/>
        <v>#DIV/0!</v>
      </c>
      <c r="AV51" s="29" t="str">
        <f t="shared" si="54"/>
        <v>#DIV/0!</v>
      </c>
      <c r="AW51" s="29" t="str">
        <f t="shared" si="54"/>
        <v>#DIV/0!</v>
      </c>
      <c r="AX51" s="29" t="str">
        <f t="shared" si="54"/>
        <v>#DIV/0!</v>
      </c>
      <c r="AY51" s="29" t="str">
        <f t="shared" si="54"/>
        <v>#DIV/0!</v>
      </c>
      <c r="AZ51" s="29" t="str">
        <f t="shared" si="54"/>
        <v>#DIV/0!</v>
      </c>
      <c r="BA51" s="29" t="str">
        <f t="shared" si="54"/>
        <v>#DIV/0!</v>
      </c>
      <c r="BB51" s="29" t="str">
        <f t="shared" si="54"/>
        <v>#DIV/0!</v>
      </c>
      <c r="BC51" s="29" t="str">
        <f t="shared" si="54"/>
        <v>#DIV/0!</v>
      </c>
      <c r="BD51" s="29" t="str">
        <f t="shared" si="54"/>
        <v>#DIV/0!</v>
      </c>
      <c r="BE51" s="29" t="str">
        <f t="shared" si="54"/>
        <v>#DIV/0!</v>
      </c>
      <c r="BF51" s="29" t="str">
        <f t="shared" si="54"/>
        <v>#DIV/0!</v>
      </c>
      <c r="BG51" s="29" t="str">
        <f t="shared" si="54"/>
        <v>#DIV/0!</v>
      </c>
      <c r="BH51" s="29" t="str">
        <f t="shared" si="54"/>
        <v>#DIV/0!</v>
      </c>
      <c r="BI51" s="29" t="str">
        <f t="shared" si="54"/>
        <v>#DIV/0!</v>
      </c>
      <c r="BJ51" s="29" t="str">
        <f t="shared" si="54"/>
        <v>#DIV/0!</v>
      </c>
      <c r="BK51" s="29" t="str">
        <f t="shared" si="54"/>
        <v>#DIV/0!</v>
      </c>
      <c r="BL51" s="29" t="str">
        <f t="shared" si="54"/>
        <v>#DIV/0!</v>
      </c>
      <c r="BM51" s="29" t="str">
        <f t="shared" si="3"/>
        <v>#DIV/0!</v>
      </c>
    </row>
    <row r="52" hidden="1">
      <c r="A52" s="16" t="str">
        <f>IFERROR(__xludf.DUMMYFUNCTION("IFERROR(SPARKLINE(SORT(MAP(TRANSPOSE(AQ52:BL52), LAMBDA(val, IF(ISNUMBER(val), PERCENTRANK(AQ52:BL52, val)+0.01, 0))), SEQUENCE(COLUMNS(AQ52:BL52)), FALSE), {""charttype"",""column""; ""color"",""chartreuse""; ""ymin"", 0; ""ymax"", 1.01; ""highcolor"", "&amp;"""darkgreen""; ""lowcolor"", ""red""}), """")"),"")</f>
        <v/>
      </c>
      <c r="B52" s="17" t="str">
        <f t="shared" si="4"/>
        <v/>
      </c>
      <c r="C52" s="1" t="s">
        <v>2738</v>
      </c>
      <c r="D52" s="30" t="str">
        <f>IFERROR(__xludf.DUMMYFUNCTION("IFERROR(GOOGLEFINANCE(C52, ""NAME""))"),"Borr Drilling Ltd")</f>
        <v>Borr Drilling Ltd</v>
      </c>
      <c r="E52" s="30" t="s">
        <v>2658</v>
      </c>
      <c r="F52" s="33" t="str">
        <f>IFERROR(__xludf.DUMMYFUNCTION("( (GOOGLEFINANCE(C52, ""price"") - Q52) / Q52 ) / (R52 / 100)"),"Loading...")</f>
        <v>Loading...</v>
      </c>
      <c r="G52" s="20" t="str">
        <f>IFERROR(__xludf.DUMMYFUNCTION("AVERAGE(ARRAYFORMULA(100 * (QUERY(GOOGLEFINANCE(C52, ""high"", TODAY()-40, TODAY()), ""SELECT Col2 WHERE Col2 IS NOT NULL ORDER BY Col1 DESC LIMIT 20"", 0) / QUERY(GOOGLEFINANCE(C52, ""low"", TODAY()-40, TODAY()), ""SELECT Col2 WHERE Col2 IS NOT NULL ORDE"&amp;"R BY Col1 DESC LIMIT 20"", 0) - 1)))"),"#N/A")</f>
        <v>#N/A</v>
      </c>
      <c r="H52" s="35" t="str">
        <f t="shared" si="6"/>
        <v>Illiquid</v>
      </c>
      <c r="I52" s="35" t="str">
        <f t="shared" si="7"/>
        <v>RVol Required</v>
      </c>
      <c r="J52" s="37">
        <f>IFERROR(__xludf.DUMMYFUNCTION("IFERROR(
  IF(C52="""",, 
    IFERROR(
      GOOGLEFINANCE(C52, ""price"") * GOOGLEFINANCE(C52, ""volumeavg""), 
      GOOGLEFINANCE(C52, ""price"") * AVERAGE(QUERY(GOOGLEFINANCE(C52, ""volume"", TODAY()-40, TODAY()), ""SELECT Col2 WHERE Col2 IS NOT NULL "&amp;"ORDER BY Col1 DESC LIMIT 20"", 0))
    )
  ), 
"""")"),3.434656188E7)</f>
        <v>34346561.88</v>
      </c>
      <c r="K52" s="21">
        <f>IFERROR(__xludf.DUMMYFUNCTION("IFERROR(GOOGLEFINANCE(C52, ""changepct"") / 100, """")"),-0.0022)</f>
        <v>-0.0022</v>
      </c>
      <c r="L52" s="21" t="str">
        <f>IFERROR(__xludf.DUMMYFUNCTION("IFERROR((GOOGLEFINANCE(C52, ""price"") / INDEX(GOOGLEFINANCE(C52, ""price"", TODAY()-7, TODAY()), 2, 2)) - 1, """")"),"")</f>
        <v/>
      </c>
      <c r="M52" s="21" t="str">
        <f>IFERROR(__xludf.DUMMYFUNCTION("IFERROR((GOOGLEFINANCE(C52, ""price"") / INDEX(GOOGLEFINANCE(C52, ""price"", EDATE(TODAY(), -1), TODAY()), 2, 2)) - 1, """")"),"")</f>
        <v/>
      </c>
      <c r="N52" s="21" t="str">
        <f>IFERROR(__xludf.DUMMYFUNCTION("IFERROR((GOOGLEFINANCE(C52, ""price"") / INDEX(GOOGLEFINANCE(C52, ""price"", EDATE(TODAY(), -3), TODAY()), 2, 2)) - 1, """")"),"")</f>
        <v/>
      </c>
      <c r="O52" s="21" t="str">
        <f>IFERROR(__xludf.DUMMYFUNCTION("IFERROR((GOOGLEFINANCE(C52, ""price"") / INDEX(GOOGLEFINANCE(C52, ""price"", EDATE(TODAY(), -6), TODAY()), 2, 2)) - 1, """")"),"")</f>
        <v/>
      </c>
      <c r="P52" s="21" t="str">
        <f>IFERROR(__xludf.DUMMYFUNCTION("IFERROR((GOOGLEFINANCE(C52, ""price"") / INDEX(GOOGLEFINANCE(C52, ""price"", EDATE(TODAY(), -12), TODAY()), 2, 2)) - 1, """")"),"")</f>
        <v/>
      </c>
      <c r="Q52" s="6" t="str">
        <f>IFERROR(__xludf.DUMMYFUNCTION("AVERAGE(QUERY(GOOGLEFINANCE(C52, ""price"", TODAY()-80, TODAY()), ""SELECT Col2 WHERE Col2 IS NOT NULL ORDER BY Col1 DESC LIMIT 50"", 0))"),"#N/A")</f>
        <v>#N/A</v>
      </c>
      <c r="R52" s="24" t="str">
        <f>IFERROR(__xludf.DUMMYFUNCTION("IFERROR(
  LET(
    data, QUERY(GOOGLEFINANCE(C52,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GOOGLEFINANCE(C52, ""price"")) * 100,
    IF(calc=0, G52, calc)
  ), 
G52)"),"#N/A")</f>
        <v>#N/A</v>
      </c>
      <c r="S52" s="8" t="s">
        <v>15</v>
      </c>
      <c r="T52" s="26" t="str">
        <f>IFERROR(__xludf.DUMMYFUNCTION("IFERROR(TRANSPOSE(QUERY(IFERROR(SORT(GOOGLEFINANCE(C52, ""price"", WORKDAY(TODAY(), -40), TODAY()), 1, FALSE)), ""select Col2 where Col2 is not null limit 22 label Col2 ''"", 0)), """")"),"")</f>
        <v/>
      </c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8"/>
      <c r="AO52" s="28"/>
      <c r="AP52" s="29"/>
      <c r="AQ52" s="29" t="str">
        <f t="shared" ref="AQ52:BL52" si="55">T52/T$2</f>
        <v>#N/A</v>
      </c>
      <c r="AR52" s="29" t="str">
        <f t="shared" si="55"/>
        <v>#DIV/0!</v>
      </c>
      <c r="AS52" s="29" t="str">
        <f t="shared" si="55"/>
        <v>#DIV/0!</v>
      </c>
      <c r="AT52" s="29" t="str">
        <f t="shared" si="55"/>
        <v>#DIV/0!</v>
      </c>
      <c r="AU52" s="29" t="str">
        <f t="shared" si="55"/>
        <v>#DIV/0!</v>
      </c>
      <c r="AV52" s="29" t="str">
        <f t="shared" si="55"/>
        <v>#DIV/0!</v>
      </c>
      <c r="AW52" s="29" t="str">
        <f t="shared" si="55"/>
        <v>#DIV/0!</v>
      </c>
      <c r="AX52" s="29" t="str">
        <f t="shared" si="55"/>
        <v>#DIV/0!</v>
      </c>
      <c r="AY52" s="29" t="str">
        <f t="shared" si="55"/>
        <v>#DIV/0!</v>
      </c>
      <c r="AZ52" s="29" t="str">
        <f t="shared" si="55"/>
        <v>#DIV/0!</v>
      </c>
      <c r="BA52" s="29" t="str">
        <f t="shared" si="55"/>
        <v>#DIV/0!</v>
      </c>
      <c r="BB52" s="29" t="str">
        <f t="shared" si="55"/>
        <v>#DIV/0!</v>
      </c>
      <c r="BC52" s="29" t="str">
        <f t="shared" si="55"/>
        <v>#DIV/0!</v>
      </c>
      <c r="BD52" s="29" t="str">
        <f t="shared" si="55"/>
        <v>#DIV/0!</v>
      </c>
      <c r="BE52" s="29" t="str">
        <f t="shared" si="55"/>
        <v>#DIV/0!</v>
      </c>
      <c r="BF52" s="29" t="str">
        <f t="shared" si="55"/>
        <v>#DIV/0!</v>
      </c>
      <c r="BG52" s="29" t="str">
        <f t="shared" si="55"/>
        <v>#DIV/0!</v>
      </c>
      <c r="BH52" s="29" t="str">
        <f t="shared" si="55"/>
        <v>#DIV/0!</v>
      </c>
      <c r="BI52" s="29" t="str">
        <f t="shared" si="55"/>
        <v>#DIV/0!</v>
      </c>
      <c r="BJ52" s="29" t="str">
        <f t="shared" si="55"/>
        <v>#DIV/0!</v>
      </c>
      <c r="BK52" s="29" t="str">
        <f t="shared" si="55"/>
        <v>#DIV/0!</v>
      </c>
      <c r="BL52" s="29" t="str">
        <f t="shared" si="55"/>
        <v>#DIV/0!</v>
      </c>
      <c r="BM52" s="29" t="str">
        <f t="shared" si="3"/>
        <v>#DIV/0!</v>
      </c>
    </row>
    <row r="53">
      <c r="A53" s="16" t="str">
        <f>IFERROR(__xludf.DUMMYFUNCTION("IFERROR(SPARKLINE(SORT(MAP(TRANSPOSE(AQ53:BL53), LAMBDA(val, IF(ISNUMBER(val), PERCENTRANK(AQ53:BL53, val)+0.01, 0))), SEQUENCE(COLUMNS(AQ53:BL53)), FALSE), {""charttype"",""column""; ""color"",""chartreuse""; ""ymin"", 0; ""ymax"", 1.01; ""highcolor"", "&amp;"""darkgreen""; ""lowcolor"", ""red""}), """")"),"")</f>
        <v/>
      </c>
      <c r="B53" s="17" t="str">
        <f t="shared" si="4"/>
        <v/>
      </c>
      <c r="C53" s="1" t="s">
        <v>2744</v>
      </c>
      <c r="D53" s="30" t="str">
        <f>IFERROR(__xludf.DUMMYFUNCTION("IFERROR(GOOGLEFINANCE(C53, ""NAME""))"),"YPF SA")</f>
        <v>YPF SA</v>
      </c>
      <c r="E53" s="30" t="s">
        <v>2631</v>
      </c>
      <c r="F53" s="38" t="str">
        <f>IFERROR(__xludf.DUMMYFUNCTION("( (GOOGLEFINANCE(C53, ""price"") - Q53) / Q53 ) / (R53 / 100)"),"Loading...")</f>
        <v>Loading...</v>
      </c>
      <c r="G53" s="20" t="str">
        <f>IFERROR(__xludf.DUMMYFUNCTION("AVERAGE(ARRAYFORMULA(100 * (QUERY(GOOGLEFINANCE(C53, ""high"", TODAY()-40, TODAY()), ""SELECT Col2 WHERE Col2 IS NOT NULL ORDER BY Col1 DESC LIMIT 20"", 0) / QUERY(GOOGLEFINANCE(C53, ""low"", TODAY()-40, TODAY()), ""SELECT Col2 WHERE Col2 IS NOT NULL ORDE"&amp;"R BY Col1 DESC LIMIT 20"", 0) - 1)))"),"#N/A")</f>
        <v>#N/A</v>
      </c>
      <c r="H53" s="35" t="str">
        <f t="shared" si="6"/>
        <v>Liquid</v>
      </c>
      <c r="I53" s="35" t="str">
        <f t="shared" si="7"/>
        <v>RVol Required</v>
      </c>
      <c r="J53" s="37">
        <f>IFERROR(__xludf.DUMMYFUNCTION("IFERROR(
  IF(C53="""",, 
    IFERROR(
      GOOGLEFINANCE(C53, ""price"") * GOOGLEFINANCE(C53, ""volumeavg""), 
      GOOGLEFINANCE(C53, ""price"") * AVERAGE(QUERY(GOOGLEFINANCE(C53, ""volume"", TODAY()-40, TODAY()), ""SELECT Col2 WHERE Col2 IS NOT NULL "&amp;"ORDER BY Col1 DESC LIMIT 20"", 0))
    )
  ), 
"""")"),6.54601072E7)</f>
        <v>65460107.2</v>
      </c>
      <c r="K53" s="21">
        <f>IFERROR(__xludf.DUMMYFUNCTION("IFERROR(GOOGLEFINANCE(C53, ""changepct"") / 100, """")"),0.0194)</f>
        <v>0.0194</v>
      </c>
      <c r="L53" s="21" t="str">
        <f>IFERROR(__xludf.DUMMYFUNCTION("IFERROR((GOOGLEFINANCE(C53, ""price"") / INDEX(GOOGLEFINANCE(C53, ""price"", TODAY()-7, TODAY()), 2, 2)) - 1, """")"),"")</f>
        <v/>
      </c>
      <c r="M53" s="21" t="str">
        <f>IFERROR(__xludf.DUMMYFUNCTION("IFERROR((GOOGLEFINANCE(C53, ""price"") / INDEX(GOOGLEFINANCE(C53, ""price"", EDATE(TODAY(), -1), TODAY()), 2, 2)) - 1, """")"),"")</f>
        <v/>
      </c>
      <c r="N53" s="21" t="str">
        <f>IFERROR(__xludf.DUMMYFUNCTION("IFERROR((GOOGLEFINANCE(C53, ""price"") / INDEX(GOOGLEFINANCE(C53, ""price"", EDATE(TODAY(), -3), TODAY()), 2, 2)) - 1, """")"),"")</f>
        <v/>
      </c>
      <c r="O53" s="21" t="str">
        <f>IFERROR(__xludf.DUMMYFUNCTION("IFERROR((GOOGLEFINANCE(C53, ""price"") / INDEX(GOOGLEFINANCE(C53, ""price"", EDATE(TODAY(), -6), TODAY()), 2, 2)) - 1, """")"),"")</f>
        <v/>
      </c>
      <c r="P53" s="21" t="str">
        <f>IFERROR(__xludf.DUMMYFUNCTION("IFERROR((GOOGLEFINANCE(C53, ""price"") / INDEX(GOOGLEFINANCE(C53, ""price"", EDATE(TODAY(), -12), TODAY()), 2, 2)) - 1, """")"),"")</f>
        <v/>
      </c>
      <c r="Q53" s="6" t="str">
        <f>IFERROR(__xludf.DUMMYFUNCTION("AVERAGE(QUERY(GOOGLEFINANCE(C53, ""price"", TODAY()-80, TODAY()), ""SELECT Col2 WHERE Col2 IS NOT NULL ORDER BY Col1 DESC LIMIT 50"", 0))"),"#N/A")</f>
        <v>#N/A</v>
      </c>
      <c r="R53" s="24" t="str">
        <f>IFERROR(__xludf.DUMMYFUNCTION("IFERROR(
  LET(
    data, QUERY(GOOGLEFINANCE(C53,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GOOGLEFINANCE(C53, ""price"")) * 100,
    IF(calc=0, G53, calc)
  ), 
G53)"),"#N/A")</f>
        <v>#N/A</v>
      </c>
      <c r="S53" s="8" t="s">
        <v>15</v>
      </c>
      <c r="T53" s="26" t="str">
        <f>IFERROR(__xludf.DUMMYFUNCTION("IFERROR(TRANSPOSE(QUERY(IFERROR(SORT(GOOGLEFINANCE(C53, ""price"", WORKDAY(TODAY(), -40), TODAY()), 1, FALSE)), ""select Col2 where Col2 is not null limit 22 label Col2 ''"", 0)), """")"),"")</f>
        <v/>
      </c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8"/>
      <c r="AO53" s="28"/>
      <c r="AP53" s="29"/>
      <c r="AQ53" s="29" t="str">
        <f t="shared" ref="AQ53:BL53" si="56">T53/T$2</f>
        <v>#N/A</v>
      </c>
      <c r="AR53" s="29" t="str">
        <f t="shared" si="56"/>
        <v>#DIV/0!</v>
      </c>
      <c r="AS53" s="29" t="str">
        <f t="shared" si="56"/>
        <v>#DIV/0!</v>
      </c>
      <c r="AT53" s="29" t="str">
        <f t="shared" si="56"/>
        <v>#DIV/0!</v>
      </c>
      <c r="AU53" s="29" t="str">
        <f t="shared" si="56"/>
        <v>#DIV/0!</v>
      </c>
      <c r="AV53" s="29" t="str">
        <f t="shared" si="56"/>
        <v>#DIV/0!</v>
      </c>
      <c r="AW53" s="29" t="str">
        <f t="shared" si="56"/>
        <v>#DIV/0!</v>
      </c>
      <c r="AX53" s="29" t="str">
        <f t="shared" si="56"/>
        <v>#DIV/0!</v>
      </c>
      <c r="AY53" s="29" t="str">
        <f t="shared" si="56"/>
        <v>#DIV/0!</v>
      </c>
      <c r="AZ53" s="29" t="str">
        <f t="shared" si="56"/>
        <v>#DIV/0!</v>
      </c>
      <c r="BA53" s="29" t="str">
        <f t="shared" si="56"/>
        <v>#DIV/0!</v>
      </c>
      <c r="BB53" s="29" t="str">
        <f t="shared" si="56"/>
        <v>#DIV/0!</v>
      </c>
      <c r="BC53" s="29" t="str">
        <f t="shared" si="56"/>
        <v>#DIV/0!</v>
      </c>
      <c r="BD53" s="29" t="str">
        <f t="shared" si="56"/>
        <v>#DIV/0!</v>
      </c>
      <c r="BE53" s="29" t="str">
        <f t="shared" si="56"/>
        <v>#DIV/0!</v>
      </c>
      <c r="BF53" s="29" t="str">
        <f t="shared" si="56"/>
        <v>#DIV/0!</v>
      </c>
      <c r="BG53" s="29" t="str">
        <f t="shared" si="56"/>
        <v>#DIV/0!</v>
      </c>
      <c r="BH53" s="29" t="str">
        <f t="shared" si="56"/>
        <v>#DIV/0!</v>
      </c>
      <c r="BI53" s="29" t="str">
        <f t="shared" si="56"/>
        <v>#DIV/0!</v>
      </c>
      <c r="BJ53" s="29" t="str">
        <f t="shared" si="56"/>
        <v>#DIV/0!</v>
      </c>
      <c r="BK53" s="29" t="str">
        <f t="shared" si="56"/>
        <v>#DIV/0!</v>
      </c>
      <c r="BL53" s="29" t="str">
        <f t="shared" si="56"/>
        <v>#DIV/0!</v>
      </c>
      <c r="BM53" s="29" t="str">
        <f t="shared" si="3"/>
        <v>#DIV/0!</v>
      </c>
    </row>
    <row r="54">
      <c r="A54" s="16" t="str">
        <f>IFERROR(__xludf.DUMMYFUNCTION("IFERROR(SPARKLINE(SORT(MAP(TRANSPOSE(AQ54:BL54), LAMBDA(val, IF(ISNUMBER(val), PERCENTRANK(AQ54:BL54, val)+0.01, 0))), SEQUENCE(COLUMNS(AQ54:BL54)), FALSE), {""charttype"",""column""; ""color"",""chartreuse""; ""ymin"", 0; ""ymax"", 1.01; ""highcolor"", "&amp;"""darkgreen""; ""lowcolor"", ""red""}), """")"),"")</f>
        <v/>
      </c>
      <c r="B54" s="17" t="str">
        <f t="shared" si="4"/>
        <v/>
      </c>
      <c r="C54" s="1" t="s">
        <v>2748</v>
      </c>
      <c r="D54" s="30" t="str">
        <f>IFERROR(__xludf.DUMMYFUNCTION("IFERROR(GOOGLEFINANCE(C54, ""NAME""))"),"Targa Resources Corp")</f>
        <v>Targa Resources Corp</v>
      </c>
      <c r="E54" s="30" t="s">
        <v>2547</v>
      </c>
      <c r="F54" s="33" t="str">
        <f>IFERROR(__xludf.DUMMYFUNCTION("( (GOOGLEFINANCE(C54, ""price"") - Q54) / Q54 ) / (R54 / 100)"),"Loading...")</f>
        <v>Loading...</v>
      </c>
      <c r="G54" s="20" t="str">
        <f>IFERROR(__xludf.DUMMYFUNCTION("AVERAGE(ARRAYFORMULA(100 * (QUERY(GOOGLEFINANCE(C54, ""high"", TODAY()-40, TODAY()), ""SELECT Col2 WHERE Col2 IS NOT NULL ORDER BY Col1 DESC LIMIT 20"", 0) / QUERY(GOOGLEFINANCE(C54, ""low"", TODAY()-40, TODAY()), ""SELECT Col2 WHERE Col2 IS NOT NULL ORDE"&amp;"R BY Col1 DESC LIMIT 20"", 0) - 1)))"),"#N/A")</f>
        <v>#N/A</v>
      </c>
      <c r="H54" s="35" t="str">
        <f t="shared" si="6"/>
        <v>Liquid</v>
      </c>
      <c r="I54" s="35" t="str">
        <f t="shared" si="7"/>
        <v>RVol Required</v>
      </c>
      <c r="J54" s="37">
        <f>IFERROR(__xludf.DUMMYFUNCTION("IFERROR(
  IF(C54="""",, 
    IFERROR(
      GOOGLEFINANCE(C54, ""price"") * GOOGLEFINANCE(C54, ""volumeavg""), 
      GOOGLEFINANCE(C54, ""price"") * AVERAGE(QUERY(GOOGLEFINANCE(C54, ""volume"", TODAY()-40, TODAY()), ""SELECT Col2 WHERE Col2 IS NOT NULL "&amp;"ORDER BY Col1 DESC LIMIT 20"", 0))
    )
  ), 
"""")"),3.228287994E8)</f>
        <v>322828799.4</v>
      </c>
      <c r="K54" s="21">
        <f>IFERROR(__xludf.DUMMYFUNCTION("IFERROR(GOOGLEFINANCE(C54, ""changepct"") / 100, """")"),0.0437)</f>
        <v>0.0437</v>
      </c>
      <c r="L54" s="21" t="str">
        <f>IFERROR(__xludf.DUMMYFUNCTION("IFERROR((GOOGLEFINANCE(C54, ""price"") / INDEX(GOOGLEFINANCE(C54, ""price"", TODAY()-7, TODAY()), 2, 2)) - 1, """")"),"")</f>
        <v/>
      </c>
      <c r="M54" s="21" t="str">
        <f>IFERROR(__xludf.DUMMYFUNCTION("IFERROR((GOOGLEFINANCE(C54, ""price"") / INDEX(GOOGLEFINANCE(C54, ""price"", EDATE(TODAY(), -1), TODAY()), 2, 2)) - 1, """")"),"")</f>
        <v/>
      </c>
      <c r="N54" s="21" t="str">
        <f>IFERROR(__xludf.DUMMYFUNCTION("IFERROR((GOOGLEFINANCE(C54, ""price"") / INDEX(GOOGLEFINANCE(C54, ""price"", EDATE(TODAY(), -3), TODAY()), 2, 2)) - 1, """")"),"")</f>
        <v/>
      </c>
      <c r="O54" s="21" t="str">
        <f>IFERROR(__xludf.DUMMYFUNCTION("IFERROR((GOOGLEFINANCE(C54, ""price"") / INDEX(GOOGLEFINANCE(C54, ""price"", EDATE(TODAY(), -6), TODAY()), 2, 2)) - 1, """")"),"")</f>
        <v/>
      </c>
      <c r="P54" s="21" t="str">
        <f>IFERROR(__xludf.DUMMYFUNCTION("IFERROR((GOOGLEFINANCE(C54, ""price"") / INDEX(GOOGLEFINANCE(C54, ""price"", EDATE(TODAY(), -12), TODAY()), 2, 2)) - 1, """")"),"")</f>
        <v/>
      </c>
      <c r="Q54" s="6" t="str">
        <f>IFERROR(__xludf.DUMMYFUNCTION("AVERAGE(QUERY(GOOGLEFINANCE(C54, ""price"", TODAY()-80, TODAY()), ""SELECT Col2 WHERE Col2 IS NOT NULL ORDER BY Col1 DESC LIMIT 50"", 0))"),"#N/A")</f>
        <v>#N/A</v>
      </c>
      <c r="R54" s="24" t="str">
        <f>IFERROR(__xludf.DUMMYFUNCTION("IFERROR(
  LET(
    data, QUERY(GOOGLEFINANCE(C54,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GOOGLEFINANCE(C54, ""price"")) * 100,
    IF(calc=0, G54, calc)
  ), 
G54)"),"#N/A")</f>
        <v>#N/A</v>
      </c>
      <c r="S54" s="8" t="s">
        <v>15</v>
      </c>
      <c r="T54" s="26" t="str">
        <f>IFERROR(__xludf.DUMMYFUNCTION("IFERROR(TRANSPOSE(QUERY(IFERROR(SORT(GOOGLEFINANCE(C54, ""price"", WORKDAY(TODAY(), -40), TODAY()), 1, FALSE)), ""select Col2 where Col2 is not null limit 22 label Col2 ''"", 0)), """")"),"")</f>
        <v/>
      </c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8"/>
      <c r="AO54" s="28"/>
      <c r="AP54" s="29"/>
      <c r="AQ54" s="29" t="str">
        <f t="shared" ref="AQ54:BL54" si="57">T54/T$2</f>
        <v>#N/A</v>
      </c>
      <c r="AR54" s="29" t="str">
        <f t="shared" si="57"/>
        <v>#DIV/0!</v>
      </c>
      <c r="AS54" s="29" t="str">
        <f t="shared" si="57"/>
        <v>#DIV/0!</v>
      </c>
      <c r="AT54" s="29" t="str">
        <f t="shared" si="57"/>
        <v>#DIV/0!</v>
      </c>
      <c r="AU54" s="29" t="str">
        <f t="shared" si="57"/>
        <v>#DIV/0!</v>
      </c>
      <c r="AV54" s="29" t="str">
        <f t="shared" si="57"/>
        <v>#DIV/0!</v>
      </c>
      <c r="AW54" s="29" t="str">
        <f t="shared" si="57"/>
        <v>#DIV/0!</v>
      </c>
      <c r="AX54" s="29" t="str">
        <f t="shared" si="57"/>
        <v>#DIV/0!</v>
      </c>
      <c r="AY54" s="29" t="str">
        <f t="shared" si="57"/>
        <v>#DIV/0!</v>
      </c>
      <c r="AZ54" s="29" t="str">
        <f t="shared" si="57"/>
        <v>#DIV/0!</v>
      </c>
      <c r="BA54" s="29" t="str">
        <f t="shared" si="57"/>
        <v>#DIV/0!</v>
      </c>
      <c r="BB54" s="29" t="str">
        <f t="shared" si="57"/>
        <v>#DIV/0!</v>
      </c>
      <c r="BC54" s="29" t="str">
        <f t="shared" si="57"/>
        <v>#DIV/0!</v>
      </c>
      <c r="BD54" s="29" t="str">
        <f t="shared" si="57"/>
        <v>#DIV/0!</v>
      </c>
      <c r="BE54" s="29" t="str">
        <f t="shared" si="57"/>
        <v>#DIV/0!</v>
      </c>
      <c r="BF54" s="29" t="str">
        <f t="shared" si="57"/>
        <v>#DIV/0!</v>
      </c>
      <c r="BG54" s="29" t="str">
        <f t="shared" si="57"/>
        <v>#DIV/0!</v>
      </c>
      <c r="BH54" s="29" t="str">
        <f t="shared" si="57"/>
        <v>#DIV/0!</v>
      </c>
      <c r="BI54" s="29" t="str">
        <f t="shared" si="57"/>
        <v>#DIV/0!</v>
      </c>
      <c r="BJ54" s="29" t="str">
        <f t="shared" si="57"/>
        <v>#DIV/0!</v>
      </c>
      <c r="BK54" s="29" t="str">
        <f t="shared" si="57"/>
        <v>#DIV/0!</v>
      </c>
      <c r="BL54" s="29" t="str">
        <f t="shared" si="57"/>
        <v>#DIV/0!</v>
      </c>
      <c r="BM54" s="29" t="str">
        <f t="shared" si="3"/>
        <v>#DIV/0!</v>
      </c>
    </row>
    <row r="55" hidden="1">
      <c r="A55" s="16" t="str">
        <f>IFERROR(__xludf.DUMMYFUNCTION("IFERROR(SPARKLINE(SORT(MAP(TRANSPOSE(AQ55:BL55), LAMBDA(val, IF(ISNUMBER(val), PERCENTRANK(AQ55:BL55, val)+0.01, 0))), SEQUENCE(COLUMNS(AQ55:BL55)), FALSE), {""charttype"",""column""; ""color"",""chartreuse""; ""ymin"", 0; ""ymax"", 1.01; ""highcolor"", "&amp;"""darkgreen""; ""lowcolor"", ""red""}), """")"),"")</f>
        <v/>
      </c>
      <c r="B55" s="17" t="str">
        <f t="shared" si="4"/>
        <v/>
      </c>
      <c r="C55" s="1" t="s">
        <v>2753</v>
      </c>
      <c r="D55" s="30" t="str">
        <f>IFERROR(__xludf.DUMMYFUNCTION("IFERROR(GOOGLEFINANCE(C55, ""NAME""))"),"Tsakos Energy Navigation Ltd")</f>
        <v>Tsakos Energy Navigation Ltd</v>
      </c>
      <c r="E55" s="30" t="s">
        <v>2547</v>
      </c>
      <c r="F55" s="33" t="str">
        <f>IFERROR(__xludf.DUMMYFUNCTION("( (GOOGLEFINANCE(C55, ""price"") - Q55) / Q55 ) / (R55 / 100)"),"Loading...")</f>
        <v>Loading...</v>
      </c>
      <c r="G55" s="20" t="str">
        <f>IFERROR(__xludf.DUMMYFUNCTION("AVERAGE(ARRAYFORMULA(100 * (QUERY(GOOGLEFINANCE(C55, ""high"", TODAY()-40, TODAY()), ""SELECT Col2 WHERE Col2 IS NOT NULL ORDER BY Col1 DESC LIMIT 20"", 0) / QUERY(GOOGLEFINANCE(C55, ""low"", TODAY()-40, TODAY()), ""SELECT Col2 WHERE Col2 IS NOT NULL ORDE"&amp;"R BY Col1 DESC LIMIT 20"", 0) - 1)))"),"#N/A")</f>
        <v>#N/A</v>
      </c>
      <c r="H55" s="35" t="str">
        <f t="shared" si="6"/>
        <v>Illiquid</v>
      </c>
      <c r="I55" s="35" t="str">
        <f t="shared" si="7"/>
        <v>RVol Required</v>
      </c>
      <c r="J55" s="37">
        <f>IFERROR(__xludf.DUMMYFUNCTION("IFERROR(
  IF(C55="""",, 
    IFERROR(
      GOOGLEFINANCE(C55, ""price"") * GOOGLEFINANCE(C55, ""volumeavg""), 
      GOOGLEFINANCE(C55, ""price"") * AVERAGE(QUERY(GOOGLEFINANCE(C55, ""volume"", TODAY()-40, TODAY()), ""SELECT Col2 WHERE Col2 IS NOT NULL "&amp;"ORDER BY Col1 DESC LIMIT 20"", 0))
    )
  ), 
"""")"),2.764421166E7)</f>
        <v>27644211.66</v>
      </c>
      <c r="K55" s="21">
        <f>IFERROR(__xludf.DUMMYFUNCTION("IFERROR(GOOGLEFINANCE(C55, ""changepct"") / 100, """")"),-0.0058)</f>
        <v>-0.0058</v>
      </c>
      <c r="L55" s="21" t="str">
        <f>IFERROR(__xludf.DUMMYFUNCTION("IFERROR((GOOGLEFINANCE(C55, ""price"") / INDEX(GOOGLEFINANCE(C55, ""price"", TODAY()-7, TODAY()), 2, 2)) - 1, """")"),"")</f>
        <v/>
      </c>
      <c r="M55" s="21" t="str">
        <f>IFERROR(__xludf.DUMMYFUNCTION("IFERROR((GOOGLEFINANCE(C55, ""price"") / INDEX(GOOGLEFINANCE(C55, ""price"", EDATE(TODAY(), -1), TODAY()), 2, 2)) - 1, """")"),"")</f>
        <v/>
      </c>
      <c r="N55" s="21" t="str">
        <f>IFERROR(__xludf.DUMMYFUNCTION("IFERROR((GOOGLEFINANCE(C55, ""price"") / INDEX(GOOGLEFINANCE(C55, ""price"", EDATE(TODAY(), -3), TODAY()), 2, 2)) - 1, """")"),"")</f>
        <v/>
      </c>
      <c r="O55" s="21" t="str">
        <f>IFERROR(__xludf.DUMMYFUNCTION("IFERROR((GOOGLEFINANCE(C55, ""price"") / INDEX(GOOGLEFINANCE(C55, ""price"", EDATE(TODAY(), -6), TODAY()), 2, 2)) - 1, """")"),"")</f>
        <v/>
      </c>
      <c r="P55" s="21" t="str">
        <f>IFERROR(__xludf.DUMMYFUNCTION("IFERROR((GOOGLEFINANCE(C55, ""price"") / INDEX(GOOGLEFINANCE(C55, ""price"", EDATE(TODAY(), -12), TODAY()), 2, 2)) - 1, """")"),"")</f>
        <v/>
      </c>
      <c r="Q55" s="6" t="str">
        <f>IFERROR(__xludf.DUMMYFUNCTION("AVERAGE(QUERY(GOOGLEFINANCE(C55, ""price"", TODAY()-80, TODAY()), ""SELECT Col2 WHERE Col2 IS NOT NULL ORDER BY Col1 DESC LIMIT 50"", 0))"),"#N/A")</f>
        <v>#N/A</v>
      </c>
      <c r="R55" s="24" t="str">
        <f>IFERROR(__xludf.DUMMYFUNCTION("IFERROR(
  LET(
    data, QUERY(GOOGLEFINANCE(C55,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GOOGLEFINANCE(C55, ""price"")) * 100,
    IF(calc=0, G55, calc)
  ), 
G55)"),"#N/A")</f>
        <v>#N/A</v>
      </c>
      <c r="S55" s="8" t="s">
        <v>15</v>
      </c>
      <c r="T55" s="26" t="str">
        <f>IFERROR(__xludf.DUMMYFUNCTION("IFERROR(TRANSPOSE(QUERY(IFERROR(SORT(GOOGLEFINANCE(C55, ""price"", WORKDAY(TODAY(), -40), TODAY()), 1, FALSE)), ""select Col2 where Col2 is not null limit 22 label Col2 ''"", 0)), """")"),"")</f>
        <v/>
      </c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8"/>
      <c r="AO55" s="28"/>
      <c r="AP55" s="29"/>
      <c r="AQ55" s="29" t="str">
        <f t="shared" ref="AQ55:BL55" si="58">T55/T$2</f>
        <v>#N/A</v>
      </c>
      <c r="AR55" s="29" t="str">
        <f t="shared" si="58"/>
        <v>#DIV/0!</v>
      </c>
      <c r="AS55" s="29" t="str">
        <f t="shared" si="58"/>
        <v>#DIV/0!</v>
      </c>
      <c r="AT55" s="29" t="str">
        <f t="shared" si="58"/>
        <v>#DIV/0!</v>
      </c>
      <c r="AU55" s="29" t="str">
        <f t="shared" si="58"/>
        <v>#DIV/0!</v>
      </c>
      <c r="AV55" s="29" t="str">
        <f t="shared" si="58"/>
        <v>#DIV/0!</v>
      </c>
      <c r="AW55" s="29" t="str">
        <f t="shared" si="58"/>
        <v>#DIV/0!</v>
      </c>
      <c r="AX55" s="29" t="str">
        <f t="shared" si="58"/>
        <v>#DIV/0!</v>
      </c>
      <c r="AY55" s="29" t="str">
        <f t="shared" si="58"/>
        <v>#DIV/0!</v>
      </c>
      <c r="AZ55" s="29" t="str">
        <f t="shared" si="58"/>
        <v>#DIV/0!</v>
      </c>
      <c r="BA55" s="29" t="str">
        <f t="shared" si="58"/>
        <v>#DIV/0!</v>
      </c>
      <c r="BB55" s="29" t="str">
        <f t="shared" si="58"/>
        <v>#DIV/0!</v>
      </c>
      <c r="BC55" s="29" t="str">
        <f t="shared" si="58"/>
        <v>#DIV/0!</v>
      </c>
      <c r="BD55" s="29" t="str">
        <f t="shared" si="58"/>
        <v>#DIV/0!</v>
      </c>
      <c r="BE55" s="29" t="str">
        <f t="shared" si="58"/>
        <v>#DIV/0!</v>
      </c>
      <c r="BF55" s="29" t="str">
        <f t="shared" si="58"/>
        <v>#DIV/0!</v>
      </c>
      <c r="BG55" s="29" t="str">
        <f t="shared" si="58"/>
        <v>#DIV/0!</v>
      </c>
      <c r="BH55" s="29" t="str">
        <f t="shared" si="58"/>
        <v>#DIV/0!</v>
      </c>
      <c r="BI55" s="29" t="str">
        <f t="shared" si="58"/>
        <v>#DIV/0!</v>
      </c>
      <c r="BJ55" s="29" t="str">
        <f t="shared" si="58"/>
        <v>#DIV/0!</v>
      </c>
      <c r="BK55" s="29" t="str">
        <f t="shared" si="58"/>
        <v>#DIV/0!</v>
      </c>
      <c r="BL55" s="29" t="str">
        <f t="shared" si="58"/>
        <v>#DIV/0!</v>
      </c>
      <c r="BM55" s="29" t="str">
        <f t="shared" si="3"/>
        <v>#DIV/0!</v>
      </c>
    </row>
    <row r="56" hidden="1">
      <c r="A56" s="16" t="str">
        <f>IFERROR(__xludf.DUMMYFUNCTION("IFERROR(SPARKLINE(SORT(MAP(TRANSPOSE(AQ56:BL56), LAMBDA(val, IF(ISNUMBER(val), PERCENTRANK(AQ56:BL56, val)+0.01, 0))), SEQUENCE(COLUMNS(AQ56:BL56)), FALSE), {""charttype"",""column""; ""color"",""chartreuse""; ""ymin"", 0; ""ymax"", 1.01; ""highcolor"", "&amp;"""darkgreen""; ""lowcolor"", ""red""}), """")"),"")</f>
        <v/>
      </c>
      <c r="B56" s="17" t="str">
        <f t="shared" si="4"/>
        <v/>
      </c>
      <c r="C56" s="1" t="s">
        <v>2757</v>
      </c>
      <c r="D56" s="30" t="str">
        <f>IFERROR(__xludf.DUMMYFUNCTION("IFERROR(GOOGLEFINANCE(C56, ""NAME""))"),"Stardust Solar Energy Inc")</f>
        <v>Stardust Solar Energy Inc</v>
      </c>
      <c r="E56" s="30" t="s">
        <v>2649</v>
      </c>
      <c r="F56" s="33" t="str">
        <f>IFERROR(__xludf.DUMMYFUNCTION("( (GOOGLEFINANCE(C56, ""price"") - Q56) / Q56 ) / (R56 / 100)"),"Loading...")</f>
        <v>Loading...</v>
      </c>
      <c r="G56" s="20" t="str">
        <f>IFERROR(__xludf.DUMMYFUNCTION("AVERAGE(ARRAYFORMULA(100 * (QUERY(GOOGLEFINANCE(C56, ""high"", TODAY()-40, TODAY()), ""SELECT Col2 WHERE Col2 IS NOT NULL ORDER BY Col1 DESC LIMIT 20"", 0) / QUERY(GOOGLEFINANCE(C56, ""low"", TODAY()-40, TODAY()), ""SELECT Col2 WHERE Col2 IS NOT NULL ORDE"&amp;"R BY Col1 DESC LIMIT 20"", 0) - 1)))"),"#N/A")</f>
        <v>#N/A</v>
      </c>
      <c r="H56" s="35" t="str">
        <f t="shared" si="6"/>
        <v>Illiquid</v>
      </c>
      <c r="I56" s="35" t="str">
        <f t="shared" si="7"/>
        <v>RVol Required</v>
      </c>
      <c r="J56" s="37">
        <f>IFERROR(__xludf.DUMMYFUNCTION("IFERROR(
  IF(C56="""",, 
    IFERROR(
      GOOGLEFINANCE(C56, ""price"") * GOOGLEFINANCE(C56, ""volumeavg""), 
      GOOGLEFINANCE(C56, ""price"") * AVERAGE(QUERY(GOOGLEFINANCE(C56, ""volume"", TODAY()-40, TODAY()), ""SELECT Col2 WHERE Col2 IS NOT NULL "&amp;"ORDER BY Col1 DESC LIMIT 20"", 0))
    )
  ), 
"""")"),3291.12)</f>
        <v>3291.12</v>
      </c>
      <c r="K56" s="21">
        <f>IFERROR(__xludf.DUMMYFUNCTION("IFERROR(GOOGLEFINANCE(C56, ""changepct"") / 100, """")"),-0.1429)</f>
        <v>-0.1429</v>
      </c>
      <c r="L56" s="21" t="str">
        <f>IFERROR(__xludf.DUMMYFUNCTION("IFERROR((GOOGLEFINANCE(C56, ""price"") / INDEX(GOOGLEFINANCE(C56, ""price"", TODAY()-7, TODAY()), 2, 2)) - 1, """")"),"")</f>
        <v/>
      </c>
      <c r="M56" s="21" t="str">
        <f>IFERROR(__xludf.DUMMYFUNCTION("IFERROR((GOOGLEFINANCE(C56, ""price"") / INDEX(GOOGLEFINANCE(C56, ""price"", EDATE(TODAY(), -1), TODAY()), 2, 2)) - 1, """")"),"")</f>
        <v/>
      </c>
      <c r="N56" s="21" t="str">
        <f>IFERROR(__xludf.DUMMYFUNCTION("IFERROR((GOOGLEFINANCE(C56, ""price"") / INDEX(GOOGLEFINANCE(C56, ""price"", EDATE(TODAY(), -3), TODAY()), 2, 2)) - 1, """")"),"")</f>
        <v/>
      </c>
      <c r="O56" s="21" t="str">
        <f>IFERROR(__xludf.DUMMYFUNCTION("IFERROR((GOOGLEFINANCE(C56, ""price"") / INDEX(GOOGLEFINANCE(C56, ""price"", EDATE(TODAY(), -6), TODAY()), 2, 2)) - 1, """")"),"")</f>
        <v/>
      </c>
      <c r="P56" s="21" t="str">
        <f>IFERROR(__xludf.DUMMYFUNCTION("IFERROR((GOOGLEFINANCE(C56, ""price"") / INDEX(GOOGLEFINANCE(C56, ""price"", EDATE(TODAY(), -12), TODAY()), 2, 2)) - 1, """")"),"")</f>
        <v/>
      </c>
      <c r="Q56" s="6" t="str">
        <f>IFERROR(__xludf.DUMMYFUNCTION("AVERAGE(QUERY(GOOGLEFINANCE(C56, ""price"", TODAY()-80, TODAY()), ""SELECT Col2 WHERE Col2 IS NOT NULL ORDER BY Col1 DESC LIMIT 50"", 0))"),"#N/A")</f>
        <v>#N/A</v>
      </c>
      <c r="R56" s="24" t="str">
        <f>IFERROR(__xludf.DUMMYFUNCTION("IFERROR(
  LET(
    data, QUERY(GOOGLEFINANCE(C56,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GOOGLEFINANCE(C56, ""price"")) * 100,
    IF(calc=0, G56, calc)
  ), 
G56)"),"#N/A")</f>
        <v>#N/A</v>
      </c>
      <c r="S56" s="8" t="s">
        <v>15</v>
      </c>
      <c r="T56" s="26" t="str">
        <f>IFERROR(__xludf.DUMMYFUNCTION("IFERROR(TRANSPOSE(QUERY(IFERROR(SORT(GOOGLEFINANCE(C56, ""price"", WORKDAY(TODAY(), -40), TODAY()), 1, FALSE)), ""select Col2 where Col2 is not null limit 22 label Col2 ''"", 0)), """")"),"")</f>
        <v/>
      </c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8"/>
      <c r="AO56" s="28"/>
      <c r="AP56" s="29"/>
      <c r="AQ56" s="29" t="str">
        <f t="shared" ref="AQ56:BL56" si="59">T56/T$2</f>
        <v>#N/A</v>
      </c>
      <c r="AR56" s="29" t="str">
        <f t="shared" si="59"/>
        <v>#DIV/0!</v>
      </c>
      <c r="AS56" s="29" t="str">
        <f t="shared" si="59"/>
        <v>#DIV/0!</v>
      </c>
      <c r="AT56" s="29" t="str">
        <f t="shared" si="59"/>
        <v>#DIV/0!</v>
      </c>
      <c r="AU56" s="29" t="str">
        <f t="shared" si="59"/>
        <v>#DIV/0!</v>
      </c>
      <c r="AV56" s="29" t="str">
        <f t="shared" si="59"/>
        <v>#DIV/0!</v>
      </c>
      <c r="AW56" s="29" t="str">
        <f t="shared" si="59"/>
        <v>#DIV/0!</v>
      </c>
      <c r="AX56" s="29" t="str">
        <f t="shared" si="59"/>
        <v>#DIV/0!</v>
      </c>
      <c r="AY56" s="29" t="str">
        <f t="shared" si="59"/>
        <v>#DIV/0!</v>
      </c>
      <c r="AZ56" s="29" t="str">
        <f t="shared" si="59"/>
        <v>#DIV/0!</v>
      </c>
      <c r="BA56" s="29" t="str">
        <f t="shared" si="59"/>
        <v>#DIV/0!</v>
      </c>
      <c r="BB56" s="29" t="str">
        <f t="shared" si="59"/>
        <v>#DIV/0!</v>
      </c>
      <c r="BC56" s="29" t="str">
        <f t="shared" si="59"/>
        <v>#DIV/0!</v>
      </c>
      <c r="BD56" s="29" t="str">
        <f t="shared" si="59"/>
        <v>#DIV/0!</v>
      </c>
      <c r="BE56" s="29" t="str">
        <f t="shared" si="59"/>
        <v>#DIV/0!</v>
      </c>
      <c r="BF56" s="29" t="str">
        <f t="shared" si="59"/>
        <v>#DIV/0!</v>
      </c>
      <c r="BG56" s="29" t="str">
        <f t="shared" si="59"/>
        <v>#DIV/0!</v>
      </c>
      <c r="BH56" s="29" t="str">
        <f t="shared" si="59"/>
        <v>#DIV/0!</v>
      </c>
      <c r="BI56" s="29" t="str">
        <f t="shared" si="59"/>
        <v>#DIV/0!</v>
      </c>
      <c r="BJ56" s="29" t="str">
        <f t="shared" si="59"/>
        <v>#DIV/0!</v>
      </c>
      <c r="BK56" s="29" t="str">
        <f t="shared" si="59"/>
        <v>#DIV/0!</v>
      </c>
      <c r="BL56" s="29" t="str">
        <f t="shared" si="59"/>
        <v>#DIV/0!</v>
      </c>
      <c r="BM56" s="29" t="str">
        <f t="shared" si="3"/>
        <v>#DIV/0!</v>
      </c>
    </row>
    <row r="57" hidden="1">
      <c r="A57" s="16" t="str">
        <f>IFERROR(__xludf.DUMMYFUNCTION("IFERROR(SPARKLINE(SORT(MAP(TRANSPOSE(AQ57:BL57), LAMBDA(val, IF(ISNUMBER(val), PERCENTRANK(AQ57:BL57, val)+0.01, 0))), SEQUENCE(COLUMNS(AQ57:BL57)), FALSE), {""charttype"",""column""; ""color"",""chartreuse""; ""ymin"", 0; ""ymax"", 1.01; ""highcolor"", "&amp;"""darkgreen""; ""lowcolor"", ""red""}), """")"),"")</f>
        <v/>
      </c>
      <c r="B57" s="17" t="str">
        <f t="shared" si="4"/>
        <v/>
      </c>
      <c r="C57" s="1" t="s">
        <v>2761</v>
      </c>
      <c r="D57" s="30" t="str">
        <f>IFERROR(__xludf.DUMMYFUNCTION("IFERROR(GOOGLEFINANCE(C57, ""NAME""))"),"Seadrill Ltd")</f>
        <v>Seadrill Ltd</v>
      </c>
      <c r="E57" s="30" t="s">
        <v>2658</v>
      </c>
      <c r="F57" s="33" t="str">
        <f>IFERROR(__xludf.DUMMYFUNCTION("( (GOOGLEFINANCE(C57, ""price"") - Q57) / Q57 ) / (R57 / 100)"),"Loading...")</f>
        <v>Loading...</v>
      </c>
      <c r="G57" s="20" t="str">
        <f>IFERROR(__xludf.DUMMYFUNCTION("AVERAGE(ARRAYFORMULA(100 * (QUERY(GOOGLEFINANCE(C57, ""high"", TODAY()-40, TODAY()), ""SELECT Col2 WHERE Col2 IS NOT NULL ORDER BY Col1 DESC LIMIT 20"", 0) / QUERY(GOOGLEFINANCE(C57, ""low"", TODAY()-40, TODAY()), ""SELECT Col2 WHERE Col2 IS NOT NULL ORDE"&amp;"R BY Col1 DESC LIMIT 20"", 0) - 1)))"),"#N/A")</f>
        <v>#N/A</v>
      </c>
      <c r="H57" s="35" t="str">
        <f t="shared" si="6"/>
        <v>Illiquid</v>
      </c>
      <c r="I57" s="35" t="str">
        <f t="shared" si="7"/>
        <v>RVol Required</v>
      </c>
      <c r="J57" s="37">
        <f>IFERROR(__xludf.DUMMYFUNCTION("IFERROR(
  IF(C57="""",, 
    IFERROR(
      GOOGLEFINANCE(C57, ""price"") * GOOGLEFINANCE(C57, ""volumeavg""), 
      GOOGLEFINANCE(C57, ""price"") * AVERAGE(QUERY(GOOGLEFINANCE(C57, ""volume"", TODAY()-40, TODAY()), ""SELECT Col2 WHERE Col2 IS NOT NULL "&amp;"ORDER BY Col1 DESC LIMIT 20"", 0))
    )
  ), 
"""")"),2.935325925E7)</f>
        <v>29353259.25</v>
      </c>
      <c r="K57" s="21">
        <f>IFERROR(__xludf.DUMMYFUNCTION("IFERROR(GOOGLEFINANCE(C57, ""changepct"") / 100, """")"),0.0207)</f>
        <v>0.0207</v>
      </c>
      <c r="L57" s="21" t="str">
        <f>IFERROR(__xludf.DUMMYFUNCTION("IFERROR((GOOGLEFINANCE(C57, ""price"") / INDEX(GOOGLEFINANCE(C57, ""price"", TODAY()-7, TODAY()), 2, 2)) - 1, """")"),"")</f>
        <v/>
      </c>
      <c r="M57" s="21" t="str">
        <f>IFERROR(__xludf.DUMMYFUNCTION("IFERROR((GOOGLEFINANCE(C57, ""price"") / INDEX(GOOGLEFINANCE(C57, ""price"", EDATE(TODAY(), -1), TODAY()), 2, 2)) - 1, """")"),"")</f>
        <v/>
      </c>
      <c r="N57" s="21" t="str">
        <f>IFERROR(__xludf.DUMMYFUNCTION("IFERROR((GOOGLEFINANCE(C57, ""price"") / INDEX(GOOGLEFINANCE(C57, ""price"", EDATE(TODAY(), -3), TODAY()), 2, 2)) - 1, """")"),"")</f>
        <v/>
      </c>
      <c r="O57" s="21" t="str">
        <f>IFERROR(__xludf.DUMMYFUNCTION("IFERROR((GOOGLEFINANCE(C57, ""price"") / INDEX(GOOGLEFINANCE(C57, ""price"", EDATE(TODAY(), -6), TODAY()), 2, 2)) - 1, """")"),"")</f>
        <v/>
      </c>
      <c r="P57" s="21" t="str">
        <f>IFERROR(__xludf.DUMMYFUNCTION("IFERROR((GOOGLEFINANCE(C57, ""price"") / INDEX(GOOGLEFINANCE(C57, ""price"", EDATE(TODAY(), -12), TODAY()), 2, 2)) - 1, """")"),"")</f>
        <v/>
      </c>
      <c r="Q57" s="6" t="str">
        <f>IFERROR(__xludf.DUMMYFUNCTION("AVERAGE(QUERY(GOOGLEFINANCE(C57, ""price"", TODAY()-80, TODAY()), ""SELECT Col2 WHERE Col2 IS NOT NULL ORDER BY Col1 DESC LIMIT 50"", 0))"),"#N/A")</f>
        <v>#N/A</v>
      </c>
      <c r="R57" s="24" t="str">
        <f>IFERROR(__xludf.DUMMYFUNCTION("IFERROR(
  LET(
    data, QUERY(GOOGLEFINANCE(C57,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GOOGLEFINANCE(C57, ""price"")) * 100,
    IF(calc=0, G57, calc)
  ), 
G57)"),"#N/A")</f>
        <v>#N/A</v>
      </c>
      <c r="S57" s="8" t="s">
        <v>15</v>
      </c>
      <c r="T57" s="26" t="str">
        <f>IFERROR(__xludf.DUMMYFUNCTION("IFERROR(TRANSPOSE(QUERY(IFERROR(SORT(GOOGLEFINANCE(C57, ""price"", WORKDAY(TODAY(), -40), TODAY()), 1, FALSE)), ""select Col2 where Col2 is not null limit 22 label Col2 ''"", 0)), """")"),"")</f>
        <v/>
      </c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8"/>
      <c r="AO57" s="28"/>
      <c r="AP57" s="29"/>
      <c r="AQ57" s="29" t="str">
        <f t="shared" ref="AQ57:BL57" si="60">T57/T$2</f>
        <v>#N/A</v>
      </c>
      <c r="AR57" s="29" t="str">
        <f t="shared" si="60"/>
        <v>#DIV/0!</v>
      </c>
      <c r="AS57" s="29" t="str">
        <f t="shared" si="60"/>
        <v>#DIV/0!</v>
      </c>
      <c r="AT57" s="29" t="str">
        <f t="shared" si="60"/>
        <v>#DIV/0!</v>
      </c>
      <c r="AU57" s="29" t="str">
        <f t="shared" si="60"/>
        <v>#DIV/0!</v>
      </c>
      <c r="AV57" s="29" t="str">
        <f t="shared" si="60"/>
        <v>#DIV/0!</v>
      </c>
      <c r="AW57" s="29" t="str">
        <f t="shared" si="60"/>
        <v>#DIV/0!</v>
      </c>
      <c r="AX57" s="29" t="str">
        <f t="shared" si="60"/>
        <v>#DIV/0!</v>
      </c>
      <c r="AY57" s="29" t="str">
        <f t="shared" si="60"/>
        <v>#DIV/0!</v>
      </c>
      <c r="AZ57" s="29" t="str">
        <f t="shared" si="60"/>
        <v>#DIV/0!</v>
      </c>
      <c r="BA57" s="29" t="str">
        <f t="shared" si="60"/>
        <v>#DIV/0!</v>
      </c>
      <c r="BB57" s="29" t="str">
        <f t="shared" si="60"/>
        <v>#DIV/0!</v>
      </c>
      <c r="BC57" s="29" t="str">
        <f t="shared" si="60"/>
        <v>#DIV/0!</v>
      </c>
      <c r="BD57" s="29" t="str">
        <f t="shared" si="60"/>
        <v>#DIV/0!</v>
      </c>
      <c r="BE57" s="29" t="str">
        <f t="shared" si="60"/>
        <v>#DIV/0!</v>
      </c>
      <c r="BF57" s="29" t="str">
        <f t="shared" si="60"/>
        <v>#DIV/0!</v>
      </c>
      <c r="BG57" s="29" t="str">
        <f t="shared" si="60"/>
        <v>#DIV/0!</v>
      </c>
      <c r="BH57" s="29" t="str">
        <f t="shared" si="60"/>
        <v>#DIV/0!</v>
      </c>
      <c r="BI57" s="29" t="str">
        <f t="shared" si="60"/>
        <v>#DIV/0!</v>
      </c>
      <c r="BJ57" s="29" t="str">
        <f t="shared" si="60"/>
        <v>#DIV/0!</v>
      </c>
      <c r="BK57" s="29" t="str">
        <f t="shared" si="60"/>
        <v>#DIV/0!</v>
      </c>
      <c r="BL57" s="29" t="str">
        <f t="shared" si="60"/>
        <v>#DIV/0!</v>
      </c>
      <c r="BM57" s="29" t="str">
        <f t="shared" si="3"/>
        <v>#DIV/0!</v>
      </c>
    </row>
    <row r="58">
      <c r="A58" s="16" t="str">
        <f>IFERROR(__xludf.DUMMYFUNCTION("IFERROR(SPARKLINE(SORT(MAP(TRANSPOSE(AQ58:BL58), LAMBDA(val, IF(ISNUMBER(val), PERCENTRANK(AQ58:BL58, val)+0.01, 0))), SEQUENCE(COLUMNS(AQ58:BL58)), FALSE), {""charttype"",""column""; ""color"",""chartreuse""; ""ymin"", 0; ""ymax"", 1.01; ""highcolor"", "&amp;"""darkgreen""; ""lowcolor"", ""red""}), """")"),"")</f>
        <v/>
      </c>
      <c r="B58" s="17" t="str">
        <f t="shared" si="4"/>
        <v/>
      </c>
      <c r="C58" s="1" t="s">
        <v>2765</v>
      </c>
      <c r="D58" s="30" t="str">
        <f>IFERROR(__xludf.DUMMYFUNCTION("IFERROR(GOOGLEFINANCE(C58, ""NAME""))"),"NOV Inc.")</f>
        <v>NOV Inc.</v>
      </c>
      <c r="E58" s="30" t="s">
        <v>2537</v>
      </c>
      <c r="F58" s="33" t="str">
        <f>IFERROR(__xludf.DUMMYFUNCTION("( (GOOGLEFINANCE(C58, ""price"") - Q58) / Q58 ) / (R58 / 100)"),"Loading...")</f>
        <v>Loading...</v>
      </c>
      <c r="G58" s="20" t="str">
        <f>IFERROR(__xludf.DUMMYFUNCTION("AVERAGE(ARRAYFORMULA(100 * (QUERY(GOOGLEFINANCE(C58, ""high"", TODAY()-40, TODAY()), ""SELECT Col2 WHERE Col2 IS NOT NULL ORDER BY Col1 DESC LIMIT 20"", 0) / QUERY(GOOGLEFINANCE(C58, ""low"", TODAY()-40, TODAY()), ""SELECT Col2 WHERE Col2 IS NOT NULL ORDE"&amp;"R BY Col1 DESC LIMIT 20"", 0) - 1)))"),"#N/A")</f>
        <v>#N/A</v>
      </c>
      <c r="H58" s="35" t="str">
        <f t="shared" si="6"/>
        <v>Liquid</v>
      </c>
      <c r="I58" s="35" t="str">
        <f t="shared" si="7"/>
        <v>RVol Required</v>
      </c>
      <c r="J58" s="37">
        <f>IFERROR(__xludf.DUMMYFUNCTION("IFERROR(
  IF(C58="""",, 
    IFERROR(
      GOOGLEFINANCE(C58, ""price"") * GOOGLEFINANCE(C58, ""volumeavg""), 
      GOOGLEFINANCE(C58, ""price"") * AVERAGE(QUERY(GOOGLEFINANCE(C58, ""volume"", TODAY()-40, TODAY()), ""SELECT Col2 WHERE Col2 IS NOT NULL "&amp;"ORDER BY Col1 DESC LIMIT 20"", 0))
    )
  ), 
"""")"),6.238805532E7)</f>
        <v>62388055.32</v>
      </c>
      <c r="K58" s="21">
        <f>IFERROR(__xludf.DUMMYFUNCTION("IFERROR(GOOGLEFINANCE(C58, ""changepct"") / 100, """")"),0.015600000000000001)</f>
        <v>0.0156</v>
      </c>
      <c r="L58" s="21" t="str">
        <f>IFERROR(__xludf.DUMMYFUNCTION("IFERROR((GOOGLEFINANCE(C58, ""price"") / INDEX(GOOGLEFINANCE(C58, ""price"", TODAY()-7, TODAY()), 2, 2)) - 1, """")"),"")</f>
        <v/>
      </c>
      <c r="M58" s="21" t="str">
        <f>IFERROR(__xludf.DUMMYFUNCTION("IFERROR((GOOGLEFINANCE(C58, ""price"") / INDEX(GOOGLEFINANCE(C58, ""price"", EDATE(TODAY(), -1), TODAY()), 2, 2)) - 1, """")"),"")</f>
        <v/>
      </c>
      <c r="N58" s="21" t="str">
        <f>IFERROR(__xludf.DUMMYFUNCTION("IFERROR((GOOGLEFINANCE(C58, ""price"") / INDEX(GOOGLEFINANCE(C58, ""price"", EDATE(TODAY(), -3), TODAY()), 2, 2)) - 1, """")"),"")</f>
        <v/>
      </c>
      <c r="O58" s="21" t="str">
        <f>IFERROR(__xludf.DUMMYFUNCTION("IFERROR((GOOGLEFINANCE(C58, ""price"") / INDEX(GOOGLEFINANCE(C58, ""price"", EDATE(TODAY(), -6), TODAY()), 2, 2)) - 1, """")"),"")</f>
        <v/>
      </c>
      <c r="P58" s="21" t="str">
        <f>IFERROR(__xludf.DUMMYFUNCTION("IFERROR((GOOGLEFINANCE(C58, ""price"") / INDEX(GOOGLEFINANCE(C58, ""price"", EDATE(TODAY(), -12), TODAY()), 2, 2)) - 1, """")"),"")</f>
        <v/>
      </c>
      <c r="Q58" s="6" t="str">
        <f>IFERROR(__xludf.DUMMYFUNCTION("AVERAGE(QUERY(GOOGLEFINANCE(C58, ""price"", TODAY()-80, TODAY()), ""SELECT Col2 WHERE Col2 IS NOT NULL ORDER BY Col1 DESC LIMIT 50"", 0))"),"#N/A")</f>
        <v>#N/A</v>
      </c>
      <c r="R58" s="24" t="str">
        <f>IFERROR(__xludf.DUMMYFUNCTION("IFERROR(
  LET(
    data, QUERY(GOOGLEFINANCE(C58,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GOOGLEFINANCE(C58, ""price"")) * 100,
    IF(calc=0, G58, calc)
  ), 
G58)"),"#N/A")</f>
        <v>#N/A</v>
      </c>
      <c r="S58" s="8" t="s">
        <v>15</v>
      </c>
      <c r="T58" s="26" t="str">
        <f>IFERROR(__xludf.DUMMYFUNCTION("IFERROR(TRANSPOSE(QUERY(IFERROR(SORT(GOOGLEFINANCE(C58, ""price"", WORKDAY(TODAY(), -40), TODAY()), 1, FALSE)), ""select Col2 where Col2 is not null limit 22 label Col2 ''"", 0)), """")"),"")</f>
        <v/>
      </c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8"/>
      <c r="AO58" s="28"/>
      <c r="AP58" s="29"/>
      <c r="AQ58" s="29" t="str">
        <f t="shared" ref="AQ58:BL58" si="61">T58/T$2</f>
        <v>#N/A</v>
      </c>
      <c r="AR58" s="29" t="str">
        <f t="shared" si="61"/>
        <v>#DIV/0!</v>
      </c>
      <c r="AS58" s="29" t="str">
        <f t="shared" si="61"/>
        <v>#DIV/0!</v>
      </c>
      <c r="AT58" s="29" t="str">
        <f t="shared" si="61"/>
        <v>#DIV/0!</v>
      </c>
      <c r="AU58" s="29" t="str">
        <f t="shared" si="61"/>
        <v>#DIV/0!</v>
      </c>
      <c r="AV58" s="29" t="str">
        <f t="shared" si="61"/>
        <v>#DIV/0!</v>
      </c>
      <c r="AW58" s="29" t="str">
        <f t="shared" si="61"/>
        <v>#DIV/0!</v>
      </c>
      <c r="AX58" s="29" t="str">
        <f t="shared" si="61"/>
        <v>#DIV/0!</v>
      </c>
      <c r="AY58" s="29" t="str">
        <f t="shared" si="61"/>
        <v>#DIV/0!</v>
      </c>
      <c r="AZ58" s="29" t="str">
        <f t="shared" si="61"/>
        <v>#DIV/0!</v>
      </c>
      <c r="BA58" s="29" t="str">
        <f t="shared" si="61"/>
        <v>#DIV/0!</v>
      </c>
      <c r="BB58" s="29" t="str">
        <f t="shared" si="61"/>
        <v>#DIV/0!</v>
      </c>
      <c r="BC58" s="29" t="str">
        <f t="shared" si="61"/>
        <v>#DIV/0!</v>
      </c>
      <c r="BD58" s="29" t="str">
        <f t="shared" si="61"/>
        <v>#DIV/0!</v>
      </c>
      <c r="BE58" s="29" t="str">
        <f t="shared" si="61"/>
        <v>#DIV/0!</v>
      </c>
      <c r="BF58" s="29" t="str">
        <f t="shared" si="61"/>
        <v>#DIV/0!</v>
      </c>
      <c r="BG58" s="29" t="str">
        <f t="shared" si="61"/>
        <v>#DIV/0!</v>
      </c>
      <c r="BH58" s="29" t="str">
        <f t="shared" si="61"/>
        <v>#DIV/0!</v>
      </c>
      <c r="BI58" s="29" t="str">
        <f t="shared" si="61"/>
        <v>#DIV/0!</v>
      </c>
      <c r="BJ58" s="29" t="str">
        <f t="shared" si="61"/>
        <v>#DIV/0!</v>
      </c>
      <c r="BK58" s="29" t="str">
        <f t="shared" si="61"/>
        <v>#DIV/0!</v>
      </c>
      <c r="BL58" s="29" t="str">
        <f t="shared" si="61"/>
        <v>#DIV/0!</v>
      </c>
      <c r="BM58" s="29" t="str">
        <f t="shared" si="3"/>
        <v>#DIV/0!</v>
      </c>
    </row>
    <row r="59" hidden="1">
      <c r="A59" s="16" t="str">
        <f>IFERROR(__xludf.DUMMYFUNCTION("IFERROR(SPARKLINE(SORT(MAP(TRANSPOSE(AQ59:BL59), LAMBDA(val, IF(ISNUMBER(val), PERCENTRANK(AQ59:BL59, val)+0.01, 0))), SEQUENCE(COLUMNS(AQ59:BL59)), FALSE), {""charttype"",""column""; ""color"",""chartreuse""; ""ymin"", 0; ""ymax"", 1.01; ""highcolor"", "&amp;"""darkgreen""; ""lowcolor"", ""red""}), """")"),"")</f>
        <v/>
      </c>
      <c r="B59" s="17" t="str">
        <f t="shared" si="4"/>
        <v/>
      </c>
      <c r="C59" s="1" t="s">
        <v>2769</v>
      </c>
      <c r="D59" s="30" t="str">
        <f>IFERROR(__xludf.DUMMYFUNCTION("IFERROR(GOOGLEFINANCE(C59, ""NAME""))"),"New Fortress Energy Inc Class A")</f>
        <v>New Fortress Energy Inc Class A</v>
      </c>
      <c r="E59" s="30" t="s">
        <v>2547</v>
      </c>
      <c r="F59" s="33" t="str">
        <f>IFERROR(__xludf.DUMMYFUNCTION("( (GOOGLEFINANCE(C59, ""price"") - Q59) / Q59 ) / (R59 / 100)"),"Loading...")</f>
        <v>Loading...</v>
      </c>
      <c r="G59" s="20" t="str">
        <f>IFERROR(__xludf.DUMMYFUNCTION("AVERAGE(ARRAYFORMULA(100 * (QUERY(GOOGLEFINANCE(C59, ""high"", TODAY()-40, TODAY()), ""SELECT Col2 WHERE Col2 IS NOT NULL ORDER BY Col1 DESC LIMIT 20"", 0) / QUERY(GOOGLEFINANCE(C59, ""low"", TODAY()-40, TODAY()), ""SELECT Col2 WHERE Col2 IS NOT NULL ORDE"&amp;"R BY Col1 DESC LIMIT 20"", 0) - 1)))"),"#N/A")</f>
        <v>#N/A</v>
      </c>
      <c r="H59" s="35" t="str">
        <f t="shared" si="6"/>
        <v>Illiquid</v>
      </c>
      <c r="I59" s="35" t="str">
        <f t="shared" si="7"/>
        <v>RVol Required</v>
      </c>
      <c r="J59" s="37">
        <f>IFERROR(__xludf.DUMMYFUNCTION("IFERROR(
  IF(C59="""",, 
    IFERROR(
      GOOGLEFINANCE(C59, ""price"") * GOOGLEFINANCE(C59, ""volumeavg""), 
      GOOGLEFINANCE(C59, ""price"") * AVERAGE(QUERY(GOOGLEFINANCE(C59, ""volume"", TODAY()-40, TODAY()), ""SELECT Col2 WHERE Col2 IS NOT NULL "&amp;"ORDER BY Col1 DESC LIMIT 20"", 0))
    )
  ), 
"""")"),6253937.95)</f>
        <v>6253937.95</v>
      </c>
      <c r="K59" s="21">
        <f>IFERROR(__xludf.DUMMYFUNCTION("IFERROR(GOOGLEFINANCE(C59, ""changepct"") / 100, """")"),-0.0072)</f>
        <v>-0.0072</v>
      </c>
      <c r="L59" s="21" t="str">
        <f>IFERROR(__xludf.DUMMYFUNCTION("IFERROR((GOOGLEFINANCE(C59, ""price"") / INDEX(GOOGLEFINANCE(C59, ""price"", TODAY()-7, TODAY()), 2, 2)) - 1, """")"),"")</f>
        <v/>
      </c>
      <c r="M59" s="21" t="str">
        <f>IFERROR(__xludf.DUMMYFUNCTION("IFERROR((GOOGLEFINANCE(C59, ""price"") / INDEX(GOOGLEFINANCE(C59, ""price"", EDATE(TODAY(), -1), TODAY()), 2, 2)) - 1, """")"),"")</f>
        <v/>
      </c>
      <c r="N59" s="21" t="str">
        <f>IFERROR(__xludf.DUMMYFUNCTION("IFERROR((GOOGLEFINANCE(C59, ""price"") / INDEX(GOOGLEFINANCE(C59, ""price"", EDATE(TODAY(), -3), TODAY()), 2, 2)) - 1, """")"),"")</f>
        <v/>
      </c>
      <c r="O59" s="21" t="str">
        <f>IFERROR(__xludf.DUMMYFUNCTION("IFERROR((GOOGLEFINANCE(C59, ""price"") / INDEX(GOOGLEFINANCE(C59, ""price"", EDATE(TODAY(), -6), TODAY()), 2, 2)) - 1, """")"),"")</f>
        <v/>
      </c>
      <c r="P59" s="21" t="str">
        <f>IFERROR(__xludf.DUMMYFUNCTION("IFERROR((GOOGLEFINANCE(C59, ""price"") / INDEX(GOOGLEFINANCE(C59, ""price"", EDATE(TODAY(), -12), TODAY()), 2, 2)) - 1, """")"),"")</f>
        <v/>
      </c>
      <c r="Q59" s="6" t="str">
        <f>IFERROR(__xludf.DUMMYFUNCTION("AVERAGE(QUERY(GOOGLEFINANCE(C59, ""price"", TODAY()-80, TODAY()), ""SELECT Col2 WHERE Col2 IS NOT NULL ORDER BY Col1 DESC LIMIT 50"", 0))"),"#N/A")</f>
        <v>#N/A</v>
      </c>
      <c r="R59" s="24" t="str">
        <f>IFERROR(__xludf.DUMMYFUNCTION("IFERROR(
  LET(
    data, QUERY(GOOGLEFINANCE(C59,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GOOGLEFINANCE(C59, ""price"")) * 100,
    IF(calc=0, G59, calc)
  ), 
G59)"),"#N/A")</f>
        <v>#N/A</v>
      </c>
      <c r="S59" s="8" t="s">
        <v>15</v>
      </c>
      <c r="T59" s="26" t="str">
        <f>IFERROR(__xludf.DUMMYFUNCTION("IFERROR(TRANSPOSE(QUERY(IFERROR(SORT(GOOGLEFINANCE(C59, ""price"", WORKDAY(TODAY(), -40), TODAY()), 1, FALSE)), ""select Col2 where Col2 is not null limit 22 label Col2 ''"", 0)), """")"),"")</f>
        <v/>
      </c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8"/>
      <c r="AO59" s="28"/>
      <c r="AP59" s="29"/>
      <c r="AQ59" s="29" t="str">
        <f t="shared" ref="AQ59:BL59" si="62">T59/T$2</f>
        <v>#N/A</v>
      </c>
      <c r="AR59" s="29" t="str">
        <f t="shared" si="62"/>
        <v>#DIV/0!</v>
      </c>
      <c r="AS59" s="29" t="str">
        <f t="shared" si="62"/>
        <v>#DIV/0!</v>
      </c>
      <c r="AT59" s="29" t="str">
        <f t="shared" si="62"/>
        <v>#DIV/0!</v>
      </c>
      <c r="AU59" s="29" t="str">
        <f t="shared" si="62"/>
        <v>#DIV/0!</v>
      </c>
      <c r="AV59" s="29" t="str">
        <f t="shared" si="62"/>
        <v>#DIV/0!</v>
      </c>
      <c r="AW59" s="29" t="str">
        <f t="shared" si="62"/>
        <v>#DIV/0!</v>
      </c>
      <c r="AX59" s="29" t="str">
        <f t="shared" si="62"/>
        <v>#DIV/0!</v>
      </c>
      <c r="AY59" s="29" t="str">
        <f t="shared" si="62"/>
        <v>#DIV/0!</v>
      </c>
      <c r="AZ59" s="29" t="str">
        <f t="shared" si="62"/>
        <v>#DIV/0!</v>
      </c>
      <c r="BA59" s="29" t="str">
        <f t="shared" si="62"/>
        <v>#DIV/0!</v>
      </c>
      <c r="BB59" s="29" t="str">
        <f t="shared" si="62"/>
        <v>#DIV/0!</v>
      </c>
      <c r="BC59" s="29" t="str">
        <f t="shared" si="62"/>
        <v>#DIV/0!</v>
      </c>
      <c r="BD59" s="29" t="str">
        <f t="shared" si="62"/>
        <v>#DIV/0!</v>
      </c>
      <c r="BE59" s="29" t="str">
        <f t="shared" si="62"/>
        <v>#DIV/0!</v>
      </c>
      <c r="BF59" s="29" t="str">
        <f t="shared" si="62"/>
        <v>#DIV/0!</v>
      </c>
      <c r="BG59" s="29" t="str">
        <f t="shared" si="62"/>
        <v>#DIV/0!</v>
      </c>
      <c r="BH59" s="29" t="str">
        <f t="shared" si="62"/>
        <v>#DIV/0!</v>
      </c>
      <c r="BI59" s="29" t="str">
        <f t="shared" si="62"/>
        <v>#DIV/0!</v>
      </c>
      <c r="BJ59" s="29" t="str">
        <f t="shared" si="62"/>
        <v>#DIV/0!</v>
      </c>
      <c r="BK59" s="29" t="str">
        <f t="shared" si="62"/>
        <v>#DIV/0!</v>
      </c>
      <c r="BL59" s="29" t="str">
        <f t="shared" si="62"/>
        <v>#DIV/0!</v>
      </c>
      <c r="BM59" s="29" t="str">
        <f t="shared" si="3"/>
        <v>#DIV/0!</v>
      </c>
    </row>
    <row r="60">
      <c r="A60" s="16" t="str">
        <f>IFERROR(__xludf.DUMMYFUNCTION("IFERROR(SPARKLINE(SORT(MAP(TRANSPOSE(AQ60:BL60), LAMBDA(val, IF(ISNUMBER(val), PERCENTRANK(AQ60:BL60, val)+0.01, 0))), SEQUENCE(COLUMNS(AQ60:BL60)), FALSE), {""charttype"",""column""; ""color"",""chartreuse""; ""ymin"", 0; ""ymax"", 1.01; ""highcolor"", "&amp;"""darkgreen""; ""lowcolor"", ""red""}), """")"),"")</f>
        <v/>
      </c>
      <c r="B60" s="17" t="str">
        <f t="shared" si="4"/>
        <v/>
      </c>
      <c r="C60" s="1" t="s">
        <v>2773</v>
      </c>
      <c r="D60" s="30" t="str">
        <f>IFERROR(__xludf.DUMMYFUNCTION("IFERROR(GOOGLEFINANCE(C60, ""NAME""))"),"Noble Corporation PLC")</f>
        <v>Noble Corporation PLC</v>
      </c>
      <c r="E60" s="30" t="s">
        <v>2658</v>
      </c>
      <c r="F60" s="33" t="str">
        <f>IFERROR(__xludf.DUMMYFUNCTION("( (GOOGLEFINANCE(C60, ""price"") - Q60) / Q60 ) / (R60 / 100)"),"Loading...")</f>
        <v>Loading...</v>
      </c>
      <c r="G60" s="20" t="str">
        <f>IFERROR(__xludf.DUMMYFUNCTION("AVERAGE(ARRAYFORMULA(100 * (QUERY(GOOGLEFINANCE(C60, ""high"", TODAY()-40, TODAY()), ""SELECT Col2 WHERE Col2 IS NOT NULL ORDER BY Col1 DESC LIMIT 20"", 0) / QUERY(GOOGLEFINANCE(C60, ""low"", TODAY()-40, TODAY()), ""SELECT Col2 WHERE Col2 IS NOT NULL ORDE"&amp;"R BY Col1 DESC LIMIT 20"", 0) - 1)))"),"#N/A")</f>
        <v>#N/A</v>
      </c>
      <c r="H60" s="35" t="str">
        <f t="shared" si="6"/>
        <v>Liquid</v>
      </c>
      <c r="I60" s="35" t="str">
        <f t="shared" si="7"/>
        <v>RVol Required</v>
      </c>
      <c r="J60" s="37">
        <f>IFERROR(__xludf.DUMMYFUNCTION("IFERROR(
  IF(C60="""",, 
    IFERROR(
      GOOGLEFINANCE(C60, ""price"") * GOOGLEFINANCE(C60, ""volumeavg""), 
      GOOGLEFINANCE(C60, ""price"") * AVERAGE(QUERY(GOOGLEFINANCE(C60, ""volume"", TODAY()-40, TODAY()), ""SELECT Col2 WHERE Col2 IS NOT NULL "&amp;"ORDER BY Col1 DESC LIMIT 20"", 0))
    )
  ), 
"""")"),5.1987511199999996E7)</f>
        <v>51987511.2</v>
      </c>
      <c r="K60" s="21">
        <f>IFERROR(__xludf.DUMMYFUNCTION("IFERROR(GOOGLEFINANCE(C60, ""changepct"") / 100, """")"),0.0273)</f>
        <v>0.0273</v>
      </c>
      <c r="L60" s="21" t="str">
        <f>IFERROR(__xludf.DUMMYFUNCTION("IFERROR((GOOGLEFINANCE(C60, ""price"") / INDEX(GOOGLEFINANCE(C60, ""price"", TODAY()-7, TODAY()), 2, 2)) - 1, """")"),"")</f>
        <v/>
      </c>
      <c r="M60" s="21" t="str">
        <f>IFERROR(__xludf.DUMMYFUNCTION("IFERROR((GOOGLEFINANCE(C60, ""price"") / INDEX(GOOGLEFINANCE(C60, ""price"", EDATE(TODAY(), -1), TODAY()), 2, 2)) - 1, """")"),"")</f>
        <v/>
      </c>
      <c r="N60" s="21" t="str">
        <f>IFERROR(__xludf.DUMMYFUNCTION("IFERROR((GOOGLEFINANCE(C60, ""price"") / INDEX(GOOGLEFINANCE(C60, ""price"", EDATE(TODAY(), -3), TODAY()), 2, 2)) - 1, """")"),"")</f>
        <v/>
      </c>
      <c r="O60" s="21" t="str">
        <f>IFERROR(__xludf.DUMMYFUNCTION("IFERROR((GOOGLEFINANCE(C60, ""price"") / INDEX(GOOGLEFINANCE(C60, ""price"", EDATE(TODAY(), -6), TODAY()), 2, 2)) - 1, """")"),"")</f>
        <v/>
      </c>
      <c r="P60" s="21" t="str">
        <f>IFERROR(__xludf.DUMMYFUNCTION("IFERROR((GOOGLEFINANCE(C60, ""price"") / INDEX(GOOGLEFINANCE(C60, ""price"", EDATE(TODAY(), -12), TODAY()), 2, 2)) - 1, """")"),"")</f>
        <v/>
      </c>
      <c r="Q60" s="6" t="str">
        <f>IFERROR(__xludf.DUMMYFUNCTION("AVERAGE(QUERY(GOOGLEFINANCE(C60, ""price"", TODAY()-80, TODAY()), ""SELECT Col2 WHERE Col2 IS NOT NULL ORDER BY Col1 DESC LIMIT 50"", 0))"),"#N/A")</f>
        <v>#N/A</v>
      </c>
      <c r="R60" s="24" t="str">
        <f>IFERROR(__xludf.DUMMYFUNCTION("IFERROR(
  LET(
    data, QUERY(GOOGLEFINANCE(C60,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GOOGLEFINANCE(C60, ""price"")) * 100,
    IF(calc=0, G60, calc)
  ), 
G60)"),"#N/A")</f>
        <v>#N/A</v>
      </c>
      <c r="S60" s="8" t="s">
        <v>15</v>
      </c>
      <c r="T60" s="26" t="str">
        <f>IFERROR(__xludf.DUMMYFUNCTION("IFERROR(TRANSPOSE(QUERY(IFERROR(SORT(GOOGLEFINANCE(C60, ""price"", WORKDAY(TODAY(), -40), TODAY()), 1, FALSE)), ""select Col2 where Col2 is not null limit 22 label Col2 ''"", 0)), """")"),"")</f>
        <v/>
      </c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8"/>
      <c r="AO60" s="28"/>
      <c r="AP60" s="29"/>
      <c r="AQ60" s="29" t="str">
        <f t="shared" ref="AQ60:BL60" si="63">T60/T$2</f>
        <v>#N/A</v>
      </c>
      <c r="AR60" s="29" t="str">
        <f t="shared" si="63"/>
        <v>#DIV/0!</v>
      </c>
      <c r="AS60" s="29" t="str">
        <f t="shared" si="63"/>
        <v>#DIV/0!</v>
      </c>
      <c r="AT60" s="29" t="str">
        <f t="shared" si="63"/>
        <v>#DIV/0!</v>
      </c>
      <c r="AU60" s="29" t="str">
        <f t="shared" si="63"/>
        <v>#DIV/0!</v>
      </c>
      <c r="AV60" s="29" t="str">
        <f t="shared" si="63"/>
        <v>#DIV/0!</v>
      </c>
      <c r="AW60" s="29" t="str">
        <f t="shared" si="63"/>
        <v>#DIV/0!</v>
      </c>
      <c r="AX60" s="29" t="str">
        <f t="shared" si="63"/>
        <v>#DIV/0!</v>
      </c>
      <c r="AY60" s="29" t="str">
        <f t="shared" si="63"/>
        <v>#DIV/0!</v>
      </c>
      <c r="AZ60" s="29" t="str">
        <f t="shared" si="63"/>
        <v>#DIV/0!</v>
      </c>
      <c r="BA60" s="29" t="str">
        <f t="shared" si="63"/>
        <v>#DIV/0!</v>
      </c>
      <c r="BB60" s="29" t="str">
        <f t="shared" si="63"/>
        <v>#DIV/0!</v>
      </c>
      <c r="BC60" s="29" t="str">
        <f t="shared" si="63"/>
        <v>#DIV/0!</v>
      </c>
      <c r="BD60" s="29" t="str">
        <f t="shared" si="63"/>
        <v>#DIV/0!</v>
      </c>
      <c r="BE60" s="29" t="str">
        <f t="shared" si="63"/>
        <v>#DIV/0!</v>
      </c>
      <c r="BF60" s="29" t="str">
        <f t="shared" si="63"/>
        <v>#DIV/0!</v>
      </c>
      <c r="BG60" s="29" t="str">
        <f t="shared" si="63"/>
        <v>#DIV/0!</v>
      </c>
      <c r="BH60" s="29" t="str">
        <f t="shared" si="63"/>
        <v>#DIV/0!</v>
      </c>
      <c r="BI60" s="29" t="str">
        <f t="shared" si="63"/>
        <v>#DIV/0!</v>
      </c>
      <c r="BJ60" s="29" t="str">
        <f t="shared" si="63"/>
        <v>#DIV/0!</v>
      </c>
      <c r="BK60" s="29" t="str">
        <f t="shared" si="63"/>
        <v>#DIV/0!</v>
      </c>
      <c r="BL60" s="29" t="str">
        <f t="shared" si="63"/>
        <v>#DIV/0!</v>
      </c>
      <c r="BM60" s="29" t="str">
        <f t="shared" si="3"/>
        <v>#DIV/0!</v>
      </c>
    </row>
    <row r="61" hidden="1">
      <c r="A61" s="16" t="str">
        <f>IFERROR(__xludf.DUMMYFUNCTION("IFERROR(SPARKLINE(SORT(MAP(TRANSPOSE(AQ61:BL61), LAMBDA(val, IF(ISNUMBER(val), PERCENTRANK(AQ61:BL61, val)+0.01, 0))), SEQUENCE(COLUMNS(AQ61:BL61)), FALSE), {""charttype"",""column""; ""color"",""chartreuse""; ""ymin"", 0; ""ymax"", 1.01; ""highcolor"", "&amp;"""darkgreen""; ""lowcolor"", ""red""}), """")"),"")</f>
        <v/>
      </c>
      <c r="B61" s="17" t="str">
        <f t="shared" si="4"/>
        <v/>
      </c>
      <c r="C61" s="1" t="s">
        <v>2777</v>
      </c>
      <c r="D61" s="30" t="str">
        <f>IFERROR(__xludf.DUMMYFUNCTION("IFERROR(GOOGLEFINANCE(C61, ""NAME""))"),"Kimbell Royalty Partners LP")</f>
        <v>Kimbell Royalty Partners LP</v>
      </c>
      <c r="E61" s="30" t="s">
        <v>2613</v>
      </c>
      <c r="F61" s="38" t="str">
        <f>IFERROR(__xludf.DUMMYFUNCTION("( (GOOGLEFINANCE(C61, ""price"") - Q61) / Q61 ) / (R61 / 100)"),"Loading...")</f>
        <v>Loading...</v>
      </c>
      <c r="G61" s="20" t="str">
        <f>IFERROR(__xludf.DUMMYFUNCTION("AVERAGE(ARRAYFORMULA(100 * (QUERY(GOOGLEFINANCE(C61, ""high"", TODAY()-40, TODAY()), ""SELECT Col2 WHERE Col2 IS NOT NULL ORDER BY Col1 DESC LIMIT 20"", 0) / QUERY(GOOGLEFINANCE(C61, ""low"", TODAY()-40, TODAY()), ""SELECT Col2 WHERE Col2 IS NOT NULL ORDE"&amp;"R BY Col1 DESC LIMIT 20"", 0) - 1)))"),"#N/A")</f>
        <v>#N/A</v>
      </c>
      <c r="H61" s="35" t="str">
        <f t="shared" si="6"/>
        <v>Illiquid</v>
      </c>
      <c r="I61" s="35" t="str">
        <f t="shared" si="7"/>
        <v>RVol Required</v>
      </c>
      <c r="J61" s="37">
        <f>IFERROR(__xludf.DUMMYFUNCTION("IFERROR(
  IF(C61="""",, 
    IFERROR(
      GOOGLEFINANCE(C61, ""price"") * GOOGLEFINANCE(C61, ""volumeavg""), 
      GOOGLEFINANCE(C61, ""price"") * AVERAGE(QUERY(GOOGLEFINANCE(C61, ""volume"", TODAY()-40, TODAY()), ""SELECT Col2 WHERE Col2 IS NOT NULL "&amp;"ORDER BY Col1 DESC LIMIT 20"", 0))
    )
  ), 
"""")"),1.4502321680000002E7)</f>
        <v>14502321.68</v>
      </c>
      <c r="K61" s="21">
        <f>IFERROR(__xludf.DUMMYFUNCTION("IFERROR(GOOGLEFINANCE(C61, ""changepct"") / 100, """")"),0.0213)</f>
        <v>0.0213</v>
      </c>
      <c r="L61" s="21" t="str">
        <f>IFERROR(__xludf.DUMMYFUNCTION("IFERROR((GOOGLEFINANCE(C61, ""price"") / INDEX(GOOGLEFINANCE(C61, ""price"", TODAY()-7, TODAY()), 2, 2)) - 1, """")"),"")</f>
        <v/>
      </c>
      <c r="M61" s="21" t="str">
        <f>IFERROR(__xludf.DUMMYFUNCTION("IFERROR((GOOGLEFINANCE(C61, ""price"") / INDEX(GOOGLEFINANCE(C61, ""price"", EDATE(TODAY(), -1), TODAY()), 2, 2)) - 1, """")"),"")</f>
        <v/>
      </c>
      <c r="N61" s="21" t="str">
        <f>IFERROR(__xludf.DUMMYFUNCTION("IFERROR((GOOGLEFINANCE(C61, ""price"") / INDEX(GOOGLEFINANCE(C61, ""price"", EDATE(TODAY(), -3), TODAY()), 2, 2)) - 1, """")"),"")</f>
        <v/>
      </c>
      <c r="O61" s="21" t="str">
        <f>IFERROR(__xludf.DUMMYFUNCTION("IFERROR((GOOGLEFINANCE(C61, ""price"") / INDEX(GOOGLEFINANCE(C61, ""price"", EDATE(TODAY(), -6), TODAY()), 2, 2)) - 1, """")"),"")</f>
        <v/>
      </c>
      <c r="P61" s="21" t="str">
        <f>IFERROR(__xludf.DUMMYFUNCTION("IFERROR((GOOGLEFINANCE(C61, ""price"") / INDEX(GOOGLEFINANCE(C61, ""price"", EDATE(TODAY(), -12), TODAY()), 2, 2)) - 1, """")"),"")</f>
        <v/>
      </c>
      <c r="Q61" s="6" t="str">
        <f>IFERROR(__xludf.DUMMYFUNCTION("AVERAGE(QUERY(GOOGLEFINANCE(C61, ""price"", TODAY()-80, TODAY()), ""SELECT Col2 WHERE Col2 IS NOT NULL ORDER BY Col1 DESC LIMIT 50"", 0))"),"#N/A")</f>
        <v>#N/A</v>
      </c>
      <c r="R61" s="24" t="str">
        <f>IFERROR(__xludf.DUMMYFUNCTION("IFERROR(
  LET(
    data, QUERY(GOOGLEFINANCE(C61,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GOOGLEFINANCE(C61, ""price"")) * 100,
    IF(calc=0, G61, calc)
  ), 
G61)"),"#N/A")</f>
        <v>#N/A</v>
      </c>
      <c r="S61" s="8" t="s">
        <v>15</v>
      </c>
      <c r="T61" s="26" t="str">
        <f>IFERROR(__xludf.DUMMYFUNCTION("IFERROR(TRANSPOSE(QUERY(IFERROR(SORT(GOOGLEFINANCE(C61, ""price"", WORKDAY(TODAY(), -40), TODAY()), 1, FALSE)), ""select Col2 where Col2 is not null limit 22 label Col2 ''"", 0)), """")"),"")</f>
        <v/>
      </c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8"/>
      <c r="AO61" s="28"/>
      <c r="AP61" s="29"/>
      <c r="AQ61" s="29" t="str">
        <f t="shared" ref="AQ61:BL61" si="64">T61/T$2</f>
        <v>#N/A</v>
      </c>
      <c r="AR61" s="29" t="str">
        <f t="shared" si="64"/>
        <v>#DIV/0!</v>
      </c>
      <c r="AS61" s="29" t="str">
        <f t="shared" si="64"/>
        <v>#DIV/0!</v>
      </c>
      <c r="AT61" s="29" t="str">
        <f t="shared" si="64"/>
        <v>#DIV/0!</v>
      </c>
      <c r="AU61" s="29" t="str">
        <f t="shared" si="64"/>
        <v>#DIV/0!</v>
      </c>
      <c r="AV61" s="29" t="str">
        <f t="shared" si="64"/>
        <v>#DIV/0!</v>
      </c>
      <c r="AW61" s="29" t="str">
        <f t="shared" si="64"/>
        <v>#DIV/0!</v>
      </c>
      <c r="AX61" s="29" t="str">
        <f t="shared" si="64"/>
        <v>#DIV/0!</v>
      </c>
      <c r="AY61" s="29" t="str">
        <f t="shared" si="64"/>
        <v>#DIV/0!</v>
      </c>
      <c r="AZ61" s="29" t="str">
        <f t="shared" si="64"/>
        <v>#DIV/0!</v>
      </c>
      <c r="BA61" s="29" t="str">
        <f t="shared" si="64"/>
        <v>#DIV/0!</v>
      </c>
      <c r="BB61" s="29" t="str">
        <f t="shared" si="64"/>
        <v>#DIV/0!</v>
      </c>
      <c r="BC61" s="29" t="str">
        <f t="shared" si="64"/>
        <v>#DIV/0!</v>
      </c>
      <c r="BD61" s="29" t="str">
        <f t="shared" si="64"/>
        <v>#DIV/0!</v>
      </c>
      <c r="BE61" s="29" t="str">
        <f t="shared" si="64"/>
        <v>#DIV/0!</v>
      </c>
      <c r="BF61" s="29" t="str">
        <f t="shared" si="64"/>
        <v>#DIV/0!</v>
      </c>
      <c r="BG61" s="29" t="str">
        <f t="shared" si="64"/>
        <v>#DIV/0!</v>
      </c>
      <c r="BH61" s="29" t="str">
        <f t="shared" si="64"/>
        <v>#DIV/0!</v>
      </c>
      <c r="BI61" s="29" t="str">
        <f t="shared" si="64"/>
        <v>#DIV/0!</v>
      </c>
      <c r="BJ61" s="29" t="str">
        <f t="shared" si="64"/>
        <v>#DIV/0!</v>
      </c>
      <c r="BK61" s="29" t="str">
        <f t="shared" si="64"/>
        <v>#DIV/0!</v>
      </c>
      <c r="BL61" s="29" t="str">
        <f t="shared" si="64"/>
        <v>#DIV/0!</v>
      </c>
      <c r="BM61" s="29" t="str">
        <f t="shared" si="3"/>
        <v>#DIV/0!</v>
      </c>
    </row>
    <row r="62">
      <c r="A62" s="16" t="str">
        <f>IFERROR(__xludf.DUMMYFUNCTION("IFERROR(SPARKLINE(SORT(MAP(TRANSPOSE(AQ62:BL62), LAMBDA(val, IF(ISNUMBER(val), PERCENTRANK(AQ62:BL62, val)+0.01, 0))), SEQUENCE(COLUMNS(AQ62:BL62)), FALSE), {""charttype"",""column""; ""color"",""chartreuse""; ""ymin"", 0; ""ymax"", 1.01; ""highcolor"", "&amp;"""darkgreen""; ""lowcolor"", ""red""}), """")"),"")</f>
        <v/>
      </c>
      <c r="B62" s="17" t="str">
        <f t="shared" si="4"/>
        <v/>
      </c>
      <c r="C62" s="1" t="s">
        <v>2781</v>
      </c>
      <c r="D62" s="30" t="str">
        <f>IFERROR(__xludf.DUMMYFUNCTION("IFERROR(GOOGLEFINANCE(C62, ""NAME""))"),"Halliburton Co")</f>
        <v>Halliburton Co</v>
      </c>
      <c r="E62" s="30" t="s">
        <v>2537</v>
      </c>
      <c r="F62" s="33" t="str">
        <f>IFERROR(__xludf.DUMMYFUNCTION("( (GOOGLEFINANCE(C62, ""price"") - Q62) / Q62 ) / (R62 / 100)"),"Loading...")</f>
        <v>Loading...</v>
      </c>
      <c r="G62" s="20" t="str">
        <f>IFERROR(__xludf.DUMMYFUNCTION("AVERAGE(ARRAYFORMULA(100 * (QUERY(GOOGLEFINANCE(C62, ""high"", TODAY()-40, TODAY()), ""SELECT Col2 WHERE Col2 IS NOT NULL ORDER BY Col1 DESC LIMIT 20"", 0) / QUERY(GOOGLEFINANCE(C62, ""low"", TODAY()-40, TODAY()), ""SELECT Col2 WHERE Col2 IS NOT NULL ORDE"&amp;"R BY Col1 DESC LIMIT 20"", 0) - 1)))"),"#N/A")</f>
        <v>#N/A</v>
      </c>
      <c r="H62" s="35" t="str">
        <f t="shared" si="6"/>
        <v>Liquid</v>
      </c>
      <c r="I62" s="35" t="str">
        <f t="shared" si="7"/>
        <v>RVol Required</v>
      </c>
      <c r="J62" s="37">
        <f>IFERROR(__xludf.DUMMYFUNCTION("IFERROR(
  IF(C62="""",, 
    IFERROR(
      GOOGLEFINANCE(C62, ""price"") * GOOGLEFINANCE(C62, ""volumeavg""), 
      GOOGLEFINANCE(C62, ""price"") * AVERAGE(QUERY(GOOGLEFINANCE(C62, ""volume"", TODAY()-40, TODAY()), ""SELECT Col2 WHERE Col2 IS NOT NULL "&amp;"ORDER BY Col1 DESC LIMIT 20"", 0))
    )
  ), 
"""")"),3.264273165E8)</f>
        <v>326427316.5</v>
      </c>
      <c r="K62" s="21">
        <f>IFERROR(__xludf.DUMMYFUNCTION("IFERROR(GOOGLEFINANCE(C62, ""changepct"") / 100, """")"),0.018500000000000003)</f>
        <v>0.0185</v>
      </c>
      <c r="L62" s="21" t="str">
        <f>IFERROR(__xludf.DUMMYFUNCTION("IFERROR((GOOGLEFINANCE(C62, ""price"") / INDEX(GOOGLEFINANCE(C62, ""price"", TODAY()-7, TODAY()), 2, 2)) - 1, """")"),"")</f>
        <v/>
      </c>
      <c r="M62" s="21" t="str">
        <f>IFERROR(__xludf.DUMMYFUNCTION("IFERROR((GOOGLEFINANCE(C62, ""price"") / INDEX(GOOGLEFINANCE(C62, ""price"", EDATE(TODAY(), -1), TODAY()), 2, 2)) - 1, """")"),"")</f>
        <v/>
      </c>
      <c r="N62" s="21" t="str">
        <f>IFERROR(__xludf.DUMMYFUNCTION("IFERROR((GOOGLEFINANCE(C62, ""price"") / INDEX(GOOGLEFINANCE(C62, ""price"", EDATE(TODAY(), -3), TODAY()), 2, 2)) - 1, """")"),"")</f>
        <v/>
      </c>
      <c r="O62" s="21" t="str">
        <f>IFERROR(__xludf.DUMMYFUNCTION("IFERROR((GOOGLEFINANCE(C62, ""price"") / INDEX(GOOGLEFINANCE(C62, ""price"", EDATE(TODAY(), -6), TODAY()), 2, 2)) - 1, """")"),"")</f>
        <v/>
      </c>
      <c r="P62" s="21" t="str">
        <f>IFERROR(__xludf.DUMMYFUNCTION("IFERROR((GOOGLEFINANCE(C62, ""price"") / INDEX(GOOGLEFINANCE(C62, ""price"", EDATE(TODAY(), -12), TODAY()), 2, 2)) - 1, """")"),"")</f>
        <v/>
      </c>
      <c r="Q62" s="6" t="str">
        <f>IFERROR(__xludf.DUMMYFUNCTION("AVERAGE(QUERY(GOOGLEFINANCE(C62, ""price"", TODAY()-80, TODAY()), ""SELECT Col2 WHERE Col2 IS NOT NULL ORDER BY Col1 DESC LIMIT 50"", 0))"),"#N/A")</f>
        <v>#N/A</v>
      </c>
      <c r="R62" s="24" t="str">
        <f>IFERROR(__xludf.DUMMYFUNCTION("IFERROR(
  LET(
    data, QUERY(GOOGLEFINANCE(C62,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GOOGLEFINANCE(C62, ""price"")) * 100,
    IF(calc=0, G62, calc)
  ), 
G62)"),"#N/A")</f>
        <v>#N/A</v>
      </c>
      <c r="S62" s="8" t="s">
        <v>15</v>
      </c>
      <c r="T62" s="26" t="str">
        <f>IFERROR(__xludf.DUMMYFUNCTION("IFERROR(TRANSPOSE(QUERY(IFERROR(SORT(GOOGLEFINANCE(C62, ""price"", WORKDAY(TODAY(), -40), TODAY()), 1, FALSE)), ""select Col2 where Col2 is not null limit 22 label Col2 ''"", 0)), """")"),"")</f>
        <v/>
      </c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8"/>
      <c r="AO62" s="28"/>
      <c r="AP62" s="29"/>
      <c r="AQ62" s="29" t="str">
        <f t="shared" ref="AQ62:BL62" si="65">T62/T$2</f>
        <v>#N/A</v>
      </c>
      <c r="AR62" s="29" t="str">
        <f t="shared" si="65"/>
        <v>#DIV/0!</v>
      </c>
      <c r="AS62" s="29" t="str">
        <f t="shared" si="65"/>
        <v>#DIV/0!</v>
      </c>
      <c r="AT62" s="29" t="str">
        <f t="shared" si="65"/>
        <v>#DIV/0!</v>
      </c>
      <c r="AU62" s="29" t="str">
        <f t="shared" si="65"/>
        <v>#DIV/0!</v>
      </c>
      <c r="AV62" s="29" t="str">
        <f t="shared" si="65"/>
        <v>#DIV/0!</v>
      </c>
      <c r="AW62" s="29" t="str">
        <f t="shared" si="65"/>
        <v>#DIV/0!</v>
      </c>
      <c r="AX62" s="29" t="str">
        <f t="shared" si="65"/>
        <v>#DIV/0!</v>
      </c>
      <c r="AY62" s="29" t="str">
        <f t="shared" si="65"/>
        <v>#DIV/0!</v>
      </c>
      <c r="AZ62" s="29" t="str">
        <f t="shared" si="65"/>
        <v>#DIV/0!</v>
      </c>
      <c r="BA62" s="29" t="str">
        <f t="shared" si="65"/>
        <v>#DIV/0!</v>
      </c>
      <c r="BB62" s="29" t="str">
        <f t="shared" si="65"/>
        <v>#DIV/0!</v>
      </c>
      <c r="BC62" s="29" t="str">
        <f t="shared" si="65"/>
        <v>#DIV/0!</v>
      </c>
      <c r="BD62" s="29" t="str">
        <f t="shared" si="65"/>
        <v>#DIV/0!</v>
      </c>
      <c r="BE62" s="29" t="str">
        <f t="shared" si="65"/>
        <v>#DIV/0!</v>
      </c>
      <c r="BF62" s="29" t="str">
        <f t="shared" si="65"/>
        <v>#DIV/0!</v>
      </c>
      <c r="BG62" s="29" t="str">
        <f t="shared" si="65"/>
        <v>#DIV/0!</v>
      </c>
      <c r="BH62" s="29" t="str">
        <f t="shared" si="65"/>
        <v>#DIV/0!</v>
      </c>
      <c r="BI62" s="29" t="str">
        <f t="shared" si="65"/>
        <v>#DIV/0!</v>
      </c>
      <c r="BJ62" s="29" t="str">
        <f t="shared" si="65"/>
        <v>#DIV/0!</v>
      </c>
      <c r="BK62" s="29" t="str">
        <f t="shared" si="65"/>
        <v>#DIV/0!</v>
      </c>
      <c r="BL62" s="29" t="str">
        <f t="shared" si="65"/>
        <v>#DIV/0!</v>
      </c>
      <c r="BM62" s="29" t="str">
        <f t="shared" si="3"/>
        <v>#DIV/0!</v>
      </c>
    </row>
    <row r="63">
      <c r="A63" s="16" t="str">
        <f>IFERROR(__xludf.DUMMYFUNCTION("IFERROR(SPARKLINE(SORT(MAP(TRANSPOSE(AQ63:BL63), LAMBDA(val, IF(ISNUMBER(val), PERCENTRANK(AQ63:BL63, val)+0.01, 0))), SEQUENCE(COLUMNS(AQ63:BL63)), FALSE), {""charttype"",""column""; ""color"",""chartreuse""; ""ymin"", 0; ""ymax"", 1.01; ""highcolor"", "&amp;"""darkgreen""; ""lowcolor"", ""red""}), """")"),"")</f>
        <v/>
      </c>
      <c r="B63" s="17" t="str">
        <f t="shared" si="4"/>
        <v/>
      </c>
      <c r="C63" s="1" t="s">
        <v>2787</v>
      </c>
      <c r="D63" s="30" t="str">
        <f>IFERROR(__xludf.DUMMYFUNCTION("IFERROR(GOOGLEFINANCE(C63, ""NAME""))"),"Baytex Energy Corp")</f>
        <v>Baytex Energy Corp</v>
      </c>
      <c r="E63" s="30" t="s">
        <v>2613</v>
      </c>
      <c r="F63" s="33" t="str">
        <f>IFERROR(__xludf.DUMMYFUNCTION("( (GOOGLEFINANCE(C63, ""price"") - Q63) / Q63 ) / (R63 / 100)"),"Loading...")</f>
        <v>Loading...</v>
      </c>
      <c r="G63" s="20" t="str">
        <f>IFERROR(__xludf.DUMMYFUNCTION("AVERAGE(ARRAYFORMULA(100 * (QUERY(GOOGLEFINANCE(C63, ""high"", TODAY()-40, TODAY()), ""SELECT Col2 WHERE Col2 IS NOT NULL ORDER BY Col1 DESC LIMIT 20"", 0) / QUERY(GOOGLEFINANCE(C63, ""low"", TODAY()-40, TODAY()), ""SELECT Col2 WHERE Col2 IS NOT NULL ORDE"&amp;"R BY Col1 DESC LIMIT 20"", 0) - 1)))"),"#N/A")</f>
        <v>#N/A</v>
      </c>
      <c r="H63" s="35" t="str">
        <f t="shared" si="6"/>
        <v>Liquid</v>
      </c>
      <c r="I63" s="35" t="str">
        <f t="shared" si="7"/>
        <v>RVol Required</v>
      </c>
      <c r="J63" s="37">
        <f>IFERROR(__xludf.DUMMYFUNCTION("IFERROR(
  IF(C63="""",, 
    IFERROR(
      GOOGLEFINANCE(C63, ""price"") * GOOGLEFINANCE(C63, ""volumeavg""), 
      GOOGLEFINANCE(C63, ""price"") * AVERAGE(QUERY(GOOGLEFINANCE(C63, ""volume"", TODAY()-40, TODAY()), ""SELECT Col2 WHERE Col2 IS NOT NULL "&amp;"ORDER BY Col1 DESC LIMIT 20"", 0))
    )
  ), 
"""")"),9.789074738999999E7)</f>
        <v>97890747.39</v>
      </c>
      <c r="K63" s="21">
        <f>IFERROR(__xludf.DUMMYFUNCTION("IFERROR(GOOGLEFINANCE(C63, ""changepct"") / 100, """")"),0.0291)</f>
        <v>0.0291</v>
      </c>
      <c r="L63" s="21" t="str">
        <f>IFERROR(__xludf.DUMMYFUNCTION("IFERROR((GOOGLEFINANCE(C63, ""price"") / INDEX(GOOGLEFINANCE(C63, ""price"", TODAY()-7, TODAY()), 2, 2)) - 1, """")"),"")</f>
        <v/>
      </c>
      <c r="M63" s="21" t="str">
        <f>IFERROR(__xludf.DUMMYFUNCTION("IFERROR((GOOGLEFINANCE(C63, ""price"") / INDEX(GOOGLEFINANCE(C63, ""price"", EDATE(TODAY(), -1), TODAY()), 2, 2)) - 1, """")"),"")</f>
        <v/>
      </c>
      <c r="N63" s="21" t="str">
        <f>IFERROR(__xludf.DUMMYFUNCTION("IFERROR((GOOGLEFINANCE(C63, ""price"") / INDEX(GOOGLEFINANCE(C63, ""price"", EDATE(TODAY(), -3), TODAY()), 2, 2)) - 1, """")"),"")</f>
        <v/>
      </c>
      <c r="O63" s="21" t="str">
        <f>IFERROR(__xludf.DUMMYFUNCTION("IFERROR((GOOGLEFINANCE(C63, ""price"") / INDEX(GOOGLEFINANCE(C63, ""price"", EDATE(TODAY(), -6), TODAY()), 2, 2)) - 1, """")"),"")</f>
        <v/>
      </c>
      <c r="P63" s="21" t="str">
        <f>IFERROR(__xludf.DUMMYFUNCTION("IFERROR((GOOGLEFINANCE(C63, ""price"") / INDEX(GOOGLEFINANCE(C63, ""price"", EDATE(TODAY(), -12), TODAY()), 2, 2)) - 1, """")"),"")</f>
        <v/>
      </c>
      <c r="Q63" s="6" t="str">
        <f>IFERROR(__xludf.DUMMYFUNCTION("AVERAGE(QUERY(GOOGLEFINANCE(C63, ""price"", TODAY()-80, TODAY()), ""SELECT Col2 WHERE Col2 IS NOT NULL ORDER BY Col1 DESC LIMIT 50"", 0))"),"#N/A")</f>
        <v>#N/A</v>
      </c>
      <c r="R63" s="24" t="str">
        <f>IFERROR(__xludf.DUMMYFUNCTION("IFERROR(
  LET(
    data, QUERY(GOOGLEFINANCE(C63,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GOOGLEFINANCE(C63, ""price"")) * 100,
    IF(calc=0, G63, calc)
  ), 
G63)"),"#N/A")</f>
        <v>#N/A</v>
      </c>
      <c r="S63" s="8" t="s">
        <v>15</v>
      </c>
      <c r="T63" s="26" t="str">
        <f>IFERROR(__xludf.DUMMYFUNCTION("IFERROR(TRANSPOSE(QUERY(IFERROR(SORT(GOOGLEFINANCE(C63, ""price"", WORKDAY(TODAY(), -40), TODAY()), 1, FALSE)), ""select Col2 where Col2 is not null limit 22 label Col2 ''"", 0)), """")"),"")</f>
        <v/>
      </c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8"/>
      <c r="AO63" s="28"/>
      <c r="AP63" s="29"/>
      <c r="AQ63" s="29" t="str">
        <f t="shared" ref="AQ63:BL63" si="66">T63/T$2</f>
        <v>#N/A</v>
      </c>
      <c r="AR63" s="29" t="str">
        <f t="shared" si="66"/>
        <v>#DIV/0!</v>
      </c>
      <c r="AS63" s="29" t="str">
        <f t="shared" si="66"/>
        <v>#DIV/0!</v>
      </c>
      <c r="AT63" s="29" t="str">
        <f t="shared" si="66"/>
        <v>#DIV/0!</v>
      </c>
      <c r="AU63" s="29" t="str">
        <f t="shared" si="66"/>
        <v>#DIV/0!</v>
      </c>
      <c r="AV63" s="29" t="str">
        <f t="shared" si="66"/>
        <v>#DIV/0!</v>
      </c>
      <c r="AW63" s="29" t="str">
        <f t="shared" si="66"/>
        <v>#DIV/0!</v>
      </c>
      <c r="AX63" s="29" t="str">
        <f t="shared" si="66"/>
        <v>#DIV/0!</v>
      </c>
      <c r="AY63" s="29" t="str">
        <f t="shared" si="66"/>
        <v>#DIV/0!</v>
      </c>
      <c r="AZ63" s="29" t="str">
        <f t="shared" si="66"/>
        <v>#DIV/0!</v>
      </c>
      <c r="BA63" s="29" t="str">
        <f t="shared" si="66"/>
        <v>#DIV/0!</v>
      </c>
      <c r="BB63" s="29" t="str">
        <f t="shared" si="66"/>
        <v>#DIV/0!</v>
      </c>
      <c r="BC63" s="29" t="str">
        <f t="shared" si="66"/>
        <v>#DIV/0!</v>
      </c>
      <c r="BD63" s="29" t="str">
        <f t="shared" si="66"/>
        <v>#DIV/0!</v>
      </c>
      <c r="BE63" s="29" t="str">
        <f t="shared" si="66"/>
        <v>#DIV/0!</v>
      </c>
      <c r="BF63" s="29" t="str">
        <f t="shared" si="66"/>
        <v>#DIV/0!</v>
      </c>
      <c r="BG63" s="29" t="str">
        <f t="shared" si="66"/>
        <v>#DIV/0!</v>
      </c>
      <c r="BH63" s="29" t="str">
        <f t="shared" si="66"/>
        <v>#DIV/0!</v>
      </c>
      <c r="BI63" s="29" t="str">
        <f t="shared" si="66"/>
        <v>#DIV/0!</v>
      </c>
      <c r="BJ63" s="29" t="str">
        <f t="shared" si="66"/>
        <v>#DIV/0!</v>
      </c>
      <c r="BK63" s="29" t="str">
        <f t="shared" si="66"/>
        <v>#DIV/0!</v>
      </c>
      <c r="BL63" s="29" t="str">
        <f t="shared" si="66"/>
        <v>#DIV/0!</v>
      </c>
      <c r="BM63" s="29" t="str">
        <f t="shared" si="3"/>
        <v>#DIV/0!</v>
      </c>
    </row>
    <row r="64">
      <c r="A64" s="16" t="str">
        <f>IFERROR(__xludf.DUMMYFUNCTION("IFERROR(SPARKLINE(SORT(MAP(TRANSPOSE(AQ64:BL64), LAMBDA(val, IF(ISNUMBER(val), PERCENTRANK(AQ64:BL64, val)+0.01, 0))), SEQUENCE(COLUMNS(AQ64:BL64)), FALSE), {""charttype"",""column""; ""color"",""chartreuse""; ""ymin"", 0; ""ymax"", 1.01; ""highcolor"", "&amp;"""darkgreen""; ""lowcolor"", ""red""}), """")"),"")</f>
        <v/>
      </c>
      <c r="B64" s="17" t="str">
        <f t="shared" si="4"/>
        <v/>
      </c>
      <c r="C64" s="1" t="s">
        <v>2791</v>
      </c>
      <c r="D64" s="30" t="str">
        <f>IFERROR(__xludf.DUMMYFUNCTION("IFERROR(GOOGLEFINANCE(C64, ""NAME""))"),"Williams Companies Inc")</f>
        <v>Williams Companies Inc</v>
      </c>
      <c r="E64" s="30" t="s">
        <v>2547</v>
      </c>
      <c r="F64" s="33" t="str">
        <f>IFERROR(__xludf.DUMMYFUNCTION("( (GOOGLEFINANCE(C64, ""price"") - Q64) / Q64 ) / (R64 / 100)"),"Loading...")</f>
        <v>Loading...</v>
      </c>
      <c r="G64" s="20" t="str">
        <f>IFERROR(__xludf.DUMMYFUNCTION("AVERAGE(ARRAYFORMULA(100 * (QUERY(GOOGLEFINANCE(C64, ""high"", TODAY()-40, TODAY()), ""SELECT Col2 WHERE Col2 IS NOT NULL ORDER BY Col1 DESC LIMIT 20"", 0) / QUERY(GOOGLEFINANCE(C64, ""low"", TODAY()-40, TODAY()), ""SELECT Col2 WHERE Col2 IS NOT NULL ORDE"&amp;"R BY Col1 DESC LIMIT 20"", 0) - 1)))"),"#N/A")</f>
        <v>#N/A</v>
      </c>
      <c r="H64" s="35" t="str">
        <f t="shared" si="6"/>
        <v>Liquid</v>
      </c>
      <c r="I64" s="35" t="str">
        <f t="shared" si="7"/>
        <v>No RVol Required</v>
      </c>
      <c r="J64" s="37">
        <f>IFERROR(__xludf.DUMMYFUNCTION("IFERROR(
  IF(C64="""",, 
    IFERROR(
      GOOGLEFINANCE(C64, ""price"") * GOOGLEFINANCE(C64, ""volumeavg""), 
      GOOGLEFINANCE(C64, ""price"") * AVERAGE(QUERY(GOOGLEFINANCE(C64, ""volume"", TODAY()-40, TODAY()), ""SELECT Col2 WHERE Col2 IS NOT NULL "&amp;"ORDER BY Col1 DESC LIMIT 20"", 0))
    )
  ), 
"""")"),5.445367884E8)</f>
        <v>544536788.4</v>
      </c>
      <c r="K64" s="21">
        <f>IFERROR(__xludf.DUMMYFUNCTION("IFERROR(GOOGLEFINANCE(C64, ""changepct"") / 100, """")"),0.0298)</f>
        <v>0.0298</v>
      </c>
      <c r="L64" s="21" t="str">
        <f>IFERROR(__xludf.DUMMYFUNCTION("IFERROR((GOOGLEFINANCE(C64, ""price"") / INDEX(GOOGLEFINANCE(C64, ""price"", TODAY()-7, TODAY()), 2, 2)) - 1, """")"),"")</f>
        <v/>
      </c>
      <c r="M64" s="21" t="str">
        <f>IFERROR(__xludf.DUMMYFUNCTION("IFERROR((GOOGLEFINANCE(C64, ""price"") / INDEX(GOOGLEFINANCE(C64, ""price"", EDATE(TODAY(), -1), TODAY()), 2, 2)) - 1, """")"),"")</f>
        <v/>
      </c>
      <c r="N64" s="21" t="str">
        <f>IFERROR(__xludf.DUMMYFUNCTION("IFERROR((GOOGLEFINANCE(C64, ""price"") / INDEX(GOOGLEFINANCE(C64, ""price"", EDATE(TODAY(), -3), TODAY()), 2, 2)) - 1, """")"),"")</f>
        <v/>
      </c>
      <c r="O64" s="21" t="str">
        <f>IFERROR(__xludf.DUMMYFUNCTION("IFERROR((GOOGLEFINANCE(C64, ""price"") / INDEX(GOOGLEFINANCE(C64, ""price"", EDATE(TODAY(), -6), TODAY()), 2, 2)) - 1, """")"),"")</f>
        <v/>
      </c>
      <c r="P64" s="21" t="str">
        <f>IFERROR(__xludf.DUMMYFUNCTION("IFERROR((GOOGLEFINANCE(C64, ""price"") / INDEX(GOOGLEFINANCE(C64, ""price"", EDATE(TODAY(), -12), TODAY()), 2, 2)) - 1, """")"),"")</f>
        <v/>
      </c>
      <c r="Q64" s="6" t="str">
        <f>IFERROR(__xludf.DUMMYFUNCTION("AVERAGE(QUERY(GOOGLEFINANCE(C64, ""price"", TODAY()-80, TODAY()), ""SELECT Col2 WHERE Col2 IS NOT NULL ORDER BY Col1 DESC LIMIT 50"", 0))"),"#N/A")</f>
        <v>#N/A</v>
      </c>
      <c r="R64" s="24" t="str">
        <f>IFERROR(__xludf.DUMMYFUNCTION("IFERROR(
  LET(
    data, QUERY(GOOGLEFINANCE(C64,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GOOGLEFINANCE(C64, ""price"")) * 100,
    IF(calc=0, G64, calc)
  ), 
G64)"),"#N/A")</f>
        <v>#N/A</v>
      </c>
      <c r="S64" s="8" t="s">
        <v>15</v>
      </c>
      <c r="T64" s="26" t="str">
        <f>IFERROR(__xludf.DUMMYFUNCTION("IFERROR(TRANSPOSE(QUERY(IFERROR(SORT(GOOGLEFINANCE(C64, ""price"", WORKDAY(TODAY(), -40), TODAY()), 1, FALSE)), ""select Col2 where Col2 is not null limit 22 label Col2 ''"", 0)), """")"),"")</f>
        <v/>
      </c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8"/>
      <c r="AO64" s="28"/>
      <c r="AP64" s="29"/>
      <c r="AQ64" s="29" t="str">
        <f t="shared" ref="AQ64:BL64" si="67">T64/T$2</f>
        <v>#N/A</v>
      </c>
      <c r="AR64" s="29" t="str">
        <f t="shared" si="67"/>
        <v>#DIV/0!</v>
      </c>
      <c r="AS64" s="29" t="str">
        <f t="shared" si="67"/>
        <v>#DIV/0!</v>
      </c>
      <c r="AT64" s="29" t="str">
        <f t="shared" si="67"/>
        <v>#DIV/0!</v>
      </c>
      <c r="AU64" s="29" t="str">
        <f t="shared" si="67"/>
        <v>#DIV/0!</v>
      </c>
      <c r="AV64" s="29" t="str">
        <f t="shared" si="67"/>
        <v>#DIV/0!</v>
      </c>
      <c r="AW64" s="29" t="str">
        <f t="shared" si="67"/>
        <v>#DIV/0!</v>
      </c>
      <c r="AX64" s="29" t="str">
        <f t="shared" si="67"/>
        <v>#DIV/0!</v>
      </c>
      <c r="AY64" s="29" t="str">
        <f t="shared" si="67"/>
        <v>#DIV/0!</v>
      </c>
      <c r="AZ64" s="29" t="str">
        <f t="shared" si="67"/>
        <v>#DIV/0!</v>
      </c>
      <c r="BA64" s="29" t="str">
        <f t="shared" si="67"/>
        <v>#DIV/0!</v>
      </c>
      <c r="BB64" s="29" t="str">
        <f t="shared" si="67"/>
        <v>#DIV/0!</v>
      </c>
      <c r="BC64" s="29" t="str">
        <f t="shared" si="67"/>
        <v>#DIV/0!</v>
      </c>
      <c r="BD64" s="29" t="str">
        <f t="shared" si="67"/>
        <v>#DIV/0!</v>
      </c>
      <c r="BE64" s="29" t="str">
        <f t="shared" si="67"/>
        <v>#DIV/0!</v>
      </c>
      <c r="BF64" s="29" t="str">
        <f t="shared" si="67"/>
        <v>#DIV/0!</v>
      </c>
      <c r="BG64" s="29" t="str">
        <f t="shared" si="67"/>
        <v>#DIV/0!</v>
      </c>
      <c r="BH64" s="29" t="str">
        <f t="shared" si="67"/>
        <v>#DIV/0!</v>
      </c>
      <c r="BI64" s="29" t="str">
        <f t="shared" si="67"/>
        <v>#DIV/0!</v>
      </c>
      <c r="BJ64" s="29" t="str">
        <f t="shared" si="67"/>
        <v>#DIV/0!</v>
      </c>
      <c r="BK64" s="29" t="str">
        <f t="shared" si="67"/>
        <v>#DIV/0!</v>
      </c>
      <c r="BL64" s="29" t="str">
        <f t="shared" si="67"/>
        <v>#DIV/0!</v>
      </c>
      <c r="BM64" s="29" t="str">
        <f t="shared" si="3"/>
        <v>#DIV/0!</v>
      </c>
    </row>
    <row r="65">
      <c r="A65" s="16" t="str">
        <f>IFERROR(__xludf.DUMMYFUNCTION("IFERROR(SPARKLINE(SORT(MAP(TRANSPOSE(AQ65:BL65), LAMBDA(val, IF(ISNUMBER(val), PERCENTRANK(AQ65:BL65, val)+0.01, 0))), SEQUENCE(COLUMNS(AQ65:BL65)), FALSE), {""charttype"",""column""; ""color"",""chartreuse""; ""ymin"", 0; ""ymax"", 1.01; ""highcolor"", "&amp;"""darkgreen""; ""lowcolor"", ""red""}), """")"),"")</f>
        <v/>
      </c>
      <c r="B65" s="17" t="str">
        <f t="shared" si="4"/>
        <v/>
      </c>
      <c r="C65" s="1" t="s">
        <v>2796</v>
      </c>
      <c r="D65" s="30" t="str">
        <f>IFERROR(__xludf.DUMMYFUNCTION("IFERROR(GOOGLEFINANCE(C65, ""NAME""))"),"Venture Global Inc")</f>
        <v>Venture Global Inc</v>
      </c>
      <c r="E65" s="30" t="s">
        <v>2547</v>
      </c>
      <c r="F65" s="33" t="str">
        <f>IFERROR(__xludf.DUMMYFUNCTION("( (GOOGLEFINANCE(C65, ""price"") - Q65) / Q65 ) / (R65 / 100)"),"Loading...")</f>
        <v>Loading...</v>
      </c>
      <c r="G65" s="20" t="str">
        <f>IFERROR(__xludf.DUMMYFUNCTION("AVERAGE(ARRAYFORMULA(100 * (QUERY(GOOGLEFINANCE(C65, ""high"", TODAY()-40, TODAY()), ""SELECT Col2 WHERE Col2 IS NOT NULL ORDER BY Col1 DESC LIMIT 20"", 0) / QUERY(GOOGLEFINANCE(C65, ""low"", TODAY()-40, TODAY()), ""SELECT Col2 WHERE Col2 IS NOT NULL ORDE"&amp;"R BY Col1 DESC LIMIT 20"", 0) - 1)))"),"#N/A")</f>
        <v>#N/A</v>
      </c>
      <c r="H65" s="35" t="str">
        <f t="shared" si="6"/>
        <v>Liquid</v>
      </c>
      <c r="I65" s="35" t="str">
        <f t="shared" si="7"/>
        <v>RVol Required</v>
      </c>
      <c r="J65" s="37">
        <f>IFERROR(__xludf.DUMMYFUNCTION("IFERROR(
  IF(C65="""",, 
    IFERROR(
      GOOGLEFINANCE(C65, ""price"") * GOOGLEFINANCE(C65, ""volumeavg""), 
      GOOGLEFINANCE(C65, ""price"") * AVERAGE(QUERY(GOOGLEFINANCE(C65, ""volume"", TODAY()-40, TODAY()), ""SELECT Col2 WHERE Col2 IS NOT NULL "&amp;"ORDER BY Col1 DESC LIMIT 20"", 0))
    )
  ), 
"""")"),1.771843848E8)</f>
        <v>177184384.8</v>
      </c>
      <c r="K65" s="21">
        <f>IFERROR(__xludf.DUMMYFUNCTION("IFERROR(GOOGLEFINANCE(C65, ""changepct"") / 100, """")"),0.0176)</f>
        <v>0.0176</v>
      </c>
      <c r="L65" s="21" t="str">
        <f>IFERROR(__xludf.DUMMYFUNCTION("IFERROR((GOOGLEFINANCE(C65, ""price"") / INDEX(GOOGLEFINANCE(C65, ""price"", TODAY()-7, TODAY()), 2, 2)) - 1, """")"),"")</f>
        <v/>
      </c>
      <c r="M65" s="21" t="str">
        <f>IFERROR(__xludf.DUMMYFUNCTION("IFERROR((GOOGLEFINANCE(C65, ""price"") / INDEX(GOOGLEFINANCE(C65, ""price"", EDATE(TODAY(), -1), TODAY()), 2, 2)) - 1, """")"),"")</f>
        <v/>
      </c>
      <c r="N65" s="21" t="str">
        <f>IFERROR(__xludf.DUMMYFUNCTION("IFERROR((GOOGLEFINANCE(C65, ""price"") / INDEX(GOOGLEFINANCE(C65, ""price"", EDATE(TODAY(), -3), TODAY()), 2, 2)) - 1, """")"),"")</f>
        <v/>
      </c>
      <c r="O65" s="21" t="str">
        <f>IFERROR(__xludf.DUMMYFUNCTION("IFERROR((GOOGLEFINANCE(C65, ""price"") / INDEX(GOOGLEFINANCE(C65, ""price"", EDATE(TODAY(), -6), TODAY()), 2, 2)) - 1, """")"),"")</f>
        <v/>
      </c>
      <c r="P65" s="21" t="str">
        <f>IFERROR(__xludf.DUMMYFUNCTION("IFERROR((GOOGLEFINANCE(C65, ""price"") / INDEX(GOOGLEFINANCE(C65, ""price"", EDATE(TODAY(), -12), TODAY()), 2, 2)) - 1, """")"),"")</f>
        <v/>
      </c>
      <c r="Q65" s="6" t="str">
        <f>IFERROR(__xludf.DUMMYFUNCTION("AVERAGE(QUERY(GOOGLEFINANCE(C65, ""price"", TODAY()-80, TODAY()), ""SELECT Col2 WHERE Col2 IS NOT NULL ORDER BY Col1 DESC LIMIT 50"", 0))"),"#N/A")</f>
        <v>#N/A</v>
      </c>
      <c r="R65" s="24" t="str">
        <f>IFERROR(__xludf.DUMMYFUNCTION("IFERROR(
  LET(
    data, QUERY(GOOGLEFINANCE(C65,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GOOGLEFINANCE(C65, ""price"")) * 100,
    IF(calc=0, G65, calc)
  ), 
G65)"),"#N/A")</f>
        <v>#N/A</v>
      </c>
      <c r="S65" s="8" t="s">
        <v>15</v>
      </c>
      <c r="T65" s="26" t="str">
        <f>IFERROR(__xludf.DUMMYFUNCTION("IFERROR(TRANSPOSE(QUERY(IFERROR(SORT(GOOGLEFINANCE(C65, ""price"", WORKDAY(TODAY(), -40), TODAY()), 1, FALSE)), ""select Col2 where Col2 is not null limit 22 label Col2 ''"", 0)), """")"),"")</f>
        <v/>
      </c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8"/>
      <c r="AO65" s="28"/>
      <c r="AP65" s="29"/>
      <c r="AQ65" s="29" t="str">
        <f t="shared" ref="AQ65:BL65" si="68">T65/T$2</f>
        <v>#N/A</v>
      </c>
      <c r="AR65" s="29" t="str">
        <f t="shared" si="68"/>
        <v>#DIV/0!</v>
      </c>
      <c r="AS65" s="29" t="str">
        <f t="shared" si="68"/>
        <v>#DIV/0!</v>
      </c>
      <c r="AT65" s="29" t="str">
        <f t="shared" si="68"/>
        <v>#DIV/0!</v>
      </c>
      <c r="AU65" s="29" t="str">
        <f t="shared" si="68"/>
        <v>#DIV/0!</v>
      </c>
      <c r="AV65" s="29" t="str">
        <f t="shared" si="68"/>
        <v>#DIV/0!</v>
      </c>
      <c r="AW65" s="29" t="str">
        <f t="shared" si="68"/>
        <v>#DIV/0!</v>
      </c>
      <c r="AX65" s="29" t="str">
        <f t="shared" si="68"/>
        <v>#DIV/0!</v>
      </c>
      <c r="AY65" s="29" t="str">
        <f t="shared" si="68"/>
        <v>#DIV/0!</v>
      </c>
      <c r="AZ65" s="29" t="str">
        <f t="shared" si="68"/>
        <v>#DIV/0!</v>
      </c>
      <c r="BA65" s="29" t="str">
        <f t="shared" si="68"/>
        <v>#DIV/0!</v>
      </c>
      <c r="BB65" s="29" t="str">
        <f t="shared" si="68"/>
        <v>#DIV/0!</v>
      </c>
      <c r="BC65" s="29" t="str">
        <f t="shared" si="68"/>
        <v>#DIV/0!</v>
      </c>
      <c r="BD65" s="29" t="str">
        <f t="shared" si="68"/>
        <v>#DIV/0!</v>
      </c>
      <c r="BE65" s="29" t="str">
        <f t="shared" si="68"/>
        <v>#DIV/0!</v>
      </c>
      <c r="BF65" s="29" t="str">
        <f t="shared" si="68"/>
        <v>#DIV/0!</v>
      </c>
      <c r="BG65" s="29" t="str">
        <f t="shared" si="68"/>
        <v>#DIV/0!</v>
      </c>
      <c r="BH65" s="29" t="str">
        <f t="shared" si="68"/>
        <v>#DIV/0!</v>
      </c>
      <c r="BI65" s="29" t="str">
        <f t="shared" si="68"/>
        <v>#DIV/0!</v>
      </c>
      <c r="BJ65" s="29" t="str">
        <f t="shared" si="68"/>
        <v>#DIV/0!</v>
      </c>
      <c r="BK65" s="29" t="str">
        <f t="shared" si="68"/>
        <v>#DIV/0!</v>
      </c>
      <c r="BL65" s="29" t="str">
        <f t="shared" si="68"/>
        <v>#DIV/0!</v>
      </c>
      <c r="BM65" s="29" t="str">
        <f t="shared" si="3"/>
        <v>#DIV/0!</v>
      </c>
    </row>
    <row r="66">
      <c r="A66" s="16" t="str">
        <f>IFERROR(__xludf.DUMMYFUNCTION("IFERROR(SPARKLINE(SORT(MAP(TRANSPOSE(AQ66:BL66), LAMBDA(val, IF(ISNUMBER(val), PERCENTRANK(AQ66:BL66, val)+0.01, 0))), SEQUENCE(COLUMNS(AQ66:BL66)), FALSE), {""charttype"",""column""; ""color"",""chartreuse""; ""ymin"", 0; ""ymax"", 1.01; ""highcolor"", "&amp;"""darkgreen""; ""lowcolor"", ""red""}), """")"),"")</f>
        <v/>
      </c>
      <c r="B66" s="17" t="str">
        <f t="shared" si="4"/>
        <v/>
      </c>
      <c r="C66" s="1" t="s">
        <v>2799</v>
      </c>
      <c r="D66" s="30" t="str">
        <f>IFERROR(__xludf.DUMMYFUNCTION("IFERROR(GOOGLEFINANCE(C66, ""NAME""))"),"Evertz Technologies Ltd")</f>
        <v>Evertz Technologies Ltd</v>
      </c>
      <c r="E66" s="30" t="s">
        <v>2547</v>
      </c>
      <c r="F66" s="33" t="str">
        <f>IFERROR(__xludf.DUMMYFUNCTION("( (GOOGLEFINANCE(C66, ""price"") - Q66) / Q66 ) / (R66 / 100)"),"Loading...")</f>
        <v>Loading...</v>
      </c>
      <c r="G66" s="20" t="str">
        <f>IFERROR(__xludf.DUMMYFUNCTION("AVERAGE(ARRAYFORMULA(100 * (QUERY(GOOGLEFINANCE(C66, ""high"", TODAY()-40, TODAY()), ""SELECT Col2 WHERE Col2 IS NOT NULL ORDER BY Col1 DESC LIMIT 20"", 0) / QUERY(GOOGLEFINANCE(C66, ""low"", TODAY()-40, TODAY()), ""SELECT Col2 WHERE Col2 IS NOT NULL ORDE"&amp;"R BY Col1 DESC LIMIT 20"", 0) - 1)))"),"#N/A")</f>
        <v>#N/A</v>
      </c>
      <c r="H66" s="35" t="str">
        <f t="shared" si="6"/>
        <v>Illiquid</v>
      </c>
      <c r="I66" s="35" t="str">
        <f t="shared" si="7"/>
        <v>RVol Required</v>
      </c>
      <c r="J66" s="37">
        <f>IFERROR(__xludf.DUMMYFUNCTION("IFERROR(
  IF(C66="""",, 
    IFERROR(
      GOOGLEFINANCE(C66, ""price"") * GOOGLEFINANCE(C66, ""volumeavg""), 
      GOOGLEFINANCE(C66, ""price"") * AVERAGE(QUERY(GOOGLEFINANCE(C66, ""volume"", TODAY()-40, TODAY()), ""SELECT Col2 WHERE Col2 IS NOT NULL "&amp;"ORDER BY Col1 DESC LIMIT 20"", 0))
    )
  ), 
"""")"),1031112.03)</f>
        <v>1031112.03</v>
      </c>
      <c r="K66" s="21">
        <f>IFERROR(__xludf.DUMMYFUNCTION("IFERROR(GOOGLEFINANCE(C66, ""changepct"") / 100, """")"),-0.0083)</f>
        <v>-0.0083</v>
      </c>
      <c r="L66" s="21" t="str">
        <f>IFERROR(__xludf.DUMMYFUNCTION("IFERROR((GOOGLEFINANCE(C66, ""price"") / INDEX(GOOGLEFINANCE(C66, ""price"", TODAY()-7, TODAY()), 2, 2)) - 1, """")"),"")</f>
        <v/>
      </c>
      <c r="M66" s="21" t="str">
        <f>IFERROR(__xludf.DUMMYFUNCTION("IFERROR((GOOGLEFINANCE(C66, ""price"") / INDEX(GOOGLEFINANCE(C66, ""price"", EDATE(TODAY(), -1), TODAY()), 2, 2)) - 1, """")"),"")</f>
        <v/>
      </c>
      <c r="N66" s="21" t="str">
        <f>IFERROR(__xludf.DUMMYFUNCTION("IFERROR((GOOGLEFINANCE(C66, ""price"") / INDEX(GOOGLEFINANCE(C66, ""price"", EDATE(TODAY(), -3), TODAY()), 2, 2)) - 1, """")"),"")</f>
        <v/>
      </c>
      <c r="O66" s="21" t="str">
        <f>IFERROR(__xludf.DUMMYFUNCTION("IFERROR((GOOGLEFINANCE(C66, ""price"") / INDEX(GOOGLEFINANCE(C66, ""price"", EDATE(TODAY(), -6), TODAY()), 2, 2)) - 1, """")"),"")</f>
        <v/>
      </c>
      <c r="P66" s="21" t="str">
        <f>IFERROR(__xludf.DUMMYFUNCTION("IFERROR((GOOGLEFINANCE(C66, ""price"") / INDEX(GOOGLEFINANCE(C66, ""price"", EDATE(TODAY(), -12), TODAY()), 2, 2)) - 1, """")"),"")</f>
        <v/>
      </c>
      <c r="Q66" s="6" t="str">
        <f>IFERROR(__xludf.DUMMYFUNCTION("AVERAGE(QUERY(GOOGLEFINANCE(C66, ""price"", TODAY()-80, TODAY()), ""SELECT Col2 WHERE Col2 IS NOT NULL ORDER BY Col1 DESC LIMIT 50"", 0))"),"#N/A")</f>
        <v>#N/A</v>
      </c>
      <c r="R66" s="24" t="str">
        <f>IFERROR(__xludf.DUMMYFUNCTION("IFERROR(
  LET(
    data, QUERY(GOOGLEFINANCE(C66,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GOOGLEFINANCE(C66, ""price"")) * 100,
    IF(calc=0, G66, calc)
  ), 
G66)"),"#N/A")</f>
        <v>#N/A</v>
      </c>
      <c r="S66" s="8" t="s">
        <v>15</v>
      </c>
      <c r="T66" s="26" t="str">
        <f>IFERROR(__xludf.DUMMYFUNCTION("IFERROR(TRANSPOSE(QUERY(IFERROR(SORT(GOOGLEFINANCE(C66, ""price"", WORKDAY(TODAY(), -40), TODAY()), 1, FALSE)), ""select Col2 where Col2 is not null limit 22 label Col2 ''"", 0)), """")"),"")</f>
        <v/>
      </c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8"/>
      <c r="AO66" s="28"/>
      <c r="AP66" s="29"/>
      <c r="AQ66" s="29" t="str">
        <f t="shared" ref="AQ66:BL66" si="69">T66/T$2</f>
        <v>#N/A</v>
      </c>
      <c r="AR66" s="29" t="str">
        <f t="shared" si="69"/>
        <v>#DIV/0!</v>
      </c>
      <c r="AS66" s="29" t="str">
        <f t="shared" si="69"/>
        <v>#DIV/0!</v>
      </c>
      <c r="AT66" s="29" t="str">
        <f t="shared" si="69"/>
        <v>#DIV/0!</v>
      </c>
      <c r="AU66" s="29" t="str">
        <f t="shared" si="69"/>
        <v>#DIV/0!</v>
      </c>
      <c r="AV66" s="29" t="str">
        <f t="shared" si="69"/>
        <v>#DIV/0!</v>
      </c>
      <c r="AW66" s="29" t="str">
        <f t="shared" si="69"/>
        <v>#DIV/0!</v>
      </c>
      <c r="AX66" s="29" t="str">
        <f t="shared" si="69"/>
        <v>#DIV/0!</v>
      </c>
      <c r="AY66" s="29" t="str">
        <f t="shared" si="69"/>
        <v>#DIV/0!</v>
      </c>
      <c r="AZ66" s="29" t="str">
        <f t="shared" si="69"/>
        <v>#DIV/0!</v>
      </c>
      <c r="BA66" s="29" t="str">
        <f t="shared" si="69"/>
        <v>#DIV/0!</v>
      </c>
      <c r="BB66" s="29" t="str">
        <f t="shared" si="69"/>
        <v>#DIV/0!</v>
      </c>
      <c r="BC66" s="29" t="str">
        <f t="shared" si="69"/>
        <v>#DIV/0!</v>
      </c>
      <c r="BD66" s="29" t="str">
        <f t="shared" si="69"/>
        <v>#DIV/0!</v>
      </c>
      <c r="BE66" s="29" t="str">
        <f t="shared" si="69"/>
        <v>#DIV/0!</v>
      </c>
      <c r="BF66" s="29" t="str">
        <f t="shared" si="69"/>
        <v>#DIV/0!</v>
      </c>
      <c r="BG66" s="29" t="str">
        <f t="shared" si="69"/>
        <v>#DIV/0!</v>
      </c>
      <c r="BH66" s="29" t="str">
        <f t="shared" si="69"/>
        <v>#DIV/0!</v>
      </c>
      <c r="BI66" s="29" t="str">
        <f t="shared" si="69"/>
        <v>#DIV/0!</v>
      </c>
      <c r="BJ66" s="29" t="str">
        <f t="shared" si="69"/>
        <v>#DIV/0!</v>
      </c>
      <c r="BK66" s="29" t="str">
        <f t="shared" si="69"/>
        <v>#DIV/0!</v>
      </c>
      <c r="BL66" s="29" t="str">
        <f t="shared" si="69"/>
        <v>#DIV/0!</v>
      </c>
      <c r="BM66" s="29" t="str">
        <f t="shared" si="3"/>
        <v>#DIV/0!</v>
      </c>
    </row>
    <row r="67" hidden="1">
      <c r="A67" s="16" t="str">
        <f>IFERROR(__xludf.DUMMYFUNCTION("IFERROR(SPARKLINE(SORT(MAP(TRANSPOSE(AQ67:BL67), LAMBDA(val, IF(ISNUMBER(val), PERCENTRANK(AQ67:BL67, val)+0.01, 0))), SEQUENCE(COLUMNS(AQ67:BL67)), FALSE), {""charttype"",""column""; ""color"",""chartreuse""; ""ymin"", 0; ""ymax"", 1.01; ""highcolor"", "&amp;"""darkgreen""; ""lowcolor"", ""red""}), """")"),"")</f>
        <v/>
      </c>
      <c r="B67" s="17" t="str">
        <f t="shared" si="4"/>
        <v/>
      </c>
      <c r="C67" s="1" t="s">
        <v>2803</v>
      </c>
      <c r="D67" s="30" t="str">
        <f>IFERROR(__xludf.DUMMYFUNCTION("IFERROR(GOOGLEFINANCE(C67, ""NAME""))"),"Enerflex Ltd")</f>
        <v>Enerflex Ltd</v>
      </c>
      <c r="E67" s="30" t="s">
        <v>2537</v>
      </c>
      <c r="F67" s="33" t="str">
        <f>IFERROR(__xludf.DUMMYFUNCTION("( (GOOGLEFINANCE(C67, ""price"") - Q67) / Q67 ) / (R67 / 100)"),"Loading...")</f>
        <v>Loading...</v>
      </c>
      <c r="G67" s="20" t="str">
        <f>IFERROR(__xludf.DUMMYFUNCTION("AVERAGE(ARRAYFORMULA(100 * (QUERY(GOOGLEFINANCE(C67, ""high"", TODAY()-40, TODAY()), ""SELECT Col2 WHERE Col2 IS NOT NULL ORDER BY Col1 DESC LIMIT 20"", 0) / QUERY(GOOGLEFINANCE(C67, ""low"", TODAY()-40, TODAY()), ""SELECT Col2 WHERE Col2 IS NOT NULL ORDE"&amp;"R BY Col1 DESC LIMIT 20"", 0) - 1)))"),"#N/A")</f>
        <v>#N/A</v>
      </c>
      <c r="H67" s="35" t="str">
        <f t="shared" si="6"/>
        <v>Illiquid</v>
      </c>
      <c r="I67" s="35" t="str">
        <f t="shared" si="7"/>
        <v>RVol Required</v>
      </c>
      <c r="J67" s="37">
        <f>IFERROR(__xludf.DUMMYFUNCTION("IFERROR(
  IF(C67="""",, 
    IFERROR(
      GOOGLEFINANCE(C67, ""price"") * GOOGLEFINANCE(C67, ""volumeavg""), 
      GOOGLEFINANCE(C67, ""price"") * AVERAGE(QUERY(GOOGLEFINANCE(C67, ""volume"", TODAY()-40, TODAY()), ""SELECT Col2 WHERE Col2 IS NOT NULL "&amp;"ORDER BY Col1 DESC LIMIT 20"", 0))
    )
  ), 
"""")"),1.5623305799999999E7)</f>
        <v>15623305.8</v>
      </c>
      <c r="K67" s="21">
        <f>IFERROR(__xludf.DUMMYFUNCTION("IFERROR(GOOGLEFINANCE(C67, ""changepct"") / 100, """")"),0.018799999999999997)</f>
        <v>0.0188</v>
      </c>
      <c r="L67" s="21" t="str">
        <f>IFERROR(__xludf.DUMMYFUNCTION("IFERROR((GOOGLEFINANCE(C67, ""price"") / INDEX(GOOGLEFINANCE(C67, ""price"", TODAY()-7, TODAY()), 2, 2)) - 1, """")"),"")</f>
        <v/>
      </c>
      <c r="M67" s="21" t="str">
        <f>IFERROR(__xludf.DUMMYFUNCTION("IFERROR((GOOGLEFINANCE(C67, ""price"") / INDEX(GOOGLEFINANCE(C67, ""price"", EDATE(TODAY(), -1), TODAY()), 2, 2)) - 1, """")"),"")</f>
        <v/>
      </c>
      <c r="N67" s="21" t="str">
        <f>IFERROR(__xludf.DUMMYFUNCTION("IFERROR((GOOGLEFINANCE(C67, ""price"") / INDEX(GOOGLEFINANCE(C67, ""price"", EDATE(TODAY(), -3), TODAY()), 2, 2)) - 1, """")"),"")</f>
        <v/>
      </c>
      <c r="O67" s="21" t="str">
        <f>IFERROR(__xludf.DUMMYFUNCTION("IFERROR((GOOGLEFINANCE(C67, ""price"") / INDEX(GOOGLEFINANCE(C67, ""price"", EDATE(TODAY(), -6), TODAY()), 2, 2)) - 1, """")"),"")</f>
        <v/>
      </c>
      <c r="P67" s="21" t="str">
        <f>IFERROR(__xludf.DUMMYFUNCTION("IFERROR((GOOGLEFINANCE(C67, ""price"") / INDEX(GOOGLEFINANCE(C67, ""price"", EDATE(TODAY(), -12), TODAY()), 2, 2)) - 1, """")"),"")</f>
        <v/>
      </c>
      <c r="Q67" s="6" t="str">
        <f>IFERROR(__xludf.DUMMYFUNCTION("AVERAGE(QUERY(GOOGLEFINANCE(C67, ""price"", TODAY()-80, TODAY()), ""SELECT Col2 WHERE Col2 IS NOT NULL ORDER BY Col1 DESC LIMIT 50"", 0))"),"#N/A")</f>
        <v>#N/A</v>
      </c>
      <c r="R67" s="24" t="str">
        <f>IFERROR(__xludf.DUMMYFUNCTION("IFERROR(
  LET(
    data, QUERY(GOOGLEFINANCE(C67,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GOOGLEFINANCE(C67, ""price"")) * 100,
    IF(calc=0, G67, calc)
  ), 
G67)"),"#N/A")</f>
        <v>#N/A</v>
      </c>
      <c r="S67" s="8" t="s">
        <v>15</v>
      </c>
      <c r="T67" s="26" t="str">
        <f>IFERROR(__xludf.DUMMYFUNCTION("IFERROR(TRANSPOSE(QUERY(IFERROR(SORT(GOOGLEFINANCE(C67, ""price"", WORKDAY(TODAY(), -40), TODAY()), 1, FALSE)), ""select Col2 where Col2 is not null limit 22 label Col2 ''"", 0)), """")"),"")</f>
        <v/>
      </c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8"/>
      <c r="AO67" s="28"/>
      <c r="AP67" s="29"/>
      <c r="AQ67" s="29" t="str">
        <f t="shared" ref="AQ67:BL67" si="70">T67/T$2</f>
        <v>#N/A</v>
      </c>
      <c r="AR67" s="29" t="str">
        <f t="shared" si="70"/>
        <v>#DIV/0!</v>
      </c>
      <c r="AS67" s="29" t="str">
        <f t="shared" si="70"/>
        <v>#DIV/0!</v>
      </c>
      <c r="AT67" s="29" t="str">
        <f t="shared" si="70"/>
        <v>#DIV/0!</v>
      </c>
      <c r="AU67" s="29" t="str">
        <f t="shared" si="70"/>
        <v>#DIV/0!</v>
      </c>
      <c r="AV67" s="29" t="str">
        <f t="shared" si="70"/>
        <v>#DIV/0!</v>
      </c>
      <c r="AW67" s="29" t="str">
        <f t="shared" si="70"/>
        <v>#DIV/0!</v>
      </c>
      <c r="AX67" s="29" t="str">
        <f t="shared" si="70"/>
        <v>#DIV/0!</v>
      </c>
      <c r="AY67" s="29" t="str">
        <f t="shared" si="70"/>
        <v>#DIV/0!</v>
      </c>
      <c r="AZ67" s="29" t="str">
        <f t="shared" si="70"/>
        <v>#DIV/0!</v>
      </c>
      <c r="BA67" s="29" t="str">
        <f t="shared" si="70"/>
        <v>#DIV/0!</v>
      </c>
      <c r="BB67" s="29" t="str">
        <f t="shared" si="70"/>
        <v>#DIV/0!</v>
      </c>
      <c r="BC67" s="29" t="str">
        <f t="shared" si="70"/>
        <v>#DIV/0!</v>
      </c>
      <c r="BD67" s="29" t="str">
        <f t="shared" si="70"/>
        <v>#DIV/0!</v>
      </c>
      <c r="BE67" s="29" t="str">
        <f t="shared" si="70"/>
        <v>#DIV/0!</v>
      </c>
      <c r="BF67" s="29" t="str">
        <f t="shared" si="70"/>
        <v>#DIV/0!</v>
      </c>
      <c r="BG67" s="29" t="str">
        <f t="shared" si="70"/>
        <v>#DIV/0!</v>
      </c>
      <c r="BH67" s="29" t="str">
        <f t="shared" si="70"/>
        <v>#DIV/0!</v>
      </c>
      <c r="BI67" s="29" t="str">
        <f t="shared" si="70"/>
        <v>#DIV/0!</v>
      </c>
      <c r="BJ67" s="29" t="str">
        <f t="shared" si="70"/>
        <v>#DIV/0!</v>
      </c>
      <c r="BK67" s="29" t="str">
        <f t="shared" si="70"/>
        <v>#DIV/0!</v>
      </c>
      <c r="BL67" s="29" t="str">
        <f t="shared" si="70"/>
        <v>#DIV/0!</v>
      </c>
      <c r="BM67" s="29" t="str">
        <f t="shared" si="3"/>
        <v>#DIV/0!</v>
      </c>
    </row>
    <row r="68">
      <c r="A68" s="16" t="str">
        <f>IFERROR(__xludf.DUMMYFUNCTION("IFERROR(SPARKLINE(SORT(MAP(TRANSPOSE(AQ68:BL68), LAMBDA(val, IF(ISNUMBER(val), PERCENTRANK(AQ68:BL68, val)+0.01, 0))), SEQUENCE(COLUMNS(AQ68:BL68)), FALSE), {""charttype"",""column""; ""color"",""chartreuse""; ""ymin"", 0; ""ymax"", 1.01; ""highcolor"", "&amp;"""darkgreen""; ""lowcolor"", ""red""}), """")"),"")</f>
        <v/>
      </c>
      <c r="B68" s="17" t="str">
        <f t="shared" si="4"/>
        <v/>
      </c>
      <c r="C68" s="1" t="s">
        <v>2807</v>
      </c>
      <c r="D68" s="30" t="str">
        <f>IFERROR(__xludf.DUMMYFUNCTION("IFERROR(GOOGLEFINANCE(C68, ""NAME""))"),"Valaris Ltd")</f>
        <v>Valaris Ltd</v>
      </c>
      <c r="E68" s="30" t="s">
        <v>2537</v>
      </c>
      <c r="F68" s="33" t="str">
        <f>IFERROR(__xludf.DUMMYFUNCTION("( (GOOGLEFINANCE(C68, ""price"") - Q68) / Q68 ) / (R68 / 100)"),"Loading...")</f>
        <v>Loading...</v>
      </c>
      <c r="G68" s="20" t="str">
        <f>IFERROR(__xludf.DUMMYFUNCTION("AVERAGE(ARRAYFORMULA(100 * (QUERY(GOOGLEFINANCE(C68, ""high"", TODAY()-40, TODAY()), ""SELECT Col2 WHERE Col2 IS NOT NULL ORDER BY Col1 DESC LIMIT 20"", 0) / QUERY(GOOGLEFINANCE(C68, ""low"", TODAY()-40, TODAY()), ""SELECT Col2 WHERE Col2 IS NOT NULL ORDE"&amp;"R BY Col1 DESC LIMIT 20"", 0) - 1)))"),"#N/A")</f>
        <v>#N/A</v>
      </c>
      <c r="H68" s="35" t="str">
        <f t="shared" si="6"/>
        <v>Liquid</v>
      </c>
      <c r="I68" s="35" t="str">
        <f t="shared" si="7"/>
        <v>RVol Required</v>
      </c>
      <c r="J68" s="37">
        <f>IFERROR(__xludf.DUMMYFUNCTION("IFERROR(
  IF(C68="""",, 
    IFERROR(
      GOOGLEFINANCE(C68, ""price"") * GOOGLEFINANCE(C68, ""volumeavg""), 
      GOOGLEFINANCE(C68, ""price"") * AVERAGE(QUERY(GOOGLEFINANCE(C68, ""volume"", TODAY()-40, TODAY()), ""SELECT Col2 WHERE Col2 IS NOT NULL "&amp;"ORDER BY Col1 DESC LIMIT 20"", 0))
    )
  ), 
"""")"),9.939438719999999E7)</f>
        <v>99394387.2</v>
      </c>
      <c r="K68" s="21">
        <f>IFERROR(__xludf.DUMMYFUNCTION("IFERROR(GOOGLEFINANCE(C68, ""changepct"") / 100, """")"),0.0187)</f>
        <v>0.0187</v>
      </c>
      <c r="L68" s="21" t="str">
        <f>IFERROR(__xludf.DUMMYFUNCTION("IFERROR((GOOGLEFINANCE(C68, ""price"") / INDEX(GOOGLEFINANCE(C68, ""price"", TODAY()-7, TODAY()), 2, 2)) - 1, """")"),"")</f>
        <v/>
      </c>
      <c r="M68" s="21" t="str">
        <f>IFERROR(__xludf.DUMMYFUNCTION("IFERROR((GOOGLEFINANCE(C68, ""price"") / INDEX(GOOGLEFINANCE(C68, ""price"", EDATE(TODAY(), -1), TODAY()), 2, 2)) - 1, """")"),"")</f>
        <v/>
      </c>
      <c r="N68" s="21" t="str">
        <f>IFERROR(__xludf.DUMMYFUNCTION("IFERROR((GOOGLEFINANCE(C68, ""price"") / INDEX(GOOGLEFINANCE(C68, ""price"", EDATE(TODAY(), -3), TODAY()), 2, 2)) - 1, """")"),"")</f>
        <v/>
      </c>
      <c r="O68" s="21" t="str">
        <f>IFERROR(__xludf.DUMMYFUNCTION("IFERROR((GOOGLEFINANCE(C68, ""price"") / INDEX(GOOGLEFINANCE(C68, ""price"", EDATE(TODAY(), -6), TODAY()), 2, 2)) - 1, """")"),"")</f>
        <v/>
      </c>
      <c r="P68" s="21" t="str">
        <f>IFERROR(__xludf.DUMMYFUNCTION("IFERROR((GOOGLEFINANCE(C68, ""price"") / INDEX(GOOGLEFINANCE(C68, ""price"", EDATE(TODAY(), -12), TODAY()), 2, 2)) - 1, """")"),"")</f>
        <v/>
      </c>
      <c r="Q68" s="6" t="str">
        <f>IFERROR(__xludf.DUMMYFUNCTION("AVERAGE(QUERY(GOOGLEFINANCE(C68, ""price"", TODAY()-80, TODAY()), ""SELECT Col2 WHERE Col2 IS NOT NULL ORDER BY Col1 DESC LIMIT 50"", 0))"),"#N/A")</f>
        <v>#N/A</v>
      </c>
      <c r="R68" s="24" t="str">
        <f>IFERROR(__xludf.DUMMYFUNCTION("IFERROR(
  LET(
    data, QUERY(GOOGLEFINANCE(C68,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GOOGLEFINANCE(C68, ""price"")) * 100,
    IF(calc=0, G68, calc)
  ), 
G68)"),"#N/A")</f>
        <v>#N/A</v>
      </c>
      <c r="S68" s="8" t="s">
        <v>15</v>
      </c>
      <c r="T68" s="26" t="str">
        <f>IFERROR(__xludf.DUMMYFUNCTION("IFERROR(TRANSPOSE(QUERY(IFERROR(SORT(GOOGLEFINANCE(C68, ""price"", WORKDAY(TODAY(), -40), TODAY()), 1, FALSE)), ""select Col2 where Col2 is not null limit 22 label Col2 ''"", 0)), """")"),"")</f>
        <v/>
      </c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8"/>
      <c r="AO68" s="28"/>
      <c r="AP68" s="29"/>
      <c r="AQ68" s="29" t="str">
        <f t="shared" ref="AQ68:BL68" si="71">T68/T$2</f>
        <v>#N/A</v>
      </c>
      <c r="AR68" s="29" t="str">
        <f t="shared" si="71"/>
        <v>#DIV/0!</v>
      </c>
      <c r="AS68" s="29" t="str">
        <f t="shared" si="71"/>
        <v>#DIV/0!</v>
      </c>
      <c r="AT68" s="29" t="str">
        <f t="shared" si="71"/>
        <v>#DIV/0!</v>
      </c>
      <c r="AU68" s="29" t="str">
        <f t="shared" si="71"/>
        <v>#DIV/0!</v>
      </c>
      <c r="AV68" s="29" t="str">
        <f t="shared" si="71"/>
        <v>#DIV/0!</v>
      </c>
      <c r="AW68" s="29" t="str">
        <f t="shared" si="71"/>
        <v>#DIV/0!</v>
      </c>
      <c r="AX68" s="29" t="str">
        <f t="shared" si="71"/>
        <v>#DIV/0!</v>
      </c>
      <c r="AY68" s="29" t="str">
        <f t="shared" si="71"/>
        <v>#DIV/0!</v>
      </c>
      <c r="AZ68" s="29" t="str">
        <f t="shared" si="71"/>
        <v>#DIV/0!</v>
      </c>
      <c r="BA68" s="29" t="str">
        <f t="shared" si="71"/>
        <v>#DIV/0!</v>
      </c>
      <c r="BB68" s="29" t="str">
        <f t="shared" si="71"/>
        <v>#DIV/0!</v>
      </c>
      <c r="BC68" s="29" t="str">
        <f t="shared" si="71"/>
        <v>#DIV/0!</v>
      </c>
      <c r="BD68" s="29" t="str">
        <f t="shared" si="71"/>
        <v>#DIV/0!</v>
      </c>
      <c r="BE68" s="29" t="str">
        <f t="shared" si="71"/>
        <v>#DIV/0!</v>
      </c>
      <c r="BF68" s="29" t="str">
        <f t="shared" si="71"/>
        <v>#DIV/0!</v>
      </c>
      <c r="BG68" s="29" t="str">
        <f t="shared" si="71"/>
        <v>#DIV/0!</v>
      </c>
      <c r="BH68" s="29" t="str">
        <f t="shared" si="71"/>
        <v>#DIV/0!</v>
      </c>
      <c r="BI68" s="29" t="str">
        <f t="shared" si="71"/>
        <v>#DIV/0!</v>
      </c>
      <c r="BJ68" s="29" t="str">
        <f t="shared" si="71"/>
        <v>#DIV/0!</v>
      </c>
      <c r="BK68" s="29" t="str">
        <f t="shared" si="71"/>
        <v>#DIV/0!</v>
      </c>
      <c r="BL68" s="29" t="str">
        <f t="shared" si="71"/>
        <v>#DIV/0!</v>
      </c>
      <c r="BM68" s="29" t="str">
        <f t="shared" si="3"/>
        <v>#DIV/0!</v>
      </c>
    </row>
    <row r="69">
      <c r="A69" s="16" t="str">
        <f>IFERROR(__xludf.DUMMYFUNCTION("IFERROR(SPARKLINE(SORT(MAP(TRANSPOSE(AQ69:BL69), LAMBDA(val, IF(ISNUMBER(val), PERCENTRANK(AQ69:BL69, val)+0.01, 0))), SEQUENCE(COLUMNS(AQ69:BL69)), FALSE), {""charttype"",""column""; ""color"",""chartreuse""; ""ymin"", 0; ""ymax"", 1.01; ""highcolor"", "&amp;"""darkgreen""; ""lowcolor"", ""red""}), """")"),"")</f>
        <v/>
      </c>
      <c r="B69" s="17" t="str">
        <f t="shared" si="4"/>
        <v/>
      </c>
      <c r="C69" s="1" t="s">
        <v>2812</v>
      </c>
      <c r="D69" s="30" t="str">
        <f>IFERROR(__xludf.DUMMYFUNCTION("IFERROR(GOOGLEFINANCE(C69, ""NAME""))"),"Scorpio Tankers Inc")</f>
        <v>Scorpio Tankers Inc</v>
      </c>
      <c r="E69" s="30" t="s">
        <v>2547</v>
      </c>
      <c r="F69" s="33" t="str">
        <f>IFERROR(__xludf.DUMMYFUNCTION("( (GOOGLEFINANCE(C69, ""price"") - Q69) / Q69 ) / (R69 / 100)"),"Loading...")</f>
        <v>Loading...</v>
      </c>
      <c r="G69" s="20" t="str">
        <f>IFERROR(__xludf.DUMMYFUNCTION("AVERAGE(ARRAYFORMULA(100 * (QUERY(GOOGLEFINANCE(C69, ""high"", TODAY()-40, TODAY()), ""SELECT Col2 WHERE Col2 IS NOT NULL ORDER BY Col1 DESC LIMIT 20"", 0) / QUERY(GOOGLEFINANCE(C69, ""low"", TODAY()-40, TODAY()), ""SELECT Col2 WHERE Col2 IS NOT NULL ORDE"&amp;"R BY Col1 DESC LIMIT 20"", 0) - 1)))"),"#N/A")</f>
        <v>#N/A</v>
      </c>
      <c r="H69" s="35" t="str">
        <f t="shared" si="6"/>
        <v>Liquid</v>
      </c>
      <c r="I69" s="35" t="str">
        <f t="shared" si="7"/>
        <v>RVol Required</v>
      </c>
      <c r="J69" s="37">
        <f>IFERROR(__xludf.DUMMYFUNCTION("IFERROR(
  IF(C69="""",, 
    IFERROR(
      GOOGLEFINANCE(C69, ""price"") * GOOGLEFINANCE(C69, ""volumeavg""), 
      GOOGLEFINANCE(C69, ""price"") * AVERAGE(QUERY(GOOGLEFINANCE(C69, ""volume"", TODAY()-40, TODAY()), ""SELECT Col2 WHERE Col2 IS NOT NULL "&amp;"ORDER BY Col1 DESC LIMIT 20"", 0))
    )
  ), 
"""")"),9.39537153E7)</f>
        <v>93953715.3</v>
      </c>
      <c r="K69" s="21">
        <f>IFERROR(__xludf.DUMMYFUNCTION("IFERROR(GOOGLEFINANCE(C69, ""changepct"") / 100, """")"),-0.0169)</f>
        <v>-0.0169</v>
      </c>
      <c r="L69" s="21" t="str">
        <f>IFERROR(__xludf.DUMMYFUNCTION("IFERROR((GOOGLEFINANCE(C69, ""price"") / INDEX(GOOGLEFINANCE(C69, ""price"", TODAY()-7, TODAY()), 2, 2)) - 1, """")"),"")</f>
        <v/>
      </c>
      <c r="M69" s="21" t="str">
        <f>IFERROR(__xludf.DUMMYFUNCTION("IFERROR((GOOGLEFINANCE(C69, ""price"") / INDEX(GOOGLEFINANCE(C69, ""price"", EDATE(TODAY(), -1), TODAY()), 2, 2)) - 1, """")"),"")</f>
        <v/>
      </c>
      <c r="N69" s="21" t="str">
        <f>IFERROR(__xludf.DUMMYFUNCTION("IFERROR((GOOGLEFINANCE(C69, ""price"") / INDEX(GOOGLEFINANCE(C69, ""price"", EDATE(TODAY(), -3), TODAY()), 2, 2)) - 1, """")"),"")</f>
        <v/>
      </c>
      <c r="O69" s="21" t="str">
        <f>IFERROR(__xludf.DUMMYFUNCTION("IFERROR((GOOGLEFINANCE(C69, ""price"") / INDEX(GOOGLEFINANCE(C69, ""price"", EDATE(TODAY(), -6), TODAY()), 2, 2)) - 1, """")"),"")</f>
        <v/>
      </c>
      <c r="P69" s="21" t="str">
        <f>IFERROR(__xludf.DUMMYFUNCTION("IFERROR((GOOGLEFINANCE(C69, ""price"") / INDEX(GOOGLEFINANCE(C69, ""price"", EDATE(TODAY(), -12), TODAY()), 2, 2)) - 1, """")"),"")</f>
        <v/>
      </c>
      <c r="Q69" s="6" t="str">
        <f>IFERROR(__xludf.DUMMYFUNCTION("AVERAGE(QUERY(GOOGLEFINANCE(C69, ""price"", TODAY()-80, TODAY()), ""SELECT Col2 WHERE Col2 IS NOT NULL ORDER BY Col1 DESC LIMIT 50"", 0))"),"#N/A")</f>
        <v>#N/A</v>
      </c>
      <c r="R69" s="24" t="str">
        <f>IFERROR(__xludf.DUMMYFUNCTION("IFERROR(
  LET(
    data, QUERY(GOOGLEFINANCE(C69,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GOOGLEFINANCE(C69, ""price"")) * 100,
    IF(calc=0, G69, calc)
  ), 
G69)"),"#N/A")</f>
        <v>#N/A</v>
      </c>
      <c r="S69" s="8" t="s">
        <v>15</v>
      </c>
      <c r="T69" s="26" t="str">
        <f>IFERROR(__xludf.DUMMYFUNCTION("IFERROR(TRANSPOSE(QUERY(IFERROR(SORT(GOOGLEFINANCE(C69, ""price"", WORKDAY(TODAY(), -40), TODAY()), 1, FALSE)), ""select Col2 where Col2 is not null limit 22 label Col2 ''"", 0)), """")"),"")</f>
        <v/>
      </c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8"/>
      <c r="AO69" s="28"/>
      <c r="AP69" s="29"/>
      <c r="AQ69" s="29" t="str">
        <f t="shared" ref="AQ69:BL69" si="72">T69/T$2</f>
        <v>#N/A</v>
      </c>
      <c r="AR69" s="29" t="str">
        <f t="shared" si="72"/>
        <v>#DIV/0!</v>
      </c>
      <c r="AS69" s="29" t="str">
        <f t="shared" si="72"/>
        <v>#DIV/0!</v>
      </c>
      <c r="AT69" s="29" t="str">
        <f t="shared" si="72"/>
        <v>#DIV/0!</v>
      </c>
      <c r="AU69" s="29" t="str">
        <f t="shared" si="72"/>
        <v>#DIV/0!</v>
      </c>
      <c r="AV69" s="29" t="str">
        <f t="shared" si="72"/>
        <v>#DIV/0!</v>
      </c>
      <c r="AW69" s="29" t="str">
        <f t="shared" si="72"/>
        <v>#DIV/0!</v>
      </c>
      <c r="AX69" s="29" t="str">
        <f t="shared" si="72"/>
        <v>#DIV/0!</v>
      </c>
      <c r="AY69" s="29" t="str">
        <f t="shared" si="72"/>
        <v>#DIV/0!</v>
      </c>
      <c r="AZ69" s="29" t="str">
        <f t="shared" si="72"/>
        <v>#DIV/0!</v>
      </c>
      <c r="BA69" s="29" t="str">
        <f t="shared" si="72"/>
        <v>#DIV/0!</v>
      </c>
      <c r="BB69" s="29" t="str">
        <f t="shared" si="72"/>
        <v>#DIV/0!</v>
      </c>
      <c r="BC69" s="29" t="str">
        <f t="shared" si="72"/>
        <v>#DIV/0!</v>
      </c>
      <c r="BD69" s="29" t="str">
        <f t="shared" si="72"/>
        <v>#DIV/0!</v>
      </c>
      <c r="BE69" s="29" t="str">
        <f t="shared" si="72"/>
        <v>#DIV/0!</v>
      </c>
      <c r="BF69" s="29" t="str">
        <f t="shared" si="72"/>
        <v>#DIV/0!</v>
      </c>
      <c r="BG69" s="29" t="str">
        <f t="shared" si="72"/>
        <v>#DIV/0!</v>
      </c>
      <c r="BH69" s="29" t="str">
        <f t="shared" si="72"/>
        <v>#DIV/0!</v>
      </c>
      <c r="BI69" s="29" t="str">
        <f t="shared" si="72"/>
        <v>#DIV/0!</v>
      </c>
      <c r="BJ69" s="29" t="str">
        <f t="shared" si="72"/>
        <v>#DIV/0!</v>
      </c>
      <c r="BK69" s="29" t="str">
        <f t="shared" si="72"/>
        <v>#DIV/0!</v>
      </c>
      <c r="BL69" s="29" t="str">
        <f t="shared" si="72"/>
        <v>#DIV/0!</v>
      </c>
      <c r="BM69" s="29" t="str">
        <f t="shared" si="3"/>
        <v>#DIV/0!</v>
      </c>
    </row>
    <row r="70" hidden="1">
      <c r="A70" s="16" t="str">
        <f>IFERROR(__xludf.DUMMYFUNCTION("IFERROR(SPARKLINE(SORT(MAP(TRANSPOSE(AQ70:BL70), LAMBDA(val, IF(ISNUMBER(val), PERCENTRANK(AQ70:BL70, val)+0.01, 0))), SEQUENCE(COLUMNS(AQ70:BL70)), FALSE), {""charttype"",""column""; ""color"",""chartreuse""; ""ymin"", 0; ""ymax"", 1.01; ""highcolor"", "&amp;"""darkgreen""; ""lowcolor"", ""red""}), """")"),"")</f>
        <v/>
      </c>
      <c r="B70" s="17" t="str">
        <f t="shared" si="4"/>
        <v/>
      </c>
      <c r="C70" s="1" t="s">
        <v>2816</v>
      </c>
      <c r="D70" s="30" t="str">
        <f>IFERROR(__xludf.DUMMYFUNCTION("IFERROR(GOOGLEFINANCE(C70, ""NAME""))"),"Obsidian Energy Ltd")</f>
        <v>Obsidian Energy Ltd</v>
      </c>
      <c r="E70" s="30" t="s">
        <v>2613</v>
      </c>
      <c r="F70" s="33" t="str">
        <f>IFERROR(__xludf.DUMMYFUNCTION("( (GOOGLEFINANCE(C70, ""price"") - Q70) / Q70 ) / (R70 / 100)"),"Loading...")</f>
        <v>Loading...</v>
      </c>
      <c r="G70" s="20" t="str">
        <f>IFERROR(__xludf.DUMMYFUNCTION("AVERAGE(ARRAYFORMULA(100 * (QUERY(GOOGLEFINANCE(C70, ""high"", TODAY()-40, TODAY()), ""SELECT Col2 WHERE Col2 IS NOT NULL ORDER BY Col1 DESC LIMIT 20"", 0) / QUERY(GOOGLEFINANCE(C70, ""low"", TODAY()-40, TODAY()), ""SELECT Col2 WHERE Col2 IS NOT NULL ORDE"&amp;"R BY Col1 DESC LIMIT 20"", 0) - 1)))"),"#N/A")</f>
        <v>#N/A</v>
      </c>
      <c r="H70" s="35" t="str">
        <f t="shared" si="6"/>
        <v>Illiquid</v>
      </c>
      <c r="I70" s="35" t="str">
        <f t="shared" si="7"/>
        <v>RVol Required</v>
      </c>
      <c r="J70" s="37">
        <f>IFERROR(__xludf.DUMMYFUNCTION("IFERROR(
  IF(C70="""",, 
    IFERROR(
      GOOGLEFINANCE(C70, ""price"") * GOOGLEFINANCE(C70, ""volumeavg""), 
      GOOGLEFINANCE(C70, ""price"") * AVERAGE(QUERY(GOOGLEFINANCE(C70, ""volume"", TODAY()-40, TODAY()), ""SELECT Col2 WHERE Col2 IS NOT NULL "&amp;"ORDER BY Col1 DESC LIMIT 20"", 0))
    )
  ), 
"""")"),9516138.030000001)</f>
        <v>9516138.03</v>
      </c>
      <c r="K70" s="21">
        <f>IFERROR(__xludf.DUMMYFUNCTION("IFERROR(GOOGLEFINANCE(C70, ""changepct"") / 100, """")"),0.0436)</f>
        <v>0.0436</v>
      </c>
      <c r="L70" s="21" t="str">
        <f>IFERROR(__xludf.DUMMYFUNCTION("IFERROR((GOOGLEFINANCE(C70, ""price"") / INDEX(GOOGLEFINANCE(C70, ""price"", TODAY()-7, TODAY()), 2, 2)) - 1, """")"),"")</f>
        <v/>
      </c>
      <c r="M70" s="21" t="str">
        <f>IFERROR(__xludf.DUMMYFUNCTION("IFERROR((GOOGLEFINANCE(C70, ""price"") / INDEX(GOOGLEFINANCE(C70, ""price"", EDATE(TODAY(), -1), TODAY()), 2, 2)) - 1, """")"),"")</f>
        <v/>
      </c>
      <c r="N70" s="21" t="str">
        <f>IFERROR(__xludf.DUMMYFUNCTION("IFERROR((GOOGLEFINANCE(C70, ""price"") / INDEX(GOOGLEFINANCE(C70, ""price"", EDATE(TODAY(), -3), TODAY()), 2, 2)) - 1, """")"),"")</f>
        <v/>
      </c>
      <c r="O70" s="21" t="str">
        <f>IFERROR(__xludf.DUMMYFUNCTION("IFERROR((GOOGLEFINANCE(C70, ""price"") / INDEX(GOOGLEFINANCE(C70, ""price"", EDATE(TODAY(), -6), TODAY()), 2, 2)) - 1, """")"),"")</f>
        <v/>
      </c>
      <c r="P70" s="21" t="str">
        <f>IFERROR(__xludf.DUMMYFUNCTION("IFERROR((GOOGLEFINANCE(C70, ""price"") / INDEX(GOOGLEFINANCE(C70, ""price"", EDATE(TODAY(), -12), TODAY()), 2, 2)) - 1, """")"),"")</f>
        <v/>
      </c>
      <c r="Q70" s="6" t="str">
        <f>IFERROR(__xludf.DUMMYFUNCTION("AVERAGE(QUERY(GOOGLEFINANCE(C70, ""price"", TODAY()-80, TODAY()), ""SELECT Col2 WHERE Col2 IS NOT NULL ORDER BY Col1 DESC LIMIT 50"", 0))"),"#N/A")</f>
        <v>#N/A</v>
      </c>
      <c r="R70" s="24" t="str">
        <f>IFERROR(__xludf.DUMMYFUNCTION("IFERROR(
  LET(
    data, QUERY(GOOGLEFINANCE(C70,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GOOGLEFINANCE(C70, ""price"")) * 100,
    IF(calc=0, G70, calc)
  ), 
G70)"),"#N/A")</f>
        <v>#N/A</v>
      </c>
      <c r="S70" s="8" t="s">
        <v>15</v>
      </c>
      <c r="T70" s="26" t="str">
        <f>IFERROR(__xludf.DUMMYFUNCTION("IFERROR(TRANSPOSE(QUERY(IFERROR(SORT(GOOGLEFINANCE(C70, ""price"", WORKDAY(TODAY(), -40), TODAY()), 1, FALSE)), ""select Col2 where Col2 is not null limit 22 label Col2 ''"", 0)), """")"),"")</f>
        <v/>
      </c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8"/>
      <c r="AO70" s="28"/>
      <c r="AP70" s="29"/>
      <c r="AQ70" s="29" t="str">
        <f t="shared" ref="AQ70:BL70" si="73">T70/T$2</f>
        <v>#N/A</v>
      </c>
      <c r="AR70" s="29" t="str">
        <f t="shared" si="73"/>
        <v>#DIV/0!</v>
      </c>
      <c r="AS70" s="29" t="str">
        <f t="shared" si="73"/>
        <v>#DIV/0!</v>
      </c>
      <c r="AT70" s="29" t="str">
        <f t="shared" si="73"/>
        <v>#DIV/0!</v>
      </c>
      <c r="AU70" s="29" t="str">
        <f t="shared" si="73"/>
        <v>#DIV/0!</v>
      </c>
      <c r="AV70" s="29" t="str">
        <f t="shared" si="73"/>
        <v>#DIV/0!</v>
      </c>
      <c r="AW70" s="29" t="str">
        <f t="shared" si="73"/>
        <v>#DIV/0!</v>
      </c>
      <c r="AX70" s="29" t="str">
        <f t="shared" si="73"/>
        <v>#DIV/0!</v>
      </c>
      <c r="AY70" s="29" t="str">
        <f t="shared" si="73"/>
        <v>#DIV/0!</v>
      </c>
      <c r="AZ70" s="29" t="str">
        <f t="shared" si="73"/>
        <v>#DIV/0!</v>
      </c>
      <c r="BA70" s="29" t="str">
        <f t="shared" si="73"/>
        <v>#DIV/0!</v>
      </c>
      <c r="BB70" s="29" t="str">
        <f t="shared" si="73"/>
        <v>#DIV/0!</v>
      </c>
      <c r="BC70" s="29" t="str">
        <f t="shared" si="73"/>
        <v>#DIV/0!</v>
      </c>
      <c r="BD70" s="29" t="str">
        <f t="shared" si="73"/>
        <v>#DIV/0!</v>
      </c>
      <c r="BE70" s="29" t="str">
        <f t="shared" si="73"/>
        <v>#DIV/0!</v>
      </c>
      <c r="BF70" s="29" t="str">
        <f t="shared" si="73"/>
        <v>#DIV/0!</v>
      </c>
      <c r="BG70" s="29" t="str">
        <f t="shared" si="73"/>
        <v>#DIV/0!</v>
      </c>
      <c r="BH70" s="29" t="str">
        <f t="shared" si="73"/>
        <v>#DIV/0!</v>
      </c>
      <c r="BI70" s="29" t="str">
        <f t="shared" si="73"/>
        <v>#DIV/0!</v>
      </c>
      <c r="BJ70" s="29" t="str">
        <f t="shared" si="73"/>
        <v>#DIV/0!</v>
      </c>
      <c r="BK70" s="29" t="str">
        <f t="shared" si="73"/>
        <v>#DIV/0!</v>
      </c>
      <c r="BL70" s="29" t="str">
        <f t="shared" si="73"/>
        <v>#DIV/0!</v>
      </c>
      <c r="BM70" s="29" t="str">
        <f t="shared" si="3"/>
        <v>#DIV/0!</v>
      </c>
    </row>
    <row r="71" hidden="1">
      <c r="A71" s="16" t="str">
        <f>IFERROR(__xludf.DUMMYFUNCTION("IFERROR(SPARKLINE(SORT(MAP(TRANSPOSE(AQ71:BL71), LAMBDA(val, IF(ISNUMBER(val), PERCENTRANK(AQ71:BL71, val)+0.01, 0))), SEQUENCE(COLUMNS(AQ71:BL71)), FALSE), {""charttype"",""column""; ""color"",""chartreuse""; ""ymin"", 0; ""ymax"", 1.01; ""highcolor"", "&amp;"""darkgreen""; ""lowcolor"", ""red""}), """")"),"")</f>
        <v/>
      </c>
      <c r="B71" s="17" t="str">
        <f t="shared" si="4"/>
        <v/>
      </c>
      <c r="C71" s="1" t="s">
        <v>2820</v>
      </c>
      <c r="D71" s="30" t="str">
        <f>IFERROR(__xludf.DUMMYFUNCTION("IFERROR(GOOGLEFINANCE(C71, ""NAME""))"),"Helmerich and Payne Inc")</f>
        <v>Helmerich and Payne Inc</v>
      </c>
      <c r="E71" s="30" t="s">
        <v>2658</v>
      </c>
      <c r="F71" s="33" t="str">
        <f>IFERROR(__xludf.DUMMYFUNCTION("( (GOOGLEFINANCE(C71, ""price"") - Q71) / Q71 ) / (R71 / 100)"),"Loading...")</f>
        <v>Loading...</v>
      </c>
      <c r="G71" s="20" t="str">
        <f>IFERROR(__xludf.DUMMYFUNCTION("AVERAGE(ARRAYFORMULA(100 * (QUERY(GOOGLEFINANCE(C71, ""high"", TODAY()-40, TODAY()), ""SELECT Col2 WHERE Col2 IS NOT NULL ORDER BY Col1 DESC LIMIT 20"", 0) / QUERY(GOOGLEFINANCE(C71, ""low"", TODAY()-40, TODAY()), ""SELECT Col2 WHERE Col2 IS NOT NULL ORDE"&amp;"R BY Col1 DESC LIMIT 20"", 0) - 1)))"),"#N/A")</f>
        <v>#N/A</v>
      </c>
      <c r="H71" s="35" t="str">
        <f t="shared" si="6"/>
        <v>Illiquid</v>
      </c>
      <c r="I71" s="35" t="str">
        <f t="shared" si="7"/>
        <v>RVol Required</v>
      </c>
      <c r="J71" s="37">
        <f>IFERROR(__xludf.DUMMYFUNCTION("IFERROR(
  IF(C71="""",, 
    IFERROR(
      GOOGLEFINANCE(C71, ""price"") * GOOGLEFINANCE(C71, ""volumeavg""), 
      GOOGLEFINANCE(C71, ""price"") * AVERAGE(QUERY(GOOGLEFINANCE(C71, ""volume"", TODAY()-40, TODAY()), ""SELECT Col2 WHERE Col2 IS NOT NULL "&amp;"ORDER BY Col1 DESC LIMIT 20"", 0))
    )
  ), 
"""")"),4.033838586E7)</f>
        <v>40338385.86</v>
      </c>
      <c r="K71" s="21">
        <f>IFERROR(__xludf.DUMMYFUNCTION("IFERROR(GOOGLEFINANCE(C71, ""changepct"") / 100, """")"),-0.0066)</f>
        <v>-0.0066</v>
      </c>
      <c r="L71" s="21" t="str">
        <f>IFERROR(__xludf.DUMMYFUNCTION("IFERROR((GOOGLEFINANCE(C71, ""price"") / INDEX(GOOGLEFINANCE(C71, ""price"", TODAY()-7, TODAY()), 2, 2)) - 1, """")"),"")</f>
        <v/>
      </c>
      <c r="M71" s="21" t="str">
        <f>IFERROR(__xludf.DUMMYFUNCTION("IFERROR((GOOGLEFINANCE(C71, ""price"") / INDEX(GOOGLEFINANCE(C71, ""price"", EDATE(TODAY(), -1), TODAY()), 2, 2)) - 1, """")"),"")</f>
        <v/>
      </c>
      <c r="N71" s="21" t="str">
        <f>IFERROR(__xludf.DUMMYFUNCTION("IFERROR((GOOGLEFINANCE(C71, ""price"") / INDEX(GOOGLEFINANCE(C71, ""price"", EDATE(TODAY(), -3), TODAY()), 2, 2)) - 1, """")"),"")</f>
        <v/>
      </c>
      <c r="O71" s="21" t="str">
        <f>IFERROR(__xludf.DUMMYFUNCTION("IFERROR((GOOGLEFINANCE(C71, ""price"") / INDEX(GOOGLEFINANCE(C71, ""price"", EDATE(TODAY(), -6), TODAY()), 2, 2)) - 1, """")"),"")</f>
        <v/>
      </c>
      <c r="P71" s="21" t="str">
        <f>IFERROR(__xludf.DUMMYFUNCTION("IFERROR((GOOGLEFINANCE(C71, ""price"") / INDEX(GOOGLEFINANCE(C71, ""price"", EDATE(TODAY(), -12), TODAY()), 2, 2)) - 1, """")"),"")</f>
        <v/>
      </c>
      <c r="Q71" s="6" t="str">
        <f>IFERROR(__xludf.DUMMYFUNCTION("AVERAGE(QUERY(GOOGLEFINANCE(C71, ""price"", TODAY()-80, TODAY()), ""SELECT Col2 WHERE Col2 IS NOT NULL ORDER BY Col1 DESC LIMIT 50"", 0))"),"#N/A")</f>
        <v>#N/A</v>
      </c>
      <c r="R71" s="24" t="str">
        <f>IFERROR(__xludf.DUMMYFUNCTION("IFERROR(
  LET(
    data, QUERY(GOOGLEFINANCE(C71,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GOOGLEFINANCE(C71, ""price"")) * 100,
    IF(calc=0, G71, calc)
  ), 
G71)"),"#N/A")</f>
        <v>#N/A</v>
      </c>
      <c r="S71" s="8" t="s">
        <v>15</v>
      </c>
      <c r="T71" s="26" t="str">
        <f>IFERROR(__xludf.DUMMYFUNCTION("IFERROR(TRANSPOSE(QUERY(IFERROR(SORT(GOOGLEFINANCE(C71, ""price"", WORKDAY(TODAY(), -40), TODAY()), 1, FALSE)), ""select Col2 where Col2 is not null limit 22 label Col2 ''"", 0)), """")"),"")</f>
        <v/>
      </c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8"/>
      <c r="AO71" s="28"/>
      <c r="AP71" s="29"/>
      <c r="AQ71" s="29" t="str">
        <f t="shared" ref="AQ71:BL71" si="74">T71/T$2</f>
        <v>#N/A</v>
      </c>
      <c r="AR71" s="29" t="str">
        <f t="shared" si="74"/>
        <v>#DIV/0!</v>
      </c>
      <c r="AS71" s="29" t="str">
        <f t="shared" si="74"/>
        <v>#DIV/0!</v>
      </c>
      <c r="AT71" s="29" t="str">
        <f t="shared" si="74"/>
        <v>#DIV/0!</v>
      </c>
      <c r="AU71" s="29" t="str">
        <f t="shared" si="74"/>
        <v>#DIV/0!</v>
      </c>
      <c r="AV71" s="29" t="str">
        <f t="shared" si="74"/>
        <v>#DIV/0!</v>
      </c>
      <c r="AW71" s="29" t="str">
        <f t="shared" si="74"/>
        <v>#DIV/0!</v>
      </c>
      <c r="AX71" s="29" t="str">
        <f t="shared" si="74"/>
        <v>#DIV/0!</v>
      </c>
      <c r="AY71" s="29" t="str">
        <f t="shared" si="74"/>
        <v>#DIV/0!</v>
      </c>
      <c r="AZ71" s="29" t="str">
        <f t="shared" si="74"/>
        <v>#DIV/0!</v>
      </c>
      <c r="BA71" s="29" t="str">
        <f t="shared" si="74"/>
        <v>#DIV/0!</v>
      </c>
      <c r="BB71" s="29" t="str">
        <f t="shared" si="74"/>
        <v>#DIV/0!</v>
      </c>
      <c r="BC71" s="29" t="str">
        <f t="shared" si="74"/>
        <v>#DIV/0!</v>
      </c>
      <c r="BD71" s="29" t="str">
        <f t="shared" si="74"/>
        <v>#DIV/0!</v>
      </c>
      <c r="BE71" s="29" t="str">
        <f t="shared" si="74"/>
        <v>#DIV/0!</v>
      </c>
      <c r="BF71" s="29" t="str">
        <f t="shared" si="74"/>
        <v>#DIV/0!</v>
      </c>
      <c r="BG71" s="29" t="str">
        <f t="shared" si="74"/>
        <v>#DIV/0!</v>
      </c>
      <c r="BH71" s="29" t="str">
        <f t="shared" si="74"/>
        <v>#DIV/0!</v>
      </c>
      <c r="BI71" s="29" t="str">
        <f t="shared" si="74"/>
        <v>#DIV/0!</v>
      </c>
      <c r="BJ71" s="29" t="str">
        <f t="shared" si="74"/>
        <v>#DIV/0!</v>
      </c>
      <c r="BK71" s="29" t="str">
        <f t="shared" si="74"/>
        <v>#DIV/0!</v>
      </c>
      <c r="BL71" s="29" t="str">
        <f t="shared" si="74"/>
        <v>#DIV/0!</v>
      </c>
      <c r="BM71" s="29" t="str">
        <f t="shared" si="3"/>
        <v>#DIV/0!</v>
      </c>
    </row>
    <row r="72">
      <c r="A72" s="16" t="str">
        <f>IFERROR(__xludf.DUMMYFUNCTION("IFERROR(SPARKLINE(SORT(MAP(TRANSPOSE(AQ72:BL72), LAMBDA(val, IF(ISNUMBER(val), PERCENTRANK(AQ72:BL72, val)+0.01, 0))), SEQUENCE(COLUMNS(AQ72:BL72)), FALSE), {""charttype"",""column""; ""color"",""chartreuse""; ""ymin"", 0; ""ymax"", 1.01; ""highcolor"", "&amp;"""darkgreen""; ""lowcolor"", ""red""}), """")"),"")</f>
        <v/>
      </c>
      <c r="B72" s="17" t="str">
        <f t="shared" si="4"/>
        <v/>
      </c>
      <c r="C72" s="1" t="s">
        <v>2824</v>
      </c>
      <c r="D72" s="30" t="str">
        <f>IFERROR(__xludf.DUMMYFUNCTION("IFERROR(GOOGLEFINANCE(C72, ""NAME""))"),"Chord Energy Corp")</f>
        <v>Chord Energy Corp</v>
      </c>
      <c r="E72" s="30" t="s">
        <v>2613</v>
      </c>
      <c r="F72" s="33" t="str">
        <f>IFERROR(__xludf.DUMMYFUNCTION("( (GOOGLEFINANCE(C72, ""price"") - Q72) / Q72 ) / (R72 / 100)"),"Loading...")</f>
        <v>Loading...</v>
      </c>
      <c r="G72" s="20" t="str">
        <f>IFERROR(__xludf.DUMMYFUNCTION("AVERAGE(ARRAYFORMULA(100 * (QUERY(GOOGLEFINANCE(C72, ""high"", TODAY()-40, TODAY()), ""SELECT Col2 WHERE Col2 IS NOT NULL ORDER BY Col1 DESC LIMIT 20"", 0) / QUERY(GOOGLEFINANCE(C72, ""low"", TODAY()-40, TODAY()), ""SELECT Col2 WHERE Col2 IS NOT NULL ORDE"&amp;"R BY Col1 DESC LIMIT 20"", 0) - 1)))"),"#N/A")</f>
        <v>#N/A</v>
      </c>
      <c r="H72" s="35" t="str">
        <f t="shared" si="6"/>
        <v>Liquid</v>
      </c>
      <c r="I72" s="35" t="str">
        <f t="shared" si="7"/>
        <v>RVol Required</v>
      </c>
      <c r="J72" s="37">
        <f>IFERROR(__xludf.DUMMYFUNCTION("IFERROR(
  IF(C72="""",, 
    IFERROR(
      GOOGLEFINANCE(C72, ""price"") * GOOGLEFINANCE(C72, ""volumeavg""), 
      GOOGLEFINANCE(C72, ""price"") * AVERAGE(QUERY(GOOGLEFINANCE(C72, ""volume"", TODAY()-40, TODAY()), ""SELECT Col2 WHERE Col2 IS NOT NULL "&amp;"ORDER BY Col1 DESC LIMIT 20"", 0))
    )
  ), 
"""")"),1.0500280896000001E8)</f>
        <v>105002809</v>
      </c>
      <c r="K72" s="21">
        <f>IFERROR(__xludf.DUMMYFUNCTION("IFERROR(GOOGLEFINANCE(C72, ""changepct"") / 100, """")"),0.042)</f>
        <v>0.042</v>
      </c>
      <c r="L72" s="21" t="str">
        <f>IFERROR(__xludf.DUMMYFUNCTION("IFERROR((GOOGLEFINANCE(C72, ""price"") / INDEX(GOOGLEFINANCE(C72, ""price"", TODAY()-7, TODAY()), 2, 2)) - 1, """")"),"")</f>
        <v/>
      </c>
      <c r="M72" s="21" t="str">
        <f>IFERROR(__xludf.DUMMYFUNCTION("IFERROR((GOOGLEFINANCE(C72, ""price"") / INDEX(GOOGLEFINANCE(C72, ""price"", EDATE(TODAY(), -1), TODAY()), 2, 2)) - 1, """")"),"")</f>
        <v/>
      </c>
      <c r="N72" s="21" t="str">
        <f>IFERROR(__xludf.DUMMYFUNCTION("IFERROR((GOOGLEFINANCE(C72, ""price"") / INDEX(GOOGLEFINANCE(C72, ""price"", EDATE(TODAY(), -3), TODAY()), 2, 2)) - 1, """")"),"")</f>
        <v/>
      </c>
      <c r="O72" s="21" t="str">
        <f>IFERROR(__xludf.DUMMYFUNCTION("IFERROR((GOOGLEFINANCE(C72, ""price"") / INDEX(GOOGLEFINANCE(C72, ""price"", EDATE(TODAY(), -6), TODAY()), 2, 2)) - 1, """")"),"")</f>
        <v/>
      </c>
      <c r="P72" s="21" t="str">
        <f>IFERROR(__xludf.DUMMYFUNCTION("IFERROR((GOOGLEFINANCE(C72, ""price"") / INDEX(GOOGLEFINANCE(C72, ""price"", EDATE(TODAY(), -12), TODAY()), 2, 2)) - 1, """")"),"")</f>
        <v/>
      </c>
      <c r="Q72" s="6" t="str">
        <f>IFERROR(__xludf.DUMMYFUNCTION("AVERAGE(QUERY(GOOGLEFINANCE(C72, ""price"", TODAY()-80, TODAY()), ""SELECT Col2 WHERE Col2 IS NOT NULL ORDER BY Col1 DESC LIMIT 50"", 0))"),"#N/A")</f>
        <v>#N/A</v>
      </c>
      <c r="R72" s="24" t="str">
        <f>IFERROR(__xludf.DUMMYFUNCTION("IFERROR(
  LET(
    data, QUERY(GOOGLEFINANCE(C72,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GOOGLEFINANCE(C72, ""price"")) * 100,
    IF(calc=0, G72, calc)
  ), 
G72)"),"#N/A")</f>
        <v>#N/A</v>
      </c>
      <c r="S72" s="8" t="s">
        <v>15</v>
      </c>
      <c r="T72" s="26" t="str">
        <f>IFERROR(__xludf.DUMMYFUNCTION("IFERROR(TRANSPOSE(QUERY(IFERROR(SORT(GOOGLEFINANCE(C72, ""price"", WORKDAY(TODAY(), -40), TODAY()), 1, FALSE)), ""select Col2 where Col2 is not null limit 22 label Col2 ''"", 0)), """")"),"")</f>
        <v/>
      </c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8"/>
      <c r="AO72" s="28"/>
      <c r="AP72" s="29"/>
      <c r="AQ72" s="29" t="str">
        <f t="shared" ref="AQ72:BL72" si="75">T72/T$2</f>
        <v>#N/A</v>
      </c>
      <c r="AR72" s="29" t="str">
        <f t="shared" si="75"/>
        <v>#DIV/0!</v>
      </c>
      <c r="AS72" s="29" t="str">
        <f t="shared" si="75"/>
        <v>#DIV/0!</v>
      </c>
      <c r="AT72" s="29" t="str">
        <f t="shared" si="75"/>
        <v>#DIV/0!</v>
      </c>
      <c r="AU72" s="29" t="str">
        <f t="shared" si="75"/>
        <v>#DIV/0!</v>
      </c>
      <c r="AV72" s="29" t="str">
        <f t="shared" si="75"/>
        <v>#DIV/0!</v>
      </c>
      <c r="AW72" s="29" t="str">
        <f t="shared" si="75"/>
        <v>#DIV/0!</v>
      </c>
      <c r="AX72" s="29" t="str">
        <f t="shared" si="75"/>
        <v>#DIV/0!</v>
      </c>
      <c r="AY72" s="29" t="str">
        <f t="shared" si="75"/>
        <v>#DIV/0!</v>
      </c>
      <c r="AZ72" s="29" t="str">
        <f t="shared" si="75"/>
        <v>#DIV/0!</v>
      </c>
      <c r="BA72" s="29" t="str">
        <f t="shared" si="75"/>
        <v>#DIV/0!</v>
      </c>
      <c r="BB72" s="29" t="str">
        <f t="shared" si="75"/>
        <v>#DIV/0!</v>
      </c>
      <c r="BC72" s="29" t="str">
        <f t="shared" si="75"/>
        <v>#DIV/0!</v>
      </c>
      <c r="BD72" s="29" t="str">
        <f t="shared" si="75"/>
        <v>#DIV/0!</v>
      </c>
      <c r="BE72" s="29" t="str">
        <f t="shared" si="75"/>
        <v>#DIV/0!</v>
      </c>
      <c r="BF72" s="29" t="str">
        <f t="shared" si="75"/>
        <v>#DIV/0!</v>
      </c>
      <c r="BG72" s="29" t="str">
        <f t="shared" si="75"/>
        <v>#DIV/0!</v>
      </c>
      <c r="BH72" s="29" t="str">
        <f t="shared" si="75"/>
        <v>#DIV/0!</v>
      </c>
      <c r="BI72" s="29" t="str">
        <f t="shared" si="75"/>
        <v>#DIV/0!</v>
      </c>
      <c r="BJ72" s="29" t="str">
        <f t="shared" si="75"/>
        <v>#DIV/0!</v>
      </c>
      <c r="BK72" s="29" t="str">
        <f t="shared" si="75"/>
        <v>#DIV/0!</v>
      </c>
      <c r="BL72" s="29" t="str">
        <f t="shared" si="75"/>
        <v>#DIV/0!</v>
      </c>
      <c r="BM72" s="29" t="str">
        <f t="shared" si="3"/>
        <v>#DIV/0!</v>
      </c>
    </row>
    <row r="73">
      <c r="A73" s="16" t="str">
        <f>IFERROR(__xludf.DUMMYFUNCTION("IFERROR(SPARKLINE(SORT(MAP(TRANSPOSE(AQ73:BL73), LAMBDA(val, IF(ISNUMBER(val), PERCENTRANK(AQ73:BL73, val)+0.01, 0))), SEQUENCE(COLUMNS(AQ73:BL73)), FALSE), {""charttype"",""column""; ""color"",""chartreuse""; ""ymin"", 0; ""ymax"", 1.01; ""highcolor"", "&amp;"""darkgreen""; ""lowcolor"", ""red""}), """")"),"")</f>
        <v/>
      </c>
      <c r="B73" s="17" t="str">
        <f t="shared" si="4"/>
        <v/>
      </c>
      <c r="C73" s="1" t="s">
        <v>2826</v>
      </c>
      <c r="D73" s="30" t="str">
        <f>IFERROR(__xludf.DUMMYFUNCTION("IFERROR(GOOGLEFINANCE(C73, ""NAME""))"),"Weatherford International plc")</f>
        <v>Weatherford International plc</v>
      </c>
      <c r="E73" s="30" t="s">
        <v>2537</v>
      </c>
      <c r="F73" s="33" t="str">
        <f>IFERROR(__xludf.DUMMYFUNCTION("( (GOOGLEFINANCE(C73, ""price"") - Q73) / Q73 ) / (R73 / 100)"),"Loading...")</f>
        <v>Loading...</v>
      </c>
      <c r="G73" s="20" t="str">
        <f>IFERROR(__xludf.DUMMYFUNCTION("AVERAGE(ARRAYFORMULA(100 * (QUERY(GOOGLEFINANCE(C73, ""high"", TODAY()-40, TODAY()), ""SELECT Col2 WHERE Col2 IS NOT NULL ORDER BY Col1 DESC LIMIT 20"", 0) / QUERY(GOOGLEFINANCE(C73, ""low"", TODAY()-40, TODAY()), ""SELECT Col2 WHERE Col2 IS NOT NULL ORDE"&amp;"R BY Col1 DESC LIMIT 20"", 0) - 1)))"),"#N/A")</f>
        <v>#N/A</v>
      </c>
      <c r="H73" s="35" t="str">
        <f t="shared" si="6"/>
        <v>Liquid</v>
      </c>
      <c r="I73" s="35" t="str">
        <f t="shared" si="7"/>
        <v>RVol Required</v>
      </c>
      <c r="J73" s="37">
        <f>IFERROR(__xludf.DUMMYFUNCTION("IFERROR(
  IF(C73="""",, 
    IFERROR(
      GOOGLEFINANCE(C73, ""price"") * GOOGLEFINANCE(C73, ""volumeavg""), 
      GOOGLEFINANCE(C73, ""price"") * AVERAGE(QUERY(GOOGLEFINANCE(C73, ""volume"", TODAY()-40, TODAY()), ""SELECT Col2 WHERE Col2 IS NOT NULL "&amp;"ORDER BY Col1 DESC LIMIT 20"", 0))
    )
  ), 
"""")"),7.146721047E7)</f>
        <v>71467210.47</v>
      </c>
      <c r="K73" s="21">
        <f>IFERROR(__xludf.DUMMYFUNCTION("IFERROR(GOOGLEFINANCE(C73, ""changepct"") / 100, """")"),0.0159)</f>
        <v>0.0159</v>
      </c>
      <c r="L73" s="21" t="str">
        <f>IFERROR(__xludf.DUMMYFUNCTION("IFERROR((GOOGLEFINANCE(C73, ""price"") / INDEX(GOOGLEFINANCE(C73, ""price"", TODAY()-7, TODAY()), 2, 2)) - 1, """")"),"")</f>
        <v/>
      </c>
      <c r="M73" s="21" t="str">
        <f>IFERROR(__xludf.DUMMYFUNCTION("IFERROR((GOOGLEFINANCE(C73, ""price"") / INDEX(GOOGLEFINANCE(C73, ""price"", EDATE(TODAY(), -1), TODAY()), 2, 2)) - 1, """")"),"")</f>
        <v/>
      </c>
      <c r="N73" s="21" t="str">
        <f>IFERROR(__xludf.DUMMYFUNCTION("IFERROR((GOOGLEFINANCE(C73, ""price"") / INDEX(GOOGLEFINANCE(C73, ""price"", EDATE(TODAY(), -3), TODAY()), 2, 2)) - 1, """")"),"")</f>
        <v/>
      </c>
      <c r="O73" s="21" t="str">
        <f>IFERROR(__xludf.DUMMYFUNCTION("IFERROR((GOOGLEFINANCE(C73, ""price"") / INDEX(GOOGLEFINANCE(C73, ""price"", EDATE(TODAY(), -6), TODAY()), 2, 2)) - 1, """")"),"")</f>
        <v/>
      </c>
      <c r="P73" s="21" t="str">
        <f>IFERROR(__xludf.DUMMYFUNCTION("IFERROR((GOOGLEFINANCE(C73, ""price"") / INDEX(GOOGLEFINANCE(C73, ""price"", EDATE(TODAY(), -12), TODAY()), 2, 2)) - 1, """")"),"")</f>
        <v/>
      </c>
      <c r="Q73" s="6" t="str">
        <f>IFERROR(__xludf.DUMMYFUNCTION("AVERAGE(QUERY(GOOGLEFINANCE(C73, ""price"", TODAY()-80, TODAY()), ""SELECT Col2 WHERE Col2 IS NOT NULL ORDER BY Col1 DESC LIMIT 50"", 0))"),"#N/A")</f>
        <v>#N/A</v>
      </c>
      <c r="R73" s="24" t="str">
        <f>IFERROR(__xludf.DUMMYFUNCTION("IFERROR(
  LET(
    data, QUERY(GOOGLEFINANCE(C73,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GOOGLEFINANCE(C73, ""price"")) * 100,
    IF(calc=0, G73, calc)
  ), 
G73)"),"#N/A")</f>
        <v>#N/A</v>
      </c>
      <c r="S73" s="8" t="s">
        <v>15</v>
      </c>
      <c r="T73" s="26" t="str">
        <f>IFERROR(__xludf.DUMMYFUNCTION("IFERROR(TRANSPOSE(QUERY(IFERROR(SORT(GOOGLEFINANCE(C73, ""price"", WORKDAY(TODAY(), -40), TODAY()), 1, FALSE)), ""select Col2 where Col2 is not null limit 22 label Col2 ''"", 0)), """")"),"")</f>
        <v/>
      </c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8"/>
      <c r="AO73" s="28"/>
      <c r="AP73" s="29"/>
      <c r="AQ73" s="29" t="str">
        <f t="shared" ref="AQ73:BL73" si="76">T73/T$2</f>
        <v>#N/A</v>
      </c>
      <c r="AR73" s="29" t="str">
        <f t="shared" si="76"/>
        <v>#DIV/0!</v>
      </c>
      <c r="AS73" s="29" t="str">
        <f t="shared" si="76"/>
        <v>#DIV/0!</v>
      </c>
      <c r="AT73" s="29" t="str">
        <f t="shared" si="76"/>
        <v>#DIV/0!</v>
      </c>
      <c r="AU73" s="29" t="str">
        <f t="shared" si="76"/>
        <v>#DIV/0!</v>
      </c>
      <c r="AV73" s="29" t="str">
        <f t="shared" si="76"/>
        <v>#DIV/0!</v>
      </c>
      <c r="AW73" s="29" t="str">
        <f t="shared" si="76"/>
        <v>#DIV/0!</v>
      </c>
      <c r="AX73" s="29" t="str">
        <f t="shared" si="76"/>
        <v>#DIV/0!</v>
      </c>
      <c r="AY73" s="29" t="str">
        <f t="shared" si="76"/>
        <v>#DIV/0!</v>
      </c>
      <c r="AZ73" s="29" t="str">
        <f t="shared" si="76"/>
        <v>#DIV/0!</v>
      </c>
      <c r="BA73" s="29" t="str">
        <f t="shared" si="76"/>
        <v>#DIV/0!</v>
      </c>
      <c r="BB73" s="29" t="str">
        <f t="shared" si="76"/>
        <v>#DIV/0!</v>
      </c>
      <c r="BC73" s="29" t="str">
        <f t="shared" si="76"/>
        <v>#DIV/0!</v>
      </c>
      <c r="BD73" s="29" t="str">
        <f t="shared" si="76"/>
        <v>#DIV/0!</v>
      </c>
      <c r="BE73" s="29" t="str">
        <f t="shared" si="76"/>
        <v>#DIV/0!</v>
      </c>
      <c r="BF73" s="29" t="str">
        <f t="shared" si="76"/>
        <v>#DIV/0!</v>
      </c>
      <c r="BG73" s="29" t="str">
        <f t="shared" si="76"/>
        <v>#DIV/0!</v>
      </c>
      <c r="BH73" s="29" t="str">
        <f t="shared" si="76"/>
        <v>#DIV/0!</v>
      </c>
      <c r="BI73" s="29" t="str">
        <f t="shared" si="76"/>
        <v>#DIV/0!</v>
      </c>
      <c r="BJ73" s="29" t="str">
        <f t="shared" si="76"/>
        <v>#DIV/0!</v>
      </c>
      <c r="BK73" s="29" t="str">
        <f t="shared" si="76"/>
        <v>#DIV/0!</v>
      </c>
      <c r="BL73" s="29" t="str">
        <f t="shared" si="76"/>
        <v>#DIV/0!</v>
      </c>
      <c r="BM73" s="29" t="str">
        <f t="shared" si="3"/>
        <v>#DIV/0!</v>
      </c>
    </row>
    <row r="74" hidden="1">
      <c r="A74" s="16" t="str">
        <f>IFERROR(__xludf.DUMMYFUNCTION("IFERROR(SPARKLINE(SORT(MAP(TRANSPOSE(AQ74:BL74), LAMBDA(val, IF(ISNUMBER(val), PERCENTRANK(AQ74:BL74, val)+0.01, 0))), SEQUENCE(COLUMNS(AQ74:BL74)), FALSE), {""charttype"",""column""; ""color"",""chartreuse""; ""ymin"", 0; ""ymax"", 1.01; ""highcolor"", "&amp;"""darkgreen""; ""lowcolor"", ""red""}), """")"),"")</f>
        <v/>
      </c>
      <c r="B74" s="17" t="str">
        <f t="shared" si="4"/>
        <v/>
      </c>
      <c r="C74" s="1" t="s">
        <v>2830</v>
      </c>
      <c r="D74" s="30" t="str">
        <f>IFERROR(__xludf.DUMMYFUNCTION("IFERROR(GOOGLEFINANCE(C74, ""NAME""))"),"WaterBridge Infrastructure LLC")</f>
        <v>WaterBridge Infrastructure LLC</v>
      </c>
      <c r="E74" s="30" t="s">
        <v>2537</v>
      </c>
      <c r="F74" s="33" t="str">
        <f>IFERROR(__xludf.DUMMYFUNCTION("( (GOOGLEFINANCE(C74, ""price"") - Q74) / Q74 ) / (R74 / 100)"),"Loading...")</f>
        <v>Loading...</v>
      </c>
      <c r="G74" s="20" t="str">
        <f>IFERROR(__xludf.DUMMYFUNCTION("AVERAGE(ARRAYFORMULA(100 * (QUERY(GOOGLEFINANCE(C74, ""high"", TODAY()-40, TODAY()), ""SELECT Col2 WHERE Col2 IS NOT NULL ORDER BY Col1 DESC LIMIT 20"", 0) / QUERY(GOOGLEFINANCE(C74, ""low"", TODAY()-40, TODAY()), ""SELECT Col2 WHERE Col2 IS NOT NULL ORDE"&amp;"R BY Col1 DESC LIMIT 20"", 0) - 1)))"),"#N/A")</f>
        <v>#N/A</v>
      </c>
      <c r="H74" s="35" t="str">
        <f t="shared" si="6"/>
        <v>Illiquid</v>
      </c>
      <c r="I74" s="35" t="str">
        <f t="shared" si="7"/>
        <v>RVol Required</v>
      </c>
      <c r="J74" s="37">
        <f>IFERROR(__xludf.DUMMYFUNCTION("IFERROR(
  IF(C74="""",, 
    IFERROR(
      GOOGLEFINANCE(C74, ""price"") * GOOGLEFINANCE(C74, ""volumeavg""), 
      GOOGLEFINANCE(C74, ""price"") * AVERAGE(QUERY(GOOGLEFINANCE(C74, ""volume"", TODAY()-40, TODAY()), ""SELECT Col2 WHERE Col2 IS NOT NULL "&amp;"ORDER BY Col1 DESC LIMIT 20"", 0))
    )
  ), 
"""")"),1.884510936E7)</f>
        <v>18845109.36</v>
      </c>
      <c r="K74" s="21">
        <f>IFERROR(__xludf.DUMMYFUNCTION("IFERROR(GOOGLEFINANCE(C74, ""changepct"") / 100, """")"),-0.0101)</f>
        <v>-0.0101</v>
      </c>
      <c r="L74" s="21" t="str">
        <f>IFERROR(__xludf.DUMMYFUNCTION("IFERROR((GOOGLEFINANCE(C74, ""price"") / INDEX(GOOGLEFINANCE(C74, ""price"", TODAY()-7, TODAY()), 2, 2)) - 1, """")"),"")</f>
        <v/>
      </c>
      <c r="M74" s="21" t="str">
        <f>IFERROR(__xludf.DUMMYFUNCTION("IFERROR((GOOGLEFINANCE(C74, ""price"") / INDEX(GOOGLEFINANCE(C74, ""price"", EDATE(TODAY(), -1), TODAY()), 2, 2)) - 1, """")"),"")</f>
        <v/>
      </c>
      <c r="N74" s="21" t="str">
        <f>IFERROR(__xludf.DUMMYFUNCTION("IFERROR((GOOGLEFINANCE(C74, ""price"") / INDEX(GOOGLEFINANCE(C74, ""price"", EDATE(TODAY(), -3), TODAY()), 2, 2)) - 1, """")"),"")</f>
        <v/>
      </c>
      <c r="O74" s="21" t="str">
        <f>IFERROR(__xludf.DUMMYFUNCTION("IFERROR((GOOGLEFINANCE(C74, ""price"") / INDEX(GOOGLEFINANCE(C74, ""price"", EDATE(TODAY(), -6), TODAY()), 2, 2)) - 1, """")"),"")</f>
        <v/>
      </c>
      <c r="P74" s="21" t="str">
        <f>IFERROR(__xludf.DUMMYFUNCTION("IFERROR((GOOGLEFINANCE(C74, ""price"") / INDEX(GOOGLEFINANCE(C74, ""price"", EDATE(TODAY(), -12), TODAY()), 2, 2)) - 1, """")"),"")</f>
        <v/>
      </c>
      <c r="Q74" s="6" t="str">
        <f>IFERROR(__xludf.DUMMYFUNCTION("AVERAGE(QUERY(GOOGLEFINANCE(C74, ""price"", TODAY()-80, TODAY()), ""SELECT Col2 WHERE Col2 IS NOT NULL ORDER BY Col1 DESC LIMIT 50"", 0))"),"#N/A")</f>
        <v>#N/A</v>
      </c>
      <c r="R74" s="24" t="str">
        <f>IFERROR(__xludf.DUMMYFUNCTION("IFERROR(
  LET(
    data, QUERY(GOOGLEFINANCE(C74,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GOOGLEFINANCE(C74, ""price"")) * 100,
    IF(calc=0, G74, calc)
  ), 
G74)"),"#N/A")</f>
        <v>#N/A</v>
      </c>
      <c r="S74" s="8" t="s">
        <v>15</v>
      </c>
      <c r="T74" s="26" t="str">
        <f>IFERROR(__xludf.DUMMYFUNCTION("IFERROR(TRANSPOSE(QUERY(IFERROR(SORT(GOOGLEFINANCE(C74, ""price"", WORKDAY(TODAY(), -40), TODAY()), 1, FALSE)), ""select Col2 where Col2 is not null limit 22 label Col2 ''"", 0)), """")"),"")</f>
        <v/>
      </c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8"/>
      <c r="AO74" s="28"/>
      <c r="AP74" s="29"/>
      <c r="AQ74" s="29" t="str">
        <f t="shared" ref="AQ74:BL74" si="77">T74/T$2</f>
        <v>#N/A</v>
      </c>
      <c r="AR74" s="29" t="str">
        <f t="shared" si="77"/>
        <v>#DIV/0!</v>
      </c>
      <c r="AS74" s="29" t="str">
        <f t="shared" si="77"/>
        <v>#DIV/0!</v>
      </c>
      <c r="AT74" s="29" t="str">
        <f t="shared" si="77"/>
        <v>#DIV/0!</v>
      </c>
      <c r="AU74" s="29" t="str">
        <f t="shared" si="77"/>
        <v>#DIV/0!</v>
      </c>
      <c r="AV74" s="29" t="str">
        <f t="shared" si="77"/>
        <v>#DIV/0!</v>
      </c>
      <c r="AW74" s="29" t="str">
        <f t="shared" si="77"/>
        <v>#DIV/0!</v>
      </c>
      <c r="AX74" s="29" t="str">
        <f t="shared" si="77"/>
        <v>#DIV/0!</v>
      </c>
      <c r="AY74" s="29" t="str">
        <f t="shared" si="77"/>
        <v>#DIV/0!</v>
      </c>
      <c r="AZ74" s="29" t="str">
        <f t="shared" si="77"/>
        <v>#DIV/0!</v>
      </c>
      <c r="BA74" s="29" t="str">
        <f t="shared" si="77"/>
        <v>#DIV/0!</v>
      </c>
      <c r="BB74" s="29" t="str">
        <f t="shared" si="77"/>
        <v>#DIV/0!</v>
      </c>
      <c r="BC74" s="29" t="str">
        <f t="shared" si="77"/>
        <v>#DIV/0!</v>
      </c>
      <c r="BD74" s="29" t="str">
        <f t="shared" si="77"/>
        <v>#DIV/0!</v>
      </c>
      <c r="BE74" s="29" t="str">
        <f t="shared" si="77"/>
        <v>#DIV/0!</v>
      </c>
      <c r="BF74" s="29" t="str">
        <f t="shared" si="77"/>
        <v>#DIV/0!</v>
      </c>
      <c r="BG74" s="29" t="str">
        <f t="shared" si="77"/>
        <v>#DIV/0!</v>
      </c>
      <c r="BH74" s="29" t="str">
        <f t="shared" si="77"/>
        <v>#DIV/0!</v>
      </c>
      <c r="BI74" s="29" t="str">
        <f t="shared" si="77"/>
        <v>#DIV/0!</v>
      </c>
      <c r="BJ74" s="29" t="str">
        <f t="shared" si="77"/>
        <v>#DIV/0!</v>
      </c>
      <c r="BK74" s="29" t="str">
        <f t="shared" si="77"/>
        <v>#DIV/0!</v>
      </c>
      <c r="BL74" s="29" t="str">
        <f t="shared" si="77"/>
        <v>#DIV/0!</v>
      </c>
      <c r="BM74" s="29" t="str">
        <f t="shared" si="3"/>
        <v>#DIV/0!</v>
      </c>
    </row>
    <row r="75">
      <c r="A75" s="16" t="str">
        <f>IFERROR(__xludf.DUMMYFUNCTION("IFERROR(SPARKLINE(SORT(MAP(TRANSPOSE(AQ75:BL75), LAMBDA(val, IF(ISNUMBER(val), PERCENTRANK(AQ75:BL75, val)+0.01, 0))), SEQUENCE(COLUMNS(AQ75:BL75)), FALSE), {""charttype"",""column""; ""color"",""chartreuse""; ""ymin"", 0; ""ymax"", 1.01; ""highcolor"", "&amp;"""darkgreen""; ""lowcolor"", ""red""}), """")"),"")</f>
        <v/>
      </c>
      <c r="B75" s="17" t="str">
        <f t="shared" si="4"/>
        <v/>
      </c>
      <c r="C75" s="1" t="s">
        <v>2834</v>
      </c>
      <c r="D75" s="30" t="str">
        <f>IFERROR(__xludf.DUMMYFUNCTION("IFERROR(GOOGLEFINANCE(C75, ""NAME""))"),"Uranium Energy Corp.")</f>
        <v>Uranium Energy Corp.</v>
      </c>
      <c r="E75" s="30" t="s">
        <v>2542</v>
      </c>
      <c r="F75" s="38" t="str">
        <f>IFERROR(__xludf.DUMMYFUNCTION("( (GOOGLEFINANCE(C75, ""price"") - Q75) / Q75 ) / (R75 / 100)"),"Loading...")</f>
        <v>Loading...</v>
      </c>
      <c r="G75" s="20" t="str">
        <f>IFERROR(__xludf.DUMMYFUNCTION("AVERAGE(ARRAYFORMULA(100 * (QUERY(GOOGLEFINANCE(C75, ""high"", TODAY()-40, TODAY()), ""SELECT Col2 WHERE Col2 IS NOT NULL ORDER BY Col1 DESC LIMIT 20"", 0) / QUERY(GOOGLEFINANCE(C75, ""low"", TODAY()-40, TODAY()), ""SELECT Col2 WHERE Col2 IS NOT NULL ORDE"&amp;"R BY Col1 DESC LIMIT 20"", 0) - 1)))"),"#N/A")</f>
        <v>#N/A</v>
      </c>
      <c r="H75" s="35" t="str">
        <f t="shared" si="6"/>
        <v>Liquid</v>
      </c>
      <c r="I75" s="35" t="str">
        <f t="shared" si="7"/>
        <v>RVol Required</v>
      </c>
      <c r="J75" s="37">
        <f>IFERROR(__xludf.DUMMYFUNCTION("IFERROR(
  IF(C75="""",, 
    IFERROR(
      GOOGLEFINANCE(C75, ""price"") * GOOGLEFINANCE(C75, ""volumeavg""), 
      GOOGLEFINANCE(C75, ""price"") * AVERAGE(QUERY(GOOGLEFINANCE(C75, ""volume"", TODAY()-40, TODAY()), ""SELECT Col2 WHERE Col2 IS NOT NULL "&amp;"ORDER BY Col1 DESC LIMIT 20"", 0))
    )
  ), 
"""")"),7.882212961E7)</f>
        <v>78822129.61</v>
      </c>
      <c r="K75" s="21">
        <f>IFERROR(__xludf.DUMMYFUNCTION("IFERROR(GOOGLEFINANCE(C75, ""changepct"") / 100, """")"),-0.0318)</f>
        <v>-0.0318</v>
      </c>
      <c r="L75" s="21" t="str">
        <f>IFERROR(__xludf.DUMMYFUNCTION("IFERROR((GOOGLEFINANCE(C75, ""price"") / INDEX(GOOGLEFINANCE(C75, ""price"", TODAY()-7, TODAY()), 2, 2)) - 1, """")"),"")</f>
        <v/>
      </c>
      <c r="M75" s="21" t="str">
        <f>IFERROR(__xludf.DUMMYFUNCTION("IFERROR((GOOGLEFINANCE(C75, ""price"") / INDEX(GOOGLEFINANCE(C75, ""price"", EDATE(TODAY(), -1), TODAY()), 2, 2)) - 1, """")"),"")</f>
        <v/>
      </c>
      <c r="N75" s="21" t="str">
        <f>IFERROR(__xludf.DUMMYFUNCTION("IFERROR((GOOGLEFINANCE(C75, ""price"") / INDEX(GOOGLEFINANCE(C75, ""price"", EDATE(TODAY(), -3), TODAY()), 2, 2)) - 1, """")"),"")</f>
        <v/>
      </c>
      <c r="O75" s="21" t="str">
        <f>IFERROR(__xludf.DUMMYFUNCTION("IFERROR((GOOGLEFINANCE(C75, ""price"") / INDEX(GOOGLEFINANCE(C75, ""price"", EDATE(TODAY(), -6), TODAY()), 2, 2)) - 1, """")"),"")</f>
        <v/>
      </c>
      <c r="P75" s="21" t="str">
        <f>IFERROR(__xludf.DUMMYFUNCTION("IFERROR((GOOGLEFINANCE(C75, ""price"") / INDEX(GOOGLEFINANCE(C75, ""price"", EDATE(TODAY(), -12), TODAY()), 2, 2)) - 1, """")"),"")</f>
        <v/>
      </c>
      <c r="Q75" s="6" t="str">
        <f>IFERROR(__xludf.DUMMYFUNCTION("AVERAGE(QUERY(GOOGLEFINANCE(C75, ""price"", TODAY()-80, TODAY()), ""SELECT Col2 WHERE Col2 IS NOT NULL ORDER BY Col1 DESC LIMIT 50"", 0))"),"#N/A")</f>
        <v>#N/A</v>
      </c>
      <c r="R75" s="24" t="str">
        <f>IFERROR(__xludf.DUMMYFUNCTION("IFERROR(
  LET(
    data, QUERY(GOOGLEFINANCE(C75,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GOOGLEFINANCE(C75, ""price"")) * 100,
    IF(calc=0, G75, calc)
  ), 
G75)"),"#N/A")</f>
        <v>#N/A</v>
      </c>
      <c r="S75" s="8" t="s">
        <v>15</v>
      </c>
      <c r="T75" s="26" t="str">
        <f>IFERROR(__xludf.DUMMYFUNCTION("IFERROR(TRANSPOSE(QUERY(IFERROR(SORT(GOOGLEFINANCE(C75, ""price"", WORKDAY(TODAY(), -40), TODAY()), 1, FALSE)), ""select Col2 where Col2 is not null limit 22 label Col2 ''"", 0)), """")"),"")</f>
        <v/>
      </c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8"/>
      <c r="AO75" s="28"/>
      <c r="AP75" s="29"/>
      <c r="AQ75" s="29" t="str">
        <f t="shared" ref="AQ75:BL75" si="78">T75/T$2</f>
        <v>#N/A</v>
      </c>
      <c r="AR75" s="29" t="str">
        <f t="shared" si="78"/>
        <v>#DIV/0!</v>
      </c>
      <c r="AS75" s="29" t="str">
        <f t="shared" si="78"/>
        <v>#DIV/0!</v>
      </c>
      <c r="AT75" s="29" t="str">
        <f t="shared" si="78"/>
        <v>#DIV/0!</v>
      </c>
      <c r="AU75" s="29" t="str">
        <f t="shared" si="78"/>
        <v>#DIV/0!</v>
      </c>
      <c r="AV75" s="29" t="str">
        <f t="shared" si="78"/>
        <v>#DIV/0!</v>
      </c>
      <c r="AW75" s="29" t="str">
        <f t="shared" si="78"/>
        <v>#DIV/0!</v>
      </c>
      <c r="AX75" s="29" t="str">
        <f t="shared" si="78"/>
        <v>#DIV/0!</v>
      </c>
      <c r="AY75" s="29" t="str">
        <f t="shared" si="78"/>
        <v>#DIV/0!</v>
      </c>
      <c r="AZ75" s="29" t="str">
        <f t="shared" si="78"/>
        <v>#DIV/0!</v>
      </c>
      <c r="BA75" s="29" t="str">
        <f t="shared" si="78"/>
        <v>#DIV/0!</v>
      </c>
      <c r="BB75" s="29" t="str">
        <f t="shared" si="78"/>
        <v>#DIV/0!</v>
      </c>
      <c r="BC75" s="29" t="str">
        <f t="shared" si="78"/>
        <v>#DIV/0!</v>
      </c>
      <c r="BD75" s="29" t="str">
        <f t="shared" si="78"/>
        <v>#DIV/0!</v>
      </c>
      <c r="BE75" s="29" t="str">
        <f t="shared" si="78"/>
        <v>#DIV/0!</v>
      </c>
      <c r="BF75" s="29" t="str">
        <f t="shared" si="78"/>
        <v>#DIV/0!</v>
      </c>
      <c r="BG75" s="29" t="str">
        <f t="shared" si="78"/>
        <v>#DIV/0!</v>
      </c>
      <c r="BH75" s="29" t="str">
        <f t="shared" si="78"/>
        <v>#DIV/0!</v>
      </c>
      <c r="BI75" s="29" t="str">
        <f t="shared" si="78"/>
        <v>#DIV/0!</v>
      </c>
      <c r="BJ75" s="29" t="str">
        <f t="shared" si="78"/>
        <v>#DIV/0!</v>
      </c>
      <c r="BK75" s="29" t="str">
        <f t="shared" si="78"/>
        <v>#DIV/0!</v>
      </c>
      <c r="BL75" s="29" t="str">
        <f t="shared" si="78"/>
        <v>#DIV/0!</v>
      </c>
      <c r="BM75" s="29" t="str">
        <f t="shared" si="3"/>
        <v>#DIV/0!</v>
      </c>
    </row>
    <row r="76">
      <c r="A76" s="16" t="str">
        <f>IFERROR(__xludf.DUMMYFUNCTION("IFERROR(SPARKLINE(SORT(MAP(TRANSPOSE(AQ76:BL76), LAMBDA(val, IF(ISNUMBER(val), PERCENTRANK(AQ76:BL76, val)+0.01, 0))), SEQUENCE(COLUMNS(AQ76:BL76)), FALSE), {""charttype"",""column""; ""color"",""chartreuse""; ""ymin"", 0; ""ymax"", 1.01; ""highcolor"", "&amp;"""darkgreen""; ""lowcolor"", ""red""}), """")"),"")</f>
        <v/>
      </c>
      <c r="B76" s="17" t="str">
        <f t="shared" si="4"/>
        <v/>
      </c>
      <c r="C76" s="1" t="s">
        <v>2838</v>
      </c>
      <c r="D76" s="30" t="str">
        <f>IFERROR(__xludf.DUMMYFUNCTION("IFERROR(GOOGLEFINANCE(C76, ""NAME""))"),"Suncor Energy Inc (Canada)")</f>
        <v>Suncor Energy Inc (Canada)</v>
      </c>
      <c r="E76" s="30" t="s">
        <v>2631</v>
      </c>
      <c r="F76" s="33" t="str">
        <f>IFERROR(__xludf.DUMMYFUNCTION("( (GOOGLEFINANCE(C76, ""price"") - Q76) / Q76 ) / (R76 / 100)"),"Loading...")</f>
        <v>Loading...</v>
      </c>
      <c r="G76" s="20" t="str">
        <f>IFERROR(__xludf.DUMMYFUNCTION("AVERAGE(ARRAYFORMULA(100 * (QUERY(GOOGLEFINANCE(C76, ""high"", TODAY()-40, TODAY()), ""SELECT Col2 WHERE Col2 IS NOT NULL ORDER BY Col1 DESC LIMIT 20"", 0) / QUERY(GOOGLEFINANCE(C76, ""low"", TODAY()-40, TODAY()), ""SELECT Col2 WHERE Col2 IS NOT NULL ORDE"&amp;"R BY Col1 DESC LIMIT 20"", 0) - 1)))"),"#N/A")</f>
        <v>#N/A</v>
      </c>
      <c r="H76" s="35" t="str">
        <f t="shared" si="6"/>
        <v>Liquid</v>
      </c>
      <c r="I76" s="35" t="str">
        <f t="shared" si="7"/>
        <v>RVol Required</v>
      </c>
      <c r="J76" s="37">
        <f>IFERROR(__xludf.DUMMYFUNCTION("IFERROR(
  IF(C76="""",, 
    IFERROR(
      GOOGLEFINANCE(C76, ""price"") * GOOGLEFINANCE(C76, ""volumeavg""), 
      GOOGLEFINANCE(C76, ""price"") * AVERAGE(QUERY(GOOGLEFINANCE(C76, ""volume"", TODAY()-40, TODAY()), ""SELECT Col2 WHERE Col2 IS NOT NULL "&amp;"ORDER BY Col1 DESC LIMIT 20"", 0))
    )
  ), 
"""")"),3.3172615875E8)</f>
        <v>331726158.8</v>
      </c>
      <c r="K76" s="21">
        <f>IFERROR(__xludf.DUMMYFUNCTION("IFERROR(GOOGLEFINANCE(C76, ""changepct"") / 100, """")"),0.0319)</f>
        <v>0.0319</v>
      </c>
      <c r="L76" s="21" t="str">
        <f>IFERROR(__xludf.DUMMYFUNCTION("IFERROR((GOOGLEFINANCE(C76, ""price"") / INDEX(GOOGLEFINANCE(C76, ""price"", TODAY()-7, TODAY()), 2, 2)) - 1, """")"),"")</f>
        <v/>
      </c>
      <c r="M76" s="21" t="str">
        <f>IFERROR(__xludf.DUMMYFUNCTION("IFERROR((GOOGLEFINANCE(C76, ""price"") / INDEX(GOOGLEFINANCE(C76, ""price"", EDATE(TODAY(), -1), TODAY()), 2, 2)) - 1, """")"),"")</f>
        <v/>
      </c>
      <c r="N76" s="21" t="str">
        <f>IFERROR(__xludf.DUMMYFUNCTION("IFERROR((GOOGLEFINANCE(C76, ""price"") / INDEX(GOOGLEFINANCE(C76, ""price"", EDATE(TODAY(), -3), TODAY()), 2, 2)) - 1, """")"),"")</f>
        <v/>
      </c>
      <c r="O76" s="21" t="str">
        <f>IFERROR(__xludf.DUMMYFUNCTION("IFERROR((GOOGLEFINANCE(C76, ""price"") / INDEX(GOOGLEFINANCE(C76, ""price"", EDATE(TODAY(), -6), TODAY()), 2, 2)) - 1, """")"),"")</f>
        <v/>
      </c>
      <c r="P76" s="21" t="str">
        <f>IFERROR(__xludf.DUMMYFUNCTION("IFERROR((GOOGLEFINANCE(C76, ""price"") / INDEX(GOOGLEFINANCE(C76, ""price"", EDATE(TODAY(), -12), TODAY()), 2, 2)) - 1, """")"),"")</f>
        <v/>
      </c>
      <c r="Q76" s="6" t="str">
        <f>IFERROR(__xludf.DUMMYFUNCTION("AVERAGE(QUERY(GOOGLEFINANCE(C76, ""price"", TODAY()-80, TODAY()), ""SELECT Col2 WHERE Col2 IS NOT NULL ORDER BY Col1 DESC LIMIT 50"", 0))"),"#N/A")</f>
        <v>#N/A</v>
      </c>
      <c r="R76" s="24" t="str">
        <f>IFERROR(__xludf.DUMMYFUNCTION("IFERROR(
  LET(
    data, QUERY(GOOGLEFINANCE(C76,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GOOGLEFINANCE(C76, ""price"")) * 100,
    IF(calc=0, G76, calc)
  ), 
G76)"),"#N/A")</f>
        <v>#N/A</v>
      </c>
      <c r="S76" s="8" t="s">
        <v>15</v>
      </c>
      <c r="T76" s="26" t="str">
        <f>IFERROR(__xludf.DUMMYFUNCTION("IFERROR(TRANSPOSE(QUERY(IFERROR(SORT(GOOGLEFINANCE(C76, ""price"", WORKDAY(TODAY(), -40), TODAY()), 1, FALSE)), ""select Col2 where Col2 is not null limit 22 label Col2 ''"", 0)), """")"),"")</f>
        <v/>
      </c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8"/>
      <c r="AO76" s="28"/>
      <c r="AP76" s="29"/>
      <c r="AQ76" s="29" t="str">
        <f t="shared" ref="AQ76:BL76" si="79">T76/T$2</f>
        <v>#N/A</v>
      </c>
      <c r="AR76" s="29" t="str">
        <f t="shared" si="79"/>
        <v>#DIV/0!</v>
      </c>
      <c r="AS76" s="29" t="str">
        <f t="shared" si="79"/>
        <v>#DIV/0!</v>
      </c>
      <c r="AT76" s="29" t="str">
        <f t="shared" si="79"/>
        <v>#DIV/0!</v>
      </c>
      <c r="AU76" s="29" t="str">
        <f t="shared" si="79"/>
        <v>#DIV/0!</v>
      </c>
      <c r="AV76" s="29" t="str">
        <f t="shared" si="79"/>
        <v>#DIV/0!</v>
      </c>
      <c r="AW76" s="29" t="str">
        <f t="shared" si="79"/>
        <v>#DIV/0!</v>
      </c>
      <c r="AX76" s="29" t="str">
        <f t="shared" si="79"/>
        <v>#DIV/0!</v>
      </c>
      <c r="AY76" s="29" t="str">
        <f t="shared" si="79"/>
        <v>#DIV/0!</v>
      </c>
      <c r="AZ76" s="29" t="str">
        <f t="shared" si="79"/>
        <v>#DIV/0!</v>
      </c>
      <c r="BA76" s="29" t="str">
        <f t="shared" si="79"/>
        <v>#DIV/0!</v>
      </c>
      <c r="BB76" s="29" t="str">
        <f t="shared" si="79"/>
        <v>#DIV/0!</v>
      </c>
      <c r="BC76" s="29" t="str">
        <f t="shared" si="79"/>
        <v>#DIV/0!</v>
      </c>
      <c r="BD76" s="29" t="str">
        <f t="shared" si="79"/>
        <v>#DIV/0!</v>
      </c>
      <c r="BE76" s="29" t="str">
        <f t="shared" si="79"/>
        <v>#DIV/0!</v>
      </c>
      <c r="BF76" s="29" t="str">
        <f t="shared" si="79"/>
        <v>#DIV/0!</v>
      </c>
      <c r="BG76" s="29" t="str">
        <f t="shared" si="79"/>
        <v>#DIV/0!</v>
      </c>
      <c r="BH76" s="29" t="str">
        <f t="shared" si="79"/>
        <v>#DIV/0!</v>
      </c>
      <c r="BI76" s="29" t="str">
        <f t="shared" si="79"/>
        <v>#DIV/0!</v>
      </c>
      <c r="BJ76" s="29" t="str">
        <f t="shared" si="79"/>
        <v>#DIV/0!</v>
      </c>
      <c r="BK76" s="29" t="str">
        <f t="shared" si="79"/>
        <v>#DIV/0!</v>
      </c>
      <c r="BL76" s="29" t="str">
        <f t="shared" si="79"/>
        <v>#DIV/0!</v>
      </c>
      <c r="BM76" s="29" t="str">
        <f t="shared" si="3"/>
        <v>#DIV/0!</v>
      </c>
    </row>
    <row r="77">
      <c r="A77" s="16" t="str">
        <f>IFERROR(__xludf.DUMMYFUNCTION("IFERROR(SPARKLINE(SORT(MAP(TRANSPOSE(AQ77:BL77), LAMBDA(val, IF(ISNUMBER(val), PERCENTRANK(AQ77:BL77, val)+0.01, 0))), SEQUENCE(COLUMNS(AQ77:BL77)), FALSE), {""charttype"",""column""; ""color"",""chartreuse""; ""ymin"", 0; ""ymax"", 1.01; ""highcolor"", "&amp;"""darkgreen""; ""lowcolor"", ""red""}), """")"),"")</f>
        <v/>
      </c>
      <c r="B77" s="17" t="str">
        <f t="shared" si="4"/>
        <v/>
      </c>
      <c r="C77" s="1" t="s">
        <v>2845</v>
      </c>
      <c r="D77" s="30" t="str">
        <f>IFERROR(__xludf.DUMMYFUNCTION("IFERROR(GOOGLEFINANCE(C77, ""NAME""))"),"Transocean LTD")</f>
        <v>Transocean LTD</v>
      </c>
      <c r="E77" s="30" t="s">
        <v>2658</v>
      </c>
      <c r="F77" s="33" t="str">
        <f>IFERROR(__xludf.DUMMYFUNCTION("( (GOOGLEFINANCE(C77, ""price"") - Q77) / Q77 ) / (R77 / 100)"),"Loading...")</f>
        <v>Loading...</v>
      </c>
      <c r="G77" s="20" t="str">
        <f>IFERROR(__xludf.DUMMYFUNCTION("AVERAGE(ARRAYFORMULA(100 * (QUERY(GOOGLEFINANCE(C77, ""high"", TODAY()-40, TODAY()), ""SELECT Col2 WHERE Col2 IS NOT NULL ORDER BY Col1 DESC LIMIT 20"", 0) / QUERY(GOOGLEFINANCE(C77, ""low"", TODAY()-40, TODAY()), ""SELECT Col2 WHERE Col2 IS NOT NULL ORDE"&amp;"R BY Col1 DESC LIMIT 20"", 0) - 1)))"),"#N/A")</f>
        <v>#N/A</v>
      </c>
      <c r="H77" s="35" t="str">
        <f t="shared" si="6"/>
        <v>Liquid</v>
      </c>
      <c r="I77" s="35" t="str">
        <f t="shared" si="7"/>
        <v>RVol Required</v>
      </c>
      <c r="J77" s="37">
        <f>IFERROR(__xludf.DUMMYFUNCTION("IFERROR(
  IF(C77="""",, 
    IFERROR(
      GOOGLEFINANCE(C77, ""price"") * GOOGLEFINANCE(C77, ""volumeavg""), 
      GOOGLEFINANCE(C77, ""price"") * AVERAGE(QUERY(GOOGLEFINANCE(C77, ""volume"", TODAY()-40, TODAY()), ""SELECT Col2 WHERE Col2 IS NOT NULL "&amp;"ORDER BY Col1 DESC LIMIT 20"", 0))
    )
  ), 
"""")"),2.335922371E8)</f>
        <v>233592237.1</v>
      </c>
      <c r="K77" s="21">
        <f>IFERROR(__xludf.DUMMYFUNCTION("IFERROR(GOOGLEFINANCE(C77, ""changepct"") / 100, """")"),0.02)</f>
        <v>0.02</v>
      </c>
      <c r="L77" s="21" t="str">
        <f>IFERROR(__xludf.DUMMYFUNCTION("IFERROR((GOOGLEFINANCE(C77, ""price"") / INDEX(GOOGLEFINANCE(C77, ""price"", TODAY()-7, TODAY()), 2, 2)) - 1, """")"),"")</f>
        <v/>
      </c>
      <c r="M77" s="21" t="str">
        <f>IFERROR(__xludf.DUMMYFUNCTION("IFERROR((GOOGLEFINANCE(C77, ""price"") / INDEX(GOOGLEFINANCE(C77, ""price"", EDATE(TODAY(), -1), TODAY()), 2, 2)) - 1, """")"),"")</f>
        <v/>
      </c>
      <c r="N77" s="21" t="str">
        <f>IFERROR(__xludf.DUMMYFUNCTION("IFERROR((GOOGLEFINANCE(C77, ""price"") / INDEX(GOOGLEFINANCE(C77, ""price"", EDATE(TODAY(), -3), TODAY()), 2, 2)) - 1, """")"),"")</f>
        <v/>
      </c>
      <c r="O77" s="21" t="str">
        <f>IFERROR(__xludf.DUMMYFUNCTION("IFERROR((GOOGLEFINANCE(C77, ""price"") / INDEX(GOOGLEFINANCE(C77, ""price"", EDATE(TODAY(), -6), TODAY()), 2, 2)) - 1, """")"),"")</f>
        <v/>
      </c>
      <c r="P77" s="21" t="str">
        <f>IFERROR(__xludf.DUMMYFUNCTION("IFERROR((GOOGLEFINANCE(C77, ""price"") / INDEX(GOOGLEFINANCE(C77, ""price"", EDATE(TODAY(), -12), TODAY()), 2, 2)) - 1, """")"),"")</f>
        <v/>
      </c>
      <c r="Q77" s="6" t="str">
        <f>IFERROR(__xludf.DUMMYFUNCTION("AVERAGE(QUERY(GOOGLEFINANCE(C77, ""price"", TODAY()-80, TODAY()), ""SELECT Col2 WHERE Col2 IS NOT NULL ORDER BY Col1 DESC LIMIT 50"", 0))"),"#N/A")</f>
        <v>#N/A</v>
      </c>
      <c r="R77" s="24" t="str">
        <f>IFERROR(__xludf.DUMMYFUNCTION("IFERROR(
  LET(
    data, QUERY(GOOGLEFINANCE(C77,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GOOGLEFINANCE(C77, ""price"")) * 100,
    IF(calc=0, G77, calc)
  ), 
G77)"),"#N/A")</f>
        <v>#N/A</v>
      </c>
      <c r="S77" s="8" t="s">
        <v>15</v>
      </c>
      <c r="T77" s="26" t="str">
        <f>IFERROR(__xludf.DUMMYFUNCTION("IFERROR(TRANSPOSE(QUERY(IFERROR(SORT(GOOGLEFINANCE(C77, ""price"", WORKDAY(TODAY(), -40), TODAY()), 1, FALSE)), ""select Col2 where Col2 is not null limit 22 label Col2 ''"", 0)), """")"),"")</f>
        <v/>
      </c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8"/>
      <c r="AO77" s="28"/>
      <c r="AP77" s="29"/>
      <c r="AQ77" s="29" t="str">
        <f t="shared" ref="AQ77:BL77" si="80">T77/T$2</f>
        <v>#N/A</v>
      </c>
      <c r="AR77" s="29" t="str">
        <f t="shared" si="80"/>
        <v>#DIV/0!</v>
      </c>
      <c r="AS77" s="29" t="str">
        <f t="shared" si="80"/>
        <v>#DIV/0!</v>
      </c>
      <c r="AT77" s="29" t="str">
        <f t="shared" si="80"/>
        <v>#DIV/0!</v>
      </c>
      <c r="AU77" s="29" t="str">
        <f t="shared" si="80"/>
        <v>#DIV/0!</v>
      </c>
      <c r="AV77" s="29" t="str">
        <f t="shared" si="80"/>
        <v>#DIV/0!</v>
      </c>
      <c r="AW77" s="29" t="str">
        <f t="shared" si="80"/>
        <v>#DIV/0!</v>
      </c>
      <c r="AX77" s="29" t="str">
        <f t="shared" si="80"/>
        <v>#DIV/0!</v>
      </c>
      <c r="AY77" s="29" t="str">
        <f t="shared" si="80"/>
        <v>#DIV/0!</v>
      </c>
      <c r="AZ77" s="29" t="str">
        <f t="shared" si="80"/>
        <v>#DIV/0!</v>
      </c>
      <c r="BA77" s="29" t="str">
        <f t="shared" si="80"/>
        <v>#DIV/0!</v>
      </c>
      <c r="BB77" s="29" t="str">
        <f t="shared" si="80"/>
        <v>#DIV/0!</v>
      </c>
      <c r="BC77" s="29" t="str">
        <f t="shared" si="80"/>
        <v>#DIV/0!</v>
      </c>
      <c r="BD77" s="29" t="str">
        <f t="shared" si="80"/>
        <v>#DIV/0!</v>
      </c>
      <c r="BE77" s="29" t="str">
        <f t="shared" si="80"/>
        <v>#DIV/0!</v>
      </c>
      <c r="BF77" s="29" t="str">
        <f t="shared" si="80"/>
        <v>#DIV/0!</v>
      </c>
      <c r="BG77" s="29" t="str">
        <f t="shared" si="80"/>
        <v>#DIV/0!</v>
      </c>
      <c r="BH77" s="29" t="str">
        <f t="shared" si="80"/>
        <v>#DIV/0!</v>
      </c>
      <c r="BI77" s="29" t="str">
        <f t="shared" si="80"/>
        <v>#DIV/0!</v>
      </c>
      <c r="BJ77" s="29" t="str">
        <f t="shared" si="80"/>
        <v>#DIV/0!</v>
      </c>
      <c r="BK77" s="29" t="str">
        <f t="shared" si="80"/>
        <v>#DIV/0!</v>
      </c>
      <c r="BL77" s="29" t="str">
        <f t="shared" si="80"/>
        <v>#DIV/0!</v>
      </c>
      <c r="BM77" s="29" t="str">
        <f t="shared" si="3"/>
        <v>#DIV/0!</v>
      </c>
    </row>
    <row r="78">
      <c r="A78" s="16" t="str">
        <f>IFERROR(__xludf.DUMMYFUNCTION("IFERROR(SPARKLINE(SORT(MAP(TRANSPOSE(AQ78:BL78), LAMBDA(val, IF(ISNUMBER(val), PERCENTRANK(AQ78:BL78, val)+0.01, 0))), SEQUENCE(COLUMNS(AQ78:BL78)), FALSE), {""charttype"",""column""; ""color"",""chartreuse""; ""ymin"", 0; ""ymax"", 1.01; ""highcolor"", "&amp;"""darkgreen""; ""lowcolor"", ""red""}), """")"),"")</f>
        <v/>
      </c>
      <c r="B78" s="17" t="str">
        <f t="shared" si="4"/>
        <v/>
      </c>
      <c r="C78" s="1" t="s">
        <v>2849</v>
      </c>
      <c r="D78" s="30" t="str">
        <f>IFERROR(__xludf.DUMMYFUNCTION("IFERROR(GOOGLEFINANCE(C78, ""NAME""))"),"Propetro Holding Corp")</f>
        <v>Propetro Holding Corp</v>
      </c>
      <c r="E78" s="30" t="s">
        <v>2537</v>
      </c>
      <c r="F78" s="33" t="str">
        <f>IFERROR(__xludf.DUMMYFUNCTION("( (GOOGLEFINANCE(C78, ""price"") - Q78) / Q78 ) / (R78 / 100)"),"Loading...")</f>
        <v>Loading...</v>
      </c>
      <c r="G78" s="20" t="str">
        <f>IFERROR(__xludf.DUMMYFUNCTION("AVERAGE(ARRAYFORMULA(100 * (QUERY(GOOGLEFINANCE(C78, ""high"", TODAY()-40, TODAY()), ""SELECT Col2 WHERE Col2 IS NOT NULL ORDER BY Col1 DESC LIMIT 20"", 0) / QUERY(GOOGLEFINANCE(C78, ""low"", TODAY()-40, TODAY()), ""SELECT Col2 WHERE Col2 IS NOT NULL ORDE"&amp;"R BY Col1 DESC LIMIT 20"", 0) - 1)))"),"#N/A")</f>
        <v>#N/A</v>
      </c>
      <c r="H78" s="35" t="str">
        <f t="shared" si="6"/>
        <v>Illiquid</v>
      </c>
      <c r="I78" s="35" t="str">
        <f t="shared" si="7"/>
        <v>RVol Required</v>
      </c>
      <c r="J78" s="37">
        <f>IFERROR(__xludf.DUMMYFUNCTION("IFERROR(
  IF(C78="""",, 
    IFERROR(
      GOOGLEFINANCE(C78, ""price"") * GOOGLEFINANCE(C78, ""volumeavg""), 
      GOOGLEFINANCE(C78, ""price"") * AVERAGE(QUERY(GOOGLEFINANCE(C78, ""volume"", TODAY()-40, TODAY()), ""SELECT Col2 WHERE Col2 IS NOT NULL "&amp;"ORDER BY Col1 DESC LIMIT 20"", 0))
    )
  ), 
"""")"),3.082630467E7)</f>
        <v>30826304.67</v>
      </c>
      <c r="K78" s="21">
        <f>IFERROR(__xludf.DUMMYFUNCTION("IFERROR(GOOGLEFINANCE(C78, ""changepct"") / 100, """")"),-0.0264)</f>
        <v>-0.0264</v>
      </c>
      <c r="L78" s="21" t="str">
        <f>IFERROR(__xludf.DUMMYFUNCTION("IFERROR((GOOGLEFINANCE(C78, ""price"") / INDEX(GOOGLEFINANCE(C78, ""price"", TODAY()-7, TODAY()), 2, 2)) - 1, """")"),"")</f>
        <v/>
      </c>
      <c r="M78" s="21" t="str">
        <f>IFERROR(__xludf.DUMMYFUNCTION("IFERROR((GOOGLEFINANCE(C78, ""price"") / INDEX(GOOGLEFINANCE(C78, ""price"", EDATE(TODAY(), -1), TODAY()), 2, 2)) - 1, """")"),"")</f>
        <v/>
      </c>
      <c r="N78" s="21" t="str">
        <f>IFERROR(__xludf.DUMMYFUNCTION("IFERROR((GOOGLEFINANCE(C78, ""price"") / INDEX(GOOGLEFINANCE(C78, ""price"", EDATE(TODAY(), -3), TODAY()), 2, 2)) - 1, """")"),"")</f>
        <v/>
      </c>
      <c r="O78" s="21" t="str">
        <f>IFERROR(__xludf.DUMMYFUNCTION("IFERROR((GOOGLEFINANCE(C78, ""price"") / INDEX(GOOGLEFINANCE(C78, ""price"", EDATE(TODAY(), -6), TODAY()), 2, 2)) - 1, """")"),"")</f>
        <v/>
      </c>
      <c r="P78" s="21" t="str">
        <f>IFERROR(__xludf.DUMMYFUNCTION("IFERROR((GOOGLEFINANCE(C78, ""price"") / INDEX(GOOGLEFINANCE(C78, ""price"", EDATE(TODAY(), -12), TODAY()), 2, 2)) - 1, """")"),"")</f>
        <v/>
      </c>
      <c r="Q78" s="6" t="str">
        <f>IFERROR(__xludf.DUMMYFUNCTION("AVERAGE(QUERY(GOOGLEFINANCE(C78, ""price"", TODAY()-80, TODAY()), ""SELECT Col2 WHERE Col2 IS NOT NULL ORDER BY Col1 DESC LIMIT 50"", 0))"),"#N/A")</f>
        <v>#N/A</v>
      </c>
      <c r="R78" s="24" t="str">
        <f>IFERROR(__xludf.DUMMYFUNCTION("IFERROR(
  LET(
    data, QUERY(GOOGLEFINANCE(C78,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GOOGLEFINANCE(C78, ""price"")) * 100,
    IF(calc=0, G78, calc)
  ), 
G78)"),"#N/A")</f>
        <v>#N/A</v>
      </c>
      <c r="S78" s="8" t="s">
        <v>15</v>
      </c>
      <c r="T78" s="26" t="str">
        <f>IFERROR(__xludf.DUMMYFUNCTION("IFERROR(TRANSPOSE(QUERY(IFERROR(SORT(GOOGLEFINANCE(C78, ""price"", WORKDAY(TODAY(), -40), TODAY()), 1, FALSE)), ""select Col2 where Col2 is not null limit 22 label Col2 ''"", 0)), """")"),"")</f>
        <v/>
      </c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8"/>
      <c r="AO78" s="28"/>
      <c r="AP78" s="29"/>
      <c r="AQ78" s="29" t="str">
        <f t="shared" ref="AQ78:BL78" si="81">T78/T$2</f>
        <v>#N/A</v>
      </c>
      <c r="AR78" s="29" t="str">
        <f t="shared" si="81"/>
        <v>#DIV/0!</v>
      </c>
      <c r="AS78" s="29" t="str">
        <f t="shared" si="81"/>
        <v>#DIV/0!</v>
      </c>
      <c r="AT78" s="29" t="str">
        <f t="shared" si="81"/>
        <v>#DIV/0!</v>
      </c>
      <c r="AU78" s="29" t="str">
        <f t="shared" si="81"/>
        <v>#DIV/0!</v>
      </c>
      <c r="AV78" s="29" t="str">
        <f t="shared" si="81"/>
        <v>#DIV/0!</v>
      </c>
      <c r="AW78" s="29" t="str">
        <f t="shared" si="81"/>
        <v>#DIV/0!</v>
      </c>
      <c r="AX78" s="29" t="str">
        <f t="shared" si="81"/>
        <v>#DIV/0!</v>
      </c>
      <c r="AY78" s="29" t="str">
        <f t="shared" si="81"/>
        <v>#DIV/0!</v>
      </c>
      <c r="AZ78" s="29" t="str">
        <f t="shared" si="81"/>
        <v>#DIV/0!</v>
      </c>
      <c r="BA78" s="29" t="str">
        <f t="shared" si="81"/>
        <v>#DIV/0!</v>
      </c>
      <c r="BB78" s="29" t="str">
        <f t="shared" si="81"/>
        <v>#DIV/0!</v>
      </c>
      <c r="BC78" s="29" t="str">
        <f t="shared" si="81"/>
        <v>#DIV/0!</v>
      </c>
      <c r="BD78" s="29" t="str">
        <f t="shared" si="81"/>
        <v>#DIV/0!</v>
      </c>
      <c r="BE78" s="29" t="str">
        <f t="shared" si="81"/>
        <v>#DIV/0!</v>
      </c>
      <c r="BF78" s="29" t="str">
        <f t="shared" si="81"/>
        <v>#DIV/0!</v>
      </c>
      <c r="BG78" s="29" t="str">
        <f t="shared" si="81"/>
        <v>#DIV/0!</v>
      </c>
      <c r="BH78" s="29" t="str">
        <f t="shared" si="81"/>
        <v>#DIV/0!</v>
      </c>
      <c r="BI78" s="29" t="str">
        <f t="shared" si="81"/>
        <v>#DIV/0!</v>
      </c>
      <c r="BJ78" s="29" t="str">
        <f t="shared" si="81"/>
        <v>#DIV/0!</v>
      </c>
      <c r="BK78" s="29" t="str">
        <f t="shared" si="81"/>
        <v>#DIV/0!</v>
      </c>
      <c r="BL78" s="29" t="str">
        <f t="shared" si="81"/>
        <v>#DIV/0!</v>
      </c>
      <c r="BM78" s="29" t="str">
        <f t="shared" si="3"/>
        <v>#DIV/0!</v>
      </c>
    </row>
    <row r="79">
      <c r="A79" s="16" t="str">
        <f>IFERROR(__xludf.DUMMYFUNCTION("IFERROR(SPARKLINE(SORT(MAP(TRANSPOSE(AQ79:BL79), LAMBDA(val, IF(ISNUMBER(val), PERCENTRANK(AQ79:BL79, val)+0.01, 0))), SEQUENCE(COLUMNS(AQ79:BL79)), FALSE), {""charttype"",""column""; ""color"",""chartreuse""; ""ymin"", 0; ""ymax"", 1.01; ""highcolor"", "&amp;"""darkgreen""; ""lowcolor"", ""red""}), """")"),"")</f>
        <v/>
      </c>
      <c r="B79" s="17" t="str">
        <f t="shared" si="4"/>
        <v/>
      </c>
      <c r="C79" s="1" t="s">
        <v>2856</v>
      </c>
      <c r="D79" s="30" t="str">
        <f>IFERROR(__xludf.DUMMYFUNCTION("IFERROR(GOOGLEFINANCE(C79, ""NAME""))"),"Liberty Energy Inc")</f>
        <v>Liberty Energy Inc</v>
      </c>
      <c r="E79" s="30" t="s">
        <v>2537</v>
      </c>
      <c r="F79" s="33" t="str">
        <f>IFERROR(__xludf.DUMMYFUNCTION("( (GOOGLEFINANCE(C79, ""price"") - Q79) / Q79 ) / (R79 / 100)"),"Loading...")</f>
        <v>Loading...</v>
      </c>
      <c r="G79" s="20" t="str">
        <f>IFERROR(__xludf.DUMMYFUNCTION("AVERAGE(ARRAYFORMULA(100 * (QUERY(GOOGLEFINANCE(C79, ""high"", TODAY()-40, TODAY()), ""SELECT Col2 WHERE Col2 IS NOT NULL ORDER BY Col1 DESC LIMIT 20"", 0) / QUERY(GOOGLEFINANCE(C79, ""low"", TODAY()-40, TODAY()), ""SELECT Col2 WHERE Col2 IS NOT NULL ORDE"&amp;"R BY Col1 DESC LIMIT 20"", 0) - 1)))"),"#N/A")</f>
        <v>#N/A</v>
      </c>
      <c r="H79" s="35" t="str">
        <f t="shared" si="6"/>
        <v>Liquid</v>
      </c>
      <c r="I79" s="35" t="str">
        <f t="shared" si="7"/>
        <v>RVol Required</v>
      </c>
      <c r="J79" s="37">
        <f>IFERROR(__xludf.DUMMYFUNCTION("IFERROR(
  IF(C79="""",, 
    IFERROR(
      GOOGLEFINANCE(C79, ""price"") * GOOGLEFINANCE(C79, ""volumeavg""), 
      GOOGLEFINANCE(C79, ""price"") * AVERAGE(QUERY(GOOGLEFINANCE(C79, ""volume"", TODAY()-40, TODAY()), ""SELECT Col2 WHERE Col2 IS NOT NULL "&amp;"ORDER BY Col1 DESC LIMIT 20"", 0))
    )
  ), 
"""")"),6.3863652800000004E7)</f>
        <v>63863652.8</v>
      </c>
      <c r="K79" s="21">
        <f>IFERROR(__xludf.DUMMYFUNCTION("IFERROR(GOOGLEFINANCE(C79, ""changepct"") / 100, """")"),-0.006)</f>
        <v>-0.006</v>
      </c>
      <c r="L79" s="21" t="str">
        <f>IFERROR(__xludf.DUMMYFUNCTION("IFERROR((GOOGLEFINANCE(C79, ""price"") / INDEX(GOOGLEFINANCE(C79, ""price"", TODAY()-7, TODAY()), 2, 2)) - 1, """")"),"")</f>
        <v/>
      </c>
      <c r="M79" s="21" t="str">
        <f>IFERROR(__xludf.DUMMYFUNCTION("IFERROR((GOOGLEFINANCE(C79, ""price"") / INDEX(GOOGLEFINANCE(C79, ""price"", EDATE(TODAY(), -1), TODAY()), 2, 2)) - 1, """")"),"")</f>
        <v/>
      </c>
      <c r="N79" s="21" t="str">
        <f>IFERROR(__xludf.DUMMYFUNCTION("IFERROR((GOOGLEFINANCE(C79, ""price"") / INDEX(GOOGLEFINANCE(C79, ""price"", EDATE(TODAY(), -3), TODAY()), 2, 2)) - 1, """")"),"")</f>
        <v/>
      </c>
      <c r="O79" s="21" t="str">
        <f>IFERROR(__xludf.DUMMYFUNCTION("IFERROR((GOOGLEFINANCE(C79, ""price"") / INDEX(GOOGLEFINANCE(C79, ""price"", EDATE(TODAY(), -6), TODAY()), 2, 2)) - 1, """")"),"")</f>
        <v/>
      </c>
      <c r="P79" s="21" t="str">
        <f>IFERROR(__xludf.DUMMYFUNCTION("IFERROR((GOOGLEFINANCE(C79, ""price"") / INDEX(GOOGLEFINANCE(C79, ""price"", EDATE(TODAY(), -12), TODAY()), 2, 2)) - 1, """")"),"")</f>
        <v/>
      </c>
      <c r="Q79" s="6" t="str">
        <f>IFERROR(__xludf.DUMMYFUNCTION("AVERAGE(QUERY(GOOGLEFINANCE(C79, ""price"", TODAY()-80, TODAY()), ""SELECT Col2 WHERE Col2 IS NOT NULL ORDER BY Col1 DESC LIMIT 50"", 0))"),"#N/A")</f>
        <v>#N/A</v>
      </c>
      <c r="R79" s="24" t="str">
        <f>IFERROR(__xludf.DUMMYFUNCTION("IFERROR(
  LET(
    data, QUERY(GOOGLEFINANCE(C79,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GOOGLEFINANCE(C79, ""price"")) * 100,
    IF(calc=0, G79, calc)
  ), 
G79)"),"#N/A")</f>
        <v>#N/A</v>
      </c>
      <c r="S79" s="8" t="s">
        <v>15</v>
      </c>
      <c r="T79" s="26" t="str">
        <f>IFERROR(__xludf.DUMMYFUNCTION("IFERROR(TRANSPOSE(QUERY(IFERROR(SORT(GOOGLEFINANCE(C79, ""price"", WORKDAY(TODAY(), -40), TODAY()), 1, FALSE)), ""select Col2 where Col2 is not null limit 22 label Col2 ''"", 0)), """")"),"")</f>
        <v/>
      </c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8"/>
      <c r="AO79" s="28"/>
      <c r="AP79" s="29"/>
      <c r="AQ79" s="29" t="str">
        <f t="shared" ref="AQ79:BL79" si="82">T79/T$2</f>
        <v>#N/A</v>
      </c>
      <c r="AR79" s="29" t="str">
        <f t="shared" si="82"/>
        <v>#DIV/0!</v>
      </c>
      <c r="AS79" s="29" t="str">
        <f t="shared" si="82"/>
        <v>#DIV/0!</v>
      </c>
      <c r="AT79" s="29" t="str">
        <f t="shared" si="82"/>
        <v>#DIV/0!</v>
      </c>
      <c r="AU79" s="29" t="str">
        <f t="shared" si="82"/>
        <v>#DIV/0!</v>
      </c>
      <c r="AV79" s="29" t="str">
        <f t="shared" si="82"/>
        <v>#DIV/0!</v>
      </c>
      <c r="AW79" s="29" t="str">
        <f t="shared" si="82"/>
        <v>#DIV/0!</v>
      </c>
      <c r="AX79" s="29" t="str">
        <f t="shared" si="82"/>
        <v>#DIV/0!</v>
      </c>
      <c r="AY79" s="29" t="str">
        <f t="shared" si="82"/>
        <v>#DIV/0!</v>
      </c>
      <c r="AZ79" s="29" t="str">
        <f t="shared" si="82"/>
        <v>#DIV/0!</v>
      </c>
      <c r="BA79" s="29" t="str">
        <f t="shared" si="82"/>
        <v>#DIV/0!</v>
      </c>
      <c r="BB79" s="29" t="str">
        <f t="shared" si="82"/>
        <v>#DIV/0!</v>
      </c>
      <c r="BC79" s="29" t="str">
        <f t="shared" si="82"/>
        <v>#DIV/0!</v>
      </c>
      <c r="BD79" s="29" t="str">
        <f t="shared" si="82"/>
        <v>#DIV/0!</v>
      </c>
      <c r="BE79" s="29" t="str">
        <f t="shared" si="82"/>
        <v>#DIV/0!</v>
      </c>
      <c r="BF79" s="29" t="str">
        <f t="shared" si="82"/>
        <v>#DIV/0!</v>
      </c>
      <c r="BG79" s="29" t="str">
        <f t="shared" si="82"/>
        <v>#DIV/0!</v>
      </c>
      <c r="BH79" s="29" t="str">
        <f t="shared" si="82"/>
        <v>#DIV/0!</v>
      </c>
      <c r="BI79" s="29" t="str">
        <f t="shared" si="82"/>
        <v>#DIV/0!</v>
      </c>
      <c r="BJ79" s="29" t="str">
        <f t="shared" si="82"/>
        <v>#DIV/0!</v>
      </c>
      <c r="BK79" s="29" t="str">
        <f t="shared" si="82"/>
        <v>#DIV/0!</v>
      </c>
      <c r="BL79" s="29" t="str">
        <f t="shared" si="82"/>
        <v>#DIV/0!</v>
      </c>
      <c r="BM79" s="29" t="str">
        <f t="shared" si="3"/>
        <v>#DIV/0!</v>
      </c>
    </row>
    <row r="80" hidden="1">
      <c r="A80" s="16" t="str">
        <f>IFERROR(__xludf.DUMMYFUNCTION("IFERROR(SPARKLINE(SORT(MAP(TRANSPOSE(AQ80:BL80), LAMBDA(val, IF(ISNUMBER(val), PERCENTRANK(AQ80:BL80, val)+0.01, 0))), SEQUENCE(COLUMNS(AQ80:BL80)), FALSE), {""charttype"",""column""; ""color"",""chartreuse""; ""ymin"", 0; ""ymax"", 1.01; ""highcolor"", "&amp;"""darkgreen""; ""lowcolor"", ""red""}), """")"),"")</f>
        <v/>
      </c>
      <c r="B80" s="17" t="str">
        <f t="shared" si="4"/>
        <v/>
      </c>
      <c r="C80" s="1" t="s">
        <v>2860</v>
      </c>
      <c r="D80" s="30" t="str">
        <f>IFERROR(__xludf.DUMMYFUNCTION("IFERROR(GOOGLEFINANCE(C80, ""NAME""))"),"Global Partners LP")</f>
        <v>Global Partners LP</v>
      </c>
      <c r="E80" s="30" t="s">
        <v>2547</v>
      </c>
      <c r="F80" s="33" t="str">
        <f>IFERROR(__xludf.DUMMYFUNCTION("( (GOOGLEFINANCE(C80, ""price"") - Q80) / Q80 ) / (R80 / 100)"),"Loading...")</f>
        <v>Loading...</v>
      </c>
      <c r="G80" s="20" t="str">
        <f>IFERROR(__xludf.DUMMYFUNCTION("AVERAGE(ARRAYFORMULA(100 * (QUERY(GOOGLEFINANCE(C80, ""high"", TODAY()-40, TODAY()), ""SELECT Col2 WHERE Col2 IS NOT NULL ORDER BY Col1 DESC LIMIT 20"", 0) / QUERY(GOOGLEFINANCE(C80, ""low"", TODAY()-40, TODAY()), ""SELECT Col2 WHERE Col2 IS NOT NULL ORDE"&amp;"R BY Col1 DESC LIMIT 20"", 0) - 1)))"),"#N/A")</f>
        <v>#N/A</v>
      </c>
      <c r="H80" s="35" t="str">
        <f t="shared" si="6"/>
        <v>Illiquid</v>
      </c>
      <c r="I80" s="35" t="str">
        <f t="shared" si="7"/>
        <v>RVol Required</v>
      </c>
      <c r="J80" s="37">
        <f>IFERROR(__xludf.DUMMYFUNCTION("IFERROR(
  IF(C80="""",, 
    IFERROR(
      GOOGLEFINANCE(C80, ""price"") * GOOGLEFINANCE(C80, ""volumeavg""), 
      GOOGLEFINANCE(C80, ""price"") * AVERAGE(QUERY(GOOGLEFINANCE(C80, ""volume"", TODAY()-40, TODAY()), ""SELECT Col2 WHERE Col2 IS NOT NULL "&amp;"ORDER BY Col1 DESC LIMIT 20"", 0))
    )
  ), 
"""")"),3110851.8000000003)</f>
        <v>3110851.8</v>
      </c>
      <c r="K80" s="21">
        <f>IFERROR(__xludf.DUMMYFUNCTION("IFERROR(GOOGLEFINANCE(C80, ""changepct"") / 100, """")"),0.0128)</f>
        <v>0.0128</v>
      </c>
      <c r="L80" s="21" t="str">
        <f>IFERROR(__xludf.DUMMYFUNCTION("IFERROR((GOOGLEFINANCE(C80, ""price"") / INDEX(GOOGLEFINANCE(C80, ""price"", TODAY()-7, TODAY()), 2, 2)) - 1, """")"),"")</f>
        <v/>
      </c>
      <c r="M80" s="21" t="str">
        <f>IFERROR(__xludf.DUMMYFUNCTION("IFERROR((GOOGLEFINANCE(C80, ""price"") / INDEX(GOOGLEFINANCE(C80, ""price"", EDATE(TODAY(), -1), TODAY()), 2, 2)) - 1, """")"),"")</f>
        <v/>
      </c>
      <c r="N80" s="21" t="str">
        <f>IFERROR(__xludf.DUMMYFUNCTION("IFERROR((GOOGLEFINANCE(C80, ""price"") / INDEX(GOOGLEFINANCE(C80, ""price"", EDATE(TODAY(), -3), TODAY()), 2, 2)) - 1, """")"),"")</f>
        <v/>
      </c>
      <c r="O80" s="21" t="str">
        <f>IFERROR(__xludf.DUMMYFUNCTION("IFERROR((GOOGLEFINANCE(C80, ""price"") / INDEX(GOOGLEFINANCE(C80, ""price"", EDATE(TODAY(), -6), TODAY()), 2, 2)) - 1, """")"),"")</f>
        <v/>
      </c>
      <c r="P80" s="21" t="str">
        <f>IFERROR(__xludf.DUMMYFUNCTION("IFERROR((GOOGLEFINANCE(C80, ""price"") / INDEX(GOOGLEFINANCE(C80, ""price"", EDATE(TODAY(), -12), TODAY()), 2, 2)) - 1, """")"),"")</f>
        <v/>
      </c>
      <c r="Q80" s="6" t="str">
        <f>IFERROR(__xludf.DUMMYFUNCTION("AVERAGE(QUERY(GOOGLEFINANCE(C80, ""price"", TODAY()-80, TODAY()), ""SELECT Col2 WHERE Col2 IS NOT NULL ORDER BY Col1 DESC LIMIT 50"", 0))"),"#N/A")</f>
        <v>#N/A</v>
      </c>
      <c r="R80" s="24" t="str">
        <f>IFERROR(__xludf.DUMMYFUNCTION("IFERROR(
  LET(
    data, QUERY(GOOGLEFINANCE(C80,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GOOGLEFINANCE(C80, ""price"")) * 100,
    IF(calc=0, G80, calc)
  ), 
G80)"),"#N/A")</f>
        <v>#N/A</v>
      </c>
      <c r="S80" s="8" t="s">
        <v>15</v>
      </c>
      <c r="T80" s="26" t="str">
        <f>IFERROR(__xludf.DUMMYFUNCTION("IFERROR(TRANSPOSE(QUERY(IFERROR(SORT(GOOGLEFINANCE(C80, ""price"", WORKDAY(TODAY(), -40), TODAY()), 1, FALSE)), ""select Col2 where Col2 is not null limit 22 label Col2 ''"", 0)), """")"),"")</f>
        <v/>
      </c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8"/>
      <c r="AO80" s="28"/>
      <c r="AP80" s="29"/>
      <c r="AQ80" s="29" t="str">
        <f t="shared" ref="AQ80:BL80" si="83">T80/T$2</f>
        <v>#N/A</v>
      </c>
      <c r="AR80" s="29" t="str">
        <f t="shared" si="83"/>
        <v>#DIV/0!</v>
      </c>
      <c r="AS80" s="29" t="str">
        <f t="shared" si="83"/>
        <v>#DIV/0!</v>
      </c>
      <c r="AT80" s="29" t="str">
        <f t="shared" si="83"/>
        <v>#DIV/0!</v>
      </c>
      <c r="AU80" s="29" t="str">
        <f t="shared" si="83"/>
        <v>#DIV/0!</v>
      </c>
      <c r="AV80" s="29" t="str">
        <f t="shared" si="83"/>
        <v>#DIV/0!</v>
      </c>
      <c r="AW80" s="29" t="str">
        <f t="shared" si="83"/>
        <v>#DIV/0!</v>
      </c>
      <c r="AX80" s="29" t="str">
        <f t="shared" si="83"/>
        <v>#DIV/0!</v>
      </c>
      <c r="AY80" s="29" t="str">
        <f t="shared" si="83"/>
        <v>#DIV/0!</v>
      </c>
      <c r="AZ80" s="29" t="str">
        <f t="shared" si="83"/>
        <v>#DIV/0!</v>
      </c>
      <c r="BA80" s="29" t="str">
        <f t="shared" si="83"/>
        <v>#DIV/0!</v>
      </c>
      <c r="BB80" s="29" t="str">
        <f t="shared" si="83"/>
        <v>#DIV/0!</v>
      </c>
      <c r="BC80" s="29" t="str">
        <f t="shared" si="83"/>
        <v>#DIV/0!</v>
      </c>
      <c r="BD80" s="29" t="str">
        <f t="shared" si="83"/>
        <v>#DIV/0!</v>
      </c>
      <c r="BE80" s="29" t="str">
        <f t="shared" si="83"/>
        <v>#DIV/0!</v>
      </c>
      <c r="BF80" s="29" t="str">
        <f t="shared" si="83"/>
        <v>#DIV/0!</v>
      </c>
      <c r="BG80" s="29" t="str">
        <f t="shared" si="83"/>
        <v>#DIV/0!</v>
      </c>
      <c r="BH80" s="29" t="str">
        <f t="shared" si="83"/>
        <v>#DIV/0!</v>
      </c>
      <c r="BI80" s="29" t="str">
        <f t="shared" si="83"/>
        <v>#DIV/0!</v>
      </c>
      <c r="BJ80" s="29" t="str">
        <f t="shared" si="83"/>
        <v>#DIV/0!</v>
      </c>
      <c r="BK80" s="29" t="str">
        <f t="shared" si="83"/>
        <v>#DIV/0!</v>
      </c>
      <c r="BL80" s="29" t="str">
        <f t="shared" si="83"/>
        <v>#DIV/0!</v>
      </c>
      <c r="BM80" s="29" t="str">
        <f t="shared" si="3"/>
        <v>#DIV/0!</v>
      </c>
    </row>
    <row r="81">
      <c r="A81" s="16" t="str">
        <f>IFERROR(__xludf.DUMMYFUNCTION("IFERROR(SPARKLINE(SORT(MAP(TRANSPOSE(AQ81:BL81), LAMBDA(val, IF(ISNUMBER(val), PERCENTRANK(AQ81:BL81, val)+0.01, 0))), SEQUENCE(COLUMNS(AQ81:BL81)), FALSE), {""charttype"",""column""; ""color"",""chartreuse""; ""ymin"", 0; ""ymax"", 1.01; ""highcolor"", "&amp;"""darkgreen""; ""lowcolor"", ""red""}), """")"),"")</f>
        <v/>
      </c>
      <c r="B81" s="17" t="str">
        <f t="shared" si="4"/>
        <v/>
      </c>
      <c r="C81" s="1" t="s">
        <v>2864</v>
      </c>
      <c r="D81" s="30" t="str">
        <f>IFERROR(__xludf.DUMMYFUNCTION("IFERROR(GOOGLEFINANCE(C81, ""NAME""))"),"Valero Energy Corp")</f>
        <v>Valero Energy Corp</v>
      </c>
      <c r="E81" s="30" t="s">
        <v>2649</v>
      </c>
      <c r="F81" s="33" t="str">
        <f>IFERROR(__xludf.DUMMYFUNCTION("( (GOOGLEFINANCE(C81, ""price"") - Q81) / Q81 ) / (R81 / 100)"),"Loading...")</f>
        <v>Loading...</v>
      </c>
      <c r="G81" s="20" t="str">
        <f>IFERROR(__xludf.DUMMYFUNCTION("AVERAGE(ARRAYFORMULA(100 * (QUERY(GOOGLEFINANCE(C81, ""high"", TODAY()-40, TODAY()), ""SELECT Col2 WHERE Col2 IS NOT NULL ORDER BY Col1 DESC LIMIT 20"", 0) / QUERY(GOOGLEFINANCE(C81, ""low"", TODAY()-40, TODAY()), ""SELECT Col2 WHERE Col2 IS NOT NULL ORDE"&amp;"R BY Col1 DESC LIMIT 20"", 0) - 1)))"),"#N/A")</f>
        <v>#N/A</v>
      </c>
      <c r="H81" s="35" t="str">
        <f t="shared" si="6"/>
        <v>Liquid</v>
      </c>
      <c r="I81" s="35" t="str">
        <f t="shared" si="7"/>
        <v>No RVol Required</v>
      </c>
      <c r="J81" s="37">
        <f>IFERROR(__xludf.DUMMYFUNCTION("IFERROR(
  IF(C81="""",, 
    IFERROR(
      GOOGLEFINANCE(C81, ""price"") * GOOGLEFINANCE(C81, ""volumeavg""), 
      GOOGLEFINANCE(C81, ""price"") * AVERAGE(QUERY(GOOGLEFINANCE(C81, ""volume"", TODAY()-40, TODAY()), ""SELECT Col2 WHERE Col2 IS NOT NULL "&amp;"ORDER BY Col1 DESC LIMIT 20"", 0))
    )
  ), 
"""")"),1.5295031101699998E9)</f>
        <v>1529503110</v>
      </c>
      <c r="K81" s="21">
        <f>IFERROR(__xludf.DUMMYFUNCTION("IFERROR(GOOGLEFINANCE(C81, ""changepct"") / 100, """")"),0.0015)</f>
        <v>0.0015</v>
      </c>
      <c r="L81" s="21" t="str">
        <f>IFERROR(__xludf.DUMMYFUNCTION("IFERROR((GOOGLEFINANCE(C81, ""price"") / INDEX(GOOGLEFINANCE(C81, ""price"", TODAY()-7, TODAY()), 2, 2)) - 1, """")"),"")</f>
        <v/>
      </c>
      <c r="M81" s="21" t="str">
        <f>IFERROR(__xludf.DUMMYFUNCTION("IFERROR((GOOGLEFINANCE(C81, ""price"") / INDEX(GOOGLEFINANCE(C81, ""price"", EDATE(TODAY(), -1), TODAY()), 2, 2)) - 1, """")"),"")</f>
        <v/>
      </c>
      <c r="N81" s="21" t="str">
        <f>IFERROR(__xludf.DUMMYFUNCTION("IFERROR((GOOGLEFINANCE(C81, ""price"") / INDEX(GOOGLEFINANCE(C81, ""price"", EDATE(TODAY(), -3), TODAY()), 2, 2)) - 1, """")"),"")</f>
        <v/>
      </c>
      <c r="O81" s="21" t="str">
        <f>IFERROR(__xludf.DUMMYFUNCTION("IFERROR((GOOGLEFINANCE(C81, ""price"") / INDEX(GOOGLEFINANCE(C81, ""price"", EDATE(TODAY(), -6), TODAY()), 2, 2)) - 1, """")"),"")</f>
        <v/>
      </c>
      <c r="P81" s="21" t="str">
        <f>IFERROR(__xludf.DUMMYFUNCTION("IFERROR((GOOGLEFINANCE(C81, ""price"") / INDEX(GOOGLEFINANCE(C81, ""price"", EDATE(TODAY(), -12), TODAY()), 2, 2)) - 1, """")"),"")</f>
        <v/>
      </c>
      <c r="Q81" s="6" t="str">
        <f>IFERROR(__xludf.DUMMYFUNCTION("AVERAGE(QUERY(GOOGLEFINANCE(C81, ""price"", TODAY()-80, TODAY()), ""SELECT Col2 WHERE Col2 IS NOT NULL ORDER BY Col1 DESC LIMIT 50"", 0))"),"#N/A")</f>
        <v>#N/A</v>
      </c>
      <c r="R81" s="24" t="str">
        <f>IFERROR(__xludf.DUMMYFUNCTION("IFERROR(
  LET(
    data, QUERY(GOOGLEFINANCE(C81,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GOOGLEFINANCE(C81, ""price"")) * 100,
    IF(calc=0, G81, calc)
  ), 
G81)"),"#N/A")</f>
        <v>#N/A</v>
      </c>
      <c r="S81" s="8" t="s">
        <v>15</v>
      </c>
      <c r="T81" s="26" t="str">
        <f>IFERROR(__xludf.DUMMYFUNCTION("IFERROR(TRANSPOSE(QUERY(IFERROR(SORT(GOOGLEFINANCE(C81, ""price"", WORKDAY(TODAY(), -40), TODAY()), 1, FALSE)), ""select Col2 where Col2 is not null limit 22 label Col2 ''"", 0)), """")"),"")</f>
        <v/>
      </c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8"/>
      <c r="AO81" s="28"/>
      <c r="AP81" s="29"/>
      <c r="AQ81" s="29" t="str">
        <f t="shared" ref="AQ81:BL81" si="84">T81/T$2</f>
        <v>#N/A</v>
      </c>
      <c r="AR81" s="29" t="str">
        <f t="shared" si="84"/>
        <v>#DIV/0!</v>
      </c>
      <c r="AS81" s="29" t="str">
        <f t="shared" si="84"/>
        <v>#DIV/0!</v>
      </c>
      <c r="AT81" s="29" t="str">
        <f t="shared" si="84"/>
        <v>#DIV/0!</v>
      </c>
      <c r="AU81" s="29" t="str">
        <f t="shared" si="84"/>
        <v>#DIV/0!</v>
      </c>
      <c r="AV81" s="29" t="str">
        <f t="shared" si="84"/>
        <v>#DIV/0!</v>
      </c>
      <c r="AW81" s="29" t="str">
        <f t="shared" si="84"/>
        <v>#DIV/0!</v>
      </c>
      <c r="AX81" s="29" t="str">
        <f t="shared" si="84"/>
        <v>#DIV/0!</v>
      </c>
      <c r="AY81" s="29" t="str">
        <f t="shared" si="84"/>
        <v>#DIV/0!</v>
      </c>
      <c r="AZ81" s="29" t="str">
        <f t="shared" si="84"/>
        <v>#DIV/0!</v>
      </c>
      <c r="BA81" s="29" t="str">
        <f t="shared" si="84"/>
        <v>#DIV/0!</v>
      </c>
      <c r="BB81" s="29" t="str">
        <f t="shared" si="84"/>
        <v>#DIV/0!</v>
      </c>
      <c r="BC81" s="29" t="str">
        <f t="shared" si="84"/>
        <v>#DIV/0!</v>
      </c>
      <c r="BD81" s="29" t="str">
        <f t="shared" si="84"/>
        <v>#DIV/0!</v>
      </c>
      <c r="BE81" s="29" t="str">
        <f t="shared" si="84"/>
        <v>#DIV/0!</v>
      </c>
      <c r="BF81" s="29" t="str">
        <f t="shared" si="84"/>
        <v>#DIV/0!</v>
      </c>
      <c r="BG81" s="29" t="str">
        <f t="shared" si="84"/>
        <v>#DIV/0!</v>
      </c>
      <c r="BH81" s="29" t="str">
        <f t="shared" si="84"/>
        <v>#DIV/0!</v>
      </c>
      <c r="BI81" s="29" t="str">
        <f t="shared" si="84"/>
        <v>#DIV/0!</v>
      </c>
      <c r="BJ81" s="29" t="str">
        <f t="shared" si="84"/>
        <v>#DIV/0!</v>
      </c>
      <c r="BK81" s="29" t="str">
        <f t="shared" si="84"/>
        <v>#DIV/0!</v>
      </c>
      <c r="BL81" s="29" t="str">
        <f t="shared" si="84"/>
        <v>#DIV/0!</v>
      </c>
      <c r="BM81" s="29" t="str">
        <f t="shared" si="3"/>
        <v>#DIV/0!</v>
      </c>
    </row>
    <row r="82" hidden="1">
      <c r="A82" s="16" t="str">
        <f>IFERROR(__xludf.DUMMYFUNCTION("IFERROR(SPARKLINE(SORT(MAP(TRANSPOSE(AQ82:BL82), LAMBDA(val, IF(ISNUMBER(val), PERCENTRANK(AQ82:BL82, val)+0.01, 0))), SEQUENCE(COLUMNS(AQ82:BL82)), FALSE), {""charttype"",""column""; ""color"",""chartreuse""; ""ymin"", 0; ""ymax"", 1.01; ""highcolor"", "&amp;"""darkgreen""; ""lowcolor"", ""red""}), """")"),"")</f>
        <v/>
      </c>
      <c r="B82" s="17" t="str">
        <f t="shared" si="4"/>
        <v/>
      </c>
      <c r="C82" s="1" t="s">
        <v>2868</v>
      </c>
      <c r="D82" s="30" t="str">
        <f>IFERROR(__xludf.DUMMYFUNCTION("IFERROR(GOOGLEFINANCE(C82, ""NAME""))"),"Teekay Tankers Ltd")</f>
        <v>Teekay Tankers Ltd</v>
      </c>
      <c r="E82" s="30" t="s">
        <v>2547</v>
      </c>
      <c r="F82" s="33" t="str">
        <f>IFERROR(__xludf.DUMMYFUNCTION("( (GOOGLEFINANCE(C82, ""price"") - Q82) / Q82 ) / (R82 / 100)"),"Loading...")</f>
        <v>Loading...</v>
      </c>
      <c r="G82" s="20" t="str">
        <f>IFERROR(__xludf.DUMMYFUNCTION("AVERAGE(ARRAYFORMULA(100 * (QUERY(GOOGLEFINANCE(C82, ""high"", TODAY()-40, TODAY()), ""SELECT Col2 WHERE Col2 IS NOT NULL ORDER BY Col1 DESC LIMIT 20"", 0) / QUERY(GOOGLEFINANCE(C82, ""low"", TODAY()-40, TODAY()), ""SELECT Col2 WHERE Col2 IS NOT NULL ORDE"&amp;"R BY Col1 DESC LIMIT 20"", 0) - 1)))"),"#N/A")</f>
        <v>#N/A</v>
      </c>
      <c r="H82" s="35" t="str">
        <f t="shared" si="6"/>
        <v>Illiquid</v>
      </c>
      <c r="I82" s="35" t="str">
        <f t="shared" si="7"/>
        <v>RVol Required</v>
      </c>
      <c r="J82" s="37">
        <f>IFERROR(__xludf.DUMMYFUNCTION("IFERROR(
  IF(C82="""",, 
    IFERROR(
      GOOGLEFINANCE(C82, ""price"") * GOOGLEFINANCE(C82, ""volumeavg""), 
      GOOGLEFINANCE(C82, ""price"") * AVERAGE(QUERY(GOOGLEFINANCE(C82, ""volume"", TODAY()-40, TODAY()), ""SELECT Col2 WHERE Col2 IS NOT NULL "&amp;"ORDER BY Col1 DESC LIMIT 20"", 0))
    )
  ), 
"""")"),4.9432031919999994E7)</f>
        <v>49432031.92</v>
      </c>
      <c r="K82" s="21">
        <f>IFERROR(__xludf.DUMMYFUNCTION("IFERROR(GOOGLEFINANCE(C82, ""changepct"") / 100, """")"),-0.0022)</f>
        <v>-0.0022</v>
      </c>
      <c r="L82" s="21" t="str">
        <f>IFERROR(__xludf.DUMMYFUNCTION("IFERROR((GOOGLEFINANCE(C82, ""price"") / INDEX(GOOGLEFINANCE(C82, ""price"", TODAY()-7, TODAY()), 2, 2)) - 1, """")"),"")</f>
        <v/>
      </c>
      <c r="M82" s="21" t="str">
        <f>IFERROR(__xludf.DUMMYFUNCTION("IFERROR((GOOGLEFINANCE(C82, ""price"") / INDEX(GOOGLEFINANCE(C82, ""price"", EDATE(TODAY(), -1), TODAY()), 2, 2)) - 1, """")"),"")</f>
        <v/>
      </c>
      <c r="N82" s="21" t="str">
        <f>IFERROR(__xludf.DUMMYFUNCTION("IFERROR((GOOGLEFINANCE(C82, ""price"") / INDEX(GOOGLEFINANCE(C82, ""price"", EDATE(TODAY(), -3), TODAY()), 2, 2)) - 1, """")"),"")</f>
        <v/>
      </c>
      <c r="O82" s="21" t="str">
        <f>IFERROR(__xludf.DUMMYFUNCTION("IFERROR((GOOGLEFINANCE(C82, ""price"") / INDEX(GOOGLEFINANCE(C82, ""price"", EDATE(TODAY(), -6), TODAY()), 2, 2)) - 1, """")"),"")</f>
        <v/>
      </c>
      <c r="P82" s="21" t="str">
        <f>IFERROR(__xludf.DUMMYFUNCTION("IFERROR((GOOGLEFINANCE(C82, ""price"") / INDEX(GOOGLEFINANCE(C82, ""price"", EDATE(TODAY(), -12), TODAY()), 2, 2)) - 1, """")"),"")</f>
        <v/>
      </c>
      <c r="Q82" s="6" t="str">
        <f>IFERROR(__xludf.DUMMYFUNCTION("AVERAGE(QUERY(GOOGLEFINANCE(C82, ""price"", TODAY()-80, TODAY()), ""SELECT Col2 WHERE Col2 IS NOT NULL ORDER BY Col1 DESC LIMIT 50"", 0))"),"#N/A")</f>
        <v>#N/A</v>
      </c>
      <c r="R82" s="24" t="str">
        <f>IFERROR(__xludf.DUMMYFUNCTION("IFERROR(
  LET(
    data, QUERY(GOOGLEFINANCE(C82,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GOOGLEFINANCE(C82, ""price"")) * 100,
    IF(calc=0, G82, calc)
  ), 
G82)"),"#N/A")</f>
        <v>#N/A</v>
      </c>
      <c r="S82" s="8" t="s">
        <v>15</v>
      </c>
      <c r="T82" s="26" t="str">
        <f>IFERROR(__xludf.DUMMYFUNCTION("IFERROR(TRANSPOSE(QUERY(IFERROR(SORT(GOOGLEFINANCE(C82, ""price"", WORKDAY(TODAY(), -40), TODAY()), 1, FALSE)), ""select Col2 where Col2 is not null limit 22 label Col2 ''"", 0)), """")"),"")</f>
        <v/>
      </c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8"/>
      <c r="AO82" s="28"/>
      <c r="AP82" s="29"/>
      <c r="AQ82" s="29" t="str">
        <f t="shared" ref="AQ82:BL82" si="85">T82/T$2</f>
        <v>#N/A</v>
      </c>
      <c r="AR82" s="29" t="str">
        <f t="shared" si="85"/>
        <v>#DIV/0!</v>
      </c>
      <c r="AS82" s="29" t="str">
        <f t="shared" si="85"/>
        <v>#DIV/0!</v>
      </c>
      <c r="AT82" s="29" t="str">
        <f t="shared" si="85"/>
        <v>#DIV/0!</v>
      </c>
      <c r="AU82" s="29" t="str">
        <f t="shared" si="85"/>
        <v>#DIV/0!</v>
      </c>
      <c r="AV82" s="29" t="str">
        <f t="shared" si="85"/>
        <v>#DIV/0!</v>
      </c>
      <c r="AW82" s="29" t="str">
        <f t="shared" si="85"/>
        <v>#DIV/0!</v>
      </c>
      <c r="AX82" s="29" t="str">
        <f t="shared" si="85"/>
        <v>#DIV/0!</v>
      </c>
      <c r="AY82" s="29" t="str">
        <f t="shared" si="85"/>
        <v>#DIV/0!</v>
      </c>
      <c r="AZ82" s="29" t="str">
        <f t="shared" si="85"/>
        <v>#DIV/0!</v>
      </c>
      <c r="BA82" s="29" t="str">
        <f t="shared" si="85"/>
        <v>#DIV/0!</v>
      </c>
      <c r="BB82" s="29" t="str">
        <f t="shared" si="85"/>
        <v>#DIV/0!</v>
      </c>
      <c r="BC82" s="29" t="str">
        <f t="shared" si="85"/>
        <v>#DIV/0!</v>
      </c>
      <c r="BD82" s="29" t="str">
        <f t="shared" si="85"/>
        <v>#DIV/0!</v>
      </c>
      <c r="BE82" s="29" t="str">
        <f t="shared" si="85"/>
        <v>#DIV/0!</v>
      </c>
      <c r="BF82" s="29" t="str">
        <f t="shared" si="85"/>
        <v>#DIV/0!</v>
      </c>
      <c r="BG82" s="29" t="str">
        <f t="shared" si="85"/>
        <v>#DIV/0!</v>
      </c>
      <c r="BH82" s="29" t="str">
        <f t="shared" si="85"/>
        <v>#DIV/0!</v>
      </c>
      <c r="BI82" s="29" t="str">
        <f t="shared" si="85"/>
        <v>#DIV/0!</v>
      </c>
      <c r="BJ82" s="29" t="str">
        <f t="shared" si="85"/>
        <v>#DIV/0!</v>
      </c>
      <c r="BK82" s="29" t="str">
        <f t="shared" si="85"/>
        <v>#DIV/0!</v>
      </c>
      <c r="BL82" s="29" t="str">
        <f t="shared" si="85"/>
        <v>#DIV/0!</v>
      </c>
      <c r="BM82" s="29" t="str">
        <f t="shared" si="3"/>
        <v>#DIV/0!</v>
      </c>
    </row>
    <row r="83">
      <c r="A83" s="16" t="str">
        <f>IFERROR(__xludf.DUMMYFUNCTION("IFERROR(SPARKLINE(SORT(MAP(TRANSPOSE(AQ83:BL83), LAMBDA(val, IF(ISNUMBER(val), PERCENTRANK(AQ83:BL83, val)+0.01, 0))), SEQUENCE(COLUMNS(AQ83:BL83)), FALSE), {""charttype"",""column""; ""color"",""chartreuse""; ""ymin"", 0; ""ymax"", 1.01; ""highcolor"", "&amp;"""darkgreen""; ""lowcolor"", ""red""}), """")"),"")</f>
        <v/>
      </c>
      <c r="B83" s="17" t="str">
        <f t="shared" si="4"/>
        <v/>
      </c>
      <c r="C83" s="1" t="s">
        <v>2872</v>
      </c>
      <c r="D83" s="30" t="str">
        <f>IFERROR(__xludf.DUMMYFUNCTION("IFERROR(GOOGLEFINANCE(C83, ""NAME""))"),"Sable Offshore Corp")</f>
        <v>Sable Offshore Corp</v>
      </c>
      <c r="E83" s="30" t="s">
        <v>2658</v>
      </c>
      <c r="F83" s="33" t="str">
        <f>IFERROR(__xludf.DUMMYFUNCTION("( (GOOGLEFINANCE(C83, ""price"") - Q83) / Q83 ) / (R83 / 100)"),"Loading...")</f>
        <v>Loading...</v>
      </c>
      <c r="G83" s="20" t="str">
        <f>IFERROR(__xludf.DUMMYFUNCTION("AVERAGE(ARRAYFORMULA(100 * (QUERY(GOOGLEFINANCE(C83, ""high"", TODAY()-40, TODAY()), ""SELECT Col2 WHERE Col2 IS NOT NULL ORDER BY Col1 DESC LIMIT 20"", 0) / QUERY(GOOGLEFINANCE(C83, ""low"", TODAY()-40, TODAY()), ""SELECT Col2 WHERE Col2 IS NOT NULL ORDE"&amp;"R BY Col1 DESC LIMIT 20"", 0) - 1)))"),"#N/A")</f>
        <v>#N/A</v>
      </c>
      <c r="H83" s="35" t="str">
        <f t="shared" si="6"/>
        <v>Illiquid</v>
      </c>
      <c r="I83" s="35" t="str">
        <f t="shared" si="7"/>
        <v>RVol Required</v>
      </c>
      <c r="J83" s="37">
        <f>IFERROR(__xludf.DUMMYFUNCTION("IFERROR(
  IF(C83="""",, 
    IFERROR(
      GOOGLEFINANCE(C83, ""price"") * GOOGLEFINANCE(C83, ""volumeavg""), 
      GOOGLEFINANCE(C83, ""price"") * AVERAGE(QUERY(GOOGLEFINANCE(C83, ""volume"", TODAY()-40, TODAY()), ""SELECT Col2 WHERE Col2 IS NOT NULL "&amp;"ORDER BY Col1 DESC LIMIT 20"", 0))
    )
  ), 
"""")"),2.533859856E7)</f>
        <v>25338598.56</v>
      </c>
      <c r="K83" s="21">
        <f>IFERROR(__xludf.DUMMYFUNCTION("IFERROR(GOOGLEFINANCE(C83, ""changepct"") / 100, """")"),0.0)</f>
        <v>0</v>
      </c>
      <c r="L83" s="21" t="str">
        <f>IFERROR(__xludf.DUMMYFUNCTION("IFERROR((GOOGLEFINANCE(C83, ""price"") / INDEX(GOOGLEFINANCE(C83, ""price"", TODAY()-7, TODAY()), 2, 2)) - 1, """")"),"")</f>
        <v/>
      </c>
      <c r="M83" s="21" t="str">
        <f>IFERROR(__xludf.DUMMYFUNCTION("IFERROR((GOOGLEFINANCE(C83, ""price"") / INDEX(GOOGLEFINANCE(C83, ""price"", EDATE(TODAY(), -1), TODAY()), 2, 2)) - 1, """")"),"")</f>
        <v/>
      </c>
      <c r="N83" s="21" t="str">
        <f>IFERROR(__xludf.DUMMYFUNCTION("IFERROR((GOOGLEFINANCE(C83, ""price"") / INDEX(GOOGLEFINANCE(C83, ""price"", EDATE(TODAY(), -3), TODAY()), 2, 2)) - 1, """")"),"")</f>
        <v/>
      </c>
      <c r="O83" s="21" t="str">
        <f>IFERROR(__xludf.DUMMYFUNCTION("IFERROR((GOOGLEFINANCE(C83, ""price"") / INDEX(GOOGLEFINANCE(C83, ""price"", EDATE(TODAY(), -6), TODAY()), 2, 2)) - 1, """")"),"")</f>
        <v/>
      </c>
      <c r="P83" s="21" t="str">
        <f>IFERROR(__xludf.DUMMYFUNCTION("IFERROR((GOOGLEFINANCE(C83, ""price"") / INDEX(GOOGLEFINANCE(C83, ""price"", EDATE(TODAY(), -12), TODAY()), 2, 2)) - 1, """")"),"")</f>
        <v/>
      </c>
      <c r="Q83" s="6" t="str">
        <f>IFERROR(__xludf.DUMMYFUNCTION("AVERAGE(QUERY(GOOGLEFINANCE(C83, ""price"", TODAY()-80, TODAY()), ""SELECT Col2 WHERE Col2 IS NOT NULL ORDER BY Col1 DESC LIMIT 50"", 0))"),"#N/A")</f>
        <v>#N/A</v>
      </c>
      <c r="R83" s="24" t="str">
        <f>IFERROR(__xludf.DUMMYFUNCTION("IFERROR(
  LET(
    data, QUERY(GOOGLEFINANCE(C83,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GOOGLEFINANCE(C83, ""price"")) * 100,
    IF(calc=0, G83, calc)
  ), 
G83)"),"#N/A")</f>
        <v>#N/A</v>
      </c>
      <c r="S83" s="8" t="s">
        <v>15</v>
      </c>
      <c r="T83" s="26" t="str">
        <f>IFERROR(__xludf.DUMMYFUNCTION("IFERROR(TRANSPOSE(QUERY(IFERROR(SORT(GOOGLEFINANCE(C83, ""price"", WORKDAY(TODAY(), -40), TODAY()), 1, FALSE)), ""select Col2 where Col2 is not null limit 22 label Col2 ''"", 0)), """")"),"")</f>
        <v/>
      </c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8"/>
      <c r="AO83" s="28"/>
      <c r="AP83" s="29"/>
      <c r="AQ83" s="29" t="str">
        <f t="shared" ref="AQ83:BL83" si="86">T83/T$2</f>
        <v>#N/A</v>
      </c>
      <c r="AR83" s="29" t="str">
        <f t="shared" si="86"/>
        <v>#DIV/0!</v>
      </c>
      <c r="AS83" s="29" t="str">
        <f t="shared" si="86"/>
        <v>#DIV/0!</v>
      </c>
      <c r="AT83" s="29" t="str">
        <f t="shared" si="86"/>
        <v>#DIV/0!</v>
      </c>
      <c r="AU83" s="29" t="str">
        <f t="shared" si="86"/>
        <v>#DIV/0!</v>
      </c>
      <c r="AV83" s="29" t="str">
        <f t="shared" si="86"/>
        <v>#DIV/0!</v>
      </c>
      <c r="AW83" s="29" t="str">
        <f t="shared" si="86"/>
        <v>#DIV/0!</v>
      </c>
      <c r="AX83" s="29" t="str">
        <f t="shared" si="86"/>
        <v>#DIV/0!</v>
      </c>
      <c r="AY83" s="29" t="str">
        <f t="shared" si="86"/>
        <v>#DIV/0!</v>
      </c>
      <c r="AZ83" s="29" t="str">
        <f t="shared" si="86"/>
        <v>#DIV/0!</v>
      </c>
      <c r="BA83" s="29" t="str">
        <f t="shared" si="86"/>
        <v>#DIV/0!</v>
      </c>
      <c r="BB83" s="29" t="str">
        <f t="shared" si="86"/>
        <v>#DIV/0!</v>
      </c>
      <c r="BC83" s="29" t="str">
        <f t="shared" si="86"/>
        <v>#DIV/0!</v>
      </c>
      <c r="BD83" s="29" t="str">
        <f t="shared" si="86"/>
        <v>#DIV/0!</v>
      </c>
      <c r="BE83" s="29" t="str">
        <f t="shared" si="86"/>
        <v>#DIV/0!</v>
      </c>
      <c r="BF83" s="29" t="str">
        <f t="shared" si="86"/>
        <v>#DIV/0!</v>
      </c>
      <c r="BG83" s="29" t="str">
        <f t="shared" si="86"/>
        <v>#DIV/0!</v>
      </c>
      <c r="BH83" s="29" t="str">
        <f t="shared" si="86"/>
        <v>#DIV/0!</v>
      </c>
      <c r="BI83" s="29" t="str">
        <f t="shared" si="86"/>
        <v>#DIV/0!</v>
      </c>
      <c r="BJ83" s="29" t="str">
        <f t="shared" si="86"/>
        <v>#DIV/0!</v>
      </c>
      <c r="BK83" s="29" t="str">
        <f t="shared" si="86"/>
        <v>#DIV/0!</v>
      </c>
      <c r="BL83" s="29" t="str">
        <f t="shared" si="86"/>
        <v>#DIV/0!</v>
      </c>
      <c r="BM83" s="29" t="str">
        <f t="shared" si="3"/>
        <v>#DIV/0!</v>
      </c>
    </row>
    <row r="84">
      <c r="A84" s="16" t="str">
        <f>IFERROR(__xludf.DUMMYFUNCTION("IFERROR(SPARKLINE(SORT(MAP(TRANSPOSE(AQ84:BL84), LAMBDA(val, IF(ISNUMBER(val), PERCENTRANK(AQ84:BL84, val)+0.01, 0))), SEQUENCE(COLUMNS(AQ84:BL84)), FALSE), {""charttype"",""column""; ""color"",""chartreuse""; ""ymin"", 0; ""ymax"", 1.01; ""highcolor"", "&amp;"""darkgreen""; ""lowcolor"", ""red""}), """")"),"")</f>
        <v/>
      </c>
      <c r="B84" s="17" t="str">
        <f t="shared" si="4"/>
        <v/>
      </c>
      <c r="C84" s="1" t="s">
        <v>2876</v>
      </c>
      <c r="D84" s="30" t="str">
        <f>IFERROR(__xludf.DUMMYFUNCTION("IFERROR(GOOGLEFINANCE(C84, ""NAME""))"),"Slb NV")</f>
        <v>Slb NV</v>
      </c>
      <c r="E84" s="30" t="s">
        <v>2537</v>
      </c>
      <c r="F84" s="33" t="str">
        <f>IFERROR(__xludf.DUMMYFUNCTION("( (GOOGLEFINANCE(C84, ""price"") - Q84) / Q84 ) / (R84 / 100)"),"Loading...")</f>
        <v>Loading...</v>
      </c>
      <c r="G84" s="20" t="str">
        <f>IFERROR(__xludf.DUMMYFUNCTION("AVERAGE(ARRAYFORMULA(100 * (QUERY(GOOGLEFINANCE(C84, ""high"", TODAY()-40, TODAY()), ""SELECT Col2 WHERE Col2 IS NOT NULL ORDER BY Col1 DESC LIMIT 20"", 0) / QUERY(GOOGLEFINANCE(C84, ""low"", TODAY()-40, TODAY()), ""SELECT Col2 WHERE Col2 IS NOT NULL ORDE"&amp;"R BY Col1 DESC LIMIT 20"", 0) - 1)))"),"#N/A")</f>
        <v>#N/A</v>
      </c>
      <c r="H84" s="35" t="str">
        <f t="shared" si="6"/>
        <v>Liquid</v>
      </c>
      <c r="I84" s="35" t="str">
        <f t="shared" si="7"/>
        <v>No RVol Required</v>
      </c>
      <c r="J84" s="37">
        <f>IFERROR(__xludf.DUMMYFUNCTION("IFERROR(
  IF(C84="""",, 
    IFERROR(
      GOOGLEFINANCE(C84, ""price"") * GOOGLEFINANCE(C84, ""volumeavg""), 
      GOOGLEFINANCE(C84, ""price"") * AVERAGE(QUERY(GOOGLEFINANCE(C84, ""volume"", TODAY()-40, TODAY()), ""SELECT Col2 WHERE Col2 IS NOT NULL "&amp;"ORDER BY Col1 DESC LIMIT 20"", 0))
    )
  ), 
"""")"),6.337555785E8)</f>
        <v>633755578.5</v>
      </c>
      <c r="K84" s="21">
        <f>IFERROR(__xludf.DUMMYFUNCTION("IFERROR(GOOGLEFINANCE(C84, ""changepct"") / 100, """")"),0.023399999999999997)</f>
        <v>0.0234</v>
      </c>
      <c r="L84" s="21" t="str">
        <f>IFERROR(__xludf.DUMMYFUNCTION("IFERROR((GOOGLEFINANCE(C84, ""price"") / INDEX(GOOGLEFINANCE(C84, ""price"", TODAY()-7, TODAY()), 2, 2)) - 1, """")"),"")</f>
        <v/>
      </c>
      <c r="M84" s="21" t="str">
        <f>IFERROR(__xludf.DUMMYFUNCTION("IFERROR((GOOGLEFINANCE(C84, ""price"") / INDEX(GOOGLEFINANCE(C84, ""price"", EDATE(TODAY(), -1), TODAY()), 2, 2)) - 1, """")"),"")</f>
        <v/>
      </c>
      <c r="N84" s="21" t="str">
        <f>IFERROR(__xludf.DUMMYFUNCTION("IFERROR((GOOGLEFINANCE(C84, ""price"") / INDEX(GOOGLEFINANCE(C84, ""price"", EDATE(TODAY(), -3), TODAY()), 2, 2)) - 1, """")"),"")</f>
        <v/>
      </c>
      <c r="O84" s="21" t="str">
        <f>IFERROR(__xludf.DUMMYFUNCTION("IFERROR((GOOGLEFINANCE(C84, ""price"") / INDEX(GOOGLEFINANCE(C84, ""price"", EDATE(TODAY(), -6), TODAY()), 2, 2)) - 1, """")"),"")</f>
        <v/>
      </c>
      <c r="P84" s="21" t="str">
        <f>IFERROR(__xludf.DUMMYFUNCTION("IFERROR((GOOGLEFINANCE(C84, ""price"") / INDEX(GOOGLEFINANCE(C84, ""price"", EDATE(TODAY(), -12), TODAY()), 2, 2)) - 1, """")"),"")</f>
        <v/>
      </c>
      <c r="Q84" s="6" t="str">
        <f>IFERROR(__xludf.DUMMYFUNCTION("AVERAGE(QUERY(GOOGLEFINANCE(C84, ""price"", TODAY()-80, TODAY()), ""SELECT Col2 WHERE Col2 IS NOT NULL ORDER BY Col1 DESC LIMIT 50"", 0))"),"#N/A")</f>
        <v>#N/A</v>
      </c>
      <c r="R84" s="24" t="str">
        <f>IFERROR(__xludf.DUMMYFUNCTION("IFERROR(
  LET(
    data, QUERY(GOOGLEFINANCE(C84,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GOOGLEFINANCE(C84, ""price"")) * 100,
    IF(calc=0, G84, calc)
  ), 
G84)"),"#N/A")</f>
        <v>#N/A</v>
      </c>
      <c r="S84" s="8" t="s">
        <v>15</v>
      </c>
      <c r="T84" s="26" t="str">
        <f>IFERROR(__xludf.DUMMYFUNCTION("IFERROR(TRANSPOSE(QUERY(IFERROR(SORT(GOOGLEFINANCE(C84, ""price"", WORKDAY(TODAY(), -40), TODAY()), 1, FALSE)), ""select Col2 where Col2 is not null limit 22 label Col2 ''"", 0)), """")"),"")</f>
        <v/>
      </c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8"/>
      <c r="AO84" s="28"/>
      <c r="AP84" s="29"/>
      <c r="AQ84" s="29" t="str">
        <f t="shared" ref="AQ84:BL84" si="87">T84/T$2</f>
        <v>#N/A</v>
      </c>
      <c r="AR84" s="29" t="str">
        <f t="shared" si="87"/>
        <v>#DIV/0!</v>
      </c>
      <c r="AS84" s="29" t="str">
        <f t="shared" si="87"/>
        <v>#DIV/0!</v>
      </c>
      <c r="AT84" s="29" t="str">
        <f t="shared" si="87"/>
        <v>#DIV/0!</v>
      </c>
      <c r="AU84" s="29" t="str">
        <f t="shared" si="87"/>
        <v>#DIV/0!</v>
      </c>
      <c r="AV84" s="29" t="str">
        <f t="shared" si="87"/>
        <v>#DIV/0!</v>
      </c>
      <c r="AW84" s="29" t="str">
        <f t="shared" si="87"/>
        <v>#DIV/0!</v>
      </c>
      <c r="AX84" s="29" t="str">
        <f t="shared" si="87"/>
        <v>#DIV/0!</v>
      </c>
      <c r="AY84" s="29" t="str">
        <f t="shared" si="87"/>
        <v>#DIV/0!</v>
      </c>
      <c r="AZ84" s="29" t="str">
        <f t="shared" si="87"/>
        <v>#DIV/0!</v>
      </c>
      <c r="BA84" s="29" t="str">
        <f t="shared" si="87"/>
        <v>#DIV/0!</v>
      </c>
      <c r="BB84" s="29" t="str">
        <f t="shared" si="87"/>
        <v>#DIV/0!</v>
      </c>
      <c r="BC84" s="29" t="str">
        <f t="shared" si="87"/>
        <v>#DIV/0!</v>
      </c>
      <c r="BD84" s="29" t="str">
        <f t="shared" si="87"/>
        <v>#DIV/0!</v>
      </c>
      <c r="BE84" s="29" t="str">
        <f t="shared" si="87"/>
        <v>#DIV/0!</v>
      </c>
      <c r="BF84" s="29" t="str">
        <f t="shared" si="87"/>
        <v>#DIV/0!</v>
      </c>
      <c r="BG84" s="29" t="str">
        <f t="shared" si="87"/>
        <v>#DIV/0!</v>
      </c>
      <c r="BH84" s="29" t="str">
        <f t="shared" si="87"/>
        <v>#DIV/0!</v>
      </c>
      <c r="BI84" s="29" t="str">
        <f t="shared" si="87"/>
        <v>#DIV/0!</v>
      </c>
      <c r="BJ84" s="29" t="str">
        <f t="shared" si="87"/>
        <v>#DIV/0!</v>
      </c>
      <c r="BK84" s="29" t="str">
        <f t="shared" si="87"/>
        <v>#DIV/0!</v>
      </c>
      <c r="BL84" s="29" t="str">
        <f t="shared" si="87"/>
        <v>#DIV/0!</v>
      </c>
      <c r="BM84" s="29" t="str">
        <f t="shared" si="3"/>
        <v>#DIV/0!</v>
      </c>
    </row>
    <row r="85">
      <c r="A85" s="16" t="str">
        <f>IFERROR(__xludf.DUMMYFUNCTION("IFERROR(SPARKLINE(SORT(MAP(TRANSPOSE(AQ85:BL85), LAMBDA(val, IF(ISNUMBER(val), PERCENTRANK(AQ85:BL85, val)+0.01, 0))), SEQUENCE(COLUMNS(AQ85:BL85)), FALSE), {""charttype"",""column""; ""color"",""chartreuse""; ""ymin"", 0; ""ymax"", 1.01; ""highcolor"", "&amp;"""darkgreen""; ""lowcolor"", ""red""}), """")"),"")</f>
        <v/>
      </c>
      <c r="B85" s="17" t="str">
        <f t="shared" si="4"/>
        <v/>
      </c>
      <c r="C85" s="1" t="s">
        <v>2880</v>
      </c>
      <c r="D85" s="30" t="str">
        <f>IFERROR(__xludf.DUMMYFUNCTION("IFERROR(GOOGLEFINANCE(C85, ""NAME""))"),"Enbridge Inc.")</f>
        <v>Enbridge Inc.</v>
      </c>
      <c r="E85" s="30" t="s">
        <v>2547</v>
      </c>
      <c r="F85" s="33" t="str">
        <f>IFERROR(__xludf.DUMMYFUNCTION("( (GOOGLEFINANCE(C85, ""price"") - Q85) / Q85 ) / (R85 / 100)"),"Loading...")</f>
        <v>Loading...</v>
      </c>
      <c r="G85" s="20" t="str">
        <f>IFERROR(__xludf.DUMMYFUNCTION("AVERAGE(ARRAYFORMULA(100 * (QUERY(GOOGLEFINANCE(C85, ""high"", TODAY()-40, TODAY()), ""SELECT Col2 WHERE Col2 IS NOT NULL ORDER BY Col1 DESC LIMIT 20"", 0) / QUERY(GOOGLEFINANCE(C85, ""low"", TODAY()-40, TODAY()), ""SELECT Col2 WHERE Col2 IS NOT NULL ORDE"&amp;"R BY Col1 DESC LIMIT 20"", 0) - 1)))"),"#N/A")</f>
        <v>#N/A</v>
      </c>
      <c r="H85" s="35" t="str">
        <f t="shared" si="6"/>
        <v>Liquid</v>
      </c>
      <c r="I85" s="35" t="str">
        <f t="shared" si="7"/>
        <v>RVol Required</v>
      </c>
      <c r="J85" s="37">
        <f>IFERROR(__xludf.DUMMYFUNCTION("IFERROR(
  IF(C85="""",, 
    IFERROR(
      GOOGLEFINANCE(C85, ""price"") * GOOGLEFINANCE(C85, ""volumeavg""), 
      GOOGLEFINANCE(C85, ""price"") * AVERAGE(QUERY(GOOGLEFINANCE(C85, ""volume"", TODAY()-40, TODAY()), ""SELECT Col2 WHERE Col2 IS NOT NULL "&amp;"ORDER BY Col1 DESC LIMIT 20"", 0))
    )
  ), 
"""")"),2.497447238E8)</f>
        <v>249744723.8</v>
      </c>
      <c r="K85" s="21">
        <f>IFERROR(__xludf.DUMMYFUNCTION("IFERROR(GOOGLEFINANCE(C85, ""changepct"") / 100, """")"),0.0271)</f>
        <v>0.0271</v>
      </c>
      <c r="L85" s="21" t="str">
        <f>IFERROR(__xludf.DUMMYFUNCTION("IFERROR((GOOGLEFINANCE(C85, ""price"") / INDEX(GOOGLEFINANCE(C85, ""price"", TODAY()-7, TODAY()), 2, 2)) - 1, """")"),"")</f>
        <v/>
      </c>
      <c r="M85" s="21" t="str">
        <f>IFERROR(__xludf.DUMMYFUNCTION("IFERROR((GOOGLEFINANCE(C85, ""price"") / INDEX(GOOGLEFINANCE(C85, ""price"", EDATE(TODAY(), -1), TODAY()), 2, 2)) - 1, """")"),"")</f>
        <v/>
      </c>
      <c r="N85" s="21" t="str">
        <f>IFERROR(__xludf.DUMMYFUNCTION("IFERROR((GOOGLEFINANCE(C85, ""price"") / INDEX(GOOGLEFINANCE(C85, ""price"", EDATE(TODAY(), -3), TODAY()), 2, 2)) - 1, """")"),"")</f>
        <v/>
      </c>
      <c r="O85" s="21" t="str">
        <f>IFERROR(__xludf.DUMMYFUNCTION("IFERROR((GOOGLEFINANCE(C85, ""price"") / INDEX(GOOGLEFINANCE(C85, ""price"", EDATE(TODAY(), -6), TODAY()), 2, 2)) - 1, """")"),"")</f>
        <v/>
      </c>
      <c r="P85" s="21" t="str">
        <f>IFERROR(__xludf.DUMMYFUNCTION("IFERROR((GOOGLEFINANCE(C85, ""price"") / INDEX(GOOGLEFINANCE(C85, ""price"", EDATE(TODAY(), -12), TODAY()), 2, 2)) - 1, """")"),"")</f>
        <v/>
      </c>
      <c r="Q85" s="6" t="str">
        <f>IFERROR(__xludf.DUMMYFUNCTION("AVERAGE(QUERY(GOOGLEFINANCE(C85, ""price"", TODAY()-80, TODAY()), ""SELECT Col2 WHERE Col2 IS NOT NULL ORDER BY Col1 DESC LIMIT 50"", 0))"),"#N/A")</f>
        <v>#N/A</v>
      </c>
      <c r="R85" s="24" t="str">
        <f>IFERROR(__xludf.DUMMYFUNCTION("IFERROR(
  LET(
    data, QUERY(GOOGLEFINANCE(C85,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GOOGLEFINANCE(C85, ""price"")) * 100,
    IF(calc=0, G85, calc)
  ), 
G85)"),"#N/A")</f>
        <v>#N/A</v>
      </c>
      <c r="S85" s="8" t="s">
        <v>15</v>
      </c>
      <c r="T85" s="26" t="str">
        <f>IFERROR(__xludf.DUMMYFUNCTION("IFERROR(TRANSPOSE(QUERY(IFERROR(SORT(GOOGLEFINANCE(C85, ""price"", WORKDAY(TODAY(), -40), TODAY()), 1, FALSE)), ""select Col2 where Col2 is not null limit 22 label Col2 ''"", 0)), """")"),"")</f>
        <v/>
      </c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8"/>
      <c r="AO85" s="28"/>
      <c r="AP85" s="29"/>
      <c r="AQ85" s="29" t="str">
        <f t="shared" ref="AQ85:BL85" si="88">T85/T$2</f>
        <v>#N/A</v>
      </c>
      <c r="AR85" s="29" t="str">
        <f t="shared" si="88"/>
        <v>#DIV/0!</v>
      </c>
      <c r="AS85" s="29" t="str">
        <f t="shared" si="88"/>
        <v>#DIV/0!</v>
      </c>
      <c r="AT85" s="29" t="str">
        <f t="shared" si="88"/>
        <v>#DIV/0!</v>
      </c>
      <c r="AU85" s="29" t="str">
        <f t="shared" si="88"/>
        <v>#DIV/0!</v>
      </c>
      <c r="AV85" s="29" t="str">
        <f t="shared" si="88"/>
        <v>#DIV/0!</v>
      </c>
      <c r="AW85" s="29" t="str">
        <f t="shared" si="88"/>
        <v>#DIV/0!</v>
      </c>
      <c r="AX85" s="29" t="str">
        <f t="shared" si="88"/>
        <v>#DIV/0!</v>
      </c>
      <c r="AY85" s="29" t="str">
        <f t="shared" si="88"/>
        <v>#DIV/0!</v>
      </c>
      <c r="AZ85" s="29" t="str">
        <f t="shared" si="88"/>
        <v>#DIV/0!</v>
      </c>
      <c r="BA85" s="29" t="str">
        <f t="shared" si="88"/>
        <v>#DIV/0!</v>
      </c>
      <c r="BB85" s="29" t="str">
        <f t="shared" si="88"/>
        <v>#DIV/0!</v>
      </c>
      <c r="BC85" s="29" t="str">
        <f t="shared" si="88"/>
        <v>#DIV/0!</v>
      </c>
      <c r="BD85" s="29" t="str">
        <f t="shared" si="88"/>
        <v>#DIV/0!</v>
      </c>
      <c r="BE85" s="29" t="str">
        <f t="shared" si="88"/>
        <v>#DIV/0!</v>
      </c>
      <c r="BF85" s="29" t="str">
        <f t="shared" si="88"/>
        <v>#DIV/0!</v>
      </c>
      <c r="BG85" s="29" t="str">
        <f t="shared" si="88"/>
        <v>#DIV/0!</v>
      </c>
      <c r="BH85" s="29" t="str">
        <f t="shared" si="88"/>
        <v>#DIV/0!</v>
      </c>
      <c r="BI85" s="29" t="str">
        <f t="shared" si="88"/>
        <v>#DIV/0!</v>
      </c>
      <c r="BJ85" s="29" t="str">
        <f t="shared" si="88"/>
        <v>#DIV/0!</v>
      </c>
      <c r="BK85" s="29" t="str">
        <f t="shared" si="88"/>
        <v>#DIV/0!</v>
      </c>
      <c r="BL85" s="29" t="str">
        <f t="shared" si="88"/>
        <v>#DIV/0!</v>
      </c>
      <c r="BM85" s="29" t="str">
        <f t="shared" si="3"/>
        <v>#DIV/0!</v>
      </c>
    </row>
    <row r="86" hidden="1">
      <c r="A86" s="16" t="str">
        <f>IFERROR(__xludf.DUMMYFUNCTION("IFERROR(SPARKLINE(SORT(MAP(TRANSPOSE(AQ86:BL86), LAMBDA(val, IF(ISNUMBER(val), PERCENTRANK(AQ86:BL86, val)+0.01, 0))), SEQUENCE(COLUMNS(AQ86:BL86)), FALSE), {""charttype"",""column""; ""color"",""chartreuse""; ""ymin"", 0; ""ymax"", 1.01; ""highcolor"", "&amp;"""darkgreen""; ""lowcolor"", ""red""}), """")"),"")</f>
        <v/>
      </c>
      <c r="B86" s="17" t="str">
        <f t="shared" si="4"/>
        <v/>
      </c>
      <c r="C86" s="1" t="s">
        <v>2883</v>
      </c>
      <c r="D86" s="30" t="str">
        <f>IFERROR(__xludf.DUMMYFUNCTION("IFERROR(GOOGLEFINANCE(C86, ""NAME""))"),"Delek Logistics Partners LP")</f>
        <v>Delek Logistics Partners LP</v>
      </c>
      <c r="E86" s="30" t="s">
        <v>2649</v>
      </c>
      <c r="F86" s="33" t="str">
        <f>IFERROR(__xludf.DUMMYFUNCTION("( (GOOGLEFINANCE(C86, ""price"") - Q86) / Q86 ) / (R86 / 100)"),"Loading...")</f>
        <v>Loading...</v>
      </c>
      <c r="G86" s="20" t="str">
        <f>IFERROR(__xludf.DUMMYFUNCTION("AVERAGE(ARRAYFORMULA(100 * (QUERY(GOOGLEFINANCE(C86, ""high"", TODAY()-40, TODAY()), ""SELECT Col2 WHERE Col2 IS NOT NULL ORDER BY Col1 DESC LIMIT 20"", 0) / QUERY(GOOGLEFINANCE(C86, ""low"", TODAY()-40, TODAY()), ""SELECT Col2 WHERE Col2 IS NOT NULL ORDE"&amp;"R BY Col1 DESC LIMIT 20"", 0) - 1)))"),"#N/A")</f>
        <v>#N/A</v>
      </c>
      <c r="H86" s="35" t="str">
        <f t="shared" si="6"/>
        <v>Illiquid</v>
      </c>
      <c r="I86" s="35" t="str">
        <f t="shared" si="7"/>
        <v>RVol Required</v>
      </c>
      <c r="J86" s="37">
        <f>IFERROR(__xludf.DUMMYFUNCTION("IFERROR(
  IF(C86="""",, 
    IFERROR(
      GOOGLEFINANCE(C86, ""price"") * GOOGLEFINANCE(C86, ""volumeavg""), 
      GOOGLEFINANCE(C86, ""price"") * AVERAGE(QUERY(GOOGLEFINANCE(C86, ""volume"", TODAY()-40, TODAY()), ""SELECT Col2 WHERE Col2 IS NOT NULL "&amp;"ORDER BY Col1 DESC LIMIT 20"", 0))
    )
  ), 
"""")"),1.052963166E7)</f>
        <v>10529631.66</v>
      </c>
      <c r="K86" s="21">
        <f>IFERROR(__xludf.DUMMYFUNCTION("IFERROR(GOOGLEFINANCE(C86, ""changepct"") / 100, """")"),0.025699999999999997)</f>
        <v>0.0257</v>
      </c>
      <c r="L86" s="21" t="str">
        <f>IFERROR(__xludf.DUMMYFUNCTION("IFERROR((GOOGLEFINANCE(C86, ""price"") / INDEX(GOOGLEFINANCE(C86, ""price"", TODAY()-7, TODAY()), 2, 2)) - 1, """")"),"")</f>
        <v/>
      </c>
      <c r="M86" s="21" t="str">
        <f>IFERROR(__xludf.DUMMYFUNCTION("IFERROR((GOOGLEFINANCE(C86, ""price"") / INDEX(GOOGLEFINANCE(C86, ""price"", EDATE(TODAY(), -1), TODAY()), 2, 2)) - 1, """")"),"")</f>
        <v/>
      </c>
      <c r="N86" s="21" t="str">
        <f>IFERROR(__xludf.DUMMYFUNCTION("IFERROR((GOOGLEFINANCE(C86, ""price"") / INDEX(GOOGLEFINANCE(C86, ""price"", EDATE(TODAY(), -3), TODAY()), 2, 2)) - 1, """")"),"")</f>
        <v/>
      </c>
      <c r="O86" s="21" t="str">
        <f>IFERROR(__xludf.DUMMYFUNCTION("IFERROR((GOOGLEFINANCE(C86, ""price"") / INDEX(GOOGLEFINANCE(C86, ""price"", EDATE(TODAY(), -6), TODAY()), 2, 2)) - 1, """")"),"")</f>
        <v/>
      </c>
      <c r="P86" s="21" t="str">
        <f>IFERROR(__xludf.DUMMYFUNCTION("IFERROR((GOOGLEFINANCE(C86, ""price"") / INDEX(GOOGLEFINANCE(C86, ""price"", EDATE(TODAY(), -12), TODAY()), 2, 2)) - 1, """")"),"")</f>
        <v/>
      </c>
      <c r="Q86" s="6" t="str">
        <f>IFERROR(__xludf.DUMMYFUNCTION("AVERAGE(QUERY(GOOGLEFINANCE(C86, ""price"", TODAY()-80, TODAY()), ""SELECT Col2 WHERE Col2 IS NOT NULL ORDER BY Col1 DESC LIMIT 50"", 0))"),"#N/A")</f>
        <v>#N/A</v>
      </c>
      <c r="R86" s="24" t="str">
        <f>IFERROR(__xludf.DUMMYFUNCTION("IFERROR(
  LET(
    data, QUERY(GOOGLEFINANCE(C86,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GOOGLEFINANCE(C86, ""price"")) * 100,
    IF(calc=0, G86, calc)
  ), 
G86)"),"#N/A")</f>
        <v>#N/A</v>
      </c>
      <c r="S86" s="8" t="s">
        <v>15</v>
      </c>
      <c r="T86" s="26" t="str">
        <f>IFERROR(__xludf.DUMMYFUNCTION("IFERROR(TRANSPOSE(QUERY(IFERROR(SORT(GOOGLEFINANCE(C86, ""price"", WORKDAY(TODAY(), -40), TODAY()), 1, FALSE)), ""select Col2 where Col2 is not null limit 22 label Col2 ''"", 0)), """")"),"")</f>
        <v/>
      </c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8"/>
      <c r="AO86" s="28"/>
      <c r="AP86" s="29"/>
      <c r="AQ86" s="29" t="str">
        <f t="shared" ref="AQ86:BL86" si="89">T86/T$2</f>
        <v>#N/A</v>
      </c>
      <c r="AR86" s="29" t="str">
        <f t="shared" si="89"/>
        <v>#DIV/0!</v>
      </c>
      <c r="AS86" s="29" t="str">
        <f t="shared" si="89"/>
        <v>#DIV/0!</v>
      </c>
      <c r="AT86" s="29" t="str">
        <f t="shared" si="89"/>
        <v>#DIV/0!</v>
      </c>
      <c r="AU86" s="29" t="str">
        <f t="shared" si="89"/>
        <v>#DIV/0!</v>
      </c>
      <c r="AV86" s="29" t="str">
        <f t="shared" si="89"/>
        <v>#DIV/0!</v>
      </c>
      <c r="AW86" s="29" t="str">
        <f t="shared" si="89"/>
        <v>#DIV/0!</v>
      </c>
      <c r="AX86" s="29" t="str">
        <f t="shared" si="89"/>
        <v>#DIV/0!</v>
      </c>
      <c r="AY86" s="29" t="str">
        <f t="shared" si="89"/>
        <v>#DIV/0!</v>
      </c>
      <c r="AZ86" s="29" t="str">
        <f t="shared" si="89"/>
        <v>#DIV/0!</v>
      </c>
      <c r="BA86" s="29" t="str">
        <f t="shared" si="89"/>
        <v>#DIV/0!</v>
      </c>
      <c r="BB86" s="29" t="str">
        <f t="shared" si="89"/>
        <v>#DIV/0!</v>
      </c>
      <c r="BC86" s="29" t="str">
        <f t="shared" si="89"/>
        <v>#DIV/0!</v>
      </c>
      <c r="BD86" s="29" t="str">
        <f t="shared" si="89"/>
        <v>#DIV/0!</v>
      </c>
      <c r="BE86" s="29" t="str">
        <f t="shared" si="89"/>
        <v>#DIV/0!</v>
      </c>
      <c r="BF86" s="29" t="str">
        <f t="shared" si="89"/>
        <v>#DIV/0!</v>
      </c>
      <c r="BG86" s="29" t="str">
        <f t="shared" si="89"/>
        <v>#DIV/0!</v>
      </c>
      <c r="BH86" s="29" t="str">
        <f t="shared" si="89"/>
        <v>#DIV/0!</v>
      </c>
      <c r="BI86" s="29" t="str">
        <f t="shared" si="89"/>
        <v>#DIV/0!</v>
      </c>
      <c r="BJ86" s="29" t="str">
        <f t="shared" si="89"/>
        <v>#DIV/0!</v>
      </c>
      <c r="BK86" s="29" t="str">
        <f t="shared" si="89"/>
        <v>#DIV/0!</v>
      </c>
      <c r="BL86" s="29" t="str">
        <f t="shared" si="89"/>
        <v>#DIV/0!</v>
      </c>
      <c r="BM86" s="29" t="str">
        <f t="shared" si="3"/>
        <v>#DIV/0!</v>
      </c>
    </row>
    <row r="87">
      <c r="A87" s="16" t="str">
        <f>IFERROR(__xludf.DUMMYFUNCTION("IFERROR(SPARKLINE(SORT(MAP(TRANSPOSE(AQ87:BL87), LAMBDA(val, IF(ISNUMBER(val), PERCENTRANK(AQ87:BL87, val)+0.01, 0))), SEQUENCE(COLUMNS(AQ87:BL87)), FALSE), {""charttype"",""column""; ""color"",""chartreuse""; ""ymin"", 0; ""ymax"", 1.01; ""highcolor"", "&amp;"""darkgreen""; ""lowcolor"", ""red""}), """")"),"")</f>
        <v/>
      </c>
      <c r="B87" s="17" t="str">
        <f t="shared" si="4"/>
        <v/>
      </c>
      <c r="C87" s="1" t="s">
        <v>2887</v>
      </c>
      <c r="D87" s="30" t="str">
        <f>IFERROR(__xludf.DUMMYFUNCTION("IFERROR(GOOGLEFINANCE(C87, ""NAME""))"),"Canadian Natural Resources Ltd")</f>
        <v>Canadian Natural Resources Ltd</v>
      </c>
      <c r="E87" s="30" t="s">
        <v>2613</v>
      </c>
      <c r="F87" s="38" t="str">
        <f>IFERROR(__xludf.DUMMYFUNCTION("( (GOOGLEFINANCE(C87, ""price"") - Q87) / Q87 ) / (R87 / 100)"),"Loading...")</f>
        <v>Loading...</v>
      </c>
      <c r="G87" s="20" t="str">
        <f>IFERROR(__xludf.DUMMYFUNCTION("AVERAGE(ARRAYFORMULA(100 * (QUERY(GOOGLEFINANCE(C87, ""high"", TODAY()-40, TODAY()), ""SELECT Col2 WHERE Col2 IS NOT NULL ORDER BY Col1 DESC LIMIT 20"", 0) / QUERY(GOOGLEFINANCE(C87, ""low"", TODAY()-40, TODAY()), ""SELECT Col2 WHERE Col2 IS NOT NULL ORDE"&amp;"R BY Col1 DESC LIMIT 20"", 0) - 1)))"),"#N/A")</f>
        <v>#N/A</v>
      </c>
      <c r="H87" s="35" t="str">
        <f t="shared" si="6"/>
        <v>Liquid</v>
      </c>
      <c r="I87" s="35" t="str">
        <f t="shared" si="7"/>
        <v>RVol Required</v>
      </c>
      <c r="J87" s="37">
        <f>IFERROR(__xludf.DUMMYFUNCTION("IFERROR(
  IF(C87="""",, 
    IFERROR(
      GOOGLEFINANCE(C87, ""price"") * GOOGLEFINANCE(C87, ""volumeavg""), 
      GOOGLEFINANCE(C87, ""price"") * AVERAGE(QUERY(GOOGLEFINANCE(C87, ""volume"", TODAY()-40, TODAY()), ""SELECT Col2 WHERE Col2 IS NOT NULL "&amp;"ORDER BY Col1 DESC LIMIT 20"", 0))
    )
  ), 
"""")"),3.361306178E8)</f>
        <v>336130617.8</v>
      </c>
      <c r="K87" s="21">
        <f>IFERROR(__xludf.DUMMYFUNCTION("IFERROR(GOOGLEFINANCE(C87, ""changepct"") / 100, """")"),0.0356)</f>
        <v>0.0356</v>
      </c>
      <c r="L87" s="21" t="str">
        <f>IFERROR(__xludf.DUMMYFUNCTION("IFERROR((GOOGLEFINANCE(C87, ""price"") / INDEX(GOOGLEFINANCE(C87, ""price"", TODAY()-7, TODAY()), 2, 2)) - 1, """")"),"")</f>
        <v/>
      </c>
      <c r="M87" s="21" t="str">
        <f>IFERROR(__xludf.DUMMYFUNCTION("IFERROR((GOOGLEFINANCE(C87, ""price"") / INDEX(GOOGLEFINANCE(C87, ""price"", EDATE(TODAY(), -1), TODAY()), 2, 2)) - 1, """")"),"")</f>
        <v/>
      </c>
      <c r="N87" s="21" t="str">
        <f>IFERROR(__xludf.DUMMYFUNCTION("IFERROR((GOOGLEFINANCE(C87, ""price"") / INDEX(GOOGLEFINANCE(C87, ""price"", EDATE(TODAY(), -3), TODAY()), 2, 2)) - 1, """")"),"")</f>
        <v/>
      </c>
      <c r="O87" s="21" t="str">
        <f>IFERROR(__xludf.DUMMYFUNCTION("IFERROR((GOOGLEFINANCE(C87, ""price"") / INDEX(GOOGLEFINANCE(C87, ""price"", EDATE(TODAY(), -6), TODAY()), 2, 2)) - 1, """")"),"")</f>
        <v/>
      </c>
      <c r="P87" s="21" t="str">
        <f>IFERROR(__xludf.DUMMYFUNCTION("IFERROR((GOOGLEFINANCE(C87, ""price"") / INDEX(GOOGLEFINANCE(C87, ""price"", EDATE(TODAY(), -12), TODAY()), 2, 2)) - 1, """")"),"")</f>
        <v/>
      </c>
      <c r="Q87" s="6" t="str">
        <f>IFERROR(__xludf.DUMMYFUNCTION("AVERAGE(QUERY(GOOGLEFINANCE(C87, ""price"", TODAY()-80, TODAY()), ""SELECT Col2 WHERE Col2 IS NOT NULL ORDER BY Col1 DESC LIMIT 50"", 0))"),"#N/A")</f>
        <v>#N/A</v>
      </c>
      <c r="R87" s="24" t="str">
        <f>IFERROR(__xludf.DUMMYFUNCTION("IFERROR(
  LET(
    data, QUERY(GOOGLEFINANCE(C87,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GOOGLEFINANCE(C87, ""price"")) * 100,
    IF(calc=0, G87, calc)
  ), 
G87)"),"#N/A")</f>
        <v>#N/A</v>
      </c>
      <c r="S87" s="8" t="s">
        <v>15</v>
      </c>
      <c r="T87" s="26" t="str">
        <f>IFERROR(__xludf.DUMMYFUNCTION("IFERROR(TRANSPOSE(QUERY(IFERROR(SORT(GOOGLEFINANCE(C87, ""price"", WORKDAY(TODAY(), -40), TODAY()), 1, FALSE)), ""select Col2 where Col2 is not null limit 22 label Col2 ''"", 0)), """")"),"")</f>
        <v/>
      </c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8"/>
      <c r="AO87" s="28"/>
      <c r="AP87" s="29"/>
      <c r="AQ87" s="29" t="str">
        <f t="shared" ref="AQ87:BL87" si="90">T87/T$2</f>
        <v>#N/A</v>
      </c>
      <c r="AR87" s="29" t="str">
        <f t="shared" si="90"/>
        <v>#DIV/0!</v>
      </c>
      <c r="AS87" s="29" t="str">
        <f t="shared" si="90"/>
        <v>#DIV/0!</v>
      </c>
      <c r="AT87" s="29" t="str">
        <f t="shared" si="90"/>
        <v>#DIV/0!</v>
      </c>
      <c r="AU87" s="29" t="str">
        <f t="shared" si="90"/>
        <v>#DIV/0!</v>
      </c>
      <c r="AV87" s="29" t="str">
        <f t="shared" si="90"/>
        <v>#DIV/0!</v>
      </c>
      <c r="AW87" s="29" t="str">
        <f t="shared" si="90"/>
        <v>#DIV/0!</v>
      </c>
      <c r="AX87" s="29" t="str">
        <f t="shared" si="90"/>
        <v>#DIV/0!</v>
      </c>
      <c r="AY87" s="29" t="str">
        <f t="shared" si="90"/>
        <v>#DIV/0!</v>
      </c>
      <c r="AZ87" s="29" t="str">
        <f t="shared" si="90"/>
        <v>#DIV/0!</v>
      </c>
      <c r="BA87" s="29" t="str">
        <f t="shared" si="90"/>
        <v>#DIV/0!</v>
      </c>
      <c r="BB87" s="29" t="str">
        <f t="shared" si="90"/>
        <v>#DIV/0!</v>
      </c>
      <c r="BC87" s="29" t="str">
        <f t="shared" si="90"/>
        <v>#DIV/0!</v>
      </c>
      <c r="BD87" s="29" t="str">
        <f t="shared" si="90"/>
        <v>#DIV/0!</v>
      </c>
      <c r="BE87" s="29" t="str">
        <f t="shared" si="90"/>
        <v>#DIV/0!</v>
      </c>
      <c r="BF87" s="29" t="str">
        <f t="shared" si="90"/>
        <v>#DIV/0!</v>
      </c>
      <c r="BG87" s="29" t="str">
        <f t="shared" si="90"/>
        <v>#DIV/0!</v>
      </c>
      <c r="BH87" s="29" t="str">
        <f t="shared" si="90"/>
        <v>#DIV/0!</v>
      </c>
      <c r="BI87" s="29" t="str">
        <f t="shared" si="90"/>
        <v>#DIV/0!</v>
      </c>
      <c r="BJ87" s="29" t="str">
        <f t="shared" si="90"/>
        <v>#DIV/0!</v>
      </c>
      <c r="BK87" s="29" t="str">
        <f t="shared" si="90"/>
        <v>#DIV/0!</v>
      </c>
      <c r="BL87" s="29" t="str">
        <f t="shared" si="90"/>
        <v>#DIV/0!</v>
      </c>
      <c r="BM87" s="29" t="str">
        <f t="shared" si="3"/>
        <v>#DIV/0!</v>
      </c>
    </row>
    <row r="88" hidden="1">
      <c r="A88" s="16" t="str">
        <f>IFERROR(__xludf.DUMMYFUNCTION("IFERROR(SPARKLINE(SORT(MAP(TRANSPOSE(AQ88:BL88), LAMBDA(val, IF(ISNUMBER(val), PERCENTRANK(AQ88:BL88, val)+0.01, 0))), SEQUENCE(COLUMNS(AQ88:BL88)), FALSE), {""charttype"",""column""; ""color"",""chartreuse""; ""ymin"", 0; ""ymax"", 1.01; ""highcolor"", "&amp;"""darkgreen""; ""lowcolor"", ""red""}), """")"),"")</f>
        <v/>
      </c>
      <c r="B88" s="17" t="str">
        <f t="shared" si="4"/>
        <v/>
      </c>
      <c r="C88" s="1" t="s">
        <v>2891</v>
      </c>
      <c r="D88" s="30" t="str">
        <f>IFERROR(__xludf.DUMMYFUNCTION("IFERROR(GOOGLEFINANCE(C88, ""NAME""))"),"Talos Energy Inc")</f>
        <v>Talos Energy Inc</v>
      </c>
      <c r="E88" s="30" t="s">
        <v>2613</v>
      </c>
      <c r="F88" s="33" t="str">
        <f>IFERROR(__xludf.DUMMYFUNCTION("( (GOOGLEFINANCE(C88, ""price"") - Q88) / Q88 ) / (R88 / 100)"),"Loading...")</f>
        <v>Loading...</v>
      </c>
      <c r="G88" s="20" t="str">
        <f>IFERROR(__xludf.DUMMYFUNCTION("AVERAGE(ARRAYFORMULA(100 * (QUERY(GOOGLEFINANCE(C88, ""high"", TODAY()-40, TODAY()), ""SELECT Col2 WHERE Col2 IS NOT NULL ORDER BY Col1 DESC LIMIT 20"", 0) / QUERY(GOOGLEFINANCE(C88, ""low"", TODAY()-40, TODAY()), ""SELECT Col2 WHERE Col2 IS NOT NULL ORDE"&amp;"R BY Col1 DESC LIMIT 20"", 0) - 1)))"),"#N/A")</f>
        <v>#N/A</v>
      </c>
      <c r="H88" s="35" t="str">
        <f t="shared" si="6"/>
        <v>Illiquid</v>
      </c>
      <c r="I88" s="35" t="str">
        <f t="shared" si="7"/>
        <v>RVol Required</v>
      </c>
      <c r="J88" s="37">
        <f>IFERROR(__xludf.DUMMYFUNCTION("IFERROR(
  IF(C88="""",, 
    IFERROR(
      GOOGLEFINANCE(C88, ""price"") * GOOGLEFINANCE(C88, ""volumeavg""), 
      GOOGLEFINANCE(C88, ""price"") * AVERAGE(QUERY(GOOGLEFINANCE(C88, ""volume"", TODAY()-40, TODAY()), ""SELECT Col2 WHERE Col2 IS NOT NULL "&amp;"ORDER BY Col1 DESC LIMIT 20"", 0))
    )
  ), 
"""")"),4.6292040589999996E7)</f>
        <v>46292040.59</v>
      </c>
      <c r="K88" s="21">
        <f>IFERROR(__xludf.DUMMYFUNCTION("IFERROR(GOOGLEFINANCE(C88, ""changepct"") / 100, """")"),0.04650000000000001)</f>
        <v>0.0465</v>
      </c>
      <c r="L88" s="21" t="str">
        <f>IFERROR(__xludf.DUMMYFUNCTION("IFERROR((GOOGLEFINANCE(C88, ""price"") / INDEX(GOOGLEFINANCE(C88, ""price"", TODAY()-7, TODAY()), 2, 2)) - 1, """")"),"")</f>
        <v/>
      </c>
      <c r="M88" s="21" t="str">
        <f>IFERROR(__xludf.DUMMYFUNCTION("IFERROR((GOOGLEFINANCE(C88, ""price"") / INDEX(GOOGLEFINANCE(C88, ""price"", EDATE(TODAY(), -1), TODAY()), 2, 2)) - 1, """")"),"")</f>
        <v/>
      </c>
      <c r="N88" s="21" t="str">
        <f>IFERROR(__xludf.DUMMYFUNCTION("IFERROR((GOOGLEFINANCE(C88, ""price"") / INDEX(GOOGLEFINANCE(C88, ""price"", EDATE(TODAY(), -3), TODAY()), 2, 2)) - 1, """")"),"")</f>
        <v/>
      </c>
      <c r="O88" s="21" t="str">
        <f>IFERROR(__xludf.DUMMYFUNCTION("IFERROR((GOOGLEFINANCE(C88, ""price"") / INDEX(GOOGLEFINANCE(C88, ""price"", EDATE(TODAY(), -6), TODAY()), 2, 2)) - 1, """")"),"")</f>
        <v/>
      </c>
      <c r="P88" s="21" t="str">
        <f>IFERROR(__xludf.DUMMYFUNCTION("IFERROR((GOOGLEFINANCE(C88, ""price"") / INDEX(GOOGLEFINANCE(C88, ""price"", EDATE(TODAY(), -12), TODAY()), 2, 2)) - 1, """")"),"")</f>
        <v/>
      </c>
      <c r="Q88" s="6" t="str">
        <f>IFERROR(__xludf.DUMMYFUNCTION("AVERAGE(QUERY(GOOGLEFINANCE(C88, ""price"", TODAY()-80, TODAY()), ""SELECT Col2 WHERE Col2 IS NOT NULL ORDER BY Col1 DESC LIMIT 50"", 0))"),"#N/A")</f>
        <v>#N/A</v>
      </c>
      <c r="R88" s="24" t="str">
        <f>IFERROR(__xludf.DUMMYFUNCTION("IFERROR(
  LET(
    data, QUERY(GOOGLEFINANCE(C88,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GOOGLEFINANCE(C88, ""price"")) * 100,
    IF(calc=0, G88, calc)
  ), 
G88)"),"#N/A")</f>
        <v>#N/A</v>
      </c>
      <c r="S88" s="8" t="s">
        <v>15</v>
      </c>
      <c r="T88" s="26" t="str">
        <f>IFERROR(__xludf.DUMMYFUNCTION("IFERROR(TRANSPOSE(QUERY(IFERROR(SORT(GOOGLEFINANCE(C88, ""price"", WORKDAY(TODAY(), -40), TODAY()), 1, FALSE)), ""select Col2 where Col2 is not null limit 22 label Col2 ''"", 0)), """")"),"")</f>
        <v/>
      </c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8"/>
      <c r="AO88" s="28"/>
      <c r="AP88" s="29"/>
      <c r="AQ88" s="29" t="str">
        <f t="shared" ref="AQ88:BL88" si="91">T88/T$2</f>
        <v>#N/A</v>
      </c>
      <c r="AR88" s="29" t="str">
        <f t="shared" si="91"/>
        <v>#DIV/0!</v>
      </c>
      <c r="AS88" s="29" t="str">
        <f t="shared" si="91"/>
        <v>#DIV/0!</v>
      </c>
      <c r="AT88" s="29" t="str">
        <f t="shared" si="91"/>
        <v>#DIV/0!</v>
      </c>
      <c r="AU88" s="29" t="str">
        <f t="shared" si="91"/>
        <v>#DIV/0!</v>
      </c>
      <c r="AV88" s="29" t="str">
        <f t="shared" si="91"/>
        <v>#DIV/0!</v>
      </c>
      <c r="AW88" s="29" t="str">
        <f t="shared" si="91"/>
        <v>#DIV/0!</v>
      </c>
      <c r="AX88" s="29" t="str">
        <f t="shared" si="91"/>
        <v>#DIV/0!</v>
      </c>
      <c r="AY88" s="29" t="str">
        <f t="shared" si="91"/>
        <v>#DIV/0!</v>
      </c>
      <c r="AZ88" s="29" t="str">
        <f t="shared" si="91"/>
        <v>#DIV/0!</v>
      </c>
      <c r="BA88" s="29" t="str">
        <f t="shared" si="91"/>
        <v>#DIV/0!</v>
      </c>
      <c r="BB88" s="29" t="str">
        <f t="shared" si="91"/>
        <v>#DIV/0!</v>
      </c>
      <c r="BC88" s="29" t="str">
        <f t="shared" si="91"/>
        <v>#DIV/0!</v>
      </c>
      <c r="BD88" s="29" t="str">
        <f t="shared" si="91"/>
        <v>#DIV/0!</v>
      </c>
      <c r="BE88" s="29" t="str">
        <f t="shared" si="91"/>
        <v>#DIV/0!</v>
      </c>
      <c r="BF88" s="29" t="str">
        <f t="shared" si="91"/>
        <v>#DIV/0!</v>
      </c>
      <c r="BG88" s="29" t="str">
        <f t="shared" si="91"/>
        <v>#DIV/0!</v>
      </c>
      <c r="BH88" s="29" t="str">
        <f t="shared" si="91"/>
        <v>#DIV/0!</v>
      </c>
      <c r="BI88" s="29" t="str">
        <f t="shared" si="91"/>
        <v>#DIV/0!</v>
      </c>
      <c r="BJ88" s="29" t="str">
        <f t="shared" si="91"/>
        <v>#DIV/0!</v>
      </c>
      <c r="BK88" s="29" t="str">
        <f t="shared" si="91"/>
        <v>#DIV/0!</v>
      </c>
      <c r="BL88" s="29" t="str">
        <f t="shared" si="91"/>
        <v>#DIV/0!</v>
      </c>
      <c r="BM88" s="29" t="str">
        <f t="shared" si="3"/>
        <v>#DIV/0!</v>
      </c>
    </row>
    <row r="89">
      <c r="A89" s="16" t="str">
        <f>IFERROR(__xludf.DUMMYFUNCTION("IFERROR(SPARKLINE(SORT(MAP(TRANSPOSE(AQ89:BL89), LAMBDA(val, IF(ISNUMBER(val), PERCENTRANK(AQ89:BL89, val)+0.01, 0))), SEQUENCE(COLUMNS(AQ89:BL89)), FALSE), {""charttype"",""column""; ""color"",""chartreuse""; ""ymin"", 0; ""ymax"", 1.01; ""highcolor"", "&amp;"""darkgreen""; ""lowcolor"", ""red""}), """")"),"")</f>
        <v/>
      </c>
      <c r="B89" s="17" t="str">
        <f t="shared" si="4"/>
        <v/>
      </c>
      <c r="C89" s="1" t="s">
        <v>2893</v>
      </c>
      <c r="D89" s="30" t="str">
        <f>IFERROR(__xludf.DUMMYFUNCTION("IFERROR(GOOGLEFINANCE(C89, ""NAME""))"),"PBF Energy Inc")</f>
        <v>PBF Energy Inc</v>
      </c>
      <c r="E89" s="30" t="s">
        <v>2649</v>
      </c>
      <c r="F89" s="33" t="str">
        <f>IFERROR(__xludf.DUMMYFUNCTION("( (GOOGLEFINANCE(C89, ""price"") - Q89) / Q89 ) / (R89 / 100)"),"Loading...")</f>
        <v>Loading...</v>
      </c>
      <c r="G89" s="20" t="str">
        <f>IFERROR(__xludf.DUMMYFUNCTION("AVERAGE(ARRAYFORMULA(100 * (QUERY(GOOGLEFINANCE(C89, ""high"", TODAY()-40, TODAY()), ""SELECT Col2 WHERE Col2 IS NOT NULL ORDER BY Col1 DESC LIMIT 20"", 0) / QUERY(GOOGLEFINANCE(C89, ""low"", TODAY()-40, TODAY()), ""SELECT Col2 WHERE Col2 IS NOT NULL ORDE"&amp;"R BY Col1 DESC LIMIT 20"", 0) - 1)))"),"#N/A")</f>
        <v>#N/A</v>
      </c>
      <c r="H89" s="35" t="str">
        <f t="shared" si="6"/>
        <v>Liquid</v>
      </c>
      <c r="I89" s="35" t="str">
        <f t="shared" si="7"/>
        <v>RVol Required</v>
      </c>
      <c r="J89" s="37">
        <f>IFERROR(__xludf.DUMMYFUNCTION("IFERROR(
  IF(C89="""",, 
    IFERROR(
      GOOGLEFINANCE(C89, ""price"") * GOOGLEFINANCE(C89, ""volumeavg""), 
      GOOGLEFINANCE(C89, ""price"") * AVERAGE(QUERY(GOOGLEFINANCE(C89, ""volume"", TODAY()-40, TODAY()), ""SELECT Col2 WHERE Col2 IS NOT NULL "&amp;"ORDER BY Col1 DESC LIMIT 20"", 0))
    )
  ), 
"""")"),3.0413364076E8)</f>
        <v>304133640.8</v>
      </c>
      <c r="K89" s="21">
        <f>IFERROR(__xludf.DUMMYFUNCTION("IFERROR(GOOGLEFINANCE(C89, ""changepct"") / 100, """")"),-0.028399999999999998)</f>
        <v>-0.0284</v>
      </c>
      <c r="L89" s="21" t="str">
        <f>IFERROR(__xludf.DUMMYFUNCTION("IFERROR((GOOGLEFINANCE(C89, ""price"") / INDEX(GOOGLEFINANCE(C89, ""price"", TODAY()-7, TODAY()), 2, 2)) - 1, """")"),"")</f>
        <v/>
      </c>
      <c r="M89" s="21" t="str">
        <f>IFERROR(__xludf.DUMMYFUNCTION("IFERROR((GOOGLEFINANCE(C89, ""price"") / INDEX(GOOGLEFINANCE(C89, ""price"", EDATE(TODAY(), -1), TODAY()), 2, 2)) - 1, """")"),"")</f>
        <v/>
      </c>
      <c r="N89" s="21" t="str">
        <f>IFERROR(__xludf.DUMMYFUNCTION("IFERROR((GOOGLEFINANCE(C89, ""price"") / INDEX(GOOGLEFINANCE(C89, ""price"", EDATE(TODAY(), -3), TODAY()), 2, 2)) - 1, """")"),"")</f>
        <v/>
      </c>
      <c r="O89" s="21" t="str">
        <f>IFERROR(__xludf.DUMMYFUNCTION("IFERROR((GOOGLEFINANCE(C89, ""price"") / INDEX(GOOGLEFINANCE(C89, ""price"", EDATE(TODAY(), -6), TODAY()), 2, 2)) - 1, """")"),"")</f>
        <v/>
      </c>
      <c r="P89" s="21" t="str">
        <f>IFERROR(__xludf.DUMMYFUNCTION("IFERROR((GOOGLEFINANCE(C89, ""price"") / INDEX(GOOGLEFINANCE(C89, ""price"", EDATE(TODAY(), -12), TODAY()), 2, 2)) - 1, """")"),"")</f>
        <v/>
      </c>
      <c r="Q89" s="6" t="str">
        <f>IFERROR(__xludf.DUMMYFUNCTION("AVERAGE(QUERY(GOOGLEFINANCE(C89, ""price"", TODAY()-80, TODAY()), ""SELECT Col2 WHERE Col2 IS NOT NULL ORDER BY Col1 DESC LIMIT 50"", 0))"),"#N/A")</f>
        <v>#N/A</v>
      </c>
      <c r="R89" s="24" t="str">
        <f>IFERROR(__xludf.DUMMYFUNCTION("IFERROR(
  LET(
    data, QUERY(GOOGLEFINANCE(C89,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GOOGLEFINANCE(C89, ""price"")) * 100,
    IF(calc=0, G89, calc)
  ), 
G89)"),"#N/A")</f>
        <v>#N/A</v>
      </c>
      <c r="S89" s="8" t="s">
        <v>15</v>
      </c>
      <c r="T89" s="26" t="str">
        <f>IFERROR(__xludf.DUMMYFUNCTION("IFERROR(TRANSPOSE(QUERY(IFERROR(SORT(GOOGLEFINANCE(C89, ""price"", WORKDAY(TODAY(), -40), TODAY()), 1, FALSE)), ""select Col2 where Col2 is not null limit 22 label Col2 ''"", 0)), """")"),"")</f>
        <v/>
      </c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8"/>
      <c r="AO89" s="28"/>
      <c r="AP89" s="29"/>
      <c r="AQ89" s="29" t="str">
        <f t="shared" ref="AQ89:BL89" si="92">T89/T$2</f>
        <v>#N/A</v>
      </c>
      <c r="AR89" s="29" t="str">
        <f t="shared" si="92"/>
        <v>#DIV/0!</v>
      </c>
      <c r="AS89" s="29" t="str">
        <f t="shared" si="92"/>
        <v>#DIV/0!</v>
      </c>
      <c r="AT89" s="29" t="str">
        <f t="shared" si="92"/>
        <v>#DIV/0!</v>
      </c>
      <c r="AU89" s="29" t="str">
        <f t="shared" si="92"/>
        <v>#DIV/0!</v>
      </c>
      <c r="AV89" s="29" t="str">
        <f t="shared" si="92"/>
        <v>#DIV/0!</v>
      </c>
      <c r="AW89" s="29" t="str">
        <f t="shared" si="92"/>
        <v>#DIV/0!</v>
      </c>
      <c r="AX89" s="29" t="str">
        <f t="shared" si="92"/>
        <v>#DIV/0!</v>
      </c>
      <c r="AY89" s="29" t="str">
        <f t="shared" si="92"/>
        <v>#DIV/0!</v>
      </c>
      <c r="AZ89" s="29" t="str">
        <f t="shared" si="92"/>
        <v>#DIV/0!</v>
      </c>
      <c r="BA89" s="29" t="str">
        <f t="shared" si="92"/>
        <v>#DIV/0!</v>
      </c>
      <c r="BB89" s="29" t="str">
        <f t="shared" si="92"/>
        <v>#DIV/0!</v>
      </c>
      <c r="BC89" s="29" t="str">
        <f t="shared" si="92"/>
        <v>#DIV/0!</v>
      </c>
      <c r="BD89" s="29" t="str">
        <f t="shared" si="92"/>
        <v>#DIV/0!</v>
      </c>
      <c r="BE89" s="29" t="str">
        <f t="shared" si="92"/>
        <v>#DIV/0!</v>
      </c>
      <c r="BF89" s="29" t="str">
        <f t="shared" si="92"/>
        <v>#DIV/0!</v>
      </c>
      <c r="BG89" s="29" t="str">
        <f t="shared" si="92"/>
        <v>#DIV/0!</v>
      </c>
      <c r="BH89" s="29" t="str">
        <f t="shared" si="92"/>
        <v>#DIV/0!</v>
      </c>
      <c r="BI89" s="29" t="str">
        <f t="shared" si="92"/>
        <v>#DIV/0!</v>
      </c>
      <c r="BJ89" s="29" t="str">
        <f t="shared" si="92"/>
        <v>#DIV/0!</v>
      </c>
      <c r="BK89" s="29" t="str">
        <f t="shared" si="92"/>
        <v>#DIV/0!</v>
      </c>
      <c r="BL89" s="29" t="str">
        <f t="shared" si="92"/>
        <v>#DIV/0!</v>
      </c>
      <c r="BM89" s="29" t="str">
        <f t="shared" si="3"/>
        <v>#DIV/0!</v>
      </c>
    </row>
    <row r="90" hidden="1">
      <c r="A90" s="16" t="str">
        <f>IFERROR(__xludf.DUMMYFUNCTION("IFERROR(SPARKLINE(SORT(MAP(TRANSPOSE(AQ90:BL90), LAMBDA(val, IF(ISNUMBER(val), PERCENTRANK(AQ90:BL90, val)+0.01, 0))), SEQUENCE(COLUMNS(AQ90:BL90)), FALSE), {""charttype"",""column""; ""color"",""chartreuse""; ""ymin"", 0; ""ymax"", 1.01; ""highcolor"", "&amp;"""darkgreen""; ""lowcolor"", ""red""}), """")"),"")</f>
        <v/>
      </c>
      <c r="B90" s="17" t="str">
        <f t="shared" si="4"/>
        <v/>
      </c>
      <c r="C90" s="1" t="s">
        <v>2899</v>
      </c>
      <c r="D90" s="30" t="str">
        <f>IFERROR(__xludf.DUMMYFUNCTION("IFERROR(GOOGLEFINANCE(C90, ""NAME""))"),"KNOT Offshore Partners LP")</f>
        <v>KNOT Offshore Partners LP</v>
      </c>
      <c r="E90" s="30" t="s">
        <v>2547</v>
      </c>
      <c r="F90" s="33" t="str">
        <f>IFERROR(__xludf.DUMMYFUNCTION("( (GOOGLEFINANCE(C90, ""price"") - Q90) / Q90 ) / (R90 / 100)"),"Loading...")</f>
        <v>Loading...</v>
      </c>
      <c r="G90" s="20" t="str">
        <f>IFERROR(__xludf.DUMMYFUNCTION("AVERAGE(ARRAYFORMULA(100 * (QUERY(GOOGLEFINANCE(C90, ""high"", TODAY()-40, TODAY()), ""SELECT Col2 WHERE Col2 IS NOT NULL ORDER BY Col1 DESC LIMIT 20"", 0) / QUERY(GOOGLEFINANCE(C90, ""low"", TODAY()-40, TODAY()), ""SELECT Col2 WHERE Col2 IS NOT NULL ORDE"&amp;"R BY Col1 DESC LIMIT 20"", 0) - 1)))"),"#N/A")</f>
        <v>#N/A</v>
      </c>
      <c r="H90" s="35" t="str">
        <f t="shared" si="6"/>
        <v>Illiquid</v>
      </c>
      <c r="I90" s="35" t="str">
        <f t="shared" si="7"/>
        <v>RVol Required</v>
      </c>
      <c r="J90" s="37">
        <f>IFERROR(__xludf.DUMMYFUNCTION("IFERROR(
  IF(C90="""",, 
    IFERROR(
      GOOGLEFINANCE(C90, ""price"") * GOOGLEFINANCE(C90, ""volumeavg""), 
      GOOGLEFINANCE(C90, ""price"") * AVERAGE(QUERY(GOOGLEFINANCE(C90, ""volume"", TODAY()-40, TODAY()), ""SELECT Col2 WHERE Col2 IS NOT NULL "&amp;"ORDER BY Col1 DESC LIMIT 20"", 0))
    )
  ), 
"""")"),430184.7)</f>
        <v>430184.7</v>
      </c>
      <c r="K90" s="21">
        <f>IFERROR(__xludf.DUMMYFUNCTION("IFERROR(GOOGLEFINANCE(C90, ""changepct"") / 100, """")"),0.013300000000000001)</f>
        <v>0.0133</v>
      </c>
      <c r="L90" s="21" t="str">
        <f>IFERROR(__xludf.DUMMYFUNCTION("IFERROR((GOOGLEFINANCE(C90, ""price"") / INDEX(GOOGLEFINANCE(C90, ""price"", TODAY()-7, TODAY()), 2, 2)) - 1, """")"),"")</f>
        <v/>
      </c>
      <c r="M90" s="21" t="str">
        <f>IFERROR(__xludf.DUMMYFUNCTION("IFERROR((GOOGLEFINANCE(C90, ""price"") / INDEX(GOOGLEFINANCE(C90, ""price"", EDATE(TODAY(), -1), TODAY()), 2, 2)) - 1, """")"),"")</f>
        <v/>
      </c>
      <c r="N90" s="21" t="str">
        <f>IFERROR(__xludf.DUMMYFUNCTION("IFERROR((GOOGLEFINANCE(C90, ""price"") / INDEX(GOOGLEFINANCE(C90, ""price"", EDATE(TODAY(), -3), TODAY()), 2, 2)) - 1, """")"),"")</f>
        <v/>
      </c>
      <c r="O90" s="21" t="str">
        <f>IFERROR(__xludf.DUMMYFUNCTION("IFERROR((GOOGLEFINANCE(C90, ""price"") / INDEX(GOOGLEFINANCE(C90, ""price"", EDATE(TODAY(), -6), TODAY()), 2, 2)) - 1, """")"),"")</f>
        <v/>
      </c>
      <c r="P90" s="21" t="str">
        <f>IFERROR(__xludf.DUMMYFUNCTION("IFERROR((GOOGLEFINANCE(C90, ""price"") / INDEX(GOOGLEFINANCE(C90, ""price"", EDATE(TODAY(), -12), TODAY()), 2, 2)) - 1, """")"),"")</f>
        <v/>
      </c>
      <c r="Q90" s="6" t="str">
        <f>IFERROR(__xludf.DUMMYFUNCTION("AVERAGE(QUERY(GOOGLEFINANCE(C90, ""price"", TODAY()-80, TODAY()), ""SELECT Col2 WHERE Col2 IS NOT NULL ORDER BY Col1 DESC LIMIT 50"", 0))"),"#N/A")</f>
        <v>#N/A</v>
      </c>
      <c r="R90" s="24" t="str">
        <f>IFERROR(__xludf.DUMMYFUNCTION("IFERROR(
  LET(
    data, QUERY(GOOGLEFINANCE(C90,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GOOGLEFINANCE(C90, ""price"")) * 100,
    IF(calc=0, G90, calc)
  ), 
G90)"),"#N/A")</f>
        <v>#N/A</v>
      </c>
      <c r="S90" s="8" t="s">
        <v>15</v>
      </c>
      <c r="T90" s="26" t="str">
        <f>IFERROR(__xludf.DUMMYFUNCTION("IFERROR(TRANSPOSE(QUERY(IFERROR(SORT(GOOGLEFINANCE(C90, ""price"", WORKDAY(TODAY(), -40), TODAY()), 1, FALSE)), ""select Col2 where Col2 is not null limit 22 label Col2 ''"", 0)), """")"),"")</f>
        <v/>
      </c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8"/>
      <c r="AO90" s="28"/>
      <c r="AP90" s="29"/>
      <c r="AQ90" s="29" t="str">
        <f t="shared" ref="AQ90:BL90" si="93">T90/T$2</f>
        <v>#N/A</v>
      </c>
      <c r="AR90" s="29" t="str">
        <f t="shared" si="93"/>
        <v>#DIV/0!</v>
      </c>
      <c r="AS90" s="29" t="str">
        <f t="shared" si="93"/>
        <v>#DIV/0!</v>
      </c>
      <c r="AT90" s="29" t="str">
        <f t="shared" si="93"/>
        <v>#DIV/0!</v>
      </c>
      <c r="AU90" s="29" t="str">
        <f t="shared" si="93"/>
        <v>#DIV/0!</v>
      </c>
      <c r="AV90" s="29" t="str">
        <f t="shared" si="93"/>
        <v>#DIV/0!</v>
      </c>
      <c r="AW90" s="29" t="str">
        <f t="shared" si="93"/>
        <v>#DIV/0!</v>
      </c>
      <c r="AX90" s="29" t="str">
        <f t="shared" si="93"/>
        <v>#DIV/0!</v>
      </c>
      <c r="AY90" s="29" t="str">
        <f t="shared" si="93"/>
        <v>#DIV/0!</v>
      </c>
      <c r="AZ90" s="29" t="str">
        <f t="shared" si="93"/>
        <v>#DIV/0!</v>
      </c>
      <c r="BA90" s="29" t="str">
        <f t="shared" si="93"/>
        <v>#DIV/0!</v>
      </c>
      <c r="BB90" s="29" t="str">
        <f t="shared" si="93"/>
        <v>#DIV/0!</v>
      </c>
      <c r="BC90" s="29" t="str">
        <f t="shared" si="93"/>
        <v>#DIV/0!</v>
      </c>
      <c r="BD90" s="29" t="str">
        <f t="shared" si="93"/>
        <v>#DIV/0!</v>
      </c>
      <c r="BE90" s="29" t="str">
        <f t="shared" si="93"/>
        <v>#DIV/0!</v>
      </c>
      <c r="BF90" s="29" t="str">
        <f t="shared" si="93"/>
        <v>#DIV/0!</v>
      </c>
      <c r="BG90" s="29" t="str">
        <f t="shared" si="93"/>
        <v>#DIV/0!</v>
      </c>
      <c r="BH90" s="29" t="str">
        <f t="shared" si="93"/>
        <v>#DIV/0!</v>
      </c>
      <c r="BI90" s="29" t="str">
        <f t="shared" si="93"/>
        <v>#DIV/0!</v>
      </c>
      <c r="BJ90" s="29" t="str">
        <f t="shared" si="93"/>
        <v>#DIV/0!</v>
      </c>
      <c r="BK90" s="29" t="str">
        <f t="shared" si="93"/>
        <v>#DIV/0!</v>
      </c>
      <c r="BL90" s="29" t="str">
        <f t="shared" si="93"/>
        <v>#DIV/0!</v>
      </c>
      <c r="BM90" s="29" t="str">
        <f t="shared" si="3"/>
        <v>#DIV/0!</v>
      </c>
    </row>
    <row r="91" hidden="1">
      <c r="A91" s="16" t="str">
        <f>IFERROR(__xludf.DUMMYFUNCTION("IFERROR(SPARKLINE(SORT(MAP(TRANSPOSE(AQ91:BL91), LAMBDA(val, IF(ISNUMBER(val), PERCENTRANK(AQ91:BL91, val)+0.01, 0))), SEQUENCE(COLUMNS(AQ91:BL91)), FALSE), {""charttype"",""column""; ""color"",""chartreuse""; ""ymin"", 0; ""ymax"", 1.01; ""highcolor"", "&amp;"""darkgreen""; ""lowcolor"", ""red""}), """")"),"")</f>
        <v/>
      </c>
      <c r="B91" s="17" t="str">
        <f t="shared" si="4"/>
        <v/>
      </c>
      <c r="C91" s="1" t="s">
        <v>2903</v>
      </c>
      <c r="D91" s="30" t="str">
        <f>IFERROR(__xludf.DUMMYFUNCTION("IFERROR(GOOGLEFINANCE(C91, ""NAME""))"),"Flotek Industries Inc")</f>
        <v>Flotek Industries Inc</v>
      </c>
      <c r="E91" s="30" t="s">
        <v>2537</v>
      </c>
      <c r="F91" s="38" t="str">
        <f>IFERROR(__xludf.DUMMYFUNCTION("( (GOOGLEFINANCE(C91, ""price"") - Q91) / Q91 ) / (R91 / 100)"),"Loading...")</f>
        <v>Loading...</v>
      </c>
      <c r="G91" s="20" t="str">
        <f>IFERROR(__xludf.DUMMYFUNCTION("AVERAGE(ARRAYFORMULA(100 * (QUERY(GOOGLEFINANCE(C91, ""high"", TODAY()-40, TODAY()), ""SELECT Col2 WHERE Col2 IS NOT NULL ORDER BY Col1 DESC LIMIT 20"", 0) / QUERY(GOOGLEFINANCE(C91, ""low"", TODAY()-40, TODAY()), ""SELECT Col2 WHERE Col2 IS NOT NULL ORDE"&amp;"R BY Col1 DESC LIMIT 20"", 0) - 1)))"),"#N/A")</f>
        <v>#N/A</v>
      </c>
      <c r="H91" s="35" t="str">
        <f t="shared" si="6"/>
        <v>Illiquid</v>
      </c>
      <c r="I91" s="35" t="str">
        <f t="shared" si="7"/>
        <v>RVol Required</v>
      </c>
      <c r="J91" s="37">
        <f>IFERROR(__xludf.DUMMYFUNCTION("IFERROR(
  IF(C91="""",, 
    IFERROR(
      GOOGLEFINANCE(C91, ""price"") * GOOGLEFINANCE(C91, ""volumeavg""), 
      GOOGLEFINANCE(C91, ""price"") * AVERAGE(QUERY(GOOGLEFINANCE(C91, ""volume"", TODAY()-40, TODAY()), ""SELECT Col2 WHERE Col2 IS NOT NULL "&amp;"ORDER BY Col1 DESC LIMIT 20"", 0))
    )
  ), 
"""")"),1.1174618879999999E7)</f>
        <v>11174618.88</v>
      </c>
      <c r="K91" s="21">
        <f>IFERROR(__xludf.DUMMYFUNCTION("IFERROR(GOOGLEFINANCE(C91, ""changepct"") / 100, """")"),-0.0271)</f>
        <v>-0.0271</v>
      </c>
      <c r="L91" s="21" t="str">
        <f>IFERROR(__xludf.DUMMYFUNCTION("IFERROR((GOOGLEFINANCE(C91, ""price"") / INDEX(GOOGLEFINANCE(C91, ""price"", TODAY()-7, TODAY()), 2, 2)) - 1, """")"),"")</f>
        <v/>
      </c>
      <c r="M91" s="21" t="str">
        <f>IFERROR(__xludf.DUMMYFUNCTION("IFERROR((GOOGLEFINANCE(C91, ""price"") / INDEX(GOOGLEFINANCE(C91, ""price"", EDATE(TODAY(), -1), TODAY()), 2, 2)) - 1, """")"),"")</f>
        <v/>
      </c>
      <c r="N91" s="21" t="str">
        <f>IFERROR(__xludf.DUMMYFUNCTION("IFERROR((GOOGLEFINANCE(C91, ""price"") / INDEX(GOOGLEFINANCE(C91, ""price"", EDATE(TODAY(), -3), TODAY()), 2, 2)) - 1, """")"),"")</f>
        <v/>
      </c>
      <c r="O91" s="21" t="str">
        <f>IFERROR(__xludf.DUMMYFUNCTION("IFERROR((GOOGLEFINANCE(C91, ""price"") / INDEX(GOOGLEFINANCE(C91, ""price"", EDATE(TODAY(), -6), TODAY()), 2, 2)) - 1, """")"),"")</f>
        <v/>
      </c>
      <c r="P91" s="21" t="str">
        <f>IFERROR(__xludf.DUMMYFUNCTION("IFERROR((GOOGLEFINANCE(C91, ""price"") / INDEX(GOOGLEFINANCE(C91, ""price"", EDATE(TODAY(), -12), TODAY()), 2, 2)) - 1, """")"),"")</f>
        <v/>
      </c>
      <c r="Q91" s="6" t="str">
        <f>IFERROR(__xludf.DUMMYFUNCTION("AVERAGE(QUERY(GOOGLEFINANCE(C91, ""price"", TODAY()-80, TODAY()), ""SELECT Col2 WHERE Col2 IS NOT NULL ORDER BY Col1 DESC LIMIT 50"", 0))"),"#N/A")</f>
        <v>#N/A</v>
      </c>
      <c r="R91" s="24" t="str">
        <f>IFERROR(__xludf.DUMMYFUNCTION("IFERROR(
  LET(
    data, QUERY(GOOGLEFINANCE(C91,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GOOGLEFINANCE(C91, ""price"")) * 100,
    IF(calc=0, G91, calc)
  ), 
G91)"),"#N/A")</f>
        <v>#N/A</v>
      </c>
      <c r="S91" s="8" t="s">
        <v>15</v>
      </c>
      <c r="T91" s="26" t="str">
        <f>IFERROR(__xludf.DUMMYFUNCTION("IFERROR(TRANSPOSE(QUERY(IFERROR(SORT(GOOGLEFINANCE(C91, ""price"", WORKDAY(TODAY(), -40), TODAY()), 1, FALSE)), ""select Col2 where Col2 is not null limit 22 label Col2 ''"", 0)), """")"),"")</f>
        <v/>
      </c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8"/>
      <c r="AO91" s="28"/>
      <c r="AP91" s="29"/>
      <c r="AQ91" s="29" t="str">
        <f t="shared" ref="AQ91:BL91" si="94">T91/T$2</f>
        <v>#N/A</v>
      </c>
      <c r="AR91" s="29" t="str">
        <f t="shared" si="94"/>
        <v>#DIV/0!</v>
      </c>
      <c r="AS91" s="29" t="str">
        <f t="shared" si="94"/>
        <v>#DIV/0!</v>
      </c>
      <c r="AT91" s="29" t="str">
        <f t="shared" si="94"/>
        <v>#DIV/0!</v>
      </c>
      <c r="AU91" s="29" t="str">
        <f t="shared" si="94"/>
        <v>#DIV/0!</v>
      </c>
      <c r="AV91" s="29" t="str">
        <f t="shared" si="94"/>
        <v>#DIV/0!</v>
      </c>
      <c r="AW91" s="29" t="str">
        <f t="shared" si="94"/>
        <v>#DIV/0!</v>
      </c>
      <c r="AX91" s="29" t="str">
        <f t="shared" si="94"/>
        <v>#DIV/0!</v>
      </c>
      <c r="AY91" s="29" t="str">
        <f t="shared" si="94"/>
        <v>#DIV/0!</v>
      </c>
      <c r="AZ91" s="29" t="str">
        <f t="shared" si="94"/>
        <v>#DIV/0!</v>
      </c>
      <c r="BA91" s="29" t="str">
        <f t="shared" si="94"/>
        <v>#DIV/0!</v>
      </c>
      <c r="BB91" s="29" t="str">
        <f t="shared" si="94"/>
        <v>#DIV/0!</v>
      </c>
      <c r="BC91" s="29" t="str">
        <f t="shared" si="94"/>
        <v>#DIV/0!</v>
      </c>
      <c r="BD91" s="29" t="str">
        <f t="shared" si="94"/>
        <v>#DIV/0!</v>
      </c>
      <c r="BE91" s="29" t="str">
        <f t="shared" si="94"/>
        <v>#DIV/0!</v>
      </c>
      <c r="BF91" s="29" t="str">
        <f t="shared" si="94"/>
        <v>#DIV/0!</v>
      </c>
      <c r="BG91" s="29" t="str">
        <f t="shared" si="94"/>
        <v>#DIV/0!</v>
      </c>
      <c r="BH91" s="29" t="str">
        <f t="shared" si="94"/>
        <v>#DIV/0!</v>
      </c>
      <c r="BI91" s="29" t="str">
        <f t="shared" si="94"/>
        <v>#DIV/0!</v>
      </c>
      <c r="BJ91" s="29" t="str">
        <f t="shared" si="94"/>
        <v>#DIV/0!</v>
      </c>
      <c r="BK91" s="29" t="str">
        <f t="shared" si="94"/>
        <v>#DIV/0!</v>
      </c>
      <c r="BL91" s="29" t="str">
        <f t="shared" si="94"/>
        <v>#DIV/0!</v>
      </c>
      <c r="BM91" s="29" t="str">
        <f t="shared" si="3"/>
        <v>#DIV/0!</v>
      </c>
    </row>
    <row r="92">
      <c r="A92" s="16" t="str">
        <f>IFERROR(__xludf.DUMMYFUNCTION("IFERROR(SPARKLINE(SORT(MAP(TRANSPOSE(AQ92:BL92), LAMBDA(val, IF(ISNUMBER(val), PERCENTRANK(AQ92:BL92, val)+0.01, 0))), SEQUENCE(COLUMNS(AQ92:BL92)), FALSE), {""charttype"",""column""; ""color"",""chartreuse""; ""ymin"", 0; ""ymax"", 1.01; ""highcolor"", "&amp;"""darkgreen""; ""lowcolor"", ""red""}), """")"),"")</f>
        <v/>
      </c>
      <c r="B92" s="17" t="str">
        <f t="shared" si="4"/>
        <v/>
      </c>
      <c r="C92" s="1" t="s">
        <v>2907</v>
      </c>
      <c r="D92" s="30" t="str">
        <f>IFERROR(__xludf.DUMMYFUNCTION("IFERROR(GOOGLEFINANCE(C92, ""NAME""))"),"Baker Hughes Co")</f>
        <v>Baker Hughes Co</v>
      </c>
      <c r="E92" s="30" t="s">
        <v>2537</v>
      </c>
      <c r="F92" s="33" t="str">
        <f>IFERROR(__xludf.DUMMYFUNCTION("( (GOOGLEFINANCE(C92, ""price"") - Q92) / Q92 ) / (R92 / 100)"),"Loading...")</f>
        <v>Loading...</v>
      </c>
      <c r="G92" s="20" t="str">
        <f>IFERROR(__xludf.DUMMYFUNCTION("AVERAGE(ARRAYFORMULA(100 * (QUERY(GOOGLEFINANCE(C92, ""high"", TODAY()-40, TODAY()), ""SELECT Col2 WHERE Col2 IS NOT NULL ORDER BY Col1 DESC LIMIT 20"", 0) / QUERY(GOOGLEFINANCE(C92, ""low"", TODAY()-40, TODAY()), ""SELECT Col2 WHERE Col2 IS NOT NULL ORDE"&amp;"R BY Col1 DESC LIMIT 20"", 0) - 1)))"),"#N/A")</f>
        <v>#N/A</v>
      </c>
      <c r="H92" s="35" t="str">
        <f t="shared" si="6"/>
        <v>Liquid</v>
      </c>
      <c r="I92" s="35" t="str">
        <f t="shared" si="7"/>
        <v>RVol Required</v>
      </c>
      <c r="J92" s="37">
        <f>IFERROR(__xludf.DUMMYFUNCTION("IFERROR(
  IF(C92="""",, 
    IFERROR(
      GOOGLEFINANCE(C92, ""price"") * GOOGLEFINANCE(C92, ""volumeavg""), 
      GOOGLEFINANCE(C92, ""price"") * AVERAGE(QUERY(GOOGLEFINANCE(C92, ""volume"", TODAY()-40, TODAY()), ""SELECT Col2 WHERE Col2 IS NOT NULL "&amp;"ORDER BY Col1 DESC LIMIT 20"", 0))
    )
  ), 
"""")"),4.1578384570000005E8)</f>
        <v>415783845.7</v>
      </c>
      <c r="K92" s="21">
        <f>IFERROR(__xludf.DUMMYFUNCTION("IFERROR(GOOGLEFINANCE(C92, ""changepct"") / 100, """")"),0.0239)</f>
        <v>0.0239</v>
      </c>
      <c r="L92" s="21" t="str">
        <f>IFERROR(__xludf.DUMMYFUNCTION("IFERROR((GOOGLEFINANCE(C92, ""price"") / INDEX(GOOGLEFINANCE(C92, ""price"", TODAY()-7, TODAY()), 2, 2)) - 1, """")"),"")</f>
        <v/>
      </c>
      <c r="M92" s="21" t="str">
        <f>IFERROR(__xludf.DUMMYFUNCTION("IFERROR((GOOGLEFINANCE(C92, ""price"") / INDEX(GOOGLEFINANCE(C92, ""price"", EDATE(TODAY(), -1), TODAY()), 2, 2)) - 1, """")"),"")</f>
        <v/>
      </c>
      <c r="N92" s="21" t="str">
        <f>IFERROR(__xludf.DUMMYFUNCTION("IFERROR((GOOGLEFINANCE(C92, ""price"") / INDEX(GOOGLEFINANCE(C92, ""price"", EDATE(TODAY(), -3), TODAY()), 2, 2)) - 1, """")"),"")</f>
        <v/>
      </c>
      <c r="O92" s="21" t="str">
        <f>IFERROR(__xludf.DUMMYFUNCTION("IFERROR((GOOGLEFINANCE(C92, ""price"") / INDEX(GOOGLEFINANCE(C92, ""price"", EDATE(TODAY(), -6), TODAY()), 2, 2)) - 1, """")"),"")</f>
        <v/>
      </c>
      <c r="P92" s="21" t="str">
        <f>IFERROR(__xludf.DUMMYFUNCTION("IFERROR((GOOGLEFINANCE(C92, ""price"") / INDEX(GOOGLEFINANCE(C92, ""price"", EDATE(TODAY(), -12), TODAY()), 2, 2)) - 1, """")"),"")</f>
        <v/>
      </c>
      <c r="Q92" s="6" t="str">
        <f>IFERROR(__xludf.DUMMYFUNCTION("AVERAGE(QUERY(GOOGLEFINANCE(C92, ""price"", TODAY()-80, TODAY()), ""SELECT Col2 WHERE Col2 IS NOT NULL ORDER BY Col1 DESC LIMIT 50"", 0))"),"#N/A")</f>
        <v>#N/A</v>
      </c>
      <c r="R92" s="24" t="str">
        <f>IFERROR(__xludf.DUMMYFUNCTION("IFERROR(
  LET(
    data, QUERY(GOOGLEFINANCE(C92,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GOOGLEFINANCE(C92, ""price"")) * 100,
    IF(calc=0, G92, calc)
  ), 
G92)"),"#N/A")</f>
        <v>#N/A</v>
      </c>
      <c r="S92" s="8" t="s">
        <v>15</v>
      </c>
      <c r="T92" s="26" t="str">
        <f>IFERROR(__xludf.DUMMYFUNCTION("IFERROR(TRANSPOSE(QUERY(IFERROR(SORT(GOOGLEFINANCE(C92, ""price"", WORKDAY(TODAY(), -40), TODAY()), 1, FALSE)), ""select Col2 where Col2 is not null limit 22 label Col2 ''"", 0)), """")"),"")</f>
        <v/>
      </c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8"/>
      <c r="AO92" s="28"/>
      <c r="AP92" s="29"/>
      <c r="AQ92" s="29" t="str">
        <f t="shared" ref="AQ92:BL92" si="95">T92/T$2</f>
        <v>#N/A</v>
      </c>
      <c r="AR92" s="29" t="str">
        <f t="shared" si="95"/>
        <v>#DIV/0!</v>
      </c>
      <c r="AS92" s="29" t="str">
        <f t="shared" si="95"/>
        <v>#DIV/0!</v>
      </c>
      <c r="AT92" s="29" t="str">
        <f t="shared" si="95"/>
        <v>#DIV/0!</v>
      </c>
      <c r="AU92" s="29" t="str">
        <f t="shared" si="95"/>
        <v>#DIV/0!</v>
      </c>
      <c r="AV92" s="29" t="str">
        <f t="shared" si="95"/>
        <v>#DIV/0!</v>
      </c>
      <c r="AW92" s="29" t="str">
        <f t="shared" si="95"/>
        <v>#DIV/0!</v>
      </c>
      <c r="AX92" s="29" t="str">
        <f t="shared" si="95"/>
        <v>#DIV/0!</v>
      </c>
      <c r="AY92" s="29" t="str">
        <f t="shared" si="95"/>
        <v>#DIV/0!</v>
      </c>
      <c r="AZ92" s="29" t="str">
        <f t="shared" si="95"/>
        <v>#DIV/0!</v>
      </c>
      <c r="BA92" s="29" t="str">
        <f t="shared" si="95"/>
        <v>#DIV/0!</v>
      </c>
      <c r="BB92" s="29" t="str">
        <f t="shared" si="95"/>
        <v>#DIV/0!</v>
      </c>
      <c r="BC92" s="29" t="str">
        <f t="shared" si="95"/>
        <v>#DIV/0!</v>
      </c>
      <c r="BD92" s="29" t="str">
        <f t="shared" si="95"/>
        <v>#DIV/0!</v>
      </c>
      <c r="BE92" s="29" t="str">
        <f t="shared" si="95"/>
        <v>#DIV/0!</v>
      </c>
      <c r="BF92" s="29" t="str">
        <f t="shared" si="95"/>
        <v>#DIV/0!</v>
      </c>
      <c r="BG92" s="29" t="str">
        <f t="shared" si="95"/>
        <v>#DIV/0!</v>
      </c>
      <c r="BH92" s="29" t="str">
        <f t="shared" si="95"/>
        <v>#DIV/0!</v>
      </c>
      <c r="BI92" s="29" t="str">
        <f t="shared" si="95"/>
        <v>#DIV/0!</v>
      </c>
      <c r="BJ92" s="29" t="str">
        <f t="shared" si="95"/>
        <v>#DIV/0!</v>
      </c>
      <c r="BK92" s="29" t="str">
        <f t="shared" si="95"/>
        <v>#DIV/0!</v>
      </c>
      <c r="BL92" s="29" t="str">
        <f t="shared" si="95"/>
        <v>#DIV/0!</v>
      </c>
      <c r="BM92" s="29" t="str">
        <f t="shared" si="3"/>
        <v>#DIV/0!</v>
      </c>
    </row>
    <row r="93" hidden="1">
      <c r="A93" s="16" t="str">
        <f>IFERROR(__xludf.DUMMYFUNCTION("IFERROR(SPARKLINE(SORT(MAP(TRANSPOSE(AQ93:BL93), LAMBDA(val, IF(ISNUMBER(val), PERCENTRANK(AQ93:BL93, val)+0.01, 0))), SEQUENCE(COLUMNS(AQ93:BL93)), FALSE), {""charttype"",""column""; ""color"",""chartreuse""; ""ymin"", 0; ""ymax"", 1.01; ""highcolor"", "&amp;"""darkgreen""; ""lowcolor"", ""red""}), """")"),"")</f>
        <v/>
      </c>
      <c r="B93" s="17" t="str">
        <f t="shared" si="4"/>
        <v/>
      </c>
      <c r="C93" s="1" t="s">
        <v>2911</v>
      </c>
      <c r="D93" s="30" t="str">
        <f>IFERROR(__xludf.DUMMYFUNCTION("IFERROR(GOOGLEFINANCE(C93, ""NAME""))"),"Profrac Holding Corp")</f>
        <v>Profrac Holding Corp</v>
      </c>
      <c r="E93" s="30" t="s">
        <v>2537</v>
      </c>
      <c r="F93" s="33" t="str">
        <f>IFERROR(__xludf.DUMMYFUNCTION("( (GOOGLEFINANCE(C93, ""price"") - Q93) / Q93 ) / (R93 / 100)"),"Loading...")</f>
        <v>Loading...</v>
      </c>
      <c r="G93" s="20" t="str">
        <f>IFERROR(__xludf.DUMMYFUNCTION("AVERAGE(ARRAYFORMULA(100 * (QUERY(GOOGLEFINANCE(C93, ""high"", TODAY()-40, TODAY()), ""SELECT Col2 WHERE Col2 IS NOT NULL ORDER BY Col1 DESC LIMIT 20"", 0) / QUERY(GOOGLEFINANCE(C93, ""low"", TODAY()-40, TODAY()), ""SELECT Col2 WHERE Col2 IS NOT NULL ORDE"&amp;"R BY Col1 DESC LIMIT 20"", 0) - 1)))"),"#N/A")</f>
        <v>#N/A</v>
      </c>
      <c r="H93" s="35" t="str">
        <f t="shared" si="6"/>
        <v>Illiquid</v>
      </c>
      <c r="I93" s="35" t="str">
        <f t="shared" si="7"/>
        <v>RVol Required</v>
      </c>
      <c r="J93" s="37">
        <f>IFERROR(__xludf.DUMMYFUNCTION("IFERROR(
  IF(C93="""",, 
    IFERROR(
      GOOGLEFINANCE(C93, ""price"") * GOOGLEFINANCE(C93, ""volumeavg""), 
      GOOGLEFINANCE(C93, ""price"") * AVERAGE(QUERY(GOOGLEFINANCE(C93, ""volume"", TODAY()-40, TODAY()), ""SELECT Col2 WHERE Col2 IS NOT NULL "&amp;"ORDER BY Col1 DESC LIMIT 20"", 0))
    )
  ), 
"""")"),4814238.0)</f>
        <v>4814238</v>
      </c>
      <c r="K93" s="21">
        <f>IFERROR(__xludf.DUMMYFUNCTION("IFERROR(GOOGLEFINANCE(C93, ""changepct"") / 100, """")"),-0.0218)</f>
        <v>-0.0218</v>
      </c>
      <c r="L93" s="21" t="str">
        <f>IFERROR(__xludf.DUMMYFUNCTION("IFERROR((GOOGLEFINANCE(C93, ""price"") / INDEX(GOOGLEFINANCE(C93, ""price"", TODAY()-7, TODAY()), 2, 2)) - 1, """")"),"")</f>
        <v/>
      </c>
      <c r="M93" s="21" t="str">
        <f>IFERROR(__xludf.DUMMYFUNCTION("IFERROR((GOOGLEFINANCE(C93, ""price"") / INDEX(GOOGLEFINANCE(C93, ""price"", EDATE(TODAY(), -1), TODAY()), 2, 2)) - 1, """")"),"")</f>
        <v/>
      </c>
      <c r="N93" s="21" t="str">
        <f>IFERROR(__xludf.DUMMYFUNCTION("IFERROR((GOOGLEFINANCE(C93, ""price"") / INDEX(GOOGLEFINANCE(C93, ""price"", EDATE(TODAY(), -3), TODAY()), 2, 2)) - 1, """")"),"")</f>
        <v/>
      </c>
      <c r="O93" s="21" t="str">
        <f>IFERROR(__xludf.DUMMYFUNCTION("IFERROR((GOOGLEFINANCE(C93, ""price"") / INDEX(GOOGLEFINANCE(C93, ""price"", EDATE(TODAY(), -6), TODAY()), 2, 2)) - 1, """")"),"")</f>
        <v/>
      </c>
      <c r="P93" s="21" t="str">
        <f>IFERROR(__xludf.DUMMYFUNCTION("IFERROR((GOOGLEFINANCE(C93, ""price"") / INDEX(GOOGLEFINANCE(C93, ""price"", EDATE(TODAY(), -12), TODAY()), 2, 2)) - 1, """")"),"")</f>
        <v/>
      </c>
      <c r="Q93" s="6" t="str">
        <f>IFERROR(__xludf.DUMMYFUNCTION("AVERAGE(QUERY(GOOGLEFINANCE(C93, ""price"", TODAY()-80, TODAY()), ""SELECT Col2 WHERE Col2 IS NOT NULL ORDER BY Col1 DESC LIMIT 50"", 0))"),"#N/A")</f>
        <v>#N/A</v>
      </c>
      <c r="R93" s="24" t="str">
        <f>IFERROR(__xludf.DUMMYFUNCTION("IFERROR(
  LET(
    data, QUERY(GOOGLEFINANCE(C93,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GOOGLEFINANCE(C93, ""price"")) * 100,
    IF(calc=0, G93, calc)
  ), 
G93)"),"#N/A")</f>
        <v>#N/A</v>
      </c>
      <c r="S93" s="8" t="s">
        <v>15</v>
      </c>
      <c r="T93" s="26" t="str">
        <f>IFERROR(__xludf.DUMMYFUNCTION("IFERROR(TRANSPOSE(QUERY(IFERROR(SORT(GOOGLEFINANCE(C93, ""price"", WORKDAY(TODAY(), -40), TODAY()), 1, FALSE)), ""select Col2 where Col2 is not null limit 22 label Col2 ''"", 0)), """")"),"")</f>
        <v/>
      </c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8"/>
      <c r="AO93" s="28"/>
      <c r="AP93" s="29"/>
      <c r="AQ93" s="29" t="str">
        <f t="shared" ref="AQ93:BL93" si="96">T93/T$2</f>
        <v>#N/A</v>
      </c>
      <c r="AR93" s="29" t="str">
        <f t="shared" si="96"/>
        <v>#DIV/0!</v>
      </c>
      <c r="AS93" s="29" t="str">
        <f t="shared" si="96"/>
        <v>#DIV/0!</v>
      </c>
      <c r="AT93" s="29" t="str">
        <f t="shared" si="96"/>
        <v>#DIV/0!</v>
      </c>
      <c r="AU93" s="29" t="str">
        <f t="shared" si="96"/>
        <v>#DIV/0!</v>
      </c>
      <c r="AV93" s="29" t="str">
        <f t="shared" si="96"/>
        <v>#DIV/0!</v>
      </c>
      <c r="AW93" s="29" t="str">
        <f t="shared" si="96"/>
        <v>#DIV/0!</v>
      </c>
      <c r="AX93" s="29" t="str">
        <f t="shared" si="96"/>
        <v>#DIV/0!</v>
      </c>
      <c r="AY93" s="29" t="str">
        <f t="shared" si="96"/>
        <v>#DIV/0!</v>
      </c>
      <c r="AZ93" s="29" t="str">
        <f t="shared" si="96"/>
        <v>#DIV/0!</v>
      </c>
      <c r="BA93" s="29" t="str">
        <f t="shared" si="96"/>
        <v>#DIV/0!</v>
      </c>
      <c r="BB93" s="29" t="str">
        <f t="shared" si="96"/>
        <v>#DIV/0!</v>
      </c>
      <c r="BC93" s="29" t="str">
        <f t="shared" si="96"/>
        <v>#DIV/0!</v>
      </c>
      <c r="BD93" s="29" t="str">
        <f t="shared" si="96"/>
        <v>#DIV/0!</v>
      </c>
      <c r="BE93" s="29" t="str">
        <f t="shared" si="96"/>
        <v>#DIV/0!</v>
      </c>
      <c r="BF93" s="29" t="str">
        <f t="shared" si="96"/>
        <v>#DIV/0!</v>
      </c>
      <c r="BG93" s="29" t="str">
        <f t="shared" si="96"/>
        <v>#DIV/0!</v>
      </c>
      <c r="BH93" s="29" t="str">
        <f t="shared" si="96"/>
        <v>#DIV/0!</v>
      </c>
      <c r="BI93" s="29" t="str">
        <f t="shared" si="96"/>
        <v>#DIV/0!</v>
      </c>
      <c r="BJ93" s="29" t="str">
        <f t="shared" si="96"/>
        <v>#DIV/0!</v>
      </c>
      <c r="BK93" s="29" t="str">
        <f t="shared" si="96"/>
        <v>#DIV/0!</v>
      </c>
      <c r="BL93" s="29" t="str">
        <f t="shared" si="96"/>
        <v>#DIV/0!</v>
      </c>
      <c r="BM93" s="29" t="str">
        <f t="shared" si="3"/>
        <v>#DIV/0!</v>
      </c>
    </row>
    <row r="94">
      <c r="A94" s="16" t="str">
        <f>IFERROR(__xludf.DUMMYFUNCTION("IFERROR(SPARKLINE(SORT(MAP(TRANSPOSE(AQ94:BL94), LAMBDA(val, IF(ISNUMBER(val), PERCENTRANK(AQ94:BL94, val)+0.01, 0))), SEQUENCE(COLUMNS(AQ94:BL94)), FALSE), {""charttype"",""column""; ""color"",""chartreuse""; ""ymin"", 0; ""ymax"", 1.01; ""highcolor"", "&amp;"""darkgreen""; ""lowcolor"", ""red""}), """")"),"")</f>
        <v/>
      </c>
      <c r="B94" s="17" t="str">
        <f t="shared" si="4"/>
        <v/>
      </c>
      <c r="C94" s="1" t="s">
        <v>2914</v>
      </c>
      <c r="D94" s="30" t="str">
        <f>IFERROR(__xludf.DUMMYFUNCTION("IFERROR(GOOGLEFINANCE(C94, ""NAME""))"),"Vista Energy SAB de CV - ADR")</f>
        <v>Vista Energy SAB de CV - ADR</v>
      </c>
      <c r="E94" s="30" t="s">
        <v>2613</v>
      </c>
      <c r="F94" s="33" t="str">
        <f>IFERROR(__xludf.DUMMYFUNCTION("( (GOOGLEFINANCE(C94, ""price"") - Q94) / Q94 ) / (R94 / 100)"),"Loading...")</f>
        <v>Loading...</v>
      </c>
      <c r="G94" s="20" t="str">
        <f>IFERROR(__xludf.DUMMYFUNCTION("AVERAGE(ARRAYFORMULA(100 * (QUERY(GOOGLEFINANCE(C94, ""high"", TODAY()-40, TODAY()), ""SELECT Col2 WHERE Col2 IS NOT NULL ORDER BY Col1 DESC LIMIT 20"", 0) / QUERY(GOOGLEFINANCE(C94, ""low"", TODAY()-40, TODAY()), ""SELECT Col2 WHERE Col2 IS NOT NULL ORDE"&amp;"R BY Col1 DESC LIMIT 20"", 0) - 1)))"),"#N/A")</f>
        <v>#N/A</v>
      </c>
      <c r="H94" s="35" t="str">
        <f t="shared" si="6"/>
        <v>Liquid</v>
      </c>
      <c r="I94" s="35" t="str">
        <f t="shared" si="7"/>
        <v>RVol Required</v>
      </c>
      <c r="J94" s="37">
        <f>IFERROR(__xludf.DUMMYFUNCTION("IFERROR(
  IF(C94="""",, 
    IFERROR(
      GOOGLEFINANCE(C94, ""price"") * GOOGLEFINANCE(C94, ""volumeavg""), 
      GOOGLEFINANCE(C94, ""price"") * AVERAGE(QUERY(GOOGLEFINANCE(C94, ""volume"", TODAY()-40, TODAY()), ""SELECT Col2 WHERE Col2 IS NOT NULL "&amp;"ORDER BY Col1 DESC LIMIT 20"", 0))
    )
  ), 
"""")"),7.60383429E7)</f>
        <v>76038342.9</v>
      </c>
      <c r="K94" s="21">
        <f>IFERROR(__xludf.DUMMYFUNCTION("IFERROR(GOOGLEFINANCE(C94, ""changepct"") / 100, """")"),0.027999999999999997)</f>
        <v>0.028</v>
      </c>
      <c r="L94" s="21" t="str">
        <f>IFERROR(__xludf.DUMMYFUNCTION("IFERROR((GOOGLEFINANCE(C94, ""price"") / INDEX(GOOGLEFINANCE(C94, ""price"", TODAY()-7, TODAY()), 2, 2)) - 1, """")"),"")</f>
        <v/>
      </c>
      <c r="M94" s="21" t="str">
        <f>IFERROR(__xludf.DUMMYFUNCTION("IFERROR((GOOGLEFINANCE(C94, ""price"") / INDEX(GOOGLEFINANCE(C94, ""price"", EDATE(TODAY(), -1), TODAY()), 2, 2)) - 1, """")"),"")</f>
        <v/>
      </c>
      <c r="N94" s="21" t="str">
        <f>IFERROR(__xludf.DUMMYFUNCTION("IFERROR((GOOGLEFINANCE(C94, ""price"") / INDEX(GOOGLEFINANCE(C94, ""price"", EDATE(TODAY(), -3), TODAY()), 2, 2)) - 1, """")"),"")</f>
        <v/>
      </c>
      <c r="O94" s="21" t="str">
        <f>IFERROR(__xludf.DUMMYFUNCTION("IFERROR((GOOGLEFINANCE(C94, ""price"") / INDEX(GOOGLEFINANCE(C94, ""price"", EDATE(TODAY(), -6), TODAY()), 2, 2)) - 1, """")"),"")</f>
        <v/>
      </c>
      <c r="P94" s="21" t="str">
        <f>IFERROR(__xludf.DUMMYFUNCTION("IFERROR((GOOGLEFINANCE(C94, ""price"") / INDEX(GOOGLEFINANCE(C94, ""price"", EDATE(TODAY(), -12), TODAY()), 2, 2)) - 1, """")"),"")</f>
        <v/>
      </c>
      <c r="Q94" s="6" t="str">
        <f>IFERROR(__xludf.DUMMYFUNCTION("AVERAGE(QUERY(GOOGLEFINANCE(C94, ""price"", TODAY()-80, TODAY()), ""SELECT Col2 WHERE Col2 IS NOT NULL ORDER BY Col1 DESC LIMIT 50"", 0))"),"#N/A")</f>
        <v>#N/A</v>
      </c>
      <c r="R94" s="24" t="str">
        <f>IFERROR(__xludf.DUMMYFUNCTION("IFERROR(
  LET(
    data, QUERY(GOOGLEFINANCE(C94,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GOOGLEFINANCE(C94, ""price"")) * 100,
    IF(calc=0, G94, calc)
  ), 
G94)"),"#N/A")</f>
        <v>#N/A</v>
      </c>
      <c r="S94" s="8" t="s">
        <v>15</v>
      </c>
      <c r="T94" s="26" t="str">
        <f>IFERROR(__xludf.DUMMYFUNCTION("IFERROR(TRANSPOSE(QUERY(IFERROR(SORT(GOOGLEFINANCE(C94, ""price"", WORKDAY(TODAY(), -40), TODAY()), 1, FALSE)), ""select Col2 where Col2 is not null limit 22 label Col2 ''"", 0)), """")"),"")</f>
        <v/>
      </c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8"/>
      <c r="AO94" s="28"/>
      <c r="AP94" s="29"/>
      <c r="AQ94" s="29" t="str">
        <f t="shared" ref="AQ94:BL94" si="97">T94/T$2</f>
        <v>#N/A</v>
      </c>
      <c r="AR94" s="29" t="str">
        <f t="shared" si="97"/>
        <v>#DIV/0!</v>
      </c>
      <c r="AS94" s="29" t="str">
        <f t="shared" si="97"/>
        <v>#DIV/0!</v>
      </c>
      <c r="AT94" s="29" t="str">
        <f t="shared" si="97"/>
        <v>#DIV/0!</v>
      </c>
      <c r="AU94" s="29" t="str">
        <f t="shared" si="97"/>
        <v>#DIV/0!</v>
      </c>
      <c r="AV94" s="29" t="str">
        <f t="shared" si="97"/>
        <v>#DIV/0!</v>
      </c>
      <c r="AW94" s="29" t="str">
        <f t="shared" si="97"/>
        <v>#DIV/0!</v>
      </c>
      <c r="AX94" s="29" t="str">
        <f t="shared" si="97"/>
        <v>#DIV/0!</v>
      </c>
      <c r="AY94" s="29" t="str">
        <f t="shared" si="97"/>
        <v>#DIV/0!</v>
      </c>
      <c r="AZ94" s="29" t="str">
        <f t="shared" si="97"/>
        <v>#DIV/0!</v>
      </c>
      <c r="BA94" s="29" t="str">
        <f t="shared" si="97"/>
        <v>#DIV/0!</v>
      </c>
      <c r="BB94" s="29" t="str">
        <f t="shared" si="97"/>
        <v>#DIV/0!</v>
      </c>
      <c r="BC94" s="29" t="str">
        <f t="shared" si="97"/>
        <v>#DIV/0!</v>
      </c>
      <c r="BD94" s="29" t="str">
        <f t="shared" si="97"/>
        <v>#DIV/0!</v>
      </c>
      <c r="BE94" s="29" t="str">
        <f t="shared" si="97"/>
        <v>#DIV/0!</v>
      </c>
      <c r="BF94" s="29" t="str">
        <f t="shared" si="97"/>
        <v>#DIV/0!</v>
      </c>
      <c r="BG94" s="29" t="str">
        <f t="shared" si="97"/>
        <v>#DIV/0!</v>
      </c>
      <c r="BH94" s="29" t="str">
        <f t="shared" si="97"/>
        <v>#DIV/0!</v>
      </c>
      <c r="BI94" s="29" t="str">
        <f t="shared" si="97"/>
        <v>#DIV/0!</v>
      </c>
      <c r="BJ94" s="29" t="str">
        <f t="shared" si="97"/>
        <v>#DIV/0!</v>
      </c>
      <c r="BK94" s="29" t="str">
        <f t="shared" si="97"/>
        <v>#DIV/0!</v>
      </c>
      <c r="BL94" s="29" t="str">
        <f t="shared" si="97"/>
        <v>#DIV/0!</v>
      </c>
      <c r="BM94" s="29" t="str">
        <f t="shared" si="3"/>
        <v>#DIV/0!</v>
      </c>
    </row>
    <row r="95" hidden="1">
      <c r="A95" s="16" t="str">
        <f>IFERROR(__xludf.DUMMYFUNCTION("IFERROR(SPARKLINE(SORT(MAP(TRANSPOSE(AQ95:BL95), LAMBDA(val, IF(ISNUMBER(val), PERCENTRANK(AQ95:BL95, val)+0.01, 0))), SEQUENCE(COLUMNS(AQ95:BL95)), FALSE), {""charttype"",""column""; ""color"",""chartreuse""; ""ymin"", 0; ""ymax"", 1.01; ""highcolor"", "&amp;"""darkgreen""; ""lowcolor"", ""red""}), """")"),"")</f>
        <v/>
      </c>
      <c r="B95" s="17" t="str">
        <f t="shared" si="4"/>
        <v/>
      </c>
      <c r="C95" s="1" t="s">
        <v>2917</v>
      </c>
      <c r="D95" s="30" t="str">
        <f>IFERROR(__xludf.DUMMYFUNCTION("IFERROR(GOOGLEFINANCE(C95, ""NAME""))"),"Ultrapar Participacoes SA")</f>
        <v>Ultrapar Participacoes SA</v>
      </c>
      <c r="E95" s="30" t="s">
        <v>2649</v>
      </c>
      <c r="F95" s="38" t="str">
        <f>IFERROR(__xludf.DUMMYFUNCTION("( (GOOGLEFINANCE(C95, ""price"") - Q95) / Q95 ) / (R95 / 100)"),"Loading...")</f>
        <v>Loading...</v>
      </c>
      <c r="G95" s="20" t="str">
        <f>IFERROR(__xludf.DUMMYFUNCTION("AVERAGE(ARRAYFORMULA(100 * (QUERY(GOOGLEFINANCE(C95, ""high"", TODAY()-40, TODAY()), ""SELECT Col2 WHERE Col2 IS NOT NULL ORDER BY Col1 DESC LIMIT 20"", 0) / QUERY(GOOGLEFINANCE(C95, ""low"", TODAY()-40, TODAY()), ""SELECT Col2 WHERE Col2 IS NOT NULL ORDE"&amp;"R BY Col1 DESC LIMIT 20"", 0) - 1)))"),"#N/A")</f>
        <v>#N/A</v>
      </c>
      <c r="H95" s="35" t="str">
        <f t="shared" si="6"/>
        <v>Illiquid</v>
      </c>
      <c r="I95" s="35" t="str">
        <f t="shared" si="7"/>
        <v>RVol Required</v>
      </c>
      <c r="J95" s="37">
        <f>IFERROR(__xludf.DUMMYFUNCTION("IFERROR(
  IF(C95="""",, 
    IFERROR(
      GOOGLEFINANCE(C95, ""price"") * GOOGLEFINANCE(C95, ""volumeavg""), 
      GOOGLEFINANCE(C95, ""price"") * AVERAGE(QUERY(GOOGLEFINANCE(C95, ""volume"", TODAY()-40, TODAY()), ""SELECT Col2 WHERE Col2 IS NOT NULL "&amp;"ORDER BY Col1 DESC LIMIT 20"", 0))
    )
  ), 
"""")"),3.33318804E7)</f>
        <v>33331880.4</v>
      </c>
      <c r="K95" s="21">
        <f>IFERROR(__xludf.DUMMYFUNCTION("IFERROR(GOOGLEFINANCE(C95, ""changepct"") / 100, """")"),0.0209)</f>
        <v>0.0209</v>
      </c>
      <c r="L95" s="21" t="str">
        <f>IFERROR(__xludf.DUMMYFUNCTION("IFERROR((GOOGLEFINANCE(C95, ""price"") / INDEX(GOOGLEFINANCE(C95, ""price"", TODAY()-7, TODAY()), 2, 2)) - 1, """")"),"")</f>
        <v/>
      </c>
      <c r="M95" s="21" t="str">
        <f>IFERROR(__xludf.DUMMYFUNCTION("IFERROR((GOOGLEFINANCE(C95, ""price"") / INDEX(GOOGLEFINANCE(C95, ""price"", EDATE(TODAY(), -1), TODAY()), 2, 2)) - 1, """")"),"")</f>
        <v/>
      </c>
      <c r="N95" s="21" t="str">
        <f>IFERROR(__xludf.DUMMYFUNCTION("IFERROR((GOOGLEFINANCE(C95, ""price"") / INDEX(GOOGLEFINANCE(C95, ""price"", EDATE(TODAY(), -3), TODAY()), 2, 2)) - 1, """")"),"")</f>
        <v/>
      </c>
      <c r="O95" s="21" t="str">
        <f>IFERROR(__xludf.DUMMYFUNCTION("IFERROR((GOOGLEFINANCE(C95, ""price"") / INDEX(GOOGLEFINANCE(C95, ""price"", EDATE(TODAY(), -6), TODAY()), 2, 2)) - 1, """")"),"")</f>
        <v/>
      </c>
      <c r="P95" s="21" t="str">
        <f>IFERROR(__xludf.DUMMYFUNCTION("IFERROR((GOOGLEFINANCE(C95, ""price"") / INDEX(GOOGLEFINANCE(C95, ""price"", EDATE(TODAY(), -12), TODAY()), 2, 2)) - 1, """")"),"")</f>
        <v/>
      </c>
      <c r="Q95" s="6" t="str">
        <f>IFERROR(__xludf.DUMMYFUNCTION("AVERAGE(QUERY(GOOGLEFINANCE(C95, ""price"", TODAY()-80, TODAY()), ""SELECT Col2 WHERE Col2 IS NOT NULL ORDER BY Col1 DESC LIMIT 50"", 0))"),"#N/A")</f>
        <v>#N/A</v>
      </c>
      <c r="R95" s="24" t="str">
        <f>IFERROR(__xludf.DUMMYFUNCTION("IFERROR(
  LET(
    data, QUERY(GOOGLEFINANCE(C95,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GOOGLEFINANCE(C95, ""price"")) * 100,
    IF(calc=0, G95, calc)
  ), 
G95)"),"#N/A")</f>
        <v>#N/A</v>
      </c>
      <c r="S95" s="8" t="s">
        <v>15</v>
      </c>
      <c r="T95" s="26" t="str">
        <f>IFERROR(__xludf.DUMMYFUNCTION("IFERROR(TRANSPOSE(QUERY(IFERROR(SORT(GOOGLEFINANCE(C95, ""price"", WORKDAY(TODAY(), -40), TODAY()), 1, FALSE)), ""select Col2 where Col2 is not null limit 22 label Col2 ''"", 0)), """")"),"")</f>
        <v/>
      </c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8"/>
      <c r="AO95" s="28"/>
      <c r="AP95" s="29"/>
      <c r="AQ95" s="29" t="str">
        <f t="shared" ref="AQ95:BL95" si="98">T95/T$2</f>
        <v>#N/A</v>
      </c>
      <c r="AR95" s="29" t="str">
        <f t="shared" si="98"/>
        <v>#DIV/0!</v>
      </c>
      <c r="AS95" s="29" t="str">
        <f t="shared" si="98"/>
        <v>#DIV/0!</v>
      </c>
      <c r="AT95" s="29" t="str">
        <f t="shared" si="98"/>
        <v>#DIV/0!</v>
      </c>
      <c r="AU95" s="29" t="str">
        <f t="shared" si="98"/>
        <v>#DIV/0!</v>
      </c>
      <c r="AV95" s="29" t="str">
        <f t="shared" si="98"/>
        <v>#DIV/0!</v>
      </c>
      <c r="AW95" s="29" t="str">
        <f t="shared" si="98"/>
        <v>#DIV/0!</v>
      </c>
      <c r="AX95" s="29" t="str">
        <f t="shared" si="98"/>
        <v>#DIV/0!</v>
      </c>
      <c r="AY95" s="29" t="str">
        <f t="shared" si="98"/>
        <v>#DIV/0!</v>
      </c>
      <c r="AZ95" s="29" t="str">
        <f t="shared" si="98"/>
        <v>#DIV/0!</v>
      </c>
      <c r="BA95" s="29" t="str">
        <f t="shared" si="98"/>
        <v>#DIV/0!</v>
      </c>
      <c r="BB95" s="29" t="str">
        <f t="shared" si="98"/>
        <v>#DIV/0!</v>
      </c>
      <c r="BC95" s="29" t="str">
        <f t="shared" si="98"/>
        <v>#DIV/0!</v>
      </c>
      <c r="BD95" s="29" t="str">
        <f t="shared" si="98"/>
        <v>#DIV/0!</v>
      </c>
      <c r="BE95" s="29" t="str">
        <f t="shared" si="98"/>
        <v>#DIV/0!</v>
      </c>
      <c r="BF95" s="29" t="str">
        <f t="shared" si="98"/>
        <v>#DIV/0!</v>
      </c>
      <c r="BG95" s="29" t="str">
        <f t="shared" si="98"/>
        <v>#DIV/0!</v>
      </c>
      <c r="BH95" s="29" t="str">
        <f t="shared" si="98"/>
        <v>#DIV/0!</v>
      </c>
      <c r="BI95" s="29" t="str">
        <f t="shared" si="98"/>
        <v>#DIV/0!</v>
      </c>
      <c r="BJ95" s="29" t="str">
        <f t="shared" si="98"/>
        <v>#DIV/0!</v>
      </c>
      <c r="BK95" s="29" t="str">
        <f t="shared" si="98"/>
        <v>#DIV/0!</v>
      </c>
      <c r="BL95" s="29" t="str">
        <f t="shared" si="98"/>
        <v>#DIV/0!</v>
      </c>
      <c r="BM95" s="29" t="str">
        <f t="shared" si="3"/>
        <v>#DIV/0!</v>
      </c>
    </row>
    <row r="96" hidden="1">
      <c r="A96" s="16" t="str">
        <f>IFERROR(__xludf.DUMMYFUNCTION("IFERROR(SPARKLINE(SORT(MAP(TRANSPOSE(AQ96:BL96), LAMBDA(val, IF(ISNUMBER(val), PERCENTRANK(AQ96:BL96, val)+0.01, 0))), SEQUENCE(COLUMNS(AQ96:BL96)), FALSE), {""charttype"",""column""; ""color"",""chartreuse""; ""ymin"", 0; ""ymax"", 1.01; ""highcolor"", "&amp;"""darkgreen""; ""lowcolor"", ""red""}), """")"),"")</f>
        <v/>
      </c>
      <c r="B96" s="17" t="str">
        <f t="shared" si="4"/>
        <v/>
      </c>
      <c r="C96" s="1" t="s">
        <v>2921</v>
      </c>
      <c r="D96" s="30" t="str">
        <f>IFERROR(__xludf.DUMMYFUNCTION("IFERROR(GOOGLEFINANCE(C96, ""NAME""))"),"Teekay Corp Ltd")</f>
        <v>Teekay Corp Ltd</v>
      </c>
      <c r="E96" s="30" t="s">
        <v>2547</v>
      </c>
      <c r="F96" s="33" t="str">
        <f>IFERROR(__xludf.DUMMYFUNCTION("( (GOOGLEFINANCE(C96, ""price"") - Q96) / Q96 ) / (R96 / 100)"),"Loading...")</f>
        <v>Loading...</v>
      </c>
      <c r="G96" s="20" t="str">
        <f>IFERROR(__xludf.DUMMYFUNCTION("AVERAGE(ARRAYFORMULA(100 * (QUERY(GOOGLEFINANCE(C96, ""high"", TODAY()-40, TODAY()), ""SELECT Col2 WHERE Col2 IS NOT NULL ORDER BY Col1 DESC LIMIT 20"", 0) / QUERY(GOOGLEFINANCE(C96, ""low"", TODAY()-40, TODAY()), ""SELECT Col2 WHERE Col2 IS NOT NULL ORDE"&amp;"R BY Col1 DESC LIMIT 20"", 0) - 1)))"),"#N/A")</f>
        <v>#N/A</v>
      </c>
      <c r="H96" s="35" t="str">
        <f t="shared" si="6"/>
        <v>Illiquid</v>
      </c>
      <c r="I96" s="35" t="str">
        <f t="shared" si="7"/>
        <v>RVol Required</v>
      </c>
      <c r="J96" s="37">
        <f>IFERROR(__xludf.DUMMYFUNCTION("IFERROR(
  IF(C96="""",, 
    IFERROR(
      GOOGLEFINANCE(C96, ""price"") * GOOGLEFINANCE(C96, ""volumeavg""), 
      GOOGLEFINANCE(C96, ""price"") * AVERAGE(QUERY(GOOGLEFINANCE(C96, ""volume"", TODAY()-40, TODAY()), ""SELECT Col2 WHERE Col2 IS NOT NULL "&amp;"ORDER BY Col1 DESC LIMIT 20"", 0))
    )
  ), 
"""")"),7925172.08)</f>
        <v>7925172.08</v>
      </c>
      <c r="K96" s="21">
        <f>IFERROR(__xludf.DUMMYFUNCTION("IFERROR(GOOGLEFINANCE(C96, ""changepct"") / 100, """")"),0.005)</f>
        <v>0.005</v>
      </c>
      <c r="L96" s="21" t="str">
        <f>IFERROR(__xludf.DUMMYFUNCTION("IFERROR((GOOGLEFINANCE(C96, ""price"") / INDEX(GOOGLEFINANCE(C96, ""price"", TODAY()-7, TODAY()), 2, 2)) - 1, """")"),"")</f>
        <v/>
      </c>
      <c r="M96" s="21" t="str">
        <f>IFERROR(__xludf.DUMMYFUNCTION("IFERROR((GOOGLEFINANCE(C96, ""price"") / INDEX(GOOGLEFINANCE(C96, ""price"", EDATE(TODAY(), -1), TODAY()), 2, 2)) - 1, """")"),"")</f>
        <v/>
      </c>
      <c r="N96" s="21" t="str">
        <f>IFERROR(__xludf.DUMMYFUNCTION("IFERROR((GOOGLEFINANCE(C96, ""price"") / INDEX(GOOGLEFINANCE(C96, ""price"", EDATE(TODAY(), -3), TODAY()), 2, 2)) - 1, """")"),"")</f>
        <v/>
      </c>
      <c r="O96" s="21" t="str">
        <f>IFERROR(__xludf.DUMMYFUNCTION("IFERROR((GOOGLEFINANCE(C96, ""price"") / INDEX(GOOGLEFINANCE(C96, ""price"", EDATE(TODAY(), -6), TODAY()), 2, 2)) - 1, """")"),"")</f>
        <v/>
      </c>
      <c r="P96" s="21" t="str">
        <f>IFERROR(__xludf.DUMMYFUNCTION("IFERROR((GOOGLEFINANCE(C96, ""price"") / INDEX(GOOGLEFINANCE(C96, ""price"", EDATE(TODAY(), -12), TODAY()), 2, 2)) - 1, """")"),"")</f>
        <v/>
      </c>
      <c r="Q96" s="6" t="str">
        <f>IFERROR(__xludf.DUMMYFUNCTION("AVERAGE(QUERY(GOOGLEFINANCE(C96, ""price"", TODAY()-80, TODAY()), ""SELECT Col2 WHERE Col2 IS NOT NULL ORDER BY Col1 DESC LIMIT 50"", 0))"),"#N/A")</f>
        <v>#N/A</v>
      </c>
      <c r="R96" s="24" t="str">
        <f>IFERROR(__xludf.DUMMYFUNCTION("IFERROR(
  LET(
    data, QUERY(GOOGLEFINANCE(C96,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GOOGLEFINANCE(C96, ""price"")) * 100,
    IF(calc=0, G96, calc)
  ), 
G96)"),"#N/A")</f>
        <v>#N/A</v>
      </c>
      <c r="S96" s="8" t="s">
        <v>15</v>
      </c>
      <c r="T96" s="26" t="str">
        <f>IFERROR(__xludf.DUMMYFUNCTION("IFERROR(TRANSPOSE(QUERY(IFERROR(SORT(GOOGLEFINANCE(C96, ""price"", WORKDAY(TODAY(), -40), TODAY()), 1, FALSE)), ""select Col2 where Col2 is not null limit 22 label Col2 ''"", 0)), """")"),"")</f>
        <v/>
      </c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8"/>
      <c r="AO96" s="28"/>
      <c r="AP96" s="29"/>
      <c r="AQ96" s="29" t="str">
        <f t="shared" ref="AQ96:BL96" si="99">T96/T$2</f>
        <v>#N/A</v>
      </c>
      <c r="AR96" s="29" t="str">
        <f t="shared" si="99"/>
        <v>#DIV/0!</v>
      </c>
      <c r="AS96" s="29" t="str">
        <f t="shared" si="99"/>
        <v>#DIV/0!</v>
      </c>
      <c r="AT96" s="29" t="str">
        <f t="shared" si="99"/>
        <v>#DIV/0!</v>
      </c>
      <c r="AU96" s="29" t="str">
        <f t="shared" si="99"/>
        <v>#DIV/0!</v>
      </c>
      <c r="AV96" s="29" t="str">
        <f t="shared" si="99"/>
        <v>#DIV/0!</v>
      </c>
      <c r="AW96" s="29" t="str">
        <f t="shared" si="99"/>
        <v>#DIV/0!</v>
      </c>
      <c r="AX96" s="29" t="str">
        <f t="shared" si="99"/>
        <v>#DIV/0!</v>
      </c>
      <c r="AY96" s="29" t="str">
        <f t="shared" si="99"/>
        <v>#DIV/0!</v>
      </c>
      <c r="AZ96" s="29" t="str">
        <f t="shared" si="99"/>
        <v>#DIV/0!</v>
      </c>
      <c r="BA96" s="29" t="str">
        <f t="shared" si="99"/>
        <v>#DIV/0!</v>
      </c>
      <c r="BB96" s="29" t="str">
        <f t="shared" si="99"/>
        <v>#DIV/0!</v>
      </c>
      <c r="BC96" s="29" t="str">
        <f t="shared" si="99"/>
        <v>#DIV/0!</v>
      </c>
      <c r="BD96" s="29" t="str">
        <f t="shared" si="99"/>
        <v>#DIV/0!</v>
      </c>
      <c r="BE96" s="29" t="str">
        <f t="shared" si="99"/>
        <v>#DIV/0!</v>
      </c>
      <c r="BF96" s="29" t="str">
        <f t="shared" si="99"/>
        <v>#DIV/0!</v>
      </c>
      <c r="BG96" s="29" t="str">
        <f t="shared" si="99"/>
        <v>#DIV/0!</v>
      </c>
      <c r="BH96" s="29" t="str">
        <f t="shared" si="99"/>
        <v>#DIV/0!</v>
      </c>
      <c r="BI96" s="29" t="str">
        <f t="shared" si="99"/>
        <v>#DIV/0!</v>
      </c>
      <c r="BJ96" s="29" t="str">
        <f t="shared" si="99"/>
        <v>#DIV/0!</v>
      </c>
      <c r="BK96" s="29" t="str">
        <f t="shared" si="99"/>
        <v>#DIV/0!</v>
      </c>
      <c r="BL96" s="29" t="str">
        <f t="shared" si="99"/>
        <v>#DIV/0!</v>
      </c>
      <c r="BM96" s="29" t="str">
        <f t="shared" si="3"/>
        <v>#DIV/0!</v>
      </c>
    </row>
    <row r="97" hidden="1">
      <c r="A97" s="16" t="str">
        <f>IFERROR(__xludf.DUMMYFUNCTION("IFERROR(SPARKLINE(SORT(MAP(TRANSPOSE(AQ97:BL97), LAMBDA(val, IF(ISNUMBER(val), PERCENTRANK(AQ97:BL97, val)+0.01, 0))), SEQUENCE(COLUMNS(AQ97:BL97)), FALSE), {""charttype"",""column""; ""color"",""chartreuse""; ""ymin"", 0; ""ymax"", 1.01; ""highcolor"", "&amp;"""darkgreen""; ""lowcolor"", ""red""}), """")"),"")</f>
        <v/>
      </c>
      <c r="B97" s="17" t="str">
        <f t="shared" si="4"/>
        <v/>
      </c>
      <c r="C97" s="1" t="s">
        <v>2924</v>
      </c>
      <c r="D97" s="30" t="str">
        <f>IFERROR(__xludf.DUMMYFUNCTION("IFERROR(GOOGLEFINANCE(C97, ""NAME""))"),"Sabine Royalty Trust")</f>
        <v>Sabine Royalty Trust</v>
      </c>
      <c r="E97" s="30" t="s">
        <v>2547</v>
      </c>
      <c r="F97" s="33" t="str">
        <f>IFERROR(__xludf.DUMMYFUNCTION("( (GOOGLEFINANCE(C97, ""price"") - Q97) / Q97 ) / (R97 / 100)"),"Loading...")</f>
        <v>Loading...</v>
      </c>
      <c r="G97" s="20" t="str">
        <f>IFERROR(__xludf.DUMMYFUNCTION("AVERAGE(ARRAYFORMULA(100 * (QUERY(GOOGLEFINANCE(C97, ""high"", TODAY()-40, TODAY()), ""SELECT Col2 WHERE Col2 IS NOT NULL ORDER BY Col1 DESC LIMIT 20"", 0) / QUERY(GOOGLEFINANCE(C97, ""low"", TODAY()-40, TODAY()), ""SELECT Col2 WHERE Col2 IS NOT NULL ORDE"&amp;"R BY Col1 DESC LIMIT 20"", 0) - 1)))"),"#N/A")</f>
        <v>#N/A</v>
      </c>
      <c r="H97" s="35" t="str">
        <f t="shared" si="6"/>
        <v>Illiquid</v>
      </c>
      <c r="I97" s="35" t="str">
        <f t="shared" si="7"/>
        <v>RVol Required</v>
      </c>
      <c r="J97" s="37">
        <f>IFERROR(__xludf.DUMMYFUNCTION("IFERROR(
  IF(C97="""",, 
    IFERROR(
      GOOGLEFINANCE(C97, ""price"") * GOOGLEFINANCE(C97, ""volumeavg""), 
      GOOGLEFINANCE(C97, ""price"") * AVERAGE(QUERY(GOOGLEFINANCE(C97, ""volume"", TODAY()-40, TODAY()), ""SELECT Col2 WHERE Col2 IS NOT NULL "&amp;"ORDER BY Col1 DESC LIMIT 20"", 0))
    )
  ), 
"""")"),2021612.1600000001)</f>
        <v>2021612.16</v>
      </c>
      <c r="K97" s="21">
        <f>IFERROR(__xludf.DUMMYFUNCTION("IFERROR(GOOGLEFINANCE(C97, ""changepct"") / 100, """")"),0.0075)</f>
        <v>0.0075</v>
      </c>
      <c r="L97" s="21" t="str">
        <f>IFERROR(__xludf.DUMMYFUNCTION("IFERROR((GOOGLEFINANCE(C97, ""price"") / INDEX(GOOGLEFINANCE(C97, ""price"", TODAY()-7, TODAY()), 2, 2)) - 1, """")"),"")</f>
        <v/>
      </c>
      <c r="M97" s="21" t="str">
        <f>IFERROR(__xludf.DUMMYFUNCTION("IFERROR((GOOGLEFINANCE(C97, ""price"") / INDEX(GOOGLEFINANCE(C97, ""price"", EDATE(TODAY(), -1), TODAY()), 2, 2)) - 1, """")"),"")</f>
        <v/>
      </c>
      <c r="N97" s="21" t="str">
        <f>IFERROR(__xludf.DUMMYFUNCTION("IFERROR((GOOGLEFINANCE(C97, ""price"") / INDEX(GOOGLEFINANCE(C97, ""price"", EDATE(TODAY(), -3), TODAY()), 2, 2)) - 1, """")"),"")</f>
        <v/>
      </c>
      <c r="O97" s="21" t="str">
        <f>IFERROR(__xludf.DUMMYFUNCTION("IFERROR((GOOGLEFINANCE(C97, ""price"") / INDEX(GOOGLEFINANCE(C97, ""price"", EDATE(TODAY(), -6), TODAY()), 2, 2)) - 1, """")"),"")</f>
        <v/>
      </c>
      <c r="P97" s="21" t="str">
        <f>IFERROR(__xludf.DUMMYFUNCTION("IFERROR((GOOGLEFINANCE(C97, ""price"") / INDEX(GOOGLEFINANCE(C97, ""price"", EDATE(TODAY(), -12), TODAY()), 2, 2)) - 1, """")"),"")</f>
        <v/>
      </c>
      <c r="Q97" s="6" t="str">
        <f>IFERROR(__xludf.DUMMYFUNCTION("AVERAGE(QUERY(GOOGLEFINANCE(C97, ""price"", TODAY()-80, TODAY()), ""SELECT Col2 WHERE Col2 IS NOT NULL ORDER BY Col1 DESC LIMIT 50"", 0))"),"#N/A")</f>
        <v>#N/A</v>
      </c>
      <c r="R97" s="24" t="str">
        <f>IFERROR(__xludf.DUMMYFUNCTION("IFERROR(
  LET(
    data, QUERY(GOOGLEFINANCE(C97,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GOOGLEFINANCE(C97, ""price"")) * 100,
    IF(calc=0, G97, calc)
  ), 
G97)"),"#N/A")</f>
        <v>#N/A</v>
      </c>
      <c r="S97" s="8" t="s">
        <v>15</v>
      </c>
      <c r="T97" s="26" t="str">
        <f>IFERROR(__xludf.DUMMYFUNCTION("IFERROR(TRANSPOSE(QUERY(IFERROR(SORT(GOOGLEFINANCE(C97, ""price"", WORKDAY(TODAY(), -40), TODAY()), 1, FALSE)), ""select Col2 where Col2 is not null limit 22 label Col2 ''"", 0)), """")"),"")</f>
        <v/>
      </c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8"/>
      <c r="AO97" s="28"/>
      <c r="AP97" s="29"/>
      <c r="AQ97" s="29" t="str">
        <f t="shared" ref="AQ97:BL97" si="100">T97/T$2</f>
        <v>#N/A</v>
      </c>
      <c r="AR97" s="29" t="str">
        <f t="shared" si="100"/>
        <v>#DIV/0!</v>
      </c>
      <c r="AS97" s="29" t="str">
        <f t="shared" si="100"/>
        <v>#DIV/0!</v>
      </c>
      <c r="AT97" s="29" t="str">
        <f t="shared" si="100"/>
        <v>#DIV/0!</v>
      </c>
      <c r="AU97" s="29" t="str">
        <f t="shared" si="100"/>
        <v>#DIV/0!</v>
      </c>
      <c r="AV97" s="29" t="str">
        <f t="shared" si="100"/>
        <v>#DIV/0!</v>
      </c>
      <c r="AW97" s="29" t="str">
        <f t="shared" si="100"/>
        <v>#DIV/0!</v>
      </c>
      <c r="AX97" s="29" t="str">
        <f t="shared" si="100"/>
        <v>#DIV/0!</v>
      </c>
      <c r="AY97" s="29" t="str">
        <f t="shared" si="100"/>
        <v>#DIV/0!</v>
      </c>
      <c r="AZ97" s="29" t="str">
        <f t="shared" si="100"/>
        <v>#DIV/0!</v>
      </c>
      <c r="BA97" s="29" t="str">
        <f t="shared" si="100"/>
        <v>#DIV/0!</v>
      </c>
      <c r="BB97" s="29" t="str">
        <f t="shared" si="100"/>
        <v>#DIV/0!</v>
      </c>
      <c r="BC97" s="29" t="str">
        <f t="shared" si="100"/>
        <v>#DIV/0!</v>
      </c>
      <c r="BD97" s="29" t="str">
        <f t="shared" si="100"/>
        <v>#DIV/0!</v>
      </c>
      <c r="BE97" s="29" t="str">
        <f t="shared" si="100"/>
        <v>#DIV/0!</v>
      </c>
      <c r="BF97" s="29" t="str">
        <f t="shared" si="100"/>
        <v>#DIV/0!</v>
      </c>
      <c r="BG97" s="29" t="str">
        <f t="shared" si="100"/>
        <v>#DIV/0!</v>
      </c>
      <c r="BH97" s="29" t="str">
        <f t="shared" si="100"/>
        <v>#DIV/0!</v>
      </c>
      <c r="BI97" s="29" t="str">
        <f t="shared" si="100"/>
        <v>#DIV/0!</v>
      </c>
      <c r="BJ97" s="29" t="str">
        <f t="shared" si="100"/>
        <v>#DIV/0!</v>
      </c>
      <c r="BK97" s="29" t="str">
        <f t="shared" si="100"/>
        <v>#DIV/0!</v>
      </c>
      <c r="BL97" s="29" t="str">
        <f t="shared" si="100"/>
        <v>#DIV/0!</v>
      </c>
      <c r="BM97" s="29" t="str">
        <f t="shared" si="3"/>
        <v>#DIV/0!</v>
      </c>
    </row>
    <row r="98" hidden="1">
      <c r="A98" s="16" t="str">
        <f>IFERROR(__xludf.DUMMYFUNCTION("IFERROR(SPARKLINE(SORT(MAP(TRANSPOSE(AQ98:BL98), LAMBDA(val, IF(ISNUMBER(val), PERCENTRANK(AQ98:BL98, val)+0.01, 0))), SEQUENCE(COLUMNS(AQ98:BL98)), FALSE), {""charttype"",""column""; ""color"",""chartreuse""; ""ymin"", 0; ""ymax"", 1.01; ""highcolor"", "&amp;"""darkgreen""; ""lowcolor"", ""red""}), """")"),"")</f>
        <v/>
      </c>
      <c r="B98" s="17" t="str">
        <f t="shared" si="4"/>
        <v/>
      </c>
      <c r="C98" s="1" t="s">
        <v>2930</v>
      </c>
      <c r="D98" s="30" t="str">
        <f>IFERROR(__xludf.DUMMYFUNCTION("IFERROR(GOOGLEFINANCE(C98, ""NAME""))"),"Precision Drilling Corp(Calgary)")</f>
        <v>Precision Drilling Corp(Calgary)</v>
      </c>
      <c r="E98" s="30" t="s">
        <v>2658</v>
      </c>
      <c r="F98" s="33" t="str">
        <f>IFERROR(__xludf.DUMMYFUNCTION("( (GOOGLEFINANCE(C98, ""price"") - Q98) / Q98 ) / (R98 / 100)"),"Loading...")</f>
        <v>Loading...</v>
      </c>
      <c r="G98" s="20" t="str">
        <f>IFERROR(__xludf.DUMMYFUNCTION("AVERAGE(ARRAYFORMULA(100 * (QUERY(GOOGLEFINANCE(C98, ""high"", TODAY()-40, TODAY()), ""SELECT Col2 WHERE Col2 IS NOT NULL ORDER BY Col1 DESC LIMIT 20"", 0) / QUERY(GOOGLEFINANCE(C98, ""low"", TODAY()-40, TODAY()), ""SELECT Col2 WHERE Col2 IS NOT NULL ORDE"&amp;"R BY Col1 DESC LIMIT 20"", 0) - 1)))"),"#N/A")</f>
        <v>#N/A</v>
      </c>
      <c r="H98" s="35" t="str">
        <f t="shared" si="6"/>
        <v>Illiquid</v>
      </c>
      <c r="I98" s="35" t="str">
        <f t="shared" si="7"/>
        <v>RVol Required</v>
      </c>
      <c r="J98" s="37">
        <f>IFERROR(__xludf.DUMMYFUNCTION("IFERROR(
  IF(C98="""",, 
    IFERROR(
      GOOGLEFINANCE(C98, ""price"") * GOOGLEFINANCE(C98, ""volumeavg""), 
      GOOGLEFINANCE(C98, ""price"") * AVERAGE(QUERY(GOOGLEFINANCE(C98, ""volume"", TODAY()-40, TODAY()), ""SELECT Col2 WHERE Col2 IS NOT NULL "&amp;"ORDER BY Col1 DESC LIMIT 20"", 0))
    )
  ), 
"""")"),8302029.75)</f>
        <v>8302029.75</v>
      </c>
      <c r="K98" s="21">
        <f>IFERROR(__xludf.DUMMYFUNCTION("IFERROR(GOOGLEFINANCE(C98, ""changepct"") / 100, """")"),0.0248)</f>
        <v>0.0248</v>
      </c>
      <c r="L98" s="21" t="str">
        <f>IFERROR(__xludf.DUMMYFUNCTION("IFERROR((GOOGLEFINANCE(C98, ""price"") / INDEX(GOOGLEFINANCE(C98, ""price"", TODAY()-7, TODAY()), 2, 2)) - 1, """")"),"")</f>
        <v/>
      </c>
      <c r="M98" s="21" t="str">
        <f>IFERROR(__xludf.DUMMYFUNCTION("IFERROR((GOOGLEFINANCE(C98, ""price"") / INDEX(GOOGLEFINANCE(C98, ""price"", EDATE(TODAY(), -1), TODAY()), 2, 2)) - 1, """")"),"")</f>
        <v/>
      </c>
      <c r="N98" s="21" t="str">
        <f>IFERROR(__xludf.DUMMYFUNCTION("IFERROR((GOOGLEFINANCE(C98, ""price"") / INDEX(GOOGLEFINANCE(C98, ""price"", EDATE(TODAY(), -3), TODAY()), 2, 2)) - 1, """")"),"")</f>
        <v/>
      </c>
      <c r="O98" s="21" t="str">
        <f>IFERROR(__xludf.DUMMYFUNCTION("IFERROR((GOOGLEFINANCE(C98, ""price"") / INDEX(GOOGLEFINANCE(C98, ""price"", EDATE(TODAY(), -6), TODAY()), 2, 2)) - 1, """")"),"")</f>
        <v/>
      </c>
      <c r="P98" s="21" t="str">
        <f>IFERROR(__xludf.DUMMYFUNCTION("IFERROR((GOOGLEFINANCE(C98, ""price"") / INDEX(GOOGLEFINANCE(C98, ""price"", EDATE(TODAY(), -12), TODAY()), 2, 2)) - 1, """")"),"")</f>
        <v/>
      </c>
      <c r="Q98" s="6" t="str">
        <f>IFERROR(__xludf.DUMMYFUNCTION("AVERAGE(QUERY(GOOGLEFINANCE(C98, ""price"", TODAY()-80, TODAY()), ""SELECT Col2 WHERE Col2 IS NOT NULL ORDER BY Col1 DESC LIMIT 50"", 0))"),"#N/A")</f>
        <v>#N/A</v>
      </c>
      <c r="R98" s="24" t="str">
        <f>IFERROR(__xludf.DUMMYFUNCTION("IFERROR(
  LET(
    data, QUERY(GOOGLEFINANCE(C98,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GOOGLEFINANCE(C98, ""price"")) * 100,
    IF(calc=0, G98, calc)
  ), 
G98)"),"#N/A")</f>
        <v>#N/A</v>
      </c>
      <c r="S98" s="8" t="s">
        <v>15</v>
      </c>
      <c r="T98" s="26" t="str">
        <f>IFERROR(__xludf.DUMMYFUNCTION("IFERROR(TRANSPOSE(QUERY(IFERROR(SORT(GOOGLEFINANCE(C98, ""price"", WORKDAY(TODAY(), -40), TODAY()), 1, FALSE)), ""select Col2 where Col2 is not null limit 22 label Col2 ''"", 0)), """")"),"")</f>
        <v/>
      </c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8"/>
      <c r="AO98" s="28"/>
      <c r="AP98" s="29"/>
      <c r="AQ98" s="29" t="str">
        <f t="shared" ref="AQ98:BL98" si="101">T98/T$2</f>
        <v>#N/A</v>
      </c>
      <c r="AR98" s="29" t="str">
        <f t="shared" si="101"/>
        <v>#DIV/0!</v>
      </c>
      <c r="AS98" s="29" t="str">
        <f t="shared" si="101"/>
        <v>#DIV/0!</v>
      </c>
      <c r="AT98" s="29" t="str">
        <f t="shared" si="101"/>
        <v>#DIV/0!</v>
      </c>
      <c r="AU98" s="29" t="str">
        <f t="shared" si="101"/>
        <v>#DIV/0!</v>
      </c>
      <c r="AV98" s="29" t="str">
        <f t="shared" si="101"/>
        <v>#DIV/0!</v>
      </c>
      <c r="AW98" s="29" t="str">
        <f t="shared" si="101"/>
        <v>#DIV/0!</v>
      </c>
      <c r="AX98" s="29" t="str">
        <f t="shared" si="101"/>
        <v>#DIV/0!</v>
      </c>
      <c r="AY98" s="29" t="str">
        <f t="shared" si="101"/>
        <v>#DIV/0!</v>
      </c>
      <c r="AZ98" s="29" t="str">
        <f t="shared" si="101"/>
        <v>#DIV/0!</v>
      </c>
      <c r="BA98" s="29" t="str">
        <f t="shared" si="101"/>
        <v>#DIV/0!</v>
      </c>
      <c r="BB98" s="29" t="str">
        <f t="shared" si="101"/>
        <v>#DIV/0!</v>
      </c>
      <c r="BC98" s="29" t="str">
        <f t="shared" si="101"/>
        <v>#DIV/0!</v>
      </c>
      <c r="BD98" s="29" t="str">
        <f t="shared" si="101"/>
        <v>#DIV/0!</v>
      </c>
      <c r="BE98" s="29" t="str">
        <f t="shared" si="101"/>
        <v>#DIV/0!</v>
      </c>
      <c r="BF98" s="29" t="str">
        <f t="shared" si="101"/>
        <v>#DIV/0!</v>
      </c>
      <c r="BG98" s="29" t="str">
        <f t="shared" si="101"/>
        <v>#DIV/0!</v>
      </c>
      <c r="BH98" s="29" t="str">
        <f t="shared" si="101"/>
        <v>#DIV/0!</v>
      </c>
      <c r="BI98" s="29" t="str">
        <f t="shared" si="101"/>
        <v>#DIV/0!</v>
      </c>
      <c r="BJ98" s="29" t="str">
        <f t="shared" si="101"/>
        <v>#DIV/0!</v>
      </c>
      <c r="BK98" s="29" t="str">
        <f t="shared" si="101"/>
        <v>#DIV/0!</v>
      </c>
      <c r="BL98" s="29" t="str">
        <f t="shared" si="101"/>
        <v>#DIV/0!</v>
      </c>
      <c r="BM98" s="29" t="str">
        <f t="shared" si="3"/>
        <v>#DIV/0!</v>
      </c>
    </row>
    <row r="99" hidden="1">
      <c r="A99" s="16" t="str">
        <f>IFERROR(__xludf.DUMMYFUNCTION("IFERROR(SPARKLINE(SORT(MAP(TRANSPOSE(AQ99:BL99), LAMBDA(val, IF(ISNUMBER(val), PERCENTRANK(AQ99:BL99, val)+0.01, 0))), SEQUENCE(COLUMNS(AQ99:BL99)), FALSE), {""charttype"",""column""; ""color"",""chartreuse""; ""ymin"", 0; ""ymax"", 1.01; ""highcolor"", "&amp;"""darkgreen""; ""lowcolor"", ""red""}), """")"),"")</f>
        <v/>
      </c>
      <c r="B99" s="17" t="str">
        <f t="shared" si="4"/>
        <v/>
      </c>
      <c r="C99" s="1" t="s">
        <v>2933</v>
      </c>
      <c r="D99" s="30" t="str">
        <f>IFERROR(__xludf.DUMMYFUNCTION("IFERROR(GOOGLEFINANCE(C99, ""NAME""))"),"Nordic American Tankers Ltd")</f>
        <v>Nordic American Tankers Ltd</v>
      </c>
      <c r="E99" s="30" t="s">
        <v>2547</v>
      </c>
      <c r="F99" s="33" t="str">
        <f>IFERROR(__xludf.DUMMYFUNCTION("( (GOOGLEFINANCE(C99, ""price"") - Q99) / Q99 ) / (R99 / 100)"),"Loading...")</f>
        <v>Loading...</v>
      </c>
      <c r="G99" s="20" t="str">
        <f>IFERROR(__xludf.DUMMYFUNCTION("AVERAGE(ARRAYFORMULA(100 * (QUERY(GOOGLEFINANCE(C99, ""high"", TODAY()-40, TODAY()), ""SELECT Col2 WHERE Col2 IS NOT NULL ORDER BY Col1 DESC LIMIT 20"", 0) / QUERY(GOOGLEFINANCE(C99, ""low"", TODAY()-40, TODAY()), ""SELECT Col2 WHERE Col2 IS NOT NULL ORDE"&amp;"R BY Col1 DESC LIMIT 20"", 0) - 1)))"),"#N/A")</f>
        <v>#N/A</v>
      </c>
      <c r="H99" s="35" t="str">
        <f t="shared" si="6"/>
        <v>Illiquid</v>
      </c>
      <c r="I99" s="35" t="str">
        <f t="shared" si="7"/>
        <v>RVol Required</v>
      </c>
      <c r="J99" s="37">
        <f>IFERROR(__xludf.DUMMYFUNCTION("IFERROR(
  IF(C99="""",, 
    IFERROR(
      GOOGLEFINANCE(C99, ""price"") * GOOGLEFINANCE(C99, ""volumeavg""), 
      GOOGLEFINANCE(C99, ""price"") * AVERAGE(QUERY(GOOGLEFINANCE(C99, ""volume"", TODAY()-40, TODAY()), ""SELECT Col2 WHERE Col2 IS NOT NULL "&amp;"ORDER BY Col1 DESC LIMIT 20"", 0))
    )
  ), 
"""")"),4.143339194E7)</f>
        <v>41433391.94</v>
      </c>
      <c r="K99" s="21">
        <f>IFERROR(__xludf.DUMMYFUNCTION("IFERROR(GOOGLEFINANCE(C99, ""changepct"") / 100, """")"),-0.020499999999999997)</f>
        <v>-0.0205</v>
      </c>
      <c r="L99" s="21" t="str">
        <f>IFERROR(__xludf.DUMMYFUNCTION("IFERROR((GOOGLEFINANCE(C99, ""price"") / INDEX(GOOGLEFINANCE(C99, ""price"", TODAY()-7, TODAY()), 2, 2)) - 1, """")"),"")</f>
        <v/>
      </c>
      <c r="M99" s="21" t="str">
        <f>IFERROR(__xludf.DUMMYFUNCTION("IFERROR((GOOGLEFINANCE(C99, ""price"") / INDEX(GOOGLEFINANCE(C99, ""price"", EDATE(TODAY(), -1), TODAY()), 2, 2)) - 1, """")"),"")</f>
        <v/>
      </c>
      <c r="N99" s="21" t="str">
        <f>IFERROR(__xludf.DUMMYFUNCTION("IFERROR((GOOGLEFINANCE(C99, ""price"") / INDEX(GOOGLEFINANCE(C99, ""price"", EDATE(TODAY(), -3), TODAY()), 2, 2)) - 1, """")"),"")</f>
        <v/>
      </c>
      <c r="O99" s="21" t="str">
        <f>IFERROR(__xludf.DUMMYFUNCTION("IFERROR((GOOGLEFINANCE(C99, ""price"") / INDEX(GOOGLEFINANCE(C99, ""price"", EDATE(TODAY(), -6), TODAY()), 2, 2)) - 1, """")"),"")</f>
        <v/>
      </c>
      <c r="P99" s="21" t="str">
        <f>IFERROR(__xludf.DUMMYFUNCTION("IFERROR((GOOGLEFINANCE(C99, ""price"") / INDEX(GOOGLEFINANCE(C99, ""price"", EDATE(TODAY(), -12), TODAY()), 2, 2)) - 1, """")"),"")</f>
        <v/>
      </c>
      <c r="Q99" s="6" t="str">
        <f>IFERROR(__xludf.DUMMYFUNCTION("AVERAGE(QUERY(GOOGLEFINANCE(C99, ""price"", TODAY()-80, TODAY()), ""SELECT Col2 WHERE Col2 IS NOT NULL ORDER BY Col1 DESC LIMIT 50"", 0))"),"#N/A")</f>
        <v>#N/A</v>
      </c>
      <c r="R99" s="24" t="str">
        <f>IFERROR(__xludf.DUMMYFUNCTION("IFERROR(
  LET(
    data, QUERY(GOOGLEFINANCE(C99,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GOOGLEFINANCE(C99, ""price"")) * 100,
    IF(calc=0, G99, calc)
  ), 
G99)"),"#N/A")</f>
        <v>#N/A</v>
      </c>
      <c r="S99" s="8" t="s">
        <v>15</v>
      </c>
      <c r="T99" s="26" t="str">
        <f>IFERROR(__xludf.DUMMYFUNCTION("IFERROR(TRANSPOSE(QUERY(IFERROR(SORT(GOOGLEFINANCE(C99, ""price"", WORKDAY(TODAY(), -40), TODAY()), 1, FALSE)), ""select Col2 where Col2 is not null limit 22 label Col2 ''"", 0)), """")"),"")</f>
        <v/>
      </c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8"/>
      <c r="AO99" s="28"/>
      <c r="AP99" s="29"/>
      <c r="AQ99" s="29" t="str">
        <f t="shared" ref="AQ99:BL99" si="102">T99/T$2</f>
        <v>#N/A</v>
      </c>
      <c r="AR99" s="29" t="str">
        <f t="shared" si="102"/>
        <v>#DIV/0!</v>
      </c>
      <c r="AS99" s="29" t="str">
        <f t="shared" si="102"/>
        <v>#DIV/0!</v>
      </c>
      <c r="AT99" s="29" t="str">
        <f t="shared" si="102"/>
        <v>#DIV/0!</v>
      </c>
      <c r="AU99" s="29" t="str">
        <f t="shared" si="102"/>
        <v>#DIV/0!</v>
      </c>
      <c r="AV99" s="29" t="str">
        <f t="shared" si="102"/>
        <v>#DIV/0!</v>
      </c>
      <c r="AW99" s="29" t="str">
        <f t="shared" si="102"/>
        <v>#DIV/0!</v>
      </c>
      <c r="AX99" s="29" t="str">
        <f t="shared" si="102"/>
        <v>#DIV/0!</v>
      </c>
      <c r="AY99" s="29" t="str">
        <f t="shared" si="102"/>
        <v>#DIV/0!</v>
      </c>
      <c r="AZ99" s="29" t="str">
        <f t="shared" si="102"/>
        <v>#DIV/0!</v>
      </c>
      <c r="BA99" s="29" t="str">
        <f t="shared" si="102"/>
        <v>#DIV/0!</v>
      </c>
      <c r="BB99" s="29" t="str">
        <f t="shared" si="102"/>
        <v>#DIV/0!</v>
      </c>
      <c r="BC99" s="29" t="str">
        <f t="shared" si="102"/>
        <v>#DIV/0!</v>
      </c>
      <c r="BD99" s="29" t="str">
        <f t="shared" si="102"/>
        <v>#DIV/0!</v>
      </c>
      <c r="BE99" s="29" t="str">
        <f t="shared" si="102"/>
        <v>#DIV/0!</v>
      </c>
      <c r="BF99" s="29" t="str">
        <f t="shared" si="102"/>
        <v>#DIV/0!</v>
      </c>
      <c r="BG99" s="29" t="str">
        <f t="shared" si="102"/>
        <v>#DIV/0!</v>
      </c>
      <c r="BH99" s="29" t="str">
        <f t="shared" si="102"/>
        <v>#DIV/0!</v>
      </c>
      <c r="BI99" s="29" t="str">
        <f t="shared" si="102"/>
        <v>#DIV/0!</v>
      </c>
      <c r="BJ99" s="29" t="str">
        <f t="shared" si="102"/>
        <v>#DIV/0!</v>
      </c>
      <c r="BK99" s="29" t="str">
        <f t="shared" si="102"/>
        <v>#DIV/0!</v>
      </c>
      <c r="BL99" s="29" t="str">
        <f t="shared" si="102"/>
        <v>#DIV/0!</v>
      </c>
      <c r="BM99" s="29" t="str">
        <f t="shared" si="3"/>
        <v>#DIV/0!</v>
      </c>
    </row>
    <row r="100">
      <c r="A100" s="16" t="str">
        <f>IFERROR(__xludf.DUMMYFUNCTION("IFERROR(SPARKLINE(SORT(MAP(TRANSPOSE(AQ100:BL100), LAMBDA(val, IF(ISNUMBER(val), PERCENTRANK(AQ100:BL100, val)+0.01, 0))), SEQUENCE(COLUMNS(AQ100:BL100)), FALSE), {""charttype"",""column""; ""color"",""chartreuse""; ""ymin"", 0; ""ymax"", 1.01; ""highcolo"&amp;"r"", ""darkgreen""; ""lowcolor"", ""red""}), """")"),"")</f>
        <v/>
      </c>
      <c r="B100" s="17" t="str">
        <f t="shared" si="4"/>
        <v/>
      </c>
      <c r="C100" s="1" t="s">
        <v>2938</v>
      </c>
      <c r="D100" s="30" t="str">
        <f>IFERROR(__xludf.DUMMYFUNCTION("IFERROR(GOOGLEFINANCE(C100, ""NAME""))"),"Diamondback Energy Inc")</f>
        <v>Diamondback Energy Inc</v>
      </c>
      <c r="E100" s="30" t="s">
        <v>2613</v>
      </c>
      <c r="F100" s="38" t="str">
        <f>IFERROR(__xludf.DUMMYFUNCTION("( (GOOGLEFINANCE(C100, ""price"") - Q100) / Q100 ) / (R100 / 100)"),"Loading...")</f>
        <v>Loading...</v>
      </c>
      <c r="G100" s="20" t="str">
        <f>IFERROR(__xludf.DUMMYFUNCTION("AVERAGE(ARRAYFORMULA(100 * (QUERY(GOOGLEFINANCE(C100, ""high"", TODAY()-40, TODAY()), ""SELECT Col2 WHERE Col2 IS NOT NULL ORDER BY Col1 DESC LIMIT 20"", 0) / QUERY(GOOGLEFINANCE(C100, ""low"", TODAY()-40, TODAY()), ""SELECT Col2 WHERE Col2 IS NOT NULL OR"&amp;"DER BY Col1 DESC LIMIT 20"", 0) - 1)))"),"#N/A")</f>
        <v>#N/A</v>
      </c>
      <c r="H100" s="35" t="str">
        <f t="shared" si="6"/>
        <v>Liquid</v>
      </c>
      <c r="I100" s="35" t="str">
        <f t="shared" si="7"/>
        <v>No RVol Required</v>
      </c>
      <c r="J100" s="37">
        <f>IFERROR(__xludf.DUMMYFUNCTION("IFERROR(
  IF(C100="""",, 
    IFERROR(
      GOOGLEFINANCE(C100, ""price"") * GOOGLEFINANCE(C100, ""volumeavg""), 
      GOOGLEFINANCE(C100, ""price"") * AVERAGE(QUERY(GOOGLEFINANCE(C100, ""volume"", TODAY()-40, TODAY()), ""SELECT Col2 WHERE Col2 IS NOT "&amp;"NULL ORDER BY Col1 DESC LIMIT 20"", 0))
    )
  ), 
"""")"),6.052204013E8)</f>
        <v>605220401.3</v>
      </c>
      <c r="K100" s="21">
        <f>IFERROR(__xludf.DUMMYFUNCTION("IFERROR(GOOGLEFINANCE(C100, ""changepct"") / 100, """")"),0.042699999999999995)</f>
        <v>0.0427</v>
      </c>
      <c r="L100" s="21" t="str">
        <f>IFERROR(__xludf.DUMMYFUNCTION("IFERROR((GOOGLEFINANCE(C100, ""price"") / INDEX(GOOGLEFINANCE(C100, ""price"", TODAY()-7, TODAY()), 2, 2)) - 1, """")"),"")</f>
        <v/>
      </c>
      <c r="M100" s="21" t="str">
        <f>IFERROR(__xludf.DUMMYFUNCTION("IFERROR((GOOGLEFINANCE(C100, ""price"") / INDEX(GOOGLEFINANCE(C100, ""price"", EDATE(TODAY(), -1), TODAY()), 2, 2)) - 1, """")"),"")</f>
        <v/>
      </c>
      <c r="N100" s="21" t="str">
        <f>IFERROR(__xludf.DUMMYFUNCTION("IFERROR((GOOGLEFINANCE(C100, ""price"") / INDEX(GOOGLEFINANCE(C100, ""price"", EDATE(TODAY(), -3), TODAY()), 2, 2)) - 1, """")"),"")</f>
        <v/>
      </c>
      <c r="O100" s="21" t="str">
        <f>IFERROR(__xludf.DUMMYFUNCTION("IFERROR((GOOGLEFINANCE(C100, ""price"") / INDEX(GOOGLEFINANCE(C100, ""price"", EDATE(TODAY(), -6), TODAY()), 2, 2)) - 1, """")"),"")</f>
        <v/>
      </c>
      <c r="P100" s="21" t="str">
        <f>IFERROR(__xludf.DUMMYFUNCTION("IFERROR((GOOGLEFINANCE(C100, ""price"") / INDEX(GOOGLEFINANCE(C100, ""price"", EDATE(TODAY(), -12), TODAY()), 2, 2)) - 1, """")"),"")</f>
        <v/>
      </c>
      <c r="Q100" s="6" t="str">
        <f>IFERROR(__xludf.DUMMYFUNCTION("AVERAGE(QUERY(GOOGLEFINANCE(C100, ""price"", TODAY()-80, TODAY()), ""SELECT Col2 WHERE Col2 IS NOT NULL ORDER BY Col1 DESC LIMIT 50"", 0))"),"#N/A")</f>
        <v>#N/A</v>
      </c>
      <c r="R100" s="24" t="str">
        <f>IFERROR(__xludf.DUMMYFUNCTION("IFERROR(
  LET(
    data, QUERY(GOOGLEFINANCE(C100,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GOOGLEFINANCE(C100, ""price"")) * 100,
    IF(calc=0, G100, calc)
  ), 
G100)"),"#N/A")</f>
        <v>#N/A</v>
      </c>
      <c r="S100" s="8" t="s">
        <v>15</v>
      </c>
      <c r="T100" s="26" t="str">
        <f>IFERROR(__xludf.DUMMYFUNCTION("IFERROR(TRANSPOSE(QUERY(IFERROR(SORT(GOOGLEFINANCE(C100, ""price"", WORKDAY(TODAY(), -40), TODAY()), 1, FALSE)), ""select Col2 where Col2 is not null limit 22 label Col2 ''"", 0)), """")"),"")</f>
        <v/>
      </c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8"/>
      <c r="AO100" s="28"/>
      <c r="AP100" s="29"/>
      <c r="AQ100" s="29" t="str">
        <f t="shared" ref="AQ100:BL100" si="103">T100/T$2</f>
        <v>#N/A</v>
      </c>
      <c r="AR100" s="29" t="str">
        <f t="shared" si="103"/>
        <v>#DIV/0!</v>
      </c>
      <c r="AS100" s="29" t="str">
        <f t="shared" si="103"/>
        <v>#DIV/0!</v>
      </c>
      <c r="AT100" s="29" t="str">
        <f t="shared" si="103"/>
        <v>#DIV/0!</v>
      </c>
      <c r="AU100" s="29" t="str">
        <f t="shared" si="103"/>
        <v>#DIV/0!</v>
      </c>
      <c r="AV100" s="29" t="str">
        <f t="shared" si="103"/>
        <v>#DIV/0!</v>
      </c>
      <c r="AW100" s="29" t="str">
        <f t="shared" si="103"/>
        <v>#DIV/0!</v>
      </c>
      <c r="AX100" s="29" t="str">
        <f t="shared" si="103"/>
        <v>#DIV/0!</v>
      </c>
      <c r="AY100" s="29" t="str">
        <f t="shared" si="103"/>
        <v>#DIV/0!</v>
      </c>
      <c r="AZ100" s="29" t="str">
        <f t="shared" si="103"/>
        <v>#DIV/0!</v>
      </c>
      <c r="BA100" s="29" t="str">
        <f t="shared" si="103"/>
        <v>#DIV/0!</v>
      </c>
      <c r="BB100" s="29" t="str">
        <f t="shared" si="103"/>
        <v>#DIV/0!</v>
      </c>
      <c r="BC100" s="29" t="str">
        <f t="shared" si="103"/>
        <v>#DIV/0!</v>
      </c>
      <c r="BD100" s="29" t="str">
        <f t="shared" si="103"/>
        <v>#DIV/0!</v>
      </c>
      <c r="BE100" s="29" t="str">
        <f t="shared" si="103"/>
        <v>#DIV/0!</v>
      </c>
      <c r="BF100" s="29" t="str">
        <f t="shared" si="103"/>
        <v>#DIV/0!</v>
      </c>
      <c r="BG100" s="29" t="str">
        <f t="shared" si="103"/>
        <v>#DIV/0!</v>
      </c>
      <c r="BH100" s="29" t="str">
        <f t="shared" si="103"/>
        <v>#DIV/0!</v>
      </c>
      <c r="BI100" s="29" t="str">
        <f t="shared" si="103"/>
        <v>#DIV/0!</v>
      </c>
      <c r="BJ100" s="29" t="str">
        <f t="shared" si="103"/>
        <v>#DIV/0!</v>
      </c>
      <c r="BK100" s="29" t="str">
        <f t="shared" si="103"/>
        <v>#DIV/0!</v>
      </c>
      <c r="BL100" s="29" t="str">
        <f t="shared" si="103"/>
        <v>#DIV/0!</v>
      </c>
      <c r="BM100" s="29" t="str">
        <f t="shared" si="3"/>
        <v>#DIV/0!</v>
      </c>
    </row>
    <row r="101" hidden="1">
      <c r="A101" s="16" t="str">
        <f>IFERROR(__xludf.DUMMYFUNCTION("IFERROR(SPARKLINE(SORT(MAP(TRANSPOSE(AQ101:BL101), LAMBDA(val, IF(ISNUMBER(val), PERCENTRANK(AQ101:BL101, val)+0.01, 0))), SEQUENCE(COLUMNS(AQ101:BL101)), FALSE), {""charttype"",""column""; ""color"",""chartreuse""; ""ymin"", 0; ""ymax"", 1.01; ""highcolo"&amp;"r"", ""darkgreen""; ""lowcolor"", ""red""}), """")"),"")</f>
        <v/>
      </c>
      <c r="B101" s="17" t="str">
        <f t="shared" si="4"/>
        <v/>
      </c>
      <c r="C101" s="1" t="s">
        <v>2943</v>
      </c>
      <c r="D101" s="30" t="str">
        <f>IFERROR(__xludf.DUMMYFUNCTION("IFERROR(GOOGLEFINANCE(C101, ""NAME""))"),"Eni SpA")</f>
        <v>Eni SpA</v>
      </c>
      <c r="E101" s="30" t="s">
        <v>2631</v>
      </c>
      <c r="F101" s="33" t="str">
        <f>IFERROR(__xludf.DUMMYFUNCTION("( (GOOGLEFINANCE(C101, ""price"") - Q101) / Q101 ) / (R101 / 100)"),"Loading...")</f>
        <v>Loading...</v>
      </c>
      <c r="G101" s="20" t="str">
        <f>IFERROR(__xludf.DUMMYFUNCTION("AVERAGE(ARRAYFORMULA(100 * (QUERY(GOOGLEFINANCE(C101, ""high"", TODAY()-40, TODAY()), ""SELECT Col2 WHERE Col2 IS NOT NULL ORDER BY Col1 DESC LIMIT 20"", 0) / QUERY(GOOGLEFINANCE(C101, ""low"", TODAY()-40, TODAY()), ""SELECT Col2 WHERE Col2 IS NOT NULL OR"&amp;"DER BY Col1 DESC LIMIT 20"", 0) - 1)))"),"#N/A")</f>
        <v>#N/A</v>
      </c>
      <c r="H101" s="35" t="str">
        <f t="shared" si="6"/>
        <v>Illiquid</v>
      </c>
      <c r="I101" s="35" t="str">
        <f t="shared" si="7"/>
        <v>RVol Required</v>
      </c>
      <c r="J101" s="37">
        <f>IFERROR(__xludf.DUMMYFUNCTION("IFERROR(
  IF(C101="""",, 
    IFERROR(
      GOOGLEFINANCE(C101, ""price"") * GOOGLEFINANCE(C101, ""volumeavg""), 
      GOOGLEFINANCE(C101, ""price"") * AVERAGE(QUERY(GOOGLEFINANCE(C101, ""volume"", TODAY()-40, TODAY()), ""SELECT Col2 WHERE Col2 IS NOT "&amp;"NULL ORDER BY Col1 DESC LIMIT 20"", 0))
    )
  ), 
"""")"),2.00225481E7)</f>
        <v>20022548.1</v>
      </c>
      <c r="K101" s="21">
        <f>IFERROR(__xludf.DUMMYFUNCTION("IFERROR(GOOGLEFINANCE(C101, ""changepct"") / 100, """")"),0.028900000000000002)</f>
        <v>0.0289</v>
      </c>
      <c r="L101" s="21" t="str">
        <f>IFERROR(__xludf.DUMMYFUNCTION("IFERROR((GOOGLEFINANCE(C101, ""price"") / INDEX(GOOGLEFINANCE(C101, ""price"", TODAY()-7, TODAY()), 2, 2)) - 1, """")"),"")</f>
        <v/>
      </c>
      <c r="M101" s="21" t="str">
        <f>IFERROR(__xludf.DUMMYFUNCTION("IFERROR((GOOGLEFINANCE(C101, ""price"") / INDEX(GOOGLEFINANCE(C101, ""price"", EDATE(TODAY(), -1), TODAY()), 2, 2)) - 1, """")"),"")</f>
        <v/>
      </c>
      <c r="N101" s="21" t="str">
        <f>IFERROR(__xludf.DUMMYFUNCTION("IFERROR((GOOGLEFINANCE(C101, ""price"") / INDEX(GOOGLEFINANCE(C101, ""price"", EDATE(TODAY(), -3), TODAY()), 2, 2)) - 1, """")"),"")</f>
        <v/>
      </c>
      <c r="O101" s="21" t="str">
        <f>IFERROR(__xludf.DUMMYFUNCTION("IFERROR((GOOGLEFINANCE(C101, ""price"") / INDEX(GOOGLEFINANCE(C101, ""price"", EDATE(TODAY(), -6), TODAY()), 2, 2)) - 1, """")"),"")</f>
        <v/>
      </c>
      <c r="P101" s="21" t="str">
        <f>IFERROR(__xludf.DUMMYFUNCTION("IFERROR((GOOGLEFINANCE(C101, ""price"") / INDEX(GOOGLEFINANCE(C101, ""price"", EDATE(TODAY(), -12), TODAY()), 2, 2)) - 1, """")"),"")</f>
        <v/>
      </c>
      <c r="Q101" s="6" t="str">
        <f>IFERROR(__xludf.DUMMYFUNCTION("AVERAGE(QUERY(GOOGLEFINANCE(C101, ""price"", TODAY()-80, TODAY()), ""SELECT Col2 WHERE Col2 IS NOT NULL ORDER BY Col1 DESC LIMIT 50"", 0))"),"#N/A")</f>
        <v>#N/A</v>
      </c>
      <c r="R101" s="24" t="str">
        <f>IFERROR(__xludf.DUMMYFUNCTION("IFERROR(
  LET(
    data, QUERY(GOOGLEFINANCE(C101,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GOOGLEFINANCE(C101, ""price"")) * 100,
    IF(calc=0, G101, calc)
  ), 
G101)"),"#N/A")</f>
        <v>#N/A</v>
      </c>
      <c r="S101" s="8" t="s">
        <v>15</v>
      </c>
      <c r="T101" s="26" t="str">
        <f>IFERROR(__xludf.DUMMYFUNCTION("IFERROR(TRANSPOSE(QUERY(IFERROR(SORT(GOOGLEFINANCE(C101, ""price"", WORKDAY(TODAY(), -40), TODAY()), 1, FALSE)), ""select Col2 where Col2 is not null limit 22 label Col2 ''"", 0)), """")"),"")</f>
        <v/>
      </c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8"/>
      <c r="AO101" s="28"/>
      <c r="AP101" s="29"/>
      <c r="AQ101" s="29" t="str">
        <f t="shared" ref="AQ101:BL101" si="104">T101/T$2</f>
        <v>#N/A</v>
      </c>
      <c r="AR101" s="29" t="str">
        <f t="shared" si="104"/>
        <v>#DIV/0!</v>
      </c>
      <c r="AS101" s="29" t="str">
        <f t="shared" si="104"/>
        <v>#DIV/0!</v>
      </c>
      <c r="AT101" s="29" t="str">
        <f t="shared" si="104"/>
        <v>#DIV/0!</v>
      </c>
      <c r="AU101" s="29" t="str">
        <f t="shared" si="104"/>
        <v>#DIV/0!</v>
      </c>
      <c r="AV101" s="29" t="str">
        <f t="shared" si="104"/>
        <v>#DIV/0!</v>
      </c>
      <c r="AW101" s="29" t="str">
        <f t="shared" si="104"/>
        <v>#DIV/0!</v>
      </c>
      <c r="AX101" s="29" t="str">
        <f t="shared" si="104"/>
        <v>#DIV/0!</v>
      </c>
      <c r="AY101" s="29" t="str">
        <f t="shared" si="104"/>
        <v>#DIV/0!</v>
      </c>
      <c r="AZ101" s="29" t="str">
        <f t="shared" si="104"/>
        <v>#DIV/0!</v>
      </c>
      <c r="BA101" s="29" t="str">
        <f t="shared" si="104"/>
        <v>#DIV/0!</v>
      </c>
      <c r="BB101" s="29" t="str">
        <f t="shared" si="104"/>
        <v>#DIV/0!</v>
      </c>
      <c r="BC101" s="29" t="str">
        <f t="shared" si="104"/>
        <v>#DIV/0!</v>
      </c>
      <c r="BD101" s="29" t="str">
        <f t="shared" si="104"/>
        <v>#DIV/0!</v>
      </c>
      <c r="BE101" s="29" t="str">
        <f t="shared" si="104"/>
        <v>#DIV/0!</v>
      </c>
      <c r="BF101" s="29" t="str">
        <f t="shared" si="104"/>
        <v>#DIV/0!</v>
      </c>
      <c r="BG101" s="29" t="str">
        <f t="shared" si="104"/>
        <v>#DIV/0!</v>
      </c>
      <c r="BH101" s="29" t="str">
        <f t="shared" si="104"/>
        <v>#DIV/0!</v>
      </c>
      <c r="BI101" s="29" t="str">
        <f t="shared" si="104"/>
        <v>#DIV/0!</v>
      </c>
      <c r="BJ101" s="29" t="str">
        <f t="shared" si="104"/>
        <v>#DIV/0!</v>
      </c>
      <c r="BK101" s="29" t="str">
        <f t="shared" si="104"/>
        <v>#DIV/0!</v>
      </c>
      <c r="BL101" s="29" t="str">
        <f t="shared" si="104"/>
        <v>#DIV/0!</v>
      </c>
      <c r="BM101" s="29" t="str">
        <f t="shared" si="3"/>
        <v>#DIV/0!</v>
      </c>
    </row>
    <row r="102">
      <c r="A102" s="16" t="str">
        <f>IFERROR(__xludf.DUMMYFUNCTION("IFERROR(SPARKLINE(SORT(MAP(TRANSPOSE(AQ102:BL102), LAMBDA(val, IF(ISNUMBER(val), PERCENTRANK(AQ102:BL102, val)+0.01, 0))), SEQUENCE(COLUMNS(AQ102:BL102)), FALSE), {""charttype"",""column""; ""color"",""chartreuse""; ""ymin"", 0; ""ymax"", 1.01; ""highcolo"&amp;"r"", ""darkgreen""; ""lowcolor"", ""red""}), """")"),"")</f>
        <v/>
      </c>
      <c r="B102" s="17" t="str">
        <f t="shared" si="4"/>
        <v/>
      </c>
      <c r="C102" s="1" t="s">
        <v>2946</v>
      </c>
      <c r="D102" s="30" t="str">
        <f>IFERROR(__xludf.DUMMYFUNCTION("IFERROR(GOOGLEFINANCE(C102, ""NAME""))"),"TotalEnergies SE")</f>
        <v>TotalEnergies SE</v>
      </c>
      <c r="E102" s="30" t="s">
        <v>2631</v>
      </c>
      <c r="F102" s="33" t="str">
        <f>IFERROR(__xludf.DUMMYFUNCTION("( (GOOGLEFINANCE(C102, ""price"") - Q102) / Q102 ) / (R102 / 100)"),"Loading...")</f>
        <v>Loading...</v>
      </c>
      <c r="G102" s="20" t="str">
        <f>IFERROR(__xludf.DUMMYFUNCTION("AVERAGE(ARRAYFORMULA(100 * (QUERY(GOOGLEFINANCE(C102, ""high"", TODAY()-40, TODAY()), ""SELECT Col2 WHERE Col2 IS NOT NULL ORDER BY Col1 DESC LIMIT 20"", 0) / QUERY(GOOGLEFINANCE(C102, ""low"", TODAY()-40, TODAY()), ""SELECT Col2 WHERE Col2 IS NOT NULL OR"&amp;"DER BY Col1 DESC LIMIT 20"", 0) - 1)))"),"#N/A")</f>
        <v>#N/A</v>
      </c>
      <c r="H102" s="35" t="str">
        <f t="shared" si="6"/>
        <v>Liquid</v>
      </c>
      <c r="I102" s="35" t="str">
        <f t="shared" si="7"/>
        <v>RVol Required</v>
      </c>
      <c r="J102" s="37">
        <f>IFERROR(__xludf.DUMMYFUNCTION("IFERROR(
  IF(C102="""",, 
    IFERROR(
      GOOGLEFINANCE(C102, ""price"") * GOOGLEFINANCE(C102, ""volumeavg""), 
      GOOGLEFINANCE(C102, ""price"") * AVERAGE(QUERY(GOOGLEFINANCE(C102, ""volume"", TODAY()-40, TODAY()), ""SELECT Col2 WHERE Col2 IS NOT "&amp;"NULL ORDER BY Col1 DESC LIMIT 20"", 0))
    )
  ), 
"""")"),1.8914056954000002E8)</f>
        <v>189140569.5</v>
      </c>
      <c r="K102" s="21">
        <f>IFERROR(__xludf.DUMMYFUNCTION("IFERROR(GOOGLEFINANCE(C102, ""changepct"") / 100, """")"),0.0322)</f>
        <v>0.0322</v>
      </c>
      <c r="L102" s="21" t="str">
        <f>IFERROR(__xludf.DUMMYFUNCTION("IFERROR((GOOGLEFINANCE(C102, ""price"") / INDEX(GOOGLEFINANCE(C102, ""price"", TODAY()-7, TODAY()), 2, 2)) - 1, """")"),"")</f>
        <v/>
      </c>
      <c r="M102" s="21" t="str">
        <f>IFERROR(__xludf.DUMMYFUNCTION("IFERROR((GOOGLEFINANCE(C102, ""price"") / INDEX(GOOGLEFINANCE(C102, ""price"", EDATE(TODAY(), -1), TODAY()), 2, 2)) - 1, """")"),"")</f>
        <v/>
      </c>
      <c r="N102" s="21" t="str">
        <f>IFERROR(__xludf.DUMMYFUNCTION("IFERROR((GOOGLEFINANCE(C102, ""price"") / INDEX(GOOGLEFINANCE(C102, ""price"", EDATE(TODAY(), -3), TODAY()), 2, 2)) - 1, """")"),"")</f>
        <v/>
      </c>
      <c r="O102" s="21" t="str">
        <f>IFERROR(__xludf.DUMMYFUNCTION("IFERROR((GOOGLEFINANCE(C102, ""price"") / INDEX(GOOGLEFINANCE(C102, ""price"", EDATE(TODAY(), -6), TODAY()), 2, 2)) - 1, """")"),"")</f>
        <v/>
      </c>
      <c r="P102" s="21" t="str">
        <f>IFERROR(__xludf.DUMMYFUNCTION("IFERROR((GOOGLEFINANCE(C102, ""price"") / INDEX(GOOGLEFINANCE(C102, ""price"", EDATE(TODAY(), -12), TODAY()), 2, 2)) - 1, """")"),"")</f>
        <v/>
      </c>
      <c r="Q102" s="6" t="str">
        <f>IFERROR(__xludf.DUMMYFUNCTION("AVERAGE(QUERY(GOOGLEFINANCE(C102, ""price"", TODAY()-80, TODAY()), ""SELECT Col2 WHERE Col2 IS NOT NULL ORDER BY Col1 DESC LIMIT 50"", 0))"),"#N/A")</f>
        <v>#N/A</v>
      </c>
      <c r="R102" s="24" t="str">
        <f>IFERROR(__xludf.DUMMYFUNCTION("IFERROR(
  LET(
    data, QUERY(GOOGLEFINANCE(C102,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GOOGLEFINANCE(C102, ""price"")) * 100,
    IF(calc=0, G102, calc)
  ), 
G102)"),"#N/A")</f>
        <v>#N/A</v>
      </c>
      <c r="S102" s="8" t="s">
        <v>15</v>
      </c>
      <c r="T102" s="26" t="str">
        <f>IFERROR(__xludf.DUMMYFUNCTION("IFERROR(TRANSPOSE(QUERY(IFERROR(SORT(GOOGLEFINANCE(C102, ""price"", WORKDAY(TODAY(), -40), TODAY()), 1, FALSE)), ""select Col2 where Col2 is not null limit 22 label Col2 ''"", 0)), """")"),"")</f>
        <v/>
      </c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8"/>
      <c r="AO102" s="28"/>
      <c r="AP102" s="29"/>
      <c r="AQ102" s="29" t="str">
        <f t="shared" ref="AQ102:BL102" si="105">T102/T$2</f>
        <v>#N/A</v>
      </c>
      <c r="AR102" s="29" t="str">
        <f t="shared" si="105"/>
        <v>#DIV/0!</v>
      </c>
      <c r="AS102" s="29" t="str">
        <f t="shared" si="105"/>
        <v>#DIV/0!</v>
      </c>
      <c r="AT102" s="29" t="str">
        <f t="shared" si="105"/>
        <v>#DIV/0!</v>
      </c>
      <c r="AU102" s="29" t="str">
        <f t="shared" si="105"/>
        <v>#DIV/0!</v>
      </c>
      <c r="AV102" s="29" t="str">
        <f t="shared" si="105"/>
        <v>#DIV/0!</v>
      </c>
      <c r="AW102" s="29" t="str">
        <f t="shared" si="105"/>
        <v>#DIV/0!</v>
      </c>
      <c r="AX102" s="29" t="str">
        <f t="shared" si="105"/>
        <v>#DIV/0!</v>
      </c>
      <c r="AY102" s="29" t="str">
        <f t="shared" si="105"/>
        <v>#DIV/0!</v>
      </c>
      <c r="AZ102" s="29" t="str">
        <f t="shared" si="105"/>
        <v>#DIV/0!</v>
      </c>
      <c r="BA102" s="29" t="str">
        <f t="shared" si="105"/>
        <v>#DIV/0!</v>
      </c>
      <c r="BB102" s="29" t="str">
        <f t="shared" si="105"/>
        <v>#DIV/0!</v>
      </c>
      <c r="BC102" s="29" t="str">
        <f t="shared" si="105"/>
        <v>#DIV/0!</v>
      </c>
      <c r="BD102" s="29" t="str">
        <f t="shared" si="105"/>
        <v>#DIV/0!</v>
      </c>
      <c r="BE102" s="29" t="str">
        <f t="shared" si="105"/>
        <v>#DIV/0!</v>
      </c>
      <c r="BF102" s="29" t="str">
        <f t="shared" si="105"/>
        <v>#DIV/0!</v>
      </c>
      <c r="BG102" s="29" t="str">
        <f t="shared" si="105"/>
        <v>#DIV/0!</v>
      </c>
      <c r="BH102" s="29" t="str">
        <f t="shared" si="105"/>
        <v>#DIV/0!</v>
      </c>
      <c r="BI102" s="29" t="str">
        <f t="shared" si="105"/>
        <v>#DIV/0!</v>
      </c>
      <c r="BJ102" s="29" t="str">
        <f t="shared" si="105"/>
        <v>#DIV/0!</v>
      </c>
      <c r="BK102" s="29" t="str">
        <f t="shared" si="105"/>
        <v>#DIV/0!</v>
      </c>
      <c r="BL102" s="29" t="str">
        <f t="shared" si="105"/>
        <v>#DIV/0!</v>
      </c>
      <c r="BM102" s="29" t="str">
        <f t="shared" si="3"/>
        <v>#DIV/0!</v>
      </c>
    </row>
    <row r="103">
      <c r="A103" s="16" t="str">
        <f>IFERROR(__xludf.DUMMYFUNCTION("IFERROR(SPARKLINE(SORT(MAP(TRANSPOSE(AQ103:BL103), LAMBDA(val, IF(ISNUMBER(val), PERCENTRANK(AQ103:BL103, val)+0.01, 0))), SEQUENCE(COLUMNS(AQ103:BL103)), FALSE), {""charttype"",""column""; ""color"",""chartreuse""; ""ymin"", 0; ""ymax"", 1.01; ""highcolo"&amp;"r"", ""darkgreen""; ""lowcolor"", ""red""}), """")"),"")</f>
        <v/>
      </c>
      <c r="B103" s="17" t="str">
        <f t="shared" si="4"/>
        <v/>
      </c>
      <c r="C103" s="1" t="s">
        <v>2951</v>
      </c>
      <c r="D103" s="30" t="str">
        <f>IFERROR(__xludf.DUMMYFUNCTION("IFERROR(GOOGLEFINANCE(C103, ""NAME""))"),"Tenaris SA")</f>
        <v>Tenaris SA</v>
      </c>
      <c r="E103" s="30" t="s">
        <v>2537</v>
      </c>
      <c r="F103" s="33" t="str">
        <f>IFERROR(__xludf.DUMMYFUNCTION("( (GOOGLEFINANCE(C103, ""price"") - Q103) / Q103 ) / (R103 / 100)"),"Loading...")</f>
        <v>Loading...</v>
      </c>
      <c r="G103" s="20" t="str">
        <f>IFERROR(__xludf.DUMMYFUNCTION("AVERAGE(ARRAYFORMULA(100 * (QUERY(GOOGLEFINANCE(C103, ""high"", TODAY()-40, TODAY()), ""SELECT Col2 WHERE Col2 IS NOT NULL ORDER BY Col1 DESC LIMIT 20"", 0) / QUERY(GOOGLEFINANCE(C103, ""low"", TODAY()-40, TODAY()), ""SELECT Col2 WHERE Col2 IS NOT NULL OR"&amp;"DER BY Col1 DESC LIMIT 20"", 0) - 1)))"),"#N/A")</f>
        <v>#N/A</v>
      </c>
      <c r="H103" s="35" t="str">
        <f t="shared" si="6"/>
        <v>Liquid</v>
      </c>
      <c r="I103" s="35" t="str">
        <f t="shared" si="7"/>
        <v>RVol Required</v>
      </c>
      <c r="J103" s="37">
        <f>IFERROR(__xludf.DUMMYFUNCTION("IFERROR(
  IF(C103="""",, 
    IFERROR(
      GOOGLEFINANCE(C103, ""price"") * GOOGLEFINANCE(C103, ""volumeavg""), 
      GOOGLEFINANCE(C103, ""price"") * AVERAGE(QUERY(GOOGLEFINANCE(C103, ""volume"", TODAY()-40, TODAY()), ""SELECT Col2 WHERE Col2 IS NOT "&amp;"NULL ORDER BY Col1 DESC LIMIT 20"", 0))
    )
  ), 
"""")"),6.643798947E7)</f>
        <v>66437989.47</v>
      </c>
      <c r="K103" s="21">
        <f>IFERROR(__xludf.DUMMYFUNCTION("IFERROR(GOOGLEFINANCE(C103, ""changepct"") / 100, """")"),0.0374)</f>
        <v>0.0374</v>
      </c>
      <c r="L103" s="21" t="str">
        <f>IFERROR(__xludf.DUMMYFUNCTION("IFERROR((GOOGLEFINANCE(C103, ""price"") / INDEX(GOOGLEFINANCE(C103, ""price"", TODAY()-7, TODAY()), 2, 2)) - 1, """")"),"")</f>
        <v/>
      </c>
      <c r="M103" s="21" t="str">
        <f>IFERROR(__xludf.DUMMYFUNCTION("IFERROR((GOOGLEFINANCE(C103, ""price"") / INDEX(GOOGLEFINANCE(C103, ""price"", EDATE(TODAY(), -1), TODAY()), 2, 2)) - 1, """")"),"")</f>
        <v/>
      </c>
      <c r="N103" s="21" t="str">
        <f>IFERROR(__xludf.DUMMYFUNCTION("IFERROR((GOOGLEFINANCE(C103, ""price"") / INDEX(GOOGLEFINANCE(C103, ""price"", EDATE(TODAY(), -3), TODAY()), 2, 2)) - 1, """")"),"")</f>
        <v/>
      </c>
      <c r="O103" s="21" t="str">
        <f>IFERROR(__xludf.DUMMYFUNCTION("IFERROR((GOOGLEFINANCE(C103, ""price"") / INDEX(GOOGLEFINANCE(C103, ""price"", EDATE(TODAY(), -6), TODAY()), 2, 2)) - 1, """")"),"")</f>
        <v/>
      </c>
      <c r="P103" s="21" t="str">
        <f>IFERROR(__xludf.DUMMYFUNCTION("IFERROR((GOOGLEFINANCE(C103, ""price"") / INDEX(GOOGLEFINANCE(C103, ""price"", EDATE(TODAY(), -12), TODAY()), 2, 2)) - 1, """")"),"")</f>
        <v/>
      </c>
      <c r="Q103" s="6" t="str">
        <f>IFERROR(__xludf.DUMMYFUNCTION("AVERAGE(QUERY(GOOGLEFINANCE(C103, ""price"", TODAY()-80, TODAY()), ""SELECT Col2 WHERE Col2 IS NOT NULL ORDER BY Col1 DESC LIMIT 50"", 0))"),"#N/A")</f>
        <v>#N/A</v>
      </c>
      <c r="R103" s="24" t="str">
        <f>IFERROR(__xludf.DUMMYFUNCTION("IFERROR(
  LET(
    data, QUERY(GOOGLEFINANCE(C103,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GOOGLEFINANCE(C103, ""price"")) * 100,
    IF(calc=0, G103, calc)
  ), 
G103)"),"#N/A")</f>
        <v>#N/A</v>
      </c>
      <c r="S103" s="8" t="s">
        <v>15</v>
      </c>
      <c r="T103" s="26" t="str">
        <f>IFERROR(__xludf.DUMMYFUNCTION("IFERROR(TRANSPOSE(QUERY(IFERROR(SORT(GOOGLEFINANCE(C103, ""price"", WORKDAY(TODAY(), -40), TODAY()), 1, FALSE)), ""select Col2 where Col2 is not null limit 22 label Col2 ''"", 0)), """")"),"")</f>
        <v/>
      </c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8"/>
      <c r="AO103" s="28"/>
      <c r="AP103" s="29"/>
      <c r="AQ103" s="29" t="str">
        <f t="shared" ref="AQ103:BL103" si="106">T103/T$2</f>
        <v>#N/A</v>
      </c>
      <c r="AR103" s="29" t="str">
        <f t="shared" si="106"/>
        <v>#DIV/0!</v>
      </c>
      <c r="AS103" s="29" t="str">
        <f t="shared" si="106"/>
        <v>#DIV/0!</v>
      </c>
      <c r="AT103" s="29" t="str">
        <f t="shared" si="106"/>
        <v>#DIV/0!</v>
      </c>
      <c r="AU103" s="29" t="str">
        <f t="shared" si="106"/>
        <v>#DIV/0!</v>
      </c>
      <c r="AV103" s="29" t="str">
        <f t="shared" si="106"/>
        <v>#DIV/0!</v>
      </c>
      <c r="AW103" s="29" t="str">
        <f t="shared" si="106"/>
        <v>#DIV/0!</v>
      </c>
      <c r="AX103" s="29" t="str">
        <f t="shared" si="106"/>
        <v>#DIV/0!</v>
      </c>
      <c r="AY103" s="29" t="str">
        <f t="shared" si="106"/>
        <v>#DIV/0!</v>
      </c>
      <c r="AZ103" s="29" t="str">
        <f t="shared" si="106"/>
        <v>#DIV/0!</v>
      </c>
      <c r="BA103" s="29" t="str">
        <f t="shared" si="106"/>
        <v>#DIV/0!</v>
      </c>
      <c r="BB103" s="29" t="str">
        <f t="shared" si="106"/>
        <v>#DIV/0!</v>
      </c>
      <c r="BC103" s="29" t="str">
        <f t="shared" si="106"/>
        <v>#DIV/0!</v>
      </c>
      <c r="BD103" s="29" t="str">
        <f t="shared" si="106"/>
        <v>#DIV/0!</v>
      </c>
      <c r="BE103" s="29" t="str">
        <f t="shared" si="106"/>
        <v>#DIV/0!</v>
      </c>
      <c r="BF103" s="29" t="str">
        <f t="shared" si="106"/>
        <v>#DIV/0!</v>
      </c>
      <c r="BG103" s="29" t="str">
        <f t="shared" si="106"/>
        <v>#DIV/0!</v>
      </c>
      <c r="BH103" s="29" t="str">
        <f t="shared" si="106"/>
        <v>#DIV/0!</v>
      </c>
      <c r="BI103" s="29" t="str">
        <f t="shared" si="106"/>
        <v>#DIV/0!</v>
      </c>
      <c r="BJ103" s="29" t="str">
        <f t="shared" si="106"/>
        <v>#DIV/0!</v>
      </c>
      <c r="BK103" s="29" t="str">
        <f t="shared" si="106"/>
        <v>#DIV/0!</v>
      </c>
      <c r="BL103" s="29" t="str">
        <f t="shared" si="106"/>
        <v>#DIV/0!</v>
      </c>
      <c r="BM103" s="29" t="str">
        <f t="shared" si="3"/>
        <v>#DIV/0!</v>
      </c>
    </row>
    <row r="104">
      <c r="A104" s="16" t="str">
        <f>IFERROR(__xludf.DUMMYFUNCTION("IFERROR(SPARKLINE(SORT(MAP(TRANSPOSE(AQ104:BL104), LAMBDA(val, IF(ISNUMBER(val), PERCENTRANK(AQ104:BL104, val)+0.01, 0))), SEQUENCE(COLUMNS(AQ104:BL104)), FALSE), {""charttype"",""column""; ""color"",""chartreuse""; ""ymin"", 0; ""ymax"", 1.01; ""highcolo"&amp;"r"", ""darkgreen""; ""lowcolor"", ""red""}), """")"),"")</f>
        <v/>
      </c>
      <c r="B104" s="17" t="str">
        <f t="shared" si="4"/>
        <v/>
      </c>
      <c r="C104" s="1" t="s">
        <v>2954</v>
      </c>
      <c r="D104" s="30" t="str">
        <f>IFERROR(__xludf.DUMMYFUNCTION("IFERROR(GOOGLEFINANCE(C104, ""NAME""))"),"Ovintiv Inc")</f>
        <v>Ovintiv Inc</v>
      </c>
      <c r="E104" s="30" t="s">
        <v>2613</v>
      </c>
      <c r="F104" s="33" t="str">
        <f>IFERROR(__xludf.DUMMYFUNCTION("( (GOOGLEFINANCE(C104, ""price"") - Q104) / Q104 ) / (R104 / 100)"),"Loading...")</f>
        <v>Loading...</v>
      </c>
      <c r="G104" s="20" t="str">
        <f>IFERROR(__xludf.DUMMYFUNCTION("AVERAGE(ARRAYFORMULA(100 * (QUERY(GOOGLEFINANCE(C104, ""high"", TODAY()-40, TODAY()), ""SELECT Col2 WHERE Col2 IS NOT NULL ORDER BY Col1 DESC LIMIT 20"", 0) / QUERY(GOOGLEFINANCE(C104, ""low"", TODAY()-40, TODAY()), ""SELECT Col2 WHERE Col2 IS NOT NULL OR"&amp;"DER BY Col1 DESC LIMIT 20"", 0) - 1)))"),"#N/A")</f>
        <v>#N/A</v>
      </c>
      <c r="H104" s="35" t="str">
        <f t="shared" si="6"/>
        <v>Liquid</v>
      </c>
      <c r="I104" s="35" t="str">
        <f t="shared" si="7"/>
        <v>RVol Required</v>
      </c>
      <c r="J104" s="37">
        <f>IFERROR(__xludf.DUMMYFUNCTION("IFERROR(
  IF(C104="""",, 
    IFERROR(
      GOOGLEFINANCE(C104, ""price"") * GOOGLEFINANCE(C104, ""volumeavg""), 
      GOOGLEFINANCE(C104, ""price"") * AVERAGE(QUERY(GOOGLEFINANCE(C104, ""volume"", TODAY()-40, TODAY()), ""SELECT Col2 WHERE Col2 IS NOT "&amp;"NULL ORDER BY Col1 DESC LIMIT 20"", 0))
    )
  ), 
"""")"),2.2977355532999998E8)</f>
        <v>229773555.3</v>
      </c>
      <c r="K104" s="21">
        <f>IFERROR(__xludf.DUMMYFUNCTION("IFERROR(GOOGLEFINANCE(C104, ""changepct"") / 100, """")"),0.0484)</f>
        <v>0.0484</v>
      </c>
      <c r="L104" s="21" t="str">
        <f>IFERROR(__xludf.DUMMYFUNCTION("IFERROR((GOOGLEFINANCE(C104, ""price"") / INDEX(GOOGLEFINANCE(C104, ""price"", TODAY()-7, TODAY()), 2, 2)) - 1, """")"),"")</f>
        <v/>
      </c>
      <c r="M104" s="21" t="str">
        <f>IFERROR(__xludf.DUMMYFUNCTION("IFERROR((GOOGLEFINANCE(C104, ""price"") / INDEX(GOOGLEFINANCE(C104, ""price"", EDATE(TODAY(), -1), TODAY()), 2, 2)) - 1, """")"),"")</f>
        <v/>
      </c>
      <c r="N104" s="21" t="str">
        <f>IFERROR(__xludf.DUMMYFUNCTION("IFERROR((GOOGLEFINANCE(C104, ""price"") / INDEX(GOOGLEFINANCE(C104, ""price"", EDATE(TODAY(), -3), TODAY()), 2, 2)) - 1, """")"),"")</f>
        <v/>
      </c>
      <c r="O104" s="21" t="str">
        <f>IFERROR(__xludf.DUMMYFUNCTION("IFERROR((GOOGLEFINANCE(C104, ""price"") / INDEX(GOOGLEFINANCE(C104, ""price"", EDATE(TODAY(), -6), TODAY()), 2, 2)) - 1, """")"),"")</f>
        <v/>
      </c>
      <c r="P104" s="21" t="str">
        <f>IFERROR(__xludf.DUMMYFUNCTION("IFERROR((GOOGLEFINANCE(C104, ""price"") / INDEX(GOOGLEFINANCE(C104, ""price"", EDATE(TODAY(), -12), TODAY()), 2, 2)) - 1, """")"),"")</f>
        <v/>
      </c>
      <c r="Q104" s="6" t="str">
        <f>IFERROR(__xludf.DUMMYFUNCTION("AVERAGE(QUERY(GOOGLEFINANCE(C104, ""price"", TODAY()-80, TODAY()), ""SELECT Col2 WHERE Col2 IS NOT NULL ORDER BY Col1 DESC LIMIT 50"", 0))"),"#N/A")</f>
        <v>#N/A</v>
      </c>
      <c r="R104" s="24" t="str">
        <f>IFERROR(__xludf.DUMMYFUNCTION("IFERROR(
  LET(
    data, QUERY(GOOGLEFINANCE(C104,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GOOGLEFINANCE(C104, ""price"")) * 100,
    IF(calc=0, G104, calc)
  ), 
G104)"),"#N/A")</f>
        <v>#N/A</v>
      </c>
      <c r="S104" s="8" t="s">
        <v>15</v>
      </c>
      <c r="T104" s="26" t="str">
        <f>IFERROR(__xludf.DUMMYFUNCTION("IFERROR(TRANSPOSE(QUERY(IFERROR(SORT(GOOGLEFINANCE(C104, ""price"", WORKDAY(TODAY(), -40), TODAY()), 1, FALSE)), ""select Col2 where Col2 is not null limit 22 label Col2 ''"", 0)), """")"),"")</f>
        <v/>
      </c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8"/>
      <c r="AO104" s="28"/>
      <c r="AP104" s="29"/>
      <c r="AQ104" s="29" t="str">
        <f t="shared" ref="AQ104:BL104" si="107">T104/T$2</f>
        <v>#N/A</v>
      </c>
      <c r="AR104" s="29" t="str">
        <f t="shared" si="107"/>
        <v>#DIV/0!</v>
      </c>
      <c r="AS104" s="29" t="str">
        <f t="shared" si="107"/>
        <v>#DIV/0!</v>
      </c>
      <c r="AT104" s="29" t="str">
        <f t="shared" si="107"/>
        <v>#DIV/0!</v>
      </c>
      <c r="AU104" s="29" t="str">
        <f t="shared" si="107"/>
        <v>#DIV/0!</v>
      </c>
      <c r="AV104" s="29" t="str">
        <f t="shared" si="107"/>
        <v>#DIV/0!</v>
      </c>
      <c r="AW104" s="29" t="str">
        <f t="shared" si="107"/>
        <v>#DIV/0!</v>
      </c>
      <c r="AX104" s="29" t="str">
        <f t="shared" si="107"/>
        <v>#DIV/0!</v>
      </c>
      <c r="AY104" s="29" t="str">
        <f t="shared" si="107"/>
        <v>#DIV/0!</v>
      </c>
      <c r="AZ104" s="29" t="str">
        <f t="shared" si="107"/>
        <v>#DIV/0!</v>
      </c>
      <c r="BA104" s="29" t="str">
        <f t="shared" si="107"/>
        <v>#DIV/0!</v>
      </c>
      <c r="BB104" s="29" t="str">
        <f t="shared" si="107"/>
        <v>#DIV/0!</v>
      </c>
      <c r="BC104" s="29" t="str">
        <f t="shared" si="107"/>
        <v>#DIV/0!</v>
      </c>
      <c r="BD104" s="29" t="str">
        <f t="shared" si="107"/>
        <v>#DIV/0!</v>
      </c>
      <c r="BE104" s="29" t="str">
        <f t="shared" si="107"/>
        <v>#DIV/0!</v>
      </c>
      <c r="BF104" s="29" t="str">
        <f t="shared" si="107"/>
        <v>#DIV/0!</v>
      </c>
      <c r="BG104" s="29" t="str">
        <f t="shared" si="107"/>
        <v>#DIV/0!</v>
      </c>
      <c r="BH104" s="29" t="str">
        <f t="shared" si="107"/>
        <v>#DIV/0!</v>
      </c>
      <c r="BI104" s="29" t="str">
        <f t="shared" si="107"/>
        <v>#DIV/0!</v>
      </c>
      <c r="BJ104" s="29" t="str">
        <f t="shared" si="107"/>
        <v>#DIV/0!</v>
      </c>
      <c r="BK104" s="29" t="str">
        <f t="shared" si="107"/>
        <v>#DIV/0!</v>
      </c>
      <c r="BL104" s="29" t="str">
        <f t="shared" si="107"/>
        <v>#DIV/0!</v>
      </c>
      <c r="BM104" s="29" t="str">
        <f t="shared" si="3"/>
        <v>#DIV/0!</v>
      </c>
    </row>
    <row r="105" hidden="1">
      <c r="A105" s="16" t="str">
        <f>IFERROR(__xludf.DUMMYFUNCTION("IFERROR(SPARKLINE(SORT(MAP(TRANSPOSE(AQ105:BL105), LAMBDA(val, IF(ISNUMBER(val), PERCENTRANK(AQ105:BL105, val)+0.01, 0))), SEQUENCE(COLUMNS(AQ105:BL105)), FALSE), {""charttype"",""column""; ""color"",""chartreuse""; ""ymin"", 0; ""ymax"", 1.01; ""highcolo"&amp;"r"", ""darkgreen""; ""lowcolor"", ""red""}), """")"),"")</f>
        <v/>
      </c>
      <c r="B105" s="17" t="str">
        <f t="shared" si="4"/>
        <v/>
      </c>
      <c r="C105" s="1" t="s">
        <v>2957</v>
      </c>
      <c r="D105" s="30" t="str">
        <f>IFERROR(__xludf.DUMMYFUNCTION("IFERROR(GOOGLEFINANCE(C105, ""NAME""))"),"Oceaneering International Inc")</f>
        <v>Oceaneering International Inc</v>
      </c>
      <c r="E105" s="30" t="s">
        <v>2537</v>
      </c>
      <c r="F105" s="33" t="str">
        <f>IFERROR(__xludf.DUMMYFUNCTION("( (GOOGLEFINANCE(C105, ""price"") - Q105) / Q105 ) / (R105 / 100)"),"Loading...")</f>
        <v>Loading...</v>
      </c>
      <c r="G105" s="20" t="str">
        <f>IFERROR(__xludf.DUMMYFUNCTION("AVERAGE(ARRAYFORMULA(100 * (QUERY(GOOGLEFINANCE(C105, ""high"", TODAY()-40, TODAY()), ""SELECT Col2 WHERE Col2 IS NOT NULL ORDER BY Col1 DESC LIMIT 20"", 0) / QUERY(GOOGLEFINANCE(C105, ""low"", TODAY()-40, TODAY()), ""SELECT Col2 WHERE Col2 IS NOT NULL OR"&amp;"DER BY Col1 DESC LIMIT 20"", 0) - 1)))"),"#N/A")</f>
        <v>#N/A</v>
      </c>
      <c r="H105" s="35" t="str">
        <f t="shared" si="6"/>
        <v>Illiquid</v>
      </c>
      <c r="I105" s="35" t="str">
        <f t="shared" si="7"/>
        <v>RVol Required</v>
      </c>
      <c r="J105" s="37">
        <f>IFERROR(__xludf.DUMMYFUNCTION("IFERROR(
  IF(C105="""",, 
    IFERROR(
      GOOGLEFINANCE(C105, ""price"") * GOOGLEFINANCE(C105, ""volumeavg""), 
      GOOGLEFINANCE(C105, ""price"") * AVERAGE(QUERY(GOOGLEFINANCE(C105, ""volume"", TODAY()-40, TODAY()), ""SELECT Col2 WHERE Col2 IS NOT "&amp;"NULL ORDER BY Col1 DESC LIMIT 20"", 0))
    )
  ), 
"""")"),3.77263987E7)</f>
        <v>37726398.7</v>
      </c>
      <c r="K105" s="21">
        <f>IFERROR(__xludf.DUMMYFUNCTION("IFERROR(GOOGLEFINANCE(C105, ""changepct"") / 100, """")"),0.0172)</f>
        <v>0.0172</v>
      </c>
      <c r="L105" s="21" t="str">
        <f>IFERROR(__xludf.DUMMYFUNCTION("IFERROR((GOOGLEFINANCE(C105, ""price"") / INDEX(GOOGLEFINANCE(C105, ""price"", TODAY()-7, TODAY()), 2, 2)) - 1, """")"),"")</f>
        <v/>
      </c>
      <c r="M105" s="21" t="str">
        <f>IFERROR(__xludf.DUMMYFUNCTION("IFERROR((GOOGLEFINANCE(C105, ""price"") / INDEX(GOOGLEFINANCE(C105, ""price"", EDATE(TODAY(), -1), TODAY()), 2, 2)) - 1, """")"),"")</f>
        <v/>
      </c>
      <c r="N105" s="21" t="str">
        <f>IFERROR(__xludf.DUMMYFUNCTION("IFERROR((GOOGLEFINANCE(C105, ""price"") / INDEX(GOOGLEFINANCE(C105, ""price"", EDATE(TODAY(), -3), TODAY()), 2, 2)) - 1, """")"),"")</f>
        <v/>
      </c>
      <c r="O105" s="21" t="str">
        <f>IFERROR(__xludf.DUMMYFUNCTION("IFERROR((GOOGLEFINANCE(C105, ""price"") / INDEX(GOOGLEFINANCE(C105, ""price"", EDATE(TODAY(), -6), TODAY()), 2, 2)) - 1, """")"),"")</f>
        <v/>
      </c>
      <c r="P105" s="21" t="str">
        <f>IFERROR(__xludf.DUMMYFUNCTION("IFERROR((GOOGLEFINANCE(C105, ""price"") / INDEX(GOOGLEFINANCE(C105, ""price"", EDATE(TODAY(), -12), TODAY()), 2, 2)) - 1, """")"),"")</f>
        <v/>
      </c>
      <c r="Q105" s="6" t="str">
        <f>IFERROR(__xludf.DUMMYFUNCTION("AVERAGE(QUERY(GOOGLEFINANCE(C105, ""price"", TODAY()-80, TODAY()), ""SELECT Col2 WHERE Col2 IS NOT NULL ORDER BY Col1 DESC LIMIT 50"", 0))"),"#N/A")</f>
        <v>#N/A</v>
      </c>
      <c r="R105" s="24" t="str">
        <f>IFERROR(__xludf.DUMMYFUNCTION("IFERROR(
  LET(
    data, QUERY(GOOGLEFINANCE(C105,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GOOGLEFINANCE(C105, ""price"")) * 100,
    IF(calc=0, G105, calc)
  ), 
G105)"),"#N/A")</f>
        <v>#N/A</v>
      </c>
      <c r="S105" s="8" t="s">
        <v>15</v>
      </c>
      <c r="T105" s="26" t="str">
        <f>IFERROR(__xludf.DUMMYFUNCTION("IFERROR(TRANSPOSE(QUERY(IFERROR(SORT(GOOGLEFINANCE(C105, ""price"", WORKDAY(TODAY(), -40), TODAY()), 1, FALSE)), ""select Col2 where Col2 is not null limit 22 label Col2 ''"", 0)), """")"),"")</f>
        <v/>
      </c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8"/>
      <c r="AO105" s="28"/>
      <c r="AP105" s="29"/>
      <c r="AQ105" s="29" t="str">
        <f t="shared" ref="AQ105:BL105" si="108">T105/T$2</f>
        <v>#N/A</v>
      </c>
      <c r="AR105" s="29" t="str">
        <f t="shared" si="108"/>
        <v>#DIV/0!</v>
      </c>
      <c r="AS105" s="29" t="str">
        <f t="shared" si="108"/>
        <v>#DIV/0!</v>
      </c>
      <c r="AT105" s="29" t="str">
        <f t="shared" si="108"/>
        <v>#DIV/0!</v>
      </c>
      <c r="AU105" s="29" t="str">
        <f t="shared" si="108"/>
        <v>#DIV/0!</v>
      </c>
      <c r="AV105" s="29" t="str">
        <f t="shared" si="108"/>
        <v>#DIV/0!</v>
      </c>
      <c r="AW105" s="29" t="str">
        <f t="shared" si="108"/>
        <v>#DIV/0!</v>
      </c>
      <c r="AX105" s="29" t="str">
        <f t="shared" si="108"/>
        <v>#DIV/0!</v>
      </c>
      <c r="AY105" s="29" t="str">
        <f t="shared" si="108"/>
        <v>#DIV/0!</v>
      </c>
      <c r="AZ105" s="29" t="str">
        <f t="shared" si="108"/>
        <v>#DIV/0!</v>
      </c>
      <c r="BA105" s="29" t="str">
        <f t="shared" si="108"/>
        <v>#DIV/0!</v>
      </c>
      <c r="BB105" s="29" t="str">
        <f t="shared" si="108"/>
        <v>#DIV/0!</v>
      </c>
      <c r="BC105" s="29" t="str">
        <f t="shared" si="108"/>
        <v>#DIV/0!</v>
      </c>
      <c r="BD105" s="29" t="str">
        <f t="shared" si="108"/>
        <v>#DIV/0!</v>
      </c>
      <c r="BE105" s="29" t="str">
        <f t="shared" si="108"/>
        <v>#DIV/0!</v>
      </c>
      <c r="BF105" s="29" t="str">
        <f t="shared" si="108"/>
        <v>#DIV/0!</v>
      </c>
      <c r="BG105" s="29" t="str">
        <f t="shared" si="108"/>
        <v>#DIV/0!</v>
      </c>
      <c r="BH105" s="29" t="str">
        <f t="shared" si="108"/>
        <v>#DIV/0!</v>
      </c>
      <c r="BI105" s="29" t="str">
        <f t="shared" si="108"/>
        <v>#DIV/0!</v>
      </c>
      <c r="BJ105" s="29" t="str">
        <f t="shared" si="108"/>
        <v>#DIV/0!</v>
      </c>
      <c r="BK105" s="29" t="str">
        <f t="shared" si="108"/>
        <v>#DIV/0!</v>
      </c>
      <c r="BL105" s="29" t="str">
        <f t="shared" si="108"/>
        <v>#DIV/0!</v>
      </c>
      <c r="BM105" s="29" t="str">
        <f t="shared" si="3"/>
        <v>#DIV/0!</v>
      </c>
    </row>
    <row r="106" hidden="1">
      <c r="A106" s="16" t="str">
        <f>IFERROR(__xludf.DUMMYFUNCTION("IFERROR(SPARKLINE(SORT(MAP(TRANSPOSE(AQ106:BL106), LAMBDA(val, IF(ISNUMBER(val), PERCENTRANK(AQ106:BL106, val)+0.01, 0))), SEQUENCE(COLUMNS(AQ106:BL106)), FALSE), {""charttype"",""column""; ""color"",""chartreuse""; ""ymin"", 0; ""ymax"", 1.01; ""highcolo"&amp;"r"", ""darkgreen""; ""lowcolor"", ""red""}), """")"),"")</f>
        <v/>
      </c>
      <c r="B106" s="17" t="str">
        <f t="shared" si="4"/>
        <v/>
      </c>
      <c r="C106" s="1" t="s">
        <v>2961</v>
      </c>
      <c r="D106" s="30" t="str">
        <f>IFERROR(__xludf.DUMMYFUNCTION("IFERROR(GOOGLEFINANCE(C106, ""NAME""))"),"LandBridge Co LLC")</f>
        <v>LandBridge Co LLC</v>
      </c>
      <c r="E106" s="30" t="s">
        <v>2537</v>
      </c>
      <c r="F106" s="33" t="str">
        <f>IFERROR(__xludf.DUMMYFUNCTION("( (GOOGLEFINANCE(C106, ""price"") - Q106) / Q106 ) / (R106 / 100)"),"Loading...")</f>
        <v>Loading...</v>
      </c>
      <c r="G106" s="20" t="str">
        <f>IFERROR(__xludf.DUMMYFUNCTION("AVERAGE(ARRAYFORMULA(100 * (QUERY(GOOGLEFINANCE(C106, ""high"", TODAY()-40, TODAY()), ""SELECT Col2 WHERE Col2 IS NOT NULL ORDER BY Col1 DESC LIMIT 20"", 0) / QUERY(GOOGLEFINANCE(C106, ""low"", TODAY()-40, TODAY()), ""SELECT Col2 WHERE Col2 IS NOT NULL OR"&amp;"DER BY Col1 DESC LIMIT 20"", 0) - 1)))"),"#N/A")</f>
        <v>#N/A</v>
      </c>
      <c r="H106" s="35" t="str">
        <f t="shared" si="6"/>
        <v>Illiquid</v>
      </c>
      <c r="I106" s="35" t="str">
        <f t="shared" si="7"/>
        <v>RVol Required</v>
      </c>
      <c r="J106" s="37">
        <f>IFERROR(__xludf.DUMMYFUNCTION("IFERROR(
  IF(C106="""",, 
    IFERROR(
      GOOGLEFINANCE(C106, ""price"") * GOOGLEFINANCE(C106, ""volumeavg""), 
      GOOGLEFINANCE(C106, ""price"") * AVERAGE(QUERY(GOOGLEFINANCE(C106, ""volume"", TODAY()-40, TODAY()), ""SELECT Col2 WHERE Col2 IS NOT "&amp;"NULL ORDER BY Col1 DESC LIMIT 20"", 0))
    )
  ), 
"""")"),1.8792830729999997E7)</f>
        <v>18792830.73</v>
      </c>
      <c r="K106" s="21">
        <f>IFERROR(__xludf.DUMMYFUNCTION("IFERROR(GOOGLEFINANCE(C106, ""changepct"") / 100, """")"),0.0039000000000000003)</f>
        <v>0.0039</v>
      </c>
      <c r="L106" s="21" t="str">
        <f>IFERROR(__xludf.DUMMYFUNCTION("IFERROR((GOOGLEFINANCE(C106, ""price"") / INDEX(GOOGLEFINANCE(C106, ""price"", TODAY()-7, TODAY()), 2, 2)) - 1, """")"),"")</f>
        <v/>
      </c>
      <c r="M106" s="21" t="str">
        <f>IFERROR(__xludf.DUMMYFUNCTION("IFERROR((GOOGLEFINANCE(C106, ""price"") / INDEX(GOOGLEFINANCE(C106, ""price"", EDATE(TODAY(), -1), TODAY()), 2, 2)) - 1, """")"),"")</f>
        <v/>
      </c>
      <c r="N106" s="21" t="str">
        <f>IFERROR(__xludf.DUMMYFUNCTION("IFERROR((GOOGLEFINANCE(C106, ""price"") / INDEX(GOOGLEFINANCE(C106, ""price"", EDATE(TODAY(), -3), TODAY()), 2, 2)) - 1, """")"),"")</f>
        <v/>
      </c>
      <c r="O106" s="21" t="str">
        <f>IFERROR(__xludf.DUMMYFUNCTION("IFERROR((GOOGLEFINANCE(C106, ""price"") / INDEX(GOOGLEFINANCE(C106, ""price"", EDATE(TODAY(), -6), TODAY()), 2, 2)) - 1, """")"),"")</f>
        <v/>
      </c>
      <c r="P106" s="21" t="str">
        <f>IFERROR(__xludf.DUMMYFUNCTION("IFERROR((GOOGLEFINANCE(C106, ""price"") / INDEX(GOOGLEFINANCE(C106, ""price"", EDATE(TODAY(), -12), TODAY()), 2, 2)) - 1, """")"),"")</f>
        <v/>
      </c>
      <c r="Q106" s="6" t="str">
        <f>IFERROR(__xludf.DUMMYFUNCTION("AVERAGE(QUERY(GOOGLEFINANCE(C106, ""price"", TODAY()-80, TODAY()), ""SELECT Col2 WHERE Col2 IS NOT NULL ORDER BY Col1 DESC LIMIT 50"", 0))"),"#N/A")</f>
        <v>#N/A</v>
      </c>
      <c r="R106" s="24" t="str">
        <f>IFERROR(__xludf.DUMMYFUNCTION("IFERROR(
  LET(
    data, QUERY(GOOGLEFINANCE(C106,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GOOGLEFINANCE(C106, ""price"")) * 100,
    IF(calc=0, G106, calc)
  ), 
G106)"),"#N/A")</f>
        <v>#N/A</v>
      </c>
      <c r="S106" s="8" t="s">
        <v>15</v>
      </c>
      <c r="T106" s="26" t="str">
        <f>IFERROR(__xludf.DUMMYFUNCTION("IFERROR(TRANSPOSE(QUERY(IFERROR(SORT(GOOGLEFINANCE(C106, ""price"", WORKDAY(TODAY(), -40), TODAY()), 1, FALSE)), ""select Col2 where Col2 is not null limit 22 label Col2 ''"", 0)), """")"),"")</f>
        <v/>
      </c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8"/>
      <c r="AO106" s="28"/>
      <c r="AP106" s="29"/>
      <c r="AQ106" s="29" t="str">
        <f t="shared" ref="AQ106:BL106" si="109">T106/T$2</f>
        <v>#N/A</v>
      </c>
      <c r="AR106" s="29" t="str">
        <f t="shared" si="109"/>
        <v>#DIV/0!</v>
      </c>
      <c r="AS106" s="29" t="str">
        <f t="shared" si="109"/>
        <v>#DIV/0!</v>
      </c>
      <c r="AT106" s="29" t="str">
        <f t="shared" si="109"/>
        <v>#DIV/0!</v>
      </c>
      <c r="AU106" s="29" t="str">
        <f t="shared" si="109"/>
        <v>#DIV/0!</v>
      </c>
      <c r="AV106" s="29" t="str">
        <f t="shared" si="109"/>
        <v>#DIV/0!</v>
      </c>
      <c r="AW106" s="29" t="str">
        <f t="shared" si="109"/>
        <v>#DIV/0!</v>
      </c>
      <c r="AX106" s="29" t="str">
        <f t="shared" si="109"/>
        <v>#DIV/0!</v>
      </c>
      <c r="AY106" s="29" t="str">
        <f t="shared" si="109"/>
        <v>#DIV/0!</v>
      </c>
      <c r="AZ106" s="29" t="str">
        <f t="shared" si="109"/>
        <v>#DIV/0!</v>
      </c>
      <c r="BA106" s="29" t="str">
        <f t="shared" si="109"/>
        <v>#DIV/0!</v>
      </c>
      <c r="BB106" s="29" t="str">
        <f t="shared" si="109"/>
        <v>#DIV/0!</v>
      </c>
      <c r="BC106" s="29" t="str">
        <f t="shared" si="109"/>
        <v>#DIV/0!</v>
      </c>
      <c r="BD106" s="29" t="str">
        <f t="shared" si="109"/>
        <v>#DIV/0!</v>
      </c>
      <c r="BE106" s="29" t="str">
        <f t="shared" si="109"/>
        <v>#DIV/0!</v>
      </c>
      <c r="BF106" s="29" t="str">
        <f t="shared" si="109"/>
        <v>#DIV/0!</v>
      </c>
      <c r="BG106" s="29" t="str">
        <f t="shared" si="109"/>
        <v>#DIV/0!</v>
      </c>
      <c r="BH106" s="29" t="str">
        <f t="shared" si="109"/>
        <v>#DIV/0!</v>
      </c>
      <c r="BI106" s="29" t="str">
        <f t="shared" si="109"/>
        <v>#DIV/0!</v>
      </c>
      <c r="BJ106" s="29" t="str">
        <f t="shared" si="109"/>
        <v>#DIV/0!</v>
      </c>
      <c r="BK106" s="29" t="str">
        <f t="shared" si="109"/>
        <v>#DIV/0!</v>
      </c>
      <c r="BL106" s="29" t="str">
        <f t="shared" si="109"/>
        <v>#DIV/0!</v>
      </c>
      <c r="BM106" s="29" t="str">
        <f t="shared" si="3"/>
        <v>#DIV/0!</v>
      </c>
    </row>
    <row r="107" hidden="1">
      <c r="A107" s="16" t="str">
        <f>IFERROR(__xludf.DUMMYFUNCTION("IFERROR(SPARKLINE(SORT(MAP(TRANSPOSE(AQ107:BL107), LAMBDA(val, IF(ISNUMBER(val), PERCENTRANK(AQ107:BL107, val)+0.01, 0))), SEQUENCE(COLUMNS(AQ107:BL107)), FALSE), {""charttype"",""column""; ""color"",""chartreuse""; ""ymin"", 0; ""ymax"", 1.01; ""highcolo"&amp;"r"", ""darkgreen""; ""lowcolor"", ""red""}), """")"),"")</f>
        <v/>
      </c>
      <c r="B107" s="17" t="str">
        <f t="shared" si="4"/>
        <v/>
      </c>
      <c r="C107" s="1" t="s">
        <v>2964</v>
      </c>
      <c r="D107" s="30" t="str">
        <f>IFERROR(__xludf.DUMMYFUNCTION("IFERROR(GOOGLEFINANCE(C107, ""NAME""))"),"Innovex International Inc")</f>
        <v>Innovex International Inc</v>
      </c>
      <c r="E107" s="30" t="s">
        <v>2537</v>
      </c>
      <c r="F107" s="33" t="str">
        <f>IFERROR(__xludf.DUMMYFUNCTION("( (GOOGLEFINANCE(C107, ""price"") - Q107) / Q107 ) / (R107 / 100)"),"Loading...")</f>
        <v>Loading...</v>
      </c>
      <c r="G107" s="20" t="str">
        <f>IFERROR(__xludf.DUMMYFUNCTION("AVERAGE(ARRAYFORMULA(100 * (QUERY(GOOGLEFINANCE(C107, ""high"", TODAY()-40, TODAY()), ""SELECT Col2 WHERE Col2 IS NOT NULL ORDER BY Col1 DESC LIMIT 20"", 0) / QUERY(GOOGLEFINANCE(C107, ""low"", TODAY()-40, TODAY()), ""SELECT Col2 WHERE Col2 IS NOT NULL OR"&amp;"DER BY Col1 DESC LIMIT 20"", 0) - 1)))"),"#N/A")</f>
        <v>#N/A</v>
      </c>
      <c r="H107" s="35" t="str">
        <f t="shared" si="6"/>
        <v>Illiquid</v>
      </c>
      <c r="I107" s="35" t="str">
        <f t="shared" si="7"/>
        <v>RVol Required</v>
      </c>
      <c r="J107" s="37">
        <f>IFERROR(__xludf.DUMMYFUNCTION("IFERROR(
  IF(C107="""",, 
    IFERROR(
      GOOGLEFINANCE(C107, ""price"") * GOOGLEFINANCE(C107, ""volumeavg""), 
      GOOGLEFINANCE(C107, ""price"") * AVERAGE(QUERY(GOOGLEFINANCE(C107, ""volume"", TODAY()-40, TODAY()), ""SELECT Col2 WHERE Col2 IS NOT "&amp;"NULL ORDER BY Col1 DESC LIMIT 20"", 0))
    )
  ), 
"""")"),2.178466373E7)</f>
        <v>21784663.73</v>
      </c>
      <c r="K107" s="21">
        <f>IFERROR(__xludf.DUMMYFUNCTION("IFERROR(GOOGLEFINANCE(C107, ""changepct"") / 100, """")"),0.023399999999999997)</f>
        <v>0.0234</v>
      </c>
      <c r="L107" s="21" t="str">
        <f>IFERROR(__xludf.DUMMYFUNCTION("IFERROR((GOOGLEFINANCE(C107, ""price"") / INDEX(GOOGLEFINANCE(C107, ""price"", TODAY()-7, TODAY()), 2, 2)) - 1, """")"),"")</f>
        <v/>
      </c>
      <c r="M107" s="21" t="str">
        <f>IFERROR(__xludf.DUMMYFUNCTION("IFERROR((GOOGLEFINANCE(C107, ""price"") / INDEX(GOOGLEFINANCE(C107, ""price"", EDATE(TODAY(), -1), TODAY()), 2, 2)) - 1, """")"),"")</f>
        <v/>
      </c>
      <c r="N107" s="21" t="str">
        <f>IFERROR(__xludf.DUMMYFUNCTION("IFERROR((GOOGLEFINANCE(C107, ""price"") / INDEX(GOOGLEFINANCE(C107, ""price"", EDATE(TODAY(), -3), TODAY()), 2, 2)) - 1, """")"),"")</f>
        <v/>
      </c>
      <c r="O107" s="21" t="str">
        <f>IFERROR(__xludf.DUMMYFUNCTION("IFERROR((GOOGLEFINANCE(C107, ""price"") / INDEX(GOOGLEFINANCE(C107, ""price"", EDATE(TODAY(), -6), TODAY()), 2, 2)) - 1, """")"),"")</f>
        <v/>
      </c>
      <c r="P107" s="21" t="str">
        <f>IFERROR(__xludf.DUMMYFUNCTION("IFERROR((GOOGLEFINANCE(C107, ""price"") / INDEX(GOOGLEFINANCE(C107, ""price"", EDATE(TODAY(), -12), TODAY()), 2, 2)) - 1, """")"),"")</f>
        <v/>
      </c>
      <c r="Q107" s="6" t="str">
        <f>IFERROR(__xludf.DUMMYFUNCTION("AVERAGE(QUERY(GOOGLEFINANCE(C107, ""price"", TODAY()-80, TODAY()), ""SELECT Col2 WHERE Col2 IS NOT NULL ORDER BY Col1 DESC LIMIT 50"", 0))"),"#N/A")</f>
        <v>#N/A</v>
      </c>
      <c r="R107" s="24" t="str">
        <f>IFERROR(__xludf.DUMMYFUNCTION("IFERROR(
  LET(
    data, QUERY(GOOGLEFINANCE(C107,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GOOGLEFINANCE(C107, ""price"")) * 100,
    IF(calc=0, G107, calc)
  ), 
G107)"),"#N/A")</f>
        <v>#N/A</v>
      </c>
      <c r="S107" s="8" t="s">
        <v>15</v>
      </c>
      <c r="T107" s="26" t="str">
        <f>IFERROR(__xludf.DUMMYFUNCTION("IFERROR(TRANSPOSE(QUERY(IFERROR(SORT(GOOGLEFINANCE(C107, ""price"", WORKDAY(TODAY(), -40), TODAY()), 1, FALSE)), ""select Col2 where Col2 is not null limit 22 label Col2 ''"", 0)), """")"),"")</f>
        <v/>
      </c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8"/>
      <c r="AO107" s="28"/>
      <c r="AP107" s="29"/>
      <c r="AQ107" s="29" t="str">
        <f t="shared" ref="AQ107:BL107" si="110">T107/T$2</f>
        <v>#N/A</v>
      </c>
      <c r="AR107" s="29" t="str">
        <f t="shared" si="110"/>
        <v>#DIV/0!</v>
      </c>
      <c r="AS107" s="29" t="str">
        <f t="shared" si="110"/>
        <v>#DIV/0!</v>
      </c>
      <c r="AT107" s="29" t="str">
        <f t="shared" si="110"/>
        <v>#DIV/0!</v>
      </c>
      <c r="AU107" s="29" t="str">
        <f t="shared" si="110"/>
        <v>#DIV/0!</v>
      </c>
      <c r="AV107" s="29" t="str">
        <f t="shared" si="110"/>
        <v>#DIV/0!</v>
      </c>
      <c r="AW107" s="29" t="str">
        <f t="shared" si="110"/>
        <v>#DIV/0!</v>
      </c>
      <c r="AX107" s="29" t="str">
        <f t="shared" si="110"/>
        <v>#DIV/0!</v>
      </c>
      <c r="AY107" s="29" t="str">
        <f t="shared" si="110"/>
        <v>#DIV/0!</v>
      </c>
      <c r="AZ107" s="29" t="str">
        <f t="shared" si="110"/>
        <v>#DIV/0!</v>
      </c>
      <c r="BA107" s="29" t="str">
        <f t="shared" si="110"/>
        <v>#DIV/0!</v>
      </c>
      <c r="BB107" s="29" t="str">
        <f t="shared" si="110"/>
        <v>#DIV/0!</v>
      </c>
      <c r="BC107" s="29" t="str">
        <f t="shared" si="110"/>
        <v>#DIV/0!</v>
      </c>
      <c r="BD107" s="29" t="str">
        <f t="shared" si="110"/>
        <v>#DIV/0!</v>
      </c>
      <c r="BE107" s="29" t="str">
        <f t="shared" si="110"/>
        <v>#DIV/0!</v>
      </c>
      <c r="BF107" s="29" t="str">
        <f t="shared" si="110"/>
        <v>#DIV/0!</v>
      </c>
      <c r="BG107" s="29" t="str">
        <f t="shared" si="110"/>
        <v>#DIV/0!</v>
      </c>
      <c r="BH107" s="29" t="str">
        <f t="shared" si="110"/>
        <v>#DIV/0!</v>
      </c>
      <c r="BI107" s="29" t="str">
        <f t="shared" si="110"/>
        <v>#DIV/0!</v>
      </c>
      <c r="BJ107" s="29" t="str">
        <f t="shared" si="110"/>
        <v>#DIV/0!</v>
      </c>
      <c r="BK107" s="29" t="str">
        <f t="shared" si="110"/>
        <v>#DIV/0!</v>
      </c>
      <c r="BL107" s="29" t="str">
        <f t="shared" si="110"/>
        <v>#DIV/0!</v>
      </c>
      <c r="BM107" s="29" t="str">
        <f t="shared" si="3"/>
        <v>#DIV/0!</v>
      </c>
    </row>
    <row r="108" hidden="1">
      <c r="A108" s="16" t="str">
        <f>IFERROR(__xludf.DUMMYFUNCTION("IFERROR(SPARKLINE(SORT(MAP(TRANSPOSE(AQ108:BL108), LAMBDA(val, IF(ISNUMBER(val), PERCENTRANK(AQ108:BL108, val)+0.01, 0))), SEQUENCE(COLUMNS(AQ108:BL108)), FALSE), {""charttype"",""column""; ""color"",""chartreuse""; ""ymin"", 0; ""ymax"", 1.01; ""highcolo"&amp;"r"", ""darkgreen""; ""lowcolor"", ""red""}), """")"),"")</f>
        <v/>
      </c>
      <c r="B108" s="17" t="str">
        <f t="shared" si="4"/>
        <v/>
      </c>
      <c r="C108" s="1" t="s">
        <v>2967</v>
      </c>
      <c r="D108" s="30" t="str">
        <f>IFERROR(__xludf.DUMMYFUNCTION("IFERROR(GOOGLEFINANCE(C108, ""NAME""))"),"VAALCO Energy Inc")</f>
        <v>VAALCO Energy Inc</v>
      </c>
      <c r="E108" s="30" t="s">
        <v>2613</v>
      </c>
      <c r="F108" s="33" t="str">
        <f>IFERROR(__xludf.DUMMYFUNCTION("( (GOOGLEFINANCE(C108, ""price"") - Q108) / Q108 ) / (R108 / 100)"),"Loading...")</f>
        <v>Loading...</v>
      </c>
      <c r="G108" s="20" t="str">
        <f>IFERROR(__xludf.DUMMYFUNCTION("AVERAGE(ARRAYFORMULA(100 * (QUERY(GOOGLEFINANCE(C108, ""high"", TODAY()-40, TODAY()), ""SELECT Col2 WHERE Col2 IS NOT NULL ORDER BY Col1 DESC LIMIT 20"", 0) / QUERY(GOOGLEFINANCE(C108, ""low"", TODAY()-40, TODAY()), ""SELECT Col2 WHERE Col2 IS NOT NULL OR"&amp;"DER BY Col1 DESC LIMIT 20"", 0) - 1)))"),"#N/A")</f>
        <v>#N/A</v>
      </c>
      <c r="H108" s="35" t="str">
        <f t="shared" si="6"/>
        <v>Illiquid</v>
      </c>
      <c r="I108" s="35" t="str">
        <f t="shared" si="7"/>
        <v>RVol Required</v>
      </c>
      <c r="J108" s="37">
        <f>IFERROR(__xludf.DUMMYFUNCTION("IFERROR(
  IF(C108="""",, 
    IFERROR(
      GOOGLEFINANCE(C108, ""price"") * GOOGLEFINANCE(C108, ""volumeavg""), 
      GOOGLEFINANCE(C108, ""price"") * AVERAGE(QUERY(GOOGLEFINANCE(C108, ""volume"", TODAY()-40, TODAY()), ""SELECT Col2 WHERE Col2 IS NOT "&amp;"NULL ORDER BY Col1 DESC LIMIT 20"", 0))
    )
  ), 
"""")"),8042032.4)</f>
        <v>8042032.4</v>
      </c>
      <c r="K108" s="21">
        <f>IFERROR(__xludf.DUMMYFUNCTION("IFERROR(GOOGLEFINANCE(C108, ""changepct"") / 100, """")"),0.0316)</f>
        <v>0.0316</v>
      </c>
      <c r="L108" s="21" t="str">
        <f>IFERROR(__xludf.DUMMYFUNCTION("IFERROR((GOOGLEFINANCE(C108, ""price"") / INDEX(GOOGLEFINANCE(C108, ""price"", TODAY()-7, TODAY()), 2, 2)) - 1, """")"),"")</f>
        <v/>
      </c>
      <c r="M108" s="21" t="str">
        <f>IFERROR(__xludf.DUMMYFUNCTION("IFERROR((GOOGLEFINANCE(C108, ""price"") / INDEX(GOOGLEFINANCE(C108, ""price"", EDATE(TODAY(), -1), TODAY()), 2, 2)) - 1, """")"),"")</f>
        <v/>
      </c>
      <c r="N108" s="21" t="str">
        <f>IFERROR(__xludf.DUMMYFUNCTION("IFERROR((GOOGLEFINANCE(C108, ""price"") / INDEX(GOOGLEFINANCE(C108, ""price"", EDATE(TODAY(), -3), TODAY()), 2, 2)) - 1, """")"),"")</f>
        <v/>
      </c>
      <c r="O108" s="21" t="str">
        <f>IFERROR(__xludf.DUMMYFUNCTION("IFERROR((GOOGLEFINANCE(C108, ""price"") / INDEX(GOOGLEFINANCE(C108, ""price"", EDATE(TODAY(), -6), TODAY()), 2, 2)) - 1, """")"),"")</f>
        <v/>
      </c>
      <c r="P108" s="21" t="str">
        <f>IFERROR(__xludf.DUMMYFUNCTION("IFERROR((GOOGLEFINANCE(C108, ""price"") / INDEX(GOOGLEFINANCE(C108, ""price"", EDATE(TODAY(), -12), TODAY()), 2, 2)) - 1, """")"),"")</f>
        <v/>
      </c>
      <c r="Q108" s="6" t="str">
        <f>IFERROR(__xludf.DUMMYFUNCTION("AVERAGE(QUERY(GOOGLEFINANCE(C108, ""price"", TODAY()-80, TODAY()), ""SELECT Col2 WHERE Col2 IS NOT NULL ORDER BY Col1 DESC LIMIT 50"", 0))"),"#N/A")</f>
        <v>#N/A</v>
      </c>
      <c r="R108" s="24" t="str">
        <f>IFERROR(__xludf.DUMMYFUNCTION("IFERROR(
  LET(
    data, QUERY(GOOGLEFINANCE(C108,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GOOGLEFINANCE(C108, ""price"")) * 100,
    IF(calc=0, G108, calc)
  ), 
G108)"),"#N/A")</f>
        <v>#N/A</v>
      </c>
      <c r="S108" s="8" t="s">
        <v>15</v>
      </c>
      <c r="T108" s="26" t="str">
        <f>IFERROR(__xludf.DUMMYFUNCTION("IFERROR(TRANSPOSE(QUERY(IFERROR(SORT(GOOGLEFINANCE(C108, ""price"", WORKDAY(TODAY(), -40), TODAY()), 1, FALSE)), ""select Col2 where Col2 is not null limit 22 label Col2 ''"", 0)), """")"),"")</f>
        <v/>
      </c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8"/>
      <c r="AO108" s="28"/>
      <c r="AP108" s="29"/>
      <c r="AQ108" s="29" t="str">
        <f t="shared" ref="AQ108:BL108" si="111">T108/T$2</f>
        <v>#N/A</v>
      </c>
      <c r="AR108" s="29" t="str">
        <f t="shared" si="111"/>
        <v>#DIV/0!</v>
      </c>
      <c r="AS108" s="29" t="str">
        <f t="shared" si="111"/>
        <v>#DIV/0!</v>
      </c>
      <c r="AT108" s="29" t="str">
        <f t="shared" si="111"/>
        <v>#DIV/0!</v>
      </c>
      <c r="AU108" s="29" t="str">
        <f t="shared" si="111"/>
        <v>#DIV/0!</v>
      </c>
      <c r="AV108" s="29" t="str">
        <f t="shared" si="111"/>
        <v>#DIV/0!</v>
      </c>
      <c r="AW108" s="29" t="str">
        <f t="shared" si="111"/>
        <v>#DIV/0!</v>
      </c>
      <c r="AX108" s="29" t="str">
        <f t="shared" si="111"/>
        <v>#DIV/0!</v>
      </c>
      <c r="AY108" s="29" t="str">
        <f t="shared" si="111"/>
        <v>#DIV/0!</v>
      </c>
      <c r="AZ108" s="29" t="str">
        <f t="shared" si="111"/>
        <v>#DIV/0!</v>
      </c>
      <c r="BA108" s="29" t="str">
        <f t="shared" si="111"/>
        <v>#DIV/0!</v>
      </c>
      <c r="BB108" s="29" t="str">
        <f t="shared" si="111"/>
        <v>#DIV/0!</v>
      </c>
      <c r="BC108" s="29" t="str">
        <f t="shared" si="111"/>
        <v>#DIV/0!</v>
      </c>
      <c r="BD108" s="29" t="str">
        <f t="shared" si="111"/>
        <v>#DIV/0!</v>
      </c>
      <c r="BE108" s="29" t="str">
        <f t="shared" si="111"/>
        <v>#DIV/0!</v>
      </c>
      <c r="BF108" s="29" t="str">
        <f t="shared" si="111"/>
        <v>#DIV/0!</v>
      </c>
      <c r="BG108" s="29" t="str">
        <f t="shared" si="111"/>
        <v>#DIV/0!</v>
      </c>
      <c r="BH108" s="29" t="str">
        <f t="shared" si="111"/>
        <v>#DIV/0!</v>
      </c>
      <c r="BI108" s="29" t="str">
        <f t="shared" si="111"/>
        <v>#DIV/0!</v>
      </c>
      <c r="BJ108" s="29" t="str">
        <f t="shared" si="111"/>
        <v>#DIV/0!</v>
      </c>
      <c r="BK108" s="29" t="str">
        <f t="shared" si="111"/>
        <v>#DIV/0!</v>
      </c>
      <c r="BL108" s="29" t="str">
        <f t="shared" si="111"/>
        <v>#DIV/0!</v>
      </c>
      <c r="BM108" s="29" t="str">
        <f t="shared" si="3"/>
        <v>#DIV/0!</v>
      </c>
    </row>
    <row r="109">
      <c r="A109" s="16" t="str">
        <f>IFERROR(__xludf.DUMMYFUNCTION("IFERROR(SPARKLINE(SORT(MAP(TRANSPOSE(AQ109:BL109), LAMBDA(val, IF(ISNUMBER(val), PERCENTRANK(AQ109:BL109, val)+0.01, 0))), SEQUENCE(COLUMNS(AQ109:BL109)), FALSE), {""charttype"",""column""; ""color"",""chartreuse""; ""ymin"", 0; ""ymax"", 1.01; ""highcolo"&amp;"r"", ""darkgreen""; ""lowcolor"", ""red""}), """")"),"")</f>
        <v/>
      </c>
      <c r="B109" s="17" t="str">
        <f t="shared" si="4"/>
        <v/>
      </c>
      <c r="C109" s="1" t="s">
        <v>2970</v>
      </c>
      <c r="D109" s="30" t="str">
        <f>IFERROR(__xludf.DUMMYFUNCTION("IFERROR(GOOGLEFINANCE(C109, ""NAME""))"),"DHT Holdings Inc")</f>
        <v>DHT Holdings Inc</v>
      </c>
      <c r="E109" s="30" t="s">
        <v>2547</v>
      </c>
      <c r="F109" s="33" t="str">
        <f>IFERROR(__xludf.DUMMYFUNCTION("( (GOOGLEFINANCE(C109, ""price"") - Q109) / Q109 ) / (R109 / 100)"),"Loading...")</f>
        <v>Loading...</v>
      </c>
      <c r="G109" s="20" t="str">
        <f>IFERROR(__xludf.DUMMYFUNCTION("AVERAGE(ARRAYFORMULA(100 * (QUERY(GOOGLEFINANCE(C109, ""high"", TODAY()-40, TODAY()), ""SELECT Col2 WHERE Col2 IS NOT NULL ORDER BY Col1 DESC LIMIT 20"", 0) / QUERY(GOOGLEFINANCE(C109, ""low"", TODAY()-40, TODAY()), ""SELECT Col2 WHERE Col2 IS NOT NULL OR"&amp;"DER BY Col1 DESC LIMIT 20"", 0) - 1)))"),"#N/A")</f>
        <v>#N/A</v>
      </c>
      <c r="H109" s="35" t="str">
        <f t="shared" si="6"/>
        <v>Liquid</v>
      </c>
      <c r="I109" s="35" t="str">
        <f t="shared" si="7"/>
        <v>RVol Required</v>
      </c>
      <c r="J109" s="37">
        <f>IFERROR(__xludf.DUMMYFUNCTION("IFERROR(
  IF(C109="""",, 
    IFERROR(
      GOOGLEFINANCE(C109, ""price"") * GOOGLEFINANCE(C109, ""volumeavg""), 
      GOOGLEFINANCE(C109, ""price"") * AVERAGE(QUERY(GOOGLEFINANCE(C109, ""volume"", TODAY()-40, TODAY()), ""SELECT Col2 WHERE Col2 IS NOT "&amp;"NULL ORDER BY Col1 DESC LIMIT 20"", 0))
    )
  ), 
"""")"),1.128622092E8)</f>
        <v>112862209.2</v>
      </c>
      <c r="K109" s="21">
        <f>IFERROR(__xludf.DUMMYFUNCTION("IFERROR(GOOGLEFINANCE(C109, ""changepct"") / 100, """")"),0.0073)</f>
        <v>0.0073</v>
      </c>
      <c r="L109" s="21" t="str">
        <f>IFERROR(__xludf.DUMMYFUNCTION("IFERROR((GOOGLEFINANCE(C109, ""price"") / INDEX(GOOGLEFINANCE(C109, ""price"", TODAY()-7, TODAY()), 2, 2)) - 1, """")"),"")</f>
        <v/>
      </c>
      <c r="M109" s="21" t="str">
        <f>IFERROR(__xludf.DUMMYFUNCTION("IFERROR((GOOGLEFINANCE(C109, ""price"") / INDEX(GOOGLEFINANCE(C109, ""price"", EDATE(TODAY(), -1), TODAY()), 2, 2)) - 1, """")"),"")</f>
        <v/>
      </c>
      <c r="N109" s="21" t="str">
        <f>IFERROR(__xludf.DUMMYFUNCTION("IFERROR((GOOGLEFINANCE(C109, ""price"") / INDEX(GOOGLEFINANCE(C109, ""price"", EDATE(TODAY(), -3), TODAY()), 2, 2)) - 1, """")"),"")</f>
        <v/>
      </c>
      <c r="O109" s="21" t="str">
        <f>IFERROR(__xludf.DUMMYFUNCTION("IFERROR((GOOGLEFINANCE(C109, ""price"") / INDEX(GOOGLEFINANCE(C109, ""price"", EDATE(TODAY(), -6), TODAY()), 2, 2)) - 1, """")"),"")</f>
        <v/>
      </c>
      <c r="P109" s="21" t="str">
        <f>IFERROR(__xludf.DUMMYFUNCTION("IFERROR((GOOGLEFINANCE(C109, ""price"") / INDEX(GOOGLEFINANCE(C109, ""price"", EDATE(TODAY(), -12), TODAY()), 2, 2)) - 1, """")"),"")</f>
        <v/>
      </c>
      <c r="Q109" s="6" t="str">
        <f>IFERROR(__xludf.DUMMYFUNCTION("AVERAGE(QUERY(GOOGLEFINANCE(C109, ""price"", TODAY()-80, TODAY()), ""SELECT Col2 WHERE Col2 IS NOT NULL ORDER BY Col1 DESC LIMIT 50"", 0))"),"#N/A")</f>
        <v>#N/A</v>
      </c>
      <c r="R109" s="24" t="str">
        <f>IFERROR(__xludf.DUMMYFUNCTION("IFERROR(
  LET(
    data, QUERY(GOOGLEFINANCE(C109,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GOOGLEFINANCE(C109, ""price"")) * 100,
    IF(calc=0, G109, calc)
  ), 
G109)"),"#N/A")</f>
        <v>#N/A</v>
      </c>
      <c r="S109" s="8" t="s">
        <v>15</v>
      </c>
      <c r="T109" s="26" t="str">
        <f>IFERROR(__xludf.DUMMYFUNCTION("IFERROR(TRANSPOSE(QUERY(IFERROR(SORT(GOOGLEFINANCE(C109, ""price"", WORKDAY(TODAY(), -40), TODAY()), 1, FALSE)), ""select Col2 where Col2 is not null limit 22 label Col2 ''"", 0)), """")"),"")</f>
        <v/>
      </c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8"/>
      <c r="AO109" s="28"/>
      <c r="AP109" s="29"/>
      <c r="AQ109" s="29" t="str">
        <f t="shared" ref="AQ109:BL109" si="112">T109/T$2</f>
        <v>#N/A</v>
      </c>
      <c r="AR109" s="29" t="str">
        <f t="shared" si="112"/>
        <v>#DIV/0!</v>
      </c>
      <c r="AS109" s="29" t="str">
        <f t="shared" si="112"/>
        <v>#DIV/0!</v>
      </c>
      <c r="AT109" s="29" t="str">
        <f t="shared" si="112"/>
        <v>#DIV/0!</v>
      </c>
      <c r="AU109" s="29" t="str">
        <f t="shared" si="112"/>
        <v>#DIV/0!</v>
      </c>
      <c r="AV109" s="29" t="str">
        <f t="shared" si="112"/>
        <v>#DIV/0!</v>
      </c>
      <c r="AW109" s="29" t="str">
        <f t="shared" si="112"/>
        <v>#DIV/0!</v>
      </c>
      <c r="AX109" s="29" t="str">
        <f t="shared" si="112"/>
        <v>#DIV/0!</v>
      </c>
      <c r="AY109" s="29" t="str">
        <f t="shared" si="112"/>
        <v>#DIV/0!</v>
      </c>
      <c r="AZ109" s="29" t="str">
        <f t="shared" si="112"/>
        <v>#DIV/0!</v>
      </c>
      <c r="BA109" s="29" t="str">
        <f t="shared" si="112"/>
        <v>#DIV/0!</v>
      </c>
      <c r="BB109" s="29" t="str">
        <f t="shared" si="112"/>
        <v>#DIV/0!</v>
      </c>
      <c r="BC109" s="29" t="str">
        <f t="shared" si="112"/>
        <v>#DIV/0!</v>
      </c>
      <c r="BD109" s="29" t="str">
        <f t="shared" si="112"/>
        <v>#DIV/0!</v>
      </c>
      <c r="BE109" s="29" t="str">
        <f t="shared" si="112"/>
        <v>#DIV/0!</v>
      </c>
      <c r="BF109" s="29" t="str">
        <f t="shared" si="112"/>
        <v>#DIV/0!</v>
      </c>
      <c r="BG109" s="29" t="str">
        <f t="shared" si="112"/>
        <v>#DIV/0!</v>
      </c>
      <c r="BH109" s="29" t="str">
        <f t="shared" si="112"/>
        <v>#DIV/0!</v>
      </c>
      <c r="BI109" s="29" t="str">
        <f t="shared" si="112"/>
        <v>#DIV/0!</v>
      </c>
      <c r="BJ109" s="29" t="str">
        <f t="shared" si="112"/>
        <v>#DIV/0!</v>
      </c>
      <c r="BK109" s="29" t="str">
        <f t="shared" si="112"/>
        <v>#DIV/0!</v>
      </c>
      <c r="BL109" s="29" t="str">
        <f t="shared" si="112"/>
        <v>#DIV/0!</v>
      </c>
      <c r="BM109" s="29" t="str">
        <f t="shared" si="3"/>
        <v>#DIV/0!</v>
      </c>
    </row>
    <row r="110">
      <c r="A110" s="16" t="str">
        <f>IFERROR(__xludf.DUMMYFUNCTION("IFERROR(SPARKLINE(SORT(MAP(TRANSPOSE(AQ110:BL110), LAMBDA(val, IF(ISNUMBER(val), PERCENTRANK(AQ110:BL110, val)+0.01, 0))), SEQUENCE(COLUMNS(AQ110:BL110)), FALSE), {""charttype"",""column""; ""color"",""chartreuse""; ""ymin"", 0; ""ymax"", 1.01; ""highcolo"&amp;"r"", ""darkgreen""; ""lowcolor"", ""red""}), """")"),"")</f>
        <v/>
      </c>
      <c r="B110" s="17" t="str">
        <f t="shared" si="4"/>
        <v/>
      </c>
      <c r="C110" s="1" t="s">
        <v>2974</v>
      </c>
      <c r="D110" s="30" t="str">
        <f>IFERROR(__xludf.DUMMYFUNCTION("IFERROR(GOOGLEFINANCE(C110, ""NAME""))"),"Viper Energy Inc")</f>
        <v>Viper Energy Inc</v>
      </c>
      <c r="E110" s="30" t="s">
        <v>2547</v>
      </c>
      <c r="F110" s="38" t="str">
        <f>IFERROR(__xludf.DUMMYFUNCTION("( (GOOGLEFINANCE(C110, ""price"") - Q110) / Q110 ) / (R110 / 100)"),"Loading...")</f>
        <v>Loading...</v>
      </c>
      <c r="G110" s="20" t="str">
        <f>IFERROR(__xludf.DUMMYFUNCTION("AVERAGE(ARRAYFORMULA(100 * (QUERY(GOOGLEFINANCE(C110, ""high"", TODAY()-40, TODAY()), ""SELECT Col2 WHERE Col2 IS NOT NULL ORDER BY Col1 DESC LIMIT 20"", 0) / QUERY(GOOGLEFINANCE(C110, ""low"", TODAY()-40, TODAY()), ""SELECT Col2 WHERE Col2 IS NOT NULL OR"&amp;"DER BY Col1 DESC LIMIT 20"", 0) - 1)))"),"#N/A")</f>
        <v>#N/A</v>
      </c>
      <c r="H110" s="35" t="str">
        <f t="shared" si="6"/>
        <v>Liquid</v>
      </c>
      <c r="I110" s="35" t="str">
        <f t="shared" si="7"/>
        <v>RVol Required</v>
      </c>
      <c r="J110" s="37">
        <f>IFERROR(__xludf.DUMMYFUNCTION("IFERROR(
  IF(C110="""",, 
    IFERROR(
      GOOGLEFINANCE(C110, ""price"") * GOOGLEFINANCE(C110, ""volumeavg""), 
      GOOGLEFINANCE(C110, ""price"") * AVERAGE(QUERY(GOOGLEFINANCE(C110, ""volume"", TODAY()-40, TODAY()), ""SELECT Col2 WHERE Col2 IS NOT "&amp;"NULL ORDER BY Col1 DESC LIMIT 20"", 0))
    )
  ), 
"""")"),9.434287654E7)</f>
        <v>94342876.54</v>
      </c>
      <c r="K110" s="21">
        <f>IFERROR(__xludf.DUMMYFUNCTION("IFERROR(GOOGLEFINANCE(C110, ""changepct"") / 100, """")"),0.029500000000000002)</f>
        <v>0.0295</v>
      </c>
      <c r="L110" s="21" t="str">
        <f>IFERROR(__xludf.DUMMYFUNCTION("IFERROR((GOOGLEFINANCE(C110, ""price"") / INDEX(GOOGLEFINANCE(C110, ""price"", TODAY()-7, TODAY()), 2, 2)) - 1, """")"),"")</f>
        <v/>
      </c>
      <c r="M110" s="21" t="str">
        <f>IFERROR(__xludf.DUMMYFUNCTION("IFERROR((GOOGLEFINANCE(C110, ""price"") / INDEX(GOOGLEFINANCE(C110, ""price"", EDATE(TODAY(), -1), TODAY()), 2, 2)) - 1, """")"),"")</f>
        <v/>
      </c>
      <c r="N110" s="21" t="str">
        <f>IFERROR(__xludf.DUMMYFUNCTION("IFERROR((GOOGLEFINANCE(C110, ""price"") / INDEX(GOOGLEFINANCE(C110, ""price"", EDATE(TODAY(), -3), TODAY()), 2, 2)) - 1, """")"),"")</f>
        <v/>
      </c>
      <c r="O110" s="21" t="str">
        <f>IFERROR(__xludf.DUMMYFUNCTION("IFERROR((GOOGLEFINANCE(C110, ""price"") / INDEX(GOOGLEFINANCE(C110, ""price"", EDATE(TODAY(), -6), TODAY()), 2, 2)) - 1, """")"),"")</f>
        <v/>
      </c>
      <c r="P110" s="21" t="str">
        <f>IFERROR(__xludf.DUMMYFUNCTION("IFERROR((GOOGLEFINANCE(C110, ""price"") / INDEX(GOOGLEFINANCE(C110, ""price"", EDATE(TODAY(), -12), TODAY()), 2, 2)) - 1, """")"),"")</f>
        <v/>
      </c>
      <c r="Q110" s="6" t="str">
        <f>IFERROR(__xludf.DUMMYFUNCTION("AVERAGE(QUERY(GOOGLEFINANCE(C110, ""price"", TODAY()-80, TODAY()), ""SELECT Col2 WHERE Col2 IS NOT NULL ORDER BY Col1 DESC LIMIT 50"", 0))"),"#N/A")</f>
        <v>#N/A</v>
      </c>
      <c r="R110" s="24" t="str">
        <f>IFERROR(__xludf.DUMMYFUNCTION("IFERROR(
  LET(
    data, QUERY(GOOGLEFINANCE(C110,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GOOGLEFINANCE(C110, ""price"")) * 100,
    IF(calc=0, G110, calc)
  ), 
G110)"),"#N/A")</f>
        <v>#N/A</v>
      </c>
      <c r="S110" s="8" t="s">
        <v>15</v>
      </c>
      <c r="T110" s="26" t="str">
        <f>IFERROR(__xludf.DUMMYFUNCTION("IFERROR(TRANSPOSE(QUERY(IFERROR(SORT(GOOGLEFINANCE(C110, ""price"", WORKDAY(TODAY(), -40), TODAY()), 1, FALSE)), ""select Col2 where Col2 is not null limit 22 label Col2 ''"", 0)), """")"),"")</f>
        <v/>
      </c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8"/>
      <c r="AO110" s="28"/>
      <c r="AP110" s="29"/>
      <c r="AQ110" s="29" t="str">
        <f t="shared" ref="AQ110:BL110" si="113">T110/T$2</f>
        <v>#N/A</v>
      </c>
      <c r="AR110" s="29" t="str">
        <f t="shared" si="113"/>
        <v>#DIV/0!</v>
      </c>
      <c r="AS110" s="29" t="str">
        <f t="shared" si="113"/>
        <v>#DIV/0!</v>
      </c>
      <c r="AT110" s="29" t="str">
        <f t="shared" si="113"/>
        <v>#DIV/0!</v>
      </c>
      <c r="AU110" s="29" t="str">
        <f t="shared" si="113"/>
        <v>#DIV/0!</v>
      </c>
      <c r="AV110" s="29" t="str">
        <f t="shared" si="113"/>
        <v>#DIV/0!</v>
      </c>
      <c r="AW110" s="29" t="str">
        <f t="shared" si="113"/>
        <v>#DIV/0!</v>
      </c>
      <c r="AX110" s="29" t="str">
        <f t="shared" si="113"/>
        <v>#DIV/0!</v>
      </c>
      <c r="AY110" s="29" t="str">
        <f t="shared" si="113"/>
        <v>#DIV/0!</v>
      </c>
      <c r="AZ110" s="29" t="str">
        <f t="shared" si="113"/>
        <v>#DIV/0!</v>
      </c>
      <c r="BA110" s="29" t="str">
        <f t="shared" si="113"/>
        <v>#DIV/0!</v>
      </c>
      <c r="BB110" s="29" t="str">
        <f t="shared" si="113"/>
        <v>#DIV/0!</v>
      </c>
      <c r="BC110" s="29" t="str">
        <f t="shared" si="113"/>
        <v>#DIV/0!</v>
      </c>
      <c r="BD110" s="29" t="str">
        <f t="shared" si="113"/>
        <v>#DIV/0!</v>
      </c>
      <c r="BE110" s="29" t="str">
        <f t="shared" si="113"/>
        <v>#DIV/0!</v>
      </c>
      <c r="BF110" s="29" t="str">
        <f t="shared" si="113"/>
        <v>#DIV/0!</v>
      </c>
      <c r="BG110" s="29" t="str">
        <f t="shared" si="113"/>
        <v>#DIV/0!</v>
      </c>
      <c r="BH110" s="29" t="str">
        <f t="shared" si="113"/>
        <v>#DIV/0!</v>
      </c>
      <c r="BI110" s="29" t="str">
        <f t="shared" si="113"/>
        <v>#DIV/0!</v>
      </c>
      <c r="BJ110" s="29" t="str">
        <f t="shared" si="113"/>
        <v>#DIV/0!</v>
      </c>
      <c r="BK110" s="29" t="str">
        <f t="shared" si="113"/>
        <v>#DIV/0!</v>
      </c>
      <c r="BL110" s="29" t="str">
        <f t="shared" si="113"/>
        <v>#DIV/0!</v>
      </c>
      <c r="BM110" s="29" t="str">
        <f t="shared" si="3"/>
        <v>#DIV/0!</v>
      </c>
    </row>
    <row r="111" hidden="1">
      <c r="A111" s="16" t="str">
        <f>IFERROR(__xludf.DUMMYFUNCTION("IFERROR(SPARKLINE(SORT(MAP(TRANSPOSE(AQ111:BL111), LAMBDA(val, IF(ISNUMBER(val), PERCENTRANK(AQ111:BL111, val)+0.01, 0))), SEQUENCE(COLUMNS(AQ111:BL111)), FALSE), {""charttype"",""column""; ""color"",""chartreuse""; ""ymin"", 0; ""ymax"", 1.01; ""highcolo"&amp;"r"", ""darkgreen""; ""lowcolor"", ""red""}), """")"),"")</f>
        <v/>
      </c>
      <c r="B111" s="17" t="str">
        <f t="shared" si="4"/>
        <v/>
      </c>
      <c r="C111" s="1" t="s">
        <v>2978</v>
      </c>
      <c r="D111" s="30" t="str">
        <f>IFERROR(__xludf.DUMMYFUNCTION("IFERROR(GOOGLEFINANCE(C111, ""NAME""))"),"Vermilion Energy Inc")</f>
        <v>Vermilion Energy Inc</v>
      </c>
      <c r="E111" s="30" t="s">
        <v>2613</v>
      </c>
      <c r="F111" s="33" t="str">
        <f>IFERROR(__xludf.DUMMYFUNCTION("( (GOOGLEFINANCE(C111, ""price"") - Q111) / Q111 ) / (R111 / 100)"),"Loading...")</f>
        <v>Loading...</v>
      </c>
      <c r="G111" s="20" t="str">
        <f>IFERROR(__xludf.DUMMYFUNCTION("AVERAGE(ARRAYFORMULA(100 * (QUERY(GOOGLEFINANCE(C111, ""high"", TODAY()-40, TODAY()), ""SELECT Col2 WHERE Col2 IS NOT NULL ORDER BY Col1 DESC LIMIT 20"", 0) / QUERY(GOOGLEFINANCE(C111, ""low"", TODAY()-40, TODAY()), ""SELECT Col2 WHERE Col2 IS NOT NULL OR"&amp;"DER BY Col1 DESC LIMIT 20"", 0) - 1)))"),"#N/A")</f>
        <v>#N/A</v>
      </c>
      <c r="H111" s="35" t="str">
        <f t="shared" si="6"/>
        <v>Illiquid</v>
      </c>
      <c r="I111" s="35" t="str">
        <f t="shared" si="7"/>
        <v>RVol Required</v>
      </c>
      <c r="J111" s="37">
        <f>IFERROR(__xludf.DUMMYFUNCTION("IFERROR(
  IF(C111="""",, 
    IFERROR(
      GOOGLEFINANCE(C111, ""price"") * GOOGLEFINANCE(C111, ""volumeavg""), 
      GOOGLEFINANCE(C111, ""price"") * AVERAGE(QUERY(GOOGLEFINANCE(C111, ""volume"", TODAY()-40, TODAY()), ""SELECT Col2 WHERE Col2 IS NOT "&amp;"NULL ORDER BY Col1 DESC LIMIT 20"", 0))
    )
  ), 
"""")"),1.76661408E7)</f>
        <v>17666140.8</v>
      </c>
      <c r="K111" s="21">
        <f>IFERROR(__xludf.DUMMYFUNCTION("IFERROR(GOOGLEFINANCE(C111, ""changepct"") / 100, """")"),0.0435)</f>
        <v>0.0435</v>
      </c>
      <c r="L111" s="21" t="str">
        <f>IFERROR(__xludf.DUMMYFUNCTION("IFERROR((GOOGLEFINANCE(C111, ""price"") / INDEX(GOOGLEFINANCE(C111, ""price"", TODAY()-7, TODAY()), 2, 2)) - 1, """")"),"")</f>
        <v/>
      </c>
      <c r="M111" s="21" t="str">
        <f>IFERROR(__xludf.DUMMYFUNCTION("IFERROR((GOOGLEFINANCE(C111, ""price"") / INDEX(GOOGLEFINANCE(C111, ""price"", EDATE(TODAY(), -1), TODAY()), 2, 2)) - 1, """")"),"")</f>
        <v/>
      </c>
      <c r="N111" s="21" t="str">
        <f>IFERROR(__xludf.DUMMYFUNCTION("IFERROR((GOOGLEFINANCE(C111, ""price"") / INDEX(GOOGLEFINANCE(C111, ""price"", EDATE(TODAY(), -3), TODAY()), 2, 2)) - 1, """")"),"")</f>
        <v/>
      </c>
      <c r="O111" s="21" t="str">
        <f>IFERROR(__xludf.DUMMYFUNCTION("IFERROR((GOOGLEFINANCE(C111, ""price"") / INDEX(GOOGLEFINANCE(C111, ""price"", EDATE(TODAY(), -6), TODAY()), 2, 2)) - 1, """")"),"")</f>
        <v/>
      </c>
      <c r="P111" s="21" t="str">
        <f>IFERROR(__xludf.DUMMYFUNCTION("IFERROR((GOOGLEFINANCE(C111, ""price"") / INDEX(GOOGLEFINANCE(C111, ""price"", EDATE(TODAY(), -12), TODAY()), 2, 2)) - 1, """")"),"")</f>
        <v/>
      </c>
      <c r="Q111" s="6" t="str">
        <f>IFERROR(__xludf.DUMMYFUNCTION("AVERAGE(QUERY(GOOGLEFINANCE(C111, ""price"", TODAY()-80, TODAY()), ""SELECT Col2 WHERE Col2 IS NOT NULL ORDER BY Col1 DESC LIMIT 50"", 0))"),"#N/A")</f>
        <v>#N/A</v>
      </c>
      <c r="R111" s="24" t="str">
        <f>IFERROR(__xludf.DUMMYFUNCTION("IFERROR(
  LET(
    data, QUERY(GOOGLEFINANCE(C111,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GOOGLEFINANCE(C111, ""price"")) * 100,
    IF(calc=0, G111, calc)
  ), 
G111)"),"#N/A")</f>
        <v>#N/A</v>
      </c>
      <c r="S111" s="8" t="s">
        <v>15</v>
      </c>
      <c r="T111" s="26" t="str">
        <f>IFERROR(__xludf.DUMMYFUNCTION("IFERROR(TRANSPOSE(QUERY(IFERROR(SORT(GOOGLEFINANCE(C111, ""price"", WORKDAY(TODAY(), -40), TODAY()), 1, FALSE)), ""select Col2 where Col2 is not null limit 22 label Col2 ''"", 0)), """")"),"")</f>
        <v/>
      </c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8"/>
      <c r="AO111" s="28"/>
      <c r="AP111" s="29"/>
      <c r="AQ111" s="29" t="str">
        <f t="shared" ref="AQ111:BL111" si="114">T111/T$2</f>
        <v>#N/A</v>
      </c>
      <c r="AR111" s="29" t="str">
        <f t="shared" si="114"/>
        <v>#DIV/0!</v>
      </c>
      <c r="AS111" s="29" t="str">
        <f t="shared" si="114"/>
        <v>#DIV/0!</v>
      </c>
      <c r="AT111" s="29" t="str">
        <f t="shared" si="114"/>
        <v>#DIV/0!</v>
      </c>
      <c r="AU111" s="29" t="str">
        <f t="shared" si="114"/>
        <v>#DIV/0!</v>
      </c>
      <c r="AV111" s="29" t="str">
        <f t="shared" si="114"/>
        <v>#DIV/0!</v>
      </c>
      <c r="AW111" s="29" t="str">
        <f t="shared" si="114"/>
        <v>#DIV/0!</v>
      </c>
      <c r="AX111" s="29" t="str">
        <f t="shared" si="114"/>
        <v>#DIV/0!</v>
      </c>
      <c r="AY111" s="29" t="str">
        <f t="shared" si="114"/>
        <v>#DIV/0!</v>
      </c>
      <c r="AZ111" s="29" t="str">
        <f t="shared" si="114"/>
        <v>#DIV/0!</v>
      </c>
      <c r="BA111" s="29" t="str">
        <f t="shared" si="114"/>
        <v>#DIV/0!</v>
      </c>
      <c r="BB111" s="29" t="str">
        <f t="shared" si="114"/>
        <v>#DIV/0!</v>
      </c>
      <c r="BC111" s="29" t="str">
        <f t="shared" si="114"/>
        <v>#DIV/0!</v>
      </c>
      <c r="BD111" s="29" t="str">
        <f t="shared" si="114"/>
        <v>#DIV/0!</v>
      </c>
      <c r="BE111" s="29" t="str">
        <f t="shared" si="114"/>
        <v>#DIV/0!</v>
      </c>
      <c r="BF111" s="29" t="str">
        <f t="shared" si="114"/>
        <v>#DIV/0!</v>
      </c>
      <c r="BG111" s="29" t="str">
        <f t="shared" si="114"/>
        <v>#DIV/0!</v>
      </c>
      <c r="BH111" s="29" t="str">
        <f t="shared" si="114"/>
        <v>#DIV/0!</v>
      </c>
      <c r="BI111" s="29" t="str">
        <f t="shared" si="114"/>
        <v>#DIV/0!</v>
      </c>
      <c r="BJ111" s="29" t="str">
        <f t="shared" si="114"/>
        <v>#DIV/0!</v>
      </c>
      <c r="BK111" s="29" t="str">
        <f t="shared" si="114"/>
        <v>#DIV/0!</v>
      </c>
      <c r="BL111" s="29" t="str">
        <f t="shared" si="114"/>
        <v>#DIV/0!</v>
      </c>
      <c r="BM111" s="29" t="str">
        <f t="shared" si="3"/>
        <v>#DIV/0!</v>
      </c>
    </row>
    <row r="112" hidden="1">
      <c r="A112" s="16" t="str">
        <f>IFERROR(__xludf.DUMMYFUNCTION("IFERROR(SPARKLINE(SORT(MAP(TRANSPOSE(AQ112:BL112), LAMBDA(val, IF(ISNUMBER(val), PERCENTRANK(AQ112:BL112, val)+0.01, 0))), SEQUENCE(COLUMNS(AQ112:BL112)), FALSE), {""charttype"",""column""; ""color"",""chartreuse""; ""ymin"", 0; ""ymax"", 1.01; ""highcolo"&amp;"r"", ""darkgreen""; ""lowcolor"", ""red""}), """")"),"")</f>
        <v/>
      </c>
      <c r="B112" s="17" t="str">
        <f t="shared" si="4"/>
        <v/>
      </c>
      <c r="C112" s="1" t="s">
        <v>2982</v>
      </c>
      <c r="D112" s="30" t="str">
        <f>IFERROR(__xludf.DUMMYFUNCTION("IFERROR(GOOGLEFINANCE(C112, ""NAME""))"),"Riley Exploration Permian Inc")</f>
        <v>Riley Exploration Permian Inc</v>
      </c>
      <c r="E112" s="30" t="s">
        <v>2613</v>
      </c>
      <c r="F112" s="33" t="str">
        <f>IFERROR(__xludf.DUMMYFUNCTION("( (GOOGLEFINANCE(C112, ""price"") - Q112) / Q112 ) / (R112 / 100)"),"Loading...")</f>
        <v>Loading...</v>
      </c>
      <c r="G112" s="20" t="str">
        <f>IFERROR(__xludf.DUMMYFUNCTION("AVERAGE(ARRAYFORMULA(100 * (QUERY(GOOGLEFINANCE(C112, ""high"", TODAY()-40, TODAY()), ""SELECT Col2 WHERE Col2 IS NOT NULL ORDER BY Col1 DESC LIMIT 20"", 0) / QUERY(GOOGLEFINANCE(C112, ""low"", TODAY()-40, TODAY()), ""SELECT Col2 WHERE Col2 IS NOT NULL OR"&amp;"DER BY Col1 DESC LIMIT 20"", 0) - 1)))"),"#N/A")</f>
        <v>#N/A</v>
      </c>
      <c r="H112" s="35" t="str">
        <f t="shared" si="6"/>
        <v>Illiquid</v>
      </c>
      <c r="I112" s="35" t="str">
        <f t="shared" si="7"/>
        <v>RVol Required</v>
      </c>
      <c r="J112" s="37">
        <f>IFERROR(__xludf.DUMMYFUNCTION("IFERROR(
  IF(C112="""",, 
    IFERROR(
      GOOGLEFINANCE(C112, ""price"") * GOOGLEFINANCE(C112, ""volumeavg""), 
      GOOGLEFINANCE(C112, ""price"") * AVERAGE(QUERY(GOOGLEFINANCE(C112, ""volume"", TODAY()-40, TODAY()), ""SELECT Col2 WHERE Col2 IS NOT "&amp;"NULL ORDER BY Col1 DESC LIMIT 20"", 0))
    )
  ), 
"""")"),1.566098884E7)</f>
        <v>15660988.84</v>
      </c>
      <c r="K112" s="21">
        <f>IFERROR(__xludf.DUMMYFUNCTION("IFERROR(GOOGLEFINANCE(C112, ""changepct"") / 100, """")"),0.035699999999999996)</f>
        <v>0.0357</v>
      </c>
      <c r="L112" s="21" t="str">
        <f>IFERROR(__xludf.DUMMYFUNCTION("IFERROR((GOOGLEFINANCE(C112, ""price"") / INDEX(GOOGLEFINANCE(C112, ""price"", TODAY()-7, TODAY()), 2, 2)) - 1, """")"),"")</f>
        <v/>
      </c>
      <c r="M112" s="21" t="str">
        <f>IFERROR(__xludf.DUMMYFUNCTION("IFERROR((GOOGLEFINANCE(C112, ""price"") / INDEX(GOOGLEFINANCE(C112, ""price"", EDATE(TODAY(), -1), TODAY()), 2, 2)) - 1, """")"),"")</f>
        <v/>
      </c>
      <c r="N112" s="21" t="str">
        <f>IFERROR(__xludf.DUMMYFUNCTION("IFERROR((GOOGLEFINANCE(C112, ""price"") / INDEX(GOOGLEFINANCE(C112, ""price"", EDATE(TODAY(), -3), TODAY()), 2, 2)) - 1, """")"),"")</f>
        <v/>
      </c>
      <c r="O112" s="21" t="str">
        <f>IFERROR(__xludf.DUMMYFUNCTION("IFERROR((GOOGLEFINANCE(C112, ""price"") / INDEX(GOOGLEFINANCE(C112, ""price"", EDATE(TODAY(), -6), TODAY()), 2, 2)) - 1, """")"),"")</f>
        <v/>
      </c>
      <c r="P112" s="21" t="str">
        <f>IFERROR(__xludf.DUMMYFUNCTION("IFERROR((GOOGLEFINANCE(C112, ""price"") / INDEX(GOOGLEFINANCE(C112, ""price"", EDATE(TODAY(), -12), TODAY()), 2, 2)) - 1, """")"),"")</f>
        <v/>
      </c>
      <c r="Q112" s="6" t="str">
        <f>IFERROR(__xludf.DUMMYFUNCTION("AVERAGE(QUERY(GOOGLEFINANCE(C112, ""price"", TODAY()-80, TODAY()), ""SELECT Col2 WHERE Col2 IS NOT NULL ORDER BY Col1 DESC LIMIT 50"", 0))"),"#N/A")</f>
        <v>#N/A</v>
      </c>
      <c r="R112" s="24" t="str">
        <f>IFERROR(__xludf.DUMMYFUNCTION("IFERROR(
  LET(
    data, QUERY(GOOGLEFINANCE(C112,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GOOGLEFINANCE(C112, ""price"")) * 100,
    IF(calc=0, G112, calc)
  ), 
G112)"),"#N/A")</f>
        <v>#N/A</v>
      </c>
      <c r="S112" s="8" t="s">
        <v>15</v>
      </c>
      <c r="T112" s="26" t="str">
        <f>IFERROR(__xludf.DUMMYFUNCTION("IFERROR(TRANSPOSE(QUERY(IFERROR(SORT(GOOGLEFINANCE(C112, ""price"", WORKDAY(TODAY(), -40), TODAY()), 1, FALSE)), ""select Col2 where Col2 is not null limit 22 label Col2 ''"", 0)), """")"),"")</f>
        <v/>
      </c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8"/>
      <c r="AO112" s="28"/>
      <c r="AP112" s="29"/>
      <c r="AQ112" s="29" t="str">
        <f t="shared" ref="AQ112:BL112" si="115">T112/T$2</f>
        <v>#N/A</v>
      </c>
      <c r="AR112" s="29" t="str">
        <f t="shared" si="115"/>
        <v>#DIV/0!</v>
      </c>
      <c r="AS112" s="29" t="str">
        <f t="shared" si="115"/>
        <v>#DIV/0!</v>
      </c>
      <c r="AT112" s="29" t="str">
        <f t="shared" si="115"/>
        <v>#DIV/0!</v>
      </c>
      <c r="AU112" s="29" t="str">
        <f t="shared" si="115"/>
        <v>#DIV/0!</v>
      </c>
      <c r="AV112" s="29" t="str">
        <f t="shared" si="115"/>
        <v>#DIV/0!</v>
      </c>
      <c r="AW112" s="29" t="str">
        <f t="shared" si="115"/>
        <v>#DIV/0!</v>
      </c>
      <c r="AX112" s="29" t="str">
        <f t="shared" si="115"/>
        <v>#DIV/0!</v>
      </c>
      <c r="AY112" s="29" t="str">
        <f t="shared" si="115"/>
        <v>#DIV/0!</v>
      </c>
      <c r="AZ112" s="29" t="str">
        <f t="shared" si="115"/>
        <v>#DIV/0!</v>
      </c>
      <c r="BA112" s="29" t="str">
        <f t="shared" si="115"/>
        <v>#DIV/0!</v>
      </c>
      <c r="BB112" s="29" t="str">
        <f t="shared" si="115"/>
        <v>#DIV/0!</v>
      </c>
      <c r="BC112" s="29" t="str">
        <f t="shared" si="115"/>
        <v>#DIV/0!</v>
      </c>
      <c r="BD112" s="29" t="str">
        <f t="shared" si="115"/>
        <v>#DIV/0!</v>
      </c>
      <c r="BE112" s="29" t="str">
        <f t="shared" si="115"/>
        <v>#DIV/0!</v>
      </c>
      <c r="BF112" s="29" t="str">
        <f t="shared" si="115"/>
        <v>#DIV/0!</v>
      </c>
      <c r="BG112" s="29" t="str">
        <f t="shared" si="115"/>
        <v>#DIV/0!</v>
      </c>
      <c r="BH112" s="29" t="str">
        <f t="shared" si="115"/>
        <v>#DIV/0!</v>
      </c>
      <c r="BI112" s="29" t="str">
        <f t="shared" si="115"/>
        <v>#DIV/0!</v>
      </c>
      <c r="BJ112" s="29" t="str">
        <f t="shared" si="115"/>
        <v>#DIV/0!</v>
      </c>
      <c r="BK112" s="29" t="str">
        <f t="shared" si="115"/>
        <v>#DIV/0!</v>
      </c>
      <c r="BL112" s="29" t="str">
        <f t="shared" si="115"/>
        <v>#DIV/0!</v>
      </c>
      <c r="BM112" s="29" t="str">
        <f t="shared" si="3"/>
        <v>#DIV/0!</v>
      </c>
    </row>
    <row r="113">
      <c r="A113" s="16" t="str">
        <f>IFERROR(__xludf.DUMMYFUNCTION("IFERROR(SPARKLINE(SORT(MAP(TRANSPOSE(AQ113:BL113), LAMBDA(val, IF(ISNUMBER(val), PERCENTRANK(AQ113:BL113, val)+0.01, 0))), SEQUENCE(COLUMNS(AQ113:BL113)), FALSE), {""charttype"",""column""; ""color"",""chartreuse""; ""ymin"", 0; ""ymax"", 1.01; ""highcolo"&amp;"r"", ""darkgreen""; ""lowcolor"", ""red""}), """")"),"")</f>
        <v/>
      </c>
      <c r="B113" s="17" t="str">
        <f t="shared" si="4"/>
        <v/>
      </c>
      <c r="C113" s="1" t="s">
        <v>2985</v>
      </c>
      <c r="D113" s="30" t="str">
        <f>IFERROR(__xludf.DUMMYFUNCTION("IFERROR(GOOGLEFINANCE(C113, ""NAME""))"),"ONEOK Inc")</f>
        <v>ONEOK Inc</v>
      </c>
      <c r="E113" s="30" t="s">
        <v>2547</v>
      </c>
      <c r="F113" s="33" t="str">
        <f>IFERROR(__xludf.DUMMYFUNCTION("( (GOOGLEFINANCE(C113, ""price"") - Q113) / Q113 ) / (R113 / 100)"),"Loading...")</f>
        <v>Loading...</v>
      </c>
      <c r="G113" s="20" t="str">
        <f>IFERROR(__xludf.DUMMYFUNCTION("AVERAGE(ARRAYFORMULA(100 * (QUERY(GOOGLEFINANCE(C113, ""high"", TODAY()-40, TODAY()), ""SELECT Col2 WHERE Col2 IS NOT NULL ORDER BY Col1 DESC LIMIT 20"", 0) / QUERY(GOOGLEFINANCE(C113, ""low"", TODAY()-40, TODAY()), ""SELECT Col2 WHERE Col2 IS NOT NULL OR"&amp;"DER BY Col1 DESC LIMIT 20"", 0) - 1)))"),"#N/A")</f>
        <v>#N/A</v>
      </c>
      <c r="H113" s="35" t="str">
        <f t="shared" si="6"/>
        <v>Liquid</v>
      </c>
      <c r="I113" s="35" t="str">
        <f t="shared" si="7"/>
        <v>RVol Required</v>
      </c>
      <c r="J113" s="37">
        <f>IFERROR(__xludf.DUMMYFUNCTION("IFERROR(
  IF(C113="""",, 
    IFERROR(
      GOOGLEFINANCE(C113, ""price"") * GOOGLEFINANCE(C113, ""volumeavg""), 
      GOOGLEFINANCE(C113, ""price"") * AVERAGE(QUERY(GOOGLEFINANCE(C113, ""volume"", TODAY()-40, TODAY()), ""SELECT Col2 WHERE Col2 IS NOT "&amp;"NULL ORDER BY Col1 DESC LIMIT 20"", 0))
    )
  ), 
"""")"),3.3301489879E8)</f>
        <v>333014898.8</v>
      </c>
      <c r="K113" s="21">
        <f>IFERROR(__xludf.DUMMYFUNCTION("IFERROR(GOOGLEFINANCE(C113, ""changepct"") / 100, """")"),0.029300000000000003)</f>
        <v>0.0293</v>
      </c>
      <c r="L113" s="21" t="str">
        <f>IFERROR(__xludf.DUMMYFUNCTION("IFERROR((GOOGLEFINANCE(C113, ""price"") / INDEX(GOOGLEFINANCE(C113, ""price"", TODAY()-7, TODAY()), 2, 2)) - 1, """")"),"")</f>
        <v/>
      </c>
      <c r="M113" s="21" t="str">
        <f>IFERROR(__xludf.DUMMYFUNCTION("IFERROR((GOOGLEFINANCE(C113, ""price"") / INDEX(GOOGLEFINANCE(C113, ""price"", EDATE(TODAY(), -1), TODAY()), 2, 2)) - 1, """")"),"")</f>
        <v/>
      </c>
      <c r="N113" s="21" t="str">
        <f>IFERROR(__xludf.DUMMYFUNCTION("IFERROR((GOOGLEFINANCE(C113, ""price"") / INDEX(GOOGLEFINANCE(C113, ""price"", EDATE(TODAY(), -3), TODAY()), 2, 2)) - 1, """")"),"")</f>
        <v/>
      </c>
      <c r="O113" s="21" t="str">
        <f>IFERROR(__xludf.DUMMYFUNCTION("IFERROR((GOOGLEFINANCE(C113, ""price"") / INDEX(GOOGLEFINANCE(C113, ""price"", EDATE(TODAY(), -6), TODAY()), 2, 2)) - 1, """")"),"")</f>
        <v/>
      </c>
      <c r="P113" s="21" t="str">
        <f>IFERROR(__xludf.DUMMYFUNCTION("IFERROR((GOOGLEFINANCE(C113, ""price"") / INDEX(GOOGLEFINANCE(C113, ""price"", EDATE(TODAY(), -12), TODAY()), 2, 2)) - 1, """")"),"")</f>
        <v/>
      </c>
      <c r="Q113" s="6" t="str">
        <f>IFERROR(__xludf.DUMMYFUNCTION("AVERAGE(QUERY(GOOGLEFINANCE(C113, ""price"", TODAY()-80, TODAY()), ""SELECT Col2 WHERE Col2 IS NOT NULL ORDER BY Col1 DESC LIMIT 50"", 0))"),"#N/A")</f>
        <v>#N/A</v>
      </c>
      <c r="R113" s="24" t="str">
        <f>IFERROR(__xludf.DUMMYFUNCTION("IFERROR(
  LET(
    data, QUERY(GOOGLEFINANCE(C113,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GOOGLEFINANCE(C113, ""price"")) * 100,
    IF(calc=0, G113, calc)
  ), 
G113)"),"#N/A")</f>
        <v>#N/A</v>
      </c>
      <c r="S113" s="8" t="s">
        <v>15</v>
      </c>
      <c r="T113" s="26" t="str">
        <f>IFERROR(__xludf.DUMMYFUNCTION("IFERROR(TRANSPOSE(QUERY(IFERROR(SORT(GOOGLEFINANCE(C113, ""price"", WORKDAY(TODAY(), -40), TODAY()), 1, FALSE)), ""select Col2 where Col2 is not null limit 22 label Col2 ''"", 0)), """")"),"")</f>
        <v/>
      </c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8"/>
      <c r="AO113" s="28"/>
      <c r="AP113" s="29"/>
      <c r="AQ113" s="29" t="str">
        <f t="shared" ref="AQ113:BL113" si="116">T113/T$2</f>
        <v>#N/A</v>
      </c>
      <c r="AR113" s="29" t="str">
        <f t="shared" si="116"/>
        <v>#DIV/0!</v>
      </c>
      <c r="AS113" s="29" t="str">
        <f t="shared" si="116"/>
        <v>#DIV/0!</v>
      </c>
      <c r="AT113" s="29" t="str">
        <f t="shared" si="116"/>
        <v>#DIV/0!</v>
      </c>
      <c r="AU113" s="29" t="str">
        <f t="shared" si="116"/>
        <v>#DIV/0!</v>
      </c>
      <c r="AV113" s="29" t="str">
        <f t="shared" si="116"/>
        <v>#DIV/0!</v>
      </c>
      <c r="AW113" s="29" t="str">
        <f t="shared" si="116"/>
        <v>#DIV/0!</v>
      </c>
      <c r="AX113" s="29" t="str">
        <f t="shared" si="116"/>
        <v>#DIV/0!</v>
      </c>
      <c r="AY113" s="29" t="str">
        <f t="shared" si="116"/>
        <v>#DIV/0!</v>
      </c>
      <c r="AZ113" s="29" t="str">
        <f t="shared" si="116"/>
        <v>#DIV/0!</v>
      </c>
      <c r="BA113" s="29" t="str">
        <f t="shared" si="116"/>
        <v>#DIV/0!</v>
      </c>
      <c r="BB113" s="29" t="str">
        <f t="shared" si="116"/>
        <v>#DIV/0!</v>
      </c>
      <c r="BC113" s="29" t="str">
        <f t="shared" si="116"/>
        <v>#DIV/0!</v>
      </c>
      <c r="BD113" s="29" t="str">
        <f t="shared" si="116"/>
        <v>#DIV/0!</v>
      </c>
      <c r="BE113" s="29" t="str">
        <f t="shared" si="116"/>
        <v>#DIV/0!</v>
      </c>
      <c r="BF113" s="29" t="str">
        <f t="shared" si="116"/>
        <v>#DIV/0!</v>
      </c>
      <c r="BG113" s="29" t="str">
        <f t="shared" si="116"/>
        <v>#DIV/0!</v>
      </c>
      <c r="BH113" s="29" t="str">
        <f t="shared" si="116"/>
        <v>#DIV/0!</v>
      </c>
      <c r="BI113" s="29" t="str">
        <f t="shared" si="116"/>
        <v>#DIV/0!</v>
      </c>
      <c r="BJ113" s="29" t="str">
        <f t="shared" si="116"/>
        <v>#DIV/0!</v>
      </c>
      <c r="BK113" s="29" t="str">
        <f t="shared" si="116"/>
        <v>#DIV/0!</v>
      </c>
      <c r="BL113" s="29" t="str">
        <f t="shared" si="116"/>
        <v>#DIV/0!</v>
      </c>
      <c r="BM113" s="29" t="str">
        <f t="shared" si="3"/>
        <v>#DIV/0!</v>
      </c>
    </row>
    <row r="114">
      <c r="A114" s="16" t="str">
        <f>IFERROR(__xludf.DUMMYFUNCTION("IFERROR(SPARKLINE(SORT(MAP(TRANSPOSE(AQ114:BL114), LAMBDA(val, IF(ISNUMBER(val), PERCENTRANK(AQ114:BL114, val)+0.01, 0))), SEQUENCE(COLUMNS(AQ114:BL114)), FALSE), {""charttype"",""column""; ""color"",""chartreuse""; ""ymin"", 0; ""ymax"", 1.01; ""highcolo"&amp;"r"", ""darkgreen""; ""lowcolor"", ""red""}), """")"),"")</f>
        <v/>
      </c>
      <c r="B114" s="17" t="str">
        <f t="shared" si="4"/>
        <v/>
      </c>
      <c r="C114" s="1" t="s">
        <v>2989</v>
      </c>
      <c r="D114" s="30" t="str">
        <f>IFERROR(__xludf.DUMMYFUNCTION("IFERROR(GOOGLEFINANCE(C114, ""NAME""))"),"Hess Midstream LP")</f>
        <v>Hess Midstream LP</v>
      </c>
      <c r="E114" s="30" t="s">
        <v>2547</v>
      </c>
      <c r="F114" s="33" t="str">
        <f>IFERROR(__xludf.DUMMYFUNCTION("( (GOOGLEFINANCE(C114, ""price"") - Q114) / Q114 ) / (R114 / 100)"),"Loading...")</f>
        <v>Loading...</v>
      </c>
      <c r="G114" s="20" t="str">
        <f>IFERROR(__xludf.DUMMYFUNCTION("AVERAGE(ARRAYFORMULA(100 * (QUERY(GOOGLEFINANCE(C114, ""high"", TODAY()-40, TODAY()), ""SELECT Col2 WHERE Col2 IS NOT NULL ORDER BY Col1 DESC LIMIT 20"", 0) / QUERY(GOOGLEFINANCE(C114, ""low"", TODAY()-40, TODAY()), ""SELECT Col2 WHERE Col2 IS NOT NULL OR"&amp;"DER BY Col1 DESC LIMIT 20"", 0) - 1)))"),"#N/A")</f>
        <v>#N/A</v>
      </c>
      <c r="H114" s="35" t="str">
        <f t="shared" si="6"/>
        <v>Liquid</v>
      </c>
      <c r="I114" s="35" t="str">
        <f t="shared" si="7"/>
        <v>RVol Required</v>
      </c>
      <c r="J114" s="37">
        <f>IFERROR(__xludf.DUMMYFUNCTION("IFERROR(
  IF(C114="""",, 
    IFERROR(
      GOOGLEFINANCE(C114, ""price"") * GOOGLEFINANCE(C114, ""volumeavg""), 
      GOOGLEFINANCE(C114, ""price"") * AVERAGE(QUERY(GOOGLEFINANCE(C114, ""volume"", TODAY()-40, TODAY()), ""SELECT Col2 WHERE Col2 IS NOT "&amp;"NULL ORDER BY Col1 DESC LIMIT 20"", 0))
    )
  ), 
"""")"),6.503810754E7)</f>
        <v>65038107.54</v>
      </c>
      <c r="K114" s="21">
        <f>IFERROR(__xludf.DUMMYFUNCTION("IFERROR(GOOGLEFINANCE(C114, ""changepct"") / 100, """")"),0.0013)</f>
        <v>0.0013</v>
      </c>
      <c r="L114" s="21" t="str">
        <f>IFERROR(__xludf.DUMMYFUNCTION("IFERROR((GOOGLEFINANCE(C114, ""price"") / INDEX(GOOGLEFINANCE(C114, ""price"", TODAY()-7, TODAY()), 2, 2)) - 1, """")"),"")</f>
        <v/>
      </c>
      <c r="M114" s="21" t="str">
        <f>IFERROR(__xludf.DUMMYFUNCTION("IFERROR((GOOGLEFINANCE(C114, ""price"") / INDEX(GOOGLEFINANCE(C114, ""price"", EDATE(TODAY(), -1), TODAY()), 2, 2)) - 1, """")"),"")</f>
        <v/>
      </c>
      <c r="N114" s="21" t="str">
        <f>IFERROR(__xludf.DUMMYFUNCTION("IFERROR((GOOGLEFINANCE(C114, ""price"") / INDEX(GOOGLEFINANCE(C114, ""price"", EDATE(TODAY(), -3), TODAY()), 2, 2)) - 1, """")"),"")</f>
        <v/>
      </c>
      <c r="O114" s="21" t="str">
        <f>IFERROR(__xludf.DUMMYFUNCTION("IFERROR((GOOGLEFINANCE(C114, ""price"") / INDEX(GOOGLEFINANCE(C114, ""price"", EDATE(TODAY(), -6), TODAY()), 2, 2)) - 1, """")"),"")</f>
        <v/>
      </c>
      <c r="P114" s="21" t="str">
        <f>IFERROR(__xludf.DUMMYFUNCTION("IFERROR((GOOGLEFINANCE(C114, ""price"") / INDEX(GOOGLEFINANCE(C114, ""price"", EDATE(TODAY(), -12), TODAY()), 2, 2)) - 1, """")"),"")</f>
        <v/>
      </c>
      <c r="Q114" s="6" t="str">
        <f>IFERROR(__xludf.DUMMYFUNCTION("AVERAGE(QUERY(GOOGLEFINANCE(C114, ""price"", TODAY()-80, TODAY()), ""SELECT Col2 WHERE Col2 IS NOT NULL ORDER BY Col1 DESC LIMIT 50"", 0))"),"#N/A")</f>
        <v>#N/A</v>
      </c>
      <c r="R114" s="24" t="str">
        <f>IFERROR(__xludf.DUMMYFUNCTION("IFERROR(
  LET(
    data, QUERY(GOOGLEFINANCE(C114,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GOOGLEFINANCE(C114, ""price"")) * 100,
    IF(calc=0, G114, calc)
  ), 
G114)"),"#N/A")</f>
        <v>#N/A</v>
      </c>
      <c r="S114" s="8" t="s">
        <v>15</v>
      </c>
      <c r="T114" s="26" t="str">
        <f>IFERROR(__xludf.DUMMYFUNCTION("IFERROR(TRANSPOSE(QUERY(IFERROR(SORT(GOOGLEFINANCE(C114, ""price"", WORKDAY(TODAY(), -40), TODAY()), 1, FALSE)), ""select Col2 where Col2 is not null limit 22 label Col2 ''"", 0)), """")"),"")</f>
        <v/>
      </c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8"/>
      <c r="AO114" s="28"/>
      <c r="AP114" s="29"/>
      <c r="AQ114" s="29" t="str">
        <f t="shared" ref="AQ114:BL114" si="117">T114/T$2</f>
        <v>#N/A</v>
      </c>
      <c r="AR114" s="29" t="str">
        <f t="shared" si="117"/>
        <v>#DIV/0!</v>
      </c>
      <c r="AS114" s="29" t="str">
        <f t="shared" si="117"/>
        <v>#DIV/0!</v>
      </c>
      <c r="AT114" s="29" t="str">
        <f t="shared" si="117"/>
        <v>#DIV/0!</v>
      </c>
      <c r="AU114" s="29" t="str">
        <f t="shared" si="117"/>
        <v>#DIV/0!</v>
      </c>
      <c r="AV114" s="29" t="str">
        <f t="shared" si="117"/>
        <v>#DIV/0!</v>
      </c>
      <c r="AW114" s="29" t="str">
        <f t="shared" si="117"/>
        <v>#DIV/0!</v>
      </c>
      <c r="AX114" s="29" t="str">
        <f t="shared" si="117"/>
        <v>#DIV/0!</v>
      </c>
      <c r="AY114" s="29" t="str">
        <f t="shared" si="117"/>
        <v>#DIV/0!</v>
      </c>
      <c r="AZ114" s="29" t="str">
        <f t="shared" si="117"/>
        <v>#DIV/0!</v>
      </c>
      <c r="BA114" s="29" t="str">
        <f t="shared" si="117"/>
        <v>#DIV/0!</v>
      </c>
      <c r="BB114" s="29" t="str">
        <f t="shared" si="117"/>
        <v>#DIV/0!</v>
      </c>
      <c r="BC114" s="29" t="str">
        <f t="shared" si="117"/>
        <v>#DIV/0!</v>
      </c>
      <c r="BD114" s="29" t="str">
        <f t="shared" si="117"/>
        <v>#DIV/0!</v>
      </c>
      <c r="BE114" s="29" t="str">
        <f t="shared" si="117"/>
        <v>#DIV/0!</v>
      </c>
      <c r="BF114" s="29" t="str">
        <f t="shared" si="117"/>
        <v>#DIV/0!</v>
      </c>
      <c r="BG114" s="29" t="str">
        <f t="shared" si="117"/>
        <v>#DIV/0!</v>
      </c>
      <c r="BH114" s="29" t="str">
        <f t="shared" si="117"/>
        <v>#DIV/0!</v>
      </c>
      <c r="BI114" s="29" t="str">
        <f t="shared" si="117"/>
        <v>#DIV/0!</v>
      </c>
      <c r="BJ114" s="29" t="str">
        <f t="shared" si="117"/>
        <v>#DIV/0!</v>
      </c>
      <c r="BK114" s="29" t="str">
        <f t="shared" si="117"/>
        <v>#DIV/0!</v>
      </c>
      <c r="BL114" s="29" t="str">
        <f t="shared" si="117"/>
        <v>#DIV/0!</v>
      </c>
      <c r="BM114" s="29" t="str">
        <f t="shared" si="3"/>
        <v>#DIV/0!</v>
      </c>
    </row>
    <row r="115" hidden="1">
      <c r="A115" s="16" t="str">
        <f>IFERROR(__xludf.DUMMYFUNCTION("IFERROR(SPARKLINE(SORT(MAP(TRANSPOSE(AQ115:BL115), LAMBDA(val, IF(ISNUMBER(val), PERCENTRANK(AQ115:BL115, val)+0.01, 0))), SEQUENCE(COLUMNS(AQ115:BL115)), FALSE), {""charttype"",""column""; ""color"",""chartreuse""; ""ymin"", 0; ""ymax"", 1.01; ""highcolo"&amp;"r"", ""darkgreen""; ""lowcolor"", ""red""}), """")"),"")</f>
        <v/>
      </c>
      <c r="B115" s="17" t="str">
        <f t="shared" si="4"/>
        <v/>
      </c>
      <c r="C115" s="1" t="s">
        <v>2992</v>
      </c>
      <c r="D115" s="30" t="str">
        <f>IFERROR(__xludf.DUMMYFUNCTION("IFERROR(GOOGLEFINANCE(C115, ""NAME""))"),"Greenfire Resources Ltd")</f>
        <v>Greenfire Resources Ltd</v>
      </c>
      <c r="E115" s="30" t="s">
        <v>2613</v>
      </c>
      <c r="F115" s="33" t="str">
        <f>IFERROR(__xludf.DUMMYFUNCTION("( (GOOGLEFINANCE(C115, ""price"") - Q115) / Q115 ) / (R115 / 100)"),"Loading...")</f>
        <v>Loading...</v>
      </c>
      <c r="G115" s="20" t="str">
        <f>IFERROR(__xludf.DUMMYFUNCTION("AVERAGE(ARRAYFORMULA(100 * (QUERY(GOOGLEFINANCE(C115, ""high"", TODAY()-40, TODAY()), ""SELECT Col2 WHERE Col2 IS NOT NULL ORDER BY Col1 DESC LIMIT 20"", 0) / QUERY(GOOGLEFINANCE(C115, ""low"", TODAY()-40, TODAY()), ""SELECT Col2 WHERE Col2 IS NOT NULL OR"&amp;"DER BY Col1 DESC LIMIT 20"", 0) - 1)))"),"#N/A")</f>
        <v>#N/A</v>
      </c>
      <c r="H115" s="35" t="str">
        <f t="shared" si="6"/>
        <v>Illiquid</v>
      </c>
      <c r="I115" s="35" t="str">
        <f t="shared" si="7"/>
        <v>RVol Required</v>
      </c>
      <c r="J115" s="37">
        <f>IFERROR(__xludf.DUMMYFUNCTION("IFERROR(
  IF(C115="""",, 
    IFERROR(
      GOOGLEFINANCE(C115, ""price"") * GOOGLEFINANCE(C115, ""volumeavg""), 
      GOOGLEFINANCE(C115, ""price"") * AVERAGE(QUERY(GOOGLEFINANCE(C115, ""volume"", TODAY()-40, TODAY()), ""SELECT Col2 WHERE Col2 IS NOT "&amp;"NULL ORDER BY Col1 DESC LIMIT 20"", 0))
    )
  ), 
"""")"),9558430.200000001)</f>
        <v>9558430.2</v>
      </c>
      <c r="K115" s="21">
        <f>IFERROR(__xludf.DUMMYFUNCTION("IFERROR(GOOGLEFINANCE(C115, ""changepct"") / 100, """")"),0.018600000000000002)</f>
        <v>0.0186</v>
      </c>
      <c r="L115" s="21" t="str">
        <f>IFERROR(__xludf.DUMMYFUNCTION("IFERROR((GOOGLEFINANCE(C115, ""price"") / INDEX(GOOGLEFINANCE(C115, ""price"", TODAY()-7, TODAY()), 2, 2)) - 1, """")"),"")</f>
        <v/>
      </c>
      <c r="M115" s="21" t="str">
        <f>IFERROR(__xludf.DUMMYFUNCTION("IFERROR((GOOGLEFINANCE(C115, ""price"") / INDEX(GOOGLEFINANCE(C115, ""price"", EDATE(TODAY(), -1), TODAY()), 2, 2)) - 1, """")"),"")</f>
        <v/>
      </c>
      <c r="N115" s="21" t="str">
        <f>IFERROR(__xludf.DUMMYFUNCTION("IFERROR((GOOGLEFINANCE(C115, ""price"") / INDEX(GOOGLEFINANCE(C115, ""price"", EDATE(TODAY(), -3), TODAY()), 2, 2)) - 1, """")"),"")</f>
        <v/>
      </c>
      <c r="O115" s="21" t="str">
        <f>IFERROR(__xludf.DUMMYFUNCTION("IFERROR((GOOGLEFINANCE(C115, ""price"") / INDEX(GOOGLEFINANCE(C115, ""price"", EDATE(TODAY(), -6), TODAY()), 2, 2)) - 1, """")"),"")</f>
        <v/>
      </c>
      <c r="P115" s="21" t="str">
        <f>IFERROR(__xludf.DUMMYFUNCTION("IFERROR((GOOGLEFINANCE(C115, ""price"") / INDEX(GOOGLEFINANCE(C115, ""price"", EDATE(TODAY(), -12), TODAY()), 2, 2)) - 1, """")"),"")</f>
        <v/>
      </c>
      <c r="Q115" s="6" t="str">
        <f>IFERROR(__xludf.DUMMYFUNCTION("AVERAGE(QUERY(GOOGLEFINANCE(C115, ""price"", TODAY()-80, TODAY()), ""SELECT Col2 WHERE Col2 IS NOT NULL ORDER BY Col1 DESC LIMIT 50"", 0))"),"#N/A")</f>
        <v>#N/A</v>
      </c>
      <c r="R115" s="24" t="str">
        <f>IFERROR(__xludf.DUMMYFUNCTION("IFERROR(
  LET(
    data, QUERY(GOOGLEFINANCE(C115,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GOOGLEFINANCE(C115, ""price"")) * 100,
    IF(calc=0, G115, calc)
  ), 
G115)"),"#N/A")</f>
        <v>#N/A</v>
      </c>
      <c r="S115" s="8" t="s">
        <v>15</v>
      </c>
      <c r="T115" s="26" t="str">
        <f>IFERROR(__xludf.DUMMYFUNCTION("IFERROR(TRANSPOSE(QUERY(IFERROR(SORT(GOOGLEFINANCE(C115, ""price"", WORKDAY(TODAY(), -40), TODAY()), 1, FALSE)), ""select Col2 where Col2 is not null limit 22 label Col2 ''"", 0)), """")"),"")</f>
        <v/>
      </c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8"/>
      <c r="AO115" s="28"/>
      <c r="AP115" s="29"/>
      <c r="AQ115" s="29" t="str">
        <f t="shared" ref="AQ115:BL115" si="118">T115/T$2</f>
        <v>#N/A</v>
      </c>
      <c r="AR115" s="29" t="str">
        <f t="shared" si="118"/>
        <v>#DIV/0!</v>
      </c>
      <c r="AS115" s="29" t="str">
        <f t="shared" si="118"/>
        <v>#DIV/0!</v>
      </c>
      <c r="AT115" s="29" t="str">
        <f t="shared" si="118"/>
        <v>#DIV/0!</v>
      </c>
      <c r="AU115" s="29" t="str">
        <f t="shared" si="118"/>
        <v>#DIV/0!</v>
      </c>
      <c r="AV115" s="29" t="str">
        <f t="shared" si="118"/>
        <v>#DIV/0!</v>
      </c>
      <c r="AW115" s="29" t="str">
        <f t="shared" si="118"/>
        <v>#DIV/0!</v>
      </c>
      <c r="AX115" s="29" t="str">
        <f t="shared" si="118"/>
        <v>#DIV/0!</v>
      </c>
      <c r="AY115" s="29" t="str">
        <f t="shared" si="118"/>
        <v>#DIV/0!</v>
      </c>
      <c r="AZ115" s="29" t="str">
        <f t="shared" si="118"/>
        <v>#DIV/0!</v>
      </c>
      <c r="BA115" s="29" t="str">
        <f t="shared" si="118"/>
        <v>#DIV/0!</v>
      </c>
      <c r="BB115" s="29" t="str">
        <f t="shared" si="118"/>
        <v>#DIV/0!</v>
      </c>
      <c r="BC115" s="29" t="str">
        <f t="shared" si="118"/>
        <v>#DIV/0!</v>
      </c>
      <c r="BD115" s="29" t="str">
        <f t="shared" si="118"/>
        <v>#DIV/0!</v>
      </c>
      <c r="BE115" s="29" t="str">
        <f t="shared" si="118"/>
        <v>#DIV/0!</v>
      </c>
      <c r="BF115" s="29" t="str">
        <f t="shared" si="118"/>
        <v>#DIV/0!</v>
      </c>
      <c r="BG115" s="29" t="str">
        <f t="shared" si="118"/>
        <v>#DIV/0!</v>
      </c>
      <c r="BH115" s="29" t="str">
        <f t="shared" si="118"/>
        <v>#DIV/0!</v>
      </c>
      <c r="BI115" s="29" t="str">
        <f t="shared" si="118"/>
        <v>#DIV/0!</v>
      </c>
      <c r="BJ115" s="29" t="str">
        <f t="shared" si="118"/>
        <v>#DIV/0!</v>
      </c>
      <c r="BK115" s="29" t="str">
        <f t="shared" si="118"/>
        <v>#DIV/0!</v>
      </c>
      <c r="BL115" s="29" t="str">
        <f t="shared" si="118"/>
        <v>#DIV/0!</v>
      </c>
      <c r="BM115" s="29" t="str">
        <f t="shared" si="3"/>
        <v>#DIV/0!</v>
      </c>
    </row>
    <row r="116">
      <c r="A116" s="16" t="str">
        <f>IFERROR(__xludf.DUMMYFUNCTION("IFERROR(SPARKLINE(SORT(MAP(TRANSPOSE(AQ116:BL116), LAMBDA(val, IF(ISNUMBER(val), PERCENTRANK(AQ116:BL116, val)+0.01, 0))), SEQUENCE(COLUMNS(AQ116:BL116)), FALSE), {""charttype"",""column""; ""color"",""chartreuse""; ""ymin"", 0; ""ymax"", 1.01; ""highcolo"&amp;"r"", ""darkgreen""; ""lowcolor"", ""red""}), """")"),"")</f>
        <v/>
      </c>
      <c r="B116" s="17" t="str">
        <f t="shared" si="4"/>
        <v/>
      </c>
      <c r="C116" s="1" t="s">
        <v>2996</v>
      </c>
      <c r="D116" s="30" t="str">
        <f>IFERROR(__xludf.DUMMYFUNCTION("IFERROR(GOOGLEFINANCE(C116, ""NAME""))"),"Equinor ASA")</f>
        <v>Equinor ASA</v>
      </c>
      <c r="E116" s="30" t="s">
        <v>2631</v>
      </c>
      <c r="F116" s="33" t="str">
        <f>IFERROR(__xludf.DUMMYFUNCTION("( (GOOGLEFINANCE(C116, ""price"") - Q116) / Q116 ) / (R116 / 100)"),"Loading...")</f>
        <v>Loading...</v>
      </c>
      <c r="G116" s="20" t="str">
        <f>IFERROR(__xludf.DUMMYFUNCTION("AVERAGE(ARRAYFORMULA(100 * (QUERY(GOOGLEFINANCE(C116, ""high"", TODAY()-40, TODAY()), ""SELECT Col2 WHERE Col2 IS NOT NULL ORDER BY Col1 DESC LIMIT 20"", 0) / QUERY(GOOGLEFINANCE(C116, ""low"", TODAY()-40, TODAY()), ""SELECT Col2 WHERE Col2 IS NOT NULL OR"&amp;"DER BY Col1 DESC LIMIT 20"", 0) - 1)))"),"#N/A")</f>
        <v>#N/A</v>
      </c>
      <c r="H116" s="35" t="str">
        <f t="shared" si="6"/>
        <v>Liquid</v>
      </c>
      <c r="I116" s="35" t="str">
        <f t="shared" si="7"/>
        <v>RVol Required</v>
      </c>
      <c r="J116" s="37">
        <f>IFERROR(__xludf.DUMMYFUNCTION("IFERROR(
  IF(C116="""",, 
    IFERROR(
      GOOGLEFINANCE(C116, ""price"") * GOOGLEFINANCE(C116, ""volumeavg""), 
      GOOGLEFINANCE(C116, ""price"") * AVERAGE(QUERY(GOOGLEFINANCE(C116, ""volume"", TODAY()-40, TODAY()), ""SELECT Col2 WHERE Col2 IS NOT "&amp;"NULL ORDER BY Col1 DESC LIMIT 20"", 0))
    )
  ), 
"""")"),1.8606358529999998E8)</f>
        <v>186063585.3</v>
      </c>
      <c r="K116" s="21">
        <f>IFERROR(__xludf.DUMMYFUNCTION("IFERROR(GOOGLEFINANCE(C116, ""changepct"") / 100, """")"),0.045899999999999996)</f>
        <v>0.0459</v>
      </c>
      <c r="L116" s="21" t="str">
        <f>IFERROR(__xludf.DUMMYFUNCTION("IFERROR((GOOGLEFINANCE(C116, ""price"") / INDEX(GOOGLEFINANCE(C116, ""price"", TODAY()-7, TODAY()), 2, 2)) - 1, """")"),"")</f>
        <v/>
      </c>
      <c r="M116" s="21" t="str">
        <f>IFERROR(__xludf.DUMMYFUNCTION("IFERROR((GOOGLEFINANCE(C116, ""price"") / INDEX(GOOGLEFINANCE(C116, ""price"", EDATE(TODAY(), -1), TODAY()), 2, 2)) - 1, """")"),"")</f>
        <v/>
      </c>
      <c r="N116" s="21" t="str">
        <f>IFERROR(__xludf.DUMMYFUNCTION("IFERROR((GOOGLEFINANCE(C116, ""price"") / INDEX(GOOGLEFINANCE(C116, ""price"", EDATE(TODAY(), -3), TODAY()), 2, 2)) - 1, """")"),"")</f>
        <v/>
      </c>
      <c r="O116" s="21" t="str">
        <f>IFERROR(__xludf.DUMMYFUNCTION("IFERROR((GOOGLEFINANCE(C116, ""price"") / INDEX(GOOGLEFINANCE(C116, ""price"", EDATE(TODAY(), -6), TODAY()), 2, 2)) - 1, """")"),"")</f>
        <v/>
      </c>
      <c r="P116" s="21" t="str">
        <f>IFERROR(__xludf.DUMMYFUNCTION("IFERROR((GOOGLEFINANCE(C116, ""price"") / INDEX(GOOGLEFINANCE(C116, ""price"", EDATE(TODAY(), -12), TODAY()), 2, 2)) - 1, """")"),"")</f>
        <v/>
      </c>
      <c r="Q116" s="6" t="str">
        <f>IFERROR(__xludf.DUMMYFUNCTION("AVERAGE(QUERY(GOOGLEFINANCE(C116, ""price"", TODAY()-80, TODAY()), ""SELECT Col2 WHERE Col2 IS NOT NULL ORDER BY Col1 DESC LIMIT 50"", 0))"),"#N/A")</f>
        <v>#N/A</v>
      </c>
      <c r="R116" s="24" t="str">
        <f>IFERROR(__xludf.DUMMYFUNCTION("IFERROR(
  LET(
    data, QUERY(GOOGLEFINANCE(C116,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GOOGLEFINANCE(C116, ""price"")) * 100,
    IF(calc=0, G116, calc)
  ), 
G116)"),"#N/A")</f>
        <v>#N/A</v>
      </c>
      <c r="S116" s="8" t="s">
        <v>15</v>
      </c>
      <c r="T116" s="26" t="str">
        <f>IFERROR(__xludf.DUMMYFUNCTION("IFERROR(TRANSPOSE(QUERY(IFERROR(SORT(GOOGLEFINANCE(C116, ""price"", WORKDAY(TODAY(), -40), TODAY()), 1, FALSE)), ""select Col2 where Col2 is not null limit 22 label Col2 ''"", 0)), """")"),"")</f>
        <v/>
      </c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8"/>
      <c r="AO116" s="28"/>
      <c r="AP116" s="29"/>
      <c r="AQ116" s="29" t="str">
        <f t="shared" ref="AQ116:BL116" si="119">T116/T$2</f>
        <v>#N/A</v>
      </c>
      <c r="AR116" s="29" t="str">
        <f t="shared" si="119"/>
        <v>#DIV/0!</v>
      </c>
      <c r="AS116" s="29" t="str">
        <f t="shared" si="119"/>
        <v>#DIV/0!</v>
      </c>
      <c r="AT116" s="29" t="str">
        <f t="shared" si="119"/>
        <v>#DIV/0!</v>
      </c>
      <c r="AU116" s="29" t="str">
        <f t="shared" si="119"/>
        <v>#DIV/0!</v>
      </c>
      <c r="AV116" s="29" t="str">
        <f t="shared" si="119"/>
        <v>#DIV/0!</v>
      </c>
      <c r="AW116" s="29" t="str">
        <f t="shared" si="119"/>
        <v>#DIV/0!</v>
      </c>
      <c r="AX116" s="29" t="str">
        <f t="shared" si="119"/>
        <v>#DIV/0!</v>
      </c>
      <c r="AY116" s="29" t="str">
        <f t="shared" si="119"/>
        <v>#DIV/0!</v>
      </c>
      <c r="AZ116" s="29" t="str">
        <f t="shared" si="119"/>
        <v>#DIV/0!</v>
      </c>
      <c r="BA116" s="29" t="str">
        <f t="shared" si="119"/>
        <v>#DIV/0!</v>
      </c>
      <c r="BB116" s="29" t="str">
        <f t="shared" si="119"/>
        <v>#DIV/0!</v>
      </c>
      <c r="BC116" s="29" t="str">
        <f t="shared" si="119"/>
        <v>#DIV/0!</v>
      </c>
      <c r="BD116" s="29" t="str">
        <f t="shared" si="119"/>
        <v>#DIV/0!</v>
      </c>
      <c r="BE116" s="29" t="str">
        <f t="shared" si="119"/>
        <v>#DIV/0!</v>
      </c>
      <c r="BF116" s="29" t="str">
        <f t="shared" si="119"/>
        <v>#DIV/0!</v>
      </c>
      <c r="BG116" s="29" t="str">
        <f t="shared" si="119"/>
        <v>#DIV/0!</v>
      </c>
      <c r="BH116" s="29" t="str">
        <f t="shared" si="119"/>
        <v>#DIV/0!</v>
      </c>
      <c r="BI116" s="29" t="str">
        <f t="shared" si="119"/>
        <v>#DIV/0!</v>
      </c>
      <c r="BJ116" s="29" t="str">
        <f t="shared" si="119"/>
        <v>#DIV/0!</v>
      </c>
      <c r="BK116" s="29" t="str">
        <f t="shared" si="119"/>
        <v>#DIV/0!</v>
      </c>
      <c r="BL116" s="29" t="str">
        <f t="shared" si="119"/>
        <v>#DIV/0!</v>
      </c>
      <c r="BM116" s="29" t="str">
        <f t="shared" si="3"/>
        <v>#DIV/0!</v>
      </c>
    </row>
    <row r="117">
      <c r="A117" s="16" t="str">
        <f>IFERROR(__xludf.DUMMYFUNCTION("IFERROR(SPARKLINE(SORT(MAP(TRANSPOSE(AQ117:BL117), LAMBDA(val, IF(ISNUMBER(val), PERCENTRANK(AQ117:BL117, val)+0.01, 0))), SEQUENCE(COLUMNS(AQ117:BL117)), FALSE), {""charttype"",""column""; ""color"",""chartreuse""; ""ymin"", 0; ""ymax"", 1.01; ""highcolo"&amp;"r"", ""darkgreen""; ""lowcolor"", ""red""}), """")"),"")</f>
        <v/>
      </c>
      <c r="B117" s="17" t="str">
        <f t="shared" si="4"/>
        <v/>
      </c>
      <c r="C117" s="1" t="s">
        <v>2999</v>
      </c>
      <c r="D117" s="30" t="str">
        <f>IFERROR(__xludf.DUMMYFUNCTION("IFERROR(GOOGLEFINANCE(C117, ""NAME""))"),"Occidental Petroleum Corp")</f>
        <v>Occidental Petroleum Corp</v>
      </c>
      <c r="E117" s="30" t="s">
        <v>2613</v>
      </c>
      <c r="F117" s="33" t="str">
        <f>IFERROR(__xludf.DUMMYFUNCTION("( (GOOGLEFINANCE(C117, ""price"") - Q117) / Q117 ) / (R117 / 100)"),"Loading...")</f>
        <v>Loading...</v>
      </c>
      <c r="G117" s="20" t="str">
        <f>IFERROR(__xludf.DUMMYFUNCTION("AVERAGE(ARRAYFORMULA(100 * (QUERY(GOOGLEFINANCE(C117, ""high"", TODAY()-40, TODAY()), ""SELECT Col2 WHERE Col2 IS NOT NULL ORDER BY Col1 DESC LIMIT 20"", 0) / QUERY(GOOGLEFINANCE(C117, ""low"", TODAY()-40, TODAY()), ""SELECT Col2 WHERE Col2 IS NOT NULL OR"&amp;"DER BY Col1 DESC LIMIT 20"", 0) - 1)))"),"#N/A")</f>
        <v>#N/A</v>
      </c>
      <c r="H117" s="35" t="str">
        <f t="shared" si="6"/>
        <v>Liquid</v>
      </c>
      <c r="I117" s="35" t="str">
        <f t="shared" si="7"/>
        <v>No RVol Required</v>
      </c>
      <c r="J117" s="37">
        <f>IFERROR(__xludf.DUMMYFUNCTION("IFERROR(
  IF(C117="""",, 
    IFERROR(
      GOOGLEFINANCE(C117, ""price"") * GOOGLEFINANCE(C117, ""volumeavg""), 
      GOOGLEFINANCE(C117, ""price"") * AVERAGE(QUERY(GOOGLEFINANCE(C117, ""volume"", TODAY()-40, TODAY()), ""SELECT Col2 WHERE Col2 IS NOT "&amp;"NULL ORDER BY Col1 DESC LIMIT 20"", 0))
    )
  ), 
"""")"),5.613086517E8)</f>
        <v>561308651.7</v>
      </c>
      <c r="K117" s="21">
        <f>IFERROR(__xludf.DUMMYFUNCTION("IFERROR(GOOGLEFINANCE(C117, ""changepct"") / 100, """")"),0.0282)</f>
        <v>0.0282</v>
      </c>
      <c r="L117" s="21" t="str">
        <f>IFERROR(__xludf.DUMMYFUNCTION("IFERROR((GOOGLEFINANCE(C117, ""price"") / INDEX(GOOGLEFINANCE(C117, ""price"", TODAY()-7, TODAY()), 2, 2)) - 1, """")"),"")</f>
        <v/>
      </c>
      <c r="M117" s="21" t="str">
        <f>IFERROR(__xludf.DUMMYFUNCTION("IFERROR((GOOGLEFINANCE(C117, ""price"") / INDEX(GOOGLEFINANCE(C117, ""price"", EDATE(TODAY(), -1), TODAY()), 2, 2)) - 1, """")"),"")</f>
        <v/>
      </c>
      <c r="N117" s="21" t="str">
        <f>IFERROR(__xludf.DUMMYFUNCTION("IFERROR((GOOGLEFINANCE(C117, ""price"") / INDEX(GOOGLEFINANCE(C117, ""price"", EDATE(TODAY(), -3), TODAY()), 2, 2)) - 1, """")"),"")</f>
        <v/>
      </c>
      <c r="O117" s="21" t="str">
        <f>IFERROR(__xludf.DUMMYFUNCTION("IFERROR((GOOGLEFINANCE(C117, ""price"") / INDEX(GOOGLEFINANCE(C117, ""price"", EDATE(TODAY(), -6), TODAY()), 2, 2)) - 1, """")"),"")</f>
        <v/>
      </c>
      <c r="P117" s="21" t="str">
        <f>IFERROR(__xludf.DUMMYFUNCTION("IFERROR((GOOGLEFINANCE(C117, ""price"") / INDEX(GOOGLEFINANCE(C117, ""price"", EDATE(TODAY(), -12), TODAY()), 2, 2)) - 1, """")"),"")</f>
        <v/>
      </c>
      <c r="Q117" s="6" t="str">
        <f>IFERROR(__xludf.DUMMYFUNCTION("AVERAGE(QUERY(GOOGLEFINANCE(C117, ""price"", TODAY()-80, TODAY()), ""SELECT Col2 WHERE Col2 IS NOT NULL ORDER BY Col1 DESC LIMIT 50"", 0))"),"#N/A")</f>
        <v>#N/A</v>
      </c>
      <c r="R117" s="24" t="str">
        <f>IFERROR(__xludf.DUMMYFUNCTION("IFERROR(
  LET(
    data, QUERY(GOOGLEFINANCE(C117,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GOOGLEFINANCE(C117, ""price"")) * 100,
    IF(calc=0, G117, calc)
  ), 
G117)"),"#N/A")</f>
        <v>#N/A</v>
      </c>
      <c r="S117" s="8" t="s">
        <v>15</v>
      </c>
      <c r="T117" s="26" t="str">
        <f>IFERROR(__xludf.DUMMYFUNCTION("IFERROR(TRANSPOSE(QUERY(IFERROR(SORT(GOOGLEFINANCE(C117, ""price"", WORKDAY(TODAY(), -40), TODAY()), 1, FALSE)), ""select Col2 where Col2 is not null limit 22 label Col2 ''"", 0)), """")"),"")</f>
        <v/>
      </c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8"/>
      <c r="AO117" s="28"/>
      <c r="AP117" s="29"/>
      <c r="AQ117" s="29" t="str">
        <f t="shared" ref="AQ117:BL117" si="120">T117/T$2</f>
        <v>#N/A</v>
      </c>
      <c r="AR117" s="29" t="str">
        <f t="shared" si="120"/>
        <v>#DIV/0!</v>
      </c>
      <c r="AS117" s="29" t="str">
        <f t="shared" si="120"/>
        <v>#DIV/0!</v>
      </c>
      <c r="AT117" s="29" t="str">
        <f t="shared" si="120"/>
        <v>#DIV/0!</v>
      </c>
      <c r="AU117" s="29" t="str">
        <f t="shared" si="120"/>
        <v>#DIV/0!</v>
      </c>
      <c r="AV117" s="29" t="str">
        <f t="shared" si="120"/>
        <v>#DIV/0!</v>
      </c>
      <c r="AW117" s="29" t="str">
        <f t="shared" si="120"/>
        <v>#DIV/0!</v>
      </c>
      <c r="AX117" s="29" t="str">
        <f t="shared" si="120"/>
        <v>#DIV/0!</v>
      </c>
      <c r="AY117" s="29" t="str">
        <f t="shared" si="120"/>
        <v>#DIV/0!</v>
      </c>
      <c r="AZ117" s="29" t="str">
        <f t="shared" si="120"/>
        <v>#DIV/0!</v>
      </c>
      <c r="BA117" s="29" t="str">
        <f t="shared" si="120"/>
        <v>#DIV/0!</v>
      </c>
      <c r="BB117" s="29" t="str">
        <f t="shared" si="120"/>
        <v>#DIV/0!</v>
      </c>
      <c r="BC117" s="29" t="str">
        <f t="shared" si="120"/>
        <v>#DIV/0!</v>
      </c>
      <c r="BD117" s="29" t="str">
        <f t="shared" si="120"/>
        <v>#DIV/0!</v>
      </c>
      <c r="BE117" s="29" t="str">
        <f t="shared" si="120"/>
        <v>#DIV/0!</v>
      </c>
      <c r="BF117" s="29" t="str">
        <f t="shared" si="120"/>
        <v>#DIV/0!</v>
      </c>
      <c r="BG117" s="29" t="str">
        <f t="shared" si="120"/>
        <v>#DIV/0!</v>
      </c>
      <c r="BH117" s="29" t="str">
        <f t="shared" si="120"/>
        <v>#DIV/0!</v>
      </c>
      <c r="BI117" s="29" t="str">
        <f t="shared" si="120"/>
        <v>#DIV/0!</v>
      </c>
      <c r="BJ117" s="29" t="str">
        <f t="shared" si="120"/>
        <v>#DIV/0!</v>
      </c>
      <c r="BK117" s="29" t="str">
        <f t="shared" si="120"/>
        <v>#DIV/0!</v>
      </c>
      <c r="BL117" s="29" t="str">
        <f t="shared" si="120"/>
        <v>#DIV/0!</v>
      </c>
      <c r="BM117" s="29" t="str">
        <f t="shared" si="3"/>
        <v>#DIV/0!</v>
      </c>
    </row>
    <row r="118">
      <c r="A118" s="16" t="str">
        <f>IFERROR(__xludf.DUMMYFUNCTION("IFERROR(SPARKLINE(SORT(MAP(TRANSPOSE(AQ118:BL118), LAMBDA(val, IF(ISNUMBER(val), PERCENTRANK(AQ118:BL118, val)+0.01, 0))), SEQUENCE(COLUMNS(AQ118:BL118)), FALSE), {""charttype"",""column""; ""color"",""chartreuse""; ""ymin"", 0; ""ymax"", 1.01; ""highcolo"&amp;"r"", ""darkgreen""; ""lowcolor"", ""red""}), """")"),"")</f>
        <v/>
      </c>
      <c r="B118" s="17" t="str">
        <f t="shared" si="4"/>
        <v/>
      </c>
      <c r="C118" s="1" t="s">
        <v>3002</v>
      </c>
      <c r="D118" s="30" t="str">
        <f>IFERROR(__xludf.DUMMYFUNCTION("IFERROR(GOOGLEFINANCE(C118, ""NAME""))"),"Murphy Oil Corp")</f>
        <v>Murphy Oil Corp</v>
      </c>
      <c r="E118" s="30" t="s">
        <v>2613</v>
      </c>
      <c r="F118" s="33" t="str">
        <f>IFERROR(__xludf.DUMMYFUNCTION("( (GOOGLEFINANCE(C118, ""price"") - Q118) / Q118 ) / (R118 / 100)"),"Loading...")</f>
        <v>Loading...</v>
      </c>
      <c r="G118" s="20" t="str">
        <f>IFERROR(__xludf.DUMMYFUNCTION("AVERAGE(ARRAYFORMULA(100 * (QUERY(GOOGLEFINANCE(C118, ""high"", TODAY()-40, TODAY()), ""SELECT Col2 WHERE Col2 IS NOT NULL ORDER BY Col1 DESC LIMIT 20"", 0) / QUERY(GOOGLEFINANCE(C118, ""low"", TODAY()-40, TODAY()), ""SELECT Col2 WHERE Col2 IS NOT NULL OR"&amp;"DER BY Col1 DESC LIMIT 20"", 0) - 1)))"),"#N/A")</f>
        <v>#N/A</v>
      </c>
      <c r="H118" s="35" t="str">
        <f t="shared" si="6"/>
        <v>Liquid</v>
      </c>
      <c r="I118" s="35" t="str">
        <f t="shared" si="7"/>
        <v>RVol Required</v>
      </c>
      <c r="J118" s="37">
        <f>IFERROR(__xludf.DUMMYFUNCTION("IFERROR(
  IF(C118="""",, 
    IFERROR(
      GOOGLEFINANCE(C118, ""price"") * GOOGLEFINANCE(C118, ""volumeavg""), 
      GOOGLEFINANCE(C118, ""price"") * AVERAGE(QUERY(GOOGLEFINANCE(C118, ""volume"", TODAY()-40, TODAY()), ""SELECT Col2 WHERE Col2 IS NOT "&amp;"NULL ORDER BY Col1 DESC LIMIT 20"", 0))
    )
  ), 
"""")"),7.148409096000001E7)</f>
        <v>71484090.96</v>
      </c>
      <c r="K118" s="21">
        <f>IFERROR(__xludf.DUMMYFUNCTION("IFERROR(GOOGLEFINANCE(C118, ""changepct"") / 100, """")"),0.047400000000000005)</f>
        <v>0.0474</v>
      </c>
      <c r="L118" s="21" t="str">
        <f>IFERROR(__xludf.DUMMYFUNCTION("IFERROR((GOOGLEFINANCE(C118, ""price"") / INDEX(GOOGLEFINANCE(C118, ""price"", TODAY()-7, TODAY()), 2, 2)) - 1, """")"),"")</f>
        <v/>
      </c>
      <c r="M118" s="21" t="str">
        <f>IFERROR(__xludf.DUMMYFUNCTION("IFERROR((GOOGLEFINANCE(C118, ""price"") / INDEX(GOOGLEFINANCE(C118, ""price"", EDATE(TODAY(), -1), TODAY()), 2, 2)) - 1, """")"),"")</f>
        <v/>
      </c>
      <c r="N118" s="21" t="str">
        <f>IFERROR(__xludf.DUMMYFUNCTION("IFERROR((GOOGLEFINANCE(C118, ""price"") / INDEX(GOOGLEFINANCE(C118, ""price"", EDATE(TODAY(), -3), TODAY()), 2, 2)) - 1, """")"),"")</f>
        <v/>
      </c>
      <c r="O118" s="21" t="str">
        <f>IFERROR(__xludf.DUMMYFUNCTION("IFERROR((GOOGLEFINANCE(C118, ""price"") / INDEX(GOOGLEFINANCE(C118, ""price"", EDATE(TODAY(), -6), TODAY()), 2, 2)) - 1, """")"),"")</f>
        <v/>
      </c>
      <c r="P118" s="21" t="str">
        <f>IFERROR(__xludf.DUMMYFUNCTION("IFERROR((GOOGLEFINANCE(C118, ""price"") / INDEX(GOOGLEFINANCE(C118, ""price"", EDATE(TODAY(), -12), TODAY()), 2, 2)) - 1, """")"),"")</f>
        <v/>
      </c>
      <c r="Q118" s="6" t="str">
        <f>IFERROR(__xludf.DUMMYFUNCTION("AVERAGE(QUERY(GOOGLEFINANCE(C118, ""price"", TODAY()-80, TODAY()), ""SELECT Col2 WHERE Col2 IS NOT NULL ORDER BY Col1 DESC LIMIT 50"", 0))"),"#N/A")</f>
        <v>#N/A</v>
      </c>
      <c r="R118" s="24" t="str">
        <f>IFERROR(__xludf.DUMMYFUNCTION("IFERROR(
  LET(
    data, QUERY(GOOGLEFINANCE(C118,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GOOGLEFINANCE(C118, ""price"")) * 100,
    IF(calc=0, G118, calc)
  ), 
G118)"),"#N/A")</f>
        <v>#N/A</v>
      </c>
      <c r="S118" s="8" t="s">
        <v>15</v>
      </c>
      <c r="T118" s="26" t="str">
        <f>IFERROR(__xludf.DUMMYFUNCTION("IFERROR(TRANSPOSE(QUERY(IFERROR(SORT(GOOGLEFINANCE(C118, ""price"", WORKDAY(TODAY(), -40), TODAY()), 1, FALSE)), ""select Col2 where Col2 is not null limit 22 label Col2 ''"", 0)), """")"),"")</f>
        <v/>
      </c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8"/>
      <c r="AO118" s="28"/>
      <c r="AP118" s="29"/>
      <c r="AQ118" s="29" t="str">
        <f t="shared" ref="AQ118:BL118" si="121">T118/T$2</f>
        <v>#N/A</v>
      </c>
      <c r="AR118" s="29" t="str">
        <f t="shared" si="121"/>
        <v>#DIV/0!</v>
      </c>
      <c r="AS118" s="29" t="str">
        <f t="shared" si="121"/>
        <v>#DIV/0!</v>
      </c>
      <c r="AT118" s="29" t="str">
        <f t="shared" si="121"/>
        <v>#DIV/0!</v>
      </c>
      <c r="AU118" s="29" t="str">
        <f t="shared" si="121"/>
        <v>#DIV/0!</v>
      </c>
      <c r="AV118" s="29" t="str">
        <f t="shared" si="121"/>
        <v>#DIV/0!</v>
      </c>
      <c r="AW118" s="29" t="str">
        <f t="shared" si="121"/>
        <v>#DIV/0!</v>
      </c>
      <c r="AX118" s="29" t="str">
        <f t="shared" si="121"/>
        <v>#DIV/0!</v>
      </c>
      <c r="AY118" s="29" t="str">
        <f t="shared" si="121"/>
        <v>#DIV/0!</v>
      </c>
      <c r="AZ118" s="29" t="str">
        <f t="shared" si="121"/>
        <v>#DIV/0!</v>
      </c>
      <c r="BA118" s="29" t="str">
        <f t="shared" si="121"/>
        <v>#DIV/0!</v>
      </c>
      <c r="BB118" s="29" t="str">
        <f t="shared" si="121"/>
        <v>#DIV/0!</v>
      </c>
      <c r="BC118" s="29" t="str">
        <f t="shared" si="121"/>
        <v>#DIV/0!</v>
      </c>
      <c r="BD118" s="29" t="str">
        <f t="shared" si="121"/>
        <v>#DIV/0!</v>
      </c>
      <c r="BE118" s="29" t="str">
        <f t="shared" si="121"/>
        <v>#DIV/0!</v>
      </c>
      <c r="BF118" s="29" t="str">
        <f t="shared" si="121"/>
        <v>#DIV/0!</v>
      </c>
      <c r="BG118" s="29" t="str">
        <f t="shared" si="121"/>
        <v>#DIV/0!</v>
      </c>
      <c r="BH118" s="29" t="str">
        <f t="shared" si="121"/>
        <v>#DIV/0!</v>
      </c>
      <c r="BI118" s="29" t="str">
        <f t="shared" si="121"/>
        <v>#DIV/0!</v>
      </c>
      <c r="BJ118" s="29" t="str">
        <f t="shared" si="121"/>
        <v>#DIV/0!</v>
      </c>
      <c r="BK118" s="29" t="str">
        <f t="shared" si="121"/>
        <v>#DIV/0!</v>
      </c>
      <c r="BL118" s="29" t="str">
        <f t="shared" si="121"/>
        <v>#DIV/0!</v>
      </c>
      <c r="BM118" s="29" t="str">
        <f t="shared" si="3"/>
        <v>#DIV/0!</v>
      </c>
    </row>
    <row r="119">
      <c r="A119" s="16" t="str">
        <f>IFERROR(__xludf.DUMMYFUNCTION("IFERROR(SPARKLINE(SORT(MAP(TRANSPOSE(AQ119:BL119), LAMBDA(val, IF(ISNUMBER(val), PERCENTRANK(AQ119:BL119, val)+0.01, 0))), SEQUENCE(COLUMNS(AQ119:BL119)), FALSE), {""charttype"",""column""; ""color"",""chartreuse""; ""ymin"", 0; ""ymax"", 1.01; ""highcolo"&amp;"r"", ""darkgreen""; ""lowcolor"", ""red""}), """")"),"")</f>
        <v/>
      </c>
      <c r="B119" s="17" t="str">
        <f t="shared" si="4"/>
        <v/>
      </c>
      <c r="C119" s="1" t="s">
        <v>3006</v>
      </c>
      <c r="D119" s="30" t="str">
        <f>IFERROR(__xludf.DUMMYFUNCTION("IFERROR(GOOGLEFINANCE(C119, ""NAME""))"),"Kinetik Holdings Inc")</f>
        <v>Kinetik Holdings Inc</v>
      </c>
      <c r="E119" s="30" t="s">
        <v>2547</v>
      </c>
      <c r="F119" s="33" t="str">
        <f>IFERROR(__xludf.DUMMYFUNCTION("( (GOOGLEFINANCE(C119, ""price"") - Q119) / Q119 ) / (R119 / 100)"),"Loading...")</f>
        <v>Loading...</v>
      </c>
      <c r="G119" s="20" t="str">
        <f>IFERROR(__xludf.DUMMYFUNCTION("AVERAGE(ARRAYFORMULA(100 * (QUERY(GOOGLEFINANCE(C119, ""high"", TODAY()-40, TODAY()), ""SELECT Col2 WHERE Col2 IS NOT NULL ORDER BY Col1 DESC LIMIT 20"", 0) / QUERY(GOOGLEFINANCE(C119, ""low"", TODAY()-40, TODAY()), ""SELECT Col2 WHERE Col2 IS NOT NULL OR"&amp;"DER BY Col1 DESC LIMIT 20"", 0) - 1)))"),"#N/A")</f>
        <v>#N/A</v>
      </c>
      <c r="H119" s="35" t="str">
        <f t="shared" si="6"/>
        <v>Liquid</v>
      </c>
      <c r="I119" s="35" t="str">
        <f t="shared" si="7"/>
        <v>RVol Required</v>
      </c>
      <c r="J119" s="37">
        <f>IFERROR(__xludf.DUMMYFUNCTION("IFERROR(
  IF(C119="""",, 
    IFERROR(
      GOOGLEFINANCE(C119, ""price"") * GOOGLEFINANCE(C119, ""volumeavg""), 
      GOOGLEFINANCE(C119, ""price"") * AVERAGE(QUERY(GOOGLEFINANCE(C119, ""volume"", TODAY()-40, TODAY()), ""SELECT Col2 WHERE Col2 IS NOT "&amp;"NULL ORDER BY Col1 DESC LIMIT 20"", 0))
    )
  ), 
"""")"),7.30594291E7)</f>
        <v>73059429.1</v>
      </c>
      <c r="K119" s="21">
        <f>IFERROR(__xludf.DUMMYFUNCTION("IFERROR(GOOGLEFINANCE(C119, ""changepct"") / 100, """")"),0.0348)</f>
        <v>0.0348</v>
      </c>
      <c r="L119" s="21" t="str">
        <f>IFERROR(__xludf.DUMMYFUNCTION("IFERROR((GOOGLEFINANCE(C119, ""price"") / INDEX(GOOGLEFINANCE(C119, ""price"", TODAY()-7, TODAY()), 2, 2)) - 1, """")"),"")</f>
        <v/>
      </c>
      <c r="M119" s="21" t="str">
        <f>IFERROR(__xludf.DUMMYFUNCTION("IFERROR((GOOGLEFINANCE(C119, ""price"") / INDEX(GOOGLEFINANCE(C119, ""price"", EDATE(TODAY(), -1), TODAY()), 2, 2)) - 1, """")"),"")</f>
        <v/>
      </c>
      <c r="N119" s="21" t="str">
        <f>IFERROR(__xludf.DUMMYFUNCTION("IFERROR((GOOGLEFINANCE(C119, ""price"") / INDEX(GOOGLEFINANCE(C119, ""price"", EDATE(TODAY(), -3), TODAY()), 2, 2)) - 1, """")"),"")</f>
        <v/>
      </c>
      <c r="O119" s="21" t="str">
        <f>IFERROR(__xludf.DUMMYFUNCTION("IFERROR((GOOGLEFINANCE(C119, ""price"") / INDEX(GOOGLEFINANCE(C119, ""price"", EDATE(TODAY(), -6), TODAY()), 2, 2)) - 1, """")"),"")</f>
        <v/>
      </c>
      <c r="P119" s="21" t="str">
        <f>IFERROR(__xludf.DUMMYFUNCTION("IFERROR((GOOGLEFINANCE(C119, ""price"") / INDEX(GOOGLEFINANCE(C119, ""price"", EDATE(TODAY(), -12), TODAY()), 2, 2)) - 1, """")"),"")</f>
        <v/>
      </c>
      <c r="Q119" s="6" t="str">
        <f>IFERROR(__xludf.DUMMYFUNCTION("AVERAGE(QUERY(GOOGLEFINANCE(C119, ""price"", TODAY()-80, TODAY()), ""SELECT Col2 WHERE Col2 IS NOT NULL ORDER BY Col1 DESC LIMIT 50"", 0))"),"#N/A")</f>
        <v>#N/A</v>
      </c>
      <c r="R119" s="24" t="str">
        <f>IFERROR(__xludf.DUMMYFUNCTION("IFERROR(
  LET(
    data, QUERY(GOOGLEFINANCE(C119,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GOOGLEFINANCE(C119, ""price"")) * 100,
    IF(calc=0, G119, calc)
  ), 
G119)"),"#N/A")</f>
        <v>#N/A</v>
      </c>
      <c r="S119" s="8" t="s">
        <v>15</v>
      </c>
      <c r="T119" s="26" t="str">
        <f>IFERROR(__xludf.DUMMYFUNCTION("IFERROR(TRANSPOSE(QUERY(IFERROR(SORT(GOOGLEFINANCE(C119, ""price"", WORKDAY(TODAY(), -40), TODAY()), 1, FALSE)), ""select Col2 where Col2 is not null limit 22 label Col2 ''"", 0)), """")"),"")</f>
        <v/>
      </c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8"/>
      <c r="AO119" s="28"/>
      <c r="AP119" s="29"/>
      <c r="AQ119" s="29" t="str">
        <f t="shared" ref="AQ119:BL119" si="122">T119/T$2</f>
        <v>#N/A</v>
      </c>
      <c r="AR119" s="29" t="str">
        <f t="shared" si="122"/>
        <v>#DIV/0!</v>
      </c>
      <c r="AS119" s="29" t="str">
        <f t="shared" si="122"/>
        <v>#DIV/0!</v>
      </c>
      <c r="AT119" s="29" t="str">
        <f t="shared" si="122"/>
        <v>#DIV/0!</v>
      </c>
      <c r="AU119" s="29" t="str">
        <f t="shared" si="122"/>
        <v>#DIV/0!</v>
      </c>
      <c r="AV119" s="29" t="str">
        <f t="shared" si="122"/>
        <v>#DIV/0!</v>
      </c>
      <c r="AW119" s="29" t="str">
        <f t="shared" si="122"/>
        <v>#DIV/0!</v>
      </c>
      <c r="AX119" s="29" t="str">
        <f t="shared" si="122"/>
        <v>#DIV/0!</v>
      </c>
      <c r="AY119" s="29" t="str">
        <f t="shared" si="122"/>
        <v>#DIV/0!</v>
      </c>
      <c r="AZ119" s="29" t="str">
        <f t="shared" si="122"/>
        <v>#DIV/0!</v>
      </c>
      <c r="BA119" s="29" t="str">
        <f t="shared" si="122"/>
        <v>#DIV/0!</v>
      </c>
      <c r="BB119" s="29" t="str">
        <f t="shared" si="122"/>
        <v>#DIV/0!</v>
      </c>
      <c r="BC119" s="29" t="str">
        <f t="shared" si="122"/>
        <v>#DIV/0!</v>
      </c>
      <c r="BD119" s="29" t="str">
        <f t="shared" si="122"/>
        <v>#DIV/0!</v>
      </c>
      <c r="BE119" s="29" t="str">
        <f t="shared" si="122"/>
        <v>#DIV/0!</v>
      </c>
      <c r="BF119" s="29" t="str">
        <f t="shared" si="122"/>
        <v>#DIV/0!</v>
      </c>
      <c r="BG119" s="29" t="str">
        <f t="shared" si="122"/>
        <v>#DIV/0!</v>
      </c>
      <c r="BH119" s="29" t="str">
        <f t="shared" si="122"/>
        <v>#DIV/0!</v>
      </c>
      <c r="BI119" s="29" t="str">
        <f t="shared" si="122"/>
        <v>#DIV/0!</v>
      </c>
      <c r="BJ119" s="29" t="str">
        <f t="shared" si="122"/>
        <v>#DIV/0!</v>
      </c>
      <c r="BK119" s="29" t="str">
        <f t="shared" si="122"/>
        <v>#DIV/0!</v>
      </c>
      <c r="BL119" s="29" t="str">
        <f t="shared" si="122"/>
        <v>#DIV/0!</v>
      </c>
      <c r="BM119" s="29" t="str">
        <f t="shared" si="3"/>
        <v>#DIV/0!</v>
      </c>
    </row>
    <row r="120">
      <c r="A120" s="16" t="str">
        <f>IFERROR(__xludf.DUMMYFUNCTION("IFERROR(SPARKLINE(SORT(MAP(TRANSPOSE(AQ120:BL120), LAMBDA(val, IF(ISNUMBER(val), PERCENTRANK(AQ120:BL120, val)+0.01, 0))), SEQUENCE(COLUMNS(AQ120:BL120)), FALSE), {""charttype"",""column""; ""color"",""chartreuse""; ""ymin"", 0; ""ymax"", 1.01; ""highcolo"&amp;"r"", ""darkgreen""; ""lowcolor"", ""red""}), """")"),"")</f>
        <v/>
      </c>
      <c r="B120" s="17" t="str">
        <f t="shared" si="4"/>
        <v/>
      </c>
      <c r="C120" s="1" t="s">
        <v>3010</v>
      </c>
      <c r="D120" s="30" t="str">
        <f>IFERROR(__xludf.DUMMYFUNCTION("IFERROR(GOOGLEFINANCE(C120, ""NAME""))"),"Kinder Morgan Inc")</f>
        <v>Kinder Morgan Inc</v>
      </c>
      <c r="E120" s="30" t="s">
        <v>2547</v>
      </c>
      <c r="F120" s="33" t="str">
        <f>IFERROR(__xludf.DUMMYFUNCTION("( (GOOGLEFINANCE(C120, ""price"") - Q120) / Q120 ) / (R120 / 100)"),"Loading...")</f>
        <v>Loading...</v>
      </c>
      <c r="G120" s="20" t="str">
        <f>IFERROR(__xludf.DUMMYFUNCTION("AVERAGE(ARRAYFORMULA(100 * (QUERY(GOOGLEFINANCE(C120, ""high"", TODAY()-40, TODAY()), ""SELECT Col2 WHERE Col2 IS NOT NULL ORDER BY Col1 DESC LIMIT 20"", 0) / QUERY(GOOGLEFINANCE(C120, ""low"", TODAY()-40, TODAY()), ""SELECT Col2 WHERE Col2 IS NOT NULL OR"&amp;"DER BY Col1 DESC LIMIT 20"", 0) - 1)))"),"#N/A")</f>
        <v>#N/A</v>
      </c>
      <c r="H120" s="35" t="str">
        <f t="shared" si="6"/>
        <v>Liquid</v>
      </c>
      <c r="I120" s="35" t="str">
        <f t="shared" si="7"/>
        <v>RVol Required</v>
      </c>
      <c r="J120" s="37">
        <f>IFERROR(__xludf.DUMMYFUNCTION("IFERROR(
  IF(C120="""",, 
    IFERROR(
      GOOGLEFINANCE(C120, ""price"") * GOOGLEFINANCE(C120, ""volumeavg""), 
      GOOGLEFINANCE(C120, ""price"") * AVERAGE(QUERY(GOOGLEFINANCE(C120, ""volume"", TODAY()-40, TODAY()), ""SELECT Col2 WHERE Col2 IS NOT "&amp;"NULL ORDER BY Col1 DESC LIMIT 20"", 0))
    )
  ), 
"""")"),4.2858574740000004E8)</f>
        <v>428585747.4</v>
      </c>
      <c r="K120" s="21">
        <f>IFERROR(__xludf.DUMMYFUNCTION("IFERROR(GOOGLEFINANCE(C120, ""changepct"") / 100, """")"),0.042)</f>
        <v>0.042</v>
      </c>
      <c r="L120" s="21" t="str">
        <f>IFERROR(__xludf.DUMMYFUNCTION("IFERROR((GOOGLEFINANCE(C120, ""price"") / INDEX(GOOGLEFINANCE(C120, ""price"", TODAY()-7, TODAY()), 2, 2)) - 1, """")"),"")</f>
        <v/>
      </c>
      <c r="M120" s="21" t="str">
        <f>IFERROR(__xludf.DUMMYFUNCTION("IFERROR((GOOGLEFINANCE(C120, ""price"") / INDEX(GOOGLEFINANCE(C120, ""price"", EDATE(TODAY(), -1), TODAY()), 2, 2)) - 1, """")"),"")</f>
        <v/>
      </c>
      <c r="N120" s="21" t="str">
        <f>IFERROR(__xludf.DUMMYFUNCTION("IFERROR((GOOGLEFINANCE(C120, ""price"") / INDEX(GOOGLEFINANCE(C120, ""price"", EDATE(TODAY(), -3), TODAY()), 2, 2)) - 1, """")"),"")</f>
        <v/>
      </c>
      <c r="O120" s="21" t="str">
        <f>IFERROR(__xludf.DUMMYFUNCTION("IFERROR((GOOGLEFINANCE(C120, ""price"") / INDEX(GOOGLEFINANCE(C120, ""price"", EDATE(TODAY(), -6), TODAY()), 2, 2)) - 1, """")"),"")</f>
        <v/>
      </c>
      <c r="P120" s="21" t="str">
        <f>IFERROR(__xludf.DUMMYFUNCTION("IFERROR((GOOGLEFINANCE(C120, ""price"") / INDEX(GOOGLEFINANCE(C120, ""price"", EDATE(TODAY(), -12), TODAY()), 2, 2)) - 1, """")"),"")</f>
        <v/>
      </c>
      <c r="Q120" s="6" t="str">
        <f>IFERROR(__xludf.DUMMYFUNCTION("AVERAGE(QUERY(GOOGLEFINANCE(C120, ""price"", TODAY()-80, TODAY()), ""SELECT Col2 WHERE Col2 IS NOT NULL ORDER BY Col1 DESC LIMIT 50"", 0))"),"#N/A")</f>
        <v>#N/A</v>
      </c>
      <c r="R120" s="24" t="str">
        <f>IFERROR(__xludf.DUMMYFUNCTION("IFERROR(
  LET(
    data, QUERY(GOOGLEFINANCE(C120,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GOOGLEFINANCE(C120, ""price"")) * 100,
    IF(calc=0, G120, calc)
  ), 
G120)"),"#N/A")</f>
        <v>#N/A</v>
      </c>
      <c r="S120" s="8" t="s">
        <v>15</v>
      </c>
      <c r="T120" s="26" t="str">
        <f>IFERROR(__xludf.DUMMYFUNCTION("IFERROR(TRANSPOSE(QUERY(IFERROR(SORT(GOOGLEFINANCE(C120, ""price"", WORKDAY(TODAY(), -40), TODAY()), 1, FALSE)), ""select Col2 where Col2 is not null limit 22 label Col2 ''"", 0)), """")"),"")</f>
        <v/>
      </c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8"/>
      <c r="AO120" s="28"/>
      <c r="AP120" s="29"/>
      <c r="AQ120" s="29" t="str">
        <f t="shared" ref="AQ120:BL120" si="123">T120/T$2</f>
        <v>#N/A</v>
      </c>
      <c r="AR120" s="29" t="str">
        <f t="shared" si="123"/>
        <v>#DIV/0!</v>
      </c>
      <c r="AS120" s="29" t="str">
        <f t="shared" si="123"/>
        <v>#DIV/0!</v>
      </c>
      <c r="AT120" s="29" t="str">
        <f t="shared" si="123"/>
        <v>#DIV/0!</v>
      </c>
      <c r="AU120" s="29" t="str">
        <f t="shared" si="123"/>
        <v>#DIV/0!</v>
      </c>
      <c r="AV120" s="29" t="str">
        <f t="shared" si="123"/>
        <v>#DIV/0!</v>
      </c>
      <c r="AW120" s="29" t="str">
        <f t="shared" si="123"/>
        <v>#DIV/0!</v>
      </c>
      <c r="AX120" s="29" t="str">
        <f t="shared" si="123"/>
        <v>#DIV/0!</v>
      </c>
      <c r="AY120" s="29" t="str">
        <f t="shared" si="123"/>
        <v>#DIV/0!</v>
      </c>
      <c r="AZ120" s="29" t="str">
        <f t="shared" si="123"/>
        <v>#DIV/0!</v>
      </c>
      <c r="BA120" s="29" t="str">
        <f t="shared" si="123"/>
        <v>#DIV/0!</v>
      </c>
      <c r="BB120" s="29" t="str">
        <f t="shared" si="123"/>
        <v>#DIV/0!</v>
      </c>
      <c r="BC120" s="29" t="str">
        <f t="shared" si="123"/>
        <v>#DIV/0!</v>
      </c>
      <c r="BD120" s="29" t="str">
        <f t="shared" si="123"/>
        <v>#DIV/0!</v>
      </c>
      <c r="BE120" s="29" t="str">
        <f t="shared" si="123"/>
        <v>#DIV/0!</v>
      </c>
      <c r="BF120" s="29" t="str">
        <f t="shared" si="123"/>
        <v>#DIV/0!</v>
      </c>
      <c r="BG120" s="29" t="str">
        <f t="shared" si="123"/>
        <v>#DIV/0!</v>
      </c>
      <c r="BH120" s="29" t="str">
        <f t="shared" si="123"/>
        <v>#DIV/0!</v>
      </c>
      <c r="BI120" s="29" t="str">
        <f t="shared" si="123"/>
        <v>#DIV/0!</v>
      </c>
      <c r="BJ120" s="29" t="str">
        <f t="shared" si="123"/>
        <v>#DIV/0!</v>
      </c>
      <c r="BK120" s="29" t="str">
        <f t="shared" si="123"/>
        <v>#DIV/0!</v>
      </c>
      <c r="BL120" s="29" t="str">
        <f t="shared" si="123"/>
        <v>#DIV/0!</v>
      </c>
      <c r="BM120" s="29" t="str">
        <f t="shared" si="3"/>
        <v>#DIV/0!</v>
      </c>
    </row>
    <row r="121" hidden="1">
      <c r="A121" s="16" t="str">
        <f>IFERROR(__xludf.DUMMYFUNCTION("IFERROR(SPARKLINE(SORT(MAP(TRANSPOSE(AQ121:BL121), LAMBDA(val, IF(ISNUMBER(val), PERCENTRANK(AQ121:BL121, val)+0.01, 0))), SEQUENCE(COLUMNS(AQ121:BL121)), FALSE), {""charttype"",""column""; ""color"",""chartreuse""; ""ymin"", 0; ""ymax"", 1.01; ""highcolo"&amp;"r"", ""darkgreen""; ""lowcolor"", ""red""}), """")"),"")</f>
        <v/>
      </c>
      <c r="B121" s="17" t="str">
        <f t="shared" si="4"/>
        <v/>
      </c>
      <c r="C121" s="1" t="s">
        <v>3013</v>
      </c>
      <c r="D121" s="30" t="str">
        <f>IFERROR(__xludf.DUMMYFUNCTION("IFERROR(GOOGLEFINANCE(C121, ""NAME""))"),"Icahn Enterprises LP Common Stock")</f>
        <v>Icahn Enterprises LP Common Stock</v>
      </c>
      <c r="E121" s="30" t="s">
        <v>2649</v>
      </c>
      <c r="F121" s="33" t="str">
        <f>IFERROR(__xludf.DUMMYFUNCTION("( (GOOGLEFINANCE(C121, ""price"") - Q121) / Q121 ) / (R121 / 100)"),"Loading...")</f>
        <v>Loading...</v>
      </c>
      <c r="G121" s="20" t="str">
        <f>IFERROR(__xludf.DUMMYFUNCTION("AVERAGE(ARRAYFORMULA(100 * (QUERY(GOOGLEFINANCE(C121, ""high"", TODAY()-40, TODAY()), ""SELECT Col2 WHERE Col2 IS NOT NULL ORDER BY Col1 DESC LIMIT 20"", 0) / QUERY(GOOGLEFINANCE(C121, ""low"", TODAY()-40, TODAY()), ""SELECT Col2 WHERE Col2 IS NOT NULL OR"&amp;"DER BY Col1 DESC LIMIT 20"", 0) - 1)))"),"#N/A")</f>
        <v>#N/A</v>
      </c>
      <c r="H121" s="35" t="str">
        <f t="shared" si="6"/>
        <v>Illiquid</v>
      </c>
      <c r="I121" s="35" t="str">
        <f t="shared" si="7"/>
        <v>RVol Required</v>
      </c>
      <c r="J121" s="37">
        <f>IFERROR(__xludf.DUMMYFUNCTION("IFERROR(
  IF(C121="""",, 
    IFERROR(
      GOOGLEFINANCE(C121, ""price"") * GOOGLEFINANCE(C121, ""volumeavg""), 
      GOOGLEFINANCE(C121, ""price"") * AVERAGE(QUERY(GOOGLEFINANCE(C121, ""volume"", TODAY()-40, TODAY()), ""SELECT Col2 WHERE Col2 IS NOT "&amp;"NULL ORDER BY Col1 DESC LIMIT 20"", 0))
    )
  ), 
"""")"),5512903.2)</f>
        <v>5512903.2</v>
      </c>
      <c r="K121" s="21">
        <f>IFERROR(__xludf.DUMMYFUNCTION("IFERROR(GOOGLEFINANCE(C121, ""changepct"") / 100, """")"),0.0015)</f>
        <v>0.0015</v>
      </c>
      <c r="L121" s="21" t="str">
        <f>IFERROR(__xludf.DUMMYFUNCTION("IFERROR((GOOGLEFINANCE(C121, ""price"") / INDEX(GOOGLEFINANCE(C121, ""price"", TODAY()-7, TODAY()), 2, 2)) - 1, """")"),"")</f>
        <v/>
      </c>
      <c r="M121" s="21" t="str">
        <f>IFERROR(__xludf.DUMMYFUNCTION("IFERROR((GOOGLEFINANCE(C121, ""price"") / INDEX(GOOGLEFINANCE(C121, ""price"", EDATE(TODAY(), -1), TODAY()), 2, 2)) - 1, """")"),"")</f>
        <v/>
      </c>
      <c r="N121" s="21" t="str">
        <f>IFERROR(__xludf.DUMMYFUNCTION("IFERROR((GOOGLEFINANCE(C121, ""price"") / INDEX(GOOGLEFINANCE(C121, ""price"", EDATE(TODAY(), -3), TODAY()), 2, 2)) - 1, """")"),"")</f>
        <v/>
      </c>
      <c r="O121" s="21" t="str">
        <f>IFERROR(__xludf.DUMMYFUNCTION("IFERROR((GOOGLEFINANCE(C121, ""price"") / INDEX(GOOGLEFINANCE(C121, ""price"", EDATE(TODAY(), -6), TODAY()), 2, 2)) - 1, """")"),"")</f>
        <v/>
      </c>
      <c r="P121" s="21" t="str">
        <f>IFERROR(__xludf.DUMMYFUNCTION("IFERROR((GOOGLEFINANCE(C121, ""price"") / INDEX(GOOGLEFINANCE(C121, ""price"", EDATE(TODAY(), -12), TODAY()), 2, 2)) - 1, """")"),"")</f>
        <v/>
      </c>
      <c r="Q121" s="6" t="str">
        <f>IFERROR(__xludf.DUMMYFUNCTION("AVERAGE(QUERY(GOOGLEFINANCE(C121, ""price"", TODAY()-80, TODAY()), ""SELECT Col2 WHERE Col2 IS NOT NULL ORDER BY Col1 DESC LIMIT 50"", 0))"),"#N/A")</f>
        <v>#N/A</v>
      </c>
      <c r="R121" s="24" t="str">
        <f>IFERROR(__xludf.DUMMYFUNCTION("IFERROR(
  LET(
    data, QUERY(GOOGLEFINANCE(C121,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GOOGLEFINANCE(C121, ""price"")) * 100,
    IF(calc=0, G121, calc)
  ), 
G121)"),"#N/A")</f>
        <v>#N/A</v>
      </c>
      <c r="S121" s="8" t="s">
        <v>15</v>
      </c>
      <c r="T121" s="26" t="str">
        <f>IFERROR(__xludf.DUMMYFUNCTION("IFERROR(TRANSPOSE(QUERY(IFERROR(SORT(GOOGLEFINANCE(C121, ""price"", WORKDAY(TODAY(), -40), TODAY()), 1, FALSE)), ""select Col2 where Col2 is not null limit 22 label Col2 ''"", 0)), """")"),"")</f>
        <v/>
      </c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8"/>
      <c r="AO121" s="28"/>
      <c r="AP121" s="29"/>
      <c r="AQ121" s="29" t="str">
        <f t="shared" ref="AQ121:BL121" si="124">T121/T$2</f>
        <v>#N/A</v>
      </c>
      <c r="AR121" s="29" t="str">
        <f t="shared" si="124"/>
        <v>#DIV/0!</v>
      </c>
      <c r="AS121" s="29" t="str">
        <f t="shared" si="124"/>
        <v>#DIV/0!</v>
      </c>
      <c r="AT121" s="29" t="str">
        <f t="shared" si="124"/>
        <v>#DIV/0!</v>
      </c>
      <c r="AU121" s="29" t="str">
        <f t="shared" si="124"/>
        <v>#DIV/0!</v>
      </c>
      <c r="AV121" s="29" t="str">
        <f t="shared" si="124"/>
        <v>#DIV/0!</v>
      </c>
      <c r="AW121" s="29" t="str">
        <f t="shared" si="124"/>
        <v>#DIV/0!</v>
      </c>
      <c r="AX121" s="29" t="str">
        <f t="shared" si="124"/>
        <v>#DIV/0!</v>
      </c>
      <c r="AY121" s="29" t="str">
        <f t="shared" si="124"/>
        <v>#DIV/0!</v>
      </c>
      <c r="AZ121" s="29" t="str">
        <f t="shared" si="124"/>
        <v>#DIV/0!</v>
      </c>
      <c r="BA121" s="29" t="str">
        <f t="shared" si="124"/>
        <v>#DIV/0!</v>
      </c>
      <c r="BB121" s="29" t="str">
        <f t="shared" si="124"/>
        <v>#DIV/0!</v>
      </c>
      <c r="BC121" s="29" t="str">
        <f t="shared" si="124"/>
        <v>#DIV/0!</v>
      </c>
      <c r="BD121" s="29" t="str">
        <f t="shared" si="124"/>
        <v>#DIV/0!</v>
      </c>
      <c r="BE121" s="29" t="str">
        <f t="shared" si="124"/>
        <v>#DIV/0!</v>
      </c>
      <c r="BF121" s="29" t="str">
        <f t="shared" si="124"/>
        <v>#DIV/0!</v>
      </c>
      <c r="BG121" s="29" t="str">
        <f t="shared" si="124"/>
        <v>#DIV/0!</v>
      </c>
      <c r="BH121" s="29" t="str">
        <f t="shared" si="124"/>
        <v>#DIV/0!</v>
      </c>
      <c r="BI121" s="29" t="str">
        <f t="shared" si="124"/>
        <v>#DIV/0!</v>
      </c>
      <c r="BJ121" s="29" t="str">
        <f t="shared" si="124"/>
        <v>#DIV/0!</v>
      </c>
      <c r="BK121" s="29" t="str">
        <f t="shared" si="124"/>
        <v>#DIV/0!</v>
      </c>
      <c r="BL121" s="29" t="str">
        <f t="shared" si="124"/>
        <v>#DIV/0!</v>
      </c>
      <c r="BM121" s="29" t="str">
        <f t="shared" si="3"/>
        <v>#DIV/0!</v>
      </c>
    </row>
    <row r="122" hidden="1">
      <c r="A122" s="16" t="str">
        <f>IFERROR(__xludf.DUMMYFUNCTION("IFERROR(SPARKLINE(SORT(MAP(TRANSPOSE(AQ122:BL122), LAMBDA(val, IF(ISNUMBER(val), PERCENTRANK(AQ122:BL122, val)+0.01, 0))), SEQUENCE(COLUMNS(AQ122:BL122)), FALSE), {""charttype"",""column""; ""color"",""chartreuse""; ""ymin"", 0; ""ymax"", 1.01; ""highcolo"&amp;"r"", ""darkgreen""; ""lowcolor"", ""red""}), """")"),"")</f>
        <v/>
      </c>
      <c r="B122" s="17" t="str">
        <f t="shared" si="4"/>
        <v/>
      </c>
      <c r="C122" s="1" t="s">
        <v>3016</v>
      </c>
      <c r="D122" s="30" t="str">
        <f>IFERROR(__xludf.DUMMYFUNCTION("IFERROR(GOOGLEFINANCE(C122, ""NAME""))"),"Helix Resources Ltd")</f>
        <v>Helix Resources Ltd</v>
      </c>
      <c r="E122" s="30" t="s">
        <v>2537</v>
      </c>
      <c r="F122" s="33" t="str">
        <f>IFERROR(__xludf.DUMMYFUNCTION("( (GOOGLEFINANCE(C122, ""price"") - Q122) / Q122 ) / (R122 / 100)"),"Loading...")</f>
        <v>Loading...</v>
      </c>
      <c r="G122" s="20" t="str">
        <f>IFERROR(__xludf.DUMMYFUNCTION("AVERAGE(ARRAYFORMULA(100 * (QUERY(GOOGLEFINANCE(C122, ""high"", TODAY()-40, TODAY()), ""SELECT Col2 WHERE Col2 IS NOT NULL ORDER BY Col1 DESC LIMIT 20"", 0) / QUERY(GOOGLEFINANCE(C122, ""low"", TODAY()-40, TODAY()), ""SELECT Col2 WHERE Col2 IS NOT NULL OR"&amp;"DER BY Col1 DESC LIMIT 20"", 0) - 1)))"),"#N/A")</f>
        <v>#N/A</v>
      </c>
      <c r="H122" s="35" t="str">
        <f t="shared" si="6"/>
        <v>Illiquid</v>
      </c>
      <c r="I122" s="35" t="str">
        <f t="shared" si="7"/>
        <v>RVol Required</v>
      </c>
      <c r="J122" s="37">
        <f>IFERROR(__xludf.DUMMYFUNCTION("IFERROR(
  IF(C122="""",, 
    IFERROR(
      GOOGLEFINANCE(C122, ""price"") * GOOGLEFINANCE(C122, ""volumeavg""), 
      GOOGLEFINANCE(C122, ""price"") * AVERAGE(QUERY(GOOGLEFINANCE(C122, ""volume"", TODAY()-40, TODAY()), ""SELECT Col2 WHERE Col2 IS NOT "&amp;"NULL ORDER BY Col1 DESC LIMIT 20"", 0))
    )
  ), 
"""")"),15224.52)</f>
        <v>15224.52</v>
      </c>
      <c r="K122" s="21">
        <f>IFERROR(__xludf.DUMMYFUNCTION("IFERROR(GOOGLEFINANCE(C122, ""changepct"") / 100, """")"),0.0)</f>
        <v>0</v>
      </c>
      <c r="L122" s="21" t="str">
        <f>IFERROR(__xludf.DUMMYFUNCTION("IFERROR((GOOGLEFINANCE(C122, ""price"") / INDEX(GOOGLEFINANCE(C122, ""price"", TODAY()-7, TODAY()), 2, 2)) - 1, """")"),"")</f>
        <v/>
      </c>
      <c r="M122" s="21" t="str">
        <f>IFERROR(__xludf.DUMMYFUNCTION("IFERROR((GOOGLEFINANCE(C122, ""price"") / INDEX(GOOGLEFINANCE(C122, ""price"", EDATE(TODAY(), -1), TODAY()), 2, 2)) - 1, """")"),"")</f>
        <v/>
      </c>
      <c r="N122" s="21" t="str">
        <f>IFERROR(__xludf.DUMMYFUNCTION("IFERROR((GOOGLEFINANCE(C122, ""price"") / INDEX(GOOGLEFINANCE(C122, ""price"", EDATE(TODAY(), -3), TODAY()), 2, 2)) - 1, """")"),"")</f>
        <v/>
      </c>
      <c r="O122" s="21" t="str">
        <f>IFERROR(__xludf.DUMMYFUNCTION("IFERROR((GOOGLEFINANCE(C122, ""price"") / INDEX(GOOGLEFINANCE(C122, ""price"", EDATE(TODAY(), -6), TODAY()), 2, 2)) - 1, """")"),"")</f>
        <v/>
      </c>
      <c r="P122" s="21" t="str">
        <f>IFERROR(__xludf.DUMMYFUNCTION("IFERROR((GOOGLEFINANCE(C122, ""price"") / INDEX(GOOGLEFINANCE(C122, ""price"", EDATE(TODAY(), -12), TODAY()), 2, 2)) - 1, """")"),"")</f>
        <v/>
      </c>
      <c r="Q122" s="6" t="str">
        <f>IFERROR(__xludf.DUMMYFUNCTION("AVERAGE(QUERY(GOOGLEFINANCE(C122, ""price"", TODAY()-80, TODAY()), ""SELECT Col2 WHERE Col2 IS NOT NULL ORDER BY Col1 DESC LIMIT 50"", 0))"),"#N/A")</f>
        <v>#N/A</v>
      </c>
      <c r="R122" s="24" t="str">
        <f>IFERROR(__xludf.DUMMYFUNCTION("IFERROR(
  LET(
    data, QUERY(GOOGLEFINANCE(C122,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GOOGLEFINANCE(C122, ""price"")) * 100,
    IF(calc=0, G122, calc)
  ), 
G122)"),"#N/A")</f>
        <v>#N/A</v>
      </c>
      <c r="S122" s="8" t="s">
        <v>15</v>
      </c>
      <c r="T122" s="26" t="str">
        <f>IFERROR(__xludf.DUMMYFUNCTION("IFERROR(TRANSPOSE(QUERY(IFERROR(SORT(GOOGLEFINANCE(C122, ""price"", WORKDAY(TODAY(), -40), TODAY()), 1, FALSE)), ""select Col2 where Col2 is not null limit 22 label Col2 ''"", 0)), """")"),"")</f>
        <v/>
      </c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8"/>
      <c r="AO122" s="28"/>
      <c r="AP122" s="29"/>
      <c r="AQ122" s="29" t="str">
        <f t="shared" ref="AQ122:BL122" si="125">T122/T$2</f>
        <v>#N/A</v>
      </c>
      <c r="AR122" s="29" t="str">
        <f t="shared" si="125"/>
        <v>#DIV/0!</v>
      </c>
      <c r="AS122" s="29" t="str">
        <f t="shared" si="125"/>
        <v>#DIV/0!</v>
      </c>
      <c r="AT122" s="29" t="str">
        <f t="shared" si="125"/>
        <v>#DIV/0!</v>
      </c>
      <c r="AU122" s="29" t="str">
        <f t="shared" si="125"/>
        <v>#DIV/0!</v>
      </c>
      <c r="AV122" s="29" t="str">
        <f t="shared" si="125"/>
        <v>#DIV/0!</v>
      </c>
      <c r="AW122" s="29" t="str">
        <f t="shared" si="125"/>
        <v>#DIV/0!</v>
      </c>
      <c r="AX122" s="29" t="str">
        <f t="shared" si="125"/>
        <v>#DIV/0!</v>
      </c>
      <c r="AY122" s="29" t="str">
        <f t="shared" si="125"/>
        <v>#DIV/0!</v>
      </c>
      <c r="AZ122" s="29" t="str">
        <f t="shared" si="125"/>
        <v>#DIV/0!</v>
      </c>
      <c r="BA122" s="29" t="str">
        <f t="shared" si="125"/>
        <v>#DIV/0!</v>
      </c>
      <c r="BB122" s="29" t="str">
        <f t="shared" si="125"/>
        <v>#DIV/0!</v>
      </c>
      <c r="BC122" s="29" t="str">
        <f t="shared" si="125"/>
        <v>#DIV/0!</v>
      </c>
      <c r="BD122" s="29" t="str">
        <f t="shared" si="125"/>
        <v>#DIV/0!</v>
      </c>
      <c r="BE122" s="29" t="str">
        <f t="shared" si="125"/>
        <v>#DIV/0!</v>
      </c>
      <c r="BF122" s="29" t="str">
        <f t="shared" si="125"/>
        <v>#DIV/0!</v>
      </c>
      <c r="BG122" s="29" t="str">
        <f t="shared" si="125"/>
        <v>#DIV/0!</v>
      </c>
      <c r="BH122" s="29" t="str">
        <f t="shared" si="125"/>
        <v>#DIV/0!</v>
      </c>
      <c r="BI122" s="29" t="str">
        <f t="shared" si="125"/>
        <v>#DIV/0!</v>
      </c>
      <c r="BJ122" s="29" t="str">
        <f t="shared" si="125"/>
        <v>#DIV/0!</v>
      </c>
      <c r="BK122" s="29" t="str">
        <f t="shared" si="125"/>
        <v>#DIV/0!</v>
      </c>
      <c r="BL122" s="29" t="str">
        <f t="shared" si="125"/>
        <v>#DIV/0!</v>
      </c>
      <c r="BM122" s="29" t="str">
        <f t="shared" si="3"/>
        <v>#DIV/0!</v>
      </c>
    </row>
    <row r="123">
      <c r="A123" s="16" t="str">
        <f>IFERROR(__xludf.DUMMYFUNCTION("IFERROR(SPARKLINE(SORT(MAP(TRANSPOSE(AQ123:BL123), LAMBDA(val, IF(ISNUMBER(val), PERCENTRANK(AQ123:BL123, val)+0.01, 0))), SEQUENCE(COLUMNS(AQ123:BL123)), FALSE), {""charttype"",""column""; ""color"",""chartreuse""; ""ymin"", 0; ""ymax"", 1.01; ""highcolo"&amp;"r"", ""darkgreen""; ""lowcolor"", ""red""}), """")"),"")</f>
        <v/>
      </c>
      <c r="B123" s="17" t="str">
        <f t="shared" si="4"/>
        <v/>
      </c>
      <c r="C123" s="1" t="s">
        <v>3019</v>
      </c>
      <c r="D123" s="30" t="str">
        <f>IFERROR(__xludf.DUMMYFUNCTION("IFERROR(GOOGLEFINANCE(C123, ""NAME""))"),"Enterprise Products Partners L.P")</f>
        <v>Enterprise Products Partners L.P</v>
      </c>
      <c r="E123" s="30" t="s">
        <v>2547</v>
      </c>
      <c r="F123" s="33" t="str">
        <f>IFERROR(__xludf.DUMMYFUNCTION("( (GOOGLEFINANCE(C123, ""price"") - Q123) / Q123 ) / (R123 / 100)"),"Loading...")</f>
        <v>Loading...</v>
      </c>
      <c r="G123" s="20" t="str">
        <f>IFERROR(__xludf.DUMMYFUNCTION("AVERAGE(ARRAYFORMULA(100 * (QUERY(GOOGLEFINANCE(C123, ""high"", TODAY()-40, TODAY()), ""SELECT Col2 WHERE Col2 IS NOT NULL ORDER BY Col1 DESC LIMIT 20"", 0) / QUERY(GOOGLEFINANCE(C123, ""low"", TODAY()-40, TODAY()), ""SELECT Col2 WHERE Col2 IS NOT NULL OR"&amp;"DER BY Col1 DESC LIMIT 20"", 0) - 1)))"),"#N/A")</f>
        <v>#N/A</v>
      </c>
      <c r="H123" s="35" t="str">
        <f t="shared" si="6"/>
        <v>Liquid</v>
      </c>
      <c r="I123" s="35" t="str">
        <f t="shared" si="7"/>
        <v>RVol Required</v>
      </c>
      <c r="J123" s="37">
        <f>IFERROR(__xludf.DUMMYFUNCTION("IFERROR(
  IF(C123="""",, 
    IFERROR(
      GOOGLEFINANCE(C123, ""price"") * GOOGLEFINANCE(C123, ""volumeavg""), 
      GOOGLEFINANCE(C123, ""price"") * AVERAGE(QUERY(GOOGLEFINANCE(C123, ""volume"", TODAY()-40, TODAY()), ""SELECT Col2 WHERE Col2 IS NOT "&amp;"NULL ORDER BY Col1 DESC LIMIT 20"", 0))
    )
  ), 
"""")"),1.212545194E8)</f>
        <v>121254519.4</v>
      </c>
      <c r="K123" s="21">
        <f>IFERROR(__xludf.DUMMYFUNCTION("IFERROR(GOOGLEFINANCE(C123, ""changepct"") / 100, """")"),0.0351)</f>
        <v>0.0351</v>
      </c>
      <c r="L123" s="21" t="str">
        <f>IFERROR(__xludf.DUMMYFUNCTION("IFERROR((GOOGLEFINANCE(C123, ""price"") / INDEX(GOOGLEFINANCE(C123, ""price"", TODAY()-7, TODAY()), 2, 2)) - 1, """")"),"")</f>
        <v/>
      </c>
      <c r="M123" s="21" t="str">
        <f>IFERROR(__xludf.DUMMYFUNCTION("IFERROR((GOOGLEFINANCE(C123, ""price"") / INDEX(GOOGLEFINANCE(C123, ""price"", EDATE(TODAY(), -1), TODAY()), 2, 2)) - 1, """")"),"")</f>
        <v/>
      </c>
      <c r="N123" s="21" t="str">
        <f>IFERROR(__xludf.DUMMYFUNCTION("IFERROR((GOOGLEFINANCE(C123, ""price"") / INDEX(GOOGLEFINANCE(C123, ""price"", EDATE(TODAY(), -3), TODAY()), 2, 2)) - 1, """")"),"")</f>
        <v/>
      </c>
      <c r="O123" s="21" t="str">
        <f>IFERROR(__xludf.DUMMYFUNCTION("IFERROR((GOOGLEFINANCE(C123, ""price"") / INDEX(GOOGLEFINANCE(C123, ""price"", EDATE(TODAY(), -6), TODAY()), 2, 2)) - 1, """")"),"")</f>
        <v/>
      </c>
      <c r="P123" s="21" t="str">
        <f>IFERROR(__xludf.DUMMYFUNCTION("IFERROR((GOOGLEFINANCE(C123, ""price"") / INDEX(GOOGLEFINANCE(C123, ""price"", EDATE(TODAY(), -12), TODAY()), 2, 2)) - 1, """")"),"")</f>
        <v/>
      </c>
      <c r="Q123" s="6" t="str">
        <f>IFERROR(__xludf.DUMMYFUNCTION("AVERAGE(QUERY(GOOGLEFINANCE(C123, ""price"", TODAY()-80, TODAY()), ""SELECT Col2 WHERE Col2 IS NOT NULL ORDER BY Col1 DESC LIMIT 50"", 0))"),"#N/A")</f>
        <v>#N/A</v>
      </c>
      <c r="R123" s="24" t="str">
        <f>IFERROR(__xludf.DUMMYFUNCTION("IFERROR(
  LET(
    data, QUERY(GOOGLEFINANCE(C123,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GOOGLEFINANCE(C123, ""price"")) * 100,
    IF(calc=0, G123, calc)
  ), 
G123)"),"#N/A")</f>
        <v>#N/A</v>
      </c>
      <c r="S123" s="8" t="s">
        <v>15</v>
      </c>
      <c r="T123" s="26" t="str">
        <f>IFERROR(__xludf.DUMMYFUNCTION("IFERROR(TRANSPOSE(QUERY(IFERROR(SORT(GOOGLEFINANCE(C123, ""price"", WORKDAY(TODAY(), -40), TODAY()), 1, FALSE)), ""select Col2 where Col2 is not null limit 22 label Col2 ''"", 0)), """")"),"")</f>
        <v/>
      </c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8"/>
      <c r="AO123" s="28"/>
      <c r="AP123" s="29"/>
      <c r="AQ123" s="29" t="str">
        <f t="shared" ref="AQ123:BL123" si="126">T123/T$2</f>
        <v>#N/A</v>
      </c>
      <c r="AR123" s="29" t="str">
        <f t="shared" si="126"/>
        <v>#DIV/0!</v>
      </c>
      <c r="AS123" s="29" t="str">
        <f t="shared" si="126"/>
        <v>#DIV/0!</v>
      </c>
      <c r="AT123" s="29" t="str">
        <f t="shared" si="126"/>
        <v>#DIV/0!</v>
      </c>
      <c r="AU123" s="29" t="str">
        <f t="shared" si="126"/>
        <v>#DIV/0!</v>
      </c>
      <c r="AV123" s="29" t="str">
        <f t="shared" si="126"/>
        <v>#DIV/0!</v>
      </c>
      <c r="AW123" s="29" t="str">
        <f t="shared" si="126"/>
        <v>#DIV/0!</v>
      </c>
      <c r="AX123" s="29" t="str">
        <f t="shared" si="126"/>
        <v>#DIV/0!</v>
      </c>
      <c r="AY123" s="29" t="str">
        <f t="shared" si="126"/>
        <v>#DIV/0!</v>
      </c>
      <c r="AZ123" s="29" t="str">
        <f t="shared" si="126"/>
        <v>#DIV/0!</v>
      </c>
      <c r="BA123" s="29" t="str">
        <f t="shared" si="126"/>
        <v>#DIV/0!</v>
      </c>
      <c r="BB123" s="29" t="str">
        <f t="shared" si="126"/>
        <v>#DIV/0!</v>
      </c>
      <c r="BC123" s="29" t="str">
        <f t="shared" si="126"/>
        <v>#DIV/0!</v>
      </c>
      <c r="BD123" s="29" t="str">
        <f t="shared" si="126"/>
        <v>#DIV/0!</v>
      </c>
      <c r="BE123" s="29" t="str">
        <f t="shared" si="126"/>
        <v>#DIV/0!</v>
      </c>
      <c r="BF123" s="29" t="str">
        <f t="shared" si="126"/>
        <v>#DIV/0!</v>
      </c>
      <c r="BG123" s="29" t="str">
        <f t="shared" si="126"/>
        <v>#DIV/0!</v>
      </c>
      <c r="BH123" s="29" t="str">
        <f t="shared" si="126"/>
        <v>#DIV/0!</v>
      </c>
      <c r="BI123" s="29" t="str">
        <f t="shared" si="126"/>
        <v>#DIV/0!</v>
      </c>
      <c r="BJ123" s="29" t="str">
        <f t="shared" si="126"/>
        <v>#DIV/0!</v>
      </c>
      <c r="BK123" s="29" t="str">
        <f t="shared" si="126"/>
        <v>#DIV/0!</v>
      </c>
      <c r="BL123" s="29" t="str">
        <f t="shared" si="126"/>
        <v>#DIV/0!</v>
      </c>
      <c r="BM123" s="29" t="str">
        <f t="shared" si="3"/>
        <v>#DIV/0!</v>
      </c>
    </row>
    <row r="124" hidden="1">
      <c r="A124" s="16" t="str">
        <f>IFERROR(__xludf.DUMMYFUNCTION("IFERROR(SPARKLINE(SORT(MAP(TRANSPOSE(AQ124:BL124), LAMBDA(val, IF(ISNUMBER(val), PERCENTRANK(AQ124:BL124, val)+0.01, 0))), SEQUENCE(COLUMNS(AQ124:BL124)), FALSE), {""charttype"",""column""; ""color"",""chartreuse""; ""ymin"", 0; ""ymax"", 1.01; ""highcolo"&amp;"r"", ""darkgreen""; ""lowcolor"", ""red""}), """")"),"")</f>
        <v/>
      </c>
      <c r="B124" s="17" t="str">
        <f t="shared" si="4"/>
        <v/>
      </c>
      <c r="C124" s="1" t="s">
        <v>3022</v>
      </c>
      <c r="D124" s="30" t="str">
        <f>IFERROR(__xludf.DUMMYFUNCTION("IFERROR(GOOGLEFINANCE(C124, ""NAME""))"),"Diversified Energy Co")</f>
        <v>Diversified Energy Co</v>
      </c>
      <c r="E124" s="30" t="s">
        <v>2631</v>
      </c>
      <c r="F124" s="33" t="str">
        <f>IFERROR(__xludf.DUMMYFUNCTION("( (GOOGLEFINANCE(C124, ""price"") - Q124) / Q124 ) / (R124 / 100)"),"Loading...")</f>
        <v>Loading...</v>
      </c>
      <c r="G124" s="20" t="str">
        <f>IFERROR(__xludf.DUMMYFUNCTION("AVERAGE(ARRAYFORMULA(100 * (QUERY(GOOGLEFINANCE(C124, ""high"", TODAY()-40, TODAY()), ""SELECT Col2 WHERE Col2 IS NOT NULL ORDER BY Col1 DESC LIMIT 20"", 0) / QUERY(GOOGLEFINANCE(C124, ""low"", TODAY()-40, TODAY()), ""SELECT Col2 WHERE Col2 IS NOT NULL OR"&amp;"DER BY Col1 DESC LIMIT 20"", 0) - 1)))"),"#N/A")</f>
        <v>#N/A</v>
      </c>
      <c r="H124" s="35" t="str">
        <f t="shared" si="6"/>
        <v>Illiquid</v>
      </c>
      <c r="I124" s="35" t="str">
        <f t="shared" si="7"/>
        <v>RVol Required</v>
      </c>
      <c r="J124" s="37">
        <f>IFERROR(__xludf.DUMMYFUNCTION("IFERROR(
  IF(C124="""",, 
    IFERROR(
      GOOGLEFINANCE(C124, ""price"") * GOOGLEFINANCE(C124, ""volumeavg""), 
      GOOGLEFINANCE(C124, ""price"") * AVERAGE(QUERY(GOOGLEFINANCE(C124, ""volume"", TODAY()-40, TODAY()), ""SELECT Col2 WHERE Col2 IS NOT "&amp;"NULL ORDER BY Col1 DESC LIMIT 20"", 0))
    )
  ), 
"""")"),1.214054984E7)</f>
        <v>12140549.84</v>
      </c>
      <c r="K124" s="21">
        <f>IFERROR(__xludf.DUMMYFUNCTION("IFERROR(GOOGLEFINANCE(C124, ""changepct"") / 100, """")"),0.0277)</f>
        <v>0.0277</v>
      </c>
      <c r="L124" s="21" t="str">
        <f>IFERROR(__xludf.DUMMYFUNCTION("IFERROR((GOOGLEFINANCE(C124, ""price"") / INDEX(GOOGLEFINANCE(C124, ""price"", TODAY()-7, TODAY()), 2, 2)) - 1, """")"),"")</f>
        <v/>
      </c>
      <c r="M124" s="21" t="str">
        <f>IFERROR(__xludf.DUMMYFUNCTION("IFERROR((GOOGLEFINANCE(C124, ""price"") / INDEX(GOOGLEFINANCE(C124, ""price"", EDATE(TODAY(), -1), TODAY()), 2, 2)) - 1, """")"),"")</f>
        <v/>
      </c>
      <c r="N124" s="21" t="str">
        <f>IFERROR(__xludf.DUMMYFUNCTION("IFERROR((GOOGLEFINANCE(C124, ""price"") / INDEX(GOOGLEFINANCE(C124, ""price"", EDATE(TODAY(), -3), TODAY()), 2, 2)) - 1, """")"),"")</f>
        <v/>
      </c>
      <c r="O124" s="21" t="str">
        <f>IFERROR(__xludf.DUMMYFUNCTION("IFERROR((GOOGLEFINANCE(C124, ""price"") / INDEX(GOOGLEFINANCE(C124, ""price"", EDATE(TODAY(), -6), TODAY()), 2, 2)) - 1, """")"),"")</f>
        <v/>
      </c>
      <c r="P124" s="21" t="str">
        <f>IFERROR(__xludf.DUMMYFUNCTION("IFERROR((GOOGLEFINANCE(C124, ""price"") / INDEX(GOOGLEFINANCE(C124, ""price"", EDATE(TODAY(), -12), TODAY()), 2, 2)) - 1, """")"),"")</f>
        <v/>
      </c>
      <c r="Q124" s="6" t="str">
        <f>IFERROR(__xludf.DUMMYFUNCTION("AVERAGE(QUERY(GOOGLEFINANCE(C124, ""price"", TODAY()-80, TODAY()), ""SELECT Col2 WHERE Col2 IS NOT NULL ORDER BY Col1 DESC LIMIT 50"", 0))"),"#N/A")</f>
        <v>#N/A</v>
      </c>
      <c r="R124" s="24" t="str">
        <f>IFERROR(__xludf.DUMMYFUNCTION("IFERROR(
  LET(
    data, QUERY(GOOGLEFINANCE(C124,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GOOGLEFINANCE(C124, ""price"")) * 100,
    IF(calc=0, G124, calc)
  ), 
G124)"),"#N/A")</f>
        <v>#N/A</v>
      </c>
      <c r="S124" s="8" t="s">
        <v>15</v>
      </c>
      <c r="T124" s="26" t="str">
        <f>IFERROR(__xludf.DUMMYFUNCTION("IFERROR(TRANSPOSE(QUERY(IFERROR(SORT(GOOGLEFINANCE(C124, ""price"", WORKDAY(TODAY(), -40), TODAY()), 1, FALSE)), ""select Col2 where Col2 is not null limit 22 label Col2 ''"", 0)), """")"),"")</f>
        <v/>
      </c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8"/>
      <c r="AO124" s="28"/>
      <c r="AP124" s="29"/>
      <c r="AQ124" s="29" t="str">
        <f t="shared" ref="AQ124:BL124" si="127">T124/T$2</f>
        <v>#N/A</v>
      </c>
      <c r="AR124" s="29" t="str">
        <f t="shared" si="127"/>
        <v>#DIV/0!</v>
      </c>
      <c r="AS124" s="29" t="str">
        <f t="shared" si="127"/>
        <v>#DIV/0!</v>
      </c>
      <c r="AT124" s="29" t="str">
        <f t="shared" si="127"/>
        <v>#DIV/0!</v>
      </c>
      <c r="AU124" s="29" t="str">
        <f t="shared" si="127"/>
        <v>#DIV/0!</v>
      </c>
      <c r="AV124" s="29" t="str">
        <f t="shared" si="127"/>
        <v>#DIV/0!</v>
      </c>
      <c r="AW124" s="29" t="str">
        <f t="shared" si="127"/>
        <v>#DIV/0!</v>
      </c>
      <c r="AX124" s="29" t="str">
        <f t="shared" si="127"/>
        <v>#DIV/0!</v>
      </c>
      <c r="AY124" s="29" t="str">
        <f t="shared" si="127"/>
        <v>#DIV/0!</v>
      </c>
      <c r="AZ124" s="29" t="str">
        <f t="shared" si="127"/>
        <v>#DIV/0!</v>
      </c>
      <c r="BA124" s="29" t="str">
        <f t="shared" si="127"/>
        <v>#DIV/0!</v>
      </c>
      <c r="BB124" s="29" t="str">
        <f t="shared" si="127"/>
        <v>#DIV/0!</v>
      </c>
      <c r="BC124" s="29" t="str">
        <f t="shared" si="127"/>
        <v>#DIV/0!</v>
      </c>
      <c r="BD124" s="29" t="str">
        <f t="shared" si="127"/>
        <v>#DIV/0!</v>
      </c>
      <c r="BE124" s="29" t="str">
        <f t="shared" si="127"/>
        <v>#DIV/0!</v>
      </c>
      <c r="BF124" s="29" t="str">
        <f t="shared" si="127"/>
        <v>#DIV/0!</v>
      </c>
      <c r="BG124" s="29" t="str">
        <f t="shared" si="127"/>
        <v>#DIV/0!</v>
      </c>
      <c r="BH124" s="29" t="str">
        <f t="shared" si="127"/>
        <v>#DIV/0!</v>
      </c>
      <c r="BI124" s="29" t="str">
        <f t="shared" si="127"/>
        <v>#DIV/0!</v>
      </c>
      <c r="BJ124" s="29" t="str">
        <f t="shared" si="127"/>
        <v>#DIV/0!</v>
      </c>
      <c r="BK124" s="29" t="str">
        <f t="shared" si="127"/>
        <v>#DIV/0!</v>
      </c>
      <c r="BL124" s="29" t="str">
        <f t="shared" si="127"/>
        <v>#DIV/0!</v>
      </c>
      <c r="BM124" s="29" t="str">
        <f t="shared" si="3"/>
        <v>#DIV/0!</v>
      </c>
    </row>
    <row r="125">
      <c r="A125" s="16" t="str">
        <f>IFERROR(__xludf.DUMMYFUNCTION("IFERROR(SPARKLINE(SORT(MAP(TRANSPOSE(AQ125:BL125), LAMBDA(val, IF(ISNUMBER(val), PERCENTRANK(AQ125:BL125, val)+0.01, 0))), SEQUENCE(COLUMNS(AQ125:BL125)), FALSE), {""charttype"",""column""; ""color"",""chartreuse""; ""ymin"", 0; ""ymax"", 1.01; ""highcolo"&amp;"r"", ""darkgreen""; ""lowcolor"", ""red""}), """")"),"")</f>
        <v/>
      </c>
      <c r="B125" s="17" t="str">
        <f t="shared" si="4"/>
        <v/>
      </c>
      <c r="C125" s="1" t="s">
        <v>3026</v>
      </c>
      <c r="D125" s="30" t="str">
        <f>IFERROR(__xludf.DUMMYFUNCTION("IFERROR(GOOGLEFINANCE(C125, ""NAME""))"),"Crescent Energy Co")</f>
        <v>Crescent Energy Co</v>
      </c>
      <c r="E125" s="30" t="s">
        <v>2613</v>
      </c>
      <c r="F125" s="33" t="str">
        <f>IFERROR(__xludf.DUMMYFUNCTION("( (GOOGLEFINANCE(C125, ""price"") - Q125) / Q125 ) / (R125 / 100)"),"Loading...")</f>
        <v>Loading...</v>
      </c>
      <c r="G125" s="20" t="str">
        <f>IFERROR(__xludf.DUMMYFUNCTION("AVERAGE(ARRAYFORMULA(100 * (QUERY(GOOGLEFINANCE(C125, ""high"", TODAY()-40, TODAY()), ""SELECT Col2 WHERE Col2 IS NOT NULL ORDER BY Col1 DESC LIMIT 20"", 0) / QUERY(GOOGLEFINANCE(C125, ""low"", TODAY()-40, TODAY()), ""SELECT Col2 WHERE Col2 IS NOT NULL OR"&amp;"DER BY Col1 DESC LIMIT 20"", 0) - 1)))"),"#N/A")</f>
        <v>#N/A</v>
      </c>
      <c r="H125" s="35" t="str">
        <f t="shared" si="6"/>
        <v>Liquid</v>
      </c>
      <c r="I125" s="35" t="str">
        <f t="shared" si="7"/>
        <v>RVol Required</v>
      </c>
      <c r="J125" s="37">
        <f>IFERROR(__xludf.DUMMYFUNCTION("IFERROR(
  IF(C125="""",, 
    IFERROR(
      GOOGLEFINANCE(C125, ""price"") * GOOGLEFINANCE(C125, ""volumeavg""), 
      GOOGLEFINANCE(C125, ""price"") * AVERAGE(QUERY(GOOGLEFINANCE(C125, ""volume"", TODAY()-40, TODAY()), ""SELECT Col2 WHERE Col2 IS NOT "&amp;"NULL ORDER BY Col1 DESC LIMIT 20"", 0))
    )
  ), 
"""")"),1.2464985428999999E8)</f>
        <v>124649854.3</v>
      </c>
      <c r="K125" s="21">
        <f>IFERROR(__xludf.DUMMYFUNCTION("IFERROR(GOOGLEFINANCE(C125, ""changepct"") / 100, """")"),0.1007)</f>
        <v>0.1007</v>
      </c>
      <c r="L125" s="21" t="str">
        <f>IFERROR(__xludf.DUMMYFUNCTION("IFERROR((GOOGLEFINANCE(C125, ""price"") / INDEX(GOOGLEFINANCE(C125, ""price"", TODAY()-7, TODAY()), 2, 2)) - 1, """")"),"")</f>
        <v/>
      </c>
      <c r="M125" s="21" t="str">
        <f>IFERROR(__xludf.DUMMYFUNCTION("IFERROR((GOOGLEFINANCE(C125, ""price"") / INDEX(GOOGLEFINANCE(C125, ""price"", EDATE(TODAY(), -1), TODAY()), 2, 2)) - 1, """")"),"")</f>
        <v/>
      </c>
      <c r="N125" s="21" t="str">
        <f>IFERROR(__xludf.DUMMYFUNCTION("IFERROR((GOOGLEFINANCE(C125, ""price"") / INDEX(GOOGLEFINANCE(C125, ""price"", EDATE(TODAY(), -3), TODAY()), 2, 2)) - 1, """")"),"")</f>
        <v/>
      </c>
      <c r="O125" s="21" t="str">
        <f>IFERROR(__xludf.DUMMYFUNCTION("IFERROR((GOOGLEFINANCE(C125, ""price"") / INDEX(GOOGLEFINANCE(C125, ""price"", EDATE(TODAY(), -6), TODAY()), 2, 2)) - 1, """")"),"")</f>
        <v/>
      </c>
      <c r="P125" s="21" t="str">
        <f>IFERROR(__xludf.DUMMYFUNCTION("IFERROR((GOOGLEFINANCE(C125, ""price"") / INDEX(GOOGLEFINANCE(C125, ""price"", EDATE(TODAY(), -12), TODAY()), 2, 2)) - 1, """")"),"")</f>
        <v/>
      </c>
      <c r="Q125" s="6" t="str">
        <f>IFERROR(__xludf.DUMMYFUNCTION("AVERAGE(QUERY(GOOGLEFINANCE(C125, ""price"", TODAY()-80, TODAY()), ""SELECT Col2 WHERE Col2 IS NOT NULL ORDER BY Col1 DESC LIMIT 50"", 0))"),"#N/A")</f>
        <v>#N/A</v>
      </c>
      <c r="R125" s="24" t="str">
        <f>IFERROR(__xludf.DUMMYFUNCTION("IFERROR(
  LET(
    data, QUERY(GOOGLEFINANCE(C125,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GOOGLEFINANCE(C125, ""price"")) * 100,
    IF(calc=0, G125, calc)
  ), 
G125)"),"#N/A")</f>
        <v>#N/A</v>
      </c>
      <c r="S125" s="8" t="s">
        <v>15</v>
      </c>
      <c r="T125" s="26" t="str">
        <f>IFERROR(__xludf.DUMMYFUNCTION("IFERROR(TRANSPOSE(QUERY(IFERROR(SORT(GOOGLEFINANCE(C125, ""price"", WORKDAY(TODAY(), -40), TODAY()), 1, FALSE)), ""select Col2 where Col2 is not null limit 22 label Col2 ''"", 0)), """")"),"")</f>
        <v/>
      </c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8"/>
      <c r="AO125" s="28"/>
      <c r="AP125" s="29"/>
      <c r="AQ125" s="29" t="str">
        <f t="shared" ref="AQ125:BL125" si="128">T125/T$2</f>
        <v>#N/A</v>
      </c>
      <c r="AR125" s="29" t="str">
        <f t="shared" si="128"/>
        <v>#DIV/0!</v>
      </c>
      <c r="AS125" s="29" t="str">
        <f t="shared" si="128"/>
        <v>#DIV/0!</v>
      </c>
      <c r="AT125" s="29" t="str">
        <f t="shared" si="128"/>
        <v>#DIV/0!</v>
      </c>
      <c r="AU125" s="29" t="str">
        <f t="shared" si="128"/>
        <v>#DIV/0!</v>
      </c>
      <c r="AV125" s="29" t="str">
        <f t="shared" si="128"/>
        <v>#DIV/0!</v>
      </c>
      <c r="AW125" s="29" t="str">
        <f t="shared" si="128"/>
        <v>#DIV/0!</v>
      </c>
      <c r="AX125" s="29" t="str">
        <f t="shared" si="128"/>
        <v>#DIV/0!</v>
      </c>
      <c r="AY125" s="29" t="str">
        <f t="shared" si="128"/>
        <v>#DIV/0!</v>
      </c>
      <c r="AZ125" s="29" t="str">
        <f t="shared" si="128"/>
        <v>#DIV/0!</v>
      </c>
      <c r="BA125" s="29" t="str">
        <f t="shared" si="128"/>
        <v>#DIV/0!</v>
      </c>
      <c r="BB125" s="29" t="str">
        <f t="shared" si="128"/>
        <v>#DIV/0!</v>
      </c>
      <c r="BC125" s="29" t="str">
        <f t="shared" si="128"/>
        <v>#DIV/0!</v>
      </c>
      <c r="BD125" s="29" t="str">
        <f t="shared" si="128"/>
        <v>#DIV/0!</v>
      </c>
      <c r="BE125" s="29" t="str">
        <f t="shared" si="128"/>
        <v>#DIV/0!</v>
      </c>
      <c r="BF125" s="29" t="str">
        <f t="shared" si="128"/>
        <v>#DIV/0!</v>
      </c>
      <c r="BG125" s="29" t="str">
        <f t="shared" si="128"/>
        <v>#DIV/0!</v>
      </c>
      <c r="BH125" s="29" t="str">
        <f t="shared" si="128"/>
        <v>#DIV/0!</v>
      </c>
      <c r="BI125" s="29" t="str">
        <f t="shared" si="128"/>
        <v>#DIV/0!</v>
      </c>
      <c r="BJ125" s="29" t="str">
        <f t="shared" si="128"/>
        <v>#DIV/0!</v>
      </c>
      <c r="BK125" s="29" t="str">
        <f t="shared" si="128"/>
        <v>#DIV/0!</v>
      </c>
      <c r="BL125" s="29" t="str">
        <f t="shared" si="128"/>
        <v>#DIV/0!</v>
      </c>
      <c r="BM125" s="29" t="str">
        <f t="shared" si="3"/>
        <v>#DIV/0!</v>
      </c>
    </row>
    <row r="126">
      <c r="A126" s="16" t="str">
        <f>IFERROR(__xludf.DUMMYFUNCTION("IFERROR(SPARKLINE(SORT(MAP(TRANSPOSE(AQ126:BL126), LAMBDA(val, IF(ISNUMBER(val), PERCENTRANK(AQ126:BL126, val)+0.01, 0))), SEQUENCE(COLUMNS(AQ126:BL126)), FALSE), {""charttype"",""column""; ""color"",""chartreuse""; ""ymin"", 0; ""ymax"", 1.01; ""highcolo"&amp;"r"", ""darkgreen""; ""lowcolor"", ""red""}), """")"),"")</f>
        <v/>
      </c>
      <c r="B126" s="17" t="str">
        <f t="shared" si="4"/>
        <v/>
      </c>
      <c r="C126" s="1" t="s">
        <v>3029</v>
      </c>
      <c r="D126" s="30" t="str">
        <f>IFERROR(__xludf.DUMMYFUNCTION("IFERROR(GOOGLEFINANCE(C126, ""NAME""))"),"Exxonmobil Holdings Corp")</f>
        <v>Exxonmobil Holdings Corp</v>
      </c>
      <c r="E126" s="30" t="s">
        <v>2631</v>
      </c>
      <c r="F126" s="33" t="str">
        <f>IFERROR(__xludf.DUMMYFUNCTION("( (GOOGLEFINANCE(C126, ""price"") - Q126) / Q126 ) / (R126 / 100)"),"Loading...")</f>
        <v>Loading...</v>
      </c>
      <c r="G126" s="20" t="str">
        <f>IFERROR(__xludf.DUMMYFUNCTION("AVERAGE(ARRAYFORMULA(100 * (QUERY(GOOGLEFINANCE(C126, ""high"", TODAY()-40, TODAY()), ""SELECT Col2 WHERE Col2 IS NOT NULL ORDER BY Col1 DESC LIMIT 20"", 0) / QUERY(GOOGLEFINANCE(C126, ""low"", TODAY()-40, TODAY()), ""SELECT Col2 WHERE Col2 IS NOT NULL OR"&amp;"DER BY Col1 DESC LIMIT 20"", 0) - 1)))"),"#N/A")</f>
        <v>#N/A</v>
      </c>
      <c r="H126" s="35" t="str">
        <f t="shared" si="6"/>
        <v>Liquid</v>
      </c>
      <c r="I126" s="35" t="str">
        <f t="shared" si="7"/>
        <v>No RVol Required</v>
      </c>
      <c r="J126" s="37">
        <f>IFERROR(__xludf.DUMMYFUNCTION("IFERROR(
  IF(C126="""",, 
    IFERROR(
      GOOGLEFINANCE(C126, ""price"") * GOOGLEFINANCE(C126, ""volumeavg""), 
      GOOGLEFINANCE(C126, ""price"") * AVERAGE(QUERY(GOOGLEFINANCE(C126, ""volume"", TODAY()-40, TODAY()), ""SELECT Col2 WHERE Col2 IS NOT "&amp;"NULL ORDER BY Col1 DESC LIMIT 20"", 0))
    )
  ), 
"""")"),2.35019783472E9)</f>
        <v>2350197835</v>
      </c>
      <c r="K126" s="21">
        <f>IFERROR(__xludf.DUMMYFUNCTION("IFERROR(GOOGLEFINANCE(C126, ""changepct"") / 100, """")"),0.0246)</f>
        <v>0.0246</v>
      </c>
      <c r="L126" s="21" t="str">
        <f>IFERROR(__xludf.DUMMYFUNCTION("IFERROR((GOOGLEFINANCE(C126, ""price"") / INDEX(GOOGLEFINANCE(C126, ""price"", TODAY()-7, TODAY()), 2, 2)) - 1, """")"),"")</f>
        <v/>
      </c>
      <c r="M126" s="21" t="str">
        <f>IFERROR(__xludf.DUMMYFUNCTION("IFERROR((GOOGLEFINANCE(C126, ""price"") / INDEX(GOOGLEFINANCE(C126, ""price"", EDATE(TODAY(), -1), TODAY()), 2, 2)) - 1, """")"),"")</f>
        <v/>
      </c>
      <c r="N126" s="21" t="str">
        <f>IFERROR(__xludf.DUMMYFUNCTION("IFERROR((GOOGLEFINANCE(C126, ""price"") / INDEX(GOOGLEFINANCE(C126, ""price"", EDATE(TODAY(), -3), TODAY()), 2, 2)) - 1, """")"),"")</f>
        <v/>
      </c>
      <c r="O126" s="21" t="str">
        <f>IFERROR(__xludf.DUMMYFUNCTION("IFERROR((GOOGLEFINANCE(C126, ""price"") / INDEX(GOOGLEFINANCE(C126, ""price"", EDATE(TODAY(), -6), TODAY()), 2, 2)) - 1, """")"),"")</f>
        <v/>
      </c>
      <c r="P126" s="21" t="str">
        <f>IFERROR(__xludf.DUMMYFUNCTION("IFERROR((GOOGLEFINANCE(C126, ""price"") / INDEX(GOOGLEFINANCE(C126, ""price"", EDATE(TODAY(), -12), TODAY()), 2, 2)) - 1, """")"),"")</f>
        <v/>
      </c>
      <c r="Q126" s="6" t="str">
        <f>IFERROR(__xludf.DUMMYFUNCTION("AVERAGE(QUERY(GOOGLEFINANCE(C126, ""price"", TODAY()-80, TODAY()), ""SELECT Col2 WHERE Col2 IS NOT NULL ORDER BY Col1 DESC LIMIT 50"", 0))"),"#N/A")</f>
        <v>#N/A</v>
      </c>
      <c r="R126" s="24" t="str">
        <f>IFERROR(__xludf.DUMMYFUNCTION("IFERROR(
  LET(
    data, QUERY(GOOGLEFINANCE(C126,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GOOGLEFINANCE(C126, ""price"")) * 100,
    IF(calc=0, G126, calc)
  ), 
G126)"),"#N/A")</f>
        <v>#N/A</v>
      </c>
      <c r="S126" s="8" t="s">
        <v>15</v>
      </c>
      <c r="T126" s="26" t="str">
        <f>IFERROR(__xludf.DUMMYFUNCTION("IFERROR(TRANSPOSE(QUERY(IFERROR(SORT(GOOGLEFINANCE(C126, ""price"", WORKDAY(TODAY(), -40), TODAY()), 1, FALSE)), ""select Col2 where Col2 is not null limit 22 label Col2 ''"", 0)), """")"),"")</f>
        <v/>
      </c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8"/>
      <c r="AO126" s="28"/>
      <c r="AP126" s="29"/>
      <c r="AQ126" s="29" t="str">
        <f t="shared" ref="AQ126:BL126" si="129">T126/T$2</f>
        <v>#N/A</v>
      </c>
      <c r="AR126" s="29" t="str">
        <f t="shared" si="129"/>
        <v>#DIV/0!</v>
      </c>
      <c r="AS126" s="29" t="str">
        <f t="shared" si="129"/>
        <v>#DIV/0!</v>
      </c>
      <c r="AT126" s="29" t="str">
        <f t="shared" si="129"/>
        <v>#DIV/0!</v>
      </c>
      <c r="AU126" s="29" t="str">
        <f t="shared" si="129"/>
        <v>#DIV/0!</v>
      </c>
      <c r="AV126" s="29" t="str">
        <f t="shared" si="129"/>
        <v>#DIV/0!</v>
      </c>
      <c r="AW126" s="29" t="str">
        <f t="shared" si="129"/>
        <v>#DIV/0!</v>
      </c>
      <c r="AX126" s="29" t="str">
        <f t="shared" si="129"/>
        <v>#DIV/0!</v>
      </c>
      <c r="AY126" s="29" t="str">
        <f t="shared" si="129"/>
        <v>#DIV/0!</v>
      </c>
      <c r="AZ126" s="29" t="str">
        <f t="shared" si="129"/>
        <v>#DIV/0!</v>
      </c>
      <c r="BA126" s="29" t="str">
        <f t="shared" si="129"/>
        <v>#DIV/0!</v>
      </c>
      <c r="BB126" s="29" t="str">
        <f t="shared" si="129"/>
        <v>#DIV/0!</v>
      </c>
      <c r="BC126" s="29" t="str">
        <f t="shared" si="129"/>
        <v>#DIV/0!</v>
      </c>
      <c r="BD126" s="29" t="str">
        <f t="shared" si="129"/>
        <v>#DIV/0!</v>
      </c>
      <c r="BE126" s="29" t="str">
        <f t="shared" si="129"/>
        <v>#DIV/0!</v>
      </c>
      <c r="BF126" s="29" t="str">
        <f t="shared" si="129"/>
        <v>#DIV/0!</v>
      </c>
      <c r="BG126" s="29" t="str">
        <f t="shared" si="129"/>
        <v>#DIV/0!</v>
      </c>
      <c r="BH126" s="29" t="str">
        <f t="shared" si="129"/>
        <v>#DIV/0!</v>
      </c>
      <c r="BI126" s="29" t="str">
        <f t="shared" si="129"/>
        <v>#DIV/0!</v>
      </c>
      <c r="BJ126" s="29" t="str">
        <f t="shared" si="129"/>
        <v>#DIV/0!</v>
      </c>
      <c r="BK126" s="29" t="str">
        <f t="shared" si="129"/>
        <v>#DIV/0!</v>
      </c>
      <c r="BL126" s="29" t="str">
        <f t="shared" si="129"/>
        <v>#DIV/0!</v>
      </c>
      <c r="BM126" s="29" t="str">
        <f t="shared" si="3"/>
        <v>#DIV/0!</v>
      </c>
    </row>
    <row r="127" hidden="1">
      <c r="A127" s="16" t="str">
        <f>IFERROR(__xludf.DUMMYFUNCTION("IFERROR(SPARKLINE(SORT(MAP(TRANSPOSE(AQ127:BL127), LAMBDA(val, IF(ISNUMBER(val), PERCENTRANK(AQ127:BL127, val)+0.01, 0))), SEQUENCE(COLUMNS(AQ127:BL127)), FALSE), {""charttype"",""column""; ""color"",""chartreuse""; ""ymin"", 0; ""ymax"", 1.01; ""highcolo"&amp;"r"", ""darkgreen""; ""lowcolor"", ""red""}), """")"),"")</f>
        <v/>
      </c>
      <c r="B127" s="17" t="str">
        <f t="shared" si="4"/>
        <v/>
      </c>
      <c r="C127" s="1" t="s">
        <v>3032</v>
      </c>
      <c r="D127" s="30" t="str">
        <f>IFERROR(__xludf.DUMMYFUNCTION("IFERROR(GOOGLEFINANCE(C127, ""NAME""))"),"Tamboran Resources Corp")</f>
        <v>Tamboran Resources Corp</v>
      </c>
      <c r="E127" s="30" t="s">
        <v>2613</v>
      </c>
      <c r="F127" s="33" t="str">
        <f>IFERROR(__xludf.DUMMYFUNCTION("( (GOOGLEFINANCE(C127, ""price"") - Q127) / Q127 ) / (R127 / 100)"),"Loading...")</f>
        <v>Loading...</v>
      </c>
      <c r="G127" s="20" t="str">
        <f>IFERROR(__xludf.DUMMYFUNCTION("AVERAGE(ARRAYFORMULA(100 * (QUERY(GOOGLEFINANCE(C127, ""high"", TODAY()-40, TODAY()), ""SELECT Col2 WHERE Col2 IS NOT NULL ORDER BY Col1 DESC LIMIT 20"", 0) / QUERY(GOOGLEFINANCE(C127, ""low"", TODAY()-40, TODAY()), ""SELECT Col2 WHERE Col2 IS NOT NULL OR"&amp;"DER BY Col1 DESC LIMIT 20"", 0) - 1)))"),"#N/A")</f>
        <v>#N/A</v>
      </c>
      <c r="H127" s="35" t="str">
        <f t="shared" si="6"/>
        <v>Illiquid</v>
      </c>
      <c r="I127" s="35" t="str">
        <f t="shared" si="7"/>
        <v>RVol Required</v>
      </c>
      <c r="J127" s="37">
        <f>IFERROR(__xludf.DUMMYFUNCTION("IFERROR(
  IF(C127="""",, 
    IFERROR(
      GOOGLEFINANCE(C127, ""price"") * GOOGLEFINANCE(C127, ""volumeavg""), 
      GOOGLEFINANCE(C127, ""price"") * AVERAGE(QUERY(GOOGLEFINANCE(C127, ""volume"", TODAY()-40, TODAY()), ""SELECT Col2 WHERE Col2 IS NOT "&amp;"NULL ORDER BY Col1 DESC LIMIT 20"", 0))
    )
  ), 
"""")"),4781459.279999999)</f>
        <v>4781459.28</v>
      </c>
      <c r="K127" s="21">
        <f>IFERROR(__xludf.DUMMYFUNCTION("IFERROR(GOOGLEFINANCE(C127, ""changepct"") / 100, """")"),-0.0169)</f>
        <v>-0.0169</v>
      </c>
      <c r="L127" s="21" t="str">
        <f>IFERROR(__xludf.DUMMYFUNCTION("IFERROR((GOOGLEFINANCE(C127, ""price"") / INDEX(GOOGLEFINANCE(C127, ""price"", TODAY()-7, TODAY()), 2, 2)) - 1, """")"),"")</f>
        <v/>
      </c>
      <c r="M127" s="21" t="str">
        <f>IFERROR(__xludf.DUMMYFUNCTION("IFERROR((GOOGLEFINANCE(C127, ""price"") / INDEX(GOOGLEFINANCE(C127, ""price"", EDATE(TODAY(), -1), TODAY()), 2, 2)) - 1, """")"),"")</f>
        <v/>
      </c>
      <c r="N127" s="21" t="str">
        <f>IFERROR(__xludf.DUMMYFUNCTION("IFERROR((GOOGLEFINANCE(C127, ""price"") / INDEX(GOOGLEFINANCE(C127, ""price"", EDATE(TODAY(), -3), TODAY()), 2, 2)) - 1, """")"),"")</f>
        <v/>
      </c>
      <c r="O127" s="21" t="str">
        <f>IFERROR(__xludf.DUMMYFUNCTION("IFERROR((GOOGLEFINANCE(C127, ""price"") / INDEX(GOOGLEFINANCE(C127, ""price"", EDATE(TODAY(), -6), TODAY()), 2, 2)) - 1, """")"),"")</f>
        <v/>
      </c>
      <c r="P127" s="21" t="str">
        <f>IFERROR(__xludf.DUMMYFUNCTION("IFERROR((GOOGLEFINANCE(C127, ""price"") / INDEX(GOOGLEFINANCE(C127, ""price"", EDATE(TODAY(), -12), TODAY()), 2, 2)) - 1, """")"),"")</f>
        <v/>
      </c>
      <c r="Q127" s="6" t="str">
        <f>IFERROR(__xludf.DUMMYFUNCTION("AVERAGE(QUERY(GOOGLEFINANCE(C127, ""price"", TODAY()-80, TODAY()), ""SELECT Col2 WHERE Col2 IS NOT NULL ORDER BY Col1 DESC LIMIT 50"", 0))"),"#N/A")</f>
        <v>#N/A</v>
      </c>
      <c r="R127" s="24" t="str">
        <f>IFERROR(__xludf.DUMMYFUNCTION("IFERROR(
  LET(
    data, QUERY(GOOGLEFINANCE(C127,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GOOGLEFINANCE(C127, ""price"")) * 100,
    IF(calc=0, G127, calc)
  ), 
G127)"),"#N/A")</f>
        <v>#N/A</v>
      </c>
      <c r="S127" s="8" t="s">
        <v>15</v>
      </c>
      <c r="T127" s="26" t="str">
        <f>IFERROR(__xludf.DUMMYFUNCTION("IFERROR(TRANSPOSE(QUERY(IFERROR(SORT(GOOGLEFINANCE(C127, ""price"", WORKDAY(TODAY(), -40), TODAY()), 1, FALSE)), ""select Col2 where Col2 is not null limit 22 label Col2 ''"", 0)), """")"),"")</f>
        <v/>
      </c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8"/>
      <c r="AO127" s="28"/>
      <c r="AP127" s="29"/>
      <c r="AQ127" s="29" t="str">
        <f t="shared" ref="AQ127:BL127" si="130">T127/T$2</f>
        <v>#N/A</v>
      </c>
      <c r="AR127" s="29" t="str">
        <f t="shared" si="130"/>
        <v>#DIV/0!</v>
      </c>
      <c r="AS127" s="29" t="str">
        <f t="shared" si="130"/>
        <v>#DIV/0!</v>
      </c>
      <c r="AT127" s="29" t="str">
        <f t="shared" si="130"/>
        <v>#DIV/0!</v>
      </c>
      <c r="AU127" s="29" t="str">
        <f t="shared" si="130"/>
        <v>#DIV/0!</v>
      </c>
      <c r="AV127" s="29" t="str">
        <f t="shared" si="130"/>
        <v>#DIV/0!</v>
      </c>
      <c r="AW127" s="29" t="str">
        <f t="shared" si="130"/>
        <v>#DIV/0!</v>
      </c>
      <c r="AX127" s="29" t="str">
        <f t="shared" si="130"/>
        <v>#DIV/0!</v>
      </c>
      <c r="AY127" s="29" t="str">
        <f t="shared" si="130"/>
        <v>#DIV/0!</v>
      </c>
      <c r="AZ127" s="29" t="str">
        <f t="shared" si="130"/>
        <v>#DIV/0!</v>
      </c>
      <c r="BA127" s="29" t="str">
        <f t="shared" si="130"/>
        <v>#DIV/0!</v>
      </c>
      <c r="BB127" s="29" t="str">
        <f t="shared" si="130"/>
        <v>#DIV/0!</v>
      </c>
      <c r="BC127" s="29" t="str">
        <f t="shared" si="130"/>
        <v>#DIV/0!</v>
      </c>
      <c r="BD127" s="29" t="str">
        <f t="shared" si="130"/>
        <v>#DIV/0!</v>
      </c>
      <c r="BE127" s="29" t="str">
        <f t="shared" si="130"/>
        <v>#DIV/0!</v>
      </c>
      <c r="BF127" s="29" t="str">
        <f t="shared" si="130"/>
        <v>#DIV/0!</v>
      </c>
      <c r="BG127" s="29" t="str">
        <f t="shared" si="130"/>
        <v>#DIV/0!</v>
      </c>
      <c r="BH127" s="29" t="str">
        <f t="shared" si="130"/>
        <v>#DIV/0!</v>
      </c>
      <c r="BI127" s="29" t="str">
        <f t="shared" si="130"/>
        <v>#DIV/0!</v>
      </c>
      <c r="BJ127" s="29" t="str">
        <f t="shared" si="130"/>
        <v>#DIV/0!</v>
      </c>
      <c r="BK127" s="29" t="str">
        <f t="shared" si="130"/>
        <v>#DIV/0!</v>
      </c>
      <c r="BL127" s="29" t="str">
        <f t="shared" si="130"/>
        <v>#DIV/0!</v>
      </c>
      <c r="BM127" s="29" t="str">
        <f t="shared" si="3"/>
        <v>#DIV/0!</v>
      </c>
    </row>
    <row r="128">
      <c r="A128" s="16" t="str">
        <f>IFERROR(__xludf.DUMMYFUNCTION("IFERROR(SPARKLINE(SORT(MAP(TRANSPOSE(AQ128:BL128), LAMBDA(val, IF(ISNUMBER(val), PERCENTRANK(AQ128:BL128, val)+0.01, 0))), SEQUENCE(COLUMNS(AQ128:BL128)), FALSE), {""charttype"",""column""; ""color"",""chartreuse""; ""ymin"", 0; ""ymax"", 1.01; ""highcolo"&amp;"r"", ""darkgreen""; ""lowcolor"", ""red""}), """")"),"")</f>
        <v/>
      </c>
      <c r="B128" s="17" t="str">
        <f t="shared" si="4"/>
        <v/>
      </c>
      <c r="C128" s="1" t="s">
        <v>3036</v>
      </c>
      <c r="D128" s="30" t="str">
        <f>IFERROR(__xludf.DUMMYFUNCTION("IFERROR(GOOGLEFINANCE(C128, ""NAME""))"),"Par Pacific Holdings Inc")</f>
        <v>Par Pacific Holdings Inc</v>
      </c>
      <c r="E128" s="30" t="s">
        <v>2649</v>
      </c>
      <c r="F128" s="33" t="str">
        <f>IFERROR(__xludf.DUMMYFUNCTION("( (GOOGLEFINANCE(C128, ""price"") - Q128) / Q128 ) / (R128 / 100)"),"Loading...")</f>
        <v>Loading...</v>
      </c>
      <c r="G128" s="20" t="str">
        <f>IFERROR(__xludf.DUMMYFUNCTION("AVERAGE(ARRAYFORMULA(100 * (QUERY(GOOGLEFINANCE(C128, ""high"", TODAY()-40, TODAY()), ""SELECT Col2 WHERE Col2 IS NOT NULL ORDER BY Col1 DESC LIMIT 20"", 0) / QUERY(GOOGLEFINANCE(C128, ""low"", TODAY()-40, TODAY()), ""SELECT Col2 WHERE Col2 IS NOT NULL OR"&amp;"DER BY Col1 DESC LIMIT 20"", 0) - 1)))"),"#N/A")</f>
        <v>#N/A</v>
      </c>
      <c r="H128" s="35" t="str">
        <f t="shared" si="6"/>
        <v>Liquid</v>
      </c>
      <c r="I128" s="35" t="str">
        <f t="shared" si="7"/>
        <v>RVol Required</v>
      </c>
      <c r="J128" s="37">
        <f>IFERROR(__xludf.DUMMYFUNCTION("IFERROR(
  IF(C128="""",, 
    IFERROR(
      GOOGLEFINANCE(C128, ""price"") * GOOGLEFINANCE(C128, ""volumeavg""), 
      GOOGLEFINANCE(C128, ""price"") * AVERAGE(QUERY(GOOGLEFINANCE(C128, ""volume"", TODAY()-40, TODAY()), ""SELECT Col2 WHERE Col2 IS NOT "&amp;"NULL ORDER BY Col1 DESC LIMIT 20"", 0))
    )
  ), 
"""")"),7.746022494E7)</f>
        <v>77460224.94</v>
      </c>
      <c r="K128" s="21">
        <f>IFERROR(__xludf.DUMMYFUNCTION("IFERROR(GOOGLEFINANCE(C128, ""changepct"") / 100, """")"),-0.0038)</f>
        <v>-0.0038</v>
      </c>
      <c r="L128" s="21" t="str">
        <f>IFERROR(__xludf.DUMMYFUNCTION("IFERROR((GOOGLEFINANCE(C128, ""price"") / INDEX(GOOGLEFINANCE(C128, ""price"", TODAY()-7, TODAY()), 2, 2)) - 1, """")"),"")</f>
        <v/>
      </c>
      <c r="M128" s="21" t="str">
        <f>IFERROR(__xludf.DUMMYFUNCTION("IFERROR((GOOGLEFINANCE(C128, ""price"") / INDEX(GOOGLEFINANCE(C128, ""price"", EDATE(TODAY(), -1), TODAY()), 2, 2)) - 1, """")"),"")</f>
        <v/>
      </c>
      <c r="N128" s="21" t="str">
        <f>IFERROR(__xludf.DUMMYFUNCTION("IFERROR((GOOGLEFINANCE(C128, ""price"") / INDEX(GOOGLEFINANCE(C128, ""price"", EDATE(TODAY(), -3), TODAY()), 2, 2)) - 1, """")"),"")</f>
        <v/>
      </c>
      <c r="O128" s="21" t="str">
        <f>IFERROR(__xludf.DUMMYFUNCTION("IFERROR((GOOGLEFINANCE(C128, ""price"") / INDEX(GOOGLEFINANCE(C128, ""price"", EDATE(TODAY(), -6), TODAY()), 2, 2)) - 1, """")"),"")</f>
        <v/>
      </c>
      <c r="P128" s="21" t="str">
        <f>IFERROR(__xludf.DUMMYFUNCTION("IFERROR((GOOGLEFINANCE(C128, ""price"") / INDEX(GOOGLEFINANCE(C128, ""price"", EDATE(TODAY(), -12), TODAY()), 2, 2)) - 1, """")"),"")</f>
        <v/>
      </c>
      <c r="Q128" s="6" t="str">
        <f>IFERROR(__xludf.DUMMYFUNCTION("AVERAGE(QUERY(GOOGLEFINANCE(C128, ""price"", TODAY()-80, TODAY()), ""SELECT Col2 WHERE Col2 IS NOT NULL ORDER BY Col1 DESC LIMIT 50"", 0))"),"#N/A")</f>
        <v>#N/A</v>
      </c>
      <c r="R128" s="24" t="str">
        <f>IFERROR(__xludf.DUMMYFUNCTION("IFERROR(
  LET(
    data, QUERY(GOOGLEFINANCE(C128,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GOOGLEFINANCE(C128, ""price"")) * 100,
    IF(calc=0, G128, calc)
  ), 
G128)"),"#N/A")</f>
        <v>#N/A</v>
      </c>
      <c r="S128" s="8" t="s">
        <v>15</v>
      </c>
      <c r="T128" s="26" t="str">
        <f>IFERROR(__xludf.DUMMYFUNCTION("IFERROR(TRANSPOSE(QUERY(IFERROR(SORT(GOOGLEFINANCE(C128, ""price"", WORKDAY(TODAY(), -40), TODAY()), 1, FALSE)), ""select Col2 where Col2 is not null limit 22 label Col2 ''"", 0)), """")"),"")</f>
        <v/>
      </c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8"/>
      <c r="AO128" s="28"/>
      <c r="AP128" s="29"/>
      <c r="AQ128" s="29" t="str">
        <f t="shared" ref="AQ128:BL128" si="131">T128/T$2</f>
        <v>#N/A</v>
      </c>
      <c r="AR128" s="29" t="str">
        <f t="shared" si="131"/>
        <v>#DIV/0!</v>
      </c>
      <c r="AS128" s="29" t="str">
        <f t="shared" si="131"/>
        <v>#DIV/0!</v>
      </c>
      <c r="AT128" s="29" t="str">
        <f t="shared" si="131"/>
        <v>#DIV/0!</v>
      </c>
      <c r="AU128" s="29" t="str">
        <f t="shared" si="131"/>
        <v>#DIV/0!</v>
      </c>
      <c r="AV128" s="29" t="str">
        <f t="shared" si="131"/>
        <v>#DIV/0!</v>
      </c>
      <c r="AW128" s="29" t="str">
        <f t="shared" si="131"/>
        <v>#DIV/0!</v>
      </c>
      <c r="AX128" s="29" t="str">
        <f t="shared" si="131"/>
        <v>#DIV/0!</v>
      </c>
      <c r="AY128" s="29" t="str">
        <f t="shared" si="131"/>
        <v>#DIV/0!</v>
      </c>
      <c r="AZ128" s="29" t="str">
        <f t="shared" si="131"/>
        <v>#DIV/0!</v>
      </c>
      <c r="BA128" s="29" t="str">
        <f t="shared" si="131"/>
        <v>#DIV/0!</v>
      </c>
      <c r="BB128" s="29" t="str">
        <f t="shared" si="131"/>
        <v>#DIV/0!</v>
      </c>
      <c r="BC128" s="29" t="str">
        <f t="shared" si="131"/>
        <v>#DIV/0!</v>
      </c>
      <c r="BD128" s="29" t="str">
        <f t="shared" si="131"/>
        <v>#DIV/0!</v>
      </c>
      <c r="BE128" s="29" t="str">
        <f t="shared" si="131"/>
        <v>#DIV/0!</v>
      </c>
      <c r="BF128" s="29" t="str">
        <f t="shared" si="131"/>
        <v>#DIV/0!</v>
      </c>
      <c r="BG128" s="29" t="str">
        <f t="shared" si="131"/>
        <v>#DIV/0!</v>
      </c>
      <c r="BH128" s="29" t="str">
        <f t="shared" si="131"/>
        <v>#DIV/0!</v>
      </c>
      <c r="BI128" s="29" t="str">
        <f t="shared" si="131"/>
        <v>#DIV/0!</v>
      </c>
      <c r="BJ128" s="29" t="str">
        <f t="shared" si="131"/>
        <v>#DIV/0!</v>
      </c>
      <c r="BK128" s="29" t="str">
        <f t="shared" si="131"/>
        <v>#DIV/0!</v>
      </c>
      <c r="BL128" s="29" t="str">
        <f t="shared" si="131"/>
        <v>#DIV/0!</v>
      </c>
      <c r="BM128" s="29" t="str">
        <f t="shared" si="3"/>
        <v>#DIV/0!</v>
      </c>
    </row>
    <row r="129" hidden="1">
      <c r="A129" s="16" t="str">
        <f>IFERROR(__xludf.DUMMYFUNCTION("IFERROR(SPARKLINE(SORT(MAP(TRANSPOSE(AQ129:BL129), LAMBDA(val, IF(ISNUMBER(val), PERCENTRANK(AQ129:BL129, val)+0.01, 0))), SEQUENCE(COLUMNS(AQ129:BL129)), FALSE), {""charttype"",""column""; ""color"",""chartreuse""; ""ymin"", 0; ""ymax"", 1.01; ""highcolo"&amp;"r"", ""darkgreen""; ""lowcolor"", ""red""}), """")"),"")</f>
        <v/>
      </c>
      <c r="B129" s="17" t="str">
        <f t="shared" si="4"/>
        <v/>
      </c>
      <c r="C129" s="1" t="s">
        <v>3040</v>
      </c>
      <c r="D129" s="30" t="str">
        <f>IFERROR(__xludf.DUMMYFUNCTION("IFERROR(GOOGLEFINANCE(C129, ""NAME""))"),"NPK International Inc")</f>
        <v>NPK International Inc</v>
      </c>
      <c r="E129" s="30" t="s">
        <v>2537</v>
      </c>
      <c r="F129" s="33" t="str">
        <f>IFERROR(__xludf.DUMMYFUNCTION("( (GOOGLEFINANCE(C129, ""price"") - Q129) / Q129 ) / (R129 / 100)"),"Loading...")</f>
        <v>Loading...</v>
      </c>
      <c r="G129" s="20" t="str">
        <f>IFERROR(__xludf.DUMMYFUNCTION("AVERAGE(ARRAYFORMULA(100 * (QUERY(GOOGLEFINANCE(C129, ""high"", TODAY()-40, TODAY()), ""SELECT Col2 WHERE Col2 IS NOT NULL ORDER BY Col1 DESC LIMIT 20"", 0) / QUERY(GOOGLEFINANCE(C129, ""low"", TODAY()-40, TODAY()), ""SELECT Col2 WHERE Col2 IS NOT NULL OR"&amp;"DER BY Col1 DESC LIMIT 20"", 0) - 1)))"),"#N/A")</f>
        <v>#N/A</v>
      </c>
      <c r="H129" s="35" t="str">
        <f t="shared" si="6"/>
        <v>Illiquid</v>
      </c>
      <c r="I129" s="35" t="str">
        <f t="shared" si="7"/>
        <v>RVol Required</v>
      </c>
      <c r="J129" s="37">
        <f>IFERROR(__xludf.DUMMYFUNCTION("IFERROR(
  IF(C129="""",, 
    IFERROR(
      GOOGLEFINANCE(C129, ""price"") * GOOGLEFINANCE(C129, ""volumeavg""), 
      GOOGLEFINANCE(C129, ""price"") * AVERAGE(QUERY(GOOGLEFINANCE(C129, ""volume"", TODAY()-40, TODAY()), ""SELECT Col2 WHERE Col2 IS NOT "&amp;"NULL ORDER BY Col1 DESC LIMIT 20"", 0))
    )
  ), 
"""")"),8084026.62)</f>
        <v>8084026.62</v>
      </c>
      <c r="K129" s="21">
        <f>IFERROR(__xludf.DUMMYFUNCTION("IFERROR(GOOGLEFINANCE(C129, ""changepct"") / 100, """")"),0.009399999999999999)</f>
        <v>0.0094</v>
      </c>
      <c r="L129" s="21" t="str">
        <f>IFERROR(__xludf.DUMMYFUNCTION("IFERROR((GOOGLEFINANCE(C129, ""price"") / INDEX(GOOGLEFINANCE(C129, ""price"", TODAY()-7, TODAY()), 2, 2)) - 1, """")"),"")</f>
        <v/>
      </c>
      <c r="M129" s="21" t="str">
        <f>IFERROR(__xludf.DUMMYFUNCTION("IFERROR((GOOGLEFINANCE(C129, ""price"") / INDEX(GOOGLEFINANCE(C129, ""price"", EDATE(TODAY(), -1), TODAY()), 2, 2)) - 1, """")"),"")</f>
        <v/>
      </c>
      <c r="N129" s="21" t="str">
        <f>IFERROR(__xludf.DUMMYFUNCTION("IFERROR((GOOGLEFINANCE(C129, ""price"") / INDEX(GOOGLEFINANCE(C129, ""price"", EDATE(TODAY(), -3), TODAY()), 2, 2)) - 1, """")"),"")</f>
        <v/>
      </c>
      <c r="O129" s="21" t="str">
        <f>IFERROR(__xludf.DUMMYFUNCTION("IFERROR((GOOGLEFINANCE(C129, ""price"") / INDEX(GOOGLEFINANCE(C129, ""price"", EDATE(TODAY(), -6), TODAY()), 2, 2)) - 1, """")"),"")</f>
        <v/>
      </c>
      <c r="P129" s="21" t="str">
        <f>IFERROR(__xludf.DUMMYFUNCTION("IFERROR((GOOGLEFINANCE(C129, ""price"") / INDEX(GOOGLEFINANCE(C129, ""price"", EDATE(TODAY(), -12), TODAY()), 2, 2)) - 1, """")"),"")</f>
        <v/>
      </c>
      <c r="Q129" s="6" t="str">
        <f>IFERROR(__xludf.DUMMYFUNCTION("AVERAGE(QUERY(GOOGLEFINANCE(C129, ""price"", TODAY()-80, TODAY()), ""SELECT Col2 WHERE Col2 IS NOT NULL ORDER BY Col1 DESC LIMIT 50"", 0))"),"#N/A")</f>
        <v>#N/A</v>
      </c>
      <c r="R129" s="24" t="str">
        <f>IFERROR(__xludf.DUMMYFUNCTION("IFERROR(
  LET(
    data, QUERY(GOOGLEFINANCE(C129,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GOOGLEFINANCE(C129, ""price"")) * 100,
    IF(calc=0, G129, calc)
  ), 
G129)"),"#N/A")</f>
        <v>#N/A</v>
      </c>
      <c r="S129" s="8" t="s">
        <v>15</v>
      </c>
      <c r="T129" s="26" t="str">
        <f>IFERROR(__xludf.DUMMYFUNCTION("IFERROR(TRANSPOSE(QUERY(IFERROR(SORT(GOOGLEFINANCE(C129, ""price"", WORKDAY(TODAY(), -40), TODAY()), 1, FALSE)), ""select Col2 where Col2 is not null limit 22 label Col2 ''"", 0)), """")"),"")</f>
        <v/>
      </c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8"/>
      <c r="AO129" s="28"/>
      <c r="AP129" s="29"/>
      <c r="AQ129" s="29" t="str">
        <f t="shared" ref="AQ129:BL129" si="132">T129/T$2</f>
        <v>#N/A</v>
      </c>
      <c r="AR129" s="29" t="str">
        <f t="shared" si="132"/>
        <v>#DIV/0!</v>
      </c>
      <c r="AS129" s="29" t="str">
        <f t="shared" si="132"/>
        <v>#DIV/0!</v>
      </c>
      <c r="AT129" s="29" t="str">
        <f t="shared" si="132"/>
        <v>#DIV/0!</v>
      </c>
      <c r="AU129" s="29" t="str">
        <f t="shared" si="132"/>
        <v>#DIV/0!</v>
      </c>
      <c r="AV129" s="29" t="str">
        <f t="shared" si="132"/>
        <v>#DIV/0!</v>
      </c>
      <c r="AW129" s="29" t="str">
        <f t="shared" si="132"/>
        <v>#DIV/0!</v>
      </c>
      <c r="AX129" s="29" t="str">
        <f t="shared" si="132"/>
        <v>#DIV/0!</v>
      </c>
      <c r="AY129" s="29" t="str">
        <f t="shared" si="132"/>
        <v>#DIV/0!</v>
      </c>
      <c r="AZ129" s="29" t="str">
        <f t="shared" si="132"/>
        <v>#DIV/0!</v>
      </c>
      <c r="BA129" s="29" t="str">
        <f t="shared" si="132"/>
        <v>#DIV/0!</v>
      </c>
      <c r="BB129" s="29" t="str">
        <f t="shared" si="132"/>
        <v>#DIV/0!</v>
      </c>
      <c r="BC129" s="29" t="str">
        <f t="shared" si="132"/>
        <v>#DIV/0!</v>
      </c>
      <c r="BD129" s="29" t="str">
        <f t="shared" si="132"/>
        <v>#DIV/0!</v>
      </c>
      <c r="BE129" s="29" t="str">
        <f t="shared" si="132"/>
        <v>#DIV/0!</v>
      </c>
      <c r="BF129" s="29" t="str">
        <f t="shared" si="132"/>
        <v>#DIV/0!</v>
      </c>
      <c r="BG129" s="29" t="str">
        <f t="shared" si="132"/>
        <v>#DIV/0!</v>
      </c>
      <c r="BH129" s="29" t="str">
        <f t="shared" si="132"/>
        <v>#DIV/0!</v>
      </c>
      <c r="BI129" s="29" t="str">
        <f t="shared" si="132"/>
        <v>#DIV/0!</v>
      </c>
      <c r="BJ129" s="29" t="str">
        <f t="shared" si="132"/>
        <v>#DIV/0!</v>
      </c>
      <c r="BK129" s="29" t="str">
        <f t="shared" si="132"/>
        <v>#DIV/0!</v>
      </c>
      <c r="BL129" s="29" t="str">
        <f t="shared" si="132"/>
        <v>#DIV/0!</v>
      </c>
      <c r="BM129" s="29" t="str">
        <f t="shared" si="3"/>
        <v>#DIV/0!</v>
      </c>
    </row>
    <row r="130">
      <c r="A130" s="16" t="str">
        <f>IFERROR(__xludf.DUMMYFUNCTION("IFERROR(SPARKLINE(SORT(MAP(TRANSPOSE(AQ130:BL130), LAMBDA(val, IF(ISNUMBER(val), PERCENTRANK(AQ130:BL130, val)+0.01, 0))), SEQUENCE(COLUMNS(AQ130:BL130)), FALSE), {""charttype"",""column""; ""color"",""chartreuse""; ""ymin"", 0; ""ymax"", 1.01; ""highcolo"&amp;"r"", ""darkgreen""; ""lowcolor"", ""red""}), """")"),"")</f>
        <v/>
      </c>
      <c r="B130" s="17" t="str">
        <f t="shared" si="4"/>
        <v/>
      </c>
      <c r="C130" s="1" t="s">
        <v>3043</v>
      </c>
      <c r="D130" s="30" t="str">
        <f>IFERROR(__xludf.DUMMYFUNCTION("IFERROR(GOOGLEFINANCE(C130, ""NAME""))"),"TechnipFMC PLC")</f>
        <v>TechnipFMC PLC</v>
      </c>
      <c r="E130" s="30" t="s">
        <v>2537</v>
      </c>
      <c r="F130" s="33" t="str">
        <f>IFERROR(__xludf.DUMMYFUNCTION("( (GOOGLEFINANCE(C130, ""price"") - Q130) / Q130 ) / (R130 / 100)"),"Loading...")</f>
        <v>Loading...</v>
      </c>
      <c r="G130" s="20" t="str">
        <f>IFERROR(__xludf.DUMMYFUNCTION("AVERAGE(ARRAYFORMULA(100 * (QUERY(GOOGLEFINANCE(C130, ""high"", TODAY()-40, TODAY()), ""SELECT Col2 WHERE Col2 IS NOT NULL ORDER BY Col1 DESC LIMIT 20"", 0) / QUERY(GOOGLEFINANCE(C130, ""low"", TODAY()-40, TODAY()), ""SELECT Col2 WHERE Col2 IS NOT NULL OR"&amp;"DER BY Col1 DESC LIMIT 20"", 0) - 1)))"),"#N/A")</f>
        <v>#N/A</v>
      </c>
      <c r="H130" s="35" t="str">
        <f t="shared" si="6"/>
        <v>Liquid</v>
      </c>
      <c r="I130" s="35" t="str">
        <f t="shared" si="7"/>
        <v>RVol Required</v>
      </c>
      <c r="J130" s="37">
        <f>IFERROR(__xludf.DUMMYFUNCTION("IFERROR(
  IF(C130="""",, 
    IFERROR(
      GOOGLEFINANCE(C130, ""price"") * GOOGLEFINANCE(C130, ""volumeavg""), 
      GOOGLEFINANCE(C130, ""price"") * AVERAGE(QUERY(GOOGLEFINANCE(C130, ""volume"", TODAY()-40, TODAY()), ""SELECT Col2 WHERE Col2 IS NOT "&amp;"NULL ORDER BY Col1 DESC LIMIT 20"", 0))
    )
  ), 
"""")"),1.9682875786E8)</f>
        <v>196828757.9</v>
      </c>
      <c r="K130" s="21">
        <f>IFERROR(__xludf.DUMMYFUNCTION("IFERROR(GOOGLEFINANCE(C130, ""changepct"") / 100, """")"),0.021099999999999997)</f>
        <v>0.0211</v>
      </c>
      <c r="L130" s="21" t="str">
        <f>IFERROR(__xludf.DUMMYFUNCTION("IFERROR((GOOGLEFINANCE(C130, ""price"") / INDEX(GOOGLEFINANCE(C130, ""price"", TODAY()-7, TODAY()), 2, 2)) - 1, """")"),"")</f>
        <v/>
      </c>
      <c r="M130" s="21" t="str">
        <f>IFERROR(__xludf.DUMMYFUNCTION("IFERROR((GOOGLEFINANCE(C130, ""price"") / INDEX(GOOGLEFINANCE(C130, ""price"", EDATE(TODAY(), -1), TODAY()), 2, 2)) - 1, """")"),"")</f>
        <v/>
      </c>
      <c r="N130" s="21" t="str">
        <f>IFERROR(__xludf.DUMMYFUNCTION("IFERROR((GOOGLEFINANCE(C130, ""price"") / INDEX(GOOGLEFINANCE(C130, ""price"", EDATE(TODAY(), -3), TODAY()), 2, 2)) - 1, """")"),"")</f>
        <v/>
      </c>
      <c r="O130" s="21" t="str">
        <f>IFERROR(__xludf.DUMMYFUNCTION("IFERROR((GOOGLEFINANCE(C130, ""price"") / INDEX(GOOGLEFINANCE(C130, ""price"", EDATE(TODAY(), -6), TODAY()), 2, 2)) - 1, """")"),"")</f>
        <v/>
      </c>
      <c r="P130" s="21" t="str">
        <f>IFERROR(__xludf.DUMMYFUNCTION("IFERROR((GOOGLEFINANCE(C130, ""price"") / INDEX(GOOGLEFINANCE(C130, ""price"", EDATE(TODAY(), -12), TODAY()), 2, 2)) - 1, """")"),"")</f>
        <v/>
      </c>
      <c r="Q130" s="6" t="str">
        <f>IFERROR(__xludf.DUMMYFUNCTION("AVERAGE(QUERY(GOOGLEFINANCE(C130, ""price"", TODAY()-80, TODAY()), ""SELECT Col2 WHERE Col2 IS NOT NULL ORDER BY Col1 DESC LIMIT 50"", 0))"),"#N/A")</f>
        <v>#N/A</v>
      </c>
      <c r="R130" s="24" t="str">
        <f>IFERROR(__xludf.DUMMYFUNCTION("IFERROR(
  LET(
    data, QUERY(GOOGLEFINANCE(C130,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GOOGLEFINANCE(C130, ""price"")) * 100,
    IF(calc=0, G130, calc)
  ), 
G130)"),"#N/A")</f>
        <v>#N/A</v>
      </c>
      <c r="S130" s="8" t="s">
        <v>15</v>
      </c>
      <c r="T130" s="26" t="str">
        <f>IFERROR(__xludf.DUMMYFUNCTION("IFERROR(TRANSPOSE(QUERY(IFERROR(SORT(GOOGLEFINANCE(C130, ""price"", WORKDAY(TODAY(), -40), TODAY()), 1, FALSE)), ""select Col2 where Col2 is not null limit 22 label Col2 ''"", 0)), """")"),"")</f>
        <v/>
      </c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8"/>
      <c r="AO130" s="28"/>
      <c r="AP130" s="29"/>
      <c r="AQ130" s="29" t="str">
        <f t="shared" ref="AQ130:BL130" si="133">T130/T$2</f>
        <v>#N/A</v>
      </c>
      <c r="AR130" s="29" t="str">
        <f t="shared" si="133"/>
        <v>#DIV/0!</v>
      </c>
      <c r="AS130" s="29" t="str">
        <f t="shared" si="133"/>
        <v>#DIV/0!</v>
      </c>
      <c r="AT130" s="29" t="str">
        <f t="shared" si="133"/>
        <v>#DIV/0!</v>
      </c>
      <c r="AU130" s="29" t="str">
        <f t="shared" si="133"/>
        <v>#DIV/0!</v>
      </c>
      <c r="AV130" s="29" t="str">
        <f t="shared" si="133"/>
        <v>#DIV/0!</v>
      </c>
      <c r="AW130" s="29" t="str">
        <f t="shared" si="133"/>
        <v>#DIV/0!</v>
      </c>
      <c r="AX130" s="29" t="str">
        <f t="shared" si="133"/>
        <v>#DIV/0!</v>
      </c>
      <c r="AY130" s="29" t="str">
        <f t="shared" si="133"/>
        <v>#DIV/0!</v>
      </c>
      <c r="AZ130" s="29" t="str">
        <f t="shared" si="133"/>
        <v>#DIV/0!</v>
      </c>
      <c r="BA130" s="29" t="str">
        <f t="shared" si="133"/>
        <v>#DIV/0!</v>
      </c>
      <c r="BB130" s="29" t="str">
        <f t="shared" si="133"/>
        <v>#DIV/0!</v>
      </c>
      <c r="BC130" s="29" t="str">
        <f t="shared" si="133"/>
        <v>#DIV/0!</v>
      </c>
      <c r="BD130" s="29" t="str">
        <f t="shared" si="133"/>
        <v>#DIV/0!</v>
      </c>
      <c r="BE130" s="29" t="str">
        <f t="shared" si="133"/>
        <v>#DIV/0!</v>
      </c>
      <c r="BF130" s="29" t="str">
        <f t="shared" si="133"/>
        <v>#DIV/0!</v>
      </c>
      <c r="BG130" s="29" t="str">
        <f t="shared" si="133"/>
        <v>#DIV/0!</v>
      </c>
      <c r="BH130" s="29" t="str">
        <f t="shared" si="133"/>
        <v>#DIV/0!</v>
      </c>
      <c r="BI130" s="29" t="str">
        <f t="shared" si="133"/>
        <v>#DIV/0!</v>
      </c>
      <c r="BJ130" s="29" t="str">
        <f t="shared" si="133"/>
        <v>#DIV/0!</v>
      </c>
      <c r="BK130" s="29" t="str">
        <f t="shared" si="133"/>
        <v>#DIV/0!</v>
      </c>
      <c r="BL130" s="29" t="str">
        <f t="shared" si="133"/>
        <v>#DIV/0!</v>
      </c>
      <c r="BM130" s="29" t="str">
        <f t="shared" si="3"/>
        <v>#DIV/0!</v>
      </c>
    </row>
    <row r="131">
      <c r="A131" s="16" t="str">
        <f>IFERROR(__xludf.DUMMYFUNCTION("IFERROR(SPARKLINE(SORT(MAP(TRANSPOSE(AQ131:BL131), LAMBDA(val, IF(ISNUMBER(val), PERCENTRANK(AQ131:BL131, val)+0.01, 0))), SEQUENCE(COLUMNS(AQ131:BL131)), FALSE), {""charttype"",""column""; ""color"",""chartreuse""; ""ymin"", 0; ""ymax"", 1.01; ""highcolo"&amp;"r"", ""darkgreen""; ""lowcolor"", ""red""}), """")"),"")</f>
        <v/>
      </c>
      <c r="B131" s="17" t="str">
        <f t="shared" si="4"/>
        <v/>
      </c>
      <c r="C131" s="1" t="s">
        <v>3046</v>
      </c>
      <c r="D131" s="30" t="str">
        <f>IFERROR(__xludf.DUMMYFUNCTION("IFERROR(GOOGLEFINANCE(C131, ""NAME""))"),"EOG Resources Inc")</f>
        <v>EOG Resources Inc</v>
      </c>
      <c r="E131" s="30" t="s">
        <v>2613</v>
      </c>
      <c r="F131" s="33" t="str">
        <f>IFERROR(__xludf.DUMMYFUNCTION("( (GOOGLEFINANCE(C131, ""price"") - Q131) / Q131 ) / (R131 / 100)"),"Loading...")</f>
        <v>Loading...</v>
      </c>
      <c r="G131" s="20" t="str">
        <f>IFERROR(__xludf.DUMMYFUNCTION("AVERAGE(ARRAYFORMULA(100 * (QUERY(GOOGLEFINANCE(C131, ""high"", TODAY()-40, TODAY()), ""SELECT Col2 WHERE Col2 IS NOT NULL ORDER BY Col1 DESC LIMIT 20"", 0) / QUERY(GOOGLEFINANCE(C131, ""low"", TODAY()-40, TODAY()), ""SELECT Col2 WHERE Col2 IS NOT NULL OR"&amp;"DER BY Col1 DESC LIMIT 20"", 0) - 1)))"),"#N/A")</f>
        <v>#N/A</v>
      </c>
      <c r="H131" s="35" t="str">
        <f t="shared" si="6"/>
        <v>Liquid</v>
      </c>
      <c r="I131" s="35" t="str">
        <f t="shared" si="7"/>
        <v>RVol Required</v>
      </c>
      <c r="J131" s="37">
        <f>IFERROR(__xludf.DUMMYFUNCTION("IFERROR(
  IF(C131="""",, 
    IFERROR(
      GOOGLEFINANCE(C131, ""price"") * GOOGLEFINANCE(C131, ""volumeavg""), 
      GOOGLEFINANCE(C131, ""price"") * AVERAGE(QUERY(GOOGLEFINANCE(C131, ""volume"", TODAY()-40, TODAY()), ""SELECT Col2 WHERE Col2 IS NOT "&amp;"NULL ORDER BY Col1 DESC LIMIT 20"", 0))
    )
  ), 
"""")"),4.9027643019E8)</f>
        <v>490276430.2</v>
      </c>
      <c r="K131" s="21">
        <f>IFERROR(__xludf.DUMMYFUNCTION("IFERROR(GOOGLEFINANCE(C131, ""changepct"") / 100, """")"),0.042300000000000004)</f>
        <v>0.0423</v>
      </c>
      <c r="L131" s="21" t="str">
        <f>IFERROR(__xludf.DUMMYFUNCTION("IFERROR((GOOGLEFINANCE(C131, ""price"") / INDEX(GOOGLEFINANCE(C131, ""price"", TODAY()-7, TODAY()), 2, 2)) - 1, """")"),"")</f>
        <v/>
      </c>
      <c r="M131" s="21" t="str">
        <f>IFERROR(__xludf.DUMMYFUNCTION("IFERROR((GOOGLEFINANCE(C131, ""price"") / INDEX(GOOGLEFINANCE(C131, ""price"", EDATE(TODAY(), -1), TODAY()), 2, 2)) - 1, """")"),"")</f>
        <v/>
      </c>
      <c r="N131" s="21" t="str">
        <f>IFERROR(__xludf.DUMMYFUNCTION("IFERROR((GOOGLEFINANCE(C131, ""price"") / INDEX(GOOGLEFINANCE(C131, ""price"", EDATE(TODAY(), -3), TODAY()), 2, 2)) - 1, """")"),"")</f>
        <v/>
      </c>
      <c r="O131" s="21" t="str">
        <f>IFERROR(__xludf.DUMMYFUNCTION("IFERROR((GOOGLEFINANCE(C131, ""price"") / INDEX(GOOGLEFINANCE(C131, ""price"", EDATE(TODAY(), -6), TODAY()), 2, 2)) - 1, """")"),"")</f>
        <v/>
      </c>
      <c r="P131" s="21" t="str">
        <f>IFERROR(__xludf.DUMMYFUNCTION("IFERROR((GOOGLEFINANCE(C131, ""price"") / INDEX(GOOGLEFINANCE(C131, ""price"", EDATE(TODAY(), -12), TODAY()), 2, 2)) - 1, """")"),"")</f>
        <v/>
      </c>
      <c r="Q131" s="6" t="str">
        <f>IFERROR(__xludf.DUMMYFUNCTION("AVERAGE(QUERY(GOOGLEFINANCE(C131, ""price"", TODAY()-80, TODAY()), ""SELECT Col2 WHERE Col2 IS NOT NULL ORDER BY Col1 DESC LIMIT 50"", 0))"),"#N/A")</f>
        <v>#N/A</v>
      </c>
      <c r="R131" s="24" t="str">
        <f>IFERROR(__xludf.DUMMYFUNCTION("IFERROR(
  LET(
    data, QUERY(GOOGLEFINANCE(C131,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GOOGLEFINANCE(C131, ""price"")) * 100,
    IF(calc=0, G131, calc)
  ), 
G131)"),"#N/A")</f>
        <v>#N/A</v>
      </c>
      <c r="S131" s="8" t="s">
        <v>15</v>
      </c>
      <c r="T131" s="26" t="str">
        <f>IFERROR(__xludf.DUMMYFUNCTION("IFERROR(TRANSPOSE(QUERY(IFERROR(SORT(GOOGLEFINANCE(C131, ""price"", WORKDAY(TODAY(), -40), TODAY()), 1, FALSE)), ""select Col2 where Col2 is not null limit 22 label Col2 ''"", 0)), """")"),"")</f>
        <v/>
      </c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8"/>
      <c r="AO131" s="28"/>
      <c r="AP131" s="29"/>
      <c r="AQ131" s="29" t="str">
        <f t="shared" ref="AQ131:BL131" si="134">T131/T$2</f>
        <v>#N/A</v>
      </c>
      <c r="AR131" s="29" t="str">
        <f t="shared" si="134"/>
        <v>#DIV/0!</v>
      </c>
      <c r="AS131" s="29" t="str">
        <f t="shared" si="134"/>
        <v>#DIV/0!</v>
      </c>
      <c r="AT131" s="29" t="str">
        <f t="shared" si="134"/>
        <v>#DIV/0!</v>
      </c>
      <c r="AU131" s="29" t="str">
        <f t="shared" si="134"/>
        <v>#DIV/0!</v>
      </c>
      <c r="AV131" s="29" t="str">
        <f t="shared" si="134"/>
        <v>#DIV/0!</v>
      </c>
      <c r="AW131" s="29" t="str">
        <f t="shared" si="134"/>
        <v>#DIV/0!</v>
      </c>
      <c r="AX131" s="29" t="str">
        <f t="shared" si="134"/>
        <v>#DIV/0!</v>
      </c>
      <c r="AY131" s="29" t="str">
        <f t="shared" si="134"/>
        <v>#DIV/0!</v>
      </c>
      <c r="AZ131" s="29" t="str">
        <f t="shared" si="134"/>
        <v>#DIV/0!</v>
      </c>
      <c r="BA131" s="29" t="str">
        <f t="shared" si="134"/>
        <v>#DIV/0!</v>
      </c>
      <c r="BB131" s="29" t="str">
        <f t="shared" si="134"/>
        <v>#DIV/0!</v>
      </c>
      <c r="BC131" s="29" t="str">
        <f t="shared" si="134"/>
        <v>#DIV/0!</v>
      </c>
      <c r="BD131" s="29" t="str">
        <f t="shared" si="134"/>
        <v>#DIV/0!</v>
      </c>
      <c r="BE131" s="29" t="str">
        <f t="shared" si="134"/>
        <v>#DIV/0!</v>
      </c>
      <c r="BF131" s="29" t="str">
        <f t="shared" si="134"/>
        <v>#DIV/0!</v>
      </c>
      <c r="BG131" s="29" t="str">
        <f t="shared" si="134"/>
        <v>#DIV/0!</v>
      </c>
      <c r="BH131" s="29" t="str">
        <f t="shared" si="134"/>
        <v>#DIV/0!</v>
      </c>
      <c r="BI131" s="29" t="str">
        <f t="shared" si="134"/>
        <v>#DIV/0!</v>
      </c>
      <c r="BJ131" s="29" t="str">
        <f t="shared" si="134"/>
        <v>#DIV/0!</v>
      </c>
      <c r="BK131" s="29" t="str">
        <f t="shared" si="134"/>
        <v>#DIV/0!</v>
      </c>
      <c r="BL131" s="29" t="str">
        <f t="shared" si="134"/>
        <v>#DIV/0!</v>
      </c>
      <c r="BM131" s="29" t="str">
        <f t="shared" si="3"/>
        <v>#DIV/0!</v>
      </c>
    </row>
    <row r="132">
      <c r="A132" s="16" t="str">
        <f>IFERROR(__xludf.DUMMYFUNCTION("IFERROR(SPARKLINE(SORT(MAP(TRANSPOSE(AQ132:BL132), LAMBDA(val, IF(ISNUMBER(val), PERCENTRANK(AQ132:BL132, val)+0.01, 0))), SEQUENCE(COLUMNS(AQ132:BL132)), FALSE), {""charttype"",""column""; ""color"",""chartreuse""; ""ymin"", 0; ""ymax"", 1.01; ""highcolo"&amp;"r"", ""darkgreen""; ""lowcolor"", ""red""}), """")"),"")</f>
        <v/>
      </c>
      <c r="B132" s="17" t="str">
        <f t="shared" si="4"/>
        <v/>
      </c>
      <c r="C132" s="1" t="s">
        <v>3049</v>
      </c>
      <c r="D132" s="30" t="str">
        <f>IFERROR(__xludf.DUMMYFUNCTION("IFERROR(GOOGLEFINANCE(C132, ""NAME""))"),"Devon Energy Corp")</f>
        <v>Devon Energy Corp</v>
      </c>
      <c r="E132" s="30" t="s">
        <v>2613</v>
      </c>
      <c r="F132" s="33" t="str">
        <f>IFERROR(__xludf.DUMMYFUNCTION("( (GOOGLEFINANCE(C132, ""price"") - Q132) / Q132 ) / (R132 / 100)"),"Loading...")</f>
        <v>Loading...</v>
      </c>
      <c r="G132" s="20" t="str">
        <f>IFERROR(__xludf.DUMMYFUNCTION("AVERAGE(ARRAYFORMULA(100 * (QUERY(GOOGLEFINANCE(C132, ""high"", TODAY()-40, TODAY()), ""SELECT Col2 WHERE Col2 IS NOT NULL ORDER BY Col1 DESC LIMIT 20"", 0) / QUERY(GOOGLEFINANCE(C132, ""low"", TODAY()-40, TODAY()), ""SELECT Col2 WHERE Col2 IS NOT NULL OR"&amp;"DER BY Col1 DESC LIMIT 20"", 0) - 1)))"),"#N/A")</f>
        <v>#N/A</v>
      </c>
      <c r="H132" s="35" t="str">
        <f t="shared" si="6"/>
        <v>Liquid</v>
      </c>
      <c r="I132" s="35" t="str">
        <f t="shared" si="7"/>
        <v>No RVol Required</v>
      </c>
      <c r="J132" s="37">
        <f>IFERROR(__xludf.DUMMYFUNCTION("IFERROR(
  IF(C132="""",, 
    IFERROR(
      GOOGLEFINANCE(C132, ""price"") * GOOGLEFINANCE(C132, ""volumeavg""), 
      GOOGLEFINANCE(C132, ""price"") * AVERAGE(QUERY(GOOGLEFINANCE(C132, ""volume"", TODAY()-40, TODAY()), ""SELECT Col2 WHERE Col2 IS NOT "&amp;"NULL ORDER BY Col1 DESC LIMIT 20"", 0))
    )
  ), 
"""")"),5.8236705801E8)</f>
        <v>582367058</v>
      </c>
      <c r="K132" s="21">
        <f>IFERROR(__xludf.DUMMYFUNCTION("IFERROR(GOOGLEFINANCE(C132, ""changepct"") / 100, """")"),0.030299999999999997)</f>
        <v>0.0303</v>
      </c>
      <c r="L132" s="21" t="str">
        <f>IFERROR(__xludf.DUMMYFUNCTION("IFERROR((GOOGLEFINANCE(C132, ""price"") / INDEX(GOOGLEFINANCE(C132, ""price"", TODAY()-7, TODAY()), 2, 2)) - 1, """")"),"")</f>
        <v/>
      </c>
      <c r="M132" s="21" t="str">
        <f>IFERROR(__xludf.DUMMYFUNCTION("IFERROR((GOOGLEFINANCE(C132, ""price"") / INDEX(GOOGLEFINANCE(C132, ""price"", EDATE(TODAY(), -1), TODAY()), 2, 2)) - 1, """")"),"")</f>
        <v/>
      </c>
      <c r="N132" s="21" t="str">
        <f>IFERROR(__xludf.DUMMYFUNCTION("IFERROR((GOOGLEFINANCE(C132, ""price"") / INDEX(GOOGLEFINANCE(C132, ""price"", EDATE(TODAY(), -3), TODAY()), 2, 2)) - 1, """")"),"")</f>
        <v/>
      </c>
      <c r="O132" s="21" t="str">
        <f>IFERROR(__xludf.DUMMYFUNCTION("IFERROR((GOOGLEFINANCE(C132, ""price"") / INDEX(GOOGLEFINANCE(C132, ""price"", EDATE(TODAY(), -6), TODAY()), 2, 2)) - 1, """")"),"")</f>
        <v/>
      </c>
      <c r="P132" s="21" t="str">
        <f>IFERROR(__xludf.DUMMYFUNCTION("IFERROR((GOOGLEFINANCE(C132, ""price"") / INDEX(GOOGLEFINANCE(C132, ""price"", EDATE(TODAY(), -12), TODAY()), 2, 2)) - 1, """")"),"")</f>
        <v/>
      </c>
      <c r="Q132" s="6" t="str">
        <f>IFERROR(__xludf.DUMMYFUNCTION("AVERAGE(QUERY(GOOGLEFINANCE(C132, ""price"", TODAY()-80, TODAY()), ""SELECT Col2 WHERE Col2 IS NOT NULL ORDER BY Col1 DESC LIMIT 50"", 0))"),"#N/A")</f>
        <v>#N/A</v>
      </c>
      <c r="R132" s="24" t="str">
        <f>IFERROR(__xludf.DUMMYFUNCTION("IFERROR(
  LET(
    data, QUERY(GOOGLEFINANCE(C132,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GOOGLEFINANCE(C132, ""price"")) * 100,
    IF(calc=0, G132, calc)
  ), 
G132)"),"#N/A")</f>
        <v>#N/A</v>
      </c>
      <c r="S132" s="8" t="s">
        <v>15</v>
      </c>
      <c r="T132" s="26" t="str">
        <f>IFERROR(__xludf.DUMMYFUNCTION("IFERROR(TRANSPOSE(QUERY(IFERROR(SORT(GOOGLEFINANCE(C132, ""price"", WORKDAY(TODAY(), -40), TODAY()), 1, FALSE)), ""select Col2 where Col2 is not null limit 22 label Col2 ''"", 0)), """")"),"")</f>
        <v/>
      </c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8"/>
      <c r="AO132" s="28"/>
      <c r="AP132" s="29"/>
      <c r="AQ132" s="29" t="str">
        <f t="shared" ref="AQ132:BL132" si="135">T132/T$2</f>
        <v>#N/A</v>
      </c>
      <c r="AR132" s="29" t="str">
        <f t="shared" si="135"/>
        <v>#DIV/0!</v>
      </c>
      <c r="AS132" s="29" t="str">
        <f t="shared" si="135"/>
        <v>#DIV/0!</v>
      </c>
      <c r="AT132" s="29" t="str">
        <f t="shared" si="135"/>
        <v>#DIV/0!</v>
      </c>
      <c r="AU132" s="29" t="str">
        <f t="shared" si="135"/>
        <v>#DIV/0!</v>
      </c>
      <c r="AV132" s="29" t="str">
        <f t="shared" si="135"/>
        <v>#DIV/0!</v>
      </c>
      <c r="AW132" s="29" t="str">
        <f t="shared" si="135"/>
        <v>#DIV/0!</v>
      </c>
      <c r="AX132" s="29" t="str">
        <f t="shared" si="135"/>
        <v>#DIV/0!</v>
      </c>
      <c r="AY132" s="29" t="str">
        <f t="shared" si="135"/>
        <v>#DIV/0!</v>
      </c>
      <c r="AZ132" s="29" t="str">
        <f t="shared" si="135"/>
        <v>#DIV/0!</v>
      </c>
      <c r="BA132" s="29" t="str">
        <f t="shared" si="135"/>
        <v>#DIV/0!</v>
      </c>
      <c r="BB132" s="29" t="str">
        <f t="shared" si="135"/>
        <v>#DIV/0!</v>
      </c>
      <c r="BC132" s="29" t="str">
        <f t="shared" si="135"/>
        <v>#DIV/0!</v>
      </c>
      <c r="BD132" s="29" t="str">
        <f t="shared" si="135"/>
        <v>#DIV/0!</v>
      </c>
      <c r="BE132" s="29" t="str">
        <f t="shared" si="135"/>
        <v>#DIV/0!</v>
      </c>
      <c r="BF132" s="29" t="str">
        <f t="shared" si="135"/>
        <v>#DIV/0!</v>
      </c>
      <c r="BG132" s="29" t="str">
        <f t="shared" si="135"/>
        <v>#DIV/0!</v>
      </c>
      <c r="BH132" s="29" t="str">
        <f t="shared" si="135"/>
        <v>#DIV/0!</v>
      </c>
      <c r="BI132" s="29" t="str">
        <f t="shared" si="135"/>
        <v>#DIV/0!</v>
      </c>
      <c r="BJ132" s="29" t="str">
        <f t="shared" si="135"/>
        <v>#DIV/0!</v>
      </c>
      <c r="BK132" s="29" t="str">
        <f t="shared" si="135"/>
        <v>#DIV/0!</v>
      </c>
      <c r="BL132" s="29" t="str">
        <f t="shared" si="135"/>
        <v>#DIV/0!</v>
      </c>
      <c r="BM132" s="29" t="str">
        <f t="shared" si="3"/>
        <v>#DIV/0!</v>
      </c>
    </row>
    <row r="133" hidden="1">
      <c r="A133" s="16" t="str">
        <f>IFERROR(__xludf.DUMMYFUNCTION("IFERROR(SPARKLINE(SORT(MAP(TRANSPOSE(AQ133:BL133), LAMBDA(val, IF(ISNUMBER(val), PERCENTRANK(AQ133:BL133, val)+0.01, 0))), SEQUENCE(COLUMNS(AQ133:BL133)), FALSE), {""charttype"",""column""; ""color"",""chartreuse""; ""ymin"", 0; ""ymax"", 1.01; ""highcolo"&amp;"r"", ""darkgreen""; ""lowcolor"", ""red""}), """")"),"")</f>
        <v/>
      </c>
      <c r="B133" s="17" t="str">
        <f t="shared" si="4"/>
        <v/>
      </c>
      <c r="C133" s="1" t="s">
        <v>3052</v>
      </c>
      <c r="D133" s="30" t="str">
        <f>IFERROR(__xludf.DUMMYFUNCTION("IFERROR(GOOGLEFINANCE(C133, ""NAME""))"),"Dorchester Minerals LP")</f>
        <v>Dorchester Minerals LP</v>
      </c>
      <c r="E133" s="30" t="s">
        <v>2613</v>
      </c>
      <c r="F133" s="33" t="str">
        <f>IFERROR(__xludf.DUMMYFUNCTION("( (GOOGLEFINANCE(C133, ""price"") - Q133) / Q133 ) / (R133 / 100)"),"Loading...")</f>
        <v>Loading...</v>
      </c>
      <c r="G133" s="20" t="str">
        <f>IFERROR(__xludf.DUMMYFUNCTION("AVERAGE(ARRAYFORMULA(100 * (QUERY(GOOGLEFINANCE(C133, ""high"", TODAY()-40, TODAY()), ""SELECT Col2 WHERE Col2 IS NOT NULL ORDER BY Col1 DESC LIMIT 20"", 0) / QUERY(GOOGLEFINANCE(C133, ""low"", TODAY()-40, TODAY()), ""SELECT Col2 WHERE Col2 IS NOT NULL OR"&amp;"DER BY Col1 DESC LIMIT 20"", 0) - 1)))"),"#N/A")</f>
        <v>#N/A</v>
      </c>
      <c r="H133" s="35" t="str">
        <f t="shared" si="6"/>
        <v>Illiquid</v>
      </c>
      <c r="I133" s="35" t="str">
        <f t="shared" si="7"/>
        <v>RVol Required</v>
      </c>
      <c r="J133" s="37">
        <f>IFERROR(__xludf.DUMMYFUNCTION("IFERROR(
  IF(C133="""",, 
    IFERROR(
      GOOGLEFINANCE(C133, ""price"") * GOOGLEFINANCE(C133, ""volumeavg""), 
      GOOGLEFINANCE(C133, ""price"") * AVERAGE(QUERY(GOOGLEFINANCE(C133, ""volume"", TODAY()-40, TODAY()), ""SELECT Col2 WHERE Col2 IS NOT "&amp;"NULL ORDER BY Col1 DESC LIMIT 20"", 0))
    )
  ), 
"""")"),2626382.87)</f>
        <v>2626382.87</v>
      </c>
      <c r="K133" s="21">
        <f>IFERROR(__xludf.DUMMYFUNCTION("IFERROR(GOOGLEFINANCE(C133, ""changepct"") / 100, """")"),0.0187)</f>
        <v>0.0187</v>
      </c>
      <c r="L133" s="21" t="str">
        <f>IFERROR(__xludf.DUMMYFUNCTION("IFERROR((GOOGLEFINANCE(C133, ""price"") / INDEX(GOOGLEFINANCE(C133, ""price"", TODAY()-7, TODAY()), 2, 2)) - 1, """")"),"")</f>
        <v/>
      </c>
      <c r="M133" s="21" t="str">
        <f>IFERROR(__xludf.DUMMYFUNCTION("IFERROR((GOOGLEFINANCE(C133, ""price"") / INDEX(GOOGLEFINANCE(C133, ""price"", EDATE(TODAY(), -1), TODAY()), 2, 2)) - 1, """")"),"")</f>
        <v/>
      </c>
      <c r="N133" s="21" t="str">
        <f>IFERROR(__xludf.DUMMYFUNCTION("IFERROR((GOOGLEFINANCE(C133, ""price"") / INDEX(GOOGLEFINANCE(C133, ""price"", EDATE(TODAY(), -3), TODAY()), 2, 2)) - 1, """")"),"")</f>
        <v/>
      </c>
      <c r="O133" s="21" t="str">
        <f>IFERROR(__xludf.DUMMYFUNCTION("IFERROR((GOOGLEFINANCE(C133, ""price"") / INDEX(GOOGLEFINANCE(C133, ""price"", EDATE(TODAY(), -6), TODAY()), 2, 2)) - 1, """")"),"")</f>
        <v/>
      </c>
      <c r="P133" s="21" t="str">
        <f>IFERROR(__xludf.DUMMYFUNCTION("IFERROR((GOOGLEFINANCE(C133, ""price"") / INDEX(GOOGLEFINANCE(C133, ""price"", EDATE(TODAY(), -12), TODAY()), 2, 2)) - 1, """")"),"")</f>
        <v/>
      </c>
      <c r="Q133" s="6" t="str">
        <f>IFERROR(__xludf.DUMMYFUNCTION("AVERAGE(QUERY(GOOGLEFINANCE(C133, ""price"", TODAY()-80, TODAY()), ""SELECT Col2 WHERE Col2 IS NOT NULL ORDER BY Col1 DESC LIMIT 50"", 0))"),"#N/A")</f>
        <v>#N/A</v>
      </c>
      <c r="R133" s="24" t="str">
        <f>IFERROR(__xludf.DUMMYFUNCTION("IFERROR(
  LET(
    data, QUERY(GOOGLEFINANCE(C133,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GOOGLEFINANCE(C133, ""price"")) * 100,
    IF(calc=0, G133, calc)
  ), 
G133)"),"#N/A")</f>
        <v>#N/A</v>
      </c>
      <c r="S133" s="8" t="s">
        <v>15</v>
      </c>
      <c r="T133" s="26" t="str">
        <f>IFERROR(__xludf.DUMMYFUNCTION("IFERROR(TRANSPOSE(QUERY(IFERROR(SORT(GOOGLEFINANCE(C133, ""price"", WORKDAY(TODAY(), -40), TODAY()), 1, FALSE)), ""select Col2 where Col2 is not null limit 22 label Col2 ''"", 0)), """")"),"")</f>
        <v/>
      </c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8"/>
      <c r="AO133" s="28"/>
      <c r="AP133" s="29"/>
      <c r="AQ133" s="29" t="str">
        <f t="shared" ref="AQ133:BL133" si="136">T133/T$2</f>
        <v>#N/A</v>
      </c>
      <c r="AR133" s="29" t="str">
        <f t="shared" si="136"/>
        <v>#DIV/0!</v>
      </c>
      <c r="AS133" s="29" t="str">
        <f t="shared" si="136"/>
        <v>#DIV/0!</v>
      </c>
      <c r="AT133" s="29" t="str">
        <f t="shared" si="136"/>
        <v>#DIV/0!</v>
      </c>
      <c r="AU133" s="29" t="str">
        <f t="shared" si="136"/>
        <v>#DIV/0!</v>
      </c>
      <c r="AV133" s="29" t="str">
        <f t="shared" si="136"/>
        <v>#DIV/0!</v>
      </c>
      <c r="AW133" s="29" t="str">
        <f t="shared" si="136"/>
        <v>#DIV/0!</v>
      </c>
      <c r="AX133" s="29" t="str">
        <f t="shared" si="136"/>
        <v>#DIV/0!</v>
      </c>
      <c r="AY133" s="29" t="str">
        <f t="shared" si="136"/>
        <v>#DIV/0!</v>
      </c>
      <c r="AZ133" s="29" t="str">
        <f t="shared" si="136"/>
        <v>#DIV/0!</v>
      </c>
      <c r="BA133" s="29" t="str">
        <f t="shared" si="136"/>
        <v>#DIV/0!</v>
      </c>
      <c r="BB133" s="29" t="str">
        <f t="shared" si="136"/>
        <v>#DIV/0!</v>
      </c>
      <c r="BC133" s="29" t="str">
        <f t="shared" si="136"/>
        <v>#DIV/0!</v>
      </c>
      <c r="BD133" s="29" t="str">
        <f t="shared" si="136"/>
        <v>#DIV/0!</v>
      </c>
      <c r="BE133" s="29" t="str">
        <f t="shared" si="136"/>
        <v>#DIV/0!</v>
      </c>
      <c r="BF133" s="29" t="str">
        <f t="shared" si="136"/>
        <v>#DIV/0!</v>
      </c>
      <c r="BG133" s="29" t="str">
        <f t="shared" si="136"/>
        <v>#DIV/0!</v>
      </c>
      <c r="BH133" s="29" t="str">
        <f t="shared" si="136"/>
        <v>#DIV/0!</v>
      </c>
      <c r="BI133" s="29" t="str">
        <f t="shared" si="136"/>
        <v>#DIV/0!</v>
      </c>
      <c r="BJ133" s="29" t="str">
        <f t="shared" si="136"/>
        <v>#DIV/0!</v>
      </c>
      <c r="BK133" s="29" t="str">
        <f t="shared" si="136"/>
        <v>#DIV/0!</v>
      </c>
      <c r="BL133" s="29" t="str">
        <f t="shared" si="136"/>
        <v>#DIV/0!</v>
      </c>
      <c r="BM133" s="29" t="str">
        <f t="shared" si="3"/>
        <v>#DIV/0!</v>
      </c>
    </row>
    <row r="134" hidden="1">
      <c r="A134" s="16" t="str">
        <f>IFERROR(__xludf.DUMMYFUNCTION("IFERROR(SPARKLINE(SORT(MAP(TRANSPOSE(AQ134:BL134), LAMBDA(val, IF(ISNUMBER(val), PERCENTRANK(AQ134:BL134, val)+0.01, 0))), SEQUENCE(COLUMNS(AQ134:BL134)), FALSE), {""charttype"",""column""; ""color"",""chartreuse""; ""ymin"", 0; ""ymax"", 1.01; ""highcolo"&amp;"r"", ""darkgreen""; ""lowcolor"", ""red""}), """")"),"")</f>
        <v/>
      </c>
      <c r="B134" s="17" t="str">
        <f t="shared" si="4"/>
        <v/>
      </c>
      <c r="C134" s="1" t="s">
        <v>3055</v>
      </c>
      <c r="D134" s="30" t="str">
        <f>IFERROR(__xludf.DUMMYFUNCTION("IFERROR(GOOGLEFINANCE(C134, ""NAME""))"),"BKV Corp")</f>
        <v>BKV Corp</v>
      </c>
      <c r="E134" s="30" t="s">
        <v>2613</v>
      </c>
      <c r="F134" s="33" t="str">
        <f>IFERROR(__xludf.DUMMYFUNCTION("( (GOOGLEFINANCE(C134, ""price"") - Q134) / Q134 ) / (R134 / 100)"),"Loading...")</f>
        <v>Loading...</v>
      </c>
      <c r="G134" s="20" t="str">
        <f>IFERROR(__xludf.DUMMYFUNCTION("AVERAGE(ARRAYFORMULA(100 * (QUERY(GOOGLEFINANCE(C134, ""high"", TODAY()-40, TODAY()), ""SELECT Col2 WHERE Col2 IS NOT NULL ORDER BY Col1 DESC LIMIT 20"", 0) / QUERY(GOOGLEFINANCE(C134, ""low"", TODAY()-40, TODAY()), ""SELECT Col2 WHERE Col2 IS NOT NULL OR"&amp;"DER BY Col1 DESC LIMIT 20"", 0) - 1)))"),"#N/A")</f>
        <v>#N/A</v>
      </c>
      <c r="H134" s="35" t="str">
        <f t="shared" si="6"/>
        <v>Liquid</v>
      </c>
      <c r="I134" s="35" t="str">
        <f t="shared" si="7"/>
        <v>RVol Required</v>
      </c>
      <c r="J134" s="37">
        <f>IFERROR(__xludf.DUMMYFUNCTION("IFERROR(
  IF(C134="""",, 
    IFERROR(
      GOOGLEFINANCE(C134, ""price"") * GOOGLEFINANCE(C134, ""volumeavg""), 
      GOOGLEFINANCE(C134, ""price"") * AVERAGE(QUERY(GOOGLEFINANCE(C134, ""volume"", TODAY()-40, TODAY()), ""SELECT Col2 WHERE Col2 IS NOT "&amp;"NULL ORDER BY Col1 DESC LIMIT 20"", 0))
    )
  ), 
"""")"),5.620305803E7)</f>
        <v>56203058.03</v>
      </c>
      <c r="K134" s="21">
        <f>IFERROR(__xludf.DUMMYFUNCTION("IFERROR(GOOGLEFINANCE(C134, ""changepct"") / 100, """")"),0.028300000000000002)</f>
        <v>0.0283</v>
      </c>
      <c r="L134" s="21" t="str">
        <f>IFERROR(__xludf.DUMMYFUNCTION("IFERROR((GOOGLEFINANCE(C134, ""price"") / INDEX(GOOGLEFINANCE(C134, ""price"", TODAY()-7, TODAY()), 2, 2)) - 1, """")"),"")</f>
        <v/>
      </c>
      <c r="M134" s="21" t="str">
        <f>IFERROR(__xludf.DUMMYFUNCTION("IFERROR((GOOGLEFINANCE(C134, ""price"") / INDEX(GOOGLEFINANCE(C134, ""price"", EDATE(TODAY(), -1), TODAY()), 2, 2)) - 1, """")"),"")</f>
        <v/>
      </c>
      <c r="N134" s="21" t="str">
        <f>IFERROR(__xludf.DUMMYFUNCTION("IFERROR((GOOGLEFINANCE(C134, ""price"") / INDEX(GOOGLEFINANCE(C134, ""price"", EDATE(TODAY(), -3), TODAY()), 2, 2)) - 1, """")"),"")</f>
        <v/>
      </c>
      <c r="O134" s="21" t="str">
        <f>IFERROR(__xludf.DUMMYFUNCTION("IFERROR((GOOGLEFINANCE(C134, ""price"") / INDEX(GOOGLEFINANCE(C134, ""price"", EDATE(TODAY(), -6), TODAY()), 2, 2)) - 1, """")"),"")</f>
        <v/>
      </c>
      <c r="P134" s="21" t="str">
        <f>IFERROR(__xludf.DUMMYFUNCTION("IFERROR((GOOGLEFINANCE(C134, ""price"") / INDEX(GOOGLEFINANCE(C134, ""price"", EDATE(TODAY(), -12), TODAY()), 2, 2)) - 1, """")"),"")</f>
        <v/>
      </c>
      <c r="Q134" s="6" t="str">
        <f>IFERROR(__xludf.DUMMYFUNCTION("AVERAGE(QUERY(GOOGLEFINANCE(C134, ""price"", TODAY()-80, TODAY()), ""SELECT Col2 WHERE Col2 IS NOT NULL ORDER BY Col1 DESC LIMIT 50"", 0))"),"#N/A")</f>
        <v>#N/A</v>
      </c>
      <c r="R134" s="24" t="str">
        <f>IFERROR(__xludf.DUMMYFUNCTION("IFERROR(
  LET(
    data, QUERY(GOOGLEFINANCE(C134,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GOOGLEFINANCE(C134, ""price"")) * 100,
    IF(calc=0, G134, calc)
  ), 
G134)"),"#N/A")</f>
        <v>#N/A</v>
      </c>
      <c r="S134" s="8" t="s">
        <v>15</v>
      </c>
      <c r="T134" s="26" t="str">
        <f>IFERROR(__xludf.DUMMYFUNCTION("IFERROR(TRANSPOSE(QUERY(IFERROR(SORT(GOOGLEFINANCE(C134, ""price"", WORKDAY(TODAY(), -40), TODAY()), 1, FALSE)), ""select Col2 where Col2 is not null limit 22 label Col2 ''"", 0)), """")"),"")</f>
        <v/>
      </c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8"/>
      <c r="AO134" s="28"/>
      <c r="AP134" s="29"/>
      <c r="AQ134" s="29" t="str">
        <f t="shared" ref="AQ134:BL134" si="137">T134/T$2</f>
        <v>#N/A</v>
      </c>
      <c r="AR134" s="29" t="str">
        <f t="shared" si="137"/>
        <v>#DIV/0!</v>
      </c>
      <c r="AS134" s="29" t="str">
        <f t="shared" si="137"/>
        <v>#DIV/0!</v>
      </c>
      <c r="AT134" s="29" t="str">
        <f t="shared" si="137"/>
        <v>#DIV/0!</v>
      </c>
      <c r="AU134" s="29" t="str">
        <f t="shared" si="137"/>
        <v>#DIV/0!</v>
      </c>
      <c r="AV134" s="29" t="str">
        <f t="shared" si="137"/>
        <v>#DIV/0!</v>
      </c>
      <c r="AW134" s="29" t="str">
        <f t="shared" si="137"/>
        <v>#DIV/0!</v>
      </c>
      <c r="AX134" s="29" t="str">
        <f t="shared" si="137"/>
        <v>#DIV/0!</v>
      </c>
      <c r="AY134" s="29" t="str">
        <f t="shared" si="137"/>
        <v>#DIV/0!</v>
      </c>
      <c r="AZ134" s="29" t="str">
        <f t="shared" si="137"/>
        <v>#DIV/0!</v>
      </c>
      <c r="BA134" s="29" t="str">
        <f t="shared" si="137"/>
        <v>#DIV/0!</v>
      </c>
      <c r="BB134" s="29" t="str">
        <f t="shared" si="137"/>
        <v>#DIV/0!</v>
      </c>
      <c r="BC134" s="29" t="str">
        <f t="shared" si="137"/>
        <v>#DIV/0!</v>
      </c>
      <c r="BD134" s="29" t="str">
        <f t="shared" si="137"/>
        <v>#DIV/0!</v>
      </c>
      <c r="BE134" s="29" t="str">
        <f t="shared" si="137"/>
        <v>#DIV/0!</v>
      </c>
      <c r="BF134" s="29" t="str">
        <f t="shared" si="137"/>
        <v>#DIV/0!</v>
      </c>
      <c r="BG134" s="29" t="str">
        <f t="shared" si="137"/>
        <v>#DIV/0!</v>
      </c>
      <c r="BH134" s="29" t="str">
        <f t="shared" si="137"/>
        <v>#DIV/0!</v>
      </c>
      <c r="BI134" s="29" t="str">
        <f t="shared" si="137"/>
        <v>#DIV/0!</v>
      </c>
      <c r="BJ134" s="29" t="str">
        <f t="shared" si="137"/>
        <v>#DIV/0!</v>
      </c>
      <c r="BK134" s="29" t="str">
        <f t="shared" si="137"/>
        <v>#DIV/0!</v>
      </c>
      <c r="BL134" s="29" t="str">
        <f t="shared" si="137"/>
        <v>#DIV/0!</v>
      </c>
      <c r="BM134" s="29" t="str">
        <f t="shared" si="3"/>
        <v>#DIV/0!</v>
      </c>
    </row>
    <row r="135">
      <c r="A135" s="16" t="str">
        <f>IFERROR(__xludf.DUMMYFUNCTION("IFERROR(SPARKLINE(SORT(MAP(TRANSPOSE(AQ135:BL135), LAMBDA(val, IF(ISNUMBER(val), PERCENTRANK(AQ135:BL135, val)+0.01, 0))), SEQUENCE(COLUMNS(AQ135:BL135)), FALSE), {""charttype"",""column""; ""color"",""chartreuse""; ""ymin"", 0; ""ymax"", 1.01; ""highcolo"&amp;"r"", ""darkgreen""; ""lowcolor"", ""red""}), """")"),"")</f>
        <v/>
      </c>
      <c r="B135" s="17" t="str">
        <f t="shared" si="4"/>
        <v/>
      </c>
      <c r="C135" s="1" t="s">
        <v>3058</v>
      </c>
      <c r="D135" s="30" t="str">
        <f>IFERROR(__xludf.DUMMYFUNCTION("IFERROR(GOOGLEFINANCE(C135, ""NAME""))"),"Archrock Inc")</f>
        <v>Archrock Inc</v>
      </c>
      <c r="E135" s="30" t="s">
        <v>2537</v>
      </c>
      <c r="F135" s="33" t="str">
        <f>IFERROR(__xludf.DUMMYFUNCTION("( (GOOGLEFINANCE(C135, ""price"") - Q135) / Q135 ) / (R135 / 100)"),"Loading...")</f>
        <v>Loading...</v>
      </c>
      <c r="G135" s="20" t="str">
        <f>IFERROR(__xludf.DUMMYFUNCTION("AVERAGE(ARRAYFORMULA(100 * (QUERY(GOOGLEFINANCE(C135, ""high"", TODAY()-40, TODAY()), ""SELECT Col2 WHERE Col2 IS NOT NULL ORDER BY Col1 DESC LIMIT 20"", 0) / QUERY(GOOGLEFINANCE(C135, ""low"", TODAY()-40, TODAY()), ""SELECT Col2 WHERE Col2 IS NOT NULL OR"&amp;"DER BY Col1 DESC LIMIT 20"", 0) - 1)))"),"#N/A")</f>
        <v>#N/A</v>
      </c>
      <c r="H135" s="35" t="str">
        <f t="shared" si="6"/>
        <v>Illiquid</v>
      </c>
      <c r="I135" s="35" t="str">
        <f t="shared" si="7"/>
        <v>RVol Required</v>
      </c>
      <c r="J135" s="37">
        <f>IFERROR(__xludf.DUMMYFUNCTION("IFERROR(
  IF(C135="""",, 
    IFERROR(
      GOOGLEFINANCE(C135, ""price"") * GOOGLEFINANCE(C135, ""volumeavg""), 
      GOOGLEFINANCE(C135, ""price"") * AVERAGE(QUERY(GOOGLEFINANCE(C135, ""volume"", TODAY()-40, TODAY()), ""SELECT Col2 WHERE Col2 IS NOT "&amp;"NULL ORDER BY Col1 DESC LIMIT 20"", 0))
    )
  ), 
"""")"),4.865555308E7)</f>
        <v>48655553.08</v>
      </c>
      <c r="K135" s="21">
        <f>IFERROR(__xludf.DUMMYFUNCTION("IFERROR(GOOGLEFINANCE(C135, ""changepct"") / 100, """")"),0.0106)</f>
        <v>0.0106</v>
      </c>
      <c r="L135" s="21" t="str">
        <f>IFERROR(__xludf.DUMMYFUNCTION("IFERROR((GOOGLEFINANCE(C135, ""price"") / INDEX(GOOGLEFINANCE(C135, ""price"", TODAY()-7, TODAY()), 2, 2)) - 1, """")"),"")</f>
        <v/>
      </c>
      <c r="M135" s="21" t="str">
        <f>IFERROR(__xludf.DUMMYFUNCTION("IFERROR((GOOGLEFINANCE(C135, ""price"") / INDEX(GOOGLEFINANCE(C135, ""price"", EDATE(TODAY(), -1), TODAY()), 2, 2)) - 1, """")"),"")</f>
        <v/>
      </c>
      <c r="N135" s="21" t="str">
        <f>IFERROR(__xludf.DUMMYFUNCTION("IFERROR((GOOGLEFINANCE(C135, ""price"") / INDEX(GOOGLEFINANCE(C135, ""price"", EDATE(TODAY(), -3), TODAY()), 2, 2)) - 1, """")"),"")</f>
        <v/>
      </c>
      <c r="O135" s="21" t="str">
        <f>IFERROR(__xludf.DUMMYFUNCTION("IFERROR((GOOGLEFINANCE(C135, ""price"") / INDEX(GOOGLEFINANCE(C135, ""price"", EDATE(TODAY(), -6), TODAY()), 2, 2)) - 1, """")"),"")</f>
        <v/>
      </c>
      <c r="P135" s="21" t="str">
        <f>IFERROR(__xludf.DUMMYFUNCTION("IFERROR((GOOGLEFINANCE(C135, ""price"") / INDEX(GOOGLEFINANCE(C135, ""price"", EDATE(TODAY(), -12), TODAY()), 2, 2)) - 1, """")"),"")</f>
        <v/>
      </c>
      <c r="Q135" s="6" t="str">
        <f>IFERROR(__xludf.DUMMYFUNCTION("AVERAGE(QUERY(GOOGLEFINANCE(C135, ""price"", TODAY()-80, TODAY()), ""SELECT Col2 WHERE Col2 IS NOT NULL ORDER BY Col1 DESC LIMIT 50"", 0))"),"#N/A")</f>
        <v>#N/A</v>
      </c>
      <c r="R135" s="24" t="str">
        <f>IFERROR(__xludf.DUMMYFUNCTION("IFERROR(
  LET(
    data, QUERY(GOOGLEFINANCE(C135,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GOOGLEFINANCE(C135, ""price"")) * 100,
    IF(calc=0, G135, calc)
  ), 
G135)"),"#N/A")</f>
        <v>#N/A</v>
      </c>
      <c r="S135" s="8" t="s">
        <v>15</v>
      </c>
      <c r="T135" s="26" t="str">
        <f>IFERROR(__xludf.DUMMYFUNCTION("IFERROR(TRANSPOSE(QUERY(IFERROR(SORT(GOOGLEFINANCE(C135, ""price"", WORKDAY(TODAY(), -40), TODAY()), 1, FALSE)), ""select Col2 where Col2 is not null limit 22 label Col2 ''"", 0)), """")"),"")</f>
        <v/>
      </c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8"/>
      <c r="AO135" s="28"/>
      <c r="AP135" s="29"/>
      <c r="AQ135" s="29" t="str">
        <f t="shared" ref="AQ135:BL135" si="138">T135/T$2</f>
        <v>#N/A</v>
      </c>
      <c r="AR135" s="29" t="str">
        <f t="shared" si="138"/>
        <v>#DIV/0!</v>
      </c>
      <c r="AS135" s="29" t="str">
        <f t="shared" si="138"/>
        <v>#DIV/0!</v>
      </c>
      <c r="AT135" s="29" t="str">
        <f t="shared" si="138"/>
        <v>#DIV/0!</v>
      </c>
      <c r="AU135" s="29" t="str">
        <f t="shared" si="138"/>
        <v>#DIV/0!</v>
      </c>
      <c r="AV135" s="29" t="str">
        <f t="shared" si="138"/>
        <v>#DIV/0!</v>
      </c>
      <c r="AW135" s="29" t="str">
        <f t="shared" si="138"/>
        <v>#DIV/0!</v>
      </c>
      <c r="AX135" s="29" t="str">
        <f t="shared" si="138"/>
        <v>#DIV/0!</v>
      </c>
      <c r="AY135" s="29" t="str">
        <f t="shared" si="138"/>
        <v>#DIV/0!</v>
      </c>
      <c r="AZ135" s="29" t="str">
        <f t="shared" si="138"/>
        <v>#DIV/0!</v>
      </c>
      <c r="BA135" s="29" t="str">
        <f t="shared" si="138"/>
        <v>#DIV/0!</v>
      </c>
      <c r="BB135" s="29" t="str">
        <f t="shared" si="138"/>
        <v>#DIV/0!</v>
      </c>
      <c r="BC135" s="29" t="str">
        <f t="shared" si="138"/>
        <v>#DIV/0!</v>
      </c>
      <c r="BD135" s="29" t="str">
        <f t="shared" si="138"/>
        <v>#DIV/0!</v>
      </c>
      <c r="BE135" s="29" t="str">
        <f t="shared" si="138"/>
        <v>#DIV/0!</v>
      </c>
      <c r="BF135" s="29" t="str">
        <f t="shared" si="138"/>
        <v>#DIV/0!</v>
      </c>
      <c r="BG135" s="29" t="str">
        <f t="shared" si="138"/>
        <v>#DIV/0!</v>
      </c>
      <c r="BH135" s="29" t="str">
        <f t="shared" si="138"/>
        <v>#DIV/0!</v>
      </c>
      <c r="BI135" s="29" t="str">
        <f t="shared" si="138"/>
        <v>#DIV/0!</v>
      </c>
      <c r="BJ135" s="29" t="str">
        <f t="shared" si="138"/>
        <v>#DIV/0!</v>
      </c>
      <c r="BK135" s="29" t="str">
        <f t="shared" si="138"/>
        <v>#DIV/0!</v>
      </c>
      <c r="BL135" s="29" t="str">
        <f t="shared" si="138"/>
        <v>#DIV/0!</v>
      </c>
      <c r="BM135" s="29" t="str">
        <f t="shared" si="3"/>
        <v>#DIV/0!</v>
      </c>
    </row>
    <row r="136" hidden="1">
      <c r="A136" s="16" t="str">
        <f>IFERROR(__xludf.DUMMYFUNCTION("IFERROR(SPARKLINE(SORT(MAP(TRANSPOSE(AQ136:BL136), LAMBDA(val, IF(ISNUMBER(val), PERCENTRANK(AQ136:BL136, val)+0.01, 0))), SEQUENCE(COLUMNS(AQ136:BL136)), FALSE), {""charttype"",""column""; ""color"",""chartreuse""; ""ymin"", 0; ""ymax"", 1.01; ""highcolo"&amp;"r"", ""darkgreen""; ""lowcolor"", ""red""}), """")"),"")</f>
        <v/>
      </c>
      <c r="B136" s="17" t="str">
        <f t="shared" si="4"/>
        <v/>
      </c>
      <c r="C136" s="1" t="s">
        <v>3061</v>
      </c>
      <c r="D136" s="30" t="str">
        <f>IFERROR(__xludf.DUMMYFUNCTION("IFERROR(GOOGLEFINANCE(C136, ""NAME""))"),"Woodside Energy Group Ltd - ADR")</f>
        <v>Woodside Energy Group Ltd - ADR</v>
      </c>
      <c r="E136" s="30" t="s">
        <v>2613</v>
      </c>
      <c r="F136" s="33" t="str">
        <f>IFERROR(__xludf.DUMMYFUNCTION("( (GOOGLEFINANCE(C136, ""price"") - Q136) / Q136 ) / (R136 / 100)"),"Loading...")</f>
        <v>Loading...</v>
      </c>
      <c r="G136" s="20" t="str">
        <f>IFERROR(__xludf.DUMMYFUNCTION("AVERAGE(ARRAYFORMULA(100 * (QUERY(GOOGLEFINANCE(C136, ""high"", TODAY()-40, TODAY()), ""SELECT Col2 WHERE Col2 IS NOT NULL ORDER BY Col1 DESC LIMIT 20"", 0) / QUERY(GOOGLEFINANCE(C136, ""low"", TODAY()-40, TODAY()), ""SELECT Col2 WHERE Col2 IS NOT NULL OR"&amp;"DER BY Col1 DESC LIMIT 20"", 0) - 1)))"),"#N/A")</f>
        <v>#N/A</v>
      </c>
      <c r="H136" s="35" t="str">
        <f t="shared" si="6"/>
        <v>Illiquid</v>
      </c>
      <c r="I136" s="35" t="str">
        <f t="shared" si="7"/>
        <v>RVol Required</v>
      </c>
      <c r="J136" s="37">
        <f>IFERROR(__xludf.DUMMYFUNCTION("IFERROR(
  IF(C136="""",, 
    IFERROR(
      GOOGLEFINANCE(C136, ""price"") * GOOGLEFINANCE(C136, ""volumeavg""), 
      GOOGLEFINANCE(C136, ""price"") * AVERAGE(QUERY(GOOGLEFINANCE(C136, ""volume"", TODAY()-40, TODAY()), ""SELECT Col2 WHERE Col2 IS NOT "&amp;"NULL ORDER BY Col1 DESC LIMIT 20"", 0))
    )
  ), 
"""")"),1.386074664E7)</f>
        <v>13860746.64</v>
      </c>
      <c r="K136" s="21">
        <f>IFERROR(__xludf.DUMMYFUNCTION("IFERROR(GOOGLEFINANCE(C136, ""changepct"") / 100, """")"),0.0159)</f>
        <v>0.0159</v>
      </c>
      <c r="L136" s="21" t="str">
        <f>IFERROR(__xludf.DUMMYFUNCTION("IFERROR((GOOGLEFINANCE(C136, ""price"") / INDEX(GOOGLEFINANCE(C136, ""price"", TODAY()-7, TODAY()), 2, 2)) - 1, """")"),"")</f>
        <v/>
      </c>
      <c r="M136" s="21" t="str">
        <f>IFERROR(__xludf.DUMMYFUNCTION("IFERROR((GOOGLEFINANCE(C136, ""price"") / INDEX(GOOGLEFINANCE(C136, ""price"", EDATE(TODAY(), -1), TODAY()), 2, 2)) - 1, """")"),"")</f>
        <v/>
      </c>
      <c r="N136" s="21" t="str">
        <f>IFERROR(__xludf.DUMMYFUNCTION("IFERROR((GOOGLEFINANCE(C136, ""price"") / INDEX(GOOGLEFINANCE(C136, ""price"", EDATE(TODAY(), -3), TODAY()), 2, 2)) - 1, """")"),"")</f>
        <v/>
      </c>
      <c r="O136" s="21" t="str">
        <f>IFERROR(__xludf.DUMMYFUNCTION("IFERROR((GOOGLEFINANCE(C136, ""price"") / INDEX(GOOGLEFINANCE(C136, ""price"", EDATE(TODAY(), -6), TODAY()), 2, 2)) - 1, """")"),"")</f>
        <v/>
      </c>
      <c r="P136" s="21" t="str">
        <f>IFERROR(__xludf.DUMMYFUNCTION("IFERROR((GOOGLEFINANCE(C136, ""price"") / INDEX(GOOGLEFINANCE(C136, ""price"", EDATE(TODAY(), -12), TODAY()), 2, 2)) - 1, """")"),"")</f>
        <v/>
      </c>
      <c r="Q136" s="6" t="str">
        <f>IFERROR(__xludf.DUMMYFUNCTION("AVERAGE(QUERY(GOOGLEFINANCE(C136, ""price"", TODAY()-80, TODAY()), ""SELECT Col2 WHERE Col2 IS NOT NULL ORDER BY Col1 DESC LIMIT 50"", 0))"),"#N/A")</f>
        <v>#N/A</v>
      </c>
      <c r="R136" s="24" t="str">
        <f>IFERROR(__xludf.DUMMYFUNCTION("IFERROR(
  LET(
    data, QUERY(GOOGLEFINANCE(C136,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GOOGLEFINANCE(C136, ""price"")) * 100,
    IF(calc=0, G136, calc)
  ), 
G136)"),"#N/A")</f>
        <v>#N/A</v>
      </c>
      <c r="S136" s="8" t="s">
        <v>15</v>
      </c>
      <c r="T136" s="26" t="str">
        <f>IFERROR(__xludf.DUMMYFUNCTION("IFERROR(TRANSPOSE(QUERY(IFERROR(SORT(GOOGLEFINANCE(C136, ""price"", WORKDAY(TODAY(), -40), TODAY()), 1, FALSE)), ""select Col2 where Col2 is not null limit 22 label Col2 ''"", 0)), """")"),"")</f>
        <v/>
      </c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8"/>
      <c r="AO136" s="28"/>
      <c r="AP136" s="29"/>
      <c r="AQ136" s="29" t="str">
        <f t="shared" ref="AQ136:BL136" si="139">T136/T$2</f>
        <v>#N/A</v>
      </c>
      <c r="AR136" s="29" t="str">
        <f t="shared" si="139"/>
        <v>#DIV/0!</v>
      </c>
      <c r="AS136" s="29" t="str">
        <f t="shared" si="139"/>
        <v>#DIV/0!</v>
      </c>
      <c r="AT136" s="29" t="str">
        <f t="shared" si="139"/>
        <v>#DIV/0!</v>
      </c>
      <c r="AU136" s="29" t="str">
        <f t="shared" si="139"/>
        <v>#DIV/0!</v>
      </c>
      <c r="AV136" s="29" t="str">
        <f t="shared" si="139"/>
        <v>#DIV/0!</v>
      </c>
      <c r="AW136" s="29" t="str">
        <f t="shared" si="139"/>
        <v>#DIV/0!</v>
      </c>
      <c r="AX136" s="29" t="str">
        <f t="shared" si="139"/>
        <v>#DIV/0!</v>
      </c>
      <c r="AY136" s="29" t="str">
        <f t="shared" si="139"/>
        <v>#DIV/0!</v>
      </c>
      <c r="AZ136" s="29" t="str">
        <f t="shared" si="139"/>
        <v>#DIV/0!</v>
      </c>
      <c r="BA136" s="29" t="str">
        <f t="shared" si="139"/>
        <v>#DIV/0!</v>
      </c>
      <c r="BB136" s="29" t="str">
        <f t="shared" si="139"/>
        <v>#DIV/0!</v>
      </c>
      <c r="BC136" s="29" t="str">
        <f t="shared" si="139"/>
        <v>#DIV/0!</v>
      </c>
      <c r="BD136" s="29" t="str">
        <f t="shared" si="139"/>
        <v>#DIV/0!</v>
      </c>
      <c r="BE136" s="29" t="str">
        <f t="shared" si="139"/>
        <v>#DIV/0!</v>
      </c>
      <c r="BF136" s="29" t="str">
        <f t="shared" si="139"/>
        <v>#DIV/0!</v>
      </c>
      <c r="BG136" s="29" t="str">
        <f t="shared" si="139"/>
        <v>#DIV/0!</v>
      </c>
      <c r="BH136" s="29" t="str">
        <f t="shared" si="139"/>
        <v>#DIV/0!</v>
      </c>
      <c r="BI136" s="29" t="str">
        <f t="shared" si="139"/>
        <v>#DIV/0!</v>
      </c>
      <c r="BJ136" s="29" t="str">
        <f t="shared" si="139"/>
        <v>#DIV/0!</v>
      </c>
      <c r="BK136" s="29" t="str">
        <f t="shared" si="139"/>
        <v>#DIV/0!</v>
      </c>
      <c r="BL136" s="29" t="str">
        <f t="shared" si="139"/>
        <v>#DIV/0!</v>
      </c>
      <c r="BM136" s="29" t="str">
        <f t="shared" si="3"/>
        <v>#DIV/0!</v>
      </c>
    </row>
    <row r="137">
      <c r="A137" s="16" t="str">
        <f>IFERROR(__xludf.DUMMYFUNCTION("IFERROR(SPARKLINE(SORT(MAP(TRANSPOSE(AQ137:BL137), LAMBDA(val, IF(ISNUMBER(val), PERCENTRANK(AQ137:BL137, val)+0.01, 0))), SEQUENCE(COLUMNS(AQ137:BL137)), FALSE), {""charttype"",""column""; ""color"",""chartreuse""; ""ymin"", 0; ""ymax"", 1.01; ""highcolo"&amp;"r"", ""darkgreen""; ""lowcolor"", ""red""}), """")"),"")</f>
        <v/>
      </c>
      <c r="B137" s="17" t="str">
        <f t="shared" si="4"/>
        <v/>
      </c>
      <c r="C137" s="1" t="s">
        <v>3064</v>
      </c>
      <c r="D137" s="30" t="str">
        <f>IFERROR(__xludf.DUMMYFUNCTION("IFERROR(GOOGLEFINANCE(C137, ""NAME""))"),"Energy Fuels Inc")</f>
        <v>Energy Fuels Inc</v>
      </c>
      <c r="E137" s="30" t="s">
        <v>2542</v>
      </c>
      <c r="F137" s="38" t="str">
        <f>IFERROR(__xludf.DUMMYFUNCTION("( (GOOGLEFINANCE(C137, ""price"") - Q137) / Q137 ) / (R137 / 100)"),"Loading...")</f>
        <v>Loading...</v>
      </c>
      <c r="G137" s="20" t="str">
        <f>IFERROR(__xludf.DUMMYFUNCTION("AVERAGE(ARRAYFORMULA(100 * (QUERY(GOOGLEFINANCE(C137, ""high"", TODAY()-40, TODAY()), ""SELECT Col2 WHERE Col2 IS NOT NULL ORDER BY Col1 DESC LIMIT 20"", 0) / QUERY(GOOGLEFINANCE(C137, ""low"", TODAY()-40, TODAY()), ""SELECT Col2 WHERE Col2 IS NOT NULL OR"&amp;"DER BY Col1 DESC LIMIT 20"", 0) - 1)))"),"#N/A")</f>
        <v>#N/A</v>
      </c>
      <c r="H137" s="35" t="str">
        <f t="shared" si="6"/>
        <v>Liquid</v>
      </c>
      <c r="I137" s="35" t="str">
        <f t="shared" si="7"/>
        <v>RVol Required</v>
      </c>
      <c r="J137" s="37">
        <f>IFERROR(__xludf.DUMMYFUNCTION("IFERROR(
  IF(C137="""",, 
    IFERROR(
      GOOGLEFINANCE(C137, ""price"") * GOOGLEFINANCE(C137, ""volumeavg""), 
      GOOGLEFINANCE(C137, ""price"") * AVERAGE(QUERY(GOOGLEFINANCE(C137, ""volume"", TODAY()-40, TODAY()), ""SELECT Col2 WHERE Col2 IS NOT "&amp;"NULL ORDER BY Col1 DESC LIMIT 20"", 0))
    )
  ), 
"""")"),6.696073692E7)</f>
        <v>66960736.92</v>
      </c>
      <c r="K137" s="21">
        <f>IFERROR(__xludf.DUMMYFUNCTION("IFERROR(GOOGLEFINANCE(C137, ""changepct"") / 100, """")"),-0.011699999999999999)</f>
        <v>-0.0117</v>
      </c>
      <c r="L137" s="21" t="str">
        <f>IFERROR(__xludf.DUMMYFUNCTION("IFERROR((GOOGLEFINANCE(C137, ""price"") / INDEX(GOOGLEFINANCE(C137, ""price"", TODAY()-7, TODAY()), 2, 2)) - 1, """")"),"")</f>
        <v/>
      </c>
      <c r="M137" s="21" t="str">
        <f>IFERROR(__xludf.DUMMYFUNCTION("IFERROR((GOOGLEFINANCE(C137, ""price"") / INDEX(GOOGLEFINANCE(C137, ""price"", EDATE(TODAY(), -1), TODAY()), 2, 2)) - 1, """")"),"")</f>
        <v/>
      </c>
      <c r="N137" s="21" t="str">
        <f>IFERROR(__xludf.DUMMYFUNCTION("IFERROR((GOOGLEFINANCE(C137, ""price"") / INDEX(GOOGLEFINANCE(C137, ""price"", EDATE(TODAY(), -3), TODAY()), 2, 2)) - 1, """")"),"")</f>
        <v/>
      </c>
      <c r="O137" s="21" t="str">
        <f>IFERROR(__xludf.DUMMYFUNCTION("IFERROR((GOOGLEFINANCE(C137, ""price"") / INDEX(GOOGLEFINANCE(C137, ""price"", EDATE(TODAY(), -6), TODAY()), 2, 2)) - 1, """")"),"")</f>
        <v/>
      </c>
      <c r="P137" s="21" t="str">
        <f>IFERROR(__xludf.DUMMYFUNCTION("IFERROR((GOOGLEFINANCE(C137, ""price"") / INDEX(GOOGLEFINANCE(C137, ""price"", EDATE(TODAY(), -12), TODAY()), 2, 2)) - 1, """")"),"")</f>
        <v/>
      </c>
      <c r="Q137" s="6" t="str">
        <f>IFERROR(__xludf.DUMMYFUNCTION("AVERAGE(QUERY(GOOGLEFINANCE(C137, ""price"", TODAY()-80, TODAY()), ""SELECT Col2 WHERE Col2 IS NOT NULL ORDER BY Col1 DESC LIMIT 50"", 0))"),"#N/A")</f>
        <v>#N/A</v>
      </c>
      <c r="R137" s="24" t="str">
        <f>IFERROR(__xludf.DUMMYFUNCTION("IFERROR(
  LET(
    data, QUERY(GOOGLEFINANCE(C137,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GOOGLEFINANCE(C137, ""price"")) * 100,
    IF(calc=0, G137, calc)
  ), 
G137)"),"#N/A")</f>
        <v>#N/A</v>
      </c>
      <c r="S137" s="8" t="s">
        <v>15</v>
      </c>
      <c r="T137" s="26" t="str">
        <f>IFERROR(__xludf.DUMMYFUNCTION("IFERROR(TRANSPOSE(QUERY(IFERROR(SORT(GOOGLEFINANCE(C137, ""price"", WORKDAY(TODAY(), -40), TODAY()), 1, FALSE)), ""select Col2 where Col2 is not null limit 22 label Col2 ''"", 0)), """")"),"")</f>
        <v/>
      </c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8"/>
      <c r="AO137" s="28"/>
      <c r="AP137" s="29"/>
      <c r="AQ137" s="29" t="str">
        <f t="shared" ref="AQ137:BL137" si="140">T137/T$2</f>
        <v>#N/A</v>
      </c>
      <c r="AR137" s="29" t="str">
        <f t="shared" si="140"/>
        <v>#DIV/0!</v>
      </c>
      <c r="AS137" s="29" t="str">
        <f t="shared" si="140"/>
        <v>#DIV/0!</v>
      </c>
      <c r="AT137" s="29" t="str">
        <f t="shared" si="140"/>
        <v>#DIV/0!</v>
      </c>
      <c r="AU137" s="29" t="str">
        <f t="shared" si="140"/>
        <v>#DIV/0!</v>
      </c>
      <c r="AV137" s="29" t="str">
        <f t="shared" si="140"/>
        <v>#DIV/0!</v>
      </c>
      <c r="AW137" s="29" t="str">
        <f t="shared" si="140"/>
        <v>#DIV/0!</v>
      </c>
      <c r="AX137" s="29" t="str">
        <f t="shared" si="140"/>
        <v>#DIV/0!</v>
      </c>
      <c r="AY137" s="29" t="str">
        <f t="shared" si="140"/>
        <v>#DIV/0!</v>
      </c>
      <c r="AZ137" s="29" t="str">
        <f t="shared" si="140"/>
        <v>#DIV/0!</v>
      </c>
      <c r="BA137" s="29" t="str">
        <f t="shared" si="140"/>
        <v>#DIV/0!</v>
      </c>
      <c r="BB137" s="29" t="str">
        <f t="shared" si="140"/>
        <v>#DIV/0!</v>
      </c>
      <c r="BC137" s="29" t="str">
        <f t="shared" si="140"/>
        <v>#DIV/0!</v>
      </c>
      <c r="BD137" s="29" t="str">
        <f t="shared" si="140"/>
        <v>#DIV/0!</v>
      </c>
      <c r="BE137" s="29" t="str">
        <f t="shared" si="140"/>
        <v>#DIV/0!</v>
      </c>
      <c r="BF137" s="29" t="str">
        <f t="shared" si="140"/>
        <v>#DIV/0!</v>
      </c>
      <c r="BG137" s="29" t="str">
        <f t="shared" si="140"/>
        <v>#DIV/0!</v>
      </c>
      <c r="BH137" s="29" t="str">
        <f t="shared" si="140"/>
        <v>#DIV/0!</v>
      </c>
      <c r="BI137" s="29" t="str">
        <f t="shared" si="140"/>
        <v>#DIV/0!</v>
      </c>
      <c r="BJ137" s="29" t="str">
        <f t="shared" si="140"/>
        <v>#DIV/0!</v>
      </c>
      <c r="BK137" s="29" t="str">
        <f t="shared" si="140"/>
        <v>#DIV/0!</v>
      </c>
      <c r="BL137" s="29" t="str">
        <f t="shared" si="140"/>
        <v>#DIV/0!</v>
      </c>
      <c r="BM137" s="29" t="str">
        <f t="shared" si="3"/>
        <v>#DIV/0!</v>
      </c>
    </row>
    <row r="138">
      <c r="A138" s="16" t="str">
        <f>IFERROR(__xludf.DUMMYFUNCTION("IFERROR(SPARKLINE(SORT(MAP(TRANSPOSE(AQ138:BL138), LAMBDA(val, IF(ISNUMBER(val), PERCENTRANK(AQ138:BL138, val)+0.01, 0))), SEQUENCE(COLUMNS(AQ138:BL138)), FALSE), {""charttype"",""column""; ""color"",""chartreuse""; ""ymin"", 0; ""ymax"", 1.01; ""highcolo"&amp;"r"", ""darkgreen""; ""lowcolor"", ""red""}), """")"),"")</f>
        <v/>
      </c>
      <c r="B138" s="17" t="str">
        <f t="shared" si="4"/>
        <v/>
      </c>
      <c r="C138" s="1" t="s">
        <v>3067</v>
      </c>
      <c r="D138" s="30" t="str">
        <f>IFERROR(__xludf.DUMMYFUNCTION("IFERROR(GOOGLEFINANCE(C138, ""NAME""))"),"Tidewater Inc")</f>
        <v>Tidewater Inc</v>
      </c>
      <c r="E138" s="30" t="s">
        <v>2537</v>
      </c>
      <c r="F138" s="33" t="str">
        <f>IFERROR(__xludf.DUMMYFUNCTION("( (GOOGLEFINANCE(C138, ""price"") - Q138) / Q138 ) / (R138 / 100)"),"Loading...")</f>
        <v>Loading...</v>
      </c>
      <c r="G138" s="20" t="str">
        <f>IFERROR(__xludf.DUMMYFUNCTION("AVERAGE(ARRAYFORMULA(100 * (QUERY(GOOGLEFINANCE(C138, ""high"", TODAY()-40, TODAY()), ""SELECT Col2 WHERE Col2 IS NOT NULL ORDER BY Col1 DESC LIMIT 20"", 0) / QUERY(GOOGLEFINANCE(C138, ""low"", TODAY()-40, TODAY()), ""SELECT Col2 WHERE Col2 IS NOT NULL OR"&amp;"DER BY Col1 DESC LIMIT 20"", 0) - 1)))"),"#N/A")</f>
        <v>#N/A</v>
      </c>
      <c r="H138" s="35" t="str">
        <f t="shared" si="6"/>
        <v>Illiquid</v>
      </c>
      <c r="I138" s="35" t="str">
        <f t="shared" si="7"/>
        <v>RVol Required</v>
      </c>
      <c r="J138" s="37">
        <f>IFERROR(__xludf.DUMMYFUNCTION("IFERROR(
  IF(C138="""",, 
    IFERROR(
      GOOGLEFINANCE(C138, ""price"") * GOOGLEFINANCE(C138, ""volumeavg""), 
      GOOGLEFINANCE(C138, ""price"") * AVERAGE(QUERY(GOOGLEFINANCE(C138, ""volume"", TODAY()-40, TODAY()), ""SELECT Col2 WHERE Col2 IS NOT "&amp;"NULL ORDER BY Col1 DESC LIMIT 20"", 0))
    )
  ), 
"""")"),4.60762125E7)</f>
        <v>46076212.5</v>
      </c>
      <c r="K138" s="21">
        <f>IFERROR(__xludf.DUMMYFUNCTION("IFERROR(GOOGLEFINANCE(C138, ""changepct"") / 100, """")"),0.004)</f>
        <v>0.004</v>
      </c>
      <c r="L138" s="21" t="str">
        <f>IFERROR(__xludf.DUMMYFUNCTION("IFERROR((GOOGLEFINANCE(C138, ""price"") / INDEX(GOOGLEFINANCE(C138, ""price"", TODAY()-7, TODAY()), 2, 2)) - 1, """")"),"")</f>
        <v/>
      </c>
      <c r="M138" s="21" t="str">
        <f>IFERROR(__xludf.DUMMYFUNCTION("IFERROR((GOOGLEFINANCE(C138, ""price"") / INDEX(GOOGLEFINANCE(C138, ""price"", EDATE(TODAY(), -1), TODAY()), 2, 2)) - 1, """")"),"")</f>
        <v/>
      </c>
      <c r="N138" s="21" t="str">
        <f>IFERROR(__xludf.DUMMYFUNCTION("IFERROR((GOOGLEFINANCE(C138, ""price"") / INDEX(GOOGLEFINANCE(C138, ""price"", EDATE(TODAY(), -3), TODAY()), 2, 2)) - 1, """")"),"")</f>
        <v/>
      </c>
      <c r="O138" s="21" t="str">
        <f>IFERROR(__xludf.DUMMYFUNCTION("IFERROR((GOOGLEFINANCE(C138, ""price"") / INDEX(GOOGLEFINANCE(C138, ""price"", EDATE(TODAY(), -6), TODAY()), 2, 2)) - 1, """")"),"")</f>
        <v/>
      </c>
      <c r="P138" s="21" t="str">
        <f>IFERROR(__xludf.DUMMYFUNCTION("IFERROR((GOOGLEFINANCE(C138, ""price"") / INDEX(GOOGLEFINANCE(C138, ""price"", EDATE(TODAY(), -12), TODAY()), 2, 2)) - 1, """")"),"")</f>
        <v/>
      </c>
      <c r="Q138" s="6" t="str">
        <f>IFERROR(__xludf.DUMMYFUNCTION("AVERAGE(QUERY(GOOGLEFINANCE(C138, ""price"", TODAY()-80, TODAY()), ""SELECT Col2 WHERE Col2 IS NOT NULL ORDER BY Col1 DESC LIMIT 50"", 0))"),"#N/A")</f>
        <v>#N/A</v>
      </c>
      <c r="R138" s="24" t="str">
        <f>IFERROR(__xludf.DUMMYFUNCTION("IFERROR(
  LET(
    data, QUERY(GOOGLEFINANCE(C138,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GOOGLEFINANCE(C138, ""price"")) * 100,
    IF(calc=0, G138, calc)
  ), 
G138)"),"#N/A")</f>
        <v>#N/A</v>
      </c>
      <c r="S138" s="8" t="s">
        <v>15</v>
      </c>
      <c r="T138" s="26" t="str">
        <f>IFERROR(__xludf.DUMMYFUNCTION("IFERROR(TRANSPOSE(QUERY(IFERROR(SORT(GOOGLEFINANCE(C138, ""price"", WORKDAY(TODAY(), -40), TODAY()), 1, FALSE)), ""select Col2 where Col2 is not null limit 22 label Col2 ''"", 0)), """")"),"")</f>
        <v/>
      </c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8"/>
      <c r="AO138" s="28"/>
      <c r="AP138" s="29"/>
      <c r="AQ138" s="29" t="str">
        <f t="shared" ref="AQ138:BL138" si="141">T138/T$2</f>
        <v>#N/A</v>
      </c>
      <c r="AR138" s="29" t="str">
        <f t="shared" si="141"/>
        <v>#DIV/0!</v>
      </c>
      <c r="AS138" s="29" t="str">
        <f t="shared" si="141"/>
        <v>#DIV/0!</v>
      </c>
      <c r="AT138" s="29" t="str">
        <f t="shared" si="141"/>
        <v>#DIV/0!</v>
      </c>
      <c r="AU138" s="29" t="str">
        <f t="shared" si="141"/>
        <v>#DIV/0!</v>
      </c>
      <c r="AV138" s="29" t="str">
        <f t="shared" si="141"/>
        <v>#DIV/0!</v>
      </c>
      <c r="AW138" s="29" t="str">
        <f t="shared" si="141"/>
        <v>#DIV/0!</v>
      </c>
      <c r="AX138" s="29" t="str">
        <f t="shared" si="141"/>
        <v>#DIV/0!</v>
      </c>
      <c r="AY138" s="29" t="str">
        <f t="shared" si="141"/>
        <v>#DIV/0!</v>
      </c>
      <c r="AZ138" s="29" t="str">
        <f t="shared" si="141"/>
        <v>#DIV/0!</v>
      </c>
      <c r="BA138" s="29" t="str">
        <f t="shared" si="141"/>
        <v>#DIV/0!</v>
      </c>
      <c r="BB138" s="29" t="str">
        <f t="shared" si="141"/>
        <v>#DIV/0!</v>
      </c>
      <c r="BC138" s="29" t="str">
        <f t="shared" si="141"/>
        <v>#DIV/0!</v>
      </c>
      <c r="BD138" s="29" t="str">
        <f t="shared" si="141"/>
        <v>#DIV/0!</v>
      </c>
      <c r="BE138" s="29" t="str">
        <f t="shared" si="141"/>
        <v>#DIV/0!</v>
      </c>
      <c r="BF138" s="29" t="str">
        <f t="shared" si="141"/>
        <v>#DIV/0!</v>
      </c>
      <c r="BG138" s="29" t="str">
        <f t="shared" si="141"/>
        <v>#DIV/0!</v>
      </c>
      <c r="BH138" s="29" t="str">
        <f t="shared" si="141"/>
        <v>#DIV/0!</v>
      </c>
      <c r="BI138" s="29" t="str">
        <f t="shared" si="141"/>
        <v>#DIV/0!</v>
      </c>
      <c r="BJ138" s="29" t="str">
        <f t="shared" si="141"/>
        <v>#DIV/0!</v>
      </c>
      <c r="BK138" s="29" t="str">
        <f t="shared" si="141"/>
        <v>#DIV/0!</v>
      </c>
      <c r="BL138" s="29" t="str">
        <f t="shared" si="141"/>
        <v>#DIV/0!</v>
      </c>
      <c r="BM138" s="29" t="str">
        <f t="shared" si="3"/>
        <v>#DIV/0!</v>
      </c>
    </row>
    <row r="139">
      <c r="A139" s="16" t="str">
        <f>IFERROR(__xludf.DUMMYFUNCTION("IFERROR(SPARKLINE(SORT(MAP(TRANSPOSE(AQ139:BL139), LAMBDA(val, IF(ISNUMBER(val), PERCENTRANK(AQ139:BL139, val)+0.01, 0))), SEQUENCE(COLUMNS(AQ139:BL139)), FALSE), {""charttype"",""column""; ""color"",""chartreuse""; ""ymin"", 0; ""ymax"", 1.01; ""highcolo"&amp;"r"", ""darkgreen""; ""lowcolor"", ""red""}), """")"),"")</f>
        <v/>
      </c>
      <c r="B139" s="17" t="str">
        <f t="shared" si="4"/>
        <v/>
      </c>
      <c r="C139" s="1" t="s">
        <v>3071</v>
      </c>
      <c r="D139" s="30" t="str">
        <f>IFERROR(__xludf.DUMMYFUNCTION("IFERROR(GOOGLEFINANCE(C139, ""NAME""))"),"Shell PLC")</f>
        <v>Shell PLC</v>
      </c>
      <c r="E139" s="30" t="s">
        <v>2631</v>
      </c>
      <c r="F139" s="33" t="str">
        <f>IFERROR(__xludf.DUMMYFUNCTION("( (GOOGLEFINANCE(C139, ""price"") - Q139) / Q139 ) / (R139 / 100)"),"Loading...")</f>
        <v>Loading...</v>
      </c>
      <c r="G139" s="20" t="str">
        <f>IFERROR(__xludf.DUMMYFUNCTION("AVERAGE(ARRAYFORMULA(100 * (QUERY(GOOGLEFINANCE(C139, ""high"", TODAY()-40, TODAY()), ""SELECT Col2 WHERE Col2 IS NOT NULL ORDER BY Col1 DESC LIMIT 20"", 0) / QUERY(GOOGLEFINANCE(C139, ""low"", TODAY()-40, TODAY()), ""SELECT Col2 WHERE Col2 IS NOT NULL OR"&amp;"DER BY Col1 DESC LIMIT 20"", 0) - 1)))"),"#N/A")</f>
        <v>#N/A</v>
      </c>
      <c r="H139" s="35" t="str">
        <f t="shared" si="6"/>
        <v>Liquid</v>
      </c>
      <c r="I139" s="35" t="str">
        <f t="shared" si="7"/>
        <v>No RVol Required</v>
      </c>
      <c r="J139" s="37">
        <f>IFERROR(__xludf.DUMMYFUNCTION("IFERROR(
  IF(C139="""",, 
    IFERROR(
      GOOGLEFINANCE(C139, ""price"") * GOOGLEFINANCE(C139, ""volumeavg""), 
      GOOGLEFINANCE(C139, ""price"") * AVERAGE(QUERY(GOOGLEFINANCE(C139, ""volume"", TODAY()-40, TODAY()), ""SELECT Col2 WHERE Col2 IS NOT "&amp;"NULL ORDER BY Col1 DESC LIMIT 20"", 0))
    )
  ), 
"""")"),6.971009618E8)</f>
        <v>697100961.8</v>
      </c>
      <c r="K139" s="21">
        <f>IFERROR(__xludf.DUMMYFUNCTION("IFERROR(GOOGLEFINANCE(C139, ""changepct"") / 100, """")"),0.03)</f>
        <v>0.03</v>
      </c>
      <c r="L139" s="21" t="str">
        <f>IFERROR(__xludf.DUMMYFUNCTION("IFERROR((GOOGLEFINANCE(C139, ""price"") / INDEX(GOOGLEFINANCE(C139, ""price"", TODAY()-7, TODAY()), 2, 2)) - 1, """")"),"")</f>
        <v/>
      </c>
      <c r="M139" s="21" t="str">
        <f>IFERROR(__xludf.DUMMYFUNCTION("IFERROR((GOOGLEFINANCE(C139, ""price"") / INDEX(GOOGLEFINANCE(C139, ""price"", EDATE(TODAY(), -1), TODAY()), 2, 2)) - 1, """")"),"")</f>
        <v/>
      </c>
      <c r="N139" s="21" t="str">
        <f>IFERROR(__xludf.DUMMYFUNCTION("IFERROR((GOOGLEFINANCE(C139, ""price"") / INDEX(GOOGLEFINANCE(C139, ""price"", EDATE(TODAY(), -3), TODAY()), 2, 2)) - 1, """")"),"")</f>
        <v/>
      </c>
      <c r="O139" s="21" t="str">
        <f>IFERROR(__xludf.DUMMYFUNCTION("IFERROR((GOOGLEFINANCE(C139, ""price"") / INDEX(GOOGLEFINANCE(C139, ""price"", EDATE(TODAY(), -6), TODAY()), 2, 2)) - 1, """")"),"")</f>
        <v/>
      </c>
      <c r="P139" s="21" t="str">
        <f>IFERROR(__xludf.DUMMYFUNCTION("IFERROR((GOOGLEFINANCE(C139, ""price"") / INDEX(GOOGLEFINANCE(C139, ""price"", EDATE(TODAY(), -12), TODAY()), 2, 2)) - 1, """")"),"")</f>
        <v/>
      </c>
      <c r="Q139" s="6" t="str">
        <f>IFERROR(__xludf.DUMMYFUNCTION("AVERAGE(QUERY(GOOGLEFINANCE(C139, ""price"", TODAY()-80, TODAY()), ""SELECT Col2 WHERE Col2 IS NOT NULL ORDER BY Col1 DESC LIMIT 50"", 0))"),"#N/A")</f>
        <v>#N/A</v>
      </c>
      <c r="R139" s="24" t="str">
        <f>IFERROR(__xludf.DUMMYFUNCTION("IFERROR(
  LET(
    data, QUERY(GOOGLEFINANCE(C139,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GOOGLEFINANCE(C139, ""price"")) * 100,
    IF(calc=0, G139, calc)
  ), 
G139)"),"#N/A")</f>
        <v>#N/A</v>
      </c>
      <c r="S139" s="8" t="s">
        <v>15</v>
      </c>
      <c r="T139" s="26" t="str">
        <f>IFERROR(__xludf.DUMMYFUNCTION("IFERROR(TRANSPOSE(QUERY(IFERROR(SORT(GOOGLEFINANCE(C139, ""price"", WORKDAY(TODAY(), -40), TODAY()), 1, FALSE)), ""select Col2 where Col2 is not null limit 22 label Col2 ''"", 0)), """")"),"")</f>
        <v/>
      </c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8"/>
      <c r="AO139" s="28"/>
      <c r="AP139" s="29"/>
      <c r="AQ139" s="29" t="str">
        <f t="shared" ref="AQ139:BL139" si="142">T139/T$2</f>
        <v>#N/A</v>
      </c>
      <c r="AR139" s="29" t="str">
        <f t="shared" si="142"/>
        <v>#DIV/0!</v>
      </c>
      <c r="AS139" s="29" t="str">
        <f t="shared" si="142"/>
        <v>#DIV/0!</v>
      </c>
      <c r="AT139" s="29" t="str">
        <f t="shared" si="142"/>
        <v>#DIV/0!</v>
      </c>
      <c r="AU139" s="29" t="str">
        <f t="shared" si="142"/>
        <v>#DIV/0!</v>
      </c>
      <c r="AV139" s="29" t="str">
        <f t="shared" si="142"/>
        <v>#DIV/0!</v>
      </c>
      <c r="AW139" s="29" t="str">
        <f t="shared" si="142"/>
        <v>#DIV/0!</v>
      </c>
      <c r="AX139" s="29" t="str">
        <f t="shared" si="142"/>
        <v>#DIV/0!</v>
      </c>
      <c r="AY139" s="29" t="str">
        <f t="shared" si="142"/>
        <v>#DIV/0!</v>
      </c>
      <c r="AZ139" s="29" t="str">
        <f t="shared" si="142"/>
        <v>#DIV/0!</v>
      </c>
      <c r="BA139" s="29" t="str">
        <f t="shared" si="142"/>
        <v>#DIV/0!</v>
      </c>
      <c r="BB139" s="29" t="str">
        <f t="shared" si="142"/>
        <v>#DIV/0!</v>
      </c>
      <c r="BC139" s="29" t="str">
        <f t="shared" si="142"/>
        <v>#DIV/0!</v>
      </c>
      <c r="BD139" s="29" t="str">
        <f t="shared" si="142"/>
        <v>#DIV/0!</v>
      </c>
      <c r="BE139" s="29" t="str">
        <f t="shared" si="142"/>
        <v>#DIV/0!</v>
      </c>
      <c r="BF139" s="29" t="str">
        <f t="shared" si="142"/>
        <v>#DIV/0!</v>
      </c>
      <c r="BG139" s="29" t="str">
        <f t="shared" si="142"/>
        <v>#DIV/0!</v>
      </c>
      <c r="BH139" s="29" t="str">
        <f t="shared" si="142"/>
        <v>#DIV/0!</v>
      </c>
      <c r="BI139" s="29" t="str">
        <f t="shared" si="142"/>
        <v>#DIV/0!</v>
      </c>
      <c r="BJ139" s="29" t="str">
        <f t="shared" si="142"/>
        <v>#DIV/0!</v>
      </c>
      <c r="BK139" s="29" t="str">
        <f t="shared" si="142"/>
        <v>#DIV/0!</v>
      </c>
      <c r="BL139" s="29" t="str">
        <f t="shared" si="142"/>
        <v>#DIV/0!</v>
      </c>
      <c r="BM139" s="29" t="str">
        <f t="shared" si="3"/>
        <v>#DIV/0!</v>
      </c>
    </row>
    <row r="140" hidden="1">
      <c r="A140" s="16" t="str">
        <f>IFERROR(__xludf.DUMMYFUNCTION("IFERROR(SPARKLINE(SORT(MAP(TRANSPOSE(AQ140:BL140), LAMBDA(val, IF(ISNUMBER(val), PERCENTRANK(AQ140:BL140, val)+0.01, 0))), SEQUENCE(COLUMNS(AQ140:BL140)), FALSE), {""charttype"",""column""; ""color"",""chartreuse""; ""ymin"", 0; ""ymax"", 1.01; ""highcolo"&amp;"r"", ""darkgreen""; ""lowcolor"", ""red""}), """")"),"")</f>
        <v/>
      </c>
      <c r="B140" s="17" t="str">
        <f t="shared" si="4"/>
        <v/>
      </c>
      <c r="C140" s="1" t="s">
        <v>3074</v>
      </c>
      <c r="D140" s="30" t="str">
        <f>IFERROR(__xludf.DUMMYFUNCTION("IFERROR(GOOGLEFINANCE(C140, ""NAME""))"),"SandRidge Energy Inc")</f>
        <v>SandRidge Energy Inc</v>
      </c>
      <c r="E140" s="30" t="s">
        <v>2613</v>
      </c>
      <c r="F140" s="33" t="str">
        <f>IFERROR(__xludf.DUMMYFUNCTION("( (GOOGLEFINANCE(C140, ""price"") - Q140) / Q140 ) / (R140 / 100)"),"Loading...")</f>
        <v>Loading...</v>
      </c>
      <c r="G140" s="20" t="str">
        <f>IFERROR(__xludf.DUMMYFUNCTION("AVERAGE(ARRAYFORMULA(100 * (QUERY(GOOGLEFINANCE(C140, ""high"", TODAY()-40, TODAY()), ""SELECT Col2 WHERE Col2 IS NOT NULL ORDER BY Col1 DESC LIMIT 20"", 0) / QUERY(GOOGLEFINANCE(C140, ""low"", TODAY()-40, TODAY()), ""SELECT Col2 WHERE Col2 IS NOT NULL OR"&amp;"DER BY Col1 DESC LIMIT 20"", 0) - 1)))"),"#N/A")</f>
        <v>#N/A</v>
      </c>
      <c r="H140" s="35" t="str">
        <f t="shared" si="6"/>
        <v>Illiquid</v>
      </c>
      <c r="I140" s="35" t="str">
        <f t="shared" si="7"/>
        <v>RVol Required</v>
      </c>
      <c r="J140" s="37">
        <f>IFERROR(__xludf.DUMMYFUNCTION("IFERROR(
  IF(C140="""",, 
    IFERROR(
      GOOGLEFINANCE(C140, ""price"") * GOOGLEFINANCE(C140, ""volumeavg""), 
      GOOGLEFINANCE(C140, ""price"") * AVERAGE(QUERY(GOOGLEFINANCE(C140, ""volume"", TODAY()-40, TODAY()), ""SELECT Col2 WHERE Col2 IS NOT "&amp;"NULL ORDER BY Col1 DESC LIMIT 20"", 0))
    )
  ), 
"""")"),5075667.76)</f>
        <v>5075667.76</v>
      </c>
      <c r="K140" s="21">
        <f>IFERROR(__xludf.DUMMYFUNCTION("IFERROR(GOOGLEFINANCE(C140, ""changepct"") / 100, """")"),0.0259)</f>
        <v>0.0259</v>
      </c>
      <c r="L140" s="21" t="str">
        <f>IFERROR(__xludf.DUMMYFUNCTION("IFERROR((GOOGLEFINANCE(C140, ""price"") / INDEX(GOOGLEFINANCE(C140, ""price"", TODAY()-7, TODAY()), 2, 2)) - 1, """")"),"")</f>
        <v/>
      </c>
      <c r="M140" s="21" t="str">
        <f>IFERROR(__xludf.DUMMYFUNCTION("IFERROR((GOOGLEFINANCE(C140, ""price"") / INDEX(GOOGLEFINANCE(C140, ""price"", EDATE(TODAY(), -1), TODAY()), 2, 2)) - 1, """")"),"")</f>
        <v/>
      </c>
      <c r="N140" s="21" t="str">
        <f>IFERROR(__xludf.DUMMYFUNCTION("IFERROR((GOOGLEFINANCE(C140, ""price"") / INDEX(GOOGLEFINANCE(C140, ""price"", EDATE(TODAY(), -3), TODAY()), 2, 2)) - 1, """")"),"")</f>
        <v/>
      </c>
      <c r="O140" s="21" t="str">
        <f>IFERROR(__xludf.DUMMYFUNCTION("IFERROR((GOOGLEFINANCE(C140, ""price"") / INDEX(GOOGLEFINANCE(C140, ""price"", EDATE(TODAY(), -6), TODAY()), 2, 2)) - 1, """")"),"")</f>
        <v/>
      </c>
      <c r="P140" s="21" t="str">
        <f>IFERROR(__xludf.DUMMYFUNCTION("IFERROR((GOOGLEFINANCE(C140, ""price"") / INDEX(GOOGLEFINANCE(C140, ""price"", EDATE(TODAY(), -12), TODAY()), 2, 2)) - 1, """")"),"")</f>
        <v/>
      </c>
      <c r="Q140" s="6" t="str">
        <f>IFERROR(__xludf.DUMMYFUNCTION("AVERAGE(QUERY(GOOGLEFINANCE(C140, ""price"", TODAY()-80, TODAY()), ""SELECT Col2 WHERE Col2 IS NOT NULL ORDER BY Col1 DESC LIMIT 50"", 0))"),"#N/A")</f>
        <v>#N/A</v>
      </c>
      <c r="R140" s="24" t="str">
        <f>IFERROR(__xludf.DUMMYFUNCTION("IFERROR(
  LET(
    data, QUERY(GOOGLEFINANCE(C140,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GOOGLEFINANCE(C140, ""price"")) * 100,
    IF(calc=0, G140, calc)
  ), 
G140)"),"#N/A")</f>
        <v>#N/A</v>
      </c>
      <c r="S140" s="8" t="s">
        <v>15</v>
      </c>
      <c r="T140" s="26" t="str">
        <f>IFERROR(__xludf.DUMMYFUNCTION("IFERROR(TRANSPOSE(QUERY(IFERROR(SORT(GOOGLEFINANCE(C140, ""price"", WORKDAY(TODAY(), -40), TODAY()), 1, FALSE)), ""select Col2 where Col2 is not null limit 22 label Col2 ''"", 0)), """")"),"")</f>
        <v/>
      </c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8"/>
      <c r="AO140" s="28"/>
      <c r="AP140" s="29"/>
      <c r="AQ140" s="29" t="str">
        <f t="shared" ref="AQ140:BL140" si="143">T140/T$2</f>
        <v>#N/A</v>
      </c>
      <c r="AR140" s="29" t="str">
        <f t="shared" si="143"/>
        <v>#DIV/0!</v>
      </c>
      <c r="AS140" s="29" t="str">
        <f t="shared" si="143"/>
        <v>#DIV/0!</v>
      </c>
      <c r="AT140" s="29" t="str">
        <f t="shared" si="143"/>
        <v>#DIV/0!</v>
      </c>
      <c r="AU140" s="29" t="str">
        <f t="shared" si="143"/>
        <v>#DIV/0!</v>
      </c>
      <c r="AV140" s="29" t="str">
        <f t="shared" si="143"/>
        <v>#DIV/0!</v>
      </c>
      <c r="AW140" s="29" t="str">
        <f t="shared" si="143"/>
        <v>#DIV/0!</v>
      </c>
      <c r="AX140" s="29" t="str">
        <f t="shared" si="143"/>
        <v>#DIV/0!</v>
      </c>
      <c r="AY140" s="29" t="str">
        <f t="shared" si="143"/>
        <v>#DIV/0!</v>
      </c>
      <c r="AZ140" s="29" t="str">
        <f t="shared" si="143"/>
        <v>#DIV/0!</v>
      </c>
      <c r="BA140" s="29" t="str">
        <f t="shared" si="143"/>
        <v>#DIV/0!</v>
      </c>
      <c r="BB140" s="29" t="str">
        <f t="shared" si="143"/>
        <v>#DIV/0!</v>
      </c>
      <c r="BC140" s="29" t="str">
        <f t="shared" si="143"/>
        <v>#DIV/0!</v>
      </c>
      <c r="BD140" s="29" t="str">
        <f t="shared" si="143"/>
        <v>#DIV/0!</v>
      </c>
      <c r="BE140" s="29" t="str">
        <f t="shared" si="143"/>
        <v>#DIV/0!</v>
      </c>
      <c r="BF140" s="29" t="str">
        <f t="shared" si="143"/>
        <v>#DIV/0!</v>
      </c>
      <c r="BG140" s="29" t="str">
        <f t="shared" si="143"/>
        <v>#DIV/0!</v>
      </c>
      <c r="BH140" s="29" t="str">
        <f t="shared" si="143"/>
        <v>#DIV/0!</v>
      </c>
      <c r="BI140" s="29" t="str">
        <f t="shared" si="143"/>
        <v>#DIV/0!</v>
      </c>
      <c r="BJ140" s="29" t="str">
        <f t="shared" si="143"/>
        <v>#DIV/0!</v>
      </c>
      <c r="BK140" s="29" t="str">
        <f t="shared" si="143"/>
        <v>#DIV/0!</v>
      </c>
      <c r="BL140" s="29" t="str">
        <f t="shared" si="143"/>
        <v>#DIV/0!</v>
      </c>
      <c r="BM140" s="29" t="str">
        <f t="shared" si="3"/>
        <v>#DIV/0!</v>
      </c>
    </row>
    <row r="141" hidden="1">
      <c r="A141" s="16" t="str">
        <f>IFERROR(__xludf.DUMMYFUNCTION("IFERROR(SPARKLINE(SORT(MAP(TRANSPOSE(AQ141:BL141), LAMBDA(val, IF(ISNUMBER(val), PERCENTRANK(AQ141:BL141, val)+0.01, 0))), SEQUENCE(COLUMNS(AQ141:BL141)), FALSE), {""charttype"",""column""; ""color"",""chartreuse""; ""ymin"", 0; ""ymax"", 1.01; ""highcolo"&amp;"r"", ""darkgreen""; ""lowcolor"", ""red""}), """")"),"")</f>
        <v/>
      </c>
      <c r="B141" s="17" t="str">
        <f t="shared" si="4"/>
        <v/>
      </c>
      <c r="C141" s="1" t="s">
        <v>3077</v>
      </c>
      <c r="D141" s="30" t="str">
        <f>IFERROR(__xludf.DUMMYFUNCTION("IFERROR(GOOGLEFINANCE(C141, ""NAME""))"),"Ranger Energy Services Inc")</f>
        <v>Ranger Energy Services Inc</v>
      </c>
      <c r="E141" s="30" t="s">
        <v>2537</v>
      </c>
      <c r="F141" s="33" t="str">
        <f>IFERROR(__xludf.DUMMYFUNCTION("( (GOOGLEFINANCE(C141, ""price"") - Q141) / Q141 ) / (R141 / 100)"),"Loading...")</f>
        <v>Loading...</v>
      </c>
      <c r="G141" s="20" t="str">
        <f>IFERROR(__xludf.DUMMYFUNCTION("AVERAGE(ARRAYFORMULA(100 * (QUERY(GOOGLEFINANCE(C141, ""high"", TODAY()-40, TODAY()), ""SELECT Col2 WHERE Col2 IS NOT NULL ORDER BY Col1 DESC LIMIT 20"", 0) / QUERY(GOOGLEFINANCE(C141, ""low"", TODAY()-40, TODAY()), ""SELECT Col2 WHERE Col2 IS NOT NULL OR"&amp;"DER BY Col1 DESC LIMIT 20"", 0) - 1)))"),"#N/A")</f>
        <v>#N/A</v>
      </c>
      <c r="H141" s="35" t="str">
        <f t="shared" si="6"/>
        <v>Illiquid</v>
      </c>
      <c r="I141" s="35" t="str">
        <f t="shared" si="7"/>
        <v>RVol Required</v>
      </c>
      <c r="J141" s="37">
        <f>IFERROR(__xludf.DUMMYFUNCTION("IFERROR(
  IF(C141="""",, 
    IFERROR(
      GOOGLEFINANCE(C141, ""price"") * GOOGLEFINANCE(C141, ""volumeavg""), 
      GOOGLEFINANCE(C141, ""price"") * AVERAGE(QUERY(GOOGLEFINANCE(C141, ""volume"", TODAY()-40, TODAY()), ""SELECT Col2 WHERE Col2 IS NOT "&amp;"NULL ORDER BY Col1 DESC LIMIT 20"", 0))
    )
  ), 
"""")"),2107900.6)</f>
        <v>2107900.6</v>
      </c>
      <c r="K141" s="21">
        <f>IFERROR(__xludf.DUMMYFUNCTION("IFERROR(GOOGLEFINANCE(C141, ""changepct"") / 100, """")"),0.014499999999999999)</f>
        <v>0.0145</v>
      </c>
      <c r="L141" s="21" t="str">
        <f>IFERROR(__xludf.DUMMYFUNCTION("IFERROR((GOOGLEFINANCE(C141, ""price"") / INDEX(GOOGLEFINANCE(C141, ""price"", TODAY()-7, TODAY()), 2, 2)) - 1, """")"),"")</f>
        <v/>
      </c>
      <c r="M141" s="21" t="str">
        <f>IFERROR(__xludf.DUMMYFUNCTION("IFERROR((GOOGLEFINANCE(C141, ""price"") / INDEX(GOOGLEFINANCE(C141, ""price"", EDATE(TODAY(), -1), TODAY()), 2, 2)) - 1, """")"),"")</f>
        <v/>
      </c>
      <c r="N141" s="21" t="str">
        <f>IFERROR(__xludf.DUMMYFUNCTION("IFERROR((GOOGLEFINANCE(C141, ""price"") / INDEX(GOOGLEFINANCE(C141, ""price"", EDATE(TODAY(), -3), TODAY()), 2, 2)) - 1, """")"),"")</f>
        <v/>
      </c>
      <c r="O141" s="21" t="str">
        <f>IFERROR(__xludf.DUMMYFUNCTION("IFERROR((GOOGLEFINANCE(C141, ""price"") / INDEX(GOOGLEFINANCE(C141, ""price"", EDATE(TODAY(), -6), TODAY()), 2, 2)) - 1, """")"),"")</f>
        <v/>
      </c>
      <c r="P141" s="21" t="str">
        <f>IFERROR(__xludf.DUMMYFUNCTION("IFERROR((GOOGLEFINANCE(C141, ""price"") / INDEX(GOOGLEFINANCE(C141, ""price"", EDATE(TODAY(), -12), TODAY()), 2, 2)) - 1, """")"),"")</f>
        <v/>
      </c>
      <c r="Q141" s="6" t="str">
        <f>IFERROR(__xludf.DUMMYFUNCTION("AVERAGE(QUERY(GOOGLEFINANCE(C141, ""price"", TODAY()-80, TODAY()), ""SELECT Col2 WHERE Col2 IS NOT NULL ORDER BY Col1 DESC LIMIT 50"", 0))"),"#N/A")</f>
        <v>#N/A</v>
      </c>
      <c r="R141" s="24" t="str">
        <f>IFERROR(__xludf.DUMMYFUNCTION("IFERROR(
  LET(
    data, QUERY(GOOGLEFINANCE(C141,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GOOGLEFINANCE(C141, ""price"")) * 100,
    IF(calc=0, G141, calc)
  ), 
G141)"),"#N/A")</f>
        <v>#N/A</v>
      </c>
      <c r="S141" s="8" t="s">
        <v>15</v>
      </c>
      <c r="T141" s="26" t="str">
        <f>IFERROR(__xludf.DUMMYFUNCTION("IFERROR(TRANSPOSE(QUERY(IFERROR(SORT(GOOGLEFINANCE(C141, ""price"", WORKDAY(TODAY(), -40), TODAY()), 1, FALSE)), ""select Col2 where Col2 is not null limit 22 label Col2 ''"", 0)), """")"),"")</f>
        <v/>
      </c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8"/>
      <c r="AO141" s="28"/>
      <c r="AP141" s="29"/>
      <c r="AQ141" s="29" t="str">
        <f t="shared" ref="AQ141:BL141" si="144">T141/T$2</f>
        <v>#N/A</v>
      </c>
      <c r="AR141" s="29" t="str">
        <f t="shared" si="144"/>
        <v>#DIV/0!</v>
      </c>
      <c r="AS141" s="29" t="str">
        <f t="shared" si="144"/>
        <v>#DIV/0!</v>
      </c>
      <c r="AT141" s="29" t="str">
        <f t="shared" si="144"/>
        <v>#DIV/0!</v>
      </c>
      <c r="AU141" s="29" t="str">
        <f t="shared" si="144"/>
        <v>#DIV/0!</v>
      </c>
      <c r="AV141" s="29" t="str">
        <f t="shared" si="144"/>
        <v>#DIV/0!</v>
      </c>
      <c r="AW141" s="29" t="str">
        <f t="shared" si="144"/>
        <v>#DIV/0!</v>
      </c>
      <c r="AX141" s="29" t="str">
        <f t="shared" si="144"/>
        <v>#DIV/0!</v>
      </c>
      <c r="AY141" s="29" t="str">
        <f t="shared" si="144"/>
        <v>#DIV/0!</v>
      </c>
      <c r="AZ141" s="29" t="str">
        <f t="shared" si="144"/>
        <v>#DIV/0!</v>
      </c>
      <c r="BA141" s="29" t="str">
        <f t="shared" si="144"/>
        <v>#DIV/0!</v>
      </c>
      <c r="BB141" s="29" t="str">
        <f t="shared" si="144"/>
        <v>#DIV/0!</v>
      </c>
      <c r="BC141" s="29" t="str">
        <f t="shared" si="144"/>
        <v>#DIV/0!</v>
      </c>
      <c r="BD141" s="29" t="str">
        <f t="shared" si="144"/>
        <v>#DIV/0!</v>
      </c>
      <c r="BE141" s="29" t="str">
        <f t="shared" si="144"/>
        <v>#DIV/0!</v>
      </c>
      <c r="BF141" s="29" t="str">
        <f t="shared" si="144"/>
        <v>#DIV/0!</v>
      </c>
      <c r="BG141" s="29" t="str">
        <f t="shared" si="144"/>
        <v>#DIV/0!</v>
      </c>
      <c r="BH141" s="29" t="str">
        <f t="shared" si="144"/>
        <v>#DIV/0!</v>
      </c>
      <c r="BI141" s="29" t="str">
        <f t="shared" si="144"/>
        <v>#DIV/0!</v>
      </c>
      <c r="BJ141" s="29" t="str">
        <f t="shared" si="144"/>
        <v>#DIV/0!</v>
      </c>
      <c r="BK141" s="29" t="str">
        <f t="shared" si="144"/>
        <v>#DIV/0!</v>
      </c>
      <c r="BL141" s="29" t="str">
        <f t="shared" si="144"/>
        <v>#DIV/0!</v>
      </c>
      <c r="BM141" s="29" t="str">
        <f t="shared" si="3"/>
        <v>#DIV/0!</v>
      </c>
    </row>
    <row r="142" hidden="1">
      <c r="A142" s="16" t="str">
        <f>IFERROR(__xludf.DUMMYFUNCTION("IFERROR(SPARKLINE(SORT(MAP(TRANSPOSE(AQ142:BL142), LAMBDA(val, IF(ISNUMBER(val), PERCENTRANK(AQ142:BL142, val)+0.01, 0))), SEQUENCE(COLUMNS(AQ142:BL142)), FALSE), {""charttype"",""column""; ""color"",""chartreuse""; ""ymin"", 0; ""ymax"", 1.01; ""highcolo"&amp;"r"", ""darkgreen""; ""lowcolor"", ""red""}), """")"),"")</f>
        <v/>
      </c>
      <c r="B142" s="17" t="str">
        <f t="shared" si="4"/>
        <v/>
      </c>
      <c r="C142" s="1" t="s">
        <v>3080</v>
      </c>
      <c r="D142" s="30" t="str">
        <f>IFERROR(__xludf.DUMMYFUNCTION("IFERROR(GOOGLEFINANCE(C142, ""NAME""))"),"RPC Inc")</f>
        <v>RPC Inc</v>
      </c>
      <c r="E142" s="30" t="s">
        <v>2537</v>
      </c>
      <c r="F142" s="33" t="str">
        <f>IFERROR(__xludf.DUMMYFUNCTION("( (GOOGLEFINANCE(C142, ""price"") - Q142) / Q142 ) / (R142 / 100)"),"Loading...")</f>
        <v>Loading...</v>
      </c>
      <c r="G142" s="20" t="str">
        <f>IFERROR(__xludf.DUMMYFUNCTION("AVERAGE(ARRAYFORMULA(100 * (QUERY(GOOGLEFINANCE(C142, ""high"", TODAY()-40, TODAY()), ""SELECT Col2 WHERE Col2 IS NOT NULL ORDER BY Col1 DESC LIMIT 20"", 0) / QUERY(GOOGLEFINANCE(C142, ""low"", TODAY()-40, TODAY()), ""SELECT Col2 WHERE Col2 IS NOT NULL OR"&amp;"DER BY Col1 DESC LIMIT 20"", 0) - 1)))"),"#N/A")</f>
        <v>#N/A</v>
      </c>
      <c r="H142" s="35" t="str">
        <f t="shared" si="6"/>
        <v>Illiquid</v>
      </c>
      <c r="I142" s="35" t="str">
        <f t="shared" si="7"/>
        <v>RVol Required</v>
      </c>
      <c r="J142" s="37">
        <f>IFERROR(__xludf.DUMMYFUNCTION("IFERROR(
  IF(C142="""",, 
    IFERROR(
      GOOGLEFINANCE(C142, ""price"") * GOOGLEFINANCE(C142, ""volumeavg""), 
      GOOGLEFINANCE(C142, ""price"") * AVERAGE(QUERY(GOOGLEFINANCE(C142, ""volume"", TODAY()-40, TODAY()), ""SELECT Col2 WHERE Col2 IS NOT "&amp;"NULL ORDER BY Col1 DESC LIMIT 20"", 0))
    )
  ), 
"""")"),1.267786575E7)</f>
        <v>12677865.75</v>
      </c>
      <c r="K142" s="21">
        <f>IFERROR(__xludf.DUMMYFUNCTION("IFERROR(GOOGLEFINANCE(C142, ""changepct"") / 100, """")"),0.022000000000000002)</f>
        <v>0.022</v>
      </c>
      <c r="L142" s="21" t="str">
        <f>IFERROR(__xludf.DUMMYFUNCTION("IFERROR((GOOGLEFINANCE(C142, ""price"") / INDEX(GOOGLEFINANCE(C142, ""price"", TODAY()-7, TODAY()), 2, 2)) - 1, """")"),"")</f>
        <v/>
      </c>
      <c r="M142" s="21" t="str">
        <f>IFERROR(__xludf.DUMMYFUNCTION("IFERROR((GOOGLEFINANCE(C142, ""price"") / INDEX(GOOGLEFINANCE(C142, ""price"", EDATE(TODAY(), -1), TODAY()), 2, 2)) - 1, """")"),"")</f>
        <v/>
      </c>
      <c r="N142" s="21" t="str">
        <f>IFERROR(__xludf.DUMMYFUNCTION("IFERROR((GOOGLEFINANCE(C142, ""price"") / INDEX(GOOGLEFINANCE(C142, ""price"", EDATE(TODAY(), -3), TODAY()), 2, 2)) - 1, """")"),"")</f>
        <v/>
      </c>
      <c r="O142" s="21" t="str">
        <f>IFERROR(__xludf.DUMMYFUNCTION("IFERROR((GOOGLEFINANCE(C142, ""price"") / INDEX(GOOGLEFINANCE(C142, ""price"", EDATE(TODAY(), -6), TODAY()), 2, 2)) - 1, """")"),"")</f>
        <v/>
      </c>
      <c r="P142" s="21" t="str">
        <f>IFERROR(__xludf.DUMMYFUNCTION("IFERROR((GOOGLEFINANCE(C142, ""price"") / INDEX(GOOGLEFINANCE(C142, ""price"", EDATE(TODAY(), -12), TODAY()), 2, 2)) - 1, """")"),"")</f>
        <v/>
      </c>
      <c r="Q142" s="6" t="str">
        <f>IFERROR(__xludf.DUMMYFUNCTION("AVERAGE(QUERY(GOOGLEFINANCE(C142, ""price"", TODAY()-80, TODAY()), ""SELECT Col2 WHERE Col2 IS NOT NULL ORDER BY Col1 DESC LIMIT 50"", 0))"),"#N/A")</f>
        <v>#N/A</v>
      </c>
      <c r="R142" s="24" t="str">
        <f>IFERROR(__xludf.DUMMYFUNCTION("IFERROR(
  LET(
    data, QUERY(GOOGLEFINANCE(C142,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GOOGLEFINANCE(C142, ""price"")) * 100,
    IF(calc=0, G142, calc)
  ), 
G142)"),"#N/A")</f>
        <v>#N/A</v>
      </c>
      <c r="S142" s="8" t="s">
        <v>15</v>
      </c>
      <c r="T142" s="26" t="str">
        <f>IFERROR(__xludf.DUMMYFUNCTION("IFERROR(TRANSPOSE(QUERY(IFERROR(SORT(GOOGLEFINANCE(C142, ""price"", WORKDAY(TODAY(), -40), TODAY()), 1, FALSE)), ""select Col2 where Col2 is not null limit 22 label Col2 ''"", 0)), """")"),"")</f>
        <v/>
      </c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8"/>
      <c r="AO142" s="28"/>
      <c r="AP142" s="29"/>
      <c r="AQ142" s="29" t="str">
        <f t="shared" ref="AQ142:BL142" si="145">T142/T$2</f>
        <v>#N/A</v>
      </c>
      <c r="AR142" s="29" t="str">
        <f t="shared" si="145"/>
        <v>#DIV/0!</v>
      </c>
      <c r="AS142" s="29" t="str">
        <f t="shared" si="145"/>
        <v>#DIV/0!</v>
      </c>
      <c r="AT142" s="29" t="str">
        <f t="shared" si="145"/>
        <v>#DIV/0!</v>
      </c>
      <c r="AU142" s="29" t="str">
        <f t="shared" si="145"/>
        <v>#DIV/0!</v>
      </c>
      <c r="AV142" s="29" t="str">
        <f t="shared" si="145"/>
        <v>#DIV/0!</v>
      </c>
      <c r="AW142" s="29" t="str">
        <f t="shared" si="145"/>
        <v>#DIV/0!</v>
      </c>
      <c r="AX142" s="29" t="str">
        <f t="shared" si="145"/>
        <v>#DIV/0!</v>
      </c>
      <c r="AY142" s="29" t="str">
        <f t="shared" si="145"/>
        <v>#DIV/0!</v>
      </c>
      <c r="AZ142" s="29" t="str">
        <f t="shared" si="145"/>
        <v>#DIV/0!</v>
      </c>
      <c r="BA142" s="29" t="str">
        <f t="shared" si="145"/>
        <v>#DIV/0!</v>
      </c>
      <c r="BB142" s="29" t="str">
        <f t="shared" si="145"/>
        <v>#DIV/0!</v>
      </c>
      <c r="BC142" s="29" t="str">
        <f t="shared" si="145"/>
        <v>#DIV/0!</v>
      </c>
      <c r="BD142" s="29" t="str">
        <f t="shared" si="145"/>
        <v>#DIV/0!</v>
      </c>
      <c r="BE142" s="29" t="str">
        <f t="shared" si="145"/>
        <v>#DIV/0!</v>
      </c>
      <c r="BF142" s="29" t="str">
        <f t="shared" si="145"/>
        <v>#DIV/0!</v>
      </c>
      <c r="BG142" s="29" t="str">
        <f t="shared" si="145"/>
        <v>#DIV/0!</v>
      </c>
      <c r="BH142" s="29" t="str">
        <f t="shared" si="145"/>
        <v>#DIV/0!</v>
      </c>
      <c r="BI142" s="29" t="str">
        <f t="shared" si="145"/>
        <v>#DIV/0!</v>
      </c>
      <c r="BJ142" s="29" t="str">
        <f t="shared" si="145"/>
        <v>#DIV/0!</v>
      </c>
      <c r="BK142" s="29" t="str">
        <f t="shared" si="145"/>
        <v>#DIV/0!</v>
      </c>
      <c r="BL142" s="29" t="str">
        <f t="shared" si="145"/>
        <v>#DIV/0!</v>
      </c>
      <c r="BM142" s="29" t="str">
        <f t="shared" si="3"/>
        <v>#DIV/0!</v>
      </c>
    </row>
    <row r="143">
      <c r="A143" s="16" t="str">
        <f>IFERROR(__xludf.DUMMYFUNCTION("IFERROR(SPARKLINE(SORT(MAP(TRANSPOSE(AQ143:BL143), LAMBDA(val, IF(ISNUMBER(val), PERCENTRANK(AQ143:BL143, val)+0.01, 0))), SEQUENCE(COLUMNS(AQ143:BL143)), FALSE), {""charttype"",""column""; ""color"",""chartreuse""; ""ymin"", 0; ""ymax"", 1.01; ""highcolo"&amp;"r"", ""darkgreen""; ""lowcolor"", ""red""}), """")"),"")</f>
        <v/>
      </c>
      <c r="B143" s="17" t="str">
        <f t="shared" si="4"/>
        <v/>
      </c>
      <c r="C143" s="1" t="s">
        <v>3083</v>
      </c>
      <c r="D143" s="30" t="str">
        <f>IFERROR(__xludf.DUMMYFUNCTION("IFERROR(GOOGLEFINANCE(C143, ""NAME""))"),"Plains All American Pipeline LP")</f>
        <v>Plains All American Pipeline LP</v>
      </c>
      <c r="E143" s="30" t="s">
        <v>2547</v>
      </c>
      <c r="F143" s="33" t="str">
        <f>IFERROR(__xludf.DUMMYFUNCTION("( (GOOGLEFINANCE(C143, ""price"") - Q143) / Q143 ) / (R143 / 100)"),"Loading...")</f>
        <v>Loading...</v>
      </c>
      <c r="G143" s="20" t="str">
        <f>IFERROR(__xludf.DUMMYFUNCTION("AVERAGE(ARRAYFORMULA(100 * (QUERY(GOOGLEFINANCE(C143, ""high"", TODAY()-40, TODAY()), ""SELECT Col2 WHERE Col2 IS NOT NULL ORDER BY Col1 DESC LIMIT 20"", 0) / QUERY(GOOGLEFINANCE(C143, ""low"", TODAY()-40, TODAY()), ""SELECT Col2 WHERE Col2 IS NOT NULL OR"&amp;"DER BY Col1 DESC LIMIT 20"", 0) - 1)))"),"#N/A")</f>
        <v>#N/A</v>
      </c>
      <c r="H143" s="35" t="str">
        <f t="shared" si="6"/>
        <v>Liquid</v>
      </c>
      <c r="I143" s="35" t="str">
        <f t="shared" si="7"/>
        <v>RVol Required</v>
      </c>
      <c r="J143" s="37">
        <f>IFERROR(__xludf.DUMMYFUNCTION("IFERROR(
  IF(C143="""",, 
    IFERROR(
      GOOGLEFINANCE(C143, ""price"") * GOOGLEFINANCE(C143, ""volumeavg""), 
      GOOGLEFINANCE(C143, ""price"") * AVERAGE(QUERY(GOOGLEFINANCE(C143, ""volume"", TODAY()-40, TODAY()), ""SELECT Col2 WHERE Col2 IS NOT "&amp;"NULL ORDER BY Col1 DESC LIMIT 20"", 0))
    )
  ), 
"""")"),6.362856075E7)</f>
        <v>63628560.75</v>
      </c>
      <c r="K143" s="21">
        <f>IFERROR(__xludf.DUMMYFUNCTION("IFERROR(GOOGLEFINANCE(C143, ""changepct"") / 100, """")"),0.004)</f>
        <v>0.004</v>
      </c>
      <c r="L143" s="21" t="str">
        <f>IFERROR(__xludf.DUMMYFUNCTION("IFERROR((GOOGLEFINANCE(C143, ""price"") / INDEX(GOOGLEFINANCE(C143, ""price"", TODAY()-7, TODAY()), 2, 2)) - 1, """")"),"")</f>
        <v/>
      </c>
      <c r="M143" s="21" t="str">
        <f>IFERROR(__xludf.DUMMYFUNCTION("IFERROR((GOOGLEFINANCE(C143, ""price"") / INDEX(GOOGLEFINANCE(C143, ""price"", EDATE(TODAY(), -1), TODAY()), 2, 2)) - 1, """")"),"")</f>
        <v/>
      </c>
      <c r="N143" s="21" t="str">
        <f>IFERROR(__xludf.DUMMYFUNCTION("IFERROR((GOOGLEFINANCE(C143, ""price"") / INDEX(GOOGLEFINANCE(C143, ""price"", EDATE(TODAY(), -3), TODAY()), 2, 2)) - 1, """")"),"")</f>
        <v/>
      </c>
      <c r="O143" s="21" t="str">
        <f>IFERROR(__xludf.DUMMYFUNCTION("IFERROR((GOOGLEFINANCE(C143, ""price"") / INDEX(GOOGLEFINANCE(C143, ""price"", EDATE(TODAY(), -6), TODAY()), 2, 2)) - 1, """")"),"")</f>
        <v/>
      </c>
      <c r="P143" s="21" t="str">
        <f>IFERROR(__xludf.DUMMYFUNCTION("IFERROR((GOOGLEFINANCE(C143, ""price"") / INDEX(GOOGLEFINANCE(C143, ""price"", EDATE(TODAY(), -12), TODAY()), 2, 2)) - 1, """")"),"")</f>
        <v/>
      </c>
      <c r="Q143" s="6" t="str">
        <f>IFERROR(__xludf.DUMMYFUNCTION("AVERAGE(QUERY(GOOGLEFINANCE(C143, ""price"", TODAY()-80, TODAY()), ""SELECT Col2 WHERE Col2 IS NOT NULL ORDER BY Col1 DESC LIMIT 50"", 0))"),"#N/A")</f>
        <v>#N/A</v>
      </c>
      <c r="R143" s="24" t="str">
        <f>IFERROR(__xludf.DUMMYFUNCTION("IFERROR(
  LET(
    data, QUERY(GOOGLEFINANCE(C143,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GOOGLEFINANCE(C143, ""price"")) * 100,
    IF(calc=0, G143, calc)
  ), 
G143)"),"#N/A")</f>
        <v>#N/A</v>
      </c>
      <c r="S143" s="8" t="s">
        <v>15</v>
      </c>
      <c r="T143" s="26" t="str">
        <f>IFERROR(__xludf.DUMMYFUNCTION("IFERROR(TRANSPOSE(QUERY(IFERROR(SORT(GOOGLEFINANCE(C143, ""price"", WORKDAY(TODAY(), -40), TODAY()), 1, FALSE)), ""select Col2 where Col2 is not null limit 22 label Col2 ''"", 0)), """")"),"")</f>
        <v/>
      </c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8"/>
      <c r="AO143" s="28"/>
      <c r="AP143" s="29"/>
      <c r="AQ143" s="29" t="str">
        <f t="shared" ref="AQ143:BL143" si="146">T143/T$2</f>
        <v>#N/A</v>
      </c>
      <c r="AR143" s="29" t="str">
        <f t="shared" si="146"/>
        <v>#DIV/0!</v>
      </c>
      <c r="AS143" s="29" t="str">
        <f t="shared" si="146"/>
        <v>#DIV/0!</v>
      </c>
      <c r="AT143" s="29" t="str">
        <f t="shared" si="146"/>
        <v>#DIV/0!</v>
      </c>
      <c r="AU143" s="29" t="str">
        <f t="shared" si="146"/>
        <v>#DIV/0!</v>
      </c>
      <c r="AV143" s="29" t="str">
        <f t="shared" si="146"/>
        <v>#DIV/0!</v>
      </c>
      <c r="AW143" s="29" t="str">
        <f t="shared" si="146"/>
        <v>#DIV/0!</v>
      </c>
      <c r="AX143" s="29" t="str">
        <f t="shared" si="146"/>
        <v>#DIV/0!</v>
      </c>
      <c r="AY143" s="29" t="str">
        <f t="shared" si="146"/>
        <v>#DIV/0!</v>
      </c>
      <c r="AZ143" s="29" t="str">
        <f t="shared" si="146"/>
        <v>#DIV/0!</v>
      </c>
      <c r="BA143" s="29" t="str">
        <f t="shared" si="146"/>
        <v>#DIV/0!</v>
      </c>
      <c r="BB143" s="29" t="str">
        <f t="shared" si="146"/>
        <v>#DIV/0!</v>
      </c>
      <c r="BC143" s="29" t="str">
        <f t="shared" si="146"/>
        <v>#DIV/0!</v>
      </c>
      <c r="BD143" s="29" t="str">
        <f t="shared" si="146"/>
        <v>#DIV/0!</v>
      </c>
      <c r="BE143" s="29" t="str">
        <f t="shared" si="146"/>
        <v>#DIV/0!</v>
      </c>
      <c r="BF143" s="29" t="str">
        <f t="shared" si="146"/>
        <v>#DIV/0!</v>
      </c>
      <c r="BG143" s="29" t="str">
        <f t="shared" si="146"/>
        <v>#DIV/0!</v>
      </c>
      <c r="BH143" s="29" t="str">
        <f t="shared" si="146"/>
        <v>#DIV/0!</v>
      </c>
      <c r="BI143" s="29" t="str">
        <f t="shared" si="146"/>
        <v>#DIV/0!</v>
      </c>
      <c r="BJ143" s="29" t="str">
        <f t="shared" si="146"/>
        <v>#DIV/0!</v>
      </c>
      <c r="BK143" s="29" t="str">
        <f t="shared" si="146"/>
        <v>#DIV/0!</v>
      </c>
      <c r="BL143" s="29" t="str">
        <f t="shared" si="146"/>
        <v>#DIV/0!</v>
      </c>
      <c r="BM143" s="29" t="str">
        <f t="shared" si="3"/>
        <v>#DIV/0!</v>
      </c>
    </row>
    <row r="144">
      <c r="A144" s="16" t="str">
        <f>IFERROR(__xludf.DUMMYFUNCTION("IFERROR(SPARKLINE(SORT(MAP(TRANSPOSE(AQ144:BL144), LAMBDA(val, IF(ISNUMBER(val), PERCENTRANK(AQ144:BL144, val)+0.01, 0))), SEQUENCE(COLUMNS(AQ144:BL144)), FALSE), {""charttype"",""column""; ""color"",""chartreuse""; ""ymin"", 0; ""ymax"", 1.01; ""highcolo"&amp;"r"", ""darkgreen""; ""lowcolor"", ""red""}), """")"),"")</f>
        <v/>
      </c>
      <c r="B144" s="17" t="str">
        <f t="shared" si="4"/>
        <v/>
      </c>
      <c r="C144" s="1" t="s">
        <v>3086</v>
      </c>
      <c r="D144" s="30" t="str">
        <f>IFERROR(__xludf.DUMMYFUNCTION("IFERROR(GOOGLEFINANCE(C144, ""NAME""))"),"Matador Resources Co")</f>
        <v>Matador Resources Co</v>
      </c>
      <c r="E144" s="30" t="s">
        <v>2613</v>
      </c>
      <c r="F144" s="33" t="str">
        <f>IFERROR(__xludf.DUMMYFUNCTION("( (GOOGLEFINANCE(C144, ""price"") - Q144) / Q144 ) / (R144 / 100)"),"Loading...")</f>
        <v>Loading...</v>
      </c>
      <c r="G144" s="20" t="str">
        <f>IFERROR(__xludf.DUMMYFUNCTION("AVERAGE(ARRAYFORMULA(100 * (QUERY(GOOGLEFINANCE(C144, ""high"", TODAY()-40, TODAY()), ""SELECT Col2 WHERE Col2 IS NOT NULL ORDER BY Col1 DESC LIMIT 20"", 0) / QUERY(GOOGLEFINANCE(C144, ""low"", TODAY()-40, TODAY()), ""SELECT Col2 WHERE Col2 IS NOT NULL OR"&amp;"DER BY Col1 DESC LIMIT 20"", 0) - 1)))"),"#N/A")</f>
        <v>#N/A</v>
      </c>
      <c r="H144" s="35" t="str">
        <f t="shared" si="6"/>
        <v>Liquid</v>
      </c>
      <c r="I144" s="35" t="str">
        <f t="shared" si="7"/>
        <v>RVol Required</v>
      </c>
      <c r="J144" s="37">
        <f>IFERROR(__xludf.DUMMYFUNCTION("IFERROR(
  IF(C144="""",, 
    IFERROR(
      GOOGLEFINANCE(C144, ""price"") * GOOGLEFINANCE(C144, ""volumeavg""), 
      GOOGLEFINANCE(C144, ""price"") * AVERAGE(QUERY(GOOGLEFINANCE(C144, ""volume"", TODAY()-40, TODAY()), ""SELECT Col2 WHERE Col2 IS NOT "&amp;"NULL ORDER BY Col1 DESC LIMIT 20"", 0))
    )
  ), 
"""")"),9.379424024000001E7)</f>
        <v>93794240.24</v>
      </c>
      <c r="K144" s="21">
        <f>IFERROR(__xludf.DUMMYFUNCTION("IFERROR(GOOGLEFINANCE(C144, ""changepct"") / 100, """")"),0.0697)</f>
        <v>0.0697</v>
      </c>
      <c r="L144" s="21" t="str">
        <f>IFERROR(__xludf.DUMMYFUNCTION("IFERROR((GOOGLEFINANCE(C144, ""price"") / INDEX(GOOGLEFINANCE(C144, ""price"", TODAY()-7, TODAY()), 2, 2)) - 1, """")"),"")</f>
        <v/>
      </c>
      <c r="M144" s="21" t="str">
        <f>IFERROR(__xludf.DUMMYFUNCTION("IFERROR((GOOGLEFINANCE(C144, ""price"") / INDEX(GOOGLEFINANCE(C144, ""price"", EDATE(TODAY(), -1), TODAY()), 2, 2)) - 1, """")"),"")</f>
        <v/>
      </c>
      <c r="N144" s="21" t="str">
        <f>IFERROR(__xludf.DUMMYFUNCTION("IFERROR((GOOGLEFINANCE(C144, ""price"") / INDEX(GOOGLEFINANCE(C144, ""price"", EDATE(TODAY(), -3), TODAY()), 2, 2)) - 1, """")"),"")</f>
        <v/>
      </c>
      <c r="O144" s="21" t="str">
        <f>IFERROR(__xludf.DUMMYFUNCTION("IFERROR((GOOGLEFINANCE(C144, ""price"") / INDEX(GOOGLEFINANCE(C144, ""price"", EDATE(TODAY(), -6), TODAY()), 2, 2)) - 1, """")"),"")</f>
        <v/>
      </c>
      <c r="P144" s="21" t="str">
        <f>IFERROR(__xludf.DUMMYFUNCTION("IFERROR((GOOGLEFINANCE(C144, ""price"") / INDEX(GOOGLEFINANCE(C144, ""price"", EDATE(TODAY(), -12), TODAY()), 2, 2)) - 1, """")"),"")</f>
        <v/>
      </c>
      <c r="Q144" s="6" t="str">
        <f>IFERROR(__xludf.DUMMYFUNCTION("AVERAGE(QUERY(GOOGLEFINANCE(C144, ""price"", TODAY()-80, TODAY()), ""SELECT Col2 WHERE Col2 IS NOT NULL ORDER BY Col1 DESC LIMIT 50"", 0))"),"#N/A")</f>
        <v>#N/A</v>
      </c>
      <c r="R144" s="24" t="str">
        <f>IFERROR(__xludf.DUMMYFUNCTION("IFERROR(
  LET(
    data, QUERY(GOOGLEFINANCE(C144,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GOOGLEFINANCE(C144, ""price"")) * 100,
    IF(calc=0, G144, calc)
  ), 
G144)"),"#N/A")</f>
        <v>#N/A</v>
      </c>
      <c r="S144" s="8" t="s">
        <v>15</v>
      </c>
      <c r="T144" s="26" t="str">
        <f>IFERROR(__xludf.DUMMYFUNCTION("IFERROR(TRANSPOSE(QUERY(IFERROR(SORT(GOOGLEFINANCE(C144, ""price"", WORKDAY(TODAY(), -40), TODAY()), 1, FALSE)), ""select Col2 where Col2 is not null limit 22 label Col2 ''"", 0)), """")"),"")</f>
        <v/>
      </c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8"/>
      <c r="AO144" s="28"/>
      <c r="AP144" s="29"/>
      <c r="AQ144" s="29" t="str">
        <f t="shared" ref="AQ144:BL144" si="147">T144/T$2</f>
        <v>#N/A</v>
      </c>
      <c r="AR144" s="29" t="str">
        <f t="shared" si="147"/>
        <v>#DIV/0!</v>
      </c>
      <c r="AS144" s="29" t="str">
        <f t="shared" si="147"/>
        <v>#DIV/0!</v>
      </c>
      <c r="AT144" s="29" t="str">
        <f t="shared" si="147"/>
        <v>#DIV/0!</v>
      </c>
      <c r="AU144" s="29" t="str">
        <f t="shared" si="147"/>
        <v>#DIV/0!</v>
      </c>
      <c r="AV144" s="29" t="str">
        <f t="shared" si="147"/>
        <v>#DIV/0!</v>
      </c>
      <c r="AW144" s="29" t="str">
        <f t="shared" si="147"/>
        <v>#DIV/0!</v>
      </c>
      <c r="AX144" s="29" t="str">
        <f t="shared" si="147"/>
        <v>#DIV/0!</v>
      </c>
      <c r="AY144" s="29" t="str">
        <f t="shared" si="147"/>
        <v>#DIV/0!</v>
      </c>
      <c r="AZ144" s="29" t="str">
        <f t="shared" si="147"/>
        <v>#DIV/0!</v>
      </c>
      <c r="BA144" s="29" t="str">
        <f t="shared" si="147"/>
        <v>#DIV/0!</v>
      </c>
      <c r="BB144" s="29" t="str">
        <f t="shared" si="147"/>
        <v>#DIV/0!</v>
      </c>
      <c r="BC144" s="29" t="str">
        <f t="shared" si="147"/>
        <v>#DIV/0!</v>
      </c>
      <c r="BD144" s="29" t="str">
        <f t="shared" si="147"/>
        <v>#DIV/0!</v>
      </c>
      <c r="BE144" s="29" t="str">
        <f t="shared" si="147"/>
        <v>#DIV/0!</v>
      </c>
      <c r="BF144" s="29" t="str">
        <f t="shared" si="147"/>
        <v>#DIV/0!</v>
      </c>
      <c r="BG144" s="29" t="str">
        <f t="shared" si="147"/>
        <v>#DIV/0!</v>
      </c>
      <c r="BH144" s="29" t="str">
        <f t="shared" si="147"/>
        <v>#DIV/0!</v>
      </c>
      <c r="BI144" s="29" t="str">
        <f t="shared" si="147"/>
        <v>#DIV/0!</v>
      </c>
      <c r="BJ144" s="29" t="str">
        <f t="shared" si="147"/>
        <v>#DIV/0!</v>
      </c>
      <c r="BK144" s="29" t="str">
        <f t="shared" si="147"/>
        <v>#DIV/0!</v>
      </c>
      <c r="BL144" s="29" t="str">
        <f t="shared" si="147"/>
        <v>#DIV/0!</v>
      </c>
      <c r="BM144" s="29" t="str">
        <f t="shared" si="3"/>
        <v>#DIV/0!</v>
      </c>
    </row>
    <row r="145">
      <c r="A145" s="16" t="str">
        <f>IFERROR(__xludf.DUMMYFUNCTION("IFERROR(SPARKLINE(SORT(MAP(TRANSPOSE(AQ145:BL145), LAMBDA(val, IF(ISNUMBER(val), PERCENTRANK(AQ145:BL145, val)+0.01, 0))), SEQUENCE(COLUMNS(AQ145:BL145)), FALSE), {""charttype"",""column""; ""color"",""chartreuse""; ""ymin"", 0; ""ymax"", 1.01; ""highcolo"&amp;"r"", ""darkgreen""; ""lowcolor"", ""red""}), """")"),"")</f>
        <v/>
      </c>
      <c r="B145" s="17" t="str">
        <f t="shared" si="4"/>
        <v/>
      </c>
      <c r="C145" s="1" t="s">
        <v>3089</v>
      </c>
      <c r="D145" s="30" t="str">
        <f>IFERROR(__xludf.DUMMYFUNCTION("IFERROR(GOOGLEFINANCE(C145, ""NAME""))"),"Magnolia Oil &amp; Gas Corp")</f>
        <v>Magnolia Oil &amp; Gas Corp</v>
      </c>
      <c r="E145" s="30" t="s">
        <v>2613</v>
      </c>
      <c r="F145" s="33" t="str">
        <f>IFERROR(__xludf.DUMMYFUNCTION("( (GOOGLEFINANCE(C145, ""price"") - Q145) / Q145 ) / (R145 / 100)"),"Loading...")</f>
        <v>Loading...</v>
      </c>
      <c r="G145" s="20" t="str">
        <f>IFERROR(__xludf.DUMMYFUNCTION("AVERAGE(ARRAYFORMULA(100 * (QUERY(GOOGLEFINANCE(C145, ""high"", TODAY()-40, TODAY()), ""SELECT Col2 WHERE Col2 IS NOT NULL ORDER BY Col1 DESC LIMIT 20"", 0) / QUERY(GOOGLEFINANCE(C145, ""low"", TODAY()-40, TODAY()), ""SELECT Col2 WHERE Col2 IS NOT NULL OR"&amp;"DER BY Col1 DESC LIMIT 20"", 0) - 1)))"),"#N/A")</f>
        <v>#N/A</v>
      </c>
      <c r="H145" s="35" t="str">
        <f t="shared" si="6"/>
        <v>Liquid</v>
      </c>
      <c r="I145" s="35" t="str">
        <f t="shared" si="7"/>
        <v>RVol Required</v>
      </c>
      <c r="J145" s="37">
        <f>IFERROR(__xludf.DUMMYFUNCTION("IFERROR(
  IF(C145="""",, 
    IFERROR(
      GOOGLEFINANCE(C145, ""price"") * GOOGLEFINANCE(C145, ""volumeavg""), 
      GOOGLEFINANCE(C145, ""price"") * AVERAGE(QUERY(GOOGLEFINANCE(C145, ""volume"", TODAY()-40, TODAY()), ""SELECT Col2 WHERE Col2 IS NOT "&amp;"NULL ORDER BY Col1 DESC LIMIT 20"", 0))
    )
  ), 
"""")"),1.1834921280000001E8)</f>
        <v>118349212.8</v>
      </c>
      <c r="K145" s="21">
        <f>IFERROR(__xludf.DUMMYFUNCTION("IFERROR(GOOGLEFINANCE(C145, ""changepct"") / 100, """")"),0.0338)</f>
        <v>0.0338</v>
      </c>
      <c r="L145" s="21" t="str">
        <f>IFERROR(__xludf.DUMMYFUNCTION("IFERROR((GOOGLEFINANCE(C145, ""price"") / INDEX(GOOGLEFINANCE(C145, ""price"", TODAY()-7, TODAY()), 2, 2)) - 1, """")"),"")</f>
        <v/>
      </c>
      <c r="M145" s="21" t="str">
        <f>IFERROR(__xludf.DUMMYFUNCTION("IFERROR((GOOGLEFINANCE(C145, ""price"") / INDEX(GOOGLEFINANCE(C145, ""price"", EDATE(TODAY(), -1), TODAY()), 2, 2)) - 1, """")"),"")</f>
        <v/>
      </c>
      <c r="N145" s="21" t="str">
        <f>IFERROR(__xludf.DUMMYFUNCTION("IFERROR((GOOGLEFINANCE(C145, ""price"") / INDEX(GOOGLEFINANCE(C145, ""price"", EDATE(TODAY(), -3), TODAY()), 2, 2)) - 1, """")"),"")</f>
        <v/>
      </c>
      <c r="O145" s="21" t="str">
        <f>IFERROR(__xludf.DUMMYFUNCTION("IFERROR((GOOGLEFINANCE(C145, ""price"") / INDEX(GOOGLEFINANCE(C145, ""price"", EDATE(TODAY(), -6), TODAY()), 2, 2)) - 1, """")"),"")</f>
        <v/>
      </c>
      <c r="P145" s="21" t="str">
        <f>IFERROR(__xludf.DUMMYFUNCTION("IFERROR((GOOGLEFINANCE(C145, ""price"") / INDEX(GOOGLEFINANCE(C145, ""price"", EDATE(TODAY(), -12), TODAY()), 2, 2)) - 1, """")"),"")</f>
        <v/>
      </c>
      <c r="Q145" s="6" t="str">
        <f>IFERROR(__xludf.DUMMYFUNCTION("AVERAGE(QUERY(GOOGLEFINANCE(C145, ""price"", TODAY()-80, TODAY()), ""SELECT Col2 WHERE Col2 IS NOT NULL ORDER BY Col1 DESC LIMIT 50"", 0))"),"#N/A")</f>
        <v>#N/A</v>
      </c>
      <c r="R145" s="24" t="str">
        <f>IFERROR(__xludf.DUMMYFUNCTION("IFERROR(
  LET(
    data, QUERY(GOOGLEFINANCE(C145,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GOOGLEFINANCE(C145, ""price"")) * 100,
    IF(calc=0, G145, calc)
  ), 
G145)"),"#N/A")</f>
        <v>#N/A</v>
      </c>
      <c r="S145" s="8" t="s">
        <v>15</v>
      </c>
      <c r="T145" s="26" t="str">
        <f>IFERROR(__xludf.DUMMYFUNCTION("IFERROR(TRANSPOSE(QUERY(IFERROR(SORT(GOOGLEFINANCE(C145, ""price"", WORKDAY(TODAY(), -40), TODAY()), 1, FALSE)), ""select Col2 where Col2 is not null limit 22 label Col2 ''"", 0)), """")"),"")</f>
        <v/>
      </c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8"/>
      <c r="AO145" s="28"/>
      <c r="AP145" s="29"/>
      <c r="AQ145" s="29" t="str">
        <f t="shared" ref="AQ145:BL145" si="148">T145/T$2</f>
        <v>#N/A</v>
      </c>
      <c r="AR145" s="29" t="str">
        <f t="shared" si="148"/>
        <v>#DIV/0!</v>
      </c>
      <c r="AS145" s="29" t="str">
        <f t="shared" si="148"/>
        <v>#DIV/0!</v>
      </c>
      <c r="AT145" s="29" t="str">
        <f t="shared" si="148"/>
        <v>#DIV/0!</v>
      </c>
      <c r="AU145" s="29" t="str">
        <f t="shared" si="148"/>
        <v>#DIV/0!</v>
      </c>
      <c r="AV145" s="29" t="str">
        <f t="shared" si="148"/>
        <v>#DIV/0!</v>
      </c>
      <c r="AW145" s="29" t="str">
        <f t="shared" si="148"/>
        <v>#DIV/0!</v>
      </c>
      <c r="AX145" s="29" t="str">
        <f t="shared" si="148"/>
        <v>#DIV/0!</v>
      </c>
      <c r="AY145" s="29" t="str">
        <f t="shared" si="148"/>
        <v>#DIV/0!</v>
      </c>
      <c r="AZ145" s="29" t="str">
        <f t="shared" si="148"/>
        <v>#DIV/0!</v>
      </c>
      <c r="BA145" s="29" t="str">
        <f t="shared" si="148"/>
        <v>#DIV/0!</v>
      </c>
      <c r="BB145" s="29" t="str">
        <f t="shared" si="148"/>
        <v>#DIV/0!</v>
      </c>
      <c r="BC145" s="29" t="str">
        <f t="shared" si="148"/>
        <v>#DIV/0!</v>
      </c>
      <c r="BD145" s="29" t="str">
        <f t="shared" si="148"/>
        <v>#DIV/0!</v>
      </c>
      <c r="BE145" s="29" t="str">
        <f t="shared" si="148"/>
        <v>#DIV/0!</v>
      </c>
      <c r="BF145" s="29" t="str">
        <f t="shared" si="148"/>
        <v>#DIV/0!</v>
      </c>
      <c r="BG145" s="29" t="str">
        <f t="shared" si="148"/>
        <v>#DIV/0!</v>
      </c>
      <c r="BH145" s="29" t="str">
        <f t="shared" si="148"/>
        <v>#DIV/0!</v>
      </c>
      <c r="BI145" s="29" t="str">
        <f t="shared" si="148"/>
        <v>#DIV/0!</v>
      </c>
      <c r="BJ145" s="29" t="str">
        <f t="shared" si="148"/>
        <v>#DIV/0!</v>
      </c>
      <c r="BK145" s="29" t="str">
        <f t="shared" si="148"/>
        <v>#DIV/0!</v>
      </c>
      <c r="BL145" s="29" t="str">
        <f t="shared" si="148"/>
        <v>#DIV/0!</v>
      </c>
      <c r="BM145" s="29" t="str">
        <f t="shared" si="3"/>
        <v>#DIV/0!</v>
      </c>
    </row>
    <row r="146" hidden="1">
      <c r="A146" s="16" t="str">
        <f>IFERROR(__xludf.DUMMYFUNCTION("IFERROR(SPARKLINE(SORT(MAP(TRANSPOSE(AQ146:BL146), LAMBDA(val, IF(ISNUMBER(val), PERCENTRANK(AQ146:BL146, val)+0.01, 0))), SEQUENCE(COLUMNS(AQ146:BL146)), FALSE), {""charttype"",""column""; ""color"",""chartreuse""; ""ymin"", 0; ""ymax"", 1.01; ""highcolo"&amp;"r"", ""darkgreen""; ""lowcolor"", ""red""}), """")"),"")</f>
        <v/>
      </c>
      <c r="B146" s="17" t="str">
        <f t="shared" si="4"/>
        <v/>
      </c>
      <c r="C146" s="1" t="s">
        <v>3092</v>
      </c>
      <c r="D146" s="30" t="str">
        <f>IFERROR(__xludf.DUMMYFUNCTION("IFERROR(GOOGLEFINANCE(C146, ""NAME""))"),"Infinity Natural Resources Inc")</f>
        <v>Infinity Natural Resources Inc</v>
      </c>
      <c r="E146" s="30" t="s">
        <v>2613</v>
      </c>
      <c r="F146" s="33" t="str">
        <f>IFERROR(__xludf.DUMMYFUNCTION("( (GOOGLEFINANCE(C146, ""price"") - Q146) / Q146 ) / (R146 / 100)"),"Loading...")</f>
        <v>Loading...</v>
      </c>
      <c r="G146" s="20" t="str">
        <f>IFERROR(__xludf.DUMMYFUNCTION("AVERAGE(ARRAYFORMULA(100 * (QUERY(GOOGLEFINANCE(C146, ""high"", TODAY()-40, TODAY()), ""SELECT Col2 WHERE Col2 IS NOT NULL ORDER BY Col1 DESC LIMIT 20"", 0) / QUERY(GOOGLEFINANCE(C146, ""low"", TODAY()-40, TODAY()), ""SELECT Col2 WHERE Col2 IS NOT NULL OR"&amp;"DER BY Col1 DESC LIMIT 20"", 0) - 1)))"),"#N/A")</f>
        <v>#N/A</v>
      </c>
      <c r="H146" s="35" t="str">
        <f t="shared" si="6"/>
        <v>Illiquid</v>
      </c>
      <c r="I146" s="35" t="str">
        <f t="shared" si="7"/>
        <v>RVol Required</v>
      </c>
      <c r="J146" s="37">
        <f>IFERROR(__xludf.DUMMYFUNCTION("IFERROR(
  IF(C146="""",, 
    IFERROR(
      GOOGLEFINANCE(C146, ""price"") * GOOGLEFINANCE(C146, ""volumeavg""), 
      GOOGLEFINANCE(C146, ""price"") * AVERAGE(QUERY(GOOGLEFINANCE(C146, ""volume"", TODAY()-40, TODAY()), ""SELECT Col2 WHERE Col2 IS NOT "&amp;"NULL ORDER BY Col1 DESC LIMIT 20"", 0))
    )
  ), 
"""")"),3960728.8)</f>
        <v>3960728.8</v>
      </c>
      <c r="K146" s="21">
        <f>IFERROR(__xludf.DUMMYFUNCTION("IFERROR(GOOGLEFINANCE(C146, ""changepct"") / 100, """")"),0.0285)</f>
        <v>0.0285</v>
      </c>
      <c r="L146" s="21" t="str">
        <f>IFERROR(__xludf.DUMMYFUNCTION("IFERROR((GOOGLEFINANCE(C146, ""price"") / INDEX(GOOGLEFINANCE(C146, ""price"", TODAY()-7, TODAY()), 2, 2)) - 1, """")"),"")</f>
        <v/>
      </c>
      <c r="M146" s="21" t="str">
        <f>IFERROR(__xludf.DUMMYFUNCTION("IFERROR((GOOGLEFINANCE(C146, ""price"") / INDEX(GOOGLEFINANCE(C146, ""price"", EDATE(TODAY(), -1), TODAY()), 2, 2)) - 1, """")"),"")</f>
        <v/>
      </c>
      <c r="N146" s="21" t="str">
        <f>IFERROR(__xludf.DUMMYFUNCTION("IFERROR((GOOGLEFINANCE(C146, ""price"") / INDEX(GOOGLEFINANCE(C146, ""price"", EDATE(TODAY(), -3), TODAY()), 2, 2)) - 1, """")"),"")</f>
        <v/>
      </c>
      <c r="O146" s="21" t="str">
        <f>IFERROR(__xludf.DUMMYFUNCTION("IFERROR((GOOGLEFINANCE(C146, ""price"") / INDEX(GOOGLEFINANCE(C146, ""price"", EDATE(TODAY(), -6), TODAY()), 2, 2)) - 1, """")"),"")</f>
        <v/>
      </c>
      <c r="P146" s="21" t="str">
        <f>IFERROR(__xludf.DUMMYFUNCTION("IFERROR((GOOGLEFINANCE(C146, ""price"") / INDEX(GOOGLEFINANCE(C146, ""price"", EDATE(TODAY(), -12), TODAY()), 2, 2)) - 1, """")"),"")</f>
        <v/>
      </c>
      <c r="Q146" s="6" t="str">
        <f>IFERROR(__xludf.DUMMYFUNCTION("AVERAGE(QUERY(GOOGLEFINANCE(C146, ""price"", TODAY()-80, TODAY()), ""SELECT Col2 WHERE Col2 IS NOT NULL ORDER BY Col1 DESC LIMIT 50"", 0))"),"#N/A")</f>
        <v>#N/A</v>
      </c>
      <c r="R146" s="24" t="str">
        <f>IFERROR(__xludf.DUMMYFUNCTION("IFERROR(
  LET(
    data, QUERY(GOOGLEFINANCE(C146,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GOOGLEFINANCE(C146, ""price"")) * 100,
    IF(calc=0, G146, calc)
  ), 
G146)"),"#N/A")</f>
        <v>#N/A</v>
      </c>
      <c r="S146" s="8" t="s">
        <v>15</v>
      </c>
      <c r="T146" s="26" t="str">
        <f>IFERROR(__xludf.DUMMYFUNCTION("IFERROR(TRANSPOSE(QUERY(IFERROR(SORT(GOOGLEFINANCE(C146, ""price"", WORKDAY(TODAY(), -40), TODAY()), 1, FALSE)), ""select Col2 where Col2 is not null limit 22 label Col2 ''"", 0)), """")"),"")</f>
        <v/>
      </c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8"/>
      <c r="AO146" s="28"/>
      <c r="AP146" s="29"/>
      <c r="AQ146" s="29" t="str">
        <f t="shared" ref="AQ146:BL146" si="149">T146/T$2</f>
        <v>#N/A</v>
      </c>
      <c r="AR146" s="29" t="str">
        <f t="shared" si="149"/>
        <v>#DIV/0!</v>
      </c>
      <c r="AS146" s="29" t="str">
        <f t="shared" si="149"/>
        <v>#DIV/0!</v>
      </c>
      <c r="AT146" s="29" t="str">
        <f t="shared" si="149"/>
        <v>#DIV/0!</v>
      </c>
      <c r="AU146" s="29" t="str">
        <f t="shared" si="149"/>
        <v>#DIV/0!</v>
      </c>
      <c r="AV146" s="29" t="str">
        <f t="shared" si="149"/>
        <v>#DIV/0!</v>
      </c>
      <c r="AW146" s="29" t="str">
        <f t="shared" si="149"/>
        <v>#DIV/0!</v>
      </c>
      <c r="AX146" s="29" t="str">
        <f t="shared" si="149"/>
        <v>#DIV/0!</v>
      </c>
      <c r="AY146" s="29" t="str">
        <f t="shared" si="149"/>
        <v>#DIV/0!</v>
      </c>
      <c r="AZ146" s="29" t="str">
        <f t="shared" si="149"/>
        <v>#DIV/0!</v>
      </c>
      <c r="BA146" s="29" t="str">
        <f t="shared" si="149"/>
        <v>#DIV/0!</v>
      </c>
      <c r="BB146" s="29" t="str">
        <f t="shared" si="149"/>
        <v>#DIV/0!</v>
      </c>
      <c r="BC146" s="29" t="str">
        <f t="shared" si="149"/>
        <v>#DIV/0!</v>
      </c>
      <c r="BD146" s="29" t="str">
        <f t="shared" si="149"/>
        <v>#DIV/0!</v>
      </c>
      <c r="BE146" s="29" t="str">
        <f t="shared" si="149"/>
        <v>#DIV/0!</v>
      </c>
      <c r="BF146" s="29" t="str">
        <f t="shared" si="149"/>
        <v>#DIV/0!</v>
      </c>
      <c r="BG146" s="29" t="str">
        <f t="shared" si="149"/>
        <v>#DIV/0!</v>
      </c>
      <c r="BH146" s="29" t="str">
        <f t="shared" si="149"/>
        <v>#DIV/0!</v>
      </c>
      <c r="BI146" s="29" t="str">
        <f t="shared" si="149"/>
        <v>#DIV/0!</v>
      </c>
      <c r="BJ146" s="29" t="str">
        <f t="shared" si="149"/>
        <v>#DIV/0!</v>
      </c>
      <c r="BK146" s="29" t="str">
        <f t="shared" si="149"/>
        <v>#DIV/0!</v>
      </c>
      <c r="BL146" s="29" t="str">
        <f t="shared" si="149"/>
        <v>#DIV/0!</v>
      </c>
      <c r="BM146" s="29" t="str">
        <f t="shared" si="3"/>
        <v>#DIV/0!</v>
      </c>
    </row>
    <row r="147" hidden="1">
      <c r="A147" s="16" t="str">
        <f>IFERROR(__xludf.DUMMYFUNCTION("IFERROR(SPARKLINE(SORT(MAP(TRANSPOSE(AQ147:BL147), LAMBDA(val, IF(ISNUMBER(val), PERCENTRANK(AQ147:BL147, val)+0.01, 0))), SEQUENCE(COLUMNS(AQ147:BL147)), FALSE), {""charttype"",""column""; ""color"",""chartreuse""; ""ymin"", 0; ""ymax"", 1.01; ""highcolo"&amp;"r"", ""darkgreen""; ""lowcolor"", ""red""}), """")"),"")</f>
        <v/>
      </c>
      <c r="B147" s="17" t="str">
        <f t="shared" si="4"/>
        <v/>
      </c>
      <c r="C147" s="1" t="s">
        <v>3095</v>
      </c>
      <c r="D147" s="30" t="str">
        <f>IFERROR(__xludf.DUMMYFUNCTION("IFERROR(GOOGLEFINANCE(C147, ""NAME""))"),"Granite Ridge Resources Inc")</f>
        <v>Granite Ridge Resources Inc</v>
      </c>
      <c r="E147" s="30" t="s">
        <v>2613</v>
      </c>
      <c r="F147" s="33" t="str">
        <f>IFERROR(__xludf.DUMMYFUNCTION("( (GOOGLEFINANCE(C147, ""price"") - Q147) / Q147 ) / (R147 / 100)"),"Loading...")</f>
        <v>Loading...</v>
      </c>
      <c r="G147" s="20" t="str">
        <f>IFERROR(__xludf.DUMMYFUNCTION("AVERAGE(ARRAYFORMULA(100 * (QUERY(GOOGLEFINANCE(C147, ""high"", TODAY()-40, TODAY()), ""SELECT Col2 WHERE Col2 IS NOT NULL ORDER BY Col1 DESC LIMIT 20"", 0) / QUERY(GOOGLEFINANCE(C147, ""low"", TODAY()-40, TODAY()), ""SELECT Col2 WHERE Col2 IS NOT NULL OR"&amp;"DER BY Col1 DESC LIMIT 20"", 0) - 1)))"),"#N/A")</f>
        <v>#N/A</v>
      </c>
      <c r="H147" s="35" t="str">
        <f t="shared" si="6"/>
        <v>Illiquid</v>
      </c>
      <c r="I147" s="35" t="str">
        <f t="shared" si="7"/>
        <v>RVol Required</v>
      </c>
      <c r="J147" s="37">
        <f>IFERROR(__xludf.DUMMYFUNCTION("IFERROR(
  IF(C147="""",, 
    IFERROR(
      GOOGLEFINANCE(C147, ""price"") * GOOGLEFINANCE(C147, ""volumeavg""), 
      GOOGLEFINANCE(C147, ""price"") * AVERAGE(QUERY(GOOGLEFINANCE(C147, ""volume"", TODAY()-40, TODAY()), ""SELECT Col2 WHERE Col2 IS NOT "&amp;"NULL ORDER BY Col1 DESC LIMIT 20"", 0))
    )
  ), 
"""")"),7724748.25)</f>
        <v>7724748.25</v>
      </c>
      <c r="K147" s="21">
        <f>IFERROR(__xludf.DUMMYFUNCTION("IFERROR(GOOGLEFINANCE(C147, ""changepct"") / 100, """")"),0.0707)</f>
        <v>0.0707</v>
      </c>
      <c r="L147" s="21" t="str">
        <f>IFERROR(__xludf.DUMMYFUNCTION("IFERROR((GOOGLEFINANCE(C147, ""price"") / INDEX(GOOGLEFINANCE(C147, ""price"", TODAY()-7, TODAY()), 2, 2)) - 1, """")"),"")</f>
        <v/>
      </c>
      <c r="M147" s="21" t="str">
        <f>IFERROR(__xludf.DUMMYFUNCTION("IFERROR((GOOGLEFINANCE(C147, ""price"") / INDEX(GOOGLEFINANCE(C147, ""price"", EDATE(TODAY(), -1), TODAY()), 2, 2)) - 1, """")"),"")</f>
        <v/>
      </c>
      <c r="N147" s="21" t="str">
        <f>IFERROR(__xludf.DUMMYFUNCTION("IFERROR((GOOGLEFINANCE(C147, ""price"") / INDEX(GOOGLEFINANCE(C147, ""price"", EDATE(TODAY(), -3), TODAY()), 2, 2)) - 1, """")"),"")</f>
        <v/>
      </c>
      <c r="O147" s="21" t="str">
        <f>IFERROR(__xludf.DUMMYFUNCTION("IFERROR((GOOGLEFINANCE(C147, ""price"") / INDEX(GOOGLEFINANCE(C147, ""price"", EDATE(TODAY(), -6), TODAY()), 2, 2)) - 1, """")"),"")</f>
        <v/>
      </c>
      <c r="P147" s="21" t="str">
        <f>IFERROR(__xludf.DUMMYFUNCTION("IFERROR((GOOGLEFINANCE(C147, ""price"") / INDEX(GOOGLEFINANCE(C147, ""price"", EDATE(TODAY(), -12), TODAY()), 2, 2)) - 1, """")"),"")</f>
        <v/>
      </c>
      <c r="Q147" s="6" t="str">
        <f>IFERROR(__xludf.DUMMYFUNCTION("AVERAGE(QUERY(GOOGLEFINANCE(C147, ""price"", TODAY()-80, TODAY()), ""SELECT Col2 WHERE Col2 IS NOT NULL ORDER BY Col1 DESC LIMIT 50"", 0))"),"#N/A")</f>
        <v>#N/A</v>
      </c>
      <c r="R147" s="24" t="str">
        <f>IFERROR(__xludf.DUMMYFUNCTION("IFERROR(
  LET(
    data, QUERY(GOOGLEFINANCE(C147,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GOOGLEFINANCE(C147, ""price"")) * 100,
    IF(calc=0, G147, calc)
  ), 
G147)"),"#N/A")</f>
        <v>#N/A</v>
      </c>
      <c r="S147" s="8" t="s">
        <v>15</v>
      </c>
      <c r="T147" s="26" t="str">
        <f>IFERROR(__xludf.DUMMYFUNCTION("IFERROR(TRANSPOSE(QUERY(IFERROR(SORT(GOOGLEFINANCE(C147, ""price"", WORKDAY(TODAY(), -40), TODAY()), 1, FALSE)), ""select Col2 where Col2 is not null limit 22 label Col2 ''"", 0)), """")"),"")</f>
        <v/>
      </c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8"/>
      <c r="AO147" s="28"/>
      <c r="AP147" s="29"/>
      <c r="AQ147" s="29" t="str">
        <f t="shared" ref="AQ147:BL147" si="150">T147/T$2</f>
        <v>#N/A</v>
      </c>
      <c r="AR147" s="29" t="str">
        <f t="shared" si="150"/>
        <v>#DIV/0!</v>
      </c>
      <c r="AS147" s="29" t="str">
        <f t="shared" si="150"/>
        <v>#DIV/0!</v>
      </c>
      <c r="AT147" s="29" t="str">
        <f t="shared" si="150"/>
        <v>#DIV/0!</v>
      </c>
      <c r="AU147" s="29" t="str">
        <f t="shared" si="150"/>
        <v>#DIV/0!</v>
      </c>
      <c r="AV147" s="29" t="str">
        <f t="shared" si="150"/>
        <v>#DIV/0!</v>
      </c>
      <c r="AW147" s="29" t="str">
        <f t="shared" si="150"/>
        <v>#DIV/0!</v>
      </c>
      <c r="AX147" s="29" t="str">
        <f t="shared" si="150"/>
        <v>#DIV/0!</v>
      </c>
      <c r="AY147" s="29" t="str">
        <f t="shared" si="150"/>
        <v>#DIV/0!</v>
      </c>
      <c r="AZ147" s="29" t="str">
        <f t="shared" si="150"/>
        <v>#DIV/0!</v>
      </c>
      <c r="BA147" s="29" t="str">
        <f t="shared" si="150"/>
        <v>#DIV/0!</v>
      </c>
      <c r="BB147" s="29" t="str">
        <f t="shared" si="150"/>
        <v>#DIV/0!</v>
      </c>
      <c r="BC147" s="29" t="str">
        <f t="shared" si="150"/>
        <v>#DIV/0!</v>
      </c>
      <c r="BD147" s="29" t="str">
        <f t="shared" si="150"/>
        <v>#DIV/0!</v>
      </c>
      <c r="BE147" s="29" t="str">
        <f t="shared" si="150"/>
        <v>#DIV/0!</v>
      </c>
      <c r="BF147" s="29" t="str">
        <f t="shared" si="150"/>
        <v>#DIV/0!</v>
      </c>
      <c r="BG147" s="29" t="str">
        <f t="shared" si="150"/>
        <v>#DIV/0!</v>
      </c>
      <c r="BH147" s="29" t="str">
        <f t="shared" si="150"/>
        <v>#DIV/0!</v>
      </c>
      <c r="BI147" s="29" t="str">
        <f t="shared" si="150"/>
        <v>#DIV/0!</v>
      </c>
      <c r="BJ147" s="29" t="str">
        <f t="shared" si="150"/>
        <v>#DIV/0!</v>
      </c>
      <c r="BK147" s="29" t="str">
        <f t="shared" si="150"/>
        <v>#DIV/0!</v>
      </c>
      <c r="BL147" s="29" t="str">
        <f t="shared" si="150"/>
        <v>#DIV/0!</v>
      </c>
      <c r="BM147" s="29" t="str">
        <f t="shared" si="3"/>
        <v>#DIV/0!</v>
      </c>
    </row>
    <row r="148">
      <c r="A148" s="16" t="str">
        <f>IFERROR(__xludf.DUMMYFUNCTION("IFERROR(SPARKLINE(SORT(MAP(TRANSPOSE(AQ148:BL148), LAMBDA(val, IF(ISNUMBER(val), PERCENTRANK(AQ148:BL148, val)+0.01, 0))), SEQUENCE(COLUMNS(AQ148:BL148)), FALSE), {""charttype"",""column""; ""color"",""chartreuse""; ""ymin"", 0; ""ymax"", 1.01; ""highcolo"&amp;"r"", ""darkgreen""; ""lowcolor"", ""red""}), """")"),"")</f>
        <v/>
      </c>
      <c r="B148" s="17" t="str">
        <f t="shared" si="4"/>
        <v/>
      </c>
      <c r="C148" s="1" t="s">
        <v>3099</v>
      </c>
      <c r="D148" s="30" t="str">
        <f>IFERROR(__xludf.DUMMYFUNCTION("IFERROR(GOOGLEFINANCE(C148, ""NAME""))"),"Chevron Corporation")</f>
        <v>Chevron Corporation</v>
      </c>
      <c r="E148" s="30" t="s">
        <v>2631</v>
      </c>
      <c r="F148" s="33" t="str">
        <f>IFERROR(__xludf.DUMMYFUNCTION("( (GOOGLEFINANCE(C148, ""price"") - Q148) / Q148 ) / (R148 / 100)"),"Loading...")</f>
        <v>Loading...</v>
      </c>
      <c r="G148" s="20" t="str">
        <f>IFERROR(__xludf.DUMMYFUNCTION("AVERAGE(ARRAYFORMULA(100 * (QUERY(GOOGLEFINANCE(C148, ""high"", TODAY()-40, TODAY()), ""SELECT Col2 WHERE Col2 IS NOT NULL ORDER BY Col1 DESC LIMIT 20"", 0) / QUERY(GOOGLEFINANCE(C148, ""low"", TODAY()-40, TODAY()), ""SELECT Col2 WHERE Col2 IS NOT NULL OR"&amp;"DER BY Col1 DESC LIMIT 20"", 0) - 1)))"),"#N/A")</f>
        <v>#N/A</v>
      </c>
      <c r="H148" s="35" t="str">
        <f t="shared" si="6"/>
        <v>Liquid</v>
      </c>
      <c r="I148" s="35" t="str">
        <f t="shared" si="7"/>
        <v>No RVol Required</v>
      </c>
      <c r="J148" s="37">
        <f>IFERROR(__xludf.DUMMYFUNCTION("IFERROR(
  IF(C148="""",, 
    IFERROR(
      GOOGLEFINANCE(C148, ""price"") * GOOGLEFINANCE(C148, ""volumeavg""), 
      GOOGLEFINANCE(C148, ""price"") * AVERAGE(QUERY(GOOGLEFINANCE(C148, ""volume"", TODAY()-40, TODAY()), ""SELECT Col2 WHERE Col2 IS NOT "&amp;"NULL ORDER BY Col1 DESC LIMIT 20"", 0))
    )
  ), 
"""")"),2.0037528403600001E9)</f>
        <v>2003752840</v>
      </c>
      <c r="K148" s="21">
        <f>IFERROR(__xludf.DUMMYFUNCTION("IFERROR(GOOGLEFINANCE(C148, ""changepct"") / 100, """")"),0.0259)</f>
        <v>0.0259</v>
      </c>
      <c r="L148" s="21" t="str">
        <f>IFERROR(__xludf.DUMMYFUNCTION("IFERROR((GOOGLEFINANCE(C148, ""price"") / INDEX(GOOGLEFINANCE(C148, ""price"", TODAY()-7, TODAY()), 2, 2)) - 1, """")"),"")</f>
        <v/>
      </c>
      <c r="M148" s="21" t="str">
        <f>IFERROR(__xludf.DUMMYFUNCTION("IFERROR((GOOGLEFINANCE(C148, ""price"") / INDEX(GOOGLEFINANCE(C148, ""price"", EDATE(TODAY(), -1), TODAY()), 2, 2)) - 1, """")"),"")</f>
        <v/>
      </c>
      <c r="N148" s="21" t="str">
        <f>IFERROR(__xludf.DUMMYFUNCTION("IFERROR((GOOGLEFINANCE(C148, ""price"") / INDEX(GOOGLEFINANCE(C148, ""price"", EDATE(TODAY(), -3), TODAY()), 2, 2)) - 1, """")"),"")</f>
        <v/>
      </c>
      <c r="O148" s="21" t="str">
        <f>IFERROR(__xludf.DUMMYFUNCTION("IFERROR((GOOGLEFINANCE(C148, ""price"") / INDEX(GOOGLEFINANCE(C148, ""price"", EDATE(TODAY(), -6), TODAY()), 2, 2)) - 1, """")"),"")</f>
        <v/>
      </c>
      <c r="P148" s="21" t="str">
        <f>IFERROR(__xludf.DUMMYFUNCTION("IFERROR((GOOGLEFINANCE(C148, ""price"") / INDEX(GOOGLEFINANCE(C148, ""price"", EDATE(TODAY(), -12), TODAY()), 2, 2)) - 1, """")"),"")</f>
        <v/>
      </c>
      <c r="Q148" s="6" t="str">
        <f>IFERROR(__xludf.DUMMYFUNCTION("AVERAGE(QUERY(GOOGLEFINANCE(C148, ""price"", TODAY()-80, TODAY()), ""SELECT Col2 WHERE Col2 IS NOT NULL ORDER BY Col1 DESC LIMIT 50"", 0))"),"#N/A")</f>
        <v>#N/A</v>
      </c>
      <c r="R148" s="24" t="str">
        <f>IFERROR(__xludf.DUMMYFUNCTION("IFERROR(
  LET(
    data, QUERY(GOOGLEFINANCE(C148,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GOOGLEFINANCE(C148, ""price"")) * 100,
    IF(calc=0, G148, calc)
  ), 
G148)"),"#N/A")</f>
        <v>#N/A</v>
      </c>
      <c r="S148" s="8" t="s">
        <v>15</v>
      </c>
      <c r="T148" s="26" t="str">
        <f>IFERROR(__xludf.DUMMYFUNCTION("IFERROR(TRANSPOSE(QUERY(IFERROR(SORT(GOOGLEFINANCE(C148, ""price"", WORKDAY(TODAY(), -40), TODAY()), 1, FALSE)), ""select Col2 where Col2 is not null limit 22 label Col2 ''"", 0)), """")"),"")</f>
        <v/>
      </c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8"/>
      <c r="AO148" s="28"/>
      <c r="AP148" s="29"/>
      <c r="AQ148" s="29" t="str">
        <f t="shared" ref="AQ148:BL148" si="151">T148/T$2</f>
        <v>#N/A</v>
      </c>
      <c r="AR148" s="29" t="str">
        <f t="shared" si="151"/>
        <v>#DIV/0!</v>
      </c>
      <c r="AS148" s="29" t="str">
        <f t="shared" si="151"/>
        <v>#DIV/0!</v>
      </c>
      <c r="AT148" s="29" t="str">
        <f t="shared" si="151"/>
        <v>#DIV/0!</v>
      </c>
      <c r="AU148" s="29" t="str">
        <f t="shared" si="151"/>
        <v>#DIV/0!</v>
      </c>
      <c r="AV148" s="29" t="str">
        <f t="shared" si="151"/>
        <v>#DIV/0!</v>
      </c>
      <c r="AW148" s="29" t="str">
        <f t="shared" si="151"/>
        <v>#DIV/0!</v>
      </c>
      <c r="AX148" s="29" t="str">
        <f t="shared" si="151"/>
        <v>#DIV/0!</v>
      </c>
      <c r="AY148" s="29" t="str">
        <f t="shared" si="151"/>
        <v>#DIV/0!</v>
      </c>
      <c r="AZ148" s="29" t="str">
        <f t="shared" si="151"/>
        <v>#DIV/0!</v>
      </c>
      <c r="BA148" s="29" t="str">
        <f t="shared" si="151"/>
        <v>#DIV/0!</v>
      </c>
      <c r="BB148" s="29" t="str">
        <f t="shared" si="151"/>
        <v>#DIV/0!</v>
      </c>
      <c r="BC148" s="29" t="str">
        <f t="shared" si="151"/>
        <v>#DIV/0!</v>
      </c>
      <c r="BD148" s="29" t="str">
        <f t="shared" si="151"/>
        <v>#DIV/0!</v>
      </c>
      <c r="BE148" s="29" t="str">
        <f t="shared" si="151"/>
        <v>#DIV/0!</v>
      </c>
      <c r="BF148" s="29" t="str">
        <f t="shared" si="151"/>
        <v>#DIV/0!</v>
      </c>
      <c r="BG148" s="29" t="str">
        <f t="shared" si="151"/>
        <v>#DIV/0!</v>
      </c>
      <c r="BH148" s="29" t="str">
        <f t="shared" si="151"/>
        <v>#DIV/0!</v>
      </c>
      <c r="BI148" s="29" t="str">
        <f t="shared" si="151"/>
        <v>#DIV/0!</v>
      </c>
      <c r="BJ148" s="29" t="str">
        <f t="shared" si="151"/>
        <v>#DIV/0!</v>
      </c>
      <c r="BK148" s="29" t="str">
        <f t="shared" si="151"/>
        <v>#DIV/0!</v>
      </c>
      <c r="BL148" s="29" t="str">
        <f t="shared" si="151"/>
        <v>#DIV/0!</v>
      </c>
      <c r="BM148" s="29" t="str">
        <f t="shared" si="3"/>
        <v>#DIV/0!</v>
      </c>
    </row>
    <row r="149">
      <c r="A149" s="16" t="str">
        <f>IFERROR(__xludf.DUMMYFUNCTION("IFERROR(SPARKLINE(SORT(MAP(TRANSPOSE(AQ149:BL149), LAMBDA(val, IF(ISNUMBER(val), PERCENTRANK(AQ149:BL149, val)+0.01, 0))), SEQUENCE(COLUMNS(AQ149:BL149)), FALSE), {""charttype"",""column""; ""color"",""chartreuse""; ""ymin"", 0; ""ymax"", 1.01; ""highcolo"&amp;"r"", ""darkgreen""; ""lowcolor"", ""red""}), """")"),"")</f>
        <v/>
      </c>
      <c r="B149" s="17" t="str">
        <f t="shared" si="4"/>
        <v/>
      </c>
      <c r="C149" s="1" t="s">
        <v>3102</v>
      </c>
      <c r="D149" s="30" t="str">
        <f>IFERROR(__xludf.DUMMYFUNCTION("IFERROR(GOOGLEFINANCE(C149, ""NAME""))"),"ConocoPhillips")</f>
        <v>ConocoPhillips</v>
      </c>
      <c r="E149" s="30" t="s">
        <v>2613</v>
      </c>
      <c r="F149" s="33" t="str">
        <f>IFERROR(__xludf.DUMMYFUNCTION("( (GOOGLEFINANCE(C149, ""price"") - Q149) / Q149 ) / (R149 / 100)"),"Loading...")</f>
        <v>Loading...</v>
      </c>
      <c r="G149" s="20" t="str">
        <f>IFERROR(__xludf.DUMMYFUNCTION("AVERAGE(ARRAYFORMULA(100 * (QUERY(GOOGLEFINANCE(C149, ""high"", TODAY()-40, TODAY()), ""SELECT Col2 WHERE Col2 IS NOT NULL ORDER BY Col1 DESC LIMIT 20"", 0) / QUERY(GOOGLEFINANCE(C149, ""low"", TODAY()-40, TODAY()), ""SELECT Col2 WHERE Col2 IS NOT NULL OR"&amp;"DER BY Col1 DESC LIMIT 20"", 0) - 1)))"),"#N/A")</f>
        <v>#N/A</v>
      </c>
      <c r="H149" s="35" t="str">
        <f t="shared" si="6"/>
        <v>Liquid</v>
      </c>
      <c r="I149" s="35" t="str">
        <f t="shared" si="7"/>
        <v>No RVol Required</v>
      </c>
      <c r="J149" s="37">
        <f>IFERROR(__xludf.DUMMYFUNCTION("IFERROR(
  IF(C149="""",, 
    IFERROR(
      GOOGLEFINANCE(C149, ""price"") * GOOGLEFINANCE(C149, ""volumeavg""), 
      GOOGLEFINANCE(C149, ""price"") * AVERAGE(QUERY(GOOGLEFINANCE(C149, ""volume"", TODAY()-40, TODAY()), ""SELECT Col2 WHERE Col2 IS NOT "&amp;"NULL ORDER BY Col1 DESC LIMIT 20"", 0))
    )
  ), 
"""")"),9.4662513764E8)</f>
        <v>946625137.6</v>
      </c>
      <c r="K149" s="21">
        <f>IFERROR(__xludf.DUMMYFUNCTION("IFERROR(GOOGLEFINANCE(C149, ""changepct"") / 100, """")"),0.0337)</f>
        <v>0.0337</v>
      </c>
      <c r="L149" s="21" t="str">
        <f>IFERROR(__xludf.DUMMYFUNCTION("IFERROR((GOOGLEFINANCE(C149, ""price"") / INDEX(GOOGLEFINANCE(C149, ""price"", TODAY()-7, TODAY()), 2, 2)) - 1, """")"),"")</f>
        <v/>
      </c>
      <c r="M149" s="21" t="str">
        <f>IFERROR(__xludf.DUMMYFUNCTION("IFERROR((GOOGLEFINANCE(C149, ""price"") / INDEX(GOOGLEFINANCE(C149, ""price"", EDATE(TODAY(), -1), TODAY()), 2, 2)) - 1, """")"),"")</f>
        <v/>
      </c>
      <c r="N149" s="21" t="str">
        <f>IFERROR(__xludf.DUMMYFUNCTION("IFERROR((GOOGLEFINANCE(C149, ""price"") / INDEX(GOOGLEFINANCE(C149, ""price"", EDATE(TODAY(), -3), TODAY()), 2, 2)) - 1, """")"),"")</f>
        <v/>
      </c>
      <c r="O149" s="21" t="str">
        <f>IFERROR(__xludf.DUMMYFUNCTION("IFERROR((GOOGLEFINANCE(C149, ""price"") / INDEX(GOOGLEFINANCE(C149, ""price"", EDATE(TODAY(), -6), TODAY()), 2, 2)) - 1, """")"),"")</f>
        <v/>
      </c>
      <c r="P149" s="21" t="str">
        <f>IFERROR(__xludf.DUMMYFUNCTION("IFERROR((GOOGLEFINANCE(C149, ""price"") / INDEX(GOOGLEFINANCE(C149, ""price"", EDATE(TODAY(), -12), TODAY()), 2, 2)) - 1, """")"),"")</f>
        <v/>
      </c>
      <c r="Q149" s="6" t="str">
        <f>IFERROR(__xludf.DUMMYFUNCTION("AVERAGE(QUERY(GOOGLEFINANCE(C149, ""price"", TODAY()-80, TODAY()), ""SELECT Col2 WHERE Col2 IS NOT NULL ORDER BY Col1 DESC LIMIT 50"", 0))"),"#N/A")</f>
        <v>#N/A</v>
      </c>
      <c r="R149" s="24" t="str">
        <f>IFERROR(__xludf.DUMMYFUNCTION("IFERROR(
  LET(
    data, QUERY(GOOGLEFINANCE(C149,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GOOGLEFINANCE(C149, ""price"")) * 100,
    IF(calc=0, G149, calc)
  ), 
G149)"),"#N/A")</f>
        <v>#N/A</v>
      </c>
      <c r="S149" s="8" t="s">
        <v>15</v>
      </c>
      <c r="T149" s="26" t="str">
        <f>IFERROR(__xludf.DUMMYFUNCTION("IFERROR(TRANSPOSE(QUERY(IFERROR(SORT(GOOGLEFINANCE(C149, ""price"", WORKDAY(TODAY(), -40), TODAY()), 1, FALSE)), ""select Col2 where Col2 is not null limit 22 label Col2 ''"", 0)), """")"),"")</f>
        <v/>
      </c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8"/>
      <c r="AO149" s="28"/>
      <c r="AP149" s="29"/>
      <c r="AQ149" s="29" t="str">
        <f t="shared" ref="AQ149:BL149" si="152">T149/T$2</f>
        <v>#N/A</v>
      </c>
      <c r="AR149" s="29" t="str">
        <f t="shared" si="152"/>
        <v>#DIV/0!</v>
      </c>
      <c r="AS149" s="29" t="str">
        <f t="shared" si="152"/>
        <v>#DIV/0!</v>
      </c>
      <c r="AT149" s="29" t="str">
        <f t="shared" si="152"/>
        <v>#DIV/0!</v>
      </c>
      <c r="AU149" s="29" t="str">
        <f t="shared" si="152"/>
        <v>#DIV/0!</v>
      </c>
      <c r="AV149" s="29" t="str">
        <f t="shared" si="152"/>
        <v>#DIV/0!</v>
      </c>
      <c r="AW149" s="29" t="str">
        <f t="shared" si="152"/>
        <v>#DIV/0!</v>
      </c>
      <c r="AX149" s="29" t="str">
        <f t="shared" si="152"/>
        <v>#DIV/0!</v>
      </c>
      <c r="AY149" s="29" t="str">
        <f t="shared" si="152"/>
        <v>#DIV/0!</v>
      </c>
      <c r="AZ149" s="29" t="str">
        <f t="shared" si="152"/>
        <v>#DIV/0!</v>
      </c>
      <c r="BA149" s="29" t="str">
        <f t="shared" si="152"/>
        <v>#DIV/0!</v>
      </c>
      <c r="BB149" s="29" t="str">
        <f t="shared" si="152"/>
        <v>#DIV/0!</v>
      </c>
      <c r="BC149" s="29" t="str">
        <f t="shared" si="152"/>
        <v>#DIV/0!</v>
      </c>
      <c r="BD149" s="29" t="str">
        <f t="shared" si="152"/>
        <v>#DIV/0!</v>
      </c>
      <c r="BE149" s="29" t="str">
        <f t="shared" si="152"/>
        <v>#DIV/0!</v>
      </c>
      <c r="BF149" s="29" t="str">
        <f t="shared" si="152"/>
        <v>#DIV/0!</v>
      </c>
      <c r="BG149" s="29" t="str">
        <f t="shared" si="152"/>
        <v>#DIV/0!</v>
      </c>
      <c r="BH149" s="29" t="str">
        <f t="shared" si="152"/>
        <v>#DIV/0!</v>
      </c>
      <c r="BI149" s="29" t="str">
        <f t="shared" si="152"/>
        <v>#DIV/0!</v>
      </c>
      <c r="BJ149" s="29" t="str">
        <f t="shared" si="152"/>
        <v>#DIV/0!</v>
      </c>
      <c r="BK149" s="29" t="str">
        <f t="shared" si="152"/>
        <v>#DIV/0!</v>
      </c>
      <c r="BL149" s="29" t="str">
        <f t="shared" si="152"/>
        <v>#DIV/0!</v>
      </c>
      <c r="BM149" s="29" t="str">
        <f t="shared" si="3"/>
        <v>#DIV/0!</v>
      </c>
    </row>
    <row r="150">
      <c r="A150" s="16" t="str">
        <f>IFERROR(__xludf.DUMMYFUNCTION("IFERROR(SPARKLINE(SORT(MAP(TRANSPOSE(AQ150:BL150), LAMBDA(val, IF(ISNUMBER(val), PERCENTRANK(AQ150:BL150, val)+0.01, 0))), SEQUENCE(COLUMNS(AQ150:BL150)), FALSE), {""charttype"",""column""; ""color"",""chartreuse""; ""ymin"", 0; ""ymax"", 1.01; ""highcolo"&amp;"r"", ""darkgreen""; ""lowcolor"", ""red""}), """")"),"")</f>
        <v/>
      </c>
      <c r="B150" s="17" t="str">
        <f t="shared" si="4"/>
        <v/>
      </c>
      <c r="C150" s="1" t="s">
        <v>3105</v>
      </c>
      <c r="D150" s="30" t="str">
        <f>IFERROR(__xludf.DUMMYFUNCTION("IFERROR(GOOGLEFINANCE(C150, ""NAME""))"),"Peabody Energy Corp")</f>
        <v>Peabody Energy Corp</v>
      </c>
      <c r="E150" s="30" t="s">
        <v>2573</v>
      </c>
      <c r="F150" s="33" t="str">
        <f>IFERROR(__xludf.DUMMYFUNCTION("( (GOOGLEFINANCE(C150, ""price"") - Q150) / Q150 ) / (R150 / 100)"),"Loading...")</f>
        <v>Loading...</v>
      </c>
      <c r="G150" s="20" t="str">
        <f>IFERROR(__xludf.DUMMYFUNCTION("AVERAGE(ARRAYFORMULA(100 * (QUERY(GOOGLEFINANCE(C150, ""high"", TODAY()-40, TODAY()), ""SELECT Col2 WHERE Col2 IS NOT NULL ORDER BY Col1 DESC LIMIT 20"", 0) / QUERY(GOOGLEFINANCE(C150, ""low"", TODAY()-40, TODAY()), ""SELECT Col2 WHERE Col2 IS NOT NULL OR"&amp;"DER BY Col1 DESC LIMIT 20"", 0) - 1)))"),"#N/A")</f>
        <v>#N/A</v>
      </c>
      <c r="H150" s="35" t="str">
        <f t="shared" si="6"/>
        <v>Liquid</v>
      </c>
      <c r="I150" s="35" t="str">
        <f t="shared" si="7"/>
        <v>RVol Required</v>
      </c>
      <c r="J150" s="37">
        <f>IFERROR(__xludf.DUMMYFUNCTION("IFERROR(
  IF(C150="""",, 
    IFERROR(
      GOOGLEFINANCE(C150, ""price"") * GOOGLEFINANCE(C150, ""volumeavg""), 
      GOOGLEFINANCE(C150, ""price"") * AVERAGE(QUERY(GOOGLEFINANCE(C150, ""volume"", TODAY()-40, TODAY()), ""SELECT Col2 WHERE Col2 IS NOT "&amp;"NULL ORDER BY Col1 DESC LIMIT 20"", 0))
    )
  ), 
"""")"),5.6065052E7)</f>
        <v>56065052</v>
      </c>
      <c r="K150" s="21">
        <f>IFERROR(__xludf.DUMMYFUNCTION("IFERROR(GOOGLEFINANCE(C150, ""changepct"") / 100, """")"),-0.0054)</f>
        <v>-0.0054</v>
      </c>
      <c r="L150" s="21" t="str">
        <f>IFERROR(__xludf.DUMMYFUNCTION("IFERROR((GOOGLEFINANCE(C150, ""price"") / INDEX(GOOGLEFINANCE(C150, ""price"", TODAY()-7, TODAY()), 2, 2)) - 1, """")"),"")</f>
        <v/>
      </c>
      <c r="M150" s="21" t="str">
        <f>IFERROR(__xludf.DUMMYFUNCTION("IFERROR((GOOGLEFINANCE(C150, ""price"") / INDEX(GOOGLEFINANCE(C150, ""price"", EDATE(TODAY(), -1), TODAY()), 2, 2)) - 1, """")"),"")</f>
        <v/>
      </c>
      <c r="N150" s="21" t="str">
        <f>IFERROR(__xludf.DUMMYFUNCTION("IFERROR((GOOGLEFINANCE(C150, ""price"") / INDEX(GOOGLEFINANCE(C150, ""price"", EDATE(TODAY(), -3), TODAY()), 2, 2)) - 1, """")"),"")</f>
        <v/>
      </c>
      <c r="O150" s="21" t="str">
        <f>IFERROR(__xludf.DUMMYFUNCTION("IFERROR((GOOGLEFINANCE(C150, ""price"") / INDEX(GOOGLEFINANCE(C150, ""price"", EDATE(TODAY(), -6), TODAY()), 2, 2)) - 1, """")"),"")</f>
        <v/>
      </c>
      <c r="P150" s="21" t="str">
        <f>IFERROR(__xludf.DUMMYFUNCTION("IFERROR((GOOGLEFINANCE(C150, ""price"") / INDEX(GOOGLEFINANCE(C150, ""price"", EDATE(TODAY(), -12), TODAY()), 2, 2)) - 1, """")"),"")</f>
        <v/>
      </c>
      <c r="Q150" s="6" t="str">
        <f>IFERROR(__xludf.DUMMYFUNCTION("AVERAGE(QUERY(GOOGLEFINANCE(C150, ""price"", TODAY()-80, TODAY()), ""SELECT Col2 WHERE Col2 IS NOT NULL ORDER BY Col1 DESC LIMIT 50"", 0))"),"#N/A")</f>
        <v>#N/A</v>
      </c>
      <c r="R150" s="24" t="str">
        <f>IFERROR(__xludf.DUMMYFUNCTION("IFERROR(
  LET(
    data, QUERY(GOOGLEFINANCE(C150,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GOOGLEFINANCE(C150, ""price"")) * 100,
    IF(calc=0, G150, calc)
  ), 
G150)"),"#N/A")</f>
        <v>#N/A</v>
      </c>
      <c r="S150" s="8" t="s">
        <v>15</v>
      </c>
      <c r="T150" s="26" t="str">
        <f>IFERROR(__xludf.DUMMYFUNCTION("IFERROR(TRANSPOSE(QUERY(IFERROR(SORT(GOOGLEFINANCE(C150, ""price"", WORKDAY(TODAY(), -40), TODAY()), 1, FALSE)), ""select Col2 where Col2 is not null limit 22 label Col2 ''"", 0)), """")"),"")</f>
        <v/>
      </c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8"/>
      <c r="AO150" s="28"/>
      <c r="AP150" s="29"/>
      <c r="AQ150" s="29" t="str">
        <f t="shared" ref="AQ150:BL150" si="153">T150/T$2</f>
        <v>#N/A</v>
      </c>
      <c r="AR150" s="29" t="str">
        <f t="shared" si="153"/>
        <v>#DIV/0!</v>
      </c>
      <c r="AS150" s="29" t="str">
        <f t="shared" si="153"/>
        <v>#DIV/0!</v>
      </c>
      <c r="AT150" s="29" t="str">
        <f t="shared" si="153"/>
        <v>#DIV/0!</v>
      </c>
      <c r="AU150" s="29" t="str">
        <f t="shared" si="153"/>
        <v>#DIV/0!</v>
      </c>
      <c r="AV150" s="29" t="str">
        <f t="shared" si="153"/>
        <v>#DIV/0!</v>
      </c>
      <c r="AW150" s="29" t="str">
        <f t="shared" si="153"/>
        <v>#DIV/0!</v>
      </c>
      <c r="AX150" s="29" t="str">
        <f t="shared" si="153"/>
        <v>#DIV/0!</v>
      </c>
      <c r="AY150" s="29" t="str">
        <f t="shared" si="153"/>
        <v>#DIV/0!</v>
      </c>
      <c r="AZ150" s="29" t="str">
        <f t="shared" si="153"/>
        <v>#DIV/0!</v>
      </c>
      <c r="BA150" s="29" t="str">
        <f t="shared" si="153"/>
        <v>#DIV/0!</v>
      </c>
      <c r="BB150" s="29" t="str">
        <f t="shared" si="153"/>
        <v>#DIV/0!</v>
      </c>
      <c r="BC150" s="29" t="str">
        <f t="shared" si="153"/>
        <v>#DIV/0!</v>
      </c>
      <c r="BD150" s="29" t="str">
        <f t="shared" si="153"/>
        <v>#DIV/0!</v>
      </c>
      <c r="BE150" s="29" t="str">
        <f t="shared" si="153"/>
        <v>#DIV/0!</v>
      </c>
      <c r="BF150" s="29" t="str">
        <f t="shared" si="153"/>
        <v>#DIV/0!</v>
      </c>
      <c r="BG150" s="29" t="str">
        <f t="shared" si="153"/>
        <v>#DIV/0!</v>
      </c>
      <c r="BH150" s="29" t="str">
        <f t="shared" si="153"/>
        <v>#DIV/0!</v>
      </c>
      <c r="BI150" s="29" t="str">
        <f t="shared" si="153"/>
        <v>#DIV/0!</v>
      </c>
      <c r="BJ150" s="29" t="str">
        <f t="shared" si="153"/>
        <v>#DIV/0!</v>
      </c>
      <c r="BK150" s="29" t="str">
        <f t="shared" si="153"/>
        <v>#DIV/0!</v>
      </c>
      <c r="BL150" s="29" t="str">
        <f t="shared" si="153"/>
        <v>#DIV/0!</v>
      </c>
      <c r="BM150" s="29" t="str">
        <f t="shared" si="3"/>
        <v>#DIV/0!</v>
      </c>
    </row>
    <row r="151" hidden="1">
      <c r="A151" s="16" t="str">
        <f>IFERROR(__xludf.DUMMYFUNCTION("IFERROR(SPARKLINE(SORT(MAP(TRANSPOSE(AQ151:BL151), LAMBDA(val, IF(ISNUMBER(val), PERCENTRANK(AQ151:BL151, val)+0.01, 0))), SEQUENCE(COLUMNS(AQ151:BL151)), FALSE), {""charttype"",""column""; ""color"",""chartreuse""; ""ymin"", 0; ""ymax"", 1.01; ""highcolo"&amp;"r"", ""darkgreen""; ""lowcolor"", ""red""}), """")"),"")</f>
        <v/>
      </c>
      <c r="B151" s="17" t="str">
        <f t="shared" si="4"/>
        <v/>
      </c>
      <c r="C151" s="1" t="s">
        <v>3108</v>
      </c>
      <c r="D151" s="30" t="str">
        <f>IFERROR(__xludf.DUMMYFUNCTION("IFERROR(GOOGLEFINANCE(C151, ""NAME""))"),"Black Stone Minerals LP")</f>
        <v>Black Stone Minerals LP</v>
      </c>
      <c r="E151" s="30" t="s">
        <v>2613</v>
      </c>
      <c r="F151" s="33" t="str">
        <f>IFERROR(__xludf.DUMMYFUNCTION("( (GOOGLEFINANCE(C151, ""price"") - Q151) / Q151 ) / (R151 / 100)"),"Loading...")</f>
        <v>Loading...</v>
      </c>
      <c r="G151" s="20" t="str">
        <f>IFERROR(__xludf.DUMMYFUNCTION("AVERAGE(ARRAYFORMULA(100 * (QUERY(GOOGLEFINANCE(C151, ""high"", TODAY()-40, TODAY()), ""SELECT Col2 WHERE Col2 IS NOT NULL ORDER BY Col1 DESC LIMIT 20"", 0) / QUERY(GOOGLEFINANCE(C151, ""low"", TODAY()-40, TODAY()), ""SELECT Col2 WHERE Col2 IS NOT NULL OR"&amp;"DER BY Col1 DESC LIMIT 20"", 0) - 1)))"),"#N/A")</f>
        <v>#N/A</v>
      </c>
      <c r="H151" s="35" t="str">
        <f t="shared" si="6"/>
        <v>Illiquid</v>
      </c>
      <c r="I151" s="35" t="str">
        <f t="shared" si="7"/>
        <v>RVol Required</v>
      </c>
      <c r="J151" s="37">
        <f>IFERROR(__xludf.DUMMYFUNCTION("IFERROR(
  IF(C151="""",, 
    IFERROR(
      GOOGLEFINANCE(C151, ""price"") * GOOGLEFINANCE(C151, ""volumeavg""), 
      GOOGLEFINANCE(C151, ""price"") * AVERAGE(QUERY(GOOGLEFINANCE(C151, ""volume"", TODAY()-40, TODAY()), ""SELECT Col2 WHERE Col2 IS NOT "&amp;"NULL ORDER BY Col1 DESC LIMIT 20"", 0))
    )
  ), 
"""")"),5351145.93)</f>
        <v>5351145.93</v>
      </c>
      <c r="K151" s="21">
        <f>IFERROR(__xludf.DUMMYFUNCTION("IFERROR(GOOGLEFINANCE(C151, ""changepct"") / 100, """")"),0.019)</f>
        <v>0.019</v>
      </c>
      <c r="L151" s="21" t="str">
        <f>IFERROR(__xludf.DUMMYFUNCTION("IFERROR((GOOGLEFINANCE(C151, ""price"") / INDEX(GOOGLEFINANCE(C151, ""price"", TODAY()-7, TODAY()), 2, 2)) - 1, """")"),"")</f>
        <v/>
      </c>
      <c r="M151" s="21" t="str">
        <f>IFERROR(__xludf.DUMMYFUNCTION("IFERROR((GOOGLEFINANCE(C151, ""price"") / INDEX(GOOGLEFINANCE(C151, ""price"", EDATE(TODAY(), -1), TODAY()), 2, 2)) - 1, """")"),"")</f>
        <v/>
      </c>
      <c r="N151" s="21" t="str">
        <f>IFERROR(__xludf.DUMMYFUNCTION("IFERROR((GOOGLEFINANCE(C151, ""price"") / INDEX(GOOGLEFINANCE(C151, ""price"", EDATE(TODAY(), -3), TODAY()), 2, 2)) - 1, """")"),"")</f>
        <v/>
      </c>
      <c r="O151" s="21" t="str">
        <f>IFERROR(__xludf.DUMMYFUNCTION("IFERROR((GOOGLEFINANCE(C151, ""price"") / INDEX(GOOGLEFINANCE(C151, ""price"", EDATE(TODAY(), -6), TODAY()), 2, 2)) - 1, """")"),"")</f>
        <v/>
      </c>
      <c r="P151" s="21" t="str">
        <f>IFERROR(__xludf.DUMMYFUNCTION("IFERROR((GOOGLEFINANCE(C151, ""price"") / INDEX(GOOGLEFINANCE(C151, ""price"", EDATE(TODAY(), -12), TODAY()), 2, 2)) - 1, """")"),"")</f>
        <v/>
      </c>
      <c r="Q151" s="6" t="str">
        <f>IFERROR(__xludf.DUMMYFUNCTION("AVERAGE(QUERY(GOOGLEFINANCE(C151, ""price"", TODAY()-80, TODAY()), ""SELECT Col2 WHERE Col2 IS NOT NULL ORDER BY Col1 DESC LIMIT 50"", 0))"),"#N/A")</f>
        <v>#N/A</v>
      </c>
      <c r="R151" s="24" t="str">
        <f>IFERROR(__xludf.DUMMYFUNCTION("IFERROR(
  LET(
    data, QUERY(GOOGLEFINANCE(C151,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GOOGLEFINANCE(C151, ""price"")) * 100,
    IF(calc=0, G151, calc)
  ), 
G151)"),"#N/A")</f>
        <v>#N/A</v>
      </c>
      <c r="S151" s="8" t="s">
        <v>15</v>
      </c>
      <c r="T151" s="26" t="str">
        <f>IFERROR(__xludf.DUMMYFUNCTION("IFERROR(TRANSPOSE(QUERY(IFERROR(SORT(GOOGLEFINANCE(C151, ""price"", WORKDAY(TODAY(), -40), TODAY()), 1, FALSE)), ""select Col2 where Col2 is not null limit 22 label Col2 ''"", 0)), """")"),"")</f>
        <v/>
      </c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8"/>
      <c r="AO151" s="28"/>
      <c r="AP151" s="29"/>
      <c r="AQ151" s="29" t="str">
        <f t="shared" ref="AQ151:BL151" si="154">T151/T$2</f>
        <v>#N/A</v>
      </c>
      <c r="AR151" s="29" t="str">
        <f t="shared" si="154"/>
        <v>#DIV/0!</v>
      </c>
      <c r="AS151" s="29" t="str">
        <f t="shared" si="154"/>
        <v>#DIV/0!</v>
      </c>
      <c r="AT151" s="29" t="str">
        <f t="shared" si="154"/>
        <v>#DIV/0!</v>
      </c>
      <c r="AU151" s="29" t="str">
        <f t="shared" si="154"/>
        <v>#DIV/0!</v>
      </c>
      <c r="AV151" s="29" t="str">
        <f t="shared" si="154"/>
        <v>#DIV/0!</v>
      </c>
      <c r="AW151" s="29" t="str">
        <f t="shared" si="154"/>
        <v>#DIV/0!</v>
      </c>
      <c r="AX151" s="29" t="str">
        <f t="shared" si="154"/>
        <v>#DIV/0!</v>
      </c>
      <c r="AY151" s="29" t="str">
        <f t="shared" si="154"/>
        <v>#DIV/0!</v>
      </c>
      <c r="AZ151" s="29" t="str">
        <f t="shared" si="154"/>
        <v>#DIV/0!</v>
      </c>
      <c r="BA151" s="29" t="str">
        <f t="shared" si="154"/>
        <v>#DIV/0!</v>
      </c>
      <c r="BB151" s="29" t="str">
        <f t="shared" si="154"/>
        <v>#DIV/0!</v>
      </c>
      <c r="BC151" s="29" t="str">
        <f t="shared" si="154"/>
        <v>#DIV/0!</v>
      </c>
      <c r="BD151" s="29" t="str">
        <f t="shared" si="154"/>
        <v>#DIV/0!</v>
      </c>
      <c r="BE151" s="29" t="str">
        <f t="shared" si="154"/>
        <v>#DIV/0!</v>
      </c>
      <c r="BF151" s="29" t="str">
        <f t="shared" si="154"/>
        <v>#DIV/0!</v>
      </c>
      <c r="BG151" s="29" t="str">
        <f t="shared" si="154"/>
        <v>#DIV/0!</v>
      </c>
      <c r="BH151" s="29" t="str">
        <f t="shared" si="154"/>
        <v>#DIV/0!</v>
      </c>
      <c r="BI151" s="29" t="str">
        <f t="shared" si="154"/>
        <v>#DIV/0!</v>
      </c>
      <c r="BJ151" s="29" t="str">
        <f t="shared" si="154"/>
        <v>#DIV/0!</v>
      </c>
      <c r="BK151" s="29" t="str">
        <f t="shared" si="154"/>
        <v>#DIV/0!</v>
      </c>
      <c r="BL151" s="29" t="str">
        <f t="shared" si="154"/>
        <v>#DIV/0!</v>
      </c>
      <c r="BM151" s="29" t="str">
        <f t="shared" si="3"/>
        <v>#DIV/0!</v>
      </c>
    </row>
    <row r="152">
      <c r="A152" s="16" t="str">
        <f>IFERROR(__xludf.DUMMYFUNCTION("IFERROR(SPARKLINE(SORT(MAP(TRANSPOSE(AQ152:BL152), LAMBDA(val, IF(ISNUMBER(val), PERCENTRANK(AQ152:BL152, val)+0.01, 0))), SEQUENCE(COLUMNS(AQ152:BL152)), FALSE), {""charttype"",""column""; ""color"",""chartreuse""; ""ymin"", 0; ""ymax"", 1.01; ""highcolo"&amp;"r"", ""darkgreen""; ""lowcolor"", ""red""}), """")"),"")</f>
        <v/>
      </c>
      <c r="B152" s="17" t="str">
        <f t="shared" si="4"/>
        <v/>
      </c>
      <c r="C152" s="1" t="s">
        <v>3110</v>
      </c>
      <c r="D152" s="30" t="str">
        <f>IFERROR(__xludf.DUMMYFUNCTION("IFERROR(GOOGLEFINANCE(C152, ""NAME""))"),"BP PLC")</f>
        <v>BP PLC</v>
      </c>
      <c r="E152" s="30" t="s">
        <v>2631</v>
      </c>
      <c r="F152" s="33" t="str">
        <f>IFERROR(__xludf.DUMMYFUNCTION("( (GOOGLEFINANCE(C152, ""price"") - Q152) / Q152 ) / (R152 / 100)"),"Loading...")</f>
        <v>Loading...</v>
      </c>
      <c r="G152" s="20" t="str">
        <f>IFERROR(__xludf.DUMMYFUNCTION("AVERAGE(ARRAYFORMULA(100 * (QUERY(GOOGLEFINANCE(C152, ""high"", TODAY()-40, TODAY()), ""SELECT Col2 WHERE Col2 IS NOT NULL ORDER BY Col1 DESC LIMIT 20"", 0) / QUERY(GOOGLEFINANCE(C152, ""low"", TODAY()-40, TODAY()), ""SELECT Col2 WHERE Col2 IS NOT NULL OR"&amp;"DER BY Col1 DESC LIMIT 20"", 0) - 1)))"),"#N/A")</f>
        <v>#N/A</v>
      </c>
      <c r="H152" s="35" t="str">
        <f t="shared" si="6"/>
        <v>Liquid</v>
      </c>
      <c r="I152" s="35" t="str">
        <f t="shared" si="7"/>
        <v>RVol Required</v>
      </c>
      <c r="J152" s="37">
        <f>IFERROR(__xludf.DUMMYFUNCTION("IFERROR(
  IF(C152="""",, 
    IFERROR(
      GOOGLEFINANCE(C152, ""price"") * GOOGLEFINANCE(C152, ""volumeavg""), 
      GOOGLEFINANCE(C152, ""price"") * AVERAGE(QUERY(GOOGLEFINANCE(C152, ""volume"", TODAY()-40, TODAY()), ""SELECT Col2 WHERE Col2 IS NOT "&amp;"NULL ORDER BY Col1 DESC LIMIT 20"", 0))
    )
  ), 
"""")"),4.5837090596E8)</f>
        <v>458370906</v>
      </c>
      <c r="K152" s="21">
        <f>IFERROR(__xludf.DUMMYFUNCTION("IFERROR(GOOGLEFINANCE(C152, ""changepct"") / 100, """")"),0.0365)</f>
        <v>0.0365</v>
      </c>
      <c r="L152" s="21" t="str">
        <f>IFERROR(__xludf.DUMMYFUNCTION("IFERROR((GOOGLEFINANCE(C152, ""price"") / INDEX(GOOGLEFINANCE(C152, ""price"", TODAY()-7, TODAY()), 2, 2)) - 1, """")"),"")</f>
        <v/>
      </c>
      <c r="M152" s="21" t="str">
        <f>IFERROR(__xludf.DUMMYFUNCTION("IFERROR((GOOGLEFINANCE(C152, ""price"") / INDEX(GOOGLEFINANCE(C152, ""price"", EDATE(TODAY(), -1), TODAY()), 2, 2)) - 1, """")"),"")</f>
        <v/>
      </c>
      <c r="N152" s="21" t="str">
        <f>IFERROR(__xludf.DUMMYFUNCTION("IFERROR((GOOGLEFINANCE(C152, ""price"") / INDEX(GOOGLEFINANCE(C152, ""price"", EDATE(TODAY(), -3), TODAY()), 2, 2)) - 1, """")"),"")</f>
        <v/>
      </c>
      <c r="O152" s="21" t="str">
        <f>IFERROR(__xludf.DUMMYFUNCTION("IFERROR((GOOGLEFINANCE(C152, ""price"") / INDEX(GOOGLEFINANCE(C152, ""price"", EDATE(TODAY(), -6), TODAY()), 2, 2)) - 1, """")"),"")</f>
        <v/>
      </c>
      <c r="P152" s="21" t="str">
        <f>IFERROR(__xludf.DUMMYFUNCTION("IFERROR((GOOGLEFINANCE(C152, ""price"") / INDEX(GOOGLEFINANCE(C152, ""price"", EDATE(TODAY(), -12), TODAY()), 2, 2)) - 1, """")"),"")</f>
        <v/>
      </c>
      <c r="Q152" s="6" t="str">
        <f>IFERROR(__xludf.DUMMYFUNCTION("AVERAGE(QUERY(GOOGLEFINANCE(C152, ""price"", TODAY()-80, TODAY()), ""SELECT Col2 WHERE Col2 IS NOT NULL ORDER BY Col1 DESC LIMIT 50"", 0))"),"#N/A")</f>
        <v>#N/A</v>
      </c>
      <c r="R152" s="24" t="str">
        <f>IFERROR(__xludf.DUMMYFUNCTION("IFERROR(
  LET(
    data, QUERY(GOOGLEFINANCE(C152,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GOOGLEFINANCE(C152, ""price"")) * 100,
    IF(calc=0, G152, calc)
  ), 
G152)"),"#N/A")</f>
        <v>#N/A</v>
      </c>
      <c r="S152" s="8" t="s">
        <v>15</v>
      </c>
      <c r="T152" s="26" t="str">
        <f>IFERROR(__xludf.DUMMYFUNCTION("IFERROR(TRANSPOSE(QUERY(IFERROR(SORT(GOOGLEFINANCE(C152, ""price"", WORKDAY(TODAY(), -40), TODAY()), 1, FALSE)), ""select Col2 where Col2 is not null limit 22 label Col2 ''"", 0)), """")"),"")</f>
        <v/>
      </c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8"/>
      <c r="AO152" s="28"/>
      <c r="AP152" s="29"/>
      <c r="AQ152" s="29" t="str">
        <f t="shared" ref="AQ152:BL152" si="155">T152/T$2</f>
        <v>#N/A</v>
      </c>
      <c r="AR152" s="29" t="str">
        <f t="shared" si="155"/>
        <v>#DIV/0!</v>
      </c>
      <c r="AS152" s="29" t="str">
        <f t="shared" si="155"/>
        <v>#DIV/0!</v>
      </c>
      <c r="AT152" s="29" t="str">
        <f t="shared" si="155"/>
        <v>#DIV/0!</v>
      </c>
      <c r="AU152" s="29" t="str">
        <f t="shared" si="155"/>
        <v>#DIV/0!</v>
      </c>
      <c r="AV152" s="29" t="str">
        <f t="shared" si="155"/>
        <v>#DIV/0!</v>
      </c>
      <c r="AW152" s="29" t="str">
        <f t="shared" si="155"/>
        <v>#DIV/0!</v>
      </c>
      <c r="AX152" s="29" t="str">
        <f t="shared" si="155"/>
        <v>#DIV/0!</v>
      </c>
      <c r="AY152" s="29" t="str">
        <f t="shared" si="155"/>
        <v>#DIV/0!</v>
      </c>
      <c r="AZ152" s="29" t="str">
        <f t="shared" si="155"/>
        <v>#DIV/0!</v>
      </c>
      <c r="BA152" s="29" t="str">
        <f t="shared" si="155"/>
        <v>#DIV/0!</v>
      </c>
      <c r="BB152" s="29" t="str">
        <f t="shared" si="155"/>
        <v>#DIV/0!</v>
      </c>
      <c r="BC152" s="29" t="str">
        <f t="shared" si="155"/>
        <v>#DIV/0!</v>
      </c>
      <c r="BD152" s="29" t="str">
        <f t="shared" si="155"/>
        <v>#DIV/0!</v>
      </c>
      <c r="BE152" s="29" t="str">
        <f t="shared" si="155"/>
        <v>#DIV/0!</v>
      </c>
      <c r="BF152" s="29" t="str">
        <f t="shared" si="155"/>
        <v>#DIV/0!</v>
      </c>
      <c r="BG152" s="29" t="str">
        <f t="shared" si="155"/>
        <v>#DIV/0!</v>
      </c>
      <c r="BH152" s="29" t="str">
        <f t="shared" si="155"/>
        <v>#DIV/0!</v>
      </c>
      <c r="BI152" s="29" t="str">
        <f t="shared" si="155"/>
        <v>#DIV/0!</v>
      </c>
      <c r="BJ152" s="29" t="str">
        <f t="shared" si="155"/>
        <v>#DIV/0!</v>
      </c>
      <c r="BK152" s="29" t="str">
        <f t="shared" si="155"/>
        <v>#DIV/0!</v>
      </c>
      <c r="BL152" s="29" t="str">
        <f t="shared" si="155"/>
        <v>#DIV/0!</v>
      </c>
      <c r="BM152" s="29" t="str">
        <f t="shared" si="3"/>
        <v>#DIV/0!</v>
      </c>
    </row>
    <row r="153">
      <c r="A153" s="16" t="str">
        <f>IFERROR(__xludf.DUMMYFUNCTION("IFERROR(SPARKLINE(SORT(MAP(TRANSPOSE(AQ153:BL153), LAMBDA(val, IF(ISNUMBER(val), PERCENTRANK(AQ153:BL153, val)+0.01, 0))), SEQUENCE(COLUMNS(AQ153:BL153)), FALSE), {""charttype"",""column""; ""color"",""chartreuse""; ""ymin"", 0; ""ymax"", 1.01; ""highcolo"&amp;"r"", ""darkgreen""; ""lowcolor"", ""red""}), """")"),"")</f>
        <v/>
      </c>
      <c r="B153" s="17" t="str">
        <f t="shared" si="4"/>
        <v/>
      </c>
      <c r="C153" s="1" t="s">
        <v>3115</v>
      </c>
      <c r="D153" s="30" t="str">
        <f>IFERROR(__xludf.DUMMYFUNCTION("IFERROR(GOOGLEFINANCE(C153, ""NAME""))"),"APA Corporation")</f>
        <v>APA Corporation</v>
      </c>
      <c r="E153" s="30" t="s">
        <v>2613</v>
      </c>
      <c r="F153" s="33" t="str">
        <f>IFERROR(__xludf.DUMMYFUNCTION("( (GOOGLEFINANCE(C153, ""price"") - Q153) / Q153 ) / (R153 / 100)"),"Loading...")</f>
        <v>Loading...</v>
      </c>
      <c r="G153" s="20" t="str">
        <f>IFERROR(__xludf.DUMMYFUNCTION("AVERAGE(ARRAYFORMULA(100 * (QUERY(GOOGLEFINANCE(C153, ""high"", TODAY()-40, TODAY()), ""SELECT Col2 WHERE Col2 IS NOT NULL ORDER BY Col1 DESC LIMIT 20"", 0) / QUERY(GOOGLEFINANCE(C153, ""low"", TODAY()-40, TODAY()), ""SELECT Col2 WHERE Col2 IS NOT NULL OR"&amp;"DER BY Col1 DESC LIMIT 20"", 0) - 1)))"),"#N/A")</f>
        <v>#N/A</v>
      </c>
      <c r="H153" s="35" t="str">
        <f t="shared" si="6"/>
        <v>Liquid</v>
      </c>
      <c r="I153" s="35" t="str">
        <f t="shared" si="7"/>
        <v>RVol Required</v>
      </c>
      <c r="J153" s="37">
        <f>IFERROR(__xludf.DUMMYFUNCTION("IFERROR(
  IF(C153="""",, 
    IFERROR(
      GOOGLEFINANCE(C153, ""price"") * GOOGLEFINANCE(C153, ""volumeavg""), 
      GOOGLEFINANCE(C153, ""price"") * AVERAGE(QUERY(GOOGLEFINANCE(C153, ""volume"", TODAY()-40, TODAY()), ""SELECT Col2 WHERE Col2 IS NOT "&amp;"NULL ORDER BY Col1 DESC LIMIT 20"", 0))
    )
  ), 
"""")"),2.7676035695E8)</f>
        <v>276760357</v>
      </c>
      <c r="K153" s="21">
        <f>IFERROR(__xludf.DUMMYFUNCTION("IFERROR(GOOGLEFINANCE(C153, ""changepct"") / 100, """")"),0.0407)</f>
        <v>0.0407</v>
      </c>
      <c r="L153" s="21" t="str">
        <f>IFERROR(__xludf.DUMMYFUNCTION("IFERROR((GOOGLEFINANCE(C153, ""price"") / INDEX(GOOGLEFINANCE(C153, ""price"", TODAY()-7, TODAY()), 2, 2)) - 1, """")"),"")</f>
        <v/>
      </c>
      <c r="M153" s="21" t="str">
        <f>IFERROR(__xludf.DUMMYFUNCTION("IFERROR((GOOGLEFINANCE(C153, ""price"") / INDEX(GOOGLEFINANCE(C153, ""price"", EDATE(TODAY(), -1), TODAY()), 2, 2)) - 1, """")"),"")</f>
        <v/>
      </c>
      <c r="N153" s="21" t="str">
        <f>IFERROR(__xludf.DUMMYFUNCTION("IFERROR((GOOGLEFINANCE(C153, ""price"") / INDEX(GOOGLEFINANCE(C153, ""price"", EDATE(TODAY(), -3), TODAY()), 2, 2)) - 1, """")"),"")</f>
        <v/>
      </c>
      <c r="O153" s="21" t="str">
        <f>IFERROR(__xludf.DUMMYFUNCTION("IFERROR((GOOGLEFINANCE(C153, ""price"") / INDEX(GOOGLEFINANCE(C153, ""price"", EDATE(TODAY(), -6), TODAY()), 2, 2)) - 1, """")"),"")</f>
        <v/>
      </c>
      <c r="P153" s="21" t="str">
        <f>IFERROR(__xludf.DUMMYFUNCTION("IFERROR((GOOGLEFINANCE(C153, ""price"") / INDEX(GOOGLEFINANCE(C153, ""price"", EDATE(TODAY(), -12), TODAY()), 2, 2)) - 1, """")"),"")</f>
        <v/>
      </c>
      <c r="Q153" s="6" t="str">
        <f>IFERROR(__xludf.DUMMYFUNCTION("AVERAGE(QUERY(GOOGLEFINANCE(C153, ""price"", TODAY()-80, TODAY()), ""SELECT Col2 WHERE Col2 IS NOT NULL ORDER BY Col1 DESC LIMIT 50"", 0))"),"#N/A")</f>
        <v>#N/A</v>
      </c>
      <c r="R153" s="24" t="str">
        <f>IFERROR(__xludf.DUMMYFUNCTION("IFERROR(
  LET(
    data, QUERY(GOOGLEFINANCE(C153,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GOOGLEFINANCE(C153, ""price"")) * 100,
    IF(calc=0, G153, calc)
  ), 
G153)"),"#N/A")</f>
        <v>#N/A</v>
      </c>
      <c r="S153" s="8" t="s">
        <v>15</v>
      </c>
      <c r="T153" s="26" t="str">
        <f>IFERROR(__xludf.DUMMYFUNCTION("IFERROR(TRANSPOSE(QUERY(IFERROR(SORT(GOOGLEFINANCE(C153, ""price"", WORKDAY(TODAY(), -40), TODAY()), 1, FALSE)), ""select Col2 where Col2 is not null limit 22 label Col2 ''"", 0)), """")"),"")</f>
        <v/>
      </c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8"/>
      <c r="AO153" s="28"/>
      <c r="AP153" s="29"/>
      <c r="AQ153" s="29" t="str">
        <f t="shared" ref="AQ153:BL153" si="156">T153/T$2</f>
        <v>#N/A</v>
      </c>
      <c r="AR153" s="29" t="str">
        <f t="shared" si="156"/>
        <v>#DIV/0!</v>
      </c>
      <c r="AS153" s="29" t="str">
        <f t="shared" si="156"/>
        <v>#DIV/0!</v>
      </c>
      <c r="AT153" s="29" t="str">
        <f t="shared" si="156"/>
        <v>#DIV/0!</v>
      </c>
      <c r="AU153" s="29" t="str">
        <f t="shared" si="156"/>
        <v>#DIV/0!</v>
      </c>
      <c r="AV153" s="29" t="str">
        <f t="shared" si="156"/>
        <v>#DIV/0!</v>
      </c>
      <c r="AW153" s="29" t="str">
        <f t="shared" si="156"/>
        <v>#DIV/0!</v>
      </c>
      <c r="AX153" s="29" t="str">
        <f t="shared" si="156"/>
        <v>#DIV/0!</v>
      </c>
      <c r="AY153" s="29" t="str">
        <f t="shared" si="156"/>
        <v>#DIV/0!</v>
      </c>
      <c r="AZ153" s="29" t="str">
        <f t="shared" si="156"/>
        <v>#DIV/0!</v>
      </c>
      <c r="BA153" s="29" t="str">
        <f t="shared" si="156"/>
        <v>#DIV/0!</v>
      </c>
      <c r="BB153" s="29" t="str">
        <f t="shared" si="156"/>
        <v>#DIV/0!</v>
      </c>
      <c r="BC153" s="29" t="str">
        <f t="shared" si="156"/>
        <v>#DIV/0!</v>
      </c>
      <c r="BD153" s="29" t="str">
        <f t="shared" si="156"/>
        <v>#DIV/0!</v>
      </c>
      <c r="BE153" s="29" t="str">
        <f t="shared" si="156"/>
        <v>#DIV/0!</v>
      </c>
      <c r="BF153" s="29" t="str">
        <f t="shared" si="156"/>
        <v>#DIV/0!</v>
      </c>
      <c r="BG153" s="29" t="str">
        <f t="shared" si="156"/>
        <v>#DIV/0!</v>
      </c>
      <c r="BH153" s="29" t="str">
        <f t="shared" si="156"/>
        <v>#DIV/0!</v>
      </c>
      <c r="BI153" s="29" t="str">
        <f t="shared" si="156"/>
        <v>#DIV/0!</v>
      </c>
      <c r="BJ153" s="29" t="str">
        <f t="shared" si="156"/>
        <v>#DIV/0!</v>
      </c>
      <c r="BK153" s="29" t="str">
        <f t="shared" si="156"/>
        <v>#DIV/0!</v>
      </c>
      <c r="BL153" s="29" t="str">
        <f t="shared" si="156"/>
        <v>#DIV/0!</v>
      </c>
      <c r="BM153" s="29" t="str">
        <f t="shared" si="3"/>
        <v>#DIV/0!</v>
      </c>
    </row>
    <row r="154">
      <c r="A154" s="16" t="str">
        <f>IFERROR(__xludf.DUMMYFUNCTION("IFERROR(SPARKLINE(SORT(MAP(TRANSPOSE(AQ154:BL154), LAMBDA(val, IF(ISNUMBER(val), PERCENTRANK(AQ154:BL154, val)+0.01, 0))), SEQUENCE(COLUMNS(AQ154:BL154)), FALSE), {""charttype"",""column""; ""color"",""chartreuse""; ""ymin"", 0; ""ymax"", 1.01; ""highcolo"&amp;"r"", ""darkgreen""; ""lowcolor"", ""red""}), """")"),"")</f>
        <v/>
      </c>
      <c r="B154" s="17" t="str">
        <f t="shared" si="4"/>
        <v/>
      </c>
      <c r="C154" s="1" t="s">
        <v>3117</v>
      </c>
      <c r="D154" s="30" t="str">
        <f>IFERROR(__xludf.DUMMYFUNCTION("IFERROR(GOOGLEFINANCE(C154, ""NAME""))"),"Antero Midstream Corp")</f>
        <v>Antero Midstream Corp</v>
      </c>
      <c r="E154" s="30" t="s">
        <v>2547</v>
      </c>
      <c r="F154" s="33" t="str">
        <f>IFERROR(__xludf.DUMMYFUNCTION("( (GOOGLEFINANCE(C154, ""price"") - Q154) / Q154 ) / (R154 / 100)"),"Loading...")</f>
        <v>Loading...</v>
      </c>
      <c r="G154" s="20" t="str">
        <f>IFERROR(__xludf.DUMMYFUNCTION("AVERAGE(ARRAYFORMULA(100 * (QUERY(GOOGLEFINANCE(C154, ""high"", TODAY()-40, TODAY()), ""SELECT Col2 WHERE Col2 IS NOT NULL ORDER BY Col1 DESC LIMIT 20"", 0) / QUERY(GOOGLEFINANCE(C154, ""low"", TODAY()-40, TODAY()), ""SELECT Col2 WHERE Col2 IS NOT NULL OR"&amp;"DER BY Col1 DESC LIMIT 20"", 0) - 1)))"),"#N/A")</f>
        <v>#N/A</v>
      </c>
      <c r="H154" s="35" t="str">
        <f t="shared" si="6"/>
        <v>Liquid</v>
      </c>
      <c r="I154" s="35" t="str">
        <f t="shared" si="7"/>
        <v>RVol Required</v>
      </c>
      <c r="J154" s="37">
        <f>IFERROR(__xludf.DUMMYFUNCTION("IFERROR(
  IF(C154="""",, 
    IFERROR(
      GOOGLEFINANCE(C154, ""price"") * GOOGLEFINANCE(C154, ""volumeavg""), 
      GOOGLEFINANCE(C154, ""price"") * AVERAGE(QUERY(GOOGLEFINANCE(C154, ""volume"", TODAY()-40, TODAY()), ""SELECT Col2 WHERE Col2 IS NOT "&amp;"NULL ORDER BY Col1 DESC LIMIT 20"", 0))
    )
  ), 
"""")"),5.279220768E7)</f>
        <v>52792207.68</v>
      </c>
      <c r="K154" s="21">
        <f>IFERROR(__xludf.DUMMYFUNCTION("IFERROR(GOOGLEFINANCE(C154, ""changepct"") / 100, """")"),0.0361)</f>
        <v>0.0361</v>
      </c>
      <c r="L154" s="21" t="str">
        <f>IFERROR(__xludf.DUMMYFUNCTION("IFERROR((GOOGLEFINANCE(C154, ""price"") / INDEX(GOOGLEFINANCE(C154, ""price"", TODAY()-7, TODAY()), 2, 2)) - 1, """")"),"")</f>
        <v/>
      </c>
      <c r="M154" s="21" t="str">
        <f>IFERROR(__xludf.DUMMYFUNCTION("IFERROR((GOOGLEFINANCE(C154, ""price"") / INDEX(GOOGLEFINANCE(C154, ""price"", EDATE(TODAY(), -1), TODAY()), 2, 2)) - 1, """")"),"")</f>
        <v/>
      </c>
      <c r="N154" s="21" t="str">
        <f>IFERROR(__xludf.DUMMYFUNCTION("IFERROR((GOOGLEFINANCE(C154, ""price"") / INDEX(GOOGLEFINANCE(C154, ""price"", EDATE(TODAY(), -3), TODAY()), 2, 2)) - 1, """")"),"")</f>
        <v/>
      </c>
      <c r="O154" s="21" t="str">
        <f>IFERROR(__xludf.DUMMYFUNCTION("IFERROR((GOOGLEFINANCE(C154, ""price"") / INDEX(GOOGLEFINANCE(C154, ""price"", EDATE(TODAY(), -6), TODAY()), 2, 2)) - 1, """")"),"")</f>
        <v/>
      </c>
      <c r="P154" s="21" t="str">
        <f>IFERROR(__xludf.DUMMYFUNCTION("IFERROR((GOOGLEFINANCE(C154, ""price"") / INDEX(GOOGLEFINANCE(C154, ""price"", EDATE(TODAY(), -12), TODAY()), 2, 2)) - 1, """")"),"")</f>
        <v/>
      </c>
      <c r="Q154" s="6" t="str">
        <f>IFERROR(__xludf.DUMMYFUNCTION("AVERAGE(QUERY(GOOGLEFINANCE(C154, ""price"", TODAY()-80, TODAY()), ""SELECT Col2 WHERE Col2 IS NOT NULL ORDER BY Col1 DESC LIMIT 50"", 0))"),"#N/A")</f>
        <v>#N/A</v>
      </c>
      <c r="R154" s="24" t="str">
        <f>IFERROR(__xludf.DUMMYFUNCTION("IFERROR(
  LET(
    data, QUERY(GOOGLEFINANCE(C154,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GOOGLEFINANCE(C154, ""price"")) * 100,
    IF(calc=0, G154, calc)
  ), 
G154)"),"#N/A")</f>
        <v>#N/A</v>
      </c>
      <c r="S154" s="8" t="s">
        <v>15</v>
      </c>
      <c r="T154" s="26" t="str">
        <f>IFERROR(__xludf.DUMMYFUNCTION("IFERROR(TRANSPOSE(QUERY(IFERROR(SORT(GOOGLEFINANCE(C154, ""price"", WORKDAY(TODAY(), -40), TODAY()), 1, FALSE)), ""select Col2 where Col2 is not null limit 22 label Col2 ''"", 0)), """")"),"")</f>
        <v/>
      </c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8"/>
      <c r="AO154" s="28"/>
      <c r="AP154" s="29"/>
      <c r="AQ154" s="29" t="str">
        <f t="shared" ref="AQ154:BL154" si="157">T154/T$2</f>
        <v>#N/A</v>
      </c>
      <c r="AR154" s="29" t="str">
        <f t="shared" si="157"/>
        <v>#DIV/0!</v>
      </c>
      <c r="AS154" s="29" t="str">
        <f t="shared" si="157"/>
        <v>#DIV/0!</v>
      </c>
      <c r="AT154" s="29" t="str">
        <f t="shared" si="157"/>
        <v>#DIV/0!</v>
      </c>
      <c r="AU154" s="29" t="str">
        <f t="shared" si="157"/>
        <v>#DIV/0!</v>
      </c>
      <c r="AV154" s="29" t="str">
        <f t="shared" si="157"/>
        <v>#DIV/0!</v>
      </c>
      <c r="AW154" s="29" t="str">
        <f t="shared" si="157"/>
        <v>#DIV/0!</v>
      </c>
      <c r="AX154" s="29" t="str">
        <f t="shared" si="157"/>
        <v>#DIV/0!</v>
      </c>
      <c r="AY154" s="29" t="str">
        <f t="shared" si="157"/>
        <v>#DIV/0!</v>
      </c>
      <c r="AZ154" s="29" t="str">
        <f t="shared" si="157"/>
        <v>#DIV/0!</v>
      </c>
      <c r="BA154" s="29" t="str">
        <f t="shared" si="157"/>
        <v>#DIV/0!</v>
      </c>
      <c r="BB154" s="29" t="str">
        <f t="shared" si="157"/>
        <v>#DIV/0!</v>
      </c>
      <c r="BC154" s="29" t="str">
        <f t="shared" si="157"/>
        <v>#DIV/0!</v>
      </c>
      <c r="BD154" s="29" t="str">
        <f t="shared" si="157"/>
        <v>#DIV/0!</v>
      </c>
      <c r="BE154" s="29" t="str">
        <f t="shared" si="157"/>
        <v>#DIV/0!</v>
      </c>
      <c r="BF154" s="29" t="str">
        <f t="shared" si="157"/>
        <v>#DIV/0!</v>
      </c>
      <c r="BG154" s="29" t="str">
        <f t="shared" si="157"/>
        <v>#DIV/0!</v>
      </c>
      <c r="BH154" s="29" t="str">
        <f t="shared" si="157"/>
        <v>#DIV/0!</v>
      </c>
      <c r="BI154" s="29" t="str">
        <f t="shared" si="157"/>
        <v>#DIV/0!</v>
      </c>
      <c r="BJ154" s="29" t="str">
        <f t="shared" si="157"/>
        <v>#DIV/0!</v>
      </c>
      <c r="BK154" s="29" t="str">
        <f t="shared" si="157"/>
        <v>#DIV/0!</v>
      </c>
      <c r="BL154" s="29" t="str">
        <f t="shared" si="157"/>
        <v>#DIV/0!</v>
      </c>
      <c r="BM154" s="29" t="str">
        <f t="shared" si="3"/>
        <v>#DIV/0!</v>
      </c>
    </row>
    <row r="155" hidden="1">
      <c r="A155" s="16" t="str">
        <f>IFERROR(__xludf.DUMMYFUNCTION("IFERROR(SPARKLINE(SORT(MAP(TRANSPOSE(AQ155:BL155), LAMBDA(val, IF(ISNUMBER(val), PERCENTRANK(AQ155:BL155, val)+0.01, 0))), SEQUENCE(COLUMNS(AQ155:BL155)), FALSE), {""charttype"",""column""; ""color"",""chartreuse""; ""ymin"", 0; ""ymax"", 1.01; ""highcolo"&amp;"r"", ""darkgreen""; ""lowcolor"", ""red""}), """")"),"")</f>
        <v/>
      </c>
      <c r="B155" s="17" t="str">
        <f t="shared" si="4"/>
        <v/>
      </c>
      <c r="C155" s="1" t="s">
        <v>3119</v>
      </c>
      <c r="D155" s="30" t="str">
        <f>IFERROR(__xludf.DUMMYFUNCTION("IFERROR(GOOGLEFINANCE(C155, ""NAME""))"),"Expro Ltd")</f>
        <v>Expro Ltd</v>
      </c>
      <c r="E155" s="30" t="s">
        <v>2537</v>
      </c>
      <c r="F155" s="38" t="str">
        <f>IFERROR(__xludf.DUMMYFUNCTION("( (GOOGLEFINANCE(C155, ""price"") - Q155) / Q155 ) / (R155 / 100)"),"Loading...")</f>
        <v>Loading...</v>
      </c>
      <c r="G155" s="20" t="str">
        <f>IFERROR(__xludf.DUMMYFUNCTION("AVERAGE(ARRAYFORMULA(100 * (QUERY(GOOGLEFINANCE(C155, ""high"", TODAY()-40, TODAY()), ""SELECT Col2 WHERE Col2 IS NOT NULL ORDER BY Col1 DESC LIMIT 20"", 0) / QUERY(GOOGLEFINANCE(C155, ""low"", TODAY()-40, TODAY()), ""SELECT Col2 WHERE Col2 IS NOT NULL OR"&amp;"DER BY Col1 DESC LIMIT 20"", 0) - 1)))"),"#N/A")</f>
        <v>#N/A</v>
      </c>
      <c r="H155" s="35" t="str">
        <f t="shared" si="6"/>
        <v>Illiquid</v>
      </c>
      <c r="I155" s="35" t="str">
        <f t="shared" si="7"/>
        <v>RVol Required</v>
      </c>
      <c r="J155" s="37">
        <f>IFERROR(__xludf.DUMMYFUNCTION("IFERROR(
  IF(C155="""",, 
    IFERROR(
      GOOGLEFINANCE(C155, ""price"") * GOOGLEFINANCE(C155, ""volumeavg""), 
      GOOGLEFINANCE(C155, ""price"") * AVERAGE(QUERY(GOOGLEFINANCE(C155, ""volume"", TODAY()-40, TODAY()), ""SELECT Col2 WHERE Col2 IS NOT "&amp;"NULL ORDER BY Col1 DESC LIMIT 20"", 0))
    )
  ), 
"""")"),1.338687936E7)</f>
        <v>13386879.36</v>
      </c>
      <c r="K155" s="21">
        <f>IFERROR(__xludf.DUMMYFUNCTION("IFERROR(GOOGLEFINANCE(C155, ""changepct"") / 100, """")"),0.03)</f>
        <v>0.03</v>
      </c>
      <c r="L155" s="21" t="str">
        <f>IFERROR(__xludf.DUMMYFUNCTION("IFERROR((GOOGLEFINANCE(C155, ""price"") / INDEX(GOOGLEFINANCE(C155, ""price"", TODAY()-7, TODAY()), 2, 2)) - 1, """")"),"")</f>
        <v/>
      </c>
      <c r="M155" s="21" t="str">
        <f>IFERROR(__xludf.DUMMYFUNCTION("IFERROR((GOOGLEFINANCE(C155, ""price"") / INDEX(GOOGLEFINANCE(C155, ""price"", EDATE(TODAY(), -1), TODAY()), 2, 2)) - 1, """")"),"")</f>
        <v/>
      </c>
      <c r="N155" s="21" t="str">
        <f>IFERROR(__xludf.DUMMYFUNCTION("IFERROR((GOOGLEFINANCE(C155, ""price"") / INDEX(GOOGLEFINANCE(C155, ""price"", EDATE(TODAY(), -3), TODAY()), 2, 2)) - 1, """")"),"")</f>
        <v/>
      </c>
      <c r="O155" s="21" t="str">
        <f>IFERROR(__xludf.DUMMYFUNCTION("IFERROR((GOOGLEFINANCE(C155, ""price"") / INDEX(GOOGLEFINANCE(C155, ""price"", EDATE(TODAY(), -6), TODAY()), 2, 2)) - 1, """")"),"")</f>
        <v/>
      </c>
      <c r="P155" s="21" t="str">
        <f>IFERROR(__xludf.DUMMYFUNCTION("IFERROR((GOOGLEFINANCE(C155, ""price"") / INDEX(GOOGLEFINANCE(C155, ""price"", EDATE(TODAY(), -12), TODAY()), 2, 2)) - 1, """")"),"")</f>
        <v/>
      </c>
      <c r="Q155" s="6" t="str">
        <f>IFERROR(__xludf.DUMMYFUNCTION("AVERAGE(QUERY(GOOGLEFINANCE(C155, ""price"", TODAY()-80, TODAY()), ""SELECT Col2 WHERE Col2 IS NOT NULL ORDER BY Col1 DESC LIMIT 50"", 0))"),"#N/A")</f>
        <v>#N/A</v>
      </c>
      <c r="R155" s="24" t="str">
        <f>IFERROR(__xludf.DUMMYFUNCTION("IFERROR(
  LET(
    data, QUERY(GOOGLEFINANCE(C155,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GOOGLEFINANCE(C155, ""price"")) * 100,
    IF(calc=0, G155, calc)
  ), 
G155)"),"#N/A")</f>
        <v>#N/A</v>
      </c>
      <c r="S155" s="8" t="s">
        <v>15</v>
      </c>
      <c r="T155" s="26" t="str">
        <f>IFERROR(__xludf.DUMMYFUNCTION("IFERROR(TRANSPOSE(QUERY(IFERROR(SORT(GOOGLEFINANCE(C155, ""price"", WORKDAY(TODAY(), -40), TODAY()), 1, FALSE)), ""select Col2 where Col2 is not null limit 22 label Col2 ''"", 0)), """")"),"")</f>
        <v/>
      </c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8"/>
      <c r="AO155" s="28"/>
      <c r="AP155" s="29"/>
      <c r="AQ155" s="29" t="str">
        <f t="shared" ref="AQ155:BL155" si="158">T155/T$2</f>
        <v>#N/A</v>
      </c>
      <c r="AR155" s="29" t="str">
        <f t="shared" si="158"/>
        <v>#DIV/0!</v>
      </c>
      <c r="AS155" s="29" t="str">
        <f t="shared" si="158"/>
        <v>#DIV/0!</v>
      </c>
      <c r="AT155" s="29" t="str">
        <f t="shared" si="158"/>
        <v>#DIV/0!</v>
      </c>
      <c r="AU155" s="29" t="str">
        <f t="shared" si="158"/>
        <v>#DIV/0!</v>
      </c>
      <c r="AV155" s="29" t="str">
        <f t="shared" si="158"/>
        <v>#DIV/0!</v>
      </c>
      <c r="AW155" s="29" t="str">
        <f t="shared" si="158"/>
        <v>#DIV/0!</v>
      </c>
      <c r="AX155" s="29" t="str">
        <f t="shared" si="158"/>
        <v>#DIV/0!</v>
      </c>
      <c r="AY155" s="29" t="str">
        <f t="shared" si="158"/>
        <v>#DIV/0!</v>
      </c>
      <c r="AZ155" s="29" t="str">
        <f t="shared" si="158"/>
        <v>#DIV/0!</v>
      </c>
      <c r="BA155" s="29" t="str">
        <f t="shared" si="158"/>
        <v>#DIV/0!</v>
      </c>
      <c r="BB155" s="29" t="str">
        <f t="shared" si="158"/>
        <v>#DIV/0!</v>
      </c>
      <c r="BC155" s="29" t="str">
        <f t="shared" si="158"/>
        <v>#DIV/0!</v>
      </c>
      <c r="BD155" s="29" t="str">
        <f t="shared" si="158"/>
        <v>#DIV/0!</v>
      </c>
      <c r="BE155" s="29" t="str">
        <f t="shared" si="158"/>
        <v>#DIV/0!</v>
      </c>
      <c r="BF155" s="29" t="str">
        <f t="shared" si="158"/>
        <v>#DIV/0!</v>
      </c>
      <c r="BG155" s="29" t="str">
        <f t="shared" si="158"/>
        <v>#DIV/0!</v>
      </c>
      <c r="BH155" s="29" t="str">
        <f t="shared" si="158"/>
        <v>#DIV/0!</v>
      </c>
      <c r="BI155" s="29" t="str">
        <f t="shared" si="158"/>
        <v>#DIV/0!</v>
      </c>
      <c r="BJ155" s="29" t="str">
        <f t="shared" si="158"/>
        <v>#DIV/0!</v>
      </c>
      <c r="BK155" s="29" t="str">
        <f t="shared" si="158"/>
        <v>#DIV/0!</v>
      </c>
      <c r="BL155" s="29" t="str">
        <f t="shared" si="158"/>
        <v>#DIV/0!</v>
      </c>
      <c r="BM155" s="29" t="str">
        <f t="shared" si="3"/>
        <v>#DIV/0!</v>
      </c>
    </row>
    <row r="156" hidden="1">
      <c r="A156" s="16" t="str">
        <f>IFERROR(__xludf.DUMMYFUNCTION("IFERROR(SPARKLINE(SORT(MAP(TRANSPOSE(AQ156:BL156), LAMBDA(val, IF(ISNUMBER(val), PERCENTRANK(AQ156:BL156, val)+0.01, 0))), SEQUENCE(COLUMNS(AQ156:BL156)), FALSE), {""charttype"",""column""; ""color"",""chartreuse""; ""ymin"", 0; ""ymax"", 1.01; ""highcolo"&amp;"r"", ""darkgreen""; ""lowcolor"", ""red""}), """")"),"")</f>
        <v/>
      </c>
      <c r="B156" s="17" t="str">
        <f t="shared" si="4"/>
        <v/>
      </c>
      <c r="C156" s="1" t="s">
        <v>3122</v>
      </c>
      <c r="D156" s="30" t="str">
        <f>IFERROR(__xludf.DUMMYFUNCTION("IFERROR(GOOGLEFINANCE(C156, ""NAME""))"),"Star Group LP")</f>
        <v>Star Group LP</v>
      </c>
      <c r="E156" s="30" t="s">
        <v>2649</v>
      </c>
      <c r="F156" s="33" t="str">
        <f>IFERROR(__xludf.DUMMYFUNCTION("( (GOOGLEFINANCE(C156, ""price"") - Q156) / Q156 ) / (R156 / 100)"),"Loading...")</f>
        <v>Loading...</v>
      </c>
      <c r="G156" s="20" t="str">
        <f>IFERROR(__xludf.DUMMYFUNCTION("AVERAGE(ARRAYFORMULA(100 * (QUERY(GOOGLEFINANCE(C156, ""high"", TODAY()-40, TODAY()), ""SELECT Col2 WHERE Col2 IS NOT NULL ORDER BY Col1 DESC LIMIT 20"", 0) / QUERY(GOOGLEFINANCE(C156, ""low"", TODAY()-40, TODAY()), ""SELECT Col2 WHERE Col2 IS NOT NULL OR"&amp;"DER BY Col1 DESC LIMIT 20"", 0) - 1)))"),"#N/A")</f>
        <v>#N/A</v>
      </c>
      <c r="H156" s="35" t="str">
        <f t="shared" si="6"/>
        <v>Illiquid</v>
      </c>
      <c r="I156" s="35" t="str">
        <f t="shared" si="7"/>
        <v>RVol Required</v>
      </c>
      <c r="J156" s="37">
        <f>IFERROR(__xludf.DUMMYFUNCTION("IFERROR(
  IF(C156="""",, 
    IFERROR(
      GOOGLEFINANCE(C156, ""price"") * GOOGLEFINANCE(C156, ""volumeavg""), 
      GOOGLEFINANCE(C156, ""price"") * AVERAGE(QUERY(GOOGLEFINANCE(C156, ""volume"", TODAY()-40, TODAY()), ""SELECT Col2 WHERE Col2 IS NOT "&amp;"NULL ORDER BY Col1 DESC LIMIT 20"", 0))
    )
  ), 
"""")"),255019.38)</f>
        <v>255019.38</v>
      </c>
      <c r="K156" s="21">
        <f>IFERROR(__xludf.DUMMYFUNCTION("IFERROR(GOOGLEFINANCE(C156, ""changepct"") / 100, """")"),0.0060999999999999995)</f>
        <v>0.0061</v>
      </c>
      <c r="L156" s="21" t="str">
        <f>IFERROR(__xludf.DUMMYFUNCTION("IFERROR((GOOGLEFINANCE(C156, ""price"") / INDEX(GOOGLEFINANCE(C156, ""price"", TODAY()-7, TODAY()), 2, 2)) - 1, """")"),"")</f>
        <v/>
      </c>
      <c r="M156" s="21" t="str">
        <f>IFERROR(__xludf.DUMMYFUNCTION("IFERROR((GOOGLEFINANCE(C156, ""price"") / INDEX(GOOGLEFINANCE(C156, ""price"", EDATE(TODAY(), -1), TODAY()), 2, 2)) - 1, """")"),"")</f>
        <v/>
      </c>
      <c r="N156" s="21" t="str">
        <f>IFERROR(__xludf.DUMMYFUNCTION("IFERROR((GOOGLEFINANCE(C156, ""price"") / INDEX(GOOGLEFINANCE(C156, ""price"", EDATE(TODAY(), -3), TODAY()), 2, 2)) - 1, """")"),"")</f>
        <v/>
      </c>
      <c r="O156" s="21" t="str">
        <f>IFERROR(__xludf.DUMMYFUNCTION("IFERROR((GOOGLEFINANCE(C156, ""price"") / INDEX(GOOGLEFINANCE(C156, ""price"", EDATE(TODAY(), -6), TODAY()), 2, 2)) - 1, """")"),"")</f>
        <v/>
      </c>
      <c r="P156" s="21" t="str">
        <f>IFERROR(__xludf.DUMMYFUNCTION("IFERROR((GOOGLEFINANCE(C156, ""price"") / INDEX(GOOGLEFINANCE(C156, ""price"", EDATE(TODAY(), -12), TODAY()), 2, 2)) - 1, """")"),"")</f>
        <v/>
      </c>
      <c r="Q156" s="6" t="str">
        <f>IFERROR(__xludf.DUMMYFUNCTION("AVERAGE(QUERY(GOOGLEFINANCE(C156, ""price"", TODAY()-80, TODAY()), ""SELECT Col2 WHERE Col2 IS NOT NULL ORDER BY Col1 DESC LIMIT 50"", 0))"),"#N/A")</f>
        <v>#N/A</v>
      </c>
      <c r="R156" s="24" t="str">
        <f>IFERROR(__xludf.DUMMYFUNCTION("IFERROR(
  LET(
    data, QUERY(GOOGLEFINANCE(C156,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GOOGLEFINANCE(C156, ""price"")) * 100,
    IF(calc=0, G156, calc)
  ), 
G156)"),"#N/A")</f>
        <v>#N/A</v>
      </c>
      <c r="S156" s="8" t="s">
        <v>15</v>
      </c>
      <c r="T156" s="26" t="str">
        <f>IFERROR(__xludf.DUMMYFUNCTION("IFERROR(TRANSPOSE(QUERY(IFERROR(SORT(GOOGLEFINANCE(C156, ""price"", WORKDAY(TODAY(), -40), TODAY()), 1, FALSE)), ""select Col2 where Col2 is not null limit 22 label Col2 ''"", 0)), """")"),"")</f>
        <v/>
      </c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8"/>
      <c r="AO156" s="28"/>
      <c r="AP156" s="29"/>
      <c r="AQ156" s="29" t="str">
        <f t="shared" ref="AQ156:BL156" si="159">T156/T$2</f>
        <v>#N/A</v>
      </c>
      <c r="AR156" s="29" t="str">
        <f t="shared" si="159"/>
        <v>#DIV/0!</v>
      </c>
      <c r="AS156" s="29" t="str">
        <f t="shared" si="159"/>
        <v>#DIV/0!</v>
      </c>
      <c r="AT156" s="29" t="str">
        <f t="shared" si="159"/>
        <v>#DIV/0!</v>
      </c>
      <c r="AU156" s="29" t="str">
        <f t="shared" si="159"/>
        <v>#DIV/0!</v>
      </c>
      <c r="AV156" s="29" t="str">
        <f t="shared" si="159"/>
        <v>#DIV/0!</v>
      </c>
      <c r="AW156" s="29" t="str">
        <f t="shared" si="159"/>
        <v>#DIV/0!</v>
      </c>
      <c r="AX156" s="29" t="str">
        <f t="shared" si="159"/>
        <v>#DIV/0!</v>
      </c>
      <c r="AY156" s="29" t="str">
        <f t="shared" si="159"/>
        <v>#DIV/0!</v>
      </c>
      <c r="AZ156" s="29" t="str">
        <f t="shared" si="159"/>
        <v>#DIV/0!</v>
      </c>
      <c r="BA156" s="29" t="str">
        <f t="shared" si="159"/>
        <v>#DIV/0!</v>
      </c>
      <c r="BB156" s="29" t="str">
        <f t="shared" si="159"/>
        <v>#DIV/0!</v>
      </c>
      <c r="BC156" s="29" t="str">
        <f t="shared" si="159"/>
        <v>#DIV/0!</v>
      </c>
      <c r="BD156" s="29" t="str">
        <f t="shared" si="159"/>
        <v>#DIV/0!</v>
      </c>
      <c r="BE156" s="29" t="str">
        <f t="shared" si="159"/>
        <v>#DIV/0!</v>
      </c>
      <c r="BF156" s="29" t="str">
        <f t="shared" si="159"/>
        <v>#DIV/0!</v>
      </c>
      <c r="BG156" s="29" t="str">
        <f t="shared" si="159"/>
        <v>#DIV/0!</v>
      </c>
      <c r="BH156" s="29" t="str">
        <f t="shared" si="159"/>
        <v>#DIV/0!</v>
      </c>
      <c r="BI156" s="29" t="str">
        <f t="shared" si="159"/>
        <v>#DIV/0!</v>
      </c>
      <c r="BJ156" s="29" t="str">
        <f t="shared" si="159"/>
        <v>#DIV/0!</v>
      </c>
      <c r="BK156" s="29" t="str">
        <f t="shared" si="159"/>
        <v>#DIV/0!</v>
      </c>
      <c r="BL156" s="29" t="str">
        <f t="shared" si="159"/>
        <v>#DIV/0!</v>
      </c>
      <c r="BM156" s="29" t="str">
        <f t="shared" si="3"/>
        <v>#DIV/0!</v>
      </c>
    </row>
    <row r="157">
      <c r="A157" s="16" t="str">
        <f>IFERROR(__xludf.DUMMYFUNCTION("IFERROR(SPARKLINE(SORT(MAP(TRANSPOSE(AQ157:BL157), LAMBDA(val, IF(ISNUMBER(val), PERCENTRANK(AQ157:BL157, val)+0.01, 0))), SEQUENCE(COLUMNS(AQ157:BL157)), FALSE), {""charttype"",""column""; ""color"",""chartreuse""; ""ymin"", 0; ""ymax"", 1.01; ""highcolo"&amp;"r"", ""darkgreen""; ""lowcolor"", ""red""}), """")"),"")</f>
        <v/>
      </c>
      <c r="B157" s="17" t="str">
        <f t="shared" si="4"/>
        <v/>
      </c>
      <c r="C157" s="1" t="s">
        <v>3125</v>
      </c>
      <c r="D157" s="30" t="str">
        <f>IFERROR(__xludf.DUMMYFUNCTION("IFERROR(GOOGLEFINANCE(C157, ""NAME""))"),"Permian Resources Corp")</f>
        <v>Permian Resources Corp</v>
      </c>
      <c r="E157" s="30" t="s">
        <v>2613</v>
      </c>
      <c r="F157" s="33" t="str">
        <f>IFERROR(__xludf.DUMMYFUNCTION("( (GOOGLEFINANCE(C157, ""price"") - Q157) / Q157 ) / (R157 / 100)"),"Loading...")</f>
        <v>Loading...</v>
      </c>
      <c r="G157" s="20" t="str">
        <f>IFERROR(__xludf.DUMMYFUNCTION("AVERAGE(ARRAYFORMULA(100 * (QUERY(GOOGLEFINANCE(C157, ""high"", TODAY()-40, TODAY()), ""SELECT Col2 WHERE Col2 IS NOT NULL ORDER BY Col1 DESC LIMIT 20"", 0) / QUERY(GOOGLEFINANCE(C157, ""low"", TODAY()-40, TODAY()), ""SELECT Col2 WHERE Col2 IS NOT NULL OR"&amp;"DER BY Col1 DESC LIMIT 20"", 0) - 1)))"),"#N/A")</f>
        <v>#N/A</v>
      </c>
      <c r="H157" s="35" t="str">
        <f t="shared" si="6"/>
        <v>Liquid</v>
      </c>
      <c r="I157" s="35" t="str">
        <f t="shared" si="7"/>
        <v>RVol Required</v>
      </c>
      <c r="J157" s="37">
        <f>IFERROR(__xludf.DUMMYFUNCTION("IFERROR(
  IF(C157="""",, 
    IFERROR(
      GOOGLEFINANCE(C157, ""price"") * GOOGLEFINANCE(C157, ""volumeavg""), 
      GOOGLEFINANCE(C157, ""price"") * AVERAGE(QUERY(GOOGLEFINANCE(C157, ""volume"", TODAY()-40, TODAY()), ""SELECT Col2 WHERE Col2 IS NOT "&amp;"NULL ORDER BY Col1 DESC LIMIT 20"", 0))
    )
  ), 
"""")"),2.3975638522E8)</f>
        <v>239756385.2</v>
      </c>
      <c r="K157" s="21">
        <f>IFERROR(__xludf.DUMMYFUNCTION("IFERROR(GOOGLEFINANCE(C157, ""changepct"") / 100, """")"),0.0415)</f>
        <v>0.0415</v>
      </c>
      <c r="L157" s="21" t="str">
        <f>IFERROR(__xludf.DUMMYFUNCTION("IFERROR((GOOGLEFINANCE(C157, ""price"") / INDEX(GOOGLEFINANCE(C157, ""price"", TODAY()-7, TODAY()), 2, 2)) - 1, """")"),"")</f>
        <v/>
      </c>
      <c r="M157" s="21" t="str">
        <f>IFERROR(__xludf.DUMMYFUNCTION("IFERROR((GOOGLEFINANCE(C157, ""price"") / INDEX(GOOGLEFINANCE(C157, ""price"", EDATE(TODAY(), -1), TODAY()), 2, 2)) - 1, """")"),"")</f>
        <v/>
      </c>
      <c r="N157" s="21" t="str">
        <f>IFERROR(__xludf.DUMMYFUNCTION("IFERROR((GOOGLEFINANCE(C157, ""price"") / INDEX(GOOGLEFINANCE(C157, ""price"", EDATE(TODAY(), -3), TODAY()), 2, 2)) - 1, """")"),"")</f>
        <v/>
      </c>
      <c r="O157" s="21" t="str">
        <f>IFERROR(__xludf.DUMMYFUNCTION("IFERROR((GOOGLEFINANCE(C157, ""price"") / INDEX(GOOGLEFINANCE(C157, ""price"", EDATE(TODAY(), -6), TODAY()), 2, 2)) - 1, """")"),"")</f>
        <v/>
      </c>
      <c r="P157" s="21" t="str">
        <f>IFERROR(__xludf.DUMMYFUNCTION("IFERROR((GOOGLEFINANCE(C157, ""price"") / INDEX(GOOGLEFINANCE(C157, ""price"", EDATE(TODAY(), -12), TODAY()), 2, 2)) - 1, """")"),"")</f>
        <v/>
      </c>
      <c r="Q157" s="6" t="str">
        <f>IFERROR(__xludf.DUMMYFUNCTION("AVERAGE(QUERY(GOOGLEFINANCE(C157, ""price"", TODAY()-80, TODAY()), ""SELECT Col2 WHERE Col2 IS NOT NULL ORDER BY Col1 DESC LIMIT 50"", 0))"),"#N/A")</f>
        <v>#N/A</v>
      </c>
      <c r="R157" s="24" t="str">
        <f>IFERROR(__xludf.DUMMYFUNCTION("IFERROR(
  LET(
    data, QUERY(GOOGLEFINANCE(C157,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GOOGLEFINANCE(C157, ""price"")) * 100,
    IF(calc=0, G157, calc)
  ), 
G157)"),"#N/A")</f>
        <v>#N/A</v>
      </c>
      <c r="S157" s="8" t="s">
        <v>15</v>
      </c>
      <c r="T157" s="26" t="str">
        <f>IFERROR(__xludf.DUMMYFUNCTION("IFERROR(TRANSPOSE(QUERY(IFERROR(SORT(GOOGLEFINANCE(C157, ""price"", WORKDAY(TODAY(), -40), TODAY()), 1, FALSE)), ""select Col2 where Col2 is not null limit 22 label Col2 ''"", 0)), """")"),"")</f>
        <v/>
      </c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8"/>
      <c r="AO157" s="28"/>
      <c r="AP157" s="29"/>
      <c r="AQ157" s="29" t="str">
        <f t="shared" ref="AQ157:BL157" si="160">T157/T$2</f>
        <v>#N/A</v>
      </c>
      <c r="AR157" s="29" t="str">
        <f t="shared" si="160"/>
        <v>#DIV/0!</v>
      </c>
      <c r="AS157" s="29" t="str">
        <f t="shared" si="160"/>
        <v>#DIV/0!</v>
      </c>
      <c r="AT157" s="29" t="str">
        <f t="shared" si="160"/>
        <v>#DIV/0!</v>
      </c>
      <c r="AU157" s="29" t="str">
        <f t="shared" si="160"/>
        <v>#DIV/0!</v>
      </c>
      <c r="AV157" s="29" t="str">
        <f t="shared" si="160"/>
        <v>#DIV/0!</v>
      </c>
      <c r="AW157" s="29" t="str">
        <f t="shared" si="160"/>
        <v>#DIV/0!</v>
      </c>
      <c r="AX157" s="29" t="str">
        <f t="shared" si="160"/>
        <v>#DIV/0!</v>
      </c>
      <c r="AY157" s="29" t="str">
        <f t="shared" si="160"/>
        <v>#DIV/0!</v>
      </c>
      <c r="AZ157" s="29" t="str">
        <f t="shared" si="160"/>
        <v>#DIV/0!</v>
      </c>
      <c r="BA157" s="29" t="str">
        <f t="shared" si="160"/>
        <v>#DIV/0!</v>
      </c>
      <c r="BB157" s="29" t="str">
        <f t="shared" si="160"/>
        <v>#DIV/0!</v>
      </c>
      <c r="BC157" s="29" t="str">
        <f t="shared" si="160"/>
        <v>#DIV/0!</v>
      </c>
      <c r="BD157" s="29" t="str">
        <f t="shared" si="160"/>
        <v>#DIV/0!</v>
      </c>
      <c r="BE157" s="29" t="str">
        <f t="shared" si="160"/>
        <v>#DIV/0!</v>
      </c>
      <c r="BF157" s="29" t="str">
        <f t="shared" si="160"/>
        <v>#DIV/0!</v>
      </c>
      <c r="BG157" s="29" t="str">
        <f t="shared" si="160"/>
        <v>#DIV/0!</v>
      </c>
      <c r="BH157" s="29" t="str">
        <f t="shared" si="160"/>
        <v>#DIV/0!</v>
      </c>
      <c r="BI157" s="29" t="str">
        <f t="shared" si="160"/>
        <v>#DIV/0!</v>
      </c>
      <c r="BJ157" s="29" t="str">
        <f t="shared" si="160"/>
        <v>#DIV/0!</v>
      </c>
      <c r="BK157" s="29" t="str">
        <f t="shared" si="160"/>
        <v>#DIV/0!</v>
      </c>
      <c r="BL157" s="29" t="str">
        <f t="shared" si="160"/>
        <v>#DIV/0!</v>
      </c>
      <c r="BM157" s="29" t="str">
        <f t="shared" si="3"/>
        <v>#DIV/0!</v>
      </c>
    </row>
    <row r="158" hidden="1">
      <c r="A158" s="16" t="str">
        <f>IFERROR(__xludf.DUMMYFUNCTION("IFERROR(SPARKLINE(SORT(MAP(TRANSPOSE(AQ158:BL158), LAMBDA(val, IF(ISNUMBER(val), PERCENTRANK(AQ158:BL158, val)+0.01, 0))), SEQUENCE(COLUMNS(AQ158:BL158)), FALSE), {""charttype"",""column""; ""color"",""chartreuse""; ""ymin"", 0; ""ymax"", 1.01; ""highcolo"&amp;"r"", ""darkgreen""; ""lowcolor"", ""red""}), """")"),"")</f>
        <v/>
      </c>
      <c r="B158" s="17" t="str">
        <f t="shared" si="4"/>
        <v/>
      </c>
      <c r="C158" s="1" t="s">
        <v>3128</v>
      </c>
      <c r="D158" s="30" t="str">
        <f>IFERROR(__xludf.DUMMYFUNCTION("IFERROR(GOOGLEFINANCE(C158, ""NAME""))"),"Oil States International Inc")</f>
        <v>Oil States International Inc</v>
      </c>
      <c r="E158" s="30" t="s">
        <v>2537</v>
      </c>
      <c r="F158" s="33" t="str">
        <f>IFERROR(__xludf.DUMMYFUNCTION("( (GOOGLEFINANCE(C158, ""price"") - Q158) / Q158 ) / (R158 / 100)"),"Loading...")</f>
        <v>Loading...</v>
      </c>
      <c r="G158" s="20" t="str">
        <f>IFERROR(__xludf.DUMMYFUNCTION("AVERAGE(ARRAYFORMULA(100 * (QUERY(GOOGLEFINANCE(C158, ""high"", TODAY()-40, TODAY()), ""SELECT Col2 WHERE Col2 IS NOT NULL ORDER BY Col1 DESC LIMIT 20"", 0) / QUERY(GOOGLEFINANCE(C158, ""low"", TODAY()-40, TODAY()), ""SELECT Col2 WHERE Col2 IS NOT NULL OR"&amp;"DER BY Col1 DESC LIMIT 20"", 0) - 1)))"),"#N/A")</f>
        <v>#N/A</v>
      </c>
      <c r="H158" s="35" t="str">
        <f t="shared" si="6"/>
        <v>Illiquid</v>
      </c>
      <c r="I158" s="35" t="str">
        <f t="shared" si="7"/>
        <v>RVol Required</v>
      </c>
      <c r="J158" s="37">
        <f>IFERROR(__xludf.DUMMYFUNCTION("IFERROR(
  IF(C158="""",, 
    IFERROR(
      GOOGLEFINANCE(C158, ""price"") * GOOGLEFINANCE(C158, ""volumeavg""), 
      GOOGLEFINANCE(C158, ""price"") * AVERAGE(QUERY(GOOGLEFINANCE(C158, ""volume"", TODAY()-40, TODAY()), ""SELECT Col2 WHERE Col2 IS NOT "&amp;"NULL ORDER BY Col1 DESC LIMIT 20"", 0))
    )
  ), 
"""")"),5658722.4399999995)</f>
        <v>5658722.44</v>
      </c>
      <c r="K158" s="21">
        <f>IFERROR(__xludf.DUMMYFUNCTION("IFERROR(GOOGLEFINANCE(C158, ""changepct"") / 100, """")"),0.0227)</f>
        <v>0.0227</v>
      </c>
      <c r="L158" s="21" t="str">
        <f>IFERROR(__xludf.DUMMYFUNCTION("IFERROR((GOOGLEFINANCE(C158, ""price"") / INDEX(GOOGLEFINANCE(C158, ""price"", TODAY()-7, TODAY()), 2, 2)) - 1, """")"),"")</f>
        <v/>
      </c>
      <c r="M158" s="21" t="str">
        <f>IFERROR(__xludf.DUMMYFUNCTION("IFERROR((GOOGLEFINANCE(C158, ""price"") / INDEX(GOOGLEFINANCE(C158, ""price"", EDATE(TODAY(), -1), TODAY()), 2, 2)) - 1, """")"),"")</f>
        <v/>
      </c>
      <c r="N158" s="21" t="str">
        <f>IFERROR(__xludf.DUMMYFUNCTION("IFERROR((GOOGLEFINANCE(C158, ""price"") / INDEX(GOOGLEFINANCE(C158, ""price"", EDATE(TODAY(), -3), TODAY()), 2, 2)) - 1, """")"),"")</f>
        <v/>
      </c>
      <c r="O158" s="21" t="str">
        <f>IFERROR(__xludf.DUMMYFUNCTION("IFERROR((GOOGLEFINANCE(C158, ""price"") / INDEX(GOOGLEFINANCE(C158, ""price"", EDATE(TODAY(), -6), TODAY()), 2, 2)) - 1, """")"),"")</f>
        <v/>
      </c>
      <c r="P158" s="21" t="str">
        <f>IFERROR(__xludf.DUMMYFUNCTION("IFERROR((GOOGLEFINANCE(C158, ""price"") / INDEX(GOOGLEFINANCE(C158, ""price"", EDATE(TODAY(), -12), TODAY()), 2, 2)) - 1, """")"),"")</f>
        <v/>
      </c>
      <c r="Q158" s="6" t="str">
        <f>IFERROR(__xludf.DUMMYFUNCTION("AVERAGE(QUERY(GOOGLEFINANCE(C158, ""price"", TODAY()-80, TODAY()), ""SELECT Col2 WHERE Col2 IS NOT NULL ORDER BY Col1 DESC LIMIT 50"", 0))"),"#N/A")</f>
        <v>#N/A</v>
      </c>
      <c r="R158" s="24" t="str">
        <f>IFERROR(__xludf.DUMMYFUNCTION("IFERROR(
  LET(
    data, QUERY(GOOGLEFINANCE(C158,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GOOGLEFINANCE(C158, ""price"")) * 100,
    IF(calc=0, G158, calc)
  ), 
G158)"),"#N/A")</f>
        <v>#N/A</v>
      </c>
      <c r="S158" s="8" t="s">
        <v>15</v>
      </c>
      <c r="T158" s="26" t="str">
        <f>IFERROR(__xludf.DUMMYFUNCTION("IFERROR(TRANSPOSE(QUERY(IFERROR(SORT(GOOGLEFINANCE(C158, ""price"", WORKDAY(TODAY(), -40), TODAY()), 1, FALSE)), ""select Col2 where Col2 is not null limit 22 label Col2 ''"", 0)), """")"),"")</f>
        <v/>
      </c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8"/>
      <c r="AO158" s="28"/>
      <c r="AP158" s="29"/>
      <c r="AQ158" s="29" t="str">
        <f t="shared" ref="AQ158:BL158" si="161">T158/T$2</f>
        <v>#N/A</v>
      </c>
      <c r="AR158" s="29" t="str">
        <f t="shared" si="161"/>
        <v>#DIV/0!</v>
      </c>
      <c r="AS158" s="29" t="str">
        <f t="shared" si="161"/>
        <v>#DIV/0!</v>
      </c>
      <c r="AT158" s="29" t="str">
        <f t="shared" si="161"/>
        <v>#DIV/0!</v>
      </c>
      <c r="AU158" s="29" t="str">
        <f t="shared" si="161"/>
        <v>#DIV/0!</v>
      </c>
      <c r="AV158" s="29" t="str">
        <f t="shared" si="161"/>
        <v>#DIV/0!</v>
      </c>
      <c r="AW158" s="29" t="str">
        <f t="shared" si="161"/>
        <v>#DIV/0!</v>
      </c>
      <c r="AX158" s="29" t="str">
        <f t="shared" si="161"/>
        <v>#DIV/0!</v>
      </c>
      <c r="AY158" s="29" t="str">
        <f t="shared" si="161"/>
        <v>#DIV/0!</v>
      </c>
      <c r="AZ158" s="29" t="str">
        <f t="shared" si="161"/>
        <v>#DIV/0!</v>
      </c>
      <c r="BA158" s="29" t="str">
        <f t="shared" si="161"/>
        <v>#DIV/0!</v>
      </c>
      <c r="BB158" s="29" t="str">
        <f t="shared" si="161"/>
        <v>#DIV/0!</v>
      </c>
      <c r="BC158" s="29" t="str">
        <f t="shared" si="161"/>
        <v>#DIV/0!</v>
      </c>
      <c r="BD158" s="29" t="str">
        <f t="shared" si="161"/>
        <v>#DIV/0!</v>
      </c>
      <c r="BE158" s="29" t="str">
        <f t="shared" si="161"/>
        <v>#DIV/0!</v>
      </c>
      <c r="BF158" s="29" t="str">
        <f t="shared" si="161"/>
        <v>#DIV/0!</v>
      </c>
      <c r="BG158" s="29" t="str">
        <f t="shared" si="161"/>
        <v>#DIV/0!</v>
      </c>
      <c r="BH158" s="29" t="str">
        <f t="shared" si="161"/>
        <v>#DIV/0!</v>
      </c>
      <c r="BI158" s="29" t="str">
        <f t="shared" si="161"/>
        <v>#DIV/0!</v>
      </c>
      <c r="BJ158" s="29" t="str">
        <f t="shared" si="161"/>
        <v>#DIV/0!</v>
      </c>
      <c r="BK158" s="29" t="str">
        <f t="shared" si="161"/>
        <v>#DIV/0!</v>
      </c>
      <c r="BL158" s="29" t="str">
        <f t="shared" si="161"/>
        <v>#DIV/0!</v>
      </c>
      <c r="BM158" s="29" t="str">
        <f t="shared" si="3"/>
        <v>#DIV/0!</v>
      </c>
    </row>
    <row r="159">
      <c r="A159" s="16" t="str">
        <f>IFERROR(__xludf.DUMMYFUNCTION("IFERROR(SPARKLINE(SORT(MAP(TRANSPOSE(AQ159:BL159), LAMBDA(val, IF(ISNUMBER(val), PERCENTRANK(AQ159:BL159, val)+0.01, 0))), SEQUENCE(COLUMNS(AQ159:BL159)), FALSE), {""charttype"",""column""; ""color"",""chartreuse""; ""ymin"", 0; ""ymax"", 1.01; ""highcolo"&amp;"r"", ""darkgreen""; ""lowcolor"", ""red""}), """")"),"")</f>
        <v/>
      </c>
      <c r="B159" s="17" t="str">
        <f t="shared" si="4"/>
        <v/>
      </c>
      <c r="C159" s="1" t="s">
        <v>3131</v>
      </c>
      <c r="D159" s="30" t="str">
        <f>IFERROR(__xludf.DUMMYFUNCTION("IFERROR(GOOGLEFINANCE(C159, ""NAME""))"),"NexGen Energy Ltd")</f>
        <v>NexGen Energy Ltd</v>
      </c>
      <c r="E159" s="30" t="s">
        <v>2542</v>
      </c>
      <c r="F159" s="33" t="str">
        <f>IFERROR(__xludf.DUMMYFUNCTION("( (GOOGLEFINANCE(C159, ""price"") - Q159) / Q159 ) / (R159 / 100)"),"Loading...")</f>
        <v>Loading...</v>
      </c>
      <c r="G159" s="20" t="str">
        <f>IFERROR(__xludf.DUMMYFUNCTION("AVERAGE(ARRAYFORMULA(100 * (QUERY(GOOGLEFINANCE(C159, ""high"", TODAY()-40, TODAY()), ""SELECT Col2 WHERE Col2 IS NOT NULL ORDER BY Col1 DESC LIMIT 20"", 0) / QUERY(GOOGLEFINANCE(C159, ""low"", TODAY()-40, TODAY()), ""SELECT Col2 WHERE Col2 IS NOT NULL OR"&amp;"DER BY Col1 DESC LIMIT 20"", 0) - 1)))"),"#N/A")</f>
        <v>#N/A</v>
      </c>
      <c r="H159" s="35" t="str">
        <f t="shared" si="6"/>
        <v>Illiquid</v>
      </c>
      <c r="I159" s="35" t="str">
        <f t="shared" si="7"/>
        <v>RVol Required</v>
      </c>
      <c r="J159" s="37">
        <f>IFERROR(__xludf.DUMMYFUNCTION("IFERROR(
  IF(C159="""",, 
    IFERROR(
      GOOGLEFINANCE(C159, ""price"") * GOOGLEFINANCE(C159, ""volumeavg""), 
      GOOGLEFINANCE(C159, ""price"") * AVERAGE(QUERY(GOOGLEFINANCE(C159, ""volume"", TODAY()-40, TODAY()), ""SELECT Col2 WHERE Col2 IS NOT "&amp;"NULL ORDER BY Col1 DESC LIMIT 20"", 0))
    )
  ), 
"""")"),3.8769622379999995E7)</f>
        <v>38769622.38</v>
      </c>
      <c r="K159" s="21">
        <f>IFERROR(__xludf.DUMMYFUNCTION("IFERROR(GOOGLEFINANCE(C159, ""changepct"") / 100, """")"),-0.0222)</f>
        <v>-0.0222</v>
      </c>
      <c r="L159" s="21" t="str">
        <f>IFERROR(__xludf.DUMMYFUNCTION("IFERROR((GOOGLEFINANCE(C159, ""price"") / INDEX(GOOGLEFINANCE(C159, ""price"", TODAY()-7, TODAY()), 2, 2)) - 1, """")"),"")</f>
        <v/>
      </c>
      <c r="M159" s="21" t="str">
        <f>IFERROR(__xludf.DUMMYFUNCTION("IFERROR((GOOGLEFINANCE(C159, ""price"") / INDEX(GOOGLEFINANCE(C159, ""price"", EDATE(TODAY(), -1), TODAY()), 2, 2)) - 1, """")"),"")</f>
        <v/>
      </c>
      <c r="N159" s="21" t="str">
        <f>IFERROR(__xludf.DUMMYFUNCTION("IFERROR((GOOGLEFINANCE(C159, ""price"") / INDEX(GOOGLEFINANCE(C159, ""price"", EDATE(TODAY(), -3), TODAY()), 2, 2)) - 1, """")"),"")</f>
        <v/>
      </c>
      <c r="O159" s="21" t="str">
        <f>IFERROR(__xludf.DUMMYFUNCTION("IFERROR((GOOGLEFINANCE(C159, ""price"") / INDEX(GOOGLEFINANCE(C159, ""price"", EDATE(TODAY(), -6), TODAY()), 2, 2)) - 1, """")"),"")</f>
        <v/>
      </c>
      <c r="P159" s="21" t="str">
        <f>IFERROR(__xludf.DUMMYFUNCTION("IFERROR((GOOGLEFINANCE(C159, ""price"") / INDEX(GOOGLEFINANCE(C159, ""price"", EDATE(TODAY(), -12), TODAY()), 2, 2)) - 1, """")"),"")</f>
        <v/>
      </c>
      <c r="Q159" s="6" t="str">
        <f>IFERROR(__xludf.DUMMYFUNCTION("AVERAGE(QUERY(GOOGLEFINANCE(C159, ""price"", TODAY()-80, TODAY()), ""SELECT Col2 WHERE Col2 IS NOT NULL ORDER BY Col1 DESC LIMIT 50"", 0))"),"#N/A")</f>
        <v>#N/A</v>
      </c>
      <c r="R159" s="24" t="str">
        <f>IFERROR(__xludf.DUMMYFUNCTION("IFERROR(
  LET(
    data, QUERY(GOOGLEFINANCE(C159,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GOOGLEFINANCE(C159, ""price"")) * 100,
    IF(calc=0, G159, calc)
  ), 
G159)"),"#N/A")</f>
        <v>#N/A</v>
      </c>
      <c r="S159" s="8" t="s">
        <v>15</v>
      </c>
      <c r="T159" s="26" t="str">
        <f>IFERROR(__xludf.DUMMYFUNCTION("IFERROR(TRANSPOSE(QUERY(IFERROR(SORT(GOOGLEFINANCE(C159, ""price"", WORKDAY(TODAY(), -40), TODAY()), 1, FALSE)), ""select Col2 where Col2 is not null limit 22 label Col2 ''"", 0)), """")"),"")</f>
        <v/>
      </c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8"/>
      <c r="AO159" s="28"/>
      <c r="AP159" s="29"/>
      <c r="AQ159" s="29" t="str">
        <f t="shared" ref="AQ159:BL159" si="162">T159/T$2</f>
        <v>#N/A</v>
      </c>
      <c r="AR159" s="29" t="str">
        <f t="shared" si="162"/>
        <v>#DIV/0!</v>
      </c>
      <c r="AS159" s="29" t="str">
        <f t="shared" si="162"/>
        <v>#DIV/0!</v>
      </c>
      <c r="AT159" s="29" t="str">
        <f t="shared" si="162"/>
        <v>#DIV/0!</v>
      </c>
      <c r="AU159" s="29" t="str">
        <f t="shared" si="162"/>
        <v>#DIV/0!</v>
      </c>
      <c r="AV159" s="29" t="str">
        <f t="shared" si="162"/>
        <v>#DIV/0!</v>
      </c>
      <c r="AW159" s="29" t="str">
        <f t="shared" si="162"/>
        <v>#DIV/0!</v>
      </c>
      <c r="AX159" s="29" t="str">
        <f t="shared" si="162"/>
        <v>#DIV/0!</v>
      </c>
      <c r="AY159" s="29" t="str">
        <f t="shared" si="162"/>
        <v>#DIV/0!</v>
      </c>
      <c r="AZ159" s="29" t="str">
        <f t="shared" si="162"/>
        <v>#DIV/0!</v>
      </c>
      <c r="BA159" s="29" t="str">
        <f t="shared" si="162"/>
        <v>#DIV/0!</v>
      </c>
      <c r="BB159" s="29" t="str">
        <f t="shared" si="162"/>
        <v>#DIV/0!</v>
      </c>
      <c r="BC159" s="29" t="str">
        <f t="shared" si="162"/>
        <v>#DIV/0!</v>
      </c>
      <c r="BD159" s="29" t="str">
        <f t="shared" si="162"/>
        <v>#DIV/0!</v>
      </c>
      <c r="BE159" s="29" t="str">
        <f t="shared" si="162"/>
        <v>#DIV/0!</v>
      </c>
      <c r="BF159" s="29" t="str">
        <f t="shared" si="162"/>
        <v>#DIV/0!</v>
      </c>
      <c r="BG159" s="29" t="str">
        <f t="shared" si="162"/>
        <v>#DIV/0!</v>
      </c>
      <c r="BH159" s="29" t="str">
        <f t="shared" si="162"/>
        <v>#DIV/0!</v>
      </c>
      <c r="BI159" s="29" t="str">
        <f t="shared" si="162"/>
        <v>#DIV/0!</v>
      </c>
      <c r="BJ159" s="29" t="str">
        <f t="shared" si="162"/>
        <v>#DIV/0!</v>
      </c>
      <c r="BK159" s="29" t="str">
        <f t="shared" si="162"/>
        <v>#DIV/0!</v>
      </c>
      <c r="BL159" s="29" t="str">
        <f t="shared" si="162"/>
        <v>#DIV/0!</v>
      </c>
      <c r="BM159" s="29" t="str">
        <f t="shared" si="3"/>
        <v>#DIV/0!</v>
      </c>
    </row>
    <row r="160">
      <c r="A160" s="16" t="str">
        <f>IFERROR(__xludf.DUMMYFUNCTION("IFERROR(SPARKLINE(SORT(MAP(TRANSPOSE(AQ160:BL160), LAMBDA(val, IF(ISNUMBER(val), PERCENTRANK(AQ160:BL160, val)+0.01, 0))), SEQUENCE(COLUMNS(AQ160:BL160)), FALSE), {""charttype"",""column""; ""color"",""chartreuse""; ""ymin"", 0; ""ymax"", 1.01; ""highcolo"&amp;"r"", ""darkgreen""; ""lowcolor"", ""red""}), """")"),"")</f>
        <v/>
      </c>
      <c r="B160" s="17" t="str">
        <f t="shared" si="4"/>
        <v/>
      </c>
      <c r="C160" s="1" t="s">
        <v>3134</v>
      </c>
      <c r="D160" s="30" t="str">
        <f>IFERROR(__xludf.DUMMYFUNCTION("IFERROR(GOOGLEFINANCE(C160, ""NAME""))"),"Northern Oil and Gas Inc")</f>
        <v>Northern Oil and Gas Inc</v>
      </c>
      <c r="E160" s="30" t="s">
        <v>2613</v>
      </c>
      <c r="F160" s="33" t="str">
        <f>IFERROR(__xludf.DUMMYFUNCTION("( (GOOGLEFINANCE(C160, ""price"") - Q160) / Q160 ) / (R160 / 100)"),"Loading...")</f>
        <v>Loading...</v>
      </c>
      <c r="G160" s="20" t="str">
        <f>IFERROR(__xludf.DUMMYFUNCTION("AVERAGE(ARRAYFORMULA(100 * (QUERY(GOOGLEFINANCE(C160, ""high"", TODAY()-40, TODAY()), ""SELECT Col2 WHERE Col2 IS NOT NULL ORDER BY Col1 DESC LIMIT 20"", 0) / QUERY(GOOGLEFINANCE(C160, ""low"", TODAY()-40, TODAY()), ""SELECT Col2 WHERE Col2 IS NOT NULL OR"&amp;"DER BY Col1 DESC LIMIT 20"", 0) - 1)))"),"#N/A")</f>
        <v>#N/A</v>
      </c>
      <c r="H160" s="35" t="str">
        <f t="shared" si="6"/>
        <v>Liquid</v>
      </c>
      <c r="I160" s="35" t="str">
        <f t="shared" si="7"/>
        <v>RVol Required</v>
      </c>
      <c r="J160" s="37">
        <f>IFERROR(__xludf.DUMMYFUNCTION("IFERROR(
  IF(C160="""",, 
    IFERROR(
      GOOGLEFINANCE(C160, ""price"") * GOOGLEFINANCE(C160, ""volumeavg""), 
      GOOGLEFINANCE(C160, ""price"") * AVERAGE(QUERY(GOOGLEFINANCE(C160, ""volume"", TODAY()-40, TODAY()), ""SELECT Col2 WHERE Col2 IS NOT "&amp;"NULL ORDER BY Col1 DESC LIMIT 20"", 0))
    )
  ), 
"""")"),5.606595344E7)</f>
        <v>56065953.44</v>
      </c>
      <c r="K160" s="21">
        <f>IFERROR(__xludf.DUMMYFUNCTION("IFERROR(GOOGLEFINANCE(C160, ""changepct"") / 100, """")"),0.0548)</f>
        <v>0.0548</v>
      </c>
      <c r="L160" s="21" t="str">
        <f>IFERROR(__xludf.DUMMYFUNCTION("IFERROR((GOOGLEFINANCE(C160, ""price"") / INDEX(GOOGLEFINANCE(C160, ""price"", TODAY()-7, TODAY()), 2, 2)) - 1, """")"),"")</f>
        <v/>
      </c>
      <c r="M160" s="21" t="str">
        <f>IFERROR(__xludf.DUMMYFUNCTION("IFERROR((GOOGLEFINANCE(C160, ""price"") / INDEX(GOOGLEFINANCE(C160, ""price"", EDATE(TODAY(), -1), TODAY()), 2, 2)) - 1, """")"),"")</f>
        <v/>
      </c>
      <c r="N160" s="21" t="str">
        <f>IFERROR(__xludf.DUMMYFUNCTION("IFERROR((GOOGLEFINANCE(C160, ""price"") / INDEX(GOOGLEFINANCE(C160, ""price"", EDATE(TODAY(), -3), TODAY()), 2, 2)) - 1, """")"),"")</f>
        <v/>
      </c>
      <c r="O160" s="21" t="str">
        <f>IFERROR(__xludf.DUMMYFUNCTION("IFERROR((GOOGLEFINANCE(C160, ""price"") / INDEX(GOOGLEFINANCE(C160, ""price"", EDATE(TODAY(), -6), TODAY()), 2, 2)) - 1, """")"),"")</f>
        <v/>
      </c>
      <c r="P160" s="21" t="str">
        <f>IFERROR(__xludf.DUMMYFUNCTION("IFERROR((GOOGLEFINANCE(C160, ""price"") / INDEX(GOOGLEFINANCE(C160, ""price"", EDATE(TODAY(), -12), TODAY()), 2, 2)) - 1, """")"),"")</f>
        <v/>
      </c>
      <c r="Q160" s="6" t="str">
        <f>IFERROR(__xludf.DUMMYFUNCTION("AVERAGE(QUERY(GOOGLEFINANCE(C160, ""price"", TODAY()-80, TODAY()), ""SELECT Col2 WHERE Col2 IS NOT NULL ORDER BY Col1 DESC LIMIT 50"", 0))"),"#N/A")</f>
        <v>#N/A</v>
      </c>
      <c r="R160" s="24" t="str">
        <f>IFERROR(__xludf.DUMMYFUNCTION("IFERROR(
  LET(
    data, QUERY(GOOGLEFINANCE(C160,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GOOGLEFINANCE(C160, ""price"")) * 100,
    IF(calc=0, G160, calc)
  ), 
G160)"),"#N/A")</f>
        <v>#N/A</v>
      </c>
      <c r="S160" s="8" t="s">
        <v>15</v>
      </c>
      <c r="T160" s="26" t="str">
        <f>IFERROR(__xludf.DUMMYFUNCTION("IFERROR(TRANSPOSE(QUERY(IFERROR(SORT(GOOGLEFINANCE(C160, ""price"", WORKDAY(TODAY(), -40), TODAY()), 1, FALSE)), ""select Col2 where Col2 is not null limit 22 label Col2 ''"", 0)), """")"),"")</f>
        <v/>
      </c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8"/>
      <c r="AO160" s="28"/>
      <c r="AP160" s="29"/>
      <c r="AQ160" s="29" t="str">
        <f t="shared" ref="AQ160:BL160" si="163">T160/T$2</f>
        <v>#N/A</v>
      </c>
      <c r="AR160" s="29" t="str">
        <f t="shared" si="163"/>
        <v>#DIV/0!</v>
      </c>
      <c r="AS160" s="29" t="str">
        <f t="shared" si="163"/>
        <v>#DIV/0!</v>
      </c>
      <c r="AT160" s="29" t="str">
        <f t="shared" si="163"/>
        <v>#DIV/0!</v>
      </c>
      <c r="AU160" s="29" t="str">
        <f t="shared" si="163"/>
        <v>#DIV/0!</v>
      </c>
      <c r="AV160" s="29" t="str">
        <f t="shared" si="163"/>
        <v>#DIV/0!</v>
      </c>
      <c r="AW160" s="29" t="str">
        <f t="shared" si="163"/>
        <v>#DIV/0!</v>
      </c>
      <c r="AX160" s="29" t="str">
        <f t="shared" si="163"/>
        <v>#DIV/0!</v>
      </c>
      <c r="AY160" s="29" t="str">
        <f t="shared" si="163"/>
        <v>#DIV/0!</v>
      </c>
      <c r="AZ160" s="29" t="str">
        <f t="shared" si="163"/>
        <v>#DIV/0!</v>
      </c>
      <c r="BA160" s="29" t="str">
        <f t="shared" si="163"/>
        <v>#DIV/0!</v>
      </c>
      <c r="BB160" s="29" t="str">
        <f t="shared" si="163"/>
        <v>#DIV/0!</v>
      </c>
      <c r="BC160" s="29" t="str">
        <f t="shared" si="163"/>
        <v>#DIV/0!</v>
      </c>
      <c r="BD160" s="29" t="str">
        <f t="shared" si="163"/>
        <v>#DIV/0!</v>
      </c>
      <c r="BE160" s="29" t="str">
        <f t="shared" si="163"/>
        <v>#DIV/0!</v>
      </c>
      <c r="BF160" s="29" t="str">
        <f t="shared" si="163"/>
        <v>#DIV/0!</v>
      </c>
      <c r="BG160" s="29" t="str">
        <f t="shared" si="163"/>
        <v>#DIV/0!</v>
      </c>
      <c r="BH160" s="29" t="str">
        <f t="shared" si="163"/>
        <v>#DIV/0!</v>
      </c>
      <c r="BI160" s="29" t="str">
        <f t="shared" si="163"/>
        <v>#DIV/0!</v>
      </c>
      <c r="BJ160" s="29" t="str">
        <f t="shared" si="163"/>
        <v>#DIV/0!</v>
      </c>
      <c r="BK160" s="29" t="str">
        <f t="shared" si="163"/>
        <v>#DIV/0!</v>
      </c>
      <c r="BL160" s="29" t="str">
        <f t="shared" si="163"/>
        <v>#DIV/0!</v>
      </c>
      <c r="BM160" s="29" t="str">
        <f t="shared" si="3"/>
        <v>#DIV/0!</v>
      </c>
    </row>
    <row r="161" hidden="1">
      <c r="A161" s="16" t="str">
        <f>IFERROR(__xludf.DUMMYFUNCTION("IFERROR(SPARKLINE(SORT(MAP(TRANSPOSE(AQ161:BL161), LAMBDA(val, IF(ISNUMBER(val), PERCENTRANK(AQ161:BL161, val)+0.01, 0))), SEQUENCE(COLUMNS(AQ161:BL161)), FALSE), {""charttype"",""column""; ""color"",""chartreuse""; ""ymin"", 0; ""ymax"", 1.01; ""highcolo"&amp;"r"", ""darkgreen""; ""lowcolor"", ""red""}), """")"),"")</f>
        <v/>
      </c>
      <c r="B161" s="17" t="str">
        <f t="shared" si="4"/>
        <v/>
      </c>
      <c r="C161" s="1" t="s">
        <v>3137</v>
      </c>
      <c r="D161" s="30" t="str">
        <f>IFERROR(__xludf.DUMMYFUNCTION("IFERROR(GOOGLEFINANCE(C161, ""NAME""))"),"North American Construction Group Ltd")</f>
        <v>North American Construction Group Ltd</v>
      </c>
      <c r="E161" s="30" t="s">
        <v>2537</v>
      </c>
      <c r="F161" s="38" t="str">
        <f>IFERROR(__xludf.DUMMYFUNCTION("( (GOOGLEFINANCE(C161, ""price"") - Q161) / Q161 ) / (R161 / 100)"),"Loading...")</f>
        <v>Loading...</v>
      </c>
      <c r="G161" s="20" t="str">
        <f>IFERROR(__xludf.DUMMYFUNCTION("AVERAGE(ARRAYFORMULA(100 * (QUERY(GOOGLEFINANCE(C161, ""high"", TODAY()-40, TODAY()), ""SELECT Col2 WHERE Col2 IS NOT NULL ORDER BY Col1 DESC LIMIT 20"", 0) / QUERY(GOOGLEFINANCE(C161, ""low"", TODAY()-40, TODAY()), ""SELECT Col2 WHERE Col2 IS NOT NULL OR"&amp;"DER BY Col1 DESC LIMIT 20"", 0) - 1)))"),"#N/A")</f>
        <v>#N/A</v>
      </c>
      <c r="H161" s="35" t="str">
        <f t="shared" si="6"/>
        <v>Illiquid</v>
      </c>
      <c r="I161" s="35" t="str">
        <f t="shared" si="7"/>
        <v>RVol Required</v>
      </c>
      <c r="J161" s="37">
        <f>IFERROR(__xludf.DUMMYFUNCTION("IFERROR(
  IF(C161="""",, 
    IFERROR(
      GOOGLEFINANCE(C161, ""price"") * GOOGLEFINANCE(C161, ""volumeavg""), 
      GOOGLEFINANCE(C161, ""price"") * AVERAGE(QUERY(GOOGLEFINANCE(C161, ""volume"", TODAY()-40, TODAY()), ""SELECT Col2 WHERE Col2 IS NOT "&amp;"NULL ORDER BY Col1 DESC LIMIT 20"", 0))
    )
  ), 
"""")"),1305740.99)</f>
        <v>1305740.99</v>
      </c>
      <c r="K161" s="21">
        <f>IFERROR(__xludf.DUMMYFUNCTION("IFERROR(GOOGLEFINANCE(C161, ""changepct"") / 100, """")"),0.0113)</f>
        <v>0.0113</v>
      </c>
      <c r="L161" s="21" t="str">
        <f>IFERROR(__xludf.DUMMYFUNCTION("IFERROR((GOOGLEFINANCE(C161, ""price"") / INDEX(GOOGLEFINANCE(C161, ""price"", TODAY()-7, TODAY()), 2, 2)) - 1, """")"),"")</f>
        <v/>
      </c>
      <c r="M161" s="21" t="str">
        <f>IFERROR(__xludf.DUMMYFUNCTION("IFERROR((GOOGLEFINANCE(C161, ""price"") / INDEX(GOOGLEFINANCE(C161, ""price"", EDATE(TODAY(), -1), TODAY()), 2, 2)) - 1, """")"),"")</f>
        <v/>
      </c>
      <c r="N161" s="21" t="str">
        <f>IFERROR(__xludf.DUMMYFUNCTION("IFERROR((GOOGLEFINANCE(C161, ""price"") / INDEX(GOOGLEFINANCE(C161, ""price"", EDATE(TODAY(), -3), TODAY()), 2, 2)) - 1, """")"),"")</f>
        <v/>
      </c>
      <c r="O161" s="21" t="str">
        <f>IFERROR(__xludf.DUMMYFUNCTION("IFERROR((GOOGLEFINANCE(C161, ""price"") / INDEX(GOOGLEFINANCE(C161, ""price"", EDATE(TODAY(), -6), TODAY()), 2, 2)) - 1, """")"),"")</f>
        <v/>
      </c>
      <c r="P161" s="21" t="str">
        <f>IFERROR(__xludf.DUMMYFUNCTION("IFERROR((GOOGLEFINANCE(C161, ""price"") / INDEX(GOOGLEFINANCE(C161, ""price"", EDATE(TODAY(), -12), TODAY()), 2, 2)) - 1, """")"),"")</f>
        <v/>
      </c>
      <c r="Q161" s="6" t="str">
        <f>IFERROR(__xludf.DUMMYFUNCTION("AVERAGE(QUERY(GOOGLEFINANCE(C161, ""price"", TODAY()-80, TODAY()), ""SELECT Col2 WHERE Col2 IS NOT NULL ORDER BY Col1 DESC LIMIT 50"", 0))"),"#N/A")</f>
        <v>#N/A</v>
      </c>
      <c r="R161" s="24" t="str">
        <f>IFERROR(__xludf.DUMMYFUNCTION("IFERROR(
  LET(
    data, QUERY(GOOGLEFINANCE(C161,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GOOGLEFINANCE(C161, ""price"")) * 100,
    IF(calc=0, G161, calc)
  ), 
G161)"),"#N/A")</f>
        <v>#N/A</v>
      </c>
      <c r="S161" s="8" t="s">
        <v>15</v>
      </c>
      <c r="T161" s="26" t="str">
        <f>IFERROR(__xludf.DUMMYFUNCTION("IFERROR(TRANSPOSE(QUERY(IFERROR(SORT(GOOGLEFINANCE(C161, ""price"", WORKDAY(TODAY(), -40), TODAY()), 1, FALSE)), ""select Col2 where Col2 is not null limit 22 label Col2 ''"", 0)), """")"),"")</f>
        <v/>
      </c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8"/>
      <c r="AO161" s="28"/>
      <c r="AP161" s="29"/>
      <c r="AQ161" s="29" t="str">
        <f t="shared" ref="AQ161:BL161" si="164">T161/T$2</f>
        <v>#N/A</v>
      </c>
      <c r="AR161" s="29" t="str">
        <f t="shared" si="164"/>
        <v>#DIV/0!</v>
      </c>
      <c r="AS161" s="29" t="str">
        <f t="shared" si="164"/>
        <v>#DIV/0!</v>
      </c>
      <c r="AT161" s="29" t="str">
        <f t="shared" si="164"/>
        <v>#DIV/0!</v>
      </c>
      <c r="AU161" s="29" t="str">
        <f t="shared" si="164"/>
        <v>#DIV/0!</v>
      </c>
      <c r="AV161" s="29" t="str">
        <f t="shared" si="164"/>
        <v>#DIV/0!</v>
      </c>
      <c r="AW161" s="29" t="str">
        <f t="shared" si="164"/>
        <v>#DIV/0!</v>
      </c>
      <c r="AX161" s="29" t="str">
        <f t="shared" si="164"/>
        <v>#DIV/0!</v>
      </c>
      <c r="AY161" s="29" t="str">
        <f t="shared" si="164"/>
        <v>#DIV/0!</v>
      </c>
      <c r="AZ161" s="29" t="str">
        <f t="shared" si="164"/>
        <v>#DIV/0!</v>
      </c>
      <c r="BA161" s="29" t="str">
        <f t="shared" si="164"/>
        <v>#DIV/0!</v>
      </c>
      <c r="BB161" s="29" t="str">
        <f t="shared" si="164"/>
        <v>#DIV/0!</v>
      </c>
      <c r="BC161" s="29" t="str">
        <f t="shared" si="164"/>
        <v>#DIV/0!</v>
      </c>
      <c r="BD161" s="29" t="str">
        <f t="shared" si="164"/>
        <v>#DIV/0!</v>
      </c>
      <c r="BE161" s="29" t="str">
        <f t="shared" si="164"/>
        <v>#DIV/0!</v>
      </c>
      <c r="BF161" s="29" t="str">
        <f t="shared" si="164"/>
        <v>#DIV/0!</v>
      </c>
      <c r="BG161" s="29" t="str">
        <f t="shared" si="164"/>
        <v>#DIV/0!</v>
      </c>
      <c r="BH161" s="29" t="str">
        <f t="shared" si="164"/>
        <v>#DIV/0!</v>
      </c>
      <c r="BI161" s="29" t="str">
        <f t="shared" si="164"/>
        <v>#DIV/0!</v>
      </c>
      <c r="BJ161" s="29" t="str">
        <f t="shared" si="164"/>
        <v>#DIV/0!</v>
      </c>
      <c r="BK161" s="29" t="str">
        <f t="shared" si="164"/>
        <v>#DIV/0!</v>
      </c>
      <c r="BL161" s="29" t="str">
        <f t="shared" si="164"/>
        <v>#DIV/0!</v>
      </c>
      <c r="BM161" s="29" t="str">
        <f t="shared" si="3"/>
        <v>#DIV/0!</v>
      </c>
    </row>
    <row r="162">
      <c r="A162" s="16" t="str">
        <f>IFERROR(__xludf.DUMMYFUNCTION("IFERROR(SPARKLINE(SORT(MAP(TRANSPOSE(AQ162:BL162), LAMBDA(val, IF(ISNUMBER(val), PERCENTRANK(AQ162:BL162, val)+0.01, 0))), SEQUENCE(COLUMNS(AQ162:BL162)), FALSE), {""charttype"",""column""; ""color"",""chartreuse""; ""ymin"", 0; ""ymax"", 1.01; ""highcolo"&amp;"r"", ""darkgreen""; ""lowcolor"", ""red""}), """")"),"")</f>
        <v/>
      </c>
      <c r="B162" s="17" t="str">
        <f t="shared" si="4"/>
        <v/>
      </c>
      <c r="C162" s="1" t="s">
        <v>3141</v>
      </c>
      <c r="D162" s="30" t="str">
        <f>IFERROR(__xludf.DUMMYFUNCTION("IFERROR(GOOGLEFINANCE(C162, ""NAME""))"),"National Fuel Gas Co")</f>
        <v>National Fuel Gas Co</v>
      </c>
      <c r="E162" s="30" t="s">
        <v>2631</v>
      </c>
      <c r="F162" s="33" t="str">
        <f>IFERROR(__xludf.DUMMYFUNCTION("( (GOOGLEFINANCE(C162, ""price"") - Q162) / Q162 ) / (R162 / 100)"),"Loading...")</f>
        <v>Loading...</v>
      </c>
      <c r="G162" s="20" t="str">
        <f>IFERROR(__xludf.DUMMYFUNCTION("AVERAGE(ARRAYFORMULA(100 * (QUERY(GOOGLEFINANCE(C162, ""high"", TODAY()-40, TODAY()), ""SELECT Col2 WHERE Col2 IS NOT NULL ORDER BY Col1 DESC LIMIT 20"", 0) / QUERY(GOOGLEFINANCE(C162, ""low"", TODAY()-40, TODAY()), ""SELECT Col2 WHERE Col2 IS NOT NULL OR"&amp;"DER BY Col1 DESC LIMIT 20"", 0) - 1)))"),"#N/A")</f>
        <v>#N/A</v>
      </c>
      <c r="H162" s="35" t="str">
        <f t="shared" si="6"/>
        <v>Liquid</v>
      </c>
      <c r="I162" s="35" t="str">
        <f t="shared" si="7"/>
        <v>RVol Required</v>
      </c>
      <c r="J162" s="37">
        <f>IFERROR(__xludf.DUMMYFUNCTION("IFERROR(
  IF(C162="""",, 
    IFERROR(
      GOOGLEFINANCE(C162, ""price"") * GOOGLEFINANCE(C162, ""volumeavg""), 
      GOOGLEFINANCE(C162, ""price"") * AVERAGE(QUERY(GOOGLEFINANCE(C162, ""volume"", TODAY()-40, TODAY()), ""SELECT Col2 WHERE Col2 IS NOT "&amp;"NULL ORDER BY Col1 DESC LIMIT 20"", 0))
    )
  ), 
"""")"),7.441439112E7)</f>
        <v>74414391.12</v>
      </c>
      <c r="K162" s="21">
        <f>IFERROR(__xludf.DUMMYFUNCTION("IFERROR(GOOGLEFINANCE(C162, ""changepct"") / 100, """")"),0.0196)</f>
        <v>0.0196</v>
      </c>
      <c r="L162" s="21" t="str">
        <f>IFERROR(__xludf.DUMMYFUNCTION("IFERROR((GOOGLEFINANCE(C162, ""price"") / INDEX(GOOGLEFINANCE(C162, ""price"", TODAY()-7, TODAY()), 2, 2)) - 1, """")"),"")</f>
        <v/>
      </c>
      <c r="M162" s="21" t="str">
        <f>IFERROR(__xludf.DUMMYFUNCTION("IFERROR((GOOGLEFINANCE(C162, ""price"") / INDEX(GOOGLEFINANCE(C162, ""price"", EDATE(TODAY(), -1), TODAY()), 2, 2)) - 1, """")"),"")</f>
        <v/>
      </c>
      <c r="N162" s="21" t="str">
        <f>IFERROR(__xludf.DUMMYFUNCTION("IFERROR((GOOGLEFINANCE(C162, ""price"") / INDEX(GOOGLEFINANCE(C162, ""price"", EDATE(TODAY(), -3), TODAY()), 2, 2)) - 1, """")"),"")</f>
        <v/>
      </c>
      <c r="O162" s="21" t="str">
        <f>IFERROR(__xludf.DUMMYFUNCTION("IFERROR((GOOGLEFINANCE(C162, ""price"") / INDEX(GOOGLEFINANCE(C162, ""price"", EDATE(TODAY(), -6), TODAY()), 2, 2)) - 1, """")"),"")</f>
        <v/>
      </c>
      <c r="P162" s="21" t="str">
        <f>IFERROR(__xludf.DUMMYFUNCTION("IFERROR((GOOGLEFINANCE(C162, ""price"") / INDEX(GOOGLEFINANCE(C162, ""price"", EDATE(TODAY(), -12), TODAY()), 2, 2)) - 1, """")"),"")</f>
        <v/>
      </c>
      <c r="Q162" s="6" t="str">
        <f>IFERROR(__xludf.DUMMYFUNCTION("AVERAGE(QUERY(GOOGLEFINANCE(C162, ""price"", TODAY()-80, TODAY()), ""SELECT Col2 WHERE Col2 IS NOT NULL ORDER BY Col1 DESC LIMIT 50"", 0))"),"#N/A")</f>
        <v>#N/A</v>
      </c>
      <c r="R162" s="24" t="str">
        <f>IFERROR(__xludf.DUMMYFUNCTION("IFERROR(
  LET(
    data, QUERY(GOOGLEFINANCE(C162,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GOOGLEFINANCE(C162, ""price"")) * 100,
    IF(calc=0, G162, calc)
  ), 
G162)"),"#N/A")</f>
        <v>#N/A</v>
      </c>
      <c r="S162" s="8" t="s">
        <v>15</v>
      </c>
      <c r="T162" s="26" t="str">
        <f>IFERROR(__xludf.DUMMYFUNCTION("IFERROR(TRANSPOSE(QUERY(IFERROR(SORT(GOOGLEFINANCE(C162, ""price"", WORKDAY(TODAY(), -40), TODAY()), 1, FALSE)), ""select Col2 where Col2 is not null limit 22 label Col2 ''"", 0)), """")"),"")</f>
        <v/>
      </c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8"/>
      <c r="AO162" s="28"/>
      <c r="AP162" s="29"/>
      <c r="AQ162" s="29" t="str">
        <f t="shared" ref="AQ162:BL162" si="165">T162/T$2</f>
        <v>#N/A</v>
      </c>
      <c r="AR162" s="29" t="str">
        <f t="shared" si="165"/>
        <v>#DIV/0!</v>
      </c>
      <c r="AS162" s="29" t="str">
        <f t="shared" si="165"/>
        <v>#DIV/0!</v>
      </c>
      <c r="AT162" s="29" t="str">
        <f t="shared" si="165"/>
        <v>#DIV/0!</v>
      </c>
      <c r="AU162" s="29" t="str">
        <f t="shared" si="165"/>
        <v>#DIV/0!</v>
      </c>
      <c r="AV162" s="29" t="str">
        <f t="shared" si="165"/>
        <v>#DIV/0!</v>
      </c>
      <c r="AW162" s="29" t="str">
        <f t="shared" si="165"/>
        <v>#DIV/0!</v>
      </c>
      <c r="AX162" s="29" t="str">
        <f t="shared" si="165"/>
        <v>#DIV/0!</v>
      </c>
      <c r="AY162" s="29" t="str">
        <f t="shared" si="165"/>
        <v>#DIV/0!</v>
      </c>
      <c r="AZ162" s="29" t="str">
        <f t="shared" si="165"/>
        <v>#DIV/0!</v>
      </c>
      <c r="BA162" s="29" t="str">
        <f t="shared" si="165"/>
        <v>#DIV/0!</v>
      </c>
      <c r="BB162" s="29" t="str">
        <f t="shared" si="165"/>
        <v>#DIV/0!</v>
      </c>
      <c r="BC162" s="29" t="str">
        <f t="shared" si="165"/>
        <v>#DIV/0!</v>
      </c>
      <c r="BD162" s="29" t="str">
        <f t="shared" si="165"/>
        <v>#DIV/0!</v>
      </c>
      <c r="BE162" s="29" t="str">
        <f t="shared" si="165"/>
        <v>#DIV/0!</v>
      </c>
      <c r="BF162" s="29" t="str">
        <f t="shared" si="165"/>
        <v>#DIV/0!</v>
      </c>
      <c r="BG162" s="29" t="str">
        <f t="shared" si="165"/>
        <v>#DIV/0!</v>
      </c>
      <c r="BH162" s="29" t="str">
        <f t="shared" si="165"/>
        <v>#DIV/0!</v>
      </c>
      <c r="BI162" s="29" t="str">
        <f t="shared" si="165"/>
        <v>#DIV/0!</v>
      </c>
      <c r="BJ162" s="29" t="str">
        <f t="shared" si="165"/>
        <v>#DIV/0!</v>
      </c>
      <c r="BK162" s="29" t="str">
        <f t="shared" si="165"/>
        <v>#DIV/0!</v>
      </c>
      <c r="BL162" s="29" t="str">
        <f t="shared" si="165"/>
        <v>#DIV/0!</v>
      </c>
      <c r="BM162" s="29" t="str">
        <f t="shared" si="3"/>
        <v>#DIV/0!</v>
      </c>
    </row>
    <row r="163">
      <c r="A163" s="16" t="str">
        <f>IFERROR(__xludf.DUMMYFUNCTION("IFERROR(SPARKLINE(SORT(MAP(TRANSPOSE(AQ163:BL163), LAMBDA(val, IF(ISNUMBER(val), PERCENTRANK(AQ163:BL163, val)+0.01, 0))), SEQUENCE(COLUMNS(AQ163:BL163)), FALSE), {""charttype"",""column""; ""color"",""chartreuse""; ""ymin"", 0; ""ymax"", 1.01; ""highcolo"&amp;"r"", ""darkgreen""; ""lowcolor"", ""red""}), """")"),"")</f>
        <v/>
      </c>
      <c r="B163" s="17" t="str">
        <f t="shared" si="4"/>
        <v/>
      </c>
      <c r="C163" s="1" t="s">
        <v>3144</v>
      </c>
      <c r="D163" s="30" t="str">
        <f>IFERROR(__xludf.DUMMYFUNCTION("IFERROR(GOOGLEFINANCE(C163, ""NAME""))"),"MPLX LP")</f>
        <v>MPLX LP</v>
      </c>
      <c r="E163" s="30" t="s">
        <v>2547</v>
      </c>
      <c r="F163" s="33" t="str">
        <f>IFERROR(__xludf.DUMMYFUNCTION("( (GOOGLEFINANCE(C163, ""price"") - Q163) / Q163 ) / (R163 / 100)"),"Loading...")</f>
        <v>Loading...</v>
      </c>
      <c r="G163" s="20" t="str">
        <f>IFERROR(__xludf.DUMMYFUNCTION("AVERAGE(ARRAYFORMULA(100 * (QUERY(GOOGLEFINANCE(C163, ""high"", TODAY()-40, TODAY()), ""SELECT Col2 WHERE Col2 IS NOT NULL ORDER BY Col1 DESC LIMIT 20"", 0) / QUERY(GOOGLEFINANCE(C163, ""low"", TODAY()-40, TODAY()), ""SELECT Col2 WHERE Col2 IS NOT NULL OR"&amp;"DER BY Col1 DESC LIMIT 20"", 0) - 1)))"),"#N/A")</f>
        <v>#N/A</v>
      </c>
      <c r="H163" s="35" t="str">
        <f t="shared" si="6"/>
        <v>Liquid</v>
      </c>
      <c r="I163" s="35" t="str">
        <f t="shared" si="7"/>
        <v>RVol Required</v>
      </c>
      <c r="J163" s="37">
        <f>IFERROR(__xludf.DUMMYFUNCTION("IFERROR(
  IF(C163="""",, 
    IFERROR(
      GOOGLEFINANCE(C163, ""price"") * GOOGLEFINANCE(C163, ""volumeavg""), 
      GOOGLEFINANCE(C163, ""price"") * AVERAGE(QUERY(GOOGLEFINANCE(C163, ""volume"", TODAY()-40, TODAY()), ""SELECT Col2 WHERE Col2 IS NOT "&amp;"NULL ORDER BY Col1 DESC LIMIT 20"", 0))
    )
  ), 
"""")"),7.912894824E7)</f>
        <v>79128948.24</v>
      </c>
      <c r="K163" s="21">
        <f>IFERROR(__xludf.DUMMYFUNCTION("IFERROR(GOOGLEFINANCE(C163, ""changepct"") / 100, """")"),0.0182)</f>
        <v>0.0182</v>
      </c>
      <c r="L163" s="21" t="str">
        <f>IFERROR(__xludf.DUMMYFUNCTION("IFERROR((GOOGLEFINANCE(C163, ""price"") / INDEX(GOOGLEFINANCE(C163, ""price"", TODAY()-7, TODAY()), 2, 2)) - 1, """")"),"")</f>
        <v/>
      </c>
      <c r="M163" s="21" t="str">
        <f>IFERROR(__xludf.DUMMYFUNCTION("IFERROR((GOOGLEFINANCE(C163, ""price"") / INDEX(GOOGLEFINANCE(C163, ""price"", EDATE(TODAY(), -1), TODAY()), 2, 2)) - 1, """")"),"")</f>
        <v/>
      </c>
      <c r="N163" s="21" t="str">
        <f>IFERROR(__xludf.DUMMYFUNCTION("IFERROR((GOOGLEFINANCE(C163, ""price"") / INDEX(GOOGLEFINANCE(C163, ""price"", EDATE(TODAY(), -3), TODAY()), 2, 2)) - 1, """")"),"")</f>
        <v/>
      </c>
      <c r="O163" s="21" t="str">
        <f>IFERROR(__xludf.DUMMYFUNCTION("IFERROR((GOOGLEFINANCE(C163, ""price"") / INDEX(GOOGLEFINANCE(C163, ""price"", EDATE(TODAY(), -6), TODAY()), 2, 2)) - 1, """")"),"")</f>
        <v/>
      </c>
      <c r="P163" s="21" t="str">
        <f>IFERROR(__xludf.DUMMYFUNCTION("IFERROR((GOOGLEFINANCE(C163, ""price"") / INDEX(GOOGLEFINANCE(C163, ""price"", EDATE(TODAY(), -12), TODAY()), 2, 2)) - 1, """")"),"")</f>
        <v/>
      </c>
      <c r="Q163" s="6" t="str">
        <f>IFERROR(__xludf.DUMMYFUNCTION("AVERAGE(QUERY(GOOGLEFINANCE(C163, ""price"", TODAY()-80, TODAY()), ""SELECT Col2 WHERE Col2 IS NOT NULL ORDER BY Col1 DESC LIMIT 50"", 0))"),"#N/A")</f>
        <v>#N/A</v>
      </c>
      <c r="R163" s="24" t="str">
        <f>IFERROR(__xludf.DUMMYFUNCTION("IFERROR(
  LET(
    data, QUERY(GOOGLEFINANCE(C163,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GOOGLEFINANCE(C163, ""price"")) * 100,
    IF(calc=0, G163, calc)
  ), 
G163)"),"#N/A")</f>
        <v>#N/A</v>
      </c>
      <c r="S163" s="8" t="s">
        <v>15</v>
      </c>
      <c r="T163" s="26" t="str">
        <f>IFERROR(__xludf.DUMMYFUNCTION("IFERROR(TRANSPOSE(QUERY(IFERROR(SORT(GOOGLEFINANCE(C163, ""price"", WORKDAY(TODAY(), -40), TODAY()), 1, FALSE)), ""select Col2 where Col2 is not null limit 22 label Col2 ''"", 0)), """")"),"")</f>
        <v/>
      </c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8"/>
      <c r="AO163" s="28"/>
      <c r="AP163" s="29"/>
      <c r="AQ163" s="29" t="str">
        <f t="shared" ref="AQ163:BL163" si="166">T163/T$2</f>
        <v>#N/A</v>
      </c>
      <c r="AR163" s="29" t="str">
        <f t="shared" si="166"/>
        <v>#DIV/0!</v>
      </c>
      <c r="AS163" s="29" t="str">
        <f t="shared" si="166"/>
        <v>#DIV/0!</v>
      </c>
      <c r="AT163" s="29" t="str">
        <f t="shared" si="166"/>
        <v>#DIV/0!</v>
      </c>
      <c r="AU163" s="29" t="str">
        <f t="shared" si="166"/>
        <v>#DIV/0!</v>
      </c>
      <c r="AV163" s="29" t="str">
        <f t="shared" si="166"/>
        <v>#DIV/0!</v>
      </c>
      <c r="AW163" s="29" t="str">
        <f t="shared" si="166"/>
        <v>#DIV/0!</v>
      </c>
      <c r="AX163" s="29" t="str">
        <f t="shared" si="166"/>
        <v>#DIV/0!</v>
      </c>
      <c r="AY163" s="29" t="str">
        <f t="shared" si="166"/>
        <v>#DIV/0!</v>
      </c>
      <c r="AZ163" s="29" t="str">
        <f t="shared" si="166"/>
        <v>#DIV/0!</v>
      </c>
      <c r="BA163" s="29" t="str">
        <f t="shared" si="166"/>
        <v>#DIV/0!</v>
      </c>
      <c r="BB163" s="29" t="str">
        <f t="shared" si="166"/>
        <v>#DIV/0!</v>
      </c>
      <c r="BC163" s="29" t="str">
        <f t="shared" si="166"/>
        <v>#DIV/0!</v>
      </c>
      <c r="BD163" s="29" t="str">
        <f t="shared" si="166"/>
        <v>#DIV/0!</v>
      </c>
      <c r="BE163" s="29" t="str">
        <f t="shared" si="166"/>
        <v>#DIV/0!</v>
      </c>
      <c r="BF163" s="29" t="str">
        <f t="shared" si="166"/>
        <v>#DIV/0!</v>
      </c>
      <c r="BG163" s="29" t="str">
        <f t="shared" si="166"/>
        <v>#DIV/0!</v>
      </c>
      <c r="BH163" s="29" t="str">
        <f t="shared" si="166"/>
        <v>#DIV/0!</v>
      </c>
      <c r="BI163" s="29" t="str">
        <f t="shared" si="166"/>
        <v>#DIV/0!</v>
      </c>
      <c r="BJ163" s="29" t="str">
        <f t="shared" si="166"/>
        <v>#DIV/0!</v>
      </c>
      <c r="BK163" s="29" t="str">
        <f t="shared" si="166"/>
        <v>#DIV/0!</v>
      </c>
      <c r="BL163" s="29" t="str">
        <f t="shared" si="166"/>
        <v>#DIV/0!</v>
      </c>
      <c r="BM163" s="29" t="str">
        <f t="shared" si="3"/>
        <v>#DIV/0!</v>
      </c>
    </row>
    <row r="164">
      <c r="A164" s="16" t="str">
        <f>IFERROR(__xludf.DUMMYFUNCTION("IFERROR(SPARKLINE(SORT(MAP(TRANSPOSE(AQ164:BL164), LAMBDA(val, IF(ISNUMBER(val), PERCENTRANK(AQ164:BL164, val)+0.01, 0))), SEQUENCE(COLUMNS(AQ164:BL164)), FALSE), {""charttype"",""column""; ""color"",""chartreuse""; ""ymin"", 0; ""ymax"", 1.01; ""highcolo"&amp;"r"", ""darkgreen""; ""lowcolor"", ""red""}), """")"),"")</f>
        <v/>
      </c>
      <c r="B164" s="17" t="str">
        <f t="shared" si="4"/>
        <v/>
      </c>
      <c r="C164" s="1" t="s">
        <v>3147</v>
      </c>
      <c r="D164" s="30" t="str">
        <f>IFERROR(__xludf.DUMMYFUNCTION("IFERROR(GOOGLEFINANCE(C164, ""NAME""))"),"Cheniere Energy Inc")</f>
        <v>Cheniere Energy Inc</v>
      </c>
      <c r="E164" s="30" t="s">
        <v>2547</v>
      </c>
      <c r="F164" s="33" t="str">
        <f>IFERROR(__xludf.DUMMYFUNCTION("( (GOOGLEFINANCE(C164, ""price"") - Q164) / Q164 ) / (R164 / 100)"),"Loading...")</f>
        <v>Loading...</v>
      </c>
      <c r="G164" s="20" t="str">
        <f>IFERROR(__xludf.DUMMYFUNCTION("AVERAGE(ARRAYFORMULA(100 * (QUERY(GOOGLEFINANCE(C164, ""high"", TODAY()-40, TODAY()), ""SELECT Col2 WHERE Col2 IS NOT NULL ORDER BY Col1 DESC LIMIT 20"", 0) / QUERY(GOOGLEFINANCE(C164, ""low"", TODAY()-40, TODAY()), ""SELECT Col2 WHERE Col2 IS NOT NULL OR"&amp;"DER BY Col1 DESC LIMIT 20"", 0) - 1)))"),"#N/A")</f>
        <v>#N/A</v>
      </c>
      <c r="H164" s="35" t="str">
        <f t="shared" si="6"/>
        <v>Liquid</v>
      </c>
      <c r="I164" s="35" t="str">
        <f t="shared" si="7"/>
        <v>No RVol Required</v>
      </c>
      <c r="J164" s="37">
        <f>IFERROR(__xludf.DUMMYFUNCTION("IFERROR(
  IF(C164="""",, 
    IFERROR(
      GOOGLEFINANCE(C164, ""price"") * GOOGLEFINANCE(C164, ""volumeavg""), 
      GOOGLEFINANCE(C164, ""price"") * AVERAGE(QUERY(GOOGLEFINANCE(C164, ""volume"", TODAY()-40, TODAY()), ""SELECT Col2 WHERE Col2 IS NOT "&amp;"NULL ORDER BY Col1 DESC LIMIT 20"", 0))
    )
  ), 
"""")"),5.709383009E8)</f>
        <v>570938300.9</v>
      </c>
      <c r="K164" s="21">
        <f>IFERROR(__xludf.DUMMYFUNCTION("IFERROR(GOOGLEFINANCE(C164, ""changepct"") / 100, """")"),0.0368)</f>
        <v>0.0368</v>
      </c>
      <c r="L164" s="21" t="str">
        <f>IFERROR(__xludf.DUMMYFUNCTION("IFERROR((GOOGLEFINANCE(C164, ""price"") / INDEX(GOOGLEFINANCE(C164, ""price"", TODAY()-7, TODAY()), 2, 2)) - 1, """")"),"")</f>
        <v/>
      </c>
      <c r="M164" s="21" t="str">
        <f>IFERROR(__xludf.DUMMYFUNCTION("IFERROR((GOOGLEFINANCE(C164, ""price"") / INDEX(GOOGLEFINANCE(C164, ""price"", EDATE(TODAY(), -1), TODAY()), 2, 2)) - 1, """")"),"")</f>
        <v/>
      </c>
      <c r="N164" s="21" t="str">
        <f>IFERROR(__xludf.DUMMYFUNCTION("IFERROR((GOOGLEFINANCE(C164, ""price"") / INDEX(GOOGLEFINANCE(C164, ""price"", EDATE(TODAY(), -3), TODAY()), 2, 2)) - 1, """")"),"")</f>
        <v/>
      </c>
      <c r="O164" s="21" t="str">
        <f>IFERROR(__xludf.DUMMYFUNCTION("IFERROR((GOOGLEFINANCE(C164, ""price"") / INDEX(GOOGLEFINANCE(C164, ""price"", EDATE(TODAY(), -6), TODAY()), 2, 2)) - 1, """")"),"")</f>
        <v/>
      </c>
      <c r="P164" s="21" t="str">
        <f>IFERROR(__xludf.DUMMYFUNCTION("IFERROR((GOOGLEFINANCE(C164, ""price"") / INDEX(GOOGLEFINANCE(C164, ""price"", EDATE(TODAY(), -12), TODAY()), 2, 2)) - 1, """")"),"")</f>
        <v/>
      </c>
      <c r="Q164" s="6" t="str">
        <f>IFERROR(__xludf.DUMMYFUNCTION("AVERAGE(QUERY(GOOGLEFINANCE(C164, ""price"", TODAY()-80, TODAY()), ""SELECT Col2 WHERE Col2 IS NOT NULL ORDER BY Col1 DESC LIMIT 50"", 0))"),"#N/A")</f>
        <v>#N/A</v>
      </c>
      <c r="R164" s="24" t="str">
        <f>IFERROR(__xludf.DUMMYFUNCTION("IFERROR(
  LET(
    data, QUERY(GOOGLEFINANCE(C164,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GOOGLEFINANCE(C164, ""price"")) * 100,
    IF(calc=0, G164, calc)
  ), 
G164)"),"#N/A")</f>
        <v>#N/A</v>
      </c>
      <c r="S164" s="8" t="s">
        <v>15</v>
      </c>
      <c r="T164" s="26" t="str">
        <f>IFERROR(__xludf.DUMMYFUNCTION("IFERROR(TRANSPOSE(QUERY(IFERROR(SORT(GOOGLEFINANCE(C164, ""price"", WORKDAY(TODAY(), -40), TODAY()), 1, FALSE)), ""select Col2 where Col2 is not null limit 22 label Col2 ''"", 0)), """")"),"")</f>
        <v/>
      </c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8"/>
      <c r="AO164" s="28"/>
      <c r="AP164" s="29"/>
      <c r="AQ164" s="29" t="str">
        <f t="shared" ref="AQ164:BL164" si="167">T164/T$2</f>
        <v>#N/A</v>
      </c>
      <c r="AR164" s="29" t="str">
        <f t="shared" si="167"/>
        <v>#DIV/0!</v>
      </c>
      <c r="AS164" s="29" t="str">
        <f t="shared" si="167"/>
        <v>#DIV/0!</v>
      </c>
      <c r="AT164" s="29" t="str">
        <f t="shared" si="167"/>
        <v>#DIV/0!</v>
      </c>
      <c r="AU164" s="29" t="str">
        <f t="shared" si="167"/>
        <v>#DIV/0!</v>
      </c>
      <c r="AV164" s="29" t="str">
        <f t="shared" si="167"/>
        <v>#DIV/0!</v>
      </c>
      <c r="AW164" s="29" t="str">
        <f t="shared" si="167"/>
        <v>#DIV/0!</v>
      </c>
      <c r="AX164" s="29" t="str">
        <f t="shared" si="167"/>
        <v>#DIV/0!</v>
      </c>
      <c r="AY164" s="29" t="str">
        <f t="shared" si="167"/>
        <v>#DIV/0!</v>
      </c>
      <c r="AZ164" s="29" t="str">
        <f t="shared" si="167"/>
        <v>#DIV/0!</v>
      </c>
      <c r="BA164" s="29" t="str">
        <f t="shared" si="167"/>
        <v>#DIV/0!</v>
      </c>
      <c r="BB164" s="29" t="str">
        <f t="shared" si="167"/>
        <v>#DIV/0!</v>
      </c>
      <c r="BC164" s="29" t="str">
        <f t="shared" si="167"/>
        <v>#DIV/0!</v>
      </c>
      <c r="BD164" s="29" t="str">
        <f t="shared" si="167"/>
        <v>#DIV/0!</v>
      </c>
      <c r="BE164" s="29" t="str">
        <f t="shared" si="167"/>
        <v>#DIV/0!</v>
      </c>
      <c r="BF164" s="29" t="str">
        <f t="shared" si="167"/>
        <v>#DIV/0!</v>
      </c>
      <c r="BG164" s="29" t="str">
        <f t="shared" si="167"/>
        <v>#DIV/0!</v>
      </c>
      <c r="BH164" s="29" t="str">
        <f t="shared" si="167"/>
        <v>#DIV/0!</v>
      </c>
      <c r="BI164" s="29" t="str">
        <f t="shared" si="167"/>
        <v>#DIV/0!</v>
      </c>
      <c r="BJ164" s="29" t="str">
        <f t="shared" si="167"/>
        <v>#DIV/0!</v>
      </c>
      <c r="BK164" s="29" t="str">
        <f t="shared" si="167"/>
        <v>#DIV/0!</v>
      </c>
      <c r="BL164" s="29" t="str">
        <f t="shared" si="167"/>
        <v>#DIV/0!</v>
      </c>
      <c r="BM164" s="29" t="str">
        <f t="shared" si="3"/>
        <v>#DIV/0!</v>
      </c>
    </row>
    <row r="165">
      <c r="A165" s="16" t="str">
        <f>IFERROR(__xludf.DUMMYFUNCTION("IFERROR(SPARKLINE(SORT(MAP(TRANSPOSE(AQ165:BL165), LAMBDA(val, IF(ISNUMBER(val), PERCENTRANK(AQ165:BL165, val)+0.01, 0))), SEQUENCE(COLUMNS(AQ165:BL165)), FALSE), {""charttype"",""column""; ""color"",""chartreuse""; ""ymin"", 0; ""ymax"", 1.01; ""highcolo"&amp;"r"", ""darkgreen""; ""lowcolor"", ""red""}), """")"),"")</f>
        <v/>
      </c>
      <c r="B165" s="17" t="str">
        <f t="shared" si="4"/>
        <v/>
      </c>
      <c r="C165" s="1" t="s">
        <v>3150</v>
      </c>
      <c r="D165" s="30" t="str">
        <f>IFERROR(__xludf.DUMMYFUNCTION("IFERROR(GOOGLEFINANCE(C165, ""NAME""))"),"Centrus Energy Corp")</f>
        <v>Centrus Energy Corp</v>
      </c>
      <c r="E165" s="30" t="s">
        <v>2542</v>
      </c>
      <c r="F165" s="33" t="str">
        <f>IFERROR(__xludf.DUMMYFUNCTION("( (GOOGLEFINANCE(C165, ""price"") - Q165) / Q165 ) / (R165 / 100)"),"Loading...")</f>
        <v>Loading...</v>
      </c>
      <c r="G165" s="20" t="str">
        <f>IFERROR(__xludf.DUMMYFUNCTION("AVERAGE(ARRAYFORMULA(100 * (QUERY(GOOGLEFINANCE(C165, ""high"", TODAY()-40, TODAY()), ""SELECT Col2 WHERE Col2 IS NOT NULL ORDER BY Col1 DESC LIMIT 20"", 0) / QUERY(GOOGLEFINANCE(C165, ""low"", TODAY()-40, TODAY()), ""SELECT Col2 WHERE Col2 IS NOT NULL OR"&amp;"DER BY Col1 DESC LIMIT 20"", 0) - 1)))"),"#N/A")</f>
        <v>#N/A</v>
      </c>
      <c r="H165" s="35" t="str">
        <f t="shared" si="6"/>
        <v>Liquid</v>
      </c>
      <c r="I165" s="35" t="str">
        <f t="shared" si="7"/>
        <v>RVol Required</v>
      </c>
      <c r="J165" s="37">
        <f>IFERROR(__xludf.DUMMYFUNCTION("IFERROR(
  IF(C165="""",, 
    IFERROR(
      GOOGLEFINANCE(C165, ""price"") * GOOGLEFINANCE(C165, ""volumeavg""), 
      GOOGLEFINANCE(C165, ""price"") * AVERAGE(QUERY(GOOGLEFINANCE(C165, ""volume"", TODAY()-40, TODAY()), ""SELECT Col2 WHERE Col2 IS NOT "&amp;"NULL ORDER BY Col1 DESC LIMIT 20"", 0))
    )
  ), 
"""")"),9.28686465E7)</f>
        <v>92868646.5</v>
      </c>
      <c r="K165" s="21">
        <f>IFERROR(__xludf.DUMMYFUNCTION("IFERROR(GOOGLEFINANCE(C165, ""changepct"") / 100, """")"),-0.095)</f>
        <v>-0.095</v>
      </c>
      <c r="L165" s="21" t="str">
        <f>IFERROR(__xludf.DUMMYFUNCTION("IFERROR((GOOGLEFINANCE(C165, ""price"") / INDEX(GOOGLEFINANCE(C165, ""price"", TODAY()-7, TODAY()), 2, 2)) - 1, """")"),"")</f>
        <v/>
      </c>
      <c r="M165" s="21" t="str">
        <f>IFERROR(__xludf.DUMMYFUNCTION("IFERROR((GOOGLEFINANCE(C165, ""price"") / INDEX(GOOGLEFINANCE(C165, ""price"", EDATE(TODAY(), -1), TODAY()), 2, 2)) - 1, """")"),"")</f>
        <v/>
      </c>
      <c r="N165" s="21" t="str">
        <f>IFERROR(__xludf.DUMMYFUNCTION("IFERROR((GOOGLEFINANCE(C165, ""price"") / INDEX(GOOGLEFINANCE(C165, ""price"", EDATE(TODAY(), -3), TODAY()), 2, 2)) - 1, """")"),"")</f>
        <v/>
      </c>
      <c r="O165" s="21" t="str">
        <f>IFERROR(__xludf.DUMMYFUNCTION("IFERROR((GOOGLEFINANCE(C165, ""price"") / INDEX(GOOGLEFINANCE(C165, ""price"", EDATE(TODAY(), -6), TODAY()), 2, 2)) - 1, """")"),"")</f>
        <v/>
      </c>
      <c r="P165" s="21" t="str">
        <f>IFERROR(__xludf.DUMMYFUNCTION("IFERROR((GOOGLEFINANCE(C165, ""price"") / INDEX(GOOGLEFINANCE(C165, ""price"", EDATE(TODAY(), -12), TODAY()), 2, 2)) - 1, """")"),"")</f>
        <v/>
      </c>
      <c r="Q165" s="6" t="str">
        <f>IFERROR(__xludf.DUMMYFUNCTION("AVERAGE(QUERY(GOOGLEFINANCE(C165, ""price"", TODAY()-80, TODAY()), ""SELECT Col2 WHERE Col2 IS NOT NULL ORDER BY Col1 DESC LIMIT 50"", 0))"),"#N/A")</f>
        <v>#N/A</v>
      </c>
      <c r="R165" s="24" t="str">
        <f>IFERROR(__xludf.DUMMYFUNCTION("IFERROR(
  LET(
    data, QUERY(GOOGLEFINANCE(C165,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GOOGLEFINANCE(C165, ""price"")) * 100,
    IF(calc=0, G165, calc)
  ), 
G165)"),"#N/A")</f>
        <v>#N/A</v>
      </c>
      <c r="S165" s="8" t="s">
        <v>15</v>
      </c>
      <c r="T165" s="26" t="str">
        <f>IFERROR(__xludf.DUMMYFUNCTION("IFERROR(TRANSPOSE(QUERY(IFERROR(SORT(GOOGLEFINANCE(C165, ""price"", WORKDAY(TODAY(), -40), TODAY()), 1, FALSE)), ""select Col2 where Col2 is not null limit 22 label Col2 ''"", 0)), """")"),"")</f>
        <v/>
      </c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8"/>
      <c r="AO165" s="28"/>
      <c r="AP165" s="29"/>
      <c r="AQ165" s="29" t="str">
        <f t="shared" ref="AQ165:BL165" si="168">T165/T$2</f>
        <v>#N/A</v>
      </c>
      <c r="AR165" s="29" t="str">
        <f t="shared" si="168"/>
        <v>#DIV/0!</v>
      </c>
      <c r="AS165" s="29" t="str">
        <f t="shared" si="168"/>
        <v>#DIV/0!</v>
      </c>
      <c r="AT165" s="29" t="str">
        <f t="shared" si="168"/>
        <v>#DIV/0!</v>
      </c>
      <c r="AU165" s="29" t="str">
        <f t="shared" si="168"/>
        <v>#DIV/0!</v>
      </c>
      <c r="AV165" s="29" t="str">
        <f t="shared" si="168"/>
        <v>#DIV/0!</v>
      </c>
      <c r="AW165" s="29" t="str">
        <f t="shared" si="168"/>
        <v>#DIV/0!</v>
      </c>
      <c r="AX165" s="29" t="str">
        <f t="shared" si="168"/>
        <v>#DIV/0!</v>
      </c>
      <c r="AY165" s="29" t="str">
        <f t="shared" si="168"/>
        <v>#DIV/0!</v>
      </c>
      <c r="AZ165" s="29" t="str">
        <f t="shared" si="168"/>
        <v>#DIV/0!</v>
      </c>
      <c r="BA165" s="29" t="str">
        <f t="shared" si="168"/>
        <v>#DIV/0!</v>
      </c>
      <c r="BB165" s="29" t="str">
        <f t="shared" si="168"/>
        <v>#DIV/0!</v>
      </c>
      <c r="BC165" s="29" t="str">
        <f t="shared" si="168"/>
        <v>#DIV/0!</v>
      </c>
      <c r="BD165" s="29" t="str">
        <f t="shared" si="168"/>
        <v>#DIV/0!</v>
      </c>
      <c r="BE165" s="29" t="str">
        <f t="shared" si="168"/>
        <v>#DIV/0!</v>
      </c>
      <c r="BF165" s="29" t="str">
        <f t="shared" si="168"/>
        <v>#DIV/0!</v>
      </c>
      <c r="BG165" s="29" t="str">
        <f t="shared" si="168"/>
        <v>#DIV/0!</v>
      </c>
      <c r="BH165" s="29" t="str">
        <f t="shared" si="168"/>
        <v>#DIV/0!</v>
      </c>
      <c r="BI165" s="29" t="str">
        <f t="shared" si="168"/>
        <v>#DIV/0!</v>
      </c>
      <c r="BJ165" s="29" t="str">
        <f t="shared" si="168"/>
        <v>#DIV/0!</v>
      </c>
      <c r="BK165" s="29" t="str">
        <f t="shared" si="168"/>
        <v>#DIV/0!</v>
      </c>
      <c r="BL165" s="29" t="str">
        <f t="shared" si="168"/>
        <v>#DIV/0!</v>
      </c>
      <c r="BM165" s="29" t="str">
        <f t="shared" si="3"/>
        <v>#DIV/0!</v>
      </c>
    </row>
    <row r="166">
      <c r="A166" s="16" t="str">
        <f>IFERROR(__xludf.DUMMYFUNCTION("IFERROR(SPARKLINE(SORT(MAP(TRANSPOSE(AQ166:BL166), LAMBDA(val, IF(ISNUMBER(val), PERCENTRANK(AQ166:BL166, val)+0.01, 0))), SEQUENCE(COLUMNS(AQ166:BL166)), FALSE), {""charttype"",""column""; ""color"",""chartreuse""; ""ymin"", 0; ""ymax"", 1.01; ""highcolo"&amp;"r"", ""darkgreen""; ""lowcolor"", ""red""}), """")"),"")</f>
        <v/>
      </c>
      <c r="B166" s="17" t="str">
        <f t="shared" si="4"/>
        <v/>
      </c>
      <c r="C166" s="1" t="s">
        <v>3153</v>
      </c>
      <c r="D166" s="30" t="str">
        <f>IFERROR(__xludf.DUMMYFUNCTION("IFERROR(GOOGLEFINANCE(C166, ""NAME""))"),"Gulfport Energy Corp")</f>
        <v>Gulfport Energy Corp</v>
      </c>
      <c r="E166" s="30" t="s">
        <v>2613</v>
      </c>
      <c r="F166" s="33" t="str">
        <f>IFERROR(__xludf.DUMMYFUNCTION("( (GOOGLEFINANCE(C166, ""price"") - Q166) / Q166 ) / (R166 / 100)"),"Loading...")</f>
        <v>Loading...</v>
      </c>
      <c r="G166" s="20" t="str">
        <f>IFERROR(__xludf.DUMMYFUNCTION("AVERAGE(ARRAYFORMULA(100 * (QUERY(GOOGLEFINANCE(C166, ""high"", TODAY()-40, TODAY()), ""SELECT Col2 WHERE Col2 IS NOT NULL ORDER BY Col1 DESC LIMIT 20"", 0) / QUERY(GOOGLEFINANCE(C166, ""low"", TODAY()-40, TODAY()), ""SELECT Col2 WHERE Col2 IS NOT NULL OR"&amp;"DER BY Col1 DESC LIMIT 20"", 0) - 1)))"),"#N/A")</f>
        <v>#N/A</v>
      </c>
      <c r="H166" s="35" t="str">
        <f t="shared" si="6"/>
        <v>Illiquid</v>
      </c>
      <c r="I166" s="35" t="str">
        <f t="shared" si="7"/>
        <v>RVol Required</v>
      </c>
      <c r="J166" s="37">
        <f>IFERROR(__xludf.DUMMYFUNCTION("IFERROR(
  IF(C166="""",, 
    IFERROR(
      GOOGLEFINANCE(C166, ""price"") * GOOGLEFINANCE(C166, ""volumeavg""), 
      GOOGLEFINANCE(C166, ""price"") * AVERAGE(QUERY(GOOGLEFINANCE(C166, ""volume"", TODAY()-40, TODAY()), ""SELECT Col2 WHERE Col2 IS NOT "&amp;"NULL ORDER BY Col1 DESC LIMIT 20"", 0))
    )
  ), 
"""")"),4.6271504E7)</f>
        <v>46271504</v>
      </c>
      <c r="K166" s="21">
        <f>IFERROR(__xludf.DUMMYFUNCTION("IFERROR(GOOGLEFINANCE(C166, ""changepct"") / 100, """")"),0.0137)</f>
        <v>0.0137</v>
      </c>
      <c r="L166" s="21" t="str">
        <f>IFERROR(__xludf.DUMMYFUNCTION("IFERROR((GOOGLEFINANCE(C166, ""price"") / INDEX(GOOGLEFINANCE(C166, ""price"", TODAY()-7, TODAY()), 2, 2)) - 1, """")"),"")</f>
        <v/>
      </c>
      <c r="M166" s="21" t="str">
        <f>IFERROR(__xludf.DUMMYFUNCTION("IFERROR((GOOGLEFINANCE(C166, ""price"") / INDEX(GOOGLEFINANCE(C166, ""price"", EDATE(TODAY(), -1), TODAY()), 2, 2)) - 1, """")"),"")</f>
        <v/>
      </c>
      <c r="N166" s="21" t="str">
        <f>IFERROR(__xludf.DUMMYFUNCTION("IFERROR((GOOGLEFINANCE(C166, ""price"") / INDEX(GOOGLEFINANCE(C166, ""price"", EDATE(TODAY(), -3), TODAY()), 2, 2)) - 1, """")"),"")</f>
        <v/>
      </c>
      <c r="O166" s="21" t="str">
        <f>IFERROR(__xludf.DUMMYFUNCTION("IFERROR((GOOGLEFINANCE(C166, ""price"") / INDEX(GOOGLEFINANCE(C166, ""price"", EDATE(TODAY(), -6), TODAY()), 2, 2)) - 1, """")"),"")</f>
        <v/>
      </c>
      <c r="P166" s="21" t="str">
        <f>IFERROR(__xludf.DUMMYFUNCTION("IFERROR((GOOGLEFINANCE(C166, ""price"") / INDEX(GOOGLEFINANCE(C166, ""price"", EDATE(TODAY(), -12), TODAY()), 2, 2)) - 1, """")"),"")</f>
        <v/>
      </c>
      <c r="Q166" s="6" t="str">
        <f>IFERROR(__xludf.DUMMYFUNCTION("AVERAGE(QUERY(GOOGLEFINANCE(C166, ""price"", TODAY()-80, TODAY()), ""SELECT Col2 WHERE Col2 IS NOT NULL ORDER BY Col1 DESC LIMIT 50"", 0))"),"#N/A")</f>
        <v>#N/A</v>
      </c>
      <c r="R166" s="24" t="str">
        <f>IFERROR(__xludf.DUMMYFUNCTION("IFERROR(
  LET(
    data, QUERY(GOOGLEFINANCE(C166,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GOOGLEFINANCE(C166, ""price"")) * 100,
    IF(calc=0, G166, calc)
  ), 
G166)"),"#N/A")</f>
        <v>#N/A</v>
      </c>
      <c r="S166" s="8" t="s">
        <v>15</v>
      </c>
      <c r="T166" s="26" t="str">
        <f>IFERROR(__xludf.DUMMYFUNCTION("IFERROR(TRANSPOSE(QUERY(IFERROR(SORT(GOOGLEFINANCE(C166, ""price"", WORKDAY(TODAY(), -40), TODAY()), 1, FALSE)), ""select Col2 where Col2 is not null limit 22 label Col2 ''"", 0)), """")"),"")</f>
        <v/>
      </c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8"/>
      <c r="AO166" s="28"/>
      <c r="AP166" s="29"/>
      <c r="AQ166" s="29" t="str">
        <f t="shared" ref="AQ166:BL166" si="169">T166/T$2</f>
        <v>#N/A</v>
      </c>
      <c r="AR166" s="29" t="str">
        <f t="shared" si="169"/>
        <v>#DIV/0!</v>
      </c>
      <c r="AS166" s="29" t="str">
        <f t="shared" si="169"/>
        <v>#DIV/0!</v>
      </c>
      <c r="AT166" s="29" t="str">
        <f t="shared" si="169"/>
        <v>#DIV/0!</v>
      </c>
      <c r="AU166" s="29" t="str">
        <f t="shared" si="169"/>
        <v>#DIV/0!</v>
      </c>
      <c r="AV166" s="29" t="str">
        <f t="shared" si="169"/>
        <v>#DIV/0!</v>
      </c>
      <c r="AW166" s="29" t="str">
        <f t="shared" si="169"/>
        <v>#DIV/0!</v>
      </c>
      <c r="AX166" s="29" t="str">
        <f t="shared" si="169"/>
        <v>#DIV/0!</v>
      </c>
      <c r="AY166" s="29" t="str">
        <f t="shared" si="169"/>
        <v>#DIV/0!</v>
      </c>
      <c r="AZ166" s="29" t="str">
        <f t="shared" si="169"/>
        <v>#DIV/0!</v>
      </c>
      <c r="BA166" s="29" t="str">
        <f t="shared" si="169"/>
        <v>#DIV/0!</v>
      </c>
      <c r="BB166" s="29" t="str">
        <f t="shared" si="169"/>
        <v>#DIV/0!</v>
      </c>
      <c r="BC166" s="29" t="str">
        <f t="shared" si="169"/>
        <v>#DIV/0!</v>
      </c>
      <c r="BD166" s="29" t="str">
        <f t="shared" si="169"/>
        <v>#DIV/0!</v>
      </c>
      <c r="BE166" s="29" t="str">
        <f t="shared" si="169"/>
        <v>#DIV/0!</v>
      </c>
      <c r="BF166" s="29" t="str">
        <f t="shared" si="169"/>
        <v>#DIV/0!</v>
      </c>
      <c r="BG166" s="29" t="str">
        <f t="shared" si="169"/>
        <v>#DIV/0!</v>
      </c>
      <c r="BH166" s="29" t="str">
        <f t="shared" si="169"/>
        <v>#DIV/0!</v>
      </c>
      <c r="BI166" s="29" t="str">
        <f t="shared" si="169"/>
        <v>#DIV/0!</v>
      </c>
      <c r="BJ166" s="29" t="str">
        <f t="shared" si="169"/>
        <v>#DIV/0!</v>
      </c>
      <c r="BK166" s="29" t="str">
        <f t="shared" si="169"/>
        <v>#DIV/0!</v>
      </c>
      <c r="BL166" s="29" t="str">
        <f t="shared" si="169"/>
        <v>#DIV/0!</v>
      </c>
      <c r="BM166" s="29" t="str">
        <f t="shared" si="3"/>
        <v>#DIV/0!</v>
      </c>
    </row>
    <row r="167" hidden="1">
      <c r="A167" s="16" t="str">
        <f>IFERROR(__xludf.DUMMYFUNCTION("IFERROR(SPARKLINE(SORT(MAP(TRANSPOSE(AQ167:BL167), LAMBDA(val, IF(ISNUMBER(val), PERCENTRANK(AQ167:BL167, val)+0.01, 0))), SEQUENCE(COLUMNS(AQ167:BL167)), FALSE), {""charttype"",""column""; ""color"",""chartreuse""; ""ymin"", 0; ""ymax"", 1.01; ""highcolo"&amp;"r"", ""darkgreen""; ""lowcolor"", ""red""}), """")"),"")</f>
        <v/>
      </c>
      <c r="B167" s="17" t="str">
        <f t="shared" si="4"/>
        <v/>
      </c>
      <c r="C167" s="1" t="s">
        <v>3156</v>
      </c>
      <c r="D167" s="30" t="str">
        <f>IFERROR(__xludf.DUMMYFUNCTION("IFERROR(GOOGLEFINANCE(C167, ""NAME""))"),"Forum Energy Technologies Inc")</f>
        <v>Forum Energy Technologies Inc</v>
      </c>
      <c r="E167" s="30" t="s">
        <v>2537</v>
      </c>
      <c r="F167" s="33" t="str">
        <f>IFERROR(__xludf.DUMMYFUNCTION("( (GOOGLEFINANCE(C167, ""price"") - Q167) / Q167 ) / (R167 / 100)"),"Loading...")</f>
        <v>Loading...</v>
      </c>
      <c r="G167" s="20" t="str">
        <f>IFERROR(__xludf.DUMMYFUNCTION("AVERAGE(ARRAYFORMULA(100 * (QUERY(GOOGLEFINANCE(C167, ""high"", TODAY()-40, TODAY()), ""SELECT Col2 WHERE Col2 IS NOT NULL ORDER BY Col1 DESC LIMIT 20"", 0) / QUERY(GOOGLEFINANCE(C167, ""low"", TODAY()-40, TODAY()), ""SELECT Col2 WHERE Col2 IS NOT NULL OR"&amp;"DER BY Col1 DESC LIMIT 20"", 0) - 1)))"),"#N/A")</f>
        <v>#N/A</v>
      </c>
      <c r="H167" s="35" t="str">
        <f t="shared" si="6"/>
        <v>Illiquid</v>
      </c>
      <c r="I167" s="35" t="str">
        <f t="shared" si="7"/>
        <v>RVol Required</v>
      </c>
      <c r="J167" s="37">
        <f>IFERROR(__xludf.DUMMYFUNCTION("IFERROR(
  IF(C167="""",, 
    IFERROR(
      GOOGLEFINANCE(C167, ""price"") * GOOGLEFINANCE(C167, ""volumeavg""), 
      GOOGLEFINANCE(C167, ""price"") * AVERAGE(QUERY(GOOGLEFINANCE(C167, ""volume"", TODAY()-40, TODAY()), ""SELECT Col2 WHERE Col2 IS NOT "&amp;"NULL ORDER BY Col1 DESC LIMIT 20"", 0))
    )
  ), 
"""")"),1.4547380200000001E7)</f>
        <v>14547380.2</v>
      </c>
      <c r="K167" s="21">
        <f>IFERROR(__xludf.DUMMYFUNCTION("IFERROR(GOOGLEFINANCE(C167, ""changepct"") / 100, """")"),0.0206)</f>
        <v>0.0206</v>
      </c>
      <c r="L167" s="21" t="str">
        <f>IFERROR(__xludf.DUMMYFUNCTION("IFERROR((GOOGLEFINANCE(C167, ""price"") / INDEX(GOOGLEFINANCE(C167, ""price"", TODAY()-7, TODAY()), 2, 2)) - 1, """")"),"")</f>
        <v/>
      </c>
      <c r="M167" s="21" t="str">
        <f>IFERROR(__xludf.DUMMYFUNCTION("IFERROR((GOOGLEFINANCE(C167, ""price"") / INDEX(GOOGLEFINANCE(C167, ""price"", EDATE(TODAY(), -1), TODAY()), 2, 2)) - 1, """")"),"")</f>
        <v/>
      </c>
      <c r="N167" s="21" t="str">
        <f>IFERROR(__xludf.DUMMYFUNCTION("IFERROR((GOOGLEFINANCE(C167, ""price"") / INDEX(GOOGLEFINANCE(C167, ""price"", EDATE(TODAY(), -3), TODAY()), 2, 2)) - 1, """")"),"")</f>
        <v/>
      </c>
      <c r="O167" s="21" t="str">
        <f>IFERROR(__xludf.DUMMYFUNCTION("IFERROR((GOOGLEFINANCE(C167, ""price"") / INDEX(GOOGLEFINANCE(C167, ""price"", EDATE(TODAY(), -6), TODAY()), 2, 2)) - 1, """")"),"")</f>
        <v/>
      </c>
      <c r="P167" s="21" t="str">
        <f>IFERROR(__xludf.DUMMYFUNCTION("IFERROR((GOOGLEFINANCE(C167, ""price"") / INDEX(GOOGLEFINANCE(C167, ""price"", EDATE(TODAY(), -12), TODAY()), 2, 2)) - 1, """")"),"")</f>
        <v/>
      </c>
      <c r="Q167" s="6" t="str">
        <f>IFERROR(__xludf.DUMMYFUNCTION("AVERAGE(QUERY(GOOGLEFINANCE(C167, ""price"", TODAY()-80, TODAY()), ""SELECT Col2 WHERE Col2 IS NOT NULL ORDER BY Col1 DESC LIMIT 50"", 0))"),"#N/A")</f>
        <v>#N/A</v>
      </c>
      <c r="R167" s="24" t="str">
        <f>IFERROR(__xludf.DUMMYFUNCTION("IFERROR(
  LET(
    data, QUERY(GOOGLEFINANCE(C167,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GOOGLEFINANCE(C167, ""price"")) * 100,
    IF(calc=0, G167, calc)
  ), 
G167)"),"#N/A")</f>
        <v>#N/A</v>
      </c>
      <c r="S167" s="8" t="s">
        <v>15</v>
      </c>
      <c r="T167" s="26" t="str">
        <f>IFERROR(__xludf.DUMMYFUNCTION("IFERROR(TRANSPOSE(QUERY(IFERROR(SORT(GOOGLEFINANCE(C167, ""price"", WORKDAY(TODAY(), -40), TODAY()), 1, FALSE)), ""select Col2 where Col2 is not null limit 22 label Col2 ''"", 0)), """")"),"")</f>
        <v/>
      </c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8"/>
      <c r="AO167" s="28"/>
      <c r="AP167" s="29"/>
      <c r="AQ167" s="29" t="str">
        <f t="shared" ref="AQ167:BL167" si="170">T167/T$2</f>
        <v>#N/A</v>
      </c>
      <c r="AR167" s="29" t="str">
        <f t="shared" si="170"/>
        <v>#DIV/0!</v>
      </c>
      <c r="AS167" s="29" t="str">
        <f t="shared" si="170"/>
        <v>#DIV/0!</v>
      </c>
      <c r="AT167" s="29" t="str">
        <f t="shared" si="170"/>
        <v>#DIV/0!</v>
      </c>
      <c r="AU167" s="29" t="str">
        <f t="shared" si="170"/>
        <v>#DIV/0!</v>
      </c>
      <c r="AV167" s="29" t="str">
        <f t="shared" si="170"/>
        <v>#DIV/0!</v>
      </c>
      <c r="AW167" s="29" t="str">
        <f t="shared" si="170"/>
        <v>#DIV/0!</v>
      </c>
      <c r="AX167" s="29" t="str">
        <f t="shared" si="170"/>
        <v>#DIV/0!</v>
      </c>
      <c r="AY167" s="29" t="str">
        <f t="shared" si="170"/>
        <v>#DIV/0!</v>
      </c>
      <c r="AZ167" s="29" t="str">
        <f t="shared" si="170"/>
        <v>#DIV/0!</v>
      </c>
      <c r="BA167" s="29" t="str">
        <f t="shared" si="170"/>
        <v>#DIV/0!</v>
      </c>
      <c r="BB167" s="29" t="str">
        <f t="shared" si="170"/>
        <v>#DIV/0!</v>
      </c>
      <c r="BC167" s="29" t="str">
        <f t="shared" si="170"/>
        <v>#DIV/0!</v>
      </c>
      <c r="BD167" s="29" t="str">
        <f t="shared" si="170"/>
        <v>#DIV/0!</v>
      </c>
      <c r="BE167" s="29" t="str">
        <f t="shared" si="170"/>
        <v>#DIV/0!</v>
      </c>
      <c r="BF167" s="29" t="str">
        <f t="shared" si="170"/>
        <v>#DIV/0!</v>
      </c>
      <c r="BG167" s="29" t="str">
        <f t="shared" si="170"/>
        <v>#DIV/0!</v>
      </c>
      <c r="BH167" s="29" t="str">
        <f t="shared" si="170"/>
        <v>#DIV/0!</v>
      </c>
      <c r="BI167" s="29" t="str">
        <f t="shared" si="170"/>
        <v>#DIV/0!</v>
      </c>
      <c r="BJ167" s="29" t="str">
        <f t="shared" si="170"/>
        <v>#DIV/0!</v>
      </c>
      <c r="BK167" s="29" t="str">
        <f t="shared" si="170"/>
        <v>#DIV/0!</v>
      </c>
      <c r="BL167" s="29" t="str">
        <f t="shared" si="170"/>
        <v>#DIV/0!</v>
      </c>
      <c r="BM167" s="29" t="str">
        <f t="shared" si="3"/>
        <v>#DIV/0!</v>
      </c>
    </row>
    <row r="168" hidden="1">
      <c r="A168" s="16" t="str">
        <f>IFERROR(__xludf.DUMMYFUNCTION("IFERROR(SPARKLINE(SORT(MAP(TRANSPOSE(AQ168:BL168), LAMBDA(val, IF(ISNUMBER(val), PERCENTRANK(AQ168:BL168, val)+0.01, 0))), SEQUENCE(COLUMNS(AQ168:BL168)), FALSE), {""charttype"",""column""; ""color"",""chartreuse""; ""ymin"", 0; ""ymax"", 1.01; ""highcolo"&amp;"r"", ""darkgreen""; ""lowcolor"", ""red""}), """")"),"")</f>
        <v/>
      </c>
      <c r="B168" s="17" t="str">
        <f t="shared" si="4"/>
        <v/>
      </c>
      <c r="C168" s="1" t="s">
        <v>3159</v>
      </c>
      <c r="D168" s="30" t="str">
        <f>IFERROR(__xludf.DUMMYFUNCTION("IFERROR(GOOGLEFINANCE(C168, ""NAME""))"),"Ecopetrol SA")</f>
        <v>Ecopetrol SA</v>
      </c>
      <c r="E168" s="30" t="s">
        <v>2631</v>
      </c>
      <c r="F168" s="33" t="str">
        <f>IFERROR(__xludf.DUMMYFUNCTION("( (GOOGLEFINANCE(C168, ""price"") - Q168) / Q168 ) / (R168 / 100)"),"Loading...")</f>
        <v>Loading...</v>
      </c>
      <c r="G168" s="20" t="str">
        <f>IFERROR(__xludf.DUMMYFUNCTION("AVERAGE(ARRAYFORMULA(100 * (QUERY(GOOGLEFINANCE(C168, ""high"", TODAY()-40, TODAY()), ""SELECT Col2 WHERE Col2 IS NOT NULL ORDER BY Col1 DESC LIMIT 20"", 0) / QUERY(GOOGLEFINANCE(C168, ""low"", TODAY()-40, TODAY()), ""SELECT Col2 WHERE Col2 IS NOT NULL OR"&amp;"DER BY Col1 DESC LIMIT 20"", 0) - 1)))"),"#N/A")</f>
        <v>#N/A</v>
      </c>
      <c r="H168" s="35" t="str">
        <f t="shared" si="6"/>
        <v>Illiquid</v>
      </c>
      <c r="I168" s="35" t="str">
        <f t="shared" si="7"/>
        <v>RVol Required</v>
      </c>
      <c r="J168" s="37">
        <f>IFERROR(__xludf.DUMMYFUNCTION("IFERROR(
  IF(C168="""",, 
    IFERROR(
      GOOGLEFINANCE(C168, ""price"") * GOOGLEFINANCE(C168, ""volumeavg""), 
      GOOGLEFINANCE(C168, ""price"") * AVERAGE(QUERY(GOOGLEFINANCE(C168, ""volume"", TODAY()-40, TODAY()), ""SELECT Col2 WHERE Col2 IS NOT "&amp;"NULL ORDER BY Col1 DESC LIMIT 20"", 0))
    )
  ), 
"""")"),2.59945769E7)</f>
        <v>25994576.9</v>
      </c>
      <c r="K168" s="21">
        <f>IFERROR(__xludf.DUMMYFUNCTION("IFERROR(GOOGLEFINANCE(C168, ""changepct"") / 100, """")"),0.0113)</f>
        <v>0.0113</v>
      </c>
      <c r="L168" s="21" t="str">
        <f>IFERROR(__xludf.DUMMYFUNCTION("IFERROR((GOOGLEFINANCE(C168, ""price"") / INDEX(GOOGLEFINANCE(C168, ""price"", TODAY()-7, TODAY()), 2, 2)) - 1, """")"),"")</f>
        <v/>
      </c>
      <c r="M168" s="21" t="str">
        <f>IFERROR(__xludf.DUMMYFUNCTION("IFERROR((GOOGLEFINANCE(C168, ""price"") / INDEX(GOOGLEFINANCE(C168, ""price"", EDATE(TODAY(), -1), TODAY()), 2, 2)) - 1, """")"),"")</f>
        <v/>
      </c>
      <c r="N168" s="21" t="str">
        <f>IFERROR(__xludf.DUMMYFUNCTION("IFERROR((GOOGLEFINANCE(C168, ""price"") / INDEX(GOOGLEFINANCE(C168, ""price"", EDATE(TODAY(), -3), TODAY()), 2, 2)) - 1, """")"),"")</f>
        <v/>
      </c>
      <c r="O168" s="21" t="str">
        <f>IFERROR(__xludf.DUMMYFUNCTION("IFERROR((GOOGLEFINANCE(C168, ""price"") / INDEX(GOOGLEFINANCE(C168, ""price"", EDATE(TODAY(), -6), TODAY()), 2, 2)) - 1, """")"),"")</f>
        <v/>
      </c>
      <c r="P168" s="21" t="str">
        <f>IFERROR(__xludf.DUMMYFUNCTION("IFERROR((GOOGLEFINANCE(C168, ""price"") / INDEX(GOOGLEFINANCE(C168, ""price"", EDATE(TODAY(), -12), TODAY()), 2, 2)) - 1, """")"),"")</f>
        <v/>
      </c>
      <c r="Q168" s="6" t="str">
        <f>IFERROR(__xludf.DUMMYFUNCTION("AVERAGE(QUERY(GOOGLEFINANCE(C168, ""price"", TODAY()-80, TODAY()), ""SELECT Col2 WHERE Col2 IS NOT NULL ORDER BY Col1 DESC LIMIT 50"", 0))"),"#N/A")</f>
        <v>#N/A</v>
      </c>
      <c r="R168" s="24" t="str">
        <f>IFERROR(__xludf.DUMMYFUNCTION("IFERROR(
  LET(
    data, QUERY(GOOGLEFINANCE(C168,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GOOGLEFINANCE(C168, ""price"")) * 100,
    IF(calc=0, G168, calc)
  ), 
G168)"),"#N/A")</f>
        <v>#N/A</v>
      </c>
      <c r="S168" s="8" t="s">
        <v>15</v>
      </c>
      <c r="T168" s="26" t="str">
        <f>IFERROR(__xludf.DUMMYFUNCTION("IFERROR(TRANSPOSE(QUERY(IFERROR(SORT(GOOGLEFINANCE(C168, ""price"", WORKDAY(TODAY(), -40), TODAY()), 1, FALSE)), ""select Col2 where Col2 is not null limit 22 label Col2 ''"", 0)), """")"),"")</f>
        <v/>
      </c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8"/>
      <c r="AO168" s="28"/>
      <c r="AP168" s="29"/>
      <c r="AQ168" s="29" t="str">
        <f t="shared" ref="AQ168:BL168" si="171">T168/T$2</f>
        <v>#N/A</v>
      </c>
      <c r="AR168" s="29" t="str">
        <f t="shared" si="171"/>
        <v>#DIV/0!</v>
      </c>
      <c r="AS168" s="29" t="str">
        <f t="shared" si="171"/>
        <v>#DIV/0!</v>
      </c>
      <c r="AT168" s="29" t="str">
        <f t="shared" si="171"/>
        <v>#DIV/0!</v>
      </c>
      <c r="AU168" s="29" t="str">
        <f t="shared" si="171"/>
        <v>#DIV/0!</v>
      </c>
      <c r="AV168" s="29" t="str">
        <f t="shared" si="171"/>
        <v>#DIV/0!</v>
      </c>
      <c r="AW168" s="29" t="str">
        <f t="shared" si="171"/>
        <v>#DIV/0!</v>
      </c>
      <c r="AX168" s="29" t="str">
        <f t="shared" si="171"/>
        <v>#DIV/0!</v>
      </c>
      <c r="AY168" s="29" t="str">
        <f t="shared" si="171"/>
        <v>#DIV/0!</v>
      </c>
      <c r="AZ168" s="29" t="str">
        <f t="shared" si="171"/>
        <v>#DIV/0!</v>
      </c>
      <c r="BA168" s="29" t="str">
        <f t="shared" si="171"/>
        <v>#DIV/0!</v>
      </c>
      <c r="BB168" s="29" t="str">
        <f t="shared" si="171"/>
        <v>#DIV/0!</v>
      </c>
      <c r="BC168" s="29" t="str">
        <f t="shared" si="171"/>
        <v>#DIV/0!</v>
      </c>
      <c r="BD168" s="29" t="str">
        <f t="shared" si="171"/>
        <v>#DIV/0!</v>
      </c>
      <c r="BE168" s="29" t="str">
        <f t="shared" si="171"/>
        <v>#DIV/0!</v>
      </c>
      <c r="BF168" s="29" t="str">
        <f t="shared" si="171"/>
        <v>#DIV/0!</v>
      </c>
      <c r="BG168" s="29" t="str">
        <f t="shared" si="171"/>
        <v>#DIV/0!</v>
      </c>
      <c r="BH168" s="29" t="str">
        <f t="shared" si="171"/>
        <v>#DIV/0!</v>
      </c>
      <c r="BI168" s="29" t="str">
        <f t="shared" si="171"/>
        <v>#DIV/0!</v>
      </c>
      <c r="BJ168" s="29" t="str">
        <f t="shared" si="171"/>
        <v>#DIV/0!</v>
      </c>
      <c r="BK168" s="29" t="str">
        <f t="shared" si="171"/>
        <v>#DIV/0!</v>
      </c>
      <c r="BL168" s="29" t="str">
        <f t="shared" si="171"/>
        <v>#DIV/0!</v>
      </c>
      <c r="BM168" s="29" t="str">
        <f t="shared" si="3"/>
        <v>#DIV/0!</v>
      </c>
    </row>
    <row r="169">
      <c r="A169" s="16" t="str">
        <f>IFERROR(__xludf.DUMMYFUNCTION("IFERROR(SPARKLINE(SORT(MAP(TRANSPOSE(AQ169:BL169), LAMBDA(val, IF(ISNUMBER(val), PERCENTRANK(AQ169:BL169, val)+0.01, 0))), SEQUENCE(COLUMNS(AQ169:BL169)), FALSE), {""charttype"",""column""; ""color"",""chartreuse""; ""ymin"", 0; ""ymax"", 1.01; ""highcolo"&amp;"r"", ""darkgreen""; ""lowcolor"", ""red""}), """")"),"")</f>
        <v/>
      </c>
      <c r="B169" s="17" t="str">
        <f t="shared" si="4"/>
        <v/>
      </c>
      <c r="C169" s="1" t="s">
        <v>3162</v>
      </c>
      <c r="D169" s="30" t="str">
        <f>IFERROR(__xludf.DUMMYFUNCTION("IFERROR(GOOGLEFINANCE(C169, ""NAME""))"),"Ciputra Development Tbk PT")</f>
        <v>Ciputra Development Tbk PT</v>
      </c>
      <c r="E169" s="30" t="s">
        <v>2613</v>
      </c>
      <c r="F169" s="33" t="str">
        <f>IFERROR(__xludf.DUMMYFUNCTION("( (GOOGLEFINANCE(C169, ""price"") - Q169) / Q169 ) / (R169 / 100)"),"Loading...")</f>
        <v>Loading...</v>
      </c>
      <c r="G169" s="20" t="str">
        <f>IFERROR(__xludf.DUMMYFUNCTION("AVERAGE(ARRAYFORMULA(100 * (QUERY(GOOGLEFINANCE(C169, ""high"", TODAY()-40, TODAY()), ""SELECT Col2 WHERE Col2 IS NOT NULL ORDER BY Col1 DESC LIMIT 20"", 0) / QUERY(GOOGLEFINANCE(C169, ""low"", TODAY()-40, TODAY()), ""SELECT Col2 WHERE Col2 IS NOT NULL OR"&amp;"DER BY Col1 DESC LIMIT 20"", 0) - 1)))"),"#N/A")</f>
        <v>#N/A</v>
      </c>
      <c r="H169" s="35" t="str">
        <f t="shared" si="6"/>
        <v>Liquid</v>
      </c>
      <c r="I169" s="35" t="str">
        <f t="shared" si="7"/>
        <v>No RVol Required</v>
      </c>
      <c r="J169" s="37">
        <f>IFERROR(__xludf.DUMMYFUNCTION("IFERROR(
  IF(C169="""",, 
    IFERROR(
      GOOGLEFINANCE(C169, ""price"") * GOOGLEFINANCE(C169, ""volumeavg""), 
      GOOGLEFINANCE(C169, ""price"") * AVERAGE(QUERY(GOOGLEFINANCE(C169, ""volume"", TODAY()-40, TODAY()), ""SELECT Col2 WHERE Col2 IS NOT "&amp;"NULL ORDER BY Col1 DESC LIMIT 20"", 0))
    )
  ), 
"""")"),6.77814124E9)</f>
        <v>6778141240</v>
      </c>
      <c r="K169" s="21">
        <f>IFERROR(__xludf.DUMMYFUNCTION("IFERROR(GOOGLEFINANCE(C169, ""changepct"") / 100, """")"),-0.037000000000000005)</f>
        <v>-0.037</v>
      </c>
      <c r="L169" s="21" t="str">
        <f>IFERROR(__xludf.DUMMYFUNCTION("IFERROR((GOOGLEFINANCE(C169, ""price"") / INDEX(GOOGLEFINANCE(C169, ""price"", TODAY()-7, TODAY()), 2, 2)) - 1, """")"),"")</f>
        <v/>
      </c>
      <c r="M169" s="21" t="str">
        <f>IFERROR(__xludf.DUMMYFUNCTION("IFERROR((GOOGLEFINANCE(C169, ""price"") / INDEX(GOOGLEFINANCE(C169, ""price"", EDATE(TODAY(), -1), TODAY()), 2, 2)) - 1, """")"),"")</f>
        <v/>
      </c>
      <c r="N169" s="21" t="str">
        <f>IFERROR(__xludf.DUMMYFUNCTION("IFERROR((GOOGLEFINANCE(C169, ""price"") / INDEX(GOOGLEFINANCE(C169, ""price"", EDATE(TODAY(), -3), TODAY()), 2, 2)) - 1, """")"),"")</f>
        <v/>
      </c>
      <c r="O169" s="21" t="str">
        <f>IFERROR(__xludf.DUMMYFUNCTION("IFERROR((GOOGLEFINANCE(C169, ""price"") / INDEX(GOOGLEFINANCE(C169, ""price"", EDATE(TODAY(), -6), TODAY()), 2, 2)) - 1, """")"),"")</f>
        <v/>
      </c>
      <c r="P169" s="21" t="str">
        <f>IFERROR(__xludf.DUMMYFUNCTION("IFERROR((GOOGLEFINANCE(C169, ""price"") / INDEX(GOOGLEFINANCE(C169, ""price"", EDATE(TODAY(), -12), TODAY()), 2, 2)) - 1, """")"),"")</f>
        <v/>
      </c>
      <c r="Q169" s="6" t="str">
        <f>IFERROR(__xludf.DUMMYFUNCTION("AVERAGE(QUERY(GOOGLEFINANCE(C169, ""price"", TODAY()-80, TODAY()), ""SELECT Col2 WHERE Col2 IS NOT NULL ORDER BY Col1 DESC LIMIT 50"", 0))"),"#N/A")</f>
        <v>#N/A</v>
      </c>
      <c r="R169" s="24" t="str">
        <f>IFERROR(__xludf.DUMMYFUNCTION("IFERROR(
  LET(
    data, QUERY(GOOGLEFINANCE(C169,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GOOGLEFINANCE(C169, ""price"")) * 100,
    IF(calc=0, G169, calc)
  ), 
G169)"),"#N/A")</f>
        <v>#N/A</v>
      </c>
      <c r="S169" s="8" t="s">
        <v>15</v>
      </c>
      <c r="T169" s="26" t="str">
        <f>IFERROR(__xludf.DUMMYFUNCTION("IFERROR(TRANSPOSE(QUERY(IFERROR(SORT(GOOGLEFINANCE(C169, ""price"", WORKDAY(TODAY(), -40), TODAY()), 1, FALSE)), ""select Col2 where Col2 is not null limit 22 label Col2 ''"", 0)), """")"),"")</f>
        <v/>
      </c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8"/>
      <c r="AO169" s="28"/>
      <c r="AP169" s="29"/>
      <c r="AQ169" s="29" t="str">
        <f t="shared" ref="AQ169:BL169" si="172">T169/T$2</f>
        <v>#N/A</v>
      </c>
      <c r="AR169" s="29" t="str">
        <f t="shared" si="172"/>
        <v>#DIV/0!</v>
      </c>
      <c r="AS169" s="29" t="str">
        <f t="shared" si="172"/>
        <v>#DIV/0!</v>
      </c>
      <c r="AT169" s="29" t="str">
        <f t="shared" si="172"/>
        <v>#DIV/0!</v>
      </c>
      <c r="AU169" s="29" t="str">
        <f t="shared" si="172"/>
        <v>#DIV/0!</v>
      </c>
      <c r="AV169" s="29" t="str">
        <f t="shared" si="172"/>
        <v>#DIV/0!</v>
      </c>
      <c r="AW169" s="29" t="str">
        <f t="shared" si="172"/>
        <v>#DIV/0!</v>
      </c>
      <c r="AX169" s="29" t="str">
        <f t="shared" si="172"/>
        <v>#DIV/0!</v>
      </c>
      <c r="AY169" s="29" t="str">
        <f t="shared" si="172"/>
        <v>#DIV/0!</v>
      </c>
      <c r="AZ169" s="29" t="str">
        <f t="shared" si="172"/>
        <v>#DIV/0!</v>
      </c>
      <c r="BA169" s="29" t="str">
        <f t="shared" si="172"/>
        <v>#DIV/0!</v>
      </c>
      <c r="BB169" s="29" t="str">
        <f t="shared" si="172"/>
        <v>#DIV/0!</v>
      </c>
      <c r="BC169" s="29" t="str">
        <f t="shared" si="172"/>
        <v>#DIV/0!</v>
      </c>
      <c r="BD169" s="29" t="str">
        <f t="shared" si="172"/>
        <v>#DIV/0!</v>
      </c>
      <c r="BE169" s="29" t="str">
        <f t="shared" si="172"/>
        <v>#DIV/0!</v>
      </c>
      <c r="BF169" s="29" t="str">
        <f t="shared" si="172"/>
        <v>#DIV/0!</v>
      </c>
      <c r="BG169" s="29" t="str">
        <f t="shared" si="172"/>
        <v>#DIV/0!</v>
      </c>
      <c r="BH169" s="29" t="str">
        <f t="shared" si="172"/>
        <v>#DIV/0!</v>
      </c>
      <c r="BI169" s="29" t="str">
        <f t="shared" si="172"/>
        <v>#DIV/0!</v>
      </c>
      <c r="BJ169" s="29" t="str">
        <f t="shared" si="172"/>
        <v>#DIV/0!</v>
      </c>
      <c r="BK169" s="29" t="str">
        <f t="shared" si="172"/>
        <v>#DIV/0!</v>
      </c>
      <c r="BL169" s="29" t="str">
        <f t="shared" si="172"/>
        <v>#DIV/0!</v>
      </c>
      <c r="BM169" s="29" t="str">
        <f t="shared" si="3"/>
        <v>#DIV/0!</v>
      </c>
    </row>
    <row r="170">
      <c r="A170" s="16" t="str">
        <f>IFERROR(__xludf.DUMMYFUNCTION("IFERROR(SPARKLINE(SORT(MAP(TRANSPOSE(AQ170:BL170), LAMBDA(val, IF(ISNUMBER(val), PERCENTRANK(AQ170:BL170, val)+0.01, 0))), SEQUENCE(COLUMNS(AQ170:BL170)), FALSE), {""charttype"",""column""; ""color"",""chartreuse""; ""ymin"", 0; ""ymax"", 1.01; ""highcolo"&amp;"r"", ""darkgreen""; ""lowcolor"", ""red""}), """")"),"")</f>
        <v/>
      </c>
      <c r="B170" s="17" t="str">
        <f t="shared" si="4"/>
        <v/>
      </c>
      <c r="C170" s="1" t="s">
        <v>3167</v>
      </c>
      <c r="D170" s="30" t="str">
        <f>IFERROR(__xludf.DUMMYFUNCTION("IFERROR(GOOGLEFINANCE(C170, ""NAME""))"),"California Resources Corp")</f>
        <v>California Resources Corp</v>
      </c>
      <c r="E170" s="30" t="s">
        <v>2613</v>
      </c>
      <c r="F170" s="33" t="str">
        <f>IFERROR(__xludf.DUMMYFUNCTION("( (GOOGLEFINANCE(C170, ""price"") - Q170) / Q170 ) / (R170 / 100)"),"Loading...")</f>
        <v>Loading...</v>
      </c>
      <c r="G170" s="20" t="str">
        <f>IFERROR(__xludf.DUMMYFUNCTION("AVERAGE(ARRAYFORMULA(100 * (QUERY(GOOGLEFINANCE(C170, ""high"", TODAY()-40, TODAY()), ""SELECT Col2 WHERE Col2 IS NOT NULL ORDER BY Col1 DESC LIMIT 20"", 0) / QUERY(GOOGLEFINANCE(C170, ""low"", TODAY()-40, TODAY()), ""SELECT Col2 WHERE Col2 IS NOT NULL OR"&amp;"DER BY Col1 DESC LIMIT 20"", 0) - 1)))"),"#N/A")</f>
        <v>#N/A</v>
      </c>
      <c r="H170" s="35" t="str">
        <f t="shared" si="6"/>
        <v>Illiquid</v>
      </c>
      <c r="I170" s="35" t="str">
        <f t="shared" si="7"/>
        <v>RVol Required</v>
      </c>
      <c r="J170" s="37">
        <f>IFERROR(__xludf.DUMMYFUNCTION("IFERROR(
  IF(C170="""",, 
    IFERROR(
      GOOGLEFINANCE(C170, ""price"") * GOOGLEFINANCE(C170, ""volumeavg""), 
      GOOGLEFINANCE(C170, ""price"") * AVERAGE(QUERY(GOOGLEFINANCE(C170, ""volume"", TODAY()-40, TODAY()), ""SELECT Col2 WHERE Col2 IS NOT "&amp;"NULL ORDER BY Col1 DESC LIMIT 20"", 0))
    )
  ), 
"""")"),4.8006585629999995E7)</f>
        <v>48006585.63</v>
      </c>
      <c r="K170" s="21">
        <f>IFERROR(__xludf.DUMMYFUNCTION("IFERROR(GOOGLEFINANCE(C170, ""changepct"") / 100, """")"),0.0222)</f>
        <v>0.0222</v>
      </c>
      <c r="L170" s="21" t="str">
        <f>IFERROR(__xludf.DUMMYFUNCTION("IFERROR((GOOGLEFINANCE(C170, ""price"") / INDEX(GOOGLEFINANCE(C170, ""price"", TODAY()-7, TODAY()), 2, 2)) - 1, """")"),"")</f>
        <v/>
      </c>
      <c r="M170" s="21" t="str">
        <f>IFERROR(__xludf.DUMMYFUNCTION("IFERROR((GOOGLEFINANCE(C170, ""price"") / INDEX(GOOGLEFINANCE(C170, ""price"", EDATE(TODAY(), -1), TODAY()), 2, 2)) - 1, """")"),"")</f>
        <v/>
      </c>
      <c r="N170" s="21" t="str">
        <f>IFERROR(__xludf.DUMMYFUNCTION("IFERROR((GOOGLEFINANCE(C170, ""price"") / INDEX(GOOGLEFINANCE(C170, ""price"", EDATE(TODAY(), -3), TODAY()), 2, 2)) - 1, """")"),"")</f>
        <v/>
      </c>
      <c r="O170" s="21" t="str">
        <f>IFERROR(__xludf.DUMMYFUNCTION("IFERROR((GOOGLEFINANCE(C170, ""price"") / INDEX(GOOGLEFINANCE(C170, ""price"", EDATE(TODAY(), -6), TODAY()), 2, 2)) - 1, """")"),"")</f>
        <v/>
      </c>
      <c r="P170" s="21" t="str">
        <f>IFERROR(__xludf.DUMMYFUNCTION("IFERROR((GOOGLEFINANCE(C170, ""price"") / INDEX(GOOGLEFINANCE(C170, ""price"", EDATE(TODAY(), -12), TODAY()), 2, 2)) - 1, """")"),"")</f>
        <v/>
      </c>
      <c r="Q170" s="6" t="str">
        <f>IFERROR(__xludf.DUMMYFUNCTION("AVERAGE(QUERY(GOOGLEFINANCE(C170, ""price"", TODAY()-80, TODAY()), ""SELECT Col2 WHERE Col2 IS NOT NULL ORDER BY Col1 DESC LIMIT 50"", 0))"),"#N/A")</f>
        <v>#N/A</v>
      </c>
      <c r="R170" s="24" t="str">
        <f>IFERROR(__xludf.DUMMYFUNCTION("IFERROR(
  LET(
    data, QUERY(GOOGLEFINANCE(C170,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GOOGLEFINANCE(C170, ""price"")) * 100,
    IF(calc=0, G170, calc)
  ), 
G170)"),"#N/A")</f>
        <v>#N/A</v>
      </c>
      <c r="S170" s="8" t="s">
        <v>15</v>
      </c>
      <c r="T170" s="26" t="str">
        <f>IFERROR(__xludf.DUMMYFUNCTION("IFERROR(TRANSPOSE(QUERY(IFERROR(SORT(GOOGLEFINANCE(C170, ""price"", WORKDAY(TODAY(), -40), TODAY()), 1, FALSE)), ""select Col2 where Col2 is not null limit 22 label Col2 ''"", 0)), """")"),"")</f>
        <v/>
      </c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8"/>
      <c r="AO170" s="28"/>
      <c r="AP170" s="29"/>
      <c r="AQ170" s="29" t="str">
        <f t="shared" ref="AQ170:BL170" si="173">T170/T$2</f>
        <v>#N/A</v>
      </c>
      <c r="AR170" s="29" t="str">
        <f t="shared" si="173"/>
        <v>#DIV/0!</v>
      </c>
      <c r="AS170" s="29" t="str">
        <f t="shared" si="173"/>
        <v>#DIV/0!</v>
      </c>
      <c r="AT170" s="29" t="str">
        <f t="shared" si="173"/>
        <v>#DIV/0!</v>
      </c>
      <c r="AU170" s="29" t="str">
        <f t="shared" si="173"/>
        <v>#DIV/0!</v>
      </c>
      <c r="AV170" s="29" t="str">
        <f t="shared" si="173"/>
        <v>#DIV/0!</v>
      </c>
      <c r="AW170" s="29" t="str">
        <f t="shared" si="173"/>
        <v>#DIV/0!</v>
      </c>
      <c r="AX170" s="29" t="str">
        <f t="shared" si="173"/>
        <v>#DIV/0!</v>
      </c>
      <c r="AY170" s="29" t="str">
        <f t="shared" si="173"/>
        <v>#DIV/0!</v>
      </c>
      <c r="AZ170" s="29" t="str">
        <f t="shared" si="173"/>
        <v>#DIV/0!</v>
      </c>
      <c r="BA170" s="29" t="str">
        <f t="shared" si="173"/>
        <v>#DIV/0!</v>
      </c>
      <c r="BB170" s="29" t="str">
        <f t="shared" si="173"/>
        <v>#DIV/0!</v>
      </c>
      <c r="BC170" s="29" t="str">
        <f t="shared" si="173"/>
        <v>#DIV/0!</v>
      </c>
      <c r="BD170" s="29" t="str">
        <f t="shared" si="173"/>
        <v>#DIV/0!</v>
      </c>
      <c r="BE170" s="29" t="str">
        <f t="shared" si="173"/>
        <v>#DIV/0!</v>
      </c>
      <c r="BF170" s="29" t="str">
        <f t="shared" si="173"/>
        <v>#DIV/0!</v>
      </c>
      <c r="BG170" s="29" t="str">
        <f t="shared" si="173"/>
        <v>#DIV/0!</v>
      </c>
      <c r="BH170" s="29" t="str">
        <f t="shared" si="173"/>
        <v>#DIV/0!</v>
      </c>
      <c r="BI170" s="29" t="str">
        <f t="shared" si="173"/>
        <v>#DIV/0!</v>
      </c>
      <c r="BJ170" s="29" t="str">
        <f t="shared" si="173"/>
        <v>#DIV/0!</v>
      </c>
      <c r="BK170" s="29" t="str">
        <f t="shared" si="173"/>
        <v>#DIV/0!</v>
      </c>
      <c r="BL170" s="29" t="str">
        <f t="shared" si="173"/>
        <v>#DIV/0!</v>
      </c>
      <c r="BM170" s="29" t="str">
        <f t="shared" si="3"/>
        <v>#DIV/0!</v>
      </c>
    </row>
    <row r="171" hidden="1">
      <c r="A171" s="16" t="str">
        <f>IFERROR(__xludf.DUMMYFUNCTION("IFERROR(SPARKLINE(SORT(MAP(TRANSPOSE(AQ171:BL171), LAMBDA(val, IF(ISNUMBER(val), PERCENTRANK(AQ171:BL171, val)+0.01, 0))), SEQUENCE(COLUMNS(AQ171:BL171)), FALSE), {""charttype"",""column""; ""color"",""chartreuse""; ""ymin"", 0; ""ymax"", 1.01; ""highcolo"&amp;"r"", ""darkgreen""; ""lowcolor"", ""red""}), """")"),"")</f>
        <v/>
      </c>
      <c r="B171" s="17" t="str">
        <f t="shared" si="4"/>
        <v/>
      </c>
      <c r="C171" s="1" t="s">
        <v>3170</v>
      </c>
      <c r="D171" s="30" t="str">
        <f>IFERROR(__xludf.DUMMYFUNCTION("IFERROR(GOOGLEFINANCE(C171, ""NAME""))"),"Cheniere Energy Partners LP")</f>
        <v>Cheniere Energy Partners LP</v>
      </c>
      <c r="E171" s="30" t="s">
        <v>2547</v>
      </c>
      <c r="F171" s="33" t="str">
        <f>IFERROR(__xludf.DUMMYFUNCTION("( (GOOGLEFINANCE(C171, ""price"") - Q171) / Q171 ) / (R171 / 100)"),"Loading...")</f>
        <v>Loading...</v>
      </c>
      <c r="G171" s="20" t="str">
        <f>IFERROR(__xludf.DUMMYFUNCTION("AVERAGE(ARRAYFORMULA(100 * (QUERY(GOOGLEFINANCE(C171, ""high"", TODAY()-40, TODAY()), ""SELECT Col2 WHERE Col2 IS NOT NULL ORDER BY Col1 DESC LIMIT 20"", 0) / QUERY(GOOGLEFINANCE(C171, ""low"", TODAY()-40, TODAY()), ""SELECT Col2 WHERE Col2 IS NOT NULL OR"&amp;"DER BY Col1 DESC LIMIT 20"", 0) - 1)))"),"#N/A")</f>
        <v>#N/A</v>
      </c>
      <c r="H171" s="35" t="str">
        <f t="shared" si="6"/>
        <v>Illiquid</v>
      </c>
      <c r="I171" s="35" t="str">
        <f t="shared" si="7"/>
        <v>RVol Required</v>
      </c>
      <c r="J171" s="37">
        <f>IFERROR(__xludf.DUMMYFUNCTION("IFERROR(
  IF(C171="""",, 
    IFERROR(
      GOOGLEFINANCE(C171, ""price"") * GOOGLEFINANCE(C171, ""volumeavg""), 
      GOOGLEFINANCE(C171, ""price"") * AVERAGE(QUERY(GOOGLEFINANCE(C171, ""volume"", TODAY()-40, TODAY()), ""SELECT Col2 WHERE Col2 IS NOT "&amp;"NULL ORDER BY Col1 DESC LIMIT 20"", 0))
    )
  ), 
"""")"),7587206.64)</f>
        <v>7587206.64</v>
      </c>
      <c r="K171" s="21">
        <f>IFERROR(__xludf.DUMMYFUNCTION("IFERROR(GOOGLEFINANCE(C171, ""changepct"") / 100, """")"),0.0212)</f>
        <v>0.0212</v>
      </c>
      <c r="L171" s="21" t="str">
        <f>IFERROR(__xludf.DUMMYFUNCTION("IFERROR((GOOGLEFINANCE(C171, ""price"") / INDEX(GOOGLEFINANCE(C171, ""price"", TODAY()-7, TODAY()), 2, 2)) - 1, """")"),"")</f>
        <v/>
      </c>
      <c r="M171" s="21" t="str">
        <f>IFERROR(__xludf.DUMMYFUNCTION("IFERROR((GOOGLEFINANCE(C171, ""price"") / INDEX(GOOGLEFINANCE(C171, ""price"", EDATE(TODAY(), -1), TODAY()), 2, 2)) - 1, """")"),"")</f>
        <v/>
      </c>
      <c r="N171" s="21" t="str">
        <f>IFERROR(__xludf.DUMMYFUNCTION("IFERROR((GOOGLEFINANCE(C171, ""price"") / INDEX(GOOGLEFINANCE(C171, ""price"", EDATE(TODAY(), -3), TODAY()), 2, 2)) - 1, """")"),"")</f>
        <v/>
      </c>
      <c r="O171" s="21" t="str">
        <f>IFERROR(__xludf.DUMMYFUNCTION("IFERROR((GOOGLEFINANCE(C171, ""price"") / INDEX(GOOGLEFINANCE(C171, ""price"", EDATE(TODAY(), -6), TODAY()), 2, 2)) - 1, """")"),"")</f>
        <v/>
      </c>
      <c r="P171" s="21" t="str">
        <f>IFERROR(__xludf.DUMMYFUNCTION("IFERROR((GOOGLEFINANCE(C171, ""price"") / INDEX(GOOGLEFINANCE(C171, ""price"", EDATE(TODAY(), -12), TODAY()), 2, 2)) - 1, """")"),"")</f>
        <v/>
      </c>
      <c r="Q171" s="6" t="str">
        <f>IFERROR(__xludf.DUMMYFUNCTION("AVERAGE(QUERY(GOOGLEFINANCE(C171, ""price"", TODAY()-80, TODAY()), ""SELECT Col2 WHERE Col2 IS NOT NULL ORDER BY Col1 DESC LIMIT 50"", 0))"),"#N/A")</f>
        <v>#N/A</v>
      </c>
      <c r="R171" s="24" t="str">
        <f>IFERROR(__xludf.DUMMYFUNCTION("IFERROR(
  LET(
    data, QUERY(GOOGLEFINANCE(C171,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GOOGLEFINANCE(C171, ""price"")) * 100,
    IF(calc=0, G171, calc)
  ), 
G171)"),"#N/A")</f>
        <v>#N/A</v>
      </c>
      <c r="S171" s="8" t="s">
        <v>15</v>
      </c>
      <c r="T171" s="26" t="str">
        <f>IFERROR(__xludf.DUMMYFUNCTION("IFERROR(TRANSPOSE(QUERY(IFERROR(SORT(GOOGLEFINANCE(C171, ""price"", WORKDAY(TODAY(), -40), TODAY()), 1, FALSE)), ""select Col2 where Col2 is not null limit 22 label Col2 ''"", 0)), """")"),"")</f>
        <v/>
      </c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8"/>
      <c r="AO171" s="28"/>
      <c r="AP171" s="29"/>
      <c r="AQ171" s="29" t="str">
        <f t="shared" ref="AQ171:BL171" si="174">T171/T$2</f>
        <v>#N/A</v>
      </c>
      <c r="AR171" s="29" t="str">
        <f t="shared" si="174"/>
        <v>#DIV/0!</v>
      </c>
      <c r="AS171" s="29" t="str">
        <f t="shared" si="174"/>
        <v>#DIV/0!</v>
      </c>
      <c r="AT171" s="29" t="str">
        <f t="shared" si="174"/>
        <v>#DIV/0!</v>
      </c>
      <c r="AU171" s="29" t="str">
        <f t="shared" si="174"/>
        <v>#DIV/0!</v>
      </c>
      <c r="AV171" s="29" t="str">
        <f t="shared" si="174"/>
        <v>#DIV/0!</v>
      </c>
      <c r="AW171" s="29" t="str">
        <f t="shared" si="174"/>
        <v>#DIV/0!</v>
      </c>
      <c r="AX171" s="29" t="str">
        <f t="shared" si="174"/>
        <v>#DIV/0!</v>
      </c>
      <c r="AY171" s="29" t="str">
        <f t="shared" si="174"/>
        <v>#DIV/0!</v>
      </c>
      <c r="AZ171" s="29" t="str">
        <f t="shared" si="174"/>
        <v>#DIV/0!</v>
      </c>
      <c r="BA171" s="29" t="str">
        <f t="shared" si="174"/>
        <v>#DIV/0!</v>
      </c>
      <c r="BB171" s="29" t="str">
        <f t="shared" si="174"/>
        <v>#DIV/0!</v>
      </c>
      <c r="BC171" s="29" t="str">
        <f t="shared" si="174"/>
        <v>#DIV/0!</v>
      </c>
      <c r="BD171" s="29" t="str">
        <f t="shared" si="174"/>
        <v>#DIV/0!</v>
      </c>
      <c r="BE171" s="29" t="str">
        <f t="shared" si="174"/>
        <v>#DIV/0!</v>
      </c>
      <c r="BF171" s="29" t="str">
        <f t="shared" si="174"/>
        <v>#DIV/0!</v>
      </c>
      <c r="BG171" s="29" t="str">
        <f t="shared" si="174"/>
        <v>#DIV/0!</v>
      </c>
      <c r="BH171" s="29" t="str">
        <f t="shared" si="174"/>
        <v>#DIV/0!</v>
      </c>
      <c r="BI171" s="29" t="str">
        <f t="shared" si="174"/>
        <v>#DIV/0!</v>
      </c>
      <c r="BJ171" s="29" t="str">
        <f t="shared" si="174"/>
        <v>#DIV/0!</v>
      </c>
      <c r="BK171" s="29" t="str">
        <f t="shared" si="174"/>
        <v>#DIV/0!</v>
      </c>
      <c r="BL171" s="29" t="str">
        <f t="shared" si="174"/>
        <v>#DIV/0!</v>
      </c>
      <c r="BM171" s="29" t="str">
        <f t="shared" si="3"/>
        <v>#DIV/0!</v>
      </c>
    </row>
    <row r="172">
      <c r="A172" s="16" t="str">
        <f>IFERROR(__xludf.DUMMYFUNCTION("IFERROR(SPARKLINE(SORT(MAP(TRANSPOSE(AQ172:BL172), LAMBDA(val, IF(ISNUMBER(val), PERCENTRANK(AQ172:BL172, val)+0.01, 0))), SEQUENCE(COLUMNS(AQ172:BL172)), FALSE), {""charttype"",""column""; ""color"",""chartreuse""; ""ymin"", 0; ""ymax"", 1.01; ""highcolo"&amp;"r"", ""darkgreen""; ""lowcolor"", ""red""}), """")"),"")</f>
        <v/>
      </c>
      <c r="B172" s="17" t="str">
        <f t="shared" si="4"/>
        <v/>
      </c>
      <c r="C172" s="1" t="s">
        <v>3174</v>
      </c>
      <c r="D172" s="30" t="str">
        <f>IFERROR(__xludf.DUMMYFUNCTION("IFERROR(GOOGLEFINANCE(C172, ""NAME""))"),"Cameco Corp")</f>
        <v>Cameco Corp</v>
      </c>
      <c r="E172" s="30" t="s">
        <v>2542</v>
      </c>
      <c r="F172" s="33" t="str">
        <f>IFERROR(__xludf.DUMMYFUNCTION("( (GOOGLEFINANCE(C172, ""price"") - Q172) / Q172 ) / (R172 / 100)"),"Loading...")</f>
        <v>Loading...</v>
      </c>
      <c r="G172" s="20" t="str">
        <f>IFERROR(__xludf.DUMMYFUNCTION("AVERAGE(ARRAYFORMULA(100 * (QUERY(GOOGLEFINANCE(C172, ""high"", TODAY()-40, TODAY()), ""SELECT Col2 WHERE Col2 IS NOT NULL ORDER BY Col1 DESC LIMIT 20"", 0) / QUERY(GOOGLEFINANCE(C172, ""low"", TODAY()-40, TODAY()), ""SELECT Col2 WHERE Col2 IS NOT NULL OR"&amp;"DER BY Col1 DESC LIMIT 20"", 0) - 1)))"),"#N/A")</f>
        <v>#N/A</v>
      </c>
      <c r="H172" s="35" t="str">
        <f t="shared" si="6"/>
        <v>Liquid</v>
      </c>
      <c r="I172" s="35" t="str">
        <f t="shared" si="7"/>
        <v>RVol Required</v>
      </c>
      <c r="J172" s="37">
        <f>IFERROR(__xludf.DUMMYFUNCTION("IFERROR(
  IF(C172="""",, 
    IFERROR(
      GOOGLEFINANCE(C172, ""price"") * GOOGLEFINANCE(C172, ""volumeavg""), 
      GOOGLEFINANCE(C172, ""price"") * AVERAGE(QUERY(GOOGLEFINANCE(C172, ""volume"", TODAY()-40, TODAY()), ""SELECT Col2 WHERE Col2 IS NOT "&amp;"NULL ORDER BY Col1 DESC LIMIT 20"", 0))
    )
  ), 
"""")"),2.5779909255999997E8)</f>
        <v>257799092.6</v>
      </c>
      <c r="K172" s="21">
        <f>IFERROR(__xludf.DUMMYFUNCTION("IFERROR(GOOGLEFINANCE(C172, ""changepct"") / 100, """")"),-0.020499999999999997)</f>
        <v>-0.0205</v>
      </c>
      <c r="L172" s="21" t="str">
        <f>IFERROR(__xludf.DUMMYFUNCTION("IFERROR((GOOGLEFINANCE(C172, ""price"") / INDEX(GOOGLEFINANCE(C172, ""price"", TODAY()-7, TODAY()), 2, 2)) - 1, """")"),"")</f>
        <v/>
      </c>
      <c r="M172" s="21" t="str">
        <f>IFERROR(__xludf.DUMMYFUNCTION("IFERROR((GOOGLEFINANCE(C172, ""price"") / INDEX(GOOGLEFINANCE(C172, ""price"", EDATE(TODAY(), -1), TODAY()), 2, 2)) - 1, """")"),"")</f>
        <v/>
      </c>
      <c r="N172" s="21" t="str">
        <f>IFERROR(__xludf.DUMMYFUNCTION("IFERROR((GOOGLEFINANCE(C172, ""price"") / INDEX(GOOGLEFINANCE(C172, ""price"", EDATE(TODAY(), -3), TODAY()), 2, 2)) - 1, """")"),"")</f>
        <v/>
      </c>
      <c r="O172" s="21" t="str">
        <f>IFERROR(__xludf.DUMMYFUNCTION("IFERROR((GOOGLEFINANCE(C172, ""price"") / INDEX(GOOGLEFINANCE(C172, ""price"", EDATE(TODAY(), -6), TODAY()), 2, 2)) - 1, """")"),"")</f>
        <v/>
      </c>
      <c r="P172" s="21" t="str">
        <f>IFERROR(__xludf.DUMMYFUNCTION("IFERROR((GOOGLEFINANCE(C172, ""price"") / INDEX(GOOGLEFINANCE(C172, ""price"", EDATE(TODAY(), -12), TODAY()), 2, 2)) - 1, """")"),"")</f>
        <v/>
      </c>
      <c r="Q172" s="6" t="str">
        <f>IFERROR(__xludf.DUMMYFUNCTION("AVERAGE(QUERY(GOOGLEFINANCE(C172, ""price"", TODAY()-80, TODAY()), ""SELECT Col2 WHERE Col2 IS NOT NULL ORDER BY Col1 DESC LIMIT 50"", 0))"),"#N/A")</f>
        <v>#N/A</v>
      </c>
      <c r="R172" s="24" t="str">
        <f>IFERROR(__xludf.DUMMYFUNCTION("IFERROR(
  LET(
    data, QUERY(GOOGLEFINANCE(C172,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GOOGLEFINANCE(C172, ""price"")) * 100,
    IF(calc=0, G172, calc)
  ), 
G172)"),"#N/A")</f>
        <v>#N/A</v>
      </c>
      <c r="S172" s="8" t="s">
        <v>15</v>
      </c>
      <c r="T172" s="26" t="str">
        <f>IFERROR(__xludf.DUMMYFUNCTION("IFERROR(TRANSPOSE(QUERY(IFERROR(SORT(GOOGLEFINANCE(C172, ""price"", WORKDAY(TODAY(), -40), TODAY()), 1, FALSE)), ""select Col2 where Col2 is not null limit 22 label Col2 ''"", 0)), """")"),"")</f>
        <v/>
      </c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8"/>
      <c r="AO172" s="28"/>
      <c r="AP172" s="29"/>
      <c r="AQ172" s="29" t="str">
        <f t="shared" ref="AQ172:BL172" si="175">T172/T$2</f>
        <v>#N/A</v>
      </c>
      <c r="AR172" s="29" t="str">
        <f t="shared" si="175"/>
        <v>#DIV/0!</v>
      </c>
      <c r="AS172" s="29" t="str">
        <f t="shared" si="175"/>
        <v>#DIV/0!</v>
      </c>
      <c r="AT172" s="29" t="str">
        <f t="shared" si="175"/>
        <v>#DIV/0!</v>
      </c>
      <c r="AU172" s="29" t="str">
        <f t="shared" si="175"/>
        <v>#DIV/0!</v>
      </c>
      <c r="AV172" s="29" t="str">
        <f t="shared" si="175"/>
        <v>#DIV/0!</v>
      </c>
      <c r="AW172" s="29" t="str">
        <f t="shared" si="175"/>
        <v>#DIV/0!</v>
      </c>
      <c r="AX172" s="29" t="str">
        <f t="shared" si="175"/>
        <v>#DIV/0!</v>
      </c>
      <c r="AY172" s="29" t="str">
        <f t="shared" si="175"/>
        <v>#DIV/0!</v>
      </c>
      <c r="AZ172" s="29" t="str">
        <f t="shared" si="175"/>
        <v>#DIV/0!</v>
      </c>
      <c r="BA172" s="29" t="str">
        <f t="shared" si="175"/>
        <v>#DIV/0!</v>
      </c>
      <c r="BB172" s="29" t="str">
        <f t="shared" si="175"/>
        <v>#DIV/0!</v>
      </c>
      <c r="BC172" s="29" t="str">
        <f t="shared" si="175"/>
        <v>#DIV/0!</v>
      </c>
      <c r="BD172" s="29" t="str">
        <f t="shared" si="175"/>
        <v>#DIV/0!</v>
      </c>
      <c r="BE172" s="29" t="str">
        <f t="shared" si="175"/>
        <v>#DIV/0!</v>
      </c>
      <c r="BF172" s="29" t="str">
        <f t="shared" si="175"/>
        <v>#DIV/0!</v>
      </c>
      <c r="BG172" s="29" t="str">
        <f t="shared" si="175"/>
        <v>#DIV/0!</v>
      </c>
      <c r="BH172" s="29" t="str">
        <f t="shared" si="175"/>
        <v>#DIV/0!</v>
      </c>
      <c r="BI172" s="29" t="str">
        <f t="shared" si="175"/>
        <v>#DIV/0!</v>
      </c>
      <c r="BJ172" s="29" t="str">
        <f t="shared" si="175"/>
        <v>#DIV/0!</v>
      </c>
      <c r="BK172" s="29" t="str">
        <f t="shared" si="175"/>
        <v>#DIV/0!</v>
      </c>
      <c r="BL172" s="29" t="str">
        <f t="shared" si="175"/>
        <v>#DIV/0!</v>
      </c>
      <c r="BM172" s="29" t="str">
        <f t="shared" si="3"/>
        <v>#DIV/0!</v>
      </c>
    </row>
    <row r="173" hidden="1">
      <c r="A173" s="16" t="str">
        <f>IFERROR(__xludf.DUMMYFUNCTION("IFERROR(SPARKLINE(SORT(MAP(TRANSPOSE(AQ173:BL173), LAMBDA(val, IF(ISNUMBER(val), PERCENTRANK(AQ173:BL173, val)+0.01, 0))), SEQUENCE(COLUMNS(AQ173:BL173)), FALSE), {""charttype"",""column""; ""color"",""chartreuse""; ""ymin"", 0; ""ymax"", 1.01; ""highcolo"&amp;"r"", ""darkgreen""; ""lowcolor"", ""red""}), """")"),"")</f>
        <v/>
      </c>
      <c r="B173" s="17" t="str">
        <f t="shared" si="4"/>
        <v/>
      </c>
      <c r="C173" s="1" t="s">
        <v>3178</v>
      </c>
      <c r="D173" s="30" t="str">
        <f>IFERROR(__xludf.DUMMYFUNCTION("IFERROR(GOOGLEFINANCE(C173, ""NAME""))"),"Alliance Resource Partners LP")</f>
        <v>Alliance Resource Partners LP</v>
      </c>
      <c r="E173" s="30" t="s">
        <v>2573</v>
      </c>
      <c r="F173" s="33" t="str">
        <f>IFERROR(__xludf.DUMMYFUNCTION("( (GOOGLEFINANCE(C173, ""price"") - Q173) / Q173 ) / (R173 / 100)"),"Loading...")</f>
        <v>Loading...</v>
      </c>
      <c r="G173" s="20" t="str">
        <f>IFERROR(__xludf.DUMMYFUNCTION("AVERAGE(ARRAYFORMULA(100 * (QUERY(GOOGLEFINANCE(C173, ""high"", TODAY()-40, TODAY()), ""SELECT Col2 WHERE Col2 IS NOT NULL ORDER BY Col1 DESC LIMIT 20"", 0) / QUERY(GOOGLEFINANCE(C173, ""low"", TODAY()-40, TODAY()), ""SELECT Col2 WHERE Col2 IS NOT NULL OR"&amp;"DER BY Col1 DESC LIMIT 20"", 0) - 1)))"),"#N/A")</f>
        <v>#N/A</v>
      </c>
      <c r="H173" s="35" t="str">
        <f t="shared" si="6"/>
        <v>Illiquid</v>
      </c>
      <c r="I173" s="35" t="str">
        <f t="shared" si="7"/>
        <v>RVol Required</v>
      </c>
      <c r="J173" s="37">
        <f>IFERROR(__xludf.DUMMYFUNCTION("IFERROR(
  IF(C173="""",, 
    IFERROR(
      GOOGLEFINANCE(C173, ""price"") * GOOGLEFINANCE(C173, ""volumeavg""), 
      GOOGLEFINANCE(C173, ""price"") * AVERAGE(QUERY(GOOGLEFINANCE(C173, ""volume"", TODAY()-40, TODAY()), ""SELECT Col2 WHERE Col2 IS NOT "&amp;"NULL ORDER BY Col1 DESC LIMIT 20"", 0))
    )
  ), 
"""")"),7023698.75)</f>
        <v>7023698.75</v>
      </c>
      <c r="K173" s="21">
        <f>IFERROR(__xludf.DUMMYFUNCTION("IFERROR(GOOGLEFINANCE(C173, ""changepct"") / 100, """")"),0.0222)</f>
        <v>0.0222</v>
      </c>
      <c r="L173" s="21" t="str">
        <f>IFERROR(__xludf.DUMMYFUNCTION("IFERROR((GOOGLEFINANCE(C173, ""price"") / INDEX(GOOGLEFINANCE(C173, ""price"", TODAY()-7, TODAY()), 2, 2)) - 1, """")"),"")</f>
        <v/>
      </c>
      <c r="M173" s="21" t="str">
        <f>IFERROR(__xludf.DUMMYFUNCTION("IFERROR((GOOGLEFINANCE(C173, ""price"") / INDEX(GOOGLEFINANCE(C173, ""price"", EDATE(TODAY(), -1), TODAY()), 2, 2)) - 1, """")"),"")</f>
        <v/>
      </c>
      <c r="N173" s="21" t="str">
        <f>IFERROR(__xludf.DUMMYFUNCTION("IFERROR((GOOGLEFINANCE(C173, ""price"") / INDEX(GOOGLEFINANCE(C173, ""price"", EDATE(TODAY(), -3), TODAY()), 2, 2)) - 1, """")"),"")</f>
        <v/>
      </c>
      <c r="O173" s="21" t="str">
        <f>IFERROR(__xludf.DUMMYFUNCTION("IFERROR((GOOGLEFINANCE(C173, ""price"") / INDEX(GOOGLEFINANCE(C173, ""price"", EDATE(TODAY(), -6), TODAY()), 2, 2)) - 1, """")"),"")</f>
        <v/>
      </c>
      <c r="P173" s="21" t="str">
        <f>IFERROR(__xludf.DUMMYFUNCTION("IFERROR((GOOGLEFINANCE(C173, ""price"") / INDEX(GOOGLEFINANCE(C173, ""price"", EDATE(TODAY(), -12), TODAY()), 2, 2)) - 1, """")"),"")</f>
        <v/>
      </c>
      <c r="Q173" s="6" t="str">
        <f>IFERROR(__xludf.DUMMYFUNCTION("AVERAGE(QUERY(GOOGLEFINANCE(C173, ""price"", TODAY()-80, TODAY()), ""SELECT Col2 WHERE Col2 IS NOT NULL ORDER BY Col1 DESC LIMIT 50"", 0))"),"#N/A")</f>
        <v>#N/A</v>
      </c>
      <c r="R173" s="24" t="str">
        <f>IFERROR(__xludf.DUMMYFUNCTION("IFERROR(
  LET(
    data, QUERY(GOOGLEFINANCE(C173,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GOOGLEFINANCE(C173, ""price"")) * 100,
    IF(calc=0, G173, calc)
  ), 
G173)"),"#N/A")</f>
        <v>#N/A</v>
      </c>
      <c r="S173" s="8" t="s">
        <v>15</v>
      </c>
      <c r="T173" s="26" t="str">
        <f>IFERROR(__xludf.DUMMYFUNCTION("IFERROR(TRANSPOSE(QUERY(IFERROR(SORT(GOOGLEFINANCE(C173, ""price"", WORKDAY(TODAY(), -40), TODAY()), 1, FALSE)), ""select Col2 where Col2 is not null limit 22 label Col2 ''"", 0)), """")"),"")</f>
        <v/>
      </c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8"/>
      <c r="AO173" s="28"/>
      <c r="AP173" s="29"/>
      <c r="AQ173" s="29" t="str">
        <f t="shared" ref="AQ173:BL173" si="176">T173/T$2</f>
        <v>#N/A</v>
      </c>
      <c r="AR173" s="29" t="str">
        <f t="shared" si="176"/>
        <v>#DIV/0!</v>
      </c>
      <c r="AS173" s="29" t="str">
        <f t="shared" si="176"/>
        <v>#DIV/0!</v>
      </c>
      <c r="AT173" s="29" t="str">
        <f t="shared" si="176"/>
        <v>#DIV/0!</v>
      </c>
      <c r="AU173" s="29" t="str">
        <f t="shared" si="176"/>
        <v>#DIV/0!</v>
      </c>
      <c r="AV173" s="29" t="str">
        <f t="shared" si="176"/>
        <v>#DIV/0!</v>
      </c>
      <c r="AW173" s="29" t="str">
        <f t="shared" si="176"/>
        <v>#DIV/0!</v>
      </c>
      <c r="AX173" s="29" t="str">
        <f t="shared" si="176"/>
        <v>#DIV/0!</v>
      </c>
      <c r="AY173" s="29" t="str">
        <f t="shared" si="176"/>
        <v>#DIV/0!</v>
      </c>
      <c r="AZ173" s="29" t="str">
        <f t="shared" si="176"/>
        <v>#DIV/0!</v>
      </c>
      <c r="BA173" s="29" t="str">
        <f t="shared" si="176"/>
        <v>#DIV/0!</v>
      </c>
      <c r="BB173" s="29" t="str">
        <f t="shared" si="176"/>
        <v>#DIV/0!</v>
      </c>
      <c r="BC173" s="29" t="str">
        <f t="shared" si="176"/>
        <v>#DIV/0!</v>
      </c>
      <c r="BD173" s="29" t="str">
        <f t="shared" si="176"/>
        <v>#DIV/0!</v>
      </c>
      <c r="BE173" s="29" t="str">
        <f t="shared" si="176"/>
        <v>#DIV/0!</v>
      </c>
      <c r="BF173" s="29" t="str">
        <f t="shared" si="176"/>
        <v>#DIV/0!</v>
      </c>
      <c r="BG173" s="29" t="str">
        <f t="shared" si="176"/>
        <v>#DIV/0!</v>
      </c>
      <c r="BH173" s="29" t="str">
        <f t="shared" si="176"/>
        <v>#DIV/0!</v>
      </c>
      <c r="BI173" s="29" t="str">
        <f t="shared" si="176"/>
        <v>#DIV/0!</v>
      </c>
      <c r="BJ173" s="29" t="str">
        <f t="shared" si="176"/>
        <v>#DIV/0!</v>
      </c>
      <c r="BK173" s="29" t="str">
        <f t="shared" si="176"/>
        <v>#DIV/0!</v>
      </c>
      <c r="BL173" s="29" t="str">
        <f t="shared" si="176"/>
        <v>#DIV/0!</v>
      </c>
      <c r="BM173" s="29" t="str">
        <f t="shared" si="3"/>
        <v>#DIV/0!</v>
      </c>
    </row>
    <row r="174" hidden="1">
      <c r="A174" s="16" t="str">
        <f>IFERROR(__xludf.DUMMYFUNCTION("IFERROR(SPARKLINE(SORT(MAP(TRANSPOSE(AQ174:BL174), LAMBDA(val, IF(ISNUMBER(val), PERCENTRANK(AQ174:BL174, val)+0.01, 0))), SEQUENCE(COLUMNS(AQ174:BL174)), FALSE), {""charttype"",""column""; ""color"",""chartreuse""; ""ymin"", 0; ""ymax"", 1.01; ""highcolo"&amp;"r"", ""darkgreen""; ""lowcolor"", ""red""}), """")"),"")</f>
        <v/>
      </c>
      <c r="B174" s="17" t="str">
        <f t="shared" si="4"/>
        <v/>
      </c>
      <c r="C174" s="1" t="s">
        <v>3181</v>
      </c>
      <c r="D174" s="30" t="str">
        <f>IFERROR(__xludf.DUMMYFUNCTION("IFERROR(GOOGLEFINANCE(C174, ""NAME""))"),"Vitesse Energy Inc")</f>
        <v>Vitesse Energy Inc</v>
      </c>
      <c r="E174" s="30" t="s">
        <v>2613</v>
      </c>
      <c r="F174" s="33" t="str">
        <f>IFERROR(__xludf.DUMMYFUNCTION("( (GOOGLEFINANCE(C174, ""price"") - Q174) / Q174 ) / (R174 / 100)"),"Loading...")</f>
        <v>Loading...</v>
      </c>
      <c r="G174" s="20" t="str">
        <f>IFERROR(__xludf.DUMMYFUNCTION("AVERAGE(ARRAYFORMULA(100 * (QUERY(GOOGLEFINANCE(C174, ""high"", TODAY()-40, TODAY()), ""SELECT Col2 WHERE Col2 IS NOT NULL ORDER BY Col1 DESC LIMIT 20"", 0) / QUERY(GOOGLEFINANCE(C174, ""low"", TODAY()-40, TODAY()), ""SELECT Col2 WHERE Col2 IS NOT NULL OR"&amp;"DER BY Col1 DESC LIMIT 20"", 0) - 1)))"),"#N/A")</f>
        <v>#N/A</v>
      </c>
      <c r="H174" s="35" t="str">
        <f t="shared" si="6"/>
        <v>Illiquid</v>
      </c>
      <c r="I174" s="35" t="str">
        <f t="shared" si="7"/>
        <v>RVol Required</v>
      </c>
      <c r="J174" s="37">
        <f>IFERROR(__xludf.DUMMYFUNCTION("IFERROR(
  IF(C174="""",, 
    IFERROR(
      GOOGLEFINANCE(C174, ""price"") * GOOGLEFINANCE(C174, ""volumeavg""), 
      GOOGLEFINANCE(C174, ""price"") * AVERAGE(QUERY(GOOGLEFINANCE(C174, ""volume"", TODAY()-40, TODAY()), ""SELECT Col2 WHERE Col2 IS NOT "&amp;"NULL ORDER BY Col1 DESC LIMIT 20"", 0))
    )
  ), 
"""")"),9390647.0)</f>
        <v>9390647</v>
      </c>
      <c r="K174" s="21">
        <f>IFERROR(__xludf.DUMMYFUNCTION("IFERROR(GOOGLEFINANCE(C174, ""changepct"") / 100, """")"),0.0482)</f>
        <v>0.0482</v>
      </c>
      <c r="L174" s="21" t="str">
        <f>IFERROR(__xludf.DUMMYFUNCTION("IFERROR((GOOGLEFINANCE(C174, ""price"") / INDEX(GOOGLEFINANCE(C174, ""price"", TODAY()-7, TODAY()), 2, 2)) - 1, """")"),"")</f>
        <v/>
      </c>
      <c r="M174" s="21" t="str">
        <f>IFERROR(__xludf.DUMMYFUNCTION("IFERROR((GOOGLEFINANCE(C174, ""price"") / INDEX(GOOGLEFINANCE(C174, ""price"", EDATE(TODAY(), -1), TODAY()), 2, 2)) - 1, """")"),"")</f>
        <v/>
      </c>
      <c r="N174" s="21" t="str">
        <f>IFERROR(__xludf.DUMMYFUNCTION("IFERROR((GOOGLEFINANCE(C174, ""price"") / INDEX(GOOGLEFINANCE(C174, ""price"", EDATE(TODAY(), -3), TODAY()), 2, 2)) - 1, """")"),"")</f>
        <v/>
      </c>
      <c r="O174" s="21" t="str">
        <f>IFERROR(__xludf.DUMMYFUNCTION("IFERROR((GOOGLEFINANCE(C174, ""price"") / INDEX(GOOGLEFINANCE(C174, ""price"", EDATE(TODAY(), -6), TODAY()), 2, 2)) - 1, """")"),"")</f>
        <v/>
      </c>
      <c r="P174" s="21" t="str">
        <f>IFERROR(__xludf.DUMMYFUNCTION("IFERROR((GOOGLEFINANCE(C174, ""price"") / INDEX(GOOGLEFINANCE(C174, ""price"", EDATE(TODAY(), -12), TODAY()), 2, 2)) - 1, """")"),"")</f>
        <v/>
      </c>
      <c r="Q174" s="6" t="str">
        <f>IFERROR(__xludf.DUMMYFUNCTION("AVERAGE(QUERY(GOOGLEFINANCE(C174, ""price"", TODAY()-80, TODAY()), ""SELECT Col2 WHERE Col2 IS NOT NULL ORDER BY Col1 DESC LIMIT 50"", 0))"),"#N/A")</f>
        <v>#N/A</v>
      </c>
      <c r="R174" s="24" t="str">
        <f>IFERROR(__xludf.DUMMYFUNCTION("IFERROR(
  LET(
    data, QUERY(GOOGLEFINANCE(C174,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GOOGLEFINANCE(C174, ""price"")) * 100,
    IF(calc=0, G174, calc)
  ), 
G174)"),"#N/A")</f>
        <v>#N/A</v>
      </c>
      <c r="S174" s="8" t="s">
        <v>15</v>
      </c>
      <c r="T174" s="26" t="str">
        <f>IFERROR(__xludf.DUMMYFUNCTION("IFERROR(TRANSPOSE(QUERY(IFERROR(SORT(GOOGLEFINANCE(C174, ""price"", WORKDAY(TODAY(), -40), TODAY()), 1, FALSE)), ""select Col2 where Col2 is not null limit 22 label Col2 ''"", 0)), """")"),"")</f>
        <v/>
      </c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8"/>
      <c r="AO174" s="28"/>
      <c r="AP174" s="29"/>
      <c r="AQ174" s="29" t="str">
        <f t="shared" ref="AQ174:BL174" si="177">T174/T$2</f>
        <v>#N/A</v>
      </c>
      <c r="AR174" s="29" t="str">
        <f t="shared" si="177"/>
        <v>#DIV/0!</v>
      </c>
      <c r="AS174" s="29" t="str">
        <f t="shared" si="177"/>
        <v>#DIV/0!</v>
      </c>
      <c r="AT174" s="29" t="str">
        <f t="shared" si="177"/>
        <v>#DIV/0!</v>
      </c>
      <c r="AU174" s="29" t="str">
        <f t="shared" si="177"/>
        <v>#DIV/0!</v>
      </c>
      <c r="AV174" s="29" t="str">
        <f t="shared" si="177"/>
        <v>#DIV/0!</v>
      </c>
      <c r="AW174" s="29" t="str">
        <f t="shared" si="177"/>
        <v>#DIV/0!</v>
      </c>
      <c r="AX174" s="29" t="str">
        <f t="shared" si="177"/>
        <v>#DIV/0!</v>
      </c>
      <c r="AY174" s="29" t="str">
        <f t="shared" si="177"/>
        <v>#DIV/0!</v>
      </c>
      <c r="AZ174" s="29" t="str">
        <f t="shared" si="177"/>
        <v>#DIV/0!</v>
      </c>
      <c r="BA174" s="29" t="str">
        <f t="shared" si="177"/>
        <v>#DIV/0!</v>
      </c>
      <c r="BB174" s="29" t="str">
        <f t="shared" si="177"/>
        <v>#DIV/0!</v>
      </c>
      <c r="BC174" s="29" t="str">
        <f t="shared" si="177"/>
        <v>#DIV/0!</v>
      </c>
      <c r="BD174" s="29" t="str">
        <f t="shared" si="177"/>
        <v>#DIV/0!</v>
      </c>
      <c r="BE174" s="29" t="str">
        <f t="shared" si="177"/>
        <v>#DIV/0!</v>
      </c>
      <c r="BF174" s="29" t="str">
        <f t="shared" si="177"/>
        <v>#DIV/0!</v>
      </c>
      <c r="BG174" s="29" t="str">
        <f t="shared" si="177"/>
        <v>#DIV/0!</v>
      </c>
      <c r="BH174" s="29" t="str">
        <f t="shared" si="177"/>
        <v>#DIV/0!</v>
      </c>
      <c r="BI174" s="29" t="str">
        <f t="shared" si="177"/>
        <v>#DIV/0!</v>
      </c>
      <c r="BJ174" s="29" t="str">
        <f t="shared" si="177"/>
        <v>#DIV/0!</v>
      </c>
      <c r="BK174" s="29" t="str">
        <f t="shared" si="177"/>
        <v>#DIV/0!</v>
      </c>
      <c r="BL174" s="29" t="str">
        <f t="shared" si="177"/>
        <v>#DIV/0!</v>
      </c>
      <c r="BM174" s="29" t="str">
        <f t="shared" si="3"/>
        <v>#DIV/0!</v>
      </c>
    </row>
    <row r="175">
      <c r="A175" s="16" t="str">
        <f>IFERROR(__xludf.DUMMYFUNCTION("IFERROR(SPARKLINE(SORT(MAP(TRANSPOSE(AQ175:BL175), LAMBDA(val, IF(ISNUMBER(val), PERCENTRANK(AQ175:BL175, val)+0.01, 0))), SEQUENCE(COLUMNS(AQ175:BL175)), FALSE), {""charttype"",""column""; ""color"",""chartreuse""; ""ymin"", 0; ""ymax"", 1.01; ""highcolo"&amp;"r"", ""darkgreen""; ""lowcolor"", ""red""}), """")"),"")</f>
        <v/>
      </c>
      <c r="B175" s="17" t="str">
        <f t="shared" si="4"/>
        <v/>
      </c>
      <c r="C175" s="1" t="s">
        <v>3184</v>
      </c>
      <c r="D175" s="30" t="str">
        <f>IFERROR(__xludf.DUMMYFUNCTION("IFERROR(GOOGLEFINANCE(C175, ""NAME""))"),"Texas Pacific Land Corporation")</f>
        <v>Texas Pacific Land Corporation</v>
      </c>
      <c r="E175" s="30" t="s">
        <v>2613</v>
      </c>
      <c r="F175" s="33" t="str">
        <f>IFERROR(__xludf.DUMMYFUNCTION("( (GOOGLEFINANCE(C175, ""price"") - Q175) / Q175 ) / (R175 / 100)"),"Loading...")</f>
        <v>Loading...</v>
      </c>
      <c r="G175" s="20" t="str">
        <f>IFERROR(__xludf.DUMMYFUNCTION("AVERAGE(ARRAYFORMULA(100 * (QUERY(GOOGLEFINANCE(C175, ""high"", TODAY()-40, TODAY()), ""SELECT Col2 WHERE Col2 IS NOT NULL ORDER BY Col1 DESC LIMIT 20"", 0) / QUERY(GOOGLEFINANCE(C175, ""low"", TODAY()-40, TODAY()), ""SELECT Col2 WHERE Col2 IS NOT NULL OR"&amp;"DER BY Col1 DESC LIMIT 20"", 0) - 1)))"),"#N/A")</f>
        <v>#N/A</v>
      </c>
      <c r="H175" s="35" t="str">
        <f t="shared" si="6"/>
        <v>Liquid</v>
      </c>
      <c r="I175" s="35" t="str">
        <f t="shared" si="7"/>
        <v>RVol Required</v>
      </c>
      <c r="J175" s="37">
        <f>IFERROR(__xludf.DUMMYFUNCTION("IFERROR(
  IF(C175="""",, 
    IFERROR(
      GOOGLEFINANCE(C175, ""price"") * GOOGLEFINANCE(C175, ""volumeavg""), 
      GOOGLEFINANCE(C175, ""price"") * AVERAGE(QUERY(GOOGLEFINANCE(C175, ""volume"", TODAY()-40, TODAY()), ""SELECT Col2 WHERE Col2 IS NOT "&amp;"NULL ORDER BY Col1 DESC LIMIT 20"", 0))
    )
  ), 
"""")"),1.2575674396000001E8)</f>
        <v>125756744</v>
      </c>
      <c r="K175" s="21">
        <f>IFERROR(__xludf.DUMMYFUNCTION("IFERROR(GOOGLEFINANCE(C175, ""changepct"") / 100, """")"),0.0127)</f>
        <v>0.0127</v>
      </c>
      <c r="L175" s="21" t="str">
        <f>IFERROR(__xludf.DUMMYFUNCTION("IFERROR((GOOGLEFINANCE(C175, ""price"") / INDEX(GOOGLEFINANCE(C175, ""price"", TODAY()-7, TODAY()), 2, 2)) - 1, """")"),"")</f>
        <v/>
      </c>
      <c r="M175" s="21" t="str">
        <f>IFERROR(__xludf.DUMMYFUNCTION("IFERROR((GOOGLEFINANCE(C175, ""price"") / INDEX(GOOGLEFINANCE(C175, ""price"", EDATE(TODAY(), -1), TODAY()), 2, 2)) - 1, """")"),"")</f>
        <v/>
      </c>
      <c r="N175" s="21" t="str">
        <f>IFERROR(__xludf.DUMMYFUNCTION("IFERROR((GOOGLEFINANCE(C175, ""price"") / INDEX(GOOGLEFINANCE(C175, ""price"", EDATE(TODAY(), -3), TODAY()), 2, 2)) - 1, """")"),"")</f>
        <v/>
      </c>
      <c r="O175" s="21" t="str">
        <f>IFERROR(__xludf.DUMMYFUNCTION("IFERROR((GOOGLEFINANCE(C175, ""price"") / INDEX(GOOGLEFINANCE(C175, ""price"", EDATE(TODAY(), -6), TODAY()), 2, 2)) - 1, """")"),"")</f>
        <v/>
      </c>
      <c r="P175" s="21" t="str">
        <f>IFERROR(__xludf.DUMMYFUNCTION("IFERROR((GOOGLEFINANCE(C175, ""price"") / INDEX(GOOGLEFINANCE(C175, ""price"", EDATE(TODAY(), -12), TODAY()), 2, 2)) - 1, """")"),"")</f>
        <v/>
      </c>
      <c r="Q175" s="6" t="str">
        <f>IFERROR(__xludf.DUMMYFUNCTION("AVERAGE(QUERY(GOOGLEFINANCE(C175, ""price"", TODAY()-80, TODAY()), ""SELECT Col2 WHERE Col2 IS NOT NULL ORDER BY Col1 DESC LIMIT 50"", 0))"),"#N/A")</f>
        <v>#N/A</v>
      </c>
      <c r="R175" s="24" t="str">
        <f>IFERROR(__xludf.DUMMYFUNCTION("IFERROR(
  LET(
    data, QUERY(GOOGLEFINANCE(C175,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GOOGLEFINANCE(C175, ""price"")) * 100,
    IF(calc=0, G175, calc)
  ), 
G175)"),"#N/A")</f>
        <v>#N/A</v>
      </c>
      <c r="S175" s="8" t="s">
        <v>15</v>
      </c>
      <c r="T175" s="26" t="str">
        <f>IFERROR(__xludf.DUMMYFUNCTION("IFERROR(TRANSPOSE(QUERY(IFERROR(SORT(GOOGLEFINANCE(C175, ""price"", WORKDAY(TODAY(), -40), TODAY()), 1, FALSE)), ""select Col2 where Col2 is not null limit 22 label Col2 ''"", 0)), """")"),"")</f>
        <v/>
      </c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8"/>
      <c r="AO175" s="28"/>
      <c r="AP175" s="29"/>
      <c r="AQ175" s="29" t="str">
        <f t="shared" ref="AQ175:BL175" si="178">T175/T$2</f>
        <v>#N/A</v>
      </c>
      <c r="AR175" s="29" t="str">
        <f t="shared" si="178"/>
        <v>#DIV/0!</v>
      </c>
      <c r="AS175" s="29" t="str">
        <f t="shared" si="178"/>
        <v>#DIV/0!</v>
      </c>
      <c r="AT175" s="29" t="str">
        <f t="shared" si="178"/>
        <v>#DIV/0!</v>
      </c>
      <c r="AU175" s="29" t="str">
        <f t="shared" si="178"/>
        <v>#DIV/0!</v>
      </c>
      <c r="AV175" s="29" t="str">
        <f t="shared" si="178"/>
        <v>#DIV/0!</v>
      </c>
      <c r="AW175" s="29" t="str">
        <f t="shared" si="178"/>
        <v>#DIV/0!</v>
      </c>
      <c r="AX175" s="29" t="str">
        <f t="shared" si="178"/>
        <v>#DIV/0!</v>
      </c>
      <c r="AY175" s="29" t="str">
        <f t="shared" si="178"/>
        <v>#DIV/0!</v>
      </c>
      <c r="AZ175" s="29" t="str">
        <f t="shared" si="178"/>
        <v>#DIV/0!</v>
      </c>
      <c r="BA175" s="29" t="str">
        <f t="shared" si="178"/>
        <v>#DIV/0!</v>
      </c>
      <c r="BB175" s="29" t="str">
        <f t="shared" si="178"/>
        <v>#DIV/0!</v>
      </c>
      <c r="BC175" s="29" t="str">
        <f t="shared" si="178"/>
        <v>#DIV/0!</v>
      </c>
      <c r="BD175" s="29" t="str">
        <f t="shared" si="178"/>
        <v>#DIV/0!</v>
      </c>
      <c r="BE175" s="29" t="str">
        <f t="shared" si="178"/>
        <v>#DIV/0!</v>
      </c>
      <c r="BF175" s="29" t="str">
        <f t="shared" si="178"/>
        <v>#DIV/0!</v>
      </c>
      <c r="BG175" s="29" t="str">
        <f t="shared" si="178"/>
        <v>#DIV/0!</v>
      </c>
      <c r="BH175" s="29" t="str">
        <f t="shared" si="178"/>
        <v>#DIV/0!</v>
      </c>
      <c r="BI175" s="29" t="str">
        <f t="shared" si="178"/>
        <v>#DIV/0!</v>
      </c>
      <c r="BJ175" s="29" t="str">
        <f t="shared" si="178"/>
        <v>#DIV/0!</v>
      </c>
      <c r="BK175" s="29" t="str">
        <f t="shared" si="178"/>
        <v>#DIV/0!</v>
      </c>
      <c r="BL175" s="29" t="str">
        <f t="shared" si="178"/>
        <v>#DIV/0!</v>
      </c>
      <c r="BM175" s="29" t="str">
        <f t="shared" si="3"/>
        <v>#DIV/0!</v>
      </c>
    </row>
    <row r="176" hidden="1">
      <c r="A176" s="16" t="str">
        <f>IFERROR(__xludf.DUMMYFUNCTION("IFERROR(SPARKLINE(SORT(MAP(TRANSPOSE(AQ176:BL176), LAMBDA(val, IF(ISNUMBER(val), PERCENTRANK(AQ176:BL176, val)+0.01, 0))), SEQUENCE(COLUMNS(AQ176:BL176)), FALSE), {""charttype"",""column""; ""color"",""chartreuse""; ""ymin"", 0; ""ymax"", 1.01; ""highcolo"&amp;"r"", ""darkgreen""; ""lowcolor"", ""red""}), """")"),"")</f>
        <v/>
      </c>
      <c r="B176" s="17" t="str">
        <f t="shared" si="4"/>
        <v/>
      </c>
      <c r="C176" s="1" t="s">
        <v>3187</v>
      </c>
      <c r="D176" s="30" t="str">
        <f>IFERROR(__xludf.DUMMYFUNCTION("IFERROR(GOOGLEFINANCE(C176, ""NAME""))"),"Transportadora de Gas del Sur SA ADR Class B")</f>
        <v>Transportadora de Gas del Sur SA ADR Class B</v>
      </c>
      <c r="E176" s="30" t="s">
        <v>2631</v>
      </c>
      <c r="F176" s="33" t="str">
        <f>IFERROR(__xludf.DUMMYFUNCTION("( (GOOGLEFINANCE(C176, ""price"") - Q176) / Q176 ) / (R176 / 100)"),"Loading...")</f>
        <v>Loading...</v>
      </c>
      <c r="G176" s="20" t="str">
        <f>IFERROR(__xludf.DUMMYFUNCTION("AVERAGE(ARRAYFORMULA(100 * (QUERY(GOOGLEFINANCE(C176, ""high"", TODAY()-40, TODAY()), ""SELECT Col2 WHERE Col2 IS NOT NULL ORDER BY Col1 DESC LIMIT 20"", 0) / QUERY(GOOGLEFINANCE(C176, ""low"", TODAY()-40, TODAY()), ""SELECT Col2 WHERE Col2 IS NOT NULL OR"&amp;"DER BY Col1 DESC LIMIT 20"", 0) - 1)))"),"#N/A")</f>
        <v>#N/A</v>
      </c>
      <c r="H176" s="35" t="str">
        <f t="shared" si="6"/>
        <v>Illiquid</v>
      </c>
      <c r="I176" s="35" t="str">
        <f t="shared" si="7"/>
        <v>RVol Required</v>
      </c>
      <c r="J176" s="37">
        <f>IFERROR(__xludf.DUMMYFUNCTION("IFERROR(
  IF(C176="""",, 
    IFERROR(
      GOOGLEFINANCE(C176, ""price"") * GOOGLEFINANCE(C176, ""volumeavg""), 
      GOOGLEFINANCE(C176, ""price"") * AVERAGE(QUERY(GOOGLEFINANCE(C176, ""volume"", TODAY()-40, TODAY()), ""SELECT Col2 WHERE Col2 IS NOT "&amp;"NULL ORDER BY Col1 DESC LIMIT 20"", 0))
    )
  ), 
"""")"),6131273.85)</f>
        <v>6131273.85</v>
      </c>
      <c r="K176" s="21">
        <f>IFERROR(__xludf.DUMMYFUNCTION("IFERROR(GOOGLEFINANCE(C176, ""changepct"") / 100, """")"),0.0062)</f>
        <v>0.0062</v>
      </c>
      <c r="L176" s="21" t="str">
        <f>IFERROR(__xludf.DUMMYFUNCTION("IFERROR((GOOGLEFINANCE(C176, ""price"") / INDEX(GOOGLEFINANCE(C176, ""price"", TODAY()-7, TODAY()), 2, 2)) - 1, """")"),"")</f>
        <v/>
      </c>
      <c r="M176" s="21" t="str">
        <f>IFERROR(__xludf.DUMMYFUNCTION("IFERROR((GOOGLEFINANCE(C176, ""price"") / INDEX(GOOGLEFINANCE(C176, ""price"", EDATE(TODAY(), -1), TODAY()), 2, 2)) - 1, """")"),"")</f>
        <v/>
      </c>
      <c r="N176" s="21" t="str">
        <f>IFERROR(__xludf.DUMMYFUNCTION("IFERROR((GOOGLEFINANCE(C176, ""price"") / INDEX(GOOGLEFINANCE(C176, ""price"", EDATE(TODAY(), -3), TODAY()), 2, 2)) - 1, """")"),"")</f>
        <v/>
      </c>
      <c r="O176" s="21" t="str">
        <f>IFERROR(__xludf.DUMMYFUNCTION("IFERROR((GOOGLEFINANCE(C176, ""price"") / INDEX(GOOGLEFINANCE(C176, ""price"", EDATE(TODAY(), -6), TODAY()), 2, 2)) - 1, """")"),"")</f>
        <v/>
      </c>
      <c r="P176" s="21" t="str">
        <f>IFERROR(__xludf.DUMMYFUNCTION("IFERROR((GOOGLEFINANCE(C176, ""price"") / INDEX(GOOGLEFINANCE(C176, ""price"", EDATE(TODAY(), -12), TODAY()), 2, 2)) - 1, """")"),"")</f>
        <v/>
      </c>
      <c r="Q176" s="6" t="str">
        <f>IFERROR(__xludf.DUMMYFUNCTION("AVERAGE(QUERY(GOOGLEFINANCE(C176, ""price"", TODAY()-80, TODAY()), ""SELECT Col2 WHERE Col2 IS NOT NULL ORDER BY Col1 DESC LIMIT 50"", 0))"),"#N/A")</f>
        <v>#N/A</v>
      </c>
      <c r="R176" s="24" t="str">
        <f>IFERROR(__xludf.DUMMYFUNCTION("IFERROR(
  LET(
    data, QUERY(GOOGLEFINANCE(C176,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GOOGLEFINANCE(C176, ""price"")) * 100,
    IF(calc=0, G176, calc)
  ), 
G176)"),"#N/A")</f>
        <v>#N/A</v>
      </c>
      <c r="S176" s="8" t="s">
        <v>15</v>
      </c>
      <c r="T176" s="26" t="str">
        <f>IFERROR(__xludf.DUMMYFUNCTION("IFERROR(TRANSPOSE(QUERY(IFERROR(SORT(GOOGLEFINANCE(C176, ""price"", WORKDAY(TODAY(), -40), TODAY()), 1, FALSE)), ""select Col2 where Col2 is not null limit 22 label Col2 ''"", 0)), """")"),"")</f>
        <v/>
      </c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8"/>
      <c r="AO176" s="28"/>
      <c r="AP176" s="29"/>
      <c r="AQ176" s="29" t="str">
        <f t="shared" ref="AQ176:BL176" si="179">T176/T$2</f>
        <v>#N/A</v>
      </c>
      <c r="AR176" s="29" t="str">
        <f t="shared" si="179"/>
        <v>#DIV/0!</v>
      </c>
      <c r="AS176" s="29" t="str">
        <f t="shared" si="179"/>
        <v>#DIV/0!</v>
      </c>
      <c r="AT176" s="29" t="str">
        <f t="shared" si="179"/>
        <v>#DIV/0!</v>
      </c>
      <c r="AU176" s="29" t="str">
        <f t="shared" si="179"/>
        <v>#DIV/0!</v>
      </c>
      <c r="AV176" s="29" t="str">
        <f t="shared" si="179"/>
        <v>#DIV/0!</v>
      </c>
      <c r="AW176" s="29" t="str">
        <f t="shared" si="179"/>
        <v>#DIV/0!</v>
      </c>
      <c r="AX176" s="29" t="str">
        <f t="shared" si="179"/>
        <v>#DIV/0!</v>
      </c>
      <c r="AY176" s="29" t="str">
        <f t="shared" si="179"/>
        <v>#DIV/0!</v>
      </c>
      <c r="AZ176" s="29" t="str">
        <f t="shared" si="179"/>
        <v>#DIV/0!</v>
      </c>
      <c r="BA176" s="29" t="str">
        <f t="shared" si="179"/>
        <v>#DIV/0!</v>
      </c>
      <c r="BB176" s="29" t="str">
        <f t="shared" si="179"/>
        <v>#DIV/0!</v>
      </c>
      <c r="BC176" s="29" t="str">
        <f t="shared" si="179"/>
        <v>#DIV/0!</v>
      </c>
      <c r="BD176" s="29" t="str">
        <f t="shared" si="179"/>
        <v>#DIV/0!</v>
      </c>
      <c r="BE176" s="29" t="str">
        <f t="shared" si="179"/>
        <v>#DIV/0!</v>
      </c>
      <c r="BF176" s="29" t="str">
        <f t="shared" si="179"/>
        <v>#DIV/0!</v>
      </c>
      <c r="BG176" s="29" t="str">
        <f t="shared" si="179"/>
        <v>#DIV/0!</v>
      </c>
      <c r="BH176" s="29" t="str">
        <f t="shared" si="179"/>
        <v>#DIV/0!</v>
      </c>
      <c r="BI176" s="29" t="str">
        <f t="shared" si="179"/>
        <v>#DIV/0!</v>
      </c>
      <c r="BJ176" s="29" t="str">
        <f t="shared" si="179"/>
        <v>#DIV/0!</v>
      </c>
      <c r="BK176" s="29" t="str">
        <f t="shared" si="179"/>
        <v>#DIV/0!</v>
      </c>
      <c r="BL176" s="29" t="str">
        <f t="shared" si="179"/>
        <v>#DIV/0!</v>
      </c>
      <c r="BM176" s="29" t="str">
        <f t="shared" si="3"/>
        <v>#DIV/0!</v>
      </c>
    </row>
    <row r="177">
      <c r="A177" s="16" t="str">
        <f>IFERROR(__xludf.DUMMYFUNCTION("IFERROR(SPARKLINE(SORT(MAP(TRANSPOSE(AQ177:BL177), LAMBDA(val, IF(ISNUMBER(val), PERCENTRANK(AQ177:BL177, val)+0.01, 0))), SEQUENCE(COLUMNS(AQ177:BL177)), FALSE), {""charttype"",""column""; ""color"",""chartreuse""; ""ymin"", 0; ""ymax"", 1.01; ""highcolo"&amp;"r"", ""darkgreen""; ""lowcolor"", ""red""}), """")"),"")</f>
        <v/>
      </c>
      <c r="B177" s="17" t="str">
        <f t="shared" si="4"/>
        <v/>
      </c>
      <c r="C177" s="1" t="s">
        <v>3190</v>
      </c>
      <c r="D177" s="30" t="str">
        <f>IFERROR(__xludf.DUMMYFUNCTION("IFERROR(GOOGLEFINANCE(C177, ""NAME""))"),"Range Resources Corp")</f>
        <v>Range Resources Corp</v>
      </c>
      <c r="E177" s="30" t="s">
        <v>2613</v>
      </c>
      <c r="F177" s="33" t="str">
        <f>IFERROR(__xludf.DUMMYFUNCTION("( (GOOGLEFINANCE(C177, ""price"") - Q177) / Q177 ) / (R177 / 100)"),"Loading...")</f>
        <v>Loading...</v>
      </c>
      <c r="G177" s="20" t="str">
        <f>IFERROR(__xludf.DUMMYFUNCTION("AVERAGE(ARRAYFORMULA(100 * (QUERY(GOOGLEFINANCE(C177, ""high"", TODAY()-40, TODAY()), ""SELECT Col2 WHERE Col2 IS NOT NULL ORDER BY Col1 DESC LIMIT 20"", 0) / QUERY(GOOGLEFINANCE(C177, ""low"", TODAY()-40, TODAY()), ""SELECT Col2 WHERE Col2 IS NOT NULL OR"&amp;"DER BY Col1 DESC LIMIT 20"", 0) - 1)))"),"#N/A")</f>
        <v>#N/A</v>
      </c>
      <c r="H177" s="35" t="str">
        <f t="shared" si="6"/>
        <v>Liquid</v>
      </c>
      <c r="I177" s="35" t="str">
        <f t="shared" si="7"/>
        <v>RVol Required</v>
      </c>
      <c r="J177" s="37">
        <f>IFERROR(__xludf.DUMMYFUNCTION("IFERROR(
  IF(C177="""",, 
    IFERROR(
      GOOGLEFINANCE(C177, ""price"") * GOOGLEFINANCE(C177, ""volumeavg""), 
      GOOGLEFINANCE(C177, ""price"") * AVERAGE(QUERY(GOOGLEFINANCE(C177, ""volume"", TODAY()-40, TODAY()), ""SELECT Col2 WHERE Col2 IS NOT "&amp;"NULL ORDER BY Col1 DESC LIMIT 20"", 0))
    )
  ), 
"""")"),1.1630121664E8)</f>
        <v>116301216.6</v>
      </c>
      <c r="K177" s="21">
        <f>IFERROR(__xludf.DUMMYFUNCTION("IFERROR(GOOGLEFINANCE(C177, ""changepct"") / 100, """")"),0.0435)</f>
        <v>0.0435</v>
      </c>
      <c r="L177" s="21" t="str">
        <f>IFERROR(__xludf.DUMMYFUNCTION("IFERROR((GOOGLEFINANCE(C177, ""price"") / INDEX(GOOGLEFINANCE(C177, ""price"", TODAY()-7, TODAY()), 2, 2)) - 1, """")"),"")</f>
        <v/>
      </c>
      <c r="M177" s="21" t="str">
        <f>IFERROR(__xludf.DUMMYFUNCTION("IFERROR((GOOGLEFINANCE(C177, ""price"") / INDEX(GOOGLEFINANCE(C177, ""price"", EDATE(TODAY(), -1), TODAY()), 2, 2)) - 1, """")"),"")</f>
        <v/>
      </c>
      <c r="N177" s="21" t="str">
        <f>IFERROR(__xludf.DUMMYFUNCTION("IFERROR((GOOGLEFINANCE(C177, ""price"") / INDEX(GOOGLEFINANCE(C177, ""price"", EDATE(TODAY(), -3), TODAY()), 2, 2)) - 1, """")"),"")</f>
        <v/>
      </c>
      <c r="O177" s="21" t="str">
        <f>IFERROR(__xludf.DUMMYFUNCTION("IFERROR((GOOGLEFINANCE(C177, ""price"") / INDEX(GOOGLEFINANCE(C177, ""price"", EDATE(TODAY(), -6), TODAY()), 2, 2)) - 1, """")"),"")</f>
        <v/>
      </c>
      <c r="P177" s="21" t="str">
        <f>IFERROR(__xludf.DUMMYFUNCTION("IFERROR((GOOGLEFINANCE(C177, ""price"") / INDEX(GOOGLEFINANCE(C177, ""price"", EDATE(TODAY(), -12), TODAY()), 2, 2)) - 1, """")"),"")</f>
        <v/>
      </c>
      <c r="Q177" s="6" t="str">
        <f>IFERROR(__xludf.DUMMYFUNCTION("AVERAGE(QUERY(GOOGLEFINANCE(C177, ""price"", TODAY()-80, TODAY()), ""SELECT Col2 WHERE Col2 IS NOT NULL ORDER BY Col1 DESC LIMIT 50"", 0))"),"#N/A")</f>
        <v>#N/A</v>
      </c>
      <c r="R177" s="24" t="str">
        <f>IFERROR(__xludf.DUMMYFUNCTION("IFERROR(
  LET(
    data, QUERY(GOOGLEFINANCE(C177,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GOOGLEFINANCE(C177, ""price"")) * 100,
    IF(calc=0, G177, calc)
  ), 
G177)"),"#N/A")</f>
        <v>#N/A</v>
      </c>
      <c r="S177" s="8" t="s">
        <v>15</v>
      </c>
      <c r="T177" s="26" t="str">
        <f>IFERROR(__xludf.DUMMYFUNCTION("IFERROR(TRANSPOSE(QUERY(IFERROR(SORT(GOOGLEFINANCE(C177, ""price"", WORKDAY(TODAY(), -40), TODAY()), 1, FALSE)), ""select Col2 where Col2 is not null limit 22 label Col2 ''"", 0)), """")"),"")</f>
        <v/>
      </c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8"/>
      <c r="AO177" s="28"/>
      <c r="AP177" s="29"/>
      <c r="AQ177" s="29" t="str">
        <f t="shared" ref="AQ177:BL177" si="180">T177/T$2</f>
        <v>#N/A</v>
      </c>
      <c r="AR177" s="29" t="str">
        <f t="shared" si="180"/>
        <v>#DIV/0!</v>
      </c>
      <c r="AS177" s="29" t="str">
        <f t="shared" si="180"/>
        <v>#DIV/0!</v>
      </c>
      <c r="AT177" s="29" t="str">
        <f t="shared" si="180"/>
        <v>#DIV/0!</v>
      </c>
      <c r="AU177" s="29" t="str">
        <f t="shared" si="180"/>
        <v>#DIV/0!</v>
      </c>
      <c r="AV177" s="29" t="str">
        <f t="shared" si="180"/>
        <v>#DIV/0!</v>
      </c>
      <c r="AW177" s="29" t="str">
        <f t="shared" si="180"/>
        <v>#DIV/0!</v>
      </c>
      <c r="AX177" s="29" t="str">
        <f t="shared" si="180"/>
        <v>#DIV/0!</v>
      </c>
      <c r="AY177" s="29" t="str">
        <f t="shared" si="180"/>
        <v>#DIV/0!</v>
      </c>
      <c r="AZ177" s="29" t="str">
        <f t="shared" si="180"/>
        <v>#DIV/0!</v>
      </c>
      <c r="BA177" s="29" t="str">
        <f t="shared" si="180"/>
        <v>#DIV/0!</v>
      </c>
      <c r="BB177" s="29" t="str">
        <f t="shared" si="180"/>
        <v>#DIV/0!</v>
      </c>
      <c r="BC177" s="29" t="str">
        <f t="shared" si="180"/>
        <v>#DIV/0!</v>
      </c>
      <c r="BD177" s="29" t="str">
        <f t="shared" si="180"/>
        <v>#DIV/0!</v>
      </c>
      <c r="BE177" s="29" t="str">
        <f t="shared" si="180"/>
        <v>#DIV/0!</v>
      </c>
      <c r="BF177" s="29" t="str">
        <f t="shared" si="180"/>
        <v>#DIV/0!</v>
      </c>
      <c r="BG177" s="29" t="str">
        <f t="shared" si="180"/>
        <v>#DIV/0!</v>
      </c>
      <c r="BH177" s="29" t="str">
        <f t="shared" si="180"/>
        <v>#DIV/0!</v>
      </c>
      <c r="BI177" s="29" t="str">
        <f t="shared" si="180"/>
        <v>#DIV/0!</v>
      </c>
      <c r="BJ177" s="29" t="str">
        <f t="shared" si="180"/>
        <v>#DIV/0!</v>
      </c>
      <c r="BK177" s="29" t="str">
        <f t="shared" si="180"/>
        <v>#DIV/0!</v>
      </c>
      <c r="BL177" s="29" t="str">
        <f t="shared" si="180"/>
        <v>#DIV/0!</v>
      </c>
      <c r="BM177" s="29" t="str">
        <f t="shared" si="3"/>
        <v>#DIV/0!</v>
      </c>
    </row>
    <row r="178">
      <c r="A178" s="16" t="str">
        <f>IFERROR(__xludf.DUMMYFUNCTION("IFERROR(SPARKLINE(SORT(MAP(TRANSPOSE(AQ178:BL178), LAMBDA(val, IF(ISNUMBER(val), PERCENTRANK(AQ178:BL178, val)+0.01, 0))), SEQUENCE(COLUMNS(AQ178:BL178)), FALSE), {""charttype"",""column""; ""color"",""chartreuse""; ""ymin"", 0; ""ymax"", 1.01; ""highcolo"&amp;"r"", ""darkgreen""; ""lowcolor"", ""red""}), """")"),"")</f>
        <v/>
      </c>
      <c r="B178" s="17" t="str">
        <f t="shared" si="4"/>
        <v/>
      </c>
      <c r="C178" s="1" t="s">
        <v>3192</v>
      </c>
      <c r="D178" s="30" t="str">
        <f>IFERROR(__xludf.DUMMYFUNCTION("IFERROR(GOOGLEFINANCE(C178, ""NAME""))"),"Petroleo Brasileiro ADR Reptg 2 Ord Shs")</f>
        <v>Petroleo Brasileiro ADR Reptg 2 Ord Shs</v>
      </c>
      <c r="E178" s="30" t="s">
        <v>2631</v>
      </c>
      <c r="F178" s="33" t="str">
        <f>IFERROR(__xludf.DUMMYFUNCTION("( (GOOGLEFINANCE(C178, ""price"") - Q178) / Q178 ) / (R178 / 100)"),"Loading...")</f>
        <v>Loading...</v>
      </c>
      <c r="G178" s="20" t="str">
        <f>IFERROR(__xludf.DUMMYFUNCTION("AVERAGE(ARRAYFORMULA(100 * (QUERY(GOOGLEFINANCE(C178, ""high"", TODAY()-40, TODAY()), ""SELECT Col2 WHERE Col2 IS NOT NULL ORDER BY Col1 DESC LIMIT 20"", 0) / QUERY(GOOGLEFINANCE(C178, ""low"", TODAY()-40, TODAY()), ""SELECT Col2 WHERE Col2 IS NOT NULL OR"&amp;"DER BY Col1 DESC LIMIT 20"", 0) - 1)))"),"#N/A")</f>
        <v>#N/A</v>
      </c>
      <c r="H178" s="35" t="str">
        <f t="shared" si="6"/>
        <v>Liquid</v>
      </c>
      <c r="I178" s="35" t="str">
        <f t="shared" si="7"/>
        <v>No RVol Required</v>
      </c>
      <c r="J178" s="37">
        <f>IFERROR(__xludf.DUMMYFUNCTION("IFERROR(
  IF(C178="""",, 
    IFERROR(
      GOOGLEFINANCE(C178, ""price"") * GOOGLEFINANCE(C178, ""volumeavg""), 
      GOOGLEFINANCE(C178, ""price"") * AVERAGE(QUERY(GOOGLEFINANCE(C178, ""volume"", TODAY()-40, TODAY()), ""SELECT Col2 WHERE Col2 IS NOT "&amp;"NULL ORDER BY Col1 DESC LIMIT 20"", 0))
    )
  ), 
"""")"),6.19205782E8)</f>
        <v>619205782</v>
      </c>
      <c r="K178" s="21">
        <f>IFERROR(__xludf.DUMMYFUNCTION("IFERROR(GOOGLEFINANCE(C178, ""changepct"") / 100, """")"),0.0277)</f>
        <v>0.0277</v>
      </c>
      <c r="L178" s="21" t="str">
        <f>IFERROR(__xludf.DUMMYFUNCTION("IFERROR((GOOGLEFINANCE(C178, ""price"") / INDEX(GOOGLEFINANCE(C178, ""price"", TODAY()-7, TODAY()), 2, 2)) - 1, """")"),"")</f>
        <v/>
      </c>
      <c r="M178" s="21" t="str">
        <f>IFERROR(__xludf.DUMMYFUNCTION("IFERROR((GOOGLEFINANCE(C178, ""price"") / INDEX(GOOGLEFINANCE(C178, ""price"", EDATE(TODAY(), -1), TODAY()), 2, 2)) - 1, """")"),"")</f>
        <v/>
      </c>
      <c r="N178" s="21" t="str">
        <f>IFERROR(__xludf.DUMMYFUNCTION("IFERROR((GOOGLEFINANCE(C178, ""price"") / INDEX(GOOGLEFINANCE(C178, ""price"", EDATE(TODAY(), -3), TODAY()), 2, 2)) - 1, """")"),"")</f>
        <v/>
      </c>
      <c r="O178" s="21" t="str">
        <f>IFERROR(__xludf.DUMMYFUNCTION("IFERROR((GOOGLEFINANCE(C178, ""price"") / INDEX(GOOGLEFINANCE(C178, ""price"", EDATE(TODAY(), -6), TODAY()), 2, 2)) - 1, """")"),"")</f>
        <v/>
      </c>
      <c r="P178" s="21" t="str">
        <f>IFERROR(__xludf.DUMMYFUNCTION("IFERROR((GOOGLEFINANCE(C178, ""price"") / INDEX(GOOGLEFINANCE(C178, ""price"", EDATE(TODAY(), -12), TODAY()), 2, 2)) - 1, """")"),"")</f>
        <v/>
      </c>
      <c r="Q178" s="6" t="str">
        <f>IFERROR(__xludf.DUMMYFUNCTION("AVERAGE(QUERY(GOOGLEFINANCE(C178, ""price"", TODAY()-80, TODAY()), ""SELECT Col2 WHERE Col2 IS NOT NULL ORDER BY Col1 DESC LIMIT 50"", 0))"),"#N/A")</f>
        <v>#N/A</v>
      </c>
      <c r="R178" s="24" t="str">
        <f>IFERROR(__xludf.DUMMYFUNCTION("IFERROR(
  LET(
    data, QUERY(GOOGLEFINANCE(C178,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GOOGLEFINANCE(C178, ""price"")) * 100,
    IF(calc=0, G178, calc)
  ), 
G178)"),"#N/A")</f>
        <v>#N/A</v>
      </c>
      <c r="S178" s="8" t="s">
        <v>15</v>
      </c>
      <c r="T178" s="26" t="str">
        <f>IFERROR(__xludf.DUMMYFUNCTION("IFERROR(TRANSPOSE(QUERY(IFERROR(SORT(GOOGLEFINANCE(C178, ""price"", WORKDAY(TODAY(), -40), TODAY()), 1, FALSE)), ""select Col2 where Col2 is not null limit 22 label Col2 ''"", 0)), """")"),"")</f>
        <v/>
      </c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8"/>
      <c r="AO178" s="28"/>
      <c r="AP178" s="29"/>
      <c r="AQ178" s="29" t="str">
        <f t="shared" ref="AQ178:BL178" si="181">T178/T$2</f>
        <v>#N/A</v>
      </c>
      <c r="AR178" s="29" t="str">
        <f t="shared" si="181"/>
        <v>#DIV/0!</v>
      </c>
      <c r="AS178" s="29" t="str">
        <f t="shared" si="181"/>
        <v>#DIV/0!</v>
      </c>
      <c r="AT178" s="29" t="str">
        <f t="shared" si="181"/>
        <v>#DIV/0!</v>
      </c>
      <c r="AU178" s="29" t="str">
        <f t="shared" si="181"/>
        <v>#DIV/0!</v>
      </c>
      <c r="AV178" s="29" t="str">
        <f t="shared" si="181"/>
        <v>#DIV/0!</v>
      </c>
      <c r="AW178" s="29" t="str">
        <f t="shared" si="181"/>
        <v>#DIV/0!</v>
      </c>
      <c r="AX178" s="29" t="str">
        <f t="shared" si="181"/>
        <v>#DIV/0!</v>
      </c>
      <c r="AY178" s="29" t="str">
        <f t="shared" si="181"/>
        <v>#DIV/0!</v>
      </c>
      <c r="AZ178" s="29" t="str">
        <f t="shared" si="181"/>
        <v>#DIV/0!</v>
      </c>
      <c r="BA178" s="29" t="str">
        <f t="shared" si="181"/>
        <v>#DIV/0!</v>
      </c>
      <c r="BB178" s="29" t="str">
        <f t="shared" si="181"/>
        <v>#DIV/0!</v>
      </c>
      <c r="BC178" s="29" t="str">
        <f t="shared" si="181"/>
        <v>#DIV/0!</v>
      </c>
      <c r="BD178" s="29" t="str">
        <f t="shared" si="181"/>
        <v>#DIV/0!</v>
      </c>
      <c r="BE178" s="29" t="str">
        <f t="shared" si="181"/>
        <v>#DIV/0!</v>
      </c>
      <c r="BF178" s="29" t="str">
        <f t="shared" si="181"/>
        <v>#DIV/0!</v>
      </c>
      <c r="BG178" s="29" t="str">
        <f t="shared" si="181"/>
        <v>#DIV/0!</v>
      </c>
      <c r="BH178" s="29" t="str">
        <f t="shared" si="181"/>
        <v>#DIV/0!</v>
      </c>
      <c r="BI178" s="29" t="str">
        <f t="shared" si="181"/>
        <v>#DIV/0!</v>
      </c>
      <c r="BJ178" s="29" t="str">
        <f t="shared" si="181"/>
        <v>#DIV/0!</v>
      </c>
      <c r="BK178" s="29" t="str">
        <f t="shared" si="181"/>
        <v>#DIV/0!</v>
      </c>
      <c r="BL178" s="29" t="str">
        <f t="shared" si="181"/>
        <v>#DIV/0!</v>
      </c>
      <c r="BM178" s="29" t="str">
        <f t="shared" si="3"/>
        <v>#DIV/0!</v>
      </c>
    </row>
    <row r="179" hidden="1">
      <c r="A179" s="16" t="str">
        <f>IFERROR(__xludf.DUMMYFUNCTION("IFERROR(SPARKLINE(SORT(MAP(TRANSPOSE(AQ179:BL179), LAMBDA(val, IF(ISNUMBER(val), PERCENTRANK(AQ179:BL179, val)+0.01, 0))), SEQUENCE(COLUMNS(AQ179:BL179)), FALSE), {""charttype"",""column""; ""color"",""chartreuse""; ""ymin"", 0; ""ymax"", 1.01; ""highcolo"&amp;"r"", ""darkgreen""; ""lowcolor"", ""red""}), """")"),"")</f>
        <v/>
      </c>
      <c r="B179" s="17" t="str">
        <f t="shared" si="4"/>
        <v/>
      </c>
      <c r="C179" s="1" t="s">
        <v>3195</v>
      </c>
      <c r="D179" s="30" t="str">
        <f>IFERROR(__xludf.DUMMYFUNCTION("IFERROR(GOOGLEFINANCE(C179, ""NAME""))"),"Plains GP Holdings LP")</f>
        <v>Plains GP Holdings LP</v>
      </c>
      <c r="E179" s="30" t="s">
        <v>2547</v>
      </c>
      <c r="F179" s="33" t="str">
        <f>IFERROR(__xludf.DUMMYFUNCTION("( (GOOGLEFINANCE(C179, ""price"") - Q179) / Q179 ) / (R179 / 100)"),"Loading...")</f>
        <v>Loading...</v>
      </c>
      <c r="G179" s="20" t="str">
        <f>IFERROR(__xludf.DUMMYFUNCTION("AVERAGE(ARRAYFORMULA(100 * (QUERY(GOOGLEFINANCE(C179, ""high"", TODAY()-40, TODAY()), ""SELECT Col2 WHERE Col2 IS NOT NULL ORDER BY Col1 DESC LIMIT 20"", 0) / QUERY(GOOGLEFINANCE(C179, ""low"", TODAY()-40, TODAY()), ""SELECT Col2 WHERE Col2 IS NOT NULL OR"&amp;"DER BY Col1 DESC LIMIT 20"", 0) - 1)))"),"#N/A")</f>
        <v>#N/A</v>
      </c>
      <c r="H179" s="35" t="str">
        <f t="shared" si="6"/>
        <v>Illiquid</v>
      </c>
      <c r="I179" s="35" t="str">
        <f t="shared" si="7"/>
        <v>RVol Required</v>
      </c>
      <c r="J179" s="37">
        <f>IFERROR(__xludf.DUMMYFUNCTION("IFERROR(
  IF(C179="""",, 
    IFERROR(
      GOOGLEFINANCE(C179, ""price"") * GOOGLEFINANCE(C179, ""volumeavg""), 
      GOOGLEFINANCE(C179, ""price"") * AVERAGE(QUERY(GOOGLEFINANCE(C179, ""volume"", TODAY()-40, TODAY()), ""SELECT Col2 WHERE Col2 IS NOT "&amp;"NULL ORDER BY Col1 DESC LIMIT 20"", 0))
    )
  ), 
"""")"),4.9450653449999996E7)</f>
        <v>49450653.45</v>
      </c>
      <c r="K179" s="21">
        <f>IFERROR(__xludf.DUMMYFUNCTION("IFERROR(GOOGLEFINANCE(C179, ""changepct"") / 100, """")"),0.0103)</f>
        <v>0.0103</v>
      </c>
      <c r="L179" s="21" t="str">
        <f>IFERROR(__xludf.DUMMYFUNCTION("IFERROR((GOOGLEFINANCE(C179, ""price"") / INDEX(GOOGLEFINANCE(C179, ""price"", TODAY()-7, TODAY()), 2, 2)) - 1, """")"),"")</f>
        <v/>
      </c>
      <c r="M179" s="21" t="str">
        <f>IFERROR(__xludf.DUMMYFUNCTION("IFERROR((GOOGLEFINANCE(C179, ""price"") / INDEX(GOOGLEFINANCE(C179, ""price"", EDATE(TODAY(), -1), TODAY()), 2, 2)) - 1, """")"),"")</f>
        <v/>
      </c>
      <c r="N179" s="21" t="str">
        <f>IFERROR(__xludf.DUMMYFUNCTION("IFERROR((GOOGLEFINANCE(C179, ""price"") / INDEX(GOOGLEFINANCE(C179, ""price"", EDATE(TODAY(), -3), TODAY()), 2, 2)) - 1, """")"),"")</f>
        <v/>
      </c>
      <c r="O179" s="21" t="str">
        <f>IFERROR(__xludf.DUMMYFUNCTION("IFERROR((GOOGLEFINANCE(C179, ""price"") / INDEX(GOOGLEFINANCE(C179, ""price"", EDATE(TODAY(), -6), TODAY()), 2, 2)) - 1, """")"),"")</f>
        <v/>
      </c>
      <c r="P179" s="21" t="str">
        <f>IFERROR(__xludf.DUMMYFUNCTION("IFERROR((GOOGLEFINANCE(C179, ""price"") / INDEX(GOOGLEFINANCE(C179, ""price"", EDATE(TODAY(), -12), TODAY()), 2, 2)) - 1, """")"),"")</f>
        <v/>
      </c>
      <c r="Q179" s="6" t="str">
        <f>IFERROR(__xludf.DUMMYFUNCTION("AVERAGE(QUERY(GOOGLEFINANCE(C179, ""price"", TODAY()-80, TODAY()), ""SELECT Col2 WHERE Col2 IS NOT NULL ORDER BY Col1 DESC LIMIT 50"", 0))"),"#N/A")</f>
        <v>#N/A</v>
      </c>
      <c r="R179" s="24" t="str">
        <f>IFERROR(__xludf.DUMMYFUNCTION("IFERROR(
  LET(
    data, QUERY(GOOGLEFINANCE(C179,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GOOGLEFINANCE(C179, ""price"")) * 100,
    IF(calc=0, G179, calc)
  ), 
G179)"),"#N/A")</f>
        <v>#N/A</v>
      </c>
      <c r="S179" s="8" t="s">
        <v>15</v>
      </c>
      <c r="T179" s="26" t="str">
        <f>IFERROR(__xludf.DUMMYFUNCTION("IFERROR(TRANSPOSE(QUERY(IFERROR(SORT(GOOGLEFINANCE(C179, ""price"", WORKDAY(TODAY(), -40), TODAY()), 1, FALSE)), ""select Col2 where Col2 is not null limit 22 label Col2 ''"", 0)), """")"),"")</f>
        <v/>
      </c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8"/>
      <c r="AO179" s="28"/>
      <c r="AP179" s="29"/>
      <c r="AQ179" s="29" t="str">
        <f t="shared" ref="AQ179:BL179" si="182">T179/T$2</f>
        <v>#N/A</v>
      </c>
      <c r="AR179" s="29" t="str">
        <f t="shared" si="182"/>
        <v>#DIV/0!</v>
      </c>
      <c r="AS179" s="29" t="str">
        <f t="shared" si="182"/>
        <v>#DIV/0!</v>
      </c>
      <c r="AT179" s="29" t="str">
        <f t="shared" si="182"/>
        <v>#DIV/0!</v>
      </c>
      <c r="AU179" s="29" t="str">
        <f t="shared" si="182"/>
        <v>#DIV/0!</v>
      </c>
      <c r="AV179" s="29" t="str">
        <f t="shared" si="182"/>
        <v>#DIV/0!</v>
      </c>
      <c r="AW179" s="29" t="str">
        <f t="shared" si="182"/>
        <v>#DIV/0!</v>
      </c>
      <c r="AX179" s="29" t="str">
        <f t="shared" si="182"/>
        <v>#DIV/0!</v>
      </c>
      <c r="AY179" s="29" t="str">
        <f t="shared" si="182"/>
        <v>#DIV/0!</v>
      </c>
      <c r="AZ179" s="29" t="str">
        <f t="shared" si="182"/>
        <v>#DIV/0!</v>
      </c>
      <c r="BA179" s="29" t="str">
        <f t="shared" si="182"/>
        <v>#DIV/0!</v>
      </c>
      <c r="BB179" s="29" t="str">
        <f t="shared" si="182"/>
        <v>#DIV/0!</v>
      </c>
      <c r="BC179" s="29" t="str">
        <f t="shared" si="182"/>
        <v>#DIV/0!</v>
      </c>
      <c r="BD179" s="29" t="str">
        <f t="shared" si="182"/>
        <v>#DIV/0!</v>
      </c>
      <c r="BE179" s="29" t="str">
        <f t="shared" si="182"/>
        <v>#DIV/0!</v>
      </c>
      <c r="BF179" s="29" t="str">
        <f t="shared" si="182"/>
        <v>#DIV/0!</v>
      </c>
      <c r="BG179" s="29" t="str">
        <f t="shared" si="182"/>
        <v>#DIV/0!</v>
      </c>
      <c r="BH179" s="29" t="str">
        <f t="shared" si="182"/>
        <v>#DIV/0!</v>
      </c>
      <c r="BI179" s="29" t="str">
        <f t="shared" si="182"/>
        <v>#DIV/0!</v>
      </c>
      <c r="BJ179" s="29" t="str">
        <f t="shared" si="182"/>
        <v>#DIV/0!</v>
      </c>
      <c r="BK179" s="29" t="str">
        <f t="shared" si="182"/>
        <v>#DIV/0!</v>
      </c>
      <c r="BL179" s="29" t="str">
        <f t="shared" si="182"/>
        <v>#DIV/0!</v>
      </c>
      <c r="BM179" s="29" t="str">
        <f t="shared" si="3"/>
        <v>#DIV/0!</v>
      </c>
    </row>
    <row r="180" hidden="1">
      <c r="A180" s="16" t="str">
        <f>IFERROR(__xludf.DUMMYFUNCTION("IFERROR(SPARKLINE(SORT(MAP(TRANSPOSE(AQ180:BL180), LAMBDA(val, IF(ISNUMBER(val), PERCENTRANK(AQ180:BL180, val)+0.01, 0))), SEQUENCE(COLUMNS(AQ180:BL180)), FALSE), {""charttype"",""column""; ""color"",""chartreuse""; ""ymin"", 0; ""ymax"", 1.01; ""highcolo"&amp;"r"", ""darkgreen""; ""lowcolor"", ""red""}), """")"),"")</f>
        <v/>
      </c>
      <c r="B180" s="17" t="str">
        <f t="shared" si="4"/>
        <v/>
      </c>
      <c r="C180" s="1" t="s">
        <v>3198</v>
      </c>
      <c r="D180" s="30" t="str">
        <f>IFERROR(__xludf.DUMMYFUNCTION("IFERROR(GOOGLEFINANCE(C180, ""NAME""))"),"NACCO Industries Inc")</f>
        <v>NACCO Industries Inc</v>
      </c>
      <c r="E180" s="30" t="s">
        <v>2573</v>
      </c>
      <c r="F180" s="33" t="str">
        <f>IFERROR(__xludf.DUMMYFUNCTION("( (GOOGLEFINANCE(C180, ""price"") - Q180) / Q180 ) / (R180 / 100)"),"Loading...")</f>
        <v>Loading...</v>
      </c>
      <c r="G180" s="20" t="str">
        <f>IFERROR(__xludf.DUMMYFUNCTION("AVERAGE(ARRAYFORMULA(100 * (QUERY(GOOGLEFINANCE(C180, ""high"", TODAY()-40, TODAY()), ""SELECT Col2 WHERE Col2 IS NOT NULL ORDER BY Col1 DESC LIMIT 20"", 0) / QUERY(GOOGLEFINANCE(C180, ""low"", TODAY()-40, TODAY()), ""SELECT Col2 WHERE Col2 IS NOT NULL OR"&amp;"DER BY Col1 DESC LIMIT 20"", 0) - 1)))"),"#N/A")</f>
        <v>#N/A</v>
      </c>
      <c r="H180" s="35" t="str">
        <f t="shared" si="6"/>
        <v>Illiquid</v>
      </c>
      <c r="I180" s="35" t="str">
        <f t="shared" si="7"/>
        <v>RVol Required</v>
      </c>
      <c r="J180" s="37">
        <f>IFERROR(__xludf.DUMMYFUNCTION("IFERROR(
  IF(C180="""",, 
    IFERROR(
      GOOGLEFINANCE(C180, ""price"") * GOOGLEFINANCE(C180, ""volumeavg""), 
      GOOGLEFINANCE(C180, ""price"") * AVERAGE(QUERY(GOOGLEFINANCE(C180, ""volume"", TODAY()-40, TODAY()), ""SELECT Col2 WHERE Col2 IS NOT "&amp;"NULL ORDER BY Col1 DESC LIMIT 20"", 0))
    )
  ), 
"""")"),798689.72)</f>
        <v>798689.72</v>
      </c>
      <c r="K180" s="21">
        <f>IFERROR(__xludf.DUMMYFUNCTION("IFERROR(GOOGLEFINANCE(C180, ""changepct"") / 100, """")"),0.0196)</f>
        <v>0.0196</v>
      </c>
      <c r="L180" s="21" t="str">
        <f>IFERROR(__xludf.DUMMYFUNCTION("IFERROR((GOOGLEFINANCE(C180, ""price"") / INDEX(GOOGLEFINANCE(C180, ""price"", TODAY()-7, TODAY()), 2, 2)) - 1, """")"),"")</f>
        <v/>
      </c>
      <c r="M180" s="21" t="str">
        <f>IFERROR(__xludf.DUMMYFUNCTION("IFERROR((GOOGLEFINANCE(C180, ""price"") / INDEX(GOOGLEFINANCE(C180, ""price"", EDATE(TODAY(), -1), TODAY()), 2, 2)) - 1, """")"),"")</f>
        <v/>
      </c>
      <c r="N180" s="21" t="str">
        <f>IFERROR(__xludf.DUMMYFUNCTION("IFERROR((GOOGLEFINANCE(C180, ""price"") / INDEX(GOOGLEFINANCE(C180, ""price"", EDATE(TODAY(), -3), TODAY()), 2, 2)) - 1, """")"),"")</f>
        <v/>
      </c>
      <c r="O180" s="21" t="str">
        <f>IFERROR(__xludf.DUMMYFUNCTION("IFERROR((GOOGLEFINANCE(C180, ""price"") / INDEX(GOOGLEFINANCE(C180, ""price"", EDATE(TODAY(), -6), TODAY()), 2, 2)) - 1, """")"),"")</f>
        <v/>
      </c>
      <c r="P180" s="21" t="str">
        <f>IFERROR(__xludf.DUMMYFUNCTION("IFERROR((GOOGLEFINANCE(C180, ""price"") / INDEX(GOOGLEFINANCE(C180, ""price"", EDATE(TODAY(), -12), TODAY()), 2, 2)) - 1, """")"),"")</f>
        <v/>
      </c>
      <c r="Q180" s="6" t="str">
        <f>IFERROR(__xludf.DUMMYFUNCTION("AVERAGE(QUERY(GOOGLEFINANCE(C180, ""price"", TODAY()-80, TODAY()), ""SELECT Col2 WHERE Col2 IS NOT NULL ORDER BY Col1 DESC LIMIT 50"", 0))"),"#N/A")</f>
        <v>#N/A</v>
      </c>
      <c r="R180" s="24" t="str">
        <f>IFERROR(__xludf.DUMMYFUNCTION("IFERROR(
  LET(
    data, QUERY(GOOGLEFINANCE(C180,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GOOGLEFINANCE(C180, ""price"")) * 100,
    IF(calc=0, G180, calc)
  ), 
G180)"),"#N/A")</f>
        <v>#N/A</v>
      </c>
      <c r="S180" s="8" t="s">
        <v>15</v>
      </c>
      <c r="T180" s="26" t="str">
        <f>IFERROR(__xludf.DUMMYFUNCTION("IFERROR(TRANSPOSE(QUERY(IFERROR(SORT(GOOGLEFINANCE(C180, ""price"", WORKDAY(TODAY(), -40), TODAY()), 1, FALSE)), ""select Col2 where Col2 is not null limit 22 label Col2 ''"", 0)), """")"),"")</f>
        <v/>
      </c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8"/>
      <c r="AO180" s="28"/>
      <c r="AP180" s="29"/>
      <c r="AQ180" s="29" t="str">
        <f t="shared" ref="AQ180:BL180" si="183">T180/T$2</f>
        <v>#N/A</v>
      </c>
      <c r="AR180" s="29" t="str">
        <f t="shared" si="183"/>
        <v>#DIV/0!</v>
      </c>
      <c r="AS180" s="29" t="str">
        <f t="shared" si="183"/>
        <v>#DIV/0!</v>
      </c>
      <c r="AT180" s="29" t="str">
        <f t="shared" si="183"/>
        <v>#DIV/0!</v>
      </c>
      <c r="AU180" s="29" t="str">
        <f t="shared" si="183"/>
        <v>#DIV/0!</v>
      </c>
      <c r="AV180" s="29" t="str">
        <f t="shared" si="183"/>
        <v>#DIV/0!</v>
      </c>
      <c r="AW180" s="29" t="str">
        <f t="shared" si="183"/>
        <v>#DIV/0!</v>
      </c>
      <c r="AX180" s="29" t="str">
        <f t="shared" si="183"/>
        <v>#DIV/0!</v>
      </c>
      <c r="AY180" s="29" t="str">
        <f t="shared" si="183"/>
        <v>#DIV/0!</v>
      </c>
      <c r="AZ180" s="29" t="str">
        <f t="shared" si="183"/>
        <v>#DIV/0!</v>
      </c>
      <c r="BA180" s="29" t="str">
        <f t="shared" si="183"/>
        <v>#DIV/0!</v>
      </c>
      <c r="BB180" s="29" t="str">
        <f t="shared" si="183"/>
        <v>#DIV/0!</v>
      </c>
      <c r="BC180" s="29" t="str">
        <f t="shared" si="183"/>
        <v>#DIV/0!</v>
      </c>
      <c r="BD180" s="29" t="str">
        <f t="shared" si="183"/>
        <v>#DIV/0!</v>
      </c>
      <c r="BE180" s="29" t="str">
        <f t="shared" si="183"/>
        <v>#DIV/0!</v>
      </c>
      <c r="BF180" s="29" t="str">
        <f t="shared" si="183"/>
        <v>#DIV/0!</v>
      </c>
      <c r="BG180" s="29" t="str">
        <f t="shared" si="183"/>
        <v>#DIV/0!</v>
      </c>
      <c r="BH180" s="29" t="str">
        <f t="shared" si="183"/>
        <v>#DIV/0!</v>
      </c>
      <c r="BI180" s="29" t="str">
        <f t="shared" si="183"/>
        <v>#DIV/0!</v>
      </c>
      <c r="BJ180" s="29" t="str">
        <f t="shared" si="183"/>
        <v>#DIV/0!</v>
      </c>
      <c r="BK180" s="29" t="str">
        <f t="shared" si="183"/>
        <v>#DIV/0!</v>
      </c>
      <c r="BL180" s="29" t="str">
        <f t="shared" si="183"/>
        <v>#DIV/0!</v>
      </c>
      <c r="BM180" s="29" t="str">
        <f t="shared" si="3"/>
        <v>#DIV/0!</v>
      </c>
    </row>
    <row r="181" hidden="1">
      <c r="A181" s="16" t="str">
        <f>IFERROR(__xludf.DUMMYFUNCTION("IFERROR(SPARKLINE(SORT(MAP(TRANSPOSE(AQ181:BL181), LAMBDA(val, IF(ISNUMBER(val), PERCENTRANK(AQ181:BL181, val)+0.01, 0))), SEQUENCE(COLUMNS(AQ181:BL181)), FALSE), {""charttype"",""column""; ""color"",""chartreuse""; ""ymin"", 0; ""ymax"", 1.01; ""highcolo"&amp;"r"", ""darkgreen""; ""lowcolor"", ""red""}), """")"),"")</f>
        <v/>
      </c>
      <c r="B181" s="17" t="str">
        <f t="shared" si="4"/>
        <v/>
      </c>
      <c r="C181" s="1" t="s">
        <v>3201</v>
      </c>
      <c r="D181" s="30" t="str">
        <f>IFERROR(__xludf.DUMMYFUNCTION("IFERROR(GOOGLEFINANCE(C181, ""NAME""))"),"Genesis Energy, L.P.  common stock")</f>
        <v>Genesis Energy, L.P.  common stock</v>
      </c>
      <c r="E181" s="30" t="s">
        <v>2547</v>
      </c>
      <c r="F181" s="33" t="str">
        <f>IFERROR(__xludf.DUMMYFUNCTION("( (GOOGLEFINANCE(C181, ""price"") - Q181) / Q181 ) / (R181 / 100)"),"Loading...")</f>
        <v>Loading...</v>
      </c>
      <c r="G181" s="20" t="str">
        <f>IFERROR(__xludf.DUMMYFUNCTION("AVERAGE(ARRAYFORMULA(100 * (QUERY(GOOGLEFINANCE(C181, ""high"", TODAY()-40, TODAY()), ""SELECT Col2 WHERE Col2 IS NOT NULL ORDER BY Col1 DESC LIMIT 20"", 0) / QUERY(GOOGLEFINANCE(C181, ""low"", TODAY()-40, TODAY()), ""SELECT Col2 WHERE Col2 IS NOT NULL OR"&amp;"DER BY Col1 DESC LIMIT 20"", 0) - 1)))"),"#N/A")</f>
        <v>#N/A</v>
      </c>
      <c r="H181" s="35" t="str">
        <f t="shared" si="6"/>
        <v>Illiquid</v>
      </c>
      <c r="I181" s="35" t="str">
        <f t="shared" si="7"/>
        <v>RVol Required</v>
      </c>
      <c r="J181" s="37">
        <f>IFERROR(__xludf.DUMMYFUNCTION("IFERROR(
  IF(C181="""",, 
    IFERROR(
      GOOGLEFINANCE(C181, ""price"") * GOOGLEFINANCE(C181, ""volumeavg""), 
      GOOGLEFINANCE(C181, ""price"") * AVERAGE(QUERY(GOOGLEFINANCE(C181, ""volume"", TODAY()-40, TODAY()), ""SELECT Col2 WHERE Col2 IS NOT "&amp;"NULL ORDER BY Col1 DESC LIMIT 20"", 0))
    )
  ), 
"""")"),4433894.5600000005)</f>
        <v>4433894.56</v>
      </c>
      <c r="K181" s="21">
        <f>IFERROR(__xludf.DUMMYFUNCTION("IFERROR(GOOGLEFINANCE(C181, ""changepct"") / 100, """")"),0.0215)</f>
        <v>0.0215</v>
      </c>
      <c r="L181" s="21" t="str">
        <f>IFERROR(__xludf.DUMMYFUNCTION("IFERROR((GOOGLEFINANCE(C181, ""price"") / INDEX(GOOGLEFINANCE(C181, ""price"", TODAY()-7, TODAY()), 2, 2)) - 1, """")"),"")</f>
        <v/>
      </c>
      <c r="M181" s="21" t="str">
        <f>IFERROR(__xludf.DUMMYFUNCTION("IFERROR((GOOGLEFINANCE(C181, ""price"") / INDEX(GOOGLEFINANCE(C181, ""price"", EDATE(TODAY(), -1), TODAY()), 2, 2)) - 1, """")"),"")</f>
        <v/>
      </c>
      <c r="N181" s="21" t="str">
        <f>IFERROR(__xludf.DUMMYFUNCTION("IFERROR((GOOGLEFINANCE(C181, ""price"") / INDEX(GOOGLEFINANCE(C181, ""price"", EDATE(TODAY(), -3), TODAY()), 2, 2)) - 1, """")"),"")</f>
        <v/>
      </c>
      <c r="O181" s="21" t="str">
        <f>IFERROR(__xludf.DUMMYFUNCTION("IFERROR((GOOGLEFINANCE(C181, ""price"") / INDEX(GOOGLEFINANCE(C181, ""price"", EDATE(TODAY(), -6), TODAY()), 2, 2)) - 1, """")"),"")</f>
        <v/>
      </c>
      <c r="P181" s="21" t="str">
        <f>IFERROR(__xludf.DUMMYFUNCTION("IFERROR((GOOGLEFINANCE(C181, ""price"") / INDEX(GOOGLEFINANCE(C181, ""price"", EDATE(TODAY(), -12), TODAY()), 2, 2)) - 1, """")"),"")</f>
        <v/>
      </c>
      <c r="Q181" s="6" t="str">
        <f>IFERROR(__xludf.DUMMYFUNCTION("AVERAGE(QUERY(GOOGLEFINANCE(C181, ""price"", TODAY()-80, TODAY()), ""SELECT Col2 WHERE Col2 IS NOT NULL ORDER BY Col1 DESC LIMIT 50"", 0))"),"#N/A")</f>
        <v>#N/A</v>
      </c>
      <c r="R181" s="24" t="str">
        <f>IFERROR(__xludf.DUMMYFUNCTION("IFERROR(
  LET(
    data, QUERY(GOOGLEFINANCE(C181,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GOOGLEFINANCE(C181, ""price"")) * 100,
    IF(calc=0, G181, calc)
  ), 
G181)"),"#N/A")</f>
        <v>#N/A</v>
      </c>
      <c r="S181" s="8" t="s">
        <v>15</v>
      </c>
      <c r="T181" s="26" t="str">
        <f>IFERROR(__xludf.DUMMYFUNCTION("IFERROR(TRANSPOSE(QUERY(IFERROR(SORT(GOOGLEFINANCE(C181, ""price"", WORKDAY(TODAY(), -40), TODAY()), 1, FALSE)), ""select Col2 where Col2 is not null limit 22 label Col2 ''"", 0)), """")"),"")</f>
        <v/>
      </c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8"/>
      <c r="AO181" s="28"/>
      <c r="AP181" s="29"/>
      <c r="AQ181" s="29" t="str">
        <f t="shared" ref="AQ181:BL181" si="184">T181/T$2</f>
        <v>#N/A</v>
      </c>
      <c r="AR181" s="29" t="str">
        <f t="shared" si="184"/>
        <v>#DIV/0!</v>
      </c>
      <c r="AS181" s="29" t="str">
        <f t="shared" si="184"/>
        <v>#DIV/0!</v>
      </c>
      <c r="AT181" s="29" t="str">
        <f t="shared" si="184"/>
        <v>#DIV/0!</v>
      </c>
      <c r="AU181" s="29" t="str">
        <f t="shared" si="184"/>
        <v>#DIV/0!</v>
      </c>
      <c r="AV181" s="29" t="str">
        <f t="shared" si="184"/>
        <v>#DIV/0!</v>
      </c>
      <c r="AW181" s="29" t="str">
        <f t="shared" si="184"/>
        <v>#DIV/0!</v>
      </c>
      <c r="AX181" s="29" t="str">
        <f t="shared" si="184"/>
        <v>#DIV/0!</v>
      </c>
      <c r="AY181" s="29" t="str">
        <f t="shared" si="184"/>
        <v>#DIV/0!</v>
      </c>
      <c r="AZ181" s="29" t="str">
        <f t="shared" si="184"/>
        <v>#DIV/0!</v>
      </c>
      <c r="BA181" s="29" t="str">
        <f t="shared" si="184"/>
        <v>#DIV/0!</v>
      </c>
      <c r="BB181" s="29" t="str">
        <f t="shared" si="184"/>
        <v>#DIV/0!</v>
      </c>
      <c r="BC181" s="29" t="str">
        <f t="shared" si="184"/>
        <v>#DIV/0!</v>
      </c>
      <c r="BD181" s="29" t="str">
        <f t="shared" si="184"/>
        <v>#DIV/0!</v>
      </c>
      <c r="BE181" s="29" t="str">
        <f t="shared" si="184"/>
        <v>#DIV/0!</v>
      </c>
      <c r="BF181" s="29" t="str">
        <f t="shared" si="184"/>
        <v>#DIV/0!</v>
      </c>
      <c r="BG181" s="29" t="str">
        <f t="shared" si="184"/>
        <v>#DIV/0!</v>
      </c>
      <c r="BH181" s="29" t="str">
        <f t="shared" si="184"/>
        <v>#DIV/0!</v>
      </c>
      <c r="BI181" s="29" t="str">
        <f t="shared" si="184"/>
        <v>#DIV/0!</v>
      </c>
      <c r="BJ181" s="29" t="str">
        <f t="shared" si="184"/>
        <v>#DIV/0!</v>
      </c>
      <c r="BK181" s="29" t="str">
        <f t="shared" si="184"/>
        <v>#DIV/0!</v>
      </c>
      <c r="BL181" s="29" t="str">
        <f t="shared" si="184"/>
        <v>#DIV/0!</v>
      </c>
      <c r="BM181" s="29" t="str">
        <f t="shared" si="3"/>
        <v>#DIV/0!</v>
      </c>
    </row>
    <row r="182">
      <c r="A182" s="16" t="str">
        <f>IFERROR(__xludf.DUMMYFUNCTION("IFERROR(SPARKLINE(SORT(MAP(TRANSPOSE(AQ182:BL182), LAMBDA(val, IF(ISNUMBER(val), PERCENTRANK(AQ182:BL182, val)+0.01, 0))), SEQUENCE(COLUMNS(AQ182:BL182)), FALSE), {""charttype"",""column""; ""color"",""chartreuse""; ""ymin"", 0; ""ymax"", 1.01; ""highcolo"&amp;"r"", ""darkgreen""; ""lowcolor"", ""red""}), """")"),"")</f>
        <v/>
      </c>
      <c r="B182" s="17" t="str">
        <f t="shared" si="4"/>
        <v/>
      </c>
      <c r="C182" s="1" t="s">
        <v>3203</v>
      </c>
      <c r="D182" s="30" t="str">
        <f>IFERROR(__xludf.DUMMYFUNCTION("IFERROR(GOOGLEFINANCE(C182, ""NAME""))"),"Expand Energy Corp")</f>
        <v>Expand Energy Corp</v>
      </c>
      <c r="E182" s="30" t="s">
        <v>2613</v>
      </c>
      <c r="F182" s="33" t="str">
        <f>IFERROR(__xludf.DUMMYFUNCTION("( (GOOGLEFINANCE(C182, ""price"") - Q182) / Q182 ) / (R182 / 100)"),"Loading...")</f>
        <v>Loading...</v>
      </c>
      <c r="G182" s="20" t="str">
        <f>IFERROR(__xludf.DUMMYFUNCTION("AVERAGE(ARRAYFORMULA(100 * (QUERY(GOOGLEFINANCE(C182, ""high"", TODAY()-40, TODAY()), ""SELECT Col2 WHERE Col2 IS NOT NULL ORDER BY Col1 DESC LIMIT 20"", 0) / QUERY(GOOGLEFINANCE(C182, ""low"", TODAY()-40, TODAY()), ""SELECT Col2 WHERE Col2 IS NOT NULL OR"&amp;"DER BY Col1 DESC LIMIT 20"", 0) - 1)))"),"#N/A")</f>
        <v>#N/A</v>
      </c>
      <c r="H182" s="35" t="str">
        <f t="shared" si="6"/>
        <v>Liquid</v>
      </c>
      <c r="I182" s="35" t="str">
        <f t="shared" si="7"/>
        <v>RVol Required</v>
      </c>
      <c r="J182" s="37">
        <f>IFERROR(__xludf.DUMMYFUNCTION("IFERROR(
  IF(C182="""",, 
    IFERROR(
      GOOGLEFINANCE(C182, ""price"") * GOOGLEFINANCE(C182, ""volumeavg""), 
      GOOGLEFINANCE(C182, ""price"") * AVERAGE(QUERY(GOOGLEFINANCE(C182, ""volume"", TODAY()-40, TODAY()), ""SELECT Col2 WHERE Col2 IS NOT "&amp;"NULL ORDER BY Col1 DESC LIMIT 20"", 0))
    )
  ), 
"""")"),3.0519970733E8)</f>
        <v>305199707.3</v>
      </c>
      <c r="K182" s="21">
        <f>IFERROR(__xludf.DUMMYFUNCTION("IFERROR(GOOGLEFINANCE(C182, ""changepct"") / 100, """")"),0.0287)</f>
        <v>0.0287</v>
      </c>
      <c r="L182" s="21" t="str">
        <f>IFERROR(__xludf.DUMMYFUNCTION("IFERROR((GOOGLEFINANCE(C182, ""price"") / INDEX(GOOGLEFINANCE(C182, ""price"", TODAY()-7, TODAY()), 2, 2)) - 1, """")"),"")</f>
        <v/>
      </c>
      <c r="M182" s="21" t="str">
        <f>IFERROR(__xludf.DUMMYFUNCTION("IFERROR((GOOGLEFINANCE(C182, ""price"") / INDEX(GOOGLEFINANCE(C182, ""price"", EDATE(TODAY(), -1), TODAY()), 2, 2)) - 1, """")"),"")</f>
        <v/>
      </c>
      <c r="N182" s="21" t="str">
        <f>IFERROR(__xludf.DUMMYFUNCTION("IFERROR((GOOGLEFINANCE(C182, ""price"") / INDEX(GOOGLEFINANCE(C182, ""price"", EDATE(TODAY(), -3), TODAY()), 2, 2)) - 1, """")"),"")</f>
        <v/>
      </c>
      <c r="O182" s="21" t="str">
        <f>IFERROR(__xludf.DUMMYFUNCTION("IFERROR((GOOGLEFINANCE(C182, ""price"") / INDEX(GOOGLEFINANCE(C182, ""price"", EDATE(TODAY(), -6), TODAY()), 2, 2)) - 1, """")"),"")</f>
        <v/>
      </c>
      <c r="P182" s="21" t="str">
        <f>IFERROR(__xludf.DUMMYFUNCTION("IFERROR((GOOGLEFINANCE(C182, ""price"") / INDEX(GOOGLEFINANCE(C182, ""price"", EDATE(TODAY(), -12), TODAY()), 2, 2)) - 1, """")"),"")</f>
        <v/>
      </c>
      <c r="Q182" s="6" t="str">
        <f>IFERROR(__xludf.DUMMYFUNCTION("AVERAGE(QUERY(GOOGLEFINANCE(C182, ""price"", TODAY()-80, TODAY()), ""SELECT Col2 WHERE Col2 IS NOT NULL ORDER BY Col1 DESC LIMIT 50"", 0))"),"#N/A")</f>
        <v>#N/A</v>
      </c>
      <c r="R182" s="24" t="str">
        <f>IFERROR(__xludf.DUMMYFUNCTION("IFERROR(
  LET(
    data, QUERY(GOOGLEFINANCE(C182,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GOOGLEFINANCE(C182, ""price"")) * 100,
    IF(calc=0, G182, calc)
  ), 
G182)"),"#N/A")</f>
        <v>#N/A</v>
      </c>
      <c r="S182" s="8" t="s">
        <v>15</v>
      </c>
      <c r="T182" s="26" t="str">
        <f>IFERROR(__xludf.DUMMYFUNCTION("IFERROR(TRANSPOSE(QUERY(IFERROR(SORT(GOOGLEFINANCE(C182, ""price"", WORKDAY(TODAY(), -40), TODAY()), 1, FALSE)), ""select Col2 where Col2 is not null limit 22 label Col2 ''"", 0)), """")"),"")</f>
        <v/>
      </c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8"/>
      <c r="AO182" s="28"/>
      <c r="AP182" s="29"/>
      <c r="AQ182" s="29" t="str">
        <f t="shared" ref="AQ182:BL182" si="185">T182/T$2</f>
        <v>#N/A</v>
      </c>
      <c r="AR182" s="29" t="str">
        <f t="shared" si="185"/>
        <v>#DIV/0!</v>
      </c>
      <c r="AS182" s="29" t="str">
        <f t="shared" si="185"/>
        <v>#DIV/0!</v>
      </c>
      <c r="AT182" s="29" t="str">
        <f t="shared" si="185"/>
        <v>#DIV/0!</v>
      </c>
      <c r="AU182" s="29" t="str">
        <f t="shared" si="185"/>
        <v>#DIV/0!</v>
      </c>
      <c r="AV182" s="29" t="str">
        <f t="shared" si="185"/>
        <v>#DIV/0!</v>
      </c>
      <c r="AW182" s="29" t="str">
        <f t="shared" si="185"/>
        <v>#DIV/0!</v>
      </c>
      <c r="AX182" s="29" t="str">
        <f t="shared" si="185"/>
        <v>#DIV/0!</v>
      </c>
      <c r="AY182" s="29" t="str">
        <f t="shared" si="185"/>
        <v>#DIV/0!</v>
      </c>
      <c r="AZ182" s="29" t="str">
        <f t="shared" si="185"/>
        <v>#DIV/0!</v>
      </c>
      <c r="BA182" s="29" t="str">
        <f t="shared" si="185"/>
        <v>#DIV/0!</v>
      </c>
      <c r="BB182" s="29" t="str">
        <f t="shared" si="185"/>
        <v>#DIV/0!</v>
      </c>
      <c r="BC182" s="29" t="str">
        <f t="shared" si="185"/>
        <v>#DIV/0!</v>
      </c>
      <c r="BD182" s="29" t="str">
        <f t="shared" si="185"/>
        <v>#DIV/0!</v>
      </c>
      <c r="BE182" s="29" t="str">
        <f t="shared" si="185"/>
        <v>#DIV/0!</v>
      </c>
      <c r="BF182" s="29" t="str">
        <f t="shared" si="185"/>
        <v>#DIV/0!</v>
      </c>
      <c r="BG182" s="29" t="str">
        <f t="shared" si="185"/>
        <v>#DIV/0!</v>
      </c>
      <c r="BH182" s="29" t="str">
        <f t="shared" si="185"/>
        <v>#DIV/0!</v>
      </c>
      <c r="BI182" s="29" t="str">
        <f t="shared" si="185"/>
        <v>#DIV/0!</v>
      </c>
      <c r="BJ182" s="29" t="str">
        <f t="shared" si="185"/>
        <v>#DIV/0!</v>
      </c>
      <c r="BK182" s="29" t="str">
        <f t="shared" si="185"/>
        <v>#DIV/0!</v>
      </c>
      <c r="BL182" s="29" t="str">
        <f t="shared" si="185"/>
        <v>#DIV/0!</v>
      </c>
      <c r="BM182" s="29" t="str">
        <f t="shared" si="3"/>
        <v>#DIV/0!</v>
      </c>
    </row>
    <row r="183">
      <c r="A183" s="16" t="str">
        <f>IFERROR(__xludf.DUMMYFUNCTION("IFERROR(SPARKLINE(SORT(MAP(TRANSPOSE(AQ183:BL183), LAMBDA(val, IF(ISNUMBER(val), PERCENTRANK(AQ183:BL183, val)+0.01, 0))), SEQUENCE(COLUMNS(AQ183:BL183)), FALSE), {""charttype"",""column""; ""color"",""chartreuse""; ""ymin"", 0; ""ymax"", 1.01; ""highcolo"&amp;"r"", ""darkgreen""; ""lowcolor"", ""red""}), """")"),"")</f>
        <v/>
      </c>
      <c r="B183" s="17" t="str">
        <f t="shared" si="4"/>
        <v/>
      </c>
      <c r="C183" s="1" t="s">
        <v>3205</v>
      </c>
      <c r="D183" s="30" t="str">
        <f>IFERROR(__xludf.DUMMYFUNCTION("IFERROR(GOOGLEFINANCE(C183, ""NAME""))"),"Denison Mines Corp")</f>
        <v>Denison Mines Corp</v>
      </c>
      <c r="E183" s="30" t="s">
        <v>2542</v>
      </c>
      <c r="F183" s="33" t="str">
        <f>IFERROR(__xludf.DUMMYFUNCTION("( (GOOGLEFINANCE(C183, ""price"") - Q183) / Q183 ) / (R183 / 100)"),"Loading...")</f>
        <v>Loading...</v>
      </c>
      <c r="G183" s="20" t="str">
        <f>IFERROR(__xludf.DUMMYFUNCTION("AVERAGE(ARRAYFORMULA(100 * (QUERY(GOOGLEFINANCE(C183, ""high"", TODAY()-40, TODAY()), ""SELECT Col2 WHERE Col2 IS NOT NULL ORDER BY Col1 DESC LIMIT 20"", 0) / QUERY(GOOGLEFINANCE(C183, ""low"", TODAY()-40, TODAY()), ""SELECT Col2 WHERE Col2 IS NOT NULL OR"&amp;"DER BY Col1 DESC LIMIT 20"", 0) - 1)))"),"#N/A")</f>
        <v>#N/A</v>
      </c>
      <c r="H183" s="35" t="str">
        <f t="shared" si="6"/>
        <v>Liquid</v>
      </c>
      <c r="I183" s="35" t="str">
        <f t="shared" si="7"/>
        <v>RVol Required</v>
      </c>
      <c r="J183" s="37">
        <f>IFERROR(__xludf.DUMMYFUNCTION("IFERROR(
  IF(C183="""",, 
    IFERROR(
      GOOGLEFINANCE(C183, ""price"") * GOOGLEFINANCE(C183, ""volumeavg""), 
      GOOGLEFINANCE(C183, ""price"") * AVERAGE(QUERY(GOOGLEFINANCE(C183, ""volume"", TODAY()-40, TODAY()), ""SELECT Col2 WHERE Col2 IS NOT "&amp;"NULL ORDER BY Col1 DESC LIMIT 20"", 0))
    )
  ), 
"""")"),6.169655603999999E7)</f>
        <v>61696556.04</v>
      </c>
      <c r="K183" s="21">
        <f>IFERROR(__xludf.DUMMYFUNCTION("IFERROR(GOOGLEFINANCE(C183, ""changepct"") / 100, """")"),-0.0339)</f>
        <v>-0.0339</v>
      </c>
      <c r="L183" s="21" t="str">
        <f>IFERROR(__xludf.DUMMYFUNCTION("IFERROR((GOOGLEFINANCE(C183, ""price"") / INDEX(GOOGLEFINANCE(C183, ""price"", TODAY()-7, TODAY()), 2, 2)) - 1, """")"),"")</f>
        <v/>
      </c>
      <c r="M183" s="21" t="str">
        <f>IFERROR(__xludf.DUMMYFUNCTION("IFERROR((GOOGLEFINANCE(C183, ""price"") / INDEX(GOOGLEFINANCE(C183, ""price"", EDATE(TODAY(), -1), TODAY()), 2, 2)) - 1, """")"),"")</f>
        <v/>
      </c>
      <c r="N183" s="21" t="str">
        <f>IFERROR(__xludf.DUMMYFUNCTION("IFERROR((GOOGLEFINANCE(C183, ""price"") / INDEX(GOOGLEFINANCE(C183, ""price"", EDATE(TODAY(), -3), TODAY()), 2, 2)) - 1, """")"),"")</f>
        <v/>
      </c>
      <c r="O183" s="21" t="str">
        <f>IFERROR(__xludf.DUMMYFUNCTION("IFERROR((GOOGLEFINANCE(C183, ""price"") / INDEX(GOOGLEFINANCE(C183, ""price"", EDATE(TODAY(), -6), TODAY()), 2, 2)) - 1, """")"),"")</f>
        <v/>
      </c>
      <c r="P183" s="21" t="str">
        <f>IFERROR(__xludf.DUMMYFUNCTION("IFERROR((GOOGLEFINANCE(C183, ""price"") / INDEX(GOOGLEFINANCE(C183, ""price"", EDATE(TODAY(), -12), TODAY()), 2, 2)) - 1, """")"),"")</f>
        <v/>
      </c>
      <c r="Q183" s="6" t="str">
        <f>IFERROR(__xludf.DUMMYFUNCTION("AVERAGE(QUERY(GOOGLEFINANCE(C183, ""price"", TODAY()-80, TODAY()), ""SELECT Col2 WHERE Col2 IS NOT NULL ORDER BY Col1 DESC LIMIT 50"", 0))"),"#N/A")</f>
        <v>#N/A</v>
      </c>
      <c r="R183" s="24" t="str">
        <f>IFERROR(__xludf.DUMMYFUNCTION("IFERROR(
  LET(
    data, QUERY(GOOGLEFINANCE(C183,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GOOGLEFINANCE(C183, ""price"")) * 100,
    IF(calc=0, G183, calc)
  ), 
G183)"),"#N/A")</f>
        <v>#N/A</v>
      </c>
      <c r="S183" s="8" t="s">
        <v>15</v>
      </c>
      <c r="T183" s="26" t="str">
        <f>IFERROR(__xludf.DUMMYFUNCTION("IFERROR(TRANSPOSE(QUERY(IFERROR(SORT(GOOGLEFINANCE(C183, ""price"", WORKDAY(TODAY(), -40), TODAY()), 1, FALSE)), ""select Col2 where Col2 is not null limit 22 label Col2 ''"", 0)), """")"),"")</f>
        <v/>
      </c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8"/>
      <c r="AO183" s="28"/>
      <c r="AP183" s="29"/>
      <c r="AQ183" s="29" t="str">
        <f t="shared" ref="AQ183:BL183" si="186">T183/T$2</f>
        <v>#N/A</v>
      </c>
      <c r="AR183" s="29" t="str">
        <f t="shared" si="186"/>
        <v>#DIV/0!</v>
      </c>
      <c r="AS183" s="29" t="str">
        <f t="shared" si="186"/>
        <v>#DIV/0!</v>
      </c>
      <c r="AT183" s="29" t="str">
        <f t="shared" si="186"/>
        <v>#DIV/0!</v>
      </c>
      <c r="AU183" s="29" t="str">
        <f t="shared" si="186"/>
        <v>#DIV/0!</v>
      </c>
      <c r="AV183" s="29" t="str">
        <f t="shared" si="186"/>
        <v>#DIV/0!</v>
      </c>
      <c r="AW183" s="29" t="str">
        <f t="shared" si="186"/>
        <v>#DIV/0!</v>
      </c>
      <c r="AX183" s="29" t="str">
        <f t="shared" si="186"/>
        <v>#DIV/0!</v>
      </c>
      <c r="AY183" s="29" t="str">
        <f t="shared" si="186"/>
        <v>#DIV/0!</v>
      </c>
      <c r="AZ183" s="29" t="str">
        <f t="shared" si="186"/>
        <v>#DIV/0!</v>
      </c>
      <c r="BA183" s="29" t="str">
        <f t="shared" si="186"/>
        <v>#DIV/0!</v>
      </c>
      <c r="BB183" s="29" t="str">
        <f t="shared" si="186"/>
        <v>#DIV/0!</v>
      </c>
      <c r="BC183" s="29" t="str">
        <f t="shared" si="186"/>
        <v>#DIV/0!</v>
      </c>
      <c r="BD183" s="29" t="str">
        <f t="shared" si="186"/>
        <v>#DIV/0!</v>
      </c>
      <c r="BE183" s="29" t="str">
        <f t="shared" si="186"/>
        <v>#DIV/0!</v>
      </c>
      <c r="BF183" s="29" t="str">
        <f t="shared" si="186"/>
        <v>#DIV/0!</v>
      </c>
      <c r="BG183" s="29" t="str">
        <f t="shared" si="186"/>
        <v>#DIV/0!</v>
      </c>
      <c r="BH183" s="29" t="str">
        <f t="shared" si="186"/>
        <v>#DIV/0!</v>
      </c>
      <c r="BI183" s="29" t="str">
        <f t="shared" si="186"/>
        <v>#DIV/0!</v>
      </c>
      <c r="BJ183" s="29" t="str">
        <f t="shared" si="186"/>
        <v>#DIV/0!</v>
      </c>
      <c r="BK183" s="29" t="str">
        <f t="shared" si="186"/>
        <v>#DIV/0!</v>
      </c>
      <c r="BL183" s="29" t="str">
        <f t="shared" si="186"/>
        <v>#DIV/0!</v>
      </c>
      <c r="BM183" s="29" t="str">
        <f t="shared" si="3"/>
        <v>#DIV/0!</v>
      </c>
    </row>
    <row r="184" hidden="1">
      <c r="A184" s="16" t="str">
        <f>IFERROR(__xludf.DUMMYFUNCTION("IFERROR(SPARKLINE(SORT(MAP(TRANSPOSE(AQ184:BL184), LAMBDA(val, IF(ISNUMBER(val), PERCENTRANK(AQ184:BL184, val)+0.01, 0))), SEQUENCE(COLUMNS(AQ184:BL184)), FALSE), {""charttype"",""column""; ""color"",""chartreuse""; ""ymin"", 0; ""ymax"", 1.01; ""highcolo"&amp;"r"", ""darkgreen""; ""lowcolor"", ""red""}), """")"),"")</f>
        <v/>
      </c>
      <c r="B184" s="17" t="str">
        <f t="shared" si="4"/>
        <v/>
      </c>
      <c r="C184" s="1" t="s">
        <v>3208</v>
      </c>
      <c r="D184" s="30" t="str">
        <f>IFERROR(__xludf.DUMMYFUNCTION("IFERROR(GOOGLEFINANCE(C184, ""NAME""))"),"Comstock Resources Inc")</f>
        <v>Comstock Resources Inc</v>
      </c>
      <c r="E184" s="30" t="s">
        <v>2613</v>
      </c>
      <c r="F184" s="33" t="str">
        <f>IFERROR(__xludf.DUMMYFUNCTION("( (GOOGLEFINANCE(C184, ""price"") - Q184) / Q184 ) / (R184 / 100)"),"Loading...")</f>
        <v>Loading...</v>
      </c>
      <c r="G184" s="20" t="str">
        <f>IFERROR(__xludf.DUMMYFUNCTION("AVERAGE(ARRAYFORMULA(100 * (QUERY(GOOGLEFINANCE(C184, ""high"", TODAY()-40, TODAY()), ""SELECT Col2 WHERE Col2 IS NOT NULL ORDER BY Col1 DESC LIMIT 20"", 0) / QUERY(GOOGLEFINANCE(C184, ""low"", TODAY()-40, TODAY()), ""SELECT Col2 WHERE Col2 IS NOT NULL OR"&amp;"DER BY Col1 DESC LIMIT 20"", 0) - 1)))"),"#N/A")</f>
        <v>#N/A</v>
      </c>
      <c r="H184" s="35" t="str">
        <f t="shared" si="6"/>
        <v>Illiquid</v>
      </c>
      <c r="I184" s="35" t="str">
        <f t="shared" si="7"/>
        <v>RVol Required</v>
      </c>
      <c r="J184" s="37">
        <f>IFERROR(__xludf.DUMMYFUNCTION("IFERROR(
  IF(C184="""",, 
    IFERROR(
      GOOGLEFINANCE(C184, ""price"") * GOOGLEFINANCE(C184, ""volumeavg""), 
      GOOGLEFINANCE(C184, ""price"") * AVERAGE(QUERY(GOOGLEFINANCE(C184, ""volume"", TODAY()-40, TODAY()), ""SELECT Col2 WHERE Col2 IS NOT "&amp;"NULL ORDER BY Col1 DESC LIMIT 20"", 0))
    )
  ), 
"""")"),3.498572E7)</f>
        <v>34985720</v>
      </c>
      <c r="K184" s="21">
        <f>IFERROR(__xludf.DUMMYFUNCTION("IFERROR(GOOGLEFINANCE(C184, ""changepct"") / 100, """")"),0.037000000000000005)</f>
        <v>0.037</v>
      </c>
      <c r="L184" s="21" t="str">
        <f>IFERROR(__xludf.DUMMYFUNCTION("IFERROR((GOOGLEFINANCE(C184, ""price"") / INDEX(GOOGLEFINANCE(C184, ""price"", TODAY()-7, TODAY()), 2, 2)) - 1, """")"),"")</f>
        <v/>
      </c>
      <c r="M184" s="21" t="str">
        <f>IFERROR(__xludf.DUMMYFUNCTION("IFERROR((GOOGLEFINANCE(C184, ""price"") / INDEX(GOOGLEFINANCE(C184, ""price"", EDATE(TODAY(), -1), TODAY()), 2, 2)) - 1, """")"),"")</f>
        <v/>
      </c>
      <c r="N184" s="21" t="str">
        <f>IFERROR(__xludf.DUMMYFUNCTION("IFERROR((GOOGLEFINANCE(C184, ""price"") / INDEX(GOOGLEFINANCE(C184, ""price"", EDATE(TODAY(), -3), TODAY()), 2, 2)) - 1, """")"),"")</f>
        <v/>
      </c>
      <c r="O184" s="21" t="str">
        <f>IFERROR(__xludf.DUMMYFUNCTION("IFERROR((GOOGLEFINANCE(C184, ""price"") / INDEX(GOOGLEFINANCE(C184, ""price"", EDATE(TODAY(), -6), TODAY()), 2, 2)) - 1, """")"),"")</f>
        <v/>
      </c>
      <c r="P184" s="21" t="str">
        <f>IFERROR(__xludf.DUMMYFUNCTION("IFERROR((GOOGLEFINANCE(C184, ""price"") / INDEX(GOOGLEFINANCE(C184, ""price"", EDATE(TODAY(), -12), TODAY()), 2, 2)) - 1, """")"),"")</f>
        <v/>
      </c>
      <c r="Q184" s="6" t="str">
        <f>IFERROR(__xludf.DUMMYFUNCTION("AVERAGE(QUERY(GOOGLEFINANCE(C184, ""price"", TODAY()-80, TODAY()), ""SELECT Col2 WHERE Col2 IS NOT NULL ORDER BY Col1 DESC LIMIT 50"", 0))"),"#N/A")</f>
        <v>#N/A</v>
      </c>
      <c r="R184" s="24" t="str">
        <f>IFERROR(__xludf.DUMMYFUNCTION("IFERROR(
  LET(
    data, QUERY(GOOGLEFINANCE(C184,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GOOGLEFINANCE(C184, ""price"")) * 100,
    IF(calc=0, G184, calc)
  ), 
G184)"),"#N/A")</f>
        <v>#N/A</v>
      </c>
      <c r="S184" s="8" t="s">
        <v>15</v>
      </c>
      <c r="T184" s="26" t="str">
        <f>IFERROR(__xludf.DUMMYFUNCTION("IFERROR(TRANSPOSE(QUERY(IFERROR(SORT(GOOGLEFINANCE(C184, ""price"", WORKDAY(TODAY(), -40), TODAY()), 1, FALSE)), ""select Col2 where Col2 is not null limit 22 label Col2 ''"", 0)), """")"),"")</f>
        <v/>
      </c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8"/>
      <c r="AO184" s="28"/>
      <c r="AP184" s="29"/>
      <c r="AQ184" s="29" t="str">
        <f t="shared" ref="AQ184:BL184" si="187">T184/T$2</f>
        <v>#N/A</v>
      </c>
      <c r="AR184" s="29" t="str">
        <f t="shared" si="187"/>
        <v>#DIV/0!</v>
      </c>
      <c r="AS184" s="29" t="str">
        <f t="shared" si="187"/>
        <v>#DIV/0!</v>
      </c>
      <c r="AT184" s="29" t="str">
        <f t="shared" si="187"/>
        <v>#DIV/0!</v>
      </c>
      <c r="AU184" s="29" t="str">
        <f t="shared" si="187"/>
        <v>#DIV/0!</v>
      </c>
      <c r="AV184" s="29" t="str">
        <f t="shared" si="187"/>
        <v>#DIV/0!</v>
      </c>
      <c r="AW184" s="29" t="str">
        <f t="shared" si="187"/>
        <v>#DIV/0!</v>
      </c>
      <c r="AX184" s="29" t="str">
        <f t="shared" si="187"/>
        <v>#DIV/0!</v>
      </c>
      <c r="AY184" s="29" t="str">
        <f t="shared" si="187"/>
        <v>#DIV/0!</v>
      </c>
      <c r="AZ184" s="29" t="str">
        <f t="shared" si="187"/>
        <v>#DIV/0!</v>
      </c>
      <c r="BA184" s="29" t="str">
        <f t="shared" si="187"/>
        <v>#DIV/0!</v>
      </c>
      <c r="BB184" s="29" t="str">
        <f t="shared" si="187"/>
        <v>#DIV/0!</v>
      </c>
      <c r="BC184" s="29" t="str">
        <f t="shared" si="187"/>
        <v>#DIV/0!</v>
      </c>
      <c r="BD184" s="29" t="str">
        <f t="shared" si="187"/>
        <v>#DIV/0!</v>
      </c>
      <c r="BE184" s="29" t="str">
        <f t="shared" si="187"/>
        <v>#DIV/0!</v>
      </c>
      <c r="BF184" s="29" t="str">
        <f t="shared" si="187"/>
        <v>#DIV/0!</v>
      </c>
      <c r="BG184" s="29" t="str">
        <f t="shared" si="187"/>
        <v>#DIV/0!</v>
      </c>
      <c r="BH184" s="29" t="str">
        <f t="shared" si="187"/>
        <v>#DIV/0!</v>
      </c>
      <c r="BI184" s="29" t="str">
        <f t="shared" si="187"/>
        <v>#DIV/0!</v>
      </c>
      <c r="BJ184" s="29" t="str">
        <f t="shared" si="187"/>
        <v>#DIV/0!</v>
      </c>
      <c r="BK184" s="29" t="str">
        <f t="shared" si="187"/>
        <v>#DIV/0!</v>
      </c>
      <c r="BL184" s="29" t="str">
        <f t="shared" si="187"/>
        <v>#DIV/0!</v>
      </c>
      <c r="BM184" s="29" t="str">
        <f t="shared" si="3"/>
        <v>#DIV/0!</v>
      </c>
    </row>
    <row r="185">
      <c r="A185" s="16" t="str">
        <f>IFERROR(__xludf.DUMMYFUNCTION("IFERROR(SPARKLINE(SORT(MAP(TRANSPOSE(AQ185:BL185), LAMBDA(val, IF(ISNUMBER(val), PERCENTRANK(AQ185:BL185, val)+0.01, 0))), SEQUENCE(COLUMNS(AQ185:BL185)), FALSE), {""charttype"",""column""; ""color"",""chartreuse""; ""ymin"", 0; ""ymax"", 1.01; ""highcolo"&amp;"r"", ""darkgreen""; ""lowcolor"", ""red""}), """")"),"")</f>
        <v/>
      </c>
      <c r="B185" s="17" t="str">
        <f t="shared" si="4"/>
        <v/>
      </c>
      <c r="C185" s="1" t="s">
        <v>3210</v>
      </c>
      <c r="D185" s="30" t="str">
        <f>IFERROR(__xludf.DUMMYFUNCTION("IFERROR(GOOGLEFINANCE(C185, ""NAME""))"),"CNX Resources Corp")</f>
        <v>CNX Resources Corp</v>
      </c>
      <c r="E185" s="30" t="s">
        <v>2613</v>
      </c>
      <c r="F185" s="33" t="str">
        <f>IFERROR(__xludf.DUMMYFUNCTION("( (GOOGLEFINANCE(C185, ""price"") - Q185) / Q185 ) / (R185 / 100)"),"Loading...")</f>
        <v>Loading...</v>
      </c>
      <c r="G185" s="20" t="str">
        <f>IFERROR(__xludf.DUMMYFUNCTION("AVERAGE(ARRAYFORMULA(100 * (QUERY(GOOGLEFINANCE(C185, ""high"", TODAY()-40, TODAY()), ""SELECT Col2 WHERE Col2 IS NOT NULL ORDER BY Col1 DESC LIMIT 20"", 0) / QUERY(GOOGLEFINANCE(C185, ""low"", TODAY()-40, TODAY()), ""SELECT Col2 WHERE Col2 IS NOT NULL OR"&amp;"DER BY Col1 DESC LIMIT 20"", 0) - 1)))"),"#N/A")</f>
        <v>#N/A</v>
      </c>
      <c r="H185" s="35" t="str">
        <f t="shared" si="6"/>
        <v>Liquid</v>
      </c>
      <c r="I185" s="35" t="str">
        <f t="shared" si="7"/>
        <v>RVol Required</v>
      </c>
      <c r="J185" s="37">
        <f>IFERROR(__xludf.DUMMYFUNCTION("IFERROR(
  IF(C185="""",, 
    IFERROR(
      GOOGLEFINANCE(C185, ""price"") * GOOGLEFINANCE(C185, ""volumeavg""), 
      GOOGLEFINANCE(C185, ""price"") * AVERAGE(QUERY(GOOGLEFINANCE(C185, ""volume"", TODAY()-40, TODAY()), ""SELECT Col2 WHERE Col2 IS NOT "&amp;"NULL ORDER BY Col1 DESC LIMIT 20"", 0))
    )
  ), 
"""")"),7.165937457E7)</f>
        <v>71659374.57</v>
      </c>
      <c r="K185" s="21">
        <f>IFERROR(__xludf.DUMMYFUNCTION("IFERROR(GOOGLEFINANCE(C185, ""changepct"") / 100, """")"),0.0373)</f>
        <v>0.0373</v>
      </c>
      <c r="L185" s="21" t="str">
        <f>IFERROR(__xludf.DUMMYFUNCTION("IFERROR((GOOGLEFINANCE(C185, ""price"") / INDEX(GOOGLEFINANCE(C185, ""price"", TODAY()-7, TODAY()), 2, 2)) - 1, """")"),"")</f>
        <v/>
      </c>
      <c r="M185" s="21" t="str">
        <f>IFERROR(__xludf.DUMMYFUNCTION("IFERROR((GOOGLEFINANCE(C185, ""price"") / INDEX(GOOGLEFINANCE(C185, ""price"", EDATE(TODAY(), -1), TODAY()), 2, 2)) - 1, """")"),"")</f>
        <v/>
      </c>
      <c r="N185" s="21" t="str">
        <f>IFERROR(__xludf.DUMMYFUNCTION("IFERROR((GOOGLEFINANCE(C185, ""price"") / INDEX(GOOGLEFINANCE(C185, ""price"", EDATE(TODAY(), -3), TODAY()), 2, 2)) - 1, """")"),"")</f>
        <v/>
      </c>
      <c r="O185" s="21" t="str">
        <f>IFERROR(__xludf.DUMMYFUNCTION("IFERROR((GOOGLEFINANCE(C185, ""price"") / INDEX(GOOGLEFINANCE(C185, ""price"", EDATE(TODAY(), -6), TODAY()), 2, 2)) - 1, """")"),"")</f>
        <v/>
      </c>
      <c r="P185" s="21" t="str">
        <f>IFERROR(__xludf.DUMMYFUNCTION("IFERROR((GOOGLEFINANCE(C185, ""price"") / INDEX(GOOGLEFINANCE(C185, ""price"", EDATE(TODAY(), -12), TODAY()), 2, 2)) - 1, """")"),"")</f>
        <v/>
      </c>
      <c r="Q185" s="6" t="str">
        <f>IFERROR(__xludf.DUMMYFUNCTION("AVERAGE(QUERY(GOOGLEFINANCE(C185, ""price"", TODAY()-80, TODAY()), ""SELECT Col2 WHERE Col2 IS NOT NULL ORDER BY Col1 DESC LIMIT 50"", 0))"),"#N/A")</f>
        <v>#N/A</v>
      </c>
      <c r="R185" s="24" t="str">
        <f>IFERROR(__xludf.DUMMYFUNCTION("IFERROR(
  LET(
    data, QUERY(GOOGLEFINANCE(C185,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GOOGLEFINANCE(C185, ""price"")) * 100,
    IF(calc=0, G185, calc)
  ), 
G185)"),"#N/A")</f>
        <v>#N/A</v>
      </c>
      <c r="S185" s="8" t="s">
        <v>15</v>
      </c>
      <c r="T185" s="26" t="str">
        <f>IFERROR(__xludf.DUMMYFUNCTION("IFERROR(TRANSPOSE(QUERY(IFERROR(SORT(GOOGLEFINANCE(C185, ""price"", WORKDAY(TODAY(), -40), TODAY()), 1, FALSE)), ""select Col2 where Col2 is not null limit 22 label Col2 ''"", 0)), """")"),"")</f>
        <v/>
      </c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8"/>
      <c r="AO185" s="28"/>
      <c r="AP185" s="29"/>
      <c r="AQ185" s="29" t="str">
        <f t="shared" ref="AQ185:BL185" si="188">T185/T$2</f>
        <v>#N/A</v>
      </c>
      <c r="AR185" s="29" t="str">
        <f t="shared" si="188"/>
        <v>#DIV/0!</v>
      </c>
      <c r="AS185" s="29" t="str">
        <f t="shared" si="188"/>
        <v>#DIV/0!</v>
      </c>
      <c r="AT185" s="29" t="str">
        <f t="shared" si="188"/>
        <v>#DIV/0!</v>
      </c>
      <c r="AU185" s="29" t="str">
        <f t="shared" si="188"/>
        <v>#DIV/0!</v>
      </c>
      <c r="AV185" s="29" t="str">
        <f t="shared" si="188"/>
        <v>#DIV/0!</v>
      </c>
      <c r="AW185" s="29" t="str">
        <f t="shared" si="188"/>
        <v>#DIV/0!</v>
      </c>
      <c r="AX185" s="29" t="str">
        <f t="shared" si="188"/>
        <v>#DIV/0!</v>
      </c>
      <c r="AY185" s="29" t="str">
        <f t="shared" si="188"/>
        <v>#DIV/0!</v>
      </c>
      <c r="AZ185" s="29" t="str">
        <f t="shared" si="188"/>
        <v>#DIV/0!</v>
      </c>
      <c r="BA185" s="29" t="str">
        <f t="shared" si="188"/>
        <v>#DIV/0!</v>
      </c>
      <c r="BB185" s="29" t="str">
        <f t="shared" si="188"/>
        <v>#DIV/0!</v>
      </c>
      <c r="BC185" s="29" t="str">
        <f t="shared" si="188"/>
        <v>#DIV/0!</v>
      </c>
      <c r="BD185" s="29" t="str">
        <f t="shared" si="188"/>
        <v>#DIV/0!</v>
      </c>
      <c r="BE185" s="29" t="str">
        <f t="shared" si="188"/>
        <v>#DIV/0!</v>
      </c>
      <c r="BF185" s="29" t="str">
        <f t="shared" si="188"/>
        <v>#DIV/0!</v>
      </c>
      <c r="BG185" s="29" t="str">
        <f t="shared" si="188"/>
        <v>#DIV/0!</v>
      </c>
      <c r="BH185" s="29" t="str">
        <f t="shared" si="188"/>
        <v>#DIV/0!</v>
      </c>
      <c r="BI185" s="29" t="str">
        <f t="shared" si="188"/>
        <v>#DIV/0!</v>
      </c>
      <c r="BJ185" s="29" t="str">
        <f t="shared" si="188"/>
        <v>#DIV/0!</v>
      </c>
      <c r="BK185" s="29" t="str">
        <f t="shared" si="188"/>
        <v>#DIV/0!</v>
      </c>
      <c r="BL185" s="29" t="str">
        <f t="shared" si="188"/>
        <v>#DIV/0!</v>
      </c>
      <c r="BM185" s="29" t="str">
        <f t="shared" si="3"/>
        <v>#DIV/0!</v>
      </c>
    </row>
    <row r="186">
      <c r="A186" s="16" t="str">
        <f>IFERROR(__xludf.DUMMYFUNCTION("IFERROR(SPARKLINE(SORT(MAP(TRANSPOSE(AQ186:BL186), LAMBDA(val, IF(ISNUMBER(val), PERCENTRANK(AQ186:BL186, val)+0.01, 0))), SEQUENCE(COLUMNS(AQ186:BL186)), FALSE), {""charttype"",""column""; ""color"",""chartreuse""; ""ymin"", 0; ""ymax"", 1.01; ""highcolo"&amp;"r"", ""darkgreen""; ""lowcolor"", ""red""}), """")"),"")</f>
        <v/>
      </c>
      <c r="B186" s="17" t="str">
        <f t="shared" si="4"/>
        <v/>
      </c>
      <c r="C186" s="1" t="s">
        <v>3213</v>
      </c>
      <c r="D186" s="30" t="str">
        <f>IFERROR(__xludf.DUMMYFUNCTION("IFERROR(GOOGLEFINANCE(C186, ""NAME""))"),"Core Natural Resources Inc")</f>
        <v>Core Natural Resources Inc</v>
      </c>
      <c r="E186" s="30" t="s">
        <v>2573</v>
      </c>
      <c r="F186" s="33" t="str">
        <f>IFERROR(__xludf.DUMMYFUNCTION("( (GOOGLEFINANCE(C186, ""price"") - Q186) / Q186 ) / (R186 / 100)"),"Loading...")</f>
        <v>Loading...</v>
      </c>
      <c r="G186" s="20" t="str">
        <f>IFERROR(__xludf.DUMMYFUNCTION("AVERAGE(ARRAYFORMULA(100 * (QUERY(GOOGLEFINANCE(C186, ""high"", TODAY()-40, TODAY()), ""SELECT Col2 WHERE Col2 IS NOT NULL ORDER BY Col1 DESC LIMIT 20"", 0) / QUERY(GOOGLEFINANCE(C186, ""low"", TODAY()-40, TODAY()), ""SELECT Col2 WHERE Col2 IS NOT NULL OR"&amp;"DER BY Col1 DESC LIMIT 20"", 0) - 1)))"),"#N/A")</f>
        <v>#N/A</v>
      </c>
      <c r="H186" s="35" t="str">
        <f t="shared" si="6"/>
        <v>Illiquid</v>
      </c>
      <c r="I186" s="35" t="str">
        <f t="shared" si="7"/>
        <v>RVol Required</v>
      </c>
      <c r="J186" s="37">
        <f>IFERROR(__xludf.DUMMYFUNCTION("IFERROR(
  IF(C186="""",, 
    IFERROR(
      GOOGLEFINANCE(C186, ""price"") * GOOGLEFINANCE(C186, ""volumeavg""), 
      GOOGLEFINANCE(C186, ""price"") * AVERAGE(QUERY(GOOGLEFINANCE(C186, ""volume"", TODAY()-40, TODAY()), ""SELECT Col2 WHERE Col2 IS NOT "&amp;"NULL ORDER BY Col1 DESC LIMIT 20"", 0))
    )
  ), 
"""")"),4.4234095099999994E7)</f>
        <v>44234095.1</v>
      </c>
      <c r="K186" s="21">
        <f>IFERROR(__xludf.DUMMYFUNCTION("IFERROR(GOOGLEFINANCE(C186, ""changepct"") / 100, """")"),0.0152)</f>
        <v>0.0152</v>
      </c>
      <c r="L186" s="21" t="str">
        <f>IFERROR(__xludf.DUMMYFUNCTION("IFERROR((GOOGLEFINANCE(C186, ""price"") / INDEX(GOOGLEFINANCE(C186, ""price"", TODAY()-7, TODAY()), 2, 2)) - 1, """")"),"")</f>
        <v/>
      </c>
      <c r="M186" s="21" t="str">
        <f>IFERROR(__xludf.DUMMYFUNCTION("IFERROR((GOOGLEFINANCE(C186, ""price"") / INDEX(GOOGLEFINANCE(C186, ""price"", EDATE(TODAY(), -1), TODAY()), 2, 2)) - 1, """")"),"")</f>
        <v/>
      </c>
      <c r="N186" s="21" t="str">
        <f>IFERROR(__xludf.DUMMYFUNCTION("IFERROR((GOOGLEFINANCE(C186, ""price"") / INDEX(GOOGLEFINANCE(C186, ""price"", EDATE(TODAY(), -3), TODAY()), 2, 2)) - 1, """")"),"")</f>
        <v/>
      </c>
      <c r="O186" s="21" t="str">
        <f>IFERROR(__xludf.DUMMYFUNCTION("IFERROR((GOOGLEFINANCE(C186, ""price"") / INDEX(GOOGLEFINANCE(C186, ""price"", EDATE(TODAY(), -6), TODAY()), 2, 2)) - 1, """")"),"")</f>
        <v/>
      </c>
      <c r="P186" s="21" t="str">
        <f>IFERROR(__xludf.DUMMYFUNCTION("IFERROR((GOOGLEFINANCE(C186, ""price"") / INDEX(GOOGLEFINANCE(C186, ""price"", EDATE(TODAY(), -12), TODAY()), 2, 2)) - 1, """")"),"")</f>
        <v/>
      </c>
      <c r="Q186" s="6" t="str">
        <f>IFERROR(__xludf.DUMMYFUNCTION("AVERAGE(QUERY(GOOGLEFINANCE(C186, ""price"", TODAY()-80, TODAY()), ""SELECT Col2 WHERE Col2 IS NOT NULL ORDER BY Col1 DESC LIMIT 50"", 0))"),"#N/A")</f>
        <v>#N/A</v>
      </c>
      <c r="R186" s="24" t="str">
        <f>IFERROR(__xludf.DUMMYFUNCTION("IFERROR(
  LET(
    data, QUERY(GOOGLEFINANCE(C186,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GOOGLEFINANCE(C186, ""price"")) * 100,
    IF(calc=0, G186, calc)
  ), 
G186)"),"#N/A")</f>
        <v>#N/A</v>
      </c>
      <c r="S186" s="8" t="s">
        <v>15</v>
      </c>
      <c r="T186" s="26" t="str">
        <f>IFERROR(__xludf.DUMMYFUNCTION("IFERROR(TRANSPOSE(QUERY(IFERROR(SORT(GOOGLEFINANCE(C186, ""price"", WORKDAY(TODAY(), -40), TODAY()), 1, FALSE)), ""select Col2 where Col2 is not null limit 22 label Col2 ''"", 0)), """")"),"")</f>
        <v/>
      </c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8"/>
      <c r="AO186" s="28"/>
      <c r="AP186" s="29"/>
      <c r="AQ186" s="29" t="str">
        <f t="shared" ref="AQ186:BL186" si="189">T186/T$2</f>
        <v>#N/A</v>
      </c>
      <c r="AR186" s="29" t="str">
        <f t="shared" si="189"/>
        <v>#DIV/0!</v>
      </c>
      <c r="AS186" s="29" t="str">
        <f t="shared" si="189"/>
        <v>#DIV/0!</v>
      </c>
      <c r="AT186" s="29" t="str">
        <f t="shared" si="189"/>
        <v>#DIV/0!</v>
      </c>
      <c r="AU186" s="29" t="str">
        <f t="shared" si="189"/>
        <v>#DIV/0!</v>
      </c>
      <c r="AV186" s="29" t="str">
        <f t="shared" si="189"/>
        <v>#DIV/0!</v>
      </c>
      <c r="AW186" s="29" t="str">
        <f t="shared" si="189"/>
        <v>#DIV/0!</v>
      </c>
      <c r="AX186" s="29" t="str">
        <f t="shared" si="189"/>
        <v>#DIV/0!</v>
      </c>
      <c r="AY186" s="29" t="str">
        <f t="shared" si="189"/>
        <v>#DIV/0!</v>
      </c>
      <c r="AZ186" s="29" t="str">
        <f t="shared" si="189"/>
        <v>#DIV/0!</v>
      </c>
      <c r="BA186" s="29" t="str">
        <f t="shared" si="189"/>
        <v>#DIV/0!</v>
      </c>
      <c r="BB186" s="29" t="str">
        <f t="shared" si="189"/>
        <v>#DIV/0!</v>
      </c>
      <c r="BC186" s="29" t="str">
        <f t="shared" si="189"/>
        <v>#DIV/0!</v>
      </c>
      <c r="BD186" s="29" t="str">
        <f t="shared" si="189"/>
        <v>#DIV/0!</v>
      </c>
      <c r="BE186" s="29" t="str">
        <f t="shared" si="189"/>
        <v>#DIV/0!</v>
      </c>
      <c r="BF186" s="29" t="str">
        <f t="shared" si="189"/>
        <v>#DIV/0!</v>
      </c>
      <c r="BG186" s="29" t="str">
        <f t="shared" si="189"/>
        <v>#DIV/0!</v>
      </c>
      <c r="BH186" s="29" t="str">
        <f t="shared" si="189"/>
        <v>#DIV/0!</v>
      </c>
      <c r="BI186" s="29" t="str">
        <f t="shared" si="189"/>
        <v>#DIV/0!</v>
      </c>
      <c r="BJ186" s="29" t="str">
        <f t="shared" si="189"/>
        <v>#DIV/0!</v>
      </c>
      <c r="BK186" s="29" t="str">
        <f t="shared" si="189"/>
        <v>#DIV/0!</v>
      </c>
      <c r="BL186" s="29" t="str">
        <f t="shared" si="189"/>
        <v>#DIV/0!</v>
      </c>
      <c r="BM186" s="29" t="str">
        <f t="shared" si="3"/>
        <v>#DIV/0!</v>
      </c>
    </row>
    <row r="187" hidden="1">
      <c r="A187" s="16" t="str">
        <f>IFERROR(__xludf.DUMMYFUNCTION("IFERROR(SPARKLINE(SORT(MAP(TRANSPOSE(AQ187:BL187), LAMBDA(val, IF(ISNUMBER(val), PERCENTRANK(AQ187:BL187, val)+0.01, 0))), SEQUENCE(COLUMNS(AQ187:BL187)), FALSE), {""charttype"",""column""; ""color"",""chartreuse""; ""ymin"", 0; ""ymax"", 1.01; ""highcolo"&amp;"r"", ""darkgreen""; ""lowcolor"", ""red""}), """")"),"")</f>
        <v/>
      </c>
      <c r="B187" s="17" t="str">
        <f t="shared" si="4"/>
        <v/>
      </c>
      <c r="C187" s="1" t="s">
        <v>3214</v>
      </c>
      <c r="D187" s="30" t="str">
        <f>IFERROR(__xludf.DUMMYFUNCTION("IFERROR(GOOGLEFINANCE(C187, ""NAME""))"),"Core Laboratories Inc")</f>
        <v>Core Laboratories Inc</v>
      </c>
      <c r="E187" s="30" t="s">
        <v>2537</v>
      </c>
      <c r="F187" s="33" t="str">
        <f>IFERROR(__xludf.DUMMYFUNCTION("( (GOOGLEFINANCE(C187, ""price"") - Q187) / Q187 ) / (R187 / 100)"),"Loading...")</f>
        <v>Loading...</v>
      </c>
      <c r="G187" s="20" t="str">
        <f>IFERROR(__xludf.DUMMYFUNCTION("AVERAGE(ARRAYFORMULA(100 * (QUERY(GOOGLEFINANCE(C187, ""high"", TODAY()-40, TODAY()), ""SELECT Col2 WHERE Col2 IS NOT NULL ORDER BY Col1 DESC LIMIT 20"", 0) / QUERY(GOOGLEFINANCE(C187, ""low"", TODAY()-40, TODAY()), ""SELECT Col2 WHERE Col2 IS NOT NULL OR"&amp;"DER BY Col1 DESC LIMIT 20"", 0) - 1)))"),"#N/A")</f>
        <v>#N/A</v>
      </c>
      <c r="H187" s="35" t="str">
        <f t="shared" si="6"/>
        <v>Illiquid</v>
      </c>
      <c r="I187" s="35" t="str">
        <f t="shared" si="7"/>
        <v>RVol Required</v>
      </c>
      <c r="J187" s="37">
        <f>IFERROR(__xludf.DUMMYFUNCTION("IFERROR(
  IF(C187="""",, 
    IFERROR(
      GOOGLEFINANCE(C187, ""price"") * GOOGLEFINANCE(C187, ""volumeavg""), 
      GOOGLEFINANCE(C187, ""price"") * AVERAGE(QUERY(GOOGLEFINANCE(C187, ""volume"", TODAY()-40, TODAY()), ""SELECT Col2 WHERE Col2 IS NOT "&amp;"NULL ORDER BY Col1 DESC LIMIT 20"", 0))
    )
  ), 
"""")"),6174760.0)</f>
        <v>6174760</v>
      </c>
      <c r="K187" s="21">
        <f>IFERROR(__xludf.DUMMYFUNCTION("IFERROR(GOOGLEFINANCE(C187, ""changepct"") / 100, """")"),0.0225)</f>
        <v>0.0225</v>
      </c>
      <c r="L187" s="21" t="str">
        <f>IFERROR(__xludf.DUMMYFUNCTION("IFERROR((GOOGLEFINANCE(C187, ""price"") / INDEX(GOOGLEFINANCE(C187, ""price"", TODAY()-7, TODAY()), 2, 2)) - 1, """")"),"")</f>
        <v/>
      </c>
      <c r="M187" s="21" t="str">
        <f>IFERROR(__xludf.DUMMYFUNCTION("IFERROR((GOOGLEFINANCE(C187, ""price"") / INDEX(GOOGLEFINANCE(C187, ""price"", EDATE(TODAY(), -1), TODAY()), 2, 2)) - 1, """")"),"")</f>
        <v/>
      </c>
      <c r="N187" s="21" t="str">
        <f>IFERROR(__xludf.DUMMYFUNCTION("IFERROR((GOOGLEFINANCE(C187, ""price"") / INDEX(GOOGLEFINANCE(C187, ""price"", EDATE(TODAY(), -3), TODAY()), 2, 2)) - 1, """")"),"")</f>
        <v/>
      </c>
      <c r="O187" s="21" t="str">
        <f>IFERROR(__xludf.DUMMYFUNCTION("IFERROR((GOOGLEFINANCE(C187, ""price"") / INDEX(GOOGLEFINANCE(C187, ""price"", EDATE(TODAY(), -6), TODAY()), 2, 2)) - 1, """")"),"")</f>
        <v/>
      </c>
      <c r="P187" s="21" t="str">
        <f>IFERROR(__xludf.DUMMYFUNCTION("IFERROR((GOOGLEFINANCE(C187, ""price"") / INDEX(GOOGLEFINANCE(C187, ""price"", EDATE(TODAY(), -12), TODAY()), 2, 2)) - 1, """")"),"")</f>
        <v/>
      </c>
      <c r="Q187" s="6" t="str">
        <f>IFERROR(__xludf.DUMMYFUNCTION("AVERAGE(QUERY(GOOGLEFINANCE(C187, ""price"", TODAY()-80, TODAY()), ""SELECT Col2 WHERE Col2 IS NOT NULL ORDER BY Col1 DESC LIMIT 50"", 0))"),"#N/A")</f>
        <v>#N/A</v>
      </c>
      <c r="R187" s="24" t="str">
        <f>IFERROR(__xludf.DUMMYFUNCTION("IFERROR(
  LET(
    data, QUERY(GOOGLEFINANCE(C187,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GOOGLEFINANCE(C187, ""price"")) * 100,
    IF(calc=0, G187, calc)
  ), 
G187)"),"#N/A")</f>
        <v>#N/A</v>
      </c>
      <c r="S187" s="8" t="s">
        <v>15</v>
      </c>
      <c r="T187" s="26" t="str">
        <f>IFERROR(__xludf.DUMMYFUNCTION("IFERROR(TRANSPOSE(QUERY(IFERROR(SORT(GOOGLEFINANCE(C187, ""price"", WORKDAY(TODAY(), -40), TODAY()), 1, FALSE)), ""select Col2 where Col2 is not null limit 22 label Col2 ''"", 0)), """")"),"")</f>
        <v/>
      </c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8"/>
      <c r="AO187" s="28"/>
      <c r="AP187" s="29"/>
      <c r="AQ187" s="29" t="str">
        <f t="shared" ref="AQ187:BL187" si="190">T187/T$2</f>
        <v>#N/A</v>
      </c>
      <c r="AR187" s="29" t="str">
        <f t="shared" si="190"/>
        <v>#DIV/0!</v>
      </c>
      <c r="AS187" s="29" t="str">
        <f t="shared" si="190"/>
        <v>#DIV/0!</v>
      </c>
      <c r="AT187" s="29" t="str">
        <f t="shared" si="190"/>
        <v>#DIV/0!</v>
      </c>
      <c r="AU187" s="29" t="str">
        <f t="shared" si="190"/>
        <v>#DIV/0!</v>
      </c>
      <c r="AV187" s="29" t="str">
        <f t="shared" si="190"/>
        <v>#DIV/0!</v>
      </c>
      <c r="AW187" s="29" t="str">
        <f t="shared" si="190"/>
        <v>#DIV/0!</v>
      </c>
      <c r="AX187" s="29" t="str">
        <f t="shared" si="190"/>
        <v>#DIV/0!</v>
      </c>
      <c r="AY187" s="29" t="str">
        <f t="shared" si="190"/>
        <v>#DIV/0!</v>
      </c>
      <c r="AZ187" s="29" t="str">
        <f t="shared" si="190"/>
        <v>#DIV/0!</v>
      </c>
      <c r="BA187" s="29" t="str">
        <f t="shared" si="190"/>
        <v>#DIV/0!</v>
      </c>
      <c r="BB187" s="29" t="str">
        <f t="shared" si="190"/>
        <v>#DIV/0!</v>
      </c>
      <c r="BC187" s="29" t="str">
        <f t="shared" si="190"/>
        <v>#DIV/0!</v>
      </c>
      <c r="BD187" s="29" t="str">
        <f t="shared" si="190"/>
        <v>#DIV/0!</v>
      </c>
      <c r="BE187" s="29" t="str">
        <f t="shared" si="190"/>
        <v>#DIV/0!</v>
      </c>
      <c r="BF187" s="29" t="str">
        <f t="shared" si="190"/>
        <v>#DIV/0!</v>
      </c>
      <c r="BG187" s="29" t="str">
        <f t="shared" si="190"/>
        <v>#DIV/0!</v>
      </c>
      <c r="BH187" s="29" t="str">
        <f t="shared" si="190"/>
        <v>#DIV/0!</v>
      </c>
      <c r="BI187" s="29" t="str">
        <f t="shared" si="190"/>
        <v>#DIV/0!</v>
      </c>
      <c r="BJ187" s="29" t="str">
        <f t="shared" si="190"/>
        <v>#DIV/0!</v>
      </c>
      <c r="BK187" s="29" t="str">
        <f t="shared" si="190"/>
        <v>#DIV/0!</v>
      </c>
      <c r="BL187" s="29" t="str">
        <f t="shared" si="190"/>
        <v>#DIV/0!</v>
      </c>
      <c r="BM187" s="29" t="str">
        <f t="shared" si="3"/>
        <v>#DIV/0!</v>
      </c>
    </row>
    <row r="188">
      <c r="A188" s="16" t="str">
        <f>IFERROR(__xludf.DUMMYFUNCTION("IFERROR(SPARKLINE(SORT(MAP(TRANSPOSE(AQ188:BL188), LAMBDA(val, IF(ISNUMBER(val), PERCENTRANK(AQ188:BL188, val)+0.01, 0))), SEQUENCE(COLUMNS(AQ188:BL188)), FALSE), {""charttype"",""column""; ""color"",""chartreuse""; ""ymin"", 0; ""ymax"", 1.01; ""highcolo"&amp;"r"", ""darkgreen""; ""lowcolor"", ""red""}), """")"),"")</f>
        <v/>
      </c>
      <c r="B188" s="17" t="str">
        <f t="shared" si="4"/>
        <v/>
      </c>
      <c r="C188" s="1" t="s">
        <v>3217</v>
      </c>
      <c r="D188" s="30" t="str">
        <f>IFERROR(__xludf.DUMMYFUNCTION("IFERROR(GOOGLEFINANCE(C188, ""NAME""))"),"Antero Resources Corp")</f>
        <v>Antero Resources Corp</v>
      </c>
      <c r="E188" s="30" t="s">
        <v>2613</v>
      </c>
      <c r="F188" s="38" t="str">
        <f>IFERROR(__xludf.DUMMYFUNCTION("( (GOOGLEFINANCE(C188, ""price"") - Q188) / Q188 ) / (R188 / 100)"),"Loading...")</f>
        <v>Loading...</v>
      </c>
      <c r="G188" s="20" t="str">
        <f>IFERROR(__xludf.DUMMYFUNCTION("AVERAGE(ARRAYFORMULA(100 * (QUERY(GOOGLEFINANCE(C188, ""high"", TODAY()-40, TODAY()), ""SELECT Col2 WHERE Col2 IS NOT NULL ORDER BY Col1 DESC LIMIT 20"", 0) / QUERY(GOOGLEFINANCE(C188, ""low"", TODAY()-40, TODAY()), ""SELECT Col2 WHERE Col2 IS NOT NULL OR"&amp;"DER BY Col1 DESC LIMIT 20"", 0) - 1)))"),"#N/A")</f>
        <v>#N/A</v>
      </c>
      <c r="H188" s="35" t="str">
        <f t="shared" si="6"/>
        <v>Liquid</v>
      </c>
      <c r="I188" s="35" t="str">
        <f t="shared" si="7"/>
        <v>RVol Required</v>
      </c>
      <c r="J188" s="37">
        <f>IFERROR(__xludf.DUMMYFUNCTION("IFERROR(
  IF(C188="""",, 
    IFERROR(
      GOOGLEFINANCE(C188, ""price"") * GOOGLEFINANCE(C188, ""volumeavg""), 
      GOOGLEFINANCE(C188, ""price"") * AVERAGE(QUERY(GOOGLEFINANCE(C188, ""volume"", TODAY()-40, TODAY()), ""SELECT Col2 WHERE Col2 IS NOT "&amp;"NULL ORDER BY Col1 DESC LIMIT 20"", 0))
    )
  ), 
"""")"),1.5153640775E8)</f>
        <v>151536407.8</v>
      </c>
      <c r="K188" s="21">
        <f>IFERROR(__xludf.DUMMYFUNCTION("IFERROR(GOOGLEFINANCE(C188, ""changepct"") / 100, """")"),0.060599999999999994)</f>
        <v>0.0606</v>
      </c>
      <c r="L188" s="21" t="str">
        <f>IFERROR(__xludf.DUMMYFUNCTION("IFERROR((GOOGLEFINANCE(C188, ""price"") / INDEX(GOOGLEFINANCE(C188, ""price"", TODAY()-7, TODAY()), 2, 2)) - 1, """")"),"")</f>
        <v/>
      </c>
      <c r="M188" s="21" t="str">
        <f>IFERROR(__xludf.DUMMYFUNCTION("IFERROR((GOOGLEFINANCE(C188, ""price"") / INDEX(GOOGLEFINANCE(C188, ""price"", EDATE(TODAY(), -1), TODAY()), 2, 2)) - 1, """")"),"")</f>
        <v/>
      </c>
      <c r="N188" s="21" t="str">
        <f>IFERROR(__xludf.DUMMYFUNCTION("IFERROR((GOOGLEFINANCE(C188, ""price"") / INDEX(GOOGLEFINANCE(C188, ""price"", EDATE(TODAY(), -3), TODAY()), 2, 2)) - 1, """")"),"")</f>
        <v/>
      </c>
      <c r="O188" s="21" t="str">
        <f>IFERROR(__xludf.DUMMYFUNCTION("IFERROR((GOOGLEFINANCE(C188, ""price"") / INDEX(GOOGLEFINANCE(C188, ""price"", EDATE(TODAY(), -6), TODAY()), 2, 2)) - 1, """")"),"")</f>
        <v/>
      </c>
      <c r="P188" s="21" t="str">
        <f>IFERROR(__xludf.DUMMYFUNCTION("IFERROR((GOOGLEFINANCE(C188, ""price"") / INDEX(GOOGLEFINANCE(C188, ""price"", EDATE(TODAY(), -12), TODAY()), 2, 2)) - 1, """")"),"")</f>
        <v/>
      </c>
      <c r="Q188" s="6" t="str">
        <f>IFERROR(__xludf.DUMMYFUNCTION("AVERAGE(QUERY(GOOGLEFINANCE(C188, ""price"", TODAY()-80, TODAY()), ""SELECT Col2 WHERE Col2 IS NOT NULL ORDER BY Col1 DESC LIMIT 50"", 0))"),"#N/A")</f>
        <v>#N/A</v>
      </c>
      <c r="R188" s="24" t="str">
        <f>IFERROR(__xludf.DUMMYFUNCTION("IFERROR(
  LET(
    data, QUERY(GOOGLEFINANCE(C188,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GOOGLEFINANCE(C188, ""price"")) * 100,
    IF(calc=0, G188, calc)
  ), 
G188)"),"#N/A")</f>
        <v>#N/A</v>
      </c>
      <c r="S188" s="8" t="s">
        <v>15</v>
      </c>
      <c r="T188" s="26" t="str">
        <f>IFERROR(__xludf.DUMMYFUNCTION("IFERROR(TRANSPOSE(QUERY(IFERROR(SORT(GOOGLEFINANCE(C188, ""price"", WORKDAY(TODAY(), -40), TODAY()), 1, FALSE)), ""select Col2 where Col2 is not null limit 22 label Col2 ''"", 0)), """")"),"")</f>
        <v/>
      </c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8"/>
      <c r="AO188" s="28"/>
      <c r="AP188" s="29"/>
      <c r="AQ188" s="29" t="str">
        <f t="shared" ref="AQ188:BL188" si="191">T188/T$2</f>
        <v>#N/A</v>
      </c>
      <c r="AR188" s="29" t="str">
        <f t="shared" si="191"/>
        <v>#DIV/0!</v>
      </c>
      <c r="AS188" s="29" t="str">
        <f t="shared" si="191"/>
        <v>#DIV/0!</v>
      </c>
      <c r="AT188" s="29" t="str">
        <f t="shared" si="191"/>
        <v>#DIV/0!</v>
      </c>
      <c r="AU188" s="29" t="str">
        <f t="shared" si="191"/>
        <v>#DIV/0!</v>
      </c>
      <c r="AV188" s="29" t="str">
        <f t="shared" si="191"/>
        <v>#DIV/0!</v>
      </c>
      <c r="AW188" s="29" t="str">
        <f t="shared" si="191"/>
        <v>#DIV/0!</v>
      </c>
      <c r="AX188" s="29" t="str">
        <f t="shared" si="191"/>
        <v>#DIV/0!</v>
      </c>
      <c r="AY188" s="29" t="str">
        <f t="shared" si="191"/>
        <v>#DIV/0!</v>
      </c>
      <c r="AZ188" s="29" t="str">
        <f t="shared" si="191"/>
        <v>#DIV/0!</v>
      </c>
      <c r="BA188" s="29" t="str">
        <f t="shared" si="191"/>
        <v>#DIV/0!</v>
      </c>
      <c r="BB188" s="29" t="str">
        <f t="shared" si="191"/>
        <v>#DIV/0!</v>
      </c>
      <c r="BC188" s="29" t="str">
        <f t="shared" si="191"/>
        <v>#DIV/0!</v>
      </c>
      <c r="BD188" s="29" t="str">
        <f t="shared" si="191"/>
        <v>#DIV/0!</v>
      </c>
      <c r="BE188" s="29" t="str">
        <f t="shared" si="191"/>
        <v>#DIV/0!</v>
      </c>
      <c r="BF188" s="29" t="str">
        <f t="shared" si="191"/>
        <v>#DIV/0!</v>
      </c>
      <c r="BG188" s="29" t="str">
        <f t="shared" si="191"/>
        <v>#DIV/0!</v>
      </c>
      <c r="BH188" s="29" t="str">
        <f t="shared" si="191"/>
        <v>#DIV/0!</v>
      </c>
      <c r="BI188" s="29" t="str">
        <f t="shared" si="191"/>
        <v>#DIV/0!</v>
      </c>
      <c r="BJ188" s="29" t="str">
        <f t="shared" si="191"/>
        <v>#DIV/0!</v>
      </c>
      <c r="BK188" s="29" t="str">
        <f t="shared" si="191"/>
        <v>#DIV/0!</v>
      </c>
      <c r="BL188" s="29" t="str">
        <f t="shared" si="191"/>
        <v>#DIV/0!</v>
      </c>
      <c r="BM188" s="29" t="str">
        <f t="shared" si="3"/>
        <v>#DIV/0!</v>
      </c>
    </row>
    <row r="189" hidden="1">
      <c r="A189" s="16" t="str">
        <f>IFERROR(__xludf.DUMMYFUNCTION("IFERROR(SPARKLINE(SORT(MAP(TRANSPOSE(AQ189:BL189), LAMBDA(val, IF(ISNUMBER(val), PERCENTRANK(AQ189:BL189, val)+0.01, 0))), SEQUENCE(COLUMNS(AQ189:BL189)), FALSE), {""charttype"",""column""; ""color"",""chartreuse""; ""ymin"", 0; ""ymax"", 1.01; ""highcolo"&amp;"r"", ""darkgreen""; ""lowcolor"", ""red""}), """")"),"")</f>
        <v/>
      </c>
      <c r="B189" s="17" t="str">
        <f t="shared" si="4"/>
        <v/>
      </c>
      <c r="C189" s="1" t="s">
        <v>3220</v>
      </c>
      <c r="D189" s="30" t="str">
        <f>IFERROR(__xludf.DUMMYFUNCTION("IFERROR(GOOGLEFINANCE(C189, ""NAME""))"),"Bristow Group Inc")</f>
        <v>Bristow Group Inc</v>
      </c>
      <c r="E189" s="30" t="s">
        <v>2537</v>
      </c>
      <c r="F189" s="33" t="str">
        <f>IFERROR(__xludf.DUMMYFUNCTION("( (GOOGLEFINANCE(C189, ""price"") - Q189) / Q189 ) / (R189 / 100)"),"Loading...")</f>
        <v>Loading...</v>
      </c>
      <c r="G189" s="20" t="str">
        <f>IFERROR(__xludf.DUMMYFUNCTION("AVERAGE(ARRAYFORMULA(100 * (QUERY(GOOGLEFINANCE(C189, ""high"", TODAY()-40, TODAY()), ""SELECT Col2 WHERE Col2 IS NOT NULL ORDER BY Col1 DESC LIMIT 20"", 0) / QUERY(GOOGLEFINANCE(C189, ""low"", TODAY()-40, TODAY()), ""SELECT Col2 WHERE Col2 IS NOT NULL OR"&amp;"DER BY Col1 DESC LIMIT 20"", 0) - 1)))"),"#N/A")</f>
        <v>#N/A</v>
      </c>
      <c r="H189" s="35" t="str">
        <f t="shared" si="6"/>
        <v>Illiquid</v>
      </c>
      <c r="I189" s="35" t="str">
        <f t="shared" si="7"/>
        <v>RVol Required</v>
      </c>
      <c r="J189" s="37">
        <f>IFERROR(__xludf.DUMMYFUNCTION("IFERROR(
  IF(C189="""",, 
    IFERROR(
      GOOGLEFINANCE(C189, ""price"") * GOOGLEFINANCE(C189, ""volumeavg""), 
      GOOGLEFINANCE(C189, ""price"") * AVERAGE(QUERY(GOOGLEFINANCE(C189, ""volume"", TODAY()-40, TODAY()), ""SELECT Col2 WHERE Col2 IS NOT "&amp;"NULL ORDER BY Col1 DESC LIMIT 20"", 0))
    )
  ), 
"""")"),1.059960888E7)</f>
        <v>10599608.88</v>
      </c>
      <c r="K189" s="21">
        <f>IFERROR(__xludf.DUMMYFUNCTION("IFERROR(GOOGLEFINANCE(C189, ""changepct"") / 100, """")"),0.020099999999999996)</f>
        <v>0.0201</v>
      </c>
      <c r="L189" s="21" t="str">
        <f>IFERROR(__xludf.DUMMYFUNCTION("IFERROR((GOOGLEFINANCE(C189, ""price"") / INDEX(GOOGLEFINANCE(C189, ""price"", TODAY()-7, TODAY()), 2, 2)) - 1, """")"),"")</f>
        <v/>
      </c>
      <c r="M189" s="21" t="str">
        <f>IFERROR(__xludf.DUMMYFUNCTION("IFERROR((GOOGLEFINANCE(C189, ""price"") / INDEX(GOOGLEFINANCE(C189, ""price"", EDATE(TODAY(), -1), TODAY()), 2, 2)) - 1, """")"),"")</f>
        <v/>
      </c>
      <c r="N189" s="21" t="str">
        <f>IFERROR(__xludf.DUMMYFUNCTION("IFERROR((GOOGLEFINANCE(C189, ""price"") / INDEX(GOOGLEFINANCE(C189, ""price"", EDATE(TODAY(), -3), TODAY()), 2, 2)) - 1, """")"),"")</f>
        <v/>
      </c>
      <c r="O189" s="21" t="str">
        <f>IFERROR(__xludf.DUMMYFUNCTION("IFERROR((GOOGLEFINANCE(C189, ""price"") / INDEX(GOOGLEFINANCE(C189, ""price"", EDATE(TODAY(), -6), TODAY()), 2, 2)) - 1, """")"),"")</f>
        <v/>
      </c>
      <c r="P189" s="21" t="str">
        <f>IFERROR(__xludf.DUMMYFUNCTION("IFERROR((GOOGLEFINANCE(C189, ""price"") / INDEX(GOOGLEFINANCE(C189, ""price"", EDATE(TODAY(), -12), TODAY()), 2, 2)) - 1, """")"),"")</f>
        <v/>
      </c>
      <c r="Q189" s="6" t="str">
        <f>IFERROR(__xludf.DUMMYFUNCTION("AVERAGE(QUERY(GOOGLEFINANCE(C189, ""price"", TODAY()-80, TODAY()), ""SELECT Col2 WHERE Col2 IS NOT NULL ORDER BY Col1 DESC LIMIT 50"", 0))"),"#N/A")</f>
        <v>#N/A</v>
      </c>
      <c r="R189" s="24" t="str">
        <f>IFERROR(__xludf.DUMMYFUNCTION("IFERROR(
  LET(
    data, QUERY(GOOGLEFINANCE(C189,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GOOGLEFINANCE(C189, ""price"")) * 100,
    IF(calc=0, G189, calc)
  ), 
G189)"),"#N/A")</f>
        <v>#N/A</v>
      </c>
      <c r="S189" s="8" t="s">
        <v>15</v>
      </c>
      <c r="T189" s="26" t="str">
        <f>IFERROR(__xludf.DUMMYFUNCTION("IFERROR(TRANSPOSE(QUERY(IFERROR(SORT(GOOGLEFINANCE(C189, ""price"", WORKDAY(TODAY(), -40), TODAY()), 1, FALSE)), ""select Col2 where Col2 is not null limit 22 label Col2 ''"", 0)), """")"),"")</f>
        <v/>
      </c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8"/>
      <c r="AO189" s="28"/>
      <c r="AP189" s="29"/>
      <c r="AQ189" s="29" t="str">
        <f t="shared" ref="AQ189:BL189" si="192">T189/T$2</f>
        <v>#N/A</v>
      </c>
      <c r="AR189" s="29" t="str">
        <f t="shared" si="192"/>
        <v>#DIV/0!</v>
      </c>
      <c r="AS189" s="29" t="str">
        <f t="shared" si="192"/>
        <v>#DIV/0!</v>
      </c>
      <c r="AT189" s="29" t="str">
        <f t="shared" si="192"/>
        <v>#DIV/0!</v>
      </c>
      <c r="AU189" s="29" t="str">
        <f t="shared" si="192"/>
        <v>#DIV/0!</v>
      </c>
      <c r="AV189" s="29" t="str">
        <f t="shared" si="192"/>
        <v>#DIV/0!</v>
      </c>
      <c r="AW189" s="29" t="str">
        <f t="shared" si="192"/>
        <v>#DIV/0!</v>
      </c>
      <c r="AX189" s="29" t="str">
        <f t="shared" si="192"/>
        <v>#DIV/0!</v>
      </c>
      <c r="AY189" s="29" t="str">
        <f t="shared" si="192"/>
        <v>#DIV/0!</v>
      </c>
      <c r="AZ189" s="29" t="str">
        <f t="shared" si="192"/>
        <v>#DIV/0!</v>
      </c>
      <c r="BA189" s="29" t="str">
        <f t="shared" si="192"/>
        <v>#DIV/0!</v>
      </c>
      <c r="BB189" s="29" t="str">
        <f t="shared" si="192"/>
        <v>#DIV/0!</v>
      </c>
      <c r="BC189" s="29" t="str">
        <f t="shared" si="192"/>
        <v>#DIV/0!</v>
      </c>
      <c r="BD189" s="29" t="str">
        <f t="shared" si="192"/>
        <v>#DIV/0!</v>
      </c>
      <c r="BE189" s="29" t="str">
        <f t="shared" si="192"/>
        <v>#DIV/0!</v>
      </c>
      <c r="BF189" s="29" t="str">
        <f t="shared" si="192"/>
        <v>#DIV/0!</v>
      </c>
      <c r="BG189" s="29" t="str">
        <f t="shared" si="192"/>
        <v>#DIV/0!</v>
      </c>
      <c r="BH189" s="29" t="str">
        <f t="shared" si="192"/>
        <v>#DIV/0!</v>
      </c>
      <c r="BI189" s="29" t="str">
        <f t="shared" si="192"/>
        <v>#DIV/0!</v>
      </c>
      <c r="BJ189" s="29" t="str">
        <f t="shared" si="192"/>
        <v>#DIV/0!</v>
      </c>
      <c r="BK189" s="29" t="str">
        <f t="shared" si="192"/>
        <v>#DIV/0!</v>
      </c>
      <c r="BL189" s="29" t="str">
        <f t="shared" si="192"/>
        <v>#DIV/0!</v>
      </c>
      <c r="BM189" s="29" t="str">
        <f t="shared" si="3"/>
        <v>#DIV/0!</v>
      </c>
    </row>
    <row r="190" hidden="1">
      <c r="A190" s="16" t="str">
        <f>IFERROR(__xludf.DUMMYFUNCTION("IFERROR(SPARKLINE(SORT(MAP(TRANSPOSE(AQ190:BL190), LAMBDA(val, IF(ISNUMBER(val), PERCENTRANK(AQ190:BL190, val)+0.01, 0))), SEQUENCE(COLUMNS(AQ190:BL190)), FALSE), {""charttype"",""column""; ""color"",""chartreuse""; ""ymin"", 0; ""ymax"", 1.01; ""highcolo"&amp;"r"", ""darkgreen""; ""lowcolor"", ""red""}), """")"),"")</f>
        <v/>
      </c>
      <c r="B190" s="17" t="str">
        <f t="shared" si="4"/>
        <v/>
      </c>
      <c r="C190" s="1" t="s">
        <v>3223</v>
      </c>
      <c r="D190" s="30" t="str">
        <f>IFERROR(__xludf.DUMMYFUNCTION("IFERROR(GOOGLEFINANCE(C190, ""NAME""))"),"Summit Midstream Corp")</f>
        <v>Summit Midstream Corp</v>
      </c>
      <c r="E190" s="30" t="s">
        <v>2547</v>
      </c>
      <c r="F190" s="33" t="str">
        <f>IFERROR(__xludf.DUMMYFUNCTION("( (GOOGLEFINANCE(C190, ""price"") - Q190) / Q190 ) / (R190 / 100)"),"Loading...")</f>
        <v>Loading...</v>
      </c>
      <c r="G190" s="20" t="str">
        <f>IFERROR(__xludf.DUMMYFUNCTION("AVERAGE(ARRAYFORMULA(100 * (QUERY(GOOGLEFINANCE(C190, ""high"", TODAY()-40, TODAY()), ""SELECT Col2 WHERE Col2 IS NOT NULL ORDER BY Col1 DESC LIMIT 20"", 0) / QUERY(GOOGLEFINANCE(C190, ""low"", TODAY()-40, TODAY()), ""SELECT Col2 WHERE Col2 IS NOT NULL OR"&amp;"DER BY Col1 DESC LIMIT 20"", 0) - 1)))"),"#N/A")</f>
        <v>#N/A</v>
      </c>
      <c r="H190" s="35" t="str">
        <f t="shared" si="6"/>
        <v>Illiquid</v>
      </c>
      <c r="I190" s="35" t="str">
        <f t="shared" si="7"/>
        <v>RVol Required</v>
      </c>
      <c r="J190" s="37">
        <f>IFERROR(__xludf.DUMMYFUNCTION("IFERROR(
  IF(C190="""",, 
    IFERROR(
      GOOGLEFINANCE(C190, ""price"") * GOOGLEFINANCE(C190, ""volumeavg""), 
      GOOGLEFINANCE(C190, ""price"") * AVERAGE(QUERY(GOOGLEFINANCE(C190, ""volume"", TODAY()-40, TODAY()), ""SELECT Col2 WHERE Col2 IS NOT "&amp;"NULL ORDER BY Col1 DESC LIMIT 20"", 0))
    )
  ), 
"""")"),2670930.6999999997)</f>
        <v>2670930.7</v>
      </c>
      <c r="K190" s="21">
        <f>IFERROR(__xludf.DUMMYFUNCTION("IFERROR(GOOGLEFINANCE(C190, ""changepct"") / 100, """")"),0.024)</f>
        <v>0.024</v>
      </c>
      <c r="L190" s="21" t="str">
        <f>IFERROR(__xludf.DUMMYFUNCTION("IFERROR((GOOGLEFINANCE(C190, ""price"") / INDEX(GOOGLEFINANCE(C190, ""price"", TODAY()-7, TODAY()), 2, 2)) - 1, """")"),"")</f>
        <v/>
      </c>
      <c r="M190" s="21" t="str">
        <f>IFERROR(__xludf.DUMMYFUNCTION("IFERROR((GOOGLEFINANCE(C190, ""price"") / INDEX(GOOGLEFINANCE(C190, ""price"", EDATE(TODAY(), -1), TODAY()), 2, 2)) - 1, """")"),"")</f>
        <v/>
      </c>
      <c r="N190" s="21" t="str">
        <f>IFERROR(__xludf.DUMMYFUNCTION("IFERROR((GOOGLEFINANCE(C190, ""price"") / INDEX(GOOGLEFINANCE(C190, ""price"", EDATE(TODAY(), -3), TODAY()), 2, 2)) - 1, """")"),"")</f>
        <v/>
      </c>
      <c r="O190" s="21" t="str">
        <f>IFERROR(__xludf.DUMMYFUNCTION("IFERROR((GOOGLEFINANCE(C190, ""price"") / INDEX(GOOGLEFINANCE(C190, ""price"", EDATE(TODAY(), -6), TODAY()), 2, 2)) - 1, """")"),"")</f>
        <v/>
      </c>
      <c r="P190" s="21" t="str">
        <f>IFERROR(__xludf.DUMMYFUNCTION("IFERROR((GOOGLEFINANCE(C190, ""price"") / INDEX(GOOGLEFINANCE(C190, ""price"", EDATE(TODAY(), -12), TODAY()), 2, 2)) - 1, """")"),"")</f>
        <v/>
      </c>
      <c r="Q190" s="6" t="str">
        <f>IFERROR(__xludf.DUMMYFUNCTION("AVERAGE(QUERY(GOOGLEFINANCE(C190, ""price"", TODAY()-80, TODAY()), ""SELECT Col2 WHERE Col2 IS NOT NULL ORDER BY Col1 DESC LIMIT 50"", 0))"),"#N/A")</f>
        <v>#N/A</v>
      </c>
      <c r="R190" s="24" t="str">
        <f>IFERROR(__xludf.DUMMYFUNCTION("IFERROR(
  LET(
    data, QUERY(GOOGLEFINANCE(C190,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GOOGLEFINANCE(C190, ""price"")) * 100,
    IF(calc=0, G190, calc)
  ), 
G190)"),"#N/A")</f>
        <v>#N/A</v>
      </c>
      <c r="S190" s="8" t="s">
        <v>15</v>
      </c>
      <c r="T190" s="26" t="str">
        <f>IFERROR(__xludf.DUMMYFUNCTION("IFERROR(TRANSPOSE(QUERY(IFERROR(SORT(GOOGLEFINANCE(C190, ""price"", WORKDAY(TODAY(), -40), TODAY()), 1, FALSE)), ""select Col2 where Col2 is not null limit 22 label Col2 ''"", 0)), """")"),"")</f>
        <v/>
      </c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8"/>
      <c r="AO190" s="28"/>
      <c r="AP190" s="29"/>
      <c r="AQ190" s="29" t="str">
        <f t="shared" ref="AQ190:BL190" si="193">T190/T$2</f>
        <v>#N/A</v>
      </c>
      <c r="AR190" s="29" t="str">
        <f t="shared" si="193"/>
        <v>#DIV/0!</v>
      </c>
      <c r="AS190" s="29" t="str">
        <f t="shared" si="193"/>
        <v>#DIV/0!</v>
      </c>
      <c r="AT190" s="29" t="str">
        <f t="shared" si="193"/>
        <v>#DIV/0!</v>
      </c>
      <c r="AU190" s="29" t="str">
        <f t="shared" si="193"/>
        <v>#DIV/0!</v>
      </c>
      <c r="AV190" s="29" t="str">
        <f t="shared" si="193"/>
        <v>#DIV/0!</v>
      </c>
      <c r="AW190" s="29" t="str">
        <f t="shared" si="193"/>
        <v>#DIV/0!</v>
      </c>
      <c r="AX190" s="29" t="str">
        <f t="shared" si="193"/>
        <v>#DIV/0!</v>
      </c>
      <c r="AY190" s="29" t="str">
        <f t="shared" si="193"/>
        <v>#DIV/0!</v>
      </c>
      <c r="AZ190" s="29" t="str">
        <f t="shared" si="193"/>
        <v>#DIV/0!</v>
      </c>
      <c r="BA190" s="29" t="str">
        <f t="shared" si="193"/>
        <v>#DIV/0!</v>
      </c>
      <c r="BB190" s="29" t="str">
        <f t="shared" si="193"/>
        <v>#DIV/0!</v>
      </c>
      <c r="BC190" s="29" t="str">
        <f t="shared" si="193"/>
        <v>#DIV/0!</v>
      </c>
      <c r="BD190" s="29" t="str">
        <f t="shared" si="193"/>
        <v>#DIV/0!</v>
      </c>
      <c r="BE190" s="29" t="str">
        <f t="shared" si="193"/>
        <v>#DIV/0!</v>
      </c>
      <c r="BF190" s="29" t="str">
        <f t="shared" si="193"/>
        <v>#DIV/0!</v>
      </c>
      <c r="BG190" s="29" t="str">
        <f t="shared" si="193"/>
        <v>#DIV/0!</v>
      </c>
      <c r="BH190" s="29" t="str">
        <f t="shared" si="193"/>
        <v>#DIV/0!</v>
      </c>
      <c r="BI190" s="29" t="str">
        <f t="shared" si="193"/>
        <v>#DIV/0!</v>
      </c>
      <c r="BJ190" s="29" t="str">
        <f t="shared" si="193"/>
        <v>#DIV/0!</v>
      </c>
      <c r="BK190" s="29" t="str">
        <f t="shared" si="193"/>
        <v>#DIV/0!</v>
      </c>
      <c r="BL190" s="29" t="str">
        <f t="shared" si="193"/>
        <v>#DIV/0!</v>
      </c>
      <c r="BM190" s="29" t="str">
        <f t="shared" si="3"/>
        <v>#DIV/0!</v>
      </c>
    </row>
    <row r="191">
      <c r="A191" s="16" t="str">
        <f>IFERROR(__xludf.DUMMYFUNCTION("IFERROR(SPARKLINE(SORT(MAP(TRANSPOSE(AQ191:BL191), LAMBDA(val, IF(ISNUMBER(val), PERCENTRANK(AQ191:BL191, val)+0.01, 0))), SEQUENCE(COLUMNS(AQ191:BL191)), FALSE), {""charttype"",""column""; ""color"",""chartreuse""; ""ymin"", 0; ""ymax"", 1.01; ""highcolo"&amp;"r"", ""darkgreen""; ""lowcolor"", ""red""}), """")"),"")</f>
        <v/>
      </c>
      <c r="B191" s="17" t="str">
        <f t="shared" si="4"/>
        <v/>
      </c>
      <c r="C191" s="1" t="s">
        <v>3224</v>
      </c>
      <c r="D191" s="30" t="str">
        <f>IFERROR(__xludf.DUMMYFUNCTION("IFERROR(GOOGLEFINANCE(C191, ""NAME""))"),"Petroleo Brasileiro ADR Reptg 2 Pref Shs")</f>
        <v>Petroleo Brasileiro ADR Reptg 2 Pref Shs</v>
      </c>
      <c r="E191" s="30" t="s">
        <v>2631</v>
      </c>
      <c r="F191" s="33" t="str">
        <f>IFERROR(__xludf.DUMMYFUNCTION("( (GOOGLEFINANCE(C191, ""price"") - Q191) / Q191 ) / (R191 / 100)"),"Loading...")</f>
        <v>Loading...</v>
      </c>
      <c r="G191" s="20" t="str">
        <f>IFERROR(__xludf.DUMMYFUNCTION("AVERAGE(ARRAYFORMULA(100 * (QUERY(GOOGLEFINANCE(C191, ""high"", TODAY()-40, TODAY()), ""SELECT Col2 WHERE Col2 IS NOT NULL ORDER BY Col1 DESC LIMIT 20"", 0) / QUERY(GOOGLEFINANCE(C191, ""low"", TODAY()-40, TODAY()), ""SELECT Col2 WHERE Col2 IS NOT NULL OR"&amp;"DER BY Col1 DESC LIMIT 20"", 0) - 1)))"),"#N/A")</f>
        <v>#N/A</v>
      </c>
      <c r="H191" s="35" t="str">
        <f t="shared" si="6"/>
        <v>Liquid</v>
      </c>
      <c r="I191" s="35" t="str">
        <f t="shared" si="7"/>
        <v>RVol Required</v>
      </c>
      <c r="J191" s="37">
        <f>IFERROR(__xludf.DUMMYFUNCTION("IFERROR(
  IF(C191="""",, 
    IFERROR(
      GOOGLEFINANCE(C191, ""price"") * GOOGLEFINANCE(C191, ""volumeavg""), 
      GOOGLEFINANCE(C191, ""price"") * AVERAGE(QUERY(GOOGLEFINANCE(C191, ""volume"", TODAY()-40, TODAY()), ""SELECT Col2 WHERE Col2 IS NOT "&amp;"NULL ORDER BY Col1 DESC LIMIT 20"", 0))
    )
  ), 
"""")"),2.07967179E8)</f>
        <v>207967179</v>
      </c>
      <c r="K191" s="21">
        <f>IFERROR(__xludf.DUMMYFUNCTION("IFERROR(GOOGLEFINANCE(C191, ""changepct"") / 100, """")"),0.0305)</f>
        <v>0.0305</v>
      </c>
      <c r="L191" s="21" t="str">
        <f>IFERROR(__xludf.DUMMYFUNCTION("IFERROR((GOOGLEFINANCE(C191, ""price"") / INDEX(GOOGLEFINANCE(C191, ""price"", TODAY()-7, TODAY()), 2, 2)) - 1, """")"),"")</f>
        <v/>
      </c>
      <c r="M191" s="21" t="str">
        <f>IFERROR(__xludf.DUMMYFUNCTION("IFERROR((GOOGLEFINANCE(C191, ""price"") / INDEX(GOOGLEFINANCE(C191, ""price"", EDATE(TODAY(), -1), TODAY()), 2, 2)) - 1, """")"),"")</f>
        <v/>
      </c>
      <c r="N191" s="21" t="str">
        <f>IFERROR(__xludf.DUMMYFUNCTION("IFERROR((GOOGLEFINANCE(C191, ""price"") / INDEX(GOOGLEFINANCE(C191, ""price"", EDATE(TODAY(), -3), TODAY()), 2, 2)) - 1, """")"),"")</f>
        <v/>
      </c>
      <c r="O191" s="21" t="str">
        <f>IFERROR(__xludf.DUMMYFUNCTION("IFERROR((GOOGLEFINANCE(C191, ""price"") / INDEX(GOOGLEFINANCE(C191, ""price"", EDATE(TODAY(), -6), TODAY()), 2, 2)) - 1, """")"),"")</f>
        <v/>
      </c>
      <c r="P191" s="21" t="str">
        <f>IFERROR(__xludf.DUMMYFUNCTION("IFERROR((GOOGLEFINANCE(C191, ""price"") / INDEX(GOOGLEFINANCE(C191, ""price"", EDATE(TODAY(), -12), TODAY()), 2, 2)) - 1, """")"),"")</f>
        <v/>
      </c>
      <c r="Q191" s="6" t="str">
        <f>IFERROR(__xludf.DUMMYFUNCTION("AVERAGE(QUERY(GOOGLEFINANCE(C191, ""price"", TODAY()-80, TODAY()), ""SELECT Col2 WHERE Col2 IS NOT NULL ORDER BY Col1 DESC LIMIT 50"", 0))"),"#N/A")</f>
        <v>#N/A</v>
      </c>
      <c r="R191" s="24" t="str">
        <f>IFERROR(__xludf.DUMMYFUNCTION("IFERROR(
  LET(
    data, QUERY(GOOGLEFINANCE(C191,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GOOGLEFINANCE(C191, ""price"")) * 100,
    IF(calc=0, G191, calc)
  ), 
G191)"),"#N/A")</f>
        <v>#N/A</v>
      </c>
      <c r="S191" s="8" t="s">
        <v>15</v>
      </c>
      <c r="T191" s="26" t="str">
        <f>IFERROR(__xludf.DUMMYFUNCTION("IFERROR(TRANSPOSE(QUERY(IFERROR(SORT(GOOGLEFINANCE(C191, ""price"", WORKDAY(TODAY(), -40), TODAY()), 1, FALSE)), ""select Col2 where Col2 is not null limit 22 label Col2 ''"", 0)), """")"),"")</f>
        <v/>
      </c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8"/>
      <c r="AO191" s="28"/>
      <c r="AP191" s="29"/>
      <c r="AQ191" s="29" t="str">
        <f t="shared" ref="AQ191:BL191" si="194">T191/T$2</f>
        <v>#N/A</v>
      </c>
      <c r="AR191" s="29" t="str">
        <f t="shared" si="194"/>
        <v>#DIV/0!</v>
      </c>
      <c r="AS191" s="29" t="str">
        <f t="shared" si="194"/>
        <v>#DIV/0!</v>
      </c>
      <c r="AT191" s="29" t="str">
        <f t="shared" si="194"/>
        <v>#DIV/0!</v>
      </c>
      <c r="AU191" s="29" t="str">
        <f t="shared" si="194"/>
        <v>#DIV/0!</v>
      </c>
      <c r="AV191" s="29" t="str">
        <f t="shared" si="194"/>
        <v>#DIV/0!</v>
      </c>
      <c r="AW191" s="29" t="str">
        <f t="shared" si="194"/>
        <v>#DIV/0!</v>
      </c>
      <c r="AX191" s="29" t="str">
        <f t="shared" si="194"/>
        <v>#DIV/0!</v>
      </c>
      <c r="AY191" s="29" t="str">
        <f t="shared" si="194"/>
        <v>#DIV/0!</v>
      </c>
      <c r="AZ191" s="29" t="str">
        <f t="shared" si="194"/>
        <v>#DIV/0!</v>
      </c>
      <c r="BA191" s="29" t="str">
        <f t="shared" si="194"/>
        <v>#DIV/0!</v>
      </c>
      <c r="BB191" s="29" t="str">
        <f t="shared" si="194"/>
        <v>#DIV/0!</v>
      </c>
      <c r="BC191" s="29" t="str">
        <f t="shared" si="194"/>
        <v>#DIV/0!</v>
      </c>
      <c r="BD191" s="29" t="str">
        <f t="shared" si="194"/>
        <v>#DIV/0!</v>
      </c>
      <c r="BE191" s="29" t="str">
        <f t="shared" si="194"/>
        <v>#DIV/0!</v>
      </c>
      <c r="BF191" s="29" t="str">
        <f t="shared" si="194"/>
        <v>#DIV/0!</v>
      </c>
      <c r="BG191" s="29" t="str">
        <f t="shared" si="194"/>
        <v>#DIV/0!</v>
      </c>
      <c r="BH191" s="29" t="str">
        <f t="shared" si="194"/>
        <v>#DIV/0!</v>
      </c>
      <c r="BI191" s="29" t="str">
        <f t="shared" si="194"/>
        <v>#DIV/0!</v>
      </c>
      <c r="BJ191" s="29" t="str">
        <f t="shared" si="194"/>
        <v>#DIV/0!</v>
      </c>
      <c r="BK191" s="29" t="str">
        <f t="shared" si="194"/>
        <v>#DIV/0!</v>
      </c>
      <c r="BL191" s="29" t="str">
        <f t="shared" si="194"/>
        <v>#DIV/0!</v>
      </c>
      <c r="BM191" s="29" t="str">
        <f t="shared" si="3"/>
        <v>#DIV/0!</v>
      </c>
    </row>
    <row r="192" hidden="1">
      <c r="A192" s="16" t="str">
        <f>IFERROR(__xludf.DUMMYFUNCTION("IFERROR(SPARKLINE(SORT(MAP(TRANSPOSE(AQ192:BL192), LAMBDA(val, IF(ISNUMBER(val), PERCENTRANK(AQ192:BL192, val)+0.01, 0))), SEQUENCE(COLUMNS(AQ192:BL192)), FALSE), {""charttype"",""column""; ""color"",""chartreuse""; ""ymin"", 0; ""ymax"", 1.01; ""highcolo"&amp;"r"", ""darkgreen""; ""lowcolor"", ""red""}), """")"),"")</f>
        <v/>
      </c>
      <c r="B192" s="17" t="str">
        <f t="shared" si="4"/>
        <v/>
      </c>
      <c r="C192" s="1" t="s">
        <v>3227</v>
      </c>
      <c r="D192" s="30" t="str">
        <f>IFERROR(__xludf.DUMMYFUNCTION("IFERROR(GOOGLEFINANCE(C192, ""NAME""))"),"Natural Resource Partners LP")</f>
        <v>Natural Resource Partners LP</v>
      </c>
      <c r="E192" s="30" t="s">
        <v>2573</v>
      </c>
      <c r="F192" s="38" t="str">
        <f>IFERROR(__xludf.DUMMYFUNCTION("( (GOOGLEFINANCE(C192, ""price"") - Q192) / Q192 ) / (R192 / 100)"),"Loading...")</f>
        <v>Loading...</v>
      </c>
      <c r="G192" s="20" t="str">
        <f>IFERROR(__xludf.DUMMYFUNCTION("AVERAGE(ARRAYFORMULA(100 * (QUERY(GOOGLEFINANCE(C192, ""high"", TODAY()-40, TODAY()), ""SELECT Col2 WHERE Col2 IS NOT NULL ORDER BY Col1 DESC LIMIT 20"", 0) / QUERY(GOOGLEFINANCE(C192, ""low"", TODAY()-40, TODAY()), ""SELECT Col2 WHERE Col2 IS NOT NULL OR"&amp;"DER BY Col1 DESC LIMIT 20"", 0) - 1)))"),"#N/A")</f>
        <v>#N/A</v>
      </c>
      <c r="H192" s="35" t="str">
        <f t="shared" si="6"/>
        <v>Illiquid</v>
      </c>
      <c r="I192" s="35" t="str">
        <f t="shared" si="7"/>
        <v>RVol Required</v>
      </c>
      <c r="J192" s="37">
        <f>IFERROR(__xludf.DUMMYFUNCTION("IFERROR(
  IF(C192="""",, 
    IFERROR(
      GOOGLEFINANCE(C192, ""price"") * GOOGLEFINANCE(C192, ""volumeavg""), 
      GOOGLEFINANCE(C192, ""price"") * AVERAGE(QUERY(GOOGLEFINANCE(C192, ""volume"", TODAY()-40, TODAY()), ""SELECT Col2 WHERE Col2 IS NOT "&amp;"NULL ORDER BY Col1 DESC LIMIT 20"", 0))
    )
  ), 
"""")"),2664751.71)</f>
        <v>2664751.71</v>
      </c>
      <c r="K192" s="21">
        <f>IFERROR(__xludf.DUMMYFUNCTION("IFERROR(GOOGLEFINANCE(C192, ""changepct"") / 100, """")"),0.0076)</f>
        <v>0.0076</v>
      </c>
      <c r="L192" s="21" t="str">
        <f>IFERROR(__xludf.DUMMYFUNCTION("IFERROR((GOOGLEFINANCE(C192, ""price"") / INDEX(GOOGLEFINANCE(C192, ""price"", TODAY()-7, TODAY()), 2, 2)) - 1, """")"),"")</f>
        <v/>
      </c>
      <c r="M192" s="21" t="str">
        <f>IFERROR(__xludf.DUMMYFUNCTION("IFERROR((GOOGLEFINANCE(C192, ""price"") / INDEX(GOOGLEFINANCE(C192, ""price"", EDATE(TODAY(), -1), TODAY()), 2, 2)) - 1, """")"),"")</f>
        <v/>
      </c>
      <c r="N192" s="21" t="str">
        <f>IFERROR(__xludf.DUMMYFUNCTION("IFERROR((GOOGLEFINANCE(C192, ""price"") / INDEX(GOOGLEFINANCE(C192, ""price"", EDATE(TODAY(), -3), TODAY()), 2, 2)) - 1, """")"),"")</f>
        <v/>
      </c>
      <c r="O192" s="21" t="str">
        <f>IFERROR(__xludf.DUMMYFUNCTION("IFERROR((GOOGLEFINANCE(C192, ""price"") / INDEX(GOOGLEFINANCE(C192, ""price"", EDATE(TODAY(), -6), TODAY()), 2, 2)) - 1, """")"),"")</f>
        <v/>
      </c>
      <c r="P192" s="21" t="str">
        <f>IFERROR(__xludf.DUMMYFUNCTION("IFERROR((GOOGLEFINANCE(C192, ""price"") / INDEX(GOOGLEFINANCE(C192, ""price"", EDATE(TODAY(), -12), TODAY()), 2, 2)) - 1, """")"),"")</f>
        <v/>
      </c>
      <c r="Q192" s="6" t="str">
        <f>IFERROR(__xludf.DUMMYFUNCTION("AVERAGE(QUERY(GOOGLEFINANCE(C192, ""price"", TODAY()-80, TODAY()), ""SELECT Col2 WHERE Col2 IS NOT NULL ORDER BY Col1 DESC LIMIT 50"", 0))"),"#N/A")</f>
        <v>#N/A</v>
      </c>
      <c r="R192" s="24" t="str">
        <f>IFERROR(__xludf.DUMMYFUNCTION("IFERROR(
  LET(
    data, QUERY(GOOGLEFINANCE(C192,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GOOGLEFINANCE(C192, ""price"")) * 100,
    IF(calc=0, G192, calc)
  ), 
G192)"),"#N/A")</f>
        <v>#N/A</v>
      </c>
      <c r="S192" s="8" t="s">
        <v>15</v>
      </c>
      <c r="T192" s="26" t="str">
        <f>IFERROR(__xludf.DUMMYFUNCTION("IFERROR(TRANSPOSE(QUERY(IFERROR(SORT(GOOGLEFINANCE(C192, ""price"", WORKDAY(TODAY(), -40), TODAY()), 1, FALSE)), ""select Col2 where Col2 is not null limit 22 label Col2 ''"", 0)), """")"),"")</f>
        <v/>
      </c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8"/>
      <c r="AO192" s="28"/>
      <c r="AP192" s="29"/>
      <c r="AQ192" s="29" t="str">
        <f t="shared" ref="AQ192:BL192" si="195">T192/T$2</f>
        <v>#N/A</v>
      </c>
      <c r="AR192" s="29" t="str">
        <f t="shared" si="195"/>
        <v>#DIV/0!</v>
      </c>
      <c r="AS192" s="29" t="str">
        <f t="shared" si="195"/>
        <v>#DIV/0!</v>
      </c>
      <c r="AT192" s="29" t="str">
        <f t="shared" si="195"/>
        <v>#DIV/0!</v>
      </c>
      <c r="AU192" s="29" t="str">
        <f t="shared" si="195"/>
        <v>#DIV/0!</v>
      </c>
      <c r="AV192" s="29" t="str">
        <f t="shared" si="195"/>
        <v>#DIV/0!</v>
      </c>
      <c r="AW192" s="29" t="str">
        <f t="shared" si="195"/>
        <v>#DIV/0!</v>
      </c>
      <c r="AX192" s="29" t="str">
        <f t="shared" si="195"/>
        <v>#DIV/0!</v>
      </c>
      <c r="AY192" s="29" t="str">
        <f t="shared" si="195"/>
        <v>#DIV/0!</v>
      </c>
      <c r="AZ192" s="29" t="str">
        <f t="shared" si="195"/>
        <v>#DIV/0!</v>
      </c>
      <c r="BA192" s="29" t="str">
        <f t="shared" si="195"/>
        <v>#DIV/0!</v>
      </c>
      <c r="BB192" s="29" t="str">
        <f t="shared" si="195"/>
        <v>#DIV/0!</v>
      </c>
      <c r="BC192" s="29" t="str">
        <f t="shared" si="195"/>
        <v>#DIV/0!</v>
      </c>
      <c r="BD192" s="29" t="str">
        <f t="shared" si="195"/>
        <v>#DIV/0!</v>
      </c>
      <c r="BE192" s="29" t="str">
        <f t="shared" si="195"/>
        <v>#DIV/0!</v>
      </c>
      <c r="BF192" s="29" t="str">
        <f t="shared" si="195"/>
        <v>#DIV/0!</v>
      </c>
      <c r="BG192" s="29" t="str">
        <f t="shared" si="195"/>
        <v>#DIV/0!</v>
      </c>
      <c r="BH192" s="29" t="str">
        <f t="shared" si="195"/>
        <v>#DIV/0!</v>
      </c>
      <c r="BI192" s="29" t="str">
        <f t="shared" si="195"/>
        <v>#DIV/0!</v>
      </c>
      <c r="BJ192" s="29" t="str">
        <f t="shared" si="195"/>
        <v>#DIV/0!</v>
      </c>
      <c r="BK192" s="29" t="str">
        <f t="shared" si="195"/>
        <v>#DIV/0!</v>
      </c>
      <c r="BL192" s="29" t="str">
        <f t="shared" si="195"/>
        <v>#DIV/0!</v>
      </c>
      <c r="BM192" s="29" t="str">
        <f t="shared" si="3"/>
        <v>#DIV/0!</v>
      </c>
    </row>
    <row r="193" hidden="1">
      <c r="A193" s="16" t="str">
        <f>IFERROR(__xludf.DUMMYFUNCTION("IFERROR(SPARKLINE(SORT(MAP(TRANSPOSE(AQ193:BL193), LAMBDA(val, IF(ISNUMBER(val), PERCENTRANK(AQ193:BL193, val)+0.01, 0))), SEQUENCE(COLUMNS(AQ193:BL193)), FALSE), {""charttype"",""column""; ""color"",""chartreuse""; ""ymin"", 0; ""ymax"", 1.01; ""highcolo"&amp;"r"", ""darkgreen""; ""lowcolor"", ""red""}), """")"),"")</f>
        <v/>
      </c>
      <c r="B193" s="17" t="str">
        <f t="shared" si="4"/>
        <v/>
      </c>
      <c r="C193" s="1" t="s">
        <v>3230</v>
      </c>
      <c r="D193" s="30" t="str">
        <f>IFERROR(__xludf.DUMMYFUNCTION("IFERROR(GOOGLEFINANCE(C193, ""NAME""))"),"enCore Energy Corp")</f>
        <v>enCore Energy Corp</v>
      </c>
      <c r="E193" s="30" t="s">
        <v>2542</v>
      </c>
      <c r="F193" s="33" t="str">
        <f>IFERROR(__xludf.DUMMYFUNCTION("( (GOOGLEFINANCE(C193, ""price"") - Q193) / Q193 ) / (R193 / 100)"),"Loading...")</f>
        <v>Loading...</v>
      </c>
      <c r="G193" s="20" t="str">
        <f>IFERROR(__xludf.DUMMYFUNCTION("AVERAGE(ARRAYFORMULA(100 * (QUERY(GOOGLEFINANCE(C193, ""high"", TODAY()-40, TODAY()), ""SELECT Col2 WHERE Col2 IS NOT NULL ORDER BY Col1 DESC LIMIT 20"", 0) / QUERY(GOOGLEFINANCE(C193, ""low"", TODAY()-40, TODAY()), ""SELECT Col2 WHERE Col2 IS NOT NULL OR"&amp;"DER BY Col1 DESC LIMIT 20"", 0) - 1)))"),"#N/A")</f>
        <v>#N/A</v>
      </c>
      <c r="H193" s="35" t="str">
        <f t="shared" si="6"/>
        <v>Illiquid</v>
      </c>
      <c r="I193" s="35" t="str">
        <f t="shared" si="7"/>
        <v>RVol Required</v>
      </c>
      <c r="J193" s="37">
        <f>IFERROR(__xludf.DUMMYFUNCTION("IFERROR(
  IF(C193="""",, 
    IFERROR(
      GOOGLEFINANCE(C193, ""price"") * GOOGLEFINANCE(C193, ""volumeavg""), 
      GOOGLEFINANCE(C193, ""price"") * AVERAGE(QUERY(GOOGLEFINANCE(C193, ""volume"", TODAY()-40, TODAY()), ""SELECT Col2 WHERE Col2 IS NOT "&amp;"NULL ORDER BY Col1 DESC LIMIT 20"", 0))
    )
  ), 
"""")"),5571752.649999999)</f>
        <v>5571752.65</v>
      </c>
      <c r="K193" s="21">
        <f>IFERROR(__xludf.DUMMYFUNCTION("IFERROR(GOOGLEFINANCE(C193, ""changepct"") / 100, """")"),0.0046)</f>
        <v>0.0046</v>
      </c>
      <c r="L193" s="21" t="str">
        <f>IFERROR(__xludf.DUMMYFUNCTION("IFERROR((GOOGLEFINANCE(C193, ""price"") / INDEX(GOOGLEFINANCE(C193, ""price"", TODAY()-7, TODAY()), 2, 2)) - 1, """")"),"")</f>
        <v/>
      </c>
      <c r="M193" s="21" t="str">
        <f>IFERROR(__xludf.DUMMYFUNCTION("IFERROR((GOOGLEFINANCE(C193, ""price"") / INDEX(GOOGLEFINANCE(C193, ""price"", EDATE(TODAY(), -1), TODAY()), 2, 2)) - 1, """")"),"")</f>
        <v/>
      </c>
      <c r="N193" s="21" t="str">
        <f>IFERROR(__xludf.DUMMYFUNCTION("IFERROR((GOOGLEFINANCE(C193, ""price"") / INDEX(GOOGLEFINANCE(C193, ""price"", EDATE(TODAY(), -3), TODAY()), 2, 2)) - 1, """")"),"")</f>
        <v/>
      </c>
      <c r="O193" s="21" t="str">
        <f>IFERROR(__xludf.DUMMYFUNCTION("IFERROR((GOOGLEFINANCE(C193, ""price"") / INDEX(GOOGLEFINANCE(C193, ""price"", EDATE(TODAY(), -6), TODAY()), 2, 2)) - 1, """")"),"")</f>
        <v/>
      </c>
      <c r="P193" s="21" t="str">
        <f>IFERROR(__xludf.DUMMYFUNCTION("IFERROR((GOOGLEFINANCE(C193, ""price"") / INDEX(GOOGLEFINANCE(C193, ""price"", EDATE(TODAY(), -12), TODAY()), 2, 2)) - 1, """")"),"")</f>
        <v/>
      </c>
      <c r="Q193" s="6" t="str">
        <f>IFERROR(__xludf.DUMMYFUNCTION("AVERAGE(QUERY(GOOGLEFINANCE(C193, ""price"", TODAY()-80, TODAY()), ""SELECT Col2 WHERE Col2 IS NOT NULL ORDER BY Col1 DESC LIMIT 50"", 0))"),"#N/A")</f>
        <v>#N/A</v>
      </c>
      <c r="R193" s="24" t="str">
        <f>IFERROR(__xludf.DUMMYFUNCTION("IFERROR(
  LET(
    data, QUERY(GOOGLEFINANCE(C193,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GOOGLEFINANCE(C193, ""price"")) * 100,
    IF(calc=0, G193, calc)
  ), 
G193)"),"#N/A")</f>
        <v>#N/A</v>
      </c>
      <c r="S193" s="8" t="s">
        <v>15</v>
      </c>
      <c r="T193" s="26" t="str">
        <f>IFERROR(__xludf.DUMMYFUNCTION("IFERROR(TRANSPOSE(QUERY(IFERROR(SORT(GOOGLEFINANCE(C193, ""price"", WORKDAY(TODAY(), -40), TODAY()), 1, FALSE)), ""select Col2 where Col2 is not null limit 22 label Col2 ''"", 0)), """")"),"")</f>
        <v/>
      </c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8"/>
      <c r="AO193" s="28"/>
      <c r="AP193" s="29"/>
      <c r="AQ193" s="29" t="str">
        <f t="shared" ref="AQ193:BL193" si="196">T193/T$2</f>
        <v>#N/A</v>
      </c>
      <c r="AR193" s="29" t="str">
        <f t="shared" si="196"/>
        <v>#DIV/0!</v>
      </c>
      <c r="AS193" s="29" t="str">
        <f t="shared" si="196"/>
        <v>#DIV/0!</v>
      </c>
      <c r="AT193" s="29" t="str">
        <f t="shared" si="196"/>
        <v>#DIV/0!</v>
      </c>
      <c r="AU193" s="29" t="str">
        <f t="shared" si="196"/>
        <v>#DIV/0!</v>
      </c>
      <c r="AV193" s="29" t="str">
        <f t="shared" si="196"/>
        <v>#DIV/0!</v>
      </c>
      <c r="AW193" s="29" t="str">
        <f t="shared" si="196"/>
        <v>#DIV/0!</v>
      </c>
      <c r="AX193" s="29" t="str">
        <f t="shared" si="196"/>
        <v>#DIV/0!</v>
      </c>
      <c r="AY193" s="29" t="str">
        <f t="shared" si="196"/>
        <v>#DIV/0!</v>
      </c>
      <c r="AZ193" s="29" t="str">
        <f t="shared" si="196"/>
        <v>#DIV/0!</v>
      </c>
      <c r="BA193" s="29" t="str">
        <f t="shared" si="196"/>
        <v>#DIV/0!</v>
      </c>
      <c r="BB193" s="29" t="str">
        <f t="shared" si="196"/>
        <v>#DIV/0!</v>
      </c>
      <c r="BC193" s="29" t="str">
        <f t="shared" si="196"/>
        <v>#DIV/0!</v>
      </c>
      <c r="BD193" s="29" t="str">
        <f t="shared" si="196"/>
        <v>#DIV/0!</v>
      </c>
      <c r="BE193" s="29" t="str">
        <f t="shared" si="196"/>
        <v>#DIV/0!</v>
      </c>
      <c r="BF193" s="29" t="str">
        <f t="shared" si="196"/>
        <v>#DIV/0!</v>
      </c>
      <c r="BG193" s="29" t="str">
        <f t="shared" si="196"/>
        <v>#DIV/0!</v>
      </c>
      <c r="BH193" s="29" t="str">
        <f t="shared" si="196"/>
        <v>#DIV/0!</v>
      </c>
      <c r="BI193" s="29" t="str">
        <f t="shared" si="196"/>
        <v>#DIV/0!</v>
      </c>
      <c r="BJ193" s="29" t="str">
        <f t="shared" si="196"/>
        <v>#DIV/0!</v>
      </c>
      <c r="BK193" s="29" t="str">
        <f t="shared" si="196"/>
        <v>#DIV/0!</v>
      </c>
      <c r="BL193" s="29" t="str">
        <f t="shared" si="196"/>
        <v>#DIV/0!</v>
      </c>
      <c r="BM193" s="29" t="str">
        <f t="shared" si="3"/>
        <v>#DIV/0!</v>
      </c>
    </row>
    <row r="194">
      <c r="A194" s="16" t="str">
        <f>IFERROR(__xludf.DUMMYFUNCTION("IFERROR(SPARKLINE(SORT(MAP(TRANSPOSE(AQ194:BL194), LAMBDA(val, IF(ISNUMBER(val), PERCENTRANK(AQ194:BL194, val)+0.01, 0))), SEQUENCE(COLUMNS(AQ194:BL194)), FALSE), {""charttype"",""column""; ""color"",""chartreuse""; ""ymin"", 0; ""ymax"", 1.01; ""highcolo"&amp;"r"", ""darkgreen""; ""lowcolor"", ""red""}), """")"),"")</f>
        <v/>
      </c>
      <c r="B194" s="17" t="str">
        <f t="shared" si="4"/>
        <v/>
      </c>
      <c r="C194" s="1" t="s">
        <v>3233</v>
      </c>
      <c r="D194" s="30" t="str">
        <f>IFERROR(__xludf.DUMMYFUNCTION("IFERROR(GOOGLEFINANCE(C194, ""NAME""))"),"EQT Corp")</f>
        <v>EQT Corp</v>
      </c>
      <c r="E194" s="30" t="s">
        <v>2613</v>
      </c>
      <c r="F194" s="33" t="str">
        <f>IFERROR(__xludf.DUMMYFUNCTION("( (GOOGLEFINANCE(C194, ""price"") - Q194) / Q194 ) / (R194 / 100)"),"Loading...")</f>
        <v>Loading...</v>
      </c>
      <c r="G194" s="20" t="str">
        <f>IFERROR(__xludf.DUMMYFUNCTION("AVERAGE(ARRAYFORMULA(100 * (QUERY(GOOGLEFINANCE(C194, ""high"", TODAY()-40, TODAY()), ""SELECT Col2 WHERE Col2 IS NOT NULL ORDER BY Col1 DESC LIMIT 20"", 0) / QUERY(GOOGLEFINANCE(C194, ""low"", TODAY()-40, TODAY()), ""SELECT Col2 WHERE Col2 IS NOT NULL OR"&amp;"DER BY Col1 DESC LIMIT 20"", 0) - 1)))"),"#N/A")</f>
        <v>#N/A</v>
      </c>
      <c r="H194" s="35" t="str">
        <f t="shared" si="6"/>
        <v>Liquid</v>
      </c>
      <c r="I194" s="35" t="str">
        <f t="shared" si="7"/>
        <v>RVol Required</v>
      </c>
      <c r="J194" s="37">
        <f>IFERROR(__xludf.DUMMYFUNCTION("IFERROR(
  IF(C194="""",, 
    IFERROR(
      GOOGLEFINANCE(C194, ""price"") * GOOGLEFINANCE(C194, ""volumeavg""), 
      GOOGLEFINANCE(C194, ""price"") * AVERAGE(QUERY(GOOGLEFINANCE(C194, ""volume"", TODAY()-40, TODAY()), ""SELECT Col2 WHERE Col2 IS NOT "&amp;"NULL ORDER BY Col1 DESC LIMIT 20"", 0))
    )
  ), 
"""")"),3.915450282E8)</f>
        <v>391545028.2</v>
      </c>
      <c r="K194" s="21">
        <f>IFERROR(__xludf.DUMMYFUNCTION("IFERROR(GOOGLEFINANCE(C194, ""changepct"") / 100, """")"),0.0353)</f>
        <v>0.0353</v>
      </c>
      <c r="L194" s="21" t="str">
        <f>IFERROR(__xludf.DUMMYFUNCTION("IFERROR((GOOGLEFINANCE(C194, ""price"") / INDEX(GOOGLEFINANCE(C194, ""price"", TODAY()-7, TODAY()), 2, 2)) - 1, """")"),"")</f>
        <v/>
      </c>
      <c r="M194" s="21" t="str">
        <f>IFERROR(__xludf.DUMMYFUNCTION("IFERROR((GOOGLEFINANCE(C194, ""price"") / INDEX(GOOGLEFINANCE(C194, ""price"", EDATE(TODAY(), -1), TODAY()), 2, 2)) - 1, """")"),"")</f>
        <v/>
      </c>
      <c r="N194" s="21" t="str">
        <f>IFERROR(__xludf.DUMMYFUNCTION("IFERROR((GOOGLEFINANCE(C194, ""price"") / INDEX(GOOGLEFINANCE(C194, ""price"", EDATE(TODAY(), -3), TODAY()), 2, 2)) - 1, """")"),"")</f>
        <v/>
      </c>
      <c r="O194" s="21" t="str">
        <f>IFERROR(__xludf.DUMMYFUNCTION("IFERROR((GOOGLEFINANCE(C194, ""price"") / INDEX(GOOGLEFINANCE(C194, ""price"", EDATE(TODAY(), -6), TODAY()), 2, 2)) - 1, """")"),"")</f>
        <v/>
      </c>
      <c r="P194" s="21" t="str">
        <f>IFERROR(__xludf.DUMMYFUNCTION("IFERROR((GOOGLEFINANCE(C194, ""price"") / INDEX(GOOGLEFINANCE(C194, ""price"", EDATE(TODAY(), -12), TODAY()), 2, 2)) - 1, """")"),"")</f>
        <v/>
      </c>
      <c r="Q194" s="6" t="str">
        <f>IFERROR(__xludf.DUMMYFUNCTION("AVERAGE(QUERY(GOOGLEFINANCE(C194, ""price"", TODAY()-80, TODAY()), ""SELECT Col2 WHERE Col2 IS NOT NULL ORDER BY Col1 DESC LIMIT 50"", 0))"),"#N/A")</f>
        <v>#N/A</v>
      </c>
      <c r="R194" s="24" t="str">
        <f>IFERROR(__xludf.DUMMYFUNCTION("IFERROR(
  LET(
    data, QUERY(GOOGLEFINANCE(C194,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GOOGLEFINANCE(C194, ""price"")) * 100,
    IF(calc=0, G194, calc)
  ), 
G194)"),"#N/A")</f>
        <v>#N/A</v>
      </c>
      <c r="S194" s="8" t="s">
        <v>15</v>
      </c>
      <c r="T194" s="26" t="str">
        <f>IFERROR(__xludf.DUMMYFUNCTION("IFERROR(TRANSPOSE(QUERY(IFERROR(SORT(GOOGLEFINANCE(C194, ""price"", WORKDAY(TODAY(), -40), TODAY()), 1, FALSE)), ""select Col2 where Col2 is not null limit 22 label Col2 ''"", 0)), """")"),"")</f>
        <v/>
      </c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8"/>
      <c r="AO194" s="28"/>
      <c r="AP194" s="29"/>
      <c r="AQ194" s="29" t="str">
        <f t="shared" ref="AQ194:BL194" si="197">T194/T$2</f>
        <v>#N/A</v>
      </c>
      <c r="AR194" s="29" t="str">
        <f t="shared" si="197"/>
        <v>#DIV/0!</v>
      </c>
      <c r="AS194" s="29" t="str">
        <f t="shared" si="197"/>
        <v>#DIV/0!</v>
      </c>
      <c r="AT194" s="29" t="str">
        <f t="shared" si="197"/>
        <v>#DIV/0!</v>
      </c>
      <c r="AU194" s="29" t="str">
        <f t="shared" si="197"/>
        <v>#DIV/0!</v>
      </c>
      <c r="AV194" s="29" t="str">
        <f t="shared" si="197"/>
        <v>#DIV/0!</v>
      </c>
      <c r="AW194" s="29" t="str">
        <f t="shared" si="197"/>
        <v>#DIV/0!</v>
      </c>
      <c r="AX194" s="29" t="str">
        <f t="shared" si="197"/>
        <v>#DIV/0!</v>
      </c>
      <c r="AY194" s="29" t="str">
        <f t="shared" si="197"/>
        <v>#DIV/0!</v>
      </c>
      <c r="AZ194" s="29" t="str">
        <f t="shared" si="197"/>
        <v>#DIV/0!</v>
      </c>
      <c r="BA194" s="29" t="str">
        <f t="shared" si="197"/>
        <v>#DIV/0!</v>
      </c>
      <c r="BB194" s="29" t="str">
        <f t="shared" si="197"/>
        <v>#DIV/0!</v>
      </c>
      <c r="BC194" s="29" t="str">
        <f t="shared" si="197"/>
        <v>#DIV/0!</v>
      </c>
      <c r="BD194" s="29" t="str">
        <f t="shared" si="197"/>
        <v>#DIV/0!</v>
      </c>
      <c r="BE194" s="29" t="str">
        <f t="shared" si="197"/>
        <v>#DIV/0!</v>
      </c>
      <c r="BF194" s="29" t="str">
        <f t="shared" si="197"/>
        <v>#DIV/0!</v>
      </c>
      <c r="BG194" s="29" t="str">
        <f t="shared" si="197"/>
        <v>#DIV/0!</v>
      </c>
      <c r="BH194" s="29" t="str">
        <f t="shared" si="197"/>
        <v>#DIV/0!</v>
      </c>
      <c r="BI194" s="29" t="str">
        <f t="shared" si="197"/>
        <v>#DIV/0!</v>
      </c>
      <c r="BJ194" s="29" t="str">
        <f t="shared" si="197"/>
        <v>#DIV/0!</v>
      </c>
      <c r="BK194" s="29" t="str">
        <f t="shared" si="197"/>
        <v>#DIV/0!</v>
      </c>
      <c r="BL194" s="29" t="str">
        <f t="shared" si="197"/>
        <v>#DIV/0!</v>
      </c>
      <c r="BM194" s="29" t="str">
        <f t="shared" si="3"/>
        <v>#DIV/0!</v>
      </c>
    </row>
    <row r="195" hidden="1">
      <c r="A195" s="16" t="str">
        <f>IFERROR(__xludf.DUMMYFUNCTION("IFERROR(SPARKLINE(SORT(MAP(TRANSPOSE(AQ195:BL195), LAMBDA(val, IF(ISNUMBER(val), PERCENTRANK(AQ195:BL195, val)+0.01, 0))), SEQUENCE(COLUMNS(AQ195:BL195)), FALSE), {""charttype"",""column""; ""color"",""chartreuse""; ""ymin"", 0; ""ymax"", 1.01; ""highcolo"&amp;"r"", ""darkgreen""; ""lowcolor"", ""red""}), """")"),"")</f>
        <v/>
      </c>
      <c r="B195" s="17" t="str">
        <f t="shared" si="4"/>
        <v/>
      </c>
      <c r="C195" s="1" t="s">
        <v>3236</v>
      </c>
      <c r="D195" s="30" t="str">
        <f>IFERROR(__xludf.DUMMYFUNCTION("IFERROR(GOOGLEFINANCE(C195, ""NAME""))"),"")</f>
        <v/>
      </c>
      <c r="E195" s="30" t="s">
        <v>2649</v>
      </c>
      <c r="F195" s="33" t="str">
        <f>IFERROR(__xludf.DUMMYFUNCTION("( (GOOGLEFINANCE(C195, ""price"") - Q195) / Q195 ) / (R195 / 100)"),"Loading...")</f>
        <v>Loading...</v>
      </c>
      <c r="G195" s="20" t="str">
        <f>IFERROR(__xludf.DUMMYFUNCTION("AVERAGE(ARRAYFORMULA(100 * (QUERY(GOOGLEFINANCE(C195, ""high"", TODAY()-40, TODAY()), ""SELECT Col2 WHERE Col2 IS NOT NULL ORDER BY Col1 DESC LIMIT 20"", 0) / QUERY(GOOGLEFINANCE(C195, ""low"", TODAY()-40, TODAY()), ""SELECT Col2 WHERE Col2 IS NOT NULL OR"&amp;"DER BY Col1 DESC LIMIT 20"", 0) - 1)))"),"#N/A")</f>
        <v>#N/A</v>
      </c>
      <c r="H195" s="35" t="str">
        <f t="shared" si="6"/>
        <v/>
      </c>
      <c r="I195" s="35" t="str">
        <f t="shared" si="7"/>
        <v/>
      </c>
      <c r="J195" s="37" t="str">
        <f>IFERROR(__xludf.DUMMYFUNCTION("IFERROR(
  IF(C195="""",, 
    IFERROR(
      GOOGLEFINANCE(C195, ""price"") * GOOGLEFINANCE(C195, ""volumeavg""), 
      GOOGLEFINANCE(C195, ""price"") * AVERAGE(QUERY(GOOGLEFINANCE(C195, ""volume"", TODAY()-40, TODAY()), ""SELECT Col2 WHERE Col2 IS NOT "&amp;"NULL ORDER BY Col1 DESC LIMIT 20"", 0))
    )
  ), 
"""")"),"")</f>
        <v/>
      </c>
      <c r="K195" s="21" t="str">
        <f>IFERROR(__xludf.DUMMYFUNCTION("IFERROR(GOOGLEFINANCE(C195, ""changepct"") / 100, """")"),"")</f>
        <v/>
      </c>
      <c r="L195" s="21" t="str">
        <f>IFERROR(__xludf.DUMMYFUNCTION("IFERROR((GOOGLEFINANCE(C195, ""price"") / INDEX(GOOGLEFINANCE(C195, ""price"", TODAY()-7, TODAY()), 2, 2)) - 1, """")"),"")</f>
        <v/>
      </c>
      <c r="M195" s="21" t="str">
        <f>IFERROR(__xludf.DUMMYFUNCTION("IFERROR((GOOGLEFINANCE(C195, ""price"") / INDEX(GOOGLEFINANCE(C195, ""price"", EDATE(TODAY(), -1), TODAY()), 2, 2)) - 1, """")"),"")</f>
        <v/>
      </c>
      <c r="N195" s="21" t="str">
        <f>IFERROR(__xludf.DUMMYFUNCTION("IFERROR((GOOGLEFINANCE(C195, ""price"") / INDEX(GOOGLEFINANCE(C195, ""price"", EDATE(TODAY(), -3), TODAY()), 2, 2)) - 1, """")"),"")</f>
        <v/>
      </c>
      <c r="O195" s="21" t="str">
        <f>IFERROR(__xludf.DUMMYFUNCTION("IFERROR((GOOGLEFINANCE(C195, ""price"") / INDEX(GOOGLEFINANCE(C195, ""price"", EDATE(TODAY(), -6), TODAY()), 2, 2)) - 1, """")"),"")</f>
        <v/>
      </c>
      <c r="P195" s="21" t="str">
        <f>IFERROR(__xludf.DUMMYFUNCTION("IFERROR((GOOGLEFINANCE(C195, ""price"") / INDEX(GOOGLEFINANCE(C195, ""price"", EDATE(TODAY(), -12), TODAY()), 2, 2)) - 1, """")"),"")</f>
        <v/>
      </c>
      <c r="Q195" s="6" t="str">
        <f>IFERROR(__xludf.DUMMYFUNCTION("AVERAGE(QUERY(GOOGLEFINANCE(C195, ""price"", TODAY()-80, TODAY()), ""SELECT Col2 WHERE Col2 IS NOT NULL ORDER BY Col1 DESC LIMIT 50"", 0))"),"#N/A")</f>
        <v>#N/A</v>
      </c>
      <c r="R195" s="24" t="str">
        <f>IFERROR(__xludf.DUMMYFUNCTION("IFERROR(
  LET(
    data, QUERY(GOOGLEFINANCE(C195,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GOOGLEFINANCE(C195, ""price"")) * 100,
    IF(calc=0, G195, calc)
  ), 
G195)"),"#N/A")</f>
        <v>#N/A</v>
      </c>
      <c r="S195" s="8" t="s">
        <v>15</v>
      </c>
      <c r="T195" s="26" t="str">
        <f>IFERROR(__xludf.DUMMYFUNCTION("IFERROR(TRANSPOSE(QUERY(IFERROR(SORT(GOOGLEFINANCE(C195, ""price"", WORKDAY(TODAY(), -40), TODAY()), 1, FALSE)), ""select Col2 where Col2 is not null limit 22 label Col2 ''"", 0)), """")"),"")</f>
        <v/>
      </c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8"/>
      <c r="AO195" s="28"/>
      <c r="AP195" s="29"/>
      <c r="AQ195" s="29" t="str">
        <f t="shared" ref="AQ195:BL195" si="198">T195/T$2</f>
        <v>#N/A</v>
      </c>
      <c r="AR195" s="29" t="str">
        <f t="shared" si="198"/>
        <v>#DIV/0!</v>
      </c>
      <c r="AS195" s="29" t="str">
        <f t="shared" si="198"/>
        <v>#DIV/0!</v>
      </c>
      <c r="AT195" s="29" t="str">
        <f t="shared" si="198"/>
        <v>#DIV/0!</v>
      </c>
      <c r="AU195" s="29" t="str">
        <f t="shared" si="198"/>
        <v>#DIV/0!</v>
      </c>
      <c r="AV195" s="29" t="str">
        <f t="shared" si="198"/>
        <v>#DIV/0!</v>
      </c>
      <c r="AW195" s="29" t="str">
        <f t="shared" si="198"/>
        <v>#DIV/0!</v>
      </c>
      <c r="AX195" s="29" t="str">
        <f t="shared" si="198"/>
        <v>#DIV/0!</v>
      </c>
      <c r="AY195" s="29" t="str">
        <f t="shared" si="198"/>
        <v>#DIV/0!</v>
      </c>
      <c r="AZ195" s="29" t="str">
        <f t="shared" si="198"/>
        <v>#DIV/0!</v>
      </c>
      <c r="BA195" s="29" t="str">
        <f t="shared" si="198"/>
        <v>#DIV/0!</v>
      </c>
      <c r="BB195" s="29" t="str">
        <f t="shared" si="198"/>
        <v>#DIV/0!</v>
      </c>
      <c r="BC195" s="29" t="str">
        <f t="shared" si="198"/>
        <v>#DIV/0!</v>
      </c>
      <c r="BD195" s="29" t="str">
        <f t="shared" si="198"/>
        <v>#DIV/0!</v>
      </c>
      <c r="BE195" s="29" t="str">
        <f t="shared" si="198"/>
        <v>#DIV/0!</v>
      </c>
      <c r="BF195" s="29" t="str">
        <f t="shared" si="198"/>
        <v>#DIV/0!</v>
      </c>
      <c r="BG195" s="29" t="str">
        <f t="shared" si="198"/>
        <v>#DIV/0!</v>
      </c>
      <c r="BH195" s="29" t="str">
        <f t="shared" si="198"/>
        <v>#DIV/0!</v>
      </c>
      <c r="BI195" s="29" t="str">
        <f t="shared" si="198"/>
        <v>#DIV/0!</v>
      </c>
      <c r="BJ195" s="29" t="str">
        <f t="shared" si="198"/>
        <v>#DIV/0!</v>
      </c>
      <c r="BK195" s="29" t="str">
        <f t="shared" si="198"/>
        <v>#DIV/0!</v>
      </c>
      <c r="BL195" s="29" t="str">
        <f t="shared" si="198"/>
        <v>#DIV/0!</v>
      </c>
      <c r="BM195" s="29" t="str">
        <f t="shared" si="3"/>
        <v>#DIV/0!</v>
      </c>
    </row>
    <row r="196" hidden="1">
      <c r="A196" s="16" t="str">
        <f>IFERROR(__xludf.DUMMYFUNCTION("IFERROR(SPARKLINE(SORT(MAP(TRANSPOSE(AQ196:BL196), LAMBDA(val, IF(ISNUMBER(val), PERCENTRANK(AQ196:BL196, val)+0.01, 0))), SEQUENCE(COLUMNS(AQ196:BL196)), FALSE), {""charttype"",""column""; ""color"",""chartreuse""; ""ymin"", 0; ""ymax"", 1.01; ""highcolo"&amp;"r"", ""darkgreen""; ""lowcolor"", ""red""}), """")"),"")</f>
        <v/>
      </c>
      <c r="B196" s="17" t="str">
        <f t="shared" si="4"/>
        <v/>
      </c>
      <c r="C196" s="1" t="s">
        <v>3238</v>
      </c>
      <c r="D196" s="30" t="str">
        <f>IFERROR(__xludf.DUMMYFUNCTION("IFERROR(GOOGLEFINANCE(C196, ""NAME""))"),"Clean Energy Fuels Corp")</f>
        <v>Clean Energy Fuels Corp</v>
      </c>
      <c r="E196" s="30" t="s">
        <v>2649</v>
      </c>
      <c r="F196" s="33" t="str">
        <f>IFERROR(__xludf.DUMMYFUNCTION("( (GOOGLEFINANCE(C196, ""price"") - Q196) / Q196 ) / (R196 / 100)"),"Loading...")</f>
        <v>Loading...</v>
      </c>
      <c r="G196" s="20" t="str">
        <f>IFERROR(__xludf.DUMMYFUNCTION("AVERAGE(ARRAYFORMULA(100 * (QUERY(GOOGLEFINANCE(C196, ""high"", TODAY()-40, TODAY()), ""SELECT Col2 WHERE Col2 IS NOT NULL ORDER BY Col1 DESC LIMIT 20"", 0) / QUERY(GOOGLEFINANCE(C196, ""low"", TODAY()-40, TODAY()), ""SELECT Col2 WHERE Col2 IS NOT NULL OR"&amp;"DER BY Col1 DESC LIMIT 20"", 0) - 1)))"),"#N/A")</f>
        <v>#N/A</v>
      </c>
      <c r="H196" s="35" t="str">
        <f t="shared" si="6"/>
        <v>Illiquid</v>
      </c>
      <c r="I196" s="35" t="str">
        <f t="shared" si="7"/>
        <v>RVol Required</v>
      </c>
      <c r="J196" s="37">
        <f>IFERROR(__xludf.DUMMYFUNCTION("IFERROR(
  IF(C196="""",, 
    IFERROR(
      GOOGLEFINANCE(C196, ""price"") * GOOGLEFINANCE(C196, ""volumeavg""), 
      GOOGLEFINANCE(C196, ""price"") * AVERAGE(QUERY(GOOGLEFINANCE(C196, ""volume"", TODAY()-40, TODAY()), ""SELECT Col2 WHERE Col2 IS NOT "&amp;"NULL ORDER BY Col1 DESC LIMIT 20"", 0))
    )
  ), 
"""")"),2354653.5)</f>
        <v>2354653.5</v>
      </c>
      <c r="K196" s="21">
        <f>IFERROR(__xludf.DUMMYFUNCTION("IFERROR(GOOGLEFINANCE(C196, ""changepct"") / 100, """")"),-0.0066)</f>
        <v>-0.0066</v>
      </c>
      <c r="L196" s="21" t="str">
        <f>IFERROR(__xludf.DUMMYFUNCTION("IFERROR((GOOGLEFINANCE(C196, ""price"") / INDEX(GOOGLEFINANCE(C196, ""price"", TODAY()-7, TODAY()), 2, 2)) - 1, """")"),"")</f>
        <v/>
      </c>
      <c r="M196" s="21" t="str">
        <f>IFERROR(__xludf.DUMMYFUNCTION("IFERROR((GOOGLEFINANCE(C196, ""price"") / INDEX(GOOGLEFINANCE(C196, ""price"", EDATE(TODAY(), -1), TODAY()), 2, 2)) - 1, """")"),"")</f>
        <v/>
      </c>
      <c r="N196" s="21" t="str">
        <f>IFERROR(__xludf.DUMMYFUNCTION("IFERROR((GOOGLEFINANCE(C196, ""price"") / INDEX(GOOGLEFINANCE(C196, ""price"", EDATE(TODAY(), -3), TODAY()), 2, 2)) - 1, """")"),"")</f>
        <v/>
      </c>
      <c r="O196" s="21" t="str">
        <f>IFERROR(__xludf.DUMMYFUNCTION("IFERROR((GOOGLEFINANCE(C196, ""price"") / INDEX(GOOGLEFINANCE(C196, ""price"", EDATE(TODAY(), -6), TODAY()), 2, 2)) - 1, """")"),"")</f>
        <v/>
      </c>
      <c r="P196" s="21" t="str">
        <f>IFERROR(__xludf.DUMMYFUNCTION("IFERROR((GOOGLEFINANCE(C196, ""price"") / INDEX(GOOGLEFINANCE(C196, ""price"", EDATE(TODAY(), -12), TODAY()), 2, 2)) - 1, """")"),"")</f>
        <v/>
      </c>
      <c r="Q196" s="6" t="str">
        <f>IFERROR(__xludf.DUMMYFUNCTION("AVERAGE(QUERY(GOOGLEFINANCE(C196, ""price"", TODAY()-80, TODAY()), ""SELECT Col2 WHERE Col2 IS NOT NULL ORDER BY Col1 DESC LIMIT 50"", 0))"),"#N/A")</f>
        <v>#N/A</v>
      </c>
      <c r="R196" s="24" t="str">
        <f>IFERROR(__xludf.DUMMYFUNCTION("IFERROR(
  LET(
    data, QUERY(GOOGLEFINANCE(C196,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GOOGLEFINANCE(C196, ""price"")) * 100,
    IF(calc=0, G196, calc)
  ), 
G196)"),"#N/A")</f>
        <v>#N/A</v>
      </c>
      <c r="S196" s="8" t="s">
        <v>15</v>
      </c>
      <c r="T196" s="26" t="str">
        <f>IFERROR(__xludf.DUMMYFUNCTION("IFERROR(TRANSPOSE(QUERY(IFERROR(SORT(GOOGLEFINANCE(C196, ""price"", WORKDAY(TODAY(), -40), TODAY()), 1, FALSE)), ""select Col2 where Col2 is not null limit 22 label Col2 ''"", 0)), """")"),"")</f>
        <v/>
      </c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8"/>
      <c r="AO196" s="28"/>
      <c r="AP196" s="29"/>
      <c r="AQ196" s="29" t="str">
        <f t="shared" ref="AQ196:BL196" si="199">T196/T$2</f>
        <v>#N/A</v>
      </c>
      <c r="AR196" s="29" t="str">
        <f t="shared" si="199"/>
        <v>#DIV/0!</v>
      </c>
      <c r="AS196" s="29" t="str">
        <f t="shared" si="199"/>
        <v>#DIV/0!</v>
      </c>
      <c r="AT196" s="29" t="str">
        <f t="shared" si="199"/>
        <v>#DIV/0!</v>
      </c>
      <c r="AU196" s="29" t="str">
        <f t="shared" si="199"/>
        <v>#DIV/0!</v>
      </c>
      <c r="AV196" s="29" t="str">
        <f t="shared" si="199"/>
        <v>#DIV/0!</v>
      </c>
      <c r="AW196" s="29" t="str">
        <f t="shared" si="199"/>
        <v>#DIV/0!</v>
      </c>
      <c r="AX196" s="29" t="str">
        <f t="shared" si="199"/>
        <v>#DIV/0!</v>
      </c>
      <c r="AY196" s="29" t="str">
        <f t="shared" si="199"/>
        <v>#DIV/0!</v>
      </c>
      <c r="AZ196" s="29" t="str">
        <f t="shared" si="199"/>
        <v>#DIV/0!</v>
      </c>
      <c r="BA196" s="29" t="str">
        <f t="shared" si="199"/>
        <v>#DIV/0!</v>
      </c>
      <c r="BB196" s="29" t="str">
        <f t="shared" si="199"/>
        <v>#DIV/0!</v>
      </c>
      <c r="BC196" s="29" t="str">
        <f t="shared" si="199"/>
        <v>#DIV/0!</v>
      </c>
      <c r="BD196" s="29" t="str">
        <f t="shared" si="199"/>
        <v>#DIV/0!</v>
      </c>
      <c r="BE196" s="29" t="str">
        <f t="shared" si="199"/>
        <v>#DIV/0!</v>
      </c>
      <c r="BF196" s="29" t="str">
        <f t="shared" si="199"/>
        <v>#DIV/0!</v>
      </c>
      <c r="BG196" s="29" t="str">
        <f t="shared" si="199"/>
        <v>#DIV/0!</v>
      </c>
      <c r="BH196" s="29" t="str">
        <f t="shared" si="199"/>
        <v>#DIV/0!</v>
      </c>
      <c r="BI196" s="29" t="str">
        <f t="shared" si="199"/>
        <v>#DIV/0!</v>
      </c>
      <c r="BJ196" s="29" t="str">
        <f t="shared" si="199"/>
        <v>#DIV/0!</v>
      </c>
      <c r="BK196" s="29" t="str">
        <f t="shared" si="199"/>
        <v>#DIV/0!</v>
      </c>
      <c r="BL196" s="29" t="str">
        <f t="shared" si="199"/>
        <v>#DIV/0!</v>
      </c>
      <c r="BM196" s="29" t="str">
        <f t="shared" si="3"/>
        <v>#DIV/0!</v>
      </c>
    </row>
  </sheetData>
  <autoFilter ref="$A$1:$BM$196">
    <filterColumn colId="7">
      <filters>
        <filter val="Liquid"/>
      </filters>
    </filterColumn>
  </autoFilter>
  <conditionalFormatting sqref="H4:H196">
    <cfRule type="cellIs" dxfId="8" priority="1" operator="equal">
      <formula>"Liquid"</formula>
    </cfRule>
  </conditionalFormatting>
  <conditionalFormatting sqref="I4:I196">
    <cfRule type="containsText" dxfId="8" priority="2" operator="containsText" text="No">
      <formula>NOT(ISERROR(SEARCH(("No"),(I4))))</formula>
    </cfRule>
  </conditionalFormatting>
  <conditionalFormatting sqref="K1:P196">
    <cfRule type="cellIs" dxfId="0" priority="3" operator="lessThan">
      <formula>0</formula>
    </cfRule>
  </conditionalFormatting>
  <conditionalFormatting sqref="A1:BM196">
    <cfRule type="containsBlanks" dxfId="1" priority="4">
      <formula>LEN(TRIM(A1))=0</formula>
    </cfRule>
  </conditionalFormatting>
  <conditionalFormatting sqref="C1:C196">
    <cfRule type="expression" dxfId="2" priority="5">
      <formula>COUNTIF($C:$C, C1) &gt; 1</formula>
    </cfRule>
  </conditionalFormatting>
  <conditionalFormatting sqref="F1:F196">
    <cfRule type="cellIs" dxfId="3" priority="6" operator="greaterThanOrEqual">
      <formula>8</formula>
    </cfRule>
  </conditionalFormatting>
  <conditionalFormatting sqref="F1:F196">
    <cfRule type="cellIs" dxfId="4" priority="7" operator="greaterThanOrEqual">
      <formula>5</formula>
    </cfRule>
  </conditionalFormatting>
  <conditionalFormatting sqref="F1:F196">
    <cfRule type="cellIs" dxfId="5" priority="8" operator="between">
      <formula>5</formula>
      <formula>-1</formula>
    </cfRule>
  </conditionalFormatting>
  <conditionalFormatting sqref="F1:F196">
    <cfRule type="cellIs" dxfId="6" priority="9" operator="lessThan">
      <formula>-5</formula>
    </cfRule>
  </conditionalFormatting>
  <conditionalFormatting sqref="G1:H196">
    <cfRule type="cellIs" dxfId="7" priority="10" operator="greaterThanOrEqual">
      <formula>4</formula>
    </cfRule>
  </conditionalFormatting>
  <conditionalFormatting sqref="F1:F196">
    <cfRule type="cellIs" dxfId="9" priority="11" operator="lessThan">
      <formula>-1</formula>
    </cfRule>
  </conditionalFormatting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2.13"/>
    <col customWidth="1" min="2" max="2" width="9.13"/>
    <col customWidth="1" min="3" max="3" width="8.25"/>
    <col customWidth="1" min="4" max="4" width="36.13"/>
    <col customWidth="1" min="5" max="5" width="25.63"/>
    <col customWidth="1" min="6" max="6" width="11.25"/>
    <col customWidth="1" min="7" max="7" width="8.25"/>
    <col customWidth="1" min="8" max="8" width="6.75"/>
    <col customWidth="1" min="9" max="9" width="14.75"/>
    <col customWidth="1" min="10" max="10" width="13.63"/>
    <col customWidth="1" min="11" max="11" width="6.63"/>
    <col customWidth="1" min="12" max="12" width="7.13"/>
    <col customWidth="1" min="13" max="13" width="7.38"/>
    <col customWidth="1" min="14" max="14" width="7.63"/>
    <col customWidth="1" min="15" max="15" width="8.0"/>
    <col customWidth="1" min="16" max="16" width="8.75"/>
    <col customWidth="1" min="17" max="17" width="9.38"/>
    <col customWidth="1" min="18" max="18" width="8.63"/>
    <col customWidth="1" min="19" max="19" width="1.63"/>
    <col customWidth="1" min="20" max="20" width="9.25"/>
    <col customWidth="1" min="21" max="22" width="10.75"/>
    <col customWidth="1" min="23" max="23" width="10.88"/>
    <col customWidth="1" min="24" max="24" width="10.75"/>
    <col customWidth="1" min="25" max="25" width="10.88"/>
    <col customWidth="1" min="26" max="26" width="10.75"/>
    <col customWidth="1" min="27" max="28" width="10.88"/>
    <col customWidth="1" min="29" max="29" width="11.5"/>
    <col customWidth="1" min="30" max="30" width="11.0"/>
    <col customWidth="1" min="31" max="32" width="11.25"/>
    <col customWidth="1" min="33" max="33" width="11.5"/>
    <col customWidth="1" min="34" max="38" width="11.38"/>
    <col customWidth="1" min="39" max="39" width="11.75"/>
    <col customWidth="1" min="40" max="40" width="11.38"/>
    <col customWidth="1" min="41" max="41" width="11.63"/>
    <col customWidth="1" min="42" max="42" width="14.5"/>
    <col customWidth="1" min="43" max="64" width="5.5"/>
    <col customWidth="1" min="65" max="65" width="5.3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5" t="s">
        <v>5</v>
      </c>
      <c r="F1" s="3" t="s">
        <v>4</v>
      </c>
      <c r="G1" s="43" t="s">
        <v>6</v>
      </c>
      <c r="H1" s="44" t="s">
        <v>17</v>
      </c>
      <c r="I1" s="44" t="s">
        <v>19</v>
      </c>
      <c r="J1" s="44" t="s">
        <v>23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6" t="s">
        <v>13</v>
      </c>
      <c r="R1" s="7" t="s">
        <v>14</v>
      </c>
      <c r="S1" s="8" t="s">
        <v>15</v>
      </c>
      <c r="T1" s="10" t="s">
        <v>16</v>
      </c>
      <c r="U1" s="11" t="s">
        <v>18</v>
      </c>
      <c r="V1" s="12" t="s">
        <v>20</v>
      </c>
      <c r="W1" s="11" t="s">
        <v>21</v>
      </c>
      <c r="X1" s="12" t="s">
        <v>22</v>
      </c>
      <c r="Y1" s="11" t="s">
        <v>24</v>
      </c>
      <c r="Z1" s="11" t="s">
        <v>25</v>
      </c>
      <c r="AA1" s="12" t="s">
        <v>26</v>
      </c>
      <c r="AB1" s="11" t="s">
        <v>27</v>
      </c>
      <c r="AC1" s="12" t="s">
        <v>28</v>
      </c>
      <c r="AD1" s="11" t="s">
        <v>29</v>
      </c>
      <c r="AE1" s="11" t="s">
        <v>30</v>
      </c>
      <c r="AF1" s="12" t="s">
        <v>31</v>
      </c>
      <c r="AG1" s="11" t="s">
        <v>32</v>
      </c>
      <c r="AH1" s="12" t="s">
        <v>33</v>
      </c>
      <c r="AI1" s="11" t="s">
        <v>34</v>
      </c>
      <c r="AJ1" s="11" t="s">
        <v>35</v>
      </c>
      <c r="AK1" s="12" t="s">
        <v>36</v>
      </c>
      <c r="AL1" s="11" t="s">
        <v>37</v>
      </c>
      <c r="AM1" s="12" t="s">
        <v>38</v>
      </c>
      <c r="AN1" s="11" t="s">
        <v>39</v>
      </c>
      <c r="AO1" s="11" t="s">
        <v>40</v>
      </c>
      <c r="AP1" s="13"/>
      <c r="AQ1" s="14">
        <v>1.0</v>
      </c>
      <c r="AR1" s="14">
        <v>2.0</v>
      </c>
      <c r="AS1" s="14">
        <v>3.0</v>
      </c>
      <c r="AT1" s="14">
        <v>4.0</v>
      </c>
      <c r="AU1" s="14">
        <v>5.0</v>
      </c>
      <c r="AV1" s="14">
        <v>6.0</v>
      </c>
      <c r="AW1" s="14">
        <v>7.0</v>
      </c>
      <c r="AX1" s="14">
        <v>8.0</v>
      </c>
      <c r="AY1" s="14">
        <v>9.0</v>
      </c>
      <c r="AZ1" s="14">
        <v>10.0</v>
      </c>
      <c r="BA1" s="14">
        <v>11.0</v>
      </c>
      <c r="BB1" s="14">
        <v>12.0</v>
      </c>
      <c r="BC1" s="14">
        <v>13.0</v>
      </c>
      <c r="BD1" s="14">
        <v>14.0</v>
      </c>
      <c r="BE1" s="14">
        <v>15.0</v>
      </c>
      <c r="BF1" s="14">
        <v>16.0</v>
      </c>
      <c r="BG1" s="14">
        <v>17.0</v>
      </c>
      <c r="BH1" s="14">
        <v>18.0</v>
      </c>
      <c r="BI1" s="14">
        <v>19.0</v>
      </c>
      <c r="BJ1" s="14">
        <v>20.0</v>
      </c>
      <c r="BK1" s="14">
        <v>21.0</v>
      </c>
      <c r="BL1" s="14">
        <v>22.0</v>
      </c>
      <c r="BM1" s="14" t="s">
        <v>41</v>
      </c>
    </row>
    <row r="2">
      <c r="A2" s="16" t="str">
        <f>IFERROR(__xludf.DUMMYFUNCTION("SPARKLINE(SORT(MAP(TRANSPOSE(AQ2:BL2), LAMBDA(val, PERCENTRANK(AQ2:BL2, val)+0.01)), SEQUENCE(COLUMNS(AQ2:BL2)), FALSE), {""charttype"",""column""; ""color"",""chartreuse""; ""ymin"", 0; ""ymax"", 1.01; ""highcolor"", ""darkgreen""; ""lowcolor"", ""red""}"&amp;")"),"#N/A")</f>
        <v>#N/A</v>
      </c>
      <c r="B2" s="17">
        <f>IF(C2="SPY", 1, PERCENTRANK(AQ2:BL2, AQ2))</f>
        <v>1</v>
      </c>
      <c r="C2" s="1" t="s">
        <v>42</v>
      </c>
      <c r="D2" s="18" t="str">
        <f>IFERROR(__xludf.DUMMYFUNCTION("IFERROR(GOOGLEFINANCE(C2, ""NAME""))"),"State Street SPDR S&amp;P 500 ETF Trust")</f>
        <v>State Street SPDR S&amp;P 500 ETF Trust</v>
      </c>
      <c r="E2" s="22"/>
      <c r="F2" s="19" t="str">
        <f>IFERROR(__xludf.DUMMYFUNCTION("( (GOOGLEFINANCE(C2, ""price"") - Q2) / Q2 ) / (R2 / 100)"),"Loading...")</f>
        <v>Loading...</v>
      </c>
      <c r="G2" s="22"/>
      <c r="H2" s="22"/>
      <c r="I2" s="22"/>
      <c r="J2" s="22"/>
      <c r="K2" s="21">
        <f>IFERROR(__xludf.DUMMYFUNCTION("IFERROR(GOOGLEFINANCE(C2, ""changepct"") / 100, """")"),-0.0111)</f>
        <v>-0.0111</v>
      </c>
      <c r="L2" s="21" t="str">
        <f>IFERROR(__xludf.DUMMYFUNCTION("IFERROR((GOOGLEFINANCE(C2, ""price"") / INDEX(GOOGLEFINANCE(C2, ""price"", TODAY()-7, TODAY()), 2, 2)) - 1, """")"),"")</f>
        <v/>
      </c>
      <c r="M2" s="21" t="str">
        <f>IFERROR(__xludf.DUMMYFUNCTION("IFERROR((GOOGLEFINANCE(C2, ""price"") / INDEX(GOOGLEFINANCE(C2, ""price"", EDATE(TODAY(), -1), TODAY()), 2, 2)) - 1, """")"),"")</f>
        <v/>
      </c>
      <c r="N2" s="21" t="str">
        <f>IFERROR(__xludf.DUMMYFUNCTION("IFERROR((GOOGLEFINANCE(C2, ""price"") / INDEX(GOOGLEFINANCE(C2, ""price"", EDATE(TODAY(), -3), TODAY()), 2, 2)) - 1, """")"),"")</f>
        <v/>
      </c>
      <c r="O2" s="21" t="str">
        <f>IFERROR(__xludf.DUMMYFUNCTION("IFERROR((GOOGLEFINANCE(C2, ""price"") / INDEX(GOOGLEFINANCE(C2, ""price"", EDATE(TODAY(), -6), TODAY()), 2, 2)) - 1, """")"),"")</f>
        <v/>
      </c>
      <c r="P2" s="21" t="str">
        <f>IFERROR(__xludf.DUMMYFUNCTION("IFERROR((GOOGLEFINANCE(C2, ""price"") / INDEX(GOOGLEFINANCE(C2, ""price"", EDATE(TODAY(), -12), TODAY()), 2, 2)) - 1, """")"),"")</f>
        <v/>
      </c>
      <c r="Q2" s="23" t="str">
        <f>IFERROR(__xludf.DUMMYFUNCTION("AVERAGE(QUERY(GOOGLEFINANCE(C2, ""price"", TODAY()-80, TODAY()), ""SELECT Col2 WHERE Col2 IS NOT NULL ORDER BY Col1 DESC LIMIT 50"", 0))"),"#N/A")</f>
        <v>#N/A</v>
      </c>
      <c r="R2" s="24" t="str">
        <f>IFERROR(__xludf.DUMMYFUNCTION("IFERROR(
  LET(
    data, QUERY(GOOGLEFINANCE(C2,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GOOGLEFINANCE(C2, ""price"")) * 100,
    IF(calc=0, G2, calc)
  ), 
G2)"),"")</f>
        <v/>
      </c>
      <c r="S2" s="8" t="s">
        <v>15</v>
      </c>
      <c r="T2" s="26" t="str">
        <f>IFERROR(__xludf.DUMMYFUNCTION("TRANSPOSE(QUERY(SORT(GOOGLEFINANCE(C2, ""price"", WORKDAY(TODAY(), -40), TODAY()), 1, FALSE), ""select Col2 where Col2 is not null limit 22 label Col2 ''"", 0))"),"#N/A")</f>
        <v>#N/A</v>
      </c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8"/>
      <c r="AO2" s="28"/>
      <c r="AP2" s="29"/>
      <c r="AQ2" s="29" t="str">
        <f t="shared" ref="AQ2:BL2" si="1">T2/T$2</f>
        <v>#N/A</v>
      </c>
      <c r="AR2" s="29" t="str">
        <f t="shared" si="1"/>
        <v>#DIV/0!</v>
      </c>
      <c r="AS2" s="29" t="str">
        <f t="shared" si="1"/>
        <v>#DIV/0!</v>
      </c>
      <c r="AT2" s="29" t="str">
        <f t="shared" si="1"/>
        <v>#DIV/0!</v>
      </c>
      <c r="AU2" s="29" t="str">
        <f t="shared" si="1"/>
        <v>#DIV/0!</v>
      </c>
      <c r="AV2" s="29" t="str">
        <f t="shared" si="1"/>
        <v>#DIV/0!</v>
      </c>
      <c r="AW2" s="29" t="str">
        <f t="shared" si="1"/>
        <v>#DIV/0!</v>
      </c>
      <c r="AX2" s="29" t="str">
        <f t="shared" si="1"/>
        <v>#DIV/0!</v>
      </c>
      <c r="AY2" s="29" t="str">
        <f t="shared" si="1"/>
        <v>#DIV/0!</v>
      </c>
      <c r="AZ2" s="29" t="str">
        <f t="shared" si="1"/>
        <v>#DIV/0!</v>
      </c>
      <c r="BA2" s="29" t="str">
        <f t="shared" si="1"/>
        <v>#DIV/0!</v>
      </c>
      <c r="BB2" s="29" t="str">
        <f t="shared" si="1"/>
        <v>#DIV/0!</v>
      </c>
      <c r="BC2" s="29" t="str">
        <f t="shared" si="1"/>
        <v>#DIV/0!</v>
      </c>
      <c r="BD2" s="29" t="str">
        <f t="shared" si="1"/>
        <v>#DIV/0!</v>
      </c>
      <c r="BE2" s="29" t="str">
        <f t="shared" si="1"/>
        <v>#DIV/0!</v>
      </c>
      <c r="BF2" s="29" t="str">
        <f t="shared" si="1"/>
        <v>#DIV/0!</v>
      </c>
      <c r="BG2" s="29" t="str">
        <f t="shared" si="1"/>
        <v>#DIV/0!</v>
      </c>
      <c r="BH2" s="29" t="str">
        <f t="shared" si="1"/>
        <v>#DIV/0!</v>
      </c>
      <c r="BI2" s="29" t="str">
        <f t="shared" si="1"/>
        <v>#DIV/0!</v>
      </c>
      <c r="BJ2" s="29" t="str">
        <f t="shared" si="1"/>
        <v>#DIV/0!</v>
      </c>
      <c r="BK2" s="29" t="str">
        <f t="shared" si="1"/>
        <v>#DIV/0!</v>
      </c>
      <c r="BL2" s="29" t="str">
        <f t="shared" si="1"/>
        <v>#DIV/0!</v>
      </c>
      <c r="BM2" s="29" t="str">
        <f t="shared" ref="BM2:BM96" si="3">(T2/AO2)/(T$2/AO$2)</f>
        <v>#N/A</v>
      </c>
    </row>
    <row r="3">
      <c r="A3" s="16" t="str">
        <f>IFERROR(__xludf.DUMMYFUNCTION("IFERROR(SPARKLINE(SORT(MAP(TRANSPOSE(AQ3:BL3), LAMBDA(val, IF(ISNUMBER(val), PERCENTRANK(AQ3:BL3, val)+0.01, 0))), SEQUENCE(COLUMNS(AQ3:BL3)), FALSE), {""charttype"",""column""; ""color"",""chartreuse""; ""ymin"", 0; ""ymax"", 1.01; ""highcolor"", ""darkg"&amp;"reen""; ""lowcolor"", ""red""}), """")"),"")</f>
        <v/>
      </c>
      <c r="B3" s="17" t="str">
        <f t="shared" ref="B3:B96" si="4">IFERROR(IF(C3="SPY", 1, IF(ISNUMBER(AQ3), PERCENTRANK(AQ3:BL3, AQ3), "")), "")</f>
        <v/>
      </c>
      <c r="C3" s="1" t="s">
        <v>66</v>
      </c>
      <c r="D3" s="30" t="str">
        <f>IFERROR(__xludf.DUMMYFUNCTION("IFERROR(GOOGLEFINANCE(C3, ""NAME""))"),"State Street Utilities Select Sector SPDR ETF")</f>
        <v>State Street Utilities Select Sector SPDR ETF</v>
      </c>
      <c r="E3" s="31"/>
      <c r="F3" s="33" t="str">
        <f>IFERROR(__xludf.DUMMYFUNCTION("( (GOOGLEFINANCE(C3, ""price"") - Q3) / Q3 ) / (R3 / 100)"),"Loading...")</f>
        <v>Loading...</v>
      </c>
      <c r="G3" s="31"/>
      <c r="H3" s="31"/>
      <c r="I3" s="31"/>
      <c r="J3" s="31"/>
      <c r="K3" s="21">
        <f>IFERROR(__xludf.DUMMYFUNCTION("IFERROR(GOOGLEFINANCE(C3, ""changepct"") / 100, """")"),0.0134)</f>
        <v>0.0134</v>
      </c>
      <c r="L3" s="21" t="str">
        <f>IFERROR(__xludf.DUMMYFUNCTION("IFERROR((GOOGLEFINANCE(C3, ""price"") / INDEX(GOOGLEFINANCE(C3, ""price"", TODAY()-7, TODAY()), 2, 2)) - 1, """")"),"")</f>
        <v/>
      </c>
      <c r="M3" s="21" t="str">
        <f>IFERROR(__xludf.DUMMYFUNCTION("IFERROR((GOOGLEFINANCE(C3, ""price"") / INDEX(GOOGLEFINANCE(C3, ""price"", EDATE(TODAY(), -1), TODAY()), 2, 2)) - 1, """")"),"")</f>
        <v/>
      </c>
      <c r="N3" s="21" t="str">
        <f>IFERROR(__xludf.DUMMYFUNCTION("IFERROR((GOOGLEFINANCE(C3, ""price"") / INDEX(GOOGLEFINANCE(C3, ""price"", EDATE(TODAY(), -3), TODAY()), 2, 2)) - 1, """")"),"")</f>
        <v/>
      </c>
      <c r="O3" s="21" t="str">
        <f>IFERROR(__xludf.DUMMYFUNCTION("IFERROR((GOOGLEFINANCE(C3, ""price"") / INDEX(GOOGLEFINANCE(C3, ""price"", EDATE(TODAY(), -6), TODAY()), 2, 2)) - 1, """")"),"")</f>
        <v/>
      </c>
      <c r="P3" s="21" t="str">
        <f>IFERROR(__xludf.DUMMYFUNCTION("IFERROR((GOOGLEFINANCE(C3, ""price"") / INDEX(GOOGLEFINANCE(C3, ""price"", EDATE(TODAY(), -12), TODAY()), 2, 2)) - 1, """")"),"")</f>
        <v/>
      </c>
      <c r="Q3" s="6" t="str">
        <f>IFERROR(__xludf.DUMMYFUNCTION("AVERAGE(QUERY(GOOGLEFINANCE(C3, ""price"", TODAY()-80, TODAY()), ""SELECT Col2 WHERE Col2 IS NOT NULL ORDER BY Col1 DESC LIMIT 50"", 0))"),"#N/A")</f>
        <v>#N/A</v>
      </c>
      <c r="R3" s="24" t="str">
        <f>IFERROR(__xludf.DUMMYFUNCTION("IFERROR(
  LET(
    data, QUERY(GOOGLEFINANCE(C3,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GOOGLEFINANCE(C3, ""price"")) * 100,
    IF(calc=0, G3, calc)
  ), 
G3)"),"")</f>
        <v/>
      </c>
      <c r="S3" s="8" t="s">
        <v>15</v>
      </c>
      <c r="T3" s="26" t="str">
        <f>IFERROR(__xludf.DUMMYFUNCTION("IFERROR(TRANSPOSE(QUERY(IFERROR(SORT(GOOGLEFINANCE(C3, ""price"", WORKDAY(TODAY(), -40), TODAY()), 1, FALSE)), ""select Col2 where Col2 is not null limit 22 label Col2 ''"", 0)), """")"),"")</f>
        <v/>
      </c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8"/>
      <c r="AO3" s="28"/>
      <c r="AP3" s="29"/>
      <c r="AQ3" s="29" t="str">
        <f t="shared" ref="AQ3:BL3" si="2">T3/T$2</f>
        <v>#N/A</v>
      </c>
      <c r="AR3" s="29" t="str">
        <f t="shared" si="2"/>
        <v>#DIV/0!</v>
      </c>
      <c r="AS3" s="29" t="str">
        <f t="shared" si="2"/>
        <v>#DIV/0!</v>
      </c>
      <c r="AT3" s="29" t="str">
        <f t="shared" si="2"/>
        <v>#DIV/0!</v>
      </c>
      <c r="AU3" s="29" t="str">
        <f t="shared" si="2"/>
        <v>#DIV/0!</v>
      </c>
      <c r="AV3" s="29" t="str">
        <f t="shared" si="2"/>
        <v>#DIV/0!</v>
      </c>
      <c r="AW3" s="29" t="str">
        <f t="shared" si="2"/>
        <v>#DIV/0!</v>
      </c>
      <c r="AX3" s="29" t="str">
        <f t="shared" si="2"/>
        <v>#DIV/0!</v>
      </c>
      <c r="AY3" s="29" t="str">
        <f t="shared" si="2"/>
        <v>#DIV/0!</v>
      </c>
      <c r="AZ3" s="29" t="str">
        <f t="shared" si="2"/>
        <v>#DIV/0!</v>
      </c>
      <c r="BA3" s="29" t="str">
        <f t="shared" si="2"/>
        <v>#DIV/0!</v>
      </c>
      <c r="BB3" s="29" t="str">
        <f t="shared" si="2"/>
        <v>#DIV/0!</v>
      </c>
      <c r="BC3" s="29" t="str">
        <f t="shared" si="2"/>
        <v>#DIV/0!</v>
      </c>
      <c r="BD3" s="29" t="str">
        <f t="shared" si="2"/>
        <v>#DIV/0!</v>
      </c>
      <c r="BE3" s="29" t="str">
        <f t="shared" si="2"/>
        <v>#DIV/0!</v>
      </c>
      <c r="BF3" s="29" t="str">
        <f t="shared" si="2"/>
        <v>#DIV/0!</v>
      </c>
      <c r="BG3" s="29" t="str">
        <f t="shared" si="2"/>
        <v>#DIV/0!</v>
      </c>
      <c r="BH3" s="29" t="str">
        <f t="shared" si="2"/>
        <v>#DIV/0!</v>
      </c>
      <c r="BI3" s="29" t="str">
        <f t="shared" si="2"/>
        <v>#DIV/0!</v>
      </c>
      <c r="BJ3" s="29" t="str">
        <f t="shared" si="2"/>
        <v>#DIV/0!</v>
      </c>
      <c r="BK3" s="29" t="str">
        <f t="shared" si="2"/>
        <v>#DIV/0!</v>
      </c>
      <c r="BL3" s="29" t="str">
        <f t="shared" si="2"/>
        <v>#DIV/0!</v>
      </c>
      <c r="BM3" s="29" t="str">
        <f t="shared" si="3"/>
        <v>#DIV/0!</v>
      </c>
    </row>
    <row r="4">
      <c r="A4" s="16" t="str">
        <f>IFERROR(__xludf.DUMMYFUNCTION("IFERROR(SPARKLINE(SORT(MAP(TRANSPOSE(AQ4:BL4), LAMBDA(val, IF(ISNUMBER(val), PERCENTRANK(AQ4:BL4, val)+0.01, 0))), SEQUENCE(COLUMNS(AQ4:BL4)), FALSE), {""charttype"",""column""; ""color"",""chartreuse""; ""ymin"", 0; ""ymax"", 1.01; ""highcolor"", ""darkg"&amp;"reen""; ""lowcolor"", ""red""}), """")"),"")</f>
        <v/>
      </c>
      <c r="B4" s="17" t="str">
        <f t="shared" si="4"/>
        <v/>
      </c>
      <c r="C4" s="45" t="s">
        <v>2603</v>
      </c>
      <c r="D4" s="30" t="str">
        <f>IFERROR(__xludf.DUMMYFUNCTION("IFERROR(GOOGLEFINANCE(C4, ""NAME""))"),"Energy Vault Holdings Inc")</f>
        <v>Energy Vault Holdings Inc</v>
      </c>
      <c r="E4" s="30" t="s">
        <v>2605</v>
      </c>
      <c r="F4" s="33" t="str">
        <f>IFERROR(__xludf.DUMMYFUNCTION("( (GOOGLEFINANCE(C4, ""price"") - Q4) / Q4 ) / (R4 / 100)"),"Loading...")</f>
        <v>Loading...</v>
      </c>
      <c r="G4" s="20" t="str">
        <f>IFERROR(__xludf.DUMMYFUNCTION("AVERAGE(ARRAYFORMULA(100 * (QUERY(GOOGLEFINANCE(C4, ""high"", TODAY()-40, TODAY()), ""SELECT Col2 WHERE Col2 IS NOT NULL ORDER BY Col1 DESC LIMIT 20"", 0) / QUERY(GOOGLEFINANCE(C4, ""low"", TODAY()-40, TODAY()), ""SELECT Col2 WHERE Col2 IS NOT NULL ORDER "&amp;"BY Col1 DESC LIMIT 20"", 0) - 1)))"),"#N/A")</f>
        <v>#N/A</v>
      </c>
      <c r="H4" s="35" t="str">
        <f t="shared" ref="H4:H96" si="6">IFERROR(IF(ISNUMBER(J4), IF(J4 &lt; 50000000, "Illiquid", "Liquid"), ""), "")</f>
        <v>Illiquid</v>
      </c>
      <c r="I4" s="35" t="str">
        <f t="shared" ref="I4:I96" si="7">IFERROR(IF(ISNUMBER(J4), IF(J4 &lt; 500000000, "RVol Required", "No RVol Required"), ""), "")</f>
        <v>RVol Required</v>
      </c>
      <c r="J4" s="37">
        <f>IFERROR(__xludf.DUMMYFUNCTION("IFERROR(
  IF(C4="""",, 
    IFERROR(
      GOOGLEFINANCE(C4, ""price"") * GOOGLEFINANCE(C4, ""volumeavg""), 
      GOOGLEFINANCE(C4, ""price"") * AVERAGE(QUERY(GOOGLEFINANCE(C4, ""volume"", TODAY()-40, TODAY()), ""SELECT Col2 WHERE Col2 IS NOT NULL ORDER"&amp;" BY Col1 DESC LIMIT 20"", 0))
    )
  ), 
"""")"),1.1410259479999999E7)</f>
        <v>11410259.48</v>
      </c>
      <c r="K4" s="21">
        <f>IFERROR(__xludf.DUMMYFUNCTION("IFERROR(GOOGLEFINANCE(C4, ""changepct"") / 100, """")"),-0.0719)</f>
        <v>-0.0719</v>
      </c>
      <c r="L4" s="21" t="str">
        <f>IFERROR(__xludf.DUMMYFUNCTION("IFERROR((GOOGLEFINANCE(C4, ""price"") / INDEX(GOOGLEFINANCE(C4, ""price"", TODAY()-7, TODAY()), 2, 2)) - 1, """")"),"")</f>
        <v/>
      </c>
      <c r="M4" s="21" t="str">
        <f>IFERROR(__xludf.DUMMYFUNCTION("IFERROR((GOOGLEFINANCE(C4, ""price"") / INDEX(GOOGLEFINANCE(C4, ""price"", EDATE(TODAY(), -1), TODAY()), 2, 2)) - 1, """")"),"")</f>
        <v/>
      </c>
      <c r="N4" s="21" t="str">
        <f>IFERROR(__xludf.DUMMYFUNCTION("IFERROR((GOOGLEFINANCE(C4, ""price"") / INDEX(GOOGLEFINANCE(C4, ""price"", EDATE(TODAY(), -3), TODAY()), 2, 2)) - 1, """")"),"")</f>
        <v/>
      </c>
      <c r="O4" s="21" t="str">
        <f>IFERROR(__xludf.DUMMYFUNCTION("IFERROR((GOOGLEFINANCE(C4, ""price"") / INDEX(GOOGLEFINANCE(C4, ""price"", EDATE(TODAY(), -6), TODAY()), 2, 2)) - 1, """")"),"")</f>
        <v/>
      </c>
      <c r="P4" s="21" t="str">
        <f>IFERROR(__xludf.DUMMYFUNCTION("IFERROR((GOOGLEFINANCE(C4, ""price"") / INDEX(GOOGLEFINANCE(C4, ""price"", EDATE(TODAY(), -12), TODAY()), 2, 2)) - 1, """")"),"")</f>
        <v/>
      </c>
      <c r="Q4" s="6" t="str">
        <f>IFERROR(__xludf.DUMMYFUNCTION("AVERAGE(QUERY(GOOGLEFINANCE(C4, ""price"", TODAY()-80, TODAY()), ""SELECT Col2 WHERE Col2 IS NOT NULL ORDER BY Col1 DESC LIMIT 50"", 0))"),"#N/A")</f>
        <v>#N/A</v>
      </c>
      <c r="R4" s="24" t="str">
        <f>IFERROR(__xludf.DUMMYFUNCTION("IFERROR(
  LET(
    data, QUERY(GOOGLEFINANCE(C4,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GOOGLEFINANCE(C4, ""price"")) * 100,
    IF(calc=0, G4, calc)
  ), 
G4)"),"#N/A")</f>
        <v>#N/A</v>
      </c>
      <c r="S4" s="8" t="s">
        <v>15</v>
      </c>
      <c r="T4" s="26" t="str">
        <f>IFERROR(__xludf.DUMMYFUNCTION("IFERROR(TRANSPOSE(QUERY(IFERROR(SORT(GOOGLEFINANCE(C4, ""price"", WORKDAY(TODAY(), -40), TODAY()), 1, FALSE)), ""select Col2 where Col2 is not null limit 22 label Col2 ''"", 0)), """")"),"")</f>
        <v/>
      </c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8"/>
      <c r="AO4" s="28"/>
      <c r="AP4" s="29"/>
      <c r="AQ4" s="29" t="str">
        <f t="shared" ref="AQ4:BL4" si="5">T4/T$2</f>
        <v>#N/A</v>
      </c>
      <c r="AR4" s="29" t="str">
        <f t="shared" si="5"/>
        <v>#DIV/0!</v>
      </c>
      <c r="AS4" s="29" t="str">
        <f t="shared" si="5"/>
        <v>#DIV/0!</v>
      </c>
      <c r="AT4" s="29" t="str">
        <f t="shared" si="5"/>
        <v>#DIV/0!</v>
      </c>
      <c r="AU4" s="29" t="str">
        <f t="shared" si="5"/>
        <v>#DIV/0!</v>
      </c>
      <c r="AV4" s="29" t="str">
        <f t="shared" si="5"/>
        <v>#DIV/0!</v>
      </c>
      <c r="AW4" s="29" t="str">
        <f t="shared" si="5"/>
        <v>#DIV/0!</v>
      </c>
      <c r="AX4" s="29" t="str">
        <f t="shared" si="5"/>
        <v>#DIV/0!</v>
      </c>
      <c r="AY4" s="29" t="str">
        <f t="shared" si="5"/>
        <v>#DIV/0!</v>
      </c>
      <c r="AZ4" s="29" t="str">
        <f t="shared" si="5"/>
        <v>#DIV/0!</v>
      </c>
      <c r="BA4" s="29" t="str">
        <f t="shared" si="5"/>
        <v>#DIV/0!</v>
      </c>
      <c r="BB4" s="29" t="str">
        <f t="shared" si="5"/>
        <v>#DIV/0!</v>
      </c>
      <c r="BC4" s="29" t="str">
        <f t="shared" si="5"/>
        <v>#DIV/0!</v>
      </c>
      <c r="BD4" s="29" t="str">
        <f t="shared" si="5"/>
        <v>#DIV/0!</v>
      </c>
      <c r="BE4" s="29" t="str">
        <f t="shared" si="5"/>
        <v>#DIV/0!</v>
      </c>
      <c r="BF4" s="29" t="str">
        <f t="shared" si="5"/>
        <v>#DIV/0!</v>
      </c>
      <c r="BG4" s="29" t="str">
        <f t="shared" si="5"/>
        <v>#DIV/0!</v>
      </c>
      <c r="BH4" s="29" t="str">
        <f t="shared" si="5"/>
        <v>#DIV/0!</v>
      </c>
      <c r="BI4" s="29" t="str">
        <f t="shared" si="5"/>
        <v>#DIV/0!</v>
      </c>
      <c r="BJ4" s="29" t="str">
        <f t="shared" si="5"/>
        <v>#DIV/0!</v>
      </c>
      <c r="BK4" s="29" t="str">
        <f t="shared" si="5"/>
        <v>#DIV/0!</v>
      </c>
      <c r="BL4" s="29" t="str">
        <f t="shared" si="5"/>
        <v>#DIV/0!</v>
      </c>
      <c r="BM4" s="29" t="str">
        <f t="shared" si="3"/>
        <v>#DIV/0!</v>
      </c>
    </row>
    <row r="5">
      <c r="A5" s="16" t="str">
        <f>IFERROR(__xludf.DUMMYFUNCTION("IFERROR(SPARKLINE(SORT(MAP(TRANSPOSE(AQ5:BL5), LAMBDA(val, IF(ISNUMBER(val), PERCENTRANK(AQ5:BL5, val)+0.01, 0))), SEQUENCE(COLUMNS(AQ5:BL5)), FALSE), {""charttype"",""column""; ""color"",""chartreuse""; ""ymin"", 0; ""ymax"", 1.01; ""highcolor"", ""darkg"&amp;"reen""; ""lowcolor"", ""red""}), """")"),"")</f>
        <v/>
      </c>
      <c r="B5" s="17" t="str">
        <f t="shared" si="4"/>
        <v/>
      </c>
      <c r="C5" s="45" t="s">
        <v>2610</v>
      </c>
      <c r="D5" s="30" t="str">
        <f>IFERROR(__xludf.DUMMYFUNCTION("IFERROR(GOOGLEFINANCE(C5, ""NAME""))"),"Ormat Technologies, Inc.")</f>
        <v>Ormat Technologies, Inc.</v>
      </c>
      <c r="E5" s="30" t="s">
        <v>2605</v>
      </c>
      <c r="F5" s="33" t="str">
        <f>IFERROR(__xludf.DUMMYFUNCTION("( (GOOGLEFINANCE(C5, ""price"") - Q5) / Q5 ) / (R5 / 100)"),"Loading...")</f>
        <v>Loading...</v>
      </c>
      <c r="G5" s="20" t="str">
        <f>IFERROR(__xludf.DUMMYFUNCTION("AVERAGE(ARRAYFORMULA(100 * (QUERY(GOOGLEFINANCE(C5, ""high"", TODAY()-40, TODAY()), ""SELECT Col2 WHERE Col2 IS NOT NULL ORDER BY Col1 DESC LIMIT 20"", 0) / QUERY(GOOGLEFINANCE(C5, ""low"", TODAY()-40, TODAY()), ""SELECT Col2 WHERE Col2 IS NOT NULL ORDER "&amp;"BY Col1 DESC LIMIT 20"", 0) - 1)))"),"#N/A")</f>
        <v>#N/A</v>
      </c>
      <c r="H5" s="35" t="str">
        <f t="shared" si="6"/>
        <v>Liquid</v>
      </c>
      <c r="I5" s="35" t="str">
        <f t="shared" si="7"/>
        <v>RVol Required</v>
      </c>
      <c r="J5" s="37">
        <f>IFERROR(__xludf.DUMMYFUNCTION("IFERROR(
  IF(C5="""",, 
    IFERROR(
      GOOGLEFINANCE(C5, ""price"") * GOOGLEFINANCE(C5, ""volumeavg""), 
      GOOGLEFINANCE(C5, ""price"") * AVERAGE(QUERY(GOOGLEFINANCE(C5, ""volume"", TODAY()-40, TODAY()), ""SELECT Col2 WHERE Col2 IS NOT NULL ORDER"&amp;" BY Col1 DESC LIMIT 20"", 0))
    )
  ), 
"""")"),8.49847167E7)</f>
        <v>84984716.7</v>
      </c>
      <c r="K5" s="21">
        <f>IFERROR(__xludf.DUMMYFUNCTION("IFERROR(GOOGLEFINANCE(C5, ""changepct"") / 100, """")"),-0.0026)</f>
        <v>-0.0026</v>
      </c>
      <c r="L5" s="21" t="str">
        <f>IFERROR(__xludf.DUMMYFUNCTION("IFERROR((GOOGLEFINANCE(C5, ""price"") / INDEX(GOOGLEFINANCE(C5, ""price"", TODAY()-7, TODAY()), 2, 2)) - 1, """")"),"")</f>
        <v/>
      </c>
      <c r="M5" s="21" t="str">
        <f>IFERROR(__xludf.DUMMYFUNCTION("IFERROR((GOOGLEFINANCE(C5, ""price"") / INDEX(GOOGLEFINANCE(C5, ""price"", EDATE(TODAY(), -1), TODAY()), 2, 2)) - 1, """")"),"")</f>
        <v/>
      </c>
      <c r="N5" s="21" t="str">
        <f>IFERROR(__xludf.DUMMYFUNCTION("IFERROR((GOOGLEFINANCE(C5, ""price"") / INDEX(GOOGLEFINANCE(C5, ""price"", EDATE(TODAY(), -3), TODAY()), 2, 2)) - 1, """")"),"")</f>
        <v/>
      </c>
      <c r="O5" s="21" t="str">
        <f>IFERROR(__xludf.DUMMYFUNCTION("IFERROR((GOOGLEFINANCE(C5, ""price"") / INDEX(GOOGLEFINANCE(C5, ""price"", EDATE(TODAY(), -6), TODAY()), 2, 2)) - 1, """")"),"")</f>
        <v/>
      </c>
      <c r="P5" s="21" t="str">
        <f>IFERROR(__xludf.DUMMYFUNCTION("IFERROR((GOOGLEFINANCE(C5, ""price"") / INDEX(GOOGLEFINANCE(C5, ""price"", EDATE(TODAY(), -12), TODAY()), 2, 2)) - 1, """")"),"")</f>
        <v/>
      </c>
      <c r="Q5" s="6" t="str">
        <f>IFERROR(__xludf.DUMMYFUNCTION("AVERAGE(QUERY(GOOGLEFINANCE(C5, ""price"", TODAY()-80, TODAY()), ""SELECT Col2 WHERE Col2 IS NOT NULL ORDER BY Col1 DESC LIMIT 50"", 0))"),"#N/A")</f>
        <v>#N/A</v>
      </c>
      <c r="R5" s="24" t="str">
        <f>IFERROR(__xludf.DUMMYFUNCTION("IFERROR(
  LET(
    data, QUERY(GOOGLEFINANCE(C5,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GOOGLEFINANCE(C5, ""price"")) * 100,
    IF(calc=0, G5, calc)
  ), 
G5)"),"#N/A")</f>
        <v>#N/A</v>
      </c>
      <c r="S5" s="8" t="s">
        <v>15</v>
      </c>
      <c r="T5" s="26" t="str">
        <f>IFERROR(__xludf.DUMMYFUNCTION("IFERROR(TRANSPOSE(QUERY(IFERROR(SORT(GOOGLEFINANCE(C5, ""price"", WORKDAY(TODAY(), -40), TODAY()), 1, FALSE)), ""select Col2 where Col2 is not null limit 22 label Col2 ''"", 0)), """")"),"")</f>
        <v/>
      </c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8"/>
      <c r="AO5" s="28"/>
      <c r="AP5" s="29"/>
      <c r="AQ5" s="29" t="str">
        <f t="shared" ref="AQ5:BL5" si="8">T5/T$2</f>
        <v>#N/A</v>
      </c>
      <c r="AR5" s="29" t="str">
        <f t="shared" si="8"/>
        <v>#DIV/0!</v>
      </c>
      <c r="AS5" s="29" t="str">
        <f t="shared" si="8"/>
        <v>#DIV/0!</v>
      </c>
      <c r="AT5" s="29" t="str">
        <f t="shared" si="8"/>
        <v>#DIV/0!</v>
      </c>
      <c r="AU5" s="29" t="str">
        <f t="shared" si="8"/>
        <v>#DIV/0!</v>
      </c>
      <c r="AV5" s="29" t="str">
        <f t="shared" si="8"/>
        <v>#DIV/0!</v>
      </c>
      <c r="AW5" s="29" t="str">
        <f t="shared" si="8"/>
        <v>#DIV/0!</v>
      </c>
      <c r="AX5" s="29" t="str">
        <f t="shared" si="8"/>
        <v>#DIV/0!</v>
      </c>
      <c r="AY5" s="29" t="str">
        <f t="shared" si="8"/>
        <v>#DIV/0!</v>
      </c>
      <c r="AZ5" s="29" t="str">
        <f t="shared" si="8"/>
        <v>#DIV/0!</v>
      </c>
      <c r="BA5" s="29" t="str">
        <f t="shared" si="8"/>
        <v>#DIV/0!</v>
      </c>
      <c r="BB5" s="29" t="str">
        <f t="shared" si="8"/>
        <v>#DIV/0!</v>
      </c>
      <c r="BC5" s="29" t="str">
        <f t="shared" si="8"/>
        <v>#DIV/0!</v>
      </c>
      <c r="BD5" s="29" t="str">
        <f t="shared" si="8"/>
        <v>#DIV/0!</v>
      </c>
      <c r="BE5" s="29" t="str">
        <f t="shared" si="8"/>
        <v>#DIV/0!</v>
      </c>
      <c r="BF5" s="29" t="str">
        <f t="shared" si="8"/>
        <v>#DIV/0!</v>
      </c>
      <c r="BG5" s="29" t="str">
        <f t="shared" si="8"/>
        <v>#DIV/0!</v>
      </c>
      <c r="BH5" s="29" t="str">
        <f t="shared" si="8"/>
        <v>#DIV/0!</v>
      </c>
      <c r="BI5" s="29" t="str">
        <f t="shared" si="8"/>
        <v>#DIV/0!</v>
      </c>
      <c r="BJ5" s="29" t="str">
        <f t="shared" si="8"/>
        <v>#DIV/0!</v>
      </c>
      <c r="BK5" s="29" t="str">
        <f t="shared" si="8"/>
        <v>#DIV/0!</v>
      </c>
      <c r="BL5" s="29" t="str">
        <f t="shared" si="8"/>
        <v>#DIV/0!</v>
      </c>
      <c r="BM5" s="29" t="str">
        <f t="shared" si="3"/>
        <v>#DIV/0!</v>
      </c>
    </row>
    <row r="6">
      <c r="A6" s="16" t="str">
        <f>IFERROR(__xludf.DUMMYFUNCTION("IFERROR(SPARKLINE(SORT(MAP(TRANSPOSE(AQ6:BL6), LAMBDA(val, IF(ISNUMBER(val), PERCENTRANK(AQ6:BL6, val)+0.01, 0))), SEQUENCE(COLUMNS(AQ6:BL6)), FALSE), {""charttype"",""column""; ""color"",""chartreuse""; ""ymin"", 0; ""ymax"", 1.01; ""highcolor"", ""darkg"&amp;"reen""; ""lowcolor"", ""red""}), """")"),"")</f>
        <v/>
      </c>
      <c r="B6" s="17" t="str">
        <f t="shared" si="4"/>
        <v/>
      </c>
      <c r="C6" s="45" t="s">
        <v>2615</v>
      </c>
      <c r="D6" s="30" t="str">
        <f>IFERROR(__xludf.DUMMYFUNCTION("IFERROR(GOOGLEFINANCE(C6, ""NAME""))"),"XPLR Infrastructure LP")</f>
        <v>XPLR Infrastructure LP</v>
      </c>
      <c r="E6" s="30" t="s">
        <v>2605</v>
      </c>
      <c r="F6" s="33" t="str">
        <f>IFERROR(__xludf.DUMMYFUNCTION("( (GOOGLEFINANCE(C6, ""price"") - Q6) / Q6 ) / (R6 / 100)"),"Loading...")</f>
        <v>Loading...</v>
      </c>
      <c r="G6" s="20" t="str">
        <f>IFERROR(__xludf.DUMMYFUNCTION("AVERAGE(ARRAYFORMULA(100 * (QUERY(GOOGLEFINANCE(C6, ""high"", TODAY()-40, TODAY()), ""SELECT Col2 WHERE Col2 IS NOT NULL ORDER BY Col1 DESC LIMIT 20"", 0) / QUERY(GOOGLEFINANCE(C6, ""low"", TODAY()-40, TODAY()), ""SELECT Col2 WHERE Col2 IS NOT NULL ORDER "&amp;"BY Col1 DESC LIMIT 20"", 0) - 1)))"),"#N/A")</f>
        <v>#N/A</v>
      </c>
      <c r="H6" s="35" t="str">
        <f t="shared" si="6"/>
        <v>Illiquid</v>
      </c>
      <c r="I6" s="35" t="str">
        <f t="shared" si="7"/>
        <v>RVol Required</v>
      </c>
      <c r="J6" s="37">
        <f>IFERROR(__xludf.DUMMYFUNCTION("IFERROR(
  IF(C6="""",, 
    IFERROR(
      GOOGLEFINANCE(C6, ""price"") * GOOGLEFINANCE(C6, ""volumeavg""), 
      GOOGLEFINANCE(C6, ""price"") * AVERAGE(QUERY(GOOGLEFINANCE(C6, ""volume"", TODAY()-40, TODAY()), ""SELECT Col2 WHERE Col2 IS NOT NULL ORDER"&amp;" BY Col1 DESC LIMIT 20"", 0))
    )
  ), 
"""")"),9398598.02)</f>
        <v>9398598.02</v>
      </c>
      <c r="K6" s="21">
        <f>IFERROR(__xludf.DUMMYFUNCTION("IFERROR(GOOGLEFINANCE(C6, ""changepct"") / 100, """")"),0.012199999999999999)</f>
        <v>0.0122</v>
      </c>
      <c r="L6" s="21" t="str">
        <f>IFERROR(__xludf.DUMMYFUNCTION("IFERROR((GOOGLEFINANCE(C6, ""price"") / INDEX(GOOGLEFINANCE(C6, ""price"", TODAY()-7, TODAY()), 2, 2)) - 1, """")"),"")</f>
        <v/>
      </c>
      <c r="M6" s="21" t="str">
        <f>IFERROR(__xludf.DUMMYFUNCTION("IFERROR((GOOGLEFINANCE(C6, ""price"") / INDEX(GOOGLEFINANCE(C6, ""price"", EDATE(TODAY(), -1), TODAY()), 2, 2)) - 1, """")"),"")</f>
        <v/>
      </c>
      <c r="N6" s="21" t="str">
        <f>IFERROR(__xludf.DUMMYFUNCTION("IFERROR((GOOGLEFINANCE(C6, ""price"") / INDEX(GOOGLEFINANCE(C6, ""price"", EDATE(TODAY(), -3), TODAY()), 2, 2)) - 1, """")"),"")</f>
        <v/>
      </c>
      <c r="O6" s="21" t="str">
        <f>IFERROR(__xludf.DUMMYFUNCTION("IFERROR((GOOGLEFINANCE(C6, ""price"") / INDEX(GOOGLEFINANCE(C6, ""price"", EDATE(TODAY(), -6), TODAY()), 2, 2)) - 1, """")"),"")</f>
        <v/>
      </c>
      <c r="P6" s="21" t="str">
        <f>IFERROR(__xludf.DUMMYFUNCTION("IFERROR((GOOGLEFINANCE(C6, ""price"") / INDEX(GOOGLEFINANCE(C6, ""price"", EDATE(TODAY(), -12), TODAY()), 2, 2)) - 1, """")"),"")</f>
        <v/>
      </c>
      <c r="Q6" s="6" t="str">
        <f>IFERROR(__xludf.DUMMYFUNCTION("AVERAGE(QUERY(GOOGLEFINANCE(C6, ""price"", TODAY()-80, TODAY()), ""SELECT Col2 WHERE Col2 IS NOT NULL ORDER BY Col1 DESC LIMIT 50"", 0))"),"#N/A")</f>
        <v>#N/A</v>
      </c>
      <c r="R6" s="24" t="str">
        <f>IFERROR(__xludf.DUMMYFUNCTION("IFERROR(
  LET(
    data, QUERY(GOOGLEFINANCE(C6,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GOOGLEFINANCE(C6, ""price"")) * 100,
    IF(calc=0, G6, calc)
  ), 
G6)"),"#N/A")</f>
        <v>#N/A</v>
      </c>
      <c r="S6" s="8" t="s">
        <v>15</v>
      </c>
      <c r="T6" s="26" t="str">
        <f>IFERROR(__xludf.DUMMYFUNCTION("IFERROR(TRANSPOSE(QUERY(IFERROR(SORT(GOOGLEFINANCE(C6, ""price"", WORKDAY(TODAY(), -40), TODAY()), 1, FALSE)), ""select Col2 where Col2 is not null limit 22 label Col2 ''"", 0)), """")"),"")</f>
        <v/>
      </c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8"/>
      <c r="AO6" s="28"/>
      <c r="AP6" s="29"/>
      <c r="AQ6" s="29" t="str">
        <f t="shared" ref="AQ6:BL6" si="9">T6/T$2</f>
        <v>#N/A</v>
      </c>
      <c r="AR6" s="29" t="str">
        <f t="shared" si="9"/>
        <v>#DIV/0!</v>
      </c>
      <c r="AS6" s="29" t="str">
        <f t="shared" si="9"/>
        <v>#DIV/0!</v>
      </c>
      <c r="AT6" s="29" t="str">
        <f t="shared" si="9"/>
        <v>#DIV/0!</v>
      </c>
      <c r="AU6" s="29" t="str">
        <f t="shared" si="9"/>
        <v>#DIV/0!</v>
      </c>
      <c r="AV6" s="29" t="str">
        <f t="shared" si="9"/>
        <v>#DIV/0!</v>
      </c>
      <c r="AW6" s="29" t="str">
        <f t="shared" si="9"/>
        <v>#DIV/0!</v>
      </c>
      <c r="AX6" s="29" t="str">
        <f t="shared" si="9"/>
        <v>#DIV/0!</v>
      </c>
      <c r="AY6" s="29" t="str">
        <f t="shared" si="9"/>
        <v>#DIV/0!</v>
      </c>
      <c r="AZ6" s="29" t="str">
        <f t="shared" si="9"/>
        <v>#DIV/0!</v>
      </c>
      <c r="BA6" s="29" t="str">
        <f t="shared" si="9"/>
        <v>#DIV/0!</v>
      </c>
      <c r="BB6" s="29" t="str">
        <f t="shared" si="9"/>
        <v>#DIV/0!</v>
      </c>
      <c r="BC6" s="29" t="str">
        <f t="shared" si="9"/>
        <v>#DIV/0!</v>
      </c>
      <c r="BD6" s="29" t="str">
        <f t="shared" si="9"/>
        <v>#DIV/0!</v>
      </c>
      <c r="BE6" s="29" t="str">
        <f t="shared" si="9"/>
        <v>#DIV/0!</v>
      </c>
      <c r="BF6" s="29" t="str">
        <f t="shared" si="9"/>
        <v>#DIV/0!</v>
      </c>
      <c r="BG6" s="29" t="str">
        <f t="shared" si="9"/>
        <v>#DIV/0!</v>
      </c>
      <c r="BH6" s="29" t="str">
        <f t="shared" si="9"/>
        <v>#DIV/0!</v>
      </c>
      <c r="BI6" s="29" t="str">
        <f t="shared" si="9"/>
        <v>#DIV/0!</v>
      </c>
      <c r="BJ6" s="29" t="str">
        <f t="shared" si="9"/>
        <v>#DIV/0!</v>
      </c>
      <c r="BK6" s="29" t="str">
        <f t="shared" si="9"/>
        <v>#DIV/0!</v>
      </c>
      <c r="BL6" s="29" t="str">
        <f t="shared" si="9"/>
        <v>#DIV/0!</v>
      </c>
      <c r="BM6" s="29" t="str">
        <f t="shared" si="3"/>
        <v>#DIV/0!</v>
      </c>
    </row>
    <row r="7">
      <c r="A7" s="16" t="str">
        <f>IFERROR(__xludf.DUMMYFUNCTION("IFERROR(SPARKLINE(SORT(MAP(TRANSPOSE(AQ7:BL7), LAMBDA(val, IF(ISNUMBER(val), PERCENTRANK(AQ7:BL7, val)+0.01, 0))), SEQUENCE(COLUMNS(AQ7:BL7)), FALSE), {""charttype"",""column""; ""color"",""chartreuse""; ""ymin"", 0; ""ymax"", 1.01; ""highcolor"", ""darkg"&amp;"reen""; ""lowcolor"", ""red""}), """")"),"")</f>
        <v/>
      </c>
      <c r="B7" s="17" t="str">
        <f t="shared" si="4"/>
        <v/>
      </c>
      <c r="C7" s="45" t="s">
        <v>2620</v>
      </c>
      <c r="D7" s="30" t="str">
        <f>IFERROR(__xludf.DUMMYFUNCTION("IFERROR(GOOGLEFINANCE(C7, ""NAME""))"),"Fluence Energy Inc")</f>
        <v>Fluence Energy Inc</v>
      </c>
      <c r="E7" s="30" t="s">
        <v>2605</v>
      </c>
      <c r="F7" s="33" t="str">
        <f>IFERROR(__xludf.DUMMYFUNCTION("( (GOOGLEFINANCE(C7, ""price"") - Q7) / Q7 ) / (R7 / 100)"),"Loading...")</f>
        <v>Loading...</v>
      </c>
      <c r="G7" s="20" t="str">
        <f>IFERROR(__xludf.DUMMYFUNCTION("AVERAGE(ARRAYFORMULA(100 * (QUERY(GOOGLEFINANCE(C7, ""high"", TODAY()-40, TODAY()), ""SELECT Col2 WHERE Col2 IS NOT NULL ORDER BY Col1 DESC LIMIT 20"", 0) / QUERY(GOOGLEFINANCE(C7, ""low"", TODAY()-40, TODAY()), ""SELECT Col2 WHERE Col2 IS NOT NULL ORDER "&amp;"BY Col1 DESC LIMIT 20"", 0) - 1)))"),"#N/A")</f>
        <v>#N/A</v>
      </c>
      <c r="H7" s="35" t="str">
        <f t="shared" si="6"/>
        <v>Illiquid</v>
      </c>
      <c r="I7" s="35" t="str">
        <f t="shared" si="7"/>
        <v>RVol Required</v>
      </c>
      <c r="J7" s="37">
        <f>IFERROR(__xludf.DUMMYFUNCTION("IFERROR(
  IF(C7="""",, 
    IFERROR(
      GOOGLEFINANCE(C7, ""price"") * GOOGLEFINANCE(C7, ""volumeavg""), 
      GOOGLEFINANCE(C7, ""price"") * AVERAGE(QUERY(GOOGLEFINANCE(C7, ""volume"", TODAY()-40, TODAY()), ""SELECT Col2 WHERE Col2 IS NOT NULL ORDER"&amp;" BY Col1 DESC LIMIT 20"", 0))
    )
  ), 
"""")"),4.5803609199999996E7)</f>
        <v>45803609.2</v>
      </c>
      <c r="K7" s="21">
        <f>IFERROR(__xludf.DUMMYFUNCTION("IFERROR(GOOGLEFINANCE(C7, ""changepct"") / 100, """")"),-0.098)</f>
        <v>-0.098</v>
      </c>
      <c r="L7" s="21" t="str">
        <f>IFERROR(__xludf.DUMMYFUNCTION("IFERROR((GOOGLEFINANCE(C7, ""price"") / INDEX(GOOGLEFINANCE(C7, ""price"", TODAY()-7, TODAY()), 2, 2)) - 1, """")"),"")</f>
        <v/>
      </c>
      <c r="M7" s="21" t="str">
        <f>IFERROR(__xludf.DUMMYFUNCTION("IFERROR((GOOGLEFINANCE(C7, ""price"") / INDEX(GOOGLEFINANCE(C7, ""price"", EDATE(TODAY(), -1), TODAY()), 2, 2)) - 1, """")"),"")</f>
        <v/>
      </c>
      <c r="N7" s="21" t="str">
        <f>IFERROR(__xludf.DUMMYFUNCTION("IFERROR((GOOGLEFINANCE(C7, ""price"") / INDEX(GOOGLEFINANCE(C7, ""price"", EDATE(TODAY(), -3), TODAY()), 2, 2)) - 1, """")"),"")</f>
        <v/>
      </c>
      <c r="O7" s="21" t="str">
        <f>IFERROR(__xludf.DUMMYFUNCTION("IFERROR((GOOGLEFINANCE(C7, ""price"") / INDEX(GOOGLEFINANCE(C7, ""price"", EDATE(TODAY(), -6), TODAY()), 2, 2)) - 1, """")"),"")</f>
        <v/>
      </c>
      <c r="P7" s="21" t="str">
        <f>IFERROR(__xludf.DUMMYFUNCTION("IFERROR((GOOGLEFINANCE(C7, ""price"") / INDEX(GOOGLEFINANCE(C7, ""price"", EDATE(TODAY(), -12), TODAY()), 2, 2)) - 1, """")"),"")</f>
        <v/>
      </c>
      <c r="Q7" s="6" t="str">
        <f>IFERROR(__xludf.DUMMYFUNCTION("AVERAGE(QUERY(GOOGLEFINANCE(C7, ""price"", TODAY()-80, TODAY()), ""SELECT Col2 WHERE Col2 IS NOT NULL ORDER BY Col1 DESC LIMIT 50"", 0))"),"#N/A")</f>
        <v>#N/A</v>
      </c>
      <c r="R7" s="24" t="str">
        <f>IFERROR(__xludf.DUMMYFUNCTION("IFERROR(
  LET(
    data, QUERY(GOOGLEFINANCE(C7,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GOOGLEFINANCE(C7, ""price"")) * 100,
    IF(calc=0, G7, calc)
  ), 
G7)"),"#N/A")</f>
        <v>#N/A</v>
      </c>
      <c r="S7" s="8" t="s">
        <v>15</v>
      </c>
      <c r="T7" s="26" t="str">
        <f>IFERROR(__xludf.DUMMYFUNCTION("IFERROR(TRANSPOSE(QUERY(IFERROR(SORT(GOOGLEFINANCE(C7, ""price"", WORKDAY(TODAY(), -40), TODAY()), 1, FALSE)), ""select Col2 where Col2 is not null limit 22 label Col2 ''"", 0)), """")"),"")</f>
        <v/>
      </c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8"/>
      <c r="AO7" s="28"/>
      <c r="AP7" s="29"/>
      <c r="AQ7" s="29" t="str">
        <f t="shared" ref="AQ7:BL7" si="10">T7/T$2</f>
        <v>#N/A</v>
      </c>
      <c r="AR7" s="29" t="str">
        <f t="shared" si="10"/>
        <v>#DIV/0!</v>
      </c>
      <c r="AS7" s="29" t="str">
        <f t="shared" si="10"/>
        <v>#DIV/0!</v>
      </c>
      <c r="AT7" s="29" t="str">
        <f t="shared" si="10"/>
        <v>#DIV/0!</v>
      </c>
      <c r="AU7" s="29" t="str">
        <f t="shared" si="10"/>
        <v>#DIV/0!</v>
      </c>
      <c r="AV7" s="29" t="str">
        <f t="shared" si="10"/>
        <v>#DIV/0!</v>
      </c>
      <c r="AW7" s="29" t="str">
        <f t="shared" si="10"/>
        <v>#DIV/0!</v>
      </c>
      <c r="AX7" s="29" t="str">
        <f t="shared" si="10"/>
        <v>#DIV/0!</v>
      </c>
      <c r="AY7" s="29" t="str">
        <f t="shared" si="10"/>
        <v>#DIV/0!</v>
      </c>
      <c r="AZ7" s="29" t="str">
        <f t="shared" si="10"/>
        <v>#DIV/0!</v>
      </c>
      <c r="BA7" s="29" t="str">
        <f t="shared" si="10"/>
        <v>#DIV/0!</v>
      </c>
      <c r="BB7" s="29" t="str">
        <f t="shared" si="10"/>
        <v>#DIV/0!</v>
      </c>
      <c r="BC7" s="29" t="str">
        <f t="shared" si="10"/>
        <v>#DIV/0!</v>
      </c>
      <c r="BD7" s="29" t="str">
        <f t="shared" si="10"/>
        <v>#DIV/0!</v>
      </c>
      <c r="BE7" s="29" t="str">
        <f t="shared" si="10"/>
        <v>#DIV/0!</v>
      </c>
      <c r="BF7" s="29" t="str">
        <f t="shared" si="10"/>
        <v>#DIV/0!</v>
      </c>
      <c r="BG7" s="29" t="str">
        <f t="shared" si="10"/>
        <v>#DIV/0!</v>
      </c>
      <c r="BH7" s="29" t="str">
        <f t="shared" si="10"/>
        <v>#DIV/0!</v>
      </c>
      <c r="BI7" s="29" t="str">
        <f t="shared" si="10"/>
        <v>#DIV/0!</v>
      </c>
      <c r="BJ7" s="29" t="str">
        <f t="shared" si="10"/>
        <v>#DIV/0!</v>
      </c>
      <c r="BK7" s="29" t="str">
        <f t="shared" si="10"/>
        <v>#DIV/0!</v>
      </c>
      <c r="BL7" s="29" t="str">
        <f t="shared" si="10"/>
        <v>#DIV/0!</v>
      </c>
      <c r="BM7" s="29" t="str">
        <f t="shared" si="3"/>
        <v>#DIV/0!</v>
      </c>
    </row>
    <row r="8">
      <c r="A8" s="16" t="str">
        <f>IFERROR(__xludf.DUMMYFUNCTION("IFERROR(SPARKLINE(SORT(MAP(TRANSPOSE(AQ8:BL8), LAMBDA(val, IF(ISNUMBER(val), PERCENTRANK(AQ8:BL8, val)+0.01, 0))), SEQUENCE(COLUMNS(AQ8:BL8)), FALSE), {""charttype"",""column""; ""color"",""chartreuse""; ""ymin"", 0; ""ymax"", 1.01; ""highcolor"", ""darkg"&amp;"reen""; ""lowcolor"", ""red""}), """")"),"")</f>
        <v/>
      </c>
      <c r="B8" s="17" t="str">
        <f t="shared" si="4"/>
        <v/>
      </c>
      <c r="C8" s="45" t="s">
        <v>2627</v>
      </c>
      <c r="D8" s="30" t="str">
        <f>IFERROR(__xludf.DUMMYFUNCTION("IFERROR(GOOGLEFINANCE(C8, ""NAME""))"),"Brookfield Infrastructure Partners L.P.")</f>
        <v>Brookfield Infrastructure Partners L.P.</v>
      </c>
      <c r="E8" s="30" t="s">
        <v>2628</v>
      </c>
      <c r="F8" s="33" t="str">
        <f>IFERROR(__xludf.DUMMYFUNCTION("( (GOOGLEFINANCE(C8, ""price"") - Q8) / Q8 ) / (R8 / 100)"),"Loading...")</f>
        <v>Loading...</v>
      </c>
      <c r="G8" s="20" t="str">
        <f>IFERROR(__xludf.DUMMYFUNCTION("AVERAGE(ARRAYFORMULA(100 * (QUERY(GOOGLEFINANCE(C8, ""high"", TODAY()-40, TODAY()), ""SELECT Col2 WHERE Col2 IS NOT NULL ORDER BY Col1 DESC LIMIT 20"", 0) / QUERY(GOOGLEFINANCE(C8, ""low"", TODAY()-40, TODAY()), ""SELECT Col2 WHERE Col2 IS NOT NULL ORDER "&amp;"BY Col1 DESC LIMIT 20"", 0) - 1)))"),"#N/A")</f>
        <v>#N/A</v>
      </c>
      <c r="H8" s="35" t="str">
        <f t="shared" si="6"/>
        <v>Illiquid</v>
      </c>
      <c r="I8" s="35" t="str">
        <f t="shared" si="7"/>
        <v>RVol Required</v>
      </c>
      <c r="J8" s="37">
        <f>IFERROR(__xludf.DUMMYFUNCTION("IFERROR(
  IF(C8="""",, 
    IFERROR(
      GOOGLEFINANCE(C8, ""price"") * GOOGLEFINANCE(C8, ""volumeavg""), 
      GOOGLEFINANCE(C8, ""price"") * AVERAGE(QUERY(GOOGLEFINANCE(C8, ""volume"", TODAY()-40, TODAY()), ""SELECT Col2 WHERE Col2 IS NOT NULL ORDER"&amp;" BY Col1 DESC LIMIT 20"", 0))
    )
  ), 
"""")"),2.9959101200000003E7)</f>
        <v>29959101.2</v>
      </c>
      <c r="K8" s="21">
        <f>IFERROR(__xludf.DUMMYFUNCTION("IFERROR(GOOGLEFINANCE(C8, ""changepct"") / 100, """")"),0.0048)</f>
        <v>0.0048</v>
      </c>
      <c r="L8" s="21" t="str">
        <f>IFERROR(__xludf.DUMMYFUNCTION("IFERROR((GOOGLEFINANCE(C8, ""price"") / INDEX(GOOGLEFINANCE(C8, ""price"", TODAY()-7, TODAY()), 2, 2)) - 1, """")"),"")</f>
        <v/>
      </c>
      <c r="M8" s="21" t="str">
        <f>IFERROR(__xludf.DUMMYFUNCTION("IFERROR((GOOGLEFINANCE(C8, ""price"") / INDEX(GOOGLEFINANCE(C8, ""price"", EDATE(TODAY(), -1), TODAY()), 2, 2)) - 1, """")"),"")</f>
        <v/>
      </c>
      <c r="N8" s="21" t="str">
        <f>IFERROR(__xludf.DUMMYFUNCTION("IFERROR((GOOGLEFINANCE(C8, ""price"") / INDEX(GOOGLEFINANCE(C8, ""price"", EDATE(TODAY(), -3), TODAY()), 2, 2)) - 1, """")"),"")</f>
        <v/>
      </c>
      <c r="O8" s="21" t="str">
        <f>IFERROR(__xludf.DUMMYFUNCTION("IFERROR((GOOGLEFINANCE(C8, ""price"") / INDEX(GOOGLEFINANCE(C8, ""price"", EDATE(TODAY(), -6), TODAY()), 2, 2)) - 1, """")"),"")</f>
        <v/>
      </c>
      <c r="P8" s="21" t="str">
        <f>IFERROR(__xludf.DUMMYFUNCTION("IFERROR((GOOGLEFINANCE(C8, ""price"") / INDEX(GOOGLEFINANCE(C8, ""price"", EDATE(TODAY(), -12), TODAY()), 2, 2)) - 1, """")"),"")</f>
        <v/>
      </c>
      <c r="Q8" s="6" t="str">
        <f>IFERROR(__xludf.DUMMYFUNCTION("AVERAGE(QUERY(GOOGLEFINANCE(C8, ""price"", TODAY()-80, TODAY()), ""SELECT Col2 WHERE Col2 IS NOT NULL ORDER BY Col1 DESC LIMIT 50"", 0))"),"#N/A")</f>
        <v>#N/A</v>
      </c>
      <c r="R8" s="24" t="str">
        <f>IFERROR(__xludf.DUMMYFUNCTION("IFERROR(
  LET(
    data, QUERY(GOOGLEFINANCE(C8,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GOOGLEFINANCE(C8, ""price"")) * 100,
    IF(calc=0, G8, calc)
  ), 
G8)"),"#N/A")</f>
        <v>#N/A</v>
      </c>
      <c r="S8" s="8" t="s">
        <v>15</v>
      </c>
      <c r="T8" s="26" t="str">
        <f>IFERROR(__xludf.DUMMYFUNCTION("IFERROR(TRANSPOSE(QUERY(IFERROR(SORT(GOOGLEFINANCE(C8, ""price"", WORKDAY(TODAY(), -40), TODAY()), 1, FALSE)), ""select Col2 where Col2 is not null limit 22 label Col2 ''"", 0)), """")"),"")</f>
        <v/>
      </c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8"/>
      <c r="AO8" s="28"/>
      <c r="AP8" s="29"/>
      <c r="AQ8" s="29" t="str">
        <f t="shared" ref="AQ8:BL8" si="11">T8/T$2</f>
        <v>#N/A</v>
      </c>
      <c r="AR8" s="29" t="str">
        <f t="shared" si="11"/>
        <v>#DIV/0!</v>
      </c>
      <c r="AS8" s="29" t="str">
        <f t="shared" si="11"/>
        <v>#DIV/0!</v>
      </c>
      <c r="AT8" s="29" t="str">
        <f t="shared" si="11"/>
        <v>#DIV/0!</v>
      </c>
      <c r="AU8" s="29" t="str">
        <f t="shared" si="11"/>
        <v>#DIV/0!</v>
      </c>
      <c r="AV8" s="29" t="str">
        <f t="shared" si="11"/>
        <v>#DIV/0!</v>
      </c>
      <c r="AW8" s="29" t="str">
        <f t="shared" si="11"/>
        <v>#DIV/0!</v>
      </c>
      <c r="AX8" s="29" t="str">
        <f t="shared" si="11"/>
        <v>#DIV/0!</v>
      </c>
      <c r="AY8" s="29" t="str">
        <f t="shared" si="11"/>
        <v>#DIV/0!</v>
      </c>
      <c r="AZ8" s="29" t="str">
        <f t="shared" si="11"/>
        <v>#DIV/0!</v>
      </c>
      <c r="BA8" s="29" t="str">
        <f t="shared" si="11"/>
        <v>#DIV/0!</v>
      </c>
      <c r="BB8" s="29" t="str">
        <f t="shared" si="11"/>
        <v>#DIV/0!</v>
      </c>
      <c r="BC8" s="29" t="str">
        <f t="shared" si="11"/>
        <v>#DIV/0!</v>
      </c>
      <c r="BD8" s="29" t="str">
        <f t="shared" si="11"/>
        <v>#DIV/0!</v>
      </c>
      <c r="BE8" s="29" t="str">
        <f t="shared" si="11"/>
        <v>#DIV/0!</v>
      </c>
      <c r="BF8" s="29" t="str">
        <f t="shared" si="11"/>
        <v>#DIV/0!</v>
      </c>
      <c r="BG8" s="29" t="str">
        <f t="shared" si="11"/>
        <v>#DIV/0!</v>
      </c>
      <c r="BH8" s="29" t="str">
        <f t="shared" si="11"/>
        <v>#DIV/0!</v>
      </c>
      <c r="BI8" s="29" t="str">
        <f t="shared" si="11"/>
        <v>#DIV/0!</v>
      </c>
      <c r="BJ8" s="29" t="str">
        <f t="shared" si="11"/>
        <v>#DIV/0!</v>
      </c>
      <c r="BK8" s="29" t="str">
        <f t="shared" si="11"/>
        <v>#DIV/0!</v>
      </c>
      <c r="BL8" s="29" t="str">
        <f t="shared" si="11"/>
        <v>#DIV/0!</v>
      </c>
      <c r="BM8" s="29" t="str">
        <f t="shared" si="3"/>
        <v>#DIV/0!</v>
      </c>
    </row>
    <row r="9">
      <c r="A9" s="16" t="str">
        <f>IFERROR(__xludf.DUMMYFUNCTION("IFERROR(SPARKLINE(SORT(MAP(TRANSPOSE(AQ9:BL9), LAMBDA(val, IF(ISNUMBER(val), PERCENTRANK(AQ9:BL9, val)+0.01, 0))), SEQUENCE(COLUMNS(AQ9:BL9)), FALSE), {""charttype"",""column""; ""color"",""chartreuse""; ""ymin"", 0; ""ymax"", 1.01; ""highcolor"", ""darkg"&amp;"reen""; ""lowcolor"", ""red""}), """")"),"")</f>
        <v/>
      </c>
      <c r="B9" s="17" t="str">
        <f t="shared" si="4"/>
        <v/>
      </c>
      <c r="C9" s="45" t="s">
        <v>2633</v>
      </c>
      <c r="D9" s="30" t="str">
        <f>IFERROR(__xludf.DUMMYFUNCTION("IFERROR(GOOGLEFINANCE(C9, ""NAME""))"),"Oklo Inc")</f>
        <v>Oklo Inc</v>
      </c>
      <c r="E9" s="30" t="s">
        <v>2634</v>
      </c>
      <c r="F9" s="33" t="str">
        <f>IFERROR(__xludf.DUMMYFUNCTION("( (GOOGLEFINANCE(C9, ""price"") - Q9) / Q9 ) / (R9 / 100)"),"Loading...")</f>
        <v>Loading...</v>
      </c>
      <c r="G9" s="20" t="str">
        <f>IFERROR(__xludf.DUMMYFUNCTION("AVERAGE(ARRAYFORMULA(100 * (QUERY(GOOGLEFINANCE(C9, ""high"", TODAY()-40, TODAY()), ""SELECT Col2 WHERE Col2 IS NOT NULL ORDER BY Col1 DESC LIMIT 20"", 0) / QUERY(GOOGLEFINANCE(C9, ""low"", TODAY()-40, TODAY()), ""SELECT Col2 WHERE Col2 IS NOT NULL ORDER "&amp;"BY Col1 DESC LIMIT 20"", 0) - 1)))"),"#N/A")</f>
        <v>#N/A</v>
      </c>
      <c r="H9" s="35" t="str">
        <f t="shared" si="6"/>
        <v>Liquid</v>
      </c>
      <c r="I9" s="35" t="str">
        <f t="shared" si="7"/>
        <v>RVol Required</v>
      </c>
      <c r="J9" s="37">
        <f>IFERROR(__xludf.DUMMYFUNCTION("IFERROR(
  IF(C9="""",, 
    IFERROR(
      GOOGLEFINANCE(C9, ""price"") * GOOGLEFINANCE(C9, ""volumeavg""), 
      GOOGLEFINANCE(C9, ""price"") * AVERAGE(QUERY(GOOGLEFINANCE(C9, ""volume"", TODAY()-40, TODAY()), ""SELECT Col2 WHERE Col2 IS NOT NULL ORDER"&amp;" BY Col1 DESC LIMIT 20"", 0))
    )
  ), 
"""")"),2.9176004865999997E8)</f>
        <v>291760048.7</v>
      </c>
      <c r="K9" s="21">
        <f>IFERROR(__xludf.DUMMYFUNCTION("IFERROR(GOOGLEFINANCE(C9, ""changepct"") / 100, """")"),-0.068)</f>
        <v>-0.068</v>
      </c>
      <c r="L9" s="21" t="str">
        <f>IFERROR(__xludf.DUMMYFUNCTION("IFERROR((GOOGLEFINANCE(C9, ""price"") / INDEX(GOOGLEFINANCE(C9, ""price"", TODAY()-7, TODAY()), 2, 2)) - 1, """")"),"")</f>
        <v/>
      </c>
      <c r="M9" s="21" t="str">
        <f>IFERROR(__xludf.DUMMYFUNCTION("IFERROR((GOOGLEFINANCE(C9, ""price"") / INDEX(GOOGLEFINANCE(C9, ""price"", EDATE(TODAY(), -1), TODAY()), 2, 2)) - 1, """")"),"")</f>
        <v/>
      </c>
      <c r="N9" s="21" t="str">
        <f>IFERROR(__xludf.DUMMYFUNCTION("IFERROR((GOOGLEFINANCE(C9, ""price"") / INDEX(GOOGLEFINANCE(C9, ""price"", EDATE(TODAY(), -3), TODAY()), 2, 2)) - 1, """")"),"")</f>
        <v/>
      </c>
      <c r="O9" s="21" t="str">
        <f>IFERROR(__xludf.DUMMYFUNCTION("IFERROR((GOOGLEFINANCE(C9, ""price"") / INDEX(GOOGLEFINANCE(C9, ""price"", EDATE(TODAY(), -6), TODAY()), 2, 2)) - 1, """")"),"")</f>
        <v/>
      </c>
      <c r="P9" s="21" t="str">
        <f>IFERROR(__xludf.DUMMYFUNCTION("IFERROR((GOOGLEFINANCE(C9, ""price"") / INDEX(GOOGLEFINANCE(C9, ""price"", EDATE(TODAY(), -12), TODAY()), 2, 2)) - 1, """")"),"")</f>
        <v/>
      </c>
      <c r="Q9" s="6" t="str">
        <f>IFERROR(__xludf.DUMMYFUNCTION("AVERAGE(QUERY(GOOGLEFINANCE(C9, ""price"", TODAY()-80, TODAY()), ""SELECT Col2 WHERE Col2 IS NOT NULL ORDER BY Col1 DESC LIMIT 50"", 0))"),"#N/A")</f>
        <v>#N/A</v>
      </c>
      <c r="R9" s="24" t="str">
        <f>IFERROR(__xludf.DUMMYFUNCTION("IFERROR(
  LET(
    data, QUERY(GOOGLEFINANCE(C9,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GOOGLEFINANCE(C9, ""price"")) * 100,
    IF(calc=0, G9, calc)
  ), 
G9)"),"#N/A")</f>
        <v>#N/A</v>
      </c>
      <c r="S9" s="8" t="s">
        <v>15</v>
      </c>
      <c r="T9" s="26" t="str">
        <f>IFERROR(__xludf.DUMMYFUNCTION("IFERROR(TRANSPOSE(QUERY(IFERROR(SORT(GOOGLEFINANCE(C9, ""price"", WORKDAY(TODAY(), -40), TODAY()), 1, FALSE)), ""select Col2 where Col2 is not null limit 22 label Col2 ''"", 0)), """")"),"")</f>
        <v/>
      </c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8"/>
      <c r="AO9" s="28"/>
      <c r="AP9" s="29"/>
      <c r="AQ9" s="29" t="str">
        <f t="shared" ref="AQ9:BL9" si="12">T9/T$2</f>
        <v>#N/A</v>
      </c>
      <c r="AR9" s="29" t="str">
        <f t="shared" si="12"/>
        <v>#DIV/0!</v>
      </c>
      <c r="AS9" s="29" t="str">
        <f t="shared" si="12"/>
        <v>#DIV/0!</v>
      </c>
      <c r="AT9" s="29" t="str">
        <f t="shared" si="12"/>
        <v>#DIV/0!</v>
      </c>
      <c r="AU9" s="29" t="str">
        <f t="shared" si="12"/>
        <v>#DIV/0!</v>
      </c>
      <c r="AV9" s="29" t="str">
        <f t="shared" si="12"/>
        <v>#DIV/0!</v>
      </c>
      <c r="AW9" s="29" t="str">
        <f t="shared" si="12"/>
        <v>#DIV/0!</v>
      </c>
      <c r="AX9" s="29" t="str">
        <f t="shared" si="12"/>
        <v>#DIV/0!</v>
      </c>
      <c r="AY9" s="29" t="str">
        <f t="shared" si="12"/>
        <v>#DIV/0!</v>
      </c>
      <c r="AZ9" s="29" t="str">
        <f t="shared" si="12"/>
        <v>#DIV/0!</v>
      </c>
      <c r="BA9" s="29" t="str">
        <f t="shared" si="12"/>
        <v>#DIV/0!</v>
      </c>
      <c r="BB9" s="29" t="str">
        <f t="shared" si="12"/>
        <v>#DIV/0!</v>
      </c>
      <c r="BC9" s="29" t="str">
        <f t="shared" si="12"/>
        <v>#DIV/0!</v>
      </c>
      <c r="BD9" s="29" t="str">
        <f t="shared" si="12"/>
        <v>#DIV/0!</v>
      </c>
      <c r="BE9" s="29" t="str">
        <f t="shared" si="12"/>
        <v>#DIV/0!</v>
      </c>
      <c r="BF9" s="29" t="str">
        <f t="shared" si="12"/>
        <v>#DIV/0!</v>
      </c>
      <c r="BG9" s="29" t="str">
        <f t="shared" si="12"/>
        <v>#DIV/0!</v>
      </c>
      <c r="BH9" s="29" t="str">
        <f t="shared" si="12"/>
        <v>#DIV/0!</v>
      </c>
      <c r="BI9" s="29" t="str">
        <f t="shared" si="12"/>
        <v>#DIV/0!</v>
      </c>
      <c r="BJ9" s="29" t="str">
        <f t="shared" si="12"/>
        <v>#DIV/0!</v>
      </c>
      <c r="BK9" s="29" t="str">
        <f t="shared" si="12"/>
        <v>#DIV/0!</v>
      </c>
      <c r="BL9" s="29" t="str">
        <f t="shared" si="12"/>
        <v>#DIV/0!</v>
      </c>
      <c r="BM9" s="29" t="str">
        <f t="shared" si="3"/>
        <v>#DIV/0!</v>
      </c>
    </row>
    <row r="10">
      <c r="A10" s="16" t="str">
        <f>IFERROR(__xludf.DUMMYFUNCTION("IFERROR(SPARKLINE(SORT(MAP(TRANSPOSE(AQ10:BL10), LAMBDA(val, IF(ISNUMBER(val), PERCENTRANK(AQ10:BL10, val)+0.01, 0))), SEQUENCE(COLUMNS(AQ10:BL10)), FALSE), {""charttype"",""column""; ""color"",""chartreuse""; ""ymin"", 0; ""ymax"", 1.01; ""highcolor"", "&amp;"""darkgreen""; ""lowcolor"", ""red""}), """")"),"")</f>
        <v/>
      </c>
      <c r="B10" s="17" t="str">
        <f t="shared" si="4"/>
        <v/>
      </c>
      <c r="C10" s="45" t="s">
        <v>2638</v>
      </c>
      <c r="D10" s="30" t="str">
        <f>IFERROR(__xludf.DUMMYFUNCTION("IFERROR(GOOGLEFINANCE(C10, ""NAME""))"),"Kenon Holdings Ltd")</f>
        <v>Kenon Holdings Ltd</v>
      </c>
      <c r="E10" s="30" t="s">
        <v>2634</v>
      </c>
      <c r="F10" s="33" t="str">
        <f>IFERROR(__xludf.DUMMYFUNCTION("( (GOOGLEFINANCE(C10, ""price"") - Q10) / Q10 ) / (R10 / 100)"),"Loading...")</f>
        <v>Loading...</v>
      </c>
      <c r="G10" s="20" t="str">
        <f>IFERROR(__xludf.DUMMYFUNCTION("AVERAGE(ARRAYFORMULA(100 * (QUERY(GOOGLEFINANCE(C10, ""high"", TODAY()-40, TODAY()), ""SELECT Col2 WHERE Col2 IS NOT NULL ORDER BY Col1 DESC LIMIT 20"", 0) / QUERY(GOOGLEFINANCE(C10, ""low"", TODAY()-40, TODAY()), ""SELECT Col2 WHERE Col2 IS NOT NULL ORDE"&amp;"R BY Col1 DESC LIMIT 20"", 0) - 1)))"),"#N/A")</f>
        <v>#N/A</v>
      </c>
      <c r="H10" s="35" t="str">
        <f t="shared" si="6"/>
        <v>Illiquid</v>
      </c>
      <c r="I10" s="35" t="str">
        <f t="shared" si="7"/>
        <v>RVol Required</v>
      </c>
      <c r="J10" s="37">
        <f>IFERROR(__xludf.DUMMYFUNCTION("IFERROR(
  IF(C10="""",, 
    IFERROR(
      GOOGLEFINANCE(C10, ""price"") * GOOGLEFINANCE(C10, ""volumeavg""), 
      GOOGLEFINANCE(C10, ""price"") * AVERAGE(QUERY(GOOGLEFINANCE(C10, ""volume"", TODAY()-40, TODAY()), ""SELECT Col2 WHERE Col2 IS NOT NULL "&amp;"ORDER BY Col1 DESC LIMIT 20"", 0))
    )
  ), 
"""")"),890190.08)</f>
        <v>890190.08</v>
      </c>
      <c r="K10" s="21">
        <f>IFERROR(__xludf.DUMMYFUNCTION("IFERROR(GOOGLEFINANCE(C10, ""changepct"") / 100, """")"),0.0062)</f>
        <v>0.0062</v>
      </c>
      <c r="L10" s="21" t="str">
        <f>IFERROR(__xludf.DUMMYFUNCTION("IFERROR((GOOGLEFINANCE(C10, ""price"") / INDEX(GOOGLEFINANCE(C10, ""price"", TODAY()-7, TODAY()), 2, 2)) - 1, """")"),"")</f>
        <v/>
      </c>
      <c r="M10" s="21" t="str">
        <f>IFERROR(__xludf.DUMMYFUNCTION("IFERROR((GOOGLEFINANCE(C10, ""price"") / INDEX(GOOGLEFINANCE(C10, ""price"", EDATE(TODAY(), -1), TODAY()), 2, 2)) - 1, """")"),"")</f>
        <v/>
      </c>
      <c r="N10" s="21" t="str">
        <f>IFERROR(__xludf.DUMMYFUNCTION("IFERROR((GOOGLEFINANCE(C10, ""price"") / INDEX(GOOGLEFINANCE(C10, ""price"", EDATE(TODAY(), -3), TODAY()), 2, 2)) - 1, """")"),"")</f>
        <v/>
      </c>
      <c r="O10" s="21" t="str">
        <f>IFERROR(__xludf.DUMMYFUNCTION("IFERROR((GOOGLEFINANCE(C10, ""price"") / INDEX(GOOGLEFINANCE(C10, ""price"", EDATE(TODAY(), -6), TODAY()), 2, 2)) - 1, """")"),"")</f>
        <v/>
      </c>
      <c r="P10" s="21" t="str">
        <f>IFERROR(__xludf.DUMMYFUNCTION("IFERROR((GOOGLEFINANCE(C10, ""price"") / INDEX(GOOGLEFINANCE(C10, ""price"", EDATE(TODAY(), -12), TODAY()), 2, 2)) - 1, """")"),"")</f>
        <v/>
      </c>
      <c r="Q10" s="6" t="str">
        <f>IFERROR(__xludf.DUMMYFUNCTION("AVERAGE(QUERY(GOOGLEFINANCE(C10, ""price"", TODAY()-80, TODAY()), ""SELECT Col2 WHERE Col2 IS NOT NULL ORDER BY Col1 DESC LIMIT 50"", 0))"),"#N/A")</f>
        <v>#N/A</v>
      </c>
      <c r="R10" s="24" t="str">
        <f>IFERROR(__xludf.DUMMYFUNCTION("IFERROR(
  LET(
    data, QUERY(GOOGLEFINANCE(C10,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GOOGLEFINANCE(C10, ""price"")) * 100,
    IF(calc=0, G10, calc)
  ), 
G10)"),"#N/A")</f>
        <v>#N/A</v>
      </c>
      <c r="S10" s="8" t="s">
        <v>15</v>
      </c>
      <c r="T10" s="26" t="str">
        <f>IFERROR(__xludf.DUMMYFUNCTION("IFERROR(TRANSPOSE(QUERY(IFERROR(SORT(GOOGLEFINANCE(C10, ""price"", WORKDAY(TODAY(), -40), TODAY()), 1, FALSE)), ""select Col2 where Col2 is not null limit 22 label Col2 ''"", 0)), """")"),"")</f>
        <v/>
      </c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8"/>
      <c r="AO10" s="28"/>
      <c r="AP10" s="29"/>
      <c r="AQ10" s="29" t="str">
        <f t="shared" ref="AQ10:BL10" si="13">T10/T$2</f>
        <v>#N/A</v>
      </c>
      <c r="AR10" s="29" t="str">
        <f t="shared" si="13"/>
        <v>#DIV/0!</v>
      </c>
      <c r="AS10" s="29" t="str">
        <f t="shared" si="13"/>
        <v>#DIV/0!</v>
      </c>
      <c r="AT10" s="29" t="str">
        <f t="shared" si="13"/>
        <v>#DIV/0!</v>
      </c>
      <c r="AU10" s="29" t="str">
        <f t="shared" si="13"/>
        <v>#DIV/0!</v>
      </c>
      <c r="AV10" s="29" t="str">
        <f t="shared" si="13"/>
        <v>#DIV/0!</v>
      </c>
      <c r="AW10" s="29" t="str">
        <f t="shared" si="13"/>
        <v>#DIV/0!</v>
      </c>
      <c r="AX10" s="29" t="str">
        <f t="shared" si="13"/>
        <v>#DIV/0!</v>
      </c>
      <c r="AY10" s="29" t="str">
        <f t="shared" si="13"/>
        <v>#DIV/0!</v>
      </c>
      <c r="AZ10" s="29" t="str">
        <f t="shared" si="13"/>
        <v>#DIV/0!</v>
      </c>
      <c r="BA10" s="29" t="str">
        <f t="shared" si="13"/>
        <v>#DIV/0!</v>
      </c>
      <c r="BB10" s="29" t="str">
        <f t="shared" si="13"/>
        <v>#DIV/0!</v>
      </c>
      <c r="BC10" s="29" t="str">
        <f t="shared" si="13"/>
        <v>#DIV/0!</v>
      </c>
      <c r="BD10" s="29" t="str">
        <f t="shared" si="13"/>
        <v>#DIV/0!</v>
      </c>
      <c r="BE10" s="29" t="str">
        <f t="shared" si="13"/>
        <v>#DIV/0!</v>
      </c>
      <c r="BF10" s="29" t="str">
        <f t="shared" si="13"/>
        <v>#DIV/0!</v>
      </c>
      <c r="BG10" s="29" t="str">
        <f t="shared" si="13"/>
        <v>#DIV/0!</v>
      </c>
      <c r="BH10" s="29" t="str">
        <f t="shared" si="13"/>
        <v>#DIV/0!</v>
      </c>
      <c r="BI10" s="29" t="str">
        <f t="shared" si="13"/>
        <v>#DIV/0!</v>
      </c>
      <c r="BJ10" s="29" t="str">
        <f t="shared" si="13"/>
        <v>#DIV/0!</v>
      </c>
      <c r="BK10" s="29" t="str">
        <f t="shared" si="13"/>
        <v>#DIV/0!</v>
      </c>
      <c r="BL10" s="29" t="str">
        <f t="shared" si="13"/>
        <v>#DIV/0!</v>
      </c>
      <c r="BM10" s="29" t="str">
        <f t="shared" si="3"/>
        <v>#DIV/0!</v>
      </c>
    </row>
    <row r="11">
      <c r="A11" s="16" t="str">
        <f>IFERROR(__xludf.DUMMYFUNCTION("IFERROR(SPARKLINE(SORT(MAP(TRANSPOSE(AQ11:BL11), LAMBDA(val, IF(ISNUMBER(val), PERCENTRANK(AQ11:BL11, val)+0.01, 0))), SEQUENCE(COLUMNS(AQ11:BL11)), FALSE), {""charttype"",""column""; ""color"",""chartreuse""; ""ymin"", 0; ""ymax"", 1.01; ""highcolor"", "&amp;"""darkgreen""; ""lowcolor"", ""red""}), """")"),"")</f>
        <v/>
      </c>
      <c r="B11" s="17" t="str">
        <f t="shared" si="4"/>
        <v/>
      </c>
      <c r="C11" s="45" t="s">
        <v>2642</v>
      </c>
      <c r="D11" s="30" t="str">
        <f>IFERROR(__xludf.DUMMYFUNCTION("IFERROR(GOOGLEFINANCE(C11, ""NAME""))"),"Renew Energy Global PLC")</f>
        <v>Renew Energy Global PLC</v>
      </c>
      <c r="E11" s="30" t="s">
        <v>2605</v>
      </c>
      <c r="F11" s="33" t="str">
        <f>IFERROR(__xludf.DUMMYFUNCTION("( (GOOGLEFINANCE(C11, ""price"") - Q11) / Q11 ) / (R11 / 100)"),"Loading...")</f>
        <v>Loading...</v>
      </c>
      <c r="G11" s="20" t="str">
        <f>IFERROR(__xludf.DUMMYFUNCTION("AVERAGE(ARRAYFORMULA(100 * (QUERY(GOOGLEFINANCE(C11, ""high"", TODAY()-40, TODAY()), ""SELECT Col2 WHERE Col2 IS NOT NULL ORDER BY Col1 DESC LIMIT 20"", 0) / QUERY(GOOGLEFINANCE(C11, ""low"", TODAY()-40, TODAY()), ""SELECT Col2 WHERE Col2 IS NOT NULL ORDE"&amp;"R BY Col1 DESC LIMIT 20"", 0) - 1)))"),"#N/A")</f>
        <v>#N/A</v>
      </c>
      <c r="H11" s="35" t="str">
        <f t="shared" si="6"/>
        <v>Illiquid</v>
      </c>
      <c r="I11" s="35" t="str">
        <f t="shared" si="7"/>
        <v>RVol Required</v>
      </c>
      <c r="J11" s="37">
        <f>IFERROR(__xludf.DUMMYFUNCTION("IFERROR(
  IF(C11="""",, 
    IFERROR(
      GOOGLEFINANCE(C11, ""price"") * GOOGLEFINANCE(C11, ""volumeavg""), 
      GOOGLEFINANCE(C11, ""price"") * AVERAGE(QUERY(GOOGLEFINANCE(C11, ""volume"", TODAY()-40, TODAY()), ""SELECT Col2 WHERE Col2 IS NOT NULL "&amp;"ORDER BY Col1 DESC LIMIT 20"", 0))
    )
  ), 
"""")"),1.081899952E7)</f>
        <v>10818999.52</v>
      </c>
      <c r="K11" s="21">
        <f>IFERROR(__xludf.DUMMYFUNCTION("IFERROR(GOOGLEFINANCE(C11, ""changepct"") / 100, """")"),0.0029)</f>
        <v>0.0029</v>
      </c>
      <c r="L11" s="21" t="str">
        <f>IFERROR(__xludf.DUMMYFUNCTION("IFERROR((GOOGLEFINANCE(C11, ""price"") / INDEX(GOOGLEFINANCE(C11, ""price"", TODAY()-7, TODAY()), 2, 2)) - 1, """")"),"")</f>
        <v/>
      </c>
      <c r="M11" s="21" t="str">
        <f>IFERROR(__xludf.DUMMYFUNCTION("IFERROR((GOOGLEFINANCE(C11, ""price"") / INDEX(GOOGLEFINANCE(C11, ""price"", EDATE(TODAY(), -1), TODAY()), 2, 2)) - 1, """")"),"")</f>
        <v/>
      </c>
      <c r="N11" s="21" t="str">
        <f>IFERROR(__xludf.DUMMYFUNCTION("IFERROR((GOOGLEFINANCE(C11, ""price"") / INDEX(GOOGLEFINANCE(C11, ""price"", EDATE(TODAY(), -3), TODAY()), 2, 2)) - 1, """")"),"")</f>
        <v/>
      </c>
      <c r="O11" s="21" t="str">
        <f>IFERROR(__xludf.DUMMYFUNCTION("IFERROR((GOOGLEFINANCE(C11, ""price"") / INDEX(GOOGLEFINANCE(C11, ""price"", EDATE(TODAY(), -6), TODAY()), 2, 2)) - 1, """")"),"")</f>
        <v/>
      </c>
      <c r="P11" s="21" t="str">
        <f>IFERROR(__xludf.DUMMYFUNCTION("IFERROR((GOOGLEFINANCE(C11, ""price"") / INDEX(GOOGLEFINANCE(C11, ""price"", EDATE(TODAY(), -12), TODAY()), 2, 2)) - 1, """")"),"")</f>
        <v/>
      </c>
      <c r="Q11" s="6" t="str">
        <f>IFERROR(__xludf.DUMMYFUNCTION("AVERAGE(QUERY(GOOGLEFINANCE(C11, ""price"", TODAY()-80, TODAY()), ""SELECT Col2 WHERE Col2 IS NOT NULL ORDER BY Col1 DESC LIMIT 50"", 0))"),"#N/A")</f>
        <v>#N/A</v>
      </c>
      <c r="R11" s="24" t="str">
        <f>IFERROR(__xludf.DUMMYFUNCTION("IFERROR(
  LET(
    data, QUERY(GOOGLEFINANCE(C11,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GOOGLEFINANCE(C11, ""price"")) * 100,
    IF(calc=0, G11, calc)
  ), 
G11)"),"#N/A")</f>
        <v>#N/A</v>
      </c>
      <c r="S11" s="8" t="s">
        <v>15</v>
      </c>
      <c r="T11" s="26" t="str">
        <f>IFERROR(__xludf.DUMMYFUNCTION("IFERROR(TRANSPOSE(QUERY(IFERROR(SORT(GOOGLEFINANCE(C11, ""price"", WORKDAY(TODAY(), -40), TODAY()), 1, FALSE)), ""select Col2 where Col2 is not null limit 22 label Col2 ''"", 0)), """")"),"")</f>
        <v/>
      </c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8"/>
      <c r="AO11" s="28"/>
      <c r="AP11" s="29"/>
      <c r="AQ11" s="29" t="str">
        <f t="shared" ref="AQ11:BL11" si="14">T11/T$2</f>
        <v>#N/A</v>
      </c>
      <c r="AR11" s="29" t="str">
        <f t="shared" si="14"/>
        <v>#DIV/0!</v>
      </c>
      <c r="AS11" s="29" t="str">
        <f t="shared" si="14"/>
        <v>#DIV/0!</v>
      </c>
      <c r="AT11" s="29" t="str">
        <f t="shared" si="14"/>
        <v>#DIV/0!</v>
      </c>
      <c r="AU11" s="29" t="str">
        <f t="shared" si="14"/>
        <v>#DIV/0!</v>
      </c>
      <c r="AV11" s="29" t="str">
        <f t="shared" si="14"/>
        <v>#DIV/0!</v>
      </c>
      <c r="AW11" s="29" t="str">
        <f t="shared" si="14"/>
        <v>#DIV/0!</v>
      </c>
      <c r="AX11" s="29" t="str">
        <f t="shared" si="14"/>
        <v>#DIV/0!</v>
      </c>
      <c r="AY11" s="29" t="str">
        <f t="shared" si="14"/>
        <v>#DIV/0!</v>
      </c>
      <c r="AZ11" s="29" t="str">
        <f t="shared" si="14"/>
        <v>#DIV/0!</v>
      </c>
      <c r="BA11" s="29" t="str">
        <f t="shared" si="14"/>
        <v>#DIV/0!</v>
      </c>
      <c r="BB11" s="29" t="str">
        <f t="shared" si="14"/>
        <v>#DIV/0!</v>
      </c>
      <c r="BC11" s="29" t="str">
        <f t="shared" si="14"/>
        <v>#DIV/0!</v>
      </c>
      <c r="BD11" s="29" t="str">
        <f t="shared" si="14"/>
        <v>#DIV/0!</v>
      </c>
      <c r="BE11" s="29" t="str">
        <f t="shared" si="14"/>
        <v>#DIV/0!</v>
      </c>
      <c r="BF11" s="29" t="str">
        <f t="shared" si="14"/>
        <v>#DIV/0!</v>
      </c>
      <c r="BG11" s="29" t="str">
        <f t="shared" si="14"/>
        <v>#DIV/0!</v>
      </c>
      <c r="BH11" s="29" t="str">
        <f t="shared" si="14"/>
        <v>#DIV/0!</v>
      </c>
      <c r="BI11" s="29" t="str">
        <f t="shared" si="14"/>
        <v>#DIV/0!</v>
      </c>
      <c r="BJ11" s="29" t="str">
        <f t="shared" si="14"/>
        <v>#DIV/0!</v>
      </c>
      <c r="BK11" s="29" t="str">
        <f t="shared" si="14"/>
        <v>#DIV/0!</v>
      </c>
      <c r="BL11" s="29" t="str">
        <f t="shared" si="14"/>
        <v>#DIV/0!</v>
      </c>
      <c r="BM11" s="29" t="str">
        <f t="shared" si="3"/>
        <v>#DIV/0!</v>
      </c>
    </row>
    <row r="12">
      <c r="A12" s="16" t="str">
        <f>IFERROR(__xludf.DUMMYFUNCTION("IFERROR(SPARKLINE(SORT(MAP(TRANSPOSE(AQ12:BL12), LAMBDA(val, IF(ISNUMBER(val), PERCENTRANK(AQ12:BL12, val)+0.01, 0))), SEQUENCE(COLUMNS(AQ12:BL12)), FALSE), {""charttype"",""column""; ""color"",""chartreuse""; ""ymin"", 0; ""ymax"", 1.01; ""highcolor"", "&amp;"""darkgreen""; ""lowcolor"", ""red""}), """")"),"")</f>
        <v/>
      </c>
      <c r="B12" s="17" t="str">
        <f t="shared" si="4"/>
        <v/>
      </c>
      <c r="C12" s="45" t="s">
        <v>2646</v>
      </c>
      <c r="D12" s="30" t="str">
        <f>IFERROR(__xludf.DUMMYFUNCTION("IFERROR(GOOGLEFINANCE(C12, ""NAME""))"),"Enlight Renewable Energy Ltd")</f>
        <v>Enlight Renewable Energy Ltd</v>
      </c>
      <c r="E12" s="30" t="s">
        <v>2605</v>
      </c>
      <c r="F12" s="33" t="str">
        <f>IFERROR(__xludf.DUMMYFUNCTION("( (GOOGLEFINANCE(C12, ""price"") - Q12) / Q12 ) / (R12 / 100)"),"Loading...")</f>
        <v>Loading...</v>
      </c>
      <c r="G12" s="20" t="str">
        <f>IFERROR(__xludf.DUMMYFUNCTION("AVERAGE(ARRAYFORMULA(100 * (QUERY(GOOGLEFINANCE(C12, ""high"", TODAY()-40, TODAY()), ""SELECT Col2 WHERE Col2 IS NOT NULL ORDER BY Col1 DESC LIMIT 20"", 0) / QUERY(GOOGLEFINANCE(C12, ""low"", TODAY()-40, TODAY()), ""SELECT Col2 WHERE Col2 IS NOT NULL ORDE"&amp;"R BY Col1 DESC LIMIT 20"", 0) - 1)))"),"#N/A")</f>
        <v>#N/A</v>
      </c>
      <c r="H12" s="35" t="str">
        <f t="shared" si="6"/>
        <v>Illiquid</v>
      </c>
      <c r="I12" s="35" t="str">
        <f t="shared" si="7"/>
        <v>RVol Required</v>
      </c>
      <c r="J12" s="37">
        <f>IFERROR(__xludf.DUMMYFUNCTION("IFERROR(
  IF(C12="""",, 
    IFERROR(
      GOOGLEFINANCE(C12, ""price"") * GOOGLEFINANCE(C12, ""volumeavg""), 
      GOOGLEFINANCE(C12, ""price"") * AVERAGE(QUERY(GOOGLEFINANCE(C12, ""volume"", TODAY()-40, TODAY()), ""SELECT Col2 WHERE Col2 IS NOT NULL "&amp;"ORDER BY Col1 DESC LIMIT 20"", 0))
    )
  ), 
"""")"),1.3832803920000002E7)</f>
        <v>13832803.92</v>
      </c>
      <c r="K12" s="21">
        <f>IFERROR(__xludf.DUMMYFUNCTION("IFERROR(GOOGLEFINANCE(C12, ""changepct"") / 100, """")"),-0.0054)</f>
        <v>-0.0054</v>
      </c>
      <c r="L12" s="21" t="str">
        <f>IFERROR(__xludf.DUMMYFUNCTION("IFERROR((GOOGLEFINANCE(C12, ""price"") / INDEX(GOOGLEFINANCE(C12, ""price"", TODAY()-7, TODAY()), 2, 2)) - 1, """")"),"")</f>
        <v/>
      </c>
      <c r="M12" s="21" t="str">
        <f>IFERROR(__xludf.DUMMYFUNCTION("IFERROR((GOOGLEFINANCE(C12, ""price"") / INDEX(GOOGLEFINANCE(C12, ""price"", EDATE(TODAY(), -1), TODAY()), 2, 2)) - 1, """")"),"")</f>
        <v/>
      </c>
      <c r="N12" s="21" t="str">
        <f>IFERROR(__xludf.DUMMYFUNCTION("IFERROR((GOOGLEFINANCE(C12, ""price"") / INDEX(GOOGLEFINANCE(C12, ""price"", EDATE(TODAY(), -3), TODAY()), 2, 2)) - 1, """")"),"")</f>
        <v/>
      </c>
      <c r="O12" s="21" t="str">
        <f>IFERROR(__xludf.DUMMYFUNCTION("IFERROR((GOOGLEFINANCE(C12, ""price"") / INDEX(GOOGLEFINANCE(C12, ""price"", EDATE(TODAY(), -6), TODAY()), 2, 2)) - 1, """")"),"")</f>
        <v/>
      </c>
      <c r="P12" s="21" t="str">
        <f>IFERROR(__xludf.DUMMYFUNCTION("IFERROR((GOOGLEFINANCE(C12, ""price"") / INDEX(GOOGLEFINANCE(C12, ""price"", EDATE(TODAY(), -12), TODAY()), 2, 2)) - 1, """")"),"")</f>
        <v/>
      </c>
      <c r="Q12" s="6" t="str">
        <f>IFERROR(__xludf.DUMMYFUNCTION("AVERAGE(QUERY(GOOGLEFINANCE(C12, ""price"", TODAY()-80, TODAY()), ""SELECT Col2 WHERE Col2 IS NOT NULL ORDER BY Col1 DESC LIMIT 50"", 0))"),"#N/A")</f>
        <v>#N/A</v>
      </c>
      <c r="R12" s="24" t="str">
        <f>IFERROR(__xludf.DUMMYFUNCTION("IFERROR(
  LET(
    data, QUERY(GOOGLEFINANCE(C12,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GOOGLEFINANCE(C12, ""price"")) * 100,
    IF(calc=0, G12, calc)
  ), 
G12)"),"#N/A")</f>
        <v>#N/A</v>
      </c>
      <c r="S12" s="8" t="s">
        <v>15</v>
      </c>
      <c r="T12" s="26" t="str">
        <f>IFERROR(__xludf.DUMMYFUNCTION("IFERROR(TRANSPOSE(QUERY(IFERROR(SORT(GOOGLEFINANCE(C12, ""price"", WORKDAY(TODAY(), -40), TODAY()), 1, FALSE)), ""select Col2 where Col2 is not null limit 22 label Col2 ''"", 0)), """")"),"")</f>
        <v/>
      </c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8"/>
      <c r="AO12" s="28"/>
      <c r="AP12" s="29"/>
      <c r="AQ12" s="29" t="str">
        <f t="shared" ref="AQ12:BL12" si="15">T12/T$2</f>
        <v>#N/A</v>
      </c>
      <c r="AR12" s="29" t="str">
        <f t="shared" si="15"/>
        <v>#DIV/0!</v>
      </c>
      <c r="AS12" s="29" t="str">
        <f t="shared" si="15"/>
        <v>#DIV/0!</v>
      </c>
      <c r="AT12" s="29" t="str">
        <f t="shared" si="15"/>
        <v>#DIV/0!</v>
      </c>
      <c r="AU12" s="29" t="str">
        <f t="shared" si="15"/>
        <v>#DIV/0!</v>
      </c>
      <c r="AV12" s="29" t="str">
        <f t="shared" si="15"/>
        <v>#DIV/0!</v>
      </c>
      <c r="AW12" s="29" t="str">
        <f t="shared" si="15"/>
        <v>#DIV/0!</v>
      </c>
      <c r="AX12" s="29" t="str">
        <f t="shared" si="15"/>
        <v>#DIV/0!</v>
      </c>
      <c r="AY12" s="29" t="str">
        <f t="shared" si="15"/>
        <v>#DIV/0!</v>
      </c>
      <c r="AZ12" s="29" t="str">
        <f t="shared" si="15"/>
        <v>#DIV/0!</v>
      </c>
      <c r="BA12" s="29" t="str">
        <f t="shared" si="15"/>
        <v>#DIV/0!</v>
      </c>
      <c r="BB12" s="29" t="str">
        <f t="shared" si="15"/>
        <v>#DIV/0!</v>
      </c>
      <c r="BC12" s="29" t="str">
        <f t="shared" si="15"/>
        <v>#DIV/0!</v>
      </c>
      <c r="BD12" s="29" t="str">
        <f t="shared" si="15"/>
        <v>#DIV/0!</v>
      </c>
      <c r="BE12" s="29" t="str">
        <f t="shared" si="15"/>
        <v>#DIV/0!</v>
      </c>
      <c r="BF12" s="29" t="str">
        <f t="shared" si="15"/>
        <v>#DIV/0!</v>
      </c>
      <c r="BG12" s="29" t="str">
        <f t="shared" si="15"/>
        <v>#DIV/0!</v>
      </c>
      <c r="BH12" s="29" t="str">
        <f t="shared" si="15"/>
        <v>#DIV/0!</v>
      </c>
      <c r="BI12" s="29" t="str">
        <f t="shared" si="15"/>
        <v>#DIV/0!</v>
      </c>
      <c r="BJ12" s="29" t="str">
        <f t="shared" si="15"/>
        <v>#DIV/0!</v>
      </c>
      <c r="BK12" s="29" t="str">
        <f t="shared" si="15"/>
        <v>#DIV/0!</v>
      </c>
      <c r="BL12" s="29" t="str">
        <f t="shared" si="15"/>
        <v>#DIV/0!</v>
      </c>
      <c r="BM12" s="29" t="str">
        <f t="shared" si="3"/>
        <v>#DIV/0!</v>
      </c>
    </row>
    <row r="13">
      <c r="A13" s="16" t="str">
        <f>IFERROR(__xludf.DUMMYFUNCTION("IFERROR(SPARKLINE(SORT(MAP(TRANSPOSE(AQ13:BL13), LAMBDA(val, IF(ISNUMBER(val), PERCENTRANK(AQ13:BL13, val)+0.01, 0))), SEQUENCE(COLUMNS(AQ13:BL13)), FALSE), {""charttype"",""column""; ""color"",""chartreuse""; ""ymin"", 0; ""ymax"", 1.01; ""highcolor"", "&amp;"""darkgreen""; ""lowcolor"", ""red""}), """")"),"")</f>
        <v/>
      </c>
      <c r="B13" s="17" t="str">
        <f t="shared" si="4"/>
        <v/>
      </c>
      <c r="C13" s="45" t="s">
        <v>2650</v>
      </c>
      <c r="D13" s="30" t="str">
        <f>IFERROR(__xludf.DUMMYFUNCTION("IFERROR(GOOGLEFINANCE(C13, ""NAME""))"),"Mdu Resources Group Inc")</f>
        <v>Mdu Resources Group Inc</v>
      </c>
      <c r="E13" s="30" t="s">
        <v>2651</v>
      </c>
      <c r="F13" s="33" t="str">
        <f>IFERROR(__xludf.DUMMYFUNCTION("( (GOOGLEFINANCE(C13, ""price"") - Q13) / Q13 ) / (R13 / 100)"),"Loading...")</f>
        <v>Loading...</v>
      </c>
      <c r="G13" s="20" t="str">
        <f>IFERROR(__xludf.DUMMYFUNCTION("AVERAGE(ARRAYFORMULA(100 * (QUERY(GOOGLEFINANCE(C13, ""high"", TODAY()-40, TODAY()), ""SELECT Col2 WHERE Col2 IS NOT NULL ORDER BY Col1 DESC LIMIT 20"", 0) / QUERY(GOOGLEFINANCE(C13, ""low"", TODAY()-40, TODAY()), ""SELECT Col2 WHERE Col2 IS NOT NULL ORDE"&amp;"R BY Col1 DESC LIMIT 20"", 0) - 1)))"),"#N/A")</f>
        <v>#N/A</v>
      </c>
      <c r="H13" s="35" t="str">
        <f t="shared" si="6"/>
        <v>Illiquid</v>
      </c>
      <c r="I13" s="35" t="str">
        <f t="shared" si="7"/>
        <v>RVol Required</v>
      </c>
      <c r="J13" s="37">
        <f>IFERROR(__xludf.DUMMYFUNCTION("IFERROR(
  IF(C13="""",, 
    IFERROR(
      GOOGLEFINANCE(C13, ""price"") * GOOGLEFINANCE(C13, ""volumeavg""), 
      GOOGLEFINANCE(C13, ""price"") * AVERAGE(QUERY(GOOGLEFINANCE(C13, ""volume"", TODAY()-40, TODAY()), ""SELECT Col2 WHERE Col2 IS NOT NULL "&amp;"ORDER BY Col1 DESC LIMIT 20"", 0))
    )
  ), 
"""")"),3.6543213E7)</f>
        <v>36543213</v>
      </c>
      <c r="K13" s="21">
        <f>IFERROR(__xludf.DUMMYFUNCTION("IFERROR(GOOGLEFINANCE(C13, ""changepct"") / 100, """")"),0.021)</f>
        <v>0.021</v>
      </c>
      <c r="L13" s="21" t="str">
        <f>IFERROR(__xludf.DUMMYFUNCTION("IFERROR((GOOGLEFINANCE(C13, ""price"") / INDEX(GOOGLEFINANCE(C13, ""price"", TODAY()-7, TODAY()), 2, 2)) - 1, """")"),"")</f>
        <v/>
      </c>
      <c r="M13" s="21" t="str">
        <f>IFERROR(__xludf.DUMMYFUNCTION("IFERROR((GOOGLEFINANCE(C13, ""price"") / INDEX(GOOGLEFINANCE(C13, ""price"", EDATE(TODAY(), -1), TODAY()), 2, 2)) - 1, """")"),"")</f>
        <v/>
      </c>
      <c r="N13" s="21" t="str">
        <f>IFERROR(__xludf.DUMMYFUNCTION("IFERROR((GOOGLEFINANCE(C13, ""price"") / INDEX(GOOGLEFINANCE(C13, ""price"", EDATE(TODAY(), -3), TODAY()), 2, 2)) - 1, """")"),"")</f>
        <v/>
      </c>
      <c r="O13" s="21" t="str">
        <f>IFERROR(__xludf.DUMMYFUNCTION("IFERROR((GOOGLEFINANCE(C13, ""price"") / INDEX(GOOGLEFINANCE(C13, ""price"", EDATE(TODAY(), -6), TODAY()), 2, 2)) - 1, """")"),"")</f>
        <v/>
      </c>
      <c r="P13" s="21" t="str">
        <f>IFERROR(__xludf.DUMMYFUNCTION("IFERROR((GOOGLEFINANCE(C13, ""price"") / INDEX(GOOGLEFINANCE(C13, ""price"", EDATE(TODAY(), -12), TODAY()), 2, 2)) - 1, """")"),"")</f>
        <v/>
      </c>
      <c r="Q13" s="6" t="str">
        <f>IFERROR(__xludf.DUMMYFUNCTION("AVERAGE(QUERY(GOOGLEFINANCE(C13, ""price"", TODAY()-80, TODAY()), ""SELECT Col2 WHERE Col2 IS NOT NULL ORDER BY Col1 DESC LIMIT 50"", 0))"),"#N/A")</f>
        <v>#N/A</v>
      </c>
      <c r="R13" s="24" t="str">
        <f>IFERROR(__xludf.DUMMYFUNCTION("IFERROR(
  LET(
    data, QUERY(GOOGLEFINANCE(C13,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GOOGLEFINANCE(C13, ""price"")) * 100,
    IF(calc=0, G13, calc)
  ), 
G13)"),"#N/A")</f>
        <v>#N/A</v>
      </c>
      <c r="S13" s="8" t="s">
        <v>15</v>
      </c>
      <c r="T13" s="26" t="str">
        <f>IFERROR(__xludf.DUMMYFUNCTION("IFERROR(TRANSPOSE(QUERY(IFERROR(SORT(GOOGLEFINANCE(C13, ""price"", WORKDAY(TODAY(), -40), TODAY()), 1, FALSE)), ""select Col2 where Col2 is not null limit 22 label Col2 ''"", 0)), """")"),"")</f>
        <v/>
      </c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8"/>
      <c r="AO13" s="28"/>
      <c r="AP13" s="29"/>
      <c r="AQ13" s="29" t="str">
        <f t="shared" ref="AQ13:BL13" si="16">T13/T$2</f>
        <v>#N/A</v>
      </c>
      <c r="AR13" s="29" t="str">
        <f t="shared" si="16"/>
        <v>#DIV/0!</v>
      </c>
      <c r="AS13" s="29" t="str">
        <f t="shared" si="16"/>
        <v>#DIV/0!</v>
      </c>
      <c r="AT13" s="29" t="str">
        <f t="shared" si="16"/>
        <v>#DIV/0!</v>
      </c>
      <c r="AU13" s="29" t="str">
        <f t="shared" si="16"/>
        <v>#DIV/0!</v>
      </c>
      <c r="AV13" s="29" t="str">
        <f t="shared" si="16"/>
        <v>#DIV/0!</v>
      </c>
      <c r="AW13" s="29" t="str">
        <f t="shared" si="16"/>
        <v>#DIV/0!</v>
      </c>
      <c r="AX13" s="29" t="str">
        <f t="shared" si="16"/>
        <v>#DIV/0!</v>
      </c>
      <c r="AY13" s="29" t="str">
        <f t="shared" si="16"/>
        <v>#DIV/0!</v>
      </c>
      <c r="AZ13" s="29" t="str">
        <f t="shared" si="16"/>
        <v>#DIV/0!</v>
      </c>
      <c r="BA13" s="29" t="str">
        <f t="shared" si="16"/>
        <v>#DIV/0!</v>
      </c>
      <c r="BB13" s="29" t="str">
        <f t="shared" si="16"/>
        <v>#DIV/0!</v>
      </c>
      <c r="BC13" s="29" t="str">
        <f t="shared" si="16"/>
        <v>#DIV/0!</v>
      </c>
      <c r="BD13" s="29" t="str">
        <f t="shared" si="16"/>
        <v>#DIV/0!</v>
      </c>
      <c r="BE13" s="29" t="str">
        <f t="shared" si="16"/>
        <v>#DIV/0!</v>
      </c>
      <c r="BF13" s="29" t="str">
        <f t="shared" si="16"/>
        <v>#DIV/0!</v>
      </c>
      <c r="BG13" s="29" t="str">
        <f t="shared" si="16"/>
        <v>#DIV/0!</v>
      </c>
      <c r="BH13" s="29" t="str">
        <f t="shared" si="16"/>
        <v>#DIV/0!</v>
      </c>
      <c r="BI13" s="29" t="str">
        <f t="shared" si="16"/>
        <v>#DIV/0!</v>
      </c>
      <c r="BJ13" s="29" t="str">
        <f t="shared" si="16"/>
        <v>#DIV/0!</v>
      </c>
      <c r="BK13" s="29" t="str">
        <f t="shared" si="16"/>
        <v>#DIV/0!</v>
      </c>
      <c r="BL13" s="29" t="str">
        <f t="shared" si="16"/>
        <v>#DIV/0!</v>
      </c>
      <c r="BM13" s="29" t="str">
        <f t="shared" si="3"/>
        <v>#DIV/0!</v>
      </c>
    </row>
    <row r="14">
      <c r="A14" s="16" t="str">
        <f>IFERROR(__xludf.DUMMYFUNCTION("IFERROR(SPARKLINE(SORT(MAP(TRANSPOSE(AQ14:BL14), LAMBDA(val, IF(ISNUMBER(val), PERCENTRANK(AQ14:BL14, val)+0.01, 0))), SEQUENCE(COLUMNS(AQ14:BL14)), FALSE), {""charttype"",""column""; ""color"",""chartreuse""; ""ymin"", 0; ""ymax"", 1.01; ""highcolor"", "&amp;"""darkgreen""; ""lowcolor"", ""red""}), """")"),"")</f>
        <v/>
      </c>
      <c r="B14" s="17" t="str">
        <f t="shared" si="4"/>
        <v/>
      </c>
      <c r="C14" s="45" t="s">
        <v>2654</v>
      </c>
      <c r="D14" s="30" t="str">
        <f>IFERROR(__xludf.DUMMYFUNCTION("IFERROR(GOOGLEFINANCE(C14, ""NAME""))"),"Artesian Resources Corp Class A")</f>
        <v>Artesian Resources Corp Class A</v>
      </c>
      <c r="E14" s="30" t="s">
        <v>2655</v>
      </c>
      <c r="F14" s="33" t="str">
        <f>IFERROR(__xludf.DUMMYFUNCTION("( (GOOGLEFINANCE(C14, ""price"") - Q14) / Q14 ) / (R14 / 100)"),"Loading...")</f>
        <v>Loading...</v>
      </c>
      <c r="G14" s="20" t="str">
        <f>IFERROR(__xludf.DUMMYFUNCTION("AVERAGE(ARRAYFORMULA(100 * (QUERY(GOOGLEFINANCE(C14, ""high"", TODAY()-40, TODAY()), ""SELECT Col2 WHERE Col2 IS NOT NULL ORDER BY Col1 DESC LIMIT 20"", 0) / QUERY(GOOGLEFINANCE(C14, ""low"", TODAY()-40, TODAY()), ""SELECT Col2 WHERE Col2 IS NOT NULL ORDE"&amp;"R BY Col1 DESC LIMIT 20"", 0) - 1)))"),"#N/A")</f>
        <v>#N/A</v>
      </c>
      <c r="H14" s="35" t="str">
        <f t="shared" si="6"/>
        <v>Illiquid</v>
      </c>
      <c r="I14" s="35" t="str">
        <f t="shared" si="7"/>
        <v>RVol Required</v>
      </c>
      <c r="J14" s="37">
        <f>IFERROR(__xludf.DUMMYFUNCTION("IFERROR(
  IF(C14="""",, 
    IFERROR(
      GOOGLEFINANCE(C14, ""price"") * GOOGLEFINANCE(C14, ""volumeavg""), 
      GOOGLEFINANCE(C14, ""price"") * AVERAGE(QUERY(GOOGLEFINANCE(C14, ""volume"", TODAY()-40, TODAY()), ""SELECT Col2 WHERE Col2 IS NOT NULL "&amp;"ORDER BY Col1 DESC LIMIT 20"", 0))
    )
  ), 
"""")"),976164.7200000001)</f>
        <v>976164.72</v>
      </c>
      <c r="K14" s="21">
        <f>IFERROR(__xludf.DUMMYFUNCTION("IFERROR(GOOGLEFINANCE(C14, ""changepct"") / 100, """")"),0.0066)</f>
        <v>0.0066</v>
      </c>
      <c r="L14" s="21" t="str">
        <f>IFERROR(__xludf.DUMMYFUNCTION("IFERROR((GOOGLEFINANCE(C14, ""price"") / INDEX(GOOGLEFINANCE(C14, ""price"", TODAY()-7, TODAY()), 2, 2)) - 1, """")"),"")</f>
        <v/>
      </c>
      <c r="M14" s="21" t="str">
        <f>IFERROR(__xludf.DUMMYFUNCTION("IFERROR((GOOGLEFINANCE(C14, ""price"") / INDEX(GOOGLEFINANCE(C14, ""price"", EDATE(TODAY(), -1), TODAY()), 2, 2)) - 1, """")"),"")</f>
        <v/>
      </c>
      <c r="N14" s="21" t="str">
        <f>IFERROR(__xludf.DUMMYFUNCTION("IFERROR((GOOGLEFINANCE(C14, ""price"") / INDEX(GOOGLEFINANCE(C14, ""price"", EDATE(TODAY(), -3), TODAY()), 2, 2)) - 1, """")"),"")</f>
        <v/>
      </c>
      <c r="O14" s="21" t="str">
        <f>IFERROR(__xludf.DUMMYFUNCTION("IFERROR((GOOGLEFINANCE(C14, ""price"") / INDEX(GOOGLEFINANCE(C14, ""price"", EDATE(TODAY(), -6), TODAY()), 2, 2)) - 1, """")"),"")</f>
        <v/>
      </c>
      <c r="P14" s="21" t="str">
        <f>IFERROR(__xludf.DUMMYFUNCTION("IFERROR((GOOGLEFINANCE(C14, ""price"") / INDEX(GOOGLEFINANCE(C14, ""price"", EDATE(TODAY(), -12), TODAY()), 2, 2)) - 1, """")"),"")</f>
        <v/>
      </c>
      <c r="Q14" s="6" t="str">
        <f>IFERROR(__xludf.DUMMYFUNCTION("AVERAGE(QUERY(GOOGLEFINANCE(C14, ""price"", TODAY()-80, TODAY()), ""SELECT Col2 WHERE Col2 IS NOT NULL ORDER BY Col1 DESC LIMIT 50"", 0))"),"#N/A")</f>
        <v>#N/A</v>
      </c>
      <c r="R14" s="24" t="str">
        <f>IFERROR(__xludf.DUMMYFUNCTION("IFERROR(
  LET(
    data, QUERY(GOOGLEFINANCE(C14,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GOOGLEFINANCE(C14, ""price"")) * 100,
    IF(calc=0, G14, calc)
  ), 
G14)"),"#N/A")</f>
        <v>#N/A</v>
      </c>
      <c r="S14" s="8" t="s">
        <v>15</v>
      </c>
      <c r="T14" s="26" t="str">
        <f>IFERROR(__xludf.DUMMYFUNCTION("IFERROR(TRANSPOSE(QUERY(IFERROR(SORT(GOOGLEFINANCE(C14, ""price"", WORKDAY(TODAY(), -40), TODAY()), 1, FALSE)), ""select Col2 where Col2 is not null limit 22 label Col2 ''"", 0)), """")"),"")</f>
        <v/>
      </c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8"/>
      <c r="AO14" s="28"/>
      <c r="AP14" s="29"/>
      <c r="AQ14" s="29" t="str">
        <f t="shared" ref="AQ14:BL14" si="17">T14/T$2</f>
        <v>#N/A</v>
      </c>
      <c r="AR14" s="29" t="str">
        <f t="shared" si="17"/>
        <v>#DIV/0!</v>
      </c>
      <c r="AS14" s="29" t="str">
        <f t="shared" si="17"/>
        <v>#DIV/0!</v>
      </c>
      <c r="AT14" s="29" t="str">
        <f t="shared" si="17"/>
        <v>#DIV/0!</v>
      </c>
      <c r="AU14" s="29" t="str">
        <f t="shared" si="17"/>
        <v>#DIV/0!</v>
      </c>
      <c r="AV14" s="29" t="str">
        <f t="shared" si="17"/>
        <v>#DIV/0!</v>
      </c>
      <c r="AW14" s="29" t="str">
        <f t="shared" si="17"/>
        <v>#DIV/0!</v>
      </c>
      <c r="AX14" s="29" t="str">
        <f t="shared" si="17"/>
        <v>#DIV/0!</v>
      </c>
      <c r="AY14" s="29" t="str">
        <f t="shared" si="17"/>
        <v>#DIV/0!</v>
      </c>
      <c r="AZ14" s="29" t="str">
        <f t="shared" si="17"/>
        <v>#DIV/0!</v>
      </c>
      <c r="BA14" s="29" t="str">
        <f t="shared" si="17"/>
        <v>#DIV/0!</v>
      </c>
      <c r="BB14" s="29" t="str">
        <f t="shared" si="17"/>
        <v>#DIV/0!</v>
      </c>
      <c r="BC14" s="29" t="str">
        <f t="shared" si="17"/>
        <v>#DIV/0!</v>
      </c>
      <c r="BD14" s="29" t="str">
        <f t="shared" si="17"/>
        <v>#DIV/0!</v>
      </c>
      <c r="BE14" s="29" t="str">
        <f t="shared" si="17"/>
        <v>#DIV/0!</v>
      </c>
      <c r="BF14" s="29" t="str">
        <f t="shared" si="17"/>
        <v>#DIV/0!</v>
      </c>
      <c r="BG14" s="29" t="str">
        <f t="shared" si="17"/>
        <v>#DIV/0!</v>
      </c>
      <c r="BH14" s="29" t="str">
        <f t="shared" si="17"/>
        <v>#DIV/0!</v>
      </c>
      <c r="BI14" s="29" t="str">
        <f t="shared" si="17"/>
        <v>#DIV/0!</v>
      </c>
      <c r="BJ14" s="29" t="str">
        <f t="shared" si="17"/>
        <v>#DIV/0!</v>
      </c>
      <c r="BK14" s="29" t="str">
        <f t="shared" si="17"/>
        <v>#DIV/0!</v>
      </c>
      <c r="BL14" s="29" t="str">
        <f t="shared" si="17"/>
        <v>#DIV/0!</v>
      </c>
      <c r="BM14" s="29" t="str">
        <f t="shared" si="3"/>
        <v>#DIV/0!</v>
      </c>
    </row>
    <row r="15">
      <c r="A15" s="16" t="str">
        <f>IFERROR(__xludf.DUMMYFUNCTION("IFERROR(SPARKLINE(SORT(MAP(TRANSPOSE(AQ15:BL15), LAMBDA(val, IF(ISNUMBER(val), PERCENTRANK(AQ15:BL15, val)+0.01, 0))), SEQUENCE(COLUMNS(AQ15:BL15)), FALSE), {""charttype"",""column""; ""color"",""chartreuse""; ""ymin"", 0; ""ymax"", 1.01; ""highcolor"", "&amp;"""darkgreen""; ""lowcolor"", ""red""}), """")"),"")</f>
        <v/>
      </c>
      <c r="B15" s="17" t="str">
        <f t="shared" si="4"/>
        <v/>
      </c>
      <c r="C15" s="45" t="s">
        <v>2659</v>
      </c>
      <c r="D15" s="30" t="str">
        <f>IFERROR(__xludf.DUMMYFUNCTION("IFERROR(GOOGLEFINANCE(C15, ""NAME""))"),"Edison International")</f>
        <v>Edison International</v>
      </c>
      <c r="E15" s="30" t="s">
        <v>2660</v>
      </c>
      <c r="F15" s="33" t="str">
        <f>IFERROR(__xludf.DUMMYFUNCTION("( (GOOGLEFINANCE(C15, ""price"") - Q15) / Q15 ) / (R15 / 100)"),"Loading...")</f>
        <v>Loading...</v>
      </c>
      <c r="G15" s="20" t="str">
        <f>IFERROR(__xludf.DUMMYFUNCTION("AVERAGE(ARRAYFORMULA(100 * (QUERY(GOOGLEFINANCE(C15, ""high"", TODAY()-40, TODAY()), ""SELECT Col2 WHERE Col2 IS NOT NULL ORDER BY Col1 DESC LIMIT 20"", 0) / QUERY(GOOGLEFINANCE(C15, ""low"", TODAY()-40, TODAY()), ""SELECT Col2 WHERE Col2 IS NOT NULL ORDE"&amp;"R BY Col1 DESC LIMIT 20"", 0) - 1)))"),"#N/A")</f>
        <v>#N/A</v>
      </c>
      <c r="H15" s="35" t="str">
        <f t="shared" si="6"/>
        <v>Liquid</v>
      </c>
      <c r="I15" s="35" t="str">
        <f t="shared" si="7"/>
        <v>RVol Required</v>
      </c>
      <c r="J15" s="37">
        <f>IFERROR(__xludf.DUMMYFUNCTION("IFERROR(
  IF(C15="""",, 
    IFERROR(
      GOOGLEFINANCE(C15, ""price"") * GOOGLEFINANCE(C15, ""volumeavg""), 
      GOOGLEFINANCE(C15, ""price"") * AVERAGE(QUERY(GOOGLEFINANCE(C15, ""volume"", TODAY()-40, TODAY()), ""SELECT Col2 WHERE Col2 IS NOT NULL "&amp;"ORDER BY Col1 DESC LIMIT 20"", 0))
    )
  ), 
"""")"),3.1104703259E8)</f>
        <v>311047032.6</v>
      </c>
      <c r="K15" s="21">
        <f>IFERROR(__xludf.DUMMYFUNCTION("IFERROR(GOOGLEFINANCE(C15, ""changepct"") / 100, """")"),0.005)</f>
        <v>0.005</v>
      </c>
      <c r="L15" s="21" t="str">
        <f>IFERROR(__xludf.DUMMYFUNCTION("IFERROR((GOOGLEFINANCE(C15, ""price"") / INDEX(GOOGLEFINANCE(C15, ""price"", TODAY()-7, TODAY()), 2, 2)) - 1, """")"),"")</f>
        <v/>
      </c>
      <c r="M15" s="21" t="str">
        <f>IFERROR(__xludf.DUMMYFUNCTION("IFERROR((GOOGLEFINANCE(C15, ""price"") / INDEX(GOOGLEFINANCE(C15, ""price"", EDATE(TODAY(), -1), TODAY()), 2, 2)) - 1, """")"),"")</f>
        <v/>
      </c>
      <c r="N15" s="21" t="str">
        <f>IFERROR(__xludf.DUMMYFUNCTION("IFERROR((GOOGLEFINANCE(C15, ""price"") / INDEX(GOOGLEFINANCE(C15, ""price"", EDATE(TODAY(), -3), TODAY()), 2, 2)) - 1, """")"),"")</f>
        <v/>
      </c>
      <c r="O15" s="21" t="str">
        <f>IFERROR(__xludf.DUMMYFUNCTION("IFERROR((GOOGLEFINANCE(C15, ""price"") / INDEX(GOOGLEFINANCE(C15, ""price"", EDATE(TODAY(), -6), TODAY()), 2, 2)) - 1, """")"),"")</f>
        <v/>
      </c>
      <c r="P15" s="21" t="str">
        <f>IFERROR(__xludf.DUMMYFUNCTION("IFERROR((GOOGLEFINANCE(C15, ""price"") / INDEX(GOOGLEFINANCE(C15, ""price"", EDATE(TODAY(), -12), TODAY()), 2, 2)) - 1, """")"),"")</f>
        <v/>
      </c>
      <c r="Q15" s="6" t="str">
        <f>IFERROR(__xludf.DUMMYFUNCTION("AVERAGE(QUERY(GOOGLEFINANCE(C15, ""price"", TODAY()-80, TODAY()), ""SELECT Col2 WHERE Col2 IS NOT NULL ORDER BY Col1 DESC LIMIT 50"", 0))"),"#N/A")</f>
        <v>#N/A</v>
      </c>
      <c r="R15" s="24" t="str">
        <f>IFERROR(__xludf.DUMMYFUNCTION("IFERROR(
  LET(
    data, QUERY(GOOGLEFINANCE(C15,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GOOGLEFINANCE(C15, ""price"")) * 100,
    IF(calc=0, G15, calc)
  ), 
G15)"),"#N/A")</f>
        <v>#N/A</v>
      </c>
      <c r="S15" s="8" t="s">
        <v>15</v>
      </c>
      <c r="T15" s="26" t="str">
        <f>IFERROR(__xludf.DUMMYFUNCTION("IFERROR(TRANSPOSE(QUERY(IFERROR(SORT(GOOGLEFINANCE(C15, ""price"", WORKDAY(TODAY(), -40), TODAY()), 1, FALSE)), ""select Col2 where Col2 is not null limit 22 label Col2 ''"", 0)), """")"),"")</f>
        <v/>
      </c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8"/>
      <c r="AO15" s="28"/>
      <c r="AP15" s="29"/>
      <c r="AQ15" s="29" t="str">
        <f t="shared" ref="AQ15:BL15" si="18">T15/T$2</f>
        <v>#N/A</v>
      </c>
      <c r="AR15" s="29" t="str">
        <f t="shared" si="18"/>
        <v>#DIV/0!</v>
      </c>
      <c r="AS15" s="29" t="str">
        <f t="shared" si="18"/>
        <v>#DIV/0!</v>
      </c>
      <c r="AT15" s="29" t="str">
        <f t="shared" si="18"/>
        <v>#DIV/0!</v>
      </c>
      <c r="AU15" s="29" t="str">
        <f t="shared" si="18"/>
        <v>#DIV/0!</v>
      </c>
      <c r="AV15" s="29" t="str">
        <f t="shared" si="18"/>
        <v>#DIV/0!</v>
      </c>
      <c r="AW15" s="29" t="str">
        <f t="shared" si="18"/>
        <v>#DIV/0!</v>
      </c>
      <c r="AX15" s="29" t="str">
        <f t="shared" si="18"/>
        <v>#DIV/0!</v>
      </c>
      <c r="AY15" s="29" t="str">
        <f t="shared" si="18"/>
        <v>#DIV/0!</v>
      </c>
      <c r="AZ15" s="29" t="str">
        <f t="shared" si="18"/>
        <v>#DIV/0!</v>
      </c>
      <c r="BA15" s="29" t="str">
        <f t="shared" si="18"/>
        <v>#DIV/0!</v>
      </c>
      <c r="BB15" s="29" t="str">
        <f t="shared" si="18"/>
        <v>#DIV/0!</v>
      </c>
      <c r="BC15" s="29" t="str">
        <f t="shared" si="18"/>
        <v>#DIV/0!</v>
      </c>
      <c r="BD15" s="29" t="str">
        <f t="shared" si="18"/>
        <v>#DIV/0!</v>
      </c>
      <c r="BE15" s="29" t="str">
        <f t="shared" si="18"/>
        <v>#DIV/0!</v>
      </c>
      <c r="BF15" s="29" t="str">
        <f t="shared" si="18"/>
        <v>#DIV/0!</v>
      </c>
      <c r="BG15" s="29" t="str">
        <f t="shared" si="18"/>
        <v>#DIV/0!</v>
      </c>
      <c r="BH15" s="29" t="str">
        <f t="shared" si="18"/>
        <v>#DIV/0!</v>
      </c>
      <c r="BI15" s="29" t="str">
        <f t="shared" si="18"/>
        <v>#DIV/0!</v>
      </c>
      <c r="BJ15" s="29" t="str">
        <f t="shared" si="18"/>
        <v>#DIV/0!</v>
      </c>
      <c r="BK15" s="29" t="str">
        <f t="shared" si="18"/>
        <v>#DIV/0!</v>
      </c>
      <c r="BL15" s="29" t="str">
        <f t="shared" si="18"/>
        <v>#DIV/0!</v>
      </c>
      <c r="BM15" s="29" t="str">
        <f t="shared" si="3"/>
        <v>#DIV/0!</v>
      </c>
    </row>
    <row r="16">
      <c r="A16" s="16" t="str">
        <f>IFERROR(__xludf.DUMMYFUNCTION("IFERROR(SPARKLINE(SORT(MAP(TRANSPOSE(AQ16:BL16), LAMBDA(val, IF(ISNUMBER(val), PERCENTRANK(AQ16:BL16, val)+0.01, 0))), SEQUENCE(COLUMNS(AQ16:BL16)), FALSE), {""charttype"",""column""; ""color"",""chartreuse""; ""ymin"", 0; ""ymax"", 1.01; ""highcolor"", "&amp;"""darkgreen""; ""lowcolor"", ""red""}), """")"),"")</f>
        <v/>
      </c>
      <c r="B16" s="17" t="str">
        <f t="shared" si="4"/>
        <v/>
      </c>
      <c r="C16" s="45" t="s">
        <v>2665</v>
      </c>
      <c r="D16" s="30" t="str">
        <f>IFERROR(__xludf.DUMMYFUNCTION("IFERROR(GOOGLEFINANCE(C16, ""NAME""))"),"Brookfield Infrastructure Corp")</f>
        <v>Brookfield Infrastructure Corp</v>
      </c>
      <c r="E16" s="30" t="s">
        <v>2651</v>
      </c>
      <c r="F16" s="33" t="str">
        <f>IFERROR(__xludf.DUMMYFUNCTION("( (GOOGLEFINANCE(C16, ""price"") - Q16) / Q16 ) / (R16 / 100)"),"Loading...")</f>
        <v>Loading...</v>
      </c>
      <c r="G16" s="20" t="str">
        <f>IFERROR(__xludf.DUMMYFUNCTION("AVERAGE(ARRAYFORMULA(100 * (QUERY(GOOGLEFINANCE(C16, ""high"", TODAY()-40, TODAY()), ""SELECT Col2 WHERE Col2 IS NOT NULL ORDER BY Col1 DESC LIMIT 20"", 0) / QUERY(GOOGLEFINANCE(C16, ""low"", TODAY()-40, TODAY()), ""SELECT Col2 WHERE Col2 IS NOT NULL ORDE"&amp;"R BY Col1 DESC LIMIT 20"", 0) - 1)))"),"#N/A")</f>
        <v>#N/A</v>
      </c>
      <c r="H16" s="35" t="str">
        <f t="shared" si="6"/>
        <v>Illiquid</v>
      </c>
      <c r="I16" s="35" t="str">
        <f t="shared" si="7"/>
        <v>RVol Required</v>
      </c>
      <c r="J16" s="37">
        <f>IFERROR(__xludf.DUMMYFUNCTION("IFERROR(
  IF(C16="""",, 
    IFERROR(
      GOOGLEFINANCE(C16, ""price"") * GOOGLEFINANCE(C16, ""volumeavg""), 
      GOOGLEFINANCE(C16, ""price"") * AVERAGE(QUERY(GOOGLEFINANCE(C16, ""volume"", TODAY()-40, TODAY()), ""SELECT Col2 WHERE Col2 IS NOT NULL "&amp;"ORDER BY Col1 DESC LIMIT 20"", 0))
    )
  ), 
"""")"),4.374941568E7)</f>
        <v>43749415.68</v>
      </c>
      <c r="K16" s="21">
        <f>IFERROR(__xludf.DUMMYFUNCTION("IFERROR(GOOGLEFINANCE(C16, ""changepct"") / 100, """")"),0.0029)</f>
        <v>0.0029</v>
      </c>
      <c r="L16" s="21" t="str">
        <f>IFERROR(__xludf.DUMMYFUNCTION("IFERROR((GOOGLEFINANCE(C16, ""price"") / INDEX(GOOGLEFINANCE(C16, ""price"", TODAY()-7, TODAY()), 2, 2)) - 1, """")"),"")</f>
        <v/>
      </c>
      <c r="M16" s="21" t="str">
        <f>IFERROR(__xludf.DUMMYFUNCTION("IFERROR((GOOGLEFINANCE(C16, ""price"") / INDEX(GOOGLEFINANCE(C16, ""price"", EDATE(TODAY(), -1), TODAY()), 2, 2)) - 1, """")"),"")</f>
        <v/>
      </c>
      <c r="N16" s="21" t="str">
        <f>IFERROR(__xludf.DUMMYFUNCTION("IFERROR((GOOGLEFINANCE(C16, ""price"") / INDEX(GOOGLEFINANCE(C16, ""price"", EDATE(TODAY(), -3), TODAY()), 2, 2)) - 1, """")"),"")</f>
        <v/>
      </c>
      <c r="O16" s="21" t="str">
        <f>IFERROR(__xludf.DUMMYFUNCTION("IFERROR((GOOGLEFINANCE(C16, ""price"") / INDEX(GOOGLEFINANCE(C16, ""price"", EDATE(TODAY(), -6), TODAY()), 2, 2)) - 1, """")"),"")</f>
        <v/>
      </c>
      <c r="P16" s="21" t="str">
        <f>IFERROR(__xludf.DUMMYFUNCTION("IFERROR((GOOGLEFINANCE(C16, ""price"") / INDEX(GOOGLEFINANCE(C16, ""price"", EDATE(TODAY(), -12), TODAY()), 2, 2)) - 1, """")"),"")</f>
        <v/>
      </c>
      <c r="Q16" s="6" t="str">
        <f>IFERROR(__xludf.DUMMYFUNCTION("AVERAGE(QUERY(GOOGLEFINANCE(C16, ""price"", TODAY()-80, TODAY()), ""SELECT Col2 WHERE Col2 IS NOT NULL ORDER BY Col1 DESC LIMIT 50"", 0))"),"#N/A")</f>
        <v>#N/A</v>
      </c>
      <c r="R16" s="24" t="str">
        <f>IFERROR(__xludf.DUMMYFUNCTION("IFERROR(
  LET(
    data, QUERY(GOOGLEFINANCE(C16,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GOOGLEFINANCE(C16, ""price"")) * 100,
    IF(calc=0, G16, calc)
  ), 
G16)"),"#N/A")</f>
        <v>#N/A</v>
      </c>
      <c r="S16" s="8" t="s">
        <v>15</v>
      </c>
      <c r="T16" s="26" t="str">
        <f>IFERROR(__xludf.DUMMYFUNCTION("IFERROR(TRANSPOSE(QUERY(IFERROR(SORT(GOOGLEFINANCE(C16, ""price"", WORKDAY(TODAY(), -40), TODAY()), 1, FALSE)), ""select Col2 where Col2 is not null limit 22 label Col2 ''"", 0)), """")"),"")</f>
        <v/>
      </c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8"/>
      <c r="AO16" s="28"/>
      <c r="AP16" s="29"/>
      <c r="AQ16" s="29" t="str">
        <f t="shared" ref="AQ16:BL16" si="19">T16/T$2</f>
        <v>#N/A</v>
      </c>
      <c r="AR16" s="29" t="str">
        <f t="shared" si="19"/>
        <v>#DIV/0!</v>
      </c>
      <c r="AS16" s="29" t="str">
        <f t="shared" si="19"/>
        <v>#DIV/0!</v>
      </c>
      <c r="AT16" s="29" t="str">
        <f t="shared" si="19"/>
        <v>#DIV/0!</v>
      </c>
      <c r="AU16" s="29" t="str">
        <f t="shared" si="19"/>
        <v>#DIV/0!</v>
      </c>
      <c r="AV16" s="29" t="str">
        <f t="shared" si="19"/>
        <v>#DIV/0!</v>
      </c>
      <c r="AW16" s="29" t="str">
        <f t="shared" si="19"/>
        <v>#DIV/0!</v>
      </c>
      <c r="AX16" s="29" t="str">
        <f t="shared" si="19"/>
        <v>#DIV/0!</v>
      </c>
      <c r="AY16" s="29" t="str">
        <f t="shared" si="19"/>
        <v>#DIV/0!</v>
      </c>
      <c r="AZ16" s="29" t="str">
        <f t="shared" si="19"/>
        <v>#DIV/0!</v>
      </c>
      <c r="BA16" s="29" t="str">
        <f t="shared" si="19"/>
        <v>#DIV/0!</v>
      </c>
      <c r="BB16" s="29" t="str">
        <f t="shared" si="19"/>
        <v>#DIV/0!</v>
      </c>
      <c r="BC16" s="29" t="str">
        <f t="shared" si="19"/>
        <v>#DIV/0!</v>
      </c>
      <c r="BD16" s="29" t="str">
        <f t="shared" si="19"/>
        <v>#DIV/0!</v>
      </c>
      <c r="BE16" s="29" t="str">
        <f t="shared" si="19"/>
        <v>#DIV/0!</v>
      </c>
      <c r="BF16" s="29" t="str">
        <f t="shared" si="19"/>
        <v>#DIV/0!</v>
      </c>
      <c r="BG16" s="29" t="str">
        <f t="shared" si="19"/>
        <v>#DIV/0!</v>
      </c>
      <c r="BH16" s="29" t="str">
        <f t="shared" si="19"/>
        <v>#DIV/0!</v>
      </c>
      <c r="BI16" s="29" t="str">
        <f t="shared" si="19"/>
        <v>#DIV/0!</v>
      </c>
      <c r="BJ16" s="29" t="str">
        <f t="shared" si="19"/>
        <v>#DIV/0!</v>
      </c>
      <c r="BK16" s="29" t="str">
        <f t="shared" si="19"/>
        <v>#DIV/0!</v>
      </c>
      <c r="BL16" s="29" t="str">
        <f t="shared" si="19"/>
        <v>#DIV/0!</v>
      </c>
      <c r="BM16" s="29" t="str">
        <f t="shared" si="3"/>
        <v>#DIV/0!</v>
      </c>
    </row>
    <row r="17">
      <c r="A17" s="16" t="str">
        <f>IFERROR(__xludf.DUMMYFUNCTION("IFERROR(SPARKLINE(SORT(MAP(TRANSPOSE(AQ17:BL17), LAMBDA(val, IF(ISNUMBER(val), PERCENTRANK(AQ17:BL17, val)+0.01, 0))), SEQUENCE(COLUMNS(AQ17:BL17)), FALSE), {""charttype"",""column""; ""color"",""chartreuse""; ""ymin"", 0; ""ymax"", 1.01; ""highcolor"", "&amp;"""darkgreen""; ""lowcolor"", ""red""}), """")"),"")</f>
        <v/>
      </c>
      <c r="B17" s="17" t="str">
        <f t="shared" si="4"/>
        <v/>
      </c>
      <c r="C17" s="45" t="s">
        <v>2670</v>
      </c>
      <c r="D17" s="30" t="str">
        <f>IFERROR(__xludf.DUMMYFUNCTION("IFERROR(GOOGLEFINANCE(C17, ""NAME""))"),"Talen Energy Corp")</f>
        <v>Talen Energy Corp</v>
      </c>
      <c r="E17" s="30" t="s">
        <v>2634</v>
      </c>
      <c r="F17" s="33" t="str">
        <f>IFERROR(__xludf.DUMMYFUNCTION("( (GOOGLEFINANCE(C17, ""price"") - Q17) / Q17 ) / (R17 / 100)"),"Loading...")</f>
        <v>Loading...</v>
      </c>
      <c r="G17" s="20" t="str">
        <f>IFERROR(__xludf.DUMMYFUNCTION("AVERAGE(ARRAYFORMULA(100 * (QUERY(GOOGLEFINANCE(C17, ""high"", TODAY()-40, TODAY()), ""SELECT Col2 WHERE Col2 IS NOT NULL ORDER BY Col1 DESC LIMIT 20"", 0) / QUERY(GOOGLEFINANCE(C17, ""low"", TODAY()-40, TODAY()), ""SELECT Col2 WHERE Col2 IS NOT NULL ORDE"&amp;"R BY Col1 DESC LIMIT 20"", 0) - 1)))"),"#N/A")</f>
        <v>#N/A</v>
      </c>
      <c r="H17" s="35" t="str">
        <f t="shared" si="6"/>
        <v>Liquid</v>
      </c>
      <c r="I17" s="35" t="str">
        <f t="shared" si="7"/>
        <v>RVol Required</v>
      </c>
      <c r="J17" s="37">
        <f>IFERROR(__xludf.DUMMYFUNCTION("IFERROR(
  IF(C17="""",, 
    IFERROR(
      GOOGLEFINANCE(C17, ""price"") * GOOGLEFINANCE(C17, ""volumeavg""), 
      GOOGLEFINANCE(C17, ""price"") * AVERAGE(QUERY(GOOGLEFINANCE(C17, ""volume"", TODAY()-40, TODAY()), ""SELECT Col2 WHERE Col2 IS NOT NULL "&amp;"ORDER BY Col1 DESC LIMIT 20"", 0))
    )
  ), 
"""")"),3.6809905374E8)</f>
        <v>368099053.7</v>
      </c>
      <c r="K17" s="21">
        <f>IFERROR(__xludf.DUMMYFUNCTION("IFERROR(GOOGLEFINANCE(C17, ""changepct"") / 100, """")"),0.0034000000000000002)</f>
        <v>0.0034</v>
      </c>
      <c r="L17" s="21" t="str">
        <f>IFERROR(__xludf.DUMMYFUNCTION("IFERROR((GOOGLEFINANCE(C17, ""price"") / INDEX(GOOGLEFINANCE(C17, ""price"", TODAY()-7, TODAY()), 2, 2)) - 1, """")"),"")</f>
        <v/>
      </c>
      <c r="M17" s="21" t="str">
        <f>IFERROR(__xludf.DUMMYFUNCTION("IFERROR((GOOGLEFINANCE(C17, ""price"") / INDEX(GOOGLEFINANCE(C17, ""price"", EDATE(TODAY(), -1), TODAY()), 2, 2)) - 1, """")"),"")</f>
        <v/>
      </c>
      <c r="N17" s="21" t="str">
        <f>IFERROR(__xludf.DUMMYFUNCTION("IFERROR((GOOGLEFINANCE(C17, ""price"") / INDEX(GOOGLEFINANCE(C17, ""price"", EDATE(TODAY(), -3), TODAY()), 2, 2)) - 1, """")"),"")</f>
        <v/>
      </c>
      <c r="O17" s="21" t="str">
        <f>IFERROR(__xludf.DUMMYFUNCTION("IFERROR((GOOGLEFINANCE(C17, ""price"") / INDEX(GOOGLEFINANCE(C17, ""price"", EDATE(TODAY(), -6), TODAY()), 2, 2)) - 1, """")"),"")</f>
        <v/>
      </c>
      <c r="P17" s="21" t="str">
        <f>IFERROR(__xludf.DUMMYFUNCTION("IFERROR((GOOGLEFINANCE(C17, ""price"") / INDEX(GOOGLEFINANCE(C17, ""price"", EDATE(TODAY(), -12), TODAY()), 2, 2)) - 1, """")"),"")</f>
        <v/>
      </c>
      <c r="Q17" s="6" t="str">
        <f>IFERROR(__xludf.DUMMYFUNCTION("AVERAGE(QUERY(GOOGLEFINANCE(C17, ""price"", TODAY()-80, TODAY()), ""SELECT Col2 WHERE Col2 IS NOT NULL ORDER BY Col1 DESC LIMIT 50"", 0))"),"#N/A")</f>
        <v>#N/A</v>
      </c>
      <c r="R17" s="24" t="str">
        <f>IFERROR(__xludf.DUMMYFUNCTION("IFERROR(
  LET(
    data, QUERY(GOOGLEFINANCE(C17,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GOOGLEFINANCE(C17, ""price"")) * 100,
    IF(calc=0, G17, calc)
  ), 
G17)"),"#N/A")</f>
        <v>#N/A</v>
      </c>
      <c r="S17" s="8" t="s">
        <v>15</v>
      </c>
      <c r="T17" s="26" t="str">
        <f>IFERROR(__xludf.DUMMYFUNCTION("IFERROR(TRANSPOSE(QUERY(IFERROR(SORT(GOOGLEFINANCE(C17, ""price"", WORKDAY(TODAY(), -40), TODAY()), 1, FALSE)), ""select Col2 where Col2 is not null limit 22 label Col2 ''"", 0)), """")"),"")</f>
        <v/>
      </c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8"/>
      <c r="AO17" s="28"/>
      <c r="AP17" s="29"/>
      <c r="AQ17" s="29" t="str">
        <f t="shared" ref="AQ17:BL17" si="20">T17/T$2</f>
        <v>#N/A</v>
      </c>
      <c r="AR17" s="29" t="str">
        <f t="shared" si="20"/>
        <v>#DIV/0!</v>
      </c>
      <c r="AS17" s="29" t="str">
        <f t="shared" si="20"/>
        <v>#DIV/0!</v>
      </c>
      <c r="AT17" s="29" t="str">
        <f t="shared" si="20"/>
        <v>#DIV/0!</v>
      </c>
      <c r="AU17" s="29" t="str">
        <f t="shared" si="20"/>
        <v>#DIV/0!</v>
      </c>
      <c r="AV17" s="29" t="str">
        <f t="shared" si="20"/>
        <v>#DIV/0!</v>
      </c>
      <c r="AW17" s="29" t="str">
        <f t="shared" si="20"/>
        <v>#DIV/0!</v>
      </c>
      <c r="AX17" s="29" t="str">
        <f t="shared" si="20"/>
        <v>#DIV/0!</v>
      </c>
      <c r="AY17" s="29" t="str">
        <f t="shared" si="20"/>
        <v>#DIV/0!</v>
      </c>
      <c r="AZ17" s="29" t="str">
        <f t="shared" si="20"/>
        <v>#DIV/0!</v>
      </c>
      <c r="BA17" s="29" t="str">
        <f t="shared" si="20"/>
        <v>#DIV/0!</v>
      </c>
      <c r="BB17" s="29" t="str">
        <f t="shared" si="20"/>
        <v>#DIV/0!</v>
      </c>
      <c r="BC17" s="29" t="str">
        <f t="shared" si="20"/>
        <v>#DIV/0!</v>
      </c>
      <c r="BD17" s="29" t="str">
        <f t="shared" si="20"/>
        <v>#DIV/0!</v>
      </c>
      <c r="BE17" s="29" t="str">
        <f t="shared" si="20"/>
        <v>#DIV/0!</v>
      </c>
      <c r="BF17" s="29" t="str">
        <f t="shared" si="20"/>
        <v>#DIV/0!</v>
      </c>
      <c r="BG17" s="29" t="str">
        <f t="shared" si="20"/>
        <v>#DIV/0!</v>
      </c>
      <c r="BH17" s="29" t="str">
        <f t="shared" si="20"/>
        <v>#DIV/0!</v>
      </c>
      <c r="BI17" s="29" t="str">
        <f t="shared" si="20"/>
        <v>#DIV/0!</v>
      </c>
      <c r="BJ17" s="29" t="str">
        <f t="shared" si="20"/>
        <v>#DIV/0!</v>
      </c>
      <c r="BK17" s="29" t="str">
        <f t="shared" si="20"/>
        <v>#DIV/0!</v>
      </c>
      <c r="BL17" s="29" t="str">
        <f t="shared" si="20"/>
        <v>#DIV/0!</v>
      </c>
      <c r="BM17" s="29" t="str">
        <f t="shared" si="3"/>
        <v>#DIV/0!</v>
      </c>
    </row>
    <row r="18">
      <c r="A18" s="16" t="str">
        <f>IFERROR(__xludf.DUMMYFUNCTION("IFERROR(SPARKLINE(SORT(MAP(TRANSPOSE(AQ18:BL18), LAMBDA(val, IF(ISNUMBER(val), PERCENTRANK(AQ18:BL18, val)+0.01, 0))), SEQUENCE(COLUMNS(AQ18:BL18)), FALSE), {""charttype"",""column""; ""color"",""chartreuse""; ""ymin"", 0; ""ymax"", 1.01; ""highcolor"", "&amp;"""darkgreen""; ""lowcolor"", ""red""}), """")"),"")</f>
        <v/>
      </c>
      <c r="B18" s="17" t="str">
        <f t="shared" si="4"/>
        <v/>
      </c>
      <c r="C18" s="45" t="s">
        <v>2672</v>
      </c>
      <c r="D18" s="30" t="str">
        <f>IFERROR(__xludf.DUMMYFUNCTION("IFERROR(GOOGLEFINANCE(C18, ""NAME""))"),"Suburban Propane Partners LP")</f>
        <v>Suburban Propane Partners LP</v>
      </c>
      <c r="E18" s="30" t="s">
        <v>2651</v>
      </c>
      <c r="F18" s="33" t="str">
        <f>IFERROR(__xludf.DUMMYFUNCTION("( (GOOGLEFINANCE(C18, ""price"") - Q18) / Q18 ) / (R18 / 100)"),"Loading...")</f>
        <v>Loading...</v>
      </c>
      <c r="G18" s="20" t="str">
        <f>IFERROR(__xludf.DUMMYFUNCTION("AVERAGE(ARRAYFORMULA(100 * (QUERY(GOOGLEFINANCE(C18, ""high"", TODAY()-40, TODAY()), ""SELECT Col2 WHERE Col2 IS NOT NULL ORDER BY Col1 DESC LIMIT 20"", 0) / QUERY(GOOGLEFINANCE(C18, ""low"", TODAY()-40, TODAY()), ""SELECT Col2 WHERE Col2 IS NOT NULL ORDE"&amp;"R BY Col1 DESC LIMIT 20"", 0) - 1)))"),"#N/A")</f>
        <v>#N/A</v>
      </c>
      <c r="H18" s="35" t="str">
        <f t="shared" si="6"/>
        <v>Illiquid</v>
      </c>
      <c r="I18" s="35" t="str">
        <f t="shared" si="7"/>
        <v>RVol Required</v>
      </c>
      <c r="J18" s="37">
        <f>IFERROR(__xludf.DUMMYFUNCTION("IFERROR(
  IF(C18="""",, 
    IFERROR(
      GOOGLEFINANCE(C18, ""price"") * GOOGLEFINANCE(C18, ""volumeavg""), 
      GOOGLEFINANCE(C18, ""price"") * AVERAGE(QUERY(GOOGLEFINANCE(C18, ""volume"", TODAY()-40, TODAY()), ""SELECT Col2 WHERE Col2 IS NOT NULL "&amp;"ORDER BY Col1 DESC LIMIT 20"", 0))
    )
  ), 
"""")"),3529788.8400000003)</f>
        <v>3529788.84</v>
      </c>
      <c r="K18" s="21">
        <f>IFERROR(__xludf.DUMMYFUNCTION("IFERROR(GOOGLEFINANCE(C18, ""changepct"") / 100, """")"),0.015700000000000002)</f>
        <v>0.0157</v>
      </c>
      <c r="L18" s="21" t="str">
        <f>IFERROR(__xludf.DUMMYFUNCTION("IFERROR((GOOGLEFINANCE(C18, ""price"") / INDEX(GOOGLEFINANCE(C18, ""price"", TODAY()-7, TODAY()), 2, 2)) - 1, """")"),"")</f>
        <v/>
      </c>
      <c r="M18" s="21" t="str">
        <f>IFERROR(__xludf.DUMMYFUNCTION("IFERROR((GOOGLEFINANCE(C18, ""price"") / INDEX(GOOGLEFINANCE(C18, ""price"", EDATE(TODAY(), -1), TODAY()), 2, 2)) - 1, """")"),"")</f>
        <v/>
      </c>
      <c r="N18" s="21" t="str">
        <f>IFERROR(__xludf.DUMMYFUNCTION("IFERROR((GOOGLEFINANCE(C18, ""price"") / INDEX(GOOGLEFINANCE(C18, ""price"", EDATE(TODAY(), -3), TODAY()), 2, 2)) - 1, """")"),"")</f>
        <v/>
      </c>
      <c r="O18" s="21" t="str">
        <f>IFERROR(__xludf.DUMMYFUNCTION("IFERROR((GOOGLEFINANCE(C18, ""price"") / INDEX(GOOGLEFINANCE(C18, ""price"", EDATE(TODAY(), -6), TODAY()), 2, 2)) - 1, """")"),"")</f>
        <v/>
      </c>
      <c r="P18" s="21" t="str">
        <f>IFERROR(__xludf.DUMMYFUNCTION("IFERROR((GOOGLEFINANCE(C18, ""price"") / INDEX(GOOGLEFINANCE(C18, ""price"", EDATE(TODAY(), -12), TODAY()), 2, 2)) - 1, """")"),"")</f>
        <v/>
      </c>
      <c r="Q18" s="6" t="str">
        <f>IFERROR(__xludf.DUMMYFUNCTION("AVERAGE(QUERY(GOOGLEFINANCE(C18, ""price"", TODAY()-80, TODAY()), ""SELECT Col2 WHERE Col2 IS NOT NULL ORDER BY Col1 DESC LIMIT 50"", 0))"),"#N/A")</f>
        <v>#N/A</v>
      </c>
      <c r="R18" s="24" t="str">
        <f>IFERROR(__xludf.DUMMYFUNCTION("IFERROR(
  LET(
    data, QUERY(GOOGLEFINANCE(C18,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GOOGLEFINANCE(C18, ""price"")) * 100,
    IF(calc=0, G18, calc)
  ), 
G18)"),"#N/A")</f>
        <v>#N/A</v>
      </c>
      <c r="S18" s="8" t="s">
        <v>15</v>
      </c>
      <c r="T18" s="26" t="str">
        <f>IFERROR(__xludf.DUMMYFUNCTION("IFERROR(TRANSPOSE(QUERY(IFERROR(SORT(GOOGLEFINANCE(C18, ""price"", WORKDAY(TODAY(), -40), TODAY()), 1, FALSE)), ""select Col2 where Col2 is not null limit 22 label Col2 ''"", 0)), """")"),"")</f>
        <v/>
      </c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8"/>
      <c r="AO18" s="28"/>
      <c r="AP18" s="29"/>
      <c r="AQ18" s="29" t="str">
        <f t="shared" ref="AQ18:BL18" si="21">T18/T$2</f>
        <v>#N/A</v>
      </c>
      <c r="AR18" s="29" t="str">
        <f t="shared" si="21"/>
        <v>#DIV/0!</v>
      </c>
      <c r="AS18" s="29" t="str">
        <f t="shared" si="21"/>
        <v>#DIV/0!</v>
      </c>
      <c r="AT18" s="29" t="str">
        <f t="shared" si="21"/>
        <v>#DIV/0!</v>
      </c>
      <c r="AU18" s="29" t="str">
        <f t="shared" si="21"/>
        <v>#DIV/0!</v>
      </c>
      <c r="AV18" s="29" t="str">
        <f t="shared" si="21"/>
        <v>#DIV/0!</v>
      </c>
      <c r="AW18" s="29" t="str">
        <f t="shared" si="21"/>
        <v>#DIV/0!</v>
      </c>
      <c r="AX18" s="29" t="str">
        <f t="shared" si="21"/>
        <v>#DIV/0!</v>
      </c>
      <c r="AY18" s="29" t="str">
        <f t="shared" si="21"/>
        <v>#DIV/0!</v>
      </c>
      <c r="AZ18" s="29" t="str">
        <f t="shared" si="21"/>
        <v>#DIV/0!</v>
      </c>
      <c r="BA18" s="29" t="str">
        <f t="shared" si="21"/>
        <v>#DIV/0!</v>
      </c>
      <c r="BB18" s="29" t="str">
        <f t="shared" si="21"/>
        <v>#DIV/0!</v>
      </c>
      <c r="BC18" s="29" t="str">
        <f t="shared" si="21"/>
        <v>#DIV/0!</v>
      </c>
      <c r="BD18" s="29" t="str">
        <f t="shared" si="21"/>
        <v>#DIV/0!</v>
      </c>
      <c r="BE18" s="29" t="str">
        <f t="shared" si="21"/>
        <v>#DIV/0!</v>
      </c>
      <c r="BF18" s="29" t="str">
        <f t="shared" si="21"/>
        <v>#DIV/0!</v>
      </c>
      <c r="BG18" s="29" t="str">
        <f t="shared" si="21"/>
        <v>#DIV/0!</v>
      </c>
      <c r="BH18" s="29" t="str">
        <f t="shared" si="21"/>
        <v>#DIV/0!</v>
      </c>
      <c r="BI18" s="29" t="str">
        <f t="shared" si="21"/>
        <v>#DIV/0!</v>
      </c>
      <c r="BJ18" s="29" t="str">
        <f t="shared" si="21"/>
        <v>#DIV/0!</v>
      </c>
      <c r="BK18" s="29" t="str">
        <f t="shared" si="21"/>
        <v>#DIV/0!</v>
      </c>
      <c r="BL18" s="29" t="str">
        <f t="shared" si="21"/>
        <v>#DIV/0!</v>
      </c>
      <c r="BM18" s="29" t="str">
        <f t="shared" si="3"/>
        <v>#DIV/0!</v>
      </c>
    </row>
    <row r="19">
      <c r="A19" s="16" t="str">
        <f>IFERROR(__xludf.DUMMYFUNCTION("IFERROR(SPARKLINE(SORT(MAP(TRANSPOSE(AQ19:BL19), LAMBDA(val, IF(ISNUMBER(val), PERCENTRANK(AQ19:BL19, val)+0.01, 0))), SEQUENCE(COLUMNS(AQ19:BL19)), FALSE), {""charttype"",""column""; ""color"",""chartreuse""; ""ymin"", 0; ""ymax"", 1.01; ""highcolor"", "&amp;"""darkgreen""; ""lowcolor"", ""red""}), """")"),"")</f>
        <v/>
      </c>
      <c r="B19" s="17" t="str">
        <f t="shared" si="4"/>
        <v/>
      </c>
      <c r="C19" s="45" t="s">
        <v>2678</v>
      </c>
      <c r="D19" s="30" t="str">
        <f>IFERROR(__xludf.DUMMYFUNCTION("IFERROR(GOOGLEFINANCE(C19, ""NAME""))"),"Brookfield Renewable Partners LP Unit Non Voting")</f>
        <v>Brookfield Renewable Partners LP Unit Non Voting</v>
      </c>
      <c r="E19" s="30" t="s">
        <v>2605</v>
      </c>
      <c r="F19" s="33" t="str">
        <f>IFERROR(__xludf.DUMMYFUNCTION("( (GOOGLEFINANCE(C19, ""price"") - Q19) / Q19 ) / (R19 / 100)"),"Loading...")</f>
        <v>Loading...</v>
      </c>
      <c r="G19" s="20" t="str">
        <f>IFERROR(__xludf.DUMMYFUNCTION("AVERAGE(ARRAYFORMULA(100 * (QUERY(GOOGLEFINANCE(C19, ""high"", TODAY()-40, TODAY()), ""SELECT Col2 WHERE Col2 IS NOT NULL ORDER BY Col1 DESC LIMIT 20"", 0) / QUERY(GOOGLEFINANCE(C19, ""low"", TODAY()-40, TODAY()), ""SELECT Col2 WHERE Col2 IS NOT NULL ORDE"&amp;"R BY Col1 DESC LIMIT 20"", 0) - 1)))"),"#N/A")</f>
        <v>#N/A</v>
      </c>
      <c r="H19" s="35" t="str">
        <f t="shared" si="6"/>
        <v>Illiquid</v>
      </c>
      <c r="I19" s="35" t="str">
        <f t="shared" si="7"/>
        <v>RVol Required</v>
      </c>
      <c r="J19" s="37">
        <f>IFERROR(__xludf.DUMMYFUNCTION("IFERROR(
  IF(C19="""",, 
    IFERROR(
      GOOGLEFINANCE(C19, ""price"") * GOOGLEFINANCE(C19, ""volumeavg""), 
      GOOGLEFINANCE(C19, ""price"") * AVERAGE(QUERY(GOOGLEFINANCE(C19, ""volume"", TODAY()-40, TODAY()), ""SELECT Col2 WHERE Col2 IS NOT NULL "&amp;"ORDER BY Col1 DESC LIMIT 20"", 0))
    )
  ), 
"""")"),3.21916272E7)</f>
        <v>32191627.2</v>
      </c>
      <c r="K19" s="21">
        <f>IFERROR(__xludf.DUMMYFUNCTION("IFERROR(GOOGLEFINANCE(C19, ""changepct"") / 100, """")"),-0.0087)</f>
        <v>-0.0087</v>
      </c>
      <c r="L19" s="21" t="str">
        <f>IFERROR(__xludf.DUMMYFUNCTION("IFERROR((GOOGLEFINANCE(C19, ""price"") / INDEX(GOOGLEFINANCE(C19, ""price"", TODAY()-7, TODAY()), 2, 2)) - 1, """")"),"")</f>
        <v/>
      </c>
      <c r="M19" s="21" t="str">
        <f>IFERROR(__xludf.DUMMYFUNCTION("IFERROR((GOOGLEFINANCE(C19, ""price"") / INDEX(GOOGLEFINANCE(C19, ""price"", EDATE(TODAY(), -1), TODAY()), 2, 2)) - 1, """")"),"")</f>
        <v/>
      </c>
      <c r="N19" s="21" t="str">
        <f>IFERROR(__xludf.DUMMYFUNCTION("IFERROR((GOOGLEFINANCE(C19, ""price"") / INDEX(GOOGLEFINANCE(C19, ""price"", EDATE(TODAY(), -3), TODAY()), 2, 2)) - 1, """")"),"")</f>
        <v/>
      </c>
      <c r="O19" s="21" t="str">
        <f>IFERROR(__xludf.DUMMYFUNCTION("IFERROR((GOOGLEFINANCE(C19, ""price"") / INDEX(GOOGLEFINANCE(C19, ""price"", EDATE(TODAY(), -6), TODAY()), 2, 2)) - 1, """")"),"")</f>
        <v/>
      </c>
      <c r="P19" s="21" t="str">
        <f>IFERROR(__xludf.DUMMYFUNCTION("IFERROR((GOOGLEFINANCE(C19, ""price"") / INDEX(GOOGLEFINANCE(C19, ""price"", EDATE(TODAY(), -12), TODAY()), 2, 2)) - 1, """")"),"")</f>
        <v/>
      </c>
      <c r="Q19" s="6" t="str">
        <f>IFERROR(__xludf.DUMMYFUNCTION("AVERAGE(QUERY(GOOGLEFINANCE(C19, ""price"", TODAY()-80, TODAY()), ""SELECT Col2 WHERE Col2 IS NOT NULL ORDER BY Col1 DESC LIMIT 50"", 0))"),"#N/A")</f>
        <v>#N/A</v>
      </c>
      <c r="R19" s="24" t="str">
        <f>IFERROR(__xludf.DUMMYFUNCTION("IFERROR(
  LET(
    data, QUERY(GOOGLEFINANCE(C19,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GOOGLEFINANCE(C19, ""price"")) * 100,
    IF(calc=0, G19, calc)
  ), 
G19)"),"#N/A")</f>
        <v>#N/A</v>
      </c>
      <c r="S19" s="8" t="s">
        <v>15</v>
      </c>
      <c r="T19" s="26" t="str">
        <f>IFERROR(__xludf.DUMMYFUNCTION("IFERROR(TRANSPOSE(QUERY(IFERROR(SORT(GOOGLEFINANCE(C19, ""price"", WORKDAY(TODAY(), -40), TODAY()), 1, FALSE)), ""select Col2 where Col2 is not null limit 22 label Col2 ''"", 0)), """")"),"")</f>
        <v/>
      </c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8"/>
      <c r="AO19" s="28"/>
      <c r="AP19" s="29"/>
      <c r="AQ19" s="29" t="str">
        <f t="shared" ref="AQ19:BL19" si="22">T19/T$2</f>
        <v>#N/A</v>
      </c>
      <c r="AR19" s="29" t="str">
        <f t="shared" si="22"/>
        <v>#DIV/0!</v>
      </c>
      <c r="AS19" s="29" t="str">
        <f t="shared" si="22"/>
        <v>#DIV/0!</v>
      </c>
      <c r="AT19" s="29" t="str">
        <f t="shared" si="22"/>
        <v>#DIV/0!</v>
      </c>
      <c r="AU19" s="29" t="str">
        <f t="shared" si="22"/>
        <v>#DIV/0!</v>
      </c>
      <c r="AV19" s="29" t="str">
        <f t="shared" si="22"/>
        <v>#DIV/0!</v>
      </c>
      <c r="AW19" s="29" t="str">
        <f t="shared" si="22"/>
        <v>#DIV/0!</v>
      </c>
      <c r="AX19" s="29" t="str">
        <f t="shared" si="22"/>
        <v>#DIV/0!</v>
      </c>
      <c r="AY19" s="29" t="str">
        <f t="shared" si="22"/>
        <v>#DIV/0!</v>
      </c>
      <c r="AZ19" s="29" t="str">
        <f t="shared" si="22"/>
        <v>#DIV/0!</v>
      </c>
      <c r="BA19" s="29" t="str">
        <f t="shared" si="22"/>
        <v>#DIV/0!</v>
      </c>
      <c r="BB19" s="29" t="str">
        <f t="shared" si="22"/>
        <v>#DIV/0!</v>
      </c>
      <c r="BC19" s="29" t="str">
        <f t="shared" si="22"/>
        <v>#DIV/0!</v>
      </c>
      <c r="BD19" s="29" t="str">
        <f t="shared" si="22"/>
        <v>#DIV/0!</v>
      </c>
      <c r="BE19" s="29" t="str">
        <f t="shared" si="22"/>
        <v>#DIV/0!</v>
      </c>
      <c r="BF19" s="29" t="str">
        <f t="shared" si="22"/>
        <v>#DIV/0!</v>
      </c>
      <c r="BG19" s="29" t="str">
        <f t="shared" si="22"/>
        <v>#DIV/0!</v>
      </c>
      <c r="BH19" s="29" t="str">
        <f t="shared" si="22"/>
        <v>#DIV/0!</v>
      </c>
      <c r="BI19" s="29" t="str">
        <f t="shared" si="22"/>
        <v>#DIV/0!</v>
      </c>
      <c r="BJ19" s="29" t="str">
        <f t="shared" si="22"/>
        <v>#DIV/0!</v>
      </c>
      <c r="BK19" s="29" t="str">
        <f t="shared" si="22"/>
        <v>#DIV/0!</v>
      </c>
      <c r="BL19" s="29" t="str">
        <f t="shared" si="22"/>
        <v>#DIV/0!</v>
      </c>
      <c r="BM19" s="29" t="str">
        <f t="shared" si="3"/>
        <v>#DIV/0!</v>
      </c>
    </row>
    <row r="20">
      <c r="A20" s="16" t="str">
        <f>IFERROR(__xludf.DUMMYFUNCTION("IFERROR(SPARKLINE(SORT(MAP(TRANSPOSE(AQ20:BL20), LAMBDA(val, IF(ISNUMBER(val), PERCENTRANK(AQ20:BL20, val)+0.01, 0))), SEQUENCE(COLUMNS(AQ20:BL20)), FALSE), {""charttype"",""column""; ""color"",""chartreuse""; ""ymin"", 0; ""ymax"", 1.01; ""highcolor"", "&amp;"""darkgreen""; ""lowcolor"", ""red""}), """")"),"")</f>
        <v/>
      </c>
      <c r="B20" s="17" t="str">
        <f t="shared" si="4"/>
        <v/>
      </c>
      <c r="C20" s="45" t="s">
        <v>2683</v>
      </c>
      <c r="D20" s="30" t="str">
        <f>IFERROR(__xludf.DUMMYFUNCTION("IFERROR(GOOGLEFINANCE(C20, ""NAME""))"),"American States Water Co")</f>
        <v>American States Water Co</v>
      </c>
      <c r="E20" s="30" t="s">
        <v>2655</v>
      </c>
      <c r="F20" s="33" t="str">
        <f>IFERROR(__xludf.DUMMYFUNCTION("( (GOOGLEFINANCE(C20, ""price"") - Q20) / Q20 ) / (R20 / 100)"),"Loading...")</f>
        <v>Loading...</v>
      </c>
      <c r="G20" s="20" t="str">
        <f>IFERROR(__xludf.DUMMYFUNCTION("AVERAGE(ARRAYFORMULA(100 * (QUERY(GOOGLEFINANCE(C20, ""high"", TODAY()-40, TODAY()), ""SELECT Col2 WHERE Col2 IS NOT NULL ORDER BY Col1 DESC LIMIT 20"", 0) / QUERY(GOOGLEFINANCE(C20, ""low"", TODAY()-40, TODAY()), ""SELECT Col2 WHERE Col2 IS NOT NULL ORDE"&amp;"R BY Col1 DESC LIMIT 20"", 0) - 1)))"),"#N/A")</f>
        <v>#N/A</v>
      </c>
      <c r="H20" s="35" t="str">
        <f t="shared" si="6"/>
        <v>Illiquid</v>
      </c>
      <c r="I20" s="35" t="str">
        <f t="shared" si="7"/>
        <v>RVol Required</v>
      </c>
      <c r="J20" s="37">
        <f>IFERROR(__xludf.DUMMYFUNCTION("IFERROR(
  IF(C20="""",, 
    IFERROR(
      GOOGLEFINANCE(C20, ""price"") * GOOGLEFINANCE(C20, ""volumeavg""), 
      GOOGLEFINANCE(C20, ""price"") * AVERAGE(QUERY(GOOGLEFINANCE(C20, ""volume"", TODAY()-40, TODAY()), ""SELECT Col2 WHERE Col2 IS NOT NULL "&amp;"ORDER BY Col1 DESC LIMIT 20"", 0))
    )
  ), 
"""")"),1.9602989150000002E7)</f>
        <v>19602989.15</v>
      </c>
      <c r="K20" s="21">
        <f>IFERROR(__xludf.DUMMYFUNCTION("IFERROR(GOOGLEFINANCE(C20, ""changepct"") / 100, """")"),0.0086)</f>
        <v>0.0086</v>
      </c>
      <c r="L20" s="21" t="str">
        <f>IFERROR(__xludf.DUMMYFUNCTION("IFERROR((GOOGLEFINANCE(C20, ""price"") / INDEX(GOOGLEFINANCE(C20, ""price"", TODAY()-7, TODAY()), 2, 2)) - 1, """")"),"")</f>
        <v/>
      </c>
      <c r="M20" s="21" t="str">
        <f>IFERROR(__xludf.DUMMYFUNCTION("IFERROR((GOOGLEFINANCE(C20, ""price"") / INDEX(GOOGLEFINANCE(C20, ""price"", EDATE(TODAY(), -1), TODAY()), 2, 2)) - 1, """")"),"")</f>
        <v/>
      </c>
      <c r="N20" s="21" t="str">
        <f>IFERROR(__xludf.DUMMYFUNCTION("IFERROR((GOOGLEFINANCE(C20, ""price"") / INDEX(GOOGLEFINANCE(C20, ""price"", EDATE(TODAY(), -3), TODAY()), 2, 2)) - 1, """")"),"")</f>
        <v/>
      </c>
      <c r="O20" s="21" t="str">
        <f>IFERROR(__xludf.DUMMYFUNCTION("IFERROR((GOOGLEFINANCE(C20, ""price"") / INDEX(GOOGLEFINANCE(C20, ""price"", EDATE(TODAY(), -6), TODAY()), 2, 2)) - 1, """")"),"")</f>
        <v/>
      </c>
      <c r="P20" s="21" t="str">
        <f>IFERROR(__xludf.DUMMYFUNCTION("IFERROR((GOOGLEFINANCE(C20, ""price"") / INDEX(GOOGLEFINANCE(C20, ""price"", EDATE(TODAY(), -12), TODAY()), 2, 2)) - 1, """")"),"")</f>
        <v/>
      </c>
      <c r="Q20" s="6" t="str">
        <f>IFERROR(__xludf.DUMMYFUNCTION("AVERAGE(QUERY(GOOGLEFINANCE(C20, ""price"", TODAY()-80, TODAY()), ""SELECT Col2 WHERE Col2 IS NOT NULL ORDER BY Col1 DESC LIMIT 50"", 0))"),"#N/A")</f>
        <v>#N/A</v>
      </c>
      <c r="R20" s="24" t="str">
        <f>IFERROR(__xludf.DUMMYFUNCTION("IFERROR(
  LET(
    data, QUERY(GOOGLEFINANCE(C20,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GOOGLEFINANCE(C20, ""price"")) * 100,
    IF(calc=0, G20, calc)
  ), 
G20)"),"#N/A")</f>
        <v>#N/A</v>
      </c>
      <c r="S20" s="8" t="s">
        <v>15</v>
      </c>
      <c r="T20" s="26" t="str">
        <f>IFERROR(__xludf.DUMMYFUNCTION("IFERROR(TRANSPOSE(QUERY(IFERROR(SORT(GOOGLEFINANCE(C20, ""price"", WORKDAY(TODAY(), -40), TODAY()), 1, FALSE)), ""select Col2 where Col2 is not null limit 22 label Col2 ''"", 0)), """")"),"")</f>
        <v/>
      </c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8"/>
      <c r="AO20" s="28"/>
      <c r="AP20" s="29"/>
      <c r="AQ20" s="29" t="str">
        <f t="shared" ref="AQ20:BL20" si="23">T20/T$2</f>
        <v>#N/A</v>
      </c>
      <c r="AR20" s="29" t="str">
        <f t="shared" si="23"/>
        <v>#DIV/0!</v>
      </c>
      <c r="AS20" s="29" t="str">
        <f t="shared" si="23"/>
        <v>#DIV/0!</v>
      </c>
      <c r="AT20" s="29" t="str">
        <f t="shared" si="23"/>
        <v>#DIV/0!</v>
      </c>
      <c r="AU20" s="29" t="str">
        <f t="shared" si="23"/>
        <v>#DIV/0!</v>
      </c>
      <c r="AV20" s="29" t="str">
        <f t="shared" si="23"/>
        <v>#DIV/0!</v>
      </c>
      <c r="AW20" s="29" t="str">
        <f t="shared" si="23"/>
        <v>#DIV/0!</v>
      </c>
      <c r="AX20" s="29" t="str">
        <f t="shared" si="23"/>
        <v>#DIV/0!</v>
      </c>
      <c r="AY20" s="29" t="str">
        <f t="shared" si="23"/>
        <v>#DIV/0!</v>
      </c>
      <c r="AZ20" s="29" t="str">
        <f t="shared" si="23"/>
        <v>#DIV/0!</v>
      </c>
      <c r="BA20" s="29" t="str">
        <f t="shared" si="23"/>
        <v>#DIV/0!</v>
      </c>
      <c r="BB20" s="29" t="str">
        <f t="shared" si="23"/>
        <v>#DIV/0!</v>
      </c>
      <c r="BC20" s="29" t="str">
        <f t="shared" si="23"/>
        <v>#DIV/0!</v>
      </c>
      <c r="BD20" s="29" t="str">
        <f t="shared" si="23"/>
        <v>#DIV/0!</v>
      </c>
      <c r="BE20" s="29" t="str">
        <f t="shared" si="23"/>
        <v>#DIV/0!</v>
      </c>
      <c r="BF20" s="29" t="str">
        <f t="shared" si="23"/>
        <v>#DIV/0!</v>
      </c>
      <c r="BG20" s="29" t="str">
        <f t="shared" si="23"/>
        <v>#DIV/0!</v>
      </c>
      <c r="BH20" s="29" t="str">
        <f t="shared" si="23"/>
        <v>#DIV/0!</v>
      </c>
      <c r="BI20" s="29" t="str">
        <f t="shared" si="23"/>
        <v>#DIV/0!</v>
      </c>
      <c r="BJ20" s="29" t="str">
        <f t="shared" si="23"/>
        <v>#DIV/0!</v>
      </c>
      <c r="BK20" s="29" t="str">
        <f t="shared" si="23"/>
        <v>#DIV/0!</v>
      </c>
      <c r="BL20" s="29" t="str">
        <f t="shared" si="23"/>
        <v>#DIV/0!</v>
      </c>
      <c r="BM20" s="29" t="str">
        <f t="shared" si="3"/>
        <v>#DIV/0!</v>
      </c>
    </row>
    <row r="21">
      <c r="A21" s="16" t="str">
        <f>IFERROR(__xludf.DUMMYFUNCTION("IFERROR(SPARKLINE(SORT(MAP(TRANSPOSE(AQ21:BL21), LAMBDA(val, IF(ISNUMBER(val), PERCENTRANK(AQ21:BL21, val)+0.01, 0))), SEQUENCE(COLUMNS(AQ21:BL21)), FALSE), {""charttype"",""column""; ""color"",""chartreuse""; ""ymin"", 0; ""ymax"", 1.01; ""highcolor"", "&amp;"""darkgreen""; ""lowcolor"", ""red""}), """")"),"")</f>
        <v/>
      </c>
      <c r="B21" s="17" t="str">
        <f t="shared" si="4"/>
        <v/>
      </c>
      <c r="C21" s="45" t="s">
        <v>2688</v>
      </c>
      <c r="D21" s="30" t="str">
        <f>IFERROR(__xludf.DUMMYFUNCTION("IFERROR(GOOGLEFINANCE(C21, ""NAME""))"),"PG&amp;E Corp")</f>
        <v>PG&amp;E Corp</v>
      </c>
      <c r="E21" s="30" t="s">
        <v>2660</v>
      </c>
      <c r="F21" s="33" t="str">
        <f>IFERROR(__xludf.DUMMYFUNCTION("( (GOOGLEFINANCE(C21, ""price"") - Q21) / Q21 ) / (R21 / 100)"),"Loading...")</f>
        <v>Loading...</v>
      </c>
      <c r="G21" s="20" t="str">
        <f>IFERROR(__xludf.DUMMYFUNCTION("AVERAGE(ARRAYFORMULA(100 * (QUERY(GOOGLEFINANCE(C21, ""high"", TODAY()-40, TODAY()), ""SELECT Col2 WHERE Col2 IS NOT NULL ORDER BY Col1 DESC LIMIT 20"", 0) / QUERY(GOOGLEFINANCE(C21, ""low"", TODAY()-40, TODAY()), ""SELECT Col2 WHERE Col2 IS NOT NULL ORDE"&amp;"R BY Col1 DESC LIMIT 20"", 0) - 1)))"),"#N/A")</f>
        <v>#N/A</v>
      </c>
      <c r="H21" s="35" t="str">
        <f t="shared" si="6"/>
        <v>Liquid</v>
      </c>
      <c r="I21" s="35" t="str">
        <f t="shared" si="7"/>
        <v>No RVol Required</v>
      </c>
      <c r="J21" s="37">
        <f>IFERROR(__xludf.DUMMYFUNCTION("IFERROR(
  IF(C21="""",, 
    IFERROR(
      GOOGLEFINANCE(C21, ""price"") * GOOGLEFINANCE(C21, ""volumeavg""), 
      GOOGLEFINANCE(C21, ""price"") * AVERAGE(QUERY(GOOGLEFINANCE(C21, ""volume"", TODAY()-40, TODAY()), ""SELECT Col2 WHERE Col2 IS NOT NULL "&amp;"ORDER BY Col1 DESC LIMIT 20"", 0))
    )
  ), 
"""")"),5.2129979902E8)</f>
        <v>521299799</v>
      </c>
      <c r="K21" s="21">
        <f>IFERROR(__xludf.DUMMYFUNCTION("IFERROR(GOOGLEFINANCE(C21, ""changepct"") / 100, """")"),0.01)</f>
        <v>0.01</v>
      </c>
      <c r="L21" s="21" t="str">
        <f>IFERROR(__xludf.DUMMYFUNCTION("IFERROR((GOOGLEFINANCE(C21, ""price"") / INDEX(GOOGLEFINANCE(C21, ""price"", TODAY()-7, TODAY()), 2, 2)) - 1, """")"),"")</f>
        <v/>
      </c>
      <c r="M21" s="21" t="str">
        <f>IFERROR(__xludf.DUMMYFUNCTION("IFERROR((GOOGLEFINANCE(C21, ""price"") / INDEX(GOOGLEFINANCE(C21, ""price"", EDATE(TODAY(), -1), TODAY()), 2, 2)) - 1, """")"),"")</f>
        <v/>
      </c>
      <c r="N21" s="21" t="str">
        <f>IFERROR(__xludf.DUMMYFUNCTION("IFERROR((GOOGLEFINANCE(C21, ""price"") / INDEX(GOOGLEFINANCE(C21, ""price"", EDATE(TODAY(), -3), TODAY()), 2, 2)) - 1, """")"),"")</f>
        <v/>
      </c>
      <c r="O21" s="21" t="str">
        <f>IFERROR(__xludf.DUMMYFUNCTION("IFERROR((GOOGLEFINANCE(C21, ""price"") / INDEX(GOOGLEFINANCE(C21, ""price"", EDATE(TODAY(), -6), TODAY()), 2, 2)) - 1, """")"),"")</f>
        <v/>
      </c>
      <c r="P21" s="21" t="str">
        <f>IFERROR(__xludf.DUMMYFUNCTION("IFERROR((GOOGLEFINANCE(C21, ""price"") / INDEX(GOOGLEFINANCE(C21, ""price"", EDATE(TODAY(), -12), TODAY()), 2, 2)) - 1, """")"),"")</f>
        <v/>
      </c>
      <c r="Q21" s="6" t="str">
        <f>IFERROR(__xludf.DUMMYFUNCTION("AVERAGE(QUERY(GOOGLEFINANCE(C21, ""price"", TODAY()-80, TODAY()), ""SELECT Col2 WHERE Col2 IS NOT NULL ORDER BY Col1 DESC LIMIT 50"", 0))"),"#N/A")</f>
        <v>#N/A</v>
      </c>
      <c r="R21" s="24" t="str">
        <f>IFERROR(__xludf.DUMMYFUNCTION("IFERROR(
  LET(
    data, QUERY(GOOGLEFINANCE(C21,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GOOGLEFINANCE(C21, ""price"")) * 100,
    IF(calc=0, G21, calc)
  ), 
G21)"),"#N/A")</f>
        <v>#N/A</v>
      </c>
      <c r="S21" s="8" t="s">
        <v>15</v>
      </c>
      <c r="T21" s="26" t="str">
        <f>IFERROR(__xludf.DUMMYFUNCTION("IFERROR(TRANSPOSE(QUERY(IFERROR(SORT(GOOGLEFINANCE(C21, ""price"", WORKDAY(TODAY(), -40), TODAY()), 1, FALSE)), ""select Col2 where Col2 is not null limit 22 label Col2 ''"", 0)), """")"),"")</f>
        <v/>
      </c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8"/>
      <c r="AO21" s="28"/>
      <c r="AP21" s="29"/>
      <c r="AQ21" s="29" t="str">
        <f t="shared" ref="AQ21:BL21" si="24">T21/T$2</f>
        <v>#N/A</v>
      </c>
      <c r="AR21" s="29" t="str">
        <f t="shared" si="24"/>
        <v>#DIV/0!</v>
      </c>
      <c r="AS21" s="29" t="str">
        <f t="shared" si="24"/>
        <v>#DIV/0!</v>
      </c>
      <c r="AT21" s="29" t="str">
        <f t="shared" si="24"/>
        <v>#DIV/0!</v>
      </c>
      <c r="AU21" s="29" t="str">
        <f t="shared" si="24"/>
        <v>#DIV/0!</v>
      </c>
      <c r="AV21" s="29" t="str">
        <f t="shared" si="24"/>
        <v>#DIV/0!</v>
      </c>
      <c r="AW21" s="29" t="str">
        <f t="shared" si="24"/>
        <v>#DIV/0!</v>
      </c>
      <c r="AX21" s="29" t="str">
        <f t="shared" si="24"/>
        <v>#DIV/0!</v>
      </c>
      <c r="AY21" s="29" t="str">
        <f t="shared" si="24"/>
        <v>#DIV/0!</v>
      </c>
      <c r="AZ21" s="29" t="str">
        <f t="shared" si="24"/>
        <v>#DIV/0!</v>
      </c>
      <c r="BA21" s="29" t="str">
        <f t="shared" si="24"/>
        <v>#DIV/0!</v>
      </c>
      <c r="BB21" s="29" t="str">
        <f t="shared" si="24"/>
        <v>#DIV/0!</v>
      </c>
      <c r="BC21" s="29" t="str">
        <f t="shared" si="24"/>
        <v>#DIV/0!</v>
      </c>
      <c r="BD21" s="29" t="str">
        <f t="shared" si="24"/>
        <v>#DIV/0!</v>
      </c>
      <c r="BE21" s="29" t="str">
        <f t="shared" si="24"/>
        <v>#DIV/0!</v>
      </c>
      <c r="BF21" s="29" t="str">
        <f t="shared" si="24"/>
        <v>#DIV/0!</v>
      </c>
      <c r="BG21" s="29" t="str">
        <f t="shared" si="24"/>
        <v>#DIV/0!</v>
      </c>
      <c r="BH21" s="29" t="str">
        <f t="shared" si="24"/>
        <v>#DIV/0!</v>
      </c>
      <c r="BI21" s="29" t="str">
        <f t="shared" si="24"/>
        <v>#DIV/0!</v>
      </c>
      <c r="BJ21" s="29" t="str">
        <f t="shared" si="24"/>
        <v>#DIV/0!</v>
      </c>
      <c r="BK21" s="29" t="str">
        <f t="shared" si="24"/>
        <v>#DIV/0!</v>
      </c>
      <c r="BL21" s="29" t="str">
        <f t="shared" si="24"/>
        <v>#DIV/0!</v>
      </c>
      <c r="BM21" s="29" t="str">
        <f t="shared" si="3"/>
        <v>#DIV/0!</v>
      </c>
    </row>
    <row r="22">
      <c r="A22" s="16" t="str">
        <f>IFERROR(__xludf.DUMMYFUNCTION("IFERROR(SPARKLINE(SORT(MAP(TRANSPOSE(AQ22:BL22), LAMBDA(val, IF(ISNUMBER(val), PERCENTRANK(AQ22:BL22, val)+0.01, 0))), SEQUENCE(COLUMNS(AQ22:BL22)), FALSE), {""charttype"",""column""; ""color"",""chartreuse""; ""ymin"", 0; ""ymax"", 1.01; ""highcolor"", "&amp;"""darkgreen""; ""lowcolor"", ""red""}), """")"),"")</f>
        <v/>
      </c>
      <c r="B22" s="17" t="str">
        <f t="shared" si="4"/>
        <v/>
      </c>
      <c r="C22" s="45" t="s">
        <v>2693</v>
      </c>
      <c r="D22" s="30" t="str">
        <f>IFERROR(__xludf.DUMMYFUNCTION("IFERROR(GOOGLEFINANCE(C22, ""NAME""))"),"Cadiz Inc")</f>
        <v>Cadiz Inc</v>
      </c>
      <c r="E22" s="30" t="s">
        <v>2655</v>
      </c>
      <c r="F22" s="33" t="str">
        <f>IFERROR(__xludf.DUMMYFUNCTION("( (GOOGLEFINANCE(C22, ""price"") - Q22) / Q22 ) / (R22 / 100)"),"Loading...")</f>
        <v>Loading...</v>
      </c>
      <c r="G22" s="20" t="str">
        <f>IFERROR(__xludf.DUMMYFUNCTION("AVERAGE(ARRAYFORMULA(100 * (QUERY(GOOGLEFINANCE(C22, ""high"", TODAY()-40, TODAY()), ""SELECT Col2 WHERE Col2 IS NOT NULL ORDER BY Col1 DESC LIMIT 20"", 0) / QUERY(GOOGLEFINANCE(C22, ""low"", TODAY()-40, TODAY()), ""SELECT Col2 WHERE Col2 IS NOT NULL ORDE"&amp;"R BY Col1 DESC LIMIT 20"", 0) - 1)))"),"#N/A")</f>
        <v>#N/A</v>
      </c>
      <c r="H22" s="35" t="str">
        <f t="shared" si="6"/>
        <v>Illiquid</v>
      </c>
      <c r="I22" s="35" t="str">
        <f t="shared" si="7"/>
        <v>RVol Required</v>
      </c>
      <c r="J22" s="37">
        <f>IFERROR(__xludf.DUMMYFUNCTION("IFERROR(
  IF(C22="""",, 
    IFERROR(
      GOOGLEFINANCE(C22, ""price"") * GOOGLEFINANCE(C22, ""volumeavg""), 
      GOOGLEFINANCE(C22, ""price"") * AVERAGE(QUERY(GOOGLEFINANCE(C22, ""volume"", TODAY()-40, TODAY()), ""SELECT Col2 WHERE Col2 IS NOT NULL "&amp;"ORDER BY Col1 DESC LIMIT 20"", 0))
    )
  ), 
"""")"),4824489.0600000005)</f>
        <v>4824489.06</v>
      </c>
      <c r="K22" s="21">
        <f>IFERROR(__xludf.DUMMYFUNCTION("IFERROR(GOOGLEFINANCE(C22, ""changepct"") / 100, """")"),0.015700000000000002)</f>
        <v>0.0157</v>
      </c>
      <c r="L22" s="21" t="str">
        <f>IFERROR(__xludf.DUMMYFUNCTION("IFERROR((GOOGLEFINANCE(C22, ""price"") / INDEX(GOOGLEFINANCE(C22, ""price"", TODAY()-7, TODAY()), 2, 2)) - 1, """")"),"")</f>
        <v/>
      </c>
      <c r="M22" s="21" t="str">
        <f>IFERROR(__xludf.DUMMYFUNCTION("IFERROR((GOOGLEFINANCE(C22, ""price"") / INDEX(GOOGLEFINANCE(C22, ""price"", EDATE(TODAY(), -1), TODAY()), 2, 2)) - 1, """")"),"")</f>
        <v/>
      </c>
      <c r="N22" s="21" t="str">
        <f>IFERROR(__xludf.DUMMYFUNCTION("IFERROR((GOOGLEFINANCE(C22, ""price"") / INDEX(GOOGLEFINANCE(C22, ""price"", EDATE(TODAY(), -3), TODAY()), 2, 2)) - 1, """")"),"")</f>
        <v/>
      </c>
      <c r="O22" s="21" t="str">
        <f>IFERROR(__xludf.DUMMYFUNCTION("IFERROR((GOOGLEFINANCE(C22, ""price"") / INDEX(GOOGLEFINANCE(C22, ""price"", EDATE(TODAY(), -6), TODAY()), 2, 2)) - 1, """")"),"")</f>
        <v/>
      </c>
      <c r="P22" s="21" t="str">
        <f>IFERROR(__xludf.DUMMYFUNCTION("IFERROR((GOOGLEFINANCE(C22, ""price"") / INDEX(GOOGLEFINANCE(C22, ""price"", EDATE(TODAY(), -12), TODAY()), 2, 2)) - 1, """")"),"")</f>
        <v/>
      </c>
      <c r="Q22" s="6" t="str">
        <f>IFERROR(__xludf.DUMMYFUNCTION("AVERAGE(QUERY(GOOGLEFINANCE(C22, ""price"", TODAY()-80, TODAY()), ""SELECT Col2 WHERE Col2 IS NOT NULL ORDER BY Col1 DESC LIMIT 50"", 0))"),"#N/A")</f>
        <v>#N/A</v>
      </c>
      <c r="R22" s="24" t="str">
        <f>IFERROR(__xludf.DUMMYFUNCTION("IFERROR(
  LET(
    data, QUERY(GOOGLEFINANCE(C22,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GOOGLEFINANCE(C22, ""price"")) * 100,
    IF(calc=0, G22, calc)
  ), 
G22)"),"#N/A")</f>
        <v>#N/A</v>
      </c>
      <c r="S22" s="8" t="s">
        <v>15</v>
      </c>
      <c r="T22" s="26" t="str">
        <f>IFERROR(__xludf.DUMMYFUNCTION("IFERROR(TRANSPOSE(QUERY(IFERROR(SORT(GOOGLEFINANCE(C22, ""price"", WORKDAY(TODAY(), -40), TODAY()), 1, FALSE)), ""select Col2 where Col2 is not null limit 22 label Col2 ''"", 0)), """")"),"")</f>
        <v/>
      </c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8"/>
      <c r="AO22" s="28"/>
      <c r="AP22" s="29"/>
      <c r="AQ22" s="29" t="str">
        <f t="shared" ref="AQ22:BL22" si="25">T22/T$2</f>
        <v>#N/A</v>
      </c>
      <c r="AR22" s="29" t="str">
        <f t="shared" si="25"/>
        <v>#DIV/0!</v>
      </c>
      <c r="AS22" s="29" t="str">
        <f t="shared" si="25"/>
        <v>#DIV/0!</v>
      </c>
      <c r="AT22" s="29" t="str">
        <f t="shared" si="25"/>
        <v>#DIV/0!</v>
      </c>
      <c r="AU22" s="29" t="str">
        <f t="shared" si="25"/>
        <v>#DIV/0!</v>
      </c>
      <c r="AV22" s="29" t="str">
        <f t="shared" si="25"/>
        <v>#DIV/0!</v>
      </c>
      <c r="AW22" s="29" t="str">
        <f t="shared" si="25"/>
        <v>#DIV/0!</v>
      </c>
      <c r="AX22" s="29" t="str">
        <f t="shared" si="25"/>
        <v>#DIV/0!</v>
      </c>
      <c r="AY22" s="29" t="str">
        <f t="shared" si="25"/>
        <v>#DIV/0!</v>
      </c>
      <c r="AZ22" s="29" t="str">
        <f t="shared" si="25"/>
        <v>#DIV/0!</v>
      </c>
      <c r="BA22" s="29" t="str">
        <f t="shared" si="25"/>
        <v>#DIV/0!</v>
      </c>
      <c r="BB22" s="29" t="str">
        <f t="shared" si="25"/>
        <v>#DIV/0!</v>
      </c>
      <c r="BC22" s="29" t="str">
        <f t="shared" si="25"/>
        <v>#DIV/0!</v>
      </c>
      <c r="BD22" s="29" t="str">
        <f t="shared" si="25"/>
        <v>#DIV/0!</v>
      </c>
      <c r="BE22" s="29" t="str">
        <f t="shared" si="25"/>
        <v>#DIV/0!</v>
      </c>
      <c r="BF22" s="29" t="str">
        <f t="shared" si="25"/>
        <v>#DIV/0!</v>
      </c>
      <c r="BG22" s="29" t="str">
        <f t="shared" si="25"/>
        <v>#DIV/0!</v>
      </c>
      <c r="BH22" s="29" t="str">
        <f t="shared" si="25"/>
        <v>#DIV/0!</v>
      </c>
      <c r="BI22" s="29" t="str">
        <f t="shared" si="25"/>
        <v>#DIV/0!</v>
      </c>
      <c r="BJ22" s="29" t="str">
        <f t="shared" si="25"/>
        <v>#DIV/0!</v>
      </c>
      <c r="BK22" s="29" t="str">
        <f t="shared" si="25"/>
        <v>#DIV/0!</v>
      </c>
      <c r="BL22" s="29" t="str">
        <f t="shared" si="25"/>
        <v>#DIV/0!</v>
      </c>
      <c r="BM22" s="29" t="str">
        <f t="shared" si="3"/>
        <v>#DIV/0!</v>
      </c>
    </row>
    <row r="23">
      <c r="A23" s="16" t="str">
        <f>IFERROR(__xludf.DUMMYFUNCTION("IFERROR(SPARKLINE(SORT(MAP(TRANSPOSE(AQ23:BL23), LAMBDA(val, IF(ISNUMBER(val), PERCENTRANK(AQ23:BL23, val)+0.01, 0))), SEQUENCE(COLUMNS(AQ23:BL23)), FALSE), {""charttype"",""column""; ""color"",""chartreuse""; ""ymin"", 0; ""ymax"", 1.01; ""highcolor"", "&amp;"""darkgreen""; ""lowcolor"", ""red""}), """")"),"")</f>
        <v/>
      </c>
      <c r="B23" s="17" t="str">
        <f t="shared" si="4"/>
        <v/>
      </c>
      <c r="C23" s="45" t="s">
        <v>2697</v>
      </c>
      <c r="D23" s="30" t="str">
        <f>IFERROR(__xludf.DUMMYFUNCTION("IFERROR(GOOGLEFINANCE(C23, ""NAME""))"),"")</f>
        <v/>
      </c>
      <c r="E23" s="30" t="s">
        <v>2605</v>
      </c>
      <c r="F23" s="33" t="str">
        <f>IFERROR(__xludf.DUMMYFUNCTION("( (GOOGLEFINANCE(C23, ""price"") - Q23) / Q23 ) / (R23 / 100)"),"Loading...")</f>
        <v>Loading...</v>
      </c>
      <c r="G23" s="20" t="str">
        <f>IFERROR(__xludf.DUMMYFUNCTION("AVERAGE(ARRAYFORMULA(100 * (QUERY(GOOGLEFINANCE(C23, ""high"", TODAY()-40, TODAY()), ""SELECT Col2 WHERE Col2 IS NOT NULL ORDER BY Col1 DESC LIMIT 20"", 0) / QUERY(GOOGLEFINANCE(C23, ""low"", TODAY()-40, TODAY()), ""SELECT Col2 WHERE Col2 IS NOT NULL ORDE"&amp;"R BY Col1 DESC LIMIT 20"", 0) - 1)))"),"#N/A")</f>
        <v>#N/A</v>
      </c>
      <c r="H23" s="35" t="str">
        <f t="shared" si="6"/>
        <v/>
      </c>
      <c r="I23" s="35" t="str">
        <f t="shared" si="7"/>
        <v/>
      </c>
      <c r="J23" s="37" t="str">
        <f>IFERROR(__xludf.DUMMYFUNCTION("IFERROR(
  IF(C23="""",, 
    IFERROR(
      GOOGLEFINANCE(C23, ""price"") * GOOGLEFINANCE(C23, ""volumeavg""), 
      GOOGLEFINANCE(C23, ""price"") * AVERAGE(QUERY(GOOGLEFINANCE(C23, ""volume"", TODAY()-40, TODAY()), ""SELECT Col2 WHERE Col2 IS NOT NULL "&amp;"ORDER BY Col1 DESC LIMIT 20"", 0))
    )
  ), 
"""")"),"")</f>
        <v/>
      </c>
      <c r="K23" s="21" t="str">
        <f>IFERROR(__xludf.DUMMYFUNCTION("IFERROR(GOOGLEFINANCE(C23, ""changepct"") / 100, """")"),"")</f>
        <v/>
      </c>
      <c r="L23" s="21" t="str">
        <f>IFERROR(__xludf.DUMMYFUNCTION("IFERROR((GOOGLEFINANCE(C23, ""price"") / INDEX(GOOGLEFINANCE(C23, ""price"", TODAY()-7, TODAY()), 2, 2)) - 1, """")"),"")</f>
        <v/>
      </c>
      <c r="M23" s="21" t="str">
        <f>IFERROR(__xludf.DUMMYFUNCTION("IFERROR((GOOGLEFINANCE(C23, ""price"") / INDEX(GOOGLEFINANCE(C23, ""price"", EDATE(TODAY(), -1), TODAY()), 2, 2)) - 1, """")"),"")</f>
        <v/>
      </c>
      <c r="N23" s="21" t="str">
        <f>IFERROR(__xludf.DUMMYFUNCTION("IFERROR((GOOGLEFINANCE(C23, ""price"") / INDEX(GOOGLEFINANCE(C23, ""price"", EDATE(TODAY(), -3), TODAY()), 2, 2)) - 1, """")"),"")</f>
        <v/>
      </c>
      <c r="O23" s="21" t="str">
        <f>IFERROR(__xludf.DUMMYFUNCTION("IFERROR((GOOGLEFINANCE(C23, ""price"") / INDEX(GOOGLEFINANCE(C23, ""price"", EDATE(TODAY(), -6), TODAY()), 2, 2)) - 1, """")"),"")</f>
        <v/>
      </c>
      <c r="P23" s="21" t="str">
        <f>IFERROR(__xludf.DUMMYFUNCTION("IFERROR((GOOGLEFINANCE(C23, ""price"") / INDEX(GOOGLEFINANCE(C23, ""price"", EDATE(TODAY(), -12), TODAY()), 2, 2)) - 1, """")"),"")</f>
        <v/>
      </c>
      <c r="Q23" s="6" t="str">
        <f>IFERROR(__xludf.DUMMYFUNCTION("AVERAGE(QUERY(GOOGLEFINANCE(C23, ""price"", TODAY()-80, TODAY()), ""SELECT Col2 WHERE Col2 IS NOT NULL ORDER BY Col1 DESC LIMIT 50"", 0))"),"#N/A")</f>
        <v>#N/A</v>
      </c>
      <c r="R23" s="24" t="str">
        <f>IFERROR(__xludf.DUMMYFUNCTION("IFERROR(
  LET(
    data, QUERY(GOOGLEFINANCE(C23,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GOOGLEFINANCE(C23, ""price"")) * 100,
    IF(calc=0, G23, calc)
  ), 
G23)"),"#N/A")</f>
        <v>#N/A</v>
      </c>
      <c r="S23" s="8" t="s">
        <v>15</v>
      </c>
      <c r="T23" s="26" t="str">
        <f>IFERROR(__xludf.DUMMYFUNCTION("IFERROR(TRANSPOSE(QUERY(IFERROR(SORT(GOOGLEFINANCE(C23, ""price"", WORKDAY(TODAY(), -40), TODAY()), 1, FALSE)), ""select Col2 where Col2 is not null limit 22 label Col2 ''"", 0)), """")"),"")</f>
        <v/>
      </c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8"/>
      <c r="AO23" s="28"/>
      <c r="AP23" s="29"/>
      <c r="AQ23" s="29" t="str">
        <f t="shared" ref="AQ23:BL23" si="26">T23/T$2</f>
        <v>#N/A</v>
      </c>
      <c r="AR23" s="29" t="str">
        <f t="shared" si="26"/>
        <v>#DIV/0!</v>
      </c>
      <c r="AS23" s="29" t="str">
        <f t="shared" si="26"/>
        <v>#DIV/0!</v>
      </c>
      <c r="AT23" s="29" t="str">
        <f t="shared" si="26"/>
        <v>#DIV/0!</v>
      </c>
      <c r="AU23" s="29" t="str">
        <f t="shared" si="26"/>
        <v>#DIV/0!</v>
      </c>
      <c r="AV23" s="29" t="str">
        <f t="shared" si="26"/>
        <v>#DIV/0!</v>
      </c>
      <c r="AW23" s="29" t="str">
        <f t="shared" si="26"/>
        <v>#DIV/0!</v>
      </c>
      <c r="AX23" s="29" t="str">
        <f t="shared" si="26"/>
        <v>#DIV/0!</v>
      </c>
      <c r="AY23" s="29" t="str">
        <f t="shared" si="26"/>
        <v>#DIV/0!</v>
      </c>
      <c r="AZ23" s="29" t="str">
        <f t="shared" si="26"/>
        <v>#DIV/0!</v>
      </c>
      <c r="BA23" s="29" t="str">
        <f t="shared" si="26"/>
        <v>#DIV/0!</v>
      </c>
      <c r="BB23" s="29" t="str">
        <f t="shared" si="26"/>
        <v>#DIV/0!</v>
      </c>
      <c r="BC23" s="29" t="str">
        <f t="shared" si="26"/>
        <v>#DIV/0!</v>
      </c>
      <c r="BD23" s="29" t="str">
        <f t="shared" si="26"/>
        <v>#DIV/0!</v>
      </c>
      <c r="BE23" s="29" t="str">
        <f t="shared" si="26"/>
        <v>#DIV/0!</v>
      </c>
      <c r="BF23" s="29" t="str">
        <f t="shared" si="26"/>
        <v>#DIV/0!</v>
      </c>
      <c r="BG23" s="29" t="str">
        <f t="shared" si="26"/>
        <v>#DIV/0!</v>
      </c>
      <c r="BH23" s="29" t="str">
        <f t="shared" si="26"/>
        <v>#DIV/0!</v>
      </c>
      <c r="BI23" s="29" t="str">
        <f t="shared" si="26"/>
        <v>#DIV/0!</v>
      </c>
      <c r="BJ23" s="29" t="str">
        <f t="shared" si="26"/>
        <v>#DIV/0!</v>
      </c>
      <c r="BK23" s="29" t="str">
        <f t="shared" si="26"/>
        <v>#DIV/0!</v>
      </c>
      <c r="BL23" s="29" t="str">
        <f t="shared" si="26"/>
        <v>#DIV/0!</v>
      </c>
      <c r="BM23" s="29" t="str">
        <f t="shared" si="3"/>
        <v>#DIV/0!</v>
      </c>
    </row>
    <row r="24">
      <c r="A24" s="16" t="str">
        <f>IFERROR(__xludf.DUMMYFUNCTION("IFERROR(SPARKLINE(SORT(MAP(TRANSPOSE(AQ24:BL24), LAMBDA(val, IF(ISNUMBER(val), PERCENTRANK(AQ24:BL24, val)+0.01, 0))), SEQUENCE(COLUMNS(AQ24:BL24)), FALSE), {""charttype"",""column""; ""color"",""chartreuse""; ""ymin"", 0; ""ymax"", 1.01; ""highcolor"", "&amp;"""darkgreen""; ""lowcolor"", ""red""}), """")"),"")</f>
        <v/>
      </c>
      <c r="B24" s="17" t="str">
        <f t="shared" si="4"/>
        <v/>
      </c>
      <c r="C24" s="45" t="s">
        <v>2701</v>
      </c>
      <c r="D24" s="30" t="str">
        <f>IFERROR(__xludf.DUMMYFUNCTION("IFERROR(GOOGLEFINANCE(C24, ""NAME""))"),"Terrestrial Energy Inc")</f>
        <v>Terrestrial Energy Inc</v>
      </c>
      <c r="E24" s="30" t="s">
        <v>2660</v>
      </c>
      <c r="F24" s="33" t="str">
        <f>IFERROR(__xludf.DUMMYFUNCTION("( (GOOGLEFINANCE(C24, ""price"") - Q24) / Q24 ) / (R24 / 100)"),"Loading...")</f>
        <v>Loading...</v>
      </c>
      <c r="G24" s="20" t="str">
        <f>IFERROR(__xludf.DUMMYFUNCTION("AVERAGE(ARRAYFORMULA(100 * (QUERY(GOOGLEFINANCE(C24, ""high"", TODAY()-40, TODAY()), ""SELECT Col2 WHERE Col2 IS NOT NULL ORDER BY Col1 DESC LIMIT 20"", 0) / QUERY(GOOGLEFINANCE(C24, ""low"", TODAY()-40, TODAY()), ""SELECT Col2 WHERE Col2 IS NOT NULL ORDE"&amp;"R BY Col1 DESC LIMIT 20"", 0) - 1)))"),"#N/A")</f>
        <v>#N/A</v>
      </c>
      <c r="H24" s="35" t="str">
        <f t="shared" si="6"/>
        <v>Illiquid</v>
      </c>
      <c r="I24" s="35" t="str">
        <f t="shared" si="7"/>
        <v>RVol Required</v>
      </c>
      <c r="J24" s="37">
        <f>IFERROR(__xludf.DUMMYFUNCTION("IFERROR(
  IF(C24="""",, 
    IFERROR(
      GOOGLEFINANCE(C24, ""price"") * GOOGLEFINANCE(C24, ""volumeavg""), 
      GOOGLEFINANCE(C24, ""price"") * AVERAGE(QUERY(GOOGLEFINANCE(C24, ""volume"", TODAY()-40, TODAY()), ""SELECT Col2 WHERE Col2 IS NOT NULL "&amp;"ORDER BY Col1 DESC LIMIT 20"", 0))
    )
  ), 
"""")"),4837757.5)</f>
        <v>4837757.5</v>
      </c>
      <c r="K24" s="21">
        <f>IFERROR(__xludf.DUMMYFUNCTION("IFERROR(GOOGLEFINANCE(C24, ""changepct"") / 100, """")"),-0.0528)</f>
        <v>-0.0528</v>
      </c>
      <c r="L24" s="21" t="str">
        <f>IFERROR(__xludf.DUMMYFUNCTION("IFERROR((GOOGLEFINANCE(C24, ""price"") / INDEX(GOOGLEFINANCE(C24, ""price"", TODAY()-7, TODAY()), 2, 2)) - 1, """")"),"")</f>
        <v/>
      </c>
      <c r="M24" s="21" t="str">
        <f>IFERROR(__xludf.DUMMYFUNCTION("IFERROR((GOOGLEFINANCE(C24, ""price"") / INDEX(GOOGLEFINANCE(C24, ""price"", EDATE(TODAY(), -1), TODAY()), 2, 2)) - 1, """")"),"")</f>
        <v/>
      </c>
      <c r="N24" s="21" t="str">
        <f>IFERROR(__xludf.DUMMYFUNCTION("IFERROR((GOOGLEFINANCE(C24, ""price"") / INDEX(GOOGLEFINANCE(C24, ""price"", EDATE(TODAY(), -3), TODAY()), 2, 2)) - 1, """")"),"")</f>
        <v/>
      </c>
      <c r="O24" s="21" t="str">
        <f>IFERROR(__xludf.DUMMYFUNCTION("IFERROR((GOOGLEFINANCE(C24, ""price"") / INDEX(GOOGLEFINANCE(C24, ""price"", EDATE(TODAY(), -6), TODAY()), 2, 2)) - 1, """")"),"")</f>
        <v/>
      </c>
      <c r="P24" s="21" t="str">
        <f>IFERROR(__xludf.DUMMYFUNCTION("IFERROR((GOOGLEFINANCE(C24, ""price"") / INDEX(GOOGLEFINANCE(C24, ""price"", EDATE(TODAY(), -12), TODAY()), 2, 2)) - 1, """")"),"")</f>
        <v/>
      </c>
      <c r="Q24" s="6" t="str">
        <f>IFERROR(__xludf.DUMMYFUNCTION("AVERAGE(QUERY(GOOGLEFINANCE(C24, ""price"", TODAY()-80, TODAY()), ""SELECT Col2 WHERE Col2 IS NOT NULL ORDER BY Col1 DESC LIMIT 50"", 0))"),"#N/A")</f>
        <v>#N/A</v>
      </c>
      <c r="R24" s="24" t="str">
        <f>IFERROR(__xludf.DUMMYFUNCTION("IFERROR(
  LET(
    data, QUERY(GOOGLEFINANCE(C24,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GOOGLEFINANCE(C24, ""price"")) * 100,
    IF(calc=0, G24, calc)
  ), 
G24)"),"#N/A")</f>
        <v>#N/A</v>
      </c>
      <c r="S24" s="8" t="s">
        <v>15</v>
      </c>
      <c r="T24" s="26" t="str">
        <f>IFERROR(__xludf.DUMMYFUNCTION("IFERROR(TRANSPOSE(QUERY(IFERROR(SORT(GOOGLEFINANCE(C24, ""price"", WORKDAY(TODAY(), -40), TODAY()), 1, FALSE)), ""select Col2 where Col2 is not null limit 22 label Col2 ''"", 0)), """")"),"")</f>
        <v/>
      </c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8"/>
      <c r="AO24" s="28"/>
      <c r="AP24" s="29"/>
      <c r="AQ24" s="29" t="str">
        <f t="shared" ref="AQ24:BL24" si="27">T24/T$2</f>
        <v>#N/A</v>
      </c>
      <c r="AR24" s="29" t="str">
        <f t="shared" si="27"/>
        <v>#DIV/0!</v>
      </c>
      <c r="AS24" s="29" t="str">
        <f t="shared" si="27"/>
        <v>#DIV/0!</v>
      </c>
      <c r="AT24" s="29" t="str">
        <f t="shared" si="27"/>
        <v>#DIV/0!</v>
      </c>
      <c r="AU24" s="29" t="str">
        <f t="shared" si="27"/>
        <v>#DIV/0!</v>
      </c>
      <c r="AV24" s="29" t="str">
        <f t="shared" si="27"/>
        <v>#DIV/0!</v>
      </c>
      <c r="AW24" s="29" t="str">
        <f t="shared" si="27"/>
        <v>#DIV/0!</v>
      </c>
      <c r="AX24" s="29" t="str">
        <f t="shared" si="27"/>
        <v>#DIV/0!</v>
      </c>
      <c r="AY24" s="29" t="str">
        <f t="shared" si="27"/>
        <v>#DIV/0!</v>
      </c>
      <c r="AZ24" s="29" t="str">
        <f t="shared" si="27"/>
        <v>#DIV/0!</v>
      </c>
      <c r="BA24" s="29" t="str">
        <f t="shared" si="27"/>
        <v>#DIV/0!</v>
      </c>
      <c r="BB24" s="29" t="str">
        <f t="shared" si="27"/>
        <v>#DIV/0!</v>
      </c>
      <c r="BC24" s="29" t="str">
        <f t="shared" si="27"/>
        <v>#DIV/0!</v>
      </c>
      <c r="BD24" s="29" t="str">
        <f t="shared" si="27"/>
        <v>#DIV/0!</v>
      </c>
      <c r="BE24" s="29" t="str">
        <f t="shared" si="27"/>
        <v>#DIV/0!</v>
      </c>
      <c r="BF24" s="29" t="str">
        <f t="shared" si="27"/>
        <v>#DIV/0!</v>
      </c>
      <c r="BG24" s="29" t="str">
        <f t="shared" si="27"/>
        <v>#DIV/0!</v>
      </c>
      <c r="BH24" s="29" t="str">
        <f t="shared" si="27"/>
        <v>#DIV/0!</v>
      </c>
      <c r="BI24" s="29" t="str">
        <f t="shared" si="27"/>
        <v>#DIV/0!</v>
      </c>
      <c r="BJ24" s="29" t="str">
        <f t="shared" si="27"/>
        <v>#DIV/0!</v>
      </c>
      <c r="BK24" s="29" t="str">
        <f t="shared" si="27"/>
        <v>#DIV/0!</v>
      </c>
      <c r="BL24" s="29" t="str">
        <f t="shared" si="27"/>
        <v>#DIV/0!</v>
      </c>
      <c r="BM24" s="29" t="str">
        <f t="shared" si="3"/>
        <v>#DIV/0!</v>
      </c>
    </row>
    <row r="25">
      <c r="A25" s="16" t="str">
        <f>IFERROR(__xludf.DUMMYFUNCTION("IFERROR(SPARKLINE(SORT(MAP(TRANSPOSE(AQ25:BL25), LAMBDA(val, IF(ISNUMBER(val), PERCENTRANK(AQ25:BL25, val)+0.01, 0))), SEQUENCE(COLUMNS(AQ25:BL25)), FALSE), {""charttype"",""column""; ""color"",""chartreuse""; ""ymin"", 0; ""ymax"", 1.01; ""highcolor"", "&amp;"""darkgreen""; ""lowcolor"", ""red""}), """")"),"")</f>
        <v/>
      </c>
      <c r="B25" s="17" t="str">
        <f t="shared" si="4"/>
        <v/>
      </c>
      <c r="C25" s="45" t="s">
        <v>2706</v>
      </c>
      <c r="D25" s="30" t="str">
        <f>IFERROR(__xludf.DUMMYFUNCTION("IFERROR(GOOGLEFINANCE(C25, ""NAME""))"),"Brhc Holdings Ltd")</f>
        <v>Brhc Holdings Ltd</v>
      </c>
      <c r="E25" s="30" t="s">
        <v>2605</v>
      </c>
      <c r="F25" s="33" t="str">
        <f>IFERROR(__xludf.DUMMYFUNCTION("( (GOOGLEFINANCE(C25, ""price"") - Q25) / Q25 ) / (R25 / 100)"),"Loading...")</f>
        <v>Loading...</v>
      </c>
      <c r="G25" s="20" t="str">
        <f>IFERROR(__xludf.DUMMYFUNCTION("AVERAGE(ARRAYFORMULA(100 * (QUERY(GOOGLEFINANCE(C25, ""high"", TODAY()-40, TODAY()), ""SELECT Col2 WHERE Col2 IS NOT NULL ORDER BY Col1 DESC LIMIT 20"", 0) / QUERY(GOOGLEFINANCE(C25, ""low"", TODAY()-40, TODAY()), ""SELECT Col2 WHERE Col2 IS NOT NULL ORDE"&amp;"R BY Col1 DESC LIMIT 20"", 0) - 1)))"),"#N/A")</f>
        <v>#N/A</v>
      </c>
      <c r="H25" s="35" t="str">
        <f t="shared" si="6"/>
        <v>Liquid</v>
      </c>
      <c r="I25" s="35" t="str">
        <f t="shared" si="7"/>
        <v>RVol Required</v>
      </c>
      <c r="J25" s="37">
        <f>IFERROR(__xludf.DUMMYFUNCTION("IFERROR(
  IF(C25="""",, 
    IFERROR(
      GOOGLEFINANCE(C25, ""price"") * GOOGLEFINANCE(C25, ""volumeavg""), 
      GOOGLEFINANCE(C25, ""price"") * AVERAGE(QUERY(GOOGLEFINANCE(C25, ""volume"", TODAY()-40, TODAY()), ""SELECT Col2 WHERE Col2 IS NOT NULL "&amp;"ORDER BY Col1 DESC LIMIT 20"", 0))
    )
  ), 
"""")"),5.520299554000001E7)</f>
        <v>55202995.54</v>
      </c>
      <c r="K25" s="21">
        <f>IFERROR(__xludf.DUMMYFUNCTION("IFERROR(GOOGLEFINANCE(C25, ""changepct"") / 100, """")"),-0.009000000000000001)</f>
        <v>-0.009</v>
      </c>
      <c r="L25" s="21" t="str">
        <f>IFERROR(__xludf.DUMMYFUNCTION("IFERROR((GOOGLEFINANCE(C25, ""price"") / INDEX(GOOGLEFINANCE(C25, ""price"", TODAY()-7, TODAY()), 2, 2)) - 1, """")"),"")</f>
        <v/>
      </c>
      <c r="M25" s="21" t="str">
        <f>IFERROR(__xludf.DUMMYFUNCTION("IFERROR((GOOGLEFINANCE(C25, ""price"") / INDEX(GOOGLEFINANCE(C25, ""price"", EDATE(TODAY(), -1), TODAY()), 2, 2)) - 1, """")"),"")</f>
        <v/>
      </c>
      <c r="N25" s="21" t="str">
        <f>IFERROR(__xludf.DUMMYFUNCTION("IFERROR((GOOGLEFINANCE(C25, ""price"") / INDEX(GOOGLEFINANCE(C25, ""price"", EDATE(TODAY(), -3), TODAY()), 2, 2)) - 1, """")"),"")</f>
        <v/>
      </c>
      <c r="O25" s="21" t="str">
        <f>IFERROR(__xludf.DUMMYFUNCTION("IFERROR((GOOGLEFINANCE(C25, ""price"") / INDEX(GOOGLEFINANCE(C25, ""price"", EDATE(TODAY(), -6), TODAY()), 2, 2)) - 1, """")"),"")</f>
        <v/>
      </c>
      <c r="P25" s="21" t="str">
        <f>IFERROR(__xludf.DUMMYFUNCTION("IFERROR((GOOGLEFINANCE(C25, ""price"") / INDEX(GOOGLEFINANCE(C25, ""price"", EDATE(TODAY(), -12), TODAY()), 2, 2)) - 1, """")"),"")</f>
        <v/>
      </c>
      <c r="Q25" s="6" t="str">
        <f>IFERROR(__xludf.DUMMYFUNCTION("AVERAGE(QUERY(GOOGLEFINANCE(C25, ""price"", TODAY()-80, TODAY()), ""SELECT Col2 WHERE Col2 IS NOT NULL ORDER BY Col1 DESC LIMIT 50"", 0))"),"#N/A")</f>
        <v>#N/A</v>
      </c>
      <c r="R25" s="24" t="str">
        <f>IFERROR(__xludf.DUMMYFUNCTION("IFERROR(
  LET(
    data, QUERY(GOOGLEFINANCE(C25,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GOOGLEFINANCE(C25, ""price"")) * 100,
    IF(calc=0, G25, calc)
  ), 
G25)"),"#N/A")</f>
        <v>#N/A</v>
      </c>
      <c r="S25" s="8" t="s">
        <v>15</v>
      </c>
      <c r="T25" s="26" t="str">
        <f>IFERROR(__xludf.DUMMYFUNCTION("IFERROR(TRANSPOSE(QUERY(IFERROR(SORT(GOOGLEFINANCE(C25, ""price"", WORKDAY(TODAY(), -40), TODAY()), 1, FALSE)), ""select Col2 where Col2 is not null limit 22 label Col2 ''"", 0)), """")"),"")</f>
        <v/>
      </c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8"/>
      <c r="AO25" s="28"/>
      <c r="AP25" s="29"/>
      <c r="AQ25" s="29" t="str">
        <f t="shared" ref="AQ25:BL25" si="28">T25/T$2</f>
        <v>#N/A</v>
      </c>
      <c r="AR25" s="29" t="str">
        <f t="shared" si="28"/>
        <v>#DIV/0!</v>
      </c>
      <c r="AS25" s="29" t="str">
        <f t="shared" si="28"/>
        <v>#DIV/0!</v>
      </c>
      <c r="AT25" s="29" t="str">
        <f t="shared" si="28"/>
        <v>#DIV/0!</v>
      </c>
      <c r="AU25" s="29" t="str">
        <f t="shared" si="28"/>
        <v>#DIV/0!</v>
      </c>
      <c r="AV25" s="29" t="str">
        <f t="shared" si="28"/>
        <v>#DIV/0!</v>
      </c>
      <c r="AW25" s="29" t="str">
        <f t="shared" si="28"/>
        <v>#DIV/0!</v>
      </c>
      <c r="AX25" s="29" t="str">
        <f t="shared" si="28"/>
        <v>#DIV/0!</v>
      </c>
      <c r="AY25" s="29" t="str">
        <f t="shared" si="28"/>
        <v>#DIV/0!</v>
      </c>
      <c r="AZ25" s="29" t="str">
        <f t="shared" si="28"/>
        <v>#DIV/0!</v>
      </c>
      <c r="BA25" s="29" t="str">
        <f t="shared" si="28"/>
        <v>#DIV/0!</v>
      </c>
      <c r="BB25" s="29" t="str">
        <f t="shared" si="28"/>
        <v>#DIV/0!</v>
      </c>
      <c r="BC25" s="29" t="str">
        <f t="shared" si="28"/>
        <v>#DIV/0!</v>
      </c>
      <c r="BD25" s="29" t="str">
        <f t="shared" si="28"/>
        <v>#DIV/0!</v>
      </c>
      <c r="BE25" s="29" t="str">
        <f t="shared" si="28"/>
        <v>#DIV/0!</v>
      </c>
      <c r="BF25" s="29" t="str">
        <f t="shared" si="28"/>
        <v>#DIV/0!</v>
      </c>
      <c r="BG25" s="29" t="str">
        <f t="shared" si="28"/>
        <v>#DIV/0!</v>
      </c>
      <c r="BH25" s="29" t="str">
        <f t="shared" si="28"/>
        <v>#DIV/0!</v>
      </c>
      <c r="BI25" s="29" t="str">
        <f t="shared" si="28"/>
        <v>#DIV/0!</v>
      </c>
      <c r="BJ25" s="29" t="str">
        <f t="shared" si="28"/>
        <v>#DIV/0!</v>
      </c>
      <c r="BK25" s="29" t="str">
        <f t="shared" si="28"/>
        <v>#DIV/0!</v>
      </c>
      <c r="BL25" s="29" t="str">
        <f t="shared" si="28"/>
        <v>#DIV/0!</v>
      </c>
      <c r="BM25" s="29" t="str">
        <f t="shared" si="3"/>
        <v>#DIV/0!</v>
      </c>
    </row>
    <row r="26">
      <c r="A26" s="16" t="str">
        <f>IFERROR(__xludf.DUMMYFUNCTION("IFERROR(SPARKLINE(SORT(MAP(TRANSPOSE(AQ26:BL26), LAMBDA(val, IF(ISNUMBER(val), PERCENTRANK(AQ26:BL26, val)+0.01, 0))), SEQUENCE(COLUMNS(AQ26:BL26)), FALSE), {""charttype"",""column""; ""color"",""chartreuse""; ""ymin"", 0; ""ymax"", 1.01; ""highcolor"", "&amp;"""darkgreen""; ""lowcolor"", ""red""}), """")"),"")</f>
        <v/>
      </c>
      <c r="B26" s="17" t="str">
        <f t="shared" si="4"/>
        <v/>
      </c>
      <c r="C26" s="45" t="s">
        <v>2711</v>
      </c>
      <c r="D26" s="30" t="str">
        <f>IFERROR(__xludf.DUMMYFUNCTION("IFERROR(GOOGLEFINANCE(C26, ""NAME""))"),"Evergy Inc")</f>
        <v>Evergy Inc</v>
      </c>
      <c r="E26" s="30" t="s">
        <v>2660</v>
      </c>
      <c r="F26" s="33" t="str">
        <f>IFERROR(__xludf.DUMMYFUNCTION("( (GOOGLEFINANCE(C26, ""price"") - Q26) / Q26 ) / (R26 / 100)"),"Loading...")</f>
        <v>Loading...</v>
      </c>
      <c r="G26" s="20" t="str">
        <f>IFERROR(__xludf.DUMMYFUNCTION("AVERAGE(ARRAYFORMULA(100 * (QUERY(GOOGLEFINANCE(C26, ""high"", TODAY()-40, TODAY()), ""SELECT Col2 WHERE Col2 IS NOT NULL ORDER BY Col1 DESC LIMIT 20"", 0) / QUERY(GOOGLEFINANCE(C26, ""low"", TODAY()-40, TODAY()), ""SELECT Col2 WHERE Col2 IS NOT NULL ORDE"&amp;"R BY Col1 DESC LIMIT 20"", 0) - 1)))"),"#N/A")</f>
        <v>#N/A</v>
      </c>
      <c r="H26" s="35" t="str">
        <f t="shared" si="6"/>
        <v>Liquid</v>
      </c>
      <c r="I26" s="35" t="str">
        <f t="shared" si="7"/>
        <v>RVol Required</v>
      </c>
      <c r="J26" s="37">
        <f>IFERROR(__xludf.DUMMYFUNCTION("IFERROR(
  IF(C26="""",, 
    IFERROR(
      GOOGLEFINANCE(C26, ""price"") * GOOGLEFINANCE(C26, ""volumeavg""), 
      GOOGLEFINANCE(C26, ""price"") * AVERAGE(QUERY(GOOGLEFINANCE(C26, ""volume"", TODAY()-40, TODAY()), ""SELECT Col2 WHERE Col2 IS NOT NULL "&amp;"ORDER BY Col1 DESC LIMIT 20"", 0))
    )
  ), 
"""")"),1.870221612E8)</f>
        <v>187022161.2</v>
      </c>
      <c r="K26" s="21">
        <f>IFERROR(__xludf.DUMMYFUNCTION("IFERROR(GOOGLEFINANCE(C26, ""changepct"") / 100, """")"),0.0212)</f>
        <v>0.0212</v>
      </c>
      <c r="L26" s="21" t="str">
        <f>IFERROR(__xludf.DUMMYFUNCTION("IFERROR((GOOGLEFINANCE(C26, ""price"") / INDEX(GOOGLEFINANCE(C26, ""price"", TODAY()-7, TODAY()), 2, 2)) - 1, """")"),"")</f>
        <v/>
      </c>
      <c r="M26" s="21" t="str">
        <f>IFERROR(__xludf.DUMMYFUNCTION("IFERROR((GOOGLEFINANCE(C26, ""price"") / INDEX(GOOGLEFINANCE(C26, ""price"", EDATE(TODAY(), -1), TODAY()), 2, 2)) - 1, """")"),"")</f>
        <v/>
      </c>
      <c r="N26" s="21" t="str">
        <f>IFERROR(__xludf.DUMMYFUNCTION("IFERROR((GOOGLEFINANCE(C26, ""price"") / INDEX(GOOGLEFINANCE(C26, ""price"", EDATE(TODAY(), -3), TODAY()), 2, 2)) - 1, """")"),"")</f>
        <v/>
      </c>
      <c r="O26" s="21" t="str">
        <f>IFERROR(__xludf.DUMMYFUNCTION("IFERROR((GOOGLEFINANCE(C26, ""price"") / INDEX(GOOGLEFINANCE(C26, ""price"", EDATE(TODAY(), -6), TODAY()), 2, 2)) - 1, """")"),"")</f>
        <v/>
      </c>
      <c r="P26" s="21" t="str">
        <f>IFERROR(__xludf.DUMMYFUNCTION("IFERROR((GOOGLEFINANCE(C26, ""price"") / INDEX(GOOGLEFINANCE(C26, ""price"", EDATE(TODAY(), -12), TODAY()), 2, 2)) - 1, """")"),"")</f>
        <v/>
      </c>
      <c r="Q26" s="6" t="str">
        <f>IFERROR(__xludf.DUMMYFUNCTION("AVERAGE(QUERY(GOOGLEFINANCE(C26, ""price"", TODAY()-80, TODAY()), ""SELECT Col2 WHERE Col2 IS NOT NULL ORDER BY Col1 DESC LIMIT 50"", 0))"),"#N/A")</f>
        <v>#N/A</v>
      </c>
      <c r="R26" s="24" t="str">
        <f>IFERROR(__xludf.DUMMYFUNCTION("IFERROR(
  LET(
    data, QUERY(GOOGLEFINANCE(C26,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GOOGLEFINANCE(C26, ""price"")) * 100,
    IF(calc=0, G26, calc)
  ), 
G26)"),"#N/A")</f>
        <v>#N/A</v>
      </c>
      <c r="S26" s="8" t="s">
        <v>15</v>
      </c>
      <c r="T26" s="26" t="str">
        <f>IFERROR(__xludf.DUMMYFUNCTION("IFERROR(TRANSPOSE(QUERY(IFERROR(SORT(GOOGLEFINANCE(C26, ""price"", WORKDAY(TODAY(), -40), TODAY()), 1, FALSE)), ""select Col2 where Col2 is not null limit 22 label Col2 ''"", 0)), """")"),"")</f>
        <v/>
      </c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8"/>
      <c r="AO26" s="28"/>
      <c r="AP26" s="29"/>
      <c r="AQ26" s="29" t="str">
        <f t="shared" ref="AQ26:BL26" si="29">T26/T$2</f>
        <v>#N/A</v>
      </c>
      <c r="AR26" s="29" t="str">
        <f t="shared" si="29"/>
        <v>#DIV/0!</v>
      </c>
      <c r="AS26" s="29" t="str">
        <f t="shared" si="29"/>
        <v>#DIV/0!</v>
      </c>
      <c r="AT26" s="29" t="str">
        <f t="shared" si="29"/>
        <v>#DIV/0!</v>
      </c>
      <c r="AU26" s="29" t="str">
        <f t="shared" si="29"/>
        <v>#DIV/0!</v>
      </c>
      <c r="AV26" s="29" t="str">
        <f t="shared" si="29"/>
        <v>#DIV/0!</v>
      </c>
      <c r="AW26" s="29" t="str">
        <f t="shared" si="29"/>
        <v>#DIV/0!</v>
      </c>
      <c r="AX26" s="29" t="str">
        <f t="shared" si="29"/>
        <v>#DIV/0!</v>
      </c>
      <c r="AY26" s="29" t="str">
        <f t="shared" si="29"/>
        <v>#DIV/0!</v>
      </c>
      <c r="AZ26" s="29" t="str">
        <f t="shared" si="29"/>
        <v>#DIV/0!</v>
      </c>
      <c r="BA26" s="29" t="str">
        <f t="shared" si="29"/>
        <v>#DIV/0!</v>
      </c>
      <c r="BB26" s="29" t="str">
        <f t="shared" si="29"/>
        <v>#DIV/0!</v>
      </c>
      <c r="BC26" s="29" t="str">
        <f t="shared" si="29"/>
        <v>#DIV/0!</v>
      </c>
      <c r="BD26" s="29" t="str">
        <f t="shared" si="29"/>
        <v>#DIV/0!</v>
      </c>
      <c r="BE26" s="29" t="str">
        <f t="shared" si="29"/>
        <v>#DIV/0!</v>
      </c>
      <c r="BF26" s="29" t="str">
        <f t="shared" si="29"/>
        <v>#DIV/0!</v>
      </c>
      <c r="BG26" s="29" t="str">
        <f t="shared" si="29"/>
        <v>#DIV/0!</v>
      </c>
      <c r="BH26" s="29" t="str">
        <f t="shared" si="29"/>
        <v>#DIV/0!</v>
      </c>
      <c r="BI26" s="29" t="str">
        <f t="shared" si="29"/>
        <v>#DIV/0!</v>
      </c>
      <c r="BJ26" s="29" t="str">
        <f t="shared" si="29"/>
        <v>#DIV/0!</v>
      </c>
      <c r="BK26" s="29" t="str">
        <f t="shared" si="29"/>
        <v>#DIV/0!</v>
      </c>
      <c r="BL26" s="29" t="str">
        <f t="shared" si="29"/>
        <v>#DIV/0!</v>
      </c>
      <c r="BM26" s="29" t="str">
        <f t="shared" si="3"/>
        <v>#DIV/0!</v>
      </c>
    </row>
    <row r="27">
      <c r="A27" s="16" t="str">
        <f>IFERROR(__xludf.DUMMYFUNCTION("IFERROR(SPARKLINE(SORT(MAP(TRANSPOSE(AQ27:BL27), LAMBDA(val, IF(ISNUMBER(val), PERCENTRANK(AQ27:BL27, val)+0.01, 0))), SEQUENCE(COLUMNS(AQ27:BL27)), FALSE), {""charttype"",""column""; ""color"",""chartreuse""; ""ymin"", 0; ""ymax"", 1.01; ""highcolor"", "&amp;"""darkgreen""; ""lowcolor"", ""red""}), """")"),"")</f>
        <v/>
      </c>
      <c r="B27" s="17" t="str">
        <f t="shared" si="4"/>
        <v/>
      </c>
      <c r="C27" s="45" t="s">
        <v>2715</v>
      </c>
      <c r="D27" s="30" t="str">
        <f>IFERROR(__xludf.DUMMYFUNCTION("IFERROR(GOOGLEFINANCE(C27, ""NAME""))"),"PAMPA ENERGIA SA")</f>
        <v>PAMPA ENERGIA SA</v>
      </c>
      <c r="E27" s="30" t="s">
        <v>2634</v>
      </c>
      <c r="F27" s="33" t="str">
        <f>IFERROR(__xludf.DUMMYFUNCTION("( (GOOGLEFINANCE(C27, ""price"") - Q27) / Q27 ) / (R27 / 100)"),"Loading...")</f>
        <v>Loading...</v>
      </c>
      <c r="G27" s="20" t="str">
        <f>IFERROR(__xludf.DUMMYFUNCTION("AVERAGE(ARRAYFORMULA(100 * (QUERY(GOOGLEFINANCE(C27, ""high"", TODAY()-40, TODAY()), ""SELECT Col2 WHERE Col2 IS NOT NULL ORDER BY Col1 DESC LIMIT 20"", 0) / QUERY(GOOGLEFINANCE(C27, ""low"", TODAY()-40, TODAY()), ""SELECT Col2 WHERE Col2 IS NOT NULL ORDE"&amp;"R BY Col1 DESC LIMIT 20"", 0) - 1)))"),"#N/A")</f>
        <v>#N/A</v>
      </c>
      <c r="H27" s="35" t="str">
        <f t="shared" si="6"/>
        <v>Illiquid</v>
      </c>
      <c r="I27" s="35" t="str">
        <f t="shared" si="7"/>
        <v>RVol Required</v>
      </c>
      <c r="J27" s="37">
        <f>IFERROR(__xludf.DUMMYFUNCTION("IFERROR(
  IF(C27="""",, 
    IFERROR(
      GOOGLEFINANCE(C27, ""price"") * GOOGLEFINANCE(C27, ""volumeavg""), 
      GOOGLEFINANCE(C27, ""price"") * AVERAGE(QUERY(GOOGLEFINANCE(C27, ""volume"", TODAY()-40, TODAY()), ""SELECT Col2 WHERE Col2 IS NOT NULL "&amp;"ORDER BY Col1 DESC LIMIT 20"", 0))
    )
  ), 
"""")"),1.45591531E7)</f>
        <v>14559153.1</v>
      </c>
      <c r="K27" s="21">
        <f>IFERROR(__xludf.DUMMYFUNCTION("IFERROR(GOOGLEFINANCE(C27, ""changepct"") / 100, """")"),0.0077)</f>
        <v>0.0077</v>
      </c>
      <c r="L27" s="21" t="str">
        <f>IFERROR(__xludf.DUMMYFUNCTION("IFERROR((GOOGLEFINANCE(C27, ""price"") / INDEX(GOOGLEFINANCE(C27, ""price"", TODAY()-7, TODAY()), 2, 2)) - 1, """")"),"")</f>
        <v/>
      </c>
      <c r="M27" s="21" t="str">
        <f>IFERROR(__xludf.DUMMYFUNCTION("IFERROR((GOOGLEFINANCE(C27, ""price"") / INDEX(GOOGLEFINANCE(C27, ""price"", EDATE(TODAY(), -1), TODAY()), 2, 2)) - 1, """")"),"")</f>
        <v/>
      </c>
      <c r="N27" s="21" t="str">
        <f>IFERROR(__xludf.DUMMYFUNCTION("IFERROR((GOOGLEFINANCE(C27, ""price"") / INDEX(GOOGLEFINANCE(C27, ""price"", EDATE(TODAY(), -3), TODAY()), 2, 2)) - 1, """")"),"")</f>
        <v/>
      </c>
      <c r="O27" s="21" t="str">
        <f>IFERROR(__xludf.DUMMYFUNCTION("IFERROR((GOOGLEFINANCE(C27, ""price"") / INDEX(GOOGLEFINANCE(C27, ""price"", EDATE(TODAY(), -6), TODAY()), 2, 2)) - 1, """")"),"")</f>
        <v/>
      </c>
      <c r="P27" s="21" t="str">
        <f>IFERROR(__xludf.DUMMYFUNCTION("IFERROR((GOOGLEFINANCE(C27, ""price"") / INDEX(GOOGLEFINANCE(C27, ""price"", EDATE(TODAY(), -12), TODAY()), 2, 2)) - 1, """")"),"")</f>
        <v/>
      </c>
      <c r="Q27" s="6" t="str">
        <f>IFERROR(__xludf.DUMMYFUNCTION("AVERAGE(QUERY(GOOGLEFINANCE(C27, ""price"", TODAY()-80, TODAY()), ""SELECT Col2 WHERE Col2 IS NOT NULL ORDER BY Col1 DESC LIMIT 50"", 0))"),"#N/A")</f>
        <v>#N/A</v>
      </c>
      <c r="R27" s="24" t="str">
        <f>IFERROR(__xludf.DUMMYFUNCTION("IFERROR(
  LET(
    data, QUERY(GOOGLEFINANCE(C27,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GOOGLEFINANCE(C27, ""price"")) * 100,
    IF(calc=0, G27, calc)
  ), 
G27)"),"#N/A")</f>
        <v>#N/A</v>
      </c>
      <c r="S27" s="8" t="s">
        <v>15</v>
      </c>
      <c r="T27" s="26" t="str">
        <f>IFERROR(__xludf.DUMMYFUNCTION("IFERROR(TRANSPOSE(QUERY(IFERROR(SORT(GOOGLEFINANCE(C27, ""price"", WORKDAY(TODAY(), -40), TODAY()), 1, FALSE)), ""select Col2 where Col2 is not null limit 22 label Col2 ''"", 0)), """")"),"")</f>
        <v/>
      </c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8"/>
      <c r="AO27" s="28"/>
      <c r="AP27" s="29"/>
      <c r="AQ27" s="29" t="str">
        <f t="shared" ref="AQ27:BL27" si="30">T27/T$2</f>
        <v>#N/A</v>
      </c>
      <c r="AR27" s="29" t="str">
        <f t="shared" si="30"/>
        <v>#DIV/0!</v>
      </c>
      <c r="AS27" s="29" t="str">
        <f t="shared" si="30"/>
        <v>#DIV/0!</v>
      </c>
      <c r="AT27" s="29" t="str">
        <f t="shared" si="30"/>
        <v>#DIV/0!</v>
      </c>
      <c r="AU27" s="29" t="str">
        <f t="shared" si="30"/>
        <v>#DIV/0!</v>
      </c>
      <c r="AV27" s="29" t="str">
        <f t="shared" si="30"/>
        <v>#DIV/0!</v>
      </c>
      <c r="AW27" s="29" t="str">
        <f t="shared" si="30"/>
        <v>#DIV/0!</v>
      </c>
      <c r="AX27" s="29" t="str">
        <f t="shared" si="30"/>
        <v>#DIV/0!</v>
      </c>
      <c r="AY27" s="29" t="str">
        <f t="shared" si="30"/>
        <v>#DIV/0!</v>
      </c>
      <c r="AZ27" s="29" t="str">
        <f t="shared" si="30"/>
        <v>#DIV/0!</v>
      </c>
      <c r="BA27" s="29" t="str">
        <f t="shared" si="30"/>
        <v>#DIV/0!</v>
      </c>
      <c r="BB27" s="29" t="str">
        <f t="shared" si="30"/>
        <v>#DIV/0!</v>
      </c>
      <c r="BC27" s="29" t="str">
        <f t="shared" si="30"/>
        <v>#DIV/0!</v>
      </c>
      <c r="BD27" s="29" t="str">
        <f t="shared" si="30"/>
        <v>#DIV/0!</v>
      </c>
      <c r="BE27" s="29" t="str">
        <f t="shared" si="30"/>
        <v>#DIV/0!</v>
      </c>
      <c r="BF27" s="29" t="str">
        <f t="shared" si="30"/>
        <v>#DIV/0!</v>
      </c>
      <c r="BG27" s="29" t="str">
        <f t="shared" si="30"/>
        <v>#DIV/0!</v>
      </c>
      <c r="BH27" s="29" t="str">
        <f t="shared" si="30"/>
        <v>#DIV/0!</v>
      </c>
      <c r="BI27" s="29" t="str">
        <f t="shared" si="30"/>
        <v>#DIV/0!</v>
      </c>
      <c r="BJ27" s="29" t="str">
        <f t="shared" si="30"/>
        <v>#DIV/0!</v>
      </c>
      <c r="BK27" s="29" t="str">
        <f t="shared" si="30"/>
        <v>#DIV/0!</v>
      </c>
      <c r="BL27" s="29" t="str">
        <f t="shared" si="30"/>
        <v>#DIV/0!</v>
      </c>
      <c r="BM27" s="29" t="str">
        <f t="shared" si="3"/>
        <v>#DIV/0!</v>
      </c>
    </row>
    <row r="28">
      <c r="A28" s="16" t="str">
        <f>IFERROR(__xludf.DUMMYFUNCTION("IFERROR(SPARKLINE(SORT(MAP(TRANSPOSE(AQ28:BL28), LAMBDA(val, IF(ISNUMBER(val), PERCENTRANK(AQ28:BL28, val)+0.01, 0))), SEQUENCE(COLUMNS(AQ28:BL28)), FALSE), {""charttype"",""column""; ""color"",""chartreuse""; ""ymin"", 0; ""ymax"", 1.01; ""highcolor"", "&amp;"""darkgreen""; ""lowcolor"", ""red""}), """")"),"")</f>
        <v/>
      </c>
      <c r="B28" s="17" t="str">
        <f t="shared" si="4"/>
        <v/>
      </c>
      <c r="C28" s="45" t="s">
        <v>2718</v>
      </c>
      <c r="D28" s="30" t="str">
        <f>IFERROR(__xludf.DUMMYFUNCTION("IFERROR(GOOGLEFINANCE(C28, ""NAME""))"),"Dominion Energy Inc")</f>
        <v>Dominion Energy Inc</v>
      </c>
      <c r="E28" s="30" t="s">
        <v>2660</v>
      </c>
      <c r="F28" s="33" t="str">
        <f>IFERROR(__xludf.DUMMYFUNCTION("( (GOOGLEFINANCE(C28, ""price"") - Q28) / Q28 ) / (R28 / 100)"),"Loading...")</f>
        <v>Loading...</v>
      </c>
      <c r="G28" s="20" t="str">
        <f>IFERROR(__xludf.DUMMYFUNCTION("AVERAGE(ARRAYFORMULA(100 * (QUERY(GOOGLEFINANCE(C28, ""high"", TODAY()-40, TODAY()), ""SELECT Col2 WHERE Col2 IS NOT NULL ORDER BY Col1 DESC LIMIT 20"", 0) / QUERY(GOOGLEFINANCE(C28, ""low"", TODAY()-40, TODAY()), ""SELECT Col2 WHERE Col2 IS NOT NULL ORDE"&amp;"R BY Col1 DESC LIMIT 20"", 0) - 1)))"),"#N/A")</f>
        <v>#N/A</v>
      </c>
      <c r="H28" s="35" t="str">
        <f t="shared" si="6"/>
        <v>Liquid</v>
      </c>
      <c r="I28" s="35" t="str">
        <f t="shared" si="7"/>
        <v>RVol Required</v>
      </c>
      <c r="J28" s="37">
        <f>IFERROR(__xludf.DUMMYFUNCTION("IFERROR(
  IF(C28="""",, 
    IFERROR(
      GOOGLEFINANCE(C28, ""price"") * GOOGLEFINANCE(C28, ""volumeavg""), 
      GOOGLEFINANCE(C28, ""price"") * AVERAGE(QUERY(GOOGLEFINANCE(C28, ""volume"", TODAY()-40, TODAY()), ""SELECT Col2 WHERE Col2 IS NOT NULL "&amp;"ORDER BY Col1 DESC LIMIT 20"", 0))
    )
  ), 
"""")"),3.0731012116E8)</f>
        <v>307310121.2</v>
      </c>
      <c r="K28" s="21">
        <f>IFERROR(__xludf.DUMMYFUNCTION("IFERROR(GOOGLEFINANCE(C28, ""changepct"") / 100, """")"),0.0111)</f>
        <v>0.0111</v>
      </c>
      <c r="L28" s="21" t="str">
        <f>IFERROR(__xludf.DUMMYFUNCTION("IFERROR((GOOGLEFINANCE(C28, ""price"") / INDEX(GOOGLEFINANCE(C28, ""price"", TODAY()-7, TODAY()), 2, 2)) - 1, """")"),"")</f>
        <v/>
      </c>
      <c r="M28" s="21" t="str">
        <f>IFERROR(__xludf.DUMMYFUNCTION("IFERROR((GOOGLEFINANCE(C28, ""price"") / INDEX(GOOGLEFINANCE(C28, ""price"", EDATE(TODAY(), -1), TODAY()), 2, 2)) - 1, """")"),"")</f>
        <v/>
      </c>
      <c r="N28" s="21" t="str">
        <f>IFERROR(__xludf.DUMMYFUNCTION("IFERROR((GOOGLEFINANCE(C28, ""price"") / INDEX(GOOGLEFINANCE(C28, ""price"", EDATE(TODAY(), -3), TODAY()), 2, 2)) - 1, """")"),"")</f>
        <v/>
      </c>
      <c r="O28" s="21" t="str">
        <f>IFERROR(__xludf.DUMMYFUNCTION("IFERROR((GOOGLEFINANCE(C28, ""price"") / INDEX(GOOGLEFINANCE(C28, ""price"", EDATE(TODAY(), -6), TODAY()), 2, 2)) - 1, """")"),"")</f>
        <v/>
      </c>
      <c r="P28" s="21" t="str">
        <f>IFERROR(__xludf.DUMMYFUNCTION("IFERROR((GOOGLEFINANCE(C28, ""price"") / INDEX(GOOGLEFINANCE(C28, ""price"", EDATE(TODAY(), -12), TODAY()), 2, 2)) - 1, """")"),"")</f>
        <v/>
      </c>
      <c r="Q28" s="6" t="str">
        <f>IFERROR(__xludf.DUMMYFUNCTION("AVERAGE(QUERY(GOOGLEFINANCE(C28, ""price"", TODAY()-80, TODAY()), ""SELECT Col2 WHERE Col2 IS NOT NULL ORDER BY Col1 DESC LIMIT 50"", 0))"),"#N/A")</f>
        <v>#N/A</v>
      </c>
      <c r="R28" s="24" t="str">
        <f>IFERROR(__xludf.DUMMYFUNCTION("IFERROR(
  LET(
    data, QUERY(GOOGLEFINANCE(C28,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GOOGLEFINANCE(C28, ""price"")) * 100,
    IF(calc=0, G28, calc)
  ), 
G28)"),"#N/A")</f>
        <v>#N/A</v>
      </c>
      <c r="S28" s="8" t="s">
        <v>15</v>
      </c>
      <c r="T28" s="26" t="str">
        <f>IFERROR(__xludf.DUMMYFUNCTION("IFERROR(TRANSPOSE(QUERY(IFERROR(SORT(GOOGLEFINANCE(C28, ""price"", WORKDAY(TODAY(), -40), TODAY()), 1, FALSE)), ""select Col2 where Col2 is not null limit 22 label Col2 ''"", 0)), """")"),"")</f>
        <v/>
      </c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8"/>
      <c r="AO28" s="28"/>
      <c r="AP28" s="29"/>
      <c r="AQ28" s="29" t="str">
        <f t="shared" ref="AQ28:BL28" si="31">T28/T$2</f>
        <v>#N/A</v>
      </c>
      <c r="AR28" s="29" t="str">
        <f t="shared" si="31"/>
        <v>#DIV/0!</v>
      </c>
      <c r="AS28" s="29" t="str">
        <f t="shared" si="31"/>
        <v>#DIV/0!</v>
      </c>
      <c r="AT28" s="29" t="str">
        <f t="shared" si="31"/>
        <v>#DIV/0!</v>
      </c>
      <c r="AU28" s="29" t="str">
        <f t="shared" si="31"/>
        <v>#DIV/0!</v>
      </c>
      <c r="AV28" s="29" t="str">
        <f t="shared" si="31"/>
        <v>#DIV/0!</v>
      </c>
      <c r="AW28" s="29" t="str">
        <f t="shared" si="31"/>
        <v>#DIV/0!</v>
      </c>
      <c r="AX28" s="29" t="str">
        <f t="shared" si="31"/>
        <v>#DIV/0!</v>
      </c>
      <c r="AY28" s="29" t="str">
        <f t="shared" si="31"/>
        <v>#DIV/0!</v>
      </c>
      <c r="AZ28" s="29" t="str">
        <f t="shared" si="31"/>
        <v>#DIV/0!</v>
      </c>
      <c r="BA28" s="29" t="str">
        <f t="shared" si="31"/>
        <v>#DIV/0!</v>
      </c>
      <c r="BB28" s="29" t="str">
        <f t="shared" si="31"/>
        <v>#DIV/0!</v>
      </c>
      <c r="BC28" s="29" t="str">
        <f t="shared" si="31"/>
        <v>#DIV/0!</v>
      </c>
      <c r="BD28" s="29" t="str">
        <f t="shared" si="31"/>
        <v>#DIV/0!</v>
      </c>
      <c r="BE28" s="29" t="str">
        <f t="shared" si="31"/>
        <v>#DIV/0!</v>
      </c>
      <c r="BF28" s="29" t="str">
        <f t="shared" si="31"/>
        <v>#DIV/0!</v>
      </c>
      <c r="BG28" s="29" t="str">
        <f t="shared" si="31"/>
        <v>#DIV/0!</v>
      </c>
      <c r="BH28" s="29" t="str">
        <f t="shared" si="31"/>
        <v>#DIV/0!</v>
      </c>
      <c r="BI28" s="29" t="str">
        <f t="shared" si="31"/>
        <v>#DIV/0!</v>
      </c>
      <c r="BJ28" s="29" t="str">
        <f t="shared" si="31"/>
        <v>#DIV/0!</v>
      </c>
      <c r="BK28" s="29" t="str">
        <f t="shared" si="31"/>
        <v>#DIV/0!</v>
      </c>
      <c r="BL28" s="29" t="str">
        <f t="shared" si="31"/>
        <v>#DIV/0!</v>
      </c>
      <c r="BM28" s="29" t="str">
        <f t="shared" si="3"/>
        <v>#DIV/0!</v>
      </c>
    </row>
    <row r="29">
      <c r="A29" s="16" t="str">
        <f>IFERROR(__xludf.DUMMYFUNCTION("IFERROR(SPARKLINE(SORT(MAP(TRANSPOSE(AQ29:BL29), LAMBDA(val, IF(ISNUMBER(val), PERCENTRANK(AQ29:BL29, val)+0.01, 0))), SEQUENCE(COLUMNS(AQ29:BL29)), FALSE), {""charttype"",""column""; ""color"",""chartreuse""; ""ymin"", 0; ""ymax"", 1.01; ""highcolor"", "&amp;"""darkgreen""; ""lowcolor"", ""red""}), """")"),"")</f>
        <v/>
      </c>
      <c r="B29" s="17" t="str">
        <f t="shared" si="4"/>
        <v/>
      </c>
      <c r="C29" s="45" t="s">
        <v>2722</v>
      </c>
      <c r="D29" s="30" t="str">
        <f>IFERROR(__xludf.DUMMYFUNCTION("IFERROR(GOOGLEFINANCE(C29, ""NAME""))"),"Middlesex Water Co")</f>
        <v>Middlesex Water Co</v>
      </c>
      <c r="E29" s="30" t="s">
        <v>2655</v>
      </c>
      <c r="F29" s="33" t="str">
        <f>IFERROR(__xludf.DUMMYFUNCTION("( (GOOGLEFINANCE(C29, ""price"") - Q29) / Q29 ) / (R29 / 100)"),"Loading...")</f>
        <v>Loading...</v>
      </c>
      <c r="G29" s="20" t="str">
        <f>IFERROR(__xludf.DUMMYFUNCTION("AVERAGE(ARRAYFORMULA(100 * (QUERY(GOOGLEFINANCE(C29, ""high"", TODAY()-40, TODAY()), ""SELECT Col2 WHERE Col2 IS NOT NULL ORDER BY Col1 DESC LIMIT 20"", 0) / QUERY(GOOGLEFINANCE(C29, ""low"", TODAY()-40, TODAY()), ""SELECT Col2 WHERE Col2 IS NOT NULL ORDE"&amp;"R BY Col1 DESC LIMIT 20"", 0) - 1)))"),"#N/A")</f>
        <v>#N/A</v>
      </c>
      <c r="H29" s="35" t="str">
        <f t="shared" si="6"/>
        <v>Illiquid</v>
      </c>
      <c r="I29" s="35" t="str">
        <f t="shared" si="7"/>
        <v>RVol Required</v>
      </c>
      <c r="J29" s="37">
        <f>IFERROR(__xludf.DUMMYFUNCTION("IFERROR(
  IF(C29="""",, 
    IFERROR(
      GOOGLEFINANCE(C29, ""price"") * GOOGLEFINANCE(C29, ""volumeavg""), 
      GOOGLEFINANCE(C29, ""price"") * AVERAGE(QUERY(GOOGLEFINANCE(C29, ""volume"", TODAY()-40, TODAY()), ""SELECT Col2 WHERE Col2 IS NOT NULL "&amp;"ORDER BY Col1 DESC LIMIT 20"", 0))
    )
  ), 
"""")"),7515459.890000001)</f>
        <v>7515459.89</v>
      </c>
      <c r="K29" s="21">
        <f>IFERROR(__xludf.DUMMYFUNCTION("IFERROR(GOOGLEFINANCE(C29, ""changepct"") / 100, """")"),0.0126)</f>
        <v>0.0126</v>
      </c>
      <c r="L29" s="21" t="str">
        <f>IFERROR(__xludf.DUMMYFUNCTION("IFERROR((GOOGLEFINANCE(C29, ""price"") / INDEX(GOOGLEFINANCE(C29, ""price"", TODAY()-7, TODAY()), 2, 2)) - 1, """")"),"")</f>
        <v/>
      </c>
      <c r="M29" s="21" t="str">
        <f>IFERROR(__xludf.DUMMYFUNCTION("IFERROR((GOOGLEFINANCE(C29, ""price"") / INDEX(GOOGLEFINANCE(C29, ""price"", EDATE(TODAY(), -1), TODAY()), 2, 2)) - 1, """")"),"")</f>
        <v/>
      </c>
      <c r="N29" s="21" t="str">
        <f>IFERROR(__xludf.DUMMYFUNCTION("IFERROR((GOOGLEFINANCE(C29, ""price"") / INDEX(GOOGLEFINANCE(C29, ""price"", EDATE(TODAY(), -3), TODAY()), 2, 2)) - 1, """")"),"")</f>
        <v/>
      </c>
      <c r="O29" s="21" t="str">
        <f>IFERROR(__xludf.DUMMYFUNCTION("IFERROR((GOOGLEFINANCE(C29, ""price"") / INDEX(GOOGLEFINANCE(C29, ""price"", EDATE(TODAY(), -6), TODAY()), 2, 2)) - 1, """")"),"")</f>
        <v/>
      </c>
      <c r="P29" s="21" t="str">
        <f>IFERROR(__xludf.DUMMYFUNCTION("IFERROR((GOOGLEFINANCE(C29, ""price"") / INDEX(GOOGLEFINANCE(C29, ""price"", EDATE(TODAY(), -12), TODAY()), 2, 2)) - 1, """")"),"")</f>
        <v/>
      </c>
      <c r="Q29" s="6" t="str">
        <f>IFERROR(__xludf.DUMMYFUNCTION("AVERAGE(QUERY(GOOGLEFINANCE(C29, ""price"", TODAY()-80, TODAY()), ""SELECT Col2 WHERE Col2 IS NOT NULL ORDER BY Col1 DESC LIMIT 50"", 0))"),"#N/A")</f>
        <v>#N/A</v>
      </c>
      <c r="R29" s="24" t="str">
        <f>IFERROR(__xludf.DUMMYFUNCTION("IFERROR(
  LET(
    data, QUERY(GOOGLEFINANCE(C29,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GOOGLEFINANCE(C29, ""price"")) * 100,
    IF(calc=0, G29, calc)
  ), 
G29)"),"#N/A")</f>
        <v>#N/A</v>
      </c>
      <c r="S29" s="8" t="s">
        <v>15</v>
      </c>
      <c r="T29" s="26" t="str">
        <f>IFERROR(__xludf.DUMMYFUNCTION("IFERROR(TRANSPOSE(QUERY(IFERROR(SORT(GOOGLEFINANCE(C29, ""price"", WORKDAY(TODAY(), -40), TODAY()), 1, FALSE)), ""select Col2 where Col2 is not null limit 22 label Col2 ''"", 0)), """")"),"")</f>
        <v/>
      </c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8"/>
      <c r="AO29" s="28"/>
      <c r="AP29" s="29"/>
      <c r="AQ29" s="29" t="str">
        <f t="shared" ref="AQ29:BL29" si="32">T29/T$2</f>
        <v>#N/A</v>
      </c>
      <c r="AR29" s="29" t="str">
        <f t="shared" si="32"/>
        <v>#DIV/0!</v>
      </c>
      <c r="AS29" s="29" t="str">
        <f t="shared" si="32"/>
        <v>#DIV/0!</v>
      </c>
      <c r="AT29" s="29" t="str">
        <f t="shared" si="32"/>
        <v>#DIV/0!</v>
      </c>
      <c r="AU29" s="29" t="str">
        <f t="shared" si="32"/>
        <v>#DIV/0!</v>
      </c>
      <c r="AV29" s="29" t="str">
        <f t="shared" si="32"/>
        <v>#DIV/0!</v>
      </c>
      <c r="AW29" s="29" t="str">
        <f t="shared" si="32"/>
        <v>#DIV/0!</v>
      </c>
      <c r="AX29" s="29" t="str">
        <f t="shared" si="32"/>
        <v>#DIV/0!</v>
      </c>
      <c r="AY29" s="29" t="str">
        <f t="shared" si="32"/>
        <v>#DIV/0!</v>
      </c>
      <c r="AZ29" s="29" t="str">
        <f t="shared" si="32"/>
        <v>#DIV/0!</v>
      </c>
      <c r="BA29" s="29" t="str">
        <f t="shared" si="32"/>
        <v>#DIV/0!</v>
      </c>
      <c r="BB29" s="29" t="str">
        <f t="shared" si="32"/>
        <v>#DIV/0!</v>
      </c>
      <c r="BC29" s="29" t="str">
        <f t="shared" si="32"/>
        <v>#DIV/0!</v>
      </c>
      <c r="BD29" s="29" t="str">
        <f t="shared" si="32"/>
        <v>#DIV/0!</v>
      </c>
      <c r="BE29" s="29" t="str">
        <f t="shared" si="32"/>
        <v>#DIV/0!</v>
      </c>
      <c r="BF29" s="29" t="str">
        <f t="shared" si="32"/>
        <v>#DIV/0!</v>
      </c>
      <c r="BG29" s="29" t="str">
        <f t="shared" si="32"/>
        <v>#DIV/0!</v>
      </c>
      <c r="BH29" s="29" t="str">
        <f t="shared" si="32"/>
        <v>#DIV/0!</v>
      </c>
      <c r="BI29" s="29" t="str">
        <f t="shared" si="32"/>
        <v>#DIV/0!</v>
      </c>
      <c r="BJ29" s="29" t="str">
        <f t="shared" si="32"/>
        <v>#DIV/0!</v>
      </c>
      <c r="BK29" s="29" t="str">
        <f t="shared" si="32"/>
        <v>#DIV/0!</v>
      </c>
      <c r="BL29" s="29" t="str">
        <f t="shared" si="32"/>
        <v>#DIV/0!</v>
      </c>
      <c r="BM29" s="29" t="str">
        <f t="shared" si="3"/>
        <v>#DIV/0!</v>
      </c>
    </row>
    <row r="30">
      <c r="A30" s="16" t="str">
        <f>IFERROR(__xludf.DUMMYFUNCTION("IFERROR(SPARKLINE(SORT(MAP(TRANSPOSE(AQ30:BL30), LAMBDA(val, IF(ISNUMBER(val), PERCENTRANK(AQ30:BL30, val)+0.01, 0))), SEQUENCE(COLUMNS(AQ30:BL30)), FALSE), {""charttype"",""column""; ""color"",""chartreuse""; ""ymin"", 0; ""ymax"", 1.01; ""highcolor"", "&amp;"""darkgreen""; ""lowcolor"", ""red""}), """")"),"")</f>
        <v/>
      </c>
      <c r="B30" s="17" t="str">
        <f t="shared" si="4"/>
        <v/>
      </c>
      <c r="C30" s="45" t="s">
        <v>2726</v>
      </c>
      <c r="D30" s="30" t="str">
        <f>IFERROR(__xludf.DUMMYFUNCTION("IFERROR(GOOGLEFINANCE(C30, ""NAME""))"),"New Jersey Resources Corp")</f>
        <v>New Jersey Resources Corp</v>
      </c>
      <c r="E30" s="30" t="s">
        <v>2651</v>
      </c>
      <c r="F30" s="33" t="str">
        <f>IFERROR(__xludf.DUMMYFUNCTION("( (GOOGLEFINANCE(C30, ""price"") - Q30) / Q30 ) / (R30 / 100)"),"Loading...")</f>
        <v>Loading...</v>
      </c>
      <c r="G30" s="20" t="str">
        <f>IFERROR(__xludf.DUMMYFUNCTION("AVERAGE(ARRAYFORMULA(100 * (QUERY(GOOGLEFINANCE(C30, ""high"", TODAY()-40, TODAY()), ""SELECT Col2 WHERE Col2 IS NOT NULL ORDER BY Col1 DESC LIMIT 20"", 0) / QUERY(GOOGLEFINANCE(C30, ""low"", TODAY()-40, TODAY()), ""SELECT Col2 WHERE Col2 IS NOT NULL ORDE"&amp;"R BY Col1 DESC LIMIT 20"", 0) - 1)))"),"#N/A")</f>
        <v>#N/A</v>
      </c>
      <c r="H30" s="35" t="str">
        <f t="shared" si="6"/>
        <v>Illiquid</v>
      </c>
      <c r="I30" s="35" t="str">
        <f t="shared" si="7"/>
        <v>RVol Required</v>
      </c>
      <c r="J30" s="37">
        <f>IFERROR(__xludf.DUMMYFUNCTION("IFERROR(
  IF(C30="""",, 
    IFERROR(
      GOOGLEFINANCE(C30, ""price"") * GOOGLEFINANCE(C30, ""volumeavg""), 
      GOOGLEFINANCE(C30, ""price"") * AVERAGE(QUERY(GOOGLEFINANCE(C30, ""volume"", TODAY()-40, TODAY()), ""SELECT Col2 WHERE Col2 IS NOT NULL "&amp;"ORDER BY Col1 DESC LIMIT 20"", 0))
    )
  ), 
"""")"),3.857002789E7)</f>
        <v>38570027.89</v>
      </c>
      <c r="K30" s="21">
        <f>IFERROR(__xludf.DUMMYFUNCTION("IFERROR(GOOGLEFINANCE(C30, ""changepct"") / 100, """")"),0.0128)</f>
        <v>0.0128</v>
      </c>
      <c r="L30" s="21" t="str">
        <f>IFERROR(__xludf.DUMMYFUNCTION("IFERROR((GOOGLEFINANCE(C30, ""price"") / INDEX(GOOGLEFINANCE(C30, ""price"", TODAY()-7, TODAY()), 2, 2)) - 1, """")"),"")</f>
        <v/>
      </c>
      <c r="M30" s="21" t="str">
        <f>IFERROR(__xludf.DUMMYFUNCTION("IFERROR((GOOGLEFINANCE(C30, ""price"") / INDEX(GOOGLEFINANCE(C30, ""price"", EDATE(TODAY(), -1), TODAY()), 2, 2)) - 1, """")"),"")</f>
        <v/>
      </c>
      <c r="N30" s="21" t="str">
        <f>IFERROR(__xludf.DUMMYFUNCTION("IFERROR((GOOGLEFINANCE(C30, ""price"") / INDEX(GOOGLEFINANCE(C30, ""price"", EDATE(TODAY(), -3), TODAY()), 2, 2)) - 1, """")"),"")</f>
        <v/>
      </c>
      <c r="O30" s="21" t="str">
        <f>IFERROR(__xludf.DUMMYFUNCTION("IFERROR((GOOGLEFINANCE(C30, ""price"") / INDEX(GOOGLEFINANCE(C30, ""price"", EDATE(TODAY(), -6), TODAY()), 2, 2)) - 1, """")"),"")</f>
        <v/>
      </c>
      <c r="P30" s="21" t="str">
        <f>IFERROR(__xludf.DUMMYFUNCTION("IFERROR((GOOGLEFINANCE(C30, ""price"") / INDEX(GOOGLEFINANCE(C30, ""price"", EDATE(TODAY(), -12), TODAY()), 2, 2)) - 1, """")"),"")</f>
        <v/>
      </c>
      <c r="Q30" s="6" t="str">
        <f>IFERROR(__xludf.DUMMYFUNCTION("AVERAGE(QUERY(GOOGLEFINANCE(C30, ""price"", TODAY()-80, TODAY()), ""SELECT Col2 WHERE Col2 IS NOT NULL ORDER BY Col1 DESC LIMIT 50"", 0))"),"#N/A")</f>
        <v>#N/A</v>
      </c>
      <c r="R30" s="24" t="str">
        <f>IFERROR(__xludf.DUMMYFUNCTION("IFERROR(
  LET(
    data, QUERY(GOOGLEFINANCE(C30,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GOOGLEFINANCE(C30, ""price"")) * 100,
    IF(calc=0, G30, calc)
  ), 
G30)"),"#N/A")</f>
        <v>#N/A</v>
      </c>
      <c r="S30" s="8" t="s">
        <v>15</v>
      </c>
      <c r="T30" s="26" t="str">
        <f>IFERROR(__xludf.DUMMYFUNCTION("IFERROR(TRANSPOSE(QUERY(IFERROR(SORT(GOOGLEFINANCE(C30, ""price"", WORKDAY(TODAY(), -40), TODAY()), 1, FALSE)), ""select Col2 where Col2 is not null limit 22 label Col2 ''"", 0)), """")"),"")</f>
        <v/>
      </c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8"/>
      <c r="AO30" s="28"/>
      <c r="AP30" s="29"/>
      <c r="AQ30" s="29" t="str">
        <f t="shared" ref="AQ30:BL30" si="33">T30/T$2</f>
        <v>#N/A</v>
      </c>
      <c r="AR30" s="29" t="str">
        <f t="shared" si="33"/>
        <v>#DIV/0!</v>
      </c>
      <c r="AS30" s="29" t="str">
        <f t="shared" si="33"/>
        <v>#DIV/0!</v>
      </c>
      <c r="AT30" s="29" t="str">
        <f t="shared" si="33"/>
        <v>#DIV/0!</v>
      </c>
      <c r="AU30" s="29" t="str">
        <f t="shared" si="33"/>
        <v>#DIV/0!</v>
      </c>
      <c r="AV30" s="29" t="str">
        <f t="shared" si="33"/>
        <v>#DIV/0!</v>
      </c>
      <c r="AW30" s="29" t="str">
        <f t="shared" si="33"/>
        <v>#DIV/0!</v>
      </c>
      <c r="AX30" s="29" t="str">
        <f t="shared" si="33"/>
        <v>#DIV/0!</v>
      </c>
      <c r="AY30" s="29" t="str">
        <f t="shared" si="33"/>
        <v>#DIV/0!</v>
      </c>
      <c r="AZ30" s="29" t="str">
        <f t="shared" si="33"/>
        <v>#DIV/0!</v>
      </c>
      <c r="BA30" s="29" t="str">
        <f t="shared" si="33"/>
        <v>#DIV/0!</v>
      </c>
      <c r="BB30" s="29" t="str">
        <f t="shared" si="33"/>
        <v>#DIV/0!</v>
      </c>
      <c r="BC30" s="29" t="str">
        <f t="shared" si="33"/>
        <v>#DIV/0!</v>
      </c>
      <c r="BD30" s="29" t="str">
        <f t="shared" si="33"/>
        <v>#DIV/0!</v>
      </c>
      <c r="BE30" s="29" t="str">
        <f t="shared" si="33"/>
        <v>#DIV/0!</v>
      </c>
      <c r="BF30" s="29" t="str">
        <f t="shared" si="33"/>
        <v>#DIV/0!</v>
      </c>
      <c r="BG30" s="29" t="str">
        <f t="shared" si="33"/>
        <v>#DIV/0!</v>
      </c>
      <c r="BH30" s="29" t="str">
        <f t="shared" si="33"/>
        <v>#DIV/0!</v>
      </c>
      <c r="BI30" s="29" t="str">
        <f t="shared" si="33"/>
        <v>#DIV/0!</v>
      </c>
      <c r="BJ30" s="29" t="str">
        <f t="shared" si="33"/>
        <v>#DIV/0!</v>
      </c>
      <c r="BK30" s="29" t="str">
        <f t="shared" si="33"/>
        <v>#DIV/0!</v>
      </c>
      <c r="BL30" s="29" t="str">
        <f t="shared" si="33"/>
        <v>#DIV/0!</v>
      </c>
      <c r="BM30" s="29" t="str">
        <f t="shared" si="3"/>
        <v>#DIV/0!</v>
      </c>
    </row>
    <row r="31">
      <c r="A31" s="16" t="str">
        <f>IFERROR(__xludf.DUMMYFUNCTION("IFERROR(SPARKLINE(SORT(MAP(TRANSPOSE(AQ31:BL31), LAMBDA(val, IF(ISNUMBER(val), PERCENTRANK(AQ31:BL31, val)+0.01, 0))), SEQUENCE(COLUMNS(AQ31:BL31)), FALSE), {""charttype"",""column""; ""color"",""chartreuse""; ""ymin"", 0; ""ymax"", 1.01; ""highcolor"", "&amp;"""darkgreen""; ""lowcolor"", ""red""}), """")"),"")</f>
        <v/>
      </c>
      <c r="B31" s="17" t="str">
        <f t="shared" si="4"/>
        <v/>
      </c>
      <c r="C31" s="45" t="s">
        <v>2730</v>
      </c>
      <c r="D31" s="30" t="str">
        <f>IFERROR(__xludf.DUMMYFUNCTION("IFERROR(GOOGLEFINANCE(C31, ""NAME""))"),"American Water Works Co Inc")</f>
        <v>American Water Works Co Inc</v>
      </c>
      <c r="E31" s="30" t="s">
        <v>2655</v>
      </c>
      <c r="F31" s="38" t="str">
        <f>IFERROR(__xludf.DUMMYFUNCTION("( (GOOGLEFINANCE(C31, ""price"") - Q31) / Q31 ) / (R31 / 100)"),"Loading...")</f>
        <v>Loading...</v>
      </c>
      <c r="G31" s="20" t="str">
        <f>IFERROR(__xludf.DUMMYFUNCTION("AVERAGE(ARRAYFORMULA(100 * (QUERY(GOOGLEFINANCE(C31, ""high"", TODAY()-40, TODAY()), ""SELECT Col2 WHERE Col2 IS NOT NULL ORDER BY Col1 DESC LIMIT 20"", 0) / QUERY(GOOGLEFINANCE(C31, ""low"", TODAY()-40, TODAY()), ""SELECT Col2 WHERE Col2 IS NOT NULL ORDE"&amp;"R BY Col1 DESC LIMIT 20"", 0) - 1)))"),"#N/A")</f>
        <v>#N/A</v>
      </c>
      <c r="H31" s="35" t="str">
        <f t="shared" si="6"/>
        <v>Liquid</v>
      </c>
      <c r="I31" s="35" t="str">
        <f t="shared" si="7"/>
        <v>RVol Required</v>
      </c>
      <c r="J31" s="37">
        <f>IFERROR(__xludf.DUMMYFUNCTION("IFERROR(
  IF(C31="""",, 
    IFERROR(
      GOOGLEFINANCE(C31, ""price"") * GOOGLEFINANCE(C31, ""volumeavg""), 
      GOOGLEFINANCE(C31, ""price"") * AVERAGE(QUERY(GOOGLEFINANCE(C31, ""volume"", TODAY()-40, TODAY()), ""SELECT Col2 WHERE Col2 IS NOT NULL "&amp;"ORDER BY Col1 DESC LIMIT 20"", 0))
    )
  ), 
"""")"),2.5652714724E8)</f>
        <v>256527147.2</v>
      </c>
      <c r="K31" s="21">
        <f>IFERROR(__xludf.DUMMYFUNCTION("IFERROR(GOOGLEFINANCE(C31, ""changepct"") / 100, """")"),0.0143)</f>
        <v>0.0143</v>
      </c>
      <c r="L31" s="21" t="str">
        <f>IFERROR(__xludf.DUMMYFUNCTION("IFERROR((GOOGLEFINANCE(C31, ""price"") / INDEX(GOOGLEFINANCE(C31, ""price"", TODAY()-7, TODAY()), 2, 2)) - 1, """")"),"")</f>
        <v/>
      </c>
      <c r="M31" s="21" t="str">
        <f>IFERROR(__xludf.DUMMYFUNCTION("IFERROR((GOOGLEFINANCE(C31, ""price"") / INDEX(GOOGLEFINANCE(C31, ""price"", EDATE(TODAY(), -1), TODAY()), 2, 2)) - 1, """")"),"")</f>
        <v/>
      </c>
      <c r="N31" s="21" t="str">
        <f>IFERROR(__xludf.DUMMYFUNCTION("IFERROR((GOOGLEFINANCE(C31, ""price"") / INDEX(GOOGLEFINANCE(C31, ""price"", EDATE(TODAY(), -3), TODAY()), 2, 2)) - 1, """")"),"")</f>
        <v/>
      </c>
      <c r="O31" s="21" t="str">
        <f>IFERROR(__xludf.DUMMYFUNCTION("IFERROR((GOOGLEFINANCE(C31, ""price"") / INDEX(GOOGLEFINANCE(C31, ""price"", EDATE(TODAY(), -6), TODAY()), 2, 2)) - 1, """")"),"")</f>
        <v/>
      </c>
      <c r="P31" s="21" t="str">
        <f>IFERROR(__xludf.DUMMYFUNCTION("IFERROR((GOOGLEFINANCE(C31, ""price"") / INDEX(GOOGLEFINANCE(C31, ""price"", EDATE(TODAY(), -12), TODAY()), 2, 2)) - 1, """")"),"")</f>
        <v/>
      </c>
      <c r="Q31" s="6" t="str">
        <f>IFERROR(__xludf.DUMMYFUNCTION("AVERAGE(QUERY(GOOGLEFINANCE(C31, ""price"", TODAY()-80, TODAY()), ""SELECT Col2 WHERE Col2 IS NOT NULL ORDER BY Col1 DESC LIMIT 50"", 0))"),"#N/A")</f>
        <v>#N/A</v>
      </c>
      <c r="R31" s="24" t="str">
        <f>IFERROR(__xludf.DUMMYFUNCTION("IFERROR(
  LET(
    data, QUERY(GOOGLEFINANCE(C31,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GOOGLEFINANCE(C31, ""price"")) * 100,
    IF(calc=0, G31, calc)
  ), 
G31)"),"#N/A")</f>
        <v>#N/A</v>
      </c>
      <c r="S31" s="8" t="s">
        <v>15</v>
      </c>
      <c r="T31" s="26" t="str">
        <f>IFERROR(__xludf.DUMMYFUNCTION("IFERROR(TRANSPOSE(QUERY(IFERROR(SORT(GOOGLEFINANCE(C31, ""price"", WORKDAY(TODAY(), -40), TODAY()), 1, FALSE)), ""select Col2 where Col2 is not null limit 22 label Col2 ''"", 0)), """")"),"")</f>
        <v/>
      </c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8"/>
      <c r="AO31" s="28"/>
      <c r="AP31" s="29"/>
      <c r="AQ31" s="29" t="str">
        <f t="shared" ref="AQ31:BL31" si="34">T31/T$2</f>
        <v>#N/A</v>
      </c>
      <c r="AR31" s="29" t="str">
        <f t="shared" si="34"/>
        <v>#DIV/0!</v>
      </c>
      <c r="AS31" s="29" t="str">
        <f t="shared" si="34"/>
        <v>#DIV/0!</v>
      </c>
      <c r="AT31" s="29" t="str">
        <f t="shared" si="34"/>
        <v>#DIV/0!</v>
      </c>
      <c r="AU31" s="29" t="str">
        <f t="shared" si="34"/>
        <v>#DIV/0!</v>
      </c>
      <c r="AV31" s="29" t="str">
        <f t="shared" si="34"/>
        <v>#DIV/0!</v>
      </c>
      <c r="AW31" s="29" t="str">
        <f t="shared" si="34"/>
        <v>#DIV/0!</v>
      </c>
      <c r="AX31" s="29" t="str">
        <f t="shared" si="34"/>
        <v>#DIV/0!</v>
      </c>
      <c r="AY31" s="29" t="str">
        <f t="shared" si="34"/>
        <v>#DIV/0!</v>
      </c>
      <c r="AZ31" s="29" t="str">
        <f t="shared" si="34"/>
        <v>#DIV/0!</v>
      </c>
      <c r="BA31" s="29" t="str">
        <f t="shared" si="34"/>
        <v>#DIV/0!</v>
      </c>
      <c r="BB31" s="29" t="str">
        <f t="shared" si="34"/>
        <v>#DIV/0!</v>
      </c>
      <c r="BC31" s="29" t="str">
        <f t="shared" si="34"/>
        <v>#DIV/0!</v>
      </c>
      <c r="BD31" s="29" t="str">
        <f t="shared" si="34"/>
        <v>#DIV/0!</v>
      </c>
      <c r="BE31" s="29" t="str">
        <f t="shared" si="34"/>
        <v>#DIV/0!</v>
      </c>
      <c r="BF31" s="29" t="str">
        <f t="shared" si="34"/>
        <v>#DIV/0!</v>
      </c>
      <c r="BG31" s="29" t="str">
        <f t="shared" si="34"/>
        <v>#DIV/0!</v>
      </c>
      <c r="BH31" s="29" t="str">
        <f t="shared" si="34"/>
        <v>#DIV/0!</v>
      </c>
      <c r="BI31" s="29" t="str">
        <f t="shared" si="34"/>
        <v>#DIV/0!</v>
      </c>
      <c r="BJ31" s="29" t="str">
        <f t="shared" si="34"/>
        <v>#DIV/0!</v>
      </c>
      <c r="BK31" s="29" t="str">
        <f t="shared" si="34"/>
        <v>#DIV/0!</v>
      </c>
      <c r="BL31" s="29" t="str">
        <f t="shared" si="34"/>
        <v>#DIV/0!</v>
      </c>
      <c r="BM31" s="29" t="str">
        <f t="shared" si="3"/>
        <v>#DIV/0!</v>
      </c>
    </row>
    <row r="32">
      <c r="A32" s="16" t="str">
        <f>IFERROR(__xludf.DUMMYFUNCTION("IFERROR(SPARKLINE(SORT(MAP(TRANSPOSE(AQ32:BL32), LAMBDA(val, IF(ISNUMBER(val), PERCENTRANK(AQ32:BL32, val)+0.01, 0))), SEQUENCE(COLUMNS(AQ32:BL32)), FALSE), {""charttype"",""column""; ""color"",""chartreuse""; ""ymin"", 0; ""ymax"", 1.01; ""highcolor"", "&amp;"""darkgreen""; ""lowcolor"", ""red""}), """")"),"")</f>
        <v/>
      </c>
      <c r="B32" s="17" t="str">
        <f t="shared" si="4"/>
        <v/>
      </c>
      <c r="C32" s="45" t="s">
        <v>2734</v>
      </c>
      <c r="D32" s="30" t="str">
        <f>IFERROR(__xludf.DUMMYFUNCTION("IFERROR(GOOGLEFINANCE(C32, ""NAME""))"),"California Water Service Group")</f>
        <v>California Water Service Group</v>
      </c>
      <c r="E32" s="30" t="s">
        <v>2655</v>
      </c>
      <c r="F32" s="38" t="str">
        <f>IFERROR(__xludf.DUMMYFUNCTION("( (GOOGLEFINANCE(C32, ""price"") - Q32) / Q32 ) / (R32 / 100)"),"Loading...")</f>
        <v>Loading...</v>
      </c>
      <c r="G32" s="20" t="str">
        <f>IFERROR(__xludf.DUMMYFUNCTION("AVERAGE(ARRAYFORMULA(100 * (QUERY(GOOGLEFINANCE(C32, ""high"", TODAY()-40, TODAY()), ""SELECT Col2 WHERE Col2 IS NOT NULL ORDER BY Col1 DESC LIMIT 20"", 0) / QUERY(GOOGLEFINANCE(C32, ""low"", TODAY()-40, TODAY()), ""SELECT Col2 WHERE Col2 IS NOT NULL ORDE"&amp;"R BY Col1 DESC LIMIT 20"", 0) - 1)))"),"#N/A")</f>
        <v>#N/A</v>
      </c>
      <c r="H32" s="35" t="str">
        <f t="shared" si="6"/>
        <v>Illiquid</v>
      </c>
      <c r="I32" s="35" t="str">
        <f t="shared" si="7"/>
        <v>RVol Required</v>
      </c>
      <c r="J32" s="37">
        <f>IFERROR(__xludf.DUMMYFUNCTION("IFERROR(
  IF(C32="""",, 
    IFERROR(
      GOOGLEFINANCE(C32, ""price"") * GOOGLEFINANCE(C32, ""volumeavg""), 
      GOOGLEFINANCE(C32, ""price"") * AVERAGE(QUERY(GOOGLEFINANCE(C32, ""volume"", TODAY()-40, TODAY()), ""SELECT Col2 WHERE Col2 IS NOT NULL "&amp;"ORDER BY Col1 DESC LIMIT 20"", 0))
    )
  ), 
"""")"),2.024822925E7)</f>
        <v>20248229.25</v>
      </c>
      <c r="K32" s="21">
        <f>IFERROR(__xludf.DUMMYFUNCTION("IFERROR(GOOGLEFINANCE(C32, ""changepct"") / 100, """")"),0.006500000000000001)</f>
        <v>0.0065</v>
      </c>
      <c r="L32" s="21" t="str">
        <f>IFERROR(__xludf.DUMMYFUNCTION("IFERROR((GOOGLEFINANCE(C32, ""price"") / INDEX(GOOGLEFINANCE(C32, ""price"", TODAY()-7, TODAY()), 2, 2)) - 1, """")"),"")</f>
        <v/>
      </c>
      <c r="M32" s="21" t="str">
        <f>IFERROR(__xludf.DUMMYFUNCTION("IFERROR((GOOGLEFINANCE(C32, ""price"") / INDEX(GOOGLEFINANCE(C32, ""price"", EDATE(TODAY(), -1), TODAY()), 2, 2)) - 1, """")"),"")</f>
        <v/>
      </c>
      <c r="N32" s="21" t="str">
        <f>IFERROR(__xludf.DUMMYFUNCTION("IFERROR((GOOGLEFINANCE(C32, ""price"") / INDEX(GOOGLEFINANCE(C32, ""price"", EDATE(TODAY(), -3), TODAY()), 2, 2)) - 1, """")"),"")</f>
        <v/>
      </c>
      <c r="O32" s="21" t="str">
        <f>IFERROR(__xludf.DUMMYFUNCTION("IFERROR((GOOGLEFINANCE(C32, ""price"") / INDEX(GOOGLEFINANCE(C32, ""price"", EDATE(TODAY(), -6), TODAY()), 2, 2)) - 1, """")"),"")</f>
        <v/>
      </c>
      <c r="P32" s="21" t="str">
        <f>IFERROR(__xludf.DUMMYFUNCTION("IFERROR((GOOGLEFINANCE(C32, ""price"") / INDEX(GOOGLEFINANCE(C32, ""price"", EDATE(TODAY(), -12), TODAY()), 2, 2)) - 1, """")"),"")</f>
        <v/>
      </c>
      <c r="Q32" s="6" t="str">
        <f>IFERROR(__xludf.DUMMYFUNCTION("AVERAGE(QUERY(GOOGLEFINANCE(C32, ""price"", TODAY()-80, TODAY()), ""SELECT Col2 WHERE Col2 IS NOT NULL ORDER BY Col1 DESC LIMIT 50"", 0))"),"#N/A")</f>
        <v>#N/A</v>
      </c>
      <c r="R32" s="24" t="str">
        <f>IFERROR(__xludf.DUMMYFUNCTION("IFERROR(
  LET(
    data, QUERY(GOOGLEFINANCE(C32,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GOOGLEFINANCE(C32, ""price"")) * 100,
    IF(calc=0, G32, calc)
  ), 
G32)"),"#N/A")</f>
        <v>#N/A</v>
      </c>
      <c r="S32" s="8" t="s">
        <v>15</v>
      </c>
      <c r="T32" s="26" t="str">
        <f>IFERROR(__xludf.DUMMYFUNCTION("IFERROR(TRANSPOSE(QUERY(IFERROR(SORT(GOOGLEFINANCE(C32, ""price"", WORKDAY(TODAY(), -40), TODAY()), 1, FALSE)), ""select Col2 where Col2 is not null limit 22 label Col2 ''"", 0)), """")"),"")</f>
        <v/>
      </c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8"/>
      <c r="AO32" s="28"/>
      <c r="AP32" s="29"/>
      <c r="AQ32" s="29" t="str">
        <f t="shared" ref="AQ32:BL32" si="35">T32/T$2</f>
        <v>#N/A</v>
      </c>
      <c r="AR32" s="29" t="str">
        <f t="shared" si="35"/>
        <v>#DIV/0!</v>
      </c>
      <c r="AS32" s="29" t="str">
        <f t="shared" si="35"/>
        <v>#DIV/0!</v>
      </c>
      <c r="AT32" s="29" t="str">
        <f t="shared" si="35"/>
        <v>#DIV/0!</v>
      </c>
      <c r="AU32" s="29" t="str">
        <f t="shared" si="35"/>
        <v>#DIV/0!</v>
      </c>
      <c r="AV32" s="29" t="str">
        <f t="shared" si="35"/>
        <v>#DIV/0!</v>
      </c>
      <c r="AW32" s="29" t="str">
        <f t="shared" si="35"/>
        <v>#DIV/0!</v>
      </c>
      <c r="AX32" s="29" t="str">
        <f t="shared" si="35"/>
        <v>#DIV/0!</v>
      </c>
      <c r="AY32" s="29" t="str">
        <f t="shared" si="35"/>
        <v>#DIV/0!</v>
      </c>
      <c r="AZ32" s="29" t="str">
        <f t="shared" si="35"/>
        <v>#DIV/0!</v>
      </c>
      <c r="BA32" s="29" t="str">
        <f t="shared" si="35"/>
        <v>#DIV/0!</v>
      </c>
      <c r="BB32" s="29" t="str">
        <f t="shared" si="35"/>
        <v>#DIV/0!</v>
      </c>
      <c r="BC32" s="29" t="str">
        <f t="shared" si="35"/>
        <v>#DIV/0!</v>
      </c>
      <c r="BD32" s="29" t="str">
        <f t="shared" si="35"/>
        <v>#DIV/0!</v>
      </c>
      <c r="BE32" s="29" t="str">
        <f t="shared" si="35"/>
        <v>#DIV/0!</v>
      </c>
      <c r="BF32" s="29" t="str">
        <f t="shared" si="35"/>
        <v>#DIV/0!</v>
      </c>
      <c r="BG32" s="29" t="str">
        <f t="shared" si="35"/>
        <v>#DIV/0!</v>
      </c>
      <c r="BH32" s="29" t="str">
        <f t="shared" si="35"/>
        <v>#DIV/0!</v>
      </c>
      <c r="BI32" s="29" t="str">
        <f t="shared" si="35"/>
        <v>#DIV/0!</v>
      </c>
      <c r="BJ32" s="29" t="str">
        <f t="shared" si="35"/>
        <v>#DIV/0!</v>
      </c>
      <c r="BK32" s="29" t="str">
        <f t="shared" si="35"/>
        <v>#DIV/0!</v>
      </c>
      <c r="BL32" s="29" t="str">
        <f t="shared" si="35"/>
        <v>#DIV/0!</v>
      </c>
      <c r="BM32" s="29" t="str">
        <f t="shared" si="3"/>
        <v>#DIV/0!</v>
      </c>
    </row>
    <row r="33">
      <c r="A33" s="16" t="str">
        <f>IFERROR(__xludf.DUMMYFUNCTION("IFERROR(SPARKLINE(SORT(MAP(TRANSPOSE(AQ33:BL33), LAMBDA(val, IF(ISNUMBER(val), PERCENTRANK(AQ33:BL33, val)+0.01, 0))), SEQUENCE(COLUMNS(AQ33:BL33)), FALSE), {""charttype"",""column""; ""color"",""chartreuse""; ""ymin"", 0; ""ymax"", 1.01; ""highcolor"", "&amp;"""darkgreen""; ""lowcolor"", ""red""}), """")"),"")</f>
        <v/>
      </c>
      <c r="B33" s="17" t="str">
        <f t="shared" si="4"/>
        <v/>
      </c>
      <c r="C33" s="45" t="s">
        <v>2739</v>
      </c>
      <c r="D33" s="30" t="str">
        <f>IFERROR(__xludf.DUMMYFUNCTION("IFERROR(GOOGLEFINANCE(C33, ""NAME""))"),"Genie Energy Ltd")</f>
        <v>Genie Energy Ltd</v>
      </c>
      <c r="E33" s="30" t="s">
        <v>2660</v>
      </c>
      <c r="F33" s="38" t="str">
        <f>IFERROR(__xludf.DUMMYFUNCTION("( (GOOGLEFINANCE(C33, ""price"") - Q33) / Q33 ) / (R33 / 100)"),"Loading...")</f>
        <v>Loading...</v>
      </c>
      <c r="G33" s="20" t="str">
        <f>IFERROR(__xludf.DUMMYFUNCTION("AVERAGE(ARRAYFORMULA(100 * (QUERY(GOOGLEFINANCE(C33, ""high"", TODAY()-40, TODAY()), ""SELECT Col2 WHERE Col2 IS NOT NULL ORDER BY Col1 DESC LIMIT 20"", 0) / QUERY(GOOGLEFINANCE(C33, ""low"", TODAY()-40, TODAY()), ""SELECT Col2 WHERE Col2 IS NOT NULL ORDE"&amp;"R BY Col1 DESC LIMIT 20"", 0) - 1)))"),"#N/A")</f>
        <v>#N/A</v>
      </c>
      <c r="H33" s="35" t="str">
        <f t="shared" si="6"/>
        <v>Illiquid</v>
      </c>
      <c r="I33" s="35" t="str">
        <f t="shared" si="7"/>
        <v>RVol Required</v>
      </c>
      <c r="J33" s="37">
        <f>IFERROR(__xludf.DUMMYFUNCTION("IFERROR(
  IF(C33="""",, 
    IFERROR(
      GOOGLEFINANCE(C33, ""price"") * GOOGLEFINANCE(C33, ""volumeavg""), 
      GOOGLEFINANCE(C33, ""price"") * AVERAGE(QUERY(GOOGLEFINANCE(C33, ""volume"", TODAY()-40, TODAY()), ""SELECT Col2 WHERE Col2 IS NOT NULL "&amp;"ORDER BY Col1 DESC LIMIT 20"", 0))
    )
  ), 
"""")"),1261568.9300000002)</f>
        <v>1261568.93</v>
      </c>
      <c r="K33" s="21">
        <f>IFERROR(__xludf.DUMMYFUNCTION("IFERROR(GOOGLEFINANCE(C33, ""changepct"") / 100, """")"),-0.0018)</f>
        <v>-0.0018</v>
      </c>
      <c r="L33" s="21" t="str">
        <f>IFERROR(__xludf.DUMMYFUNCTION("IFERROR((GOOGLEFINANCE(C33, ""price"") / INDEX(GOOGLEFINANCE(C33, ""price"", TODAY()-7, TODAY()), 2, 2)) - 1, """")"),"")</f>
        <v/>
      </c>
      <c r="M33" s="21" t="str">
        <f>IFERROR(__xludf.DUMMYFUNCTION("IFERROR((GOOGLEFINANCE(C33, ""price"") / INDEX(GOOGLEFINANCE(C33, ""price"", EDATE(TODAY(), -1), TODAY()), 2, 2)) - 1, """")"),"")</f>
        <v/>
      </c>
      <c r="N33" s="21" t="str">
        <f>IFERROR(__xludf.DUMMYFUNCTION("IFERROR((GOOGLEFINANCE(C33, ""price"") / INDEX(GOOGLEFINANCE(C33, ""price"", EDATE(TODAY(), -3), TODAY()), 2, 2)) - 1, """")"),"")</f>
        <v/>
      </c>
      <c r="O33" s="21" t="str">
        <f>IFERROR(__xludf.DUMMYFUNCTION("IFERROR((GOOGLEFINANCE(C33, ""price"") / INDEX(GOOGLEFINANCE(C33, ""price"", EDATE(TODAY(), -6), TODAY()), 2, 2)) - 1, """")"),"")</f>
        <v/>
      </c>
      <c r="P33" s="21" t="str">
        <f>IFERROR(__xludf.DUMMYFUNCTION("IFERROR((GOOGLEFINANCE(C33, ""price"") / INDEX(GOOGLEFINANCE(C33, ""price"", EDATE(TODAY(), -12), TODAY()), 2, 2)) - 1, """")"),"")</f>
        <v/>
      </c>
      <c r="Q33" s="6" t="str">
        <f>IFERROR(__xludf.DUMMYFUNCTION("AVERAGE(QUERY(GOOGLEFINANCE(C33, ""price"", TODAY()-80, TODAY()), ""SELECT Col2 WHERE Col2 IS NOT NULL ORDER BY Col1 DESC LIMIT 50"", 0))"),"#N/A")</f>
        <v>#N/A</v>
      </c>
      <c r="R33" s="24" t="str">
        <f>IFERROR(__xludf.DUMMYFUNCTION("IFERROR(
  LET(
    data, QUERY(GOOGLEFINANCE(C33,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GOOGLEFINANCE(C33, ""price"")) * 100,
    IF(calc=0, G33, calc)
  ), 
G33)"),"#N/A")</f>
        <v>#N/A</v>
      </c>
      <c r="S33" s="8" t="s">
        <v>15</v>
      </c>
      <c r="T33" s="26" t="str">
        <f>IFERROR(__xludf.DUMMYFUNCTION("IFERROR(TRANSPOSE(QUERY(IFERROR(SORT(GOOGLEFINANCE(C33, ""price"", WORKDAY(TODAY(), -40), TODAY()), 1, FALSE)), ""select Col2 where Col2 is not null limit 22 label Col2 ''"", 0)), """")"),"")</f>
        <v/>
      </c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8"/>
      <c r="AO33" s="28"/>
      <c r="AP33" s="29"/>
      <c r="AQ33" s="29" t="str">
        <f t="shared" ref="AQ33:BL33" si="36">T33/T$2</f>
        <v>#N/A</v>
      </c>
      <c r="AR33" s="29" t="str">
        <f t="shared" si="36"/>
        <v>#DIV/0!</v>
      </c>
      <c r="AS33" s="29" t="str">
        <f t="shared" si="36"/>
        <v>#DIV/0!</v>
      </c>
      <c r="AT33" s="29" t="str">
        <f t="shared" si="36"/>
        <v>#DIV/0!</v>
      </c>
      <c r="AU33" s="29" t="str">
        <f t="shared" si="36"/>
        <v>#DIV/0!</v>
      </c>
      <c r="AV33" s="29" t="str">
        <f t="shared" si="36"/>
        <v>#DIV/0!</v>
      </c>
      <c r="AW33" s="29" t="str">
        <f t="shared" si="36"/>
        <v>#DIV/0!</v>
      </c>
      <c r="AX33" s="29" t="str">
        <f t="shared" si="36"/>
        <v>#DIV/0!</v>
      </c>
      <c r="AY33" s="29" t="str">
        <f t="shared" si="36"/>
        <v>#DIV/0!</v>
      </c>
      <c r="AZ33" s="29" t="str">
        <f t="shared" si="36"/>
        <v>#DIV/0!</v>
      </c>
      <c r="BA33" s="29" t="str">
        <f t="shared" si="36"/>
        <v>#DIV/0!</v>
      </c>
      <c r="BB33" s="29" t="str">
        <f t="shared" si="36"/>
        <v>#DIV/0!</v>
      </c>
      <c r="BC33" s="29" t="str">
        <f t="shared" si="36"/>
        <v>#DIV/0!</v>
      </c>
      <c r="BD33" s="29" t="str">
        <f t="shared" si="36"/>
        <v>#DIV/0!</v>
      </c>
      <c r="BE33" s="29" t="str">
        <f t="shared" si="36"/>
        <v>#DIV/0!</v>
      </c>
      <c r="BF33" s="29" t="str">
        <f t="shared" si="36"/>
        <v>#DIV/0!</v>
      </c>
      <c r="BG33" s="29" t="str">
        <f t="shared" si="36"/>
        <v>#DIV/0!</v>
      </c>
      <c r="BH33" s="29" t="str">
        <f t="shared" si="36"/>
        <v>#DIV/0!</v>
      </c>
      <c r="BI33" s="29" t="str">
        <f t="shared" si="36"/>
        <v>#DIV/0!</v>
      </c>
      <c r="BJ33" s="29" t="str">
        <f t="shared" si="36"/>
        <v>#DIV/0!</v>
      </c>
      <c r="BK33" s="29" t="str">
        <f t="shared" si="36"/>
        <v>#DIV/0!</v>
      </c>
      <c r="BL33" s="29" t="str">
        <f t="shared" si="36"/>
        <v>#DIV/0!</v>
      </c>
      <c r="BM33" s="29" t="str">
        <f t="shared" si="3"/>
        <v>#DIV/0!</v>
      </c>
    </row>
    <row r="34">
      <c r="A34" s="16" t="str">
        <f>IFERROR(__xludf.DUMMYFUNCTION("IFERROR(SPARKLINE(SORT(MAP(TRANSPOSE(AQ34:BL34), LAMBDA(val, IF(ISNUMBER(val), PERCENTRANK(AQ34:BL34, val)+0.01, 0))), SEQUENCE(COLUMNS(AQ34:BL34)), FALSE), {""charttype"",""column""; ""color"",""chartreuse""; ""ymin"", 0; ""ymax"", 1.01; ""highcolor"", "&amp;"""darkgreen""; ""lowcolor"", ""red""}), """")"),"")</f>
        <v/>
      </c>
      <c r="B34" s="17" t="str">
        <f t="shared" si="4"/>
        <v/>
      </c>
      <c r="C34" s="45" t="s">
        <v>2742</v>
      </c>
      <c r="D34" s="30" t="str">
        <f>IFERROR(__xludf.DUMMYFUNCTION("IFERROR(GOOGLEFINANCE(C34, ""NAME""))"),"Terra Innovatum Global NV")</f>
        <v>Terra Innovatum Global NV</v>
      </c>
      <c r="E34" s="30" t="s">
        <v>2660</v>
      </c>
      <c r="F34" s="33" t="str">
        <f>IFERROR(__xludf.DUMMYFUNCTION("( (GOOGLEFINANCE(C34, ""price"") - Q34) / Q34 ) / (R34 / 100)"),"Loading...")</f>
        <v>Loading...</v>
      </c>
      <c r="G34" s="20" t="str">
        <f>IFERROR(__xludf.DUMMYFUNCTION("AVERAGE(ARRAYFORMULA(100 * (QUERY(GOOGLEFINANCE(C34, ""high"", TODAY()-40, TODAY()), ""SELECT Col2 WHERE Col2 IS NOT NULL ORDER BY Col1 DESC LIMIT 20"", 0) / QUERY(GOOGLEFINANCE(C34, ""low"", TODAY()-40, TODAY()), ""SELECT Col2 WHERE Col2 IS NOT NULL ORDE"&amp;"R BY Col1 DESC LIMIT 20"", 0) - 1)))"),"#N/A")</f>
        <v>#N/A</v>
      </c>
      <c r="H34" s="35" t="str">
        <f t="shared" si="6"/>
        <v>Illiquid</v>
      </c>
      <c r="I34" s="35" t="str">
        <f t="shared" si="7"/>
        <v>RVol Required</v>
      </c>
      <c r="J34" s="37">
        <f>IFERROR(__xludf.DUMMYFUNCTION("IFERROR(
  IF(C34="""",, 
    IFERROR(
      GOOGLEFINANCE(C34, ""price"") * GOOGLEFINANCE(C34, ""volumeavg""), 
      GOOGLEFINANCE(C34, ""price"") * AVERAGE(QUERY(GOOGLEFINANCE(C34, ""volume"", TODAY()-40, TODAY()), ""SELECT Col2 WHERE Col2 IS NOT NULL "&amp;"ORDER BY Col1 DESC LIMIT 20"", 0))
    )
  ), 
"""")"),1266105.42)</f>
        <v>1266105.42</v>
      </c>
      <c r="K34" s="21">
        <f>IFERROR(__xludf.DUMMYFUNCTION("IFERROR(GOOGLEFINANCE(C34, ""changepct"") / 100, """")"),-0.04650000000000001)</f>
        <v>-0.0465</v>
      </c>
      <c r="L34" s="21" t="str">
        <f>IFERROR(__xludf.DUMMYFUNCTION("IFERROR((GOOGLEFINANCE(C34, ""price"") / INDEX(GOOGLEFINANCE(C34, ""price"", TODAY()-7, TODAY()), 2, 2)) - 1, """")"),"")</f>
        <v/>
      </c>
      <c r="M34" s="21" t="str">
        <f>IFERROR(__xludf.DUMMYFUNCTION("IFERROR((GOOGLEFINANCE(C34, ""price"") / INDEX(GOOGLEFINANCE(C34, ""price"", EDATE(TODAY(), -1), TODAY()), 2, 2)) - 1, """")"),"")</f>
        <v/>
      </c>
      <c r="N34" s="21" t="str">
        <f>IFERROR(__xludf.DUMMYFUNCTION("IFERROR((GOOGLEFINANCE(C34, ""price"") / INDEX(GOOGLEFINANCE(C34, ""price"", EDATE(TODAY(), -3), TODAY()), 2, 2)) - 1, """")"),"")</f>
        <v/>
      </c>
      <c r="O34" s="21" t="str">
        <f>IFERROR(__xludf.DUMMYFUNCTION("IFERROR((GOOGLEFINANCE(C34, ""price"") / INDEX(GOOGLEFINANCE(C34, ""price"", EDATE(TODAY(), -6), TODAY()), 2, 2)) - 1, """")"),"")</f>
        <v/>
      </c>
      <c r="P34" s="21" t="str">
        <f>IFERROR(__xludf.DUMMYFUNCTION("IFERROR((GOOGLEFINANCE(C34, ""price"") / INDEX(GOOGLEFINANCE(C34, ""price"", EDATE(TODAY(), -12), TODAY()), 2, 2)) - 1, """")"),"")</f>
        <v/>
      </c>
      <c r="Q34" s="6" t="str">
        <f>IFERROR(__xludf.DUMMYFUNCTION("AVERAGE(QUERY(GOOGLEFINANCE(C34, ""price"", TODAY()-80, TODAY()), ""SELECT Col2 WHERE Col2 IS NOT NULL ORDER BY Col1 DESC LIMIT 50"", 0))"),"#N/A")</f>
        <v>#N/A</v>
      </c>
      <c r="R34" s="24" t="str">
        <f>IFERROR(__xludf.DUMMYFUNCTION("IFERROR(
  LET(
    data, QUERY(GOOGLEFINANCE(C34,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GOOGLEFINANCE(C34, ""price"")) * 100,
    IF(calc=0, G34, calc)
  ), 
G34)"),"#N/A")</f>
        <v>#N/A</v>
      </c>
      <c r="S34" s="8" t="s">
        <v>15</v>
      </c>
      <c r="T34" s="26" t="str">
        <f>IFERROR(__xludf.DUMMYFUNCTION("IFERROR(TRANSPOSE(QUERY(IFERROR(SORT(GOOGLEFINANCE(C34, ""price"", WORKDAY(TODAY(), -40), TODAY()), 1, FALSE)), ""select Col2 where Col2 is not null limit 22 label Col2 ''"", 0)), """")"),"")</f>
        <v/>
      </c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8"/>
      <c r="AO34" s="28"/>
      <c r="AP34" s="29"/>
      <c r="AQ34" s="29" t="str">
        <f t="shared" ref="AQ34:BL34" si="37">T34/T$2</f>
        <v>#N/A</v>
      </c>
      <c r="AR34" s="29" t="str">
        <f t="shared" si="37"/>
        <v>#DIV/0!</v>
      </c>
      <c r="AS34" s="29" t="str">
        <f t="shared" si="37"/>
        <v>#DIV/0!</v>
      </c>
      <c r="AT34" s="29" t="str">
        <f t="shared" si="37"/>
        <v>#DIV/0!</v>
      </c>
      <c r="AU34" s="29" t="str">
        <f t="shared" si="37"/>
        <v>#DIV/0!</v>
      </c>
      <c r="AV34" s="29" t="str">
        <f t="shared" si="37"/>
        <v>#DIV/0!</v>
      </c>
      <c r="AW34" s="29" t="str">
        <f t="shared" si="37"/>
        <v>#DIV/0!</v>
      </c>
      <c r="AX34" s="29" t="str">
        <f t="shared" si="37"/>
        <v>#DIV/0!</v>
      </c>
      <c r="AY34" s="29" t="str">
        <f t="shared" si="37"/>
        <v>#DIV/0!</v>
      </c>
      <c r="AZ34" s="29" t="str">
        <f t="shared" si="37"/>
        <v>#DIV/0!</v>
      </c>
      <c r="BA34" s="29" t="str">
        <f t="shared" si="37"/>
        <v>#DIV/0!</v>
      </c>
      <c r="BB34" s="29" t="str">
        <f t="shared" si="37"/>
        <v>#DIV/0!</v>
      </c>
      <c r="BC34" s="29" t="str">
        <f t="shared" si="37"/>
        <v>#DIV/0!</v>
      </c>
      <c r="BD34" s="29" t="str">
        <f t="shared" si="37"/>
        <v>#DIV/0!</v>
      </c>
      <c r="BE34" s="29" t="str">
        <f t="shared" si="37"/>
        <v>#DIV/0!</v>
      </c>
      <c r="BF34" s="29" t="str">
        <f t="shared" si="37"/>
        <v>#DIV/0!</v>
      </c>
      <c r="BG34" s="29" t="str">
        <f t="shared" si="37"/>
        <v>#DIV/0!</v>
      </c>
      <c r="BH34" s="29" t="str">
        <f t="shared" si="37"/>
        <v>#DIV/0!</v>
      </c>
      <c r="BI34" s="29" t="str">
        <f t="shared" si="37"/>
        <v>#DIV/0!</v>
      </c>
      <c r="BJ34" s="29" t="str">
        <f t="shared" si="37"/>
        <v>#DIV/0!</v>
      </c>
      <c r="BK34" s="29" t="str">
        <f t="shared" si="37"/>
        <v>#DIV/0!</v>
      </c>
      <c r="BL34" s="29" t="str">
        <f t="shared" si="37"/>
        <v>#DIV/0!</v>
      </c>
      <c r="BM34" s="29" t="str">
        <f t="shared" si="3"/>
        <v>#DIV/0!</v>
      </c>
    </row>
    <row r="35">
      <c r="A35" s="16" t="str">
        <f>IFERROR(__xludf.DUMMYFUNCTION("IFERROR(SPARKLINE(SORT(MAP(TRANSPOSE(AQ35:BL35), LAMBDA(val, IF(ISNUMBER(val), PERCENTRANK(AQ35:BL35, val)+0.01, 0))), SEQUENCE(COLUMNS(AQ35:BL35)), FALSE), {""charttype"",""column""; ""color"",""chartreuse""; ""ymin"", 0; ""ymax"", 1.01; ""highcolor"", "&amp;"""darkgreen""; ""lowcolor"", ""red""}), """")"),"")</f>
        <v/>
      </c>
      <c r="B35" s="17" t="str">
        <f t="shared" si="4"/>
        <v/>
      </c>
      <c r="C35" s="45" t="s">
        <v>2746</v>
      </c>
      <c r="D35" s="30" t="str">
        <f>IFERROR(__xludf.DUMMYFUNCTION("IFERROR(GOOGLEFINANCE(C35, ""NAME""))"),"NextEra Energy Inc")</f>
        <v>NextEra Energy Inc</v>
      </c>
      <c r="E35" s="30" t="s">
        <v>2660</v>
      </c>
      <c r="F35" s="33" t="str">
        <f>IFERROR(__xludf.DUMMYFUNCTION("( (GOOGLEFINANCE(C35, ""price"") - Q35) / Q35 ) / (R35 / 100)"),"Loading...")</f>
        <v>Loading...</v>
      </c>
      <c r="G35" s="20" t="str">
        <f>IFERROR(__xludf.DUMMYFUNCTION("AVERAGE(ARRAYFORMULA(100 * (QUERY(GOOGLEFINANCE(C35, ""high"", TODAY()-40, TODAY()), ""SELECT Col2 WHERE Col2 IS NOT NULL ORDER BY Col1 DESC LIMIT 20"", 0) / QUERY(GOOGLEFINANCE(C35, ""low"", TODAY()-40, TODAY()), ""SELECT Col2 WHERE Col2 IS NOT NULL ORDE"&amp;"R BY Col1 DESC LIMIT 20"", 0) - 1)))"),"#N/A")</f>
        <v>#N/A</v>
      </c>
      <c r="H35" s="35" t="str">
        <f t="shared" si="6"/>
        <v>Liquid</v>
      </c>
      <c r="I35" s="35" t="str">
        <f t="shared" si="7"/>
        <v>No RVol Required</v>
      </c>
      <c r="J35" s="37">
        <f>IFERROR(__xludf.DUMMYFUNCTION("IFERROR(
  IF(C35="""",, 
    IFERROR(
      GOOGLEFINANCE(C35, ""price"") * GOOGLEFINANCE(C35, ""volumeavg""), 
      GOOGLEFINANCE(C35, ""price"") * AVERAGE(QUERY(GOOGLEFINANCE(C35, ""volume"", TODAY()-40, TODAY()), ""SELECT Col2 WHERE Col2 IS NOT NULL "&amp;"ORDER BY Col1 DESC LIMIT 20"", 0))
    )
  ), 
"""")"),9.610359486E8)</f>
        <v>961035948.6</v>
      </c>
      <c r="K35" s="21">
        <f>IFERROR(__xludf.DUMMYFUNCTION("IFERROR(GOOGLEFINANCE(C35, ""changepct"") / 100, """")"),0.0106)</f>
        <v>0.0106</v>
      </c>
      <c r="L35" s="21" t="str">
        <f>IFERROR(__xludf.DUMMYFUNCTION("IFERROR((GOOGLEFINANCE(C35, ""price"") / INDEX(GOOGLEFINANCE(C35, ""price"", TODAY()-7, TODAY()), 2, 2)) - 1, """")"),"")</f>
        <v/>
      </c>
      <c r="M35" s="21" t="str">
        <f>IFERROR(__xludf.DUMMYFUNCTION("IFERROR((GOOGLEFINANCE(C35, ""price"") / INDEX(GOOGLEFINANCE(C35, ""price"", EDATE(TODAY(), -1), TODAY()), 2, 2)) - 1, """")"),"")</f>
        <v/>
      </c>
      <c r="N35" s="21" t="str">
        <f>IFERROR(__xludf.DUMMYFUNCTION("IFERROR((GOOGLEFINANCE(C35, ""price"") / INDEX(GOOGLEFINANCE(C35, ""price"", EDATE(TODAY(), -3), TODAY()), 2, 2)) - 1, """")"),"")</f>
        <v/>
      </c>
      <c r="O35" s="21" t="str">
        <f>IFERROR(__xludf.DUMMYFUNCTION("IFERROR((GOOGLEFINANCE(C35, ""price"") / INDEX(GOOGLEFINANCE(C35, ""price"", EDATE(TODAY(), -6), TODAY()), 2, 2)) - 1, """")"),"")</f>
        <v/>
      </c>
      <c r="P35" s="21" t="str">
        <f>IFERROR(__xludf.DUMMYFUNCTION("IFERROR((GOOGLEFINANCE(C35, ""price"") / INDEX(GOOGLEFINANCE(C35, ""price"", EDATE(TODAY(), -12), TODAY()), 2, 2)) - 1, """")"),"")</f>
        <v/>
      </c>
      <c r="Q35" s="6" t="str">
        <f>IFERROR(__xludf.DUMMYFUNCTION("AVERAGE(QUERY(GOOGLEFINANCE(C35, ""price"", TODAY()-80, TODAY()), ""SELECT Col2 WHERE Col2 IS NOT NULL ORDER BY Col1 DESC LIMIT 50"", 0))"),"#N/A")</f>
        <v>#N/A</v>
      </c>
      <c r="R35" s="24" t="str">
        <f>IFERROR(__xludf.DUMMYFUNCTION("IFERROR(
  LET(
    data, QUERY(GOOGLEFINANCE(C35,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GOOGLEFINANCE(C35, ""price"")) * 100,
    IF(calc=0, G35, calc)
  ), 
G35)"),"#N/A")</f>
        <v>#N/A</v>
      </c>
      <c r="S35" s="8" t="s">
        <v>15</v>
      </c>
      <c r="T35" s="26" t="str">
        <f>IFERROR(__xludf.DUMMYFUNCTION("IFERROR(TRANSPOSE(QUERY(IFERROR(SORT(GOOGLEFINANCE(C35, ""price"", WORKDAY(TODAY(), -40), TODAY()), 1, FALSE)), ""select Col2 where Col2 is not null limit 22 label Col2 ''"", 0)), """")"),"")</f>
        <v/>
      </c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8"/>
      <c r="AO35" s="28"/>
      <c r="AP35" s="29"/>
      <c r="AQ35" s="29" t="str">
        <f t="shared" ref="AQ35:BL35" si="38">T35/T$2</f>
        <v>#N/A</v>
      </c>
      <c r="AR35" s="29" t="str">
        <f t="shared" si="38"/>
        <v>#DIV/0!</v>
      </c>
      <c r="AS35" s="29" t="str">
        <f t="shared" si="38"/>
        <v>#DIV/0!</v>
      </c>
      <c r="AT35" s="29" t="str">
        <f t="shared" si="38"/>
        <v>#DIV/0!</v>
      </c>
      <c r="AU35" s="29" t="str">
        <f t="shared" si="38"/>
        <v>#DIV/0!</v>
      </c>
      <c r="AV35" s="29" t="str">
        <f t="shared" si="38"/>
        <v>#DIV/0!</v>
      </c>
      <c r="AW35" s="29" t="str">
        <f t="shared" si="38"/>
        <v>#DIV/0!</v>
      </c>
      <c r="AX35" s="29" t="str">
        <f t="shared" si="38"/>
        <v>#DIV/0!</v>
      </c>
      <c r="AY35" s="29" t="str">
        <f t="shared" si="38"/>
        <v>#DIV/0!</v>
      </c>
      <c r="AZ35" s="29" t="str">
        <f t="shared" si="38"/>
        <v>#DIV/0!</v>
      </c>
      <c r="BA35" s="29" t="str">
        <f t="shared" si="38"/>
        <v>#DIV/0!</v>
      </c>
      <c r="BB35" s="29" t="str">
        <f t="shared" si="38"/>
        <v>#DIV/0!</v>
      </c>
      <c r="BC35" s="29" t="str">
        <f t="shared" si="38"/>
        <v>#DIV/0!</v>
      </c>
      <c r="BD35" s="29" t="str">
        <f t="shared" si="38"/>
        <v>#DIV/0!</v>
      </c>
      <c r="BE35" s="29" t="str">
        <f t="shared" si="38"/>
        <v>#DIV/0!</v>
      </c>
      <c r="BF35" s="29" t="str">
        <f t="shared" si="38"/>
        <v>#DIV/0!</v>
      </c>
      <c r="BG35" s="29" t="str">
        <f t="shared" si="38"/>
        <v>#DIV/0!</v>
      </c>
      <c r="BH35" s="29" t="str">
        <f t="shared" si="38"/>
        <v>#DIV/0!</v>
      </c>
      <c r="BI35" s="29" t="str">
        <f t="shared" si="38"/>
        <v>#DIV/0!</v>
      </c>
      <c r="BJ35" s="29" t="str">
        <f t="shared" si="38"/>
        <v>#DIV/0!</v>
      </c>
      <c r="BK35" s="29" t="str">
        <f t="shared" si="38"/>
        <v>#DIV/0!</v>
      </c>
      <c r="BL35" s="29" t="str">
        <f t="shared" si="38"/>
        <v>#DIV/0!</v>
      </c>
      <c r="BM35" s="29" t="str">
        <f t="shared" si="3"/>
        <v>#DIV/0!</v>
      </c>
    </row>
    <row r="36">
      <c r="A36" s="16" t="str">
        <f>IFERROR(__xludf.DUMMYFUNCTION("IFERROR(SPARKLINE(SORT(MAP(TRANSPOSE(AQ36:BL36), LAMBDA(val, IF(ISNUMBER(val), PERCENTRANK(AQ36:BL36, val)+0.01, 0))), SEQUENCE(COLUMNS(AQ36:BL36)), FALSE), {""charttype"",""column""; ""color"",""chartreuse""; ""ymin"", 0; ""ymax"", 1.01; ""highcolor"", "&amp;"""darkgreen""; ""lowcolor"", ""red""}), """")"),"")</f>
        <v/>
      </c>
      <c r="B36" s="17" t="str">
        <f t="shared" si="4"/>
        <v/>
      </c>
      <c r="C36" s="45" t="s">
        <v>2752</v>
      </c>
      <c r="D36" s="30" t="str">
        <f>IFERROR(__xludf.DUMMYFUNCTION("IFERROR(GOOGLEFINANCE(C36, ""NAME""))"),"York Water Co")</f>
        <v>York Water Co</v>
      </c>
      <c r="E36" s="30" t="s">
        <v>2655</v>
      </c>
      <c r="F36" s="33" t="str">
        <f>IFERROR(__xludf.DUMMYFUNCTION("( (GOOGLEFINANCE(C36, ""price"") - Q36) / Q36 ) / (R36 / 100)"),"Loading...")</f>
        <v>Loading...</v>
      </c>
      <c r="G36" s="20" t="str">
        <f>IFERROR(__xludf.DUMMYFUNCTION("AVERAGE(ARRAYFORMULA(100 * (QUERY(GOOGLEFINANCE(C36, ""high"", TODAY()-40, TODAY()), ""SELECT Col2 WHERE Col2 IS NOT NULL ORDER BY Col1 DESC LIMIT 20"", 0) / QUERY(GOOGLEFINANCE(C36, ""low"", TODAY()-40, TODAY()), ""SELECT Col2 WHERE Col2 IS NOT NULL ORDE"&amp;"R BY Col1 DESC LIMIT 20"", 0) - 1)))"),"#N/A")</f>
        <v>#N/A</v>
      </c>
      <c r="H36" s="35" t="str">
        <f t="shared" si="6"/>
        <v>Illiquid</v>
      </c>
      <c r="I36" s="35" t="str">
        <f t="shared" si="7"/>
        <v>RVol Required</v>
      </c>
      <c r="J36" s="37">
        <f>IFERROR(__xludf.DUMMYFUNCTION("IFERROR(
  IF(C36="""",, 
    IFERROR(
      GOOGLEFINANCE(C36, ""price"") * GOOGLEFINANCE(C36, ""volumeavg""), 
      GOOGLEFINANCE(C36, ""price"") * AVERAGE(QUERY(GOOGLEFINANCE(C36, ""volume"", TODAY()-40, TODAY()), ""SELECT Col2 WHERE Col2 IS NOT NULL "&amp;"ORDER BY Col1 DESC LIMIT 20"", 0))
    )
  ), 
"""")"),4927813.8)</f>
        <v>4927813.8</v>
      </c>
      <c r="K36" s="21">
        <f>IFERROR(__xludf.DUMMYFUNCTION("IFERROR(GOOGLEFINANCE(C36, ""changepct"") / 100, """")"),0.0013)</f>
        <v>0.0013</v>
      </c>
      <c r="L36" s="21" t="str">
        <f>IFERROR(__xludf.DUMMYFUNCTION("IFERROR((GOOGLEFINANCE(C36, ""price"") / INDEX(GOOGLEFINANCE(C36, ""price"", TODAY()-7, TODAY()), 2, 2)) - 1, """")"),"")</f>
        <v/>
      </c>
      <c r="M36" s="21" t="str">
        <f>IFERROR(__xludf.DUMMYFUNCTION("IFERROR((GOOGLEFINANCE(C36, ""price"") / INDEX(GOOGLEFINANCE(C36, ""price"", EDATE(TODAY(), -1), TODAY()), 2, 2)) - 1, """")"),"")</f>
        <v/>
      </c>
      <c r="N36" s="21" t="str">
        <f>IFERROR(__xludf.DUMMYFUNCTION("IFERROR((GOOGLEFINANCE(C36, ""price"") / INDEX(GOOGLEFINANCE(C36, ""price"", EDATE(TODAY(), -3), TODAY()), 2, 2)) - 1, """")"),"")</f>
        <v/>
      </c>
      <c r="O36" s="21" t="str">
        <f>IFERROR(__xludf.DUMMYFUNCTION("IFERROR((GOOGLEFINANCE(C36, ""price"") / INDEX(GOOGLEFINANCE(C36, ""price"", EDATE(TODAY(), -6), TODAY()), 2, 2)) - 1, """")"),"")</f>
        <v/>
      </c>
      <c r="P36" s="21" t="str">
        <f>IFERROR(__xludf.DUMMYFUNCTION("IFERROR((GOOGLEFINANCE(C36, ""price"") / INDEX(GOOGLEFINANCE(C36, ""price"", EDATE(TODAY(), -12), TODAY()), 2, 2)) - 1, """")"),"")</f>
        <v/>
      </c>
      <c r="Q36" s="6" t="str">
        <f>IFERROR(__xludf.DUMMYFUNCTION("AVERAGE(QUERY(GOOGLEFINANCE(C36, ""price"", TODAY()-80, TODAY()), ""SELECT Col2 WHERE Col2 IS NOT NULL ORDER BY Col1 DESC LIMIT 50"", 0))"),"#N/A")</f>
        <v>#N/A</v>
      </c>
      <c r="R36" s="24" t="str">
        <f>IFERROR(__xludf.DUMMYFUNCTION("IFERROR(
  LET(
    data, QUERY(GOOGLEFINANCE(C36,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GOOGLEFINANCE(C36, ""price"")) * 100,
    IF(calc=0, G36, calc)
  ), 
G36)"),"#N/A")</f>
        <v>#N/A</v>
      </c>
      <c r="S36" s="8" t="s">
        <v>15</v>
      </c>
      <c r="T36" s="26" t="str">
        <f>IFERROR(__xludf.DUMMYFUNCTION("IFERROR(TRANSPOSE(QUERY(IFERROR(SORT(GOOGLEFINANCE(C36, ""price"", WORKDAY(TODAY(), -40), TODAY()), 1, FALSE)), ""select Col2 where Col2 is not null limit 22 label Col2 ''"", 0)), """")"),"")</f>
        <v/>
      </c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8"/>
      <c r="AO36" s="28"/>
      <c r="AP36" s="29"/>
      <c r="AQ36" s="29" t="str">
        <f t="shared" ref="AQ36:BL36" si="39">T36/T$2</f>
        <v>#N/A</v>
      </c>
      <c r="AR36" s="29" t="str">
        <f t="shared" si="39"/>
        <v>#DIV/0!</v>
      </c>
      <c r="AS36" s="29" t="str">
        <f t="shared" si="39"/>
        <v>#DIV/0!</v>
      </c>
      <c r="AT36" s="29" t="str">
        <f t="shared" si="39"/>
        <v>#DIV/0!</v>
      </c>
      <c r="AU36" s="29" t="str">
        <f t="shared" si="39"/>
        <v>#DIV/0!</v>
      </c>
      <c r="AV36" s="29" t="str">
        <f t="shared" si="39"/>
        <v>#DIV/0!</v>
      </c>
      <c r="AW36" s="29" t="str">
        <f t="shared" si="39"/>
        <v>#DIV/0!</v>
      </c>
      <c r="AX36" s="29" t="str">
        <f t="shared" si="39"/>
        <v>#DIV/0!</v>
      </c>
      <c r="AY36" s="29" t="str">
        <f t="shared" si="39"/>
        <v>#DIV/0!</v>
      </c>
      <c r="AZ36" s="29" t="str">
        <f t="shared" si="39"/>
        <v>#DIV/0!</v>
      </c>
      <c r="BA36" s="29" t="str">
        <f t="shared" si="39"/>
        <v>#DIV/0!</v>
      </c>
      <c r="BB36" s="29" t="str">
        <f t="shared" si="39"/>
        <v>#DIV/0!</v>
      </c>
      <c r="BC36" s="29" t="str">
        <f t="shared" si="39"/>
        <v>#DIV/0!</v>
      </c>
      <c r="BD36" s="29" t="str">
        <f t="shared" si="39"/>
        <v>#DIV/0!</v>
      </c>
      <c r="BE36" s="29" t="str">
        <f t="shared" si="39"/>
        <v>#DIV/0!</v>
      </c>
      <c r="BF36" s="29" t="str">
        <f t="shared" si="39"/>
        <v>#DIV/0!</v>
      </c>
      <c r="BG36" s="29" t="str">
        <f t="shared" si="39"/>
        <v>#DIV/0!</v>
      </c>
      <c r="BH36" s="29" t="str">
        <f t="shared" si="39"/>
        <v>#DIV/0!</v>
      </c>
      <c r="BI36" s="29" t="str">
        <f t="shared" si="39"/>
        <v>#DIV/0!</v>
      </c>
      <c r="BJ36" s="29" t="str">
        <f t="shared" si="39"/>
        <v>#DIV/0!</v>
      </c>
      <c r="BK36" s="29" t="str">
        <f t="shared" si="39"/>
        <v>#DIV/0!</v>
      </c>
      <c r="BL36" s="29" t="str">
        <f t="shared" si="39"/>
        <v>#DIV/0!</v>
      </c>
      <c r="BM36" s="29" t="str">
        <f t="shared" si="3"/>
        <v>#DIV/0!</v>
      </c>
    </row>
    <row r="37">
      <c r="A37" s="16" t="str">
        <f>IFERROR(__xludf.DUMMYFUNCTION("IFERROR(SPARKLINE(SORT(MAP(TRANSPOSE(AQ37:BL37), LAMBDA(val, IF(ISNUMBER(val), PERCENTRANK(AQ37:BL37, val)+0.01, 0))), SEQUENCE(COLUMNS(AQ37:BL37)), FALSE), {""charttype"",""column""; ""color"",""chartreuse""; ""ymin"", 0; ""ymax"", 1.01; ""highcolor"", "&amp;"""darkgreen""; ""lowcolor"", ""red""}), """")"),"")</f>
        <v/>
      </c>
      <c r="B37" s="17" t="str">
        <f t="shared" si="4"/>
        <v/>
      </c>
      <c r="C37" s="45" t="s">
        <v>2756</v>
      </c>
      <c r="D37" s="30" t="str">
        <f>IFERROR(__xludf.DUMMYFUNCTION("IFERROR(GOOGLEFINANCE(C37, ""NAME""))"),"National Grid Plc")</f>
        <v>National Grid Plc</v>
      </c>
      <c r="E37" s="30" t="s">
        <v>2660</v>
      </c>
      <c r="F37" s="33" t="str">
        <f>IFERROR(__xludf.DUMMYFUNCTION("( (GOOGLEFINANCE(C37, ""price"") - Q37) / Q37 ) / (R37 / 100)"),"Loading...")</f>
        <v>Loading...</v>
      </c>
      <c r="G37" s="20" t="str">
        <f>IFERROR(__xludf.DUMMYFUNCTION("AVERAGE(ARRAYFORMULA(100 * (QUERY(GOOGLEFINANCE(C37, ""high"", TODAY()-40, TODAY()), ""SELECT Col2 WHERE Col2 IS NOT NULL ORDER BY Col1 DESC LIMIT 20"", 0) / QUERY(GOOGLEFINANCE(C37, ""low"", TODAY()-40, TODAY()), ""SELECT Col2 WHERE Col2 IS NOT NULL ORDE"&amp;"R BY Col1 DESC LIMIT 20"", 0) - 1)))"),"#N/A")</f>
        <v>#N/A</v>
      </c>
      <c r="H37" s="35" t="str">
        <f t="shared" si="6"/>
        <v>Liquid</v>
      </c>
      <c r="I37" s="35" t="str">
        <f t="shared" si="7"/>
        <v>RVol Required</v>
      </c>
      <c r="J37" s="37">
        <f>IFERROR(__xludf.DUMMYFUNCTION("IFERROR(
  IF(C37="""",, 
    IFERROR(
      GOOGLEFINANCE(C37, ""price"") * GOOGLEFINANCE(C37, ""volumeavg""), 
      GOOGLEFINANCE(C37, ""price"") * AVERAGE(QUERY(GOOGLEFINANCE(C37, ""volume"", TODAY()-40, TODAY()), ""SELECT Col2 WHERE Col2 IS NOT NULL "&amp;"ORDER BY Col1 DESC LIMIT 20"", 0))
    )
  ), 
"""")"),7.600819382E7)</f>
        <v>76008193.82</v>
      </c>
      <c r="K37" s="21">
        <f>IFERROR(__xludf.DUMMYFUNCTION("IFERROR(GOOGLEFINANCE(C37, ""changepct"") / 100, """")"),0.027200000000000002)</f>
        <v>0.0272</v>
      </c>
      <c r="L37" s="21" t="str">
        <f>IFERROR(__xludf.DUMMYFUNCTION("IFERROR((GOOGLEFINANCE(C37, ""price"") / INDEX(GOOGLEFINANCE(C37, ""price"", TODAY()-7, TODAY()), 2, 2)) - 1, """")"),"")</f>
        <v/>
      </c>
      <c r="M37" s="21" t="str">
        <f>IFERROR(__xludf.DUMMYFUNCTION("IFERROR((GOOGLEFINANCE(C37, ""price"") / INDEX(GOOGLEFINANCE(C37, ""price"", EDATE(TODAY(), -1), TODAY()), 2, 2)) - 1, """")"),"")</f>
        <v/>
      </c>
      <c r="N37" s="21" t="str">
        <f>IFERROR(__xludf.DUMMYFUNCTION("IFERROR((GOOGLEFINANCE(C37, ""price"") / INDEX(GOOGLEFINANCE(C37, ""price"", EDATE(TODAY(), -3), TODAY()), 2, 2)) - 1, """")"),"")</f>
        <v/>
      </c>
      <c r="O37" s="21" t="str">
        <f>IFERROR(__xludf.DUMMYFUNCTION("IFERROR((GOOGLEFINANCE(C37, ""price"") / INDEX(GOOGLEFINANCE(C37, ""price"", EDATE(TODAY(), -6), TODAY()), 2, 2)) - 1, """")"),"")</f>
        <v/>
      </c>
      <c r="P37" s="21" t="str">
        <f>IFERROR(__xludf.DUMMYFUNCTION("IFERROR((GOOGLEFINANCE(C37, ""price"") / INDEX(GOOGLEFINANCE(C37, ""price"", EDATE(TODAY(), -12), TODAY()), 2, 2)) - 1, """")"),"")</f>
        <v/>
      </c>
      <c r="Q37" s="6" t="str">
        <f>IFERROR(__xludf.DUMMYFUNCTION("AVERAGE(QUERY(GOOGLEFINANCE(C37, ""price"", TODAY()-80, TODAY()), ""SELECT Col2 WHERE Col2 IS NOT NULL ORDER BY Col1 DESC LIMIT 50"", 0))"),"#N/A")</f>
        <v>#N/A</v>
      </c>
      <c r="R37" s="24" t="str">
        <f>IFERROR(__xludf.DUMMYFUNCTION("IFERROR(
  LET(
    data, QUERY(GOOGLEFINANCE(C37,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GOOGLEFINANCE(C37, ""price"")) * 100,
    IF(calc=0, G37, calc)
  ), 
G37)"),"#N/A")</f>
        <v>#N/A</v>
      </c>
      <c r="S37" s="8" t="s">
        <v>15</v>
      </c>
      <c r="T37" s="26" t="str">
        <f>IFERROR(__xludf.DUMMYFUNCTION("IFERROR(TRANSPOSE(QUERY(IFERROR(SORT(GOOGLEFINANCE(C37, ""price"", WORKDAY(TODAY(), -40), TODAY()), 1, FALSE)), ""select Col2 where Col2 is not null limit 22 label Col2 ''"", 0)), """")"),"")</f>
        <v/>
      </c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8"/>
      <c r="AO37" s="28"/>
      <c r="AP37" s="29"/>
      <c r="AQ37" s="29" t="str">
        <f t="shared" ref="AQ37:BL37" si="40">T37/T$2</f>
        <v>#N/A</v>
      </c>
      <c r="AR37" s="29" t="str">
        <f t="shared" si="40"/>
        <v>#DIV/0!</v>
      </c>
      <c r="AS37" s="29" t="str">
        <f t="shared" si="40"/>
        <v>#DIV/0!</v>
      </c>
      <c r="AT37" s="29" t="str">
        <f t="shared" si="40"/>
        <v>#DIV/0!</v>
      </c>
      <c r="AU37" s="29" t="str">
        <f t="shared" si="40"/>
        <v>#DIV/0!</v>
      </c>
      <c r="AV37" s="29" t="str">
        <f t="shared" si="40"/>
        <v>#DIV/0!</v>
      </c>
      <c r="AW37" s="29" t="str">
        <f t="shared" si="40"/>
        <v>#DIV/0!</v>
      </c>
      <c r="AX37" s="29" t="str">
        <f t="shared" si="40"/>
        <v>#DIV/0!</v>
      </c>
      <c r="AY37" s="29" t="str">
        <f t="shared" si="40"/>
        <v>#DIV/0!</v>
      </c>
      <c r="AZ37" s="29" t="str">
        <f t="shared" si="40"/>
        <v>#DIV/0!</v>
      </c>
      <c r="BA37" s="29" t="str">
        <f t="shared" si="40"/>
        <v>#DIV/0!</v>
      </c>
      <c r="BB37" s="29" t="str">
        <f t="shared" si="40"/>
        <v>#DIV/0!</v>
      </c>
      <c r="BC37" s="29" t="str">
        <f t="shared" si="40"/>
        <v>#DIV/0!</v>
      </c>
      <c r="BD37" s="29" t="str">
        <f t="shared" si="40"/>
        <v>#DIV/0!</v>
      </c>
      <c r="BE37" s="29" t="str">
        <f t="shared" si="40"/>
        <v>#DIV/0!</v>
      </c>
      <c r="BF37" s="29" t="str">
        <f t="shared" si="40"/>
        <v>#DIV/0!</v>
      </c>
      <c r="BG37" s="29" t="str">
        <f t="shared" si="40"/>
        <v>#DIV/0!</v>
      </c>
      <c r="BH37" s="29" t="str">
        <f t="shared" si="40"/>
        <v>#DIV/0!</v>
      </c>
      <c r="BI37" s="29" t="str">
        <f t="shared" si="40"/>
        <v>#DIV/0!</v>
      </c>
      <c r="BJ37" s="29" t="str">
        <f t="shared" si="40"/>
        <v>#DIV/0!</v>
      </c>
      <c r="BK37" s="29" t="str">
        <f t="shared" si="40"/>
        <v>#DIV/0!</v>
      </c>
      <c r="BL37" s="29" t="str">
        <f t="shared" si="40"/>
        <v>#DIV/0!</v>
      </c>
      <c r="BM37" s="29" t="str">
        <f t="shared" si="3"/>
        <v>#DIV/0!</v>
      </c>
    </row>
    <row r="38">
      <c r="A38" s="16" t="str">
        <f>IFERROR(__xludf.DUMMYFUNCTION("IFERROR(SPARKLINE(SORT(MAP(TRANSPOSE(AQ38:BL38), LAMBDA(val, IF(ISNUMBER(val), PERCENTRANK(AQ38:BL38, val)+0.01, 0))), SEQUENCE(COLUMNS(AQ38:BL38)), FALSE), {""charttype"",""column""; ""color"",""chartreuse""; ""ymin"", 0; ""ymax"", 1.01; ""highcolor"", "&amp;"""darkgreen""; ""lowcolor"", ""red""}), """")"),"")</f>
        <v/>
      </c>
      <c r="B38" s="17" t="str">
        <f t="shared" si="4"/>
        <v/>
      </c>
      <c r="C38" s="45" t="s">
        <v>2762</v>
      </c>
      <c r="D38" s="30" t="str">
        <f>IFERROR(__xludf.DUMMYFUNCTION("IFERROR(GOOGLEFINANCE(C38, ""NAME""))"),"Exelon Corp")</f>
        <v>Exelon Corp</v>
      </c>
      <c r="E38" s="30" t="s">
        <v>2660</v>
      </c>
      <c r="F38" s="33" t="str">
        <f>IFERROR(__xludf.DUMMYFUNCTION("( (GOOGLEFINANCE(C38, ""price"") - Q38) / Q38 ) / (R38 / 100)"),"Loading...")</f>
        <v>Loading...</v>
      </c>
      <c r="G38" s="20" t="str">
        <f>IFERROR(__xludf.DUMMYFUNCTION("AVERAGE(ARRAYFORMULA(100 * (QUERY(GOOGLEFINANCE(C38, ""high"", TODAY()-40, TODAY()), ""SELECT Col2 WHERE Col2 IS NOT NULL ORDER BY Col1 DESC LIMIT 20"", 0) / QUERY(GOOGLEFINANCE(C38, ""low"", TODAY()-40, TODAY()), ""SELECT Col2 WHERE Col2 IS NOT NULL ORDE"&amp;"R BY Col1 DESC LIMIT 20"", 0) - 1)))"),"#N/A")</f>
        <v>#N/A</v>
      </c>
      <c r="H38" s="35" t="str">
        <f t="shared" si="6"/>
        <v>Liquid</v>
      </c>
      <c r="I38" s="35" t="str">
        <f t="shared" si="7"/>
        <v>RVol Required</v>
      </c>
      <c r="J38" s="37">
        <f>IFERROR(__xludf.DUMMYFUNCTION("IFERROR(
  IF(C38="""",, 
    IFERROR(
      GOOGLEFINANCE(C38, ""price"") * GOOGLEFINANCE(C38, ""volumeavg""), 
      GOOGLEFINANCE(C38, ""price"") * AVERAGE(QUERY(GOOGLEFINANCE(C38, ""volume"", TODAY()-40, TODAY()), ""SELECT Col2 WHERE Col2 IS NOT NULL "&amp;"ORDER BY Col1 DESC LIMIT 20"", 0))
    )
  ), 
"""")"),3.50232594E8)</f>
        <v>350232594</v>
      </c>
      <c r="K38" s="21">
        <f>IFERROR(__xludf.DUMMYFUNCTION("IFERROR(GOOGLEFINANCE(C38, ""changepct"") / 100, """")"),0.024)</f>
        <v>0.024</v>
      </c>
      <c r="L38" s="21" t="str">
        <f>IFERROR(__xludf.DUMMYFUNCTION("IFERROR((GOOGLEFINANCE(C38, ""price"") / INDEX(GOOGLEFINANCE(C38, ""price"", TODAY()-7, TODAY()), 2, 2)) - 1, """")"),"")</f>
        <v/>
      </c>
      <c r="M38" s="21" t="str">
        <f>IFERROR(__xludf.DUMMYFUNCTION("IFERROR((GOOGLEFINANCE(C38, ""price"") / INDEX(GOOGLEFINANCE(C38, ""price"", EDATE(TODAY(), -1), TODAY()), 2, 2)) - 1, """")"),"")</f>
        <v/>
      </c>
      <c r="N38" s="21" t="str">
        <f>IFERROR(__xludf.DUMMYFUNCTION("IFERROR((GOOGLEFINANCE(C38, ""price"") / INDEX(GOOGLEFINANCE(C38, ""price"", EDATE(TODAY(), -3), TODAY()), 2, 2)) - 1, """")"),"")</f>
        <v/>
      </c>
      <c r="O38" s="21" t="str">
        <f>IFERROR(__xludf.DUMMYFUNCTION("IFERROR((GOOGLEFINANCE(C38, ""price"") / INDEX(GOOGLEFINANCE(C38, ""price"", EDATE(TODAY(), -6), TODAY()), 2, 2)) - 1, """")"),"")</f>
        <v/>
      </c>
      <c r="P38" s="21" t="str">
        <f>IFERROR(__xludf.DUMMYFUNCTION("IFERROR((GOOGLEFINANCE(C38, ""price"") / INDEX(GOOGLEFINANCE(C38, ""price"", EDATE(TODAY(), -12), TODAY()), 2, 2)) - 1, """")"),"")</f>
        <v/>
      </c>
      <c r="Q38" s="6" t="str">
        <f>IFERROR(__xludf.DUMMYFUNCTION("AVERAGE(QUERY(GOOGLEFINANCE(C38, ""price"", TODAY()-80, TODAY()), ""SELECT Col2 WHERE Col2 IS NOT NULL ORDER BY Col1 DESC LIMIT 50"", 0))"),"#N/A")</f>
        <v>#N/A</v>
      </c>
      <c r="R38" s="24" t="str">
        <f>IFERROR(__xludf.DUMMYFUNCTION("IFERROR(
  LET(
    data, QUERY(GOOGLEFINANCE(C38,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GOOGLEFINANCE(C38, ""price"")) * 100,
    IF(calc=0, G38, calc)
  ), 
G38)"),"#N/A")</f>
        <v>#N/A</v>
      </c>
      <c r="S38" s="8" t="s">
        <v>15</v>
      </c>
      <c r="T38" s="26" t="str">
        <f>IFERROR(__xludf.DUMMYFUNCTION("IFERROR(TRANSPOSE(QUERY(IFERROR(SORT(GOOGLEFINANCE(C38, ""price"", WORKDAY(TODAY(), -40), TODAY()), 1, FALSE)), ""select Col2 where Col2 is not null limit 22 label Col2 ''"", 0)), """")"),"")</f>
        <v/>
      </c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8"/>
      <c r="AO38" s="28"/>
      <c r="AP38" s="29"/>
      <c r="AQ38" s="29" t="str">
        <f t="shared" ref="AQ38:BL38" si="41">T38/T$2</f>
        <v>#N/A</v>
      </c>
      <c r="AR38" s="29" t="str">
        <f t="shared" si="41"/>
        <v>#DIV/0!</v>
      </c>
      <c r="AS38" s="29" t="str">
        <f t="shared" si="41"/>
        <v>#DIV/0!</v>
      </c>
      <c r="AT38" s="29" t="str">
        <f t="shared" si="41"/>
        <v>#DIV/0!</v>
      </c>
      <c r="AU38" s="29" t="str">
        <f t="shared" si="41"/>
        <v>#DIV/0!</v>
      </c>
      <c r="AV38" s="29" t="str">
        <f t="shared" si="41"/>
        <v>#DIV/0!</v>
      </c>
      <c r="AW38" s="29" t="str">
        <f t="shared" si="41"/>
        <v>#DIV/0!</v>
      </c>
      <c r="AX38" s="29" t="str">
        <f t="shared" si="41"/>
        <v>#DIV/0!</v>
      </c>
      <c r="AY38" s="29" t="str">
        <f t="shared" si="41"/>
        <v>#DIV/0!</v>
      </c>
      <c r="AZ38" s="29" t="str">
        <f t="shared" si="41"/>
        <v>#DIV/0!</v>
      </c>
      <c r="BA38" s="29" t="str">
        <f t="shared" si="41"/>
        <v>#DIV/0!</v>
      </c>
      <c r="BB38" s="29" t="str">
        <f t="shared" si="41"/>
        <v>#DIV/0!</v>
      </c>
      <c r="BC38" s="29" t="str">
        <f t="shared" si="41"/>
        <v>#DIV/0!</v>
      </c>
      <c r="BD38" s="29" t="str">
        <f t="shared" si="41"/>
        <v>#DIV/0!</v>
      </c>
      <c r="BE38" s="29" t="str">
        <f t="shared" si="41"/>
        <v>#DIV/0!</v>
      </c>
      <c r="BF38" s="29" t="str">
        <f t="shared" si="41"/>
        <v>#DIV/0!</v>
      </c>
      <c r="BG38" s="29" t="str">
        <f t="shared" si="41"/>
        <v>#DIV/0!</v>
      </c>
      <c r="BH38" s="29" t="str">
        <f t="shared" si="41"/>
        <v>#DIV/0!</v>
      </c>
      <c r="BI38" s="29" t="str">
        <f t="shared" si="41"/>
        <v>#DIV/0!</v>
      </c>
      <c r="BJ38" s="29" t="str">
        <f t="shared" si="41"/>
        <v>#DIV/0!</v>
      </c>
      <c r="BK38" s="29" t="str">
        <f t="shared" si="41"/>
        <v>#DIV/0!</v>
      </c>
      <c r="BL38" s="29" t="str">
        <f t="shared" si="41"/>
        <v>#DIV/0!</v>
      </c>
      <c r="BM38" s="29" t="str">
        <f t="shared" si="3"/>
        <v>#DIV/0!</v>
      </c>
    </row>
    <row r="39">
      <c r="A39" s="16" t="str">
        <f>IFERROR(__xludf.DUMMYFUNCTION("IFERROR(SPARKLINE(SORT(MAP(TRANSPOSE(AQ39:BL39), LAMBDA(val, IF(ISNUMBER(val), PERCENTRANK(AQ39:BL39, val)+0.01, 0))), SEQUENCE(COLUMNS(AQ39:BL39)), FALSE), {""charttype"",""column""; ""color"",""chartreuse""; ""ymin"", 0; ""ymax"", 1.01; ""highcolor"", "&amp;"""darkgreen""; ""lowcolor"", ""red""}), """")"),"")</f>
        <v/>
      </c>
      <c r="B39" s="17" t="str">
        <f t="shared" si="4"/>
        <v/>
      </c>
      <c r="C39" s="45" t="s">
        <v>2766</v>
      </c>
      <c r="D39" s="30" t="str">
        <f>IFERROR(__xludf.DUMMYFUNCTION("IFERROR(GOOGLEFINANCE(C39, ""NAME""))"),"Eversource Energy")</f>
        <v>Eversource Energy</v>
      </c>
      <c r="E39" s="30" t="s">
        <v>2660</v>
      </c>
      <c r="F39" s="33" t="str">
        <f>IFERROR(__xludf.DUMMYFUNCTION("( (GOOGLEFINANCE(C39, ""price"") - Q39) / Q39 ) / (R39 / 100)"),"Loading...")</f>
        <v>Loading...</v>
      </c>
      <c r="G39" s="20" t="str">
        <f>IFERROR(__xludf.DUMMYFUNCTION("AVERAGE(ARRAYFORMULA(100 * (QUERY(GOOGLEFINANCE(C39, ""high"", TODAY()-40, TODAY()), ""SELECT Col2 WHERE Col2 IS NOT NULL ORDER BY Col1 DESC LIMIT 20"", 0) / QUERY(GOOGLEFINANCE(C39, ""low"", TODAY()-40, TODAY()), ""SELECT Col2 WHERE Col2 IS NOT NULL ORDE"&amp;"R BY Col1 DESC LIMIT 20"", 0) - 1)))"),"#N/A")</f>
        <v>#N/A</v>
      </c>
      <c r="H39" s="35" t="str">
        <f t="shared" si="6"/>
        <v>Liquid</v>
      </c>
      <c r="I39" s="35" t="str">
        <f t="shared" si="7"/>
        <v>RVol Required</v>
      </c>
      <c r="J39" s="37">
        <f>IFERROR(__xludf.DUMMYFUNCTION("IFERROR(
  IF(C39="""",, 
    IFERROR(
      GOOGLEFINANCE(C39, ""price"") * GOOGLEFINANCE(C39, ""volumeavg""), 
      GOOGLEFINANCE(C39, ""price"") * AVERAGE(QUERY(GOOGLEFINANCE(C39, ""volume"", TODAY()-40, TODAY()), ""SELECT Col2 WHERE Col2 IS NOT NULL "&amp;"ORDER BY Col1 DESC LIMIT 20"", 0))
    )
  ), 
"""")"),1.7427534285E8)</f>
        <v>174275342.9</v>
      </c>
      <c r="K39" s="21">
        <f>IFERROR(__xludf.DUMMYFUNCTION("IFERROR(GOOGLEFINANCE(C39, ""changepct"") / 100, """")"),0.013000000000000001)</f>
        <v>0.013</v>
      </c>
      <c r="L39" s="21" t="str">
        <f>IFERROR(__xludf.DUMMYFUNCTION("IFERROR((GOOGLEFINANCE(C39, ""price"") / INDEX(GOOGLEFINANCE(C39, ""price"", TODAY()-7, TODAY()), 2, 2)) - 1, """")"),"")</f>
        <v/>
      </c>
      <c r="M39" s="21" t="str">
        <f>IFERROR(__xludf.DUMMYFUNCTION("IFERROR((GOOGLEFINANCE(C39, ""price"") / INDEX(GOOGLEFINANCE(C39, ""price"", EDATE(TODAY(), -1), TODAY()), 2, 2)) - 1, """")"),"")</f>
        <v/>
      </c>
      <c r="N39" s="21" t="str">
        <f>IFERROR(__xludf.DUMMYFUNCTION("IFERROR((GOOGLEFINANCE(C39, ""price"") / INDEX(GOOGLEFINANCE(C39, ""price"", EDATE(TODAY(), -3), TODAY()), 2, 2)) - 1, """")"),"")</f>
        <v/>
      </c>
      <c r="O39" s="21" t="str">
        <f>IFERROR(__xludf.DUMMYFUNCTION("IFERROR((GOOGLEFINANCE(C39, ""price"") / INDEX(GOOGLEFINANCE(C39, ""price"", EDATE(TODAY(), -6), TODAY()), 2, 2)) - 1, """")"),"")</f>
        <v/>
      </c>
      <c r="P39" s="21" t="str">
        <f>IFERROR(__xludf.DUMMYFUNCTION("IFERROR((GOOGLEFINANCE(C39, ""price"") / INDEX(GOOGLEFINANCE(C39, ""price"", EDATE(TODAY(), -12), TODAY()), 2, 2)) - 1, """")"),"")</f>
        <v/>
      </c>
      <c r="Q39" s="6" t="str">
        <f>IFERROR(__xludf.DUMMYFUNCTION("AVERAGE(QUERY(GOOGLEFINANCE(C39, ""price"", TODAY()-80, TODAY()), ""SELECT Col2 WHERE Col2 IS NOT NULL ORDER BY Col1 DESC LIMIT 50"", 0))"),"#N/A")</f>
        <v>#N/A</v>
      </c>
      <c r="R39" s="24" t="str">
        <f>IFERROR(__xludf.DUMMYFUNCTION("IFERROR(
  LET(
    data, QUERY(GOOGLEFINANCE(C39,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GOOGLEFINANCE(C39, ""price"")) * 100,
    IF(calc=0, G39, calc)
  ), 
G39)"),"#N/A")</f>
        <v>#N/A</v>
      </c>
      <c r="S39" s="8" t="s">
        <v>15</v>
      </c>
      <c r="T39" s="26" t="str">
        <f>IFERROR(__xludf.DUMMYFUNCTION("IFERROR(TRANSPOSE(QUERY(IFERROR(SORT(GOOGLEFINANCE(C39, ""price"", WORKDAY(TODAY(), -40), TODAY()), 1, FALSE)), ""select Col2 where Col2 is not null limit 22 label Col2 ''"", 0)), """")"),"")</f>
        <v/>
      </c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8"/>
      <c r="AO39" s="28"/>
      <c r="AP39" s="29"/>
      <c r="AQ39" s="29" t="str">
        <f t="shared" ref="AQ39:BL39" si="42">T39/T$2</f>
        <v>#N/A</v>
      </c>
      <c r="AR39" s="29" t="str">
        <f t="shared" si="42"/>
        <v>#DIV/0!</v>
      </c>
      <c r="AS39" s="29" t="str">
        <f t="shared" si="42"/>
        <v>#DIV/0!</v>
      </c>
      <c r="AT39" s="29" t="str">
        <f t="shared" si="42"/>
        <v>#DIV/0!</v>
      </c>
      <c r="AU39" s="29" t="str">
        <f t="shared" si="42"/>
        <v>#DIV/0!</v>
      </c>
      <c r="AV39" s="29" t="str">
        <f t="shared" si="42"/>
        <v>#DIV/0!</v>
      </c>
      <c r="AW39" s="29" t="str">
        <f t="shared" si="42"/>
        <v>#DIV/0!</v>
      </c>
      <c r="AX39" s="29" t="str">
        <f t="shared" si="42"/>
        <v>#DIV/0!</v>
      </c>
      <c r="AY39" s="29" t="str">
        <f t="shared" si="42"/>
        <v>#DIV/0!</v>
      </c>
      <c r="AZ39" s="29" t="str">
        <f t="shared" si="42"/>
        <v>#DIV/0!</v>
      </c>
      <c r="BA39" s="29" t="str">
        <f t="shared" si="42"/>
        <v>#DIV/0!</v>
      </c>
      <c r="BB39" s="29" t="str">
        <f t="shared" si="42"/>
        <v>#DIV/0!</v>
      </c>
      <c r="BC39" s="29" t="str">
        <f t="shared" si="42"/>
        <v>#DIV/0!</v>
      </c>
      <c r="BD39" s="29" t="str">
        <f t="shared" si="42"/>
        <v>#DIV/0!</v>
      </c>
      <c r="BE39" s="29" t="str">
        <f t="shared" si="42"/>
        <v>#DIV/0!</v>
      </c>
      <c r="BF39" s="29" t="str">
        <f t="shared" si="42"/>
        <v>#DIV/0!</v>
      </c>
      <c r="BG39" s="29" t="str">
        <f t="shared" si="42"/>
        <v>#DIV/0!</v>
      </c>
      <c r="BH39" s="29" t="str">
        <f t="shared" si="42"/>
        <v>#DIV/0!</v>
      </c>
      <c r="BI39" s="29" t="str">
        <f t="shared" si="42"/>
        <v>#DIV/0!</v>
      </c>
      <c r="BJ39" s="29" t="str">
        <f t="shared" si="42"/>
        <v>#DIV/0!</v>
      </c>
      <c r="BK39" s="29" t="str">
        <f t="shared" si="42"/>
        <v>#DIV/0!</v>
      </c>
      <c r="BL39" s="29" t="str">
        <f t="shared" si="42"/>
        <v>#DIV/0!</v>
      </c>
      <c r="BM39" s="29" t="str">
        <f t="shared" si="3"/>
        <v>#DIV/0!</v>
      </c>
    </row>
    <row r="40">
      <c r="A40" s="16" t="str">
        <f>IFERROR(__xludf.DUMMYFUNCTION("IFERROR(SPARKLINE(SORT(MAP(TRANSPOSE(AQ40:BL40), LAMBDA(val, IF(ISNUMBER(val), PERCENTRANK(AQ40:BL40, val)+0.01, 0))), SEQUENCE(COLUMNS(AQ40:BL40)), FALSE), {""charttype"",""column""; ""color"",""chartreuse""; ""ymin"", 0; ""ymax"", 1.01; ""highcolor"", "&amp;"""darkgreen""; ""lowcolor"", ""red""}), """")"),"")</f>
        <v/>
      </c>
      <c r="B40" s="17" t="str">
        <f t="shared" si="4"/>
        <v/>
      </c>
      <c r="C40" s="45" t="s">
        <v>2770</v>
      </c>
      <c r="D40" s="30" t="str">
        <f>IFERROR(__xludf.DUMMYFUNCTION("IFERROR(GOOGLEFINANCE(C40, ""NAME""))"),"Southern Co")</f>
        <v>Southern Co</v>
      </c>
      <c r="E40" s="30" t="s">
        <v>2660</v>
      </c>
      <c r="F40" s="33" t="str">
        <f>IFERROR(__xludf.DUMMYFUNCTION("( (GOOGLEFINANCE(C40, ""price"") - Q40) / Q40 ) / (R40 / 100)"),"Loading...")</f>
        <v>Loading...</v>
      </c>
      <c r="G40" s="20" t="str">
        <f>IFERROR(__xludf.DUMMYFUNCTION("AVERAGE(ARRAYFORMULA(100 * (QUERY(GOOGLEFINANCE(C40, ""high"", TODAY()-40, TODAY()), ""SELECT Col2 WHERE Col2 IS NOT NULL ORDER BY Col1 DESC LIMIT 20"", 0) / QUERY(GOOGLEFINANCE(C40, ""low"", TODAY()-40, TODAY()), ""SELECT Col2 WHERE Col2 IS NOT NULL ORDE"&amp;"R BY Col1 DESC LIMIT 20"", 0) - 1)))"),"#N/A")</f>
        <v>#N/A</v>
      </c>
      <c r="H40" s="35" t="str">
        <f t="shared" si="6"/>
        <v>Liquid</v>
      </c>
      <c r="I40" s="35" t="str">
        <f t="shared" si="7"/>
        <v>No RVol Required</v>
      </c>
      <c r="J40" s="37">
        <f>IFERROR(__xludf.DUMMYFUNCTION("IFERROR(
  IF(C40="""",, 
    IFERROR(
      GOOGLEFINANCE(C40, ""price"") * GOOGLEFINANCE(C40, ""volumeavg""), 
      GOOGLEFINANCE(C40, ""price"") * AVERAGE(QUERY(GOOGLEFINANCE(C40, ""volume"", TODAY()-40, TODAY()), ""SELECT Col2 WHERE Col2 IS NOT NULL "&amp;"ORDER BY Col1 DESC LIMIT 20"", 0))
    )
  ), 
"""")"),5.7794461236E8)</f>
        <v>577944612.4</v>
      </c>
      <c r="K40" s="21">
        <f>IFERROR(__xludf.DUMMYFUNCTION("IFERROR(GOOGLEFINANCE(C40, ""changepct"") / 100, """")"),0.022400000000000003)</f>
        <v>0.0224</v>
      </c>
      <c r="L40" s="21" t="str">
        <f>IFERROR(__xludf.DUMMYFUNCTION("IFERROR((GOOGLEFINANCE(C40, ""price"") / INDEX(GOOGLEFINANCE(C40, ""price"", TODAY()-7, TODAY()), 2, 2)) - 1, """")"),"")</f>
        <v/>
      </c>
      <c r="M40" s="21" t="str">
        <f>IFERROR(__xludf.DUMMYFUNCTION("IFERROR((GOOGLEFINANCE(C40, ""price"") / INDEX(GOOGLEFINANCE(C40, ""price"", EDATE(TODAY(), -1), TODAY()), 2, 2)) - 1, """")"),"")</f>
        <v/>
      </c>
      <c r="N40" s="21" t="str">
        <f>IFERROR(__xludf.DUMMYFUNCTION("IFERROR((GOOGLEFINANCE(C40, ""price"") / INDEX(GOOGLEFINANCE(C40, ""price"", EDATE(TODAY(), -3), TODAY()), 2, 2)) - 1, """")"),"")</f>
        <v/>
      </c>
      <c r="O40" s="21" t="str">
        <f>IFERROR(__xludf.DUMMYFUNCTION("IFERROR((GOOGLEFINANCE(C40, ""price"") / INDEX(GOOGLEFINANCE(C40, ""price"", EDATE(TODAY(), -6), TODAY()), 2, 2)) - 1, """")"),"")</f>
        <v/>
      </c>
      <c r="P40" s="21" t="str">
        <f>IFERROR(__xludf.DUMMYFUNCTION("IFERROR((GOOGLEFINANCE(C40, ""price"") / INDEX(GOOGLEFINANCE(C40, ""price"", EDATE(TODAY(), -12), TODAY()), 2, 2)) - 1, """")"),"")</f>
        <v/>
      </c>
      <c r="Q40" s="6" t="str">
        <f>IFERROR(__xludf.DUMMYFUNCTION("AVERAGE(QUERY(GOOGLEFINANCE(C40, ""price"", TODAY()-80, TODAY()), ""SELECT Col2 WHERE Col2 IS NOT NULL ORDER BY Col1 DESC LIMIT 50"", 0))"),"#N/A")</f>
        <v>#N/A</v>
      </c>
      <c r="R40" s="24" t="str">
        <f>IFERROR(__xludf.DUMMYFUNCTION("IFERROR(
  LET(
    data, QUERY(GOOGLEFINANCE(C40,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GOOGLEFINANCE(C40, ""price"")) * 100,
    IF(calc=0, G40, calc)
  ), 
G40)"),"#N/A")</f>
        <v>#N/A</v>
      </c>
      <c r="S40" s="8" t="s">
        <v>15</v>
      </c>
      <c r="T40" s="26" t="str">
        <f>IFERROR(__xludf.DUMMYFUNCTION("IFERROR(TRANSPOSE(QUERY(IFERROR(SORT(GOOGLEFINANCE(C40, ""price"", WORKDAY(TODAY(), -40), TODAY()), 1, FALSE)), ""select Col2 where Col2 is not null limit 22 label Col2 ''"", 0)), """")"),"")</f>
        <v/>
      </c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8"/>
      <c r="AO40" s="28"/>
      <c r="AP40" s="29"/>
      <c r="AQ40" s="29" t="str">
        <f t="shared" ref="AQ40:BL40" si="43">T40/T$2</f>
        <v>#N/A</v>
      </c>
      <c r="AR40" s="29" t="str">
        <f t="shared" si="43"/>
        <v>#DIV/0!</v>
      </c>
      <c r="AS40" s="29" t="str">
        <f t="shared" si="43"/>
        <v>#DIV/0!</v>
      </c>
      <c r="AT40" s="29" t="str">
        <f t="shared" si="43"/>
        <v>#DIV/0!</v>
      </c>
      <c r="AU40" s="29" t="str">
        <f t="shared" si="43"/>
        <v>#DIV/0!</v>
      </c>
      <c r="AV40" s="29" t="str">
        <f t="shared" si="43"/>
        <v>#DIV/0!</v>
      </c>
      <c r="AW40" s="29" t="str">
        <f t="shared" si="43"/>
        <v>#DIV/0!</v>
      </c>
      <c r="AX40" s="29" t="str">
        <f t="shared" si="43"/>
        <v>#DIV/0!</v>
      </c>
      <c r="AY40" s="29" t="str">
        <f t="shared" si="43"/>
        <v>#DIV/0!</v>
      </c>
      <c r="AZ40" s="29" t="str">
        <f t="shared" si="43"/>
        <v>#DIV/0!</v>
      </c>
      <c r="BA40" s="29" t="str">
        <f t="shared" si="43"/>
        <v>#DIV/0!</v>
      </c>
      <c r="BB40" s="29" t="str">
        <f t="shared" si="43"/>
        <v>#DIV/0!</v>
      </c>
      <c r="BC40" s="29" t="str">
        <f t="shared" si="43"/>
        <v>#DIV/0!</v>
      </c>
      <c r="BD40" s="29" t="str">
        <f t="shared" si="43"/>
        <v>#DIV/0!</v>
      </c>
      <c r="BE40" s="29" t="str">
        <f t="shared" si="43"/>
        <v>#DIV/0!</v>
      </c>
      <c r="BF40" s="29" t="str">
        <f t="shared" si="43"/>
        <v>#DIV/0!</v>
      </c>
      <c r="BG40" s="29" t="str">
        <f t="shared" si="43"/>
        <v>#DIV/0!</v>
      </c>
      <c r="BH40" s="29" t="str">
        <f t="shared" si="43"/>
        <v>#DIV/0!</v>
      </c>
      <c r="BI40" s="29" t="str">
        <f t="shared" si="43"/>
        <v>#DIV/0!</v>
      </c>
      <c r="BJ40" s="29" t="str">
        <f t="shared" si="43"/>
        <v>#DIV/0!</v>
      </c>
      <c r="BK40" s="29" t="str">
        <f t="shared" si="43"/>
        <v>#DIV/0!</v>
      </c>
      <c r="BL40" s="29" t="str">
        <f t="shared" si="43"/>
        <v>#DIV/0!</v>
      </c>
      <c r="BM40" s="29" t="str">
        <f t="shared" si="3"/>
        <v>#DIV/0!</v>
      </c>
    </row>
    <row r="41">
      <c r="A41" s="16" t="str">
        <f>IFERROR(__xludf.DUMMYFUNCTION("IFERROR(SPARKLINE(SORT(MAP(TRANSPOSE(AQ41:BL41), LAMBDA(val, IF(ISNUMBER(val), PERCENTRANK(AQ41:BL41, val)+0.01, 0))), SEQUENCE(COLUMNS(AQ41:BL41)), FALSE), {""charttype"",""column""; ""color"",""chartreuse""; ""ymin"", 0; ""ymax"", 1.01; ""highcolor"", "&amp;"""darkgreen""; ""lowcolor"", ""red""}), """")"),"")</f>
        <v/>
      </c>
      <c r="B41" s="17" t="str">
        <f t="shared" si="4"/>
        <v/>
      </c>
      <c r="C41" s="45" t="s">
        <v>2775</v>
      </c>
      <c r="D41" s="30" t="str">
        <f>IFERROR(__xludf.DUMMYFUNCTION("IFERROR(GOOGLEFINANCE(C41, ""NAME""))"),"UGI Corp")</f>
        <v>UGI Corp</v>
      </c>
      <c r="E41" s="30" t="s">
        <v>2651</v>
      </c>
      <c r="F41" s="33" t="str">
        <f>IFERROR(__xludf.DUMMYFUNCTION("( (GOOGLEFINANCE(C41, ""price"") - Q41) / Q41 ) / (R41 / 100)"),"Loading...")</f>
        <v>Loading...</v>
      </c>
      <c r="G41" s="20" t="str">
        <f>IFERROR(__xludf.DUMMYFUNCTION("AVERAGE(ARRAYFORMULA(100 * (QUERY(GOOGLEFINANCE(C41, ""high"", TODAY()-40, TODAY()), ""SELECT Col2 WHERE Col2 IS NOT NULL ORDER BY Col1 DESC LIMIT 20"", 0) / QUERY(GOOGLEFINANCE(C41, ""low"", TODAY()-40, TODAY()), ""SELECT Col2 WHERE Col2 IS NOT NULL ORDE"&amp;"R BY Col1 DESC LIMIT 20"", 0) - 1)))"),"#N/A")</f>
        <v>#N/A</v>
      </c>
      <c r="H41" s="35" t="str">
        <f t="shared" si="6"/>
        <v>Liquid</v>
      </c>
      <c r="I41" s="35" t="str">
        <f t="shared" si="7"/>
        <v>RVol Required</v>
      </c>
      <c r="J41" s="37">
        <f>IFERROR(__xludf.DUMMYFUNCTION("IFERROR(
  IF(C41="""",, 
    IFERROR(
      GOOGLEFINANCE(C41, ""price"") * GOOGLEFINANCE(C41, ""volumeavg""), 
      GOOGLEFINANCE(C41, ""price"") * AVERAGE(QUERY(GOOGLEFINANCE(C41, ""volume"", TODAY()-40, TODAY()), ""SELECT Col2 WHERE Col2 IS NOT NULL "&amp;"ORDER BY Col1 DESC LIMIT 20"", 0))
    )
  ), 
"""")"),7.085565837E7)</f>
        <v>70855658.37</v>
      </c>
      <c r="K41" s="21">
        <f>IFERROR(__xludf.DUMMYFUNCTION("IFERROR(GOOGLEFINANCE(C41, ""changepct"") / 100, """")"),0.024300000000000002)</f>
        <v>0.0243</v>
      </c>
      <c r="L41" s="21" t="str">
        <f>IFERROR(__xludf.DUMMYFUNCTION("IFERROR((GOOGLEFINANCE(C41, ""price"") / INDEX(GOOGLEFINANCE(C41, ""price"", TODAY()-7, TODAY()), 2, 2)) - 1, """")"),"")</f>
        <v/>
      </c>
      <c r="M41" s="21" t="str">
        <f>IFERROR(__xludf.DUMMYFUNCTION("IFERROR((GOOGLEFINANCE(C41, ""price"") / INDEX(GOOGLEFINANCE(C41, ""price"", EDATE(TODAY(), -1), TODAY()), 2, 2)) - 1, """")"),"")</f>
        <v/>
      </c>
      <c r="N41" s="21" t="str">
        <f>IFERROR(__xludf.DUMMYFUNCTION("IFERROR((GOOGLEFINANCE(C41, ""price"") / INDEX(GOOGLEFINANCE(C41, ""price"", EDATE(TODAY(), -3), TODAY()), 2, 2)) - 1, """")"),"")</f>
        <v/>
      </c>
      <c r="O41" s="21" t="str">
        <f>IFERROR(__xludf.DUMMYFUNCTION("IFERROR((GOOGLEFINANCE(C41, ""price"") / INDEX(GOOGLEFINANCE(C41, ""price"", EDATE(TODAY(), -6), TODAY()), 2, 2)) - 1, """")"),"")</f>
        <v/>
      </c>
      <c r="P41" s="21" t="str">
        <f>IFERROR(__xludf.DUMMYFUNCTION("IFERROR((GOOGLEFINANCE(C41, ""price"") / INDEX(GOOGLEFINANCE(C41, ""price"", EDATE(TODAY(), -12), TODAY()), 2, 2)) - 1, """")"),"")</f>
        <v/>
      </c>
      <c r="Q41" s="6" t="str">
        <f>IFERROR(__xludf.DUMMYFUNCTION("AVERAGE(QUERY(GOOGLEFINANCE(C41, ""price"", TODAY()-80, TODAY()), ""SELECT Col2 WHERE Col2 IS NOT NULL ORDER BY Col1 DESC LIMIT 50"", 0))"),"#N/A")</f>
        <v>#N/A</v>
      </c>
      <c r="R41" s="24" t="str">
        <f>IFERROR(__xludf.DUMMYFUNCTION("IFERROR(
  LET(
    data, QUERY(GOOGLEFINANCE(C41,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GOOGLEFINANCE(C41, ""price"")) * 100,
    IF(calc=0, G41, calc)
  ), 
G41)"),"#N/A")</f>
        <v>#N/A</v>
      </c>
      <c r="S41" s="8" t="s">
        <v>15</v>
      </c>
      <c r="T41" s="26" t="str">
        <f>IFERROR(__xludf.DUMMYFUNCTION("IFERROR(TRANSPOSE(QUERY(IFERROR(SORT(GOOGLEFINANCE(C41, ""price"", WORKDAY(TODAY(), -40), TODAY()), 1, FALSE)), ""select Col2 where Col2 is not null limit 22 label Col2 ''"", 0)), """")"),"")</f>
        <v/>
      </c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8"/>
      <c r="AO41" s="28"/>
      <c r="AP41" s="29"/>
      <c r="AQ41" s="29" t="str">
        <f t="shared" ref="AQ41:BL41" si="44">T41/T$2</f>
        <v>#N/A</v>
      </c>
      <c r="AR41" s="29" t="str">
        <f t="shared" si="44"/>
        <v>#DIV/0!</v>
      </c>
      <c r="AS41" s="29" t="str">
        <f t="shared" si="44"/>
        <v>#DIV/0!</v>
      </c>
      <c r="AT41" s="29" t="str">
        <f t="shared" si="44"/>
        <v>#DIV/0!</v>
      </c>
      <c r="AU41" s="29" t="str">
        <f t="shared" si="44"/>
        <v>#DIV/0!</v>
      </c>
      <c r="AV41" s="29" t="str">
        <f t="shared" si="44"/>
        <v>#DIV/0!</v>
      </c>
      <c r="AW41" s="29" t="str">
        <f t="shared" si="44"/>
        <v>#DIV/0!</v>
      </c>
      <c r="AX41" s="29" t="str">
        <f t="shared" si="44"/>
        <v>#DIV/0!</v>
      </c>
      <c r="AY41" s="29" t="str">
        <f t="shared" si="44"/>
        <v>#DIV/0!</v>
      </c>
      <c r="AZ41" s="29" t="str">
        <f t="shared" si="44"/>
        <v>#DIV/0!</v>
      </c>
      <c r="BA41" s="29" t="str">
        <f t="shared" si="44"/>
        <v>#DIV/0!</v>
      </c>
      <c r="BB41" s="29" t="str">
        <f t="shared" si="44"/>
        <v>#DIV/0!</v>
      </c>
      <c r="BC41" s="29" t="str">
        <f t="shared" si="44"/>
        <v>#DIV/0!</v>
      </c>
      <c r="BD41" s="29" t="str">
        <f t="shared" si="44"/>
        <v>#DIV/0!</v>
      </c>
      <c r="BE41" s="29" t="str">
        <f t="shared" si="44"/>
        <v>#DIV/0!</v>
      </c>
      <c r="BF41" s="29" t="str">
        <f t="shared" si="44"/>
        <v>#DIV/0!</v>
      </c>
      <c r="BG41" s="29" t="str">
        <f t="shared" si="44"/>
        <v>#DIV/0!</v>
      </c>
      <c r="BH41" s="29" t="str">
        <f t="shared" si="44"/>
        <v>#DIV/0!</v>
      </c>
      <c r="BI41" s="29" t="str">
        <f t="shared" si="44"/>
        <v>#DIV/0!</v>
      </c>
      <c r="BJ41" s="29" t="str">
        <f t="shared" si="44"/>
        <v>#DIV/0!</v>
      </c>
      <c r="BK41" s="29" t="str">
        <f t="shared" si="44"/>
        <v>#DIV/0!</v>
      </c>
      <c r="BL41" s="29" t="str">
        <f t="shared" si="44"/>
        <v>#DIV/0!</v>
      </c>
      <c r="BM41" s="29" t="str">
        <f t="shared" si="3"/>
        <v>#DIV/0!</v>
      </c>
    </row>
    <row r="42">
      <c r="A42" s="16" t="str">
        <f>IFERROR(__xludf.DUMMYFUNCTION("IFERROR(SPARKLINE(SORT(MAP(TRANSPOSE(AQ42:BL42), LAMBDA(val, IF(ISNUMBER(val), PERCENTRANK(AQ42:BL42, val)+0.01, 0))), SEQUENCE(COLUMNS(AQ42:BL42)), FALSE), {""charttype"",""column""; ""color"",""chartreuse""; ""ymin"", 0; ""ymax"", 1.01; ""highcolor"", "&amp;"""darkgreen""; ""lowcolor"", ""red""}), """")"),"")</f>
        <v/>
      </c>
      <c r="B42" s="17" t="str">
        <f t="shared" si="4"/>
        <v/>
      </c>
      <c r="C42" s="45" t="s">
        <v>2779</v>
      </c>
      <c r="D42" s="30" t="str">
        <f>IFERROR(__xludf.DUMMYFUNCTION("IFERROR(GOOGLEFINANCE(C42, ""NAME""))"),"AES Corp")</f>
        <v>AES Corp</v>
      </c>
      <c r="E42" s="30" t="s">
        <v>2628</v>
      </c>
      <c r="F42" s="33" t="str">
        <f>IFERROR(__xludf.DUMMYFUNCTION("( (GOOGLEFINANCE(C42, ""price"") - Q42) / Q42 ) / (R42 / 100)"),"Loading...")</f>
        <v>Loading...</v>
      </c>
      <c r="G42" s="20" t="str">
        <f>IFERROR(__xludf.DUMMYFUNCTION("AVERAGE(ARRAYFORMULA(100 * (QUERY(GOOGLEFINANCE(C42, ""high"", TODAY()-40, TODAY()), ""SELECT Col2 WHERE Col2 IS NOT NULL ORDER BY Col1 DESC LIMIT 20"", 0) / QUERY(GOOGLEFINANCE(C42, ""low"", TODAY()-40, TODAY()), ""SELECT Col2 WHERE Col2 IS NOT NULL ORDE"&amp;"R BY Col1 DESC LIMIT 20"", 0) - 1)))"),"#N/A")</f>
        <v>#N/A</v>
      </c>
      <c r="H42" s="35" t="str">
        <f t="shared" si="6"/>
        <v>Liquid</v>
      </c>
      <c r="I42" s="35" t="str">
        <f t="shared" si="7"/>
        <v>RVol Required</v>
      </c>
      <c r="J42" s="37">
        <f>IFERROR(__xludf.DUMMYFUNCTION("IFERROR(
  IF(C42="""",, 
    IFERROR(
      GOOGLEFINANCE(C42, ""price"") * GOOGLEFINANCE(C42, ""volumeavg""), 
      GOOGLEFINANCE(C42, ""price"") * AVERAGE(QUERY(GOOGLEFINANCE(C42, ""volume"", TODAY()-40, TODAY()), ""SELECT Col2 WHERE Col2 IS NOT NULL "&amp;"ORDER BY Col1 DESC LIMIT 20"", 0))
    )
  ), 
"""")"),1.2863356739999999E8)</f>
        <v>128633567.4</v>
      </c>
      <c r="K42" s="21">
        <f>IFERROR(__xludf.DUMMYFUNCTION("IFERROR(GOOGLEFINANCE(C42, ""changepct"") / 100, """")"),-0.0013)</f>
        <v>-0.0013</v>
      </c>
      <c r="L42" s="21" t="str">
        <f>IFERROR(__xludf.DUMMYFUNCTION("IFERROR((GOOGLEFINANCE(C42, ""price"") / INDEX(GOOGLEFINANCE(C42, ""price"", TODAY()-7, TODAY()), 2, 2)) - 1, """")"),"")</f>
        <v/>
      </c>
      <c r="M42" s="21" t="str">
        <f>IFERROR(__xludf.DUMMYFUNCTION("IFERROR((GOOGLEFINANCE(C42, ""price"") / INDEX(GOOGLEFINANCE(C42, ""price"", EDATE(TODAY(), -1), TODAY()), 2, 2)) - 1, """")"),"")</f>
        <v/>
      </c>
      <c r="N42" s="21" t="str">
        <f>IFERROR(__xludf.DUMMYFUNCTION("IFERROR((GOOGLEFINANCE(C42, ""price"") / INDEX(GOOGLEFINANCE(C42, ""price"", EDATE(TODAY(), -3), TODAY()), 2, 2)) - 1, """")"),"")</f>
        <v/>
      </c>
      <c r="O42" s="21" t="str">
        <f>IFERROR(__xludf.DUMMYFUNCTION("IFERROR((GOOGLEFINANCE(C42, ""price"") / INDEX(GOOGLEFINANCE(C42, ""price"", EDATE(TODAY(), -6), TODAY()), 2, 2)) - 1, """")"),"")</f>
        <v/>
      </c>
      <c r="P42" s="21" t="str">
        <f>IFERROR(__xludf.DUMMYFUNCTION("IFERROR((GOOGLEFINANCE(C42, ""price"") / INDEX(GOOGLEFINANCE(C42, ""price"", EDATE(TODAY(), -12), TODAY()), 2, 2)) - 1, """")"),"")</f>
        <v/>
      </c>
      <c r="Q42" s="6" t="str">
        <f>IFERROR(__xludf.DUMMYFUNCTION("AVERAGE(QUERY(GOOGLEFINANCE(C42, ""price"", TODAY()-80, TODAY()), ""SELECT Col2 WHERE Col2 IS NOT NULL ORDER BY Col1 DESC LIMIT 50"", 0))"),"#N/A")</f>
        <v>#N/A</v>
      </c>
      <c r="R42" s="24" t="str">
        <f>IFERROR(__xludf.DUMMYFUNCTION("IFERROR(
  LET(
    data, QUERY(GOOGLEFINANCE(C42,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GOOGLEFINANCE(C42, ""price"")) * 100,
    IF(calc=0, G42, calc)
  ), 
G42)"),"#N/A")</f>
        <v>#N/A</v>
      </c>
      <c r="S42" s="8" t="s">
        <v>15</v>
      </c>
      <c r="T42" s="26" t="str">
        <f>IFERROR(__xludf.DUMMYFUNCTION("IFERROR(TRANSPOSE(QUERY(IFERROR(SORT(GOOGLEFINANCE(C42, ""price"", WORKDAY(TODAY(), -40), TODAY()), 1, FALSE)), ""select Col2 where Col2 is not null limit 22 label Col2 ''"", 0)), """")"),"")</f>
        <v/>
      </c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8"/>
      <c r="AO42" s="28"/>
      <c r="AP42" s="29"/>
      <c r="AQ42" s="29" t="str">
        <f t="shared" ref="AQ42:BL42" si="45">T42/T$2</f>
        <v>#N/A</v>
      </c>
      <c r="AR42" s="29" t="str">
        <f t="shared" si="45"/>
        <v>#DIV/0!</v>
      </c>
      <c r="AS42" s="29" t="str">
        <f t="shared" si="45"/>
        <v>#DIV/0!</v>
      </c>
      <c r="AT42" s="29" t="str">
        <f t="shared" si="45"/>
        <v>#DIV/0!</v>
      </c>
      <c r="AU42" s="29" t="str">
        <f t="shared" si="45"/>
        <v>#DIV/0!</v>
      </c>
      <c r="AV42" s="29" t="str">
        <f t="shared" si="45"/>
        <v>#DIV/0!</v>
      </c>
      <c r="AW42" s="29" t="str">
        <f t="shared" si="45"/>
        <v>#DIV/0!</v>
      </c>
      <c r="AX42" s="29" t="str">
        <f t="shared" si="45"/>
        <v>#DIV/0!</v>
      </c>
      <c r="AY42" s="29" t="str">
        <f t="shared" si="45"/>
        <v>#DIV/0!</v>
      </c>
      <c r="AZ42" s="29" t="str">
        <f t="shared" si="45"/>
        <v>#DIV/0!</v>
      </c>
      <c r="BA42" s="29" t="str">
        <f t="shared" si="45"/>
        <v>#DIV/0!</v>
      </c>
      <c r="BB42" s="29" t="str">
        <f t="shared" si="45"/>
        <v>#DIV/0!</v>
      </c>
      <c r="BC42" s="29" t="str">
        <f t="shared" si="45"/>
        <v>#DIV/0!</v>
      </c>
      <c r="BD42" s="29" t="str">
        <f t="shared" si="45"/>
        <v>#DIV/0!</v>
      </c>
      <c r="BE42" s="29" t="str">
        <f t="shared" si="45"/>
        <v>#DIV/0!</v>
      </c>
      <c r="BF42" s="29" t="str">
        <f t="shared" si="45"/>
        <v>#DIV/0!</v>
      </c>
      <c r="BG42" s="29" t="str">
        <f t="shared" si="45"/>
        <v>#DIV/0!</v>
      </c>
      <c r="BH42" s="29" t="str">
        <f t="shared" si="45"/>
        <v>#DIV/0!</v>
      </c>
      <c r="BI42" s="29" t="str">
        <f t="shared" si="45"/>
        <v>#DIV/0!</v>
      </c>
      <c r="BJ42" s="29" t="str">
        <f t="shared" si="45"/>
        <v>#DIV/0!</v>
      </c>
      <c r="BK42" s="29" t="str">
        <f t="shared" si="45"/>
        <v>#DIV/0!</v>
      </c>
      <c r="BL42" s="29" t="str">
        <f t="shared" si="45"/>
        <v>#DIV/0!</v>
      </c>
      <c r="BM42" s="29" t="str">
        <f t="shared" si="3"/>
        <v>#DIV/0!</v>
      </c>
    </row>
    <row r="43">
      <c r="A43" s="16" t="str">
        <f>IFERROR(__xludf.DUMMYFUNCTION("IFERROR(SPARKLINE(SORT(MAP(TRANSPOSE(AQ43:BL43), LAMBDA(val, IF(ISNUMBER(val), PERCENTRANK(AQ43:BL43, val)+0.01, 0))), SEQUENCE(COLUMNS(AQ43:BL43)), FALSE), {""charttype"",""column""; ""color"",""chartreuse""; ""ymin"", 0; ""ymax"", 1.01; ""highcolor"", "&amp;"""darkgreen""; ""lowcolor"", ""red""}), """")"),"")</f>
        <v/>
      </c>
      <c r="B43" s="17" t="str">
        <f t="shared" si="4"/>
        <v/>
      </c>
      <c r="C43" s="45" t="s">
        <v>2782</v>
      </c>
      <c r="D43" s="30" t="str">
        <f>IFERROR(__xludf.DUMMYFUNCTION("IFERROR(GOOGLEFINANCE(C43, ""NAME""))"),"Sempra")</f>
        <v>Sempra</v>
      </c>
      <c r="E43" s="30" t="s">
        <v>2628</v>
      </c>
      <c r="F43" s="33" t="str">
        <f>IFERROR(__xludf.DUMMYFUNCTION("( (GOOGLEFINANCE(C43, ""price"") - Q43) / Q43 ) / (R43 / 100)"),"Loading...")</f>
        <v>Loading...</v>
      </c>
      <c r="G43" s="20" t="str">
        <f>IFERROR(__xludf.DUMMYFUNCTION("AVERAGE(ARRAYFORMULA(100 * (QUERY(GOOGLEFINANCE(C43, ""high"", TODAY()-40, TODAY()), ""SELECT Col2 WHERE Col2 IS NOT NULL ORDER BY Col1 DESC LIMIT 20"", 0) / QUERY(GOOGLEFINANCE(C43, ""low"", TODAY()-40, TODAY()), ""SELECT Col2 WHERE Col2 IS NOT NULL ORDE"&amp;"R BY Col1 DESC LIMIT 20"", 0) - 1)))"),"#N/A")</f>
        <v>#N/A</v>
      </c>
      <c r="H43" s="35" t="str">
        <f t="shared" si="6"/>
        <v>Liquid</v>
      </c>
      <c r="I43" s="35" t="str">
        <f t="shared" si="7"/>
        <v>RVol Required</v>
      </c>
      <c r="J43" s="37">
        <f>IFERROR(__xludf.DUMMYFUNCTION("IFERROR(
  IF(C43="""",, 
    IFERROR(
      GOOGLEFINANCE(C43, ""price"") * GOOGLEFINANCE(C43, ""volumeavg""), 
      GOOGLEFINANCE(C43, ""price"") * AVERAGE(QUERY(GOOGLEFINANCE(C43, ""volume"", TODAY()-40, TODAY()), ""SELECT Col2 WHERE Col2 IS NOT NULL "&amp;"ORDER BY Col1 DESC LIMIT 20"", 0))
    )
  ), 
"""")"),2.8068157303E8)</f>
        <v>280681573</v>
      </c>
      <c r="K43" s="21">
        <f>IFERROR(__xludf.DUMMYFUNCTION("IFERROR(GOOGLEFINANCE(C43, ""changepct"") / 100, """")"),0.0181)</f>
        <v>0.0181</v>
      </c>
      <c r="L43" s="21" t="str">
        <f>IFERROR(__xludf.DUMMYFUNCTION("IFERROR((GOOGLEFINANCE(C43, ""price"") / INDEX(GOOGLEFINANCE(C43, ""price"", TODAY()-7, TODAY()), 2, 2)) - 1, """")"),"")</f>
        <v/>
      </c>
      <c r="M43" s="21" t="str">
        <f>IFERROR(__xludf.DUMMYFUNCTION("IFERROR((GOOGLEFINANCE(C43, ""price"") / INDEX(GOOGLEFINANCE(C43, ""price"", EDATE(TODAY(), -1), TODAY()), 2, 2)) - 1, """")"),"")</f>
        <v/>
      </c>
      <c r="N43" s="21" t="str">
        <f>IFERROR(__xludf.DUMMYFUNCTION("IFERROR((GOOGLEFINANCE(C43, ""price"") / INDEX(GOOGLEFINANCE(C43, ""price"", EDATE(TODAY(), -3), TODAY()), 2, 2)) - 1, """")"),"")</f>
        <v/>
      </c>
      <c r="O43" s="21" t="str">
        <f>IFERROR(__xludf.DUMMYFUNCTION("IFERROR((GOOGLEFINANCE(C43, ""price"") / INDEX(GOOGLEFINANCE(C43, ""price"", EDATE(TODAY(), -6), TODAY()), 2, 2)) - 1, """")"),"")</f>
        <v/>
      </c>
      <c r="P43" s="21" t="str">
        <f>IFERROR(__xludf.DUMMYFUNCTION("IFERROR((GOOGLEFINANCE(C43, ""price"") / INDEX(GOOGLEFINANCE(C43, ""price"", EDATE(TODAY(), -12), TODAY()), 2, 2)) - 1, """")"),"")</f>
        <v/>
      </c>
      <c r="Q43" s="6" t="str">
        <f>IFERROR(__xludf.DUMMYFUNCTION("AVERAGE(QUERY(GOOGLEFINANCE(C43, ""price"", TODAY()-80, TODAY()), ""SELECT Col2 WHERE Col2 IS NOT NULL ORDER BY Col1 DESC LIMIT 50"", 0))"),"#N/A")</f>
        <v>#N/A</v>
      </c>
      <c r="R43" s="24" t="str">
        <f>IFERROR(__xludf.DUMMYFUNCTION("IFERROR(
  LET(
    data, QUERY(GOOGLEFINANCE(C43,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GOOGLEFINANCE(C43, ""price"")) * 100,
    IF(calc=0, G43, calc)
  ), 
G43)"),"#N/A")</f>
        <v>#N/A</v>
      </c>
      <c r="S43" s="8" t="s">
        <v>15</v>
      </c>
      <c r="T43" s="26" t="str">
        <f>IFERROR(__xludf.DUMMYFUNCTION("IFERROR(TRANSPOSE(QUERY(IFERROR(SORT(GOOGLEFINANCE(C43, ""price"", WORKDAY(TODAY(), -40), TODAY()), 1, FALSE)), ""select Col2 where Col2 is not null limit 22 label Col2 ''"", 0)), """")"),"")</f>
        <v/>
      </c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8"/>
      <c r="AO43" s="28"/>
      <c r="AP43" s="29"/>
      <c r="AQ43" s="29" t="str">
        <f t="shared" ref="AQ43:BL43" si="46">T43/T$2</f>
        <v>#N/A</v>
      </c>
      <c r="AR43" s="29" t="str">
        <f t="shared" si="46"/>
        <v>#DIV/0!</v>
      </c>
      <c r="AS43" s="29" t="str">
        <f t="shared" si="46"/>
        <v>#DIV/0!</v>
      </c>
      <c r="AT43" s="29" t="str">
        <f t="shared" si="46"/>
        <v>#DIV/0!</v>
      </c>
      <c r="AU43" s="29" t="str">
        <f t="shared" si="46"/>
        <v>#DIV/0!</v>
      </c>
      <c r="AV43" s="29" t="str">
        <f t="shared" si="46"/>
        <v>#DIV/0!</v>
      </c>
      <c r="AW43" s="29" t="str">
        <f t="shared" si="46"/>
        <v>#DIV/0!</v>
      </c>
      <c r="AX43" s="29" t="str">
        <f t="shared" si="46"/>
        <v>#DIV/0!</v>
      </c>
      <c r="AY43" s="29" t="str">
        <f t="shared" si="46"/>
        <v>#DIV/0!</v>
      </c>
      <c r="AZ43" s="29" t="str">
        <f t="shared" si="46"/>
        <v>#DIV/0!</v>
      </c>
      <c r="BA43" s="29" t="str">
        <f t="shared" si="46"/>
        <v>#DIV/0!</v>
      </c>
      <c r="BB43" s="29" t="str">
        <f t="shared" si="46"/>
        <v>#DIV/0!</v>
      </c>
      <c r="BC43" s="29" t="str">
        <f t="shared" si="46"/>
        <v>#DIV/0!</v>
      </c>
      <c r="BD43" s="29" t="str">
        <f t="shared" si="46"/>
        <v>#DIV/0!</v>
      </c>
      <c r="BE43" s="29" t="str">
        <f t="shared" si="46"/>
        <v>#DIV/0!</v>
      </c>
      <c r="BF43" s="29" t="str">
        <f t="shared" si="46"/>
        <v>#DIV/0!</v>
      </c>
      <c r="BG43" s="29" t="str">
        <f t="shared" si="46"/>
        <v>#DIV/0!</v>
      </c>
      <c r="BH43" s="29" t="str">
        <f t="shared" si="46"/>
        <v>#DIV/0!</v>
      </c>
      <c r="BI43" s="29" t="str">
        <f t="shared" si="46"/>
        <v>#DIV/0!</v>
      </c>
      <c r="BJ43" s="29" t="str">
        <f t="shared" si="46"/>
        <v>#DIV/0!</v>
      </c>
      <c r="BK43" s="29" t="str">
        <f t="shared" si="46"/>
        <v>#DIV/0!</v>
      </c>
      <c r="BL43" s="29" t="str">
        <f t="shared" si="46"/>
        <v>#DIV/0!</v>
      </c>
      <c r="BM43" s="29" t="str">
        <f t="shared" si="3"/>
        <v>#DIV/0!</v>
      </c>
    </row>
    <row r="44">
      <c r="A44" s="16" t="str">
        <f>IFERROR(__xludf.DUMMYFUNCTION("IFERROR(SPARKLINE(SORT(MAP(TRANSPOSE(AQ44:BL44), LAMBDA(val, IF(ISNUMBER(val), PERCENTRANK(AQ44:BL44, val)+0.01, 0))), SEQUENCE(COLUMNS(AQ44:BL44)), FALSE), {""charttype"",""column""; ""color"",""chartreuse""; ""ymin"", 0; ""ymax"", 1.01; ""highcolor"", "&amp;"""darkgreen""; ""lowcolor"", ""red""}), """")"),"")</f>
        <v/>
      </c>
      <c r="B44" s="17" t="str">
        <f t="shared" si="4"/>
        <v/>
      </c>
      <c r="C44" s="45" t="s">
        <v>2786</v>
      </c>
      <c r="D44" s="30" t="str">
        <f>IFERROR(__xludf.DUMMYFUNCTION("IFERROR(GOOGLEFINANCE(C44, ""NAME""))"),"Alliant Energy Corp")</f>
        <v>Alliant Energy Corp</v>
      </c>
      <c r="E44" s="30" t="s">
        <v>2660</v>
      </c>
      <c r="F44" s="33" t="str">
        <f>IFERROR(__xludf.DUMMYFUNCTION("( (GOOGLEFINANCE(C44, ""price"") - Q44) / Q44 ) / (R44 / 100)"),"Loading...")</f>
        <v>Loading...</v>
      </c>
      <c r="G44" s="20" t="str">
        <f>IFERROR(__xludf.DUMMYFUNCTION("AVERAGE(ARRAYFORMULA(100 * (QUERY(GOOGLEFINANCE(C44, ""high"", TODAY()-40, TODAY()), ""SELECT Col2 WHERE Col2 IS NOT NULL ORDER BY Col1 DESC LIMIT 20"", 0) / QUERY(GOOGLEFINANCE(C44, ""low"", TODAY()-40, TODAY()), ""SELECT Col2 WHERE Col2 IS NOT NULL ORDE"&amp;"R BY Col1 DESC LIMIT 20"", 0) - 1)))"),"#N/A")</f>
        <v>#N/A</v>
      </c>
      <c r="H44" s="35" t="str">
        <f t="shared" si="6"/>
        <v>Liquid</v>
      </c>
      <c r="I44" s="35" t="str">
        <f t="shared" si="7"/>
        <v>RVol Required</v>
      </c>
      <c r="J44" s="37">
        <f>IFERROR(__xludf.DUMMYFUNCTION("IFERROR(
  IF(C44="""",, 
    IFERROR(
      GOOGLEFINANCE(C44, ""price"") * GOOGLEFINANCE(C44, ""volumeavg""), 
      GOOGLEFINANCE(C44, ""price"") * AVERAGE(QUERY(GOOGLEFINANCE(C44, ""volume"", TODAY()-40, TODAY()), ""SELECT Col2 WHERE Col2 IS NOT NULL "&amp;"ORDER BY Col1 DESC LIMIT 20"", 0))
    )
  ), 
"""")"),1.8325138832E8)</f>
        <v>183251388.3</v>
      </c>
      <c r="K44" s="21">
        <f>IFERROR(__xludf.DUMMYFUNCTION("IFERROR(GOOGLEFINANCE(C44, ""changepct"") / 100, """")"),0.0182)</f>
        <v>0.0182</v>
      </c>
      <c r="L44" s="21" t="str">
        <f>IFERROR(__xludf.DUMMYFUNCTION("IFERROR((GOOGLEFINANCE(C44, ""price"") / INDEX(GOOGLEFINANCE(C44, ""price"", TODAY()-7, TODAY()), 2, 2)) - 1, """")"),"")</f>
        <v/>
      </c>
      <c r="M44" s="21" t="str">
        <f>IFERROR(__xludf.DUMMYFUNCTION("IFERROR((GOOGLEFINANCE(C44, ""price"") / INDEX(GOOGLEFINANCE(C44, ""price"", EDATE(TODAY(), -1), TODAY()), 2, 2)) - 1, """")"),"")</f>
        <v/>
      </c>
      <c r="N44" s="21" t="str">
        <f>IFERROR(__xludf.DUMMYFUNCTION("IFERROR((GOOGLEFINANCE(C44, ""price"") / INDEX(GOOGLEFINANCE(C44, ""price"", EDATE(TODAY(), -3), TODAY()), 2, 2)) - 1, """")"),"")</f>
        <v/>
      </c>
      <c r="O44" s="21" t="str">
        <f>IFERROR(__xludf.DUMMYFUNCTION("IFERROR((GOOGLEFINANCE(C44, ""price"") / INDEX(GOOGLEFINANCE(C44, ""price"", EDATE(TODAY(), -6), TODAY()), 2, 2)) - 1, """")"),"")</f>
        <v/>
      </c>
      <c r="P44" s="21" t="str">
        <f>IFERROR(__xludf.DUMMYFUNCTION("IFERROR((GOOGLEFINANCE(C44, ""price"") / INDEX(GOOGLEFINANCE(C44, ""price"", EDATE(TODAY(), -12), TODAY()), 2, 2)) - 1, """")"),"")</f>
        <v/>
      </c>
      <c r="Q44" s="6" t="str">
        <f>IFERROR(__xludf.DUMMYFUNCTION("AVERAGE(QUERY(GOOGLEFINANCE(C44, ""price"", TODAY()-80, TODAY()), ""SELECT Col2 WHERE Col2 IS NOT NULL ORDER BY Col1 DESC LIMIT 50"", 0))"),"#N/A")</f>
        <v>#N/A</v>
      </c>
      <c r="R44" s="24" t="str">
        <f>IFERROR(__xludf.DUMMYFUNCTION("IFERROR(
  LET(
    data, QUERY(GOOGLEFINANCE(C44,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GOOGLEFINANCE(C44, ""price"")) * 100,
    IF(calc=0, G44, calc)
  ), 
G44)"),"#N/A")</f>
        <v>#N/A</v>
      </c>
      <c r="S44" s="8" t="s">
        <v>15</v>
      </c>
      <c r="T44" s="26" t="str">
        <f>IFERROR(__xludf.DUMMYFUNCTION("IFERROR(TRANSPOSE(QUERY(IFERROR(SORT(GOOGLEFINANCE(C44, ""price"", WORKDAY(TODAY(), -40), TODAY()), 1, FALSE)), ""select Col2 where Col2 is not null limit 22 label Col2 ''"", 0)), """")"),"")</f>
        <v/>
      </c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8"/>
      <c r="AO44" s="28"/>
      <c r="AP44" s="29"/>
      <c r="AQ44" s="29" t="str">
        <f t="shared" ref="AQ44:BL44" si="47">T44/T$2</f>
        <v>#N/A</v>
      </c>
      <c r="AR44" s="29" t="str">
        <f t="shared" si="47"/>
        <v>#DIV/0!</v>
      </c>
      <c r="AS44" s="29" t="str">
        <f t="shared" si="47"/>
        <v>#DIV/0!</v>
      </c>
      <c r="AT44" s="29" t="str">
        <f t="shared" si="47"/>
        <v>#DIV/0!</v>
      </c>
      <c r="AU44" s="29" t="str">
        <f t="shared" si="47"/>
        <v>#DIV/0!</v>
      </c>
      <c r="AV44" s="29" t="str">
        <f t="shared" si="47"/>
        <v>#DIV/0!</v>
      </c>
      <c r="AW44" s="29" t="str">
        <f t="shared" si="47"/>
        <v>#DIV/0!</v>
      </c>
      <c r="AX44" s="29" t="str">
        <f t="shared" si="47"/>
        <v>#DIV/0!</v>
      </c>
      <c r="AY44" s="29" t="str">
        <f t="shared" si="47"/>
        <v>#DIV/0!</v>
      </c>
      <c r="AZ44" s="29" t="str">
        <f t="shared" si="47"/>
        <v>#DIV/0!</v>
      </c>
      <c r="BA44" s="29" t="str">
        <f t="shared" si="47"/>
        <v>#DIV/0!</v>
      </c>
      <c r="BB44" s="29" t="str">
        <f t="shared" si="47"/>
        <v>#DIV/0!</v>
      </c>
      <c r="BC44" s="29" t="str">
        <f t="shared" si="47"/>
        <v>#DIV/0!</v>
      </c>
      <c r="BD44" s="29" t="str">
        <f t="shared" si="47"/>
        <v>#DIV/0!</v>
      </c>
      <c r="BE44" s="29" t="str">
        <f t="shared" si="47"/>
        <v>#DIV/0!</v>
      </c>
      <c r="BF44" s="29" t="str">
        <f t="shared" si="47"/>
        <v>#DIV/0!</v>
      </c>
      <c r="BG44" s="29" t="str">
        <f t="shared" si="47"/>
        <v>#DIV/0!</v>
      </c>
      <c r="BH44" s="29" t="str">
        <f t="shared" si="47"/>
        <v>#DIV/0!</v>
      </c>
      <c r="BI44" s="29" t="str">
        <f t="shared" si="47"/>
        <v>#DIV/0!</v>
      </c>
      <c r="BJ44" s="29" t="str">
        <f t="shared" si="47"/>
        <v>#DIV/0!</v>
      </c>
      <c r="BK44" s="29" t="str">
        <f t="shared" si="47"/>
        <v>#DIV/0!</v>
      </c>
      <c r="BL44" s="29" t="str">
        <f t="shared" si="47"/>
        <v>#DIV/0!</v>
      </c>
      <c r="BM44" s="29" t="str">
        <f t="shared" si="3"/>
        <v>#DIV/0!</v>
      </c>
    </row>
    <row r="45">
      <c r="A45" s="16" t="str">
        <f>IFERROR(__xludf.DUMMYFUNCTION("IFERROR(SPARKLINE(SORT(MAP(TRANSPOSE(AQ45:BL45), LAMBDA(val, IF(ISNUMBER(val), PERCENTRANK(AQ45:BL45, val)+0.01, 0))), SEQUENCE(COLUMNS(AQ45:BL45)), FALSE), {""charttype"",""column""; ""color"",""chartreuse""; ""ymin"", 0; ""ymax"", 1.01; ""highcolor"", "&amp;"""darkgreen""; ""lowcolor"", ""red""}), """")"),"")</f>
        <v/>
      </c>
      <c r="B45" s="17" t="str">
        <f t="shared" si="4"/>
        <v/>
      </c>
      <c r="C45" s="45" t="s">
        <v>2789</v>
      </c>
      <c r="D45" s="30" t="str">
        <f>IFERROR(__xludf.DUMMYFUNCTION("IFERROR(GOOGLEFINANCE(C45, ""NAME""))"),"Public Service Enterprise Group Inc")</f>
        <v>Public Service Enterprise Group Inc</v>
      </c>
      <c r="E45" s="30" t="s">
        <v>2660</v>
      </c>
      <c r="F45" s="33" t="str">
        <f>IFERROR(__xludf.DUMMYFUNCTION("( (GOOGLEFINANCE(C45, ""price"") - Q45) / Q45 ) / (R45 / 100)"),"Loading...")</f>
        <v>Loading...</v>
      </c>
      <c r="G45" s="20" t="str">
        <f>IFERROR(__xludf.DUMMYFUNCTION("AVERAGE(ARRAYFORMULA(100 * (QUERY(GOOGLEFINANCE(C45, ""high"", TODAY()-40, TODAY()), ""SELECT Col2 WHERE Col2 IS NOT NULL ORDER BY Col1 DESC LIMIT 20"", 0) / QUERY(GOOGLEFINANCE(C45, ""low"", TODAY()-40, TODAY()), ""SELECT Col2 WHERE Col2 IS NOT NULL ORDE"&amp;"R BY Col1 DESC LIMIT 20"", 0) - 1)))"),"#N/A")</f>
        <v>#N/A</v>
      </c>
      <c r="H45" s="35" t="str">
        <f t="shared" si="6"/>
        <v>Liquid</v>
      </c>
      <c r="I45" s="35" t="str">
        <f t="shared" si="7"/>
        <v>RVol Required</v>
      </c>
      <c r="J45" s="37">
        <f>IFERROR(__xludf.DUMMYFUNCTION("IFERROR(
  IF(C45="""",, 
    IFERROR(
      GOOGLEFINANCE(C45, ""price"") * GOOGLEFINANCE(C45, ""volumeavg""), 
      GOOGLEFINANCE(C45, ""price"") * AVERAGE(QUERY(GOOGLEFINANCE(C45, ""volume"", TODAY()-40, TODAY()), ""SELECT Col2 WHERE Col2 IS NOT NULL "&amp;"ORDER BY Col1 DESC LIMIT 20"", 0))
    )
  ), 
"""")"),2.8532188026E8)</f>
        <v>285321880.3</v>
      </c>
      <c r="K45" s="21">
        <f>IFERROR(__xludf.DUMMYFUNCTION("IFERROR(GOOGLEFINANCE(C45, ""changepct"") / 100, """")"),0.0182)</f>
        <v>0.0182</v>
      </c>
      <c r="L45" s="21" t="str">
        <f>IFERROR(__xludf.DUMMYFUNCTION("IFERROR((GOOGLEFINANCE(C45, ""price"") / INDEX(GOOGLEFINANCE(C45, ""price"", TODAY()-7, TODAY()), 2, 2)) - 1, """")"),"")</f>
        <v/>
      </c>
      <c r="M45" s="21" t="str">
        <f>IFERROR(__xludf.DUMMYFUNCTION("IFERROR((GOOGLEFINANCE(C45, ""price"") / INDEX(GOOGLEFINANCE(C45, ""price"", EDATE(TODAY(), -1), TODAY()), 2, 2)) - 1, """")"),"")</f>
        <v/>
      </c>
      <c r="N45" s="21" t="str">
        <f>IFERROR(__xludf.DUMMYFUNCTION("IFERROR((GOOGLEFINANCE(C45, ""price"") / INDEX(GOOGLEFINANCE(C45, ""price"", EDATE(TODAY(), -3), TODAY()), 2, 2)) - 1, """")"),"")</f>
        <v/>
      </c>
      <c r="O45" s="21" t="str">
        <f>IFERROR(__xludf.DUMMYFUNCTION("IFERROR((GOOGLEFINANCE(C45, ""price"") / INDEX(GOOGLEFINANCE(C45, ""price"", EDATE(TODAY(), -6), TODAY()), 2, 2)) - 1, """")"),"")</f>
        <v/>
      </c>
      <c r="P45" s="21" t="str">
        <f>IFERROR(__xludf.DUMMYFUNCTION("IFERROR((GOOGLEFINANCE(C45, ""price"") / INDEX(GOOGLEFINANCE(C45, ""price"", EDATE(TODAY(), -12), TODAY()), 2, 2)) - 1, """")"),"")</f>
        <v/>
      </c>
      <c r="Q45" s="6" t="str">
        <f>IFERROR(__xludf.DUMMYFUNCTION("AVERAGE(QUERY(GOOGLEFINANCE(C45, ""price"", TODAY()-80, TODAY()), ""SELECT Col2 WHERE Col2 IS NOT NULL ORDER BY Col1 DESC LIMIT 50"", 0))"),"#N/A")</f>
        <v>#N/A</v>
      </c>
      <c r="R45" s="24" t="str">
        <f>IFERROR(__xludf.DUMMYFUNCTION("IFERROR(
  LET(
    data, QUERY(GOOGLEFINANCE(C45,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GOOGLEFINANCE(C45, ""price"")) * 100,
    IF(calc=0, G45, calc)
  ), 
G45)"),"#N/A")</f>
        <v>#N/A</v>
      </c>
      <c r="S45" s="8" t="s">
        <v>15</v>
      </c>
      <c r="T45" s="26" t="str">
        <f>IFERROR(__xludf.DUMMYFUNCTION("IFERROR(TRANSPOSE(QUERY(IFERROR(SORT(GOOGLEFINANCE(C45, ""price"", WORKDAY(TODAY(), -40), TODAY()), 1, FALSE)), ""select Col2 where Col2 is not null limit 22 label Col2 ''"", 0)), """")"),"")</f>
        <v/>
      </c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8"/>
      <c r="AO45" s="28"/>
      <c r="AP45" s="29"/>
      <c r="AQ45" s="29" t="str">
        <f t="shared" ref="AQ45:BL45" si="48">T45/T$2</f>
        <v>#N/A</v>
      </c>
      <c r="AR45" s="29" t="str">
        <f t="shared" si="48"/>
        <v>#DIV/0!</v>
      </c>
      <c r="AS45" s="29" t="str">
        <f t="shared" si="48"/>
        <v>#DIV/0!</v>
      </c>
      <c r="AT45" s="29" t="str">
        <f t="shared" si="48"/>
        <v>#DIV/0!</v>
      </c>
      <c r="AU45" s="29" t="str">
        <f t="shared" si="48"/>
        <v>#DIV/0!</v>
      </c>
      <c r="AV45" s="29" t="str">
        <f t="shared" si="48"/>
        <v>#DIV/0!</v>
      </c>
      <c r="AW45" s="29" t="str">
        <f t="shared" si="48"/>
        <v>#DIV/0!</v>
      </c>
      <c r="AX45" s="29" t="str">
        <f t="shared" si="48"/>
        <v>#DIV/0!</v>
      </c>
      <c r="AY45" s="29" t="str">
        <f t="shared" si="48"/>
        <v>#DIV/0!</v>
      </c>
      <c r="AZ45" s="29" t="str">
        <f t="shared" si="48"/>
        <v>#DIV/0!</v>
      </c>
      <c r="BA45" s="29" t="str">
        <f t="shared" si="48"/>
        <v>#DIV/0!</v>
      </c>
      <c r="BB45" s="29" t="str">
        <f t="shared" si="48"/>
        <v>#DIV/0!</v>
      </c>
      <c r="BC45" s="29" t="str">
        <f t="shared" si="48"/>
        <v>#DIV/0!</v>
      </c>
      <c r="BD45" s="29" t="str">
        <f t="shared" si="48"/>
        <v>#DIV/0!</v>
      </c>
      <c r="BE45" s="29" t="str">
        <f t="shared" si="48"/>
        <v>#DIV/0!</v>
      </c>
      <c r="BF45" s="29" t="str">
        <f t="shared" si="48"/>
        <v>#DIV/0!</v>
      </c>
      <c r="BG45" s="29" t="str">
        <f t="shared" si="48"/>
        <v>#DIV/0!</v>
      </c>
      <c r="BH45" s="29" t="str">
        <f t="shared" si="48"/>
        <v>#DIV/0!</v>
      </c>
      <c r="BI45" s="29" t="str">
        <f t="shared" si="48"/>
        <v>#DIV/0!</v>
      </c>
      <c r="BJ45" s="29" t="str">
        <f t="shared" si="48"/>
        <v>#DIV/0!</v>
      </c>
      <c r="BK45" s="29" t="str">
        <f t="shared" si="48"/>
        <v>#DIV/0!</v>
      </c>
      <c r="BL45" s="29" t="str">
        <f t="shared" si="48"/>
        <v>#DIV/0!</v>
      </c>
      <c r="BM45" s="29" t="str">
        <f t="shared" si="3"/>
        <v>#DIV/0!</v>
      </c>
    </row>
    <row r="46">
      <c r="A46" s="16" t="str">
        <f>IFERROR(__xludf.DUMMYFUNCTION("IFERROR(SPARKLINE(SORT(MAP(TRANSPOSE(AQ46:BL46), LAMBDA(val, IF(ISNUMBER(val), PERCENTRANK(AQ46:BL46, val)+0.01, 0))), SEQUENCE(COLUMNS(AQ46:BL46)), FALSE), {""charttype"",""column""; ""color"",""chartreuse""; ""ymin"", 0; ""ymax"", 1.01; ""highcolor"", "&amp;"""darkgreen""; ""lowcolor"", ""red""}), """")"),"")</f>
        <v/>
      </c>
      <c r="B46" s="17" t="str">
        <f t="shared" si="4"/>
        <v/>
      </c>
      <c r="C46" s="45" t="s">
        <v>2793</v>
      </c>
      <c r="D46" s="30" t="str">
        <f>IFERROR(__xludf.DUMMYFUNCTION("IFERROR(GOOGLEFINANCE(C46, ""NAME""))"),"Spire Inc")</f>
        <v>Spire Inc</v>
      </c>
      <c r="E46" s="30" t="s">
        <v>2651</v>
      </c>
      <c r="F46" s="33" t="str">
        <f>IFERROR(__xludf.DUMMYFUNCTION("( (GOOGLEFINANCE(C46, ""price"") - Q46) / Q46 ) / (R46 / 100)"),"Loading...")</f>
        <v>Loading...</v>
      </c>
      <c r="G46" s="20" t="str">
        <f>IFERROR(__xludf.DUMMYFUNCTION("AVERAGE(ARRAYFORMULA(100 * (QUERY(GOOGLEFINANCE(C46, ""high"", TODAY()-40, TODAY()), ""SELECT Col2 WHERE Col2 IS NOT NULL ORDER BY Col1 DESC LIMIT 20"", 0) / QUERY(GOOGLEFINANCE(C46, ""low"", TODAY()-40, TODAY()), ""SELECT Col2 WHERE Col2 IS NOT NULL ORDE"&amp;"R BY Col1 DESC LIMIT 20"", 0) - 1)))"),"#N/A")</f>
        <v>#N/A</v>
      </c>
      <c r="H46" s="35" t="str">
        <f t="shared" si="6"/>
        <v>Illiquid</v>
      </c>
      <c r="I46" s="35" t="str">
        <f t="shared" si="7"/>
        <v>RVol Required</v>
      </c>
      <c r="J46" s="37">
        <f>IFERROR(__xludf.DUMMYFUNCTION("IFERROR(
  IF(C46="""",, 
    IFERROR(
      GOOGLEFINANCE(C46, ""price"") * GOOGLEFINANCE(C46, ""volumeavg""), 
      GOOGLEFINANCE(C46, ""price"") * AVERAGE(QUERY(GOOGLEFINANCE(C46, ""volume"", TODAY()-40, TODAY()), ""SELECT Col2 WHERE Col2 IS NOT NULL "&amp;"ORDER BY Col1 DESC LIMIT 20"", 0))
    )
  ), 
"""")"),4.219811869E7)</f>
        <v>42198118.69</v>
      </c>
      <c r="K46" s="21">
        <f>IFERROR(__xludf.DUMMYFUNCTION("IFERROR(GOOGLEFINANCE(C46, ""changepct"") / 100, """")"),0.0159)</f>
        <v>0.0159</v>
      </c>
      <c r="L46" s="21" t="str">
        <f>IFERROR(__xludf.DUMMYFUNCTION("IFERROR((GOOGLEFINANCE(C46, ""price"") / INDEX(GOOGLEFINANCE(C46, ""price"", TODAY()-7, TODAY()), 2, 2)) - 1, """")"),"")</f>
        <v/>
      </c>
      <c r="M46" s="21" t="str">
        <f>IFERROR(__xludf.DUMMYFUNCTION("IFERROR((GOOGLEFINANCE(C46, ""price"") / INDEX(GOOGLEFINANCE(C46, ""price"", EDATE(TODAY(), -1), TODAY()), 2, 2)) - 1, """")"),"")</f>
        <v/>
      </c>
      <c r="N46" s="21" t="str">
        <f>IFERROR(__xludf.DUMMYFUNCTION("IFERROR((GOOGLEFINANCE(C46, ""price"") / INDEX(GOOGLEFINANCE(C46, ""price"", EDATE(TODAY(), -3), TODAY()), 2, 2)) - 1, """")"),"")</f>
        <v/>
      </c>
      <c r="O46" s="21" t="str">
        <f>IFERROR(__xludf.DUMMYFUNCTION("IFERROR((GOOGLEFINANCE(C46, ""price"") / INDEX(GOOGLEFINANCE(C46, ""price"", EDATE(TODAY(), -6), TODAY()), 2, 2)) - 1, """")"),"")</f>
        <v/>
      </c>
      <c r="P46" s="21" t="str">
        <f>IFERROR(__xludf.DUMMYFUNCTION("IFERROR((GOOGLEFINANCE(C46, ""price"") / INDEX(GOOGLEFINANCE(C46, ""price"", EDATE(TODAY(), -12), TODAY()), 2, 2)) - 1, """")"),"")</f>
        <v/>
      </c>
      <c r="Q46" s="6" t="str">
        <f>IFERROR(__xludf.DUMMYFUNCTION("AVERAGE(QUERY(GOOGLEFINANCE(C46, ""price"", TODAY()-80, TODAY()), ""SELECT Col2 WHERE Col2 IS NOT NULL ORDER BY Col1 DESC LIMIT 50"", 0))"),"#N/A")</f>
        <v>#N/A</v>
      </c>
      <c r="R46" s="24" t="str">
        <f>IFERROR(__xludf.DUMMYFUNCTION("IFERROR(
  LET(
    data, QUERY(GOOGLEFINANCE(C46,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GOOGLEFINANCE(C46, ""price"")) * 100,
    IF(calc=0, G46, calc)
  ), 
G46)"),"#N/A")</f>
        <v>#N/A</v>
      </c>
      <c r="S46" s="8" t="s">
        <v>15</v>
      </c>
      <c r="T46" s="26" t="str">
        <f>IFERROR(__xludf.DUMMYFUNCTION("IFERROR(TRANSPOSE(QUERY(IFERROR(SORT(GOOGLEFINANCE(C46, ""price"", WORKDAY(TODAY(), -40), TODAY()), 1, FALSE)), ""select Col2 where Col2 is not null limit 22 label Col2 ''"", 0)), """")"),"")</f>
        <v/>
      </c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8"/>
      <c r="AO46" s="28"/>
      <c r="AP46" s="29"/>
      <c r="AQ46" s="29" t="str">
        <f t="shared" ref="AQ46:BL46" si="49">T46/T$2</f>
        <v>#N/A</v>
      </c>
      <c r="AR46" s="29" t="str">
        <f t="shared" si="49"/>
        <v>#DIV/0!</v>
      </c>
      <c r="AS46" s="29" t="str">
        <f t="shared" si="49"/>
        <v>#DIV/0!</v>
      </c>
      <c r="AT46" s="29" t="str">
        <f t="shared" si="49"/>
        <v>#DIV/0!</v>
      </c>
      <c r="AU46" s="29" t="str">
        <f t="shared" si="49"/>
        <v>#DIV/0!</v>
      </c>
      <c r="AV46" s="29" t="str">
        <f t="shared" si="49"/>
        <v>#DIV/0!</v>
      </c>
      <c r="AW46" s="29" t="str">
        <f t="shared" si="49"/>
        <v>#DIV/0!</v>
      </c>
      <c r="AX46" s="29" t="str">
        <f t="shared" si="49"/>
        <v>#DIV/0!</v>
      </c>
      <c r="AY46" s="29" t="str">
        <f t="shared" si="49"/>
        <v>#DIV/0!</v>
      </c>
      <c r="AZ46" s="29" t="str">
        <f t="shared" si="49"/>
        <v>#DIV/0!</v>
      </c>
      <c r="BA46" s="29" t="str">
        <f t="shared" si="49"/>
        <v>#DIV/0!</v>
      </c>
      <c r="BB46" s="29" t="str">
        <f t="shared" si="49"/>
        <v>#DIV/0!</v>
      </c>
      <c r="BC46" s="29" t="str">
        <f t="shared" si="49"/>
        <v>#DIV/0!</v>
      </c>
      <c r="BD46" s="29" t="str">
        <f t="shared" si="49"/>
        <v>#DIV/0!</v>
      </c>
      <c r="BE46" s="29" t="str">
        <f t="shared" si="49"/>
        <v>#DIV/0!</v>
      </c>
      <c r="BF46" s="29" t="str">
        <f t="shared" si="49"/>
        <v>#DIV/0!</v>
      </c>
      <c r="BG46" s="29" t="str">
        <f t="shared" si="49"/>
        <v>#DIV/0!</v>
      </c>
      <c r="BH46" s="29" t="str">
        <f t="shared" si="49"/>
        <v>#DIV/0!</v>
      </c>
      <c r="BI46" s="29" t="str">
        <f t="shared" si="49"/>
        <v>#DIV/0!</v>
      </c>
      <c r="BJ46" s="29" t="str">
        <f t="shared" si="49"/>
        <v>#DIV/0!</v>
      </c>
      <c r="BK46" s="29" t="str">
        <f t="shared" si="49"/>
        <v>#DIV/0!</v>
      </c>
      <c r="BL46" s="29" t="str">
        <f t="shared" si="49"/>
        <v>#DIV/0!</v>
      </c>
      <c r="BM46" s="29" t="str">
        <f t="shared" si="3"/>
        <v>#DIV/0!</v>
      </c>
    </row>
    <row r="47">
      <c r="A47" s="16" t="str">
        <f>IFERROR(__xludf.DUMMYFUNCTION("IFERROR(SPARKLINE(SORT(MAP(TRANSPOSE(AQ47:BL47), LAMBDA(val, IF(ISNUMBER(val), PERCENTRANK(AQ47:BL47, val)+0.01, 0))), SEQUENCE(COLUMNS(AQ47:BL47)), FALSE), {""charttype"",""column""; ""color"",""chartreuse""; ""ymin"", 0; ""ymax"", 1.01; ""highcolor"", "&amp;"""darkgreen""; ""lowcolor"", ""red""}), """")"),"")</f>
        <v/>
      </c>
      <c r="B47" s="17" t="str">
        <f t="shared" si="4"/>
        <v/>
      </c>
      <c r="C47" s="45" t="s">
        <v>2797</v>
      </c>
      <c r="D47" s="30" t="str">
        <f>IFERROR(__xludf.DUMMYFUNCTION("IFERROR(GOOGLEFINANCE(C47, ""NAME""))"),"Essential Utilities Inc")</f>
        <v>Essential Utilities Inc</v>
      </c>
      <c r="E47" s="30" t="s">
        <v>2655</v>
      </c>
      <c r="F47" s="33" t="str">
        <f>IFERROR(__xludf.DUMMYFUNCTION("( (GOOGLEFINANCE(C47, ""price"") - Q47) / Q47 ) / (R47 / 100)"),"Loading...")</f>
        <v>Loading...</v>
      </c>
      <c r="G47" s="20" t="str">
        <f>IFERROR(__xludf.DUMMYFUNCTION("AVERAGE(ARRAYFORMULA(100 * (QUERY(GOOGLEFINANCE(C47, ""high"", TODAY()-40, TODAY()), ""SELECT Col2 WHERE Col2 IS NOT NULL ORDER BY Col1 DESC LIMIT 20"", 0) / QUERY(GOOGLEFINANCE(C47, ""low"", TODAY()-40, TODAY()), ""SELECT Col2 WHERE Col2 IS NOT NULL ORDE"&amp;"R BY Col1 DESC LIMIT 20"", 0) - 1)))"),"#N/A")</f>
        <v>#N/A</v>
      </c>
      <c r="H47" s="35" t="str">
        <f t="shared" si="6"/>
        <v>Liquid</v>
      </c>
      <c r="I47" s="35" t="str">
        <f t="shared" si="7"/>
        <v>RVol Required</v>
      </c>
      <c r="J47" s="37">
        <f>IFERROR(__xludf.DUMMYFUNCTION("IFERROR(
  IF(C47="""",, 
    IFERROR(
      GOOGLEFINANCE(C47, ""price"") * GOOGLEFINANCE(C47, ""volumeavg""), 
      GOOGLEFINANCE(C47, ""price"") * AVERAGE(QUERY(GOOGLEFINANCE(C47, ""volume"", TODAY()-40, TODAY()), ""SELECT Col2 WHERE Col2 IS NOT NULL "&amp;"ORDER BY Col1 DESC LIMIT 20"", 0))
    )
  ), 
"""")"),1.0656062463E8)</f>
        <v>106560624.6</v>
      </c>
      <c r="K47" s="21">
        <f>IFERROR(__xludf.DUMMYFUNCTION("IFERROR(GOOGLEFINANCE(C47, ""changepct"") / 100, """")"),0.0134)</f>
        <v>0.0134</v>
      </c>
      <c r="L47" s="21" t="str">
        <f>IFERROR(__xludf.DUMMYFUNCTION("IFERROR((GOOGLEFINANCE(C47, ""price"") / INDEX(GOOGLEFINANCE(C47, ""price"", TODAY()-7, TODAY()), 2, 2)) - 1, """")"),"")</f>
        <v/>
      </c>
      <c r="M47" s="21" t="str">
        <f>IFERROR(__xludf.DUMMYFUNCTION("IFERROR((GOOGLEFINANCE(C47, ""price"") / INDEX(GOOGLEFINANCE(C47, ""price"", EDATE(TODAY(), -1), TODAY()), 2, 2)) - 1, """")"),"")</f>
        <v/>
      </c>
      <c r="N47" s="21" t="str">
        <f>IFERROR(__xludf.DUMMYFUNCTION("IFERROR((GOOGLEFINANCE(C47, ""price"") / INDEX(GOOGLEFINANCE(C47, ""price"", EDATE(TODAY(), -3), TODAY()), 2, 2)) - 1, """")"),"")</f>
        <v/>
      </c>
      <c r="O47" s="21" t="str">
        <f>IFERROR(__xludf.DUMMYFUNCTION("IFERROR((GOOGLEFINANCE(C47, ""price"") / INDEX(GOOGLEFINANCE(C47, ""price"", EDATE(TODAY(), -6), TODAY()), 2, 2)) - 1, """")"),"")</f>
        <v/>
      </c>
      <c r="P47" s="21" t="str">
        <f>IFERROR(__xludf.DUMMYFUNCTION("IFERROR((GOOGLEFINANCE(C47, ""price"") / INDEX(GOOGLEFINANCE(C47, ""price"", EDATE(TODAY(), -12), TODAY()), 2, 2)) - 1, """")"),"")</f>
        <v/>
      </c>
      <c r="Q47" s="6" t="str">
        <f>IFERROR(__xludf.DUMMYFUNCTION("AVERAGE(QUERY(GOOGLEFINANCE(C47, ""price"", TODAY()-80, TODAY()), ""SELECT Col2 WHERE Col2 IS NOT NULL ORDER BY Col1 DESC LIMIT 50"", 0))"),"#N/A")</f>
        <v>#N/A</v>
      </c>
      <c r="R47" s="24" t="str">
        <f>IFERROR(__xludf.DUMMYFUNCTION("IFERROR(
  LET(
    data, QUERY(GOOGLEFINANCE(C47,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GOOGLEFINANCE(C47, ""price"")) * 100,
    IF(calc=0, G47, calc)
  ), 
G47)"),"#N/A")</f>
        <v>#N/A</v>
      </c>
      <c r="S47" s="8" t="s">
        <v>15</v>
      </c>
      <c r="T47" s="26" t="str">
        <f>IFERROR(__xludf.DUMMYFUNCTION("IFERROR(TRANSPOSE(QUERY(IFERROR(SORT(GOOGLEFINANCE(C47, ""price"", WORKDAY(TODAY(), -40), TODAY()), 1, FALSE)), ""select Col2 where Col2 is not null limit 22 label Col2 ''"", 0)), """")"),"")</f>
        <v/>
      </c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8"/>
      <c r="AO47" s="28"/>
      <c r="AP47" s="29"/>
      <c r="AQ47" s="29" t="str">
        <f t="shared" ref="AQ47:BL47" si="50">T47/T$2</f>
        <v>#N/A</v>
      </c>
      <c r="AR47" s="29" t="str">
        <f t="shared" si="50"/>
        <v>#DIV/0!</v>
      </c>
      <c r="AS47" s="29" t="str">
        <f t="shared" si="50"/>
        <v>#DIV/0!</v>
      </c>
      <c r="AT47" s="29" t="str">
        <f t="shared" si="50"/>
        <v>#DIV/0!</v>
      </c>
      <c r="AU47" s="29" t="str">
        <f t="shared" si="50"/>
        <v>#DIV/0!</v>
      </c>
      <c r="AV47" s="29" t="str">
        <f t="shared" si="50"/>
        <v>#DIV/0!</v>
      </c>
      <c r="AW47" s="29" t="str">
        <f t="shared" si="50"/>
        <v>#DIV/0!</v>
      </c>
      <c r="AX47" s="29" t="str">
        <f t="shared" si="50"/>
        <v>#DIV/0!</v>
      </c>
      <c r="AY47" s="29" t="str">
        <f t="shared" si="50"/>
        <v>#DIV/0!</v>
      </c>
      <c r="AZ47" s="29" t="str">
        <f t="shared" si="50"/>
        <v>#DIV/0!</v>
      </c>
      <c r="BA47" s="29" t="str">
        <f t="shared" si="50"/>
        <v>#DIV/0!</v>
      </c>
      <c r="BB47" s="29" t="str">
        <f t="shared" si="50"/>
        <v>#DIV/0!</v>
      </c>
      <c r="BC47" s="29" t="str">
        <f t="shared" si="50"/>
        <v>#DIV/0!</v>
      </c>
      <c r="BD47" s="29" t="str">
        <f t="shared" si="50"/>
        <v>#DIV/0!</v>
      </c>
      <c r="BE47" s="29" t="str">
        <f t="shared" si="50"/>
        <v>#DIV/0!</v>
      </c>
      <c r="BF47" s="29" t="str">
        <f t="shared" si="50"/>
        <v>#DIV/0!</v>
      </c>
      <c r="BG47" s="29" t="str">
        <f t="shared" si="50"/>
        <v>#DIV/0!</v>
      </c>
      <c r="BH47" s="29" t="str">
        <f t="shared" si="50"/>
        <v>#DIV/0!</v>
      </c>
      <c r="BI47" s="29" t="str">
        <f t="shared" si="50"/>
        <v>#DIV/0!</v>
      </c>
      <c r="BJ47" s="29" t="str">
        <f t="shared" si="50"/>
        <v>#DIV/0!</v>
      </c>
      <c r="BK47" s="29" t="str">
        <f t="shared" si="50"/>
        <v>#DIV/0!</v>
      </c>
      <c r="BL47" s="29" t="str">
        <f t="shared" si="50"/>
        <v>#DIV/0!</v>
      </c>
      <c r="BM47" s="29" t="str">
        <f t="shared" si="3"/>
        <v>#DIV/0!</v>
      </c>
    </row>
    <row r="48">
      <c r="A48" s="16" t="str">
        <f>IFERROR(__xludf.DUMMYFUNCTION("IFERROR(SPARKLINE(SORT(MAP(TRANSPOSE(AQ48:BL48), LAMBDA(val, IF(ISNUMBER(val), PERCENTRANK(AQ48:BL48, val)+0.01, 0))), SEQUENCE(COLUMNS(AQ48:BL48)), FALSE), {""charttype"",""column""; ""color"",""chartreuse""; ""ymin"", 0; ""ymax"", 1.01; ""highcolor"", "&amp;"""darkgreen""; ""lowcolor"", ""red""}), """")"),"")</f>
        <v/>
      </c>
      <c r="B48" s="17" t="str">
        <f t="shared" si="4"/>
        <v/>
      </c>
      <c r="C48" s="45" t="s">
        <v>2801</v>
      </c>
      <c r="D48" s="30" t="str">
        <f>IFERROR(__xludf.DUMMYFUNCTION("IFERROR(GOOGLEFINANCE(C48, ""NAME""))"),"Unitil Corp")</f>
        <v>Unitil Corp</v>
      </c>
      <c r="E48" s="30" t="s">
        <v>2628</v>
      </c>
      <c r="F48" s="33" t="str">
        <f>IFERROR(__xludf.DUMMYFUNCTION("( (GOOGLEFINANCE(C48, ""price"") - Q48) / Q48 ) / (R48 / 100)"),"Loading...")</f>
        <v>Loading...</v>
      </c>
      <c r="G48" s="20" t="str">
        <f>IFERROR(__xludf.DUMMYFUNCTION("AVERAGE(ARRAYFORMULA(100 * (QUERY(GOOGLEFINANCE(C48, ""high"", TODAY()-40, TODAY()), ""SELECT Col2 WHERE Col2 IS NOT NULL ORDER BY Col1 DESC LIMIT 20"", 0) / QUERY(GOOGLEFINANCE(C48, ""low"", TODAY()-40, TODAY()), ""SELECT Col2 WHERE Col2 IS NOT NULL ORDE"&amp;"R BY Col1 DESC LIMIT 20"", 0) - 1)))"),"#N/A")</f>
        <v>#N/A</v>
      </c>
      <c r="H48" s="35" t="str">
        <f t="shared" si="6"/>
        <v>Illiquid</v>
      </c>
      <c r="I48" s="35" t="str">
        <f t="shared" si="7"/>
        <v>RVol Required</v>
      </c>
      <c r="J48" s="37">
        <f>IFERROR(__xludf.DUMMYFUNCTION("IFERROR(
  IF(C48="""",, 
    IFERROR(
      GOOGLEFINANCE(C48, ""price"") * GOOGLEFINANCE(C48, ""volumeavg""), 
      GOOGLEFINANCE(C48, ""price"") * AVERAGE(QUERY(GOOGLEFINANCE(C48, ""volume"", TODAY()-40, TODAY()), ""SELECT Col2 WHERE Col2 IS NOT NULL "&amp;"ORDER BY Col1 DESC LIMIT 20"", 0))
    )
  ), 
"""")"),7710436.07)</f>
        <v>7710436.07</v>
      </c>
      <c r="K48" s="21">
        <f>IFERROR(__xludf.DUMMYFUNCTION("IFERROR(GOOGLEFINANCE(C48, ""changepct"") / 100, """")"),0.0139)</f>
        <v>0.0139</v>
      </c>
      <c r="L48" s="21" t="str">
        <f>IFERROR(__xludf.DUMMYFUNCTION("IFERROR((GOOGLEFINANCE(C48, ""price"") / INDEX(GOOGLEFINANCE(C48, ""price"", TODAY()-7, TODAY()), 2, 2)) - 1, """")"),"")</f>
        <v/>
      </c>
      <c r="M48" s="21" t="str">
        <f>IFERROR(__xludf.DUMMYFUNCTION("IFERROR((GOOGLEFINANCE(C48, ""price"") / INDEX(GOOGLEFINANCE(C48, ""price"", EDATE(TODAY(), -1), TODAY()), 2, 2)) - 1, """")"),"")</f>
        <v/>
      </c>
      <c r="N48" s="21" t="str">
        <f>IFERROR(__xludf.DUMMYFUNCTION("IFERROR((GOOGLEFINANCE(C48, ""price"") / INDEX(GOOGLEFINANCE(C48, ""price"", EDATE(TODAY(), -3), TODAY()), 2, 2)) - 1, """")"),"")</f>
        <v/>
      </c>
      <c r="O48" s="21" t="str">
        <f>IFERROR(__xludf.DUMMYFUNCTION("IFERROR((GOOGLEFINANCE(C48, ""price"") / INDEX(GOOGLEFINANCE(C48, ""price"", EDATE(TODAY(), -6), TODAY()), 2, 2)) - 1, """")"),"")</f>
        <v/>
      </c>
      <c r="P48" s="21" t="str">
        <f>IFERROR(__xludf.DUMMYFUNCTION("IFERROR((GOOGLEFINANCE(C48, ""price"") / INDEX(GOOGLEFINANCE(C48, ""price"", EDATE(TODAY(), -12), TODAY()), 2, 2)) - 1, """")"),"")</f>
        <v/>
      </c>
      <c r="Q48" s="6" t="str">
        <f>IFERROR(__xludf.DUMMYFUNCTION("AVERAGE(QUERY(GOOGLEFINANCE(C48, ""price"", TODAY()-80, TODAY()), ""SELECT Col2 WHERE Col2 IS NOT NULL ORDER BY Col1 DESC LIMIT 50"", 0))"),"#N/A")</f>
        <v>#N/A</v>
      </c>
      <c r="R48" s="24" t="str">
        <f>IFERROR(__xludf.DUMMYFUNCTION("IFERROR(
  LET(
    data, QUERY(GOOGLEFINANCE(C48,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GOOGLEFINANCE(C48, ""price"")) * 100,
    IF(calc=0, G48, calc)
  ), 
G48)"),"#N/A")</f>
        <v>#N/A</v>
      </c>
      <c r="S48" s="8" t="s">
        <v>15</v>
      </c>
      <c r="T48" s="26" t="str">
        <f>IFERROR(__xludf.DUMMYFUNCTION("IFERROR(TRANSPOSE(QUERY(IFERROR(SORT(GOOGLEFINANCE(C48, ""price"", WORKDAY(TODAY(), -40), TODAY()), 1, FALSE)), ""select Col2 where Col2 is not null limit 22 label Col2 ''"", 0)), """")"),"")</f>
        <v/>
      </c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8"/>
      <c r="AO48" s="28"/>
      <c r="AP48" s="29"/>
      <c r="AQ48" s="29" t="str">
        <f t="shared" ref="AQ48:BL48" si="51">T48/T$2</f>
        <v>#N/A</v>
      </c>
      <c r="AR48" s="29" t="str">
        <f t="shared" si="51"/>
        <v>#DIV/0!</v>
      </c>
      <c r="AS48" s="29" t="str">
        <f t="shared" si="51"/>
        <v>#DIV/0!</v>
      </c>
      <c r="AT48" s="29" t="str">
        <f t="shared" si="51"/>
        <v>#DIV/0!</v>
      </c>
      <c r="AU48" s="29" t="str">
        <f t="shared" si="51"/>
        <v>#DIV/0!</v>
      </c>
      <c r="AV48" s="29" t="str">
        <f t="shared" si="51"/>
        <v>#DIV/0!</v>
      </c>
      <c r="AW48" s="29" t="str">
        <f t="shared" si="51"/>
        <v>#DIV/0!</v>
      </c>
      <c r="AX48" s="29" t="str">
        <f t="shared" si="51"/>
        <v>#DIV/0!</v>
      </c>
      <c r="AY48" s="29" t="str">
        <f t="shared" si="51"/>
        <v>#DIV/0!</v>
      </c>
      <c r="AZ48" s="29" t="str">
        <f t="shared" si="51"/>
        <v>#DIV/0!</v>
      </c>
      <c r="BA48" s="29" t="str">
        <f t="shared" si="51"/>
        <v>#DIV/0!</v>
      </c>
      <c r="BB48" s="29" t="str">
        <f t="shared" si="51"/>
        <v>#DIV/0!</v>
      </c>
      <c r="BC48" s="29" t="str">
        <f t="shared" si="51"/>
        <v>#DIV/0!</v>
      </c>
      <c r="BD48" s="29" t="str">
        <f t="shared" si="51"/>
        <v>#DIV/0!</v>
      </c>
      <c r="BE48" s="29" t="str">
        <f t="shared" si="51"/>
        <v>#DIV/0!</v>
      </c>
      <c r="BF48" s="29" t="str">
        <f t="shared" si="51"/>
        <v>#DIV/0!</v>
      </c>
      <c r="BG48" s="29" t="str">
        <f t="shared" si="51"/>
        <v>#DIV/0!</v>
      </c>
      <c r="BH48" s="29" t="str">
        <f t="shared" si="51"/>
        <v>#DIV/0!</v>
      </c>
      <c r="BI48" s="29" t="str">
        <f t="shared" si="51"/>
        <v>#DIV/0!</v>
      </c>
      <c r="BJ48" s="29" t="str">
        <f t="shared" si="51"/>
        <v>#DIV/0!</v>
      </c>
      <c r="BK48" s="29" t="str">
        <f t="shared" si="51"/>
        <v>#DIV/0!</v>
      </c>
      <c r="BL48" s="29" t="str">
        <f t="shared" si="51"/>
        <v>#DIV/0!</v>
      </c>
      <c r="BM48" s="29" t="str">
        <f t="shared" si="3"/>
        <v>#DIV/0!</v>
      </c>
    </row>
    <row r="49">
      <c r="A49" s="16" t="str">
        <f>IFERROR(__xludf.DUMMYFUNCTION("IFERROR(SPARKLINE(SORT(MAP(TRANSPOSE(AQ49:BL49), LAMBDA(val, IF(ISNUMBER(val), PERCENTRANK(AQ49:BL49, val)+0.01, 0))), SEQUENCE(COLUMNS(AQ49:BL49)), FALSE), {""charttype"",""column""; ""color"",""chartreuse""; ""ymin"", 0; ""ymax"", 1.01; ""highcolor"", "&amp;"""darkgreen""; ""lowcolor"", ""red""}), """")"),"")</f>
        <v/>
      </c>
      <c r="B49" s="17" t="str">
        <f t="shared" si="4"/>
        <v/>
      </c>
      <c r="C49" s="45" t="s">
        <v>2805</v>
      </c>
      <c r="D49" s="30" t="str">
        <f>IFERROR(__xludf.DUMMYFUNCTION("IFERROR(GOOGLEFINANCE(C49, ""NAME""))"),"Pinnacle West Capital Corp")</f>
        <v>Pinnacle West Capital Corp</v>
      </c>
      <c r="E49" s="30" t="s">
        <v>2660</v>
      </c>
      <c r="F49" s="33" t="str">
        <f>IFERROR(__xludf.DUMMYFUNCTION("( (GOOGLEFINANCE(C49, ""price"") - Q49) / Q49 ) / (R49 / 100)"),"Loading...")</f>
        <v>Loading...</v>
      </c>
      <c r="G49" s="20" t="str">
        <f>IFERROR(__xludf.DUMMYFUNCTION("AVERAGE(ARRAYFORMULA(100 * (QUERY(GOOGLEFINANCE(C49, ""high"", TODAY()-40, TODAY()), ""SELECT Col2 WHERE Col2 IS NOT NULL ORDER BY Col1 DESC LIMIT 20"", 0) / QUERY(GOOGLEFINANCE(C49, ""low"", TODAY()-40, TODAY()), ""SELECT Col2 WHERE Col2 IS NOT NULL ORDE"&amp;"R BY Col1 DESC LIMIT 20"", 0) - 1)))"),"#N/A")</f>
        <v>#N/A</v>
      </c>
      <c r="H49" s="35" t="str">
        <f t="shared" si="6"/>
        <v>Liquid</v>
      </c>
      <c r="I49" s="35" t="str">
        <f t="shared" si="7"/>
        <v>RVol Required</v>
      </c>
      <c r="J49" s="37">
        <f>IFERROR(__xludf.DUMMYFUNCTION("IFERROR(
  IF(C49="""",, 
    IFERROR(
      GOOGLEFINANCE(C49, ""price"") * GOOGLEFINANCE(C49, ""volumeavg""), 
      GOOGLEFINANCE(C49, ""price"") * AVERAGE(QUERY(GOOGLEFINANCE(C49, ""volume"", TODAY()-40, TODAY()), ""SELECT Col2 WHERE Col2 IS NOT NULL "&amp;"ORDER BY Col1 DESC LIMIT 20"", 0))
    )
  ), 
"""")"),1.2956074946000001E8)</f>
        <v>129560749.5</v>
      </c>
      <c r="K49" s="21">
        <f>IFERROR(__xludf.DUMMYFUNCTION("IFERROR(GOOGLEFINANCE(C49, ""changepct"") / 100, """")"),0.0181)</f>
        <v>0.0181</v>
      </c>
      <c r="L49" s="21" t="str">
        <f>IFERROR(__xludf.DUMMYFUNCTION("IFERROR((GOOGLEFINANCE(C49, ""price"") / INDEX(GOOGLEFINANCE(C49, ""price"", TODAY()-7, TODAY()), 2, 2)) - 1, """")"),"")</f>
        <v/>
      </c>
      <c r="M49" s="21" t="str">
        <f>IFERROR(__xludf.DUMMYFUNCTION("IFERROR((GOOGLEFINANCE(C49, ""price"") / INDEX(GOOGLEFINANCE(C49, ""price"", EDATE(TODAY(), -1), TODAY()), 2, 2)) - 1, """")"),"")</f>
        <v/>
      </c>
      <c r="N49" s="21" t="str">
        <f>IFERROR(__xludf.DUMMYFUNCTION("IFERROR((GOOGLEFINANCE(C49, ""price"") / INDEX(GOOGLEFINANCE(C49, ""price"", EDATE(TODAY(), -3), TODAY()), 2, 2)) - 1, """")"),"")</f>
        <v/>
      </c>
      <c r="O49" s="21" t="str">
        <f>IFERROR(__xludf.DUMMYFUNCTION("IFERROR((GOOGLEFINANCE(C49, ""price"") / INDEX(GOOGLEFINANCE(C49, ""price"", EDATE(TODAY(), -6), TODAY()), 2, 2)) - 1, """")"),"")</f>
        <v/>
      </c>
      <c r="P49" s="21" t="str">
        <f>IFERROR(__xludf.DUMMYFUNCTION("IFERROR((GOOGLEFINANCE(C49, ""price"") / INDEX(GOOGLEFINANCE(C49, ""price"", EDATE(TODAY(), -12), TODAY()), 2, 2)) - 1, """")"),"")</f>
        <v/>
      </c>
      <c r="Q49" s="6" t="str">
        <f>IFERROR(__xludf.DUMMYFUNCTION("AVERAGE(QUERY(GOOGLEFINANCE(C49, ""price"", TODAY()-80, TODAY()), ""SELECT Col2 WHERE Col2 IS NOT NULL ORDER BY Col1 DESC LIMIT 50"", 0))"),"#N/A")</f>
        <v>#N/A</v>
      </c>
      <c r="R49" s="24" t="str">
        <f>IFERROR(__xludf.DUMMYFUNCTION("IFERROR(
  LET(
    data, QUERY(GOOGLEFINANCE(C49,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GOOGLEFINANCE(C49, ""price"")) * 100,
    IF(calc=0, G49, calc)
  ), 
G49)"),"#N/A")</f>
        <v>#N/A</v>
      </c>
      <c r="S49" s="8" t="s">
        <v>15</v>
      </c>
      <c r="T49" s="26" t="str">
        <f>IFERROR(__xludf.DUMMYFUNCTION("IFERROR(TRANSPOSE(QUERY(IFERROR(SORT(GOOGLEFINANCE(C49, ""price"", WORKDAY(TODAY(), -40), TODAY()), 1, FALSE)), ""select Col2 where Col2 is not null limit 22 label Col2 ''"", 0)), """")"),"")</f>
        <v/>
      </c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8"/>
      <c r="AO49" s="28"/>
      <c r="AP49" s="29"/>
      <c r="AQ49" s="29" t="str">
        <f t="shared" ref="AQ49:BL49" si="52">T49/T$2</f>
        <v>#N/A</v>
      </c>
      <c r="AR49" s="29" t="str">
        <f t="shared" si="52"/>
        <v>#DIV/0!</v>
      </c>
      <c r="AS49" s="29" t="str">
        <f t="shared" si="52"/>
        <v>#DIV/0!</v>
      </c>
      <c r="AT49" s="29" t="str">
        <f t="shared" si="52"/>
        <v>#DIV/0!</v>
      </c>
      <c r="AU49" s="29" t="str">
        <f t="shared" si="52"/>
        <v>#DIV/0!</v>
      </c>
      <c r="AV49" s="29" t="str">
        <f t="shared" si="52"/>
        <v>#DIV/0!</v>
      </c>
      <c r="AW49" s="29" t="str">
        <f t="shared" si="52"/>
        <v>#DIV/0!</v>
      </c>
      <c r="AX49" s="29" t="str">
        <f t="shared" si="52"/>
        <v>#DIV/0!</v>
      </c>
      <c r="AY49" s="29" t="str">
        <f t="shared" si="52"/>
        <v>#DIV/0!</v>
      </c>
      <c r="AZ49" s="29" t="str">
        <f t="shared" si="52"/>
        <v>#DIV/0!</v>
      </c>
      <c r="BA49" s="29" t="str">
        <f t="shared" si="52"/>
        <v>#DIV/0!</v>
      </c>
      <c r="BB49" s="29" t="str">
        <f t="shared" si="52"/>
        <v>#DIV/0!</v>
      </c>
      <c r="BC49" s="29" t="str">
        <f t="shared" si="52"/>
        <v>#DIV/0!</v>
      </c>
      <c r="BD49" s="29" t="str">
        <f t="shared" si="52"/>
        <v>#DIV/0!</v>
      </c>
      <c r="BE49" s="29" t="str">
        <f t="shared" si="52"/>
        <v>#DIV/0!</v>
      </c>
      <c r="BF49" s="29" t="str">
        <f t="shared" si="52"/>
        <v>#DIV/0!</v>
      </c>
      <c r="BG49" s="29" t="str">
        <f t="shared" si="52"/>
        <v>#DIV/0!</v>
      </c>
      <c r="BH49" s="29" t="str">
        <f t="shared" si="52"/>
        <v>#DIV/0!</v>
      </c>
      <c r="BI49" s="29" t="str">
        <f t="shared" si="52"/>
        <v>#DIV/0!</v>
      </c>
      <c r="BJ49" s="29" t="str">
        <f t="shared" si="52"/>
        <v>#DIV/0!</v>
      </c>
      <c r="BK49" s="29" t="str">
        <f t="shared" si="52"/>
        <v>#DIV/0!</v>
      </c>
      <c r="BL49" s="29" t="str">
        <f t="shared" si="52"/>
        <v>#DIV/0!</v>
      </c>
      <c r="BM49" s="29" t="str">
        <f t="shared" si="3"/>
        <v>#DIV/0!</v>
      </c>
    </row>
    <row r="50">
      <c r="A50" s="16" t="str">
        <f>IFERROR(__xludf.DUMMYFUNCTION("IFERROR(SPARKLINE(SORT(MAP(TRANSPOSE(AQ50:BL50), LAMBDA(val, IF(ISNUMBER(val), PERCENTRANK(AQ50:BL50, val)+0.01, 0))), SEQUENCE(COLUMNS(AQ50:BL50)), FALSE), {""charttype"",""column""; ""color"",""chartreuse""; ""ymin"", 0; ""ymax"", 1.01; ""highcolor"", "&amp;"""darkgreen""; ""lowcolor"", ""red""}), """")"),"")</f>
        <v/>
      </c>
      <c r="B50" s="17" t="str">
        <f t="shared" si="4"/>
        <v/>
      </c>
      <c r="C50" s="45" t="s">
        <v>2809</v>
      </c>
      <c r="D50" s="30" t="str">
        <f>IFERROR(__xludf.DUMMYFUNCTION("IFERROR(GOOGLEFINANCE(C50, ""NAME""))"),"Entergy Corp")</f>
        <v>Entergy Corp</v>
      </c>
      <c r="E50" s="30" t="s">
        <v>2660</v>
      </c>
      <c r="F50" s="33" t="str">
        <f>IFERROR(__xludf.DUMMYFUNCTION("( (GOOGLEFINANCE(C50, ""price"") - Q50) / Q50 ) / (R50 / 100)"),"Loading...")</f>
        <v>Loading...</v>
      </c>
      <c r="G50" s="20" t="str">
        <f>IFERROR(__xludf.DUMMYFUNCTION("AVERAGE(ARRAYFORMULA(100 * (QUERY(GOOGLEFINANCE(C50, ""high"", TODAY()-40, TODAY()), ""SELECT Col2 WHERE Col2 IS NOT NULL ORDER BY Col1 DESC LIMIT 20"", 0) / QUERY(GOOGLEFINANCE(C50, ""low"", TODAY()-40, TODAY()), ""SELECT Col2 WHERE Col2 IS NOT NULL ORDE"&amp;"R BY Col1 DESC LIMIT 20"", 0) - 1)))"),"#N/A")</f>
        <v>#N/A</v>
      </c>
      <c r="H50" s="35" t="str">
        <f t="shared" si="6"/>
        <v>Liquid</v>
      </c>
      <c r="I50" s="35" t="str">
        <f t="shared" si="7"/>
        <v>RVol Required</v>
      </c>
      <c r="J50" s="37">
        <f>IFERROR(__xludf.DUMMYFUNCTION("IFERROR(
  IF(C50="""",, 
    IFERROR(
      GOOGLEFINANCE(C50, ""price"") * GOOGLEFINANCE(C50, ""volumeavg""), 
      GOOGLEFINANCE(C50, ""price"") * AVERAGE(QUERY(GOOGLEFINANCE(C50, ""volume"", TODAY()-40, TODAY()), ""SELECT Col2 WHERE Col2 IS NOT NULL "&amp;"ORDER BY Col1 DESC LIMIT 20"", 0))
    )
  ), 
"""")"),3.1637321675E8)</f>
        <v>316373216.8</v>
      </c>
      <c r="K50" s="21">
        <f>IFERROR(__xludf.DUMMYFUNCTION("IFERROR(GOOGLEFINANCE(C50, ""changepct"") / 100, """")"),0.0111)</f>
        <v>0.0111</v>
      </c>
      <c r="L50" s="21" t="str">
        <f>IFERROR(__xludf.DUMMYFUNCTION("IFERROR((GOOGLEFINANCE(C50, ""price"") / INDEX(GOOGLEFINANCE(C50, ""price"", TODAY()-7, TODAY()), 2, 2)) - 1, """")"),"")</f>
        <v/>
      </c>
      <c r="M50" s="21" t="str">
        <f>IFERROR(__xludf.DUMMYFUNCTION("IFERROR((GOOGLEFINANCE(C50, ""price"") / INDEX(GOOGLEFINANCE(C50, ""price"", EDATE(TODAY(), -1), TODAY()), 2, 2)) - 1, """")"),"")</f>
        <v/>
      </c>
      <c r="N50" s="21" t="str">
        <f>IFERROR(__xludf.DUMMYFUNCTION("IFERROR((GOOGLEFINANCE(C50, ""price"") / INDEX(GOOGLEFINANCE(C50, ""price"", EDATE(TODAY(), -3), TODAY()), 2, 2)) - 1, """")"),"")</f>
        <v/>
      </c>
      <c r="O50" s="21" t="str">
        <f>IFERROR(__xludf.DUMMYFUNCTION("IFERROR((GOOGLEFINANCE(C50, ""price"") / INDEX(GOOGLEFINANCE(C50, ""price"", EDATE(TODAY(), -6), TODAY()), 2, 2)) - 1, """")"),"")</f>
        <v/>
      </c>
      <c r="P50" s="21" t="str">
        <f>IFERROR(__xludf.DUMMYFUNCTION("IFERROR((GOOGLEFINANCE(C50, ""price"") / INDEX(GOOGLEFINANCE(C50, ""price"", EDATE(TODAY(), -12), TODAY()), 2, 2)) - 1, """")"),"")</f>
        <v/>
      </c>
      <c r="Q50" s="6" t="str">
        <f>IFERROR(__xludf.DUMMYFUNCTION("AVERAGE(QUERY(GOOGLEFINANCE(C50, ""price"", TODAY()-80, TODAY()), ""SELECT Col2 WHERE Col2 IS NOT NULL ORDER BY Col1 DESC LIMIT 50"", 0))"),"#N/A")</f>
        <v>#N/A</v>
      </c>
      <c r="R50" s="24" t="str">
        <f>IFERROR(__xludf.DUMMYFUNCTION("IFERROR(
  LET(
    data, QUERY(GOOGLEFINANCE(C50,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GOOGLEFINANCE(C50, ""price"")) * 100,
    IF(calc=0, G50, calc)
  ), 
G50)"),"#N/A")</f>
        <v>#N/A</v>
      </c>
      <c r="S50" s="8" t="s">
        <v>15</v>
      </c>
      <c r="T50" s="26" t="str">
        <f>IFERROR(__xludf.DUMMYFUNCTION("IFERROR(TRANSPOSE(QUERY(IFERROR(SORT(GOOGLEFINANCE(C50, ""price"", WORKDAY(TODAY(), -40), TODAY()), 1, FALSE)), ""select Col2 where Col2 is not null limit 22 label Col2 ''"", 0)), """")"),"")</f>
        <v/>
      </c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8"/>
      <c r="AO50" s="28"/>
      <c r="AP50" s="29"/>
      <c r="AQ50" s="29" t="str">
        <f t="shared" ref="AQ50:BL50" si="53">T50/T$2</f>
        <v>#N/A</v>
      </c>
      <c r="AR50" s="29" t="str">
        <f t="shared" si="53"/>
        <v>#DIV/0!</v>
      </c>
      <c r="AS50" s="29" t="str">
        <f t="shared" si="53"/>
        <v>#DIV/0!</v>
      </c>
      <c r="AT50" s="29" t="str">
        <f t="shared" si="53"/>
        <v>#DIV/0!</v>
      </c>
      <c r="AU50" s="29" t="str">
        <f t="shared" si="53"/>
        <v>#DIV/0!</v>
      </c>
      <c r="AV50" s="29" t="str">
        <f t="shared" si="53"/>
        <v>#DIV/0!</v>
      </c>
      <c r="AW50" s="29" t="str">
        <f t="shared" si="53"/>
        <v>#DIV/0!</v>
      </c>
      <c r="AX50" s="29" t="str">
        <f t="shared" si="53"/>
        <v>#DIV/0!</v>
      </c>
      <c r="AY50" s="29" t="str">
        <f t="shared" si="53"/>
        <v>#DIV/0!</v>
      </c>
      <c r="AZ50" s="29" t="str">
        <f t="shared" si="53"/>
        <v>#DIV/0!</v>
      </c>
      <c r="BA50" s="29" t="str">
        <f t="shared" si="53"/>
        <v>#DIV/0!</v>
      </c>
      <c r="BB50" s="29" t="str">
        <f t="shared" si="53"/>
        <v>#DIV/0!</v>
      </c>
      <c r="BC50" s="29" t="str">
        <f t="shared" si="53"/>
        <v>#DIV/0!</v>
      </c>
      <c r="BD50" s="29" t="str">
        <f t="shared" si="53"/>
        <v>#DIV/0!</v>
      </c>
      <c r="BE50" s="29" t="str">
        <f t="shared" si="53"/>
        <v>#DIV/0!</v>
      </c>
      <c r="BF50" s="29" t="str">
        <f t="shared" si="53"/>
        <v>#DIV/0!</v>
      </c>
      <c r="BG50" s="29" t="str">
        <f t="shared" si="53"/>
        <v>#DIV/0!</v>
      </c>
      <c r="BH50" s="29" t="str">
        <f t="shared" si="53"/>
        <v>#DIV/0!</v>
      </c>
      <c r="BI50" s="29" t="str">
        <f t="shared" si="53"/>
        <v>#DIV/0!</v>
      </c>
      <c r="BJ50" s="29" t="str">
        <f t="shared" si="53"/>
        <v>#DIV/0!</v>
      </c>
      <c r="BK50" s="29" t="str">
        <f t="shared" si="53"/>
        <v>#DIV/0!</v>
      </c>
      <c r="BL50" s="29" t="str">
        <f t="shared" si="53"/>
        <v>#DIV/0!</v>
      </c>
      <c r="BM50" s="29" t="str">
        <f t="shared" si="3"/>
        <v>#DIV/0!</v>
      </c>
    </row>
    <row r="51">
      <c r="A51" s="16" t="str">
        <f>IFERROR(__xludf.DUMMYFUNCTION("IFERROR(SPARKLINE(SORT(MAP(TRANSPOSE(AQ51:BL51), LAMBDA(val, IF(ISNUMBER(val), PERCENTRANK(AQ51:BL51, val)+0.01, 0))), SEQUENCE(COLUMNS(AQ51:BL51)), FALSE), {""charttype"",""column""; ""color"",""chartreuse""; ""ymin"", 0; ""ymax"", 1.01; ""highcolor"", "&amp;"""darkgreen""; ""lowcolor"", ""red""}), """")"),"")</f>
        <v/>
      </c>
      <c r="B51" s="17" t="str">
        <f t="shared" si="4"/>
        <v/>
      </c>
      <c r="C51" s="45" t="s">
        <v>2813</v>
      </c>
      <c r="D51" s="30" t="str">
        <f>IFERROR(__xludf.DUMMYFUNCTION("IFERROR(GOOGLEFINANCE(C51, ""NAME""))"),"Duke Energy Corp")</f>
        <v>Duke Energy Corp</v>
      </c>
      <c r="E51" s="30" t="s">
        <v>2660</v>
      </c>
      <c r="F51" s="38" t="str">
        <f>IFERROR(__xludf.DUMMYFUNCTION("( (GOOGLEFINANCE(C51, ""price"") - Q51) / Q51 ) / (R51 / 100)"),"Loading...")</f>
        <v>Loading...</v>
      </c>
      <c r="G51" s="20" t="str">
        <f>IFERROR(__xludf.DUMMYFUNCTION("AVERAGE(ARRAYFORMULA(100 * (QUERY(GOOGLEFINANCE(C51, ""high"", TODAY()-40, TODAY()), ""SELECT Col2 WHERE Col2 IS NOT NULL ORDER BY Col1 DESC LIMIT 20"", 0) / QUERY(GOOGLEFINANCE(C51, ""low"", TODAY()-40, TODAY()), ""SELECT Col2 WHERE Col2 IS NOT NULL ORDE"&amp;"R BY Col1 DESC LIMIT 20"", 0) - 1)))"),"#N/A")</f>
        <v>#N/A</v>
      </c>
      <c r="H51" s="35" t="str">
        <f t="shared" si="6"/>
        <v>Liquid</v>
      </c>
      <c r="I51" s="35" t="str">
        <f t="shared" si="7"/>
        <v>RVol Required</v>
      </c>
      <c r="J51" s="37">
        <f>IFERROR(__xludf.DUMMYFUNCTION("IFERROR(
  IF(C51="""",, 
    IFERROR(
      GOOGLEFINANCE(C51, ""price"") * GOOGLEFINANCE(C51, ""volumeavg""), 
      GOOGLEFINANCE(C51, ""price"") * AVERAGE(QUERY(GOOGLEFINANCE(C51, ""volume"", TODAY()-40, TODAY()), ""SELECT Col2 WHERE Col2 IS NOT NULL "&amp;"ORDER BY Col1 DESC LIMIT 20"", 0))
    )
  ), 
"""")"),4.9448542068E8)</f>
        <v>494485420.7</v>
      </c>
      <c r="K51" s="21">
        <f>IFERROR(__xludf.DUMMYFUNCTION("IFERROR(GOOGLEFINANCE(C51, ""changepct"") / 100, """")"),0.0218)</f>
        <v>0.0218</v>
      </c>
      <c r="L51" s="21" t="str">
        <f>IFERROR(__xludf.DUMMYFUNCTION("IFERROR((GOOGLEFINANCE(C51, ""price"") / INDEX(GOOGLEFINANCE(C51, ""price"", TODAY()-7, TODAY()), 2, 2)) - 1, """")"),"")</f>
        <v/>
      </c>
      <c r="M51" s="21" t="str">
        <f>IFERROR(__xludf.DUMMYFUNCTION("IFERROR((GOOGLEFINANCE(C51, ""price"") / INDEX(GOOGLEFINANCE(C51, ""price"", EDATE(TODAY(), -1), TODAY()), 2, 2)) - 1, """")"),"")</f>
        <v/>
      </c>
      <c r="N51" s="21" t="str">
        <f>IFERROR(__xludf.DUMMYFUNCTION("IFERROR((GOOGLEFINANCE(C51, ""price"") / INDEX(GOOGLEFINANCE(C51, ""price"", EDATE(TODAY(), -3), TODAY()), 2, 2)) - 1, """")"),"")</f>
        <v/>
      </c>
      <c r="O51" s="21" t="str">
        <f>IFERROR(__xludf.DUMMYFUNCTION("IFERROR((GOOGLEFINANCE(C51, ""price"") / INDEX(GOOGLEFINANCE(C51, ""price"", EDATE(TODAY(), -6), TODAY()), 2, 2)) - 1, """")"),"")</f>
        <v/>
      </c>
      <c r="P51" s="21" t="str">
        <f>IFERROR(__xludf.DUMMYFUNCTION("IFERROR((GOOGLEFINANCE(C51, ""price"") / INDEX(GOOGLEFINANCE(C51, ""price"", EDATE(TODAY(), -12), TODAY()), 2, 2)) - 1, """")"),"")</f>
        <v/>
      </c>
      <c r="Q51" s="6" t="str">
        <f>IFERROR(__xludf.DUMMYFUNCTION("AVERAGE(QUERY(GOOGLEFINANCE(C51, ""price"", TODAY()-80, TODAY()), ""SELECT Col2 WHERE Col2 IS NOT NULL ORDER BY Col1 DESC LIMIT 50"", 0))"),"#N/A")</f>
        <v>#N/A</v>
      </c>
      <c r="R51" s="24" t="str">
        <f>IFERROR(__xludf.DUMMYFUNCTION("IFERROR(
  LET(
    data, QUERY(GOOGLEFINANCE(C51,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GOOGLEFINANCE(C51, ""price"")) * 100,
    IF(calc=0, G51, calc)
  ), 
G51)"),"#N/A")</f>
        <v>#N/A</v>
      </c>
      <c r="S51" s="8" t="s">
        <v>15</v>
      </c>
      <c r="T51" s="26" t="str">
        <f>IFERROR(__xludf.DUMMYFUNCTION("IFERROR(TRANSPOSE(QUERY(IFERROR(SORT(GOOGLEFINANCE(C51, ""price"", WORKDAY(TODAY(), -40), TODAY()), 1, FALSE)), ""select Col2 where Col2 is not null limit 22 label Col2 ''"", 0)), """")"),"")</f>
        <v/>
      </c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8"/>
      <c r="AO51" s="28"/>
      <c r="AP51" s="29"/>
      <c r="AQ51" s="29" t="str">
        <f t="shared" ref="AQ51:BL51" si="54">T51/T$2</f>
        <v>#N/A</v>
      </c>
      <c r="AR51" s="29" t="str">
        <f t="shared" si="54"/>
        <v>#DIV/0!</v>
      </c>
      <c r="AS51" s="29" t="str">
        <f t="shared" si="54"/>
        <v>#DIV/0!</v>
      </c>
      <c r="AT51" s="29" t="str">
        <f t="shared" si="54"/>
        <v>#DIV/0!</v>
      </c>
      <c r="AU51" s="29" t="str">
        <f t="shared" si="54"/>
        <v>#DIV/0!</v>
      </c>
      <c r="AV51" s="29" t="str">
        <f t="shared" si="54"/>
        <v>#DIV/0!</v>
      </c>
      <c r="AW51" s="29" t="str">
        <f t="shared" si="54"/>
        <v>#DIV/0!</v>
      </c>
      <c r="AX51" s="29" t="str">
        <f t="shared" si="54"/>
        <v>#DIV/0!</v>
      </c>
      <c r="AY51" s="29" t="str">
        <f t="shared" si="54"/>
        <v>#DIV/0!</v>
      </c>
      <c r="AZ51" s="29" t="str">
        <f t="shared" si="54"/>
        <v>#DIV/0!</v>
      </c>
      <c r="BA51" s="29" t="str">
        <f t="shared" si="54"/>
        <v>#DIV/0!</v>
      </c>
      <c r="BB51" s="29" t="str">
        <f t="shared" si="54"/>
        <v>#DIV/0!</v>
      </c>
      <c r="BC51" s="29" t="str">
        <f t="shared" si="54"/>
        <v>#DIV/0!</v>
      </c>
      <c r="BD51" s="29" t="str">
        <f t="shared" si="54"/>
        <v>#DIV/0!</v>
      </c>
      <c r="BE51" s="29" t="str">
        <f t="shared" si="54"/>
        <v>#DIV/0!</v>
      </c>
      <c r="BF51" s="29" t="str">
        <f t="shared" si="54"/>
        <v>#DIV/0!</v>
      </c>
      <c r="BG51" s="29" t="str">
        <f t="shared" si="54"/>
        <v>#DIV/0!</v>
      </c>
      <c r="BH51" s="29" t="str">
        <f t="shared" si="54"/>
        <v>#DIV/0!</v>
      </c>
      <c r="BI51" s="29" t="str">
        <f t="shared" si="54"/>
        <v>#DIV/0!</v>
      </c>
      <c r="BJ51" s="29" t="str">
        <f t="shared" si="54"/>
        <v>#DIV/0!</v>
      </c>
      <c r="BK51" s="29" t="str">
        <f t="shared" si="54"/>
        <v>#DIV/0!</v>
      </c>
      <c r="BL51" s="29" t="str">
        <f t="shared" si="54"/>
        <v>#DIV/0!</v>
      </c>
      <c r="BM51" s="29" t="str">
        <f t="shared" si="3"/>
        <v>#DIV/0!</v>
      </c>
    </row>
    <row r="52">
      <c r="A52" s="16" t="str">
        <f>IFERROR(__xludf.DUMMYFUNCTION("IFERROR(SPARKLINE(SORT(MAP(TRANSPOSE(AQ52:BL52), LAMBDA(val, IF(ISNUMBER(val), PERCENTRANK(AQ52:BL52, val)+0.01, 0))), SEQUENCE(COLUMNS(AQ52:BL52)), FALSE), {""charttype"",""column""; ""color"",""chartreuse""; ""ymin"", 0; ""ymax"", 1.01; ""highcolor"", "&amp;"""darkgreen""; ""lowcolor"", ""red""}), """")"),"")</f>
        <v/>
      </c>
      <c r="B52" s="17" t="str">
        <f t="shared" si="4"/>
        <v/>
      </c>
      <c r="C52" s="45" t="s">
        <v>2817</v>
      </c>
      <c r="D52" s="30" t="str">
        <f>IFERROR(__xludf.DUMMYFUNCTION("IFERROR(GOOGLEFINANCE(C52, ""NAME""))"),"CMS Energy Corporation")</f>
        <v>CMS Energy Corporation</v>
      </c>
      <c r="E52" s="30" t="s">
        <v>2660</v>
      </c>
      <c r="F52" s="33" t="str">
        <f>IFERROR(__xludf.DUMMYFUNCTION("( (GOOGLEFINANCE(C52, ""price"") - Q52) / Q52 ) / (R52 / 100)"),"Loading...")</f>
        <v>Loading...</v>
      </c>
      <c r="G52" s="20" t="str">
        <f>IFERROR(__xludf.DUMMYFUNCTION("AVERAGE(ARRAYFORMULA(100 * (QUERY(GOOGLEFINANCE(C52, ""high"", TODAY()-40, TODAY()), ""SELECT Col2 WHERE Col2 IS NOT NULL ORDER BY Col1 DESC LIMIT 20"", 0) / QUERY(GOOGLEFINANCE(C52, ""low"", TODAY()-40, TODAY()), ""SELECT Col2 WHERE Col2 IS NOT NULL ORDE"&amp;"R BY Col1 DESC LIMIT 20"", 0) - 1)))"),"#N/A")</f>
        <v>#N/A</v>
      </c>
      <c r="H52" s="35" t="str">
        <f t="shared" si="6"/>
        <v>Liquid</v>
      </c>
      <c r="I52" s="35" t="str">
        <f t="shared" si="7"/>
        <v>RVol Required</v>
      </c>
      <c r="J52" s="37">
        <f>IFERROR(__xludf.DUMMYFUNCTION("IFERROR(
  IF(C52="""",, 
    IFERROR(
      GOOGLEFINANCE(C52, ""price"") * GOOGLEFINANCE(C52, ""volumeavg""), 
      GOOGLEFINANCE(C52, ""price"") * AVERAGE(QUERY(GOOGLEFINANCE(C52, ""volume"", TODAY()-40, TODAY()), ""SELECT Col2 WHERE Col2 IS NOT NULL "&amp;"ORDER BY Col1 DESC LIMIT 20"", 0))
    )
  ), 
"""")"),2.6574863760000002E8)</f>
        <v>265748637.6</v>
      </c>
      <c r="K52" s="21">
        <f>IFERROR(__xludf.DUMMYFUNCTION("IFERROR(GOOGLEFINANCE(C52, ""changepct"") / 100, """")"),0.0263)</f>
        <v>0.0263</v>
      </c>
      <c r="L52" s="21" t="str">
        <f>IFERROR(__xludf.DUMMYFUNCTION("IFERROR((GOOGLEFINANCE(C52, ""price"") / INDEX(GOOGLEFINANCE(C52, ""price"", TODAY()-7, TODAY()), 2, 2)) - 1, """")"),"")</f>
        <v/>
      </c>
      <c r="M52" s="21" t="str">
        <f>IFERROR(__xludf.DUMMYFUNCTION("IFERROR((GOOGLEFINANCE(C52, ""price"") / INDEX(GOOGLEFINANCE(C52, ""price"", EDATE(TODAY(), -1), TODAY()), 2, 2)) - 1, """")"),"")</f>
        <v/>
      </c>
      <c r="N52" s="21" t="str">
        <f>IFERROR(__xludf.DUMMYFUNCTION("IFERROR((GOOGLEFINANCE(C52, ""price"") / INDEX(GOOGLEFINANCE(C52, ""price"", EDATE(TODAY(), -3), TODAY()), 2, 2)) - 1, """")"),"")</f>
        <v/>
      </c>
      <c r="O52" s="21" t="str">
        <f>IFERROR(__xludf.DUMMYFUNCTION("IFERROR((GOOGLEFINANCE(C52, ""price"") / INDEX(GOOGLEFINANCE(C52, ""price"", EDATE(TODAY(), -6), TODAY()), 2, 2)) - 1, """")"),"")</f>
        <v/>
      </c>
      <c r="P52" s="21" t="str">
        <f>IFERROR(__xludf.DUMMYFUNCTION("IFERROR((GOOGLEFINANCE(C52, ""price"") / INDEX(GOOGLEFINANCE(C52, ""price"", EDATE(TODAY(), -12), TODAY()), 2, 2)) - 1, """")"),"")</f>
        <v/>
      </c>
      <c r="Q52" s="6" t="str">
        <f>IFERROR(__xludf.DUMMYFUNCTION("AVERAGE(QUERY(GOOGLEFINANCE(C52, ""price"", TODAY()-80, TODAY()), ""SELECT Col2 WHERE Col2 IS NOT NULL ORDER BY Col1 DESC LIMIT 50"", 0))"),"#N/A")</f>
        <v>#N/A</v>
      </c>
      <c r="R52" s="24" t="str">
        <f>IFERROR(__xludf.DUMMYFUNCTION("IFERROR(
  LET(
    data, QUERY(GOOGLEFINANCE(C52,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GOOGLEFINANCE(C52, ""price"")) * 100,
    IF(calc=0, G52, calc)
  ), 
G52)"),"#N/A")</f>
        <v>#N/A</v>
      </c>
      <c r="S52" s="8" t="s">
        <v>15</v>
      </c>
      <c r="T52" s="26" t="str">
        <f>IFERROR(__xludf.DUMMYFUNCTION("IFERROR(TRANSPOSE(QUERY(IFERROR(SORT(GOOGLEFINANCE(C52, ""price"", WORKDAY(TODAY(), -40), TODAY()), 1, FALSE)), ""select Col2 where Col2 is not null limit 22 label Col2 ''"", 0)), """")"),"")</f>
        <v/>
      </c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8"/>
      <c r="AO52" s="28"/>
      <c r="AP52" s="29"/>
      <c r="AQ52" s="29" t="str">
        <f t="shared" ref="AQ52:BL52" si="55">T52/T$2</f>
        <v>#N/A</v>
      </c>
      <c r="AR52" s="29" t="str">
        <f t="shared" si="55"/>
        <v>#DIV/0!</v>
      </c>
      <c r="AS52" s="29" t="str">
        <f t="shared" si="55"/>
        <v>#DIV/0!</v>
      </c>
      <c r="AT52" s="29" t="str">
        <f t="shared" si="55"/>
        <v>#DIV/0!</v>
      </c>
      <c r="AU52" s="29" t="str">
        <f t="shared" si="55"/>
        <v>#DIV/0!</v>
      </c>
      <c r="AV52" s="29" t="str">
        <f t="shared" si="55"/>
        <v>#DIV/0!</v>
      </c>
      <c r="AW52" s="29" t="str">
        <f t="shared" si="55"/>
        <v>#DIV/0!</v>
      </c>
      <c r="AX52" s="29" t="str">
        <f t="shared" si="55"/>
        <v>#DIV/0!</v>
      </c>
      <c r="AY52" s="29" t="str">
        <f t="shared" si="55"/>
        <v>#DIV/0!</v>
      </c>
      <c r="AZ52" s="29" t="str">
        <f t="shared" si="55"/>
        <v>#DIV/0!</v>
      </c>
      <c r="BA52" s="29" t="str">
        <f t="shared" si="55"/>
        <v>#DIV/0!</v>
      </c>
      <c r="BB52" s="29" t="str">
        <f t="shared" si="55"/>
        <v>#DIV/0!</v>
      </c>
      <c r="BC52" s="29" t="str">
        <f t="shared" si="55"/>
        <v>#DIV/0!</v>
      </c>
      <c r="BD52" s="29" t="str">
        <f t="shared" si="55"/>
        <v>#DIV/0!</v>
      </c>
      <c r="BE52" s="29" t="str">
        <f t="shared" si="55"/>
        <v>#DIV/0!</v>
      </c>
      <c r="BF52" s="29" t="str">
        <f t="shared" si="55"/>
        <v>#DIV/0!</v>
      </c>
      <c r="BG52" s="29" t="str">
        <f t="shared" si="55"/>
        <v>#DIV/0!</v>
      </c>
      <c r="BH52" s="29" t="str">
        <f t="shared" si="55"/>
        <v>#DIV/0!</v>
      </c>
      <c r="BI52" s="29" t="str">
        <f t="shared" si="55"/>
        <v>#DIV/0!</v>
      </c>
      <c r="BJ52" s="29" t="str">
        <f t="shared" si="55"/>
        <v>#DIV/0!</v>
      </c>
      <c r="BK52" s="29" t="str">
        <f t="shared" si="55"/>
        <v>#DIV/0!</v>
      </c>
      <c r="BL52" s="29" t="str">
        <f t="shared" si="55"/>
        <v>#DIV/0!</v>
      </c>
      <c r="BM52" s="29" t="str">
        <f t="shared" si="3"/>
        <v>#DIV/0!</v>
      </c>
    </row>
    <row r="53">
      <c r="A53" s="16" t="str">
        <f>IFERROR(__xludf.DUMMYFUNCTION("IFERROR(SPARKLINE(SORT(MAP(TRANSPOSE(AQ53:BL53), LAMBDA(val, IF(ISNUMBER(val), PERCENTRANK(AQ53:BL53, val)+0.01, 0))), SEQUENCE(COLUMNS(AQ53:BL53)), FALSE), {""charttype"",""column""; ""color"",""chartreuse""; ""ymin"", 0; ""ymax"", 1.01; ""highcolor"", "&amp;"""darkgreen""; ""lowcolor"", ""red""}), """")"),"")</f>
        <v/>
      </c>
      <c r="B53" s="17" t="str">
        <f t="shared" si="4"/>
        <v/>
      </c>
      <c r="C53" s="45" t="s">
        <v>2821</v>
      </c>
      <c r="D53" s="30" t="str">
        <f>IFERROR(__xludf.DUMMYFUNCTION("IFERROR(GOOGLEFINANCE(C53, ""NAME""))"),"FirstEnergy Corp")</f>
        <v>FirstEnergy Corp</v>
      </c>
      <c r="E53" s="30" t="s">
        <v>2660</v>
      </c>
      <c r="F53" s="33" t="str">
        <f>IFERROR(__xludf.DUMMYFUNCTION("( (GOOGLEFINANCE(C53, ""price"") - Q53) / Q53 ) / (R53 / 100)"),"Loading...")</f>
        <v>Loading...</v>
      </c>
      <c r="G53" s="20" t="str">
        <f>IFERROR(__xludf.DUMMYFUNCTION("AVERAGE(ARRAYFORMULA(100 * (QUERY(GOOGLEFINANCE(C53, ""high"", TODAY()-40, TODAY()), ""SELECT Col2 WHERE Col2 IS NOT NULL ORDER BY Col1 DESC LIMIT 20"", 0) / QUERY(GOOGLEFINANCE(C53, ""low"", TODAY()-40, TODAY()), ""SELECT Col2 WHERE Col2 IS NOT NULL ORDE"&amp;"R BY Col1 DESC LIMIT 20"", 0) - 1)))"),"#N/A")</f>
        <v>#N/A</v>
      </c>
      <c r="H53" s="35" t="str">
        <f t="shared" si="6"/>
        <v>Liquid</v>
      </c>
      <c r="I53" s="35" t="str">
        <f t="shared" si="7"/>
        <v>RVol Required</v>
      </c>
      <c r="J53" s="37">
        <f>IFERROR(__xludf.DUMMYFUNCTION("IFERROR(
  IF(C53="""",, 
    IFERROR(
      GOOGLEFINANCE(C53, ""price"") * GOOGLEFINANCE(C53, ""volumeavg""), 
      GOOGLEFINANCE(C53, ""price"") * AVERAGE(QUERY(GOOGLEFINANCE(C53, ""volume"", TODAY()-40, TODAY()), ""SELECT Col2 WHERE Col2 IS NOT NULL "&amp;"ORDER BY Col1 DESC LIMIT 20"", 0))
    )
  ), 
"""")"),2.0434691569E8)</f>
        <v>204346915.7</v>
      </c>
      <c r="K53" s="21">
        <f>IFERROR(__xludf.DUMMYFUNCTION("IFERROR(GOOGLEFINANCE(C53, ""changepct"") / 100, """")"),0.0141)</f>
        <v>0.0141</v>
      </c>
      <c r="L53" s="21" t="str">
        <f>IFERROR(__xludf.DUMMYFUNCTION("IFERROR((GOOGLEFINANCE(C53, ""price"") / INDEX(GOOGLEFINANCE(C53, ""price"", TODAY()-7, TODAY()), 2, 2)) - 1, """")"),"")</f>
        <v/>
      </c>
      <c r="M53" s="21" t="str">
        <f>IFERROR(__xludf.DUMMYFUNCTION("IFERROR((GOOGLEFINANCE(C53, ""price"") / INDEX(GOOGLEFINANCE(C53, ""price"", EDATE(TODAY(), -1), TODAY()), 2, 2)) - 1, """")"),"")</f>
        <v/>
      </c>
      <c r="N53" s="21" t="str">
        <f>IFERROR(__xludf.DUMMYFUNCTION("IFERROR((GOOGLEFINANCE(C53, ""price"") / INDEX(GOOGLEFINANCE(C53, ""price"", EDATE(TODAY(), -3), TODAY()), 2, 2)) - 1, """")"),"")</f>
        <v/>
      </c>
      <c r="O53" s="21" t="str">
        <f>IFERROR(__xludf.DUMMYFUNCTION("IFERROR((GOOGLEFINANCE(C53, ""price"") / INDEX(GOOGLEFINANCE(C53, ""price"", EDATE(TODAY(), -6), TODAY()), 2, 2)) - 1, """")"),"")</f>
        <v/>
      </c>
      <c r="P53" s="21" t="str">
        <f>IFERROR(__xludf.DUMMYFUNCTION("IFERROR((GOOGLEFINANCE(C53, ""price"") / INDEX(GOOGLEFINANCE(C53, ""price"", EDATE(TODAY(), -12), TODAY()), 2, 2)) - 1, """")"),"")</f>
        <v/>
      </c>
      <c r="Q53" s="6" t="str">
        <f>IFERROR(__xludf.DUMMYFUNCTION("AVERAGE(QUERY(GOOGLEFINANCE(C53, ""price"", TODAY()-80, TODAY()), ""SELECT Col2 WHERE Col2 IS NOT NULL ORDER BY Col1 DESC LIMIT 50"", 0))"),"#N/A")</f>
        <v>#N/A</v>
      </c>
      <c r="R53" s="24" t="str">
        <f>IFERROR(__xludf.DUMMYFUNCTION("IFERROR(
  LET(
    data, QUERY(GOOGLEFINANCE(C53,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GOOGLEFINANCE(C53, ""price"")) * 100,
    IF(calc=0, G53, calc)
  ), 
G53)"),"#N/A")</f>
        <v>#N/A</v>
      </c>
      <c r="S53" s="8" t="s">
        <v>15</v>
      </c>
      <c r="T53" s="26" t="str">
        <f>IFERROR(__xludf.DUMMYFUNCTION("IFERROR(TRANSPOSE(QUERY(IFERROR(SORT(GOOGLEFINANCE(C53, ""price"", WORKDAY(TODAY(), -40), TODAY()), 1, FALSE)), ""select Col2 where Col2 is not null limit 22 label Col2 ''"", 0)), """")"),"")</f>
        <v/>
      </c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8"/>
      <c r="AO53" s="28"/>
      <c r="AP53" s="29"/>
      <c r="AQ53" s="29" t="str">
        <f t="shared" ref="AQ53:BL53" si="56">T53/T$2</f>
        <v>#N/A</v>
      </c>
      <c r="AR53" s="29" t="str">
        <f t="shared" si="56"/>
        <v>#DIV/0!</v>
      </c>
      <c r="AS53" s="29" t="str">
        <f t="shared" si="56"/>
        <v>#DIV/0!</v>
      </c>
      <c r="AT53" s="29" t="str">
        <f t="shared" si="56"/>
        <v>#DIV/0!</v>
      </c>
      <c r="AU53" s="29" t="str">
        <f t="shared" si="56"/>
        <v>#DIV/0!</v>
      </c>
      <c r="AV53" s="29" t="str">
        <f t="shared" si="56"/>
        <v>#DIV/0!</v>
      </c>
      <c r="AW53" s="29" t="str">
        <f t="shared" si="56"/>
        <v>#DIV/0!</v>
      </c>
      <c r="AX53" s="29" t="str">
        <f t="shared" si="56"/>
        <v>#DIV/0!</v>
      </c>
      <c r="AY53" s="29" t="str">
        <f t="shared" si="56"/>
        <v>#DIV/0!</v>
      </c>
      <c r="AZ53" s="29" t="str">
        <f t="shared" si="56"/>
        <v>#DIV/0!</v>
      </c>
      <c r="BA53" s="29" t="str">
        <f t="shared" si="56"/>
        <v>#DIV/0!</v>
      </c>
      <c r="BB53" s="29" t="str">
        <f t="shared" si="56"/>
        <v>#DIV/0!</v>
      </c>
      <c r="BC53" s="29" t="str">
        <f t="shared" si="56"/>
        <v>#DIV/0!</v>
      </c>
      <c r="BD53" s="29" t="str">
        <f t="shared" si="56"/>
        <v>#DIV/0!</v>
      </c>
      <c r="BE53" s="29" t="str">
        <f t="shared" si="56"/>
        <v>#DIV/0!</v>
      </c>
      <c r="BF53" s="29" t="str">
        <f t="shared" si="56"/>
        <v>#DIV/0!</v>
      </c>
      <c r="BG53" s="29" t="str">
        <f t="shared" si="56"/>
        <v>#DIV/0!</v>
      </c>
      <c r="BH53" s="29" t="str">
        <f t="shared" si="56"/>
        <v>#DIV/0!</v>
      </c>
      <c r="BI53" s="29" t="str">
        <f t="shared" si="56"/>
        <v>#DIV/0!</v>
      </c>
      <c r="BJ53" s="29" t="str">
        <f t="shared" si="56"/>
        <v>#DIV/0!</v>
      </c>
      <c r="BK53" s="29" t="str">
        <f t="shared" si="56"/>
        <v>#DIV/0!</v>
      </c>
      <c r="BL53" s="29" t="str">
        <f t="shared" si="56"/>
        <v>#DIV/0!</v>
      </c>
      <c r="BM53" s="29" t="str">
        <f t="shared" si="3"/>
        <v>#DIV/0!</v>
      </c>
    </row>
    <row r="54">
      <c r="A54" s="16" t="str">
        <f>IFERROR(__xludf.DUMMYFUNCTION("IFERROR(SPARKLINE(SORT(MAP(TRANSPOSE(AQ54:BL54), LAMBDA(val, IF(ISNUMBER(val), PERCENTRANK(AQ54:BL54, val)+0.01, 0))), SEQUENCE(COLUMNS(AQ54:BL54)), FALSE), {""charttype"",""column""; ""color"",""chartreuse""; ""ymin"", 0; ""ymax"", 1.01; ""highcolor"", "&amp;"""darkgreen""; ""lowcolor"", ""red""}), """")"),"")</f>
        <v/>
      </c>
      <c r="B54" s="17" t="str">
        <f t="shared" si="4"/>
        <v/>
      </c>
      <c r="C54" s="45" t="s">
        <v>2825</v>
      </c>
      <c r="D54" s="30" t="str">
        <f>IFERROR(__xludf.DUMMYFUNCTION("IFERROR(GOOGLEFINANCE(C54, ""NAME""))"),"DTE Energy Co")</f>
        <v>DTE Energy Co</v>
      </c>
      <c r="E54" s="30" t="s">
        <v>2660</v>
      </c>
      <c r="F54" s="33" t="str">
        <f>IFERROR(__xludf.DUMMYFUNCTION("( (GOOGLEFINANCE(C54, ""price"") - Q54) / Q54 ) / (R54 / 100)"),"Loading...")</f>
        <v>Loading...</v>
      </c>
      <c r="G54" s="20" t="str">
        <f>IFERROR(__xludf.DUMMYFUNCTION("AVERAGE(ARRAYFORMULA(100 * (QUERY(GOOGLEFINANCE(C54, ""high"", TODAY()-40, TODAY()), ""SELECT Col2 WHERE Col2 IS NOT NULL ORDER BY Col1 DESC LIMIT 20"", 0) / QUERY(GOOGLEFINANCE(C54, ""low"", TODAY()-40, TODAY()), ""SELECT Col2 WHERE Col2 IS NOT NULL ORDE"&amp;"R BY Col1 DESC LIMIT 20"", 0) - 1)))"),"#N/A")</f>
        <v>#N/A</v>
      </c>
      <c r="H54" s="35" t="str">
        <f t="shared" si="6"/>
        <v>Liquid</v>
      </c>
      <c r="I54" s="35" t="str">
        <f t="shared" si="7"/>
        <v>RVol Required</v>
      </c>
      <c r="J54" s="37">
        <f>IFERROR(__xludf.DUMMYFUNCTION("IFERROR(
  IF(C54="""",, 
    IFERROR(
      GOOGLEFINANCE(C54, ""price"") * GOOGLEFINANCE(C54, ""volumeavg""), 
      GOOGLEFINANCE(C54, ""price"") * AVERAGE(QUERY(GOOGLEFINANCE(C54, ""volume"", TODAY()-40, TODAY()), ""SELECT Col2 WHERE Col2 IS NOT NULL "&amp;"ORDER BY Col1 DESC LIMIT 20"", 0))
    )
  ), 
"""")"),2.3161436360999998E8)</f>
        <v>231614363.6</v>
      </c>
      <c r="K54" s="21">
        <f>IFERROR(__xludf.DUMMYFUNCTION("IFERROR(GOOGLEFINANCE(C54, ""changepct"") / 100, """")"),0.0109)</f>
        <v>0.0109</v>
      </c>
      <c r="L54" s="21" t="str">
        <f>IFERROR(__xludf.DUMMYFUNCTION("IFERROR((GOOGLEFINANCE(C54, ""price"") / INDEX(GOOGLEFINANCE(C54, ""price"", TODAY()-7, TODAY()), 2, 2)) - 1, """")"),"")</f>
        <v/>
      </c>
      <c r="M54" s="21" t="str">
        <f>IFERROR(__xludf.DUMMYFUNCTION("IFERROR((GOOGLEFINANCE(C54, ""price"") / INDEX(GOOGLEFINANCE(C54, ""price"", EDATE(TODAY(), -1), TODAY()), 2, 2)) - 1, """")"),"")</f>
        <v/>
      </c>
      <c r="N54" s="21" t="str">
        <f>IFERROR(__xludf.DUMMYFUNCTION("IFERROR((GOOGLEFINANCE(C54, ""price"") / INDEX(GOOGLEFINANCE(C54, ""price"", EDATE(TODAY(), -3), TODAY()), 2, 2)) - 1, """")"),"")</f>
        <v/>
      </c>
      <c r="O54" s="21" t="str">
        <f>IFERROR(__xludf.DUMMYFUNCTION("IFERROR((GOOGLEFINANCE(C54, ""price"") / INDEX(GOOGLEFINANCE(C54, ""price"", EDATE(TODAY(), -6), TODAY()), 2, 2)) - 1, """")"),"")</f>
        <v/>
      </c>
      <c r="P54" s="21" t="str">
        <f>IFERROR(__xludf.DUMMYFUNCTION("IFERROR((GOOGLEFINANCE(C54, ""price"") / INDEX(GOOGLEFINANCE(C54, ""price"", EDATE(TODAY(), -12), TODAY()), 2, 2)) - 1, """")"),"")</f>
        <v/>
      </c>
      <c r="Q54" s="6" t="str">
        <f>IFERROR(__xludf.DUMMYFUNCTION("AVERAGE(QUERY(GOOGLEFINANCE(C54, ""price"", TODAY()-80, TODAY()), ""SELECT Col2 WHERE Col2 IS NOT NULL ORDER BY Col1 DESC LIMIT 50"", 0))"),"#N/A")</f>
        <v>#N/A</v>
      </c>
      <c r="R54" s="24" t="str">
        <f>IFERROR(__xludf.DUMMYFUNCTION("IFERROR(
  LET(
    data, QUERY(GOOGLEFINANCE(C54,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GOOGLEFINANCE(C54, ""price"")) * 100,
    IF(calc=0, G54, calc)
  ), 
G54)"),"#N/A")</f>
        <v>#N/A</v>
      </c>
      <c r="S54" s="8" t="s">
        <v>15</v>
      </c>
      <c r="T54" s="26" t="str">
        <f>IFERROR(__xludf.DUMMYFUNCTION("IFERROR(TRANSPOSE(QUERY(IFERROR(SORT(GOOGLEFINANCE(C54, ""price"", WORKDAY(TODAY(), -40), TODAY()), 1, FALSE)), ""select Col2 where Col2 is not null limit 22 label Col2 ''"", 0)), """")"),"")</f>
        <v/>
      </c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8"/>
      <c r="AO54" s="28"/>
      <c r="AP54" s="29"/>
      <c r="AQ54" s="29" t="str">
        <f t="shared" ref="AQ54:BL54" si="57">T54/T$2</f>
        <v>#N/A</v>
      </c>
      <c r="AR54" s="29" t="str">
        <f t="shared" si="57"/>
        <v>#DIV/0!</v>
      </c>
      <c r="AS54" s="29" t="str">
        <f t="shared" si="57"/>
        <v>#DIV/0!</v>
      </c>
      <c r="AT54" s="29" t="str">
        <f t="shared" si="57"/>
        <v>#DIV/0!</v>
      </c>
      <c r="AU54" s="29" t="str">
        <f t="shared" si="57"/>
        <v>#DIV/0!</v>
      </c>
      <c r="AV54" s="29" t="str">
        <f t="shared" si="57"/>
        <v>#DIV/0!</v>
      </c>
      <c r="AW54" s="29" t="str">
        <f t="shared" si="57"/>
        <v>#DIV/0!</v>
      </c>
      <c r="AX54" s="29" t="str">
        <f t="shared" si="57"/>
        <v>#DIV/0!</v>
      </c>
      <c r="AY54" s="29" t="str">
        <f t="shared" si="57"/>
        <v>#DIV/0!</v>
      </c>
      <c r="AZ54" s="29" t="str">
        <f t="shared" si="57"/>
        <v>#DIV/0!</v>
      </c>
      <c r="BA54" s="29" t="str">
        <f t="shared" si="57"/>
        <v>#DIV/0!</v>
      </c>
      <c r="BB54" s="29" t="str">
        <f t="shared" si="57"/>
        <v>#DIV/0!</v>
      </c>
      <c r="BC54" s="29" t="str">
        <f t="shared" si="57"/>
        <v>#DIV/0!</v>
      </c>
      <c r="BD54" s="29" t="str">
        <f t="shared" si="57"/>
        <v>#DIV/0!</v>
      </c>
      <c r="BE54" s="29" t="str">
        <f t="shared" si="57"/>
        <v>#DIV/0!</v>
      </c>
      <c r="BF54" s="29" t="str">
        <f t="shared" si="57"/>
        <v>#DIV/0!</v>
      </c>
      <c r="BG54" s="29" t="str">
        <f t="shared" si="57"/>
        <v>#DIV/0!</v>
      </c>
      <c r="BH54" s="29" t="str">
        <f t="shared" si="57"/>
        <v>#DIV/0!</v>
      </c>
      <c r="BI54" s="29" t="str">
        <f t="shared" si="57"/>
        <v>#DIV/0!</v>
      </c>
      <c r="BJ54" s="29" t="str">
        <f t="shared" si="57"/>
        <v>#DIV/0!</v>
      </c>
      <c r="BK54" s="29" t="str">
        <f t="shared" si="57"/>
        <v>#DIV/0!</v>
      </c>
      <c r="BL54" s="29" t="str">
        <f t="shared" si="57"/>
        <v>#DIV/0!</v>
      </c>
      <c r="BM54" s="29" t="str">
        <f t="shared" si="3"/>
        <v>#DIV/0!</v>
      </c>
    </row>
    <row r="55">
      <c r="A55" s="16" t="str">
        <f>IFERROR(__xludf.DUMMYFUNCTION("IFERROR(SPARKLINE(SORT(MAP(TRANSPOSE(AQ55:BL55), LAMBDA(val, IF(ISNUMBER(val), PERCENTRANK(AQ55:BL55, val)+0.01, 0))), SEQUENCE(COLUMNS(AQ55:BL55)), FALSE), {""charttype"",""column""; ""color"",""chartreuse""; ""ymin"", 0; ""ymax"", 1.01; ""highcolor"", "&amp;"""darkgreen""; ""lowcolor"", ""red""}), """")"),"")</f>
        <v/>
      </c>
      <c r="B55" s="17" t="str">
        <f t="shared" si="4"/>
        <v/>
      </c>
      <c r="C55" s="45" t="s">
        <v>2829</v>
      </c>
      <c r="D55" s="30" t="str">
        <f>IFERROR(__xludf.DUMMYFUNCTION("IFERROR(GOOGLEFINANCE(C55, ""NAME""))"),"NiSource Inc")</f>
        <v>NiSource Inc</v>
      </c>
      <c r="E55" s="30" t="s">
        <v>2651</v>
      </c>
      <c r="F55" s="33" t="str">
        <f>IFERROR(__xludf.DUMMYFUNCTION("( (GOOGLEFINANCE(C55, ""price"") - Q55) / Q55 ) / (R55 / 100)"),"Loading...")</f>
        <v>Loading...</v>
      </c>
      <c r="G55" s="20" t="str">
        <f>IFERROR(__xludf.DUMMYFUNCTION("AVERAGE(ARRAYFORMULA(100 * (QUERY(GOOGLEFINANCE(C55, ""high"", TODAY()-40, TODAY()), ""SELECT Col2 WHERE Col2 IS NOT NULL ORDER BY Col1 DESC LIMIT 20"", 0) / QUERY(GOOGLEFINANCE(C55, ""low"", TODAY()-40, TODAY()), ""SELECT Col2 WHERE Col2 IS NOT NULL ORDE"&amp;"R BY Col1 DESC LIMIT 20"", 0) - 1)))"),"#N/A")</f>
        <v>#N/A</v>
      </c>
      <c r="H55" s="35" t="str">
        <f t="shared" si="6"/>
        <v>Liquid</v>
      </c>
      <c r="I55" s="35" t="str">
        <f t="shared" si="7"/>
        <v>RVol Required</v>
      </c>
      <c r="J55" s="37">
        <f>IFERROR(__xludf.DUMMYFUNCTION("IFERROR(
  IF(C55="""",, 
    IFERROR(
      GOOGLEFINANCE(C55, ""price"") * GOOGLEFINANCE(C55, ""volumeavg""), 
      GOOGLEFINANCE(C55, ""price"") * AVERAGE(QUERY(GOOGLEFINANCE(C55, ""volume"", TODAY()-40, TODAY()), ""SELECT Col2 WHERE Col2 IS NOT NULL "&amp;"ORDER BY Col1 DESC LIMIT 20"", 0))
    )
  ), 
"""")"),2.2589166776E8)</f>
        <v>225891667.8</v>
      </c>
      <c r="K55" s="21">
        <f>IFERROR(__xludf.DUMMYFUNCTION("IFERROR(GOOGLEFINANCE(C55, ""changepct"") / 100, """")"),0.0347)</f>
        <v>0.0347</v>
      </c>
      <c r="L55" s="21" t="str">
        <f>IFERROR(__xludf.DUMMYFUNCTION("IFERROR((GOOGLEFINANCE(C55, ""price"") / INDEX(GOOGLEFINANCE(C55, ""price"", TODAY()-7, TODAY()), 2, 2)) - 1, """")"),"")</f>
        <v/>
      </c>
      <c r="M55" s="21" t="str">
        <f>IFERROR(__xludf.DUMMYFUNCTION("IFERROR((GOOGLEFINANCE(C55, ""price"") / INDEX(GOOGLEFINANCE(C55, ""price"", EDATE(TODAY(), -1), TODAY()), 2, 2)) - 1, """")"),"")</f>
        <v/>
      </c>
      <c r="N55" s="21" t="str">
        <f>IFERROR(__xludf.DUMMYFUNCTION("IFERROR((GOOGLEFINANCE(C55, ""price"") / INDEX(GOOGLEFINANCE(C55, ""price"", EDATE(TODAY(), -3), TODAY()), 2, 2)) - 1, """")"),"")</f>
        <v/>
      </c>
      <c r="O55" s="21" t="str">
        <f>IFERROR(__xludf.DUMMYFUNCTION("IFERROR((GOOGLEFINANCE(C55, ""price"") / INDEX(GOOGLEFINANCE(C55, ""price"", EDATE(TODAY(), -6), TODAY()), 2, 2)) - 1, """")"),"")</f>
        <v/>
      </c>
      <c r="P55" s="21" t="str">
        <f>IFERROR(__xludf.DUMMYFUNCTION("IFERROR((GOOGLEFINANCE(C55, ""price"") / INDEX(GOOGLEFINANCE(C55, ""price"", EDATE(TODAY(), -12), TODAY()), 2, 2)) - 1, """")"),"")</f>
        <v/>
      </c>
      <c r="Q55" s="6" t="str">
        <f>IFERROR(__xludf.DUMMYFUNCTION("AVERAGE(QUERY(GOOGLEFINANCE(C55, ""price"", TODAY()-80, TODAY()), ""SELECT Col2 WHERE Col2 IS NOT NULL ORDER BY Col1 DESC LIMIT 50"", 0))"),"#N/A")</f>
        <v>#N/A</v>
      </c>
      <c r="R55" s="24" t="str">
        <f>IFERROR(__xludf.DUMMYFUNCTION("IFERROR(
  LET(
    data, QUERY(GOOGLEFINANCE(C55,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GOOGLEFINANCE(C55, ""price"")) * 100,
    IF(calc=0, G55, calc)
  ), 
G55)"),"#N/A")</f>
        <v>#N/A</v>
      </c>
      <c r="S55" s="8" t="s">
        <v>15</v>
      </c>
      <c r="T55" s="26" t="str">
        <f>IFERROR(__xludf.DUMMYFUNCTION("IFERROR(TRANSPOSE(QUERY(IFERROR(SORT(GOOGLEFINANCE(C55, ""price"", WORKDAY(TODAY(), -40), TODAY()), 1, FALSE)), ""select Col2 where Col2 is not null limit 22 label Col2 ''"", 0)), """")"),"")</f>
        <v/>
      </c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8"/>
      <c r="AO55" s="28"/>
      <c r="AP55" s="29"/>
      <c r="AQ55" s="29" t="str">
        <f t="shared" ref="AQ55:BL55" si="58">T55/T$2</f>
        <v>#N/A</v>
      </c>
      <c r="AR55" s="29" t="str">
        <f t="shared" si="58"/>
        <v>#DIV/0!</v>
      </c>
      <c r="AS55" s="29" t="str">
        <f t="shared" si="58"/>
        <v>#DIV/0!</v>
      </c>
      <c r="AT55" s="29" t="str">
        <f t="shared" si="58"/>
        <v>#DIV/0!</v>
      </c>
      <c r="AU55" s="29" t="str">
        <f t="shared" si="58"/>
        <v>#DIV/0!</v>
      </c>
      <c r="AV55" s="29" t="str">
        <f t="shared" si="58"/>
        <v>#DIV/0!</v>
      </c>
      <c r="AW55" s="29" t="str">
        <f t="shared" si="58"/>
        <v>#DIV/0!</v>
      </c>
      <c r="AX55" s="29" t="str">
        <f t="shared" si="58"/>
        <v>#DIV/0!</v>
      </c>
      <c r="AY55" s="29" t="str">
        <f t="shared" si="58"/>
        <v>#DIV/0!</v>
      </c>
      <c r="AZ55" s="29" t="str">
        <f t="shared" si="58"/>
        <v>#DIV/0!</v>
      </c>
      <c r="BA55" s="29" t="str">
        <f t="shared" si="58"/>
        <v>#DIV/0!</v>
      </c>
      <c r="BB55" s="29" t="str">
        <f t="shared" si="58"/>
        <v>#DIV/0!</v>
      </c>
      <c r="BC55" s="29" t="str">
        <f t="shared" si="58"/>
        <v>#DIV/0!</v>
      </c>
      <c r="BD55" s="29" t="str">
        <f t="shared" si="58"/>
        <v>#DIV/0!</v>
      </c>
      <c r="BE55" s="29" t="str">
        <f t="shared" si="58"/>
        <v>#DIV/0!</v>
      </c>
      <c r="BF55" s="29" t="str">
        <f t="shared" si="58"/>
        <v>#DIV/0!</v>
      </c>
      <c r="BG55" s="29" t="str">
        <f t="shared" si="58"/>
        <v>#DIV/0!</v>
      </c>
      <c r="BH55" s="29" t="str">
        <f t="shared" si="58"/>
        <v>#DIV/0!</v>
      </c>
      <c r="BI55" s="29" t="str">
        <f t="shared" si="58"/>
        <v>#DIV/0!</v>
      </c>
      <c r="BJ55" s="29" t="str">
        <f t="shared" si="58"/>
        <v>#DIV/0!</v>
      </c>
      <c r="BK55" s="29" t="str">
        <f t="shared" si="58"/>
        <v>#DIV/0!</v>
      </c>
      <c r="BL55" s="29" t="str">
        <f t="shared" si="58"/>
        <v>#DIV/0!</v>
      </c>
      <c r="BM55" s="29" t="str">
        <f t="shared" si="3"/>
        <v>#DIV/0!</v>
      </c>
    </row>
    <row r="56">
      <c r="A56" s="16" t="str">
        <f>IFERROR(__xludf.DUMMYFUNCTION("IFERROR(SPARKLINE(SORT(MAP(TRANSPOSE(AQ56:BL56), LAMBDA(val, IF(ISNUMBER(val), PERCENTRANK(AQ56:BL56, val)+0.01, 0))), SEQUENCE(COLUMNS(AQ56:BL56)), FALSE), {""charttype"",""column""; ""color"",""chartreuse""; ""ymin"", 0; ""ymax"", 1.01; ""highcolor"", "&amp;"""darkgreen""; ""lowcolor"", ""red""}), """")"),"")</f>
        <v/>
      </c>
      <c r="B56" s="17" t="str">
        <f t="shared" si="4"/>
        <v/>
      </c>
      <c r="C56" s="45" t="s">
        <v>2833</v>
      </c>
      <c r="D56" s="30" t="str">
        <f>IFERROR(__xludf.DUMMYFUNCTION("IFERROR(GOOGLEFINANCE(C56, ""NAME""))"),"MGE Energy Inc")</f>
        <v>MGE Energy Inc</v>
      </c>
      <c r="E56" s="30" t="s">
        <v>2660</v>
      </c>
      <c r="F56" s="33" t="str">
        <f>IFERROR(__xludf.DUMMYFUNCTION("( (GOOGLEFINANCE(C56, ""price"") - Q56) / Q56 ) / (R56 / 100)"),"Loading...")</f>
        <v>Loading...</v>
      </c>
      <c r="G56" s="20" t="str">
        <f>IFERROR(__xludf.DUMMYFUNCTION("AVERAGE(ARRAYFORMULA(100 * (QUERY(GOOGLEFINANCE(C56, ""high"", TODAY()-40, TODAY()), ""SELECT Col2 WHERE Col2 IS NOT NULL ORDER BY Col1 DESC LIMIT 20"", 0) / QUERY(GOOGLEFINANCE(C56, ""low"", TODAY()-40, TODAY()), ""SELECT Col2 WHERE Col2 IS NOT NULL ORDE"&amp;"R BY Col1 DESC LIMIT 20"", 0) - 1)))"),"#N/A")</f>
        <v>#N/A</v>
      </c>
      <c r="H56" s="35" t="str">
        <f t="shared" si="6"/>
        <v>Illiquid</v>
      </c>
      <c r="I56" s="35" t="str">
        <f t="shared" si="7"/>
        <v>RVol Required</v>
      </c>
      <c r="J56" s="37">
        <f>IFERROR(__xludf.DUMMYFUNCTION("IFERROR(
  IF(C56="""",, 
    IFERROR(
      GOOGLEFINANCE(C56, ""price"") * GOOGLEFINANCE(C56, ""volumeavg""), 
      GOOGLEFINANCE(C56, ""price"") * AVERAGE(QUERY(GOOGLEFINANCE(C56, ""volume"", TODAY()-40, TODAY()), ""SELECT Col2 WHERE Col2 IS NOT NULL "&amp;"ORDER BY Col1 DESC LIMIT 20"", 0))
    )
  ), 
"""")"),1.381021884E7)</f>
        <v>13810218.84</v>
      </c>
      <c r="K56" s="21">
        <f>IFERROR(__xludf.DUMMYFUNCTION("IFERROR(GOOGLEFINANCE(C56, ""changepct"") / 100, """")"),0.0139)</f>
        <v>0.0139</v>
      </c>
      <c r="L56" s="21" t="str">
        <f>IFERROR(__xludf.DUMMYFUNCTION("IFERROR((GOOGLEFINANCE(C56, ""price"") / INDEX(GOOGLEFINANCE(C56, ""price"", TODAY()-7, TODAY()), 2, 2)) - 1, """")"),"")</f>
        <v/>
      </c>
      <c r="M56" s="21" t="str">
        <f>IFERROR(__xludf.DUMMYFUNCTION("IFERROR((GOOGLEFINANCE(C56, ""price"") / INDEX(GOOGLEFINANCE(C56, ""price"", EDATE(TODAY(), -1), TODAY()), 2, 2)) - 1, """")"),"")</f>
        <v/>
      </c>
      <c r="N56" s="21" t="str">
        <f>IFERROR(__xludf.DUMMYFUNCTION("IFERROR((GOOGLEFINANCE(C56, ""price"") / INDEX(GOOGLEFINANCE(C56, ""price"", EDATE(TODAY(), -3), TODAY()), 2, 2)) - 1, """")"),"")</f>
        <v/>
      </c>
      <c r="O56" s="21" t="str">
        <f>IFERROR(__xludf.DUMMYFUNCTION("IFERROR((GOOGLEFINANCE(C56, ""price"") / INDEX(GOOGLEFINANCE(C56, ""price"", EDATE(TODAY(), -6), TODAY()), 2, 2)) - 1, """")"),"")</f>
        <v/>
      </c>
      <c r="P56" s="21" t="str">
        <f>IFERROR(__xludf.DUMMYFUNCTION("IFERROR((GOOGLEFINANCE(C56, ""price"") / INDEX(GOOGLEFINANCE(C56, ""price"", EDATE(TODAY(), -12), TODAY()), 2, 2)) - 1, """")"),"")</f>
        <v/>
      </c>
      <c r="Q56" s="6" t="str">
        <f>IFERROR(__xludf.DUMMYFUNCTION("AVERAGE(QUERY(GOOGLEFINANCE(C56, ""price"", TODAY()-80, TODAY()), ""SELECT Col2 WHERE Col2 IS NOT NULL ORDER BY Col1 DESC LIMIT 50"", 0))"),"#N/A")</f>
        <v>#N/A</v>
      </c>
      <c r="R56" s="24" t="str">
        <f>IFERROR(__xludf.DUMMYFUNCTION("IFERROR(
  LET(
    data, QUERY(GOOGLEFINANCE(C56,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GOOGLEFINANCE(C56, ""price"")) * 100,
    IF(calc=0, G56, calc)
  ), 
G56)"),"#N/A")</f>
        <v>#N/A</v>
      </c>
      <c r="S56" s="8" t="s">
        <v>15</v>
      </c>
      <c r="T56" s="26" t="str">
        <f>IFERROR(__xludf.DUMMYFUNCTION("IFERROR(TRANSPOSE(QUERY(IFERROR(SORT(GOOGLEFINANCE(C56, ""price"", WORKDAY(TODAY(), -40), TODAY()), 1, FALSE)), ""select Col2 where Col2 is not null limit 22 label Col2 ''"", 0)), """")"),"")</f>
        <v/>
      </c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8"/>
      <c r="AO56" s="28"/>
      <c r="AP56" s="29"/>
      <c r="AQ56" s="29" t="str">
        <f t="shared" ref="AQ56:BL56" si="59">T56/T$2</f>
        <v>#N/A</v>
      </c>
      <c r="AR56" s="29" t="str">
        <f t="shared" si="59"/>
        <v>#DIV/0!</v>
      </c>
      <c r="AS56" s="29" t="str">
        <f t="shared" si="59"/>
        <v>#DIV/0!</v>
      </c>
      <c r="AT56" s="29" t="str">
        <f t="shared" si="59"/>
        <v>#DIV/0!</v>
      </c>
      <c r="AU56" s="29" t="str">
        <f t="shared" si="59"/>
        <v>#DIV/0!</v>
      </c>
      <c r="AV56" s="29" t="str">
        <f t="shared" si="59"/>
        <v>#DIV/0!</v>
      </c>
      <c r="AW56" s="29" t="str">
        <f t="shared" si="59"/>
        <v>#DIV/0!</v>
      </c>
      <c r="AX56" s="29" t="str">
        <f t="shared" si="59"/>
        <v>#DIV/0!</v>
      </c>
      <c r="AY56" s="29" t="str">
        <f t="shared" si="59"/>
        <v>#DIV/0!</v>
      </c>
      <c r="AZ56" s="29" t="str">
        <f t="shared" si="59"/>
        <v>#DIV/0!</v>
      </c>
      <c r="BA56" s="29" t="str">
        <f t="shared" si="59"/>
        <v>#DIV/0!</v>
      </c>
      <c r="BB56" s="29" t="str">
        <f t="shared" si="59"/>
        <v>#DIV/0!</v>
      </c>
      <c r="BC56" s="29" t="str">
        <f t="shared" si="59"/>
        <v>#DIV/0!</v>
      </c>
      <c r="BD56" s="29" t="str">
        <f t="shared" si="59"/>
        <v>#DIV/0!</v>
      </c>
      <c r="BE56" s="29" t="str">
        <f t="shared" si="59"/>
        <v>#DIV/0!</v>
      </c>
      <c r="BF56" s="29" t="str">
        <f t="shared" si="59"/>
        <v>#DIV/0!</v>
      </c>
      <c r="BG56" s="29" t="str">
        <f t="shared" si="59"/>
        <v>#DIV/0!</v>
      </c>
      <c r="BH56" s="29" t="str">
        <f t="shared" si="59"/>
        <v>#DIV/0!</v>
      </c>
      <c r="BI56" s="29" t="str">
        <f t="shared" si="59"/>
        <v>#DIV/0!</v>
      </c>
      <c r="BJ56" s="29" t="str">
        <f t="shared" si="59"/>
        <v>#DIV/0!</v>
      </c>
      <c r="BK56" s="29" t="str">
        <f t="shared" si="59"/>
        <v>#DIV/0!</v>
      </c>
      <c r="BL56" s="29" t="str">
        <f t="shared" si="59"/>
        <v>#DIV/0!</v>
      </c>
      <c r="BM56" s="29" t="str">
        <f t="shared" si="3"/>
        <v>#DIV/0!</v>
      </c>
    </row>
    <row r="57">
      <c r="A57" s="16" t="str">
        <f>IFERROR(__xludf.DUMMYFUNCTION("IFERROR(SPARKLINE(SORT(MAP(TRANSPOSE(AQ57:BL57), LAMBDA(val, IF(ISNUMBER(val), PERCENTRANK(AQ57:BL57, val)+0.01, 0))), SEQUENCE(COLUMNS(AQ57:BL57)), FALSE), {""charttype"",""column""; ""color"",""chartreuse""; ""ymin"", 0; ""ymax"", 1.01; ""highcolor"", "&amp;"""darkgreen""; ""lowcolor"", ""red""}), """")"),"")</f>
        <v/>
      </c>
      <c r="B57" s="17" t="str">
        <f t="shared" si="4"/>
        <v/>
      </c>
      <c r="C57" s="45" t="s">
        <v>2837</v>
      </c>
      <c r="D57" s="30" t="str">
        <f>IFERROR(__xludf.DUMMYFUNCTION("IFERROR(GOOGLEFINANCE(C57, ""NAME""))"),"OGE Energy Corp")</f>
        <v>OGE Energy Corp</v>
      </c>
      <c r="E57" s="30" t="s">
        <v>2660</v>
      </c>
      <c r="F57" s="33" t="str">
        <f>IFERROR(__xludf.DUMMYFUNCTION("( (GOOGLEFINANCE(C57, ""price"") - Q57) / Q57 ) / (R57 / 100)"),"Loading...")</f>
        <v>Loading...</v>
      </c>
      <c r="G57" s="20" t="str">
        <f>IFERROR(__xludf.DUMMYFUNCTION("AVERAGE(ARRAYFORMULA(100 * (QUERY(GOOGLEFINANCE(C57, ""high"", TODAY()-40, TODAY()), ""SELECT Col2 WHERE Col2 IS NOT NULL ORDER BY Col1 DESC LIMIT 20"", 0) / QUERY(GOOGLEFINANCE(C57, ""low"", TODAY()-40, TODAY()), ""SELECT Col2 WHERE Col2 IS NOT NULL ORDE"&amp;"R BY Col1 DESC LIMIT 20"", 0) - 1)))"),"#N/A")</f>
        <v>#N/A</v>
      </c>
      <c r="H57" s="35" t="str">
        <f t="shared" si="6"/>
        <v>Liquid</v>
      </c>
      <c r="I57" s="35" t="str">
        <f t="shared" si="7"/>
        <v>RVol Required</v>
      </c>
      <c r="J57" s="37">
        <f>IFERROR(__xludf.DUMMYFUNCTION("IFERROR(
  IF(C57="""",, 
    IFERROR(
      GOOGLEFINANCE(C57, ""price"") * GOOGLEFINANCE(C57, ""volumeavg""), 
      GOOGLEFINANCE(C57, ""price"") * AVERAGE(QUERY(GOOGLEFINANCE(C57, ""volume"", TODAY()-40, TODAY()), ""SELECT Col2 WHERE Col2 IS NOT NULL "&amp;"ORDER BY Col1 DESC LIMIT 20"", 0))
    )
  ), 
"""")"),9.151112502E7)</f>
        <v>91511125.02</v>
      </c>
      <c r="K57" s="21">
        <f>IFERROR(__xludf.DUMMYFUNCTION("IFERROR(GOOGLEFINANCE(C57, ""changepct"") / 100, """")"),0.0102)</f>
        <v>0.0102</v>
      </c>
      <c r="L57" s="21" t="str">
        <f>IFERROR(__xludf.DUMMYFUNCTION("IFERROR((GOOGLEFINANCE(C57, ""price"") / INDEX(GOOGLEFINANCE(C57, ""price"", TODAY()-7, TODAY()), 2, 2)) - 1, """")"),"")</f>
        <v/>
      </c>
      <c r="M57" s="21" t="str">
        <f>IFERROR(__xludf.DUMMYFUNCTION("IFERROR((GOOGLEFINANCE(C57, ""price"") / INDEX(GOOGLEFINANCE(C57, ""price"", EDATE(TODAY(), -1), TODAY()), 2, 2)) - 1, """")"),"")</f>
        <v/>
      </c>
      <c r="N57" s="21" t="str">
        <f>IFERROR(__xludf.DUMMYFUNCTION("IFERROR((GOOGLEFINANCE(C57, ""price"") / INDEX(GOOGLEFINANCE(C57, ""price"", EDATE(TODAY(), -3), TODAY()), 2, 2)) - 1, """")"),"")</f>
        <v/>
      </c>
      <c r="O57" s="21" t="str">
        <f>IFERROR(__xludf.DUMMYFUNCTION("IFERROR((GOOGLEFINANCE(C57, ""price"") / INDEX(GOOGLEFINANCE(C57, ""price"", EDATE(TODAY(), -6), TODAY()), 2, 2)) - 1, """")"),"")</f>
        <v/>
      </c>
      <c r="P57" s="21" t="str">
        <f>IFERROR(__xludf.DUMMYFUNCTION("IFERROR((GOOGLEFINANCE(C57, ""price"") / INDEX(GOOGLEFINANCE(C57, ""price"", EDATE(TODAY(), -12), TODAY()), 2, 2)) - 1, """")"),"")</f>
        <v/>
      </c>
      <c r="Q57" s="6" t="str">
        <f>IFERROR(__xludf.DUMMYFUNCTION("AVERAGE(QUERY(GOOGLEFINANCE(C57, ""price"", TODAY()-80, TODAY()), ""SELECT Col2 WHERE Col2 IS NOT NULL ORDER BY Col1 DESC LIMIT 50"", 0))"),"#N/A")</f>
        <v>#N/A</v>
      </c>
      <c r="R57" s="24" t="str">
        <f>IFERROR(__xludf.DUMMYFUNCTION("IFERROR(
  LET(
    data, QUERY(GOOGLEFINANCE(C57,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GOOGLEFINANCE(C57, ""price"")) * 100,
    IF(calc=0, G57, calc)
  ), 
G57)"),"#N/A")</f>
        <v>#N/A</v>
      </c>
      <c r="S57" s="8" t="s">
        <v>15</v>
      </c>
      <c r="T57" s="26" t="str">
        <f>IFERROR(__xludf.DUMMYFUNCTION("IFERROR(TRANSPOSE(QUERY(IFERROR(SORT(GOOGLEFINANCE(C57, ""price"", WORKDAY(TODAY(), -40), TODAY()), 1, FALSE)), ""select Col2 where Col2 is not null limit 22 label Col2 ''"", 0)), """")"),"")</f>
        <v/>
      </c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8"/>
      <c r="AO57" s="28"/>
      <c r="AP57" s="29"/>
      <c r="AQ57" s="29" t="str">
        <f t="shared" ref="AQ57:BL57" si="60">T57/T$2</f>
        <v>#N/A</v>
      </c>
      <c r="AR57" s="29" t="str">
        <f t="shared" si="60"/>
        <v>#DIV/0!</v>
      </c>
      <c r="AS57" s="29" t="str">
        <f t="shared" si="60"/>
        <v>#DIV/0!</v>
      </c>
      <c r="AT57" s="29" t="str">
        <f t="shared" si="60"/>
        <v>#DIV/0!</v>
      </c>
      <c r="AU57" s="29" t="str">
        <f t="shared" si="60"/>
        <v>#DIV/0!</v>
      </c>
      <c r="AV57" s="29" t="str">
        <f t="shared" si="60"/>
        <v>#DIV/0!</v>
      </c>
      <c r="AW57" s="29" t="str">
        <f t="shared" si="60"/>
        <v>#DIV/0!</v>
      </c>
      <c r="AX57" s="29" t="str">
        <f t="shared" si="60"/>
        <v>#DIV/0!</v>
      </c>
      <c r="AY57" s="29" t="str">
        <f t="shared" si="60"/>
        <v>#DIV/0!</v>
      </c>
      <c r="AZ57" s="29" t="str">
        <f t="shared" si="60"/>
        <v>#DIV/0!</v>
      </c>
      <c r="BA57" s="29" t="str">
        <f t="shared" si="60"/>
        <v>#DIV/0!</v>
      </c>
      <c r="BB57" s="29" t="str">
        <f t="shared" si="60"/>
        <v>#DIV/0!</v>
      </c>
      <c r="BC57" s="29" t="str">
        <f t="shared" si="60"/>
        <v>#DIV/0!</v>
      </c>
      <c r="BD57" s="29" t="str">
        <f t="shared" si="60"/>
        <v>#DIV/0!</v>
      </c>
      <c r="BE57" s="29" t="str">
        <f t="shared" si="60"/>
        <v>#DIV/0!</v>
      </c>
      <c r="BF57" s="29" t="str">
        <f t="shared" si="60"/>
        <v>#DIV/0!</v>
      </c>
      <c r="BG57" s="29" t="str">
        <f t="shared" si="60"/>
        <v>#DIV/0!</v>
      </c>
      <c r="BH57" s="29" t="str">
        <f t="shared" si="60"/>
        <v>#DIV/0!</v>
      </c>
      <c r="BI57" s="29" t="str">
        <f t="shared" si="60"/>
        <v>#DIV/0!</v>
      </c>
      <c r="BJ57" s="29" t="str">
        <f t="shared" si="60"/>
        <v>#DIV/0!</v>
      </c>
      <c r="BK57" s="29" t="str">
        <f t="shared" si="60"/>
        <v>#DIV/0!</v>
      </c>
      <c r="BL57" s="29" t="str">
        <f t="shared" si="60"/>
        <v>#DIV/0!</v>
      </c>
      <c r="BM57" s="29" t="str">
        <f t="shared" si="3"/>
        <v>#DIV/0!</v>
      </c>
    </row>
    <row r="58">
      <c r="A58" s="16" t="str">
        <f>IFERROR(__xludf.DUMMYFUNCTION("IFERROR(SPARKLINE(SORT(MAP(TRANSPOSE(AQ58:BL58), LAMBDA(val, IF(ISNUMBER(val), PERCENTRANK(AQ58:BL58, val)+0.01, 0))), SEQUENCE(COLUMNS(AQ58:BL58)), FALSE), {""charttype"",""column""; ""color"",""chartreuse""; ""ymin"", 0; ""ymax"", 1.01; ""highcolor"", "&amp;"""darkgreen""; ""lowcolor"", ""red""}), """")"),"")</f>
        <v/>
      </c>
      <c r="B58" s="17" t="str">
        <f t="shared" si="4"/>
        <v/>
      </c>
      <c r="C58" s="45" t="s">
        <v>2841</v>
      </c>
      <c r="D58" s="30" t="str">
        <f>IFERROR(__xludf.DUMMYFUNCTION("IFERROR(GOOGLEFINANCE(C58, ""NAME""))"),"PPL Corp")</f>
        <v>PPL Corp</v>
      </c>
      <c r="E58" s="30" t="s">
        <v>2660</v>
      </c>
      <c r="F58" s="33" t="str">
        <f>IFERROR(__xludf.DUMMYFUNCTION("( (GOOGLEFINANCE(C58, ""price"") - Q58) / Q58 ) / (R58 / 100)"),"Loading...")</f>
        <v>Loading...</v>
      </c>
      <c r="G58" s="20" t="str">
        <f>IFERROR(__xludf.DUMMYFUNCTION("AVERAGE(ARRAYFORMULA(100 * (QUERY(GOOGLEFINANCE(C58, ""high"", TODAY()-40, TODAY()), ""SELECT Col2 WHERE Col2 IS NOT NULL ORDER BY Col1 DESC LIMIT 20"", 0) / QUERY(GOOGLEFINANCE(C58, ""low"", TODAY()-40, TODAY()), ""SELECT Col2 WHERE Col2 IS NOT NULL ORDE"&amp;"R BY Col1 DESC LIMIT 20"", 0) - 1)))"),"#N/A")</f>
        <v>#N/A</v>
      </c>
      <c r="H58" s="35" t="str">
        <f t="shared" si="6"/>
        <v>Liquid</v>
      </c>
      <c r="I58" s="35" t="str">
        <f t="shared" si="7"/>
        <v>RVol Required</v>
      </c>
      <c r="J58" s="37">
        <f>IFERROR(__xludf.DUMMYFUNCTION("IFERROR(
  IF(C58="""",, 
    IFERROR(
      GOOGLEFINANCE(C58, ""price"") * GOOGLEFINANCE(C58, ""volumeavg""), 
      GOOGLEFINANCE(C58, ""price"") * AVERAGE(QUERY(GOOGLEFINANCE(C58, ""volume"", TODAY()-40, TODAY()), ""SELECT Col2 WHERE Col2 IS NOT NULL "&amp;"ORDER BY Col1 DESC LIMIT 20"", 0))
    )
  ), 
"""")"),2.4555838197E8)</f>
        <v>245558382</v>
      </c>
      <c r="K58" s="21">
        <f>IFERROR(__xludf.DUMMYFUNCTION("IFERROR(GOOGLEFINANCE(C58, ""changepct"") / 100, """")"),0.02)</f>
        <v>0.02</v>
      </c>
      <c r="L58" s="21" t="str">
        <f>IFERROR(__xludf.DUMMYFUNCTION("IFERROR((GOOGLEFINANCE(C58, ""price"") / INDEX(GOOGLEFINANCE(C58, ""price"", TODAY()-7, TODAY()), 2, 2)) - 1, """")"),"")</f>
        <v/>
      </c>
      <c r="M58" s="21" t="str">
        <f>IFERROR(__xludf.DUMMYFUNCTION("IFERROR((GOOGLEFINANCE(C58, ""price"") / INDEX(GOOGLEFINANCE(C58, ""price"", EDATE(TODAY(), -1), TODAY()), 2, 2)) - 1, """")"),"")</f>
        <v/>
      </c>
      <c r="N58" s="21" t="str">
        <f>IFERROR(__xludf.DUMMYFUNCTION("IFERROR((GOOGLEFINANCE(C58, ""price"") / INDEX(GOOGLEFINANCE(C58, ""price"", EDATE(TODAY(), -3), TODAY()), 2, 2)) - 1, """")"),"")</f>
        <v/>
      </c>
      <c r="O58" s="21" t="str">
        <f>IFERROR(__xludf.DUMMYFUNCTION("IFERROR((GOOGLEFINANCE(C58, ""price"") / INDEX(GOOGLEFINANCE(C58, ""price"", EDATE(TODAY(), -6), TODAY()), 2, 2)) - 1, """")"),"")</f>
        <v/>
      </c>
      <c r="P58" s="21" t="str">
        <f>IFERROR(__xludf.DUMMYFUNCTION("IFERROR((GOOGLEFINANCE(C58, ""price"") / INDEX(GOOGLEFINANCE(C58, ""price"", EDATE(TODAY(), -12), TODAY()), 2, 2)) - 1, """")"),"")</f>
        <v/>
      </c>
      <c r="Q58" s="6" t="str">
        <f>IFERROR(__xludf.DUMMYFUNCTION("AVERAGE(QUERY(GOOGLEFINANCE(C58, ""price"", TODAY()-80, TODAY()), ""SELECT Col2 WHERE Col2 IS NOT NULL ORDER BY Col1 DESC LIMIT 50"", 0))"),"#N/A")</f>
        <v>#N/A</v>
      </c>
      <c r="R58" s="24" t="str">
        <f>IFERROR(__xludf.DUMMYFUNCTION("IFERROR(
  LET(
    data, QUERY(GOOGLEFINANCE(C58,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GOOGLEFINANCE(C58, ""price"")) * 100,
    IF(calc=0, G58, calc)
  ), 
G58)"),"#N/A")</f>
        <v>#N/A</v>
      </c>
      <c r="S58" s="8" t="s">
        <v>15</v>
      </c>
      <c r="T58" s="26" t="str">
        <f>IFERROR(__xludf.DUMMYFUNCTION("IFERROR(TRANSPOSE(QUERY(IFERROR(SORT(GOOGLEFINANCE(C58, ""price"", WORKDAY(TODAY(), -40), TODAY()), 1, FALSE)), ""select Col2 where Col2 is not null limit 22 label Col2 ''"", 0)), """")"),"")</f>
        <v/>
      </c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8"/>
      <c r="AO58" s="28"/>
      <c r="AP58" s="29"/>
      <c r="AQ58" s="29" t="str">
        <f t="shared" ref="AQ58:BL58" si="61">T58/T$2</f>
        <v>#N/A</v>
      </c>
      <c r="AR58" s="29" t="str">
        <f t="shared" si="61"/>
        <v>#DIV/0!</v>
      </c>
      <c r="AS58" s="29" t="str">
        <f t="shared" si="61"/>
        <v>#DIV/0!</v>
      </c>
      <c r="AT58" s="29" t="str">
        <f t="shared" si="61"/>
        <v>#DIV/0!</v>
      </c>
      <c r="AU58" s="29" t="str">
        <f t="shared" si="61"/>
        <v>#DIV/0!</v>
      </c>
      <c r="AV58" s="29" t="str">
        <f t="shared" si="61"/>
        <v>#DIV/0!</v>
      </c>
      <c r="AW58" s="29" t="str">
        <f t="shared" si="61"/>
        <v>#DIV/0!</v>
      </c>
      <c r="AX58" s="29" t="str">
        <f t="shared" si="61"/>
        <v>#DIV/0!</v>
      </c>
      <c r="AY58" s="29" t="str">
        <f t="shared" si="61"/>
        <v>#DIV/0!</v>
      </c>
      <c r="AZ58" s="29" t="str">
        <f t="shared" si="61"/>
        <v>#DIV/0!</v>
      </c>
      <c r="BA58" s="29" t="str">
        <f t="shared" si="61"/>
        <v>#DIV/0!</v>
      </c>
      <c r="BB58" s="29" t="str">
        <f t="shared" si="61"/>
        <v>#DIV/0!</v>
      </c>
      <c r="BC58" s="29" t="str">
        <f t="shared" si="61"/>
        <v>#DIV/0!</v>
      </c>
      <c r="BD58" s="29" t="str">
        <f t="shared" si="61"/>
        <v>#DIV/0!</v>
      </c>
      <c r="BE58" s="29" t="str">
        <f t="shared" si="61"/>
        <v>#DIV/0!</v>
      </c>
      <c r="BF58" s="29" t="str">
        <f t="shared" si="61"/>
        <v>#DIV/0!</v>
      </c>
      <c r="BG58" s="29" t="str">
        <f t="shared" si="61"/>
        <v>#DIV/0!</v>
      </c>
      <c r="BH58" s="29" t="str">
        <f t="shared" si="61"/>
        <v>#DIV/0!</v>
      </c>
      <c r="BI58" s="29" t="str">
        <f t="shared" si="61"/>
        <v>#DIV/0!</v>
      </c>
      <c r="BJ58" s="29" t="str">
        <f t="shared" si="61"/>
        <v>#DIV/0!</v>
      </c>
      <c r="BK58" s="29" t="str">
        <f t="shared" si="61"/>
        <v>#DIV/0!</v>
      </c>
      <c r="BL58" s="29" t="str">
        <f t="shared" si="61"/>
        <v>#DIV/0!</v>
      </c>
      <c r="BM58" s="29" t="str">
        <f t="shared" si="3"/>
        <v>#DIV/0!</v>
      </c>
    </row>
    <row r="59">
      <c r="A59" s="16" t="str">
        <f>IFERROR(__xludf.DUMMYFUNCTION("IFERROR(SPARKLINE(SORT(MAP(TRANSPOSE(AQ59:BL59), LAMBDA(val, IF(ISNUMBER(val), PERCENTRANK(AQ59:BL59, val)+0.01, 0))), SEQUENCE(COLUMNS(AQ59:BL59)), FALSE), {""charttype"",""column""; ""color"",""chartreuse""; ""ymin"", 0; ""ymax"", 1.01; ""highcolor"", "&amp;"""darkgreen""; ""lowcolor"", ""red""}), """")"),"")</f>
        <v/>
      </c>
      <c r="B59" s="17" t="str">
        <f t="shared" si="4"/>
        <v/>
      </c>
      <c r="C59" s="45" t="s">
        <v>2844</v>
      </c>
      <c r="D59" s="30" t="str">
        <f>IFERROR(__xludf.DUMMYFUNCTION("IFERROR(GOOGLEFINANCE(C59, ""NAME""))"),"TXNM Energy Inc")</f>
        <v>TXNM Energy Inc</v>
      </c>
      <c r="E59" s="30" t="s">
        <v>2660</v>
      </c>
      <c r="F59" s="33" t="str">
        <f>IFERROR(__xludf.DUMMYFUNCTION("( (GOOGLEFINANCE(C59, ""price"") - Q59) / Q59 ) / (R59 / 100)"),"Loading...")</f>
        <v>Loading...</v>
      </c>
      <c r="G59" s="20" t="str">
        <f>IFERROR(__xludf.DUMMYFUNCTION("AVERAGE(ARRAYFORMULA(100 * (QUERY(GOOGLEFINANCE(C59, ""high"", TODAY()-40, TODAY()), ""SELECT Col2 WHERE Col2 IS NOT NULL ORDER BY Col1 DESC LIMIT 20"", 0) / QUERY(GOOGLEFINANCE(C59, ""low"", TODAY()-40, TODAY()), ""SELECT Col2 WHERE Col2 IS NOT NULL ORDE"&amp;"R BY Col1 DESC LIMIT 20"", 0) - 1)))"),"#N/A")</f>
        <v>#N/A</v>
      </c>
      <c r="H59" s="35" t="str">
        <f t="shared" si="6"/>
        <v>Liquid</v>
      </c>
      <c r="I59" s="35" t="str">
        <f t="shared" si="7"/>
        <v>RVol Required</v>
      </c>
      <c r="J59" s="37">
        <f>IFERROR(__xludf.DUMMYFUNCTION("IFERROR(
  IF(C59="""",, 
    IFERROR(
      GOOGLEFINANCE(C59, ""price"") * GOOGLEFINANCE(C59, ""volumeavg""), 
      GOOGLEFINANCE(C59, ""price"") * AVERAGE(QUERY(GOOGLEFINANCE(C59, ""volume"", TODAY()-40, TODAY()), ""SELECT Col2 WHERE Col2 IS NOT NULL "&amp;"ORDER BY Col1 DESC LIMIT 20"", 0))
    )
  ), 
"""")"),9.438930732000001E7)</f>
        <v>94389307.32</v>
      </c>
      <c r="K59" s="21">
        <f>IFERROR(__xludf.DUMMYFUNCTION("IFERROR(GOOGLEFINANCE(C59, ""changepct"") / 100, """")"),-5.0E-4)</f>
        <v>-0.0005</v>
      </c>
      <c r="L59" s="21" t="str">
        <f>IFERROR(__xludf.DUMMYFUNCTION("IFERROR((GOOGLEFINANCE(C59, ""price"") / INDEX(GOOGLEFINANCE(C59, ""price"", TODAY()-7, TODAY()), 2, 2)) - 1, """")"),"")</f>
        <v/>
      </c>
      <c r="M59" s="21" t="str">
        <f>IFERROR(__xludf.DUMMYFUNCTION("IFERROR((GOOGLEFINANCE(C59, ""price"") / INDEX(GOOGLEFINANCE(C59, ""price"", EDATE(TODAY(), -1), TODAY()), 2, 2)) - 1, """")"),"")</f>
        <v/>
      </c>
      <c r="N59" s="21" t="str">
        <f>IFERROR(__xludf.DUMMYFUNCTION("IFERROR((GOOGLEFINANCE(C59, ""price"") / INDEX(GOOGLEFINANCE(C59, ""price"", EDATE(TODAY(), -3), TODAY()), 2, 2)) - 1, """")"),"")</f>
        <v/>
      </c>
      <c r="O59" s="21" t="str">
        <f>IFERROR(__xludf.DUMMYFUNCTION("IFERROR((GOOGLEFINANCE(C59, ""price"") / INDEX(GOOGLEFINANCE(C59, ""price"", EDATE(TODAY(), -6), TODAY()), 2, 2)) - 1, """")"),"")</f>
        <v/>
      </c>
      <c r="P59" s="21" t="str">
        <f>IFERROR(__xludf.DUMMYFUNCTION("IFERROR((GOOGLEFINANCE(C59, ""price"") / INDEX(GOOGLEFINANCE(C59, ""price"", EDATE(TODAY(), -12), TODAY()), 2, 2)) - 1, """")"),"")</f>
        <v/>
      </c>
      <c r="Q59" s="6" t="str">
        <f>IFERROR(__xludf.DUMMYFUNCTION("AVERAGE(QUERY(GOOGLEFINANCE(C59, ""price"", TODAY()-80, TODAY()), ""SELECT Col2 WHERE Col2 IS NOT NULL ORDER BY Col1 DESC LIMIT 50"", 0))"),"#N/A")</f>
        <v>#N/A</v>
      </c>
      <c r="R59" s="24" t="str">
        <f>IFERROR(__xludf.DUMMYFUNCTION("IFERROR(
  LET(
    data, QUERY(GOOGLEFINANCE(C59,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GOOGLEFINANCE(C59, ""price"")) * 100,
    IF(calc=0, G59, calc)
  ), 
G59)"),"#N/A")</f>
        <v>#N/A</v>
      </c>
      <c r="S59" s="8" t="s">
        <v>15</v>
      </c>
      <c r="T59" s="26" t="str">
        <f>IFERROR(__xludf.DUMMYFUNCTION("IFERROR(TRANSPOSE(QUERY(IFERROR(SORT(GOOGLEFINANCE(C59, ""price"", WORKDAY(TODAY(), -40), TODAY()), 1, FALSE)), ""select Col2 where Col2 is not null limit 22 label Col2 ''"", 0)), """")"),"")</f>
        <v/>
      </c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8"/>
      <c r="AO59" s="28"/>
      <c r="AP59" s="29"/>
      <c r="AQ59" s="29" t="str">
        <f t="shared" ref="AQ59:BL59" si="62">T59/T$2</f>
        <v>#N/A</v>
      </c>
      <c r="AR59" s="29" t="str">
        <f t="shared" si="62"/>
        <v>#DIV/0!</v>
      </c>
      <c r="AS59" s="29" t="str">
        <f t="shared" si="62"/>
        <v>#DIV/0!</v>
      </c>
      <c r="AT59" s="29" t="str">
        <f t="shared" si="62"/>
        <v>#DIV/0!</v>
      </c>
      <c r="AU59" s="29" t="str">
        <f t="shared" si="62"/>
        <v>#DIV/0!</v>
      </c>
      <c r="AV59" s="29" t="str">
        <f t="shared" si="62"/>
        <v>#DIV/0!</v>
      </c>
      <c r="AW59" s="29" t="str">
        <f t="shared" si="62"/>
        <v>#DIV/0!</v>
      </c>
      <c r="AX59" s="29" t="str">
        <f t="shared" si="62"/>
        <v>#DIV/0!</v>
      </c>
      <c r="AY59" s="29" t="str">
        <f t="shared" si="62"/>
        <v>#DIV/0!</v>
      </c>
      <c r="AZ59" s="29" t="str">
        <f t="shared" si="62"/>
        <v>#DIV/0!</v>
      </c>
      <c r="BA59" s="29" t="str">
        <f t="shared" si="62"/>
        <v>#DIV/0!</v>
      </c>
      <c r="BB59" s="29" t="str">
        <f t="shared" si="62"/>
        <v>#DIV/0!</v>
      </c>
      <c r="BC59" s="29" t="str">
        <f t="shared" si="62"/>
        <v>#DIV/0!</v>
      </c>
      <c r="BD59" s="29" t="str">
        <f t="shared" si="62"/>
        <v>#DIV/0!</v>
      </c>
      <c r="BE59" s="29" t="str">
        <f t="shared" si="62"/>
        <v>#DIV/0!</v>
      </c>
      <c r="BF59" s="29" t="str">
        <f t="shared" si="62"/>
        <v>#DIV/0!</v>
      </c>
      <c r="BG59" s="29" t="str">
        <f t="shared" si="62"/>
        <v>#DIV/0!</v>
      </c>
      <c r="BH59" s="29" t="str">
        <f t="shared" si="62"/>
        <v>#DIV/0!</v>
      </c>
      <c r="BI59" s="29" t="str">
        <f t="shared" si="62"/>
        <v>#DIV/0!</v>
      </c>
      <c r="BJ59" s="29" t="str">
        <f t="shared" si="62"/>
        <v>#DIV/0!</v>
      </c>
      <c r="BK59" s="29" t="str">
        <f t="shared" si="62"/>
        <v>#DIV/0!</v>
      </c>
      <c r="BL59" s="29" t="str">
        <f t="shared" si="62"/>
        <v>#DIV/0!</v>
      </c>
      <c r="BM59" s="29" t="str">
        <f t="shared" si="3"/>
        <v>#DIV/0!</v>
      </c>
    </row>
    <row r="60">
      <c r="A60" s="16" t="str">
        <f>IFERROR(__xludf.DUMMYFUNCTION("IFERROR(SPARKLINE(SORT(MAP(TRANSPOSE(AQ60:BL60), LAMBDA(val, IF(ISNUMBER(val), PERCENTRANK(AQ60:BL60, val)+0.01, 0))), SEQUENCE(COLUMNS(AQ60:BL60)), FALSE), {""charttype"",""column""; ""color"",""chartreuse""; ""ymin"", 0; ""ymax"", 1.01; ""highcolor"", "&amp;"""darkgreen""; ""lowcolor"", ""red""}), """")"),"")</f>
        <v/>
      </c>
      <c r="B60" s="17" t="str">
        <f t="shared" si="4"/>
        <v/>
      </c>
      <c r="C60" s="45" t="s">
        <v>2847</v>
      </c>
      <c r="D60" s="30" t="str">
        <f>IFERROR(__xludf.DUMMYFUNCTION("IFERROR(GOOGLEFINANCE(C60, ""NAME""))"),"Fortis Inc")</f>
        <v>Fortis Inc</v>
      </c>
      <c r="E60" s="30" t="s">
        <v>2660</v>
      </c>
      <c r="F60" s="38" t="str">
        <f>IFERROR(__xludf.DUMMYFUNCTION("( (GOOGLEFINANCE(C60, ""price"") - Q60) / Q60 ) / (R60 / 100)"),"Loading...")</f>
        <v>Loading...</v>
      </c>
      <c r="G60" s="20" t="str">
        <f>IFERROR(__xludf.DUMMYFUNCTION("AVERAGE(ARRAYFORMULA(100 * (QUERY(GOOGLEFINANCE(C60, ""high"", TODAY()-40, TODAY()), ""SELECT Col2 WHERE Col2 IS NOT NULL ORDER BY Col1 DESC LIMIT 20"", 0) / QUERY(GOOGLEFINANCE(C60, ""low"", TODAY()-40, TODAY()), ""SELECT Col2 WHERE Col2 IS NOT NULL ORDE"&amp;"R BY Col1 DESC LIMIT 20"", 0) - 1)))"),"#N/A")</f>
        <v>#N/A</v>
      </c>
      <c r="H60" s="35" t="str">
        <f t="shared" si="6"/>
        <v>Illiquid</v>
      </c>
      <c r="I60" s="35" t="str">
        <f t="shared" si="7"/>
        <v>RVol Required</v>
      </c>
      <c r="J60" s="37">
        <f>IFERROR(__xludf.DUMMYFUNCTION("IFERROR(
  IF(C60="""",, 
    IFERROR(
      GOOGLEFINANCE(C60, ""price"") * GOOGLEFINANCE(C60, ""volumeavg""), 
      GOOGLEFINANCE(C60, ""price"") * AVERAGE(QUERY(GOOGLEFINANCE(C60, ""volume"", TODAY()-40, TODAY()), ""SELECT Col2 WHERE Col2 IS NOT NULL "&amp;"ORDER BY Col1 DESC LIMIT 20"", 0))
    )
  ), 
"""")"),4.542945632E7)</f>
        <v>45429456.32</v>
      </c>
      <c r="K60" s="21">
        <f>IFERROR(__xludf.DUMMYFUNCTION("IFERROR(GOOGLEFINANCE(C60, ""changepct"") / 100, """")"),0.020099999999999996)</f>
        <v>0.0201</v>
      </c>
      <c r="L60" s="21" t="str">
        <f>IFERROR(__xludf.DUMMYFUNCTION("IFERROR((GOOGLEFINANCE(C60, ""price"") / INDEX(GOOGLEFINANCE(C60, ""price"", TODAY()-7, TODAY()), 2, 2)) - 1, """")"),"")</f>
        <v/>
      </c>
      <c r="M60" s="21" t="str">
        <f>IFERROR(__xludf.DUMMYFUNCTION("IFERROR((GOOGLEFINANCE(C60, ""price"") / INDEX(GOOGLEFINANCE(C60, ""price"", EDATE(TODAY(), -1), TODAY()), 2, 2)) - 1, """")"),"")</f>
        <v/>
      </c>
      <c r="N60" s="21" t="str">
        <f>IFERROR(__xludf.DUMMYFUNCTION("IFERROR((GOOGLEFINANCE(C60, ""price"") / INDEX(GOOGLEFINANCE(C60, ""price"", EDATE(TODAY(), -3), TODAY()), 2, 2)) - 1, """")"),"")</f>
        <v/>
      </c>
      <c r="O60" s="21" t="str">
        <f>IFERROR(__xludf.DUMMYFUNCTION("IFERROR((GOOGLEFINANCE(C60, ""price"") / INDEX(GOOGLEFINANCE(C60, ""price"", EDATE(TODAY(), -6), TODAY()), 2, 2)) - 1, """")"),"")</f>
        <v/>
      </c>
      <c r="P60" s="21" t="str">
        <f>IFERROR(__xludf.DUMMYFUNCTION("IFERROR((GOOGLEFINANCE(C60, ""price"") / INDEX(GOOGLEFINANCE(C60, ""price"", EDATE(TODAY(), -12), TODAY()), 2, 2)) - 1, """")"),"")</f>
        <v/>
      </c>
      <c r="Q60" s="6" t="str">
        <f>IFERROR(__xludf.DUMMYFUNCTION("AVERAGE(QUERY(GOOGLEFINANCE(C60, ""price"", TODAY()-80, TODAY()), ""SELECT Col2 WHERE Col2 IS NOT NULL ORDER BY Col1 DESC LIMIT 50"", 0))"),"#N/A")</f>
        <v>#N/A</v>
      </c>
      <c r="R60" s="24" t="str">
        <f>IFERROR(__xludf.DUMMYFUNCTION("IFERROR(
  LET(
    data, QUERY(GOOGLEFINANCE(C60,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GOOGLEFINANCE(C60, ""price"")) * 100,
    IF(calc=0, G60, calc)
  ), 
G60)"),"#N/A")</f>
        <v>#N/A</v>
      </c>
      <c r="S60" s="8" t="s">
        <v>15</v>
      </c>
      <c r="T60" s="26" t="str">
        <f>IFERROR(__xludf.DUMMYFUNCTION("IFERROR(TRANSPOSE(QUERY(IFERROR(SORT(GOOGLEFINANCE(C60, ""price"", WORKDAY(TODAY(), -40), TODAY()), 1, FALSE)), ""select Col2 where Col2 is not null limit 22 label Col2 ''"", 0)), """")"),"")</f>
        <v/>
      </c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8"/>
      <c r="AO60" s="28"/>
      <c r="AP60" s="29"/>
      <c r="AQ60" s="29" t="str">
        <f t="shared" ref="AQ60:BL60" si="63">T60/T$2</f>
        <v>#N/A</v>
      </c>
      <c r="AR60" s="29" t="str">
        <f t="shared" si="63"/>
        <v>#DIV/0!</v>
      </c>
      <c r="AS60" s="29" t="str">
        <f t="shared" si="63"/>
        <v>#DIV/0!</v>
      </c>
      <c r="AT60" s="29" t="str">
        <f t="shared" si="63"/>
        <v>#DIV/0!</v>
      </c>
      <c r="AU60" s="29" t="str">
        <f t="shared" si="63"/>
        <v>#DIV/0!</v>
      </c>
      <c r="AV60" s="29" t="str">
        <f t="shared" si="63"/>
        <v>#DIV/0!</v>
      </c>
      <c r="AW60" s="29" t="str">
        <f t="shared" si="63"/>
        <v>#DIV/0!</v>
      </c>
      <c r="AX60" s="29" t="str">
        <f t="shared" si="63"/>
        <v>#DIV/0!</v>
      </c>
      <c r="AY60" s="29" t="str">
        <f t="shared" si="63"/>
        <v>#DIV/0!</v>
      </c>
      <c r="AZ60" s="29" t="str">
        <f t="shared" si="63"/>
        <v>#DIV/0!</v>
      </c>
      <c r="BA60" s="29" t="str">
        <f t="shared" si="63"/>
        <v>#DIV/0!</v>
      </c>
      <c r="BB60" s="29" t="str">
        <f t="shared" si="63"/>
        <v>#DIV/0!</v>
      </c>
      <c r="BC60" s="29" t="str">
        <f t="shared" si="63"/>
        <v>#DIV/0!</v>
      </c>
      <c r="BD60" s="29" t="str">
        <f t="shared" si="63"/>
        <v>#DIV/0!</v>
      </c>
      <c r="BE60" s="29" t="str">
        <f t="shared" si="63"/>
        <v>#DIV/0!</v>
      </c>
      <c r="BF60" s="29" t="str">
        <f t="shared" si="63"/>
        <v>#DIV/0!</v>
      </c>
      <c r="BG60" s="29" t="str">
        <f t="shared" si="63"/>
        <v>#DIV/0!</v>
      </c>
      <c r="BH60" s="29" t="str">
        <f t="shared" si="63"/>
        <v>#DIV/0!</v>
      </c>
      <c r="BI60" s="29" t="str">
        <f t="shared" si="63"/>
        <v>#DIV/0!</v>
      </c>
      <c r="BJ60" s="29" t="str">
        <f t="shared" si="63"/>
        <v>#DIV/0!</v>
      </c>
      <c r="BK60" s="29" t="str">
        <f t="shared" si="63"/>
        <v>#DIV/0!</v>
      </c>
      <c r="BL60" s="29" t="str">
        <f t="shared" si="63"/>
        <v>#DIV/0!</v>
      </c>
      <c r="BM60" s="29" t="str">
        <f t="shared" si="3"/>
        <v>#DIV/0!</v>
      </c>
    </row>
    <row r="61">
      <c r="A61" s="16" t="str">
        <f>IFERROR(__xludf.DUMMYFUNCTION("IFERROR(SPARKLINE(SORT(MAP(TRANSPOSE(AQ61:BL61), LAMBDA(val, IF(ISNUMBER(val), PERCENTRANK(AQ61:BL61, val)+0.01, 0))), SEQUENCE(COLUMNS(AQ61:BL61)), FALSE), {""charttype"",""column""; ""color"",""chartreuse""; ""ymin"", 0; ""ymax"", 1.01; ""highcolor"", "&amp;"""darkgreen""; ""lowcolor"", ""red""}), """")"),"")</f>
        <v/>
      </c>
      <c r="B61" s="17" t="str">
        <f t="shared" si="4"/>
        <v/>
      </c>
      <c r="C61" s="45" t="s">
        <v>2850</v>
      </c>
      <c r="D61" s="30" t="str">
        <f>IFERROR(__xludf.DUMMYFUNCTION("IFERROR(GOOGLEFINANCE(C61, ""NAME""))"),"American Electric Power Company Inc")</f>
        <v>American Electric Power Company Inc</v>
      </c>
      <c r="E61" s="30" t="s">
        <v>2660</v>
      </c>
      <c r="F61" s="33" t="str">
        <f>IFERROR(__xludf.DUMMYFUNCTION("( (GOOGLEFINANCE(C61, ""price"") - Q61) / Q61 ) / (R61 / 100)"),"Loading...")</f>
        <v>Loading...</v>
      </c>
      <c r="G61" s="20" t="str">
        <f>IFERROR(__xludf.DUMMYFUNCTION("AVERAGE(ARRAYFORMULA(100 * (QUERY(GOOGLEFINANCE(C61, ""high"", TODAY()-40, TODAY()), ""SELECT Col2 WHERE Col2 IS NOT NULL ORDER BY Col1 DESC LIMIT 20"", 0) / QUERY(GOOGLEFINANCE(C61, ""low"", TODAY()-40, TODAY()), ""SELECT Col2 WHERE Col2 IS NOT NULL ORDE"&amp;"R BY Col1 DESC LIMIT 20"", 0) - 1)))"),"#N/A")</f>
        <v>#N/A</v>
      </c>
      <c r="H61" s="35" t="str">
        <f t="shared" si="6"/>
        <v>Liquid</v>
      </c>
      <c r="I61" s="35" t="str">
        <f t="shared" si="7"/>
        <v>RVol Required</v>
      </c>
      <c r="J61" s="37">
        <f>IFERROR(__xludf.DUMMYFUNCTION("IFERROR(
  IF(C61="""",, 
    IFERROR(
      GOOGLEFINANCE(C61, ""price"") * GOOGLEFINANCE(C61, ""volumeavg""), 
      GOOGLEFINANCE(C61, ""price"") * AVERAGE(QUERY(GOOGLEFINANCE(C61, ""volume"", TODAY()-40, TODAY()), ""SELECT Col2 WHERE Col2 IS NOT NULL "&amp;"ORDER BY Col1 DESC LIMIT 20"", 0))
    )
  ), 
"""")"),4.8847861842E8)</f>
        <v>488478618.4</v>
      </c>
      <c r="K61" s="21">
        <f>IFERROR(__xludf.DUMMYFUNCTION("IFERROR(GOOGLEFINANCE(C61, ""changepct"") / 100, """")"),0.0229)</f>
        <v>0.0229</v>
      </c>
      <c r="L61" s="21" t="str">
        <f>IFERROR(__xludf.DUMMYFUNCTION("IFERROR((GOOGLEFINANCE(C61, ""price"") / INDEX(GOOGLEFINANCE(C61, ""price"", TODAY()-7, TODAY()), 2, 2)) - 1, """")"),"")</f>
        <v/>
      </c>
      <c r="M61" s="21" t="str">
        <f>IFERROR(__xludf.DUMMYFUNCTION("IFERROR((GOOGLEFINANCE(C61, ""price"") / INDEX(GOOGLEFINANCE(C61, ""price"", EDATE(TODAY(), -1), TODAY()), 2, 2)) - 1, """")"),"")</f>
        <v/>
      </c>
      <c r="N61" s="21" t="str">
        <f>IFERROR(__xludf.DUMMYFUNCTION("IFERROR((GOOGLEFINANCE(C61, ""price"") / INDEX(GOOGLEFINANCE(C61, ""price"", EDATE(TODAY(), -3), TODAY()), 2, 2)) - 1, """")"),"")</f>
        <v/>
      </c>
      <c r="O61" s="21" t="str">
        <f>IFERROR(__xludf.DUMMYFUNCTION("IFERROR((GOOGLEFINANCE(C61, ""price"") / INDEX(GOOGLEFINANCE(C61, ""price"", EDATE(TODAY(), -6), TODAY()), 2, 2)) - 1, """")"),"")</f>
        <v/>
      </c>
      <c r="P61" s="21" t="str">
        <f>IFERROR(__xludf.DUMMYFUNCTION("IFERROR((GOOGLEFINANCE(C61, ""price"") / INDEX(GOOGLEFINANCE(C61, ""price"", EDATE(TODAY(), -12), TODAY()), 2, 2)) - 1, """")"),"")</f>
        <v/>
      </c>
      <c r="Q61" s="6" t="str">
        <f>IFERROR(__xludf.DUMMYFUNCTION("AVERAGE(QUERY(GOOGLEFINANCE(C61, ""price"", TODAY()-80, TODAY()), ""SELECT Col2 WHERE Col2 IS NOT NULL ORDER BY Col1 DESC LIMIT 50"", 0))"),"#N/A")</f>
        <v>#N/A</v>
      </c>
      <c r="R61" s="24" t="str">
        <f>IFERROR(__xludf.DUMMYFUNCTION("IFERROR(
  LET(
    data, QUERY(GOOGLEFINANCE(C61,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GOOGLEFINANCE(C61, ""price"")) * 100,
    IF(calc=0, G61, calc)
  ), 
G61)"),"#N/A")</f>
        <v>#N/A</v>
      </c>
      <c r="S61" s="8" t="s">
        <v>15</v>
      </c>
      <c r="T61" s="26" t="str">
        <f>IFERROR(__xludf.DUMMYFUNCTION("IFERROR(TRANSPOSE(QUERY(IFERROR(SORT(GOOGLEFINANCE(C61, ""price"", WORKDAY(TODAY(), -40), TODAY()), 1, FALSE)), ""select Col2 where Col2 is not null limit 22 label Col2 ''"", 0)), """")"),"")</f>
        <v/>
      </c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8"/>
      <c r="AO61" s="28"/>
      <c r="AP61" s="29"/>
      <c r="AQ61" s="29" t="str">
        <f t="shared" ref="AQ61:BL61" si="64">T61/T$2</f>
        <v>#N/A</v>
      </c>
      <c r="AR61" s="29" t="str">
        <f t="shared" si="64"/>
        <v>#DIV/0!</v>
      </c>
      <c r="AS61" s="29" t="str">
        <f t="shared" si="64"/>
        <v>#DIV/0!</v>
      </c>
      <c r="AT61" s="29" t="str">
        <f t="shared" si="64"/>
        <v>#DIV/0!</v>
      </c>
      <c r="AU61" s="29" t="str">
        <f t="shared" si="64"/>
        <v>#DIV/0!</v>
      </c>
      <c r="AV61" s="29" t="str">
        <f t="shared" si="64"/>
        <v>#DIV/0!</v>
      </c>
      <c r="AW61" s="29" t="str">
        <f t="shared" si="64"/>
        <v>#DIV/0!</v>
      </c>
      <c r="AX61" s="29" t="str">
        <f t="shared" si="64"/>
        <v>#DIV/0!</v>
      </c>
      <c r="AY61" s="29" t="str">
        <f t="shared" si="64"/>
        <v>#DIV/0!</v>
      </c>
      <c r="AZ61" s="29" t="str">
        <f t="shared" si="64"/>
        <v>#DIV/0!</v>
      </c>
      <c r="BA61" s="29" t="str">
        <f t="shared" si="64"/>
        <v>#DIV/0!</v>
      </c>
      <c r="BB61" s="29" t="str">
        <f t="shared" si="64"/>
        <v>#DIV/0!</v>
      </c>
      <c r="BC61" s="29" t="str">
        <f t="shared" si="64"/>
        <v>#DIV/0!</v>
      </c>
      <c r="BD61" s="29" t="str">
        <f t="shared" si="64"/>
        <v>#DIV/0!</v>
      </c>
      <c r="BE61" s="29" t="str">
        <f t="shared" si="64"/>
        <v>#DIV/0!</v>
      </c>
      <c r="BF61" s="29" t="str">
        <f t="shared" si="64"/>
        <v>#DIV/0!</v>
      </c>
      <c r="BG61" s="29" t="str">
        <f t="shared" si="64"/>
        <v>#DIV/0!</v>
      </c>
      <c r="BH61" s="29" t="str">
        <f t="shared" si="64"/>
        <v>#DIV/0!</v>
      </c>
      <c r="BI61" s="29" t="str">
        <f t="shared" si="64"/>
        <v>#DIV/0!</v>
      </c>
      <c r="BJ61" s="29" t="str">
        <f t="shared" si="64"/>
        <v>#DIV/0!</v>
      </c>
      <c r="BK61" s="29" t="str">
        <f t="shared" si="64"/>
        <v>#DIV/0!</v>
      </c>
      <c r="BL61" s="29" t="str">
        <f t="shared" si="64"/>
        <v>#DIV/0!</v>
      </c>
      <c r="BM61" s="29" t="str">
        <f t="shared" si="3"/>
        <v>#DIV/0!</v>
      </c>
    </row>
    <row r="62">
      <c r="A62" s="16" t="str">
        <f>IFERROR(__xludf.DUMMYFUNCTION("IFERROR(SPARKLINE(SORT(MAP(TRANSPOSE(AQ62:BL62), LAMBDA(val, IF(ISNUMBER(val), PERCENTRANK(AQ62:BL62, val)+0.01, 0))), SEQUENCE(COLUMNS(AQ62:BL62)), FALSE), {""charttype"",""column""; ""color"",""chartreuse""; ""ymin"", 0; ""ymax"", 1.01; ""highcolor"", "&amp;"""darkgreen""; ""lowcolor"", ""red""}), """")"),"")</f>
        <v/>
      </c>
      <c r="B62" s="17" t="str">
        <f t="shared" si="4"/>
        <v/>
      </c>
      <c r="C62" s="45" t="s">
        <v>2853</v>
      </c>
      <c r="D62" s="30" t="str">
        <f>IFERROR(__xludf.DUMMYFUNCTION("IFERROR(GOOGLEFINANCE(C62, ""NAME""))"),"Consolidated Edison Inc")</f>
        <v>Consolidated Edison Inc</v>
      </c>
      <c r="E62" s="30" t="s">
        <v>2660</v>
      </c>
      <c r="F62" s="33" t="str">
        <f>IFERROR(__xludf.DUMMYFUNCTION("( (GOOGLEFINANCE(C62, ""price"") - Q62) / Q62 ) / (R62 / 100)"),"Loading...")</f>
        <v>Loading...</v>
      </c>
      <c r="G62" s="20" t="str">
        <f>IFERROR(__xludf.DUMMYFUNCTION("AVERAGE(ARRAYFORMULA(100 * (QUERY(GOOGLEFINANCE(C62, ""high"", TODAY()-40, TODAY()), ""SELECT Col2 WHERE Col2 IS NOT NULL ORDER BY Col1 DESC LIMIT 20"", 0) / QUERY(GOOGLEFINANCE(C62, ""low"", TODAY()-40, TODAY()), ""SELECT Col2 WHERE Col2 IS NOT NULL ORDE"&amp;"R BY Col1 DESC LIMIT 20"", 0) - 1)))"),"#N/A")</f>
        <v>#N/A</v>
      </c>
      <c r="H62" s="35" t="str">
        <f t="shared" si="6"/>
        <v>Liquid</v>
      </c>
      <c r="I62" s="35" t="str">
        <f t="shared" si="7"/>
        <v>RVol Required</v>
      </c>
      <c r="J62" s="37">
        <f>IFERROR(__xludf.DUMMYFUNCTION("IFERROR(
  IF(C62="""",, 
    IFERROR(
      GOOGLEFINANCE(C62, ""price"") * GOOGLEFINANCE(C62, ""volumeavg""), 
      GOOGLEFINANCE(C62, ""price"") * AVERAGE(QUERY(GOOGLEFINANCE(C62, ""volume"", TODAY()-40, TODAY()), ""SELECT Col2 WHERE Col2 IS NOT NULL "&amp;"ORDER BY Col1 DESC LIMIT 20"", 0))
    )
  ), 
"""")"),2.4399239508E8)</f>
        <v>243992395.1</v>
      </c>
      <c r="K62" s="21">
        <f>IFERROR(__xludf.DUMMYFUNCTION("IFERROR(GOOGLEFINANCE(C62, ""changepct"") / 100, """")"),0.0218)</f>
        <v>0.0218</v>
      </c>
      <c r="L62" s="21" t="str">
        <f>IFERROR(__xludf.DUMMYFUNCTION("IFERROR((GOOGLEFINANCE(C62, ""price"") / INDEX(GOOGLEFINANCE(C62, ""price"", TODAY()-7, TODAY()), 2, 2)) - 1, """")"),"")</f>
        <v/>
      </c>
      <c r="M62" s="21" t="str">
        <f>IFERROR(__xludf.DUMMYFUNCTION("IFERROR((GOOGLEFINANCE(C62, ""price"") / INDEX(GOOGLEFINANCE(C62, ""price"", EDATE(TODAY(), -1), TODAY()), 2, 2)) - 1, """")"),"")</f>
        <v/>
      </c>
      <c r="N62" s="21" t="str">
        <f>IFERROR(__xludf.DUMMYFUNCTION("IFERROR((GOOGLEFINANCE(C62, ""price"") / INDEX(GOOGLEFINANCE(C62, ""price"", EDATE(TODAY(), -3), TODAY()), 2, 2)) - 1, """")"),"")</f>
        <v/>
      </c>
      <c r="O62" s="21" t="str">
        <f>IFERROR(__xludf.DUMMYFUNCTION("IFERROR((GOOGLEFINANCE(C62, ""price"") / INDEX(GOOGLEFINANCE(C62, ""price"", EDATE(TODAY(), -6), TODAY()), 2, 2)) - 1, """")"),"")</f>
        <v/>
      </c>
      <c r="P62" s="21" t="str">
        <f>IFERROR(__xludf.DUMMYFUNCTION("IFERROR((GOOGLEFINANCE(C62, ""price"") / INDEX(GOOGLEFINANCE(C62, ""price"", EDATE(TODAY(), -12), TODAY()), 2, 2)) - 1, """")"),"")</f>
        <v/>
      </c>
      <c r="Q62" s="6" t="str">
        <f>IFERROR(__xludf.DUMMYFUNCTION("AVERAGE(QUERY(GOOGLEFINANCE(C62, ""price"", TODAY()-80, TODAY()), ""SELECT Col2 WHERE Col2 IS NOT NULL ORDER BY Col1 DESC LIMIT 50"", 0))"),"#N/A")</f>
        <v>#N/A</v>
      </c>
      <c r="R62" s="24" t="str">
        <f>IFERROR(__xludf.DUMMYFUNCTION("IFERROR(
  LET(
    data, QUERY(GOOGLEFINANCE(C62,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GOOGLEFINANCE(C62, ""price"")) * 100,
    IF(calc=0, G62, calc)
  ), 
G62)"),"#N/A")</f>
        <v>#N/A</v>
      </c>
      <c r="S62" s="8" t="s">
        <v>15</v>
      </c>
      <c r="T62" s="26" t="str">
        <f>IFERROR(__xludf.DUMMYFUNCTION("IFERROR(TRANSPOSE(QUERY(IFERROR(SORT(GOOGLEFINANCE(C62, ""price"", WORKDAY(TODAY(), -40), TODAY()), 1, FALSE)), ""select Col2 where Col2 is not null limit 22 label Col2 ''"", 0)), """")"),"")</f>
        <v/>
      </c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8"/>
      <c r="AO62" s="28"/>
      <c r="AP62" s="29"/>
      <c r="AQ62" s="29" t="str">
        <f t="shared" ref="AQ62:BL62" si="65">T62/T$2</f>
        <v>#N/A</v>
      </c>
      <c r="AR62" s="29" t="str">
        <f t="shared" si="65"/>
        <v>#DIV/0!</v>
      </c>
      <c r="AS62" s="29" t="str">
        <f t="shared" si="65"/>
        <v>#DIV/0!</v>
      </c>
      <c r="AT62" s="29" t="str">
        <f t="shared" si="65"/>
        <v>#DIV/0!</v>
      </c>
      <c r="AU62" s="29" t="str">
        <f t="shared" si="65"/>
        <v>#DIV/0!</v>
      </c>
      <c r="AV62" s="29" t="str">
        <f t="shared" si="65"/>
        <v>#DIV/0!</v>
      </c>
      <c r="AW62" s="29" t="str">
        <f t="shared" si="65"/>
        <v>#DIV/0!</v>
      </c>
      <c r="AX62" s="29" t="str">
        <f t="shared" si="65"/>
        <v>#DIV/0!</v>
      </c>
      <c r="AY62" s="29" t="str">
        <f t="shared" si="65"/>
        <v>#DIV/0!</v>
      </c>
      <c r="AZ62" s="29" t="str">
        <f t="shared" si="65"/>
        <v>#DIV/0!</v>
      </c>
      <c r="BA62" s="29" t="str">
        <f t="shared" si="65"/>
        <v>#DIV/0!</v>
      </c>
      <c r="BB62" s="29" t="str">
        <f t="shared" si="65"/>
        <v>#DIV/0!</v>
      </c>
      <c r="BC62" s="29" t="str">
        <f t="shared" si="65"/>
        <v>#DIV/0!</v>
      </c>
      <c r="BD62" s="29" t="str">
        <f t="shared" si="65"/>
        <v>#DIV/0!</v>
      </c>
      <c r="BE62" s="29" t="str">
        <f t="shared" si="65"/>
        <v>#DIV/0!</v>
      </c>
      <c r="BF62" s="29" t="str">
        <f t="shared" si="65"/>
        <v>#DIV/0!</v>
      </c>
      <c r="BG62" s="29" t="str">
        <f t="shared" si="65"/>
        <v>#DIV/0!</v>
      </c>
      <c r="BH62" s="29" t="str">
        <f t="shared" si="65"/>
        <v>#DIV/0!</v>
      </c>
      <c r="BI62" s="29" t="str">
        <f t="shared" si="65"/>
        <v>#DIV/0!</v>
      </c>
      <c r="BJ62" s="29" t="str">
        <f t="shared" si="65"/>
        <v>#DIV/0!</v>
      </c>
      <c r="BK62" s="29" t="str">
        <f t="shared" si="65"/>
        <v>#DIV/0!</v>
      </c>
      <c r="BL62" s="29" t="str">
        <f t="shared" si="65"/>
        <v>#DIV/0!</v>
      </c>
      <c r="BM62" s="29" t="str">
        <f t="shared" si="3"/>
        <v>#DIV/0!</v>
      </c>
    </row>
    <row r="63">
      <c r="A63" s="16" t="str">
        <f>IFERROR(__xludf.DUMMYFUNCTION("IFERROR(SPARKLINE(SORT(MAP(TRANSPOSE(AQ63:BL63), LAMBDA(val, IF(ISNUMBER(val), PERCENTRANK(AQ63:BL63, val)+0.01, 0))), SEQUENCE(COLUMNS(AQ63:BL63)), FALSE), {""charttype"",""column""; ""color"",""chartreuse""; ""ymin"", 0; ""ymax"", 1.01; ""highcolor"", "&amp;"""darkgreen""; ""lowcolor"", ""red""}), """")"),"")</f>
        <v/>
      </c>
      <c r="B63" s="17" t="str">
        <f t="shared" si="4"/>
        <v/>
      </c>
      <c r="C63" s="45" t="s">
        <v>2857</v>
      </c>
      <c r="D63" s="30" t="str">
        <f>IFERROR(__xludf.DUMMYFUNCTION("IFERROR(GOOGLEFINANCE(C63, ""NAME""))"),"Atmos Energy Corp")</f>
        <v>Atmos Energy Corp</v>
      </c>
      <c r="E63" s="30" t="s">
        <v>2651</v>
      </c>
      <c r="F63" s="33" t="str">
        <f>IFERROR(__xludf.DUMMYFUNCTION("( (GOOGLEFINANCE(C63, ""price"") - Q63) / Q63 ) / (R63 / 100)"),"Loading...")</f>
        <v>Loading...</v>
      </c>
      <c r="G63" s="20" t="str">
        <f>IFERROR(__xludf.DUMMYFUNCTION("AVERAGE(ARRAYFORMULA(100 * (QUERY(GOOGLEFINANCE(C63, ""high"", TODAY()-40, TODAY()), ""SELECT Col2 WHERE Col2 IS NOT NULL ORDER BY Col1 DESC LIMIT 20"", 0) / QUERY(GOOGLEFINANCE(C63, ""low"", TODAY()-40, TODAY()), ""SELECT Col2 WHERE Col2 IS NOT NULL ORDE"&amp;"R BY Col1 DESC LIMIT 20"", 0) - 1)))"),"#N/A")</f>
        <v>#N/A</v>
      </c>
      <c r="H63" s="35" t="str">
        <f t="shared" si="6"/>
        <v>Liquid</v>
      </c>
      <c r="I63" s="35" t="str">
        <f t="shared" si="7"/>
        <v>RVol Required</v>
      </c>
      <c r="J63" s="37">
        <f>IFERROR(__xludf.DUMMYFUNCTION("IFERROR(
  IF(C63="""",, 
    IFERROR(
      GOOGLEFINANCE(C63, ""price"") * GOOGLEFINANCE(C63, ""volumeavg""), 
      GOOGLEFINANCE(C63, ""price"") * AVERAGE(QUERY(GOOGLEFINANCE(C63, ""volume"", TODAY()-40, TODAY()), ""SELECT Col2 WHERE Col2 IS NOT NULL "&amp;"ORDER BY Col1 DESC LIMIT 20"", 0))
    )
  ), 
"""")"),1.7945558334E8)</f>
        <v>179455583.3</v>
      </c>
      <c r="K63" s="21">
        <f>IFERROR(__xludf.DUMMYFUNCTION("IFERROR(GOOGLEFINANCE(C63, ""changepct"") / 100, """")"),0.0207)</f>
        <v>0.0207</v>
      </c>
      <c r="L63" s="21" t="str">
        <f>IFERROR(__xludf.DUMMYFUNCTION("IFERROR((GOOGLEFINANCE(C63, ""price"") / INDEX(GOOGLEFINANCE(C63, ""price"", TODAY()-7, TODAY()), 2, 2)) - 1, """")"),"")</f>
        <v/>
      </c>
      <c r="M63" s="21" t="str">
        <f>IFERROR(__xludf.DUMMYFUNCTION("IFERROR((GOOGLEFINANCE(C63, ""price"") / INDEX(GOOGLEFINANCE(C63, ""price"", EDATE(TODAY(), -1), TODAY()), 2, 2)) - 1, """")"),"")</f>
        <v/>
      </c>
      <c r="N63" s="21" t="str">
        <f>IFERROR(__xludf.DUMMYFUNCTION("IFERROR((GOOGLEFINANCE(C63, ""price"") / INDEX(GOOGLEFINANCE(C63, ""price"", EDATE(TODAY(), -3), TODAY()), 2, 2)) - 1, """")"),"")</f>
        <v/>
      </c>
      <c r="O63" s="21" t="str">
        <f>IFERROR(__xludf.DUMMYFUNCTION("IFERROR((GOOGLEFINANCE(C63, ""price"") / INDEX(GOOGLEFINANCE(C63, ""price"", EDATE(TODAY(), -6), TODAY()), 2, 2)) - 1, """")"),"")</f>
        <v/>
      </c>
      <c r="P63" s="21" t="str">
        <f>IFERROR(__xludf.DUMMYFUNCTION("IFERROR((GOOGLEFINANCE(C63, ""price"") / INDEX(GOOGLEFINANCE(C63, ""price"", EDATE(TODAY(), -12), TODAY()), 2, 2)) - 1, """")"),"")</f>
        <v/>
      </c>
      <c r="Q63" s="6" t="str">
        <f>IFERROR(__xludf.DUMMYFUNCTION("AVERAGE(QUERY(GOOGLEFINANCE(C63, ""price"", TODAY()-80, TODAY()), ""SELECT Col2 WHERE Col2 IS NOT NULL ORDER BY Col1 DESC LIMIT 50"", 0))"),"#N/A")</f>
        <v>#N/A</v>
      </c>
      <c r="R63" s="24" t="str">
        <f>IFERROR(__xludf.DUMMYFUNCTION("IFERROR(
  LET(
    data, QUERY(GOOGLEFINANCE(C63,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GOOGLEFINANCE(C63, ""price"")) * 100,
    IF(calc=0, G63, calc)
  ), 
G63)"),"#N/A")</f>
        <v>#N/A</v>
      </c>
      <c r="S63" s="8" t="s">
        <v>15</v>
      </c>
      <c r="T63" s="26" t="str">
        <f>IFERROR(__xludf.DUMMYFUNCTION("IFERROR(TRANSPOSE(QUERY(IFERROR(SORT(GOOGLEFINANCE(C63, ""price"", WORKDAY(TODAY(), -40), TODAY()), 1, FALSE)), ""select Col2 where Col2 is not null limit 22 label Col2 ''"", 0)), """")"),"")</f>
        <v/>
      </c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8"/>
      <c r="AO63" s="28"/>
      <c r="AP63" s="29"/>
      <c r="AQ63" s="29" t="str">
        <f t="shared" ref="AQ63:BL63" si="66">T63/T$2</f>
        <v>#N/A</v>
      </c>
      <c r="AR63" s="29" t="str">
        <f t="shared" si="66"/>
        <v>#DIV/0!</v>
      </c>
      <c r="AS63" s="29" t="str">
        <f t="shared" si="66"/>
        <v>#DIV/0!</v>
      </c>
      <c r="AT63" s="29" t="str">
        <f t="shared" si="66"/>
        <v>#DIV/0!</v>
      </c>
      <c r="AU63" s="29" t="str">
        <f t="shared" si="66"/>
        <v>#DIV/0!</v>
      </c>
      <c r="AV63" s="29" t="str">
        <f t="shared" si="66"/>
        <v>#DIV/0!</v>
      </c>
      <c r="AW63" s="29" t="str">
        <f t="shared" si="66"/>
        <v>#DIV/0!</v>
      </c>
      <c r="AX63" s="29" t="str">
        <f t="shared" si="66"/>
        <v>#DIV/0!</v>
      </c>
      <c r="AY63" s="29" t="str">
        <f t="shared" si="66"/>
        <v>#DIV/0!</v>
      </c>
      <c r="AZ63" s="29" t="str">
        <f t="shared" si="66"/>
        <v>#DIV/0!</v>
      </c>
      <c r="BA63" s="29" t="str">
        <f t="shared" si="66"/>
        <v>#DIV/0!</v>
      </c>
      <c r="BB63" s="29" t="str">
        <f t="shared" si="66"/>
        <v>#DIV/0!</v>
      </c>
      <c r="BC63" s="29" t="str">
        <f t="shared" si="66"/>
        <v>#DIV/0!</v>
      </c>
      <c r="BD63" s="29" t="str">
        <f t="shared" si="66"/>
        <v>#DIV/0!</v>
      </c>
      <c r="BE63" s="29" t="str">
        <f t="shared" si="66"/>
        <v>#DIV/0!</v>
      </c>
      <c r="BF63" s="29" t="str">
        <f t="shared" si="66"/>
        <v>#DIV/0!</v>
      </c>
      <c r="BG63" s="29" t="str">
        <f t="shared" si="66"/>
        <v>#DIV/0!</v>
      </c>
      <c r="BH63" s="29" t="str">
        <f t="shared" si="66"/>
        <v>#DIV/0!</v>
      </c>
      <c r="BI63" s="29" t="str">
        <f t="shared" si="66"/>
        <v>#DIV/0!</v>
      </c>
      <c r="BJ63" s="29" t="str">
        <f t="shared" si="66"/>
        <v>#DIV/0!</v>
      </c>
      <c r="BK63" s="29" t="str">
        <f t="shared" si="66"/>
        <v>#DIV/0!</v>
      </c>
      <c r="BL63" s="29" t="str">
        <f t="shared" si="66"/>
        <v>#DIV/0!</v>
      </c>
      <c r="BM63" s="29" t="str">
        <f t="shared" si="3"/>
        <v>#DIV/0!</v>
      </c>
    </row>
    <row r="64">
      <c r="A64" s="16" t="str">
        <f>IFERROR(__xludf.DUMMYFUNCTION("IFERROR(SPARKLINE(SORT(MAP(TRANSPOSE(AQ64:BL64), LAMBDA(val, IF(ISNUMBER(val), PERCENTRANK(AQ64:BL64, val)+0.01, 0))), SEQUENCE(COLUMNS(AQ64:BL64)), FALSE), {""charttype"",""column""; ""color"",""chartreuse""; ""ymin"", 0; ""ymax"", 1.01; ""highcolor"", "&amp;"""darkgreen""; ""lowcolor"", ""red""}), """")"),"")</f>
        <v/>
      </c>
      <c r="B64" s="17" t="str">
        <f t="shared" si="4"/>
        <v/>
      </c>
      <c r="C64" s="45" t="s">
        <v>2861</v>
      </c>
      <c r="D64" s="30" t="str">
        <f>IFERROR(__xludf.DUMMYFUNCTION("IFERROR(GOOGLEFINANCE(C64, ""NAME""))"),"TransAlta Corp")</f>
        <v>TransAlta Corp</v>
      </c>
      <c r="E64" s="30" t="s">
        <v>2634</v>
      </c>
      <c r="F64" s="38" t="str">
        <f>IFERROR(__xludf.DUMMYFUNCTION("( (GOOGLEFINANCE(C64, ""price"") - Q64) / Q64 ) / (R64 / 100)"),"Loading...")</f>
        <v>Loading...</v>
      </c>
      <c r="G64" s="20" t="str">
        <f>IFERROR(__xludf.DUMMYFUNCTION("AVERAGE(ARRAYFORMULA(100 * (QUERY(GOOGLEFINANCE(C64, ""high"", TODAY()-40, TODAY()), ""SELECT Col2 WHERE Col2 IS NOT NULL ORDER BY Col1 DESC LIMIT 20"", 0) / QUERY(GOOGLEFINANCE(C64, ""low"", TODAY()-40, TODAY()), ""SELECT Col2 WHERE Col2 IS NOT NULL ORDE"&amp;"R BY Col1 DESC LIMIT 20"", 0) - 1)))"),"#N/A")</f>
        <v>#N/A</v>
      </c>
      <c r="H64" s="35" t="str">
        <f t="shared" si="6"/>
        <v>Illiquid</v>
      </c>
      <c r="I64" s="35" t="str">
        <f t="shared" si="7"/>
        <v>RVol Required</v>
      </c>
      <c r="J64" s="37">
        <f>IFERROR(__xludf.DUMMYFUNCTION("IFERROR(
  IF(C64="""",, 
    IFERROR(
      GOOGLEFINANCE(C64, ""price"") * GOOGLEFINANCE(C64, ""volumeavg""), 
      GOOGLEFINANCE(C64, ""price"") * AVERAGE(QUERY(GOOGLEFINANCE(C64, ""volume"", TODAY()-40, TODAY()), ""SELECT Col2 WHERE Col2 IS NOT NULL "&amp;"ORDER BY Col1 DESC LIMIT 20"", 0))
    )
  ), 
"""")"),2.23724154E7)</f>
        <v>22372415.4</v>
      </c>
      <c r="K64" s="21">
        <f>IFERROR(__xludf.DUMMYFUNCTION("IFERROR(GOOGLEFINANCE(C64, ""changepct"") / 100, """")"),0.015)</f>
        <v>0.015</v>
      </c>
      <c r="L64" s="21" t="str">
        <f>IFERROR(__xludf.DUMMYFUNCTION("IFERROR((GOOGLEFINANCE(C64, ""price"") / INDEX(GOOGLEFINANCE(C64, ""price"", TODAY()-7, TODAY()), 2, 2)) - 1, """")"),"")</f>
        <v/>
      </c>
      <c r="M64" s="21" t="str">
        <f>IFERROR(__xludf.DUMMYFUNCTION("IFERROR((GOOGLEFINANCE(C64, ""price"") / INDEX(GOOGLEFINANCE(C64, ""price"", EDATE(TODAY(), -1), TODAY()), 2, 2)) - 1, """")"),"")</f>
        <v/>
      </c>
      <c r="N64" s="21" t="str">
        <f>IFERROR(__xludf.DUMMYFUNCTION("IFERROR((GOOGLEFINANCE(C64, ""price"") / INDEX(GOOGLEFINANCE(C64, ""price"", EDATE(TODAY(), -3), TODAY()), 2, 2)) - 1, """")"),"")</f>
        <v/>
      </c>
      <c r="O64" s="21" t="str">
        <f>IFERROR(__xludf.DUMMYFUNCTION("IFERROR((GOOGLEFINANCE(C64, ""price"") / INDEX(GOOGLEFINANCE(C64, ""price"", EDATE(TODAY(), -6), TODAY()), 2, 2)) - 1, """")"),"")</f>
        <v/>
      </c>
      <c r="P64" s="21" t="str">
        <f>IFERROR(__xludf.DUMMYFUNCTION("IFERROR((GOOGLEFINANCE(C64, ""price"") / INDEX(GOOGLEFINANCE(C64, ""price"", EDATE(TODAY(), -12), TODAY()), 2, 2)) - 1, """")"),"")</f>
        <v/>
      </c>
      <c r="Q64" s="6" t="str">
        <f>IFERROR(__xludf.DUMMYFUNCTION("AVERAGE(QUERY(GOOGLEFINANCE(C64, ""price"", TODAY()-80, TODAY()), ""SELECT Col2 WHERE Col2 IS NOT NULL ORDER BY Col1 DESC LIMIT 50"", 0))"),"#N/A")</f>
        <v>#N/A</v>
      </c>
      <c r="R64" s="24" t="str">
        <f>IFERROR(__xludf.DUMMYFUNCTION("IFERROR(
  LET(
    data, QUERY(GOOGLEFINANCE(C64,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GOOGLEFINANCE(C64, ""price"")) * 100,
    IF(calc=0, G64, calc)
  ), 
G64)"),"#N/A")</f>
        <v>#N/A</v>
      </c>
      <c r="S64" s="8" t="s">
        <v>15</v>
      </c>
      <c r="T64" s="26" t="str">
        <f>IFERROR(__xludf.DUMMYFUNCTION("IFERROR(TRANSPOSE(QUERY(IFERROR(SORT(GOOGLEFINANCE(C64, ""price"", WORKDAY(TODAY(), -40), TODAY()), 1, FALSE)), ""select Col2 where Col2 is not null limit 22 label Col2 ''"", 0)), """")"),"")</f>
        <v/>
      </c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8"/>
      <c r="AO64" s="28"/>
      <c r="AP64" s="29"/>
      <c r="AQ64" s="29" t="str">
        <f t="shared" ref="AQ64:BL64" si="67">T64/T$2</f>
        <v>#N/A</v>
      </c>
      <c r="AR64" s="29" t="str">
        <f t="shared" si="67"/>
        <v>#DIV/0!</v>
      </c>
      <c r="AS64" s="29" t="str">
        <f t="shared" si="67"/>
        <v>#DIV/0!</v>
      </c>
      <c r="AT64" s="29" t="str">
        <f t="shared" si="67"/>
        <v>#DIV/0!</v>
      </c>
      <c r="AU64" s="29" t="str">
        <f t="shared" si="67"/>
        <v>#DIV/0!</v>
      </c>
      <c r="AV64" s="29" t="str">
        <f t="shared" si="67"/>
        <v>#DIV/0!</v>
      </c>
      <c r="AW64" s="29" t="str">
        <f t="shared" si="67"/>
        <v>#DIV/0!</v>
      </c>
      <c r="AX64" s="29" t="str">
        <f t="shared" si="67"/>
        <v>#DIV/0!</v>
      </c>
      <c r="AY64" s="29" t="str">
        <f t="shared" si="67"/>
        <v>#DIV/0!</v>
      </c>
      <c r="AZ64" s="29" t="str">
        <f t="shared" si="67"/>
        <v>#DIV/0!</v>
      </c>
      <c r="BA64" s="29" t="str">
        <f t="shared" si="67"/>
        <v>#DIV/0!</v>
      </c>
      <c r="BB64" s="29" t="str">
        <f t="shared" si="67"/>
        <v>#DIV/0!</v>
      </c>
      <c r="BC64" s="29" t="str">
        <f t="shared" si="67"/>
        <v>#DIV/0!</v>
      </c>
      <c r="BD64" s="29" t="str">
        <f t="shared" si="67"/>
        <v>#DIV/0!</v>
      </c>
      <c r="BE64" s="29" t="str">
        <f t="shared" si="67"/>
        <v>#DIV/0!</v>
      </c>
      <c r="BF64" s="29" t="str">
        <f t="shared" si="67"/>
        <v>#DIV/0!</v>
      </c>
      <c r="BG64" s="29" t="str">
        <f t="shared" si="67"/>
        <v>#DIV/0!</v>
      </c>
      <c r="BH64" s="29" t="str">
        <f t="shared" si="67"/>
        <v>#DIV/0!</v>
      </c>
      <c r="BI64" s="29" t="str">
        <f t="shared" si="67"/>
        <v>#DIV/0!</v>
      </c>
      <c r="BJ64" s="29" t="str">
        <f t="shared" si="67"/>
        <v>#DIV/0!</v>
      </c>
      <c r="BK64" s="29" t="str">
        <f t="shared" si="67"/>
        <v>#DIV/0!</v>
      </c>
      <c r="BL64" s="29" t="str">
        <f t="shared" si="67"/>
        <v>#DIV/0!</v>
      </c>
      <c r="BM64" s="29" t="str">
        <f t="shared" si="3"/>
        <v>#DIV/0!</v>
      </c>
    </row>
    <row r="65">
      <c r="A65" s="16" t="str">
        <f>IFERROR(__xludf.DUMMYFUNCTION("IFERROR(SPARKLINE(SORT(MAP(TRANSPOSE(AQ65:BL65), LAMBDA(val, IF(ISNUMBER(val), PERCENTRANK(AQ65:BL65, val)+0.01, 0))), SEQUENCE(COLUMNS(AQ65:BL65)), FALSE), {""charttype"",""column""; ""color"",""chartreuse""; ""ymin"", 0; ""ymax"", 1.01; ""highcolor"", "&amp;"""darkgreen""; ""lowcolor"", ""red""}), """")"),"")</f>
        <v/>
      </c>
      <c r="B65" s="17" t="str">
        <f t="shared" si="4"/>
        <v/>
      </c>
      <c r="C65" s="45" t="s">
        <v>2866</v>
      </c>
      <c r="D65" s="30" t="str">
        <f>IFERROR(__xludf.DUMMYFUNCTION("IFERROR(GOOGLEFINANCE(C65, ""NAME""))"),"Constellation Energy Corp")</f>
        <v>Constellation Energy Corp</v>
      </c>
      <c r="E65" s="30" t="s">
        <v>2634</v>
      </c>
      <c r="F65" s="38" t="str">
        <f>IFERROR(__xludf.DUMMYFUNCTION("( (GOOGLEFINANCE(C65, ""price"") - Q65) / Q65 ) / (R65 / 100)"),"Loading...")</f>
        <v>Loading...</v>
      </c>
      <c r="G65" s="20" t="str">
        <f>IFERROR(__xludf.DUMMYFUNCTION("AVERAGE(ARRAYFORMULA(100 * (QUERY(GOOGLEFINANCE(C65, ""high"", TODAY()-40, TODAY()), ""SELECT Col2 WHERE Col2 IS NOT NULL ORDER BY Col1 DESC LIMIT 20"", 0) / QUERY(GOOGLEFINANCE(C65, ""low"", TODAY()-40, TODAY()), ""SELECT Col2 WHERE Col2 IS NOT NULL ORDE"&amp;"R BY Col1 DESC LIMIT 20"", 0) - 1)))"),"#N/A")</f>
        <v>#N/A</v>
      </c>
      <c r="H65" s="35" t="str">
        <f t="shared" si="6"/>
        <v>Liquid</v>
      </c>
      <c r="I65" s="35" t="str">
        <f t="shared" si="7"/>
        <v>No RVol Required</v>
      </c>
      <c r="J65" s="37">
        <f>IFERROR(__xludf.DUMMYFUNCTION("IFERROR(
  IF(C65="""",, 
    IFERROR(
      GOOGLEFINANCE(C65, ""price"") * GOOGLEFINANCE(C65, ""volumeavg""), 
      GOOGLEFINANCE(C65, ""price"") * AVERAGE(QUERY(GOOGLEFINANCE(C65, ""volume"", TODAY()-40, TODAY()), ""SELECT Col2 WHERE Col2 IS NOT NULL "&amp;"ORDER BY Col1 DESC LIMIT 20"", 0))
    )
  ), 
"""")"),1.01582909032E9)</f>
        <v>1015829090</v>
      </c>
      <c r="K65" s="21">
        <f>IFERROR(__xludf.DUMMYFUNCTION("IFERROR(GOOGLEFINANCE(C65, ""changepct"") / 100, """")"),-0.0132)</f>
        <v>-0.0132</v>
      </c>
      <c r="L65" s="21" t="str">
        <f>IFERROR(__xludf.DUMMYFUNCTION("IFERROR((GOOGLEFINANCE(C65, ""price"") / INDEX(GOOGLEFINANCE(C65, ""price"", TODAY()-7, TODAY()), 2, 2)) - 1, """")"),"")</f>
        <v/>
      </c>
      <c r="M65" s="21" t="str">
        <f>IFERROR(__xludf.DUMMYFUNCTION("IFERROR((GOOGLEFINANCE(C65, ""price"") / INDEX(GOOGLEFINANCE(C65, ""price"", EDATE(TODAY(), -1), TODAY()), 2, 2)) - 1, """")"),"")</f>
        <v/>
      </c>
      <c r="N65" s="21" t="str">
        <f>IFERROR(__xludf.DUMMYFUNCTION("IFERROR((GOOGLEFINANCE(C65, ""price"") / INDEX(GOOGLEFINANCE(C65, ""price"", EDATE(TODAY(), -3), TODAY()), 2, 2)) - 1, """")"),"")</f>
        <v/>
      </c>
      <c r="O65" s="21" t="str">
        <f>IFERROR(__xludf.DUMMYFUNCTION("IFERROR((GOOGLEFINANCE(C65, ""price"") / INDEX(GOOGLEFINANCE(C65, ""price"", EDATE(TODAY(), -6), TODAY()), 2, 2)) - 1, """")"),"")</f>
        <v/>
      </c>
      <c r="P65" s="21" t="str">
        <f>IFERROR(__xludf.DUMMYFUNCTION("IFERROR((GOOGLEFINANCE(C65, ""price"") / INDEX(GOOGLEFINANCE(C65, ""price"", EDATE(TODAY(), -12), TODAY()), 2, 2)) - 1, """")"),"")</f>
        <v/>
      </c>
      <c r="Q65" s="6" t="str">
        <f>IFERROR(__xludf.DUMMYFUNCTION("AVERAGE(QUERY(GOOGLEFINANCE(C65, ""price"", TODAY()-80, TODAY()), ""SELECT Col2 WHERE Col2 IS NOT NULL ORDER BY Col1 DESC LIMIT 50"", 0))"),"#N/A")</f>
        <v>#N/A</v>
      </c>
      <c r="R65" s="24" t="str">
        <f>IFERROR(__xludf.DUMMYFUNCTION("IFERROR(
  LET(
    data, QUERY(GOOGLEFINANCE(C65,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GOOGLEFINANCE(C65, ""price"")) * 100,
    IF(calc=0, G65, calc)
  ), 
G65)"),"#N/A")</f>
        <v>#N/A</v>
      </c>
      <c r="S65" s="8" t="s">
        <v>15</v>
      </c>
      <c r="T65" s="26" t="str">
        <f>IFERROR(__xludf.DUMMYFUNCTION("IFERROR(TRANSPOSE(QUERY(IFERROR(SORT(GOOGLEFINANCE(C65, ""price"", WORKDAY(TODAY(), -40), TODAY()), 1, FALSE)), ""select Col2 where Col2 is not null limit 22 label Col2 ''"", 0)), """")"),"")</f>
        <v/>
      </c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8"/>
      <c r="AO65" s="28"/>
      <c r="AP65" s="29"/>
      <c r="AQ65" s="29" t="str">
        <f t="shared" ref="AQ65:BL65" si="68">T65/T$2</f>
        <v>#N/A</v>
      </c>
      <c r="AR65" s="29" t="str">
        <f t="shared" si="68"/>
        <v>#DIV/0!</v>
      </c>
      <c r="AS65" s="29" t="str">
        <f t="shared" si="68"/>
        <v>#DIV/0!</v>
      </c>
      <c r="AT65" s="29" t="str">
        <f t="shared" si="68"/>
        <v>#DIV/0!</v>
      </c>
      <c r="AU65" s="29" t="str">
        <f t="shared" si="68"/>
        <v>#DIV/0!</v>
      </c>
      <c r="AV65" s="29" t="str">
        <f t="shared" si="68"/>
        <v>#DIV/0!</v>
      </c>
      <c r="AW65" s="29" t="str">
        <f t="shared" si="68"/>
        <v>#DIV/0!</v>
      </c>
      <c r="AX65" s="29" t="str">
        <f t="shared" si="68"/>
        <v>#DIV/0!</v>
      </c>
      <c r="AY65" s="29" t="str">
        <f t="shared" si="68"/>
        <v>#DIV/0!</v>
      </c>
      <c r="AZ65" s="29" t="str">
        <f t="shared" si="68"/>
        <v>#DIV/0!</v>
      </c>
      <c r="BA65" s="29" t="str">
        <f t="shared" si="68"/>
        <v>#DIV/0!</v>
      </c>
      <c r="BB65" s="29" t="str">
        <f t="shared" si="68"/>
        <v>#DIV/0!</v>
      </c>
      <c r="BC65" s="29" t="str">
        <f t="shared" si="68"/>
        <v>#DIV/0!</v>
      </c>
      <c r="BD65" s="29" t="str">
        <f t="shared" si="68"/>
        <v>#DIV/0!</v>
      </c>
      <c r="BE65" s="29" t="str">
        <f t="shared" si="68"/>
        <v>#DIV/0!</v>
      </c>
      <c r="BF65" s="29" t="str">
        <f t="shared" si="68"/>
        <v>#DIV/0!</v>
      </c>
      <c r="BG65" s="29" t="str">
        <f t="shared" si="68"/>
        <v>#DIV/0!</v>
      </c>
      <c r="BH65" s="29" t="str">
        <f t="shared" si="68"/>
        <v>#DIV/0!</v>
      </c>
      <c r="BI65" s="29" t="str">
        <f t="shared" si="68"/>
        <v>#DIV/0!</v>
      </c>
      <c r="BJ65" s="29" t="str">
        <f t="shared" si="68"/>
        <v>#DIV/0!</v>
      </c>
      <c r="BK65" s="29" t="str">
        <f t="shared" si="68"/>
        <v>#DIV/0!</v>
      </c>
      <c r="BL65" s="29" t="str">
        <f t="shared" si="68"/>
        <v>#DIV/0!</v>
      </c>
      <c r="BM65" s="29" t="str">
        <f t="shared" si="3"/>
        <v>#DIV/0!</v>
      </c>
    </row>
    <row r="66">
      <c r="A66" s="16" t="str">
        <f>IFERROR(__xludf.DUMMYFUNCTION("IFERROR(SPARKLINE(SORT(MAP(TRANSPOSE(AQ66:BL66), LAMBDA(val, IF(ISNUMBER(val), PERCENTRANK(AQ66:BL66, val)+0.01, 0))), SEQUENCE(COLUMNS(AQ66:BL66)), FALSE), {""charttype"",""column""; ""color"",""chartreuse""; ""ymin"", 0; ""ymax"", 1.01; ""highcolor"", "&amp;"""darkgreen""; ""lowcolor"", ""red""}), """")"),"")</f>
        <v/>
      </c>
      <c r="B66" s="17" t="str">
        <f t="shared" si="4"/>
        <v/>
      </c>
      <c r="C66" s="45" t="s">
        <v>2869</v>
      </c>
      <c r="D66" s="30" t="str">
        <f>IFERROR(__xludf.DUMMYFUNCTION("IFERROR(GOOGLEFINANCE(C66, ""NAME""))"),"Northwest Natural Holding Co")</f>
        <v>Northwest Natural Holding Co</v>
      </c>
      <c r="E66" s="30" t="s">
        <v>2651</v>
      </c>
      <c r="F66" s="33" t="str">
        <f>IFERROR(__xludf.DUMMYFUNCTION("( (GOOGLEFINANCE(C66, ""price"") - Q66) / Q66 ) / (R66 / 100)"),"Loading...")</f>
        <v>Loading...</v>
      </c>
      <c r="G66" s="20" t="str">
        <f>IFERROR(__xludf.DUMMYFUNCTION("AVERAGE(ARRAYFORMULA(100 * (QUERY(GOOGLEFINANCE(C66, ""high"", TODAY()-40, TODAY()), ""SELECT Col2 WHERE Col2 IS NOT NULL ORDER BY Col1 DESC LIMIT 20"", 0) / QUERY(GOOGLEFINANCE(C66, ""low"", TODAY()-40, TODAY()), ""SELECT Col2 WHERE Col2 IS NOT NULL ORDE"&amp;"R BY Col1 DESC LIMIT 20"", 0) - 1)))"),"#N/A")</f>
        <v>#N/A</v>
      </c>
      <c r="H66" s="35" t="str">
        <f t="shared" si="6"/>
        <v>Illiquid</v>
      </c>
      <c r="I66" s="35" t="str">
        <f t="shared" si="7"/>
        <v>RVol Required</v>
      </c>
      <c r="J66" s="37">
        <f>IFERROR(__xludf.DUMMYFUNCTION("IFERROR(
  IF(C66="""",, 
    IFERROR(
      GOOGLEFINANCE(C66, ""price"") * GOOGLEFINANCE(C66, ""volumeavg""), 
      GOOGLEFINANCE(C66, ""price"") * AVERAGE(QUERY(GOOGLEFINANCE(C66, ""volume"", TODAY()-40, TODAY()), ""SELECT Col2 WHERE Col2 IS NOT NULL "&amp;"ORDER BY Col1 DESC LIMIT 20"", 0))
    )
  ), 
"""")"),1.329789459E7)</f>
        <v>13297894.59</v>
      </c>
      <c r="K66" s="21">
        <f>IFERROR(__xludf.DUMMYFUNCTION("IFERROR(GOOGLEFINANCE(C66, ""changepct"") / 100, """")"),0.0132)</f>
        <v>0.0132</v>
      </c>
      <c r="L66" s="21" t="str">
        <f>IFERROR(__xludf.DUMMYFUNCTION("IFERROR((GOOGLEFINANCE(C66, ""price"") / INDEX(GOOGLEFINANCE(C66, ""price"", TODAY()-7, TODAY()), 2, 2)) - 1, """")"),"")</f>
        <v/>
      </c>
      <c r="M66" s="21" t="str">
        <f>IFERROR(__xludf.DUMMYFUNCTION("IFERROR((GOOGLEFINANCE(C66, ""price"") / INDEX(GOOGLEFINANCE(C66, ""price"", EDATE(TODAY(), -1), TODAY()), 2, 2)) - 1, """")"),"")</f>
        <v/>
      </c>
      <c r="N66" s="21" t="str">
        <f>IFERROR(__xludf.DUMMYFUNCTION("IFERROR((GOOGLEFINANCE(C66, ""price"") / INDEX(GOOGLEFINANCE(C66, ""price"", EDATE(TODAY(), -3), TODAY()), 2, 2)) - 1, """")"),"")</f>
        <v/>
      </c>
      <c r="O66" s="21" t="str">
        <f>IFERROR(__xludf.DUMMYFUNCTION("IFERROR((GOOGLEFINANCE(C66, ""price"") / INDEX(GOOGLEFINANCE(C66, ""price"", EDATE(TODAY(), -6), TODAY()), 2, 2)) - 1, """")"),"")</f>
        <v/>
      </c>
      <c r="P66" s="21" t="str">
        <f>IFERROR(__xludf.DUMMYFUNCTION("IFERROR((GOOGLEFINANCE(C66, ""price"") / INDEX(GOOGLEFINANCE(C66, ""price"", EDATE(TODAY(), -12), TODAY()), 2, 2)) - 1, """")"),"")</f>
        <v/>
      </c>
      <c r="Q66" s="6" t="str">
        <f>IFERROR(__xludf.DUMMYFUNCTION("AVERAGE(QUERY(GOOGLEFINANCE(C66, ""price"", TODAY()-80, TODAY()), ""SELECT Col2 WHERE Col2 IS NOT NULL ORDER BY Col1 DESC LIMIT 50"", 0))"),"#N/A")</f>
        <v>#N/A</v>
      </c>
      <c r="R66" s="24" t="str">
        <f>IFERROR(__xludf.DUMMYFUNCTION("IFERROR(
  LET(
    data, QUERY(GOOGLEFINANCE(C66,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GOOGLEFINANCE(C66, ""price"")) * 100,
    IF(calc=0, G66, calc)
  ), 
G66)"),"#N/A")</f>
        <v>#N/A</v>
      </c>
      <c r="S66" s="8" t="s">
        <v>15</v>
      </c>
      <c r="T66" s="26" t="str">
        <f>IFERROR(__xludf.DUMMYFUNCTION("IFERROR(TRANSPOSE(QUERY(IFERROR(SORT(GOOGLEFINANCE(C66, ""price"", WORKDAY(TODAY(), -40), TODAY()), 1, FALSE)), ""select Col2 where Col2 is not null limit 22 label Col2 ''"", 0)), """")"),"")</f>
        <v/>
      </c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8"/>
      <c r="AO66" s="28"/>
      <c r="AP66" s="29"/>
      <c r="AQ66" s="29" t="str">
        <f t="shared" ref="AQ66:BL66" si="69">T66/T$2</f>
        <v>#N/A</v>
      </c>
      <c r="AR66" s="29" t="str">
        <f t="shared" si="69"/>
        <v>#DIV/0!</v>
      </c>
      <c r="AS66" s="29" t="str">
        <f t="shared" si="69"/>
        <v>#DIV/0!</v>
      </c>
      <c r="AT66" s="29" t="str">
        <f t="shared" si="69"/>
        <v>#DIV/0!</v>
      </c>
      <c r="AU66" s="29" t="str">
        <f t="shared" si="69"/>
        <v>#DIV/0!</v>
      </c>
      <c r="AV66" s="29" t="str">
        <f t="shared" si="69"/>
        <v>#DIV/0!</v>
      </c>
      <c r="AW66" s="29" t="str">
        <f t="shared" si="69"/>
        <v>#DIV/0!</v>
      </c>
      <c r="AX66" s="29" t="str">
        <f t="shared" si="69"/>
        <v>#DIV/0!</v>
      </c>
      <c r="AY66" s="29" t="str">
        <f t="shared" si="69"/>
        <v>#DIV/0!</v>
      </c>
      <c r="AZ66" s="29" t="str">
        <f t="shared" si="69"/>
        <v>#DIV/0!</v>
      </c>
      <c r="BA66" s="29" t="str">
        <f t="shared" si="69"/>
        <v>#DIV/0!</v>
      </c>
      <c r="BB66" s="29" t="str">
        <f t="shared" si="69"/>
        <v>#DIV/0!</v>
      </c>
      <c r="BC66" s="29" t="str">
        <f t="shared" si="69"/>
        <v>#DIV/0!</v>
      </c>
      <c r="BD66" s="29" t="str">
        <f t="shared" si="69"/>
        <v>#DIV/0!</v>
      </c>
      <c r="BE66" s="29" t="str">
        <f t="shared" si="69"/>
        <v>#DIV/0!</v>
      </c>
      <c r="BF66" s="29" t="str">
        <f t="shared" si="69"/>
        <v>#DIV/0!</v>
      </c>
      <c r="BG66" s="29" t="str">
        <f t="shared" si="69"/>
        <v>#DIV/0!</v>
      </c>
      <c r="BH66" s="29" t="str">
        <f t="shared" si="69"/>
        <v>#DIV/0!</v>
      </c>
      <c r="BI66" s="29" t="str">
        <f t="shared" si="69"/>
        <v>#DIV/0!</v>
      </c>
      <c r="BJ66" s="29" t="str">
        <f t="shared" si="69"/>
        <v>#DIV/0!</v>
      </c>
      <c r="BK66" s="29" t="str">
        <f t="shared" si="69"/>
        <v>#DIV/0!</v>
      </c>
      <c r="BL66" s="29" t="str">
        <f t="shared" si="69"/>
        <v>#DIV/0!</v>
      </c>
      <c r="BM66" s="29" t="str">
        <f t="shared" si="3"/>
        <v>#DIV/0!</v>
      </c>
    </row>
    <row r="67">
      <c r="A67" s="16" t="str">
        <f>IFERROR(__xludf.DUMMYFUNCTION("IFERROR(SPARKLINE(SORT(MAP(TRANSPOSE(AQ67:BL67), LAMBDA(val, IF(ISNUMBER(val), PERCENTRANK(AQ67:BL67, val)+0.01, 0))), SEQUENCE(COLUMNS(AQ67:BL67)), FALSE), {""charttype"",""column""; ""color"",""chartreuse""; ""ymin"", 0; ""ymax"", 1.01; ""highcolor"", "&amp;"""darkgreen""; ""lowcolor"", ""red""}), """")"),"")</f>
        <v/>
      </c>
      <c r="B67" s="17" t="str">
        <f t="shared" si="4"/>
        <v/>
      </c>
      <c r="C67" s="45" t="s">
        <v>2875</v>
      </c>
      <c r="D67" s="30" t="str">
        <f>IFERROR(__xludf.DUMMYFUNCTION("IFERROR(GOOGLEFINANCE(C67, ""NAME""))"),"Empresa Distribuidora y Cmrz Nrt SA")</f>
        <v>Empresa Distribuidora y Cmrz Nrt SA</v>
      </c>
      <c r="E67" s="30" t="s">
        <v>2660</v>
      </c>
      <c r="F67" s="33" t="str">
        <f>IFERROR(__xludf.DUMMYFUNCTION("( (GOOGLEFINANCE(C67, ""price"") - Q67) / Q67 ) / (R67 / 100)"),"Loading...")</f>
        <v>Loading...</v>
      </c>
      <c r="G67" s="20" t="str">
        <f>IFERROR(__xludf.DUMMYFUNCTION("AVERAGE(ARRAYFORMULA(100 * (QUERY(GOOGLEFINANCE(C67, ""high"", TODAY()-40, TODAY()), ""SELECT Col2 WHERE Col2 IS NOT NULL ORDER BY Col1 DESC LIMIT 20"", 0) / QUERY(GOOGLEFINANCE(C67, ""low"", TODAY()-40, TODAY()), ""SELECT Col2 WHERE Col2 IS NOT NULL ORDE"&amp;"R BY Col1 DESC LIMIT 20"", 0) - 1)))"),"#N/A")</f>
        <v>#N/A</v>
      </c>
      <c r="H67" s="35" t="str">
        <f t="shared" si="6"/>
        <v>Illiquid</v>
      </c>
      <c r="I67" s="35" t="str">
        <f t="shared" si="7"/>
        <v>RVol Required</v>
      </c>
      <c r="J67" s="37">
        <f>IFERROR(__xludf.DUMMYFUNCTION("IFERROR(
  IF(C67="""",, 
    IFERROR(
      GOOGLEFINANCE(C67, ""price"") * GOOGLEFINANCE(C67, ""volumeavg""), 
      GOOGLEFINANCE(C67, ""price"") * AVERAGE(QUERY(GOOGLEFINANCE(C67, ""volume"", TODAY()-40, TODAY()), ""SELECT Col2 WHERE Col2 IS NOT NULL "&amp;"ORDER BY Col1 DESC LIMIT 20"", 0))
    )
  ), 
"""")"),2533411.66)</f>
        <v>2533411.66</v>
      </c>
      <c r="K67" s="21">
        <f>IFERROR(__xludf.DUMMYFUNCTION("IFERROR(GOOGLEFINANCE(C67, ""changepct"") / 100, """")"),-0.015)</f>
        <v>-0.015</v>
      </c>
      <c r="L67" s="21" t="str">
        <f>IFERROR(__xludf.DUMMYFUNCTION("IFERROR((GOOGLEFINANCE(C67, ""price"") / INDEX(GOOGLEFINANCE(C67, ""price"", TODAY()-7, TODAY()), 2, 2)) - 1, """")"),"")</f>
        <v/>
      </c>
      <c r="M67" s="21" t="str">
        <f>IFERROR(__xludf.DUMMYFUNCTION("IFERROR((GOOGLEFINANCE(C67, ""price"") / INDEX(GOOGLEFINANCE(C67, ""price"", EDATE(TODAY(), -1), TODAY()), 2, 2)) - 1, """")"),"")</f>
        <v/>
      </c>
      <c r="N67" s="21" t="str">
        <f>IFERROR(__xludf.DUMMYFUNCTION("IFERROR((GOOGLEFINANCE(C67, ""price"") / INDEX(GOOGLEFINANCE(C67, ""price"", EDATE(TODAY(), -3), TODAY()), 2, 2)) - 1, """")"),"")</f>
        <v/>
      </c>
      <c r="O67" s="21" t="str">
        <f>IFERROR(__xludf.DUMMYFUNCTION("IFERROR((GOOGLEFINANCE(C67, ""price"") / INDEX(GOOGLEFINANCE(C67, ""price"", EDATE(TODAY(), -6), TODAY()), 2, 2)) - 1, """")"),"")</f>
        <v/>
      </c>
      <c r="P67" s="21" t="str">
        <f>IFERROR(__xludf.DUMMYFUNCTION("IFERROR((GOOGLEFINANCE(C67, ""price"") / INDEX(GOOGLEFINANCE(C67, ""price"", EDATE(TODAY(), -12), TODAY()), 2, 2)) - 1, """")"),"")</f>
        <v/>
      </c>
      <c r="Q67" s="6" t="str">
        <f>IFERROR(__xludf.DUMMYFUNCTION("AVERAGE(QUERY(GOOGLEFINANCE(C67, ""price"", TODAY()-80, TODAY()), ""SELECT Col2 WHERE Col2 IS NOT NULL ORDER BY Col1 DESC LIMIT 50"", 0))"),"#N/A")</f>
        <v>#N/A</v>
      </c>
      <c r="R67" s="24" t="str">
        <f>IFERROR(__xludf.DUMMYFUNCTION("IFERROR(
  LET(
    data, QUERY(GOOGLEFINANCE(C67,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GOOGLEFINANCE(C67, ""price"")) * 100,
    IF(calc=0, G67, calc)
  ), 
G67)"),"#N/A")</f>
        <v>#N/A</v>
      </c>
      <c r="S67" s="8" t="s">
        <v>15</v>
      </c>
      <c r="T67" s="26" t="str">
        <f>IFERROR(__xludf.DUMMYFUNCTION("IFERROR(TRANSPOSE(QUERY(IFERROR(SORT(GOOGLEFINANCE(C67, ""price"", WORKDAY(TODAY(), -40), TODAY()), 1, FALSE)), ""select Col2 where Col2 is not null limit 22 label Col2 ''"", 0)), """")"),"")</f>
        <v/>
      </c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8"/>
      <c r="AO67" s="28"/>
      <c r="AP67" s="29"/>
      <c r="AQ67" s="29" t="str">
        <f t="shared" ref="AQ67:BL67" si="70">T67/T$2</f>
        <v>#N/A</v>
      </c>
      <c r="AR67" s="29" t="str">
        <f t="shared" si="70"/>
        <v>#DIV/0!</v>
      </c>
      <c r="AS67" s="29" t="str">
        <f t="shared" si="70"/>
        <v>#DIV/0!</v>
      </c>
      <c r="AT67" s="29" t="str">
        <f t="shared" si="70"/>
        <v>#DIV/0!</v>
      </c>
      <c r="AU67" s="29" t="str">
        <f t="shared" si="70"/>
        <v>#DIV/0!</v>
      </c>
      <c r="AV67" s="29" t="str">
        <f t="shared" si="70"/>
        <v>#DIV/0!</v>
      </c>
      <c r="AW67" s="29" t="str">
        <f t="shared" si="70"/>
        <v>#DIV/0!</v>
      </c>
      <c r="AX67" s="29" t="str">
        <f t="shared" si="70"/>
        <v>#DIV/0!</v>
      </c>
      <c r="AY67" s="29" t="str">
        <f t="shared" si="70"/>
        <v>#DIV/0!</v>
      </c>
      <c r="AZ67" s="29" t="str">
        <f t="shared" si="70"/>
        <v>#DIV/0!</v>
      </c>
      <c r="BA67" s="29" t="str">
        <f t="shared" si="70"/>
        <v>#DIV/0!</v>
      </c>
      <c r="BB67" s="29" t="str">
        <f t="shared" si="70"/>
        <v>#DIV/0!</v>
      </c>
      <c r="BC67" s="29" t="str">
        <f t="shared" si="70"/>
        <v>#DIV/0!</v>
      </c>
      <c r="BD67" s="29" t="str">
        <f t="shared" si="70"/>
        <v>#DIV/0!</v>
      </c>
      <c r="BE67" s="29" t="str">
        <f t="shared" si="70"/>
        <v>#DIV/0!</v>
      </c>
      <c r="BF67" s="29" t="str">
        <f t="shared" si="70"/>
        <v>#DIV/0!</v>
      </c>
      <c r="BG67" s="29" t="str">
        <f t="shared" si="70"/>
        <v>#DIV/0!</v>
      </c>
      <c r="BH67" s="29" t="str">
        <f t="shared" si="70"/>
        <v>#DIV/0!</v>
      </c>
      <c r="BI67" s="29" t="str">
        <f t="shared" si="70"/>
        <v>#DIV/0!</v>
      </c>
      <c r="BJ67" s="29" t="str">
        <f t="shared" si="70"/>
        <v>#DIV/0!</v>
      </c>
      <c r="BK67" s="29" t="str">
        <f t="shared" si="70"/>
        <v>#DIV/0!</v>
      </c>
      <c r="BL67" s="29" t="str">
        <f t="shared" si="70"/>
        <v>#DIV/0!</v>
      </c>
      <c r="BM67" s="29" t="str">
        <f t="shared" si="3"/>
        <v>#DIV/0!</v>
      </c>
    </row>
    <row r="68">
      <c r="A68" s="16" t="str">
        <f>IFERROR(__xludf.DUMMYFUNCTION("IFERROR(SPARKLINE(SORT(MAP(TRANSPOSE(AQ68:BL68), LAMBDA(val, IF(ISNUMBER(val), PERCENTRANK(AQ68:BL68, val)+0.01, 0))), SEQUENCE(COLUMNS(AQ68:BL68)), FALSE), {""charttype"",""column""; ""color"",""chartreuse""; ""ymin"", 0; ""ymax"", 1.01; ""highcolor"", "&amp;"""darkgreen""; ""lowcolor"", ""red""}), """")"),"")</f>
        <v/>
      </c>
      <c r="B68" s="17" t="str">
        <f t="shared" si="4"/>
        <v/>
      </c>
      <c r="C68" s="45" t="s">
        <v>2879</v>
      </c>
      <c r="D68" s="30" t="str">
        <f>IFERROR(__xludf.DUMMYFUNCTION("IFERROR(GOOGLEFINANCE(C68, ""NAME""))"),"Ameren Corp")</f>
        <v>Ameren Corp</v>
      </c>
      <c r="E68" s="30" t="s">
        <v>2660</v>
      </c>
      <c r="F68" s="33" t="str">
        <f>IFERROR(__xludf.DUMMYFUNCTION("( (GOOGLEFINANCE(C68, ""price"") - Q68) / Q68 ) / (R68 / 100)"),"Loading...")</f>
        <v>Loading...</v>
      </c>
      <c r="G68" s="20" t="str">
        <f>IFERROR(__xludf.DUMMYFUNCTION("AVERAGE(ARRAYFORMULA(100 * (QUERY(GOOGLEFINANCE(C68, ""high"", TODAY()-40, TODAY()), ""SELECT Col2 WHERE Col2 IS NOT NULL ORDER BY Col1 DESC LIMIT 20"", 0) / QUERY(GOOGLEFINANCE(C68, ""low"", TODAY()-40, TODAY()), ""SELECT Col2 WHERE Col2 IS NOT NULL ORDE"&amp;"R BY Col1 DESC LIMIT 20"", 0) - 1)))"),"#N/A")</f>
        <v>#N/A</v>
      </c>
      <c r="H68" s="35" t="str">
        <f t="shared" si="6"/>
        <v>Liquid</v>
      </c>
      <c r="I68" s="35" t="str">
        <f t="shared" si="7"/>
        <v>RVol Required</v>
      </c>
      <c r="J68" s="37">
        <f>IFERROR(__xludf.DUMMYFUNCTION("IFERROR(
  IF(C68="""",, 
    IFERROR(
      GOOGLEFINANCE(C68, ""price"") * GOOGLEFINANCE(C68, ""volumeavg""), 
      GOOGLEFINANCE(C68, ""price"") * AVERAGE(QUERY(GOOGLEFINANCE(C68, ""volume"", TODAY()-40, TODAY()), ""SELECT Col2 WHERE Col2 IS NOT NULL "&amp;"ORDER BY Col1 DESC LIMIT 20"", 0))
    )
  ), 
"""")"),2.07298884E8)</f>
        <v>207298884</v>
      </c>
      <c r="K68" s="21">
        <f>IFERROR(__xludf.DUMMYFUNCTION("IFERROR(GOOGLEFINANCE(C68, ""changepct"") / 100, """")"),0.022400000000000003)</f>
        <v>0.0224</v>
      </c>
      <c r="L68" s="21" t="str">
        <f>IFERROR(__xludf.DUMMYFUNCTION("IFERROR((GOOGLEFINANCE(C68, ""price"") / INDEX(GOOGLEFINANCE(C68, ""price"", TODAY()-7, TODAY()), 2, 2)) - 1, """")"),"")</f>
        <v/>
      </c>
      <c r="M68" s="21" t="str">
        <f>IFERROR(__xludf.DUMMYFUNCTION("IFERROR((GOOGLEFINANCE(C68, ""price"") / INDEX(GOOGLEFINANCE(C68, ""price"", EDATE(TODAY(), -1), TODAY()), 2, 2)) - 1, """")"),"")</f>
        <v/>
      </c>
      <c r="N68" s="21" t="str">
        <f>IFERROR(__xludf.DUMMYFUNCTION("IFERROR((GOOGLEFINANCE(C68, ""price"") / INDEX(GOOGLEFINANCE(C68, ""price"", EDATE(TODAY(), -3), TODAY()), 2, 2)) - 1, """")"),"")</f>
        <v/>
      </c>
      <c r="O68" s="21" t="str">
        <f>IFERROR(__xludf.DUMMYFUNCTION("IFERROR((GOOGLEFINANCE(C68, ""price"") / INDEX(GOOGLEFINANCE(C68, ""price"", EDATE(TODAY(), -6), TODAY()), 2, 2)) - 1, """")"),"")</f>
        <v/>
      </c>
      <c r="P68" s="21" t="str">
        <f>IFERROR(__xludf.DUMMYFUNCTION("IFERROR((GOOGLEFINANCE(C68, ""price"") / INDEX(GOOGLEFINANCE(C68, ""price"", EDATE(TODAY(), -12), TODAY()), 2, 2)) - 1, """")"),"")</f>
        <v/>
      </c>
      <c r="Q68" s="6" t="str">
        <f>IFERROR(__xludf.DUMMYFUNCTION("AVERAGE(QUERY(GOOGLEFINANCE(C68, ""price"", TODAY()-80, TODAY()), ""SELECT Col2 WHERE Col2 IS NOT NULL ORDER BY Col1 DESC LIMIT 50"", 0))"),"#N/A")</f>
        <v>#N/A</v>
      </c>
      <c r="R68" s="24" t="str">
        <f>IFERROR(__xludf.DUMMYFUNCTION("IFERROR(
  LET(
    data, QUERY(GOOGLEFINANCE(C68,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GOOGLEFINANCE(C68, ""price"")) * 100,
    IF(calc=0, G68, calc)
  ), 
G68)"),"#N/A")</f>
        <v>#N/A</v>
      </c>
      <c r="S68" s="8" t="s">
        <v>15</v>
      </c>
      <c r="T68" s="26" t="str">
        <f>IFERROR(__xludf.DUMMYFUNCTION("IFERROR(TRANSPOSE(QUERY(IFERROR(SORT(GOOGLEFINANCE(C68, ""price"", WORKDAY(TODAY(), -40), TODAY()), 1, FALSE)), ""select Col2 where Col2 is not null limit 22 label Col2 ''"", 0)), """")"),"")</f>
        <v/>
      </c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8"/>
      <c r="AO68" s="28"/>
      <c r="AP68" s="29"/>
      <c r="AQ68" s="29" t="str">
        <f t="shared" ref="AQ68:BL68" si="71">T68/T$2</f>
        <v>#N/A</v>
      </c>
      <c r="AR68" s="29" t="str">
        <f t="shared" si="71"/>
        <v>#DIV/0!</v>
      </c>
      <c r="AS68" s="29" t="str">
        <f t="shared" si="71"/>
        <v>#DIV/0!</v>
      </c>
      <c r="AT68" s="29" t="str">
        <f t="shared" si="71"/>
        <v>#DIV/0!</v>
      </c>
      <c r="AU68" s="29" t="str">
        <f t="shared" si="71"/>
        <v>#DIV/0!</v>
      </c>
      <c r="AV68" s="29" t="str">
        <f t="shared" si="71"/>
        <v>#DIV/0!</v>
      </c>
      <c r="AW68" s="29" t="str">
        <f t="shared" si="71"/>
        <v>#DIV/0!</v>
      </c>
      <c r="AX68" s="29" t="str">
        <f t="shared" si="71"/>
        <v>#DIV/0!</v>
      </c>
      <c r="AY68" s="29" t="str">
        <f t="shared" si="71"/>
        <v>#DIV/0!</v>
      </c>
      <c r="AZ68" s="29" t="str">
        <f t="shared" si="71"/>
        <v>#DIV/0!</v>
      </c>
      <c r="BA68" s="29" t="str">
        <f t="shared" si="71"/>
        <v>#DIV/0!</v>
      </c>
      <c r="BB68" s="29" t="str">
        <f t="shared" si="71"/>
        <v>#DIV/0!</v>
      </c>
      <c r="BC68" s="29" t="str">
        <f t="shared" si="71"/>
        <v>#DIV/0!</v>
      </c>
      <c r="BD68" s="29" t="str">
        <f t="shared" si="71"/>
        <v>#DIV/0!</v>
      </c>
      <c r="BE68" s="29" t="str">
        <f t="shared" si="71"/>
        <v>#DIV/0!</v>
      </c>
      <c r="BF68" s="29" t="str">
        <f t="shared" si="71"/>
        <v>#DIV/0!</v>
      </c>
      <c r="BG68" s="29" t="str">
        <f t="shared" si="71"/>
        <v>#DIV/0!</v>
      </c>
      <c r="BH68" s="29" t="str">
        <f t="shared" si="71"/>
        <v>#DIV/0!</v>
      </c>
      <c r="BI68" s="29" t="str">
        <f t="shared" si="71"/>
        <v>#DIV/0!</v>
      </c>
      <c r="BJ68" s="29" t="str">
        <f t="shared" si="71"/>
        <v>#DIV/0!</v>
      </c>
      <c r="BK68" s="29" t="str">
        <f t="shared" si="71"/>
        <v>#DIV/0!</v>
      </c>
      <c r="BL68" s="29" t="str">
        <f t="shared" si="71"/>
        <v>#DIV/0!</v>
      </c>
      <c r="BM68" s="29" t="str">
        <f t="shared" si="3"/>
        <v>#DIV/0!</v>
      </c>
    </row>
    <row r="69">
      <c r="A69" s="16" t="str">
        <f>IFERROR(__xludf.DUMMYFUNCTION("IFERROR(SPARKLINE(SORT(MAP(TRANSPOSE(AQ69:BL69), LAMBDA(val, IF(ISNUMBER(val), PERCENTRANK(AQ69:BL69, val)+0.01, 0))), SEQUENCE(COLUMNS(AQ69:BL69)), FALSE), {""charttype"",""column""; ""color"",""chartreuse""; ""ymin"", 0; ""ymax"", 1.01; ""highcolor"", "&amp;"""darkgreen""; ""lowcolor"", ""red""}), """")"),"")</f>
        <v/>
      </c>
      <c r="B69" s="17" t="str">
        <f t="shared" si="4"/>
        <v/>
      </c>
      <c r="C69" s="45" t="s">
        <v>2884</v>
      </c>
      <c r="D69" s="30" t="str">
        <f>IFERROR(__xludf.DUMMYFUNCTION("IFERROR(GOOGLEFINANCE(C69, ""NAME""))"),"Enel Chile SA - ADR")</f>
        <v>Enel Chile SA - ADR</v>
      </c>
      <c r="E69" s="30" t="s">
        <v>2660</v>
      </c>
      <c r="F69" s="33" t="str">
        <f>IFERROR(__xludf.DUMMYFUNCTION("( (GOOGLEFINANCE(C69, ""price"") - Q69) / Q69 ) / (R69 / 100)"),"Loading...")</f>
        <v>Loading...</v>
      </c>
      <c r="G69" s="20" t="str">
        <f>IFERROR(__xludf.DUMMYFUNCTION("AVERAGE(ARRAYFORMULA(100 * (QUERY(GOOGLEFINANCE(C69, ""high"", TODAY()-40, TODAY()), ""SELECT Col2 WHERE Col2 IS NOT NULL ORDER BY Col1 DESC LIMIT 20"", 0) / QUERY(GOOGLEFINANCE(C69, ""low"", TODAY()-40, TODAY()), ""SELECT Col2 WHERE Col2 IS NOT NULL ORDE"&amp;"R BY Col1 DESC LIMIT 20"", 0) - 1)))"),"#N/A")</f>
        <v>#N/A</v>
      </c>
      <c r="H69" s="35" t="str">
        <f t="shared" si="6"/>
        <v>Illiquid</v>
      </c>
      <c r="I69" s="35" t="str">
        <f t="shared" si="7"/>
        <v>RVol Required</v>
      </c>
      <c r="J69" s="37">
        <f>IFERROR(__xludf.DUMMYFUNCTION("IFERROR(
  IF(C69="""",, 
    IFERROR(
      GOOGLEFINANCE(C69, ""price"") * GOOGLEFINANCE(C69, ""volumeavg""), 
      GOOGLEFINANCE(C69, ""price"") * AVERAGE(QUERY(GOOGLEFINANCE(C69, ""volume"", TODAY()-40, TODAY()), ""SELECT Col2 WHERE Col2 IS NOT NULL "&amp;"ORDER BY Col1 DESC LIMIT 20"", 0))
    )
  ), 
"""")"),2777951.14)</f>
        <v>2777951.14</v>
      </c>
      <c r="K69" s="21">
        <f>IFERROR(__xludf.DUMMYFUNCTION("IFERROR(GOOGLEFINANCE(C69, ""changepct"") / 100, """")"),0.0183)</f>
        <v>0.0183</v>
      </c>
      <c r="L69" s="21" t="str">
        <f>IFERROR(__xludf.DUMMYFUNCTION("IFERROR((GOOGLEFINANCE(C69, ""price"") / INDEX(GOOGLEFINANCE(C69, ""price"", TODAY()-7, TODAY()), 2, 2)) - 1, """")"),"")</f>
        <v/>
      </c>
      <c r="M69" s="21" t="str">
        <f>IFERROR(__xludf.DUMMYFUNCTION("IFERROR((GOOGLEFINANCE(C69, ""price"") / INDEX(GOOGLEFINANCE(C69, ""price"", EDATE(TODAY(), -1), TODAY()), 2, 2)) - 1, """")"),"")</f>
        <v/>
      </c>
      <c r="N69" s="21" t="str">
        <f>IFERROR(__xludf.DUMMYFUNCTION("IFERROR((GOOGLEFINANCE(C69, ""price"") / INDEX(GOOGLEFINANCE(C69, ""price"", EDATE(TODAY(), -3), TODAY()), 2, 2)) - 1, """")"),"")</f>
        <v/>
      </c>
      <c r="O69" s="21" t="str">
        <f>IFERROR(__xludf.DUMMYFUNCTION("IFERROR((GOOGLEFINANCE(C69, ""price"") / INDEX(GOOGLEFINANCE(C69, ""price"", EDATE(TODAY(), -6), TODAY()), 2, 2)) - 1, """")"),"")</f>
        <v/>
      </c>
      <c r="P69" s="21" t="str">
        <f>IFERROR(__xludf.DUMMYFUNCTION("IFERROR((GOOGLEFINANCE(C69, ""price"") / INDEX(GOOGLEFINANCE(C69, ""price"", EDATE(TODAY(), -12), TODAY()), 2, 2)) - 1, """")"),"")</f>
        <v/>
      </c>
      <c r="Q69" s="6" t="str">
        <f>IFERROR(__xludf.DUMMYFUNCTION("AVERAGE(QUERY(GOOGLEFINANCE(C69, ""price"", TODAY()-80, TODAY()), ""SELECT Col2 WHERE Col2 IS NOT NULL ORDER BY Col1 DESC LIMIT 50"", 0))"),"#N/A")</f>
        <v>#N/A</v>
      </c>
      <c r="R69" s="24" t="str">
        <f>IFERROR(__xludf.DUMMYFUNCTION("IFERROR(
  LET(
    data, QUERY(GOOGLEFINANCE(C69,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GOOGLEFINANCE(C69, ""price"")) * 100,
    IF(calc=0, G69, calc)
  ), 
G69)"),"#N/A")</f>
        <v>#N/A</v>
      </c>
      <c r="S69" s="8" t="s">
        <v>15</v>
      </c>
      <c r="T69" s="26" t="str">
        <f>IFERROR(__xludf.DUMMYFUNCTION("IFERROR(TRANSPOSE(QUERY(IFERROR(SORT(GOOGLEFINANCE(C69, ""price"", WORKDAY(TODAY(), -40), TODAY()), 1, FALSE)), ""select Col2 where Col2 is not null limit 22 label Col2 ''"", 0)), """")"),"")</f>
        <v/>
      </c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8"/>
      <c r="AO69" s="28"/>
      <c r="AP69" s="29"/>
      <c r="AQ69" s="29" t="str">
        <f t="shared" ref="AQ69:BL69" si="72">T69/T$2</f>
        <v>#N/A</v>
      </c>
      <c r="AR69" s="29" t="str">
        <f t="shared" si="72"/>
        <v>#DIV/0!</v>
      </c>
      <c r="AS69" s="29" t="str">
        <f t="shared" si="72"/>
        <v>#DIV/0!</v>
      </c>
      <c r="AT69" s="29" t="str">
        <f t="shared" si="72"/>
        <v>#DIV/0!</v>
      </c>
      <c r="AU69" s="29" t="str">
        <f t="shared" si="72"/>
        <v>#DIV/0!</v>
      </c>
      <c r="AV69" s="29" t="str">
        <f t="shared" si="72"/>
        <v>#DIV/0!</v>
      </c>
      <c r="AW69" s="29" t="str">
        <f t="shared" si="72"/>
        <v>#DIV/0!</v>
      </c>
      <c r="AX69" s="29" t="str">
        <f t="shared" si="72"/>
        <v>#DIV/0!</v>
      </c>
      <c r="AY69" s="29" t="str">
        <f t="shared" si="72"/>
        <v>#DIV/0!</v>
      </c>
      <c r="AZ69" s="29" t="str">
        <f t="shared" si="72"/>
        <v>#DIV/0!</v>
      </c>
      <c r="BA69" s="29" t="str">
        <f t="shared" si="72"/>
        <v>#DIV/0!</v>
      </c>
      <c r="BB69" s="29" t="str">
        <f t="shared" si="72"/>
        <v>#DIV/0!</v>
      </c>
      <c r="BC69" s="29" t="str">
        <f t="shared" si="72"/>
        <v>#DIV/0!</v>
      </c>
      <c r="BD69" s="29" t="str">
        <f t="shared" si="72"/>
        <v>#DIV/0!</v>
      </c>
      <c r="BE69" s="29" t="str">
        <f t="shared" si="72"/>
        <v>#DIV/0!</v>
      </c>
      <c r="BF69" s="29" t="str">
        <f t="shared" si="72"/>
        <v>#DIV/0!</v>
      </c>
      <c r="BG69" s="29" t="str">
        <f t="shared" si="72"/>
        <v>#DIV/0!</v>
      </c>
      <c r="BH69" s="29" t="str">
        <f t="shared" si="72"/>
        <v>#DIV/0!</v>
      </c>
      <c r="BI69" s="29" t="str">
        <f t="shared" si="72"/>
        <v>#DIV/0!</v>
      </c>
      <c r="BJ69" s="29" t="str">
        <f t="shared" si="72"/>
        <v>#DIV/0!</v>
      </c>
      <c r="BK69" s="29" t="str">
        <f t="shared" si="72"/>
        <v>#DIV/0!</v>
      </c>
      <c r="BL69" s="29" t="str">
        <f t="shared" si="72"/>
        <v>#DIV/0!</v>
      </c>
      <c r="BM69" s="29" t="str">
        <f t="shared" si="3"/>
        <v>#DIV/0!</v>
      </c>
    </row>
    <row r="70">
      <c r="A70" s="16" t="str">
        <f>IFERROR(__xludf.DUMMYFUNCTION("IFERROR(SPARKLINE(SORT(MAP(TRANSPOSE(AQ70:BL70), LAMBDA(val, IF(ISNUMBER(val), PERCENTRANK(AQ70:BL70, val)+0.01, 0))), SEQUENCE(COLUMNS(AQ70:BL70)), FALSE), {""charttype"",""column""; ""color"",""chartreuse""; ""ymin"", 0; ""ymax"", 1.01; ""highcolor"", "&amp;"""darkgreen""; ""lowcolor"", ""red""}), """")"),"")</f>
        <v/>
      </c>
      <c r="B70" s="17" t="str">
        <f t="shared" si="4"/>
        <v/>
      </c>
      <c r="C70" s="45" t="s">
        <v>2888</v>
      </c>
      <c r="D70" s="30" t="str">
        <f>IFERROR(__xludf.DUMMYFUNCTION("IFERROR(GOOGLEFINANCE(C70, ""NAME""))"),"CenterPoint Energy Inc")</f>
        <v>CenterPoint Energy Inc</v>
      </c>
      <c r="E70" s="30" t="s">
        <v>2660</v>
      </c>
      <c r="F70" s="33" t="str">
        <f>IFERROR(__xludf.DUMMYFUNCTION("( (GOOGLEFINANCE(C70, ""price"") - Q70) / Q70 ) / (R70 / 100)"),"Loading...")</f>
        <v>Loading...</v>
      </c>
      <c r="G70" s="20" t="str">
        <f>IFERROR(__xludf.DUMMYFUNCTION("AVERAGE(ARRAYFORMULA(100 * (QUERY(GOOGLEFINANCE(C70, ""high"", TODAY()-40, TODAY()), ""SELECT Col2 WHERE Col2 IS NOT NULL ORDER BY Col1 DESC LIMIT 20"", 0) / QUERY(GOOGLEFINANCE(C70, ""low"", TODAY()-40, TODAY()), ""SELECT Col2 WHERE Col2 IS NOT NULL ORDE"&amp;"R BY Col1 DESC LIMIT 20"", 0) - 1)))"),"#N/A")</f>
        <v>#N/A</v>
      </c>
      <c r="H70" s="35" t="str">
        <f t="shared" si="6"/>
        <v>Liquid</v>
      </c>
      <c r="I70" s="35" t="str">
        <f t="shared" si="7"/>
        <v>RVol Required</v>
      </c>
      <c r="J70" s="37">
        <f>IFERROR(__xludf.DUMMYFUNCTION("IFERROR(
  IF(C70="""",, 
    IFERROR(
      GOOGLEFINANCE(C70, ""price"") * GOOGLEFINANCE(C70, ""volumeavg""), 
      GOOGLEFINANCE(C70, ""price"") * AVERAGE(QUERY(GOOGLEFINANCE(C70, ""volume"", TODAY()-40, TODAY()), ""SELECT Col2 WHERE Col2 IS NOT NULL "&amp;"ORDER BY Col1 DESC LIMIT 20"", 0))
    )
  ), 
"""")"),2.711428465E8)</f>
        <v>271142846.5</v>
      </c>
      <c r="K70" s="21">
        <f>IFERROR(__xludf.DUMMYFUNCTION("IFERROR(GOOGLEFINANCE(C70, ""changepct"") / 100, """")"),0.018799999999999997)</f>
        <v>0.0188</v>
      </c>
      <c r="L70" s="21" t="str">
        <f>IFERROR(__xludf.DUMMYFUNCTION("IFERROR((GOOGLEFINANCE(C70, ""price"") / INDEX(GOOGLEFINANCE(C70, ""price"", TODAY()-7, TODAY()), 2, 2)) - 1, """")"),"")</f>
        <v/>
      </c>
      <c r="M70" s="21" t="str">
        <f>IFERROR(__xludf.DUMMYFUNCTION("IFERROR((GOOGLEFINANCE(C70, ""price"") / INDEX(GOOGLEFINANCE(C70, ""price"", EDATE(TODAY(), -1), TODAY()), 2, 2)) - 1, """")"),"")</f>
        <v/>
      </c>
      <c r="N70" s="21" t="str">
        <f>IFERROR(__xludf.DUMMYFUNCTION("IFERROR((GOOGLEFINANCE(C70, ""price"") / INDEX(GOOGLEFINANCE(C70, ""price"", EDATE(TODAY(), -3), TODAY()), 2, 2)) - 1, """")"),"")</f>
        <v/>
      </c>
      <c r="O70" s="21" t="str">
        <f>IFERROR(__xludf.DUMMYFUNCTION("IFERROR((GOOGLEFINANCE(C70, ""price"") / INDEX(GOOGLEFINANCE(C70, ""price"", EDATE(TODAY(), -6), TODAY()), 2, 2)) - 1, """")"),"")</f>
        <v/>
      </c>
      <c r="P70" s="21" t="str">
        <f>IFERROR(__xludf.DUMMYFUNCTION("IFERROR((GOOGLEFINANCE(C70, ""price"") / INDEX(GOOGLEFINANCE(C70, ""price"", EDATE(TODAY(), -12), TODAY()), 2, 2)) - 1, """")"),"")</f>
        <v/>
      </c>
      <c r="Q70" s="6" t="str">
        <f>IFERROR(__xludf.DUMMYFUNCTION("AVERAGE(QUERY(GOOGLEFINANCE(C70, ""price"", TODAY()-80, TODAY()), ""SELECT Col2 WHERE Col2 IS NOT NULL ORDER BY Col1 DESC LIMIT 50"", 0))"),"#N/A")</f>
        <v>#N/A</v>
      </c>
      <c r="R70" s="24" t="str">
        <f>IFERROR(__xludf.DUMMYFUNCTION("IFERROR(
  LET(
    data, QUERY(GOOGLEFINANCE(C70,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GOOGLEFINANCE(C70, ""price"")) * 100,
    IF(calc=0, G70, calc)
  ), 
G70)"),"#N/A")</f>
        <v>#N/A</v>
      </c>
      <c r="S70" s="8" t="s">
        <v>15</v>
      </c>
      <c r="T70" s="26" t="str">
        <f>IFERROR(__xludf.DUMMYFUNCTION("IFERROR(TRANSPOSE(QUERY(IFERROR(SORT(GOOGLEFINANCE(C70, ""price"", WORKDAY(TODAY(), -40), TODAY()), 1, FALSE)), ""select Col2 where Col2 is not null limit 22 label Col2 ''"", 0)), """")"),"")</f>
        <v/>
      </c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8"/>
      <c r="AO70" s="28"/>
      <c r="AP70" s="29"/>
      <c r="AQ70" s="29" t="str">
        <f t="shared" ref="AQ70:BL70" si="73">T70/T$2</f>
        <v>#N/A</v>
      </c>
      <c r="AR70" s="29" t="str">
        <f t="shared" si="73"/>
        <v>#DIV/0!</v>
      </c>
      <c r="AS70" s="29" t="str">
        <f t="shared" si="73"/>
        <v>#DIV/0!</v>
      </c>
      <c r="AT70" s="29" t="str">
        <f t="shared" si="73"/>
        <v>#DIV/0!</v>
      </c>
      <c r="AU70" s="29" t="str">
        <f t="shared" si="73"/>
        <v>#DIV/0!</v>
      </c>
      <c r="AV70" s="29" t="str">
        <f t="shared" si="73"/>
        <v>#DIV/0!</v>
      </c>
      <c r="AW70" s="29" t="str">
        <f t="shared" si="73"/>
        <v>#DIV/0!</v>
      </c>
      <c r="AX70" s="29" t="str">
        <f t="shared" si="73"/>
        <v>#DIV/0!</v>
      </c>
      <c r="AY70" s="29" t="str">
        <f t="shared" si="73"/>
        <v>#DIV/0!</v>
      </c>
      <c r="AZ70" s="29" t="str">
        <f t="shared" si="73"/>
        <v>#DIV/0!</v>
      </c>
      <c r="BA70" s="29" t="str">
        <f t="shared" si="73"/>
        <v>#DIV/0!</v>
      </c>
      <c r="BB70" s="29" t="str">
        <f t="shared" si="73"/>
        <v>#DIV/0!</v>
      </c>
      <c r="BC70" s="29" t="str">
        <f t="shared" si="73"/>
        <v>#DIV/0!</v>
      </c>
      <c r="BD70" s="29" t="str">
        <f t="shared" si="73"/>
        <v>#DIV/0!</v>
      </c>
      <c r="BE70" s="29" t="str">
        <f t="shared" si="73"/>
        <v>#DIV/0!</v>
      </c>
      <c r="BF70" s="29" t="str">
        <f t="shared" si="73"/>
        <v>#DIV/0!</v>
      </c>
      <c r="BG70" s="29" t="str">
        <f t="shared" si="73"/>
        <v>#DIV/0!</v>
      </c>
      <c r="BH70" s="29" t="str">
        <f t="shared" si="73"/>
        <v>#DIV/0!</v>
      </c>
      <c r="BI70" s="29" t="str">
        <f t="shared" si="73"/>
        <v>#DIV/0!</v>
      </c>
      <c r="BJ70" s="29" t="str">
        <f t="shared" si="73"/>
        <v>#DIV/0!</v>
      </c>
      <c r="BK70" s="29" t="str">
        <f t="shared" si="73"/>
        <v>#DIV/0!</v>
      </c>
      <c r="BL70" s="29" t="str">
        <f t="shared" si="73"/>
        <v>#DIV/0!</v>
      </c>
      <c r="BM70" s="29" t="str">
        <f t="shared" si="3"/>
        <v>#DIV/0!</v>
      </c>
    </row>
    <row r="71">
      <c r="A71" s="16" t="str">
        <f>IFERROR(__xludf.DUMMYFUNCTION("IFERROR(SPARKLINE(SORT(MAP(TRANSPOSE(AQ71:BL71), LAMBDA(val, IF(ISNUMBER(val), PERCENTRANK(AQ71:BL71, val)+0.01, 0))), SEQUENCE(COLUMNS(AQ71:BL71)), FALSE), {""charttype"",""column""; ""color"",""chartreuse""; ""ymin"", 0; ""ymax"", 1.01; ""highcolor"", "&amp;"""darkgreen""; ""lowcolor"", ""red""}), """")"),"")</f>
        <v/>
      </c>
      <c r="B71" s="17" t="str">
        <f t="shared" si="4"/>
        <v/>
      </c>
      <c r="C71" s="45" t="s">
        <v>2892</v>
      </c>
      <c r="D71" s="30" t="str">
        <f>IFERROR(__xludf.DUMMYFUNCTION("IFERROR(GOOGLEFINANCE(C71, ""NAME""))"),"NorthWestern Energy Group Inc")</f>
        <v>NorthWestern Energy Group Inc</v>
      </c>
      <c r="E71" s="30" t="s">
        <v>2660</v>
      </c>
      <c r="F71" s="33" t="str">
        <f>IFERROR(__xludf.DUMMYFUNCTION("( (GOOGLEFINANCE(C71, ""price"") - Q71) / Q71 ) / (R71 / 100)"),"Loading...")</f>
        <v>Loading...</v>
      </c>
      <c r="G71" s="20" t="str">
        <f>IFERROR(__xludf.DUMMYFUNCTION("AVERAGE(ARRAYFORMULA(100 * (QUERY(GOOGLEFINANCE(C71, ""high"", TODAY()-40, TODAY()), ""SELECT Col2 WHERE Col2 IS NOT NULL ORDER BY Col1 DESC LIMIT 20"", 0) / QUERY(GOOGLEFINANCE(C71, ""low"", TODAY()-40, TODAY()), ""SELECT Col2 WHERE Col2 IS NOT NULL ORDE"&amp;"R BY Col1 DESC LIMIT 20"", 0) - 1)))"),"#N/A")</f>
        <v>#N/A</v>
      </c>
      <c r="H71" s="35" t="str">
        <f t="shared" si="6"/>
        <v>Illiquid</v>
      </c>
      <c r="I71" s="35" t="str">
        <f t="shared" si="7"/>
        <v>RVol Required</v>
      </c>
      <c r="J71" s="37">
        <f>IFERROR(__xludf.DUMMYFUNCTION("IFERROR(
  IF(C71="""",, 
    IFERROR(
      GOOGLEFINANCE(C71, ""price"") * GOOGLEFINANCE(C71, ""volumeavg""), 
      GOOGLEFINANCE(C71, ""price"") * AVERAGE(QUERY(GOOGLEFINANCE(C71, ""volume"", TODAY()-40, TODAY()), ""SELECT Col2 WHERE Col2 IS NOT NULL "&amp;"ORDER BY Col1 DESC LIMIT 20"", 0))
    )
  ), 
"""")"),4.063079328E7)</f>
        <v>40630793.28</v>
      </c>
      <c r="K71" s="21">
        <f>IFERROR(__xludf.DUMMYFUNCTION("IFERROR(GOOGLEFINANCE(C71, ""changepct"") / 100, """")"),0.0118)</f>
        <v>0.0118</v>
      </c>
      <c r="L71" s="21" t="str">
        <f>IFERROR(__xludf.DUMMYFUNCTION("IFERROR((GOOGLEFINANCE(C71, ""price"") / INDEX(GOOGLEFINANCE(C71, ""price"", TODAY()-7, TODAY()), 2, 2)) - 1, """")"),"")</f>
        <v/>
      </c>
      <c r="M71" s="21" t="str">
        <f>IFERROR(__xludf.DUMMYFUNCTION("IFERROR((GOOGLEFINANCE(C71, ""price"") / INDEX(GOOGLEFINANCE(C71, ""price"", EDATE(TODAY(), -1), TODAY()), 2, 2)) - 1, """")"),"")</f>
        <v/>
      </c>
      <c r="N71" s="21" t="str">
        <f>IFERROR(__xludf.DUMMYFUNCTION("IFERROR((GOOGLEFINANCE(C71, ""price"") / INDEX(GOOGLEFINANCE(C71, ""price"", EDATE(TODAY(), -3), TODAY()), 2, 2)) - 1, """")"),"")</f>
        <v/>
      </c>
      <c r="O71" s="21" t="str">
        <f>IFERROR(__xludf.DUMMYFUNCTION("IFERROR((GOOGLEFINANCE(C71, ""price"") / INDEX(GOOGLEFINANCE(C71, ""price"", EDATE(TODAY(), -6), TODAY()), 2, 2)) - 1, """")"),"")</f>
        <v/>
      </c>
      <c r="P71" s="21" t="str">
        <f>IFERROR(__xludf.DUMMYFUNCTION("IFERROR((GOOGLEFINANCE(C71, ""price"") / INDEX(GOOGLEFINANCE(C71, ""price"", EDATE(TODAY(), -12), TODAY()), 2, 2)) - 1, """")"),"")</f>
        <v/>
      </c>
      <c r="Q71" s="6" t="str">
        <f>IFERROR(__xludf.DUMMYFUNCTION("AVERAGE(QUERY(GOOGLEFINANCE(C71, ""price"", TODAY()-80, TODAY()), ""SELECT Col2 WHERE Col2 IS NOT NULL ORDER BY Col1 DESC LIMIT 50"", 0))"),"#N/A")</f>
        <v>#N/A</v>
      </c>
      <c r="R71" s="24" t="str">
        <f>IFERROR(__xludf.DUMMYFUNCTION("IFERROR(
  LET(
    data, QUERY(GOOGLEFINANCE(C71,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GOOGLEFINANCE(C71, ""price"")) * 100,
    IF(calc=0, G71, calc)
  ), 
G71)"),"#N/A")</f>
        <v>#N/A</v>
      </c>
      <c r="S71" s="8" t="s">
        <v>15</v>
      </c>
      <c r="T71" s="26" t="str">
        <f>IFERROR(__xludf.DUMMYFUNCTION("IFERROR(TRANSPOSE(QUERY(IFERROR(SORT(GOOGLEFINANCE(C71, ""price"", WORKDAY(TODAY(), -40), TODAY()), 1, FALSE)), ""select Col2 where Col2 is not null limit 22 label Col2 ''"", 0)), """")"),"")</f>
        <v/>
      </c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8"/>
      <c r="AO71" s="28"/>
      <c r="AP71" s="29"/>
      <c r="AQ71" s="29" t="str">
        <f t="shared" ref="AQ71:BL71" si="74">T71/T$2</f>
        <v>#N/A</v>
      </c>
      <c r="AR71" s="29" t="str">
        <f t="shared" si="74"/>
        <v>#DIV/0!</v>
      </c>
      <c r="AS71" s="29" t="str">
        <f t="shared" si="74"/>
        <v>#DIV/0!</v>
      </c>
      <c r="AT71" s="29" t="str">
        <f t="shared" si="74"/>
        <v>#DIV/0!</v>
      </c>
      <c r="AU71" s="29" t="str">
        <f t="shared" si="74"/>
        <v>#DIV/0!</v>
      </c>
      <c r="AV71" s="29" t="str">
        <f t="shared" si="74"/>
        <v>#DIV/0!</v>
      </c>
      <c r="AW71" s="29" t="str">
        <f t="shared" si="74"/>
        <v>#DIV/0!</v>
      </c>
      <c r="AX71" s="29" t="str">
        <f t="shared" si="74"/>
        <v>#DIV/0!</v>
      </c>
      <c r="AY71" s="29" t="str">
        <f t="shared" si="74"/>
        <v>#DIV/0!</v>
      </c>
      <c r="AZ71" s="29" t="str">
        <f t="shared" si="74"/>
        <v>#DIV/0!</v>
      </c>
      <c r="BA71" s="29" t="str">
        <f t="shared" si="74"/>
        <v>#DIV/0!</v>
      </c>
      <c r="BB71" s="29" t="str">
        <f t="shared" si="74"/>
        <v>#DIV/0!</v>
      </c>
      <c r="BC71" s="29" t="str">
        <f t="shared" si="74"/>
        <v>#DIV/0!</v>
      </c>
      <c r="BD71" s="29" t="str">
        <f t="shared" si="74"/>
        <v>#DIV/0!</v>
      </c>
      <c r="BE71" s="29" t="str">
        <f t="shared" si="74"/>
        <v>#DIV/0!</v>
      </c>
      <c r="BF71" s="29" t="str">
        <f t="shared" si="74"/>
        <v>#DIV/0!</v>
      </c>
      <c r="BG71" s="29" t="str">
        <f t="shared" si="74"/>
        <v>#DIV/0!</v>
      </c>
      <c r="BH71" s="29" t="str">
        <f t="shared" si="74"/>
        <v>#DIV/0!</v>
      </c>
      <c r="BI71" s="29" t="str">
        <f t="shared" si="74"/>
        <v>#DIV/0!</v>
      </c>
      <c r="BJ71" s="29" t="str">
        <f t="shared" si="74"/>
        <v>#DIV/0!</v>
      </c>
      <c r="BK71" s="29" t="str">
        <f t="shared" si="74"/>
        <v>#DIV/0!</v>
      </c>
      <c r="BL71" s="29" t="str">
        <f t="shared" si="74"/>
        <v>#DIV/0!</v>
      </c>
      <c r="BM71" s="29" t="str">
        <f t="shared" si="3"/>
        <v>#DIV/0!</v>
      </c>
    </row>
    <row r="72">
      <c r="A72" s="16" t="str">
        <f>IFERROR(__xludf.DUMMYFUNCTION("IFERROR(SPARKLINE(SORT(MAP(TRANSPOSE(AQ72:BL72), LAMBDA(val, IF(ISNUMBER(val), PERCENTRANK(AQ72:BL72, val)+0.01, 0))), SEQUENCE(COLUMNS(AQ72:BL72)), FALSE), {""charttype"",""column""; ""color"",""chartreuse""; ""ymin"", 0; ""ymax"", 1.01; ""highcolor"", "&amp;"""darkgreen""; ""lowcolor"", ""red""}), """")"),"")</f>
        <v/>
      </c>
      <c r="B72" s="17" t="str">
        <f t="shared" si="4"/>
        <v/>
      </c>
      <c r="C72" s="45" t="s">
        <v>2896</v>
      </c>
      <c r="D72" s="30" t="str">
        <f>IFERROR(__xludf.DUMMYFUNCTION("IFERROR(GOOGLEFINANCE(C72, ""NAME""))"),"Black Hills Corp")</f>
        <v>Black Hills Corp</v>
      </c>
      <c r="E72" s="30" t="s">
        <v>2651</v>
      </c>
      <c r="F72" s="33" t="str">
        <f>IFERROR(__xludf.DUMMYFUNCTION("( (GOOGLEFINANCE(C72, ""price"") - Q72) / Q72 ) / (R72 / 100)"),"Loading...")</f>
        <v>Loading...</v>
      </c>
      <c r="G72" s="20" t="str">
        <f>IFERROR(__xludf.DUMMYFUNCTION("AVERAGE(ARRAYFORMULA(100 * (QUERY(GOOGLEFINANCE(C72, ""high"", TODAY()-40, TODAY()), ""SELECT Col2 WHERE Col2 IS NOT NULL ORDER BY Col1 DESC LIMIT 20"", 0) / QUERY(GOOGLEFINANCE(C72, ""low"", TODAY()-40, TODAY()), ""SELECT Col2 WHERE Col2 IS NOT NULL ORDE"&amp;"R BY Col1 DESC LIMIT 20"", 0) - 1)))"),"#N/A")</f>
        <v>#N/A</v>
      </c>
      <c r="H72" s="35" t="str">
        <f t="shared" si="6"/>
        <v>Liquid</v>
      </c>
      <c r="I72" s="35" t="str">
        <f t="shared" si="7"/>
        <v>RVol Required</v>
      </c>
      <c r="J72" s="37">
        <f>IFERROR(__xludf.DUMMYFUNCTION("IFERROR(
  IF(C72="""",, 
    IFERROR(
      GOOGLEFINANCE(C72, ""price"") * GOOGLEFINANCE(C72, ""volumeavg""), 
      GOOGLEFINANCE(C72, ""price"") * AVERAGE(QUERY(GOOGLEFINANCE(C72, ""volume"", TODAY()-40, TODAY()), ""SELECT Col2 WHERE Col2 IS NOT NULL "&amp;"ORDER BY Col1 DESC LIMIT 20"", 0))
    )
  ), 
"""")"),9.668391774E7)</f>
        <v>96683917.74</v>
      </c>
      <c r="K72" s="21">
        <f>IFERROR(__xludf.DUMMYFUNCTION("IFERROR(GOOGLEFINANCE(C72, ""changepct"") / 100, """")"),0.01)</f>
        <v>0.01</v>
      </c>
      <c r="L72" s="21" t="str">
        <f>IFERROR(__xludf.DUMMYFUNCTION("IFERROR((GOOGLEFINANCE(C72, ""price"") / INDEX(GOOGLEFINANCE(C72, ""price"", TODAY()-7, TODAY()), 2, 2)) - 1, """")"),"")</f>
        <v/>
      </c>
      <c r="M72" s="21" t="str">
        <f>IFERROR(__xludf.DUMMYFUNCTION("IFERROR((GOOGLEFINANCE(C72, ""price"") / INDEX(GOOGLEFINANCE(C72, ""price"", EDATE(TODAY(), -1), TODAY()), 2, 2)) - 1, """")"),"")</f>
        <v/>
      </c>
      <c r="N72" s="21" t="str">
        <f>IFERROR(__xludf.DUMMYFUNCTION("IFERROR((GOOGLEFINANCE(C72, ""price"") / INDEX(GOOGLEFINANCE(C72, ""price"", EDATE(TODAY(), -3), TODAY()), 2, 2)) - 1, """")"),"")</f>
        <v/>
      </c>
      <c r="O72" s="21" t="str">
        <f>IFERROR(__xludf.DUMMYFUNCTION("IFERROR((GOOGLEFINANCE(C72, ""price"") / INDEX(GOOGLEFINANCE(C72, ""price"", EDATE(TODAY(), -6), TODAY()), 2, 2)) - 1, """")"),"")</f>
        <v/>
      </c>
      <c r="P72" s="21" t="str">
        <f>IFERROR(__xludf.DUMMYFUNCTION("IFERROR((GOOGLEFINANCE(C72, ""price"") / INDEX(GOOGLEFINANCE(C72, ""price"", EDATE(TODAY(), -12), TODAY()), 2, 2)) - 1, """")"),"")</f>
        <v/>
      </c>
      <c r="Q72" s="6" t="str">
        <f>IFERROR(__xludf.DUMMYFUNCTION("AVERAGE(QUERY(GOOGLEFINANCE(C72, ""price"", TODAY()-80, TODAY()), ""SELECT Col2 WHERE Col2 IS NOT NULL ORDER BY Col1 DESC LIMIT 50"", 0))"),"#N/A")</f>
        <v>#N/A</v>
      </c>
      <c r="R72" s="24" t="str">
        <f>IFERROR(__xludf.DUMMYFUNCTION("IFERROR(
  LET(
    data, QUERY(GOOGLEFINANCE(C72,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GOOGLEFINANCE(C72, ""price"")) * 100,
    IF(calc=0, G72, calc)
  ), 
G72)"),"#N/A")</f>
        <v>#N/A</v>
      </c>
      <c r="S72" s="8" t="s">
        <v>15</v>
      </c>
      <c r="T72" s="26" t="str">
        <f>IFERROR(__xludf.DUMMYFUNCTION("IFERROR(TRANSPOSE(QUERY(IFERROR(SORT(GOOGLEFINANCE(C72, ""price"", WORKDAY(TODAY(), -40), TODAY()), 1, FALSE)), ""select Col2 where Col2 is not null limit 22 label Col2 ''"", 0)), """")"),"")</f>
        <v/>
      </c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8"/>
      <c r="AO72" s="28"/>
      <c r="AP72" s="29"/>
      <c r="AQ72" s="29" t="str">
        <f t="shared" ref="AQ72:BL72" si="75">T72/T$2</f>
        <v>#N/A</v>
      </c>
      <c r="AR72" s="29" t="str">
        <f t="shared" si="75"/>
        <v>#DIV/0!</v>
      </c>
      <c r="AS72" s="29" t="str">
        <f t="shared" si="75"/>
        <v>#DIV/0!</v>
      </c>
      <c r="AT72" s="29" t="str">
        <f t="shared" si="75"/>
        <v>#DIV/0!</v>
      </c>
      <c r="AU72" s="29" t="str">
        <f t="shared" si="75"/>
        <v>#DIV/0!</v>
      </c>
      <c r="AV72" s="29" t="str">
        <f t="shared" si="75"/>
        <v>#DIV/0!</v>
      </c>
      <c r="AW72" s="29" t="str">
        <f t="shared" si="75"/>
        <v>#DIV/0!</v>
      </c>
      <c r="AX72" s="29" t="str">
        <f t="shared" si="75"/>
        <v>#DIV/0!</v>
      </c>
      <c r="AY72" s="29" t="str">
        <f t="shared" si="75"/>
        <v>#DIV/0!</v>
      </c>
      <c r="AZ72" s="29" t="str">
        <f t="shared" si="75"/>
        <v>#DIV/0!</v>
      </c>
      <c r="BA72" s="29" t="str">
        <f t="shared" si="75"/>
        <v>#DIV/0!</v>
      </c>
      <c r="BB72" s="29" t="str">
        <f t="shared" si="75"/>
        <v>#DIV/0!</v>
      </c>
      <c r="BC72" s="29" t="str">
        <f t="shared" si="75"/>
        <v>#DIV/0!</v>
      </c>
      <c r="BD72" s="29" t="str">
        <f t="shared" si="75"/>
        <v>#DIV/0!</v>
      </c>
      <c r="BE72" s="29" t="str">
        <f t="shared" si="75"/>
        <v>#DIV/0!</v>
      </c>
      <c r="BF72" s="29" t="str">
        <f t="shared" si="75"/>
        <v>#DIV/0!</v>
      </c>
      <c r="BG72" s="29" t="str">
        <f t="shared" si="75"/>
        <v>#DIV/0!</v>
      </c>
      <c r="BH72" s="29" t="str">
        <f t="shared" si="75"/>
        <v>#DIV/0!</v>
      </c>
      <c r="BI72" s="29" t="str">
        <f t="shared" si="75"/>
        <v>#DIV/0!</v>
      </c>
      <c r="BJ72" s="29" t="str">
        <f t="shared" si="75"/>
        <v>#DIV/0!</v>
      </c>
      <c r="BK72" s="29" t="str">
        <f t="shared" si="75"/>
        <v>#DIV/0!</v>
      </c>
      <c r="BL72" s="29" t="str">
        <f t="shared" si="75"/>
        <v>#DIV/0!</v>
      </c>
      <c r="BM72" s="29" t="str">
        <f t="shared" si="3"/>
        <v>#DIV/0!</v>
      </c>
    </row>
    <row r="73">
      <c r="A73" s="16" t="str">
        <f>IFERROR(__xludf.DUMMYFUNCTION("IFERROR(SPARKLINE(SORT(MAP(TRANSPOSE(AQ73:BL73), LAMBDA(val, IF(ISNUMBER(val), PERCENTRANK(AQ73:BL73, val)+0.01, 0))), SEQUENCE(COLUMNS(AQ73:BL73)), FALSE), {""charttype"",""column""; ""color"",""chartreuse""; ""ymin"", 0; ""ymax"", 1.01; ""highcolor"", "&amp;"""darkgreen""; ""lowcolor"", ""red""}), """")"),"")</f>
        <v/>
      </c>
      <c r="B73" s="17" t="str">
        <f t="shared" si="4"/>
        <v/>
      </c>
      <c r="C73" s="45" t="s">
        <v>2900</v>
      </c>
      <c r="D73" s="30" t="str">
        <f>IFERROR(__xludf.DUMMYFUNCTION("IFERROR(GOOGLEFINANCE(C73, ""NAME""))"),"")</f>
        <v/>
      </c>
      <c r="E73" s="30" t="s">
        <v>2605</v>
      </c>
      <c r="F73" s="33" t="str">
        <f>IFERROR(__xludf.DUMMYFUNCTION("( (GOOGLEFINANCE(C73, ""price"") - Q73) / Q73 ) / (R73 / 100)"),"Loading...")</f>
        <v>Loading...</v>
      </c>
      <c r="G73" s="20" t="str">
        <f>IFERROR(__xludf.DUMMYFUNCTION("AVERAGE(ARRAYFORMULA(100 * (QUERY(GOOGLEFINANCE(C73, ""high"", TODAY()-40, TODAY()), ""SELECT Col2 WHERE Col2 IS NOT NULL ORDER BY Col1 DESC LIMIT 20"", 0) / QUERY(GOOGLEFINANCE(C73, ""low"", TODAY()-40, TODAY()), ""SELECT Col2 WHERE Col2 IS NOT NULL ORDE"&amp;"R BY Col1 DESC LIMIT 20"", 0) - 1)))"),"#N/A")</f>
        <v>#N/A</v>
      </c>
      <c r="H73" s="35" t="str">
        <f t="shared" si="6"/>
        <v/>
      </c>
      <c r="I73" s="35" t="str">
        <f t="shared" si="7"/>
        <v/>
      </c>
      <c r="J73" s="37" t="str">
        <f>IFERROR(__xludf.DUMMYFUNCTION("IFERROR(
  IF(C73="""",, 
    IFERROR(
      GOOGLEFINANCE(C73, ""price"") * GOOGLEFINANCE(C73, ""volumeavg""), 
      GOOGLEFINANCE(C73, ""price"") * AVERAGE(QUERY(GOOGLEFINANCE(C73, ""volume"", TODAY()-40, TODAY()), ""SELECT Col2 WHERE Col2 IS NOT NULL "&amp;"ORDER BY Col1 DESC LIMIT 20"", 0))
    )
  ), 
"""")"),"")</f>
        <v/>
      </c>
      <c r="K73" s="21" t="str">
        <f>IFERROR(__xludf.DUMMYFUNCTION("IFERROR(GOOGLEFINANCE(C73, ""changepct"") / 100, """")"),"")</f>
        <v/>
      </c>
      <c r="L73" s="21" t="str">
        <f>IFERROR(__xludf.DUMMYFUNCTION("IFERROR((GOOGLEFINANCE(C73, ""price"") / INDEX(GOOGLEFINANCE(C73, ""price"", TODAY()-7, TODAY()), 2, 2)) - 1, """")"),"")</f>
        <v/>
      </c>
      <c r="M73" s="21" t="str">
        <f>IFERROR(__xludf.DUMMYFUNCTION("IFERROR((GOOGLEFINANCE(C73, ""price"") / INDEX(GOOGLEFINANCE(C73, ""price"", EDATE(TODAY(), -1), TODAY()), 2, 2)) - 1, """")"),"")</f>
        <v/>
      </c>
      <c r="N73" s="21" t="str">
        <f>IFERROR(__xludf.DUMMYFUNCTION("IFERROR((GOOGLEFINANCE(C73, ""price"") / INDEX(GOOGLEFINANCE(C73, ""price"", EDATE(TODAY(), -3), TODAY()), 2, 2)) - 1, """")"),"")</f>
        <v/>
      </c>
      <c r="O73" s="21" t="str">
        <f>IFERROR(__xludf.DUMMYFUNCTION("IFERROR((GOOGLEFINANCE(C73, ""price"") / INDEX(GOOGLEFINANCE(C73, ""price"", EDATE(TODAY(), -6), TODAY()), 2, 2)) - 1, """")"),"")</f>
        <v/>
      </c>
      <c r="P73" s="21" t="str">
        <f>IFERROR(__xludf.DUMMYFUNCTION("IFERROR((GOOGLEFINANCE(C73, ""price"") / INDEX(GOOGLEFINANCE(C73, ""price"", EDATE(TODAY(), -12), TODAY()), 2, 2)) - 1, """")"),"")</f>
        <v/>
      </c>
      <c r="Q73" s="6" t="str">
        <f>IFERROR(__xludf.DUMMYFUNCTION("AVERAGE(QUERY(GOOGLEFINANCE(C73, ""price"", TODAY()-80, TODAY()), ""SELECT Col2 WHERE Col2 IS NOT NULL ORDER BY Col1 DESC LIMIT 50"", 0))"),"#N/A")</f>
        <v>#N/A</v>
      </c>
      <c r="R73" s="24" t="str">
        <f>IFERROR(__xludf.DUMMYFUNCTION("IFERROR(
  LET(
    data, QUERY(GOOGLEFINANCE(C73,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GOOGLEFINANCE(C73, ""price"")) * 100,
    IF(calc=0, G73, calc)
  ), 
G73)"),"#N/A")</f>
        <v>#N/A</v>
      </c>
      <c r="S73" s="8" t="s">
        <v>15</v>
      </c>
      <c r="T73" s="26" t="str">
        <f>IFERROR(__xludf.DUMMYFUNCTION("IFERROR(TRANSPOSE(QUERY(IFERROR(SORT(GOOGLEFINANCE(C73, ""price"", WORKDAY(TODAY(), -40), TODAY()), 1, FALSE)), ""select Col2 where Col2 is not null limit 22 label Col2 ''"", 0)), """")"),"")</f>
        <v/>
      </c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8"/>
      <c r="AO73" s="28"/>
      <c r="AP73" s="29"/>
      <c r="AQ73" s="29" t="str">
        <f t="shared" ref="AQ73:BL73" si="76">T73/T$2</f>
        <v>#N/A</v>
      </c>
      <c r="AR73" s="29" t="str">
        <f t="shared" si="76"/>
        <v>#DIV/0!</v>
      </c>
      <c r="AS73" s="29" t="str">
        <f t="shared" si="76"/>
        <v>#DIV/0!</v>
      </c>
      <c r="AT73" s="29" t="str">
        <f t="shared" si="76"/>
        <v>#DIV/0!</v>
      </c>
      <c r="AU73" s="29" t="str">
        <f t="shared" si="76"/>
        <v>#DIV/0!</v>
      </c>
      <c r="AV73" s="29" t="str">
        <f t="shared" si="76"/>
        <v>#DIV/0!</v>
      </c>
      <c r="AW73" s="29" t="str">
        <f t="shared" si="76"/>
        <v>#DIV/0!</v>
      </c>
      <c r="AX73" s="29" t="str">
        <f t="shared" si="76"/>
        <v>#DIV/0!</v>
      </c>
      <c r="AY73" s="29" t="str">
        <f t="shared" si="76"/>
        <v>#DIV/0!</v>
      </c>
      <c r="AZ73" s="29" t="str">
        <f t="shared" si="76"/>
        <v>#DIV/0!</v>
      </c>
      <c r="BA73" s="29" t="str">
        <f t="shared" si="76"/>
        <v>#DIV/0!</v>
      </c>
      <c r="BB73" s="29" t="str">
        <f t="shared" si="76"/>
        <v>#DIV/0!</v>
      </c>
      <c r="BC73" s="29" t="str">
        <f t="shared" si="76"/>
        <v>#DIV/0!</v>
      </c>
      <c r="BD73" s="29" t="str">
        <f t="shared" si="76"/>
        <v>#DIV/0!</v>
      </c>
      <c r="BE73" s="29" t="str">
        <f t="shared" si="76"/>
        <v>#DIV/0!</v>
      </c>
      <c r="BF73" s="29" t="str">
        <f t="shared" si="76"/>
        <v>#DIV/0!</v>
      </c>
      <c r="BG73" s="29" t="str">
        <f t="shared" si="76"/>
        <v>#DIV/0!</v>
      </c>
      <c r="BH73" s="29" t="str">
        <f t="shared" si="76"/>
        <v>#DIV/0!</v>
      </c>
      <c r="BI73" s="29" t="str">
        <f t="shared" si="76"/>
        <v>#DIV/0!</v>
      </c>
      <c r="BJ73" s="29" t="str">
        <f t="shared" si="76"/>
        <v>#DIV/0!</v>
      </c>
      <c r="BK73" s="29" t="str">
        <f t="shared" si="76"/>
        <v>#DIV/0!</v>
      </c>
      <c r="BL73" s="29" t="str">
        <f t="shared" si="76"/>
        <v>#DIV/0!</v>
      </c>
      <c r="BM73" s="29" t="str">
        <f t="shared" si="3"/>
        <v>#DIV/0!</v>
      </c>
    </row>
    <row r="74">
      <c r="A74" s="16" t="str">
        <f>IFERROR(__xludf.DUMMYFUNCTION("IFERROR(SPARKLINE(SORT(MAP(TRANSPOSE(AQ74:BL74), LAMBDA(val, IF(ISNUMBER(val), PERCENTRANK(AQ74:BL74, val)+0.01, 0))), SEQUENCE(COLUMNS(AQ74:BL74)), FALSE), {""charttype"",""column""; ""color"",""chartreuse""; ""ymin"", 0; ""ymax"", 1.01; ""highcolor"", "&amp;"""darkgreen""; ""lowcolor"", ""red""}), """")"),"")</f>
        <v/>
      </c>
      <c r="B74" s="17" t="str">
        <f t="shared" si="4"/>
        <v/>
      </c>
      <c r="C74" s="45" t="s">
        <v>2904</v>
      </c>
      <c r="D74" s="30" t="str">
        <f>IFERROR(__xludf.DUMMYFUNCTION("IFERROR(GOOGLEFINANCE(C74, ""NAME""))"),"Avista Corp")</f>
        <v>Avista Corp</v>
      </c>
      <c r="E74" s="30" t="s">
        <v>2628</v>
      </c>
      <c r="F74" s="33" t="str">
        <f>IFERROR(__xludf.DUMMYFUNCTION("( (GOOGLEFINANCE(C74, ""price"") - Q74) / Q74 ) / (R74 / 100)"),"Loading...")</f>
        <v>Loading...</v>
      </c>
      <c r="G74" s="20" t="str">
        <f>IFERROR(__xludf.DUMMYFUNCTION("AVERAGE(ARRAYFORMULA(100 * (QUERY(GOOGLEFINANCE(C74, ""high"", TODAY()-40, TODAY()), ""SELECT Col2 WHERE Col2 IS NOT NULL ORDER BY Col1 DESC LIMIT 20"", 0) / QUERY(GOOGLEFINANCE(C74, ""low"", TODAY()-40, TODAY()), ""SELECT Col2 WHERE Col2 IS NOT NULL ORDE"&amp;"R BY Col1 DESC LIMIT 20"", 0) - 1)))"),"#N/A")</f>
        <v>#N/A</v>
      </c>
      <c r="H74" s="35" t="str">
        <f t="shared" si="6"/>
        <v>Illiquid</v>
      </c>
      <c r="I74" s="35" t="str">
        <f t="shared" si="7"/>
        <v>RVol Required</v>
      </c>
      <c r="J74" s="37">
        <f>IFERROR(__xludf.DUMMYFUNCTION("IFERROR(
  IF(C74="""",, 
    IFERROR(
      GOOGLEFINANCE(C74, ""price"") * GOOGLEFINANCE(C74, ""volumeavg""), 
      GOOGLEFINANCE(C74, ""price"") * AVERAGE(QUERY(GOOGLEFINANCE(C74, ""volume"", TODAY()-40, TODAY()), ""SELECT Col2 WHERE Col2 IS NOT NULL "&amp;"ORDER BY Col1 DESC LIMIT 20"", 0))
    )
  ), 
"""")"),2.563621702E7)</f>
        <v>25636217.02</v>
      </c>
      <c r="K74" s="21">
        <f>IFERROR(__xludf.DUMMYFUNCTION("IFERROR(GOOGLEFINANCE(C74, ""changepct"") / 100, """")"),0.013500000000000002)</f>
        <v>0.0135</v>
      </c>
      <c r="L74" s="21" t="str">
        <f>IFERROR(__xludf.DUMMYFUNCTION("IFERROR((GOOGLEFINANCE(C74, ""price"") / INDEX(GOOGLEFINANCE(C74, ""price"", TODAY()-7, TODAY()), 2, 2)) - 1, """")"),"")</f>
        <v/>
      </c>
      <c r="M74" s="21" t="str">
        <f>IFERROR(__xludf.DUMMYFUNCTION("IFERROR((GOOGLEFINANCE(C74, ""price"") / INDEX(GOOGLEFINANCE(C74, ""price"", EDATE(TODAY(), -1), TODAY()), 2, 2)) - 1, """")"),"")</f>
        <v/>
      </c>
      <c r="N74" s="21" t="str">
        <f>IFERROR(__xludf.DUMMYFUNCTION("IFERROR((GOOGLEFINANCE(C74, ""price"") / INDEX(GOOGLEFINANCE(C74, ""price"", EDATE(TODAY(), -3), TODAY()), 2, 2)) - 1, """")"),"")</f>
        <v/>
      </c>
      <c r="O74" s="21" t="str">
        <f>IFERROR(__xludf.DUMMYFUNCTION("IFERROR((GOOGLEFINANCE(C74, ""price"") / INDEX(GOOGLEFINANCE(C74, ""price"", EDATE(TODAY(), -6), TODAY()), 2, 2)) - 1, """")"),"")</f>
        <v/>
      </c>
      <c r="P74" s="21" t="str">
        <f>IFERROR(__xludf.DUMMYFUNCTION("IFERROR((GOOGLEFINANCE(C74, ""price"") / INDEX(GOOGLEFINANCE(C74, ""price"", EDATE(TODAY(), -12), TODAY()), 2, 2)) - 1, """")"),"")</f>
        <v/>
      </c>
      <c r="Q74" s="6" t="str">
        <f>IFERROR(__xludf.DUMMYFUNCTION("AVERAGE(QUERY(GOOGLEFINANCE(C74, ""price"", TODAY()-80, TODAY()), ""SELECT Col2 WHERE Col2 IS NOT NULL ORDER BY Col1 DESC LIMIT 50"", 0))"),"#N/A")</f>
        <v>#N/A</v>
      </c>
      <c r="R74" s="24" t="str">
        <f>IFERROR(__xludf.DUMMYFUNCTION("IFERROR(
  LET(
    data, QUERY(GOOGLEFINANCE(C74,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GOOGLEFINANCE(C74, ""price"")) * 100,
    IF(calc=0, G74, calc)
  ), 
G74)"),"#N/A")</f>
        <v>#N/A</v>
      </c>
      <c r="S74" s="8" t="s">
        <v>15</v>
      </c>
      <c r="T74" s="26" t="str">
        <f>IFERROR(__xludf.DUMMYFUNCTION("IFERROR(TRANSPOSE(QUERY(IFERROR(SORT(GOOGLEFINANCE(C74, ""price"", WORKDAY(TODAY(), -40), TODAY()), 1, FALSE)), ""select Col2 where Col2 is not null limit 22 label Col2 ''"", 0)), """")"),"")</f>
        <v/>
      </c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8"/>
      <c r="AO74" s="28"/>
      <c r="AP74" s="29"/>
      <c r="AQ74" s="29" t="str">
        <f t="shared" ref="AQ74:BL74" si="77">T74/T$2</f>
        <v>#N/A</v>
      </c>
      <c r="AR74" s="29" t="str">
        <f t="shared" si="77"/>
        <v>#DIV/0!</v>
      </c>
      <c r="AS74" s="29" t="str">
        <f t="shared" si="77"/>
        <v>#DIV/0!</v>
      </c>
      <c r="AT74" s="29" t="str">
        <f t="shared" si="77"/>
        <v>#DIV/0!</v>
      </c>
      <c r="AU74" s="29" t="str">
        <f t="shared" si="77"/>
        <v>#DIV/0!</v>
      </c>
      <c r="AV74" s="29" t="str">
        <f t="shared" si="77"/>
        <v>#DIV/0!</v>
      </c>
      <c r="AW74" s="29" t="str">
        <f t="shared" si="77"/>
        <v>#DIV/0!</v>
      </c>
      <c r="AX74" s="29" t="str">
        <f t="shared" si="77"/>
        <v>#DIV/0!</v>
      </c>
      <c r="AY74" s="29" t="str">
        <f t="shared" si="77"/>
        <v>#DIV/0!</v>
      </c>
      <c r="AZ74" s="29" t="str">
        <f t="shared" si="77"/>
        <v>#DIV/0!</v>
      </c>
      <c r="BA74" s="29" t="str">
        <f t="shared" si="77"/>
        <v>#DIV/0!</v>
      </c>
      <c r="BB74" s="29" t="str">
        <f t="shared" si="77"/>
        <v>#DIV/0!</v>
      </c>
      <c r="BC74" s="29" t="str">
        <f t="shared" si="77"/>
        <v>#DIV/0!</v>
      </c>
      <c r="BD74" s="29" t="str">
        <f t="shared" si="77"/>
        <v>#DIV/0!</v>
      </c>
      <c r="BE74" s="29" t="str">
        <f t="shared" si="77"/>
        <v>#DIV/0!</v>
      </c>
      <c r="BF74" s="29" t="str">
        <f t="shared" si="77"/>
        <v>#DIV/0!</v>
      </c>
      <c r="BG74" s="29" t="str">
        <f t="shared" si="77"/>
        <v>#DIV/0!</v>
      </c>
      <c r="BH74" s="29" t="str">
        <f t="shared" si="77"/>
        <v>#DIV/0!</v>
      </c>
      <c r="BI74" s="29" t="str">
        <f t="shared" si="77"/>
        <v>#DIV/0!</v>
      </c>
      <c r="BJ74" s="29" t="str">
        <f t="shared" si="77"/>
        <v>#DIV/0!</v>
      </c>
      <c r="BK74" s="29" t="str">
        <f t="shared" si="77"/>
        <v>#DIV/0!</v>
      </c>
      <c r="BL74" s="29" t="str">
        <f t="shared" si="77"/>
        <v>#DIV/0!</v>
      </c>
      <c r="BM74" s="29" t="str">
        <f t="shared" si="3"/>
        <v>#DIV/0!</v>
      </c>
    </row>
    <row r="75">
      <c r="A75" s="16" t="str">
        <f>IFERROR(__xludf.DUMMYFUNCTION("IFERROR(SPARKLINE(SORT(MAP(TRANSPOSE(AQ75:BL75), LAMBDA(val, IF(ISNUMBER(val), PERCENTRANK(AQ75:BL75, val)+0.01, 0))), SEQUENCE(COLUMNS(AQ75:BL75)), FALSE), {""charttype"",""column""; ""color"",""chartreuse""; ""ymin"", 0; ""ymax"", 1.01; ""highcolor"", "&amp;"""darkgreen""; ""lowcolor"", ""red""}), """")"),"")</f>
        <v/>
      </c>
      <c r="B75" s="17" t="str">
        <f t="shared" si="4"/>
        <v/>
      </c>
      <c r="C75" s="45" t="s">
        <v>2908</v>
      </c>
      <c r="D75" s="30" t="str">
        <f>IFERROR(__xludf.DUMMYFUNCTION("IFERROR(GOOGLEFINANCE(C75, ""NAME""))"),"Emera Inc")</f>
        <v>Emera Inc</v>
      </c>
      <c r="E75" s="30" t="s">
        <v>2660</v>
      </c>
      <c r="F75" s="33" t="str">
        <f>IFERROR(__xludf.DUMMYFUNCTION("( (GOOGLEFINANCE(C75, ""price"") - Q75) / Q75 ) / (R75 / 100)"),"Loading...")</f>
        <v>Loading...</v>
      </c>
      <c r="G75" s="20" t="str">
        <f>IFERROR(__xludf.DUMMYFUNCTION("AVERAGE(ARRAYFORMULA(100 * (QUERY(GOOGLEFINANCE(C75, ""high"", TODAY()-40, TODAY()), ""SELECT Col2 WHERE Col2 IS NOT NULL ORDER BY Col1 DESC LIMIT 20"", 0) / QUERY(GOOGLEFINANCE(C75, ""low"", TODAY()-40, TODAY()), ""SELECT Col2 WHERE Col2 IS NOT NULL ORDE"&amp;"R BY Col1 DESC LIMIT 20"", 0) - 1)))"),"#N/A")</f>
        <v>#N/A</v>
      </c>
      <c r="H75" s="35" t="str">
        <f t="shared" si="6"/>
        <v>Illiquid</v>
      </c>
      <c r="I75" s="35" t="str">
        <f t="shared" si="7"/>
        <v>RVol Required</v>
      </c>
      <c r="J75" s="37">
        <f>IFERROR(__xludf.DUMMYFUNCTION("IFERROR(
  IF(C75="""",, 
    IFERROR(
      GOOGLEFINANCE(C75, ""price"") * GOOGLEFINANCE(C75, ""volumeavg""), 
      GOOGLEFINANCE(C75, ""price"") * AVERAGE(QUERY(GOOGLEFINANCE(C75, ""volume"", TODAY()-40, TODAY()), ""SELECT Col2 WHERE Col2 IS NOT NULL "&amp;"ORDER BY Col1 DESC LIMIT 20"", 0))
    )
  ), 
"""")"),3.171690712E7)</f>
        <v>31716907.12</v>
      </c>
      <c r="K75" s="21">
        <f>IFERROR(__xludf.DUMMYFUNCTION("IFERROR(GOOGLEFINANCE(C75, ""changepct"") / 100, """")"),0.0138)</f>
        <v>0.0138</v>
      </c>
      <c r="L75" s="21" t="str">
        <f>IFERROR(__xludf.DUMMYFUNCTION("IFERROR((GOOGLEFINANCE(C75, ""price"") / INDEX(GOOGLEFINANCE(C75, ""price"", TODAY()-7, TODAY()), 2, 2)) - 1, """")"),"")</f>
        <v/>
      </c>
      <c r="M75" s="21" t="str">
        <f>IFERROR(__xludf.DUMMYFUNCTION("IFERROR((GOOGLEFINANCE(C75, ""price"") / INDEX(GOOGLEFINANCE(C75, ""price"", EDATE(TODAY(), -1), TODAY()), 2, 2)) - 1, """")"),"")</f>
        <v/>
      </c>
      <c r="N75" s="21" t="str">
        <f>IFERROR(__xludf.DUMMYFUNCTION("IFERROR((GOOGLEFINANCE(C75, ""price"") / INDEX(GOOGLEFINANCE(C75, ""price"", EDATE(TODAY(), -3), TODAY()), 2, 2)) - 1, """")"),"")</f>
        <v/>
      </c>
      <c r="O75" s="21" t="str">
        <f>IFERROR(__xludf.DUMMYFUNCTION("IFERROR((GOOGLEFINANCE(C75, ""price"") / INDEX(GOOGLEFINANCE(C75, ""price"", EDATE(TODAY(), -6), TODAY()), 2, 2)) - 1, """")"),"")</f>
        <v/>
      </c>
      <c r="P75" s="21" t="str">
        <f>IFERROR(__xludf.DUMMYFUNCTION("IFERROR((GOOGLEFINANCE(C75, ""price"") / INDEX(GOOGLEFINANCE(C75, ""price"", EDATE(TODAY(), -12), TODAY()), 2, 2)) - 1, """")"),"")</f>
        <v/>
      </c>
      <c r="Q75" s="6" t="str">
        <f>IFERROR(__xludf.DUMMYFUNCTION("AVERAGE(QUERY(GOOGLEFINANCE(C75, ""price"", TODAY()-80, TODAY()), ""SELECT Col2 WHERE Col2 IS NOT NULL ORDER BY Col1 DESC LIMIT 50"", 0))"),"#N/A")</f>
        <v>#N/A</v>
      </c>
      <c r="R75" s="24" t="str">
        <f>IFERROR(__xludf.DUMMYFUNCTION("IFERROR(
  LET(
    data, QUERY(GOOGLEFINANCE(C75,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GOOGLEFINANCE(C75, ""price"")) * 100,
    IF(calc=0, G75, calc)
  ), 
G75)"),"#N/A")</f>
        <v>#N/A</v>
      </c>
      <c r="S75" s="8" t="s">
        <v>15</v>
      </c>
      <c r="T75" s="26" t="str">
        <f>IFERROR(__xludf.DUMMYFUNCTION("IFERROR(TRANSPOSE(QUERY(IFERROR(SORT(GOOGLEFINANCE(C75, ""price"", WORKDAY(TODAY(), -40), TODAY()), 1, FALSE)), ""select Col2 where Col2 is not null limit 22 label Col2 ''"", 0)), """")"),"")</f>
        <v/>
      </c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8"/>
      <c r="AO75" s="28"/>
      <c r="AP75" s="29"/>
      <c r="AQ75" s="29" t="str">
        <f t="shared" ref="AQ75:BL75" si="78">T75/T$2</f>
        <v>#N/A</v>
      </c>
      <c r="AR75" s="29" t="str">
        <f t="shared" si="78"/>
        <v>#DIV/0!</v>
      </c>
      <c r="AS75" s="29" t="str">
        <f t="shared" si="78"/>
        <v>#DIV/0!</v>
      </c>
      <c r="AT75" s="29" t="str">
        <f t="shared" si="78"/>
        <v>#DIV/0!</v>
      </c>
      <c r="AU75" s="29" t="str">
        <f t="shared" si="78"/>
        <v>#DIV/0!</v>
      </c>
      <c r="AV75" s="29" t="str">
        <f t="shared" si="78"/>
        <v>#DIV/0!</v>
      </c>
      <c r="AW75" s="29" t="str">
        <f t="shared" si="78"/>
        <v>#DIV/0!</v>
      </c>
      <c r="AX75" s="29" t="str">
        <f t="shared" si="78"/>
        <v>#DIV/0!</v>
      </c>
      <c r="AY75" s="29" t="str">
        <f t="shared" si="78"/>
        <v>#DIV/0!</v>
      </c>
      <c r="AZ75" s="29" t="str">
        <f t="shared" si="78"/>
        <v>#DIV/0!</v>
      </c>
      <c r="BA75" s="29" t="str">
        <f t="shared" si="78"/>
        <v>#DIV/0!</v>
      </c>
      <c r="BB75" s="29" t="str">
        <f t="shared" si="78"/>
        <v>#DIV/0!</v>
      </c>
      <c r="BC75" s="29" t="str">
        <f t="shared" si="78"/>
        <v>#DIV/0!</v>
      </c>
      <c r="BD75" s="29" t="str">
        <f t="shared" si="78"/>
        <v>#DIV/0!</v>
      </c>
      <c r="BE75" s="29" t="str">
        <f t="shared" si="78"/>
        <v>#DIV/0!</v>
      </c>
      <c r="BF75" s="29" t="str">
        <f t="shared" si="78"/>
        <v>#DIV/0!</v>
      </c>
      <c r="BG75" s="29" t="str">
        <f t="shared" si="78"/>
        <v>#DIV/0!</v>
      </c>
      <c r="BH75" s="29" t="str">
        <f t="shared" si="78"/>
        <v>#DIV/0!</v>
      </c>
      <c r="BI75" s="29" t="str">
        <f t="shared" si="78"/>
        <v>#DIV/0!</v>
      </c>
      <c r="BJ75" s="29" t="str">
        <f t="shared" si="78"/>
        <v>#DIV/0!</v>
      </c>
      <c r="BK75" s="29" t="str">
        <f t="shared" si="78"/>
        <v>#DIV/0!</v>
      </c>
      <c r="BL75" s="29" t="str">
        <f t="shared" si="78"/>
        <v>#DIV/0!</v>
      </c>
      <c r="BM75" s="29" t="str">
        <f t="shared" si="3"/>
        <v>#DIV/0!</v>
      </c>
    </row>
    <row r="76">
      <c r="A76" s="16" t="str">
        <f>IFERROR(__xludf.DUMMYFUNCTION("IFERROR(SPARKLINE(SORT(MAP(TRANSPOSE(AQ76:BL76), LAMBDA(val, IF(ISNUMBER(val), PERCENTRANK(AQ76:BL76, val)+0.01, 0))), SEQUENCE(COLUMNS(AQ76:BL76)), FALSE), {""charttype"",""column""; ""color"",""chartreuse""; ""ymin"", 0; ""ymax"", 1.01; ""highcolor"", "&amp;"""darkgreen""; ""lowcolor"", ""red""}), """")"),"")</f>
        <v/>
      </c>
      <c r="B76" s="17" t="str">
        <f t="shared" si="4"/>
        <v/>
      </c>
      <c r="C76" s="45" t="s">
        <v>2912</v>
      </c>
      <c r="D76" s="30" t="str">
        <f>IFERROR(__xludf.DUMMYFUNCTION("IFERROR(GOOGLEFINANCE(C76, ""NAME""))"),"Central Puerto SA - ADR")</f>
        <v>Central Puerto SA - ADR</v>
      </c>
      <c r="E76" s="30" t="s">
        <v>2660</v>
      </c>
      <c r="F76" s="33" t="str">
        <f>IFERROR(__xludf.DUMMYFUNCTION("( (GOOGLEFINANCE(C76, ""price"") - Q76) / Q76 ) / (R76 / 100)"),"Loading...")</f>
        <v>Loading...</v>
      </c>
      <c r="G76" s="20" t="str">
        <f>IFERROR(__xludf.DUMMYFUNCTION("AVERAGE(ARRAYFORMULA(100 * (QUERY(GOOGLEFINANCE(C76, ""high"", TODAY()-40, TODAY()), ""SELECT Col2 WHERE Col2 IS NOT NULL ORDER BY Col1 DESC LIMIT 20"", 0) / QUERY(GOOGLEFINANCE(C76, ""low"", TODAY()-40, TODAY()), ""SELECT Col2 WHERE Col2 IS NOT NULL ORDE"&amp;"R BY Col1 DESC LIMIT 20"", 0) - 1)))"),"#N/A")</f>
        <v>#N/A</v>
      </c>
      <c r="H76" s="35" t="str">
        <f t="shared" si="6"/>
        <v>Illiquid</v>
      </c>
      <c r="I76" s="35" t="str">
        <f t="shared" si="7"/>
        <v>RVol Required</v>
      </c>
      <c r="J76" s="37">
        <f>IFERROR(__xludf.DUMMYFUNCTION("IFERROR(
  IF(C76="""",, 
    IFERROR(
      GOOGLEFINANCE(C76, ""price"") * GOOGLEFINANCE(C76, ""volumeavg""), 
      GOOGLEFINANCE(C76, ""price"") * AVERAGE(QUERY(GOOGLEFINANCE(C76, ""volume"", TODAY()-40, TODAY()), ""SELECT Col2 WHERE Col2 IS NOT NULL "&amp;"ORDER BY Col1 DESC LIMIT 20"", 0))
    )
  ), 
"""")"),3412071.84)</f>
        <v>3412071.84</v>
      </c>
      <c r="K76" s="21">
        <f>IFERROR(__xludf.DUMMYFUNCTION("IFERROR(GOOGLEFINANCE(C76, ""changepct"") / 100, """")"),-0.0031)</f>
        <v>-0.0031</v>
      </c>
      <c r="L76" s="21" t="str">
        <f>IFERROR(__xludf.DUMMYFUNCTION("IFERROR((GOOGLEFINANCE(C76, ""price"") / INDEX(GOOGLEFINANCE(C76, ""price"", TODAY()-7, TODAY()), 2, 2)) - 1, """")"),"")</f>
        <v/>
      </c>
      <c r="M76" s="21" t="str">
        <f>IFERROR(__xludf.DUMMYFUNCTION("IFERROR((GOOGLEFINANCE(C76, ""price"") / INDEX(GOOGLEFINANCE(C76, ""price"", EDATE(TODAY(), -1), TODAY()), 2, 2)) - 1, """")"),"")</f>
        <v/>
      </c>
      <c r="N76" s="21" t="str">
        <f>IFERROR(__xludf.DUMMYFUNCTION("IFERROR((GOOGLEFINANCE(C76, ""price"") / INDEX(GOOGLEFINANCE(C76, ""price"", EDATE(TODAY(), -3), TODAY()), 2, 2)) - 1, """")"),"")</f>
        <v/>
      </c>
      <c r="O76" s="21" t="str">
        <f>IFERROR(__xludf.DUMMYFUNCTION("IFERROR((GOOGLEFINANCE(C76, ""price"") / INDEX(GOOGLEFINANCE(C76, ""price"", EDATE(TODAY(), -6), TODAY()), 2, 2)) - 1, """")"),"")</f>
        <v/>
      </c>
      <c r="P76" s="21" t="str">
        <f>IFERROR(__xludf.DUMMYFUNCTION("IFERROR((GOOGLEFINANCE(C76, ""price"") / INDEX(GOOGLEFINANCE(C76, ""price"", EDATE(TODAY(), -12), TODAY()), 2, 2)) - 1, """")"),"")</f>
        <v/>
      </c>
      <c r="Q76" s="6" t="str">
        <f>IFERROR(__xludf.DUMMYFUNCTION("AVERAGE(QUERY(GOOGLEFINANCE(C76, ""price"", TODAY()-80, TODAY()), ""SELECT Col2 WHERE Col2 IS NOT NULL ORDER BY Col1 DESC LIMIT 50"", 0))"),"#N/A")</f>
        <v>#N/A</v>
      </c>
      <c r="R76" s="24" t="str">
        <f>IFERROR(__xludf.DUMMYFUNCTION("IFERROR(
  LET(
    data, QUERY(GOOGLEFINANCE(C76,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GOOGLEFINANCE(C76, ""price"")) * 100,
    IF(calc=0, G76, calc)
  ), 
G76)"),"#N/A")</f>
        <v>#N/A</v>
      </c>
      <c r="S76" s="8" t="s">
        <v>15</v>
      </c>
      <c r="T76" s="26" t="str">
        <f>IFERROR(__xludf.DUMMYFUNCTION("IFERROR(TRANSPOSE(QUERY(IFERROR(SORT(GOOGLEFINANCE(C76, ""price"", WORKDAY(TODAY(), -40), TODAY()), 1, FALSE)), ""select Col2 where Col2 is not null limit 22 label Col2 ''"", 0)), """")"),"")</f>
        <v/>
      </c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8"/>
      <c r="AO76" s="28"/>
      <c r="AP76" s="29"/>
      <c r="AQ76" s="29" t="str">
        <f t="shared" ref="AQ76:BL76" si="79">T76/T$2</f>
        <v>#N/A</v>
      </c>
      <c r="AR76" s="29" t="str">
        <f t="shared" si="79"/>
        <v>#DIV/0!</v>
      </c>
      <c r="AS76" s="29" t="str">
        <f t="shared" si="79"/>
        <v>#DIV/0!</v>
      </c>
      <c r="AT76" s="29" t="str">
        <f t="shared" si="79"/>
        <v>#DIV/0!</v>
      </c>
      <c r="AU76" s="29" t="str">
        <f t="shared" si="79"/>
        <v>#DIV/0!</v>
      </c>
      <c r="AV76" s="29" t="str">
        <f t="shared" si="79"/>
        <v>#DIV/0!</v>
      </c>
      <c r="AW76" s="29" t="str">
        <f t="shared" si="79"/>
        <v>#DIV/0!</v>
      </c>
      <c r="AX76" s="29" t="str">
        <f t="shared" si="79"/>
        <v>#DIV/0!</v>
      </c>
      <c r="AY76" s="29" t="str">
        <f t="shared" si="79"/>
        <v>#DIV/0!</v>
      </c>
      <c r="AZ76" s="29" t="str">
        <f t="shared" si="79"/>
        <v>#DIV/0!</v>
      </c>
      <c r="BA76" s="29" t="str">
        <f t="shared" si="79"/>
        <v>#DIV/0!</v>
      </c>
      <c r="BB76" s="29" t="str">
        <f t="shared" si="79"/>
        <v>#DIV/0!</v>
      </c>
      <c r="BC76" s="29" t="str">
        <f t="shared" si="79"/>
        <v>#DIV/0!</v>
      </c>
      <c r="BD76" s="29" t="str">
        <f t="shared" si="79"/>
        <v>#DIV/0!</v>
      </c>
      <c r="BE76" s="29" t="str">
        <f t="shared" si="79"/>
        <v>#DIV/0!</v>
      </c>
      <c r="BF76" s="29" t="str">
        <f t="shared" si="79"/>
        <v>#DIV/0!</v>
      </c>
      <c r="BG76" s="29" t="str">
        <f t="shared" si="79"/>
        <v>#DIV/0!</v>
      </c>
      <c r="BH76" s="29" t="str">
        <f t="shared" si="79"/>
        <v>#DIV/0!</v>
      </c>
      <c r="BI76" s="29" t="str">
        <f t="shared" si="79"/>
        <v>#DIV/0!</v>
      </c>
      <c r="BJ76" s="29" t="str">
        <f t="shared" si="79"/>
        <v>#DIV/0!</v>
      </c>
      <c r="BK76" s="29" t="str">
        <f t="shared" si="79"/>
        <v>#DIV/0!</v>
      </c>
      <c r="BL76" s="29" t="str">
        <f t="shared" si="79"/>
        <v>#DIV/0!</v>
      </c>
      <c r="BM76" s="29" t="str">
        <f t="shared" si="3"/>
        <v>#DIV/0!</v>
      </c>
    </row>
    <row r="77">
      <c r="A77" s="16" t="str">
        <f>IFERROR(__xludf.DUMMYFUNCTION("IFERROR(SPARKLINE(SORT(MAP(TRANSPOSE(AQ77:BL77), LAMBDA(val, IF(ISNUMBER(val), PERCENTRANK(AQ77:BL77, val)+0.01, 0))), SEQUENCE(COLUMNS(AQ77:BL77)), FALSE), {""charttype"",""column""; ""color"",""chartreuse""; ""ymin"", 0; ""ymax"", 1.01; ""highcolor"", "&amp;"""darkgreen""; ""lowcolor"", ""red""}), """")"),"")</f>
        <v/>
      </c>
      <c r="B77" s="17" t="str">
        <f t="shared" si="4"/>
        <v/>
      </c>
      <c r="C77" s="45" t="s">
        <v>2915</v>
      </c>
      <c r="D77" s="30" t="str">
        <f>IFERROR(__xludf.DUMMYFUNCTION("IFERROR(GOOGLEFINANCE(C77, ""NAME""))"),"Ellomay Capital Ltd")</f>
        <v>Ellomay Capital Ltd</v>
      </c>
      <c r="E77" s="30" t="s">
        <v>2605</v>
      </c>
      <c r="F77" s="33" t="str">
        <f>IFERROR(__xludf.DUMMYFUNCTION("( (GOOGLEFINANCE(C77, ""price"") - Q77) / Q77 ) / (R77 / 100)"),"Loading...")</f>
        <v>Loading...</v>
      </c>
      <c r="G77" s="20" t="str">
        <f>IFERROR(__xludf.DUMMYFUNCTION("AVERAGE(ARRAYFORMULA(100 * (QUERY(GOOGLEFINANCE(C77, ""high"", TODAY()-40, TODAY()), ""SELECT Col2 WHERE Col2 IS NOT NULL ORDER BY Col1 DESC LIMIT 20"", 0) / QUERY(GOOGLEFINANCE(C77, ""low"", TODAY()-40, TODAY()), ""SELECT Col2 WHERE Col2 IS NOT NULL ORDE"&amp;"R BY Col1 DESC LIMIT 20"", 0) - 1)))"),"#N/A")</f>
        <v>#N/A</v>
      </c>
      <c r="H77" s="35" t="str">
        <f t="shared" si="6"/>
        <v>Illiquid</v>
      </c>
      <c r="I77" s="35" t="str">
        <f t="shared" si="7"/>
        <v>RVol Required</v>
      </c>
      <c r="J77" s="37">
        <f>IFERROR(__xludf.DUMMYFUNCTION("IFERROR(
  IF(C77="""",, 
    IFERROR(
      GOOGLEFINANCE(C77, ""price"") * GOOGLEFINANCE(C77, ""volumeavg""), 
      GOOGLEFINANCE(C77, ""price"") * AVERAGE(QUERY(GOOGLEFINANCE(C77, ""volume"", TODAY()-40, TODAY()), ""SELECT Col2 WHERE Col2 IS NOT NULL "&amp;"ORDER BY Col1 DESC LIMIT 20"", 0))
    )
  ), 
"""")"),28431.0)</f>
        <v>28431</v>
      </c>
      <c r="K77" s="21">
        <f>IFERROR(__xludf.DUMMYFUNCTION("IFERROR(GOOGLEFINANCE(C77, ""changepct"") / 100, """")"),-0.038900000000000004)</f>
        <v>-0.0389</v>
      </c>
      <c r="L77" s="21" t="str">
        <f>IFERROR(__xludf.DUMMYFUNCTION("IFERROR((GOOGLEFINANCE(C77, ""price"") / INDEX(GOOGLEFINANCE(C77, ""price"", TODAY()-7, TODAY()), 2, 2)) - 1, """")"),"")</f>
        <v/>
      </c>
      <c r="M77" s="21" t="str">
        <f>IFERROR(__xludf.DUMMYFUNCTION("IFERROR((GOOGLEFINANCE(C77, ""price"") / INDEX(GOOGLEFINANCE(C77, ""price"", EDATE(TODAY(), -1), TODAY()), 2, 2)) - 1, """")"),"")</f>
        <v/>
      </c>
      <c r="N77" s="21" t="str">
        <f>IFERROR(__xludf.DUMMYFUNCTION("IFERROR((GOOGLEFINANCE(C77, ""price"") / INDEX(GOOGLEFINANCE(C77, ""price"", EDATE(TODAY(), -3), TODAY()), 2, 2)) - 1, """")"),"")</f>
        <v/>
      </c>
      <c r="O77" s="21" t="str">
        <f>IFERROR(__xludf.DUMMYFUNCTION("IFERROR((GOOGLEFINANCE(C77, ""price"") / INDEX(GOOGLEFINANCE(C77, ""price"", EDATE(TODAY(), -6), TODAY()), 2, 2)) - 1, """")"),"")</f>
        <v/>
      </c>
      <c r="P77" s="21" t="str">
        <f>IFERROR(__xludf.DUMMYFUNCTION("IFERROR((GOOGLEFINANCE(C77, ""price"") / INDEX(GOOGLEFINANCE(C77, ""price"", EDATE(TODAY(), -12), TODAY()), 2, 2)) - 1, """")"),"")</f>
        <v/>
      </c>
      <c r="Q77" s="6" t="str">
        <f>IFERROR(__xludf.DUMMYFUNCTION("AVERAGE(QUERY(GOOGLEFINANCE(C77, ""price"", TODAY()-80, TODAY()), ""SELECT Col2 WHERE Col2 IS NOT NULL ORDER BY Col1 DESC LIMIT 50"", 0))"),"#N/A")</f>
        <v>#N/A</v>
      </c>
      <c r="R77" s="24" t="str">
        <f>IFERROR(__xludf.DUMMYFUNCTION("IFERROR(
  LET(
    data, QUERY(GOOGLEFINANCE(C77,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GOOGLEFINANCE(C77, ""price"")) * 100,
    IF(calc=0, G77, calc)
  ), 
G77)"),"#N/A")</f>
        <v>#N/A</v>
      </c>
      <c r="S77" s="8" t="s">
        <v>15</v>
      </c>
      <c r="T77" s="26" t="str">
        <f>IFERROR(__xludf.DUMMYFUNCTION("IFERROR(TRANSPOSE(QUERY(IFERROR(SORT(GOOGLEFINANCE(C77, ""price"", WORKDAY(TODAY(), -40), TODAY()), 1, FALSE)), ""select Col2 where Col2 is not null limit 22 label Col2 ''"", 0)), """")"),"")</f>
        <v/>
      </c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8"/>
      <c r="AO77" s="28"/>
      <c r="AP77" s="29"/>
      <c r="AQ77" s="29" t="str">
        <f t="shared" ref="AQ77:BL77" si="80">T77/T$2</f>
        <v>#N/A</v>
      </c>
      <c r="AR77" s="29" t="str">
        <f t="shared" si="80"/>
        <v>#DIV/0!</v>
      </c>
      <c r="AS77" s="29" t="str">
        <f t="shared" si="80"/>
        <v>#DIV/0!</v>
      </c>
      <c r="AT77" s="29" t="str">
        <f t="shared" si="80"/>
        <v>#DIV/0!</v>
      </c>
      <c r="AU77" s="29" t="str">
        <f t="shared" si="80"/>
        <v>#DIV/0!</v>
      </c>
      <c r="AV77" s="29" t="str">
        <f t="shared" si="80"/>
        <v>#DIV/0!</v>
      </c>
      <c r="AW77" s="29" t="str">
        <f t="shared" si="80"/>
        <v>#DIV/0!</v>
      </c>
      <c r="AX77" s="29" t="str">
        <f t="shared" si="80"/>
        <v>#DIV/0!</v>
      </c>
      <c r="AY77" s="29" t="str">
        <f t="shared" si="80"/>
        <v>#DIV/0!</v>
      </c>
      <c r="AZ77" s="29" t="str">
        <f t="shared" si="80"/>
        <v>#DIV/0!</v>
      </c>
      <c r="BA77" s="29" t="str">
        <f t="shared" si="80"/>
        <v>#DIV/0!</v>
      </c>
      <c r="BB77" s="29" t="str">
        <f t="shared" si="80"/>
        <v>#DIV/0!</v>
      </c>
      <c r="BC77" s="29" t="str">
        <f t="shared" si="80"/>
        <v>#DIV/0!</v>
      </c>
      <c r="BD77" s="29" t="str">
        <f t="shared" si="80"/>
        <v>#DIV/0!</v>
      </c>
      <c r="BE77" s="29" t="str">
        <f t="shared" si="80"/>
        <v>#DIV/0!</v>
      </c>
      <c r="BF77" s="29" t="str">
        <f t="shared" si="80"/>
        <v>#DIV/0!</v>
      </c>
      <c r="BG77" s="29" t="str">
        <f t="shared" si="80"/>
        <v>#DIV/0!</v>
      </c>
      <c r="BH77" s="29" t="str">
        <f t="shared" si="80"/>
        <v>#DIV/0!</v>
      </c>
      <c r="BI77" s="29" t="str">
        <f t="shared" si="80"/>
        <v>#DIV/0!</v>
      </c>
      <c r="BJ77" s="29" t="str">
        <f t="shared" si="80"/>
        <v>#DIV/0!</v>
      </c>
      <c r="BK77" s="29" t="str">
        <f t="shared" si="80"/>
        <v>#DIV/0!</v>
      </c>
      <c r="BL77" s="29" t="str">
        <f t="shared" si="80"/>
        <v>#DIV/0!</v>
      </c>
      <c r="BM77" s="29" t="str">
        <f t="shared" si="3"/>
        <v>#DIV/0!</v>
      </c>
    </row>
    <row r="78">
      <c r="A78" s="16" t="str">
        <f>IFERROR(__xludf.DUMMYFUNCTION("IFERROR(SPARKLINE(SORT(MAP(TRANSPOSE(AQ78:BL78), LAMBDA(val, IF(ISNUMBER(val), PERCENTRANK(AQ78:BL78, val)+0.01, 0))), SEQUENCE(COLUMNS(AQ78:BL78)), FALSE), {""charttype"",""column""; ""color"",""chartreuse""; ""ymin"", 0; ""ymax"", 1.01; ""highcolor"", "&amp;"""darkgreen""; ""lowcolor"", ""red""}), """")"),"")</f>
        <v/>
      </c>
      <c r="B78" s="17" t="str">
        <f t="shared" si="4"/>
        <v/>
      </c>
      <c r="C78" s="45" t="s">
        <v>2918</v>
      </c>
      <c r="D78" s="30" t="str">
        <f>IFERROR(__xludf.DUMMYFUNCTION("IFERROR(GOOGLEFINANCE(C78, ""NAME""))"),"NRG Energy Inc")</f>
        <v>NRG Energy Inc</v>
      </c>
      <c r="E78" s="30" t="s">
        <v>2634</v>
      </c>
      <c r="F78" s="33" t="str">
        <f>IFERROR(__xludf.DUMMYFUNCTION("( (GOOGLEFINANCE(C78, ""price"") - Q78) / Q78 ) / (R78 / 100)"),"Loading...")</f>
        <v>Loading...</v>
      </c>
      <c r="G78" s="20" t="str">
        <f>IFERROR(__xludf.DUMMYFUNCTION("AVERAGE(ARRAYFORMULA(100 * (QUERY(GOOGLEFINANCE(C78, ""high"", TODAY()-40, TODAY()), ""SELECT Col2 WHERE Col2 IS NOT NULL ORDER BY Col1 DESC LIMIT 20"", 0) / QUERY(GOOGLEFINANCE(C78, ""low"", TODAY()-40, TODAY()), ""SELECT Col2 WHERE Col2 IS NOT NULL ORDE"&amp;"R BY Col1 DESC LIMIT 20"", 0) - 1)))"),"#N/A")</f>
        <v>#N/A</v>
      </c>
      <c r="H78" s="35" t="str">
        <f t="shared" si="6"/>
        <v>Liquid</v>
      </c>
      <c r="I78" s="35" t="str">
        <f t="shared" si="7"/>
        <v>RVol Required</v>
      </c>
      <c r="J78" s="37">
        <f>IFERROR(__xludf.DUMMYFUNCTION("IFERROR(
  IF(C78="""",, 
    IFERROR(
      GOOGLEFINANCE(C78, ""price"") * GOOGLEFINANCE(C78, ""volumeavg""), 
      GOOGLEFINANCE(C78, ""price"") * AVERAGE(QUERY(GOOGLEFINANCE(C78, ""volume"", TODAY()-40, TODAY()), ""SELECT Col2 WHERE Col2 IS NOT NULL "&amp;"ORDER BY Col1 DESC LIMIT 20"", 0))
    )
  ), 
"""")"),3.184359325E8)</f>
        <v>318435932.5</v>
      </c>
      <c r="K78" s="21">
        <f>IFERROR(__xludf.DUMMYFUNCTION("IFERROR(GOOGLEFINANCE(C78, ""changepct"") / 100, """")"),0.0087)</f>
        <v>0.0087</v>
      </c>
      <c r="L78" s="21" t="str">
        <f>IFERROR(__xludf.DUMMYFUNCTION("IFERROR((GOOGLEFINANCE(C78, ""price"") / INDEX(GOOGLEFINANCE(C78, ""price"", TODAY()-7, TODAY()), 2, 2)) - 1, """")"),"")</f>
        <v/>
      </c>
      <c r="M78" s="21" t="str">
        <f>IFERROR(__xludf.DUMMYFUNCTION("IFERROR((GOOGLEFINANCE(C78, ""price"") / INDEX(GOOGLEFINANCE(C78, ""price"", EDATE(TODAY(), -1), TODAY()), 2, 2)) - 1, """")"),"")</f>
        <v/>
      </c>
      <c r="N78" s="21" t="str">
        <f>IFERROR(__xludf.DUMMYFUNCTION("IFERROR((GOOGLEFINANCE(C78, ""price"") / INDEX(GOOGLEFINANCE(C78, ""price"", EDATE(TODAY(), -3), TODAY()), 2, 2)) - 1, """")"),"")</f>
        <v/>
      </c>
      <c r="O78" s="21" t="str">
        <f>IFERROR(__xludf.DUMMYFUNCTION("IFERROR((GOOGLEFINANCE(C78, ""price"") / INDEX(GOOGLEFINANCE(C78, ""price"", EDATE(TODAY(), -6), TODAY()), 2, 2)) - 1, """")"),"")</f>
        <v/>
      </c>
      <c r="P78" s="21" t="str">
        <f>IFERROR(__xludf.DUMMYFUNCTION("IFERROR((GOOGLEFINANCE(C78, ""price"") / INDEX(GOOGLEFINANCE(C78, ""price"", EDATE(TODAY(), -12), TODAY()), 2, 2)) - 1, """")"),"")</f>
        <v/>
      </c>
      <c r="Q78" s="6" t="str">
        <f>IFERROR(__xludf.DUMMYFUNCTION("AVERAGE(QUERY(GOOGLEFINANCE(C78, ""price"", TODAY()-80, TODAY()), ""SELECT Col2 WHERE Col2 IS NOT NULL ORDER BY Col1 DESC LIMIT 50"", 0))"),"#N/A")</f>
        <v>#N/A</v>
      </c>
      <c r="R78" s="24" t="str">
        <f>IFERROR(__xludf.DUMMYFUNCTION("IFERROR(
  LET(
    data, QUERY(GOOGLEFINANCE(C78,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GOOGLEFINANCE(C78, ""price"")) * 100,
    IF(calc=0, G78, calc)
  ), 
G78)"),"#N/A")</f>
        <v>#N/A</v>
      </c>
      <c r="S78" s="8" t="s">
        <v>15</v>
      </c>
      <c r="T78" s="26" t="str">
        <f>IFERROR(__xludf.DUMMYFUNCTION("IFERROR(TRANSPOSE(QUERY(IFERROR(SORT(GOOGLEFINANCE(C78, ""price"", WORKDAY(TODAY(), -40), TODAY()), 1, FALSE)), ""select Col2 where Col2 is not null limit 22 label Col2 ''"", 0)), """")"),"")</f>
        <v/>
      </c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8"/>
      <c r="AO78" s="28"/>
      <c r="AP78" s="29"/>
      <c r="AQ78" s="29" t="str">
        <f t="shared" ref="AQ78:BL78" si="81">T78/T$2</f>
        <v>#N/A</v>
      </c>
      <c r="AR78" s="29" t="str">
        <f t="shared" si="81"/>
        <v>#DIV/0!</v>
      </c>
      <c r="AS78" s="29" t="str">
        <f t="shared" si="81"/>
        <v>#DIV/0!</v>
      </c>
      <c r="AT78" s="29" t="str">
        <f t="shared" si="81"/>
        <v>#DIV/0!</v>
      </c>
      <c r="AU78" s="29" t="str">
        <f t="shared" si="81"/>
        <v>#DIV/0!</v>
      </c>
      <c r="AV78" s="29" t="str">
        <f t="shared" si="81"/>
        <v>#DIV/0!</v>
      </c>
      <c r="AW78" s="29" t="str">
        <f t="shared" si="81"/>
        <v>#DIV/0!</v>
      </c>
      <c r="AX78" s="29" t="str">
        <f t="shared" si="81"/>
        <v>#DIV/0!</v>
      </c>
      <c r="AY78" s="29" t="str">
        <f t="shared" si="81"/>
        <v>#DIV/0!</v>
      </c>
      <c r="AZ78" s="29" t="str">
        <f t="shared" si="81"/>
        <v>#DIV/0!</v>
      </c>
      <c r="BA78" s="29" t="str">
        <f t="shared" si="81"/>
        <v>#DIV/0!</v>
      </c>
      <c r="BB78" s="29" t="str">
        <f t="shared" si="81"/>
        <v>#DIV/0!</v>
      </c>
      <c r="BC78" s="29" t="str">
        <f t="shared" si="81"/>
        <v>#DIV/0!</v>
      </c>
      <c r="BD78" s="29" t="str">
        <f t="shared" si="81"/>
        <v>#DIV/0!</v>
      </c>
      <c r="BE78" s="29" t="str">
        <f t="shared" si="81"/>
        <v>#DIV/0!</v>
      </c>
      <c r="BF78" s="29" t="str">
        <f t="shared" si="81"/>
        <v>#DIV/0!</v>
      </c>
      <c r="BG78" s="29" t="str">
        <f t="shared" si="81"/>
        <v>#DIV/0!</v>
      </c>
      <c r="BH78" s="29" t="str">
        <f t="shared" si="81"/>
        <v>#DIV/0!</v>
      </c>
      <c r="BI78" s="29" t="str">
        <f t="shared" si="81"/>
        <v>#DIV/0!</v>
      </c>
      <c r="BJ78" s="29" t="str">
        <f t="shared" si="81"/>
        <v>#DIV/0!</v>
      </c>
      <c r="BK78" s="29" t="str">
        <f t="shared" si="81"/>
        <v>#DIV/0!</v>
      </c>
      <c r="BL78" s="29" t="str">
        <f t="shared" si="81"/>
        <v>#DIV/0!</v>
      </c>
      <c r="BM78" s="29" t="str">
        <f t="shared" si="3"/>
        <v>#DIV/0!</v>
      </c>
    </row>
    <row r="79">
      <c r="A79" s="16" t="str">
        <f>IFERROR(__xludf.DUMMYFUNCTION("IFERROR(SPARKLINE(SORT(MAP(TRANSPOSE(AQ79:BL79), LAMBDA(val, IF(ISNUMBER(val), PERCENTRANK(AQ79:BL79, val)+0.01, 0))), SEQUENCE(COLUMNS(AQ79:BL79)), FALSE), {""charttype"",""column""; ""color"",""chartreuse""; ""ymin"", 0; ""ymax"", 1.01; ""highcolor"", "&amp;"""darkgreen""; ""lowcolor"", ""red""}), """")"),"")</f>
        <v/>
      </c>
      <c r="B79" s="17" t="str">
        <f t="shared" si="4"/>
        <v/>
      </c>
      <c r="C79" s="45" t="s">
        <v>2920</v>
      </c>
      <c r="D79" s="30" t="str">
        <f>IFERROR(__xludf.DUMMYFUNCTION("IFERROR(GOOGLEFINANCE(C79, ""NAME""))"),"WEC Energy Group Inc")</f>
        <v>WEC Energy Group Inc</v>
      </c>
      <c r="E79" s="30" t="s">
        <v>2660</v>
      </c>
      <c r="F79" s="33" t="str">
        <f>IFERROR(__xludf.DUMMYFUNCTION("( (GOOGLEFINANCE(C79, ""price"") - Q79) / Q79 ) / (R79 / 100)"),"Loading...")</f>
        <v>Loading...</v>
      </c>
      <c r="G79" s="20" t="str">
        <f>IFERROR(__xludf.DUMMYFUNCTION("AVERAGE(ARRAYFORMULA(100 * (QUERY(GOOGLEFINANCE(C79, ""high"", TODAY()-40, TODAY()), ""SELECT Col2 WHERE Col2 IS NOT NULL ORDER BY Col1 DESC LIMIT 20"", 0) / QUERY(GOOGLEFINANCE(C79, ""low"", TODAY()-40, TODAY()), ""SELECT Col2 WHERE Col2 IS NOT NULL ORDE"&amp;"R BY Col1 DESC LIMIT 20"", 0) - 1)))"),"#N/A")</f>
        <v>#N/A</v>
      </c>
      <c r="H79" s="35" t="str">
        <f t="shared" si="6"/>
        <v>Liquid</v>
      </c>
      <c r="I79" s="35" t="str">
        <f t="shared" si="7"/>
        <v>RVol Required</v>
      </c>
      <c r="J79" s="37">
        <f>IFERROR(__xludf.DUMMYFUNCTION("IFERROR(
  IF(C79="""",, 
    IFERROR(
      GOOGLEFINANCE(C79, ""price"") * GOOGLEFINANCE(C79, ""volumeavg""), 
      GOOGLEFINANCE(C79, ""price"") * AVERAGE(QUERY(GOOGLEFINANCE(C79, ""volume"", TODAY()-40, TODAY()), ""SELECT Col2 WHERE Col2 IS NOT NULL "&amp;"ORDER BY Col1 DESC LIMIT 20"", 0))
    )
  ), 
"""")"),2.9663056310999995E8)</f>
        <v>296630563.1</v>
      </c>
      <c r="K79" s="21">
        <f>IFERROR(__xludf.DUMMYFUNCTION("IFERROR(GOOGLEFINANCE(C79, ""changepct"") / 100, """")"),0.0252)</f>
        <v>0.0252</v>
      </c>
      <c r="L79" s="21" t="str">
        <f>IFERROR(__xludf.DUMMYFUNCTION("IFERROR((GOOGLEFINANCE(C79, ""price"") / INDEX(GOOGLEFINANCE(C79, ""price"", TODAY()-7, TODAY()), 2, 2)) - 1, """")"),"")</f>
        <v/>
      </c>
      <c r="M79" s="21" t="str">
        <f>IFERROR(__xludf.DUMMYFUNCTION("IFERROR((GOOGLEFINANCE(C79, ""price"") / INDEX(GOOGLEFINANCE(C79, ""price"", EDATE(TODAY(), -1), TODAY()), 2, 2)) - 1, """")"),"")</f>
        <v/>
      </c>
      <c r="N79" s="21" t="str">
        <f>IFERROR(__xludf.DUMMYFUNCTION("IFERROR((GOOGLEFINANCE(C79, ""price"") / INDEX(GOOGLEFINANCE(C79, ""price"", EDATE(TODAY(), -3), TODAY()), 2, 2)) - 1, """")"),"")</f>
        <v/>
      </c>
      <c r="O79" s="21" t="str">
        <f>IFERROR(__xludf.DUMMYFUNCTION("IFERROR((GOOGLEFINANCE(C79, ""price"") / INDEX(GOOGLEFINANCE(C79, ""price"", EDATE(TODAY(), -6), TODAY()), 2, 2)) - 1, """")"),"")</f>
        <v/>
      </c>
      <c r="P79" s="21" t="str">
        <f>IFERROR(__xludf.DUMMYFUNCTION("IFERROR((GOOGLEFINANCE(C79, ""price"") / INDEX(GOOGLEFINANCE(C79, ""price"", EDATE(TODAY(), -12), TODAY()), 2, 2)) - 1, """")"),"")</f>
        <v/>
      </c>
      <c r="Q79" s="6" t="str">
        <f>IFERROR(__xludf.DUMMYFUNCTION("AVERAGE(QUERY(GOOGLEFINANCE(C79, ""price"", TODAY()-80, TODAY()), ""SELECT Col2 WHERE Col2 IS NOT NULL ORDER BY Col1 DESC LIMIT 50"", 0))"),"#N/A")</f>
        <v>#N/A</v>
      </c>
      <c r="R79" s="24" t="str">
        <f>IFERROR(__xludf.DUMMYFUNCTION("IFERROR(
  LET(
    data, QUERY(GOOGLEFINANCE(C79,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GOOGLEFINANCE(C79, ""price"")) * 100,
    IF(calc=0, G79, calc)
  ), 
G79)"),"#N/A")</f>
        <v>#N/A</v>
      </c>
      <c r="S79" s="8" t="s">
        <v>15</v>
      </c>
      <c r="T79" s="26" t="str">
        <f>IFERROR(__xludf.DUMMYFUNCTION("IFERROR(TRANSPOSE(QUERY(IFERROR(SORT(GOOGLEFINANCE(C79, ""price"", WORKDAY(TODAY(), -40), TODAY()), 1, FALSE)), ""select Col2 where Col2 is not null limit 22 label Col2 ''"", 0)), """")"),"")</f>
        <v/>
      </c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8"/>
      <c r="AO79" s="28"/>
      <c r="AP79" s="29"/>
      <c r="AQ79" s="29" t="str">
        <f t="shared" ref="AQ79:BL79" si="82">T79/T$2</f>
        <v>#N/A</v>
      </c>
      <c r="AR79" s="29" t="str">
        <f t="shared" si="82"/>
        <v>#DIV/0!</v>
      </c>
      <c r="AS79" s="29" t="str">
        <f t="shared" si="82"/>
        <v>#DIV/0!</v>
      </c>
      <c r="AT79" s="29" t="str">
        <f t="shared" si="82"/>
        <v>#DIV/0!</v>
      </c>
      <c r="AU79" s="29" t="str">
        <f t="shared" si="82"/>
        <v>#DIV/0!</v>
      </c>
      <c r="AV79" s="29" t="str">
        <f t="shared" si="82"/>
        <v>#DIV/0!</v>
      </c>
      <c r="AW79" s="29" t="str">
        <f t="shared" si="82"/>
        <v>#DIV/0!</v>
      </c>
      <c r="AX79" s="29" t="str">
        <f t="shared" si="82"/>
        <v>#DIV/0!</v>
      </c>
      <c r="AY79" s="29" t="str">
        <f t="shared" si="82"/>
        <v>#DIV/0!</v>
      </c>
      <c r="AZ79" s="29" t="str">
        <f t="shared" si="82"/>
        <v>#DIV/0!</v>
      </c>
      <c r="BA79" s="29" t="str">
        <f t="shared" si="82"/>
        <v>#DIV/0!</v>
      </c>
      <c r="BB79" s="29" t="str">
        <f t="shared" si="82"/>
        <v>#DIV/0!</v>
      </c>
      <c r="BC79" s="29" t="str">
        <f t="shared" si="82"/>
        <v>#DIV/0!</v>
      </c>
      <c r="BD79" s="29" t="str">
        <f t="shared" si="82"/>
        <v>#DIV/0!</v>
      </c>
      <c r="BE79" s="29" t="str">
        <f t="shared" si="82"/>
        <v>#DIV/0!</v>
      </c>
      <c r="BF79" s="29" t="str">
        <f t="shared" si="82"/>
        <v>#DIV/0!</v>
      </c>
      <c r="BG79" s="29" t="str">
        <f t="shared" si="82"/>
        <v>#DIV/0!</v>
      </c>
      <c r="BH79" s="29" t="str">
        <f t="shared" si="82"/>
        <v>#DIV/0!</v>
      </c>
      <c r="BI79" s="29" t="str">
        <f t="shared" si="82"/>
        <v>#DIV/0!</v>
      </c>
      <c r="BJ79" s="29" t="str">
        <f t="shared" si="82"/>
        <v>#DIV/0!</v>
      </c>
      <c r="BK79" s="29" t="str">
        <f t="shared" si="82"/>
        <v>#DIV/0!</v>
      </c>
      <c r="BL79" s="29" t="str">
        <f t="shared" si="82"/>
        <v>#DIV/0!</v>
      </c>
      <c r="BM79" s="29" t="str">
        <f t="shared" si="3"/>
        <v>#DIV/0!</v>
      </c>
    </row>
    <row r="80">
      <c r="A80" s="16" t="str">
        <f>IFERROR(__xludf.DUMMYFUNCTION("IFERROR(SPARKLINE(SORT(MAP(TRANSPOSE(AQ80:BL80), LAMBDA(val, IF(ISNUMBER(val), PERCENTRANK(AQ80:BL80, val)+0.01, 0))), SEQUENCE(COLUMNS(AQ80:BL80)), FALSE), {""charttype"",""column""; ""color"",""chartreuse""; ""ymin"", 0; ""ymax"", 1.01; ""highcolor"", "&amp;"""darkgreen""; ""lowcolor"", ""red""}), """")"),"")</f>
        <v/>
      </c>
      <c r="B80" s="17" t="str">
        <f t="shared" si="4"/>
        <v/>
      </c>
      <c r="C80" s="45" t="s">
        <v>2926</v>
      </c>
      <c r="D80" s="30" t="str">
        <f>IFERROR(__xludf.DUMMYFUNCTION("IFERROR(GOOGLEFINANCE(C80, ""NAME""))"),"Xcel Energy Inc")</f>
        <v>Xcel Energy Inc</v>
      </c>
      <c r="E80" s="30" t="s">
        <v>2660</v>
      </c>
      <c r="F80" s="33" t="str">
        <f>IFERROR(__xludf.DUMMYFUNCTION("( (GOOGLEFINANCE(C80, ""price"") - Q80) / Q80 ) / (R80 / 100)"),"Loading...")</f>
        <v>Loading...</v>
      </c>
      <c r="G80" s="20" t="str">
        <f>IFERROR(__xludf.DUMMYFUNCTION("AVERAGE(ARRAYFORMULA(100 * (QUERY(GOOGLEFINANCE(C80, ""high"", TODAY()-40, TODAY()), ""SELECT Col2 WHERE Col2 IS NOT NULL ORDER BY Col1 DESC LIMIT 20"", 0) / QUERY(GOOGLEFINANCE(C80, ""low"", TODAY()-40, TODAY()), ""SELECT Col2 WHERE Col2 IS NOT NULL ORDE"&amp;"R BY Col1 DESC LIMIT 20"", 0) - 1)))"),"#N/A")</f>
        <v>#N/A</v>
      </c>
      <c r="H80" s="35" t="str">
        <f t="shared" si="6"/>
        <v>Liquid</v>
      </c>
      <c r="I80" s="35" t="str">
        <f t="shared" si="7"/>
        <v>RVol Required</v>
      </c>
      <c r="J80" s="37">
        <f>IFERROR(__xludf.DUMMYFUNCTION("IFERROR(
  IF(C80="""",, 
    IFERROR(
      GOOGLEFINANCE(C80, ""price"") * GOOGLEFINANCE(C80, ""volumeavg""), 
      GOOGLEFINANCE(C80, ""price"") * AVERAGE(QUERY(GOOGLEFINANCE(C80, ""volume"", TODAY()-40, TODAY()), ""SELECT Col2 WHERE Col2 IS NOT NULL "&amp;"ORDER BY Col1 DESC LIMIT 20"", 0))
    )
  ), 
"""")"),4.3804488754E8)</f>
        <v>438044887.5</v>
      </c>
      <c r="K80" s="21">
        <f>IFERROR(__xludf.DUMMYFUNCTION("IFERROR(GOOGLEFINANCE(C80, ""changepct"") / 100, """")"),0.0158)</f>
        <v>0.0158</v>
      </c>
      <c r="L80" s="21" t="str">
        <f>IFERROR(__xludf.DUMMYFUNCTION("IFERROR((GOOGLEFINANCE(C80, ""price"") / INDEX(GOOGLEFINANCE(C80, ""price"", TODAY()-7, TODAY()), 2, 2)) - 1, """")"),"")</f>
        <v/>
      </c>
      <c r="M80" s="21" t="str">
        <f>IFERROR(__xludf.DUMMYFUNCTION("IFERROR((GOOGLEFINANCE(C80, ""price"") / INDEX(GOOGLEFINANCE(C80, ""price"", EDATE(TODAY(), -1), TODAY()), 2, 2)) - 1, """")"),"")</f>
        <v/>
      </c>
      <c r="N80" s="21" t="str">
        <f>IFERROR(__xludf.DUMMYFUNCTION("IFERROR((GOOGLEFINANCE(C80, ""price"") / INDEX(GOOGLEFINANCE(C80, ""price"", EDATE(TODAY(), -3), TODAY()), 2, 2)) - 1, """")"),"")</f>
        <v/>
      </c>
      <c r="O80" s="21" t="str">
        <f>IFERROR(__xludf.DUMMYFUNCTION("IFERROR((GOOGLEFINANCE(C80, ""price"") / INDEX(GOOGLEFINANCE(C80, ""price"", EDATE(TODAY(), -6), TODAY()), 2, 2)) - 1, """")"),"")</f>
        <v/>
      </c>
      <c r="P80" s="21" t="str">
        <f>IFERROR(__xludf.DUMMYFUNCTION("IFERROR((GOOGLEFINANCE(C80, ""price"") / INDEX(GOOGLEFINANCE(C80, ""price"", EDATE(TODAY(), -12), TODAY()), 2, 2)) - 1, """")"),"")</f>
        <v/>
      </c>
      <c r="Q80" s="6" t="str">
        <f>IFERROR(__xludf.DUMMYFUNCTION("AVERAGE(QUERY(GOOGLEFINANCE(C80, ""price"", TODAY()-80, TODAY()), ""SELECT Col2 WHERE Col2 IS NOT NULL ORDER BY Col1 DESC LIMIT 50"", 0))"),"#N/A")</f>
        <v>#N/A</v>
      </c>
      <c r="R80" s="24" t="str">
        <f>IFERROR(__xludf.DUMMYFUNCTION("IFERROR(
  LET(
    data, QUERY(GOOGLEFINANCE(C80,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GOOGLEFINANCE(C80, ""price"")) * 100,
    IF(calc=0, G80, calc)
  ), 
G80)"),"#N/A")</f>
        <v>#N/A</v>
      </c>
      <c r="S80" s="8" t="s">
        <v>15</v>
      </c>
      <c r="T80" s="26" t="str">
        <f>IFERROR(__xludf.DUMMYFUNCTION("IFERROR(TRANSPOSE(QUERY(IFERROR(SORT(GOOGLEFINANCE(C80, ""price"", WORKDAY(TODAY(), -40), TODAY()), 1, FALSE)), ""select Col2 where Col2 is not null limit 22 label Col2 ''"", 0)), """")"),"")</f>
        <v/>
      </c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8"/>
      <c r="AO80" s="28"/>
      <c r="AP80" s="29"/>
      <c r="AQ80" s="29" t="str">
        <f t="shared" ref="AQ80:BL80" si="83">T80/T$2</f>
        <v>#N/A</v>
      </c>
      <c r="AR80" s="29" t="str">
        <f t="shared" si="83"/>
        <v>#DIV/0!</v>
      </c>
      <c r="AS80" s="29" t="str">
        <f t="shared" si="83"/>
        <v>#DIV/0!</v>
      </c>
      <c r="AT80" s="29" t="str">
        <f t="shared" si="83"/>
        <v>#DIV/0!</v>
      </c>
      <c r="AU80" s="29" t="str">
        <f t="shared" si="83"/>
        <v>#DIV/0!</v>
      </c>
      <c r="AV80" s="29" t="str">
        <f t="shared" si="83"/>
        <v>#DIV/0!</v>
      </c>
      <c r="AW80" s="29" t="str">
        <f t="shared" si="83"/>
        <v>#DIV/0!</v>
      </c>
      <c r="AX80" s="29" t="str">
        <f t="shared" si="83"/>
        <v>#DIV/0!</v>
      </c>
      <c r="AY80" s="29" t="str">
        <f t="shared" si="83"/>
        <v>#DIV/0!</v>
      </c>
      <c r="AZ80" s="29" t="str">
        <f t="shared" si="83"/>
        <v>#DIV/0!</v>
      </c>
      <c r="BA80" s="29" t="str">
        <f t="shared" si="83"/>
        <v>#DIV/0!</v>
      </c>
      <c r="BB80" s="29" t="str">
        <f t="shared" si="83"/>
        <v>#DIV/0!</v>
      </c>
      <c r="BC80" s="29" t="str">
        <f t="shared" si="83"/>
        <v>#DIV/0!</v>
      </c>
      <c r="BD80" s="29" t="str">
        <f t="shared" si="83"/>
        <v>#DIV/0!</v>
      </c>
      <c r="BE80" s="29" t="str">
        <f t="shared" si="83"/>
        <v>#DIV/0!</v>
      </c>
      <c r="BF80" s="29" t="str">
        <f t="shared" si="83"/>
        <v>#DIV/0!</v>
      </c>
      <c r="BG80" s="29" t="str">
        <f t="shared" si="83"/>
        <v>#DIV/0!</v>
      </c>
      <c r="BH80" s="29" t="str">
        <f t="shared" si="83"/>
        <v>#DIV/0!</v>
      </c>
      <c r="BI80" s="29" t="str">
        <f t="shared" si="83"/>
        <v>#DIV/0!</v>
      </c>
      <c r="BJ80" s="29" t="str">
        <f t="shared" si="83"/>
        <v>#DIV/0!</v>
      </c>
      <c r="BK80" s="29" t="str">
        <f t="shared" si="83"/>
        <v>#DIV/0!</v>
      </c>
      <c r="BL80" s="29" t="str">
        <f t="shared" si="83"/>
        <v>#DIV/0!</v>
      </c>
      <c r="BM80" s="29" t="str">
        <f t="shared" si="3"/>
        <v>#DIV/0!</v>
      </c>
    </row>
    <row r="81">
      <c r="A81" s="16" t="str">
        <f>IFERROR(__xludf.DUMMYFUNCTION("IFERROR(SPARKLINE(SORT(MAP(TRANSPOSE(AQ81:BL81), LAMBDA(val, IF(ISNUMBER(val), PERCENTRANK(AQ81:BL81, val)+0.01, 0))), SEQUENCE(COLUMNS(AQ81:BL81)), FALSE), {""charttype"",""column""; ""color"",""chartreuse""; ""ymin"", 0; ""ymax"", 1.01; ""highcolor"", "&amp;"""darkgreen""; ""lowcolor"", ""red""}), """")"),"")</f>
        <v/>
      </c>
      <c r="B81" s="17" t="str">
        <f t="shared" si="4"/>
        <v/>
      </c>
      <c r="C81" s="45" t="s">
        <v>2931</v>
      </c>
      <c r="D81" s="30" t="str">
        <f>IFERROR(__xludf.DUMMYFUNCTION("IFERROR(GOOGLEFINANCE(C81, ""NAME""))"),"Portland General Electric Co")</f>
        <v>Portland General Electric Co</v>
      </c>
      <c r="E81" s="30" t="s">
        <v>2660</v>
      </c>
      <c r="F81" s="33" t="str">
        <f>IFERROR(__xludf.DUMMYFUNCTION("( (GOOGLEFINANCE(C81, ""price"") - Q81) / Q81 ) / (R81 / 100)"),"Loading...")</f>
        <v>Loading...</v>
      </c>
      <c r="G81" s="20" t="str">
        <f>IFERROR(__xludf.DUMMYFUNCTION("AVERAGE(ARRAYFORMULA(100 * (QUERY(GOOGLEFINANCE(C81, ""high"", TODAY()-40, TODAY()), ""SELECT Col2 WHERE Col2 IS NOT NULL ORDER BY Col1 DESC LIMIT 20"", 0) / QUERY(GOOGLEFINANCE(C81, ""low"", TODAY()-40, TODAY()), ""SELECT Col2 WHERE Col2 IS NOT NULL ORDE"&amp;"R BY Col1 DESC LIMIT 20"", 0) - 1)))"),"#N/A")</f>
        <v>#N/A</v>
      </c>
      <c r="H81" s="35" t="str">
        <f t="shared" si="6"/>
        <v>Liquid</v>
      </c>
      <c r="I81" s="35" t="str">
        <f t="shared" si="7"/>
        <v>RVol Required</v>
      </c>
      <c r="J81" s="37">
        <f>IFERROR(__xludf.DUMMYFUNCTION("IFERROR(
  IF(C81="""",, 
    IFERROR(
      GOOGLEFINANCE(C81, ""price"") * GOOGLEFINANCE(C81, ""volumeavg""), 
      GOOGLEFINANCE(C81, ""price"") * AVERAGE(QUERY(GOOGLEFINANCE(C81, ""volume"", TODAY()-40, TODAY()), ""SELECT Col2 WHERE Col2 IS NOT NULL "&amp;"ORDER BY Col1 DESC LIMIT 20"", 0))
    )
  ), 
"""")"),7.014653545E7)</f>
        <v>70146535.45</v>
      </c>
      <c r="K81" s="21">
        <f>IFERROR(__xludf.DUMMYFUNCTION("IFERROR(GOOGLEFINANCE(C81, ""changepct"") / 100, """")"),0.0064)</f>
        <v>0.0064</v>
      </c>
      <c r="L81" s="21" t="str">
        <f>IFERROR(__xludf.DUMMYFUNCTION("IFERROR((GOOGLEFINANCE(C81, ""price"") / INDEX(GOOGLEFINANCE(C81, ""price"", TODAY()-7, TODAY()), 2, 2)) - 1, """")"),"")</f>
        <v/>
      </c>
      <c r="M81" s="21" t="str">
        <f>IFERROR(__xludf.DUMMYFUNCTION("IFERROR((GOOGLEFINANCE(C81, ""price"") / INDEX(GOOGLEFINANCE(C81, ""price"", EDATE(TODAY(), -1), TODAY()), 2, 2)) - 1, """")"),"")</f>
        <v/>
      </c>
      <c r="N81" s="21" t="str">
        <f>IFERROR(__xludf.DUMMYFUNCTION("IFERROR((GOOGLEFINANCE(C81, ""price"") / INDEX(GOOGLEFINANCE(C81, ""price"", EDATE(TODAY(), -3), TODAY()), 2, 2)) - 1, """")"),"")</f>
        <v/>
      </c>
      <c r="O81" s="21" t="str">
        <f>IFERROR(__xludf.DUMMYFUNCTION("IFERROR((GOOGLEFINANCE(C81, ""price"") / INDEX(GOOGLEFINANCE(C81, ""price"", EDATE(TODAY(), -6), TODAY()), 2, 2)) - 1, """")"),"")</f>
        <v/>
      </c>
      <c r="P81" s="21" t="str">
        <f>IFERROR(__xludf.DUMMYFUNCTION("IFERROR((GOOGLEFINANCE(C81, ""price"") / INDEX(GOOGLEFINANCE(C81, ""price"", EDATE(TODAY(), -12), TODAY()), 2, 2)) - 1, """")"),"")</f>
        <v/>
      </c>
      <c r="Q81" s="6" t="str">
        <f>IFERROR(__xludf.DUMMYFUNCTION("AVERAGE(QUERY(GOOGLEFINANCE(C81, ""price"", TODAY()-80, TODAY()), ""SELECT Col2 WHERE Col2 IS NOT NULL ORDER BY Col1 DESC LIMIT 50"", 0))"),"#N/A")</f>
        <v>#N/A</v>
      </c>
      <c r="R81" s="24" t="str">
        <f>IFERROR(__xludf.DUMMYFUNCTION("IFERROR(
  LET(
    data, QUERY(GOOGLEFINANCE(C81,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GOOGLEFINANCE(C81, ""price"")) * 100,
    IF(calc=0, G81, calc)
  ), 
G81)"),"#N/A")</f>
        <v>#N/A</v>
      </c>
      <c r="S81" s="8" t="s">
        <v>15</v>
      </c>
      <c r="T81" s="26" t="str">
        <f>IFERROR(__xludf.DUMMYFUNCTION("IFERROR(TRANSPOSE(QUERY(IFERROR(SORT(GOOGLEFINANCE(C81, ""price"", WORKDAY(TODAY(), -40), TODAY()), 1, FALSE)), ""select Col2 where Col2 is not null limit 22 label Col2 ''"", 0)), """")"),"")</f>
        <v/>
      </c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8"/>
      <c r="AO81" s="28"/>
      <c r="AP81" s="29"/>
      <c r="AQ81" s="29" t="str">
        <f t="shared" ref="AQ81:BL81" si="84">T81/T$2</f>
        <v>#N/A</v>
      </c>
      <c r="AR81" s="29" t="str">
        <f t="shared" si="84"/>
        <v>#DIV/0!</v>
      </c>
      <c r="AS81" s="29" t="str">
        <f t="shared" si="84"/>
        <v>#DIV/0!</v>
      </c>
      <c r="AT81" s="29" t="str">
        <f t="shared" si="84"/>
        <v>#DIV/0!</v>
      </c>
      <c r="AU81" s="29" t="str">
        <f t="shared" si="84"/>
        <v>#DIV/0!</v>
      </c>
      <c r="AV81" s="29" t="str">
        <f t="shared" si="84"/>
        <v>#DIV/0!</v>
      </c>
      <c r="AW81" s="29" t="str">
        <f t="shared" si="84"/>
        <v>#DIV/0!</v>
      </c>
      <c r="AX81" s="29" t="str">
        <f t="shared" si="84"/>
        <v>#DIV/0!</v>
      </c>
      <c r="AY81" s="29" t="str">
        <f t="shared" si="84"/>
        <v>#DIV/0!</v>
      </c>
      <c r="AZ81" s="29" t="str">
        <f t="shared" si="84"/>
        <v>#DIV/0!</v>
      </c>
      <c r="BA81" s="29" t="str">
        <f t="shared" si="84"/>
        <v>#DIV/0!</v>
      </c>
      <c r="BB81" s="29" t="str">
        <f t="shared" si="84"/>
        <v>#DIV/0!</v>
      </c>
      <c r="BC81" s="29" t="str">
        <f t="shared" si="84"/>
        <v>#DIV/0!</v>
      </c>
      <c r="BD81" s="29" t="str">
        <f t="shared" si="84"/>
        <v>#DIV/0!</v>
      </c>
      <c r="BE81" s="29" t="str">
        <f t="shared" si="84"/>
        <v>#DIV/0!</v>
      </c>
      <c r="BF81" s="29" t="str">
        <f t="shared" si="84"/>
        <v>#DIV/0!</v>
      </c>
      <c r="BG81" s="29" t="str">
        <f t="shared" si="84"/>
        <v>#DIV/0!</v>
      </c>
      <c r="BH81" s="29" t="str">
        <f t="shared" si="84"/>
        <v>#DIV/0!</v>
      </c>
      <c r="BI81" s="29" t="str">
        <f t="shared" si="84"/>
        <v>#DIV/0!</v>
      </c>
      <c r="BJ81" s="29" t="str">
        <f t="shared" si="84"/>
        <v>#DIV/0!</v>
      </c>
      <c r="BK81" s="29" t="str">
        <f t="shared" si="84"/>
        <v>#DIV/0!</v>
      </c>
      <c r="BL81" s="29" t="str">
        <f t="shared" si="84"/>
        <v>#DIV/0!</v>
      </c>
      <c r="BM81" s="29" t="str">
        <f t="shared" si="3"/>
        <v>#DIV/0!</v>
      </c>
    </row>
    <row r="82">
      <c r="A82" s="16" t="str">
        <f>IFERROR(__xludf.DUMMYFUNCTION("IFERROR(SPARKLINE(SORT(MAP(TRANSPOSE(AQ82:BL82), LAMBDA(val, IF(ISNUMBER(val), PERCENTRANK(AQ82:BL82, val)+0.01, 0))), SEQUENCE(COLUMNS(AQ82:BL82)), FALSE), {""charttype"",""column""; ""color"",""chartreuse""; ""ymin"", 0; ""ymax"", 1.01; ""highcolor"", "&amp;"""darkgreen""; ""lowcolor"", ""red""}), """")"),"")</f>
        <v/>
      </c>
      <c r="B82" s="17" t="str">
        <f t="shared" si="4"/>
        <v/>
      </c>
      <c r="C82" s="45" t="s">
        <v>2936</v>
      </c>
      <c r="D82" s="30" t="str">
        <f>IFERROR(__xludf.DUMMYFUNCTION("IFERROR(GOOGLEFINANCE(C82, ""NAME""))"),"Chesapeake Utilities Corp")</f>
        <v>Chesapeake Utilities Corp</v>
      </c>
      <c r="E82" s="30" t="s">
        <v>2651</v>
      </c>
      <c r="F82" s="33" t="str">
        <f>IFERROR(__xludf.DUMMYFUNCTION("( (GOOGLEFINANCE(C82, ""price"") - Q82) / Q82 ) / (R82 / 100)"),"Loading...")</f>
        <v>Loading...</v>
      </c>
      <c r="G82" s="20" t="str">
        <f>IFERROR(__xludf.DUMMYFUNCTION("AVERAGE(ARRAYFORMULA(100 * (QUERY(GOOGLEFINANCE(C82, ""high"", TODAY()-40, TODAY()), ""SELECT Col2 WHERE Col2 IS NOT NULL ORDER BY Col1 DESC LIMIT 20"", 0) / QUERY(GOOGLEFINANCE(C82, ""low"", TODAY()-40, TODAY()), ""SELECT Col2 WHERE Col2 IS NOT NULL ORDE"&amp;"R BY Col1 DESC LIMIT 20"", 0) - 1)))"),"#N/A")</f>
        <v>#N/A</v>
      </c>
      <c r="H82" s="35" t="str">
        <f t="shared" si="6"/>
        <v>Illiquid</v>
      </c>
      <c r="I82" s="35" t="str">
        <f t="shared" si="7"/>
        <v>RVol Required</v>
      </c>
      <c r="J82" s="37">
        <f>IFERROR(__xludf.DUMMYFUNCTION("IFERROR(
  IF(C82="""",, 
    IFERROR(
      GOOGLEFINANCE(C82, ""price"") * GOOGLEFINANCE(C82, ""volumeavg""), 
      GOOGLEFINANCE(C82, ""price"") * AVERAGE(QUERY(GOOGLEFINANCE(C82, ""volume"", TODAY()-40, TODAY()), ""SELECT Col2 WHERE Col2 IS NOT NULL "&amp;"ORDER BY Col1 DESC LIMIT 20"", 0))
    )
  ), 
"""")"),2.394916548E7)</f>
        <v>23949165.48</v>
      </c>
      <c r="K82" s="21">
        <f>IFERROR(__xludf.DUMMYFUNCTION("IFERROR(GOOGLEFINANCE(C82, ""changepct"") / 100, """")"),0.0116)</f>
        <v>0.0116</v>
      </c>
      <c r="L82" s="21" t="str">
        <f>IFERROR(__xludf.DUMMYFUNCTION("IFERROR((GOOGLEFINANCE(C82, ""price"") / INDEX(GOOGLEFINANCE(C82, ""price"", TODAY()-7, TODAY()), 2, 2)) - 1, """")"),"")</f>
        <v/>
      </c>
      <c r="M82" s="21" t="str">
        <f>IFERROR(__xludf.DUMMYFUNCTION("IFERROR((GOOGLEFINANCE(C82, ""price"") / INDEX(GOOGLEFINANCE(C82, ""price"", EDATE(TODAY(), -1), TODAY()), 2, 2)) - 1, """")"),"")</f>
        <v/>
      </c>
      <c r="N82" s="21" t="str">
        <f>IFERROR(__xludf.DUMMYFUNCTION("IFERROR((GOOGLEFINANCE(C82, ""price"") / INDEX(GOOGLEFINANCE(C82, ""price"", EDATE(TODAY(), -3), TODAY()), 2, 2)) - 1, """")"),"")</f>
        <v/>
      </c>
      <c r="O82" s="21" t="str">
        <f>IFERROR(__xludf.DUMMYFUNCTION("IFERROR((GOOGLEFINANCE(C82, ""price"") / INDEX(GOOGLEFINANCE(C82, ""price"", EDATE(TODAY(), -6), TODAY()), 2, 2)) - 1, """")"),"")</f>
        <v/>
      </c>
      <c r="P82" s="21" t="str">
        <f>IFERROR(__xludf.DUMMYFUNCTION("IFERROR((GOOGLEFINANCE(C82, ""price"") / INDEX(GOOGLEFINANCE(C82, ""price"", EDATE(TODAY(), -12), TODAY()), 2, 2)) - 1, """")"),"")</f>
        <v/>
      </c>
      <c r="Q82" s="6" t="str">
        <f>IFERROR(__xludf.DUMMYFUNCTION("AVERAGE(QUERY(GOOGLEFINANCE(C82, ""price"", TODAY()-80, TODAY()), ""SELECT Col2 WHERE Col2 IS NOT NULL ORDER BY Col1 DESC LIMIT 50"", 0))"),"#N/A")</f>
        <v>#N/A</v>
      </c>
      <c r="R82" s="24" t="str">
        <f>IFERROR(__xludf.DUMMYFUNCTION("IFERROR(
  LET(
    data, QUERY(GOOGLEFINANCE(C82,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GOOGLEFINANCE(C82, ""price"")) * 100,
    IF(calc=0, G82, calc)
  ), 
G82)"),"#N/A")</f>
        <v>#N/A</v>
      </c>
      <c r="S82" s="8" t="s">
        <v>15</v>
      </c>
      <c r="T82" s="26" t="str">
        <f>IFERROR(__xludf.DUMMYFUNCTION("IFERROR(TRANSPOSE(QUERY(IFERROR(SORT(GOOGLEFINANCE(C82, ""price"", WORKDAY(TODAY(), -40), TODAY()), 1, FALSE)), ""select Col2 where Col2 is not null limit 22 label Col2 ''"", 0)), """")"),"")</f>
        <v/>
      </c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8"/>
      <c r="AO82" s="28"/>
      <c r="AP82" s="29"/>
      <c r="AQ82" s="29" t="str">
        <f t="shared" ref="AQ82:BL82" si="85">T82/T$2</f>
        <v>#N/A</v>
      </c>
      <c r="AR82" s="29" t="str">
        <f t="shared" si="85"/>
        <v>#DIV/0!</v>
      </c>
      <c r="AS82" s="29" t="str">
        <f t="shared" si="85"/>
        <v>#DIV/0!</v>
      </c>
      <c r="AT82" s="29" t="str">
        <f t="shared" si="85"/>
        <v>#DIV/0!</v>
      </c>
      <c r="AU82" s="29" t="str">
        <f t="shared" si="85"/>
        <v>#DIV/0!</v>
      </c>
      <c r="AV82" s="29" t="str">
        <f t="shared" si="85"/>
        <v>#DIV/0!</v>
      </c>
      <c r="AW82" s="29" t="str">
        <f t="shared" si="85"/>
        <v>#DIV/0!</v>
      </c>
      <c r="AX82" s="29" t="str">
        <f t="shared" si="85"/>
        <v>#DIV/0!</v>
      </c>
      <c r="AY82" s="29" t="str">
        <f t="shared" si="85"/>
        <v>#DIV/0!</v>
      </c>
      <c r="AZ82" s="29" t="str">
        <f t="shared" si="85"/>
        <v>#DIV/0!</v>
      </c>
      <c r="BA82" s="29" t="str">
        <f t="shared" si="85"/>
        <v>#DIV/0!</v>
      </c>
      <c r="BB82" s="29" t="str">
        <f t="shared" si="85"/>
        <v>#DIV/0!</v>
      </c>
      <c r="BC82" s="29" t="str">
        <f t="shared" si="85"/>
        <v>#DIV/0!</v>
      </c>
      <c r="BD82" s="29" t="str">
        <f t="shared" si="85"/>
        <v>#DIV/0!</v>
      </c>
      <c r="BE82" s="29" t="str">
        <f t="shared" si="85"/>
        <v>#DIV/0!</v>
      </c>
      <c r="BF82" s="29" t="str">
        <f t="shared" si="85"/>
        <v>#DIV/0!</v>
      </c>
      <c r="BG82" s="29" t="str">
        <f t="shared" si="85"/>
        <v>#DIV/0!</v>
      </c>
      <c r="BH82" s="29" t="str">
        <f t="shared" si="85"/>
        <v>#DIV/0!</v>
      </c>
      <c r="BI82" s="29" t="str">
        <f t="shared" si="85"/>
        <v>#DIV/0!</v>
      </c>
      <c r="BJ82" s="29" t="str">
        <f t="shared" si="85"/>
        <v>#DIV/0!</v>
      </c>
      <c r="BK82" s="29" t="str">
        <f t="shared" si="85"/>
        <v>#DIV/0!</v>
      </c>
      <c r="BL82" s="29" t="str">
        <f t="shared" si="85"/>
        <v>#DIV/0!</v>
      </c>
      <c r="BM82" s="29" t="str">
        <f t="shared" si="3"/>
        <v>#DIV/0!</v>
      </c>
    </row>
    <row r="83">
      <c r="A83" s="16" t="str">
        <f>IFERROR(__xludf.DUMMYFUNCTION("IFERROR(SPARKLINE(SORT(MAP(TRANSPOSE(AQ83:BL83), LAMBDA(val, IF(ISNUMBER(val), PERCENTRANK(AQ83:BL83, val)+0.01, 0))), SEQUENCE(COLUMNS(AQ83:BL83)), FALSE), {""charttype"",""column""; ""color"",""chartreuse""; ""ymin"", 0; ""ymax"", 1.01; ""highcolor"", "&amp;"""darkgreen""; ""lowcolor"", ""red""}), """")"),"")</f>
        <v/>
      </c>
      <c r="B83" s="17" t="str">
        <f t="shared" si="4"/>
        <v/>
      </c>
      <c r="C83" s="45" t="s">
        <v>2939</v>
      </c>
      <c r="D83" s="30" t="str">
        <f>IFERROR(__xludf.DUMMYFUNCTION("IFERROR(GOOGLEFINANCE(C83, ""NAME""))"),"Southwest Gas Holdings Inc")</f>
        <v>Southwest Gas Holdings Inc</v>
      </c>
      <c r="E83" s="30" t="s">
        <v>2651</v>
      </c>
      <c r="F83" s="38" t="str">
        <f>IFERROR(__xludf.DUMMYFUNCTION("( (GOOGLEFINANCE(C83, ""price"") - Q83) / Q83 ) / (R83 / 100)"),"Loading...")</f>
        <v>Loading...</v>
      </c>
      <c r="G83" s="20" t="str">
        <f>IFERROR(__xludf.DUMMYFUNCTION("AVERAGE(ARRAYFORMULA(100 * (QUERY(GOOGLEFINANCE(C83, ""high"", TODAY()-40, TODAY()), ""SELECT Col2 WHERE Col2 IS NOT NULL ORDER BY Col1 DESC LIMIT 20"", 0) / QUERY(GOOGLEFINANCE(C83, ""low"", TODAY()-40, TODAY()), ""SELECT Col2 WHERE Col2 IS NOT NULL ORDE"&amp;"R BY Col1 DESC LIMIT 20"", 0) - 1)))"),"#N/A")</f>
        <v>#N/A</v>
      </c>
      <c r="H83" s="35" t="str">
        <f t="shared" si="6"/>
        <v>Liquid</v>
      </c>
      <c r="I83" s="35" t="str">
        <f t="shared" si="7"/>
        <v>RVol Required</v>
      </c>
      <c r="J83" s="37">
        <f>IFERROR(__xludf.DUMMYFUNCTION("IFERROR(
  IF(C83="""",, 
    IFERROR(
      GOOGLEFINANCE(C83, ""price"") * GOOGLEFINANCE(C83, ""volumeavg""), 
      GOOGLEFINANCE(C83, ""price"") * AVERAGE(QUERY(GOOGLEFINANCE(C83, ""volume"", TODAY()-40, TODAY()), ""SELECT Col2 WHERE Col2 IS NOT NULL "&amp;"ORDER BY Col1 DESC LIMIT 20"", 0))
    )
  ), 
"""")"),6.524443365E7)</f>
        <v>65244433.65</v>
      </c>
      <c r="K83" s="21">
        <f>IFERROR(__xludf.DUMMYFUNCTION("IFERROR(GOOGLEFINANCE(C83, ""changepct"") / 100, """")"),0.014499999999999999)</f>
        <v>0.0145</v>
      </c>
      <c r="L83" s="21" t="str">
        <f>IFERROR(__xludf.DUMMYFUNCTION("IFERROR((GOOGLEFINANCE(C83, ""price"") / INDEX(GOOGLEFINANCE(C83, ""price"", TODAY()-7, TODAY()), 2, 2)) - 1, """")"),"")</f>
        <v/>
      </c>
      <c r="M83" s="21" t="str">
        <f>IFERROR(__xludf.DUMMYFUNCTION("IFERROR((GOOGLEFINANCE(C83, ""price"") / INDEX(GOOGLEFINANCE(C83, ""price"", EDATE(TODAY(), -1), TODAY()), 2, 2)) - 1, """")"),"")</f>
        <v/>
      </c>
      <c r="N83" s="21" t="str">
        <f>IFERROR(__xludf.DUMMYFUNCTION("IFERROR((GOOGLEFINANCE(C83, ""price"") / INDEX(GOOGLEFINANCE(C83, ""price"", EDATE(TODAY(), -3), TODAY()), 2, 2)) - 1, """")"),"")</f>
        <v/>
      </c>
      <c r="O83" s="21" t="str">
        <f>IFERROR(__xludf.DUMMYFUNCTION("IFERROR((GOOGLEFINANCE(C83, ""price"") / INDEX(GOOGLEFINANCE(C83, ""price"", EDATE(TODAY(), -6), TODAY()), 2, 2)) - 1, """")"),"")</f>
        <v/>
      </c>
      <c r="P83" s="21" t="str">
        <f>IFERROR(__xludf.DUMMYFUNCTION("IFERROR((GOOGLEFINANCE(C83, ""price"") / INDEX(GOOGLEFINANCE(C83, ""price"", EDATE(TODAY(), -12), TODAY()), 2, 2)) - 1, """")"),"")</f>
        <v/>
      </c>
      <c r="Q83" s="6" t="str">
        <f>IFERROR(__xludf.DUMMYFUNCTION("AVERAGE(QUERY(GOOGLEFINANCE(C83, ""price"", TODAY()-80, TODAY()), ""SELECT Col2 WHERE Col2 IS NOT NULL ORDER BY Col1 DESC LIMIT 50"", 0))"),"#N/A")</f>
        <v>#N/A</v>
      </c>
      <c r="R83" s="24" t="str">
        <f>IFERROR(__xludf.DUMMYFUNCTION("IFERROR(
  LET(
    data, QUERY(GOOGLEFINANCE(C83,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GOOGLEFINANCE(C83, ""price"")) * 100,
    IF(calc=0, G83, calc)
  ), 
G83)"),"#N/A")</f>
        <v>#N/A</v>
      </c>
      <c r="S83" s="8" t="s">
        <v>15</v>
      </c>
      <c r="T83" s="26" t="str">
        <f>IFERROR(__xludf.DUMMYFUNCTION("IFERROR(TRANSPOSE(QUERY(IFERROR(SORT(GOOGLEFINANCE(C83, ""price"", WORKDAY(TODAY(), -40), TODAY()), 1, FALSE)), ""select Col2 where Col2 is not null limit 22 label Col2 ''"", 0)), """")"),"")</f>
        <v/>
      </c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8"/>
      <c r="AO83" s="28"/>
      <c r="AP83" s="29"/>
      <c r="AQ83" s="29" t="str">
        <f t="shared" ref="AQ83:BL83" si="86">T83/T$2</f>
        <v>#N/A</v>
      </c>
      <c r="AR83" s="29" t="str">
        <f t="shared" si="86"/>
        <v>#DIV/0!</v>
      </c>
      <c r="AS83" s="29" t="str">
        <f t="shared" si="86"/>
        <v>#DIV/0!</v>
      </c>
      <c r="AT83" s="29" t="str">
        <f t="shared" si="86"/>
        <v>#DIV/0!</v>
      </c>
      <c r="AU83" s="29" t="str">
        <f t="shared" si="86"/>
        <v>#DIV/0!</v>
      </c>
      <c r="AV83" s="29" t="str">
        <f t="shared" si="86"/>
        <v>#DIV/0!</v>
      </c>
      <c r="AW83" s="29" t="str">
        <f t="shared" si="86"/>
        <v>#DIV/0!</v>
      </c>
      <c r="AX83" s="29" t="str">
        <f t="shared" si="86"/>
        <v>#DIV/0!</v>
      </c>
      <c r="AY83" s="29" t="str">
        <f t="shared" si="86"/>
        <v>#DIV/0!</v>
      </c>
      <c r="AZ83" s="29" t="str">
        <f t="shared" si="86"/>
        <v>#DIV/0!</v>
      </c>
      <c r="BA83" s="29" t="str">
        <f t="shared" si="86"/>
        <v>#DIV/0!</v>
      </c>
      <c r="BB83" s="29" t="str">
        <f t="shared" si="86"/>
        <v>#DIV/0!</v>
      </c>
      <c r="BC83" s="29" t="str">
        <f t="shared" si="86"/>
        <v>#DIV/0!</v>
      </c>
      <c r="BD83" s="29" t="str">
        <f t="shared" si="86"/>
        <v>#DIV/0!</v>
      </c>
      <c r="BE83" s="29" t="str">
        <f t="shared" si="86"/>
        <v>#DIV/0!</v>
      </c>
      <c r="BF83" s="29" t="str">
        <f t="shared" si="86"/>
        <v>#DIV/0!</v>
      </c>
      <c r="BG83" s="29" t="str">
        <f t="shared" si="86"/>
        <v>#DIV/0!</v>
      </c>
      <c r="BH83" s="29" t="str">
        <f t="shared" si="86"/>
        <v>#DIV/0!</v>
      </c>
      <c r="BI83" s="29" t="str">
        <f t="shared" si="86"/>
        <v>#DIV/0!</v>
      </c>
      <c r="BJ83" s="29" t="str">
        <f t="shared" si="86"/>
        <v>#DIV/0!</v>
      </c>
      <c r="BK83" s="29" t="str">
        <f t="shared" si="86"/>
        <v>#DIV/0!</v>
      </c>
      <c r="BL83" s="29" t="str">
        <f t="shared" si="86"/>
        <v>#DIV/0!</v>
      </c>
      <c r="BM83" s="29" t="str">
        <f t="shared" si="3"/>
        <v>#DIV/0!</v>
      </c>
    </row>
    <row r="84">
      <c r="A84" s="16" t="str">
        <f>IFERROR(__xludf.DUMMYFUNCTION("IFERROR(SPARKLINE(SORT(MAP(TRANSPOSE(AQ84:BL84), LAMBDA(val, IF(ISNUMBER(val), PERCENTRANK(AQ84:BL84, val)+0.01, 0))), SEQUENCE(COLUMNS(AQ84:BL84)), FALSE), {""charttype"",""column""; ""color"",""chartreuse""; ""ymin"", 0; ""ymax"", 1.01; ""highcolor"", "&amp;"""darkgreen""; ""lowcolor"", ""red""}), """")"),"")</f>
        <v/>
      </c>
      <c r="B84" s="17" t="str">
        <f t="shared" si="4"/>
        <v/>
      </c>
      <c r="C84" s="45" t="s">
        <v>2944</v>
      </c>
      <c r="D84" s="30" t="str">
        <f>IFERROR(__xludf.DUMMYFUNCTION("IFERROR(GOOGLEFINANCE(C84, ""NAME""))"),"Opal Fuels Inc")</f>
        <v>Opal Fuels Inc</v>
      </c>
      <c r="E84" s="30" t="s">
        <v>2651</v>
      </c>
      <c r="F84" s="33" t="str">
        <f>IFERROR(__xludf.DUMMYFUNCTION("( (GOOGLEFINANCE(C84, ""price"") - Q84) / Q84 ) / (R84 / 100)"),"Loading...")</f>
        <v>Loading...</v>
      </c>
      <c r="G84" s="20" t="str">
        <f>IFERROR(__xludf.DUMMYFUNCTION("AVERAGE(ARRAYFORMULA(100 * (QUERY(GOOGLEFINANCE(C84, ""high"", TODAY()-40, TODAY()), ""SELECT Col2 WHERE Col2 IS NOT NULL ORDER BY Col1 DESC LIMIT 20"", 0) / QUERY(GOOGLEFINANCE(C84, ""low"", TODAY()-40, TODAY()), ""SELECT Col2 WHERE Col2 IS NOT NULL ORDE"&amp;"R BY Col1 DESC LIMIT 20"", 0) - 1)))"),"#N/A")</f>
        <v>#N/A</v>
      </c>
      <c r="H84" s="35" t="str">
        <f t="shared" si="6"/>
        <v>Illiquid</v>
      </c>
      <c r="I84" s="35" t="str">
        <f t="shared" si="7"/>
        <v>RVol Required</v>
      </c>
      <c r="J84" s="37">
        <f>IFERROR(__xludf.DUMMYFUNCTION("IFERROR(
  IF(C84="""",, 
    IFERROR(
      GOOGLEFINANCE(C84, ""price"") * GOOGLEFINANCE(C84, ""volumeavg""), 
      GOOGLEFINANCE(C84, ""price"") * AVERAGE(QUERY(GOOGLEFINANCE(C84, ""volume"", TODAY()-40, TODAY()), ""SELECT Col2 WHERE Col2 IS NOT NULL "&amp;"ORDER BY Col1 DESC LIMIT 20"", 0))
    )
  ), 
"""")"),484819.92000000004)</f>
        <v>484819.92</v>
      </c>
      <c r="K84" s="21">
        <f>IFERROR(__xludf.DUMMYFUNCTION("IFERROR(GOOGLEFINANCE(C84, ""changepct"") / 100, """")"),-0.0064)</f>
        <v>-0.0064</v>
      </c>
      <c r="L84" s="21" t="str">
        <f>IFERROR(__xludf.DUMMYFUNCTION("IFERROR((GOOGLEFINANCE(C84, ""price"") / INDEX(GOOGLEFINANCE(C84, ""price"", TODAY()-7, TODAY()), 2, 2)) - 1, """")"),"")</f>
        <v/>
      </c>
      <c r="M84" s="21" t="str">
        <f>IFERROR(__xludf.DUMMYFUNCTION("IFERROR((GOOGLEFINANCE(C84, ""price"") / INDEX(GOOGLEFINANCE(C84, ""price"", EDATE(TODAY(), -1), TODAY()), 2, 2)) - 1, """")"),"")</f>
        <v/>
      </c>
      <c r="N84" s="21" t="str">
        <f>IFERROR(__xludf.DUMMYFUNCTION("IFERROR((GOOGLEFINANCE(C84, ""price"") / INDEX(GOOGLEFINANCE(C84, ""price"", EDATE(TODAY(), -3), TODAY()), 2, 2)) - 1, """")"),"")</f>
        <v/>
      </c>
      <c r="O84" s="21" t="str">
        <f>IFERROR(__xludf.DUMMYFUNCTION("IFERROR((GOOGLEFINANCE(C84, ""price"") / INDEX(GOOGLEFINANCE(C84, ""price"", EDATE(TODAY(), -6), TODAY()), 2, 2)) - 1, """")"),"")</f>
        <v/>
      </c>
      <c r="P84" s="21" t="str">
        <f>IFERROR(__xludf.DUMMYFUNCTION("IFERROR((GOOGLEFINANCE(C84, ""price"") / INDEX(GOOGLEFINANCE(C84, ""price"", EDATE(TODAY(), -12), TODAY()), 2, 2)) - 1, """")"),"")</f>
        <v/>
      </c>
      <c r="Q84" s="6" t="str">
        <f>IFERROR(__xludf.DUMMYFUNCTION("AVERAGE(QUERY(GOOGLEFINANCE(C84, ""price"", TODAY()-80, TODAY()), ""SELECT Col2 WHERE Col2 IS NOT NULL ORDER BY Col1 DESC LIMIT 50"", 0))"),"#N/A")</f>
        <v>#N/A</v>
      </c>
      <c r="R84" s="24" t="str">
        <f>IFERROR(__xludf.DUMMYFUNCTION("IFERROR(
  LET(
    data, QUERY(GOOGLEFINANCE(C84,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GOOGLEFINANCE(C84, ""price"")) * 100,
    IF(calc=0, G84, calc)
  ), 
G84)"),"#N/A")</f>
        <v>#N/A</v>
      </c>
      <c r="S84" s="8" t="s">
        <v>15</v>
      </c>
      <c r="T84" s="26" t="str">
        <f>IFERROR(__xludf.DUMMYFUNCTION("IFERROR(TRANSPOSE(QUERY(IFERROR(SORT(GOOGLEFINANCE(C84, ""price"", WORKDAY(TODAY(), -40), TODAY()), 1, FALSE)), ""select Col2 where Col2 is not null limit 22 label Col2 ''"", 0)), """")"),"")</f>
        <v/>
      </c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8"/>
      <c r="AO84" s="28"/>
      <c r="AP84" s="29"/>
      <c r="AQ84" s="29" t="str">
        <f t="shared" ref="AQ84:BL84" si="87">T84/T$2</f>
        <v>#N/A</v>
      </c>
      <c r="AR84" s="29" t="str">
        <f t="shared" si="87"/>
        <v>#DIV/0!</v>
      </c>
      <c r="AS84" s="29" t="str">
        <f t="shared" si="87"/>
        <v>#DIV/0!</v>
      </c>
      <c r="AT84" s="29" t="str">
        <f t="shared" si="87"/>
        <v>#DIV/0!</v>
      </c>
      <c r="AU84" s="29" t="str">
        <f t="shared" si="87"/>
        <v>#DIV/0!</v>
      </c>
      <c r="AV84" s="29" t="str">
        <f t="shared" si="87"/>
        <v>#DIV/0!</v>
      </c>
      <c r="AW84" s="29" t="str">
        <f t="shared" si="87"/>
        <v>#DIV/0!</v>
      </c>
      <c r="AX84" s="29" t="str">
        <f t="shared" si="87"/>
        <v>#DIV/0!</v>
      </c>
      <c r="AY84" s="29" t="str">
        <f t="shared" si="87"/>
        <v>#DIV/0!</v>
      </c>
      <c r="AZ84" s="29" t="str">
        <f t="shared" si="87"/>
        <v>#DIV/0!</v>
      </c>
      <c r="BA84" s="29" t="str">
        <f t="shared" si="87"/>
        <v>#DIV/0!</v>
      </c>
      <c r="BB84" s="29" t="str">
        <f t="shared" si="87"/>
        <v>#DIV/0!</v>
      </c>
      <c r="BC84" s="29" t="str">
        <f t="shared" si="87"/>
        <v>#DIV/0!</v>
      </c>
      <c r="BD84" s="29" t="str">
        <f t="shared" si="87"/>
        <v>#DIV/0!</v>
      </c>
      <c r="BE84" s="29" t="str">
        <f t="shared" si="87"/>
        <v>#DIV/0!</v>
      </c>
      <c r="BF84" s="29" t="str">
        <f t="shared" si="87"/>
        <v>#DIV/0!</v>
      </c>
      <c r="BG84" s="29" t="str">
        <f t="shared" si="87"/>
        <v>#DIV/0!</v>
      </c>
      <c r="BH84" s="29" t="str">
        <f t="shared" si="87"/>
        <v>#DIV/0!</v>
      </c>
      <c r="BI84" s="29" t="str">
        <f t="shared" si="87"/>
        <v>#DIV/0!</v>
      </c>
      <c r="BJ84" s="29" t="str">
        <f t="shared" si="87"/>
        <v>#DIV/0!</v>
      </c>
      <c r="BK84" s="29" t="str">
        <f t="shared" si="87"/>
        <v>#DIV/0!</v>
      </c>
      <c r="BL84" s="29" t="str">
        <f t="shared" si="87"/>
        <v>#DIV/0!</v>
      </c>
      <c r="BM84" s="29" t="str">
        <f t="shared" si="3"/>
        <v>#DIV/0!</v>
      </c>
    </row>
    <row r="85">
      <c r="A85" s="16" t="str">
        <f>IFERROR(__xludf.DUMMYFUNCTION("IFERROR(SPARKLINE(SORT(MAP(TRANSPOSE(AQ85:BL85), LAMBDA(val, IF(ISNUMBER(val), PERCENTRANK(AQ85:BL85, val)+0.01, 0))), SEQUENCE(COLUMNS(AQ85:BL85)), FALSE), {""charttype"",""column""; ""color"",""chartreuse""; ""ymin"", 0; ""ymax"", 1.01; ""highcolor"", "&amp;"""darkgreen""; ""lowcolor"", ""red""}), """")"),"")</f>
        <v/>
      </c>
      <c r="B85" s="17" t="str">
        <f t="shared" si="4"/>
        <v/>
      </c>
      <c r="C85" s="45" t="s">
        <v>2948</v>
      </c>
      <c r="D85" s="30" t="str">
        <f>IFERROR(__xludf.DUMMYFUNCTION("IFERROR(GOOGLEFINANCE(C85, ""NAME""))"),"IDACORP Inc")</f>
        <v>IDACORP Inc</v>
      </c>
      <c r="E85" s="30" t="s">
        <v>2660</v>
      </c>
      <c r="F85" s="33" t="str">
        <f>IFERROR(__xludf.DUMMYFUNCTION("( (GOOGLEFINANCE(C85, ""price"") - Q85) / Q85 ) / (R85 / 100)"),"Loading...")</f>
        <v>Loading...</v>
      </c>
      <c r="G85" s="20" t="str">
        <f>IFERROR(__xludf.DUMMYFUNCTION("AVERAGE(ARRAYFORMULA(100 * (QUERY(GOOGLEFINANCE(C85, ""high"", TODAY()-40, TODAY()), ""SELECT Col2 WHERE Col2 IS NOT NULL ORDER BY Col1 DESC LIMIT 20"", 0) / QUERY(GOOGLEFINANCE(C85, ""low"", TODAY()-40, TODAY()), ""SELECT Col2 WHERE Col2 IS NOT NULL ORDE"&amp;"R BY Col1 DESC LIMIT 20"", 0) - 1)))"),"#N/A")</f>
        <v>#N/A</v>
      </c>
      <c r="H85" s="35" t="str">
        <f t="shared" si="6"/>
        <v>Liquid</v>
      </c>
      <c r="I85" s="35" t="str">
        <f t="shared" si="7"/>
        <v>RVol Required</v>
      </c>
      <c r="J85" s="37">
        <f>IFERROR(__xludf.DUMMYFUNCTION("IFERROR(
  IF(C85="""",, 
    IFERROR(
      GOOGLEFINANCE(C85, ""price"") * GOOGLEFINANCE(C85, ""volumeavg""), 
      GOOGLEFINANCE(C85, ""price"") * AVERAGE(QUERY(GOOGLEFINANCE(C85, ""volume"", TODAY()-40, TODAY()), ""SELECT Col2 WHERE Col2 IS NOT NULL "&amp;"ORDER BY Col1 DESC LIMIT 20"", 0))
    )
  ), 
"""")"),8.898927330000001E7)</f>
        <v>88989273.3</v>
      </c>
      <c r="K85" s="21">
        <f>IFERROR(__xludf.DUMMYFUNCTION("IFERROR(GOOGLEFINANCE(C85, ""changepct"") / 100, """")"),0.010700000000000001)</f>
        <v>0.0107</v>
      </c>
      <c r="L85" s="21" t="str">
        <f>IFERROR(__xludf.DUMMYFUNCTION("IFERROR((GOOGLEFINANCE(C85, ""price"") / INDEX(GOOGLEFINANCE(C85, ""price"", TODAY()-7, TODAY()), 2, 2)) - 1, """")"),"")</f>
        <v/>
      </c>
      <c r="M85" s="21" t="str">
        <f>IFERROR(__xludf.DUMMYFUNCTION("IFERROR((GOOGLEFINANCE(C85, ""price"") / INDEX(GOOGLEFINANCE(C85, ""price"", EDATE(TODAY(), -1), TODAY()), 2, 2)) - 1, """")"),"")</f>
        <v/>
      </c>
      <c r="N85" s="21" t="str">
        <f>IFERROR(__xludf.DUMMYFUNCTION("IFERROR((GOOGLEFINANCE(C85, ""price"") / INDEX(GOOGLEFINANCE(C85, ""price"", EDATE(TODAY(), -3), TODAY()), 2, 2)) - 1, """")"),"")</f>
        <v/>
      </c>
      <c r="O85" s="21" t="str">
        <f>IFERROR(__xludf.DUMMYFUNCTION("IFERROR((GOOGLEFINANCE(C85, ""price"") / INDEX(GOOGLEFINANCE(C85, ""price"", EDATE(TODAY(), -6), TODAY()), 2, 2)) - 1, """")"),"")</f>
        <v/>
      </c>
      <c r="P85" s="21" t="str">
        <f>IFERROR(__xludf.DUMMYFUNCTION("IFERROR((GOOGLEFINANCE(C85, ""price"") / INDEX(GOOGLEFINANCE(C85, ""price"", EDATE(TODAY(), -12), TODAY()), 2, 2)) - 1, """")"),"")</f>
        <v/>
      </c>
      <c r="Q85" s="6" t="str">
        <f>IFERROR(__xludf.DUMMYFUNCTION("AVERAGE(QUERY(GOOGLEFINANCE(C85, ""price"", TODAY()-80, TODAY()), ""SELECT Col2 WHERE Col2 IS NOT NULL ORDER BY Col1 DESC LIMIT 50"", 0))"),"#N/A")</f>
        <v>#N/A</v>
      </c>
      <c r="R85" s="24" t="str">
        <f>IFERROR(__xludf.DUMMYFUNCTION("IFERROR(
  LET(
    data, QUERY(GOOGLEFINANCE(C85,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GOOGLEFINANCE(C85, ""price"")) * 100,
    IF(calc=0, G85, calc)
  ), 
G85)"),"#N/A")</f>
        <v>#N/A</v>
      </c>
      <c r="S85" s="8" t="s">
        <v>15</v>
      </c>
      <c r="T85" s="26" t="str">
        <f>IFERROR(__xludf.DUMMYFUNCTION("IFERROR(TRANSPOSE(QUERY(IFERROR(SORT(GOOGLEFINANCE(C85, ""price"", WORKDAY(TODAY(), -40), TODAY()), 1, FALSE)), ""select Col2 where Col2 is not null limit 22 label Col2 ''"", 0)), """")"),"")</f>
        <v/>
      </c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8"/>
      <c r="AO85" s="28"/>
      <c r="AP85" s="29"/>
      <c r="AQ85" s="29" t="str">
        <f t="shared" ref="AQ85:BL85" si="88">T85/T$2</f>
        <v>#N/A</v>
      </c>
      <c r="AR85" s="29" t="str">
        <f t="shared" si="88"/>
        <v>#DIV/0!</v>
      </c>
      <c r="AS85" s="29" t="str">
        <f t="shared" si="88"/>
        <v>#DIV/0!</v>
      </c>
      <c r="AT85" s="29" t="str">
        <f t="shared" si="88"/>
        <v>#DIV/0!</v>
      </c>
      <c r="AU85" s="29" t="str">
        <f t="shared" si="88"/>
        <v>#DIV/0!</v>
      </c>
      <c r="AV85" s="29" t="str">
        <f t="shared" si="88"/>
        <v>#DIV/0!</v>
      </c>
      <c r="AW85" s="29" t="str">
        <f t="shared" si="88"/>
        <v>#DIV/0!</v>
      </c>
      <c r="AX85" s="29" t="str">
        <f t="shared" si="88"/>
        <v>#DIV/0!</v>
      </c>
      <c r="AY85" s="29" t="str">
        <f t="shared" si="88"/>
        <v>#DIV/0!</v>
      </c>
      <c r="AZ85" s="29" t="str">
        <f t="shared" si="88"/>
        <v>#DIV/0!</v>
      </c>
      <c r="BA85" s="29" t="str">
        <f t="shared" si="88"/>
        <v>#DIV/0!</v>
      </c>
      <c r="BB85" s="29" t="str">
        <f t="shared" si="88"/>
        <v>#DIV/0!</v>
      </c>
      <c r="BC85" s="29" t="str">
        <f t="shared" si="88"/>
        <v>#DIV/0!</v>
      </c>
      <c r="BD85" s="29" t="str">
        <f t="shared" si="88"/>
        <v>#DIV/0!</v>
      </c>
      <c r="BE85" s="29" t="str">
        <f t="shared" si="88"/>
        <v>#DIV/0!</v>
      </c>
      <c r="BF85" s="29" t="str">
        <f t="shared" si="88"/>
        <v>#DIV/0!</v>
      </c>
      <c r="BG85" s="29" t="str">
        <f t="shared" si="88"/>
        <v>#DIV/0!</v>
      </c>
      <c r="BH85" s="29" t="str">
        <f t="shared" si="88"/>
        <v>#DIV/0!</v>
      </c>
      <c r="BI85" s="29" t="str">
        <f t="shared" si="88"/>
        <v>#DIV/0!</v>
      </c>
      <c r="BJ85" s="29" t="str">
        <f t="shared" si="88"/>
        <v>#DIV/0!</v>
      </c>
      <c r="BK85" s="29" t="str">
        <f t="shared" si="88"/>
        <v>#DIV/0!</v>
      </c>
      <c r="BL85" s="29" t="str">
        <f t="shared" si="88"/>
        <v>#DIV/0!</v>
      </c>
      <c r="BM85" s="29" t="str">
        <f t="shared" si="3"/>
        <v>#DIV/0!</v>
      </c>
    </row>
    <row r="86">
      <c r="A86" s="16" t="str">
        <f>IFERROR(__xludf.DUMMYFUNCTION("IFERROR(SPARKLINE(SORT(MAP(TRANSPOSE(AQ86:BL86), LAMBDA(val, IF(ISNUMBER(val), PERCENTRANK(AQ86:BL86, val)+0.01, 0))), SEQUENCE(COLUMNS(AQ86:BL86)), FALSE), {""charttype"",""column""; ""color"",""chartreuse""; ""ymin"", 0; ""ymax"", 1.01; ""highcolor"", "&amp;"""darkgreen""; ""lowcolor"", ""red""}), """")"),"")</f>
        <v/>
      </c>
      <c r="B86" s="17" t="str">
        <f t="shared" si="4"/>
        <v/>
      </c>
      <c r="C86" s="45" t="s">
        <v>2953</v>
      </c>
      <c r="D86" s="30" t="str">
        <f>IFERROR(__xludf.DUMMYFUNCTION("IFERROR(GOOGLEFINANCE(C86, ""NAME""))"),"Clearway Energy Inc")</f>
        <v>Clearway Energy Inc</v>
      </c>
      <c r="E86" s="30" t="s">
        <v>2605</v>
      </c>
      <c r="F86" s="33" t="str">
        <f>IFERROR(__xludf.DUMMYFUNCTION("( (GOOGLEFINANCE(C86, ""price"") - Q86) / Q86 ) / (R86 / 100)"),"Loading...")</f>
        <v>Loading...</v>
      </c>
      <c r="G86" s="20" t="str">
        <f>IFERROR(__xludf.DUMMYFUNCTION("AVERAGE(ARRAYFORMULA(100 * (QUERY(GOOGLEFINANCE(C86, ""high"", TODAY()-40, TODAY()), ""SELECT Col2 WHERE Col2 IS NOT NULL ORDER BY Col1 DESC LIMIT 20"", 0) / QUERY(GOOGLEFINANCE(C86, ""low"", TODAY()-40, TODAY()), ""SELECT Col2 WHERE Col2 IS NOT NULL ORDE"&amp;"R BY Col1 DESC LIMIT 20"", 0) - 1)))"),"#N/A")</f>
        <v>#N/A</v>
      </c>
      <c r="H86" s="35" t="str">
        <f t="shared" si="6"/>
        <v>Illiquid</v>
      </c>
      <c r="I86" s="35" t="str">
        <f t="shared" si="7"/>
        <v>RVol Required</v>
      </c>
      <c r="J86" s="37">
        <f>IFERROR(__xludf.DUMMYFUNCTION("IFERROR(
  IF(C86="""",, 
    IFERROR(
      GOOGLEFINANCE(C86, ""price"") * GOOGLEFINANCE(C86, ""volumeavg""), 
      GOOGLEFINANCE(C86, ""price"") * AVERAGE(QUERY(GOOGLEFINANCE(C86, ""volume"", TODAY()-40, TODAY()), ""SELECT Col2 WHERE Col2 IS NOT NULL "&amp;"ORDER BY Col1 DESC LIMIT 20"", 0))
    )
  ), 
"""")"),3.619339124E7)</f>
        <v>36193391.24</v>
      </c>
      <c r="K86" s="21">
        <f>IFERROR(__xludf.DUMMYFUNCTION("IFERROR(GOOGLEFINANCE(C86, ""changepct"") / 100, """")"),-0.001)</f>
        <v>-0.001</v>
      </c>
      <c r="L86" s="21" t="str">
        <f>IFERROR(__xludf.DUMMYFUNCTION("IFERROR((GOOGLEFINANCE(C86, ""price"") / INDEX(GOOGLEFINANCE(C86, ""price"", TODAY()-7, TODAY()), 2, 2)) - 1, """")"),"")</f>
        <v/>
      </c>
      <c r="M86" s="21" t="str">
        <f>IFERROR(__xludf.DUMMYFUNCTION("IFERROR((GOOGLEFINANCE(C86, ""price"") / INDEX(GOOGLEFINANCE(C86, ""price"", EDATE(TODAY(), -1), TODAY()), 2, 2)) - 1, """")"),"")</f>
        <v/>
      </c>
      <c r="N86" s="21" t="str">
        <f>IFERROR(__xludf.DUMMYFUNCTION("IFERROR((GOOGLEFINANCE(C86, ""price"") / INDEX(GOOGLEFINANCE(C86, ""price"", EDATE(TODAY(), -3), TODAY()), 2, 2)) - 1, """")"),"")</f>
        <v/>
      </c>
      <c r="O86" s="21" t="str">
        <f>IFERROR(__xludf.DUMMYFUNCTION("IFERROR((GOOGLEFINANCE(C86, ""price"") / INDEX(GOOGLEFINANCE(C86, ""price"", EDATE(TODAY(), -6), TODAY()), 2, 2)) - 1, """")"),"")</f>
        <v/>
      </c>
      <c r="P86" s="21" t="str">
        <f>IFERROR(__xludf.DUMMYFUNCTION("IFERROR((GOOGLEFINANCE(C86, ""price"") / INDEX(GOOGLEFINANCE(C86, ""price"", EDATE(TODAY(), -12), TODAY()), 2, 2)) - 1, """")"),"")</f>
        <v/>
      </c>
      <c r="Q86" s="6" t="str">
        <f>IFERROR(__xludf.DUMMYFUNCTION("AVERAGE(QUERY(GOOGLEFINANCE(C86, ""price"", TODAY()-80, TODAY()), ""SELECT Col2 WHERE Col2 IS NOT NULL ORDER BY Col1 DESC LIMIT 50"", 0))"),"#N/A")</f>
        <v>#N/A</v>
      </c>
      <c r="R86" s="24" t="str">
        <f>IFERROR(__xludf.DUMMYFUNCTION("IFERROR(
  LET(
    data, QUERY(GOOGLEFINANCE(C86,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GOOGLEFINANCE(C86, ""price"")) * 100,
    IF(calc=0, G86, calc)
  ), 
G86)"),"#N/A")</f>
        <v>#N/A</v>
      </c>
      <c r="S86" s="8" t="s">
        <v>15</v>
      </c>
      <c r="T86" s="26" t="str">
        <f>IFERROR(__xludf.DUMMYFUNCTION("IFERROR(TRANSPOSE(QUERY(IFERROR(SORT(GOOGLEFINANCE(C86, ""price"", WORKDAY(TODAY(), -40), TODAY()), 1, FALSE)), ""select Col2 where Col2 is not null limit 22 label Col2 ''"", 0)), """")"),"")</f>
        <v/>
      </c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8"/>
      <c r="AO86" s="28"/>
      <c r="AP86" s="29"/>
      <c r="AQ86" s="29" t="str">
        <f t="shared" ref="AQ86:BL86" si="89">T86/T$2</f>
        <v>#N/A</v>
      </c>
      <c r="AR86" s="29" t="str">
        <f t="shared" si="89"/>
        <v>#DIV/0!</v>
      </c>
      <c r="AS86" s="29" t="str">
        <f t="shared" si="89"/>
        <v>#DIV/0!</v>
      </c>
      <c r="AT86" s="29" t="str">
        <f t="shared" si="89"/>
        <v>#DIV/0!</v>
      </c>
      <c r="AU86" s="29" t="str">
        <f t="shared" si="89"/>
        <v>#DIV/0!</v>
      </c>
      <c r="AV86" s="29" t="str">
        <f t="shared" si="89"/>
        <v>#DIV/0!</v>
      </c>
      <c r="AW86" s="29" t="str">
        <f t="shared" si="89"/>
        <v>#DIV/0!</v>
      </c>
      <c r="AX86" s="29" t="str">
        <f t="shared" si="89"/>
        <v>#DIV/0!</v>
      </c>
      <c r="AY86" s="29" t="str">
        <f t="shared" si="89"/>
        <v>#DIV/0!</v>
      </c>
      <c r="AZ86" s="29" t="str">
        <f t="shared" si="89"/>
        <v>#DIV/0!</v>
      </c>
      <c r="BA86" s="29" t="str">
        <f t="shared" si="89"/>
        <v>#DIV/0!</v>
      </c>
      <c r="BB86" s="29" t="str">
        <f t="shared" si="89"/>
        <v>#DIV/0!</v>
      </c>
      <c r="BC86" s="29" t="str">
        <f t="shared" si="89"/>
        <v>#DIV/0!</v>
      </c>
      <c r="BD86" s="29" t="str">
        <f t="shared" si="89"/>
        <v>#DIV/0!</v>
      </c>
      <c r="BE86" s="29" t="str">
        <f t="shared" si="89"/>
        <v>#DIV/0!</v>
      </c>
      <c r="BF86" s="29" t="str">
        <f t="shared" si="89"/>
        <v>#DIV/0!</v>
      </c>
      <c r="BG86" s="29" t="str">
        <f t="shared" si="89"/>
        <v>#DIV/0!</v>
      </c>
      <c r="BH86" s="29" t="str">
        <f t="shared" si="89"/>
        <v>#DIV/0!</v>
      </c>
      <c r="BI86" s="29" t="str">
        <f t="shared" si="89"/>
        <v>#DIV/0!</v>
      </c>
      <c r="BJ86" s="29" t="str">
        <f t="shared" si="89"/>
        <v>#DIV/0!</v>
      </c>
      <c r="BK86" s="29" t="str">
        <f t="shared" si="89"/>
        <v>#DIV/0!</v>
      </c>
      <c r="BL86" s="29" t="str">
        <f t="shared" si="89"/>
        <v>#DIV/0!</v>
      </c>
      <c r="BM86" s="29" t="str">
        <f t="shared" si="3"/>
        <v>#DIV/0!</v>
      </c>
    </row>
    <row r="87">
      <c r="A87" s="16" t="str">
        <f>IFERROR(__xludf.DUMMYFUNCTION("IFERROR(SPARKLINE(SORT(MAP(TRANSPOSE(AQ87:BL87), LAMBDA(val, IF(ISNUMBER(val), PERCENTRANK(AQ87:BL87, val)+0.01, 0))), SEQUENCE(COLUMNS(AQ87:BL87)), FALSE), {""charttype"",""column""; ""color"",""chartreuse""; ""ymin"", 0; ""ymax"", 1.01; ""highcolor"", "&amp;"""darkgreen""; ""lowcolor"", ""red""}), """")"),"")</f>
        <v/>
      </c>
      <c r="B87" s="17" t="str">
        <f t="shared" si="4"/>
        <v/>
      </c>
      <c r="C87" s="45" t="s">
        <v>2958</v>
      </c>
      <c r="D87" s="30" t="str">
        <f>IFERROR(__xludf.DUMMYFUNCTION("IFERROR(GOOGLEFINANCE(C87, ""NAME""))"),"Centuri Holdings Inc")</f>
        <v>Centuri Holdings Inc</v>
      </c>
      <c r="E87" s="30" t="s">
        <v>2651</v>
      </c>
      <c r="F87" s="33" t="str">
        <f>IFERROR(__xludf.DUMMYFUNCTION("( (GOOGLEFINANCE(C87, ""price"") - Q87) / Q87 ) / (R87 / 100)"),"Loading...")</f>
        <v>Loading...</v>
      </c>
      <c r="G87" s="20" t="str">
        <f>IFERROR(__xludf.DUMMYFUNCTION("AVERAGE(ARRAYFORMULA(100 * (QUERY(GOOGLEFINANCE(C87, ""high"", TODAY()-40, TODAY()), ""SELECT Col2 WHERE Col2 IS NOT NULL ORDER BY Col1 DESC LIMIT 20"", 0) / QUERY(GOOGLEFINANCE(C87, ""low"", TODAY()-40, TODAY()), ""SELECT Col2 WHERE Col2 IS NOT NULL ORDE"&amp;"R BY Col1 DESC LIMIT 20"", 0) - 1)))"),"#N/A")</f>
        <v>#N/A</v>
      </c>
      <c r="H87" s="35" t="str">
        <f t="shared" si="6"/>
        <v>Illiquid</v>
      </c>
      <c r="I87" s="35" t="str">
        <f t="shared" si="7"/>
        <v>RVol Required</v>
      </c>
      <c r="J87" s="37">
        <f>IFERROR(__xludf.DUMMYFUNCTION("IFERROR(
  IF(C87="""",, 
    IFERROR(
      GOOGLEFINANCE(C87, ""price"") * GOOGLEFINANCE(C87, ""volumeavg""), 
      GOOGLEFINANCE(C87, ""price"") * AVERAGE(QUERY(GOOGLEFINANCE(C87, ""volume"", TODAY()-40, TODAY()), ""SELECT Col2 WHERE Col2 IS NOT NULL "&amp;"ORDER BY Col1 DESC LIMIT 20"", 0))
    )
  ), 
"""")"),4.0777806160000004E7)</f>
        <v>40777806.16</v>
      </c>
      <c r="K87" s="21">
        <f>IFERROR(__xludf.DUMMYFUNCTION("IFERROR(GOOGLEFINANCE(C87, ""changepct"") / 100, """")"),-0.0015)</f>
        <v>-0.0015</v>
      </c>
      <c r="L87" s="21" t="str">
        <f>IFERROR(__xludf.DUMMYFUNCTION("IFERROR((GOOGLEFINANCE(C87, ""price"") / INDEX(GOOGLEFINANCE(C87, ""price"", TODAY()-7, TODAY()), 2, 2)) - 1, """")"),"")</f>
        <v/>
      </c>
      <c r="M87" s="21" t="str">
        <f>IFERROR(__xludf.DUMMYFUNCTION("IFERROR((GOOGLEFINANCE(C87, ""price"") / INDEX(GOOGLEFINANCE(C87, ""price"", EDATE(TODAY(), -1), TODAY()), 2, 2)) - 1, """")"),"")</f>
        <v/>
      </c>
      <c r="N87" s="21" t="str">
        <f>IFERROR(__xludf.DUMMYFUNCTION("IFERROR((GOOGLEFINANCE(C87, ""price"") / INDEX(GOOGLEFINANCE(C87, ""price"", EDATE(TODAY(), -3), TODAY()), 2, 2)) - 1, """")"),"")</f>
        <v/>
      </c>
      <c r="O87" s="21" t="str">
        <f>IFERROR(__xludf.DUMMYFUNCTION("IFERROR((GOOGLEFINANCE(C87, ""price"") / INDEX(GOOGLEFINANCE(C87, ""price"", EDATE(TODAY(), -6), TODAY()), 2, 2)) - 1, """")"),"")</f>
        <v/>
      </c>
      <c r="P87" s="21" t="str">
        <f>IFERROR(__xludf.DUMMYFUNCTION("IFERROR((GOOGLEFINANCE(C87, ""price"") / INDEX(GOOGLEFINANCE(C87, ""price"", EDATE(TODAY(), -12), TODAY()), 2, 2)) - 1, """")"),"")</f>
        <v/>
      </c>
      <c r="Q87" s="6" t="str">
        <f>IFERROR(__xludf.DUMMYFUNCTION("AVERAGE(QUERY(GOOGLEFINANCE(C87, ""price"", TODAY()-80, TODAY()), ""SELECT Col2 WHERE Col2 IS NOT NULL ORDER BY Col1 DESC LIMIT 50"", 0))"),"#N/A")</f>
        <v>#N/A</v>
      </c>
      <c r="R87" s="24" t="str">
        <f>IFERROR(__xludf.DUMMYFUNCTION("IFERROR(
  LET(
    data, QUERY(GOOGLEFINANCE(C87,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GOOGLEFINANCE(C87, ""price"")) * 100,
    IF(calc=0, G87, calc)
  ), 
G87)"),"#N/A")</f>
        <v>#N/A</v>
      </c>
      <c r="S87" s="8" t="s">
        <v>15</v>
      </c>
      <c r="T87" s="26" t="str">
        <f>IFERROR(__xludf.DUMMYFUNCTION("IFERROR(TRANSPOSE(QUERY(IFERROR(SORT(GOOGLEFINANCE(C87, ""price"", WORKDAY(TODAY(), -40), TODAY()), 1, FALSE)), ""select Col2 where Col2 is not null limit 22 label Col2 ''"", 0)), """")"),"")</f>
        <v/>
      </c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8"/>
      <c r="AO87" s="28"/>
      <c r="AP87" s="29"/>
      <c r="AQ87" s="29" t="str">
        <f t="shared" ref="AQ87:BL87" si="90">T87/T$2</f>
        <v>#N/A</v>
      </c>
      <c r="AR87" s="29" t="str">
        <f t="shared" si="90"/>
        <v>#DIV/0!</v>
      </c>
      <c r="AS87" s="29" t="str">
        <f t="shared" si="90"/>
        <v>#DIV/0!</v>
      </c>
      <c r="AT87" s="29" t="str">
        <f t="shared" si="90"/>
        <v>#DIV/0!</v>
      </c>
      <c r="AU87" s="29" t="str">
        <f t="shared" si="90"/>
        <v>#DIV/0!</v>
      </c>
      <c r="AV87" s="29" t="str">
        <f t="shared" si="90"/>
        <v>#DIV/0!</v>
      </c>
      <c r="AW87" s="29" t="str">
        <f t="shared" si="90"/>
        <v>#DIV/0!</v>
      </c>
      <c r="AX87" s="29" t="str">
        <f t="shared" si="90"/>
        <v>#DIV/0!</v>
      </c>
      <c r="AY87" s="29" t="str">
        <f t="shared" si="90"/>
        <v>#DIV/0!</v>
      </c>
      <c r="AZ87" s="29" t="str">
        <f t="shared" si="90"/>
        <v>#DIV/0!</v>
      </c>
      <c r="BA87" s="29" t="str">
        <f t="shared" si="90"/>
        <v>#DIV/0!</v>
      </c>
      <c r="BB87" s="29" t="str">
        <f t="shared" si="90"/>
        <v>#DIV/0!</v>
      </c>
      <c r="BC87" s="29" t="str">
        <f t="shared" si="90"/>
        <v>#DIV/0!</v>
      </c>
      <c r="BD87" s="29" t="str">
        <f t="shared" si="90"/>
        <v>#DIV/0!</v>
      </c>
      <c r="BE87" s="29" t="str">
        <f t="shared" si="90"/>
        <v>#DIV/0!</v>
      </c>
      <c r="BF87" s="29" t="str">
        <f t="shared" si="90"/>
        <v>#DIV/0!</v>
      </c>
      <c r="BG87" s="29" t="str">
        <f t="shared" si="90"/>
        <v>#DIV/0!</v>
      </c>
      <c r="BH87" s="29" t="str">
        <f t="shared" si="90"/>
        <v>#DIV/0!</v>
      </c>
      <c r="BI87" s="29" t="str">
        <f t="shared" si="90"/>
        <v>#DIV/0!</v>
      </c>
      <c r="BJ87" s="29" t="str">
        <f t="shared" si="90"/>
        <v>#DIV/0!</v>
      </c>
      <c r="BK87" s="29" t="str">
        <f t="shared" si="90"/>
        <v>#DIV/0!</v>
      </c>
      <c r="BL87" s="29" t="str">
        <f t="shared" si="90"/>
        <v>#DIV/0!</v>
      </c>
      <c r="BM87" s="29" t="str">
        <f t="shared" si="3"/>
        <v>#DIV/0!</v>
      </c>
    </row>
    <row r="88">
      <c r="A88" s="16" t="str">
        <f>IFERROR(__xludf.DUMMYFUNCTION("IFERROR(SPARKLINE(SORT(MAP(TRANSPOSE(AQ88:BL88), LAMBDA(val, IF(ISNUMBER(val), PERCENTRANK(AQ88:BL88, val)+0.01, 0))), SEQUENCE(COLUMNS(AQ88:BL88)), FALSE), {""charttype"",""column""; ""color"",""chartreuse""; ""ymin"", 0; ""ymax"", 1.01; ""highcolor"", "&amp;"""darkgreen""; ""lowcolor"", ""red""}), """")"),"")</f>
        <v/>
      </c>
      <c r="B88" s="17" t="str">
        <f t="shared" si="4"/>
        <v/>
      </c>
      <c r="C88" s="45" t="s">
        <v>2962</v>
      </c>
      <c r="D88" s="30" t="str">
        <f>IFERROR(__xludf.DUMMYFUNCTION("IFERROR(GOOGLEFINANCE(C88, ""NAME""))"),"H2O America(Dover)")</f>
        <v>H2O America(Dover)</v>
      </c>
      <c r="E88" s="30" t="s">
        <v>2655</v>
      </c>
      <c r="F88" s="33" t="str">
        <f>IFERROR(__xludf.DUMMYFUNCTION("( (GOOGLEFINANCE(C88, ""price"") - Q88) / Q88 ) / (R88 / 100)"),"Loading...")</f>
        <v>Loading...</v>
      </c>
      <c r="G88" s="20" t="str">
        <f>IFERROR(__xludf.DUMMYFUNCTION("AVERAGE(ARRAYFORMULA(100 * (QUERY(GOOGLEFINANCE(C88, ""high"", TODAY()-40, TODAY()), ""SELECT Col2 WHERE Col2 IS NOT NULL ORDER BY Col1 DESC LIMIT 20"", 0) / QUERY(GOOGLEFINANCE(C88, ""low"", TODAY()-40, TODAY()), ""SELECT Col2 WHERE Col2 IS NOT NULL ORDE"&amp;"R BY Col1 DESC LIMIT 20"", 0) - 1)))"),"#N/A")</f>
        <v>#N/A</v>
      </c>
      <c r="H88" s="35" t="str">
        <f t="shared" si="6"/>
        <v>Illiquid</v>
      </c>
      <c r="I88" s="35" t="str">
        <f t="shared" si="7"/>
        <v>RVol Required</v>
      </c>
      <c r="J88" s="37">
        <f>IFERROR(__xludf.DUMMYFUNCTION("IFERROR(
  IF(C88="""",, 
    IFERROR(
      GOOGLEFINANCE(C88, ""price"") * GOOGLEFINANCE(C88, ""volumeavg""), 
      GOOGLEFINANCE(C88, ""price"") * AVERAGE(QUERY(GOOGLEFINANCE(C88, ""volume"", TODAY()-40, TODAY()), ""SELECT Col2 WHERE Col2 IS NOT NULL "&amp;"ORDER BY Col1 DESC LIMIT 20"", 0))
    )
  ), 
"""")"),2.804282055E7)</f>
        <v>28042820.55</v>
      </c>
      <c r="K88" s="21">
        <f>IFERROR(__xludf.DUMMYFUNCTION("IFERROR(GOOGLEFINANCE(C88, ""changepct"") / 100, """")"),0.0068000000000000005)</f>
        <v>0.0068</v>
      </c>
      <c r="L88" s="21" t="str">
        <f>IFERROR(__xludf.DUMMYFUNCTION("IFERROR((GOOGLEFINANCE(C88, ""price"") / INDEX(GOOGLEFINANCE(C88, ""price"", TODAY()-7, TODAY()), 2, 2)) - 1, """")"),"")</f>
        <v/>
      </c>
      <c r="M88" s="21" t="str">
        <f>IFERROR(__xludf.DUMMYFUNCTION("IFERROR((GOOGLEFINANCE(C88, ""price"") / INDEX(GOOGLEFINANCE(C88, ""price"", EDATE(TODAY(), -1), TODAY()), 2, 2)) - 1, """")"),"")</f>
        <v/>
      </c>
      <c r="N88" s="21" t="str">
        <f>IFERROR(__xludf.DUMMYFUNCTION("IFERROR((GOOGLEFINANCE(C88, ""price"") / INDEX(GOOGLEFINANCE(C88, ""price"", EDATE(TODAY(), -3), TODAY()), 2, 2)) - 1, """")"),"")</f>
        <v/>
      </c>
      <c r="O88" s="21" t="str">
        <f>IFERROR(__xludf.DUMMYFUNCTION("IFERROR((GOOGLEFINANCE(C88, ""price"") / INDEX(GOOGLEFINANCE(C88, ""price"", EDATE(TODAY(), -6), TODAY()), 2, 2)) - 1, """")"),"")</f>
        <v/>
      </c>
      <c r="P88" s="21" t="str">
        <f>IFERROR(__xludf.DUMMYFUNCTION("IFERROR((GOOGLEFINANCE(C88, ""price"") / INDEX(GOOGLEFINANCE(C88, ""price"", EDATE(TODAY(), -12), TODAY()), 2, 2)) - 1, """")"),"")</f>
        <v/>
      </c>
      <c r="Q88" s="6" t="str">
        <f>IFERROR(__xludf.DUMMYFUNCTION("AVERAGE(QUERY(GOOGLEFINANCE(C88, ""price"", TODAY()-80, TODAY()), ""SELECT Col2 WHERE Col2 IS NOT NULL ORDER BY Col1 DESC LIMIT 50"", 0))"),"#N/A")</f>
        <v>#N/A</v>
      </c>
      <c r="R88" s="24" t="str">
        <f>IFERROR(__xludf.DUMMYFUNCTION("IFERROR(
  LET(
    data, QUERY(GOOGLEFINANCE(C88,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GOOGLEFINANCE(C88, ""price"")) * 100,
    IF(calc=0, G88, calc)
  ), 
G88)"),"#N/A")</f>
        <v>#N/A</v>
      </c>
      <c r="S88" s="8" t="s">
        <v>15</v>
      </c>
      <c r="T88" s="26" t="str">
        <f>IFERROR(__xludf.DUMMYFUNCTION("IFERROR(TRANSPOSE(QUERY(IFERROR(SORT(GOOGLEFINANCE(C88, ""price"", WORKDAY(TODAY(), -40), TODAY()), 1, FALSE)), ""select Col2 where Col2 is not null limit 22 label Col2 ''"", 0)), """")"),"")</f>
        <v/>
      </c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8"/>
      <c r="AO88" s="28"/>
      <c r="AP88" s="29"/>
      <c r="AQ88" s="29" t="str">
        <f t="shared" ref="AQ88:BL88" si="91">T88/T$2</f>
        <v>#N/A</v>
      </c>
      <c r="AR88" s="29" t="str">
        <f t="shared" si="91"/>
        <v>#DIV/0!</v>
      </c>
      <c r="AS88" s="29" t="str">
        <f t="shared" si="91"/>
        <v>#DIV/0!</v>
      </c>
      <c r="AT88" s="29" t="str">
        <f t="shared" si="91"/>
        <v>#DIV/0!</v>
      </c>
      <c r="AU88" s="29" t="str">
        <f t="shared" si="91"/>
        <v>#DIV/0!</v>
      </c>
      <c r="AV88" s="29" t="str">
        <f t="shared" si="91"/>
        <v>#DIV/0!</v>
      </c>
      <c r="AW88" s="29" t="str">
        <f t="shared" si="91"/>
        <v>#DIV/0!</v>
      </c>
      <c r="AX88" s="29" t="str">
        <f t="shared" si="91"/>
        <v>#DIV/0!</v>
      </c>
      <c r="AY88" s="29" t="str">
        <f t="shared" si="91"/>
        <v>#DIV/0!</v>
      </c>
      <c r="AZ88" s="29" t="str">
        <f t="shared" si="91"/>
        <v>#DIV/0!</v>
      </c>
      <c r="BA88" s="29" t="str">
        <f t="shared" si="91"/>
        <v>#DIV/0!</v>
      </c>
      <c r="BB88" s="29" t="str">
        <f t="shared" si="91"/>
        <v>#DIV/0!</v>
      </c>
      <c r="BC88" s="29" t="str">
        <f t="shared" si="91"/>
        <v>#DIV/0!</v>
      </c>
      <c r="BD88" s="29" t="str">
        <f t="shared" si="91"/>
        <v>#DIV/0!</v>
      </c>
      <c r="BE88" s="29" t="str">
        <f t="shared" si="91"/>
        <v>#DIV/0!</v>
      </c>
      <c r="BF88" s="29" t="str">
        <f t="shared" si="91"/>
        <v>#DIV/0!</v>
      </c>
      <c r="BG88" s="29" t="str">
        <f t="shared" si="91"/>
        <v>#DIV/0!</v>
      </c>
      <c r="BH88" s="29" t="str">
        <f t="shared" si="91"/>
        <v>#DIV/0!</v>
      </c>
      <c r="BI88" s="29" t="str">
        <f t="shared" si="91"/>
        <v>#DIV/0!</v>
      </c>
      <c r="BJ88" s="29" t="str">
        <f t="shared" si="91"/>
        <v>#DIV/0!</v>
      </c>
      <c r="BK88" s="29" t="str">
        <f t="shared" si="91"/>
        <v>#DIV/0!</v>
      </c>
      <c r="BL88" s="29" t="str">
        <f t="shared" si="91"/>
        <v>#DIV/0!</v>
      </c>
      <c r="BM88" s="29" t="str">
        <f t="shared" si="3"/>
        <v>#DIV/0!</v>
      </c>
    </row>
    <row r="89">
      <c r="A89" s="16" t="str">
        <f>IFERROR(__xludf.DUMMYFUNCTION("IFERROR(SPARKLINE(SORT(MAP(TRANSPOSE(AQ89:BL89), LAMBDA(val, IF(ISNUMBER(val), PERCENTRANK(AQ89:BL89, val)+0.01, 0))), SEQUENCE(COLUMNS(AQ89:BL89)), FALSE), {""charttype"",""column""; ""color"",""chartreuse""; ""ymin"", 0; ""ymax"", 1.01; ""highcolor"", "&amp;"""darkgreen""; ""lowcolor"", ""red""}), """")"),"")</f>
        <v/>
      </c>
      <c r="B89" s="17" t="str">
        <f t="shared" si="4"/>
        <v/>
      </c>
      <c r="C89" s="45" t="s">
        <v>2966</v>
      </c>
      <c r="D89" s="30" t="str">
        <f>IFERROR(__xludf.DUMMYFUNCTION("IFERROR(GOOGLEFINANCE(C89, ""NAME""))"),"Korea Electric Power Corp")</f>
        <v>Korea Electric Power Corp</v>
      </c>
      <c r="E89" s="30" t="s">
        <v>2660</v>
      </c>
      <c r="F89" s="33" t="str">
        <f>IFERROR(__xludf.DUMMYFUNCTION("( (GOOGLEFINANCE(C89, ""price"") - Q89) / Q89 ) / (R89 / 100)"),"Loading...")</f>
        <v>Loading...</v>
      </c>
      <c r="G89" s="20" t="str">
        <f>IFERROR(__xludf.DUMMYFUNCTION("AVERAGE(ARRAYFORMULA(100 * (QUERY(GOOGLEFINANCE(C89, ""high"", TODAY()-40, TODAY()), ""SELECT Col2 WHERE Col2 IS NOT NULL ORDER BY Col1 DESC LIMIT 20"", 0) / QUERY(GOOGLEFINANCE(C89, ""low"", TODAY()-40, TODAY()), ""SELECT Col2 WHERE Col2 IS NOT NULL ORDE"&amp;"R BY Col1 DESC LIMIT 20"", 0) - 1)))"),"#N/A")</f>
        <v>#N/A</v>
      </c>
      <c r="H89" s="35" t="str">
        <f t="shared" si="6"/>
        <v>Illiquid</v>
      </c>
      <c r="I89" s="35" t="str">
        <f t="shared" si="7"/>
        <v>RVol Required</v>
      </c>
      <c r="J89" s="37">
        <f>IFERROR(__xludf.DUMMYFUNCTION("IFERROR(
  IF(C89="""",, 
    IFERROR(
      GOOGLEFINANCE(C89, ""price"") * GOOGLEFINANCE(C89, ""volumeavg""), 
      GOOGLEFINANCE(C89, ""price"") * AVERAGE(QUERY(GOOGLEFINANCE(C89, ""volume"", TODAY()-40, TODAY()), ""SELECT Col2 WHERE Col2 IS NOT NULL "&amp;"ORDER BY Col1 DESC LIMIT 20"", 0))
    )
  ), 
"""")"),9571145.700000001)</f>
        <v>9571145.7</v>
      </c>
      <c r="K89" s="21">
        <f>IFERROR(__xludf.DUMMYFUNCTION("IFERROR(GOOGLEFINANCE(C89, ""changepct"") / 100, """")"),-0.005600000000000001)</f>
        <v>-0.0056</v>
      </c>
      <c r="L89" s="21" t="str">
        <f>IFERROR(__xludf.DUMMYFUNCTION("IFERROR((GOOGLEFINANCE(C89, ""price"") / INDEX(GOOGLEFINANCE(C89, ""price"", TODAY()-7, TODAY()), 2, 2)) - 1, """")"),"")</f>
        <v/>
      </c>
      <c r="M89" s="21" t="str">
        <f>IFERROR(__xludf.DUMMYFUNCTION("IFERROR((GOOGLEFINANCE(C89, ""price"") / INDEX(GOOGLEFINANCE(C89, ""price"", EDATE(TODAY(), -1), TODAY()), 2, 2)) - 1, """")"),"")</f>
        <v/>
      </c>
      <c r="N89" s="21" t="str">
        <f>IFERROR(__xludf.DUMMYFUNCTION("IFERROR((GOOGLEFINANCE(C89, ""price"") / INDEX(GOOGLEFINANCE(C89, ""price"", EDATE(TODAY(), -3), TODAY()), 2, 2)) - 1, """")"),"")</f>
        <v/>
      </c>
      <c r="O89" s="21" t="str">
        <f>IFERROR(__xludf.DUMMYFUNCTION("IFERROR((GOOGLEFINANCE(C89, ""price"") / INDEX(GOOGLEFINANCE(C89, ""price"", EDATE(TODAY(), -6), TODAY()), 2, 2)) - 1, """")"),"")</f>
        <v/>
      </c>
      <c r="P89" s="21" t="str">
        <f>IFERROR(__xludf.DUMMYFUNCTION("IFERROR((GOOGLEFINANCE(C89, ""price"") / INDEX(GOOGLEFINANCE(C89, ""price"", EDATE(TODAY(), -12), TODAY()), 2, 2)) - 1, """")"),"")</f>
        <v/>
      </c>
      <c r="Q89" s="6" t="str">
        <f>IFERROR(__xludf.DUMMYFUNCTION("AVERAGE(QUERY(GOOGLEFINANCE(C89, ""price"", TODAY()-80, TODAY()), ""SELECT Col2 WHERE Col2 IS NOT NULL ORDER BY Col1 DESC LIMIT 50"", 0))"),"#N/A")</f>
        <v>#N/A</v>
      </c>
      <c r="R89" s="24" t="str">
        <f>IFERROR(__xludf.DUMMYFUNCTION("IFERROR(
  LET(
    data, QUERY(GOOGLEFINANCE(C89,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GOOGLEFINANCE(C89, ""price"")) * 100,
    IF(calc=0, G89, calc)
  ), 
G89)"),"#N/A")</f>
        <v>#N/A</v>
      </c>
      <c r="S89" s="8" t="s">
        <v>15</v>
      </c>
      <c r="T89" s="26" t="str">
        <f>IFERROR(__xludf.DUMMYFUNCTION("IFERROR(TRANSPOSE(QUERY(IFERROR(SORT(GOOGLEFINANCE(C89, ""price"", WORKDAY(TODAY(), -40), TODAY()), 1, FALSE)), ""select Col2 where Col2 is not null limit 22 label Col2 ''"", 0)), """")"),"")</f>
        <v/>
      </c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8"/>
      <c r="AO89" s="28"/>
      <c r="AP89" s="29"/>
      <c r="AQ89" s="29" t="str">
        <f t="shared" ref="AQ89:BL89" si="92">T89/T$2</f>
        <v>#N/A</v>
      </c>
      <c r="AR89" s="29" t="str">
        <f t="shared" si="92"/>
        <v>#DIV/0!</v>
      </c>
      <c r="AS89" s="29" t="str">
        <f t="shared" si="92"/>
        <v>#DIV/0!</v>
      </c>
      <c r="AT89" s="29" t="str">
        <f t="shared" si="92"/>
        <v>#DIV/0!</v>
      </c>
      <c r="AU89" s="29" t="str">
        <f t="shared" si="92"/>
        <v>#DIV/0!</v>
      </c>
      <c r="AV89" s="29" t="str">
        <f t="shared" si="92"/>
        <v>#DIV/0!</v>
      </c>
      <c r="AW89" s="29" t="str">
        <f t="shared" si="92"/>
        <v>#DIV/0!</v>
      </c>
      <c r="AX89" s="29" t="str">
        <f t="shared" si="92"/>
        <v>#DIV/0!</v>
      </c>
      <c r="AY89" s="29" t="str">
        <f t="shared" si="92"/>
        <v>#DIV/0!</v>
      </c>
      <c r="AZ89" s="29" t="str">
        <f t="shared" si="92"/>
        <v>#DIV/0!</v>
      </c>
      <c r="BA89" s="29" t="str">
        <f t="shared" si="92"/>
        <v>#DIV/0!</v>
      </c>
      <c r="BB89" s="29" t="str">
        <f t="shared" si="92"/>
        <v>#DIV/0!</v>
      </c>
      <c r="BC89" s="29" t="str">
        <f t="shared" si="92"/>
        <v>#DIV/0!</v>
      </c>
      <c r="BD89" s="29" t="str">
        <f t="shared" si="92"/>
        <v>#DIV/0!</v>
      </c>
      <c r="BE89" s="29" t="str">
        <f t="shared" si="92"/>
        <v>#DIV/0!</v>
      </c>
      <c r="BF89" s="29" t="str">
        <f t="shared" si="92"/>
        <v>#DIV/0!</v>
      </c>
      <c r="BG89" s="29" t="str">
        <f t="shared" si="92"/>
        <v>#DIV/0!</v>
      </c>
      <c r="BH89" s="29" t="str">
        <f t="shared" si="92"/>
        <v>#DIV/0!</v>
      </c>
      <c r="BI89" s="29" t="str">
        <f t="shared" si="92"/>
        <v>#DIV/0!</v>
      </c>
      <c r="BJ89" s="29" t="str">
        <f t="shared" si="92"/>
        <v>#DIV/0!</v>
      </c>
      <c r="BK89" s="29" t="str">
        <f t="shared" si="92"/>
        <v>#DIV/0!</v>
      </c>
      <c r="BL89" s="29" t="str">
        <f t="shared" si="92"/>
        <v>#DIV/0!</v>
      </c>
      <c r="BM89" s="29" t="str">
        <f t="shared" si="3"/>
        <v>#DIV/0!</v>
      </c>
    </row>
    <row r="90">
      <c r="A90" s="16" t="str">
        <f>IFERROR(__xludf.DUMMYFUNCTION("IFERROR(SPARKLINE(SORT(MAP(TRANSPOSE(AQ90:BL90), LAMBDA(val, IF(ISNUMBER(val), PERCENTRANK(AQ90:BL90, val)+0.01, 0))), SEQUENCE(COLUMNS(AQ90:BL90)), FALSE), {""charttype"",""column""; ""color"",""chartreuse""; ""ymin"", 0; ""ymax"", 1.01; ""highcolor"", "&amp;"""darkgreen""; ""lowcolor"", ""red""}), """")"),"")</f>
        <v/>
      </c>
      <c r="B90" s="17" t="str">
        <f t="shared" si="4"/>
        <v/>
      </c>
      <c r="C90" s="45" t="s">
        <v>2971</v>
      </c>
      <c r="D90" s="30" t="str">
        <f>IFERROR(__xludf.DUMMYFUNCTION("IFERROR(GOOGLEFINANCE(C90, ""NAME""))"),"Consolidated Water Co Ltd")</f>
        <v>Consolidated Water Co Ltd</v>
      </c>
      <c r="E90" s="30" t="s">
        <v>2655</v>
      </c>
      <c r="F90" s="33" t="str">
        <f>IFERROR(__xludf.DUMMYFUNCTION("( (GOOGLEFINANCE(C90, ""price"") - Q90) / Q90 ) / (R90 / 100)"),"Loading...")</f>
        <v>Loading...</v>
      </c>
      <c r="G90" s="20" t="str">
        <f>IFERROR(__xludf.DUMMYFUNCTION("AVERAGE(ARRAYFORMULA(100 * (QUERY(GOOGLEFINANCE(C90, ""high"", TODAY()-40, TODAY()), ""SELECT Col2 WHERE Col2 IS NOT NULL ORDER BY Col1 DESC LIMIT 20"", 0) / QUERY(GOOGLEFINANCE(C90, ""low"", TODAY()-40, TODAY()), ""SELECT Col2 WHERE Col2 IS NOT NULL ORDE"&amp;"R BY Col1 DESC LIMIT 20"", 0) - 1)))"),"#N/A")</f>
        <v>#N/A</v>
      </c>
      <c r="H90" s="35" t="str">
        <f t="shared" si="6"/>
        <v>Illiquid</v>
      </c>
      <c r="I90" s="35" t="str">
        <f t="shared" si="7"/>
        <v>RVol Required</v>
      </c>
      <c r="J90" s="37">
        <f>IFERROR(__xludf.DUMMYFUNCTION("IFERROR(
  IF(C90="""",, 
    IFERROR(
      GOOGLEFINANCE(C90, ""price"") * GOOGLEFINANCE(C90, ""volumeavg""), 
      GOOGLEFINANCE(C90, ""price"") * AVERAGE(QUERY(GOOGLEFINANCE(C90, ""volume"", TODAY()-40, TODAY()), ""SELECT Col2 WHERE Col2 IS NOT NULL "&amp;"ORDER BY Col1 DESC LIMIT 20"", 0))
    )
  ), 
"""")"),2669301.28)</f>
        <v>2669301.28</v>
      </c>
      <c r="K90" s="21">
        <f>IFERROR(__xludf.DUMMYFUNCTION("IFERROR(GOOGLEFINANCE(C90, ""changepct"") / 100, """")"),-0.0181)</f>
        <v>-0.0181</v>
      </c>
      <c r="L90" s="21" t="str">
        <f>IFERROR(__xludf.DUMMYFUNCTION("IFERROR((GOOGLEFINANCE(C90, ""price"") / INDEX(GOOGLEFINANCE(C90, ""price"", TODAY()-7, TODAY()), 2, 2)) - 1, """")"),"")</f>
        <v/>
      </c>
      <c r="M90" s="21" t="str">
        <f>IFERROR(__xludf.DUMMYFUNCTION("IFERROR((GOOGLEFINANCE(C90, ""price"") / INDEX(GOOGLEFINANCE(C90, ""price"", EDATE(TODAY(), -1), TODAY()), 2, 2)) - 1, """")"),"")</f>
        <v/>
      </c>
      <c r="N90" s="21" t="str">
        <f>IFERROR(__xludf.DUMMYFUNCTION("IFERROR((GOOGLEFINANCE(C90, ""price"") / INDEX(GOOGLEFINANCE(C90, ""price"", EDATE(TODAY(), -3), TODAY()), 2, 2)) - 1, """")"),"")</f>
        <v/>
      </c>
      <c r="O90" s="21" t="str">
        <f>IFERROR(__xludf.DUMMYFUNCTION("IFERROR((GOOGLEFINANCE(C90, ""price"") / INDEX(GOOGLEFINANCE(C90, ""price"", EDATE(TODAY(), -6), TODAY()), 2, 2)) - 1, """")"),"")</f>
        <v/>
      </c>
      <c r="P90" s="21" t="str">
        <f>IFERROR(__xludf.DUMMYFUNCTION("IFERROR((GOOGLEFINANCE(C90, ""price"") / INDEX(GOOGLEFINANCE(C90, ""price"", EDATE(TODAY(), -12), TODAY()), 2, 2)) - 1, """")"),"")</f>
        <v/>
      </c>
      <c r="Q90" s="6" t="str">
        <f>IFERROR(__xludf.DUMMYFUNCTION("AVERAGE(QUERY(GOOGLEFINANCE(C90, ""price"", TODAY()-80, TODAY()), ""SELECT Col2 WHERE Col2 IS NOT NULL ORDER BY Col1 DESC LIMIT 50"", 0))"),"#N/A")</f>
        <v>#N/A</v>
      </c>
      <c r="R90" s="24" t="str">
        <f>IFERROR(__xludf.DUMMYFUNCTION("IFERROR(
  LET(
    data, QUERY(GOOGLEFINANCE(C90,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GOOGLEFINANCE(C90, ""price"")) * 100,
    IF(calc=0, G90, calc)
  ), 
G90)"),"#N/A")</f>
        <v>#N/A</v>
      </c>
      <c r="S90" s="8" t="s">
        <v>15</v>
      </c>
      <c r="T90" s="26" t="str">
        <f>IFERROR(__xludf.DUMMYFUNCTION("IFERROR(TRANSPOSE(QUERY(IFERROR(SORT(GOOGLEFINANCE(C90, ""price"", WORKDAY(TODAY(), -40), TODAY()), 1, FALSE)), ""select Col2 where Col2 is not null limit 22 label Col2 ''"", 0)), """")"),"")</f>
        <v/>
      </c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8"/>
      <c r="AO90" s="28"/>
      <c r="AP90" s="29"/>
      <c r="AQ90" s="29" t="str">
        <f t="shared" ref="AQ90:BL90" si="93">T90/T$2</f>
        <v>#N/A</v>
      </c>
      <c r="AR90" s="29" t="str">
        <f t="shared" si="93"/>
        <v>#DIV/0!</v>
      </c>
      <c r="AS90" s="29" t="str">
        <f t="shared" si="93"/>
        <v>#DIV/0!</v>
      </c>
      <c r="AT90" s="29" t="str">
        <f t="shared" si="93"/>
        <v>#DIV/0!</v>
      </c>
      <c r="AU90" s="29" t="str">
        <f t="shared" si="93"/>
        <v>#DIV/0!</v>
      </c>
      <c r="AV90" s="29" t="str">
        <f t="shared" si="93"/>
        <v>#DIV/0!</v>
      </c>
      <c r="AW90" s="29" t="str">
        <f t="shared" si="93"/>
        <v>#DIV/0!</v>
      </c>
      <c r="AX90" s="29" t="str">
        <f t="shared" si="93"/>
        <v>#DIV/0!</v>
      </c>
      <c r="AY90" s="29" t="str">
        <f t="shared" si="93"/>
        <v>#DIV/0!</v>
      </c>
      <c r="AZ90" s="29" t="str">
        <f t="shared" si="93"/>
        <v>#DIV/0!</v>
      </c>
      <c r="BA90" s="29" t="str">
        <f t="shared" si="93"/>
        <v>#DIV/0!</v>
      </c>
      <c r="BB90" s="29" t="str">
        <f t="shared" si="93"/>
        <v>#DIV/0!</v>
      </c>
      <c r="BC90" s="29" t="str">
        <f t="shared" si="93"/>
        <v>#DIV/0!</v>
      </c>
      <c r="BD90" s="29" t="str">
        <f t="shared" si="93"/>
        <v>#DIV/0!</v>
      </c>
      <c r="BE90" s="29" t="str">
        <f t="shared" si="93"/>
        <v>#DIV/0!</v>
      </c>
      <c r="BF90" s="29" t="str">
        <f t="shared" si="93"/>
        <v>#DIV/0!</v>
      </c>
      <c r="BG90" s="29" t="str">
        <f t="shared" si="93"/>
        <v>#DIV/0!</v>
      </c>
      <c r="BH90" s="29" t="str">
        <f t="shared" si="93"/>
        <v>#DIV/0!</v>
      </c>
      <c r="BI90" s="29" t="str">
        <f t="shared" si="93"/>
        <v>#DIV/0!</v>
      </c>
      <c r="BJ90" s="29" t="str">
        <f t="shared" si="93"/>
        <v>#DIV/0!</v>
      </c>
      <c r="BK90" s="29" t="str">
        <f t="shared" si="93"/>
        <v>#DIV/0!</v>
      </c>
      <c r="BL90" s="29" t="str">
        <f t="shared" si="93"/>
        <v>#DIV/0!</v>
      </c>
      <c r="BM90" s="29" t="str">
        <f t="shared" si="3"/>
        <v>#DIV/0!</v>
      </c>
    </row>
    <row r="91">
      <c r="A91" s="16" t="str">
        <f>IFERROR(__xludf.DUMMYFUNCTION("IFERROR(SPARKLINE(SORT(MAP(TRANSPOSE(AQ91:BL91), LAMBDA(val, IF(ISNUMBER(val), PERCENTRANK(AQ91:BL91, val)+0.01, 0))), SEQUENCE(COLUMNS(AQ91:BL91)), FALSE), {""charttype"",""column""; ""color"",""chartreuse""; ""ymin"", 0; ""ymax"", 1.01; ""highcolor"", "&amp;"""darkgreen""; ""lowcolor"", ""red""}), """")"),"")</f>
        <v/>
      </c>
      <c r="B91" s="17" t="str">
        <f t="shared" si="4"/>
        <v/>
      </c>
      <c r="C91" s="45" t="s">
        <v>2975</v>
      </c>
      <c r="D91" s="30" t="str">
        <f>IFERROR(__xludf.DUMMYFUNCTION("IFERROR(GOOGLEFINANCE(C91, ""NAME""))"),"Companhia Energetica Minas Gerais ADR Repstg One Pref Shs")</f>
        <v>Companhia Energetica Minas Gerais ADR Repstg One Pref Shs</v>
      </c>
      <c r="E91" s="30" t="s">
        <v>2628</v>
      </c>
      <c r="F91" s="33" t="str">
        <f>IFERROR(__xludf.DUMMYFUNCTION("( (GOOGLEFINANCE(C91, ""price"") - Q91) / Q91 ) / (R91 / 100)"),"Loading...")</f>
        <v>Loading...</v>
      </c>
      <c r="G91" s="20" t="str">
        <f>IFERROR(__xludf.DUMMYFUNCTION("AVERAGE(ARRAYFORMULA(100 * (QUERY(GOOGLEFINANCE(C91, ""high"", TODAY()-40, TODAY()), ""SELECT Col2 WHERE Col2 IS NOT NULL ORDER BY Col1 DESC LIMIT 20"", 0) / QUERY(GOOGLEFINANCE(C91, ""low"", TODAY()-40, TODAY()), ""SELECT Col2 WHERE Col2 IS NOT NULL ORDE"&amp;"R BY Col1 DESC LIMIT 20"", 0) - 1)))"),"#N/A")</f>
        <v>#N/A</v>
      </c>
      <c r="H91" s="35" t="str">
        <f t="shared" si="6"/>
        <v>Illiquid</v>
      </c>
      <c r="I91" s="35" t="str">
        <f t="shared" si="7"/>
        <v>RVol Required</v>
      </c>
      <c r="J91" s="37">
        <f>IFERROR(__xludf.DUMMYFUNCTION("IFERROR(
  IF(C91="""",, 
    IFERROR(
      GOOGLEFINANCE(C91, ""price"") * GOOGLEFINANCE(C91, ""volumeavg""), 
      GOOGLEFINANCE(C91, ""price"") * AVERAGE(QUERY(GOOGLEFINANCE(C91, ""volume"", TODAY()-40, TODAY()), ""SELECT Col2 WHERE Col2 IS NOT NULL "&amp;"ORDER BY Col1 DESC LIMIT 20"", 0))
    )
  ), 
"""")"),1.245985E7)</f>
        <v>12459850</v>
      </c>
      <c r="K91" s="21">
        <f>IFERROR(__xludf.DUMMYFUNCTION("IFERROR(GOOGLEFINANCE(C91, ""changepct"") / 100, """")"),0.0131)</f>
        <v>0.0131</v>
      </c>
      <c r="L91" s="21" t="str">
        <f>IFERROR(__xludf.DUMMYFUNCTION("IFERROR((GOOGLEFINANCE(C91, ""price"") / INDEX(GOOGLEFINANCE(C91, ""price"", TODAY()-7, TODAY()), 2, 2)) - 1, """")"),"")</f>
        <v/>
      </c>
      <c r="M91" s="21" t="str">
        <f>IFERROR(__xludf.DUMMYFUNCTION("IFERROR((GOOGLEFINANCE(C91, ""price"") / INDEX(GOOGLEFINANCE(C91, ""price"", EDATE(TODAY(), -1), TODAY()), 2, 2)) - 1, """")"),"")</f>
        <v/>
      </c>
      <c r="N91" s="21" t="str">
        <f>IFERROR(__xludf.DUMMYFUNCTION("IFERROR((GOOGLEFINANCE(C91, ""price"") / INDEX(GOOGLEFINANCE(C91, ""price"", EDATE(TODAY(), -3), TODAY()), 2, 2)) - 1, """")"),"")</f>
        <v/>
      </c>
      <c r="O91" s="21" t="str">
        <f>IFERROR(__xludf.DUMMYFUNCTION("IFERROR((GOOGLEFINANCE(C91, ""price"") / INDEX(GOOGLEFINANCE(C91, ""price"", EDATE(TODAY(), -6), TODAY()), 2, 2)) - 1, """")"),"")</f>
        <v/>
      </c>
      <c r="P91" s="21" t="str">
        <f>IFERROR(__xludf.DUMMYFUNCTION("IFERROR((GOOGLEFINANCE(C91, ""price"") / INDEX(GOOGLEFINANCE(C91, ""price"", EDATE(TODAY(), -12), TODAY()), 2, 2)) - 1, """")"),"")</f>
        <v/>
      </c>
      <c r="Q91" s="6" t="str">
        <f>IFERROR(__xludf.DUMMYFUNCTION("AVERAGE(QUERY(GOOGLEFINANCE(C91, ""price"", TODAY()-80, TODAY()), ""SELECT Col2 WHERE Col2 IS NOT NULL ORDER BY Col1 DESC LIMIT 50"", 0))"),"#N/A")</f>
        <v>#N/A</v>
      </c>
      <c r="R91" s="24" t="str">
        <f>IFERROR(__xludf.DUMMYFUNCTION("IFERROR(
  LET(
    data, QUERY(GOOGLEFINANCE(C91,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GOOGLEFINANCE(C91, ""price"")) * 100,
    IF(calc=0, G91, calc)
  ), 
G91)"),"#N/A")</f>
        <v>#N/A</v>
      </c>
      <c r="S91" s="8" t="s">
        <v>15</v>
      </c>
      <c r="T91" s="26" t="str">
        <f>IFERROR(__xludf.DUMMYFUNCTION("IFERROR(TRANSPOSE(QUERY(IFERROR(SORT(GOOGLEFINANCE(C91, ""price"", WORKDAY(TODAY(), -40), TODAY()), 1, FALSE)), ""select Col2 where Col2 is not null limit 22 label Col2 ''"", 0)), """")"),"")</f>
        <v/>
      </c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8"/>
      <c r="AO91" s="28"/>
      <c r="AP91" s="29"/>
      <c r="AQ91" s="29" t="str">
        <f t="shared" ref="AQ91:BL91" si="94">T91/T$2</f>
        <v>#N/A</v>
      </c>
      <c r="AR91" s="29" t="str">
        <f t="shared" si="94"/>
        <v>#DIV/0!</v>
      </c>
      <c r="AS91" s="29" t="str">
        <f t="shared" si="94"/>
        <v>#DIV/0!</v>
      </c>
      <c r="AT91" s="29" t="str">
        <f t="shared" si="94"/>
        <v>#DIV/0!</v>
      </c>
      <c r="AU91" s="29" t="str">
        <f t="shared" si="94"/>
        <v>#DIV/0!</v>
      </c>
      <c r="AV91" s="29" t="str">
        <f t="shared" si="94"/>
        <v>#DIV/0!</v>
      </c>
      <c r="AW91" s="29" t="str">
        <f t="shared" si="94"/>
        <v>#DIV/0!</v>
      </c>
      <c r="AX91" s="29" t="str">
        <f t="shared" si="94"/>
        <v>#DIV/0!</v>
      </c>
      <c r="AY91" s="29" t="str">
        <f t="shared" si="94"/>
        <v>#DIV/0!</v>
      </c>
      <c r="AZ91" s="29" t="str">
        <f t="shared" si="94"/>
        <v>#DIV/0!</v>
      </c>
      <c r="BA91" s="29" t="str">
        <f t="shared" si="94"/>
        <v>#DIV/0!</v>
      </c>
      <c r="BB91" s="29" t="str">
        <f t="shared" si="94"/>
        <v>#DIV/0!</v>
      </c>
      <c r="BC91" s="29" t="str">
        <f t="shared" si="94"/>
        <v>#DIV/0!</v>
      </c>
      <c r="BD91" s="29" t="str">
        <f t="shared" si="94"/>
        <v>#DIV/0!</v>
      </c>
      <c r="BE91" s="29" t="str">
        <f t="shared" si="94"/>
        <v>#DIV/0!</v>
      </c>
      <c r="BF91" s="29" t="str">
        <f t="shared" si="94"/>
        <v>#DIV/0!</v>
      </c>
      <c r="BG91" s="29" t="str">
        <f t="shared" si="94"/>
        <v>#DIV/0!</v>
      </c>
      <c r="BH91" s="29" t="str">
        <f t="shared" si="94"/>
        <v>#DIV/0!</v>
      </c>
      <c r="BI91" s="29" t="str">
        <f t="shared" si="94"/>
        <v>#DIV/0!</v>
      </c>
      <c r="BJ91" s="29" t="str">
        <f t="shared" si="94"/>
        <v>#DIV/0!</v>
      </c>
      <c r="BK91" s="29" t="str">
        <f t="shared" si="94"/>
        <v>#DIV/0!</v>
      </c>
      <c r="BL91" s="29" t="str">
        <f t="shared" si="94"/>
        <v>#DIV/0!</v>
      </c>
      <c r="BM91" s="29" t="str">
        <f t="shared" si="3"/>
        <v>#DIV/0!</v>
      </c>
    </row>
    <row r="92">
      <c r="A92" s="16" t="str">
        <f>IFERROR(__xludf.DUMMYFUNCTION("IFERROR(SPARKLINE(SORT(MAP(TRANSPOSE(AQ92:BL92), LAMBDA(val, IF(ISNUMBER(val), PERCENTRANK(AQ92:BL92, val)+0.01, 0))), SEQUENCE(COLUMNS(AQ92:BL92)), FALSE), {""charttype"",""column""; ""color"",""chartreuse""; ""ymin"", 0; ""ymax"", 1.01; ""highcolor"", "&amp;"""darkgreen""; ""lowcolor"", ""red""}), """")"),"")</f>
        <v/>
      </c>
      <c r="B92" s="17" t="str">
        <f t="shared" si="4"/>
        <v/>
      </c>
      <c r="C92" s="45" t="s">
        <v>2979</v>
      </c>
      <c r="D92" s="30" t="str">
        <f>IFERROR(__xludf.DUMMYFUNCTION("IFERROR(GOOGLEFINANCE(C92, ""NAME""))"),"Vistra Corp")</f>
        <v>Vistra Corp</v>
      </c>
      <c r="E92" s="30" t="s">
        <v>2634</v>
      </c>
      <c r="F92" s="33" t="str">
        <f>IFERROR(__xludf.DUMMYFUNCTION("( (GOOGLEFINANCE(C92, ""price"") - Q92) / Q92 ) / (R92 / 100)"),"Loading...")</f>
        <v>Loading...</v>
      </c>
      <c r="G92" s="20" t="str">
        <f>IFERROR(__xludf.DUMMYFUNCTION("AVERAGE(ARRAYFORMULA(100 * (QUERY(GOOGLEFINANCE(C92, ""high"", TODAY()-40, TODAY()), ""SELECT Col2 WHERE Col2 IS NOT NULL ORDER BY Col1 DESC LIMIT 20"", 0) / QUERY(GOOGLEFINANCE(C92, ""low"", TODAY()-40, TODAY()), ""SELECT Col2 WHERE Col2 IS NOT NULL ORDE"&amp;"R BY Col1 DESC LIMIT 20"", 0) - 1)))"),"#N/A")</f>
        <v>#N/A</v>
      </c>
      <c r="H92" s="35" t="str">
        <f t="shared" si="6"/>
        <v>Liquid</v>
      </c>
      <c r="I92" s="35" t="str">
        <f t="shared" si="7"/>
        <v>No RVol Required</v>
      </c>
      <c r="J92" s="37">
        <f>IFERROR(__xludf.DUMMYFUNCTION("IFERROR(
  IF(C92="""",, 
    IFERROR(
      GOOGLEFINANCE(C92, ""price"") * GOOGLEFINANCE(C92, ""volumeavg""), 
      GOOGLEFINANCE(C92, ""price"") * AVERAGE(QUERY(GOOGLEFINANCE(C92, ""volume"", TODAY()-40, TODAY()), ""SELECT Col2 WHERE Col2 IS NOT NULL "&amp;"ORDER BY Col1 DESC LIMIT 20"", 0))
    )
  ), 
"""")"),9.848696270600001E8)</f>
        <v>984869627.1</v>
      </c>
      <c r="K92" s="21">
        <f>IFERROR(__xludf.DUMMYFUNCTION("IFERROR(GOOGLEFINANCE(C92, ""changepct"") / 100, """")"),-0.0139)</f>
        <v>-0.0139</v>
      </c>
      <c r="L92" s="21" t="str">
        <f>IFERROR(__xludf.DUMMYFUNCTION("IFERROR((GOOGLEFINANCE(C92, ""price"") / INDEX(GOOGLEFINANCE(C92, ""price"", TODAY()-7, TODAY()), 2, 2)) - 1, """")"),"")</f>
        <v/>
      </c>
      <c r="M92" s="21" t="str">
        <f>IFERROR(__xludf.DUMMYFUNCTION("IFERROR((GOOGLEFINANCE(C92, ""price"") / INDEX(GOOGLEFINANCE(C92, ""price"", EDATE(TODAY(), -1), TODAY()), 2, 2)) - 1, """")"),"")</f>
        <v/>
      </c>
      <c r="N92" s="21" t="str">
        <f>IFERROR(__xludf.DUMMYFUNCTION("IFERROR((GOOGLEFINANCE(C92, ""price"") / INDEX(GOOGLEFINANCE(C92, ""price"", EDATE(TODAY(), -3), TODAY()), 2, 2)) - 1, """")"),"")</f>
        <v/>
      </c>
      <c r="O92" s="21" t="str">
        <f>IFERROR(__xludf.DUMMYFUNCTION("IFERROR((GOOGLEFINANCE(C92, ""price"") / INDEX(GOOGLEFINANCE(C92, ""price"", EDATE(TODAY(), -6), TODAY()), 2, 2)) - 1, """")"),"")</f>
        <v/>
      </c>
      <c r="P92" s="21" t="str">
        <f>IFERROR(__xludf.DUMMYFUNCTION("IFERROR((GOOGLEFINANCE(C92, ""price"") / INDEX(GOOGLEFINANCE(C92, ""price"", EDATE(TODAY(), -12), TODAY()), 2, 2)) - 1, """")"),"")</f>
        <v/>
      </c>
      <c r="Q92" s="6" t="str">
        <f>IFERROR(__xludf.DUMMYFUNCTION("AVERAGE(QUERY(GOOGLEFINANCE(C92, ""price"", TODAY()-80, TODAY()), ""SELECT Col2 WHERE Col2 IS NOT NULL ORDER BY Col1 DESC LIMIT 50"", 0))"),"#N/A")</f>
        <v>#N/A</v>
      </c>
      <c r="R92" s="24" t="str">
        <f>IFERROR(__xludf.DUMMYFUNCTION("IFERROR(
  LET(
    data, QUERY(GOOGLEFINANCE(C92,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GOOGLEFINANCE(C92, ""price"")) * 100,
    IF(calc=0, G92, calc)
  ), 
G92)"),"#N/A")</f>
        <v>#N/A</v>
      </c>
      <c r="S92" s="8" t="s">
        <v>15</v>
      </c>
      <c r="T92" s="26" t="str">
        <f>IFERROR(__xludf.DUMMYFUNCTION("IFERROR(TRANSPOSE(QUERY(IFERROR(SORT(GOOGLEFINANCE(C92, ""price"", WORKDAY(TODAY(), -40), TODAY()), 1, FALSE)), ""select Col2 where Col2 is not null limit 22 label Col2 ''"", 0)), """")"),"")</f>
        <v/>
      </c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8"/>
      <c r="AO92" s="28"/>
      <c r="AP92" s="29"/>
      <c r="AQ92" s="29" t="str">
        <f t="shared" ref="AQ92:BL92" si="95">T92/T$2</f>
        <v>#N/A</v>
      </c>
      <c r="AR92" s="29" t="str">
        <f t="shared" si="95"/>
        <v>#DIV/0!</v>
      </c>
      <c r="AS92" s="29" t="str">
        <f t="shared" si="95"/>
        <v>#DIV/0!</v>
      </c>
      <c r="AT92" s="29" t="str">
        <f t="shared" si="95"/>
        <v>#DIV/0!</v>
      </c>
      <c r="AU92" s="29" t="str">
        <f t="shared" si="95"/>
        <v>#DIV/0!</v>
      </c>
      <c r="AV92" s="29" t="str">
        <f t="shared" si="95"/>
        <v>#DIV/0!</v>
      </c>
      <c r="AW92" s="29" t="str">
        <f t="shared" si="95"/>
        <v>#DIV/0!</v>
      </c>
      <c r="AX92" s="29" t="str">
        <f t="shared" si="95"/>
        <v>#DIV/0!</v>
      </c>
      <c r="AY92" s="29" t="str">
        <f t="shared" si="95"/>
        <v>#DIV/0!</v>
      </c>
      <c r="AZ92" s="29" t="str">
        <f t="shared" si="95"/>
        <v>#DIV/0!</v>
      </c>
      <c r="BA92" s="29" t="str">
        <f t="shared" si="95"/>
        <v>#DIV/0!</v>
      </c>
      <c r="BB92" s="29" t="str">
        <f t="shared" si="95"/>
        <v>#DIV/0!</v>
      </c>
      <c r="BC92" s="29" t="str">
        <f t="shared" si="95"/>
        <v>#DIV/0!</v>
      </c>
      <c r="BD92" s="29" t="str">
        <f t="shared" si="95"/>
        <v>#DIV/0!</v>
      </c>
      <c r="BE92" s="29" t="str">
        <f t="shared" si="95"/>
        <v>#DIV/0!</v>
      </c>
      <c r="BF92" s="29" t="str">
        <f t="shared" si="95"/>
        <v>#DIV/0!</v>
      </c>
      <c r="BG92" s="29" t="str">
        <f t="shared" si="95"/>
        <v>#DIV/0!</v>
      </c>
      <c r="BH92" s="29" t="str">
        <f t="shared" si="95"/>
        <v>#DIV/0!</v>
      </c>
      <c r="BI92" s="29" t="str">
        <f t="shared" si="95"/>
        <v>#DIV/0!</v>
      </c>
      <c r="BJ92" s="29" t="str">
        <f t="shared" si="95"/>
        <v>#DIV/0!</v>
      </c>
      <c r="BK92" s="29" t="str">
        <f t="shared" si="95"/>
        <v>#DIV/0!</v>
      </c>
      <c r="BL92" s="29" t="str">
        <f t="shared" si="95"/>
        <v>#DIV/0!</v>
      </c>
      <c r="BM92" s="29" t="str">
        <f t="shared" si="3"/>
        <v>#DIV/0!</v>
      </c>
    </row>
    <row r="93">
      <c r="A93" s="16" t="str">
        <f>IFERROR(__xludf.DUMMYFUNCTION("IFERROR(SPARKLINE(SORT(MAP(TRANSPOSE(AQ93:BL93), LAMBDA(val, IF(ISNUMBER(val), PERCENTRANK(AQ93:BL93, val)+0.01, 0))), SEQUENCE(COLUMNS(AQ93:BL93)), FALSE), {""charttype"",""column""; ""color"",""chartreuse""; ""ymin"", 0; ""ymax"", 1.01; ""highcolor"", "&amp;"""darkgreen""; ""lowcolor"", ""red""}), """")"),"")</f>
        <v/>
      </c>
      <c r="B93" s="17" t="str">
        <f t="shared" si="4"/>
        <v/>
      </c>
      <c r="C93" s="45" t="s">
        <v>2983</v>
      </c>
      <c r="D93" s="30" t="str">
        <f>IFERROR(__xludf.DUMMYFUNCTION("IFERROR(GOOGLEFINANCE(C93, ""NAME""))"),"Algonquin Power &amp; Utilities Corp")</f>
        <v>Algonquin Power &amp; Utilities Corp</v>
      </c>
      <c r="E93" s="30" t="s">
        <v>2628</v>
      </c>
      <c r="F93" s="33" t="str">
        <f>IFERROR(__xludf.DUMMYFUNCTION("( (GOOGLEFINANCE(C93, ""price"") - Q93) / Q93 ) / (R93 / 100)"),"Loading...")</f>
        <v>Loading...</v>
      </c>
      <c r="G93" s="20" t="str">
        <f>IFERROR(__xludf.DUMMYFUNCTION("AVERAGE(ARRAYFORMULA(100 * (QUERY(GOOGLEFINANCE(C93, ""high"", TODAY()-40, TODAY()), ""SELECT Col2 WHERE Col2 IS NOT NULL ORDER BY Col1 DESC LIMIT 20"", 0) / QUERY(GOOGLEFINANCE(C93, ""low"", TODAY()-40, TODAY()), ""SELECT Col2 WHERE Col2 IS NOT NULL ORDE"&amp;"R BY Col1 DESC LIMIT 20"", 0) - 1)))"),"#N/A")</f>
        <v>#N/A</v>
      </c>
      <c r="H93" s="35" t="str">
        <f t="shared" si="6"/>
        <v>Illiquid</v>
      </c>
      <c r="I93" s="35" t="str">
        <f t="shared" si="7"/>
        <v>RVol Required</v>
      </c>
      <c r="J93" s="37">
        <f>IFERROR(__xludf.DUMMYFUNCTION("IFERROR(
  IF(C93="""",, 
    IFERROR(
      GOOGLEFINANCE(C93, ""price"") * GOOGLEFINANCE(C93, ""volumeavg""), 
      GOOGLEFINANCE(C93, ""price"") * AVERAGE(QUERY(GOOGLEFINANCE(C93, ""volume"", TODAY()-40, TODAY()), ""SELECT Col2 WHERE Col2 IS NOT NULL "&amp;"ORDER BY Col1 DESC LIMIT 20"", 0))
    )
  ), 
"""")"),2.40758805E7)</f>
        <v>24075880.5</v>
      </c>
      <c r="K93" s="21">
        <f>IFERROR(__xludf.DUMMYFUNCTION("IFERROR(GOOGLEFINANCE(C93, ""changepct"") / 100, """")"),0.0096)</f>
        <v>0.0096</v>
      </c>
      <c r="L93" s="21" t="str">
        <f>IFERROR(__xludf.DUMMYFUNCTION("IFERROR((GOOGLEFINANCE(C93, ""price"") / INDEX(GOOGLEFINANCE(C93, ""price"", TODAY()-7, TODAY()), 2, 2)) - 1, """")"),"")</f>
        <v/>
      </c>
      <c r="M93" s="21" t="str">
        <f>IFERROR(__xludf.DUMMYFUNCTION("IFERROR((GOOGLEFINANCE(C93, ""price"") / INDEX(GOOGLEFINANCE(C93, ""price"", EDATE(TODAY(), -1), TODAY()), 2, 2)) - 1, """")"),"")</f>
        <v/>
      </c>
      <c r="N93" s="21" t="str">
        <f>IFERROR(__xludf.DUMMYFUNCTION("IFERROR((GOOGLEFINANCE(C93, ""price"") / INDEX(GOOGLEFINANCE(C93, ""price"", EDATE(TODAY(), -3), TODAY()), 2, 2)) - 1, """")"),"")</f>
        <v/>
      </c>
      <c r="O93" s="21" t="str">
        <f>IFERROR(__xludf.DUMMYFUNCTION("IFERROR((GOOGLEFINANCE(C93, ""price"") / INDEX(GOOGLEFINANCE(C93, ""price"", EDATE(TODAY(), -6), TODAY()), 2, 2)) - 1, """")"),"")</f>
        <v/>
      </c>
      <c r="P93" s="21" t="str">
        <f>IFERROR(__xludf.DUMMYFUNCTION("IFERROR((GOOGLEFINANCE(C93, ""price"") / INDEX(GOOGLEFINANCE(C93, ""price"", EDATE(TODAY(), -12), TODAY()), 2, 2)) - 1, """")"),"")</f>
        <v/>
      </c>
      <c r="Q93" s="6" t="str">
        <f>IFERROR(__xludf.DUMMYFUNCTION("AVERAGE(QUERY(GOOGLEFINANCE(C93, ""price"", TODAY()-80, TODAY()), ""SELECT Col2 WHERE Col2 IS NOT NULL ORDER BY Col1 DESC LIMIT 50"", 0))"),"#N/A")</f>
        <v>#N/A</v>
      </c>
      <c r="R93" s="24" t="str">
        <f>IFERROR(__xludf.DUMMYFUNCTION("IFERROR(
  LET(
    data, QUERY(GOOGLEFINANCE(C93,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GOOGLEFINANCE(C93, ""price"")) * 100,
    IF(calc=0, G93, calc)
  ), 
G93)"),"#N/A")</f>
        <v>#N/A</v>
      </c>
      <c r="S93" s="8" t="s">
        <v>15</v>
      </c>
      <c r="T93" s="26" t="str">
        <f>IFERROR(__xludf.DUMMYFUNCTION("IFERROR(TRANSPOSE(QUERY(IFERROR(SORT(GOOGLEFINANCE(C93, ""price"", WORKDAY(TODAY(), -40), TODAY()), 1, FALSE)), ""select Col2 where Col2 is not null limit 22 label Col2 ''"", 0)), """")"),"")</f>
        <v/>
      </c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8"/>
      <c r="AO93" s="28"/>
      <c r="AP93" s="29"/>
      <c r="AQ93" s="29" t="str">
        <f t="shared" ref="AQ93:BL93" si="96">T93/T$2</f>
        <v>#N/A</v>
      </c>
      <c r="AR93" s="29" t="str">
        <f t="shared" si="96"/>
        <v>#DIV/0!</v>
      </c>
      <c r="AS93" s="29" t="str">
        <f t="shared" si="96"/>
        <v>#DIV/0!</v>
      </c>
      <c r="AT93" s="29" t="str">
        <f t="shared" si="96"/>
        <v>#DIV/0!</v>
      </c>
      <c r="AU93" s="29" t="str">
        <f t="shared" si="96"/>
        <v>#DIV/0!</v>
      </c>
      <c r="AV93" s="29" t="str">
        <f t="shared" si="96"/>
        <v>#DIV/0!</v>
      </c>
      <c r="AW93" s="29" t="str">
        <f t="shared" si="96"/>
        <v>#DIV/0!</v>
      </c>
      <c r="AX93" s="29" t="str">
        <f t="shared" si="96"/>
        <v>#DIV/0!</v>
      </c>
      <c r="AY93" s="29" t="str">
        <f t="shared" si="96"/>
        <v>#DIV/0!</v>
      </c>
      <c r="AZ93" s="29" t="str">
        <f t="shared" si="96"/>
        <v>#DIV/0!</v>
      </c>
      <c r="BA93" s="29" t="str">
        <f t="shared" si="96"/>
        <v>#DIV/0!</v>
      </c>
      <c r="BB93" s="29" t="str">
        <f t="shared" si="96"/>
        <v>#DIV/0!</v>
      </c>
      <c r="BC93" s="29" t="str">
        <f t="shared" si="96"/>
        <v>#DIV/0!</v>
      </c>
      <c r="BD93" s="29" t="str">
        <f t="shared" si="96"/>
        <v>#DIV/0!</v>
      </c>
      <c r="BE93" s="29" t="str">
        <f t="shared" si="96"/>
        <v>#DIV/0!</v>
      </c>
      <c r="BF93" s="29" t="str">
        <f t="shared" si="96"/>
        <v>#DIV/0!</v>
      </c>
      <c r="BG93" s="29" t="str">
        <f t="shared" si="96"/>
        <v>#DIV/0!</v>
      </c>
      <c r="BH93" s="29" t="str">
        <f t="shared" si="96"/>
        <v>#DIV/0!</v>
      </c>
      <c r="BI93" s="29" t="str">
        <f t="shared" si="96"/>
        <v>#DIV/0!</v>
      </c>
      <c r="BJ93" s="29" t="str">
        <f t="shared" si="96"/>
        <v>#DIV/0!</v>
      </c>
      <c r="BK93" s="29" t="str">
        <f t="shared" si="96"/>
        <v>#DIV/0!</v>
      </c>
      <c r="BL93" s="29" t="str">
        <f t="shared" si="96"/>
        <v>#DIV/0!</v>
      </c>
      <c r="BM93" s="29" t="str">
        <f t="shared" si="3"/>
        <v>#DIV/0!</v>
      </c>
    </row>
    <row r="94">
      <c r="A94" s="16" t="str">
        <f>IFERROR(__xludf.DUMMYFUNCTION("IFERROR(SPARKLINE(SORT(MAP(TRANSPOSE(AQ94:BL94), LAMBDA(val, IF(ISNUMBER(val), PERCENTRANK(AQ94:BL94, val)+0.01, 0))), SEQUENCE(COLUMNS(AQ94:BL94)), FALSE), {""charttype"",""column""; ""color"",""chartreuse""; ""ymin"", 0; ""ymax"", 1.01; ""highcolor"", "&amp;"""darkgreen""; ""lowcolor"", ""red""}), """")"),"")</f>
        <v/>
      </c>
      <c r="B94" s="17" t="str">
        <f t="shared" si="4"/>
        <v/>
      </c>
      <c r="C94" s="45" t="s">
        <v>2987</v>
      </c>
      <c r="D94" s="30" t="str">
        <f>IFERROR(__xludf.DUMMYFUNCTION("IFERROR(GOOGLEFINANCE(C94, ""NAME""))"),"Hawaiian Electric Industries Inc")</f>
        <v>Hawaiian Electric Industries Inc</v>
      </c>
      <c r="E94" s="30" t="s">
        <v>2660</v>
      </c>
      <c r="F94" s="33" t="str">
        <f>IFERROR(__xludf.DUMMYFUNCTION("( (GOOGLEFINANCE(C94, ""price"") - Q94) / Q94 ) / (R94 / 100)"),"Loading...")</f>
        <v>Loading...</v>
      </c>
      <c r="G94" s="20" t="str">
        <f>IFERROR(__xludf.DUMMYFUNCTION("AVERAGE(ARRAYFORMULA(100 * (QUERY(GOOGLEFINANCE(C94, ""high"", TODAY()-40, TODAY()), ""SELECT Col2 WHERE Col2 IS NOT NULL ORDER BY Col1 DESC LIMIT 20"", 0) / QUERY(GOOGLEFINANCE(C94, ""low"", TODAY()-40, TODAY()), ""SELECT Col2 WHERE Col2 IS NOT NULL ORDE"&amp;"R BY Col1 DESC LIMIT 20"", 0) - 1)))"),"#N/A")</f>
        <v>#N/A</v>
      </c>
      <c r="H94" s="35" t="str">
        <f t="shared" si="6"/>
        <v>Illiquid</v>
      </c>
      <c r="I94" s="35" t="str">
        <f t="shared" si="7"/>
        <v>RVol Required</v>
      </c>
      <c r="J94" s="37">
        <f>IFERROR(__xludf.DUMMYFUNCTION("IFERROR(
  IF(C94="""",, 
    IFERROR(
      GOOGLEFINANCE(C94, ""price"") * GOOGLEFINANCE(C94, ""volumeavg""), 
      GOOGLEFINANCE(C94, ""price"") * AVERAGE(QUERY(GOOGLEFINANCE(C94, ""volume"", TODAY()-40, TODAY()), ""SELECT Col2 WHERE Col2 IS NOT NULL "&amp;"ORDER BY Col1 DESC LIMIT 20"", 0))
    )
  ), 
"""")"),2.539566744E7)</f>
        <v>25395667.44</v>
      </c>
      <c r="K94" s="21">
        <f>IFERROR(__xludf.DUMMYFUNCTION("IFERROR(GOOGLEFINANCE(C94, ""changepct"") / 100, """")"),0.0106)</f>
        <v>0.0106</v>
      </c>
      <c r="L94" s="21" t="str">
        <f>IFERROR(__xludf.DUMMYFUNCTION("IFERROR((GOOGLEFINANCE(C94, ""price"") / INDEX(GOOGLEFINANCE(C94, ""price"", TODAY()-7, TODAY()), 2, 2)) - 1, """")"),"")</f>
        <v/>
      </c>
      <c r="M94" s="21" t="str">
        <f>IFERROR(__xludf.DUMMYFUNCTION("IFERROR((GOOGLEFINANCE(C94, ""price"") / INDEX(GOOGLEFINANCE(C94, ""price"", EDATE(TODAY(), -1), TODAY()), 2, 2)) - 1, """")"),"")</f>
        <v/>
      </c>
      <c r="N94" s="21" t="str">
        <f>IFERROR(__xludf.DUMMYFUNCTION("IFERROR((GOOGLEFINANCE(C94, ""price"") / INDEX(GOOGLEFINANCE(C94, ""price"", EDATE(TODAY(), -3), TODAY()), 2, 2)) - 1, """")"),"")</f>
        <v/>
      </c>
      <c r="O94" s="21" t="str">
        <f>IFERROR(__xludf.DUMMYFUNCTION("IFERROR((GOOGLEFINANCE(C94, ""price"") / INDEX(GOOGLEFINANCE(C94, ""price"", EDATE(TODAY(), -6), TODAY()), 2, 2)) - 1, """")"),"")</f>
        <v/>
      </c>
      <c r="P94" s="21" t="str">
        <f>IFERROR(__xludf.DUMMYFUNCTION("IFERROR((GOOGLEFINANCE(C94, ""price"") / INDEX(GOOGLEFINANCE(C94, ""price"", EDATE(TODAY(), -12), TODAY()), 2, 2)) - 1, """")"),"")</f>
        <v/>
      </c>
      <c r="Q94" s="6" t="str">
        <f>IFERROR(__xludf.DUMMYFUNCTION("AVERAGE(QUERY(GOOGLEFINANCE(C94, ""price"", TODAY()-80, TODAY()), ""SELECT Col2 WHERE Col2 IS NOT NULL ORDER BY Col1 DESC LIMIT 50"", 0))"),"#N/A")</f>
        <v>#N/A</v>
      </c>
      <c r="R94" s="24" t="str">
        <f>IFERROR(__xludf.DUMMYFUNCTION("IFERROR(
  LET(
    data, QUERY(GOOGLEFINANCE(C94,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GOOGLEFINANCE(C94, ""price"")) * 100,
    IF(calc=0, G94, calc)
  ), 
G94)"),"#N/A")</f>
        <v>#N/A</v>
      </c>
      <c r="S94" s="8" t="s">
        <v>15</v>
      </c>
      <c r="T94" s="26" t="str">
        <f>IFERROR(__xludf.DUMMYFUNCTION("IFERROR(TRANSPOSE(QUERY(IFERROR(SORT(GOOGLEFINANCE(C94, ""price"", WORKDAY(TODAY(), -40), TODAY()), 1, FALSE)), ""select Col2 where Col2 is not null limit 22 label Col2 ''"", 0)), """")"),"")</f>
        <v/>
      </c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8"/>
      <c r="AO94" s="28"/>
      <c r="AP94" s="29"/>
      <c r="AQ94" s="29" t="str">
        <f t="shared" ref="AQ94:BL94" si="97">T94/T$2</f>
        <v>#N/A</v>
      </c>
      <c r="AR94" s="29" t="str">
        <f t="shared" si="97"/>
        <v>#DIV/0!</v>
      </c>
      <c r="AS94" s="29" t="str">
        <f t="shared" si="97"/>
        <v>#DIV/0!</v>
      </c>
      <c r="AT94" s="29" t="str">
        <f t="shared" si="97"/>
        <v>#DIV/0!</v>
      </c>
      <c r="AU94" s="29" t="str">
        <f t="shared" si="97"/>
        <v>#DIV/0!</v>
      </c>
      <c r="AV94" s="29" t="str">
        <f t="shared" si="97"/>
        <v>#DIV/0!</v>
      </c>
      <c r="AW94" s="29" t="str">
        <f t="shared" si="97"/>
        <v>#DIV/0!</v>
      </c>
      <c r="AX94" s="29" t="str">
        <f t="shared" si="97"/>
        <v>#DIV/0!</v>
      </c>
      <c r="AY94" s="29" t="str">
        <f t="shared" si="97"/>
        <v>#DIV/0!</v>
      </c>
      <c r="AZ94" s="29" t="str">
        <f t="shared" si="97"/>
        <v>#DIV/0!</v>
      </c>
      <c r="BA94" s="29" t="str">
        <f t="shared" si="97"/>
        <v>#DIV/0!</v>
      </c>
      <c r="BB94" s="29" t="str">
        <f t="shared" si="97"/>
        <v>#DIV/0!</v>
      </c>
      <c r="BC94" s="29" t="str">
        <f t="shared" si="97"/>
        <v>#DIV/0!</v>
      </c>
      <c r="BD94" s="29" t="str">
        <f t="shared" si="97"/>
        <v>#DIV/0!</v>
      </c>
      <c r="BE94" s="29" t="str">
        <f t="shared" si="97"/>
        <v>#DIV/0!</v>
      </c>
      <c r="BF94" s="29" t="str">
        <f t="shared" si="97"/>
        <v>#DIV/0!</v>
      </c>
      <c r="BG94" s="29" t="str">
        <f t="shared" si="97"/>
        <v>#DIV/0!</v>
      </c>
      <c r="BH94" s="29" t="str">
        <f t="shared" si="97"/>
        <v>#DIV/0!</v>
      </c>
      <c r="BI94" s="29" t="str">
        <f t="shared" si="97"/>
        <v>#DIV/0!</v>
      </c>
      <c r="BJ94" s="29" t="str">
        <f t="shared" si="97"/>
        <v>#DIV/0!</v>
      </c>
      <c r="BK94" s="29" t="str">
        <f t="shared" si="97"/>
        <v>#DIV/0!</v>
      </c>
      <c r="BL94" s="29" t="str">
        <f t="shared" si="97"/>
        <v>#DIV/0!</v>
      </c>
      <c r="BM94" s="29" t="str">
        <f t="shared" si="3"/>
        <v>#DIV/0!</v>
      </c>
    </row>
    <row r="95">
      <c r="A95" s="16" t="str">
        <f>IFERROR(__xludf.DUMMYFUNCTION("IFERROR(SPARKLINE(SORT(MAP(TRANSPOSE(AQ95:BL95), LAMBDA(val, IF(ISNUMBER(val), PERCENTRANK(AQ95:BL95, val)+0.01, 0))), SEQUENCE(COLUMNS(AQ95:BL95)), FALSE), {""charttype"",""column""; ""color"",""chartreuse""; ""ymin"", 0; ""ymax"", 1.01; ""highcolor"", "&amp;"""darkgreen""; ""lowcolor"", ""red""}), """")"),"")</f>
        <v/>
      </c>
      <c r="B95" s="17" t="str">
        <f t="shared" si="4"/>
        <v/>
      </c>
      <c r="C95" s="45" t="s">
        <v>2991</v>
      </c>
      <c r="D95" s="30" t="str">
        <f>IFERROR(__xludf.DUMMYFUNCTION("IFERROR(GOOGLEFINANCE(C95, ""NAME""))"),"ONE Gas Inc")</f>
        <v>ONE Gas Inc</v>
      </c>
      <c r="E95" s="30" t="s">
        <v>2651</v>
      </c>
      <c r="F95" s="33" t="str">
        <f>IFERROR(__xludf.DUMMYFUNCTION("( (GOOGLEFINANCE(C95, ""price"") - Q95) / Q95 ) / (R95 / 100)"),"Loading...")</f>
        <v>Loading...</v>
      </c>
      <c r="G95" s="20" t="str">
        <f>IFERROR(__xludf.DUMMYFUNCTION("AVERAGE(ARRAYFORMULA(100 * (QUERY(GOOGLEFINANCE(C95, ""high"", TODAY()-40, TODAY()), ""SELECT Col2 WHERE Col2 IS NOT NULL ORDER BY Col1 DESC LIMIT 20"", 0) / QUERY(GOOGLEFINANCE(C95, ""low"", TODAY()-40, TODAY()), ""SELECT Col2 WHERE Col2 IS NOT NULL ORDE"&amp;"R BY Col1 DESC LIMIT 20"", 0) - 1)))"),"#N/A")</f>
        <v>#N/A</v>
      </c>
      <c r="H95" s="35" t="str">
        <f t="shared" si="6"/>
        <v>Illiquid</v>
      </c>
      <c r="I95" s="35" t="str">
        <f t="shared" si="7"/>
        <v>RVol Required</v>
      </c>
      <c r="J95" s="37">
        <f>IFERROR(__xludf.DUMMYFUNCTION("IFERROR(
  IF(C95="""",, 
    IFERROR(
      GOOGLEFINANCE(C95, ""price"") * GOOGLEFINANCE(C95, ""volumeavg""), 
      GOOGLEFINANCE(C95, ""price"") * AVERAGE(QUERY(GOOGLEFINANCE(C95, ""volume"", TODAY()-40, TODAY()), ""SELECT Col2 WHERE Col2 IS NOT NULL "&amp;"ORDER BY Col1 DESC LIMIT 20"", 0))
    )
  ), 
"""")"),4.9079293199999996E7)</f>
        <v>49079293.2</v>
      </c>
      <c r="K95" s="21">
        <f>IFERROR(__xludf.DUMMYFUNCTION("IFERROR(GOOGLEFINANCE(C95, ""changepct"") / 100, """")"),0.0139)</f>
        <v>0.0139</v>
      </c>
      <c r="L95" s="21" t="str">
        <f>IFERROR(__xludf.DUMMYFUNCTION("IFERROR((GOOGLEFINANCE(C95, ""price"") / INDEX(GOOGLEFINANCE(C95, ""price"", TODAY()-7, TODAY()), 2, 2)) - 1, """")"),"")</f>
        <v/>
      </c>
      <c r="M95" s="21" t="str">
        <f>IFERROR(__xludf.DUMMYFUNCTION("IFERROR((GOOGLEFINANCE(C95, ""price"") / INDEX(GOOGLEFINANCE(C95, ""price"", EDATE(TODAY(), -1), TODAY()), 2, 2)) - 1, """")"),"")</f>
        <v/>
      </c>
      <c r="N95" s="21" t="str">
        <f>IFERROR(__xludf.DUMMYFUNCTION("IFERROR((GOOGLEFINANCE(C95, ""price"") / INDEX(GOOGLEFINANCE(C95, ""price"", EDATE(TODAY(), -3), TODAY()), 2, 2)) - 1, """")"),"")</f>
        <v/>
      </c>
      <c r="O95" s="21" t="str">
        <f>IFERROR(__xludf.DUMMYFUNCTION("IFERROR((GOOGLEFINANCE(C95, ""price"") / INDEX(GOOGLEFINANCE(C95, ""price"", EDATE(TODAY(), -6), TODAY()), 2, 2)) - 1, """")"),"")</f>
        <v/>
      </c>
      <c r="P95" s="21" t="str">
        <f>IFERROR(__xludf.DUMMYFUNCTION("IFERROR((GOOGLEFINANCE(C95, ""price"") / INDEX(GOOGLEFINANCE(C95, ""price"", EDATE(TODAY(), -12), TODAY()), 2, 2)) - 1, """")"),"")</f>
        <v/>
      </c>
      <c r="Q95" s="6" t="str">
        <f>IFERROR(__xludf.DUMMYFUNCTION("AVERAGE(QUERY(GOOGLEFINANCE(C95, ""price"", TODAY()-80, TODAY()), ""SELECT Col2 WHERE Col2 IS NOT NULL ORDER BY Col1 DESC LIMIT 50"", 0))"),"#N/A")</f>
        <v>#N/A</v>
      </c>
      <c r="R95" s="24" t="str">
        <f>IFERROR(__xludf.DUMMYFUNCTION("IFERROR(
  LET(
    data, QUERY(GOOGLEFINANCE(C95,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GOOGLEFINANCE(C95, ""price"")) * 100,
    IF(calc=0, G95, calc)
  ), 
G95)"),"#N/A")</f>
        <v>#N/A</v>
      </c>
      <c r="S95" s="8" t="s">
        <v>15</v>
      </c>
      <c r="T95" s="26" t="str">
        <f>IFERROR(__xludf.DUMMYFUNCTION("IFERROR(TRANSPOSE(QUERY(IFERROR(SORT(GOOGLEFINANCE(C95, ""price"", WORKDAY(TODAY(), -40), TODAY()), 1, FALSE)), ""select Col2 where Col2 is not null limit 22 label Col2 ''"", 0)), """")"),"")</f>
        <v/>
      </c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8"/>
      <c r="AO95" s="28"/>
      <c r="AP95" s="29"/>
      <c r="AQ95" s="29" t="str">
        <f t="shared" ref="AQ95:BL95" si="98">T95/T$2</f>
        <v>#N/A</v>
      </c>
      <c r="AR95" s="29" t="str">
        <f t="shared" si="98"/>
        <v>#DIV/0!</v>
      </c>
      <c r="AS95" s="29" t="str">
        <f t="shared" si="98"/>
        <v>#DIV/0!</v>
      </c>
      <c r="AT95" s="29" t="str">
        <f t="shared" si="98"/>
        <v>#DIV/0!</v>
      </c>
      <c r="AU95" s="29" t="str">
        <f t="shared" si="98"/>
        <v>#DIV/0!</v>
      </c>
      <c r="AV95" s="29" t="str">
        <f t="shared" si="98"/>
        <v>#DIV/0!</v>
      </c>
      <c r="AW95" s="29" t="str">
        <f t="shared" si="98"/>
        <v>#DIV/0!</v>
      </c>
      <c r="AX95" s="29" t="str">
        <f t="shared" si="98"/>
        <v>#DIV/0!</v>
      </c>
      <c r="AY95" s="29" t="str">
        <f t="shared" si="98"/>
        <v>#DIV/0!</v>
      </c>
      <c r="AZ95" s="29" t="str">
        <f t="shared" si="98"/>
        <v>#DIV/0!</v>
      </c>
      <c r="BA95" s="29" t="str">
        <f t="shared" si="98"/>
        <v>#DIV/0!</v>
      </c>
      <c r="BB95" s="29" t="str">
        <f t="shared" si="98"/>
        <v>#DIV/0!</v>
      </c>
      <c r="BC95" s="29" t="str">
        <f t="shared" si="98"/>
        <v>#DIV/0!</v>
      </c>
      <c r="BD95" s="29" t="str">
        <f t="shared" si="98"/>
        <v>#DIV/0!</v>
      </c>
      <c r="BE95" s="29" t="str">
        <f t="shared" si="98"/>
        <v>#DIV/0!</v>
      </c>
      <c r="BF95" s="29" t="str">
        <f t="shared" si="98"/>
        <v>#DIV/0!</v>
      </c>
      <c r="BG95" s="29" t="str">
        <f t="shared" si="98"/>
        <v>#DIV/0!</v>
      </c>
      <c r="BH95" s="29" t="str">
        <f t="shared" si="98"/>
        <v>#DIV/0!</v>
      </c>
      <c r="BI95" s="29" t="str">
        <f t="shared" si="98"/>
        <v>#DIV/0!</v>
      </c>
      <c r="BJ95" s="29" t="str">
        <f t="shared" si="98"/>
        <v>#DIV/0!</v>
      </c>
      <c r="BK95" s="29" t="str">
        <f t="shared" si="98"/>
        <v>#DIV/0!</v>
      </c>
      <c r="BL95" s="29" t="str">
        <f t="shared" si="98"/>
        <v>#DIV/0!</v>
      </c>
      <c r="BM95" s="29" t="str">
        <f t="shared" si="3"/>
        <v>#DIV/0!</v>
      </c>
    </row>
    <row r="96">
      <c r="A96" s="16" t="str">
        <f>IFERROR(__xludf.DUMMYFUNCTION("IFERROR(SPARKLINE(SORT(MAP(TRANSPOSE(AQ96:BL96), LAMBDA(val, IF(ISNUMBER(val), PERCENTRANK(AQ96:BL96, val)+0.01, 0))), SEQUENCE(COLUMNS(AQ96:BL96)), FALSE), {""charttype"",""column""; ""color"",""chartreuse""; ""ymin"", 0; ""ymax"", 1.01; ""highcolor"", "&amp;"""darkgreen""; ""lowcolor"", ""red""}), """")"),"")</f>
        <v/>
      </c>
      <c r="B96" s="17" t="str">
        <f t="shared" si="4"/>
        <v/>
      </c>
      <c r="C96" s="45" t="s">
        <v>2997</v>
      </c>
      <c r="D96" s="30" t="str">
        <f>IFERROR(__xludf.DUMMYFUNCTION("IFERROR(GOOGLEFINANCE(C96, ""NAME""))"),"Compnh d Smt Bc d sd d S Pl - SBSP")</f>
        <v>Compnh d Smt Bc d sd d S Pl - SBSP</v>
      </c>
      <c r="E96" s="30" t="s">
        <v>2655</v>
      </c>
      <c r="F96" s="38" t="str">
        <f>IFERROR(__xludf.DUMMYFUNCTION("( (GOOGLEFINANCE(C96, ""price"") - Q96) / Q96 ) / (R96 / 100)"),"Loading...")</f>
        <v>Loading...</v>
      </c>
      <c r="G96" s="20" t="str">
        <f>IFERROR(__xludf.DUMMYFUNCTION("AVERAGE(ARRAYFORMULA(100 * (QUERY(GOOGLEFINANCE(C96, ""high"", TODAY()-40, TODAY()), ""SELECT Col2 WHERE Col2 IS NOT NULL ORDER BY Col1 DESC LIMIT 20"", 0) / QUERY(GOOGLEFINANCE(C96, ""low"", TODAY()-40, TODAY()), ""SELECT Col2 WHERE Col2 IS NOT NULL ORDE"&amp;"R BY Col1 DESC LIMIT 20"", 0) - 1)))"),"#N/A")</f>
        <v>#N/A</v>
      </c>
      <c r="H96" s="35" t="str">
        <f t="shared" si="6"/>
        <v>Liquid</v>
      </c>
      <c r="I96" s="35" t="str">
        <f t="shared" si="7"/>
        <v>RVol Required</v>
      </c>
      <c r="J96" s="37">
        <f>IFERROR(__xludf.DUMMYFUNCTION("IFERROR(
  IF(C96="""",, 
    IFERROR(
      GOOGLEFINANCE(C96, ""price"") * GOOGLEFINANCE(C96, ""volumeavg""), 
      GOOGLEFINANCE(C96, ""price"") * AVERAGE(QUERY(GOOGLEFINANCE(C96, ""volume"", TODAY()-40, TODAY()), ""SELECT Col2 WHERE Col2 IS NOT NULL "&amp;"ORDER BY Col1 DESC LIMIT 20"", 0))
    )
  ), 
"""")"),5.609136532E7)</f>
        <v>56091365.32</v>
      </c>
      <c r="K96" s="21">
        <f>IFERROR(__xludf.DUMMYFUNCTION("IFERROR(GOOGLEFINANCE(C96, ""changepct"") / 100, """")"),0.0)</f>
        <v>0</v>
      </c>
      <c r="L96" s="21" t="str">
        <f>IFERROR(__xludf.DUMMYFUNCTION("IFERROR((GOOGLEFINANCE(C96, ""price"") / INDEX(GOOGLEFINANCE(C96, ""price"", TODAY()-7, TODAY()), 2, 2)) - 1, """")"),"")</f>
        <v/>
      </c>
      <c r="M96" s="21" t="str">
        <f>IFERROR(__xludf.DUMMYFUNCTION("IFERROR((GOOGLEFINANCE(C96, ""price"") / INDEX(GOOGLEFINANCE(C96, ""price"", EDATE(TODAY(), -1), TODAY()), 2, 2)) - 1, """")"),"")</f>
        <v/>
      </c>
      <c r="N96" s="21" t="str">
        <f>IFERROR(__xludf.DUMMYFUNCTION("IFERROR((GOOGLEFINANCE(C96, ""price"") / INDEX(GOOGLEFINANCE(C96, ""price"", EDATE(TODAY(), -3), TODAY()), 2, 2)) - 1, """")"),"")</f>
        <v/>
      </c>
      <c r="O96" s="21" t="str">
        <f>IFERROR(__xludf.DUMMYFUNCTION("IFERROR((GOOGLEFINANCE(C96, ""price"") / INDEX(GOOGLEFINANCE(C96, ""price"", EDATE(TODAY(), -6), TODAY()), 2, 2)) - 1, """")"),"")</f>
        <v/>
      </c>
      <c r="P96" s="21" t="str">
        <f>IFERROR(__xludf.DUMMYFUNCTION("IFERROR((GOOGLEFINANCE(C96, ""price"") / INDEX(GOOGLEFINANCE(C96, ""price"", EDATE(TODAY(), -12), TODAY()), 2, 2)) - 1, """")"),"")</f>
        <v/>
      </c>
      <c r="Q96" s="6" t="str">
        <f>IFERROR(__xludf.DUMMYFUNCTION("AVERAGE(QUERY(GOOGLEFINANCE(C96, ""price"", TODAY()-80, TODAY()), ""SELECT Col2 WHERE Col2 IS NOT NULL ORDER BY Col1 DESC LIMIT 50"", 0))"),"#N/A")</f>
        <v>#N/A</v>
      </c>
      <c r="R96" s="24" t="str">
        <f>IFERROR(__xludf.DUMMYFUNCTION("IFERROR(
  LET(
    data, QUERY(GOOGLEFINANCE(C96,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GOOGLEFINANCE(C96, ""price"")) * 100,
    IF(calc=0, G96, calc)
  ), 
G96)"),"#N/A")</f>
        <v>#N/A</v>
      </c>
      <c r="S96" s="8" t="s">
        <v>15</v>
      </c>
      <c r="T96" s="26" t="str">
        <f>IFERROR(__xludf.DUMMYFUNCTION("IFERROR(TRANSPOSE(QUERY(IFERROR(SORT(GOOGLEFINANCE(C96, ""price"", WORKDAY(TODAY(), -40), TODAY()), 1, FALSE)), ""select Col2 where Col2 is not null limit 22 label Col2 ''"", 0)), """")"),"")</f>
        <v/>
      </c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8"/>
      <c r="AO96" s="28"/>
      <c r="AP96" s="29"/>
      <c r="AQ96" s="29" t="str">
        <f t="shared" ref="AQ96:BL96" si="99">T96/T$2</f>
        <v>#N/A</v>
      </c>
      <c r="AR96" s="29" t="str">
        <f t="shared" si="99"/>
        <v>#DIV/0!</v>
      </c>
      <c r="AS96" s="29" t="str">
        <f t="shared" si="99"/>
        <v>#DIV/0!</v>
      </c>
      <c r="AT96" s="29" t="str">
        <f t="shared" si="99"/>
        <v>#DIV/0!</v>
      </c>
      <c r="AU96" s="29" t="str">
        <f t="shared" si="99"/>
        <v>#DIV/0!</v>
      </c>
      <c r="AV96" s="29" t="str">
        <f t="shared" si="99"/>
        <v>#DIV/0!</v>
      </c>
      <c r="AW96" s="29" t="str">
        <f t="shared" si="99"/>
        <v>#DIV/0!</v>
      </c>
      <c r="AX96" s="29" t="str">
        <f t="shared" si="99"/>
        <v>#DIV/0!</v>
      </c>
      <c r="AY96" s="29" t="str">
        <f t="shared" si="99"/>
        <v>#DIV/0!</v>
      </c>
      <c r="AZ96" s="29" t="str">
        <f t="shared" si="99"/>
        <v>#DIV/0!</v>
      </c>
      <c r="BA96" s="29" t="str">
        <f t="shared" si="99"/>
        <v>#DIV/0!</v>
      </c>
      <c r="BB96" s="29" t="str">
        <f t="shared" si="99"/>
        <v>#DIV/0!</v>
      </c>
      <c r="BC96" s="29" t="str">
        <f t="shared" si="99"/>
        <v>#DIV/0!</v>
      </c>
      <c r="BD96" s="29" t="str">
        <f t="shared" si="99"/>
        <v>#DIV/0!</v>
      </c>
      <c r="BE96" s="29" t="str">
        <f t="shared" si="99"/>
        <v>#DIV/0!</v>
      </c>
      <c r="BF96" s="29" t="str">
        <f t="shared" si="99"/>
        <v>#DIV/0!</v>
      </c>
      <c r="BG96" s="29" t="str">
        <f t="shared" si="99"/>
        <v>#DIV/0!</v>
      </c>
      <c r="BH96" s="29" t="str">
        <f t="shared" si="99"/>
        <v>#DIV/0!</v>
      </c>
      <c r="BI96" s="29" t="str">
        <f t="shared" si="99"/>
        <v>#DIV/0!</v>
      </c>
      <c r="BJ96" s="29" t="str">
        <f t="shared" si="99"/>
        <v>#DIV/0!</v>
      </c>
      <c r="BK96" s="29" t="str">
        <f t="shared" si="99"/>
        <v>#DIV/0!</v>
      </c>
      <c r="BL96" s="29" t="str">
        <f t="shared" si="99"/>
        <v>#DIV/0!</v>
      </c>
      <c r="BM96" s="29" t="str">
        <f t="shared" si="3"/>
        <v>#DIV/0!</v>
      </c>
    </row>
  </sheetData>
  <mergeCells count="5">
    <mergeCell ref="E1:E3"/>
    <mergeCell ref="G1:G3"/>
    <mergeCell ref="H1:H3"/>
    <mergeCell ref="I1:I3"/>
    <mergeCell ref="J1:J3"/>
  </mergeCells>
  <conditionalFormatting sqref="H4:H96">
    <cfRule type="cellIs" dxfId="8" priority="1" operator="equal">
      <formula>"Liquid"</formula>
    </cfRule>
  </conditionalFormatting>
  <conditionalFormatting sqref="I4:I96">
    <cfRule type="containsText" dxfId="8" priority="2" operator="containsText" text="No">
      <formula>NOT(ISERROR(SEARCH(("No"),(I4))))</formula>
    </cfRule>
  </conditionalFormatting>
  <conditionalFormatting sqref="K1:P96">
    <cfRule type="cellIs" dxfId="0" priority="3" operator="lessThan">
      <formula>0</formula>
    </cfRule>
  </conditionalFormatting>
  <conditionalFormatting sqref="A1:BM96">
    <cfRule type="containsBlanks" dxfId="1" priority="4">
      <formula>LEN(TRIM(A1))=0</formula>
    </cfRule>
  </conditionalFormatting>
  <conditionalFormatting sqref="C1:C96">
    <cfRule type="expression" dxfId="2" priority="5">
      <formula>COUNTIF($C:$C, C1) &gt; 1</formula>
    </cfRule>
  </conditionalFormatting>
  <conditionalFormatting sqref="F1:F96">
    <cfRule type="cellIs" dxfId="3" priority="6" operator="greaterThanOrEqual">
      <formula>8</formula>
    </cfRule>
  </conditionalFormatting>
  <conditionalFormatting sqref="F1:F96">
    <cfRule type="cellIs" dxfId="4" priority="7" operator="greaterThanOrEqual">
      <formula>5</formula>
    </cfRule>
  </conditionalFormatting>
  <conditionalFormatting sqref="F1:F96">
    <cfRule type="cellIs" dxfId="5" priority="8" operator="between">
      <formula>5</formula>
      <formula>-1</formula>
    </cfRule>
  </conditionalFormatting>
  <conditionalFormatting sqref="F1:F96">
    <cfRule type="cellIs" dxfId="6" priority="9" operator="lessThan">
      <formula>-5</formula>
    </cfRule>
  </conditionalFormatting>
  <conditionalFormatting sqref="G1:H96">
    <cfRule type="cellIs" dxfId="7" priority="10" operator="greaterThanOrEqual">
      <formula>4</formula>
    </cfRule>
  </conditionalFormatting>
  <conditionalFormatting sqref="F1:F96">
    <cfRule type="cellIs" dxfId="9" priority="11" operator="lessThan">
      <formula>-1</formula>
    </cfRule>
  </conditionalFormatting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2.13"/>
    <col customWidth="1" min="2" max="2" width="9.13"/>
    <col customWidth="1" min="3" max="3" width="8.25"/>
    <col customWidth="1" min="4" max="4" width="38.63"/>
    <col customWidth="1" min="5" max="5" width="25.63"/>
    <col customWidth="1" min="6" max="6" width="11.25"/>
    <col customWidth="1" min="7" max="7" width="8.25"/>
    <col customWidth="1" min="8" max="8" width="6.75"/>
    <col customWidth="1" min="9" max="9" width="14.75"/>
    <col customWidth="1" min="10" max="10" width="13.63"/>
    <col customWidth="1" min="11" max="11" width="6.63"/>
    <col customWidth="1" min="12" max="12" width="7.13"/>
    <col customWidth="1" min="13" max="13" width="7.38"/>
    <col customWidth="1" min="14" max="14" width="7.63"/>
    <col customWidth="1" min="15" max="15" width="8.0"/>
    <col customWidth="1" min="16" max="16" width="8.75"/>
    <col customWidth="1" min="17" max="17" width="9.38"/>
    <col customWidth="1" min="18" max="18" width="8.63"/>
    <col customWidth="1" min="19" max="19" width="1.63"/>
    <col customWidth="1" min="20" max="20" width="9.25"/>
    <col customWidth="1" min="21" max="22" width="10.75"/>
    <col customWidth="1" min="23" max="23" width="10.88"/>
    <col customWidth="1" min="24" max="24" width="10.75"/>
    <col customWidth="1" min="25" max="25" width="10.88"/>
    <col customWidth="1" min="26" max="26" width="10.75"/>
    <col customWidth="1" min="27" max="28" width="10.88"/>
    <col customWidth="1" min="29" max="29" width="11.5"/>
    <col customWidth="1" min="30" max="30" width="11.0"/>
    <col customWidth="1" min="31" max="32" width="11.25"/>
    <col customWidth="1" min="33" max="33" width="11.5"/>
    <col customWidth="1" min="34" max="38" width="11.38"/>
    <col customWidth="1" min="39" max="39" width="11.75"/>
    <col customWidth="1" min="40" max="40" width="11.38"/>
    <col customWidth="1" min="41" max="41" width="11.63"/>
    <col customWidth="1" min="42" max="42" width="14.5"/>
    <col customWidth="1" min="43" max="64" width="5.5"/>
    <col customWidth="1" min="65" max="65" width="5.3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5" t="s">
        <v>5</v>
      </c>
      <c r="F1" s="3" t="s">
        <v>4</v>
      </c>
      <c r="G1" s="43" t="s">
        <v>6</v>
      </c>
      <c r="H1" s="44" t="s">
        <v>17</v>
      </c>
      <c r="I1" s="44" t="s">
        <v>19</v>
      </c>
      <c r="J1" s="44" t="s">
        <v>23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6" t="s">
        <v>13</v>
      </c>
      <c r="R1" s="7" t="s">
        <v>14</v>
      </c>
      <c r="S1" s="8" t="s">
        <v>15</v>
      </c>
      <c r="T1" s="10" t="s">
        <v>16</v>
      </c>
      <c r="U1" s="11" t="s">
        <v>18</v>
      </c>
      <c r="V1" s="12" t="s">
        <v>20</v>
      </c>
      <c r="W1" s="11" t="s">
        <v>21</v>
      </c>
      <c r="X1" s="12" t="s">
        <v>22</v>
      </c>
      <c r="Y1" s="11" t="s">
        <v>24</v>
      </c>
      <c r="Z1" s="11" t="s">
        <v>25</v>
      </c>
      <c r="AA1" s="12" t="s">
        <v>26</v>
      </c>
      <c r="AB1" s="11" t="s">
        <v>27</v>
      </c>
      <c r="AC1" s="12" t="s">
        <v>28</v>
      </c>
      <c r="AD1" s="11" t="s">
        <v>29</v>
      </c>
      <c r="AE1" s="11" t="s">
        <v>30</v>
      </c>
      <c r="AF1" s="12" t="s">
        <v>31</v>
      </c>
      <c r="AG1" s="11" t="s">
        <v>32</v>
      </c>
      <c r="AH1" s="12" t="s">
        <v>33</v>
      </c>
      <c r="AI1" s="11" t="s">
        <v>34</v>
      </c>
      <c r="AJ1" s="11" t="s">
        <v>35</v>
      </c>
      <c r="AK1" s="12" t="s">
        <v>36</v>
      </c>
      <c r="AL1" s="11" t="s">
        <v>37</v>
      </c>
      <c r="AM1" s="12" t="s">
        <v>38</v>
      </c>
      <c r="AN1" s="11" t="s">
        <v>39</v>
      </c>
      <c r="AO1" s="11" t="s">
        <v>40</v>
      </c>
      <c r="AP1" s="13"/>
      <c r="AQ1" s="14">
        <v>1.0</v>
      </c>
      <c r="AR1" s="14">
        <v>2.0</v>
      </c>
      <c r="AS1" s="14">
        <v>3.0</v>
      </c>
      <c r="AT1" s="14">
        <v>4.0</v>
      </c>
      <c r="AU1" s="14">
        <v>5.0</v>
      </c>
      <c r="AV1" s="14">
        <v>6.0</v>
      </c>
      <c r="AW1" s="14">
        <v>7.0</v>
      </c>
      <c r="AX1" s="14">
        <v>8.0</v>
      </c>
      <c r="AY1" s="14">
        <v>9.0</v>
      </c>
      <c r="AZ1" s="14">
        <v>10.0</v>
      </c>
      <c r="BA1" s="14">
        <v>11.0</v>
      </c>
      <c r="BB1" s="14">
        <v>12.0</v>
      </c>
      <c r="BC1" s="14">
        <v>13.0</v>
      </c>
      <c r="BD1" s="14">
        <v>14.0</v>
      </c>
      <c r="BE1" s="14">
        <v>15.0</v>
      </c>
      <c r="BF1" s="14">
        <v>16.0</v>
      </c>
      <c r="BG1" s="14">
        <v>17.0</v>
      </c>
      <c r="BH1" s="14">
        <v>18.0</v>
      </c>
      <c r="BI1" s="14">
        <v>19.0</v>
      </c>
      <c r="BJ1" s="14">
        <v>20.0</v>
      </c>
      <c r="BK1" s="14">
        <v>21.0</v>
      </c>
      <c r="BL1" s="14">
        <v>22.0</v>
      </c>
      <c r="BM1" s="14" t="s">
        <v>41</v>
      </c>
    </row>
    <row r="2">
      <c r="A2" s="16" t="str">
        <f>IFERROR(__xludf.DUMMYFUNCTION("SPARKLINE(SORT(MAP(TRANSPOSE(AQ2:BL2), LAMBDA(val, PERCENTRANK(AQ2:BL2, val)+0.01)), SEQUENCE(COLUMNS(AQ2:BL2)), FALSE), {""charttype"",""column""; ""color"",""chartreuse""; ""ymin"", 0; ""ymax"", 1.01; ""highcolor"", ""darkgreen""; ""lowcolor"", ""red""}"&amp;")"),"#N/A")</f>
        <v>#N/A</v>
      </c>
      <c r="B2" s="17">
        <f>IF(C2="SPY", 1, PERCENTRANK(AQ2:BL2, AQ2))</f>
        <v>1</v>
      </c>
      <c r="C2" s="1" t="s">
        <v>42</v>
      </c>
      <c r="D2" s="18" t="str">
        <f>IFERROR(__xludf.DUMMYFUNCTION("IFERROR(GOOGLEFINANCE(C2, ""NAME""))"),"State Street SPDR S&amp;P 500 ETF Trust")</f>
        <v>State Street SPDR S&amp;P 500 ETF Trust</v>
      </c>
      <c r="E2" s="22"/>
      <c r="F2" s="19" t="str">
        <f>IFERROR(__xludf.DUMMYFUNCTION("( (GOOGLEFINANCE(C2, ""price"") - Q2) / Q2 ) / (R2 / 100)"),"Loading...")</f>
        <v>Loading...</v>
      </c>
      <c r="G2" s="22"/>
      <c r="H2" s="22"/>
      <c r="I2" s="22"/>
      <c r="J2" s="22"/>
      <c r="K2" s="21">
        <f>IFERROR(__xludf.DUMMYFUNCTION("IFERROR(GOOGLEFINANCE(C2, ""changepct"") / 100, """")"),-0.0111)</f>
        <v>-0.0111</v>
      </c>
      <c r="L2" s="21" t="str">
        <f>IFERROR(__xludf.DUMMYFUNCTION("IFERROR((GOOGLEFINANCE(C2, ""price"") / INDEX(GOOGLEFINANCE(C2, ""price"", TODAY()-7, TODAY()), 2, 2)) - 1, """")"),"")</f>
        <v/>
      </c>
      <c r="M2" s="21" t="str">
        <f>IFERROR(__xludf.DUMMYFUNCTION("IFERROR((GOOGLEFINANCE(C2, ""price"") / INDEX(GOOGLEFINANCE(C2, ""price"", EDATE(TODAY(), -1), TODAY()), 2, 2)) - 1, """")"),"")</f>
        <v/>
      </c>
      <c r="N2" s="21" t="str">
        <f>IFERROR(__xludf.DUMMYFUNCTION("IFERROR((GOOGLEFINANCE(C2, ""price"") / INDEX(GOOGLEFINANCE(C2, ""price"", EDATE(TODAY(), -3), TODAY()), 2, 2)) - 1, """")"),"")</f>
        <v/>
      </c>
      <c r="O2" s="21" t="str">
        <f>IFERROR(__xludf.DUMMYFUNCTION("IFERROR((GOOGLEFINANCE(C2, ""price"") / INDEX(GOOGLEFINANCE(C2, ""price"", EDATE(TODAY(), -6), TODAY()), 2, 2)) - 1, """")"),"")</f>
        <v/>
      </c>
      <c r="P2" s="21" t="str">
        <f>IFERROR(__xludf.DUMMYFUNCTION("IFERROR((GOOGLEFINANCE(C2, ""price"") / INDEX(GOOGLEFINANCE(C2, ""price"", EDATE(TODAY(), -12), TODAY()), 2, 2)) - 1, """")"),"")</f>
        <v/>
      </c>
      <c r="Q2" s="23" t="str">
        <f>IFERROR(__xludf.DUMMYFUNCTION("AVERAGE(QUERY(GOOGLEFINANCE(C2, ""price"", TODAY()-80, TODAY()), ""SELECT Col2 WHERE Col2 IS NOT NULL ORDER BY Col1 DESC LIMIT 50"", 0))"),"#N/A")</f>
        <v>#N/A</v>
      </c>
      <c r="R2" s="24" t="str">
        <f>IFERROR(__xludf.DUMMYFUNCTION("IFERROR(
  LET(
    data, QUERY(GOOGLEFINANCE(C2,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GOOGLEFINANCE(C2, ""price"")) * 100,
    IF(calc=0, G2, calc)
  ), 
G2)"),"")</f>
        <v/>
      </c>
      <c r="S2" s="8" t="s">
        <v>15</v>
      </c>
      <c r="T2" s="26" t="str">
        <f>IFERROR(__xludf.DUMMYFUNCTION("TRANSPOSE(QUERY(SORT(GOOGLEFINANCE(C2, ""price"", WORKDAY(TODAY(), -40), TODAY()), 1, FALSE), ""select Col2 where Col2 is not null limit 22 label Col2 ''"", 0))"),"#N/A")</f>
        <v>#N/A</v>
      </c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8"/>
      <c r="AO2" s="28"/>
      <c r="AP2" s="29"/>
      <c r="AQ2" s="29" t="str">
        <f t="shared" ref="AQ2:BL2" si="1">T2/T$2</f>
        <v>#N/A</v>
      </c>
      <c r="AR2" s="29" t="str">
        <f t="shared" si="1"/>
        <v>#DIV/0!</v>
      </c>
      <c r="AS2" s="29" t="str">
        <f t="shared" si="1"/>
        <v>#DIV/0!</v>
      </c>
      <c r="AT2" s="29" t="str">
        <f t="shared" si="1"/>
        <v>#DIV/0!</v>
      </c>
      <c r="AU2" s="29" t="str">
        <f t="shared" si="1"/>
        <v>#DIV/0!</v>
      </c>
      <c r="AV2" s="29" t="str">
        <f t="shared" si="1"/>
        <v>#DIV/0!</v>
      </c>
      <c r="AW2" s="29" t="str">
        <f t="shared" si="1"/>
        <v>#DIV/0!</v>
      </c>
      <c r="AX2" s="29" t="str">
        <f t="shared" si="1"/>
        <v>#DIV/0!</v>
      </c>
      <c r="AY2" s="29" t="str">
        <f t="shared" si="1"/>
        <v>#DIV/0!</v>
      </c>
      <c r="AZ2" s="29" t="str">
        <f t="shared" si="1"/>
        <v>#DIV/0!</v>
      </c>
      <c r="BA2" s="29" t="str">
        <f t="shared" si="1"/>
        <v>#DIV/0!</v>
      </c>
      <c r="BB2" s="29" t="str">
        <f t="shared" si="1"/>
        <v>#DIV/0!</v>
      </c>
      <c r="BC2" s="29" t="str">
        <f t="shared" si="1"/>
        <v>#DIV/0!</v>
      </c>
      <c r="BD2" s="29" t="str">
        <f t="shared" si="1"/>
        <v>#DIV/0!</v>
      </c>
      <c r="BE2" s="29" t="str">
        <f t="shared" si="1"/>
        <v>#DIV/0!</v>
      </c>
      <c r="BF2" s="29" t="str">
        <f t="shared" si="1"/>
        <v>#DIV/0!</v>
      </c>
      <c r="BG2" s="29" t="str">
        <f t="shared" si="1"/>
        <v>#DIV/0!</v>
      </c>
      <c r="BH2" s="29" t="str">
        <f t="shared" si="1"/>
        <v>#DIV/0!</v>
      </c>
      <c r="BI2" s="29" t="str">
        <f t="shared" si="1"/>
        <v>#DIV/0!</v>
      </c>
      <c r="BJ2" s="29" t="str">
        <f t="shared" si="1"/>
        <v>#DIV/0!</v>
      </c>
      <c r="BK2" s="29" t="str">
        <f t="shared" si="1"/>
        <v>#DIV/0!</v>
      </c>
      <c r="BL2" s="29" t="str">
        <f t="shared" si="1"/>
        <v>#DIV/0!</v>
      </c>
      <c r="BM2" s="29" t="str">
        <f t="shared" ref="BM2:BM188" si="3">(T2/AO2)/(T$2/AO$2)</f>
        <v>#N/A</v>
      </c>
    </row>
    <row r="3">
      <c r="A3" s="16" t="str">
        <f>IFERROR(__xludf.DUMMYFUNCTION("IFERROR(SPARKLINE(SORT(MAP(TRANSPOSE(AQ3:BL3), LAMBDA(val, IF(ISNUMBER(val), PERCENTRANK(AQ3:BL3, val)+0.01, 0))), SEQUENCE(COLUMNS(AQ3:BL3)), FALSE), {""charttype"",""column""; ""color"",""chartreuse""; ""ymin"", 0; ""ymax"", 1.01; ""highcolor"", ""darkg"&amp;"reen""; ""lowcolor"", ""red""}), """")"),"")</f>
        <v/>
      </c>
      <c r="B3" s="17" t="str">
        <f t="shared" ref="B3:B188" si="4">IFERROR(IF(C3="SPY", 1, IF(ISNUMBER(AQ3), PERCENTRANK(AQ3:BL3, AQ3), "")), "")</f>
        <v/>
      </c>
      <c r="C3" s="1" t="s">
        <v>59</v>
      </c>
      <c r="D3" s="30" t="str">
        <f>IFERROR(__xludf.DUMMYFUNCTION("IFERROR(GOOGLEFINANCE(C3, ""NAME""))"),"State Street Real Estate Select Sector SPDR ETF")</f>
        <v>State Street Real Estate Select Sector SPDR ETF</v>
      </c>
      <c r="E3" s="31"/>
      <c r="F3" s="33" t="str">
        <f>IFERROR(__xludf.DUMMYFUNCTION("( (GOOGLEFINANCE(C3, ""price"") - Q3) / Q3 ) / (R3 / 100)"),"Loading...")</f>
        <v>Loading...</v>
      </c>
      <c r="G3" s="31"/>
      <c r="H3" s="31"/>
      <c r="I3" s="31"/>
      <c r="J3" s="31"/>
      <c r="K3" s="21">
        <f>IFERROR(__xludf.DUMMYFUNCTION("IFERROR(GOOGLEFINANCE(C3, ""changepct"") / 100, """")"),0.004)</f>
        <v>0.004</v>
      </c>
      <c r="L3" s="21" t="str">
        <f>IFERROR(__xludf.DUMMYFUNCTION("IFERROR((GOOGLEFINANCE(C3, ""price"") / INDEX(GOOGLEFINANCE(C3, ""price"", TODAY()-7, TODAY()), 2, 2)) - 1, """")"),"")</f>
        <v/>
      </c>
      <c r="M3" s="21" t="str">
        <f>IFERROR(__xludf.DUMMYFUNCTION("IFERROR((GOOGLEFINANCE(C3, ""price"") / INDEX(GOOGLEFINANCE(C3, ""price"", EDATE(TODAY(), -1), TODAY()), 2, 2)) - 1, """")"),"")</f>
        <v/>
      </c>
      <c r="N3" s="21" t="str">
        <f>IFERROR(__xludf.DUMMYFUNCTION("IFERROR((GOOGLEFINANCE(C3, ""price"") / INDEX(GOOGLEFINANCE(C3, ""price"", EDATE(TODAY(), -3), TODAY()), 2, 2)) - 1, """")"),"")</f>
        <v/>
      </c>
      <c r="O3" s="21" t="str">
        <f>IFERROR(__xludf.DUMMYFUNCTION("IFERROR((GOOGLEFINANCE(C3, ""price"") / INDEX(GOOGLEFINANCE(C3, ""price"", EDATE(TODAY(), -6), TODAY()), 2, 2)) - 1, """")"),"")</f>
        <v/>
      </c>
      <c r="P3" s="21" t="str">
        <f>IFERROR(__xludf.DUMMYFUNCTION("IFERROR((GOOGLEFINANCE(C3, ""price"") / INDEX(GOOGLEFINANCE(C3, ""price"", EDATE(TODAY(), -12), TODAY()), 2, 2)) - 1, """")"),"")</f>
        <v/>
      </c>
      <c r="Q3" s="6" t="str">
        <f>IFERROR(__xludf.DUMMYFUNCTION("AVERAGE(QUERY(GOOGLEFINANCE(C3, ""price"", TODAY()-80, TODAY()), ""SELECT Col2 WHERE Col2 IS NOT NULL ORDER BY Col1 DESC LIMIT 50"", 0))"),"#N/A")</f>
        <v>#N/A</v>
      </c>
      <c r="R3" s="24" t="str">
        <f>IFERROR(__xludf.DUMMYFUNCTION("IFERROR(
  LET(
    data, QUERY(GOOGLEFINANCE(C3,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GOOGLEFINANCE(C3, ""price"")) * 100,
    IF(calc=0, G3, calc)
  ), 
G3)"),"")</f>
        <v/>
      </c>
      <c r="S3" s="8" t="s">
        <v>15</v>
      </c>
      <c r="T3" s="26" t="str">
        <f>IFERROR(__xludf.DUMMYFUNCTION("IFERROR(TRANSPOSE(QUERY(IFERROR(SORT(GOOGLEFINANCE(C3, ""price"", WORKDAY(TODAY(), -40), TODAY()), 1, FALSE)), ""select Col2 where Col2 is not null limit 22 label Col2 ''"", 0)), """")"),"")</f>
        <v/>
      </c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8"/>
      <c r="AO3" s="28"/>
      <c r="AP3" s="29"/>
      <c r="AQ3" s="29" t="str">
        <f t="shared" ref="AQ3:BL3" si="2">T3/T$2</f>
        <v>#N/A</v>
      </c>
      <c r="AR3" s="29" t="str">
        <f t="shared" si="2"/>
        <v>#DIV/0!</v>
      </c>
      <c r="AS3" s="29" t="str">
        <f t="shared" si="2"/>
        <v>#DIV/0!</v>
      </c>
      <c r="AT3" s="29" t="str">
        <f t="shared" si="2"/>
        <v>#DIV/0!</v>
      </c>
      <c r="AU3" s="29" t="str">
        <f t="shared" si="2"/>
        <v>#DIV/0!</v>
      </c>
      <c r="AV3" s="29" t="str">
        <f t="shared" si="2"/>
        <v>#DIV/0!</v>
      </c>
      <c r="AW3" s="29" t="str">
        <f t="shared" si="2"/>
        <v>#DIV/0!</v>
      </c>
      <c r="AX3" s="29" t="str">
        <f t="shared" si="2"/>
        <v>#DIV/0!</v>
      </c>
      <c r="AY3" s="29" t="str">
        <f t="shared" si="2"/>
        <v>#DIV/0!</v>
      </c>
      <c r="AZ3" s="29" t="str">
        <f t="shared" si="2"/>
        <v>#DIV/0!</v>
      </c>
      <c r="BA3" s="29" t="str">
        <f t="shared" si="2"/>
        <v>#DIV/0!</v>
      </c>
      <c r="BB3" s="29" t="str">
        <f t="shared" si="2"/>
        <v>#DIV/0!</v>
      </c>
      <c r="BC3" s="29" t="str">
        <f t="shared" si="2"/>
        <v>#DIV/0!</v>
      </c>
      <c r="BD3" s="29" t="str">
        <f t="shared" si="2"/>
        <v>#DIV/0!</v>
      </c>
      <c r="BE3" s="29" t="str">
        <f t="shared" si="2"/>
        <v>#DIV/0!</v>
      </c>
      <c r="BF3" s="29" t="str">
        <f t="shared" si="2"/>
        <v>#DIV/0!</v>
      </c>
      <c r="BG3" s="29" t="str">
        <f t="shared" si="2"/>
        <v>#DIV/0!</v>
      </c>
      <c r="BH3" s="29" t="str">
        <f t="shared" si="2"/>
        <v>#DIV/0!</v>
      </c>
      <c r="BI3" s="29" t="str">
        <f t="shared" si="2"/>
        <v>#DIV/0!</v>
      </c>
      <c r="BJ3" s="29" t="str">
        <f t="shared" si="2"/>
        <v>#DIV/0!</v>
      </c>
      <c r="BK3" s="29" t="str">
        <f t="shared" si="2"/>
        <v>#DIV/0!</v>
      </c>
      <c r="BL3" s="29" t="str">
        <f t="shared" si="2"/>
        <v>#DIV/0!</v>
      </c>
      <c r="BM3" s="29" t="str">
        <f t="shared" si="3"/>
        <v>#DIV/0!</v>
      </c>
    </row>
    <row r="4">
      <c r="A4" s="16" t="str">
        <f>IFERROR(__xludf.DUMMYFUNCTION("IFERROR(SPARKLINE(SORT(MAP(TRANSPOSE(AQ4:BL4), LAMBDA(val, IF(ISNUMBER(val), PERCENTRANK(AQ4:BL4, val)+0.01, 0))), SEQUENCE(COLUMNS(AQ4:BL4)), FALSE), {""charttype"",""column""; ""color"",""chartreuse""; ""ymin"", 0; ""ymax"", 1.01; ""highcolor"", ""darkg"&amp;"reen""; ""lowcolor"", ""red""}), """")"),"")</f>
        <v/>
      </c>
      <c r="B4" s="17" t="str">
        <f t="shared" si="4"/>
        <v/>
      </c>
      <c r="C4" s="1" t="s">
        <v>2661</v>
      </c>
      <c r="D4" s="30" t="str">
        <f>IFERROR(__xludf.DUMMYFUNCTION("IFERROR(GOOGLEFINANCE(C4, ""NAME""))"),"Hudson Pacific Properties Inc")</f>
        <v>Hudson Pacific Properties Inc</v>
      </c>
      <c r="E4" s="30" t="s">
        <v>2662</v>
      </c>
      <c r="F4" s="33" t="str">
        <f>IFERROR(__xludf.DUMMYFUNCTION("( (GOOGLEFINANCE(C4, ""price"") - Q4) / Q4 ) / (R4 / 100)"),"Loading...")</f>
        <v>Loading...</v>
      </c>
      <c r="G4" s="20" t="str">
        <f>IFERROR(__xludf.DUMMYFUNCTION("AVERAGE(ARRAYFORMULA(100 * (QUERY(GOOGLEFINANCE(C4, ""high"", TODAY()-40, TODAY()), ""SELECT Col2 WHERE Col2 IS NOT NULL ORDER BY Col1 DESC LIMIT 20"", 0) / QUERY(GOOGLEFINANCE(C4, ""low"", TODAY()-40, TODAY()), ""SELECT Col2 WHERE Col2 IS NOT NULL ORDER "&amp;"BY Col1 DESC LIMIT 20"", 0) - 1)))"),"#N/A")</f>
        <v>#N/A</v>
      </c>
      <c r="H4" s="35" t="str">
        <f t="shared" ref="H4:H188" si="6">IFERROR(IF(ISNUMBER(J4), IF(J4 &lt; 50000000, "Illiquid", "Liquid"), ""), "")</f>
        <v>Illiquid</v>
      </c>
      <c r="I4" s="35" t="str">
        <f t="shared" ref="I4:I188" si="7">IFERROR(IF(ISNUMBER(J4), IF(J4 &lt; 500000000, "RVol Required", "No RVol Required"), ""), "")</f>
        <v>RVol Required</v>
      </c>
      <c r="J4" s="37">
        <f>IFERROR(__xludf.DUMMYFUNCTION("IFERROR(
  IF(C4="""",, 
    IFERROR(
      GOOGLEFINANCE(C4, ""price"") * GOOGLEFINANCE(C4, ""volumeavg""), 
      GOOGLEFINANCE(C4, ""price"") * AVERAGE(QUERY(GOOGLEFINANCE(C4, ""volume"", TODAY()-40, TODAY()), ""SELECT Col2 WHERE Col2 IS NOT NULL ORDER"&amp;" BY Col1 DESC LIMIT 20"", 0))
    )
  ), 
"""")"),6706906.800000001)</f>
        <v>6706906.8</v>
      </c>
      <c r="K4" s="21">
        <f>IFERROR(__xludf.DUMMYFUNCTION("IFERROR(GOOGLEFINANCE(C4, ""changepct"") / 100, """")"),-0.0779)</f>
        <v>-0.0779</v>
      </c>
      <c r="L4" s="21" t="str">
        <f>IFERROR(__xludf.DUMMYFUNCTION("IFERROR((GOOGLEFINANCE(C4, ""price"") / INDEX(GOOGLEFINANCE(C4, ""price"", TODAY()-7, TODAY()), 2, 2)) - 1, """")"),"")</f>
        <v/>
      </c>
      <c r="M4" s="21" t="str">
        <f>IFERROR(__xludf.DUMMYFUNCTION("IFERROR((GOOGLEFINANCE(C4, ""price"") / INDEX(GOOGLEFINANCE(C4, ""price"", EDATE(TODAY(), -1), TODAY()), 2, 2)) - 1, """")"),"")</f>
        <v/>
      </c>
      <c r="N4" s="21" t="str">
        <f>IFERROR(__xludf.DUMMYFUNCTION("IFERROR((GOOGLEFINANCE(C4, ""price"") / INDEX(GOOGLEFINANCE(C4, ""price"", EDATE(TODAY(), -3), TODAY()), 2, 2)) - 1, """")"),"")</f>
        <v/>
      </c>
      <c r="O4" s="21" t="str">
        <f>IFERROR(__xludf.DUMMYFUNCTION("IFERROR((GOOGLEFINANCE(C4, ""price"") / INDEX(GOOGLEFINANCE(C4, ""price"", EDATE(TODAY(), -6), TODAY()), 2, 2)) - 1, """")"),"")</f>
        <v/>
      </c>
      <c r="P4" s="21" t="str">
        <f>IFERROR(__xludf.DUMMYFUNCTION("IFERROR((GOOGLEFINANCE(C4, ""price"") / INDEX(GOOGLEFINANCE(C4, ""price"", EDATE(TODAY(), -12), TODAY()), 2, 2)) - 1, """")"),"")</f>
        <v/>
      </c>
      <c r="Q4" s="6" t="str">
        <f>IFERROR(__xludf.DUMMYFUNCTION("AVERAGE(QUERY(GOOGLEFINANCE(C4, ""price"", TODAY()-80, TODAY()), ""SELECT Col2 WHERE Col2 IS NOT NULL ORDER BY Col1 DESC LIMIT 50"", 0))"),"#N/A")</f>
        <v>#N/A</v>
      </c>
      <c r="R4" s="24" t="str">
        <f>IFERROR(__xludf.DUMMYFUNCTION("IFERROR(
  LET(
    data, QUERY(GOOGLEFINANCE(C4,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GOOGLEFINANCE(C4, ""price"")) * 100,
    IF(calc=0, G4, calc)
  ), 
G4)"),"#N/A")</f>
        <v>#N/A</v>
      </c>
      <c r="S4" s="8" t="s">
        <v>15</v>
      </c>
      <c r="T4" s="26" t="str">
        <f>IFERROR(__xludf.DUMMYFUNCTION("IFERROR(TRANSPOSE(QUERY(IFERROR(SORT(GOOGLEFINANCE(C4, ""price"", WORKDAY(TODAY(), -40), TODAY()), 1, FALSE)), ""select Col2 where Col2 is not null limit 22 label Col2 ''"", 0)), """")"),"")</f>
        <v/>
      </c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8"/>
      <c r="AO4" s="28"/>
      <c r="AP4" s="29"/>
      <c r="AQ4" s="29" t="str">
        <f t="shared" ref="AQ4:BL4" si="5">T4/T$2</f>
        <v>#N/A</v>
      </c>
      <c r="AR4" s="29" t="str">
        <f t="shared" si="5"/>
        <v>#DIV/0!</v>
      </c>
      <c r="AS4" s="29" t="str">
        <f t="shared" si="5"/>
        <v>#DIV/0!</v>
      </c>
      <c r="AT4" s="29" t="str">
        <f t="shared" si="5"/>
        <v>#DIV/0!</v>
      </c>
      <c r="AU4" s="29" t="str">
        <f t="shared" si="5"/>
        <v>#DIV/0!</v>
      </c>
      <c r="AV4" s="29" t="str">
        <f t="shared" si="5"/>
        <v>#DIV/0!</v>
      </c>
      <c r="AW4" s="29" t="str">
        <f t="shared" si="5"/>
        <v>#DIV/0!</v>
      </c>
      <c r="AX4" s="29" t="str">
        <f t="shared" si="5"/>
        <v>#DIV/0!</v>
      </c>
      <c r="AY4" s="29" t="str">
        <f t="shared" si="5"/>
        <v>#DIV/0!</v>
      </c>
      <c r="AZ4" s="29" t="str">
        <f t="shared" si="5"/>
        <v>#DIV/0!</v>
      </c>
      <c r="BA4" s="29" t="str">
        <f t="shared" si="5"/>
        <v>#DIV/0!</v>
      </c>
      <c r="BB4" s="29" t="str">
        <f t="shared" si="5"/>
        <v>#DIV/0!</v>
      </c>
      <c r="BC4" s="29" t="str">
        <f t="shared" si="5"/>
        <v>#DIV/0!</v>
      </c>
      <c r="BD4" s="29" t="str">
        <f t="shared" si="5"/>
        <v>#DIV/0!</v>
      </c>
      <c r="BE4" s="29" t="str">
        <f t="shared" si="5"/>
        <v>#DIV/0!</v>
      </c>
      <c r="BF4" s="29" t="str">
        <f t="shared" si="5"/>
        <v>#DIV/0!</v>
      </c>
      <c r="BG4" s="29" t="str">
        <f t="shared" si="5"/>
        <v>#DIV/0!</v>
      </c>
      <c r="BH4" s="29" t="str">
        <f t="shared" si="5"/>
        <v>#DIV/0!</v>
      </c>
      <c r="BI4" s="29" t="str">
        <f t="shared" si="5"/>
        <v>#DIV/0!</v>
      </c>
      <c r="BJ4" s="29" t="str">
        <f t="shared" si="5"/>
        <v>#DIV/0!</v>
      </c>
      <c r="BK4" s="29" t="str">
        <f t="shared" si="5"/>
        <v>#DIV/0!</v>
      </c>
      <c r="BL4" s="29" t="str">
        <f t="shared" si="5"/>
        <v>#DIV/0!</v>
      </c>
      <c r="BM4" s="29" t="str">
        <f t="shared" si="3"/>
        <v>#DIV/0!</v>
      </c>
    </row>
    <row r="5">
      <c r="A5" s="16" t="str">
        <f>IFERROR(__xludf.DUMMYFUNCTION("IFERROR(SPARKLINE(SORT(MAP(TRANSPOSE(AQ5:BL5), LAMBDA(val, IF(ISNUMBER(val), PERCENTRANK(AQ5:BL5, val)+0.01, 0))), SEQUENCE(COLUMNS(AQ5:BL5)), FALSE), {""charttype"",""column""; ""color"",""chartreuse""; ""ymin"", 0; ""ymax"", 1.01; ""highcolor"", ""darkg"&amp;"reen""; ""lowcolor"", ""red""}), """")"),"")</f>
        <v/>
      </c>
      <c r="B5" s="17" t="str">
        <f t="shared" si="4"/>
        <v/>
      </c>
      <c r="C5" s="1" t="s">
        <v>2666</v>
      </c>
      <c r="D5" s="30" t="str">
        <f>IFERROR(__xludf.DUMMYFUNCTION("IFERROR(GOOGLEFINANCE(C5, ""NAME""))"),"Caretrust REIT Inc")</f>
        <v>Caretrust REIT Inc</v>
      </c>
      <c r="E5" s="30" t="s">
        <v>2668</v>
      </c>
      <c r="F5" s="33" t="str">
        <f>IFERROR(__xludf.DUMMYFUNCTION("( (GOOGLEFINANCE(C5, ""price"") - Q5) / Q5 ) / (R5 / 100)"),"Loading...")</f>
        <v>Loading...</v>
      </c>
      <c r="G5" s="20" t="str">
        <f>IFERROR(__xludf.DUMMYFUNCTION("AVERAGE(ARRAYFORMULA(100 * (QUERY(GOOGLEFINANCE(C5, ""high"", TODAY()-40, TODAY()), ""SELECT Col2 WHERE Col2 IS NOT NULL ORDER BY Col1 DESC LIMIT 20"", 0) / QUERY(GOOGLEFINANCE(C5, ""low"", TODAY()-40, TODAY()), ""SELECT Col2 WHERE Col2 IS NOT NULL ORDER "&amp;"BY Col1 DESC LIMIT 20"", 0) - 1)))"),"#N/A")</f>
        <v>#N/A</v>
      </c>
      <c r="H5" s="35" t="str">
        <f t="shared" si="6"/>
        <v>Liquid</v>
      </c>
      <c r="I5" s="35" t="str">
        <f t="shared" si="7"/>
        <v>RVol Required</v>
      </c>
      <c r="J5" s="37">
        <f>IFERROR(__xludf.DUMMYFUNCTION("IFERROR(
  IF(C5="""",, 
    IFERROR(
      GOOGLEFINANCE(C5, ""price"") * GOOGLEFINANCE(C5, ""volumeavg""), 
      GOOGLEFINANCE(C5, ""price"") * AVERAGE(QUERY(GOOGLEFINANCE(C5, ""volume"", TODAY()-40, TODAY()), ""SELECT Col2 WHERE Col2 IS NOT NULL ORDER"&amp;" BY Col1 DESC LIMIT 20"", 0))
    )
  ), 
"""")"),8.878122925E7)</f>
        <v>88781229.25</v>
      </c>
      <c r="K5" s="21">
        <f>IFERROR(__xludf.DUMMYFUNCTION("IFERROR(GOOGLEFINANCE(C5, ""changepct"") / 100, """")"),-0.0011)</f>
        <v>-0.0011</v>
      </c>
      <c r="L5" s="21" t="str">
        <f>IFERROR(__xludf.DUMMYFUNCTION("IFERROR((GOOGLEFINANCE(C5, ""price"") / INDEX(GOOGLEFINANCE(C5, ""price"", TODAY()-7, TODAY()), 2, 2)) - 1, """")"),"")</f>
        <v/>
      </c>
      <c r="M5" s="21" t="str">
        <f>IFERROR(__xludf.DUMMYFUNCTION("IFERROR((GOOGLEFINANCE(C5, ""price"") / INDEX(GOOGLEFINANCE(C5, ""price"", EDATE(TODAY(), -1), TODAY()), 2, 2)) - 1, """")"),"")</f>
        <v/>
      </c>
      <c r="N5" s="21" t="str">
        <f>IFERROR(__xludf.DUMMYFUNCTION("IFERROR((GOOGLEFINANCE(C5, ""price"") / INDEX(GOOGLEFINANCE(C5, ""price"", EDATE(TODAY(), -3), TODAY()), 2, 2)) - 1, """")"),"")</f>
        <v/>
      </c>
      <c r="O5" s="21" t="str">
        <f>IFERROR(__xludf.DUMMYFUNCTION("IFERROR((GOOGLEFINANCE(C5, ""price"") / INDEX(GOOGLEFINANCE(C5, ""price"", EDATE(TODAY(), -6), TODAY()), 2, 2)) - 1, """")"),"")</f>
        <v/>
      </c>
      <c r="P5" s="21" t="str">
        <f>IFERROR(__xludf.DUMMYFUNCTION("IFERROR((GOOGLEFINANCE(C5, ""price"") / INDEX(GOOGLEFINANCE(C5, ""price"", EDATE(TODAY(), -12), TODAY()), 2, 2)) - 1, """")"),"")</f>
        <v/>
      </c>
      <c r="Q5" s="6" t="str">
        <f>IFERROR(__xludf.DUMMYFUNCTION("AVERAGE(QUERY(GOOGLEFINANCE(C5, ""price"", TODAY()-80, TODAY()), ""SELECT Col2 WHERE Col2 IS NOT NULL ORDER BY Col1 DESC LIMIT 50"", 0))"),"#N/A")</f>
        <v>#N/A</v>
      </c>
      <c r="R5" s="24" t="str">
        <f>IFERROR(__xludf.DUMMYFUNCTION("IFERROR(
  LET(
    data, QUERY(GOOGLEFINANCE(C5,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GOOGLEFINANCE(C5, ""price"")) * 100,
    IF(calc=0, G5, calc)
  ), 
G5)"),"#N/A")</f>
        <v>#N/A</v>
      </c>
      <c r="S5" s="8" t="s">
        <v>15</v>
      </c>
      <c r="T5" s="26" t="str">
        <f>IFERROR(__xludf.DUMMYFUNCTION("IFERROR(TRANSPOSE(QUERY(IFERROR(SORT(GOOGLEFINANCE(C5, ""price"", WORKDAY(TODAY(), -40), TODAY()), 1, FALSE)), ""select Col2 where Col2 is not null limit 22 label Col2 ''"", 0)), """")"),"")</f>
        <v/>
      </c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8"/>
      <c r="AO5" s="28"/>
      <c r="AP5" s="29"/>
      <c r="AQ5" s="29" t="str">
        <f t="shared" ref="AQ5:BL5" si="8">T5/T$2</f>
        <v>#N/A</v>
      </c>
      <c r="AR5" s="29" t="str">
        <f t="shared" si="8"/>
        <v>#DIV/0!</v>
      </c>
      <c r="AS5" s="29" t="str">
        <f t="shared" si="8"/>
        <v>#DIV/0!</v>
      </c>
      <c r="AT5" s="29" t="str">
        <f t="shared" si="8"/>
        <v>#DIV/0!</v>
      </c>
      <c r="AU5" s="29" t="str">
        <f t="shared" si="8"/>
        <v>#DIV/0!</v>
      </c>
      <c r="AV5" s="29" t="str">
        <f t="shared" si="8"/>
        <v>#DIV/0!</v>
      </c>
      <c r="AW5" s="29" t="str">
        <f t="shared" si="8"/>
        <v>#DIV/0!</v>
      </c>
      <c r="AX5" s="29" t="str">
        <f t="shared" si="8"/>
        <v>#DIV/0!</v>
      </c>
      <c r="AY5" s="29" t="str">
        <f t="shared" si="8"/>
        <v>#DIV/0!</v>
      </c>
      <c r="AZ5" s="29" t="str">
        <f t="shared" si="8"/>
        <v>#DIV/0!</v>
      </c>
      <c r="BA5" s="29" t="str">
        <f t="shared" si="8"/>
        <v>#DIV/0!</v>
      </c>
      <c r="BB5" s="29" t="str">
        <f t="shared" si="8"/>
        <v>#DIV/0!</v>
      </c>
      <c r="BC5" s="29" t="str">
        <f t="shared" si="8"/>
        <v>#DIV/0!</v>
      </c>
      <c r="BD5" s="29" t="str">
        <f t="shared" si="8"/>
        <v>#DIV/0!</v>
      </c>
      <c r="BE5" s="29" t="str">
        <f t="shared" si="8"/>
        <v>#DIV/0!</v>
      </c>
      <c r="BF5" s="29" t="str">
        <f t="shared" si="8"/>
        <v>#DIV/0!</v>
      </c>
      <c r="BG5" s="29" t="str">
        <f t="shared" si="8"/>
        <v>#DIV/0!</v>
      </c>
      <c r="BH5" s="29" t="str">
        <f t="shared" si="8"/>
        <v>#DIV/0!</v>
      </c>
      <c r="BI5" s="29" t="str">
        <f t="shared" si="8"/>
        <v>#DIV/0!</v>
      </c>
      <c r="BJ5" s="29" t="str">
        <f t="shared" si="8"/>
        <v>#DIV/0!</v>
      </c>
      <c r="BK5" s="29" t="str">
        <f t="shared" si="8"/>
        <v>#DIV/0!</v>
      </c>
      <c r="BL5" s="29" t="str">
        <f t="shared" si="8"/>
        <v>#DIV/0!</v>
      </c>
      <c r="BM5" s="29" t="str">
        <f t="shared" si="3"/>
        <v>#DIV/0!</v>
      </c>
    </row>
    <row r="6">
      <c r="A6" s="16" t="str">
        <f>IFERROR(__xludf.DUMMYFUNCTION("IFERROR(SPARKLINE(SORT(MAP(TRANSPOSE(AQ6:BL6), LAMBDA(val, IF(ISNUMBER(val), PERCENTRANK(AQ6:BL6, val)+0.01, 0))), SEQUENCE(COLUMNS(AQ6:BL6)), FALSE), {""charttype"",""column""; ""color"",""chartreuse""; ""ymin"", 0; ""ymax"", 1.01; ""highcolor"", ""darkg"&amp;"reen""; ""lowcolor"", ""red""}), """")"),"")</f>
        <v/>
      </c>
      <c r="B6" s="17" t="str">
        <f t="shared" si="4"/>
        <v/>
      </c>
      <c r="C6" s="1" t="s">
        <v>2673</v>
      </c>
      <c r="D6" s="30" t="str">
        <f>IFERROR(__xludf.DUMMYFUNCTION("IFERROR(GOOGLEFINANCE(C6, ""NAME""))"),"Service Properties Trust")</f>
        <v>Service Properties Trust</v>
      </c>
      <c r="E6" s="30" t="s">
        <v>2674</v>
      </c>
      <c r="F6" s="33" t="str">
        <f>IFERROR(__xludf.DUMMYFUNCTION("( (GOOGLEFINANCE(C6, ""price"") - Q6) / Q6 ) / (R6 / 100)"),"Loading...")</f>
        <v>Loading...</v>
      </c>
      <c r="G6" s="20" t="str">
        <f>IFERROR(__xludf.DUMMYFUNCTION("AVERAGE(ARRAYFORMULA(100 * (QUERY(GOOGLEFINANCE(C6, ""high"", TODAY()-40, TODAY()), ""SELECT Col2 WHERE Col2 IS NOT NULL ORDER BY Col1 DESC LIMIT 20"", 0) / QUERY(GOOGLEFINANCE(C6, ""low"", TODAY()-40, TODAY()), ""SELECT Col2 WHERE Col2 IS NOT NULL ORDER "&amp;"BY Col1 DESC LIMIT 20"", 0) - 1)))"),"#N/A")</f>
        <v>#N/A</v>
      </c>
      <c r="H6" s="35" t="str">
        <f t="shared" si="6"/>
        <v>Illiquid</v>
      </c>
      <c r="I6" s="35" t="str">
        <f t="shared" si="7"/>
        <v>RVol Required</v>
      </c>
      <c r="J6" s="37">
        <f>IFERROR(__xludf.DUMMYFUNCTION("IFERROR(
  IF(C6="""",, 
    IFERROR(
      GOOGLEFINANCE(C6, ""price"") * GOOGLEFINANCE(C6, ""volumeavg""), 
      GOOGLEFINANCE(C6, ""price"") * AVERAGE(QUERY(GOOGLEFINANCE(C6, ""volume"", TODAY()-40, TODAY()), ""SELECT Col2 WHERE Col2 IS NOT NULL ORDER"&amp;" BY Col1 DESC LIMIT 20"", 0))
    )
  ), 
"""")"),1.41754179E7)</f>
        <v>14175417.9</v>
      </c>
      <c r="K6" s="21">
        <f>IFERROR(__xludf.DUMMYFUNCTION("IFERROR(GOOGLEFINANCE(C6, ""changepct"") / 100, """")"),-0.006500000000000001)</f>
        <v>-0.0065</v>
      </c>
      <c r="L6" s="21" t="str">
        <f>IFERROR(__xludf.DUMMYFUNCTION("IFERROR((GOOGLEFINANCE(C6, ""price"") / INDEX(GOOGLEFINANCE(C6, ""price"", TODAY()-7, TODAY()), 2, 2)) - 1, """")"),"")</f>
        <v/>
      </c>
      <c r="M6" s="21" t="str">
        <f>IFERROR(__xludf.DUMMYFUNCTION("IFERROR((GOOGLEFINANCE(C6, ""price"") / INDEX(GOOGLEFINANCE(C6, ""price"", EDATE(TODAY(), -1), TODAY()), 2, 2)) - 1, """")"),"")</f>
        <v/>
      </c>
      <c r="N6" s="21" t="str">
        <f>IFERROR(__xludf.DUMMYFUNCTION("IFERROR((GOOGLEFINANCE(C6, ""price"") / INDEX(GOOGLEFINANCE(C6, ""price"", EDATE(TODAY(), -3), TODAY()), 2, 2)) - 1, """")"),"")</f>
        <v/>
      </c>
      <c r="O6" s="21" t="str">
        <f>IFERROR(__xludf.DUMMYFUNCTION("IFERROR((GOOGLEFINANCE(C6, ""price"") / INDEX(GOOGLEFINANCE(C6, ""price"", EDATE(TODAY(), -6), TODAY()), 2, 2)) - 1, """")"),"")</f>
        <v/>
      </c>
      <c r="P6" s="21" t="str">
        <f>IFERROR(__xludf.DUMMYFUNCTION("IFERROR((GOOGLEFINANCE(C6, ""price"") / INDEX(GOOGLEFINANCE(C6, ""price"", EDATE(TODAY(), -12), TODAY()), 2, 2)) - 1, """")"),"")</f>
        <v/>
      </c>
      <c r="Q6" s="6" t="str">
        <f>IFERROR(__xludf.DUMMYFUNCTION("AVERAGE(QUERY(GOOGLEFINANCE(C6, ""price"", TODAY()-80, TODAY()), ""SELECT Col2 WHERE Col2 IS NOT NULL ORDER BY Col1 DESC LIMIT 50"", 0))"),"#N/A")</f>
        <v>#N/A</v>
      </c>
      <c r="R6" s="24" t="str">
        <f>IFERROR(__xludf.DUMMYFUNCTION("IFERROR(
  LET(
    data, QUERY(GOOGLEFINANCE(C6,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GOOGLEFINANCE(C6, ""price"")) * 100,
    IF(calc=0, G6, calc)
  ), 
G6)"),"#N/A")</f>
        <v>#N/A</v>
      </c>
      <c r="S6" s="8" t="s">
        <v>15</v>
      </c>
      <c r="T6" s="26" t="str">
        <f>IFERROR(__xludf.DUMMYFUNCTION("IFERROR(TRANSPOSE(QUERY(IFERROR(SORT(GOOGLEFINANCE(C6, ""price"", WORKDAY(TODAY(), -40), TODAY()), 1, FALSE)), ""select Col2 where Col2 is not null limit 22 label Col2 ''"", 0)), """")"),"")</f>
        <v/>
      </c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8"/>
      <c r="AO6" s="28"/>
      <c r="AP6" s="29"/>
      <c r="AQ6" s="29" t="str">
        <f t="shared" ref="AQ6:BL6" si="9">T6/T$2</f>
        <v>#N/A</v>
      </c>
      <c r="AR6" s="29" t="str">
        <f t="shared" si="9"/>
        <v>#DIV/0!</v>
      </c>
      <c r="AS6" s="29" t="str">
        <f t="shared" si="9"/>
        <v>#DIV/0!</v>
      </c>
      <c r="AT6" s="29" t="str">
        <f t="shared" si="9"/>
        <v>#DIV/0!</v>
      </c>
      <c r="AU6" s="29" t="str">
        <f t="shared" si="9"/>
        <v>#DIV/0!</v>
      </c>
      <c r="AV6" s="29" t="str">
        <f t="shared" si="9"/>
        <v>#DIV/0!</v>
      </c>
      <c r="AW6" s="29" t="str">
        <f t="shared" si="9"/>
        <v>#DIV/0!</v>
      </c>
      <c r="AX6" s="29" t="str">
        <f t="shared" si="9"/>
        <v>#DIV/0!</v>
      </c>
      <c r="AY6" s="29" t="str">
        <f t="shared" si="9"/>
        <v>#DIV/0!</v>
      </c>
      <c r="AZ6" s="29" t="str">
        <f t="shared" si="9"/>
        <v>#DIV/0!</v>
      </c>
      <c r="BA6" s="29" t="str">
        <f t="shared" si="9"/>
        <v>#DIV/0!</v>
      </c>
      <c r="BB6" s="29" t="str">
        <f t="shared" si="9"/>
        <v>#DIV/0!</v>
      </c>
      <c r="BC6" s="29" t="str">
        <f t="shared" si="9"/>
        <v>#DIV/0!</v>
      </c>
      <c r="BD6" s="29" t="str">
        <f t="shared" si="9"/>
        <v>#DIV/0!</v>
      </c>
      <c r="BE6" s="29" t="str">
        <f t="shared" si="9"/>
        <v>#DIV/0!</v>
      </c>
      <c r="BF6" s="29" t="str">
        <f t="shared" si="9"/>
        <v>#DIV/0!</v>
      </c>
      <c r="BG6" s="29" t="str">
        <f t="shared" si="9"/>
        <v>#DIV/0!</v>
      </c>
      <c r="BH6" s="29" t="str">
        <f t="shared" si="9"/>
        <v>#DIV/0!</v>
      </c>
      <c r="BI6" s="29" t="str">
        <f t="shared" si="9"/>
        <v>#DIV/0!</v>
      </c>
      <c r="BJ6" s="29" t="str">
        <f t="shared" si="9"/>
        <v>#DIV/0!</v>
      </c>
      <c r="BK6" s="29" t="str">
        <f t="shared" si="9"/>
        <v>#DIV/0!</v>
      </c>
      <c r="BL6" s="29" t="str">
        <f t="shared" si="9"/>
        <v>#DIV/0!</v>
      </c>
      <c r="BM6" s="29" t="str">
        <f t="shared" si="3"/>
        <v>#DIV/0!</v>
      </c>
    </row>
    <row r="7">
      <c r="A7" s="16" t="str">
        <f>IFERROR(__xludf.DUMMYFUNCTION("IFERROR(SPARKLINE(SORT(MAP(TRANSPOSE(AQ7:BL7), LAMBDA(val, IF(ISNUMBER(val), PERCENTRANK(AQ7:BL7, val)+0.01, 0))), SEQUENCE(COLUMNS(AQ7:BL7)), FALSE), {""charttype"",""column""; ""color"",""chartreuse""; ""ymin"", 0; ""ymax"", 1.01; ""highcolor"", ""darkg"&amp;"reen""; ""lowcolor"", ""red""}), """")"),"")</f>
        <v/>
      </c>
      <c r="B7" s="17" t="str">
        <f t="shared" si="4"/>
        <v/>
      </c>
      <c r="C7" s="1" t="s">
        <v>2677</v>
      </c>
      <c r="D7" s="30" t="str">
        <f>IFERROR(__xludf.DUMMYFUNCTION("IFERROR(GOOGLEFINANCE(C7, ""NAME""))"),"Healthpeak Properties, Inc")</f>
        <v>Healthpeak Properties, Inc</v>
      </c>
      <c r="E7" s="30" t="s">
        <v>2668</v>
      </c>
      <c r="F7" s="33" t="str">
        <f>IFERROR(__xludf.DUMMYFUNCTION("( (GOOGLEFINANCE(C7, ""price"") - Q7) / Q7 ) / (R7 / 100)"),"Loading...")</f>
        <v>Loading...</v>
      </c>
      <c r="G7" s="20" t="str">
        <f>IFERROR(__xludf.DUMMYFUNCTION("AVERAGE(ARRAYFORMULA(100 * (QUERY(GOOGLEFINANCE(C7, ""high"", TODAY()-40, TODAY()), ""SELECT Col2 WHERE Col2 IS NOT NULL ORDER BY Col1 DESC LIMIT 20"", 0) / QUERY(GOOGLEFINANCE(C7, ""low"", TODAY()-40, TODAY()), ""SELECT Col2 WHERE Col2 IS NOT NULL ORDER "&amp;"BY Col1 DESC LIMIT 20"", 0) - 1)))"),"#N/A")</f>
        <v>#N/A</v>
      </c>
      <c r="H7" s="35" t="str">
        <f t="shared" si="6"/>
        <v>Liquid</v>
      </c>
      <c r="I7" s="35" t="str">
        <f t="shared" si="7"/>
        <v>RVol Required</v>
      </c>
      <c r="J7" s="37">
        <f>IFERROR(__xludf.DUMMYFUNCTION("IFERROR(
  IF(C7="""",, 
    IFERROR(
      GOOGLEFINANCE(C7, ""price"") * GOOGLEFINANCE(C7, ""volumeavg""), 
      GOOGLEFINANCE(C7, ""price"") * AVERAGE(QUERY(GOOGLEFINANCE(C7, ""volume"", TODAY()-40, TODAY()), ""SELECT Col2 WHERE Col2 IS NOT NULL ORDER"&amp;" BY Col1 DESC LIMIT 20"", 0))
    )
  ), 
"""")"),1.0618154118E8)</f>
        <v>106181541.2</v>
      </c>
      <c r="K7" s="21">
        <f>IFERROR(__xludf.DUMMYFUNCTION("IFERROR(GOOGLEFINANCE(C7, ""changepct"") / 100, """")"),0.0011)</f>
        <v>0.0011</v>
      </c>
      <c r="L7" s="21" t="str">
        <f>IFERROR(__xludf.DUMMYFUNCTION("IFERROR((GOOGLEFINANCE(C7, ""price"") / INDEX(GOOGLEFINANCE(C7, ""price"", TODAY()-7, TODAY()), 2, 2)) - 1, """")"),"")</f>
        <v/>
      </c>
      <c r="M7" s="21" t="str">
        <f>IFERROR(__xludf.DUMMYFUNCTION("IFERROR((GOOGLEFINANCE(C7, ""price"") / INDEX(GOOGLEFINANCE(C7, ""price"", EDATE(TODAY(), -1), TODAY()), 2, 2)) - 1, """")"),"")</f>
        <v/>
      </c>
      <c r="N7" s="21" t="str">
        <f>IFERROR(__xludf.DUMMYFUNCTION("IFERROR((GOOGLEFINANCE(C7, ""price"") / INDEX(GOOGLEFINANCE(C7, ""price"", EDATE(TODAY(), -3), TODAY()), 2, 2)) - 1, """")"),"")</f>
        <v/>
      </c>
      <c r="O7" s="21" t="str">
        <f>IFERROR(__xludf.DUMMYFUNCTION("IFERROR((GOOGLEFINANCE(C7, ""price"") / INDEX(GOOGLEFINANCE(C7, ""price"", EDATE(TODAY(), -6), TODAY()), 2, 2)) - 1, """")"),"")</f>
        <v/>
      </c>
      <c r="P7" s="21" t="str">
        <f>IFERROR(__xludf.DUMMYFUNCTION("IFERROR((GOOGLEFINANCE(C7, ""price"") / INDEX(GOOGLEFINANCE(C7, ""price"", EDATE(TODAY(), -12), TODAY()), 2, 2)) - 1, """")"),"")</f>
        <v/>
      </c>
      <c r="Q7" s="6" t="str">
        <f>IFERROR(__xludf.DUMMYFUNCTION("AVERAGE(QUERY(GOOGLEFINANCE(C7, ""price"", TODAY()-80, TODAY()), ""SELECT Col2 WHERE Col2 IS NOT NULL ORDER BY Col1 DESC LIMIT 50"", 0))"),"#N/A")</f>
        <v>#N/A</v>
      </c>
      <c r="R7" s="24" t="str">
        <f>IFERROR(__xludf.DUMMYFUNCTION("IFERROR(
  LET(
    data, QUERY(GOOGLEFINANCE(C7,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GOOGLEFINANCE(C7, ""price"")) * 100,
    IF(calc=0, G7, calc)
  ), 
G7)"),"#N/A")</f>
        <v>#N/A</v>
      </c>
      <c r="S7" s="8" t="s">
        <v>15</v>
      </c>
      <c r="T7" s="26" t="str">
        <f>IFERROR(__xludf.DUMMYFUNCTION("IFERROR(TRANSPOSE(QUERY(IFERROR(SORT(GOOGLEFINANCE(C7, ""price"", WORKDAY(TODAY(), -40), TODAY()), 1, FALSE)), ""select Col2 where Col2 is not null limit 22 label Col2 ''"", 0)), """")"),"")</f>
        <v/>
      </c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8"/>
      <c r="AO7" s="28"/>
      <c r="AP7" s="29"/>
      <c r="AQ7" s="29" t="str">
        <f t="shared" ref="AQ7:BL7" si="10">T7/T$2</f>
        <v>#N/A</v>
      </c>
      <c r="AR7" s="29" t="str">
        <f t="shared" si="10"/>
        <v>#DIV/0!</v>
      </c>
      <c r="AS7" s="29" t="str">
        <f t="shared" si="10"/>
        <v>#DIV/0!</v>
      </c>
      <c r="AT7" s="29" t="str">
        <f t="shared" si="10"/>
        <v>#DIV/0!</v>
      </c>
      <c r="AU7" s="29" t="str">
        <f t="shared" si="10"/>
        <v>#DIV/0!</v>
      </c>
      <c r="AV7" s="29" t="str">
        <f t="shared" si="10"/>
        <v>#DIV/0!</v>
      </c>
      <c r="AW7" s="29" t="str">
        <f t="shared" si="10"/>
        <v>#DIV/0!</v>
      </c>
      <c r="AX7" s="29" t="str">
        <f t="shared" si="10"/>
        <v>#DIV/0!</v>
      </c>
      <c r="AY7" s="29" t="str">
        <f t="shared" si="10"/>
        <v>#DIV/0!</v>
      </c>
      <c r="AZ7" s="29" t="str">
        <f t="shared" si="10"/>
        <v>#DIV/0!</v>
      </c>
      <c r="BA7" s="29" t="str">
        <f t="shared" si="10"/>
        <v>#DIV/0!</v>
      </c>
      <c r="BB7" s="29" t="str">
        <f t="shared" si="10"/>
        <v>#DIV/0!</v>
      </c>
      <c r="BC7" s="29" t="str">
        <f t="shared" si="10"/>
        <v>#DIV/0!</v>
      </c>
      <c r="BD7" s="29" t="str">
        <f t="shared" si="10"/>
        <v>#DIV/0!</v>
      </c>
      <c r="BE7" s="29" t="str">
        <f t="shared" si="10"/>
        <v>#DIV/0!</v>
      </c>
      <c r="BF7" s="29" t="str">
        <f t="shared" si="10"/>
        <v>#DIV/0!</v>
      </c>
      <c r="BG7" s="29" t="str">
        <f t="shared" si="10"/>
        <v>#DIV/0!</v>
      </c>
      <c r="BH7" s="29" t="str">
        <f t="shared" si="10"/>
        <v>#DIV/0!</v>
      </c>
      <c r="BI7" s="29" t="str">
        <f t="shared" si="10"/>
        <v>#DIV/0!</v>
      </c>
      <c r="BJ7" s="29" t="str">
        <f t="shared" si="10"/>
        <v>#DIV/0!</v>
      </c>
      <c r="BK7" s="29" t="str">
        <f t="shared" si="10"/>
        <v>#DIV/0!</v>
      </c>
      <c r="BL7" s="29" t="str">
        <f t="shared" si="10"/>
        <v>#DIV/0!</v>
      </c>
      <c r="BM7" s="29" t="str">
        <f t="shared" si="3"/>
        <v>#DIV/0!</v>
      </c>
    </row>
    <row r="8">
      <c r="A8" s="16" t="str">
        <f>IFERROR(__xludf.DUMMYFUNCTION("IFERROR(SPARKLINE(SORT(MAP(TRANSPOSE(AQ8:BL8), LAMBDA(val, IF(ISNUMBER(val), PERCENTRANK(AQ8:BL8, val)+0.01, 0))), SEQUENCE(COLUMNS(AQ8:BL8)), FALSE), {""charttype"",""column""; ""color"",""chartreuse""; ""ymin"", 0; ""ymax"", 1.01; ""highcolor"", ""darkg"&amp;"reen""; ""lowcolor"", ""red""}), """")"),"")</f>
        <v/>
      </c>
      <c r="B8" s="17" t="str">
        <f t="shared" si="4"/>
        <v/>
      </c>
      <c r="C8" s="1" t="s">
        <v>2681</v>
      </c>
      <c r="D8" s="30" t="str">
        <f>IFERROR(__xludf.DUMMYFUNCTION("IFERROR(GOOGLEFINANCE(C8, ""NAME""))"),"T2 Metals Corp")</f>
        <v>T2 Metals Corp</v>
      </c>
      <c r="E8" s="30" t="s">
        <v>2682</v>
      </c>
      <c r="F8" s="33" t="str">
        <f>IFERROR(__xludf.DUMMYFUNCTION("( (GOOGLEFINANCE(C8, ""price"") - Q8) / Q8 ) / (R8 / 100)"),"Loading...")</f>
        <v>Loading...</v>
      </c>
      <c r="G8" s="20" t="str">
        <f>IFERROR(__xludf.DUMMYFUNCTION("AVERAGE(ARRAYFORMULA(100 * (QUERY(GOOGLEFINANCE(C8, ""high"", TODAY()-40, TODAY()), ""SELECT Col2 WHERE Col2 IS NOT NULL ORDER BY Col1 DESC LIMIT 20"", 0) / QUERY(GOOGLEFINANCE(C8, ""low"", TODAY()-40, TODAY()), ""SELECT Col2 WHERE Col2 IS NOT NULL ORDER "&amp;"BY Col1 DESC LIMIT 20"", 0) - 1)))"),"#N/A")</f>
        <v>#N/A</v>
      </c>
      <c r="H8" s="35" t="str">
        <f t="shared" si="6"/>
        <v>Illiquid</v>
      </c>
      <c r="I8" s="35" t="str">
        <f t="shared" si="7"/>
        <v>RVol Required</v>
      </c>
      <c r="J8" s="37">
        <f>IFERROR(__xludf.DUMMYFUNCTION("IFERROR(
  IF(C8="""",, 
    IFERROR(
      GOOGLEFINANCE(C8, ""price"") * GOOGLEFINANCE(C8, ""volumeavg""), 
      GOOGLEFINANCE(C8, ""price"") * AVERAGE(QUERY(GOOGLEFINANCE(C8, ""volume"", TODAY()-40, TODAY()), ""SELECT Col2 WHERE Col2 IS NOT NULL ORDER"&amp;" BY Col1 DESC LIMIT 20"", 0))
    )
  ), 
"""")"),7871.75)</f>
        <v>7871.75</v>
      </c>
      <c r="K8" s="21">
        <f>IFERROR(__xludf.DUMMYFUNCTION("IFERROR(GOOGLEFINANCE(C8, ""changepct"") / 100, """")"),0.0278)</f>
        <v>0.0278</v>
      </c>
      <c r="L8" s="21" t="str">
        <f>IFERROR(__xludf.DUMMYFUNCTION("IFERROR((GOOGLEFINANCE(C8, ""price"") / INDEX(GOOGLEFINANCE(C8, ""price"", TODAY()-7, TODAY()), 2, 2)) - 1, """")"),"")</f>
        <v/>
      </c>
      <c r="M8" s="21" t="str">
        <f>IFERROR(__xludf.DUMMYFUNCTION("IFERROR((GOOGLEFINANCE(C8, ""price"") / INDEX(GOOGLEFINANCE(C8, ""price"", EDATE(TODAY(), -1), TODAY()), 2, 2)) - 1, """")"),"")</f>
        <v/>
      </c>
      <c r="N8" s="21" t="str">
        <f>IFERROR(__xludf.DUMMYFUNCTION("IFERROR((GOOGLEFINANCE(C8, ""price"") / INDEX(GOOGLEFINANCE(C8, ""price"", EDATE(TODAY(), -3), TODAY()), 2, 2)) - 1, """")"),"")</f>
        <v/>
      </c>
      <c r="O8" s="21" t="str">
        <f>IFERROR(__xludf.DUMMYFUNCTION("IFERROR((GOOGLEFINANCE(C8, ""price"") / INDEX(GOOGLEFINANCE(C8, ""price"", EDATE(TODAY(), -6), TODAY()), 2, 2)) - 1, """")"),"")</f>
        <v/>
      </c>
      <c r="P8" s="21" t="str">
        <f>IFERROR(__xludf.DUMMYFUNCTION("IFERROR((GOOGLEFINANCE(C8, ""price"") / INDEX(GOOGLEFINANCE(C8, ""price"", EDATE(TODAY(), -12), TODAY()), 2, 2)) - 1, """")"),"")</f>
        <v/>
      </c>
      <c r="Q8" s="6" t="str">
        <f>IFERROR(__xludf.DUMMYFUNCTION("AVERAGE(QUERY(GOOGLEFINANCE(C8, ""price"", TODAY()-80, TODAY()), ""SELECT Col2 WHERE Col2 IS NOT NULL ORDER BY Col1 DESC LIMIT 50"", 0))"),"#N/A")</f>
        <v>#N/A</v>
      </c>
      <c r="R8" s="24" t="str">
        <f>IFERROR(__xludf.DUMMYFUNCTION("IFERROR(
  LET(
    data, QUERY(GOOGLEFINANCE(C8,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GOOGLEFINANCE(C8, ""price"")) * 100,
    IF(calc=0, G8, calc)
  ), 
G8)"),"#N/A")</f>
        <v>#N/A</v>
      </c>
      <c r="S8" s="8" t="s">
        <v>15</v>
      </c>
      <c r="T8" s="26" t="str">
        <f>IFERROR(__xludf.DUMMYFUNCTION("IFERROR(TRANSPOSE(QUERY(IFERROR(SORT(GOOGLEFINANCE(C8, ""price"", WORKDAY(TODAY(), -40), TODAY()), 1, FALSE)), ""select Col2 where Col2 is not null limit 22 label Col2 ''"", 0)), """")"),"")</f>
        <v/>
      </c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8"/>
      <c r="AO8" s="28"/>
      <c r="AP8" s="29"/>
      <c r="AQ8" s="29" t="str">
        <f t="shared" ref="AQ8:BL8" si="11">T8/T$2</f>
        <v>#N/A</v>
      </c>
      <c r="AR8" s="29" t="str">
        <f t="shared" si="11"/>
        <v>#DIV/0!</v>
      </c>
      <c r="AS8" s="29" t="str">
        <f t="shared" si="11"/>
        <v>#DIV/0!</v>
      </c>
      <c r="AT8" s="29" t="str">
        <f t="shared" si="11"/>
        <v>#DIV/0!</v>
      </c>
      <c r="AU8" s="29" t="str">
        <f t="shared" si="11"/>
        <v>#DIV/0!</v>
      </c>
      <c r="AV8" s="29" t="str">
        <f t="shared" si="11"/>
        <v>#DIV/0!</v>
      </c>
      <c r="AW8" s="29" t="str">
        <f t="shared" si="11"/>
        <v>#DIV/0!</v>
      </c>
      <c r="AX8" s="29" t="str">
        <f t="shared" si="11"/>
        <v>#DIV/0!</v>
      </c>
      <c r="AY8" s="29" t="str">
        <f t="shared" si="11"/>
        <v>#DIV/0!</v>
      </c>
      <c r="AZ8" s="29" t="str">
        <f t="shared" si="11"/>
        <v>#DIV/0!</v>
      </c>
      <c r="BA8" s="29" t="str">
        <f t="shared" si="11"/>
        <v>#DIV/0!</v>
      </c>
      <c r="BB8" s="29" t="str">
        <f t="shared" si="11"/>
        <v>#DIV/0!</v>
      </c>
      <c r="BC8" s="29" t="str">
        <f t="shared" si="11"/>
        <v>#DIV/0!</v>
      </c>
      <c r="BD8" s="29" t="str">
        <f t="shared" si="11"/>
        <v>#DIV/0!</v>
      </c>
      <c r="BE8" s="29" t="str">
        <f t="shared" si="11"/>
        <v>#DIV/0!</v>
      </c>
      <c r="BF8" s="29" t="str">
        <f t="shared" si="11"/>
        <v>#DIV/0!</v>
      </c>
      <c r="BG8" s="29" t="str">
        <f t="shared" si="11"/>
        <v>#DIV/0!</v>
      </c>
      <c r="BH8" s="29" t="str">
        <f t="shared" si="11"/>
        <v>#DIV/0!</v>
      </c>
      <c r="BI8" s="29" t="str">
        <f t="shared" si="11"/>
        <v>#DIV/0!</v>
      </c>
      <c r="BJ8" s="29" t="str">
        <f t="shared" si="11"/>
        <v>#DIV/0!</v>
      </c>
      <c r="BK8" s="29" t="str">
        <f t="shared" si="11"/>
        <v>#DIV/0!</v>
      </c>
      <c r="BL8" s="29" t="str">
        <f t="shared" si="11"/>
        <v>#DIV/0!</v>
      </c>
      <c r="BM8" s="29" t="str">
        <f t="shared" si="3"/>
        <v>#DIV/0!</v>
      </c>
    </row>
    <row r="9">
      <c r="A9" s="16" t="str">
        <f>IFERROR(__xludf.DUMMYFUNCTION("IFERROR(SPARKLINE(SORT(MAP(TRANSPOSE(AQ9:BL9), LAMBDA(val, IF(ISNUMBER(val), PERCENTRANK(AQ9:BL9, val)+0.01, 0))), SEQUENCE(COLUMNS(AQ9:BL9)), FALSE), {""charttype"",""column""; ""color"",""chartreuse""; ""ymin"", 0; ""ymax"", 1.01; ""highcolor"", ""darkg"&amp;"reen""; ""lowcolor"", ""red""}), """")"),"")</f>
        <v/>
      </c>
      <c r="B9" s="17" t="str">
        <f t="shared" si="4"/>
        <v/>
      </c>
      <c r="C9" s="1" t="s">
        <v>2686</v>
      </c>
      <c r="D9" s="30" t="str">
        <f>IFERROR(__xludf.DUMMYFUNCTION("IFERROR(GOOGLEFINANCE(C9, ""NAME""))"),"Diversified Healthcare Trust")</f>
        <v>Diversified Healthcare Trust</v>
      </c>
      <c r="E9" s="30" t="s">
        <v>2668</v>
      </c>
      <c r="F9" s="33" t="str">
        <f>IFERROR(__xludf.DUMMYFUNCTION("( (GOOGLEFINANCE(C9, ""price"") - Q9) / Q9 ) / (R9 / 100)"),"Loading...")</f>
        <v>Loading...</v>
      </c>
      <c r="G9" s="20" t="str">
        <f>IFERROR(__xludf.DUMMYFUNCTION("AVERAGE(ARRAYFORMULA(100 * (QUERY(GOOGLEFINANCE(C9, ""high"", TODAY()-40, TODAY()), ""SELECT Col2 WHERE Col2 IS NOT NULL ORDER BY Col1 DESC LIMIT 20"", 0) / QUERY(GOOGLEFINANCE(C9, ""low"", TODAY()-40, TODAY()), ""SELECT Col2 WHERE Col2 IS NOT NULL ORDER "&amp;"BY Col1 DESC LIMIT 20"", 0) - 1)))"),"#N/A")</f>
        <v>#N/A</v>
      </c>
      <c r="H9" s="35" t="str">
        <f t="shared" si="6"/>
        <v>Illiquid</v>
      </c>
      <c r="I9" s="35" t="str">
        <f t="shared" si="7"/>
        <v>RVol Required</v>
      </c>
      <c r="J9" s="37">
        <f>IFERROR(__xludf.DUMMYFUNCTION("IFERROR(
  IF(C9="""",, 
    IFERROR(
      GOOGLEFINANCE(C9, ""price"") * GOOGLEFINANCE(C9, ""volumeavg""), 
      GOOGLEFINANCE(C9, ""price"") * AVERAGE(QUERY(GOOGLEFINANCE(C9, ""volume"", TODAY()-40, TODAY()), ""SELECT Col2 WHERE Col2 IS NOT NULL ORDER"&amp;" BY Col1 DESC LIMIT 20"", 0))
    )
  ), 
"""")"),1.575863883E7)</f>
        <v>15758638.83</v>
      </c>
      <c r="K9" s="21">
        <f>IFERROR(__xludf.DUMMYFUNCTION("IFERROR(GOOGLEFINANCE(C9, ""changepct"") / 100, """")"),-0.0026)</f>
        <v>-0.0026</v>
      </c>
      <c r="L9" s="21" t="str">
        <f>IFERROR(__xludf.DUMMYFUNCTION("IFERROR((GOOGLEFINANCE(C9, ""price"") / INDEX(GOOGLEFINANCE(C9, ""price"", TODAY()-7, TODAY()), 2, 2)) - 1, """")"),"")</f>
        <v/>
      </c>
      <c r="M9" s="21" t="str">
        <f>IFERROR(__xludf.DUMMYFUNCTION("IFERROR((GOOGLEFINANCE(C9, ""price"") / INDEX(GOOGLEFINANCE(C9, ""price"", EDATE(TODAY(), -1), TODAY()), 2, 2)) - 1, """")"),"")</f>
        <v/>
      </c>
      <c r="N9" s="21" t="str">
        <f>IFERROR(__xludf.DUMMYFUNCTION("IFERROR((GOOGLEFINANCE(C9, ""price"") / INDEX(GOOGLEFINANCE(C9, ""price"", EDATE(TODAY(), -3), TODAY()), 2, 2)) - 1, """")"),"")</f>
        <v/>
      </c>
      <c r="O9" s="21" t="str">
        <f>IFERROR(__xludf.DUMMYFUNCTION("IFERROR((GOOGLEFINANCE(C9, ""price"") / INDEX(GOOGLEFINANCE(C9, ""price"", EDATE(TODAY(), -6), TODAY()), 2, 2)) - 1, """")"),"")</f>
        <v/>
      </c>
      <c r="P9" s="21" t="str">
        <f>IFERROR(__xludf.DUMMYFUNCTION("IFERROR((GOOGLEFINANCE(C9, ""price"") / INDEX(GOOGLEFINANCE(C9, ""price"", EDATE(TODAY(), -12), TODAY()), 2, 2)) - 1, """")"),"")</f>
        <v/>
      </c>
      <c r="Q9" s="6" t="str">
        <f>IFERROR(__xludf.DUMMYFUNCTION("AVERAGE(QUERY(GOOGLEFINANCE(C9, ""price"", TODAY()-80, TODAY()), ""SELECT Col2 WHERE Col2 IS NOT NULL ORDER BY Col1 DESC LIMIT 50"", 0))"),"#N/A")</f>
        <v>#N/A</v>
      </c>
      <c r="R9" s="24" t="str">
        <f>IFERROR(__xludf.DUMMYFUNCTION("IFERROR(
  LET(
    data, QUERY(GOOGLEFINANCE(C9,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GOOGLEFINANCE(C9, ""price"")) * 100,
    IF(calc=0, G9, calc)
  ), 
G9)"),"#N/A")</f>
        <v>#N/A</v>
      </c>
      <c r="S9" s="8" t="s">
        <v>15</v>
      </c>
      <c r="T9" s="26" t="str">
        <f>IFERROR(__xludf.DUMMYFUNCTION("IFERROR(TRANSPOSE(QUERY(IFERROR(SORT(GOOGLEFINANCE(C9, ""price"", WORKDAY(TODAY(), -40), TODAY()), 1, FALSE)), ""select Col2 where Col2 is not null limit 22 label Col2 ''"", 0)), """")"),"")</f>
        <v/>
      </c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8"/>
      <c r="AO9" s="28"/>
      <c r="AP9" s="29"/>
      <c r="AQ9" s="29" t="str">
        <f t="shared" ref="AQ9:BL9" si="12">T9/T$2</f>
        <v>#N/A</v>
      </c>
      <c r="AR9" s="29" t="str">
        <f t="shared" si="12"/>
        <v>#DIV/0!</v>
      </c>
      <c r="AS9" s="29" t="str">
        <f t="shared" si="12"/>
        <v>#DIV/0!</v>
      </c>
      <c r="AT9" s="29" t="str">
        <f t="shared" si="12"/>
        <v>#DIV/0!</v>
      </c>
      <c r="AU9" s="29" t="str">
        <f t="shared" si="12"/>
        <v>#DIV/0!</v>
      </c>
      <c r="AV9" s="29" t="str">
        <f t="shared" si="12"/>
        <v>#DIV/0!</v>
      </c>
      <c r="AW9" s="29" t="str">
        <f t="shared" si="12"/>
        <v>#DIV/0!</v>
      </c>
      <c r="AX9" s="29" t="str">
        <f t="shared" si="12"/>
        <v>#DIV/0!</v>
      </c>
      <c r="AY9" s="29" t="str">
        <f t="shared" si="12"/>
        <v>#DIV/0!</v>
      </c>
      <c r="AZ9" s="29" t="str">
        <f t="shared" si="12"/>
        <v>#DIV/0!</v>
      </c>
      <c r="BA9" s="29" t="str">
        <f t="shared" si="12"/>
        <v>#DIV/0!</v>
      </c>
      <c r="BB9" s="29" t="str">
        <f t="shared" si="12"/>
        <v>#DIV/0!</v>
      </c>
      <c r="BC9" s="29" t="str">
        <f t="shared" si="12"/>
        <v>#DIV/0!</v>
      </c>
      <c r="BD9" s="29" t="str">
        <f t="shared" si="12"/>
        <v>#DIV/0!</v>
      </c>
      <c r="BE9" s="29" t="str">
        <f t="shared" si="12"/>
        <v>#DIV/0!</v>
      </c>
      <c r="BF9" s="29" t="str">
        <f t="shared" si="12"/>
        <v>#DIV/0!</v>
      </c>
      <c r="BG9" s="29" t="str">
        <f t="shared" si="12"/>
        <v>#DIV/0!</v>
      </c>
      <c r="BH9" s="29" t="str">
        <f t="shared" si="12"/>
        <v>#DIV/0!</v>
      </c>
      <c r="BI9" s="29" t="str">
        <f t="shared" si="12"/>
        <v>#DIV/0!</v>
      </c>
      <c r="BJ9" s="29" t="str">
        <f t="shared" si="12"/>
        <v>#DIV/0!</v>
      </c>
      <c r="BK9" s="29" t="str">
        <f t="shared" si="12"/>
        <v>#DIV/0!</v>
      </c>
      <c r="BL9" s="29" t="str">
        <f t="shared" si="12"/>
        <v>#DIV/0!</v>
      </c>
      <c r="BM9" s="29" t="str">
        <f t="shared" si="3"/>
        <v>#DIV/0!</v>
      </c>
    </row>
    <row r="10">
      <c r="A10" s="16" t="str">
        <f>IFERROR(__xludf.DUMMYFUNCTION("IFERROR(SPARKLINE(SORT(MAP(TRANSPOSE(AQ10:BL10), LAMBDA(val, IF(ISNUMBER(val), PERCENTRANK(AQ10:BL10, val)+0.01, 0))), SEQUENCE(COLUMNS(AQ10:BL10)), FALSE), {""charttype"",""column""; ""color"",""chartreuse""; ""ymin"", 0; ""ymax"", 1.01; ""highcolor"", "&amp;"""darkgreen""; ""lowcolor"", ""red""}), """")"),"")</f>
        <v/>
      </c>
      <c r="B10" s="17" t="str">
        <f t="shared" si="4"/>
        <v/>
      </c>
      <c r="C10" s="1" t="s">
        <v>2691</v>
      </c>
      <c r="D10" s="30" t="str">
        <f>IFERROR(__xludf.DUMMYFUNCTION("IFERROR(GOOGLEFINANCE(C10, ""NAME""))"),"Marcus &amp; Millichap Inc")</f>
        <v>Marcus &amp; Millichap Inc</v>
      </c>
      <c r="E10" s="30" t="s">
        <v>2692</v>
      </c>
      <c r="F10" s="33" t="str">
        <f>IFERROR(__xludf.DUMMYFUNCTION("( (GOOGLEFINANCE(C10, ""price"") - Q10) / Q10 ) / (R10 / 100)"),"Loading...")</f>
        <v>Loading...</v>
      </c>
      <c r="G10" s="20" t="str">
        <f>IFERROR(__xludf.DUMMYFUNCTION("AVERAGE(ARRAYFORMULA(100 * (QUERY(GOOGLEFINANCE(C10, ""high"", TODAY()-40, TODAY()), ""SELECT Col2 WHERE Col2 IS NOT NULL ORDER BY Col1 DESC LIMIT 20"", 0) / QUERY(GOOGLEFINANCE(C10, ""low"", TODAY()-40, TODAY()), ""SELECT Col2 WHERE Col2 IS NOT NULL ORDE"&amp;"R BY Col1 DESC LIMIT 20"", 0) - 1)))"),"#N/A")</f>
        <v>#N/A</v>
      </c>
      <c r="H10" s="35" t="str">
        <f t="shared" si="6"/>
        <v>Illiquid</v>
      </c>
      <c r="I10" s="35" t="str">
        <f t="shared" si="7"/>
        <v>RVol Required</v>
      </c>
      <c r="J10" s="37">
        <f>IFERROR(__xludf.DUMMYFUNCTION("IFERROR(
  IF(C10="""",, 
    IFERROR(
      GOOGLEFINANCE(C10, ""price"") * GOOGLEFINANCE(C10, ""volumeavg""), 
      GOOGLEFINANCE(C10, ""price"") * AVERAGE(QUERY(GOOGLEFINANCE(C10, ""volume"", TODAY()-40, TODAY()), ""SELECT Col2 WHERE Col2 IS NOT NULL "&amp;"ORDER BY Col1 DESC LIMIT 20"", 0))
    )
  ), 
"""")"),4772155.64)</f>
        <v>4772155.64</v>
      </c>
      <c r="K10" s="21">
        <f>IFERROR(__xludf.DUMMYFUNCTION("IFERROR(GOOGLEFINANCE(C10, ""changepct"") / 100, """")"),-0.008100000000000001)</f>
        <v>-0.0081</v>
      </c>
      <c r="L10" s="21" t="str">
        <f>IFERROR(__xludf.DUMMYFUNCTION("IFERROR((GOOGLEFINANCE(C10, ""price"") / INDEX(GOOGLEFINANCE(C10, ""price"", TODAY()-7, TODAY()), 2, 2)) - 1, """")"),"")</f>
        <v/>
      </c>
      <c r="M10" s="21" t="str">
        <f>IFERROR(__xludf.DUMMYFUNCTION("IFERROR((GOOGLEFINANCE(C10, ""price"") / INDEX(GOOGLEFINANCE(C10, ""price"", EDATE(TODAY(), -1), TODAY()), 2, 2)) - 1, """")"),"")</f>
        <v/>
      </c>
      <c r="N10" s="21" t="str">
        <f>IFERROR(__xludf.DUMMYFUNCTION("IFERROR((GOOGLEFINANCE(C10, ""price"") / INDEX(GOOGLEFINANCE(C10, ""price"", EDATE(TODAY(), -3), TODAY()), 2, 2)) - 1, """")"),"")</f>
        <v/>
      </c>
      <c r="O10" s="21" t="str">
        <f>IFERROR(__xludf.DUMMYFUNCTION("IFERROR((GOOGLEFINANCE(C10, ""price"") / INDEX(GOOGLEFINANCE(C10, ""price"", EDATE(TODAY(), -6), TODAY()), 2, 2)) - 1, """")"),"")</f>
        <v/>
      </c>
      <c r="P10" s="21" t="str">
        <f>IFERROR(__xludf.DUMMYFUNCTION("IFERROR((GOOGLEFINANCE(C10, ""price"") / INDEX(GOOGLEFINANCE(C10, ""price"", EDATE(TODAY(), -12), TODAY()), 2, 2)) - 1, """")"),"")</f>
        <v/>
      </c>
      <c r="Q10" s="6" t="str">
        <f>IFERROR(__xludf.DUMMYFUNCTION("AVERAGE(QUERY(GOOGLEFINANCE(C10, ""price"", TODAY()-80, TODAY()), ""SELECT Col2 WHERE Col2 IS NOT NULL ORDER BY Col1 DESC LIMIT 50"", 0))"),"#N/A")</f>
        <v>#N/A</v>
      </c>
      <c r="R10" s="24" t="str">
        <f>IFERROR(__xludf.DUMMYFUNCTION("IFERROR(
  LET(
    data, QUERY(GOOGLEFINANCE(C10,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GOOGLEFINANCE(C10, ""price"")) * 100,
    IF(calc=0, G10, calc)
  ), 
G10)"),"#N/A")</f>
        <v>#N/A</v>
      </c>
      <c r="S10" s="8" t="s">
        <v>15</v>
      </c>
      <c r="T10" s="26" t="str">
        <f>IFERROR(__xludf.DUMMYFUNCTION("IFERROR(TRANSPOSE(QUERY(IFERROR(SORT(GOOGLEFINANCE(C10, ""price"", WORKDAY(TODAY(), -40), TODAY()), 1, FALSE)), ""select Col2 where Col2 is not null limit 22 label Col2 ''"", 0)), """")"),"")</f>
        <v/>
      </c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8"/>
      <c r="AO10" s="28"/>
      <c r="AP10" s="29"/>
      <c r="AQ10" s="29" t="str">
        <f t="shared" ref="AQ10:BL10" si="13">T10/T$2</f>
        <v>#N/A</v>
      </c>
      <c r="AR10" s="29" t="str">
        <f t="shared" si="13"/>
        <v>#DIV/0!</v>
      </c>
      <c r="AS10" s="29" t="str">
        <f t="shared" si="13"/>
        <v>#DIV/0!</v>
      </c>
      <c r="AT10" s="29" t="str">
        <f t="shared" si="13"/>
        <v>#DIV/0!</v>
      </c>
      <c r="AU10" s="29" t="str">
        <f t="shared" si="13"/>
        <v>#DIV/0!</v>
      </c>
      <c r="AV10" s="29" t="str">
        <f t="shared" si="13"/>
        <v>#DIV/0!</v>
      </c>
      <c r="AW10" s="29" t="str">
        <f t="shared" si="13"/>
        <v>#DIV/0!</v>
      </c>
      <c r="AX10" s="29" t="str">
        <f t="shared" si="13"/>
        <v>#DIV/0!</v>
      </c>
      <c r="AY10" s="29" t="str">
        <f t="shared" si="13"/>
        <v>#DIV/0!</v>
      </c>
      <c r="AZ10" s="29" t="str">
        <f t="shared" si="13"/>
        <v>#DIV/0!</v>
      </c>
      <c r="BA10" s="29" t="str">
        <f t="shared" si="13"/>
        <v>#DIV/0!</v>
      </c>
      <c r="BB10" s="29" t="str">
        <f t="shared" si="13"/>
        <v>#DIV/0!</v>
      </c>
      <c r="BC10" s="29" t="str">
        <f t="shared" si="13"/>
        <v>#DIV/0!</v>
      </c>
      <c r="BD10" s="29" t="str">
        <f t="shared" si="13"/>
        <v>#DIV/0!</v>
      </c>
      <c r="BE10" s="29" t="str">
        <f t="shared" si="13"/>
        <v>#DIV/0!</v>
      </c>
      <c r="BF10" s="29" t="str">
        <f t="shared" si="13"/>
        <v>#DIV/0!</v>
      </c>
      <c r="BG10" s="29" t="str">
        <f t="shared" si="13"/>
        <v>#DIV/0!</v>
      </c>
      <c r="BH10" s="29" t="str">
        <f t="shared" si="13"/>
        <v>#DIV/0!</v>
      </c>
      <c r="BI10" s="29" t="str">
        <f t="shared" si="13"/>
        <v>#DIV/0!</v>
      </c>
      <c r="BJ10" s="29" t="str">
        <f t="shared" si="13"/>
        <v>#DIV/0!</v>
      </c>
      <c r="BK10" s="29" t="str">
        <f t="shared" si="13"/>
        <v>#DIV/0!</v>
      </c>
      <c r="BL10" s="29" t="str">
        <f t="shared" si="13"/>
        <v>#DIV/0!</v>
      </c>
      <c r="BM10" s="29" t="str">
        <f t="shared" si="3"/>
        <v>#DIV/0!</v>
      </c>
    </row>
    <row r="11">
      <c r="A11" s="16" t="str">
        <f>IFERROR(__xludf.DUMMYFUNCTION("IFERROR(SPARKLINE(SORT(MAP(TRANSPOSE(AQ11:BL11), LAMBDA(val, IF(ISNUMBER(val), PERCENTRANK(AQ11:BL11, val)+0.01, 0))), SEQUENCE(COLUMNS(AQ11:BL11)), FALSE), {""charttype"",""column""; ""color"",""chartreuse""; ""ymin"", 0; ""ymax"", 1.01; ""highcolor"", "&amp;"""darkgreen""; ""lowcolor"", ""red""}), """")"),"")</f>
        <v/>
      </c>
      <c r="B11" s="17" t="str">
        <f t="shared" si="4"/>
        <v/>
      </c>
      <c r="C11" s="1" t="s">
        <v>2696</v>
      </c>
      <c r="D11" s="30" t="str">
        <f>IFERROR(__xludf.DUMMYFUNCTION("IFERROR(GOOGLEFINANCE(C11, ""NAME""))"),"Postal Realty Trust Inc")</f>
        <v>Postal Realty Trust Inc</v>
      </c>
      <c r="E11" s="30" t="s">
        <v>2662</v>
      </c>
      <c r="F11" s="33" t="str">
        <f>IFERROR(__xludf.DUMMYFUNCTION("( (GOOGLEFINANCE(C11, ""price"") - Q11) / Q11 ) / (R11 / 100)"),"Loading...")</f>
        <v>Loading...</v>
      </c>
      <c r="G11" s="20" t="str">
        <f>IFERROR(__xludf.DUMMYFUNCTION("AVERAGE(ARRAYFORMULA(100 * (QUERY(GOOGLEFINANCE(C11, ""high"", TODAY()-40, TODAY()), ""SELECT Col2 WHERE Col2 IS NOT NULL ORDER BY Col1 DESC LIMIT 20"", 0) / QUERY(GOOGLEFINANCE(C11, ""low"", TODAY()-40, TODAY()), ""SELECT Col2 WHERE Col2 IS NOT NULL ORDE"&amp;"R BY Col1 DESC LIMIT 20"", 0) - 1)))"),"#N/A")</f>
        <v>#N/A</v>
      </c>
      <c r="H11" s="35" t="str">
        <f t="shared" si="6"/>
        <v>Illiquid</v>
      </c>
      <c r="I11" s="35" t="str">
        <f t="shared" si="7"/>
        <v>RVol Required</v>
      </c>
      <c r="J11" s="37">
        <f>IFERROR(__xludf.DUMMYFUNCTION("IFERROR(
  IF(C11="""",, 
    IFERROR(
      GOOGLEFINANCE(C11, ""price"") * GOOGLEFINANCE(C11, ""volumeavg""), 
      GOOGLEFINANCE(C11, ""price"") * AVERAGE(QUERY(GOOGLEFINANCE(C11, ""volume"", TODAY()-40, TODAY()), ""SELECT Col2 WHERE Col2 IS NOT NULL "&amp;"ORDER BY Col1 DESC LIMIT 20"", 0))
    )
  ), 
"""")"),7441789.829999999)</f>
        <v>7441789.83</v>
      </c>
      <c r="K11" s="21">
        <f>IFERROR(__xludf.DUMMYFUNCTION("IFERROR(GOOGLEFINANCE(C11, ""changepct"") / 100, """")"),0.0115)</f>
        <v>0.0115</v>
      </c>
      <c r="L11" s="21" t="str">
        <f>IFERROR(__xludf.DUMMYFUNCTION("IFERROR((GOOGLEFINANCE(C11, ""price"") / INDEX(GOOGLEFINANCE(C11, ""price"", TODAY()-7, TODAY()), 2, 2)) - 1, """")"),"")</f>
        <v/>
      </c>
      <c r="M11" s="21" t="str">
        <f>IFERROR(__xludf.DUMMYFUNCTION("IFERROR((GOOGLEFINANCE(C11, ""price"") / INDEX(GOOGLEFINANCE(C11, ""price"", EDATE(TODAY(), -1), TODAY()), 2, 2)) - 1, """")"),"")</f>
        <v/>
      </c>
      <c r="N11" s="21" t="str">
        <f>IFERROR(__xludf.DUMMYFUNCTION("IFERROR((GOOGLEFINANCE(C11, ""price"") / INDEX(GOOGLEFINANCE(C11, ""price"", EDATE(TODAY(), -3), TODAY()), 2, 2)) - 1, """")"),"")</f>
        <v/>
      </c>
      <c r="O11" s="21" t="str">
        <f>IFERROR(__xludf.DUMMYFUNCTION("IFERROR((GOOGLEFINANCE(C11, ""price"") / INDEX(GOOGLEFINANCE(C11, ""price"", EDATE(TODAY(), -6), TODAY()), 2, 2)) - 1, """")"),"")</f>
        <v/>
      </c>
      <c r="P11" s="21" t="str">
        <f>IFERROR(__xludf.DUMMYFUNCTION("IFERROR((GOOGLEFINANCE(C11, ""price"") / INDEX(GOOGLEFINANCE(C11, ""price"", EDATE(TODAY(), -12), TODAY()), 2, 2)) - 1, """")"),"")</f>
        <v/>
      </c>
      <c r="Q11" s="6" t="str">
        <f>IFERROR(__xludf.DUMMYFUNCTION("AVERAGE(QUERY(GOOGLEFINANCE(C11, ""price"", TODAY()-80, TODAY()), ""SELECT Col2 WHERE Col2 IS NOT NULL ORDER BY Col1 DESC LIMIT 50"", 0))"),"#N/A")</f>
        <v>#N/A</v>
      </c>
      <c r="R11" s="24" t="str">
        <f>IFERROR(__xludf.DUMMYFUNCTION("IFERROR(
  LET(
    data, QUERY(GOOGLEFINANCE(C11,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GOOGLEFINANCE(C11, ""price"")) * 100,
    IF(calc=0, G11, calc)
  ), 
G11)"),"#N/A")</f>
        <v>#N/A</v>
      </c>
      <c r="S11" s="8" t="s">
        <v>15</v>
      </c>
      <c r="T11" s="26" t="str">
        <f>IFERROR(__xludf.DUMMYFUNCTION("IFERROR(TRANSPOSE(QUERY(IFERROR(SORT(GOOGLEFINANCE(C11, ""price"", WORKDAY(TODAY(), -40), TODAY()), 1, FALSE)), ""select Col2 where Col2 is not null limit 22 label Col2 ''"", 0)), """")"),"")</f>
        <v/>
      </c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8"/>
      <c r="AO11" s="28"/>
      <c r="AP11" s="29"/>
      <c r="AQ11" s="29" t="str">
        <f t="shared" ref="AQ11:BL11" si="14">T11/T$2</f>
        <v>#N/A</v>
      </c>
      <c r="AR11" s="29" t="str">
        <f t="shared" si="14"/>
        <v>#DIV/0!</v>
      </c>
      <c r="AS11" s="29" t="str">
        <f t="shared" si="14"/>
        <v>#DIV/0!</v>
      </c>
      <c r="AT11" s="29" t="str">
        <f t="shared" si="14"/>
        <v>#DIV/0!</v>
      </c>
      <c r="AU11" s="29" t="str">
        <f t="shared" si="14"/>
        <v>#DIV/0!</v>
      </c>
      <c r="AV11" s="29" t="str">
        <f t="shared" si="14"/>
        <v>#DIV/0!</v>
      </c>
      <c r="AW11" s="29" t="str">
        <f t="shared" si="14"/>
        <v>#DIV/0!</v>
      </c>
      <c r="AX11" s="29" t="str">
        <f t="shared" si="14"/>
        <v>#DIV/0!</v>
      </c>
      <c r="AY11" s="29" t="str">
        <f t="shared" si="14"/>
        <v>#DIV/0!</v>
      </c>
      <c r="AZ11" s="29" t="str">
        <f t="shared" si="14"/>
        <v>#DIV/0!</v>
      </c>
      <c r="BA11" s="29" t="str">
        <f t="shared" si="14"/>
        <v>#DIV/0!</v>
      </c>
      <c r="BB11" s="29" t="str">
        <f t="shared" si="14"/>
        <v>#DIV/0!</v>
      </c>
      <c r="BC11" s="29" t="str">
        <f t="shared" si="14"/>
        <v>#DIV/0!</v>
      </c>
      <c r="BD11" s="29" t="str">
        <f t="shared" si="14"/>
        <v>#DIV/0!</v>
      </c>
      <c r="BE11" s="29" t="str">
        <f t="shared" si="14"/>
        <v>#DIV/0!</v>
      </c>
      <c r="BF11" s="29" t="str">
        <f t="shared" si="14"/>
        <v>#DIV/0!</v>
      </c>
      <c r="BG11" s="29" t="str">
        <f t="shared" si="14"/>
        <v>#DIV/0!</v>
      </c>
      <c r="BH11" s="29" t="str">
        <f t="shared" si="14"/>
        <v>#DIV/0!</v>
      </c>
      <c r="BI11" s="29" t="str">
        <f t="shared" si="14"/>
        <v>#DIV/0!</v>
      </c>
      <c r="BJ11" s="29" t="str">
        <f t="shared" si="14"/>
        <v>#DIV/0!</v>
      </c>
      <c r="BK11" s="29" t="str">
        <f t="shared" si="14"/>
        <v>#DIV/0!</v>
      </c>
      <c r="BL11" s="29" t="str">
        <f t="shared" si="14"/>
        <v>#DIV/0!</v>
      </c>
      <c r="BM11" s="29" t="str">
        <f t="shared" si="3"/>
        <v>#DIV/0!</v>
      </c>
    </row>
    <row r="12">
      <c r="A12" s="16" t="str">
        <f>IFERROR(__xludf.DUMMYFUNCTION("IFERROR(SPARKLINE(SORT(MAP(TRANSPOSE(AQ12:BL12), LAMBDA(val, IF(ISNUMBER(val), PERCENTRANK(AQ12:BL12, val)+0.01, 0))), SEQUENCE(COLUMNS(AQ12:BL12)), FALSE), {""charttype"",""column""; ""color"",""chartreuse""; ""ymin"", 0; ""ymax"", 1.01; ""highcolor"", "&amp;"""darkgreen""; ""lowcolor"", ""red""}), """")"),"")</f>
        <v/>
      </c>
      <c r="B12" s="17" t="str">
        <f t="shared" si="4"/>
        <v/>
      </c>
      <c r="C12" s="1" t="s">
        <v>2699</v>
      </c>
      <c r="D12" s="30" t="str">
        <f>IFERROR(__xludf.DUMMYFUNCTION("IFERROR(GOOGLEFINANCE(C12, ""NAME""))"),"Chatham Lodging Trust")</f>
        <v>Chatham Lodging Trust</v>
      </c>
      <c r="E12" s="30" t="s">
        <v>2674</v>
      </c>
      <c r="F12" s="33" t="str">
        <f>IFERROR(__xludf.DUMMYFUNCTION("( (GOOGLEFINANCE(C12, ""price"") - Q12) / Q12 ) / (R12 / 100)"),"Loading...")</f>
        <v>Loading...</v>
      </c>
      <c r="G12" s="20" t="str">
        <f>IFERROR(__xludf.DUMMYFUNCTION("AVERAGE(ARRAYFORMULA(100 * (QUERY(GOOGLEFINANCE(C12, ""high"", TODAY()-40, TODAY()), ""SELECT Col2 WHERE Col2 IS NOT NULL ORDER BY Col1 DESC LIMIT 20"", 0) / QUERY(GOOGLEFINANCE(C12, ""low"", TODAY()-40, TODAY()), ""SELECT Col2 WHERE Col2 IS NOT NULL ORDE"&amp;"R BY Col1 DESC LIMIT 20"", 0) - 1)))"),"#N/A")</f>
        <v>#N/A</v>
      </c>
      <c r="H12" s="35" t="str">
        <f t="shared" si="6"/>
        <v>Illiquid</v>
      </c>
      <c r="I12" s="35" t="str">
        <f t="shared" si="7"/>
        <v>RVol Required</v>
      </c>
      <c r="J12" s="37">
        <f>IFERROR(__xludf.DUMMYFUNCTION("IFERROR(
  IF(C12="""",, 
    IFERROR(
      GOOGLEFINANCE(C12, ""price"") * GOOGLEFINANCE(C12, ""volumeavg""), 
      GOOGLEFINANCE(C12, ""price"") * AVERAGE(QUERY(GOOGLEFINANCE(C12, ""volume"", TODAY()-40, TODAY()), ""SELECT Col2 WHERE Col2 IS NOT NULL "&amp;"ORDER BY Col1 DESC LIMIT 20"", 0))
    )
  ), 
"""")"),3798501.8000000003)</f>
        <v>3798501.8</v>
      </c>
      <c r="K12" s="21">
        <f>IFERROR(__xludf.DUMMYFUNCTION("IFERROR(GOOGLEFINANCE(C12, ""changepct"") / 100, """")"),-0.0064)</f>
        <v>-0.0064</v>
      </c>
      <c r="L12" s="21" t="str">
        <f>IFERROR(__xludf.DUMMYFUNCTION("IFERROR((GOOGLEFINANCE(C12, ""price"") / INDEX(GOOGLEFINANCE(C12, ""price"", TODAY()-7, TODAY()), 2, 2)) - 1, """")"),"")</f>
        <v/>
      </c>
      <c r="M12" s="21" t="str">
        <f>IFERROR(__xludf.DUMMYFUNCTION("IFERROR((GOOGLEFINANCE(C12, ""price"") / INDEX(GOOGLEFINANCE(C12, ""price"", EDATE(TODAY(), -1), TODAY()), 2, 2)) - 1, """")"),"")</f>
        <v/>
      </c>
      <c r="N12" s="21" t="str">
        <f>IFERROR(__xludf.DUMMYFUNCTION("IFERROR((GOOGLEFINANCE(C12, ""price"") / INDEX(GOOGLEFINANCE(C12, ""price"", EDATE(TODAY(), -3), TODAY()), 2, 2)) - 1, """")"),"")</f>
        <v/>
      </c>
      <c r="O12" s="21" t="str">
        <f>IFERROR(__xludf.DUMMYFUNCTION("IFERROR((GOOGLEFINANCE(C12, ""price"") / INDEX(GOOGLEFINANCE(C12, ""price"", EDATE(TODAY(), -6), TODAY()), 2, 2)) - 1, """")"),"")</f>
        <v/>
      </c>
      <c r="P12" s="21" t="str">
        <f>IFERROR(__xludf.DUMMYFUNCTION("IFERROR((GOOGLEFINANCE(C12, ""price"") / INDEX(GOOGLEFINANCE(C12, ""price"", EDATE(TODAY(), -12), TODAY()), 2, 2)) - 1, """")"),"")</f>
        <v/>
      </c>
      <c r="Q12" s="6" t="str">
        <f>IFERROR(__xludf.DUMMYFUNCTION("AVERAGE(QUERY(GOOGLEFINANCE(C12, ""price"", TODAY()-80, TODAY()), ""SELECT Col2 WHERE Col2 IS NOT NULL ORDER BY Col1 DESC LIMIT 50"", 0))"),"#N/A")</f>
        <v>#N/A</v>
      </c>
      <c r="R12" s="24" t="str">
        <f>IFERROR(__xludf.DUMMYFUNCTION("IFERROR(
  LET(
    data, QUERY(GOOGLEFINANCE(C12,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GOOGLEFINANCE(C12, ""price"")) * 100,
    IF(calc=0, G12, calc)
  ), 
G12)"),"#N/A")</f>
        <v>#N/A</v>
      </c>
      <c r="S12" s="8" t="s">
        <v>15</v>
      </c>
      <c r="T12" s="26" t="str">
        <f>IFERROR(__xludf.DUMMYFUNCTION("IFERROR(TRANSPOSE(QUERY(IFERROR(SORT(GOOGLEFINANCE(C12, ""price"", WORKDAY(TODAY(), -40), TODAY()), 1, FALSE)), ""select Col2 where Col2 is not null limit 22 label Col2 ''"", 0)), """")"),"")</f>
        <v/>
      </c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8"/>
      <c r="AO12" s="28"/>
      <c r="AP12" s="29"/>
      <c r="AQ12" s="29" t="str">
        <f t="shared" ref="AQ12:BL12" si="15">T12/T$2</f>
        <v>#N/A</v>
      </c>
      <c r="AR12" s="29" t="str">
        <f t="shared" si="15"/>
        <v>#DIV/0!</v>
      </c>
      <c r="AS12" s="29" t="str">
        <f t="shared" si="15"/>
        <v>#DIV/0!</v>
      </c>
      <c r="AT12" s="29" t="str">
        <f t="shared" si="15"/>
        <v>#DIV/0!</v>
      </c>
      <c r="AU12" s="29" t="str">
        <f t="shared" si="15"/>
        <v>#DIV/0!</v>
      </c>
      <c r="AV12" s="29" t="str">
        <f t="shared" si="15"/>
        <v>#DIV/0!</v>
      </c>
      <c r="AW12" s="29" t="str">
        <f t="shared" si="15"/>
        <v>#DIV/0!</v>
      </c>
      <c r="AX12" s="29" t="str">
        <f t="shared" si="15"/>
        <v>#DIV/0!</v>
      </c>
      <c r="AY12" s="29" t="str">
        <f t="shared" si="15"/>
        <v>#DIV/0!</v>
      </c>
      <c r="AZ12" s="29" t="str">
        <f t="shared" si="15"/>
        <v>#DIV/0!</v>
      </c>
      <c r="BA12" s="29" t="str">
        <f t="shared" si="15"/>
        <v>#DIV/0!</v>
      </c>
      <c r="BB12" s="29" t="str">
        <f t="shared" si="15"/>
        <v>#DIV/0!</v>
      </c>
      <c r="BC12" s="29" t="str">
        <f t="shared" si="15"/>
        <v>#DIV/0!</v>
      </c>
      <c r="BD12" s="29" t="str">
        <f t="shared" si="15"/>
        <v>#DIV/0!</v>
      </c>
      <c r="BE12" s="29" t="str">
        <f t="shared" si="15"/>
        <v>#DIV/0!</v>
      </c>
      <c r="BF12" s="29" t="str">
        <f t="shared" si="15"/>
        <v>#DIV/0!</v>
      </c>
      <c r="BG12" s="29" t="str">
        <f t="shared" si="15"/>
        <v>#DIV/0!</v>
      </c>
      <c r="BH12" s="29" t="str">
        <f t="shared" si="15"/>
        <v>#DIV/0!</v>
      </c>
      <c r="BI12" s="29" t="str">
        <f t="shared" si="15"/>
        <v>#DIV/0!</v>
      </c>
      <c r="BJ12" s="29" t="str">
        <f t="shared" si="15"/>
        <v>#DIV/0!</v>
      </c>
      <c r="BK12" s="29" t="str">
        <f t="shared" si="15"/>
        <v>#DIV/0!</v>
      </c>
      <c r="BL12" s="29" t="str">
        <f t="shared" si="15"/>
        <v>#DIV/0!</v>
      </c>
      <c r="BM12" s="29" t="str">
        <f t="shared" si="3"/>
        <v>#DIV/0!</v>
      </c>
    </row>
    <row r="13">
      <c r="A13" s="16" t="str">
        <f>IFERROR(__xludf.DUMMYFUNCTION("IFERROR(SPARKLINE(SORT(MAP(TRANSPOSE(AQ13:BL13), LAMBDA(val, IF(ISNUMBER(val), PERCENTRANK(AQ13:BL13, val)+0.01, 0))), SEQUENCE(COLUMNS(AQ13:BL13)), FALSE), {""charttype"",""column""; ""color"",""chartreuse""; ""ymin"", 0; ""ymax"", 1.01; ""highcolor"", "&amp;"""darkgreen""; ""lowcolor"", ""red""}), """")"),"")</f>
        <v/>
      </c>
      <c r="B13" s="17" t="str">
        <f t="shared" si="4"/>
        <v/>
      </c>
      <c r="C13" s="1" t="s">
        <v>2703</v>
      </c>
      <c r="D13" s="30" t="str">
        <f>IFERROR(__xludf.DUMMYFUNCTION("IFERROR(GOOGLEFINANCE(C13, ""NAME""))"),"Americold Realty Trust Inc")</f>
        <v>Americold Realty Trust Inc</v>
      </c>
      <c r="E13" s="30" t="s">
        <v>2704</v>
      </c>
      <c r="F13" s="33" t="str">
        <f>IFERROR(__xludf.DUMMYFUNCTION("( (GOOGLEFINANCE(C13, ""price"") - Q13) / Q13 ) / (R13 / 100)"),"Loading...")</f>
        <v>Loading...</v>
      </c>
      <c r="G13" s="20" t="str">
        <f>IFERROR(__xludf.DUMMYFUNCTION("AVERAGE(ARRAYFORMULA(100 * (QUERY(GOOGLEFINANCE(C13, ""high"", TODAY()-40, TODAY()), ""SELECT Col2 WHERE Col2 IS NOT NULL ORDER BY Col1 DESC LIMIT 20"", 0) / QUERY(GOOGLEFINANCE(C13, ""low"", TODAY()-40, TODAY()), ""SELECT Col2 WHERE Col2 IS NOT NULL ORDE"&amp;"R BY Col1 DESC LIMIT 20"", 0) - 1)))"),"#N/A")</f>
        <v>#N/A</v>
      </c>
      <c r="H13" s="35" t="str">
        <f t="shared" si="6"/>
        <v>Illiquid</v>
      </c>
      <c r="I13" s="35" t="str">
        <f t="shared" si="7"/>
        <v>RVol Required</v>
      </c>
      <c r="J13" s="37">
        <f>IFERROR(__xludf.DUMMYFUNCTION("IFERROR(
  IF(C13="""",, 
    IFERROR(
      GOOGLEFINANCE(C13, ""price"") * GOOGLEFINANCE(C13, ""volumeavg""), 
      GOOGLEFINANCE(C13, ""price"") * AVERAGE(QUERY(GOOGLEFINANCE(C13, ""volume"", TODAY()-40, TODAY()), ""SELECT Col2 WHERE Col2 IS NOT NULL "&amp;"ORDER BY Col1 DESC LIMIT 20"", 0))
    )
  ), 
"""")"),4.784208982E7)</f>
        <v>47842089.82</v>
      </c>
      <c r="K13" s="21">
        <f>IFERROR(__xludf.DUMMYFUNCTION("IFERROR(GOOGLEFINANCE(C13, ""changepct"") / 100, """")"),-0.0072)</f>
        <v>-0.0072</v>
      </c>
      <c r="L13" s="21" t="str">
        <f>IFERROR(__xludf.DUMMYFUNCTION("IFERROR((GOOGLEFINANCE(C13, ""price"") / INDEX(GOOGLEFINANCE(C13, ""price"", TODAY()-7, TODAY()), 2, 2)) - 1, """")"),"")</f>
        <v/>
      </c>
      <c r="M13" s="21" t="str">
        <f>IFERROR(__xludf.DUMMYFUNCTION("IFERROR((GOOGLEFINANCE(C13, ""price"") / INDEX(GOOGLEFINANCE(C13, ""price"", EDATE(TODAY(), -1), TODAY()), 2, 2)) - 1, """")"),"")</f>
        <v/>
      </c>
      <c r="N13" s="21" t="str">
        <f>IFERROR(__xludf.DUMMYFUNCTION("IFERROR((GOOGLEFINANCE(C13, ""price"") / INDEX(GOOGLEFINANCE(C13, ""price"", EDATE(TODAY(), -3), TODAY()), 2, 2)) - 1, """")"),"")</f>
        <v/>
      </c>
      <c r="O13" s="21" t="str">
        <f>IFERROR(__xludf.DUMMYFUNCTION("IFERROR((GOOGLEFINANCE(C13, ""price"") / INDEX(GOOGLEFINANCE(C13, ""price"", EDATE(TODAY(), -6), TODAY()), 2, 2)) - 1, """")"),"")</f>
        <v/>
      </c>
      <c r="P13" s="21" t="str">
        <f>IFERROR(__xludf.DUMMYFUNCTION("IFERROR((GOOGLEFINANCE(C13, ""price"") / INDEX(GOOGLEFINANCE(C13, ""price"", EDATE(TODAY(), -12), TODAY()), 2, 2)) - 1, """")"),"")</f>
        <v/>
      </c>
      <c r="Q13" s="6" t="str">
        <f>IFERROR(__xludf.DUMMYFUNCTION("AVERAGE(QUERY(GOOGLEFINANCE(C13, ""price"", TODAY()-80, TODAY()), ""SELECT Col2 WHERE Col2 IS NOT NULL ORDER BY Col1 DESC LIMIT 50"", 0))"),"#N/A")</f>
        <v>#N/A</v>
      </c>
      <c r="R13" s="24" t="str">
        <f>IFERROR(__xludf.DUMMYFUNCTION("IFERROR(
  LET(
    data, QUERY(GOOGLEFINANCE(C13,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GOOGLEFINANCE(C13, ""price"")) * 100,
    IF(calc=0, G13, calc)
  ), 
G13)"),"#N/A")</f>
        <v>#N/A</v>
      </c>
      <c r="S13" s="8" t="s">
        <v>15</v>
      </c>
      <c r="T13" s="26" t="str">
        <f>IFERROR(__xludf.DUMMYFUNCTION("IFERROR(TRANSPOSE(QUERY(IFERROR(SORT(GOOGLEFINANCE(C13, ""price"", WORKDAY(TODAY(), -40), TODAY()), 1, FALSE)), ""select Col2 where Col2 is not null limit 22 label Col2 ''"", 0)), """")"),"")</f>
        <v/>
      </c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8"/>
      <c r="AO13" s="28"/>
      <c r="AP13" s="29"/>
      <c r="AQ13" s="29" t="str">
        <f t="shared" ref="AQ13:BL13" si="16">T13/T$2</f>
        <v>#N/A</v>
      </c>
      <c r="AR13" s="29" t="str">
        <f t="shared" si="16"/>
        <v>#DIV/0!</v>
      </c>
      <c r="AS13" s="29" t="str">
        <f t="shared" si="16"/>
        <v>#DIV/0!</v>
      </c>
      <c r="AT13" s="29" t="str">
        <f t="shared" si="16"/>
        <v>#DIV/0!</v>
      </c>
      <c r="AU13" s="29" t="str">
        <f t="shared" si="16"/>
        <v>#DIV/0!</v>
      </c>
      <c r="AV13" s="29" t="str">
        <f t="shared" si="16"/>
        <v>#DIV/0!</v>
      </c>
      <c r="AW13" s="29" t="str">
        <f t="shared" si="16"/>
        <v>#DIV/0!</v>
      </c>
      <c r="AX13" s="29" t="str">
        <f t="shared" si="16"/>
        <v>#DIV/0!</v>
      </c>
      <c r="AY13" s="29" t="str">
        <f t="shared" si="16"/>
        <v>#DIV/0!</v>
      </c>
      <c r="AZ13" s="29" t="str">
        <f t="shared" si="16"/>
        <v>#DIV/0!</v>
      </c>
      <c r="BA13" s="29" t="str">
        <f t="shared" si="16"/>
        <v>#DIV/0!</v>
      </c>
      <c r="BB13" s="29" t="str">
        <f t="shared" si="16"/>
        <v>#DIV/0!</v>
      </c>
      <c r="BC13" s="29" t="str">
        <f t="shared" si="16"/>
        <v>#DIV/0!</v>
      </c>
      <c r="BD13" s="29" t="str">
        <f t="shared" si="16"/>
        <v>#DIV/0!</v>
      </c>
      <c r="BE13" s="29" t="str">
        <f t="shared" si="16"/>
        <v>#DIV/0!</v>
      </c>
      <c r="BF13" s="29" t="str">
        <f t="shared" si="16"/>
        <v>#DIV/0!</v>
      </c>
      <c r="BG13" s="29" t="str">
        <f t="shared" si="16"/>
        <v>#DIV/0!</v>
      </c>
      <c r="BH13" s="29" t="str">
        <f t="shared" si="16"/>
        <v>#DIV/0!</v>
      </c>
      <c r="BI13" s="29" t="str">
        <f t="shared" si="16"/>
        <v>#DIV/0!</v>
      </c>
      <c r="BJ13" s="29" t="str">
        <f t="shared" si="16"/>
        <v>#DIV/0!</v>
      </c>
      <c r="BK13" s="29" t="str">
        <f t="shared" si="16"/>
        <v>#DIV/0!</v>
      </c>
      <c r="BL13" s="29" t="str">
        <f t="shared" si="16"/>
        <v>#DIV/0!</v>
      </c>
      <c r="BM13" s="29" t="str">
        <f t="shared" si="3"/>
        <v>#DIV/0!</v>
      </c>
    </row>
    <row r="14">
      <c r="A14" s="16" t="str">
        <f>IFERROR(__xludf.DUMMYFUNCTION("IFERROR(SPARKLINE(SORT(MAP(TRANSPOSE(AQ14:BL14), LAMBDA(val, IF(ISNUMBER(val), PERCENTRANK(AQ14:BL14, val)+0.01, 0))), SEQUENCE(COLUMNS(AQ14:BL14)), FALSE), {""charttype"",""column""; ""color"",""chartreuse""; ""ymin"", 0; ""ymax"", 1.01; ""highcolor"", "&amp;"""darkgreen""; ""lowcolor"", ""red""}), """")"),"")</f>
        <v/>
      </c>
      <c r="B14" s="17" t="str">
        <f t="shared" si="4"/>
        <v/>
      </c>
      <c r="C14" s="1" t="s">
        <v>2708</v>
      </c>
      <c r="D14" s="30" t="str">
        <f>IFERROR(__xludf.DUMMYFUNCTION("IFERROR(GOOGLEFINANCE(C14, ""NAME""))"),"Lamar Advertising Co")</f>
        <v>Lamar Advertising Co</v>
      </c>
      <c r="E14" s="30" t="s">
        <v>2709</v>
      </c>
      <c r="F14" s="33" t="str">
        <f>IFERROR(__xludf.DUMMYFUNCTION("( (GOOGLEFINANCE(C14, ""price"") - Q14) / Q14 ) / (R14 / 100)"),"Loading...")</f>
        <v>Loading...</v>
      </c>
      <c r="G14" s="20" t="str">
        <f>IFERROR(__xludf.DUMMYFUNCTION("AVERAGE(ARRAYFORMULA(100 * (QUERY(GOOGLEFINANCE(C14, ""high"", TODAY()-40, TODAY()), ""SELECT Col2 WHERE Col2 IS NOT NULL ORDER BY Col1 DESC LIMIT 20"", 0) / QUERY(GOOGLEFINANCE(C14, ""low"", TODAY()-40, TODAY()), ""SELECT Col2 WHERE Col2 IS NOT NULL ORDE"&amp;"R BY Col1 DESC LIMIT 20"", 0) - 1)))"),"#N/A")</f>
        <v>#N/A</v>
      </c>
      <c r="H14" s="35" t="str">
        <f t="shared" si="6"/>
        <v>Liquid</v>
      </c>
      <c r="I14" s="35" t="str">
        <f t="shared" si="7"/>
        <v>RVol Required</v>
      </c>
      <c r="J14" s="37">
        <f>IFERROR(__xludf.DUMMYFUNCTION("IFERROR(
  IF(C14="""",, 
    IFERROR(
      GOOGLEFINANCE(C14, ""price"") * GOOGLEFINANCE(C14, ""volumeavg""), 
      GOOGLEFINANCE(C14, ""price"") * AVERAGE(QUERY(GOOGLEFINANCE(C14, ""volume"", TODAY()-40, TODAY()), ""SELECT Col2 WHERE Col2 IS NOT NULL "&amp;"ORDER BY Col1 DESC LIMIT 20"", 0))
    )
  ), 
"""")"),7.97761987E7)</f>
        <v>79776198.7</v>
      </c>
      <c r="K14" s="21">
        <f>IFERROR(__xludf.DUMMYFUNCTION("IFERROR(GOOGLEFINANCE(C14, ""changepct"") / 100, """")"),0.0137)</f>
        <v>0.0137</v>
      </c>
      <c r="L14" s="21" t="str">
        <f>IFERROR(__xludf.DUMMYFUNCTION("IFERROR((GOOGLEFINANCE(C14, ""price"") / INDEX(GOOGLEFINANCE(C14, ""price"", TODAY()-7, TODAY()), 2, 2)) - 1, """")"),"")</f>
        <v/>
      </c>
      <c r="M14" s="21" t="str">
        <f>IFERROR(__xludf.DUMMYFUNCTION("IFERROR((GOOGLEFINANCE(C14, ""price"") / INDEX(GOOGLEFINANCE(C14, ""price"", EDATE(TODAY(), -1), TODAY()), 2, 2)) - 1, """")"),"")</f>
        <v/>
      </c>
      <c r="N14" s="21" t="str">
        <f>IFERROR(__xludf.DUMMYFUNCTION("IFERROR((GOOGLEFINANCE(C14, ""price"") / INDEX(GOOGLEFINANCE(C14, ""price"", EDATE(TODAY(), -3), TODAY()), 2, 2)) - 1, """")"),"")</f>
        <v/>
      </c>
      <c r="O14" s="21" t="str">
        <f>IFERROR(__xludf.DUMMYFUNCTION("IFERROR((GOOGLEFINANCE(C14, ""price"") / INDEX(GOOGLEFINANCE(C14, ""price"", EDATE(TODAY(), -6), TODAY()), 2, 2)) - 1, """")"),"")</f>
        <v/>
      </c>
      <c r="P14" s="21" t="str">
        <f>IFERROR(__xludf.DUMMYFUNCTION("IFERROR((GOOGLEFINANCE(C14, ""price"") / INDEX(GOOGLEFINANCE(C14, ""price"", EDATE(TODAY(), -12), TODAY()), 2, 2)) - 1, """")"),"")</f>
        <v/>
      </c>
      <c r="Q14" s="6" t="str">
        <f>IFERROR(__xludf.DUMMYFUNCTION("AVERAGE(QUERY(GOOGLEFINANCE(C14, ""price"", TODAY()-80, TODAY()), ""SELECT Col2 WHERE Col2 IS NOT NULL ORDER BY Col1 DESC LIMIT 50"", 0))"),"#N/A")</f>
        <v>#N/A</v>
      </c>
      <c r="R14" s="24" t="str">
        <f>IFERROR(__xludf.DUMMYFUNCTION("IFERROR(
  LET(
    data, QUERY(GOOGLEFINANCE(C14,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GOOGLEFINANCE(C14, ""price"")) * 100,
    IF(calc=0, G14, calc)
  ), 
G14)"),"#N/A")</f>
        <v>#N/A</v>
      </c>
      <c r="S14" s="8" t="s">
        <v>15</v>
      </c>
      <c r="T14" s="26" t="str">
        <f>IFERROR(__xludf.DUMMYFUNCTION("IFERROR(TRANSPOSE(QUERY(IFERROR(SORT(GOOGLEFINANCE(C14, ""price"", WORKDAY(TODAY(), -40), TODAY()), 1, FALSE)), ""select Col2 where Col2 is not null limit 22 label Col2 ''"", 0)), """")"),"")</f>
        <v/>
      </c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8"/>
      <c r="AO14" s="28"/>
      <c r="AP14" s="29"/>
      <c r="AQ14" s="29" t="str">
        <f t="shared" ref="AQ14:BL14" si="17">T14/T$2</f>
        <v>#N/A</v>
      </c>
      <c r="AR14" s="29" t="str">
        <f t="shared" si="17"/>
        <v>#DIV/0!</v>
      </c>
      <c r="AS14" s="29" t="str">
        <f t="shared" si="17"/>
        <v>#DIV/0!</v>
      </c>
      <c r="AT14" s="29" t="str">
        <f t="shared" si="17"/>
        <v>#DIV/0!</v>
      </c>
      <c r="AU14" s="29" t="str">
        <f t="shared" si="17"/>
        <v>#DIV/0!</v>
      </c>
      <c r="AV14" s="29" t="str">
        <f t="shared" si="17"/>
        <v>#DIV/0!</v>
      </c>
      <c r="AW14" s="29" t="str">
        <f t="shared" si="17"/>
        <v>#DIV/0!</v>
      </c>
      <c r="AX14" s="29" t="str">
        <f t="shared" si="17"/>
        <v>#DIV/0!</v>
      </c>
      <c r="AY14" s="29" t="str">
        <f t="shared" si="17"/>
        <v>#DIV/0!</v>
      </c>
      <c r="AZ14" s="29" t="str">
        <f t="shared" si="17"/>
        <v>#DIV/0!</v>
      </c>
      <c r="BA14" s="29" t="str">
        <f t="shared" si="17"/>
        <v>#DIV/0!</v>
      </c>
      <c r="BB14" s="29" t="str">
        <f t="shared" si="17"/>
        <v>#DIV/0!</v>
      </c>
      <c r="BC14" s="29" t="str">
        <f t="shared" si="17"/>
        <v>#DIV/0!</v>
      </c>
      <c r="BD14" s="29" t="str">
        <f t="shared" si="17"/>
        <v>#DIV/0!</v>
      </c>
      <c r="BE14" s="29" t="str">
        <f t="shared" si="17"/>
        <v>#DIV/0!</v>
      </c>
      <c r="BF14" s="29" t="str">
        <f t="shared" si="17"/>
        <v>#DIV/0!</v>
      </c>
      <c r="BG14" s="29" t="str">
        <f t="shared" si="17"/>
        <v>#DIV/0!</v>
      </c>
      <c r="BH14" s="29" t="str">
        <f t="shared" si="17"/>
        <v>#DIV/0!</v>
      </c>
      <c r="BI14" s="29" t="str">
        <f t="shared" si="17"/>
        <v>#DIV/0!</v>
      </c>
      <c r="BJ14" s="29" t="str">
        <f t="shared" si="17"/>
        <v>#DIV/0!</v>
      </c>
      <c r="BK14" s="29" t="str">
        <f t="shared" si="17"/>
        <v>#DIV/0!</v>
      </c>
      <c r="BL14" s="29" t="str">
        <f t="shared" si="17"/>
        <v>#DIV/0!</v>
      </c>
      <c r="BM14" s="29" t="str">
        <f t="shared" si="3"/>
        <v>#DIV/0!</v>
      </c>
    </row>
    <row r="15">
      <c r="A15" s="16" t="str">
        <f>IFERROR(__xludf.DUMMYFUNCTION("IFERROR(SPARKLINE(SORT(MAP(TRANSPOSE(AQ15:BL15), LAMBDA(val, IF(ISNUMBER(val), PERCENTRANK(AQ15:BL15, val)+0.01, 0))), SEQUENCE(COLUMNS(AQ15:BL15)), FALSE), {""charttype"",""column""; ""color"",""chartreuse""; ""ymin"", 0; ""ymax"", 1.01; ""highcolor"", "&amp;"""darkgreen""; ""lowcolor"", ""red""}), """")"),"")</f>
        <v/>
      </c>
      <c r="B15" s="17" t="str">
        <f t="shared" si="4"/>
        <v/>
      </c>
      <c r="C15" s="1" t="s">
        <v>2712</v>
      </c>
      <c r="D15" s="30" t="str">
        <f>IFERROR(__xludf.DUMMYFUNCTION("IFERROR(GOOGLEFINANCE(C15, ""NAME""))"),"RLJ Lodging Trust")</f>
        <v>RLJ Lodging Trust</v>
      </c>
      <c r="E15" s="30" t="s">
        <v>2674</v>
      </c>
      <c r="F15" s="33" t="str">
        <f>IFERROR(__xludf.DUMMYFUNCTION("( (GOOGLEFINANCE(C15, ""price"") - Q15) / Q15 ) / (R15 / 100)"),"Loading...")</f>
        <v>Loading...</v>
      </c>
      <c r="G15" s="20" t="str">
        <f>IFERROR(__xludf.DUMMYFUNCTION("AVERAGE(ARRAYFORMULA(100 * (QUERY(GOOGLEFINANCE(C15, ""high"", TODAY()-40, TODAY()), ""SELECT Col2 WHERE Col2 IS NOT NULL ORDER BY Col1 DESC LIMIT 20"", 0) / QUERY(GOOGLEFINANCE(C15, ""low"", TODAY()-40, TODAY()), ""SELECT Col2 WHERE Col2 IS NOT NULL ORDE"&amp;"R BY Col1 DESC LIMIT 20"", 0) - 1)))"),"#N/A")</f>
        <v>#N/A</v>
      </c>
      <c r="H15" s="35" t="str">
        <f t="shared" si="6"/>
        <v>Illiquid</v>
      </c>
      <c r="I15" s="35" t="str">
        <f t="shared" si="7"/>
        <v>RVol Required</v>
      </c>
      <c r="J15" s="37">
        <f>IFERROR(__xludf.DUMMYFUNCTION("IFERROR(
  IF(C15="""",, 
    IFERROR(
      GOOGLEFINANCE(C15, ""price"") * GOOGLEFINANCE(C15, ""volumeavg""), 
      GOOGLEFINANCE(C15, ""price"") * AVERAGE(QUERY(GOOGLEFINANCE(C15, ""volume"", TODAY()-40, TODAY()), ""SELECT Col2 WHERE Col2 IS NOT NULL "&amp;"ORDER BY Col1 DESC LIMIT 20"", 0))
    )
  ), 
"""")"),1.988805285E7)</f>
        <v>19888052.85</v>
      </c>
      <c r="K15" s="21">
        <f>IFERROR(__xludf.DUMMYFUNCTION("IFERROR(GOOGLEFINANCE(C15, ""changepct"") / 100, """")"),0.0017000000000000001)</f>
        <v>0.0017</v>
      </c>
      <c r="L15" s="21" t="str">
        <f>IFERROR(__xludf.DUMMYFUNCTION("IFERROR((GOOGLEFINANCE(C15, ""price"") / INDEX(GOOGLEFINANCE(C15, ""price"", TODAY()-7, TODAY()), 2, 2)) - 1, """")"),"")</f>
        <v/>
      </c>
      <c r="M15" s="21" t="str">
        <f>IFERROR(__xludf.DUMMYFUNCTION("IFERROR((GOOGLEFINANCE(C15, ""price"") / INDEX(GOOGLEFINANCE(C15, ""price"", EDATE(TODAY(), -1), TODAY()), 2, 2)) - 1, """")"),"")</f>
        <v/>
      </c>
      <c r="N15" s="21" t="str">
        <f>IFERROR(__xludf.DUMMYFUNCTION("IFERROR((GOOGLEFINANCE(C15, ""price"") / INDEX(GOOGLEFINANCE(C15, ""price"", EDATE(TODAY(), -3), TODAY()), 2, 2)) - 1, """")"),"")</f>
        <v/>
      </c>
      <c r="O15" s="21" t="str">
        <f>IFERROR(__xludf.DUMMYFUNCTION("IFERROR((GOOGLEFINANCE(C15, ""price"") / INDEX(GOOGLEFINANCE(C15, ""price"", EDATE(TODAY(), -6), TODAY()), 2, 2)) - 1, """")"),"")</f>
        <v/>
      </c>
      <c r="P15" s="21" t="str">
        <f>IFERROR(__xludf.DUMMYFUNCTION("IFERROR((GOOGLEFINANCE(C15, ""price"") / INDEX(GOOGLEFINANCE(C15, ""price"", EDATE(TODAY(), -12), TODAY()), 2, 2)) - 1, """")"),"")</f>
        <v/>
      </c>
      <c r="Q15" s="6" t="str">
        <f>IFERROR(__xludf.DUMMYFUNCTION("AVERAGE(QUERY(GOOGLEFINANCE(C15, ""price"", TODAY()-80, TODAY()), ""SELECT Col2 WHERE Col2 IS NOT NULL ORDER BY Col1 DESC LIMIT 50"", 0))"),"#N/A")</f>
        <v>#N/A</v>
      </c>
      <c r="R15" s="24" t="str">
        <f>IFERROR(__xludf.DUMMYFUNCTION("IFERROR(
  LET(
    data, QUERY(GOOGLEFINANCE(C15,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GOOGLEFINANCE(C15, ""price"")) * 100,
    IF(calc=0, G15, calc)
  ), 
G15)"),"#N/A")</f>
        <v>#N/A</v>
      </c>
      <c r="S15" s="8" t="s">
        <v>15</v>
      </c>
      <c r="T15" s="26" t="str">
        <f>IFERROR(__xludf.DUMMYFUNCTION("IFERROR(TRANSPOSE(QUERY(IFERROR(SORT(GOOGLEFINANCE(C15, ""price"", WORKDAY(TODAY(), -40), TODAY()), 1, FALSE)), ""select Col2 where Col2 is not null limit 22 label Col2 ''"", 0)), """")"),"")</f>
        <v/>
      </c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8"/>
      <c r="AO15" s="28"/>
      <c r="AP15" s="29"/>
      <c r="AQ15" s="29" t="str">
        <f t="shared" ref="AQ15:BL15" si="18">T15/T$2</f>
        <v>#N/A</v>
      </c>
      <c r="AR15" s="29" t="str">
        <f t="shared" si="18"/>
        <v>#DIV/0!</v>
      </c>
      <c r="AS15" s="29" t="str">
        <f t="shared" si="18"/>
        <v>#DIV/0!</v>
      </c>
      <c r="AT15" s="29" t="str">
        <f t="shared" si="18"/>
        <v>#DIV/0!</v>
      </c>
      <c r="AU15" s="29" t="str">
        <f t="shared" si="18"/>
        <v>#DIV/0!</v>
      </c>
      <c r="AV15" s="29" t="str">
        <f t="shared" si="18"/>
        <v>#DIV/0!</v>
      </c>
      <c r="AW15" s="29" t="str">
        <f t="shared" si="18"/>
        <v>#DIV/0!</v>
      </c>
      <c r="AX15" s="29" t="str">
        <f t="shared" si="18"/>
        <v>#DIV/0!</v>
      </c>
      <c r="AY15" s="29" t="str">
        <f t="shared" si="18"/>
        <v>#DIV/0!</v>
      </c>
      <c r="AZ15" s="29" t="str">
        <f t="shared" si="18"/>
        <v>#DIV/0!</v>
      </c>
      <c r="BA15" s="29" t="str">
        <f t="shared" si="18"/>
        <v>#DIV/0!</v>
      </c>
      <c r="BB15" s="29" t="str">
        <f t="shared" si="18"/>
        <v>#DIV/0!</v>
      </c>
      <c r="BC15" s="29" t="str">
        <f t="shared" si="18"/>
        <v>#DIV/0!</v>
      </c>
      <c r="BD15" s="29" t="str">
        <f t="shared" si="18"/>
        <v>#DIV/0!</v>
      </c>
      <c r="BE15" s="29" t="str">
        <f t="shared" si="18"/>
        <v>#DIV/0!</v>
      </c>
      <c r="BF15" s="29" t="str">
        <f t="shared" si="18"/>
        <v>#DIV/0!</v>
      </c>
      <c r="BG15" s="29" t="str">
        <f t="shared" si="18"/>
        <v>#DIV/0!</v>
      </c>
      <c r="BH15" s="29" t="str">
        <f t="shared" si="18"/>
        <v>#DIV/0!</v>
      </c>
      <c r="BI15" s="29" t="str">
        <f t="shared" si="18"/>
        <v>#DIV/0!</v>
      </c>
      <c r="BJ15" s="29" t="str">
        <f t="shared" si="18"/>
        <v>#DIV/0!</v>
      </c>
      <c r="BK15" s="29" t="str">
        <f t="shared" si="18"/>
        <v>#DIV/0!</v>
      </c>
      <c r="BL15" s="29" t="str">
        <f t="shared" si="18"/>
        <v>#DIV/0!</v>
      </c>
      <c r="BM15" s="29" t="str">
        <f t="shared" si="3"/>
        <v>#DIV/0!</v>
      </c>
    </row>
    <row r="16">
      <c r="A16" s="16" t="str">
        <f>IFERROR(__xludf.DUMMYFUNCTION("IFERROR(SPARKLINE(SORT(MAP(TRANSPOSE(AQ16:BL16), LAMBDA(val, IF(ISNUMBER(val), PERCENTRANK(AQ16:BL16, val)+0.01, 0))), SEQUENCE(COLUMNS(AQ16:BL16)), FALSE), {""charttype"",""column""; ""color"",""chartreuse""; ""ymin"", 0; ""ymax"", 1.01; ""highcolor"", "&amp;"""darkgreen""; ""lowcolor"", ""red""}), """")"),"")</f>
        <v/>
      </c>
      <c r="B16" s="17" t="str">
        <f t="shared" si="4"/>
        <v/>
      </c>
      <c r="C16" s="1" t="s">
        <v>2716</v>
      </c>
      <c r="D16" s="30" t="str">
        <f>IFERROR(__xludf.DUMMYFUNCTION("IFERROR(GOOGLEFINANCE(C16, ""NAME""))"),"KE Holdings Inc - ADR")</f>
        <v>KE Holdings Inc - ADR</v>
      </c>
      <c r="E16" s="30" t="s">
        <v>2692</v>
      </c>
      <c r="F16" s="33" t="str">
        <f>IFERROR(__xludf.DUMMYFUNCTION("( (GOOGLEFINANCE(C16, ""price"") - Q16) / Q16 ) / (R16 / 100)"),"Loading...")</f>
        <v>Loading...</v>
      </c>
      <c r="G16" s="20" t="str">
        <f>IFERROR(__xludf.DUMMYFUNCTION("AVERAGE(ARRAYFORMULA(100 * (QUERY(GOOGLEFINANCE(C16, ""high"", TODAY()-40, TODAY()), ""SELECT Col2 WHERE Col2 IS NOT NULL ORDER BY Col1 DESC LIMIT 20"", 0) / QUERY(GOOGLEFINANCE(C16, ""low"", TODAY()-40, TODAY()), ""SELECT Col2 WHERE Col2 IS NOT NULL ORDE"&amp;"R BY Col1 DESC LIMIT 20"", 0) - 1)))"),"#N/A")</f>
        <v>#N/A</v>
      </c>
      <c r="H16" s="35" t="str">
        <f t="shared" si="6"/>
        <v>Liquid</v>
      </c>
      <c r="I16" s="35" t="str">
        <f t="shared" si="7"/>
        <v>RVol Required</v>
      </c>
      <c r="J16" s="37">
        <f>IFERROR(__xludf.DUMMYFUNCTION("IFERROR(
  IF(C16="""",, 
    IFERROR(
      GOOGLEFINANCE(C16, ""price"") * GOOGLEFINANCE(C16, ""volumeavg""), 
      GOOGLEFINANCE(C16, ""price"") * AVERAGE(QUERY(GOOGLEFINANCE(C16, ""volume"", TODAY()-40, TODAY()), ""SELECT Col2 WHERE Col2 IS NOT NULL "&amp;"ORDER BY Col1 DESC LIMIT 20"", 0))
    )
  ), 
"""")"),9.41947539E7)</f>
        <v>94194753.9</v>
      </c>
      <c r="K16" s="21">
        <f>IFERROR(__xludf.DUMMYFUNCTION("IFERROR(GOOGLEFINANCE(C16, ""changepct"") / 100, """")"),0.013500000000000002)</f>
        <v>0.0135</v>
      </c>
      <c r="L16" s="21" t="str">
        <f>IFERROR(__xludf.DUMMYFUNCTION("IFERROR((GOOGLEFINANCE(C16, ""price"") / INDEX(GOOGLEFINANCE(C16, ""price"", TODAY()-7, TODAY()), 2, 2)) - 1, """")"),"")</f>
        <v/>
      </c>
      <c r="M16" s="21" t="str">
        <f>IFERROR(__xludf.DUMMYFUNCTION("IFERROR((GOOGLEFINANCE(C16, ""price"") / INDEX(GOOGLEFINANCE(C16, ""price"", EDATE(TODAY(), -1), TODAY()), 2, 2)) - 1, """")"),"")</f>
        <v/>
      </c>
      <c r="N16" s="21" t="str">
        <f>IFERROR(__xludf.DUMMYFUNCTION("IFERROR((GOOGLEFINANCE(C16, ""price"") / INDEX(GOOGLEFINANCE(C16, ""price"", EDATE(TODAY(), -3), TODAY()), 2, 2)) - 1, """")"),"")</f>
        <v/>
      </c>
      <c r="O16" s="21" t="str">
        <f>IFERROR(__xludf.DUMMYFUNCTION("IFERROR((GOOGLEFINANCE(C16, ""price"") / INDEX(GOOGLEFINANCE(C16, ""price"", EDATE(TODAY(), -6), TODAY()), 2, 2)) - 1, """")"),"")</f>
        <v/>
      </c>
      <c r="P16" s="21" t="str">
        <f>IFERROR(__xludf.DUMMYFUNCTION("IFERROR((GOOGLEFINANCE(C16, ""price"") / INDEX(GOOGLEFINANCE(C16, ""price"", EDATE(TODAY(), -12), TODAY()), 2, 2)) - 1, """")"),"")</f>
        <v/>
      </c>
      <c r="Q16" s="6" t="str">
        <f>IFERROR(__xludf.DUMMYFUNCTION("AVERAGE(QUERY(GOOGLEFINANCE(C16, ""price"", TODAY()-80, TODAY()), ""SELECT Col2 WHERE Col2 IS NOT NULL ORDER BY Col1 DESC LIMIT 50"", 0))"),"#N/A")</f>
        <v>#N/A</v>
      </c>
      <c r="R16" s="24" t="str">
        <f>IFERROR(__xludf.DUMMYFUNCTION("IFERROR(
  LET(
    data, QUERY(GOOGLEFINANCE(C16,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GOOGLEFINANCE(C16, ""price"")) * 100,
    IF(calc=0, G16, calc)
  ), 
G16)"),"#N/A")</f>
        <v>#N/A</v>
      </c>
      <c r="S16" s="8" t="s">
        <v>15</v>
      </c>
      <c r="T16" s="26" t="str">
        <f>IFERROR(__xludf.DUMMYFUNCTION("IFERROR(TRANSPOSE(QUERY(IFERROR(SORT(GOOGLEFINANCE(C16, ""price"", WORKDAY(TODAY(), -40), TODAY()), 1, FALSE)), ""select Col2 where Col2 is not null limit 22 label Col2 ''"", 0)), """")"),"")</f>
        <v/>
      </c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8"/>
      <c r="AO16" s="28"/>
      <c r="AP16" s="29"/>
      <c r="AQ16" s="29" t="str">
        <f t="shared" ref="AQ16:BL16" si="19">T16/T$2</f>
        <v>#N/A</v>
      </c>
      <c r="AR16" s="29" t="str">
        <f t="shared" si="19"/>
        <v>#DIV/0!</v>
      </c>
      <c r="AS16" s="29" t="str">
        <f t="shared" si="19"/>
        <v>#DIV/0!</v>
      </c>
      <c r="AT16" s="29" t="str">
        <f t="shared" si="19"/>
        <v>#DIV/0!</v>
      </c>
      <c r="AU16" s="29" t="str">
        <f t="shared" si="19"/>
        <v>#DIV/0!</v>
      </c>
      <c r="AV16" s="29" t="str">
        <f t="shared" si="19"/>
        <v>#DIV/0!</v>
      </c>
      <c r="AW16" s="29" t="str">
        <f t="shared" si="19"/>
        <v>#DIV/0!</v>
      </c>
      <c r="AX16" s="29" t="str">
        <f t="shared" si="19"/>
        <v>#DIV/0!</v>
      </c>
      <c r="AY16" s="29" t="str">
        <f t="shared" si="19"/>
        <v>#DIV/0!</v>
      </c>
      <c r="AZ16" s="29" t="str">
        <f t="shared" si="19"/>
        <v>#DIV/0!</v>
      </c>
      <c r="BA16" s="29" t="str">
        <f t="shared" si="19"/>
        <v>#DIV/0!</v>
      </c>
      <c r="BB16" s="29" t="str">
        <f t="shared" si="19"/>
        <v>#DIV/0!</v>
      </c>
      <c r="BC16" s="29" t="str">
        <f t="shared" si="19"/>
        <v>#DIV/0!</v>
      </c>
      <c r="BD16" s="29" t="str">
        <f t="shared" si="19"/>
        <v>#DIV/0!</v>
      </c>
      <c r="BE16" s="29" t="str">
        <f t="shared" si="19"/>
        <v>#DIV/0!</v>
      </c>
      <c r="BF16" s="29" t="str">
        <f t="shared" si="19"/>
        <v>#DIV/0!</v>
      </c>
      <c r="BG16" s="29" t="str">
        <f t="shared" si="19"/>
        <v>#DIV/0!</v>
      </c>
      <c r="BH16" s="29" t="str">
        <f t="shared" si="19"/>
        <v>#DIV/0!</v>
      </c>
      <c r="BI16" s="29" t="str">
        <f t="shared" si="19"/>
        <v>#DIV/0!</v>
      </c>
      <c r="BJ16" s="29" t="str">
        <f t="shared" si="19"/>
        <v>#DIV/0!</v>
      </c>
      <c r="BK16" s="29" t="str">
        <f t="shared" si="19"/>
        <v>#DIV/0!</v>
      </c>
      <c r="BL16" s="29" t="str">
        <f t="shared" si="19"/>
        <v>#DIV/0!</v>
      </c>
      <c r="BM16" s="29" t="str">
        <f t="shared" si="3"/>
        <v>#DIV/0!</v>
      </c>
    </row>
    <row r="17">
      <c r="A17" s="16" t="str">
        <f>IFERROR(__xludf.DUMMYFUNCTION("IFERROR(SPARKLINE(SORT(MAP(TRANSPOSE(AQ17:BL17), LAMBDA(val, IF(ISNUMBER(val), PERCENTRANK(AQ17:BL17, val)+0.01, 0))), SEQUENCE(COLUMNS(AQ17:BL17)), FALSE), {""charttype"",""column""; ""color"",""chartreuse""; ""ymin"", 0; ""ymax"", 1.01; ""highcolor"", "&amp;"""darkgreen""; ""lowcolor"", ""red""}), """")"),"")</f>
        <v/>
      </c>
      <c r="B17" s="17" t="str">
        <f t="shared" si="4"/>
        <v/>
      </c>
      <c r="C17" s="1" t="s">
        <v>2720</v>
      </c>
      <c r="D17" s="30" t="str">
        <f>IFERROR(__xludf.DUMMYFUNCTION("IFERROR(GOOGLEFINANCE(C17, ""NAME""))"),"Douglas Emmett Inc")</f>
        <v>Douglas Emmett Inc</v>
      </c>
      <c r="E17" s="30" t="s">
        <v>2662</v>
      </c>
      <c r="F17" s="33" t="str">
        <f>IFERROR(__xludf.DUMMYFUNCTION("( (GOOGLEFINANCE(C17, ""price"") - Q17) / Q17 ) / (R17 / 100)"),"Loading...")</f>
        <v>Loading...</v>
      </c>
      <c r="G17" s="20" t="str">
        <f>IFERROR(__xludf.DUMMYFUNCTION("AVERAGE(ARRAYFORMULA(100 * (QUERY(GOOGLEFINANCE(C17, ""high"", TODAY()-40, TODAY()), ""SELECT Col2 WHERE Col2 IS NOT NULL ORDER BY Col1 DESC LIMIT 20"", 0) / QUERY(GOOGLEFINANCE(C17, ""low"", TODAY()-40, TODAY()), ""SELECT Col2 WHERE Col2 IS NOT NULL ORDE"&amp;"R BY Col1 DESC LIMIT 20"", 0) - 1)))"),"#N/A")</f>
        <v>#N/A</v>
      </c>
      <c r="H17" s="35" t="str">
        <f t="shared" si="6"/>
        <v>Illiquid</v>
      </c>
      <c r="I17" s="35" t="str">
        <f t="shared" si="7"/>
        <v>RVol Required</v>
      </c>
      <c r="J17" s="37">
        <f>IFERROR(__xludf.DUMMYFUNCTION("IFERROR(
  IF(C17="""",, 
    IFERROR(
      GOOGLEFINANCE(C17, ""price"") * GOOGLEFINANCE(C17, ""volumeavg""), 
      GOOGLEFINANCE(C17, ""price"") * AVERAGE(QUERY(GOOGLEFINANCE(C17, ""volume"", TODAY()-40, TODAY()), ""SELECT Col2 WHERE Col2 IS NOT NULL "&amp;"ORDER BY Col1 DESC LIMIT 20"", 0))
    )
  ), 
"""")"),2.162101568E7)</f>
        <v>21621015.68</v>
      </c>
      <c r="K17" s="21">
        <f>IFERROR(__xludf.DUMMYFUNCTION("IFERROR(GOOGLEFINANCE(C17, ""changepct"") / 100, """")"),0.0167)</f>
        <v>0.0167</v>
      </c>
      <c r="L17" s="21" t="str">
        <f>IFERROR(__xludf.DUMMYFUNCTION("IFERROR((GOOGLEFINANCE(C17, ""price"") / INDEX(GOOGLEFINANCE(C17, ""price"", TODAY()-7, TODAY()), 2, 2)) - 1, """")"),"")</f>
        <v/>
      </c>
      <c r="M17" s="21" t="str">
        <f>IFERROR(__xludf.DUMMYFUNCTION("IFERROR((GOOGLEFINANCE(C17, ""price"") / INDEX(GOOGLEFINANCE(C17, ""price"", EDATE(TODAY(), -1), TODAY()), 2, 2)) - 1, """")"),"")</f>
        <v/>
      </c>
      <c r="N17" s="21" t="str">
        <f>IFERROR(__xludf.DUMMYFUNCTION("IFERROR((GOOGLEFINANCE(C17, ""price"") / INDEX(GOOGLEFINANCE(C17, ""price"", EDATE(TODAY(), -3), TODAY()), 2, 2)) - 1, """")"),"")</f>
        <v/>
      </c>
      <c r="O17" s="21" t="str">
        <f>IFERROR(__xludf.DUMMYFUNCTION("IFERROR((GOOGLEFINANCE(C17, ""price"") / INDEX(GOOGLEFINANCE(C17, ""price"", EDATE(TODAY(), -6), TODAY()), 2, 2)) - 1, """")"),"")</f>
        <v/>
      </c>
      <c r="P17" s="21" t="str">
        <f>IFERROR(__xludf.DUMMYFUNCTION("IFERROR((GOOGLEFINANCE(C17, ""price"") / INDEX(GOOGLEFINANCE(C17, ""price"", EDATE(TODAY(), -12), TODAY()), 2, 2)) - 1, """")"),"")</f>
        <v/>
      </c>
      <c r="Q17" s="6" t="str">
        <f>IFERROR(__xludf.DUMMYFUNCTION("AVERAGE(QUERY(GOOGLEFINANCE(C17, ""price"", TODAY()-80, TODAY()), ""SELECT Col2 WHERE Col2 IS NOT NULL ORDER BY Col1 DESC LIMIT 50"", 0))"),"#N/A")</f>
        <v>#N/A</v>
      </c>
      <c r="R17" s="24" t="str">
        <f>IFERROR(__xludf.DUMMYFUNCTION("IFERROR(
  LET(
    data, QUERY(GOOGLEFINANCE(C17,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GOOGLEFINANCE(C17, ""price"")) * 100,
    IF(calc=0, G17, calc)
  ), 
G17)"),"#N/A")</f>
        <v>#N/A</v>
      </c>
      <c r="S17" s="8" t="s">
        <v>15</v>
      </c>
      <c r="T17" s="26" t="str">
        <f>IFERROR(__xludf.DUMMYFUNCTION("IFERROR(TRANSPOSE(QUERY(IFERROR(SORT(GOOGLEFINANCE(C17, ""price"", WORKDAY(TODAY(), -40), TODAY()), 1, FALSE)), ""select Col2 where Col2 is not null limit 22 label Col2 ''"", 0)), """")"),"")</f>
        <v/>
      </c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8"/>
      <c r="AO17" s="28"/>
      <c r="AP17" s="29"/>
      <c r="AQ17" s="29" t="str">
        <f t="shared" ref="AQ17:BL17" si="20">T17/T$2</f>
        <v>#N/A</v>
      </c>
      <c r="AR17" s="29" t="str">
        <f t="shared" si="20"/>
        <v>#DIV/0!</v>
      </c>
      <c r="AS17" s="29" t="str">
        <f t="shared" si="20"/>
        <v>#DIV/0!</v>
      </c>
      <c r="AT17" s="29" t="str">
        <f t="shared" si="20"/>
        <v>#DIV/0!</v>
      </c>
      <c r="AU17" s="29" t="str">
        <f t="shared" si="20"/>
        <v>#DIV/0!</v>
      </c>
      <c r="AV17" s="29" t="str">
        <f t="shared" si="20"/>
        <v>#DIV/0!</v>
      </c>
      <c r="AW17" s="29" t="str">
        <f t="shared" si="20"/>
        <v>#DIV/0!</v>
      </c>
      <c r="AX17" s="29" t="str">
        <f t="shared" si="20"/>
        <v>#DIV/0!</v>
      </c>
      <c r="AY17" s="29" t="str">
        <f t="shared" si="20"/>
        <v>#DIV/0!</v>
      </c>
      <c r="AZ17" s="29" t="str">
        <f t="shared" si="20"/>
        <v>#DIV/0!</v>
      </c>
      <c r="BA17" s="29" t="str">
        <f t="shared" si="20"/>
        <v>#DIV/0!</v>
      </c>
      <c r="BB17" s="29" t="str">
        <f t="shared" si="20"/>
        <v>#DIV/0!</v>
      </c>
      <c r="BC17" s="29" t="str">
        <f t="shared" si="20"/>
        <v>#DIV/0!</v>
      </c>
      <c r="BD17" s="29" t="str">
        <f t="shared" si="20"/>
        <v>#DIV/0!</v>
      </c>
      <c r="BE17" s="29" t="str">
        <f t="shared" si="20"/>
        <v>#DIV/0!</v>
      </c>
      <c r="BF17" s="29" t="str">
        <f t="shared" si="20"/>
        <v>#DIV/0!</v>
      </c>
      <c r="BG17" s="29" t="str">
        <f t="shared" si="20"/>
        <v>#DIV/0!</v>
      </c>
      <c r="BH17" s="29" t="str">
        <f t="shared" si="20"/>
        <v>#DIV/0!</v>
      </c>
      <c r="BI17" s="29" t="str">
        <f t="shared" si="20"/>
        <v>#DIV/0!</v>
      </c>
      <c r="BJ17" s="29" t="str">
        <f t="shared" si="20"/>
        <v>#DIV/0!</v>
      </c>
      <c r="BK17" s="29" t="str">
        <f t="shared" si="20"/>
        <v>#DIV/0!</v>
      </c>
      <c r="BL17" s="29" t="str">
        <f t="shared" si="20"/>
        <v>#DIV/0!</v>
      </c>
      <c r="BM17" s="29" t="str">
        <f t="shared" si="3"/>
        <v>#DIV/0!</v>
      </c>
    </row>
    <row r="18">
      <c r="A18" s="16" t="str">
        <f>IFERROR(__xludf.DUMMYFUNCTION("IFERROR(SPARKLINE(SORT(MAP(TRANSPOSE(AQ18:BL18), LAMBDA(val, IF(ISNUMBER(val), PERCENTRANK(AQ18:BL18, val)+0.01, 0))), SEQUENCE(COLUMNS(AQ18:BL18)), FALSE), {""charttype"",""column""; ""color"",""chartreuse""; ""ymin"", 0; ""ymax"", 1.01; ""highcolor"", "&amp;"""darkgreen""; ""lowcolor"", ""red""}), """")"),"")</f>
        <v/>
      </c>
      <c r="B18" s="17" t="str">
        <f t="shared" si="4"/>
        <v/>
      </c>
      <c r="C18" s="1" t="s">
        <v>2724</v>
      </c>
      <c r="D18" s="30" t="str">
        <f>IFERROR(__xludf.DUMMYFUNCTION("IFERROR(GOOGLEFINANCE(C18, ""NAME""))"),"Vornado Realty Trust")</f>
        <v>Vornado Realty Trust</v>
      </c>
      <c r="E18" s="30" t="s">
        <v>2662</v>
      </c>
      <c r="F18" s="33" t="str">
        <f>IFERROR(__xludf.DUMMYFUNCTION("( (GOOGLEFINANCE(C18, ""price"") - Q18) / Q18 ) / (R18 / 100)"),"Loading...")</f>
        <v>Loading...</v>
      </c>
      <c r="G18" s="20" t="str">
        <f>IFERROR(__xludf.DUMMYFUNCTION("AVERAGE(ARRAYFORMULA(100 * (QUERY(GOOGLEFINANCE(C18, ""high"", TODAY()-40, TODAY()), ""SELECT Col2 WHERE Col2 IS NOT NULL ORDER BY Col1 DESC LIMIT 20"", 0) / QUERY(GOOGLEFINANCE(C18, ""low"", TODAY()-40, TODAY()), ""SELECT Col2 WHERE Col2 IS NOT NULL ORDE"&amp;"R BY Col1 DESC LIMIT 20"", 0) - 1)))"),"#N/A")</f>
        <v>#N/A</v>
      </c>
      <c r="H18" s="35" t="str">
        <f t="shared" si="6"/>
        <v>Illiquid</v>
      </c>
      <c r="I18" s="35" t="str">
        <f t="shared" si="7"/>
        <v>RVol Required</v>
      </c>
      <c r="J18" s="37">
        <f>IFERROR(__xludf.DUMMYFUNCTION("IFERROR(
  IF(C18="""",, 
    IFERROR(
      GOOGLEFINANCE(C18, ""price"") * GOOGLEFINANCE(C18, ""volumeavg""), 
      GOOGLEFINANCE(C18, ""price"") * AVERAGE(QUERY(GOOGLEFINANCE(C18, ""volume"", TODAY()-40, TODAY()), ""SELECT Col2 WHERE Col2 IS NOT NULL "&amp;"ORDER BY Col1 DESC LIMIT 20"", 0))
    )
  ), 
"""")"),4.575511538E7)</f>
        <v>45755115.38</v>
      </c>
      <c r="K18" s="21">
        <f>IFERROR(__xludf.DUMMYFUNCTION("IFERROR(GOOGLEFINANCE(C18, ""changepct"") / 100, """")"),-0.009000000000000001)</f>
        <v>-0.009</v>
      </c>
      <c r="L18" s="21" t="str">
        <f>IFERROR(__xludf.DUMMYFUNCTION("IFERROR((GOOGLEFINANCE(C18, ""price"") / INDEX(GOOGLEFINANCE(C18, ""price"", TODAY()-7, TODAY()), 2, 2)) - 1, """")"),"")</f>
        <v/>
      </c>
      <c r="M18" s="21" t="str">
        <f>IFERROR(__xludf.DUMMYFUNCTION("IFERROR((GOOGLEFINANCE(C18, ""price"") / INDEX(GOOGLEFINANCE(C18, ""price"", EDATE(TODAY(), -1), TODAY()), 2, 2)) - 1, """")"),"")</f>
        <v/>
      </c>
      <c r="N18" s="21" t="str">
        <f>IFERROR(__xludf.DUMMYFUNCTION("IFERROR((GOOGLEFINANCE(C18, ""price"") / INDEX(GOOGLEFINANCE(C18, ""price"", EDATE(TODAY(), -3), TODAY()), 2, 2)) - 1, """")"),"")</f>
        <v/>
      </c>
      <c r="O18" s="21" t="str">
        <f>IFERROR(__xludf.DUMMYFUNCTION("IFERROR((GOOGLEFINANCE(C18, ""price"") / INDEX(GOOGLEFINANCE(C18, ""price"", EDATE(TODAY(), -6), TODAY()), 2, 2)) - 1, """")"),"")</f>
        <v/>
      </c>
      <c r="P18" s="21" t="str">
        <f>IFERROR(__xludf.DUMMYFUNCTION("IFERROR((GOOGLEFINANCE(C18, ""price"") / INDEX(GOOGLEFINANCE(C18, ""price"", EDATE(TODAY(), -12), TODAY()), 2, 2)) - 1, """")"),"")</f>
        <v/>
      </c>
      <c r="Q18" s="6" t="str">
        <f>IFERROR(__xludf.DUMMYFUNCTION("AVERAGE(QUERY(GOOGLEFINANCE(C18, ""price"", TODAY()-80, TODAY()), ""SELECT Col2 WHERE Col2 IS NOT NULL ORDER BY Col1 DESC LIMIT 50"", 0))"),"#N/A")</f>
        <v>#N/A</v>
      </c>
      <c r="R18" s="24" t="str">
        <f>IFERROR(__xludf.DUMMYFUNCTION("IFERROR(
  LET(
    data, QUERY(GOOGLEFINANCE(C18,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GOOGLEFINANCE(C18, ""price"")) * 100,
    IF(calc=0, G18, calc)
  ), 
G18)"),"#N/A")</f>
        <v>#N/A</v>
      </c>
      <c r="S18" s="8" t="s">
        <v>15</v>
      </c>
      <c r="T18" s="26" t="str">
        <f>IFERROR(__xludf.DUMMYFUNCTION("IFERROR(TRANSPOSE(QUERY(IFERROR(SORT(GOOGLEFINANCE(C18, ""price"", WORKDAY(TODAY(), -40), TODAY()), 1, FALSE)), ""select Col2 where Col2 is not null limit 22 label Col2 ''"", 0)), """")"),"")</f>
        <v/>
      </c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8"/>
      <c r="AO18" s="28"/>
      <c r="AP18" s="29"/>
      <c r="AQ18" s="29" t="str">
        <f t="shared" ref="AQ18:BL18" si="21">T18/T$2</f>
        <v>#N/A</v>
      </c>
      <c r="AR18" s="29" t="str">
        <f t="shared" si="21"/>
        <v>#DIV/0!</v>
      </c>
      <c r="AS18" s="29" t="str">
        <f t="shared" si="21"/>
        <v>#DIV/0!</v>
      </c>
      <c r="AT18" s="29" t="str">
        <f t="shared" si="21"/>
        <v>#DIV/0!</v>
      </c>
      <c r="AU18" s="29" t="str">
        <f t="shared" si="21"/>
        <v>#DIV/0!</v>
      </c>
      <c r="AV18" s="29" t="str">
        <f t="shared" si="21"/>
        <v>#DIV/0!</v>
      </c>
      <c r="AW18" s="29" t="str">
        <f t="shared" si="21"/>
        <v>#DIV/0!</v>
      </c>
      <c r="AX18" s="29" t="str">
        <f t="shared" si="21"/>
        <v>#DIV/0!</v>
      </c>
      <c r="AY18" s="29" t="str">
        <f t="shared" si="21"/>
        <v>#DIV/0!</v>
      </c>
      <c r="AZ18" s="29" t="str">
        <f t="shared" si="21"/>
        <v>#DIV/0!</v>
      </c>
      <c r="BA18" s="29" t="str">
        <f t="shared" si="21"/>
        <v>#DIV/0!</v>
      </c>
      <c r="BB18" s="29" t="str">
        <f t="shared" si="21"/>
        <v>#DIV/0!</v>
      </c>
      <c r="BC18" s="29" t="str">
        <f t="shared" si="21"/>
        <v>#DIV/0!</v>
      </c>
      <c r="BD18" s="29" t="str">
        <f t="shared" si="21"/>
        <v>#DIV/0!</v>
      </c>
      <c r="BE18" s="29" t="str">
        <f t="shared" si="21"/>
        <v>#DIV/0!</v>
      </c>
      <c r="BF18" s="29" t="str">
        <f t="shared" si="21"/>
        <v>#DIV/0!</v>
      </c>
      <c r="BG18" s="29" t="str">
        <f t="shared" si="21"/>
        <v>#DIV/0!</v>
      </c>
      <c r="BH18" s="29" t="str">
        <f t="shared" si="21"/>
        <v>#DIV/0!</v>
      </c>
      <c r="BI18" s="29" t="str">
        <f t="shared" si="21"/>
        <v>#DIV/0!</v>
      </c>
      <c r="BJ18" s="29" t="str">
        <f t="shared" si="21"/>
        <v>#DIV/0!</v>
      </c>
      <c r="BK18" s="29" t="str">
        <f t="shared" si="21"/>
        <v>#DIV/0!</v>
      </c>
      <c r="BL18" s="29" t="str">
        <f t="shared" si="21"/>
        <v>#DIV/0!</v>
      </c>
      <c r="BM18" s="29" t="str">
        <f t="shared" si="3"/>
        <v>#DIV/0!</v>
      </c>
    </row>
    <row r="19">
      <c r="A19" s="16" t="str">
        <f>IFERROR(__xludf.DUMMYFUNCTION("IFERROR(SPARKLINE(SORT(MAP(TRANSPOSE(AQ19:BL19), LAMBDA(val, IF(ISNUMBER(val), PERCENTRANK(AQ19:BL19, val)+0.01, 0))), SEQUENCE(COLUMNS(AQ19:BL19)), FALSE), {""charttype"",""column""; ""color"",""chartreuse""; ""ymin"", 0; ""ymax"", 1.01; ""highcolor"", "&amp;"""darkgreen""; ""lowcolor"", ""red""}), """")"),"")</f>
        <v/>
      </c>
      <c r="B19" s="17" t="str">
        <f t="shared" si="4"/>
        <v/>
      </c>
      <c r="C19" s="1" t="s">
        <v>2728</v>
      </c>
      <c r="D19" s="30" t="str">
        <f>IFERROR(__xludf.DUMMYFUNCTION("IFERROR(GOOGLEFINANCE(C19, ""NAME""))"),"Highwoods Properties Inc")</f>
        <v>Highwoods Properties Inc</v>
      </c>
      <c r="E19" s="30" t="s">
        <v>2662</v>
      </c>
      <c r="F19" s="33" t="str">
        <f>IFERROR(__xludf.DUMMYFUNCTION("( (GOOGLEFINANCE(C19, ""price"") - Q19) / Q19 ) / (R19 / 100)"),"Loading...")</f>
        <v>Loading...</v>
      </c>
      <c r="G19" s="20" t="str">
        <f>IFERROR(__xludf.DUMMYFUNCTION("AVERAGE(ARRAYFORMULA(100 * (QUERY(GOOGLEFINANCE(C19, ""high"", TODAY()-40, TODAY()), ""SELECT Col2 WHERE Col2 IS NOT NULL ORDER BY Col1 DESC LIMIT 20"", 0) / QUERY(GOOGLEFINANCE(C19, ""low"", TODAY()-40, TODAY()), ""SELECT Col2 WHERE Col2 IS NOT NULL ORDE"&amp;"R BY Col1 DESC LIMIT 20"", 0) - 1)))"),"#N/A")</f>
        <v>#N/A</v>
      </c>
      <c r="H19" s="35" t="str">
        <f t="shared" si="6"/>
        <v>Illiquid</v>
      </c>
      <c r="I19" s="35" t="str">
        <f t="shared" si="7"/>
        <v>RVol Required</v>
      </c>
      <c r="J19" s="37">
        <f>IFERROR(__xludf.DUMMYFUNCTION("IFERROR(
  IF(C19="""",, 
    IFERROR(
      GOOGLEFINANCE(C19, ""price"") * GOOGLEFINANCE(C19, ""volumeavg""), 
      GOOGLEFINANCE(C19, ""price"") * AVERAGE(QUERY(GOOGLEFINANCE(C19, ""volume"", TODAY()-40, TODAY()), ""SELECT Col2 WHERE Col2 IS NOT NULL "&amp;"ORDER BY Col1 DESC LIMIT 20"", 0))
    )
  ), 
"""")"),3.585482964E7)</f>
        <v>35854829.64</v>
      </c>
      <c r="K19" s="21">
        <f>IFERROR(__xludf.DUMMYFUNCTION("IFERROR(GOOGLEFINANCE(C19, ""changepct"") / 100, """")"),0.0045000000000000005)</f>
        <v>0.0045</v>
      </c>
      <c r="L19" s="21" t="str">
        <f>IFERROR(__xludf.DUMMYFUNCTION("IFERROR((GOOGLEFINANCE(C19, ""price"") / INDEX(GOOGLEFINANCE(C19, ""price"", TODAY()-7, TODAY()), 2, 2)) - 1, """")"),"")</f>
        <v/>
      </c>
      <c r="M19" s="21" t="str">
        <f>IFERROR(__xludf.DUMMYFUNCTION("IFERROR((GOOGLEFINANCE(C19, ""price"") / INDEX(GOOGLEFINANCE(C19, ""price"", EDATE(TODAY(), -1), TODAY()), 2, 2)) - 1, """")"),"")</f>
        <v/>
      </c>
      <c r="N19" s="21" t="str">
        <f>IFERROR(__xludf.DUMMYFUNCTION("IFERROR((GOOGLEFINANCE(C19, ""price"") / INDEX(GOOGLEFINANCE(C19, ""price"", EDATE(TODAY(), -3), TODAY()), 2, 2)) - 1, """")"),"")</f>
        <v/>
      </c>
      <c r="O19" s="21" t="str">
        <f>IFERROR(__xludf.DUMMYFUNCTION("IFERROR((GOOGLEFINANCE(C19, ""price"") / INDEX(GOOGLEFINANCE(C19, ""price"", EDATE(TODAY(), -6), TODAY()), 2, 2)) - 1, """")"),"")</f>
        <v/>
      </c>
      <c r="P19" s="21" t="str">
        <f>IFERROR(__xludf.DUMMYFUNCTION("IFERROR((GOOGLEFINANCE(C19, ""price"") / INDEX(GOOGLEFINANCE(C19, ""price"", EDATE(TODAY(), -12), TODAY()), 2, 2)) - 1, """")"),"")</f>
        <v/>
      </c>
      <c r="Q19" s="6" t="str">
        <f>IFERROR(__xludf.DUMMYFUNCTION("AVERAGE(QUERY(GOOGLEFINANCE(C19, ""price"", TODAY()-80, TODAY()), ""SELECT Col2 WHERE Col2 IS NOT NULL ORDER BY Col1 DESC LIMIT 50"", 0))"),"#N/A")</f>
        <v>#N/A</v>
      </c>
      <c r="R19" s="24" t="str">
        <f>IFERROR(__xludf.DUMMYFUNCTION("IFERROR(
  LET(
    data, QUERY(GOOGLEFINANCE(C19,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GOOGLEFINANCE(C19, ""price"")) * 100,
    IF(calc=0, G19, calc)
  ), 
G19)"),"#N/A")</f>
        <v>#N/A</v>
      </c>
      <c r="S19" s="8" t="s">
        <v>15</v>
      </c>
      <c r="T19" s="26" t="str">
        <f>IFERROR(__xludf.DUMMYFUNCTION("IFERROR(TRANSPOSE(QUERY(IFERROR(SORT(GOOGLEFINANCE(C19, ""price"", WORKDAY(TODAY(), -40), TODAY()), 1, FALSE)), ""select Col2 where Col2 is not null limit 22 label Col2 ''"", 0)), """")"),"")</f>
        <v/>
      </c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8"/>
      <c r="AO19" s="28"/>
      <c r="AP19" s="29"/>
      <c r="AQ19" s="29" t="str">
        <f t="shared" ref="AQ19:BL19" si="22">T19/T$2</f>
        <v>#N/A</v>
      </c>
      <c r="AR19" s="29" t="str">
        <f t="shared" si="22"/>
        <v>#DIV/0!</v>
      </c>
      <c r="AS19" s="29" t="str">
        <f t="shared" si="22"/>
        <v>#DIV/0!</v>
      </c>
      <c r="AT19" s="29" t="str">
        <f t="shared" si="22"/>
        <v>#DIV/0!</v>
      </c>
      <c r="AU19" s="29" t="str">
        <f t="shared" si="22"/>
        <v>#DIV/0!</v>
      </c>
      <c r="AV19" s="29" t="str">
        <f t="shared" si="22"/>
        <v>#DIV/0!</v>
      </c>
      <c r="AW19" s="29" t="str">
        <f t="shared" si="22"/>
        <v>#DIV/0!</v>
      </c>
      <c r="AX19" s="29" t="str">
        <f t="shared" si="22"/>
        <v>#DIV/0!</v>
      </c>
      <c r="AY19" s="29" t="str">
        <f t="shared" si="22"/>
        <v>#DIV/0!</v>
      </c>
      <c r="AZ19" s="29" t="str">
        <f t="shared" si="22"/>
        <v>#DIV/0!</v>
      </c>
      <c r="BA19" s="29" t="str">
        <f t="shared" si="22"/>
        <v>#DIV/0!</v>
      </c>
      <c r="BB19" s="29" t="str">
        <f t="shared" si="22"/>
        <v>#DIV/0!</v>
      </c>
      <c r="BC19" s="29" t="str">
        <f t="shared" si="22"/>
        <v>#DIV/0!</v>
      </c>
      <c r="BD19" s="29" t="str">
        <f t="shared" si="22"/>
        <v>#DIV/0!</v>
      </c>
      <c r="BE19" s="29" t="str">
        <f t="shared" si="22"/>
        <v>#DIV/0!</v>
      </c>
      <c r="BF19" s="29" t="str">
        <f t="shared" si="22"/>
        <v>#DIV/0!</v>
      </c>
      <c r="BG19" s="29" t="str">
        <f t="shared" si="22"/>
        <v>#DIV/0!</v>
      </c>
      <c r="BH19" s="29" t="str">
        <f t="shared" si="22"/>
        <v>#DIV/0!</v>
      </c>
      <c r="BI19" s="29" t="str">
        <f t="shared" si="22"/>
        <v>#DIV/0!</v>
      </c>
      <c r="BJ19" s="29" t="str">
        <f t="shared" si="22"/>
        <v>#DIV/0!</v>
      </c>
      <c r="BK19" s="29" t="str">
        <f t="shared" si="22"/>
        <v>#DIV/0!</v>
      </c>
      <c r="BL19" s="29" t="str">
        <f t="shared" si="22"/>
        <v>#DIV/0!</v>
      </c>
      <c r="BM19" s="29" t="str">
        <f t="shared" si="3"/>
        <v>#DIV/0!</v>
      </c>
    </row>
    <row r="20">
      <c r="A20" s="16" t="str">
        <f>IFERROR(__xludf.DUMMYFUNCTION("IFERROR(SPARKLINE(SORT(MAP(TRANSPOSE(AQ20:BL20), LAMBDA(val, IF(ISNUMBER(val), PERCENTRANK(AQ20:BL20, val)+0.01, 0))), SEQUENCE(COLUMNS(AQ20:BL20)), FALSE), {""charttype"",""column""; ""color"",""chartreuse""; ""ymin"", 0; ""ymax"", 1.01; ""highcolor"", "&amp;"""darkgreen""; ""lowcolor"", ""red""}), """")"),"")</f>
        <v/>
      </c>
      <c r="B20" s="17" t="str">
        <f t="shared" si="4"/>
        <v/>
      </c>
      <c r="C20" s="1" t="s">
        <v>2732</v>
      </c>
      <c r="D20" s="30" t="str">
        <f>IFERROR(__xludf.DUMMYFUNCTION("IFERROR(GOOGLEFINANCE(C20, ""NAME""))"),"Kilroy Realty Corp")</f>
        <v>Kilroy Realty Corp</v>
      </c>
      <c r="E20" s="30" t="s">
        <v>2662</v>
      </c>
      <c r="F20" s="33" t="str">
        <f>IFERROR(__xludf.DUMMYFUNCTION("( (GOOGLEFINANCE(C20, ""price"") - Q20) / Q20 ) / (R20 / 100)"),"Loading...")</f>
        <v>Loading...</v>
      </c>
      <c r="G20" s="20" t="str">
        <f>IFERROR(__xludf.DUMMYFUNCTION("AVERAGE(ARRAYFORMULA(100 * (QUERY(GOOGLEFINANCE(C20, ""high"", TODAY()-40, TODAY()), ""SELECT Col2 WHERE Col2 IS NOT NULL ORDER BY Col1 DESC LIMIT 20"", 0) / QUERY(GOOGLEFINANCE(C20, ""low"", TODAY()-40, TODAY()), ""SELECT Col2 WHERE Col2 IS NOT NULL ORDE"&amp;"R BY Col1 DESC LIMIT 20"", 0) - 1)))"),"#N/A")</f>
        <v>#N/A</v>
      </c>
      <c r="H20" s="35" t="str">
        <f t="shared" si="6"/>
        <v>Liquid</v>
      </c>
      <c r="I20" s="35" t="str">
        <f t="shared" si="7"/>
        <v>RVol Required</v>
      </c>
      <c r="J20" s="37">
        <f>IFERROR(__xludf.DUMMYFUNCTION("IFERROR(
  IF(C20="""",, 
    IFERROR(
      GOOGLEFINANCE(C20, ""price"") * GOOGLEFINANCE(C20, ""volumeavg""), 
      GOOGLEFINANCE(C20, ""price"") * AVERAGE(QUERY(GOOGLEFINANCE(C20, ""volume"", TODAY()-40, TODAY()), ""SELECT Col2 WHERE Col2 IS NOT NULL "&amp;"ORDER BY Col1 DESC LIMIT 20"", 0))
    )
  ), 
"""")"),5.115931407E7)</f>
        <v>51159314.07</v>
      </c>
      <c r="K20" s="21">
        <f>IFERROR(__xludf.DUMMYFUNCTION("IFERROR(GOOGLEFINANCE(C20, ""changepct"") / 100, """")"),0.0058)</f>
        <v>0.0058</v>
      </c>
      <c r="L20" s="21" t="str">
        <f>IFERROR(__xludf.DUMMYFUNCTION("IFERROR((GOOGLEFINANCE(C20, ""price"") / INDEX(GOOGLEFINANCE(C20, ""price"", TODAY()-7, TODAY()), 2, 2)) - 1, """")"),"")</f>
        <v/>
      </c>
      <c r="M20" s="21" t="str">
        <f>IFERROR(__xludf.DUMMYFUNCTION("IFERROR((GOOGLEFINANCE(C20, ""price"") / INDEX(GOOGLEFINANCE(C20, ""price"", EDATE(TODAY(), -1), TODAY()), 2, 2)) - 1, """")"),"")</f>
        <v/>
      </c>
      <c r="N20" s="21" t="str">
        <f>IFERROR(__xludf.DUMMYFUNCTION("IFERROR((GOOGLEFINANCE(C20, ""price"") / INDEX(GOOGLEFINANCE(C20, ""price"", EDATE(TODAY(), -3), TODAY()), 2, 2)) - 1, """")"),"")</f>
        <v/>
      </c>
      <c r="O20" s="21" t="str">
        <f>IFERROR(__xludf.DUMMYFUNCTION("IFERROR((GOOGLEFINANCE(C20, ""price"") / INDEX(GOOGLEFINANCE(C20, ""price"", EDATE(TODAY(), -6), TODAY()), 2, 2)) - 1, """")"),"")</f>
        <v/>
      </c>
      <c r="P20" s="21" t="str">
        <f>IFERROR(__xludf.DUMMYFUNCTION("IFERROR((GOOGLEFINANCE(C20, ""price"") / INDEX(GOOGLEFINANCE(C20, ""price"", EDATE(TODAY(), -12), TODAY()), 2, 2)) - 1, """")"),"")</f>
        <v/>
      </c>
      <c r="Q20" s="6" t="str">
        <f>IFERROR(__xludf.DUMMYFUNCTION("AVERAGE(QUERY(GOOGLEFINANCE(C20, ""price"", TODAY()-80, TODAY()), ""SELECT Col2 WHERE Col2 IS NOT NULL ORDER BY Col1 DESC LIMIT 50"", 0))"),"#N/A")</f>
        <v>#N/A</v>
      </c>
      <c r="R20" s="24" t="str">
        <f>IFERROR(__xludf.DUMMYFUNCTION("IFERROR(
  LET(
    data, QUERY(GOOGLEFINANCE(C20,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GOOGLEFINANCE(C20, ""price"")) * 100,
    IF(calc=0, G20, calc)
  ), 
G20)"),"#N/A")</f>
        <v>#N/A</v>
      </c>
      <c r="S20" s="8" t="s">
        <v>15</v>
      </c>
      <c r="T20" s="26" t="str">
        <f>IFERROR(__xludf.DUMMYFUNCTION("IFERROR(TRANSPOSE(QUERY(IFERROR(SORT(GOOGLEFINANCE(C20, ""price"", WORKDAY(TODAY(), -40), TODAY()), 1, FALSE)), ""select Col2 where Col2 is not null limit 22 label Col2 ''"", 0)), """")"),"")</f>
        <v/>
      </c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8"/>
      <c r="AO20" s="28"/>
      <c r="AP20" s="29"/>
      <c r="AQ20" s="29" t="str">
        <f t="shared" ref="AQ20:BL20" si="23">T20/T$2</f>
        <v>#N/A</v>
      </c>
      <c r="AR20" s="29" t="str">
        <f t="shared" si="23"/>
        <v>#DIV/0!</v>
      </c>
      <c r="AS20" s="29" t="str">
        <f t="shared" si="23"/>
        <v>#DIV/0!</v>
      </c>
      <c r="AT20" s="29" t="str">
        <f t="shared" si="23"/>
        <v>#DIV/0!</v>
      </c>
      <c r="AU20" s="29" t="str">
        <f t="shared" si="23"/>
        <v>#DIV/0!</v>
      </c>
      <c r="AV20" s="29" t="str">
        <f t="shared" si="23"/>
        <v>#DIV/0!</v>
      </c>
      <c r="AW20" s="29" t="str">
        <f t="shared" si="23"/>
        <v>#DIV/0!</v>
      </c>
      <c r="AX20" s="29" t="str">
        <f t="shared" si="23"/>
        <v>#DIV/0!</v>
      </c>
      <c r="AY20" s="29" t="str">
        <f t="shared" si="23"/>
        <v>#DIV/0!</v>
      </c>
      <c r="AZ20" s="29" t="str">
        <f t="shared" si="23"/>
        <v>#DIV/0!</v>
      </c>
      <c r="BA20" s="29" t="str">
        <f t="shared" si="23"/>
        <v>#DIV/0!</v>
      </c>
      <c r="BB20" s="29" t="str">
        <f t="shared" si="23"/>
        <v>#DIV/0!</v>
      </c>
      <c r="BC20" s="29" t="str">
        <f t="shared" si="23"/>
        <v>#DIV/0!</v>
      </c>
      <c r="BD20" s="29" t="str">
        <f t="shared" si="23"/>
        <v>#DIV/0!</v>
      </c>
      <c r="BE20" s="29" t="str">
        <f t="shared" si="23"/>
        <v>#DIV/0!</v>
      </c>
      <c r="BF20" s="29" t="str">
        <f t="shared" si="23"/>
        <v>#DIV/0!</v>
      </c>
      <c r="BG20" s="29" t="str">
        <f t="shared" si="23"/>
        <v>#DIV/0!</v>
      </c>
      <c r="BH20" s="29" t="str">
        <f t="shared" si="23"/>
        <v>#DIV/0!</v>
      </c>
      <c r="BI20" s="29" t="str">
        <f t="shared" si="23"/>
        <v>#DIV/0!</v>
      </c>
      <c r="BJ20" s="29" t="str">
        <f t="shared" si="23"/>
        <v>#DIV/0!</v>
      </c>
      <c r="BK20" s="29" t="str">
        <f t="shared" si="23"/>
        <v>#DIV/0!</v>
      </c>
      <c r="BL20" s="29" t="str">
        <f t="shared" si="23"/>
        <v>#DIV/0!</v>
      </c>
      <c r="BM20" s="29" t="str">
        <f t="shared" si="3"/>
        <v>#DIV/0!</v>
      </c>
    </row>
    <row r="21">
      <c r="A21" s="16" t="str">
        <f>IFERROR(__xludf.DUMMYFUNCTION("IFERROR(SPARKLINE(SORT(MAP(TRANSPOSE(AQ21:BL21), LAMBDA(val, IF(ISNUMBER(val), PERCENTRANK(AQ21:BL21, val)+0.01, 0))), SEQUENCE(COLUMNS(AQ21:BL21)), FALSE), {""charttype"",""column""; ""color"",""chartreuse""; ""ymin"", 0; ""ymax"", 1.01; ""highcolor"", "&amp;"""darkgreen""; ""lowcolor"", ""red""}), """")"),"")</f>
        <v/>
      </c>
      <c r="B21" s="17" t="str">
        <f t="shared" si="4"/>
        <v/>
      </c>
      <c r="C21" s="1" t="s">
        <v>2736</v>
      </c>
      <c r="D21" s="30" t="str">
        <f>IFERROR(__xludf.DUMMYFUNCTION("IFERROR(GOOGLEFINANCE(C21, ""NAME""))"),"Adamas Trust Inc")</f>
        <v>Adamas Trust Inc</v>
      </c>
      <c r="E21" s="30" t="s">
        <v>2682</v>
      </c>
      <c r="F21" s="33" t="str">
        <f>IFERROR(__xludf.DUMMYFUNCTION("( (GOOGLEFINANCE(C21, ""price"") - Q21) / Q21 ) / (R21 / 100)"),"Loading...")</f>
        <v>Loading...</v>
      </c>
      <c r="G21" s="20" t="str">
        <f>IFERROR(__xludf.DUMMYFUNCTION("AVERAGE(ARRAYFORMULA(100 * (QUERY(GOOGLEFINANCE(C21, ""high"", TODAY()-40, TODAY()), ""SELECT Col2 WHERE Col2 IS NOT NULL ORDER BY Col1 DESC LIMIT 20"", 0) / QUERY(GOOGLEFINANCE(C21, ""low"", TODAY()-40, TODAY()), ""SELECT Col2 WHERE Col2 IS NOT NULL ORDE"&amp;"R BY Col1 DESC LIMIT 20"", 0) - 1)))"),"#N/A")</f>
        <v>#N/A</v>
      </c>
      <c r="H21" s="35" t="str">
        <f t="shared" si="6"/>
        <v>Illiquid</v>
      </c>
      <c r="I21" s="35" t="str">
        <f t="shared" si="7"/>
        <v>RVol Required</v>
      </c>
      <c r="J21" s="37">
        <f>IFERROR(__xludf.DUMMYFUNCTION("IFERROR(
  IF(C21="""",, 
    IFERROR(
      GOOGLEFINANCE(C21, ""price"") * GOOGLEFINANCE(C21, ""volumeavg""), 
      GOOGLEFINANCE(C21, ""price"") * AVERAGE(QUERY(GOOGLEFINANCE(C21, ""volume"", TODAY()-40, TODAY()), ""SELECT Col2 WHERE Col2 IS NOT NULL "&amp;"ORDER BY Col1 DESC LIMIT 20"", 0))
    )
  ), 
"""")"),9218775.44)</f>
        <v>9218775.44</v>
      </c>
      <c r="K21" s="21">
        <f>IFERROR(__xludf.DUMMYFUNCTION("IFERROR(GOOGLEFINANCE(C21, ""changepct"") / 100, """")"),-0.019299999999999998)</f>
        <v>-0.0193</v>
      </c>
      <c r="L21" s="21" t="str">
        <f>IFERROR(__xludf.DUMMYFUNCTION("IFERROR((GOOGLEFINANCE(C21, ""price"") / INDEX(GOOGLEFINANCE(C21, ""price"", TODAY()-7, TODAY()), 2, 2)) - 1, """")"),"")</f>
        <v/>
      </c>
      <c r="M21" s="21" t="str">
        <f>IFERROR(__xludf.DUMMYFUNCTION("IFERROR((GOOGLEFINANCE(C21, ""price"") / INDEX(GOOGLEFINANCE(C21, ""price"", EDATE(TODAY(), -1), TODAY()), 2, 2)) - 1, """")"),"")</f>
        <v/>
      </c>
      <c r="N21" s="21" t="str">
        <f>IFERROR(__xludf.DUMMYFUNCTION("IFERROR((GOOGLEFINANCE(C21, ""price"") / INDEX(GOOGLEFINANCE(C21, ""price"", EDATE(TODAY(), -3), TODAY()), 2, 2)) - 1, """")"),"")</f>
        <v/>
      </c>
      <c r="O21" s="21" t="str">
        <f>IFERROR(__xludf.DUMMYFUNCTION("IFERROR((GOOGLEFINANCE(C21, ""price"") / INDEX(GOOGLEFINANCE(C21, ""price"", EDATE(TODAY(), -6), TODAY()), 2, 2)) - 1, """")"),"")</f>
        <v/>
      </c>
      <c r="P21" s="21" t="str">
        <f>IFERROR(__xludf.DUMMYFUNCTION("IFERROR((GOOGLEFINANCE(C21, ""price"") / INDEX(GOOGLEFINANCE(C21, ""price"", EDATE(TODAY(), -12), TODAY()), 2, 2)) - 1, """")"),"")</f>
        <v/>
      </c>
      <c r="Q21" s="6" t="str">
        <f>IFERROR(__xludf.DUMMYFUNCTION("AVERAGE(QUERY(GOOGLEFINANCE(C21, ""price"", TODAY()-80, TODAY()), ""SELECT Col2 WHERE Col2 IS NOT NULL ORDER BY Col1 DESC LIMIT 50"", 0))"),"#N/A")</f>
        <v>#N/A</v>
      </c>
      <c r="R21" s="24" t="str">
        <f>IFERROR(__xludf.DUMMYFUNCTION("IFERROR(
  LET(
    data, QUERY(GOOGLEFINANCE(C21,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GOOGLEFINANCE(C21, ""price"")) * 100,
    IF(calc=0, G21, calc)
  ), 
G21)"),"#N/A")</f>
        <v>#N/A</v>
      </c>
      <c r="S21" s="8" t="s">
        <v>15</v>
      </c>
      <c r="T21" s="26" t="str">
        <f>IFERROR(__xludf.DUMMYFUNCTION("IFERROR(TRANSPOSE(QUERY(IFERROR(SORT(GOOGLEFINANCE(C21, ""price"", WORKDAY(TODAY(), -40), TODAY()), 1, FALSE)), ""select Col2 where Col2 is not null limit 22 label Col2 ''"", 0)), """")"),"")</f>
        <v/>
      </c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8"/>
      <c r="AO21" s="28"/>
      <c r="AP21" s="29"/>
      <c r="AQ21" s="29" t="str">
        <f t="shared" ref="AQ21:BL21" si="24">T21/T$2</f>
        <v>#N/A</v>
      </c>
      <c r="AR21" s="29" t="str">
        <f t="shared" si="24"/>
        <v>#DIV/0!</v>
      </c>
      <c r="AS21" s="29" t="str">
        <f t="shared" si="24"/>
        <v>#DIV/0!</v>
      </c>
      <c r="AT21" s="29" t="str">
        <f t="shared" si="24"/>
        <v>#DIV/0!</v>
      </c>
      <c r="AU21" s="29" t="str">
        <f t="shared" si="24"/>
        <v>#DIV/0!</v>
      </c>
      <c r="AV21" s="29" t="str">
        <f t="shared" si="24"/>
        <v>#DIV/0!</v>
      </c>
      <c r="AW21" s="29" t="str">
        <f t="shared" si="24"/>
        <v>#DIV/0!</v>
      </c>
      <c r="AX21" s="29" t="str">
        <f t="shared" si="24"/>
        <v>#DIV/0!</v>
      </c>
      <c r="AY21" s="29" t="str">
        <f t="shared" si="24"/>
        <v>#DIV/0!</v>
      </c>
      <c r="AZ21" s="29" t="str">
        <f t="shared" si="24"/>
        <v>#DIV/0!</v>
      </c>
      <c r="BA21" s="29" t="str">
        <f t="shared" si="24"/>
        <v>#DIV/0!</v>
      </c>
      <c r="BB21" s="29" t="str">
        <f t="shared" si="24"/>
        <v>#DIV/0!</v>
      </c>
      <c r="BC21" s="29" t="str">
        <f t="shared" si="24"/>
        <v>#DIV/0!</v>
      </c>
      <c r="BD21" s="29" t="str">
        <f t="shared" si="24"/>
        <v>#DIV/0!</v>
      </c>
      <c r="BE21" s="29" t="str">
        <f t="shared" si="24"/>
        <v>#DIV/0!</v>
      </c>
      <c r="BF21" s="29" t="str">
        <f t="shared" si="24"/>
        <v>#DIV/0!</v>
      </c>
      <c r="BG21" s="29" t="str">
        <f t="shared" si="24"/>
        <v>#DIV/0!</v>
      </c>
      <c r="BH21" s="29" t="str">
        <f t="shared" si="24"/>
        <v>#DIV/0!</v>
      </c>
      <c r="BI21" s="29" t="str">
        <f t="shared" si="24"/>
        <v>#DIV/0!</v>
      </c>
      <c r="BJ21" s="29" t="str">
        <f t="shared" si="24"/>
        <v>#DIV/0!</v>
      </c>
      <c r="BK21" s="29" t="str">
        <f t="shared" si="24"/>
        <v>#DIV/0!</v>
      </c>
      <c r="BL21" s="29" t="str">
        <f t="shared" si="24"/>
        <v>#DIV/0!</v>
      </c>
      <c r="BM21" s="29" t="str">
        <f t="shared" si="3"/>
        <v>#DIV/0!</v>
      </c>
    </row>
    <row r="22">
      <c r="A22" s="16" t="str">
        <f>IFERROR(__xludf.DUMMYFUNCTION("IFERROR(SPARKLINE(SORT(MAP(TRANSPOSE(AQ22:BL22), LAMBDA(val, IF(ISNUMBER(val), PERCENTRANK(AQ22:BL22, val)+0.01, 0))), SEQUENCE(COLUMNS(AQ22:BL22)), FALSE), {""charttype"",""column""; ""color"",""chartreuse""; ""ymin"", 0; ""ymax"", 1.01; ""highcolor"", "&amp;"""darkgreen""; ""lowcolor"", ""red""}), """")"),"")</f>
        <v/>
      </c>
      <c r="B22" s="17" t="str">
        <f t="shared" si="4"/>
        <v/>
      </c>
      <c r="C22" s="1" t="s">
        <v>2740</v>
      </c>
      <c r="D22" s="30" t="str">
        <f>IFERROR(__xludf.DUMMYFUNCTION("IFERROR(GOOGLEFINANCE(C22, ""NAME""))"),"Healthcare Realty Trust Inc")</f>
        <v>Healthcare Realty Trust Inc</v>
      </c>
      <c r="E22" s="30" t="s">
        <v>2668</v>
      </c>
      <c r="F22" s="33" t="str">
        <f>IFERROR(__xludf.DUMMYFUNCTION("( (GOOGLEFINANCE(C22, ""price"") - Q22) / Q22 ) / (R22 / 100)"),"Loading...")</f>
        <v>Loading...</v>
      </c>
      <c r="G22" s="20" t="str">
        <f>IFERROR(__xludf.DUMMYFUNCTION("AVERAGE(ARRAYFORMULA(100 * (QUERY(GOOGLEFINANCE(C22, ""high"", TODAY()-40, TODAY()), ""SELECT Col2 WHERE Col2 IS NOT NULL ORDER BY Col1 DESC LIMIT 20"", 0) / QUERY(GOOGLEFINANCE(C22, ""low"", TODAY()-40, TODAY()), ""SELECT Col2 WHERE Col2 IS NOT NULL ORDE"&amp;"R BY Col1 DESC LIMIT 20"", 0) - 1)))"),"#N/A")</f>
        <v>#N/A</v>
      </c>
      <c r="H22" s="35" t="str">
        <f t="shared" si="6"/>
        <v>Liquid</v>
      </c>
      <c r="I22" s="35" t="str">
        <f t="shared" si="7"/>
        <v>RVol Required</v>
      </c>
      <c r="J22" s="37">
        <f>IFERROR(__xludf.DUMMYFUNCTION("IFERROR(
  IF(C22="""",, 
    IFERROR(
      GOOGLEFINANCE(C22, ""price"") * GOOGLEFINANCE(C22, ""volumeavg""), 
      GOOGLEFINANCE(C22, ""price"") * AVERAGE(QUERY(GOOGLEFINANCE(C22, ""volume"", TODAY()-40, TODAY()), ""SELECT Col2 WHERE Col2 IS NOT NULL "&amp;"ORDER BY Col1 DESC LIMIT 20"", 0))
    )
  ), 
"""")"),7.713852332000001E7)</f>
        <v>77138523.32</v>
      </c>
      <c r="K22" s="21">
        <f>IFERROR(__xludf.DUMMYFUNCTION("IFERROR(GOOGLEFINANCE(C22, ""changepct"") / 100, """")"),0.0069)</f>
        <v>0.0069</v>
      </c>
      <c r="L22" s="21" t="str">
        <f>IFERROR(__xludf.DUMMYFUNCTION("IFERROR((GOOGLEFINANCE(C22, ""price"") / INDEX(GOOGLEFINANCE(C22, ""price"", TODAY()-7, TODAY()), 2, 2)) - 1, """")"),"")</f>
        <v/>
      </c>
      <c r="M22" s="21" t="str">
        <f>IFERROR(__xludf.DUMMYFUNCTION("IFERROR((GOOGLEFINANCE(C22, ""price"") / INDEX(GOOGLEFINANCE(C22, ""price"", EDATE(TODAY(), -1), TODAY()), 2, 2)) - 1, """")"),"")</f>
        <v/>
      </c>
      <c r="N22" s="21" t="str">
        <f>IFERROR(__xludf.DUMMYFUNCTION("IFERROR((GOOGLEFINANCE(C22, ""price"") / INDEX(GOOGLEFINANCE(C22, ""price"", EDATE(TODAY(), -3), TODAY()), 2, 2)) - 1, """")"),"")</f>
        <v/>
      </c>
      <c r="O22" s="21" t="str">
        <f>IFERROR(__xludf.DUMMYFUNCTION("IFERROR((GOOGLEFINANCE(C22, ""price"") / INDEX(GOOGLEFINANCE(C22, ""price"", EDATE(TODAY(), -6), TODAY()), 2, 2)) - 1, """")"),"")</f>
        <v/>
      </c>
      <c r="P22" s="21" t="str">
        <f>IFERROR(__xludf.DUMMYFUNCTION("IFERROR((GOOGLEFINANCE(C22, ""price"") / INDEX(GOOGLEFINANCE(C22, ""price"", EDATE(TODAY(), -12), TODAY()), 2, 2)) - 1, """")"),"")</f>
        <v/>
      </c>
      <c r="Q22" s="6" t="str">
        <f>IFERROR(__xludf.DUMMYFUNCTION("AVERAGE(QUERY(GOOGLEFINANCE(C22, ""price"", TODAY()-80, TODAY()), ""SELECT Col2 WHERE Col2 IS NOT NULL ORDER BY Col1 DESC LIMIT 50"", 0))"),"#N/A")</f>
        <v>#N/A</v>
      </c>
      <c r="R22" s="24" t="str">
        <f>IFERROR(__xludf.DUMMYFUNCTION("IFERROR(
  LET(
    data, QUERY(GOOGLEFINANCE(C22,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GOOGLEFINANCE(C22, ""price"")) * 100,
    IF(calc=0, G22, calc)
  ), 
G22)"),"#N/A")</f>
        <v>#N/A</v>
      </c>
      <c r="S22" s="8" t="s">
        <v>15</v>
      </c>
      <c r="T22" s="26" t="str">
        <f>IFERROR(__xludf.DUMMYFUNCTION("IFERROR(TRANSPOSE(QUERY(IFERROR(SORT(GOOGLEFINANCE(C22, ""price"", WORKDAY(TODAY(), -40), TODAY()), 1, FALSE)), ""select Col2 where Col2 is not null limit 22 label Col2 ''"", 0)), """")"),"")</f>
        <v/>
      </c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8"/>
      <c r="AO22" s="28"/>
      <c r="AP22" s="29"/>
      <c r="AQ22" s="29" t="str">
        <f t="shared" ref="AQ22:BL22" si="25">T22/T$2</f>
        <v>#N/A</v>
      </c>
      <c r="AR22" s="29" t="str">
        <f t="shared" si="25"/>
        <v>#DIV/0!</v>
      </c>
      <c r="AS22" s="29" t="str">
        <f t="shared" si="25"/>
        <v>#DIV/0!</v>
      </c>
      <c r="AT22" s="29" t="str">
        <f t="shared" si="25"/>
        <v>#DIV/0!</v>
      </c>
      <c r="AU22" s="29" t="str">
        <f t="shared" si="25"/>
        <v>#DIV/0!</v>
      </c>
      <c r="AV22" s="29" t="str">
        <f t="shared" si="25"/>
        <v>#DIV/0!</v>
      </c>
      <c r="AW22" s="29" t="str">
        <f t="shared" si="25"/>
        <v>#DIV/0!</v>
      </c>
      <c r="AX22" s="29" t="str">
        <f t="shared" si="25"/>
        <v>#DIV/0!</v>
      </c>
      <c r="AY22" s="29" t="str">
        <f t="shared" si="25"/>
        <v>#DIV/0!</v>
      </c>
      <c r="AZ22" s="29" t="str">
        <f t="shared" si="25"/>
        <v>#DIV/0!</v>
      </c>
      <c r="BA22" s="29" t="str">
        <f t="shared" si="25"/>
        <v>#DIV/0!</v>
      </c>
      <c r="BB22" s="29" t="str">
        <f t="shared" si="25"/>
        <v>#DIV/0!</v>
      </c>
      <c r="BC22" s="29" t="str">
        <f t="shared" si="25"/>
        <v>#DIV/0!</v>
      </c>
      <c r="BD22" s="29" t="str">
        <f t="shared" si="25"/>
        <v>#DIV/0!</v>
      </c>
      <c r="BE22" s="29" t="str">
        <f t="shared" si="25"/>
        <v>#DIV/0!</v>
      </c>
      <c r="BF22" s="29" t="str">
        <f t="shared" si="25"/>
        <v>#DIV/0!</v>
      </c>
      <c r="BG22" s="29" t="str">
        <f t="shared" si="25"/>
        <v>#DIV/0!</v>
      </c>
      <c r="BH22" s="29" t="str">
        <f t="shared" si="25"/>
        <v>#DIV/0!</v>
      </c>
      <c r="BI22" s="29" t="str">
        <f t="shared" si="25"/>
        <v>#DIV/0!</v>
      </c>
      <c r="BJ22" s="29" t="str">
        <f t="shared" si="25"/>
        <v>#DIV/0!</v>
      </c>
      <c r="BK22" s="29" t="str">
        <f t="shared" si="25"/>
        <v>#DIV/0!</v>
      </c>
      <c r="BL22" s="29" t="str">
        <f t="shared" si="25"/>
        <v>#DIV/0!</v>
      </c>
      <c r="BM22" s="29" t="str">
        <f t="shared" si="3"/>
        <v>#DIV/0!</v>
      </c>
    </row>
    <row r="23">
      <c r="A23" s="16" t="str">
        <f>IFERROR(__xludf.DUMMYFUNCTION("IFERROR(SPARKLINE(SORT(MAP(TRANSPOSE(AQ23:BL23), LAMBDA(val, IF(ISNUMBER(val), PERCENTRANK(AQ23:BL23, val)+0.01, 0))), SEQUENCE(COLUMNS(AQ23:BL23)), FALSE), {""charttype"",""column""; ""color"",""chartreuse""; ""ymin"", 0; ""ymax"", 1.01; ""highcolor"", "&amp;"""darkgreen""; ""lowcolor"", ""red""}), """")"),"")</f>
        <v/>
      </c>
      <c r="B23" s="17" t="str">
        <f t="shared" si="4"/>
        <v/>
      </c>
      <c r="C23" s="1" t="s">
        <v>2743</v>
      </c>
      <c r="D23" s="30" t="str">
        <f>IFERROR(__xludf.DUMMYFUNCTION("IFERROR(GOOGLEFINANCE(C23, ""NAME""))"),"Lineage Inc")</f>
        <v>Lineage Inc</v>
      </c>
      <c r="E23" s="30" t="s">
        <v>2704</v>
      </c>
      <c r="F23" s="33" t="str">
        <f>IFERROR(__xludf.DUMMYFUNCTION("( (GOOGLEFINANCE(C23, ""price"") - Q23) / Q23 ) / (R23 / 100)"),"Loading...")</f>
        <v>Loading...</v>
      </c>
      <c r="G23" s="20" t="str">
        <f>IFERROR(__xludf.DUMMYFUNCTION("AVERAGE(ARRAYFORMULA(100 * (QUERY(GOOGLEFINANCE(C23, ""high"", TODAY()-40, TODAY()), ""SELECT Col2 WHERE Col2 IS NOT NULL ORDER BY Col1 DESC LIMIT 20"", 0) / QUERY(GOOGLEFINANCE(C23, ""low"", TODAY()-40, TODAY()), ""SELECT Col2 WHERE Col2 IS NOT NULL ORDE"&amp;"R BY Col1 DESC LIMIT 20"", 0) - 1)))"),"#N/A")</f>
        <v>#N/A</v>
      </c>
      <c r="H23" s="35" t="str">
        <f t="shared" si="6"/>
        <v>Illiquid</v>
      </c>
      <c r="I23" s="35" t="str">
        <f t="shared" si="7"/>
        <v>RVol Required</v>
      </c>
      <c r="J23" s="37">
        <f>IFERROR(__xludf.DUMMYFUNCTION("IFERROR(
  IF(C23="""",, 
    IFERROR(
      GOOGLEFINANCE(C23, ""price"") * GOOGLEFINANCE(C23, ""volumeavg""), 
      GOOGLEFINANCE(C23, ""price"") * AVERAGE(QUERY(GOOGLEFINANCE(C23, ""volume"", TODAY()-40, TODAY()), ""SELECT Col2 WHERE Col2 IS NOT NULL "&amp;"ORDER BY Col1 DESC LIMIT 20"", 0))
    )
  ), 
"""")"),3.5133829120000005E7)</f>
        <v>35133829.12</v>
      </c>
      <c r="K23" s="21">
        <f>IFERROR(__xludf.DUMMYFUNCTION("IFERROR(GOOGLEFINANCE(C23, ""changepct"") / 100, """")"),-0.024300000000000002)</f>
        <v>-0.0243</v>
      </c>
      <c r="L23" s="21" t="str">
        <f>IFERROR(__xludf.DUMMYFUNCTION("IFERROR((GOOGLEFINANCE(C23, ""price"") / INDEX(GOOGLEFINANCE(C23, ""price"", TODAY()-7, TODAY()), 2, 2)) - 1, """")"),"")</f>
        <v/>
      </c>
      <c r="M23" s="21" t="str">
        <f>IFERROR(__xludf.DUMMYFUNCTION("IFERROR((GOOGLEFINANCE(C23, ""price"") / INDEX(GOOGLEFINANCE(C23, ""price"", EDATE(TODAY(), -1), TODAY()), 2, 2)) - 1, """")"),"")</f>
        <v/>
      </c>
      <c r="N23" s="21" t="str">
        <f>IFERROR(__xludf.DUMMYFUNCTION("IFERROR((GOOGLEFINANCE(C23, ""price"") / INDEX(GOOGLEFINANCE(C23, ""price"", EDATE(TODAY(), -3), TODAY()), 2, 2)) - 1, """")"),"")</f>
        <v/>
      </c>
      <c r="O23" s="21" t="str">
        <f>IFERROR(__xludf.DUMMYFUNCTION("IFERROR((GOOGLEFINANCE(C23, ""price"") / INDEX(GOOGLEFINANCE(C23, ""price"", EDATE(TODAY(), -6), TODAY()), 2, 2)) - 1, """")"),"")</f>
        <v/>
      </c>
      <c r="P23" s="21" t="str">
        <f>IFERROR(__xludf.DUMMYFUNCTION("IFERROR((GOOGLEFINANCE(C23, ""price"") / INDEX(GOOGLEFINANCE(C23, ""price"", EDATE(TODAY(), -12), TODAY()), 2, 2)) - 1, """")"),"")</f>
        <v/>
      </c>
      <c r="Q23" s="6" t="str">
        <f>IFERROR(__xludf.DUMMYFUNCTION("AVERAGE(QUERY(GOOGLEFINANCE(C23, ""price"", TODAY()-80, TODAY()), ""SELECT Col2 WHERE Col2 IS NOT NULL ORDER BY Col1 DESC LIMIT 50"", 0))"),"#N/A")</f>
        <v>#N/A</v>
      </c>
      <c r="R23" s="24" t="str">
        <f>IFERROR(__xludf.DUMMYFUNCTION("IFERROR(
  LET(
    data, QUERY(GOOGLEFINANCE(C23,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GOOGLEFINANCE(C23, ""price"")) * 100,
    IF(calc=0, G23, calc)
  ), 
G23)"),"#N/A")</f>
        <v>#N/A</v>
      </c>
      <c r="S23" s="8" t="s">
        <v>15</v>
      </c>
      <c r="T23" s="26" t="str">
        <f>IFERROR(__xludf.DUMMYFUNCTION("IFERROR(TRANSPOSE(QUERY(IFERROR(SORT(GOOGLEFINANCE(C23, ""price"", WORKDAY(TODAY(), -40), TODAY()), 1, FALSE)), ""select Col2 where Col2 is not null limit 22 label Col2 ''"", 0)), """")"),"")</f>
        <v/>
      </c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8"/>
      <c r="AO23" s="28"/>
      <c r="AP23" s="29"/>
      <c r="AQ23" s="29" t="str">
        <f t="shared" ref="AQ23:BL23" si="26">T23/T$2</f>
        <v>#N/A</v>
      </c>
      <c r="AR23" s="29" t="str">
        <f t="shared" si="26"/>
        <v>#DIV/0!</v>
      </c>
      <c r="AS23" s="29" t="str">
        <f t="shared" si="26"/>
        <v>#DIV/0!</v>
      </c>
      <c r="AT23" s="29" t="str">
        <f t="shared" si="26"/>
        <v>#DIV/0!</v>
      </c>
      <c r="AU23" s="29" t="str">
        <f t="shared" si="26"/>
        <v>#DIV/0!</v>
      </c>
      <c r="AV23" s="29" t="str">
        <f t="shared" si="26"/>
        <v>#DIV/0!</v>
      </c>
      <c r="AW23" s="29" t="str">
        <f t="shared" si="26"/>
        <v>#DIV/0!</v>
      </c>
      <c r="AX23" s="29" t="str">
        <f t="shared" si="26"/>
        <v>#DIV/0!</v>
      </c>
      <c r="AY23" s="29" t="str">
        <f t="shared" si="26"/>
        <v>#DIV/0!</v>
      </c>
      <c r="AZ23" s="29" t="str">
        <f t="shared" si="26"/>
        <v>#DIV/0!</v>
      </c>
      <c r="BA23" s="29" t="str">
        <f t="shared" si="26"/>
        <v>#DIV/0!</v>
      </c>
      <c r="BB23" s="29" t="str">
        <f t="shared" si="26"/>
        <v>#DIV/0!</v>
      </c>
      <c r="BC23" s="29" t="str">
        <f t="shared" si="26"/>
        <v>#DIV/0!</v>
      </c>
      <c r="BD23" s="29" t="str">
        <f t="shared" si="26"/>
        <v>#DIV/0!</v>
      </c>
      <c r="BE23" s="29" t="str">
        <f t="shared" si="26"/>
        <v>#DIV/0!</v>
      </c>
      <c r="BF23" s="29" t="str">
        <f t="shared" si="26"/>
        <v>#DIV/0!</v>
      </c>
      <c r="BG23" s="29" t="str">
        <f t="shared" si="26"/>
        <v>#DIV/0!</v>
      </c>
      <c r="BH23" s="29" t="str">
        <f t="shared" si="26"/>
        <v>#DIV/0!</v>
      </c>
      <c r="BI23" s="29" t="str">
        <f t="shared" si="26"/>
        <v>#DIV/0!</v>
      </c>
      <c r="BJ23" s="29" t="str">
        <f t="shared" si="26"/>
        <v>#DIV/0!</v>
      </c>
      <c r="BK23" s="29" t="str">
        <f t="shared" si="26"/>
        <v>#DIV/0!</v>
      </c>
      <c r="BL23" s="29" t="str">
        <f t="shared" si="26"/>
        <v>#DIV/0!</v>
      </c>
      <c r="BM23" s="29" t="str">
        <f t="shared" si="3"/>
        <v>#DIV/0!</v>
      </c>
    </row>
    <row r="24">
      <c r="A24" s="16" t="str">
        <f>IFERROR(__xludf.DUMMYFUNCTION("IFERROR(SPARKLINE(SORT(MAP(TRANSPOSE(AQ24:BL24), LAMBDA(val, IF(ISNUMBER(val), PERCENTRANK(AQ24:BL24, val)+0.01, 0))), SEQUENCE(COLUMNS(AQ24:BL24)), FALSE), {""charttype"",""column""; ""color"",""chartreuse""; ""ymin"", 0; ""ymax"", 1.01; ""highcolor"", "&amp;"""darkgreen""; ""lowcolor"", ""red""}), """")"),"")</f>
        <v/>
      </c>
      <c r="B24" s="17" t="str">
        <f t="shared" si="4"/>
        <v/>
      </c>
      <c r="C24" s="1" t="s">
        <v>2747</v>
      </c>
      <c r="D24" s="30" t="str">
        <f>IFERROR(__xludf.DUMMYFUNCTION("IFERROR(GOOGLEFINANCE(C24, ""NAME""))"),"RMR Group Inc")</f>
        <v>RMR Group Inc</v>
      </c>
      <c r="E24" s="30" t="s">
        <v>2692</v>
      </c>
      <c r="F24" s="33" t="str">
        <f>IFERROR(__xludf.DUMMYFUNCTION("( (GOOGLEFINANCE(C24, ""price"") - Q24) / Q24 ) / (R24 / 100)"),"Loading...")</f>
        <v>Loading...</v>
      </c>
      <c r="G24" s="20" t="str">
        <f>IFERROR(__xludf.DUMMYFUNCTION("AVERAGE(ARRAYFORMULA(100 * (QUERY(GOOGLEFINANCE(C24, ""high"", TODAY()-40, TODAY()), ""SELECT Col2 WHERE Col2 IS NOT NULL ORDER BY Col1 DESC LIMIT 20"", 0) / QUERY(GOOGLEFINANCE(C24, ""low"", TODAY()-40, TODAY()), ""SELECT Col2 WHERE Col2 IS NOT NULL ORDE"&amp;"R BY Col1 DESC LIMIT 20"", 0) - 1)))"),"#N/A")</f>
        <v>#N/A</v>
      </c>
      <c r="H24" s="35" t="str">
        <f t="shared" si="6"/>
        <v>Illiquid</v>
      </c>
      <c r="I24" s="35" t="str">
        <f t="shared" si="7"/>
        <v>RVol Required</v>
      </c>
      <c r="J24" s="37">
        <f>IFERROR(__xludf.DUMMYFUNCTION("IFERROR(
  IF(C24="""",, 
    IFERROR(
      GOOGLEFINANCE(C24, ""price"") * GOOGLEFINANCE(C24, ""volumeavg""), 
      GOOGLEFINANCE(C24, ""price"") * AVERAGE(QUERY(GOOGLEFINANCE(C24, ""volume"", TODAY()-40, TODAY()), ""SELECT Col2 WHERE Col2 IS NOT NULL "&amp;"ORDER BY Col1 DESC LIMIT 20"", 0))
    )
  ), 
"""")"),1949992.27)</f>
        <v>1949992.27</v>
      </c>
      <c r="K24" s="21">
        <f>IFERROR(__xludf.DUMMYFUNCTION("IFERROR(GOOGLEFINANCE(C24, ""changepct"") / 100, """")"),-0.0444)</f>
        <v>-0.0444</v>
      </c>
      <c r="L24" s="21" t="str">
        <f>IFERROR(__xludf.DUMMYFUNCTION("IFERROR((GOOGLEFINANCE(C24, ""price"") / INDEX(GOOGLEFINANCE(C24, ""price"", TODAY()-7, TODAY()), 2, 2)) - 1, """")"),"")</f>
        <v/>
      </c>
      <c r="M24" s="21" t="str">
        <f>IFERROR(__xludf.DUMMYFUNCTION("IFERROR((GOOGLEFINANCE(C24, ""price"") / INDEX(GOOGLEFINANCE(C24, ""price"", EDATE(TODAY(), -1), TODAY()), 2, 2)) - 1, """")"),"")</f>
        <v/>
      </c>
      <c r="N24" s="21" t="str">
        <f>IFERROR(__xludf.DUMMYFUNCTION("IFERROR((GOOGLEFINANCE(C24, ""price"") / INDEX(GOOGLEFINANCE(C24, ""price"", EDATE(TODAY(), -3), TODAY()), 2, 2)) - 1, """")"),"")</f>
        <v/>
      </c>
      <c r="O24" s="21" t="str">
        <f>IFERROR(__xludf.DUMMYFUNCTION("IFERROR((GOOGLEFINANCE(C24, ""price"") / INDEX(GOOGLEFINANCE(C24, ""price"", EDATE(TODAY(), -6), TODAY()), 2, 2)) - 1, """")"),"")</f>
        <v/>
      </c>
      <c r="P24" s="21" t="str">
        <f>IFERROR(__xludf.DUMMYFUNCTION("IFERROR((GOOGLEFINANCE(C24, ""price"") / INDEX(GOOGLEFINANCE(C24, ""price"", EDATE(TODAY(), -12), TODAY()), 2, 2)) - 1, """")"),"")</f>
        <v/>
      </c>
      <c r="Q24" s="6" t="str">
        <f>IFERROR(__xludf.DUMMYFUNCTION("AVERAGE(QUERY(GOOGLEFINANCE(C24, ""price"", TODAY()-80, TODAY()), ""SELECT Col2 WHERE Col2 IS NOT NULL ORDER BY Col1 DESC LIMIT 50"", 0))"),"#N/A")</f>
        <v>#N/A</v>
      </c>
      <c r="R24" s="24" t="str">
        <f>IFERROR(__xludf.DUMMYFUNCTION("IFERROR(
  LET(
    data, QUERY(GOOGLEFINANCE(C24,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GOOGLEFINANCE(C24, ""price"")) * 100,
    IF(calc=0, G24, calc)
  ), 
G24)"),"#N/A")</f>
        <v>#N/A</v>
      </c>
      <c r="S24" s="8" t="s">
        <v>15</v>
      </c>
      <c r="T24" s="26" t="str">
        <f>IFERROR(__xludf.DUMMYFUNCTION("IFERROR(TRANSPOSE(QUERY(IFERROR(SORT(GOOGLEFINANCE(C24, ""price"", WORKDAY(TODAY(), -40), TODAY()), 1, FALSE)), ""select Col2 where Col2 is not null limit 22 label Col2 ''"", 0)), """")"),"")</f>
        <v/>
      </c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8"/>
      <c r="AO24" s="28"/>
      <c r="AP24" s="29"/>
      <c r="AQ24" s="29" t="str">
        <f t="shared" ref="AQ24:BL24" si="27">T24/T$2</f>
        <v>#N/A</v>
      </c>
      <c r="AR24" s="29" t="str">
        <f t="shared" si="27"/>
        <v>#DIV/0!</v>
      </c>
      <c r="AS24" s="29" t="str">
        <f t="shared" si="27"/>
        <v>#DIV/0!</v>
      </c>
      <c r="AT24" s="29" t="str">
        <f t="shared" si="27"/>
        <v>#DIV/0!</v>
      </c>
      <c r="AU24" s="29" t="str">
        <f t="shared" si="27"/>
        <v>#DIV/0!</v>
      </c>
      <c r="AV24" s="29" t="str">
        <f t="shared" si="27"/>
        <v>#DIV/0!</v>
      </c>
      <c r="AW24" s="29" t="str">
        <f t="shared" si="27"/>
        <v>#DIV/0!</v>
      </c>
      <c r="AX24" s="29" t="str">
        <f t="shared" si="27"/>
        <v>#DIV/0!</v>
      </c>
      <c r="AY24" s="29" t="str">
        <f t="shared" si="27"/>
        <v>#DIV/0!</v>
      </c>
      <c r="AZ24" s="29" t="str">
        <f t="shared" si="27"/>
        <v>#DIV/0!</v>
      </c>
      <c r="BA24" s="29" t="str">
        <f t="shared" si="27"/>
        <v>#DIV/0!</v>
      </c>
      <c r="BB24" s="29" t="str">
        <f t="shared" si="27"/>
        <v>#DIV/0!</v>
      </c>
      <c r="BC24" s="29" t="str">
        <f t="shared" si="27"/>
        <v>#DIV/0!</v>
      </c>
      <c r="BD24" s="29" t="str">
        <f t="shared" si="27"/>
        <v>#DIV/0!</v>
      </c>
      <c r="BE24" s="29" t="str">
        <f t="shared" si="27"/>
        <v>#DIV/0!</v>
      </c>
      <c r="BF24" s="29" t="str">
        <f t="shared" si="27"/>
        <v>#DIV/0!</v>
      </c>
      <c r="BG24" s="29" t="str">
        <f t="shared" si="27"/>
        <v>#DIV/0!</v>
      </c>
      <c r="BH24" s="29" t="str">
        <f t="shared" si="27"/>
        <v>#DIV/0!</v>
      </c>
      <c r="BI24" s="29" t="str">
        <f t="shared" si="27"/>
        <v>#DIV/0!</v>
      </c>
      <c r="BJ24" s="29" t="str">
        <f t="shared" si="27"/>
        <v>#DIV/0!</v>
      </c>
      <c r="BK24" s="29" t="str">
        <f t="shared" si="27"/>
        <v>#DIV/0!</v>
      </c>
      <c r="BL24" s="29" t="str">
        <f t="shared" si="27"/>
        <v>#DIV/0!</v>
      </c>
      <c r="BM24" s="29" t="str">
        <f t="shared" si="3"/>
        <v>#DIV/0!</v>
      </c>
    </row>
    <row r="25">
      <c r="A25" s="16" t="str">
        <f>IFERROR(__xludf.DUMMYFUNCTION("IFERROR(SPARKLINE(SORT(MAP(TRANSPOSE(AQ25:BL25), LAMBDA(val, IF(ISNUMBER(val), PERCENTRANK(AQ25:BL25, val)+0.01, 0))), SEQUENCE(COLUMNS(AQ25:BL25)), FALSE), {""charttype"",""column""; ""color"",""chartreuse""; ""ymin"", 0; ""ymax"", 1.01; ""highcolor"", "&amp;"""darkgreen""; ""lowcolor"", ""red""}), """")"),"")</f>
        <v/>
      </c>
      <c r="B25" s="17" t="str">
        <f t="shared" si="4"/>
        <v/>
      </c>
      <c r="C25" s="1" t="s">
        <v>2750</v>
      </c>
      <c r="D25" s="30" t="str">
        <f>IFERROR(__xludf.DUMMYFUNCTION("IFERROR(GOOGLEFINANCE(C25, ""NAME""))"),"CBL &amp; Associates Properties Inc")</f>
        <v>CBL &amp; Associates Properties Inc</v>
      </c>
      <c r="E25" s="30" t="s">
        <v>2751</v>
      </c>
      <c r="F25" s="33" t="str">
        <f>IFERROR(__xludf.DUMMYFUNCTION("( (GOOGLEFINANCE(C25, ""price"") - Q25) / Q25 ) / (R25 / 100)"),"Loading...")</f>
        <v>Loading...</v>
      </c>
      <c r="G25" s="20" t="str">
        <f>IFERROR(__xludf.DUMMYFUNCTION("AVERAGE(ARRAYFORMULA(100 * (QUERY(GOOGLEFINANCE(C25, ""high"", TODAY()-40, TODAY()), ""SELECT Col2 WHERE Col2 IS NOT NULL ORDER BY Col1 DESC LIMIT 20"", 0) / QUERY(GOOGLEFINANCE(C25, ""low"", TODAY()-40, TODAY()), ""SELECT Col2 WHERE Col2 IS NOT NULL ORDE"&amp;"R BY Col1 DESC LIMIT 20"", 0) - 1)))"),"#N/A")</f>
        <v>#N/A</v>
      </c>
      <c r="H25" s="35" t="str">
        <f t="shared" si="6"/>
        <v>Illiquid</v>
      </c>
      <c r="I25" s="35" t="str">
        <f t="shared" si="7"/>
        <v>RVol Required</v>
      </c>
      <c r="J25" s="37">
        <f>IFERROR(__xludf.DUMMYFUNCTION("IFERROR(
  IF(C25="""",, 
    IFERROR(
      GOOGLEFINANCE(C25, ""price"") * GOOGLEFINANCE(C25, ""volumeavg""), 
      GOOGLEFINANCE(C25, ""price"") * AVERAGE(QUERY(GOOGLEFINANCE(C25, ""volume"", TODAY()-40, TODAY()), ""SELECT Col2 WHERE Col2 IS NOT NULL "&amp;"ORDER BY Col1 DESC LIMIT 20"", 0))
    )
  ), 
"""")"),1.537661169E7)</f>
        <v>15376611.69</v>
      </c>
      <c r="K25" s="21">
        <f>IFERROR(__xludf.DUMMYFUNCTION("IFERROR(GOOGLEFINANCE(C25, ""changepct"") / 100, """")"),0.0129)</f>
        <v>0.0129</v>
      </c>
      <c r="L25" s="21" t="str">
        <f>IFERROR(__xludf.DUMMYFUNCTION("IFERROR((GOOGLEFINANCE(C25, ""price"") / INDEX(GOOGLEFINANCE(C25, ""price"", TODAY()-7, TODAY()), 2, 2)) - 1, """")"),"")</f>
        <v/>
      </c>
      <c r="M25" s="21" t="str">
        <f>IFERROR(__xludf.DUMMYFUNCTION("IFERROR((GOOGLEFINANCE(C25, ""price"") / INDEX(GOOGLEFINANCE(C25, ""price"", EDATE(TODAY(), -1), TODAY()), 2, 2)) - 1, """")"),"")</f>
        <v/>
      </c>
      <c r="N25" s="21" t="str">
        <f>IFERROR(__xludf.DUMMYFUNCTION("IFERROR((GOOGLEFINANCE(C25, ""price"") / INDEX(GOOGLEFINANCE(C25, ""price"", EDATE(TODAY(), -3), TODAY()), 2, 2)) - 1, """")"),"")</f>
        <v/>
      </c>
      <c r="O25" s="21" t="str">
        <f>IFERROR(__xludf.DUMMYFUNCTION("IFERROR((GOOGLEFINANCE(C25, ""price"") / INDEX(GOOGLEFINANCE(C25, ""price"", EDATE(TODAY(), -6), TODAY()), 2, 2)) - 1, """")"),"")</f>
        <v/>
      </c>
      <c r="P25" s="21" t="str">
        <f>IFERROR(__xludf.DUMMYFUNCTION("IFERROR((GOOGLEFINANCE(C25, ""price"") / INDEX(GOOGLEFINANCE(C25, ""price"", EDATE(TODAY(), -12), TODAY()), 2, 2)) - 1, """")"),"")</f>
        <v/>
      </c>
      <c r="Q25" s="6" t="str">
        <f>IFERROR(__xludf.DUMMYFUNCTION("AVERAGE(QUERY(GOOGLEFINANCE(C25, ""price"", TODAY()-80, TODAY()), ""SELECT Col2 WHERE Col2 IS NOT NULL ORDER BY Col1 DESC LIMIT 50"", 0))"),"#N/A")</f>
        <v>#N/A</v>
      </c>
      <c r="R25" s="24" t="str">
        <f>IFERROR(__xludf.DUMMYFUNCTION("IFERROR(
  LET(
    data, QUERY(GOOGLEFINANCE(C25,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GOOGLEFINANCE(C25, ""price"")) * 100,
    IF(calc=0, G25, calc)
  ), 
G25)"),"#N/A")</f>
        <v>#N/A</v>
      </c>
      <c r="S25" s="8" t="s">
        <v>15</v>
      </c>
      <c r="T25" s="26" t="str">
        <f>IFERROR(__xludf.DUMMYFUNCTION("IFERROR(TRANSPOSE(QUERY(IFERROR(SORT(GOOGLEFINANCE(C25, ""price"", WORKDAY(TODAY(), -40), TODAY()), 1, FALSE)), ""select Col2 where Col2 is not null limit 22 label Col2 ''"", 0)), """")"),"")</f>
        <v/>
      </c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8"/>
      <c r="AO25" s="28"/>
      <c r="AP25" s="29"/>
      <c r="AQ25" s="29" t="str">
        <f t="shared" ref="AQ25:BL25" si="28">T25/T$2</f>
        <v>#N/A</v>
      </c>
      <c r="AR25" s="29" t="str">
        <f t="shared" si="28"/>
        <v>#DIV/0!</v>
      </c>
      <c r="AS25" s="29" t="str">
        <f t="shared" si="28"/>
        <v>#DIV/0!</v>
      </c>
      <c r="AT25" s="29" t="str">
        <f t="shared" si="28"/>
        <v>#DIV/0!</v>
      </c>
      <c r="AU25" s="29" t="str">
        <f t="shared" si="28"/>
        <v>#DIV/0!</v>
      </c>
      <c r="AV25" s="29" t="str">
        <f t="shared" si="28"/>
        <v>#DIV/0!</v>
      </c>
      <c r="AW25" s="29" t="str">
        <f t="shared" si="28"/>
        <v>#DIV/0!</v>
      </c>
      <c r="AX25" s="29" t="str">
        <f t="shared" si="28"/>
        <v>#DIV/0!</v>
      </c>
      <c r="AY25" s="29" t="str">
        <f t="shared" si="28"/>
        <v>#DIV/0!</v>
      </c>
      <c r="AZ25" s="29" t="str">
        <f t="shared" si="28"/>
        <v>#DIV/0!</v>
      </c>
      <c r="BA25" s="29" t="str">
        <f t="shared" si="28"/>
        <v>#DIV/0!</v>
      </c>
      <c r="BB25" s="29" t="str">
        <f t="shared" si="28"/>
        <v>#DIV/0!</v>
      </c>
      <c r="BC25" s="29" t="str">
        <f t="shared" si="28"/>
        <v>#DIV/0!</v>
      </c>
      <c r="BD25" s="29" t="str">
        <f t="shared" si="28"/>
        <v>#DIV/0!</v>
      </c>
      <c r="BE25" s="29" t="str">
        <f t="shared" si="28"/>
        <v>#DIV/0!</v>
      </c>
      <c r="BF25" s="29" t="str">
        <f t="shared" si="28"/>
        <v>#DIV/0!</v>
      </c>
      <c r="BG25" s="29" t="str">
        <f t="shared" si="28"/>
        <v>#DIV/0!</v>
      </c>
      <c r="BH25" s="29" t="str">
        <f t="shared" si="28"/>
        <v>#DIV/0!</v>
      </c>
      <c r="BI25" s="29" t="str">
        <f t="shared" si="28"/>
        <v>#DIV/0!</v>
      </c>
      <c r="BJ25" s="29" t="str">
        <f t="shared" si="28"/>
        <v>#DIV/0!</v>
      </c>
      <c r="BK25" s="29" t="str">
        <f t="shared" si="28"/>
        <v>#DIV/0!</v>
      </c>
      <c r="BL25" s="29" t="str">
        <f t="shared" si="28"/>
        <v>#DIV/0!</v>
      </c>
      <c r="BM25" s="29" t="str">
        <f t="shared" si="3"/>
        <v>#DIV/0!</v>
      </c>
    </row>
    <row r="26">
      <c r="A26" s="16" t="str">
        <f>IFERROR(__xludf.DUMMYFUNCTION("IFERROR(SPARKLINE(SORT(MAP(TRANSPOSE(AQ26:BL26), LAMBDA(val, IF(ISNUMBER(val), PERCENTRANK(AQ26:BL26, val)+0.01, 0))), SEQUENCE(COLUMNS(AQ26:BL26)), FALSE), {""charttype"",""column""; ""color"",""chartreuse""; ""ymin"", 0; ""ymax"", 1.01; ""highcolor"", "&amp;"""darkgreen""; ""lowcolor"", ""red""}), """")"),"")</f>
        <v/>
      </c>
      <c r="B26" s="17" t="str">
        <f t="shared" si="4"/>
        <v/>
      </c>
      <c r="C26" s="1" t="s">
        <v>2754</v>
      </c>
      <c r="D26" s="30" t="str">
        <f>IFERROR(__xludf.DUMMYFUNCTION("IFERROR(GOOGLEFINANCE(C26, ""NAME""))"),"Cousins Properties Inc")</f>
        <v>Cousins Properties Inc</v>
      </c>
      <c r="E26" s="30" t="s">
        <v>2662</v>
      </c>
      <c r="F26" s="38" t="str">
        <f>IFERROR(__xludf.DUMMYFUNCTION("( (GOOGLEFINANCE(C26, ""price"") - Q26) / Q26 ) / (R26 / 100)"),"Loading...")</f>
        <v>Loading...</v>
      </c>
      <c r="G26" s="20" t="str">
        <f>IFERROR(__xludf.DUMMYFUNCTION("AVERAGE(ARRAYFORMULA(100 * (QUERY(GOOGLEFINANCE(C26, ""high"", TODAY()-40, TODAY()), ""SELECT Col2 WHERE Col2 IS NOT NULL ORDER BY Col1 DESC LIMIT 20"", 0) / QUERY(GOOGLEFINANCE(C26, ""low"", TODAY()-40, TODAY()), ""SELECT Col2 WHERE Col2 IS NOT NULL ORDE"&amp;"R BY Col1 DESC LIMIT 20"", 0) - 1)))"),"#N/A")</f>
        <v>#N/A</v>
      </c>
      <c r="H26" s="35" t="str">
        <f t="shared" si="6"/>
        <v>Illiquid</v>
      </c>
      <c r="I26" s="35" t="str">
        <f t="shared" si="7"/>
        <v>RVol Required</v>
      </c>
      <c r="J26" s="37">
        <f>IFERROR(__xludf.DUMMYFUNCTION("IFERROR(
  IF(C26="""",, 
    IFERROR(
      GOOGLEFINANCE(C26, ""price"") * GOOGLEFINANCE(C26, ""volumeavg""), 
      GOOGLEFINANCE(C26, ""price"") * AVERAGE(QUERY(GOOGLEFINANCE(C26, ""volume"", TODAY()-40, TODAY()), ""SELECT Col2 WHERE Col2 IS NOT NULL "&amp;"ORDER BY Col1 DESC LIMIT 20"", 0))
    )
  ), 
"""")"),4.009668464E7)</f>
        <v>40096684.64</v>
      </c>
      <c r="K26" s="21">
        <f>IFERROR(__xludf.DUMMYFUNCTION("IFERROR(GOOGLEFINANCE(C26, ""changepct"") / 100, """")"),0.0011)</f>
        <v>0.0011</v>
      </c>
      <c r="L26" s="21" t="str">
        <f>IFERROR(__xludf.DUMMYFUNCTION("IFERROR((GOOGLEFINANCE(C26, ""price"") / INDEX(GOOGLEFINANCE(C26, ""price"", TODAY()-7, TODAY()), 2, 2)) - 1, """")"),"")</f>
        <v/>
      </c>
      <c r="M26" s="21" t="str">
        <f>IFERROR(__xludf.DUMMYFUNCTION("IFERROR((GOOGLEFINANCE(C26, ""price"") / INDEX(GOOGLEFINANCE(C26, ""price"", EDATE(TODAY(), -1), TODAY()), 2, 2)) - 1, """")"),"")</f>
        <v/>
      </c>
      <c r="N26" s="21" t="str">
        <f>IFERROR(__xludf.DUMMYFUNCTION("IFERROR((GOOGLEFINANCE(C26, ""price"") / INDEX(GOOGLEFINANCE(C26, ""price"", EDATE(TODAY(), -3), TODAY()), 2, 2)) - 1, """")"),"")</f>
        <v/>
      </c>
      <c r="O26" s="21" t="str">
        <f>IFERROR(__xludf.DUMMYFUNCTION("IFERROR((GOOGLEFINANCE(C26, ""price"") / INDEX(GOOGLEFINANCE(C26, ""price"", EDATE(TODAY(), -6), TODAY()), 2, 2)) - 1, """")"),"")</f>
        <v/>
      </c>
      <c r="P26" s="21" t="str">
        <f>IFERROR(__xludf.DUMMYFUNCTION("IFERROR((GOOGLEFINANCE(C26, ""price"") / INDEX(GOOGLEFINANCE(C26, ""price"", EDATE(TODAY(), -12), TODAY()), 2, 2)) - 1, """")"),"")</f>
        <v/>
      </c>
      <c r="Q26" s="6" t="str">
        <f>IFERROR(__xludf.DUMMYFUNCTION("AVERAGE(QUERY(GOOGLEFINANCE(C26, ""price"", TODAY()-80, TODAY()), ""SELECT Col2 WHERE Col2 IS NOT NULL ORDER BY Col1 DESC LIMIT 50"", 0))"),"#N/A")</f>
        <v>#N/A</v>
      </c>
      <c r="R26" s="24" t="str">
        <f>IFERROR(__xludf.DUMMYFUNCTION("IFERROR(
  LET(
    data, QUERY(GOOGLEFINANCE(C26,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GOOGLEFINANCE(C26, ""price"")) * 100,
    IF(calc=0, G26, calc)
  ), 
G26)"),"#N/A")</f>
        <v>#N/A</v>
      </c>
      <c r="S26" s="8" t="s">
        <v>15</v>
      </c>
      <c r="T26" s="26" t="str">
        <f>IFERROR(__xludf.DUMMYFUNCTION("IFERROR(TRANSPOSE(QUERY(IFERROR(SORT(GOOGLEFINANCE(C26, ""price"", WORKDAY(TODAY(), -40), TODAY()), 1, FALSE)), ""select Col2 where Col2 is not null limit 22 label Col2 ''"", 0)), """")"),"")</f>
        <v/>
      </c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8"/>
      <c r="AO26" s="28"/>
      <c r="AP26" s="29"/>
      <c r="AQ26" s="29" t="str">
        <f t="shared" ref="AQ26:BL26" si="29">T26/T$2</f>
        <v>#N/A</v>
      </c>
      <c r="AR26" s="29" t="str">
        <f t="shared" si="29"/>
        <v>#DIV/0!</v>
      </c>
      <c r="AS26" s="29" t="str">
        <f t="shared" si="29"/>
        <v>#DIV/0!</v>
      </c>
      <c r="AT26" s="29" t="str">
        <f t="shared" si="29"/>
        <v>#DIV/0!</v>
      </c>
      <c r="AU26" s="29" t="str">
        <f t="shared" si="29"/>
        <v>#DIV/0!</v>
      </c>
      <c r="AV26" s="29" t="str">
        <f t="shared" si="29"/>
        <v>#DIV/0!</v>
      </c>
      <c r="AW26" s="29" t="str">
        <f t="shared" si="29"/>
        <v>#DIV/0!</v>
      </c>
      <c r="AX26" s="29" t="str">
        <f t="shared" si="29"/>
        <v>#DIV/0!</v>
      </c>
      <c r="AY26" s="29" t="str">
        <f t="shared" si="29"/>
        <v>#DIV/0!</v>
      </c>
      <c r="AZ26" s="29" t="str">
        <f t="shared" si="29"/>
        <v>#DIV/0!</v>
      </c>
      <c r="BA26" s="29" t="str">
        <f t="shared" si="29"/>
        <v>#DIV/0!</v>
      </c>
      <c r="BB26" s="29" t="str">
        <f t="shared" si="29"/>
        <v>#DIV/0!</v>
      </c>
      <c r="BC26" s="29" t="str">
        <f t="shared" si="29"/>
        <v>#DIV/0!</v>
      </c>
      <c r="BD26" s="29" t="str">
        <f t="shared" si="29"/>
        <v>#DIV/0!</v>
      </c>
      <c r="BE26" s="29" t="str">
        <f t="shared" si="29"/>
        <v>#DIV/0!</v>
      </c>
      <c r="BF26" s="29" t="str">
        <f t="shared" si="29"/>
        <v>#DIV/0!</v>
      </c>
      <c r="BG26" s="29" t="str">
        <f t="shared" si="29"/>
        <v>#DIV/0!</v>
      </c>
      <c r="BH26" s="29" t="str">
        <f t="shared" si="29"/>
        <v>#DIV/0!</v>
      </c>
      <c r="BI26" s="29" t="str">
        <f t="shared" si="29"/>
        <v>#DIV/0!</v>
      </c>
      <c r="BJ26" s="29" t="str">
        <f t="shared" si="29"/>
        <v>#DIV/0!</v>
      </c>
      <c r="BK26" s="29" t="str">
        <f t="shared" si="29"/>
        <v>#DIV/0!</v>
      </c>
      <c r="BL26" s="29" t="str">
        <f t="shared" si="29"/>
        <v>#DIV/0!</v>
      </c>
      <c r="BM26" s="29" t="str">
        <f t="shared" si="3"/>
        <v>#DIV/0!</v>
      </c>
    </row>
    <row r="27">
      <c r="A27" s="16" t="str">
        <f>IFERROR(__xludf.DUMMYFUNCTION("IFERROR(SPARKLINE(SORT(MAP(TRANSPOSE(AQ27:BL27), LAMBDA(val, IF(ISNUMBER(val), PERCENTRANK(AQ27:BL27, val)+0.01, 0))), SEQUENCE(COLUMNS(AQ27:BL27)), FALSE), {""charttype"",""column""; ""color"",""chartreuse""; ""ymin"", 0; ""ymax"", 1.01; ""highcolor"", "&amp;"""darkgreen""; ""lowcolor"", ""red""}), """")"),"")</f>
        <v/>
      </c>
      <c r="B27" s="17" t="str">
        <f t="shared" si="4"/>
        <v/>
      </c>
      <c r="C27" s="1" t="s">
        <v>2759</v>
      </c>
      <c r="D27" s="30" t="str">
        <f>IFERROR(__xludf.DUMMYFUNCTION("IFERROR(GOOGLEFINANCE(C27, ""NAME""))"),"UDR Inc")</f>
        <v>UDR Inc</v>
      </c>
      <c r="E27" s="30" t="s">
        <v>2760</v>
      </c>
      <c r="F27" s="33" t="str">
        <f>IFERROR(__xludf.DUMMYFUNCTION("( (GOOGLEFINANCE(C27, ""price"") - Q27) / Q27 ) / (R27 / 100)"),"Loading...")</f>
        <v>Loading...</v>
      </c>
      <c r="G27" s="20" t="str">
        <f>IFERROR(__xludf.DUMMYFUNCTION("AVERAGE(ARRAYFORMULA(100 * (QUERY(GOOGLEFINANCE(C27, ""high"", TODAY()-40, TODAY()), ""SELECT Col2 WHERE Col2 IS NOT NULL ORDER BY Col1 DESC LIMIT 20"", 0) / QUERY(GOOGLEFINANCE(C27, ""low"", TODAY()-40, TODAY()), ""SELECT Col2 WHERE Col2 IS NOT NULL ORDE"&amp;"R BY Col1 DESC LIMIT 20"", 0) - 1)))"),"#N/A")</f>
        <v>#N/A</v>
      </c>
      <c r="H27" s="35" t="str">
        <f t="shared" si="6"/>
        <v>Liquid</v>
      </c>
      <c r="I27" s="35" t="str">
        <f t="shared" si="7"/>
        <v>RVol Required</v>
      </c>
      <c r="J27" s="37">
        <f>IFERROR(__xludf.DUMMYFUNCTION("IFERROR(
  IF(C27="""",, 
    IFERROR(
      GOOGLEFINANCE(C27, ""price"") * GOOGLEFINANCE(C27, ""volumeavg""), 
      GOOGLEFINANCE(C27, ""price"") * AVERAGE(QUERY(GOOGLEFINANCE(C27, ""volume"", TODAY()-40, TODAY()), ""SELECT Col2 WHERE Col2 IS NOT NULL "&amp;"ORDER BY Col1 DESC LIMIT 20"", 0))
    )
  ), 
"""")"),1.4212839798E8)</f>
        <v>142128398</v>
      </c>
      <c r="K27" s="21">
        <f>IFERROR(__xludf.DUMMYFUNCTION("IFERROR(GOOGLEFINANCE(C27, ""changepct"") / 100, """")"),0.0015)</f>
        <v>0.0015</v>
      </c>
      <c r="L27" s="21" t="str">
        <f>IFERROR(__xludf.DUMMYFUNCTION("IFERROR((GOOGLEFINANCE(C27, ""price"") / INDEX(GOOGLEFINANCE(C27, ""price"", TODAY()-7, TODAY()), 2, 2)) - 1, """")"),"")</f>
        <v/>
      </c>
      <c r="M27" s="21" t="str">
        <f>IFERROR(__xludf.DUMMYFUNCTION("IFERROR((GOOGLEFINANCE(C27, ""price"") / INDEX(GOOGLEFINANCE(C27, ""price"", EDATE(TODAY(), -1), TODAY()), 2, 2)) - 1, """")"),"")</f>
        <v/>
      </c>
      <c r="N27" s="21" t="str">
        <f>IFERROR(__xludf.DUMMYFUNCTION("IFERROR((GOOGLEFINANCE(C27, ""price"") / INDEX(GOOGLEFINANCE(C27, ""price"", EDATE(TODAY(), -3), TODAY()), 2, 2)) - 1, """")"),"")</f>
        <v/>
      </c>
      <c r="O27" s="21" t="str">
        <f>IFERROR(__xludf.DUMMYFUNCTION("IFERROR((GOOGLEFINANCE(C27, ""price"") / INDEX(GOOGLEFINANCE(C27, ""price"", EDATE(TODAY(), -6), TODAY()), 2, 2)) - 1, """")"),"")</f>
        <v/>
      </c>
      <c r="P27" s="21" t="str">
        <f>IFERROR(__xludf.DUMMYFUNCTION("IFERROR((GOOGLEFINANCE(C27, ""price"") / INDEX(GOOGLEFINANCE(C27, ""price"", EDATE(TODAY(), -12), TODAY()), 2, 2)) - 1, """")"),"")</f>
        <v/>
      </c>
      <c r="Q27" s="6" t="str">
        <f>IFERROR(__xludf.DUMMYFUNCTION("AVERAGE(QUERY(GOOGLEFINANCE(C27, ""price"", TODAY()-80, TODAY()), ""SELECT Col2 WHERE Col2 IS NOT NULL ORDER BY Col1 DESC LIMIT 50"", 0))"),"#N/A")</f>
        <v>#N/A</v>
      </c>
      <c r="R27" s="24" t="str">
        <f>IFERROR(__xludf.DUMMYFUNCTION("IFERROR(
  LET(
    data, QUERY(GOOGLEFINANCE(C27,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GOOGLEFINANCE(C27, ""price"")) * 100,
    IF(calc=0, G27, calc)
  ), 
G27)"),"#N/A")</f>
        <v>#N/A</v>
      </c>
      <c r="S27" s="8" t="s">
        <v>15</v>
      </c>
      <c r="T27" s="26" t="str">
        <f>IFERROR(__xludf.DUMMYFUNCTION("IFERROR(TRANSPOSE(QUERY(IFERROR(SORT(GOOGLEFINANCE(C27, ""price"", WORKDAY(TODAY(), -40), TODAY()), 1, FALSE)), ""select Col2 where Col2 is not null limit 22 label Col2 ''"", 0)), """")"),"")</f>
        <v/>
      </c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8"/>
      <c r="AO27" s="28"/>
      <c r="AP27" s="29"/>
      <c r="AQ27" s="29" t="str">
        <f t="shared" ref="AQ27:BL27" si="30">T27/T$2</f>
        <v>#N/A</v>
      </c>
      <c r="AR27" s="29" t="str">
        <f t="shared" si="30"/>
        <v>#DIV/0!</v>
      </c>
      <c r="AS27" s="29" t="str">
        <f t="shared" si="30"/>
        <v>#DIV/0!</v>
      </c>
      <c r="AT27" s="29" t="str">
        <f t="shared" si="30"/>
        <v>#DIV/0!</v>
      </c>
      <c r="AU27" s="29" t="str">
        <f t="shared" si="30"/>
        <v>#DIV/0!</v>
      </c>
      <c r="AV27" s="29" t="str">
        <f t="shared" si="30"/>
        <v>#DIV/0!</v>
      </c>
      <c r="AW27" s="29" t="str">
        <f t="shared" si="30"/>
        <v>#DIV/0!</v>
      </c>
      <c r="AX27" s="29" t="str">
        <f t="shared" si="30"/>
        <v>#DIV/0!</v>
      </c>
      <c r="AY27" s="29" t="str">
        <f t="shared" si="30"/>
        <v>#DIV/0!</v>
      </c>
      <c r="AZ27" s="29" t="str">
        <f t="shared" si="30"/>
        <v>#DIV/0!</v>
      </c>
      <c r="BA27" s="29" t="str">
        <f t="shared" si="30"/>
        <v>#DIV/0!</v>
      </c>
      <c r="BB27" s="29" t="str">
        <f t="shared" si="30"/>
        <v>#DIV/0!</v>
      </c>
      <c r="BC27" s="29" t="str">
        <f t="shared" si="30"/>
        <v>#DIV/0!</v>
      </c>
      <c r="BD27" s="29" t="str">
        <f t="shared" si="30"/>
        <v>#DIV/0!</v>
      </c>
      <c r="BE27" s="29" t="str">
        <f t="shared" si="30"/>
        <v>#DIV/0!</v>
      </c>
      <c r="BF27" s="29" t="str">
        <f t="shared" si="30"/>
        <v>#DIV/0!</v>
      </c>
      <c r="BG27" s="29" t="str">
        <f t="shared" si="30"/>
        <v>#DIV/0!</v>
      </c>
      <c r="BH27" s="29" t="str">
        <f t="shared" si="30"/>
        <v>#DIV/0!</v>
      </c>
      <c r="BI27" s="29" t="str">
        <f t="shared" si="30"/>
        <v>#DIV/0!</v>
      </c>
      <c r="BJ27" s="29" t="str">
        <f t="shared" si="30"/>
        <v>#DIV/0!</v>
      </c>
      <c r="BK27" s="29" t="str">
        <f t="shared" si="30"/>
        <v>#DIV/0!</v>
      </c>
      <c r="BL27" s="29" t="str">
        <f t="shared" si="30"/>
        <v>#DIV/0!</v>
      </c>
      <c r="BM27" s="29" t="str">
        <f t="shared" si="3"/>
        <v>#DIV/0!</v>
      </c>
    </row>
    <row r="28">
      <c r="A28" s="16" t="str">
        <f>IFERROR(__xludf.DUMMYFUNCTION("IFERROR(SPARKLINE(SORT(MAP(TRANSPOSE(AQ28:BL28), LAMBDA(val, IF(ISNUMBER(val), PERCENTRANK(AQ28:BL28, val)+0.01, 0))), SEQUENCE(COLUMNS(AQ28:BL28)), FALSE), {""charttype"",""column""; ""color"",""chartreuse""; ""ymin"", 0; ""ymax"", 1.01; ""highcolor"", "&amp;"""darkgreen""; ""lowcolor"", ""red""}), """")"),"")</f>
        <v/>
      </c>
      <c r="B28" s="17" t="str">
        <f t="shared" si="4"/>
        <v/>
      </c>
      <c r="C28" s="1" t="s">
        <v>2763</v>
      </c>
      <c r="D28" s="30" t="str">
        <f>IFERROR(__xludf.DUMMYFUNCTION("IFERROR(GOOGLEFINANCE(C28, ""NAME""))"),"Crown Castle Inc")</f>
        <v>Crown Castle Inc</v>
      </c>
      <c r="E28" s="30" t="s">
        <v>2709</v>
      </c>
      <c r="F28" s="33" t="str">
        <f>IFERROR(__xludf.DUMMYFUNCTION("( (GOOGLEFINANCE(C28, ""price"") - Q28) / Q28 ) / (R28 / 100)"),"Loading...")</f>
        <v>Loading...</v>
      </c>
      <c r="G28" s="20" t="str">
        <f>IFERROR(__xludf.DUMMYFUNCTION("AVERAGE(ARRAYFORMULA(100 * (QUERY(GOOGLEFINANCE(C28, ""high"", TODAY()-40, TODAY()), ""SELECT Col2 WHERE Col2 IS NOT NULL ORDER BY Col1 DESC LIMIT 20"", 0) / QUERY(GOOGLEFINANCE(C28, ""low"", TODAY()-40, TODAY()), ""SELECT Col2 WHERE Col2 IS NOT NULL ORDE"&amp;"R BY Col1 DESC LIMIT 20"", 0) - 1)))"),"#N/A")</f>
        <v>#N/A</v>
      </c>
      <c r="H28" s="35" t="str">
        <f t="shared" si="6"/>
        <v>Liquid</v>
      </c>
      <c r="I28" s="35" t="str">
        <f t="shared" si="7"/>
        <v>RVol Required</v>
      </c>
      <c r="J28" s="37">
        <f>IFERROR(__xludf.DUMMYFUNCTION("IFERROR(
  IF(C28="""",, 
    IFERROR(
      GOOGLEFINANCE(C28, ""price"") * GOOGLEFINANCE(C28, ""volumeavg""), 
      GOOGLEFINANCE(C28, ""price"") * AVERAGE(QUERY(GOOGLEFINANCE(C28, ""volume"", TODAY()-40, TODAY()), ""SELECT Col2 WHERE Col2 IS NOT NULL "&amp;"ORDER BY Col1 DESC LIMIT 20"", 0))
    )
  ), 
"""")"),3.3930719964000005E8)</f>
        <v>339307199.6</v>
      </c>
      <c r="K28" s="21">
        <f>IFERROR(__xludf.DUMMYFUNCTION("IFERROR(GOOGLEFINANCE(C28, ""changepct"") / 100, """")"),0.028300000000000002)</f>
        <v>0.0283</v>
      </c>
      <c r="L28" s="21" t="str">
        <f>IFERROR(__xludf.DUMMYFUNCTION("IFERROR((GOOGLEFINANCE(C28, ""price"") / INDEX(GOOGLEFINANCE(C28, ""price"", TODAY()-7, TODAY()), 2, 2)) - 1, """")"),"")</f>
        <v/>
      </c>
      <c r="M28" s="21" t="str">
        <f>IFERROR(__xludf.DUMMYFUNCTION("IFERROR((GOOGLEFINANCE(C28, ""price"") / INDEX(GOOGLEFINANCE(C28, ""price"", EDATE(TODAY(), -1), TODAY()), 2, 2)) - 1, """")"),"")</f>
        <v/>
      </c>
      <c r="N28" s="21" t="str">
        <f>IFERROR(__xludf.DUMMYFUNCTION("IFERROR((GOOGLEFINANCE(C28, ""price"") / INDEX(GOOGLEFINANCE(C28, ""price"", EDATE(TODAY(), -3), TODAY()), 2, 2)) - 1, """")"),"")</f>
        <v/>
      </c>
      <c r="O28" s="21" t="str">
        <f>IFERROR(__xludf.DUMMYFUNCTION("IFERROR((GOOGLEFINANCE(C28, ""price"") / INDEX(GOOGLEFINANCE(C28, ""price"", EDATE(TODAY(), -6), TODAY()), 2, 2)) - 1, """")"),"")</f>
        <v/>
      </c>
      <c r="P28" s="21" t="str">
        <f>IFERROR(__xludf.DUMMYFUNCTION("IFERROR((GOOGLEFINANCE(C28, ""price"") / INDEX(GOOGLEFINANCE(C28, ""price"", EDATE(TODAY(), -12), TODAY()), 2, 2)) - 1, """")"),"")</f>
        <v/>
      </c>
      <c r="Q28" s="6" t="str">
        <f>IFERROR(__xludf.DUMMYFUNCTION("AVERAGE(QUERY(GOOGLEFINANCE(C28, ""price"", TODAY()-80, TODAY()), ""SELECT Col2 WHERE Col2 IS NOT NULL ORDER BY Col1 DESC LIMIT 50"", 0))"),"#N/A")</f>
        <v>#N/A</v>
      </c>
      <c r="R28" s="24" t="str">
        <f>IFERROR(__xludf.DUMMYFUNCTION("IFERROR(
  LET(
    data, QUERY(GOOGLEFINANCE(C28,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GOOGLEFINANCE(C28, ""price"")) * 100,
    IF(calc=0, G28, calc)
  ), 
G28)"),"#N/A")</f>
        <v>#N/A</v>
      </c>
      <c r="S28" s="8" t="s">
        <v>15</v>
      </c>
      <c r="T28" s="26" t="str">
        <f>IFERROR(__xludf.DUMMYFUNCTION("IFERROR(TRANSPOSE(QUERY(IFERROR(SORT(GOOGLEFINANCE(C28, ""price"", WORKDAY(TODAY(), -40), TODAY()), 1, FALSE)), ""select Col2 where Col2 is not null limit 22 label Col2 ''"", 0)), """")"),"")</f>
        <v/>
      </c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8"/>
      <c r="AO28" s="28"/>
      <c r="AP28" s="29"/>
      <c r="AQ28" s="29" t="str">
        <f t="shared" ref="AQ28:BL28" si="31">T28/T$2</f>
        <v>#N/A</v>
      </c>
      <c r="AR28" s="29" t="str">
        <f t="shared" si="31"/>
        <v>#DIV/0!</v>
      </c>
      <c r="AS28" s="29" t="str">
        <f t="shared" si="31"/>
        <v>#DIV/0!</v>
      </c>
      <c r="AT28" s="29" t="str">
        <f t="shared" si="31"/>
        <v>#DIV/0!</v>
      </c>
      <c r="AU28" s="29" t="str">
        <f t="shared" si="31"/>
        <v>#DIV/0!</v>
      </c>
      <c r="AV28" s="29" t="str">
        <f t="shared" si="31"/>
        <v>#DIV/0!</v>
      </c>
      <c r="AW28" s="29" t="str">
        <f t="shared" si="31"/>
        <v>#DIV/0!</v>
      </c>
      <c r="AX28" s="29" t="str">
        <f t="shared" si="31"/>
        <v>#DIV/0!</v>
      </c>
      <c r="AY28" s="29" t="str">
        <f t="shared" si="31"/>
        <v>#DIV/0!</v>
      </c>
      <c r="AZ28" s="29" t="str">
        <f t="shared" si="31"/>
        <v>#DIV/0!</v>
      </c>
      <c r="BA28" s="29" t="str">
        <f t="shared" si="31"/>
        <v>#DIV/0!</v>
      </c>
      <c r="BB28" s="29" t="str">
        <f t="shared" si="31"/>
        <v>#DIV/0!</v>
      </c>
      <c r="BC28" s="29" t="str">
        <f t="shared" si="31"/>
        <v>#DIV/0!</v>
      </c>
      <c r="BD28" s="29" t="str">
        <f t="shared" si="31"/>
        <v>#DIV/0!</v>
      </c>
      <c r="BE28" s="29" t="str">
        <f t="shared" si="31"/>
        <v>#DIV/0!</v>
      </c>
      <c r="BF28" s="29" t="str">
        <f t="shared" si="31"/>
        <v>#DIV/0!</v>
      </c>
      <c r="BG28" s="29" t="str">
        <f t="shared" si="31"/>
        <v>#DIV/0!</v>
      </c>
      <c r="BH28" s="29" t="str">
        <f t="shared" si="31"/>
        <v>#DIV/0!</v>
      </c>
      <c r="BI28" s="29" t="str">
        <f t="shared" si="31"/>
        <v>#DIV/0!</v>
      </c>
      <c r="BJ28" s="29" t="str">
        <f t="shared" si="31"/>
        <v>#DIV/0!</v>
      </c>
      <c r="BK28" s="29" t="str">
        <f t="shared" si="31"/>
        <v>#DIV/0!</v>
      </c>
      <c r="BL28" s="29" t="str">
        <f t="shared" si="31"/>
        <v>#DIV/0!</v>
      </c>
      <c r="BM28" s="29" t="str">
        <f t="shared" si="3"/>
        <v>#DIV/0!</v>
      </c>
    </row>
    <row r="29">
      <c r="A29" s="16" t="str">
        <f>IFERROR(__xludf.DUMMYFUNCTION("IFERROR(SPARKLINE(SORT(MAP(TRANSPOSE(AQ29:BL29), LAMBDA(val, IF(ISNUMBER(val), PERCENTRANK(AQ29:BL29, val)+0.01, 0))), SEQUENCE(COLUMNS(AQ29:BL29)), FALSE), {""charttype"",""column""; ""color"",""chartreuse""; ""ymin"", 0; ""ymax"", 1.01; ""highcolor"", "&amp;"""darkgreen""; ""lowcolor"", ""red""}), """")"),"")</f>
        <v/>
      </c>
      <c r="B29" s="17" t="str">
        <f t="shared" si="4"/>
        <v/>
      </c>
      <c r="C29" s="1" t="s">
        <v>2767</v>
      </c>
      <c r="D29" s="30" t="str">
        <f>IFERROR(__xludf.DUMMYFUNCTION("IFERROR(GOOGLEFINANCE(C29, ""NAME""))"),"Summit Hotel Properties Inc")</f>
        <v>Summit Hotel Properties Inc</v>
      </c>
      <c r="E29" s="30" t="s">
        <v>2674</v>
      </c>
      <c r="F29" s="33" t="str">
        <f>IFERROR(__xludf.DUMMYFUNCTION("( (GOOGLEFINANCE(C29, ""price"") - Q29) / Q29 ) / (R29 / 100)"),"Loading...")</f>
        <v>Loading...</v>
      </c>
      <c r="G29" s="20" t="str">
        <f>IFERROR(__xludf.DUMMYFUNCTION("AVERAGE(ARRAYFORMULA(100 * (QUERY(GOOGLEFINANCE(C29, ""high"", TODAY()-40, TODAY()), ""SELECT Col2 WHERE Col2 IS NOT NULL ORDER BY Col1 DESC LIMIT 20"", 0) / QUERY(GOOGLEFINANCE(C29, ""low"", TODAY()-40, TODAY()), ""SELECT Col2 WHERE Col2 IS NOT NULL ORDE"&amp;"R BY Col1 DESC LIMIT 20"", 0) - 1)))"),"#N/A")</f>
        <v>#N/A</v>
      </c>
      <c r="H29" s="35" t="str">
        <f t="shared" si="6"/>
        <v>Illiquid</v>
      </c>
      <c r="I29" s="35" t="str">
        <f t="shared" si="7"/>
        <v>RVol Required</v>
      </c>
      <c r="J29" s="37">
        <f>IFERROR(__xludf.DUMMYFUNCTION("IFERROR(
  IF(C29="""",, 
    IFERROR(
      GOOGLEFINANCE(C29, ""price"") * GOOGLEFINANCE(C29, ""volumeavg""), 
      GOOGLEFINANCE(C29, ""price"") * AVERAGE(QUERY(GOOGLEFINANCE(C29, ""volume"", TODAY()-40, TODAY()), ""SELECT Col2 WHERE Col2 IS NOT NULL "&amp;"ORDER BY Col1 DESC LIMIT 20"", 0))
    )
  ), 
"""")"),7493427.36)</f>
        <v>7493427.36</v>
      </c>
      <c r="K29" s="21">
        <f>IFERROR(__xludf.DUMMYFUNCTION("IFERROR(GOOGLEFINANCE(C29, ""changepct"") / 100, """")"),0.0187)</f>
        <v>0.0187</v>
      </c>
      <c r="L29" s="21" t="str">
        <f>IFERROR(__xludf.DUMMYFUNCTION("IFERROR((GOOGLEFINANCE(C29, ""price"") / INDEX(GOOGLEFINANCE(C29, ""price"", TODAY()-7, TODAY()), 2, 2)) - 1, """")"),"")</f>
        <v/>
      </c>
      <c r="M29" s="21" t="str">
        <f>IFERROR(__xludf.DUMMYFUNCTION("IFERROR((GOOGLEFINANCE(C29, ""price"") / INDEX(GOOGLEFINANCE(C29, ""price"", EDATE(TODAY(), -1), TODAY()), 2, 2)) - 1, """")"),"")</f>
        <v/>
      </c>
      <c r="N29" s="21" t="str">
        <f>IFERROR(__xludf.DUMMYFUNCTION("IFERROR((GOOGLEFINANCE(C29, ""price"") / INDEX(GOOGLEFINANCE(C29, ""price"", EDATE(TODAY(), -3), TODAY()), 2, 2)) - 1, """")"),"")</f>
        <v/>
      </c>
      <c r="O29" s="21" t="str">
        <f>IFERROR(__xludf.DUMMYFUNCTION("IFERROR((GOOGLEFINANCE(C29, ""price"") / INDEX(GOOGLEFINANCE(C29, ""price"", EDATE(TODAY(), -6), TODAY()), 2, 2)) - 1, """")"),"")</f>
        <v/>
      </c>
      <c r="P29" s="21" t="str">
        <f>IFERROR(__xludf.DUMMYFUNCTION("IFERROR((GOOGLEFINANCE(C29, ""price"") / INDEX(GOOGLEFINANCE(C29, ""price"", EDATE(TODAY(), -12), TODAY()), 2, 2)) - 1, """")"),"")</f>
        <v/>
      </c>
      <c r="Q29" s="6" t="str">
        <f>IFERROR(__xludf.DUMMYFUNCTION("AVERAGE(QUERY(GOOGLEFINANCE(C29, ""price"", TODAY()-80, TODAY()), ""SELECT Col2 WHERE Col2 IS NOT NULL ORDER BY Col1 DESC LIMIT 50"", 0))"),"#N/A")</f>
        <v>#N/A</v>
      </c>
      <c r="R29" s="24" t="str">
        <f>IFERROR(__xludf.DUMMYFUNCTION("IFERROR(
  LET(
    data, QUERY(GOOGLEFINANCE(C29,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GOOGLEFINANCE(C29, ""price"")) * 100,
    IF(calc=0, G29, calc)
  ), 
G29)"),"#N/A")</f>
        <v>#N/A</v>
      </c>
      <c r="S29" s="8" t="s">
        <v>15</v>
      </c>
      <c r="T29" s="26" t="str">
        <f>IFERROR(__xludf.DUMMYFUNCTION("IFERROR(TRANSPOSE(QUERY(IFERROR(SORT(GOOGLEFINANCE(C29, ""price"", WORKDAY(TODAY(), -40), TODAY()), 1, FALSE)), ""select Col2 where Col2 is not null limit 22 label Col2 ''"", 0)), """")"),"")</f>
        <v/>
      </c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8"/>
      <c r="AO29" s="28"/>
      <c r="AP29" s="29"/>
      <c r="AQ29" s="29" t="str">
        <f t="shared" ref="AQ29:BL29" si="32">T29/T$2</f>
        <v>#N/A</v>
      </c>
      <c r="AR29" s="29" t="str">
        <f t="shared" si="32"/>
        <v>#DIV/0!</v>
      </c>
      <c r="AS29" s="29" t="str">
        <f t="shared" si="32"/>
        <v>#DIV/0!</v>
      </c>
      <c r="AT29" s="29" t="str">
        <f t="shared" si="32"/>
        <v>#DIV/0!</v>
      </c>
      <c r="AU29" s="29" t="str">
        <f t="shared" si="32"/>
        <v>#DIV/0!</v>
      </c>
      <c r="AV29" s="29" t="str">
        <f t="shared" si="32"/>
        <v>#DIV/0!</v>
      </c>
      <c r="AW29" s="29" t="str">
        <f t="shared" si="32"/>
        <v>#DIV/0!</v>
      </c>
      <c r="AX29" s="29" t="str">
        <f t="shared" si="32"/>
        <v>#DIV/0!</v>
      </c>
      <c r="AY29" s="29" t="str">
        <f t="shared" si="32"/>
        <v>#DIV/0!</v>
      </c>
      <c r="AZ29" s="29" t="str">
        <f t="shared" si="32"/>
        <v>#DIV/0!</v>
      </c>
      <c r="BA29" s="29" t="str">
        <f t="shared" si="32"/>
        <v>#DIV/0!</v>
      </c>
      <c r="BB29" s="29" t="str">
        <f t="shared" si="32"/>
        <v>#DIV/0!</v>
      </c>
      <c r="BC29" s="29" t="str">
        <f t="shared" si="32"/>
        <v>#DIV/0!</v>
      </c>
      <c r="BD29" s="29" t="str">
        <f t="shared" si="32"/>
        <v>#DIV/0!</v>
      </c>
      <c r="BE29" s="29" t="str">
        <f t="shared" si="32"/>
        <v>#DIV/0!</v>
      </c>
      <c r="BF29" s="29" t="str">
        <f t="shared" si="32"/>
        <v>#DIV/0!</v>
      </c>
      <c r="BG29" s="29" t="str">
        <f t="shared" si="32"/>
        <v>#DIV/0!</v>
      </c>
      <c r="BH29" s="29" t="str">
        <f t="shared" si="32"/>
        <v>#DIV/0!</v>
      </c>
      <c r="BI29" s="29" t="str">
        <f t="shared" si="32"/>
        <v>#DIV/0!</v>
      </c>
      <c r="BJ29" s="29" t="str">
        <f t="shared" si="32"/>
        <v>#DIV/0!</v>
      </c>
      <c r="BK29" s="29" t="str">
        <f t="shared" si="32"/>
        <v>#DIV/0!</v>
      </c>
      <c r="BL29" s="29" t="str">
        <f t="shared" si="32"/>
        <v>#DIV/0!</v>
      </c>
      <c r="BM29" s="29" t="str">
        <f t="shared" si="3"/>
        <v>#DIV/0!</v>
      </c>
    </row>
    <row r="30">
      <c r="A30" s="16" t="str">
        <f>IFERROR(__xludf.DUMMYFUNCTION("IFERROR(SPARKLINE(SORT(MAP(TRANSPOSE(AQ30:BL30), LAMBDA(val, IF(ISNUMBER(val), PERCENTRANK(AQ30:BL30, val)+0.01, 0))), SEQUENCE(COLUMNS(AQ30:BL30)), FALSE), {""charttype"",""column""; ""color"",""chartreuse""; ""ymin"", 0; ""ymax"", 1.01; ""highcolor"", "&amp;"""darkgreen""; ""lowcolor"", ""red""}), """")"),"")</f>
        <v/>
      </c>
      <c r="B30" s="17" t="str">
        <f t="shared" si="4"/>
        <v/>
      </c>
      <c r="C30" s="1" t="s">
        <v>2771</v>
      </c>
      <c r="D30" s="30" t="str">
        <f>IFERROR(__xludf.DUMMYFUNCTION("IFERROR(GOOGLEFINANCE(C30, ""NAME""))"),"Compass Inc")</f>
        <v>Compass Inc</v>
      </c>
      <c r="E30" s="30" t="s">
        <v>2692</v>
      </c>
      <c r="F30" s="33" t="str">
        <f>IFERROR(__xludf.DUMMYFUNCTION("( (GOOGLEFINANCE(C30, ""price"") - Q30) / Q30 ) / (R30 / 100)"),"Loading...")</f>
        <v>Loading...</v>
      </c>
      <c r="G30" s="20" t="str">
        <f>IFERROR(__xludf.DUMMYFUNCTION("AVERAGE(ARRAYFORMULA(100 * (QUERY(GOOGLEFINANCE(C30, ""high"", TODAY()-40, TODAY()), ""SELECT Col2 WHERE Col2 IS NOT NULL ORDER BY Col1 DESC LIMIT 20"", 0) / QUERY(GOOGLEFINANCE(C30, ""low"", TODAY()-40, TODAY()), ""SELECT Col2 WHERE Col2 IS NOT NULL ORDE"&amp;"R BY Col1 DESC LIMIT 20"", 0) - 1)))"),"#N/A")</f>
        <v>#N/A</v>
      </c>
      <c r="H30" s="35" t="str">
        <f t="shared" si="6"/>
        <v>Liquid</v>
      </c>
      <c r="I30" s="35" t="str">
        <f t="shared" si="7"/>
        <v>RVol Required</v>
      </c>
      <c r="J30" s="37">
        <f>IFERROR(__xludf.DUMMYFUNCTION("IFERROR(
  IF(C30="""",, 
    IFERROR(
      GOOGLEFINANCE(C30, ""price"") * GOOGLEFINANCE(C30, ""volumeavg""), 
      GOOGLEFINANCE(C30, ""price"") * AVERAGE(QUERY(GOOGLEFINANCE(C30, ""volume"", TODAY()-40, TODAY()), ""SELECT Col2 WHERE Col2 IS NOT NULL "&amp;"ORDER BY Col1 DESC LIMIT 20"", 0))
    )
  ), 
"""")"),1.4539452873000002E8)</f>
        <v>145394528.7</v>
      </c>
      <c r="K30" s="21">
        <f>IFERROR(__xludf.DUMMYFUNCTION("IFERROR(GOOGLEFINANCE(C30, ""changepct"") / 100, """")"),-0.0509)</f>
        <v>-0.0509</v>
      </c>
      <c r="L30" s="21" t="str">
        <f>IFERROR(__xludf.DUMMYFUNCTION("IFERROR((GOOGLEFINANCE(C30, ""price"") / INDEX(GOOGLEFINANCE(C30, ""price"", TODAY()-7, TODAY()), 2, 2)) - 1, """")"),"")</f>
        <v/>
      </c>
      <c r="M30" s="21" t="str">
        <f>IFERROR(__xludf.DUMMYFUNCTION("IFERROR((GOOGLEFINANCE(C30, ""price"") / INDEX(GOOGLEFINANCE(C30, ""price"", EDATE(TODAY(), -1), TODAY()), 2, 2)) - 1, """")"),"")</f>
        <v/>
      </c>
      <c r="N30" s="21" t="str">
        <f>IFERROR(__xludf.DUMMYFUNCTION("IFERROR((GOOGLEFINANCE(C30, ""price"") / INDEX(GOOGLEFINANCE(C30, ""price"", EDATE(TODAY(), -3), TODAY()), 2, 2)) - 1, """")"),"")</f>
        <v/>
      </c>
      <c r="O30" s="21" t="str">
        <f>IFERROR(__xludf.DUMMYFUNCTION("IFERROR((GOOGLEFINANCE(C30, ""price"") / INDEX(GOOGLEFINANCE(C30, ""price"", EDATE(TODAY(), -6), TODAY()), 2, 2)) - 1, """")"),"")</f>
        <v/>
      </c>
      <c r="P30" s="21" t="str">
        <f>IFERROR(__xludf.DUMMYFUNCTION("IFERROR((GOOGLEFINANCE(C30, ""price"") / INDEX(GOOGLEFINANCE(C30, ""price"", EDATE(TODAY(), -12), TODAY()), 2, 2)) - 1, """")"),"")</f>
        <v/>
      </c>
      <c r="Q30" s="6" t="str">
        <f>IFERROR(__xludf.DUMMYFUNCTION("AVERAGE(QUERY(GOOGLEFINANCE(C30, ""price"", TODAY()-80, TODAY()), ""SELECT Col2 WHERE Col2 IS NOT NULL ORDER BY Col1 DESC LIMIT 50"", 0))"),"#N/A")</f>
        <v>#N/A</v>
      </c>
      <c r="R30" s="24" t="str">
        <f>IFERROR(__xludf.DUMMYFUNCTION("IFERROR(
  LET(
    data, QUERY(GOOGLEFINANCE(C30,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GOOGLEFINANCE(C30, ""price"")) * 100,
    IF(calc=0, G30, calc)
  ), 
G30)"),"#N/A")</f>
        <v>#N/A</v>
      </c>
      <c r="S30" s="8" t="s">
        <v>15</v>
      </c>
      <c r="T30" s="26" t="str">
        <f>IFERROR(__xludf.DUMMYFUNCTION("IFERROR(TRANSPOSE(QUERY(IFERROR(SORT(GOOGLEFINANCE(C30, ""price"", WORKDAY(TODAY(), -40), TODAY()), 1, FALSE)), ""select Col2 where Col2 is not null limit 22 label Col2 ''"", 0)), """")"),"")</f>
        <v/>
      </c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8"/>
      <c r="AO30" s="28"/>
      <c r="AP30" s="29"/>
      <c r="AQ30" s="29" t="str">
        <f t="shared" ref="AQ30:BL30" si="33">T30/T$2</f>
        <v>#N/A</v>
      </c>
      <c r="AR30" s="29" t="str">
        <f t="shared" si="33"/>
        <v>#DIV/0!</v>
      </c>
      <c r="AS30" s="29" t="str">
        <f t="shared" si="33"/>
        <v>#DIV/0!</v>
      </c>
      <c r="AT30" s="29" t="str">
        <f t="shared" si="33"/>
        <v>#DIV/0!</v>
      </c>
      <c r="AU30" s="29" t="str">
        <f t="shared" si="33"/>
        <v>#DIV/0!</v>
      </c>
      <c r="AV30" s="29" t="str">
        <f t="shared" si="33"/>
        <v>#DIV/0!</v>
      </c>
      <c r="AW30" s="29" t="str">
        <f t="shared" si="33"/>
        <v>#DIV/0!</v>
      </c>
      <c r="AX30" s="29" t="str">
        <f t="shared" si="33"/>
        <v>#DIV/0!</v>
      </c>
      <c r="AY30" s="29" t="str">
        <f t="shared" si="33"/>
        <v>#DIV/0!</v>
      </c>
      <c r="AZ30" s="29" t="str">
        <f t="shared" si="33"/>
        <v>#DIV/0!</v>
      </c>
      <c r="BA30" s="29" t="str">
        <f t="shared" si="33"/>
        <v>#DIV/0!</v>
      </c>
      <c r="BB30" s="29" t="str">
        <f t="shared" si="33"/>
        <v>#DIV/0!</v>
      </c>
      <c r="BC30" s="29" t="str">
        <f t="shared" si="33"/>
        <v>#DIV/0!</v>
      </c>
      <c r="BD30" s="29" t="str">
        <f t="shared" si="33"/>
        <v>#DIV/0!</v>
      </c>
      <c r="BE30" s="29" t="str">
        <f t="shared" si="33"/>
        <v>#DIV/0!</v>
      </c>
      <c r="BF30" s="29" t="str">
        <f t="shared" si="33"/>
        <v>#DIV/0!</v>
      </c>
      <c r="BG30" s="29" t="str">
        <f t="shared" si="33"/>
        <v>#DIV/0!</v>
      </c>
      <c r="BH30" s="29" t="str">
        <f t="shared" si="33"/>
        <v>#DIV/0!</v>
      </c>
      <c r="BI30" s="29" t="str">
        <f t="shared" si="33"/>
        <v>#DIV/0!</v>
      </c>
      <c r="BJ30" s="29" t="str">
        <f t="shared" si="33"/>
        <v>#DIV/0!</v>
      </c>
      <c r="BK30" s="29" t="str">
        <f t="shared" si="33"/>
        <v>#DIV/0!</v>
      </c>
      <c r="BL30" s="29" t="str">
        <f t="shared" si="33"/>
        <v>#DIV/0!</v>
      </c>
      <c r="BM30" s="29" t="str">
        <f t="shared" si="3"/>
        <v>#DIV/0!</v>
      </c>
    </row>
    <row r="31">
      <c r="A31" s="16" t="str">
        <f>IFERROR(__xludf.DUMMYFUNCTION("IFERROR(SPARKLINE(SORT(MAP(TRANSPOSE(AQ31:BL31), LAMBDA(val, IF(ISNUMBER(val), PERCENTRANK(AQ31:BL31, val)+0.01, 0))), SEQUENCE(COLUMNS(AQ31:BL31)), FALSE), {""charttype"",""column""; ""color"",""chartreuse""; ""ymin"", 0; ""ymax"", 1.01; ""highcolor"", "&amp;"""darkgreen""; ""lowcolor"", ""red""}), """")"),"")</f>
        <v/>
      </c>
      <c r="B31" s="17" t="str">
        <f t="shared" si="4"/>
        <v/>
      </c>
      <c r="C31" s="1" t="s">
        <v>2774</v>
      </c>
      <c r="D31" s="30" t="str">
        <f>IFERROR(__xludf.DUMMYFUNCTION("IFERROR(GOOGLEFINANCE(C31, ""NAME""))"),"Outfront Media Inc")</f>
        <v>Outfront Media Inc</v>
      </c>
      <c r="E31" s="30" t="s">
        <v>2709</v>
      </c>
      <c r="F31" s="33" t="str">
        <f>IFERROR(__xludf.DUMMYFUNCTION("( (GOOGLEFINANCE(C31, ""price"") - Q31) / Q31 ) / (R31 / 100)"),"Loading...")</f>
        <v>Loading...</v>
      </c>
      <c r="G31" s="20" t="str">
        <f>IFERROR(__xludf.DUMMYFUNCTION("AVERAGE(ARRAYFORMULA(100 * (QUERY(GOOGLEFINANCE(C31, ""high"", TODAY()-40, TODAY()), ""SELECT Col2 WHERE Col2 IS NOT NULL ORDER BY Col1 DESC LIMIT 20"", 0) / QUERY(GOOGLEFINANCE(C31, ""low"", TODAY()-40, TODAY()), ""SELECT Col2 WHERE Col2 IS NOT NULL ORDE"&amp;"R BY Col1 DESC LIMIT 20"", 0) - 1)))"),"#N/A")</f>
        <v>#N/A</v>
      </c>
      <c r="H31" s="35" t="str">
        <f t="shared" si="6"/>
        <v>Illiquid</v>
      </c>
      <c r="I31" s="35" t="str">
        <f t="shared" si="7"/>
        <v>RVol Required</v>
      </c>
      <c r="J31" s="37">
        <f>IFERROR(__xludf.DUMMYFUNCTION("IFERROR(
  IF(C31="""",, 
    IFERROR(
      GOOGLEFINANCE(C31, ""price"") * GOOGLEFINANCE(C31, ""volumeavg""), 
      GOOGLEFINANCE(C31, ""price"") * AVERAGE(QUERY(GOOGLEFINANCE(C31, ""volume"", TODAY()-40, TODAY()), ""SELECT Col2 WHERE Col2 IS NOT NULL "&amp;"ORDER BY Col1 DESC LIMIT 20"", 0))
    )
  ), 
"""")"),4.850640928E7)</f>
        <v>48506409.28</v>
      </c>
      <c r="K31" s="21">
        <f>IFERROR(__xludf.DUMMYFUNCTION("IFERROR(GOOGLEFINANCE(C31, ""changepct"") / 100, """")"),0.0144)</f>
        <v>0.0144</v>
      </c>
      <c r="L31" s="21" t="str">
        <f>IFERROR(__xludf.DUMMYFUNCTION("IFERROR((GOOGLEFINANCE(C31, ""price"") / INDEX(GOOGLEFINANCE(C31, ""price"", TODAY()-7, TODAY()), 2, 2)) - 1, """")"),"")</f>
        <v/>
      </c>
      <c r="M31" s="21" t="str">
        <f>IFERROR(__xludf.DUMMYFUNCTION("IFERROR((GOOGLEFINANCE(C31, ""price"") / INDEX(GOOGLEFINANCE(C31, ""price"", EDATE(TODAY(), -1), TODAY()), 2, 2)) - 1, """")"),"")</f>
        <v/>
      </c>
      <c r="N31" s="21" t="str">
        <f>IFERROR(__xludf.DUMMYFUNCTION("IFERROR((GOOGLEFINANCE(C31, ""price"") / INDEX(GOOGLEFINANCE(C31, ""price"", EDATE(TODAY(), -3), TODAY()), 2, 2)) - 1, """")"),"")</f>
        <v/>
      </c>
      <c r="O31" s="21" t="str">
        <f>IFERROR(__xludf.DUMMYFUNCTION("IFERROR((GOOGLEFINANCE(C31, ""price"") / INDEX(GOOGLEFINANCE(C31, ""price"", EDATE(TODAY(), -6), TODAY()), 2, 2)) - 1, """")"),"")</f>
        <v/>
      </c>
      <c r="P31" s="21" t="str">
        <f>IFERROR(__xludf.DUMMYFUNCTION("IFERROR((GOOGLEFINANCE(C31, ""price"") / INDEX(GOOGLEFINANCE(C31, ""price"", EDATE(TODAY(), -12), TODAY()), 2, 2)) - 1, """")"),"")</f>
        <v/>
      </c>
      <c r="Q31" s="6" t="str">
        <f>IFERROR(__xludf.DUMMYFUNCTION("AVERAGE(QUERY(GOOGLEFINANCE(C31, ""price"", TODAY()-80, TODAY()), ""SELECT Col2 WHERE Col2 IS NOT NULL ORDER BY Col1 DESC LIMIT 50"", 0))"),"#N/A")</f>
        <v>#N/A</v>
      </c>
      <c r="R31" s="24" t="str">
        <f>IFERROR(__xludf.DUMMYFUNCTION("IFERROR(
  LET(
    data, QUERY(GOOGLEFINANCE(C31,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GOOGLEFINANCE(C31, ""price"")) * 100,
    IF(calc=0, G31, calc)
  ), 
G31)"),"#N/A")</f>
        <v>#N/A</v>
      </c>
      <c r="S31" s="8" t="s">
        <v>15</v>
      </c>
      <c r="T31" s="26" t="str">
        <f>IFERROR(__xludf.DUMMYFUNCTION("IFERROR(TRANSPOSE(QUERY(IFERROR(SORT(GOOGLEFINANCE(C31, ""price"", WORKDAY(TODAY(), -40), TODAY()), 1, FALSE)), ""select Col2 where Col2 is not null limit 22 label Col2 ''"", 0)), """")"),"")</f>
        <v/>
      </c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8"/>
      <c r="AO31" s="28"/>
      <c r="AP31" s="29"/>
      <c r="AQ31" s="29" t="str">
        <f t="shared" ref="AQ31:BL31" si="34">T31/T$2</f>
        <v>#N/A</v>
      </c>
      <c r="AR31" s="29" t="str">
        <f t="shared" si="34"/>
        <v>#DIV/0!</v>
      </c>
      <c r="AS31" s="29" t="str">
        <f t="shared" si="34"/>
        <v>#DIV/0!</v>
      </c>
      <c r="AT31" s="29" t="str">
        <f t="shared" si="34"/>
        <v>#DIV/0!</v>
      </c>
      <c r="AU31" s="29" t="str">
        <f t="shared" si="34"/>
        <v>#DIV/0!</v>
      </c>
      <c r="AV31" s="29" t="str">
        <f t="shared" si="34"/>
        <v>#DIV/0!</v>
      </c>
      <c r="AW31" s="29" t="str">
        <f t="shared" si="34"/>
        <v>#DIV/0!</v>
      </c>
      <c r="AX31" s="29" t="str">
        <f t="shared" si="34"/>
        <v>#DIV/0!</v>
      </c>
      <c r="AY31" s="29" t="str">
        <f t="shared" si="34"/>
        <v>#DIV/0!</v>
      </c>
      <c r="AZ31" s="29" t="str">
        <f t="shared" si="34"/>
        <v>#DIV/0!</v>
      </c>
      <c r="BA31" s="29" t="str">
        <f t="shared" si="34"/>
        <v>#DIV/0!</v>
      </c>
      <c r="BB31" s="29" t="str">
        <f t="shared" si="34"/>
        <v>#DIV/0!</v>
      </c>
      <c r="BC31" s="29" t="str">
        <f t="shared" si="34"/>
        <v>#DIV/0!</v>
      </c>
      <c r="BD31" s="29" t="str">
        <f t="shared" si="34"/>
        <v>#DIV/0!</v>
      </c>
      <c r="BE31" s="29" t="str">
        <f t="shared" si="34"/>
        <v>#DIV/0!</v>
      </c>
      <c r="BF31" s="29" t="str">
        <f t="shared" si="34"/>
        <v>#DIV/0!</v>
      </c>
      <c r="BG31" s="29" t="str">
        <f t="shared" si="34"/>
        <v>#DIV/0!</v>
      </c>
      <c r="BH31" s="29" t="str">
        <f t="shared" si="34"/>
        <v>#DIV/0!</v>
      </c>
      <c r="BI31" s="29" t="str">
        <f t="shared" si="34"/>
        <v>#DIV/0!</v>
      </c>
      <c r="BJ31" s="29" t="str">
        <f t="shared" si="34"/>
        <v>#DIV/0!</v>
      </c>
      <c r="BK31" s="29" t="str">
        <f t="shared" si="34"/>
        <v>#DIV/0!</v>
      </c>
      <c r="BL31" s="29" t="str">
        <f t="shared" si="34"/>
        <v>#DIV/0!</v>
      </c>
      <c r="BM31" s="29" t="str">
        <f t="shared" si="3"/>
        <v>#DIV/0!</v>
      </c>
    </row>
    <row r="32">
      <c r="A32" s="16" t="str">
        <f>IFERROR(__xludf.DUMMYFUNCTION("IFERROR(SPARKLINE(SORT(MAP(TRANSPOSE(AQ32:BL32), LAMBDA(val, IF(ISNUMBER(val), PERCENTRANK(AQ32:BL32, val)+0.01, 0))), SEQUENCE(COLUMNS(AQ32:BL32)), FALSE), {""charttype"",""column""; ""color"",""chartreuse""; ""ymin"", 0; ""ymax"", 1.01; ""highcolor"", "&amp;"""darkgreen""; ""lowcolor"", ""red""}), """")"),"")</f>
        <v/>
      </c>
      <c r="B32" s="17" t="str">
        <f t="shared" si="4"/>
        <v/>
      </c>
      <c r="C32" s="1" t="s">
        <v>2778</v>
      </c>
      <c r="D32" s="30" t="str">
        <f>IFERROR(__xludf.DUMMYFUNCTION("IFERROR(GOOGLEFINANCE(C32, ""NAME""))"),"Sunstone Hotel Investors Inc")</f>
        <v>Sunstone Hotel Investors Inc</v>
      </c>
      <c r="E32" s="30" t="s">
        <v>2674</v>
      </c>
      <c r="F32" s="33" t="str">
        <f>IFERROR(__xludf.DUMMYFUNCTION("( (GOOGLEFINANCE(C32, ""price"") - Q32) / Q32 ) / (R32 / 100)"),"Loading...")</f>
        <v>Loading...</v>
      </c>
      <c r="G32" s="20" t="str">
        <f>IFERROR(__xludf.DUMMYFUNCTION("AVERAGE(ARRAYFORMULA(100 * (QUERY(GOOGLEFINANCE(C32, ""high"", TODAY()-40, TODAY()), ""SELECT Col2 WHERE Col2 IS NOT NULL ORDER BY Col1 DESC LIMIT 20"", 0) / QUERY(GOOGLEFINANCE(C32, ""low"", TODAY()-40, TODAY()), ""SELECT Col2 WHERE Col2 IS NOT NULL ORDE"&amp;"R BY Col1 DESC LIMIT 20"", 0) - 1)))"),"#N/A")</f>
        <v>#N/A</v>
      </c>
      <c r="H32" s="35" t="str">
        <f t="shared" si="6"/>
        <v>Illiquid</v>
      </c>
      <c r="I32" s="35" t="str">
        <f t="shared" si="7"/>
        <v>RVol Required</v>
      </c>
      <c r="J32" s="37">
        <f>IFERROR(__xludf.DUMMYFUNCTION("IFERROR(
  IF(C32="""",, 
    IFERROR(
      GOOGLEFINANCE(C32, ""price"") * GOOGLEFINANCE(C32, ""volumeavg""), 
      GOOGLEFINANCE(C32, ""price"") * AVERAGE(QUERY(GOOGLEFINANCE(C32, ""volume"", TODAY()-40, TODAY()), ""SELECT Col2 WHERE Col2 IS NOT NULL "&amp;"ORDER BY Col1 DESC LIMIT 20"", 0))
    )
  ), 
"""")"),2.374396934E7)</f>
        <v>23743969.34</v>
      </c>
      <c r="K32" s="21">
        <f>IFERROR(__xludf.DUMMYFUNCTION("IFERROR(GOOGLEFINANCE(C32, ""changepct"") / 100, """")"),-0.0034000000000000002)</f>
        <v>-0.0034</v>
      </c>
      <c r="L32" s="21" t="str">
        <f>IFERROR(__xludf.DUMMYFUNCTION("IFERROR((GOOGLEFINANCE(C32, ""price"") / INDEX(GOOGLEFINANCE(C32, ""price"", TODAY()-7, TODAY()), 2, 2)) - 1, """")"),"")</f>
        <v/>
      </c>
      <c r="M32" s="21" t="str">
        <f>IFERROR(__xludf.DUMMYFUNCTION("IFERROR((GOOGLEFINANCE(C32, ""price"") / INDEX(GOOGLEFINANCE(C32, ""price"", EDATE(TODAY(), -1), TODAY()), 2, 2)) - 1, """")"),"")</f>
        <v/>
      </c>
      <c r="N32" s="21" t="str">
        <f>IFERROR(__xludf.DUMMYFUNCTION("IFERROR((GOOGLEFINANCE(C32, ""price"") / INDEX(GOOGLEFINANCE(C32, ""price"", EDATE(TODAY(), -3), TODAY()), 2, 2)) - 1, """")"),"")</f>
        <v/>
      </c>
      <c r="O32" s="21" t="str">
        <f>IFERROR(__xludf.DUMMYFUNCTION("IFERROR((GOOGLEFINANCE(C32, ""price"") / INDEX(GOOGLEFINANCE(C32, ""price"", EDATE(TODAY(), -6), TODAY()), 2, 2)) - 1, """")"),"")</f>
        <v/>
      </c>
      <c r="P32" s="21" t="str">
        <f>IFERROR(__xludf.DUMMYFUNCTION("IFERROR((GOOGLEFINANCE(C32, ""price"") / INDEX(GOOGLEFINANCE(C32, ""price"", EDATE(TODAY(), -12), TODAY()), 2, 2)) - 1, """")"),"")</f>
        <v/>
      </c>
      <c r="Q32" s="6" t="str">
        <f>IFERROR(__xludf.DUMMYFUNCTION("AVERAGE(QUERY(GOOGLEFINANCE(C32, ""price"", TODAY()-80, TODAY()), ""SELECT Col2 WHERE Col2 IS NOT NULL ORDER BY Col1 DESC LIMIT 50"", 0))"),"#N/A")</f>
        <v>#N/A</v>
      </c>
      <c r="R32" s="24" t="str">
        <f>IFERROR(__xludf.DUMMYFUNCTION("IFERROR(
  LET(
    data, QUERY(GOOGLEFINANCE(C32,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GOOGLEFINANCE(C32, ""price"")) * 100,
    IF(calc=0, G32, calc)
  ), 
G32)"),"#N/A")</f>
        <v>#N/A</v>
      </c>
      <c r="S32" s="8" t="s">
        <v>15</v>
      </c>
      <c r="T32" s="26" t="str">
        <f>IFERROR(__xludf.DUMMYFUNCTION("IFERROR(TRANSPOSE(QUERY(IFERROR(SORT(GOOGLEFINANCE(C32, ""price"", WORKDAY(TODAY(), -40), TODAY()), 1, FALSE)), ""select Col2 where Col2 is not null limit 22 label Col2 ''"", 0)), """")"),"")</f>
        <v/>
      </c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8"/>
      <c r="AO32" s="28"/>
      <c r="AP32" s="29"/>
      <c r="AQ32" s="29" t="str">
        <f t="shared" ref="AQ32:BL32" si="35">T32/T$2</f>
        <v>#N/A</v>
      </c>
      <c r="AR32" s="29" t="str">
        <f t="shared" si="35"/>
        <v>#DIV/0!</v>
      </c>
      <c r="AS32" s="29" t="str">
        <f t="shared" si="35"/>
        <v>#DIV/0!</v>
      </c>
      <c r="AT32" s="29" t="str">
        <f t="shared" si="35"/>
        <v>#DIV/0!</v>
      </c>
      <c r="AU32" s="29" t="str">
        <f t="shared" si="35"/>
        <v>#DIV/0!</v>
      </c>
      <c r="AV32" s="29" t="str">
        <f t="shared" si="35"/>
        <v>#DIV/0!</v>
      </c>
      <c r="AW32" s="29" t="str">
        <f t="shared" si="35"/>
        <v>#DIV/0!</v>
      </c>
      <c r="AX32" s="29" t="str">
        <f t="shared" si="35"/>
        <v>#DIV/0!</v>
      </c>
      <c r="AY32" s="29" t="str">
        <f t="shared" si="35"/>
        <v>#DIV/0!</v>
      </c>
      <c r="AZ32" s="29" t="str">
        <f t="shared" si="35"/>
        <v>#DIV/0!</v>
      </c>
      <c r="BA32" s="29" t="str">
        <f t="shared" si="35"/>
        <v>#DIV/0!</v>
      </c>
      <c r="BB32" s="29" t="str">
        <f t="shared" si="35"/>
        <v>#DIV/0!</v>
      </c>
      <c r="BC32" s="29" t="str">
        <f t="shared" si="35"/>
        <v>#DIV/0!</v>
      </c>
      <c r="BD32" s="29" t="str">
        <f t="shared" si="35"/>
        <v>#DIV/0!</v>
      </c>
      <c r="BE32" s="29" t="str">
        <f t="shared" si="35"/>
        <v>#DIV/0!</v>
      </c>
      <c r="BF32" s="29" t="str">
        <f t="shared" si="35"/>
        <v>#DIV/0!</v>
      </c>
      <c r="BG32" s="29" t="str">
        <f t="shared" si="35"/>
        <v>#DIV/0!</v>
      </c>
      <c r="BH32" s="29" t="str">
        <f t="shared" si="35"/>
        <v>#DIV/0!</v>
      </c>
      <c r="BI32" s="29" t="str">
        <f t="shared" si="35"/>
        <v>#DIV/0!</v>
      </c>
      <c r="BJ32" s="29" t="str">
        <f t="shared" si="35"/>
        <v>#DIV/0!</v>
      </c>
      <c r="BK32" s="29" t="str">
        <f t="shared" si="35"/>
        <v>#DIV/0!</v>
      </c>
      <c r="BL32" s="29" t="str">
        <f t="shared" si="35"/>
        <v>#DIV/0!</v>
      </c>
      <c r="BM32" s="29" t="str">
        <f t="shared" si="3"/>
        <v>#DIV/0!</v>
      </c>
    </row>
    <row r="33">
      <c r="A33" s="16" t="str">
        <f>IFERROR(__xludf.DUMMYFUNCTION("IFERROR(SPARKLINE(SORT(MAP(TRANSPOSE(AQ33:BL33), LAMBDA(val, IF(ISNUMBER(val), PERCENTRANK(AQ33:BL33, val)+0.01, 0))), SEQUENCE(COLUMNS(AQ33:BL33)), FALSE), {""charttype"",""column""; ""color"",""chartreuse""; ""ymin"", 0; ""ymax"", 1.01; ""highcolor"", "&amp;"""darkgreen""; ""lowcolor"", ""red""}), """")"),"")</f>
        <v/>
      </c>
      <c r="B33" s="17" t="str">
        <f t="shared" si="4"/>
        <v/>
      </c>
      <c r="C33" s="1" t="s">
        <v>2783</v>
      </c>
      <c r="D33" s="30" t="str">
        <f>IFERROR(__xludf.DUMMYFUNCTION("IFERROR(GOOGLEFINANCE(C33, ""NAME""))"),"FrontView REIT Inc")</f>
        <v>FrontView REIT Inc</v>
      </c>
      <c r="E33" s="30" t="s">
        <v>2784</v>
      </c>
      <c r="F33" s="33" t="str">
        <f>IFERROR(__xludf.DUMMYFUNCTION("( (GOOGLEFINANCE(C33, ""price"") - Q33) / Q33 ) / (R33 / 100)"),"Loading...")</f>
        <v>Loading...</v>
      </c>
      <c r="G33" s="20" t="str">
        <f>IFERROR(__xludf.DUMMYFUNCTION("AVERAGE(ARRAYFORMULA(100 * (QUERY(GOOGLEFINANCE(C33, ""high"", TODAY()-40, TODAY()), ""SELECT Col2 WHERE Col2 IS NOT NULL ORDER BY Col1 DESC LIMIT 20"", 0) / QUERY(GOOGLEFINANCE(C33, ""low"", TODAY()-40, TODAY()), ""SELECT Col2 WHERE Col2 IS NOT NULL ORDE"&amp;"R BY Col1 DESC LIMIT 20"", 0) - 1)))"),"#N/A")</f>
        <v>#N/A</v>
      </c>
      <c r="H33" s="35" t="str">
        <f t="shared" si="6"/>
        <v>Illiquid</v>
      </c>
      <c r="I33" s="35" t="str">
        <f t="shared" si="7"/>
        <v>RVol Required</v>
      </c>
      <c r="J33" s="37">
        <f>IFERROR(__xludf.DUMMYFUNCTION("IFERROR(
  IF(C33="""",, 
    IFERROR(
      GOOGLEFINANCE(C33, ""price"") * GOOGLEFINANCE(C33, ""volumeavg""), 
      GOOGLEFINANCE(C33, ""price"") * AVERAGE(QUERY(GOOGLEFINANCE(C33, ""volume"", TODAY()-40, TODAY()), ""SELECT Col2 WHERE Col2 IS NOT NULL "&amp;"ORDER BY Col1 DESC LIMIT 20"", 0))
    )
  ), 
"""")"),3495341.4999999995)</f>
        <v>3495341.5</v>
      </c>
      <c r="K33" s="21">
        <f>IFERROR(__xludf.DUMMYFUNCTION("IFERROR(GOOGLEFINANCE(C33, ""changepct"") / 100, """")"),0.0029)</f>
        <v>0.0029</v>
      </c>
      <c r="L33" s="21" t="str">
        <f>IFERROR(__xludf.DUMMYFUNCTION("IFERROR((GOOGLEFINANCE(C33, ""price"") / INDEX(GOOGLEFINANCE(C33, ""price"", TODAY()-7, TODAY()), 2, 2)) - 1, """")"),"")</f>
        <v/>
      </c>
      <c r="M33" s="21" t="str">
        <f>IFERROR(__xludf.DUMMYFUNCTION("IFERROR((GOOGLEFINANCE(C33, ""price"") / INDEX(GOOGLEFINANCE(C33, ""price"", EDATE(TODAY(), -1), TODAY()), 2, 2)) - 1, """")"),"")</f>
        <v/>
      </c>
      <c r="N33" s="21" t="str">
        <f>IFERROR(__xludf.DUMMYFUNCTION("IFERROR((GOOGLEFINANCE(C33, ""price"") / INDEX(GOOGLEFINANCE(C33, ""price"", EDATE(TODAY(), -3), TODAY()), 2, 2)) - 1, """")"),"")</f>
        <v/>
      </c>
      <c r="O33" s="21" t="str">
        <f>IFERROR(__xludf.DUMMYFUNCTION("IFERROR((GOOGLEFINANCE(C33, ""price"") / INDEX(GOOGLEFINANCE(C33, ""price"", EDATE(TODAY(), -6), TODAY()), 2, 2)) - 1, """")"),"")</f>
        <v/>
      </c>
      <c r="P33" s="21" t="str">
        <f>IFERROR(__xludf.DUMMYFUNCTION("IFERROR((GOOGLEFINANCE(C33, ""price"") / INDEX(GOOGLEFINANCE(C33, ""price"", EDATE(TODAY(), -12), TODAY()), 2, 2)) - 1, """")"),"")</f>
        <v/>
      </c>
      <c r="Q33" s="6" t="str">
        <f>IFERROR(__xludf.DUMMYFUNCTION("AVERAGE(QUERY(GOOGLEFINANCE(C33, ""price"", TODAY()-80, TODAY()), ""SELECT Col2 WHERE Col2 IS NOT NULL ORDER BY Col1 DESC LIMIT 50"", 0))"),"#N/A")</f>
        <v>#N/A</v>
      </c>
      <c r="R33" s="24" t="str">
        <f>IFERROR(__xludf.DUMMYFUNCTION("IFERROR(
  LET(
    data, QUERY(GOOGLEFINANCE(C33,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GOOGLEFINANCE(C33, ""price"")) * 100,
    IF(calc=0, G33, calc)
  ), 
G33)"),"#N/A")</f>
        <v>#N/A</v>
      </c>
      <c r="S33" s="8" t="s">
        <v>15</v>
      </c>
      <c r="T33" s="26" t="str">
        <f>IFERROR(__xludf.DUMMYFUNCTION("IFERROR(TRANSPOSE(QUERY(IFERROR(SORT(GOOGLEFINANCE(C33, ""price"", WORKDAY(TODAY(), -40), TODAY()), 1, FALSE)), ""select Col2 where Col2 is not null limit 22 label Col2 ''"", 0)), """")"),"")</f>
        <v/>
      </c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8"/>
      <c r="AO33" s="28"/>
      <c r="AP33" s="29"/>
      <c r="AQ33" s="29" t="str">
        <f t="shared" ref="AQ33:BL33" si="36">T33/T$2</f>
        <v>#N/A</v>
      </c>
      <c r="AR33" s="29" t="str">
        <f t="shared" si="36"/>
        <v>#DIV/0!</v>
      </c>
      <c r="AS33" s="29" t="str">
        <f t="shared" si="36"/>
        <v>#DIV/0!</v>
      </c>
      <c r="AT33" s="29" t="str">
        <f t="shared" si="36"/>
        <v>#DIV/0!</v>
      </c>
      <c r="AU33" s="29" t="str">
        <f t="shared" si="36"/>
        <v>#DIV/0!</v>
      </c>
      <c r="AV33" s="29" t="str">
        <f t="shared" si="36"/>
        <v>#DIV/0!</v>
      </c>
      <c r="AW33" s="29" t="str">
        <f t="shared" si="36"/>
        <v>#DIV/0!</v>
      </c>
      <c r="AX33" s="29" t="str">
        <f t="shared" si="36"/>
        <v>#DIV/0!</v>
      </c>
      <c r="AY33" s="29" t="str">
        <f t="shared" si="36"/>
        <v>#DIV/0!</v>
      </c>
      <c r="AZ33" s="29" t="str">
        <f t="shared" si="36"/>
        <v>#DIV/0!</v>
      </c>
      <c r="BA33" s="29" t="str">
        <f t="shared" si="36"/>
        <v>#DIV/0!</v>
      </c>
      <c r="BB33" s="29" t="str">
        <f t="shared" si="36"/>
        <v>#DIV/0!</v>
      </c>
      <c r="BC33" s="29" t="str">
        <f t="shared" si="36"/>
        <v>#DIV/0!</v>
      </c>
      <c r="BD33" s="29" t="str">
        <f t="shared" si="36"/>
        <v>#DIV/0!</v>
      </c>
      <c r="BE33" s="29" t="str">
        <f t="shared" si="36"/>
        <v>#DIV/0!</v>
      </c>
      <c r="BF33" s="29" t="str">
        <f t="shared" si="36"/>
        <v>#DIV/0!</v>
      </c>
      <c r="BG33" s="29" t="str">
        <f t="shared" si="36"/>
        <v>#DIV/0!</v>
      </c>
      <c r="BH33" s="29" t="str">
        <f t="shared" si="36"/>
        <v>#DIV/0!</v>
      </c>
      <c r="BI33" s="29" t="str">
        <f t="shared" si="36"/>
        <v>#DIV/0!</v>
      </c>
      <c r="BJ33" s="29" t="str">
        <f t="shared" si="36"/>
        <v>#DIV/0!</v>
      </c>
      <c r="BK33" s="29" t="str">
        <f t="shared" si="36"/>
        <v>#DIV/0!</v>
      </c>
      <c r="BL33" s="29" t="str">
        <f t="shared" si="36"/>
        <v>#DIV/0!</v>
      </c>
      <c r="BM33" s="29" t="str">
        <f t="shared" si="3"/>
        <v>#DIV/0!</v>
      </c>
    </row>
    <row r="34">
      <c r="A34" s="16" t="str">
        <f>IFERROR(__xludf.DUMMYFUNCTION("IFERROR(SPARKLINE(SORT(MAP(TRANSPOSE(AQ34:BL34), LAMBDA(val, IF(ISNUMBER(val), PERCENTRANK(AQ34:BL34, val)+0.01, 0))), SEQUENCE(COLUMNS(AQ34:BL34)), FALSE), {""charttype"",""column""; ""color"",""chartreuse""; ""ymin"", 0; ""ymax"", 1.01; ""highcolor"", "&amp;"""darkgreen""; ""lowcolor"", ""red""}), """")"),"")</f>
        <v/>
      </c>
      <c r="B34" s="17" t="str">
        <f t="shared" si="4"/>
        <v/>
      </c>
      <c r="C34" s="1" t="s">
        <v>2788</v>
      </c>
      <c r="D34" s="30" t="str">
        <f>IFERROR(__xludf.DUMMYFUNCTION("IFERROR(GOOGLEFINANCE(C34, ""NAME""))"),"INVESTORS REAL ESTATE TRUST REIT Common Stock")</f>
        <v>INVESTORS REAL ESTATE TRUST REIT Common Stock</v>
      </c>
      <c r="E34" s="30" t="s">
        <v>2760</v>
      </c>
      <c r="F34" s="33" t="str">
        <f>IFERROR(__xludf.DUMMYFUNCTION("( (GOOGLEFINANCE(C34, ""price"") - Q34) / Q34 ) / (R34 / 100)"),"Loading...")</f>
        <v>Loading...</v>
      </c>
      <c r="G34" s="20" t="str">
        <f>IFERROR(__xludf.DUMMYFUNCTION("AVERAGE(ARRAYFORMULA(100 * (QUERY(GOOGLEFINANCE(C34, ""high"", TODAY()-40, TODAY()), ""SELECT Col2 WHERE Col2 IS NOT NULL ORDER BY Col1 DESC LIMIT 20"", 0) / QUERY(GOOGLEFINANCE(C34, ""low"", TODAY()-40, TODAY()), ""SELECT Col2 WHERE Col2 IS NOT NULL ORDE"&amp;"R BY Col1 DESC LIMIT 20"", 0) - 1)))"),"#N/A")</f>
        <v>#N/A</v>
      </c>
      <c r="H34" s="35" t="str">
        <f t="shared" si="6"/>
        <v>Illiquid</v>
      </c>
      <c r="I34" s="35" t="str">
        <f t="shared" si="7"/>
        <v>RVol Required</v>
      </c>
      <c r="J34" s="37">
        <f>IFERROR(__xludf.DUMMYFUNCTION("IFERROR(
  IF(C34="""",, 
    IFERROR(
      GOOGLEFINANCE(C34, ""price"") * GOOGLEFINANCE(C34, ""volumeavg""), 
      GOOGLEFINANCE(C34, ""price"") * AVERAGE(QUERY(GOOGLEFINANCE(C34, ""volume"", TODAY()-40, TODAY()), ""SELECT Col2 WHERE Col2 IS NOT NULL "&amp;"ORDER BY Col1 DESC LIMIT 20"", 0))
    )
  ), 
"""")"),1.992989748E7)</f>
        <v>19929897.48</v>
      </c>
      <c r="K34" s="21">
        <f>IFERROR(__xludf.DUMMYFUNCTION("IFERROR(GOOGLEFINANCE(C34, ""changepct"") / 100, """")"),0.0029)</f>
        <v>0.0029</v>
      </c>
      <c r="L34" s="21" t="str">
        <f>IFERROR(__xludf.DUMMYFUNCTION("IFERROR((GOOGLEFINANCE(C34, ""price"") / INDEX(GOOGLEFINANCE(C34, ""price"", TODAY()-7, TODAY()), 2, 2)) - 1, """")"),"")</f>
        <v/>
      </c>
      <c r="M34" s="21" t="str">
        <f>IFERROR(__xludf.DUMMYFUNCTION("IFERROR((GOOGLEFINANCE(C34, ""price"") / INDEX(GOOGLEFINANCE(C34, ""price"", EDATE(TODAY(), -1), TODAY()), 2, 2)) - 1, """")"),"")</f>
        <v/>
      </c>
      <c r="N34" s="21" t="str">
        <f>IFERROR(__xludf.DUMMYFUNCTION("IFERROR((GOOGLEFINANCE(C34, ""price"") / INDEX(GOOGLEFINANCE(C34, ""price"", EDATE(TODAY(), -3), TODAY()), 2, 2)) - 1, """")"),"")</f>
        <v/>
      </c>
      <c r="O34" s="21" t="str">
        <f>IFERROR(__xludf.DUMMYFUNCTION("IFERROR((GOOGLEFINANCE(C34, ""price"") / INDEX(GOOGLEFINANCE(C34, ""price"", EDATE(TODAY(), -6), TODAY()), 2, 2)) - 1, """")"),"")</f>
        <v/>
      </c>
      <c r="P34" s="21" t="str">
        <f>IFERROR(__xludf.DUMMYFUNCTION("IFERROR((GOOGLEFINANCE(C34, ""price"") / INDEX(GOOGLEFINANCE(C34, ""price"", EDATE(TODAY(), -12), TODAY()), 2, 2)) - 1, """")"),"")</f>
        <v/>
      </c>
      <c r="Q34" s="6" t="str">
        <f>IFERROR(__xludf.DUMMYFUNCTION("AVERAGE(QUERY(GOOGLEFINANCE(C34, ""price"", TODAY()-80, TODAY()), ""SELECT Col2 WHERE Col2 IS NOT NULL ORDER BY Col1 DESC LIMIT 50"", 0))"),"#N/A")</f>
        <v>#N/A</v>
      </c>
      <c r="R34" s="24" t="str">
        <f>IFERROR(__xludf.DUMMYFUNCTION("IFERROR(
  LET(
    data, QUERY(GOOGLEFINANCE(C34,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GOOGLEFINANCE(C34, ""price"")) * 100,
    IF(calc=0, G34, calc)
  ), 
G34)"),"#N/A")</f>
        <v>#N/A</v>
      </c>
      <c r="S34" s="8" t="s">
        <v>15</v>
      </c>
      <c r="T34" s="26" t="str">
        <f>IFERROR(__xludf.DUMMYFUNCTION("IFERROR(TRANSPOSE(QUERY(IFERROR(SORT(GOOGLEFINANCE(C34, ""price"", WORKDAY(TODAY(), -40), TODAY()), 1, FALSE)), ""select Col2 where Col2 is not null limit 22 label Col2 ''"", 0)), """")"),"")</f>
        <v/>
      </c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8"/>
      <c r="AO34" s="28"/>
      <c r="AP34" s="29"/>
      <c r="AQ34" s="29" t="str">
        <f t="shared" ref="AQ34:BL34" si="37">T34/T$2</f>
        <v>#N/A</v>
      </c>
      <c r="AR34" s="29" t="str">
        <f t="shared" si="37"/>
        <v>#DIV/0!</v>
      </c>
      <c r="AS34" s="29" t="str">
        <f t="shared" si="37"/>
        <v>#DIV/0!</v>
      </c>
      <c r="AT34" s="29" t="str">
        <f t="shared" si="37"/>
        <v>#DIV/0!</v>
      </c>
      <c r="AU34" s="29" t="str">
        <f t="shared" si="37"/>
        <v>#DIV/0!</v>
      </c>
      <c r="AV34" s="29" t="str">
        <f t="shared" si="37"/>
        <v>#DIV/0!</v>
      </c>
      <c r="AW34" s="29" t="str">
        <f t="shared" si="37"/>
        <v>#DIV/0!</v>
      </c>
      <c r="AX34" s="29" t="str">
        <f t="shared" si="37"/>
        <v>#DIV/0!</v>
      </c>
      <c r="AY34" s="29" t="str">
        <f t="shared" si="37"/>
        <v>#DIV/0!</v>
      </c>
      <c r="AZ34" s="29" t="str">
        <f t="shared" si="37"/>
        <v>#DIV/0!</v>
      </c>
      <c r="BA34" s="29" t="str">
        <f t="shared" si="37"/>
        <v>#DIV/0!</v>
      </c>
      <c r="BB34" s="29" t="str">
        <f t="shared" si="37"/>
        <v>#DIV/0!</v>
      </c>
      <c r="BC34" s="29" t="str">
        <f t="shared" si="37"/>
        <v>#DIV/0!</v>
      </c>
      <c r="BD34" s="29" t="str">
        <f t="shared" si="37"/>
        <v>#DIV/0!</v>
      </c>
      <c r="BE34" s="29" t="str">
        <f t="shared" si="37"/>
        <v>#DIV/0!</v>
      </c>
      <c r="BF34" s="29" t="str">
        <f t="shared" si="37"/>
        <v>#DIV/0!</v>
      </c>
      <c r="BG34" s="29" t="str">
        <f t="shared" si="37"/>
        <v>#DIV/0!</v>
      </c>
      <c r="BH34" s="29" t="str">
        <f t="shared" si="37"/>
        <v>#DIV/0!</v>
      </c>
      <c r="BI34" s="29" t="str">
        <f t="shared" si="37"/>
        <v>#DIV/0!</v>
      </c>
      <c r="BJ34" s="29" t="str">
        <f t="shared" si="37"/>
        <v>#DIV/0!</v>
      </c>
      <c r="BK34" s="29" t="str">
        <f t="shared" si="37"/>
        <v>#DIV/0!</v>
      </c>
      <c r="BL34" s="29" t="str">
        <f t="shared" si="37"/>
        <v>#DIV/0!</v>
      </c>
      <c r="BM34" s="29" t="str">
        <f t="shared" si="3"/>
        <v>#DIV/0!</v>
      </c>
    </row>
    <row r="35">
      <c r="A35" s="16" t="str">
        <f>IFERROR(__xludf.DUMMYFUNCTION("IFERROR(SPARKLINE(SORT(MAP(TRANSPOSE(AQ35:BL35), LAMBDA(val, IF(ISNUMBER(val), PERCENTRANK(AQ35:BL35, val)+0.01, 0))), SEQUENCE(COLUMNS(AQ35:BL35)), FALSE), {""charttype"",""column""; ""color"",""chartreuse""; ""ymin"", 0; ""ymax"", 1.01; ""highcolor"", "&amp;"""darkgreen""; ""lowcolor"", ""red""}), """")"),"")</f>
        <v/>
      </c>
      <c r="B35" s="17" t="str">
        <f t="shared" si="4"/>
        <v/>
      </c>
      <c r="C35" s="1" t="s">
        <v>2792</v>
      </c>
      <c r="D35" s="30" t="str">
        <f>IFERROR(__xludf.DUMMYFUNCTION("IFERROR(GOOGLEFINANCE(C35, ""NAME""))"),"Apple Hospitality REIT Inc")</f>
        <v>Apple Hospitality REIT Inc</v>
      </c>
      <c r="E35" s="30" t="s">
        <v>2674</v>
      </c>
      <c r="F35" s="33" t="str">
        <f>IFERROR(__xludf.DUMMYFUNCTION("( (GOOGLEFINANCE(C35, ""price"") - Q35) / Q35 ) / (R35 / 100)"),"Loading...")</f>
        <v>Loading...</v>
      </c>
      <c r="G35" s="20" t="str">
        <f>IFERROR(__xludf.DUMMYFUNCTION("AVERAGE(ARRAYFORMULA(100 * (QUERY(GOOGLEFINANCE(C35, ""high"", TODAY()-40, TODAY()), ""SELECT Col2 WHERE Col2 IS NOT NULL ORDER BY Col1 DESC LIMIT 20"", 0) / QUERY(GOOGLEFINANCE(C35, ""low"", TODAY()-40, TODAY()), ""SELECT Col2 WHERE Col2 IS NOT NULL ORDE"&amp;"R BY Col1 DESC LIMIT 20"", 0) - 1)))"),"#N/A")</f>
        <v>#N/A</v>
      </c>
      <c r="H35" s="35" t="str">
        <f t="shared" si="6"/>
        <v>Illiquid</v>
      </c>
      <c r="I35" s="35" t="str">
        <f t="shared" si="7"/>
        <v>RVol Required</v>
      </c>
      <c r="J35" s="37">
        <f>IFERROR(__xludf.DUMMYFUNCTION("IFERROR(
  IF(C35="""",, 
    IFERROR(
      GOOGLEFINANCE(C35, ""price"") * GOOGLEFINANCE(C35, ""volumeavg""), 
      GOOGLEFINANCE(C35, ""price"") * AVERAGE(QUERY(GOOGLEFINANCE(C35, ""volume"", TODAY()-40, TODAY()), ""SELECT Col2 WHERE Col2 IS NOT NULL "&amp;"ORDER BY Col1 DESC LIMIT 20"", 0))
    )
  ), 
"""")"),4.29771166E7)</f>
        <v>42977116.6</v>
      </c>
      <c r="K35" s="21">
        <f>IFERROR(__xludf.DUMMYFUNCTION("IFERROR(GOOGLEFINANCE(C35, ""changepct"") / 100, """")"),0.0113)</f>
        <v>0.0113</v>
      </c>
      <c r="L35" s="21" t="str">
        <f>IFERROR(__xludf.DUMMYFUNCTION("IFERROR((GOOGLEFINANCE(C35, ""price"") / INDEX(GOOGLEFINANCE(C35, ""price"", TODAY()-7, TODAY()), 2, 2)) - 1, """")"),"")</f>
        <v/>
      </c>
      <c r="M35" s="21" t="str">
        <f>IFERROR(__xludf.DUMMYFUNCTION("IFERROR((GOOGLEFINANCE(C35, ""price"") / INDEX(GOOGLEFINANCE(C35, ""price"", EDATE(TODAY(), -1), TODAY()), 2, 2)) - 1, """")"),"")</f>
        <v/>
      </c>
      <c r="N35" s="21" t="str">
        <f>IFERROR(__xludf.DUMMYFUNCTION("IFERROR((GOOGLEFINANCE(C35, ""price"") / INDEX(GOOGLEFINANCE(C35, ""price"", EDATE(TODAY(), -3), TODAY()), 2, 2)) - 1, """")"),"")</f>
        <v/>
      </c>
      <c r="O35" s="21" t="str">
        <f>IFERROR(__xludf.DUMMYFUNCTION("IFERROR((GOOGLEFINANCE(C35, ""price"") / INDEX(GOOGLEFINANCE(C35, ""price"", EDATE(TODAY(), -6), TODAY()), 2, 2)) - 1, """")"),"")</f>
        <v/>
      </c>
      <c r="P35" s="21" t="str">
        <f>IFERROR(__xludf.DUMMYFUNCTION("IFERROR((GOOGLEFINANCE(C35, ""price"") / INDEX(GOOGLEFINANCE(C35, ""price"", EDATE(TODAY(), -12), TODAY()), 2, 2)) - 1, """")"),"")</f>
        <v/>
      </c>
      <c r="Q35" s="6" t="str">
        <f>IFERROR(__xludf.DUMMYFUNCTION("AVERAGE(QUERY(GOOGLEFINANCE(C35, ""price"", TODAY()-80, TODAY()), ""SELECT Col2 WHERE Col2 IS NOT NULL ORDER BY Col1 DESC LIMIT 50"", 0))"),"#N/A")</f>
        <v>#N/A</v>
      </c>
      <c r="R35" s="24" t="str">
        <f>IFERROR(__xludf.DUMMYFUNCTION("IFERROR(
  LET(
    data, QUERY(GOOGLEFINANCE(C35,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GOOGLEFINANCE(C35, ""price"")) * 100,
    IF(calc=0, G35, calc)
  ), 
G35)"),"#N/A")</f>
        <v>#N/A</v>
      </c>
      <c r="S35" s="8" t="s">
        <v>15</v>
      </c>
      <c r="T35" s="26" t="str">
        <f>IFERROR(__xludf.DUMMYFUNCTION("IFERROR(TRANSPOSE(QUERY(IFERROR(SORT(GOOGLEFINANCE(C35, ""price"", WORKDAY(TODAY(), -40), TODAY()), 1, FALSE)), ""select Col2 where Col2 is not null limit 22 label Col2 ''"", 0)), """")"),"")</f>
        <v/>
      </c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8"/>
      <c r="AO35" s="28"/>
      <c r="AP35" s="29"/>
      <c r="AQ35" s="29" t="str">
        <f t="shared" ref="AQ35:BL35" si="38">T35/T$2</f>
        <v>#N/A</v>
      </c>
      <c r="AR35" s="29" t="str">
        <f t="shared" si="38"/>
        <v>#DIV/0!</v>
      </c>
      <c r="AS35" s="29" t="str">
        <f t="shared" si="38"/>
        <v>#DIV/0!</v>
      </c>
      <c r="AT35" s="29" t="str">
        <f t="shared" si="38"/>
        <v>#DIV/0!</v>
      </c>
      <c r="AU35" s="29" t="str">
        <f t="shared" si="38"/>
        <v>#DIV/0!</v>
      </c>
      <c r="AV35" s="29" t="str">
        <f t="shared" si="38"/>
        <v>#DIV/0!</v>
      </c>
      <c r="AW35" s="29" t="str">
        <f t="shared" si="38"/>
        <v>#DIV/0!</v>
      </c>
      <c r="AX35" s="29" t="str">
        <f t="shared" si="38"/>
        <v>#DIV/0!</v>
      </c>
      <c r="AY35" s="29" t="str">
        <f t="shared" si="38"/>
        <v>#DIV/0!</v>
      </c>
      <c r="AZ35" s="29" t="str">
        <f t="shared" si="38"/>
        <v>#DIV/0!</v>
      </c>
      <c r="BA35" s="29" t="str">
        <f t="shared" si="38"/>
        <v>#DIV/0!</v>
      </c>
      <c r="BB35" s="29" t="str">
        <f t="shared" si="38"/>
        <v>#DIV/0!</v>
      </c>
      <c r="BC35" s="29" t="str">
        <f t="shared" si="38"/>
        <v>#DIV/0!</v>
      </c>
      <c r="BD35" s="29" t="str">
        <f t="shared" si="38"/>
        <v>#DIV/0!</v>
      </c>
      <c r="BE35" s="29" t="str">
        <f t="shared" si="38"/>
        <v>#DIV/0!</v>
      </c>
      <c r="BF35" s="29" t="str">
        <f t="shared" si="38"/>
        <v>#DIV/0!</v>
      </c>
      <c r="BG35" s="29" t="str">
        <f t="shared" si="38"/>
        <v>#DIV/0!</v>
      </c>
      <c r="BH35" s="29" t="str">
        <f t="shared" si="38"/>
        <v>#DIV/0!</v>
      </c>
      <c r="BI35" s="29" t="str">
        <f t="shared" si="38"/>
        <v>#DIV/0!</v>
      </c>
      <c r="BJ35" s="29" t="str">
        <f t="shared" si="38"/>
        <v>#DIV/0!</v>
      </c>
      <c r="BK35" s="29" t="str">
        <f t="shared" si="38"/>
        <v>#DIV/0!</v>
      </c>
      <c r="BL35" s="29" t="str">
        <f t="shared" si="38"/>
        <v>#DIV/0!</v>
      </c>
      <c r="BM35" s="29" t="str">
        <f t="shared" si="3"/>
        <v>#DIV/0!</v>
      </c>
    </row>
    <row r="36">
      <c r="A36" s="16" t="str">
        <f>IFERROR(__xludf.DUMMYFUNCTION("IFERROR(SPARKLINE(SORT(MAP(TRANSPOSE(AQ36:BL36), LAMBDA(val, IF(ISNUMBER(val), PERCENTRANK(AQ36:BL36, val)+0.01, 0))), SEQUENCE(COLUMNS(AQ36:BL36)), FALSE), {""charttype"",""column""; ""color"",""chartreuse""; ""ymin"", 0; ""ymax"", 1.01; ""highcolor"", "&amp;"""darkgreen""; ""lowcolor"", ""red""}), """")"),"")</f>
        <v/>
      </c>
      <c r="B36" s="17" t="str">
        <f t="shared" si="4"/>
        <v/>
      </c>
      <c r="C36" s="1" t="s">
        <v>2795</v>
      </c>
      <c r="D36" s="30" t="str">
        <f>IFERROR(__xludf.DUMMYFUNCTION("IFERROR(GOOGLEFINANCE(C36, ""NAME""))"),"Iron Mountain Inc")</f>
        <v>Iron Mountain Inc</v>
      </c>
      <c r="E36" s="30" t="s">
        <v>2709</v>
      </c>
      <c r="F36" s="38" t="str">
        <f>IFERROR(__xludf.DUMMYFUNCTION("( (GOOGLEFINANCE(C36, ""price"") - Q36) / Q36 ) / (R36 / 100)"),"Loading...")</f>
        <v>Loading...</v>
      </c>
      <c r="G36" s="20" t="str">
        <f>IFERROR(__xludf.DUMMYFUNCTION("AVERAGE(ARRAYFORMULA(100 * (QUERY(GOOGLEFINANCE(C36, ""high"", TODAY()-40, TODAY()), ""SELECT Col2 WHERE Col2 IS NOT NULL ORDER BY Col1 DESC LIMIT 20"", 0) / QUERY(GOOGLEFINANCE(C36, ""low"", TODAY()-40, TODAY()), ""SELECT Col2 WHERE Col2 IS NOT NULL ORDE"&amp;"R BY Col1 DESC LIMIT 20"", 0) - 1)))"),"#N/A")</f>
        <v>#N/A</v>
      </c>
      <c r="H36" s="35" t="str">
        <f t="shared" si="6"/>
        <v>Liquid</v>
      </c>
      <c r="I36" s="35" t="str">
        <f t="shared" si="7"/>
        <v>RVol Required</v>
      </c>
      <c r="J36" s="37">
        <f>IFERROR(__xludf.DUMMYFUNCTION("IFERROR(
  IF(C36="""",, 
    IFERROR(
      GOOGLEFINANCE(C36, ""price"") * GOOGLEFINANCE(C36, ""volumeavg""), 
      GOOGLEFINANCE(C36, ""price"") * AVERAGE(QUERY(GOOGLEFINANCE(C36, ""volume"", TODAY()-40, TODAY()), ""SELECT Col2 WHERE Col2 IS NOT NULL "&amp;"ORDER BY Col1 DESC LIMIT 20"", 0))
    )
  ), 
"""")"),1.7050564221E8)</f>
        <v>170505642.2</v>
      </c>
      <c r="K36" s="21">
        <f>IFERROR(__xludf.DUMMYFUNCTION("IFERROR(GOOGLEFINANCE(C36, ""changepct"") / 100, """")"),-0.0015)</f>
        <v>-0.0015</v>
      </c>
      <c r="L36" s="21" t="str">
        <f>IFERROR(__xludf.DUMMYFUNCTION("IFERROR((GOOGLEFINANCE(C36, ""price"") / INDEX(GOOGLEFINANCE(C36, ""price"", TODAY()-7, TODAY()), 2, 2)) - 1, """")"),"")</f>
        <v/>
      </c>
      <c r="M36" s="21" t="str">
        <f>IFERROR(__xludf.DUMMYFUNCTION("IFERROR((GOOGLEFINANCE(C36, ""price"") / INDEX(GOOGLEFINANCE(C36, ""price"", EDATE(TODAY(), -1), TODAY()), 2, 2)) - 1, """")"),"")</f>
        <v/>
      </c>
      <c r="N36" s="21" t="str">
        <f>IFERROR(__xludf.DUMMYFUNCTION("IFERROR((GOOGLEFINANCE(C36, ""price"") / INDEX(GOOGLEFINANCE(C36, ""price"", EDATE(TODAY(), -3), TODAY()), 2, 2)) - 1, """")"),"")</f>
        <v/>
      </c>
      <c r="O36" s="21" t="str">
        <f>IFERROR(__xludf.DUMMYFUNCTION("IFERROR((GOOGLEFINANCE(C36, ""price"") / INDEX(GOOGLEFINANCE(C36, ""price"", EDATE(TODAY(), -6), TODAY()), 2, 2)) - 1, """")"),"")</f>
        <v/>
      </c>
      <c r="P36" s="21" t="str">
        <f>IFERROR(__xludf.DUMMYFUNCTION("IFERROR((GOOGLEFINANCE(C36, ""price"") / INDEX(GOOGLEFINANCE(C36, ""price"", EDATE(TODAY(), -12), TODAY()), 2, 2)) - 1, """")"),"")</f>
        <v/>
      </c>
      <c r="Q36" s="6" t="str">
        <f>IFERROR(__xludf.DUMMYFUNCTION("AVERAGE(QUERY(GOOGLEFINANCE(C36, ""price"", TODAY()-80, TODAY()), ""SELECT Col2 WHERE Col2 IS NOT NULL ORDER BY Col1 DESC LIMIT 50"", 0))"),"#N/A")</f>
        <v>#N/A</v>
      </c>
      <c r="R36" s="24" t="str">
        <f>IFERROR(__xludf.DUMMYFUNCTION("IFERROR(
  LET(
    data, QUERY(GOOGLEFINANCE(C36,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GOOGLEFINANCE(C36, ""price"")) * 100,
    IF(calc=0, G36, calc)
  ), 
G36)"),"#N/A")</f>
        <v>#N/A</v>
      </c>
      <c r="S36" s="8" t="s">
        <v>15</v>
      </c>
      <c r="T36" s="26" t="str">
        <f>IFERROR(__xludf.DUMMYFUNCTION("IFERROR(TRANSPOSE(QUERY(IFERROR(SORT(GOOGLEFINANCE(C36, ""price"", WORKDAY(TODAY(), -40), TODAY()), 1, FALSE)), ""select Col2 where Col2 is not null limit 22 label Col2 ''"", 0)), """")"),"")</f>
        <v/>
      </c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8"/>
      <c r="AO36" s="28"/>
      <c r="AP36" s="29"/>
      <c r="AQ36" s="29" t="str">
        <f t="shared" ref="AQ36:BL36" si="39">T36/T$2</f>
        <v>#N/A</v>
      </c>
      <c r="AR36" s="29" t="str">
        <f t="shared" si="39"/>
        <v>#DIV/0!</v>
      </c>
      <c r="AS36" s="29" t="str">
        <f t="shared" si="39"/>
        <v>#DIV/0!</v>
      </c>
      <c r="AT36" s="29" t="str">
        <f t="shared" si="39"/>
        <v>#DIV/0!</v>
      </c>
      <c r="AU36" s="29" t="str">
        <f t="shared" si="39"/>
        <v>#DIV/0!</v>
      </c>
      <c r="AV36" s="29" t="str">
        <f t="shared" si="39"/>
        <v>#DIV/0!</v>
      </c>
      <c r="AW36" s="29" t="str">
        <f t="shared" si="39"/>
        <v>#DIV/0!</v>
      </c>
      <c r="AX36" s="29" t="str">
        <f t="shared" si="39"/>
        <v>#DIV/0!</v>
      </c>
      <c r="AY36" s="29" t="str">
        <f t="shared" si="39"/>
        <v>#DIV/0!</v>
      </c>
      <c r="AZ36" s="29" t="str">
        <f t="shared" si="39"/>
        <v>#DIV/0!</v>
      </c>
      <c r="BA36" s="29" t="str">
        <f t="shared" si="39"/>
        <v>#DIV/0!</v>
      </c>
      <c r="BB36" s="29" t="str">
        <f t="shared" si="39"/>
        <v>#DIV/0!</v>
      </c>
      <c r="BC36" s="29" t="str">
        <f t="shared" si="39"/>
        <v>#DIV/0!</v>
      </c>
      <c r="BD36" s="29" t="str">
        <f t="shared" si="39"/>
        <v>#DIV/0!</v>
      </c>
      <c r="BE36" s="29" t="str">
        <f t="shared" si="39"/>
        <v>#DIV/0!</v>
      </c>
      <c r="BF36" s="29" t="str">
        <f t="shared" si="39"/>
        <v>#DIV/0!</v>
      </c>
      <c r="BG36" s="29" t="str">
        <f t="shared" si="39"/>
        <v>#DIV/0!</v>
      </c>
      <c r="BH36" s="29" t="str">
        <f t="shared" si="39"/>
        <v>#DIV/0!</v>
      </c>
      <c r="BI36" s="29" t="str">
        <f t="shared" si="39"/>
        <v>#DIV/0!</v>
      </c>
      <c r="BJ36" s="29" t="str">
        <f t="shared" si="39"/>
        <v>#DIV/0!</v>
      </c>
      <c r="BK36" s="29" t="str">
        <f t="shared" si="39"/>
        <v>#DIV/0!</v>
      </c>
      <c r="BL36" s="29" t="str">
        <f t="shared" si="39"/>
        <v>#DIV/0!</v>
      </c>
      <c r="BM36" s="29" t="str">
        <f t="shared" si="3"/>
        <v>#DIV/0!</v>
      </c>
    </row>
    <row r="37">
      <c r="A37" s="16" t="str">
        <f>IFERROR(__xludf.DUMMYFUNCTION("IFERROR(SPARKLINE(SORT(MAP(TRANSPOSE(AQ37:BL37), LAMBDA(val, IF(ISNUMBER(val), PERCENTRANK(AQ37:BL37, val)+0.01, 0))), SEQUENCE(COLUMNS(AQ37:BL37)), FALSE), {""charttype"",""column""; ""color"",""chartreuse""; ""ymin"", 0; ""ymax"", 1.01; ""highcolor"", "&amp;"""darkgreen""; ""lowcolor"", ""red""}), """")"),"")</f>
        <v/>
      </c>
      <c r="B37" s="17" t="str">
        <f t="shared" si="4"/>
        <v/>
      </c>
      <c r="C37" s="1" t="s">
        <v>2800</v>
      </c>
      <c r="D37" s="30" t="str">
        <f>IFERROR(__xludf.DUMMYFUNCTION("IFERROR(GOOGLEFINANCE(C37, ""NAME""))"),"Empire State Realty OP LP Unit Series ES")</f>
        <v>Empire State Realty OP LP Unit Series ES</v>
      </c>
      <c r="E37" s="30" t="s">
        <v>2662</v>
      </c>
      <c r="F37" s="33" t="str">
        <f>IFERROR(__xludf.DUMMYFUNCTION("( (GOOGLEFINANCE(C37, ""price"") - Q37) / Q37 ) / (R37 / 100)"),"Loading...")</f>
        <v>Loading...</v>
      </c>
      <c r="G37" s="20" t="str">
        <f>IFERROR(__xludf.DUMMYFUNCTION("AVERAGE(ARRAYFORMULA(100 * (QUERY(GOOGLEFINANCE(C37, ""high"", TODAY()-40, TODAY()), ""SELECT Col2 WHERE Col2 IS NOT NULL ORDER BY Col1 DESC LIMIT 20"", 0) / QUERY(GOOGLEFINANCE(C37, ""low"", TODAY()-40, TODAY()), ""SELECT Col2 WHERE Col2 IS NOT NULL ORDE"&amp;"R BY Col1 DESC LIMIT 20"", 0) - 1)))"),"#N/A")</f>
        <v>#N/A</v>
      </c>
      <c r="H37" s="35" t="str">
        <f t="shared" si="6"/>
        <v>Illiquid</v>
      </c>
      <c r="I37" s="35" t="str">
        <f t="shared" si="7"/>
        <v>RVol Required</v>
      </c>
      <c r="J37" s="37">
        <f>IFERROR(__xludf.DUMMYFUNCTION("IFERROR(
  IF(C37="""",, 
    IFERROR(
      GOOGLEFINANCE(C37, ""price"") * GOOGLEFINANCE(C37, ""volumeavg""), 
      GOOGLEFINANCE(C37, ""price"") * AVERAGE(QUERY(GOOGLEFINANCE(C37, ""volume"", TODAY()-40, TODAY()), ""SELECT Col2 WHERE Col2 IS NOT NULL "&amp;"ORDER BY Col1 DESC LIMIT 20"", 0))
    )
  ), 
"""")"),40328.2)</f>
        <v>40328.2</v>
      </c>
      <c r="K37" s="21">
        <f>IFERROR(__xludf.DUMMYFUNCTION("IFERROR(GOOGLEFINANCE(C37, ""changepct"") / 100, """")"),-0.0043)</f>
        <v>-0.0043</v>
      </c>
      <c r="L37" s="21" t="str">
        <f>IFERROR(__xludf.DUMMYFUNCTION("IFERROR((GOOGLEFINANCE(C37, ""price"") / INDEX(GOOGLEFINANCE(C37, ""price"", TODAY()-7, TODAY()), 2, 2)) - 1, """")"),"")</f>
        <v/>
      </c>
      <c r="M37" s="21" t="str">
        <f>IFERROR(__xludf.DUMMYFUNCTION("IFERROR((GOOGLEFINANCE(C37, ""price"") / INDEX(GOOGLEFINANCE(C37, ""price"", EDATE(TODAY(), -1), TODAY()), 2, 2)) - 1, """")"),"")</f>
        <v/>
      </c>
      <c r="N37" s="21" t="str">
        <f>IFERROR(__xludf.DUMMYFUNCTION("IFERROR((GOOGLEFINANCE(C37, ""price"") / INDEX(GOOGLEFINANCE(C37, ""price"", EDATE(TODAY(), -3), TODAY()), 2, 2)) - 1, """")"),"")</f>
        <v/>
      </c>
      <c r="O37" s="21" t="str">
        <f>IFERROR(__xludf.DUMMYFUNCTION("IFERROR((GOOGLEFINANCE(C37, ""price"") / INDEX(GOOGLEFINANCE(C37, ""price"", EDATE(TODAY(), -6), TODAY()), 2, 2)) - 1, """")"),"")</f>
        <v/>
      </c>
      <c r="P37" s="21" t="str">
        <f>IFERROR(__xludf.DUMMYFUNCTION("IFERROR((GOOGLEFINANCE(C37, ""price"") / INDEX(GOOGLEFINANCE(C37, ""price"", EDATE(TODAY(), -12), TODAY()), 2, 2)) - 1, """")"),"")</f>
        <v/>
      </c>
      <c r="Q37" s="6" t="str">
        <f>IFERROR(__xludf.DUMMYFUNCTION("AVERAGE(QUERY(GOOGLEFINANCE(C37, ""price"", TODAY()-80, TODAY()), ""SELECT Col2 WHERE Col2 IS NOT NULL ORDER BY Col1 DESC LIMIT 50"", 0))"),"#N/A")</f>
        <v>#N/A</v>
      </c>
      <c r="R37" s="24" t="str">
        <f>IFERROR(__xludf.DUMMYFUNCTION("IFERROR(
  LET(
    data, QUERY(GOOGLEFINANCE(C37,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GOOGLEFINANCE(C37, ""price"")) * 100,
    IF(calc=0, G37, calc)
  ), 
G37)"),"#N/A")</f>
        <v>#N/A</v>
      </c>
      <c r="S37" s="8" t="s">
        <v>15</v>
      </c>
      <c r="T37" s="26" t="str">
        <f>IFERROR(__xludf.DUMMYFUNCTION("IFERROR(TRANSPOSE(QUERY(IFERROR(SORT(GOOGLEFINANCE(C37, ""price"", WORKDAY(TODAY(), -40), TODAY()), 1, FALSE)), ""select Col2 where Col2 is not null limit 22 label Col2 ''"", 0)), """")"),"")</f>
        <v/>
      </c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8"/>
      <c r="AO37" s="28"/>
      <c r="AP37" s="29"/>
      <c r="AQ37" s="29" t="str">
        <f t="shared" ref="AQ37:BL37" si="40">T37/T$2</f>
        <v>#N/A</v>
      </c>
      <c r="AR37" s="29" t="str">
        <f t="shared" si="40"/>
        <v>#DIV/0!</v>
      </c>
      <c r="AS37" s="29" t="str">
        <f t="shared" si="40"/>
        <v>#DIV/0!</v>
      </c>
      <c r="AT37" s="29" t="str">
        <f t="shared" si="40"/>
        <v>#DIV/0!</v>
      </c>
      <c r="AU37" s="29" t="str">
        <f t="shared" si="40"/>
        <v>#DIV/0!</v>
      </c>
      <c r="AV37" s="29" t="str">
        <f t="shared" si="40"/>
        <v>#DIV/0!</v>
      </c>
      <c r="AW37" s="29" t="str">
        <f t="shared" si="40"/>
        <v>#DIV/0!</v>
      </c>
      <c r="AX37" s="29" t="str">
        <f t="shared" si="40"/>
        <v>#DIV/0!</v>
      </c>
      <c r="AY37" s="29" t="str">
        <f t="shared" si="40"/>
        <v>#DIV/0!</v>
      </c>
      <c r="AZ37" s="29" t="str">
        <f t="shared" si="40"/>
        <v>#DIV/0!</v>
      </c>
      <c r="BA37" s="29" t="str">
        <f t="shared" si="40"/>
        <v>#DIV/0!</v>
      </c>
      <c r="BB37" s="29" t="str">
        <f t="shared" si="40"/>
        <v>#DIV/0!</v>
      </c>
      <c r="BC37" s="29" t="str">
        <f t="shared" si="40"/>
        <v>#DIV/0!</v>
      </c>
      <c r="BD37" s="29" t="str">
        <f t="shared" si="40"/>
        <v>#DIV/0!</v>
      </c>
      <c r="BE37" s="29" t="str">
        <f t="shared" si="40"/>
        <v>#DIV/0!</v>
      </c>
      <c r="BF37" s="29" t="str">
        <f t="shared" si="40"/>
        <v>#DIV/0!</v>
      </c>
      <c r="BG37" s="29" t="str">
        <f t="shared" si="40"/>
        <v>#DIV/0!</v>
      </c>
      <c r="BH37" s="29" t="str">
        <f t="shared" si="40"/>
        <v>#DIV/0!</v>
      </c>
      <c r="BI37" s="29" t="str">
        <f t="shared" si="40"/>
        <v>#DIV/0!</v>
      </c>
      <c r="BJ37" s="29" t="str">
        <f t="shared" si="40"/>
        <v>#DIV/0!</v>
      </c>
      <c r="BK37" s="29" t="str">
        <f t="shared" si="40"/>
        <v>#DIV/0!</v>
      </c>
      <c r="BL37" s="29" t="str">
        <f t="shared" si="40"/>
        <v>#DIV/0!</v>
      </c>
      <c r="BM37" s="29" t="str">
        <f t="shared" si="3"/>
        <v>#DIV/0!</v>
      </c>
    </row>
    <row r="38">
      <c r="A38" s="16" t="str">
        <f>IFERROR(__xludf.DUMMYFUNCTION("IFERROR(SPARKLINE(SORT(MAP(TRANSPOSE(AQ38:BL38), LAMBDA(val, IF(ISNUMBER(val), PERCENTRANK(AQ38:BL38, val)+0.01, 0))), SEQUENCE(COLUMNS(AQ38:BL38)), FALSE), {""charttype"",""column""; ""color"",""chartreuse""; ""ymin"", 0; ""ymax"", 1.01; ""highcolor"", "&amp;"""darkgreen""; ""lowcolor"", ""red""}), """")"),"")</f>
        <v/>
      </c>
      <c r="B38" s="17" t="str">
        <f t="shared" si="4"/>
        <v/>
      </c>
      <c r="C38" s="1" t="s">
        <v>2802</v>
      </c>
      <c r="D38" s="30" t="str">
        <f>IFERROR(__xludf.DUMMYFUNCTION("IFERROR(GOOGLEFINANCE(C38, ""NAME""))"),"")</f>
        <v/>
      </c>
      <c r="E38" s="30" t="s">
        <v>2760</v>
      </c>
      <c r="F38" s="33" t="str">
        <f>IFERROR(__xludf.DUMMYFUNCTION("( (GOOGLEFINANCE(C38, ""price"") - Q38) / Q38 ) / (R38 / 100)"),"Loading...")</f>
        <v>Loading...</v>
      </c>
      <c r="G38" s="20" t="str">
        <f>IFERROR(__xludf.DUMMYFUNCTION("AVERAGE(ARRAYFORMULA(100 * (QUERY(GOOGLEFINANCE(C38, ""high"", TODAY()-40, TODAY()), ""SELECT Col2 WHERE Col2 IS NOT NULL ORDER BY Col1 DESC LIMIT 20"", 0) / QUERY(GOOGLEFINANCE(C38, ""low"", TODAY()-40, TODAY()), ""SELECT Col2 WHERE Col2 IS NOT NULL ORDE"&amp;"R BY Col1 DESC LIMIT 20"", 0) - 1)))"),"#N/A")</f>
        <v>#N/A</v>
      </c>
      <c r="H38" s="35" t="str">
        <f t="shared" si="6"/>
        <v/>
      </c>
      <c r="I38" s="35" t="str">
        <f t="shared" si="7"/>
        <v/>
      </c>
      <c r="J38" s="37" t="str">
        <f>IFERROR(__xludf.DUMMYFUNCTION("IFERROR(
  IF(C38="""",, 
    IFERROR(
      GOOGLEFINANCE(C38, ""price"") * GOOGLEFINANCE(C38, ""volumeavg""), 
      GOOGLEFINANCE(C38, ""price"") * AVERAGE(QUERY(GOOGLEFINANCE(C38, ""volume"", TODAY()-40, TODAY()), ""SELECT Col2 WHERE Col2 IS NOT NULL "&amp;"ORDER BY Col1 DESC LIMIT 20"", 0))
    )
  ), 
"""")"),"")</f>
        <v/>
      </c>
      <c r="K38" s="21" t="str">
        <f>IFERROR(__xludf.DUMMYFUNCTION("IFERROR(GOOGLEFINANCE(C38, ""changepct"") / 100, """")"),"")</f>
        <v/>
      </c>
      <c r="L38" s="21" t="str">
        <f>IFERROR(__xludf.DUMMYFUNCTION("IFERROR((GOOGLEFINANCE(C38, ""price"") / INDEX(GOOGLEFINANCE(C38, ""price"", TODAY()-7, TODAY()), 2, 2)) - 1, """")"),"")</f>
        <v/>
      </c>
      <c r="M38" s="21" t="str">
        <f>IFERROR(__xludf.DUMMYFUNCTION("IFERROR((GOOGLEFINANCE(C38, ""price"") / INDEX(GOOGLEFINANCE(C38, ""price"", EDATE(TODAY(), -1), TODAY()), 2, 2)) - 1, """")"),"")</f>
        <v/>
      </c>
      <c r="N38" s="21" t="str">
        <f>IFERROR(__xludf.DUMMYFUNCTION("IFERROR((GOOGLEFINANCE(C38, ""price"") / INDEX(GOOGLEFINANCE(C38, ""price"", EDATE(TODAY(), -3), TODAY()), 2, 2)) - 1, """")"),"")</f>
        <v/>
      </c>
      <c r="O38" s="21" t="str">
        <f>IFERROR(__xludf.DUMMYFUNCTION("IFERROR((GOOGLEFINANCE(C38, ""price"") / INDEX(GOOGLEFINANCE(C38, ""price"", EDATE(TODAY(), -6), TODAY()), 2, 2)) - 1, """")"),"")</f>
        <v/>
      </c>
      <c r="P38" s="21" t="str">
        <f>IFERROR(__xludf.DUMMYFUNCTION("IFERROR((GOOGLEFINANCE(C38, ""price"") / INDEX(GOOGLEFINANCE(C38, ""price"", EDATE(TODAY(), -12), TODAY()), 2, 2)) - 1, """")"),"")</f>
        <v/>
      </c>
      <c r="Q38" s="6" t="str">
        <f>IFERROR(__xludf.DUMMYFUNCTION("AVERAGE(QUERY(GOOGLEFINANCE(C38, ""price"", TODAY()-80, TODAY()), ""SELECT Col2 WHERE Col2 IS NOT NULL ORDER BY Col1 DESC LIMIT 50"", 0))"),"#N/A")</f>
        <v>#N/A</v>
      </c>
      <c r="R38" s="24" t="str">
        <f>IFERROR(__xludf.DUMMYFUNCTION("IFERROR(
  LET(
    data, QUERY(GOOGLEFINANCE(C38,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GOOGLEFINANCE(C38, ""price"")) * 100,
    IF(calc=0, G38, calc)
  ), 
G38)"),"#N/A")</f>
        <v>#N/A</v>
      </c>
      <c r="S38" s="8" t="s">
        <v>15</v>
      </c>
      <c r="T38" s="26" t="str">
        <f>IFERROR(__xludf.DUMMYFUNCTION("IFERROR(TRANSPOSE(QUERY(IFERROR(SORT(GOOGLEFINANCE(C38, ""price"", WORKDAY(TODAY(), -40), TODAY()), 1, FALSE)), ""select Col2 where Col2 is not null limit 22 label Col2 ''"", 0)), """")"),"")</f>
        <v/>
      </c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8"/>
      <c r="AO38" s="28"/>
      <c r="AP38" s="29"/>
      <c r="AQ38" s="29" t="str">
        <f t="shared" ref="AQ38:BL38" si="41">T38/T$2</f>
        <v>#N/A</v>
      </c>
      <c r="AR38" s="29" t="str">
        <f t="shared" si="41"/>
        <v>#DIV/0!</v>
      </c>
      <c r="AS38" s="29" t="str">
        <f t="shared" si="41"/>
        <v>#DIV/0!</v>
      </c>
      <c r="AT38" s="29" t="str">
        <f t="shared" si="41"/>
        <v>#DIV/0!</v>
      </c>
      <c r="AU38" s="29" t="str">
        <f t="shared" si="41"/>
        <v>#DIV/0!</v>
      </c>
      <c r="AV38" s="29" t="str">
        <f t="shared" si="41"/>
        <v>#DIV/0!</v>
      </c>
      <c r="AW38" s="29" t="str">
        <f t="shared" si="41"/>
        <v>#DIV/0!</v>
      </c>
      <c r="AX38" s="29" t="str">
        <f t="shared" si="41"/>
        <v>#DIV/0!</v>
      </c>
      <c r="AY38" s="29" t="str">
        <f t="shared" si="41"/>
        <v>#DIV/0!</v>
      </c>
      <c r="AZ38" s="29" t="str">
        <f t="shared" si="41"/>
        <v>#DIV/0!</v>
      </c>
      <c r="BA38" s="29" t="str">
        <f t="shared" si="41"/>
        <v>#DIV/0!</v>
      </c>
      <c r="BB38" s="29" t="str">
        <f t="shared" si="41"/>
        <v>#DIV/0!</v>
      </c>
      <c r="BC38" s="29" t="str">
        <f t="shared" si="41"/>
        <v>#DIV/0!</v>
      </c>
      <c r="BD38" s="29" t="str">
        <f t="shared" si="41"/>
        <v>#DIV/0!</v>
      </c>
      <c r="BE38" s="29" t="str">
        <f t="shared" si="41"/>
        <v>#DIV/0!</v>
      </c>
      <c r="BF38" s="29" t="str">
        <f t="shared" si="41"/>
        <v>#DIV/0!</v>
      </c>
      <c r="BG38" s="29" t="str">
        <f t="shared" si="41"/>
        <v>#DIV/0!</v>
      </c>
      <c r="BH38" s="29" t="str">
        <f t="shared" si="41"/>
        <v>#DIV/0!</v>
      </c>
      <c r="BI38" s="29" t="str">
        <f t="shared" si="41"/>
        <v>#DIV/0!</v>
      </c>
      <c r="BJ38" s="29" t="str">
        <f t="shared" si="41"/>
        <v>#DIV/0!</v>
      </c>
      <c r="BK38" s="29" t="str">
        <f t="shared" si="41"/>
        <v>#DIV/0!</v>
      </c>
      <c r="BL38" s="29" t="str">
        <f t="shared" si="41"/>
        <v>#DIV/0!</v>
      </c>
      <c r="BM38" s="29" t="str">
        <f t="shared" si="3"/>
        <v>#DIV/0!</v>
      </c>
    </row>
    <row r="39">
      <c r="A39" s="16" t="str">
        <f>IFERROR(__xludf.DUMMYFUNCTION("IFERROR(SPARKLINE(SORT(MAP(TRANSPOSE(AQ39:BL39), LAMBDA(val, IF(ISNUMBER(val), PERCENTRANK(AQ39:BL39, val)+0.01, 0))), SEQUENCE(COLUMNS(AQ39:BL39)), FALSE), {""charttype"",""column""; ""color"",""chartreuse""; ""ymin"", 0; ""ymax"", 1.01; ""highcolor"", "&amp;"""darkgreen""; ""lowcolor"", ""red""}), """")"),"")</f>
        <v/>
      </c>
      <c r="B39" s="17" t="str">
        <f t="shared" si="4"/>
        <v/>
      </c>
      <c r="C39" s="1" t="s">
        <v>2806</v>
      </c>
      <c r="D39" s="30" t="str">
        <f>IFERROR(__xludf.DUMMYFUNCTION("IFERROR(GOOGLEFINANCE(C39, ""NAME""))"),"FRP Holdings Inc")</f>
        <v>FRP Holdings Inc</v>
      </c>
      <c r="E39" s="30" t="s">
        <v>2692</v>
      </c>
      <c r="F39" s="33" t="str">
        <f>IFERROR(__xludf.DUMMYFUNCTION("( (GOOGLEFINANCE(C39, ""price"") - Q39) / Q39 ) / (R39 / 100)"),"Loading...")</f>
        <v>Loading...</v>
      </c>
      <c r="G39" s="20" t="str">
        <f>IFERROR(__xludf.DUMMYFUNCTION("AVERAGE(ARRAYFORMULA(100 * (QUERY(GOOGLEFINANCE(C39, ""high"", TODAY()-40, TODAY()), ""SELECT Col2 WHERE Col2 IS NOT NULL ORDER BY Col1 DESC LIMIT 20"", 0) / QUERY(GOOGLEFINANCE(C39, ""low"", TODAY()-40, TODAY()), ""SELECT Col2 WHERE Col2 IS NOT NULL ORDE"&amp;"R BY Col1 DESC LIMIT 20"", 0) - 1)))"),"#N/A")</f>
        <v>#N/A</v>
      </c>
      <c r="H39" s="35" t="str">
        <f t="shared" si="6"/>
        <v>Illiquid</v>
      </c>
      <c r="I39" s="35" t="str">
        <f t="shared" si="7"/>
        <v>RVol Required</v>
      </c>
      <c r="J39" s="37">
        <f>IFERROR(__xludf.DUMMYFUNCTION("IFERROR(
  IF(C39="""",, 
    IFERROR(
      GOOGLEFINANCE(C39, ""price"") * GOOGLEFINANCE(C39, ""volumeavg""), 
      GOOGLEFINANCE(C39, ""price"") * AVERAGE(QUERY(GOOGLEFINANCE(C39, ""volume"", TODAY()-40, TODAY()), ""SELECT Col2 WHERE Col2 IS NOT NULL "&amp;"ORDER BY Col1 DESC LIMIT 20"", 0))
    )
  ), 
"""")"),2002364.5199999998)</f>
        <v>2002364.52</v>
      </c>
      <c r="K39" s="21">
        <f>IFERROR(__xludf.DUMMYFUNCTION("IFERROR(GOOGLEFINANCE(C39, ""changepct"") / 100, """")"),0.0052)</f>
        <v>0.0052</v>
      </c>
      <c r="L39" s="21" t="str">
        <f>IFERROR(__xludf.DUMMYFUNCTION("IFERROR((GOOGLEFINANCE(C39, ""price"") / INDEX(GOOGLEFINANCE(C39, ""price"", TODAY()-7, TODAY()), 2, 2)) - 1, """")"),"")</f>
        <v/>
      </c>
      <c r="M39" s="21" t="str">
        <f>IFERROR(__xludf.DUMMYFUNCTION("IFERROR((GOOGLEFINANCE(C39, ""price"") / INDEX(GOOGLEFINANCE(C39, ""price"", EDATE(TODAY(), -1), TODAY()), 2, 2)) - 1, """")"),"")</f>
        <v/>
      </c>
      <c r="N39" s="21" t="str">
        <f>IFERROR(__xludf.DUMMYFUNCTION("IFERROR((GOOGLEFINANCE(C39, ""price"") / INDEX(GOOGLEFINANCE(C39, ""price"", EDATE(TODAY(), -3), TODAY()), 2, 2)) - 1, """")"),"")</f>
        <v/>
      </c>
      <c r="O39" s="21" t="str">
        <f>IFERROR(__xludf.DUMMYFUNCTION("IFERROR((GOOGLEFINANCE(C39, ""price"") / INDEX(GOOGLEFINANCE(C39, ""price"", EDATE(TODAY(), -6), TODAY()), 2, 2)) - 1, """")"),"")</f>
        <v/>
      </c>
      <c r="P39" s="21" t="str">
        <f>IFERROR(__xludf.DUMMYFUNCTION("IFERROR((GOOGLEFINANCE(C39, ""price"") / INDEX(GOOGLEFINANCE(C39, ""price"", EDATE(TODAY(), -12), TODAY()), 2, 2)) - 1, """")"),"")</f>
        <v/>
      </c>
      <c r="Q39" s="6" t="str">
        <f>IFERROR(__xludf.DUMMYFUNCTION("AVERAGE(QUERY(GOOGLEFINANCE(C39, ""price"", TODAY()-80, TODAY()), ""SELECT Col2 WHERE Col2 IS NOT NULL ORDER BY Col1 DESC LIMIT 50"", 0))"),"#N/A")</f>
        <v>#N/A</v>
      </c>
      <c r="R39" s="24" t="str">
        <f>IFERROR(__xludf.DUMMYFUNCTION("IFERROR(
  LET(
    data, QUERY(GOOGLEFINANCE(C39,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GOOGLEFINANCE(C39, ""price"")) * 100,
    IF(calc=0, G39, calc)
  ), 
G39)"),"#N/A")</f>
        <v>#N/A</v>
      </c>
      <c r="S39" s="8" t="s">
        <v>15</v>
      </c>
      <c r="T39" s="26" t="str">
        <f>IFERROR(__xludf.DUMMYFUNCTION("IFERROR(TRANSPOSE(QUERY(IFERROR(SORT(GOOGLEFINANCE(C39, ""price"", WORKDAY(TODAY(), -40), TODAY()), 1, FALSE)), ""select Col2 where Col2 is not null limit 22 label Col2 ''"", 0)), """")"),"")</f>
        <v/>
      </c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8"/>
      <c r="AO39" s="28"/>
      <c r="AP39" s="29"/>
      <c r="AQ39" s="29" t="str">
        <f t="shared" ref="AQ39:BL39" si="42">T39/T$2</f>
        <v>#N/A</v>
      </c>
      <c r="AR39" s="29" t="str">
        <f t="shared" si="42"/>
        <v>#DIV/0!</v>
      </c>
      <c r="AS39" s="29" t="str">
        <f t="shared" si="42"/>
        <v>#DIV/0!</v>
      </c>
      <c r="AT39" s="29" t="str">
        <f t="shared" si="42"/>
        <v>#DIV/0!</v>
      </c>
      <c r="AU39" s="29" t="str">
        <f t="shared" si="42"/>
        <v>#DIV/0!</v>
      </c>
      <c r="AV39" s="29" t="str">
        <f t="shared" si="42"/>
        <v>#DIV/0!</v>
      </c>
      <c r="AW39" s="29" t="str">
        <f t="shared" si="42"/>
        <v>#DIV/0!</v>
      </c>
      <c r="AX39" s="29" t="str">
        <f t="shared" si="42"/>
        <v>#DIV/0!</v>
      </c>
      <c r="AY39" s="29" t="str">
        <f t="shared" si="42"/>
        <v>#DIV/0!</v>
      </c>
      <c r="AZ39" s="29" t="str">
        <f t="shared" si="42"/>
        <v>#DIV/0!</v>
      </c>
      <c r="BA39" s="29" t="str">
        <f t="shared" si="42"/>
        <v>#DIV/0!</v>
      </c>
      <c r="BB39" s="29" t="str">
        <f t="shared" si="42"/>
        <v>#DIV/0!</v>
      </c>
      <c r="BC39" s="29" t="str">
        <f t="shared" si="42"/>
        <v>#DIV/0!</v>
      </c>
      <c r="BD39" s="29" t="str">
        <f t="shared" si="42"/>
        <v>#DIV/0!</v>
      </c>
      <c r="BE39" s="29" t="str">
        <f t="shared" si="42"/>
        <v>#DIV/0!</v>
      </c>
      <c r="BF39" s="29" t="str">
        <f t="shared" si="42"/>
        <v>#DIV/0!</v>
      </c>
      <c r="BG39" s="29" t="str">
        <f t="shared" si="42"/>
        <v>#DIV/0!</v>
      </c>
      <c r="BH39" s="29" t="str">
        <f t="shared" si="42"/>
        <v>#DIV/0!</v>
      </c>
      <c r="BI39" s="29" t="str">
        <f t="shared" si="42"/>
        <v>#DIV/0!</v>
      </c>
      <c r="BJ39" s="29" t="str">
        <f t="shared" si="42"/>
        <v>#DIV/0!</v>
      </c>
      <c r="BK39" s="29" t="str">
        <f t="shared" si="42"/>
        <v>#DIV/0!</v>
      </c>
      <c r="BL39" s="29" t="str">
        <f t="shared" si="42"/>
        <v>#DIV/0!</v>
      </c>
      <c r="BM39" s="29" t="str">
        <f t="shared" si="3"/>
        <v>#DIV/0!</v>
      </c>
    </row>
    <row r="40">
      <c r="A40" s="16" t="str">
        <f>IFERROR(__xludf.DUMMYFUNCTION("IFERROR(SPARKLINE(SORT(MAP(TRANSPOSE(AQ40:BL40), LAMBDA(val, IF(ISNUMBER(val), PERCENTRANK(AQ40:BL40, val)+0.01, 0))), SEQUENCE(COLUMNS(AQ40:BL40)), FALSE), {""charttype"",""column""; ""color"",""chartreuse""; ""ymin"", 0; ""ymax"", 1.01; ""highcolor"", "&amp;"""darkgreen""; ""lowcolor"", ""red""}), """")"),"")</f>
        <v/>
      </c>
      <c r="B40" s="17" t="str">
        <f t="shared" si="4"/>
        <v/>
      </c>
      <c r="C40" s="1" t="s">
        <v>2810</v>
      </c>
      <c r="D40" s="30" t="str">
        <f>IFERROR(__xludf.DUMMYFUNCTION("IFERROR(GOOGLEFINANCE(C40, ""NAME""))"),"Industrial Logistics Properties Trust")</f>
        <v>Industrial Logistics Properties Trust</v>
      </c>
      <c r="E40" s="30" t="s">
        <v>2704</v>
      </c>
      <c r="F40" s="38" t="str">
        <f>IFERROR(__xludf.DUMMYFUNCTION("( (GOOGLEFINANCE(C40, ""price"") - Q40) / Q40 ) / (R40 / 100)"),"Loading...")</f>
        <v>Loading...</v>
      </c>
      <c r="G40" s="20" t="str">
        <f>IFERROR(__xludf.DUMMYFUNCTION("AVERAGE(ARRAYFORMULA(100 * (QUERY(GOOGLEFINANCE(C40, ""high"", TODAY()-40, TODAY()), ""SELECT Col2 WHERE Col2 IS NOT NULL ORDER BY Col1 DESC LIMIT 20"", 0) / QUERY(GOOGLEFINANCE(C40, ""low"", TODAY()-40, TODAY()), ""SELECT Col2 WHERE Col2 IS NOT NULL ORDE"&amp;"R BY Col1 DESC LIMIT 20"", 0) - 1)))"),"#N/A")</f>
        <v>#N/A</v>
      </c>
      <c r="H40" s="35" t="str">
        <f t="shared" si="6"/>
        <v>Illiquid</v>
      </c>
      <c r="I40" s="35" t="str">
        <f t="shared" si="7"/>
        <v>RVol Required</v>
      </c>
      <c r="J40" s="37">
        <f>IFERROR(__xludf.DUMMYFUNCTION("IFERROR(
  IF(C40="""",, 
    IFERROR(
      GOOGLEFINANCE(C40, ""price"") * GOOGLEFINANCE(C40, ""volumeavg""), 
      GOOGLEFINANCE(C40, ""price"") * AVERAGE(QUERY(GOOGLEFINANCE(C40, ""volume"", TODAY()-40, TODAY()), ""SELECT Col2 WHERE Col2 IS NOT NULL "&amp;"ORDER BY Col1 DESC LIMIT 20"", 0))
    )
  ), 
"""")"),2287666.7)</f>
        <v>2287666.7</v>
      </c>
      <c r="K40" s="21">
        <f>IFERROR(__xludf.DUMMYFUNCTION("IFERROR(GOOGLEFINANCE(C40, ""changepct"") / 100, """")"),-0.0102)</f>
        <v>-0.0102</v>
      </c>
      <c r="L40" s="21" t="str">
        <f>IFERROR(__xludf.DUMMYFUNCTION("IFERROR((GOOGLEFINANCE(C40, ""price"") / INDEX(GOOGLEFINANCE(C40, ""price"", TODAY()-7, TODAY()), 2, 2)) - 1, """")"),"")</f>
        <v/>
      </c>
      <c r="M40" s="21" t="str">
        <f>IFERROR(__xludf.DUMMYFUNCTION("IFERROR((GOOGLEFINANCE(C40, ""price"") / INDEX(GOOGLEFINANCE(C40, ""price"", EDATE(TODAY(), -1), TODAY()), 2, 2)) - 1, """")"),"")</f>
        <v/>
      </c>
      <c r="N40" s="21" t="str">
        <f>IFERROR(__xludf.DUMMYFUNCTION("IFERROR((GOOGLEFINANCE(C40, ""price"") / INDEX(GOOGLEFINANCE(C40, ""price"", EDATE(TODAY(), -3), TODAY()), 2, 2)) - 1, """")"),"")</f>
        <v/>
      </c>
      <c r="O40" s="21" t="str">
        <f>IFERROR(__xludf.DUMMYFUNCTION("IFERROR((GOOGLEFINANCE(C40, ""price"") / INDEX(GOOGLEFINANCE(C40, ""price"", EDATE(TODAY(), -6), TODAY()), 2, 2)) - 1, """")"),"")</f>
        <v/>
      </c>
      <c r="P40" s="21" t="str">
        <f>IFERROR(__xludf.DUMMYFUNCTION("IFERROR((GOOGLEFINANCE(C40, ""price"") / INDEX(GOOGLEFINANCE(C40, ""price"", EDATE(TODAY(), -12), TODAY()), 2, 2)) - 1, """")"),"")</f>
        <v/>
      </c>
      <c r="Q40" s="6" t="str">
        <f>IFERROR(__xludf.DUMMYFUNCTION("AVERAGE(QUERY(GOOGLEFINANCE(C40, ""price"", TODAY()-80, TODAY()), ""SELECT Col2 WHERE Col2 IS NOT NULL ORDER BY Col1 DESC LIMIT 50"", 0))"),"#N/A")</f>
        <v>#N/A</v>
      </c>
      <c r="R40" s="24" t="str">
        <f>IFERROR(__xludf.DUMMYFUNCTION("IFERROR(
  LET(
    data, QUERY(GOOGLEFINANCE(C40,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GOOGLEFINANCE(C40, ""price"")) * 100,
    IF(calc=0, G40, calc)
  ), 
G40)"),"#N/A")</f>
        <v>#N/A</v>
      </c>
      <c r="S40" s="8" t="s">
        <v>15</v>
      </c>
      <c r="T40" s="26" t="str">
        <f>IFERROR(__xludf.DUMMYFUNCTION("IFERROR(TRANSPOSE(QUERY(IFERROR(SORT(GOOGLEFINANCE(C40, ""price"", WORKDAY(TODAY(), -40), TODAY()), 1, FALSE)), ""select Col2 where Col2 is not null limit 22 label Col2 ''"", 0)), """")"),"")</f>
        <v/>
      </c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8"/>
      <c r="AO40" s="28"/>
      <c r="AP40" s="29"/>
      <c r="AQ40" s="29" t="str">
        <f t="shared" ref="AQ40:BL40" si="43">T40/T$2</f>
        <v>#N/A</v>
      </c>
      <c r="AR40" s="29" t="str">
        <f t="shared" si="43"/>
        <v>#DIV/0!</v>
      </c>
      <c r="AS40" s="29" t="str">
        <f t="shared" si="43"/>
        <v>#DIV/0!</v>
      </c>
      <c r="AT40" s="29" t="str">
        <f t="shared" si="43"/>
        <v>#DIV/0!</v>
      </c>
      <c r="AU40" s="29" t="str">
        <f t="shared" si="43"/>
        <v>#DIV/0!</v>
      </c>
      <c r="AV40" s="29" t="str">
        <f t="shared" si="43"/>
        <v>#DIV/0!</v>
      </c>
      <c r="AW40" s="29" t="str">
        <f t="shared" si="43"/>
        <v>#DIV/0!</v>
      </c>
      <c r="AX40" s="29" t="str">
        <f t="shared" si="43"/>
        <v>#DIV/0!</v>
      </c>
      <c r="AY40" s="29" t="str">
        <f t="shared" si="43"/>
        <v>#DIV/0!</v>
      </c>
      <c r="AZ40" s="29" t="str">
        <f t="shared" si="43"/>
        <v>#DIV/0!</v>
      </c>
      <c r="BA40" s="29" t="str">
        <f t="shared" si="43"/>
        <v>#DIV/0!</v>
      </c>
      <c r="BB40" s="29" t="str">
        <f t="shared" si="43"/>
        <v>#DIV/0!</v>
      </c>
      <c r="BC40" s="29" t="str">
        <f t="shared" si="43"/>
        <v>#DIV/0!</v>
      </c>
      <c r="BD40" s="29" t="str">
        <f t="shared" si="43"/>
        <v>#DIV/0!</v>
      </c>
      <c r="BE40" s="29" t="str">
        <f t="shared" si="43"/>
        <v>#DIV/0!</v>
      </c>
      <c r="BF40" s="29" t="str">
        <f t="shared" si="43"/>
        <v>#DIV/0!</v>
      </c>
      <c r="BG40" s="29" t="str">
        <f t="shared" si="43"/>
        <v>#DIV/0!</v>
      </c>
      <c r="BH40" s="29" t="str">
        <f t="shared" si="43"/>
        <v>#DIV/0!</v>
      </c>
      <c r="BI40" s="29" t="str">
        <f t="shared" si="43"/>
        <v>#DIV/0!</v>
      </c>
      <c r="BJ40" s="29" t="str">
        <f t="shared" si="43"/>
        <v>#DIV/0!</v>
      </c>
      <c r="BK40" s="29" t="str">
        <f t="shared" si="43"/>
        <v>#DIV/0!</v>
      </c>
      <c r="BL40" s="29" t="str">
        <f t="shared" si="43"/>
        <v>#DIV/0!</v>
      </c>
      <c r="BM40" s="29" t="str">
        <f t="shared" si="3"/>
        <v>#DIV/0!</v>
      </c>
    </row>
    <row r="41">
      <c r="A41" s="16" t="str">
        <f>IFERROR(__xludf.DUMMYFUNCTION("IFERROR(SPARKLINE(SORT(MAP(TRANSPOSE(AQ41:BL41), LAMBDA(val, IF(ISNUMBER(val), PERCENTRANK(AQ41:BL41, val)+0.01, 0))), SEQUENCE(COLUMNS(AQ41:BL41)), FALSE), {""charttype"",""column""; ""color"",""chartreuse""; ""ymin"", 0; ""ymax"", 1.01; ""highcolor"", "&amp;"""darkgreen""; ""lowcolor"", ""red""}), """")"),"")</f>
        <v/>
      </c>
      <c r="B41" s="17" t="str">
        <f t="shared" si="4"/>
        <v/>
      </c>
      <c r="C41" s="1" t="s">
        <v>2814</v>
      </c>
      <c r="D41" s="30" t="str">
        <f>IFERROR(__xludf.DUMMYFUNCTION("IFERROR(GOOGLEFINANCE(C41, ""NAME""))"),"NexPoint Residential Trust Inc")</f>
        <v>NexPoint Residential Trust Inc</v>
      </c>
      <c r="E41" s="30" t="s">
        <v>2760</v>
      </c>
      <c r="F41" s="33" t="str">
        <f>IFERROR(__xludf.DUMMYFUNCTION("( (GOOGLEFINANCE(C41, ""price"") - Q41) / Q41 ) / (R41 / 100)"),"Loading...")</f>
        <v>Loading...</v>
      </c>
      <c r="G41" s="20" t="str">
        <f>IFERROR(__xludf.DUMMYFUNCTION("AVERAGE(ARRAYFORMULA(100 * (QUERY(GOOGLEFINANCE(C41, ""high"", TODAY()-40, TODAY()), ""SELECT Col2 WHERE Col2 IS NOT NULL ORDER BY Col1 DESC LIMIT 20"", 0) / QUERY(GOOGLEFINANCE(C41, ""low"", TODAY()-40, TODAY()), ""SELECT Col2 WHERE Col2 IS NOT NULL ORDE"&amp;"R BY Col1 DESC LIMIT 20"", 0) - 1)))"),"#N/A")</f>
        <v>#N/A</v>
      </c>
      <c r="H41" s="35" t="str">
        <f t="shared" si="6"/>
        <v>Illiquid</v>
      </c>
      <c r="I41" s="35" t="str">
        <f t="shared" si="7"/>
        <v>RVol Required</v>
      </c>
      <c r="J41" s="37">
        <f>IFERROR(__xludf.DUMMYFUNCTION("IFERROR(
  IF(C41="""",, 
    IFERROR(
      GOOGLEFINANCE(C41, ""price"") * GOOGLEFINANCE(C41, ""volumeavg""), 
      GOOGLEFINANCE(C41, ""price"") * AVERAGE(QUERY(GOOGLEFINANCE(C41, ""volume"", TODAY()-40, TODAY()), ""SELECT Col2 WHERE Col2 IS NOT NULL "&amp;"ORDER BY Col1 DESC LIMIT 20"", 0))
    )
  ), 
"""")"),1.53314183E7)</f>
        <v>15331418.3</v>
      </c>
      <c r="K41" s="21">
        <f>IFERROR(__xludf.DUMMYFUNCTION("IFERROR(GOOGLEFINANCE(C41, ""changepct"") / 100, """")"),-0.0108)</f>
        <v>-0.0108</v>
      </c>
      <c r="L41" s="21" t="str">
        <f>IFERROR(__xludf.DUMMYFUNCTION("IFERROR((GOOGLEFINANCE(C41, ""price"") / INDEX(GOOGLEFINANCE(C41, ""price"", TODAY()-7, TODAY()), 2, 2)) - 1, """")"),"")</f>
        <v/>
      </c>
      <c r="M41" s="21" t="str">
        <f>IFERROR(__xludf.DUMMYFUNCTION("IFERROR((GOOGLEFINANCE(C41, ""price"") / INDEX(GOOGLEFINANCE(C41, ""price"", EDATE(TODAY(), -1), TODAY()), 2, 2)) - 1, """")"),"")</f>
        <v/>
      </c>
      <c r="N41" s="21" t="str">
        <f>IFERROR(__xludf.DUMMYFUNCTION("IFERROR((GOOGLEFINANCE(C41, ""price"") / INDEX(GOOGLEFINANCE(C41, ""price"", EDATE(TODAY(), -3), TODAY()), 2, 2)) - 1, """")"),"")</f>
        <v/>
      </c>
      <c r="O41" s="21" t="str">
        <f>IFERROR(__xludf.DUMMYFUNCTION("IFERROR((GOOGLEFINANCE(C41, ""price"") / INDEX(GOOGLEFINANCE(C41, ""price"", EDATE(TODAY(), -6), TODAY()), 2, 2)) - 1, """")"),"")</f>
        <v/>
      </c>
      <c r="P41" s="21" t="str">
        <f>IFERROR(__xludf.DUMMYFUNCTION("IFERROR((GOOGLEFINANCE(C41, ""price"") / INDEX(GOOGLEFINANCE(C41, ""price"", EDATE(TODAY(), -12), TODAY()), 2, 2)) - 1, """")"),"")</f>
        <v/>
      </c>
      <c r="Q41" s="6" t="str">
        <f>IFERROR(__xludf.DUMMYFUNCTION("AVERAGE(QUERY(GOOGLEFINANCE(C41, ""price"", TODAY()-80, TODAY()), ""SELECT Col2 WHERE Col2 IS NOT NULL ORDER BY Col1 DESC LIMIT 50"", 0))"),"#N/A")</f>
        <v>#N/A</v>
      </c>
      <c r="R41" s="24" t="str">
        <f>IFERROR(__xludf.DUMMYFUNCTION("IFERROR(
  LET(
    data, QUERY(GOOGLEFINANCE(C41,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GOOGLEFINANCE(C41, ""price"")) * 100,
    IF(calc=0, G41, calc)
  ), 
G41)"),"#N/A")</f>
        <v>#N/A</v>
      </c>
      <c r="S41" s="8" t="s">
        <v>15</v>
      </c>
      <c r="T41" s="26" t="str">
        <f>IFERROR(__xludf.DUMMYFUNCTION("IFERROR(TRANSPOSE(QUERY(IFERROR(SORT(GOOGLEFINANCE(C41, ""price"", WORKDAY(TODAY(), -40), TODAY()), 1, FALSE)), ""select Col2 where Col2 is not null limit 22 label Col2 ''"", 0)), """")"),"")</f>
        <v/>
      </c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8"/>
      <c r="AO41" s="28"/>
      <c r="AP41" s="29"/>
      <c r="AQ41" s="29" t="str">
        <f t="shared" ref="AQ41:BL41" si="44">T41/T$2</f>
        <v>#N/A</v>
      </c>
      <c r="AR41" s="29" t="str">
        <f t="shared" si="44"/>
        <v>#DIV/0!</v>
      </c>
      <c r="AS41" s="29" t="str">
        <f t="shared" si="44"/>
        <v>#DIV/0!</v>
      </c>
      <c r="AT41" s="29" t="str">
        <f t="shared" si="44"/>
        <v>#DIV/0!</v>
      </c>
      <c r="AU41" s="29" t="str">
        <f t="shared" si="44"/>
        <v>#DIV/0!</v>
      </c>
      <c r="AV41" s="29" t="str">
        <f t="shared" si="44"/>
        <v>#DIV/0!</v>
      </c>
      <c r="AW41" s="29" t="str">
        <f t="shared" si="44"/>
        <v>#DIV/0!</v>
      </c>
      <c r="AX41" s="29" t="str">
        <f t="shared" si="44"/>
        <v>#DIV/0!</v>
      </c>
      <c r="AY41" s="29" t="str">
        <f t="shared" si="44"/>
        <v>#DIV/0!</v>
      </c>
      <c r="AZ41" s="29" t="str">
        <f t="shared" si="44"/>
        <v>#DIV/0!</v>
      </c>
      <c r="BA41" s="29" t="str">
        <f t="shared" si="44"/>
        <v>#DIV/0!</v>
      </c>
      <c r="BB41" s="29" t="str">
        <f t="shared" si="44"/>
        <v>#DIV/0!</v>
      </c>
      <c r="BC41" s="29" t="str">
        <f t="shared" si="44"/>
        <v>#DIV/0!</v>
      </c>
      <c r="BD41" s="29" t="str">
        <f t="shared" si="44"/>
        <v>#DIV/0!</v>
      </c>
      <c r="BE41" s="29" t="str">
        <f t="shared" si="44"/>
        <v>#DIV/0!</v>
      </c>
      <c r="BF41" s="29" t="str">
        <f t="shared" si="44"/>
        <v>#DIV/0!</v>
      </c>
      <c r="BG41" s="29" t="str">
        <f t="shared" si="44"/>
        <v>#DIV/0!</v>
      </c>
      <c r="BH41" s="29" t="str">
        <f t="shared" si="44"/>
        <v>#DIV/0!</v>
      </c>
      <c r="BI41" s="29" t="str">
        <f t="shared" si="44"/>
        <v>#DIV/0!</v>
      </c>
      <c r="BJ41" s="29" t="str">
        <f t="shared" si="44"/>
        <v>#DIV/0!</v>
      </c>
      <c r="BK41" s="29" t="str">
        <f t="shared" si="44"/>
        <v>#DIV/0!</v>
      </c>
      <c r="BL41" s="29" t="str">
        <f t="shared" si="44"/>
        <v>#DIV/0!</v>
      </c>
      <c r="BM41" s="29" t="str">
        <f t="shared" si="3"/>
        <v>#DIV/0!</v>
      </c>
    </row>
    <row r="42">
      <c r="A42" s="16" t="str">
        <f>IFERROR(__xludf.DUMMYFUNCTION("IFERROR(SPARKLINE(SORT(MAP(TRANSPOSE(AQ42:BL42), LAMBDA(val, IF(ISNUMBER(val), PERCENTRANK(AQ42:BL42, val)+0.01, 0))), SEQUENCE(COLUMNS(AQ42:BL42)), FALSE), {""charttype"",""column""; ""color"",""chartreuse""; ""ymin"", 0; ""ymax"", 1.01; ""highcolor"", "&amp;"""darkgreen""; ""lowcolor"", ""red""}), """")"),"")</f>
        <v/>
      </c>
      <c r="B42" s="17" t="str">
        <f t="shared" si="4"/>
        <v/>
      </c>
      <c r="C42" s="1" t="s">
        <v>2818</v>
      </c>
      <c r="D42" s="30" t="str">
        <f>IFERROR(__xludf.DUMMYFUNCTION("IFERROR(GOOGLEFINANCE(C42, ""NAME""))"),"Essex Property Trust Inc")</f>
        <v>Essex Property Trust Inc</v>
      </c>
      <c r="E42" s="30" t="s">
        <v>2760</v>
      </c>
      <c r="F42" s="38" t="str">
        <f>IFERROR(__xludf.DUMMYFUNCTION("( (GOOGLEFINANCE(C42, ""price"") - Q42) / Q42 ) / (R42 / 100)"),"Loading...")</f>
        <v>Loading...</v>
      </c>
      <c r="G42" s="20" t="str">
        <f>IFERROR(__xludf.DUMMYFUNCTION("AVERAGE(ARRAYFORMULA(100 * (QUERY(GOOGLEFINANCE(C42, ""high"", TODAY()-40, TODAY()), ""SELECT Col2 WHERE Col2 IS NOT NULL ORDER BY Col1 DESC LIMIT 20"", 0) / QUERY(GOOGLEFINANCE(C42, ""low"", TODAY()-40, TODAY()), ""SELECT Col2 WHERE Col2 IS NOT NULL ORDE"&amp;"R BY Col1 DESC LIMIT 20"", 0) - 1)))"),"#N/A")</f>
        <v>#N/A</v>
      </c>
      <c r="H42" s="35" t="str">
        <f t="shared" si="6"/>
        <v>Liquid</v>
      </c>
      <c r="I42" s="35" t="str">
        <f t="shared" si="7"/>
        <v>RVol Required</v>
      </c>
      <c r="J42" s="37">
        <f>IFERROR(__xludf.DUMMYFUNCTION("IFERROR(
  IF(C42="""",, 
    IFERROR(
      GOOGLEFINANCE(C42, ""price"") * GOOGLEFINANCE(C42, ""volumeavg""), 
      GOOGLEFINANCE(C42, ""price"") * AVERAGE(QUERY(GOOGLEFINANCE(C42, ""volume"", TODAY()-40, TODAY()), ""SELECT Col2 WHERE Col2 IS NOT NULL "&amp;"ORDER BY Col1 DESC LIMIT 20"", 0))
    )
  ), 
"""")"),1.3859856402E8)</f>
        <v>138598564</v>
      </c>
      <c r="K42" s="21">
        <f>IFERROR(__xludf.DUMMYFUNCTION("IFERROR(GOOGLEFINANCE(C42, ""changepct"") / 100, """")"),-9.0E-4)</f>
        <v>-0.0009</v>
      </c>
      <c r="L42" s="21" t="str">
        <f>IFERROR(__xludf.DUMMYFUNCTION("IFERROR((GOOGLEFINANCE(C42, ""price"") / INDEX(GOOGLEFINANCE(C42, ""price"", TODAY()-7, TODAY()), 2, 2)) - 1, """")"),"")</f>
        <v/>
      </c>
      <c r="M42" s="21" t="str">
        <f>IFERROR(__xludf.DUMMYFUNCTION("IFERROR((GOOGLEFINANCE(C42, ""price"") / INDEX(GOOGLEFINANCE(C42, ""price"", EDATE(TODAY(), -1), TODAY()), 2, 2)) - 1, """")"),"")</f>
        <v/>
      </c>
      <c r="N42" s="21" t="str">
        <f>IFERROR(__xludf.DUMMYFUNCTION("IFERROR((GOOGLEFINANCE(C42, ""price"") / INDEX(GOOGLEFINANCE(C42, ""price"", EDATE(TODAY(), -3), TODAY()), 2, 2)) - 1, """")"),"")</f>
        <v/>
      </c>
      <c r="O42" s="21" t="str">
        <f>IFERROR(__xludf.DUMMYFUNCTION("IFERROR((GOOGLEFINANCE(C42, ""price"") / INDEX(GOOGLEFINANCE(C42, ""price"", EDATE(TODAY(), -6), TODAY()), 2, 2)) - 1, """")"),"")</f>
        <v/>
      </c>
      <c r="P42" s="21" t="str">
        <f>IFERROR(__xludf.DUMMYFUNCTION("IFERROR((GOOGLEFINANCE(C42, ""price"") / INDEX(GOOGLEFINANCE(C42, ""price"", EDATE(TODAY(), -12), TODAY()), 2, 2)) - 1, """")"),"")</f>
        <v/>
      </c>
      <c r="Q42" s="6" t="str">
        <f>IFERROR(__xludf.DUMMYFUNCTION("AVERAGE(QUERY(GOOGLEFINANCE(C42, ""price"", TODAY()-80, TODAY()), ""SELECT Col2 WHERE Col2 IS NOT NULL ORDER BY Col1 DESC LIMIT 50"", 0))"),"#N/A")</f>
        <v>#N/A</v>
      </c>
      <c r="R42" s="24" t="str">
        <f>IFERROR(__xludf.DUMMYFUNCTION("IFERROR(
  LET(
    data, QUERY(GOOGLEFINANCE(C42,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GOOGLEFINANCE(C42, ""price"")) * 100,
    IF(calc=0, G42, calc)
  ), 
G42)"),"#N/A")</f>
        <v>#N/A</v>
      </c>
      <c r="S42" s="8" t="s">
        <v>15</v>
      </c>
      <c r="T42" s="26" t="str">
        <f>IFERROR(__xludf.DUMMYFUNCTION("IFERROR(TRANSPOSE(QUERY(IFERROR(SORT(GOOGLEFINANCE(C42, ""price"", WORKDAY(TODAY(), -40), TODAY()), 1, FALSE)), ""select Col2 where Col2 is not null limit 22 label Col2 ''"", 0)), """")"),"")</f>
        <v/>
      </c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8"/>
      <c r="AO42" s="28"/>
      <c r="AP42" s="29"/>
      <c r="AQ42" s="29" t="str">
        <f t="shared" ref="AQ42:BL42" si="45">T42/T$2</f>
        <v>#N/A</v>
      </c>
      <c r="AR42" s="29" t="str">
        <f t="shared" si="45"/>
        <v>#DIV/0!</v>
      </c>
      <c r="AS42" s="29" t="str">
        <f t="shared" si="45"/>
        <v>#DIV/0!</v>
      </c>
      <c r="AT42" s="29" t="str">
        <f t="shared" si="45"/>
        <v>#DIV/0!</v>
      </c>
      <c r="AU42" s="29" t="str">
        <f t="shared" si="45"/>
        <v>#DIV/0!</v>
      </c>
      <c r="AV42" s="29" t="str">
        <f t="shared" si="45"/>
        <v>#DIV/0!</v>
      </c>
      <c r="AW42" s="29" t="str">
        <f t="shared" si="45"/>
        <v>#DIV/0!</v>
      </c>
      <c r="AX42" s="29" t="str">
        <f t="shared" si="45"/>
        <v>#DIV/0!</v>
      </c>
      <c r="AY42" s="29" t="str">
        <f t="shared" si="45"/>
        <v>#DIV/0!</v>
      </c>
      <c r="AZ42" s="29" t="str">
        <f t="shared" si="45"/>
        <v>#DIV/0!</v>
      </c>
      <c r="BA42" s="29" t="str">
        <f t="shared" si="45"/>
        <v>#DIV/0!</v>
      </c>
      <c r="BB42" s="29" t="str">
        <f t="shared" si="45"/>
        <v>#DIV/0!</v>
      </c>
      <c r="BC42" s="29" t="str">
        <f t="shared" si="45"/>
        <v>#DIV/0!</v>
      </c>
      <c r="BD42" s="29" t="str">
        <f t="shared" si="45"/>
        <v>#DIV/0!</v>
      </c>
      <c r="BE42" s="29" t="str">
        <f t="shared" si="45"/>
        <v>#DIV/0!</v>
      </c>
      <c r="BF42" s="29" t="str">
        <f t="shared" si="45"/>
        <v>#DIV/0!</v>
      </c>
      <c r="BG42" s="29" t="str">
        <f t="shared" si="45"/>
        <v>#DIV/0!</v>
      </c>
      <c r="BH42" s="29" t="str">
        <f t="shared" si="45"/>
        <v>#DIV/0!</v>
      </c>
      <c r="BI42" s="29" t="str">
        <f t="shared" si="45"/>
        <v>#DIV/0!</v>
      </c>
      <c r="BJ42" s="29" t="str">
        <f t="shared" si="45"/>
        <v>#DIV/0!</v>
      </c>
      <c r="BK42" s="29" t="str">
        <f t="shared" si="45"/>
        <v>#DIV/0!</v>
      </c>
      <c r="BL42" s="29" t="str">
        <f t="shared" si="45"/>
        <v>#DIV/0!</v>
      </c>
      <c r="BM42" s="29" t="str">
        <f t="shared" si="3"/>
        <v>#DIV/0!</v>
      </c>
    </row>
    <row r="43">
      <c r="A43" s="16" t="str">
        <f>IFERROR(__xludf.DUMMYFUNCTION("IFERROR(SPARKLINE(SORT(MAP(TRANSPOSE(AQ43:BL43), LAMBDA(val, IF(ISNUMBER(val), PERCENTRANK(AQ43:BL43, val)+0.01, 0))), SEQUENCE(COLUMNS(AQ43:BL43)), FALSE), {""charttype"",""column""; ""color"",""chartreuse""; ""ymin"", 0; ""ymax"", 1.01; ""highcolor"", "&amp;"""darkgreen""; ""lowcolor"", ""red""}), """")"),"")</f>
        <v/>
      </c>
      <c r="B43" s="17" t="str">
        <f t="shared" si="4"/>
        <v/>
      </c>
      <c r="C43" s="1" t="s">
        <v>2822</v>
      </c>
      <c r="D43" s="30" t="str">
        <f>IFERROR(__xludf.DUMMYFUNCTION("IFERROR(GOOGLEFINANCE(C43, ""NAME""))"),"Ventas Inc")</f>
        <v>Ventas Inc</v>
      </c>
      <c r="E43" s="30" t="s">
        <v>2668</v>
      </c>
      <c r="F43" s="33" t="str">
        <f>IFERROR(__xludf.DUMMYFUNCTION("( (GOOGLEFINANCE(C43, ""price"") - Q43) / Q43 ) / (R43 / 100)"),"Loading...")</f>
        <v>Loading...</v>
      </c>
      <c r="G43" s="20" t="str">
        <f>IFERROR(__xludf.DUMMYFUNCTION("AVERAGE(ARRAYFORMULA(100 * (QUERY(GOOGLEFINANCE(C43, ""high"", TODAY()-40, TODAY()), ""SELECT Col2 WHERE Col2 IS NOT NULL ORDER BY Col1 DESC LIMIT 20"", 0) / QUERY(GOOGLEFINANCE(C43, ""low"", TODAY()-40, TODAY()), ""SELECT Col2 WHERE Col2 IS NOT NULL ORDE"&amp;"R BY Col1 DESC LIMIT 20"", 0) - 1)))"),"#N/A")</f>
        <v>#N/A</v>
      </c>
      <c r="H43" s="35" t="str">
        <f t="shared" si="6"/>
        <v>Liquid</v>
      </c>
      <c r="I43" s="35" t="str">
        <f t="shared" si="7"/>
        <v>RVol Required</v>
      </c>
      <c r="J43" s="37">
        <f>IFERROR(__xludf.DUMMYFUNCTION("IFERROR(
  IF(C43="""",, 
    IFERROR(
      GOOGLEFINANCE(C43, ""price"") * GOOGLEFINANCE(C43, ""volumeavg""), 
      GOOGLEFINANCE(C43, ""price"") * AVERAGE(QUERY(GOOGLEFINANCE(C43, ""volume"", TODAY()-40, TODAY()), ""SELECT Col2 WHERE Col2 IS NOT NULL "&amp;"ORDER BY Col1 DESC LIMIT 20"", 0))
    )
  ), 
"""")"),3.4366400874E8)</f>
        <v>343664008.7</v>
      </c>
      <c r="K43" s="21">
        <f>IFERROR(__xludf.DUMMYFUNCTION("IFERROR(GOOGLEFINANCE(C43, ""changepct"") / 100, """")"),0.0118)</f>
        <v>0.0118</v>
      </c>
      <c r="L43" s="21" t="str">
        <f>IFERROR(__xludf.DUMMYFUNCTION("IFERROR((GOOGLEFINANCE(C43, ""price"") / INDEX(GOOGLEFINANCE(C43, ""price"", TODAY()-7, TODAY()), 2, 2)) - 1, """")"),"")</f>
        <v/>
      </c>
      <c r="M43" s="21" t="str">
        <f>IFERROR(__xludf.DUMMYFUNCTION("IFERROR((GOOGLEFINANCE(C43, ""price"") / INDEX(GOOGLEFINANCE(C43, ""price"", EDATE(TODAY(), -1), TODAY()), 2, 2)) - 1, """")"),"")</f>
        <v/>
      </c>
      <c r="N43" s="21" t="str">
        <f>IFERROR(__xludf.DUMMYFUNCTION("IFERROR((GOOGLEFINANCE(C43, ""price"") / INDEX(GOOGLEFINANCE(C43, ""price"", EDATE(TODAY(), -3), TODAY()), 2, 2)) - 1, """")"),"")</f>
        <v/>
      </c>
      <c r="O43" s="21" t="str">
        <f>IFERROR(__xludf.DUMMYFUNCTION("IFERROR((GOOGLEFINANCE(C43, ""price"") / INDEX(GOOGLEFINANCE(C43, ""price"", EDATE(TODAY(), -6), TODAY()), 2, 2)) - 1, """")"),"")</f>
        <v/>
      </c>
      <c r="P43" s="21" t="str">
        <f>IFERROR(__xludf.DUMMYFUNCTION("IFERROR((GOOGLEFINANCE(C43, ""price"") / INDEX(GOOGLEFINANCE(C43, ""price"", EDATE(TODAY(), -12), TODAY()), 2, 2)) - 1, """")"),"")</f>
        <v/>
      </c>
      <c r="Q43" s="6" t="str">
        <f>IFERROR(__xludf.DUMMYFUNCTION("AVERAGE(QUERY(GOOGLEFINANCE(C43, ""price"", TODAY()-80, TODAY()), ""SELECT Col2 WHERE Col2 IS NOT NULL ORDER BY Col1 DESC LIMIT 50"", 0))"),"#N/A")</f>
        <v>#N/A</v>
      </c>
      <c r="R43" s="24" t="str">
        <f>IFERROR(__xludf.DUMMYFUNCTION("IFERROR(
  LET(
    data, QUERY(GOOGLEFINANCE(C43,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GOOGLEFINANCE(C43, ""price"")) * 100,
    IF(calc=0, G43, calc)
  ), 
G43)"),"#N/A")</f>
        <v>#N/A</v>
      </c>
      <c r="S43" s="8" t="s">
        <v>15</v>
      </c>
      <c r="T43" s="26" t="str">
        <f>IFERROR(__xludf.DUMMYFUNCTION("IFERROR(TRANSPOSE(QUERY(IFERROR(SORT(GOOGLEFINANCE(C43, ""price"", WORKDAY(TODAY(), -40), TODAY()), 1, FALSE)), ""select Col2 where Col2 is not null limit 22 label Col2 ''"", 0)), """")"),"")</f>
        <v/>
      </c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8"/>
      <c r="AO43" s="28"/>
      <c r="AP43" s="29"/>
      <c r="AQ43" s="29" t="str">
        <f t="shared" ref="AQ43:BL43" si="46">T43/T$2</f>
        <v>#N/A</v>
      </c>
      <c r="AR43" s="29" t="str">
        <f t="shared" si="46"/>
        <v>#DIV/0!</v>
      </c>
      <c r="AS43" s="29" t="str">
        <f t="shared" si="46"/>
        <v>#DIV/0!</v>
      </c>
      <c r="AT43" s="29" t="str">
        <f t="shared" si="46"/>
        <v>#DIV/0!</v>
      </c>
      <c r="AU43" s="29" t="str">
        <f t="shared" si="46"/>
        <v>#DIV/0!</v>
      </c>
      <c r="AV43" s="29" t="str">
        <f t="shared" si="46"/>
        <v>#DIV/0!</v>
      </c>
      <c r="AW43" s="29" t="str">
        <f t="shared" si="46"/>
        <v>#DIV/0!</v>
      </c>
      <c r="AX43" s="29" t="str">
        <f t="shared" si="46"/>
        <v>#DIV/0!</v>
      </c>
      <c r="AY43" s="29" t="str">
        <f t="shared" si="46"/>
        <v>#DIV/0!</v>
      </c>
      <c r="AZ43" s="29" t="str">
        <f t="shared" si="46"/>
        <v>#DIV/0!</v>
      </c>
      <c r="BA43" s="29" t="str">
        <f t="shared" si="46"/>
        <v>#DIV/0!</v>
      </c>
      <c r="BB43" s="29" t="str">
        <f t="shared" si="46"/>
        <v>#DIV/0!</v>
      </c>
      <c r="BC43" s="29" t="str">
        <f t="shared" si="46"/>
        <v>#DIV/0!</v>
      </c>
      <c r="BD43" s="29" t="str">
        <f t="shared" si="46"/>
        <v>#DIV/0!</v>
      </c>
      <c r="BE43" s="29" t="str">
        <f t="shared" si="46"/>
        <v>#DIV/0!</v>
      </c>
      <c r="BF43" s="29" t="str">
        <f t="shared" si="46"/>
        <v>#DIV/0!</v>
      </c>
      <c r="BG43" s="29" t="str">
        <f t="shared" si="46"/>
        <v>#DIV/0!</v>
      </c>
      <c r="BH43" s="29" t="str">
        <f t="shared" si="46"/>
        <v>#DIV/0!</v>
      </c>
      <c r="BI43" s="29" t="str">
        <f t="shared" si="46"/>
        <v>#DIV/0!</v>
      </c>
      <c r="BJ43" s="29" t="str">
        <f t="shared" si="46"/>
        <v>#DIV/0!</v>
      </c>
      <c r="BK43" s="29" t="str">
        <f t="shared" si="46"/>
        <v>#DIV/0!</v>
      </c>
      <c r="BL43" s="29" t="str">
        <f t="shared" si="46"/>
        <v>#DIV/0!</v>
      </c>
      <c r="BM43" s="29" t="str">
        <f t="shared" si="3"/>
        <v>#DIV/0!</v>
      </c>
    </row>
    <row r="44">
      <c r="A44" s="16" t="str">
        <f>IFERROR(__xludf.DUMMYFUNCTION("IFERROR(SPARKLINE(SORT(MAP(TRANSPOSE(AQ44:BL44), LAMBDA(val, IF(ISNUMBER(val), PERCENTRANK(AQ44:BL44, val)+0.01, 0))), SEQUENCE(COLUMNS(AQ44:BL44)), FALSE), {""charttype"",""column""; ""color"",""chartreuse""; ""ymin"", 0; ""ymax"", 1.01; ""highcolor"", "&amp;"""darkgreen""; ""lowcolor"", ""red""}), """")"),"")</f>
        <v/>
      </c>
      <c r="B44" s="17" t="str">
        <f t="shared" si="4"/>
        <v/>
      </c>
      <c r="C44" s="1" t="s">
        <v>2827</v>
      </c>
      <c r="D44" s="30" t="str">
        <f>IFERROR(__xludf.DUMMYFUNCTION("IFERROR(GOOGLEFINANCE(C44, ""NAME""))"),"Innovative Industrial Properties Inc")</f>
        <v>Innovative Industrial Properties Inc</v>
      </c>
      <c r="E44" s="30" t="s">
        <v>2704</v>
      </c>
      <c r="F44" s="33" t="str">
        <f>IFERROR(__xludf.DUMMYFUNCTION("( (GOOGLEFINANCE(C44, ""price"") - Q44) / Q44 ) / (R44 / 100)"),"Loading...")</f>
        <v>Loading...</v>
      </c>
      <c r="G44" s="20" t="str">
        <f>IFERROR(__xludf.DUMMYFUNCTION("AVERAGE(ARRAYFORMULA(100 * (QUERY(GOOGLEFINANCE(C44, ""high"", TODAY()-40, TODAY()), ""SELECT Col2 WHERE Col2 IS NOT NULL ORDER BY Col1 DESC LIMIT 20"", 0) / QUERY(GOOGLEFINANCE(C44, ""low"", TODAY()-40, TODAY()), ""SELECT Col2 WHERE Col2 IS NOT NULL ORDE"&amp;"R BY Col1 DESC LIMIT 20"", 0) - 1)))"),"#N/A")</f>
        <v>#N/A</v>
      </c>
      <c r="H44" s="35" t="str">
        <f t="shared" si="6"/>
        <v>Illiquid</v>
      </c>
      <c r="I44" s="35" t="str">
        <f t="shared" si="7"/>
        <v>RVol Required</v>
      </c>
      <c r="J44" s="37">
        <f>IFERROR(__xludf.DUMMYFUNCTION("IFERROR(
  IF(C44="""",, 
    IFERROR(
      GOOGLEFINANCE(C44, ""price"") * GOOGLEFINANCE(C44, ""volumeavg""), 
      GOOGLEFINANCE(C44, ""price"") * AVERAGE(QUERY(GOOGLEFINANCE(C44, ""volume"", TODAY()-40, TODAY()), ""SELECT Col2 WHERE Col2 IS NOT NULL "&amp;"ORDER BY Col1 DESC LIMIT 20"", 0))
    )
  ), 
"""")"),2.191782801E7)</f>
        <v>21917828.01</v>
      </c>
      <c r="K44" s="21">
        <f>IFERROR(__xludf.DUMMYFUNCTION("IFERROR(GOOGLEFINANCE(C44, ""changepct"") / 100, """")"),-0.0152)</f>
        <v>-0.0152</v>
      </c>
      <c r="L44" s="21" t="str">
        <f>IFERROR(__xludf.DUMMYFUNCTION("IFERROR((GOOGLEFINANCE(C44, ""price"") / INDEX(GOOGLEFINANCE(C44, ""price"", TODAY()-7, TODAY()), 2, 2)) - 1, """")"),"")</f>
        <v/>
      </c>
      <c r="M44" s="21" t="str">
        <f>IFERROR(__xludf.DUMMYFUNCTION("IFERROR((GOOGLEFINANCE(C44, ""price"") / INDEX(GOOGLEFINANCE(C44, ""price"", EDATE(TODAY(), -1), TODAY()), 2, 2)) - 1, """")"),"")</f>
        <v/>
      </c>
      <c r="N44" s="21" t="str">
        <f>IFERROR(__xludf.DUMMYFUNCTION("IFERROR((GOOGLEFINANCE(C44, ""price"") / INDEX(GOOGLEFINANCE(C44, ""price"", EDATE(TODAY(), -3), TODAY()), 2, 2)) - 1, """")"),"")</f>
        <v/>
      </c>
      <c r="O44" s="21" t="str">
        <f>IFERROR(__xludf.DUMMYFUNCTION("IFERROR((GOOGLEFINANCE(C44, ""price"") / INDEX(GOOGLEFINANCE(C44, ""price"", EDATE(TODAY(), -6), TODAY()), 2, 2)) - 1, """")"),"")</f>
        <v/>
      </c>
      <c r="P44" s="21" t="str">
        <f>IFERROR(__xludf.DUMMYFUNCTION("IFERROR((GOOGLEFINANCE(C44, ""price"") / INDEX(GOOGLEFINANCE(C44, ""price"", EDATE(TODAY(), -12), TODAY()), 2, 2)) - 1, """")"),"")</f>
        <v/>
      </c>
      <c r="Q44" s="6" t="str">
        <f>IFERROR(__xludf.DUMMYFUNCTION("AVERAGE(QUERY(GOOGLEFINANCE(C44, ""price"", TODAY()-80, TODAY()), ""SELECT Col2 WHERE Col2 IS NOT NULL ORDER BY Col1 DESC LIMIT 50"", 0))"),"#N/A")</f>
        <v>#N/A</v>
      </c>
      <c r="R44" s="24" t="str">
        <f>IFERROR(__xludf.DUMMYFUNCTION("IFERROR(
  LET(
    data, QUERY(GOOGLEFINANCE(C44,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GOOGLEFINANCE(C44, ""price"")) * 100,
    IF(calc=0, G44, calc)
  ), 
G44)"),"#N/A")</f>
        <v>#N/A</v>
      </c>
      <c r="S44" s="8" t="s">
        <v>15</v>
      </c>
      <c r="T44" s="26" t="str">
        <f>IFERROR(__xludf.DUMMYFUNCTION("IFERROR(TRANSPOSE(QUERY(IFERROR(SORT(GOOGLEFINANCE(C44, ""price"", WORKDAY(TODAY(), -40), TODAY()), 1, FALSE)), ""select Col2 where Col2 is not null limit 22 label Col2 ''"", 0)), """")"),"")</f>
        <v/>
      </c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8"/>
      <c r="AO44" s="28"/>
      <c r="AP44" s="29"/>
      <c r="AQ44" s="29" t="str">
        <f t="shared" ref="AQ44:BL44" si="47">T44/T$2</f>
        <v>#N/A</v>
      </c>
      <c r="AR44" s="29" t="str">
        <f t="shared" si="47"/>
        <v>#DIV/0!</v>
      </c>
      <c r="AS44" s="29" t="str">
        <f t="shared" si="47"/>
        <v>#DIV/0!</v>
      </c>
      <c r="AT44" s="29" t="str">
        <f t="shared" si="47"/>
        <v>#DIV/0!</v>
      </c>
      <c r="AU44" s="29" t="str">
        <f t="shared" si="47"/>
        <v>#DIV/0!</v>
      </c>
      <c r="AV44" s="29" t="str">
        <f t="shared" si="47"/>
        <v>#DIV/0!</v>
      </c>
      <c r="AW44" s="29" t="str">
        <f t="shared" si="47"/>
        <v>#DIV/0!</v>
      </c>
      <c r="AX44" s="29" t="str">
        <f t="shared" si="47"/>
        <v>#DIV/0!</v>
      </c>
      <c r="AY44" s="29" t="str">
        <f t="shared" si="47"/>
        <v>#DIV/0!</v>
      </c>
      <c r="AZ44" s="29" t="str">
        <f t="shared" si="47"/>
        <v>#DIV/0!</v>
      </c>
      <c r="BA44" s="29" t="str">
        <f t="shared" si="47"/>
        <v>#DIV/0!</v>
      </c>
      <c r="BB44" s="29" t="str">
        <f t="shared" si="47"/>
        <v>#DIV/0!</v>
      </c>
      <c r="BC44" s="29" t="str">
        <f t="shared" si="47"/>
        <v>#DIV/0!</v>
      </c>
      <c r="BD44" s="29" t="str">
        <f t="shared" si="47"/>
        <v>#DIV/0!</v>
      </c>
      <c r="BE44" s="29" t="str">
        <f t="shared" si="47"/>
        <v>#DIV/0!</v>
      </c>
      <c r="BF44" s="29" t="str">
        <f t="shared" si="47"/>
        <v>#DIV/0!</v>
      </c>
      <c r="BG44" s="29" t="str">
        <f t="shared" si="47"/>
        <v>#DIV/0!</v>
      </c>
      <c r="BH44" s="29" t="str">
        <f t="shared" si="47"/>
        <v>#DIV/0!</v>
      </c>
      <c r="BI44" s="29" t="str">
        <f t="shared" si="47"/>
        <v>#DIV/0!</v>
      </c>
      <c r="BJ44" s="29" t="str">
        <f t="shared" si="47"/>
        <v>#DIV/0!</v>
      </c>
      <c r="BK44" s="29" t="str">
        <f t="shared" si="47"/>
        <v>#DIV/0!</v>
      </c>
      <c r="BL44" s="29" t="str">
        <f t="shared" si="47"/>
        <v>#DIV/0!</v>
      </c>
      <c r="BM44" s="29" t="str">
        <f t="shared" si="3"/>
        <v>#DIV/0!</v>
      </c>
    </row>
    <row r="45">
      <c r="A45" s="16" t="str">
        <f>IFERROR(__xludf.DUMMYFUNCTION("IFERROR(SPARKLINE(SORT(MAP(TRANSPOSE(AQ45:BL45), LAMBDA(val, IF(ISNUMBER(val), PERCENTRANK(AQ45:BL45, val)+0.01, 0))), SEQUENCE(COLUMNS(AQ45:BL45)), FALSE), {""charttype"",""column""; ""color"",""chartreuse""; ""ymin"", 0; ""ymax"", 1.01; ""highcolor"", "&amp;"""darkgreen""; ""lowcolor"", ""red""}), """")"),"")</f>
        <v/>
      </c>
      <c r="B45" s="17" t="str">
        <f t="shared" si="4"/>
        <v/>
      </c>
      <c r="C45" s="1" t="s">
        <v>2831</v>
      </c>
      <c r="D45" s="30" t="str">
        <f>IFERROR(__xludf.DUMMYFUNCTION("IFERROR(GOOGLEFINANCE(C45, ""NAME""))"),"EQ Resources Ltd")</f>
        <v>EQ Resources Ltd</v>
      </c>
      <c r="E45" s="30" t="s">
        <v>2760</v>
      </c>
      <c r="F45" s="33" t="str">
        <f>IFERROR(__xludf.DUMMYFUNCTION("( (GOOGLEFINANCE(C45, ""price"") - Q45) / Q45 ) / (R45 / 100)"),"Loading...")</f>
        <v>Loading...</v>
      </c>
      <c r="G45" s="20" t="str">
        <f>IFERROR(__xludf.DUMMYFUNCTION("AVERAGE(ARRAYFORMULA(100 * (QUERY(GOOGLEFINANCE(C45, ""high"", TODAY()-40, TODAY()), ""SELECT Col2 WHERE Col2 IS NOT NULL ORDER BY Col1 DESC LIMIT 20"", 0) / QUERY(GOOGLEFINANCE(C45, ""low"", TODAY()-40, TODAY()), ""SELECT Col2 WHERE Col2 IS NOT NULL ORDE"&amp;"R BY Col1 DESC LIMIT 20"", 0) - 1)))"),"#N/A")</f>
        <v>#N/A</v>
      </c>
      <c r="H45" s="35" t="str">
        <f t="shared" si="6"/>
        <v>Illiquid</v>
      </c>
      <c r="I45" s="35" t="str">
        <f t="shared" si="7"/>
        <v>RVol Required</v>
      </c>
      <c r="J45" s="37">
        <f>IFERROR(__xludf.DUMMYFUNCTION("IFERROR(
  IF(C45="""",, 
    IFERROR(
      GOOGLEFINANCE(C45, ""price"") * GOOGLEFINANCE(C45, ""volumeavg""), 
      GOOGLEFINANCE(C45, ""price"") * AVERAGE(QUERY(GOOGLEFINANCE(C45, ""volume"", TODAY()-40, TODAY()), ""SELECT Col2 WHERE Col2 IS NOT NULL "&amp;"ORDER BY Col1 DESC LIMIT 20"", 0))
    )
  ), 
"""")"),1.688384898E7)</f>
        <v>16883848.98</v>
      </c>
      <c r="K45" s="21">
        <f>IFERROR(__xludf.DUMMYFUNCTION("IFERROR(GOOGLEFINANCE(C45, ""changepct"") / 100, """")"),-0.035699999999999996)</f>
        <v>-0.0357</v>
      </c>
      <c r="L45" s="21" t="str">
        <f>IFERROR(__xludf.DUMMYFUNCTION("IFERROR((GOOGLEFINANCE(C45, ""price"") / INDEX(GOOGLEFINANCE(C45, ""price"", TODAY()-7, TODAY()), 2, 2)) - 1, """")"),"")</f>
        <v/>
      </c>
      <c r="M45" s="21" t="str">
        <f>IFERROR(__xludf.DUMMYFUNCTION("IFERROR((GOOGLEFINANCE(C45, ""price"") / INDEX(GOOGLEFINANCE(C45, ""price"", EDATE(TODAY(), -1), TODAY()), 2, 2)) - 1, """")"),"")</f>
        <v/>
      </c>
      <c r="N45" s="21" t="str">
        <f>IFERROR(__xludf.DUMMYFUNCTION("IFERROR((GOOGLEFINANCE(C45, ""price"") / INDEX(GOOGLEFINANCE(C45, ""price"", EDATE(TODAY(), -3), TODAY()), 2, 2)) - 1, """")"),"")</f>
        <v/>
      </c>
      <c r="O45" s="21" t="str">
        <f>IFERROR(__xludf.DUMMYFUNCTION("IFERROR((GOOGLEFINANCE(C45, ""price"") / INDEX(GOOGLEFINANCE(C45, ""price"", EDATE(TODAY(), -6), TODAY()), 2, 2)) - 1, """")"),"")</f>
        <v/>
      </c>
      <c r="P45" s="21" t="str">
        <f>IFERROR(__xludf.DUMMYFUNCTION("IFERROR((GOOGLEFINANCE(C45, ""price"") / INDEX(GOOGLEFINANCE(C45, ""price"", EDATE(TODAY(), -12), TODAY()), 2, 2)) - 1, """")"),"")</f>
        <v/>
      </c>
      <c r="Q45" s="6" t="str">
        <f>IFERROR(__xludf.DUMMYFUNCTION("AVERAGE(QUERY(GOOGLEFINANCE(C45, ""price"", TODAY()-80, TODAY()), ""SELECT Col2 WHERE Col2 IS NOT NULL ORDER BY Col1 DESC LIMIT 50"", 0))"),"#N/A")</f>
        <v>#N/A</v>
      </c>
      <c r="R45" s="24" t="str">
        <f>IFERROR(__xludf.DUMMYFUNCTION("IFERROR(
  LET(
    data, QUERY(GOOGLEFINANCE(C45,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GOOGLEFINANCE(C45, ""price"")) * 100,
    IF(calc=0, G45, calc)
  ), 
G45)"),"#N/A")</f>
        <v>#N/A</v>
      </c>
      <c r="S45" s="8" t="s">
        <v>15</v>
      </c>
      <c r="T45" s="26" t="str">
        <f>IFERROR(__xludf.DUMMYFUNCTION("IFERROR(TRANSPOSE(QUERY(IFERROR(SORT(GOOGLEFINANCE(C45, ""price"", WORKDAY(TODAY(), -40), TODAY()), 1, FALSE)), ""select Col2 where Col2 is not null limit 22 label Col2 ''"", 0)), """")"),"")</f>
        <v/>
      </c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8"/>
      <c r="AO45" s="28"/>
      <c r="AP45" s="29"/>
      <c r="AQ45" s="29" t="str">
        <f t="shared" ref="AQ45:BL45" si="48">T45/T$2</f>
        <v>#N/A</v>
      </c>
      <c r="AR45" s="29" t="str">
        <f t="shared" si="48"/>
        <v>#DIV/0!</v>
      </c>
      <c r="AS45" s="29" t="str">
        <f t="shared" si="48"/>
        <v>#DIV/0!</v>
      </c>
      <c r="AT45" s="29" t="str">
        <f t="shared" si="48"/>
        <v>#DIV/0!</v>
      </c>
      <c r="AU45" s="29" t="str">
        <f t="shared" si="48"/>
        <v>#DIV/0!</v>
      </c>
      <c r="AV45" s="29" t="str">
        <f t="shared" si="48"/>
        <v>#DIV/0!</v>
      </c>
      <c r="AW45" s="29" t="str">
        <f t="shared" si="48"/>
        <v>#DIV/0!</v>
      </c>
      <c r="AX45" s="29" t="str">
        <f t="shared" si="48"/>
        <v>#DIV/0!</v>
      </c>
      <c r="AY45" s="29" t="str">
        <f t="shared" si="48"/>
        <v>#DIV/0!</v>
      </c>
      <c r="AZ45" s="29" t="str">
        <f t="shared" si="48"/>
        <v>#DIV/0!</v>
      </c>
      <c r="BA45" s="29" t="str">
        <f t="shared" si="48"/>
        <v>#DIV/0!</v>
      </c>
      <c r="BB45" s="29" t="str">
        <f t="shared" si="48"/>
        <v>#DIV/0!</v>
      </c>
      <c r="BC45" s="29" t="str">
        <f t="shared" si="48"/>
        <v>#DIV/0!</v>
      </c>
      <c r="BD45" s="29" t="str">
        <f t="shared" si="48"/>
        <v>#DIV/0!</v>
      </c>
      <c r="BE45" s="29" t="str">
        <f t="shared" si="48"/>
        <v>#DIV/0!</v>
      </c>
      <c r="BF45" s="29" t="str">
        <f t="shared" si="48"/>
        <v>#DIV/0!</v>
      </c>
      <c r="BG45" s="29" t="str">
        <f t="shared" si="48"/>
        <v>#DIV/0!</v>
      </c>
      <c r="BH45" s="29" t="str">
        <f t="shared" si="48"/>
        <v>#DIV/0!</v>
      </c>
      <c r="BI45" s="29" t="str">
        <f t="shared" si="48"/>
        <v>#DIV/0!</v>
      </c>
      <c r="BJ45" s="29" t="str">
        <f t="shared" si="48"/>
        <v>#DIV/0!</v>
      </c>
      <c r="BK45" s="29" t="str">
        <f t="shared" si="48"/>
        <v>#DIV/0!</v>
      </c>
      <c r="BL45" s="29" t="str">
        <f t="shared" si="48"/>
        <v>#DIV/0!</v>
      </c>
      <c r="BM45" s="29" t="str">
        <f t="shared" si="3"/>
        <v>#DIV/0!</v>
      </c>
    </row>
    <row r="46">
      <c r="A46" s="16" t="str">
        <f>IFERROR(__xludf.DUMMYFUNCTION("IFERROR(SPARKLINE(SORT(MAP(TRANSPOSE(AQ46:BL46), LAMBDA(val, IF(ISNUMBER(val), PERCENTRANK(AQ46:BL46, val)+0.01, 0))), SEQUENCE(COLUMNS(AQ46:BL46)), FALSE), {""charttype"",""column""; ""color"",""chartreuse""; ""ymin"", 0; ""ymax"", 1.01; ""highcolor"", "&amp;"""darkgreen""; ""lowcolor"", ""red""}), """")"),"")</f>
        <v/>
      </c>
      <c r="B46" s="17" t="str">
        <f t="shared" si="4"/>
        <v/>
      </c>
      <c r="C46" s="1" t="s">
        <v>2835</v>
      </c>
      <c r="D46" s="30" t="str">
        <f>IFERROR(__xludf.DUMMYFUNCTION("IFERROR(GOOGLEFINANCE(C46, ""NAME""))"),"Host Hotels &amp; Resorts, Inc.")</f>
        <v>Host Hotels &amp; Resorts, Inc.</v>
      </c>
      <c r="E46" s="30" t="s">
        <v>2674</v>
      </c>
      <c r="F46" s="33" t="str">
        <f>IFERROR(__xludf.DUMMYFUNCTION("( (GOOGLEFINANCE(C46, ""price"") - Q46) / Q46 ) / (R46 / 100)"),"Loading...")</f>
        <v>Loading...</v>
      </c>
      <c r="G46" s="20" t="str">
        <f>IFERROR(__xludf.DUMMYFUNCTION("AVERAGE(ARRAYFORMULA(100 * (QUERY(GOOGLEFINANCE(C46, ""high"", TODAY()-40, TODAY()), ""SELECT Col2 WHERE Col2 IS NOT NULL ORDER BY Col1 DESC LIMIT 20"", 0) / QUERY(GOOGLEFINANCE(C46, ""low"", TODAY()-40, TODAY()), ""SELECT Col2 WHERE Col2 IS NOT NULL ORDE"&amp;"R BY Col1 DESC LIMIT 20"", 0) - 1)))"),"#N/A")</f>
        <v>#N/A</v>
      </c>
      <c r="H46" s="35" t="str">
        <f t="shared" si="6"/>
        <v>Liquid</v>
      </c>
      <c r="I46" s="35" t="str">
        <f t="shared" si="7"/>
        <v>RVol Required</v>
      </c>
      <c r="J46" s="37">
        <f>IFERROR(__xludf.DUMMYFUNCTION("IFERROR(
  IF(C46="""",, 
    IFERROR(
      GOOGLEFINANCE(C46, ""price"") * GOOGLEFINANCE(C46, ""volumeavg""), 
      GOOGLEFINANCE(C46, ""price"") * AVERAGE(QUERY(GOOGLEFINANCE(C46, ""volume"", TODAY()-40, TODAY()), ""SELECT Col2 WHERE Col2 IS NOT NULL "&amp;"ORDER BY Col1 DESC LIMIT 20"", 0))
    )
  ), 
"""")"),1.9703881722E8)</f>
        <v>197038817.2</v>
      </c>
      <c r="K46" s="21">
        <f>IFERROR(__xludf.DUMMYFUNCTION("IFERROR(GOOGLEFINANCE(C46, ""changepct"") / 100, """")"),0.005)</f>
        <v>0.005</v>
      </c>
      <c r="L46" s="21" t="str">
        <f>IFERROR(__xludf.DUMMYFUNCTION("IFERROR((GOOGLEFINANCE(C46, ""price"") / INDEX(GOOGLEFINANCE(C46, ""price"", TODAY()-7, TODAY()), 2, 2)) - 1, """")"),"")</f>
        <v/>
      </c>
      <c r="M46" s="21" t="str">
        <f>IFERROR(__xludf.DUMMYFUNCTION("IFERROR((GOOGLEFINANCE(C46, ""price"") / INDEX(GOOGLEFINANCE(C46, ""price"", EDATE(TODAY(), -1), TODAY()), 2, 2)) - 1, """")"),"")</f>
        <v/>
      </c>
      <c r="N46" s="21" t="str">
        <f>IFERROR(__xludf.DUMMYFUNCTION("IFERROR((GOOGLEFINANCE(C46, ""price"") / INDEX(GOOGLEFINANCE(C46, ""price"", EDATE(TODAY(), -3), TODAY()), 2, 2)) - 1, """")"),"")</f>
        <v/>
      </c>
      <c r="O46" s="21" t="str">
        <f>IFERROR(__xludf.DUMMYFUNCTION("IFERROR((GOOGLEFINANCE(C46, ""price"") / INDEX(GOOGLEFINANCE(C46, ""price"", EDATE(TODAY(), -6), TODAY()), 2, 2)) - 1, """")"),"")</f>
        <v/>
      </c>
      <c r="P46" s="21" t="str">
        <f>IFERROR(__xludf.DUMMYFUNCTION("IFERROR((GOOGLEFINANCE(C46, ""price"") / INDEX(GOOGLEFINANCE(C46, ""price"", EDATE(TODAY(), -12), TODAY()), 2, 2)) - 1, """")"),"")</f>
        <v/>
      </c>
      <c r="Q46" s="6" t="str">
        <f>IFERROR(__xludf.DUMMYFUNCTION("AVERAGE(QUERY(GOOGLEFINANCE(C46, ""price"", TODAY()-80, TODAY()), ""SELECT Col2 WHERE Col2 IS NOT NULL ORDER BY Col1 DESC LIMIT 50"", 0))"),"#N/A")</f>
        <v>#N/A</v>
      </c>
      <c r="R46" s="24" t="str">
        <f>IFERROR(__xludf.DUMMYFUNCTION("IFERROR(
  LET(
    data, QUERY(GOOGLEFINANCE(C46,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GOOGLEFINANCE(C46, ""price"")) * 100,
    IF(calc=0, G46, calc)
  ), 
G46)"),"#N/A")</f>
        <v>#N/A</v>
      </c>
      <c r="S46" s="8" t="s">
        <v>15</v>
      </c>
      <c r="T46" s="26" t="str">
        <f>IFERROR(__xludf.DUMMYFUNCTION("IFERROR(TRANSPOSE(QUERY(IFERROR(SORT(GOOGLEFINANCE(C46, ""price"", WORKDAY(TODAY(), -40), TODAY()), 1, FALSE)), ""select Col2 where Col2 is not null limit 22 label Col2 ''"", 0)), """")"),"")</f>
        <v/>
      </c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8"/>
      <c r="AO46" s="28"/>
      <c r="AP46" s="29"/>
      <c r="AQ46" s="29" t="str">
        <f t="shared" ref="AQ46:BL46" si="49">T46/T$2</f>
        <v>#N/A</v>
      </c>
      <c r="AR46" s="29" t="str">
        <f t="shared" si="49"/>
        <v>#DIV/0!</v>
      </c>
      <c r="AS46" s="29" t="str">
        <f t="shared" si="49"/>
        <v>#DIV/0!</v>
      </c>
      <c r="AT46" s="29" t="str">
        <f t="shared" si="49"/>
        <v>#DIV/0!</v>
      </c>
      <c r="AU46" s="29" t="str">
        <f t="shared" si="49"/>
        <v>#DIV/0!</v>
      </c>
      <c r="AV46" s="29" t="str">
        <f t="shared" si="49"/>
        <v>#DIV/0!</v>
      </c>
      <c r="AW46" s="29" t="str">
        <f t="shared" si="49"/>
        <v>#DIV/0!</v>
      </c>
      <c r="AX46" s="29" t="str">
        <f t="shared" si="49"/>
        <v>#DIV/0!</v>
      </c>
      <c r="AY46" s="29" t="str">
        <f t="shared" si="49"/>
        <v>#DIV/0!</v>
      </c>
      <c r="AZ46" s="29" t="str">
        <f t="shared" si="49"/>
        <v>#DIV/0!</v>
      </c>
      <c r="BA46" s="29" t="str">
        <f t="shared" si="49"/>
        <v>#DIV/0!</v>
      </c>
      <c r="BB46" s="29" t="str">
        <f t="shared" si="49"/>
        <v>#DIV/0!</v>
      </c>
      <c r="BC46" s="29" t="str">
        <f t="shared" si="49"/>
        <v>#DIV/0!</v>
      </c>
      <c r="BD46" s="29" t="str">
        <f t="shared" si="49"/>
        <v>#DIV/0!</v>
      </c>
      <c r="BE46" s="29" t="str">
        <f t="shared" si="49"/>
        <v>#DIV/0!</v>
      </c>
      <c r="BF46" s="29" t="str">
        <f t="shared" si="49"/>
        <v>#DIV/0!</v>
      </c>
      <c r="BG46" s="29" t="str">
        <f t="shared" si="49"/>
        <v>#DIV/0!</v>
      </c>
      <c r="BH46" s="29" t="str">
        <f t="shared" si="49"/>
        <v>#DIV/0!</v>
      </c>
      <c r="BI46" s="29" t="str">
        <f t="shared" si="49"/>
        <v>#DIV/0!</v>
      </c>
      <c r="BJ46" s="29" t="str">
        <f t="shared" si="49"/>
        <v>#DIV/0!</v>
      </c>
      <c r="BK46" s="29" t="str">
        <f t="shared" si="49"/>
        <v>#DIV/0!</v>
      </c>
      <c r="BL46" s="29" t="str">
        <f t="shared" si="49"/>
        <v>#DIV/0!</v>
      </c>
      <c r="BM46" s="29" t="str">
        <f t="shared" si="3"/>
        <v>#DIV/0!</v>
      </c>
    </row>
    <row r="47">
      <c r="A47" s="16" t="str">
        <f>IFERROR(__xludf.DUMMYFUNCTION("IFERROR(SPARKLINE(SORT(MAP(TRANSPOSE(AQ47:BL47), LAMBDA(val, IF(ISNUMBER(val), PERCENTRANK(AQ47:BL47, val)+0.01, 0))), SEQUENCE(COLUMNS(AQ47:BL47)), FALSE), {""charttype"",""column""; ""color"",""chartreuse""; ""ymin"", 0; ""ymax"", 1.01; ""highcolor"", "&amp;"""darkgreen""; ""lowcolor"", ""red""}), """")"),"")</f>
        <v/>
      </c>
      <c r="B47" s="17" t="str">
        <f t="shared" si="4"/>
        <v/>
      </c>
      <c r="C47" s="1" t="s">
        <v>2839</v>
      </c>
      <c r="D47" s="30" t="str">
        <f>IFERROR(__xludf.DUMMYFUNCTION("IFERROR(GOOGLEFINANCE(C47, ""NAME""))"),"Invitation Homes Inc")</f>
        <v>Invitation Homes Inc</v>
      </c>
      <c r="E47" s="30" t="s">
        <v>2760</v>
      </c>
      <c r="F47" s="33" t="str">
        <f>IFERROR(__xludf.DUMMYFUNCTION("( (GOOGLEFINANCE(C47, ""price"") - Q47) / Q47 ) / (R47 / 100)"),"Loading...")</f>
        <v>Loading...</v>
      </c>
      <c r="G47" s="20" t="str">
        <f>IFERROR(__xludf.DUMMYFUNCTION("AVERAGE(ARRAYFORMULA(100 * (QUERY(GOOGLEFINANCE(C47, ""high"", TODAY()-40, TODAY()), ""SELECT Col2 WHERE Col2 IS NOT NULL ORDER BY Col1 DESC LIMIT 20"", 0) / QUERY(GOOGLEFINANCE(C47, ""low"", TODAY()-40, TODAY()), ""SELECT Col2 WHERE Col2 IS NOT NULL ORDE"&amp;"R BY Col1 DESC LIMIT 20"", 0) - 1)))"),"#N/A")</f>
        <v>#N/A</v>
      </c>
      <c r="H47" s="35" t="str">
        <f t="shared" si="6"/>
        <v>Liquid</v>
      </c>
      <c r="I47" s="35" t="str">
        <f t="shared" si="7"/>
        <v>RVol Required</v>
      </c>
      <c r="J47" s="37">
        <f>IFERROR(__xludf.DUMMYFUNCTION("IFERROR(
  IF(C47="""",, 
    IFERROR(
      GOOGLEFINANCE(C47, ""price"") * GOOGLEFINANCE(C47, ""volumeavg""), 
      GOOGLEFINANCE(C47, ""price"") * AVERAGE(QUERY(GOOGLEFINANCE(C47, ""volume"", TODAY()-40, TODAY()), ""SELECT Col2 WHERE Col2 IS NOT NULL "&amp;"ORDER BY Col1 DESC LIMIT 20"", 0))
    )
  ), 
"""")"),1.4811361328E8)</f>
        <v>148113613.3</v>
      </c>
      <c r="K47" s="21">
        <f>IFERROR(__xludf.DUMMYFUNCTION("IFERROR(GOOGLEFINANCE(C47, ""changepct"") / 100, """")"),0.0101)</f>
        <v>0.0101</v>
      </c>
      <c r="L47" s="21" t="str">
        <f>IFERROR(__xludf.DUMMYFUNCTION("IFERROR((GOOGLEFINANCE(C47, ""price"") / INDEX(GOOGLEFINANCE(C47, ""price"", TODAY()-7, TODAY()), 2, 2)) - 1, """")"),"")</f>
        <v/>
      </c>
      <c r="M47" s="21" t="str">
        <f>IFERROR(__xludf.DUMMYFUNCTION("IFERROR((GOOGLEFINANCE(C47, ""price"") / INDEX(GOOGLEFINANCE(C47, ""price"", EDATE(TODAY(), -1), TODAY()), 2, 2)) - 1, """")"),"")</f>
        <v/>
      </c>
      <c r="N47" s="21" t="str">
        <f>IFERROR(__xludf.DUMMYFUNCTION("IFERROR((GOOGLEFINANCE(C47, ""price"") / INDEX(GOOGLEFINANCE(C47, ""price"", EDATE(TODAY(), -3), TODAY()), 2, 2)) - 1, """")"),"")</f>
        <v/>
      </c>
      <c r="O47" s="21" t="str">
        <f>IFERROR(__xludf.DUMMYFUNCTION("IFERROR((GOOGLEFINANCE(C47, ""price"") / INDEX(GOOGLEFINANCE(C47, ""price"", EDATE(TODAY(), -6), TODAY()), 2, 2)) - 1, """")"),"")</f>
        <v/>
      </c>
      <c r="P47" s="21" t="str">
        <f>IFERROR(__xludf.DUMMYFUNCTION("IFERROR((GOOGLEFINANCE(C47, ""price"") / INDEX(GOOGLEFINANCE(C47, ""price"", EDATE(TODAY(), -12), TODAY()), 2, 2)) - 1, """")"),"")</f>
        <v/>
      </c>
      <c r="Q47" s="6" t="str">
        <f>IFERROR(__xludf.DUMMYFUNCTION("AVERAGE(QUERY(GOOGLEFINANCE(C47, ""price"", TODAY()-80, TODAY()), ""SELECT Col2 WHERE Col2 IS NOT NULL ORDER BY Col1 DESC LIMIT 50"", 0))"),"#N/A")</f>
        <v>#N/A</v>
      </c>
      <c r="R47" s="24" t="str">
        <f>IFERROR(__xludf.DUMMYFUNCTION("IFERROR(
  LET(
    data, QUERY(GOOGLEFINANCE(C47,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GOOGLEFINANCE(C47, ""price"")) * 100,
    IF(calc=0, G47, calc)
  ), 
G47)"),"#N/A")</f>
        <v>#N/A</v>
      </c>
      <c r="S47" s="8" t="s">
        <v>15</v>
      </c>
      <c r="T47" s="26" t="str">
        <f>IFERROR(__xludf.DUMMYFUNCTION("IFERROR(TRANSPOSE(QUERY(IFERROR(SORT(GOOGLEFINANCE(C47, ""price"", WORKDAY(TODAY(), -40), TODAY()), 1, FALSE)), ""select Col2 where Col2 is not null limit 22 label Col2 ''"", 0)), """")"),"")</f>
        <v/>
      </c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8"/>
      <c r="AO47" s="28"/>
      <c r="AP47" s="29"/>
      <c r="AQ47" s="29" t="str">
        <f t="shared" ref="AQ47:BL47" si="50">T47/T$2</f>
        <v>#N/A</v>
      </c>
      <c r="AR47" s="29" t="str">
        <f t="shared" si="50"/>
        <v>#DIV/0!</v>
      </c>
      <c r="AS47" s="29" t="str">
        <f t="shared" si="50"/>
        <v>#DIV/0!</v>
      </c>
      <c r="AT47" s="29" t="str">
        <f t="shared" si="50"/>
        <v>#DIV/0!</v>
      </c>
      <c r="AU47" s="29" t="str">
        <f t="shared" si="50"/>
        <v>#DIV/0!</v>
      </c>
      <c r="AV47" s="29" t="str">
        <f t="shared" si="50"/>
        <v>#DIV/0!</v>
      </c>
      <c r="AW47" s="29" t="str">
        <f t="shared" si="50"/>
        <v>#DIV/0!</v>
      </c>
      <c r="AX47" s="29" t="str">
        <f t="shared" si="50"/>
        <v>#DIV/0!</v>
      </c>
      <c r="AY47" s="29" t="str">
        <f t="shared" si="50"/>
        <v>#DIV/0!</v>
      </c>
      <c r="AZ47" s="29" t="str">
        <f t="shared" si="50"/>
        <v>#DIV/0!</v>
      </c>
      <c r="BA47" s="29" t="str">
        <f t="shared" si="50"/>
        <v>#DIV/0!</v>
      </c>
      <c r="BB47" s="29" t="str">
        <f t="shared" si="50"/>
        <v>#DIV/0!</v>
      </c>
      <c r="BC47" s="29" t="str">
        <f t="shared" si="50"/>
        <v>#DIV/0!</v>
      </c>
      <c r="BD47" s="29" t="str">
        <f t="shared" si="50"/>
        <v>#DIV/0!</v>
      </c>
      <c r="BE47" s="29" t="str">
        <f t="shared" si="50"/>
        <v>#DIV/0!</v>
      </c>
      <c r="BF47" s="29" t="str">
        <f t="shared" si="50"/>
        <v>#DIV/0!</v>
      </c>
      <c r="BG47" s="29" t="str">
        <f t="shared" si="50"/>
        <v>#DIV/0!</v>
      </c>
      <c r="BH47" s="29" t="str">
        <f t="shared" si="50"/>
        <v>#DIV/0!</v>
      </c>
      <c r="BI47" s="29" t="str">
        <f t="shared" si="50"/>
        <v>#DIV/0!</v>
      </c>
      <c r="BJ47" s="29" t="str">
        <f t="shared" si="50"/>
        <v>#DIV/0!</v>
      </c>
      <c r="BK47" s="29" t="str">
        <f t="shared" si="50"/>
        <v>#DIV/0!</v>
      </c>
      <c r="BL47" s="29" t="str">
        <f t="shared" si="50"/>
        <v>#DIV/0!</v>
      </c>
      <c r="BM47" s="29" t="str">
        <f t="shared" si="3"/>
        <v>#DIV/0!</v>
      </c>
    </row>
    <row r="48">
      <c r="A48" s="16" t="str">
        <f>IFERROR(__xludf.DUMMYFUNCTION("IFERROR(SPARKLINE(SORT(MAP(TRANSPOSE(AQ48:BL48), LAMBDA(val, IF(ISNUMBER(val), PERCENTRANK(AQ48:BL48, val)+0.01, 0))), SEQUENCE(COLUMNS(AQ48:BL48)), FALSE), {""charttype"",""column""; ""color"",""chartreuse""; ""ymin"", 0; ""ymax"", 1.01; ""highcolor"", "&amp;"""darkgreen""; ""lowcolor"", ""red""}), """")"),"")</f>
        <v/>
      </c>
      <c r="B48" s="17" t="str">
        <f t="shared" si="4"/>
        <v/>
      </c>
      <c r="C48" s="1" t="s">
        <v>2842</v>
      </c>
      <c r="D48" s="30" t="str">
        <f>IFERROR(__xludf.DUMMYFUNCTION("IFERROR(GOOGLEFINANCE(C48, ""NAME""))"),"Alexandria Real Estate Equities, Inc")</f>
        <v>Alexandria Real Estate Equities, Inc</v>
      </c>
      <c r="E48" s="30" t="s">
        <v>2662</v>
      </c>
      <c r="F48" s="33" t="str">
        <f>IFERROR(__xludf.DUMMYFUNCTION("( (GOOGLEFINANCE(C48, ""price"") - Q48) / Q48 ) / (R48 / 100)"),"Loading...")</f>
        <v>Loading...</v>
      </c>
      <c r="G48" s="20" t="str">
        <f>IFERROR(__xludf.DUMMYFUNCTION("AVERAGE(ARRAYFORMULA(100 * (QUERY(GOOGLEFINANCE(C48, ""high"", TODAY()-40, TODAY()), ""SELECT Col2 WHERE Col2 IS NOT NULL ORDER BY Col1 DESC LIMIT 20"", 0) / QUERY(GOOGLEFINANCE(C48, ""low"", TODAY()-40, TODAY()), ""SELECT Col2 WHERE Col2 IS NOT NULL ORDE"&amp;"R BY Col1 DESC LIMIT 20"", 0) - 1)))"),"#N/A")</f>
        <v>#N/A</v>
      </c>
      <c r="H48" s="35" t="str">
        <f t="shared" si="6"/>
        <v>Liquid</v>
      </c>
      <c r="I48" s="35" t="str">
        <f t="shared" si="7"/>
        <v>RVol Required</v>
      </c>
      <c r="J48" s="37">
        <f>IFERROR(__xludf.DUMMYFUNCTION("IFERROR(
  IF(C48="""",, 
    IFERROR(
      GOOGLEFINANCE(C48, ""price"") * GOOGLEFINANCE(C48, ""volumeavg""), 
      GOOGLEFINANCE(C48, ""price"") * AVERAGE(QUERY(GOOGLEFINANCE(C48, ""volume"", TODAY()-40, TODAY()), ""SELECT Col2 WHERE Col2 IS NOT NULL "&amp;"ORDER BY Col1 DESC LIMIT 20"", 0))
    )
  ), 
"""")"),8.236290011999999E7)</f>
        <v>82362900.12</v>
      </c>
      <c r="K48" s="21">
        <f>IFERROR(__xludf.DUMMYFUNCTION("IFERROR(GOOGLEFINANCE(C48, ""changepct"") / 100, """")"),-0.017)</f>
        <v>-0.017</v>
      </c>
      <c r="L48" s="21" t="str">
        <f>IFERROR(__xludf.DUMMYFUNCTION("IFERROR((GOOGLEFINANCE(C48, ""price"") / INDEX(GOOGLEFINANCE(C48, ""price"", TODAY()-7, TODAY()), 2, 2)) - 1, """")"),"")</f>
        <v/>
      </c>
      <c r="M48" s="21" t="str">
        <f>IFERROR(__xludf.DUMMYFUNCTION("IFERROR((GOOGLEFINANCE(C48, ""price"") / INDEX(GOOGLEFINANCE(C48, ""price"", EDATE(TODAY(), -1), TODAY()), 2, 2)) - 1, """")"),"")</f>
        <v/>
      </c>
      <c r="N48" s="21" t="str">
        <f>IFERROR(__xludf.DUMMYFUNCTION("IFERROR((GOOGLEFINANCE(C48, ""price"") / INDEX(GOOGLEFINANCE(C48, ""price"", EDATE(TODAY(), -3), TODAY()), 2, 2)) - 1, """")"),"")</f>
        <v/>
      </c>
      <c r="O48" s="21" t="str">
        <f>IFERROR(__xludf.DUMMYFUNCTION("IFERROR((GOOGLEFINANCE(C48, ""price"") / INDEX(GOOGLEFINANCE(C48, ""price"", EDATE(TODAY(), -6), TODAY()), 2, 2)) - 1, """")"),"")</f>
        <v/>
      </c>
      <c r="P48" s="21" t="str">
        <f>IFERROR(__xludf.DUMMYFUNCTION("IFERROR((GOOGLEFINANCE(C48, ""price"") / INDEX(GOOGLEFINANCE(C48, ""price"", EDATE(TODAY(), -12), TODAY()), 2, 2)) - 1, """")"),"")</f>
        <v/>
      </c>
      <c r="Q48" s="6" t="str">
        <f>IFERROR(__xludf.DUMMYFUNCTION("AVERAGE(QUERY(GOOGLEFINANCE(C48, ""price"", TODAY()-80, TODAY()), ""SELECT Col2 WHERE Col2 IS NOT NULL ORDER BY Col1 DESC LIMIT 50"", 0))"),"#N/A")</f>
        <v>#N/A</v>
      </c>
      <c r="R48" s="24" t="str">
        <f>IFERROR(__xludf.DUMMYFUNCTION("IFERROR(
  LET(
    data, QUERY(GOOGLEFINANCE(C48,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GOOGLEFINANCE(C48, ""price"")) * 100,
    IF(calc=0, G48, calc)
  ), 
G48)"),"#N/A")</f>
        <v>#N/A</v>
      </c>
      <c r="S48" s="8" t="s">
        <v>15</v>
      </c>
      <c r="T48" s="26" t="str">
        <f>IFERROR(__xludf.DUMMYFUNCTION("IFERROR(TRANSPOSE(QUERY(IFERROR(SORT(GOOGLEFINANCE(C48, ""price"", WORKDAY(TODAY(), -40), TODAY()), 1, FALSE)), ""select Col2 where Col2 is not null limit 22 label Col2 ''"", 0)), """")"),"")</f>
        <v/>
      </c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8"/>
      <c r="AO48" s="28"/>
      <c r="AP48" s="29"/>
      <c r="AQ48" s="29" t="str">
        <f t="shared" ref="AQ48:BL48" si="51">T48/T$2</f>
        <v>#N/A</v>
      </c>
      <c r="AR48" s="29" t="str">
        <f t="shared" si="51"/>
        <v>#DIV/0!</v>
      </c>
      <c r="AS48" s="29" t="str">
        <f t="shared" si="51"/>
        <v>#DIV/0!</v>
      </c>
      <c r="AT48" s="29" t="str">
        <f t="shared" si="51"/>
        <v>#DIV/0!</v>
      </c>
      <c r="AU48" s="29" t="str">
        <f t="shared" si="51"/>
        <v>#DIV/0!</v>
      </c>
      <c r="AV48" s="29" t="str">
        <f t="shared" si="51"/>
        <v>#DIV/0!</v>
      </c>
      <c r="AW48" s="29" t="str">
        <f t="shared" si="51"/>
        <v>#DIV/0!</v>
      </c>
      <c r="AX48" s="29" t="str">
        <f t="shared" si="51"/>
        <v>#DIV/0!</v>
      </c>
      <c r="AY48" s="29" t="str">
        <f t="shared" si="51"/>
        <v>#DIV/0!</v>
      </c>
      <c r="AZ48" s="29" t="str">
        <f t="shared" si="51"/>
        <v>#DIV/0!</v>
      </c>
      <c r="BA48" s="29" t="str">
        <f t="shared" si="51"/>
        <v>#DIV/0!</v>
      </c>
      <c r="BB48" s="29" t="str">
        <f t="shared" si="51"/>
        <v>#DIV/0!</v>
      </c>
      <c r="BC48" s="29" t="str">
        <f t="shared" si="51"/>
        <v>#DIV/0!</v>
      </c>
      <c r="BD48" s="29" t="str">
        <f t="shared" si="51"/>
        <v>#DIV/0!</v>
      </c>
      <c r="BE48" s="29" t="str">
        <f t="shared" si="51"/>
        <v>#DIV/0!</v>
      </c>
      <c r="BF48" s="29" t="str">
        <f t="shared" si="51"/>
        <v>#DIV/0!</v>
      </c>
      <c r="BG48" s="29" t="str">
        <f t="shared" si="51"/>
        <v>#DIV/0!</v>
      </c>
      <c r="BH48" s="29" t="str">
        <f t="shared" si="51"/>
        <v>#DIV/0!</v>
      </c>
      <c r="BI48" s="29" t="str">
        <f t="shared" si="51"/>
        <v>#DIV/0!</v>
      </c>
      <c r="BJ48" s="29" t="str">
        <f t="shared" si="51"/>
        <v>#DIV/0!</v>
      </c>
      <c r="BK48" s="29" t="str">
        <f t="shared" si="51"/>
        <v>#DIV/0!</v>
      </c>
      <c r="BL48" s="29" t="str">
        <f t="shared" si="51"/>
        <v>#DIV/0!</v>
      </c>
      <c r="BM48" s="29" t="str">
        <f t="shared" si="3"/>
        <v>#DIV/0!</v>
      </c>
    </row>
    <row r="49">
      <c r="A49" s="16" t="str">
        <f>IFERROR(__xludf.DUMMYFUNCTION("IFERROR(SPARKLINE(SORT(MAP(TRANSPOSE(AQ49:BL49), LAMBDA(val, IF(ISNUMBER(val), PERCENTRANK(AQ49:BL49, val)+0.01, 0))), SEQUENCE(COLUMNS(AQ49:BL49)), FALSE), {""charttype"",""column""; ""color"",""chartreuse""; ""ymin"", 0; ""ymax"", 1.01; ""highcolor"", "&amp;"""darkgreen""; ""lowcolor"", ""red""}), """")"),"")</f>
        <v/>
      </c>
      <c r="B49" s="17" t="str">
        <f t="shared" si="4"/>
        <v/>
      </c>
      <c r="C49" s="1" t="s">
        <v>2846</v>
      </c>
      <c r="D49" s="30" t="str">
        <f>IFERROR(__xludf.DUMMYFUNCTION("IFERROR(GOOGLEFINANCE(C49, ""NAME""))"),"Sabra Health Care REIT Inc")</f>
        <v>Sabra Health Care REIT Inc</v>
      </c>
      <c r="E49" s="30" t="s">
        <v>2668</v>
      </c>
      <c r="F49" s="33" t="str">
        <f>IFERROR(__xludf.DUMMYFUNCTION("( (GOOGLEFINANCE(C49, ""price"") - Q49) / Q49 ) / (R49 / 100)"),"Loading...")</f>
        <v>Loading...</v>
      </c>
      <c r="G49" s="20" t="str">
        <f>IFERROR(__xludf.DUMMYFUNCTION("AVERAGE(ARRAYFORMULA(100 * (QUERY(GOOGLEFINANCE(C49, ""high"", TODAY()-40, TODAY()), ""SELECT Col2 WHERE Col2 IS NOT NULL ORDER BY Col1 DESC LIMIT 20"", 0) / QUERY(GOOGLEFINANCE(C49, ""low"", TODAY()-40, TODAY()), ""SELECT Col2 WHERE Col2 IS NOT NULL ORDE"&amp;"R BY Col1 DESC LIMIT 20"", 0) - 1)))"),"#N/A")</f>
        <v>#N/A</v>
      </c>
      <c r="H49" s="35" t="str">
        <f t="shared" si="6"/>
        <v>Illiquid</v>
      </c>
      <c r="I49" s="35" t="str">
        <f t="shared" si="7"/>
        <v>RVol Required</v>
      </c>
      <c r="J49" s="37">
        <f>IFERROR(__xludf.DUMMYFUNCTION("IFERROR(
  IF(C49="""",, 
    IFERROR(
      GOOGLEFINANCE(C49, ""price"") * GOOGLEFINANCE(C49, ""volumeavg""), 
      GOOGLEFINANCE(C49, ""price"") * AVERAGE(QUERY(GOOGLEFINANCE(C49, ""volume"", TODAY()-40, TODAY()), ""SELECT Col2 WHERE Col2 IS NOT NULL "&amp;"ORDER BY Col1 DESC LIMIT 20"", 0))
    )
  ), 
"""")"),4.81678172E7)</f>
        <v>48167817.2</v>
      </c>
      <c r="K49" s="21">
        <f>IFERROR(__xludf.DUMMYFUNCTION("IFERROR(GOOGLEFINANCE(C49, ""changepct"") / 100, """")"),0.0026)</f>
        <v>0.0026</v>
      </c>
      <c r="L49" s="21" t="str">
        <f>IFERROR(__xludf.DUMMYFUNCTION("IFERROR((GOOGLEFINANCE(C49, ""price"") / INDEX(GOOGLEFINANCE(C49, ""price"", TODAY()-7, TODAY()), 2, 2)) - 1, """")"),"")</f>
        <v/>
      </c>
      <c r="M49" s="21" t="str">
        <f>IFERROR(__xludf.DUMMYFUNCTION("IFERROR((GOOGLEFINANCE(C49, ""price"") / INDEX(GOOGLEFINANCE(C49, ""price"", EDATE(TODAY(), -1), TODAY()), 2, 2)) - 1, """")"),"")</f>
        <v/>
      </c>
      <c r="N49" s="21" t="str">
        <f>IFERROR(__xludf.DUMMYFUNCTION("IFERROR((GOOGLEFINANCE(C49, ""price"") / INDEX(GOOGLEFINANCE(C49, ""price"", EDATE(TODAY(), -3), TODAY()), 2, 2)) - 1, """")"),"")</f>
        <v/>
      </c>
      <c r="O49" s="21" t="str">
        <f>IFERROR(__xludf.DUMMYFUNCTION("IFERROR((GOOGLEFINANCE(C49, ""price"") / INDEX(GOOGLEFINANCE(C49, ""price"", EDATE(TODAY(), -6), TODAY()), 2, 2)) - 1, """")"),"")</f>
        <v/>
      </c>
      <c r="P49" s="21" t="str">
        <f>IFERROR(__xludf.DUMMYFUNCTION("IFERROR((GOOGLEFINANCE(C49, ""price"") / INDEX(GOOGLEFINANCE(C49, ""price"", EDATE(TODAY(), -12), TODAY()), 2, 2)) - 1, """")"),"")</f>
        <v/>
      </c>
      <c r="Q49" s="6" t="str">
        <f>IFERROR(__xludf.DUMMYFUNCTION("AVERAGE(QUERY(GOOGLEFINANCE(C49, ""price"", TODAY()-80, TODAY()), ""SELECT Col2 WHERE Col2 IS NOT NULL ORDER BY Col1 DESC LIMIT 50"", 0))"),"#N/A")</f>
        <v>#N/A</v>
      </c>
      <c r="R49" s="24" t="str">
        <f>IFERROR(__xludf.DUMMYFUNCTION("IFERROR(
  LET(
    data, QUERY(GOOGLEFINANCE(C49,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GOOGLEFINANCE(C49, ""price"")) * 100,
    IF(calc=0, G49, calc)
  ), 
G49)"),"#N/A")</f>
        <v>#N/A</v>
      </c>
      <c r="S49" s="8" t="s">
        <v>15</v>
      </c>
      <c r="T49" s="26" t="str">
        <f>IFERROR(__xludf.DUMMYFUNCTION("IFERROR(TRANSPOSE(QUERY(IFERROR(SORT(GOOGLEFINANCE(C49, ""price"", WORKDAY(TODAY(), -40), TODAY()), 1, FALSE)), ""select Col2 where Col2 is not null limit 22 label Col2 ''"", 0)), """")"),"")</f>
        <v/>
      </c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8"/>
      <c r="AO49" s="28"/>
      <c r="AP49" s="29"/>
      <c r="AQ49" s="29" t="str">
        <f t="shared" ref="AQ49:BL49" si="52">T49/T$2</f>
        <v>#N/A</v>
      </c>
      <c r="AR49" s="29" t="str">
        <f t="shared" si="52"/>
        <v>#DIV/0!</v>
      </c>
      <c r="AS49" s="29" t="str">
        <f t="shared" si="52"/>
        <v>#DIV/0!</v>
      </c>
      <c r="AT49" s="29" t="str">
        <f t="shared" si="52"/>
        <v>#DIV/0!</v>
      </c>
      <c r="AU49" s="29" t="str">
        <f t="shared" si="52"/>
        <v>#DIV/0!</v>
      </c>
      <c r="AV49" s="29" t="str">
        <f t="shared" si="52"/>
        <v>#DIV/0!</v>
      </c>
      <c r="AW49" s="29" t="str">
        <f t="shared" si="52"/>
        <v>#DIV/0!</v>
      </c>
      <c r="AX49" s="29" t="str">
        <f t="shared" si="52"/>
        <v>#DIV/0!</v>
      </c>
      <c r="AY49" s="29" t="str">
        <f t="shared" si="52"/>
        <v>#DIV/0!</v>
      </c>
      <c r="AZ49" s="29" t="str">
        <f t="shared" si="52"/>
        <v>#DIV/0!</v>
      </c>
      <c r="BA49" s="29" t="str">
        <f t="shared" si="52"/>
        <v>#DIV/0!</v>
      </c>
      <c r="BB49" s="29" t="str">
        <f t="shared" si="52"/>
        <v>#DIV/0!</v>
      </c>
      <c r="BC49" s="29" t="str">
        <f t="shared" si="52"/>
        <v>#DIV/0!</v>
      </c>
      <c r="BD49" s="29" t="str">
        <f t="shared" si="52"/>
        <v>#DIV/0!</v>
      </c>
      <c r="BE49" s="29" t="str">
        <f t="shared" si="52"/>
        <v>#DIV/0!</v>
      </c>
      <c r="BF49" s="29" t="str">
        <f t="shared" si="52"/>
        <v>#DIV/0!</v>
      </c>
      <c r="BG49" s="29" t="str">
        <f t="shared" si="52"/>
        <v>#DIV/0!</v>
      </c>
      <c r="BH49" s="29" t="str">
        <f t="shared" si="52"/>
        <v>#DIV/0!</v>
      </c>
      <c r="BI49" s="29" t="str">
        <f t="shared" si="52"/>
        <v>#DIV/0!</v>
      </c>
      <c r="BJ49" s="29" t="str">
        <f t="shared" si="52"/>
        <v>#DIV/0!</v>
      </c>
      <c r="BK49" s="29" t="str">
        <f t="shared" si="52"/>
        <v>#DIV/0!</v>
      </c>
      <c r="BL49" s="29" t="str">
        <f t="shared" si="52"/>
        <v>#DIV/0!</v>
      </c>
      <c r="BM49" s="29" t="str">
        <f t="shared" si="3"/>
        <v>#DIV/0!</v>
      </c>
    </row>
    <row r="50">
      <c r="A50" s="16" t="str">
        <f>IFERROR(__xludf.DUMMYFUNCTION("IFERROR(SPARKLINE(SORT(MAP(TRANSPOSE(AQ50:BL50), LAMBDA(val, IF(ISNUMBER(val), PERCENTRANK(AQ50:BL50, val)+0.01, 0))), SEQUENCE(COLUMNS(AQ50:BL50)), FALSE), {""charttype"",""column""; ""color"",""chartreuse""; ""ymin"", 0; ""ymax"", 1.01; ""highcolor"", "&amp;"""darkgreen""; ""lowcolor"", ""red""}), """")"),"")</f>
        <v/>
      </c>
      <c r="B50" s="17" t="str">
        <f t="shared" si="4"/>
        <v/>
      </c>
      <c r="C50" s="1" t="s">
        <v>2851</v>
      </c>
      <c r="D50" s="30" t="str">
        <f>IFERROR(__xludf.DUMMYFUNCTION("IFERROR(GOOGLEFINANCE(C50, ""NAME""))"),"Alpha Exploration Ltd")</f>
        <v>Alpha Exploration Ltd</v>
      </c>
      <c r="E50" s="30" t="s">
        <v>2751</v>
      </c>
      <c r="F50" s="33" t="str">
        <f>IFERROR(__xludf.DUMMYFUNCTION("( (GOOGLEFINANCE(C50, ""price"") - Q50) / Q50 ) / (R50 / 100)"),"Loading...")</f>
        <v>Loading...</v>
      </c>
      <c r="G50" s="20" t="str">
        <f>IFERROR(__xludf.DUMMYFUNCTION("AVERAGE(ARRAYFORMULA(100 * (QUERY(GOOGLEFINANCE(C50, ""high"", TODAY()-40, TODAY()), ""SELECT Col2 WHERE Col2 IS NOT NULL ORDER BY Col1 DESC LIMIT 20"", 0) / QUERY(GOOGLEFINANCE(C50, ""low"", TODAY()-40, TODAY()), ""SELECT Col2 WHERE Col2 IS NOT NULL ORDE"&amp;"R BY Col1 DESC LIMIT 20"", 0) - 1)))"),"#N/A")</f>
        <v>#N/A</v>
      </c>
      <c r="H50" s="35" t="str">
        <f t="shared" si="6"/>
        <v>Illiquid</v>
      </c>
      <c r="I50" s="35" t="str">
        <f t="shared" si="7"/>
        <v>RVol Required</v>
      </c>
      <c r="J50" s="37">
        <f>IFERROR(__xludf.DUMMYFUNCTION("IFERROR(
  IF(C50="""",, 
    IFERROR(
      GOOGLEFINANCE(C50, ""price"") * GOOGLEFINANCE(C50, ""volumeavg""), 
      GOOGLEFINANCE(C50, ""price"") * AVERAGE(QUERY(GOOGLEFINANCE(C50, ""volume"", TODAY()-40, TODAY()), ""SELECT Col2 WHERE Col2 IS NOT NULL "&amp;"ORDER BY Col1 DESC LIMIT 20"", 0))
    )
  ), 
"""")"),6438.25)</f>
        <v>6438.25</v>
      </c>
      <c r="K50" s="21">
        <f>IFERROR(__xludf.DUMMYFUNCTION("IFERROR(GOOGLEFINANCE(C50, ""changepct"") / 100, """")"),0.0)</f>
        <v>0</v>
      </c>
      <c r="L50" s="21" t="str">
        <f>IFERROR(__xludf.DUMMYFUNCTION("IFERROR((GOOGLEFINANCE(C50, ""price"") / INDEX(GOOGLEFINANCE(C50, ""price"", TODAY()-7, TODAY()), 2, 2)) - 1, """")"),"")</f>
        <v/>
      </c>
      <c r="M50" s="21" t="str">
        <f>IFERROR(__xludf.DUMMYFUNCTION("IFERROR((GOOGLEFINANCE(C50, ""price"") / INDEX(GOOGLEFINANCE(C50, ""price"", EDATE(TODAY(), -1), TODAY()), 2, 2)) - 1, """")"),"")</f>
        <v/>
      </c>
      <c r="N50" s="21" t="str">
        <f>IFERROR(__xludf.DUMMYFUNCTION("IFERROR((GOOGLEFINANCE(C50, ""price"") / INDEX(GOOGLEFINANCE(C50, ""price"", EDATE(TODAY(), -3), TODAY()), 2, 2)) - 1, """")"),"")</f>
        <v/>
      </c>
      <c r="O50" s="21" t="str">
        <f>IFERROR(__xludf.DUMMYFUNCTION("IFERROR((GOOGLEFINANCE(C50, ""price"") / INDEX(GOOGLEFINANCE(C50, ""price"", EDATE(TODAY(), -6), TODAY()), 2, 2)) - 1, """")"),"")</f>
        <v/>
      </c>
      <c r="P50" s="21" t="str">
        <f>IFERROR(__xludf.DUMMYFUNCTION("IFERROR((GOOGLEFINANCE(C50, ""price"") / INDEX(GOOGLEFINANCE(C50, ""price"", EDATE(TODAY(), -12), TODAY()), 2, 2)) - 1, """")"),"")</f>
        <v/>
      </c>
      <c r="Q50" s="6" t="str">
        <f>IFERROR(__xludf.DUMMYFUNCTION("AVERAGE(QUERY(GOOGLEFINANCE(C50, ""price"", TODAY()-80, TODAY()), ""SELECT Col2 WHERE Col2 IS NOT NULL ORDER BY Col1 DESC LIMIT 50"", 0))"),"#N/A")</f>
        <v>#N/A</v>
      </c>
      <c r="R50" s="24" t="str">
        <f>IFERROR(__xludf.DUMMYFUNCTION("IFERROR(
  LET(
    data, QUERY(GOOGLEFINANCE(C50,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GOOGLEFINANCE(C50, ""price"")) * 100,
    IF(calc=0, G50, calc)
  ), 
G50)"),"#N/A")</f>
        <v>#N/A</v>
      </c>
      <c r="S50" s="8" t="s">
        <v>15</v>
      </c>
      <c r="T50" s="26" t="str">
        <f>IFERROR(__xludf.DUMMYFUNCTION("IFERROR(TRANSPOSE(QUERY(IFERROR(SORT(GOOGLEFINANCE(C50, ""price"", WORKDAY(TODAY(), -40), TODAY()), 1, FALSE)), ""select Col2 where Col2 is not null limit 22 label Col2 ''"", 0)), """")"),"")</f>
        <v/>
      </c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8"/>
      <c r="AO50" s="28"/>
      <c r="AP50" s="29"/>
      <c r="AQ50" s="29" t="str">
        <f t="shared" ref="AQ50:BL50" si="53">T50/T$2</f>
        <v>#N/A</v>
      </c>
      <c r="AR50" s="29" t="str">
        <f t="shared" si="53"/>
        <v>#DIV/0!</v>
      </c>
      <c r="AS50" s="29" t="str">
        <f t="shared" si="53"/>
        <v>#DIV/0!</v>
      </c>
      <c r="AT50" s="29" t="str">
        <f t="shared" si="53"/>
        <v>#DIV/0!</v>
      </c>
      <c r="AU50" s="29" t="str">
        <f t="shared" si="53"/>
        <v>#DIV/0!</v>
      </c>
      <c r="AV50" s="29" t="str">
        <f t="shared" si="53"/>
        <v>#DIV/0!</v>
      </c>
      <c r="AW50" s="29" t="str">
        <f t="shared" si="53"/>
        <v>#DIV/0!</v>
      </c>
      <c r="AX50" s="29" t="str">
        <f t="shared" si="53"/>
        <v>#DIV/0!</v>
      </c>
      <c r="AY50" s="29" t="str">
        <f t="shared" si="53"/>
        <v>#DIV/0!</v>
      </c>
      <c r="AZ50" s="29" t="str">
        <f t="shared" si="53"/>
        <v>#DIV/0!</v>
      </c>
      <c r="BA50" s="29" t="str">
        <f t="shared" si="53"/>
        <v>#DIV/0!</v>
      </c>
      <c r="BB50" s="29" t="str">
        <f t="shared" si="53"/>
        <v>#DIV/0!</v>
      </c>
      <c r="BC50" s="29" t="str">
        <f t="shared" si="53"/>
        <v>#DIV/0!</v>
      </c>
      <c r="BD50" s="29" t="str">
        <f t="shared" si="53"/>
        <v>#DIV/0!</v>
      </c>
      <c r="BE50" s="29" t="str">
        <f t="shared" si="53"/>
        <v>#DIV/0!</v>
      </c>
      <c r="BF50" s="29" t="str">
        <f t="shared" si="53"/>
        <v>#DIV/0!</v>
      </c>
      <c r="BG50" s="29" t="str">
        <f t="shared" si="53"/>
        <v>#DIV/0!</v>
      </c>
      <c r="BH50" s="29" t="str">
        <f t="shared" si="53"/>
        <v>#DIV/0!</v>
      </c>
      <c r="BI50" s="29" t="str">
        <f t="shared" si="53"/>
        <v>#DIV/0!</v>
      </c>
      <c r="BJ50" s="29" t="str">
        <f t="shared" si="53"/>
        <v>#DIV/0!</v>
      </c>
      <c r="BK50" s="29" t="str">
        <f t="shared" si="53"/>
        <v>#DIV/0!</v>
      </c>
      <c r="BL50" s="29" t="str">
        <f t="shared" si="53"/>
        <v>#DIV/0!</v>
      </c>
      <c r="BM50" s="29" t="str">
        <f t="shared" si="3"/>
        <v>#DIV/0!</v>
      </c>
    </row>
    <row r="51">
      <c r="A51" s="16" t="str">
        <f>IFERROR(__xludf.DUMMYFUNCTION("IFERROR(SPARKLINE(SORT(MAP(TRANSPOSE(AQ51:BL51), LAMBDA(val, IF(ISNUMBER(val), PERCENTRANK(AQ51:BL51, val)+0.01, 0))), SEQUENCE(COLUMNS(AQ51:BL51)), FALSE), {""charttype"",""column""; ""color"",""chartreuse""; ""ymin"", 0; ""ymax"", 1.01; ""highcolor"", "&amp;"""darkgreen""; ""lowcolor"", ""red""}), """")"),"")</f>
        <v/>
      </c>
      <c r="B51" s="17" t="str">
        <f t="shared" si="4"/>
        <v/>
      </c>
      <c r="C51" s="1" t="s">
        <v>2854</v>
      </c>
      <c r="D51" s="30" t="str">
        <f>IFERROR(__xludf.DUMMYFUNCTION("IFERROR(GOOGLEFINANCE(C51, ""NAME""))"),"Public Storage")</f>
        <v>Public Storage</v>
      </c>
      <c r="E51" s="30" t="s">
        <v>2704</v>
      </c>
      <c r="F51" s="33" t="str">
        <f>IFERROR(__xludf.DUMMYFUNCTION("( (GOOGLEFINANCE(C51, ""price"") - Q51) / Q51 ) / (R51 / 100)"),"Loading...")</f>
        <v>Loading...</v>
      </c>
      <c r="G51" s="20" t="str">
        <f>IFERROR(__xludf.DUMMYFUNCTION("AVERAGE(ARRAYFORMULA(100 * (QUERY(GOOGLEFINANCE(C51, ""high"", TODAY()-40, TODAY()), ""SELECT Col2 WHERE Col2 IS NOT NULL ORDER BY Col1 DESC LIMIT 20"", 0) / QUERY(GOOGLEFINANCE(C51, ""low"", TODAY()-40, TODAY()), ""SELECT Col2 WHERE Col2 IS NOT NULL ORDE"&amp;"R BY Col1 DESC LIMIT 20"", 0) - 1)))"),"#N/A")</f>
        <v>#N/A</v>
      </c>
      <c r="H51" s="35" t="str">
        <f t="shared" si="6"/>
        <v>Liquid</v>
      </c>
      <c r="I51" s="35" t="str">
        <f t="shared" si="7"/>
        <v>RVol Required</v>
      </c>
      <c r="J51" s="37">
        <f>IFERROR(__xludf.DUMMYFUNCTION("IFERROR(
  IF(C51="""",, 
    IFERROR(
      GOOGLEFINANCE(C51, ""price"") * GOOGLEFINANCE(C51, ""volumeavg""), 
      GOOGLEFINANCE(C51, ""price"") * AVERAGE(QUERY(GOOGLEFINANCE(C51, ""volume"", TODAY()-40, TODAY()), ""SELECT Col2 WHERE Col2 IS NOT NULL "&amp;"ORDER BY Col1 DESC LIMIT 20"", 0))
    )
  ), 
"""")"),2.7009405034E8)</f>
        <v>270094050.3</v>
      </c>
      <c r="K51" s="21">
        <f>IFERROR(__xludf.DUMMYFUNCTION("IFERROR(GOOGLEFINANCE(C51, ""changepct"") / 100, """")"),0.0101)</f>
        <v>0.0101</v>
      </c>
      <c r="L51" s="21" t="str">
        <f>IFERROR(__xludf.DUMMYFUNCTION("IFERROR((GOOGLEFINANCE(C51, ""price"") / INDEX(GOOGLEFINANCE(C51, ""price"", TODAY()-7, TODAY()), 2, 2)) - 1, """")"),"")</f>
        <v/>
      </c>
      <c r="M51" s="21" t="str">
        <f>IFERROR(__xludf.DUMMYFUNCTION("IFERROR((GOOGLEFINANCE(C51, ""price"") / INDEX(GOOGLEFINANCE(C51, ""price"", EDATE(TODAY(), -1), TODAY()), 2, 2)) - 1, """")"),"")</f>
        <v/>
      </c>
      <c r="N51" s="21" t="str">
        <f>IFERROR(__xludf.DUMMYFUNCTION("IFERROR((GOOGLEFINANCE(C51, ""price"") / INDEX(GOOGLEFINANCE(C51, ""price"", EDATE(TODAY(), -3), TODAY()), 2, 2)) - 1, """")"),"")</f>
        <v/>
      </c>
      <c r="O51" s="21" t="str">
        <f>IFERROR(__xludf.DUMMYFUNCTION("IFERROR((GOOGLEFINANCE(C51, ""price"") / INDEX(GOOGLEFINANCE(C51, ""price"", EDATE(TODAY(), -6), TODAY()), 2, 2)) - 1, """")"),"")</f>
        <v/>
      </c>
      <c r="P51" s="21" t="str">
        <f>IFERROR(__xludf.DUMMYFUNCTION("IFERROR((GOOGLEFINANCE(C51, ""price"") / INDEX(GOOGLEFINANCE(C51, ""price"", EDATE(TODAY(), -12), TODAY()), 2, 2)) - 1, """")"),"")</f>
        <v/>
      </c>
      <c r="Q51" s="6" t="str">
        <f>IFERROR(__xludf.DUMMYFUNCTION("AVERAGE(QUERY(GOOGLEFINANCE(C51, ""price"", TODAY()-80, TODAY()), ""SELECT Col2 WHERE Col2 IS NOT NULL ORDER BY Col1 DESC LIMIT 50"", 0))"),"#N/A")</f>
        <v>#N/A</v>
      </c>
      <c r="R51" s="24" t="str">
        <f>IFERROR(__xludf.DUMMYFUNCTION("IFERROR(
  LET(
    data, QUERY(GOOGLEFINANCE(C51,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GOOGLEFINANCE(C51, ""price"")) * 100,
    IF(calc=0, G51, calc)
  ), 
G51)"),"#N/A")</f>
        <v>#N/A</v>
      </c>
      <c r="S51" s="8" t="s">
        <v>15</v>
      </c>
      <c r="T51" s="26" t="str">
        <f>IFERROR(__xludf.DUMMYFUNCTION("IFERROR(TRANSPOSE(QUERY(IFERROR(SORT(GOOGLEFINANCE(C51, ""price"", WORKDAY(TODAY(), -40), TODAY()), 1, FALSE)), ""select Col2 where Col2 is not null limit 22 label Col2 ''"", 0)), """")"),"")</f>
        <v/>
      </c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8"/>
      <c r="AO51" s="28"/>
      <c r="AP51" s="29"/>
      <c r="AQ51" s="29" t="str">
        <f t="shared" ref="AQ51:BL51" si="54">T51/T$2</f>
        <v>#N/A</v>
      </c>
      <c r="AR51" s="29" t="str">
        <f t="shared" si="54"/>
        <v>#DIV/0!</v>
      </c>
      <c r="AS51" s="29" t="str">
        <f t="shared" si="54"/>
        <v>#DIV/0!</v>
      </c>
      <c r="AT51" s="29" t="str">
        <f t="shared" si="54"/>
        <v>#DIV/0!</v>
      </c>
      <c r="AU51" s="29" t="str">
        <f t="shared" si="54"/>
        <v>#DIV/0!</v>
      </c>
      <c r="AV51" s="29" t="str">
        <f t="shared" si="54"/>
        <v>#DIV/0!</v>
      </c>
      <c r="AW51" s="29" t="str">
        <f t="shared" si="54"/>
        <v>#DIV/0!</v>
      </c>
      <c r="AX51" s="29" t="str">
        <f t="shared" si="54"/>
        <v>#DIV/0!</v>
      </c>
      <c r="AY51" s="29" t="str">
        <f t="shared" si="54"/>
        <v>#DIV/0!</v>
      </c>
      <c r="AZ51" s="29" t="str">
        <f t="shared" si="54"/>
        <v>#DIV/0!</v>
      </c>
      <c r="BA51" s="29" t="str">
        <f t="shared" si="54"/>
        <v>#DIV/0!</v>
      </c>
      <c r="BB51" s="29" t="str">
        <f t="shared" si="54"/>
        <v>#DIV/0!</v>
      </c>
      <c r="BC51" s="29" t="str">
        <f t="shared" si="54"/>
        <v>#DIV/0!</v>
      </c>
      <c r="BD51" s="29" t="str">
        <f t="shared" si="54"/>
        <v>#DIV/0!</v>
      </c>
      <c r="BE51" s="29" t="str">
        <f t="shared" si="54"/>
        <v>#DIV/0!</v>
      </c>
      <c r="BF51" s="29" t="str">
        <f t="shared" si="54"/>
        <v>#DIV/0!</v>
      </c>
      <c r="BG51" s="29" t="str">
        <f t="shared" si="54"/>
        <v>#DIV/0!</v>
      </c>
      <c r="BH51" s="29" t="str">
        <f t="shared" si="54"/>
        <v>#DIV/0!</v>
      </c>
      <c r="BI51" s="29" t="str">
        <f t="shared" si="54"/>
        <v>#DIV/0!</v>
      </c>
      <c r="BJ51" s="29" t="str">
        <f t="shared" si="54"/>
        <v>#DIV/0!</v>
      </c>
      <c r="BK51" s="29" t="str">
        <f t="shared" si="54"/>
        <v>#DIV/0!</v>
      </c>
      <c r="BL51" s="29" t="str">
        <f t="shared" si="54"/>
        <v>#DIV/0!</v>
      </c>
      <c r="BM51" s="29" t="str">
        <f t="shared" si="3"/>
        <v>#DIV/0!</v>
      </c>
    </row>
    <row r="52">
      <c r="A52" s="16" t="str">
        <f>IFERROR(__xludf.DUMMYFUNCTION("IFERROR(SPARKLINE(SORT(MAP(TRANSPOSE(AQ52:BL52), LAMBDA(val, IF(ISNUMBER(val), PERCENTRANK(AQ52:BL52, val)+0.01, 0))), SEQUENCE(COLUMNS(AQ52:BL52)), FALSE), {""charttype"",""column""; ""color"",""chartreuse""; ""ymin"", 0; ""ymax"", 1.01; ""highcolor"", "&amp;"""darkgreen""; ""lowcolor"", ""red""}), """")"),"")</f>
        <v/>
      </c>
      <c r="B52" s="17" t="str">
        <f t="shared" si="4"/>
        <v/>
      </c>
      <c r="C52" s="1" t="s">
        <v>2858</v>
      </c>
      <c r="D52" s="30" t="str">
        <f>IFERROR(__xludf.DUMMYFUNCTION("IFERROR(GOOGLEFINANCE(C52, ""NAME""))"),"CubeSmart")</f>
        <v>CubeSmart</v>
      </c>
      <c r="E52" s="30" t="s">
        <v>2704</v>
      </c>
      <c r="F52" s="38" t="str">
        <f>IFERROR(__xludf.DUMMYFUNCTION("( (GOOGLEFINANCE(C52, ""price"") - Q52) / Q52 ) / (R52 / 100)"),"Loading...")</f>
        <v>Loading...</v>
      </c>
      <c r="G52" s="20" t="str">
        <f>IFERROR(__xludf.DUMMYFUNCTION("AVERAGE(ARRAYFORMULA(100 * (QUERY(GOOGLEFINANCE(C52, ""high"", TODAY()-40, TODAY()), ""SELECT Col2 WHERE Col2 IS NOT NULL ORDER BY Col1 DESC LIMIT 20"", 0) / QUERY(GOOGLEFINANCE(C52, ""low"", TODAY()-40, TODAY()), ""SELECT Col2 WHERE Col2 IS NOT NULL ORDE"&amp;"R BY Col1 DESC LIMIT 20"", 0) - 1)))"),"#N/A")</f>
        <v>#N/A</v>
      </c>
      <c r="H52" s="35" t="str">
        <f t="shared" si="6"/>
        <v>Liquid</v>
      </c>
      <c r="I52" s="35" t="str">
        <f t="shared" si="7"/>
        <v>RVol Required</v>
      </c>
      <c r="J52" s="37">
        <f>IFERROR(__xludf.DUMMYFUNCTION("IFERROR(
  IF(C52="""",, 
    IFERROR(
      GOOGLEFINANCE(C52, ""price"") * GOOGLEFINANCE(C52, ""volumeavg""), 
      GOOGLEFINANCE(C52, ""price"") * AVERAGE(QUERY(GOOGLEFINANCE(C52, ""volume"", TODAY()-40, TODAY()), ""SELECT Col2 WHERE Col2 IS NOT NULL "&amp;"ORDER BY Col1 DESC LIMIT 20"", 0))
    )
  ), 
"""")"),1.0562433889E8)</f>
        <v>105624338.9</v>
      </c>
      <c r="K52" s="21">
        <f>IFERROR(__xludf.DUMMYFUNCTION("IFERROR(GOOGLEFINANCE(C52, ""changepct"") / 100, """")"),0.011200000000000002)</f>
        <v>0.0112</v>
      </c>
      <c r="L52" s="21" t="str">
        <f>IFERROR(__xludf.DUMMYFUNCTION("IFERROR((GOOGLEFINANCE(C52, ""price"") / INDEX(GOOGLEFINANCE(C52, ""price"", TODAY()-7, TODAY()), 2, 2)) - 1, """")"),"")</f>
        <v/>
      </c>
      <c r="M52" s="21" t="str">
        <f>IFERROR(__xludf.DUMMYFUNCTION("IFERROR((GOOGLEFINANCE(C52, ""price"") / INDEX(GOOGLEFINANCE(C52, ""price"", EDATE(TODAY(), -1), TODAY()), 2, 2)) - 1, """")"),"")</f>
        <v/>
      </c>
      <c r="N52" s="21" t="str">
        <f>IFERROR(__xludf.DUMMYFUNCTION("IFERROR((GOOGLEFINANCE(C52, ""price"") / INDEX(GOOGLEFINANCE(C52, ""price"", EDATE(TODAY(), -3), TODAY()), 2, 2)) - 1, """")"),"")</f>
        <v/>
      </c>
      <c r="O52" s="21" t="str">
        <f>IFERROR(__xludf.DUMMYFUNCTION("IFERROR((GOOGLEFINANCE(C52, ""price"") / INDEX(GOOGLEFINANCE(C52, ""price"", EDATE(TODAY(), -6), TODAY()), 2, 2)) - 1, """")"),"")</f>
        <v/>
      </c>
      <c r="P52" s="21" t="str">
        <f>IFERROR(__xludf.DUMMYFUNCTION("IFERROR((GOOGLEFINANCE(C52, ""price"") / INDEX(GOOGLEFINANCE(C52, ""price"", EDATE(TODAY(), -12), TODAY()), 2, 2)) - 1, """")"),"")</f>
        <v/>
      </c>
      <c r="Q52" s="6" t="str">
        <f>IFERROR(__xludf.DUMMYFUNCTION("AVERAGE(QUERY(GOOGLEFINANCE(C52, ""price"", TODAY()-80, TODAY()), ""SELECT Col2 WHERE Col2 IS NOT NULL ORDER BY Col1 DESC LIMIT 50"", 0))"),"#N/A")</f>
        <v>#N/A</v>
      </c>
      <c r="R52" s="24" t="str">
        <f>IFERROR(__xludf.DUMMYFUNCTION("IFERROR(
  LET(
    data, QUERY(GOOGLEFINANCE(C52,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GOOGLEFINANCE(C52, ""price"")) * 100,
    IF(calc=0, G52, calc)
  ), 
G52)"),"#N/A")</f>
        <v>#N/A</v>
      </c>
      <c r="S52" s="8" t="s">
        <v>15</v>
      </c>
      <c r="T52" s="26" t="str">
        <f>IFERROR(__xludf.DUMMYFUNCTION("IFERROR(TRANSPOSE(QUERY(IFERROR(SORT(GOOGLEFINANCE(C52, ""price"", WORKDAY(TODAY(), -40), TODAY()), 1, FALSE)), ""select Col2 where Col2 is not null limit 22 label Col2 ''"", 0)), """")"),"")</f>
        <v/>
      </c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8"/>
      <c r="AO52" s="28"/>
      <c r="AP52" s="29"/>
      <c r="AQ52" s="29" t="str">
        <f t="shared" ref="AQ52:BL52" si="55">T52/T$2</f>
        <v>#N/A</v>
      </c>
      <c r="AR52" s="29" t="str">
        <f t="shared" si="55"/>
        <v>#DIV/0!</v>
      </c>
      <c r="AS52" s="29" t="str">
        <f t="shared" si="55"/>
        <v>#DIV/0!</v>
      </c>
      <c r="AT52" s="29" t="str">
        <f t="shared" si="55"/>
        <v>#DIV/0!</v>
      </c>
      <c r="AU52" s="29" t="str">
        <f t="shared" si="55"/>
        <v>#DIV/0!</v>
      </c>
      <c r="AV52" s="29" t="str">
        <f t="shared" si="55"/>
        <v>#DIV/0!</v>
      </c>
      <c r="AW52" s="29" t="str">
        <f t="shared" si="55"/>
        <v>#DIV/0!</v>
      </c>
      <c r="AX52" s="29" t="str">
        <f t="shared" si="55"/>
        <v>#DIV/0!</v>
      </c>
      <c r="AY52" s="29" t="str">
        <f t="shared" si="55"/>
        <v>#DIV/0!</v>
      </c>
      <c r="AZ52" s="29" t="str">
        <f t="shared" si="55"/>
        <v>#DIV/0!</v>
      </c>
      <c r="BA52" s="29" t="str">
        <f t="shared" si="55"/>
        <v>#DIV/0!</v>
      </c>
      <c r="BB52" s="29" t="str">
        <f t="shared" si="55"/>
        <v>#DIV/0!</v>
      </c>
      <c r="BC52" s="29" t="str">
        <f t="shared" si="55"/>
        <v>#DIV/0!</v>
      </c>
      <c r="BD52" s="29" t="str">
        <f t="shared" si="55"/>
        <v>#DIV/0!</v>
      </c>
      <c r="BE52" s="29" t="str">
        <f t="shared" si="55"/>
        <v>#DIV/0!</v>
      </c>
      <c r="BF52" s="29" t="str">
        <f t="shared" si="55"/>
        <v>#DIV/0!</v>
      </c>
      <c r="BG52" s="29" t="str">
        <f t="shared" si="55"/>
        <v>#DIV/0!</v>
      </c>
      <c r="BH52" s="29" t="str">
        <f t="shared" si="55"/>
        <v>#DIV/0!</v>
      </c>
      <c r="BI52" s="29" t="str">
        <f t="shared" si="55"/>
        <v>#DIV/0!</v>
      </c>
      <c r="BJ52" s="29" t="str">
        <f t="shared" si="55"/>
        <v>#DIV/0!</v>
      </c>
      <c r="BK52" s="29" t="str">
        <f t="shared" si="55"/>
        <v>#DIV/0!</v>
      </c>
      <c r="BL52" s="29" t="str">
        <f t="shared" si="55"/>
        <v>#DIV/0!</v>
      </c>
      <c r="BM52" s="29" t="str">
        <f t="shared" si="3"/>
        <v>#DIV/0!</v>
      </c>
    </row>
    <row r="53">
      <c r="A53" s="16" t="str">
        <f>IFERROR(__xludf.DUMMYFUNCTION("IFERROR(SPARKLINE(SORT(MAP(TRANSPOSE(AQ53:BL53), LAMBDA(val, IF(ISNUMBER(val), PERCENTRANK(AQ53:BL53, val)+0.01, 0))), SEQUENCE(COLUMNS(AQ53:BL53)), FALSE), {""charttype"",""column""; ""color"",""chartreuse""; ""ymin"", 0; ""ymax"", 1.01; ""highcolor"", "&amp;"""darkgreen""; ""lowcolor"", ""red""}), """")"),"")</f>
        <v/>
      </c>
      <c r="B53" s="17" t="str">
        <f t="shared" si="4"/>
        <v/>
      </c>
      <c r="C53" s="1" t="s">
        <v>2862</v>
      </c>
      <c r="D53" s="30" t="str">
        <f>IFERROR(__xludf.DUMMYFUNCTION("IFERROR(GOOGLEFINANCE(C53, ""NAME""))"),"Fermi Inc")</f>
        <v>Fermi Inc</v>
      </c>
      <c r="E53" s="30" t="s">
        <v>2709</v>
      </c>
      <c r="F53" s="33" t="str">
        <f>IFERROR(__xludf.DUMMYFUNCTION("( (GOOGLEFINANCE(C53, ""price"") - Q53) / Q53 ) / (R53 / 100)"),"Loading...")</f>
        <v>Loading...</v>
      </c>
      <c r="G53" s="20" t="str">
        <f>IFERROR(__xludf.DUMMYFUNCTION("AVERAGE(ARRAYFORMULA(100 * (QUERY(GOOGLEFINANCE(C53, ""high"", TODAY()-40, TODAY()), ""SELECT Col2 WHERE Col2 IS NOT NULL ORDER BY Col1 DESC LIMIT 20"", 0) / QUERY(GOOGLEFINANCE(C53, ""low"", TODAY()-40, TODAY()), ""SELECT Col2 WHERE Col2 IS NOT NULL ORDE"&amp;"R BY Col1 DESC LIMIT 20"", 0) - 1)))"),"#N/A")</f>
        <v>#N/A</v>
      </c>
      <c r="H53" s="35" t="str">
        <f t="shared" si="6"/>
        <v>Liquid</v>
      </c>
      <c r="I53" s="35" t="str">
        <f t="shared" si="7"/>
        <v>RVol Required</v>
      </c>
      <c r="J53" s="37">
        <f>IFERROR(__xludf.DUMMYFUNCTION("IFERROR(
  IF(C53="""",, 
    IFERROR(
      GOOGLEFINANCE(C53, ""price"") * GOOGLEFINANCE(C53, ""volumeavg""), 
      GOOGLEFINANCE(C53, ""price"") * AVERAGE(QUERY(GOOGLEFINANCE(C53, ""volume"", TODAY()-40, TODAY()), ""SELECT Col2 WHERE Col2 IS NOT NULL "&amp;"ORDER BY Col1 DESC LIMIT 20"", 0))
    )
  ), 
"""")"),6.24718412E7)</f>
        <v>62471841.2</v>
      </c>
      <c r="K53" s="21">
        <f>IFERROR(__xludf.DUMMYFUNCTION("IFERROR(GOOGLEFINANCE(C53, ""changepct"") / 100, """")"),-0.0692)</f>
        <v>-0.0692</v>
      </c>
      <c r="L53" s="21" t="str">
        <f>IFERROR(__xludf.DUMMYFUNCTION("IFERROR((GOOGLEFINANCE(C53, ""price"") / INDEX(GOOGLEFINANCE(C53, ""price"", TODAY()-7, TODAY()), 2, 2)) - 1, """")"),"")</f>
        <v/>
      </c>
      <c r="M53" s="21" t="str">
        <f>IFERROR(__xludf.DUMMYFUNCTION("IFERROR((GOOGLEFINANCE(C53, ""price"") / INDEX(GOOGLEFINANCE(C53, ""price"", EDATE(TODAY(), -1), TODAY()), 2, 2)) - 1, """")"),"")</f>
        <v/>
      </c>
      <c r="N53" s="21" t="str">
        <f>IFERROR(__xludf.DUMMYFUNCTION("IFERROR((GOOGLEFINANCE(C53, ""price"") / INDEX(GOOGLEFINANCE(C53, ""price"", EDATE(TODAY(), -3), TODAY()), 2, 2)) - 1, """")"),"")</f>
        <v/>
      </c>
      <c r="O53" s="21" t="str">
        <f>IFERROR(__xludf.DUMMYFUNCTION("IFERROR((GOOGLEFINANCE(C53, ""price"") / INDEX(GOOGLEFINANCE(C53, ""price"", EDATE(TODAY(), -6), TODAY()), 2, 2)) - 1, """")"),"")</f>
        <v/>
      </c>
      <c r="P53" s="21" t="str">
        <f>IFERROR(__xludf.DUMMYFUNCTION("IFERROR((GOOGLEFINANCE(C53, ""price"") / INDEX(GOOGLEFINANCE(C53, ""price"", EDATE(TODAY(), -12), TODAY()), 2, 2)) - 1, """")"),"")</f>
        <v/>
      </c>
      <c r="Q53" s="6" t="str">
        <f>IFERROR(__xludf.DUMMYFUNCTION("AVERAGE(QUERY(GOOGLEFINANCE(C53, ""price"", TODAY()-80, TODAY()), ""SELECT Col2 WHERE Col2 IS NOT NULL ORDER BY Col1 DESC LIMIT 50"", 0))"),"#N/A")</f>
        <v>#N/A</v>
      </c>
      <c r="R53" s="24" t="str">
        <f>IFERROR(__xludf.DUMMYFUNCTION("IFERROR(
  LET(
    data, QUERY(GOOGLEFINANCE(C53,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GOOGLEFINANCE(C53, ""price"")) * 100,
    IF(calc=0, G53, calc)
  ), 
G53)"),"#N/A")</f>
        <v>#N/A</v>
      </c>
      <c r="S53" s="8" t="s">
        <v>15</v>
      </c>
      <c r="T53" s="26" t="str">
        <f>IFERROR(__xludf.DUMMYFUNCTION("IFERROR(TRANSPOSE(QUERY(IFERROR(SORT(GOOGLEFINANCE(C53, ""price"", WORKDAY(TODAY(), -40), TODAY()), 1, FALSE)), ""select Col2 where Col2 is not null limit 22 label Col2 ''"", 0)), """")"),"")</f>
        <v/>
      </c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8"/>
      <c r="AO53" s="28"/>
      <c r="AP53" s="29"/>
      <c r="AQ53" s="29" t="str">
        <f t="shared" ref="AQ53:BL53" si="56">T53/T$2</f>
        <v>#N/A</v>
      </c>
      <c r="AR53" s="29" t="str">
        <f t="shared" si="56"/>
        <v>#DIV/0!</v>
      </c>
      <c r="AS53" s="29" t="str">
        <f t="shared" si="56"/>
        <v>#DIV/0!</v>
      </c>
      <c r="AT53" s="29" t="str">
        <f t="shared" si="56"/>
        <v>#DIV/0!</v>
      </c>
      <c r="AU53" s="29" t="str">
        <f t="shared" si="56"/>
        <v>#DIV/0!</v>
      </c>
      <c r="AV53" s="29" t="str">
        <f t="shared" si="56"/>
        <v>#DIV/0!</v>
      </c>
      <c r="AW53" s="29" t="str">
        <f t="shared" si="56"/>
        <v>#DIV/0!</v>
      </c>
      <c r="AX53" s="29" t="str">
        <f t="shared" si="56"/>
        <v>#DIV/0!</v>
      </c>
      <c r="AY53" s="29" t="str">
        <f t="shared" si="56"/>
        <v>#DIV/0!</v>
      </c>
      <c r="AZ53" s="29" t="str">
        <f t="shared" si="56"/>
        <v>#DIV/0!</v>
      </c>
      <c r="BA53" s="29" t="str">
        <f t="shared" si="56"/>
        <v>#DIV/0!</v>
      </c>
      <c r="BB53" s="29" t="str">
        <f t="shared" si="56"/>
        <v>#DIV/0!</v>
      </c>
      <c r="BC53" s="29" t="str">
        <f t="shared" si="56"/>
        <v>#DIV/0!</v>
      </c>
      <c r="BD53" s="29" t="str">
        <f t="shared" si="56"/>
        <v>#DIV/0!</v>
      </c>
      <c r="BE53" s="29" t="str">
        <f t="shared" si="56"/>
        <v>#DIV/0!</v>
      </c>
      <c r="BF53" s="29" t="str">
        <f t="shared" si="56"/>
        <v>#DIV/0!</v>
      </c>
      <c r="BG53" s="29" t="str">
        <f t="shared" si="56"/>
        <v>#DIV/0!</v>
      </c>
      <c r="BH53" s="29" t="str">
        <f t="shared" si="56"/>
        <v>#DIV/0!</v>
      </c>
      <c r="BI53" s="29" t="str">
        <f t="shared" si="56"/>
        <v>#DIV/0!</v>
      </c>
      <c r="BJ53" s="29" t="str">
        <f t="shared" si="56"/>
        <v>#DIV/0!</v>
      </c>
      <c r="BK53" s="29" t="str">
        <f t="shared" si="56"/>
        <v>#DIV/0!</v>
      </c>
      <c r="BL53" s="29" t="str">
        <f t="shared" si="56"/>
        <v>#DIV/0!</v>
      </c>
      <c r="BM53" s="29" t="str">
        <f t="shared" si="3"/>
        <v>#DIV/0!</v>
      </c>
    </row>
    <row r="54">
      <c r="A54" s="16" t="str">
        <f>IFERROR(__xludf.DUMMYFUNCTION("IFERROR(SPARKLINE(SORT(MAP(TRANSPOSE(AQ54:BL54), LAMBDA(val, IF(ISNUMBER(val), PERCENTRANK(AQ54:BL54, val)+0.01, 0))), SEQUENCE(COLUMNS(AQ54:BL54)), FALSE), {""charttype"",""column""; ""color"",""chartreuse""; ""ymin"", 0; ""ymax"", 1.01; ""highcolor"", "&amp;"""darkgreen""; ""lowcolor"", ""red""}), """")"),"")</f>
        <v/>
      </c>
      <c r="B54" s="17" t="str">
        <f t="shared" si="4"/>
        <v/>
      </c>
      <c r="C54" s="1" t="s">
        <v>2865</v>
      </c>
      <c r="D54" s="30" t="str">
        <f>IFERROR(__xludf.DUMMYFUNCTION("IFERROR(GOOGLEFINANCE(C54, ""NAME""))"),"Pacific Global Holdings PLC")</f>
        <v>Pacific Global Holdings PLC</v>
      </c>
      <c r="E54" s="30" t="s">
        <v>2709</v>
      </c>
      <c r="F54" s="38" t="str">
        <f>IFERROR(__xludf.DUMMYFUNCTION("( (GOOGLEFINANCE(C54, ""price"") - Q54) / Q54 ) / (R54 / 100)"),"Loading...")</f>
        <v>Loading...</v>
      </c>
      <c r="G54" s="20" t="str">
        <f>IFERROR(__xludf.DUMMYFUNCTION("AVERAGE(ARRAYFORMULA(100 * (QUERY(GOOGLEFINANCE(C54, ""high"", TODAY()-40, TODAY()), ""SELECT Col2 WHERE Col2 IS NOT NULL ORDER BY Col1 DESC LIMIT 20"", 0) / QUERY(GOOGLEFINANCE(C54, ""low"", TODAY()-40, TODAY()), ""SELECT Col2 WHERE Col2 IS NOT NULL ORDE"&amp;"R BY Col1 DESC LIMIT 20"", 0) - 1)))"),"#N/A")</f>
        <v>#N/A</v>
      </c>
      <c r="H54" s="35" t="str">
        <f t="shared" si="6"/>
        <v>Illiquid</v>
      </c>
      <c r="I54" s="35" t="str">
        <f t="shared" si="7"/>
        <v>RVol Required</v>
      </c>
      <c r="J54" s="37">
        <f>IFERROR(__xludf.DUMMYFUNCTION("IFERROR(
  IF(C54="""",, 
    IFERROR(
      GOOGLEFINANCE(C54, ""price"") * GOOGLEFINANCE(C54, ""volumeavg""), 
      GOOGLEFINANCE(C54, ""price"") * AVERAGE(QUERY(GOOGLEFINANCE(C54, ""volume"", TODAY()-40, TODAY()), ""SELECT Col2 WHERE Col2 IS NOT NULL "&amp;"ORDER BY Col1 DESC LIMIT 20"", 0))
    )
  ), 
"""")"),0.0)</f>
        <v>0</v>
      </c>
      <c r="K54" s="21">
        <f>IFERROR(__xludf.DUMMYFUNCTION("IFERROR(GOOGLEFINANCE(C54, ""changepct"") / 100, """")"),-0.16670000000000001)</f>
        <v>-0.1667</v>
      </c>
      <c r="L54" s="21" t="str">
        <f>IFERROR(__xludf.DUMMYFUNCTION("IFERROR((GOOGLEFINANCE(C54, ""price"") / INDEX(GOOGLEFINANCE(C54, ""price"", TODAY()-7, TODAY()), 2, 2)) - 1, """")"),"")</f>
        <v/>
      </c>
      <c r="M54" s="21" t="str">
        <f>IFERROR(__xludf.DUMMYFUNCTION("IFERROR((GOOGLEFINANCE(C54, ""price"") / INDEX(GOOGLEFINANCE(C54, ""price"", EDATE(TODAY(), -1), TODAY()), 2, 2)) - 1, """")"),"")</f>
        <v/>
      </c>
      <c r="N54" s="21" t="str">
        <f>IFERROR(__xludf.DUMMYFUNCTION("IFERROR((GOOGLEFINANCE(C54, ""price"") / INDEX(GOOGLEFINANCE(C54, ""price"", EDATE(TODAY(), -3), TODAY()), 2, 2)) - 1, """")"),"")</f>
        <v/>
      </c>
      <c r="O54" s="21" t="str">
        <f>IFERROR(__xludf.DUMMYFUNCTION("IFERROR((GOOGLEFINANCE(C54, ""price"") / INDEX(GOOGLEFINANCE(C54, ""price"", EDATE(TODAY(), -6), TODAY()), 2, 2)) - 1, """")"),"")</f>
        <v/>
      </c>
      <c r="P54" s="21" t="str">
        <f>IFERROR(__xludf.DUMMYFUNCTION("IFERROR((GOOGLEFINANCE(C54, ""price"") / INDEX(GOOGLEFINANCE(C54, ""price"", EDATE(TODAY(), -12), TODAY()), 2, 2)) - 1, """")"),"")</f>
        <v/>
      </c>
      <c r="Q54" s="6" t="str">
        <f>IFERROR(__xludf.DUMMYFUNCTION("AVERAGE(QUERY(GOOGLEFINANCE(C54, ""price"", TODAY()-80, TODAY()), ""SELECT Col2 WHERE Col2 IS NOT NULL ORDER BY Col1 DESC LIMIT 50"", 0))"),"#N/A")</f>
        <v>#N/A</v>
      </c>
      <c r="R54" s="24" t="str">
        <f>IFERROR(__xludf.DUMMYFUNCTION("IFERROR(
  LET(
    data, QUERY(GOOGLEFINANCE(C54,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GOOGLEFINANCE(C54, ""price"")) * 100,
    IF(calc=0, G54, calc)
  ), 
G54)"),"#N/A")</f>
        <v>#N/A</v>
      </c>
      <c r="S54" s="8" t="s">
        <v>15</v>
      </c>
      <c r="T54" s="26" t="str">
        <f>IFERROR(__xludf.DUMMYFUNCTION("IFERROR(TRANSPOSE(QUERY(IFERROR(SORT(GOOGLEFINANCE(C54, ""price"", WORKDAY(TODAY(), -40), TODAY()), 1, FALSE)), ""select Col2 where Col2 is not null limit 22 label Col2 ''"", 0)), """")"),"")</f>
        <v/>
      </c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8"/>
      <c r="AO54" s="28"/>
      <c r="AP54" s="29"/>
      <c r="AQ54" s="29" t="str">
        <f t="shared" ref="AQ54:BL54" si="57">T54/T$2</f>
        <v>#N/A</v>
      </c>
      <c r="AR54" s="29" t="str">
        <f t="shared" si="57"/>
        <v>#DIV/0!</v>
      </c>
      <c r="AS54" s="29" t="str">
        <f t="shared" si="57"/>
        <v>#DIV/0!</v>
      </c>
      <c r="AT54" s="29" t="str">
        <f t="shared" si="57"/>
        <v>#DIV/0!</v>
      </c>
      <c r="AU54" s="29" t="str">
        <f t="shared" si="57"/>
        <v>#DIV/0!</v>
      </c>
      <c r="AV54" s="29" t="str">
        <f t="shared" si="57"/>
        <v>#DIV/0!</v>
      </c>
      <c r="AW54" s="29" t="str">
        <f t="shared" si="57"/>
        <v>#DIV/0!</v>
      </c>
      <c r="AX54" s="29" t="str">
        <f t="shared" si="57"/>
        <v>#DIV/0!</v>
      </c>
      <c r="AY54" s="29" t="str">
        <f t="shared" si="57"/>
        <v>#DIV/0!</v>
      </c>
      <c r="AZ54" s="29" t="str">
        <f t="shared" si="57"/>
        <v>#DIV/0!</v>
      </c>
      <c r="BA54" s="29" t="str">
        <f t="shared" si="57"/>
        <v>#DIV/0!</v>
      </c>
      <c r="BB54" s="29" t="str">
        <f t="shared" si="57"/>
        <v>#DIV/0!</v>
      </c>
      <c r="BC54" s="29" t="str">
        <f t="shared" si="57"/>
        <v>#DIV/0!</v>
      </c>
      <c r="BD54" s="29" t="str">
        <f t="shared" si="57"/>
        <v>#DIV/0!</v>
      </c>
      <c r="BE54" s="29" t="str">
        <f t="shared" si="57"/>
        <v>#DIV/0!</v>
      </c>
      <c r="BF54" s="29" t="str">
        <f t="shared" si="57"/>
        <v>#DIV/0!</v>
      </c>
      <c r="BG54" s="29" t="str">
        <f t="shared" si="57"/>
        <v>#DIV/0!</v>
      </c>
      <c r="BH54" s="29" t="str">
        <f t="shared" si="57"/>
        <v>#DIV/0!</v>
      </c>
      <c r="BI54" s="29" t="str">
        <f t="shared" si="57"/>
        <v>#DIV/0!</v>
      </c>
      <c r="BJ54" s="29" t="str">
        <f t="shared" si="57"/>
        <v>#DIV/0!</v>
      </c>
      <c r="BK54" s="29" t="str">
        <f t="shared" si="57"/>
        <v>#DIV/0!</v>
      </c>
      <c r="BL54" s="29" t="str">
        <f t="shared" si="57"/>
        <v>#DIV/0!</v>
      </c>
      <c r="BM54" s="29" t="str">
        <f t="shared" si="3"/>
        <v>#DIV/0!</v>
      </c>
    </row>
    <row r="55">
      <c r="A55" s="16" t="str">
        <f>IFERROR(__xludf.DUMMYFUNCTION("IFERROR(SPARKLINE(SORT(MAP(TRANSPOSE(AQ55:BL55), LAMBDA(val, IF(ISNUMBER(val), PERCENTRANK(AQ55:BL55, val)+0.01, 0))), SEQUENCE(COLUMNS(AQ55:BL55)), FALSE), {""charttype"",""column""; ""color"",""chartreuse""; ""ymin"", 0; ""ymax"", 1.01; ""highcolor"", "&amp;"""darkgreen""; ""lowcolor"", ""red""}), """")"),"")</f>
        <v/>
      </c>
      <c r="B55" s="17" t="str">
        <f t="shared" si="4"/>
        <v/>
      </c>
      <c r="C55" s="1" t="s">
        <v>2870</v>
      </c>
      <c r="D55" s="30" t="str">
        <f>IFERROR(__xludf.DUMMYFUNCTION("IFERROR(GOOGLEFINANCE(C55, ""NAME""))"),"Ryman Hospitality Properties Inc")</f>
        <v>Ryman Hospitality Properties Inc</v>
      </c>
      <c r="E55" s="30" t="s">
        <v>2674</v>
      </c>
      <c r="F55" s="33" t="str">
        <f>IFERROR(__xludf.DUMMYFUNCTION("( (GOOGLEFINANCE(C55, ""price"") - Q55) / Q55 ) / (R55 / 100)"),"Loading...")</f>
        <v>Loading...</v>
      </c>
      <c r="G55" s="20" t="str">
        <f>IFERROR(__xludf.DUMMYFUNCTION("AVERAGE(ARRAYFORMULA(100 * (QUERY(GOOGLEFINANCE(C55, ""high"", TODAY()-40, TODAY()), ""SELECT Col2 WHERE Col2 IS NOT NULL ORDER BY Col1 DESC LIMIT 20"", 0) / QUERY(GOOGLEFINANCE(C55, ""low"", TODAY()-40, TODAY()), ""SELECT Col2 WHERE Col2 IS NOT NULL ORDE"&amp;"R BY Col1 DESC LIMIT 20"", 0) - 1)))"),"#N/A")</f>
        <v>#N/A</v>
      </c>
      <c r="H55" s="35" t="str">
        <f t="shared" si="6"/>
        <v>Liquid</v>
      </c>
      <c r="I55" s="35" t="str">
        <f t="shared" si="7"/>
        <v>RVol Required</v>
      </c>
      <c r="J55" s="37">
        <f>IFERROR(__xludf.DUMMYFUNCTION("IFERROR(
  IF(C55="""",, 
    IFERROR(
      GOOGLEFINANCE(C55, ""price"") * GOOGLEFINANCE(C55, ""volumeavg""), 
      GOOGLEFINANCE(C55, ""price"") * AVERAGE(QUERY(GOOGLEFINANCE(C55, ""volume"", TODAY()-40, TODAY()), ""SELECT Col2 WHERE Col2 IS NOT NULL "&amp;"ORDER BY Col1 DESC LIMIT 20"", 0))
    )
  ), 
"""")"),6.986435066E7)</f>
        <v>69864350.66</v>
      </c>
      <c r="K55" s="21">
        <f>IFERROR(__xludf.DUMMYFUNCTION("IFERROR(GOOGLEFINANCE(C55, ""changepct"") / 100, """")"),0.0046)</f>
        <v>0.0046</v>
      </c>
      <c r="L55" s="21" t="str">
        <f>IFERROR(__xludf.DUMMYFUNCTION("IFERROR((GOOGLEFINANCE(C55, ""price"") / INDEX(GOOGLEFINANCE(C55, ""price"", TODAY()-7, TODAY()), 2, 2)) - 1, """")"),"")</f>
        <v/>
      </c>
      <c r="M55" s="21" t="str">
        <f>IFERROR(__xludf.DUMMYFUNCTION("IFERROR((GOOGLEFINANCE(C55, ""price"") / INDEX(GOOGLEFINANCE(C55, ""price"", EDATE(TODAY(), -1), TODAY()), 2, 2)) - 1, """")"),"")</f>
        <v/>
      </c>
      <c r="N55" s="21" t="str">
        <f>IFERROR(__xludf.DUMMYFUNCTION("IFERROR((GOOGLEFINANCE(C55, ""price"") / INDEX(GOOGLEFINANCE(C55, ""price"", EDATE(TODAY(), -3), TODAY()), 2, 2)) - 1, """")"),"")</f>
        <v/>
      </c>
      <c r="O55" s="21" t="str">
        <f>IFERROR(__xludf.DUMMYFUNCTION("IFERROR((GOOGLEFINANCE(C55, ""price"") / INDEX(GOOGLEFINANCE(C55, ""price"", EDATE(TODAY(), -6), TODAY()), 2, 2)) - 1, """")"),"")</f>
        <v/>
      </c>
      <c r="P55" s="21" t="str">
        <f>IFERROR(__xludf.DUMMYFUNCTION("IFERROR((GOOGLEFINANCE(C55, ""price"") / INDEX(GOOGLEFINANCE(C55, ""price"", EDATE(TODAY(), -12), TODAY()), 2, 2)) - 1, """")"),"")</f>
        <v/>
      </c>
      <c r="Q55" s="6" t="str">
        <f>IFERROR(__xludf.DUMMYFUNCTION("AVERAGE(QUERY(GOOGLEFINANCE(C55, ""price"", TODAY()-80, TODAY()), ""SELECT Col2 WHERE Col2 IS NOT NULL ORDER BY Col1 DESC LIMIT 50"", 0))"),"#N/A")</f>
        <v>#N/A</v>
      </c>
      <c r="R55" s="24" t="str">
        <f>IFERROR(__xludf.DUMMYFUNCTION("IFERROR(
  LET(
    data, QUERY(GOOGLEFINANCE(C55,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GOOGLEFINANCE(C55, ""price"")) * 100,
    IF(calc=0, G55, calc)
  ), 
G55)"),"#N/A")</f>
        <v>#N/A</v>
      </c>
      <c r="S55" s="8" t="s">
        <v>15</v>
      </c>
      <c r="T55" s="26" t="str">
        <f>IFERROR(__xludf.DUMMYFUNCTION("IFERROR(TRANSPOSE(QUERY(IFERROR(SORT(GOOGLEFINANCE(C55, ""price"", WORKDAY(TODAY(), -40), TODAY()), 1, FALSE)), ""select Col2 where Col2 is not null limit 22 label Col2 ''"", 0)), """")"),"")</f>
        <v/>
      </c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8"/>
      <c r="AO55" s="28"/>
      <c r="AP55" s="29"/>
      <c r="AQ55" s="29" t="str">
        <f t="shared" ref="AQ55:BL55" si="58">T55/T$2</f>
        <v>#N/A</v>
      </c>
      <c r="AR55" s="29" t="str">
        <f t="shared" si="58"/>
        <v>#DIV/0!</v>
      </c>
      <c r="AS55" s="29" t="str">
        <f t="shared" si="58"/>
        <v>#DIV/0!</v>
      </c>
      <c r="AT55" s="29" t="str">
        <f t="shared" si="58"/>
        <v>#DIV/0!</v>
      </c>
      <c r="AU55" s="29" t="str">
        <f t="shared" si="58"/>
        <v>#DIV/0!</v>
      </c>
      <c r="AV55" s="29" t="str">
        <f t="shared" si="58"/>
        <v>#DIV/0!</v>
      </c>
      <c r="AW55" s="29" t="str">
        <f t="shared" si="58"/>
        <v>#DIV/0!</v>
      </c>
      <c r="AX55" s="29" t="str">
        <f t="shared" si="58"/>
        <v>#DIV/0!</v>
      </c>
      <c r="AY55" s="29" t="str">
        <f t="shared" si="58"/>
        <v>#DIV/0!</v>
      </c>
      <c r="AZ55" s="29" t="str">
        <f t="shared" si="58"/>
        <v>#DIV/0!</v>
      </c>
      <c r="BA55" s="29" t="str">
        <f t="shared" si="58"/>
        <v>#DIV/0!</v>
      </c>
      <c r="BB55" s="29" t="str">
        <f t="shared" si="58"/>
        <v>#DIV/0!</v>
      </c>
      <c r="BC55" s="29" t="str">
        <f t="shared" si="58"/>
        <v>#DIV/0!</v>
      </c>
      <c r="BD55" s="29" t="str">
        <f t="shared" si="58"/>
        <v>#DIV/0!</v>
      </c>
      <c r="BE55" s="29" t="str">
        <f t="shared" si="58"/>
        <v>#DIV/0!</v>
      </c>
      <c r="BF55" s="29" t="str">
        <f t="shared" si="58"/>
        <v>#DIV/0!</v>
      </c>
      <c r="BG55" s="29" t="str">
        <f t="shared" si="58"/>
        <v>#DIV/0!</v>
      </c>
      <c r="BH55" s="29" t="str">
        <f t="shared" si="58"/>
        <v>#DIV/0!</v>
      </c>
      <c r="BI55" s="29" t="str">
        <f t="shared" si="58"/>
        <v>#DIV/0!</v>
      </c>
      <c r="BJ55" s="29" t="str">
        <f t="shared" si="58"/>
        <v>#DIV/0!</v>
      </c>
      <c r="BK55" s="29" t="str">
        <f t="shared" si="58"/>
        <v>#DIV/0!</v>
      </c>
      <c r="BL55" s="29" t="str">
        <f t="shared" si="58"/>
        <v>#DIV/0!</v>
      </c>
      <c r="BM55" s="29" t="str">
        <f t="shared" si="3"/>
        <v>#DIV/0!</v>
      </c>
    </row>
    <row r="56">
      <c r="A56" s="16" t="str">
        <f>IFERROR(__xludf.DUMMYFUNCTION("IFERROR(SPARKLINE(SORT(MAP(TRANSPOSE(AQ56:BL56), LAMBDA(val, IF(ISNUMBER(val), PERCENTRANK(AQ56:BL56, val)+0.01, 0))), SEQUENCE(COLUMNS(AQ56:BL56)), FALSE), {""charttype"",""column""; ""color"",""chartreuse""; ""ymin"", 0; ""ymax"", 1.01; ""highcolor"", "&amp;"""darkgreen""; ""lowcolor"", ""red""}), """")"),"")</f>
        <v/>
      </c>
      <c r="B56" s="17" t="str">
        <f t="shared" si="4"/>
        <v/>
      </c>
      <c r="C56" s="1" t="s">
        <v>2874</v>
      </c>
      <c r="D56" s="30" t="str">
        <f>IFERROR(__xludf.DUMMYFUNCTION("IFERROR(GOOGLEFINANCE(C56, ""NAME""))"),"EPR Properties")</f>
        <v>EPR Properties</v>
      </c>
      <c r="E56" s="30" t="s">
        <v>2709</v>
      </c>
      <c r="F56" s="33" t="str">
        <f>IFERROR(__xludf.DUMMYFUNCTION("( (GOOGLEFINANCE(C56, ""price"") - Q56) / Q56 ) / (R56 / 100)"),"Loading...")</f>
        <v>Loading...</v>
      </c>
      <c r="G56" s="20" t="str">
        <f>IFERROR(__xludf.DUMMYFUNCTION("AVERAGE(ARRAYFORMULA(100 * (QUERY(GOOGLEFINANCE(C56, ""high"", TODAY()-40, TODAY()), ""SELECT Col2 WHERE Col2 IS NOT NULL ORDER BY Col1 DESC LIMIT 20"", 0) / QUERY(GOOGLEFINANCE(C56, ""low"", TODAY()-40, TODAY()), ""SELECT Col2 WHERE Col2 IS NOT NULL ORDE"&amp;"R BY Col1 DESC LIMIT 20"", 0) - 1)))"),"#N/A")</f>
        <v>#N/A</v>
      </c>
      <c r="H56" s="35" t="str">
        <f t="shared" si="6"/>
        <v>Liquid</v>
      </c>
      <c r="I56" s="35" t="str">
        <f t="shared" si="7"/>
        <v>RVol Required</v>
      </c>
      <c r="J56" s="37">
        <f>IFERROR(__xludf.DUMMYFUNCTION("IFERROR(
  IF(C56="""",, 
    IFERROR(
      GOOGLEFINANCE(C56, ""price"") * GOOGLEFINANCE(C56, ""volumeavg""), 
      GOOGLEFINANCE(C56, ""price"") * AVERAGE(QUERY(GOOGLEFINANCE(C56, ""volume"", TODAY()-40, TODAY()), ""SELECT Col2 WHERE Col2 IS NOT NULL "&amp;"ORDER BY Col1 DESC LIMIT 20"", 0))
    )
  ), 
"""")"),5.038952787E7)</f>
        <v>50389527.87</v>
      </c>
      <c r="K56" s="21">
        <f>IFERROR(__xludf.DUMMYFUNCTION("IFERROR(GOOGLEFINANCE(C56, ""changepct"") / 100, """")"),0.0102)</f>
        <v>0.0102</v>
      </c>
      <c r="L56" s="21" t="str">
        <f>IFERROR(__xludf.DUMMYFUNCTION("IFERROR((GOOGLEFINANCE(C56, ""price"") / INDEX(GOOGLEFINANCE(C56, ""price"", TODAY()-7, TODAY()), 2, 2)) - 1, """")"),"")</f>
        <v/>
      </c>
      <c r="M56" s="21" t="str">
        <f>IFERROR(__xludf.DUMMYFUNCTION("IFERROR((GOOGLEFINANCE(C56, ""price"") / INDEX(GOOGLEFINANCE(C56, ""price"", EDATE(TODAY(), -1), TODAY()), 2, 2)) - 1, """")"),"")</f>
        <v/>
      </c>
      <c r="N56" s="21" t="str">
        <f>IFERROR(__xludf.DUMMYFUNCTION("IFERROR((GOOGLEFINANCE(C56, ""price"") / INDEX(GOOGLEFINANCE(C56, ""price"", EDATE(TODAY(), -3), TODAY()), 2, 2)) - 1, """")"),"")</f>
        <v/>
      </c>
      <c r="O56" s="21" t="str">
        <f>IFERROR(__xludf.DUMMYFUNCTION("IFERROR((GOOGLEFINANCE(C56, ""price"") / INDEX(GOOGLEFINANCE(C56, ""price"", EDATE(TODAY(), -6), TODAY()), 2, 2)) - 1, """")"),"")</f>
        <v/>
      </c>
      <c r="P56" s="21" t="str">
        <f>IFERROR(__xludf.DUMMYFUNCTION("IFERROR((GOOGLEFINANCE(C56, ""price"") / INDEX(GOOGLEFINANCE(C56, ""price"", EDATE(TODAY(), -12), TODAY()), 2, 2)) - 1, """")"),"")</f>
        <v/>
      </c>
      <c r="Q56" s="6" t="str">
        <f>IFERROR(__xludf.DUMMYFUNCTION("AVERAGE(QUERY(GOOGLEFINANCE(C56, ""price"", TODAY()-80, TODAY()), ""SELECT Col2 WHERE Col2 IS NOT NULL ORDER BY Col1 DESC LIMIT 50"", 0))"),"#N/A")</f>
        <v>#N/A</v>
      </c>
      <c r="R56" s="24" t="str">
        <f>IFERROR(__xludf.DUMMYFUNCTION("IFERROR(
  LET(
    data, QUERY(GOOGLEFINANCE(C56,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GOOGLEFINANCE(C56, ""price"")) * 100,
    IF(calc=0, G56, calc)
  ), 
G56)"),"#N/A")</f>
        <v>#N/A</v>
      </c>
      <c r="S56" s="8" t="s">
        <v>15</v>
      </c>
      <c r="T56" s="26" t="str">
        <f>IFERROR(__xludf.DUMMYFUNCTION("IFERROR(TRANSPOSE(QUERY(IFERROR(SORT(GOOGLEFINANCE(C56, ""price"", WORKDAY(TODAY(), -40), TODAY()), 1, FALSE)), ""select Col2 where Col2 is not null limit 22 label Col2 ''"", 0)), """")"),"")</f>
        <v/>
      </c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8"/>
      <c r="AO56" s="28"/>
      <c r="AP56" s="29"/>
      <c r="AQ56" s="29" t="str">
        <f t="shared" ref="AQ56:BL56" si="59">T56/T$2</f>
        <v>#N/A</v>
      </c>
      <c r="AR56" s="29" t="str">
        <f t="shared" si="59"/>
        <v>#DIV/0!</v>
      </c>
      <c r="AS56" s="29" t="str">
        <f t="shared" si="59"/>
        <v>#DIV/0!</v>
      </c>
      <c r="AT56" s="29" t="str">
        <f t="shared" si="59"/>
        <v>#DIV/0!</v>
      </c>
      <c r="AU56" s="29" t="str">
        <f t="shared" si="59"/>
        <v>#DIV/0!</v>
      </c>
      <c r="AV56" s="29" t="str">
        <f t="shared" si="59"/>
        <v>#DIV/0!</v>
      </c>
      <c r="AW56" s="29" t="str">
        <f t="shared" si="59"/>
        <v>#DIV/0!</v>
      </c>
      <c r="AX56" s="29" t="str">
        <f t="shared" si="59"/>
        <v>#DIV/0!</v>
      </c>
      <c r="AY56" s="29" t="str">
        <f t="shared" si="59"/>
        <v>#DIV/0!</v>
      </c>
      <c r="AZ56" s="29" t="str">
        <f t="shared" si="59"/>
        <v>#DIV/0!</v>
      </c>
      <c r="BA56" s="29" t="str">
        <f t="shared" si="59"/>
        <v>#DIV/0!</v>
      </c>
      <c r="BB56" s="29" t="str">
        <f t="shared" si="59"/>
        <v>#DIV/0!</v>
      </c>
      <c r="BC56" s="29" t="str">
        <f t="shared" si="59"/>
        <v>#DIV/0!</v>
      </c>
      <c r="BD56" s="29" t="str">
        <f t="shared" si="59"/>
        <v>#DIV/0!</v>
      </c>
      <c r="BE56" s="29" t="str">
        <f t="shared" si="59"/>
        <v>#DIV/0!</v>
      </c>
      <c r="BF56" s="29" t="str">
        <f t="shared" si="59"/>
        <v>#DIV/0!</v>
      </c>
      <c r="BG56" s="29" t="str">
        <f t="shared" si="59"/>
        <v>#DIV/0!</v>
      </c>
      <c r="BH56" s="29" t="str">
        <f t="shared" si="59"/>
        <v>#DIV/0!</v>
      </c>
      <c r="BI56" s="29" t="str">
        <f t="shared" si="59"/>
        <v>#DIV/0!</v>
      </c>
      <c r="BJ56" s="29" t="str">
        <f t="shared" si="59"/>
        <v>#DIV/0!</v>
      </c>
      <c r="BK56" s="29" t="str">
        <f t="shared" si="59"/>
        <v>#DIV/0!</v>
      </c>
      <c r="BL56" s="29" t="str">
        <f t="shared" si="59"/>
        <v>#DIV/0!</v>
      </c>
      <c r="BM56" s="29" t="str">
        <f t="shared" si="3"/>
        <v>#DIV/0!</v>
      </c>
    </row>
    <row r="57">
      <c r="A57" s="16" t="str">
        <f>IFERROR(__xludf.DUMMYFUNCTION("IFERROR(SPARKLINE(SORT(MAP(TRANSPOSE(AQ57:BL57), LAMBDA(val, IF(ISNUMBER(val), PERCENTRANK(AQ57:BL57, val)+0.01, 0))), SEQUENCE(COLUMNS(AQ57:BL57)), FALSE), {""charttype"",""column""; ""color"",""chartreuse""; ""ymin"", 0; ""ymax"", 1.01; ""highcolor"", "&amp;"""darkgreen""; ""lowcolor"", ""red""}), """")"),"")</f>
        <v/>
      </c>
      <c r="B57" s="17" t="str">
        <f t="shared" si="4"/>
        <v/>
      </c>
      <c r="C57" s="1" t="s">
        <v>2877</v>
      </c>
      <c r="D57" s="30" t="str">
        <f>IFERROR(__xludf.DUMMYFUNCTION("IFERROR(GOOGLEFINANCE(C57, ""NAME""))"),"Brandywine Realty Trust")</f>
        <v>Brandywine Realty Trust</v>
      </c>
      <c r="E57" s="30" t="s">
        <v>2662</v>
      </c>
      <c r="F57" s="33" t="str">
        <f>IFERROR(__xludf.DUMMYFUNCTION("( (GOOGLEFINANCE(C57, ""price"") - Q57) / Q57 ) / (R57 / 100)"),"Loading...")</f>
        <v>Loading...</v>
      </c>
      <c r="G57" s="20" t="str">
        <f>IFERROR(__xludf.DUMMYFUNCTION("AVERAGE(ARRAYFORMULA(100 * (QUERY(GOOGLEFINANCE(C57, ""high"", TODAY()-40, TODAY()), ""SELECT Col2 WHERE Col2 IS NOT NULL ORDER BY Col1 DESC LIMIT 20"", 0) / QUERY(GOOGLEFINANCE(C57, ""low"", TODAY()-40, TODAY()), ""SELECT Col2 WHERE Col2 IS NOT NULL ORDE"&amp;"R BY Col1 DESC LIMIT 20"", 0) - 1)))"),"#N/A")</f>
        <v>#N/A</v>
      </c>
      <c r="H57" s="35" t="str">
        <f t="shared" si="6"/>
        <v>Illiquid</v>
      </c>
      <c r="I57" s="35" t="str">
        <f t="shared" si="7"/>
        <v>RVol Required</v>
      </c>
      <c r="J57" s="37">
        <f>IFERROR(__xludf.DUMMYFUNCTION("IFERROR(
  IF(C57="""",, 
    IFERROR(
      GOOGLEFINANCE(C57, ""price"") * GOOGLEFINANCE(C57, ""volumeavg""), 
      GOOGLEFINANCE(C57, ""price"") * AVERAGE(QUERY(GOOGLEFINANCE(C57, ""volume"", TODAY()-40, TODAY()), ""SELECT Col2 WHERE Col2 IS NOT NULL "&amp;"ORDER BY Col1 DESC LIMIT 20"", 0))
    )
  ), 
"""")"),4861123.68)</f>
        <v>4861123.68</v>
      </c>
      <c r="K57" s="21">
        <f>IFERROR(__xludf.DUMMYFUNCTION("IFERROR(GOOGLEFINANCE(C57, ""changepct"") / 100, """")"),0.0)</f>
        <v>0</v>
      </c>
      <c r="L57" s="21" t="str">
        <f>IFERROR(__xludf.DUMMYFUNCTION("IFERROR((GOOGLEFINANCE(C57, ""price"") / INDEX(GOOGLEFINANCE(C57, ""price"", TODAY()-7, TODAY()), 2, 2)) - 1, """")"),"")</f>
        <v/>
      </c>
      <c r="M57" s="21" t="str">
        <f>IFERROR(__xludf.DUMMYFUNCTION("IFERROR((GOOGLEFINANCE(C57, ""price"") / INDEX(GOOGLEFINANCE(C57, ""price"", EDATE(TODAY(), -1), TODAY()), 2, 2)) - 1, """")"),"")</f>
        <v/>
      </c>
      <c r="N57" s="21" t="str">
        <f>IFERROR(__xludf.DUMMYFUNCTION("IFERROR((GOOGLEFINANCE(C57, ""price"") / INDEX(GOOGLEFINANCE(C57, ""price"", EDATE(TODAY(), -3), TODAY()), 2, 2)) - 1, """")"),"")</f>
        <v/>
      </c>
      <c r="O57" s="21" t="str">
        <f>IFERROR(__xludf.DUMMYFUNCTION("IFERROR((GOOGLEFINANCE(C57, ""price"") / INDEX(GOOGLEFINANCE(C57, ""price"", EDATE(TODAY(), -6), TODAY()), 2, 2)) - 1, """")"),"")</f>
        <v/>
      </c>
      <c r="P57" s="21" t="str">
        <f>IFERROR(__xludf.DUMMYFUNCTION("IFERROR((GOOGLEFINANCE(C57, ""price"") / INDEX(GOOGLEFINANCE(C57, ""price"", EDATE(TODAY(), -12), TODAY()), 2, 2)) - 1, """")"),"")</f>
        <v/>
      </c>
      <c r="Q57" s="6" t="str">
        <f>IFERROR(__xludf.DUMMYFUNCTION("AVERAGE(QUERY(GOOGLEFINANCE(C57, ""price"", TODAY()-80, TODAY()), ""SELECT Col2 WHERE Col2 IS NOT NULL ORDER BY Col1 DESC LIMIT 50"", 0))"),"#N/A")</f>
        <v>#N/A</v>
      </c>
      <c r="R57" s="24" t="str">
        <f>IFERROR(__xludf.DUMMYFUNCTION("IFERROR(
  LET(
    data, QUERY(GOOGLEFINANCE(C57,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GOOGLEFINANCE(C57, ""price"")) * 100,
    IF(calc=0, G57, calc)
  ), 
G57)"),"#N/A")</f>
        <v>#N/A</v>
      </c>
      <c r="S57" s="8" t="s">
        <v>15</v>
      </c>
      <c r="T57" s="26" t="str">
        <f>IFERROR(__xludf.DUMMYFUNCTION("IFERROR(TRANSPOSE(QUERY(IFERROR(SORT(GOOGLEFINANCE(C57, ""price"", WORKDAY(TODAY(), -40), TODAY()), 1, FALSE)), ""select Col2 where Col2 is not null limit 22 label Col2 ''"", 0)), """")"),"")</f>
        <v/>
      </c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8"/>
      <c r="AO57" s="28"/>
      <c r="AP57" s="29"/>
      <c r="AQ57" s="29" t="str">
        <f t="shared" ref="AQ57:BL57" si="60">T57/T$2</f>
        <v>#N/A</v>
      </c>
      <c r="AR57" s="29" t="str">
        <f t="shared" si="60"/>
        <v>#DIV/0!</v>
      </c>
      <c r="AS57" s="29" t="str">
        <f t="shared" si="60"/>
        <v>#DIV/0!</v>
      </c>
      <c r="AT57" s="29" t="str">
        <f t="shared" si="60"/>
        <v>#DIV/0!</v>
      </c>
      <c r="AU57" s="29" t="str">
        <f t="shared" si="60"/>
        <v>#DIV/0!</v>
      </c>
      <c r="AV57" s="29" t="str">
        <f t="shared" si="60"/>
        <v>#DIV/0!</v>
      </c>
      <c r="AW57" s="29" t="str">
        <f t="shared" si="60"/>
        <v>#DIV/0!</v>
      </c>
      <c r="AX57" s="29" t="str">
        <f t="shared" si="60"/>
        <v>#DIV/0!</v>
      </c>
      <c r="AY57" s="29" t="str">
        <f t="shared" si="60"/>
        <v>#DIV/0!</v>
      </c>
      <c r="AZ57" s="29" t="str">
        <f t="shared" si="60"/>
        <v>#DIV/0!</v>
      </c>
      <c r="BA57" s="29" t="str">
        <f t="shared" si="60"/>
        <v>#DIV/0!</v>
      </c>
      <c r="BB57" s="29" t="str">
        <f t="shared" si="60"/>
        <v>#DIV/0!</v>
      </c>
      <c r="BC57" s="29" t="str">
        <f t="shared" si="60"/>
        <v>#DIV/0!</v>
      </c>
      <c r="BD57" s="29" t="str">
        <f t="shared" si="60"/>
        <v>#DIV/0!</v>
      </c>
      <c r="BE57" s="29" t="str">
        <f t="shared" si="60"/>
        <v>#DIV/0!</v>
      </c>
      <c r="BF57" s="29" t="str">
        <f t="shared" si="60"/>
        <v>#DIV/0!</v>
      </c>
      <c r="BG57" s="29" t="str">
        <f t="shared" si="60"/>
        <v>#DIV/0!</v>
      </c>
      <c r="BH57" s="29" t="str">
        <f t="shared" si="60"/>
        <v>#DIV/0!</v>
      </c>
      <c r="BI57" s="29" t="str">
        <f t="shared" si="60"/>
        <v>#DIV/0!</v>
      </c>
      <c r="BJ57" s="29" t="str">
        <f t="shared" si="60"/>
        <v>#DIV/0!</v>
      </c>
      <c r="BK57" s="29" t="str">
        <f t="shared" si="60"/>
        <v>#DIV/0!</v>
      </c>
      <c r="BL57" s="29" t="str">
        <f t="shared" si="60"/>
        <v>#DIV/0!</v>
      </c>
      <c r="BM57" s="29" t="str">
        <f t="shared" si="3"/>
        <v>#DIV/0!</v>
      </c>
    </row>
    <row r="58">
      <c r="A58" s="16" t="str">
        <f>IFERROR(__xludf.DUMMYFUNCTION("IFERROR(SPARKLINE(SORT(MAP(TRANSPOSE(AQ58:BL58), LAMBDA(val, IF(ISNUMBER(val), PERCENTRANK(AQ58:BL58, val)+0.01, 0))), SEQUENCE(COLUMNS(AQ58:BL58)), FALSE), {""charttype"",""column""; ""color"",""chartreuse""; ""ymin"", 0; ""ymax"", 1.01; ""highcolor"", "&amp;"""darkgreen""; ""lowcolor"", ""red""}), """")"),"")</f>
        <v/>
      </c>
      <c r="B58" s="17" t="str">
        <f t="shared" si="4"/>
        <v/>
      </c>
      <c r="C58" s="1" t="s">
        <v>2881</v>
      </c>
      <c r="D58" s="30" t="str">
        <f>IFERROR(__xludf.DUMMYFUNCTION("IFERROR(GOOGLEFINANCE(C58, ""NAME""))"),"Welltower Inc")</f>
        <v>Welltower Inc</v>
      </c>
      <c r="E58" s="30" t="s">
        <v>2668</v>
      </c>
      <c r="F58" s="33" t="str">
        <f>IFERROR(__xludf.DUMMYFUNCTION("( (GOOGLEFINANCE(C58, ""price"") - Q58) / Q58 ) / (R58 / 100)"),"Loading...")</f>
        <v>Loading...</v>
      </c>
      <c r="G58" s="20" t="str">
        <f>IFERROR(__xludf.DUMMYFUNCTION("AVERAGE(ARRAYFORMULA(100 * (QUERY(GOOGLEFINANCE(C58, ""high"", TODAY()-40, TODAY()), ""SELECT Col2 WHERE Col2 IS NOT NULL ORDER BY Col1 DESC LIMIT 20"", 0) / QUERY(GOOGLEFINANCE(C58, ""low"", TODAY()-40, TODAY()), ""SELECT Col2 WHERE Col2 IS NOT NULL ORDE"&amp;"R BY Col1 DESC LIMIT 20"", 0) - 1)))"),"#N/A")</f>
        <v>#N/A</v>
      </c>
      <c r="H58" s="35" t="str">
        <f t="shared" si="6"/>
        <v>Liquid</v>
      </c>
      <c r="I58" s="35" t="str">
        <f t="shared" si="7"/>
        <v>No RVol Required</v>
      </c>
      <c r="J58" s="37">
        <f>IFERROR(__xludf.DUMMYFUNCTION("IFERROR(
  IF(C58="""",, 
    IFERROR(
      GOOGLEFINANCE(C58, ""price"") * GOOGLEFINANCE(C58, ""volumeavg""), 
      GOOGLEFINANCE(C58, ""price"") * AVERAGE(QUERY(GOOGLEFINANCE(C58, ""volume"", TODAY()-40, TODAY()), ""SELECT Col2 WHERE Col2 IS NOT NULL "&amp;"ORDER BY Col1 DESC LIMIT 20"", 0))
    )
  ), 
"""")"),6.20220062E8)</f>
        <v>620220062</v>
      </c>
      <c r="K58" s="21">
        <f>IFERROR(__xludf.DUMMYFUNCTION("IFERROR(GOOGLEFINANCE(C58, ""changepct"") / 100, """")"),9.0E-4)</f>
        <v>0.0009</v>
      </c>
      <c r="L58" s="21" t="str">
        <f>IFERROR(__xludf.DUMMYFUNCTION("IFERROR((GOOGLEFINANCE(C58, ""price"") / INDEX(GOOGLEFINANCE(C58, ""price"", TODAY()-7, TODAY()), 2, 2)) - 1, """")"),"")</f>
        <v/>
      </c>
      <c r="M58" s="21" t="str">
        <f>IFERROR(__xludf.DUMMYFUNCTION("IFERROR((GOOGLEFINANCE(C58, ""price"") / INDEX(GOOGLEFINANCE(C58, ""price"", EDATE(TODAY(), -1), TODAY()), 2, 2)) - 1, """")"),"")</f>
        <v/>
      </c>
      <c r="N58" s="21" t="str">
        <f>IFERROR(__xludf.DUMMYFUNCTION("IFERROR((GOOGLEFINANCE(C58, ""price"") / INDEX(GOOGLEFINANCE(C58, ""price"", EDATE(TODAY(), -3), TODAY()), 2, 2)) - 1, """")"),"")</f>
        <v/>
      </c>
      <c r="O58" s="21" t="str">
        <f>IFERROR(__xludf.DUMMYFUNCTION("IFERROR((GOOGLEFINANCE(C58, ""price"") / INDEX(GOOGLEFINANCE(C58, ""price"", EDATE(TODAY(), -6), TODAY()), 2, 2)) - 1, """")"),"")</f>
        <v/>
      </c>
      <c r="P58" s="21" t="str">
        <f>IFERROR(__xludf.DUMMYFUNCTION("IFERROR((GOOGLEFINANCE(C58, ""price"") / INDEX(GOOGLEFINANCE(C58, ""price"", EDATE(TODAY(), -12), TODAY()), 2, 2)) - 1, """")"),"")</f>
        <v/>
      </c>
      <c r="Q58" s="6" t="str">
        <f>IFERROR(__xludf.DUMMYFUNCTION("AVERAGE(QUERY(GOOGLEFINANCE(C58, ""price"", TODAY()-80, TODAY()), ""SELECT Col2 WHERE Col2 IS NOT NULL ORDER BY Col1 DESC LIMIT 50"", 0))"),"#N/A")</f>
        <v>#N/A</v>
      </c>
      <c r="R58" s="24" t="str">
        <f>IFERROR(__xludf.DUMMYFUNCTION("IFERROR(
  LET(
    data, QUERY(GOOGLEFINANCE(C58,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GOOGLEFINANCE(C58, ""price"")) * 100,
    IF(calc=0, G58, calc)
  ), 
G58)"),"#N/A")</f>
        <v>#N/A</v>
      </c>
      <c r="S58" s="8" t="s">
        <v>15</v>
      </c>
      <c r="T58" s="26" t="str">
        <f>IFERROR(__xludf.DUMMYFUNCTION("IFERROR(TRANSPOSE(QUERY(IFERROR(SORT(GOOGLEFINANCE(C58, ""price"", WORKDAY(TODAY(), -40), TODAY()), 1, FALSE)), ""select Col2 where Col2 is not null limit 22 label Col2 ''"", 0)), """")"),"")</f>
        <v/>
      </c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8"/>
      <c r="AO58" s="28"/>
      <c r="AP58" s="29"/>
      <c r="AQ58" s="29" t="str">
        <f t="shared" ref="AQ58:BL58" si="61">T58/T$2</f>
        <v>#N/A</v>
      </c>
      <c r="AR58" s="29" t="str">
        <f t="shared" si="61"/>
        <v>#DIV/0!</v>
      </c>
      <c r="AS58" s="29" t="str">
        <f t="shared" si="61"/>
        <v>#DIV/0!</v>
      </c>
      <c r="AT58" s="29" t="str">
        <f t="shared" si="61"/>
        <v>#DIV/0!</v>
      </c>
      <c r="AU58" s="29" t="str">
        <f t="shared" si="61"/>
        <v>#DIV/0!</v>
      </c>
      <c r="AV58" s="29" t="str">
        <f t="shared" si="61"/>
        <v>#DIV/0!</v>
      </c>
      <c r="AW58" s="29" t="str">
        <f t="shared" si="61"/>
        <v>#DIV/0!</v>
      </c>
      <c r="AX58" s="29" t="str">
        <f t="shared" si="61"/>
        <v>#DIV/0!</v>
      </c>
      <c r="AY58" s="29" t="str">
        <f t="shared" si="61"/>
        <v>#DIV/0!</v>
      </c>
      <c r="AZ58" s="29" t="str">
        <f t="shared" si="61"/>
        <v>#DIV/0!</v>
      </c>
      <c r="BA58" s="29" t="str">
        <f t="shared" si="61"/>
        <v>#DIV/0!</v>
      </c>
      <c r="BB58" s="29" t="str">
        <f t="shared" si="61"/>
        <v>#DIV/0!</v>
      </c>
      <c r="BC58" s="29" t="str">
        <f t="shared" si="61"/>
        <v>#DIV/0!</v>
      </c>
      <c r="BD58" s="29" t="str">
        <f t="shared" si="61"/>
        <v>#DIV/0!</v>
      </c>
      <c r="BE58" s="29" t="str">
        <f t="shared" si="61"/>
        <v>#DIV/0!</v>
      </c>
      <c r="BF58" s="29" t="str">
        <f t="shared" si="61"/>
        <v>#DIV/0!</v>
      </c>
      <c r="BG58" s="29" t="str">
        <f t="shared" si="61"/>
        <v>#DIV/0!</v>
      </c>
      <c r="BH58" s="29" t="str">
        <f t="shared" si="61"/>
        <v>#DIV/0!</v>
      </c>
      <c r="BI58" s="29" t="str">
        <f t="shared" si="61"/>
        <v>#DIV/0!</v>
      </c>
      <c r="BJ58" s="29" t="str">
        <f t="shared" si="61"/>
        <v>#DIV/0!</v>
      </c>
      <c r="BK58" s="29" t="str">
        <f t="shared" si="61"/>
        <v>#DIV/0!</v>
      </c>
      <c r="BL58" s="29" t="str">
        <f t="shared" si="61"/>
        <v>#DIV/0!</v>
      </c>
      <c r="BM58" s="29" t="str">
        <f t="shared" si="3"/>
        <v>#DIV/0!</v>
      </c>
    </row>
    <row r="59">
      <c r="A59" s="16" t="str">
        <f>IFERROR(__xludf.DUMMYFUNCTION("IFERROR(SPARKLINE(SORT(MAP(TRANSPOSE(AQ59:BL59), LAMBDA(val, IF(ISNUMBER(val), PERCENTRANK(AQ59:BL59, val)+0.01, 0))), SEQUENCE(COLUMNS(AQ59:BL59)), FALSE), {""charttype"",""column""; ""color"",""chartreuse""; ""ymin"", 0; ""ymax"", 1.01; ""highcolor"", "&amp;"""darkgreen""; ""lowcolor"", ""red""}), """")"),"")</f>
        <v/>
      </c>
      <c r="B59" s="17" t="str">
        <f t="shared" si="4"/>
        <v/>
      </c>
      <c r="C59" s="1" t="s">
        <v>2886</v>
      </c>
      <c r="D59" s="30" t="str">
        <f>IFERROR(__xludf.DUMMYFUNCTION("IFERROR(GOOGLEFINANCE(C59, ""NAME""))"),"Macerich Co")</f>
        <v>Macerich Co</v>
      </c>
      <c r="E59" s="30" t="s">
        <v>2751</v>
      </c>
      <c r="F59" s="33" t="str">
        <f>IFERROR(__xludf.DUMMYFUNCTION("( (GOOGLEFINANCE(C59, ""price"") - Q59) / Q59 ) / (R59 / 100)"),"Loading...")</f>
        <v>Loading...</v>
      </c>
      <c r="G59" s="20" t="str">
        <f>IFERROR(__xludf.DUMMYFUNCTION("AVERAGE(ARRAYFORMULA(100 * (QUERY(GOOGLEFINANCE(C59, ""high"", TODAY()-40, TODAY()), ""SELECT Col2 WHERE Col2 IS NOT NULL ORDER BY Col1 DESC LIMIT 20"", 0) / QUERY(GOOGLEFINANCE(C59, ""low"", TODAY()-40, TODAY()), ""SELECT Col2 WHERE Col2 IS NOT NULL ORDE"&amp;"R BY Col1 DESC LIMIT 20"", 0) - 1)))"),"#N/A")</f>
        <v>#N/A</v>
      </c>
      <c r="H59" s="35" t="str">
        <f t="shared" si="6"/>
        <v>Liquid</v>
      </c>
      <c r="I59" s="35" t="str">
        <f t="shared" si="7"/>
        <v>RVol Required</v>
      </c>
      <c r="J59" s="37">
        <f>IFERROR(__xludf.DUMMYFUNCTION("IFERROR(
  IF(C59="""",, 
    IFERROR(
      GOOGLEFINANCE(C59, ""price"") * GOOGLEFINANCE(C59, ""volumeavg""), 
      GOOGLEFINANCE(C59, ""price"") * AVERAGE(QUERY(GOOGLEFINANCE(C59, ""volume"", TODAY()-40, TODAY()), ""SELECT Col2 WHERE Col2 IS NOT NULL "&amp;"ORDER BY Col1 DESC LIMIT 20"", 0))
    )
  ), 
"""")"),8.118522832000001E7)</f>
        <v>81185228.32</v>
      </c>
      <c r="K59" s="21">
        <f>IFERROR(__xludf.DUMMYFUNCTION("IFERROR(GOOGLEFINANCE(C59, ""changepct"") / 100, """")"),-0.005600000000000001)</f>
        <v>-0.0056</v>
      </c>
      <c r="L59" s="21" t="str">
        <f>IFERROR(__xludf.DUMMYFUNCTION("IFERROR((GOOGLEFINANCE(C59, ""price"") / INDEX(GOOGLEFINANCE(C59, ""price"", TODAY()-7, TODAY()), 2, 2)) - 1, """")"),"")</f>
        <v/>
      </c>
      <c r="M59" s="21" t="str">
        <f>IFERROR(__xludf.DUMMYFUNCTION("IFERROR((GOOGLEFINANCE(C59, ""price"") / INDEX(GOOGLEFINANCE(C59, ""price"", EDATE(TODAY(), -1), TODAY()), 2, 2)) - 1, """")"),"")</f>
        <v/>
      </c>
      <c r="N59" s="21" t="str">
        <f>IFERROR(__xludf.DUMMYFUNCTION("IFERROR((GOOGLEFINANCE(C59, ""price"") / INDEX(GOOGLEFINANCE(C59, ""price"", EDATE(TODAY(), -3), TODAY()), 2, 2)) - 1, """")"),"")</f>
        <v/>
      </c>
      <c r="O59" s="21" t="str">
        <f>IFERROR(__xludf.DUMMYFUNCTION("IFERROR((GOOGLEFINANCE(C59, ""price"") / INDEX(GOOGLEFINANCE(C59, ""price"", EDATE(TODAY(), -6), TODAY()), 2, 2)) - 1, """")"),"")</f>
        <v/>
      </c>
      <c r="P59" s="21" t="str">
        <f>IFERROR(__xludf.DUMMYFUNCTION("IFERROR((GOOGLEFINANCE(C59, ""price"") / INDEX(GOOGLEFINANCE(C59, ""price"", EDATE(TODAY(), -12), TODAY()), 2, 2)) - 1, """")"),"")</f>
        <v/>
      </c>
      <c r="Q59" s="6" t="str">
        <f>IFERROR(__xludf.DUMMYFUNCTION("AVERAGE(QUERY(GOOGLEFINANCE(C59, ""price"", TODAY()-80, TODAY()), ""SELECT Col2 WHERE Col2 IS NOT NULL ORDER BY Col1 DESC LIMIT 50"", 0))"),"#N/A")</f>
        <v>#N/A</v>
      </c>
      <c r="R59" s="24" t="str">
        <f>IFERROR(__xludf.DUMMYFUNCTION("IFERROR(
  LET(
    data, QUERY(GOOGLEFINANCE(C59,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GOOGLEFINANCE(C59, ""price"")) * 100,
    IF(calc=0, G59, calc)
  ), 
G59)"),"#N/A")</f>
        <v>#N/A</v>
      </c>
      <c r="S59" s="8" t="s">
        <v>15</v>
      </c>
      <c r="T59" s="26" t="str">
        <f>IFERROR(__xludf.DUMMYFUNCTION("IFERROR(TRANSPOSE(QUERY(IFERROR(SORT(GOOGLEFINANCE(C59, ""price"", WORKDAY(TODAY(), -40), TODAY()), 1, FALSE)), ""select Col2 where Col2 is not null limit 22 label Col2 ''"", 0)), """")"),"")</f>
        <v/>
      </c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8"/>
      <c r="AO59" s="28"/>
      <c r="AP59" s="29"/>
      <c r="AQ59" s="29" t="str">
        <f t="shared" ref="AQ59:BL59" si="62">T59/T$2</f>
        <v>#N/A</v>
      </c>
      <c r="AR59" s="29" t="str">
        <f t="shared" si="62"/>
        <v>#DIV/0!</v>
      </c>
      <c r="AS59" s="29" t="str">
        <f t="shared" si="62"/>
        <v>#DIV/0!</v>
      </c>
      <c r="AT59" s="29" t="str">
        <f t="shared" si="62"/>
        <v>#DIV/0!</v>
      </c>
      <c r="AU59" s="29" t="str">
        <f t="shared" si="62"/>
        <v>#DIV/0!</v>
      </c>
      <c r="AV59" s="29" t="str">
        <f t="shared" si="62"/>
        <v>#DIV/0!</v>
      </c>
      <c r="AW59" s="29" t="str">
        <f t="shared" si="62"/>
        <v>#DIV/0!</v>
      </c>
      <c r="AX59" s="29" t="str">
        <f t="shared" si="62"/>
        <v>#DIV/0!</v>
      </c>
      <c r="AY59" s="29" t="str">
        <f t="shared" si="62"/>
        <v>#DIV/0!</v>
      </c>
      <c r="AZ59" s="29" t="str">
        <f t="shared" si="62"/>
        <v>#DIV/0!</v>
      </c>
      <c r="BA59" s="29" t="str">
        <f t="shared" si="62"/>
        <v>#DIV/0!</v>
      </c>
      <c r="BB59" s="29" t="str">
        <f t="shared" si="62"/>
        <v>#DIV/0!</v>
      </c>
      <c r="BC59" s="29" t="str">
        <f t="shared" si="62"/>
        <v>#DIV/0!</v>
      </c>
      <c r="BD59" s="29" t="str">
        <f t="shared" si="62"/>
        <v>#DIV/0!</v>
      </c>
      <c r="BE59" s="29" t="str">
        <f t="shared" si="62"/>
        <v>#DIV/0!</v>
      </c>
      <c r="BF59" s="29" t="str">
        <f t="shared" si="62"/>
        <v>#DIV/0!</v>
      </c>
      <c r="BG59" s="29" t="str">
        <f t="shared" si="62"/>
        <v>#DIV/0!</v>
      </c>
      <c r="BH59" s="29" t="str">
        <f t="shared" si="62"/>
        <v>#DIV/0!</v>
      </c>
      <c r="BI59" s="29" t="str">
        <f t="shared" si="62"/>
        <v>#DIV/0!</v>
      </c>
      <c r="BJ59" s="29" t="str">
        <f t="shared" si="62"/>
        <v>#DIV/0!</v>
      </c>
      <c r="BK59" s="29" t="str">
        <f t="shared" si="62"/>
        <v>#DIV/0!</v>
      </c>
      <c r="BL59" s="29" t="str">
        <f t="shared" si="62"/>
        <v>#DIV/0!</v>
      </c>
      <c r="BM59" s="29" t="str">
        <f t="shared" si="3"/>
        <v>#DIV/0!</v>
      </c>
    </row>
    <row r="60">
      <c r="A60" s="16" t="str">
        <f>IFERROR(__xludf.DUMMYFUNCTION("IFERROR(SPARKLINE(SORT(MAP(TRANSPOSE(AQ60:BL60), LAMBDA(val, IF(ISNUMBER(val), PERCENTRANK(AQ60:BL60, val)+0.01, 0))), SEQUENCE(COLUMNS(AQ60:BL60)), FALSE), {""charttype"",""column""; ""color"",""chartreuse""; ""ymin"", 0; ""ymax"", 1.01; ""highcolor"", "&amp;"""darkgreen""; ""lowcolor"", ""red""}), """")"),"")</f>
        <v/>
      </c>
      <c r="B60" s="17" t="str">
        <f t="shared" si="4"/>
        <v/>
      </c>
      <c r="C60" s="1" t="s">
        <v>2889</v>
      </c>
      <c r="D60" s="30" t="str">
        <f>IFERROR(__xludf.DUMMYFUNCTION("IFERROR(GOOGLEFINANCE(C60, ""NAME""))"),"W.p. Carey Inc")</f>
        <v>W.p. Carey Inc</v>
      </c>
      <c r="E60" s="30" t="s">
        <v>2784</v>
      </c>
      <c r="F60" s="33" t="str">
        <f>IFERROR(__xludf.DUMMYFUNCTION("( (GOOGLEFINANCE(C60, ""price"") - Q60) / Q60 ) / (R60 / 100)"),"Loading...")</f>
        <v>Loading...</v>
      </c>
      <c r="G60" s="20" t="str">
        <f>IFERROR(__xludf.DUMMYFUNCTION("AVERAGE(ARRAYFORMULA(100 * (QUERY(GOOGLEFINANCE(C60, ""high"", TODAY()-40, TODAY()), ""SELECT Col2 WHERE Col2 IS NOT NULL ORDER BY Col1 DESC LIMIT 20"", 0) / QUERY(GOOGLEFINANCE(C60, ""low"", TODAY()-40, TODAY()), ""SELECT Col2 WHERE Col2 IS NOT NULL ORDE"&amp;"R BY Col1 DESC LIMIT 20"", 0) - 1)))"),"#N/A")</f>
        <v>#N/A</v>
      </c>
      <c r="H60" s="35" t="str">
        <f t="shared" si="6"/>
        <v>Liquid</v>
      </c>
      <c r="I60" s="35" t="str">
        <f t="shared" si="7"/>
        <v>RVol Required</v>
      </c>
      <c r="J60" s="37">
        <f>IFERROR(__xludf.DUMMYFUNCTION("IFERROR(
  IF(C60="""",, 
    IFERROR(
      GOOGLEFINANCE(C60, ""price"") * GOOGLEFINANCE(C60, ""volumeavg""), 
      GOOGLEFINANCE(C60, ""price"") * AVERAGE(QUERY(GOOGLEFINANCE(C60, ""volume"", TODAY()-40, TODAY()), ""SELECT Col2 WHERE Col2 IS NOT NULL "&amp;"ORDER BY Col1 DESC LIMIT 20"", 0))
    )
  ), 
"""")"),1.078268934E8)</f>
        <v>107826893.4</v>
      </c>
      <c r="K60" s="21">
        <f>IFERROR(__xludf.DUMMYFUNCTION("IFERROR(GOOGLEFINANCE(C60, ""changepct"") / 100, """")"),0.010700000000000001)</f>
        <v>0.0107</v>
      </c>
      <c r="L60" s="21" t="str">
        <f>IFERROR(__xludf.DUMMYFUNCTION("IFERROR((GOOGLEFINANCE(C60, ""price"") / INDEX(GOOGLEFINANCE(C60, ""price"", TODAY()-7, TODAY()), 2, 2)) - 1, """")"),"")</f>
        <v/>
      </c>
      <c r="M60" s="21" t="str">
        <f>IFERROR(__xludf.DUMMYFUNCTION("IFERROR((GOOGLEFINANCE(C60, ""price"") / INDEX(GOOGLEFINANCE(C60, ""price"", EDATE(TODAY(), -1), TODAY()), 2, 2)) - 1, """")"),"")</f>
        <v/>
      </c>
      <c r="N60" s="21" t="str">
        <f>IFERROR(__xludf.DUMMYFUNCTION("IFERROR((GOOGLEFINANCE(C60, ""price"") / INDEX(GOOGLEFINANCE(C60, ""price"", EDATE(TODAY(), -3), TODAY()), 2, 2)) - 1, """")"),"")</f>
        <v/>
      </c>
      <c r="O60" s="21" t="str">
        <f>IFERROR(__xludf.DUMMYFUNCTION("IFERROR((GOOGLEFINANCE(C60, ""price"") / INDEX(GOOGLEFINANCE(C60, ""price"", EDATE(TODAY(), -6), TODAY()), 2, 2)) - 1, """")"),"")</f>
        <v/>
      </c>
      <c r="P60" s="21" t="str">
        <f>IFERROR(__xludf.DUMMYFUNCTION("IFERROR((GOOGLEFINANCE(C60, ""price"") / INDEX(GOOGLEFINANCE(C60, ""price"", EDATE(TODAY(), -12), TODAY()), 2, 2)) - 1, """")"),"")</f>
        <v/>
      </c>
      <c r="Q60" s="6" t="str">
        <f>IFERROR(__xludf.DUMMYFUNCTION("AVERAGE(QUERY(GOOGLEFINANCE(C60, ""price"", TODAY()-80, TODAY()), ""SELECT Col2 WHERE Col2 IS NOT NULL ORDER BY Col1 DESC LIMIT 50"", 0))"),"#N/A")</f>
        <v>#N/A</v>
      </c>
      <c r="R60" s="24" t="str">
        <f>IFERROR(__xludf.DUMMYFUNCTION("IFERROR(
  LET(
    data, QUERY(GOOGLEFINANCE(C60,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GOOGLEFINANCE(C60, ""price"")) * 100,
    IF(calc=0, G60, calc)
  ), 
G60)"),"#N/A")</f>
        <v>#N/A</v>
      </c>
      <c r="S60" s="8" t="s">
        <v>15</v>
      </c>
      <c r="T60" s="26" t="str">
        <f>IFERROR(__xludf.DUMMYFUNCTION("IFERROR(TRANSPOSE(QUERY(IFERROR(SORT(GOOGLEFINANCE(C60, ""price"", WORKDAY(TODAY(), -40), TODAY()), 1, FALSE)), ""select Col2 where Col2 is not null limit 22 label Col2 ''"", 0)), """")"),"")</f>
        <v/>
      </c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8"/>
      <c r="AO60" s="28"/>
      <c r="AP60" s="29"/>
      <c r="AQ60" s="29" t="str">
        <f t="shared" ref="AQ60:BL60" si="63">T60/T$2</f>
        <v>#N/A</v>
      </c>
      <c r="AR60" s="29" t="str">
        <f t="shared" si="63"/>
        <v>#DIV/0!</v>
      </c>
      <c r="AS60" s="29" t="str">
        <f t="shared" si="63"/>
        <v>#DIV/0!</v>
      </c>
      <c r="AT60" s="29" t="str">
        <f t="shared" si="63"/>
        <v>#DIV/0!</v>
      </c>
      <c r="AU60" s="29" t="str">
        <f t="shared" si="63"/>
        <v>#DIV/0!</v>
      </c>
      <c r="AV60" s="29" t="str">
        <f t="shared" si="63"/>
        <v>#DIV/0!</v>
      </c>
      <c r="AW60" s="29" t="str">
        <f t="shared" si="63"/>
        <v>#DIV/0!</v>
      </c>
      <c r="AX60" s="29" t="str">
        <f t="shared" si="63"/>
        <v>#DIV/0!</v>
      </c>
      <c r="AY60" s="29" t="str">
        <f t="shared" si="63"/>
        <v>#DIV/0!</v>
      </c>
      <c r="AZ60" s="29" t="str">
        <f t="shared" si="63"/>
        <v>#DIV/0!</v>
      </c>
      <c r="BA60" s="29" t="str">
        <f t="shared" si="63"/>
        <v>#DIV/0!</v>
      </c>
      <c r="BB60" s="29" t="str">
        <f t="shared" si="63"/>
        <v>#DIV/0!</v>
      </c>
      <c r="BC60" s="29" t="str">
        <f t="shared" si="63"/>
        <v>#DIV/0!</v>
      </c>
      <c r="BD60" s="29" t="str">
        <f t="shared" si="63"/>
        <v>#DIV/0!</v>
      </c>
      <c r="BE60" s="29" t="str">
        <f t="shared" si="63"/>
        <v>#DIV/0!</v>
      </c>
      <c r="BF60" s="29" t="str">
        <f t="shared" si="63"/>
        <v>#DIV/0!</v>
      </c>
      <c r="BG60" s="29" t="str">
        <f t="shared" si="63"/>
        <v>#DIV/0!</v>
      </c>
      <c r="BH60" s="29" t="str">
        <f t="shared" si="63"/>
        <v>#DIV/0!</v>
      </c>
      <c r="BI60" s="29" t="str">
        <f t="shared" si="63"/>
        <v>#DIV/0!</v>
      </c>
      <c r="BJ60" s="29" t="str">
        <f t="shared" si="63"/>
        <v>#DIV/0!</v>
      </c>
      <c r="BK60" s="29" t="str">
        <f t="shared" si="63"/>
        <v>#DIV/0!</v>
      </c>
      <c r="BL60" s="29" t="str">
        <f t="shared" si="63"/>
        <v>#DIV/0!</v>
      </c>
      <c r="BM60" s="29" t="str">
        <f t="shared" si="3"/>
        <v>#DIV/0!</v>
      </c>
    </row>
    <row r="61">
      <c r="A61" s="16" t="str">
        <f>IFERROR(__xludf.DUMMYFUNCTION("IFERROR(SPARKLINE(SORT(MAP(TRANSPOSE(AQ61:BL61), LAMBDA(val, IF(ISNUMBER(val), PERCENTRANK(AQ61:BL61, val)+0.01, 0))), SEQUENCE(COLUMNS(AQ61:BL61)), FALSE), {""charttype"",""column""; ""color"",""chartreuse""; ""ymin"", 0; ""ymax"", 1.01; ""highcolor"", "&amp;"""darkgreen""; ""lowcolor"", ""red""}), """")"),"")</f>
        <v/>
      </c>
      <c r="B61" s="17" t="str">
        <f t="shared" si="4"/>
        <v/>
      </c>
      <c r="C61" s="1" t="s">
        <v>2895</v>
      </c>
      <c r="D61" s="30" t="str">
        <f>IFERROR(__xludf.DUMMYFUNCTION("IFERROR(GOOGLEFINANCE(C61, ""NAME""))"),"Extra Space Storage Inc.")</f>
        <v>Extra Space Storage Inc.</v>
      </c>
      <c r="E61" s="30" t="s">
        <v>2704</v>
      </c>
      <c r="F61" s="33" t="str">
        <f>IFERROR(__xludf.DUMMYFUNCTION("( (GOOGLEFINANCE(C61, ""price"") - Q61) / Q61 ) / (R61 / 100)"),"Loading...")</f>
        <v>Loading...</v>
      </c>
      <c r="G61" s="20" t="str">
        <f>IFERROR(__xludf.DUMMYFUNCTION("AVERAGE(ARRAYFORMULA(100 * (QUERY(GOOGLEFINANCE(C61, ""high"", TODAY()-40, TODAY()), ""SELECT Col2 WHERE Col2 IS NOT NULL ORDER BY Col1 DESC LIMIT 20"", 0) / QUERY(GOOGLEFINANCE(C61, ""low"", TODAY()-40, TODAY()), ""SELECT Col2 WHERE Col2 IS NOT NULL ORDE"&amp;"R BY Col1 DESC LIMIT 20"", 0) - 1)))"),"#N/A")</f>
        <v>#N/A</v>
      </c>
      <c r="H61" s="35" t="str">
        <f t="shared" si="6"/>
        <v>Liquid</v>
      </c>
      <c r="I61" s="35" t="str">
        <f t="shared" si="7"/>
        <v>RVol Required</v>
      </c>
      <c r="J61" s="37">
        <f>IFERROR(__xludf.DUMMYFUNCTION("IFERROR(
  IF(C61="""",, 
    IFERROR(
      GOOGLEFINANCE(C61, ""price"") * GOOGLEFINANCE(C61, ""volumeavg""), 
      GOOGLEFINANCE(C61, ""price"") * AVERAGE(QUERY(GOOGLEFINANCE(C61, ""volume"", TODAY()-40, TODAY()), ""SELECT Col2 WHERE Col2 IS NOT NULL "&amp;"ORDER BY Col1 DESC LIMIT 20"", 0))
    )
  ), 
"""")"),2.1155466286E8)</f>
        <v>211554662.9</v>
      </c>
      <c r="K61" s="21">
        <f>IFERROR(__xludf.DUMMYFUNCTION("IFERROR(GOOGLEFINANCE(C61, ""changepct"") / 100, """")"),0.0139)</f>
        <v>0.0139</v>
      </c>
      <c r="L61" s="21" t="str">
        <f>IFERROR(__xludf.DUMMYFUNCTION("IFERROR((GOOGLEFINANCE(C61, ""price"") / INDEX(GOOGLEFINANCE(C61, ""price"", TODAY()-7, TODAY()), 2, 2)) - 1, """")"),"")</f>
        <v/>
      </c>
      <c r="M61" s="21" t="str">
        <f>IFERROR(__xludf.DUMMYFUNCTION("IFERROR((GOOGLEFINANCE(C61, ""price"") / INDEX(GOOGLEFINANCE(C61, ""price"", EDATE(TODAY(), -1), TODAY()), 2, 2)) - 1, """")"),"")</f>
        <v/>
      </c>
      <c r="N61" s="21" t="str">
        <f>IFERROR(__xludf.DUMMYFUNCTION("IFERROR((GOOGLEFINANCE(C61, ""price"") / INDEX(GOOGLEFINANCE(C61, ""price"", EDATE(TODAY(), -3), TODAY()), 2, 2)) - 1, """")"),"")</f>
        <v/>
      </c>
      <c r="O61" s="21" t="str">
        <f>IFERROR(__xludf.DUMMYFUNCTION("IFERROR((GOOGLEFINANCE(C61, ""price"") / INDEX(GOOGLEFINANCE(C61, ""price"", EDATE(TODAY(), -6), TODAY()), 2, 2)) - 1, """")"),"")</f>
        <v/>
      </c>
      <c r="P61" s="21" t="str">
        <f>IFERROR(__xludf.DUMMYFUNCTION("IFERROR((GOOGLEFINANCE(C61, ""price"") / INDEX(GOOGLEFINANCE(C61, ""price"", EDATE(TODAY(), -12), TODAY()), 2, 2)) - 1, """")"),"")</f>
        <v/>
      </c>
      <c r="Q61" s="6" t="str">
        <f>IFERROR(__xludf.DUMMYFUNCTION("AVERAGE(QUERY(GOOGLEFINANCE(C61, ""price"", TODAY()-80, TODAY()), ""SELECT Col2 WHERE Col2 IS NOT NULL ORDER BY Col1 DESC LIMIT 50"", 0))"),"#N/A")</f>
        <v>#N/A</v>
      </c>
      <c r="R61" s="24" t="str">
        <f>IFERROR(__xludf.DUMMYFUNCTION("IFERROR(
  LET(
    data, QUERY(GOOGLEFINANCE(C61,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GOOGLEFINANCE(C61, ""price"")) * 100,
    IF(calc=0, G61, calc)
  ), 
G61)"),"#N/A")</f>
        <v>#N/A</v>
      </c>
      <c r="S61" s="8" t="s">
        <v>15</v>
      </c>
      <c r="T61" s="26" t="str">
        <f>IFERROR(__xludf.DUMMYFUNCTION("IFERROR(TRANSPOSE(QUERY(IFERROR(SORT(GOOGLEFINANCE(C61, ""price"", WORKDAY(TODAY(), -40), TODAY()), 1, FALSE)), ""select Col2 where Col2 is not null limit 22 label Col2 ''"", 0)), """")"),"")</f>
        <v/>
      </c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8"/>
      <c r="AO61" s="28"/>
      <c r="AP61" s="29"/>
      <c r="AQ61" s="29" t="str">
        <f t="shared" ref="AQ61:BL61" si="64">T61/T$2</f>
        <v>#N/A</v>
      </c>
      <c r="AR61" s="29" t="str">
        <f t="shared" si="64"/>
        <v>#DIV/0!</v>
      </c>
      <c r="AS61" s="29" t="str">
        <f t="shared" si="64"/>
        <v>#DIV/0!</v>
      </c>
      <c r="AT61" s="29" t="str">
        <f t="shared" si="64"/>
        <v>#DIV/0!</v>
      </c>
      <c r="AU61" s="29" t="str">
        <f t="shared" si="64"/>
        <v>#DIV/0!</v>
      </c>
      <c r="AV61" s="29" t="str">
        <f t="shared" si="64"/>
        <v>#DIV/0!</v>
      </c>
      <c r="AW61" s="29" t="str">
        <f t="shared" si="64"/>
        <v>#DIV/0!</v>
      </c>
      <c r="AX61" s="29" t="str">
        <f t="shared" si="64"/>
        <v>#DIV/0!</v>
      </c>
      <c r="AY61" s="29" t="str">
        <f t="shared" si="64"/>
        <v>#DIV/0!</v>
      </c>
      <c r="AZ61" s="29" t="str">
        <f t="shared" si="64"/>
        <v>#DIV/0!</v>
      </c>
      <c r="BA61" s="29" t="str">
        <f t="shared" si="64"/>
        <v>#DIV/0!</v>
      </c>
      <c r="BB61" s="29" t="str">
        <f t="shared" si="64"/>
        <v>#DIV/0!</v>
      </c>
      <c r="BC61" s="29" t="str">
        <f t="shared" si="64"/>
        <v>#DIV/0!</v>
      </c>
      <c r="BD61" s="29" t="str">
        <f t="shared" si="64"/>
        <v>#DIV/0!</v>
      </c>
      <c r="BE61" s="29" t="str">
        <f t="shared" si="64"/>
        <v>#DIV/0!</v>
      </c>
      <c r="BF61" s="29" t="str">
        <f t="shared" si="64"/>
        <v>#DIV/0!</v>
      </c>
      <c r="BG61" s="29" t="str">
        <f t="shared" si="64"/>
        <v>#DIV/0!</v>
      </c>
      <c r="BH61" s="29" t="str">
        <f t="shared" si="64"/>
        <v>#DIV/0!</v>
      </c>
      <c r="BI61" s="29" t="str">
        <f t="shared" si="64"/>
        <v>#DIV/0!</v>
      </c>
      <c r="BJ61" s="29" t="str">
        <f t="shared" si="64"/>
        <v>#DIV/0!</v>
      </c>
      <c r="BK61" s="29" t="str">
        <f t="shared" si="64"/>
        <v>#DIV/0!</v>
      </c>
      <c r="BL61" s="29" t="str">
        <f t="shared" si="64"/>
        <v>#DIV/0!</v>
      </c>
      <c r="BM61" s="29" t="str">
        <f t="shared" si="3"/>
        <v>#DIV/0!</v>
      </c>
    </row>
    <row r="62">
      <c r="A62" s="16" t="str">
        <f>IFERROR(__xludf.DUMMYFUNCTION("IFERROR(SPARKLINE(SORT(MAP(TRANSPOSE(AQ62:BL62), LAMBDA(val, IF(ISNUMBER(val), PERCENTRANK(AQ62:BL62, val)+0.01, 0))), SEQUENCE(COLUMNS(AQ62:BL62)), FALSE), {""charttype"",""column""; ""color"",""chartreuse""; ""ymin"", 0; ""ymax"", 1.01; ""highcolor"", "&amp;"""darkgreen""; ""lowcolor"", ""red""}), """")"),"")</f>
        <v/>
      </c>
      <c r="B62" s="17" t="str">
        <f t="shared" si="4"/>
        <v/>
      </c>
      <c r="C62" s="1" t="s">
        <v>2897</v>
      </c>
      <c r="D62" s="30" t="str">
        <f>IFERROR(__xludf.DUMMYFUNCTION("IFERROR(GOOGLEFINANCE(C62, ""NAME""))"),"Omega Healthcare Investors, Inc")</f>
        <v>Omega Healthcare Investors, Inc</v>
      </c>
      <c r="E62" s="30" t="s">
        <v>2668</v>
      </c>
      <c r="F62" s="33" t="str">
        <f>IFERROR(__xludf.DUMMYFUNCTION("( (GOOGLEFINANCE(C62, ""price"") - Q62) / Q62 ) / (R62 / 100)"),"Loading...")</f>
        <v>Loading...</v>
      </c>
      <c r="G62" s="20" t="str">
        <f>IFERROR(__xludf.DUMMYFUNCTION("AVERAGE(ARRAYFORMULA(100 * (QUERY(GOOGLEFINANCE(C62, ""high"", TODAY()-40, TODAY()), ""SELECT Col2 WHERE Col2 IS NOT NULL ORDER BY Col1 DESC LIMIT 20"", 0) / QUERY(GOOGLEFINANCE(C62, ""low"", TODAY()-40, TODAY()), ""SELECT Col2 WHERE Col2 IS NOT NULL ORDE"&amp;"R BY Col1 DESC LIMIT 20"", 0) - 1)))"),"#N/A")</f>
        <v>#N/A</v>
      </c>
      <c r="H62" s="35" t="str">
        <f t="shared" si="6"/>
        <v>Liquid</v>
      </c>
      <c r="I62" s="35" t="str">
        <f t="shared" si="7"/>
        <v>RVol Required</v>
      </c>
      <c r="J62" s="37">
        <f>IFERROR(__xludf.DUMMYFUNCTION("IFERROR(
  IF(C62="""",, 
    IFERROR(
      GOOGLEFINANCE(C62, ""price"") * GOOGLEFINANCE(C62, ""volumeavg""), 
      GOOGLEFINANCE(C62, ""price"") * AVERAGE(QUERY(GOOGLEFINANCE(C62, ""volume"", TODAY()-40, TODAY()), ""SELECT Col2 WHERE Col2 IS NOT NULL "&amp;"ORDER BY Col1 DESC LIMIT 20"", 0))
    )
  ), 
"""")"),9.369508624E7)</f>
        <v>93695086.24</v>
      </c>
      <c r="K62" s="21">
        <f>IFERROR(__xludf.DUMMYFUNCTION("IFERROR(GOOGLEFINANCE(C62, ""changepct"") / 100, """")"),0.0024)</f>
        <v>0.0024</v>
      </c>
      <c r="L62" s="21" t="str">
        <f>IFERROR(__xludf.DUMMYFUNCTION("IFERROR((GOOGLEFINANCE(C62, ""price"") / INDEX(GOOGLEFINANCE(C62, ""price"", TODAY()-7, TODAY()), 2, 2)) - 1, """")"),"")</f>
        <v/>
      </c>
      <c r="M62" s="21" t="str">
        <f>IFERROR(__xludf.DUMMYFUNCTION("IFERROR((GOOGLEFINANCE(C62, ""price"") / INDEX(GOOGLEFINANCE(C62, ""price"", EDATE(TODAY(), -1), TODAY()), 2, 2)) - 1, """")"),"")</f>
        <v/>
      </c>
      <c r="N62" s="21" t="str">
        <f>IFERROR(__xludf.DUMMYFUNCTION("IFERROR((GOOGLEFINANCE(C62, ""price"") / INDEX(GOOGLEFINANCE(C62, ""price"", EDATE(TODAY(), -3), TODAY()), 2, 2)) - 1, """")"),"")</f>
        <v/>
      </c>
      <c r="O62" s="21" t="str">
        <f>IFERROR(__xludf.DUMMYFUNCTION("IFERROR((GOOGLEFINANCE(C62, ""price"") / INDEX(GOOGLEFINANCE(C62, ""price"", EDATE(TODAY(), -6), TODAY()), 2, 2)) - 1, """")"),"")</f>
        <v/>
      </c>
      <c r="P62" s="21" t="str">
        <f>IFERROR(__xludf.DUMMYFUNCTION("IFERROR((GOOGLEFINANCE(C62, ""price"") / INDEX(GOOGLEFINANCE(C62, ""price"", EDATE(TODAY(), -12), TODAY()), 2, 2)) - 1, """")"),"")</f>
        <v/>
      </c>
      <c r="Q62" s="6" t="str">
        <f>IFERROR(__xludf.DUMMYFUNCTION("AVERAGE(QUERY(GOOGLEFINANCE(C62, ""price"", TODAY()-80, TODAY()), ""SELECT Col2 WHERE Col2 IS NOT NULL ORDER BY Col1 DESC LIMIT 50"", 0))"),"#N/A")</f>
        <v>#N/A</v>
      </c>
      <c r="R62" s="24" t="str">
        <f>IFERROR(__xludf.DUMMYFUNCTION("IFERROR(
  LET(
    data, QUERY(GOOGLEFINANCE(C62,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GOOGLEFINANCE(C62, ""price"")) * 100,
    IF(calc=0, G62, calc)
  ), 
G62)"),"#N/A")</f>
        <v>#N/A</v>
      </c>
      <c r="S62" s="8" t="s">
        <v>15</v>
      </c>
      <c r="T62" s="26" t="str">
        <f>IFERROR(__xludf.DUMMYFUNCTION("IFERROR(TRANSPOSE(QUERY(IFERROR(SORT(GOOGLEFINANCE(C62, ""price"", WORKDAY(TODAY(), -40), TODAY()), 1, FALSE)), ""select Col2 where Col2 is not null limit 22 label Col2 ''"", 0)), """")"),"")</f>
        <v/>
      </c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8"/>
      <c r="AO62" s="28"/>
      <c r="AP62" s="29"/>
      <c r="AQ62" s="29" t="str">
        <f t="shared" ref="AQ62:BL62" si="65">T62/T$2</f>
        <v>#N/A</v>
      </c>
      <c r="AR62" s="29" t="str">
        <f t="shared" si="65"/>
        <v>#DIV/0!</v>
      </c>
      <c r="AS62" s="29" t="str">
        <f t="shared" si="65"/>
        <v>#DIV/0!</v>
      </c>
      <c r="AT62" s="29" t="str">
        <f t="shared" si="65"/>
        <v>#DIV/0!</v>
      </c>
      <c r="AU62" s="29" t="str">
        <f t="shared" si="65"/>
        <v>#DIV/0!</v>
      </c>
      <c r="AV62" s="29" t="str">
        <f t="shared" si="65"/>
        <v>#DIV/0!</v>
      </c>
      <c r="AW62" s="29" t="str">
        <f t="shared" si="65"/>
        <v>#DIV/0!</v>
      </c>
      <c r="AX62" s="29" t="str">
        <f t="shared" si="65"/>
        <v>#DIV/0!</v>
      </c>
      <c r="AY62" s="29" t="str">
        <f t="shared" si="65"/>
        <v>#DIV/0!</v>
      </c>
      <c r="AZ62" s="29" t="str">
        <f t="shared" si="65"/>
        <v>#DIV/0!</v>
      </c>
      <c r="BA62" s="29" t="str">
        <f t="shared" si="65"/>
        <v>#DIV/0!</v>
      </c>
      <c r="BB62" s="29" t="str">
        <f t="shared" si="65"/>
        <v>#DIV/0!</v>
      </c>
      <c r="BC62" s="29" t="str">
        <f t="shared" si="65"/>
        <v>#DIV/0!</v>
      </c>
      <c r="BD62" s="29" t="str">
        <f t="shared" si="65"/>
        <v>#DIV/0!</v>
      </c>
      <c r="BE62" s="29" t="str">
        <f t="shared" si="65"/>
        <v>#DIV/0!</v>
      </c>
      <c r="BF62" s="29" t="str">
        <f t="shared" si="65"/>
        <v>#DIV/0!</v>
      </c>
      <c r="BG62" s="29" t="str">
        <f t="shared" si="65"/>
        <v>#DIV/0!</v>
      </c>
      <c r="BH62" s="29" t="str">
        <f t="shared" si="65"/>
        <v>#DIV/0!</v>
      </c>
      <c r="BI62" s="29" t="str">
        <f t="shared" si="65"/>
        <v>#DIV/0!</v>
      </c>
      <c r="BJ62" s="29" t="str">
        <f t="shared" si="65"/>
        <v>#DIV/0!</v>
      </c>
      <c r="BK62" s="29" t="str">
        <f t="shared" si="65"/>
        <v>#DIV/0!</v>
      </c>
      <c r="BL62" s="29" t="str">
        <f t="shared" si="65"/>
        <v>#DIV/0!</v>
      </c>
      <c r="BM62" s="29" t="str">
        <f t="shared" si="3"/>
        <v>#DIV/0!</v>
      </c>
    </row>
    <row r="63">
      <c r="A63" s="16" t="str">
        <f>IFERROR(__xludf.DUMMYFUNCTION("IFERROR(SPARKLINE(SORT(MAP(TRANSPOSE(AQ63:BL63), LAMBDA(val, IF(ISNUMBER(val), PERCENTRANK(AQ63:BL63, val)+0.01, 0))), SEQUENCE(COLUMNS(AQ63:BL63)), FALSE), {""charttype"",""column""; ""color"",""chartreuse""; ""ymin"", 0; ""ymax"", 1.01; ""highcolor"", "&amp;"""darkgreen""; ""lowcolor"", ""red""}), """")"),"")</f>
        <v/>
      </c>
      <c r="B63" s="17" t="str">
        <f t="shared" si="4"/>
        <v/>
      </c>
      <c r="C63" s="1" t="s">
        <v>2901</v>
      </c>
      <c r="D63" s="30" t="str">
        <f>IFERROR(__xludf.DUMMYFUNCTION("IFERROR(GOOGLEFINANCE(C63, ""NAME""))"),"NetSTREIT Corp")</f>
        <v>NetSTREIT Corp</v>
      </c>
      <c r="E63" s="30" t="s">
        <v>2751</v>
      </c>
      <c r="F63" s="33" t="str">
        <f>IFERROR(__xludf.DUMMYFUNCTION("( (GOOGLEFINANCE(C63, ""price"") - Q63) / Q63 ) / (R63 / 100)"),"Loading...")</f>
        <v>Loading...</v>
      </c>
      <c r="G63" s="20" t="str">
        <f>IFERROR(__xludf.DUMMYFUNCTION("AVERAGE(ARRAYFORMULA(100 * (QUERY(GOOGLEFINANCE(C63, ""high"", TODAY()-40, TODAY()), ""SELECT Col2 WHERE Col2 IS NOT NULL ORDER BY Col1 DESC LIMIT 20"", 0) / QUERY(GOOGLEFINANCE(C63, ""low"", TODAY()-40, TODAY()), ""SELECT Col2 WHERE Col2 IS NOT NULL ORDE"&amp;"R BY Col1 DESC LIMIT 20"", 0) - 1)))"),"#N/A")</f>
        <v>#N/A</v>
      </c>
      <c r="H63" s="35" t="str">
        <f t="shared" si="6"/>
        <v>Illiquid</v>
      </c>
      <c r="I63" s="35" t="str">
        <f t="shared" si="7"/>
        <v>RVol Required</v>
      </c>
      <c r="J63" s="37">
        <f>IFERROR(__xludf.DUMMYFUNCTION("IFERROR(
  IF(C63="""",, 
    IFERROR(
      GOOGLEFINANCE(C63, ""price"") * GOOGLEFINANCE(C63, ""volumeavg""), 
      GOOGLEFINANCE(C63, ""price"") * AVERAGE(QUERY(GOOGLEFINANCE(C63, ""volume"", TODAY()-40, TODAY()), ""SELECT Col2 WHERE Col2 IS NOT NULL "&amp;"ORDER BY Col1 DESC LIMIT 20"", 0))
    )
  ), 
"""")"),2.682289782E7)</f>
        <v>26822897.82</v>
      </c>
      <c r="K63" s="21">
        <f>IFERROR(__xludf.DUMMYFUNCTION("IFERROR(GOOGLEFINANCE(C63, ""changepct"") / 100, """")"),-0.0064)</f>
        <v>-0.0064</v>
      </c>
      <c r="L63" s="21" t="str">
        <f>IFERROR(__xludf.DUMMYFUNCTION("IFERROR((GOOGLEFINANCE(C63, ""price"") / INDEX(GOOGLEFINANCE(C63, ""price"", TODAY()-7, TODAY()), 2, 2)) - 1, """")"),"")</f>
        <v/>
      </c>
      <c r="M63" s="21" t="str">
        <f>IFERROR(__xludf.DUMMYFUNCTION("IFERROR((GOOGLEFINANCE(C63, ""price"") / INDEX(GOOGLEFINANCE(C63, ""price"", EDATE(TODAY(), -1), TODAY()), 2, 2)) - 1, """")"),"")</f>
        <v/>
      </c>
      <c r="N63" s="21" t="str">
        <f>IFERROR(__xludf.DUMMYFUNCTION("IFERROR((GOOGLEFINANCE(C63, ""price"") / INDEX(GOOGLEFINANCE(C63, ""price"", EDATE(TODAY(), -3), TODAY()), 2, 2)) - 1, """")"),"")</f>
        <v/>
      </c>
      <c r="O63" s="21" t="str">
        <f>IFERROR(__xludf.DUMMYFUNCTION("IFERROR((GOOGLEFINANCE(C63, ""price"") / INDEX(GOOGLEFINANCE(C63, ""price"", EDATE(TODAY(), -6), TODAY()), 2, 2)) - 1, """")"),"")</f>
        <v/>
      </c>
      <c r="P63" s="21" t="str">
        <f>IFERROR(__xludf.DUMMYFUNCTION("IFERROR((GOOGLEFINANCE(C63, ""price"") / INDEX(GOOGLEFINANCE(C63, ""price"", EDATE(TODAY(), -12), TODAY()), 2, 2)) - 1, """")"),"")</f>
        <v/>
      </c>
      <c r="Q63" s="6" t="str">
        <f>IFERROR(__xludf.DUMMYFUNCTION("AVERAGE(QUERY(GOOGLEFINANCE(C63, ""price"", TODAY()-80, TODAY()), ""SELECT Col2 WHERE Col2 IS NOT NULL ORDER BY Col1 DESC LIMIT 50"", 0))"),"#N/A")</f>
        <v>#N/A</v>
      </c>
      <c r="R63" s="24" t="str">
        <f>IFERROR(__xludf.DUMMYFUNCTION("IFERROR(
  LET(
    data, QUERY(GOOGLEFINANCE(C63,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GOOGLEFINANCE(C63, ""price"")) * 100,
    IF(calc=0, G63, calc)
  ), 
G63)"),"#N/A")</f>
        <v>#N/A</v>
      </c>
      <c r="S63" s="8" t="s">
        <v>15</v>
      </c>
      <c r="T63" s="26" t="str">
        <f>IFERROR(__xludf.DUMMYFUNCTION("IFERROR(TRANSPOSE(QUERY(IFERROR(SORT(GOOGLEFINANCE(C63, ""price"", WORKDAY(TODAY(), -40), TODAY()), 1, FALSE)), ""select Col2 where Col2 is not null limit 22 label Col2 ''"", 0)), """")"),"")</f>
        <v/>
      </c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8"/>
      <c r="AO63" s="28"/>
      <c r="AP63" s="29"/>
      <c r="AQ63" s="29" t="str">
        <f t="shared" ref="AQ63:BL63" si="66">T63/T$2</f>
        <v>#N/A</v>
      </c>
      <c r="AR63" s="29" t="str">
        <f t="shared" si="66"/>
        <v>#DIV/0!</v>
      </c>
      <c r="AS63" s="29" t="str">
        <f t="shared" si="66"/>
        <v>#DIV/0!</v>
      </c>
      <c r="AT63" s="29" t="str">
        <f t="shared" si="66"/>
        <v>#DIV/0!</v>
      </c>
      <c r="AU63" s="29" t="str">
        <f t="shared" si="66"/>
        <v>#DIV/0!</v>
      </c>
      <c r="AV63" s="29" t="str">
        <f t="shared" si="66"/>
        <v>#DIV/0!</v>
      </c>
      <c r="AW63" s="29" t="str">
        <f t="shared" si="66"/>
        <v>#DIV/0!</v>
      </c>
      <c r="AX63" s="29" t="str">
        <f t="shared" si="66"/>
        <v>#DIV/0!</v>
      </c>
      <c r="AY63" s="29" t="str">
        <f t="shared" si="66"/>
        <v>#DIV/0!</v>
      </c>
      <c r="AZ63" s="29" t="str">
        <f t="shared" si="66"/>
        <v>#DIV/0!</v>
      </c>
      <c r="BA63" s="29" t="str">
        <f t="shared" si="66"/>
        <v>#DIV/0!</v>
      </c>
      <c r="BB63" s="29" t="str">
        <f t="shared" si="66"/>
        <v>#DIV/0!</v>
      </c>
      <c r="BC63" s="29" t="str">
        <f t="shared" si="66"/>
        <v>#DIV/0!</v>
      </c>
      <c r="BD63" s="29" t="str">
        <f t="shared" si="66"/>
        <v>#DIV/0!</v>
      </c>
      <c r="BE63" s="29" t="str">
        <f t="shared" si="66"/>
        <v>#DIV/0!</v>
      </c>
      <c r="BF63" s="29" t="str">
        <f t="shared" si="66"/>
        <v>#DIV/0!</v>
      </c>
      <c r="BG63" s="29" t="str">
        <f t="shared" si="66"/>
        <v>#DIV/0!</v>
      </c>
      <c r="BH63" s="29" t="str">
        <f t="shared" si="66"/>
        <v>#DIV/0!</v>
      </c>
      <c r="BI63" s="29" t="str">
        <f t="shared" si="66"/>
        <v>#DIV/0!</v>
      </c>
      <c r="BJ63" s="29" t="str">
        <f t="shared" si="66"/>
        <v>#DIV/0!</v>
      </c>
      <c r="BK63" s="29" t="str">
        <f t="shared" si="66"/>
        <v>#DIV/0!</v>
      </c>
      <c r="BL63" s="29" t="str">
        <f t="shared" si="66"/>
        <v>#DIV/0!</v>
      </c>
      <c r="BM63" s="29" t="str">
        <f t="shared" si="3"/>
        <v>#DIV/0!</v>
      </c>
    </row>
    <row r="64">
      <c r="A64" s="16" t="str">
        <f>IFERROR(__xludf.DUMMYFUNCTION("IFERROR(SPARKLINE(SORT(MAP(TRANSPOSE(AQ64:BL64), LAMBDA(val, IF(ISNUMBER(val), PERCENTRANK(AQ64:BL64, val)+0.01, 0))), SEQUENCE(COLUMNS(AQ64:BL64)), FALSE), {""charttype"",""column""; ""color"",""chartreuse""; ""ymin"", 0; ""ymax"", 1.01; ""highcolor"", "&amp;"""darkgreen""; ""lowcolor"", ""red""}), """")"),"")</f>
        <v/>
      </c>
      <c r="B64" s="17" t="str">
        <f t="shared" si="4"/>
        <v/>
      </c>
      <c r="C64" s="1" t="s">
        <v>2905</v>
      </c>
      <c r="D64" s="30" t="str">
        <f>IFERROR(__xludf.DUMMYFUNCTION("IFERROR(GOOGLEFINANCE(C64, ""NAME""))"),"SL Green Realty Corp")</f>
        <v>SL Green Realty Corp</v>
      </c>
      <c r="E64" s="30" t="s">
        <v>2662</v>
      </c>
      <c r="F64" s="33" t="str">
        <f>IFERROR(__xludf.DUMMYFUNCTION("( (GOOGLEFINANCE(C64, ""price"") - Q64) / Q64 ) / (R64 / 100)"),"Loading...")</f>
        <v>Loading...</v>
      </c>
      <c r="G64" s="20" t="str">
        <f>IFERROR(__xludf.DUMMYFUNCTION("AVERAGE(ARRAYFORMULA(100 * (QUERY(GOOGLEFINANCE(C64, ""high"", TODAY()-40, TODAY()), ""SELECT Col2 WHERE Col2 IS NOT NULL ORDER BY Col1 DESC LIMIT 20"", 0) / QUERY(GOOGLEFINANCE(C64, ""low"", TODAY()-40, TODAY()), ""SELECT Col2 WHERE Col2 IS NOT NULL ORDE"&amp;"R BY Col1 DESC LIMIT 20"", 0) - 1)))"),"#N/A")</f>
        <v>#N/A</v>
      </c>
      <c r="H64" s="35" t="str">
        <f t="shared" si="6"/>
        <v>Illiquid</v>
      </c>
      <c r="I64" s="35" t="str">
        <f t="shared" si="7"/>
        <v>RVol Required</v>
      </c>
      <c r="J64" s="37">
        <f>IFERROR(__xludf.DUMMYFUNCTION("IFERROR(
  IF(C64="""",, 
    IFERROR(
      GOOGLEFINANCE(C64, ""price"") * GOOGLEFINANCE(C64, ""volumeavg""), 
      GOOGLEFINANCE(C64, ""price"") * AVERAGE(QUERY(GOOGLEFINANCE(C64, ""volume"", TODAY()-40, TODAY()), ""SELECT Col2 WHERE Col2 IS NOT NULL "&amp;"ORDER BY Col1 DESC LIMIT 20"", 0))
    )
  ), 
"""")"),3.9671196E7)</f>
        <v>39671196</v>
      </c>
      <c r="K64" s="21">
        <f>IFERROR(__xludf.DUMMYFUNCTION("IFERROR(GOOGLEFINANCE(C64, ""changepct"") / 100, """")"),-0.0019)</f>
        <v>-0.0019</v>
      </c>
      <c r="L64" s="21" t="str">
        <f>IFERROR(__xludf.DUMMYFUNCTION("IFERROR((GOOGLEFINANCE(C64, ""price"") / INDEX(GOOGLEFINANCE(C64, ""price"", TODAY()-7, TODAY()), 2, 2)) - 1, """")"),"")</f>
        <v/>
      </c>
      <c r="M64" s="21" t="str">
        <f>IFERROR(__xludf.DUMMYFUNCTION("IFERROR((GOOGLEFINANCE(C64, ""price"") / INDEX(GOOGLEFINANCE(C64, ""price"", EDATE(TODAY(), -1), TODAY()), 2, 2)) - 1, """")"),"")</f>
        <v/>
      </c>
      <c r="N64" s="21" t="str">
        <f>IFERROR(__xludf.DUMMYFUNCTION("IFERROR((GOOGLEFINANCE(C64, ""price"") / INDEX(GOOGLEFINANCE(C64, ""price"", EDATE(TODAY(), -3), TODAY()), 2, 2)) - 1, """")"),"")</f>
        <v/>
      </c>
      <c r="O64" s="21" t="str">
        <f>IFERROR(__xludf.DUMMYFUNCTION("IFERROR((GOOGLEFINANCE(C64, ""price"") / INDEX(GOOGLEFINANCE(C64, ""price"", EDATE(TODAY(), -6), TODAY()), 2, 2)) - 1, """")"),"")</f>
        <v/>
      </c>
      <c r="P64" s="21" t="str">
        <f>IFERROR(__xludf.DUMMYFUNCTION("IFERROR((GOOGLEFINANCE(C64, ""price"") / INDEX(GOOGLEFINANCE(C64, ""price"", EDATE(TODAY(), -12), TODAY()), 2, 2)) - 1, """")"),"")</f>
        <v/>
      </c>
      <c r="Q64" s="6" t="str">
        <f>IFERROR(__xludf.DUMMYFUNCTION("AVERAGE(QUERY(GOOGLEFINANCE(C64, ""price"", TODAY()-80, TODAY()), ""SELECT Col2 WHERE Col2 IS NOT NULL ORDER BY Col1 DESC LIMIT 50"", 0))"),"#N/A")</f>
        <v>#N/A</v>
      </c>
      <c r="R64" s="24" t="str">
        <f>IFERROR(__xludf.DUMMYFUNCTION("IFERROR(
  LET(
    data, QUERY(GOOGLEFINANCE(C64,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GOOGLEFINANCE(C64, ""price"")) * 100,
    IF(calc=0, G64, calc)
  ), 
G64)"),"#N/A")</f>
        <v>#N/A</v>
      </c>
      <c r="S64" s="8" t="s">
        <v>15</v>
      </c>
      <c r="T64" s="26" t="str">
        <f>IFERROR(__xludf.DUMMYFUNCTION("IFERROR(TRANSPOSE(QUERY(IFERROR(SORT(GOOGLEFINANCE(C64, ""price"", WORKDAY(TODAY(), -40), TODAY()), 1, FALSE)), ""select Col2 where Col2 is not null limit 22 label Col2 ''"", 0)), """")"),"")</f>
        <v/>
      </c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8"/>
      <c r="AO64" s="28"/>
      <c r="AP64" s="29"/>
      <c r="AQ64" s="29" t="str">
        <f t="shared" ref="AQ64:BL64" si="67">T64/T$2</f>
        <v>#N/A</v>
      </c>
      <c r="AR64" s="29" t="str">
        <f t="shared" si="67"/>
        <v>#DIV/0!</v>
      </c>
      <c r="AS64" s="29" t="str">
        <f t="shared" si="67"/>
        <v>#DIV/0!</v>
      </c>
      <c r="AT64" s="29" t="str">
        <f t="shared" si="67"/>
        <v>#DIV/0!</v>
      </c>
      <c r="AU64" s="29" t="str">
        <f t="shared" si="67"/>
        <v>#DIV/0!</v>
      </c>
      <c r="AV64" s="29" t="str">
        <f t="shared" si="67"/>
        <v>#DIV/0!</v>
      </c>
      <c r="AW64" s="29" t="str">
        <f t="shared" si="67"/>
        <v>#DIV/0!</v>
      </c>
      <c r="AX64" s="29" t="str">
        <f t="shared" si="67"/>
        <v>#DIV/0!</v>
      </c>
      <c r="AY64" s="29" t="str">
        <f t="shared" si="67"/>
        <v>#DIV/0!</v>
      </c>
      <c r="AZ64" s="29" t="str">
        <f t="shared" si="67"/>
        <v>#DIV/0!</v>
      </c>
      <c r="BA64" s="29" t="str">
        <f t="shared" si="67"/>
        <v>#DIV/0!</v>
      </c>
      <c r="BB64" s="29" t="str">
        <f t="shared" si="67"/>
        <v>#DIV/0!</v>
      </c>
      <c r="BC64" s="29" t="str">
        <f t="shared" si="67"/>
        <v>#DIV/0!</v>
      </c>
      <c r="BD64" s="29" t="str">
        <f t="shared" si="67"/>
        <v>#DIV/0!</v>
      </c>
      <c r="BE64" s="29" t="str">
        <f t="shared" si="67"/>
        <v>#DIV/0!</v>
      </c>
      <c r="BF64" s="29" t="str">
        <f t="shared" si="67"/>
        <v>#DIV/0!</v>
      </c>
      <c r="BG64" s="29" t="str">
        <f t="shared" si="67"/>
        <v>#DIV/0!</v>
      </c>
      <c r="BH64" s="29" t="str">
        <f t="shared" si="67"/>
        <v>#DIV/0!</v>
      </c>
      <c r="BI64" s="29" t="str">
        <f t="shared" si="67"/>
        <v>#DIV/0!</v>
      </c>
      <c r="BJ64" s="29" t="str">
        <f t="shared" si="67"/>
        <v>#DIV/0!</v>
      </c>
      <c r="BK64" s="29" t="str">
        <f t="shared" si="67"/>
        <v>#DIV/0!</v>
      </c>
      <c r="BL64" s="29" t="str">
        <f t="shared" si="67"/>
        <v>#DIV/0!</v>
      </c>
      <c r="BM64" s="29" t="str">
        <f t="shared" si="3"/>
        <v>#DIV/0!</v>
      </c>
    </row>
    <row r="65">
      <c r="A65" s="16" t="str">
        <f>IFERROR(__xludf.DUMMYFUNCTION("IFERROR(SPARKLINE(SORT(MAP(TRANSPOSE(AQ65:BL65), LAMBDA(val, IF(ISNUMBER(val), PERCENTRANK(AQ65:BL65, val)+0.01, 0))), SEQUENCE(COLUMNS(AQ65:BL65)), FALSE), {""charttype"",""column""; ""color"",""chartreuse""; ""ymin"", 0; ""ymax"", 1.01; ""highcolor"", "&amp;"""darkgreen""; ""lowcolor"", ""red""}), """")"),"")</f>
        <v/>
      </c>
      <c r="B65" s="17" t="str">
        <f t="shared" si="4"/>
        <v/>
      </c>
      <c r="C65" s="1" t="s">
        <v>2910</v>
      </c>
      <c r="D65" s="30" t="str">
        <f>IFERROR(__xludf.DUMMYFUNCTION("IFERROR(GOOGLEFINANCE(C65, ""NAME""))"),"American Healthcare REIT Inc")</f>
        <v>American Healthcare REIT Inc</v>
      </c>
      <c r="E65" s="30" t="s">
        <v>2668</v>
      </c>
      <c r="F65" s="33" t="str">
        <f>IFERROR(__xludf.DUMMYFUNCTION("( (GOOGLEFINANCE(C65, ""price"") - Q65) / Q65 ) / (R65 / 100)"),"Loading...")</f>
        <v>Loading...</v>
      </c>
      <c r="G65" s="20" t="str">
        <f>IFERROR(__xludf.DUMMYFUNCTION("AVERAGE(ARRAYFORMULA(100 * (QUERY(GOOGLEFINANCE(C65, ""high"", TODAY()-40, TODAY()), ""SELECT Col2 WHERE Col2 IS NOT NULL ORDER BY Col1 DESC LIMIT 20"", 0) / QUERY(GOOGLEFINANCE(C65, ""low"", TODAY()-40, TODAY()), ""SELECT Col2 WHERE Col2 IS NOT NULL ORDE"&amp;"R BY Col1 DESC LIMIT 20"", 0) - 1)))"),"#N/A")</f>
        <v>#N/A</v>
      </c>
      <c r="H65" s="35" t="str">
        <f t="shared" si="6"/>
        <v>Liquid</v>
      </c>
      <c r="I65" s="35" t="str">
        <f t="shared" si="7"/>
        <v>RVol Required</v>
      </c>
      <c r="J65" s="37">
        <f>IFERROR(__xludf.DUMMYFUNCTION("IFERROR(
  IF(C65="""",, 
    IFERROR(
      GOOGLEFINANCE(C65, ""price"") * GOOGLEFINANCE(C65, ""volumeavg""), 
      GOOGLEFINANCE(C65, ""price"") * AVERAGE(QUERY(GOOGLEFINANCE(C65, ""volume"", TODAY()-40, TODAY()), ""SELECT Col2 WHERE Col2 IS NOT NULL "&amp;"ORDER BY Col1 DESC LIMIT 20"", 0))
    )
  ), 
"""")"),1.7089587314E8)</f>
        <v>170895873.1</v>
      </c>
      <c r="K65" s="21">
        <f>IFERROR(__xludf.DUMMYFUNCTION("IFERROR(GOOGLEFINANCE(C65, ""changepct"") / 100, """")"),0.0042)</f>
        <v>0.0042</v>
      </c>
      <c r="L65" s="21" t="str">
        <f>IFERROR(__xludf.DUMMYFUNCTION("IFERROR((GOOGLEFINANCE(C65, ""price"") / INDEX(GOOGLEFINANCE(C65, ""price"", TODAY()-7, TODAY()), 2, 2)) - 1, """")"),"")</f>
        <v/>
      </c>
      <c r="M65" s="21" t="str">
        <f>IFERROR(__xludf.DUMMYFUNCTION("IFERROR((GOOGLEFINANCE(C65, ""price"") / INDEX(GOOGLEFINANCE(C65, ""price"", EDATE(TODAY(), -1), TODAY()), 2, 2)) - 1, """")"),"")</f>
        <v/>
      </c>
      <c r="N65" s="21" t="str">
        <f>IFERROR(__xludf.DUMMYFUNCTION("IFERROR((GOOGLEFINANCE(C65, ""price"") / INDEX(GOOGLEFINANCE(C65, ""price"", EDATE(TODAY(), -3), TODAY()), 2, 2)) - 1, """")"),"")</f>
        <v/>
      </c>
      <c r="O65" s="21" t="str">
        <f>IFERROR(__xludf.DUMMYFUNCTION("IFERROR((GOOGLEFINANCE(C65, ""price"") / INDEX(GOOGLEFINANCE(C65, ""price"", EDATE(TODAY(), -6), TODAY()), 2, 2)) - 1, """")"),"")</f>
        <v/>
      </c>
      <c r="P65" s="21" t="str">
        <f>IFERROR(__xludf.DUMMYFUNCTION("IFERROR((GOOGLEFINANCE(C65, ""price"") / INDEX(GOOGLEFINANCE(C65, ""price"", EDATE(TODAY(), -12), TODAY()), 2, 2)) - 1, """")"),"")</f>
        <v/>
      </c>
      <c r="Q65" s="6" t="str">
        <f>IFERROR(__xludf.DUMMYFUNCTION("AVERAGE(QUERY(GOOGLEFINANCE(C65, ""price"", TODAY()-80, TODAY()), ""SELECT Col2 WHERE Col2 IS NOT NULL ORDER BY Col1 DESC LIMIT 50"", 0))"),"#N/A")</f>
        <v>#N/A</v>
      </c>
      <c r="R65" s="24" t="str">
        <f>IFERROR(__xludf.DUMMYFUNCTION("IFERROR(
  LET(
    data, QUERY(GOOGLEFINANCE(C65,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GOOGLEFINANCE(C65, ""price"")) * 100,
    IF(calc=0, G65, calc)
  ), 
G65)"),"#N/A")</f>
        <v>#N/A</v>
      </c>
      <c r="S65" s="8" t="s">
        <v>15</v>
      </c>
      <c r="T65" s="26" t="str">
        <f>IFERROR(__xludf.DUMMYFUNCTION("IFERROR(TRANSPOSE(QUERY(IFERROR(SORT(GOOGLEFINANCE(C65, ""price"", WORKDAY(TODAY(), -40), TODAY()), 1, FALSE)), ""select Col2 where Col2 is not null limit 22 label Col2 ''"", 0)), """")"),"")</f>
        <v/>
      </c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8"/>
      <c r="AO65" s="28"/>
      <c r="AP65" s="29"/>
      <c r="AQ65" s="29" t="str">
        <f t="shared" ref="AQ65:BL65" si="68">T65/T$2</f>
        <v>#N/A</v>
      </c>
      <c r="AR65" s="29" t="str">
        <f t="shared" si="68"/>
        <v>#DIV/0!</v>
      </c>
      <c r="AS65" s="29" t="str">
        <f t="shared" si="68"/>
        <v>#DIV/0!</v>
      </c>
      <c r="AT65" s="29" t="str">
        <f t="shared" si="68"/>
        <v>#DIV/0!</v>
      </c>
      <c r="AU65" s="29" t="str">
        <f t="shared" si="68"/>
        <v>#DIV/0!</v>
      </c>
      <c r="AV65" s="29" t="str">
        <f t="shared" si="68"/>
        <v>#DIV/0!</v>
      </c>
      <c r="AW65" s="29" t="str">
        <f t="shared" si="68"/>
        <v>#DIV/0!</v>
      </c>
      <c r="AX65" s="29" t="str">
        <f t="shared" si="68"/>
        <v>#DIV/0!</v>
      </c>
      <c r="AY65" s="29" t="str">
        <f t="shared" si="68"/>
        <v>#DIV/0!</v>
      </c>
      <c r="AZ65" s="29" t="str">
        <f t="shared" si="68"/>
        <v>#DIV/0!</v>
      </c>
      <c r="BA65" s="29" t="str">
        <f t="shared" si="68"/>
        <v>#DIV/0!</v>
      </c>
      <c r="BB65" s="29" t="str">
        <f t="shared" si="68"/>
        <v>#DIV/0!</v>
      </c>
      <c r="BC65" s="29" t="str">
        <f t="shared" si="68"/>
        <v>#DIV/0!</v>
      </c>
      <c r="BD65" s="29" t="str">
        <f t="shared" si="68"/>
        <v>#DIV/0!</v>
      </c>
      <c r="BE65" s="29" t="str">
        <f t="shared" si="68"/>
        <v>#DIV/0!</v>
      </c>
      <c r="BF65" s="29" t="str">
        <f t="shared" si="68"/>
        <v>#DIV/0!</v>
      </c>
      <c r="BG65" s="29" t="str">
        <f t="shared" si="68"/>
        <v>#DIV/0!</v>
      </c>
      <c r="BH65" s="29" t="str">
        <f t="shared" si="68"/>
        <v>#DIV/0!</v>
      </c>
      <c r="BI65" s="29" t="str">
        <f t="shared" si="68"/>
        <v>#DIV/0!</v>
      </c>
      <c r="BJ65" s="29" t="str">
        <f t="shared" si="68"/>
        <v>#DIV/0!</v>
      </c>
      <c r="BK65" s="29" t="str">
        <f t="shared" si="68"/>
        <v>#DIV/0!</v>
      </c>
      <c r="BL65" s="29" t="str">
        <f t="shared" si="68"/>
        <v>#DIV/0!</v>
      </c>
      <c r="BM65" s="29" t="str">
        <f t="shared" si="3"/>
        <v>#DIV/0!</v>
      </c>
    </row>
    <row r="66">
      <c r="A66" s="16" t="str">
        <f>IFERROR(__xludf.DUMMYFUNCTION("IFERROR(SPARKLINE(SORT(MAP(TRANSPOSE(AQ66:BL66), LAMBDA(val, IF(ISNUMBER(val), PERCENTRANK(AQ66:BL66, val)+0.01, 0))), SEQUENCE(COLUMNS(AQ66:BL66)), FALSE), {""charttype"",""column""; ""color"",""chartreuse""; ""ymin"", 0; ""ymax"", 1.01; ""highcolor"", "&amp;"""darkgreen""; ""lowcolor"", ""red""}), """")"),"")</f>
        <v/>
      </c>
      <c r="B66" s="17" t="str">
        <f t="shared" si="4"/>
        <v/>
      </c>
      <c r="C66" s="1" t="s">
        <v>2913</v>
      </c>
      <c r="D66" s="30" t="str">
        <f>IFERROR(__xludf.DUMMYFUNCTION("IFERROR(GOOGLEFINANCE(C66, ""NAME""))"),"")</f>
        <v/>
      </c>
      <c r="E66" s="30" t="s">
        <v>2668</v>
      </c>
      <c r="F66" s="33" t="str">
        <f>IFERROR(__xludf.DUMMYFUNCTION("( (GOOGLEFINANCE(C66, ""price"") - Q66) / Q66 ) / (R66 / 100)"),"Loading...")</f>
        <v>Loading...</v>
      </c>
      <c r="G66" s="20" t="str">
        <f>IFERROR(__xludf.DUMMYFUNCTION("AVERAGE(ARRAYFORMULA(100 * (QUERY(GOOGLEFINANCE(C66, ""high"", TODAY()-40, TODAY()), ""SELECT Col2 WHERE Col2 IS NOT NULL ORDER BY Col1 DESC LIMIT 20"", 0) / QUERY(GOOGLEFINANCE(C66, ""low"", TODAY()-40, TODAY()), ""SELECT Col2 WHERE Col2 IS NOT NULL ORDE"&amp;"R BY Col1 DESC LIMIT 20"", 0) - 1)))"),"#N/A")</f>
        <v>#N/A</v>
      </c>
      <c r="H66" s="35" t="str">
        <f t="shared" si="6"/>
        <v/>
      </c>
      <c r="I66" s="35" t="str">
        <f t="shared" si="7"/>
        <v/>
      </c>
      <c r="J66" s="37" t="str">
        <f>IFERROR(__xludf.DUMMYFUNCTION("IFERROR(
  IF(C66="""",, 
    IFERROR(
      GOOGLEFINANCE(C66, ""price"") * GOOGLEFINANCE(C66, ""volumeavg""), 
      GOOGLEFINANCE(C66, ""price"") * AVERAGE(QUERY(GOOGLEFINANCE(C66, ""volume"", TODAY()-40, TODAY()), ""SELECT Col2 WHERE Col2 IS NOT NULL "&amp;"ORDER BY Col1 DESC LIMIT 20"", 0))
    )
  ), 
"""")"),"")</f>
        <v/>
      </c>
      <c r="K66" s="21" t="str">
        <f>IFERROR(__xludf.DUMMYFUNCTION("IFERROR(GOOGLEFINANCE(C66, ""changepct"") / 100, """")"),"")</f>
        <v/>
      </c>
      <c r="L66" s="21" t="str">
        <f>IFERROR(__xludf.DUMMYFUNCTION("IFERROR((GOOGLEFINANCE(C66, ""price"") / INDEX(GOOGLEFINANCE(C66, ""price"", TODAY()-7, TODAY()), 2, 2)) - 1, """")"),"")</f>
        <v/>
      </c>
      <c r="M66" s="21" t="str">
        <f>IFERROR(__xludf.DUMMYFUNCTION("IFERROR((GOOGLEFINANCE(C66, ""price"") / INDEX(GOOGLEFINANCE(C66, ""price"", EDATE(TODAY(), -1), TODAY()), 2, 2)) - 1, """")"),"")</f>
        <v/>
      </c>
      <c r="N66" s="21" t="str">
        <f>IFERROR(__xludf.DUMMYFUNCTION("IFERROR((GOOGLEFINANCE(C66, ""price"") / INDEX(GOOGLEFINANCE(C66, ""price"", EDATE(TODAY(), -3), TODAY()), 2, 2)) - 1, """")"),"")</f>
        <v/>
      </c>
      <c r="O66" s="21" t="str">
        <f>IFERROR(__xludf.DUMMYFUNCTION("IFERROR((GOOGLEFINANCE(C66, ""price"") / INDEX(GOOGLEFINANCE(C66, ""price"", EDATE(TODAY(), -6), TODAY()), 2, 2)) - 1, """")"),"")</f>
        <v/>
      </c>
      <c r="P66" s="21" t="str">
        <f>IFERROR(__xludf.DUMMYFUNCTION("IFERROR((GOOGLEFINANCE(C66, ""price"") / INDEX(GOOGLEFINANCE(C66, ""price"", EDATE(TODAY(), -12), TODAY()), 2, 2)) - 1, """")"),"")</f>
        <v/>
      </c>
      <c r="Q66" s="6" t="str">
        <f>IFERROR(__xludf.DUMMYFUNCTION("AVERAGE(QUERY(GOOGLEFINANCE(C66, ""price"", TODAY()-80, TODAY()), ""SELECT Col2 WHERE Col2 IS NOT NULL ORDER BY Col1 DESC LIMIT 50"", 0))"),"#N/A")</f>
        <v>#N/A</v>
      </c>
      <c r="R66" s="24" t="str">
        <f>IFERROR(__xludf.DUMMYFUNCTION("IFERROR(
  LET(
    data, QUERY(GOOGLEFINANCE(C66,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GOOGLEFINANCE(C66, ""price"")) * 100,
    IF(calc=0, G66, calc)
  ), 
G66)"),"#N/A")</f>
        <v>#N/A</v>
      </c>
      <c r="S66" s="8" t="s">
        <v>15</v>
      </c>
      <c r="T66" s="26" t="str">
        <f>IFERROR(__xludf.DUMMYFUNCTION("IFERROR(TRANSPOSE(QUERY(IFERROR(SORT(GOOGLEFINANCE(C66, ""price"", WORKDAY(TODAY(), -40), TODAY()), 1, FALSE)), ""select Col2 where Col2 is not null limit 22 label Col2 ''"", 0)), """")"),"")</f>
        <v/>
      </c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8"/>
      <c r="AO66" s="28"/>
      <c r="AP66" s="29"/>
      <c r="AQ66" s="29" t="str">
        <f t="shared" ref="AQ66:BL66" si="69">T66/T$2</f>
        <v>#N/A</v>
      </c>
      <c r="AR66" s="29" t="str">
        <f t="shared" si="69"/>
        <v>#DIV/0!</v>
      </c>
      <c r="AS66" s="29" t="str">
        <f t="shared" si="69"/>
        <v>#DIV/0!</v>
      </c>
      <c r="AT66" s="29" t="str">
        <f t="shared" si="69"/>
        <v>#DIV/0!</v>
      </c>
      <c r="AU66" s="29" t="str">
        <f t="shared" si="69"/>
        <v>#DIV/0!</v>
      </c>
      <c r="AV66" s="29" t="str">
        <f t="shared" si="69"/>
        <v>#DIV/0!</v>
      </c>
      <c r="AW66" s="29" t="str">
        <f t="shared" si="69"/>
        <v>#DIV/0!</v>
      </c>
      <c r="AX66" s="29" t="str">
        <f t="shared" si="69"/>
        <v>#DIV/0!</v>
      </c>
      <c r="AY66" s="29" t="str">
        <f t="shared" si="69"/>
        <v>#DIV/0!</v>
      </c>
      <c r="AZ66" s="29" t="str">
        <f t="shared" si="69"/>
        <v>#DIV/0!</v>
      </c>
      <c r="BA66" s="29" t="str">
        <f t="shared" si="69"/>
        <v>#DIV/0!</v>
      </c>
      <c r="BB66" s="29" t="str">
        <f t="shared" si="69"/>
        <v>#DIV/0!</v>
      </c>
      <c r="BC66" s="29" t="str">
        <f t="shared" si="69"/>
        <v>#DIV/0!</v>
      </c>
      <c r="BD66" s="29" t="str">
        <f t="shared" si="69"/>
        <v>#DIV/0!</v>
      </c>
      <c r="BE66" s="29" t="str">
        <f t="shared" si="69"/>
        <v>#DIV/0!</v>
      </c>
      <c r="BF66" s="29" t="str">
        <f t="shared" si="69"/>
        <v>#DIV/0!</v>
      </c>
      <c r="BG66" s="29" t="str">
        <f t="shared" si="69"/>
        <v>#DIV/0!</v>
      </c>
      <c r="BH66" s="29" t="str">
        <f t="shared" si="69"/>
        <v>#DIV/0!</v>
      </c>
      <c r="BI66" s="29" t="str">
        <f t="shared" si="69"/>
        <v>#DIV/0!</v>
      </c>
      <c r="BJ66" s="29" t="str">
        <f t="shared" si="69"/>
        <v>#DIV/0!</v>
      </c>
      <c r="BK66" s="29" t="str">
        <f t="shared" si="69"/>
        <v>#DIV/0!</v>
      </c>
      <c r="BL66" s="29" t="str">
        <f t="shared" si="69"/>
        <v>#DIV/0!</v>
      </c>
      <c r="BM66" s="29" t="str">
        <f t="shared" si="3"/>
        <v>#DIV/0!</v>
      </c>
    </row>
    <row r="67">
      <c r="A67" s="16" t="str">
        <f>IFERROR(__xludf.DUMMYFUNCTION("IFERROR(SPARKLINE(SORT(MAP(TRANSPOSE(AQ67:BL67), LAMBDA(val, IF(ISNUMBER(val), PERCENTRANK(AQ67:BL67, val)+0.01, 0))), SEQUENCE(COLUMNS(AQ67:BL67)), FALSE), {""charttype"",""column""; ""color"",""chartreuse""; ""ymin"", 0; ""ymax"", 1.01; ""highcolor"", "&amp;"""darkgreen""; ""lowcolor"", ""red""}), """")"),"")</f>
        <v/>
      </c>
      <c r="B67" s="17" t="str">
        <f t="shared" si="4"/>
        <v/>
      </c>
      <c r="C67" s="1" t="s">
        <v>2916</v>
      </c>
      <c r="D67" s="30" t="str">
        <f>IFERROR(__xludf.DUMMYFUNCTION("IFERROR(GOOGLEFINANCE(C67, ""NAME""))"),"Federal Realty Investment Trust")</f>
        <v>Federal Realty Investment Trust</v>
      </c>
      <c r="E67" s="30" t="s">
        <v>2751</v>
      </c>
      <c r="F67" s="33" t="str">
        <f>IFERROR(__xludf.DUMMYFUNCTION("( (GOOGLEFINANCE(C67, ""price"") - Q67) / Q67 ) / (R67 / 100)"),"Loading...")</f>
        <v>Loading...</v>
      </c>
      <c r="G67" s="20" t="str">
        <f>IFERROR(__xludf.DUMMYFUNCTION("AVERAGE(ARRAYFORMULA(100 * (QUERY(GOOGLEFINANCE(C67, ""high"", TODAY()-40, TODAY()), ""SELECT Col2 WHERE Col2 IS NOT NULL ORDER BY Col1 DESC LIMIT 20"", 0) / QUERY(GOOGLEFINANCE(C67, ""low"", TODAY()-40, TODAY()), ""SELECT Col2 WHERE Col2 IS NOT NULL ORDE"&amp;"R BY Col1 DESC LIMIT 20"", 0) - 1)))"),"#N/A")</f>
        <v>#N/A</v>
      </c>
      <c r="H67" s="35" t="str">
        <f t="shared" si="6"/>
        <v>Liquid</v>
      </c>
      <c r="I67" s="35" t="str">
        <f t="shared" si="7"/>
        <v>RVol Required</v>
      </c>
      <c r="J67" s="37">
        <f>IFERROR(__xludf.DUMMYFUNCTION("IFERROR(
  IF(C67="""",, 
    IFERROR(
      GOOGLEFINANCE(C67, ""price"") * GOOGLEFINANCE(C67, ""volumeavg""), 
      GOOGLEFINANCE(C67, ""price"") * AVERAGE(QUERY(GOOGLEFINANCE(C67, ""volume"", TODAY()-40, TODAY()), ""SELECT Col2 WHERE Col2 IS NOT NULL "&amp;"ORDER BY Col1 DESC LIMIT 20"", 0))
    )
  ), 
"""")"),1.015866336E8)</f>
        <v>101586633.6</v>
      </c>
      <c r="K67" s="21">
        <f>IFERROR(__xludf.DUMMYFUNCTION("IFERROR(GOOGLEFINANCE(C67, ""changepct"") / 100, """")"),0.0060999999999999995)</f>
        <v>0.0061</v>
      </c>
      <c r="L67" s="21" t="str">
        <f>IFERROR(__xludf.DUMMYFUNCTION("IFERROR((GOOGLEFINANCE(C67, ""price"") / INDEX(GOOGLEFINANCE(C67, ""price"", TODAY()-7, TODAY()), 2, 2)) - 1, """")"),"")</f>
        <v/>
      </c>
      <c r="M67" s="21" t="str">
        <f>IFERROR(__xludf.DUMMYFUNCTION("IFERROR((GOOGLEFINANCE(C67, ""price"") / INDEX(GOOGLEFINANCE(C67, ""price"", EDATE(TODAY(), -1), TODAY()), 2, 2)) - 1, """")"),"")</f>
        <v/>
      </c>
      <c r="N67" s="21" t="str">
        <f>IFERROR(__xludf.DUMMYFUNCTION("IFERROR((GOOGLEFINANCE(C67, ""price"") / INDEX(GOOGLEFINANCE(C67, ""price"", EDATE(TODAY(), -3), TODAY()), 2, 2)) - 1, """")"),"")</f>
        <v/>
      </c>
      <c r="O67" s="21" t="str">
        <f>IFERROR(__xludf.DUMMYFUNCTION("IFERROR((GOOGLEFINANCE(C67, ""price"") / INDEX(GOOGLEFINANCE(C67, ""price"", EDATE(TODAY(), -6), TODAY()), 2, 2)) - 1, """")"),"")</f>
        <v/>
      </c>
      <c r="P67" s="21" t="str">
        <f>IFERROR(__xludf.DUMMYFUNCTION("IFERROR((GOOGLEFINANCE(C67, ""price"") / INDEX(GOOGLEFINANCE(C67, ""price"", EDATE(TODAY(), -12), TODAY()), 2, 2)) - 1, """")"),"")</f>
        <v/>
      </c>
      <c r="Q67" s="6" t="str">
        <f>IFERROR(__xludf.DUMMYFUNCTION("AVERAGE(QUERY(GOOGLEFINANCE(C67, ""price"", TODAY()-80, TODAY()), ""SELECT Col2 WHERE Col2 IS NOT NULL ORDER BY Col1 DESC LIMIT 50"", 0))"),"#N/A")</f>
        <v>#N/A</v>
      </c>
      <c r="R67" s="24" t="str">
        <f>IFERROR(__xludf.DUMMYFUNCTION("IFERROR(
  LET(
    data, QUERY(GOOGLEFINANCE(C67,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GOOGLEFINANCE(C67, ""price"")) * 100,
    IF(calc=0, G67, calc)
  ), 
G67)"),"#N/A")</f>
        <v>#N/A</v>
      </c>
      <c r="S67" s="8" t="s">
        <v>15</v>
      </c>
      <c r="T67" s="26" t="str">
        <f>IFERROR(__xludf.DUMMYFUNCTION("IFERROR(TRANSPOSE(QUERY(IFERROR(SORT(GOOGLEFINANCE(C67, ""price"", WORKDAY(TODAY(), -40), TODAY()), 1, FALSE)), ""select Col2 where Col2 is not null limit 22 label Col2 ''"", 0)), """")"),"")</f>
        <v/>
      </c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8"/>
      <c r="AO67" s="28"/>
      <c r="AP67" s="29"/>
      <c r="AQ67" s="29" t="str">
        <f t="shared" ref="AQ67:BL67" si="70">T67/T$2</f>
        <v>#N/A</v>
      </c>
      <c r="AR67" s="29" t="str">
        <f t="shared" si="70"/>
        <v>#DIV/0!</v>
      </c>
      <c r="AS67" s="29" t="str">
        <f t="shared" si="70"/>
        <v>#DIV/0!</v>
      </c>
      <c r="AT67" s="29" t="str">
        <f t="shared" si="70"/>
        <v>#DIV/0!</v>
      </c>
      <c r="AU67" s="29" t="str">
        <f t="shared" si="70"/>
        <v>#DIV/0!</v>
      </c>
      <c r="AV67" s="29" t="str">
        <f t="shared" si="70"/>
        <v>#DIV/0!</v>
      </c>
      <c r="AW67" s="29" t="str">
        <f t="shared" si="70"/>
        <v>#DIV/0!</v>
      </c>
      <c r="AX67" s="29" t="str">
        <f t="shared" si="70"/>
        <v>#DIV/0!</v>
      </c>
      <c r="AY67" s="29" t="str">
        <f t="shared" si="70"/>
        <v>#DIV/0!</v>
      </c>
      <c r="AZ67" s="29" t="str">
        <f t="shared" si="70"/>
        <v>#DIV/0!</v>
      </c>
      <c r="BA67" s="29" t="str">
        <f t="shared" si="70"/>
        <v>#DIV/0!</v>
      </c>
      <c r="BB67" s="29" t="str">
        <f t="shared" si="70"/>
        <v>#DIV/0!</v>
      </c>
      <c r="BC67" s="29" t="str">
        <f t="shared" si="70"/>
        <v>#DIV/0!</v>
      </c>
      <c r="BD67" s="29" t="str">
        <f t="shared" si="70"/>
        <v>#DIV/0!</v>
      </c>
      <c r="BE67" s="29" t="str">
        <f t="shared" si="70"/>
        <v>#DIV/0!</v>
      </c>
      <c r="BF67" s="29" t="str">
        <f t="shared" si="70"/>
        <v>#DIV/0!</v>
      </c>
      <c r="BG67" s="29" t="str">
        <f t="shared" si="70"/>
        <v>#DIV/0!</v>
      </c>
      <c r="BH67" s="29" t="str">
        <f t="shared" si="70"/>
        <v>#DIV/0!</v>
      </c>
      <c r="BI67" s="29" t="str">
        <f t="shared" si="70"/>
        <v>#DIV/0!</v>
      </c>
      <c r="BJ67" s="29" t="str">
        <f t="shared" si="70"/>
        <v>#DIV/0!</v>
      </c>
      <c r="BK67" s="29" t="str">
        <f t="shared" si="70"/>
        <v>#DIV/0!</v>
      </c>
      <c r="BL67" s="29" t="str">
        <f t="shared" si="70"/>
        <v>#DIV/0!</v>
      </c>
      <c r="BM67" s="29" t="str">
        <f t="shared" si="3"/>
        <v>#DIV/0!</v>
      </c>
    </row>
    <row r="68">
      <c r="A68" s="16" t="str">
        <f>IFERROR(__xludf.DUMMYFUNCTION("IFERROR(SPARKLINE(SORT(MAP(TRANSPOSE(AQ68:BL68), LAMBDA(val, IF(ISNUMBER(val), PERCENTRANK(AQ68:BL68, val)+0.01, 0))), SEQUENCE(COLUMNS(AQ68:BL68)), FALSE), {""charttype"",""column""; ""color"",""chartreuse""; ""ymin"", 0; ""ymax"", 1.01; ""highcolor"", "&amp;"""darkgreen""; ""lowcolor"", ""red""}), """")"),"")</f>
        <v/>
      </c>
      <c r="B68" s="17" t="str">
        <f t="shared" si="4"/>
        <v/>
      </c>
      <c r="C68" s="1" t="s">
        <v>2919</v>
      </c>
      <c r="D68" s="30" t="str">
        <f>IFERROR(__xludf.DUMMYFUNCTION("IFERROR(GOOGLEFINANCE(C68, ""NAME""))"),"Safehold Inc")</f>
        <v>Safehold Inc</v>
      </c>
      <c r="E68" s="30" t="s">
        <v>2784</v>
      </c>
      <c r="F68" s="38" t="str">
        <f>IFERROR(__xludf.DUMMYFUNCTION("( (GOOGLEFINANCE(C68, ""price"") - Q68) / Q68 ) / (R68 / 100)"),"Loading...")</f>
        <v>Loading...</v>
      </c>
      <c r="G68" s="20" t="str">
        <f>IFERROR(__xludf.DUMMYFUNCTION("AVERAGE(ARRAYFORMULA(100 * (QUERY(GOOGLEFINANCE(C68, ""high"", TODAY()-40, TODAY()), ""SELECT Col2 WHERE Col2 IS NOT NULL ORDER BY Col1 DESC LIMIT 20"", 0) / QUERY(GOOGLEFINANCE(C68, ""low"", TODAY()-40, TODAY()), ""SELECT Col2 WHERE Col2 IS NOT NULL ORDE"&amp;"R BY Col1 DESC LIMIT 20"", 0) - 1)))"),"#N/A")</f>
        <v>#N/A</v>
      </c>
      <c r="H68" s="35" t="str">
        <f t="shared" si="6"/>
        <v>Illiquid</v>
      </c>
      <c r="I68" s="35" t="str">
        <f t="shared" si="7"/>
        <v>RVol Required</v>
      </c>
      <c r="J68" s="37">
        <f>IFERROR(__xludf.DUMMYFUNCTION("IFERROR(
  IF(C68="""",, 
    IFERROR(
      GOOGLEFINANCE(C68, ""price"") * GOOGLEFINANCE(C68, ""volumeavg""), 
      GOOGLEFINANCE(C68, ""price"") * AVERAGE(QUERY(GOOGLEFINANCE(C68, ""volume"", TODAY()-40, TODAY()), ""SELECT Col2 WHERE Col2 IS NOT NULL "&amp;"ORDER BY Col1 DESC LIMIT 20"", 0))
    )
  ), 
"""")"),6996439.8)</f>
        <v>6996439.8</v>
      </c>
      <c r="K68" s="21">
        <f>IFERROR(__xludf.DUMMYFUNCTION("IFERROR(GOOGLEFINANCE(C68, ""changepct"") / 100, """")"),-0.0182)</f>
        <v>-0.0182</v>
      </c>
      <c r="L68" s="21" t="str">
        <f>IFERROR(__xludf.DUMMYFUNCTION("IFERROR((GOOGLEFINANCE(C68, ""price"") / INDEX(GOOGLEFINANCE(C68, ""price"", TODAY()-7, TODAY()), 2, 2)) - 1, """")"),"")</f>
        <v/>
      </c>
      <c r="M68" s="21" t="str">
        <f>IFERROR(__xludf.DUMMYFUNCTION("IFERROR((GOOGLEFINANCE(C68, ""price"") / INDEX(GOOGLEFINANCE(C68, ""price"", EDATE(TODAY(), -1), TODAY()), 2, 2)) - 1, """")"),"")</f>
        <v/>
      </c>
      <c r="N68" s="21" t="str">
        <f>IFERROR(__xludf.DUMMYFUNCTION("IFERROR((GOOGLEFINANCE(C68, ""price"") / INDEX(GOOGLEFINANCE(C68, ""price"", EDATE(TODAY(), -3), TODAY()), 2, 2)) - 1, """")"),"")</f>
        <v/>
      </c>
      <c r="O68" s="21" t="str">
        <f>IFERROR(__xludf.DUMMYFUNCTION("IFERROR((GOOGLEFINANCE(C68, ""price"") / INDEX(GOOGLEFINANCE(C68, ""price"", EDATE(TODAY(), -6), TODAY()), 2, 2)) - 1, """")"),"")</f>
        <v/>
      </c>
      <c r="P68" s="21" t="str">
        <f>IFERROR(__xludf.DUMMYFUNCTION("IFERROR((GOOGLEFINANCE(C68, ""price"") / INDEX(GOOGLEFINANCE(C68, ""price"", EDATE(TODAY(), -12), TODAY()), 2, 2)) - 1, """")"),"")</f>
        <v/>
      </c>
      <c r="Q68" s="6" t="str">
        <f>IFERROR(__xludf.DUMMYFUNCTION("AVERAGE(QUERY(GOOGLEFINANCE(C68, ""price"", TODAY()-80, TODAY()), ""SELECT Col2 WHERE Col2 IS NOT NULL ORDER BY Col1 DESC LIMIT 50"", 0))"),"#N/A")</f>
        <v>#N/A</v>
      </c>
      <c r="R68" s="24" t="str">
        <f>IFERROR(__xludf.DUMMYFUNCTION("IFERROR(
  LET(
    data, QUERY(GOOGLEFINANCE(C68,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GOOGLEFINANCE(C68, ""price"")) * 100,
    IF(calc=0, G68, calc)
  ), 
G68)"),"#N/A")</f>
        <v>#N/A</v>
      </c>
      <c r="S68" s="8" t="s">
        <v>15</v>
      </c>
      <c r="T68" s="26" t="str">
        <f>IFERROR(__xludf.DUMMYFUNCTION("IFERROR(TRANSPOSE(QUERY(IFERROR(SORT(GOOGLEFINANCE(C68, ""price"", WORKDAY(TODAY(), -40), TODAY()), 1, FALSE)), ""select Col2 where Col2 is not null limit 22 label Col2 ''"", 0)), """")"),"")</f>
        <v/>
      </c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8"/>
      <c r="AO68" s="28"/>
      <c r="AP68" s="29"/>
      <c r="AQ68" s="29" t="str">
        <f t="shared" ref="AQ68:BL68" si="71">T68/T$2</f>
        <v>#N/A</v>
      </c>
      <c r="AR68" s="29" t="str">
        <f t="shared" si="71"/>
        <v>#DIV/0!</v>
      </c>
      <c r="AS68" s="29" t="str">
        <f t="shared" si="71"/>
        <v>#DIV/0!</v>
      </c>
      <c r="AT68" s="29" t="str">
        <f t="shared" si="71"/>
        <v>#DIV/0!</v>
      </c>
      <c r="AU68" s="29" t="str">
        <f t="shared" si="71"/>
        <v>#DIV/0!</v>
      </c>
      <c r="AV68" s="29" t="str">
        <f t="shared" si="71"/>
        <v>#DIV/0!</v>
      </c>
      <c r="AW68" s="29" t="str">
        <f t="shared" si="71"/>
        <v>#DIV/0!</v>
      </c>
      <c r="AX68" s="29" t="str">
        <f t="shared" si="71"/>
        <v>#DIV/0!</v>
      </c>
      <c r="AY68" s="29" t="str">
        <f t="shared" si="71"/>
        <v>#DIV/0!</v>
      </c>
      <c r="AZ68" s="29" t="str">
        <f t="shared" si="71"/>
        <v>#DIV/0!</v>
      </c>
      <c r="BA68" s="29" t="str">
        <f t="shared" si="71"/>
        <v>#DIV/0!</v>
      </c>
      <c r="BB68" s="29" t="str">
        <f t="shared" si="71"/>
        <v>#DIV/0!</v>
      </c>
      <c r="BC68" s="29" t="str">
        <f t="shared" si="71"/>
        <v>#DIV/0!</v>
      </c>
      <c r="BD68" s="29" t="str">
        <f t="shared" si="71"/>
        <v>#DIV/0!</v>
      </c>
      <c r="BE68" s="29" t="str">
        <f t="shared" si="71"/>
        <v>#DIV/0!</v>
      </c>
      <c r="BF68" s="29" t="str">
        <f t="shared" si="71"/>
        <v>#DIV/0!</v>
      </c>
      <c r="BG68" s="29" t="str">
        <f t="shared" si="71"/>
        <v>#DIV/0!</v>
      </c>
      <c r="BH68" s="29" t="str">
        <f t="shared" si="71"/>
        <v>#DIV/0!</v>
      </c>
      <c r="BI68" s="29" t="str">
        <f t="shared" si="71"/>
        <v>#DIV/0!</v>
      </c>
      <c r="BJ68" s="29" t="str">
        <f t="shared" si="71"/>
        <v>#DIV/0!</v>
      </c>
      <c r="BK68" s="29" t="str">
        <f t="shared" si="71"/>
        <v>#DIV/0!</v>
      </c>
      <c r="BL68" s="29" t="str">
        <f t="shared" si="71"/>
        <v>#DIV/0!</v>
      </c>
      <c r="BM68" s="29" t="str">
        <f t="shared" si="3"/>
        <v>#DIV/0!</v>
      </c>
    </row>
    <row r="69">
      <c r="A69" s="16" t="str">
        <f>IFERROR(__xludf.DUMMYFUNCTION("IFERROR(SPARKLINE(SORT(MAP(TRANSPOSE(AQ69:BL69), LAMBDA(val, IF(ISNUMBER(val), PERCENTRANK(AQ69:BL69, val)+0.01, 0))), SEQUENCE(COLUMNS(AQ69:BL69)), FALSE), {""charttype"",""column""; ""color"",""chartreuse""; ""ymin"", 0; ""ymax"", 1.01; ""highcolor"", "&amp;"""darkgreen""; ""lowcolor"", ""red""}), """")"),"")</f>
        <v/>
      </c>
      <c r="B69" s="17" t="str">
        <f t="shared" si="4"/>
        <v/>
      </c>
      <c r="C69" s="1" t="s">
        <v>2922</v>
      </c>
      <c r="D69" s="30" t="str">
        <f>IFERROR(__xludf.DUMMYFUNCTION("IFERROR(GOOGLEFINANCE(C69, ""NAME""))"),"Howard Hughes Holdings Inc")</f>
        <v>Howard Hughes Holdings Inc</v>
      </c>
      <c r="E69" s="30" t="s">
        <v>2923</v>
      </c>
      <c r="F69" s="33" t="str">
        <f>IFERROR(__xludf.DUMMYFUNCTION("( (GOOGLEFINANCE(C69, ""price"") - Q69) / Q69 ) / (R69 / 100)"),"Loading...")</f>
        <v>Loading...</v>
      </c>
      <c r="G69" s="20" t="str">
        <f>IFERROR(__xludf.DUMMYFUNCTION("AVERAGE(ARRAYFORMULA(100 * (QUERY(GOOGLEFINANCE(C69, ""high"", TODAY()-40, TODAY()), ""SELECT Col2 WHERE Col2 IS NOT NULL ORDER BY Col1 DESC LIMIT 20"", 0) / QUERY(GOOGLEFINANCE(C69, ""low"", TODAY()-40, TODAY()), ""SELECT Col2 WHERE Col2 IS NOT NULL ORDE"&amp;"R BY Col1 DESC LIMIT 20"", 0) - 1)))"),"#N/A")</f>
        <v>#N/A</v>
      </c>
      <c r="H69" s="35" t="str">
        <f t="shared" si="6"/>
        <v>Liquid</v>
      </c>
      <c r="I69" s="35" t="str">
        <f t="shared" si="7"/>
        <v>RVol Required</v>
      </c>
      <c r="J69" s="37">
        <f>IFERROR(__xludf.DUMMYFUNCTION("IFERROR(
  IF(C69="""",, 
    IFERROR(
      GOOGLEFINANCE(C69, ""price"") * GOOGLEFINANCE(C69, ""volumeavg""), 
      GOOGLEFINANCE(C69, ""price"") * AVERAGE(QUERY(GOOGLEFINANCE(C69, ""volume"", TODAY()-40, TODAY()), ""SELECT Col2 WHERE Col2 IS NOT NULL "&amp;"ORDER BY Col1 DESC LIMIT 20"", 0))
    )
  ), 
"""")"),5.551704394E7)</f>
        <v>55517043.94</v>
      </c>
      <c r="K69" s="21">
        <f>IFERROR(__xludf.DUMMYFUNCTION("IFERROR(GOOGLEFINANCE(C69, ""changepct"") / 100, """")"),-0.0175)</f>
        <v>-0.0175</v>
      </c>
      <c r="L69" s="21" t="str">
        <f>IFERROR(__xludf.DUMMYFUNCTION("IFERROR((GOOGLEFINANCE(C69, ""price"") / INDEX(GOOGLEFINANCE(C69, ""price"", TODAY()-7, TODAY()), 2, 2)) - 1, """")"),"")</f>
        <v/>
      </c>
      <c r="M69" s="21" t="str">
        <f>IFERROR(__xludf.DUMMYFUNCTION("IFERROR((GOOGLEFINANCE(C69, ""price"") / INDEX(GOOGLEFINANCE(C69, ""price"", EDATE(TODAY(), -1), TODAY()), 2, 2)) - 1, """")"),"")</f>
        <v/>
      </c>
      <c r="N69" s="21" t="str">
        <f>IFERROR(__xludf.DUMMYFUNCTION("IFERROR((GOOGLEFINANCE(C69, ""price"") / INDEX(GOOGLEFINANCE(C69, ""price"", EDATE(TODAY(), -3), TODAY()), 2, 2)) - 1, """")"),"")</f>
        <v/>
      </c>
      <c r="O69" s="21" t="str">
        <f>IFERROR(__xludf.DUMMYFUNCTION("IFERROR((GOOGLEFINANCE(C69, ""price"") / INDEX(GOOGLEFINANCE(C69, ""price"", EDATE(TODAY(), -6), TODAY()), 2, 2)) - 1, """")"),"")</f>
        <v/>
      </c>
      <c r="P69" s="21" t="str">
        <f>IFERROR(__xludf.DUMMYFUNCTION("IFERROR((GOOGLEFINANCE(C69, ""price"") / INDEX(GOOGLEFINANCE(C69, ""price"", EDATE(TODAY(), -12), TODAY()), 2, 2)) - 1, """")"),"")</f>
        <v/>
      </c>
      <c r="Q69" s="6" t="str">
        <f>IFERROR(__xludf.DUMMYFUNCTION("AVERAGE(QUERY(GOOGLEFINANCE(C69, ""price"", TODAY()-80, TODAY()), ""SELECT Col2 WHERE Col2 IS NOT NULL ORDER BY Col1 DESC LIMIT 50"", 0))"),"#N/A")</f>
        <v>#N/A</v>
      </c>
      <c r="R69" s="24" t="str">
        <f>IFERROR(__xludf.DUMMYFUNCTION("IFERROR(
  LET(
    data, QUERY(GOOGLEFINANCE(C69,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GOOGLEFINANCE(C69, ""price"")) * 100,
    IF(calc=0, G69, calc)
  ), 
G69)"),"#N/A")</f>
        <v>#N/A</v>
      </c>
      <c r="S69" s="8" t="s">
        <v>15</v>
      </c>
      <c r="T69" s="26" t="str">
        <f>IFERROR(__xludf.DUMMYFUNCTION("IFERROR(TRANSPOSE(QUERY(IFERROR(SORT(GOOGLEFINANCE(C69, ""price"", WORKDAY(TODAY(), -40), TODAY()), 1, FALSE)), ""select Col2 where Col2 is not null limit 22 label Col2 ''"", 0)), """")"),"")</f>
        <v/>
      </c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8"/>
      <c r="AO69" s="28"/>
      <c r="AP69" s="29"/>
      <c r="AQ69" s="29" t="str">
        <f t="shared" ref="AQ69:BL69" si="72">T69/T$2</f>
        <v>#N/A</v>
      </c>
      <c r="AR69" s="29" t="str">
        <f t="shared" si="72"/>
        <v>#DIV/0!</v>
      </c>
      <c r="AS69" s="29" t="str">
        <f t="shared" si="72"/>
        <v>#DIV/0!</v>
      </c>
      <c r="AT69" s="29" t="str">
        <f t="shared" si="72"/>
        <v>#DIV/0!</v>
      </c>
      <c r="AU69" s="29" t="str">
        <f t="shared" si="72"/>
        <v>#DIV/0!</v>
      </c>
      <c r="AV69" s="29" t="str">
        <f t="shared" si="72"/>
        <v>#DIV/0!</v>
      </c>
      <c r="AW69" s="29" t="str">
        <f t="shared" si="72"/>
        <v>#DIV/0!</v>
      </c>
      <c r="AX69" s="29" t="str">
        <f t="shared" si="72"/>
        <v>#DIV/0!</v>
      </c>
      <c r="AY69" s="29" t="str">
        <f t="shared" si="72"/>
        <v>#DIV/0!</v>
      </c>
      <c r="AZ69" s="29" t="str">
        <f t="shared" si="72"/>
        <v>#DIV/0!</v>
      </c>
      <c r="BA69" s="29" t="str">
        <f t="shared" si="72"/>
        <v>#DIV/0!</v>
      </c>
      <c r="BB69" s="29" t="str">
        <f t="shared" si="72"/>
        <v>#DIV/0!</v>
      </c>
      <c r="BC69" s="29" t="str">
        <f t="shared" si="72"/>
        <v>#DIV/0!</v>
      </c>
      <c r="BD69" s="29" t="str">
        <f t="shared" si="72"/>
        <v>#DIV/0!</v>
      </c>
      <c r="BE69" s="29" t="str">
        <f t="shared" si="72"/>
        <v>#DIV/0!</v>
      </c>
      <c r="BF69" s="29" t="str">
        <f t="shared" si="72"/>
        <v>#DIV/0!</v>
      </c>
      <c r="BG69" s="29" t="str">
        <f t="shared" si="72"/>
        <v>#DIV/0!</v>
      </c>
      <c r="BH69" s="29" t="str">
        <f t="shared" si="72"/>
        <v>#DIV/0!</v>
      </c>
      <c r="BI69" s="29" t="str">
        <f t="shared" si="72"/>
        <v>#DIV/0!</v>
      </c>
      <c r="BJ69" s="29" t="str">
        <f t="shared" si="72"/>
        <v>#DIV/0!</v>
      </c>
      <c r="BK69" s="29" t="str">
        <f t="shared" si="72"/>
        <v>#DIV/0!</v>
      </c>
      <c r="BL69" s="29" t="str">
        <f t="shared" si="72"/>
        <v>#DIV/0!</v>
      </c>
      <c r="BM69" s="29" t="str">
        <f t="shared" si="3"/>
        <v>#DIV/0!</v>
      </c>
    </row>
    <row r="70">
      <c r="A70" s="16" t="str">
        <f>IFERROR(__xludf.DUMMYFUNCTION("IFERROR(SPARKLINE(SORT(MAP(TRANSPOSE(AQ70:BL70), LAMBDA(val, IF(ISNUMBER(val), PERCENTRANK(AQ70:BL70, val)+0.01, 0))), SEQUENCE(COLUMNS(AQ70:BL70)), FALSE), {""charttype"",""column""; ""color"",""chartreuse""; ""ymin"", 0; ""ymax"", 1.01; ""highcolor"", "&amp;"""darkgreen""; ""lowcolor"", ""red""}), """")"),"")</f>
        <v/>
      </c>
      <c r="B70" s="17" t="str">
        <f t="shared" si="4"/>
        <v/>
      </c>
      <c r="C70" s="1" t="s">
        <v>2925</v>
      </c>
      <c r="D70" s="30" t="str">
        <f>IFERROR(__xludf.DUMMYFUNCTION("IFERROR(GOOGLEFINANCE(C70, ""NAME""))"),"Piedmont Realty Trust Inc")</f>
        <v>Piedmont Realty Trust Inc</v>
      </c>
      <c r="E70" s="30" t="s">
        <v>2662</v>
      </c>
      <c r="F70" s="33" t="str">
        <f>IFERROR(__xludf.DUMMYFUNCTION("( (GOOGLEFINANCE(C70, ""price"") - Q70) / Q70 ) / (R70 / 100)"),"Loading...")</f>
        <v>Loading...</v>
      </c>
      <c r="G70" s="20" t="str">
        <f>IFERROR(__xludf.DUMMYFUNCTION("AVERAGE(ARRAYFORMULA(100 * (QUERY(GOOGLEFINANCE(C70, ""high"", TODAY()-40, TODAY()), ""SELECT Col2 WHERE Col2 IS NOT NULL ORDER BY Col1 DESC LIMIT 20"", 0) / QUERY(GOOGLEFINANCE(C70, ""low"", TODAY()-40, TODAY()), ""SELECT Col2 WHERE Col2 IS NOT NULL ORDE"&amp;"R BY Col1 DESC LIMIT 20"", 0) - 1)))"),"#N/A")</f>
        <v>#N/A</v>
      </c>
      <c r="H70" s="35" t="str">
        <f t="shared" si="6"/>
        <v>Illiquid</v>
      </c>
      <c r="I70" s="35" t="str">
        <f t="shared" si="7"/>
        <v>RVol Required</v>
      </c>
      <c r="J70" s="37">
        <f>IFERROR(__xludf.DUMMYFUNCTION("IFERROR(
  IF(C70="""",, 
    IFERROR(
      GOOGLEFINANCE(C70, ""price"") * GOOGLEFINANCE(C70, ""volumeavg""), 
      GOOGLEFINANCE(C70, ""price"") * AVERAGE(QUERY(GOOGLEFINANCE(C70, ""volume"", TODAY()-40, TODAY()), ""SELECT Col2 WHERE Col2 IS NOT NULL "&amp;"ORDER BY Col1 DESC LIMIT 20"", 0))
    )
  ), 
"""")"),1.6820036009999998E7)</f>
        <v>16820036.01</v>
      </c>
      <c r="K70" s="21">
        <f>IFERROR(__xludf.DUMMYFUNCTION("IFERROR(GOOGLEFINANCE(C70, ""changepct"") / 100, """")"),0.0066)</f>
        <v>0.0066</v>
      </c>
      <c r="L70" s="21" t="str">
        <f>IFERROR(__xludf.DUMMYFUNCTION("IFERROR((GOOGLEFINANCE(C70, ""price"") / INDEX(GOOGLEFINANCE(C70, ""price"", TODAY()-7, TODAY()), 2, 2)) - 1, """")"),"")</f>
        <v/>
      </c>
      <c r="M70" s="21" t="str">
        <f>IFERROR(__xludf.DUMMYFUNCTION("IFERROR((GOOGLEFINANCE(C70, ""price"") / INDEX(GOOGLEFINANCE(C70, ""price"", EDATE(TODAY(), -1), TODAY()), 2, 2)) - 1, """")"),"")</f>
        <v/>
      </c>
      <c r="N70" s="21" t="str">
        <f>IFERROR(__xludf.DUMMYFUNCTION("IFERROR((GOOGLEFINANCE(C70, ""price"") / INDEX(GOOGLEFINANCE(C70, ""price"", EDATE(TODAY(), -3), TODAY()), 2, 2)) - 1, """")"),"")</f>
        <v/>
      </c>
      <c r="O70" s="21" t="str">
        <f>IFERROR(__xludf.DUMMYFUNCTION("IFERROR((GOOGLEFINANCE(C70, ""price"") / INDEX(GOOGLEFINANCE(C70, ""price"", EDATE(TODAY(), -6), TODAY()), 2, 2)) - 1, """")"),"")</f>
        <v/>
      </c>
      <c r="P70" s="21" t="str">
        <f>IFERROR(__xludf.DUMMYFUNCTION("IFERROR((GOOGLEFINANCE(C70, ""price"") / INDEX(GOOGLEFINANCE(C70, ""price"", EDATE(TODAY(), -12), TODAY()), 2, 2)) - 1, """")"),"")</f>
        <v/>
      </c>
      <c r="Q70" s="6" t="str">
        <f>IFERROR(__xludf.DUMMYFUNCTION("AVERAGE(QUERY(GOOGLEFINANCE(C70, ""price"", TODAY()-80, TODAY()), ""SELECT Col2 WHERE Col2 IS NOT NULL ORDER BY Col1 DESC LIMIT 50"", 0))"),"#N/A")</f>
        <v>#N/A</v>
      </c>
      <c r="R70" s="24" t="str">
        <f>IFERROR(__xludf.DUMMYFUNCTION("IFERROR(
  LET(
    data, QUERY(GOOGLEFINANCE(C70,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GOOGLEFINANCE(C70, ""price"")) * 100,
    IF(calc=0, G70, calc)
  ), 
G70)"),"#N/A")</f>
        <v>#N/A</v>
      </c>
      <c r="S70" s="8" t="s">
        <v>15</v>
      </c>
      <c r="T70" s="26" t="str">
        <f>IFERROR(__xludf.DUMMYFUNCTION("IFERROR(TRANSPOSE(QUERY(IFERROR(SORT(GOOGLEFINANCE(C70, ""price"", WORKDAY(TODAY(), -40), TODAY()), 1, FALSE)), ""select Col2 where Col2 is not null limit 22 label Col2 ''"", 0)), """")"),"")</f>
        <v/>
      </c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8"/>
      <c r="AO70" s="28"/>
      <c r="AP70" s="29"/>
      <c r="AQ70" s="29" t="str">
        <f t="shared" ref="AQ70:BL70" si="73">T70/T$2</f>
        <v>#N/A</v>
      </c>
      <c r="AR70" s="29" t="str">
        <f t="shared" si="73"/>
        <v>#DIV/0!</v>
      </c>
      <c r="AS70" s="29" t="str">
        <f t="shared" si="73"/>
        <v>#DIV/0!</v>
      </c>
      <c r="AT70" s="29" t="str">
        <f t="shared" si="73"/>
        <v>#DIV/0!</v>
      </c>
      <c r="AU70" s="29" t="str">
        <f t="shared" si="73"/>
        <v>#DIV/0!</v>
      </c>
      <c r="AV70" s="29" t="str">
        <f t="shared" si="73"/>
        <v>#DIV/0!</v>
      </c>
      <c r="AW70" s="29" t="str">
        <f t="shared" si="73"/>
        <v>#DIV/0!</v>
      </c>
      <c r="AX70" s="29" t="str">
        <f t="shared" si="73"/>
        <v>#DIV/0!</v>
      </c>
      <c r="AY70" s="29" t="str">
        <f t="shared" si="73"/>
        <v>#DIV/0!</v>
      </c>
      <c r="AZ70" s="29" t="str">
        <f t="shared" si="73"/>
        <v>#DIV/0!</v>
      </c>
      <c r="BA70" s="29" t="str">
        <f t="shared" si="73"/>
        <v>#DIV/0!</v>
      </c>
      <c r="BB70" s="29" t="str">
        <f t="shared" si="73"/>
        <v>#DIV/0!</v>
      </c>
      <c r="BC70" s="29" t="str">
        <f t="shared" si="73"/>
        <v>#DIV/0!</v>
      </c>
      <c r="BD70" s="29" t="str">
        <f t="shared" si="73"/>
        <v>#DIV/0!</v>
      </c>
      <c r="BE70" s="29" t="str">
        <f t="shared" si="73"/>
        <v>#DIV/0!</v>
      </c>
      <c r="BF70" s="29" t="str">
        <f t="shared" si="73"/>
        <v>#DIV/0!</v>
      </c>
      <c r="BG70" s="29" t="str">
        <f t="shared" si="73"/>
        <v>#DIV/0!</v>
      </c>
      <c r="BH70" s="29" t="str">
        <f t="shared" si="73"/>
        <v>#DIV/0!</v>
      </c>
      <c r="BI70" s="29" t="str">
        <f t="shared" si="73"/>
        <v>#DIV/0!</v>
      </c>
      <c r="BJ70" s="29" t="str">
        <f t="shared" si="73"/>
        <v>#DIV/0!</v>
      </c>
      <c r="BK70" s="29" t="str">
        <f t="shared" si="73"/>
        <v>#DIV/0!</v>
      </c>
      <c r="BL70" s="29" t="str">
        <f t="shared" si="73"/>
        <v>#DIV/0!</v>
      </c>
      <c r="BM70" s="29" t="str">
        <f t="shared" si="3"/>
        <v>#DIV/0!</v>
      </c>
    </row>
    <row r="71">
      <c r="A71" s="16" t="str">
        <f>IFERROR(__xludf.DUMMYFUNCTION("IFERROR(SPARKLINE(SORT(MAP(TRANSPOSE(AQ71:BL71), LAMBDA(val, IF(ISNUMBER(val), PERCENTRANK(AQ71:BL71, val)+0.01, 0))), SEQUENCE(COLUMNS(AQ71:BL71)), FALSE), {""charttype"",""column""; ""color"",""chartreuse""; ""ymin"", 0; ""ymax"", 1.01; ""highcolor"", "&amp;"""darkgreen""; ""lowcolor"", ""red""}), """")"),"")</f>
        <v/>
      </c>
      <c r="B71" s="17" t="str">
        <f t="shared" si="4"/>
        <v/>
      </c>
      <c r="C71" s="1" t="s">
        <v>2929</v>
      </c>
      <c r="D71" s="30" t="str">
        <f>IFERROR(__xludf.DUMMYFUNCTION("IFERROR(GOOGLEFINANCE(C71, ""NAME""))"),"KKR Real Estate Finance Trust Inc")</f>
        <v>KKR Real Estate Finance Trust Inc</v>
      </c>
      <c r="E71" s="30" t="s">
        <v>2682</v>
      </c>
      <c r="F71" s="33" t="str">
        <f>IFERROR(__xludf.DUMMYFUNCTION("( (GOOGLEFINANCE(C71, ""price"") - Q71) / Q71 ) / (R71 / 100)"),"Loading...")</f>
        <v>Loading...</v>
      </c>
      <c r="G71" s="20" t="str">
        <f>IFERROR(__xludf.DUMMYFUNCTION("AVERAGE(ARRAYFORMULA(100 * (QUERY(GOOGLEFINANCE(C71, ""high"", TODAY()-40, TODAY()), ""SELECT Col2 WHERE Col2 IS NOT NULL ORDER BY Col1 DESC LIMIT 20"", 0) / QUERY(GOOGLEFINANCE(C71, ""low"", TODAY()-40, TODAY()), ""SELECT Col2 WHERE Col2 IS NOT NULL ORDE"&amp;"R BY Col1 DESC LIMIT 20"", 0) - 1)))"),"#N/A")</f>
        <v>#N/A</v>
      </c>
      <c r="H71" s="35" t="str">
        <f t="shared" si="6"/>
        <v>Illiquid</v>
      </c>
      <c r="I71" s="35" t="str">
        <f t="shared" si="7"/>
        <v>RVol Required</v>
      </c>
      <c r="J71" s="37">
        <f>IFERROR(__xludf.DUMMYFUNCTION("IFERROR(
  IF(C71="""",, 
    IFERROR(
      GOOGLEFINANCE(C71, ""price"") * GOOGLEFINANCE(C71, ""volumeavg""), 
      GOOGLEFINANCE(C71, ""price"") * AVERAGE(QUERY(GOOGLEFINANCE(C71, ""volume"", TODAY()-40, TODAY()), ""SELECT Col2 WHERE Col2 IS NOT NULL "&amp;"ORDER BY Col1 DESC LIMIT 20"", 0))
    )
  ), 
"""")"),5274676.6)</f>
        <v>5274676.6</v>
      </c>
      <c r="K71" s="21">
        <f>IFERROR(__xludf.DUMMYFUNCTION("IFERROR(GOOGLEFINANCE(C71, ""changepct"") / 100, """")"),-0.0285)</f>
        <v>-0.0285</v>
      </c>
      <c r="L71" s="21" t="str">
        <f>IFERROR(__xludf.DUMMYFUNCTION("IFERROR((GOOGLEFINANCE(C71, ""price"") / INDEX(GOOGLEFINANCE(C71, ""price"", TODAY()-7, TODAY()), 2, 2)) - 1, """")"),"")</f>
        <v/>
      </c>
      <c r="M71" s="21" t="str">
        <f>IFERROR(__xludf.DUMMYFUNCTION("IFERROR((GOOGLEFINANCE(C71, ""price"") / INDEX(GOOGLEFINANCE(C71, ""price"", EDATE(TODAY(), -1), TODAY()), 2, 2)) - 1, """")"),"")</f>
        <v/>
      </c>
      <c r="N71" s="21" t="str">
        <f>IFERROR(__xludf.DUMMYFUNCTION("IFERROR((GOOGLEFINANCE(C71, ""price"") / INDEX(GOOGLEFINANCE(C71, ""price"", EDATE(TODAY(), -3), TODAY()), 2, 2)) - 1, """")"),"")</f>
        <v/>
      </c>
      <c r="O71" s="21" t="str">
        <f>IFERROR(__xludf.DUMMYFUNCTION("IFERROR((GOOGLEFINANCE(C71, ""price"") / INDEX(GOOGLEFINANCE(C71, ""price"", EDATE(TODAY(), -6), TODAY()), 2, 2)) - 1, """")"),"")</f>
        <v/>
      </c>
      <c r="P71" s="21" t="str">
        <f>IFERROR(__xludf.DUMMYFUNCTION("IFERROR((GOOGLEFINANCE(C71, ""price"") / INDEX(GOOGLEFINANCE(C71, ""price"", EDATE(TODAY(), -12), TODAY()), 2, 2)) - 1, """")"),"")</f>
        <v/>
      </c>
      <c r="Q71" s="6" t="str">
        <f>IFERROR(__xludf.DUMMYFUNCTION("AVERAGE(QUERY(GOOGLEFINANCE(C71, ""price"", TODAY()-80, TODAY()), ""SELECT Col2 WHERE Col2 IS NOT NULL ORDER BY Col1 DESC LIMIT 50"", 0))"),"#N/A")</f>
        <v>#N/A</v>
      </c>
      <c r="R71" s="24" t="str">
        <f>IFERROR(__xludf.DUMMYFUNCTION("IFERROR(
  LET(
    data, QUERY(GOOGLEFINANCE(C71,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GOOGLEFINANCE(C71, ""price"")) * 100,
    IF(calc=0, G71, calc)
  ), 
G71)"),"#N/A")</f>
        <v>#N/A</v>
      </c>
      <c r="S71" s="8" t="s">
        <v>15</v>
      </c>
      <c r="T71" s="26" t="str">
        <f>IFERROR(__xludf.DUMMYFUNCTION("IFERROR(TRANSPOSE(QUERY(IFERROR(SORT(GOOGLEFINANCE(C71, ""price"", WORKDAY(TODAY(), -40), TODAY()), 1, FALSE)), ""select Col2 where Col2 is not null limit 22 label Col2 ''"", 0)), """")"),"")</f>
        <v/>
      </c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8"/>
      <c r="AO71" s="28"/>
      <c r="AP71" s="29"/>
      <c r="AQ71" s="29" t="str">
        <f t="shared" ref="AQ71:BL71" si="74">T71/T$2</f>
        <v>#N/A</v>
      </c>
      <c r="AR71" s="29" t="str">
        <f t="shared" si="74"/>
        <v>#DIV/0!</v>
      </c>
      <c r="AS71" s="29" t="str">
        <f t="shared" si="74"/>
        <v>#DIV/0!</v>
      </c>
      <c r="AT71" s="29" t="str">
        <f t="shared" si="74"/>
        <v>#DIV/0!</v>
      </c>
      <c r="AU71" s="29" t="str">
        <f t="shared" si="74"/>
        <v>#DIV/0!</v>
      </c>
      <c r="AV71" s="29" t="str">
        <f t="shared" si="74"/>
        <v>#DIV/0!</v>
      </c>
      <c r="AW71" s="29" t="str">
        <f t="shared" si="74"/>
        <v>#DIV/0!</v>
      </c>
      <c r="AX71" s="29" t="str">
        <f t="shared" si="74"/>
        <v>#DIV/0!</v>
      </c>
      <c r="AY71" s="29" t="str">
        <f t="shared" si="74"/>
        <v>#DIV/0!</v>
      </c>
      <c r="AZ71" s="29" t="str">
        <f t="shared" si="74"/>
        <v>#DIV/0!</v>
      </c>
      <c r="BA71" s="29" t="str">
        <f t="shared" si="74"/>
        <v>#DIV/0!</v>
      </c>
      <c r="BB71" s="29" t="str">
        <f t="shared" si="74"/>
        <v>#DIV/0!</v>
      </c>
      <c r="BC71" s="29" t="str">
        <f t="shared" si="74"/>
        <v>#DIV/0!</v>
      </c>
      <c r="BD71" s="29" t="str">
        <f t="shared" si="74"/>
        <v>#DIV/0!</v>
      </c>
      <c r="BE71" s="29" t="str">
        <f t="shared" si="74"/>
        <v>#DIV/0!</v>
      </c>
      <c r="BF71" s="29" t="str">
        <f t="shared" si="74"/>
        <v>#DIV/0!</v>
      </c>
      <c r="BG71" s="29" t="str">
        <f t="shared" si="74"/>
        <v>#DIV/0!</v>
      </c>
      <c r="BH71" s="29" t="str">
        <f t="shared" si="74"/>
        <v>#DIV/0!</v>
      </c>
      <c r="BI71" s="29" t="str">
        <f t="shared" si="74"/>
        <v>#DIV/0!</v>
      </c>
      <c r="BJ71" s="29" t="str">
        <f t="shared" si="74"/>
        <v>#DIV/0!</v>
      </c>
      <c r="BK71" s="29" t="str">
        <f t="shared" si="74"/>
        <v>#DIV/0!</v>
      </c>
      <c r="BL71" s="29" t="str">
        <f t="shared" si="74"/>
        <v>#DIV/0!</v>
      </c>
      <c r="BM71" s="29" t="str">
        <f t="shared" si="3"/>
        <v>#DIV/0!</v>
      </c>
    </row>
    <row r="72">
      <c r="A72" s="16" t="str">
        <f>IFERROR(__xludf.DUMMYFUNCTION("IFERROR(SPARKLINE(SORT(MAP(TRANSPOSE(AQ72:BL72), LAMBDA(val, IF(ISNUMBER(val), PERCENTRANK(AQ72:BL72, val)+0.01, 0))), SEQUENCE(COLUMNS(AQ72:BL72)), FALSE), {""charttype"",""column""; ""color"",""chartreuse""; ""ymin"", 0; ""ymax"", 1.01; ""highcolor"", "&amp;"""darkgreen""; ""lowcolor"", ""red""}), """")"),"")</f>
        <v/>
      </c>
      <c r="B72" s="17" t="str">
        <f t="shared" si="4"/>
        <v/>
      </c>
      <c r="C72" s="1" t="s">
        <v>2932</v>
      </c>
      <c r="D72" s="30" t="str">
        <f>IFERROR(__xludf.DUMMYFUNCTION("IFERROR(GOOGLEFINANCE(C72, ""NAME""))"),"")</f>
        <v/>
      </c>
      <c r="E72" s="30" t="s">
        <v>2704</v>
      </c>
      <c r="F72" s="33" t="str">
        <f>IFERROR(__xludf.DUMMYFUNCTION("( (GOOGLEFINANCE(C72, ""price"") - Q72) / Q72 ) / (R72 / 100)"),"Loading...")</f>
        <v>Loading...</v>
      </c>
      <c r="G72" s="20" t="str">
        <f>IFERROR(__xludf.DUMMYFUNCTION("AVERAGE(ARRAYFORMULA(100 * (QUERY(GOOGLEFINANCE(C72, ""high"", TODAY()-40, TODAY()), ""SELECT Col2 WHERE Col2 IS NOT NULL ORDER BY Col1 DESC LIMIT 20"", 0) / QUERY(GOOGLEFINANCE(C72, ""low"", TODAY()-40, TODAY()), ""SELECT Col2 WHERE Col2 IS NOT NULL ORDE"&amp;"R BY Col1 DESC LIMIT 20"", 0) - 1)))"),"#N/A")</f>
        <v>#N/A</v>
      </c>
      <c r="H72" s="35" t="str">
        <f t="shared" si="6"/>
        <v/>
      </c>
      <c r="I72" s="35" t="str">
        <f t="shared" si="7"/>
        <v/>
      </c>
      <c r="J72" s="37" t="str">
        <f>IFERROR(__xludf.DUMMYFUNCTION("IFERROR(
  IF(C72="""",, 
    IFERROR(
      GOOGLEFINANCE(C72, ""price"") * GOOGLEFINANCE(C72, ""volumeavg""), 
      GOOGLEFINANCE(C72, ""price"") * AVERAGE(QUERY(GOOGLEFINANCE(C72, ""volume"", TODAY()-40, TODAY()), ""SELECT Col2 WHERE Col2 IS NOT NULL "&amp;"ORDER BY Col1 DESC LIMIT 20"", 0))
    )
  ), 
"""")"),"")</f>
        <v/>
      </c>
      <c r="K72" s="21" t="str">
        <f>IFERROR(__xludf.DUMMYFUNCTION("IFERROR(GOOGLEFINANCE(C72, ""changepct"") / 100, """")"),"")</f>
        <v/>
      </c>
      <c r="L72" s="21" t="str">
        <f>IFERROR(__xludf.DUMMYFUNCTION("IFERROR((GOOGLEFINANCE(C72, ""price"") / INDEX(GOOGLEFINANCE(C72, ""price"", TODAY()-7, TODAY()), 2, 2)) - 1, """")"),"")</f>
        <v/>
      </c>
      <c r="M72" s="21" t="str">
        <f>IFERROR(__xludf.DUMMYFUNCTION("IFERROR((GOOGLEFINANCE(C72, ""price"") / INDEX(GOOGLEFINANCE(C72, ""price"", EDATE(TODAY(), -1), TODAY()), 2, 2)) - 1, """")"),"")</f>
        <v/>
      </c>
      <c r="N72" s="21" t="str">
        <f>IFERROR(__xludf.DUMMYFUNCTION("IFERROR((GOOGLEFINANCE(C72, ""price"") / INDEX(GOOGLEFINANCE(C72, ""price"", EDATE(TODAY(), -3), TODAY()), 2, 2)) - 1, """")"),"")</f>
        <v/>
      </c>
      <c r="O72" s="21" t="str">
        <f>IFERROR(__xludf.DUMMYFUNCTION("IFERROR((GOOGLEFINANCE(C72, ""price"") / INDEX(GOOGLEFINANCE(C72, ""price"", EDATE(TODAY(), -6), TODAY()), 2, 2)) - 1, """")"),"")</f>
        <v/>
      </c>
      <c r="P72" s="21" t="str">
        <f>IFERROR(__xludf.DUMMYFUNCTION("IFERROR((GOOGLEFINANCE(C72, ""price"") / INDEX(GOOGLEFINANCE(C72, ""price"", EDATE(TODAY(), -12), TODAY()), 2, 2)) - 1, """")"),"")</f>
        <v/>
      </c>
      <c r="Q72" s="6" t="str">
        <f>IFERROR(__xludf.DUMMYFUNCTION("AVERAGE(QUERY(GOOGLEFINANCE(C72, ""price"", TODAY()-80, TODAY()), ""SELECT Col2 WHERE Col2 IS NOT NULL ORDER BY Col1 DESC LIMIT 50"", 0))"),"#N/A")</f>
        <v>#N/A</v>
      </c>
      <c r="R72" s="24" t="str">
        <f>IFERROR(__xludf.DUMMYFUNCTION("IFERROR(
  LET(
    data, QUERY(GOOGLEFINANCE(C72,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GOOGLEFINANCE(C72, ""price"")) * 100,
    IF(calc=0, G72, calc)
  ), 
G72)"),"#N/A")</f>
        <v>#N/A</v>
      </c>
      <c r="S72" s="8" t="s">
        <v>15</v>
      </c>
      <c r="T72" s="26" t="str">
        <f>IFERROR(__xludf.DUMMYFUNCTION("IFERROR(TRANSPOSE(QUERY(IFERROR(SORT(GOOGLEFINANCE(C72, ""price"", WORKDAY(TODAY(), -40), TODAY()), 1, FALSE)), ""select Col2 where Col2 is not null limit 22 label Col2 ''"", 0)), """")"),"")</f>
        <v/>
      </c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8"/>
      <c r="AO72" s="28"/>
      <c r="AP72" s="29"/>
      <c r="AQ72" s="29" t="str">
        <f t="shared" ref="AQ72:BL72" si="75">T72/T$2</f>
        <v>#N/A</v>
      </c>
      <c r="AR72" s="29" t="str">
        <f t="shared" si="75"/>
        <v>#DIV/0!</v>
      </c>
      <c r="AS72" s="29" t="str">
        <f t="shared" si="75"/>
        <v>#DIV/0!</v>
      </c>
      <c r="AT72" s="29" t="str">
        <f t="shared" si="75"/>
        <v>#DIV/0!</v>
      </c>
      <c r="AU72" s="29" t="str">
        <f t="shared" si="75"/>
        <v>#DIV/0!</v>
      </c>
      <c r="AV72" s="29" t="str">
        <f t="shared" si="75"/>
        <v>#DIV/0!</v>
      </c>
      <c r="AW72" s="29" t="str">
        <f t="shared" si="75"/>
        <v>#DIV/0!</v>
      </c>
      <c r="AX72" s="29" t="str">
        <f t="shared" si="75"/>
        <v>#DIV/0!</v>
      </c>
      <c r="AY72" s="29" t="str">
        <f t="shared" si="75"/>
        <v>#DIV/0!</v>
      </c>
      <c r="AZ72" s="29" t="str">
        <f t="shared" si="75"/>
        <v>#DIV/0!</v>
      </c>
      <c r="BA72" s="29" t="str">
        <f t="shared" si="75"/>
        <v>#DIV/0!</v>
      </c>
      <c r="BB72" s="29" t="str">
        <f t="shared" si="75"/>
        <v>#DIV/0!</v>
      </c>
      <c r="BC72" s="29" t="str">
        <f t="shared" si="75"/>
        <v>#DIV/0!</v>
      </c>
      <c r="BD72" s="29" t="str">
        <f t="shared" si="75"/>
        <v>#DIV/0!</v>
      </c>
      <c r="BE72" s="29" t="str">
        <f t="shared" si="75"/>
        <v>#DIV/0!</v>
      </c>
      <c r="BF72" s="29" t="str">
        <f t="shared" si="75"/>
        <v>#DIV/0!</v>
      </c>
      <c r="BG72" s="29" t="str">
        <f t="shared" si="75"/>
        <v>#DIV/0!</v>
      </c>
      <c r="BH72" s="29" t="str">
        <f t="shared" si="75"/>
        <v>#DIV/0!</v>
      </c>
      <c r="BI72" s="29" t="str">
        <f t="shared" si="75"/>
        <v>#DIV/0!</v>
      </c>
      <c r="BJ72" s="29" t="str">
        <f t="shared" si="75"/>
        <v>#DIV/0!</v>
      </c>
      <c r="BK72" s="29" t="str">
        <f t="shared" si="75"/>
        <v>#DIV/0!</v>
      </c>
      <c r="BL72" s="29" t="str">
        <f t="shared" si="75"/>
        <v>#DIV/0!</v>
      </c>
      <c r="BM72" s="29" t="str">
        <f t="shared" si="3"/>
        <v>#DIV/0!</v>
      </c>
    </row>
    <row r="73">
      <c r="A73" s="16" t="str">
        <f>IFERROR(__xludf.DUMMYFUNCTION("IFERROR(SPARKLINE(SORT(MAP(TRANSPOSE(AQ73:BL73), LAMBDA(val, IF(ISNUMBER(val), PERCENTRANK(AQ73:BL73, val)+0.01, 0))), SEQUENCE(COLUMNS(AQ73:BL73)), FALSE), {""charttype"",""column""; ""color"",""chartreuse""; ""ymin"", 0; ""ymax"", 1.01; ""highcolor"", "&amp;"""darkgreen""; ""lowcolor"", ""red""}), """")"),"")</f>
        <v/>
      </c>
      <c r="B73" s="17" t="str">
        <f t="shared" si="4"/>
        <v/>
      </c>
      <c r="C73" s="1" t="s">
        <v>2937</v>
      </c>
      <c r="D73" s="30" t="str">
        <f>IFERROR(__xludf.DUMMYFUNCTION("IFERROR(GOOGLEFINANCE(C73, ""NAME""))"),"Independence Realty Trust, Inc")</f>
        <v>Independence Realty Trust, Inc</v>
      </c>
      <c r="E73" s="30" t="s">
        <v>2760</v>
      </c>
      <c r="F73" s="33" t="str">
        <f>IFERROR(__xludf.DUMMYFUNCTION("( (GOOGLEFINANCE(C73, ""price"") - Q73) / Q73 ) / (R73 / 100)"),"Loading...")</f>
        <v>Loading...</v>
      </c>
      <c r="G73" s="20" t="str">
        <f>IFERROR(__xludf.DUMMYFUNCTION("AVERAGE(ARRAYFORMULA(100 * (QUERY(GOOGLEFINANCE(C73, ""high"", TODAY()-40, TODAY()), ""SELECT Col2 WHERE Col2 IS NOT NULL ORDER BY Col1 DESC LIMIT 20"", 0) / QUERY(GOOGLEFINANCE(C73, ""low"", TODAY()-40, TODAY()), ""SELECT Col2 WHERE Col2 IS NOT NULL ORDE"&amp;"R BY Col1 DESC LIMIT 20"", 0) - 1)))"),"#N/A")</f>
        <v>#N/A</v>
      </c>
      <c r="H73" s="35" t="str">
        <f t="shared" si="6"/>
        <v>Liquid</v>
      </c>
      <c r="I73" s="35" t="str">
        <f t="shared" si="7"/>
        <v>RVol Required</v>
      </c>
      <c r="J73" s="37">
        <f>IFERROR(__xludf.DUMMYFUNCTION("IFERROR(
  IF(C73="""",, 
    IFERROR(
      GOOGLEFINANCE(C73, ""price"") * GOOGLEFINANCE(C73, ""volumeavg""), 
      GOOGLEFINANCE(C73, ""price"") * AVERAGE(QUERY(GOOGLEFINANCE(C73, ""volume"", TODAY()-40, TODAY()), ""SELECT Col2 WHERE Col2 IS NOT NULL "&amp;"ORDER BY Col1 DESC LIMIT 20"", 0))
    )
  ), 
"""")"),6.0029888239999995E7)</f>
        <v>60029888.24</v>
      </c>
      <c r="K73" s="21">
        <f>IFERROR(__xludf.DUMMYFUNCTION("IFERROR(GOOGLEFINANCE(C73, ""changepct"") / 100, """")"),0.0048)</f>
        <v>0.0048</v>
      </c>
      <c r="L73" s="21" t="str">
        <f>IFERROR(__xludf.DUMMYFUNCTION("IFERROR((GOOGLEFINANCE(C73, ""price"") / INDEX(GOOGLEFINANCE(C73, ""price"", TODAY()-7, TODAY()), 2, 2)) - 1, """")"),"")</f>
        <v/>
      </c>
      <c r="M73" s="21" t="str">
        <f>IFERROR(__xludf.DUMMYFUNCTION("IFERROR((GOOGLEFINANCE(C73, ""price"") / INDEX(GOOGLEFINANCE(C73, ""price"", EDATE(TODAY(), -1), TODAY()), 2, 2)) - 1, """")"),"")</f>
        <v/>
      </c>
      <c r="N73" s="21" t="str">
        <f>IFERROR(__xludf.DUMMYFUNCTION("IFERROR((GOOGLEFINANCE(C73, ""price"") / INDEX(GOOGLEFINANCE(C73, ""price"", EDATE(TODAY(), -3), TODAY()), 2, 2)) - 1, """")"),"")</f>
        <v/>
      </c>
      <c r="O73" s="21" t="str">
        <f>IFERROR(__xludf.DUMMYFUNCTION("IFERROR((GOOGLEFINANCE(C73, ""price"") / INDEX(GOOGLEFINANCE(C73, ""price"", EDATE(TODAY(), -6), TODAY()), 2, 2)) - 1, """")"),"")</f>
        <v/>
      </c>
      <c r="P73" s="21" t="str">
        <f>IFERROR(__xludf.DUMMYFUNCTION("IFERROR((GOOGLEFINANCE(C73, ""price"") / INDEX(GOOGLEFINANCE(C73, ""price"", EDATE(TODAY(), -12), TODAY()), 2, 2)) - 1, """")"),"")</f>
        <v/>
      </c>
      <c r="Q73" s="6" t="str">
        <f>IFERROR(__xludf.DUMMYFUNCTION("AVERAGE(QUERY(GOOGLEFINANCE(C73, ""price"", TODAY()-80, TODAY()), ""SELECT Col2 WHERE Col2 IS NOT NULL ORDER BY Col1 DESC LIMIT 50"", 0))"),"#N/A")</f>
        <v>#N/A</v>
      </c>
      <c r="R73" s="24" t="str">
        <f>IFERROR(__xludf.DUMMYFUNCTION("IFERROR(
  LET(
    data, QUERY(GOOGLEFINANCE(C73,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GOOGLEFINANCE(C73, ""price"")) * 100,
    IF(calc=0, G73, calc)
  ), 
G73)"),"#N/A")</f>
        <v>#N/A</v>
      </c>
      <c r="S73" s="8" t="s">
        <v>15</v>
      </c>
      <c r="T73" s="26" t="str">
        <f>IFERROR(__xludf.DUMMYFUNCTION("IFERROR(TRANSPOSE(QUERY(IFERROR(SORT(GOOGLEFINANCE(C73, ""price"", WORKDAY(TODAY(), -40), TODAY()), 1, FALSE)), ""select Col2 where Col2 is not null limit 22 label Col2 ''"", 0)), """")"),"")</f>
        <v/>
      </c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8"/>
      <c r="AO73" s="28"/>
      <c r="AP73" s="29"/>
      <c r="AQ73" s="29" t="str">
        <f t="shared" ref="AQ73:BL73" si="76">T73/T$2</f>
        <v>#N/A</v>
      </c>
      <c r="AR73" s="29" t="str">
        <f t="shared" si="76"/>
        <v>#DIV/0!</v>
      </c>
      <c r="AS73" s="29" t="str">
        <f t="shared" si="76"/>
        <v>#DIV/0!</v>
      </c>
      <c r="AT73" s="29" t="str">
        <f t="shared" si="76"/>
        <v>#DIV/0!</v>
      </c>
      <c r="AU73" s="29" t="str">
        <f t="shared" si="76"/>
        <v>#DIV/0!</v>
      </c>
      <c r="AV73" s="29" t="str">
        <f t="shared" si="76"/>
        <v>#DIV/0!</v>
      </c>
      <c r="AW73" s="29" t="str">
        <f t="shared" si="76"/>
        <v>#DIV/0!</v>
      </c>
      <c r="AX73" s="29" t="str">
        <f t="shared" si="76"/>
        <v>#DIV/0!</v>
      </c>
      <c r="AY73" s="29" t="str">
        <f t="shared" si="76"/>
        <v>#DIV/0!</v>
      </c>
      <c r="AZ73" s="29" t="str">
        <f t="shared" si="76"/>
        <v>#DIV/0!</v>
      </c>
      <c r="BA73" s="29" t="str">
        <f t="shared" si="76"/>
        <v>#DIV/0!</v>
      </c>
      <c r="BB73" s="29" t="str">
        <f t="shared" si="76"/>
        <v>#DIV/0!</v>
      </c>
      <c r="BC73" s="29" t="str">
        <f t="shared" si="76"/>
        <v>#DIV/0!</v>
      </c>
      <c r="BD73" s="29" t="str">
        <f t="shared" si="76"/>
        <v>#DIV/0!</v>
      </c>
      <c r="BE73" s="29" t="str">
        <f t="shared" si="76"/>
        <v>#DIV/0!</v>
      </c>
      <c r="BF73" s="29" t="str">
        <f t="shared" si="76"/>
        <v>#DIV/0!</v>
      </c>
      <c r="BG73" s="29" t="str">
        <f t="shared" si="76"/>
        <v>#DIV/0!</v>
      </c>
      <c r="BH73" s="29" t="str">
        <f t="shared" si="76"/>
        <v>#DIV/0!</v>
      </c>
      <c r="BI73" s="29" t="str">
        <f t="shared" si="76"/>
        <v>#DIV/0!</v>
      </c>
      <c r="BJ73" s="29" t="str">
        <f t="shared" si="76"/>
        <v>#DIV/0!</v>
      </c>
      <c r="BK73" s="29" t="str">
        <f t="shared" si="76"/>
        <v>#DIV/0!</v>
      </c>
      <c r="BL73" s="29" t="str">
        <f t="shared" si="76"/>
        <v>#DIV/0!</v>
      </c>
      <c r="BM73" s="29" t="str">
        <f t="shared" si="3"/>
        <v>#DIV/0!</v>
      </c>
    </row>
    <row r="74">
      <c r="A74" s="16" t="str">
        <f>IFERROR(__xludf.DUMMYFUNCTION("IFERROR(SPARKLINE(SORT(MAP(TRANSPOSE(AQ74:BL74), LAMBDA(val, IF(ISNUMBER(val), PERCENTRANK(AQ74:BL74, val)+0.01, 0))), SEQUENCE(COLUMNS(AQ74:BL74)), FALSE), {""charttype"",""column""; ""color"",""chartreuse""; ""ymin"", 0; ""ymax"", 1.01; ""highcolor"", "&amp;"""darkgreen""; ""lowcolor"", ""red""}), """")"),"")</f>
        <v/>
      </c>
      <c r="B74" s="17" t="str">
        <f t="shared" si="4"/>
        <v/>
      </c>
      <c r="C74" s="1" t="s">
        <v>2942</v>
      </c>
      <c r="D74" s="30" t="str">
        <f>IFERROR(__xludf.DUMMYFUNCTION("IFERROR(GOOGLEFINANCE(C74, ""NAME""))"),"Ellington Financial Inc")</f>
        <v>Ellington Financial Inc</v>
      </c>
      <c r="E74" s="30" t="s">
        <v>2682</v>
      </c>
      <c r="F74" s="33" t="str">
        <f>IFERROR(__xludf.DUMMYFUNCTION("( (GOOGLEFINANCE(C74, ""price"") - Q74) / Q74 ) / (R74 / 100)"),"Loading...")</f>
        <v>Loading...</v>
      </c>
      <c r="G74" s="20" t="str">
        <f>IFERROR(__xludf.DUMMYFUNCTION("AVERAGE(ARRAYFORMULA(100 * (QUERY(GOOGLEFINANCE(C74, ""high"", TODAY()-40, TODAY()), ""SELECT Col2 WHERE Col2 IS NOT NULL ORDER BY Col1 DESC LIMIT 20"", 0) / QUERY(GOOGLEFINANCE(C74, ""low"", TODAY()-40, TODAY()), ""SELECT Col2 WHERE Col2 IS NOT NULL ORDE"&amp;"R BY Col1 DESC LIMIT 20"", 0) - 1)))"),"#N/A")</f>
        <v>#N/A</v>
      </c>
      <c r="H74" s="35" t="str">
        <f t="shared" si="6"/>
        <v>Illiquid</v>
      </c>
      <c r="I74" s="35" t="str">
        <f t="shared" si="7"/>
        <v>RVol Required</v>
      </c>
      <c r="J74" s="37">
        <f>IFERROR(__xludf.DUMMYFUNCTION("IFERROR(
  IF(C74="""",, 
    IFERROR(
      GOOGLEFINANCE(C74, ""price"") * GOOGLEFINANCE(C74, ""volumeavg""), 
      GOOGLEFINANCE(C74, ""price"") * AVERAGE(QUERY(GOOGLEFINANCE(C74, ""volume"", TODAY()-40, TODAY()), ""SELECT Col2 WHERE Col2 IS NOT NULL "&amp;"ORDER BY Col1 DESC LIMIT 20"", 0))
    )
  ), 
"""")"),1.8991364E7)</f>
        <v>18991364</v>
      </c>
      <c r="K74" s="21">
        <f>IFERROR(__xludf.DUMMYFUNCTION("IFERROR(GOOGLEFINANCE(C74, ""changepct"") / 100, """")"),-0.021)</f>
        <v>-0.021</v>
      </c>
      <c r="L74" s="21" t="str">
        <f>IFERROR(__xludf.DUMMYFUNCTION("IFERROR((GOOGLEFINANCE(C74, ""price"") / INDEX(GOOGLEFINANCE(C74, ""price"", TODAY()-7, TODAY()), 2, 2)) - 1, """")"),"")</f>
        <v/>
      </c>
      <c r="M74" s="21" t="str">
        <f>IFERROR(__xludf.DUMMYFUNCTION("IFERROR((GOOGLEFINANCE(C74, ""price"") / INDEX(GOOGLEFINANCE(C74, ""price"", EDATE(TODAY(), -1), TODAY()), 2, 2)) - 1, """")"),"")</f>
        <v/>
      </c>
      <c r="N74" s="21" t="str">
        <f>IFERROR(__xludf.DUMMYFUNCTION("IFERROR((GOOGLEFINANCE(C74, ""price"") / INDEX(GOOGLEFINANCE(C74, ""price"", EDATE(TODAY(), -3), TODAY()), 2, 2)) - 1, """")"),"")</f>
        <v/>
      </c>
      <c r="O74" s="21" t="str">
        <f>IFERROR(__xludf.DUMMYFUNCTION("IFERROR((GOOGLEFINANCE(C74, ""price"") / INDEX(GOOGLEFINANCE(C74, ""price"", EDATE(TODAY(), -6), TODAY()), 2, 2)) - 1, """")"),"")</f>
        <v/>
      </c>
      <c r="P74" s="21" t="str">
        <f>IFERROR(__xludf.DUMMYFUNCTION("IFERROR((GOOGLEFINANCE(C74, ""price"") / INDEX(GOOGLEFINANCE(C74, ""price"", EDATE(TODAY(), -12), TODAY()), 2, 2)) - 1, """")"),"")</f>
        <v/>
      </c>
      <c r="Q74" s="6" t="str">
        <f>IFERROR(__xludf.DUMMYFUNCTION("AVERAGE(QUERY(GOOGLEFINANCE(C74, ""price"", TODAY()-80, TODAY()), ""SELECT Col2 WHERE Col2 IS NOT NULL ORDER BY Col1 DESC LIMIT 50"", 0))"),"#N/A")</f>
        <v>#N/A</v>
      </c>
      <c r="R74" s="24" t="str">
        <f>IFERROR(__xludf.DUMMYFUNCTION("IFERROR(
  LET(
    data, QUERY(GOOGLEFINANCE(C74,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GOOGLEFINANCE(C74, ""price"")) * 100,
    IF(calc=0, G74, calc)
  ), 
G74)"),"#N/A")</f>
        <v>#N/A</v>
      </c>
      <c r="S74" s="8" t="s">
        <v>15</v>
      </c>
      <c r="T74" s="26" t="str">
        <f>IFERROR(__xludf.DUMMYFUNCTION("IFERROR(TRANSPOSE(QUERY(IFERROR(SORT(GOOGLEFINANCE(C74, ""price"", WORKDAY(TODAY(), -40), TODAY()), 1, FALSE)), ""select Col2 where Col2 is not null limit 22 label Col2 ''"", 0)), """")"),"")</f>
        <v/>
      </c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8"/>
      <c r="AO74" s="28"/>
      <c r="AP74" s="29"/>
      <c r="AQ74" s="29" t="str">
        <f t="shared" ref="AQ74:BL74" si="77">T74/T$2</f>
        <v>#N/A</v>
      </c>
      <c r="AR74" s="29" t="str">
        <f t="shared" si="77"/>
        <v>#DIV/0!</v>
      </c>
      <c r="AS74" s="29" t="str">
        <f t="shared" si="77"/>
        <v>#DIV/0!</v>
      </c>
      <c r="AT74" s="29" t="str">
        <f t="shared" si="77"/>
        <v>#DIV/0!</v>
      </c>
      <c r="AU74" s="29" t="str">
        <f t="shared" si="77"/>
        <v>#DIV/0!</v>
      </c>
      <c r="AV74" s="29" t="str">
        <f t="shared" si="77"/>
        <v>#DIV/0!</v>
      </c>
      <c r="AW74" s="29" t="str">
        <f t="shared" si="77"/>
        <v>#DIV/0!</v>
      </c>
      <c r="AX74" s="29" t="str">
        <f t="shared" si="77"/>
        <v>#DIV/0!</v>
      </c>
      <c r="AY74" s="29" t="str">
        <f t="shared" si="77"/>
        <v>#DIV/0!</v>
      </c>
      <c r="AZ74" s="29" t="str">
        <f t="shared" si="77"/>
        <v>#DIV/0!</v>
      </c>
      <c r="BA74" s="29" t="str">
        <f t="shared" si="77"/>
        <v>#DIV/0!</v>
      </c>
      <c r="BB74" s="29" t="str">
        <f t="shared" si="77"/>
        <v>#DIV/0!</v>
      </c>
      <c r="BC74" s="29" t="str">
        <f t="shared" si="77"/>
        <v>#DIV/0!</v>
      </c>
      <c r="BD74" s="29" t="str">
        <f t="shared" si="77"/>
        <v>#DIV/0!</v>
      </c>
      <c r="BE74" s="29" t="str">
        <f t="shared" si="77"/>
        <v>#DIV/0!</v>
      </c>
      <c r="BF74" s="29" t="str">
        <f t="shared" si="77"/>
        <v>#DIV/0!</v>
      </c>
      <c r="BG74" s="29" t="str">
        <f t="shared" si="77"/>
        <v>#DIV/0!</v>
      </c>
      <c r="BH74" s="29" t="str">
        <f t="shared" si="77"/>
        <v>#DIV/0!</v>
      </c>
      <c r="BI74" s="29" t="str">
        <f t="shared" si="77"/>
        <v>#DIV/0!</v>
      </c>
      <c r="BJ74" s="29" t="str">
        <f t="shared" si="77"/>
        <v>#DIV/0!</v>
      </c>
      <c r="BK74" s="29" t="str">
        <f t="shared" si="77"/>
        <v>#DIV/0!</v>
      </c>
      <c r="BL74" s="29" t="str">
        <f t="shared" si="77"/>
        <v>#DIV/0!</v>
      </c>
      <c r="BM74" s="29" t="str">
        <f t="shared" si="3"/>
        <v>#DIV/0!</v>
      </c>
    </row>
    <row r="75">
      <c r="A75" s="16" t="str">
        <f>IFERROR(__xludf.DUMMYFUNCTION("IFERROR(SPARKLINE(SORT(MAP(TRANSPOSE(AQ75:BL75), LAMBDA(val, IF(ISNUMBER(val), PERCENTRANK(AQ75:BL75, val)+0.01, 0))), SEQUENCE(COLUMNS(AQ75:BL75)), FALSE), {""charttype"",""column""; ""color"",""chartreuse""; ""ymin"", 0; ""ymax"", 1.01; ""highcolor"", "&amp;"""darkgreen""; ""lowcolor"", ""red""}), """")"),"")</f>
        <v/>
      </c>
      <c r="B75" s="17" t="str">
        <f t="shared" si="4"/>
        <v/>
      </c>
      <c r="C75" s="1" t="s">
        <v>2947</v>
      </c>
      <c r="D75" s="30" t="str">
        <f>IFERROR(__xludf.DUMMYFUNCTION("IFERROR(GOOGLEFINANCE(C75, ""NAME""))"),"Camden Property Trust")</f>
        <v>Camden Property Trust</v>
      </c>
      <c r="E75" s="30" t="s">
        <v>2760</v>
      </c>
      <c r="F75" s="33" t="str">
        <f>IFERROR(__xludf.DUMMYFUNCTION("( (GOOGLEFINANCE(C75, ""price"") - Q75) / Q75 ) / (R75 / 100)"),"Loading...")</f>
        <v>Loading...</v>
      </c>
      <c r="G75" s="20" t="str">
        <f>IFERROR(__xludf.DUMMYFUNCTION("AVERAGE(ARRAYFORMULA(100 * (QUERY(GOOGLEFINANCE(C75, ""high"", TODAY()-40, TODAY()), ""SELECT Col2 WHERE Col2 IS NOT NULL ORDER BY Col1 DESC LIMIT 20"", 0) / QUERY(GOOGLEFINANCE(C75, ""low"", TODAY()-40, TODAY()), ""SELECT Col2 WHERE Col2 IS NOT NULL ORDE"&amp;"R BY Col1 DESC LIMIT 20"", 0) - 1)))"),"#N/A")</f>
        <v>#N/A</v>
      </c>
      <c r="H75" s="35" t="str">
        <f t="shared" si="6"/>
        <v>Liquid</v>
      </c>
      <c r="I75" s="35" t="str">
        <f t="shared" si="7"/>
        <v>RVol Required</v>
      </c>
      <c r="J75" s="37">
        <f>IFERROR(__xludf.DUMMYFUNCTION("IFERROR(
  IF(C75="""",, 
    IFERROR(
      GOOGLEFINANCE(C75, ""price"") * GOOGLEFINANCE(C75, ""volumeavg""), 
      GOOGLEFINANCE(C75, ""price"") * AVERAGE(QUERY(GOOGLEFINANCE(C75, ""volume"", TODAY()-40, TODAY()), ""SELECT Col2 WHERE Col2 IS NOT NULL "&amp;"ORDER BY Col1 DESC LIMIT 20"", 0))
    )
  ), 
"""")"),1.0706706397E8)</f>
        <v>107067064</v>
      </c>
      <c r="K75" s="21">
        <f>IFERROR(__xludf.DUMMYFUNCTION("IFERROR(GOOGLEFINANCE(C75, ""changepct"") / 100, """")"),0.0040999999999999995)</f>
        <v>0.0041</v>
      </c>
      <c r="L75" s="21" t="str">
        <f>IFERROR(__xludf.DUMMYFUNCTION("IFERROR((GOOGLEFINANCE(C75, ""price"") / INDEX(GOOGLEFINANCE(C75, ""price"", TODAY()-7, TODAY()), 2, 2)) - 1, """")"),"")</f>
        <v/>
      </c>
      <c r="M75" s="21" t="str">
        <f>IFERROR(__xludf.DUMMYFUNCTION("IFERROR((GOOGLEFINANCE(C75, ""price"") / INDEX(GOOGLEFINANCE(C75, ""price"", EDATE(TODAY(), -1), TODAY()), 2, 2)) - 1, """")"),"")</f>
        <v/>
      </c>
      <c r="N75" s="21" t="str">
        <f>IFERROR(__xludf.DUMMYFUNCTION("IFERROR((GOOGLEFINANCE(C75, ""price"") / INDEX(GOOGLEFINANCE(C75, ""price"", EDATE(TODAY(), -3), TODAY()), 2, 2)) - 1, """")"),"")</f>
        <v/>
      </c>
      <c r="O75" s="21" t="str">
        <f>IFERROR(__xludf.DUMMYFUNCTION("IFERROR((GOOGLEFINANCE(C75, ""price"") / INDEX(GOOGLEFINANCE(C75, ""price"", EDATE(TODAY(), -6), TODAY()), 2, 2)) - 1, """")"),"")</f>
        <v/>
      </c>
      <c r="P75" s="21" t="str">
        <f>IFERROR(__xludf.DUMMYFUNCTION("IFERROR((GOOGLEFINANCE(C75, ""price"") / INDEX(GOOGLEFINANCE(C75, ""price"", EDATE(TODAY(), -12), TODAY()), 2, 2)) - 1, """")"),"")</f>
        <v/>
      </c>
      <c r="Q75" s="6" t="str">
        <f>IFERROR(__xludf.DUMMYFUNCTION("AVERAGE(QUERY(GOOGLEFINANCE(C75, ""price"", TODAY()-80, TODAY()), ""SELECT Col2 WHERE Col2 IS NOT NULL ORDER BY Col1 DESC LIMIT 50"", 0))"),"#N/A")</f>
        <v>#N/A</v>
      </c>
      <c r="R75" s="24" t="str">
        <f>IFERROR(__xludf.DUMMYFUNCTION("IFERROR(
  LET(
    data, QUERY(GOOGLEFINANCE(C75,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GOOGLEFINANCE(C75, ""price"")) * 100,
    IF(calc=0, G75, calc)
  ), 
G75)"),"#N/A")</f>
        <v>#N/A</v>
      </c>
      <c r="S75" s="8" t="s">
        <v>15</v>
      </c>
      <c r="T75" s="26" t="str">
        <f>IFERROR(__xludf.DUMMYFUNCTION("IFERROR(TRANSPOSE(QUERY(IFERROR(SORT(GOOGLEFINANCE(C75, ""price"", WORKDAY(TODAY(), -40), TODAY()), 1, FALSE)), ""select Col2 where Col2 is not null limit 22 label Col2 ''"", 0)), """")"),"")</f>
        <v/>
      </c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8"/>
      <c r="AO75" s="28"/>
      <c r="AP75" s="29"/>
      <c r="AQ75" s="29" t="str">
        <f t="shared" ref="AQ75:BL75" si="78">T75/T$2</f>
        <v>#N/A</v>
      </c>
      <c r="AR75" s="29" t="str">
        <f t="shared" si="78"/>
        <v>#DIV/0!</v>
      </c>
      <c r="AS75" s="29" t="str">
        <f t="shared" si="78"/>
        <v>#DIV/0!</v>
      </c>
      <c r="AT75" s="29" t="str">
        <f t="shared" si="78"/>
        <v>#DIV/0!</v>
      </c>
      <c r="AU75" s="29" t="str">
        <f t="shared" si="78"/>
        <v>#DIV/0!</v>
      </c>
      <c r="AV75" s="29" t="str">
        <f t="shared" si="78"/>
        <v>#DIV/0!</v>
      </c>
      <c r="AW75" s="29" t="str">
        <f t="shared" si="78"/>
        <v>#DIV/0!</v>
      </c>
      <c r="AX75" s="29" t="str">
        <f t="shared" si="78"/>
        <v>#DIV/0!</v>
      </c>
      <c r="AY75" s="29" t="str">
        <f t="shared" si="78"/>
        <v>#DIV/0!</v>
      </c>
      <c r="AZ75" s="29" t="str">
        <f t="shared" si="78"/>
        <v>#DIV/0!</v>
      </c>
      <c r="BA75" s="29" t="str">
        <f t="shared" si="78"/>
        <v>#DIV/0!</v>
      </c>
      <c r="BB75" s="29" t="str">
        <f t="shared" si="78"/>
        <v>#DIV/0!</v>
      </c>
      <c r="BC75" s="29" t="str">
        <f t="shared" si="78"/>
        <v>#DIV/0!</v>
      </c>
      <c r="BD75" s="29" t="str">
        <f t="shared" si="78"/>
        <v>#DIV/0!</v>
      </c>
      <c r="BE75" s="29" t="str">
        <f t="shared" si="78"/>
        <v>#DIV/0!</v>
      </c>
      <c r="BF75" s="29" t="str">
        <f t="shared" si="78"/>
        <v>#DIV/0!</v>
      </c>
      <c r="BG75" s="29" t="str">
        <f t="shared" si="78"/>
        <v>#DIV/0!</v>
      </c>
      <c r="BH75" s="29" t="str">
        <f t="shared" si="78"/>
        <v>#DIV/0!</v>
      </c>
      <c r="BI75" s="29" t="str">
        <f t="shared" si="78"/>
        <v>#DIV/0!</v>
      </c>
      <c r="BJ75" s="29" t="str">
        <f t="shared" si="78"/>
        <v>#DIV/0!</v>
      </c>
      <c r="BK75" s="29" t="str">
        <f t="shared" si="78"/>
        <v>#DIV/0!</v>
      </c>
      <c r="BL75" s="29" t="str">
        <f t="shared" si="78"/>
        <v>#DIV/0!</v>
      </c>
      <c r="BM75" s="29" t="str">
        <f t="shared" si="3"/>
        <v>#DIV/0!</v>
      </c>
    </row>
    <row r="76">
      <c r="A76" s="16" t="str">
        <f>IFERROR(__xludf.DUMMYFUNCTION("IFERROR(SPARKLINE(SORT(MAP(TRANSPOSE(AQ76:BL76), LAMBDA(val, IF(ISNUMBER(val), PERCENTRANK(AQ76:BL76, val)+0.01, 0))), SEQUENCE(COLUMNS(AQ76:BL76)), FALSE), {""charttype"",""column""; ""color"",""chartreuse""; ""ymin"", 0; ""ymax"", 1.01; ""highcolor"", "&amp;"""darkgreen""; ""lowcolor"", ""red""}), """")"),"")</f>
        <v/>
      </c>
      <c r="B76" s="17" t="str">
        <f t="shared" si="4"/>
        <v/>
      </c>
      <c r="C76" s="1" t="s">
        <v>2952</v>
      </c>
      <c r="D76" s="30" t="str">
        <f>IFERROR(__xludf.DUMMYFUNCTION("IFERROR(GOOGLEFINANCE(C76, ""NAME""))"),"Diamondrock Hospitality Co")</f>
        <v>Diamondrock Hospitality Co</v>
      </c>
      <c r="E76" s="30" t="s">
        <v>2674</v>
      </c>
      <c r="F76" s="33" t="str">
        <f>IFERROR(__xludf.DUMMYFUNCTION("( (GOOGLEFINANCE(C76, ""price"") - Q76) / Q76 ) / (R76 / 100)"),"Loading...")</f>
        <v>Loading...</v>
      </c>
      <c r="G76" s="20" t="str">
        <f>IFERROR(__xludf.DUMMYFUNCTION("AVERAGE(ARRAYFORMULA(100 * (QUERY(GOOGLEFINANCE(C76, ""high"", TODAY()-40, TODAY()), ""SELECT Col2 WHERE Col2 IS NOT NULL ORDER BY Col1 DESC LIMIT 20"", 0) / QUERY(GOOGLEFINANCE(C76, ""low"", TODAY()-40, TODAY()), ""SELECT Col2 WHERE Col2 IS NOT NULL ORDE"&amp;"R BY Col1 DESC LIMIT 20"", 0) - 1)))"),"#N/A")</f>
        <v>#N/A</v>
      </c>
      <c r="H76" s="35" t="str">
        <f t="shared" si="6"/>
        <v>Illiquid</v>
      </c>
      <c r="I76" s="35" t="str">
        <f t="shared" si="7"/>
        <v>RVol Required</v>
      </c>
      <c r="J76" s="37">
        <f>IFERROR(__xludf.DUMMYFUNCTION("IFERROR(
  IF(C76="""",, 
    IFERROR(
      GOOGLEFINANCE(C76, ""price"") * GOOGLEFINANCE(C76, ""volumeavg""), 
      GOOGLEFINANCE(C76, ""price"") * AVERAGE(QUERY(GOOGLEFINANCE(C76, ""volume"", TODAY()-40, TODAY()), ""SELECT Col2 WHERE Col2 IS NOT NULL "&amp;"ORDER BY Col1 DESC LIMIT 20"", 0))
    )
  ), 
"""")"),4.273017914E7)</f>
        <v>42730179.14</v>
      </c>
      <c r="K76" s="21">
        <f>IFERROR(__xludf.DUMMYFUNCTION("IFERROR(GOOGLEFINANCE(C76, ""changepct"") / 100, """")"),0.0105)</f>
        <v>0.0105</v>
      </c>
      <c r="L76" s="21" t="str">
        <f>IFERROR(__xludf.DUMMYFUNCTION("IFERROR((GOOGLEFINANCE(C76, ""price"") / INDEX(GOOGLEFINANCE(C76, ""price"", TODAY()-7, TODAY()), 2, 2)) - 1, """")"),"")</f>
        <v/>
      </c>
      <c r="M76" s="21" t="str">
        <f>IFERROR(__xludf.DUMMYFUNCTION("IFERROR((GOOGLEFINANCE(C76, ""price"") / INDEX(GOOGLEFINANCE(C76, ""price"", EDATE(TODAY(), -1), TODAY()), 2, 2)) - 1, """")"),"")</f>
        <v/>
      </c>
      <c r="N76" s="21" t="str">
        <f>IFERROR(__xludf.DUMMYFUNCTION("IFERROR((GOOGLEFINANCE(C76, ""price"") / INDEX(GOOGLEFINANCE(C76, ""price"", EDATE(TODAY(), -3), TODAY()), 2, 2)) - 1, """")"),"")</f>
        <v/>
      </c>
      <c r="O76" s="21" t="str">
        <f>IFERROR(__xludf.DUMMYFUNCTION("IFERROR((GOOGLEFINANCE(C76, ""price"") / INDEX(GOOGLEFINANCE(C76, ""price"", EDATE(TODAY(), -6), TODAY()), 2, 2)) - 1, """")"),"")</f>
        <v/>
      </c>
      <c r="P76" s="21" t="str">
        <f>IFERROR(__xludf.DUMMYFUNCTION("IFERROR((GOOGLEFINANCE(C76, ""price"") / INDEX(GOOGLEFINANCE(C76, ""price"", EDATE(TODAY(), -12), TODAY()), 2, 2)) - 1, """")"),"")</f>
        <v/>
      </c>
      <c r="Q76" s="6" t="str">
        <f>IFERROR(__xludf.DUMMYFUNCTION("AVERAGE(QUERY(GOOGLEFINANCE(C76, ""price"", TODAY()-80, TODAY()), ""SELECT Col2 WHERE Col2 IS NOT NULL ORDER BY Col1 DESC LIMIT 50"", 0))"),"#N/A")</f>
        <v>#N/A</v>
      </c>
      <c r="R76" s="24" t="str">
        <f>IFERROR(__xludf.DUMMYFUNCTION("IFERROR(
  LET(
    data, QUERY(GOOGLEFINANCE(C76,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GOOGLEFINANCE(C76, ""price"")) * 100,
    IF(calc=0, G76, calc)
  ), 
G76)"),"#N/A")</f>
        <v>#N/A</v>
      </c>
      <c r="S76" s="8" t="s">
        <v>15</v>
      </c>
      <c r="T76" s="26" t="str">
        <f>IFERROR(__xludf.DUMMYFUNCTION("IFERROR(TRANSPOSE(QUERY(IFERROR(SORT(GOOGLEFINANCE(C76, ""price"", WORKDAY(TODAY(), -40), TODAY()), 1, FALSE)), ""select Col2 where Col2 is not null limit 22 label Col2 ''"", 0)), """")"),"")</f>
        <v/>
      </c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8"/>
      <c r="AO76" s="28"/>
      <c r="AP76" s="29"/>
      <c r="AQ76" s="29" t="str">
        <f t="shared" ref="AQ76:BL76" si="79">T76/T$2</f>
        <v>#N/A</v>
      </c>
      <c r="AR76" s="29" t="str">
        <f t="shared" si="79"/>
        <v>#DIV/0!</v>
      </c>
      <c r="AS76" s="29" t="str">
        <f t="shared" si="79"/>
        <v>#DIV/0!</v>
      </c>
      <c r="AT76" s="29" t="str">
        <f t="shared" si="79"/>
        <v>#DIV/0!</v>
      </c>
      <c r="AU76" s="29" t="str">
        <f t="shared" si="79"/>
        <v>#DIV/0!</v>
      </c>
      <c r="AV76" s="29" t="str">
        <f t="shared" si="79"/>
        <v>#DIV/0!</v>
      </c>
      <c r="AW76" s="29" t="str">
        <f t="shared" si="79"/>
        <v>#DIV/0!</v>
      </c>
      <c r="AX76" s="29" t="str">
        <f t="shared" si="79"/>
        <v>#DIV/0!</v>
      </c>
      <c r="AY76" s="29" t="str">
        <f t="shared" si="79"/>
        <v>#DIV/0!</v>
      </c>
      <c r="AZ76" s="29" t="str">
        <f t="shared" si="79"/>
        <v>#DIV/0!</v>
      </c>
      <c r="BA76" s="29" t="str">
        <f t="shared" si="79"/>
        <v>#DIV/0!</v>
      </c>
      <c r="BB76" s="29" t="str">
        <f t="shared" si="79"/>
        <v>#DIV/0!</v>
      </c>
      <c r="BC76" s="29" t="str">
        <f t="shared" si="79"/>
        <v>#DIV/0!</v>
      </c>
      <c r="BD76" s="29" t="str">
        <f t="shared" si="79"/>
        <v>#DIV/0!</v>
      </c>
      <c r="BE76" s="29" t="str">
        <f t="shared" si="79"/>
        <v>#DIV/0!</v>
      </c>
      <c r="BF76" s="29" t="str">
        <f t="shared" si="79"/>
        <v>#DIV/0!</v>
      </c>
      <c r="BG76" s="29" t="str">
        <f t="shared" si="79"/>
        <v>#DIV/0!</v>
      </c>
      <c r="BH76" s="29" t="str">
        <f t="shared" si="79"/>
        <v>#DIV/0!</v>
      </c>
      <c r="BI76" s="29" t="str">
        <f t="shared" si="79"/>
        <v>#DIV/0!</v>
      </c>
      <c r="BJ76" s="29" t="str">
        <f t="shared" si="79"/>
        <v>#DIV/0!</v>
      </c>
      <c r="BK76" s="29" t="str">
        <f t="shared" si="79"/>
        <v>#DIV/0!</v>
      </c>
      <c r="BL76" s="29" t="str">
        <f t="shared" si="79"/>
        <v>#DIV/0!</v>
      </c>
      <c r="BM76" s="29" t="str">
        <f t="shared" si="3"/>
        <v>#DIV/0!</v>
      </c>
    </row>
    <row r="77">
      <c r="A77" s="16" t="str">
        <f>IFERROR(__xludf.DUMMYFUNCTION("IFERROR(SPARKLINE(SORT(MAP(TRANSPOSE(AQ77:BL77), LAMBDA(val, IF(ISNUMBER(val), PERCENTRANK(AQ77:BL77, val)+0.01, 0))), SEQUENCE(COLUMNS(AQ77:BL77)), FALSE), {""charttype"",""column""; ""color"",""chartreuse""; ""ymin"", 0; ""ymax"", 1.01; ""highcolor"", "&amp;"""darkgreen""; ""lowcolor"", ""red""}), """")"),"")</f>
        <v/>
      </c>
      <c r="B77" s="17" t="str">
        <f t="shared" si="4"/>
        <v/>
      </c>
      <c r="C77" s="1" t="s">
        <v>2956</v>
      </c>
      <c r="D77" s="30" t="str">
        <f>IFERROR(__xludf.DUMMYFUNCTION("IFERROR(GOOGLEFINANCE(C77, ""NAME""))"),"BXP Inc")</f>
        <v>BXP Inc</v>
      </c>
      <c r="E77" s="30" t="s">
        <v>2662</v>
      </c>
      <c r="F77" s="33" t="str">
        <f>IFERROR(__xludf.DUMMYFUNCTION("( (GOOGLEFINANCE(C77, ""price"") - Q77) / Q77 ) / (R77 / 100)"),"Loading...")</f>
        <v>Loading...</v>
      </c>
      <c r="G77" s="20" t="str">
        <f>IFERROR(__xludf.DUMMYFUNCTION("AVERAGE(ARRAYFORMULA(100 * (QUERY(GOOGLEFINANCE(C77, ""high"", TODAY()-40, TODAY()), ""SELECT Col2 WHERE Col2 IS NOT NULL ORDER BY Col1 DESC LIMIT 20"", 0) / QUERY(GOOGLEFINANCE(C77, ""low"", TODAY()-40, TODAY()), ""SELECT Col2 WHERE Col2 IS NOT NULL ORDE"&amp;"R BY Col1 DESC LIMIT 20"", 0) - 1)))"),"#N/A")</f>
        <v>#N/A</v>
      </c>
      <c r="H77" s="35" t="str">
        <f t="shared" si="6"/>
        <v>Liquid</v>
      </c>
      <c r="I77" s="35" t="str">
        <f t="shared" si="7"/>
        <v>RVol Required</v>
      </c>
      <c r="J77" s="37">
        <f>IFERROR(__xludf.DUMMYFUNCTION("IFERROR(
  IF(C77="""",, 
    IFERROR(
      GOOGLEFINANCE(C77, ""price"") * GOOGLEFINANCE(C77, ""volumeavg""), 
      GOOGLEFINANCE(C77, ""price"") * AVERAGE(QUERY(GOOGLEFINANCE(C77, ""volume"", TODAY()-40, TODAY()), ""SELECT Col2 WHERE Col2 IS NOT NULL "&amp;"ORDER BY Col1 DESC LIMIT 20"", 0))
    )
  ), 
"""")"),8.36307744E7)</f>
        <v>83630774.4</v>
      </c>
      <c r="K77" s="21">
        <f>IFERROR(__xludf.DUMMYFUNCTION("IFERROR(GOOGLEFINANCE(C77, ""changepct"") / 100, """")"),-0.008199999999999999)</f>
        <v>-0.0082</v>
      </c>
      <c r="L77" s="21" t="str">
        <f>IFERROR(__xludf.DUMMYFUNCTION("IFERROR((GOOGLEFINANCE(C77, ""price"") / INDEX(GOOGLEFINANCE(C77, ""price"", TODAY()-7, TODAY()), 2, 2)) - 1, """")"),"")</f>
        <v/>
      </c>
      <c r="M77" s="21" t="str">
        <f>IFERROR(__xludf.DUMMYFUNCTION("IFERROR((GOOGLEFINANCE(C77, ""price"") / INDEX(GOOGLEFINANCE(C77, ""price"", EDATE(TODAY(), -1), TODAY()), 2, 2)) - 1, """")"),"")</f>
        <v/>
      </c>
      <c r="N77" s="21" t="str">
        <f>IFERROR(__xludf.DUMMYFUNCTION("IFERROR((GOOGLEFINANCE(C77, ""price"") / INDEX(GOOGLEFINANCE(C77, ""price"", EDATE(TODAY(), -3), TODAY()), 2, 2)) - 1, """")"),"")</f>
        <v/>
      </c>
      <c r="O77" s="21" t="str">
        <f>IFERROR(__xludf.DUMMYFUNCTION("IFERROR((GOOGLEFINANCE(C77, ""price"") / INDEX(GOOGLEFINANCE(C77, ""price"", EDATE(TODAY(), -6), TODAY()), 2, 2)) - 1, """")"),"")</f>
        <v/>
      </c>
      <c r="P77" s="21" t="str">
        <f>IFERROR(__xludf.DUMMYFUNCTION("IFERROR((GOOGLEFINANCE(C77, ""price"") / INDEX(GOOGLEFINANCE(C77, ""price"", EDATE(TODAY(), -12), TODAY()), 2, 2)) - 1, """")"),"")</f>
        <v/>
      </c>
      <c r="Q77" s="6" t="str">
        <f>IFERROR(__xludf.DUMMYFUNCTION("AVERAGE(QUERY(GOOGLEFINANCE(C77, ""price"", TODAY()-80, TODAY()), ""SELECT Col2 WHERE Col2 IS NOT NULL ORDER BY Col1 DESC LIMIT 50"", 0))"),"#N/A")</f>
        <v>#N/A</v>
      </c>
      <c r="R77" s="24" t="str">
        <f>IFERROR(__xludf.DUMMYFUNCTION("IFERROR(
  LET(
    data, QUERY(GOOGLEFINANCE(C77,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GOOGLEFINANCE(C77, ""price"")) * 100,
    IF(calc=0, G77, calc)
  ), 
G77)"),"#N/A")</f>
        <v>#N/A</v>
      </c>
      <c r="S77" s="8" t="s">
        <v>15</v>
      </c>
      <c r="T77" s="26" t="str">
        <f>IFERROR(__xludf.DUMMYFUNCTION("IFERROR(TRANSPOSE(QUERY(IFERROR(SORT(GOOGLEFINANCE(C77, ""price"", WORKDAY(TODAY(), -40), TODAY()), 1, FALSE)), ""select Col2 where Col2 is not null limit 22 label Col2 ''"", 0)), """")"),"")</f>
        <v/>
      </c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8"/>
      <c r="AO77" s="28"/>
      <c r="AP77" s="29"/>
      <c r="AQ77" s="29" t="str">
        <f t="shared" ref="AQ77:BL77" si="80">T77/T$2</f>
        <v>#N/A</v>
      </c>
      <c r="AR77" s="29" t="str">
        <f t="shared" si="80"/>
        <v>#DIV/0!</v>
      </c>
      <c r="AS77" s="29" t="str">
        <f t="shared" si="80"/>
        <v>#DIV/0!</v>
      </c>
      <c r="AT77" s="29" t="str">
        <f t="shared" si="80"/>
        <v>#DIV/0!</v>
      </c>
      <c r="AU77" s="29" t="str">
        <f t="shared" si="80"/>
        <v>#DIV/0!</v>
      </c>
      <c r="AV77" s="29" t="str">
        <f t="shared" si="80"/>
        <v>#DIV/0!</v>
      </c>
      <c r="AW77" s="29" t="str">
        <f t="shared" si="80"/>
        <v>#DIV/0!</v>
      </c>
      <c r="AX77" s="29" t="str">
        <f t="shared" si="80"/>
        <v>#DIV/0!</v>
      </c>
      <c r="AY77" s="29" t="str">
        <f t="shared" si="80"/>
        <v>#DIV/0!</v>
      </c>
      <c r="AZ77" s="29" t="str">
        <f t="shared" si="80"/>
        <v>#DIV/0!</v>
      </c>
      <c r="BA77" s="29" t="str">
        <f t="shared" si="80"/>
        <v>#DIV/0!</v>
      </c>
      <c r="BB77" s="29" t="str">
        <f t="shared" si="80"/>
        <v>#DIV/0!</v>
      </c>
      <c r="BC77" s="29" t="str">
        <f t="shared" si="80"/>
        <v>#DIV/0!</v>
      </c>
      <c r="BD77" s="29" t="str">
        <f t="shared" si="80"/>
        <v>#DIV/0!</v>
      </c>
      <c r="BE77" s="29" t="str">
        <f t="shared" si="80"/>
        <v>#DIV/0!</v>
      </c>
      <c r="BF77" s="29" t="str">
        <f t="shared" si="80"/>
        <v>#DIV/0!</v>
      </c>
      <c r="BG77" s="29" t="str">
        <f t="shared" si="80"/>
        <v>#DIV/0!</v>
      </c>
      <c r="BH77" s="29" t="str">
        <f t="shared" si="80"/>
        <v>#DIV/0!</v>
      </c>
      <c r="BI77" s="29" t="str">
        <f t="shared" si="80"/>
        <v>#DIV/0!</v>
      </c>
      <c r="BJ77" s="29" t="str">
        <f t="shared" si="80"/>
        <v>#DIV/0!</v>
      </c>
      <c r="BK77" s="29" t="str">
        <f t="shared" si="80"/>
        <v>#DIV/0!</v>
      </c>
      <c r="BL77" s="29" t="str">
        <f t="shared" si="80"/>
        <v>#DIV/0!</v>
      </c>
      <c r="BM77" s="29" t="str">
        <f t="shared" si="3"/>
        <v>#DIV/0!</v>
      </c>
    </row>
    <row r="78">
      <c r="A78" s="16" t="str">
        <f>IFERROR(__xludf.DUMMYFUNCTION("IFERROR(SPARKLINE(SORT(MAP(TRANSPOSE(AQ78:BL78), LAMBDA(val, IF(ISNUMBER(val), PERCENTRANK(AQ78:BL78, val)+0.01, 0))), SEQUENCE(COLUMNS(AQ78:BL78)), FALSE), {""charttype"",""column""; ""color"",""chartreuse""; ""ymin"", 0; ""ymax"", 1.01; ""highcolor"", "&amp;"""darkgreen""; ""lowcolor"", ""red""}), """")"),"")</f>
        <v/>
      </c>
      <c r="B78" s="17" t="str">
        <f t="shared" si="4"/>
        <v/>
      </c>
      <c r="C78" s="1" t="s">
        <v>2960</v>
      </c>
      <c r="D78" s="30" t="str">
        <f>IFERROR(__xludf.DUMMYFUNCTION("IFERROR(GOOGLEFINANCE(C78, ""NAME""))"),"One Liberty Properties Inc")</f>
        <v>One Liberty Properties Inc</v>
      </c>
      <c r="E78" s="30" t="s">
        <v>2784</v>
      </c>
      <c r="F78" s="33" t="str">
        <f>IFERROR(__xludf.DUMMYFUNCTION("( (GOOGLEFINANCE(C78, ""price"") - Q78) / Q78 ) / (R78 / 100)"),"Loading...")</f>
        <v>Loading...</v>
      </c>
      <c r="G78" s="20" t="str">
        <f>IFERROR(__xludf.DUMMYFUNCTION("AVERAGE(ARRAYFORMULA(100 * (QUERY(GOOGLEFINANCE(C78, ""high"", TODAY()-40, TODAY()), ""SELECT Col2 WHERE Col2 IS NOT NULL ORDER BY Col1 DESC LIMIT 20"", 0) / QUERY(GOOGLEFINANCE(C78, ""low"", TODAY()-40, TODAY()), ""SELECT Col2 WHERE Col2 IS NOT NULL ORDE"&amp;"R BY Col1 DESC LIMIT 20"", 0) - 1)))"),"#N/A")</f>
        <v>#N/A</v>
      </c>
      <c r="H78" s="35" t="str">
        <f t="shared" si="6"/>
        <v>Illiquid</v>
      </c>
      <c r="I78" s="35" t="str">
        <f t="shared" si="7"/>
        <v>RVol Required</v>
      </c>
      <c r="J78" s="37">
        <f>IFERROR(__xludf.DUMMYFUNCTION("IFERROR(
  IF(C78="""",, 
    IFERROR(
      GOOGLEFINANCE(C78, ""price"") * GOOGLEFINANCE(C78, ""volumeavg""), 
      GOOGLEFINANCE(C78, ""price"") * AVERAGE(QUERY(GOOGLEFINANCE(C78, ""volume"", TODAY()-40, TODAY()), ""SELECT Col2 WHERE Col2 IS NOT NULL "&amp;"ORDER BY Col1 DESC LIMIT 20"", 0))
    )
  ), 
"""")"),1839290.69)</f>
        <v>1839290.69</v>
      </c>
      <c r="K78" s="21">
        <f>IFERROR(__xludf.DUMMYFUNCTION("IFERROR(GOOGLEFINANCE(C78, ""changepct"") / 100, """")"),0.0)</f>
        <v>0</v>
      </c>
      <c r="L78" s="21" t="str">
        <f>IFERROR(__xludf.DUMMYFUNCTION("IFERROR((GOOGLEFINANCE(C78, ""price"") / INDEX(GOOGLEFINANCE(C78, ""price"", TODAY()-7, TODAY()), 2, 2)) - 1, """")"),"")</f>
        <v/>
      </c>
      <c r="M78" s="21" t="str">
        <f>IFERROR(__xludf.DUMMYFUNCTION("IFERROR((GOOGLEFINANCE(C78, ""price"") / INDEX(GOOGLEFINANCE(C78, ""price"", EDATE(TODAY(), -1), TODAY()), 2, 2)) - 1, """")"),"")</f>
        <v/>
      </c>
      <c r="N78" s="21" t="str">
        <f>IFERROR(__xludf.DUMMYFUNCTION("IFERROR((GOOGLEFINANCE(C78, ""price"") / INDEX(GOOGLEFINANCE(C78, ""price"", EDATE(TODAY(), -3), TODAY()), 2, 2)) - 1, """")"),"")</f>
        <v/>
      </c>
      <c r="O78" s="21" t="str">
        <f>IFERROR(__xludf.DUMMYFUNCTION("IFERROR((GOOGLEFINANCE(C78, ""price"") / INDEX(GOOGLEFINANCE(C78, ""price"", EDATE(TODAY(), -6), TODAY()), 2, 2)) - 1, """")"),"")</f>
        <v/>
      </c>
      <c r="P78" s="21" t="str">
        <f>IFERROR(__xludf.DUMMYFUNCTION("IFERROR((GOOGLEFINANCE(C78, ""price"") / INDEX(GOOGLEFINANCE(C78, ""price"", EDATE(TODAY(), -12), TODAY()), 2, 2)) - 1, """")"),"")</f>
        <v/>
      </c>
      <c r="Q78" s="6" t="str">
        <f>IFERROR(__xludf.DUMMYFUNCTION("AVERAGE(QUERY(GOOGLEFINANCE(C78, ""price"", TODAY()-80, TODAY()), ""SELECT Col2 WHERE Col2 IS NOT NULL ORDER BY Col1 DESC LIMIT 50"", 0))"),"#N/A")</f>
        <v>#N/A</v>
      </c>
      <c r="R78" s="24" t="str">
        <f>IFERROR(__xludf.DUMMYFUNCTION("IFERROR(
  LET(
    data, QUERY(GOOGLEFINANCE(C78,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GOOGLEFINANCE(C78, ""price"")) * 100,
    IF(calc=0, G78, calc)
  ), 
G78)"),"#N/A")</f>
        <v>#N/A</v>
      </c>
      <c r="S78" s="8" t="s">
        <v>15</v>
      </c>
      <c r="T78" s="26" t="str">
        <f>IFERROR(__xludf.DUMMYFUNCTION("IFERROR(TRANSPOSE(QUERY(IFERROR(SORT(GOOGLEFINANCE(C78, ""price"", WORKDAY(TODAY(), -40), TODAY()), 1, FALSE)), ""select Col2 where Col2 is not null limit 22 label Col2 ''"", 0)), """")"),"")</f>
        <v/>
      </c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8"/>
      <c r="AO78" s="28"/>
      <c r="AP78" s="29"/>
      <c r="AQ78" s="29" t="str">
        <f t="shared" ref="AQ78:BL78" si="81">T78/T$2</f>
        <v>#N/A</v>
      </c>
      <c r="AR78" s="29" t="str">
        <f t="shared" si="81"/>
        <v>#DIV/0!</v>
      </c>
      <c r="AS78" s="29" t="str">
        <f t="shared" si="81"/>
        <v>#DIV/0!</v>
      </c>
      <c r="AT78" s="29" t="str">
        <f t="shared" si="81"/>
        <v>#DIV/0!</v>
      </c>
      <c r="AU78" s="29" t="str">
        <f t="shared" si="81"/>
        <v>#DIV/0!</v>
      </c>
      <c r="AV78" s="29" t="str">
        <f t="shared" si="81"/>
        <v>#DIV/0!</v>
      </c>
      <c r="AW78" s="29" t="str">
        <f t="shared" si="81"/>
        <v>#DIV/0!</v>
      </c>
      <c r="AX78" s="29" t="str">
        <f t="shared" si="81"/>
        <v>#DIV/0!</v>
      </c>
      <c r="AY78" s="29" t="str">
        <f t="shared" si="81"/>
        <v>#DIV/0!</v>
      </c>
      <c r="AZ78" s="29" t="str">
        <f t="shared" si="81"/>
        <v>#DIV/0!</v>
      </c>
      <c r="BA78" s="29" t="str">
        <f t="shared" si="81"/>
        <v>#DIV/0!</v>
      </c>
      <c r="BB78" s="29" t="str">
        <f t="shared" si="81"/>
        <v>#DIV/0!</v>
      </c>
      <c r="BC78" s="29" t="str">
        <f t="shared" si="81"/>
        <v>#DIV/0!</v>
      </c>
      <c r="BD78" s="29" t="str">
        <f t="shared" si="81"/>
        <v>#DIV/0!</v>
      </c>
      <c r="BE78" s="29" t="str">
        <f t="shared" si="81"/>
        <v>#DIV/0!</v>
      </c>
      <c r="BF78" s="29" t="str">
        <f t="shared" si="81"/>
        <v>#DIV/0!</v>
      </c>
      <c r="BG78" s="29" t="str">
        <f t="shared" si="81"/>
        <v>#DIV/0!</v>
      </c>
      <c r="BH78" s="29" t="str">
        <f t="shared" si="81"/>
        <v>#DIV/0!</v>
      </c>
      <c r="BI78" s="29" t="str">
        <f t="shared" si="81"/>
        <v>#DIV/0!</v>
      </c>
      <c r="BJ78" s="29" t="str">
        <f t="shared" si="81"/>
        <v>#DIV/0!</v>
      </c>
      <c r="BK78" s="29" t="str">
        <f t="shared" si="81"/>
        <v>#DIV/0!</v>
      </c>
      <c r="BL78" s="29" t="str">
        <f t="shared" si="81"/>
        <v>#DIV/0!</v>
      </c>
      <c r="BM78" s="29" t="str">
        <f t="shared" si="3"/>
        <v>#DIV/0!</v>
      </c>
    </row>
    <row r="79">
      <c r="A79" s="16" t="str">
        <f>IFERROR(__xludf.DUMMYFUNCTION("IFERROR(SPARKLINE(SORT(MAP(TRANSPOSE(AQ79:BL79), LAMBDA(val, IF(ISNUMBER(val), PERCENTRANK(AQ79:BL79, val)+0.01, 0))), SEQUENCE(COLUMNS(AQ79:BL79)), FALSE), {""charttype"",""column""; ""color"",""chartreuse""; ""ymin"", 0; ""ymax"", 1.01; ""highcolor"", "&amp;"""darkgreen""; ""lowcolor"", ""red""}), """")"),"")</f>
        <v/>
      </c>
      <c r="B79" s="17" t="str">
        <f t="shared" si="4"/>
        <v/>
      </c>
      <c r="C79" s="1" t="s">
        <v>2965</v>
      </c>
      <c r="D79" s="30" t="str">
        <f>IFERROR(__xludf.DUMMYFUNCTION("IFERROR(GOOGLEFINANCE(C79, ""NAME""))"),"Prologis, Inc.")</f>
        <v>Prologis, Inc.</v>
      </c>
      <c r="E79" s="30" t="s">
        <v>2704</v>
      </c>
      <c r="F79" s="33" t="str">
        <f>IFERROR(__xludf.DUMMYFUNCTION("( (GOOGLEFINANCE(C79, ""price"") - Q79) / Q79 ) / (R79 / 100)"),"Loading...")</f>
        <v>Loading...</v>
      </c>
      <c r="G79" s="20" t="str">
        <f>IFERROR(__xludf.DUMMYFUNCTION("AVERAGE(ARRAYFORMULA(100 * (QUERY(GOOGLEFINANCE(C79, ""high"", TODAY()-40, TODAY()), ""SELECT Col2 WHERE Col2 IS NOT NULL ORDER BY Col1 DESC LIMIT 20"", 0) / QUERY(GOOGLEFINANCE(C79, ""low"", TODAY()-40, TODAY()), ""SELECT Col2 WHERE Col2 IS NOT NULL ORDE"&amp;"R BY Col1 DESC LIMIT 20"", 0) - 1)))"),"#N/A")</f>
        <v>#N/A</v>
      </c>
      <c r="H79" s="35" t="str">
        <f t="shared" si="6"/>
        <v>Liquid</v>
      </c>
      <c r="I79" s="35" t="str">
        <f t="shared" si="7"/>
        <v>RVol Required</v>
      </c>
      <c r="J79" s="37">
        <f>IFERROR(__xludf.DUMMYFUNCTION("IFERROR(
  IF(C79="""",, 
    IFERROR(
      GOOGLEFINANCE(C79, ""price"") * GOOGLEFINANCE(C79, ""volumeavg""), 
      GOOGLEFINANCE(C79, ""price"") * AVERAGE(QUERY(GOOGLEFINANCE(C79, ""volume"", TODAY()-40, TODAY()), ""SELECT Col2 WHERE Col2 IS NOT NULL "&amp;"ORDER BY Col1 DESC LIMIT 20"", 0))
    )
  ), 
"""")"),4.8107988875E8)</f>
        <v>481079888.8</v>
      </c>
      <c r="K79" s="21">
        <f>IFERROR(__xludf.DUMMYFUNCTION("IFERROR(GOOGLEFINANCE(C79, ""changepct"") / 100, """")"),-0.009399999999999999)</f>
        <v>-0.0094</v>
      </c>
      <c r="L79" s="21" t="str">
        <f>IFERROR(__xludf.DUMMYFUNCTION("IFERROR((GOOGLEFINANCE(C79, ""price"") / INDEX(GOOGLEFINANCE(C79, ""price"", TODAY()-7, TODAY()), 2, 2)) - 1, """")"),"")</f>
        <v/>
      </c>
      <c r="M79" s="21" t="str">
        <f>IFERROR(__xludf.DUMMYFUNCTION("IFERROR((GOOGLEFINANCE(C79, ""price"") / INDEX(GOOGLEFINANCE(C79, ""price"", EDATE(TODAY(), -1), TODAY()), 2, 2)) - 1, """")"),"")</f>
        <v/>
      </c>
      <c r="N79" s="21" t="str">
        <f>IFERROR(__xludf.DUMMYFUNCTION("IFERROR((GOOGLEFINANCE(C79, ""price"") / INDEX(GOOGLEFINANCE(C79, ""price"", EDATE(TODAY(), -3), TODAY()), 2, 2)) - 1, """")"),"")</f>
        <v/>
      </c>
      <c r="O79" s="21" t="str">
        <f>IFERROR(__xludf.DUMMYFUNCTION("IFERROR((GOOGLEFINANCE(C79, ""price"") / INDEX(GOOGLEFINANCE(C79, ""price"", EDATE(TODAY(), -6), TODAY()), 2, 2)) - 1, """")"),"")</f>
        <v/>
      </c>
      <c r="P79" s="21" t="str">
        <f>IFERROR(__xludf.DUMMYFUNCTION("IFERROR((GOOGLEFINANCE(C79, ""price"") / INDEX(GOOGLEFINANCE(C79, ""price"", EDATE(TODAY(), -12), TODAY()), 2, 2)) - 1, """")"),"")</f>
        <v/>
      </c>
      <c r="Q79" s="6" t="str">
        <f>IFERROR(__xludf.DUMMYFUNCTION("AVERAGE(QUERY(GOOGLEFINANCE(C79, ""price"", TODAY()-80, TODAY()), ""SELECT Col2 WHERE Col2 IS NOT NULL ORDER BY Col1 DESC LIMIT 50"", 0))"),"#N/A")</f>
        <v>#N/A</v>
      </c>
      <c r="R79" s="24" t="str">
        <f>IFERROR(__xludf.DUMMYFUNCTION("IFERROR(
  LET(
    data, QUERY(GOOGLEFINANCE(C79,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GOOGLEFINANCE(C79, ""price"")) * 100,
    IF(calc=0, G79, calc)
  ), 
G79)"),"#N/A")</f>
        <v>#N/A</v>
      </c>
      <c r="S79" s="8" t="s">
        <v>15</v>
      </c>
      <c r="T79" s="26" t="str">
        <f>IFERROR(__xludf.DUMMYFUNCTION("IFERROR(TRANSPOSE(QUERY(IFERROR(SORT(GOOGLEFINANCE(C79, ""price"", WORKDAY(TODAY(), -40), TODAY()), 1, FALSE)), ""select Col2 where Col2 is not null limit 22 label Col2 ''"", 0)), """")"),"")</f>
        <v/>
      </c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8"/>
      <c r="AO79" s="28"/>
      <c r="AP79" s="29"/>
      <c r="AQ79" s="29" t="str">
        <f t="shared" ref="AQ79:BL79" si="82">T79/T$2</f>
        <v>#N/A</v>
      </c>
      <c r="AR79" s="29" t="str">
        <f t="shared" si="82"/>
        <v>#DIV/0!</v>
      </c>
      <c r="AS79" s="29" t="str">
        <f t="shared" si="82"/>
        <v>#DIV/0!</v>
      </c>
      <c r="AT79" s="29" t="str">
        <f t="shared" si="82"/>
        <v>#DIV/0!</v>
      </c>
      <c r="AU79" s="29" t="str">
        <f t="shared" si="82"/>
        <v>#DIV/0!</v>
      </c>
      <c r="AV79" s="29" t="str">
        <f t="shared" si="82"/>
        <v>#DIV/0!</v>
      </c>
      <c r="AW79" s="29" t="str">
        <f t="shared" si="82"/>
        <v>#DIV/0!</v>
      </c>
      <c r="AX79" s="29" t="str">
        <f t="shared" si="82"/>
        <v>#DIV/0!</v>
      </c>
      <c r="AY79" s="29" t="str">
        <f t="shared" si="82"/>
        <v>#DIV/0!</v>
      </c>
      <c r="AZ79" s="29" t="str">
        <f t="shared" si="82"/>
        <v>#DIV/0!</v>
      </c>
      <c r="BA79" s="29" t="str">
        <f t="shared" si="82"/>
        <v>#DIV/0!</v>
      </c>
      <c r="BB79" s="29" t="str">
        <f t="shared" si="82"/>
        <v>#DIV/0!</v>
      </c>
      <c r="BC79" s="29" t="str">
        <f t="shared" si="82"/>
        <v>#DIV/0!</v>
      </c>
      <c r="BD79" s="29" t="str">
        <f t="shared" si="82"/>
        <v>#DIV/0!</v>
      </c>
      <c r="BE79" s="29" t="str">
        <f t="shared" si="82"/>
        <v>#DIV/0!</v>
      </c>
      <c r="BF79" s="29" t="str">
        <f t="shared" si="82"/>
        <v>#DIV/0!</v>
      </c>
      <c r="BG79" s="29" t="str">
        <f t="shared" si="82"/>
        <v>#DIV/0!</v>
      </c>
      <c r="BH79" s="29" t="str">
        <f t="shared" si="82"/>
        <v>#DIV/0!</v>
      </c>
      <c r="BI79" s="29" t="str">
        <f t="shared" si="82"/>
        <v>#DIV/0!</v>
      </c>
      <c r="BJ79" s="29" t="str">
        <f t="shared" si="82"/>
        <v>#DIV/0!</v>
      </c>
      <c r="BK79" s="29" t="str">
        <f t="shared" si="82"/>
        <v>#DIV/0!</v>
      </c>
      <c r="BL79" s="29" t="str">
        <f t="shared" si="82"/>
        <v>#DIV/0!</v>
      </c>
      <c r="BM79" s="29" t="str">
        <f t="shared" si="3"/>
        <v>#DIV/0!</v>
      </c>
    </row>
    <row r="80">
      <c r="A80" s="16" t="str">
        <f>IFERROR(__xludf.DUMMYFUNCTION("IFERROR(SPARKLINE(SORT(MAP(TRANSPOSE(AQ80:BL80), LAMBDA(val, IF(ISNUMBER(val), PERCENTRANK(AQ80:BL80, val)+0.01, 0))), SEQUENCE(COLUMNS(AQ80:BL80)), FALSE), {""charttype"",""column""; ""color"",""chartreuse""; ""ymin"", 0; ""ymax"", 1.01; ""highcolor"", "&amp;"""darkgreen""; ""lowcolor"", ""red""}), """")"),"")</f>
        <v/>
      </c>
      <c r="B80" s="17" t="str">
        <f t="shared" si="4"/>
        <v/>
      </c>
      <c r="C80" s="1" t="s">
        <v>2968</v>
      </c>
      <c r="D80" s="30" t="str">
        <f>IFERROR(__xludf.DUMMYFUNCTION("IFERROR(GOOGLEFINANCE(C80, ""NAME""))"),"Ready Capital Corp")</f>
        <v>Ready Capital Corp</v>
      </c>
      <c r="E80" s="30" t="s">
        <v>2682</v>
      </c>
      <c r="F80" s="33" t="str">
        <f>IFERROR(__xludf.DUMMYFUNCTION("( (GOOGLEFINANCE(C80, ""price"") - Q80) / Q80 ) / (R80 / 100)"),"Loading...")</f>
        <v>Loading...</v>
      </c>
      <c r="G80" s="20" t="str">
        <f>IFERROR(__xludf.DUMMYFUNCTION("AVERAGE(ARRAYFORMULA(100 * (QUERY(GOOGLEFINANCE(C80, ""high"", TODAY()-40, TODAY()), ""SELECT Col2 WHERE Col2 IS NOT NULL ORDER BY Col1 DESC LIMIT 20"", 0) / QUERY(GOOGLEFINANCE(C80, ""low"", TODAY()-40, TODAY()), ""SELECT Col2 WHERE Col2 IS NOT NULL ORDE"&amp;"R BY Col1 DESC LIMIT 20"", 0) - 1)))"),"#N/A")</f>
        <v>#N/A</v>
      </c>
      <c r="H80" s="35" t="str">
        <f t="shared" si="6"/>
        <v>Illiquid</v>
      </c>
      <c r="I80" s="35" t="str">
        <f t="shared" si="7"/>
        <v>RVol Required</v>
      </c>
      <c r="J80" s="37">
        <f>IFERROR(__xludf.DUMMYFUNCTION("IFERROR(
  IF(C80="""",, 
    IFERROR(
      GOOGLEFINANCE(C80, ""price"") * GOOGLEFINANCE(C80, ""volumeavg""), 
      GOOGLEFINANCE(C80, ""price"") * AVERAGE(QUERY(GOOGLEFINANCE(C80, ""volume"", TODAY()-40, TODAY()), ""SELECT Col2 WHERE Col2 IS NOT NULL "&amp;"ORDER BY Col1 DESC LIMIT 20"", 0))
    )
  ), 
"""")"),1724043.2000000002)</f>
        <v>1724043.2</v>
      </c>
      <c r="K80" s="21">
        <f>IFERROR(__xludf.DUMMYFUNCTION("IFERROR(GOOGLEFINANCE(C80, ""changepct"") / 100, """")"),-0.0179)</f>
        <v>-0.0179</v>
      </c>
      <c r="L80" s="21" t="str">
        <f>IFERROR(__xludf.DUMMYFUNCTION("IFERROR((GOOGLEFINANCE(C80, ""price"") / INDEX(GOOGLEFINANCE(C80, ""price"", TODAY()-7, TODAY()), 2, 2)) - 1, """")"),"")</f>
        <v/>
      </c>
      <c r="M80" s="21" t="str">
        <f>IFERROR(__xludf.DUMMYFUNCTION("IFERROR((GOOGLEFINANCE(C80, ""price"") / INDEX(GOOGLEFINANCE(C80, ""price"", EDATE(TODAY(), -1), TODAY()), 2, 2)) - 1, """")"),"")</f>
        <v/>
      </c>
      <c r="N80" s="21" t="str">
        <f>IFERROR(__xludf.DUMMYFUNCTION("IFERROR((GOOGLEFINANCE(C80, ""price"") / INDEX(GOOGLEFINANCE(C80, ""price"", EDATE(TODAY(), -3), TODAY()), 2, 2)) - 1, """")"),"")</f>
        <v/>
      </c>
      <c r="O80" s="21" t="str">
        <f>IFERROR(__xludf.DUMMYFUNCTION("IFERROR((GOOGLEFINANCE(C80, ""price"") / INDEX(GOOGLEFINANCE(C80, ""price"", EDATE(TODAY(), -6), TODAY()), 2, 2)) - 1, """")"),"")</f>
        <v/>
      </c>
      <c r="P80" s="21" t="str">
        <f>IFERROR(__xludf.DUMMYFUNCTION("IFERROR((GOOGLEFINANCE(C80, ""price"") / INDEX(GOOGLEFINANCE(C80, ""price"", EDATE(TODAY(), -12), TODAY()), 2, 2)) - 1, """")"),"")</f>
        <v/>
      </c>
      <c r="Q80" s="6" t="str">
        <f>IFERROR(__xludf.DUMMYFUNCTION("AVERAGE(QUERY(GOOGLEFINANCE(C80, ""price"", TODAY()-80, TODAY()), ""SELECT Col2 WHERE Col2 IS NOT NULL ORDER BY Col1 DESC LIMIT 50"", 0))"),"#N/A")</f>
        <v>#N/A</v>
      </c>
      <c r="R80" s="24" t="str">
        <f>IFERROR(__xludf.DUMMYFUNCTION("IFERROR(
  LET(
    data, QUERY(GOOGLEFINANCE(C80,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GOOGLEFINANCE(C80, ""price"")) * 100,
    IF(calc=0, G80, calc)
  ), 
G80)"),"#N/A")</f>
        <v>#N/A</v>
      </c>
      <c r="S80" s="8" t="s">
        <v>15</v>
      </c>
      <c r="T80" s="26" t="str">
        <f>IFERROR(__xludf.DUMMYFUNCTION("IFERROR(TRANSPOSE(QUERY(IFERROR(SORT(GOOGLEFINANCE(C80, ""price"", WORKDAY(TODAY(), -40), TODAY()), 1, FALSE)), ""select Col2 where Col2 is not null limit 22 label Col2 ''"", 0)), """")"),"")</f>
        <v/>
      </c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8"/>
      <c r="AO80" s="28"/>
      <c r="AP80" s="29"/>
      <c r="AQ80" s="29" t="str">
        <f t="shared" ref="AQ80:BL80" si="83">T80/T$2</f>
        <v>#N/A</v>
      </c>
      <c r="AR80" s="29" t="str">
        <f t="shared" si="83"/>
        <v>#DIV/0!</v>
      </c>
      <c r="AS80" s="29" t="str">
        <f t="shared" si="83"/>
        <v>#DIV/0!</v>
      </c>
      <c r="AT80" s="29" t="str">
        <f t="shared" si="83"/>
        <v>#DIV/0!</v>
      </c>
      <c r="AU80" s="29" t="str">
        <f t="shared" si="83"/>
        <v>#DIV/0!</v>
      </c>
      <c r="AV80" s="29" t="str">
        <f t="shared" si="83"/>
        <v>#DIV/0!</v>
      </c>
      <c r="AW80" s="29" t="str">
        <f t="shared" si="83"/>
        <v>#DIV/0!</v>
      </c>
      <c r="AX80" s="29" t="str">
        <f t="shared" si="83"/>
        <v>#DIV/0!</v>
      </c>
      <c r="AY80" s="29" t="str">
        <f t="shared" si="83"/>
        <v>#DIV/0!</v>
      </c>
      <c r="AZ80" s="29" t="str">
        <f t="shared" si="83"/>
        <v>#DIV/0!</v>
      </c>
      <c r="BA80" s="29" t="str">
        <f t="shared" si="83"/>
        <v>#DIV/0!</v>
      </c>
      <c r="BB80" s="29" t="str">
        <f t="shared" si="83"/>
        <v>#DIV/0!</v>
      </c>
      <c r="BC80" s="29" t="str">
        <f t="shared" si="83"/>
        <v>#DIV/0!</v>
      </c>
      <c r="BD80" s="29" t="str">
        <f t="shared" si="83"/>
        <v>#DIV/0!</v>
      </c>
      <c r="BE80" s="29" t="str">
        <f t="shared" si="83"/>
        <v>#DIV/0!</v>
      </c>
      <c r="BF80" s="29" t="str">
        <f t="shared" si="83"/>
        <v>#DIV/0!</v>
      </c>
      <c r="BG80" s="29" t="str">
        <f t="shared" si="83"/>
        <v>#DIV/0!</v>
      </c>
      <c r="BH80" s="29" t="str">
        <f t="shared" si="83"/>
        <v>#DIV/0!</v>
      </c>
      <c r="BI80" s="29" t="str">
        <f t="shared" si="83"/>
        <v>#DIV/0!</v>
      </c>
      <c r="BJ80" s="29" t="str">
        <f t="shared" si="83"/>
        <v>#DIV/0!</v>
      </c>
      <c r="BK80" s="29" t="str">
        <f t="shared" si="83"/>
        <v>#DIV/0!</v>
      </c>
      <c r="BL80" s="29" t="str">
        <f t="shared" si="83"/>
        <v>#DIV/0!</v>
      </c>
      <c r="BM80" s="29" t="str">
        <f t="shared" si="3"/>
        <v>#DIV/0!</v>
      </c>
    </row>
    <row r="81">
      <c r="A81" s="16" t="str">
        <f>IFERROR(__xludf.DUMMYFUNCTION("IFERROR(SPARKLINE(SORT(MAP(TRANSPOSE(AQ81:BL81), LAMBDA(val, IF(ISNUMBER(val), PERCENTRANK(AQ81:BL81, val)+0.01, 0))), SEQUENCE(COLUMNS(AQ81:BL81)), FALSE), {""charttype"",""column""; ""color"",""chartreuse""; ""ymin"", 0; ""ymax"", 1.01; ""highcolor"", "&amp;"""darkgreen""; ""lowcolor"", ""red""}), """")"),"")</f>
        <v/>
      </c>
      <c r="B81" s="17" t="str">
        <f t="shared" si="4"/>
        <v/>
      </c>
      <c r="C81" s="1" t="s">
        <v>2972</v>
      </c>
      <c r="D81" s="30" t="str">
        <f>IFERROR(__xludf.DUMMYFUNCTION("IFERROR(GOOGLEFINANCE(C81, ""NAME""))"),"Broadstone Net Lease Inc")</f>
        <v>Broadstone Net Lease Inc</v>
      </c>
      <c r="E81" s="30" t="s">
        <v>2784</v>
      </c>
      <c r="F81" s="33" t="str">
        <f>IFERROR(__xludf.DUMMYFUNCTION("( (GOOGLEFINANCE(C81, ""price"") - Q81) / Q81 ) / (R81 / 100)"),"Loading...")</f>
        <v>Loading...</v>
      </c>
      <c r="G81" s="20" t="str">
        <f>IFERROR(__xludf.DUMMYFUNCTION("AVERAGE(ARRAYFORMULA(100 * (QUERY(GOOGLEFINANCE(C81, ""high"", TODAY()-40, TODAY()), ""SELECT Col2 WHERE Col2 IS NOT NULL ORDER BY Col1 DESC LIMIT 20"", 0) / QUERY(GOOGLEFINANCE(C81, ""low"", TODAY()-40, TODAY()), ""SELECT Col2 WHERE Col2 IS NOT NULL ORDE"&amp;"R BY Col1 DESC LIMIT 20"", 0) - 1)))"),"#N/A")</f>
        <v>#N/A</v>
      </c>
      <c r="H81" s="35" t="str">
        <f t="shared" si="6"/>
        <v>Illiquid</v>
      </c>
      <c r="I81" s="35" t="str">
        <f t="shared" si="7"/>
        <v>RVol Required</v>
      </c>
      <c r="J81" s="37">
        <f>IFERROR(__xludf.DUMMYFUNCTION("IFERROR(
  IF(C81="""",, 
    IFERROR(
      GOOGLEFINANCE(C81, ""price"") * GOOGLEFINANCE(C81, ""volumeavg""), 
      GOOGLEFINANCE(C81, ""price"") * AVERAGE(QUERY(GOOGLEFINANCE(C81, ""volume"", TODAY()-40, TODAY()), ""SELECT Col2 WHERE Col2 IS NOT NULL "&amp;"ORDER BY Col1 DESC LIMIT 20"", 0))
    )
  ), 
"""")"),3.628790207E7)</f>
        <v>36287902.07</v>
      </c>
      <c r="K81" s="21">
        <f>IFERROR(__xludf.DUMMYFUNCTION("IFERROR(GOOGLEFINANCE(C81, ""changepct"") / 100, """")"),-0.0011)</f>
        <v>-0.0011</v>
      </c>
      <c r="L81" s="21" t="str">
        <f>IFERROR(__xludf.DUMMYFUNCTION("IFERROR((GOOGLEFINANCE(C81, ""price"") / INDEX(GOOGLEFINANCE(C81, ""price"", TODAY()-7, TODAY()), 2, 2)) - 1, """")"),"")</f>
        <v/>
      </c>
      <c r="M81" s="21" t="str">
        <f>IFERROR(__xludf.DUMMYFUNCTION("IFERROR((GOOGLEFINANCE(C81, ""price"") / INDEX(GOOGLEFINANCE(C81, ""price"", EDATE(TODAY(), -1), TODAY()), 2, 2)) - 1, """")"),"")</f>
        <v/>
      </c>
      <c r="N81" s="21" t="str">
        <f>IFERROR(__xludf.DUMMYFUNCTION("IFERROR((GOOGLEFINANCE(C81, ""price"") / INDEX(GOOGLEFINANCE(C81, ""price"", EDATE(TODAY(), -3), TODAY()), 2, 2)) - 1, """")"),"")</f>
        <v/>
      </c>
      <c r="O81" s="21" t="str">
        <f>IFERROR(__xludf.DUMMYFUNCTION("IFERROR((GOOGLEFINANCE(C81, ""price"") / INDEX(GOOGLEFINANCE(C81, ""price"", EDATE(TODAY(), -6), TODAY()), 2, 2)) - 1, """")"),"")</f>
        <v/>
      </c>
      <c r="P81" s="21" t="str">
        <f>IFERROR(__xludf.DUMMYFUNCTION("IFERROR((GOOGLEFINANCE(C81, ""price"") / INDEX(GOOGLEFINANCE(C81, ""price"", EDATE(TODAY(), -12), TODAY()), 2, 2)) - 1, """")"),"")</f>
        <v/>
      </c>
      <c r="Q81" s="6" t="str">
        <f>IFERROR(__xludf.DUMMYFUNCTION("AVERAGE(QUERY(GOOGLEFINANCE(C81, ""price"", TODAY()-80, TODAY()), ""SELECT Col2 WHERE Col2 IS NOT NULL ORDER BY Col1 DESC LIMIT 50"", 0))"),"#N/A")</f>
        <v>#N/A</v>
      </c>
      <c r="R81" s="24" t="str">
        <f>IFERROR(__xludf.DUMMYFUNCTION("IFERROR(
  LET(
    data, QUERY(GOOGLEFINANCE(C81,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GOOGLEFINANCE(C81, ""price"")) * 100,
    IF(calc=0, G81, calc)
  ), 
G81)"),"#N/A")</f>
        <v>#N/A</v>
      </c>
      <c r="S81" s="8" t="s">
        <v>15</v>
      </c>
      <c r="T81" s="26" t="str">
        <f>IFERROR(__xludf.DUMMYFUNCTION("IFERROR(TRANSPOSE(QUERY(IFERROR(SORT(GOOGLEFINANCE(C81, ""price"", WORKDAY(TODAY(), -40), TODAY()), 1, FALSE)), ""select Col2 where Col2 is not null limit 22 label Col2 ''"", 0)), """")"),"")</f>
        <v/>
      </c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8"/>
      <c r="AO81" s="28"/>
      <c r="AP81" s="29"/>
      <c r="AQ81" s="29" t="str">
        <f t="shared" ref="AQ81:BL81" si="84">T81/T$2</f>
        <v>#N/A</v>
      </c>
      <c r="AR81" s="29" t="str">
        <f t="shared" si="84"/>
        <v>#DIV/0!</v>
      </c>
      <c r="AS81" s="29" t="str">
        <f t="shared" si="84"/>
        <v>#DIV/0!</v>
      </c>
      <c r="AT81" s="29" t="str">
        <f t="shared" si="84"/>
        <v>#DIV/0!</v>
      </c>
      <c r="AU81" s="29" t="str">
        <f t="shared" si="84"/>
        <v>#DIV/0!</v>
      </c>
      <c r="AV81" s="29" t="str">
        <f t="shared" si="84"/>
        <v>#DIV/0!</v>
      </c>
      <c r="AW81" s="29" t="str">
        <f t="shared" si="84"/>
        <v>#DIV/0!</v>
      </c>
      <c r="AX81" s="29" t="str">
        <f t="shared" si="84"/>
        <v>#DIV/0!</v>
      </c>
      <c r="AY81" s="29" t="str">
        <f t="shared" si="84"/>
        <v>#DIV/0!</v>
      </c>
      <c r="AZ81" s="29" t="str">
        <f t="shared" si="84"/>
        <v>#DIV/0!</v>
      </c>
      <c r="BA81" s="29" t="str">
        <f t="shared" si="84"/>
        <v>#DIV/0!</v>
      </c>
      <c r="BB81" s="29" t="str">
        <f t="shared" si="84"/>
        <v>#DIV/0!</v>
      </c>
      <c r="BC81" s="29" t="str">
        <f t="shared" si="84"/>
        <v>#DIV/0!</v>
      </c>
      <c r="BD81" s="29" t="str">
        <f t="shared" si="84"/>
        <v>#DIV/0!</v>
      </c>
      <c r="BE81" s="29" t="str">
        <f t="shared" si="84"/>
        <v>#DIV/0!</v>
      </c>
      <c r="BF81" s="29" t="str">
        <f t="shared" si="84"/>
        <v>#DIV/0!</v>
      </c>
      <c r="BG81" s="29" t="str">
        <f t="shared" si="84"/>
        <v>#DIV/0!</v>
      </c>
      <c r="BH81" s="29" t="str">
        <f t="shared" si="84"/>
        <v>#DIV/0!</v>
      </c>
      <c r="BI81" s="29" t="str">
        <f t="shared" si="84"/>
        <v>#DIV/0!</v>
      </c>
      <c r="BJ81" s="29" t="str">
        <f t="shared" si="84"/>
        <v>#DIV/0!</v>
      </c>
      <c r="BK81" s="29" t="str">
        <f t="shared" si="84"/>
        <v>#DIV/0!</v>
      </c>
      <c r="BL81" s="29" t="str">
        <f t="shared" si="84"/>
        <v>#DIV/0!</v>
      </c>
      <c r="BM81" s="29" t="str">
        <f t="shared" si="3"/>
        <v>#DIV/0!</v>
      </c>
    </row>
    <row r="82">
      <c r="A82" s="16" t="str">
        <f>IFERROR(__xludf.DUMMYFUNCTION("IFERROR(SPARKLINE(SORT(MAP(TRANSPOSE(AQ82:BL82), LAMBDA(val, IF(ISNUMBER(val), PERCENTRANK(AQ82:BL82, val)+0.01, 0))), SEQUENCE(COLUMNS(AQ82:BL82)), FALSE), {""charttype"",""column""; ""color"",""chartreuse""; ""ymin"", 0; ""ymax"", 1.01; ""highcolor"", "&amp;"""darkgreen""; ""lowcolor"", ""red""}), """")"),"")</f>
        <v/>
      </c>
      <c r="B82" s="17" t="str">
        <f t="shared" si="4"/>
        <v/>
      </c>
      <c r="C82" s="1" t="s">
        <v>2976</v>
      </c>
      <c r="D82" s="30" t="str">
        <f>IFERROR(__xludf.DUMMYFUNCTION("IFERROR(GOOGLEFINANCE(C82, ""NAME""))"),"American Homes 4 Rent Class A")</f>
        <v>American Homes 4 Rent Class A</v>
      </c>
      <c r="E82" s="30" t="s">
        <v>2760</v>
      </c>
      <c r="F82" s="33" t="str">
        <f>IFERROR(__xludf.DUMMYFUNCTION("( (GOOGLEFINANCE(C82, ""price"") - Q82) / Q82 ) / (R82 / 100)"),"Loading...")</f>
        <v>Loading...</v>
      </c>
      <c r="G82" s="20" t="str">
        <f>IFERROR(__xludf.DUMMYFUNCTION("AVERAGE(ARRAYFORMULA(100 * (QUERY(GOOGLEFINANCE(C82, ""high"", TODAY()-40, TODAY()), ""SELECT Col2 WHERE Col2 IS NOT NULL ORDER BY Col1 DESC LIMIT 20"", 0) / QUERY(GOOGLEFINANCE(C82, ""low"", TODAY()-40, TODAY()), ""SELECT Col2 WHERE Col2 IS NOT NULL ORDE"&amp;"R BY Col1 DESC LIMIT 20"", 0) - 1)))"),"#N/A")</f>
        <v>#N/A</v>
      </c>
      <c r="H82" s="35" t="str">
        <f t="shared" si="6"/>
        <v>Liquid</v>
      </c>
      <c r="I82" s="35" t="str">
        <f t="shared" si="7"/>
        <v>RVol Required</v>
      </c>
      <c r="J82" s="37">
        <f>IFERROR(__xludf.DUMMYFUNCTION("IFERROR(
  IF(C82="""",, 
    IFERROR(
      GOOGLEFINANCE(C82, ""price"") * GOOGLEFINANCE(C82, ""volumeavg""), 
      GOOGLEFINANCE(C82, ""price"") * AVERAGE(QUERY(GOOGLEFINANCE(C82, ""volume"", TODAY()-40, TODAY()), ""SELECT Col2 WHERE Col2 IS NOT NULL "&amp;"ORDER BY Col1 DESC LIMIT 20"", 0))
    )
  ), 
"""")"),9.761452632000001E7)</f>
        <v>97614526.32</v>
      </c>
      <c r="K82" s="21">
        <f>IFERROR(__xludf.DUMMYFUNCTION("IFERROR(GOOGLEFINANCE(C82, ""changepct"") / 100, """")"),0.01)</f>
        <v>0.01</v>
      </c>
      <c r="L82" s="21" t="str">
        <f>IFERROR(__xludf.DUMMYFUNCTION("IFERROR((GOOGLEFINANCE(C82, ""price"") / INDEX(GOOGLEFINANCE(C82, ""price"", TODAY()-7, TODAY()), 2, 2)) - 1, """")"),"")</f>
        <v/>
      </c>
      <c r="M82" s="21" t="str">
        <f>IFERROR(__xludf.DUMMYFUNCTION("IFERROR((GOOGLEFINANCE(C82, ""price"") / INDEX(GOOGLEFINANCE(C82, ""price"", EDATE(TODAY(), -1), TODAY()), 2, 2)) - 1, """")"),"")</f>
        <v/>
      </c>
      <c r="N82" s="21" t="str">
        <f>IFERROR(__xludf.DUMMYFUNCTION("IFERROR((GOOGLEFINANCE(C82, ""price"") / INDEX(GOOGLEFINANCE(C82, ""price"", EDATE(TODAY(), -3), TODAY()), 2, 2)) - 1, """")"),"")</f>
        <v/>
      </c>
      <c r="O82" s="21" t="str">
        <f>IFERROR(__xludf.DUMMYFUNCTION("IFERROR((GOOGLEFINANCE(C82, ""price"") / INDEX(GOOGLEFINANCE(C82, ""price"", EDATE(TODAY(), -6), TODAY()), 2, 2)) - 1, """")"),"")</f>
        <v/>
      </c>
      <c r="P82" s="21" t="str">
        <f>IFERROR(__xludf.DUMMYFUNCTION("IFERROR((GOOGLEFINANCE(C82, ""price"") / INDEX(GOOGLEFINANCE(C82, ""price"", EDATE(TODAY(), -12), TODAY()), 2, 2)) - 1, """")"),"")</f>
        <v/>
      </c>
      <c r="Q82" s="6" t="str">
        <f>IFERROR(__xludf.DUMMYFUNCTION("AVERAGE(QUERY(GOOGLEFINANCE(C82, ""price"", TODAY()-80, TODAY()), ""SELECT Col2 WHERE Col2 IS NOT NULL ORDER BY Col1 DESC LIMIT 50"", 0))"),"#N/A")</f>
        <v>#N/A</v>
      </c>
      <c r="R82" s="24" t="str">
        <f>IFERROR(__xludf.DUMMYFUNCTION("IFERROR(
  LET(
    data, QUERY(GOOGLEFINANCE(C82,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GOOGLEFINANCE(C82, ""price"")) * 100,
    IF(calc=0, G82, calc)
  ), 
G82)"),"#N/A")</f>
        <v>#N/A</v>
      </c>
      <c r="S82" s="8" t="s">
        <v>15</v>
      </c>
      <c r="T82" s="26" t="str">
        <f>IFERROR(__xludf.DUMMYFUNCTION("IFERROR(TRANSPOSE(QUERY(IFERROR(SORT(GOOGLEFINANCE(C82, ""price"", WORKDAY(TODAY(), -40), TODAY()), 1, FALSE)), ""select Col2 where Col2 is not null limit 22 label Col2 ''"", 0)), """")"),"")</f>
        <v/>
      </c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8"/>
      <c r="AO82" s="28"/>
      <c r="AP82" s="29"/>
      <c r="AQ82" s="29" t="str">
        <f t="shared" ref="AQ82:BL82" si="85">T82/T$2</f>
        <v>#N/A</v>
      </c>
      <c r="AR82" s="29" t="str">
        <f t="shared" si="85"/>
        <v>#DIV/0!</v>
      </c>
      <c r="AS82" s="29" t="str">
        <f t="shared" si="85"/>
        <v>#DIV/0!</v>
      </c>
      <c r="AT82" s="29" t="str">
        <f t="shared" si="85"/>
        <v>#DIV/0!</v>
      </c>
      <c r="AU82" s="29" t="str">
        <f t="shared" si="85"/>
        <v>#DIV/0!</v>
      </c>
      <c r="AV82" s="29" t="str">
        <f t="shared" si="85"/>
        <v>#DIV/0!</v>
      </c>
      <c r="AW82" s="29" t="str">
        <f t="shared" si="85"/>
        <v>#DIV/0!</v>
      </c>
      <c r="AX82" s="29" t="str">
        <f t="shared" si="85"/>
        <v>#DIV/0!</v>
      </c>
      <c r="AY82" s="29" t="str">
        <f t="shared" si="85"/>
        <v>#DIV/0!</v>
      </c>
      <c r="AZ82" s="29" t="str">
        <f t="shared" si="85"/>
        <v>#DIV/0!</v>
      </c>
      <c r="BA82" s="29" t="str">
        <f t="shared" si="85"/>
        <v>#DIV/0!</v>
      </c>
      <c r="BB82" s="29" t="str">
        <f t="shared" si="85"/>
        <v>#DIV/0!</v>
      </c>
      <c r="BC82" s="29" t="str">
        <f t="shared" si="85"/>
        <v>#DIV/0!</v>
      </c>
      <c r="BD82" s="29" t="str">
        <f t="shared" si="85"/>
        <v>#DIV/0!</v>
      </c>
      <c r="BE82" s="29" t="str">
        <f t="shared" si="85"/>
        <v>#DIV/0!</v>
      </c>
      <c r="BF82" s="29" t="str">
        <f t="shared" si="85"/>
        <v>#DIV/0!</v>
      </c>
      <c r="BG82" s="29" t="str">
        <f t="shared" si="85"/>
        <v>#DIV/0!</v>
      </c>
      <c r="BH82" s="29" t="str">
        <f t="shared" si="85"/>
        <v>#DIV/0!</v>
      </c>
      <c r="BI82" s="29" t="str">
        <f t="shared" si="85"/>
        <v>#DIV/0!</v>
      </c>
      <c r="BJ82" s="29" t="str">
        <f t="shared" si="85"/>
        <v>#DIV/0!</v>
      </c>
      <c r="BK82" s="29" t="str">
        <f t="shared" si="85"/>
        <v>#DIV/0!</v>
      </c>
      <c r="BL82" s="29" t="str">
        <f t="shared" si="85"/>
        <v>#DIV/0!</v>
      </c>
      <c r="BM82" s="29" t="str">
        <f t="shared" si="3"/>
        <v>#DIV/0!</v>
      </c>
    </row>
    <row r="83">
      <c r="A83" s="16" t="str">
        <f>IFERROR(__xludf.DUMMYFUNCTION("IFERROR(SPARKLINE(SORT(MAP(TRANSPOSE(AQ83:BL83), LAMBDA(val, IF(ISNUMBER(val), PERCENTRANK(AQ83:BL83, val)+0.01, 0))), SEQUENCE(COLUMNS(AQ83:BL83)), FALSE), {""charttype"",""column""; ""color"",""chartreuse""; ""ymin"", 0; ""ymax"", 1.01; ""highcolor"", "&amp;"""darkgreen""; ""lowcolor"", ""red""}), """")"),"")</f>
        <v/>
      </c>
      <c r="B83" s="17" t="str">
        <f t="shared" si="4"/>
        <v/>
      </c>
      <c r="C83" s="1" t="s">
        <v>2980</v>
      </c>
      <c r="D83" s="30" t="str">
        <f>IFERROR(__xludf.DUMMYFUNCTION("IFERROR(GOOGLEFINANCE(C83, ""NAME""))"),"COPT Defense Properties")</f>
        <v>COPT Defense Properties</v>
      </c>
      <c r="E83" s="30" t="s">
        <v>2662</v>
      </c>
      <c r="F83" s="33" t="str">
        <f>IFERROR(__xludf.DUMMYFUNCTION("( (GOOGLEFINANCE(C83, ""price"") - Q83) / Q83 ) / (R83 / 100)"),"Loading...")</f>
        <v>Loading...</v>
      </c>
      <c r="G83" s="20" t="str">
        <f>IFERROR(__xludf.DUMMYFUNCTION("AVERAGE(ARRAYFORMULA(100 * (QUERY(GOOGLEFINANCE(C83, ""high"", TODAY()-40, TODAY()), ""SELECT Col2 WHERE Col2 IS NOT NULL ORDER BY Col1 DESC LIMIT 20"", 0) / QUERY(GOOGLEFINANCE(C83, ""low"", TODAY()-40, TODAY()), ""SELECT Col2 WHERE Col2 IS NOT NULL ORDE"&amp;"R BY Col1 DESC LIMIT 20"", 0) - 1)))"),"#N/A")</f>
        <v>#N/A</v>
      </c>
      <c r="H83" s="35" t="str">
        <f t="shared" si="6"/>
        <v>Illiquid</v>
      </c>
      <c r="I83" s="35" t="str">
        <f t="shared" si="7"/>
        <v>RVol Required</v>
      </c>
      <c r="J83" s="37">
        <f>IFERROR(__xludf.DUMMYFUNCTION("IFERROR(
  IF(C83="""",, 
    IFERROR(
      GOOGLEFINANCE(C83, ""price"") * GOOGLEFINANCE(C83, ""volumeavg""), 
      GOOGLEFINANCE(C83, ""price"") * AVERAGE(QUERY(GOOGLEFINANCE(C83, ""volume"", TODAY()-40, TODAY()), ""SELECT Col2 WHERE Col2 IS NOT NULL "&amp;"ORDER BY Col1 DESC LIMIT 20"", 0))
    )
  ), 
"""")"),3.160895487E7)</f>
        <v>31608954.87</v>
      </c>
      <c r="K83" s="21">
        <f>IFERROR(__xludf.DUMMYFUNCTION("IFERROR(GOOGLEFINANCE(C83, ""changepct"") / 100, """")"),0.0024)</f>
        <v>0.0024</v>
      </c>
      <c r="L83" s="21" t="str">
        <f>IFERROR(__xludf.DUMMYFUNCTION("IFERROR((GOOGLEFINANCE(C83, ""price"") / INDEX(GOOGLEFINANCE(C83, ""price"", TODAY()-7, TODAY()), 2, 2)) - 1, """")"),"")</f>
        <v/>
      </c>
      <c r="M83" s="21" t="str">
        <f>IFERROR(__xludf.DUMMYFUNCTION("IFERROR((GOOGLEFINANCE(C83, ""price"") / INDEX(GOOGLEFINANCE(C83, ""price"", EDATE(TODAY(), -1), TODAY()), 2, 2)) - 1, """")"),"")</f>
        <v/>
      </c>
      <c r="N83" s="21" t="str">
        <f>IFERROR(__xludf.DUMMYFUNCTION("IFERROR((GOOGLEFINANCE(C83, ""price"") / INDEX(GOOGLEFINANCE(C83, ""price"", EDATE(TODAY(), -3), TODAY()), 2, 2)) - 1, """")"),"")</f>
        <v/>
      </c>
      <c r="O83" s="21" t="str">
        <f>IFERROR(__xludf.DUMMYFUNCTION("IFERROR((GOOGLEFINANCE(C83, ""price"") / INDEX(GOOGLEFINANCE(C83, ""price"", EDATE(TODAY(), -6), TODAY()), 2, 2)) - 1, """")"),"")</f>
        <v/>
      </c>
      <c r="P83" s="21" t="str">
        <f>IFERROR(__xludf.DUMMYFUNCTION("IFERROR((GOOGLEFINANCE(C83, ""price"") / INDEX(GOOGLEFINANCE(C83, ""price"", EDATE(TODAY(), -12), TODAY()), 2, 2)) - 1, """")"),"")</f>
        <v/>
      </c>
      <c r="Q83" s="6" t="str">
        <f>IFERROR(__xludf.DUMMYFUNCTION("AVERAGE(QUERY(GOOGLEFINANCE(C83, ""price"", TODAY()-80, TODAY()), ""SELECT Col2 WHERE Col2 IS NOT NULL ORDER BY Col1 DESC LIMIT 50"", 0))"),"#N/A")</f>
        <v>#N/A</v>
      </c>
      <c r="R83" s="24" t="str">
        <f>IFERROR(__xludf.DUMMYFUNCTION("IFERROR(
  LET(
    data, QUERY(GOOGLEFINANCE(C83,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GOOGLEFINANCE(C83, ""price"")) * 100,
    IF(calc=0, G83, calc)
  ), 
G83)"),"#N/A")</f>
        <v>#N/A</v>
      </c>
      <c r="S83" s="8" t="s">
        <v>15</v>
      </c>
      <c r="T83" s="26" t="str">
        <f>IFERROR(__xludf.DUMMYFUNCTION("IFERROR(TRANSPOSE(QUERY(IFERROR(SORT(GOOGLEFINANCE(C83, ""price"", WORKDAY(TODAY(), -40), TODAY()), 1, FALSE)), ""select Col2 where Col2 is not null limit 22 label Col2 ''"", 0)), """")"),"")</f>
        <v/>
      </c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8"/>
      <c r="AO83" s="28"/>
      <c r="AP83" s="29"/>
      <c r="AQ83" s="29" t="str">
        <f t="shared" ref="AQ83:BL83" si="86">T83/T$2</f>
        <v>#N/A</v>
      </c>
      <c r="AR83" s="29" t="str">
        <f t="shared" si="86"/>
        <v>#DIV/0!</v>
      </c>
      <c r="AS83" s="29" t="str">
        <f t="shared" si="86"/>
        <v>#DIV/0!</v>
      </c>
      <c r="AT83" s="29" t="str">
        <f t="shared" si="86"/>
        <v>#DIV/0!</v>
      </c>
      <c r="AU83" s="29" t="str">
        <f t="shared" si="86"/>
        <v>#DIV/0!</v>
      </c>
      <c r="AV83" s="29" t="str">
        <f t="shared" si="86"/>
        <v>#DIV/0!</v>
      </c>
      <c r="AW83" s="29" t="str">
        <f t="shared" si="86"/>
        <v>#DIV/0!</v>
      </c>
      <c r="AX83" s="29" t="str">
        <f t="shared" si="86"/>
        <v>#DIV/0!</v>
      </c>
      <c r="AY83" s="29" t="str">
        <f t="shared" si="86"/>
        <v>#DIV/0!</v>
      </c>
      <c r="AZ83" s="29" t="str">
        <f t="shared" si="86"/>
        <v>#DIV/0!</v>
      </c>
      <c r="BA83" s="29" t="str">
        <f t="shared" si="86"/>
        <v>#DIV/0!</v>
      </c>
      <c r="BB83" s="29" t="str">
        <f t="shared" si="86"/>
        <v>#DIV/0!</v>
      </c>
      <c r="BC83" s="29" t="str">
        <f t="shared" si="86"/>
        <v>#DIV/0!</v>
      </c>
      <c r="BD83" s="29" t="str">
        <f t="shared" si="86"/>
        <v>#DIV/0!</v>
      </c>
      <c r="BE83" s="29" t="str">
        <f t="shared" si="86"/>
        <v>#DIV/0!</v>
      </c>
      <c r="BF83" s="29" t="str">
        <f t="shared" si="86"/>
        <v>#DIV/0!</v>
      </c>
      <c r="BG83" s="29" t="str">
        <f t="shared" si="86"/>
        <v>#DIV/0!</v>
      </c>
      <c r="BH83" s="29" t="str">
        <f t="shared" si="86"/>
        <v>#DIV/0!</v>
      </c>
      <c r="BI83" s="29" t="str">
        <f t="shared" si="86"/>
        <v>#DIV/0!</v>
      </c>
      <c r="BJ83" s="29" t="str">
        <f t="shared" si="86"/>
        <v>#DIV/0!</v>
      </c>
      <c r="BK83" s="29" t="str">
        <f t="shared" si="86"/>
        <v>#DIV/0!</v>
      </c>
      <c r="BL83" s="29" t="str">
        <f t="shared" si="86"/>
        <v>#DIV/0!</v>
      </c>
      <c r="BM83" s="29" t="str">
        <f t="shared" si="3"/>
        <v>#DIV/0!</v>
      </c>
    </row>
    <row r="84">
      <c r="A84" s="16" t="str">
        <f>IFERROR(__xludf.DUMMYFUNCTION("IFERROR(SPARKLINE(SORT(MAP(TRANSPOSE(AQ84:BL84), LAMBDA(val, IF(ISNUMBER(val), PERCENTRANK(AQ84:BL84, val)+0.01, 0))), SEQUENCE(COLUMNS(AQ84:BL84)), FALSE), {""charttype"",""column""; ""color"",""chartreuse""; ""ymin"", 0; ""ymax"", 1.01; ""highcolor"", "&amp;"""darkgreen""; ""lowcolor"", ""red""}), """")"),"")</f>
        <v/>
      </c>
      <c r="B84" s="17" t="str">
        <f t="shared" si="4"/>
        <v/>
      </c>
      <c r="C84" s="1" t="s">
        <v>2984</v>
      </c>
      <c r="D84" s="30" t="str">
        <f>IFERROR(__xludf.DUMMYFUNCTION("IFERROR(GOOGLEFINANCE(C84, ""NAME""))"),"Kite Realty Group Trust")</f>
        <v>Kite Realty Group Trust</v>
      </c>
      <c r="E84" s="30" t="s">
        <v>2751</v>
      </c>
      <c r="F84" s="33" t="str">
        <f>IFERROR(__xludf.DUMMYFUNCTION("( (GOOGLEFINANCE(C84, ""price"") - Q84) / Q84 ) / (R84 / 100)"),"Loading...")</f>
        <v>Loading...</v>
      </c>
      <c r="G84" s="20" t="str">
        <f>IFERROR(__xludf.DUMMYFUNCTION("AVERAGE(ARRAYFORMULA(100 * (QUERY(GOOGLEFINANCE(C84, ""high"", TODAY()-40, TODAY()), ""SELECT Col2 WHERE Col2 IS NOT NULL ORDER BY Col1 DESC LIMIT 20"", 0) / QUERY(GOOGLEFINANCE(C84, ""low"", TODAY()-40, TODAY()), ""SELECT Col2 WHERE Col2 IS NOT NULL ORDE"&amp;"R BY Col1 DESC LIMIT 20"", 0) - 1)))"),"#N/A")</f>
        <v>#N/A</v>
      </c>
      <c r="H84" s="35" t="str">
        <f t="shared" si="6"/>
        <v>Liquid</v>
      </c>
      <c r="I84" s="35" t="str">
        <f t="shared" si="7"/>
        <v>RVol Required</v>
      </c>
      <c r="J84" s="37">
        <f>IFERROR(__xludf.DUMMYFUNCTION("IFERROR(
  IF(C84="""",, 
    IFERROR(
      GOOGLEFINANCE(C84, ""price"") * GOOGLEFINANCE(C84, ""volumeavg""), 
      GOOGLEFINANCE(C84, ""price"") * AVERAGE(QUERY(GOOGLEFINANCE(C84, ""volume"", TODAY()-40, TODAY()), ""SELECT Col2 WHERE Col2 IS NOT NULL "&amp;"ORDER BY Col1 DESC LIMIT 20"", 0))
    )
  ), 
"""")"),5.349436324E7)</f>
        <v>53494363.24</v>
      </c>
      <c r="K84" s="21">
        <f>IFERROR(__xludf.DUMMYFUNCTION("IFERROR(GOOGLEFINANCE(C84, ""changepct"") / 100, """")"),0.0037)</f>
        <v>0.0037</v>
      </c>
      <c r="L84" s="21" t="str">
        <f>IFERROR(__xludf.DUMMYFUNCTION("IFERROR((GOOGLEFINANCE(C84, ""price"") / INDEX(GOOGLEFINANCE(C84, ""price"", TODAY()-7, TODAY()), 2, 2)) - 1, """")"),"")</f>
        <v/>
      </c>
      <c r="M84" s="21" t="str">
        <f>IFERROR(__xludf.DUMMYFUNCTION("IFERROR((GOOGLEFINANCE(C84, ""price"") / INDEX(GOOGLEFINANCE(C84, ""price"", EDATE(TODAY(), -1), TODAY()), 2, 2)) - 1, """")"),"")</f>
        <v/>
      </c>
      <c r="N84" s="21" t="str">
        <f>IFERROR(__xludf.DUMMYFUNCTION("IFERROR((GOOGLEFINANCE(C84, ""price"") / INDEX(GOOGLEFINANCE(C84, ""price"", EDATE(TODAY(), -3), TODAY()), 2, 2)) - 1, """")"),"")</f>
        <v/>
      </c>
      <c r="O84" s="21" t="str">
        <f>IFERROR(__xludf.DUMMYFUNCTION("IFERROR((GOOGLEFINANCE(C84, ""price"") / INDEX(GOOGLEFINANCE(C84, ""price"", EDATE(TODAY(), -6), TODAY()), 2, 2)) - 1, """")"),"")</f>
        <v/>
      </c>
      <c r="P84" s="21" t="str">
        <f>IFERROR(__xludf.DUMMYFUNCTION("IFERROR((GOOGLEFINANCE(C84, ""price"") / INDEX(GOOGLEFINANCE(C84, ""price"", EDATE(TODAY(), -12), TODAY()), 2, 2)) - 1, """")"),"")</f>
        <v/>
      </c>
      <c r="Q84" s="6" t="str">
        <f>IFERROR(__xludf.DUMMYFUNCTION("AVERAGE(QUERY(GOOGLEFINANCE(C84, ""price"", TODAY()-80, TODAY()), ""SELECT Col2 WHERE Col2 IS NOT NULL ORDER BY Col1 DESC LIMIT 50"", 0))"),"#N/A")</f>
        <v>#N/A</v>
      </c>
      <c r="R84" s="24" t="str">
        <f>IFERROR(__xludf.DUMMYFUNCTION("IFERROR(
  LET(
    data, QUERY(GOOGLEFINANCE(C84,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GOOGLEFINANCE(C84, ""price"")) * 100,
    IF(calc=0, G84, calc)
  ), 
G84)"),"#N/A")</f>
        <v>#N/A</v>
      </c>
      <c r="S84" s="8" t="s">
        <v>15</v>
      </c>
      <c r="T84" s="26" t="str">
        <f>IFERROR(__xludf.DUMMYFUNCTION("IFERROR(TRANSPOSE(QUERY(IFERROR(SORT(GOOGLEFINANCE(C84, ""price"", WORKDAY(TODAY(), -40), TODAY()), 1, FALSE)), ""select Col2 where Col2 is not null limit 22 label Col2 ''"", 0)), """")"),"")</f>
        <v/>
      </c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8"/>
      <c r="AO84" s="28"/>
      <c r="AP84" s="29"/>
      <c r="AQ84" s="29" t="str">
        <f t="shared" ref="AQ84:BL84" si="87">T84/T$2</f>
        <v>#N/A</v>
      </c>
      <c r="AR84" s="29" t="str">
        <f t="shared" si="87"/>
        <v>#DIV/0!</v>
      </c>
      <c r="AS84" s="29" t="str">
        <f t="shared" si="87"/>
        <v>#DIV/0!</v>
      </c>
      <c r="AT84" s="29" t="str">
        <f t="shared" si="87"/>
        <v>#DIV/0!</v>
      </c>
      <c r="AU84" s="29" t="str">
        <f t="shared" si="87"/>
        <v>#DIV/0!</v>
      </c>
      <c r="AV84" s="29" t="str">
        <f t="shared" si="87"/>
        <v>#DIV/0!</v>
      </c>
      <c r="AW84" s="29" t="str">
        <f t="shared" si="87"/>
        <v>#DIV/0!</v>
      </c>
      <c r="AX84" s="29" t="str">
        <f t="shared" si="87"/>
        <v>#DIV/0!</v>
      </c>
      <c r="AY84" s="29" t="str">
        <f t="shared" si="87"/>
        <v>#DIV/0!</v>
      </c>
      <c r="AZ84" s="29" t="str">
        <f t="shared" si="87"/>
        <v>#DIV/0!</v>
      </c>
      <c r="BA84" s="29" t="str">
        <f t="shared" si="87"/>
        <v>#DIV/0!</v>
      </c>
      <c r="BB84" s="29" t="str">
        <f t="shared" si="87"/>
        <v>#DIV/0!</v>
      </c>
      <c r="BC84" s="29" t="str">
        <f t="shared" si="87"/>
        <v>#DIV/0!</v>
      </c>
      <c r="BD84" s="29" t="str">
        <f t="shared" si="87"/>
        <v>#DIV/0!</v>
      </c>
      <c r="BE84" s="29" t="str">
        <f t="shared" si="87"/>
        <v>#DIV/0!</v>
      </c>
      <c r="BF84" s="29" t="str">
        <f t="shared" si="87"/>
        <v>#DIV/0!</v>
      </c>
      <c r="BG84" s="29" t="str">
        <f t="shared" si="87"/>
        <v>#DIV/0!</v>
      </c>
      <c r="BH84" s="29" t="str">
        <f t="shared" si="87"/>
        <v>#DIV/0!</v>
      </c>
      <c r="BI84" s="29" t="str">
        <f t="shared" si="87"/>
        <v>#DIV/0!</v>
      </c>
      <c r="BJ84" s="29" t="str">
        <f t="shared" si="87"/>
        <v>#DIV/0!</v>
      </c>
      <c r="BK84" s="29" t="str">
        <f t="shared" si="87"/>
        <v>#DIV/0!</v>
      </c>
      <c r="BL84" s="29" t="str">
        <f t="shared" si="87"/>
        <v>#DIV/0!</v>
      </c>
      <c r="BM84" s="29" t="str">
        <f t="shared" si="3"/>
        <v>#DIV/0!</v>
      </c>
    </row>
    <row r="85">
      <c r="A85" s="16" t="str">
        <f>IFERROR(__xludf.DUMMYFUNCTION("IFERROR(SPARKLINE(SORT(MAP(TRANSPOSE(AQ85:BL85), LAMBDA(val, IF(ISNUMBER(val), PERCENTRANK(AQ85:BL85, val)+0.01, 0))), SEQUENCE(COLUMNS(AQ85:BL85)), FALSE), {""charttype"",""column""; ""color"",""chartreuse""; ""ymin"", 0; ""ymax"", 1.01; ""highcolor"", "&amp;"""darkgreen""; ""lowcolor"", ""red""}), """")"),"")</f>
        <v/>
      </c>
      <c r="B85" s="17" t="str">
        <f t="shared" si="4"/>
        <v/>
      </c>
      <c r="C85" s="1" t="s">
        <v>2988</v>
      </c>
      <c r="D85" s="30" t="str">
        <f>IFERROR(__xludf.DUMMYFUNCTION("IFERROR(GOOGLEFINANCE(C85, ""NAME""))"),"IHS Holding Ltd")</f>
        <v>IHS Holding Ltd</v>
      </c>
      <c r="E85" s="30" t="s">
        <v>2692</v>
      </c>
      <c r="F85" s="38" t="str">
        <f>IFERROR(__xludf.DUMMYFUNCTION("( (GOOGLEFINANCE(C85, ""price"") - Q85) / Q85 ) / (R85 / 100)"),"Loading...")</f>
        <v>Loading...</v>
      </c>
      <c r="G85" s="20" t="str">
        <f>IFERROR(__xludf.DUMMYFUNCTION("AVERAGE(ARRAYFORMULA(100 * (QUERY(GOOGLEFINANCE(C85, ""high"", TODAY()-40, TODAY()), ""SELECT Col2 WHERE Col2 IS NOT NULL ORDER BY Col1 DESC LIMIT 20"", 0) / QUERY(GOOGLEFINANCE(C85, ""low"", TODAY()-40, TODAY()), ""SELECT Col2 WHERE Col2 IS NOT NULL ORDE"&amp;"R BY Col1 DESC LIMIT 20"", 0) - 1)))"),"#N/A")</f>
        <v>#N/A</v>
      </c>
      <c r="H85" s="35" t="str">
        <f t="shared" si="6"/>
        <v>Illiquid</v>
      </c>
      <c r="I85" s="35" t="str">
        <f t="shared" si="7"/>
        <v>RVol Required</v>
      </c>
      <c r="J85" s="37">
        <f>IFERROR(__xludf.DUMMYFUNCTION("IFERROR(
  IF(C85="""",, 
    IFERROR(
      GOOGLEFINANCE(C85, ""price"") * GOOGLEFINANCE(C85, ""volumeavg""), 
      GOOGLEFINANCE(C85, ""price"") * AVERAGE(QUERY(GOOGLEFINANCE(C85, ""volume"", TODAY()-40, TODAY()), ""SELECT Col2 WHERE Col2 IS NOT NULL "&amp;"ORDER BY Col1 DESC LIMIT 20"", 0))
    )
  ), 
"""")"),7318087.68)</f>
        <v>7318087.68</v>
      </c>
      <c r="K85" s="21">
        <f>IFERROR(__xludf.DUMMYFUNCTION("IFERROR(GOOGLEFINANCE(C85, ""changepct"") / 100, """")"),0.0)</f>
        <v>0</v>
      </c>
      <c r="L85" s="21" t="str">
        <f>IFERROR(__xludf.DUMMYFUNCTION("IFERROR((GOOGLEFINANCE(C85, ""price"") / INDEX(GOOGLEFINANCE(C85, ""price"", TODAY()-7, TODAY()), 2, 2)) - 1, """")"),"")</f>
        <v/>
      </c>
      <c r="M85" s="21" t="str">
        <f>IFERROR(__xludf.DUMMYFUNCTION("IFERROR((GOOGLEFINANCE(C85, ""price"") / INDEX(GOOGLEFINANCE(C85, ""price"", EDATE(TODAY(), -1), TODAY()), 2, 2)) - 1, """")"),"")</f>
        <v/>
      </c>
      <c r="N85" s="21" t="str">
        <f>IFERROR(__xludf.DUMMYFUNCTION("IFERROR((GOOGLEFINANCE(C85, ""price"") / INDEX(GOOGLEFINANCE(C85, ""price"", EDATE(TODAY(), -3), TODAY()), 2, 2)) - 1, """")"),"")</f>
        <v/>
      </c>
      <c r="O85" s="21" t="str">
        <f>IFERROR(__xludf.DUMMYFUNCTION("IFERROR((GOOGLEFINANCE(C85, ""price"") / INDEX(GOOGLEFINANCE(C85, ""price"", EDATE(TODAY(), -6), TODAY()), 2, 2)) - 1, """")"),"")</f>
        <v/>
      </c>
      <c r="P85" s="21" t="str">
        <f>IFERROR(__xludf.DUMMYFUNCTION("IFERROR((GOOGLEFINANCE(C85, ""price"") / INDEX(GOOGLEFINANCE(C85, ""price"", EDATE(TODAY(), -12), TODAY()), 2, 2)) - 1, """")"),"")</f>
        <v/>
      </c>
      <c r="Q85" s="6" t="str">
        <f>IFERROR(__xludf.DUMMYFUNCTION("AVERAGE(QUERY(GOOGLEFINANCE(C85, ""price"", TODAY()-80, TODAY()), ""SELECT Col2 WHERE Col2 IS NOT NULL ORDER BY Col1 DESC LIMIT 50"", 0))"),"#N/A")</f>
        <v>#N/A</v>
      </c>
      <c r="R85" s="24" t="str">
        <f>IFERROR(__xludf.DUMMYFUNCTION("IFERROR(
  LET(
    data, QUERY(GOOGLEFINANCE(C85,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GOOGLEFINANCE(C85, ""price"")) * 100,
    IF(calc=0, G85, calc)
  ), 
G85)"),"#N/A")</f>
        <v>#N/A</v>
      </c>
      <c r="S85" s="8" t="s">
        <v>15</v>
      </c>
      <c r="T85" s="26" t="str">
        <f>IFERROR(__xludf.DUMMYFUNCTION("IFERROR(TRANSPOSE(QUERY(IFERROR(SORT(GOOGLEFINANCE(C85, ""price"", WORKDAY(TODAY(), -40), TODAY()), 1, FALSE)), ""select Col2 where Col2 is not null limit 22 label Col2 ''"", 0)), """")"),"")</f>
        <v/>
      </c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8"/>
      <c r="AO85" s="28"/>
      <c r="AP85" s="29"/>
      <c r="AQ85" s="29" t="str">
        <f t="shared" ref="AQ85:BL85" si="88">T85/T$2</f>
        <v>#N/A</v>
      </c>
      <c r="AR85" s="29" t="str">
        <f t="shared" si="88"/>
        <v>#DIV/0!</v>
      </c>
      <c r="AS85" s="29" t="str">
        <f t="shared" si="88"/>
        <v>#DIV/0!</v>
      </c>
      <c r="AT85" s="29" t="str">
        <f t="shared" si="88"/>
        <v>#DIV/0!</v>
      </c>
      <c r="AU85" s="29" t="str">
        <f t="shared" si="88"/>
        <v>#DIV/0!</v>
      </c>
      <c r="AV85" s="29" t="str">
        <f t="shared" si="88"/>
        <v>#DIV/0!</v>
      </c>
      <c r="AW85" s="29" t="str">
        <f t="shared" si="88"/>
        <v>#DIV/0!</v>
      </c>
      <c r="AX85" s="29" t="str">
        <f t="shared" si="88"/>
        <v>#DIV/0!</v>
      </c>
      <c r="AY85" s="29" t="str">
        <f t="shared" si="88"/>
        <v>#DIV/0!</v>
      </c>
      <c r="AZ85" s="29" t="str">
        <f t="shared" si="88"/>
        <v>#DIV/0!</v>
      </c>
      <c r="BA85" s="29" t="str">
        <f t="shared" si="88"/>
        <v>#DIV/0!</v>
      </c>
      <c r="BB85" s="29" t="str">
        <f t="shared" si="88"/>
        <v>#DIV/0!</v>
      </c>
      <c r="BC85" s="29" t="str">
        <f t="shared" si="88"/>
        <v>#DIV/0!</v>
      </c>
      <c r="BD85" s="29" t="str">
        <f t="shared" si="88"/>
        <v>#DIV/0!</v>
      </c>
      <c r="BE85" s="29" t="str">
        <f t="shared" si="88"/>
        <v>#DIV/0!</v>
      </c>
      <c r="BF85" s="29" t="str">
        <f t="shared" si="88"/>
        <v>#DIV/0!</v>
      </c>
      <c r="BG85" s="29" t="str">
        <f t="shared" si="88"/>
        <v>#DIV/0!</v>
      </c>
      <c r="BH85" s="29" t="str">
        <f t="shared" si="88"/>
        <v>#DIV/0!</v>
      </c>
      <c r="BI85" s="29" t="str">
        <f t="shared" si="88"/>
        <v>#DIV/0!</v>
      </c>
      <c r="BJ85" s="29" t="str">
        <f t="shared" si="88"/>
        <v>#DIV/0!</v>
      </c>
      <c r="BK85" s="29" t="str">
        <f t="shared" si="88"/>
        <v>#DIV/0!</v>
      </c>
      <c r="BL85" s="29" t="str">
        <f t="shared" si="88"/>
        <v>#DIV/0!</v>
      </c>
      <c r="BM85" s="29" t="str">
        <f t="shared" si="3"/>
        <v>#DIV/0!</v>
      </c>
    </row>
    <row r="86">
      <c r="A86" s="16" t="str">
        <f>IFERROR(__xludf.DUMMYFUNCTION("IFERROR(SPARKLINE(SORT(MAP(TRANSPOSE(AQ86:BL86), LAMBDA(val, IF(ISNUMBER(val), PERCENTRANK(AQ86:BL86, val)+0.01, 0))), SEQUENCE(COLUMNS(AQ86:BL86)), FALSE), {""charttype"",""column""; ""color"",""chartreuse""; ""ymin"", 0; ""ymax"", 1.01; ""highcolor"", "&amp;"""darkgreen""; ""lowcolor"", ""red""}), """")"),"")</f>
        <v/>
      </c>
      <c r="B86" s="17" t="str">
        <f t="shared" si="4"/>
        <v/>
      </c>
      <c r="C86" s="1" t="s">
        <v>2993</v>
      </c>
      <c r="D86" s="30" t="str">
        <f>IFERROR(__xludf.DUMMYFUNCTION("IFERROR(GOOGLEFINANCE(C86, ""NAME""))"),"Simon Property Group Inc")</f>
        <v>Simon Property Group Inc</v>
      </c>
      <c r="E86" s="30" t="s">
        <v>2751</v>
      </c>
      <c r="F86" s="33" t="str">
        <f>IFERROR(__xludf.DUMMYFUNCTION("( (GOOGLEFINANCE(C86, ""price"") - Q86) / Q86 ) / (R86 / 100)"),"Loading...")</f>
        <v>Loading...</v>
      </c>
      <c r="G86" s="20" t="str">
        <f>IFERROR(__xludf.DUMMYFUNCTION("AVERAGE(ARRAYFORMULA(100 * (QUERY(GOOGLEFINANCE(C86, ""high"", TODAY()-40, TODAY()), ""SELECT Col2 WHERE Col2 IS NOT NULL ORDER BY Col1 DESC LIMIT 20"", 0) / QUERY(GOOGLEFINANCE(C86, ""low"", TODAY()-40, TODAY()), ""SELECT Col2 WHERE Col2 IS NOT NULL ORDE"&amp;"R BY Col1 DESC LIMIT 20"", 0) - 1)))"),"#N/A")</f>
        <v>#N/A</v>
      </c>
      <c r="H86" s="35" t="str">
        <f t="shared" si="6"/>
        <v>Liquid</v>
      </c>
      <c r="I86" s="35" t="str">
        <f t="shared" si="7"/>
        <v>RVol Required</v>
      </c>
      <c r="J86" s="37">
        <f>IFERROR(__xludf.DUMMYFUNCTION("IFERROR(
  IF(C86="""",, 
    IFERROR(
      GOOGLEFINANCE(C86, ""price"") * GOOGLEFINANCE(C86, ""volumeavg""), 
      GOOGLEFINANCE(C86, ""price"") * AVERAGE(QUERY(GOOGLEFINANCE(C86, ""volume"", TODAY()-40, TODAY()), ""SELECT Col2 WHERE Col2 IS NOT NULL "&amp;"ORDER BY Col1 DESC LIMIT 20"", 0))
    )
  ), 
"""")"),2.6622599807999998E8)</f>
        <v>266225998.1</v>
      </c>
      <c r="K86" s="21">
        <f>IFERROR(__xludf.DUMMYFUNCTION("IFERROR(GOOGLEFINANCE(C86, ""changepct"") / 100, """")"),0.0101)</f>
        <v>0.0101</v>
      </c>
      <c r="L86" s="21" t="str">
        <f>IFERROR(__xludf.DUMMYFUNCTION("IFERROR((GOOGLEFINANCE(C86, ""price"") / INDEX(GOOGLEFINANCE(C86, ""price"", TODAY()-7, TODAY()), 2, 2)) - 1, """")"),"")</f>
        <v/>
      </c>
      <c r="M86" s="21" t="str">
        <f>IFERROR(__xludf.DUMMYFUNCTION("IFERROR((GOOGLEFINANCE(C86, ""price"") / INDEX(GOOGLEFINANCE(C86, ""price"", EDATE(TODAY(), -1), TODAY()), 2, 2)) - 1, """")"),"")</f>
        <v/>
      </c>
      <c r="N86" s="21" t="str">
        <f>IFERROR(__xludf.DUMMYFUNCTION("IFERROR((GOOGLEFINANCE(C86, ""price"") / INDEX(GOOGLEFINANCE(C86, ""price"", EDATE(TODAY(), -3), TODAY()), 2, 2)) - 1, """")"),"")</f>
        <v/>
      </c>
      <c r="O86" s="21" t="str">
        <f>IFERROR(__xludf.DUMMYFUNCTION("IFERROR((GOOGLEFINANCE(C86, ""price"") / INDEX(GOOGLEFINANCE(C86, ""price"", EDATE(TODAY(), -6), TODAY()), 2, 2)) - 1, """")"),"")</f>
        <v/>
      </c>
      <c r="P86" s="21" t="str">
        <f>IFERROR(__xludf.DUMMYFUNCTION("IFERROR((GOOGLEFINANCE(C86, ""price"") / INDEX(GOOGLEFINANCE(C86, ""price"", EDATE(TODAY(), -12), TODAY()), 2, 2)) - 1, """")"),"")</f>
        <v/>
      </c>
      <c r="Q86" s="6" t="str">
        <f>IFERROR(__xludf.DUMMYFUNCTION("AVERAGE(QUERY(GOOGLEFINANCE(C86, ""price"", TODAY()-80, TODAY()), ""SELECT Col2 WHERE Col2 IS NOT NULL ORDER BY Col1 DESC LIMIT 50"", 0))"),"#N/A")</f>
        <v>#N/A</v>
      </c>
      <c r="R86" s="24" t="str">
        <f>IFERROR(__xludf.DUMMYFUNCTION("IFERROR(
  LET(
    data, QUERY(GOOGLEFINANCE(C86,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GOOGLEFINANCE(C86, ""price"")) * 100,
    IF(calc=0, G86, calc)
  ), 
G86)"),"#N/A")</f>
        <v>#N/A</v>
      </c>
      <c r="S86" s="8" t="s">
        <v>15</v>
      </c>
      <c r="T86" s="26" t="str">
        <f>IFERROR(__xludf.DUMMYFUNCTION("IFERROR(TRANSPOSE(QUERY(IFERROR(SORT(GOOGLEFINANCE(C86, ""price"", WORKDAY(TODAY(), -40), TODAY()), 1, FALSE)), ""select Col2 where Col2 is not null limit 22 label Col2 ''"", 0)), """")"),"")</f>
        <v/>
      </c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8"/>
      <c r="AO86" s="28"/>
      <c r="AP86" s="29"/>
      <c r="AQ86" s="29" t="str">
        <f t="shared" ref="AQ86:BL86" si="89">T86/T$2</f>
        <v>#N/A</v>
      </c>
      <c r="AR86" s="29" t="str">
        <f t="shared" si="89"/>
        <v>#DIV/0!</v>
      </c>
      <c r="AS86" s="29" t="str">
        <f t="shared" si="89"/>
        <v>#DIV/0!</v>
      </c>
      <c r="AT86" s="29" t="str">
        <f t="shared" si="89"/>
        <v>#DIV/0!</v>
      </c>
      <c r="AU86" s="29" t="str">
        <f t="shared" si="89"/>
        <v>#DIV/0!</v>
      </c>
      <c r="AV86" s="29" t="str">
        <f t="shared" si="89"/>
        <v>#DIV/0!</v>
      </c>
      <c r="AW86" s="29" t="str">
        <f t="shared" si="89"/>
        <v>#DIV/0!</v>
      </c>
      <c r="AX86" s="29" t="str">
        <f t="shared" si="89"/>
        <v>#DIV/0!</v>
      </c>
      <c r="AY86" s="29" t="str">
        <f t="shared" si="89"/>
        <v>#DIV/0!</v>
      </c>
      <c r="AZ86" s="29" t="str">
        <f t="shared" si="89"/>
        <v>#DIV/0!</v>
      </c>
      <c r="BA86" s="29" t="str">
        <f t="shared" si="89"/>
        <v>#DIV/0!</v>
      </c>
      <c r="BB86" s="29" t="str">
        <f t="shared" si="89"/>
        <v>#DIV/0!</v>
      </c>
      <c r="BC86" s="29" t="str">
        <f t="shared" si="89"/>
        <v>#DIV/0!</v>
      </c>
      <c r="BD86" s="29" t="str">
        <f t="shared" si="89"/>
        <v>#DIV/0!</v>
      </c>
      <c r="BE86" s="29" t="str">
        <f t="shared" si="89"/>
        <v>#DIV/0!</v>
      </c>
      <c r="BF86" s="29" t="str">
        <f t="shared" si="89"/>
        <v>#DIV/0!</v>
      </c>
      <c r="BG86" s="29" t="str">
        <f t="shared" si="89"/>
        <v>#DIV/0!</v>
      </c>
      <c r="BH86" s="29" t="str">
        <f t="shared" si="89"/>
        <v>#DIV/0!</v>
      </c>
      <c r="BI86" s="29" t="str">
        <f t="shared" si="89"/>
        <v>#DIV/0!</v>
      </c>
      <c r="BJ86" s="29" t="str">
        <f t="shared" si="89"/>
        <v>#DIV/0!</v>
      </c>
      <c r="BK86" s="29" t="str">
        <f t="shared" si="89"/>
        <v>#DIV/0!</v>
      </c>
      <c r="BL86" s="29" t="str">
        <f t="shared" si="89"/>
        <v>#DIV/0!</v>
      </c>
      <c r="BM86" s="29" t="str">
        <f t="shared" si="3"/>
        <v>#DIV/0!</v>
      </c>
    </row>
    <row r="87">
      <c r="A87" s="16" t="str">
        <f>IFERROR(__xludf.DUMMYFUNCTION("IFERROR(SPARKLINE(SORT(MAP(TRANSPOSE(AQ87:BL87), LAMBDA(val, IF(ISNUMBER(val), PERCENTRANK(AQ87:BL87, val)+0.01, 0))), SEQUENCE(COLUMNS(AQ87:BL87)), FALSE), {""charttype"",""column""; ""color"",""chartreuse""; ""ymin"", 0; ""ymax"", 1.01; ""highcolor"", "&amp;"""darkgreen""; ""lowcolor"", ""red""}), """")"),"")</f>
        <v/>
      </c>
      <c r="B87" s="17" t="str">
        <f t="shared" si="4"/>
        <v/>
      </c>
      <c r="C87" s="1" t="s">
        <v>2998</v>
      </c>
      <c r="D87" s="30" t="str">
        <f>IFERROR(__xludf.DUMMYFUNCTION("IFERROR(GOOGLEFINANCE(C87, ""NAME""))"),"Realty Income Corp")</f>
        <v>Realty Income Corp</v>
      </c>
      <c r="E87" s="30" t="s">
        <v>2751</v>
      </c>
      <c r="F87" s="33" t="str">
        <f>IFERROR(__xludf.DUMMYFUNCTION("( (GOOGLEFINANCE(C87, ""price"") - Q87) / Q87 ) / (R87 / 100)"),"Loading...")</f>
        <v>Loading...</v>
      </c>
      <c r="G87" s="20" t="str">
        <f>IFERROR(__xludf.DUMMYFUNCTION("AVERAGE(ARRAYFORMULA(100 * (QUERY(GOOGLEFINANCE(C87, ""high"", TODAY()-40, TODAY()), ""SELECT Col2 WHERE Col2 IS NOT NULL ORDER BY Col1 DESC LIMIT 20"", 0) / QUERY(GOOGLEFINANCE(C87, ""low"", TODAY()-40, TODAY()), ""SELECT Col2 WHERE Col2 IS NOT NULL ORDE"&amp;"R BY Col1 DESC LIMIT 20"", 0) - 1)))"),"#N/A")</f>
        <v>#N/A</v>
      </c>
      <c r="H87" s="35" t="str">
        <f t="shared" si="6"/>
        <v>Liquid</v>
      </c>
      <c r="I87" s="35" t="str">
        <f t="shared" si="7"/>
        <v>RVol Required</v>
      </c>
      <c r="J87" s="37">
        <f>IFERROR(__xludf.DUMMYFUNCTION("IFERROR(
  IF(C87="""",, 
    IFERROR(
      GOOGLEFINANCE(C87, ""price"") * GOOGLEFINANCE(C87, ""volumeavg""), 
      GOOGLEFINANCE(C87, ""price"") * AVERAGE(QUERY(GOOGLEFINANCE(C87, ""volume"", TODAY()-40, TODAY()), ""SELECT Col2 WHERE Col2 IS NOT NULL "&amp;"ORDER BY Col1 DESC LIMIT 20"", 0))
    )
  ), 
"""")"),4.9271702936E8)</f>
        <v>492717029.4</v>
      </c>
      <c r="K87" s="21">
        <f>IFERROR(__xludf.DUMMYFUNCTION("IFERROR(GOOGLEFINANCE(C87, ""changepct"") / 100, """")"),0.0095)</f>
        <v>0.0095</v>
      </c>
      <c r="L87" s="21" t="str">
        <f>IFERROR(__xludf.DUMMYFUNCTION("IFERROR((GOOGLEFINANCE(C87, ""price"") / INDEX(GOOGLEFINANCE(C87, ""price"", TODAY()-7, TODAY()), 2, 2)) - 1, """")"),"")</f>
        <v/>
      </c>
      <c r="M87" s="21" t="str">
        <f>IFERROR(__xludf.DUMMYFUNCTION("IFERROR((GOOGLEFINANCE(C87, ""price"") / INDEX(GOOGLEFINANCE(C87, ""price"", EDATE(TODAY(), -1), TODAY()), 2, 2)) - 1, """")"),"")</f>
        <v/>
      </c>
      <c r="N87" s="21" t="str">
        <f>IFERROR(__xludf.DUMMYFUNCTION("IFERROR((GOOGLEFINANCE(C87, ""price"") / INDEX(GOOGLEFINANCE(C87, ""price"", EDATE(TODAY(), -3), TODAY()), 2, 2)) - 1, """")"),"")</f>
        <v/>
      </c>
      <c r="O87" s="21" t="str">
        <f>IFERROR(__xludf.DUMMYFUNCTION("IFERROR((GOOGLEFINANCE(C87, ""price"") / INDEX(GOOGLEFINANCE(C87, ""price"", EDATE(TODAY(), -6), TODAY()), 2, 2)) - 1, """")"),"")</f>
        <v/>
      </c>
      <c r="P87" s="21" t="str">
        <f>IFERROR(__xludf.DUMMYFUNCTION("IFERROR((GOOGLEFINANCE(C87, ""price"") / INDEX(GOOGLEFINANCE(C87, ""price"", EDATE(TODAY(), -12), TODAY()), 2, 2)) - 1, """")"),"")</f>
        <v/>
      </c>
      <c r="Q87" s="6" t="str">
        <f>IFERROR(__xludf.DUMMYFUNCTION("AVERAGE(QUERY(GOOGLEFINANCE(C87, ""price"", TODAY()-80, TODAY()), ""SELECT Col2 WHERE Col2 IS NOT NULL ORDER BY Col1 DESC LIMIT 50"", 0))"),"#N/A")</f>
        <v>#N/A</v>
      </c>
      <c r="R87" s="24" t="str">
        <f>IFERROR(__xludf.DUMMYFUNCTION("IFERROR(
  LET(
    data, QUERY(GOOGLEFINANCE(C87,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GOOGLEFINANCE(C87, ""price"")) * 100,
    IF(calc=0, G87, calc)
  ), 
G87)"),"#N/A")</f>
        <v>#N/A</v>
      </c>
      <c r="S87" s="8" t="s">
        <v>15</v>
      </c>
      <c r="T87" s="26" t="str">
        <f>IFERROR(__xludf.DUMMYFUNCTION("IFERROR(TRANSPOSE(QUERY(IFERROR(SORT(GOOGLEFINANCE(C87, ""price"", WORKDAY(TODAY(), -40), TODAY()), 1, FALSE)), ""select Col2 where Col2 is not null limit 22 label Col2 ''"", 0)), """")"),"")</f>
        <v/>
      </c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8"/>
      <c r="AO87" s="28"/>
      <c r="AP87" s="29"/>
      <c r="AQ87" s="29" t="str">
        <f t="shared" ref="AQ87:BL87" si="90">T87/T$2</f>
        <v>#N/A</v>
      </c>
      <c r="AR87" s="29" t="str">
        <f t="shared" si="90"/>
        <v>#DIV/0!</v>
      </c>
      <c r="AS87" s="29" t="str">
        <f t="shared" si="90"/>
        <v>#DIV/0!</v>
      </c>
      <c r="AT87" s="29" t="str">
        <f t="shared" si="90"/>
        <v>#DIV/0!</v>
      </c>
      <c r="AU87" s="29" t="str">
        <f t="shared" si="90"/>
        <v>#DIV/0!</v>
      </c>
      <c r="AV87" s="29" t="str">
        <f t="shared" si="90"/>
        <v>#DIV/0!</v>
      </c>
      <c r="AW87" s="29" t="str">
        <f t="shared" si="90"/>
        <v>#DIV/0!</v>
      </c>
      <c r="AX87" s="29" t="str">
        <f t="shared" si="90"/>
        <v>#DIV/0!</v>
      </c>
      <c r="AY87" s="29" t="str">
        <f t="shared" si="90"/>
        <v>#DIV/0!</v>
      </c>
      <c r="AZ87" s="29" t="str">
        <f t="shared" si="90"/>
        <v>#DIV/0!</v>
      </c>
      <c r="BA87" s="29" t="str">
        <f t="shared" si="90"/>
        <v>#DIV/0!</v>
      </c>
      <c r="BB87" s="29" t="str">
        <f t="shared" si="90"/>
        <v>#DIV/0!</v>
      </c>
      <c r="BC87" s="29" t="str">
        <f t="shared" si="90"/>
        <v>#DIV/0!</v>
      </c>
      <c r="BD87" s="29" t="str">
        <f t="shared" si="90"/>
        <v>#DIV/0!</v>
      </c>
      <c r="BE87" s="29" t="str">
        <f t="shared" si="90"/>
        <v>#DIV/0!</v>
      </c>
      <c r="BF87" s="29" t="str">
        <f t="shared" si="90"/>
        <v>#DIV/0!</v>
      </c>
      <c r="BG87" s="29" t="str">
        <f t="shared" si="90"/>
        <v>#DIV/0!</v>
      </c>
      <c r="BH87" s="29" t="str">
        <f t="shared" si="90"/>
        <v>#DIV/0!</v>
      </c>
      <c r="BI87" s="29" t="str">
        <f t="shared" si="90"/>
        <v>#DIV/0!</v>
      </c>
      <c r="BJ87" s="29" t="str">
        <f t="shared" si="90"/>
        <v>#DIV/0!</v>
      </c>
      <c r="BK87" s="29" t="str">
        <f t="shared" si="90"/>
        <v>#DIV/0!</v>
      </c>
      <c r="BL87" s="29" t="str">
        <f t="shared" si="90"/>
        <v>#DIV/0!</v>
      </c>
      <c r="BM87" s="29" t="str">
        <f t="shared" si="3"/>
        <v>#DIV/0!</v>
      </c>
    </row>
    <row r="88">
      <c r="A88" s="16" t="str">
        <f>IFERROR(__xludf.DUMMYFUNCTION("IFERROR(SPARKLINE(SORT(MAP(TRANSPOSE(AQ88:BL88), LAMBDA(val, IF(ISNUMBER(val), PERCENTRANK(AQ88:BL88, val)+0.01, 0))), SEQUENCE(COLUMNS(AQ88:BL88)), FALSE), {""charttype"",""column""; ""color"",""chartreuse""; ""ymin"", 0; ""ymax"", 1.01; ""highcolor"", "&amp;"""darkgreen""; ""lowcolor"", ""red""}), """")"),"")</f>
        <v/>
      </c>
      <c r="B88" s="17" t="str">
        <f t="shared" si="4"/>
        <v/>
      </c>
      <c r="C88" s="1" t="s">
        <v>3001</v>
      </c>
      <c r="D88" s="30" t="str">
        <f>IFERROR(__xludf.DUMMYFUNCTION("IFERROR(GOOGLEFINANCE(C88, ""NAME""))"),"Saul Centers Inc")</f>
        <v>Saul Centers Inc</v>
      </c>
      <c r="E88" s="30" t="s">
        <v>2751</v>
      </c>
      <c r="F88" s="33" t="str">
        <f>IFERROR(__xludf.DUMMYFUNCTION("( (GOOGLEFINANCE(C88, ""price"") - Q88) / Q88 ) / (R88 / 100)"),"Loading...")</f>
        <v>Loading...</v>
      </c>
      <c r="G88" s="20" t="str">
        <f>IFERROR(__xludf.DUMMYFUNCTION("AVERAGE(ARRAYFORMULA(100 * (QUERY(GOOGLEFINANCE(C88, ""high"", TODAY()-40, TODAY()), ""SELECT Col2 WHERE Col2 IS NOT NULL ORDER BY Col1 DESC LIMIT 20"", 0) / QUERY(GOOGLEFINANCE(C88, ""low"", TODAY()-40, TODAY()), ""SELECT Col2 WHERE Col2 IS NOT NULL ORDE"&amp;"R BY Col1 DESC LIMIT 20"", 0) - 1)))"),"#N/A")</f>
        <v>#N/A</v>
      </c>
      <c r="H88" s="35" t="str">
        <f t="shared" si="6"/>
        <v>Illiquid</v>
      </c>
      <c r="I88" s="35" t="str">
        <f t="shared" si="7"/>
        <v>RVol Required</v>
      </c>
      <c r="J88" s="37">
        <f>IFERROR(__xludf.DUMMYFUNCTION("IFERROR(
  IF(C88="""",, 
    IFERROR(
      GOOGLEFINANCE(C88, ""price"") * GOOGLEFINANCE(C88, ""volumeavg""), 
      GOOGLEFINANCE(C88, ""price"") * AVERAGE(QUERY(GOOGLEFINANCE(C88, ""volume"", TODAY()-40, TODAY()), ""SELECT Col2 WHERE Col2 IS NOT NULL "&amp;"ORDER BY Col1 DESC LIMIT 20"", 0))
    )
  ), 
"""")"),4319754.18)</f>
        <v>4319754.18</v>
      </c>
      <c r="K88" s="21">
        <f>IFERROR(__xludf.DUMMYFUNCTION("IFERROR(GOOGLEFINANCE(C88, ""changepct"") / 100, """")"),0.012)</f>
        <v>0.012</v>
      </c>
      <c r="L88" s="21" t="str">
        <f>IFERROR(__xludf.DUMMYFUNCTION("IFERROR((GOOGLEFINANCE(C88, ""price"") / INDEX(GOOGLEFINANCE(C88, ""price"", TODAY()-7, TODAY()), 2, 2)) - 1, """")"),"")</f>
        <v/>
      </c>
      <c r="M88" s="21" t="str">
        <f>IFERROR(__xludf.DUMMYFUNCTION("IFERROR((GOOGLEFINANCE(C88, ""price"") / INDEX(GOOGLEFINANCE(C88, ""price"", EDATE(TODAY(), -1), TODAY()), 2, 2)) - 1, """")"),"")</f>
        <v/>
      </c>
      <c r="N88" s="21" t="str">
        <f>IFERROR(__xludf.DUMMYFUNCTION("IFERROR((GOOGLEFINANCE(C88, ""price"") / INDEX(GOOGLEFINANCE(C88, ""price"", EDATE(TODAY(), -3), TODAY()), 2, 2)) - 1, """")"),"")</f>
        <v/>
      </c>
      <c r="O88" s="21" t="str">
        <f>IFERROR(__xludf.DUMMYFUNCTION("IFERROR((GOOGLEFINANCE(C88, ""price"") / INDEX(GOOGLEFINANCE(C88, ""price"", EDATE(TODAY(), -6), TODAY()), 2, 2)) - 1, """")"),"")</f>
        <v/>
      </c>
      <c r="P88" s="21" t="str">
        <f>IFERROR(__xludf.DUMMYFUNCTION("IFERROR((GOOGLEFINANCE(C88, ""price"") / INDEX(GOOGLEFINANCE(C88, ""price"", EDATE(TODAY(), -12), TODAY()), 2, 2)) - 1, """")"),"")</f>
        <v/>
      </c>
      <c r="Q88" s="6" t="str">
        <f>IFERROR(__xludf.DUMMYFUNCTION("AVERAGE(QUERY(GOOGLEFINANCE(C88, ""price"", TODAY()-80, TODAY()), ""SELECT Col2 WHERE Col2 IS NOT NULL ORDER BY Col1 DESC LIMIT 50"", 0))"),"#N/A")</f>
        <v>#N/A</v>
      </c>
      <c r="R88" s="24" t="str">
        <f>IFERROR(__xludf.DUMMYFUNCTION("IFERROR(
  LET(
    data, QUERY(GOOGLEFINANCE(C88,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GOOGLEFINANCE(C88, ""price"")) * 100,
    IF(calc=0, G88, calc)
  ), 
G88)"),"#N/A")</f>
        <v>#N/A</v>
      </c>
      <c r="S88" s="8" t="s">
        <v>15</v>
      </c>
      <c r="T88" s="26" t="str">
        <f>IFERROR(__xludf.DUMMYFUNCTION("IFERROR(TRANSPOSE(QUERY(IFERROR(SORT(GOOGLEFINANCE(C88, ""price"", WORKDAY(TODAY(), -40), TODAY()), 1, FALSE)), ""select Col2 where Col2 is not null limit 22 label Col2 ''"", 0)), """")"),"")</f>
        <v/>
      </c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8"/>
      <c r="AO88" s="28"/>
      <c r="AP88" s="29"/>
      <c r="AQ88" s="29" t="str">
        <f t="shared" ref="AQ88:BL88" si="91">T88/T$2</f>
        <v>#N/A</v>
      </c>
      <c r="AR88" s="29" t="str">
        <f t="shared" si="91"/>
        <v>#DIV/0!</v>
      </c>
      <c r="AS88" s="29" t="str">
        <f t="shared" si="91"/>
        <v>#DIV/0!</v>
      </c>
      <c r="AT88" s="29" t="str">
        <f t="shared" si="91"/>
        <v>#DIV/0!</v>
      </c>
      <c r="AU88" s="29" t="str">
        <f t="shared" si="91"/>
        <v>#DIV/0!</v>
      </c>
      <c r="AV88" s="29" t="str">
        <f t="shared" si="91"/>
        <v>#DIV/0!</v>
      </c>
      <c r="AW88" s="29" t="str">
        <f t="shared" si="91"/>
        <v>#DIV/0!</v>
      </c>
      <c r="AX88" s="29" t="str">
        <f t="shared" si="91"/>
        <v>#DIV/0!</v>
      </c>
      <c r="AY88" s="29" t="str">
        <f t="shared" si="91"/>
        <v>#DIV/0!</v>
      </c>
      <c r="AZ88" s="29" t="str">
        <f t="shared" si="91"/>
        <v>#DIV/0!</v>
      </c>
      <c r="BA88" s="29" t="str">
        <f t="shared" si="91"/>
        <v>#DIV/0!</v>
      </c>
      <c r="BB88" s="29" t="str">
        <f t="shared" si="91"/>
        <v>#DIV/0!</v>
      </c>
      <c r="BC88" s="29" t="str">
        <f t="shared" si="91"/>
        <v>#DIV/0!</v>
      </c>
      <c r="BD88" s="29" t="str">
        <f t="shared" si="91"/>
        <v>#DIV/0!</v>
      </c>
      <c r="BE88" s="29" t="str">
        <f t="shared" si="91"/>
        <v>#DIV/0!</v>
      </c>
      <c r="BF88" s="29" t="str">
        <f t="shared" si="91"/>
        <v>#DIV/0!</v>
      </c>
      <c r="BG88" s="29" t="str">
        <f t="shared" si="91"/>
        <v>#DIV/0!</v>
      </c>
      <c r="BH88" s="29" t="str">
        <f t="shared" si="91"/>
        <v>#DIV/0!</v>
      </c>
      <c r="BI88" s="29" t="str">
        <f t="shared" si="91"/>
        <v>#DIV/0!</v>
      </c>
      <c r="BJ88" s="29" t="str">
        <f t="shared" si="91"/>
        <v>#DIV/0!</v>
      </c>
      <c r="BK88" s="29" t="str">
        <f t="shared" si="91"/>
        <v>#DIV/0!</v>
      </c>
      <c r="BL88" s="29" t="str">
        <f t="shared" si="91"/>
        <v>#DIV/0!</v>
      </c>
      <c r="BM88" s="29" t="str">
        <f t="shared" si="3"/>
        <v>#DIV/0!</v>
      </c>
    </row>
    <row r="89">
      <c r="A89" s="16" t="str">
        <f>IFERROR(__xludf.DUMMYFUNCTION("IFERROR(SPARKLINE(SORT(MAP(TRANSPOSE(AQ89:BL89), LAMBDA(val, IF(ISNUMBER(val), PERCENTRANK(AQ89:BL89, val)+0.01, 0))), SEQUENCE(COLUMNS(AQ89:BL89)), FALSE), {""charttype"",""column""; ""color"",""chartreuse""; ""ymin"", 0; ""ymax"", 1.01; ""highcolor"", "&amp;"""darkgreen""; ""lowcolor"", ""red""}), """")"),"")</f>
        <v/>
      </c>
      <c r="B89" s="17" t="str">
        <f t="shared" si="4"/>
        <v/>
      </c>
      <c r="C89" s="1" t="s">
        <v>3005</v>
      </c>
      <c r="D89" s="30" t="str">
        <f>IFERROR(__xludf.DUMMYFUNCTION("IFERROR(GOOGLEFINANCE(C89, ""NAME""))"),"Eastgroup Properties Inc")</f>
        <v>Eastgroup Properties Inc</v>
      </c>
      <c r="E89" s="30" t="s">
        <v>2704</v>
      </c>
      <c r="F89" s="38" t="str">
        <f>IFERROR(__xludf.DUMMYFUNCTION("( (GOOGLEFINANCE(C89, ""price"") - Q89) / Q89 ) / (R89 / 100)"),"Loading...")</f>
        <v>Loading...</v>
      </c>
      <c r="G89" s="20" t="str">
        <f>IFERROR(__xludf.DUMMYFUNCTION("AVERAGE(ARRAYFORMULA(100 * (QUERY(GOOGLEFINANCE(C89, ""high"", TODAY()-40, TODAY()), ""SELECT Col2 WHERE Col2 IS NOT NULL ORDER BY Col1 DESC LIMIT 20"", 0) / QUERY(GOOGLEFINANCE(C89, ""low"", TODAY()-40, TODAY()), ""SELECT Col2 WHERE Col2 IS NOT NULL ORDE"&amp;"R BY Col1 DESC LIMIT 20"", 0) - 1)))"),"#N/A")</f>
        <v>#N/A</v>
      </c>
      <c r="H89" s="35" t="str">
        <f t="shared" si="6"/>
        <v>Liquid</v>
      </c>
      <c r="I89" s="35" t="str">
        <f t="shared" si="7"/>
        <v>RVol Required</v>
      </c>
      <c r="J89" s="37">
        <f>IFERROR(__xludf.DUMMYFUNCTION("IFERROR(
  IF(C89="""",, 
    IFERROR(
      GOOGLEFINANCE(C89, ""price"") * GOOGLEFINANCE(C89, ""volumeavg""), 
      GOOGLEFINANCE(C89, ""price"") * AVERAGE(QUERY(GOOGLEFINANCE(C89, ""volume"", TODAY()-40, TODAY()), ""SELECT Col2 WHERE Col2 IS NOT NULL "&amp;"ORDER BY Col1 DESC LIMIT 20"", 0))
    )
  ), 
"""")"),1.018865745E8)</f>
        <v>101886574.5</v>
      </c>
      <c r="K89" s="21">
        <f>IFERROR(__xludf.DUMMYFUNCTION("IFERROR(GOOGLEFINANCE(C89, ""changepct"") / 100, """")"),0.01)</f>
        <v>0.01</v>
      </c>
      <c r="L89" s="21" t="str">
        <f>IFERROR(__xludf.DUMMYFUNCTION("IFERROR((GOOGLEFINANCE(C89, ""price"") / INDEX(GOOGLEFINANCE(C89, ""price"", TODAY()-7, TODAY()), 2, 2)) - 1, """")"),"")</f>
        <v/>
      </c>
      <c r="M89" s="21" t="str">
        <f>IFERROR(__xludf.DUMMYFUNCTION("IFERROR((GOOGLEFINANCE(C89, ""price"") / INDEX(GOOGLEFINANCE(C89, ""price"", EDATE(TODAY(), -1), TODAY()), 2, 2)) - 1, """")"),"")</f>
        <v/>
      </c>
      <c r="N89" s="21" t="str">
        <f>IFERROR(__xludf.DUMMYFUNCTION("IFERROR((GOOGLEFINANCE(C89, ""price"") / INDEX(GOOGLEFINANCE(C89, ""price"", EDATE(TODAY(), -3), TODAY()), 2, 2)) - 1, """")"),"")</f>
        <v/>
      </c>
      <c r="O89" s="21" t="str">
        <f>IFERROR(__xludf.DUMMYFUNCTION("IFERROR((GOOGLEFINANCE(C89, ""price"") / INDEX(GOOGLEFINANCE(C89, ""price"", EDATE(TODAY(), -6), TODAY()), 2, 2)) - 1, """")"),"")</f>
        <v/>
      </c>
      <c r="P89" s="21" t="str">
        <f>IFERROR(__xludf.DUMMYFUNCTION("IFERROR((GOOGLEFINANCE(C89, ""price"") / INDEX(GOOGLEFINANCE(C89, ""price"", EDATE(TODAY(), -12), TODAY()), 2, 2)) - 1, """")"),"")</f>
        <v/>
      </c>
      <c r="Q89" s="6" t="str">
        <f>IFERROR(__xludf.DUMMYFUNCTION("AVERAGE(QUERY(GOOGLEFINANCE(C89, ""price"", TODAY()-80, TODAY()), ""SELECT Col2 WHERE Col2 IS NOT NULL ORDER BY Col1 DESC LIMIT 50"", 0))"),"#N/A")</f>
        <v>#N/A</v>
      </c>
      <c r="R89" s="24" t="str">
        <f>IFERROR(__xludf.DUMMYFUNCTION("IFERROR(
  LET(
    data, QUERY(GOOGLEFINANCE(C89,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GOOGLEFINANCE(C89, ""price"")) * 100,
    IF(calc=0, G89, calc)
  ), 
G89)"),"#N/A")</f>
        <v>#N/A</v>
      </c>
      <c r="S89" s="8" t="s">
        <v>15</v>
      </c>
      <c r="T89" s="26" t="str">
        <f>IFERROR(__xludf.DUMMYFUNCTION("IFERROR(TRANSPOSE(QUERY(IFERROR(SORT(GOOGLEFINANCE(C89, ""price"", WORKDAY(TODAY(), -40), TODAY()), 1, FALSE)), ""select Col2 where Col2 is not null limit 22 label Col2 ''"", 0)), """")"),"")</f>
        <v/>
      </c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8"/>
      <c r="AO89" s="28"/>
      <c r="AP89" s="29"/>
      <c r="AQ89" s="29" t="str">
        <f t="shared" ref="AQ89:BL89" si="92">T89/T$2</f>
        <v>#N/A</v>
      </c>
      <c r="AR89" s="29" t="str">
        <f t="shared" si="92"/>
        <v>#DIV/0!</v>
      </c>
      <c r="AS89" s="29" t="str">
        <f t="shared" si="92"/>
        <v>#DIV/0!</v>
      </c>
      <c r="AT89" s="29" t="str">
        <f t="shared" si="92"/>
        <v>#DIV/0!</v>
      </c>
      <c r="AU89" s="29" t="str">
        <f t="shared" si="92"/>
        <v>#DIV/0!</v>
      </c>
      <c r="AV89" s="29" t="str">
        <f t="shared" si="92"/>
        <v>#DIV/0!</v>
      </c>
      <c r="AW89" s="29" t="str">
        <f t="shared" si="92"/>
        <v>#DIV/0!</v>
      </c>
      <c r="AX89" s="29" t="str">
        <f t="shared" si="92"/>
        <v>#DIV/0!</v>
      </c>
      <c r="AY89" s="29" t="str">
        <f t="shared" si="92"/>
        <v>#DIV/0!</v>
      </c>
      <c r="AZ89" s="29" t="str">
        <f t="shared" si="92"/>
        <v>#DIV/0!</v>
      </c>
      <c r="BA89" s="29" t="str">
        <f t="shared" si="92"/>
        <v>#DIV/0!</v>
      </c>
      <c r="BB89" s="29" t="str">
        <f t="shared" si="92"/>
        <v>#DIV/0!</v>
      </c>
      <c r="BC89" s="29" t="str">
        <f t="shared" si="92"/>
        <v>#DIV/0!</v>
      </c>
      <c r="BD89" s="29" t="str">
        <f t="shared" si="92"/>
        <v>#DIV/0!</v>
      </c>
      <c r="BE89" s="29" t="str">
        <f t="shared" si="92"/>
        <v>#DIV/0!</v>
      </c>
      <c r="BF89" s="29" t="str">
        <f t="shared" si="92"/>
        <v>#DIV/0!</v>
      </c>
      <c r="BG89" s="29" t="str">
        <f t="shared" si="92"/>
        <v>#DIV/0!</v>
      </c>
      <c r="BH89" s="29" t="str">
        <f t="shared" si="92"/>
        <v>#DIV/0!</v>
      </c>
      <c r="BI89" s="29" t="str">
        <f t="shared" si="92"/>
        <v>#DIV/0!</v>
      </c>
      <c r="BJ89" s="29" t="str">
        <f t="shared" si="92"/>
        <v>#DIV/0!</v>
      </c>
      <c r="BK89" s="29" t="str">
        <f t="shared" si="92"/>
        <v>#DIV/0!</v>
      </c>
      <c r="BL89" s="29" t="str">
        <f t="shared" si="92"/>
        <v>#DIV/0!</v>
      </c>
      <c r="BM89" s="29" t="str">
        <f t="shared" si="3"/>
        <v>#DIV/0!</v>
      </c>
    </row>
    <row r="90">
      <c r="A90" s="16" t="str">
        <f>IFERROR(__xludf.DUMMYFUNCTION("IFERROR(SPARKLINE(SORT(MAP(TRANSPOSE(AQ90:BL90), LAMBDA(val, IF(ISNUMBER(val), PERCENTRANK(AQ90:BL90, val)+0.01, 0))), SEQUENCE(COLUMNS(AQ90:BL90)), FALSE), {""charttype"",""column""; ""color"",""chartreuse""; ""ymin"", 0; ""ymax"", 1.01; ""highcolor"", "&amp;"""darkgreen""; ""lowcolor"", ""red""}), """")"),"")</f>
        <v/>
      </c>
      <c r="B90" s="17" t="str">
        <f t="shared" si="4"/>
        <v/>
      </c>
      <c r="C90" s="1" t="s">
        <v>3009</v>
      </c>
      <c r="D90" s="30" t="str">
        <f>IFERROR(__xludf.DUMMYFUNCTION("IFERROR(GOOGLEFINANCE(C90, ""NAME""))"),"American Assets Trust, Inc")</f>
        <v>American Assets Trust, Inc</v>
      </c>
      <c r="E90" s="30" t="s">
        <v>2784</v>
      </c>
      <c r="F90" s="33" t="str">
        <f>IFERROR(__xludf.DUMMYFUNCTION("( (GOOGLEFINANCE(C90, ""price"") - Q90) / Q90 ) / (R90 / 100)"),"Loading...")</f>
        <v>Loading...</v>
      </c>
      <c r="G90" s="20" t="str">
        <f>IFERROR(__xludf.DUMMYFUNCTION("AVERAGE(ARRAYFORMULA(100 * (QUERY(GOOGLEFINANCE(C90, ""high"", TODAY()-40, TODAY()), ""SELECT Col2 WHERE Col2 IS NOT NULL ORDER BY Col1 DESC LIMIT 20"", 0) / QUERY(GOOGLEFINANCE(C90, ""low"", TODAY()-40, TODAY()), ""SELECT Col2 WHERE Col2 IS NOT NULL ORDE"&amp;"R BY Col1 DESC LIMIT 20"", 0) - 1)))"),"#N/A")</f>
        <v>#N/A</v>
      </c>
      <c r="H90" s="35" t="str">
        <f t="shared" si="6"/>
        <v>Illiquid</v>
      </c>
      <c r="I90" s="35" t="str">
        <f t="shared" si="7"/>
        <v>RVol Required</v>
      </c>
      <c r="J90" s="37">
        <f>IFERROR(__xludf.DUMMYFUNCTION("IFERROR(
  IF(C90="""",, 
    IFERROR(
      GOOGLEFINANCE(C90, ""price"") * GOOGLEFINANCE(C90, ""volumeavg""), 
      GOOGLEFINANCE(C90, ""price"") * AVERAGE(QUERY(GOOGLEFINANCE(C90, ""volume"", TODAY()-40, TODAY()), ""SELECT Col2 WHERE Col2 IS NOT NULL "&amp;"ORDER BY Col1 DESC LIMIT 20"", 0))
    )
  ), 
"""")"),9934631.84)</f>
        <v>9934631.84</v>
      </c>
      <c r="K90" s="21">
        <f>IFERROR(__xludf.DUMMYFUNCTION("IFERROR(GOOGLEFINANCE(C90, ""changepct"") / 100, """")"),-0.0079)</f>
        <v>-0.0079</v>
      </c>
      <c r="L90" s="21" t="str">
        <f>IFERROR(__xludf.DUMMYFUNCTION("IFERROR((GOOGLEFINANCE(C90, ""price"") / INDEX(GOOGLEFINANCE(C90, ""price"", TODAY()-7, TODAY()), 2, 2)) - 1, """")"),"")</f>
        <v/>
      </c>
      <c r="M90" s="21" t="str">
        <f>IFERROR(__xludf.DUMMYFUNCTION("IFERROR((GOOGLEFINANCE(C90, ""price"") / INDEX(GOOGLEFINANCE(C90, ""price"", EDATE(TODAY(), -1), TODAY()), 2, 2)) - 1, """")"),"")</f>
        <v/>
      </c>
      <c r="N90" s="21" t="str">
        <f>IFERROR(__xludf.DUMMYFUNCTION("IFERROR((GOOGLEFINANCE(C90, ""price"") / INDEX(GOOGLEFINANCE(C90, ""price"", EDATE(TODAY(), -3), TODAY()), 2, 2)) - 1, """")"),"")</f>
        <v/>
      </c>
      <c r="O90" s="21" t="str">
        <f>IFERROR(__xludf.DUMMYFUNCTION("IFERROR((GOOGLEFINANCE(C90, ""price"") / INDEX(GOOGLEFINANCE(C90, ""price"", EDATE(TODAY(), -6), TODAY()), 2, 2)) - 1, """")"),"")</f>
        <v/>
      </c>
      <c r="P90" s="21" t="str">
        <f>IFERROR(__xludf.DUMMYFUNCTION("IFERROR((GOOGLEFINANCE(C90, ""price"") / INDEX(GOOGLEFINANCE(C90, ""price"", EDATE(TODAY(), -12), TODAY()), 2, 2)) - 1, """")"),"")</f>
        <v/>
      </c>
      <c r="Q90" s="6" t="str">
        <f>IFERROR(__xludf.DUMMYFUNCTION("AVERAGE(QUERY(GOOGLEFINANCE(C90, ""price"", TODAY()-80, TODAY()), ""SELECT Col2 WHERE Col2 IS NOT NULL ORDER BY Col1 DESC LIMIT 50"", 0))"),"#N/A")</f>
        <v>#N/A</v>
      </c>
      <c r="R90" s="24" t="str">
        <f>IFERROR(__xludf.DUMMYFUNCTION("IFERROR(
  LET(
    data, QUERY(GOOGLEFINANCE(C90,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GOOGLEFINANCE(C90, ""price"")) * 100,
    IF(calc=0, G90, calc)
  ), 
G90)"),"#N/A")</f>
        <v>#N/A</v>
      </c>
      <c r="S90" s="8" t="s">
        <v>15</v>
      </c>
      <c r="T90" s="26" t="str">
        <f>IFERROR(__xludf.DUMMYFUNCTION("IFERROR(TRANSPOSE(QUERY(IFERROR(SORT(GOOGLEFINANCE(C90, ""price"", WORKDAY(TODAY(), -40), TODAY()), 1, FALSE)), ""select Col2 where Col2 is not null limit 22 label Col2 ''"", 0)), """")"),"")</f>
        <v/>
      </c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8"/>
      <c r="AO90" s="28"/>
      <c r="AP90" s="29"/>
      <c r="AQ90" s="29" t="str">
        <f t="shared" ref="AQ90:BL90" si="93">T90/T$2</f>
        <v>#N/A</v>
      </c>
      <c r="AR90" s="29" t="str">
        <f t="shared" si="93"/>
        <v>#DIV/0!</v>
      </c>
      <c r="AS90" s="29" t="str">
        <f t="shared" si="93"/>
        <v>#DIV/0!</v>
      </c>
      <c r="AT90" s="29" t="str">
        <f t="shared" si="93"/>
        <v>#DIV/0!</v>
      </c>
      <c r="AU90" s="29" t="str">
        <f t="shared" si="93"/>
        <v>#DIV/0!</v>
      </c>
      <c r="AV90" s="29" t="str">
        <f t="shared" si="93"/>
        <v>#DIV/0!</v>
      </c>
      <c r="AW90" s="29" t="str">
        <f t="shared" si="93"/>
        <v>#DIV/0!</v>
      </c>
      <c r="AX90" s="29" t="str">
        <f t="shared" si="93"/>
        <v>#DIV/0!</v>
      </c>
      <c r="AY90" s="29" t="str">
        <f t="shared" si="93"/>
        <v>#DIV/0!</v>
      </c>
      <c r="AZ90" s="29" t="str">
        <f t="shared" si="93"/>
        <v>#DIV/0!</v>
      </c>
      <c r="BA90" s="29" t="str">
        <f t="shared" si="93"/>
        <v>#DIV/0!</v>
      </c>
      <c r="BB90" s="29" t="str">
        <f t="shared" si="93"/>
        <v>#DIV/0!</v>
      </c>
      <c r="BC90" s="29" t="str">
        <f t="shared" si="93"/>
        <v>#DIV/0!</v>
      </c>
      <c r="BD90" s="29" t="str">
        <f t="shared" si="93"/>
        <v>#DIV/0!</v>
      </c>
      <c r="BE90" s="29" t="str">
        <f t="shared" si="93"/>
        <v>#DIV/0!</v>
      </c>
      <c r="BF90" s="29" t="str">
        <f t="shared" si="93"/>
        <v>#DIV/0!</v>
      </c>
      <c r="BG90" s="29" t="str">
        <f t="shared" si="93"/>
        <v>#DIV/0!</v>
      </c>
      <c r="BH90" s="29" t="str">
        <f t="shared" si="93"/>
        <v>#DIV/0!</v>
      </c>
      <c r="BI90" s="29" t="str">
        <f t="shared" si="93"/>
        <v>#DIV/0!</v>
      </c>
      <c r="BJ90" s="29" t="str">
        <f t="shared" si="93"/>
        <v>#DIV/0!</v>
      </c>
      <c r="BK90" s="29" t="str">
        <f t="shared" si="93"/>
        <v>#DIV/0!</v>
      </c>
      <c r="BL90" s="29" t="str">
        <f t="shared" si="93"/>
        <v>#DIV/0!</v>
      </c>
      <c r="BM90" s="29" t="str">
        <f t="shared" si="3"/>
        <v>#DIV/0!</v>
      </c>
    </row>
    <row r="91">
      <c r="A91" s="16" t="str">
        <f>IFERROR(__xludf.DUMMYFUNCTION("IFERROR(SPARKLINE(SORT(MAP(TRANSPOSE(AQ91:BL91), LAMBDA(val, IF(ISNUMBER(val), PERCENTRANK(AQ91:BL91, val)+0.01, 0))), SEQUENCE(COLUMNS(AQ91:BL91)), FALSE), {""charttype"",""column""; ""color"",""chartreuse""; ""ymin"", 0; ""ymax"", 1.01; ""highcolor"", "&amp;"""darkgreen""; ""lowcolor"", ""red""}), """")"),"")</f>
        <v/>
      </c>
      <c r="B91" s="17" t="str">
        <f t="shared" si="4"/>
        <v/>
      </c>
      <c r="C91" s="1" t="s">
        <v>3012</v>
      </c>
      <c r="D91" s="30" t="str">
        <f>IFERROR(__xludf.DUMMYFUNCTION("IFERROR(GOOGLEFINANCE(C91, ""NAME""))"),"Smartstop Self Storage Reit Inc")</f>
        <v>Smartstop Self Storage Reit Inc</v>
      </c>
      <c r="E91" s="30" t="s">
        <v>2704</v>
      </c>
      <c r="F91" s="33" t="str">
        <f>IFERROR(__xludf.DUMMYFUNCTION("( (GOOGLEFINANCE(C91, ""price"") - Q91) / Q91 ) / (R91 / 100)"),"Loading...")</f>
        <v>Loading...</v>
      </c>
      <c r="G91" s="20" t="str">
        <f>IFERROR(__xludf.DUMMYFUNCTION("AVERAGE(ARRAYFORMULA(100 * (QUERY(GOOGLEFINANCE(C91, ""high"", TODAY()-40, TODAY()), ""SELECT Col2 WHERE Col2 IS NOT NULL ORDER BY Col1 DESC LIMIT 20"", 0) / QUERY(GOOGLEFINANCE(C91, ""low"", TODAY()-40, TODAY()), ""SELECT Col2 WHERE Col2 IS NOT NULL ORDE"&amp;"R BY Col1 DESC LIMIT 20"", 0) - 1)))"),"#N/A")</f>
        <v>#N/A</v>
      </c>
      <c r="H91" s="35" t="str">
        <f t="shared" si="6"/>
        <v>Illiquid</v>
      </c>
      <c r="I91" s="35" t="str">
        <f t="shared" si="7"/>
        <v>RVol Required</v>
      </c>
      <c r="J91" s="37">
        <f>IFERROR(__xludf.DUMMYFUNCTION("IFERROR(
  IF(C91="""",, 
    IFERROR(
      GOOGLEFINANCE(C91, ""price"") * GOOGLEFINANCE(C91, ""volumeavg""), 
      GOOGLEFINANCE(C91, ""price"") * AVERAGE(QUERY(GOOGLEFINANCE(C91, ""volume"", TODAY()-40, TODAY()), ""SELECT Col2 WHERE Col2 IS NOT NULL "&amp;"ORDER BY Col1 DESC LIMIT 20"", 0))
    )
  ), 
"""")"),2.6190881919999998E7)</f>
        <v>26190881.92</v>
      </c>
      <c r="K91" s="21">
        <f>IFERROR(__xludf.DUMMYFUNCTION("IFERROR(GOOGLEFINANCE(C91, ""changepct"") / 100, """")"),0.0068000000000000005)</f>
        <v>0.0068</v>
      </c>
      <c r="L91" s="21" t="str">
        <f>IFERROR(__xludf.DUMMYFUNCTION("IFERROR((GOOGLEFINANCE(C91, ""price"") / INDEX(GOOGLEFINANCE(C91, ""price"", TODAY()-7, TODAY()), 2, 2)) - 1, """")"),"")</f>
        <v/>
      </c>
      <c r="M91" s="21" t="str">
        <f>IFERROR(__xludf.DUMMYFUNCTION("IFERROR((GOOGLEFINANCE(C91, ""price"") / INDEX(GOOGLEFINANCE(C91, ""price"", EDATE(TODAY(), -1), TODAY()), 2, 2)) - 1, """")"),"")</f>
        <v/>
      </c>
      <c r="N91" s="21" t="str">
        <f>IFERROR(__xludf.DUMMYFUNCTION("IFERROR((GOOGLEFINANCE(C91, ""price"") / INDEX(GOOGLEFINANCE(C91, ""price"", EDATE(TODAY(), -3), TODAY()), 2, 2)) - 1, """")"),"")</f>
        <v/>
      </c>
      <c r="O91" s="21" t="str">
        <f>IFERROR(__xludf.DUMMYFUNCTION("IFERROR((GOOGLEFINANCE(C91, ""price"") / INDEX(GOOGLEFINANCE(C91, ""price"", EDATE(TODAY(), -6), TODAY()), 2, 2)) - 1, """")"),"")</f>
        <v/>
      </c>
      <c r="P91" s="21" t="str">
        <f>IFERROR(__xludf.DUMMYFUNCTION("IFERROR((GOOGLEFINANCE(C91, ""price"") / INDEX(GOOGLEFINANCE(C91, ""price"", EDATE(TODAY(), -12), TODAY()), 2, 2)) - 1, """")"),"")</f>
        <v/>
      </c>
      <c r="Q91" s="6" t="str">
        <f>IFERROR(__xludf.DUMMYFUNCTION("AVERAGE(QUERY(GOOGLEFINANCE(C91, ""price"", TODAY()-80, TODAY()), ""SELECT Col2 WHERE Col2 IS NOT NULL ORDER BY Col1 DESC LIMIT 50"", 0))"),"#N/A")</f>
        <v>#N/A</v>
      </c>
      <c r="R91" s="24" t="str">
        <f>IFERROR(__xludf.DUMMYFUNCTION("IFERROR(
  LET(
    data, QUERY(GOOGLEFINANCE(C91,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GOOGLEFINANCE(C91, ""price"")) * 100,
    IF(calc=0, G91, calc)
  ), 
G91)"),"#N/A")</f>
        <v>#N/A</v>
      </c>
      <c r="S91" s="8" t="s">
        <v>15</v>
      </c>
      <c r="T91" s="26" t="str">
        <f>IFERROR(__xludf.DUMMYFUNCTION("IFERROR(TRANSPOSE(QUERY(IFERROR(SORT(GOOGLEFINANCE(C91, ""price"", WORKDAY(TODAY(), -40), TODAY()), 1, FALSE)), ""select Col2 where Col2 is not null limit 22 label Col2 ''"", 0)), """")"),"")</f>
        <v/>
      </c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8"/>
      <c r="AO91" s="28"/>
      <c r="AP91" s="29"/>
      <c r="AQ91" s="29" t="str">
        <f t="shared" ref="AQ91:BL91" si="94">T91/T$2</f>
        <v>#N/A</v>
      </c>
      <c r="AR91" s="29" t="str">
        <f t="shared" si="94"/>
        <v>#DIV/0!</v>
      </c>
      <c r="AS91" s="29" t="str">
        <f t="shared" si="94"/>
        <v>#DIV/0!</v>
      </c>
      <c r="AT91" s="29" t="str">
        <f t="shared" si="94"/>
        <v>#DIV/0!</v>
      </c>
      <c r="AU91" s="29" t="str">
        <f t="shared" si="94"/>
        <v>#DIV/0!</v>
      </c>
      <c r="AV91" s="29" t="str">
        <f t="shared" si="94"/>
        <v>#DIV/0!</v>
      </c>
      <c r="AW91" s="29" t="str">
        <f t="shared" si="94"/>
        <v>#DIV/0!</v>
      </c>
      <c r="AX91" s="29" t="str">
        <f t="shared" si="94"/>
        <v>#DIV/0!</v>
      </c>
      <c r="AY91" s="29" t="str">
        <f t="shared" si="94"/>
        <v>#DIV/0!</v>
      </c>
      <c r="AZ91" s="29" t="str">
        <f t="shared" si="94"/>
        <v>#DIV/0!</v>
      </c>
      <c r="BA91" s="29" t="str">
        <f t="shared" si="94"/>
        <v>#DIV/0!</v>
      </c>
      <c r="BB91" s="29" t="str">
        <f t="shared" si="94"/>
        <v>#DIV/0!</v>
      </c>
      <c r="BC91" s="29" t="str">
        <f t="shared" si="94"/>
        <v>#DIV/0!</v>
      </c>
      <c r="BD91" s="29" t="str">
        <f t="shared" si="94"/>
        <v>#DIV/0!</v>
      </c>
      <c r="BE91" s="29" t="str">
        <f t="shared" si="94"/>
        <v>#DIV/0!</v>
      </c>
      <c r="BF91" s="29" t="str">
        <f t="shared" si="94"/>
        <v>#DIV/0!</v>
      </c>
      <c r="BG91" s="29" t="str">
        <f t="shared" si="94"/>
        <v>#DIV/0!</v>
      </c>
      <c r="BH91" s="29" t="str">
        <f t="shared" si="94"/>
        <v>#DIV/0!</v>
      </c>
      <c r="BI91" s="29" t="str">
        <f t="shared" si="94"/>
        <v>#DIV/0!</v>
      </c>
      <c r="BJ91" s="29" t="str">
        <f t="shared" si="94"/>
        <v>#DIV/0!</v>
      </c>
      <c r="BK91" s="29" t="str">
        <f t="shared" si="94"/>
        <v>#DIV/0!</v>
      </c>
      <c r="BL91" s="29" t="str">
        <f t="shared" si="94"/>
        <v>#DIV/0!</v>
      </c>
      <c r="BM91" s="29" t="str">
        <f t="shared" si="3"/>
        <v>#DIV/0!</v>
      </c>
    </row>
    <row r="92">
      <c r="A92" s="16" t="str">
        <f>IFERROR(__xludf.DUMMYFUNCTION("IFERROR(SPARKLINE(SORT(MAP(TRANSPOSE(AQ92:BL92), LAMBDA(val, IF(ISNUMBER(val), PERCENTRANK(AQ92:BL92, val)+0.01, 0))), SEQUENCE(COLUMNS(AQ92:BL92)), FALSE), {""charttype"",""column""; ""color"",""chartreuse""; ""ymin"", 0; ""ymax"", 1.01; ""highcolor"", "&amp;"""darkgreen""; ""lowcolor"", ""red""}), """")"),"")</f>
        <v/>
      </c>
      <c r="B92" s="17" t="str">
        <f t="shared" si="4"/>
        <v/>
      </c>
      <c r="C92" s="1" t="s">
        <v>3015</v>
      </c>
      <c r="D92" s="30" t="str">
        <f>IFERROR(__xludf.DUMMYFUNCTION("IFERROR(GOOGLEFINANCE(C92, ""NAME""))"),"National Health Investors Inc")</f>
        <v>National Health Investors Inc</v>
      </c>
      <c r="E92" s="30" t="s">
        <v>2668</v>
      </c>
      <c r="F92" s="33" t="str">
        <f>IFERROR(__xludf.DUMMYFUNCTION("( (GOOGLEFINANCE(C92, ""price"") - Q92) / Q92 ) / (R92 / 100)"),"Loading...")</f>
        <v>Loading...</v>
      </c>
      <c r="G92" s="20" t="str">
        <f>IFERROR(__xludf.DUMMYFUNCTION("AVERAGE(ARRAYFORMULA(100 * (QUERY(GOOGLEFINANCE(C92, ""high"", TODAY()-40, TODAY()), ""SELECT Col2 WHERE Col2 IS NOT NULL ORDER BY Col1 DESC LIMIT 20"", 0) / QUERY(GOOGLEFINANCE(C92, ""low"", TODAY()-40, TODAY()), ""SELECT Col2 WHERE Col2 IS NOT NULL ORDE"&amp;"R BY Col1 DESC LIMIT 20"", 0) - 1)))"),"#N/A")</f>
        <v>#N/A</v>
      </c>
      <c r="H92" s="35" t="str">
        <f t="shared" si="6"/>
        <v>Illiquid</v>
      </c>
      <c r="I92" s="35" t="str">
        <f t="shared" si="7"/>
        <v>RVol Required</v>
      </c>
      <c r="J92" s="37">
        <f>IFERROR(__xludf.DUMMYFUNCTION("IFERROR(
  IF(C92="""",, 
    IFERROR(
      GOOGLEFINANCE(C92, ""price"") * GOOGLEFINANCE(C92, ""volumeavg""), 
      GOOGLEFINANCE(C92, ""price"") * AVERAGE(QUERY(GOOGLEFINANCE(C92, ""volume"", TODAY()-40, TODAY()), ""SELECT Col2 WHERE Col2 IS NOT NULL "&amp;"ORDER BY Col1 DESC LIMIT 20"", 0))
    )
  ), 
"""")"),2.498132968E7)</f>
        <v>24981329.68</v>
      </c>
      <c r="K92" s="21">
        <f>IFERROR(__xludf.DUMMYFUNCTION("IFERROR(GOOGLEFINANCE(C92, ""changepct"") / 100, """")"),0.009300000000000001)</f>
        <v>0.0093</v>
      </c>
      <c r="L92" s="21" t="str">
        <f>IFERROR(__xludf.DUMMYFUNCTION("IFERROR((GOOGLEFINANCE(C92, ""price"") / INDEX(GOOGLEFINANCE(C92, ""price"", TODAY()-7, TODAY()), 2, 2)) - 1, """")"),"")</f>
        <v/>
      </c>
      <c r="M92" s="21" t="str">
        <f>IFERROR(__xludf.DUMMYFUNCTION("IFERROR((GOOGLEFINANCE(C92, ""price"") / INDEX(GOOGLEFINANCE(C92, ""price"", EDATE(TODAY(), -1), TODAY()), 2, 2)) - 1, """")"),"")</f>
        <v/>
      </c>
      <c r="N92" s="21" t="str">
        <f>IFERROR(__xludf.DUMMYFUNCTION("IFERROR((GOOGLEFINANCE(C92, ""price"") / INDEX(GOOGLEFINANCE(C92, ""price"", EDATE(TODAY(), -3), TODAY()), 2, 2)) - 1, """")"),"")</f>
        <v/>
      </c>
      <c r="O92" s="21" t="str">
        <f>IFERROR(__xludf.DUMMYFUNCTION("IFERROR((GOOGLEFINANCE(C92, ""price"") / INDEX(GOOGLEFINANCE(C92, ""price"", EDATE(TODAY(), -6), TODAY()), 2, 2)) - 1, """")"),"")</f>
        <v/>
      </c>
      <c r="P92" s="21" t="str">
        <f>IFERROR(__xludf.DUMMYFUNCTION("IFERROR((GOOGLEFINANCE(C92, ""price"") / INDEX(GOOGLEFINANCE(C92, ""price"", EDATE(TODAY(), -12), TODAY()), 2, 2)) - 1, """")"),"")</f>
        <v/>
      </c>
      <c r="Q92" s="6" t="str">
        <f>IFERROR(__xludf.DUMMYFUNCTION("AVERAGE(QUERY(GOOGLEFINANCE(C92, ""price"", TODAY()-80, TODAY()), ""SELECT Col2 WHERE Col2 IS NOT NULL ORDER BY Col1 DESC LIMIT 50"", 0))"),"#N/A")</f>
        <v>#N/A</v>
      </c>
      <c r="R92" s="24" t="str">
        <f>IFERROR(__xludf.DUMMYFUNCTION("IFERROR(
  LET(
    data, QUERY(GOOGLEFINANCE(C92,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GOOGLEFINANCE(C92, ""price"")) * 100,
    IF(calc=0, G92, calc)
  ), 
G92)"),"#N/A")</f>
        <v>#N/A</v>
      </c>
      <c r="S92" s="8" t="s">
        <v>15</v>
      </c>
      <c r="T92" s="26" t="str">
        <f>IFERROR(__xludf.DUMMYFUNCTION("IFERROR(TRANSPOSE(QUERY(IFERROR(SORT(GOOGLEFINANCE(C92, ""price"", WORKDAY(TODAY(), -40), TODAY()), 1, FALSE)), ""select Col2 where Col2 is not null limit 22 label Col2 ''"", 0)), """")"),"")</f>
        <v/>
      </c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8"/>
      <c r="AO92" s="28"/>
      <c r="AP92" s="29"/>
      <c r="AQ92" s="29" t="str">
        <f t="shared" ref="AQ92:BL92" si="95">T92/T$2</f>
        <v>#N/A</v>
      </c>
      <c r="AR92" s="29" t="str">
        <f t="shared" si="95"/>
        <v>#DIV/0!</v>
      </c>
      <c r="AS92" s="29" t="str">
        <f t="shared" si="95"/>
        <v>#DIV/0!</v>
      </c>
      <c r="AT92" s="29" t="str">
        <f t="shared" si="95"/>
        <v>#DIV/0!</v>
      </c>
      <c r="AU92" s="29" t="str">
        <f t="shared" si="95"/>
        <v>#DIV/0!</v>
      </c>
      <c r="AV92" s="29" t="str">
        <f t="shared" si="95"/>
        <v>#DIV/0!</v>
      </c>
      <c r="AW92" s="29" t="str">
        <f t="shared" si="95"/>
        <v>#DIV/0!</v>
      </c>
      <c r="AX92" s="29" t="str">
        <f t="shared" si="95"/>
        <v>#DIV/0!</v>
      </c>
      <c r="AY92" s="29" t="str">
        <f t="shared" si="95"/>
        <v>#DIV/0!</v>
      </c>
      <c r="AZ92" s="29" t="str">
        <f t="shared" si="95"/>
        <v>#DIV/0!</v>
      </c>
      <c r="BA92" s="29" t="str">
        <f t="shared" si="95"/>
        <v>#DIV/0!</v>
      </c>
      <c r="BB92" s="29" t="str">
        <f t="shared" si="95"/>
        <v>#DIV/0!</v>
      </c>
      <c r="BC92" s="29" t="str">
        <f t="shared" si="95"/>
        <v>#DIV/0!</v>
      </c>
      <c r="BD92" s="29" t="str">
        <f t="shared" si="95"/>
        <v>#DIV/0!</v>
      </c>
      <c r="BE92" s="29" t="str">
        <f t="shared" si="95"/>
        <v>#DIV/0!</v>
      </c>
      <c r="BF92" s="29" t="str">
        <f t="shared" si="95"/>
        <v>#DIV/0!</v>
      </c>
      <c r="BG92" s="29" t="str">
        <f t="shared" si="95"/>
        <v>#DIV/0!</v>
      </c>
      <c r="BH92" s="29" t="str">
        <f t="shared" si="95"/>
        <v>#DIV/0!</v>
      </c>
      <c r="BI92" s="29" t="str">
        <f t="shared" si="95"/>
        <v>#DIV/0!</v>
      </c>
      <c r="BJ92" s="29" t="str">
        <f t="shared" si="95"/>
        <v>#DIV/0!</v>
      </c>
      <c r="BK92" s="29" t="str">
        <f t="shared" si="95"/>
        <v>#DIV/0!</v>
      </c>
      <c r="BL92" s="29" t="str">
        <f t="shared" si="95"/>
        <v>#DIV/0!</v>
      </c>
      <c r="BM92" s="29" t="str">
        <f t="shared" si="3"/>
        <v>#DIV/0!</v>
      </c>
    </row>
    <row r="93">
      <c r="A93" s="16" t="str">
        <f>IFERROR(__xludf.DUMMYFUNCTION("IFERROR(SPARKLINE(SORT(MAP(TRANSPOSE(AQ93:BL93), LAMBDA(val, IF(ISNUMBER(val), PERCENTRANK(AQ93:BL93, val)+0.01, 0))), SEQUENCE(COLUMNS(AQ93:BL93)), FALSE), {""charttype"",""column""; ""color"",""chartreuse""; ""ymin"", 0; ""ymax"", 1.01; ""highcolor"", "&amp;"""darkgreen""; ""lowcolor"", ""red""}), """")"),"")</f>
        <v/>
      </c>
      <c r="B93" s="17" t="str">
        <f t="shared" si="4"/>
        <v/>
      </c>
      <c r="C93" s="1" t="s">
        <v>3018</v>
      </c>
      <c r="D93" s="30" t="str">
        <f>IFERROR(__xludf.DUMMYFUNCTION("IFERROR(GOOGLEFINANCE(C93, ""NAME""))"),"Hotel101 Global Holdings Corp")</f>
        <v>Hotel101 Global Holdings Corp</v>
      </c>
      <c r="E93" s="30" t="s">
        <v>2692</v>
      </c>
      <c r="F93" s="33" t="str">
        <f>IFERROR(__xludf.DUMMYFUNCTION("( (GOOGLEFINANCE(C93, ""price"") - Q93) / Q93 ) / (R93 / 100)"),"Loading...")</f>
        <v>Loading...</v>
      </c>
      <c r="G93" s="20" t="str">
        <f>IFERROR(__xludf.DUMMYFUNCTION("AVERAGE(ARRAYFORMULA(100 * (QUERY(GOOGLEFINANCE(C93, ""high"", TODAY()-40, TODAY()), ""SELECT Col2 WHERE Col2 IS NOT NULL ORDER BY Col1 DESC LIMIT 20"", 0) / QUERY(GOOGLEFINANCE(C93, ""low"", TODAY()-40, TODAY()), ""SELECT Col2 WHERE Col2 IS NOT NULL ORDE"&amp;"R BY Col1 DESC LIMIT 20"", 0) - 1)))"),"#N/A")</f>
        <v>#N/A</v>
      </c>
      <c r="H93" s="35" t="str">
        <f t="shared" si="6"/>
        <v>Illiquid</v>
      </c>
      <c r="I93" s="35" t="str">
        <f t="shared" si="7"/>
        <v>RVol Required</v>
      </c>
      <c r="J93" s="37">
        <f>IFERROR(__xludf.DUMMYFUNCTION("IFERROR(
  IF(C93="""",, 
    IFERROR(
      GOOGLEFINANCE(C93, ""price"") * GOOGLEFINANCE(C93, ""volumeavg""), 
      GOOGLEFINANCE(C93, ""price"") * AVERAGE(QUERY(GOOGLEFINANCE(C93, ""volume"", TODAY()-40, TODAY()), ""SELECT Col2 WHERE Col2 IS NOT NULL "&amp;"ORDER BY Col1 DESC LIMIT 20"", 0))
    )
  ), 
"""")"),65347.31)</f>
        <v>65347.31</v>
      </c>
      <c r="K93" s="21">
        <f>IFERROR(__xludf.DUMMYFUNCTION("IFERROR(GOOGLEFINANCE(C93, ""changepct"") / 100, """")"),0.0424)</f>
        <v>0.0424</v>
      </c>
      <c r="L93" s="21" t="str">
        <f>IFERROR(__xludf.DUMMYFUNCTION("IFERROR((GOOGLEFINANCE(C93, ""price"") / INDEX(GOOGLEFINANCE(C93, ""price"", TODAY()-7, TODAY()), 2, 2)) - 1, """")"),"")</f>
        <v/>
      </c>
      <c r="M93" s="21" t="str">
        <f>IFERROR(__xludf.DUMMYFUNCTION("IFERROR((GOOGLEFINANCE(C93, ""price"") / INDEX(GOOGLEFINANCE(C93, ""price"", EDATE(TODAY(), -1), TODAY()), 2, 2)) - 1, """")"),"")</f>
        <v/>
      </c>
      <c r="N93" s="21" t="str">
        <f>IFERROR(__xludf.DUMMYFUNCTION("IFERROR((GOOGLEFINANCE(C93, ""price"") / INDEX(GOOGLEFINANCE(C93, ""price"", EDATE(TODAY(), -3), TODAY()), 2, 2)) - 1, """")"),"")</f>
        <v/>
      </c>
      <c r="O93" s="21" t="str">
        <f>IFERROR(__xludf.DUMMYFUNCTION("IFERROR((GOOGLEFINANCE(C93, ""price"") / INDEX(GOOGLEFINANCE(C93, ""price"", EDATE(TODAY(), -6), TODAY()), 2, 2)) - 1, """")"),"")</f>
        <v/>
      </c>
      <c r="P93" s="21" t="str">
        <f>IFERROR(__xludf.DUMMYFUNCTION("IFERROR((GOOGLEFINANCE(C93, ""price"") / INDEX(GOOGLEFINANCE(C93, ""price"", EDATE(TODAY(), -12), TODAY()), 2, 2)) - 1, """")"),"")</f>
        <v/>
      </c>
      <c r="Q93" s="6" t="str">
        <f>IFERROR(__xludf.DUMMYFUNCTION("AVERAGE(QUERY(GOOGLEFINANCE(C93, ""price"", TODAY()-80, TODAY()), ""SELECT Col2 WHERE Col2 IS NOT NULL ORDER BY Col1 DESC LIMIT 50"", 0))"),"#N/A")</f>
        <v>#N/A</v>
      </c>
      <c r="R93" s="24" t="str">
        <f>IFERROR(__xludf.DUMMYFUNCTION("IFERROR(
  LET(
    data, QUERY(GOOGLEFINANCE(C93,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GOOGLEFINANCE(C93, ""price"")) * 100,
    IF(calc=0, G93, calc)
  ), 
G93)"),"#N/A")</f>
        <v>#N/A</v>
      </c>
      <c r="S93" s="8" t="s">
        <v>15</v>
      </c>
      <c r="T93" s="26" t="str">
        <f>IFERROR(__xludf.DUMMYFUNCTION("IFERROR(TRANSPOSE(QUERY(IFERROR(SORT(GOOGLEFINANCE(C93, ""price"", WORKDAY(TODAY(), -40), TODAY()), 1, FALSE)), ""select Col2 where Col2 is not null limit 22 label Col2 ''"", 0)), """")"),"")</f>
        <v/>
      </c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8"/>
      <c r="AO93" s="28"/>
      <c r="AP93" s="29"/>
      <c r="AQ93" s="29" t="str">
        <f t="shared" ref="AQ93:BL93" si="96">T93/T$2</f>
        <v>#N/A</v>
      </c>
      <c r="AR93" s="29" t="str">
        <f t="shared" si="96"/>
        <v>#DIV/0!</v>
      </c>
      <c r="AS93" s="29" t="str">
        <f t="shared" si="96"/>
        <v>#DIV/0!</v>
      </c>
      <c r="AT93" s="29" t="str">
        <f t="shared" si="96"/>
        <v>#DIV/0!</v>
      </c>
      <c r="AU93" s="29" t="str">
        <f t="shared" si="96"/>
        <v>#DIV/0!</v>
      </c>
      <c r="AV93" s="29" t="str">
        <f t="shared" si="96"/>
        <v>#DIV/0!</v>
      </c>
      <c r="AW93" s="29" t="str">
        <f t="shared" si="96"/>
        <v>#DIV/0!</v>
      </c>
      <c r="AX93" s="29" t="str">
        <f t="shared" si="96"/>
        <v>#DIV/0!</v>
      </c>
      <c r="AY93" s="29" t="str">
        <f t="shared" si="96"/>
        <v>#DIV/0!</v>
      </c>
      <c r="AZ93" s="29" t="str">
        <f t="shared" si="96"/>
        <v>#DIV/0!</v>
      </c>
      <c r="BA93" s="29" t="str">
        <f t="shared" si="96"/>
        <v>#DIV/0!</v>
      </c>
      <c r="BB93" s="29" t="str">
        <f t="shared" si="96"/>
        <v>#DIV/0!</v>
      </c>
      <c r="BC93" s="29" t="str">
        <f t="shared" si="96"/>
        <v>#DIV/0!</v>
      </c>
      <c r="BD93" s="29" t="str">
        <f t="shared" si="96"/>
        <v>#DIV/0!</v>
      </c>
      <c r="BE93" s="29" t="str">
        <f t="shared" si="96"/>
        <v>#DIV/0!</v>
      </c>
      <c r="BF93" s="29" t="str">
        <f t="shared" si="96"/>
        <v>#DIV/0!</v>
      </c>
      <c r="BG93" s="29" t="str">
        <f t="shared" si="96"/>
        <v>#DIV/0!</v>
      </c>
      <c r="BH93" s="29" t="str">
        <f t="shared" si="96"/>
        <v>#DIV/0!</v>
      </c>
      <c r="BI93" s="29" t="str">
        <f t="shared" si="96"/>
        <v>#DIV/0!</v>
      </c>
      <c r="BJ93" s="29" t="str">
        <f t="shared" si="96"/>
        <v>#DIV/0!</v>
      </c>
      <c r="BK93" s="29" t="str">
        <f t="shared" si="96"/>
        <v>#DIV/0!</v>
      </c>
      <c r="BL93" s="29" t="str">
        <f t="shared" si="96"/>
        <v>#DIV/0!</v>
      </c>
      <c r="BM93" s="29" t="str">
        <f t="shared" si="3"/>
        <v>#DIV/0!</v>
      </c>
    </row>
    <row r="94">
      <c r="A94" s="16" t="str">
        <f>IFERROR(__xludf.DUMMYFUNCTION("IFERROR(SPARKLINE(SORT(MAP(TRANSPOSE(AQ94:BL94), LAMBDA(val, IF(ISNUMBER(val), PERCENTRANK(AQ94:BL94, val)+0.01, 0))), SEQUENCE(COLUMNS(AQ94:BL94)), FALSE), {""charttype"",""column""; ""color"",""chartreuse""; ""ymin"", 0; ""ymax"", 1.01; ""highcolor"", "&amp;"""darkgreen""; ""lowcolor"", ""red""}), """")"),"")</f>
        <v/>
      </c>
      <c r="B94" s="17" t="str">
        <f t="shared" si="4"/>
        <v/>
      </c>
      <c r="C94" s="1" t="s">
        <v>3021</v>
      </c>
      <c r="D94" s="30" t="str">
        <f>IFERROR(__xludf.DUMMYFUNCTION("IFERROR(GOOGLEFINANCE(C94, ""NAME""))"),"Global Net Lease Inc")</f>
        <v>Global Net Lease Inc</v>
      </c>
      <c r="E94" s="30" t="s">
        <v>2784</v>
      </c>
      <c r="F94" s="33" t="str">
        <f>IFERROR(__xludf.DUMMYFUNCTION("( (GOOGLEFINANCE(C94, ""price"") - Q94) / Q94 ) / (R94 / 100)"),"Loading...")</f>
        <v>Loading...</v>
      </c>
      <c r="G94" s="20" t="str">
        <f>IFERROR(__xludf.DUMMYFUNCTION("AVERAGE(ARRAYFORMULA(100 * (QUERY(GOOGLEFINANCE(C94, ""high"", TODAY()-40, TODAY()), ""SELECT Col2 WHERE Col2 IS NOT NULL ORDER BY Col1 DESC LIMIT 20"", 0) / QUERY(GOOGLEFINANCE(C94, ""low"", TODAY()-40, TODAY()), ""SELECT Col2 WHERE Col2 IS NOT NULL ORDE"&amp;"R BY Col1 DESC LIMIT 20"", 0) - 1)))"),"#N/A")</f>
        <v>#N/A</v>
      </c>
      <c r="H94" s="35" t="str">
        <f t="shared" si="6"/>
        <v>Illiquid</v>
      </c>
      <c r="I94" s="35" t="str">
        <f t="shared" si="7"/>
        <v>RVol Required</v>
      </c>
      <c r="J94" s="37">
        <f>IFERROR(__xludf.DUMMYFUNCTION("IFERROR(
  IF(C94="""",, 
    IFERROR(
      GOOGLEFINANCE(C94, ""price"") * GOOGLEFINANCE(C94, ""volumeavg""), 
      GOOGLEFINANCE(C94, ""price"") * AVERAGE(QUERY(GOOGLEFINANCE(C94, ""volume"", TODAY()-40, TODAY()), ""SELECT Col2 WHERE Col2 IS NOT NULL "&amp;"ORDER BY Col1 DESC LIMIT 20"", 0))
    )
  ), 
"""")"),2.008667065E7)</f>
        <v>20086670.65</v>
      </c>
      <c r="K94" s="21">
        <f>IFERROR(__xludf.DUMMYFUNCTION("IFERROR(GOOGLEFINANCE(C94, ""changepct"") / 100, """")"),-0.0013)</f>
        <v>-0.0013</v>
      </c>
      <c r="L94" s="21" t="str">
        <f>IFERROR(__xludf.DUMMYFUNCTION("IFERROR((GOOGLEFINANCE(C94, ""price"") / INDEX(GOOGLEFINANCE(C94, ""price"", TODAY()-7, TODAY()), 2, 2)) - 1, """")"),"")</f>
        <v/>
      </c>
      <c r="M94" s="21" t="str">
        <f>IFERROR(__xludf.DUMMYFUNCTION("IFERROR((GOOGLEFINANCE(C94, ""price"") / INDEX(GOOGLEFINANCE(C94, ""price"", EDATE(TODAY(), -1), TODAY()), 2, 2)) - 1, """")"),"")</f>
        <v/>
      </c>
      <c r="N94" s="21" t="str">
        <f>IFERROR(__xludf.DUMMYFUNCTION("IFERROR((GOOGLEFINANCE(C94, ""price"") / INDEX(GOOGLEFINANCE(C94, ""price"", EDATE(TODAY(), -3), TODAY()), 2, 2)) - 1, """")"),"")</f>
        <v/>
      </c>
      <c r="O94" s="21" t="str">
        <f>IFERROR(__xludf.DUMMYFUNCTION("IFERROR((GOOGLEFINANCE(C94, ""price"") / INDEX(GOOGLEFINANCE(C94, ""price"", EDATE(TODAY(), -6), TODAY()), 2, 2)) - 1, """")"),"")</f>
        <v/>
      </c>
      <c r="P94" s="21" t="str">
        <f>IFERROR(__xludf.DUMMYFUNCTION("IFERROR((GOOGLEFINANCE(C94, ""price"") / INDEX(GOOGLEFINANCE(C94, ""price"", EDATE(TODAY(), -12), TODAY()), 2, 2)) - 1, """")"),"")</f>
        <v/>
      </c>
      <c r="Q94" s="6" t="str">
        <f>IFERROR(__xludf.DUMMYFUNCTION("AVERAGE(QUERY(GOOGLEFINANCE(C94, ""price"", TODAY()-80, TODAY()), ""SELECT Col2 WHERE Col2 IS NOT NULL ORDER BY Col1 DESC LIMIT 50"", 0))"),"#N/A")</f>
        <v>#N/A</v>
      </c>
      <c r="R94" s="24" t="str">
        <f>IFERROR(__xludf.DUMMYFUNCTION("IFERROR(
  LET(
    data, QUERY(GOOGLEFINANCE(C94,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GOOGLEFINANCE(C94, ""price"")) * 100,
    IF(calc=0, G94, calc)
  ), 
G94)"),"#N/A")</f>
        <v>#N/A</v>
      </c>
      <c r="S94" s="8" t="s">
        <v>15</v>
      </c>
      <c r="T94" s="26" t="str">
        <f>IFERROR(__xludf.DUMMYFUNCTION("IFERROR(TRANSPOSE(QUERY(IFERROR(SORT(GOOGLEFINANCE(C94, ""price"", WORKDAY(TODAY(), -40), TODAY()), 1, FALSE)), ""select Col2 where Col2 is not null limit 22 label Col2 ''"", 0)), """")"),"")</f>
        <v/>
      </c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8"/>
      <c r="AO94" s="28"/>
      <c r="AP94" s="29"/>
      <c r="AQ94" s="29" t="str">
        <f t="shared" ref="AQ94:BL94" si="97">T94/T$2</f>
        <v>#N/A</v>
      </c>
      <c r="AR94" s="29" t="str">
        <f t="shared" si="97"/>
        <v>#DIV/0!</v>
      </c>
      <c r="AS94" s="29" t="str">
        <f t="shared" si="97"/>
        <v>#DIV/0!</v>
      </c>
      <c r="AT94" s="29" t="str">
        <f t="shared" si="97"/>
        <v>#DIV/0!</v>
      </c>
      <c r="AU94" s="29" t="str">
        <f t="shared" si="97"/>
        <v>#DIV/0!</v>
      </c>
      <c r="AV94" s="29" t="str">
        <f t="shared" si="97"/>
        <v>#DIV/0!</v>
      </c>
      <c r="AW94" s="29" t="str">
        <f t="shared" si="97"/>
        <v>#DIV/0!</v>
      </c>
      <c r="AX94" s="29" t="str">
        <f t="shared" si="97"/>
        <v>#DIV/0!</v>
      </c>
      <c r="AY94" s="29" t="str">
        <f t="shared" si="97"/>
        <v>#DIV/0!</v>
      </c>
      <c r="AZ94" s="29" t="str">
        <f t="shared" si="97"/>
        <v>#DIV/0!</v>
      </c>
      <c r="BA94" s="29" t="str">
        <f t="shared" si="97"/>
        <v>#DIV/0!</v>
      </c>
      <c r="BB94" s="29" t="str">
        <f t="shared" si="97"/>
        <v>#DIV/0!</v>
      </c>
      <c r="BC94" s="29" t="str">
        <f t="shared" si="97"/>
        <v>#DIV/0!</v>
      </c>
      <c r="BD94" s="29" t="str">
        <f t="shared" si="97"/>
        <v>#DIV/0!</v>
      </c>
      <c r="BE94" s="29" t="str">
        <f t="shared" si="97"/>
        <v>#DIV/0!</v>
      </c>
      <c r="BF94" s="29" t="str">
        <f t="shared" si="97"/>
        <v>#DIV/0!</v>
      </c>
      <c r="BG94" s="29" t="str">
        <f t="shared" si="97"/>
        <v>#DIV/0!</v>
      </c>
      <c r="BH94" s="29" t="str">
        <f t="shared" si="97"/>
        <v>#DIV/0!</v>
      </c>
      <c r="BI94" s="29" t="str">
        <f t="shared" si="97"/>
        <v>#DIV/0!</v>
      </c>
      <c r="BJ94" s="29" t="str">
        <f t="shared" si="97"/>
        <v>#DIV/0!</v>
      </c>
      <c r="BK94" s="29" t="str">
        <f t="shared" si="97"/>
        <v>#DIV/0!</v>
      </c>
      <c r="BL94" s="29" t="str">
        <f t="shared" si="97"/>
        <v>#DIV/0!</v>
      </c>
      <c r="BM94" s="29" t="str">
        <f t="shared" si="3"/>
        <v>#DIV/0!</v>
      </c>
    </row>
    <row r="95">
      <c r="A95" s="16" t="str">
        <f>IFERROR(__xludf.DUMMYFUNCTION("IFERROR(SPARKLINE(SORT(MAP(TRANSPOSE(AQ95:BL95), LAMBDA(val, IF(ISNUMBER(val), PERCENTRANK(AQ95:BL95, val)+0.01, 0))), SEQUENCE(COLUMNS(AQ95:BL95)), FALSE), {""charttype"",""column""; ""color"",""chartreuse""; ""ymin"", 0; ""ymax"", 1.01; ""highcolor"", "&amp;"""darkgreen""; ""lowcolor"", ""red""}), """")"),"")</f>
        <v/>
      </c>
      <c r="B95" s="17" t="str">
        <f t="shared" si="4"/>
        <v/>
      </c>
      <c r="C95" s="1" t="s">
        <v>3023</v>
      </c>
      <c r="D95" s="30" t="str">
        <f>IFERROR(__xludf.DUMMYFUNCTION("IFERROR(GOOGLEFINANCE(C95, ""NAME""))"),"Invesco Mortgage Capital Inc")</f>
        <v>Invesco Mortgage Capital Inc</v>
      </c>
      <c r="E95" s="30" t="s">
        <v>2682</v>
      </c>
      <c r="F95" s="33" t="str">
        <f>IFERROR(__xludf.DUMMYFUNCTION("( (GOOGLEFINANCE(C95, ""price"") - Q95) / Q95 ) / (R95 / 100)"),"Loading...")</f>
        <v>Loading...</v>
      </c>
      <c r="G95" s="20" t="str">
        <f>IFERROR(__xludf.DUMMYFUNCTION("AVERAGE(ARRAYFORMULA(100 * (QUERY(GOOGLEFINANCE(C95, ""high"", TODAY()-40, TODAY()), ""SELECT Col2 WHERE Col2 IS NOT NULL ORDER BY Col1 DESC LIMIT 20"", 0) / QUERY(GOOGLEFINANCE(C95, ""low"", TODAY()-40, TODAY()), ""SELECT Col2 WHERE Col2 IS NOT NULL ORDE"&amp;"R BY Col1 DESC LIMIT 20"", 0) - 1)))"),"#N/A")</f>
        <v>#N/A</v>
      </c>
      <c r="H95" s="35" t="str">
        <f t="shared" si="6"/>
        <v>Illiquid</v>
      </c>
      <c r="I95" s="35" t="str">
        <f t="shared" si="7"/>
        <v>RVol Required</v>
      </c>
      <c r="J95" s="37">
        <f>IFERROR(__xludf.DUMMYFUNCTION("IFERROR(
  IF(C95="""",, 
    IFERROR(
      GOOGLEFINANCE(C95, ""price"") * GOOGLEFINANCE(C95, ""volumeavg""), 
      GOOGLEFINANCE(C95, ""price"") * AVERAGE(QUERY(GOOGLEFINANCE(C95, ""volume"", TODAY()-40, TODAY()), ""SELECT Col2 WHERE Col2 IS NOT NULL "&amp;"ORDER BY Col1 DESC LIMIT 20"", 0))
    )
  ), 
"""")"),1.9985984060000002E7)</f>
        <v>19985984.06</v>
      </c>
      <c r="K95" s="21">
        <f>IFERROR(__xludf.DUMMYFUNCTION("IFERROR(GOOGLEFINANCE(C95, ""changepct"") / 100, """")"),-0.0195)</f>
        <v>-0.0195</v>
      </c>
      <c r="L95" s="21" t="str">
        <f>IFERROR(__xludf.DUMMYFUNCTION("IFERROR((GOOGLEFINANCE(C95, ""price"") / INDEX(GOOGLEFINANCE(C95, ""price"", TODAY()-7, TODAY()), 2, 2)) - 1, """")"),"")</f>
        <v/>
      </c>
      <c r="M95" s="21" t="str">
        <f>IFERROR(__xludf.DUMMYFUNCTION("IFERROR((GOOGLEFINANCE(C95, ""price"") / INDEX(GOOGLEFINANCE(C95, ""price"", EDATE(TODAY(), -1), TODAY()), 2, 2)) - 1, """")"),"")</f>
        <v/>
      </c>
      <c r="N95" s="21" t="str">
        <f>IFERROR(__xludf.DUMMYFUNCTION("IFERROR((GOOGLEFINANCE(C95, ""price"") / INDEX(GOOGLEFINANCE(C95, ""price"", EDATE(TODAY(), -3), TODAY()), 2, 2)) - 1, """")"),"")</f>
        <v/>
      </c>
      <c r="O95" s="21" t="str">
        <f>IFERROR(__xludf.DUMMYFUNCTION("IFERROR((GOOGLEFINANCE(C95, ""price"") / INDEX(GOOGLEFINANCE(C95, ""price"", EDATE(TODAY(), -6), TODAY()), 2, 2)) - 1, """")"),"")</f>
        <v/>
      </c>
      <c r="P95" s="21" t="str">
        <f>IFERROR(__xludf.DUMMYFUNCTION("IFERROR((GOOGLEFINANCE(C95, ""price"") / INDEX(GOOGLEFINANCE(C95, ""price"", EDATE(TODAY(), -12), TODAY()), 2, 2)) - 1, """")"),"")</f>
        <v/>
      </c>
      <c r="Q95" s="6" t="str">
        <f>IFERROR(__xludf.DUMMYFUNCTION("AVERAGE(QUERY(GOOGLEFINANCE(C95, ""price"", TODAY()-80, TODAY()), ""SELECT Col2 WHERE Col2 IS NOT NULL ORDER BY Col1 DESC LIMIT 50"", 0))"),"#N/A")</f>
        <v>#N/A</v>
      </c>
      <c r="R95" s="24" t="str">
        <f>IFERROR(__xludf.DUMMYFUNCTION("IFERROR(
  LET(
    data, QUERY(GOOGLEFINANCE(C95,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GOOGLEFINANCE(C95, ""price"")) * 100,
    IF(calc=0, G95, calc)
  ), 
G95)"),"#N/A")</f>
        <v>#N/A</v>
      </c>
      <c r="S95" s="8" t="s">
        <v>15</v>
      </c>
      <c r="T95" s="26" t="str">
        <f>IFERROR(__xludf.DUMMYFUNCTION("IFERROR(TRANSPOSE(QUERY(IFERROR(SORT(GOOGLEFINANCE(C95, ""price"", WORKDAY(TODAY(), -40), TODAY()), 1, FALSE)), ""select Col2 where Col2 is not null limit 22 label Col2 ''"", 0)), """")"),"")</f>
        <v/>
      </c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8"/>
      <c r="AO95" s="28"/>
      <c r="AP95" s="29"/>
      <c r="AQ95" s="29" t="str">
        <f t="shared" ref="AQ95:BL95" si="98">T95/T$2</f>
        <v>#N/A</v>
      </c>
      <c r="AR95" s="29" t="str">
        <f t="shared" si="98"/>
        <v>#DIV/0!</v>
      </c>
      <c r="AS95" s="29" t="str">
        <f t="shared" si="98"/>
        <v>#DIV/0!</v>
      </c>
      <c r="AT95" s="29" t="str">
        <f t="shared" si="98"/>
        <v>#DIV/0!</v>
      </c>
      <c r="AU95" s="29" t="str">
        <f t="shared" si="98"/>
        <v>#DIV/0!</v>
      </c>
      <c r="AV95" s="29" t="str">
        <f t="shared" si="98"/>
        <v>#DIV/0!</v>
      </c>
      <c r="AW95" s="29" t="str">
        <f t="shared" si="98"/>
        <v>#DIV/0!</v>
      </c>
      <c r="AX95" s="29" t="str">
        <f t="shared" si="98"/>
        <v>#DIV/0!</v>
      </c>
      <c r="AY95" s="29" t="str">
        <f t="shared" si="98"/>
        <v>#DIV/0!</v>
      </c>
      <c r="AZ95" s="29" t="str">
        <f t="shared" si="98"/>
        <v>#DIV/0!</v>
      </c>
      <c r="BA95" s="29" t="str">
        <f t="shared" si="98"/>
        <v>#DIV/0!</v>
      </c>
      <c r="BB95" s="29" t="str">
        <f t="shared" si="98"/>
        <v>#DIV/0!</v>
      </c>
      <c r="BC95" s="29" t="str">
        <f t="shared" si="98"/>
        <v>#DIV/0!</v>
      </c>
      <c r="BD95" s="29" t="str">
        <f t="shared" si="98"/>
        <v>#DIV/0!</v>
      </c>
      <c r="BE95" s="29" t="str">
        <f t="shared" si="98"/>
        <v>#DIV/0!</v>
      </c>
      <c r="BF95" s="29" t="str">
        <f t="shared" si="98"/>
        <v>#DIV/0!</v>
      </c>
      <c r="BG95" s="29" t="str">
        <f t="shared" si="98"/>
        <v>#DIV/0!</v>
      </c>
      <c r="BH95" s="29" t="str">
        <f t="shared" si="98"/>
        <v>#DIV/0!</v>
      </c>
      <c r="BI95" s="29" t="str">
        <f t="shared" si="98"/>
        <v>#DIV/0!</v>
      </c>
      <c r="BJ95" s="29" t="str">
        <f t="shared" si="98"/>
        <v>#DIV/0!</v>
      </c>
      <c r="BK95" s="29" t="str">
        <f t="shared" si="98"/>
        <v>#DIV/0!</v>
      </c>
      <c r="BL95" s="29" t="str">
        <f t="shared" si="98"/>
        <v>#DIV/0!</v>
      </c>
      <c r="BM95" s="29" t="str">
        <f t="shared" si="3"/>
        <v>#DIV/0!</v>
      </c>
    </row>
    <row r="96">
      <c r="A96" s="16" t="str">
        <f>IFERROR(__xludf.DUMMYFUNCTION("IFERROR(SPARKLINE(SORT(MAP(TRANSPOSE(AQ96:BL96), LAMBDA(val, IF(ISNUMBER(val), PERCENTRANK(AQ96:BL96, val)+0.01, 0))), SEQUENCE(COLUMNS(AQ96:BL96)), FALSE), {""charttype"",""column""; ""color"",""chartreuse""; ""ymin"", 0; ""ymax"", 1.01; ""highcolor"", "&amp;"""darkgreen""; ""lowcolor"", ""red""}), """")"),"")</f>
        <v/>
      </c>
      <c r="B96" s="17" t="str">
        <f t="shared" si="4"/>
        <v/>
      </c>
      <c r="C96" s="1" t="s">
        <v>3027</v>
      </c>
      <c r="D96" s="30" t="str">
        <f>IFERROR(__xludf.DUMMYFUNCTION("IFERROR(GOOGLEFINANCE(C96, ""NAME""))"),"CTO Realty Growth Inc")</f>
        <v>CTO Realty Growth Inc</v>
      </c>
      <c r="E96" s="30" t="s">
        <v>2784</v>
      </c>
      <c r="F96" s="33" t="str">
        <f>IFERROR(__xludf.DUMMYFUNCTION("( (GOOGLEFINANCE(C96, ""price"") - Q96) / Q96 ) / (R96 / 100)"),"Loading...")</f>
        <v>Loading...</v>
      </c>
      <c r="G96" s="20" t="str">
        <f>IFERROR(__xludf.DUMMYFUNCTION("AVERAGE(ARRAYFORMULA(100 * (QUERY(GOOGLEFINANCE(C96, ""high"", TODAY()-40, TODAY()), ""SELECT Col2 WHERE Col2 IS NOT NULL ORDER BY Col1 DESC LIMIT 20"", 0) / QUERY(GOOGLEFINANCE(C96, ""low"", TODAY()-40, TODAY()), ""SELECT Col2 WHERE Col2 IS NOT NULL ORDE"&amp;"R BY Col1 DESC LIMIT 20"", 0) - 1)))"),"#N/A")</f>
        <v>#N/A</v>
      </c>
      <c r="H96" s="35" t="str">
        <f t="shared" si="6"/>
        <v>Illiquid</v>
      </c>
      <c r="I96" s="35" t="str">
        <f t="shared" si="7"/>
        <v>RVol Required</v>
      </c>
      <c r="J96" s="37">
        <f>IFERROR(__xludf.DUMMYFUNCTION("IFERROR(
  IF(C96="""",, 
    IFERROR(
      GOOGLEFINANCE(C96, ""price"") * GOOGLEFINANCE(C96, ""volumeavg""), 
      GOOGLEFINANCE(C96, ""price"") * AVERAGE(QUERY(GOOGLEFINANCE(C96, ""volume"", TODAY()-40, TODAY()), ""SELECT Col2 WHERE Col2 IS NOT NULL "&amp;"ORDER BY Col1 DESC LIMIT 20"", 0))
    )
  ), 
"""")"),7748242.58)</f>
        <v>7748242.58</v>
      </c>
      <c r="K96" s="21">
        <f>IFERROR(__xludf.DUMMYFUNCTION("IFERROR(GOOGLEFINANCE(C96, ""changepct"") / 100, """")"),-0.0029)</f>
        <v>-0.0029</v>
      </c>
      <c r="L96" s="21" t="str">
        <f>IFERROR(__xludf.DUMMYFUNCTION("IFERROR((GOOGLEFINANCE(C96, ""price"") / INDEX(GOOGLEFINANCE(C96, ""price"", TODAY()-7, TODAY()), 2, 2)) - 1, """")"),"")</f>
        <v/>
      </c>
      <c r="M96" s="21" t="str">
        <f>IFERROR(__xludf.DUMMYFUNCTION("IFERROR((GOOGLEFINANCE(C96, ""price"") / INDEX(GOOGLEFINANCE(C96, ""price"", EDATE(TODAY(), -1), TODAY()), 2, 2)) - 1, """")"),"")</f>
        <v/>
      </c>
      <c r="N96" s="21" t="str">
        <f>IFERROR(__xludf.DUMMYFUNCTION("IFERROR((GOOGLEFINANCE(C96, ""price"") / INDEX(GOOGLEFINANCE(C96, ""price"", EDATE(TODAY(), -3), TODAY()), 2, 2)) - 1, """")"),"")</f>
        <v/>
      </c>
      <c r="O96" s="21" t="str">
        <f>IFERROR(__xludf.DUMMYFUNCTION("IFERROR((GOOGLEFINANCE(C96, ""price"") / INDEX(GOOGLEFINANCE(C96, ""price"", EDATE(TODAY(), -6), TODAY()), 2, 2)) - 1, """")"),"")</f>
        <v/>
      </c>
      <c r="P96" s="21" t="str">
        <f>IFERROR(__xludf.DUMMYFUNCTION("IFERROR((GOOGLEFINANCE(C96, ""price"") / INDEX(GOOGLEFINANCE(C96, ""price"", EDATE(TODAY(), -12), TODAY()), 2, 2)) - 1, """")"),"")</f>
        <v/>
      </c>
      <c r="Q96" s="6" t="str">
        <f>IFERROR(__xludf.DUMMYFUNCTION("AVERAGE(QUERY(GOOGLEFINANCE(C96, ""price"", TODAY()-80, TODAY()), ""SELECT Col2 WHERE Col2 IS NOT NULL ORDER BY Col1 DESC LIMIT 50"", 0))"),"#N/A")</f>
        <v>#N/A</v>
      </c>
      <c r="R96" s="24" t="str">
        <f>IFERROR(__xludf.DUMMYFUNCTION("IFERROR(
  LET(
    data, QUERY(GOOGLEFINANCE(C96,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GOOGLEFINANCE(C96, ""price"")) * 100,
    IF(calc=0, G96, calc)
  ), 
G96)"),"#N/A")</f>
        <v>#N/A</v>
      </c>
      <c r="S96" s="8" t="s">
        <v>15</v>
      </c>
      <c r="T96" s="26" t="str">
        <f>IFERROR(__xludf.DUMMYFUNCTION("IFERROR(TRANSPOSE(QUERY(IFERROR(SORT(GOOGLEFINANCE(C96, ""price"", WORKDAY(TODAY(), -40), TODAY()), 1, FALSE)), ""select Col2 where Col2 is not null limit 22 label Col2 ''"", 0)), """")"),"")</f>
        <v/>
      </c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8"/>
      <c r="AO96" s="28"/>
      <c r="AP96" s="29"/>
      <c r="AQ96" s="29" t="str">
        <f t="shared" ref="AQ96:BL96" si="99">T96/T$2</f>
        <v>#N/A</v>
      </c>
      <c r="AR96" s="29" t="str">
        <f t="shared" si="99"/>
        <v>#DIV/0!</v>
      </c>
      <c r="AS96" s="29" t="str">
        <f t="shared" si="99"/>
        <v>#DIV/0!</v>
      </c>
      <c r="AT96" s="29" t="str">
        <f t="shared" si="99"/>
        <v>#DIV/0!</v>
      </c>
      <c r="AU96" s="29" t="str">
        <f t="shared" si="99"/>
        <v>#DIV/0!</v>
      </c>
      <c r="AV96" s="29" t="str">
        <f t="shared" si="99"/>
        <v>#DIV/0!</v>
      </c>
      <c r="AW96" s="29" t="str">
        <f t="shared" si="99"/>
        <v>#DIV/0!</v>
      </c>
      <c r="AX96" s="29" t="str">
        <f t="shared" si="99"/>
        <v>#DIV/0!</v>
      </c>
      <c r="AY96" s="29" t="str">
        <f t="shared" si="99"/>
        <v>#DIV/0!</v>
      </c>
      <c r="AZ96" s="29" t="str">
        <f t="shared" si="99"/>
        <v>#DIV/0!</v>
      </c>
      <c r="BA96" s="29" t="str">
        <f t="shared" si="99"/>
        <v>#DIV/0!</v>
      </c>
      <c r="BB96" s="29" t="str">
        <f t="shared" si="99"/>
        <v>#DIV/0!</v>
      </c>
      <c r="BC96" s="29" t="str">
        <f t="shared" si="99"/>
        <v>#DIV/0!</v>
      </c>
      <c r="BD96" s="29" t="str">
        <f t="shared" si="99"/>
        <v>#DIV/0!</v>
      </c>
      <c r="BE96" s="29" t="str">
        <f t="shared" si="99"/>
        <v>#DIV/0!</v>
      </c>
      <c r="BF96" s="29" t="str">
        <f t="shared" si="99"/>
        <v>#DIV/0!</v>
      </c>
      <c r="BG96" s="29" t="str">
        <f t="shared" si="99"/>
        <v>#DIV/0!</v>
      </c>
      <c r="BH96" s="29" t="str">
        <f t="shared" si="99"/>
        <v>#DIV/0!</v>
      </c>
      <c r="BI96" s="29" t="str">
        <f t="shared" si="99"/>
        <v>#DIV/0!</v>
      </c>
      <c r="BJ96" s="29" t="str">
        <f t="shared" si="99"/>
        <v>#DIV/0!</v>
      </c>
      <c r="BK96" s="29" t="str">
        <f t="shared" si="99"/>
        <v>#DIV/0!</v>
      </c>
      <c r="BL96" s="29" t="str">
        <f t="shared" si="99"/>
        <v>#DIV/0!</v>
      </c>
      <c r="BM96" s="29" t="str">
        <f t="shared" si="3"/>
        <v>#DIV/0!</v>
      </c>
    </row>
    <row r="97">
      <c r="A97" s="16" t="str">
        <f>IFERROR(__xludf.DUMMYFUNCTION("IFERROR(SPARKLINE(SORT(MAP(TRANSPOSE(AQ97:BL97), LAMBDA(val, IF(ISNUMBER(val), PERCENTRANK(AQ97:BL97, val)+0.01, 0))), SEQUENCE(COLUMNS(AQ97:BL97)), FALSE), {""charttype"",""column""; ""color"",""chartreuse""; ""ymin"", 0; ""ymax"", 1.01; ""highcolor"", "&amp;"""darkgreen""; ""lowcolor"", ""red""}), """")"),"")</f>
        <v/>
      </c>
      <c r="B97" s="17" t="str">
        <f t="shared" si="4"/>
        <v/>
      </c>
      <c r="C97" s="1" t="s">
        <v>3030</v>
      </c>
      <c r="D97" s="30" t="str">
        <f>IFERROR(__xludf.DUMMYFUNCTION("IFERROR(GOOGLEFINANCE(C97, ""NAME""))"),"Apartment Investment and Management Co")</f>
        <v>Apartment Investment and Management Co</v>
      </c>
      <c r="E97" s="30" t="s">
        <v>2760</v>
      </c>
      <c r="F97" s="33" t="str">
        <f>IFERROR(__xludf.DUMMYFUNCTION("( (GOOGLEFINANCE(C97, ""price"") - Q97) / Q97 ) / (R97 / 100)"),"Loading...")</f>
        <v>Loading...</v>
      </c>
      <c r="G97" s="20" t="str">
        <f>IFERROR(__xludf.DUMMYFUNCTION("AVERAGE(ARRAYFORMULA(100 * (QUERY(GOOGLEFINANCE(C97, ""high"", TODAY()-40, TODAY()), ""SELECT Col2 WHERE Col2 IS NOT NULL ORDER BY Col1 DESC LIMIT 20"", 0) / QUERY(GOOGLEFINANCE(C97, ""low"", TODAY()-40, TODAY()), ""SELECT Col2 WHERE Col2 IS NOT NULL ORDE"&amp;"R BY Col1 DESC LIMIT 20"", 0) - 1)))"),"#N/A")</f>
        <v>#N/A</v>
      </c>
      <c r="H97" s="35" t="str">
        <f t="shared" si="6"/>
        <v>Illiquid</v>
      </c>
      <c r="I97" s="35" t="str">
        <f t="shared" si="7"/>
        <v>RVol Required</v>
      </c>
      <c r="J97" s="37">
        <f>IFERROR(__xludf.DUMMYFUNCTION("IFERROR(
  IF(C97="""",, 
    IFERROR(
      GOOGLEFINANCE(C97, ""price"") * GOOGLEFINANCE(C97, ""volumeavg""), 
      GOOGLEFINANCE(C97, ""price"") * AVERAGE(QUERY(GOOGLEFINANCE(C97, ""volume"", TODAY()-40, TODAY()), ""SELECT Col2 WHERE Col2 IS NOT NULL "&amp;"ORDER BY Col1 DESC LIMIT 20"", 0))
    )
  ), 
"""")"),3769444.0)</f>
        <v>3769444</v>
      </c>
      <c r="K97" s="21">
        <f>IFERROR(__xludf.DUMMYFUNCTION("IFERROR(GOOGLEFINANCE(C97, ""changepct"") / 100, """")"),0.011899999999999999)</f>
        <v>0.0119</v>
      </c>
      <c r="L97" s="21" t="str">
        <f>IFERROR(__xludf.DUMMYFUNCTION("IFERROR((GOOGLEFINANCE(C97, ""price"") / INDEX(GOOGLEFINANCE(C97, ""price"", TODAY()-7, TODAY()), 2, 2)) - 1, """")"),"")</f>
        <v/>
      </c>
      <c r="M97" s="21" t="str">
        <f>IFERROR(__xludf.DUMMYFUNCTION("IFERROR((GOOGLEFINANCE(C97, ""price"") / INDEX(GOOGLEFINANCE(C97, ""price"", EDATE(TODAY(), -1), TODAY()), 2, 2)) - 1, """")"),"")</f>
        <v/>
      </c>
      <c r="N97" s="21" t="str">
        <f>IFERROR(__xludf.DUMMYFUNCTION("IFERROR((GOOGLEFINANCE(C97, ""price"") / INDEX(GOOGLEFINANCE(C97, ""price"", EDATE(TODAY(), -3), TODAY()), 2, 2)) - 1, """")"),"")</f>
        <v/>
      </c>
      <c r="O97" s="21" t="str">
        <f>IFERROR(__xludf.DUMMYFUNCTION("IFERROR((GOOGLEFINANCE(C97, ""price"") / INDEX(GOOGLEFINANCE(C97, ""price"", EDATE(TODAY(), -6), TODAY()), 2, 2)) - 1, """")"),"")</f>
        <v/>
      </c>
      <c r="P97" s="21" t="str">
        <f>IFERROR(__xludf.DUMMYFUNCTION("IFERROR((GOOGLEFINANCE(C97, ""price"") / INDEX(GOOGLEFINANCE(C97, ""price"", EDATE(TODAY(), -12), TODAY()), 2, 2)) - 1, """")"),"")</f>
        <v/>
      </c>
      <c r="Q97" s="6" t="str">
        <f>IFERROR(__xludf.DUMMYFUNCTION("AVERAGE(QUERY(GOOGLEFINANCE(C97, ""price"", TODAY()-80, TODAY()), ""SELECT Col2 WHERE Col2 IS NOT NULL ORDER BY Col1 DESC LIMIT 50"", 0))"),"#N/A")</f>
        <v>#N/A</v>
      </c>
      <c r="R97" s="24" t="str">
        <f>IFERROR(__xludf.DUMMYFUNCTION("IFERROR(
  LET(
    data, QUERY(GOOGLEFINANCE(C97,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GOOGLEFINANCE(C97, ""price"")) * 100,
    IF(calc=0, G97, calc)
  ), 
G97)"),"#N/A")</f>
        <v>#N/A</v>
      </c>
      <c r="S97" s="8" t="s">
        <v>15</v>
      </c>
      <c r="T97" s="26" t="str">
        <f>IFERROR(__xludf.DUMMYFUNCTION("IFERROR(TRANSPOSE(QUERY(IFERROR(SORT(GOOGLEFINANCE(C97, ""price"", WORKDAY(TODAY(), -40), TODAY()), 1, FALSE)), ""select Col2 where Col2 is not null limit 22 label Col2 ''"", 0)), """")"),"")</f>
        <v/>
      </c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8"/>
      <c r="AO97" s="28"/>
      <c r="AP97" s="29"/>
      <c r="AQ97" s="29" t="str">
        <f t="shared" ref="AQ97:BL97" si="100">T97/T$2</f>
        <v>#N/A</v>
      </c>
      <c r="AR97" s="29" t="str">
        <f t="shared" si="100"/>
        <v>#DIV/0!</v>
      </c>
      <c r="AS97" s="29" t="str">
        <f t="shared" si="100"/>
        <v>#DIV/0!</v>
      </c>
      <c r="AT97" s="29" t="str">
        <f t="shared" si="100"/>
        <v>#DIV/0!</v>
      </c>
      <c r="AU97" s="29" t="str">
        <f t="shared" si="100"/>
        <v>#DIV/0!</v>
      </c>
      <c r="AV97" s="29" t="str">
        <f t="shared" si="100"/>
        <v>#DIV/0!</v>
      </c>
      <c r="AW97" s="29" t="str">
        <f t="shared" si="100"/>
        <v>#DIV/0!</v>
      </c>
      <c r="AX97" s="29" t="str">
        <f t="shared" si="100"/>
        <v>#DIV/0!</v>
      </c>
      <c r="AY97" s="29" t="str">
        <f t="shared" si="100"/>
        <v>#DIV/0!</v>
      </c>
      <c r="AZ97" s="29" t="str">
        <f t="shared" si="100"/>
        <v>#DIV/0!</v>
      </c>
      <c r="BA97" s="29" t="str">
        <f t="shared" si="100"/>
        <v>#DIV/0!</v>
      </c>
      <c r="BB97" s="29" t="str">
        <f t="shared" si="100"/>
        <v>#DIV/0!</v>
      </c>
      <c r="BC97" s="29" t="str">
        <f t="shared" si="100"/>
        <v>#DIV/0!</v>
      </c>
      <c r="BD97" s="29" t="str">
        <f t="shared" si="100"/>
        <v>#DIV/0!</v>
      </c>
      <c r="BE97" s="29" t="str">
        <f t="shared" si="100"/>
        <v>#DIV/0!</v>
      </c>
      <c r="BF97" s="29" t="str">
        <f t="shared" si="100"/>
        <v>#DIV/0!</v>
      </c>
      <c r="BG97" s="29" t="str">
        <f t="shared" si="100"/>
        <v>#DIV/0!</v>
      </c>
      <c r="BH97" s="29" t="str">
        <f t="shared" si="100"/>
        <v>#DIV/0!</v>
      </c>
      <c r="BI97" s="29" t="str">
        <f t="shared" si="100"/>
        <v>#DIV/0!</v>
      </c>
      <c r="BJ97" s="29" t="str">
        <f t="shared" si="100"/>
        <v>#DIV/0!</v>
      </c>
      <c r="BK97" s="29" t="str">
        <f t="shared" si="100"/>
        <v>#DIV/0!</v>
      </c>
      <c r="BL97" s="29" t="str">
        <f t="shared" si="100"/>
        <v>#DIV/0!</v>
      </c>
      <c r="BM97" s="29" t="str">
        <f t="shared" si="3"/>
        <v>#DIV/0!</v>
      </c>
    </row>
    <row r="98">
      <c r="A98" s="16" t="str">
        <f>IFERROR(__xludf.DUMMYFUNCTION("IFERROR(SPARKLINE(SORT(MAP(TRANSPOSE(AQ98:BL98), LAMBDA(val, IF(ISNUMBER(val), PERCENTRANK(AQ98:BL98, val)+0.01, 0))), SEQUENCE(COLUMNS(AQ98:BL98)), FALSE), {""charttype"",""column""; ""color"",""chartreuse""; ""ymin"", 0; ""ymax"", 1.01; ""highcolor"", "&amp;"""darkgreen""; ""lowcolor"", ""red""}), """")"),"")</f>
        <v/>
      </c>
      <c r="B98" s="17" t="str">
        <f t="shared" si="4"/>
        <v/>
      </c>
      <c r="C98" s="1" t="s">
        <v>3033</v>
      </c>
      <c r="D98" s="30" t="str">
        <f>IFERROR(__xludf.DUMMYFUNCTION("IFERROR(GOOGLEFINANCE(C98, ""NAME""))"),"Equinix Inc")</f>
        <v>Equinix Inc</v>
      </c>
      <c r="E98" s="30" t="s">
        <v>2709</v>
      </c>
      <c r="F98" s="33" t="str">
        <f>IFERROR(__xludf.DUMMYFUNCTION("( (GOOGLEFINANCE(C98, ""price"") - Q98) / Q98 ) / (R98 / 100)"),"Loading...")</f>
        <v>Loading...</v>
      </c>
      <c r="G98" s="20" t="str">
        <f>IFERROR(__xludf.DUMMYFUNCTION("AVERAGE(ARRAYFORMULA(100 * (QUERY(GOOGLEFINANCE(C98, ""high"", TODAY()-40, TODAY()), ""SELECT Col2 WHERE Col2 IS NOT NULL ORDER BY Col1 DESC LIMIT 20"", 0) / QUERY(GOOGLEFINANCE(C98, ""low"", TODAY()-40, TODAY()), ""SELECT Col2 WHERE Col2 IS NOT NULL ORDE"&amp;"R BY Col1 DESC LIMIT 20"", 0) - 1)))"),"#N/A")</f>
        <v>#N/A</v>
      </c>
      <c r="H98" s="35" t="str">
        <f t="shared" si="6"/>
        <v>Liquid</v>
      </c>
      <c r="I98" s="35" t="str">
        <f t="shared" si="7"/>
        <v>RVol Required</v>
      </c>
      <c r="J98" s="37">
        <f>IFERROR(__xludf.DUMMYFUNCTION("IFERROR(
  IF(C98="""",, 
    IFERROR(
      GOOGLEFINANCE(C98, ""price"") * GOOGLEFINANCE(C98, ""volumeavg""), 
      GOOGLEFINANCE(C98, ""price"") * AVERAGE(QUERY(GOOGLEFINANCE(C98, ""volume"", TODAY()-40, TODAY()), ""SELECT Col2 WHERE Col2 IS NOT NULL "&amp;"ORDER BY Col1 DESC LIMIT 20"", 0))
    )
  ), 
"""")"),4.7781971172E8)</f>
        <v>477819711.7</v>
      </c>
      <c r="K98" s="21">
        <f>IFERROR(__xludf.DUMMYFUNCTION("IFERROR(GOOGLEFINANCE(C98, ""changepct"") / 100, """")"),-0.0103)</f>
        <v>-0.0103</v>
      </c>
      <c r="L98" s="21" t="str">
        <f>IFERROR(__xludf.DUMMYFUNCTION("IFERROR((GOOGLEFINANCE(C98, ""price"") / INDEX(GOOGLEFINANCE(C98, ""price"", TODAY()-7, TODAY()), 2, 2)) - 1, """")"),"")</f>
        <v/>
      </c>
      <c r="M98" s="21" t="str">
        <f>IFERROR(__xludf.DUMMYFUNCTION("IFERROR((GOOGLEFINANCE(C98, ""price"") / INDEX(GOOGLEFINANCE(C98, ""price"", EDATE(TODAY(), -1), TODAY()), 2, 2)) - 1, """")"),"")</f>
        <v/>
      </c>
      <c r="N98" s="21" t="str">
        <f>IFERROR(__xludf.DUMMYFUNCTION("IFERROR((GOOGLEFINANCE(C98, ""price"") / INDEX(GOOGLEFINANCE(C98, ""price"", EDATE(TODAY(), -3), TODAY()), 2, 2)) - 1, """")"),"")</f>
        <v/>
      </c>
      <c r="O98" s="21" t="str">
        <f>IFERROR(__xludf.DUMMYFUNCTION("IFERROR((GOOGLEFINANCE(C98, ""price"") / INDEX(GOOGLEFINANCE(C98, ""price"", EDATE(TODAY(), -6), TODAY()), 2, 2)) - 1, """")"),"")</f>
        <v/>
      </c>
      <c r="P98" s="21" t="str">
        <f>IFERROR(__xludf.DUMMYFUNCTION("IFERROR((GOOGLEFINANCE(C98, ""price"") / INDEX(GOOGLEFINANCE(C98, ""price"", EDATE(TODAY(), -12), TODAY()), 2, 2)) - 1, """")"),"")</f>
        <v/>
      </c>
      <c r="Q98" s="6" t="str">
        <f>IFERROR(__xludf.DUMMYFUNCTION("AVERAGE(QUERY(GOOGLEFINANCE(C98, ""price"", TODAY()-80, TODAY()), ""SELECT Col2 WHERE Col2 IS NOT NULL ORDER BY Col1 DESC LIMIT 50"", 0))"),"#N/A")</f>
        <v>#N/A</v>
      </c>
      <c r="R98" s="24" t="str">
        <f>IFERROR(__xludf.DUMMYFUNCTION("IFERROR(
  LET(
    data, QUERY(GOOGLEFINANCE(C98,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GOOGLEFINANCE(C98, ""price"")) * 100,
    IF(calc=0, G98, calc)
  ), 
G98)"),"#N/A")</f>
        <v>#N/A</v>
      </c>
      <c r="S98" s="8" t="s">
        <v>15</v>
      </c>
      <c r="T98" s="26" t="str">
        <f>IFERROR(__xludf.DUMMYFUNCTION("IFERROR(TRANSPOSE(QUERY(IFERROR(SORT(GOOGLEFINANCE(C98, ""price"", WORKDAY(TODAY(), -40), TODAY()), 1, FALSE)), ""select Col2 where Col2 is not null limit 22 label Col2 ''"", 0)), """")"),"")</f>
        <v/>
      </c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8"/>
      <c r="AO98" s="28"/>
      <c r="AP98" s="29"/>
      <c r="AQ98" s="29" t="str">
        <f t="shared" ref="AQ98:BL98" si="101">T98/T$2</f>
        <v>#N/A</v>
      </c>
      <c r="AR98" s="29" t="str">
        <f t="shared" si="101"/>
        <v>#DIV/0!</v>
      </c>
      <c r="AS98" s="29" t="str">
        <f t="shared" si="101"/>
        <v>#DIV/0!</v>
      </c>
      <c r="AT98" s="29" t="str">
        <f t="shared" si="101"/>
        <v>#DIV/0!</v>
      </c>
      <c r="AU98" s="29" t="str">
        <f t="shared" si="101"/>
        <v>#DIV/0!</v>
      </c>
      <c r="AV98" s="29" t="str">
        <f t="shared" si="101"/>
        <v>#DIV/0!</v>
      </c>
      <c r="AW98" s="29" t="str">
        <f t="shared" si="101"/>
        <v>#DIV/0!</v>
      </c>
      <c r="AX98" s="29" t="str">
        <f t="shared" si="101"/>
        <v>#DIV/0!</v>
      </c>
      <c r="AY98" s="29" t="str">
        <f t="shared" si="101"/>
        <v>#DIV/0!</v>
      </c>
      <c r="AZ98" s="29" t="str">
        <f t="shared" si="101"/>
        <v>#DIV/0!</v>
      </c>
      <c r="BA98" s="29" t="str">
        <f t="shared" si="101"/>
        <v>#DIV/0!</v>
      </c>
      <c r="BB98" s="29" t="str">
        <f t="shared" si="101"/>
        <v>#DIV/0!</v>
      </c>
      <c r="BC98" s="29" t="str">
        <f t="shared" si="101"/>
        <v>#DIV/0!</v>
      </c>
      <c r="BD98" s="29" t="str">
        <f t="shared" si="101"/>
        <v>#DIV/0!</v>
      </c>
      <c r="BE98" s="29" t="str">
        <f t="shared" si="101"/>
        <v>#DIV/0!</v>
      </c>
      <c r="BF98" s="29" t="str">
        <f t="shared" si="101"/>
        <v>#DIV/0!</v>
      </c>
      <c r="BG98" s="29" t="str">
        <f t="shared" si="101"/>
        <v>#DIV/0!</v>
      </c>
      <c r="BH98" s="29" t="str">
        <f t="shared" si="101"/>
        <v>#DIV/0!</v>
      </c>
      <c r="BI98" s="29" t="str">
        <f t="shared" si="101"/>
        <v>#DIV/0!</v>
      </c>
      <c r="BJ98" s="29" t="str">
        <f t="shared" si="101"/>
        <v>#DIV/0!</v>
      </c>
      <c r="BK98" s="29" t="str">
        <f t="shared" si="101"/>
        <v>#DIV/0!</v>
      </c>
      <c r="BL98" s="29" t="str">
        <f t="shared" si="101"/>
        <v>#DIV/0!</v>
      </c>
      <c r="BM98" s="29" t="str">
        <f t="shared" si="3"/>
        <v>#DIV/0!</v>
      </c>
    </row>
    <row r="99">
      <c r="A99" s="16" t="str">
        <f>IFERROR(__xludf.DUMMYFUNCTION("IFERROR(SPARKLINE(SORT(MAP(TRANSPOSE(AQ99:BL99), LAMBDA(val, IF(ISNUMBER(val), PERCENTRANK(AQ99:BL99, val)+0.01, 0))), SEQUENCE(COLUMNS(AQ99:BL99)), FALSE), {""charttype"",""column""; ""color"",""chartreuse""; ""ymin"", 0; ""ymax"", 1.01; ""highcolor"", "&amp;"""darkgreen""; ""lowcolor"", ""red""}), """")"),"")</f>
        <v/>
      </c>
      <c r="B99" s="17" t="str">
        <f t="shared" si="4"/>
        <v/>
      </c>
      <c r="C99" s="1" t="s">
        <v>3037</v>
      </c>
      <c r="D99" s="30" t="str">
        <f>IFERROR(__xludf.DUMMYFUNCTION("IFERROR(GOOGLEFINANCE(C99, ""NAME""))"),"American Tower Corp")</f>
        <v>American Tower Corp</v>
      </c>
      <c r="E99" s="30" t="s">
        <v>2709</v>
      </c>
      <c r="F99" s="33" t="str">
        <f>IFERROR(__xludf.DUMMYFUNCTION("( (GOOGLEFINANCE(C99, ""price"") - Q99) / Q99 ) / (R99 / 100)"),"Loading...")</f>
        <v>Loading...</v>
      </c>
      <c r="G99" s="20" t="str">
        <f>IFERROR(__xludf.DUMMYFUNCTION("AVERAGE(ARRAYFORMULA(100 * (QUERY(GOOGLEFINANCE(C99, ""high"", TODAY()-40, TODAY()), ""SELECT Col2 WHERE Col2 IS NOT NULL ORDER BY Col1 DESC LIMIT 20"", 0) / QUERY(GOOGLEFINANCE(C99, ""low"", TODAY()-40, TODAY()), ""SELECT Col2 WHERE Col2 IS NOT NULL ORDE"&amp;"R BY Col1 DESC LIMIT 20"", 0) - 1)))"),"#N/A")</f>
        <v>#N/A</v>
      </c>
      <c r="H99" s="35" t="str">
        <f t="shared" si="6"/>
        <v>Liquid</v>
      </c>
      <c r="I99" s="35" t="str">
        <f t="shared" si="7"/>
        <v>No RVol Required</v>
      </c>
      <c r="J99" s="37">
        <f>IFERROR(__xludf.DUMMYFUNCTION("IFERROR(
  IF(C99="""",, 
    IFERROR(
      GOOGLEFINANCE(C99, ""price"") * GOOGLEFINANCE(C99, ""volumeavg""), 
      GOOGLEFINANCE(C99, ""price"") * AVERAGE(QUERY(GOOGLEFINANCE(C99, ""volume"", TODAY()-40, TODAY()), ""SELECT Col2 WHERE Col2 IS NOT NULL "&amp;"ORDER BY Col1 DESC LIMIT 20"", 0))
    )
  ), 
"""")"),5.4561848257E8)</f>
        <v>545618482.6</v>
      </c>
      <c r="K99" s="21">
        <f>IFERROR(__xludf.DUMMYFUNCTION("IFERROR(GOOGLEFINANCE(C99, ""changepct"") / 100, """")"),0.0216)</f>
        <v>0.0216</v>
      </c>
      <c r="L99" s="21" t="str">
        <f>IFERROR(__xludf.DUMMYFUNCTION("IFERROR((GOOGLEFINANCE(C99, ""price"") / INDEX(GOOGLEFINANCE(C99, ""price"", TODAY()-7, TODAY()), 2, 2)) - 1, """")"),"")</f>
        <v/>
      </c>
      <c r="M99" s="21" t="str">
        <f>IFERROR(__xludf.DUMMYFUNCTION("IFERROR((GOOGLEFINANCE(C99, ""price"") / INDEX(GOOGLEFINANCE(C99, ""price"", EDATE(TODAY(), -1), TODAY()), 2, 2)) - 1, """")"),"")</f>
        <v/>
      </c>
      <c r="N99" s="21" t="str">
        <f>IFERROR(__xludf.DUMMYFUNCTION("IFERROR((GOOGLEFINANCE(C99, ""price"") / INDEX(GOOGLEFINANCE(C99, ""price"", EDATE(TODAY(), -3), TODAY()), 2, 2)) - 1, """")"),"")</f>
        <v/>
      </c>
      <c r="O99" s="21" t="str">
        <f>IFERROR(__xludf.DUMMYFUNCTION("IFERROR((GOOGLEFINANCE(C99, ""price"") / INDEX(GOOGLEFINANCE(C99, ""price"", EDATE(TODAY(), -6), TODAY()), 2, 2)) - 1, """")"),"")</f>
        <v/>
      </c>
      <c r="P99" s="21" t="str">
        <f>IFERROR(__xludf.DUMMYFUNCTION("IFERROR((GOOGLEFINANCE(C99, ""price"") / INDEX(GOOGLEFINANCE(C99, ""price"", EDATE(TODAY(), -12), TODAY()), 2, 2)) - 1, """")"),"")</f>
        <v/>
      </c>
      <c r="Q99" s="6" t="str">
        <f>IFERROR(__xludf.DUMMYFUNCTION("AVERAGE(QUERY(GOOGLEFINANCE(C99, ""price"", TODAY()-80, TODAY()), ""SELECT Col2 WHERE Col2 IS NOT NULL ORDER BY Col1 DESC LIMIT 50"", 0))"),"#N/A")</f>
        <v>#N/A</v>
      </c>
      <c r="R99" s="24" t="str">
        <f>IFERROR(__xludf.DUMMYFUNCTION("IFERROR(
  LET(
    data, QUERY(GOOGLEFINANCE(C99,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GOOGLEFINANCE(C99, ""price"")) * 100,
    IF(calc=0, G99, calc)
  ), 
G99)"),"#N/A")</f>
        <v>#N/A</v>
      </c>
      <c r="S99" s="8" t="s">
        <v>15</v>
      </c>
      <c r="T99" s="26" t="str">
        <f>IFERROR(__xludf.DUMMYFUNCTION("IFERROR(TRANSPOSE(QUERY(IFERROR(SORT(GOOGLEFINANCE(C99, ""price"", WORKDAY(TODAY(), -40), TODAY()), 1, FALSE)), ""select Col2 where Col2 is not null limit 22 label Col2 ''"", 0)), """")"),"")</f>
        <v/>
      </c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8"/>
      <c r="AO99" s="28"/>
      <c r="AP99" s="29"/>
      <c r="AQ99" s="29" t="str">
        <f t="shared" ref="AQ99:BL99" si="102">T99/T$2</f>
        <v>#N/A</v>
      </c>
      <c r="AR99" s="29" t="str">
        <f t="shared" si="102"/>
        <v>#DIV/0!</v>
      </c>
      <c r="AS99" s="29" t="str">
        <f t="shared" si="102"/>
        <v>#DIV/0!</v>
      </c>
      <c r="AT99" s="29" t="str">
        <f t="shared" si="102"/>
        <v>#DIV/0!</v>
      </c>
      <c r="AU99" s="29" t="str">
        <f t="shared" si="102"/>
        <v>#DIV/0!</v>
      </c>
      <c r="AV99" s="29" t="str">
        <f t="shared" si="102"/>
        <v>#DIV/0!</v>
      </c>
      <c r="AW99" s="29" t="str">
        <f t="shared" si="102"/>
        <v>#DIV/0!</v>
      </c>
      <c r="AX99" s="29" t="str">
        <f t="shared" si="102"/>
        <v>#DIV/0!</v>
      </c>
      <c r="AY99" s="29" t="str">
        <f t="shared" si="102"/>
        <v>#DIV/0!</v>
      </c>
      <c r="AZ99" s="29" t="str">
        <f t="shared" si="102"/>
        <v>#DIV/0!</v>
      </c>
      <c r="BA99" s="29" t="str">
        <f t="shared" si="102"/>
        <v>#DIV/0!</v>
      </c>
      <c r="BB99" s="29" t="str">
        <f t="shared" si="102"/>
        <v>#DIV/0!</v>
      </c>
      <c r="BC99" s="29" t="str">
        <f t="shared" si="102"/>
        <v>#DIV/0!</v>
      </c>
      <c r="BD99" s="29" t="str">
        <f t="shared" si="102"/>
        <v>#DIV/0!</v>
      </c>
      <c r="BE99" s="29" t="str">
        <f t="shared" si="102"/>
        <v>#DIV/0!</v>
      </c>
      <c r="BF99" s="29" t="str">
        <f t="shared" si="102"/>
        <v>#DIV/0!</v>
      </c>
      <c r="BG99" s="29" t="str">
        <f t="shared" si="102"/>
        <v>#DIV/0!</v>
      </c>
      <c r="BH99" s="29" t="str">
        <f t="shared" si="102"/>
        <v>#DIV/0!</v>
      </c>
      <c r="BI99" s="29" t="str">
        <f t="shared" si="102"/>
        <v>#DIV/0!</v>
      </c>
      <c r="BJ99" s="29" t="str">
        <f t="shared" si="102"/>
        <v>#DIV/0!</v>
      </c>
      <c r="BK99" s="29" t="str">
        <f t="shared" si="102"/>
        <v>#DIV/0!</v>
      </c>
      <c r="BL99" s="29" t="str">
        <f t="shared" si="102"/>
        <v>#DIV/0!</v>
      </c>
      <c r="BM99" s="29" t="str">
        <f t="shared" si="3"/>
        <v>#DIV/0!</v>
      </c>
    </row>
    <row r="100">
      <c r="A100" s="16" t="str">
        <f>IFERROR(__xludf.DUMMYFUNCTION("IFERROR(SPARKLINE(SORT(MAP(TRANSPOSE(AQ100:BL100), LAMBDA(val, IF(ISNUMBER(val), PERCENTRANK(AQ100:BL100, val)+0.01, 0))), SEQUENCE(COLUMNS(AQ100:BL100)), FALSE), {""charttype"",""column""; ""color"",""chartreuse""; ""ymin"", 0; ""ymax"", 1.01; ""highcolo"&amp;"r"", ""darkgreen""; ""lowcolor"", ""red""}), """")"),"")</f>
        <v/>
      </c>
      <c r="B100" s="17" t="str">
        <f t="shared" si="4"/>
        <v/>
      </c>
      <c r="C100" s="1" t="s">
        <v>3041</v>
      </c>
      <c r="D100" s="30" t="str">
        <f>IFERROR(__xludf.DUMMYFUNCTION("IFERROR(GOOGLEFINANCE(C100, ""NAME""))"),"Costar Group Inc")</f>
        <v>Costar Group Inc</v>
      </c>
      <c r="E100" s="30" t="s">
        <v>2692</v>
      </c>
      <c r="F100" s="38" t="str">
        <f>IFERROR(__xludf.DUMMYFUNCTION("( (GOOGLEFINANCE(C100, ""price"") - Q100) / Q100 ) / (R100 / 100)"),"Loading...")</f>
        <v>Loading...</v>
      </c>
      <c r="G100" s="20" t="str">
        <f>IFERROR(__xludf.DUMMYFUNCTION("AVERAGE(ARRAYFORMULA(100 * (QUERY(GOOGLEFINANCE(C100, ""high"", TODAY()-40, TODAY()), ""SELECT Col2 WHERE Col2 IS NOT NULL ORDER BY Col1 DESC LIMIT 20"", 0) / QUERY(GOOGLEFINANCE(C100, ""low"", TODAY()-40, TODAY()), ""SELECT Col2 WHERE Col2 IS NOT NULL OR"&amp;"DER BY Col1 DESC LIMIT 20"", 0) - 1)))"),"#N/A")</f>
        <v>#N/A</v>
      </c>
      <c r="H100" s="35" t="str">
        <f t="shared" si="6"/>
        <v>Liquid</v>
      </c>
      <c r="I100" s="35" t="str">
        <f t="shared" si="7"/>
        <v>RVol Required</v>
      </c>
      <c r="J100" s="37">
        <f>IFERROR(__xludf.DUMMYFUNCTION("IFERROR(
  IF(C100="""",, 
    IFERROR(
      GOOGLEFINANCE(C100, ""price"") * GOOGLEFINANCE(C100, ""volumeavg""), 
      GOOGLEFINANCE(C100, ""price"") * AVERAGE(QUERY(GOOGLEFINANCE(C100, ""volume"", TODAY()-40, TODAY()), ""SELECT Col2 WHERE Col2 IS NOT "&amp;"NULL ORDER BY Col1 DESC LIMIT 20"", 0))
    )
  ), 
"""")"),1.9141668549E8)</f>
        <v>191416685.5</v>
      </c>
      <c r="K100" s="21">
        <f>IFERROR(__xludf.DUMMYFUNCTION("IFERROR(GOOGLEFINANCE(C100, ""changepct"") / 100, """")"),0.0097)</f>
        <v>0.0097</v>
      </c>
      <c r="L100" s="21" t="str">
        <f>IFERROR(__xludf.DUMMYFUNCTION("IFERROR((GOOGLEFINANCE(C100, ""price"") / INDEX(GOOGLEFINANCE(C100, ""price"", TODAY()-7, TODAY()), 2, 2)) - 1, """")"),"")</f>
        <v/>
      </c>
      <c r="M100" s="21" t="str">
        <f>IFERROR(__xludf.DUMMYFUNCTION("IFERROR((GOOGLEFINANCE(C100, ""price"") / INDEX(GOOGLEFINANCE(C100, ""price"", EDATE(TODAY(), -1), TODAY()), 2, 2)) - 1, """")"),"")</f>
        <v/>
      </c>
      <c r="N100" s="21" t="str">
        <f>IFERROR(__xludf.DUMMYFUNCTION("IFERROR((GOOGLEFINANCE(C100, ""price"") / INDEX(GOOGLEFINANCE(C100, ""price"", EDATE(TODAY(), -3), TODAY()), 2, 2)) - 1, """")"),"")</f>
        <v/>
      </c>
      <c r="O100" s="21" t="str">
        <f>IFERROR(__xludf.DUMMYFUNCTION("IFERROR((GOOGLEFINANCE(C100, ""price"") / INDEX(GOOGLEFINANCE(C100, ""price"", EDATE(TODAY(), -6), TODAY()), 2, 2)) - 1, """")"),"")</f>
        <v/>
      </c>
      <c r="P100" s="21" t="str">
        <f>IFERROR(__xludf.DUMMYFUNCTION("IFERROR((GOOGLEFINANCE(C100, ""price"") / INDEX(GOOGLEFINANCE(C100, ""price"", EDATE(TODAY(), -12), TODAY()), 2, 2)) - 1, """")"),"")</f>
        <v/>
      </c>
      <c r="Q100" s="6" t="str">
        <f>IFERROR(__xludf.DUMMYFUNCTION("AVERAGE(QUERY(GOOGLEFINANCE(C100, ""price"", TODAY()-80, TODAY()), ""SELECT Col2 WHERE Col2 IS NOT NULL ORDER BY Col1 DESC LIMIT 50"", 0))"),"#N/A")</f>
        <v>#N/A</v>
      </c>
      <c r="R100" s="24" t="str">
        <f>IFERROR(__xludf.DUMMYFUNCTION("IFERROR(
  LET(
    data, QUERY(GOOGLEFINANCE(C100,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GOOGLEFINANCE(C100, ""price"")) * 100,
    IF(calc=0, G100, calc)
  ), 
G100)"),"#N/A")</f>
        <v>#N/A</v>
      </c>
      <c r="S100" s="8" t="s">
        <v>15</v>
      </c>
      <c r="T100" s="26" t="str">
        <f>IFERROR(__xludf.DUMMYFUNCTION("IFERROR(TRANSPOSE(QUERY(IFERROR(SORT(GOOGLEFINANCE(C100, ""price"", WORKDAY(TODAY(), -40), TODAY()), 1, FALSE)), ""select Col2 where Col2 is not null limit 22 label Col2 ''"", 0)), """")"),"")</f>
        <v/>
      </c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8"/>
      <c r="AO100" s="28"/>
      <c r="AP100" s="29"/>
      <c r="AQ100" s="29" t="str">
        <f t="shared" ref="AQ100:BL100" si="103">T100/T$2</f>
        <v>#N/A</v>
      </c>
      <c r="AR100" s="29" t="str">
        <f t="shared" si="103"/>
        <v>#DIV/0!</v>
      </c>
      <c r="AS100" s="29" t="str">
        <f t="shared" si="103"/>
        <v>#DIV/0!</v>
      </c>
      <c r="AT100" s="29" t="str">
        <f t="shared" si="103"/>
        <v>#DIV/0!</v>
      </c>
      <c r="AU100" s="29" t="str">
        <f t="shared" si="103"/>
        <v>#DIV/0!</v>
      </c>
      <c r="AV100" s="29" t="str">
        <f t="shared" si="103"/>
        <v>#DIV/0!</v>
      </c>
      <c r="AW100" s="29" t="str">
        <f t="shared" si="103"/>
        <v>#DIV/0!</v>
      </c>
      <c r="AX100" s="29" t="str">
        <f t="shared" si="103"/>
        <v>#DIV/0!</v>
      </c>
      <c r="AY100" s="29" t="str">
        <f t="shared" si="103"/>
        <v>#DIV/0!</v>
      </c>
      <c r="AZ100" s="29" t="str">
        <f t="shared" si="103"/>
        <v>#DIV/0!</v>
      </c>
      <c r="BA100" s="29" t="str">
        <f t="shared" si="103"/>
        <v>#DIV/0!</v>
      </c>
      <c r="BB100" s="29" t="str">
        <f t="shared" si="103"/>
        <v>#DIV/0!</v>
      </c>
      <c r="BC100" s="29" t="str">
        <f t="shared" si="103"/>
        <v>#DIV/0!</v>
      </c>
      <c r="BD100" s="29" t="str">
        <f t="shared" si="103"/>
        <v>#DIV/0!</v>
      </c>
      <c r="BE100" s="29" t="str">
        <f t="shared" si="103"/>
        <v>#DIV/0!</v>
      </c>
      <c r="BF100" s="29" t="str">
        <f t="shared" si="103"/>
        <v>#DIV/0!</v>
      </c>
      <c r="BG100" s="29" t="str">
        <f t="shared" si="103"/>
        <v>#DIV/0!</v>
      </c>
      <c r="BH100" s="29" t="str">
        <f t="shared" si="103"/>
        <v>#DIV/0!</v>
      </c>
      <c r="BI100" s="29" t="str">
        <f t="shared" si="103"/>
        <v>#DIV/0!</v>
      </c>
      <c r="BJ100" s="29" t="str">
        <f t="shared" si="103"/>
        <v>#DIV/0!</v>
      </c>
      <c r="BK100" s="29" t="str">
        <f t="shared" si="103"/>
        <v>#DIV/0!</v>
      </c>
      <c r="BL100" s="29" t="str">
        <f t="shared" si="103"/>
        <v>#DIV/0!</v>
      </c>
      <c r="BM100" s="29" t="str">
        <f t="shared" si="3"/>
        <v>#DIV/0!</v>
      </c>
    </row>
    <row r="101">
      <c r="A101" s="16" t="str">
        <f>IFERROR(__xludf.DUMMYFUNCTION("IFERROR(SPARKLINE(SORT(MAP(TRANSPOSE(AQ101:BL101), LAMBDA(val, IF(ISNUMBER(val), PERCENTRANK(AQ101:BL101, val)+0.01, 0))), SEQUENCE(COLUMNS(AQ101:BL101)), FALSE), {""charttype"",""column""; ""color"",""chartreuse""; ""ymin"", 0; ""ymax"", 1.01; ""highcolo"&amp;"r"", ""darkgreen""; ""lowcolor"", ""red""}), """")"),"")</f>
        <v/>
      </c>
      <c r="B101" s="17" t="str">
        <f t="shared" si="4"/>
        <v/>
      </c>
      <c r="C101" s="1" t="s">
        <v>3044</v>
      </c>
      <c r="D101" s="30" t="str">
        <f>IFERROR(__xludf.DUMMYFUNCTION("IFERROR(GOOGLEFINANCE(C101, ""NAME""))"),"Equity LifeStyle Properties Inc")</f>
        <v>Equity LifeStyle Properties Inc</v>
      </c>
      <c r="E101" s="30" t="s">
        <v>2760</v>
      </c>
      <c r="F101" s="33" t="str">
        <f>IFERROR(__xludf.DUMMYFUNCTION("( (GOOGLEFINANCE(C101, ""price"") - Q101) / Q101 ) / (R101 / 100)"),"Loading...")</f>
        <v>Loading...</v>
      </c>
      <c r="G101" s="20" t="str">
        <f>IFERROR(__xludf.DUMMYFUNCTION("AVERAGE(ARRAYFORMULA(100 * (QUERY(GOOGLEFINANCE(C101, ""high"", TODAY()-40, TODAY()), ""SELECT Col2 WHERE Col2 IS NOT NULL ORDER BY Col1 DESC LIMIT 20"", 0) / QUERY(GOOGLEFINANCE(C101, ""low"", TODAY()-40, TODAY()), ""SELECT Col2 WHERE Col2 IS NOT NULL OR"&amp;"DER BY Col1 DESC LIMIT 20"", 0) - 1)))"),"#N/A")</f>
        <v>#N/A</v>
      </c>
      <c r="H101" s="35" t="str">
        <f t="shared" si="6"/>
        <v>Liquid</v>
      </c>
      <c r="I101" s="35" t="str">
        <f t="shared" si="7"/>
        <v>RVol Required</v>
      </c>
      <c r="J101" s="37">
        <f>IFERROR(__xludf.DUMMYFUNCTION("IFERROR(
  IF(C101="""",, 
    IFERROR(
      GOOGLEFINANCE(C101, ""price"") * GOOGLEFINANCE(C101, ""volumeavg""), 
      GOOGLEFINANCE(C101, ""price"") * AVERAGE(QUERY(GOOGLEFINANCE(C101, ""volume"", TODAY()-40, TODAY()), ""SELECT Col2 WHERE Col2 IS NOT "&amp;"NULL ORDER BY Col1 DESC LIMIT 20"", 0))
    )
  ), 
"""")"),1.0661245629E8)</f>
        <v>106612456.3</v>
      </c>
      <c r="K101" s="21">
        <f>IFERROR(__xludf.DUMMYFUNCTION("IFERROR(GOOGLEFINANCE(C101, ""changepct"") / 100, """")"),0.0159)</f>
        <v>0.0159</v>
      </c>
      <c r="L101" s="21" t="str">
        <f>IFERROR(__xludf.DUMMYFUNCTION("IFERROR((GOOGLEFINANCE(C101, ""price"") / INDEX(GOOGLEFINANCE(C101, ""price"", TODAY()-7, TODAY()), 2, 2)) - 1, """")"),"")</f>
        <v/>
      </c>
      <c r="M101" s="21" t="str">
        <f>IFERROR(__xludf.DUMMYFUNCTION("IFERROR((GOOGLEFINANCE(C101, ""price"") / INDEX(GOOGLEFINANCE(C101, ""price"", EDATE(TODAY(), -1), TODAY()), 2, 2)) - 1, """")"),"")</f>
        <v/>
      </c>
      <c r="N101" s="21" t="str">
        <f>IFERROR(__xludf.DUMMYFUNCTION("IFERROR((GOOGLEFINANCE(C101, ""price"") / INDEX(GOOGLEFINANCE(C101, ""price"", EDATE(TODAY(), -3), TODAY()), 2, 2)) - 1, """")"),"")</f>
        <v/>
      </c>
      <c r="O101" s="21" t="str">
        <f>IFERROR(__xludf.DUMMYFUNCTION("IFERROR((GOOGLEFINANCE(C101, ""price"") / INDEX(GOOGLEFINANCE(C101, ""price"", EDATE(TODAY(), -6), TODAY()), 2, 2)) - 1, """")"),"")</f>
        <v/>
      </c>
      <c r="P101" s="21" t="str">
        <f>IFERROR(__xludf.DUMMYFUNCTION("IFERROR((GOOGLEFINANCE(C101, ""price"") / INDEX(GOOGLEFINANCE(C101, ""price"", EDATE(TODAY(), -12), TODAY()), 2, 2)) - 1, """")"),"")</f>
        <v/>
      </c>
      <c r="Q101" s="6" t="str">
        <f>IFERROR(__xludf.DUMMYFUNCTION("AVERAGE(QUERY(GOOGLEFINANCE(C101, ""price"", TODAY()-80, TODAY()), ""SELECT Col2 WHERE Col2 IS NOT NULL ORDER BY Col1 DESC LIMIT 50"", 0))"),"#N/A")</f>
        <v>#N/A</v>
      </c>
      <c r="R101" s="24" t="str">
        <f>IFERROR(__xludf.DUMMYFUNCTION("IFERROR(
  LET(
    data, QUERY(GOOGLEFINANCE(C101,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GOOGLEFINANCE(C101, ""price"")) * 100,
    IF(calc=0, G101, calc)
  ), 
G101)"),"#N/A")</f>
        <v>#N/A</v>
      </c>
      <c r="S101" s="8" t="s">
        <v>15</v>
      </c>
      <c r="T101" s="26" t="str">
        <f>IFERROR(__xludf.DUMMYFUNCTION("IFERROR(TRANSPOSE(QUERY(IFERROR(SORT(GOOGLEFINANCE(C101, ""price"", WORKDAY(TODAY(), -40), TODAY()), 1, FALSE)), ""select Col2 where Col2 is not null limit 22 label Col2 ''"", 0)), """")"),"")</f>
        <v/>
      </c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8"/>
      <c r="AO101" s="28"/>
      <c r="AP101" s="29"/>
      <c r="AQ101" s="29" t="str">
        <f t="shared" ref="AQ101:BL101" si="104">T101/T$2</f>
        <v>#N/A</v>
      </c>
      <c r="AR101" s="29" t="str">
        <f t="shared" si="104"/>
        <v>#DIV/0!</v>
      </c>
      <c r="AS101" s="29" t="str">
        <f t="shared" si="104"/>
        <v>#DIV/0!</v>
      </c>
      <c r="AT101" s="29" t="str">
        <f t="shared" si="104"/>
        <v>#DIV/0!</v>
      </c>
      <c r="AU101" s="29" t="str">
        <f t="shared" si="104"/>
        <v>#DIV/0!</v>
      </c>
      <c r="AV101" s="29" t="str">
        <f t="shared" si="104"/>
        <v>#DIV/0!</v>
      </c>
      <c r="AW101" s="29" t="str">
        <f t="shared" si="104"/>
        <v>#DIV/0!</v>
      </c>
      <c r="AX101" s="29" t="str">
        <f t="shared" si="104"/>
        <v>#DIV/0!</v>
      </c>
      <c r="AY101" s="29" t="str">
        <f t="shared" si="104"/>
        <v>#DIV/0!</v>
      </c>
      <c r="AZ101" s="29" t="str">
        <f t="shared" si="104"/>
        <v>#DIV/0!</v>
      </c>
      <c r="BA101" s="29" t="str">
        <f t="shared" si="104"/>
        <v>#DIV/0!</v>
      </c>
      <c r="BB101" s="29" t="str">
        <f t="shared" si="104"/>
        <v>#DIV/0!</v>
      </c>
      <c r="BC101" s="29" t="str">
        <f t="shared" si="104"/>
        <v>#DIV/0!</v>
      </c>
      <c r="BD101" s="29" t="str">
        <f t="shared" si="104"/>
        <v>#DIV/0!</v>
      </c>
      <c r="BE101" s="29" t="str">
        <f t="shared" si="104"/>
        <v>#DIV/0!</v>
      </c>
      <c r="BF101" s="29" t="str">
        <f t="shared" si="104"/>
        <v>#DIV/0!</v>
      </c>
      <c r="BG101" s="29" t="str">
        <f t="shared" si="104"/>
        <v>#DIV/0!</v>
      </c>
      <c r="BH101" s="29" t="str">
        <f t="shared" si="104"/>
        <v>#DIV/0!</v>
      </c>
      <c r="BI101" s="29" t="str">
        <f t="shared" si="104"/>
        <v>#DIV/0!</v>
      </c>
      <c r="BJ101" s="29" t="str">
        <f t="shared" si="104"/>
        <v>#DIV/0!</v>
      </c>
      <c r="BK101" s="29" t="str">
        <f t="shared" si="104"/>
        <v>#DIV/0!</v>
      </c>
      <c r="BL101" s="29" t="str">
        <f t="shared" si="104"/>
        <v>#DIV/0!</v>
      </c>
      <c r="BM101" s="29" t="str">
        <f t="shared" si="3"/>
        <v>#DIV/0!</v>
      </c>
    </row>
    <row r="102">
      <c r="A102" s="16" t="str">
        <f>IFERROR(__xludf.DUMMYFUNCTION("IFERROR(SPARKLINE(SORT(MAP(TRANSPOSE(AQ102:BL102), LAMBDA(val, IF(ISNUMBER(val), PERCENTRANK(AQ102:BL102, val)+0.01, 0))), SEQUENCE(COLUMNS(AQ102:BL102)), FALSE), {""charttype"",""column""; ""color"",""chartreuse""; ""ymin"", 0; ""ymax"", 1.01; ""highcolo"&amp;"r"", ""darkgreen""; ""lowcolor"", ""red""}), """")"),"")</f>
        <v/>
      </c>
      <c r="B102" s="17" t="str">
        <f t="shared" si="4"/>
        <v/>
      </c>
      <c r="C102" s="1" t="s">
        <v>3047</v>
      </c>
      <c r="D102" s="30" t="str">
        <f>IFERROR(__xludf.DUMMYFUNCTION("IFERROR(GOOGLEFINANCE(C102, ""NAME""))"),"NNN REIT Inc")</f>
        <v>NNN REIT Inc</v>
      </c>
      <c r="E102" s="30" t="s">
        <v>2751</v>
      </c>
      <c r="F102" s="33" t="str">
        <f>IFERROR(__xludf.DUMMYFUNCTION("( (GOOGLEFINANCE(C102, ""price"") - Q102) / Q102 ) / (R102 / 100)"),"Loading...")</f>
        <v>Loading...</v>
      </c>
      <c r="G102" s="20" t="str">
        <f>IFERROR(__xludf.DUMMYFUNCTION("AVERAGE(ARRAYFORMULA(100 * (QUERY(GOOGLEFINANCE(C102, ""high"", TODAY()-40, TODAY()), ""SELECT Col2 WHERE Col2 IS NOT NULL ORDER BY Col1 DESC LIMIT 20"", 0) / QUERY(GOOGLEFINANCE(C102, ""low"", TODAY()-40, TODAY()), ""SELECT Col2 WHERE Col2 IS NOT NULL OR"&amp;"DER BY Col1 DESC LIMIT 20"", 0) - 1)))"),"#N/A")</f>
        <v>#N/A</v>
      </c>
      <c r="H102" s="35" t="str">
        <f t="shared" si="6"/>
        <v>Liquid</v>
      </c>
      <c r="I102" s="35" t="str">
        <f t="shared" si="7"/>
        <v>RVol Required</v>
      </c>
      <c r="J102" s="37">
        <f>IFERROR(__xludf.DUMMYFUNCTION("IFERROR(
  IF(C102="""",, 
    IFERROR(
      GOOGLEFINANCE(C102, ""price"") * GOOGLEFINANCE(C102, ""volumeavg""), 
      GOOGLEFINANCE(C102, ""price"") * AVERAGE(QUERY(GOOGLEFINANCE(C102, ""volume"", TODAY()-40, TODAY()), ""SELECT Col2 WHERE Col2 IS NOT "&amp;"NULL ORDER BY Col1 DESC LIMIT 20"", 0))
    )
  ), 
"""")"),9.681358094E7)</f>
        <v>96813580.94</v>
      </c>
      <c r="K102" s="21">
        <f>IFERROR(__xludf.DUMMYFUNCTION("IFERROR(GOOGLEFINANCE(C102, ""changepct"") / 100, """")"),0.0095)</f>
        <v>0.0095</v>
      </c>
      <c r="L102" s="21" t="str">
        <f>IFERROR(__xludf.DUMMYFUNCTION("IFERROR((GOOGLEFINANCE(C102, ""price"") / INDEX(GOOGLEFINANCE(C102, ""price"", TODAY()-7, TODAY()), 2, 2)) - 1, """")"),"")</f>
        <v/>
      </c>
      <c r="M102" s="21" t="str">
        <f>IFERROR(__xludf.DUMMYFUNCTION("IFERROR((GOOGLEFINANCE(C102, ""price"") / INDEX(GOOGLEFINANCE(C102, ""price"", EDATE(TODAY(), -1), TODAY()), 2, 2)) - 1, """")"),"")</f>
        <v/>
      </c>
      <c r="N102" s="21" t="str">
        <f>IFERROR(__xludf.DUMMYFUNCTION("IFERROR((GOOGLEFINANCE(C102, ""price"") / INDEX(GOOGLEFINANCE(C102, ""price"", EDATE(TODAY(), -3), TODAY()), 2, 2)) - 1, """")"),"")</f>
        <v/>
      </c>
      <c r="O102" s="21" t="str">
        <f>IFERROR(__xludf.DUMMYFUNCTION("IFERROR((GOOGLEFINANCE(C102, ""price"") / INDEX(GOOGLEFINANCE(C102, ""price"", EDATE(TODAY(), -6), TODAY()), 2, 2)) - 1, """")"),"")</f>
        <v/>
      </c>
      <c r="P102" s="21" t="str">
        <f>IFERROR(__xludf.DUMMYFUNCTION("IFERROR((GOOGLEFINANCE(C102, ""price"") / INDEX(GOOGLEFINANCE(C102, ""price"", EDATE(TODAY(), -12), TODAY()), 2, 2)) - 1, """")"),"")</f>
        <v/>
      </c>
      <c r="Q102" s="6" t="str">
        <f>IFERROR(__xludf.DUMMYFUNCTION("AVERAGE(QUERY(GOOGLEFINANCE(C102, ""price"", TODAY()-80, TODAY()), ""SELECT Col2 WHERE Col2 IS NOT NULL ORDER BY Col1 DESC LIMIT 50"", 0))"),"#N/A")</f>
        <v>#N/A</v>
      </c>
      <c r="R102" s="24" t="str">
        <f>IFERROR(__xludf.DUMMYFUNCTION("IFERROR(
  LET(
    data, QUERY(GOOGLEFINANCE(C102,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GOOGLEFINANCE(C102, ""price"")) * 100,
    IF(calc=0, G102, calc)
  ), 
G102)"),"#N/A")</f>
        <v>#N/A</v>
      </c>
      <c r="S102" s="8" t="s">
        <v>15</v>
      </c>
      <c r="T102" s="26" t="str">
        <f>IFERROR(__xludf.DUMMYFUNCTION("IFERROR(TRANSPOSE(QUERY(IFERROR(SORT(GOOGLEFINANCE(C102, ""price"", WORKDAY(TODAY(), -40), TODAY()), 1, FALSE)), ""select Col2 where Col2 is not null limit 22 label Col2 ''"", 0)), """")"),"")</f>
        <v/>
      </c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8"/>
      <c r="AO102" s="28"/>
      <c r="AP102" s="29"/>
      <c r="AQ102" s="29" t="str">
        <f t="shared" ref="AQ102:BL102" si="105">T102/T$2</f>
        <v>#N/A</v>
      </c>
      <c r="AR102" s="29" t="str">
        <f t="shared" si="105"/>
        <v>#DIV/0!</v>
      </c>
      <c r="AS102" s="29" t="str">
        <f t="shared" si="105"/>
        <v>#DIV/0!</v>
      </c>
      <c r="AT102" s="29" t="str">
        <f t="shared" si="105"/>
        <v>#DIV/0!</v>
      </c>
      <c r="AU102" s="29" t="str">
        <f t="shared" si="105"/>
        <v>#DIV/0!</v>
      </c>
      <c r="AV102" s="29" t="str">
        <f t="shared" si="105"/>
        <v>#DIV/0!</v>
      </c>
      <c r="AW102" s="29" t="str">
        <f t="shared" si="105"/>
        <v>#DIV/0!</v>
      </c>
      <c r="AX102" s="29" t="str">
        <f t="shared" si="105"/>
        <v>#DIV/0!</v>
      </c>
      <c r="AY102" s="29" t="str">
        <f t="shared" si="105"/>
        <v>#DIV/0!</v>
      </c>
      <c r="AZ102" s="29" t="str">
        <f t="shared" si="105"/>
        <v>#DIV/0!</v>
      </c>
      <c r="BA102" s="29" t="str">
        <f t="shared" si="105"/>
        <v>#DIV/0!</v>
      </c>
      <c r="BB102" s="29" t="str">
        <f t="shared" si="105"/>
        <v>#DIV/0!</v>
      </c>
      <c r="BC102" s="29" t="str">
        <f t="shared" si="105"/>
        <v>#DIV/0!</v>
      </c>
      <c r="BD102" s="29" t="str">
        <f t="shared" si="105"/>
        <v>#DIV/0!</v>
      </c>
      <c r="BE102" s="29" t="str">
        <f t="shared" si="105"/>
        <v>#DIV/0!</v>
      </c>
      <c r="BF102" s="29" t="str">
        <f t="shared" si="105"/>
        <v>#DIV/0!</v>
      </c>
      <c r="BG102" s="29" t="str">
        <f t="shared" si="105"/>
        <v>#DIV/0!</v>
      </c>
      <c r="BH102" s="29" t="str">
        <f t="shared" si="105"/>
        <v>#DIV/0!</v>
      </c>
      <c r="BI102" s="29" t="str">
        <f t="shared" si="105"/>
        <v>#DIV/0!</v>
      </c>
      <c r="BJ102" s="29" t="str">
        <f t="shared" si="105"/>
        <v>#DIV/0!</v>
      </c>
      <c r="BK102" s="29" t="str">
        <f t="shared" si="105"/>
        <v>#DIV/0!</v>
      </c>
      <c r="BL102" s="29" t="str">
        <f t="shared" si="105"/>
        <v>#DIV/0!</v>
      </c>
      <c r="BM102" s="29" t="str">
        <f t="shared" si="3"/>
        <v>#DIV/0!</v>
      </c>
    </row>
    <row r="103">
      <c r="A103" s="16" t="str">
        <f>IFERROR(__xludf.DUMMYFUNCTION("IFERROR(SPARKLINE(SORT(MAP(TRANSPOSE(AQ103:BL103), LAMBDA(val, IF(ISNUMBER(val), PERCENTRANK(AQ103:BL103, val)+0.01, 0))), SEQUENCE(COLUMNS(AQ103:BL103)), FALSE), {""charttype"",""column""; ""color"",""chartreuse""; ""ymin"", 0; ""ymax"", 1.01; ""highcolo"&amp;"r"", ""darkgreen""; ""lowcolor"", ""red""}), """")"),"")</f>
        <v/>
      </c>
      <c r="B103" s="17" t="str">
        <f t="shared" si="4"/>
        <v/>
      </c>
      <c r="C103" s="1" t="s">
        <v>3050</v>
      </c>
      <c r="D103" s="30" t="str">
        <f>IFERROR(__xludf.DUMMYFUNCTION("IFERROR(GOOGLEFINANCE(C103, ""NAME""))"),"Agree Realty Corp")</f>
        <v>Agree Realty Corp</v>
      </c>
      <c r="E103" s="30" t="s">
        <v>2751</v>
      </c>
      <c r="F103" s="33" t="str">
        <f>IFERROR(__xludf.DUMMYFUNCTION("( (GOOGLEFINANCE(C103, ""price"") - Q103) / Q103 ) / (R103 / 100)"),"Loading...")</f>
        <v>Loading...</v>
      </c>
      <c r="G103" s="20" t="str">
        <f>IFERROR(__xludf.DUMMYFUNCTION("AVERAGE(ARRAYFORMULA(100 * (QUERY(GOOGLEFINANCE(C103, ""high"", TODAY()-40, TODAY()), ""SELECT Col2 WHERE Col2 IS NOT NULL ORDER BY Col1 DESC LIMIT 20"", 0) / QUERY(GOOGLEFINANCE(C103, ""low"", TODAY()-40, TODAY()), ""SELECT Col2 WHERE Col2 IS NOT NULL OR"&amp;"DER BY Col1 DESC LIMIT 20"", 0) - 1)))"),"#N/A")</f>
        <v>#N/A</v>
      </c>
      <c r="H103" s="35" t="str">
        <f t="shared" si="6"/>
        <v>Liquid</v>
      </c>
      <c r="I103" s="35" t="str">
        <f t="shared" si="7"/>
        <v>RVol Required</v>
      </c>
      <c r="J103" s="37">
        <f>IFERROR(__xludf.DUMMYFUNCTION("IFERROR(
  IF(C103="""",, 
    IFERROR(
      GOOGLEFINANCE(C103, ""price"") * GOOGLEFINANCE(C103, ""volumeavg""), 
      GOOGLEFINANCE(C103, ""price"") * AVERAGE(QUERY(GOOGLEFINANCE(C103, ""volume"", TODAY()-40, TODAY()), ""SELECT Col2 WHERE Col2 IS NOT "&amp;"NULL ORDER BY Col1 DESC LIMIT 20"", 0))
    )
  ), 
"""")"),1.1420679648E8)</f>
        <v>114206796.5</v>
      </c>
      <c r="K103" s="21">
        <f>IFERROR(__xludf.DUMMYFUNCTION("IFERROR(GOOGLEFINANCE(C103, ""changepct"") / 100, """")"),0.0072)</f>
        <v>0.0072</v>
      </c>
      <c r="L103" s="21" t="str">
        <f>IFERROR(__xludf.DUMMYFUNCTION("IFERROR((GOOGLEFINANCE(C103, ""price"") / INDEX(GOOGLEFINANCE(C103, ""price"", TODAY()-7, TODAY()), 2, 2)) - 1, """")"),"")</f>
        <v/>
      </c>
      <c r="M103" s="21" t="str">
        <f>IFERROR(__xludf.DUMMYFUNCTION("IFERROR((GOOGLEFINANCE(C103, ""price"") / INDEX(GOOGLEFINANCE(C103, ""price"", EDATE(TODAY(), -1), TODAY()), 2, 2)) - 1, """")"),"")</f>
        <v/>
      </c>
      <c r="N103" s="21" t="str">
        <f>IFERROR(__xludf.DUMMYFUNCTION("IFERROR((GOOGLEFINANCE(C103, ""price"") / INDEX(GOOGLEFINANCE(C103, ""price"", EDATE(TODAY(), -3), TODAY()), 2, 2)) - 1, """")"),"")</f>
        <v/>
      </c>
      <c r="O103" s="21" t="str">
        <f>IFERROR(__xludf.DUMMYFUNCTION("IFERROR((GOOGLEFINANCE(C103, ""price"") / INDEX(GOOGLEFINANCE(C103, ""price"", EDATE(TODAY(), -6), TODAY()), 2, 2)) - 1, """")"),"")</f>
        <v/>
      </c>
      <c r="P103" s="21" t="str">
        <f>IFERROR(__xludf.DUMMYFUNCTION("IFERROR((GOOGLEFINANCE(C103, ""price"") / INDEX(GOOGLEFINANCE(C103, ""price"", EDATE(TODAY(), -12), TODAY()), 2, 2)) - 1, """")"),"")</f>
        <v/>
      </c>
      <c r="Q103" s="6" t="str">
        <f>IFERROR(__xludf.DUMMYFUNCTION("AVERAGE(QUERY(GOOGLEFINANCE(C103, ""price"", TODAY()-80, TODAY()), ""SELECT Col2 WHERE Col2 IS NOT NULL ORDER BY Col1 DESC LIMIT 50"", 0))"),"#N/A")</f>
        <v>#N/A</v>
      </c>
      <c r="R103" s="24" t="str">
        <f>IFERROR(__xludf.DUMMYFUNCTION("IFERROR(
  LET(
    data, QUERY(GOOGLEFINANCE(C103,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GOOGLEFINANCE(C103, ""price"")) * 100,
    IF(calc=0, G103, calc)
  ), 
G103)"),"#N/A")</f>
        <v>#N/A</v>
      </c>
      <c r="S103" s="8" t="s">
        <v>15</v>
      </c>
      <c r="T103" s="26" t="str">
        <f>IFERROR(__xludf.DUMMYFUNCTION("IFERROR(TRANSPOSE(QUERY(IFERROR(SORT(GOOGLEFINANCE(C103, ""price"", WORKDAY(TODAY(), -40), TODAY()), 1, FALSE)), ""select Col2 where Col2 is not null limit 22 label Col2 ''"", 0)), """")"),"")</f>
        <v/>
      </c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8"/>
      <c r="AO103" s="28"/>
      <c r="AP103" s="29"/>
      <c r="AQ103" s="29" t="str">
        <f t="shared" ref="AQ103:BL103" si="106">T103/T$2</f>
        <v>#N/A</v>
      </c>
      <c r="AR103" s="29" t="str">
        <f t="shared" si="106"/>
        <v>#DIV/0!</v>
      </c>
      <c r="AS103" s="29" t="str">
        <f t="shared" si="106"/>
        <v>#DIV/0!</v>
      </c>
      <c r="AT103" s="29" t="str">
        <f t="shared" si="106"/>
        <v>#DIV/0!</v>
      </c>
      <c r="AU103" s="29" t="str">
        <f t="shared" si="106"/>
        <v>#DIV/0!</v>
      </c>
      <c r="AV103" s="29" t="str">
        <f t="shared" si="106"/>
        <v>#DIV/0!</v>
      </c>
      <c r="AW103" s="29" t="str">
        <f t="shared" si="106"/>
        <v>#DIV/0!</v>
      </c>
      <c r="AX103" s="29" t="str">
        <f t="shared" si="106"/>
        <v>#DIV/0!</v>
      </c>
      <c r="AY103" s="29" t="str">
        <f t="shared" si="106"/>
        <v>#DIV/0!</v>
      </c>
      <c r="AZ103" s="29" t="str">
        <f t="shared" si="106"/>
        <v>#DIV/0!</v>
      </c>
      <c r="BA103" s="29" t="str">
        <f t="shared" si="106"/>
        <v>#DIV/0!</v>
      </c>
      <c r="BB103" s="29" t="str">
        <f t="shared" si="106"/>
        <v>#DIV/0!</v>
      </c>
      <c r="BC103" s="29" t="str">
        <f t="shared" si="106"/>
        <v>#DIV/0!</v>
      </c>
      <c r="BD103" s="29" t="str">
        <f t="shared" si="106"/>
        <v>#DIV/0!</v>
      </c>
      <c r="BE103" s="29" t="str">
        <f t="shared" si="106"/>
        <v>#DIV/0!</v>
      </c>
      <c r="BF103" s="29" t="str">
        <f t="shared" si="106"/>
        <v>#DIV/0!</v>
      </c>
      <c r="BG103" s="29" t="str">
        <f t="shared" si="106"/>
        <v>#DIV/0!</v>
      </c>
      <c r="BH103" s="29" t="str">
        <f t="shared" si="106"/>
        <v>#DIV/0!</v>
      </c>
      <c r="BI103" s="29" t="str">
        <f t="shared" si="106"/>
        <v>#DIV/0!</v>
      </c>
      <c r="BJ103" s="29" t="str">
        <f t="shared" si="106"/>
        <v>#DIV/0!</v>
      </c>
      <c r="BK103" s="29" t="str">
        <f t="shared" si="106"/>
        <v>#DIV/0!</v>
      </c>
      <c r="BL103" s="29" t="str">
        <f t="shared" si="106"/>
        <v>#DIV/0!</v>
      </c>
      <c r="BM103" s="29" t="str">
        <f t="shared" si="3"/>
        <v>#DIV/0!</v>
      </c>
    </row>
    <row r="104">
      <c r="A104" s="16" t="str">
        <f>IFERROR(__xludf.DUMMYFUNCTION("IFERROR(SPARKLINE(SORT(MAP(TRANSPOSE(AQ104:BL104), LAMBDA(val, IF(ISNUMBER(val), PERCENTRANK(AQ104:BL104, val)+0.01, 0))), SEQUENCE(COLUMNS(AQ104:BL104)), FALSE), {""charttype"",""column""; ""color"",""chartreuse""; ""ymin"", 0; ""ymax"", 1.01; ""highcolo"&amp;"r"", ""darkgreen""; ""lowcolor"", ""red""}), """")"),"")</f>
        <v/>
      </c>
      <c r="B104" s="17" t="str">
        <f t="shared" si="4"/>
        <v/>
      </c>
      <c r="C104" s="1" t="s">
        <v>3053</v>
      </c>
      <c r="D104" s="30" t="str">
        <f>IFERROR(__xludf.DUMMYFUNCTION("IFERROR(GOOGLEFINANCE(C104, ""NAME""))"),"Brixmor Property Group Inc")</f>
        <v>Brixmor Property Group Inc</v>
      </c>
      <c r="E104" s="30" t="s">
        <v>2751</v>
      </c>
      <c r="F104" s="33" t="str">
        <f>IFERROR(__xludf.DUMMYFUNCTION("( (GOOGLEFINANCE(C104, ""price"") - Q104) / Q104 ) / (R104 / 100)"),"Loading...")</f>
        <v>Loading...</v>
      </c>
      <c r="G104" s="20" t="str">
        <f>IFERROR(__xludf.DUMMYFUNCTION("AVERAGE(ARRAYFORMULA(100 * (QUERY(GOOGLEFINANCE(C104, ""high"", TODAY()-40, TODAY()), ""SELECT Col2 WHERE Col2 IS NOT NULL ORDER BY Col1 DESC LIMIT 20"", 0) / QUERY(GOOGLEFINANCE(C104, ""low"", TODAY()-40, TODAY()), ""SELECT Col2 WHERE Col2 IS NOT NULL OR"&amp;"DER BY Col1 DESC LIMIT 20"", 0) - 1)))"),"#N/A")</f>
        <v>#N/A</v>
      </c>
      <c r="H104" s="35" t="str">
        <f t="shared" si="6"/>
        <v>Liquid</v>
      </c>
      <c r="I104" s="35" t="str">
        <f t="shared" si="7"/>
        <v>RVol Required</v>
      </c>
      <c r="J104" s="37">
        <f>IFERROR(__xludf.DUMMYFUNCTION("IFERROR(
  IF(C104="""",, 
    IFERROR(
      GOOGLEFINANCE(C104, ""price"") * GOOGLEFINANCE(C104, ""volumeavg""), 
      GOOGLEFINANCE(C104, ""price"") * AVERAGE(QUERY(GOOGLEFINANCE(C104, ""volume"", TODAY()-40, TODAY()), ""SELECT Col2 WHERE Col2 IS NOT "&amp;"NULL ORDER BY Col1 DESC LIMIT 20"", 0))
    )
  ), 
"""")"),9.233040768E7)</f>
        <v>92330407.68</v>
      </c>
      <c r="K104" s="21">
        <f>IFERROR(__xludf.DUMMYFUNCTION("IFERROR(GOOGLEFINANCE(C104, ""changepct"") / 100, """")"),0.0084)</f>
        <v>0.0084</v>
      </c>
      <c r="L104" s="21" t="str">
        <f>IFERROR(__xludf.DUMMYFUNCTION("IFERROR((GOOGLEFINANCE(C104, ""price"") / INDEX(GOOGLEFINANCE(C104, ""price"", TODAY()-7, TODAY()), 2, 2)) - 1, """")"),"")</f>
        <v/>
      </c>
      <c r="M104" s="21" t="str">
        <f>IFERROR(__xludf.DUMMYFUNCTION("IFERROR((GOOGLEFINANCE(C104, ""price"") / INDEX(GOOGLEFINANCE(C104, ""price"", EDATE(TODAY(), -1), TODAY()), 2, 2)) - 1, """")"),"")</f>
        <v/>
      </c>
      <c r="N104" s="21" t="str">
        <f>IFERROR(__xludf.DUMMYFUNCTION("IFERROR((GOOGLEFINANCE(C104, ""price"") / INDEX(GOOGLEFINANCE(C104, ""price"", EDATE(TODAY(), -3), TODAY()), 2, 2)) - 1, """")"),"")</f>
        <v/>
      </c>
      <c r="O104" s="21" t="str">
        <f>IFERROR(__xludf.DUMMYFUNCTION("IFERROR((GOOGLEFINANCE(C104, ""price"") / INDEX(GOOGLEFINANCE(C104, ""price"", EDATE(TODAY(), -6), TODAY()), 2, 2)) - 1, """")"),"")</f>
        <v/>
      </c>
      <c r="P104" s="21" t="str">
        <f>IFERROR(__xludf.DUMMYFUNCTION("IFERROR((GOOGLEFINANCE(C104, ""price"") / INDEX(GOOGLEFINANCE(C104, ""price"", EDATE(TODAY(), -12), TODAY()), 2, 2)) - 1, """")"),"")</f>
        <v/>
      </c>
      <c r="Q104" s="6" t="str">
        <f>IFERROR(__xludf.DUMMYFUNCTION("AVERAGE(QUERY(GOOGLEFINANCE(C104, ""price"", TODAY()-80, TODAY()), ""SELECT Col2 WHERE Col2 IS NOT NULL ORDER BY Col1 DESC LIMIT 50"", 0))"),"#N/A")</f>
        <v>#N/A</v>
      </c>
      <c r="R104" s="24" t="str">
        <f>IFERROR(__xludf.DUMMYFUNCTION("IFERROR(
  LET(
    data, QUERY(GOOGLEFINANCE(C104,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GOOGLEFINANCE(C104, ""price"")) * 100,
    IF(calc=0, G104, calc)
  ), 
G104)"),"#N/A")</f>
        <v>#N/A</v>
      </c>
      <c r="S104" s="8" t="s">
        <v>15</v>
      </c>
      <c r="T104" s="26" t="str">
        <f>IFERROR(__xludf.DUMMYFUNCTION("IFERROR(TRANSPOSE(QUERY(IFERROR(SORT(GOOGLEFINANCE(C104, ""price"", WORKDAY(TODAY(), -40), TODAY()), 1, FALSE)), ""select Col2 where Col2 is not null limit 22 label Col2 ''"", 0)), """")"),"")</f>
        <v/>
      </c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8"/>
      <c r="AO104" s="28"/>
      <c r="AP104" s="29"/>
      <c r="AQ104" s="29" t="str">
        <f t="shared" ref="AQ104:BL104" si="107">T104/T$2</f>
        <v>#N/A</v>
      </c>
      <c r="AR104" s="29" t="str">
        <f t="shared" si="107"/>
        <v>#DIV/0!</v>
      </c>
      <c r="AS104" s="29" t="str">
        <f t="shared" si="107"/>
        <v>#DIV/0!</v>
      </c>
      <c r="AT104" s="29" t="str">
        <f t="shared" si="107"/>
        <v>#DIV/0!</v>
      </c>
      <c r="AU104" s="29" t="str">
        <f t="shared" si="107"/>
        <v>#DIV/0!</v>
      </c>
      <c r="AV104" s="29" t="str">
        <f t="shared" si="107"/>
        <v>#DIV/0!</v>
      </c>
      <c r="AW104" s="29" t="str">
        <f t="shared" si="107"/>
        <v>#DIV/0!</v>
      </c>
      <c r="AX104" s="29" t="str">
        <f t="shared" si="107"/>
        <v>#DIV/0!</v>
      </c>
      <c r="AY104" s="29" t="str">
        <f t="shared" si="107"/>
        <v>#DIV/0!</v>
      </c>
      <c r="AZ104" s="29" t="str">
        <f t="shared" si="107"/>
        <v>#DIV/0!</v>
      </c>
      <c r="BA104" s="29" t="str">
        <f t="shared" si="107"/>
        <v>#DIV/0!</v>
      </c>
      <c r="BB104" s="29" t="str">
        <f t="shared" si="107"/>
        <v>#DIV/0!</v>
      </c>
      <c r="BC104" s="29" t="str">
        <f t="shared" si="107"/>
        <v>#DIV/0!</v>
      </c>
      <c r="BD104" s="29" t="str">
        <f t="shared" si="107"/>
        <v>#DIV/0!</v>
      </c>
      <c r="BE104" s="29" t="str">
        <f t="shared" si="107"/>
        <v>#DIV/0!</v>
      </c>
      <c r="BF104" s="29" t="str">
        <f t="shared" si="107"/>
        <v>#DIV/0!</v>
      </c>
      <c r="BG104" s="29" t="str">
        <f t="shared" si="107"/>
        <v>#DIV/0!</v>
      </c>
      <c r="BH104" s="29" t="str">
        <f t="shared" si="107"/>
        <v>#DIV/0!</v>
      </c>
      <c r="BI104" s="29" t="str">
        <f t="shared" si="107"/>
        <v>#DIV/0!</v>
      </c>
      <c r="BJ104" s="29" t="str">
        <f t="shared" si="107"/>
        <v>#DIV/0!</v>
      </c>
      <c r="BK104" s="29" t="str">
        <f t="shared" si="107"/>
        <v>#DIV/0!</v>
      </c>
      <c r="BL104" s="29" t="str">
        <f t="shared" si="107"/>
        <v>#DIV/0!</v>
      </c>
      <c r="BM104" s="29" t="str">
        <f t="shared" si="3"/>
        <v>#DIV/0!</v>
      </c>
    </row>
    <row r="105">
      <c r="A105" s="16" t="str">
        <f>IFERROR(__xludf.DUMMYFUNCTION("IFERROR(SPARKLINE(SORT(MAP(TRANSPOSE(AQ105:BL105), LAMBDA(val, IF(ISNUMBER(val), PERCENTRANK(AQ105:BL105, val)+0.01, 0))), SEQUENCE(COLUMNS(AQ105:BL105)), FALSE), {""charttype"",""column""; ""color"",""chartreuse""; ""ymin"", 0; ""ymax"", 1.01; ""highcolo"&amp;"r"", ""darkgreen""; ""lowcolor"", ""red""}), """")"),"")</f>
        <v/>
      </c>
      <c r="B105" s="17" t="str">
        <f t="shared" si="4"/>
        <v/>
      </c>
      <c r="C105" s="1" t="s">
        <v>3056</v>
      </c>
      <c r="D105" s="30" t="str">
        <f>IFERROR(__xludf.DUMMYFUNCTION("IFERROR(GOOGLEFINANCE(C105, ""NAME""))"),"Kimco Realty Corp")</f>
        <v>Kimco Realty Corp</v>
      </c>
      <c r="E105" s="30" t="s">
        <v>2751</v>
      </c>
      <c r="F105" s="33" t="str">
        <f>IFERROR(__xludf.DUMMYFUNCTION("( (GOOGLEFINANCE(C105, ""price"") - Q105) / Q105 ) / (R105 / 100)"),"Loading...")</f>
        <v>Loading...</v>
      </c>
      <c r="G105" s="20" t="str">
        <f>IFERROR(__xludf.DUMMYFUNCTION("AVERAGE(ARRAYFORMULA(100 * (QUERY(GOOGLEFINANCE(C105, ""high"", TODAY()-40, TODAY()), ""SELECT Col2 WHERE Col2 IS NOT NULL ORDER BY Col1 DESC LIMIT 20"", 0) / QUERY(GOOGLEFINANCE(C105, ""low"", TODAY()-40, TODAY()), ""SELECT Col2 WHERE Col2 IS NOT NULL OR"&amp;"DER BY Col1 DESC LIMIT 20"", 0) - 1)))"),"#N/A")</f>
        <v>#N/A</v>
      </c>
      <c r="H105" s="35" t="str">
        <f t="shared" si="6"/>
        <v>Liquid</v>
      </c>
      <c r="I105" s="35" t="str">
        <f t="shared" si="7"/>
        <v>RVol Required</v>
      </c>
      <c r="J105" s="37">
        <f>IFERROR(__xludf.DUMMYFUNCTION("IFERROR(
  IF(C105="""",, 
    IFERROR(
      GOOGLEFINANCE(C105, ""price"") * GOOGLEFINANCE(C105, ""volumeavg""), 
      GOOGLEFINANCE(C105, ""price"") * AVERAGE(QUERY(GOOGLEFINANCE(C105, ""volume"", TODAY()-40, TODAY()), ""SELECT Col2 WHERE Col2 IS NOT "&amp;"NULL ORDER BY Col1 DESC LIMIT 20"", 0))
    )
  ), 
"""")"),1.2280772622E8)</f>
        <v>122807726.2</v>
      </c>
      <c r="K105" s="21">
        <f>IFERROR(__xludf.DUMMYFUNCTION("IFERROR(GOOGLEFINANCE(C105, ""changepct"") / 100, """")"),0.0106)</f>
        <v>0.0106</v>
      </c>
      <c r="L105" s="21" t="str">
        <f>IFERROR(__xludf.DUMMYFUNCTION("IFERROR((GOOGLEFINANCE(C105, ""price"") / INDEX(GOOGLEFINANCE(C105, ""price"", TODAY()-7, TODAY()), 2, 2)) - 1, """")"),"")</f>
        <v/>
      </c>
      <c r="M105" s="21" t="str">
        <f>IFERROR(__xludf.DUMMYFUNCTION("IFERROR((GOOGLEFINANCE(C105, ""price"") / INDEX(GOOGLEFINANCE(C105, ""price"", EDATE(TODAY(), -1), TODAY()), 2, 2)) - 1, """")"),"")</f>
        <v/>
      </c>
      <c r="N105" s="21" t="str">
        <f>IFERROR(__xludf.DUMMYFUNCTION("IFERROR((GOOGLEFINANCE(C105, ""price"") / INDEX(GOOGLEFINANCE(C105, ""price"", EDATE(TODAY(), -3), TODAY()), 2, 2)) - 1, """")"),"")</f>
        <v/>
      </c>
      <c r="O105" s="21" t="str">
        <f>IFERROR(__xludf.DUMMYFUNCTION("IFERROR((GOOGLEFINANCE(C105, ""price"") / INDEX(GOOGLEFINANCE(C105, ""price"", EDATE(TODAY(), -6), TODAY()), 2, 2)) - 1, """")"),"")</f>
        <v/>
      </c>
      <c r="P105" s="21" t="str">
        <f>IFERROR(__xludf.DUMMYFUNCTION("IFERROR((GOOGLEFINANCE(C105, ""price"") / INDEX(GOOGLEFINANCE(C105, ""price"", EDATE(TODAY(), -12), TODAY()), 2, 2)) - 1, """")"),"")</f>
        <v/>
      </c>
      <c r="Q105" s="6" t="str">
        <f>IFERROR(__xludf.DUMMYFUNCTION("AVERAGE(QUERY(GOOGLEFINANCE(C105, ""price"", TODAY()-80, TODAY()), ""SELECT Col2 WHERE Col2 IS NOT NULL ORDER BY Col1 DESC LIMIT 50"", 0))"),"#N/A")</f>
        <v>#N/A</v>
      </c>
      <c r="R105" s="24" t="str">
        <f>IFERROR(__xludf.DUMMYFUNCTION("IFERROR(
  LET(
    data, QUERY(GOOGLEFINANCE(C105,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GOOGLEFINANCE(C105, ""price"")) * 100,
    IF(calc=0, G105, calc)
  ), 
G105)"),"#N/A")</f>
        <v>#N/A</v>
      </c>
      <c r="S105" s="8" t="s">
        <v>15</v>
      </c>
      <c r="T105" s="26" t="str">
        <f>IFERROR(__xludf.DUMMYFUNCTION("IFERROR(TRANSPOSE(QUERY(IFERROR(SORT(GOOGLEFINANCE(C105, ""price"", WORKDAY(TODAY(), -40), TODAY()), 1, FALSE)), ""select Col2 where Col2 is not null limit 22 label Col2 ''"", 0)), """")"),"")</f>
        <v/>
      </c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8"/>
      <c r="AO105" s="28"/>
      <c r="AP105" s="29"/>
      <c r="AQ105" s="29" t="str">
        <f t="shared" ref="AQ105:BL105" si="108">T105/T$2</f>
        <v>#N/A</v>
      </c>
      <c r="AR105" s="29" t="str">
        <f t="shared" si="108"/>
        <v>#DIV/0!</v>
      </c>
      <c r="AS105" s="29" t="str">
        <f t="shared" si="108"/>
        <v>#DIV/0!</v>
      </c>
      <c r="AT105" s="29" t="str">
        <f t="shared" si="108"/>
        <v>#DIV/0!</v>
      </c>
      <c r="AU105" s="29" t="str">
        <f t="shared" si="108"/>
        <v>#DIV/0!</v>
      </c>
      <c r="AV105" s="29" t="str">
        <f t="shared" si="108"/>
        <v>#DIV/0!</v>
      </c>
      <c r="AW105" s="29" t="str">
        <f t="shared" si="108"/>
        <v>#DIV/0!</v>
      </c>
      <c r="AX105" s="29" t="str">
        <f t="shared" si="108"/>
        <v>#DIV/0!</v>
      </c>
      <c r="AY105" s="29" t="str">
        <f t="shared" si="108"/>
        <v>#DIV/0!</v>
      </c>
      <c r="AZ105" s="29" t="str">
        <f t="shared" si="108"/>
        <v>#DIV/0!</v>
      </c>
      <c r="BA105" s="29" t="str">
        <f t="shared" si="108"/>
        <v>#DIV/0!</v>
      </c>
      <c r="BB105" s="29" t="str">
        <f t="shared" si="108"/>
        <v>#DIV/0!</v>
      </c>
      <c r="BC105" s="29" t="str">
        <f t="shared" si="108"/>
        <v>#DIV/0!</v>
      </c>
      <c r="BD105" s="29" t="str">
        <f t="shared" si="108"/>
        <v>#DIV/0!</v>
      </c>
      <c r="BE105" s="29" t="str">
        <f t="shared" si="108"/>
        <v>#DIV/0!</v>
      </c>
      <c r="BF105" s="29" t="str">
        <f t="shared" si="108"/>
        <v>#DIV/0!</v>
      </c>
      <c r="BG105" s="29" t="str">
        <f t="shared" si="108"/>
        <v>#DIV/0!</v>
      </c>
      <c r="BH105" s="29" t="str">
        <f t="shared" si="108"/>
        <v>#DIV/0!</v>
      </c>
      <c r="BI105" s="29" t="str">
        <f t="shared" si="108"/>
        <v>#DIV/0!</v>
      </c>
      <c r="BJ105" s="29" t="str">
        <f t="shared" si="108"/>
        <v>#DIV/0!</v>
      </c>
      <c r="BK105" s="29" t="str">
        <f t="shared" si="108"/>
        <v>#DIV/0!</v>
      </c>
      <c r="BL105" s="29" t="str">
        <f t="shared" si="108"/>
        <v>#DIV/0!</v>
      </c>
      <c r="BM105" s="29" t="str">
        <f t="shared" si="3"/>
        <v>#DIV/0!</v>
      </c>
    </row>
    <row r="106">
      <c r="A106" s="16" t="str">
        <f>IFERROR(__xludf.DUMMYFUNCTION("IFERROR(SPARKLINE(SORT(MAP(TRANSPOSE(AQ106:BL106), LAMBDA(val, IF(ISNUMBER(val), PERCENTRANK(AQ106:BL106, val)+0.01, 0))), SEQUENCE(COLUMNS(AQ106:BL106)), FALSE), {""charttype"",""column""; ""color"",""chartreuse""; ""ymin"", 0; ""ymax"", 1.01; ""highcolo"&amp;"r"", ""darkgreen""; ""lowcolor"", ""red""}), """")"),"")</f>
        <v/>
      </c>
      <c r="B106" s="17" t="str">
        <f t="shared" si="4"/>
        <v/>
      </c>
      <c r="C106" s="1" t="s">
        <v>3059</v>
      </c>
      <c r="D106" s="30" t="str">
        <f>IFERROR(__xludf.DUMMYFUNCTION("IFERROR(GOOGLEFINANCE(C106, ""NAME""))"),"Xenia Hotels &amp; Resorts Inc")</f>
        <v>Xenia Hotels &amp; Resorts Inc</v>
      </c>
      <c r="E106" s="30" t="s">
        <v>2674</v>
      </c>
      <c r="F106" s="33" t="str">
        <f>IFERROR(__xludf.DUMMYFUNCTION("( (GOOGLEFINANCE(C106, ""price"") - Q106) / Q106 ) / (R106 / 100)"),"Loading...")</f>
        <v>Loading...</v>
      </c>
      <c r="G106" s="20" t="str">
        <f>IFERROR(__xludf.DUMMYFUNCTION("AVERAGE(ARRAYFORMULA(100 * (QUERY(GOOGLEFINANCE(C106, ""high"", TODAY()-40, TODAY()), ""SELECT Col2 WHERE Col2 IS NOT NULL ORDER BY Col1 DESC LIMIT 20"", 0) / QUERY(GOOGLEFINANCE(C106, ""low"", TODAY()-40, TODAY()), ""SELECT Col2 WHERE Col2 IS NOT NULL OR"&amp;"DER BY Col1 DESC LIMIT 20"", 0) - 1)))"),"#N/A")</f>
        <v>#N/A</v>
      </c>
      <c r="H106" s="35" t="str">
        <f t="shared" si="6"/>
        <v>Illiquid</v>
      </c>
      <c r="I106" s="35" t="str">
        <f t="shared" si="7"/>
        <v>RVol Required</v>
      </c>
      <c r="J106" s="37">
        <f>IFERROR(__xludf.DUMMYFUNCTION("IFERROR(
  IF(C106="""",, 
    IFERROR(
      GOOGLEFINANCE(C106, ""price"") * GOOGLEFINANCE(C106, ""volumeavg""), 
      GOOGLEFINANCE(C106, ""price"") * AVERAGE(QUERY(GOOGLEFINANCE(C106, ""volume"", TODAY()-40, TODAY()), ""SELECT Col2 WHERE Col2 IS NOT "&amp;"NULL ORDER BY Col1 DESC LIMIT 20"", 0))
    )
  ), 
"""")"),1.792449402E7)</f>
        <v>17924494.02</v>
      </c>
      <c r="K106" s="21">
        <f>IFERROR(__xludf.DUMMYFUNCTION("IFERROR(GOOGLEFINANCE(C106, ""changepct"") / 100, """")"),0.014499999999999999)</f>
        <v>0.0145</v>
      </c>
      <c r="L106" s="21" t="str">
        <f>IFERROR(__xludf.DUMMYFUNCTION("IFERROR((GOOGLEFINANCE(C106, ""price"") / INDEX(GOOGLEFINANCE(C106, ""price"", TODAY()-7, TODAY()), 2, 2)) - 1, """")"),"")</f>
        <v/>
      </c>
      <c r="M106" s="21" t="str">
        <f>IFERROR(__xludf.DUMMYFUNCTION("IFERROR((GOOGLEFINANCE(C106, ""price"") / INDEX(GOOGLEFINANCE(C106, ""price"", EDATE(TODAY(), -1), TODAY()), 2, 2)) - 1, """")"),"")</f>
        <v/>
      </c>
      <c r="N106" s="21" t="str">
        <f>IFERROR(__xludf.DUMMYFUNCTION("IFERROR((GOOGLEFINANCE(C106, ""price"") / INDEX(GOOGLEFINANCE(C106, ""price"", EDATE(TODAY(), -3), TODAY()), 2, 2)) - 1, """")"),"")</f>
        <v/>
      </c>
      <c r="O106" s="21" t="str">
        <f>IFERROR(__xludf.DUMMYFUNCTION("IFERROR((GOOGLEFINANCE(C106, ""price"") / INDEX(GOOGLEFINANCE(C106, ""price"", EDATE(TODAY(), -6), TODAY()), 2, 2)) - 1, """")"),"")</f>
        <v/>
      </c>
      <c r="P106" s="21" t="str">
        <f>IFERROR(__xludf.DUMMYFUNCTION("IFERROR((GOOGLEFINANCE(C106, ""price"") / INDEX(GOOGLEFINANCE(C106, ""price"", EDATE(TODAY(), -12), TODAY()), 2, 2)) - 1, """")"),"")</f>
        <v/>
      </c>
      <c r="Q106" s="6" t="str">
        <f>IFERROR(__xludf.DUMMYFUNCTION("AVERAGE(QUERY(GOOGLEFINANCE(C106, ""price"", TODAY()-80, TODAY()), ""SELECT Col2 WHERE Col2 IS NOT NULL ORDER BY Col1 DESC LIMIT 50"", 0))"),"#N/A")</f>
        <v>#N/A</v>
      </c>
      <c r="R106" s="24" t="str">
        <f>IFERROR(__xludf.DUMMYFUNCTION("IFERROR(
  LET(
    data, QUERY(GOOGLEFINANCE(C106,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GOOGLEFINANCE(C106, ""price"")) * 100,
    IF(calc=0, G106, calc)
  ), 
G106)"),"#N/A")</f>
        <v>#N/A</v>
      </c>
      <c r="S106" s="8" t="s">
        <v>15</v>
      </c>
      <c r="T106" s="26" t="str">
        <f>IFERROR(__xludf.DUMMYFUNCTION("IFERROR(TRANSPOSE(QUERY(IFERROR(SORT(GOOGLEFINANCE(C106, ""price"", WORKDAY(TODAY(), -40), TODAY()), 1, FALSE)), ""select Col2 where Col2 is not null limit 22 label Col2 ''"", 0)), """")"),"")</f>
        <v/>
      </c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8"/>
      <c r="AO106" s="28"/>
      <c r="AP106" s="29"/>
      <c r="AQ106" s="29" t="str">
        <f t="shared" ref="AQ106:BL106" si="109">T106/T$2</f>
        <v>#N/A</v>
      </c>
      <c r="AR106" s="29" t="str">
        <f t="shared" si="109"/>
        <v>#DIV/0!</v>
      </c>
      <c r="AS106" s="29" t="str">
        <f t="shared" si="109"/>
        <v>#DIV/0!</v>
      </c>
      <c r="AT106" s="29" t="str">
        <f t="shared" si="109"/>
        <v>#DIV/0!</v>
      </c>
      <c r="AU106" s="29" t="str">
        <f t="shared" si="109"/>
        <v>#DIV/0!</v>
      </c>
      <c r="AV106" s="29" t="str">
        <f t="shared" si="109"/>
        <v>#DIV/0!</v>
      </c>
      <c r="AW106" s="29" t="str">
        <f t="shared" si="109"/>
        <v>#DIV/0!</v>
      </c>
      <c r="AX106" s="29" t="str">
        <f t="shared" si="109"/>
        <v>#DIV/0!</v>
      </c>
      <c r="AY106" s="29" t="str">
        <f t="shared" si="109"/>
        <v>#DIV/0!</v>
      </c>
      <c r="AZ106" s="29" t="str">
        <f t="shared" si="109"/>
        <v>#DIV/0!</v>
      </c>
      <c r="BA106" s="29" t="str">
        <f t="shared" si="109"/>
        <v>#DIV/0!</v>
      </c>
      <c r="BB106" s="29" t="str">
        <f t="shared" si="109"/>
        <v>#DIV/0!</v>
      </c>
      <c r="BC106" s="29" t="str">
        <f t="shared" si="109"/>
        <v>#DIV/0!</v>
      </c>
      <c r="BD106" s="29" t="str">
        <f t="shared" si="109"/>
        <v>#DIV/0!</v>
      </c>
      <c r="BE106" s="29" t="str">
        <f t="shared" si="109"/>
        <v>#DIV/0!</v>
      </c>
      <c r="BF106" s="29" t="str">
        <f t="shared" si="109"/>
        <v>#DIV/0!</v>
      </c>
      <c r="BG106" s="29" t="str">
        <f t="shared" si="109"/>
        <v>#DIV/0!</v>
      </c>
      <c r="BH106" s="29" t="str">
        <f t="shared" si="109"/>
        <v>#DIV/0!</v>
      </c>
      <c r="BI106" s="29" t="str">
        <f t="shared" si="109"/>
        <v>#DIV/0!</v>
      </c>
      <c r="BJ106" s="29" t="str">
        <f t="shared" si="109"/>
        <v>#DIV/0!</v>
      </c>
      <c r="BK106" s="29" t="str">
        <f t="shared" si="109"/>
        <v>#DIV/0!</v>
      </c>
      <c r="BL106" s="29" t="str">
        <f t="shared" si="109"/>
        <v>#DIV/0!</v>
      </c>
      <c r="BM106" s="29" t="str">
        <f t="shared" si="3"/>
        <v>#DIV/0!</v>
      </c>
    </row>
    <row r="107">
      <c r="A107" s="16" t="str">
        <f>IFERROR(__xludf.DUMMYFUNCTION("IFERROR(SPARKLINE(SORT(MAP(TRANSPOSE(AQ107:BL107), LAMBDA(val, IF(ISNUMBER(val), PERCENTRANK(AQ107:BL107, val)+0.01, 0))), SEQUENCE(COLUMNS(AQ107:BL107)), FALSE), {""charttype"",""column""; ""color"",""chartreuse""; ""ymin"", 0; ""ymax"", 1.01; ""highcolo"&amp;"r"", ""darkgreen""; ""lowcolor"", ""red""}), """")"),"")</f>
        <v/>
      </c>
      <c r="B107" s="17" t="str">
        <f t="shared" si="4"/>
        <v/>
      </c>
      <c r="C107" s="1" t="s">
        <v>3062</v>
      </c>
      <c r="D107" s="30" t="str">
        <f>IFERROR(__xludf.DUMMYFUNCTION("IFERROR(GOOGLEFINANCE(C107, ""NAME""))"),"Empire State Realty Trust Inc")</f>
        <v>Empire State Realty Trust Inc</v>
      </c>
      <c r="E107" s="30" t="s">
        <v>2784</v>
      </c>
      <c r="F107" s="33" t="str">
        <f>IFERROR(__xludf.DUMMYFUNCTION("( (GOOGLEFINANCE(C107, ""price"") - Q107) / Q107 ) / (R107 / 100)"),"Loading...")</f>
        <v>Loading...</v>
      </c>
      <c r="G107" s="20" t="str">
        <f>IFERROR(__xludf.DUMMYFUNCTION("AVERAGE(ARRAYFORMULA(100 * (QUERY(GOOGLEFINANCE(C107, ""high"", TODAY()-40, TODAY()), ""SELECT Col2 WHERE Col2 IS NOT NULL ORDER BY Col1 DESC LIMIT 20"", 0) / QUERY(GOOGLEFINANCE(C107, ""low"", TODAY()-40, TODAY()), ""SELECT Col2 WHERE Col2 IS NOT NULL OR"&amp;"DER BY Col1 DESC LIMIT 20"", 0) - 1)))"),"#N/A")</f>
        <v>#N/A</v>
      </c>
      <c r="H107" s="35" t="str">
        <f t="shared" si="6"/>
        <v>Illiquid</v>
      </c>
      <c r="I107" s="35" t="str">
        <f t="shared" si="7"/>
        <v>RVol Required</v>
      </c>
      <c r="J107" s="37">
        <f>IFERROR(__xludf.DUMMYFUNCTION("IFERROR(
  IF(C107="""",, 
    IFERROR(
      GOOGLEFINANCE(C107, ""price"") * GOOGLEFINANCE(C107, ""volumeavg""), 
      GOOGLEFINANCE(C107, ""price"") * AVERAGE(QUERY(GOOGLEFINANCE(C107, ""volume"", TODAY()-40, TODAY()), ""SELECT Col2 WHERE Col2 IS NOT "&amp;"NULL ORDER BY Col1 DESC LIMIT 20"", 0))
    )
  ), 
"""")"),2.3430792E7)</f>
        <v>23430792</v>
      </c>
      <c r="K107" s="21">
        <f>IFERROR(__xludf.DUMMYFUNCTION("IFERROR(GOOGLEFINANCE(C107, ""changepct"") / 100, """")"),-0.0233)</f>
        <v>-0.0233</v>
      </c>
      <c r="L107" s="21" t="str">
        <f>IFERROR(__xludf.DUMMYFUNCTION("IFERROR((GOOGLEFINANCE(C107, ""price"") / INDEX(GOOGLEFINANCE(C107, ""price"", TODAY()-7, TODAY()), 2, 2)) - 1, """")"),"")</f>
        <v/>
      </c>
      <c r="M107" s="21" t="str">
        <f>IFERROR(__xludf.DUMMYFUNCTION("IFERROR((GOOGLEFINANCE(C107, ""price"") / INDEX(GOOGLEFINANCE(C107, ""price"", EDATE(TODAY(), -1), TODAY()), 2, 2)) - 1, """")"),"")</f>
        <v/>
      </c>
      <c r="N107" s="21" t="str">
        <f>IFERROR(__xludf.DUMMYFUNCTION("IFERROR((GOOGLEFINANCE(C107, ""price"") / INDEX(GOOGLEFINANCE(C107, ""price"", EDATE(TODAY(), -3), TODAY()), 2, 2)) - 1, """")"),"")</f>
        <v/>
      </c>
      <c r="O107" s="21" t="str">
        <f>IFERROR(__xludf.DUMMYFUNCTION("IFERROR((GOOGLEFINANCE(C107, ""price"") / INDEX(GOOGLEFINANCE(C107, ""price"", EDATE(TODAY(), -6), TODAY()), 2, 2)) - 1, """")"),"")</f>
        <v/>
      </c>
      <c r="P107" s="21" t="str">
        <f>IFERROR(__xludf.DUMMYFUNCTION("IFERROR((GOOGLEFINANCE(C107, ""price"") / INDEX(GOOGLEFINANCE(C107, ""price"", EDATE(TODAY(), -12), TODAY()), 2, 2)) - 1, """")"),"")</f>
        <v/>
      </c>
      <c r="Q107" s="6" t="str">
        <f>IFERROR(__xludf.DUMMYFUNCTION("AVERAGE(QUERY(GOOGLEFINANCE(C107, ""price"", TODAY()-80, TODAY()), ""SELECT Col2 WHERE Col2 IS NOT NULL ORDER BY Col1 DESC LIMIT 50"", 0))"),"#N/A")</f>
        <v>#N/A</v>
      </c>
      <c r="R107" s="24" t="str">
        <f>IFERROR(__xludf.DUMMYFUNCTION("IFERROR(
  LET(
    data, QUERY(GOOGLEFINANCE(C107,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GOOGLEFINANCE(C107, ""price"")) * 100,
    IF(calc=0, G107, calc)
  ), 
G107)"),"#N/A")</f>
        <v>#N/A</v>
      </c>
      <c r="S107" s="8" t="s">
        <v>15</v>
      </c>
      <c r="T107" s="26" t="str">
        <f>IFERROR(__xludf.DUMMYFUNCTION("IFERROR(TRANSPOSE(QUERY(IFERROR(SORT(GOOGLEFINANCE(C107, ""price"", WORKDAY(TODAY(), -40), TODAY()), 1, FALSE)), ""select Col2 where Col2 is not null limit 22 label Col2 ''"", 0)), """")"),"")</f>
        <v/>
      </c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8"/>
      <c r="AO107" s="28"/>
      <c r="AP107" s="29"/>
      <c r="AQ107" s="29" t="str">
        <f t="shared" ref="AQ107:BL107" si="110">T107/T$2</f>
        <v>#N/A</v>
      </c>
      <c r="AR107" s="29" t="str">
        <f t="shared" si="110"/>
        <v>#DIV/0!</v>
      </c>
      <c r="AS107" s="29" t="str">
        <f t="shared" si="110"/>
        <v>#DIV/0!</v>
      </c>
      <c r="AT107" s="29" t="str">
        <f t="shared" si="110"/>
        <v>#DIV/0!</v>
      </c>
      <c r="AU107" s="29" t="str">
        <f t="shared" si="110"/>
        <v>#DIV/0!</v>
      </c>
      <c r="AV107" s="29" t="str">
        <f t="shared" si="110"/>
        <v>#DIV/0!</v>
      </c>
      <c r="AW107" s="29" t="str">
        <f t="shared" si="110"/>
        <v>#DIV/0!</v>
      </c>
      <c r="AX107" s="29" t="str">
        <f t="shared" si="110"/>
        <v>#DIV/0!</v>
      </c>
      <c r="AY107" s="29" t="str">
        <f t="shared" si="110"/>
        <v>#DIV/0!</v>
      </c>
      <c r="AZ107" s="29" t="str">
        <f t="shared" si="110"/>
        <v>#DIV/0!</v>
      </c>
      <c r="BA107" s="29" t="str">
        <f t="shared" si="110"/>
        <v>#DIV/0!</v>
      </c>
      <c r="BB107" s="29" t="str">
        <f t="shared" si="110"/>
        <v>#DIV/0!</v>
      </c>
      <c r="BC107" s="29" t="str">
        <f t="shared" si="110"/>
        <v>#DIV/0!</v>
      </c>
      <c r="BD107" s="29" t="str">
        <f t="shared" si="110"/>
        <v>#DIV/0!</v>
      </c>
      <c r="BE107" s="29" t="str">
        <f t="shared" si="110"/>
        <v>#DIV/0!</v>
      </c>
      <c r="BF107" s="29" t="str">
        <f t="shared" si="110"/>
        <v>#DIV/0!</v>
      </c>
      <c r="BG107" s="29" t="str">
        <f t="shared" si="110"/>
        <v>#DIV/0!</v>
      </c>
      <c r="BH107" s="29" t="str">
        <f t="shared" si="110"/>
        <v>#DIV/0!</v>
      </c>
      <c r="BI107" s="29" t="str">
        <f t="shared" si="110"/>
        <v>#DIV/0!</v>
      </c>
      <c r="BJ107" s="29" t="str">
        <f t="shared" si="110"/>
        <v>#DIV/0!</v>
      </c>
      <c r="BK107" s="29" t="str">
        <f t="shared" si="110"/>
        <v>#DIV/0!</v>
      </c>
      <c r="BL107" s="29" t="str">
        <f t="shared" si="110"/>
        <v>#DIV/0!</v>
      </c>
      <c r="BM107" s="29" t="str">
        <f t="shared" si="3"/>
        <v>#DIV/0!</v>
      </c>
    </row>
    <row r="108">
      <c r="A108" s="16" t="str">
        <f>IFERROR(__xludf.DUMMYFUNCTION("IFERROR(SPARKLINE(SORT(MAP(TRANSPOSE(AQ108:BL108), LAMBDA(val, IF(ISNUMBER(val), PERCENTRANK(AQ108:BL108, val)+0.01, 0))), SEQUENCE(COLUMNS(AQ108:BL108)), FALSE), {""charttype"",""column""; ""color"",""chartreuse""; ""ymin"", 0; ""ymax"", 1.01; ""highcolo"&amp;"r"", ""darkgreen""; ""lowcolor"", ""red""}), """")"),"")</f>
        <v/>
      </c>
      <c r="B108" s="17" t="str">
        <f t="shared" si="4"/>
        <v/>
      </c>
      <c r="C108" s="1" t="s">
        <v>3065</v>
      </c>
      <c r="D108" s="30" t="str">
        <f>IFERROR(__xludf.DUMMYFUNCTION("IFERROR(GOOGLEFINANCE(C108, ""NAME""))"),"Newmark Group Inc")</f>
        <v>Newmark Group Inc</v>
      </c>
      <c r="E108" s="30" t="s">
        <v>2692</v>
      </c>
      <c r="F108" s="33" t="str">
        <f>IFERROR(__xludf.DUMMYFUNCTION("( (GOOGLEFINANCE(C108, ""price"") - Q108) / Q108 ) / (R108 / 100)"),"Loading...")</f>
        <v>Loading...</v>
      </c>
      <c r="G108" s="20" t="str">
        <f>IFERROR(__xludf.DUMMYFUNCTION("AVERAGE(ARRAYFORMULA(100 * (QUERY(GOOGLEFINANCE(C108, ""high"", TODAY()-40, TODAY()), ""SELECT Col2 WHERE Col2 IS NOT NULL ORDER BY Col1 DESC LIMIT 20"", 0) / QUERY(GOOGLEFINANCE(C108, ""low"", TODAY()-40, TODAY()), ""SELECT Col2 WHERE Col2 IS NOT NULL OR"&amp;"DER BY Col1 DESC LIMIT 20"", 0) - 1)))"),"#N/A")</f>
        <v>#N/A</v>
      </c>
      <c r="H108" s="35" t="str">
        <f t="shared" si="6"/>
        <v>Illiquid</v>
      </c>
      <c r="I108" s="35" t="str">
        <f t="shared" si="7"/>
        <v>RVol Required</v>
      </c>
      <c r="J108" s="37">
        <f>IFERROR(__xludf.DUMMYFUNCTION("IFERROR(
  IF(C108="""",, 
    IFERROR(
      GOOGLEFINANCE(C108, ""price"") * GOOGLEFINANCE(C108, ""volumeavg""), 
      GOOGLEFINANCE(C108, ""price"") * AVERAGE(QUERY(GOOGLEFINANCE(C108, ""volume"", TODAY()-40, TODAY()), ""SELECT Col2 WHERE Col2 IS NOT "&amp;"NULL ORDER BY Col1 DESC LIMIT 20"", 0))
    )
  ), 
"""")"),2.430707E7)</f>
        <v>24307070</v>
      </c>
      <c r="K108" s="21">
        <f>IFERROR(__xludf.DUMMYFUNCTION("IFERROR(GOOGLEFINANCE(C108, ""changepct"") / 100, """")"),-0.0042)</f>
        <v>-0.0042</v>
      </c>
      <c r="L108" s="21" t="str">
        <f>IFERROR(__xludf.DUMMYFUNCTION("IFERROR((GOOGLEFINANCE(C108, ""price"") / INDEX(GOOGLEFINANCE(C108, ""price"", TODAY()-7, TODAY()), 2, 2)) - 1, """")"),"")</f>
        <v/>
      </c>
      <c r="M108" s="21" t="str">
        <f>IFERROR(__xludf.DUMMYFUNCTION("IFERROR((GOOGLEFINANCE(C108, ""price"") / INDEX(GOOGLEFINANCE(C108, ""price"", EDATE(TODAY(), -1), TODAY()), 2, 2)) - 1, """")"),"")</f>
        <v/>
      </c>
      <c r="N108" s="21" t="str">
        <f>IFERROR(__xludf.DUMMYFUNCTION("IFERROR((GOOGLEFINANCE(C108, ""price"") / INDEX(GOOGLEFINANCE(C108, ""price"", EDATE(TODAY(), -3), TODAY()), 2, 2)) - 1, """")"),"")</f>
        <v/>
      </c>
      <c r="O108" s="21" t="str">
        <f>IFERROR(__xludf.DUMMYFUNCTION("IFERROR((GOOGLEFINANCE(C108, ""price"") / INDEX(GOOGLEFINANCE(C108, ""price"", EDATE(TODAY(), -6), TODAY()), 2, 2)) - 1, """")"),"")</f>
        <v/>
      </c>
      <c r="P108" s="21" t="str">
        <f>IFERROR(__xludf.DUMMYFUNCTION("IFERROR((GOOGLEFINANCE(C108, ""price"") / INDEX(GOOGLEFINANCE(C108, ""price"", EDATE(TODAY(), -12), TODAY()), 2, 2)) - 1, """")"),"")</f>
        <v/>
      </c>
      <c r="Q108" s="6" t="str">
        <f>IFERROR(__xludf.DUMMYFUNCTION("AVERAGE(QUERY(GOOGLEFINANCE(C108, ""price"", TODAY()-80, TODAY()), ""SELECT Col2 WHERE Col2 IS NOT NULL ORDER BY Col1 DESC LIMIT 50"", 0))"),"#N/A")</f>
        <v>#N/A</v>
      </c>
      <c r="R108" s="24" t="str">
        <f>IFERROR(__xludf.DUMMYFUNCTION("IFERROR(
  LET(
    data, QUERY(GOOGLEFINANCE(C108,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GOOGLEFINANCE(C108, ""price"")) * 100,
    IF(calc=0, G108, calc)
  ), 
G108)"),"#N/A")</f>
        <v>#N/A</v>
      </c>
      <c r="S108" s="8" t="s">
        <v>15</v>
      </c>
      <c r="T108" s="26" t="str">
        <f>IFERROR(__xludf.DUMMYFUNCTION("IFERROR(TRANSPOSE(QUERY(IFERROR(SORT(GOOGLEFINANCE(C108, ""price"", WORKDAY(TODAY(), -40), TODAY()), 1, FALSE)), ""select Col2 where Col2 is not null limit 22 label Col2 ''"", 0)), """")"),"")</f>
        <v/>
      </c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8"/>
      <c r="AO108" s="28"/>
      <c r="AP108" s="29"/>
      <c r="AQ108" s="29" t="str">
        <f t="shared" ref="AQ108:BL108" si="111">T108/T$2</f>
        <v>#N/A</v>
      </c>
      <c r="AR108" s="29" t="str">
        <f t="shared" si="111"/>
        <v>#DIV/0!</v>
      </c>
      <c r="AS108" s="29" t="str">
        <f t="shared" si="111"/>
        <v>#DIV/0!</v>
      </c>
      <c r="AT108" s="29" t="str">
        <f t="shared" si="111"/>
        <v>#DIV/0!</v>
      </c>
      <c r="AU108" s="29" t="str">
        <f t="shared" si="111"/>
        <v>#DIV/0!</v>
      </c>
      <c r="AV108" s="29" t="str">
        <f t="shared" si="111"/>
        <v>#DIV/0!</v>
      </c>
      <c r="AW108" s="29" t="str">
        <f t="shared" si="111"/>
        <v>#DIV/0!</v>
      </c>
      <c r="AX108" s="29" t="str">
        <f t="shared" si="111"/>
        <v>#DIV/0!</v>
      </c>
      <c r="AY108" s="29" t="str">
        <f t="shared" si="111"/>
        <v>#DIV/0!</v>
      </c>
      <c r="AZ108" s="29" t="str">
        <f t="shared" si="111"/>
        <v>#DIV/0!</v>
      </c>
      <c r="BA108" s="29" t="str">
        <f t="shared" si="111"/>
        <v>#DIV/0!</v>
      </c>
      <c r="BB108" s="29" t="str">
        <f t="shared" si="111"/>
        <v>#DIV/0!</v>
      </c>
      <c r="BC108" s="29" t="str">
        <f t="shared" si="111"/>
        <v>#DIV/0!</v>
      </c>
      <c r="BD108" s="29" t="str">
        <f t="shared" si="111"/>
        <v>#DIV/0!</v>
      </c>
      <c r="BE108" s="29" t="str">
        <f t="shared" si="111"/>
        <v>#DIV/0!</v>
      </c>
      <c r="BF108" s="29" t="str">
        <f t="shared" si="111"/>
        <v>#DIV/0!</v>
      </c>
      <c r="BG108" s="29" t="str">
        <f t="shared" si="111"/>
        <v>#DIV/0!</v>
      </c>
      <c r="BH108" s="29" t="str">
        <f t="shared" si="111"/>
        <v>#DIV/0!</v>
      </c>
      <c r="BI108" s="29" t="str">
        <f t="shared" si="111"/>
        <v>#DIV/0!</v>
      </c>
      <c r="BJ108" s="29" t="str">
        <f t="shared" si="111"/>
        <v>#DIV/0!</v>
      </c>
      <c r="BK108" s="29" t="str">
        <f t="shared" si="111"/>
        <v>#DIV/0!</v>
      </c>
      <c r="BL108" s="29" t="str">
        <f t="shared" si="111"/>
        <v>#DIV/0!</v>
      </c>
      <c r="BM108" s="29" t="str">
        <f t="shared" si="3"/>
        <v>#DIV/0!</v>
      </c>
    </row>
    <row r="109">
      <c r="A109" s="16" t="str">
        <f>IFERROR(__xludf.DUMMYFUNCTION("IFERROR(SPARKLINE(SORT(MAP(TRANSPOSE(AQ109:BL109), LAMBDA(val, IF(ISNUMBER(val), PERCENTRANK(AQ109:BL109, val)+0.01, 0))), SEQUENCE(COLUMNS(AQ109:BL109)), FALSE), {""charttype"",""column""; ""color"",""chartreuse""; ""ymin"", 0; ""ymax"", 1.01; ""highcolo"&amp;"r"", ""darkgreen""; ""lowcolor"", ""red""}), """")"),"")</f>
        <v/>
      </c>
      <c r="B109" s="17" t="str">
        <f t="shared" si="4"/>
        <v/>
      </c>
      <c r="C109" s="1" t="s">
        <v>3068</v>
      </c>
      <c r="D109" s="30" t="str">
        <f>IFERROR(__xludf.DUMMYFUNCTION("IFERROR(GOOGLEFINANCE(C109, ""NAME""))"),"Pebblebrook Hotel Trust")</f>
        <v>Pebblebrook Hotel Trust</v>
      </c>
      <c r="E109" s="30" t="s">
        <v>2674</v>
      </c>
      <c r="F109" s="33" t="str">
        <f>IFERROR(__xludf.DUMMYFUNCTION("( (GOOGLEFINANCE(C109, ""price"") - Q109) / Q109 ) / (R109 / 100)"),"Loading...")</f>
        <v>Loading...</v>
      </c>
      <c r="G109" s="20" t="str">
        <f>IFERROR(__xludf.DUMMYFUNCTION("AVERAGE(ARRAYFORMULA(100 * (QUERY(GOOGLEFINANCE(C109, ""high"", TODAY()-40, TODAY()), ""SELECT Col2 WHERE Col2 IS NOT NULL ORDER BY Col1 DESC LIMIT 20"", 0) / QUERY(GOOGLEFINANCE(C109, ""low"", TODAY()-40, TODAY()), ""SELECT Col2 WHERE Col2 IS NOT NULL OR"&amp;"DER BY Col1 DESC LIMIT 20"", 0) - 1)))"),"#N/A")</f>
        <v>#N/A</v>
      </c>
      <c r="H109" s="35" t="str">
        <f t="shared" si="6"/>
        <v>Illiquid</v>
      </c>
      <c r="I109" s="35" t="str">
        <f t="shared" si="7"/>
        <v>RVol Required</v>
      </c>
      <c r="J109" s="37">
        <f>IFERROR(__xludf.DUMMYFUNCTION("IFERROR(
  IF(C109="""",, 
    IFERROR(
      GOOGLEFINANCE(C109, ""price"") * GOOGLEFINANCE(C109, ""volumeavg""), 
      GOOGLEFINANCE(C109, ""price"") * AVERAGE(QUERY(GOOGLEFINANCE(C109, ""volume"", TODAY()-40, TODAY()), ""SELECT Col2 WHERE Col2 IS NOT "&amp;"NULL ORDER BY Col1 DESC LIMIT 20"", 0))
    )
  ), 
"""")"),4.337865912E7)</f>
        <v>43378659.12</v>
      </c>
      <c r="K109" s="21">
        <f>IFERROR(__xludf.DUMMYFUNCTION("IFERROR(GOOGLEFINANCE(C109, ""changepct"") / 100, """")"),0.0067)</f>
        <v>0.0067</v>
      </c>
      <c r="L109" s="21" t="str">
        <f>IFERROR(__xludf.DUMMYFUNCTION("IFERROR((GOOGLEFINANCE(C109, ""price"") / INDEX(GOOGLEFINANCE(C109, ""price"", TODAY()-7, TODAY()), 2, 2)) - 1, """")"),"")</f>
        <v/>
      </c>
      <c r="M109" s="21" t="str">
        <f>IFERROR(__xludf.DUMMYFUNCTION("IFERROR((GOOGLEFINANCE(C109, ""price"") / INDEX(GOOGLEFINANCE(C109, ""price"", EDATE(TODAY(), -1), TODAY()), 2, 2)) - 1, """")"),"")</f>
        <v/>
      </c>
      <c r="N109" s="21" t="str">
        <f>IFERROR(__xludf.DUMMYFUNCTION("IFERROR((GOOGLEFINANCE(C109, ""price"") / INDEX(GOOGLEFINANCE(C109, ""price"", EDATE(TODAY(), -3), TODAY()), 2, 2)) - 1, """")"),"")</f>
        <v/>
      </c>
      <c r="O109" s="21" t="str">
        <f>IFERROR(__xludf.DUMMYFUNCTION("IFERROR((GOOGLEFINANCE(C109, ""price"") / INDEX(GOOGLEFINANCE(C109, ""price"", EDATE(TODAY(), -6), TODAY()), 2, 2)) - 1, """")"),"")</f>
        <v/>
      </c>
      <c r="P109" s="21" t="str">
        <f>IFERROR(__xludf.DUMMYFUNCTION("IFERROR((GOOGLEFINANCE(C109, ""price"") / INDEX(GOOGLEFINANCE(C109, ""price"", EDATE(TODAY(), -12), TODAY()), 2, 2)) - 1, """")"),"")</f>
        <v/>
      </c>
      <c r="Q109" s="6" t="str">
        <f>IFERROR(__xludf.DUMMYFUNCTION("AVERAGE(QUERY(GOOGLEFINANCE(C109, ""price"", TODAY()-80, TODAY()), ""SELECT Col2 WHERE Col2 IS NOT NULL ORDER BY Col1 DESC LIMIT 50"", 0))"),"#N/A")</f>
        <v>#N/A</v>
      </c>
      <c r="R109" s="24" t="str">
        <f>IFERROR(__xludf.DUMMYFUNCTION("IFERROR(
  LET(
    data, QUERY(GOOGLEFINANCE(C109,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GOOGLEFINANCE(C109, ""price"")) * 100,
    IF(calc=0, G109, calc)
  ), 
G109)"),"#N/A")</f>
        <v>#N/A</v>
      </c>
      <c r="S109" s="8" t="s">
        <v>15</v>
      </c>
      <c r="T109" s="26" t="str">
        <f>IFERROR(__xludf.DUMMYFUNCTION("IFERROR(TRANSPOSE(QUERY(IFERROR(SORT(GOOGLEFINANCE(C109, ""price"", WORKDAY(TODAY(), -40), TODAY()), 1, FALSE)), ""select Col2 where Col2 is not null limit 22 label Col2 ''"", 0)), """")"),"")</f>
        <v/>
      </c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8"/>
      <c r="AO109" s="28"/>
      <c r="AP109" s="29"/>
      <c r="AQ109" s="29" t="str">
        <f t="shared" ref="AQ109:BL109" si="112">T109/T$2</f>
        <v>#N/A</v>
      </c>
      <c r="AR109" s="29" t="str">
        <f t="shared" si="112"/>
        <v>#DIV/0!</v>
      </c>
      <c r="AS109" s="29" t="str">
        <f t="shared" si="112"/>
        <v>#DIV/0!</v>
      </c>
      <c r="AT109" s="29" t="str">
        <f t="shared" si="112"/>
        <v>#DIV/0!</v>
      </c>
      <c r="AU109" s="29" t="str">
        <f t="shared" si="112"/>
        <v>#DIV/0!</v>
      </c>
      <c r="AV109" s="29" t="str">
        <f t="shared" si="112"/>
        <v>#DIV/0!</v>
      </c>
      <c r="AW109" s="29" t="str">
        <f t="shared" si="112"/>
        <v>#DIV/0!</v>
      </c>
      <c r="AX109" s="29" t="str">
        <f t="shared" si="112"/>
        <v>#DIV/0!</v>
      </c>
      <c r="AY109" s="29" t="str">
        <f t="shared" si="112"/>
        <v>#DIV/0!</v>
      </c>
      <c r="AZ109" s="29" t="str">
        <f t="shared" si="112"/>
        <v>#DIV/0!</v>
      </c>
      <c r="BA109" s="29" t="str">
        <f t="shared" si="112"/>
        <v>#DIV/0!</v>
      </c>
      <c r="BB109" s="29" t="str">
        <f t="shared" si="112"/>
        <v>#DIV/0!</v>
      </c>
      <c r="BC109" s="29" t="str">
        <f t="shared" si="112"/>
        <v>#DIV/0!</v>
      </c>
      <c r="BD109" s="29" t="str">
        <f t="shared" si="112"/>
        <v>#DIV/0!</v>
      </c>
      <c r="BE109" s="29" t="str">
        <f t="shared" si="112"/>
        <v>#DIV/0!</v>
      </c>
      <c r="BF109" s="29" t="str">
        <f t="shared" si="112"/>
        <v>#DIV/0!</v>
      </c>
      <c r="BG109" s="29" t="str">
        <f t="shared" si="112"/>
        <v>#DIV/0!</v>
      </c>
      <c r="BH109" s="29" t="str">
        <f t="shared" si="112"/>
        <v>#DIV/0!</v>
      </c>
      <c r="BI109" s="29" t="str">
        <f t="shared" si="112"/>
        <v>#DIV/0!</v>
      </c>
      <c r="BJ109" s="29" t="str">
        <f t="shared" si="112"/>
        <v>#DIV/0!</v>
      </c>
      <c r="BK109" s="29" t="str">
        <f t="shared" si="112"/>
        <v>#DIV/0!</v>
      </c>
      <c r="BL109" s="29" t="str">
        <f t="shared" si="112"/>
        <v>#DIV/0!</v>
      </c>
      <c r="BM109" s="29" t="str">
        <f t="shared" si="3"/>
        <v>#DIV/0!</v>
      </c>
    </row>
    <row r="110">
      <c r="A110" s="16" t="str">
        <f>IFERROR(__xludf.DUMMYFUNCTION("IFERROR(SPARKLINE(SORT(MAP(TRANSPOSE(AQ110:BL110), LAMBDA(val, IF(ISNUMBER(val), PERCENTRANK(AQ110:BL110, val)+0.01, 0))), SEQUENCE(COLUMNS(AQ110:BL110)), FALSE), {""charttype"",""column""; ""color"",""chartreuse""; ""ymin"", 0; ""ymax"", 1.01; ""highcolo"&amp;"r"", ""darkgreen""; ""lowcolor"", ""red""}), """")"),"")</f>
        <v/>
      </c>
      <c r="B110" s="17" t="str">
        <f t="shared" si="4"/>
        <v/>
      </c>
      <c r="C110" s="1" t="s">
        <v>3070</v>
      </c>
      <c r="D110" s="30" t="str">
        <f>IFERROR(__xludf.DUMMYFUNCTION("IFERROR(GOOGLEFINANCE(C110, ""NAME""))"),"Metal Powder Works Ltd")</f>
        <v>Metal Powder Works Ltd</v>
      </c>
      <c r="E110" s="30" t="s">
        <v>2668</v>
      </c>
      <c r="F110" s="33" t="str">
        <f>IFERROR(__xludf.DUMMYFUNCTION("( (GOOGLEFINANCE(C110, ""price"") - Q110) / Q110 ) / (R110 / 100)"),"Loading...")</f>
        <v>Loading...</v>
      </c>
      <c r="G110" s="20" t="str">
        <f>IFERROR(__xludf.DUMMYFUNCTION("AVERAGE(ARRAYFORMULA(100 * (QUERY(GOOGLEFINANCE(C110, ""high"", TODAY()-40, TODAY()), ""SELECT Col2 WHERE Col2 IS NOT NULL ORDER BY Col1 DESC LIMIT 20"", 0) / QUERY(GOOGLEFINANCE(C110, ""low"", TODAY()-40, TODAY()), ""SELECT Col2 WHERE Col2 IS NOT NULL OR"&amp;"DER BY Col1 DESC LIMIT 20"", 0) - 1)))"),"#N/A")</f>
        <v>#N/A</v>
      </c>
      <c r="H110" s="35" t="str">
        <f t="shared" si="6"/>
        <v>Illiquid</v>
      </c>
      <c r="I110" s="35" t="str">
        <f t="shared" si="7"/>
        <v>RVol Required</v>
      </c>
      <c r="J110" s="37">
        <f>IFERROR(__xludf.DUMMYFUNCTION("IFERROR(
  IF(C110="""",, 
    IFERROR(
      GOOGLEFINANCE(C110, ""price"") * GOOGLEFINANCE(C110, ""volumeavg""), 
      GOOGLEFINANCE(C110, ""price"") * AVERAGE(QUERY(GOOGLEFINANCE(C110, ""volume"", TODAY()-40, TODAY()), ""SELECT Col2 WHERE Col2 IS NOT "&amp;"NULL ORDER BY Col1 DESC LIMIT 20"", 0))
    )
  ), 
"""")"),104413.5)</f>
        <v>104413.5</v>
      </c>
      <c r="K110" s="21">
        <f>IFERROR(__xludf.DUMMYFUNCTION("IFERROR(GOOGLEFINANCE(C110, ""changepct"") / 100, """")"),-0.016399999999999998)</f>
        <v>-0.0164</v>
      </c>
      <c r="L110" s="21" t="str">
        <f>IFERROR(__xludf.DUMMYFUNCTION("IFERROR((GOOGLEFINANCE(C110, ""price"") / INDEX(GOOGLEFINANCE(C110, ""price"", TODAY()-7, TODAY()), 2, 2)) - 1, """")"),"")</f>
        <v/>
      </c>
      <c r="M110" s="21" t="str">
        <f>IFERROR(__xludf.DUMMYFUNCTION("IFERROR((GOOGLEFINANCE(C110, ""price"") / INDEX(GOOGLEFINANCE(C110, ""price"", EDATE(TODAY(), -1), TODAY()), 2, 2)) - 1, """")"),"")</f>
        <v/>
      </c>
      <c r="N110" s="21" t="str">
        <f>IFERROR(__xludf.DUMMYFUNCTION("IFERROR((GOOGLEFINANCE(C110, ""price"") / INDEX(GOOGLEFINANCE(C110, ""price"", EDATE(TODAY(), -3), TODAY()), 2, 2)) - 1, """")"),"")</f>
        <v/>
      </c>
      <c r="O110" s="21" t="str">
        <f>IFERROR(__xludf.DUMMYFUNCTION("IFERROR((GOOGLEFINANCE(C110, ""price"") / INDEX(GOOGLEFINANCE(C110, ""price"", EDATE(TODAY(), -6), TODAY()), 2, 2)) - 1, """")"),"")</f>
        <v/>
      </c>
      <c r="P110" s="21" t="str">
        <f>IFERROR(__xludf.DUMMYFUNCTION("IFERROR((GOOGLEFINANCE(C110, ""price"") / INDEX(GOOGLEFINANCE(C110, ""price"", EDATE(TODAY(), -12), TODAY()), 2, 2)) - 1, """")"),"")</f>
        <v/>
      </c>
      <c r="Q110" s="6" t="str">
        <f>IFERROR(__xludf.DUMMYFUNCTION("AVERAGE(QUERY(GOOGLEFINANCE(C110, ""price"", TODAY()-80, TODAY()), ""SELECT Col2 WHERE Col2 IS NOT NULL ORDER BY Col1 DESC LIMIT 50"", 0))"),"#N/A")</f>
        <v>#N/A</v>
      </c>
      <c r="R110" s="24" t="str">
        <f>IFERROR(__xludf.DUMMYFUNCTION("IFERROR(
  LET(
    data, QUERY(GOOGLEFINANCE(C110,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GOOGLEFINANCE(C110, ""price"")) * 100,
    IF(calc=0, G110, calc)
  ), 
G110)"),"#N/A")</f>
        <v>#N/A</v>
      </c>
      <c r="S110" s="8" t="s">
        <v>15</v>
      </c>
      <c r="T110" s="26" t="str">
        <f>IFERROR(__xludf.DUMMYFUNCTION("IFERROR(TRANSPOSE(QUERY(IFERROR(SORT(GOOGLEFINANCE(C110, ""price"", WORKDAY(TODAY(), -40), TODAY()), 1, FALSE)), ""select Col2 where Col2 is not null limit 22 label Col2 ''"", 0)), """")"),"")</f>
        <v/>
      </c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8"/>
      <c r="AO110" s="28"/>
      <c r="AP110" s="29"/>
      <c r="AQ110" s="29" t="str">
        <f t="shared" ref="AQ110:BL110" si="113">T110/T$2</f>
        <v>#N/A</v>
      </c>
      <c r="AR110" s="29" t="str">
        <f t="shared" si="113"/>
        <v>#DIV/0!</v>
      </c>
      <c r="AS110" s="29" t="str">
        <f t="shared" si="113"/>
        <v>#DIV/0!</v>
      </c>
      <c r="AT110" s="29" t="str">
        <f t="shared" si="113"/>
        <v>#DIV/0!</v>
      </c>
      <c r="AU110" s="29" t="str">
        <f t="shared" si="113"/>
        <v>#DIV/0!</v>
      </c>
      <c r="AV110" s="29" t="str">
        <f t="shared" si="113"/>
        <v>#DIV/0!</v>
      </c>
      <c r="AW110" s="29" t="str">
        <f t="shared" si="113"/>
        <v>#DIV/0!</v>
      </c>
      <c r="AX110" s="29" t="str">
        <f t="shared" si="113"/>
        <v>#DIV/0!</v>
      </c>
      <c r="AY110" s="29" t="str">
        <f t="shared" si="113"/>
        <v>#DIV/0!</v>
      </c>
      <c r="AZ110" s="29" t="str">
        <f t="shared" si="113"/>
        <v>#DIV/0!</v>
      </c>
      <c r="BA110" s="29" t="str">
        <f t="shared" si="113"/>
        <v>#DIV/0!</v>
      </c>
      <c r="BB110" s="29" t="str">
        <f t="shared" si="113"/>
        <v>#DIV/0!</v>
      </c>
      <c r="BC110" s="29" t="str">
        <f t="shared" si="113"/>
        <v>#DIV/0!</v>
      </c>
      <c r="BD110" s="29" t="str">
        <f t="shared" si="113"/>
        <v>#DIV/0!</v>
      </c>
      <c r="BE110" s="29" t="str">
        <f t="shared" si="113"/>
        <v>#DIV/0!</v>
      </c>
      <c r="BF110" s="29" t="str">
        <f t="shared" si="113"/>
        <v>#DIV/0!</v>
      </c>
      <c r="BG110" s="29" t="str">
        <f t="shared" si="113"/>
        <v>#DIV/0!</v>
      </c>
      <c r="BH110" s="29" t="str">
        <f t="shared" si="113"/>
        <v>#DIV/0!</v>
      </c>
      <c r="BI110" s="29" t="str">
        <f t="shared" si="113"/>
        <v>#DIV/0!</v>
      </c>
      <c r="BJ110" s="29" t="str">
        <f t="shared" si="113"/>
        <v>#DIV/0!</v>
      </c>
      <c r="BK110" s="29" t="str">
        <f t="shared" si="113"/>
        <v>#DIV/0!</v>
      </c>
      <c r="BL110" s="29" t="str">
        <f t="shared" si="113"/>
        <v>#DIV/0!</v>
      </c>
      <c r="BM110" s="29" t="str">
        <f t="shared" si="3"/>
        <v>#DIV/0!</v>
      </c>
    </row>
    <row r="111">
      <c r="A111" s="16" t="str">
        <f>IFERROR(__xludf.DUMMYFUNCTION("IFERROR(SPARKLINE(SORT(MAP(TRANSPOSE(AQ111:BL111), LAMBDA(val, IF(ISNUMBER(val), PERCENTRANK(AQ111:BL111, val)+0.01, 0))), SEQUENCE(COLUMNS(AQ111:BL111)), FALSE), {""charttype"",""column""; ""color"",""chartreuse""; ""ymin"", 0; ""ymax"", 1.01; ""highcolo"&amp;"r"", ""darkgreen""; ""lowcolor"", ""red""}), """")"),"")</f>
        <v/>
      </c>
      <c r="B111" s="17" t="str">
        <f t="shared" si="4"/>
        <v/>
      </c>
      <c r="C111" s="1" t="s">
        <v>3073</v>
      </c>
      <c r="D111" s="30" t="str">
        <f>IFERROR(__xludf.DUMMYFUNCTION("IFERROR(GOOGLEFINANCE(C111, ""NAME""))"),"Opendoor Technologies Inc")</f>
        <v>Opendoor Technologies Inc</v>
      </c>
      <c r="E111" s="30" t="s">
        <v>2692</v>
      </c>
      <c r="F111" s="33" t="str">
        <f>IFERROR(__xludf.DUMMYFUNCTION("( (GOOGLEFINANCE(C111, ""price"") - Q111) / Q111 ) / (R111 / 100)"),"Loading...")</f>
        <v>Loading...</v>
      </c>
      <c r="G111" s="20" t="str">
        <f>IFERROR(__xludf.DUMMYFUNCTION("AVERAGE(ARRAYFORMULA(100 * (QUERY(GOOGLEFINANCE(C111, ""high"", TODAY()-40, TODAY()), ""SELECT Col2 WHERE Col2 IS NOT NULL ORDER BY Col1 DESC LIMIT 20"", 0) / QUERY(GOOGLEFINANCE(C111, ""low"", TODAY()-40, TODAY()), ""SELECT Col2 WHERE Col2 IS NOT NULL OR"&amp;"DER BY Col1 DESC LIMIT 20"", 0) - 1)))"),"#N/A")</f>
        <v>#N/A</v>
      </c>
      <c r="H111" s="35" t="str">
        <f t="shared" si="6"/>
        <v>Liquid</v>
      </c>
      <c r="I111" s="35" t="str">
        <f t="shared" si="7"/>
        <v>RVol Required</v>
      </c>
      <c r="J111" s="37">
        <f>IFERROR(__xludf.DUMMYFUNCTION("IFERROR(
  IF(C111="""",, 
    IFERROR(
      GOOGLEFINANCE(C111, ""price"") * GOOGLEFINANCE(C111, ""volumeavg""), 
      GOOGLEFINANCE(C111, ""price"") * AVERAGE(QUERY(GOOGLEFINANCE(C111, ""volume"", TODAY()-40, TODAY()), ""SELECT Col2 WHERE Col2 IS NOT "&amp;"NULL ORDER BY Col1 DESC LIMIT 20"", 0))
    )
  ), 
"""")"),7.015796772E7)</f>
        <v>70157967.72</v>
      </c>
      <c r="K111" s="21">
        <f>IFERROR(__xludf.DUMMYFUNCTION("IFERROR(GOOGLEFINANCE(C111, ""changepct"") / 100, """")"),-0.08839999999999999)</f>
        <v>-0.0884</v>
      </c>
      <c r="L111" s="21" t="str">
        <f>IFERROR(__xludf.DUMMYFUNCTION("IFERROR((GOOGLEFINANCE(C111, ""price"") / INDEX(GOOGLEFINANCE(C111, ""price"", TODAY()-7, TODAY()), 2, 2)) - 1, """")"),"")</f>
        <v/>
      </c>
      <c r="M111" s="21" t="str">
        <f>IFERROR(__xludf.DUMMYFUNCTION("IFERROR((GOOGLEFINANCE(C111, ""price"") / INDEX(GOOGLEFINANCE(C111, ""price"", EDATE(TODAY(), -1), TODAY()), 2, 2)) - 1, """")"),"")</f>
        <v/>
      </c>
      <c r="N111" s="21" t="str">
        <f>IFERROR(__xludf.DUMMYFUNCTION("IFERROR((GOOGLEFINANCE(C111, ""price"") / INDEX(GOOGLEFINANCE(C111, ""price"", EDATE(TODAY(), -3), TODAY()), 2, 2)) - 1, """")"),"")</f>
        <v/>
      </c>
      <c r="O111" s="21" t="str">
        <f>IFERROR(__xludf.DUMMYFUNCTION("IFERROR((GOOGLEFINANCE(C111, ""price"") / INDEX(GOOGLEFINANCE(C111, ""price"", EDATE(TODAY(), -6), TODAY()), 2, 2)) - 1, """")"),"")</f>
        <v/>
      </c>
      <c r="P111" s="21" t="str">
        <f>IFERROR(__xludf.DUMMYFUNCTION("IFERROR((GOOGLEFINANCE(C111, ""price"") / INDEX(GOOGLEFINANCE(C111, ""price"", EDATE(TODAY(), -12), TODAY()), 2, 2)) - 1, """")"),"")</f>
        <v/>
      </c>
      <c r="Q111" s="6" t="str">
        <f>IFERROR(__xludf.DUMMYFUNCTION("AVERAGE(QUERY(GOOGLEFINANCE(C111, ""price"", TODAY()-80, TODAY()), ""SELECT Col2 WHERE Col2 IS NOT NULL ORDER BY Col1 DESC LIMIT 50"", 0))"),"#N/A")</f>
        <v>#N/A</v>
      </c>
      <c r="R111" s="24" t="str">
        <f>IFERROR(__xludf.DUMMYFUNCTION("IFERROR(
  LET(
    data, QUERY(GOOGLEFINANCE(C111,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GOOGLEFINANCE(C111, ""price"")) * 100,
    IF(calc=0, G111, calc)
  ), 
G111)"),"#N/A")</f>
        <v>#N/A</v>
      </c>
      <c r="S111" s="8" t="s">
        <v>15</v>
      </c>
      <c r="T111" s="26" t="str">
        <f>IFERROR(__xludf.DUMMYFUNCTION("IFERROR(TRANSPOSE(QUERY(IFERROR(SORT(GOOGLEFINANCE(C111, ""price"", WORKDAY(TODAY(), -40), TODAY()), 1, FALSE)), ""select Col2 where Col2 is not null limit 22 label Col2 ''"", 0)), """")"),"")</f>
        <v/>
      </c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8"/>
      <c r="AO111" s="28"/>
      <c r="AP111" s="29"/>
      <c r="AQ111" s="29" t="str">
        <f t="shared" ref="AQ111:BL111" si="114">T111/T$2</f>
        <v>#N/A</v>
      </c>
      <c r="AR111" s="29" t="str">
        <f t="shared" si="114"/>
        <v>#DIV/0!</v>
      </c>
      <c r="AS111" s="29" t="str">
        <f t="shared" si="114"/>
        <v>#DIV/0!</v>
      </c>
      <c r="AT111" s="29" t="str">
        <f t="shared" si="114"/>
        <v>#DIV/0!</v>
      </c>
      <c r="AU111" s="29" t="str">
        <f t="shared" si="114"/>
        <v>#DIV/0!</v>
      </c>
      <c r="AV111" s="29" t="str">
        <f t="shared" si="114"/>
        <v>#DIV/0!</v>
      </c>
      <c r="AW111" s="29" t="str">
        <f t="shared" si="114"/>
        <v>#DIV/0!</v>
      </c>
      <c r="AX111" s="29" t="str">
        <f t="shared" si="114"/>
        <v>#DIV/0!</v>
      </c>
      <c r="AY111" s="29" t="str">
        <f t="shared" si="114"/>
        <v>#DIV/0!</v>
      </c>
      <c r="AZ111" s="29" t="str">
        <f t="shared" si="114"/>
        <v>#DIV/0!</v>
      </c>
      <c r="BA111" s="29" t="str">
        <f t="shared" si="114"/>
        <v>#DIV/0!</v>
      </c>
      <c r="BB111" s="29" t="str">
        <f t="shared" si="114"/>
        <v>#DIV/0!</v>
      </c>
      <c r="BC111" s="29" t="str">
        <f t="shared" si="114"/>
        <v>#DIV/0!</v>
      </c>
      <c r="BD111" s="29" t="str">
        <f t="shared" si="114"/>
        <v>#DIV/0!</v>
      </c>
      <c r="BE111" s="29" t="str">
        <f t="shared" si="114"/>
        <v>#DIV/0!</v>
      </c>
      <c r="BF111" s="29" t="str">
        <f t="shared" si="114"/>
        <v>#DIV/0!</v>
      </c>
      <c r="BG111" s="29" t="str">
        <f t="shared" si="114"/>
        <v>#DIV/0!</v>
      </c>
      <c r="BH111" s="29" t="str">
        <f t="shared" si="114"/>
        <v>#DIV/0!</v>
      </c>
      <c r="BI111" s="29" t="str">
        <f t="shared" si="114"/>
        <v>#DIV/0!</v>
      </c>
      <c r="BJ111" s="29" t="str">
        <f t="shared" si="114"/>
        <v>#DIV/0!</v>
      </c>
      <c r="BK111" s="29" t="str">
        <f t="shared" si="114"/>
        <v>#DIV/0!</v>
      </c>
      <c r="BL111" s="29" t="str">
        <f t="shared" si="114"/>
        <v>#DIV/0!</v>
      </c>
      <c r="BM111" s="29" t="str">
        <f t="shared" si="3"/>
        <v>#DIV/0!</v>
      </c>
    </row>
    <row r="112">
      <c r="A112" s="16" t="str">
        <f>IFERROR(__xludf.DUMMYFUNCTION("IFERROR(SPARKLINE(SORT(MAP(TRANSPOSE(AQ112:BL112), LAMBDA(val, IF(ISNUMBER(val), PERCENTRANK(AQ112:BL112, val)+0.01, 0))), SEQUENCE(COLUMNS(AQ112:BL112)), FALSE), {""charttype"",""column""; ""color"",""chartreuse""; ""ymin"", 0; ""ymax"", 1.01; ""highcolo"&amp;"r"", ""darkgreen""; ""lowcolor"", ""red""}), """")"),"")</f>
        <v/>
      </c>
      <c r="B112" s="17" t="str">
        <f t="shared" si="4"/>
        <v/>
      </c>
      <c r="C112" s="1" t="s">
        <v>3075</v>
      </c>
      <c r="D112" s="30" t="str">
        <f>IFERROR(__xludf.DUMMYFUNCTION("IFERROR(GOOGLEFINANCE(C112, ""NAME""))"),"CBRE Group Inc")</f>
        <v>CBRE Group Inc</v>
      </c>
      <c r="E112" s="30" t="s">
        <v>2692</v>
      </c>
      <c r="F112" s="33" t="str">
        <f>IFERROR(__xludf.DUMMYFUNCTION("( (GOOGLEFINANCE(C112, ""price"") - Q112) / Q112 ) / (R112 / 100)"),"Loading...")</f>
        <v>Loading...</v>
      </c>
      <c r="G112" s="20" t="str">
        <f>IFERROR(__xludf.DUMMYFUNCTION("AVERAGE(ARRAYFORMULA(100 * (QUERY(GOOGLEFINANCE(C112, ""high"", TODAY()-40, TODAY()), ""SELECT Col2 WHERE Col2 IS NOT NULL ORDER BY Col1 DESC LIMIT 20"", 0) / QUERY(GOOGLEFINANCE(C112, ""low"", TODAY()-40, TODAY()), ""SELECT Col2 WHERE Col2 IS NOT NULL OR"&amp;"DER BY Col1 DESC LIMIT 20"", 0) - 1)))"),"#N/A")</f>
        <v>#N/A</v>
      </c>
      <c r="H112" s="35" t="str">
        <f t="shared" si="6"/>
        <v>Liquid</v>
      </c>
      <c r="I112" s="35" t="str">
        <f t="shared" si="7"/>
        <v>RVol Required</v>
      </c>
      <c r="J112" s="37">
        <f>IFERROR(__xludf.DUMMYFUNCTION("IFERROR(
  IF(C112="""",, 
    IFERROR(
      GOOGLEFINANCE(C112, ""price"") * GOOGLEFINANCE(C112, ""volumeavg""), 
      GOOGLEFINANCE(C112, ""price"") * AVERAGE(QUERY(GOOGLEFINANCE(C112, ""volume"", TODAY()-40, TODAY()), ""SELECT Col2 WHERE Col2 IS NOT "&amp;"NULL ORDER BY Col1 DESC LIMIT 20"", 0))
    )
  ), 
"""")"),2.7634274928000003E8)</f>
        <v>276342749.3</v>
      </c>
      <c r="K112" s="21">
        <f>IFERROR(__xludf.DUMMYFUNCTION("IFERROR(GOOGLEFINANCE(C112, ""changepct"") / 100, """")"),-0.0178)</f>
        <v>-0.0178</v>
      </c>
      <c r="L112" s="21" t="str">
        <f>IFERROR(__xludf.DUMMYFUNCTION("IFERROR((GOOGLEFINANCE(C112, ""price"") / INDEX(GOOGLEFINANCE(C112, ""price"", TODAY()-7, TODAY()), 2, 2)) - 1, """")"),"")</f>
        <v/>
      </c>
      <c r="M112" s="21" t="str">
        <f>IFERROR(__xludf.DUMMYFUNCTION("IFERROR((GOOGLEFINANCE(C112, ""price"") / INDEX(GOOGLEFINANCE(C112, ""price"", EDATE(TODAY(), -1), TODAY()), 2, 2)) - 1, """")"),"")</f>
        <v/>
      </c>
      <c r="N112" s="21" t="str">
        <f>IFERROR(__xludf.DUMMYFUNCTION("IFERROR((GOOGLEFINANCE(C112, ""price"") / INDEX(GOOGLEFINANCE(C112, ""price"", EDATE(TODAY(), -3), TODAY()), 2, 2)) - 1, """")"),"")</f>
        <v/>
      </c>
      <c r="O112" s="21" t="str">
        <f>IFERROR(__xludf.DUMMYFUNCTION("IFERROR((GOOGLEFINANCE(C112, ""price"") / INDEX(GOOGLEFINANCE(C112, ""price"", EDATE(TODAY(), -6), TODAY()), 2, 2)) - 1, """")"),"")</f>
        <v/>
      </c>
      <c r="P112" s="21" t="str">
        <f>IFERROR(__xludf.DUMMYFUNCTION("IFERROR((GOOGLEFINANCE(C112, ""price"") / INDEX(GOOGLEFINANCE(C112, ""price"", EDATE(TODAY(), -12), TODAY()), 2, 2)) - 1, """")"),"")</f>
        <v/>
      </c>
      <c r="Q112" s="6" t="str">
        <f>IFERROR(__xludf.DUMMYFUNCTION("AVERAGE(QUERY(GOOGLEFINANCE(C112, ""price"", TODAY()-80, TODAY()), ""SELECT Col2 WHERE Col2 IS NOT NULL ORDER BY Col1 DESC LIMIT 50"", 0))"),"#N/A")</f>
        <v>#N/A</v>
      </c>
      <c r="R112" s="24" t="str">
        <f>IFERROR(__xludf.DUMMYFUNCTION("IFERROR(
  LET(
    data, QUERY(GOOGLEFINANCE(C112,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GOOGLEFINANCE(C112, ""price"")) * 100,
    IF(calc=0, G112, calc)
  ), 
G112)"),"#N/A")</f>
        <v>#N/A</v>
      </c>
      <c r="S112" s="8" t="s">
        <v>15</v>
      </c>
      <c r="T112" s="26" t="str">
        <f>IFERROR(__xludf.DUMMYFUNCTION("IFERROR(TRANSPOSE(QUERY(IFERROR(SORT(GOOGLEFINANCE(C112, ""price"", WORKDAY(TODAY(), -40), TODAY()), 1, FALSE)), ""select Col2 where Col2 is not null limit 22 label Col2 ''"", 0)), """")"),"")</f>
        <v/>
      </c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8"/>
      <c r="AO112" s="28"/>
      <c r="AP112" s="29"/>
      <c r="AQ112" s="29" t="str">
        <f t="shared" ref="AQ112:BL112" si="115">T112/T$2</f>
        <v>#N/A</v>
      </c>
      <c r="AR112" s="29" t="str">
        <f t="shared" si="115"/>
        <v>#DIV/0!</v>
      </c>
      <c r="AS112" s="29" t="str">
        <f t="shared" si="115"/>
        <v>#DIV/0!</v>
      </c>
      <c r="AT112" s="29" t="str">
        <f t="shared" si="115"/>
        <v>#DIV/0!</v>
      </c>
      <c r="AU112" s="29" t="str">
        <f t="shared" si="115"/>
        <v>#DIV/0!</v>
      </c>
      <c r="AV112" s="29" t="str">
        <f t="shared" si="115"/>
        <v>#DIV/0!</v>
      </c>
      <c r="AW112" s="29" t="str">
        <f t="shared" si="115"/>
        <v>#DIV/0!</v>
      </c>
      <c r="AX112" s="29" t="str">
        <f t="shared" si="115"/>
        <v>#DIV/0!</v>
      </c>
      <c r="AY112" s="29" t="str">
        <f t="shared" si="115"/>
        <v>#DIV/0!</v>
      </c>
      <c r="AZ112" s="29" t="str">
        <f t="shared" si="115"/>
        <v>#DIV/0!</v>
      </c>
      <c r="BA112" s="29" t="str">
        <f t="shared" si="115"/>
        <v>#DIV/0!</v>
      </c>
      <c r="BB112" s="29" t="str">
        <f t="shared" si="115"/>
        <v>#DIV/0!</v>
      </c>
      <c r="BC112" s="29" t="str">
        <f t="shared" si="115"/>
        <v>#DIV/0!</v>
      </c>
      <c r="BD112" s="29" t="str">
        <f t="shared" si="115"/>
        <v>#DIV/0!</v>
      </c>
      <c r="BE112" s="29" t="str">
        <f t="shared" si="115"/>
        <v>#DIV/0!</v>
      </c>
      <c r="BF112" s="29" t="str">
        <f t="shared" si="115"/>
        <v>#DIV/0!</v>
      </c>
      <c r="BG112" s="29" t="str">
        <f t="shared" si="115"/>
        <v>#DIV/0!</v>
      </c>
      <c r="BH112" s="29" t="str">
        <f t="shared" si="115"/>
        <v>#DIV/0!</v>
      </c>
      <c r="BI112" s="29" t="str">
        <f t="shared" si="115"/>
        <v>#DIV/0!</v>
      </c>
      <c r="BJ112" s="29" t="str">
        <f t="shared" si="115"/>
        <v>#DIV/0!</v>
      </c>
      <c r="BK112" s="29" t="str">
        <f t="shared" si="115"/>
        <v>#DIV/0!</v>
      </c>
      <c r="BL112" s="29" t="str">
        <f t="shared" si="115"/>
        <v>#DIV/0!</v>
      </c>
      <c r="BM112" s="29" t="str">
        <f t="shared" si="3"/>
        <v>#DIV/0!</v>
      </c>
    </row>
    <row r="113">
      <c r="A113" s="16" t="str">
        <f>IFERROR(__xludf.DUMMYFUNCTION("IFERROR(SPARKLINE(SORT(MAP(TRANSPOSE(AQ113:BL113), LAMBDA(val, IF(ISNUMBER(val), PERCENTRANK(AQ113:BL113, val)+0.01, 0))), SEQUENCE(COLUMNS(AQ113:BL113)), FALSE), {""charttype"",""column""; ""color"",""chartreuse""; ""ymin"", 0; ""ymax"", 1.01; ""highcolo"&amp;"r"", ""darkgreen""; ""lowcolor"", ""red""}), """")"),"")</f>
        <v/>
      </c>
      <c r="B113" s="17" t="str">
        <f t="shared" si="4"/>
        <v/>
      </c>
      <c r="C113" s="1" t="s">
        <v>3078</v>
      </c>
      <c r="D113" s="30" t="str">
        <f>IFERROR(__xludf.DUMMYFUNCTION("IFERROR(GOOGLEFINANCE(C113, ""NAME""))"),"St Joe Co")</f>
        <v>St Joe Co</v>
      </c>
      <c r="E113" s="30" t="s">
        <v>2923</v>
      </c>
      <c r="F113" s="38" t="str">
        <f>IFERROR(__xludf.DUMMYFUNCTION("( (GOOGLEFINANCE(C113, ""price"") - Q113) / Q113 ) / (R113 / 100)"),"Loading...")</f>
        <v>Loading...</v>
      </c>
      <c r="G113" s="20" t="str">
        <f>IFERROR(__xludf.DUMMYFUNCTION("AVERAGE(ARRAYFORMULA(100 * (QUERY(GOOGLEFINANCE(C113, ""high"", TODAY()-40, TODAY()), ""SELECT Col2 WHERE Col2 IS NOT NULL ORDER BY Col1 DESC LIMIT 20"", 0) / QUERY(GOOGLEFINANCE(C113, ""low"", TODAY()-40, TODAY()), ""SELECT Col2 WHERE Col2 IS NOT NULL OR"&amp;"DER BY Col1 DESC LIMIT 20"", 0) - 1)))"),"#N/A")</f>
        <v>#N/A</v>
      </c>
      <c r="H113" s="35" t="str">
        <f t="shared" si="6"/>
        <v>Illiquid</v>
      </c>
      <c r="I113" s="35" t="str">
        <f t="shared" si="7"/>
        <v>RVol Required</v>
      </c>
      <c r="J113" s="37">
        <f>IFERROR(__xludf.DUMMYFUNCTION("IFERROR(
  IF(C113="""",, 
    IFERROR(
      GOOGLEFINANCE(C113, ""price"") * GOOGLEFINANCE(C113, ""volumeavg""), 
      GOOGLEFINANCE(C113, ""price"") * AVERAGE(QUERY(GOOGLEFINANCE(C113, ""volume"", TODAY()-40, TODAY()), ""SELECT Col2 WHERE Col2 IS NOT "&amp;"NULL ORDER BY Col1 DESC LIMIT 20"", 0))
    )
  ), 
"""")"),1.841063602E7)</f>
        <v>18410636.02</v>
      </c>
      <c r="K113" s="21">
        <f>IFERROR(__xludf.DUMMYFUNCTION("IFERROR(GOOGLEFINANCE(C113, ""changepct"") / 100, """")"),0.0097)</f>
        <v>0.0097</v>
      </c>
      <c r="L113" s="21" t="str">
        <f>IFERROR(__xludf.DUMMYFUNCTION("IFERROR((GOOGLEFINANCE(C113, ""price"") / INDEX(GOOGLEFINANCE(C113, ""price"", TODAY()-7, TODAY()), 2, 2)) - 1, """")"),"")</f>
        <v/>
      </c>
      <c r="M113" s="21" t="str">
        <f>IFERROR(__xludf.DUMMYFUNCTION("IFERROR((GOOGLEFINANCE(C113, ""price"") / INDEX(GOOGLEFINANCE(C113, ""price"", EDATE(TODAY(), -1), TODAY()), 2, 2)) - 1, """")"),"")</f>
        <v/>
      </c>
      <c r="N113" s="21" t="str">
        <f>IFERROR(__xludf.DUMMYFUNCTION("IFERROR((GOOGLEFINANCE(C113, ""price"") / INDEX(GOOGLEFINANCE(C113, ""price"", EDATE(TODAY(), -3), TODAY()), 2, 2)) - 1, """")"),"")</f>
        <v/>
      </c>
      <c r="O113" s="21" t="str">
        <f>IFERROR(__xludf.DUMMYFUNCTION("IFERROR((GOOGLEFINANCE(C113, ""price"") / INDEX(GOOGLEFINANCE(C113, ""price"", EDATE(TODAY(), -6), TODAY()), 2, 2)) - 1, """")"),"")</f>
        <v/>
      </c>
      <c r="P113" s="21" t="str">
        <f>IFERROR(__xludf.DUMMYFUNCTION("IFERROR((GOOGLEFINANCE(C113, ""price"") / INDEX(GOOGLEFINANCE(C113, ""price"", EDATE(TODAY(), -12), TODAY()), 2, 2)) - 1, """")"),"")</f>
        <v/>
      </c>
      <c r="Q113" s="6" t="str">
        <f>IFERROR(__xludf.DUMMYFUNCTION("AVERAGE(QUERY(GOOGLEFINANCE(C113, ""price"", TODAY()-80, TODAY()), ""SELECT Col2 WHERE Col2 IS NOT NULL ORDER BY Col1 DESC LIMIT 50"", 0))"),"#N/A")</f>
        <v>#N/A</v>
      </c>
      <c r="R113" s="24" t="str">
        <f>IFERROR(__xludf.DUMMYFUNCTION("IFERROR(
  LET(
    data, QUERY(GOOGLEFINANCE(C113,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GOOGLEFINANCE(C113, ""price"")) * 100,
    IF(calc=0, G113, calc)
  ), 
G113)"),"#N/A")</f>
        <v>#N/A</v>
      </c>
      <c r="S113" s="8" t="s">
        <v>15</v>
      </c>
      <c r="T113" s="26" t="str">
        <f>IFERROR(__xludf.DUMMYFUNCTION("IFERROR(TRANSPOSE(QUERY(IFERROR(SORT(GOOGLEFINANCE(C113, ""price"", WORKDAY(TODAY(), -40), TODAY()), 1, FALSE)), ""select Col2 where Col2 is not null limit 22 label Col2 ''"", 0)), """")"),"")</f>
        <v/>
      </c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8"/>
      <c r="AO113" s="28"/>
      <c r="AP113" s="29"/>
      <c r="AQ113" s="29" t="str">
        <f t="shared" ref="AQ113:BL113" si="116">T113/T$2</f>
        <v>#N/A</v>
      </c>
      <c r="AR113" s="29" t="str">
        <f t="shared" si="116"/>
        <v>#DIV/0!</v>
      </c>
      <c r="AS113" s="29" t="str">
        <f t="shared" si="116"/>
        <v>#DIV/0!</v>
      </c>
      <c r="AT113" s="29" t="str">
        <f t="shared" si="116"/>
        <v>#DIV/0!</v>
      </c>
      <c r="AU113" s="29" t="str">
        <f t="shared" si="116"/>
        <v>#DIV/0!</v>
      </c>
      <c r="AV113" s="29" t="str">
        <f t="shared" si="116"/>
        <v>#DIV/0!</v>
      </c>
      <c r="AW113" s="29" t="str">
        <f t="shared" si="116"/>
        <v>#DIV/0!</v>
      </c>
      <c r="AX113" s="29" t="str">
        <f t="shared" si="116"/>
        <v>#DIV/0!</v>
      </c>
      <c r="AY113" s="29" t="str">
        <f t="shared" si="116"/>
        <v>#DIV/0!</v>
      </c>
      <c r="AZ113" s="29" t="str">
        <f t="shared" si="116"/>
        <v>#DIV/0!</v>
      </c>
      <c r="BA113" s="29" t="str">
        <f t="shared" si="116"/>
        <v>#DIV/0!</v>
      </c>
      <c r="BB113" s="29" t="str">
        <f t="shared" si="116"/>
        <v>#DIV/0!</v>
      </c>
      <c r="BC113" s="29" t="str">
        <f t="shared" si="116"/>
        <v>#DIV/0!</v>
      </c>
      <c r="BD113" s="29" t="str">
        <f t="shared" si="116"/>
        <v>#DIV/0!</v>
      </c>
      <c r="BE113" s="29" t="str">
        <f t="shared" si="116"/>
        <v>#DIV/0!</v>
      </c>
      <c r="BF113" s="29" t="str">
        <f t="shared" si="116"/>
        <v>#DIV/0!</v>
      </c>
      <c r="BG113" s="29" t="str">
        <f t="shared" si="116"/>
        <v>#DIV/0!</v>
      </c>
      <c r="BH113" s="29" t="str">
        <f t="shared" si="116"/>
        <v>#DIV/0!</v>
      </c>
      <c r="BI113" s="29" t="str">
        <f t="shared" si="116"/>
        <v>#DIV/0!</v>
      </c>
      <c r="BJ113" s="29" t="str">
        <f t="shared" si="116"/>
        <v>#DIV/0!</v>
      </c>
      <c r="BK113" s="29" t="str">
        <f t="shared" si="116"/>
        <v>#DIV/0!</v>
      </c>
      <c r="BL113" s="29" t="str">
        <f t="shared" si="116"/>
        <v>#DIV/0!</v>
      </c>
      <c r="BM113" s="29" t="str">
        <f t="shared" si="3"/>
        <v>#DIV/0!</v>
      </c>
    </row>
    <row r="114">
      <c r="A114" s="16" t="str">
        <f>IFERROR(__xludf.DUMMYFUNCTION("IFERROR(SPARKLINE(SORT(MAP(TRANSPOSE(AQ114:BL114), LAMBDA(val, IF(ISNUMBER(val), PERCENTRANK(AQ114:BL114, val)+0.01, 0))), SEQUENCE(COLUMNS(AQ114:BL114)), FALSE), {""charttype"",""column""; ""color"",""chartreuse""; ""ymin"", 0; ""ymax"", 1.01; ""highcolo"&amp;"r"", ""darkgreen""; ""lowcolor"", ""red""}), """")"),"")</f>
        <v/>
      </c>
      <c r="B114" s="17" t="str">
        <f t="shared" si="4"/>
        <v/>
      </c>
      <c r="C114" s="1" t="s">
        <v>3081</v>
      </c>
      <c r="D114" s="30" t="str">
        <f>IFERROR(__xludf.DUMMYFUNCTION("IFERROR(GOOGLEFINANCE(C114, ""NAME""))"),"ARMOUR Residential REIT, Inc.")</f>
        <v>ARMOUR Residential REIT, Inc.</v>
      </c>
      <c r="E114" s="30" t="s">
        <v>2682</v>
      </c>
      <c r="F114" s="33" t="str">
        <f>IFERROR(__xludf.DUMMYFUNCTION("( (GOOGLEFINANCE(C114, ""price"") - Q114) / Q114 ) / (R114 / 100)"),"Loading...")</f>
        <v>Loading...</v>
      </c>
      <c r="G114" s="20" t="str">
        <f>IFERROR(__xludf.DUMMYFUNCTION("AVERAGE(ARRAYFORMULA(100 * (QUERY(GOOGLEFINANCE(C114, ""high"", TODAY()-40, TODAY()), ""SELECT Col2 WHERE Col2 IS NOT NULL ORDER BY Col1 DESC LIMIT 20"", 0) / QUERY(GOOGLEFINANCE(C114, ""low"", TODAY()-40, TODAY()), ""SELECT Col2 WHERE Col2 IS NOT NULL OR"&amp;"DER BY Col1 DESC LIMIT 20"", 0) - 1)))"),"#N/A")</f>
        <v>#N/A</v>
      </c>
      <c r="H114" s="35" t="str">
        <f t="shared" si="6"/>
        <v>Liquid</v>
      </c>
      <c r="I114" s="35" t="str">
        <f t="shared" si="7"/>
        <v>RVol Required</v>
      </c>
      <c r="J114" s="37">
        <f>IFERROR(__xludf.DUMMYFUNCTION("IFERROR(
  IF(C114="""",, 
    IFERROR(
      GOOGLEFINANCE(C114, ""price"") * GOOGLEFINANCE(C114, ""volumeavg""), 
      GOOGLEFINANCE(C114, ""price"") * AVERAGE(QUERY(GOOGLEFINANCE(C114, ""volume"", TODAY()-40, TODAY()), ""SELECT Col2 WHERE Col2 IS NOT "&amp;"NULL ORDER BY Col1 DESC LIMIT 20"", 0))
    )
  ), 
"""")"),6.21724488E7)</f>
        <v>62172448.8</v>
      </c>
      <c r="K114" s="21">
        <f>IFERROR(__xludf.DUMMYFUNCTION("IFERROR(GOOGLEFINANCE(C114, ""changepct"") / 100, """")"),-0.0337)</f>
        <v>-0.0337</v>
      </c>
      <c r="L114" s="21" t="str">
        <f>IFERROR(__xludf.DUMMYFUNCTION("IFERROR((GOOGLEFINANCE(C114, ""price"") / INDEX(GOOGLEFINANCE(C114, ""price"", TODAY()-7, TODAY()), 2, 2)) - 1, """")"),"")</f>
        <v/>
      </c>
      <c r="M114" s="21" t="str">
        <f>IFERROR(__xludf.DUMMYFUNCTION("IFERROR((GOOGLEFINANCE(C114, ""price"") / INDEX(GOOGLEFINANCE(C114, ""price"", EDATE(TODAY(), -1), TODAY()), 2, 2)) - 1, """")"),"")</f>
        <v/>
      </c>
      <c r="N114" s="21" t="str">
        <f>IFERROR(__xludf.DUMMYFUNCTION("IFERROR((GOOGLEFINANCE(C114, ""price"") / INDEX(GOOGLEFINANCE(C114, ""price"", EDATE(TODAY(), -3), TODAY()), 2, 2)) - 1, """")"),"")</f>
        <v/>
      </c>
      <c r="O114" s="21" t="str">
        <f>IFERROR(__xludf.DUMMYFUNCTION("IFERROR((GOOGLEFINANCE(C114, ""price"") / INDEX(GOOGLEFINANCE(C114, ""price"", EDATE(TODAY(), -6), TODAY()), 2, 2)) - 1, """")"),"")</f>
        <v/>
      </c>
      <c r="P114" s="21" t="str">
        <f>IFERROR(__xludf.DUMMYFUNCTION("IFERROR((GOOGLEFINANCE(C114, ""price"") / INDEX(GOOGLEFINANCE(C114, ""price"", EDATE(TODAY(), -12), TODAY()), 2, 2)) - 1, """")"),"")</f>
        <v/>
      </c>
      <c r="Q114" s="6" t="str">
        <f>IFERROR(__xludf.DUMMYFUNCTION("AVERAGE(QUERY(GOOGLEFINANCE(C114, ""price"", TODAY()-80, TODAY()), ""SELECT Col2 WHERE Col2 IS NOT NULL ORDER BY Col1 DESC LIMIT 50"", 0))"),"#N/A")</f>
        <v>#N/A</v>
      </c>
      <c r="R114" s="24" t="str">
        <f>IFERROR(__xludf.DUMMYFUNCTION("IFERROR(
  LET(
    data, QUERY(GOOGLEFINANCE(C114,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GOOGLEFINANCE(C114, ""price"")) * 100,
    IF(calc=0, G114, calc)
  ), 
G114)"),"#N/A")</f>
        <v>#N/A</v>
      </c>
      <c r="S114" s="8" t="s">
        <v>15</v>
      </c>
      <c r="T114" s="26" t="str">
        <f>IFERROR(__xludf.DUMMYFUNCTION("IFERROR(TRANSPOSE(QUERY(IFERROR(SORT(GOOGLEFINANCE(C114, ""price"", WORKDAY(TODAY(), -40), TODAY()), 1, FALSE)), ""select Col2 where Col2 is not null limit 22 label Col2 ''"", 0)), """")"),"")</f>
        <v/>
      </c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8"/>
      <c r="AO114" s="28"/>
      <c r="AP114" s="29"/>
      <c r="AQ114" s="29" t="str">
        <f t="shared" ref="AQ114:BL114" si="117">T114/T$2</f>
        <v>#N/A</v>
      </c>
      <c r="AR114" s="29" t="str">
        <f t="shared" si="117"/>
        <v>#DIV/0!</v>
      </c>
      <c r="AS114" s="29" t="str">
        <f t="shared" si="117"/>
        <v>#DIV/0!</v>
      </c>
      <c r="AT114" s="29" t="str">
        <f t="shared" si="117"/>
        <v>#DIV/0!</v>
      </c>
      <c r="AU114" s="29" t="str">
        <f t="shared" si="117"/>
        <v>#DIV/0!</v>
      </c>
      <c r="AV114" s="29" t="str">
        <f t="shared" si="117"/>
        <v>#DIV/0!</v>
      </c>
      <c r="AW114" s="29" t="str">
        <f t="shared" si="117"/>
        <v>#DIV/0!</v>
      </c>
      <c r="AX114" s="29" t="str">
        <f t="shared" si="117"/>
        <v>#DIV/0!</v>
      </c>
      <c r="AY114" s="29" t="str">
        <f t="shared" si="117"/>
        <v>#DIV/0!</v>
      </c>
      <c r="AZ114" s="29" t="str">
        <f t="shared" si="117"/>
        <v>#DIV/0!</v>
      </c>
      <c r="BA114" s="29" t="str">
        <f t="shared" si="117"/>
        <v>#DIV/0!</v>
      </c>
      <c r="BB114" s="29" t="str">
        <f t="shared" si="117"/>
        <v>#DIV/0!</v>
      </c>
      <c r="BC114" s="29" t="str">
        <f t="shared" si="117"/>
        <v>#DIV/0!</v>
      </c>
      <c r="BD114" s="29" t="str">
        <f t="shared" si="117"/>
        <v>#DIV/0!</v>
      </c>
      <c r="BE114" s="29" t="str">
        <f t="shared" si="117"/>
        <v>#DIV/0!</v>
      </c>
      <c r="BF114" s="29" t="str">
        <f t="shared" si="117"/>
        <v>#DIV/0!</v>
      </c>
      <c r="BG114" s="29" t="str">
        <f t="shared" si="117"/>
        <v>#DIV/0!</v>
      </c>
      <c r="BH114" s="29" t="str">
        <f t="shared" si="117"/>
        <v>#DIV/0!</v>
      </c>
      <c r="BI114" s="29" t="str">
        <f t="shared" si="117"/>
        <v>#DIV/0!</v>
      </c>
      <c r="BJ114" s="29" t="str">
        <f t="shared" si="117"/>
        <v>#DIV/0!</v>
      </c>
      <c r="BK114" s="29" t="str">
        <f t="shared" si="117"/>
        <v>#DIV/0!</v>
      </c>
      <c r="BL114" s="29" t="str">
        <f t="shared" si="117"/>
        <v>#DIV/0!</v>
      </c>
      <c r="BM114" s="29" t="str">
        <f t="shared" si="3"/>
        <v>#DIV/0!</v>
      </c>
    </row>
    <row r="115">
      <c r="A115" s="16" t="str">
        <f>IFERROR(__xludf.DUMMYFUNCTION("IFERROR(SPARKLINE(SORT(MAP(TRANSPOSE(AQ115:BL115), LAMBDA(val, IF(ISNUMBER(val), PERCENTRANK(AQ115:BL115, val)+0.01, 0))), SEQUENCE(COLUMNS(AQ115:BL115)), FALSE), {""charttype"",""column""; ""color"",""chartreuse""; ""ymin"", 0; ""ymax"", 1.01; ""highcolo"&amp;"r"", ""darkgreen""; ""lowcolor"", ""red""}), """")"),"")</f>
        <v/>
      </c>
      <c r="B115" s="17" t="str">
        <f t="shared" si="4"/>
        <v/>
      </c>
      <c r="C115" s="1" t="s">
        <v>3084</v>
      </c>
      <c r="D115" s="30" t="str">
        <f>IFERROR(__xludf.DUMMYFUNCTION("IFERROR(GOOGLEFINANCE(C115, ""NAME""))"),"Acadia Realty Trust")</f>
        <v>Acadia Realty Trust</v>
      </c>
      <c r="E115" s="30" t="s">
        <v>2751</v>
      </c>
      <c r="F115" s="33" t="str">
        <f>IFERROR(__xludf.DUMMYFUNCTION("( (GOOGLEFINANCE(C115, ""price"") - Q115) / Q115 ) / (R115 / 100)"),"Loading...")</f>
        <v>Loading...</v>
      </c>
      <c r="G115" s="20" t="str">
        <f>IFERROR(__xludf.DUMMYFUNCTION("AVERAGE(ARRAYFORMULA(100 * (QUERY(GOOGLEFINANCE(C115, ""high"", TODAY()-40, TODAY()), ""SELECT Col2 WHERE Col2 IS NOT NULL ORDER BY Col1 DESC LIMIT 20"", 0) / QUERY(GOOGLEFINANCE(C115, ""low"", TODAY()-40, TODAY()), ""SELECT Col2 WHERE Col2 IS NOT NULL OR"&amp;"DER BY Col1 DESC LIMIT 20"", 0) - 1)))"),"#N/A")</f>
        <v>#N/A</v>
      </c>
      <c r="H115" s="35" t="str">
        <f t="shared" si="6"/>
        <v>Illiquid</v>
      </c>
      <c r="I115" s="35" t="str">
        <f t="shared" si="7"/>
        <v>RVol Required</v>
      </c>
      <c r="J115" s="37">
        <f>IFERROR(__xludf.DUMMYFUNCTION("IFERROR(
  IF(C115="""",, 
    IFERROR(
      GOOGLEFINANCE(C115, ""price"") * GOOGLEFINANCE(C115, ""volumeavg""), 
      GOOGLEFINANCE(C115, ""price"") * AVERAGE(QUERY(GOOGLEFINANCE(C115, ""volume"", TODAY()-40, TODAY()), ""SELECT Col2 WHERE Col2 IS NOT "&amp;"NULL ORDER BY Col1 DESC LIMIT 20"", 0))
    )
  ), 
"""")"),2.410922228E7)</f>
        <v>24109222.28</v>
      </c>
      <c r="K115" s="21">
        <f>IFERROR(__xludf.DUMMYFUNCTION("IFERROR(GOOGLEFINANCE(C115, ""changepct"") / 100, """")"),0.0032)</f>
        <v>0.0032</v>
      </c>
      <c r="L115" s="21" t="str">
        <f>IFERROR(__xludf.DUMMYFUNCTION("IFERROR((GOOGLEFINANCE(C115, ""price"") / INDEX(GOOGLEFINANCE(C115, ""price"", TODAY()-7, TODAY()), 2, 2)) - 1, """")"),"")</f>
        <v/>
      </c>
      <c r="M115" s="21" t="str">
        <f>IFERROR(__xludf.DUMMYFUNCTION("IFERROR((GOOGLEFINANCE(C115, ""price"") / INDEX(GOOGLEFINANCE(C115, ""price"", EDATE(TODAY(), -1), TODAY()), 2, 2)) - 1, """")"),"")</f>
        <v/>
      </c>
      <c r="N115" s="21" t="str">
        <f>IFERROR(__xludf.DUMMYFUNCTION("IFERROR((GOOGLEFINANCE(C115, ""price"") / INDEX(GOOGLEFINANCE(C115, ""price"", EDATE(TODAY(), -3), TODAY()), 2, 2)) - 1, """")"),"")</f>
        <v/>
      </c>
      <c r="O115" s="21" t="str">
        <f>IFERROR(__xludf.DUMMYFUNCTION("IFERROR((GOOGLEFINANCE(C115, ""price"") / INDEX(GOOGLEFINANCE(C115, ""price"", EDATE(TODAY(), -6), TODAY()), 2, 2)) - 1, """")"),"")</f>
        <v/>
      </c>
      <c r="P115" s="21" t="str">
        <f>IFERROR(__xludf.DUMMYFUNCTION("IFERROR((GOOGLEFINANCE(C115, ""price"") / INDEX(GOOGLEFINANCE(C115, ""price"", EDATE(TODAY(), -12), TODAY()), 2, 2)) - 1, """")"),"")</f>
        <v/>
      </c>
      <c r="Q115" s="6" t="str">
        <f>IFERROR(__xludf.DUMMYFUNCTION("AVERAGE(QUERY(GOOGLEFINANCE(C115, ""price"", TODAY()-80, TODAY()), ""SELECT Col2 WHERE Col2 IS NOT NULL ORDER BY Col1 DESC LIMIT 50"", 0))"),"#N/A")</f>
        <v>#N/A</v>
      </c>
      <c r="R115" s="24" t="str">
        <f>IFERROR(__xludf.DUMMYFUNCTION("IFERROR(
  LET(
    data, QUERY(GOOGLEFINANCE(C115,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GOOGLEFINANCE(C115, ""price"")) * 100,
    IF(calc=0, G115, calc)
  ), 
G115)"),"#N/A")</f>
        <v>#N/A</v>
      </c>
      <c r="S115" s="8" t="s">
        <v>15</v>
      </c>
      <c r="T115" s="26" t="str">
        <f>IFERROR(__xludf.DUMMYFUNCTION("IFERROR(TRANSPOSE(QUERY(IFERROR(SORT(GOOGLEFINANCE(C115, ""price"", WORKDAY(TODAY(), -40), TODAY()), 1, FALSE)), ""select Col2 where Col2 is not null limit 22 label Col2 ''"", 0)), """")"),"")</f>
        <v/>
      </c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8"/>
      <c r="AO115" s="28"/>
      <c r="AP115" s="29"/>
      <c r="AQ115" s="29" t="str">
        <f t="shared" ref="AQ115:BL115" si="118">T115/T$2</f>
        <v>#N/A</v>
      </c>
      <c r="AR115" s="29" t="str">
        <f t="shared" si="118"/>
        <v>#DIV/0!</v>
      </c>
      <c r="AS115" s="29" t="str">
        <f t="shared" si="118"/>
        <v>#DIV/0!</v>
      </c>
      <c r="AT115" s="29" t="str">
        <f t="shared" si="118"/>
        <v>#DIV/0!</v>
      </c>
      <c r="AU115" s="29" t="str">
        <f t="shared" si="118"/>
        <v>#DIV/0!</v>
      </c>
      <c r="AV115" s="29" t="str">
        <f t="shared" si="118"/>
        <v>#DIV/0!</v>
      </c>
      <c r="AW115" s="29" t="str">
        <f t="shared" si="118"/>
        <v>#DIV/0!</v>
      </c>
      <c r="AX115" s="29" t="str">
        <f t="shared" si="118"/>
        <v>#DIV/0!</v>
      </c>
      <c r="AY115" s="29" t="str">
        <f t="shared" si="118"/>
        <v>#DIV/0!</v>
      </c>
      <c r="AZ115" s="29" t="str">
        <f t="shared" si="118"/>
        <v>#DIV/0!</v>
      </c>
      <c r="BA115" s="29" t="str">
        <f t="shared" si="118"/>
        <v>#DIV/0!</v>
      </c>
      <c r="BB115" s="29" t="str">
        <f t="shared" si="118"/>
        <v>#DIV/0!</v>
      </c>
      <c r="BC115" s="29" t="str">
        <f t="shared" si="118"/>
        <v>#DIV/0!</v>
      </c>
      <c r="BD115" s="29" t="str">
        <f t="shared" si="118"/>
        <v>#DIV/0!</v>
      </c>
      <c r="BE115" s="29" t="str">
        <f t="shared" si="118"/>
        <v>#DIV/0!</v>
      </c>
      <c r="BF115" s="29" t="str">
        <f t="shared" si="118"/>
        <v>#DIV/0!</v>
      </c>
      <c r="BG115" s="29" t="str">
        <f t="shared" si="118"/>
        <v>#DIV/0!</v>
      </c>
      <c r="BH115" s="29" t="str">
        <f t="shared" si="118"/>
        <v>#DIV/0!</v>
      </c>
      <c r="BI115" s="29" t="str">
        <f t="shared" si="118"/>
        <v>#DIV/0!</v>
      </c>
      <c r="BJ115" s="29" t="str">
        <f t="shared" si="118"/>
        <v>#DIV/0!</v>
      </c>
      <c r="BK115" s="29" t="str">
        <f t="shared" si="118"/>
        <v>#DIV/0!</v>
      </c>
      <c r="BL115" s="29" t="str">
        <f t="shared" si="118"/>
        <v>#DIV/0!</v>
      </c>
      <c r="BM115" s="29" t="str">
        <f t="shared" si="3"/>
        <v>#DIV/0!</v>
      </c>
    </row>
    <row r="116">
      <c r="A116" s="16" t="str">
        <f>IFERROR(__xludf.DUMMYFUNCTION("IFERROR(SPARKLINE(SORT(MAP(TRANSPOSE(AQ116:BL116), LAMBDA(val, IF(ISNUMBER(val), PERCENTRANK(AQ116:BL116, val)+0.01, 0))), SEQUENCE(COLUMNS(AQ116:BL116)), FALSE), {""charttype"",""column""; ""color"",""chartreuse""; ""ymin"", 0; ""ymax"", 1.01; ""highcolo"&amp;"r"", ""darkgreen""; ""lowcolor"", ""red""}), """")"),"")</f>
        <v/>
      </c>
      <c r="B116" s="17" t="str">
        <f t="shared" si="4"/>
        <v/>
      </c>
      <c r="C116" s="1" t="s">
        <v>3087</v>
      </c>
      <c r="D116" s="30" t="str">
        <f>IFERROR(__xludf.DUMMYFUNCTION("IFERROR(GOOGLEFINANCE(C116, ""NAME""))"),"Gladstone Commercial Corp")</f>
        <v>Gladstone Commercial Corp</v>
      </c>
      <c r="E116" s="30" t="s">
        <v>2784</v>
      </c>
      <c r="F116" s="38" t="str">
        <f>IFERROR(__xludf.DUMMYFUNCTION("( (GOOGLEFINANCE(C116, ""price"") - Q116) / Q116 ) / (R116 / 100)"),"Loading...")</f>
        <v>Loading...</v>
      </c>
      <c r="G116" s="20" t="str">
        <f>IFERROR(__xludf.DUMMYFUNCTION("AVERAGE(ARRAYFORMULA(100 * (QUERY(GOOGLEFINANCE(C116, ""high"", TODAY()-40, TODAY()), ""SELECT Col2 WHERE Col2 IS NOT NULL ORDER BY Col1 DESC LIMIT 20"", 0) / QUERY(GOOGLEFINANCE(C116, ""low"", TODAY()-40, TODAY()), ""SELECT Col2 WHERE Col2 IS NOT NULL OR"&amp;"DER BY Col1 DESC LIMIT 20"", 0) - 1)))"),"#N/A")</f>
        <v>#N/A</v>
      </c>
      <c r="H116" s="35" t="str">
        <f t="shared" si="6"/>
        <v>Illiquid</v>
      </c>
      <c r="I116" s="35" t="str">
        <f t="shared" si="7"/>
        <v>RVol Required</v>
      </c>
      <c r="J116" s="37">
        <f>IFERROR(__xludf.DUMMYFUNCTION("IFERROR(
  IF(C116="""",, 
    IFERROR(
      GOOGLEFINANCE(C116, ""price"") * GOOGLEFINANCE(C116, ""volumeavg""), 
      GOOGLEFINANCE(C116, ""price"") * AVERAGE(QUERY(GOOGLEFINANCE(C116, ""volume"", TODAY()-40, TODAY()), ""SELECT Col2 WHERE Col2 IS NOT "&amp;"NULL ORDER BY Col1 DESC LIMIT 20"", 0))
    )
  ), 
"""")"),5457857.13)</f>
        <v>5457857.13</v>
      </c>
      <c r="K116" s="21">
        <f>IFERROR(__xludf.DUMMYFUNCTION("IFERROR(GOOGLEFINANCE(C116, ""changepct"") / 100, """")"),-0.0134)</f>
        <v>-0.0134</v>
      </c>
      <c r="L116" s="21" t="str">
        <f>IFERROR(__xludf.DUMMYFUNCTION("IFERROR((GOOGLEFINANCE(C116, ""price"") / INDEX(GOOGLEFINANCE(C116, ""price"", TODAY()-7, TODAY()), 2, 2)) - 1, """")"),"")</f>
        <v/>
      </c>
      <c r="M116" s="21" t="str">
        <f>IFERROR(__xludf.DUMMYFUNCTION("IFERROR((GOOGLEFINANCE(C116, ""price"") / INDEX(GOOGLEFINANCE(C116, ""price"", EDATE(TODAY(), -1), TODAY()), 2, 2)) - 1, """")"),"")</f>
        <v/>
      </c>
      <c r="N116" s="21" t="str">
        <f>IFERROR(__xludf.DUMMYFUNCTION("IFERROR((GOOGLEFINANCE(C116, ""price"") / INDEX(GOOGLEFINANCE(C116, ""price"", EDATE(TODAY(), -3), TODAY()), 2, 2)) - 1, """")"),"")</f>
        <v/>
      </c>
      <c r="O116" s="21" t="str">
        <f>IFERROR(__xludf.DUMMYFUNCTION("IFERROR((GOOGLEFINANCE(C116, ""price"") / INDEX(GOOGLEFINANCE(C116, ""price"", EDATE(TODAY(), -6), TODAY()), 2, 2)) - 1, """")"),"")</f>
        <v/>
      </c>
      <c r="P116" s="21" t="str">
        <f>IFERROR(__xludf.DUMMYFUNCTION("IFERROR((GOOGLEFINANCE(C116, ""price"") / INDEX(GOOGLEFINANCE(C116, ""price"", EDATE(TODAY(), -12), TODAY()), 2, 2)) - 1, """")"),"")</f>
        <v/>
      </c>
      <c r="Q116" s="6" t="str">
        <f>IFERROR(__xludf.DUMMYFUNCTION("AVERAGE(QUERY(GOOGLEFINANCE(C116, ""price"", TODAY()-80, TODAY()), ""SELECT Col2 WHERE Col2 IS NOT NULL ORDER BY Col1 DESC LIMIT 50"", 0))"),"#N/A")</f>
        <v>#N/A</v>
      </c>
      <c r="R116" s="24" t="str">
        <f>IFERROR(__xludf.DUMMYFUNCTION("IFERROR(
  LET(
    data, QUERY(GOOGLEFINANCE(C116,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GOOGLEFINANCE(C116, ""price"")) * 100,
    IF(calc=0, G116, calc)
  ), 
G116)"),"#N/A")</f>
        <v>#N/A</v>
      </c>
      <c r="S116" s="8" t="s">
        <v>15</v>
      </c>
      <c r="T116" s="26" t="str">
        <f>IFERROR(__xludf.DUMMYFUNCTION("IFERROR(TRANSPOSE(QUERY(IFERROR(SORT(GOOGLEFINANCE(C116, ""price"", WORKDAY(TODAY(), -40), TODAY()), 1, FALSE)), ""select Col2 where Col2 is not null limit 22 label Col2 ''"", 0)), """")"),"")</f>
        <v/>
      </c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8"/>
      <c r="AO116" s="28"/>
      <c r="AP116" s="29"/>
      <c r="AQ116" s="29" t="str">
        <f t="shared" ref="AQ116:BL116" si="119">T116/T$2</f>
        <v>#N/A</v>
      </c>
      <c r="AR116" s="29" t="str">
        <f t="shared" si="119"/>
        <v>#DIV/0!</v>
      </c>
      <c r="AS116" s="29" t="str">
        <f t="shared" si="119"/>
        <v>#DIV/0!</v>
      </c>
      <c r="AT116" s="29" t="str">
        <f t="shared" si="119"/>
        <v>#DIV/0!</v>
      </c>
      <c r="AU116" s="29" t="str">
        <f t="shared" si="119"/>
        <v>#DIV/0!</v>
      </c>
      <c r="AV116" s="29" t="str">
        <f t="shared" si="119"/>
        <v>#DIV/0!</v>
      </c>
      <c r="AW116" s="29" t="str">
        <f t="shared" si="119"/>
        <v>#DIV/0!</v>
      </c>
      <c r="AX116" s="29" t="str">
        <f t="shared" si="119"/>
        <v>#DIV/0!</v>
      </c>
      <c r="AY116" s="29" t="str">
        <f t="shared" si="119"/>
        <v>#DIV/0!</v>
      </c>
      <c r="AZ116" s="29" t="str">
        <f t="shared" si="119"/>
        <v>#DIV/0!</v>
      </c>
      <c r="BA116" s="29" t="str">
        <f t="shared" si="119"/>
        <v>#DIV/0!</v>
      </c>
      <c r="BB116" s="29" t="str">
        <f t="shared" si="119"/>
        <v>#DIV/0!</v>
      </c>
      <c r="BC116" s="29" t="str">
        <f t="shared" si="119"/>
        <v>#DIV/0!</v>
      </c>
      <c r="BD116" s="29" t="str">
        <f t="shared" si="119"/>
        <v>#DIV/0!</v>
      </c>
      <c r="BE116" s="29" t="str">
        <f t="shared" si="119"/>
        <v>#DIV/0!</v>
      </c>
      <c r="BF116" s="29" t="str">
        <f t="shared" si="119"/>
        <v>#DIV/0!</v>
      </c>
      <c r="BG116" s="29" t="str">
        <f t="shared" si="119"/>
        <v>#DIV/0!</v>
      </c>
      <c r="BH116" s="29" t="str">
        <f t="shared" si="119"/>
        <v>#DIV/0!</v>
      </c>
      <c r="BI116" s="29" t="str">
        <f t="shared" si="119"/>
        <v>#DIV/0!</v>
      </c>
      <c r="BJ116" s="29" t="str">
        <f t="shared" si="119"/>
        <v>#DIV/0!</v>
      </c>
      <c r="BK116" s="29" t="str">
        <f t="shared" si="119"/>
        <v>#DIV/0!</v>
      </c>
      <c r="BL116" s="29" t="str">
        <f t="shared" si="119"/>
        <v>#DIV/0!</v>
      </c>
      <c r="BM116" s="29" t="str">
        <f t="shared" si="3"/>
        <v>#DIV/0!</v>
      </c>
    </row>
    <row r="117">
      <c r="A117" s="16" t="str">
        <f>IFERROR(__xludf.DUMMYFUNCTION("IFERROR(SPARKLINE(SORT(MAP(TRANSPOSE(AQ117:BL117), LAMBDA(val, IF(ISNUMBER(val), PERCENTRANK(AQ117:BL117, val)+0.01, 0))), SEQUENCE(COLUMNS(AQ117:BL117)), FALSE), {""charttype"",""column""; ""color"",""chartreuse""; ""ymin"", 0; ""ymax"", 1.01; ""highcolo"&amp;"r"", ""darkgreen""; ""lowcolor"", ""red""}), """")"),"")</f>
        <v/>
      </c>
      <c r="B117" s="17" t="str">
        <f t="shared" si="4"/>
        <v/>
      </c>
      <c r="C117" s="1" t="s">
        <v>3090</v>
      </c>
      <c r="D117" s="30" t="str">
        <f>IFERROR(__xludf.DUMMYFUNCTION("IFERROR(GOOGLEFINANCE(C117, ""NAME""))"),"LXP Industrial Trust")</f>
        <v>LXP Industrial Trust</v>
      </c>
      <c r="E117" s="30" t="s">
        <v>2704</v>
      </c>
      <c r="F117" s="33" t="str">
        <f>IFERROR(__xludf.DUMMYFUNCTION("( (GOOGLEFINANCE(C117, ""price"") - Q117) / Q117 ) / (R117 / 100)"),"Loading...")</f>
        <v>Loading...</v>
      </c>
      <c r="G117" s="20" t="str">
        <f>IFERROR(__xludf.DUMMYFUNCTION("AVERAGE(ARRAYFORMULA(100 * (QUERY(GOOGLEFINANCE(C117, ""high"", TODAY()-40, TODAY()), ""SELECT Col2 WHERE Col2 IS NOT NULL ORDER BY Col1 DESC LIMIT 20"", 0) / QUERY(GOOGLEFINANCE(C117, ""low"", TODAY()-40, TODAY()), ""SELECT Col2 WHERE Col2 IS NOT NULL OR"&amp;"DER BY Col1 DESC LIMIT 20"", 0) - 1)))"),"#N/A")</f>
        <v>#N/A</v>
      </c>
      <c r="H117" s="35" t="str">
        <f t="shared" si="6"/>
        <v>Liquid</v>
      </c>
      <c r="I117" s="35" t="str">
        <f t="shared" si="7"/>
        <v>RVol Required</v>
      </c>
      <c r="J117" s="37">
        <f>IFERROR(__xludf.DUMMYFUNCTION("IFERROR(
  IF(C117="""",, 
    IFERROR(
      GOOGLEFINANCE(C117, ""price"") * GOOGLEFINANCE(C117, ""volumeavg""), 
      GOOGLEFINANCE(C117, ""price"") * AVERAGE(QUERY(GOOGLEFINANCE(C117, ""volume"", TODAY()-40, TODAY()), ""SELECT Col2 WHERE Col2 IS NOT "&amp;"NULL ORDER BY Col1 DESC LIMIT 20"", 0))
    )
  ), 
"""")"),5.781142482E7)</f>
        <v>57811424.82</v>
      </c>
      <c r="K117" s="21">
        <f>IFERROR(__xludf.DUMMYFUNCTION("IFERROR(GOOGLEFINANCE(C117, ""changepct"") / 100, """")"),8.0E-4)</f>
        <v>0.0008</v>
      </c>
      <c r="L117" s="21" t="str">
        <f>IFERROR(__xludf.DUMMYFUNCTION("IFERROR((GOOGLEFINANCE(C117, ""price"") / INDEX(GOOGLEFINANCE(C117, ""price"", TODAY()-7, TODAY()), 2, 2)) - 1, """")"),"")</f>
        <v/>
      </c>
      <c r="M117" s="21" t="str">
        <f>IFERROR(__xludf.DUMMYFUNCTION("IFERROR((GOOGLEFINANCE(C117, ""price"") / INDEX(GOOGLEFINANCE(C117, ""price"", EDATE(TODAY(), -1), TODAY()), 2, 2)) - 1, """")"),"")</f>
        <v/>
      </c>
      <c r="N117" s="21" t="str">
        <f>IFERROR(__xludf.DUMMYFUNCTION("IFERROR((GOOGLEFINANCE(C117, ""price"") / INDEX(GOOGLEFINANCE(C117, ""price"", EDATE(TODAY(), -3), TODAY()), 2, 2)) - 1, """")"),"")</f>
        <v/>
      </c>
      <c r="O117" s="21" t="str">
        <f>IFERROR(__xludf.DUMMYFUNCTION("IFERROR((GOOGLEFINANCE(C117, ""price"") / INDEX(GOOGLEFINANCE(C117, ""price"", EDATE(TODAY(), -6), TODAY()), 2, 2)) - 1, """")"),"")</f>
        <v/>
      </c>
      <c r="P117" s="21" t="str">
        <f>IFERROR(__xludf.DUMMYFUNCTION("IFERROR((GOOGLEFINANCE(C117, ""price"") / INDEX(GOOGLEFINANCE(C117, ""price"", EDATE(TODAY(), -12), TODAY()), 2, 2)) - 1, """")"),"")</f>
        <v/>
      </c>
      <c r="Q117" s="6" t="str">
        <f>IFERROR(__xludf.DUMMYFUNCTION("AVERAGE(QUERY(GOOGLEFINANCE(C117, ""price"", TODAY()-80, TODAY()), ""SELECT Col2 WHERE Col2 IS NOT NULL ORDER BY Col1 DESC LIMIT 50"", 0))"),"#N/A")</f>
        <v>#N/A</v>
      </c>
      <c r="R117" s="24" t="str">
        <f>IFERROR(__xludf.DUMMYFUNCTION("IFERROR(
  LET(
    data, QUERY(GOOGLEFINANCE(C117,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GOOGLEFINANCE(C117, ""price"")) * 100,
    IF(calc=0, G117, calc)
  ), 
G117)"),"#N/A")</f>
        <v>#N/A</v>
      </c>
      <c r="S117" s="8" t="s">
        <v>15</v>
      </c>
      <c r="T117" s="26" t="str">
        <f>IFERROR(__xludf.DUMMYFUNCTION("IFERROR(TRANSPOSE(QUERY(IFERROR(SORT(GOOGLEFINANCE(C117, ""price"", WORKDAY(TODAY(), -40), TODAY()), 1, FALSE)), ""select Col2 where Col2 is not null limit 22 label Col2 ''"", 0)), """")"),"")</f>
        <v/>
      </c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8"/>
      <c r="AO117" s="28"/>
      <c r="AP117" s="29"/>
      <c r="AQ117" s="29" t="str">
        <f t="shared" ref="AQ117:BL117" si="120">T117/T$2</f>
        <v>#N/A</v>
      </c>
      <c r="AR117" s="29" t="str">
        <f t="shared" si="120"/>
        <v>#DIV/0!</v>
      </c>
      <c r="AS117" s="29" t="str">
        <f t="shared" si="120"/>
        <v>#DIV/0!</v>
      </c>
      <c r="AT117" s="29" t="str">
        <f t="shared" si="120"/>
        <v>#DIV/0!</v>
      </c>
      <c r="AU117" s="29" t="str">
        <f t="shared" si="120"/>
        <v>#DIV/0!</v>
      </c>
      <c r="AV117" s="29" t="str">
        <f t="shared" si="120"/>
        <v>#DIV/0!</v>
      </c>
      <c r="AW117" s="29" t="str">
        <f t="shared" si="120"/>
        <v>#DIV/0!</v>
      </c>
      <c r="AX117" s="29" t="str">
        <f t="shared" si="120"/>
        <v>#DIV/0!</v>
      </c>
      <c r="AY117" s="29" t="str">
        <f t="shared" si="120"/>
        <v>#DIV/0!</v>
      </c>
      <c r="AZ117" s="29" t="str">
        <f t="shared" si="120"/>
        <v>#DIV/0!</v>
      </c>
      <c r="BA117" s="29" t="str">
        <f t="shared" si="120"/>
        <v>#DIV/0!</v>
      </c>
      <c r="BB117" s="29" t="str">
        <f t="shared" si="120"/>
        <v>#DIV/0!</v>
      </c>
      <c r="BC117" s="29" t="str">
        <f t="shared" si="120"/>
        <v>#DIV/0!</v>
      </c>
      <c r="BD117" s="29" t="str">
        <f t="shared" si="120"/>
        <v>#DIV/0!</v>
      </c>
      <c r="BE117" s="29" t="str">
        <f t="shared" si="120"/>
        <v>#DIV/0!</v>
      </c>
      <c r="BF117" s="29" t="str">
        <f t="shared" si="120"/>
        <v>#DIV/0!</v>
      </c>
      <c r="BG117" s="29" t="str">
        <f t="shared" si="120"/>
        <v>#DIV/0!</v>
      </c>
      <c r="BH117" s="29" t="str">
        <f t="shared" si="120"/>
        <v>#DIV/0!</v>
      </c>
      <c r="BI117" s="29" t="str">
        <f t="shared" si="120"/>
        <v>#DIV/0!</v>
      </c>
      <c r="BJ117" s="29" t="str">
        <f t="shared" si="120"/>
        <v>#DIV/0!</v>
      </c>
      <c r="BK117" s="29" t="str">
        <f t="shared" si="120"/>
        <v>#DIV/0!</v>
      </c>
      <c r="BL117" s="29" t="str">
        <f t="shared" si="120"/>
        <v>#DIV/0!</v>
      </c>
      <c r="BM117" s="29" t="str">
        <f t="shared" si="3"/>
        <v>#DIV/0!</v>
      </c>
    </row>
    <row r="118">
      <c r="A118" s="16" t="str">
        <f>IFERROR(__xludf.DUMMYFUNCTION("IFERROR(SPARKLINE(SORT(MAP(TRANSPOSE(AQ118:BL118), LAMBDA(val, IF(ISNUMBER(val), PERCENTRANK(AQ118:BL118, val)+0.01, 0))), SEQUENCE(COLUMNS(AQ118:BL118)), FALSE), {""charttype"",""column""; ""color"",""chartreuse""; ""ymin"", 0; ""ymax"", 1.01; ""highcolo"&amp;"r"", ""darkgreen""; ""lowcolor"", ""red""}), """")"),"")</f>
        <v/>
      </c>
      <c r="B118" s="17" t="str">
        <f t="shared" si="4"/>
        <v/>
      </c>
      <c r="C118" s="1" t="s">
        <v>3093</v>
      </c>
      <c r="D118" s="30" t="str">
        <f>IFERROR(__xludf.DUMMYFUNCTION("IFERROR(GOOGLEFINANCE(C118, ""NAME""))"),"FirstService Corp")</f>
        <v>FirstService Corp</v>
      </c>
      <c r="E118" s="30" t="s">
        <v>2692</v>
      </c>
      <c r="F118" s="33" t="str">
        <f>IFERROR(__xludf.DUMMYFUNCTION("( (GOOGLEFINANCE(C118, ""price"") - Q118) / Q118 ) / (R118 / 100)"),"Loading...")</f>
        <v>Loading...</v>
      </c>
      <c r="G118" s="20" t="str">
        <f>IFERROR(__xludf.DUMMYFUNCTION("AVERAGE(ARRAYFORMULA(100 * (QUERY(GOOGLEFINANCE(C118, ""high"", TODAY()-40, TODAY()), ""SELECT Col2 WHERE Col2 IS NOT NULL ORDER BY Col1 DESC LIMIT 20"", 0) / QUERY(GOOGLEFINANCE(C118, ""low"", TODAY()-40, TODAY()), ""SELECT Col2 WHERE Col2 IS NOT NULL OR"&amp;"DER BY Col1 DESC LIMIT 20"", 0) - 1)))"),"#N/A")</f>
        <v>#N/A</v>
      </c>
      <c r="H118" s="35" t="str">
        <f t="shared" si="6"/>
        <v>Illiquid</v>
      </c>
      <c r="I118" s="35" t="str">
        <f t="shared" si="7"/>
        <v>RVol Required</v>
      </c>
      <c r="J118" s="37">
        <f>IFERROR(__xludf.DUMMYFUNCTION("IFERROR(
  IF(C118="""",, 
    IFERROR(
      GOOGLEFINANCE(C118, ""price"") * GOOGLEFINANCE(C118, ""volumeavg""), 
      GOOGLEFINANCE(C118, ""price"") * AVERAGE(QUERY(GOOGLEFINANCE(C118, ""volume"", TODAY()-40, TODAY()), ""SELECT Col2 WHERE Col2 IS NOT "&amp;"NULL ORDER BY Col1 DESC LIMIT 20"", 0))
    )
  ), 
"""")"),2.3661526349999998E7)</f>
        <v>23661526.35</v>
      </c>
      <c r="K118" s="21">
        <f>IFERROR(__xludf.DUMMYFUNCTION("IFERROR(GOOGLEFINANCE(C118, ""changepct"") / 100, """")"),0.0044)</f>
        <v>0.0044</v>
      </c>
      <c r="L118" s="21" t="str">
        <f>IFERROR(__xludf.DUMMYFUNCTION("IFERROR((GOOGLEFINANCE(C118, ""price"") / INDEX(GOOGLEFINANCE(C118, ""price"", TODAY()-7, TODAY()), 2, 2)) - 1, """")"),"")</f>
        <v/>
      </c>
      <c r="M118" s="21" t="str">
        <f>IFERROR(__xludf.DUMMYFUNCTION("IFERROR((GOOGLEFINANCE(C118, ""price"") / INDEX(GOOGLEFINANCE(C118, ""price"", EDATE(TODAY(), -1), TODAY()), 2, 2)) - 1, """")"),"")</f>
        <v/>
      </c>
      <c r="N118" s="21" t="str">
        <f>IFERROR(__xludf.DUMMYFUNCTION("IFERROR((GOOGLEFINANCE(C118, ""price"") / INDEX(GOOGLEFINANCE(C118, ""price"", EDATE(TODAY(), -3), TODAY()), 2, 2)) - 1, """")"),"")</f>
        <v/>
      </c>
      <c r="O118" s="21" t="str">
        <f>IFERROR(__xludf.DUMMYFUNCTION("IFERROR((GOOGLEFINANCE(C118, ""price"") / INDEX(GOOGLEFINANCE(C118, ""price"", EDATE(TODAY(), -6), TODAY()), 2, 2)) - 1, """")"),"")</f>
        <v/>
      </c>
      <c r="P118" s="21" t="str">
        <f>IFERROR(__xludf.DUMMYFUNCTION("IFERROR((GOOGLEFINANCE(C118, ""price"") / INDEX(GOOGLEFINANCE(C118, ""price"", EDATE(TODAY(), -12), TODAY()), 2, 2)) - 1, """")"),"")</f>
        <v/>
      </c>
      <c r="Q118" s="6" t="str">
        <f>IFERROR(__xludf.DUMMYFUNCTION("AVERAGE(QUERY(GOOGLEFINANCE(C118, ""price"", TODAY()-80, TODAY()), ""SELECT Col2 WHERE Col2 IS NOT NULL ORDER BY Col1 DESC LIMIT 50"", 0))"),"#N/A")</f>
        <v>#N/A</v>
      </c>
      <c r="R118" s="24" t="str">
        <f>IFERROR(__xludf.DUMMYFUNCTION("IFERROR(
  LET(
    data, QUERY(GOOGLEFINANCE(C118,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GOOGLEFINANCE(C118, ""price"")) * 100,
    IF(calc=0, G118, calc)
  ), 
G118)"),"#N/A")</f>
        <v>#N/A</v>
      </c>
      <c r="S118" s="8" t="s">
        <v>15</v>
      </c>
      <c r="T118" s="26" t="str">
        <f>IFERROR(__xludf.DUMMYFUNCTION("IFERROR(TRANSPOSE(QUERY(IFERROR(SORT(GOOGLEFINANCE(C118, ""price"", WORKDAY(TODAY(), -40), TODAY()), 1, FALSE)), ""select Col2 where Col2 is not null limit 22 label Col2 ''"", 0)), """")"),"")</f>
        <v/>
      </c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8"/>
      <c r="AO118" s="28"/>
      <c r="AP118" s="29"/>
      <c r="AQ118" s="29" t="str">
        <f t="shared" ref="AQ118:BL118" si="121">T118/T$2</f>
        <v>#N/A</v>
      </c>
      <c r="AR118" s="29" t="str">
        <f t="shared" si="121"/>
        <v>#DIV/0!</v>
      </c>
      <c r="AS118" s="29" t="str">
        <f t="shared" si="121"/>
        <v>#DIV/0!</v>
      </c>
      <c r="AT118" s="29" t="str">
        <f t="shared" si="121"/>
        <v>#DIV/0!</v>
      </c>
      <c r="AU118" s="29" t="str">
        <f t="shared" si="121"/>
        <v>#DIV/0!</v>
      </c>
      <c r="AV118" s="29" t="str">
        <f t="shared" si="121"/>
        <v>#DIV/0!</v>
      </c>
      <c r="AW118" s="29" t="str">
        <f t="shared" si="121"/>
        <v>#DIV/0!</v>
      </c>
      <c r="AX118" s="29" t="str">
        <f t="shared" si="121"/>
        <v>#DIV/0!</v>
      </c>
      <c r="AY118" s="29" t="str">
        <f t="shared" si="121"/>
        <v>#DIV/0!</v>
      </c>
      <c r="AZ118" s="29" t="str">
        <f t="shared" si="121"/>
        <v>#DIV/0!</v>
      </c>
      <c r="BA118" s="29" t="str">
        <f t="shared" si="121"/>
        <v>#DIV/0!</v>
      </c>
      <c r="BB118" s="29" t="str">
        <f t="shared" si="121"/>
        <v>#DIV/0!</v>
      </c>
      <c r="BC118" s="29" t="str">
        <f t="shared" si="121"/>
        <v>#DIV/0!</v>
      </c>
      <c r="BD118" s="29" t="str">
        <f t="shared" si="121"/>
        <v>#DIV/0!</v>
      </c>
      <c r="BE118" s="29" t="str">
        <f t="shared" si="121"/>
        <v>#DIV/0!</v>
      </c>
      <c r="BF118" s="29" t="str">
        <f t="shared" si="121"/>
        <v>#DIV/0!</v>
      </c>
      <c r="BG118" s="29" t="str">
        <f t="shared" si="121"/>
        <v>#DIV/0!</v>
      </c>
      <c r="BH118" s="29" t="str">
        <f t="shared" si="121"/>
        <v>#DIV/0!</v>
      </c>
      <c r="BI118" s="29" t="str">
        <f t="shared" si="121"/>
        <v>#DIV/0!</v>
      </c>
      <c r="BJ118" s="29" t="str">
        <f t="shared" si="121"/>
        <v>#DIV/0!</v>
      </c>
      <c r="BK118" s="29" t="str">
        <f t="shared" si="121"/>
        <v>#DIV/0!</v>
      </c>
      <c r="BL118" s="29" t="str">
        <f t="shared" si="121"/>
        <v>#DIV/0!</v>
      </c>
      <c r="BM118" s="29" t="str">
        <f t="shared" si="3"/>
        <v>#DIV/0!</v>
      </c>
    </row>
    <row r="119">
      <c r="A119" s="16" t="str">
        <f>IFERROR(__xludf.DUMMYFUNCTION("IFERROR(SPARKLINE(SORT(MAP(TRANSPOSE(AQ119:BL119), LAMBDA(val, IF(ISNUMBER(val), PERCENTRANK(AQ119:BL119, val)+0.01, 0))), SEQUENCE(COLUMNS(AQ119:BL119)), FALSE), {""charttype"",""column""; ""color"",""chartreuse""; ""ymin"", 0; ""ymax"", 1.01; ""highcolo"&amp;"r"", ""darkgreen""; ""lowcolor"", ""red""}), """")"),"")</f>
        <v/>
      </c>
      <c r="B119" s="17" t="str">
        <f t="shared" si="4"/>
        <v/>
      </c>
      <c r="C119" s="1" t="s">
        <v>3096</v>
      </c>
      <c r="D119" s="30" t="str">
        <f>IFERROR(__xludf.DUMMYFUNCTION("IFERROR(GOOGLEFINANCE(C119, ""NAME""))"),"Gladstone Land Corp")</f>
        <v>Gladstone Land Corp</v>
      </c>
      <c r="E119" s="30" t="s">
        <v>2709</v>
      </c>
      <c r="F119" s="33" t="str">
        <f>IFERROR(__xludf.DUMMYFUNCTION("( (GOOGLEFINANCE(C119, ""price"") - Q119) / Q119 ) / (R119 / 100)"),"Loading...")</f>
        <v>Loading...</v>
      </c>
      <c r="G119" s="20" t="str">
        <f>IFERROR(__xludf.DUMMYFUNCTION("AVERAGE(ARRAYFORMULA(100 * (QUERY(GOOGLEFINANCE(C119, ""high"", TODAY()-40, TODAY()), ""SELECT Col2 WHERE Col2 IS NOT NULL ORDER BY Col1 DESC LIMIT 20"", 0) / QUERY(GOOGLEFINANCE(C119, ""low"", TODAY()-40, TODAY()), ""SELECT Col2 WHERE Col2 IS NOT NULL OR"&amp;"DER BY Col1 DESC LIMIT 20"", 0) - 1)))"),"#N/A")</f>
        <v>#N/A</v>
      </c>
      <c r="H119" s="35" t="str">
        <f t="shared" si="6"/>
        <v>Illiquid</v>
      </c>
      <c r="I119" s="35" t="str">
        <f t="shared" si="7"/>
        <v>RVol Required</v>
      </c>
      <c r="J119" s="37">
        <f>IFERROR(__xludf.DUMMYFUNCTION("IFERROR(
  IF(C119="""",, 
    IFERROR(
      GOOGLEFINANCE(C119, ""price"") * GOOGLEFINANCE(C119, ""volumeavg""), 
      GOOGLEFINANCE(C119, ""price"") * AVERAGE(QUERY(GOOGLEFINANCE(C119, ""volume"", TODAY()-40, TODAY()), ""SELECT Col2 WHERE Col2 IS NOT "&amp;"NULL ORDER BY Col1 DESC LIMIT 20"", 0))
    )
  ), 
"""")"),5726233.279999999)</f>
        <v>5726233.28</v>
      </c>
      <c r="K119" s="21">
        <f>IFERROR(__xludf.DUMMYFUNCTION("IFERROR(GOOGLEFINANCE(C119, ""changepct"") / 100, """")"),-0.0096)</f>
        <v>-0.0096</v>
      </c>
      <c r="L119" s="21" t="str">
        <f>IFERROR(__xludf.DUMMYFUNCTION("IFERROR((GOOGLEFINANCE(C119, ""price"") / INDEX(GOOGLEFINANCE(C119, ""price"", TODAY()-7, TODAY()), 2, 2)) - 1, """")"),"")</f>
        <v/>
      </c>
      <c r="M119" s="21" t="str">
        <f>IFERROR(__xludf.DUMMYFUNCTION("IFERROR((GOOGLEFINANCE(C119, ""price"") / INDEX(GOOGLEFINANCE(C119, ""price"", EDATE(TODAY(), -1), TODAY()), 2, 2)) - 1, """")"),"")</f>
        <v/>
      </c>
      <c r="N119" s="21" t="str">
        <f>IFERROR(__xludf.DUMMYFUNCTION("IFERROR((GOOGLEFINANCE(C119, ""price"") / INDEX(GOOGLEFINANCE(C119, ""price"", EDATE(TODAY(), -3), TODAY()), 2, 2)) - 1, """")"),"")</f>
        <v/>
      </c>
      <c r="O119" s="21" t="str">
        <f>IFERROR(__xludf.DUMMYFUNCTION("IFERROR((GOOGLEFINANCE(C119, ""price"") / INDEX(GOOGLEFINANCE(C119, ""price"", EDATE(TODAY(), -6), TODAY()), 2, 2)) - 1, """")"),"")</f>
        <v/>
      </c>
      <c r="P119" s="21" t="str">
        <f>IFERROR(__xludf.DUMMYFUNCTION("IFERROR((GOOGLEFINANCE(C119, ""price"") / INDEX(GOOGLEFINANCE(C119, ""price"", EDATE(TODAY(), -12), TODAY()), 2, 2)) - 1, """")"),"")</f>
        <v/>
      </c>
      <c r="Q119" s="6" t="str">
        <f>IFERROR(__xludf.DUMMYFUNCTION("AVERAGE(QUERY(GOOGLEFINANCE(C119, ""price"", TODAY()-80, TODAY()), ""SELECT Col2 WHERE Col2 IS NOT NULL ORDER BY Col1 DESC LIMIT 50"", 0))"),"#N/A")</f>
        <v>#N/A</v>
      </c>
      <c r="R119" s="24" t="str">
        <f>IFERROR(__xludf.DUMMYFUNCTION("IFERROR(
  LET(
    data, QUERY(GOOGLEFINANCE(C119,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GOOGLEFINANCE(C119, ""price"")) * 100,
    IF(calc=0, G119, calc)
  ), 
G119)"),"#N/A")</f>
        <v>#N/A</v>
      </c>
      <c r="S119" s="8" t="s">
        <v>15</v>
      </c>
      <c r="T119" s="26" t="str">
        <f>IFERROR(__xludf.DUMMYFUNCTION("IFERROR(TRANSPOSE(QUERY(IFERROR(SORT(GOOGLEFINANCE(C119, ""price"", WORKDAY(TODAY(), -40), TODAY()), 1, FALSE)), ""select Col2 where Col2 is not null limit 22 label Col2 ''"", 0)), """")"),"")</f>
        <v/>
      </c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8"/>
      <c r="AO119" s="28"/>
      <c r="AP119" s="29"/>
      <c r="AQ119" s="29" t="str">
        <f t="shared" ref="AQ119:BL119" si="122">T119/T$2</f>
        <v>#N/A</v>
      </c>
      <c r="AR119" s="29" t="str">
        <f t="shared" si="122"/>
        <v>#DIV/0!</v>
      </c>
      <c r="AS119" s="29" t="str">
        <f t="shared" si="122"/>
        <v>#DIV/0!</v>
      </c>
      <c r="AT119" s="29" t="str">
        <f t="shared" si="122"/>
        <v>#DIV/0!</v>
      </c>
      <c r="AU119" s="29" t="str">
        <f t="shared" si="122"/>
        <v>#DIV/0!</v>
      </c>
      <c r="AV119" s="29" t="str">
        <f t="shared" si="122"/>
        <v>#DIV/0!</v>
      </c>
      <c r="AW119" s="29" t="str">
        <f t="shared" si="122"/>
        <v>#DIV/0!</v>
      </c>
      <c r="AX119" s="29" t="str">
        <f t="shared" si="122"/>
        <v>#DIV/0!</v>
      </c>
      <c r="AY119" s="29" t="str">
        <f t="shared" si="122"/>
        <v>#DIV/0!</v>
      </c>
      <c r="AZ119" s="29" t="str">
        <f t="shared" si="122"/>
        <v>#DIV/0!</v>
      </c>
      <c r="BA119" s="29" t="str">
        <f t="shared" si="122"/>
        <v>#DIV/0!</v>
      </c>
      <c r="BB119" s="29" t="str">
        <f t="shared" si="122"/>
        <v>#DIV/0!</v>
      </c>
      <c r="BC119" s="29" t="str">
        <f t="shared" si="122"/>
        <v>#DIV/0!</v>
      </c>
      <c r="BD119" s="29" t="str">
        <f t="shared" si="122"/>
        <v>#DIV/0!</v>
      </c>
      <c r="BE119" s="29" t="str">
        <f t="shared" si="122"/>
        <v>#DIV/0!</v>
      </c>
      <c r="BF119" s="29" t="str">
        <f t="shared" si="122"/>
        <v>#DIV/0!</v>
      </c>
      <c r="BG119" s="29" t="str">
        <f t="shared" si="122"/>
        <v>#DIV/0!</v>
      </c>
      <c r="BH119" s="29" t="str">
        <f t="shared" si="122"/>
        <v>#DIV/0!</v>
      </c>
      <c r="BI119" s="29" t="str">
        <f t="shared" si="122"/>
        <v>#DIV/0!</v>
      </c>
      <c r="BJ119" s="29" t="str">
        <f t="shared" si="122"/>
        <v>#DIV/0!</v>
      </c>
      <c r="BK119" s="29" t="str">
        <f t="shared" si="122"/>
        <v>#DIV/0!</v>
      </c>
      <c r="BL119" s="29" t="str">
        <f t="shared" si="122"/>
        <v>#DIV/0!</v>
      </c>
      <c r="BM119" s="29" t="str">
        <f t="shared" si="3"/>
        <v>#DIV/0!</v>
      </c>
    </row>
    <row r="120">
      <c r="A120" s="16" t="str">
        <f>IFERROR(__xludf.DUMMYFUNCTION("IFERROR(SPARKLINE(SORT(MAP(TRANSPOSE(AQ120:BL120), LAMBDA(val, IF(ISNUMBER(val), PERCENTRANK(AQ120:BL120, val)+0.01, 0))), SEQUENCE(COLUMNS(AQ120:BL120)), FALSE), {""charttype"",""column""; ""color"",""chartreuse""; ""ymin"", 0; ""ymax"", 1.01; ""highcolo"&amp;"r"", ""darkgreen""; ""lowcolor"", ""red""}), """")"),"")</f>
        <v/>
      </c>
      <c r="B120" s="17" t="str">
        <f t="shared" si="4"/>
        <v/>
      </c>
      <c r="C120" s="1" t="s">
        <v>3100</v>
      </c>
      <c r="D120" s="30" t="str">
        <f>IFERROR(__xludf.DUMMYFUNCTION("IFERROR(GOOGLEFINANCE(C120, ""NAME""))"),"Community Healthcare Trust Inc")</f>
        <v>Community Healthcare Trust Inc</v>
      </c>
      <c r="E120" s="30" t="s">
        <v>2668</v>
      </c>
      <c r="F120" s="33" t="str">
        <f>IFERROR(__xludf.DUMMYFUNCTION("( (GOOGLEFINANCE(C120, ""price"") - Q120) / Q120 ) / (R120 / 100)"),"Loading...")</f>
        <v>Loading...</v>
      </c>
      <c r="G120" s="20" t="str">
        <f>IFERROR(__xludf.DUMMYFUNCTION("AVERAGE(ARRAYFORMULA(100 * (QUERY(GOOGLEFINANCE(C120, ""high"", TODAY()-40, TODAY()), ""SELECT Col2 WHERE Col2 IS NOT NULL ORDER BY Col1 DESC LIMIT 20"", 0) / QUERY(GOOGLEFINANCE(C120, ""low"", TODAY()-40, TODAY()), ""SELECT Col2 WHERE Col2 IS NOT NULL OR"&amp;"DER BY Col1 DESC LIMIT 20"", 0) - 1)))"),"#N/A")</f>
        <v>#N/A</v>
      </c>
      <c r="H120" s="35" t="str">
        <f t="shared" si="6"/>
        <v>Illiquid</v>
      </c>
      <c r="I120" s="35" t="str">
        <f t="shared" si="7"/>
        <v>RVol Required</v>
      </c>
      <c r="J120" s="37">
        <f>IFERROR(__xludf.DUMMYFUNCTION("IFERROR(
  IF(C120="""",, 
    IFERROR(
      GOOGLEFINANCE(C120, ""price"") * GOOGLEFINANCE(C120, ""volumeavg""), 
      GOOGLEFINANCE(C120, ""price"") * AVERAGE(QUERY(GOOGLEFINANCE(C120, ""volume"", TODAY()-40, TODAY()), ""SELECT Col2 WHERE Col2 IS NOT "&amp;"NULL ORDER BY Col1 DESC LIMIT 20"", 0))
    )
  ), 
"""")"),4662611.64)</f>
        <v>4662611.64</v>
      </c>
      <c r="K120" s="21">
        <f>IFERROR(__xludf.DUMMYFUNCTION("IFERROR(GOOGLEFINANCE(C120, ""changepct"") / 100, """")"),-0.0015)</f>
        <v>-0.0015</v>
      </c>
      <c r="L120" s="21" t="str">
        <f>IFERROR(__xludf.DUMMYFUNCTION("IFERROR((GOOGLEFINANCE(C120, ""price"") / INDEX(GOOGLEFINANCE(C120, ""price"", TODAY()-7, TODAY()), 2, 2)) - 1, """")"),"")</f>
        <v/>
      </c>
      <c r="M120" s="21" t="str">
        <f>IFERROR(__xludf.DUMMYFUNCTION("IFERROR((GOOGLEFINANCE(C120, ""price"") / INDEX(GOOGLEFINANCE(C120, ""price"", EDATE(TODAY(), -1), TODAY()), 2, 2)) - 1, """")"),"")</f>
        <v/>
      </c>
      <c r="N120" s="21" t="str">
        <f>IFERROR(__xludf.DUMMYFUNCTION("IFERROR((GOOGLEFINANCE(C120, ""price"") / INDEX(GOOGLEFINANCE(C120, ""price"", EDATE(TODAY(), -3), TODAY()), 2, 2)) - 1, """")"),"")</f>
        <v/>
      </c>
      <c r="O120" s="21" t="str">
        <f>IFERROR(__xludf.DUMMYFUNCTION("IFERROR((GOOGLEFINANCE(C120, ""price"") / INDEX(GOOGLEFINANCE(C120, ""price"", EDATE(TODAY(), -6), TODAY()), 2, 2)) - 1, """")"),"")</f>
        <v/>
      </c>
      <c r="P120" s="21" t="str">
        <f>IFERROR(__xludf.DUMMYFUNCTION("IFERROR((GOOGLEFINANCE(C120, ""price"") / INDEX(GOOGLEFINANCE(C120, ""price"", EDATE(TODAY(), -12), TODAY()), 2, 2)) - 1, """")"),"")</f>
        <v/>
      </c>
      <c r="Q120" s="6" t="str">
        <f>IFERROR(__xludf.DUMMYFUNCTION("AVERAGE(QUERY(GOOGLEFINANCE(C120, ""price"", TODAY()-80, TODAY()), ""SELECT Col2 WHERE Col2 IS NOT NULL ORDER BY Col1 DESC LIMIT 50"", 0))"),"#N/A")</f>
        <v>#N/A</v>
      </c>
      <c r="R120" s="24" t="str">
        <f>IFERROR(__xludf.DUMMYFUNCTION("IFERROR(
  LET(
    data, QUERY(GOOGLEFINANCE(C120,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GOOGLEFINANCE(C120, ""price"")) * 100,
    IF(calc=0, G120, calc)
  ), 
G120)"),"#N/A")</f>
        <v>#N/A</v>
      </c>
      <c r="S120" s="8" t="s">
        <v>15</v>
      </c>
      <c r="T120" s="26" t="str">
        <f>IFERROR(__xludf.DUMMYFUNCTION("IFERROR(TRANSPOSE(QUERY(IFERROR(SORT(GOOGLEFINANCE(C120, ""price"", WORKDAY(TODAY(), -40), TODAY()), 1, FALSE)), ""select Col2 where Col2 is not null limit 22 label Col2 ''"", 0)), """")"),"")</f>
        <v/>
      </c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8"/>
      <c r="AO120" s="28"/>
      <c r="AP120" s="29"/>
      <c r="AQ120" s="29" t="str">
        <f t="shared" ref="AQ120:BL120" si="123">T120/T$2</f>
        <v>#N/A</v>
      </c>
      <c r="AR120" s="29" t="str">
        <f t="shared" si="123"/>
        <v>#DIV/0!</v>
      </c>
      <c r="AS120" s="29" t="str">
        <f t="shared" si="123"/>
        <v>#DIV/0!</v>
      </c>
      <c r="AT120" s="29" t="str">
        <f t="shared" si="123"/>
        <v>#DIV/0!</v>
      </c>
      <c r="AU120" s="29" t="str">
        <f t="shared" si="123"/>
        <v>#DIV/0!</v>
      </c>
      <c r="AV120" s="29" t="str">
        <f t="shared" si="123"/>
        <v>#DIV/0!</v>
      </c>
      <c r="AW120" s="29" t="str">
        <f t="shared" si="123"/>
        <v>#DIV/0!</v>
      </c>
      <c r="AX120" s="29" t="str">
        <f t="shared" si="123"/>
        <v>#DIV/0!</v>
      </c>
      <c r="AY120" s="29" t="str">
        <f t="shared" si="123"/>
        <v>#DIV/0!</v>
      </c>
      <c r="AZ120" s="29" t="str">
        <f t="shared" si="123"/>
        <v>#DIV/0!</v>
      </c>
      <c r="BA120" s="29" t="str">
        <f t="shared" si="123"/>
        <v>#DIV/0!</v>
      </c>
      <c r="BB120" s="29" t="str">
        <f t="shared" si="123"/>
        <v>#DIV/0!</v>
      </c>
      <c r="BC120" s="29" t="str">
        <f t="shared" si="123"/>
        <v>#DIV/0!</v>
      </c>
      <c r="BD120" s="29" t="str">
        <f t="shared" si="123"/>
        <v>#DIV/0!</v>
      </c>
      <c r="BE120" s="29" t="str">
        <f t="shared" si="123"/>
        <v>#DIV/0!</v>
      </c>
      <c r="BF120" s="29" t="str">
        <f t="shared" si="123"/>
        <v>#DIV/0!</v>
      </c>
      <c r="BG120" s="29" t="str">
        <f t="shared" si="123"/>
        <v>#DIV/0!</v>
      </c>
      <c r="BH120" s="29" t="str">
        <f t="shared" si="123"/>
        <v>#DIV/0!</v>
      </c>
      <c r="BI120" s="29" t="str">
        <f t="shared" si="123"/>
        <v>#DIV/0!</v>
      </c>
      <c r="BJ120" s="29" t="str">
        <f t="shared" si="123"/>
        <v>#DIV/0!</v>
      </c>
      <c r="BK120" s="29" t="str">
        <f t="shared" si="123"/>
        <v>#DIV/0!</v>
      </c>
      <c r="BL120" s="29" t="str">
        <f t="shared" si="123"/>
        <v>#DIV/0!</v>
      </c>
      <c r="BM120" s="29" t="str">
        <f t="shared" si="3"/>
        <v>#DIV/0!</v>
      </c>
    </row>
    <row r="121">
      <c r="A121" s="16" t="str">
        <f>IFERROR(__xludf.DUMMYFUNCTION("IFERROR(SPARKLINE(SORT(MAP(TRANSPOSE(AQ121:BL121), LAMBDA(val, IF(ISNUMBER(val), PERCENTRANK(AQ121:BL121, val)+0.01, 0))), SEQUENCE(COLUMNS(AQ121:BL121)), FALSE), {""charttype"",""column""; ""color"",""chartreuse""; ""ymin"", 0; ""ymax"", 1.01; ""highcolo"&amp;"r"", ""darkgreen""; ""lowcolor"", ""red""}), """")"),"")</f>
        <v/>
      </c>
      <c r="B121" s="17" t="str">
        <f t="shared" si="4"/>
        <v/>
      </c>
      <c r="C121" s="1" t="s">
        <v>3103</v>
      </c>
      <c r="D121" s="30" t="str">
        <f>IFERROR(__xludf.DUMMYFUNCTION("IFERROR(GOOGLEFINANCE(C121, ""NAME""))"),"Franklin BSP Realty Trust Inc")</f>
        <v>Franklin BSP Realty Trust Inc</v>
      </c>
      <c r="E121" s="30" t="s">
        <v>2682</v>
      </c>
      <c r="F121" s="33" t="str">
        <f>IFERROR(__xludf.DUMMYFUNCTION("( (GOOGLEFINANCE(C121, ""price"") - Q121) / Q121 ) / (R121 / 100)"),"Loading...")</f>
        <v>Loading...</v>
      </c>
      <c r="G121" s="20" t="str">
        <f>IFERROR(__xludf.DUMMYFUNCTION("AVERAGE(ARRAYFORMULA(100 * (QUERY(GOOGLEFINANCE(C121, ""high"", TODAY()-40, TODAY()), ""SELECT Col2 WHERE Col2 IS NOT NULL ORDER BY Col1 DESC LIMIT 20"", 0) / QUERY(GOOGLEFINANCE(C121, ""low"", TODAY()-40, TODAY()), ""SELECT Col2 WHERE Col2 IS NOT NULL OR"&amp;"DER BY Col1 DESC LIMIT 20"", 0) - 1)))"),"#N/A")</f>
        <v>#N/A</v>
      </c>
      <c r="H121" s="35" t="str">
        <f t="shared" si="6"/>
        <v>Illiquid</v>
      </c>
      <c r="I121" s="35" t="str">
        <f t="shared" si="7"/>
        <v>RVol Required</v>
      </c>
      <c r="J121" s="37">
        <f>IFERROR(__xludf.DUMMYFUNCTION("IFERROR(
  IF(C121="""",, 
    IFERROR(
      GOOGLEFINANCE(C121, ""price"") * GOOGLEFINANCE(C121, ""volumeavg""), 
      GOOGLEFINANCE(C121, ""price"") * AVERAGE(QUERY(GOOGLEFINANCE(C121, ""volume"", TODAY()-40, TODAY()), ""SELECT Col2 WHERE Col2 IS NOT "&amp;"NULL ORDER BY Col1 DESC LIMIT 20"", 0))
    )
  ), 
"""")"),1.364545035E7)</f>
        <v>13645450.35</v>
      </c>
      <c r="K121" s="21">
        <f>IFERROR(__xludf.DUMMYFUNCTION("IFERROR(GOOGLEFINANCE(C121, ""changepct"") / 100, """")"),-0.0096)</f>
        <v>-0.0096</v>
      </c>
      <c r="L121" s="21" t="str">
        <f>IFERROR(__xludf.DUMMYFUNCTION("IFERROR((GOOGLEFINANCE(C121, ""price"") / INDEX(GOOGLEFINANCE(C121, ""price"", TODAY()-7, TODAY()), 2, 2)) - 1, """")"),"")</f>
        <v/>
      </c>
      <c r="M121" s="21" t="str">
        <f>IFERROR(__xludf.DUMMYFUNCTION("IFERROR((GOOGLEFINANCE(C121, ""price"") / INDEX(GOOGLEFINANCE(C121, ""price"", EDATE(TODAY(), -1), TODAY()), 2, 2)) - 1, """")"),"")</f>
        <v/>
      </c>
      <c r="N121" s="21" t="str">
        <f>IFERROR(__xludf.DUMMYFUNCTION("IFERROR((GOOGLEFINANCE(C121, ""price"") / INDEX(GOOGLEFINANCE(C121, ""price"", EDATE(TODAY(), -3), TODAY()), 2, 2)) - 1, """")"),"")</f>
        <v/>
      </c>
      <c r="O121" s="21" t="str">
        <f>IFERROR(__xludf.DUMMYFUNCTION("IFERROR((GOOGLEFINANCE(C121, ""price"") / INDEX(GOOGLEFINANCE(C121, ""price"", EDATE(TODAY(), -6), TODAY()), 2, 2)) - 1, """")"),"")</f>
        <v/>
      </c>
      <c r="P121" s="21" t="str">
        <f>IFERROR(__xludf.DUMMYFUNCTION("IFERROR((GOOGLEFINANCE(C121, ""price"") / INDEX(GOOGLEFINANCE(C121, ""price"", EDATE(TODAY(), -12), TODAY()), 2, 2)) - 1, """")"),"")</f>
        <v/>
      </c>
      <c r="Q121" s="6" t="str">
        <f>IFERROR(__xludf.DUMMYFUNCTION("AVERAGE(QUERY(GOOGLEFINANCE(C121, ""price"", TODAY()-80, TODAY()), ""SELECT Col2 WHERE Col2 IS NOT NULL ORDER BY Col1 DESC LIMIT 50"", 0))"),"#N/A")</f>
        <v>#N/A</v>
      </c>
      <c r="R121" s="24" t="str">
        <f>IFERROR(__xludf.DUMMYFUNCTION("IFERROR(
  LET(
    data, QUERY(GOOGLEFINANCE(C121,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GOOGLEFINANCE(C121, ""price"")) * 100,
    IF(calc=0, G121, calc)
  ), 
G121)"),"#N/A")</f>
        <v>#N/A</v>
      </c>
      <c r="S121" s="8" t="s">
        <v>15</v>
      </c>
      <c r="T121" s="26" t="str">
        <f>IFERROR(__xludf.DUMMYFUNCTION("IFERROR(TRANSPOSE(QUERY(IFERROR(SORT(GOOGLEFINANCE(C121, ""price"", WORKDAY(TODAY(), -40), TODAY()), 1, FALSE)), ""select Col2 where Col2 is not null limit 22 label Col2 ''"", 0)), """")"),"")</f>
        <v/>
      </c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8"/>
      <c r="AO121" s="28"/>
      <c r="AP121" s="29"/>
      <c r="AQ121" s="29" t="str">
        <f t="shared" ref="AQ121:BL121" si="124">T121/T$2</f>
        <v>#N/A</v>
      </c>
      <c r="AR121" s="29" t="str">
        <f t="shared" si="124"/>
        <v>#DIV/0!</v>
      </c>
      <c r="AS121" s="29" t="str">
        <f t="shared" si="124"/>
        <v>#DIV/0!</v>
      </c>
      <c r="AT121" s="29" t="str">
        <f t="shared" si="124"/>
        <v>#DIV/0!</v>
      </c>
      <c r="AU121" s="29" t="str">
        <f t="shared" si="124"/>
        <v>#DIV/0!</v>
      </c>
      <c r="AV121" s="29" t="str">
        <f t="shared" si="124"/>
        <v>#DIV/0!</v>
      </c>
      <c r="AW121" s="29" t="str">
        <f t="shared" si="124"/>
        <v>#DIV/0!</v>
      </c>
      <c r="AX121" s="29" t="str">
        <f t="shared" si="124"/>
        <v>#DIV/0!</v>
      </c>
      <c r="AY121" s="29" t="str">
        <f t="shared" si="124"/>
        <v>#DIV/0!</v>
      </c>
      <c r="AZ121" s="29" t="str">
        <f t="shared" si="124"/>
        <v>#DIV/0!</v>
      </c>
      <c r="BA121" s="29" t="str">
        <f t="shared" si="124"/>
        <v>#DIV/0!</v>
      </c>
      <c r="BB121" s="29" t="str">
        <f t="shared" si="124"/>
        <v>#DIV/0!</v>
      </c>
      <c r="BC121" s="29" t="str">
        <f t="shared" si="124"/>
        <v>#DIV/0!</v>
      </c>
      <c r="BD121" s="29" t="str">
        <f t="shared" si="124"/>
        <v>#DIV/0!</v>
      </c>
      <c r="BE121" s="29" t="str">
        <f t="shared" si="124"/>
        <v>#DIV/0!</v>
      </c>
      <c r="BF121" s="29" t="str">
        <f t="shared" si="124"/>
        <v>#DIV/0!</v>
      </c>
      <c r="BG121" s="29" t="str">
        <f t="shared" si="124"/>
        <v>#DIV/0!</v>
      </c>
      <c r="BH121" s="29" t="str">
        <f t="shared" si="124"/>
        <v>#DIV/0!</v>
      </c>
      <c r="BI121" s="29" t="str">
        <f t="shared" si="124"/>
        <v>#DIV/0!</v>
      </c>
      <c r="BJ121" s="29" t="str">
        <f t="shared" si="124"/>
        <v>#DIV/0!</v>
      </c>
      <c r="BK121" s="29" t="str">
        <f t="shared" si="124"/>
        <v>#DIV/0!</v>
      </c>
      <c r="BL121" s="29" t="str">
        <f t="shared" si="124"/>
        <v>#DIV/0!</v>
      </c>
      <c r="BM121" s="29" t="str">
        <f t="shared" si="3"/>
        <v>#DIV/0!</v>
      </c>
    </row>
    <row r="122">
      <c r="A122" s="16" t="str">
        <f>IFERROR(__xludf.DUMMYFUNCTION("IFERROR(SPARKLINE(SORT(MAP(TRANSPOSE(AQ122:BL122), LAMBDA(val, IF(ISNUMBER(val), PERCENTRANK(AQ122:BL122, val)+0.01, 0))), SEQUENCE(COLUMNS(AQ122:BL122)), FALSE), {""charttype"",""column""; ""color"",""chartreuse""; ""ymin"", 0; ""ymax"", 1.01; ""highcolo"&amp;"r"", ""darkgreen""; ""lowcolor"", ""red""}), """")"),"")</f>
        <v/>
      </c>
      <c r="B122" s="17" t="str">
        <f t="shared" si="4"/>
        <v/>
      </c>
      <c r="C122" s="1" t="s">
        <v>3106</v>
      </c>
      <c r="D122" s="30" t="str">
        <f>IFERROR(__xludf.DUMMYFUNCTION("IFERROR(GOOGLEFINANCE(C122, ""NAME""))"),"Chimera Investment Corp")</f>
        <v>Chimera Investment Corp</v>
      </c>
      <c r="E122" s="30" t="s">
        <v>2682</v>
      </c>
      <c r="F122" s="33" t="str">
        <f>IFERROR(__xludf.DUMMYFUNCTION("( (GOOGLEFINANCE(C122, ""price"") - Q122) / Q122 ) / (R122 / 100)"),"Loading...")</f>
        <v>Loading...</v>
      </c>
      <c r="G122" s="20" t="str">
        <f>IFERROR(__xludf.DUMMYFUNCTION("AVERAGE(ARRAYFORMULA(100 * (QUERY(GOOGLEFINANCE(C122, ""high"", TODAY()-40, TODAY()), ""SELECT Col2 WHERE Col2 IS NOT NULL ORDER BY Col1 DESC LIMIT 20"", 0) / QUERY(GOOGLEFINANCE(C122, ""low"", TODAY()-40, TODAY()), ""SELECT Col2 WHERE Col2 IS NOT NULL OR"&amp;"DER BY Col1 DESC LIMIT 20"", 0) - 1)))"),"#N/A")</f>
        <v>#N/A</v>
      </c>
      <c r="H122" s="35" t="str">
        <f t="shared" si="6"/>
        <v>Illiquid</v>
      </c>
      <c r="I122" s="35" t="str">
        <f t="shared" si="7"/>
        <v>RVol Required</v>
      </c>
      <c r="J122" s="37">
        <f>IFERROR(__xludf.DUMMYFUNCTION("IFERROR(
  IF(C122="""",, 
    IFERROR(
      GOOGLEFINANCE(C122, ""price"") * GOOGLEFINANCE(C122, ""volumeavg""), 
      GOOGLEFINANCE(C122, ""price"") * AVERAGE(QUERY(GOOGLEFINANCE(C122, ""volume"", TODAY()-40, TODAY()), ""SELECT Col2 WHERE Col2 IS NOT "&amp;"NULL ORDER BY Col1 DESC LIMIT 20"", 0))
    )
  ), 
"""")"),1.27681848E7)</f>
        <v>12768184.8</v>
      </c>
      <c r="K122" s="21">
        <f>IFERROR(__xludf.DUMMYFUNCTION("IFERROR(GOOGLEFINANCE(C122, ""changepct"") / 100, """")"),-0.0175)</f>
        <v>-0.0175</v>
      </c>
      <c r="L122" s="21" t="str">
        <f>IFERROR(__xludf.DUMMYFUNCTION("IFERROR((GOOGLEFINANCE(C122, ""price"") / INDEX(GOOGLEFINANCE(C122, ""price"", TODAY()-7, TODAY()), 2, 2)) - 1, """")"),"")</f>
        <v/>
      </c>
      <c r="M122" s="21" t="str">
        <f>IFERROR(__xludf.DUMMYFUNCTION("IFERROR((GOOGLEFINANCE(C122, ""price"") / INDEX(GOOGLEFINANCE(C122, ""price"", EDATE(TODAY(), -1), TODAY()), 2, 2)) - 1, """")"),"")</f>
        <v/>
      </c>
      <c r="N122" s="21" t="str">
        <f>IFERROR(__xludf.DUMMYFUNCTION("IFERROR((GOOGLEFINANCE(C122, ""price"") / INDEX(GOOGLEFINANCE(C122, ""price"", EDATE(TODAY(), -3), TODAY()), 2, 2)) - 1, """")"),"")</f>
        <v/>
      </c>
      <c r="O122" s="21" t="str">
        <f>IFERROR(__xludf.DUMMYFUNCTION("IFERROR((GOOGLEFINANCE(C122, ""price"") / INDEX(GOOGLEFINANCE(C122, ""price"", EDATE(TODAY(), -6), TODAY()), 2, 2)) - 1, """")"),"")</f>
        <v/>
      </c>
      <c r="P122" s="21" t="str">
        <f>IFERROR(__xludf.DUMMYFUNCTION("IFERROR((GOOGLEFINANCE(C122, ""price"") / INDEX(GOOGLEFINANCE(C122, ""price"", EDATE(TODAY(), -12), TODAY()), 2, 2)) - 1, """")"),"")</f>
        <v/>
      </c>
      <c r="Q122" s="6" t="str">
        <f>IFERROR(__xludf.DUMMYFUNCTION("AVERAGE(QUERY(GOOGLEFINANCE(C122, ""price"", TODAY()-80, TODAY()), ""SELECT Col2 WHERE Col2 IS NOT NULL ORDER BY Col1 DESC LIMIT 50"", 0))"),"#N/A")</f>
        <v>#N/A</v>
      </c>
      <c r="R122" s="24" t="str">
        <f>IFERROR(__xludf.DUMMYFUNCTION("IFERROR(
  LET(
    data, QUERY(GOOGLEFINANCE(C122,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GOOGLEFINANCE(C122, ""price"")) * 100,
    IF(calc=0, G122, calc)
  ), 
G122)"),"#N/A")</f>
        <v>#N/A</v>
      </c>
      <c r="S122" s="8" t="s">
        <v>15</v>
      </c>
      <c r="T122" s="26" t="str">
        <f>IFERROR(__xludf.DUMMYFUNCTION("IFERROR(TRANSPOSE(QUERY(IFERROR(SORT(GOOGLEFINANCE(C122, ""price"", WORKDAY(TODAY(), -40), TODAY()), 1, FALSE)), ""select Col2 where Col2 is not null limit 22 label Col2 ''"", 0)), """")"),"")</f>
        <v/>
      </c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8"/>
      <c r="AO122" s="28"/>
      <c r="AP122" s="29"/>
      <c r="AQ122" s="29" t="str">
        <f t="shared" ref="AQ122:BL122" si="125">T122/T$2</f>
        <v>#N/A</v>
      </c>
      <c r="AR122" s="29" t="str">
        <f t="shared" si="125"/>
        <v>#DIV/0!</v>
      </c>
      <c r="AS122" s="29" t="str">
        <f t="shared" si="125"/>
        <v>#DIV/0!</v>
      </c>
      <c r="AT122" s="29" t="str">
        <f t="shared" si="125"/>
        <v>#DIV/0!</v>
      </c>
      <c r="AU122" s="29" t="str">
        <f t="shared" si="125"/>
        <v>#DIV/0!</v>
      </c>
      <c r="AV122" s="29" t="str">
        <f t="shared" si="125"/>
        <v>#DIV/0!</v>
      </c>
      <c r="AW122" s="29" t="str">
        <f t="shared" si="125"/>
        <v>#DIV/0!</v>
      </c>
      <c r="AX122" s="29" t="str">
        <f t="shared" si="125"/>
        <v>#DIV/0!</v>
      </c>
      <c r="AY122" s="29" t="str">
        <f t="shared" si="125"/>
        <v>#DIV/0!</v>
      </c>
      <c r="AZ122" s="29" t="str">
        <f t="shared" si="125"/>
        <v>#DIV/0!</v>
      </c>
      <c r="BA122" s="29" t="str">
        <f t="shared" si="125"/>
        <v>#DIV/0!</v>
      </c>
      <c r="BB122" s="29" t="str">
        <f t="shared" si="125"/>
        <v>#DIV/0!</v>
      </c>
      <c r="BC122" s="29" t="str">
        <f t="shared" si="125"/>
        <v>#DIV/0!</v>
      </c>
      <c r="BD122" s="29" t="str">
        <f t="shared" si="125"/>
        <v>#DIV/0!</v>
      </c>
      <c r="BE122" s="29" t="str">
        <f t="shared" si="125"/>
        <v>#DIV/0!</v>
      </c>
      <c r="BF122" s="29" t="str">
        <f t="shared" si="125"/>
        <v>#DIV/0!</v>
      </c>
      <c r="BG122" s="29" t="str">
        <f t="shared" si="125"/>
        <v>#DIV/0!</v>
      </c>
      <c r="BH122" s="29" t="str">
        <f t="shared" si="125"/>
        <v>#DIV/0!</v>
      </c>
      <c r="BI122" s="29" t="str">
        <f t="shared" si="125"/>
        <v>#DIV/0!</v>
      </c>
      <c r="BJ122" s="29" t="str">
        <f t="shared" si="125"/>
        <v>#DIV/0!</v>
      </c>
      <c r="BK122" s="29" t="str">
        <f t="shared" si="125"/>
        <v>#DIV/0!</v>
      </c>
      <c r="BL122" s="29" t="str">
        <f t="shared" si="125"/>
        <v>#DIV/0!</v>
      </c>
      <c r="BM122" s="29" t="str">
        <f t="shared" si="3"/>
        <v>#DIV/0!</v>
      </c>
    </row>
    <row r="123">
      <c r="A123" s="16" t="str">
        <f>IFERROR(__xludf.DUMMYFUNCTION("IFERROR(SPARKLINE(SORT(MAP(TRANSPOSE(AQ123:BL123), LAMBDA(val, IF(ISNUMBER(val), PERCENTRANK(AQ123:BL123, val)+0.01, 0))), SEQUENCE(COLUMNS(AQ123:BL123)), FALSE), {""charttype"",""column""; ""color"",""chartreuse""; ""ymin"", 0; ""ymax"", 1.01; ""highcolo"&amp;"r"", ""darkgreen""; ""lowcolor"", ""red""}), """")"),"")</f>
        <v/>
      </c>
      <c r="B123" s="17" t="str">
        <f t="shared" si="4"/>
        <v/>
      </c>
      <c r="C123" s="1" t="s">
        <v>3109</v>
      </c>
      <c r="D123" s="30" t="str">
        <f>IFERROR(__xludf.DUMMYFUNCTION("IFERROR(GOOGLEFINANCE(C123, ""NAME""))"),"LTC Properties Inc")</f>
        <v>LTC Properties Inc</v>
      </c>
      <c r="E123" s="30" t="s">
        <v>2668</v>
      </c>
      <c r="F123" s="33" t="str">
        <f>IFERROR(__xludf.DUMMYFUNCTION("( (GOOGLEFINANCE(C123, ""price"") - Q123) / Q123 ) / (R123 / 100)"),"Loading...")</f>
        <v>Loading...</v>
      </c>
      <c r="G123" s="20" t="str">
        <f>IFERROR(__xludf.DUMMYFUNCTION("AVERAGE(ARRAYFORMULA(100 * (QUERY(GOOGLEFINANCE(C123, ""high"", TODAY()-40, TODAY()), ""SELECT Col2 WHERE Col2 IS NOT NULL ORDER BY Col1 DESC LIMIT 20"", 0) / QUERY(GOOGLEFINANCE(C123, ""low"", TODAY()-40, TODAY()), ""SELECT Col2 WHERE Col2 IS NOT NULL OR"&amp;"DER BY Col1 DESC LIMIT 20"", 0) - 1)))"),"#N/A")</f>
        <v>#N/A</v>
      </c>
      <c r="H123" s="35" t="str">
        <f t="shared" si="6"/>
        <v>Illiquid</v>
      </c>
      <c r="I123" s="35" t="str">
        <f t="shared" si="7"/>
        <v>RVol Required</v>
      </c>
      <c r="J123" s="37">
        <f>IFERROR(__xludf.DUMMYFUNCTION("IFERROR(
  IF(C123="""",, 
    IFERROR(
      GOOGLEFINANCE(C123, ""price"") * GOOGLEFINANCE(C123, ""volumeavg""), 
      GOOGLEFINANCE(C123, ""price"") * AVERAGE(QUERY(GOOGLEFINANCE(C123, ""volume"", TODAY()-40, TODAY()), ""SELECT Col2 WHERE Col2 IS NOT "&amp;"NULL ORDER BY Col1 DESC LIMIT 20"", 0))
    )
  ), 
"""")"),2.826104736E7)</f>
        <v>28261047.36</v>
      </c>
      <c r="K123" s="21">
        <f>IFERROR(__xludf.DUMMYFUNCTION("IFERROR(GOOGLEFINANCE(C123, ""changepct"") / 100, """")"),0.0078000000000000005)</f>
        <v>0.0078</v>
      </c>
      <c r="L123" s="21" t="str">
        <f>IFERROR(__xludf.DUMMYFUNCTION("IFERROR((GOOGLEFINANCE(C123, ""price"") / INDEX(GOOGLEFINANCE(C123, ""price"", TODAY()-7, TODAY()), 2, 2)) - 1, """")"),"")</f>
        <v/>
      </c>
      <c r="M123" s="21" t="str">
        <f>IFERROR(__xludf.DUMMYFUNCTION("IFERROR((GOOGLEFINANCE(C123, ""price"") / INDEX(GOOGLEFINANCE(C123, ""price"", EDATE(TODAY(), -1), TODAY()), 2, 2)) - 1, """")"),"")</f>
        <v/>
      </c>
      <c r="N123" s="21" t="str">
        <f>IFERROR(__xludf.DUMMYFUNCTION("IFERROR((GOOGLEFINANCE(C123, ""price"") / INDEX(GOOGLEFINANCE(C123, ""price"", EDATE(TODAY(), -3), TODAY()), 2, 2)) - 1, """")"),"")</f>
        <v/>
      </c>
      <c r="O123" s="21" t="str">
        <f>IFERROR(__xludf.DUMMYFUNCTION("IFERROR((GOOGLEFINANCE(C123, ""price"") / INDEX(GOOGLEFINANCE(C123, ""price"", EDATE(TODAY(), -6), TODAY()), 2, 2)) - 1, """")"),"")</f>
        <v/>
      </c>
      <c r="P123" s="21" t="str">
        <f>IFERROR(__xludf.DUMMYFUNCTION("IFERROR((GOOGLEFINANCE(C123, ""price"") / INDEX(GOOGLEFINANCE(C123, ""price"", EDATE(TODAY(), -12), TODAY()), 2, 2)) - 1, """")"),"")</f>
        <v/>
      </c>
      <c r="Q123" s="6" t="str">
        <f>IFERROR(__xludf.DUMMYFUNCTION("AVERAGE(QUERY(GOOGLEFINANCE(C123, ""price"", TODAY()-80, TODAY()), ""SELECT Col2 WHERE Col2 IS NOT NULL ORDER BY Col1 DESC LIMIT 50"", 0))"),"#N/A")</f>
        <v>#N/A</v>
      </c>
      <c r="R123" s="24" t="str">
        <f>IFERROR(__xludf.DUMMYFUNCTION("IFERROR(
  LET(
    data, QUERY(GOOGLEFINANCE(C123,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GOOGLEFINANCE(C123, ""price"")) * 100,
    IF(calc=0, G123, calc)
  ), 
G123)"),"#N/A")</f>
        <v>#N/A</v>
      </c>
      <c r="S123" s="8" t="s">
        <v>15</v>
      </c>
      <c r="T123" s="26" t="str">
        <f>IFERROR(__xludf.DUMMYFUNCTION("IFERROR(TRANSPOSE(QUERY(IFERROR(SORT(GOOGLEFINANCE(C123, ""price"", WORKDAY(TODAY(), -40), TODAY()), 1, FALSE)), ""select Col2 where Col2 is not null limit 22 label Col2 ''"", 0)), """")"),"")</f>
        <v/>
      </c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8"/>
      <c r="AO123" s="28"/>
      <c r="AP123" s="29"/>
      <c r="AQ123" s="29" t="str">
        <f t="shared" ref="AQ123:BL123" si="126">T123/T$2</f>
        <v>#N/A</v>
      </c>
      <c r="AR123" s="29" t="str">
        <f t="shared" si="126"/>
        <v>#DIV/0!</v>
      </c>
      <c r="AS123" s="29" t="str">
        <f t="shared" si="126"/>
        <v>#DIV/0!</v>
      </c>
      <c r="AT123" s="29" t="str">
        <f t="shared" si="126"/>
        <v>#DIV/0!</v>
      </c>
      <c r="AU123" s="29" t="str">
        <f t="shared" si="126"/>
        <v>#DIV/0!</v>
      </c>
      <c r="AV123" s="29" t="str">
        <f t="shared" si="126"/>
        <v>#DIV/0!</v>
      </c>
      <c r="AW123" s="29" t="str">
        <f t="shared" si="126"/>
        <v>#DIV/0!</v>
      </c>
      <c r="AX123" s="29" t="str">
        <f t="shared" si="126"/>
        <v>#DIV/0!</v>
      </c>
      <c r="AY123" s="29" t="str">
        <f t="shared" si="126"/>
        <v>#DIV/0!</v>
      </c>
      <c r="AZ123" s="29" t="str">
        <f t="shared" si="126"/>
        <v>#DIV/0!</v>
      </c>
      <c r="BA123" s="29" t="str">
        <f t="shared" si="126"/>
        <v>#DIV/0!</v>
      </c>
      <c r="BB123" s="29" t="str">
        <f t="shared" si="126"/>
        <v>#DIV/0!</v>
      </c>
      <c r="BC123" s="29" t="str">
        <f t="shared" si="126"/>
        <v>#DIV/0!</v>
      </c>
      <c r="BD123" s="29" t="str">
        <f t="shared" si="126"/>
        <v>#DIV/0!</v>
      </c>
      <c r="BE123" s="29" t="str">
        <f t="shared" si="126"/>
        <v>#DIV/0!</v>
      </c>
      <c r="BF123" s="29" t="str">
        <f t="shared" si="126"/>
        <v>#DIV/0!</v>
      </c>
      <c r="BG123" s="29" t="str">
        <f t="shared" si="126"/>
        <v>#DIV/0!</v>
      </c>
      <c r="BH123" s="29" t="str">
        <f t="shared" si="126"/>
        <v>#DIV/0!</v>
      </c>
      <c r="BI123" s="29" t="str">
        <f t="shared" si="126"/>
        <v>#DIV/0!</v>
      </c>
      <c r="BJ123" s="29" t="str">
        <f t="shared" si="126"/>
        <v>#DIV/0!</v>
      </c>
      <c r="BK123" s="29" t="str">
        <f t="shared" si="126"/>
        <v>#DIV/0!</v>
      </c>
      <c r="BL123" s="29" t="str">
        <f t="shared" si="126"/>
        <v>#DIV/0!</v>
      </c>
      <c r="BM123" s="29" t="str">
        <f t="shared" si="3"/>
        <v>#DIV/0!</v>
      </c>
    </row>
    <row r="124">
      <c r="A124" s="16" t="str">
        <f>IFERROR(__xludf.DUMMYFUNCTION("IFERROR(SPARKLINE(SORT(MAP(TRANSPOSE(AQ124:BL124), LAMBDA(val, IF(ISNUMBER(val), PERCENTRANK(AQ124:BL124, val)+0.01, 0))), SEQUENCE(COLUMNS(AQ124:BL124)), FALSE), {""charttype"",""column""; ""color"",""chartreuse""; ""ymin"", 0; ""ymax"", 1.01; ""highcolo"&amp;"r"", ""darkgreen""; ""lowcolor"", ""red""}), """")"),"")</f>
        <v/>
      </c>
      <c r="B124" s="17" t="str">
        <f t="shared" si="4"/>
        <v/>
      </c>
      <c r="C124" s="1" t="s">
        <v>3111</v>
      </c>
      <c r="D124" s="30" t="str">
        <f>IFERROR(__xludf.DUMMYFUNCTION("IFERROR(GOOGLEFINANCE(C124, ""NAME""))"),"Stag Industrial Inc")</f>
        <v>Stag Industrial Inc</v>
      </c>
      <c r="E124" s="30" t="s">
        <v>2704</v>
      </c>
      <c r="F124" s="33" t="str">
        <f>IFERROR(__xludf.DUMMYFUNCTION("( (GOOGLEFINANCE(C124, ""price"") - Q124) / Q124 ) / (R124 / 100)"),"Loading...")</f>
        <v>Loading...</v>
      </c>
      <c r="G124" s="20" t="str">
        <f>IFERROR(__xludf.DUMMYFUNCTION("AVERAGE(ARRAYFORMULA(100 * (QUERY(GOOGLEFINANCE(C124, ""high"", TODAY()-40, TODAY()), ""SELECT Col2 WHERE Col2 IS NOT NULL ORDER BY Col1 DESC LIMIT 20"", 0) / QUERY(GOOGLEFINANCE(C124, ""low"", TODAY()-40, TODAY()), ""SELECT Col2 WHERE Col2 IS NOT NULL OR"&amp;"DER BY Col1 DESC LIMIT 20"", 0) - 1)))"),"#N/A")</f>
        <v>#N/A</v>
      </c>
      <c r="H124" s="35" t="str">
        <f t="shared" si="6"/>
        <v>Liquid</v>
      </c>
      <c r="I124" s="35" t="str">
        <f t="shared" si="7"/>
        <v>RVol Required</v>
      </c>
      <c r="J124" s="37">
        <f>IFERROR(__xludf.DUMMYFUNCTION("IFERROR(
  IF(C124="""",, 
    IFERROR(
      GOOGLEFINANCE(C124, ""price"") * GOOGLEFINANCE(C124, ""volumeavg""), 
      GOOGLEFINANCE(C124, ""price"") * AVERAGE(QUERY(GOOGLEFINANCE(C124, ""volume"", TODAY()-40, TODAY()), ""SELECT Col2 WHERE Col2 IS NOT "&amp;"NULL ORDER BY Col1 DESC LIMIT 20"", 0))
    )
  ), 
"""")"),5.664737332E7)</f>
        <v>56647373.32</v>
      </c>
      <c r="K124" s="21">
        <f>IFERROR(__xludf.DUMMYFUNCTION("IFERROR(GOOGLEFINANCE(C124, ""changepct"") / 100, """")"),0.0039000000000000003)</f>
        <v>0.0039</v>
      </c>
      <c r="L124" s="21" t="str">
        <f>IFERROR(__xludf.DUMMYFUNCTION("IFERROR((GOOGLEFINANCE(C124, ""price"") / INDEX(GOOGLEFINANCE(C124, ""price"", TODAY()-7, TODAY()), 2, 2)) - 1, """")"),"")</f>
        <v/>
      </c>
      <c r="M124" s="21" t="str">
        <f>IFERROR(__xludf.DUMMYFUNCTION("IFERROR((GOOGLEFINANCE(C124, ""price"") / INDEX(GOOGLEFINANCE(C124, ""price"", EDATE(TODAY(), -1), TODAY()), 2, 2)) - 1, """")"),"")</f>
        <v/>
      </c>
      <c r="N124" s="21" t="str">
        <f>IFERROR(__xludf.DUMMYFUNCTION("IFERROR((GOOGLEFINANCE(C124, ""price"") / INDEX(GOOGLEFINANCE(C124, ""price"", EDATE(TODAY(), -3), TODAY()), 2, 2)) - 1, """")"),"")</f>
        <v/>
      </c>
      <c r="O124" s="21" t="str">
        <f>IFERROR(__xludf.DUMMYFUNCTION("IFERROR((GOOGLEFINANCE(C124, ""price"") / INDEX(GOOGLEFINANCE(C124, ""price"", EDATE(TODAY(), -6), TODAY()), 2, 2)) - 1, """")"),"")</f>
        <v/>
      </c>
      <c r="P124" s="21" t="str">
        <f>IFERROR(__xludf.DUMMYFUNCTION("IFERROR((GOOGLEFINANCE(C124, ""price"") / INDEX(GOOGLEFINANCE(C124, ""price"", EDATE(TODAY(), -12), TODAY()), 2, 2)) - 1, """")"),"")</f>
        <v/>
      </c>
      <c r="Q124" s="6" t="str">
        <f>IFERROR(__xludf.DUMMYFUNCTION("AVERAGE(QUERY(GOOGLEFINANCE(C124, ""price"", TODAY()-80, TODAY()), ""SELECT Col2 WHERE Col2 IS NOT NULL ORDER BY Col1 DESC LIMIT 50"", 0))"),"#N/A")</f>
        <v>#N/A</v>
      </c>
      <c r="R124" s="24" t="str">
        <f>IFERROR(__xludf.DUMMYFUNCTION("IFERROR(
  LET(
    data, QUERY(GOOGLEFINANCE(C124,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GOOGLEFINANCE(C124, ""price"")) * 100,
    IF(calc=0, G124, calc)
  ), 
G124)"),"#N/A")</f>
        <v>#N/A</v>
      </c>
      <c r="S124" s="8" t="s">
        <v>15</v>
      </c>
      <c r="T124" s="26" t="str">
        <f>IFERROR(__xludf.DUMMYFUNCTION("IFERROR(TRANSPOSE(QUERY(IFERROR(SORT(GOOGLEFINANCE(C124, ""price"", WORKDAY(TODAY(), -40), TODAY()), 1, FALSE)), ""select Col2 where Col2 is not null limit 22 label Col2 ''"", 0)), """")"),"")</f>
        <v/>
      </c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8"/>
      <c r="AO124" s="28"/>
      <c r="AP124" s="29"/>
      <c r="AQ124" s="29" t="str">
        <f t="shared" ref="AQ124:BL124" si="127">T124/T$2</f>
        <v>#N/A</v>
      </c>
      <c r="AR124" s="29" t="str">
        <f t="shared" si="127"/>
        <v>#DIV/0!</v>
      </c>
      <c r="AS124" s="29" t="str">
        <f t="shared" si="127"/>
        <v>#DIV/0!</v>
      </c>
      <c r="AT124" s="29" t="str">
        <f t="shared" si="127"/>
        <v>#DIV/0!</v>
      </c>
      <c r="AU124" s="29" t="str">
        <f t="shared" si="127"/>
        <v>#DIV/0!</v>
      </c>
      <c r="AV124" s="29" t="str">
        <f t="shared" si="127"/>
        <v>#DIV/0!</v>
      </c>
      <c r="AW124" s="29" t="str">
        <f t="shared" si="127"/>
        <v>#DIV/0!</v>
      </c>
      <c r="AX124" s="29" t="str">
        <f t="shared" si="127"/>
        <v>#DIV/0!</v>
      </c>
      <c r="AY124" s="29" t="str">
        <f t="shared" si="127"/>
        <v>#DIV/0!</v>
      </c>
      <c r="AZ124" s="29" t="str">
        <f t="shared" si="127"/>
        <v>#DIV/0!</v>
      </c>
      <c r="BA124" s="29" t="str">
        <f t="shared" si="127"/>
        <v>#DIV/0!</v>
      </c>
      <c r="BB124" s="29" t="str">
        <f t="shared" si="127"/>
        <v>#DIV/0!</v>
      </c>
      <c r="BC124" s="29" t="str">
        <f t="shared" si="127"/>
        <v>#DIV/0!</v>
      </c>
      <c r="BD124" s="29" t="str">
        <f t="shared" si="127"/>
        <v>#DIV/0!</v>
      </c>
      <c r="BE124" s="29" t="str">
        <f t="shared" si="127"/>
        <v>#DIV/0!</v>
      </c>
      <c r="BF124" s="29" t="str">
        <f t="shared" si="127"/>
        <v>#DIV/0!</v>
      </c>
      <c r="BG124" s="29" t="str">
        <f t="shared" si="127"/>
        <v>#DIV/0!</v>
      </c>
      <c r="BH124" s="29" t="str">
        <f t="shared" si="127"/>
        <v>#DIV/0!</v>
      </c>
      <c r="BI124" s="29" t="str">
        <f t="shared" si="127"/>
        <v>#DIV/0!</v>
      </c>
      <c r="BJ124" s="29" t="str">
        <f t="shared" si="127"/>
        <v>#DIV/0!</v>
      </c>
      <c r="BK124" s="29" t="str">
        <f t="shared" si="127"/>
        <v>#DIV/0!</v>
      </c>
      <c r="BL124" s="29" t="str">
        <f t="shared" si="127"/>
        <v>#DIV/0!</v>
      </c>
      <c r="BM124" s="29" t="str">
        <f t="shared" si="3"/>
        <v>#DIV/0!</v>
      </c>
    </row>
    <row r="125">
      <c r="A125" s="16" t="str">
        <f>IFERROR(__xludf.DUMMYFUNCTION("IFERROR(SPARKLINE(SORT(MAP(TRANSPOSE(AQ125:BL125), LAMBDA(val, IF(ISNUMBER(val), PERCENTRANK(AQ125:BL125, val)+0.01, 0))), SEQUENCE(COLUMNS(AQ125:BL125)), FALSE), {""charttype"",""column""; ""color"",""chartreuse""; ""ymin"", 0; ""ymax"", 1.01; ""highcolo"&amp;"r"", ""darkgreen""; ""lowcolor"", ""red""}), """")"),"")</f>
        <v/>
      </c>
      <c r="B125" s="17" t="str">
        <f t="shared" si="4"/>
        <v/>
      </c>
      <c r="C125" s="1" t="s">
        <v>3113</v>
      </c>
      <c r="D125" s="30" t="str">
        <f>IFERROR(__xludf.DUMMYFUNCTION("IFERROR(GOOGLEFINANCE(C125, ""NAME""))"),"First Industrial Realty Trust Inc")</f>
        <v>First Industrial Realty Trust Inc</v>
      </c>
      <c r="E125" s="30" t="s">
        <v>2704</v>
      </c>
      <c r="F125" s="33" t="str">
        <f>IFERROR(__xludf.DUMMYFUNCTION("( (GOOGLEFINANCE(C125, ""price"") - Q125) / Q125 ) / (R125 / 100)"),"Loading...")</f>
        <v>Loading...</v>
      </c>
      <c r="G125" s="20" t="str">
        <f>IFERROR(__xludf.DUMMYFUNCTION("AVERAGE(ARRAYFORMULA(100 * (QUERY(GOOGLEFINANCE(C125, ""high"", TODAY()-40, TODAY()), ""SELECT Col2 WHERE Col2 IS NOT NULL ORDER BY Col1 DESC LIMIT 20"", 0) / QUERY(GOOGLEFINANCE(C125, ""low"", TODAY()-40, TODAY()), ""SELECT Col2 WHERE Col2 IS NOT NULL OR"&amp;"DER BY Col1 DESC LIMIT 20"", 0) - 1)))"),"#N/A")</f>
        <v>#N/A</v>
      </c>
      <c r="H125" s="35" t="str">
        <f t="shared" si="6"/>
        <v>Liquid</v>
      </c>
      <c r="I125" s="35" t="str">
        <f t="shared" si="7"/>
        <v>RVol Required</v>
      </c>
      <c r="J125" s="37">
        <f>IFERROR(__xludf.DUMMYFUNCTION("IFERROR(
  IF(C125="""",, 
    IFERROR(
      GOOGLEFINANCE(C125, ""price"") * GOOGLEFINANCE(C125, ""volumeavg""), 
      GOOGLEFINANCE(C125, ""price"") * AVERAGE(QUERY(GOOGLEFINANCE(C125, ""volume"", TODAY()-40, TODAY()), ""SELECT Col2 WHERE Col2 IS NOT "&amp;"NULL ORDER BY Col1 DESC LIMIT 20"", 0))
    )
  ), 
"""")"),6.85652812E7)</f>
        <v>68565281.2</v>
      </c>
      <c r="K125" s="21">
        <f>IFERROR(__xludf.DUMMYFUNCTION("IFERROR(GOOGLEFINANCE(C125, ""changepct"") / 100, """")"),-3.0E-4)</f>
        <v>-0.0003</v>
      </c>
      <c r="L125" s="21" t="str">
        <f>IFERROR(__xludf.DUMMYFUNCTION("IFERROR((GOOGLEFINANCE(C125, ""price"") / INDEX(GOOGLEFINANCE(C125, ""price"", TODAY()-7, TODAY()), 2, 2)) - 1, """")"),"")</f>
        <v/>
      </c>
      <c r="M125" s="21" t="str">
        <f>IFERROR(__xludf.DUMMYFUNCTION("IFERROR((GOOGLEFINANCE(C125, ""price"") / INDEX(GOOGLEFINANCE(C125, ""price"", EDATE(TODAY(), -1), TODAY()), 2, 2)) - 1, """")"),"")</f>
        <v/>
      </c>
      <c r="N125" s="21" t="str">
        <f>IFERROR(__xludf.DUMMYFUNCTION("IFERROR((GOOGLEFINANCE(C125, ""price"") / INDEX(GOOGLEFINANCE(C125, ""price"", EDATE(TODAY(), -3), TODAY()), 2, 2)) - 1, """")"),"")</f>
        <v/>
      </c>
      <c r="O125" s="21" t="str">
        <f>IFERROR(__xludf.DUMMYFUNCTION("IFERROR((GOOGLEFINANCE(C125, ""price"") / INDEX(GOOGLEFINANCE(C125, ""price"", EDATE(TODAY(), -6), TODAY()), 2, 2)) - 1, """")"),"")</f>
        <v/>
      </c>
      <c r="P125" s="21" t="str">
        <f>IFERROR(__xludf.DUMMYFUNCTION("IFERROR((GOOGLEFINANCE(C125, ""price"") / INDEX(GOOGLEFINANCE(C125, ""price"", EDATE(TODAY(), -12), TODAY()), 2, 2)) - 1, """")"),"")</f>
        <v/>
      </c>
      <c r="Q125" s="6" t="str">
        <f>IFERROR(__xludf.DUMMYFUNCTION("AVERAGE(QUERY(GOOGLEFINANCE(C125, ""price"", TODAY()-80, TODAY()), ""SELECT Col2 WHERE Col2 IS NOT NULL ORDER BY Col1 DESC LIMIT 50"", 0))"),"#N/A")</f>
        <v>#N/A</v>
      </c>
      <c r="R125" s="24" t="str">
        <f>IFERROR(__xludf.DUMMYFUNCTION("IFERROR(
  LET(
    data, QUERY(GOOGLEFINANCE(C125,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GOOGLEFINANCE(C125, ""price"")) * 100,
    IF(calc=0, G125, calc)
  ), 
G125)"),"#N/A")</f>
        <v>#N/A</v>
      </c>
      <c r="S125" s="8" t="s">
        <v>15</v>
      </c>
      <c r="T125" s="26" t="str">
        <f>IFERROR(__xludf.DUMMYFUNCTION("IFERROR(TRANSPOSE(QUERY(IFERROR(SORT(GOOGLEFINANCE(C125, ""price"", WORKDAY(TODAY(), -40), TODAY()), 1, FALSE)), ""select Col2 where Col2 is not null limit 22 label Col2 ''"", 0)), """")"),"")</f>
        <v/>
      </c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8"/>
      <c r="AO125" s="28"/>
      <c r="AP125" s="29"/>
      <c r="AQ125" s="29" t="str">
        <f t="shared" ref="AQ125:BL125" si="128">T125/T$2</f>
        <v>#N/A</v>
      </c>
      <c r="AR125" s="29" t="str">
        <f t="shared" si="128"/>
        <v>#DIV/0!</v>
      </c>
      <c r="AS125" s="29" t="str">
        <f t="shared" si="128"/>
        <v>#DIV/0!</v>
      </c>
      <c r="AT125" s="29" t="str">
        <f t="shared" si="128"/>
        <v>#DIV/0!</v>
      </c>
      <c r="AU125" s="29" t="str">
        <f t="shared" si="128"/>
        <v>#DIV/0!</v>
      </c>
      <c r="AV125" s="29" t="str">
        <f t="shared" si="128"/>
        <v>#DIV/0!</v>
      </c>
      <c r="AW125" s="29" t="str">
        <f t="shared" si="128"/>
        <v>#DIV/0!</v>
      </c>
      <c r="AX125" s="29" t="str">
        <f t="shared" si="128"/>
        <v>#DIV/0!</v>
      </c>
      <c r="AY125" s="29" t="str">
        <f t="shared" si="128"/>
        <v>#DIV/0!</v>
      </c>
      <c r="AZ125" s="29" t="str">
        <f t="shared" si="128"/>
        <v>#DIV/0!</v>
      </c>
      <c r="BA125" s="29" t="str">
        <f t="shared" si="128"/>
        <v>#DIV/0!</v>
      </c>
      <c r="BB125" s="29" t="str">
        <f t="shared" si="128"/>
        <v>#DIV/0!</v>
      </c>
      <c r="BC125" s="29" t="str">
        <f t="shared" si="128"/>
        <v>#DIV/0!</v>
      </c>
      <c r="BD125" s="29" t="str">
        <f t="shared" si="128"/>
        <v>#DIV/0!</v>
      </c>
      <c r="BE125" s="29" t="str">
        <f t="shared" si="128"/>
        <v>#DIV/0!</v>
      </c>
      <c r="BF125" s="29" t="str">
        <f t="shared" si="128"/>
        <v>#DIV/0!</v>
      </c>
      <c r="BG125" s="29" t="str">
        <f t="shared" si="128"/>
        <v>#DIV/0!</v>
      </c>
      <c r="BH125" s="29" t="str">
        <f t="shared" si="128"/>
        <v>#DIV/0!</v>
      </c>
      <c r="BI125" s="29" t="str">
        <f t="shared" si="128"/>
        <v>#DIV/0!</v>
      </c>
      <c r="BJ125" s="29" t="str">
        <f t="shared" si="128"/>
        <v>#DIV/0!</v>
      </c>
      <c r="BK125" s="29" t="str">
        <f t="shared" si="128"/>
        <v>#DIV/0!</v>
      </c>
      <c r="BL125" s="29" t="str">
        <f t="shared" si="128"/>
        <v>#DIV/0!</v>
      </c>
      <c r="BM125" s="29" t="str">
        <f t="shared" si="3"/>
        <v>#DIV/0!</v>
      </c>
    </row>
    <row r="126">
      <c r="A126" s="16" t="str">
        <f>IFERROR(__xludf.DUMMYFUNCTION("IFERROR(SPARKLINE(SORT(MAP(TRANSPOSE(AQ126:BL126), LAMBDA(val, IF(ISNUMBER(val), PERCENTRANK(AQ126:BL126, val)+0.01, 0))), SEQUENCE(COLUMNS(AQ126:BL126)), FALSE), {""charttype"",""column""; ""color"",""chartreuse""; ""ymin"", 0; ""ymax"", 1.01; ""highcolo"&amp;"r"", ""darkgreen""; ""lowcolor"", ""red""}), """")"),"")</f>
        <v/>
      </c>
      <c r="B126" s="17" t="str">
        <f t="shared" si="4"/>
        <v/>
      </c>
      <c r="C126" s="1" t="s">
        <v>3118</v>
      </c>
      <c r="D126" s="30" t="str">
        <f>IFERROR(__xludf.DUMMYFUNCTION("IFERROR(GOOGLEFINANCE(C126, ""NAME""))"),"Phillips Edison &amp; Co Inc")</f>
        <v>Phillips Edison &amp; Co Inc</v>
      </c>
      <c r="E126" s="30" t="s">
        <v>2751</v>
      </c>
      <c r="F126" s="33" t="str">
        <f>IFERROR(__xludf.DUMMYFUNCTION("( (GOOGLEFINANCE(C126, ""price"") - Q126) / Q126 ) / (R126 / 100)"),"Loading...")</f>
        <v>Loading...</v>
      </c>
      <c r="G126" s="20" t="str">
        <f>IFERROR(__xludf.DUMMYFUNCTION("AVERAGE(ARRAYFORMULA(100 * (QUERY(GOOGLEFINANCE(C126, ""high"", TODAY()-40, TODAY()), ""SELECT Col2 WHERE Col2 IS NOT NULL ORDER BY Col1 DESC LIMIT 20"", 0) / QUERY(GOOGLEFINANCE(C126, ""low"", TODAY()-40, TODAY()), ""SELECT Col2 WHERE Col2 IS NOT NULL OR"&amp;"DER BY Col1 DESC LIMIT 20"", 0) - 1)))"),"#N/A")</f>
        <v>#N/A</v>
      </c>
      <c r="H126" s="35" t="str">
        <f t="shared" si="6"/>
        <v>Illiquid</v>
      </c>
      <c r="I126" s="35" t="str">
        <f t="shared" si="7"/>
        <v>RVol Required</v>
      </c>
      <c r="J126" s="37">
        <f>IFERROR(__xludf.DUMMYFUNCTION("IFERROR(
  IF(C126="""",, 
    IFERROR(
      GOOGLEFINANCE(C126, ""price"") * GOOGLEFINANCE(C126, ""volumeavg""), 
      GOOGLEFINANCE(C126, ""price"") * AVERAGE(QUERY(GOOGLEFINANCE(C126, ""volume"", TODAY()-40, TODAY()), ""SELECT Col2 WHERE Col2 IS NOT "&amp;"NULL ORDER BY Col1 DESC LIMIT 20"", 0))
    )
  ), 
"""")"),4.383806553E7)</f>
        <v>43838065.53</v>
      </c>
      <c r="K126" s="21">
        <f>IFERROR(__xludf.DUMMYFUNCTION("IFERROR(GOOGLEFINANCE(C126, ""changepct"") / 100, """")"),0.0066)</f>
        <v>0.0066</v>
      </c>
      <c r="L126" s="21" t="str">
        <f>IFERROR(__xludf.DUMMYFUNCTION("IFERROR((GOOGLEFINANCE(C126, ""price"") / INDEX(GOOGLEFINANCE(C126, ""price"", TODAY()-7, TODAY()), 2, 2)) - 1, """")"),"")</f>
        <v/>
      </c>
      <c r="M126" s="21" t="str">
        <f>IFERROR(__xludf.DUMMYFUNCTION("IFERROR((GOOGLEFINANCE(C126, ""price"") / INDEX(GOOGLEFINANCE(C126, ""price"", EDATE(TODAY(), -1), TODAY()), 2, 2)) - 1, """")"),"")</f>
        <v/>
      </c>
      <c r="N126" s="21" t="str">
        <f>IFERROR(__xludf.DUMMYFUNCTION("IFERROR((GOOGLEFINANCE(C126, ""price"") / INDEX(GOOGLEFINANCE(C126, ""price"", EDATE(TODAY(), -3), TODAY()), 2, 2)) - 1, """")"),"")</f>
        <v/>
      </c>
      <c r="O126" s="21" t="str">
        <f>IFERROR(__xludf.DUMMYFUNCTION("IFERROR((GOOGLEFINANCE(C126, ""price"") / INDEX(GOOGLEFINANCE(C126, ""price"", EDATE(TODAY(), -6), TODAY()), 2, 2)) - 1, """")"),"")</f>
        <v/>
      </c>
      <c r="P126" s="21" t="str">
        <f>IFERROR(__xludf.DUMMYFUNCTION("IFERROR((GOOGLEFINANCE(C126, ""price"") / INDEX(GOOGLEFINANCE(C126, ""price"", EDATE(TODAY(), -12), TODAY()), 2, 2)) - 1, """")"),"")</f>
        <v/>
      </c>
      <c r="Q126" s="6" t="str">
        <f>IFERROR(__xludf.DUMMYFUNCTION("AVERAGE(QUERY(GOOGLEFINANCE(C126, ""price"", TODAY()-80, TODAY()), ""SELECT Col2 WHERE Col2 IS NOT NULL ORDER BY Col1 DESC LIMIT 50"", 0))"),"#N/A")</f>
        <v>#N/A</v>
      </c>
      <c r="R126" s="24" t="str">
        <f>IFERROR(__xludf.DUMMYFUNCTION("IFERROR(
  LET(
    data, QUERY(GOOGLEFINANCE(C126,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GOOGLEFINANCE(C126, ""price"")) * 100,
    IF(calc=0, G126, calc)
  ), 
G126)"),"#N/A")</f>
        <v>#N/A</v>
      </c>
      <c r="S126" s="8" t="s">
        <v>15</v>
      </c>
      <c r="T126" s="26" t="str">
        <f>IFERROR(__xludf.DUMMYFUNCTION("IFERROR(TRANSPOSE(QUERY(IFERROR(SORT(GOOGLEFINANCE(C126, ""price"", WORKDAY(TODAY(), -40), TODAY()), 1, FALSE)), ""select Col2 where Col2 is not null limit 22 label Col2 ''"", 0)), """")"),"")</f>
        <v/>
      </c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8"/>
      <c r="AO126" s="28"/>
      <c r="AP126" s="29"/>
      <c r="AQ126" s="29" t="str">
        <f t="shared" ref="AQ126:BL126" si="129">T126/T$2</f>
        <v>#N/A</v>
      </c>
      <c r="AR126" s="29" t="str">
        <f t="shared" si="129"/>
        <v>#DIV/0!</v>
      </c>
      <c r="AS126" s="29" t="str">
        <f t="shared" si="129"/>
        <v>#DIV/0!</v>
      </c>
      <c r="AT126" s="29" t="str">
        <f t="shared" si="129"/>
        <v>#DIV/0!</v>
      </c>
      <c r="AU126" s="29" t="str">
        <f t="shared" si="129"/>
        <v>#DIV/0!</v>
      </c>
      <c r="AV126" s="29" t="str">
        <f t="shared" si="129"/>
        <v>#DIV/0!</v>
      </c>
      <c r="AW126" s="29" t="str">
        <f t="shared" si="129"/>
        <v>#DIV/0!</v>
      </c>
      <c r="AX126" s="29" t="str">
        <f t="shared" si="129"/>
        <v>#DIV/0!</v>
      </c>
      <c r="AY126" s="29" t="str">
        <f t="shared" si="129"/>
        <v>#DIV/0!</v>
      </c>
      <c r="AZ126" s="29" t="str">
        <f t="shared" si="129"/>
        <v>#DIV/0!</v>
      </c>
      <c r="BA126" s="29" t="str">
        <f t="shared" si="129"/>
        <v>#DIV/0!</v>
      </c>
      <c r="BB126" s="29" t="str">
        <f t="shared" si="129"/>
        <v>#DIV/0!</v>
      </c>
      <c r="BC126" s="29" t="str">
        <f t="shared" si="129"/>
        <v>#DIV/0!</v>
      </c>
      <c r="BD126" s="29" t="str">
        <f t="shared" si="129"/>
        <v>#DIV/0!</v>
      </c>
      <c r="BE126" s="29" t="str">
        <f t="shared" si="129"/>
        <v>#DIV/0!</v>
      </c>
      <c r="BF126" s="29" t="str">
        <f t="shared" si="129"/>
        <v>#DIV/0!</v>
      </c>
      <c r="BG126" s="29" t="str">
        <f t="shared" si="129"/>
        <v>#DIV/0!</v>
      </c>
      <c r="BH126" s="29" t="str">
        <f t="shared" si="129"/>
        <v>#DIV/0!</v>
      </c>
      <c r="BI126" s="29" t="str">
        <f t="shared" si="129"/>
        <v>#DIV/0!</v>
      </c>
      <c r="BJ126" s="29" t="str">
        <f t="shared" si="129"/>
        <v>#DIV/0!</v>
      </c>
      <c r="BK126" s="29" t="str">
        <f t="shared" si="129"/>
        <v>#DIV/0!</v>
      </c>
      <c r="BL126" s="29" t="str">
        <f t="shared" si="129"/>
        <v>#DIV/0!</v>
      </c>
      <c r="BM126" s="29" t="str">
        <f t="shared" si="3"/>
        <v>#DIV/0!</v>
      </c>
    </row>
    <row r="127">
      <c r="A127" s="16" t="str">
        <f>IFERROR(__xludf.DUMMYFUNCTION("IFERROR(SPARKLINE(SORT(MAP(TRANSPOSE(AQ127:BL127), LAMBDA(val, IF(ISNUMBER(val), PERCENTRANK(AQ127:BL127, val)+0.01, 0))), SEQUENCE(COLUMNS(AQ127:BL127)), FALSE), {""charttype"",""column""; ""color"",""chartreuse""; ""ymin"", 0; ""ymax"", 1.01; ""highcolo"&amp;"r"", ""darkgreen""; ""lowcolor"", ""red""}), """")"),"")</f>
        <v/>
      </c>
      <c r="B127" s="17" t="str">
        <f t="shared" si="4"/>
        <v/>
      </c>
      <c r="C127" s="1" t="s">
        <v>3121</v>
      </c>
      <c r="D127" s="30" t="str">
        <f>IFERROR(__xludf.DUMMYFUNCTION("IFERROR(GOOGLEFINANCE(C127, ""NAME""))"),"Transcontinental Realty Investors Inc")</f>
        <v>Transcontinental Realty Investors Inc</v>
      </c>
      <c r="E127" s="30" t="s">
        <v>2692</v>
      </c>
      <c r="F127" s="33" t="str">
        <f>IFERROR(__xludf.DUMMYFUNCTION("( (GOOGLEFINANCE(C127, ""price"") - Q127) / Q127 ) / (R127 / 100)"),"Loading...")</f>
        <v>Loading...</v>
      </c>
      <c r="G127" s="20" t="str">
        <f>IFERROR(__xludf.DUMMYFUNCTION("AVERAGE(ARRAYFORMULA(100 * (QUERY(GOOGLEFINANCE(C127, ""high"", TODAY()-40, TODAY()), ""SELECT Col2 WHERE Col2 IS NOT NULL ORDER BY Col1 DESC LIMIT 20"", 0) / QUERY(GOOGLEFINANCE(C127, ""low"", TODAY()-40, TODAY()), ""SELECT Col2 WHERE Col2 IS NOT NULL OR"&amp;"DER BY Col1 DESC LIMIT 20"", 0) - 1)))"),"#N/A")</f>
        <v>#N/A</v>
      </c>
      <c r="H127" s="35" t="str">
        <f t="shared" si="6"/>
        <v>Illiquid</v>
      </c>
      <c r="I127" s="35" t="str">
        <f t="shared" si="7"/>
        <v>RVol Required</v>
      </c>
      <c r="J127" s="37">
        <f>IFERROR(__xludf.DUMMYFUNCTION("IFERROR(
  IF(C127="""",, 
    IFERROR(
      GOOGLEFINANCE(C127, ""price"") * GOOGLEFINANCE(C127, ""volumeavg""), 
      GOOGLEFINANCE(C127, ""price"") * AVERAGE(QUERY(GOOGLEFINANCE(C127, ""volume"", TODAY()-40, TODAY()), ""SELECT Col2 WHERE Col2 IS NOT "&amp;"NULL ORDER BY Col1 DESC LIMIT 20"", 0))
    )
  ), 
"""")"),916740.1699999999)</f>
        <v>916740.17</v>
      </c>
      <c r="K127" s="21">
        <f>IFERROR(__xludf.DUMMYFUNCTION("IFERROR(GOOGLEFINANCE(C127, ""changepct"") / 100, """")"),-0.0173)</f>
        <v>-0.0173</v>
      </c>
      <c r="L127" s="21" t="str">
        <f>IFERROR(__xludf.DUMMYFUNCTION("IFERROR((GOOGLEFINANCE(C127, ""price"") / INDEX(GOOGLEFINANCE(C127, ""price"", TODAY()-7, TODAY()), 2, 2)) - 1, """")"),"")</f>
        <v/>
      </c>
      <c r="M127" s="21" t="str">
        <f>IFERROR(__xludf.DUMMYFUNCTION("IFERROR((GOOGLEFINANCE(C127, ""price"") / INDEX(GOOGLEFINANCE(C127, ""price"", EDATE(TODAY(), -1), TODAY()), 2, 2)) - 1, """")"),"")</f>
        <v/>
      </c>
      <c r="N127" s="21" t="str">
        <f>IFERROR(__xludf.DUMMYFUNCTION("IFERROR((GOOGLEFINANCE(C127, ""price"") / INDEX(GOOGLEFINANCE(C127, ""price"", EDATE(TODAY(), -3), TODAY()), 2, 2)) - 1, """")"),"")</f>
        <v/>
      </c>
      <c r="O127" s="21" t="str">
        <f>IFERROR(__xludf.DUMMYFUNCTION("IFERROR((GOOGLEFINANCE(C127, ""price"") / INDEX(GOOGLEFINANCE(C127, ""price"", EDATE(TODAY(), -6), TODAY()), 2, 2)) - 1, """")"),"")</f>
        <v/>
      </c>
      <c r="P127" s="21" t="str">
        <f>IFERROR(__xludf.DUMMYFUNCTION("IFERROR((GOOGLEFINANCE(C127, ""price"") / INDEX(GOOGLEFINANCE(C127, ""price"", EDATE(TODAY(), -12), TODAY()), 2, 2)) - 1, """")"),"")</f>
        <v/>
      </c>
      <c r="Q127" s="6" t="str">
        <f>IFERROR(__xludf.DUMMYFUNCTION("AVERAGE(QUERY(GOOGLEFINANCE(C127, ""price"", TODAY()-80, TODAY()), ""SELECT Col2 WHERE Col2 IS NOT NULL ORDER BY Col1 DESC LIMIT 50"", 0))"),"#N/A")</f>
        <v>#N/A</v>
      </c>
      <c r="R127" s="24" t="str">
        <f>IFERROR(__xludf.DUMMYFUNCTION("IFERROR(
  LET(
    data, QUERY(GOOGLEFINANCE(C127,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GOOGLEFINANCE(C127, ""price"")) * 100,
    IF(calc=0, G127, calc)
  ), 
G127)"),"#N/A")</f>
        <v>#N/A</v>
      </c>
      <c r="S127" s="8" t="s">
        <v>15</v>
      </c>
      <c r="T127" s="26" t="str">
        <f>IFERROR(__xludf.DUMMYFUNCTION("IFERROR(TRANSPOSE(QUERY(IFERROR(SORT(GOOGLEFINANCE(C127, ""price"", WORKDAY(TODAY(), -40), TODAY()), 1, FALSE)), ""select Col2 where Col2 is not null limit 22 label Col2 ''"", 0)), """")"),"")</f>
        <v/>
      </c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8"/>
      <c r="AO127" s="28"/>
      <c r="AP127" s="29"/>
      <c r="AQ127" s="29" t="str">
        <f t="shared" ref="AQ127:BL127" si="130">T127/T$2</f>
        <v>#N/A</v>
      </c>
      <c r="AR127" s="29" t="str">
        <f t="shared" si="130"/>
        <v>#DIV/0!</v>
      </c>
      <c r="AS127" s="29" t="str">
        <f t="shared" si="130"/>
        <v>#DIV/0!</v>
      </c>
      <c r="AT127" s="29" t="str">
        <f t="shared" si="130"/>
        <v>#DIV/0!</v>
      </c>
      <c r="AU127" s="29" t="str">
        <f t="shared" si="130"/>
        <v>#DIV/0!</v>
      </c>
      <c r="AV127" s="29" t="str">
        <f t="shared" si="130"/>
        <v>#DIV/0!</v>
      </c>
      <c r="AW127" s="29" t="str">
        <f t="shared" si="130"/>
        <v>#DIV/0!</v>
      </c>
      <c r="AX127" s="29" t="str">
        <f t="shared" si="130"/>
        <v>#DIV/0!</v>
      </c>
      <c r="AY127" s="29" t="str">
        <f t="shared" si="130"/>
        <v>#DIV/0!</v>
      </c>
      <c r="AZ127" s="29" t="str">
        <f t="shared" si="130"/>
        <v>#DIV/0!</v>
      </c>
      <c r="BA127" s="29" t="str">
        <f t="shared" si="130"/>
        <v>#DIV/0!</v>
      </c>
      <c r="BB127" s="29" t="str">
        <f t="shared" si="130"/>
        <v>#DIV/0!</v>
      </c>
      <c r="BC127" s="29" t="str">
        <f t="shared" si="130"/>
        <v>#DIV/0!</v>
      </c>
      <c r="BD127" s="29" t="str">
        <f t="shared" si="130"/>
        <v>#DIV/0!</v>
      </c>
      <c r="BE127" s="29" t="str">
        <f t="shared" si="130"/>
        <v>#DIV/0!</v>
      </c>
      <c r="BF127" s="29" t="str">
        <f t="shared" si="130"/>
        <v>#DIV/0!</v>
      </c>
      <c r="BG127" s="29" t="str">
        <f t="shared" si="130"/>
        <v>#DIV/0!</v>
      </c>
      <c r="BH127" s="29" t="str">
        <f t="shared" si="130"/>
        <v>#DIV/0!</v>
      </c>
      <c r="BI127" s="29" t="str">
        <f t="shared" si="130"/>
        <v>#DIV/0!</v>
      </c>
      <c r="BJ127" s="29" t="str">
        <f t="shared" si="130"/>
        <v>#DIV/0!</v>
      </c>
      <c r="BK127" s="29" t="str">
        <f t="shared" si="130"/>
        <v>#DIV/0!</v>
      </c>
      <c r="BL127" s="29" t="str">
        <f t="shared" si="130"/>
        <v>#DIV/0!</v>
      </c>
      <c r="BM127" s="29" t="str">
        <f t="shared" si="3"/>
        <v>#DIV/0!</v>
      </c>
    </row>
    <row r="128">
      <c r="A128" s="16" t="str">
        <f>IFERROR(__xludf.DUMMYFUNCTION("IFERROR(SPARKLINE(SORT(MAP(TRANSPOSE(AQ128:BL128), LAMBDA(val, IF(ISNUMBER(val), PERCENTRANK(AQ128:BL128, val)+0.01, 0))), SEQUENCE(COLUMNS(AQ128:BL128)), FALSE), {""charttype"",""column""; ""color"",""chartreuse""; ""ymin"", 0; ""ymax"", 1.01; ""highcolo"&amp;"r"", ""darkgreen""; ""lowcolor"", ""red""}), """")"),"")</f>
        <v/>
      </c>
      <c r="B128" s="17" t="str">
        <f t="shared" si="4"/>
        <v/>
      </c>
      <c r="C128" s="1" t="s">
        <v>3123</v>
      </c>
      <c r="D128" s="30" t="str">
        <f>IFERROR(__xludf.DUMMYFUNCTION("IFERROR(GOOGLEFINANCE(C128, ""NAME""))"),"Terreno Realty Corp")</f>
        <v>Terreno Realty Corp</v>
      </c>
      <c r="E128" s="30" t="s">
        <v>2704</v>
      </c>
      <c r="F128" s="38" t="str">
        <f>IFERROR(__xludf.DUMMYFUNCTION("( (GOOGLEFINANCE(C128, ""price"") - Q128) / Q128 ) / (R128 / 100)"),"Loading...")</f>
        <v>Loading...</v>
      </c>
      <c r="G128" s="20" t="str">
        <f>IFERROR(__xludf.DUMMYFUNCTION("AVERAGE(ARRAYFORMULA(100 * (QUERY(GOOGLEFINANCE(C128, ""high"", TODAY()-40, TODAY()), ""SELECT Col2 WHERE Col2 IS NOT NULL ORDER BY Col1 DESC LIMIT 20"", 0) / QUERY(GOOGLEFINANCE(C128, ""low"", TODAY()-40, TODAY()), ""SELECT Col2 WHERE Col2 IS NOT NULL OR"&amp;"DER BY Col1 DESC LIMIT 20"", 0) - 1)))"),"#N/A")</f>
        <v>#N/A</v>
      </c>
      <c r="H128" s="35" t="str">
        <f t="shared" si="6"/>
        <v>Illiquid</v>
      </c>
      <c r="I128" s="35" t="str">
        <f t="shared" si="7"/>
        <v>RVol Required</v>
      </c>
      <c r="J128" s="37">
        <f>IFERROR(__xludf.DUMMYFUNCTION("IFERROR(
  IF(C128="""",, 
    IFERROR(
      GOOGLEFINANCE(C128, ""price"") * GOOGLEFINANCE(C128, ""volumeavg""), 
      GOOGLEFINANCE(C128, ""price"") * AVERAGE(QUERY(GOOGLEFINANCE(C128, ""volume"", TODAY()-40, TODAY()), ""SELECT Col2 WHERE Col2 IS NOT "&amp;"NULL ORDER BY Col1 DESC LIMIT 20"", 0))
    )
  ), 
"""")"),4.721420586E7)</f>
        <v>47214205.86</v>
      </c>
      <c r="K128" s="21">
        <f>IFERROR(__xludf.DUMMYFUNCTION("IFERROR(GOOGLEFINANCE(C128, ""changepct"") / 100, """")"),0.002)</f>
        <v>0.002</v>
      </c>
      <c r="L128" s="21" t="str">
        <f>IFERROR(__xludf.DUMMYFUNCTION("IFERROR((GOOGLEFINANCE(C128, ""price"") / INDEX(GOOGLEFINANCE(C128, ""price"", TODAY()-7, TODAY()), 2, 2)) - 1, """")"),"")</f>
        <v/>
      </c>
      <c r="M128" s="21" t="str">
        <f>IFERROR(__xludf.DUMMYFUNCTION("IFERROR((GOOGLEFINANCE(C128, ""price"") / INDEX(GOOGLEFINANCE(C128, ""price"", EDATE(TODAY(), -1), TODAY()), 2, 2)) - 1, """")"),"")</f>
        <v/>
      </c>
      <c r="N128" s="21" t="str">
        <f>IFERROR(__xludf.DUMMYFUNCTION("IFERROR((GOOGLEFINANCE(C128, ""price"") / INDEX(GOOGLEFINANCE(C128, ""price"", EDATE(TODAY(), -3), TODAY()), 2, 2)) - 1, """")"),"")</f>
        <v/>
      </c>
      <c r="O128" s="21" t="str">
        <f>IFERROR(__xludf.DUMMYFUNCTION("IFERROR((GOOGLEFINANCE(C128, ""price"") / INDEX(GOOGLEFINANCE(C128, ""price"", EDATE(TODAY(), -6), TODAY()), 2, 2)) - 1, """")"),"")</f>
        <v/>
      </c>
      <c r="P128" s="21" t="str">
        <f>IFERROR(__xludf.DUMMYFUNCTION("IFERROR((GOOGLEFINANCE(C128, ""price"") / INDEX(GOOGLEFINANCE(C128, ""price"", EDATE(TODAY(), -12), TODAY()), 2, 2)) - 1, """")"),"")</f>
        <v/>
      </c>
      <c r="Q128" s="6" t="str">
        <f>IFERROR(__xludf.DUMMYFUNCTION("AVERAGE(QUERY(GOOGLEFINANCE(C128, ""price"", TODAY()-80, TODAY()), ""SELECT Col2 WHERE Col2 IS NOT NULL ORDER BY Col1 DESC LIMIT 50"", 0))"),"#N/A")</f>
        <v>#N/A</v>
      </c>
      <c r="R128" s="24" t="str">
        <f>IFERROR(__xludf.DUMMYFUNCTION("IFERROR(
  LET(
    data, QUERY(GOOGLEFINANCE(C128,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GOOGLEFINANCE(C128, ""price"")) * 100,
    IF(calc=0, G128, calc)
  ), 
G128)"),"#N/A")</f>
        <v>#N/A</v>
      </c>
      <c r="S128" s="8" t="s">
        <v>15</v>
      </c>
      <c r="T128" s="26" t="str">
        <f>IFERROR(__xludf.DUMMYFUNCTION("IFERROR(TRANSPOSE(QUERY(IFERROR(SORT(GOOGLEFINANCE(C128, ""price"", WORKDAY(TODAY(), -40), TODAY()), 1, FALSE)), ""select Col2 where Col2 is not null limit 22 label Col2 ''"", 0)), """")"),"")</f>
        <v/>
      </c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8"/>
      <c r="AO128" s="28"/>
      <c r="AP128" s="29"/>
      <c r="AQ128" s="29" t="str">
        <f t="shared" ref="AQ128:BL128" si="131">T128/T$2</f>
        <v>#N/A</v>
      </c>
      <c r="AR128" s="29" t="str">
        <f t="shared" si="131"/>
        <v>#DIV/0!</v>
      </c>
      <c r="AS128" s="29" t="str">
        <f t="shared" si="131"/>
        <v>#DIV/0!</v>
      </c>
      <c r="AT128" s="29" t="str">
        <f t="shared" si="131"/>
        <v>#DIV/0!</v>
      </c>
      <c r="AU128" s="29" t="str">
        <f t="shared" si="131"/>
        <v>#DIV/0!</v>
      </c>
      <c r="AV128" s="29" t="str">
        <f t="shared" si="131"/>
        <v>#DIV/0!</v>
      </c>
      <c r="AW128" s="29" t="str">
        <f t="shared" si="131"/>
        <v>#DIV/0!</v>
      </c>
      <c r="AX128" s="29" t="str">
        <f t="shared" si="131"/>
        <v>#DIV/0!</v>
      </c>
      <c r="AY128" s="29" t="str">
        <f t="shared" si="131"/>
        <v>#DIV/0!</v>
      </c>
      <c r="AZ128" s="29" t="str">
        <f t="shared" si="131"/>
        <v>#DIV/0!</v>
      </c>
      <c r="BA128" s="29" t="str">
        <f t="shared" si="131"/>
        <v>#DIV/0!</v>
      </c>
      <c r="BB128" s="29" t="str">
        <f t="shared" si="131"/>
        <v>#DIV/0!</v>
      </c>
      <c r="BC128" s="29" t="str">
        <f t="shared" si="131"/>
        <v>#DIV/0!</v>
      </c>
      <c r="BD128" s="29" t="str">
        <f t="shared" si="131"/>
        <v>#DIV/0!</v>
      </c>
      <c r="BE128" s="29" t="str">
        <f t="shared" si="131"/>
        <v>#DIV/0!</v>
      </c>
      <c r="BF128" s="29" t="str">
        <f t="shared" si="131"/>
        <v>#DIV/0!</v>
      </c>
      <c r="BG128" s="29" t="str">
        <f t="shared" si="131"/>
        <v>#DIV/0!</v>
      </c>
      <c r="BH128" s="29" t="str">
        <f t="shared" si="131"/>
        <v>#DIV/0!</v>
      </c>
      <c r="BI128" s="29" t="str">
        <f t="shared" si="131"/>
        <v>#DIV/0!</v>
      </c>
      <c r="BJ128" s="29" t="str">
        <f t="shared" si="131"/>
        <v>#DIV/0!</v>
      </c>
      <c r="BK128" s="29" t="str">
        <f t="shared" si="131"/>
        <v>#DIV/0!</v>
      </c>
      <c r="BL128" s="29" t="str">
        <f t="shared" si="131"/>
        <v>#DIV/0!</v>
      </c>
      <c r="BM128" s="29" t="str">
        <f t="shared" si="3"/>
        <v>#DIV/0!</v>
      </c>
    </row>
    <row r="129">
      <c r="A129" s="16" t="str">
        <f>IFERROR(__xludf.DUMMYFUNCTION("IFERROR(SPARKLINE(SORT(MAP(TRANSPOSE(AQ129:BL129), LAMBDA(val, IF(ISNUMBER(val), PERCENTRANK(AQ129:BL129, val)+0.01, 0))), SEQUENCE(COLUMNS(AQ129:BL129)), FALSE), {""charttype"",""column""; ""color"",""chartreuse""; ""ymin"", 0; ""ymax"", 1.01; ""highcolo"&amp;"r"", ""darkgreen""; ""lowcolor"", ""red""}), """")"),"")</f>
        <v/>
      </c>
      <c r="B129" s="17" t="str">
        <f t="shared" si="4"/>
        <v/>
      </c>
      <c r="C129" s="1" t="s">
        <v>3126</v>
      </c>
      <c r="D129" s="30" t="str">
        <f>IFERROR(__xludf.DUMMYFUNCTION("IFERROR(GOOGLEFINANCE(C129, ""NAME""))"),"Western Star Resources Inc")</f>
        <v>Western Star Resources Inc</v>
      </c>
      <c r="E129" s="30" t="s">
        <v>2751</v>
      </c>
      <c r="F129" s="33" t="str">
        <f>IFERROR(__xludf.DUMMYFUNCTION("( (GOOGLEFINANCE(C129, ""price"") - Q129) / Q129 ) / (R129 / 100)"),"Loading...")</f>
        <v>Loading...</v>
      </c>
      <c r="G129" s="20" t="str">
        <f>IFERROR(__xludf.DUMMYFUNCTION("AVERAGE(ARRAYFORMULA(100 * (QUERY(GOOGLEFINANCE(C129, ""high"", TODAY()-40, TODAY()), ""SELECT Col2 WHERE Col2 IS NOT NULL ORDER BY Col1 DESC LIMIT 20"", 0) / QUERY(GOOGLEFINANCE(C129, ""low"", TODAY()-40, TODAY()), ""SELECT Col2 WHERE Col2 IS NOT NULL OR"&amp;"DER BY Col1 DESC LIMIT 20"", 0) - 1)))"),"#N/A")</f>
        <v>#N/A</v>
      </c>
      <c r="H129" s="35" t="str">
        <f t="shared" si="6"/>
        <v>Illiquid</v>
      </c>
      <c r="I129" s="35" t="str">
        <f t="shared" si="7"/>
        <v>RVol Required</v>
      </c>
      <c r="J129" s="37">
        <f>IFERROR(__xludf.DUMMYFUNCTION("IFERROR(
  IF(C129="""",, 
    IFERROR(
      GOOGLEFINANCE(C129, ""price"") * GOOGLEFINANCE(C129, ""volumeavg""), 
      GOOGLEFINANCE(C129, ""price"") * AVERAGE(QUERY(GOOGLEFINANCE(C129, ""volume"", TODAY()-40, TODAY()), ""SELECT Col2 WHERE Col2 IS NOT "&amp;"NULL ORDER BY Col1 DESC LIMIT 20"", 0))
    )
  ), 
"""")"),92836.92)</f>
        <v>92836.92</v>
      </c>
      <c r="K129" s="21">
        <f>IFERROR(__xludf.DUMMYFUNCTION("IFERROR(GOOGLEFINANCE(C129, ""changepct"") / 100, """")"),0.1)</f>
        <v>0.1</v>
      </c>
      <c r="L129" s="21" t="str">
        <f>IFERROR(__xludf.DUMMYFUNCTION("IFERROR((GOOGLEFINANCE(C129, ""price"") / INDEX(GOOGLEFINANCE(C129, ""price"", TODAY()-7, TODAY()), 2, 2)) - 1, """")"),"")</f>
        <v/>
      </c>
      <c r="M129" s="21" t="str">
        <f>IFERROR(__xludf.DUMMYFUNCTION("IFERROR((GOOGLEFINANCE(C129, ""price"") / INDEX(GOOGLEFINANCE(C129, ""price"", EDATE(TODAY(), -1), TODAY()), 2, 2)) - 1, """")"),"")</f>
        <v/>
      </c>
      <c r="N129" s="21" t="str">
        <f>IFERROR(__xludf.DUMMYFUNCTION("IFERROR((GOOGLEFINANCE(C129, ""price"") / INDEX(GOOGLEFINANCE(C129, ""price"", EDATE(TODAY(), -3), TODAY()), 2, 2)) - 1, """")"),"")</f>
        <v/>
      </c>
      <c r="O129" s="21" t="str">
        <f>IFERROR(__xludf.DUMMYFUNCTION("IFERROR((GOOGLEFINANCE(C129, ""price"") / INDEX(GOOGLEFINANCE(C129, ""price"", EDATE(TODAY(), -6), TODAY()), 2, 2)) - 1, """")"),"")</f>
        <v/>
      </c>
      <c r="P129" s="21" t="str">
        <f>IFERROR(__xludf.DUMMYFUNCTION("IFERROR((GOOGLEFINANCE(C129, ""price"") / INDEX(GOOGLEFINANCE(C129, ""price"", EDATE(TODAY(), -12), TODAY()), 2, 2)) - 1, """")"),"")</f>
        <v/>
      </c>
      <c r="Q129" s="6" t="str">
        <f>IFERROR(__xludf.DUMMYFUNCTION("AVERAGE(QUERY(GOOGLEFINANCE(C129, ""price"", TODAY()-80, TODAY()), ""SELECT Col2 WHERE Col2 IS NOT NULL ORDER BY Col1 DESC LIMIT 50"", 0))"),"#N/A")</f>
        <v>#N/A</v>
      </c>
      <c r="R129" s="24" t="str">
        <f>IFERROR(__xludf.DUMMYFUNCTION("IFERROR(
  LET(
    data, QUERY(GOOGLEFINANCE(C129,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GOOGLEFINANCE(C129, ""price"")) * 100,
    IF(calc=0, G129, calc)
  ), 
G129)"),"#N/A")</f>
        <v>#N/A</v>
      </c>
      <c r="S129" s="8" t="s">
        <v>15</v>
      </c>
      <c r="T129" s="26" t="str">
        <f>IFERROR(__xludf.DUMMYFUNCTION("IFERROR(TRANSPOSE(QUERY(IFERROR(SORT(GOOGLEFINANCE(C129, ""price"", WORKDAY(TODAY(), -40), TODAY()), 1, FALSE)), ""select Col2 where Col2 is not null limit 22 label Col2 ''"", 0)), """")"),"")</f>
        <v/>
      </c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8"/>
      <c r="AO129" s="28"/>
      <c r="AP129" s="29"/>
      <c r="AQ129" s="29" t="str">
        <f t="shared" ref="AQ129:BL129" si="132">T129/T$2</f>
        <v>#N/A</v>
      </c>
      <c r="AR129" s="29" t="str">
        <f t="shared" si="132"/>
        <v>#DIV/0!</v>
      </c>
      <c r="AS129" s="29" t="str">
        <f t="shared" si="132"/>
        <v>#DIV/0!</v>
      </c>
      <c r="AT129" s="29" t="str">
        <f t="shared" si="132"/>
        <v>#DIV/0!</v>
      </c>
      <c r="AU129" s="29" t="str">
        <f t="shared" si="132"/>
        <v>#DIV/0!</v>
      </c>
      <c r="AV129" s="29" t="str">
        <f t="shared" si="132"/>
        <v>#DIV/0!</v>
      </c>
      <c r="AW129" s="29" t="str">
        <f t="shared" si="132"/>
        <v>#DIV/0!</v>
      </c>
      <c r="AX129" s="29" t="str">
        <f t="shared" si="132"/>
        <v>#DIV/0!</v>
      </c>
      <c r="AY129" s="29" t="str">
        <f t="shared" si="132"/>
        <v>#DIV/0!</v>
      </c>
      <c r="AZ129" s="29" t="str">
        <f t="shared" si="132"/>
        <v>#DIV/0!</v>
      </c>
      <c r="BA129" s="29" t="str">
        <f t="shared" si="132"/>
        <v>#DIV/0!</v>
      </c>
      <c r="BB129" s="29" t="str">
        <f t="shared" si="132"/>
        <v>#DIV/0!</v>
      </c>
      <c r="BC129" s="29" t="str">
        <f t="shared" si="132"/>
        <v>#DIV/0!</v>
      </c>
      <c r="BD129" s="29" t="str">
        <f t="shared" si="132"/>
        <v>#DIV/0!</v>
      </c>
      <c r="BE129" s="29" t="str">
        <f t="shared" si="132"/>
        <v>#DIV/0!</v>
      </c>
      <c r="BF129" s="29" t="str">
        <f t="shared" si="132"/>
        <v>#DIV/0!</v>
      </c>
      <c r="BG129" s="29" t="str">
        <f t="shared" si="132"/>
        <v>#DIV/0!</v>
      </c>
      <c r="BH129" s="29" t="str">
        <f t="shared" si="132"/>
        <v>#DIV/0!</v>
      </c>
      <c r="BI129" s="29" t="str">
        <f t="shared" si="132"/>
        <v>#DIV/0!</v>
      </c>
      <c r="BJ129" s="29" t="str">
        <f t="shared" si="132"/>
        <v>#DIV/0!</v>
      </c>
      <c r="BK129" s="29" t="str">
        <f t="shared" si="132"/>
        <v>#DIV/0!</v>
      </c>
      <c r="BL129" s="29" t="str">
        <f t="shared" si="132"/>
        <v>#DIV/0!</v>
      </c>
      <c r="BM129" s="29" t="str">
        <f t="shared" si="3"/>
        <v>#DIV/0!</v>
      </c>
    </row>
    <row r="130">
      <c r="A130" s="16" t="str">
        <f>IFERROR(__xludf.DUMMYFUNCTION("IFERROR(SPARKLINE(SORT(MAP(TRANSPOSE(AQ130:BL130), LAMBDA(val, IF(ISNUMBER(val), PERCENTRANK(AQ130:BL130, val)+0.01, 0))), SEQUENCE(COLUMNS(AQ130:BL130)), FALSE), {""charttype"",""column""; ""color"",""chartreuse""; ""ymin"", 0; ""ymax"", 1.01; ""highcolo"&amp;"r"", ""darkgreen""; ""lowcolor"", ""red""}), """")"),"")</f>
        <v/>
      </c>
      <c r="B130" s="17" t="str">
        <f t="shared" si="4"/>
        <v/>
      </c>
      <c r="C130" s="1" t="s">
        <v>3130</v>
      </c>
      <c r="D130" s="30" t="str">
        <f>IFERROR(__xludf.DUMMYFUNCTION("IFERROR(GOOGLEFINANCE(C130, ""NAME""))"),"Rayonier Inc")</f>
        <v>Rayonier Inc</v>
      </c>
      <c r="E130" s="30" t="s">
        <v>2709</v>
      </c>
      <c r="F130" s="33" t="str">
        <f>IFERROR(__xludf.DUMMYFUNCTION("( (GOOGLEFINANCE(C130, ""price"") - Q130) / Q130 ) / (R130 / 100)"),"Loading...")</f>
        <v>Loading...</v>
      </c>
      <c r="G130" s="20" t="str">
        <f>IFERROR(__xludf.DUMMYFUNCTION("AVERAGE(ARRAYFORMULA(100 * (QUERY(GOOGLEFINANCE(C130, ""high"", TODAY()-40, TODAY()), ""SELECT Col2 WHERE Col2 IS NOT NULL ORDER BY Col1 DESC LIMIT 20"", 0) / QUERY(GOOGLEFINANCE(C130, ""low"", TODAY()-40, TODAY()), ""SELECT Col2 WHERE Col2 IS NOT NULL OR"&amp;"DER BY Col1 DESC LIMIT 20"", 0) - 1)))"),"#N/A")</f>
        <v>#N/A</v>
      </c>
      <c r="H130" s="35" t="str">
        <f t="shared" si="6"/>
        <v>Liquid</v>
      </c>
      <c r="I130" s="35" t="str">
        <f t="shared" si="7"/>
        <v>RVol Required</v>
      </c>
      <c r="J130" s="37">
        <f>IFERROR(__xludf.DUMMYFUNCTION("IFERROR(
  IF(C130="""",, 
    IFERROR(
      GOOGLEFINANCE(C130, ""price"") * GOOGLEFINANCE(C130, ""volumeavg""), 
      GOOGLEFINANCE(C130, ""price"") * AVERAGE(QUERY(GOOGLEFINANCE(C130, ""volume"", TODAY()-40, TODAY()), ""SELECT Col2 WHERE Col2 IS NOT "&amp;"NULL ORDER BY Col1 DESC LIMIT 20"", 0))
    )
  ), 
"""")"),7.233579647999999E7)</f>
        <v>72335796.48</v>
      </c>
      <c r="K130" s="21">
        <f>IFERROR(__xludf.DUMMYFUNCTION("IFERROR(GOOGLEFINANCE(C130, ""changepct"") / 100, """")"),0.0011)</f>
        <v>0.0011</v>
      </c>
      <c r="L130" s="21" t="str">
        <f>IFERROR(__xludf.DUMMYFUNCTION("IFERROR((GOOGLEFINANCE(C130, ""price"") / INDEX(GOOGLEFINANCE(C130, ""price"", TODAY()-7, TODAY()), 2, 2)) - 1, """")"),"")</f>
        <v/>
      </c>
      <c r="M130" s="21" t="str">
        <f>IFERROR(__xludf.DUMMYFUNCTION("IFERROR((GOOGLEFINANCE(C130, ""price"") / INDEX(GOOGLEFINANCE(C130, ""price"", EDATE(TODAY(), -1), TODAY()), 2, 2)) - 1, """")"),"")</f>
        <v/>
      </c>
      <c r="N130" s="21" t="str">
        <f>IFERROR(__xludf.DUMMYFUNCTION("IFERROR((GOOGLEFINANCE(C130, ""price"") / INDEX(GOOGLEFINANCE(C130, ""price"", EDATE(TODAY(), -3), TODAY()), 2, 2)) - 1, """")"),"")</f>
        <v/>
      </c>
      <c r="O130" s="21" t="str">
        <f>IFERROR(__xludf.DUMMYFUNCTION("IFERROR((GOOGLEFINANCE(C130, ""price"") / INDEX(GOOGLEFINANCE(C130, ""price"", EDATE(TODAY(), -6), TODAY()), 2, 2)) - 1, """")"),"")</f>
        <v/>
      </c>
      <c r="P130" s="21" t="str">
        <f>IFERROR(__xludf.DUMMYFUNCTION("IFERROR((GOOGLEFINANCE(C130, ""price"") / INDEX(GOOGLEFINANCE(C130, ""price"", EDATE(TODAY(), -12), TODAY()), 2, 2)) - 1, """")"),"")</f>
        <v/>
      </c>
      <c r="Q130" s="6" t="str">
        <f>IFERROR(__xludf.DUMMYFUNCTION("AVERAGE(QUERY(GOOGLEFINANCE(C130, ""price"", TODAY()-80, TODAY()), ""SELECT Col2 WHERE Col2 IS NOT NULL ORDER BY Col1 DESC LIMIT 50"", 0))"),"#N/A")</f>
        <v>#N/A</v>
      </c>
      <c r="R130" s="24" t="str">
        <f>IFERROR(__xludf.DUMMYFUNCTION("IFERROR(
  LET(
    data, QUERY(GOOGLEFINANCE(C130,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GOOGLEFINANCE(C130, ""price"")) * 100,
    IF(calc=0, G130, calc)
  ), 
G130)"),"#N/A")</f>
        <v>#N/A</v>
      </c>
      <c r="S130" s="8" t="s">
        <v>15</v>
      </c>
      <c r="T130" s="26" t="str">
        <f>IFERROR(__xludf.DUMMYFUNCTION("IFERROR(TRANSPOSE(QUERY(IFERROR(SORT(GOOGLEFINANCE(C130, ""price"", WORKDAY(TODAY(), -40), TODAY()), 1, FALSE)), ""select Col2 where Col2 is not null limit 22 label Col2 ''"", 0)), """")"),"")</f>
        <v/>
      </c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8"/>
      <c r="AO130" s="28"/>
      <c r="AP130" s="29"/>
      <c r="AQ130" s="29" t="str">
        <f t="shared" ref="AQ130:BL130" si="133">T130/T$2</f>
        <v>#N/A</v>
      </c>
      <c r="AR130" s="29" t="str">
        <f t="shared" si="133"/>
        <v>#DIV/0!</v>
      </c>
      <c r="AS130" s="29" t="str">
        <f t="shared" si="133"/>
        <v>#DIV/0!</v>
      </c>
      <c r="AT130" s="29" t="str">
        <f t="shared" si="133"/>
        <v>#DIV/0!</v>
      </c>
      <c r="AU130" s="29" t="str">
        <f t="shared" si="133"/>
        <v>#DIV/0!</v>
      </c>
      <c r="AV130" s="29" t="str">
        <f t="shared" si="133"/>
        <v>#DIV/0!</v>
      </c>
      <c r="AW130" s="29" t="str">
        <f t="shared" si="133"/>
        <v>#DIV/0!</v>
      </c>
      <c r="AX130" s="29" t="str">
        <f t="shared" si="133"/>
        <v>#DIV/0!</v>
      </c>
      <c r="AY130" s="29" t="str">
        <f t="shared" si="133"/>
        <v>#DIV/0!</v>
      </c>
      <c r="AZ130" s="29" t="str">
        <f t="shared" si="133"/>
        <v>#DIV/0!</v>
      </c>
      <c r="BA130" s="29" t="str">
        <f t="shared" si="133"/>
        <v>#DIV/0!</v>
      </c>
      <c r="BB130" s="29" t="str">
        <f t="shared" si="133"/>
        <v>#DIV/0!</v>
      </c>
      <c r="BC130" s="29" t="str">
        <f t="shared" si="133"/>
        <v>#DIV/0!</v>
      </c>
      <c r="BD130" s="29" t="str">
        <f t="shared" si="133"/>
        <v>#DIV/0!</v>
      </c>
      <c r="BE130" s="29" t="str">
        <f t="shared" si="133"/>
        <v>#DIV/0!</v>
      </c>
      <c r="BF130" s="29" t="str">
        <f t="shared" si="133"/>
        <v>#DIV/0!</v>
      </c>
      <c r="BG130" s="29" t="str">
        <f t="shared" si="133"/>
        <v>#DIV/0!</v>
      </c>
      <c r="BH130" s="29" t="str">
        <f t="shared" si="133"/>
        <v>#DIV/0!</v>
      </c>
      <c r="BI130" s="29" t="str">
        <f t="shared" si="133"/>
        <v>#DIV/0!</v>
      </c>
      <c r="BJ130" s="29" t="str">
        <f t="shared" si="133"/>
        <v>#DIV/0!</v>
      </c>
      <c r="BK130" s="29" t="str">
        <f t="shared" si="133"/>
        <v>#DIV/0!</v>
      </c>
      <c r="BL130" s="29" t="str">
        <f t="shared" si="133"/>
        <v>#DIV/0!</v>
      </c>
      <c r="BM130" s="29" t="str">
        <f t="shared" si="3"/>
        <v>#DIV/0!</v>
      </c>
    </row>
    <row r="131">
      <c r="A131" s="16" t="str">
        <f>IFERROR(__xludf.DUMMYFUNCTION("IFERROR(SPARKLINE(SORT(MAP(TRANSPOSE(AQ131:BL131), LAMBDA(val, IF(ISNUMBER(val), PERCENTRANK(AQ131:BL131, val)+0.01, 0))), SEQUENCE(COLUMNS(AQ131:BL131)), FALSE), {""charttype"",""column""; ""color"",""chartreuse""; ""ymin"", 0; ""ymax"", 1.01; ""highcolo"&amp;"r"", ""darkgreen""; ""lowcolor"", ""red""}), """")"),"")</f>
        <v/>
      </c>
      <c r="B131" s="17" t="str">
        <f t="shared" si="4"/>
        <v/>
      </c>
      <c r="C131" s="1" t="s">
        <v>3132</v>
      </c>
      <c r="D131" s="30" t="str">
        <f>IFERROR(__xludf.DUMMYFUNCTION("IFERROR(GOOGLEFINANCE(C131, ""NAME""))"),"Urban Edge Properties")</f>
        <v>Urban Edge Properties</v>
      </c>
      <c r="E131" s="30" t="s">
        <v>2751</v>
      </c>
      <c r="F131" s="33" t="str">
        <f>IFERROR(__xludf.DUMMYFUNCTION("( (GOOGLEFINANCE(C131, ""price"") - Q131) / Q131 ) / (R131 / 100)"),"Loading...")</f>
        <v>Loading...</v>
      </c>
      <c r="G131" s="20" t="str">
        <f>IFERROR(__xludf.DUMMYFUNCTION("AVERAGE(ARRAYFORMULA(100 * (QUERY(GOOGLEFINANCE(C131, ""high"", TODAY()-40, TODAY()), ""SELECT Col2 WHERE Col2 IS NOT NULL ORDER BY Col1 DESC LIMIT 20"", 0) / QUERY(GOOGLEFINANCE(C131, ""low"", TODAY()-40, TODAY()), ""SELECT Col2 WHERE Col2 IS NOT NULL OR"&amp;"DER BY Col1 DESC LIMIT 20"", 0) - 1)))"),"#N/A")</f>
        <v>#N/A</v>
      </c>
      <c r="H131" s="35" t="str">
        <f t="shared" si="6"/>
        <v>Illiquid</v>
      </c>
      <c r="I131" s="35" t="str">
        <f t="shared" si="7"/>
        <v>RVol Required</v>
      </c>
      <c r="J131" s="37">
        <f>IFERROR(__xludf.DUMMYFUNCTION("IFERROR(
  IF(C131="""",, 
    IFERROR(
      GOOGLEFINANCE(C131, ""price"") * GOOGLEFINANCE(C131, ""volumeavg""), 
      GOOGLEFINANCE(C131, ""price"") * AVERAGE(QUERY(GOOGLEFINANCE(C131, ""volume"", TODAY()-40, TODAY()), ""SELECT Col2 WHERE Col2 IS NOT "&amp;"NULL ORDER BY Col1 DESC LIMIT 20"", 0))
    )
  ), 
"""")"),1.79503155E7)</f>
        <v>17950315.5</v>
      </c>
      <c r="K131" s="21">
        <f>IFERROR(__xludf.DUMMYFUNCTION("IFERROR(GOOGLEFINANCE(C131, ""changepct"") / 100, """")"),0.0072)</f>
        <v>0.0072</v>
      </c>
      <c r="L131" s="21" t="str">
        <f>IFERROR(__xludf.DUMMYFUNCTION("IFERROR((GOOGLEFINANCE(C131, ""price"") / INDEX(GOOGLEFINANCE(C131, ""price"", TODAY()-7, TODAY()), 2, 2)) - 1, """")"),"")</f>
        <v/>
      </c>
      <c r="M131" s="21" t="str">
        <f>IFERROR(__xludf.DUMMYFUNCTION("IFERROR((GOOGLEFINANCE(C131, ""price"") / INDEX(GOOGLEFINANCE(C131, ""price"", EDATE(TODAY(), -1), TODAY()), 2, 2)) - 1, """")"),"")</f>
        <v/>
      </c>
      <c r="N131" s="21" t="str">
        <f>IFERROR(__xludf.DUMMYFUNCTION("IFERROR((GOOGLEFINANCE(C131, ""price"") / INDEX(GOOGLEFINANCE(C131, ""price"", EDATE(TODAY(), -3), TODAY()), 2, 2)) - 1, """")"),"")</f>
        <v/>
      </c>
      <c r="O131" s="21" t="str">
        <f>IFERROR(__xludf.DUMMYFUNCTION("IFERROR((GOOGLEFINANCE(C131, ""price"") / INDEX(GOOGLEFINANCE(C131, ""price"", EDATE(TODAY(), -6), TODAY()), 2, 2)) - 1, """")"),"")</f>
        <v/>
      </c>
      <c r="P131" s="21" t="str">
        <f>IFERROR(__xludf.DUMMYFUNCTION("IFERROR((GOOGLEFINANCE(C131, ""price"") / INDEX(GOOGLEFINANCE(C131, ""price"", EDATE(TODAY(), -12), TODAY()), 2, 2)) - 1, """")"),"")</f>
        <v/>
      </c>
      <c r="Q131" s="6" t="str">
        <f>IFERROR(__xludf.DUMMYFUNCTION("AVERAGE(QUERY(GOOGLEFINANCE(C131, ""price"", TODAY()-80, TODAY()), ""SELECT Col2 WHERE Col2 IS NOT NULL ORDER BY Col1 DESC LIMIT 50"", 0))"),"#N/A")</f>
        <v>#N/A</v>
      </c>
      <c r="R131" s="24" t="str">
        <f>IFERROR(__xludf.DUMMYFUNCTION("IFERROR(
  LET(
    data, QUERY(GOOGLEFINANCE(C131,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GOOGLEFINANCE(C131, ""price"")) * 100,
    IF(calc=0, G131, calc)
  ), 
G131)"),"#N/A")</f>
        <v>#N/A</v>
      </c>
      <c r="S131" s="8" t="s">
        <v>15</v>
      </c>
      <c r="T131" s="26" t="str">
        <f>IFERROR(__xludf.DUMMYFUNCTION("IFERROR(TRANSPOSE(QUERY(IFERROR(SORT(GOOGLEFINANCE(C131, ""price"", WORKDAY(TODAY(), -40), TODAY()), 1, FALSE)), ""select Col2 where Col2 is not null limit 22 label Col2 ''"", 0)), """")"),"")</f>
        <v/>
      </c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8"/>
      <c r="AO131" s="28"/>
      <c r="AP131" s="29"/>
      <c r="AQ131" s="29" t="str">
        <f t="shared" ref="AQ131:BL131" si="134">T131/T$2</f>
        <v>#N/A</v>
      </c>
      <c r="AR131" s="29" t="str">
        <f t="shared" si="134"/>
        <v>#DIV/0!</v>
      </c>
      <c r="AS131" s="29" t="str">
        <f t="shared" si="134"/>
        <v>#DIV/0!</v>
      </c>
      <c r="AT131" s="29" t="str">
        <f t="shared" si="134"/>
        <v>#DIV/0!</v>
      </c>
      <c r="AU131" s="29" t="str">
        <f t="shared" si="134"/>
        <v>#DIV/0!</v>
      </c>
      <c r="AV131" s="29" t="str">
        <f t="shared" si="134"/>
        <v>#DIV/0!</v>
      </c>
      <c r="AW131" s="29" t="str">
        <f t="shared" si="134"/>
        <v>#DIV/0!</v>
      </c>
      <c r="AX131" s="29" t="str">
        <f t="shared" si="134"/>
        <v>#DIV/0!</v>
      </c>
      <c r="AY131" s="29" t="str">
        <f t="shared" si="134"/>
        <v>#DIV/0!</v>
      </c>
      <c r="AZ131" s="29" t="str">
        <f t="shared" si="134"/>
        <v>#DIV/0!</v>
      </c>
      <c r="BA131" s="29" t="str">
        <f t="shared" si="134"/>
        <v>#DIV/0!</v>
      </c>
      <c r="BB131" s="29" t="str">
        <f t="shared" si="134"/>
        <v>#DIV/0!</v>
      </c>
      <c r="BC131" s="29" t="str">
        <f t="shared" si="134"/>
        <v>#DIV/0!</v>
      </c>
      <c r="BD131" s="29" t="str">
        <f t="shared" si="134"/>
        <v>#DIV/0!</v>
      </c>
      <c r="BE131" s="29" t="str">
        <f t="shared" si="134"/>
        <v>#DIV/0!</v>
      </c>
      <c r="BF131" s="29" t="str">
        <f t="shared" si="134"/>
        <v>#DIV/0!</v>
      </c>
      <c r="BG131" s="29" t="str">
        <f t="shared" si="134"/>
        <v>#DIV/0!</v>
      </c>
      <c r="BH131" s="29" t="str">
        <f t="shared" si="134"/>
        <v>#DIV/0!</v>
      </c>
      <c r="BI131" s="29" t="str">
        <f t="shared" si="134"/>
        <v>#DIV/0!</v>
      </c>
      <c r="BJ131" s="29" t="str">
        <f t="shared" si="134"/>
        <v>#DIV/0!</v>
      </c>
      <c r="BK131" s="29" t="str">
        <f t="shared" si="134"/>
        <v>#DIV/0!</v>
      </c>
      <c r="BL131" s="29" t="str">
        <f t="shared" si="134"/>
        <v>#DIV/0!</v>
      </c>
      <c r="BM131" s="29" t="str">
        <f t="shared" si="3"/>
        <v>#DIV/0!</v>
      </c>
    </row>
    <row r="132">
      <c r="A132" s="16" t="str">
        <f>IFERROR(__xludf.DUMMYFUNCTION("IFERROR(SPARKLINE(SORT(MAP(TRANSPOSE(AQ132:BL132), LAMBDA(val, IF(ISNUMBER(val), PERCENTRANK(AQ132:BL132, val)+0.01, 0))), SEQUENCE(COLUMNS(AQ132:BL132)), FALSE), {""charttype"",""column""; ""color"",""chartreuse""; ""ymin"", 0; ""ymax"", 1.01; ""highcolo"&amp;"r"", ""darkgreen""; ""lowcolor"", ""red""}), """")"),"")</f>
        <v/>
      </c>
      <c r="B132" s="17" t="str">
        <f t="shared" si="4"/>
        <v/>
      </c>
      <c r="C132" s="1" t="s">
        <v>3135</v>
      </c>
      <c r="D132" s="30" t="str">
        <f>IFERROR(__xludf.DUMMYFUNCTION("IFERROR(GOOGLEFINANCE(C132, ""NAME""))"),"Tanger Inc")</f>
        <v>Tanger Inc</v>
      </c>
      <c r="E132" s="30" t="s">
        <v>2751</v>
      </c>
      <c r="F132" s="33" t="str">
        <f>IFERROR(__xludf.DUMMYFUNCTION("( (GOOGLEFINANCE(C132, ""price"") - Q132) / Q132 ) / (R132 / 100)"),"Loading...")</f>
        <v>Loading...</v>
      </c>
      <c r="G132" s="20" t="str">
        <f>IFERROR(__xludf.DUMMYFUNCTION("AVERAGE(ARRAYFORMULA(100 * (QUERY(GOOGLEFINANCE(C132, ""high"", TODAY()-40, TODAY()), ""SELECT Col2 WHERE Col2 IS NOT NULL ORDER BY Col1 DESC LIMIT 20"", 0) / QUERY(GOOGLEFINANCE(C132, ""low"", TODAY()-40, TODAY()), ""SELECT Col2 WHERE Col2 IS NOT NULL OR"&amp;"DER BY Col1 DESC LIMIT 20"", 0) - 1)))"),"#N/A")</f>
        <v>#N/A</v>
      </c>
      <c r="H132" s="35" t="str">
        <f t="shared" si="6"/>
        <v>Illiquid</v>
      </c>
      <c r="I132" s="35" t="str">
        <f t="shared" si="7"/>
        <v>RVol Required</v>
      </c>
      <c r="J132" s="37">
        <f>IFERROR(__xludf.DUMMYFUNCTION("IFERROR(
  IF(C132="""",, 
    IFERROR(
      GOOGLEFINANCE(C132, ""price"") * GOOGLEFINANCE(C132, ""volumeavg""), 
      GOOGLEFINANCE(C132, ""price"") * AVERAGE(QUERY(GOOGLEFINANCE(C132, ""volume"", TODAY()-40, TODAY()), ""SELECT Col2 WHERE Col2 IS NOT "&amp;"NULL ORDER BY Col1 DESC LIMIT 20"", 0))
    )
  ), 
"""")"),3.3541829009999998E7)</f>
        <v>33541829.01</v>
      </c>
      <c r="K132" s="21">
        <f>IFERROR(__xludf.DUMMYFUNCTION("IFERROR(GOOGLEFINANCE(C132, ""changepct"") / 100, """")"),0.0034000000000000002)</f>
        <v>0.0034</v>
      </c>
      <c r="L132" s="21" t="str">
        <f>IFERROR(__xludf.DUMMYFUNCTION("IFERROR((GOOGLEFINANCE(C132, ""price"") / INDEX(GOOGLEFINANCE(C132, ""price"", TODAY()-7, TODAY()), 2, 2)) - 1, """")"),"")</f>
        <v/>
      </c>
      <c r="M132" s="21" t="str">
        <f>IFERROR(__xludf.DUMMYFUNCTION("IFERROR((GOOGLEFINANCE(C132, ""price"") / INDEX(GOOGLEFINANCE(C132, ""price"", EDATE(TODAY(), -1), TODAY()), 2, 2)) - 1, """")"),"")</f>
        <v/>
      </c>
      <c r="N132" s="21" t="str">
        <f>IFERROR(__xludf.DUMMYFUNCTION("IFERROR((GOOGLEFINANCE(C132, ""price"") / INDEX(GOOGLEFINANCE(C132, ""price"", EDATE(TODAY(), -3), TODAY()), 2, 2)) - 1, """")"),"")</f>
        <v/>
      </c>
      <c r="O132" s="21" t="str">
        <f>IFERROR(__xludf.DUMMYFUNCTION("IFERROR((GOOGLEFINANCE(C132, ""price"") / INDEX(GOOGLEFINANCE(C132, ""price"", EDATE(TODAY(), -6), TODAY()), 2, 2)) - 1, """")"),"")</f>
        <v/>
      </c>
      <c r="P132" s="21" t="str">
        <f>IFERROR(__xludf.DUMMYFUNCTION("IFERROR((GOOGLEFINANCE(C132, ""price"") / INDEX(GOOGLEFINANCE(C132, ""price"", EDATE(TODAY(), -12), TODAY()), 2, 2)) - 1, """")"),"")</f>
        <v/>
      </c>
      <c r="Q132" s="6" t="str">
        <f>IFERROR(__xludf.DUMMYFUNCTION("AVERAGE(QUERY(GOOGLEFINANCE(C132, ""price"", TODAY()-80, TODAY()), ""SELECT Col2 WHERE Col2 IS NOT NULL ORDER BY Col1 DESC LIMIT 50"", 0))"),"#N/A")</f>
        <v>#N/A</v>
      </c>
      <c r="R132" s="24" t="str">
        <f>IFERROR(__xludf.DUMMYFUNCTION("IFERROR(
  LET(
    data, QUERY(GOOGLEFINANCE(C132,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GOOGLEFINANCE(C132, ""price"")) * 100,
    IF(calc=0, G132, calc)
  ), 
G132)"),"#N/A")</f>
        <v>#N/A</v>
      </c>
      <c r="S132" s="8" t="s">
        <v>15</v>
      </c>
      <c r="T132" s="26" t="str">
        <f>IFERROR(__xludf.DUMMYFUNCTION("IFERROR(TRANSPOSE(QUERY(IFERROR(SORT(GOOGLEFINANCE(C132, ""price"", WORKDAY(TODAY(), -40), TODAY()), 1, FALSE)), ""select Col2 where Col2 is not null limit 22 label Col2 ''"", 0)), """")"),"")</f>
        <v/>
      </c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8"/>
      <c r="AO132" s="28"/>
      <c r="AP132" s="29"/>
      <c r="AQ132" s="29" t="str">
        <f t="shared" ref="AQ132:BL132" si="135">T132/T$2</f>
        <v>#N/A</v>
      </c>
      <c r="AR132" s="29" t="str">
        <f t="shared" si="135"/>
        <v>#DIV/0!</v>
      </c>
      <c r="AS132" s="29" t="str">
        <f t="shared" si="135"/>
        <v>#DIV/0!</v>
      </c>
      <c r="AT132" s="29" t="str">
        <f t="shared" si="135"/>
        <v>#DIV/0!</v>
      </c>
      <c r="AU132" s="29" t="str">
        <f t="shared" si="135"/>
        <v>#DIV/0!</v>
      </c>
      <c r="AV132" s="29" t="str">
        <f t="shared" si="135"/>
        <v>#DIV/0!</v>
      </c>
      <c r="AW132" s="29" t="str">
        <f t="shared" si="135"/>
        <v>#DIV/0!</v>
      </c>
      <c r="AX132" s="29" t="str">
        <f t="shared" si="135"/>
        <v>#DIV/0!</v>
      </c>
      <c r="AY132" s="29" t="str">
        <f t="shared" si="135"/>
        <v>#DIV/0!</v>
      </c>
      <c r="AZ132" s="29" t="str">
        <f t="shared" si="135"/>
        <v>#DIV/0!</v>
      </c>
      <c r="BA132" s="29" t="str">
        <f t="shared" si="135"/>
        <v>#DIV/0!</v>
      </c>
      <c r="BB132" s="29" t="str">
        <f t="shared" si="135"/>
        <v>#DIV/0!</v>
      </c>
      <c r="BC132" s="29" t="str">
        <f t="shared" si="135"/>
        <v>#DIV/0!</v>
      </c>
      <c r="BD132" s="29" t="str">
        <f t="shared" si="135"/>
        <v>#DIV/0!</v>
      </c>
      <c r="BE132" s="29" t="str">
        <f t="shared" si="135"/>
        <v>#DIV/0!</v>
      </c>
      <c r="BF132" s="29" t="str">
        <f t="shared" si="135"/>
        <v>#DIV/0!</v>
      </c>
      <c r="BG132" s="29" t="str">
        <f t="shared" si="135"/>
        <v>#DIV/0!</v>
      </c>
      <c r="BH132" s="29" t="str">
        <f t="shared" si="135"/>
        <v>#DIV/0!</v>
      </c>
      <c r="BI132" s="29" t="str">
        <f t="shared" si="135"/>
        <v>#DIV/0!</v>
      </c>
      <c r="BJ132" s="29" t="str">
        <f t="shared" si="135"/>
        <v>#DIV/0!</v>
      </c>
      <c r="BK132" s="29" t="str">
        <f t="shared" si="135"/>
        <v>#DIV/0!</v>
      </c>
      <c r="BL132" s="29" t="str">
        <f t="shared" si="135"/>
        <v>#DIV/0!</v>
      </c>
      <c r="BM132" s="29" t="str">
        <f t="shared" si="3"/>
        <v>#DIV/0!</v>
      </c>
    </row>
    <row r="133">
      <c r="A133" s="16" t="str">
        <f>IFERROR(__xludf.DUMMYFUNCTION("IFERROR(SPARKLINE(SORT(MAP(TRANSPOSE(AQ133:BL133), LAMBDA(val, IF(ISNUMBER(val), PERCENTRANK(AQ133:BL133, val)+0.01, 0))), SEQUENCE(COLUMNS(AQ133:BL133)), FALSE), {""charttype"",""column""; ""color"",""chartreuse""; ""ymin"", 0; ""ymax"", 1.01; ""highcolo"&amp;"r"", ""darkgreen""; ""lowcolor"", ""red""}), """")"),"")</f>
        <v/>
      </c>
      <c r="B133" s="17" t="str">
        <f t="shared" si="4"/>
        <v/>
      </c>
      <c r="C133" s="1" t="s">
        <v>3138</v>
      </c>
      <c r="D133" s="30" t="str">
        <f>IFERROR(__xludf.DUMMYFUNCTION("IFERROR(GOOGLEFINANCE(C133, ""NAME""))"),"Weyerhaeuser Co")</f>
        <v>Weyerhaeuser Co</v>
      </c>
      <c r="E133" s="30" t="s">
        <v>2709</v>
      </c>
      <c r="F133" s="38" t="str">
        <f>IFERROR(__xludf.DUMMYFUNCTION("( (GOOGLEFINANCE(C133, ""price"") - Q133) / Q133 ) / (R133 / 100)"),"Loading...")</f>
        <v>Loading...</v>
      </c>
      <c r="G133" s="20" t="str">
        <f>IFERROR(__xludf.DUMMYFUNCTION("AVERAGE(ARRAYFORMULA(100 * (QUERY(GOOGLEFINANCE(C133, ""high"", TODAY()-40, TODAY()), ""SELECT Col2 WHERE Col2 IS NOT NULL ORDER BY Col1 DESC LIMIT 20"", 0) / QUERY(GOOGLEFINANCE(C133, ""low"", TODAY()-40, TODAY()), ""SELECT Col2 WHERE Col2 IS NOT NULL OR"&amp;"DER BY Col1 DESC LIMIT 20"", 0) - 1)))"),"#N/A")</f>
        <v>#N/A</v>
      </c>
      <c r="H133" s="35" t="str">
        <f t="shared" si="6"/>
        <v>Liquid</v>
      </c>
      <c r="I133" s="35" t="str">
        <f t="shared" si="7"/>
        <v>RVol Required</v>
      </c>
      <c r="J133" s="37">
        <f>IFERROR(__xludf.DUMMYFUNCTION("IFERROR(
  IF(C133="""",, 
    IFERROR(
      GOOGLEFINANCE(C133, ""price"") * GOOGLEFINANCE(C133, ""volumeavg""), 
      GOOGLEFINANCE(C133, ""price"") * AVERAGE(QUERY(GOOGLEFINANCE(C133, ""volume"", TODAY()-40, TODAY()), ""SELECT Col2 WHERE Col2 IS NOT "&amp;"NULL ORDER BY Col1 DESC LIMIT 20"", 0))
    )
  ), 
"""")"),1.6158677259E8)</f>
        <v>161586772.6</v>
      </c>
      <c r="K133" s="21">
        <f>IFERROR(__xludf.DUMMYFUNCTION("IFERROR(GOOGLEFINANCE(C133, ""changepct"") / 100, """")"),0.011899999999999999)</f>
        <v>0.0119</v>
      </c>
      <c r="L133" s="21" t="str">
        <f>IFERROR(__xludf.DUMMYFUNCTION("IFERROR((GOOGLEFINANCE(C133, ""price"") / INDEX(GOOGLEFINANCE(C133, ""price"", TODAY()-7, TODAY()), 2, 2)) - 1, """")"),"")</f>
        <v/>
      </c>
      <c r="M133" s="21" t="str">
        <f>IFERROR(__xludf.DUMMYFUNCTION("IFERROR((GOOGLEFINANCE(C133, ""price"") / INDEX(GOOGLEFINANCE(C133, ""price"", EDATE(TODAY(), -1), TODAY()), 2, 2)) - 1, """")"),"")</f>
        <v/>
      </c>
      <c r="N133" s="21" t="str">
        <f>IFERROR(__xludf.DUMMYFUNCTION("IFERROR((GOOGLEFINANCE(C133, ""price"") / INDEX(GOOGLEFINANCE(C133, ""price"", EDATE(TODAY(), -3), TODAY()), 2, 2)) - 1, """")"),"")</f>
        <v/>
      </c>
      <c r="O133" s="21" t="str">
        <f>IFERROR(__xludf.DUMMYFUNCTION("IFERROR((GOOGLEFINANCE(C133, ""price"") / INDEX(GOOGLEFINANCE(C133, ""price"", EDATE(TODAY(), -6), TODAY()), 2, 2)) - 1, """")"),"")</f>
        <v/>
      </c>
      <c r="P133" s="21" t="str">
        <f>IFERROR(__xludf.DUMMYFUNCTION("IFERROR((GOOGLEFINANCE(C133, ""price"") / INDEX(GOOGLEFINANCE(C133, ""price"", EDATE(TODAY(), -12), TODAY()), 2, 2)) - 1, """")"),"")</f>
        <v/>
      </c>
      <c r="Q133" s="6" t="str">
        <f>IFERROR(__xludf.DUMMYFUNCTION("AVERAGE(QUERY(GOOGLEFINANCE(C133, ""price"", TODAY()-80, TODAY()), ""SELECT Col2 WHERE Col2 IS NOT NULL ORDER BY Col1 DESC LIMIT 50"", 0))"),"#N/A")</f>
        <v>#N/A</v>
      </c>
      <c r="R133" s="24" t="str">
        <f>IFERROR(__xludf.DUMMYFUNCTION("IFERROR(
  LET(
    data, QUERY(GOOGLEFINANCE(C133,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GOOGLEFINANCE(C133, ""price"")) * 100,
    IF(calc=0, G133, calc)
  ), 
G133)"),"#N/A")</f>
        <v>#N/A</v>
      </c>
      <c r="S133" s="8" t="s">
        <v>15</v>
      </c>
      <c r="T133" s="26" t="str">
        <f>IFERROR(__xludf.DUMMYFUNCTION("IFERROR(TRANSPOSE(QUERY(IFERROR(SORT(GOOGLEFINANCE(C133, ""price"", WORKDAY(TODAY(), -40), TODAY()), 1, FALSE)), ""select Col2 where Col2 is not null limit 22 label Col2 ''"", 0)), """")"),"")</f>
        <v/>
      </c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8"/>
      <c r="AO133" s="28"/>
      <c r="AP133" s="29"/>
      <c r="AQ133" s="29" t="str">
        <f t="shared" ref="AQ133:BL133" si="136">T133/T$2</f>
        <v>#N/A</v>
      </c>
      <c r="AR133" s="29" t="str">
        <f t="shared" si="136"/>
        <v>#DIV/0!</v>
      </c>
      <c r="AS133" s="29" t="str">
        <f t="shared" si="136"/>
        <v>#DIV/0!</v>
      </c>
      <c r="AT133" s="29" t="str">
        <f t="shared" si="136"/>
        <v>#DIV/0!</v>
      </c>
      <c r="AU133" s="29" t="str">
        <f t="shared" si="136"/>
        <v>#DIV/0!</v>
      </c>
      <c r="AV133" s="29" t="str">
        <f t="shared" si="136"/>
        <v>#DIV/0!</v>
      </c>
      <c r="AW133" s="29" t="str">
        <f t="shared" si="136"/>
        <v>#DIV/0!</v>
      </c>
      <c r="AX133" s="29" t="str">
        <f t="shared" si="136"/>
        <v>#DIV/0!</v>
      </c>
      <c r="AY133" s="29" t="str">
        <f t="shared" si="136"/>
        <v>#DIV/0!</v>
      </c>
      <c r="AZ133" s="29" t="str">
        <f t="shared" si="136"/>
        <v>#DIV/0!</v>
      </c>
      <c r="BA133" s="29" t="str">
        <f t="shared" si="136"/>
        <v>#DIV/0!</v>
      </c>
      <c r="BB133" s="29" t="str">
        <f t="shared" si="136"/>
        <v>#DIV/0!</v>
      </c>
      <c r="BC133" s="29" t="str">
        <f t="shared" si="136"/>
        <v>#DIV/0!</v>
      </c>
      <c r="BD133" s="29" t="str">
        <f t="shared" si="136"/>
        <v>#DIV/0!</v>
      </c>
      <c r="BE133" s="29" t="str">
        <f t="shared" si="136"/>
        <v>#DIV/0!</v>
      </c>
      <c r="BF133" s="29" t="str">
        <f t="shared" si="136"/>
        <v>#DIV/0!</v>
      </c>
      <c r="BG133" s="29" t="str">
        <f t="shared" si="136"/>
        <v>#DIV/0!</v>
      </c>
      <c r="BH133" s="29" t="str">
        <f t="shared" si="136"/>
        <v>#DIV/0!</v>
      </c>
      <c r="BI133" s="29" t="str">
        <f t="shared" si="136"/>
        <v>#DIV/0!</v>
      </c>
      <c r="BJ133" s="29" t="str">
        <f t="shared" si="136"/>
        <v>#DIV/0!</v>
      </c>
      <c r="BK133" s="29" t="str">
        <f t="shared" si="136"/>
        <v>#DIV/0!</v>
      </c>
      <c r="BL133" s="29" t="str">
        <f t="shared" si="136"/>
        <v>#DIV/0!</v>
      </c>
      <c r="BM133" s="29" t="str">
        <f t="shared" si="3"/>
        <v>#DIV/0!</v>
      </c>
    </row>
    <row r="134">
      <c r="A134" s="16" t="str">
        <f>IFERROR(__xludf.DUMMYFUNCTION("IFERROR(SPARKLINE(SORT(MAP(TRANSPOSE(AQ134:BL134), LAMBDA(val, IF(ISNUMBER(val), PERCENTRANK(AQ134:BL134, val)+0.01, 0))), SEQUENCE(COLUMNS(AQ134:BL134)), FALSE), {""charttype"",""column""; ""color"",""chartreuse""; ""ymin"", 0; ""ymax"", 1.01; ""highcolo"&amp;"r"", ""darkgreen""; ""lowcolor"", ""red""}), """")"),"")</f>
        <v/>
      </c>
      <c r="B134" s="17" t="str">
        <f t="shared" si="4"/>
        <v/>
      </c>
      <c r="C134" s="1" t="s">
        <v>3142</v>
      </c>
      <c r="D134" s="30" t="str">
        <f>IFERROR(__xludf.DUMMYFUNCTION("IFERROR(GOOGLEFINANCE(C134, ""NAME""))"),"Blackstone Mortgage Trust Inc")</f>
        <v>Blackstone Mortgage Trust Inc</v>
      </c>
      <c r="E134" s="30" t="s">
        <v>2682</v>
      </c>
      <c r="F134" s="33" t="str">
        <f>IFERROR(__xludf.DUMMYFUNCTION("( (GOOGLEFINANCE(C134, ""price"") - Q134) / Q134 ) / (R134 / 100)"),"Loading...")</f>
        <v>Loading...</v>
      </c>
      <c r="G134" s="20" t="str">
        <f>IFERROR(__xludf.DUMMYFUNCTION("AVERAGE(ARRAYFORMULA(100 * (QUERY(GOOGLEFINANCE(C134, ""high"", TODAY()-40, TODAY()), ""SELECT Col2 WHERE Col2 IS NOT NULL ORDER BY Col1 DESC LIMIT 20"", 0) / QUERY(GOOGLEFINANCE(C134, ""low"", TODAY()-40, TODAY()), ""SELECT Col2 WHERE Col2 IS NOT NULL OR"&amp;"DER BY Col1 DESC LIMIT 20"", 0) - 1)))"),"#N/A")</f>
        <v>#N/A</v>
      </c>
      <c r="H134" s="35" t="str">
        <f t="shared" si="6"/>
        <v>Illiquid</v>
      </c>
      <c r="I134" s="35" t="str">
        <f t="shared" si="7"/>
        <v>RVol Required</v>
      </c>
      <c r="J134" s="37">
        <f>IFERROR(__xludf.DUMMYFUNCTION("IFERROR(
  IF(C134="""",, 
    IFERROR(
      GOOGLEFINANCE(C134, ""price"") * GOOGLEFINANCE(C134, ""volumeavg""), 
      GOOGLEFINANCE(C134, ""price"") * AVERAGE(QUERY(GOOGLEFINANCE(C134, ""volume"", TODAY()-40, TODAY()), ""SELECT Col2 WHERE Col2 IS NOT "&amp;"NULL ORDER BY Col1 DESC LIMIT 20"", 0))
    )
  ), 
"""")"),3.0701668139999997E7)</f>
        <v>30701668.14</v>
      </c>
      <c r="K134" s="21">
        <f>IFERROR(__xludf.DUMMYFUNCTION("IFERROR(GOOGLEFINANCE(C134, ""changepct"") / 100, """")"),-0.0232)</f>
        <v>-0.0232</v>
      </c>
      <c r="L134" s="21" t="str">
        <f>IFERROR(__xludf.DUMMYFUNCTION("IFERROR((GOOGLEFINANCE(C134, ""price"") / INDEX(GOOGLEFINANCE(C134, ""price"", TODAY()-7, TODAY()), 2, 2)) - 1, """")"),"")</f>
        <v/>
      </c>
      <c r="M134" s="21" t="str">
        <f>IFERROR(__xludf.DUMMYFUNCTION("IFERROR((GOOGLEFINANCE(C134, ""price"") / INDEX(GOOGLEFINANCE(C134, ""price"", EDATE(TODAY(), -1), TODAY()), 2, 2)) - 1, """")"),"")</f>
        <v/>
      </c>
      <c r="N134" s="21" t="str">
        <f>IFERROR(__xludf.DUMMYFUNCTION("IFERROR((GOOGLEFINANCE(C134, ""price"") / INDEX(GOOGLEFINANCE(C134, ""price"", EDATE(TODAY(), -3), TODAY()), 2, 2)) - 1, """")"),"")</f>
        <v/>
      </c>
      <c r="O134" s="21" t="str">
        <f>IFERROR(__xludf.DUMMYFUNCTION("IFERROR((GOOGLEFINANCE(C134, ""price"") / INDEX(GOOGLEFINANCE(C134, ""price"", EDATE(TODAY(), -6), TODAY()), 2, 2)) - 1, """")"),"")</f>
        <v/>
      </c>
      <c r="P134" s="21" t="str">
        <f>IFERROR(__xludf.DUMMYFUNCTION("IFERROR((GOOGLEFINANCE(C134, ""price"") / INDEX(GOOGLEFINANCE(C134, ""price"", EDATE(TODAY(), -12), TODAY()), 2, 2)) - 1, """")"),"")</f>
        <v/>
      </c>
      <c r="Q134" s="6" t="str">
        <f>IFERROR(__xludf.DUMMYFUNCTION("AVERAGE(QUERY(GOOGLEFINANCE(C134, ""price"", TODAY()-80, TODAY()), ""SELECT Col2 WHERE Col2 IS NOT NULL ORDER BY Col1 DESC LIMIT 50"", 0))"),"#N/A")</f>
        <v>#N/A</v>
      </c>
      <c r="R134" s="24" t="str">
        <f>IFERROR(__xludf.DUMMYFUNCTION("IFERROR(
  LET(
    data, QUERY(GOOGLEFINANCE(C134,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GOOGLEFINANCE(C134, ""price"")) * 100,
    IF(calc=0, G134, calc)
  ), 
G134)"),"#N/A")</f>
        <v>#N/A</v>
      </c>
      <c r="S134" s="8" t="s">
        <v>15</v>
      </c>
      <c r="T134" s="26" t="str">
        <f>IFERROR(__xludf.DUMMYFUNCTION("IFERROR(TRANSPOSE(QUERY(IFERROR(SORT(GOOGLEFINANCE(C134, ""price"", WORKDAY(TODAY(), -40), TODAY()), 1, FALSE)), ""select Col2 where Col2 is not null limit 22 label Col2 ''"", 0)), """")"),"")</f>
        <v/>
      </c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8"/>
      <c r="AO134" s="28"/>
      <c r="AP134" s="29"/>
      <c r="AQ134" s="29" t="str">
        <f t="shared" ref="AQ134:BL134" si="137">T134/T$2</f>
        <v>#N/A</v>
      </c>
      <c r="AR134" s="29" t="str">
        <f t="shared" si="137"/>
        <v>#DIV/0!</v>
      </c>
      <c r="AS134" s="29" t="str">
        <f t="shared" si="137"/>
        <v>#DIV/0!</v>
      </c>
      <c r="AT134" s="29" t="str">
        <f t="shared" si="137"/>
        <v>#DIV/0!</v>
      </c>
      <c r="AU134" s="29" t="str">
        <f t="shared" si="137"/>
        <v>#DIV/0!</v>
      </c>
      <c r="AV134" s="29" t="str">
        <f t="shared" si="137"/>
        <v>#DIV/0!</v>
      </c>
      <c r="AW134" s="29" t="str">
        <f t="shared" si="137"/>
        <v>#DIV/0!</v>
      </c>
      <c r="AX134" s="29" t="str">
        <f t="shared" si="137"/>
        <v>#DIV/0!</v>
      </c>
      <c r="AY134" s="29" t="str">
        <f t="shared" si="137"/>
        <v>#DIV/0!</v>
      </c>
      <c r="AZ134" s="29" t="str">
        <f t="shared" si="137"/>
        <v>#DIV/0!</v>
      </c>
      <c r="BA134" s="29" t="str">
        <f t="shared" si="137"/>
        <v>#DIV/0!</v>
      </c>
      <c r="BB134" s="29" t="str">
        <f t="shared" si="137"/>
        <v>#DIV/0!</v>
      </c>
      <c r="BC134" s="29" t="str">
        <f t="shared" si="137"/>
        <v>#DIV/0!</v>
      </c>
      <c r="BD134" s="29" t="str">
        <f t="shared" si="137"/>
        <v>#DIV/0!</v>
      </c>
      <c r="BE134" s="29" t="str">
        <f t="shared" si="137"/>
        <v>#DIV/0!</v>
      </c>
      <c r="BF134" s="29" t="str">
        <f t="shared" si="137"/>
        <v>#DIV/0!</v>
      </c>
      <c r="BG134" s="29" t="str">
        <f t="shared" si="137"/>
        <v>#DIV/0!</v>
      </c>
      <c r="BH134" s="29" t="str">
        <f t="shared" si="137"/>
        <v>#DIV/0!</v>
      </c>
      <c r="BI134" s="29" t="str">
        <f t="shared" si="137"/>
        <v>#DIV/0!</v>
      </c>
      <c r="BJ134" s="29" t="str">
        <f t="shared" si="137"/>
        <v>#DIV/0!</v>
      </c>
      <c r="BK134" s="29" t="str">
        <f t="shared" si="137"/>
        <v>#DIV/0!</v>
      </c>
      <c r="BL134" s="29" t="str">
        <f t="shared" si="137"/>
        <v>#DIV/0!</v>
      </c>
      <c r="BM134" s="29" t="str">
        <f t="shared" si="3"/>
        <v>#DIV/0!</v>
      </c>
    </row>
    <row r="135">
      <c r="A135" s="16" t="str">
        <f>IFERROR(__xludf.DUMMYFUNCTION("IFERROR(SPARKLINE(SORT(MAP(TRANSPOSE(AQ135:BL135), LAMBDA(val, IF(ISNUMBER(val), PERCENTRANK(AQ135:BL135, val)+0.01, 0))), SEQUENCE(COLUMNS(AQ135:BL135)), FALSE), {""charttype"",""column""; ""color"",""chartreuse""; ""ymin"", 0; ""ymax"", 1.01; ""highcolo"&amp;"r"", ""darkgreen""; ""lowcolor"", ""red""}), """")"),"")</f>
        <v/>
      </c>
      <c r="B135" s="17" t="str">
        <f t="shared" si="4"/>
        <v/>
      </c>
      <c r="C135" s="1" t="s">
        <v>3145</v>
      </c>
      <c r="D135" s="30" t="str">
        <f>IFERROR(__xludf.DUMMYFUNCTION("IFERROR(GOOGLEFINANCE(C135, ""NAME""))"),"Starwood Property Trust Inc (Maryland)")</f>
        <v>Starwood Property Trust Inc (Maryland)</v>
      </c>
      <c r="E135" s="30" t="s">
        <v>2682</v>
      </c>
      <c r="F135" s="33" t="str">
        <f>IFERROR(__xludf.DUMMYFUNCTION("( (GOOGLEFINANCE(C135, ""price"") - Q135) / Q135 ) / (R135 / 100)"),"Loading...")</f>
        <v>Loading...</v>
      </c>
      <c r="G135" s="20" t="str">
        <f>IFERROR(__xludf.DUMMYFUNCTION("AVERAGE(ARRAYFORMULA(100 * (QUERY(GOOGLEFINANCE(C135, ""high"", TODAY()-40, TODAY()), ""SELECT Col2 WHERE Col2 IS NOT NULL ORDER BY Col1 DESC LIMIT 20"", 0) / QUERY(GOOGLEFINANCE(C135, ""low"", TODAY()-40, TODAY()), ""SELECT Col2 WHERE Col2 IS NOT NULL OR"&amp;"DER BY Col1 DESC LIMIT 20"", 0) - 1)))"),"#N/A")</f>
        <v>#N/A</v>
      </c>
      <c r="H135" s="35" t="str">
        <f t="shared" si="6"/>
        <v>Liquid</v>
      </c>
      <c r="I135" s="35" t="str">
        <f t="shared" si="7"/>
        <v>RVol Required</v>
      </c>
      <c r="J135" s="37">
        <f>IFERROR(__xludf.DUMMYFUNCTION("IFERROR(
  IF(C135="""",, 
    IFERROR(
      GOOGLEFINANCE(C135, ""price"") * GOOGLEFINANCE(C135, ""volumeavg""), 
      GOOGLEFINANCE(C135, ""price"") * AVERAGE(QUERY(GOOGLEFINANCE(C135, ""volume"", TODAY()-40, TODAY()), ""SELECT Col2 WHERE Col2 IS NOT "&amp;"NULL ORDER BY Col1 DESC LIMIT 20"", 0))
    )
  ), 
"""")"),6.945930418E7)</f>
        <v>69459304.18</v>
      </c>
      <c r="K135" s="21">
        <f>IFERROR(__xludf.DUMMYFUNCTION("IFERROR(GOOGLEFINANCE(C135, ""changepct"") / 100, """")"),-0.011899999999999999)</f>
        <v>-0.0119</v>
      </c>
      <c r="L135" s="21" t="str">
        <f>IFERROR(__xludf.DUMMYFUNCTION("IFERROR((GOOGLEFINANCE(C135, ""price"") / INDEX(GOOGLEFINANCE(C135, ""price"", TODAY()-7, TODAY()), 2, 2)) - 1, """")"),"")</f>
        <v/>
      </c>
      <c r="M135" s="21" t="str">
        <f>IFERROR(__xludf.DUMMYFUNCTION("IFERROR((GOOGLEFINANCE(C135, ""price"") / INDEX(GOOGLEFINANCE(C135, ""price"", EDATE(TODAY(), -1), TODAY()), 2, 2)) - 1, """")"),"")</f>
        <v/>
      </c>
      <c r="N135" s="21" t="str">
        <f>IFERROR(__xludf.DUMMYFUNCTION("IFERROR((GOOGLEFINANCE(C135, ""price"") / INDEX(GOOGLEFINANCE(C135, ""price"", EDATE(TODAY(), -3), TODAY()), 2, 2)) - 1, """")"),"")</f>
        <v/>
      </c>
      <c r="O135" s="21" t="str">
        <f>IFERROR(__xludf.DUMMYFUNCTION("IFERROR((GOOGLEFINANCE(C135, ""price"") / INDEX(GOOGLEFINANCE(C135, ""price"", EDATE(TODAY(), -6), TODAY()), 2, 2)) - 1, """")"),"")</f>
        <v/>
      </c>
      <c r="P135" s="21" t="str">
        <f>IFERROR(__xludf.DUMMYFUNCTION("IFERROR((GOOGLEFINANCE(C135, ""price"") / INDEX(GOOGLEFINANCE(C135, ""price"", EDATE(TODAY(), -12), TODAY()), 2, 2)) - 1, """")"),"")</f>
        <v/>
      </c>
      <c r="Q135" s="6" t="str">
        <f>IFERROR(__xludf.DUMMYFUNCTION("AVERAGE(QUERY(GOOGLEFINANCE(C135, ""price"", TODAY()-80, TODAY()), ""SELECT Col2 WHERE Col2 IS NOT NULL ORDER BY Col1 DESC LIMIT 50"", 0))"),"#N/A")</f>
        <v>#N/A</v>
      </c>
      <c r="R135" s="24" t="str">
        <f>IFERROR(__xludf.DUMMYFUNCTION("IFERROR(
  LET(
    data, QUERY(GOOGLEFINANCE(C135,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GOOGLEFINANCE(C135, ""price"")) * 100,
    IF(calc=0, G135, calc)
  ), 
G135)"),"#N/A")</f>
        <v>#N/A</v>
      </c>
      <c r="S135" s="8" t="s">
        <v>15</v>
      </c>
      <c r="T135" s="26" t="str">
        <f>IFERROR(__xludf.DUMMYFUNCTION("IFERROR(TRANSPOSE(QUERY(IFERROR(SORT(GOOGLEFINANCE(C135, ""price"", WORKDAY(TODAY(), -40), TODAY()), 1, FALSE)), ""select Col2 where Col2 is not null limit 22 label Col2 ''"", 0)), """")"),"")</f>
        <v/>
      </c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8"/>
      <c r="AO135" s="28"/>
      <c r="AP135" s="29"/>
      <c r="AQ135" s="29" t="str">
        <f t="shared" ref="AQ135:BL135" si="138">T135/T$2</f>
        <v>#N/A</v>
      </c>
      <c r="AR135" s="29" t="str">
        <f t="shared" si="138"/>
        <v>#DIV/0!</v>
      </c>
      <c r="AS135" s="29" t="str">
        <f t="shared" si="138"/>
        <v>#DIV/0!</v>
      </c>
      <c r="AT135" s="29" t="str">
        <f t="shared" si="138"/>
        <v>#DIV/0!</v>
      </c>
      <c r="AU135" s="29" t="str">
        <f t="shared" si="138"/>
        <v>#DIV/0!</v>
      </c>
      <c r="AV135" s="29" t="str">
        <f t="shared" si="138"/>
        <v>#DIV/0!</v>
      </c>
      <c r="AW135" s="29" t="str">
        <f t="shared" si="138"/>
        <v>#DIV/0!</v>
      </c>
      <c r="AX135" s="29" t="str">
        <f t="shared" si="138"/>
        <v>#DIV/0!</v>
      </c>
      <c r="AY135" s="29" t="str">
        <f t="shared" si="138"/>
        <v>#DIV/0!</v>
      </c>
      <c r="AZ135" s="29" t="str">
        <f t="shared" si="138"/>
        <v>#DIV/0!</v>
      </c>
      <c r="BA135" s="29" t="str">
        <f t="shared" si="138"/>
        <v>#DIV/0!</v>
      </c>
      <c r="BB135" s="29" t="str">
        <f t="shared" si="138"/>
        <v>#DIV/0!</v>
      </c>
      <c r="BC135" s="29" t="str">
        <f t="shared" si="138"/>
        <v>#DIV/0!</v>
      </c>
      <c r="BD135" s="29" t="str">
        <f t="shared" si="138"/>
        <v>#DIV/0!</v>
      </c>
      <c r="BE135" s="29" t="str">
        <f t="shared" si="138"/>
        <v>#DIV/0!</v>
      </c>
      <c r="BF135" s="29" t="str">
        <f t="shared" si="138"/>
        <v>#DIV/0!</v>
      </c>
      <c r="BG135" s="29" t="str">
        <f t="shared" si="138"/>
        <v>#DIV/0!</v>
      </c>
      <c r="BH135" s="29" t="str">
        <f t="shared" si="138"/>
        <v>#DIV/0!</v>
      </c>
      <c r="BI135" s="29" t="str">
        <f t="shared" si="138"/>
        <v>#DIV/0!</v>
      </c>
      <c r="BJ135" s="29" t="str">
        <f t="shared" si="138"/>
        <v>#DIV/0!</v>
      </c>
      <c r="BK135" s="29" t="str">
        <f t="shared" si="138"/>
        <v>#DIV/0!</v>
      </c>
      <c r="BL135" s="29" t="str">
        <f t="shared" si="138"/>
        <v>#DIV/0!</v>
      </c>
      <c r="BM135" s="29" t="str">
        <f t="shared" si="3"/>
        <v>#DIV/0!</v>
      </c>
    </row>
    <row r="136">
      <c r="A136" s="16" t="str">
        <f>IFERROR(__xludf.DUMMYFUNCTION("IFERROR(SPARKLINE(SORT(MAP(TRANSPOSE(AQ136:BL136), LAMBDA(val, IF(ISNUMBER(val), PERCENTRANK(AQ136:BL136, val)+0.01, 0))), SEQUENCE(COLUMNS(AQ136:BL136)), FALSE), {""charttype"",""column""; ""color"",""chartreuse""; ""ymin"", 0; ""ymax"", 1.01; ""highcolo"&amp;"r"", ""darkgreen""; ""lowcolor"", ""red""}), """")"),"")</f>
        <v/>
      </c>
      <c r="B136" s="17" t="str">
        <f t="shared" si="4"/>
        <v/>
      </c>
      <c r="C136" s="1" t="s">
        <v>3148</v>
      </c>
      <c r="D136" s="30" t="str">
        <f>IFERROR(__xludf.DUMMYFUNCTION("IFERROR(GOOGLEFINANCE(C136, ""NAME""))"),"Easterly Government Properties Inc")</f>
        <v>Easterly Government Properties Inc</v>
      </c>
      <c r="E136" s="30" t="s">
        <v>2662</v>
      </c>
      <c r="F136" s="38" t="str">
        <f>IFERROR(__xludf.DUMMYFUNCTION("( (GOOGLEFINANCE(C136, ""price"") - Q136) / Q136 ) / (R136 / 100)"),"Loading...")</f>
        <v>Loading...</v>
      </c>
      <c r="G136" s="20" t="str">
        <f>IFERROR(__xludf.DUMMYFUNCTION("AVERAGE(ARRAYFORMULA(100 * (QUERY(GOOGLEFINANCE(C136, ""high"", TODAY()-40, TODAY()), ""SELECT Col2 WHERE Col2 IS NOT NULL ORDER BY Col1 DESC LIMIT 20"", 0) / QUERY(GOOGLEFINANCE(C136, ""low"", TODAY()-40, TODAY()), ""SELECT Col2 WHERE Col2 IS NOT NULL OR"&amp;"DER BY Col1 DESC LIMIT 20"", 0) - 1)))"),"#N/A")</f>
        <v>#N/A</v>
      </c>
      <c r="H136" s="35" t="str">
        <f t="shared" si="6"/>
        <v>Illiquid</v>
      </c>
      <c r="I136" s="35" t="str">
        <f t="shared" si="7"/>
        <v>RVol Required</v>
      </c>
      <c r="J136" s="37">
        <f>IFERROR(__xludf.DUMMYFUNCTION("IFERROR(
  IF(C136="""",, 
    IFERROR(
      GOOGLEFINANCE(C136, ""price"") * GOOGLEFINANCE(C136, ""volumeavg""), 
      GOOGLEFINANCE(C136, ""price"") * AVERAGE(QUERY(GOOGLEFINANCE(C136, ""volume"", TODAY()-40, TODAY()), ""SELECT Col2 WHERE Col2 IS NOT "&amp;"NULL ORDER BY Col1 DESC LIMIT 20"", 0))
    )
  ), 
"""")"),1.060908038E7)</f>
        <v>10609080.38</v>
      </c>
      <c r="K136" s="21">
        <f>IFERROR(__xludf.DUMMYFUNCTION("IFERROR(GOOGLEFINANCE(C136, ""changepct"") / 100, """")"),-0.0077)</f>
        <v>-0.0077</v>
      </c>
      <c r="L136" s="21" t="str">
        <f>IFERROR(__xludf.DUMMYFUNCTION("IFERROR((GOOGLEFINANCE(C136, ""price"") / INDEX(GOOGLEFINANCE(C136, ""price"", TODAY()-7, TODAY()), 2, 2)) - 1, """")"),"")</f>
        <v/>
      </c>
      <c r="M136" s="21" t="str">
        <f>IFERROR(__xludf.DUMMYFUNCTION("IFERROR((GOOGLEFINANCE(C136, ""price"") / INDEX(GOOGLEFINANCE(C136, ""price"", EDATE(TODAY(), -1), TODAY()), 2, 2)) - 1, """")"),"")</f>
        <v/>
      </c>
      <c r="N136" s="21" t="str">
        <f>IFERROR(__xludf.DUMMYFUNCTION("IFERROR((GOOGLEFINANCE(C136, ""price"") / INDEX(GOOGLEFINANCE(C136, ""price"", EDATE(TODAY(), -3), TODAY()), 2, 2)) - 1, """")"),"")</f>
        <v/>
      </c>
      <c r="O136" s="21" t="str">
        <f>IFERROR(__xludf.DUMMYFUNCTION("IFERROR((GOOGLEFINANCE(C136, ""price"") / INDEX(GOOGLEFINANCE(C136, ""price"", EDATE(TODAY(), -6), TODAY()), 2, 2)) - 1, """")"),"")</f>
        <v/>
      </c>
      <c r="P136" s="21" t="str">
        <f>IFERROR(__xludf.DUMMYFUNCTION("IFERROR((GOOGLEFINANCE(C136, ""price"") / INDEX(GOOGLEFINANCE(C136, ""price"", EDATE(TODAY(), -12), TODAY()), 2, 2)) - 1, """")"),"")</f>
        <v/>
      </c>
      <c r="Q136" s="6" t="str">
        <f>IFERROR(__xludf.DUMMYFUNCTION("AVERAGE(QUERY(GOOGLEFINANCE(C136, ""price"", TODAY()-80, TODAY()), ""SELECT Col2 WHERE Col2 IS NOT NULL ORDER BY Col1 DESC LIMIT 50"", 0))"),"#N/A")</f>
        <v>#N/A</v>
      </c>
      <c r="R136" s="24" t="str">
        <f>IFERROR(__xludf.DUMMYFUNCTION("IFERROR(
  LET(
    data, QUERY(GOOGLEFINANCE(C136,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GOOGLEFINANCE(C136, ""price"")) * 100,
    IF(calc=0, G136, calc)
  ), 
G136)"),"#N/A")</f>
        <v>#N/A</v>
      </c>
      <c r="S136" s="8" t="s">
        <v>15</v>
      </c>
      <c r="T136" s="26" t="str">
        <f>IFERROR(__xludf.DUMMYFUNCTION("IFERROR(TRANSPOSE(QUERY(IFERROR(SORT(GOOGLEFINANCE(C136, ""price"", WORKDAY(TODAY(), -40), TODAY()), 1, FALSE)), ""select Col2 where Col2 is not null limit 22 label Col2 ''"", 0)), """")"),"")</f>
        <v/>
      </c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8"/>
      <c r="AO136" s="28"/>
      <c r="AP136" s="29"/>
      <c r="AQ136" s="29" t="str">
        <f t="shared" ref="AQ136:BL136" si="139">T136/T$2</f>
        <v>#N/A</v>
      </c>
      <c r="AR136" s="29" t="str">
        <f t="shared" si="139"/>
        <v>#DIV/0!</v>
      </c>
      <c r="AS136" s="29" t="str">
        <f t="shared" si="139"/>
        <v>#DIV/0!</v>
      </c>
      <c r="AT136" s="29" t="str">
        <f t="shared" si="139"/>
        <v>#DIV/0!</v>
      </c>
      <c r="AU136" s="29" t="str">
        <f t="shared" si="139"/>
        <v>#DIV/0!</v>
      </c>
      <c r="AV136" s="29" t="str">
        <f t="shared" si="139"/>
        <v>#DIV/0!</v>
      </c>
      <c r="AW136" s="29" t="str">
        <f t="shared" si="139"/>
        <v>#DIV/0!</v>
      </c>
      <c r="AX136" s="29" t="str">
        <f t="shared" si="139"/>
        <v>#DIV/0!</v>
      </c>
      <c r="AY136" s="29" t="str">
        <f t="shared" si="139"/>
        <v>#DIV/0!</v>
      </c>
      <c r="AZ136" s="29" t="str">
        <f t="shared" si="139"/>
        <v>#DIV/0!</v>
      </c>
      <c r="BA136" s="29" t="str">
        <f t="shared" si="139"/>
        <v>#DIV/0!</v>
      </c>
      <c r="BB136" s="29" t="str">
        <f t="shared" si="139"/>
        <v>#DIV/0!</v>
      </c>
      <c r="BC136" s="29" t="str">
        <f t="shared" si="139"/>
        <v>#DIV/0!</v>
      </c>
      <c r="BD136" s="29" t="str">
        <f t="shared" si="139"/>
        <v>#DIV/0!</v>
      </c>
      <c r="BE136" s="29" t="str">
        <f t="shared" si="139"/>
        <v>#DIV/0!</v>
      </c>
      <c r="BF136" s="29" t="str">
        <f t="shared" si="139"/>
        <v>#DIV/0!</v>
      </c>
      <c r="BG136" s="29" t="str">
        <f t="shared" si="139"/>
        <v>#DIV/0!</v>
      </c>
      <c r="BH136" s="29" t="str">
        <f t="shared" si="139"/>
        <v>#DIV/0!</v>
      </c>
      <c r="BI136" s="29" t="str">
        <f t="shared" si="139"/>
        <v>#DIV/0!</v>
      </c>
      <c r="BJ136" s="29" t="str">
        <f t="shared" si="139"/>
        <v>#DIV/0!</v>
      </c>
      <c r="BK136" s="29" t="str">
        <f t="shared" si="139"/>
        <v>#DIV/0!</v>
      </c>
      <c r="BL136" s="29" t="str">
        <f t="shared" si="139"/>
        <v>#DIV/0!</v>
      </c>
      <c r="BM136" s="29" t="str">
        <f t="shared" si="3"/>
        <v>#DIV/0!</v>
      </c>
    </row>
    <row r="137">
      <c r="A137" s="16" t="str">
        <f>IFERROR(__xludf.DUMMYFUNCTION("IFERROR(SPARKLINE(SORT(MAP(TRANSPOSE(AQ137:BL137), LAMBDA(val, IF(ISNUMBER(val), PERCENTRANK(AQ137:BL137, val)+0.01, 0))), SEQUENCE(COLUMNS(AQ137:BL137)), FALSE), {""charttype"",""column""; ""color"",""chartreuse""; ""ymin"", 0; ""ymax"", 1.01; ""highcolo"&amp;"r"", ""darkgreen""; ""lowcolor"", ""red""}), """")"),"")</f>
        <v/>
      </c>
      <c r="B137" s="17" t="str">
        <f t="shared" si="4"/>
        <v/>
      </c>
      <c r="C137" s="1" t="s">
        <v>3151</v>
      </c>
      <c r="D137" s="30" t="str">
        <f>IFERROR(__xludf.DUMMYFUNCTION("IFERROR(GOOGLEFINANCE(C137, ""NAME""))"),"")</f>
        <v/>
      </c>
      <c r="E137" s="30" t="s">
        <v>2662</v>
      </c>
      <c r="F137" s="38" t="str">
        <f>IFERROR(__xludf.DUMMYFUNCTION("( (GOOGLEFINANCE(C137, ""price"") - Q137) / Q137 ) / (R137 / 100)"),"Loading...")</f>
        <v>Loading...</v>
      </c>
      <c r="G137" s="20" t="str">
        <f>IFERROR(__xludf.DUMMYFUNCTION("AVERAGE(ARRAYFORMULA(100 * (QUERY(GOOGLEFINANCE(C137, ""high"", TODAY()-40, TODAY()), ""SELECT Col2 WHERE Col2 IS NOT NULL ORDER BY Col1 DESC LIMIT 20"", 0) / QUERY(GOOGLEFINANCE(C137, ""low"", TODAY()-40, TODAY()), ""SELECT Col2 WHERE Col2 IS NOT NULL OR"&amp;"DER BY Col1 DESC LIMIT 20"", 0) - 1)))"),"#N/A")</f>
        <v>#N/A</v>
      </c>
      <c r="H137" s="35" t="str">
        <f t="shared" si="6"/>
        <v/>
      </c>
      <c r="I137" s="35" t="str">
        <f t="shared" si="7"/>
        <v/>
      </c>
      <c r="J137" s="37" t="str">
        <f>IFERROR(__xludf.DUMMYFUNCTION("IFERROR(
  IF(C137="""",, 
    IFERROR(
      GOOGLEFINANCE(C137, ""price"") * GOOGLEFINANCE(C137, ""volumeavg""), 
      GOOGLEFINANCE(C137, ""price"") * AVERAGE(QUERY(GOOGLEFINANCE(C137, ""volume"", TODAY()-40, TODAY()), ""SELECT Col2 WHERE Col2 IS NOT "&amp;"NULL ORDER BY Col1 DESC LIMIT 20"", 0))
    )
  ), 
"""")"),"")</f>
        <v/>
      </c>
      <c r="K137" s="21" t="str">
        <f>IFERROR(__xludf.DUMMYFUNCTION("IFERROR(GOOGLEFINANCE(C137, ""changepct"") / 100, """")"),"")</f>
        <v/>
      </c>
      <c r="L137" s="21" t="str">
        <f>IFERROR(__xludf.DUMMYFUNCTION("IFERROR((GOOGLEFINANCE(C137, ""price"") / INDEX(GOOGLEFINANCE(C137, ""price"", TODAY()-7, TODAY()), 2, 2)) - 1, """")"),"")</f>
        <v/>
      </c>
      <c r="M137" s="21" t="str">
        <f>IFERROR(__xludf.DUMMYFUNCTION("IFERROR((GOOGLEFINANCE(C137, ""price"") / INDEX(GOOGLEFINANCE(C137, ""price"", EDATE(TODAY(), -1), TODAY()), 2, 2)) - 1, """")"),"")</f>
        <v/>
      </c>
      <c r="N137" s="21" t="str">
        <f>IFERROR(__xludf.DUMMYFUNCTION("IFERROR((GOOGLEFINANCE(C137, ""price"") / INDEX(GOOGLEFINANCE(C137, ""price"", EDATE(TODAY(), -3), TODAY()), 2, 2)) - 1, """")"),"")</f>
        <v/>
      </c>
      <c r="O137" s="21" t="str">
        <f>IFERROR(__xludf.DUMMYFUNCTION("IFERROR((GOOGLEFINANCE(C137, ""price"") / INDEX(GOOGLEFINANCE(C137, ""price"", EDATE(TODAY(), -6), TODAY()), 2, 2)) - 1, """")"),"")</f>
        <v/>
      </c>
      <c r="P137" s="21" t="str">
        <f>IFERROR(__xludf.DUMMYFUNCTION("IFERROR((GOOGLEFINANCE(C137, ""price"") / INDEX(GOOGLEFINANCE(C137, ""price"", EDATE(TODAY(), -12), TODAY()), 2, 2)) - 1, """")"),"")</f>
        <v/>
      </c>
      <c r="Q137" s="6" t="str">
        <f>IFERROR(__xludf.DUMMYFUNCTION("AVERAGE(QUERY(GOOGLEFINANCE(C137, ""price"", TODAY()-80, TODAY()), ""SELECT Col2 WHERE Col2 IS NOT NULL ORDER BY Col1 DESC LIMIT 50"", 0))"),"#N/A")</f>
        <v>#N/A</v>
      </c>
      <c r="R137" s="24" t="str">
        <f>IFERROR(__xludf.DUMMYFUNCTION("IFERROR(
  LET(
    data, QUERY(GOOGLEFINANCE(C137,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GOOGLEFINANCE(C137, ""price"")) * 100,
    IF(calc=0, G137, calc)
  ), 
G137)"),"#N/A")</f>
        <v>#N/A</v>
      </c>
      <c r="S137" s="8" t="s">
        <v>15</v>
      </c>
      <c r="T137" s="26" t="str">
        <f>IFERROR(__xludf.DUMMYFUNCTION("IFERROR(TRANSPOSE(QUERY(IFERROR(SORT(GOOGLEFINANCE(C137, ""price"", WORKDAY(TODAY(), -40), TODAY()), 1, FALSE)), ""select Col2 where Col2 is not null limit 22 label Col2 ''"", 0)), """")"),"")</f>
        <v/>
      </c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8"/>
      <c r="AO137" s="28"/>
      <c r="AP137" s="29"/>
      <c r="AQ137" s="29" t="str">
        <f t="shared" ref="AQ137:BL137" si="140">T137/T$2</f>
        <v>#N/A</v>
      </c>
      <c r="AR137" s="29" t="str">
        <f t="shared" si="140"/>
        <v>#DIV/0!</v>
      </c>
      <c r="AS137" s="29" t="str">
        <f t="shared" si="140"/>
        <v>#DIV/0!</v>
      </c>
      <c r="AT137" s="29" t="str">
        <f t="shared" si="140"/>
        <v>#DIV/0!</v>
      </c>
      <c r="AU137" s="29" t="str">
        <f t="shared" si="140"/>
        <v>#DIV/0!</v>
      </c>
      <c r="AV137" s="29" t="str">
        <f t="shared" si="140"/>
        <v>#DIV/0!</v>
      </c>
      <c r="AW137" s="29" t="str">
        <f t="shared" si="140"/>
        <v>#DIV/0!</v>
      </c>
      <c r="AX137" s="29" t="str">
        <f t="shared" si="140"/>
        <v>#DIV/0!</v>
      </c>
      <c r="AY137" s="29" t="str">
        <f t="shared" si="140"/>
        <v>#DIV/0!</v>
      </c>
      <c r="AZ137" s="29" t="str">
        <f t="shared" si="140"/>
        <v>#DIV/0!</v>
      </c>
      <c r="BA137" s="29" t="str">
        <f t="shared" si="140"/>
        <v>#DIV/0!</v>
      </c>
      <c r="BB137" s="29" t="str">
        <f t="shared" si="140"/>
        <v>#DIV/0!</v>
      </c>
      <c r="BC137" s="29" t="str">
        <f t="shared" si="140"/>
        <v>#DIV/0!</v>
      </c>
      <c r="BD137" s="29" t="str">
        <f t="shared" si="140"/>
        <v>#DIV/0!</v>
      </c>
      <c r="BE137" s="29" t="str">
        <f t="shared" si="140"/>
        <v>#DIV/0!</v>
      </c>
      <c r="BF137" s="29" t="str">
        <f t="shared" si="140"/>
        <v>#DIV/0!</v>
      </c>
      <c r="BG137" s="29" t="str">
        <f t="shared" si="140"/>
        <v>#DIV/0!</v>
      </c>
      <c r="BH137" s="29" t="str">
        <f t="shared" si="140"/>
        <v>#DIV/0!</v>
      </c>
      <c r="BI137" s="29" t="str">
        <f t="shared" si="140"/>
        <v>#DIV/0!</v>
      </c>
      <c r="BJ137" s="29" t="str">
        <f t="shared" si="140"/>
        <v>#DIV/0!</v>
      </c>
      <c r="BK137" s="29" t="str">
        <f t="shared" si="140"/>
        <v>#DIV/0!</v>
      </c>
      <c r="BL137" s="29" t="str">
        <f t="shared" si="140"/>
        <v>#DIV/0!</v>
      </c>
      <c r="BM137" s="29" t="str">
        <f t="shared" si="3"/>
        <v>#DIV/0!</v>
      </c>
    </row>
    <row r="138">
      <c r="A138" s="16" t="str">
        <f>IFERROR(__xludf.DUMMYFUNCTION("IFERROR(SPARKLINE(SORT(MAP(TRANSPOSE(AQ138:BL138), LAMBDA(val, IF(ISNUMBER(val), PERCENTRANK(AQ138:BL138, val)+0.01, 0))), SEQUENCE(COLUMNS(AQ138:BL138)), FALSE), {""charttype"",""column""; ""color"",""chartreuse""; ""ymin"", 0; ""ymax"", 1.01; ""highcolo"&amp;"r"", ""darkgreen""; ""lowcolor"", ""red""}), """")"),"")</f>
        <v/>
      </c>
      <c r="B138" s="17" t="str">
        <f t="shared" si="4"/>
        <v/>
      </c>
      <c r="C138" s="1" t="s">
        <v>3154</v>
      </c>
      <c r="D138" s="30" t="str">
        <f>IFERROR(__xludf.DUMMYFUNCTION("IFERROR(GOOGLEFINANCE(C138, ""NAME""))"),"Vanguard FTSE Canadian Capped REIT Index ETF")</f>
        <v>Vanguard FTSE Canadian Capped REIT Index ETF</v>
      </c>
      <c r="E138" s="30" t="s">
        <v>2760</v>
      </c>
      <c r="F138" s="33" t="str">
        <f>IFERROR(__xludf.DUMMYFUNCTION("( (GOOGLEFINANCE(C138, ""price"") - Q138) / Q138 ) / (R138 / 100)"),"Loading...")</f>
        <v>Loading...</v>
      </c>
      <c r="G138" s="20" t="str">
        <f>IFERROR(__xludf.DUMMYFUNCTION("AVERAGE(ARRAYFORMULA(100 * (QUERY(GOOGLEFINANCE(C138, ""high"", TODAY()-40, TODAY()), ""SELECT Col2 WHERE Col2 IS NOT NULL ORDER BY Col1 DESC LIMIT 20"", 0) / QUERY(GOOGLEFINANCE(C138, ""low"", TODAY()-40, TODAY()), ""SELECT Col2 WHERE Col2 IS NOT NULL OR"&amp;"DER BY Col1 DESC LIMIT 20"", 0) - 1)))"),"#N/A")</f>
        <v>#N/A</v>
      </c>
      <c r="H138" s="35" t="str">
        <f t="shared" si="6"/>
        <v>Illiquid</v>
      </c>
      <c r="I138" s="35" t="str">
        <f t="shared" si="7"/>
        <v>RVol Required</v>
      </c>
      <c r="J138" s="37">
        <f>IFERROR(__xludf.DUMMYFUNCTION("IFERROR(
  IF(C138="""",, 
    IFERROR(
      GOOGLEFINANCE(C138, ""price"") * GOOGLEFINANCE(C138, ""volumeavg""), 
      GOOGLEFINANCE(C138, ""price"") * AVERAGE(QUERY(GOOGLEFINANCE(C138, ""volume"", TODAY()-40, TODAY()), ""SELECT Col2 WHERE Col2 IS NOT "&amp;"NULL ORDER BY Col1 DESC LIMIT 20"", 0))
    )
  ), 
"""")"),107875.35)</f>
        <v>107875.35</v>
      </c>
      <c r="K138" s="21">
        <f>IFERROR(__xludf.DUMMYFUNCTION("IFERROR(GOOGLEFINANCE(C138, ""changepct"") / 100, """")"),5.0E-4)</f>
        <v>0.0005</v>
      </c>
      <c r="L138" s="21" t="str">
        <f>IFERROR(__xludf.DUMMYFUNCTION("IFERROR((GOOGLEFINANCE(C138, ""price"") / INDEX(GOOGLEFINANCE(C138, ""price"", TODAY()-7, TODAY()), 2, 2)) - 1, """")"),"")</f>
        <v/>
      </c>
      <c r="M138" s="21" t="str">
        <f>IFERROR(__xludf.DUMMYFUNCTION("IFERROR((GOOGLEFINANCE(C138, ""price"") / INDEX(GOOGLEFINANCE(C138, ""price"", EDATE(TODAY(), -1), TODAY()), 2, 2)) - 1, """")"),"")</f>
        <v/>
      </c>
      <c r="N138" s="21" t="str">
        <f>IFERROR(__xludf.DUMMYFUNCTION("IFERROR((GOOGLEFINANCE(C138, ""price"") / INDEX(GOOGLEFINANCE(C138, ""price"", EDATE(TODAY(), -3), TODAY()), 2, 2)) - 1, """")"),"")</f>
        <v/>
      </c>
      <c r="O138" s="21" t="str">
        <f>IFERROR(__xludf.DUMMYFUNCTION("IFERROR((GOOGLEFINANCE(C138, ""price"") / INDEX(GOOGLEFINANCE(C138, ""price"", EDATE(TODAY(), -6), TODAY()), 2, 2)) - 1, """")"),"")</f>
        <v/>
      </c>
      <c r="P138" s="21" t="str">
        <f>IFERROR(__xludf.DUMMYFUNCTION("IFERROR((GOOGLEFINANCE(C138, ""price"") / INDEX(GOOGLEFINANCE(C138, ""price"", EDATE(TODAY(), -12), TODAY()), 2, 2)) - 1, """")"),"")</f>
        <v/>
      </c>
      <c r="Q138" s="6" t="str">
        <f>IFERROR(__xludf.DUMMYFUNCTION("AVERAGE(QUERY(GOOGLEFINANCE(C138, ""price"", TODAY()-80, TODAY()), ""SELECT Col2 WHERE Col2 IS NOT NULL ORDER BY Col1 DESC LIMIT 50"", 0))"),"#N/A")</f>
        <v>#N/A</v>
      </c>
      <c r="R138" s="24" t="str">
        <f>IFERROR(__xludf.DUMMYFUNCTION("IFERROR(
  LET(
    data, QUERY(GOOGLEFINANCE(C138,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GOOGLEFINANCE(C138, ""price"")) * 100,
    IF(calc=0, G138, calc)
  ), 
G138)"),"#N/A")</f>
        <v>#N/A</v>
      </c>
      <c r="S138" s="8" t="s">
        <v>15</v>
      </c>
      <c r="T138" s="26" t="str">
        <f>IFERROR(__xludf.DUMMYFUNCTION("IFERROR(TRANSPOSE(QUERY(IFERROR(SORT(GOOGLEFINANCE(C138, ""price"", WORKDAY(TODAY(), -40), TODAY()), 1, FALSE)), ""select Col2 where Col2 is not null limit 22 label Col2 ''"", 0)), """")"),"")</f>
        <v/>
      </c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8"/>
      <c r="AO138" s="28"/>
      <c r="AP138" s="29"/>
      <c r="AQ138" s="29" t="str">
        <f t="shared" ref="AQ138:BL138" si="141">T138/T$2</f>
        <v>#N/A</v>
      </c>
      <c r="AR138" s="29" t="str">
        <f t="shared" si="141"/>
        <v>#DIV/0!</v>
      </c>
      <c r="AS138" s="29" t="str">
        <f t="shared" si="141"/>
        <v>#DIV/0!</v>
      </c>
      <c r="AT138" s="29" t="str">
        <f t="shared" si="141"/>
        <v>#DIV/0!</v>
      </c>
      <c r="AU138" s="29" t="str">
        <f t="shared" si="141"/>
        <v>#DIV/0!</v>
      </c>
      <c r="AV138" s="29" t="str">
        <f t="shared" si="141"/>
        <v>#DIV/0!</v>
      </c>
      <c r="AW138" s="29" t="str">
        <f t="shared" si="141"/>
        <v>#DIV/0!</v>
      </c>
      <c r="AX138" s="29" t="str">
        <f t="shared" si="141"/>
        <v>#DIV/0!</v>
      </c>
      <c r="AY138" s="29" t="str">
        <f t="shared" si="141"/>
        <v>#DIV/0!</v>
      </c>
      <c r="AZ138" s="29" t="str">
        <f t="shared" si="141"/>
        <v>#DIV/0!</v>
      </c>
      <c r="BA138" s="29" t="str">
        <f t="shared" si="141"/>
        <v>#DIV/0!</v>
      </c>
      <c r="BB138" s="29" t="str">
        <f t="shared" si="141"/>
        <v>#DIV/0!</v>
      </c>
      <c r="BC138" s="29" t="str">
        <f t="shared" si="141"/>
        <v>#DIV/0!</v>
      </c>
      <c r="BD138" s="29" t="str">
        <f t="shared" si="141"/>
        <v>#DIV/0!</v>
      </c>
      <c r="BE138" s="29" t="str">
        <f t="shared" si="141"/>
        <v>#DIV/0!</v>
      </c>
      <c r="BF138" s="29" t="str">
        <f t="shared" si="141"/>
        <v>#DIV/0!</v>
      </c>
      <c r="BG138" s="29" t="str">
        <f t="shared" si="141"/>
        <v>#DIV/0!</v>
      </c>
      <c r="BH138" s="29" t="str">
        <f t="shared" si="141"/>
        <v>#DIV/0!</v>
      </c>
      <c r="BI138" s="29" t="str">
        <f t="shared" si="141"/>
        <v>#DIV/0!</v>
      </c>
      <c r="BJ138" s="29" t="str">
        <f t="shared" si="141"/>
        <v>#DIV/0!</v>
      </c>
      <c r="BK138" s="29" t="str">
        <f t="shared" si="141"/>
        <v>#DIV/0!</v>
      </c>
      <c r="BL138" s="29" t="str">
        <f t="shared" si="141"/>
        <v>#DIV/0!</v>
      </c>
      <c r="BM138" s="29" t="str">
        <f t="shared" si="3"/>
        <v>#DIV/0!</v>
      </c>
    </row>
    <row r="139">
      <c r="A139" s="16" t="str">
        <f>IFERROR(__xludf.DUMMYFUNCTION("IFERROR(SPARKLINE(SORT(MAP(TRANSPOSE(AQ139:BL139), LAMBDA(val, IF(ISNUMBER(val), PERCENTRANK(AQ139:BL139, val)+0.01, 0))), SEQUENCE(COLUMNS(AQ139:BL139)), FALSE), {""charttype"",""column""; ""color"",""chartreuse""; ""ymin"", 0; ""ymax"", 1.01; ""highcolo"&amp;"r"", ""darkgreen""; ""lowcolor"", ""red""}), """")"),"")</f>
        <v/>
      </c>
      <c r="B139" s="17" t="str">
        <f t="shared" si="4"/>
        <v/>
      </c>
      <c r="C139" s="1" t="s">
        <v>3157</v>
      </c>
      <c r="D139" s="30" t="str">
        <f>IFERROR(__xludf.DUMMYFUNCTION("IFERROR(GOOGLEFINANCE(C139, ""NAME""))"),"Regency Centers Corp")</f>
        <v>Regency Centers Corp</v>
      </c>
      <c r="E139" s="30" t="s">
        <v>2751</v>
      </c>
      <c r="F139" s="33" t="str">
        <f>IFERROR(__xludf.DUMMYFUNCTION("( (GOOGLEFINANCE(C139, ""price"") - Q139) / Q139 ) / (R139 / 100)"),"Loading...")</f>
        <v>Loading...</v>
      </c>
      <c r="G139" s="20" t="str">
        <f>IFERROR(__xludf.DUMMYFUNCTION("AVERAGE(ARRAYFORMULA(100 * (QUERY(GOOGLEFINANCE(C139, ""high"", TODAY()-40, TODAY()), ""SELECT Col2 WHERE Col2 IS NOT NULL ORDER BY Col1 DESC LIMIT 20"", 0) / QUERY(GOOGLEFINANCE(C139, ""low"", TODAY()-40, TODAY()), ""SELECT Col2 WHERE Col2 IS NOT NULL OR"&amp;"DER BY Col1 DESC LIMIT 20"", 0) - 1)))"),"#N/A")</f>
        <v>#N/A</v>
      </c>
      <c r="H139" s="35" t="str">
        <f t="shared" si="6"/>
        <v>Liquid</v>
      </c>
      <c r="I139" s="35" t="str">
        <f t="shared" si="7"/>
        <v>RVol Required</v>
      </c>
      <c r="J139" s="37">
        <f>IFERROR(__xludf.DUMMYFUNCTION("IFERROR(
  IF(C139="""",, 
    IFERROR(
      GOOGLEFINANCE(C139, ""price"") * GOOGLEFINANCE(C139, ""volumeavg""), 
      GOOGLEFINANCE(C139, ""price"") * AVERAGE(QUERY(GOOGLEFINANCE(C139, ""volume"", TODAY()-40, TODAY()), ""SELECT Col2 WHERE Col2 IS NOT "&amp;"NULL ORDER BY Col1 DESC LIMIT 20"", 0))
    )
  ), 
"""")"),1.0015789719999999E8)</f>
        <v>100157897.2</v>
      </c>
      <c r="K139" s="21">
        <f>IFERROR(__xludf.DUMMYFUNCTION("IFERROR(GOOGLEFINANCE(C139, ""changepct"") / 100, """")"),0.0027)</f>
        <v>0.0027</v>
      </c>
      <c r="L139" s="21" t="str">
        <f>IFERROR(__xludf.DUMMYFUNCTION("IFERROR((GOOGLEFINANCE(C139, ""price"") / INDEX(GOOGLEFINANCE(C139, ""price"", TODAY()-7, TODAY()), 2, 2)) - 1, """")"),"")</f>
        <v/>
      </c>
      <c r="M139" s="21" t="str">
        <f>IFERROR(__xludf.DUMMYFUNCTION("IFERROR((GOOGLEFINANCE(C139, ""price"") / INDEX(GOOGLEFINANCE(C139, ""price"", EDATE(TODAY(), -1), TODAY()), 2, 2)) - 1, """")"),"")</f>
        <v/>
      </c>
      <c r="N139" s="21" t="str">
        <f>IFERROR(__xludf.DUMMYFUNCTION("IFERROR((GOOGLEFINANCE(C139, ""price"") / INDEX(GOOGLEFINANCE(C139, ""price"", EDATE(TODAY(), -3), TODAY()), 2, 2)) - 1, """")"),"")</f>
        <v/>
      </c>
      <c r="O139" s="21" t="str">
        <f>IFERROR(__xludf.DUMMYFUNCTION("IFERROR((GOOGLEFINANCE(C139, ""price"") / INDEX(GOOGLEFINANCE(C139, ""price"", EDATE(TODAY(), -6), TODAY()), 2, 2)) - 1, """")"),"")</f>
        <v/>
      </c>
      <c r="P139" s="21" t="str">
        <f>IFERROR(__xludf.DUMMYFUNCTION("IFERROR((GOOGLEFINANCE(C139, ""price"") / INDEX(GOOGLEFINANCE(C139, ""price"", EDATE(TODAY(), -12), TODAY()), 2, 2)) - 1, """")"),"")</f>
        <v/>
      </c>
      <c r="Q139" s="6" t="str">
        <f>IFERROR(__xludf.DUMMYFUNCTION("AVERAGE(QUERY(GOOGLEFINANCE(C139, ""price"", TODAY()-80, TODAY()), ""SELECT Col2 WHERE Col2 IS NOT NULL ORDER BY Col1 DESC LIMIT 50"", 0))"),"#N/A")</f>
        <v>#N/A</v>
      </c>
      <c r="R139" s="24" t="str">
        <f>IFERROR(__xludf.DUMMYFUNCTION("IFERROR(
  LET(
    data, QUERY(GOOGLEFINANCE(C139,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GOOGLEFINANCE(C139, ""price"")) * 100,
    IF(calc=0, G139, calc)
  ), 
G139)"),"#N/A")</f>
        <v>#N/A</v>
      </c>
      <c r="S139" s="8" t="s">
        <v>15</v>
      </c>
      <c r="T139" s="26" t="str">
        <f>IFERROR(__xludf.DUMMYFUNCTION("IFERROR(TRANSPOSE(QUERY(IFERROR(SORT(GOOGLEFINANCE(C139, ""price"", WORKDAY(TODAY(), -40), TODAY()), 1, FALSE)), ""select Col2 where Col2 is not null limit 22 label Col2 ''"", 0)), """")"),"")</f>
        <v/>
      </c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8"/>
      <c r="AO139" s="28"/>
      <c r="AP139" s="29"/>
      <c r="AQ139" s="29" t="str">
        <f t="shared" ref="AQ139:BL139" si="142">T139/T$2</f>
        <v>#N/A</v>
      </c>
      <c r="AR139" s="29" t="str">
        <f t="shared" si="142"/>
        <v>#DIV/0!</v>
      </c>
      <c r="AS139" s="29" t="str">
        <f t="shared" si="142"/>
        <v>#DIV/0!</v>
      </c>
      <c r="AT139" s="29" t="str">
        <f t="shared" si="142"/>
        <v>#DIV/0!</v>
      </c>
      <c r="AU139" s="29" t="str">
        <f t="shared" si="142"/>
        <v>#DIV/0!</v>
      </c>
      <c r="AV139" s="29" t="str">
        <f t="shared" si="142"/>
        <v>#DIV/0!</v>
      </c>
      <c r="AW139" s="29" t="str">
        <f t="shared" si="142"/>
        <v>#DIV/0!</v>
      </c>
      <c r="AX139" s="29" t="str">
        <f t="shared" si="142"/>
        <v>#DIV/0!</v>
      </c>
      <c r="AY139" s="29" t="str">
        <f t="shared" si="142"/>
        <v>#DIV/0!</v>
      </c>
      <c r="AZ139" s="29" t="str">
        <f t="shared" si="142"/>
        <v>#DIV/0!</v>
      </c>
      <c r="BA139" s="29" t="str">
        <f t="shared" si="142"/>
        <v>#DIV/0!</v>
      </c>
      <c r="BB139" s="29" t="str">
        <f t="shared" si="142"/>
        <v>#DIV/0!</v>
      </c>
      <c r="BC139" s="29" t="str">
        <f t="shared" si="142"/>
        <v>#DIV/0!</v>
      </c>
      <c r="BD139" s="29" t="str">
        <f t="shared" si="142"/>
        <v>#DIV/0!</v>
      </c>
      <c r="BE139" s="29" t="str">
        <f t="shared" si="142"/>
        <v>#DIV/0!</v>
      </c>
      <c r="BF139" s="29" t="str">
        <f t="shared" si="142"/>
        <v>#DIV/0!</v>
      </c>
      <c r="BG139" s="29" t="str">
        <f t="shared" si="142"/>
        <v>#DIV/0!</v>
      </c>
      <c r="BH139" s="29" t="str">
        <f t="shared" si="142"/>
        <v>#DIV/0!</v>
      </c>
      <c r="BI139" s="29" t="str">
        <f t="shared" si="142"/>
        <v>#DIV/0!</v>
      </c>
      <c r="BJ139" s="29" t="str">
        <f t="shared" si="142"/>
        <v>#DIV/0!</v>
      </c>
      <c r="BK139" s="29" t="str">
        <f t="shared" si="142"/>
        <v>#DIV/0!</v>
      </c>
      <c r="BL139" s="29" t="str">
        <f t="shared" si="142"/>
        <v>#DIV/0!</v>
      </c>
      <c r="BM139" s="29" t="str">
        <f t="shared" si="3"/>
        <v>#DIV/0!</v>
      </c>
    </row>
    <row r="140">
      <c r="A140" s="16" t="str">
        <f>IFERROR(__xludf.DUMMYFUNCTION("IFERROR(SPARKLINE(SORT(MAP(TRANSPOSE(AQ140:BL140), LAMBDA(val, IF(ISNUMBER(val), PERCENTRANK(AQ140:BL140, val)+0.01, 0))), SEQUENCE(COLUMNS(AQ140:BL140)), FALSE), {""charttype"",""column""; ""color"",""chartreuse""; ""ymin"", 0; ""ymax"", 1.01; ""highcolo"&amp;"r"", ""darkgreen""; ""lowcolor"", ""red""}), """")"),"")</f>
        <v/>
      </c>
      <c r="B140" s="17" t="str">
        <f t="shared" si="4"/>
        <v/>
      </c>
      <c r="C140" s="1" t="s">
        <v>3160</v>
      </c>
      <c r="D140" s="30" t="str">
        <f>IFERROR(__xludf.DUMMYFUNCTION("IFERROR(GOOGLEFINANCE(C140, ""NAME""))"),"Getty Realty Corp")</f>
        <v>Getty Realty Corp</v>
      </c>
      <c r="E140" s="30" t="s">
        <v>2751</v>
      </c>
      <c r="F140" s="33" t="str">
        <f>IFERROR(__xludf.DUMMYFUNCTION("( (GOOGLEFINANCE(C140, ""price"") - Q140) / Q140 ) / (R140 / 100)"),"Loading...")</f>
        <v>Loading...</v>
      </c>
      <c r="G140" s="20" t="str">
        <f>IFERROR(__xludf.DUMMYFUNCTION("AVERAGE(ARRAYFORMULA(100 * (QUERY(GOOGLEFINANCE(C140, ""high"", TODAY()-40, TODAY()), ""SELECT Col2 WHERE Col2 IS NOT NULL ORDER BY Col1 DESC LIMIT 20"", 0) / QUERY(GOOGLEFINANCE(C140, ""low"", TODAY()-40, TODAY()), ""SELECT Col2 WHERE Col2 IS NOT NULL OR"&amp;"DER BY Col1 DESC LIMIT 20"", 0) - 1)))"),"#N/A")</f>
        <v>#N/A</v>
      </c>
      <c r="H140" s="35" t="str">
        <f t="shared" si="6"/>
        <v>Illiquid</v>
      </c>
      <c r="I140" s="35" t="str">
        <f t="shared" si="7"/>
        <v>RVol Required</v>
      </c>
      <c r="J140" s="37">
        <f>IFERROR(__xludf.DUMMYFUNCTION("IFERROR(
  IF(C140="""",, 
    IFERROR(
      GOOGLEFINANCE(C140, ""price"") * GOOGLEFINANCE(C140, ""volumeavg""), 
      GOOGLEFINANCE(C140, ""price"") * AVERAGE(QUERY(GOOGLEFINANCE(C140, ""volume"", TODAY()-40, TODAY()), ""SELECT Col2 WHERE Col2 IS NOT "&amp;"NULL ORDER BY Col1 DESC LIMIT 20"", 0))
    )
  ), 
"""")"),1.99806552E7)</f>
        <v>19980655.2</v>
      </c>
      <c r="K140" s="21">
        <f>IFERROR(__xludf.DUMMYFUNCTION("IFERROR(GOOGLEFINANCE(C140, ""changepct"") / 100, """")"),0.0028000000000000004)</f>
        <v>0.0028</v>
      </c>
      <c r="L140" s="21" t="str">
        <f>IFERROR(__xludf.DUMMYFUNCTION("IFERROR((GOOGLEFINANCE(C140, ""price"") / INDEX(GOOGLEFINANCE(C140, ""price"", TODAY()-7, TODAY()), 2, 2)) - 1, """")"),"")</f>
        <v/>
      </c>
      <c r="M140" s="21" t="str">
        <f>IFERROR(__xludf.DUMMYFUNCTION("IFERROR((GOOGLEFINANCE(C140, ""price"") / INDEX(GOOGLEFINANCE(C140, ""price"", EDATE(TODAY(), -1), TODAY()), 2, 2)) - 1, """")"),"")</f>
        <v/>
      </c>
      <c r="N140" s="21" t="str">
        <f>IFERROR(__xludf.DUMMYFUNCTION("IFERROR((GOOGLEFINANCE(C140, ""price"") / INDEX(GOOGLEFINANCE(C140, ""price"", EDATE(TODAY(), -3), TODAY()), 2, 2)) - 1, """")"),"")</f>
        <v/>
      </c>
      <c r="O140" s="21" t="str">
        <f>IFERROR(__xludf.DUMMYFUNCTION("IFERROR((GOOGLEFINANCE(C140, ""price"") / INDEX(GOOGLEFINANCE(C140, ""price"", EDATE(TODAY(), -6), TODAY()), 2, 2)) - 1, """")"),"")</f>
        <v/>
      </c>
      <c r="P140" s="21" t="str">
        <f>IFERROR(__xludf.DUMMYFUNCTION("IFERROR((GOOGLEFINANCE(C140, ""price"") / INDEX(GOOGLEFINANCE(C140, ""price"", EDATE(TODAY(), -12), TODAY()), 2, 2)) - 1, """")"),"")</f>
        <v/>
      </c>
      <c r="Q140" s="6" t="str">
        <f>IFERROR(__xludf.DUMMYFUNCTION("AVERAGE(QUERY(GOOGLEFINANCE(C140, ""price"", TODAY()-80, TODAY()), ""SELECT Col2 WHERE Col2 IS NOT NULL ORDER BY Col1 DESC LIMIT 50"", 0))"),"#N/A")</f>
        <v>#N/A</v>
      </c>
      <c r="R140" s="24" t="str">
        <f>IFERROR(__xludf.DUMMYFUNCTION("IFERROR(
  LET(
    data, QUERY(GOOGLEFINANCE(C140,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GOOGLEFINANCE(C140, ""price"")) * 100,
    IF(calc=0, G140, calc)
  ), 
G140)"),"#N/A")</f>
        <v>#N/A</v>
      </c>
      <c r="S140" s="8" t="s">
        <v>15</v>
      </c>
      <c r="T140" s="26" t="str">
        <f>IFERROR(__xludf.DUMMYFUNCTION("IFERROR(TRANSPOSE(QUERY(IFERROR(SORT(GOOGLEFINANCE(C140, ""price"", WORKDAY(TODAY(), -40), TODAY()), 1, FALSE)), ""select Col2 where Col2 is not null limit 22 label Col2 ''"", 0)), """")"),"")</f>
        <v/>
      </c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8"/>
      <c r="AO140" s="28"/>
      <c r="AP140" s="29"/>
      <c r="AQ140" s="29" t="str">
        <f t="shared" ref="AQ140:BL140" si="143">T140/T$2</f>
        <v>#N/A</v>
      </c>
      <c r="AR140" s="29" t="str">
        <f t="shared" si="143"/>
        <v>#DIV/0!</v>
      </c>
      <c r="AS140" s="29" t="str">
        <f t="shared" si="143"/>
        <v>#DIV/0!</v>
      </c>
      <c r="AT140" s="29" t="str">
        <f t="shared" si="143"/>
        <v>#DIV/0!</v>
      </c>
      <c r="AU140" s="29" t="str">
        <f t="shared" si="143"/>
        <v>#DIV/0!</v>
      </c>
      <c r="AV140" s="29" t="str">
        <f t="shared" si="143"/>
        <v>#DIV/0!</v>
      </c>
      <c r="AW140" s="29" t="str">
        <f t="shared" si="143"/>
        <v>#DIV/0!</v>
      </c>
      <c r="AX140" s="29" t="str">
        <f t="shared" si="143"/>
        <v>#DIV/0!</v>
      </c>
      <c r="AY140" s="29" t="str">
        <f t="shared" si="143"/>
        <v>#DIV/0!</v>
      </c>
      <c r="AZ140" s="29" t="str">
        <f t="shared" si="143"/>
        <v>#DIV/0!</v>
      </c>
      <c r="BA140" s="29" t="str">
        <f t="shared" si="143"/>
        <v>#DIV/0!</v>
      </c>
      <c r="BB140" s="29" t="str">
        <f t="shared" si="143"/>
        <v>#DIV/0!</v>
      </c>
      <c r="BC140" s="29" t="str">
        <f t="shared" si="143"/>
        <v>#DIV/0!</v>
      </c>
      <c r="BD140" s="29" t="str">
        <f t="shared" si="143"/>
        <v>#DIV/0!</v>
      </c>
      <c r="BE140" s="29" t="str">
        <f t="shared" si="143"/>
        <v>#DIV/0!</v>
      </c>
      <c r="BF140" s="29" t="str">
        <f t="shared" si="143"/>
        <v>#DIV/0!</v>
      </c>
      <c r="BG140" s="29" t="str">
        <f t="shared" si="143"/>
        <v>#DIV/0!</v>
      </c>
      <c r="BH140" s="29" t="str">
        <f t="shared" si="143"/>
        <v>#DIV/0!</v>
      </c>
      <c r="BI140" s="29" t="str">
        <f t="shared" si="143"/>
        <v>#DIV/0!</v>
      </c>
      <c r="BJ140" s="29" t="str">
        <f t="shared" si="143"/>
        <v>#DIV/0!</v>
      </c>
      <c r="BK140" s="29" t="str">
        <f t="shared" si="143"/>
        <v>#DIV/0!</v>
      </c>
      <c r="BL140" s="29" t="str">
        <f t="shared" si="143"/>
        <v>#DIV/0!</v>
      </c>
      <c r="BM140" s="29" t="str">
        <f t="shared" si="3"/>
        <v>#DIV/0!</v>
      </c>
    </row>
    <row r="141">
      <c r="A141" s="16" t="str">
        <f>IFERROR(__xludf.DUMMYFUNCTION("IFERROR(SPARKLINE(SORT(MAP(TRANSPOSE(AQ141:BL141), LAMBDA(val, IF(ISNUMBER(val), PERCENTRANK(AQ141:BL141, val)+0.01, 0))), SEQUENCE(COLUMNS(AQ141:BL141)), FALSE), {""charttype"",""column""; ""color"",""chartreuse""; ""ymin"", 0; ""ymax"", 1.01; ""highcolo"&amp;"r"", ""darkgreen""; ""lowcolor"", ""red""}), """")"),"")</f>
        <v/>
      </c>
      <c r="B141" s="17" t="str">
        <f t="shared" si="4"/>
        <v/>
      </c>
      <c r="C141" s="1" t="s">
        <v>3163</v>
      </c>
      <c r="D141" s="30" t="str">
        <f>IFERROR(__xludf.DUMMYFUNCTION("IFERROR(GOOGLEFINANCE(C141, ""NAME""))"),"Century Communities Inc")</f>
        <v>Century Communities Inc</v>
      </c>
      <c r="E141" s="30" t="s">
        <v>3164</v>
      </c>
      <c r="F141" s="33" t="str">
        <f>IFERROR(__xludf.DUMMYFUNCTION("( (GOOGLEFINANCE(C141, ""price"") - Q141) / Q141 ) / (R141 / 100)"),"Loading...")</f>
        <v>Loading...</v>
      </c>
      <c r="G141" s="20" t="str">
        <f>IFERROR(__xludf.DUMMYFUNCTION("AVERAGE(ARRAYFORMULA(100 * (QUERY(GOOGLEFINANCE(C141, ""high"", TODAY()-40, TODAY()), ""SELECT Col2 WHERE Col2 IS NOT NULL ORDER BY Col1 DESC LIMIT 20"", 0) / QUERY(GOOGLEFINANCE(C141, ""low"", TODAY()-40, TODAY()), ""SELECT Col2 WHERE Col2 IS NOT NULL OR"&amp;"DER BY Col1 DESC LIMIT 20"", 0) - 1)))"),"#N/A")</f>
        <v>#N/A</v>
      </c>
      <c r="H141" s="35" t="str">
        <f t="shared" si="6"/>
        <v>Illiquid</v>
      </c>
      <c r="I141" s="35" t="str">
        <f t="shared" si="7"/>
        <v>RVol Required</v>
      </c>
      <c r="J141" s="37">
        <f>IFERROR(__xludf.DUMMYFUNCTION("IFERROR(
  IF(C141="""",, 
    IFERROR(
      GOOGLEFINANCE(C141, ""price"") * GOOGLEFINANCE(C141, ""volumeavg""), 
      GOOGLEFINANCE(C141, ""price"") * AVERAGE(QUERY(GOOGLEFINANCE(C141, ""volume"", TODAY()-40, TODAY()), ""SELECT Col2 WHERE Col2 IS NOT "&amp;"NULL ORDER BY Col1 DESC LIMIT 20"", 0))
    )
  ), 
"""")"),1.4001243200000001E7)</f>
        <v>14001243.2</v>
      </c>
      <c r="K141" s="21">
        <f>IFERROR(__xludf.DUMMYFUNCTION("IFERROR(GOOGLEFINANCE(C141, ""changepct"") / 100, """")"),-0.0173)</f>
        <v>-0.0173</v>
      </c>
      <c r="L141" s="21" t="str">
        <f>IFERROR(__xludf.DUMMYFUNCTION("IFERROR((GOOGLEFINANCE(C141, ""price"") / INDEX(GOOGLEFINANCE(C141, ""price"", TODAY()-7, TODAY()), 2, 2)) - 1, """")"),"")</f>
        <v/>
      </c>
      <c r="M141" s="21" t="str">
        <f>IFERROR(__xludf.DUMMYFUNCTION("IFERROR((GOOGLEFINANCE(C141, ""price"") / INDEX(GOOGLEFINANCE(C141, ""price"", EDATE(TODAY(), -1), TODAY()), 2, 2)) - 1, """")"),"")</f>
        <v/>
      </c>
      <c r="N141" s="21" t="str">
        <f>IFERROR(__xludf.DUMMYFUNCTION("IFERROR((GOOGLEFINANCE(C141, ""price"") / INDEX(GOOGLEFINANCE(C141, ""price"", EDATE(TODAY(), -3), TODAY()), 2, 2)) - 1, """")"),"")</f>
        <v/>
      </c>
      <c r="O141" s="21" t="str">
        <f>IFERROR(__xludf.DUMMYFUNCTION("IFERROR((GOOGLEFINANCE(C141, ""price"") / INDEX(GOOGLEFINANCE(C141, ""price"", EDATE(TODAY(), -6), TODAY()), 2, 2)) - 1, """")"),"")</f>
        <v/>
      </c>
      <c r="P141" s="21" t="str">
        <f>IFERROR(__xludf.DUMMYFUNCTION("IFERROR((GOOGLEFINANCE(C141, ""price"") / INDEX(GOOGLEFINANCE(C141, ""price"", EDATE(TODAY(), -12), TODAY()), 2, 2)) - 1, """")"),"")</f>
        <v/>
      </c>
      <c r="Q141" s="6" t="str">
        <f>IFERROR(__xludf.DUMMYFUNCTION("AVERAGE(QUERY(GOOGLEFINANCE(C141, ""price"", TODAY()-80, TODAY()), ""SELECT Col2 WHERE Col2 IS NOT NULL ORDER BY Col1 DESC LIMIT 50"", 0))"),"#N/A")</f>
        <v>#N/A</v>
      </c>
      <c r="R141" s="24" t="str">
        <f>IFERROR(__xludf.DUMMYFUNCTION("IFERROR(
  LET(
    data, QUERY(GOOGLEFINANCE(C141,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GOOGLEFINANCE(C141, ""price"")) * 100,
    IF(calc=0, G141, calc)
  ), 
G141)"),"#N/A")</f>
        <v>#N/A</v>
      </c>
      <c r="S141" s="8" t="s">
        <v>15</v>
      </c>
      <c r="T141" s="26" t="str">
        <f>IFERROR(__xludf.DUMMYFUNCTION("IFERROR(TRANSPOSE(QUERY(IFERROR(SORT(GOOGLEFINANCE(C141, ""price"", WORKDAY(TODAY(), -40), TODAY()), 1, FALSE)), ""select Col2 where Col2 is not null limit 22 label Col2 ''"", 0)), """")"),"")</f>
        <v/>
      </c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8"/>
      <c r="AO141" s="28"/>
      <c r="AP141" s="29"/>
      <c r="AQ141" s="29" t="str">
        <f t="shared" ref="AQ141:BL141" si="144">T141/T$2</f>
        <v>#N/A</v>
      </c>
      <c r="AR141" s="29" t="str">
        <f t="shared" si="144"/>
        <v>#DIV/0!</v>
      </c>
      <c r="AS141" s="29" t="str">
        <f t="shared" si="144"/>
        <v>#DIV/0!</v>
      </c>
      <c r="AT141" s="29" t="str">
        <f t="shared" si="144"/>
        <v>#DIV/0!</v>
      </c>
      <c r="AU141" s="29" t="str">
        <f t="shared" si="144"/>
        <v>#DIV/0!</v>
      </c>
      <c r="AV141" s="29" t="str">
        <f t="shared" si="144"/>
        <v>#DIV/0!</v>
      </c>
      <c r="AW141" s="29" t="str">
        <f t="shared" si="144"/>
        <v>#DIV/0!</v>
      </c>
      <c r="AX141" s="29" t="str">
        <f t="shared" si="144"/>
        <v>#DIV/0!</v>
      </c>
      <c r="AY141" s="29" t="str">
        <f t="shared" si="144"/>
        <v>#DIV/0!</v>
      </c>
      <c r="AZ141" s="29" t="str">
        <f t="shared" si="144"/>
        <v>#DIV/0!</v>
      </c>
      <c r="BA141" s="29" t="str">
        <f t="shared" si="144"/>
        <v>#DIV/0!</v>
      </c>
      <c r="BB141" s="29" t="str">
        <f t="shared" si="144"/>
        <v>#DIV/0!</v>
      </c>
      <c r="BC141" s="29" t="str">
        <f t="shared" si="144"/>
        <v>#DIV/0!</v>
      </c>
      <c r="BD141" s="29" t="str">
        <f t="shared" si="144"/>
        <v>#DIV/0!</v>
      </c>
      <c r="BE141" s="29" t="str">
        <f t="shared" si="144"/>
        <v>#DIV/0!</v>
      </c>
      <c r="BF141" s="29" t="str">
        <f t="shared" si="144"/>
        <v>#DIV/0!</v>
      </c>
      <c r="BG141" s="29" t="str">
        <f t="shared" si="144"/>
        <v>#DIV/0!</v>
      </c>
      <c r="BH141" s="29" t="str">
        <f t="shared" si="144"/>
        <v>#DIV/0!</v>
      </c>
      <c r="BI141" s="29" t="str">
        <f t="shared" si="144"/>
        <v>#DIV/0!</v>
      </c>
      <c r="BJ141" s="29" t="str">
        <f t="shared" si="144"/>
        <v>#DIV/0!</v>
      </c>
      <c r="BK141" s="29" t="str">
        <f t="shared" si="144"/>
        <v>#DIV/0!</v>
      </c>
      <c r="BL141" s="29" t="str">
        <f t="shared" si="144"/>
        <v>#DIV/0!</v>
      </c>
      <c r="BM141" s="29" t="str">
        <f t="shared" si="3"/>
        <v>#DIV/0!</v>
      </c>
    </row>
    <row r="142">
      <c r="A142" s="16" t="str">
        <f>IFERROR(__xludf.DUMMYFUNCTION("IFERROR(SPARKLINE(SORT(MAP(TRANSPOSE(AQ142:BL142), LAMBDA(val, IF(ISNUMBER(val), PERCENTRANK(AQ142:BL142, val)+0.01, 0))), SEQUENCE(COLUMNS(AQ142:BL142)), FALSE), {""charttype"",""column""; ""color"",""chartreuse""; ""ymin"", 0; ""ymax"", 1.01; ""highcolo"&amp;"r"", ""darkgreen""; ""lowcolor"", ""red""}), """")"),"")</f>
        <v/>
      </c>
      <c r="B142" s="17" t="str">
        <f t="shared" si="4"/>
        <v/>
      </c>
      <c r="C142" s="1" t="s">
        <v>3166</v>
      </c>
      <c r="D142" s="30" t="str">
        <f>IFERROR(__xludf.DUMMYFUNCTION("IFERROR(GOOGLEFINANCE(C142, ""NAME""))"),"Curbline Properties Corp.")</f>
        <v>Curbline Properties Corp.</v>
      </c>
      <c r="E142" s="30" t="s">
        <v>2751</v>
      </c>
      <c r="F142" s="33" t="str">
        <f>IFERROR(__xludf.DUMMYFUNCTION("( (GOOGLEFINANCE(C142, ""price"") - Q142) / Q142 ) / (R142 / 100)"),"Loading...")</f>
        <v>Loading...</v>
      </c>
      <c r="G142" s="20" t="str">
        <f>IFERROR(__xludf.DUMMYFUNCTION("AVERAGE(ARRAYFORMULA(100 * (QUERY(GOOGLEFINANCE(C142, ""high"", TODAY()-40, TODAY()), ""SELECT Col2 WHERE Col2 IS NOT NULL ORDER BY Col1 DESC LIMIT 20"", 0) / QUERY(GOOGLEFINANCE(C142, ""low"", TODAY()-40, TODAY()), ""SELECT Col2 WHERE Col2 IS NOT NULL OR"&amp;"DER BY Col1 DESC LIMIT 20"", 0) - 1)))"),"#N/A")</f>
        <v>#N/A</v>
      </c>
      <c r="H142" s="35" t="str">
        <f t="shared" si="6"/>
        <v>Illiquid</v>
      </c>
      <c r="I142" s="35" t="str">
        <f t="shared" si="7"/>
        <v>RVol Required</v>
      </c>
      <c r="J142" s="37">
        <f>IFERROR(__xludf.DUMMYFUNCTION("IFERROR(
  IF(C142="""",, 
    IFERROR(
      GOOGLEFINANCE(C142, ""price"") * GOOGLEFINANCE(C142, ""volumeavg""), 
      GOOGLEFINANCE(C142, ""price"") * AVERAGE(QUERY(GOOGLEFINANCE(C142, ""volume"", TODAY()-40, TODAY()), ""SELECT Col2 WHERE Col2 IS NOT "&amp;"NULL ORDER BY Col1 DESC LIMIT 20"", 0))
    )
  ), 
"""")"),3.903179124E7)</f>
        <v>39031791.24</v>
      </c>
      <c r="K142" s="21">
        <f>IFERROR(__xludf.DUMMYFUNCTION("IFERROR(GOOGLEFINANCE(C142, ""changepct"") / 100, """")"),-0.0015)</f>
        <v>-0.0015</v>
      </c>
      <c r="L142" s="21" t="str">
        <f>IFERROR(__xludf.DUMMYFUNCTION("IFERROR((GOOGLEFINANCE(C142, ""price"") / INDEX(GOOGLEFINANCE(C142, ""price"", TODAY()-7, TODAY()), 2, 2)) - 1, """")"),"")</f>
        <v/>
      </c>
      <c r="M142" s="21" t="str">
        <f>IFERROR(__xludf.DUMMYFUNCTION("IFERROR((GOOGLEFINANCE(C142, ""price"") / INDEX(GOOGLEFINANCE(C142, ""price"", EDATE(TODAY(), -1), TODAY()), 2, 2)) - 1, """")"),"")</f>
        <v/>
      </c>
      <c r="N142" s="21" t="str">
        <f>IFERROR(__xludf.DUMMYFUNCTION("IFERROR((GOOGLEFINANCE(C142, ""price"") / INDEX(GOOGLEFINANCE(C142, ""price"", EDATE(TODAY(), -3), TODAY()), 2, 2)) - 1, """")"),"")</f>
        <v/>
      </c>
      <c r="O142" s="21" t="str">
        <f>IFERROR(__xludf.DUMMYFUNCTION("IFERROR((GOOGLEFINANCE(C142, ""price"") / INDEX(GOOGLEFINANCE(C142, ""price"", EDATE(TODAY(), -6), TODAY()), 2, 2)) - 1, """")"),"")</f>
        <v/>
      </c>
      <c r="P142" s="21" t="str">
        <f>IFERROR(__xludf.DUMMYFUNCTION("IFERROR((GOOGLEFINANCE(C142, ""price"") / INDEX(GOOGLEFINANCE(C142, ""price"", EDATE(TODAY(), -12), TODAY()), 2, 2)) - 1, """")"),"")</f>
        <v/>
      </c>
      <c r="Q142" s="6" t="str">
        <f>IFERROR(__xludf.DUMMYFUNCTION("AVERAGE(QUERY(GOOGLEFINANCE(C142, ""price"", TODAY()-80, TODAY()), ""SELECT Col2 WHERE Col2 IS NOT NULL ORDER BY Col1 DESC LIMIT 50"", 0))"),"#N/A")</f>
        <v>#N/A</v>
      </c>
      <c r="R142" s="24" t="str">
        <f>IFERROR(__xludf.DUMMYFUNCTION("IFERROR(
  LET(
    data, QUERY(GOOGLEFINANCE(C142,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GOOGLEFINANCE(C142, ""price"")) * 100,
    IF(calc=0, G142, calc)
  ), 
G142)"),"#N/A")</f>
        <v>#N/A</v>
      </c>
      <c r="S142" s="8" t="s">
        <v>15</v>
      </c>
      <c r="T142" s="26" t="str">
        <f>IFERROR(__xludf.DUMMYFUNCTION("IFERROR(TRANSPOSE(QUERY(IFERROR(SORT(GOOGLEFINANCE(C142, ""price"", WORKDAY(TODAY(), -40), TODAY()), 1, FALSE)), ""select Col2 where Col2 is not null limit 22 label Col2 ''"", 0)), """")"),"")</f>
        <v/>
      </c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8"/>
      <c r="AO142" s="28"/>
      <c r="AP142" s="29"/>
      <c r="AQ142" s="29" t="str">
        <f t="shared" ref="AQ142:BL142" si="145">T142/T$2</f>
        <v>#N/A</v>
      </c>
      <c r="AR142" s="29" t="str">
        <f t="shared" si="145"/>
        <v>#DIV/0!</v>
      </c>
      <c r="AS142" s="29" t="str">
        <f t="shared" si="145"/>
        <v>#DIV/0!</v>
      </c>
      <c r="AT142" s="29" t="str">
        <f t="shared" si="145"/>
        <v>#DIV/0!</v>
      </c>
      <c r="AU142" s="29" t="str">
        <f t="shared" si="145"/>
        <v>#DIV/0!</v>
      </c>
      <c r="AV142" s="29" t="str">
        <f t="shared" si="145"/>
        <v>#DIV/0!</v>
      </c>
      <c r="AW142" s="29" t="str">
        <f t="shared" si="145"/>
        <v>#DIV/0!</v>
      </c>
      <c r="AX142" s="29" t="str">
        <f t="shared" si="145"/>
        <v>#DIV/0!</v>
      </c>
      <c r="AY142" s="29" t="str">
        <f t="shared" si="145"/>
        <v>#DIV/0!</v>
      </c>
      <c r="AZ142" s="29" t="str">
        <f t="shared" si="145"/>
        <v>#DIV/0!</v>
      </c>
      <c r="BA142" s="29" t="str">
        <f t="shared" si="145"/>
        <v>#DIV/0!</v>
      </c>
      <c r="BB142" s="29" t="str">
        <f t="shared" si="145"/>
        <v>#DIV/0!</v>
      </c>
      <c r="BC142" s="29" t="str">
        <f t="shared" si="145"/>
        <v>#DIV/0!</v>
      </c>
      <c r="BD142" s="29" t="str">
        <f t="shared" si="145"/>
        <v>#DIV/0!</v>
      </c>
      <c r="BE142" s="29" t="str">
        <f t="shared" si="145"/>
        <v>#DIV/0!</v>
      </c>
      <c r="BF142" s="29" t="str">
        <f t="shared" si="145"/>
        <v>#DIV/0!</v>
      </c>
      <c r="BG142" s="29" t="str">
        <f t="shared" si="145"/>
        <v>#DIV/0!</v>
      </c>
      <c r="BH142" s="29" t="str">
        <f t="shared" si="145"/>
        <v>#DIV/0!</v>
      </c>
      <c r="BI142" s="29" t="str">
        <f t="shared" si="145"/>
        <v>#DIV/0!</v>
      </c>
      <c r="BJ142" s="29" t="str">
        <f t="shared" si="145"/>
        <v>#DIV/0!</v>
      </c>
      <c r="BK142" s="29" t="str">
        <f t="shared" si="145"/>
        <v>#DIV/0!</v>
      </c>
      <c r="BL142" s="29" t="str">
        <f t="shared" si="145"/>
        <v>#DIV/0!</v>
      </c>
      <c r="BM142" s="29" t="str">
        <f t="shared" si="3"/>
        <v>#DIV/0!</v>
      </c>
    </row>
    <row r="143">
      <c r="A143" s="16" t="str">
        <f>IFERROR(__xludf.DUMMYFUNCTION("IFERROR(SPARKLINE(SORT(MAP(TRANSPOSE(AQ143:BL143), LAMBDA(val, IF(ISNUMBER(val), PERCENTRANK(AQ143:BL143, val)+0.01, 0))), SEQUENCE(COLUMNS(AQ143:BL143)), FALSE), {""charttype"",""column""; ""color"",""chartreuse""; ""ymin"", 0; ""ymax"", 1.01; ""highcolo"&amp;"r"", ""darkgreen""; ""lowcolor"", ""red""}), """")"),"")</f>
        <v/>
      </c>
      <c r="B143" s="17" t="str">
        <f t="shared" si="4"/>
        <v/>
      </c>
      <c r="C143" s="1" t="s">
        <v>3169</v>
      </c>
      <c r="D143" s="30" t="str">
        <f>IFERROR(__xludf.DUMMYFUNCTION("IFERROR(GOOGLEFINANCE(C143, ""NAME""))"),"JBG SMITH Properties")</f>
        <v>JBG SMITH Properties</v>
      </c>
      <c r="E143" s="30" t="s">
        <v>2662</v>
      </c>
      <c r="F143" s="33" t="str">
        <f>IFERROR(__xludf.DUMMYFUNCTION("( (GOOGLEFINANCE(C143, ""price"") - Q143) / Q143 ) / (R143 / 100)"),"Loading...")</f>
        <v>Loading...</v>
      </c>
      <c r="G143" s="20" t="str">
        <f>IFERROR(__xludf.DUMMYFUNCTION("AVERAGE(ARRAYFORMULA(100 * (QUERY(GOOGLEFINANCE(C143, ""high"", TODAY()-40, TODAY()), ""SELECT Col2 WHERE Col2 IS NOT NULL ORDER BY Col1 DESC LIMIT 20"", 0) / QUERY(GOOGLEFINANCE(C143, ""low"", TODAY()-40, TODAY()), ""SELECT Col2 WHERE Col2 IS NOT NULL OR"&amp;"DER BY Col1 DESC LIMIT 20"", 0) - 1)))"),"#N/A")</f>
        <v>#N/A</v>
      </c>
      <c r="H143" s="35" t="str">
        <f t="shared" si="6"/>
        <v>Illiquid</v>
      </c>
      <c r="I143" s="35" t="str">
        <f t="shared" si="7"/>
        <v>RVol Required</v>
      </c>
      <c r="J143" s="37">
        <f>IFERROR(__xludf.DUMMYFUNCTION("IFERROR(
  IF(C143="""",, 
    IFERROR(
      GOOGLEFINANCE(C143, ""price"") * GOOGLEFINANCE(C143, ""volumeavg""), 
      GOOGLEFINANCE(C143, ""price"") * AVERAGE(QUERY(GOOGLEFINANCE(C143, ""volume"", TODAY()-40, TODAY()), ""SELECT Col2 WHERE Col2 IS NOT "&amp;"NULL ORDER BY Col1 DESC LIMIT 20"", 0))
    )
  ), 
"""")"),1.183216815E7)</f>
        <v>11832168.15</v>
      </c>
      <c r="K143" s="21">
        <f>IFERROR(__xludf.DUMMYFUNCTION("IFERROR(GOOGLEFINANCE(C143, ""changepct"") / 100, """")"),0.0063)</f>
        <v>0.0063</v>
      </c>
      <c r="L143" s="21" t="str">
        <f>IFERROR(__xludf.DUMMYFUNCTION("IFERROR((GOOGLEFINANCE(C143, ""price"") / INDEX(GOOGLEFINANCE(C143, ""price"", TODAY()-7, TODAY()), 2, 2)) - 1, """")"),"")</f>
        <v/>
      </c>
      <c r="M143" s="21" t="str">
        <f>IFERROR(__xludf.DUMMYFUNCTION("IFERROR((GOOGLEFINANCE(C143, ""price"") / INDEX(GOOGLEFINANCE(C143, ""price"", EDATE(TODAY(), -1), TODAY()), 2, 2)) - 1, """")"),"")</f>
        <v/>
      </c>
      <c r="N143" s="21" t="str">
        <f>IFERROR(__xludf.DUMMYFUNCTION("IFERROR((GOOGLEFINANCE(C143, ""price"") / INDEX(GOOGLEFINANCE(C143, ""price"", EDATE(TODAY(), -3), TODAY()), 2, 2)) - 1, """")"),"")</f>
        <v/>
      </c>
      <c r="O143" s="21" t="str">
        <f>IFERROR(__xludf.DUMMYFUNCTION("IFERROR((GOOGLEFINANCE(C143, ""price"") / INDEX(GOOGLEFINANCE(C143, ""price"", EDATE(TODAY(), -6), TODAY()), 2, 2)) - 1, """")"),"")</f>
        <v/>
      </c>
      <c r="P143" s="21" t="str">
        <f>IFERROR(__xludf.DUMMYFUNCTION("IFERROR((GOOGLEFINANCE(C143, ""price"") / INDEX(GOOGLEFINANCE(C143, ""price"", EDATE(TODAY(), -12), TODAY()), 2, 2)) - 1, """")"),"")</f>
        <v/>
      </c>
      <c r="Q143" s="6" t="str">
        <f>IFERROR(__xludf.DUMMYFUNCTION("AVERAGE(QUERY(GOOGLEFINANCE(C143, ""price"", TODAY()-80, TODAY()), ""SELECT Col2 WHERE Col2 IS NOT NULL ORDER BY Col1 DESC LIMIT 50"", 0))"),"#N/A")</f>
        <v>#N/A</v>
      </c>
      <c r="R143" s="24" t="str">
        <f>IFERROR(__xludf.DUMMYFUNCTION("IFERROR(
  LET(
    data, QUERY(GOOGLEFINANCE(C143,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GOOGLEFINANCE(C143, ""price"")) * 100,
    IF(calc=0, G143, calc)
  ), 
G143)"),"#N/A")</f>
        <v>#N/A</v>
      </c>
      <c r="S143" s="8" t="s">
        <v>15</v>
      </c>
      <c r="T143" s="26" t="str">
        <f>IFERROR(__xludf.DUMMYFUNCTION("IFERROR(TRANSPOSE(QUERY(IFERROR(SORT(GOOGLEFINANCE(C143, ""price"", WORKDAY(TODAY(), -40), TODAY()), 1, FALSE)), ""select Col2 where Col2 is not null limit 22 label Col2 ''"", 0)), """")"),"")</f>
        <v/>
      </c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8"/>
      <c r="AO143" s="28"/>
      <c r="AP143" s="29"/>
      <c r="AQ143" s="29" t="str">
        <f t="shared" ref="AQ143:BL143" si="146">T143/T$2</f>
        <v>#N/A</v>
      </c>
      <c r="AR143" s="29" t="str">
        <f t="shared" si="146"/>
        <v>#DIV/0!</v>
      </c>
      <c r="AS143" s="29" t="str">
        <f t="shared" si="146"/>
        <v>#DIV/0!</v>
      </c>
      <c r="AT143" s="29" t="str">
        <f t="shared" si="146"/>
        <v>#DIV/0!</v>
      </c>
      <c r="AU143" s="29" t="str">
        <f t="shared" si="146"/>
        <v>#DIV/0!</v>
      </c>
      <c r="AV143" s="29" t="str">
        <f t="shared" si="146"/>
        <v>#DIV/0!</v>
      </c>
      <c r="AW143" s="29" t="str">
        <f t="shared" si="146"/>
        <v>#DIV/0!</v>
      </c>
      <c r="AX143" s="29" t="str">
        <f t="shared" si="146"/>
        <v>#DIV/0!</v>
      </c>
      <c r="AY143" s="29" t="str">
        <f t="shared" si="146"/>
        <v>#DIV/0!</v>
      </c>
      <c r="AZ143" s="29" t="str">
        <f t="shared" si="146"/>
        <v>#DIV/0!</v>
      </c>
      <c r="BA143" s="29" t="str">
        <f t="shared" si="146"/>
        <v>#DIV/0!</v>
      </c>
      <c r="BB143" s="29" t="str">
        <f t="shared" si="146"/>
        <v>#DIV/0!</v>
      </c>
      <c r="BC143" s="29" t="str">
        <f t="shared" si="146"/>
        <v>#DIV/0!</v>
      </c>
      <c r="BD143" s="29" t="str">
        <f t="shared" si="146"/>
        <v>#DIV/0!</v>
      </c>
      <c r="BE143" s="29" t="str">
        <f t="shared" si="146"/>
        <v>#DIV/0!</v>
      </c>
      <c r="BF143" s="29" t="str">
        <f t="shared" si="146"/>
        <v>#DIV/0!</v>
      </c>
      <c r="BG143" s="29" t="str">
        <f t="shared" si="146"/>
        <v>#DIV/0!</v>
      </c>
      <c r="BH143" s="29" t="str">
        <f t="shared" si="146"/>
        <v>#DIV/0!</v>
      </c>
      <c r="BI143" s="29" t="str">
        <f t="shared" si="146"/>
        <v>#DIV/0!</v>
      </c>
      <c r="BJ143" s="29" t="str">
        <f t="shared" si="146"/>
        <v>#DIV/0!</v>
      </c>
      <c r="BK143" s="29" t="str">
        <f t="shared" si="146"/>
        <v>#DIV/0!</v>
      </c>
      <c r="BL143" s="29" t="str">
        <f t="shared" si="146"/>
        <v>#DIV/0!</v>
      </c>
      <c r="BM143" s="29" t="str">
        <f t="shared" si="3"/>
        <v>#DIV/0!</v>
      </c>
    </row>
    <row r="144">
      <c r="A144" s="16" t="str">
        <f>IFERROR(__xludf.DUMMYFUNCTION("IFERROR(SPARKLINE(SORT(MAP(TRANSPOSE(AQ144:BL144), LAMBDA(val, IF(ISNUMBER(val), PERCENTRANK(AQ144:BL144, val)+0.01, 0))), SEQUENCE(COLUMNS(AQ144:BL144)), FALSE), {""charttype"",""column""; ""color"",""chartreuse""; ""ymin"", 0; ""ymax"", 1.01; ""highcolo"&amp;"r"", ""darkgreen""; ""lowcolor"", ""red""}), """")"),"")</f>
        <v/>
      </c>
      <c r="B144" s="17" t="str">
        <f t="shared" si="4"/>
        <v/>
      </c>
      <c r="C144" s="1" t="s">
        <v>3172</v>
      </c>
      <c r="D144" s="30" t="str">
        <f>IFERROR(__xludf.DUMMYFUNCTION("IFERROR(GOOGLEFINANCE(C144, ""NAME""))"),"VICI Properties Inc")</f>
        <v>VICI Properties Inc</v>
      </c>
      <c r="E144" s="30" t="s">
        <v>2784</v>
      </c>
      <c r="F144" s="33" t="str">
        <f>IFERROR(__xludf.DUMMYFUNCTION("( (GOOGLEFINANCE(C144, ""price"") - Q144) / Q144 ) / (R144 / 100)"),"Loading...")</f>
        <v>Loading...</v>
      </c>
      <c r="G144" s="20" t="str">
        <f>IFERROR(__xludf.DUMMYFUNCTION("AVERAGE(ARRAYFORMULA(100 * (QUERY(GOOGLEFINANCE(C144, ""high"", TODAY()-40, TODAY()), ""SELECT Col2 WHERE Col2 IS NOT NULL ORDER BY Col1 DESC LIMIT 20"", 0) / QUERY(GOOGLEFINANCE(C144, ""low"", TODAY()-40, TODAY()), ""SELECT Col2 WHERE Col2 IS NOT NULL OR"&amp;"DER BY Col1 DESC LIMIT 20"", 0) - 1)))"),"#N/A")</f>
        <v>#N/A</v>
      </c>
      <c r="H144" s="35" t="str">
        <f t="shared" si="6"/>
        <v>Liquid</v>
      </c>
      <c r="I144" s="35" t="str">
        <f t="shared" si="7"/>
        <v>RVol Required</v>
      </c>
      <c r="J144" s="37">
        <f>IFERROR(__xludf.DUMMYFUNCTION("IFERROR(
  IF(C144="""",, 
    IFERROR(
      GOOGLEFINANCE(C144, ""price"") * GOOGLEFINANCE(C144, ""volumeavg""), 
      GOOGLEFINANCE(C144, ""price"") * AVERAGE(QUERY(GOOGLEFINANCE(C144, ""volume"", TODAY()-40, TODAY()), ""SELECT Col2 WHERE Col2 IS NOT "&amp;"NULL ORDER BY Col1 DESC LIMIT 20"", 0))
    )
  ), 
"""")"),2.527239748E8)</f>
        <v>252723974.8</v>
      </c>
      <c r="K144" s="21">
        <f>IFERROR(__xludf.DUMMYFUNCTION("IFERROR(GOOGLEFINANCE(C144, ""changepct"") / 100, """")"),0.006)</f>
        <v>0.006</v>
      </c>
      <c r="L144" s="21" t="str">
        <f>IFERROR(__xludf.DUMMYFUNCTION("IFERROR((GOOGLEFINANCE(C144, ""price"") / INDEX(GOOGLEFINANCE(C144, ""price"", TODAY()-7, TODAY()), 2, 2)) - 1, """")"),"")</f>
        <v/>
      </c>
      <c r="M144" s="21" t="str">
        <f>IFERROR(__xludf.DUMMYFUNCTION("IFERROR((GOOGLEFINANCE(C144, ""price"") / INDEX(GOOGLEFINANCE(C144, ""price"", EDATE(TODAY(), -1), TODAY()), 2, 2)) - 1, """")"),"")</f>
        <v/>
      </c>
      <c r="N144" s="21" t="str">
        <f>IFERROR(__xludf.DUMMYFUNCTION("IFERROR((GOOGLEFINANCE(C144, ""price"") / INDEX(GOOGLEFINANCE(C144, ""price"", EDATE(TODAY(), -3), TODAY()), 2, 2)) - 1, """")"),"")</f>
        <v/>
      </c>
      <c r="O144" s="21" t="str">
        <f>IFERROR(__xludf.DUMMYFUNCTION("IFERROR((GOOGLEFINANCE(C144, ""price"") / INDEX(GOOGLEFINANCE(C144, ""price"", EDATE(TODAY(), -6), TODAY()), 2, 2)) - 1, """")"),"")</f>
        <v/>
      </c>
      <c r="P144" s="21" t="str">
        <f>IFERROR(__xludf.DUMMYFUNCTION("IFERROR((GOOGLEFINANCE(C144, ""price"") / INDEX(GOOGLEFINANCE(C144, ""price"", EDATE(TODAY(), -12), TODAY()), 2, 2)) - 1, """")"),"")</f>
        <v/>
      </c>
      <c r="Q144" s="6" t="str">
        <f>IFERROR(__xludf.DUMMYFUNCTION("AVERAGE(QUERY(GOOGLEFINANCE(C144, ""price"", TODAY()-80, TODAY()), ""SELECT Col2 WHERE Col2 IS NOT NULL ORDER BY Col1 DESC LIMIT 50"", 0))"),"#N/A")</f>
        <v>#N/A</v>
      </c>
      <c r="R144" s="24" t="str">
        <f>IFERROR(__xludf.DUMMYFUNCTION("IFERROR(
  LET(
    data, QUERY(GOOGLEFINANCE(C144,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GOOGLEFINANCE(C144, ""price"")) * 100,
    IF(calc=0, G144, calc)
  ), 
G144)"),"#N/A")</f>
        <v>#N/A</v>
      </c>
      <c r="S144" s="8" t="s">
        <v>15</v>
      </c>
      <c r="T144" s="26" t="str">
        <f>IFERROR(__xludf.DUMMYFUNCTION("IFERROR(TRANSPOSE(QUERY(IFERROR(SORT(GOOGLEFINANCE(C144, ""price"", WORKDAY(TODAY(), -40), TODAY()), 1, FALSE)), ""select Col2 where Col2 is not null limit 22 label Col2 ''"", 0)), """")"),"")</f>
        <v/>
      </c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8"/>
      <c r="AO144" s="28"/>
      <c r="AP144" s="29"/>
      <c r="AQ144" s="29" t="str">
        <f t="shared" ref="AQ144:BL144" si="147">T144/T$2</f>
        <v>#N/A</v>
      </c>
      <c r="AR144" s="29" t="str">
        <f t="shared" si="147"/>
        <v>#DIV/0!</v>
      </c>
      <c r="AS144" s="29" t="str">
        <f t="shared" si="147"/>
        <v>#DIV/0!</v>
      </c>
      <c r="AT144" s="29" t="str">
        <f t="shared" si="147"/>
        <v>#DIV/0!</v>
      </c>
      <c r="AU144" s="29" t="str">
        <f t="shared" si="147"/>
        <v>#DIV/0!</v>
      </c>
      <c r="AV144" s="29" t="str">
        <f t="shared" si="147"/>
        <v>#DIV/0!</v>
      </c>
      <c r="AW144" s="29" t="str">
        <f t="shared" si="147"/>
        <v>#DIV/0!</v>
      </c>
      <c r="AX144" s="29" t="str">
        <f t="shared" si="147"/>
        <v>#DIV/0!</v>
      </c>
      <c r="AY144" s="29" t="str">
        <f t="shared" si="147"/>
        <v>#DIV/0!</v>
      </c>
      <c r="AZ144" s="29" t="str">
        <f t="shared" si="147"/>
        <v>#DIV/0!</v>
      </c>
      <c r="BA144" s="29" t="str">
        <f t="shared" si="147"/>
        <v>#DIV/0!</v>
      </c>
      <c r="BB144" s="29" t="str">
        <f t="shared" si="147"/>
        <v>#DIV/0!</v>
      </c>
      <c r="BC144" s="29" t="str">
        <f t="shared" si="147"/>
        <v>#DIV/0!</v>
      </c>
      <c r="BD144" s="29" t="str">
        <f t="shared" si="147"/>
        <v>#DIV/0!</v>
      </c>
      <c r="BE144" s="29" t="str">
        <f t="shared" si="147"/>
        <v>#DIV/0!</v>
      </c>
      <c r="BF144" s="29" t="str">
        <f t="shared" si="147"/>
        <v>#DIV/0!</v>
      </c>
      <c r="BG144" s="29" t="str">
        <f t="shared" si="147"/>
        <v>#DIV/0!</v>
      </c>
      <c r="BH144" s="29" t="str">
        <f t="shared" si="147"/>
        <v>#DIV/0!</v>
      </c>
      <c r="BI144" s="29" t="str">
        <f t="shared" si="147"/>
        <v>#DIV/0!</v>
      </c>
      <c r="BJ144" s="29" t="str">
        <f t="shared" si="147"/>
        <v>#DIV/0!</v>
      </c>
      <c r="BK144" s="29" t="str">
        <f t="shared" si="147"/>
        <v>#DIV/0!</v>
      </c>
      <c r="BL144" s="29" t="str">
        <f t="shared" si="147"/>
        <v>#DIV/0!</v>
      </c>
      <c r="BM144" s="29" t="str">
        <f t="shared" si="3"/>
        <v>#DIV/0!</v>
      </c>
    </row>
    <row r="145">
      <c r="A145" s="16" t="str">
        <f>IFERROR(__xludf.DUMMYFUNCTION("IFERROR(SPARKLINE(SORT(MAP(TRANSPOSE(AQ145:BL145), LAMBDA(val, IF(ISNUMBER(val), PERCENTRANK(AQ145:BL145, val)+0.01, 0))), SEQUENCE(COLUMNS(AQ145:BL145)), FALSE), {""charttype"",""column""; ""color"",""chartreuse""; ""ymin"", 0; ""ymax"", 1.01; ""highcolo"&amp;"r"", ""darkgreen""; ""lowcolor"", ""red""}), """")"),"")</f>
        <v/>
      </c>
      <c r="B145" s="17" t="str">
        <f t="shared" si="4"/>
        <v/>
      </c>
      <c r="C145" s="1" t="s">
        <v>3175</v>
      </c>
      <c r="D145" s="30" t="str">
        <f>IFERROR(__xludf.DUMMYFUNCTION("IFERROR(GOOGLEFINANCE(C145, ""NAME""))"),"Cushman &amp; Wakefield Ltd")</f>
        <v>Cushman &amp; Wakefield Ltd</v>
      </c>
      <c r="E145" s="30" t="s">
        <v>2692</v>
      </c>
      <c r="F145" s="33" t="str">
        <f>IFERROR(__xludf.DUMMYFUNCTION("( (GOOGLEFINANCE(C145, ""price"") - Q145) / Q145 ) / (R145 / 100)"),"Loading...")</f>
        <v>Loading...</v>
      </c>
      <c r="G145" s="20" t="str">
        <f>IFERROR(__xludf.DUMMYFUNCTION("AVERAGE(ARRAYFORMULA(100 * (QUERY(GOOGLEFINANCE(C145, ""high"", TODAY()-40, TODAY()), ""SELECT Col2 WHERE Col2 IS NOT NULL ORDER BY Col1 DESC LIMIT 20"", 0) / QUERY(GOOGLEFINANCE(C145, ""low"", TODAY()-40, TODAY()), ""SELECT Col2 WHERE Col2 IS NOT NULL OR"&amp;"DER BY Col1 DESC LIMIT 20"", 0) - 1)))"),"#N/A")</f>
        <v>#N/A</v>
      </c>
      <c r="H145" s="35" t="str">
        <f t="shared" si="6"/>
        <v>Illiquid</v>
      </c>
      <c r="I145" s="35" t="str">
        <f t="shared" si="7"/>
        <v>RVol Required</v>
      </c>
      <c r="J145" s="37">
        <f>IFERROR(__xludf.DUMMYFUNCTION("IFERROR(
  IF(C145="""",, 
    IFERROR(
      GOOGLEFINANCE(C145, ""price"") * GOOGLEFINANCE(C145, ""volumeavg""), 
      GOOGLEFINANCE(C145, ""price"") * AVERAGE(QUERY(GOOGLEFINANCE(C145, ""volume"", TODAY()-40, TODAY()), ""SELECT Col2 WHERE Col2 IS NOT "&amp;"NULL ORDER BY Col1 DESC LIMIT 20"", 0))
    )
  ), 
"""")"),2.8196302400000002E7)</f>
        <v>28196302.4</v>
      </c>
      <c r="K145" s="21">
        <f>IFERROR(__xludf.DUMMYFUNCTION("IFERROR(GOOGLEFINANCE(C145, ""changepct"") / 100, """")"),-0.026699999999999998)</f>
        <v>-0.0267</v>
      </c>
      <c r="L145" s="21" t="str">
        <f>IFERROR(__xludf.DUMMYFUNCTION("IFERROR((GOOGLEFINANCE(C145, ""price"") / INDEX(GOOGLEFINANCE(C145, ""price"", TODAY()-7, TODAY()), 2, 2)) - 1, """")"),"")</f>
        <v/>
      </c>
      <c r="M145" s="21" t="str">
        <f>IFERROR(__xludf.DUMMYFUNCTION("IFERROR((GOOGLEFINANCE(C145, ""price"") / INDEX(GOOGLEFINANCE(C145, ""price"", EDATE(TODAY(), -1), TODAY()), 2, 2)) - 1, """")"),"")</f>
        <v/>
      </c>
      <c r="N145" s="21" t="str">
        <f>IFERROR(__xludf.DUMMYFUNCTION("IFERROR((GOOGLEFINANCE(C145, ""price"") / INDEX(GOOGLEFINANCE(C145, ""price"", EDATE(TODAY(), -3), TODAY()), 2, 2)) - 1, """")"),"")</f>
        <v/>
      </c>
      <c r="O145" s="21" t="str">
        <f>IFERROR(__xludf.DUMMYFUNCTION("IFERROR((GOOGLEFINANCE(C145, ""price"") / INDEX(GOOGLEFINANCE(C145, ""price"", EDATE(TODAY(), -6), TODAY()), 2, 2)) - 1, """")"),"")</f>
        <v/>
      </c>
      <c r="P145" s="21" t="str">
        <f>IFERROR(__xludf.DUMMYFUNCTION("IFERROR((GOOGLEFINANCE(C145, ""price"") / INDEX(GOOGLEFINANCE(C145, ""price"", EDATE(TODAY(), -12), TODAY()), 2, 2)) - 1, """")"),"")</f>
        <v/>
      </c>
      <c r="Q145" s="6" t="str">
        <f>IFERROR(__xludf.DUMMYFUNCTION("AVERAGE(QUERY(GOOGLEFINANCE(C145, ""price"", TODAY()-80, TODAY()), ""SELECT Col2 WHERE Col2 IS NOT NULL ORDER BY Col1 DESC LIMIT 50"", 0))"),"#N/A")</f>
        <v>#N/A</v>
      </c>
      <c r="R145" s="24" t="str">
        <f>IFERROR(__xludf.DUMMYFUNCTION("IFERROR(
  LET(
    data, QUERY(GOOGLEFINANCE(C145,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GOOGLEFINANCE(C145, ""price"")) * 100,
    IF(calc=0, G145, calc)
  ), 
G145)"),"#N/A")</f>
        <v>#N/A</v>
      </c>
      <c r="S145" s="8" t="s">
        <v>15</v>
      </c>
      <c r="T145" s="26" t="str">
        <f>IFERROR(__xludf.DUMMYFUNCTION("IFERROR(TRANSPOSE(QUERY(IFERROR(SORT(GOOGLEFINANCE(C145, ""price"", WORKDAY(TODAY(), -40), TODAY()), 1, FALSE)), ""select Col2 where Col2 is not null limit 22 label Col2 ''"", 0)), """")"),"")</f>
        <v/>
      </c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8"/>
      <c r="AO145" s="28"/>
      <c r="AP145" s="29"/>
      <c r="AQ145" s="29" t="str">
        <f t="shared" ref="AQ145:BL145" si="148">T145/T$2</f>
        <v>#N/A</v>
      </c>
      <c r="AR145" s="29" t="str">
        <f t="shared" si="148"/>
        <v>#DIV/0!</v>
      </c>
      <c r="AS145" s="29" t="str">
        <f t="shared" si="148"/>
        <v>#DIV/0!</v>
      </c>
      <c r="AT145" s="29" t="str">
        <f t="shared" si="148"/>
        <v>#DIV/0!</v>
      </c>
      <c r="AU145" s="29" t="str">
        <f t="shared" si="148"/>
        <v>#DIV/0!</v>
      </c>
      <c r="AV145" s="29" t="str">
        <f t="shared" si="148"/>
        <v>#DIV/0!</v>
      </c>
      <c r="AW145" s="29" t="str">
        <f t="shared" si="148"/>
        <v>#DIV/0!</v>
      </c>
      <c r="AX145" s="29" t="str">
        <f t="shared" si="148"/>
        <v>#DIV/0!</v>
      </c>
      <c r="AY145" s="29" t="str">
        <f t="shared" si="148"/>
        <v>#DIV/0!</v>
      </c>
      <c r="AZ145" s="29" t="str">
        <f t="shared" si="148"/>
        <v>#DIV/0!</v>
      </c>
      <c r="BA145" s="29" t="str">
        <f t="shared" si="148"/>
        <v>#DIV/0!</v>
      </c>
      <c r="BB145" s="29" t="str">
        <f t="shared" si="148"/>
        <v>#DIV/0!</v>
      </c>
      <c r="BC145" s="29" t="str">
        <f t="shared" si="148"/>
        <v>#DIV/0!</v>
      </c>
      <c r="BD145" s="29" t="str">
        <f t="shared" si="148"/>
        <v>#DIV/0!</v>
      </c>
      <c r="BE145" s="29" t="str">
        <f t="shared" si="148"/>
        <v>#DIV/0!</v>
      </c>
      <c r="BF145" s="29" t="str">
        <f t="shared" si="148"/>
        <v>#DIV/0!</v>
      </c>
      <c r="BG145" s="29" t="str">
        <f t="shared" si="148"/>
        <v>#DIV/0!</v>
      </c>
      <c r="BH145" s="29" t="str">
        <f t="shared" si="148"/>
        <v>#DIV/0!</v>
      </c>
      <c r="BI145" s="29" t="str">
        <f t="shared" si="148"/>
        <v>#DIV/0!</v>
      </c>
      <c r="BJ145" s="29" t="str">
        <f t="shared" si="148"/>
        <v>#DIV/0!</v>
      </c>
      <c r="BK145" s="29" t="str">
        <f t="shared" si="148"/>
        <v>#DIV/0!</v>
      </c>
      <c r="BL145" s="29" t="str">
        <f t="shared" si="148"/>
        <v>#DIV/0!</v>
      </c>
      <c r="BM145" s="29" t="str">
        <f t="shared" si="3"/>
        <v>#DIV/0!</v>
      </c>
    </row>
    <row r="146">
      <c r="A146" s="16" t="str">
        <f>IFERROR(__xludf.DUMMYFUNCTION("IFERROR(SPARKLINE(SORT(MAP(TRANSPOSE(AQ146:BL146), LAMBDA(val, IF(ISNUMBER(val), PERCENTRANK(AQ146:BL146, val)+0.01, 0))), SEQUENCE(COLUMNS(AQ146:BL146)), FALSE), {""charttype"",""column""; ""color"",""chartreuse""; ""ymin"", 0; ""ymax"", 1.01; ""highcolo"&amp;"r"", ""darkgreen""; ""lowcolor"", ""red""}), """")"),"")</f>
        <v/>
      </c>
      <c r="B146" s="17" t="str">
        <f t="shared" si="4"/>
        <v/>
      </c>
      <c r="C146" s="1" t="s">
        <v>3177</v>
      </c>
      <c r="D146" s="30" t="str">
        <f>IFERROR(__xludf.DUMMYFUNCTION("IFERROR(GOOGLEFINANCE(C146, ""NAME""))"),"Smith Douglas Homes Corp")</f>
        <v>Smith Douglas Homes Corp</v>
      </c>
      <c r="E146" s="30" t="s">
        <v>3164</v>
      </c>
      <c r="F146" s="33" t="str">
        <f>IFERROR(__xludf.DUMMYFUNCTION("( (GOOGLEFINANCE(C146, ""price"") - Q146) / Q146 ) / (R146 / 100)"),"Loading...")</f>
        <v>Loading...</v>
      </c>
      <c r="G146" s="20" t="str">
        <f>IFERROR(__xludf.DUMMYFUNCTION("AVERAGE(ARRAYFORMULA(100 * (QUERY(GOOGLEFINANCE(C146, ""high"", TODAY()-40, TODAY()), ""SELECT Col2 WHERE Col2 IS NOT NULL ORDER BY Col1 DESC LIMIT 20"", 0) / QUERY(GOOGLEFINANCE(C146, ""low"", TODAY()-40, TODAY()), ""SELECT Col2 WHERE Col2 IS NOT NULL OR"&amp;"DER BY Col1 DESC LIMIT 20"", 0) - 1)))"),"#N/A")</f>
        <v>#N/A</v>
      </c>
      <c r="H146" s="35" t="str">
        <f t="shared" si="6"/>
        <v>Illiquid</v>
      </c>
      <c r="I146" s="35" t="str">
        <f t="shared" si="7"/>
        <v>RVol Required</v>
      </c>
      <c r="J146" s="37">
        <f>IFERROR(__xludf.DUMMYFUNCTION("IFERROR(
  IF(C146="""",, 
    IFERROR(
      GOOGLEFINANCE(C146, ""price"") * GOOGLEFINANCE(C146, ""volumeavg""), 
      GOOGLEFINANCE(C146, ""price"") * AVERAGE(QUERY(GOOGLEFINANCE(C146, ""volume"", TODAY()-40, TODAY()), ""SELECT Col2 WHERE Col2 IS NOT "&amp;"NULL ORDER BY Col1 DESC LIMIT 20"", 0))
    )
  ), 
"""")"),514238.4)</f>
        <v>514238.4</v>
      </c>
      <c r="K146" s="21">
        <f>IFERROR(__xludf.DUMMYFUNCTION("IFERROR(GOOGLEFINANCE(C146, ""changepct"") / 100, """")"),-0.0048)</f>
        <v>-0.0048</v>
      </c>
      <c r="L146" s="21" t="str">
        <f>IFERROR(__xludf.DUMMYFUNCTION("IFERROR((GOOGLEFINANCE(C146, ""price"") / INDEX(GOOGLEFINANCE(C146, ""price"", TODAY()-7, TODAY()), 2, 2)) - 1, """")"),"")</f>
        <v/>
      </c>
      <c r="M146" s="21" t="str">
        <f>IFERROR(__xludf.DUMMYFUNCTION("IFERROR((GOOGLEFINANCE(C146, ""price"") / INDEX(GOOGLEFINANCE(C146, ""price"", EDATE(TODAY(), -1), TODAY()), 2, 2)) - 1, """")"),"")</f>
        <v/>
      </c>
      <c r="N146" s="21" t="str">
        <f>IFERROR(__xludf.DUMMYFUNCTION("IFERROR((GOOGLEFINANCE(C146, ""price"") / INDEX(GOOGLEFINANCE(C146, ""price"", EDATE(TODAY(), -3), TODAY()), 2, 2)) - 1, """")"),"")</f>
        <v/>
      </c>
      <c r="O146" s="21" t="str">
        <f>IFERROR(__xludf.DUMMYFUNCTION("IFERROR((GOOGLEFINANCE(C146, ""price"") / INDEX(GOOGLEFINANCE(C146, ""price"", EDATE(TODAY(), -6), TODAY()), 2, 2)) - 1, """")"),"")</f>
        <v/>
      </c>
      <c r="P146" s="21" t="str">
        <f>IFERROR(__xludf.DUMMYFUNCTION("IFERROR((GOOGLEFINANCE(C146, ""price"") / INDEX(GOOGLEFINANCE(C146, ""price"", EDATE(TODAY(), -12), TODAY()), 2, 2)) - 1, """")"),"")</f>
        <v/>
      </c>
      <c r="Q146" s="6" t="str">
        <f>IFERROR(__xludf.DUMMYFUNCTION("AVERAGE(QUERY(GOOGLEFINANCE(C146, ""price"", TODAY()-80, TODAY()), ""SELECT Col2 WHERE Col2 IS NOT NULL ORDER BY Col1 DESC LIMIT 50"", 0))"),"#N/A")</f>
        <v>#N/A</v>
      </c>
      <c r="R146" s="24" t="str">
        <f>IFERROR(__xludf.DUMMYFUNCTION("IFERROR(
  LET(
    data, QUERY(GOOGLEFINANCE(C146,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GOOGLEFINANCE(C146, ""price"")) * 100,
    IF(calc=0, G146, calc)
  ), 
G146)"),"#N/A")</f>
        <v>#N/A</v>
      </c>
      <c r="S146" s="8" t="s">
        <v>15</v>
      </c>
      <c r="T146" s="26" t="str">
        <f>IFERROR(__xludf.DUMMYFUNCTION("IFERROR(TRANSPOSE(QUERY(IFERROR(SORT(GOOGLEFINANCE(C146, ""price"", WORKDAY(TODAY(), -40), TODAY()), 1, FALSE)), ""select Col2 where Col2 is not null limit 22 label Col2 ''"", 0)), """")"),"")</f>
        <v/>
      </c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8"/>
      <c r="AO146" s="28"/>
      <c r="AP146" s="29"/>
      <c r="AQ146" s="29" t="str">
        <f t="shared" ref="AQ146:BL146" si="149">T146/T$2</f>
        <v>#N/A</v>
      </c>
      <c r="AR146" s="29" t="str">
        <f t="shared" si="149"/>
        <v>#DIV/0!</v>
      </c>
      <c r="AS146" s="29" t="str">
        <f t="shared" si="149"/>
        <v>#DIV/0!</v>
      </c>
      <c r="AT146" s="29" t="str">
        <f t="shared" si="149"/>
        <v>#DIV/0!</v>
      </c>
      <c r="AU146" s="29" t="str">
        <f t="shared" si="149"/>
        <v>#DIV/0!</v>
      </c>
      <c r="AV146" s="29" t="str">
        <f t="shared" si="149"/>
        <v>#DIV/0!</v>
      </c>
      <c r="AW146" s="29" t="str">
        <f t="shared" si="149"/>
        <v>#DIV/0!</v>
      </c>
      <c r="AX146" s="29" t="str">
        <f t="shared" si="149"/>
        <v>#DIV/0!</v>
      </c>
      <c r="AY146" s="29" t="str">
        <f t="shared" si="149"/>
        <v>#DIV/0!</v>
      </c>
      <c r="AZ146" s="29" t="str">
        <f t="shared" si="149"/>
        <v>#DIV/0!</v>
      </c>
      <c r="BA146" s="29" t="str">
        <f t="shared" si="149"/>
        <v>#DIV/0!</v>
      </c>
      <c r="BB146" s="29" t="str">
        <f t="shared" si="149"/>
        <v>#DIV/0!</v>
      </c>
      <c r="BC146" s="29" t="str">
        <f t="shared" si="149"/>
        <v>#DIV/0!</v>
      </c>
      <c r="BD146" s="29" t="str">
        <f t="shared" si="149"/>
        <v>#DIV/0!</v>
      </c>
      <c r="BE146" s="29" t="str">
        <f t="shared" si="149"/>
        <v>#DIV/0!</v>
      </c>
      <c r="BF146" s="29" t="str">
        <f t="shared" si="149"/>
        <v>#DIV/0!</v>
      </c>
      <c r="BG146" s="29" t="str">
        <f t="shared" si="149"/>
        <v>#DIV/0!</v>
      </c>
      <c r="BH146" s="29" t="str">
        <f t="shared" si="149"/>
        <v>#DIV/0!</v>
      </c>
      <c r="BI146" s="29" t="str">
        <f t="shared" si="149"/>
        <v>#DIV/0!</v>
      </c>
      <c r="BJ146" s="29" t="str">
        <f t="shared" si="149"/>
        <v>#DIV/0!</v>
      </c>
      <c r="BK146" s="29" t="str">
        <f t="shared" si="149"/>
        <v>#DIV/0!</v>
      </c>
      <c r="BL146" s="29" t="str">
        <f t="shared" si="149"/>
        <v>#DIV/0!</v>
      </c>
      <c r="BM146" s="29" t="str">
        <f t="shared" si="3"/>
        <v>#DIV/0!</v>
      </c>
    </row>
    <row r="147">
      <c r="A147" s="16" t="str">
        <f>IFERROR(__xludf.DUMMYFUNCTION("IFERROR(SPARKLINE(SORT(MAP(TRANSPOSE(AQ147:BL147), LAMBDA(val, IF(ISNUMBER(val), PERCENTRANK(AQ147:BL147, val)+0.01, 0))), SEQUENCE(COLUMNS(AQ147:BL147)), FALSE), {""charttype"",""column""; ""color"",""chartreuse""; ""ymin"", 0; ""ymax"", 1.01; ""highcolo"&amp;"r"", ""darkgreen""; ""lowcolor"", ""red""}), """")"),"")</f>
        <v/>
      </c>
      <c r="B147" s="17" t="str">
        <f t="shared" si="4"/>
        <v/>
      </c>
      <c r="C147" s="1" t="s">
        <v>3180</v>
      </c>
      <c r="D147" s="30" t="str">
        <f>IFERROR(__xludf.DUMMYFUNCTION("IFERROR(GOOGLEFINANCE(C147, ""NAME""))"),"Maui Land &amp; Pineapple Company Inc")</f>
        <v>Maui Land &amp; Pineapple Company Inc</v>
      </c>
      <c r="E147" s="30" t="s">
        <v>2692</v>
      </c>
      <c r="F147" s="33" t="str">
        <f>IFERROR(__xludf.DUMMYFUNCTION("( (GOOGLEFINANCE(C147, ""price"") - Q147) / Q147 ) / (R147 / 100)"),"Loading...")</f>
        <v>Loading...</v>
      </c>
      <c r="G147" s="20" t="str">
        <f>IFERROR(__xludf.DUMMYFUNCTION("AVERAGE(ARRAYFORMULA(100 * (QUERY(GOOGLEFINANCE(C147, ""high"", TODAY()-40, TODAY()), ""SELECT Col2 WHERE Col2 IS NOT NULL ORDER BY Col1 DESC LIMIT 20"", 0) / QUERY(GOOGLEFINANCE(C147, ""low"", TODAY()-40, TODAY()), ""SELECT Col2 WHERE Col2 IS NOT NULL OR"&amp;"DER BY Col1 DESC LIMIT 20"", 0) - 1)))"),"#N/A")</f>
        <v>#N/A</v>
      </c>
      <c r="H147" s="35" t="str">
        <f t="shared" si="6"/>
        <v>Illiquid</v>
      </c>
      <c r="I147" s="35" t="str">
        <f t="shared" si="7"/>
        <v>RVol Required</v>
      </c>
      <c r="J147" s="37">
        <f>IFERROR(__xludf.DUMMYFUNCTION("IFERROR(
  IF(C147="""",, 
    IFERROR(
      GOOGLEFINANCE(C147, ""price"") * GOOGLEFINANCE(C147, ""volumeavg""), 
      GOOGLEFINANCE(C147, ""price"") * AVERAGE(QUERY(GOOGLEFINANCE(C147, ""volume"", TODAY()-40, TODAY()), ""SELECT Col2 WHERE Col2 IS NOT "&amp;"NULL ORDER BY Col1 DESC LIMIT 20"", 0))
    )
  ), 
"""")"),233759.4)</f>
        <v>233759.4</v>
      </c>
      <c r="K147" s="21">
        <f>IFERROR(__xludf.DUMMYFUNCTION("IFERROR(GOOGLEFINANCE(C147, ""changepct"") / 100, """")"),-0.0027)</f>
        <v>-0.0027</v>
      </c>
      <c r="L147" s="21" t="str">
        <f>IFERROR(__xludf.DUMMYFUNCTION("IFERROR((GOOGLEFINANCE(C147, ""price"") / INDEX(GOOGLEFINANCE(C147, ""price"", TODAY()-7, TODAY()), 2, 2)) - 1, """")"),"")</f>
        <v/>
      </c>
      <c r="M147" s="21" t="str">
        <f>IFERROR(__xludf.DUMMYFUNCTION("IFERROR((GOOGLEFINANCE(C147, ""price"") / INDEX(GOOGLEFINANCE(C147, ""price"", EDATE(TODAY(), -1), TODAY()), 2, 2)) - 1, """")"),"")</f>
        <v/>
      </c>
      <c r="N147" s="21" t="str">
        <f>IFERROR(__xludf.DUMMYFUNCTION("IFERROR((GOOGLEFINANCE(C147, ""price"") / INDEX(GOOGLEFINANCE(C147, ""price"", EDATE(TODAY(), -3), TODAY()), 2, 2)) - 1, """")"),"")</f>
        <v/>
      </c>
      <c r="O147" s="21" t="str">
        <f>IFERROR(__xludf.DUMMYFUNCTION("IFERROR((GOOGLEFINANCE(C147, ""price"") / INDEX(GOOGLEFINANCE(C147, ""price"", EDATE(TODAY(), -6), TODAY()), 2, 2)) - 1, """")"),"")</f>
        <v/>
      </c>
      <c r="P147" s="21" t="str">
        <f>IFERROR(__xludf.DUMMYFUNCTION("IFERROR((GOOGLEFINANCE(C147, ""price"") / INDEX(GOOGLEFINANCE(C147, ""price"", EDATE(TODAY(), -12), TODAY()), 2, 2)) - 1, """")"),"")</f>
        <v/>
      </c>
      <c r="Q147" s="6" t="str">
        <f>IFERROR(__xludf.DUMMYFUNCTION("AVERAGE(QUERY(GOOGLEFINANCE(C147, ""price"", TODAY()-80, TODAY()), ""SELECT Col2 WHERE Col2 IS NOT NULL ORDER BY Col1 DESC LIMIT 50"", 0))"),"#N/A")</f>
        <v>#N/A</v>
      </c>
      <c r="R147" s="24" t="str">
        <f>IFERROR(__xludf.DUMMYFUNCTION("IFERROR(
  LET(
    data, QUERY(GOOGLEFINANCE(C147,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GOOGLEFINANCE(C147, ""price"")) * 100,
    IF(calc=0, G147, calc)
  ), 
G147)"),"#N/A")</f>
        <v>#N/A</v>
      </c>
      <c r="S147" s="8" t="s">
        <v>15</v>
      </c>
      <c r="T147" s="26" t="str">
        <f>IFERROR(__xludf.DUMMYFUNCTION("IFERROR(TRANSPOSE(QUERY(IFERROR(SORT(GOOGLEFINANCE(C147, ""price"", WORKDAY(TODAY(), -40), TODAY()), 1, FALSE)), ""select Col2 where Col2 is not null limit 22 label Col2 ''"", 0)), """")"),"")</f>
        <v/>
      </c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8"/>
      <c r="AO147" s="28"/>
      <c r="AP147" s="29"/>
      <c r="AQ147" s="29" t="str">
        <f t="shared" ref="AQ147:BL147" si="150">T147/T$2</f>
        <v>#N/A</v>
      </c>
      <c r="AR147" s="29" t="str">
        <f t="shared" si="150"/>
        <v>#DIV/0!</v>
      </c>
      <c r="AS147" s="29" t="str">
        <f t="shared" si="150"/>
        <v>#DIV/0!</v>
      </c>
      <c r="AT147" s="29" t="str">
        <f t="shared" si="150"/>
        <v>#DIV/0!</v>
      </c>
      <c r="AU147" s="29" t="str">
        <f t="shared" si="150"/>
        <v>#DIV/0!</v>
      </c>
      <c r="AV147" s="29" t="str">
        <f t="shared" si="150"/>
        <v>#DIV/0!</v>
      </c>
      <c r="AW147" s="29" t="str">
        <f t="shared" si="150"/>
        <v>#DIV/0!</v>
      </c>
      <c r="AX147" s="29" t="str">
        <f t="shared" si="150"/>
        <v>#DIV/0!</v>
      </c>
      <c r="AY147" s="29" t="str">
        <f t="shared" si="150"/>
        <v>#DIV/0!</v>
      </c>
      <c r="AZ147" s="29" t="str">
        <f t="shared" si="150"/>
        <v>#DIV/0!</v>
      </c>
      <c r="BA147" s="29" t="str">
        <f t="shared" si="150"/>
        <v>#DIV/0!</v>
      </c>
      <c r="BB147" s="29" t="str">
        <f t="shared" si="150"/>
        <v>#DIV/0!</v>
      </c>
      <c r="BC147" s="29" t="str">
        <f t="shared" si="150"/>
        <v>#DIV/0!</v>
      </c>
      <c r="BD147" s="29" t="str">
        <f t="shared" si="150"/>
        <v>#DIV/0!</v>
      </c>
      <c r="BE147" s="29" t="str">
        <f t="shared" si="150"/>
        <v>#DIV/0!</v>
      </c>
      <c r="BF147" s="29" t="str">
        <f t="shared" si="150"/>
        <v>#DIV/0!</v>
      </c>
      <c r="BG147" s="29" t="str">
        <f t="shared" si="150"/>
        <v>#DIV/0!</v>
      </c>
      <c r="BH147" s="29" t="str">
        <f t="shared" si="150"/>
        <v>#DIV/0!</v>
      </c>
      <c r="BI147" s="29" t="str">
        <f t="shared" si="150"/>
        <v>#DIV/0!</v>
      </c>
      <c r="BJ147" s="29" t="str">
        <f t="shared" si="150"/>
        <v>#DIV/0!</v>
      </c>
      <c r="BK147" s="29" t="str">
        <f t="shared" si="150"/>
        <v>#DIV/0!</v>
      </c>
      <c r="BL147" s="29" t="str">
        <f t="shared" si="150"/>
        <v>#DIV/0!</v>
      </c>
      <c r="BM147" s="29" t="str">
        <f t="shared" si="3"/>
        <v>#DIV/0!</v>
      </c>
    </row>
    <row r="148">
      <c r="A148" s="16" t="str">
        <f>IFERROR(__xludf.DUMMYFUNCTION("IFERROR(SPARKLINE(SORT(MAP(TRANSPOSE(AQ148:BL148), LAMBDA(val, IF(ISNUMBER(val), PERCENTRANK(AQ148:BL148, val)+0.01, 0))), SEQUENCE(COLUMNS(AQ148:BL148)), FALSE), {""charttype"",""column""; ""color"",""chartreuse""; ""ymin"", 0; ""ymax"", 1.01; ""highcolo"&amp;"r"", ""darkgreen""; ""lowcolor"", ""red""}), """")"),"")</f>
        <v/>
      </c>
      <c r="B148" s="17" t="str">
        <f t="shared" si="4"/>
        <v/>
      </c>
      <c r="C148" s="1" t="s">
        <v>3182</v>
      </c>
      <c r="D148" s="30" t="str">
        <f>IFERROR(__xludf.DUMMYFUNCTION("IFERROR(GOOGLEFINANCE(C148, ""NAME""))"),"UMH Properties Inc")</f>
        <v>UMH Properties Inc</v>
      </c>
      <c r="E148" s="30" t="s">
        <v>2760</v>
      </c>
      <c r="F148" s="33" t="str">
        <f>IFERROR(__xludf.DUMMYFUNCTION("( (GOOGLEFINANCE(C148, ""price"") - Q148) / Q148 ) / (R148 / 100)"),"Loading...")</f>
        <v>Loading...</v>
      </c>
      <c r="G148" s="20" t="str">
        <f>IFERROR(__xludf.DUMMYFUNCTION("AVERAGE(ARRAYFORMULA(100 * (QUERY(GOOGLEFINANCE(C148, ""high"", TODAY()-40, TODAY()), ""SELECT Col2 WHERE Col2 IS NOT NULL ORDER BY Col1 DESC LIMIT 20"", 0) / QUERY(GOOGLEFINANCE(C148, ""low"", TODAY()-40, TODAY()), ""SELECT Col2 WHERE Col2 IS NOT NULL OR"&amp;"DER BY Col1 DESC LIMIT 20"", 0) - 1)))"),"#N/A")</f>
        <v>#N/A</v>
      </c>
      <c r="H148" s="35" t="str">
        <f t="shared" si="6"/>
        <v>Illiquid</v>
      </c>
      <c r="I148" s="35" t="str">
        <f t="shared" si="7"/>
        <v>RVol Required</v>
      </c>
      <c r="J148" s="37">
        <f>IFERROR(__xludf.DUMMYFUNCTION("IFERROR(
  IF(C148="""",, 
    IFERROR(
      GOOGLEFINANCE(C148, ""price"") * GOOGLEFINANCE(C148, ""volumeavg""), 
      GOOGLEFINANCE(C148, ""price"") * AVERAGE(QUERY(GOOGLEFINANCE(C148, ""volume"", TODAY()-40, TODAY()), ""SELECT Col2 WHERE Col2 IS NOT "&amp;"NULL ORDER BY Col1 DESC LIMIT 20"", 0))
    )
  ), 
"""")"),9651507.24)</f>
        <v>9651507.24</v>
      </c>
      <c r="K148" s="21">
        <f>IFERROR(__xludf.DUMMYFUNCTION("IFERROR(GOOGLEFINANCE(C148, ""changepct"") / 100, """")"),0.0013)</f>
        <v>0.0013</v>
      </c>
      <c r="L148" s="21" t="str">
        <f>IFERROR(__xludf.DUMMYFUNCTION("IFERROR((GOOGLEFINANCE(C148, ""price"") / INDEX(GOOGLEFINANCE(C148, ""price"", TODAY()-7, TODAY()), 2, 2)) - 1, """")"),"")</f>
        <v/>
      </c>
      <c r="M148" s="21" t="str">
        <f>IFERROR(__xludf.DUMMYFUNCTION("IFERROR((GOOGLEFINANCE(C148, ""price"") / INDEX(GOOGLEFINANCE(C148, ""price"", EDATE(TODAY(), -1), TODAY()), 2, 2)) - 1, """")"),"")</f>
        <v/>
      </c>
      <c r="N148" s="21" t="str">
        <f>IFERROR(__xludf.DUMMYFUNCTION("IFERROR((GOOGLEFINANCE(C148, ""price"") / INDEX(GOOGLEFINANCE(C148, ""price"", EDATE(TODAY(), -3), TODAY()), 2, 2)) - 1, """")"),"")</f>
        <v/>
      </c>
      <c r="O148" s="21" t="str">
        <f>IFERROR(__xludf.DUMMYFUNCTION("IFERROR((GOOGLEFINANCE(C148, ""price"") / INDEX(GOOGLEFINANCE(C148, ""price"", EDATE(TODAY(), -6), TODAY()), 2, 2)) - 1, """")"),"")</f>
        <v/>
      </c>
      <c r="P148" s="21" t="str">
        <f>IFERROR(__xludf.DUMMYFUNCTION("IFERROR((GOOGLEFINANCE(C148, ""price"") / INDEX(GOOGLEFINANCE(C148, ""price"", EDATE(TODAY(), -12), TODAY()), 2, 2)) - 1, """")"),"")</f>
        <v/>
      </c>
      <c r="Q148" s="6" t="str">
        <f>IFERROR(__xludf.DUMMYFUNCTION("AVERAGE(QUERY(GOOGLEFINANCE(C148, ""price"", TODAY()-80, TODAY()), ""SELECT Col2 WHERE Col2 IS NOT NULL ORDER BY Col1 DESC LIMIT 50"", 0))"),"#N/A")</f>
        <v>#N/A</v>
      </c>
      <c r="R148" s="24" t="str">
        <f>IFERROR(__xludf.DUMMYFUNCTION("IFERROR(
  LET(
    data, QUERY(GOOGLEFINANCE(C148,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GOOGLEFINANCE(C148, ""price"")) * 100,
    IF(calc=0, G148, calc)
  ), 
G148)"),"#N/A")</f>
        <v>#N/A</v>
      </c>
      <c r="S148" s="8" t="s">
        <v>15</v>
      </c>
      <c r="T148" s="26" t="str">
        <f>IFERROR(__xludf.DUMMYFUNCTION("IFERROR(TRANSPOSE(QUERY(IFERROR(SORT(GOOGLEFINANCE(C148, ""price"", WORKDAY(TODAY(), -40), TODAY()), 1, FALSE)), ""select Col2 where Col2 is not null limit 22 label Col2 ''"", 0)), """")"),"")</f>
        <v/>
      </c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8"/>
      <c r="AO148" s="28"/>
      <c r="AP148" s="29"/>
      <c r="AQ148" s="29" t="str">
        <f t="shared" ref="AQ148:BL148" si="151">T148/T$2</f>
        <v>#N/A</v>
      </c>
      <c r="AR148" s="29" t="str">
        <f t="shared" si="151"/>
        <v>#DIV/0!</v>
      </c>
      <c r="AS148" s="29" t="str">
        <f t="shared" si="151"/>
        <v>#DIV/0!</v>
      </c>
      <c r="AT148" s="29" t="str">
        <f t="shared" si="151"/>
        <v>#DIV/0!</v>
      </c>
      <c r="AU148" s="29" t="str">
        <f t="shared" si="151"/>
        <v>#DIV/0!</v>
      </c>
      <c r="AV148" s="29" t="str">
        <f t="shared" si="151"/>
        <v>#DIV/0!</v>
      </c>
      <c r="AW148" s="29" t="str">
        <f t="shared" si="151"/>
        <v>#DIV/0!</v>
      </c>
      <c r="AX148" s="29" t="str">
        <f t="shared" si="151"/>
        <v>#DIV/0!</v>
      </c>
      <c r="AY148" s="29" t="str">
        <f t="shared" si="151"/>
        <v>#DIV/0!</v>
      </c>
      <c r="AZ148" s="29" t="str">
        <f t="shared" si="151"/>
        <v>#DIV/0!</v>
      </c>
      <c r="BA148" s="29" t="str">
        <f t="shared" si="151"/>
        <v>#DIV/0!</v>
      </c>
      <c r="BB148" s="29" t="str">
        <f t="shared" si="151"/>
        <v>#DIV/0!</v>
      </c>
      <c r="BC148" s="29" t="str">
        <f t="shared" si="151"/>
        <v>#DIV/0!</v>
      </c>
      <c r="BD148" s="29" t="str">
        <f t="shared" si="151"/>
        <v>#DIV/0!</v>
      </c>
      <c r="BE148" s="29" t="str">
        <f t="shared" si="151"/>
        <v>#DIV/0!</v>
      </c>
      <c r="BF148" s="29" t="str">
        <f t="shared" si="151"/>
        <v>#DIV/0!</v>
      </c>
      <c r="BG148" s="29" t="str">
        <f t="shared" si="151"/>
        <v>#DIV/0!</v>
      </c>
      <c r="BH148" s="29" t="str">
        <f t="shared" si="151"/>
        <v>#DIV/0!</v>
      </c>
      <c r="BI148" s="29" t="str">
        <f t="shared" si="151"/>
        <v>#DIV/0!</v>
      </c>
      <c r="BJ148" s="29" t="str">
        <f t="shared" si="151"/>
        <v>#DIV/0!</v>
      </c>
      <c r="BK148" s="29" t="str">
        <f t="shared" si="151"/>
        <v>#DIV/0!</v>
      </c>
      <c r="BL148" s="29" t="str">
        <f t="shared" si="151"/>
        <v>#DIV/0!</v>
      </c>
      <c r="BM148" s="29" t="str">
        <f t="shared" si="3"/>
        <v>#DIV/0!</v>
      </c>
    </row>
    <row r="149">
      <c r="A149" s="16" t="str">
        <f>IFERROR(__xludf.DUMMYFUNCTION("IFERROR(SPARKLINE(SORT(MAP(TRANSPOSE(AQ149:BL149), LAMBDA(val, IF(ISNUMBER(val), PERCENTRANK(AQ149:BL149, val)+0.01, 0))), SEQUENCE(COLUMNS(AQ149:BL149)), FALSE), {""charttype"",""column""; ""color"",""chartreuse""; ""ymin"", 0; ""ymax"", 1.01; ""highcolo"&amp;"r"", ""darkgreen""; ""lowcolor"", ""red""}), """")"),"")</f>
        <v/>
      </c>
      <c r="B149" s="17" t="str">
        <f t="shared" si="4"/>
        <v/>
      </c>
      <c r="C149" s="1" t="s">
        <v>3186</v>
      </c>
      <c r="D149" s="30" t="str">
        <f>IFERROR(__xludf.DUMMYFUNCTION("IFERROR(GOOGLEFINANCE(C149, ""NAME""))"),"Rithm Capital Corp")</f>
        <v>Rithm Capital Corp</v>
      </c>
      <c r="E149" s="30" t="s">
        <v>2682</v>
      </c>
      <c r="F149" s="33" t="str">
        <f>IFERROR(__xludf.DUMMYFUNCTION("( (GOOGLEFINANCE(C149, ""price"") - Q149) / Q149 ) / (R149 / 100)"),"Loading...")</f>
        <v>Loading...</v>
      </c>
      <c r="G149" s="20" t="str">
        <f>IFERROR(__xludf.DUMMYFUNCTION("AVERAGE(ARRAYFORMULA(100 * (QUERY(GOOGLEFINANCE(C149, ""high"", TODAY()-40, TODAY()), ""SELECT Col2 WHERE Col2 IS NOT NULL ORDER BY Col1 DESC LIMIT 20"", 0) / QUERY(GOOGLEFINANCE(C149, ""low"", TODAY()-40, TODAY()), ""SELECT Col2 WHERE Col2 IS NOT NULL OR"&amp;"DER BY Col1 DESC LIMIT 20"", 0) - 1)))"),"#N/A")</f>
        <v>#N/A</v>
      </c>
      <c r="H149" s="35" t="str">
        <f t="shared" si="6"/>
        <v>Liquid</v>
      </c>
      <c r="I149" s="35" t="str">
        <f t="shared" si="7"/>
        <v>RVol Required</v>
      </c>
      <c r="J149" s="37">
        <f>IFERROR(__xludf.DUMMYFUNCTION("IFERROR(
  IF(C149="""",, 
    IFERROR(
      GOOGLEFINANCE(C149, ""price"") * GOOGLEFINANCE(C149, ""volumeavg""), 
      GOOGLEFINANCE(C149, ""price"") * AVERAGE(QUERY(GOOGLEFINANCE(C149, ""volume"", TODAY()-40, TODAY()), ""SELECT Col2 WHERE Col2 IS NOT "&amp;"NULL ORDER BY Col1 DESC LIMIT 20"", 0))
    )
  ), 
"""")"),5.706453308E7)</f>
        <v>57064533.08</v>
      </c>
      <c r="K149" s="21">
        <f>IFERROR(__xludf.DUMMYFUNCTION("IFERROR(GOOGLEFINANCE(C149, ""changepct"") / 100, """")"),-0.005699999999999999)</f>
        <v>-0.0057</v>
      </c>
      <c r="L149" s="21" t="str">
        <f>IFERROR(__xludf.DUMMYFUNCTION("IFERROR((GOOGLEFINANCE(C149, ""price"") / INDEX(GOOGLEFINANCE(C149, ""price"", TODAY()-7, TODAY()), 2, 2)) - 1, """")"),"")</f>
        <v/>
      </c>
      <c r="M149" s="21" t="str">
        <f>IFERROR(__xludf.DUMMYFUNCTION("IFERROR((GOOGLEFINANCE(C149, ""price"") / INDEX(GOOGLEFINANCE(C149, ""price"", EDATE(TODAY(), -1), TODAY()), 2, 2)) - 1, """")"),"")</f>
        <v/>
      </c>
      <c r="N149" s="21" t="str">
        <f>IFERROR(__xludf.DUMMYFUNCTION("IFERROR((GOOGLEFINANCE(C149, ""price"") / INDEX(GOOGLEFINANCE(C149, ""price"", EDATE(TODAY(), -3), TODAY()), 2, 2)) - 1, """")"),"")</f>
        <v/>
      </c>
      <c r="O149" s="21" t="str">
        <f>IFERROR(__xludf.DUMMYFUNCTION("IFERROR((GOOGLEFINANCE(C149, ""price"") / INDEX(GOOGLEFINANCE(C149, ""price"", EDATE(TODAY(), -6), TODAY()), 2, 2)) - 1, """")"),"")</f>
        <v/>
      </c>
      <c r="P149" s="21" t="str">
        <f>IFERROR(__xludf.DUMMYFUNCTION("IFERROR((GOOGLEFINANCE(C149, ""price"") / INDEX(GOOGLEFINANCE(C149, ""price"", EDATE(TODAY(), -12), TODAY()), 2, 2)) - 1, """")"),"")</f>
        <v/>
      </c>
      <c r="Q149" s="6" t="str">
        <f>IFERROR(__xludf.DUMMYFUNCTION("AVERAGE(QUERY(GOOGLEFINANCE(C149, ""price"", TODAY()-80, TODAY()), ""SELECT Col2 WHERE Col2 IS NOT NULL ORDER BY Col1 DESC LIMIT 50"", 0))"),"#N/A")</f>
        <v>#N/A</v>
      </c>
      <c r="R149" s="24" t="str">
        <f>IFERROR(__xludf.DUMMYFUNCTION("IFERROR(
  LET(
    data, QUERY(GOOGLEFINANCE(C149,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GOOGLEFINANCE(C149, ""price"")) * 100,
    IF(calc=0, G149, calc)
  ), 
G149)"),"#N/A")</f>
        <v>#N/A</v>
      </c>
      <c r="S149" s="8" t="s">
        <v>15</v>
      </c>
      <c r="T149" s="26" t="str">
        <f>IFERROR(__xludf.DUMMYFUNCTION("IFERROR(TRANSPOSE(QUERY(IFERROR(SORT(GOOGLEFINANCE(C149, ""price"", WORKDAY(TODAY(), -40), TODAY()), 1, FALSE)), ""select Col2 where Col2 is not null limit 22 label Col2 ''"", 0)), """")"),"")</f>
        <v/>
      </c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8"/>
      <c r="AO149" s="28"/>
      <c r="AP149" s="29"/>
      <c r="AQ149" s="29" t="str">
        <f t="shared" ref="AQ149:BL149" si="152">T149/T$2</f>
        <v>#N/A</v>
      </c>
      <c r="AR149" s="29" t="str">
        <f t="shared" si="152"/>
        <v>#DIV/0!</v>
      </c>
      <c r="AS149" s="29" t="str">
        <f t="shared" si="152"/>
        <v>#DIV/0!</v>
      </c>
      <c r="AT149" s="29" t="str">
        <f t="shared" si="152"/>
        <v>#DIV/0!</v>
      </c>
      <c r="AU149" s="29" t="str">
        <f t="shared" si="152"/>
        <v>#DIV/0!</v>
      </c>
      <c r="AV149" s="29" t="str">
        <f t="shared" si="152"/>
        <v>#DIV/0!</v>
      </c>
      <c r="AW149" s="29" t="str">
        <f t="shared" si="152"/>
        <v>#DIV/0!</v>
      </c>
      <c r="AX149" s="29" t="str">
        <f t="shared" si="152"/>
        <v>#DIV/0!</v>
      </c>
      <c r="AY149" s="29" t="str">
        <f t="shared" si="152"/>
        <v>#DIV/0!</v>
      </c>
      <c r="AZ149" s="29" t="str">
        <f t="shared" si="152"/>
        <v>#DIV/0!</v>
      </c>
      <c r="BA149" s="29" t="str">
        <f t="shared" si="152"/>
        <v>#DIV/0!</v>
      </c>
      <c r="BB149" s="29" t="str">
        <f t="shared" si="152"/>
        <v>#DIV/0!</v>
      </c>
      <c r="BC149" s="29" t="str">
        <f t="shared" si="152"/>
        <v>#DIV/0!</v>
      </c>
      <c r="BD149" s="29" t="str">
        <f t="shared" si="152"/>
        <v>#DIV/0!</v>
      </c>
      <c r="BE149" s="29" t="str">
        <f t="shared" si="152"/>
        <v>#DIV/0!</v>
      </c>
      <c r="BF149" s="29" t="str">
        <f t="shared" si="152"/>
        <v>#DIV/0!</v>
      </c>
      <c r="BG149" s="29" t="str">
        <f t="shared" si="152"/>
        <v>#DIV/0!</v>
      </c>
      <c r="BH149" s="29" t="str">
        <f t="shared" si="152"/>
        <v>#DIV/0!</v>
      </c>
      <c r="BI149" s="29" t="str">
        <f t="shared" si="152"/>
        <v>#DIV/0!</v>
      </c>
      <c r="BJ149" s="29" t="str">
        <f t="shared" si="152"/>
        <v>#DIV/0!</v>
      </c>
      <c r="BK149" s="29" t="str">
        <f t="shared" si="152"/>
        <v>#DIV/0!</v>
      </c>
      <c r="BL149" s="29" t="str">
        <f t="shared" si="152"/>
        <v>#DIV/0!</v>
      </c>
      <c r="BM149" s="29" t="str">
        <f t="shared" si="3"/>
        <v>#DIV/0!</v>
      </c>
    </row>
    <row r="150">
      <c r="A150" s="16" t="str">
        <f>IFERROR(__xludf.DUMMYFUNCTION("IFERROR(SPARKLINE(SORT(MAP(TRANSPOSE(AQ150:BL150), LAMBDA(val, IF(ISNUMBER(val), PERCENTRANK(AQ150:BL150, val)+0.01, 0))), SEQUENCE(COLUMNS(AQ150:BL150)), FALSE), {""charttype"",""column""; ""color"",""chartreuse""; ""ymin"", 0; ""ymax"", 1.01; ""highcolo"&amp;"r"", ""darkgreen""; ""lowcolor"", ""red""}), """")"),"")</f>
        <v/>
      </c>
      <c r="B150" s="17" t="str">
        <f t="shared" si="4"/>
        <v/>
      </c>
      <c r="C150" s="1" t="s">
        <v>3189</v>
      </c>
      <c r="D150" s="30" t="str">
        <f>IFERROR(__xludf.DUMMYFUNCTION("IFERROR(GOOGLEFINANCE(C150, ""NAME""))"),"Millrose Properties Inc")</f>
        <v>Millrose Properties Inc</v>
      </c>
      <c r="E150" s="30" t="s">
        <v>2760</v>
      </c>
      <c r="F150" s="33" t="str">
        <f>IFERROR(__xludf.DUMMYFUNCTION("( (GOOGLEFINANCE(C150, ""price"") - Q150) / Q150 ) / (R150 / 100)"),"Loading...")</f>
        <v>Loading...</v>
      </c>
      <c r="G150" s="20" t="str">
        <f>IFERROR(__xludf.DUMMYFUNCTION("AVERAGE(ARRAYFORMULA(100 * (QUERY(GOOGLEFINANCE(C150, ""high"", TODAY()-40, TODAY()), ""SELECT Col2 WHERE Col2 IS NOT NULL ORDER BY Col1 DESC LIMIT 20"", 0) / QUERY(GOOGLEFINANCE(C150, ""low"", TODAY()-40, TODAY()), ""SELECT Col2 WHERE Col2 IS NOT NULL OR"&amp;"DER BY Col1 DESC LIMIT 20"", 0) - 1)))"),"#N/A")</f>
        <v>#N/A</v>
      </c>
      <c r="H150" s="35" t="str">
        <f t="shared" si="6"/>
        <v>Liquid</v>
      </c>
      <c r="I150" s="35" t="str">
        <f t="shared" si="7"/>
        <v>RVol Required</v>
      </c>
      <c r="J150" s="37">
        <f>IFERROR(__xludf.DUMMYFUNCTION("IFERROR(
  IF(C150="""",, 
    IFERROR(
      GOOGLEFINANCE(C150, ""price"") * GOOGLEFINANCE(C150, ""volumeavg""), 
      GOOGLEFINANCE(C150, ""price"") * AVERAGE(QUERY(GOOGLEFINANCE(C150, ""volume"", TODAY()-40, TODAY()), ""SELECT Col2 WHERE Col2 IS NOT "&amp;"NULL ORDER BY Col1 DESC LIMIT 20"", 0))
    )
  ), 
"""")"),6.806277E7)</f>
        <v>68062770</v>
      </c>
      <c r="K150" s="21">
        <f>IFERROR(__xludf.DUMMYFUNCTION("IFERROR(GOOGLEFINANCE(C150, ""changepct"") / 100, """")"),0.0126)</f>
        <v>0.0126</v>
      </c>
      <c r="L150" s="21" t="str">
        <f>IFERROR(__xludf.DUMMYFUNCTION("IFERROR((GOOGLEFINANCE(C150, ""price"") / INDEX(GOOGLEFINANCE(C150, ""price"", TODAY()-7, TODAY()), 2, 2)) - 1, """")"),"")</f>
        <v/>
      </c>
      <c r="M150" s="21" t="str">
        <f>IFERROR(__xludf.DUMMYFUNCTION("IFERROR((GOOGLEFINANCE(C150, ""price"") / INDEX(GOOGLEFINANCE(C150, ""price"", EDATE(TODAY(), -1), TODAY()), 2, 2)) - 1, """")"),"")</f>
        <v/>
      </c>
      <c r="N150" s="21" t="str">
        <f>IFERROR(__xludf.DUMMYFUNCTION("IFERROR((GOOGLEFINANCE(C150, ""price"") / INDEX(GOOGLEFINANCE(C150, ""price"", EDATE(TODAY(), -3), TODAY()), 2, 2)) - 1, """")"),"")</f>
        <v/>
      </c>
      <c r="O150" s="21" t="str">
        <f>IFERROR(__xludf.DUMMYFUNCTION("IFERROR((GOOGLEFINANCE(C150, ""price"") / INDEX(GOOGLEFINANCE(C150, ""price"", EDATE(TODAY(), -6), TODAY()), 2, 2)) - 1, """")"),"")</f>
        <v/>
      </c>
      <c r="P150" s="21" t="str">
        <f>IFERROR(__xludf.DUMMYFUNCTION("IFERROR((GOOGLEFINANCE(C150, ""price"") / INDEX(GOOGLEFINANCE(C150, ""price"", EDATE(TODAY(), -12), TODAY()), 2, 2)) - 1, """")"),"")</f>
        <v/>
      </c>
      <c r="Q150" s="6" t="str">
        <f>IFERROR(__xludf.DUMMYFUNCTION("AVERAGE(QUERY(GOOGLEFINANCE(C150, ""price"", TODAY()-80, TODAY()), ""SELECT Col2 WHERE Col2 IS NOT NULL ORDER BY Col1 DESC LIMIT 50"", 0))"),"#N/A")</f>
        <v>#N/A</v>
      </c>
      <c r="R150" s="24" t="str">
        <f>IFERROR(__xludf.DUMMYFUNCTION("IFERROR(
  LET(
    data, QUERY(GOOGLEFINANCE(C150,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GOOGLEFINANCE(C150, ""price"")) * 100,
    IF(calc=0, G150, calc)
  ), 
G150)"),"#N/A")</f>
        <v>#N/A</v>
      </c>
      <c r="S150" s="8" t="s">
        <v>15</v>
      </c>
      <c r="T150" s="26" t="str">
        <f>IFERROR(__xludf.DUMMYFUNCTION("IFERROR(TRANSPOSE(QUERY(IFERROR(SORT(GOOGLEFINANCE(C150, ""price"", WORKDAY(TODAY(), -40), TODAY()), 1, FALSE)), ""select Col2 where Col2 is not null limit 22 label Col2 ''"", 0)), """")"),"")</f>
        <v/>
      </c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8"/>
      <c r="AO150" s="28"/>
      <c r="AP150" s="29"/>
      <c r="AQ150" s="29" t="str">
        <f t="shared" ref="AQ150:BL150" si="153">T150/T$2</f>
        <v>#N/A</v>
      </c>
      <c r="AR150" s="29" t="str">
        <f t="shared" si="153"/>
        <v>#DIV/0!</v>
      </c>
      <c r="AS150" s="29" t="str">
        <f t="shared" si="153"/>
        <v>#DIV/0!</v>
      </c>
      <c r="AT150" s="29" t="str">
        <f t="shared" si="153"/>
        <v>#DIV/0!</v>
      </c>
      <c r="AU150" s="29" t="str">
        <f t="shared" si="153"/>
        <v>#DIV/0!</v>
      </c>
      <c r="AV150" s="29" t="str">
        <f t="shared" si="153"/>
        <v>#DIV/0!</v>
      </c>
      <c r="AW150" s="29" t="str">
        <f t="shared" si="153"/>
        <v>#DIV/0!</v>
      </c>
      <c r="AX150" s="29" t="str">
        <f t="shared" si="153"/>
        <v>#DIV/0!</v>
      </c>
      <c r="AY150" s="29" t="str">
        <f t="shared" si="153"/>
        <v>#DIV/0!</v>
      </c>
      <c r="AZ150" s="29" t="str">
        <f t="shared" si="153"/>
        <v>#DIV/0!</v>
      </c>
      <c r="BA150" s="29" t="str">
        <f t="shared" si="153"/>
        <v>#DIV/0!</v>
      </c>
      <c r="BB150" s="29" t="str">
        <f t="shared" si="153"/>
        <v>#DIV/0!</v>
      </c>
      <c r="BC150" s="29" t="str">
        <f t="shared" si="153"/>
        <v>#DIV/0!</v>
      </c>
      <c r="BD150" s="29" t="str">
        <f t="shared" si="153"/>
        <v>#DIV/0!</v>
      </c>
      <c r="BE150" s="29" t="str">
        <f t="shared" si="153"/>
        <v>#DIV/0!</v>
      </c>
      <c r="BF150" s="29" t="str">
        <f t="shared" si="153"/>
        <v>#DIV/0!</v>
      </c>
      <c r="BG150" s="29" t="str">
        <f t="shared" si="153"/>
        <v>#DIV/0!</v>
      </c>
      <c r="BH150" s="29" t="str">
        <f t="shared" si="153"/>
        <v>#DIV/0!</v>
      </c>
      <c r="BI150" s="29" t="str">
        <f t="shared" si="153"/>
        <v>#DIV/0!</v>
      </c>
      <c r="BJ150" s="29" t="str">
        <f t="shared" si="153"/>
        <v>#DIV/0!</v>
      </c>
      <c r="BK150" s="29" t="str">
        <f t="shared" si="153"/>
        <v>#DIV/0!</v>
      </c>
      <c r="BL150" s="29" t="str">
        <f t="shared" si="153"/>
        <v>#DIV/0!</v>
      </c>
      <c r="BM150" s="29" t="str">
        <f t="shared" si="3"/>
        <v>#DIV/0!</v>
      </c>
    </row>
    <row r="151">
      <c r="A151" s="16" t="str">
        <f>IFERROR(__xludf.DUMMYFUNCTION("IFERROR(SPARKLINE(SORT(MAP(TRANSPOSE(AQ151:BL151), LAMBDA(val, IF(ISNUMBER(val), PERCENTRANK(AQ151:BL151, val)+0.01, 0))), SEQUENCE(COLUMNS(AQ151:BL151)), FALSE), {""charttype"",""column""; ""color"",""chartreuse""; ""ymin"", 0; ""ymax"", 1.01; ""highcolo"&amp;"r"", ""darkgreen""; ""lowcolor"", ""red""}), """")"),"")</f>
        <v/>
      </c>
      <c r="B151" s="17" t="str">
        <f t="shared" si="4"/>
        <v/>
      </c>
      <c r="C151" s="1" t="s">
        <v>3193</v>
      </c>
      <c r="D151" s="30" t="str">
        <f>IFERROR(__xludf.DUMMYFUNCTION("IFERROR(GOOGLEFINANCE(C151, ""NAME""))"),"Forestar Group Inc")</f>
        <v>Forestar Group Inc</v>
      </c>
      <c r="E151" s="30" t="s">
        <v>3164</v>
      </c>
      <c r="F151" s="33" t="str">
        <f>IFERROR(__xludf.DUMMYFUNCTION("( (GOOGLEFINANCE(C151, ""price"") - Q151) / Q151 ) / (R151 / 100)"),"Loading...")</f>
        <v>Loading...</v>
      </c>
      <c r="G151" s="20" t="str">
        <f>IFERROR(__xludf.DUMMYFUNCTION("AVERAGE(ARRAYFORMULA(100 * (QUERY(GOOGLEFINANCE(C151, ""high"", TODAY()-40, TODAY()), ""SELECT Col2 WHERE Col2 IS NOT NULL ORDER BY Col1 DESC LIMIT 20"", 0) / QUERY(GOOGLEFINANCE(C151, ""low"", TODAY()-40, TODAY()), ""SELECT Col2 WHERE Col2 IS NOT NULL OR"&amp;"DER BY Col1 DESC LIMIT 20"", 0) - 1)))"),"#N/A")</f>
        <v>#N/A</v>
      </c>
      <c r="H151" s="35" t="str">
        <f t="shared" si="6"/>
        <v>Illiquid</v>
      </c>
      <c r="I151" s="35" t="str">
        <f t="shared" si="7"/>
        <v>RVol Required</v>
      </c>
      <c r="J151" s="37">
        <f>IFERROR(__xludf.DUMMYFUNCTION("IFERROR(
  IF(C151="""",, 
    IFERROR(
      GOOGLEFINANCE(C151, ""price"") * GOOGLEFINANCE(C151, ""volumeavg""), 
      GOOGLEFINANCE(C151, ""price"") * AVERAGE(QUERY(GOOGLEFINANCE(C151, ""volume"", TODAY()-40, TODAY()), ""SELECT Col2 WHERE Col2 IS NOT "&amp;"NULL ORDER BY Col1 DESC LIMIT 20"", 0))
    )
  ), 
"""")"),4765943.54)</f>
        <v>4765943.54</v>
      </c>
      <c r="K151" s="21">
        <f>IFERROR(__xludf.DUMMYFUNCTION("IFERROR(GOOGLEFINANCE(C151, ""changepct"") / 100, """")"),-8.0E-4)</f>
        <v>-0.0008</v>
      </c>
      <c r="L151" s="21" t="str">
        <f>IFERROR(__xludf.DUMMYFUNCTION("IFERROR((GOOGLEFINANCE(C151, ""price"") / INDEX(GOOGLEFINANCE(C151, ""price"", TODAY()-7, TODAY()), 2, 2)) - 1, """")"),"")</f>
        <v/>
      </c>
      <c r="M151" s="21" t="str">
        <f>IFERROR(__xludf.DUMMYFUNCTION("IFERROR((GOOGLEFINANCE(C151, ""price"") / INDEX(GOOGLEFINANCE(C151, ""price"", EDATE(TODAY(), -1), TODAY()), 2, 2)) - 1, """")"),"")</f>
        <v/>
      </c>
      <c r="N151" s="21" t="str">
        <f>IFERROR(__xludf.DUMMYFUNCTION("IFERROR((GOOGLEFINANCE(C151, ""price"") / INDEX(GOOGLEFINANCE(C151, ""price"", EDATE(TODAY(), -3), TODAY()), 2, 2)) - 1, """")"),"")</f>
        <v/>
      </c>
      <c r="O151" s="21" t="str">
        <f>IFERROR(__xludf.DUMMYFUNCTION("IFERROR((GOOGLEFINANCE(C151, ""price"") / INDEX(GOOGLEFINANCE(C151, ""price"", EDATE(TODAY(), -6), TODAY()), 2, 2)) - 1, """")"),"")</f>
        <v/>
      </c>
      <c r="P151" s="21" t="str">
        <f>IFERROR(__xludf.DUMMYFUNCTION("IFERROR((GOOGLEFINANCE(C151, ""price"") / INDEX(GOOGLEFINANCE(C151, ""price"", EDATE(TODAY(), -12), TODAY()), 2, 2)) - 1, """")"),"")</f>
        <v/>
      </c>
      <c r="Q151" s="6" t="str">
        <f>IFERROR(__xludf.DUMMYFUNCTION("AVERAGE(QUERY(GOOGLEFINANCE(C151, ""price"", TODAY()-80, TODAY()), ""SELECT Col2 WHERE Col2 IS NOT NULL ORDER BY Col1 DESC LIMIT 50"", 0))"),"#N/A")</f>
        <v>#N/A</v>
      </c>
      <c r="R151" s="24" t="str">
        <f>IFERROR(__xludf.DUMMYFUNCTION("IFERROR(
  LET(
    data, QUERY(GOOGLEFINANCE(C151,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GOOGLEFINANCE(C151, ""price"")) * 100,
    IF(calc=0, G151, calc)
  ), 
G151)"),"#N/A")</f>
        <v>#N/A</v>
      </c>
      <c r="S151" s="8" t="s">
        <v>15</v>
      </c>
      <c r="T151" s="26" t="str">
        <f>IFERROR(__xludf.DUMMYFUNCTION("IFERROR(TRANSPOSE(QUERY(IFERROR(SORT(GOOGLEFINANCE(C151, ""price"", WORKDAY(TODAY(), -40), TODAY()), 1, FALSE)), ""select Col2 where Col2 is not null limit 22 label Col2 ''"", 0)), """")"),"")</f>
        <v/>
      </c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8"/>
      <c r="AO151" s="28"/>
      <c r="AP151" s="29"/>
      <c r="AQ151" s="29" t="str">
        <f t="shared" ref="AQ151:BL151" si="154">T151/T$2</f>
        <v>#N/A</v>
      </c>
      <c r="AR151" s="29" t="str">
        <f t="shared" si="154"/>
        <v>#DIV/0!</v>
      </c>
      <c r="AS151" s="29" t="str">
        <f t="shared" si="154"/>
        <v>#DIV/0!</v>
      </c>
      <c r="AT151" s="29" t="str">
        <f t="shared" si="154"/>
        <v>#DIV/0!</v>
      </c>
      <c r="AU151" s="29" t="str">
        <f t="shared" si="154"/>
        <v>#DIV/0!</v>
      </c>
      <c r="AV151" s="29" t="str">
        <f t="shared" si="154"/>
        <v>#DIV/0!</v>
      </c>
      <c r="AW151" s="29" t="str">
        <f t="shared" si="154"/>
        <v>#DIV/0!</v>
      </c>
      <c r="AX151" s="29" t="str">
        <f t="shared" si="154"/>
        <v>#DIV/0!</v>
      </c>
      <c r="AY151" s="29" t="str">
        <f t="shared" si="154"/>
        <v>#DIV/0!</v>
      </c>
      <c r="AZ151" s="29" t="str">
        <f t="shared" si="154"/>
        <v>#DIV/0!</v>
      </c>
      <c r="BA151" s="29" t="str">
        <f t="shared" si="154"/>
        <v>#DIV/0!</v>
      </c>
      <c r="BB151" s="29" t="str">
        <f t="shared" si="154"/>
        <v>#DIV/0!</v>
      </c>
      <c r="BC151" s="29" t="str">
        <f t="shared" si="154"/>
        <v>#DIV/0!</v>
      </c>
      <c r="BD151" s="29" t="str">
        <f t="shared" si="154"/>
        <v>#DIV/0!</v>
      </c>
      <c r="BE151" s="29" t="str">
        <f t="shared" si="154"/>
        <v>#DIV/0!</v>
      </c>
      <c r="BF151" s="29" t="str">
        <f t="shared" si="154"/>
        <v>#DIV/0!</v>
      </c>
      <c r="BG151" s="29" t="str">
        <f t="shared" si="154"/>
        <v>#DIV/0!</v>
      </c>
      <c r="BH151" s="29" t="str">
        <f t="shared" si="154"/>
        <v>#DIV/0!</v>
      </c>
      <c r="BI151" s="29" t="str">
        <f t="shared" si="154"/>
        <v>#DIV/0!</v>
      </c>
      <c r="BJ151" s="29" t="str">
        <f t="shared" si="154"/>
        <v>#DIV/0!</v>
      </c>
      <c r="BK151" s="29" t="str">
        <f t="shared" si="154"/>
        <v>#DIV/0!</v>
      </c>
      <c r="BL151" s="29" t="str">
        <f t="shared" si="154"/>
        <v>#DIV/0!</v>
      </c>
      <c r="BM151" s="29" t="str">
        <f t="shared" si="3"/>
        <v>#DIV/0!</v>
      </c>
    </row>
    <row r="152">
      <c r="A152" s="16" t="str">
        <f>IFERROR(__xludf.DUMMYFUNCTION("IFERROR(SPARKLINE(SORT(MAP(TRANSPOSE(AQ152:BL152), LAMBDA(val, IF(ISNUMBER(val), PERCENTRANK(AQ152:BL152, val)+0.01, 0))), SEQUENCE(COLUMNS(AQ152:BL152)), FALSE), {""charttype"",""column""; ""color"",""chartreuse""; ""ymin"", 0; ""ymax"", 1.01; ""highcolo"&amp;"r"", ""darkgreen""; ""lowcolor"", ""red""}), """")"),"")</f>
        <v/>
      </c>
      <c r="B152" s="17" t="str">
        <f t="shared" si="4"/>
        <v/>
      </c>
      <c r="C152" s="1" t="s">
        <v>3196</v>
      </c>
      <c r="D152" s="30" t="str">
        <f>IFERROR(__xludf.DUMMYFUNCTION("IFERROR(GOOGLEFINANCE(C152, ""NAME""))"),"Orchid Island Capital Inc")</f>
        <v>Orchid Island Capital Inc</v>
      </c>
      <c r="E152" s="30" t="s">
        <v>2682</v>
      </c>
      <c r="F152" s="33" t="str">
        <f>IFERROR(__xludf.DUMMYFUNCTION("( (GOOGLEFINANCE(C152, ""price"") - Q152) / Q152 ) / (R152 / 100)"),"Loading...")</f>
        <v>Loading...</v>
      </c>
      <c r="G152" s="20" t="str">
        <f>IFERROR(__xludf.DUMMYFUNCTION("AVERAGE(ARRAYFORMULA(100 * (QUERY(GOOGLEFINANCE(C152, ""high"", TODAY()-40, TODAY()), ""SELECT Col2 WHERE Col2 IS NOT NULL ORDER BY Col1 DESC LIMIT 20"", 0) / QUERY(GOOGLEFINANCE(C152, ""low"", TODAY()-40, TODAY()), ""SELECT Col2 WHERE Col2 IS NOT NULL OR"&amp;"DER BY Col1 DESC LIMIT 20"", 0) - 1)))"),"#N/A")</f>
        <v>#N/A</v>
      </c>
      <c r="H152" s="35" t="str">
        <f t="shared" si="6"/>
        <v>Illiquid</v>
      </c>
      <c r="I152" s="35" t="str">
        <f t="shared" si="7"/>
        <v>RVol Required</v>
      </c>
      <c r="J152" s="37">
        <f>IFERROR(__xludf.DUMMYFUNCTION("IFERROR(
  IF(C152="""",, 
    IFERROR(
      GOOGLEFINANCE(C152, ""price"") * GOOGLEFINANCE(C152, ""volumeavg""), 
      GOOGLEFINANCE(C152, ""price"") * AVERAGE(QUERY(GOOGLEFINANCE(C152, ""volume"", TODAY()-40, TODAY()), ""SELECT Col2 WHERE Col2 IS NOT "&amp;"NULL ORDER BY Col1 DESC LIMIT 20"", 0))
    )
  ), 
"""")"),3.145839529E7)</f>
        <v>31458395.29</v>
      </c>
      <c r="K152" s="21">
        <f>IFERROR(__xludf.DUMMYFUNCTION("IFERROR(GOOGLEFINANCE(C152, ""changepct"") / 100, """")"),-0.0405)</f>
        <v>-0.0405</v>
      </c>
      <c r="L152" s="21" t="str">
        <f>IFERROR(__xludf.DUMMYFUNCTION("IFERROR((GOOGLEFINANCE(C152, ""price"") / INDEX(GOOGLEFINANCE(C152, ""price"", TODAY()-7, TODAY()), 2, 2)) - 1, """")"),"")</f>
        <v/>
      </c>
      <c r="M152" s="21" t="str">
        <f>IFERROR(__xludf.DUMMYFUNCTION("IFERROR((GOOGLEFINANCE(C152, ""price"") / INDEX(GOOGLEFINANCE(C152, ""price"", EDATE(TODAY(), -1), TODAY()), 2, 2)) - 1, """")"),"")</f>
        <v/>
      </c>
      <c r="N152" s="21" t="str">
        <f>IFERROR(__xludf.DUMMYFUNCTION("IFERROR((GOOGLEFINANCE(C152, ""price"") / INDEX(GOOGLEFINANCE(C152, ""price"", EDATE(TODAY(), -3), TODAY()), 2, 2)) - 1, """")"),"")</f>
        <v/>
      </c>
      <c r="O152" s="21" t="str">
        <f>IFERROR(__xludf.DUMMYFUNCTION("IFERROR((GOOGLEFINANCE(C152, ""price"") / INDEX(GOOGLEFINANCE(C152, ""price"", EDATE(TODAY(), -6), TODAY()), 2, 2)) - 1, """")"),"")</f>
        <v/>
      </c>
      <c r="P152" s="21" t="str">
        <f>IFERROR(__xludf.DUMMYFUNCTION("IFERROR((GOOGLEFINANCE(C152, ""price"") / INDEX(GOOGLEFINANCE(C152, ""price"", EDATE(TODAY(), -12), TODAY()), 2, 2)) - 1, """")"),"")</f>
        <v/>
      </c>
      <c r="Q152" s="6" t="str">
        <f>IFERROR(__xludf.DUMMYFUNCTION("AVERAGE(QUERY(GOOGLEFINANCE(C152, ""price"", TODAY()-80, TODAY()), ""SELECT Col2 WHERE Col2 IS NOT NULL ORDER BY Col1 DESC LIMIT 50"", 0))"),"#N/A")</f>
        <v>#N/A</v>
      </c>
      <c r="R152" s="24" t="str">
        <f>IFERROR(__xludf.DUMMYFUNCTION("IFERROR(
  LET(
    data, QUERY(GOOGLEFINANCE(C152,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GOOGLEFINANCE(C152, ""price"")) * 100,
    IF(calc=0, G152, calc)
  ), 
G152)"),"#N/A")</f>
        <v>#N/A</v>
      </c>
      <c r="S152" s="8" t="s">
        <v>15</v>
      </c>
      <c r="T152" s="26" t="str">
        <f>IFERROR(__xludf.DUMMYFUNCTION("IFERROR(TRANSPOSE(QUERY(IFERROR(SORT(GOOGLEFINANCE(C152, ""price"", WORKDAY(TODAY(), -40), TODAY()), 1, FALSE)), ""select Col2 where Col2 is not null limit 22 label Col2 ''"", 0)), """")"),"")</f>
        <v/>
      </c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8"/>
      <c r="AO152" s="28"/>
      <c r="AP152" s="29"/>
      <c r="AQ152" s="29" t="str">
        <f t="shared" ref="AQ152:BL152" si="155">T152/T$2</f>
        <v>#N/A</v>
      </c>
      <c r="AR152" s="29" t="str">
        <f t="shared" si="155"/>
        <v>#DIV/0!</v>
      </c>
      <c r="AS152" s="29" t="str">
        <f t="shared" si="155"/>
        <v>#DIV/0!</v>
      </c>
      <c r="AT152" s="29" t="str">
        <f t="shared" si="155"/>
        <v>#DIV/0!</v>
      </c>
      <c r="AU152" s="29" t="str">
        <f t="shared" si="155"/>
        <v>#DIV/0!</v>
      </c>
      <c r="AV152" s="29" t="str">
        <f t="shared" si="155"/>
        <v>#DIV/0!</v>
      </c>
      <c r="AW152" s="29" t="str">
        <f t="shared" si="155"/>
        <v>#DIV/0!</v>
      </c>
      <c r="AX152" s="29" t="str">
        <f t="shared" si="155"/>
        <v>#DIV/0!</v>
      </c>
      <c r="AY152" s="29" t="str">
        <f t="shared" si="155"/>
        <v>#DIV/0!</v>
      </c>
      <c r="AZ152" s="29" t="str">
        <f t="shared" si="155"/>
        <v>#DIV/0!</v>
      </c>
      <c r="BA152" s="29" t="str">
        <f t="shared" si="155"/>
        <v>#DIV/0!</v>
      </c>
      <c r="BB152" s="29" t="str">
        <f t="shared" si="155"/>
        <v>#DIV/0!</v>
      </c>
      <c r="BC152" s="29" t="str">
        <f t="shared" si="155"/>
        <v>#DIV/0!</v>
      </c>
      <c r="BD152" s="29" t="str">
        <f t="shared" si="155"/>
        <v>#DIV/0!</v>
      </c>
      <c r="BE152" s="29" t="str">
        <f t="shared" si="155"/>
        <v>#DIV/0!</v>
      </c>
      <c r="BF152" s="29" t="str">
        <f t="shared" si="155"/>
        <v>#DIV/0!</v>
      </c>
      <c r="BG152" s="29" t="str">
        <f t="shared" si="155"/>
        <v>#DIV/0!</v>
      </c>
      <c r="BH152" s="29" t="str">
        <f t="shared" si="155"/>
        <v>#DIV/0!</v>
      </c>
      <c r="BI152" s="29" t="str">
        <f t="shared" si="155"/>
        <v>#DIV/0!</v>
      </c>
      <c r="BJ152" s="29" t="str">
        <f t="shared" si="155"/>
        <v>#DIV/0!</v>
      </c>
      <c r="BK152" s="29" t="str">
        <f t="shared" si="155"/>
        <v>#DIV/0!</v>
      </c>
      <c r="BL152" s="29" t="str">
        <f t="shared" si="155"/>
        <v>#DIV/0!</v>
      </c>
      <c r="BM152" s="29" t="str">
        <f t="shared" si="3"/>
        <v>#DIV/0!</v>
      </c>
    </row>
    <row r="153">
      <c r="A153" s="16" t="str">
        <f>IFERROR(__xludf.DUMMYFUNCTION("IFERROR(SPARKLINE(SORT(MAP(TRANSPOSE(AQ153:BL153), LAMBDA(val, IF(ISNUMBER(val), PERCENTRANK(AQ153:BL153, val)+0.01, 0))), SEQUENCE(COLUMNS(AQ153:BL153)), FALSE), {""charttype"",""column""; ""color"",""chartreuse""; ""ymin"", 0; ""ymax"", 1.01; ""highcolo"&amp;"r"", ""darkgreen""; ""lowcolor"", ""red""}), """")"),"")</f>
        <v/>
      </c>
      <c r="B153" s="17" t="str">
        <f t="shared" si="4"/>
        <v/>
      </c>
      <c r="C153" s="1" t="s">
        <v>3199</v>
      </c>
      <c r="D153" s="30" t="str">
        <f>IFERROR(__xludf.DUMMYFUNCTION("IFERROR(GOOGLEFINANCE(C153, ""NAME""))"),"Mid-America Apartment Communities Inc")</f>
        <v>Mid-America Apartment Communities Inc</v>
      </c>
      <c r="E153" s="30" t="s">
        <v>2760</v>
      </c>
      <c r="F153" s="33" t="str">
        <f>IFERROR(__xludf.DUMMYFUNCTION("( (GOOGLEFINANCE(C153, ""price"") - Q153) / Q153 ) / (R153 / 100)"),"Loading...")</f>
        <v>Loading...</v>
      </c>
      <c r="G153" s="20" t="str">
        <f>IFERROR(__xludf.DUMMYFUNCTION("AVERAGE(ARRAYFORMULA(100 * (QUERY(GOOGLEFINANCE(C153, ""high"", TODAY()-40, TODAY()), ""SELECT Col2 WHERE Col2 IS NOT NULL ORDER BY Col1 DESC LIMIT 20"", 0) / QUERY(GOOGLEFINANCE(C153, ""low"", TODAY()-40, TODAY()), ""SELECT Col2 WHERE Col2 IS NOT NULL OR"&amp;"DER BY Col1 DESC LIMIT 20"", 0) - 1)))"),"#N/A")</f>
        <v>#N/A</v>
      </c>
      <c r="H153" s="35" t="str">
        <f t="shared" si="6"/>
        <v>Liquid</v>
      </c>
      <c r="I153" s="35" t="str">
        <f t="shared" si="7"/>
        <v>RVol Required</v>
      </c>
      <c r="J153" s="37">
        <f>IFERROR(__xludf.DUMMYFUNCTION("IFERROR(
  IF(C153="""",, 
    IFERROR(
      GOOGLEFINANCE(C153, ""price"") * GOOGLEFINANCE(C153, ""volumeavg""), 
      GOOGLEFINANCE(C153, ""price"") * AVERAGE(QUERY(GOOGLEFINANCE(C153, ""volume"", TODAY()-40, TODAY()), ""SELECT Col2 WHERE Col2 IS NOT "&amp;"NULL ORDER BY Col1 DESC LIMIT 20"", 0))
    )
  ), 
"""")"),1.3847433248E8)</f>
        <v>138474332.5</v>
      </c>
      <c r="K153" s="21">
        <f>IFERROR(__xludf.DUMMYFUNCTION("IFERROR(GOOGLEFINANCE(C153, ""changepct"") / 100, """")"),0.0031)</f>
        <v>0.0031</v>
      </c>
      <c r="L153" s="21" t="str">
        <f>IFERROR(__xludf.DUMMYFUNCTION("IFERROR((GOOGLEFINANCE(C153, ""price"") / INDEX(GOOGLEFINANCE(C153, ""price"", TODAY()-7, TODAY()), 2, 2)) - 1, """")"),"")</f>
        <v/>
      </c>
      <c r="M153" s="21" t="str">
        <f>IFERROR(__xludf.DUMMYFUNCTION("IFERROR((GOOGLEFINANCE(C153, ""price"") / INDEX(GOOGLEFINANCE(C153, ""price"", EDATE(TODAY(), -1), TODAY()), 2, 2)) - 1, """")"),"")</f>
        <v/>
      </c>
      <c r="N153" s="21" t="str">
        <f>IFERROR(__xludf.DUMMYFUNCTION("IFERROR((GOOGLEFINANCE(C153, ""price"") / INDEX(GOOGLEFINANCE(C153, ""price"", EDATE(TODAY(), -3), TODAY()), 2, 2)) - 1, """")"),"")</f>
        <v/>
      </c>
      <c r="O153" s="21" t="str">
        <f>IFERROR(__xludf.DUMMYFUNCTION("IFERROR((GOOGLEFINANCE(C153, ""price"") / INDEX(GOOGLEFINANCE(C153, ""price"", EDATE(TODAY(), -6), TODAY()), 2, 2)) - 1, """")"),"")</f>
        <v/>
      </c>
      <c r="P153" s="21" t="str">
        <f>IFERROR(__xludf.DUMMYFUNCTION("IFERROR((GOOGLEFINANCE(C153, ""price"") / INDEX(GOOGLEFINANCE(C153, ""price"", EDATE(TODAY(), -12), TODAY()), 2, 2)) - 1, """")"),"")</f>
        <v/>
      </c>
      <c r="Q153" s="6" t="str">
        <f>IFERROR(__xludf.DUMMYFUNCTION("AVERAGE(QUERY(GOOGLEFINANCE(C153, ""price"", TODAY()-80, TODAY()), ""SELECT Col2 WHERE Col2 IS NOT NULL ORDER BY Col1 DESC LIMIT 50"", 0))"),"#N/A")</f>
        <v>#N/A</v>
      </c>
      <c r="R153" s="24" t="str">
        <f>IFERROR(__xludf.DUMMYFUNCTION("IFERROR(
  LET(
    data, QUERY(GOOGLEFINANCE(C153,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GOOGLEFINANCE(C153, ""price"")) * 100,
    IF(calc=0, G153, calc)
  ), 
G153)"),"#N/A")</f>
        <v>#N/A</v>
      </c>
      <c r="S153" s="8" t="s">
        <v>15</v>
      </c>
      <c r="T153" s="26" t="str">
        <f>IFERROR(__xludf.DUMMYFUNCTION("IFERROR(TRANSPOSE(QUERY(IFERROR(SORT(GOOGLEFINANCE(C153, ""price"", WORKDAY(TODAY(), -40), TODAY()), 1, FALSE)), ""select Col2 where Col2 is not null limit 22 label Col2 ''"", 0)), """")"),"")</f>
        <v/>
      </c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8"/>
      <c r="AO153" s="28"/>
      <c r="AP153" s="29"/>
      <c r="AQ153" s="29" t="str">
        <f t="shared" ref="AQ153:BL153" si="156">T153/T$2</f>
        <v>#N/A</v>
      </c>
      <c r="AR153" s="29" t="str">
        <f t="shared" si="156"/>
        <v>#DIV/0!</v>
      </c>
      <c r="AS153" s="29" t="str">
        <f t="shared" si="156"/>
        <v>#DIV/0!</v>
      </c>
      <c r="AT153" s="29" t="str">
        <f t="shared" si="156"/>
        <v>#DIV/0!</v>
      </c>
      <c r="AU153" s="29" t="str">
        <f t="shared" si="156"/>
        <v>#DIV/0!</v>
      </c>
      <c r="AV153" s="29" t="str">
        <f t="shared" si="156"/>
        <v>#DIV/0!</v>
      </c>
      <c r="AW153" s="29" t="str">
        <f t="shared" si="156"/>
        <v>#DIV/0!</v>
      </c>
      <c r="AX153" s="29" t="str">
        <f t="shared" si="156"/>
        <v>#DIV/0!</v>
      </c>
      <c r="AY153" s="29" t="str">
        <f t="shared" si="156"/>
        <v>#DIV/0!</v>
      </c>
      <c r="AZ153" s="29" t="str">
        <f t="shared" si="156"/>
        <v>#DIV/0!</v>
      </c>
      <c r="BA153" s="29" t="str">
        <f t="shared" si="156"/>
        <v>#DIV/0!</v>
      </c>
      <c r="BB153" s="29" t="str">
        <f t="shared" si="156"/>
        <v>#DIV/0!</v>
      </c>
      <c r="BC153" s="29" t="str">
        <f t="shared" si="156"/>
        <v>#DIV/0!</v>
      </c>
      <c r="BD153" s="29" t="str">
        <f t="shared" si="156"/>
        <v>#DIV/0!</v>
      </c>
      <c r="BE153" s="29" t="str">
        <f t="shared" si="156"/>
        <v>#DIV/0!</v>
      </c>
      <c r="BF153" s="29" t="str">
        <f t="shared" si="156"/>
        <v>#DIV/0!</v>
      </c>
      <c r="BG153" s="29" t="str">
        <f t="shared" si="156"/>
        <v>#DIV/0!</v>
      </c>
      <c r="BH153" s="29" t="str">
        <f t="shared" si="156"/>
        <v>#DIV/0!</v>
      </c>
      <c r="BI153" s="29" t="str">
        <f t="shared" si="156"/>
        <v>#DIV/0!</v>
      </c>
      <c r="BJ153" s="29" t="str">
        <f t="shared" si="156"/>
        <v>#DIV/0!</v>
      </c>
      <c r="BK153" s="29" t="str">
        <f t="shared" si="156"/>
        <v>#DIV/0!</v>
      </c>
      <c r="BL153" s="29" t="str">
        <f t="shared" si="156"/>
        <v>#DIV/0!</v>
      </c>
      <c r="BM153" s="29" t="str">
        <f t="shared" si="3"/>
        <v>#DIV/0!</v>
      </c>
    </row>
    <row r="154">
      <c r="A154" s="16" t="str">
        <f>IFERROR(__xludf.DUMMYFUNCTION("IFERROR(SPARKLINE(SORT(MAP(TRANSPOSE(AQ154:BL154), LAMBDA(val, IF(ISNUMBER(val), PERCENTRANK(AQ154:BL154, val)+0.01, 0))), SEQUENCE(COLUMNS(AQ154:BL154)), FALSE), {""charttype"",""column""; ""color"",""chartreuse""; ""ymin"", 0; ""ymax"", 1.01; ""highcolo"&amp;"r"", ""darkgreen""; ""lowcolor"", ""red""}), """")"),"")</f>
        <v/>
      </c>
      <c r="B154" s="17" t="str">
        <f t="shared" si="4"/>
        <v/>
      </c>
      <c r="C154" s="1" t="s">
        <v>3202</v>
      </c>
      <c r="D154" s="30" t="str">
        <f>IFERROR(__xludf.DUMMYFUNCTION("IFERROR(GOOGLEFINANCE(C154, ""NAME""))"),"Gaming and Leisure Properties Inc")</f>
        <v>Gaming and Leisure Properties Inc</v>
      </c>
      <c r="E154" s="30" t="s">
        <v>2709</v>
      </c>
      <c r="F154" s="33" t="str">
        <f>IFERROR(__xludf.DUMMYFUNCTION("( (GOOGLEFINANCE(C154, ""price"") - Q154) / Q154 ) / (R154 / 100)"),"Loading...")</f>
        <v>Loading...</v>
      </c>
      <c r="G154" s="20" t="str">
        <f>IFERROR(__xludf.DUMMYFUNCTION("AVERAGE(ARRAYFORMULA(100 * (QUERY(GOOGLEFINANCE(C154, ""high"", TODAY()-40, TODAY()), ""SELECT Col2 WHERE Col2 IS NOT NULL ORDER BY Col1 DESC LIMIT 20"", 0) / QUERY(GOOGLEFINANCE(C154, ""low"", TODAY()-40, TODAY()), ""SELECT Col2 WHERE Col2 IS NOT NULL OR"&amp;"DER BY Col1 DESC LIMIT 20"", 0) - 1)))"),"#N/A")</f>
        <v>#N/A</v>
      </c>
      <c r="H154" s="35" t="str">
        <f t="shared" si="6"/>
        <v>Liquid</v>
      </c>
      <c r="I154" s="35" t="str">
        <f t="shared" si="7"/>
        <v>RVol Required</v>
      </c>
      <c r="J154" s="37">
        <f>IFERROR(__xludf.DUMMYFUNCTION("IFERROR(
  IF(C154="""",, 
    IFERROR(
      GOOGLEFINANCE(C154, ""price"") * GOOGLEFINANCE(C154, ""volumeavg""), 
      GOOGLEFINANCE(C154, ""price"") * AVERAGE(QUERY(GOOGLEFINANCE(C154, ""volume"", TODAY()-40, TODAY()), ""SELECT Col2 WHERE Col2 IS NOT "&amp;"NULL ORDER BY Col1 DESC LIMIT 20"", 0))
    )
  ), 
"""")"),1.27607954E8)</f>
        <v>127607954</v>
      </c>
      <c r="K154" s="21">
        <f>IFERROR(__xludf.DUMMYFUNCTION("IFERROR(GOOGLEFINANCE(C154, ""changepct"") / 100, """")"),0.0051)</f>
        <v>0.0051</v>
      </c>
      <c r="L154" s="21" t="str">
        <f>IFERROR(__xludf.DUMMYFUNCTION("IFERROR((GOOGLEFINANCE(C154, ""price"") / INDEX(GOOGLEFINANCE(C154, ""price"", TODAY()-7, TODAY()), 2, 2)) - 1, """")"),"")</f>
        <v/>
      </c>
      <c r="M154" s="21" t="str">
        <f>IFERROR(__xludf.DUMMYFUNCTION("IFERROR((GOOGLEFINANCE(C154, ""price"") / INDEX(GOOGLEFINANCE(C154, ""price"", EDATE(TODAY(), -1), TODAY()), 2, 2)) - 1, """")"),"")</f>
        <v/>
      </c>
      <c r="N154" s="21" t="str">
        <f>IFERROR(__xludf.DUMMYFUNCTION("IFERROR((GOOGLEFINANCE(C154, ""price"") / INDEX(GOOGLEFINANCE(C154, ""price"", EDATE(TODAY(), -3), TODAY()), 2, 2)) - 1, """")"),"")</f>
        <v/>
      </c>
      <c r="O154" s="21" t="str">
        <f>IFERROR(__xludf.DUMMYFUNCTION("IFERROR((GOOGLEFINANCE(C154, ""price"") / INDEX(GOOGLEFINANCE(C154, ""price"", EDATE(TODAY(), -6), TODAY()), 2, 2)) - 1, """")"),"")</f>
        <v/>
      </c>
      <c r="P154" s="21" t="str">
        <f>IFERROR(__xludf.DUMMYFUNCTION("IFERROR((GOOGLEFINANCE(C154, ""price"") / INDEX(GOOGLEFINANCE(C154, ""price"", EDATE(TODAY(), -12), TODAY()), 2, 2)) - 1, """")"),"")</f>
        <v/>
      </c>
      <c r="Q154" s="6" t="str">
        <f>IFERROR(__xludf.DUMMYFUNCTION("AVERAGE(QUERY(GOOGLEFINANCE(C154, ""price"", TODAY()-80, TODAY()), ""SELECT Col2 WHERE Col2 IS NOT NULL ORDER BY Col1 DESC LIMIT 50"", 0))"),"#N/A")</f>
        <v>#N/A</v>
      </c>
      <c r="R154" s="24" t="str">
        <f>IFERROR(__xludf.DUMMYFUNCTION("IFERROR(
  LET(
    data, QUERY(GOOGLEFINANCE(C154,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GOOGLEFINANCE(C154, ""price"")) * 100,
    IF(calc=0, G154, calc)
  ), 
G154)"),"#N/A")</f>
        <v>#N/A</v>
      </c>
      <c r="S154" s="8" t="s">
        <v>15</v>
      </c>
      <c r="T154" s="26" t="str">
        <f>IFERROR(__xludf.DUMMYFUNCTION("IFERROR(TRANSPOSE(QUERY(IFERROR(SORT(GOOGLEFINANCE(C154, ""price"", WORKDAY(TODAY(), -40), TODAY()), 1, FALSE)), ""select Col2 where Col2 is not null limit 22 label Col2 ''"", 0)), """")"),"")</f>
        <v/>
      </c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8"/>
      <c r="AO154" s="28"/>
      <c r="AP154" s="29"/>
      <c r="AQ154" s="29" t="str">
        <f t="shared" ref="AQ154:BL154" si="157">T154/T$2</f>
        <v>#N/A</v>
      </c>
      <c r="AR154" s="29" t="str">
        <f t="shared" si="157"/>
        <v>#DIV/0!</v>
      </c>
      <c r="AS154" s="29" t="str">
        <f t="shared" si="157"/>
        <v>#DIV/0!</v>
      </c>
      <c r="AT154" s="29" t="str">
        <f t="shared" si="157"/>
        <v>#DIV/0!</v>
      </c>
      <c r="AU154" s="29" t="str">
        <f t="shared" si="157"/>
        <v>#DIV/0!</v>
      </c>
      <c r="AV154" s="29" t="str">
        <f t="shared" si="157"/>
        <v>#DIV/0!</v>
      </c>
      <c r="AW154" s="29" t="str">
        <f t="shared" si="157"/>
        <v>#DIV/0!</v>
      </c>
      <c r="AX154" s="29" t="str">
        <f t="shared" si="157"/>
        <v>#DIV/0!</v>
      </c>
      <c r="AY154" s="29" t="str">
        <f t="shared" si="157"/>
        <v>#DIV/0!</v>
      </c>
      <c r="AZ154" s="29" t="str">
        <f t="shared" si="157"/>
        <v>#DIV/0!</v>
      </c>
      <c r="BA154" s="29" t="str">
        <f t="shared" si="157"/>
        <v>#DIV/0!</v>
      </c>
      <c r="BB154" s="29" t="str">
        <f t="shared" si="157"/>
        <v>#DIV/0!</v>
      </c>
      <c r="BC154" s="29" t="str">
        <f t="shared" si="157"/>
        <v>#DIV/0!</v>
      </c>
      <c r="BD154" s="29" t="str">
        <f t="shared" si="157"/>
        <v>#DIV/0!</v>
      </c>
      <c r="BE154" s="29" t="str">
        <f t="shared" si="157"/>
        <v>#DIV/0!</v>
      </c>
      <c r="BF154" s="29" t="str">
        <f t="shared" si="157"/>
        <v>#DIV/0!</v>
      </c>
      <c r="BG154" s="29" t="str">
        <f t="shared" si="157"/>
        <v>#DIV/0!</v>
      </c>
      <c r="BH154" s="29" t="str">
        <f t="shared" si="157"/>
        <v>#DIV/0!</v>
      </c>
      <c r="BI154" s="29" t="str">
        <f t="shared" si="157"/>
        <v>#DIV/0!</v>
      </c>
      <c r="BJ154" s="29" t="str">
        <f t="shared" si="157"/>
        <v>#DIV/0!</v>
      </c>
      <c r="BK154" s="29" t="str">
        <f t="shared" si="157"/>
        <v>#DIV/0!</v>
      </c>
      <c r="BL154" s="29" t="str">
        <f t="shared" si="157"/>
        <v>#DIV/0!</v>
      </c>
      <c r="BM154" s="29" t="str">
        <f t="shared" si="3"/>
        <v>#DIV/0!</v>
      </c>
    </row>
    <row r="155">
      <c r="A155" s="16" t="str">
        <f>IFERROR(__xludf.DUMMYFUNCTION("IFERROR(SPARKLINE(SORT(MAP(TRANSPOSE(AQ155:BL155), LAMBDA(val, IF(ISNUMBER(val), PERCENTRANK(AQ155:BL155, val)+0.01, 0))), SEQUENCE(COLUMNS(AQ155:BL155)), FALSE), {""charttype"",""column""; ""color"",""chartreuse""; ""ymin"", 0; ""ymax"", 1.01; ""highcolo"&amp;"r"", ""darkgreen""; ""lowcolor"", ""red""}), """")"),"")</f>
        <v/>
      </c>
      <c r="B155" s="17" t="str">
        <f t="shared" si="4"/>
        <v/>
      </c>
      <c r="C155" s="1" t="s">
        <v>3204</v>
      </c>
      <c r="D155" s="30" t="str">
        <f>IFERROR(__xludf.DUMMYFUNCTION("IFERROR(GOOGLEFINANCE(C155, ""NAME""))"),"")</f>
        <v/>
      </c>
      <c r="E155" s="30" t="s">
        <v>2692</v>
      </c>
      <c r="F155" s="33" t="str">
        <f>IFERROR(__xludf.DUMMYFUNCTION("( (GOOGLEFINANCE(C155, ""price"") - Q155) / Q155 ) / (R155 / 100)"),"Loading...")</f>
        <v>Loading...</v>
      </c>
      <c r="G155" s="20" t="str">
        <f>IFERROR(__xludf.DUMMYFUNCTION("AVERAGE(ARRAYFORMULA(100 * (QUERY(GOOGLEFINANCE(C155, ""high"", TODAY()-40, TODAY()), ""SELECT Col2 WHERE Col2 IS NOT NULL ORDER BY Col1 DESC LIMIT 20"", 0) / QUERY(GOOGLEFINANCE(C155, ""low"", TODAY()-40, TODAY()), ""SELECT Col2 WHERE Col2 IS NOT NULL OR"&amp;"DER BY Col1 DESC LIMIT 20"", 0) - 1)))"),"#N/A")</f>
        <v>#N/A</v>
      </c>
      <c r="H155" s="35" t="str">
        <f t="shared" si="6"/>
        <v/>
      </c>
      <c r="I155" s="35" t="str">
        <f t="shared" si="7"/>
        <v/>
      </c>
      <c r="J155" s="37" t="str">
        <f>IFERROR(__xludf.DUMMYFUNCTION("IFERROR(
  IF(C155="""",, 
    IFERROR(
      GOOGLEFINANCE(C155, ""price"") * GOOGLEFINANCE(C155, ""volumeavg""), 
      GOOGLEFINANCE(C155, ""price"") * AVERAGE(QUERY(GOOGLEFINANCE(C155, ""volume"", TODAY()-40, TODAY()), ""SELECT Col2 WHERE Col2 IS NOT "&amp;"NULL ORDER BY Col1 DESC LIMIT 20"", 0))
    )
  ), 
"""")"),"")</f>
        <v/>
      </c>
      <c r="K155" s="21" t="str">
        <f>IFERROR(__xludf.DUMMYFUNCTION("IFERROR(GOOGLEFINANCE(C155, ""changepct"") / 100, """")"),"")</f>
        <v/>
      </c>
      <c r="L155" s="21" t="str">
        <f>IFERROR(__xludf.DUMMYFUNCTION("IFERROR((GOOGLEFINANCE(C155, ""price"") / INDEX(GOOGLEFINANCE(C155, ""price"", TODAY()-7, TODAY()), 2, 2)) - 1, """")"),"")</f>
        <v/>
      </c>
      <c r="M155" s="21" t="str">
        <f>IFERROR(__xludf.DUMMYFUNCTION("IFERROR((GOOGLEFINANCE(C155, ""price"") / INDEX(GOOGLEFINANCE(C155, ""price"", EDATE(TODAY(), -1), TODAY()), 2, 2)) - 1, """")"),"")</f>
        <v/>
      </c>
      <c r="N155" s="21" t="str">
        <f>IFERROR(__xludf.DUMMYFUNCTION("IFERROR((GOOGLEFINANCE(C155, ""price"") / INDEX(GOOGLEFINANCE(C155, ""price"", EDATE(TODAY(), -3), TODAY()), 2, 2)) - 1, """")"),"")</f>
        <v/>
      </c>
      <c r="O155" s="21" t="str">
        <f>IFERROR(__xludf.DUMMYFUNCTION("IFERROR((GOOGLEFINANCE(C155, ""price"") / INDEX(GOOGLEFINANCE(C155, ""price"", EDATE(TODAY(), -6), TODAY()), 2, 2)) - 1, """")"),"")</f>
        <v/>
      </c>
      <c r="P155" s="21" t="str">
        <f>IFERROR(__xludf.DUMMYFUNCTION("IFERROR((GOOGLEFINANCE(C155, ""price"") / INDEX(GOOGLEFINANCE(C155, ""price"", EDATE(TODAY(), -12), TODAY()), 2, 2)) - 1, """")"),"")</f>
        <v/>
      </c>
      <c r="Q155" s="6" t="str">
        <f>IFERROR(__xludf.DUMMYFUNCTION("AVERAGE(QUERY(GOOGLEFINANCE(C155, ""price"", TODAY()-80, TODAY()), ""SELECT Col2 WHERE Col2 IS NOT NULL ORDER BY Col1 DESC LIMIT 50"", 0))"),"#N/A")</f>
        <v>#N/A</v>
      </c>
      <c r="R155" s="24" t="str">
        <f>IFERROR(__xludf.DUMMYFUNCTION("IFERROR(
  LET(
    data, QUERY(GOOGLEFINANCE(C155,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GOOGLEFINANCE(C155, ""price"")) * 100,
    IF(calc=0, G155, calc)
  ), 
G155)"),"#N/A")</f>
        <v>#N/A</v>
      </c>
      <c r="S155" s="8" t="s">
        <v>15</v>
      </c>
      <c r="T155" s="26" t="str">
        <f>IFERROR(__xludf.DUMMYFUNCTION("IFERROR(TRANSPOSE(QUERY(IFERROR(SORT(GOOGLEFINANCE(C155, ""price"", WORKDAY(TODAY(), -40), TODAY()), 1, FALSE)), ""select Col2 where Col2 is not null limit 22 label Col2 ''"", 0)), """")"),"")</f>
        <v/>
      </c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8"/>
      <c r="AO155" s="28"/>
      <c r="AP155" s="29"/>
      <c r="AQ155" s="29" t="str">
        <f t="shared" ref="AQ155:BL155" si="158">T155/T$2</f>
        <v>#N/A</v>
      </c>
      <c r="AR155" s="29" t="str">
        <f t="shared" si="158"/>
        <v>#DIV/0!</v>
      </c>
      <c r="AS155" s="29" t="str">
        <f t="shared" si="158"/>
        <v>#DIV/0!</v>
      </c>
      <c r="AT155" s="29" t="str">
        <f t="shared" si="158"/>
        <v>#DIV/0!</v>
      </c>
      <c r="AU155" s="29" t="str">
        <f t="shared" si="158"/>
        <v>#DIV/0!</v>
      </c>
      <c r="AV155" s="29" t="str">
        <f t="shared" si="158"/>
        <v>#DIV/0!</v>
      </c>
      <c r="AW155" s="29" t="str">
        <f t="shared" si="158"/>
        <v>#DIV/0!</v>
      </c>
      <c r="AX155" s="29" t="str">
        <f t="shared" si="158"/>
        <v>#DIV/0!</v>
      </c>
      <c r="AY155" s="29" t="str">
        <f t="shared" si="158"/>
        <v>#DIV/0!</v>
      </c>
      <c r="AZ155" s="29" t="str">
        <f t="shared" si="158"/>
        <v>#DIV/0!</v>
      </c>
      <c r="BA155" s="29" t="str">
        <f t="shared" si="158"/>
        <v>#DIV/0!</v>
      </c>
      <c r="BB155" s="29" t="str">
        <f t="shared" si="158"/>
        <v>#DIV/0!</v>
      </c>
      <c r="BC155" s="29" t="str">
        <f t="shared" si="158"/>
        <v>#DIV/0!</v>
      </c>
      <c r="BD155" s="29" t="str">
        <f t="shared" si="158"/>
        <v>#DIV/0!</v>
      </c>
      <c r="BE155" s="29" t="str">
        <f t="shared" si="158"/>
        <v>#DIV/0!</v>
      </c>
      <c r="BF155" s="29" t="str">
        <f t="shared" si="158"/>
        <v>#DIV/0!</v>
      </c>
      <c r="BG155" s="29" t="str">
        <f t="shared" si="158"/>
        <v>#DIV/0!</v>
      </c>
      <c r="BH155" s="29" t="str">
        <f t="shared" si="158"/>
        <v>#DIV/0!</v>
      </c>
      <c r="BI155" s="29" t="str">
        <f t="shared" si="158"/>
        <v>#DIV/0!</v>
      </c>
      <c r="BJ155" s="29" t="str">
        <f t="shared" si="158"/>
        <v>#DIV/0!</v>
      </c>
      <c r="BK155" s="29" t="str">
        <f t="shared" si="158"/>
        <v>#DIV/0!</v>
      </c>
      <c r="BL155" s="29" t="str">
        <f t="shared" si="158"/>
        <v>#DIV/0!</v>
      </c>
      <c r="BM155" s="29" t="str">
        <f t="shared" si="3"/>
        <v>#DIV/0!</v>
      </c>
    </row>
    <row r="156">
      <c r="A156" s="16" t="str">
        <f>IFERROR(__xludf.DUMMYFUNCTION("IFERROR(SPARKLINE(SORT(MAP(TRANSPOSE(AQ156:BL156), LAMBDA(val, IF(ISNUMBER(val), PERCENTRANK(AQ156:BL156, val)+0.01, 0))), SEQUENCE(COLUMNS(AQ156:BL156)), FALSE), {""charttype"",""column""; ""color"",""chartreuse""; ""ymin"", 0; ""ymax"", 1.01; ""highcolo"&amp;"r"", ""darkgreen""; ""lowcolor"", ""red""}), """")"),"")</f>
        <v/>
      </c>
      <c r="B156" s="17" t="str">
        <f t="shared" si="4"/>
        <v/>
      </c>
      <c r="C156" s="1" t="s">
        <v>3206</v>
      </c>
      <c r="D156" s="30" t="str">
        <f>IFERROR(__xludf.DUMMYFUNCTION("IFERROR(GOOGLEFINANCE(C156, ""NAME""))"),"Uniti Group Inc (Delaware)")</f>
        <v>Uniti Group Inc (Delaware)</v>
      </c>
      <c r="E156" s="30" t="s">
        <v>2709</v>
      </c>
      <c r="F156" s="38" t="str">
        <f>IFERROR(__xludf.DUMMYFUNCTION("( (GOOGLEFINANCE(C156, ""price"") - Q156) / Q156 ) / (R156 / 100)"),"Loading...")</f>
        <v>Loading...</v>
      </c>
      <c r="G156" s="20" t="str">
        <f>IFERROR(__xludf.DUMMYFUNCTION("AVERAGE(ARRAYFORMULA(100 * (QUERY(GOOGLEFINANCE(C156, ""high"", TODAY()-40, TODAY()), ""SELECT Col2 WHERE Col2 IS NOT NULL ORDER BY Col1 DESC LIMIT 20"", 0) / QUERY(GOOGLEFINANCE(C156, ""low"", TODAY()-40, TODAY()), ""SELECT Col2 WHERE Col2 IS NOT NULL OR"&amp;"DER BY Col1 DESC LIMIT 20"", 0) - 1)))"),"#N/A")</f>
        <v>#N/A</v>
      </c>
      <c r="H156" s="35" t="str">
        <f t="shared" si="6"/>
        <v>Illiquid</v>
      </c>
      <c r="I156" s="35" t="str">
        <f t="shared" si="7"/>
        <v>RVol Required</v>
      </c>
      <c r="J156" s="37">
        <f>IFERROR(__xludf.DUMMYFUNCTION("IFERROR(
  IF(C156="""",, 
    IFERROR(
      GOOGLEFINANCE(C156, ""price"") * GOOGLEFINANCE(C156, ""volumeavg""), 
      GOOGLEFINANCE(C156, ""price"") * AVERAGE(QUERY(GOOGLEFINANCE(C156, ""volume"", TODAY()-40, TODAY()), ""SELECT Col2 WHERE Col2 IS NOT "&amp;"NULL ORDER BY Col1 DESC LIMIT 20"", 0))
    )
  ), 
"""")"),1.7396204E7)</f>
        <v>17396204</v>
      </c>
      <c r="K156" s="21">
        <f>IFERROR(__xludf.DUMMYFUNCTION("IFERROR(GOOGLEFINANCE(C156, ""changepct"") / 100, """")"),-0.0674)</f>
        <v>-0.0674</v>
      </c>
      <c r="L156" s="21" t="str">
        <f>IFERROR(__xludf.DUMMYFUNCTION("IFERROR((GOOGLEFINANCE(C156, ""price"") / INDEX(GOOGLEFINANCE(C156, ""price"", TODAY()-7, TODAY()), 2, 2)) - 1, """")"),"")</f>
        <v/>
      </c>
      <c r="M156" s="21" t="str">
        <f>IFERROR(__xludf.DUMMYFUNCTION("IFERROR((GOOGLEFINANCE(C156, ""price"") / INDEX(GOOGLEFINANCE(C156, ""price"", EDATE(TODAY(), -1), TODAY()), 2, 2)) - 1, """")"),"")</f>
        <v/>
      </c>
      <c r="N156" s="21" t="str">
        <f>IFERROR(__xludf.DUMMYFUNCTION("IFERROR((GOOGLEFINANCE(C156, ""price"") / INDEX(GOOGLEFINANCE(C156, ""price"", EDATE(TODAY(), -3), TODAY()), 2, 2)) - 1, """")"),"")</f>
        <v/>
      </c>
      <c r="O156" s="21" t="str">
        <f>IFERROR(__xludf.DUMMYFUNCTION("IFERROR((GOOGLEFINANCE(C156, ""price"") / INDEX(GOOGLEFINANCE(C156, ""price"", EDATE(TODAY(), -6), TODAY()), 2, 2)) - 1, """")"),"")</f>
        <v/>
      </c>
      <c r="P156" s="21" t="str">
        <f>IFERROR(__xludf.DUMMYFUNCTION("IFERROR((GOOGLEFINANCE(C156, ""price"") / INDEX(GOOGLEFINANCE(C156, ""price"", EDATE(TODAY(), -12), TODAY()), 2, 2)) - 1, """")"),"")</f>
        <v/>
      </c>
      <c r="Q156" s="6" t="str">
        <f>IFERROR(__xludf.DUMMYFUNCTION("AVERAGE(QUERY(GOOGLEFINANCE(C156, ""price"", TODAY()-80, TODAY()), ""SELECT Col2 WHERE Col2 IS NOT NULL ORDER BY Col1 DESC LIMIT 50"", 0))"),"#N/A")</f>
        <v>#N/A</v>
      </c>
      <c r="R156" s="24" t="str">
        <f>IFERROR(__xludf.DUMMYFUNCTION("IFERROR(
  LET(
    data, QUERY(GOOGLEFINANCE(C156,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GOOGLEFINANCE(C156, ""price"")) * 100,
    IF(calc=0, G156, calc)
  ), 
G156)"),"#N/A")</f>
        <v>#N/A</v>
      </c>
      <c r="S156" s="8" t="s">
        <v>15</v>
      </c>
      <c r="T156" s="26" t="str">
        <f>IFERROR(__xludf.DUMMYFUNCTION("IFERROR(TRANSPOSE(QUERY(IFERROR(SORT(GOOGLEFINANCE(C156, ""price"", WORKDAY(TODAY(), -40), TODAY()), 1, FALSE)), ""select Col2 where Col2 is not null limit 22 label Col2 ''"", 0)), """")"),"")</f>
        <v/>
      </c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8"/>
      <c r="AO156" s="28"/>
      <c r="AP156" s="29"/>
      <c r="AQ156" s="29" t="str">
        <f t="shared" ref="AQ156:BL156" si="159">T156/T$2</f>
        <v>#N/A</v>
      </c>
      <c r="AR156" s="29" t="str">
        <f t="shared" si="159"/>
        <v>#DIV/0!</v>
      </c>
      <c r="AS156" s="29" t="str">
        <f t="shared" si="159"/>
        <v>#DIV/0!</v>
      </c>
      <c r="AT156" s="29" t="str">
        <f t="shared" si="159"/>
        <v>#DIV/0!</v>
      </c>
      <c r="AU156" s="29" t="str">
        <f t="shared" si="159"/>
        <v>#DIV/0!</v>
      </c>
      <c r="AV156" s="29" t="str">
        <f t="shared" si="159"/>
        <v>#DIV/0!</v>
      </c>
      <c r="AW156" s="29" t="str">
        <f t="shared" si="159"/>
        <v>#DIV/0!</v>
      </c>
      <c r="AX156" s="29" t="str">
        <f t="shared" si="159"/>
        <v>#DIV/0!</v>
      </c>
      <c r="AY156" s="29" t="str">
        <f t="shared" si="159"/>
        <v>#DIV/0!</v>
      </c>
      <c r="AZ156" s="29" t="str">
        <f t="shared" si="159"/>
        <v>#DIV/0!</v>
      </c>
      <c r="BA156" s="29" t="str">
        <f t="shared" si="159"/>
        <v>#DIV/0!</v>
      </c>
      <c r="BB156" s="29" t="str">
        <f t="shared" si="159"/>
        <v>#DIV/0!</v>
      </c>
      <c r="BC156" s="29" t="str">
        <f t="shared" si="159"/>
        <v>#DIV/0!</v>
      </c>
      <c r="BD156" s="29" t="str">
        <f t="shared" si="159"/>
        <v>#DIV/0!</v>
      </c>
      <c r="BE156" s="29" t="str">
        <f t="shared" si="159"/>
        <v>#DIV/0!</v>
      </c>
      <c r="BF156" s="29" t="str">
        <f t="shared" si="159"/>
        <v>#DIV/0!</v>
      </c>
      <c r="BG156" s="29" t="str">
        <f t="shared" si="159"/>
        <v>#DIV/0!</v>
      </c>
      <c r="BH156" s="29" t="str">
        <f t="shared" si="159"/>
        <v>#DIV/0!</v>
      </c>
      <c r="BI156" s="29" t="str">
        <f t="shared" si="159"/>
        <v>#DIV/0!</v>
      </c>
      <c r="BJ156" s="29" t="str">
        <f t="shared" si="159"/>
        <v>#DIV/0!</v>
      </c>
      <c r="BK156" s="29" t="str">
        <f t="shared" si="159"/>
        <v>#DIV/0!</v>
      </c>
      <c r="BL156" s="29" t="str">
        <f t="shared" si="159"/>
        <v>#DIV/0!</v>
      </c>
      <c r="BM156" s="29" t="str">
        <f t="shared" si="3"/>
        <v>#DIV/0!</v>
      </c>
    </row>
    <row r="157">
      <c r="A157" s="16" t="str">
        <f>IFERROR(__xludf.DUMMYFUNCTION("IFERROR(SPARKLINE(SORT(MAP(TRANSPOSE(AQ157:BL157), LAMBDA(val, IF(ISNUMBER(val), PERCENTRANK(AQ157:BL157, val)+0.01, 0))), SEQUENCE(COLUMNS(AQ157:BL157)), FALSE), {""charttype"",""column""; ""color"",""chartreuse""; ""ymin"", 0; ""ymax"", 1.01; ""highcolo"&amp;"r"", ""darkgreen""; ""lowcolor"", ""red""}), """")"),"")</f>
        <v/>
      </c>
      <c r="B157" s="17" t="str">
        <f t="shared" si="4"/>
        <v/>
      </c>
      <c r="C157" s="1" t="s">
        <v>3209</v>
      </c>
      <c r="D157" s="30" t="str">
        <f>IFERROR(__xludf.DUMMYFUNCTION("IFERROR(GOOGLEFINANCE(C157, ""NAME""))"),"Digital Realty Trust Inc")</f>
        <v>Digital Realty Trust Inc</v>
      </c>
      <c r="E157" s="30" t="s">
        <v>2709</v>
      </c>
      <c r="F157" s="33" t="str">
        <f>IFERROR(__xludf.DUMMYFUNCTION("( (GOOGLEFINANCE(C157, ""price"") - Q157) / Q157 ) / (R157 / 100)"),"Loading...")</f>
        <v>Loading...</v>
      </c>
      <c r="G157" s="20" t="str">
        <f>IFERROR(__xludf.DUMMYFUNCTION("AVERAGE(ARRAYFORMULA(100 * (QUERY(GOOGLEFINANCE(C157, ""high"", TODAY()-40, TODAY()), ""SELECT Col2 WHERE Col2 IS NOT NULL ORDER BY Col1 DESC LIMIT 20"", 0) / QUERY(GOOGLEFINANCE(C157, ""low"", TODAY()-40, TODAY()), ""SELECT Col2 WHERE Col2 IS NOT NULL OR"&amp;"DER BY Col1 DESC LIMIT 20"", 0) - 1)))"),"#N/A")</f>
        <v>#N/A</v>
      </c>
      <c r="H157" s="35" t="str">
        <f t="shared" si="6"/>
        <v>Liquid</v>
      </c>
      <c r="I157" s="35" t="str">
        <f t="shared" si="7"/>
        <v>RVol Required</v>
      </c>
      <c r="J157" s="37">
        <f>IFERROR(__xludf.DUMMYFUNCTION("IFERROR(
  IF(C157="""",, 
    IFERROR(
      GOOGLEFINANCE(C157, ""price"") * GOOGLEFINANCE(C157, ""volumeavg""), 
      GOOGLEFINANCE(C157, ""price"") * AVERAGE(QUERY(GOOGLEFINANCE(C157, ""volume"", TODAY()-40, TODAY()), ""SELECT Col2 WHERE Col2 IS NOT "&amp;"NULL ORDER BY Col1 DESC LIMIT 20"", 0))
    )
  ), 
"""")"),3.2252327107E8)</f>
        <v>322523271.1</v>
      </c>
      <c r="K157" s="21">
        <f>IFERROR(__xludf.DUMMYFUNCTION("IFERROR(GOOGLEFINANCE(C157, ""changepct"") / 100, """")"),0.0086)</f>
        <v>0.0086</v>
      </c>
      <c r="L157" s="21" t="str">
        <f>IFERROR(__xludf.DUMMYFUNCTION("IFERROR((GOOGLEFINANCE(C157, ""price"") / INDEX(GOOGLEFINANCE(C157, ""price"", TODAY()-7, TODAY()), 2, 2)) - 1, """")"),"")</f>
        <v/>
      </c>
      <c r="M157" s="21" t="str">
        <f>IFERROR(__xludf.DUMMYFUNCTION("IFERROR((GOOGLEFINANCE(C157, ""price"") / INDEX(GOOGLEFINANCE(C157, ""price"", EDATE(TODAY(), -1), TODAY()), 2, 2)) - 1, """")"),"")</f>
        <v/>
      </c>
      <c r="N157" s="21" t="str">
        <f>IFERROR(__xludf.DUMMYFUNCTION("IFERROR((GOOGLEFINANCE(C157, ""price"") / INDEX(GOOGLEFINANCE(C157, ""price"", EDATE(TODAY(), -3), TODAY()), 2, 2)) - 1, """")"),"")</f>
        <v/>
      </c>
      <c r="O157" s="21" t="str">
        <f>IFERROR(__xludf.DUMMYFUNCTION("IFERROR((GOOGLEFINANCE(C157, ""price"") / INDEX(GOOGLEFINANCE(C157, ""price"", EDATE(TODAY(), -6), TODAY()), 2, 2)) - 1, """")"),"")</f>
        <v/>
      </c>
      <c r="P157" s="21" t="str">
        <f>IFERROR(__xludf.DUMMYFUNCTION("IFERROR((GOOGLEFINANCE(C157, ""price"") / INDEX(GOOGLEFINANCE(C157, ""price"", EDATE(TODAY(), -12), TODAY()), 2, 2)) - 1, """")"),"")</f>
        <v/>
      </c>
      <c r="Q157" s="6" t="str">
        <f>IFERROR(__xludf.DUMMYFUNCTION("AVERAGE(QUERY(GOOGLEFINANCE(C157, ""price"", TODAY()-80, TODAY()), ""SELECT Col2 WHERE Col2 IS NOT NULL ORDER BY Col1 DESC LIMIT 50"", 0))"),"#N/A")</f>
        <v>#N/A</v>
      </c>
      <c r="R157" s="24" t="str">
        <f>IFERROR(__xludf.DUMMYFUNCTION("IFERROR(
  LET(
    data, QUERY(GOOGLEFINANCE(C157,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GOOGLEFINANCE(C157, ""price"")) * 100,
    IF(calc=0, G157, calc)
  ), 
G157)"),"#N/A")</f>
        <v>#N/A</v>
      </c>
      <c r="S157" s="8" t="s">
        <v>15</v>
      </c>
      <c r="T157" s="26" t="str">
        <f>IFERROR(__xludf.DUMMYFUNCTION("IFERROR(TRANSPOSE(QUERY(IFERROR(SORT(GOOGLEFINANCE(C157, ""price"", WORKDAY(TODAY(), -40), TODAY()), 1, FALSE)), ""select Col2 where Col2 is not null limit 22 label Col2 ''"", 0)), """")"),"")</f>
        <v/>
      </c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8"/>
      <c r="AO157" s="28"/>
      <c r="AP157" s="29"/>
      <c r="AQ157" s="29" t="str">
        <f t="shared" ref="AQ157:BL157" si="160">T157/T$2</f>
        <v>#N/A</v>
      </c>
      <c r="AR157" s="29" t="str">
        <f t="shared" si="160"/>
        <v>#DIV/0!</v>
      </c>
      <c r="AS157" s="29" t="str">
        <f t="shared" si="160"/>
        <v>#DIV/0!</v>
      </c>
      <c r="AT157" s="29" t="str">
        <f t="shared" si="160"/>
        <v>#DIV/0!</v>
      </c>
      <c r="AU157" s="29" t="str">
        <f t="shared" si="160"/>
        <v>#DIV/0!</v>
      </c>
      <c r="AV157" s="29" t="str">
        <f t="shared" si="160"/>
        <v>#DIV/0!</v>
      </c>
      <c r="AW157" s="29" t="str">
        <f t="shared" si="160"/>
        <v>#DIV/0!</v>
      </c>
      <c r="AX157" s="29" t="str">
        <f t="shared" si="160"/>
        <v>#DIV/0!</v>
      </c>
      <c r="AY157" s="29" t="str">
        <f t="shared" si="160"/>
        <v>#DIV/0!</v>
      </c>
      <c r="AZ157" s="29" t="str">
        <f t="shared" si="160"/>
        <v>#DIV/0!</v>
      </c>
      <c r="BA157" s="29" t="str">
        <f t="shared" si="160"/>
        <v>#DIV/0!</v>
      </c>
      <c r="BB157" s="29" t="str">
        <f t="shared" si="160"/>
        <v>#DIV/0!</v>
      </c>
      <c r="BC157" s="29" t="str">
        <f t="shared" si="160"/>
        <v>#DIV/0!</v>
      </c>
      <c r="BD157" s="29" t="str">
        <f t="shared" si="160"/>
        <v>#DIV/0!</v>
      </c>
      <c r="BE157" s="29" t="str">
        <f t="shared" si="160"/>
        <v>#DIV/0!</v>
      </c>
      <c r="BF157" s="29" t="str">
        <f t="shared" si="160"/>
        <v>#DIV/0!</v>
      </c>
      <c r="BG157" s="29" t="str">
        <f t="shared" si="160"/>
        <v>#DIV/0!</v>
      </c>
      <c r="BH157" s="29" t="str">
        <f t="shared" si="160"/>
        <v>#DIV/0!</v>
      </c>
      <c r="BI157" s="29" t="str">
        <f t="shared" si="160"/>
        <v>#DIV/0!</v>
      </c>
      <c r="BJ157" s="29" t="str">
        <f t="shared" si="160"/>
        <v>#DIV/0!</v>
      </c>
      <c r="BK157" s="29" t="str">
        <f t="shared" si="160"/>
        <v>#DIV/0!</v>
      </c>
      <c r="BL157" s="29" t="str">
        <f t="shared" si="160"/>
        <v>#DIV/0!</v>
      </c>
      <c r="BM157" s="29" t="str">
        <f t="shared" si="3"/>
        <v>#DIV/0!</v>
      </c>
    </row>
    <row r="158">
      <c r="A158" s="16" t="str">
        <f>IFERROR(__xludf.DUMMYFUNCTION("IFERROR(SPARKLINE(SORT(MAP(TRANSPOSE(AQ158:BL158), LAMBDA(val, IF(ISNUMBER(val), PERCENTRANK(AQ158:BL158, val)+0.01, 0))), SEQUENCE(COLUMNS(AQ158:BL158)), FALSE), {""charttype"",""column""; ""color"",""chartreuse""; ""ymin"", 0; ""ymax"", 1.01; ""highcolo"&amp;"r"", ""darkgreen""; ""lowcolor"", ""red""}), """")"),"")</f>
        <v/>
      </c>
      <c r="B158" s="17" t="str">
        <f t="shared" si="4"/>
        <v/>
      </c>
      <c r="C158" s="1" t="s">
        <v>3212</v>
      </c>
      <c r="D158" s="30" t="str">
        <f>IFERROR(__xludf.DUMMYFUNCTION("IFERROR(GOOGLEFINANCE(C158, ""NAME""))"),"Apollo Commercial Real Estate Financ Inc")</f>
        <v>Apollo Commercial Real Estate Financ Inc</v>
      </c>
      <c r="E158" s="30" t="s">
        <v>2682</v>
      </c>
      <c r="F158" s="33" t="str">
        <f>IFERROR(__xludf.DUMMYFUNCTION("( (GOOGLEFINANCE(C158, ""price"") - Q158) / Q158 ) / (R158 / 100)"),"Loading...")</f>
        <v>Loading...</v>
      </c>
      <c r="G158" s="20" t="str">
        <f>IFERROR(__xludf.DUMMYFUNCTION("AVERAGE(ARRAYFORMULA(100 * (QUERY(GOOGLEFINANCE(C158, ""high"", TODAY()-40, TODAY()), ""SELECT Col2 WHERE Col2 IS NOT NULL ORDER BY Col1 DESC LIMIT 20"", 0) / QUERY(GOOGLEFINANCE(C158, ""low"", TODAY()-40, TODAY()), ""SELECT Col2 WHERE Col2 IS NOT NULL OR"&amp;"DER BY Col1 DESC LIMIT 20"", 0) - 1)))"),"#N/A")</f>
        <v>#N/A</v>
      </c>
      <c r="H158" s="35" t="str">
        <f t="shared" si="6"/>
        <v>Illiquid</v>
      </c>
      <c r="I158" s="35" t="str">
        <f t="shared" si="7"/>
        <v>RVol Required</v>
      </c>
      <c r="J158" s="37">
        <f>IFERROR(__xludf.DUMMYFUNCTION("IFERROR(
  IF(C158="""",, 
    IFERROR(
      GOOGLEFINANCE(C158, ""price"") * GOOGLEFINANCE(C158, ""volumeavg""), 
      GOOGLEFINANCE(C158, ""price"") * AVERAGE(QUERY(GOOGLEFINANCE(C158, ""volume"", TODAY()-40, TODAY()), ""SELECT Col2 WHERE Col2 IS NOT "&amp;"NULL ORDER BY Col1 DESC LIMIT 20"", 0))
    )
  ), 
"""")"),1.861051104E7)</f>
        <v>18610511.04</v>
      </c>
      <c r="K158" s="21">
        <f>IFERROR(__xludf.DUMMYFUNCTION("IFERROR(GOOGLEFINANCE(C158, ""changepct"") / 100, """")"),-0.004699999999999999)</f>
        <v>-0.0047</v>
      </c>
      <c r="L158" s="21" t="str">
        <f>IFERROR(__xludf.DUMMYFUNCTION("IFERROR((GOOGLEFINANCE(C158, ""price"") / INDEX(GOOGLEFINANCE(C158, ""price"", TODAY()-7, TODAY()), 2, 2)) - 1, """")"),"")</f>
        <v/>
      </c>
      <c r="M158" s="21" t="str">
        <f>IFERROR(__xludf.DUMMYFUNCTION("IFERROR((GOOGLEFINANCE(C158, ""price"") / INDEX(GOOGLEFINANCE(C158, ""price"", EDATE(TODAY(), -1), TODAY()), 2, 2)) - 1, """")"),"")</f>
        <v/>
      </c>
      <c r="N158" s="21" t="str">
        <f>IFERROR(__xludf.DUMMYFUNCTION("IFERROR((GOOGLEFINANCE(C158, ""price"") / INDEX(GOOGLEFINANCE(C158, ""price"", EDATE(TODAY(), -3), TODAY()), 2, 2)) - 1, """")"),"")</f>
        <v/>
      </c>
      <c r="O158" s="21" t="str">
        <f>IFERROR(__xludf.DUMMYFUNCTION("IFERROR((GOOGLEFINANCE(C158, ""price"") / INDEX(GOOGLEFINANCE(C158, ""price"", EDATE(TODAY(), -6), TODAY()), 2, 2)) - 1, """")"),"")</f>
        <v/>
      </c>
      <c r="P158" s="21" t="str">
        <f>IFERROR(__xludf.DUMMYFUNCTION("IFERROR((GOOGLEFINANCE(C158, ""price"") / INDEX(GOOGLEFINANCE(C158, ""price"", EDATE(TODAY(), -12), TODAY()), 2, 2)) - 1, """")"),"")</f>
        <v/>
      </c>
      <c r="Q158" s="6" t="str">
        <f>IFERROR(__xludf.DUMMYFUNCTION("AVERAGE(QUERY(GOOGLEFINANCE(C158, ""price"", TODAY()-80, TODAY()), ""SELECT Col2 WHERE Col2 IS NOT NULL ORDER BY Col1 DESC LIMIT 50"", 0))"),"#N/A")</f>
        <v>#N/A</v>
      </c>
      <c r="R158" s="24" t="str">
        <f>IFERROR(__xludf.DUMMYFUNCTION("IFERROR(
  LET(
    data, QUERY(GOOGLEFINANCE(C158,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GOOGLEFINANCE(C158, ""price"")) * 100,
    IF(calc=0, G158, calc)
  ), 
G158)"),"#N/A")</f>
        <v>#N/A</v>
      </c>
      <c r="S158" s="8" t="s">
        <v>15</v>
      </c>
      <c r="T158" s="26" t="str">
        <f>IFERROR(__xludf.DUMMYFUNCTION("IFERROR(TRANSPOSE(QUERY(IFERROR(SORT(GOOGLEFINANCE(C158, ""price"", WORKDAY(TODAY(), -40), TODAY()), 1, FALSE)), ""select Col2 where Col2 is not null limit 22 label Col2 ''"", 0)), """")"),"")</f>
        <v/>
      </c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8"/>
      <c r="AO158" s="28"/>
      <c r="AP158" s="29"/>
      <c r="AQ158" s="29" t="str">
        <f t="shared" ref="AQ158:BL158" si="161">T158/T$2</f>
        <v>#N/A</v>
      </c>
      <c r="AR158" s="29" t="str">
        <f t="shared" si="161"/>
        <v>#DIV/0!</v>
      </c>
      <c r="AS158" s="29" t="str">
        <f t="shared" si="161"/>
        <v>#DIV/0!</v>
      </c>
      <c r="AT158" s="29" t="str">
        <f t="shared" si="161"/>
        <v>#DIV/0!</v>
      </c>
      <c r="AU158" s="29" t="str">
        <f t="shared" si="161"/>
        <v>#DIV/0!</v>
      </c>
      <c r="AV158" s="29" t="str">
        <f t="shared" si="161"/>
        <v>#DIV/0!</v>
      </c>
      <c r="AW158" s="29" t="str">
        <f t="shared" si="161"/>
        <v>#DIV/0!</v>
      </c>
      <c r="AX158" s="29" t="str">
        <f t="shared" si="161"/>
        <v>#DIV/0!</v>
      </c>
      <c r="AY158" s="29" t="str">
        <f t="shared" si="161"/>
        <v>#DIV/0!</v>
      </c>
      <c r="AZ158" s="29" t="str">
        <f t="shared" si="161"/>
        <v>#DIV/0!</v>
      </c>
      <c r="BA158" s="29" t="str">
        <f t="shared" si="161"/>
        <v>#DIV/0!</v>
      </c>
      <c r="BB158" s="29" t="str">
        <f t="shared" si="161"/>
        <v>#DIV/0!</v>
      </c>
      <c r="BC158" s="29" t="str">
        <f t="shared" si="161"/>
        <v>#DIV/0!</v>
      </c>
      <c r="BD158" s="29" t="str">
        <f t="shared" si="161"/>
        <v>#DIV/0!</v>
      </c>
      <c r="BE158" s="29" t="str">
        <f t="shared" si="161"/>
        <v>#DIV/0!</v>
      </c>
      <c r="BF158" s="29" t="str">
        <f t="shared" si="161"/>
        <v>#DIV/0!</v>
      </c>
      <c r="BG158" s="29" t="str">
        <f t="shared" si="161"/>
        <v>#DIV/0!</v>
      </c>
      <c r="BH158" s="29" t="str">
        <f t="shared" si="161"/>
        <v>#DIV/0!</v>
      </c>
      <c r="BI158" s="29" t="str">
        <f t="shared" si="161"/>
        <v>#DIV/0!</v>
      </c>
      <c r="BJ158" s="29" t="str">
        <f t="shared" si="161"/>
        <v>#DIV/0!</v>
      </c>
      <c r="BK158" s="29" t="str">
        <f t="shared" si="161"/>
        <v>#DIV/0!</v>
      </c>
      <c r="BL158" s="29" t="str">
        <f t="shared" si="161"/>
        <v>#DIV/0!</v>
      </c>
      <c r="BM158" s="29" t="str">
        <f t="shared" si="3"/>
        <v>#DIV/0!</v>
      </c>
    </row>
    <row r="159">
      <c r="A159" s="16" t="str">
        <f>IFERROR(__xludf.DUMMYFUNCTION("IFERROR(SPARKLINE(SORT(MAP(TRANSPOSE(AQ159:BL159), LAMBDA(val, IF(ISNUMBER(val), PERCENTRANK(AQ159:BL159, val)+0.01, 0))), SEQUENCE(COLUMNS(AQ159:BL159)), FALSE), {""charttype"",""column""; ""color"",""chartreuse""; ""ymin"", 0; ""ymax"", 1.01; ""highcolo"&amp;"r"", ""darkgreen""; ""lowcolor"", ""red""}), """")"),"")</f>
        <v/>
      </c>
      <c r="B159" s="17" t="str">
        <f t="shared" si="4"/>
        <v/>
      </c>
      <c r="C159" s="1" t="s">
        <v>3215</v>
      </c>
      <c r="D159" s="30" t="str">
        <f>IFERROR(__xludf.DUMMYFUNCTION("IFERROR(GOOGLEFINANCE(C159, ""NAME""))"),"Dynex Capital Inc")</f>
        <v>Dynex Capital Inc</v>
      </c>
      <c r="E159" s="30" t="s">
        <v>2682</v>
      </c>
      <c r="F159" s="33" t="str">
        <f>IFERROR(__xludf.DUMMYFUNCTION("( (GOOGLEFINANCE(C159, ""price"") - Q159) / Q159 ) / (R159 / 100)"),"Loading...")</f>
        <v>Loading...</v>
      </c>
      <c r="G159" s="20" t="str">
        <f>IFERROR(__xludf.DUMMYFUNCTION("AVERAGE(ARRAYFORMULA(100 * (QUERY(GOOGLEFINANCE(C159, ""high"", TODAY()-40, TODAY()), ""SELECT Col2 WHERE Col2 IS NOT NULL ORDER BY Col1 DESC LIMIT 20"", 0) / QUERY(GOOGLEFINANCE(C159, ""low"", TODAY()-40, TODAY()), ""SELECT Col2 WHERE Col2 IS NOT NULL OR"&amp;"DER BY Col1 DESC LIMIT 20"", 0) - 1)))"),"#N/A")</f>
        <v>#N/A</v>
      </c>
      <c r="H159" s="35" t="str">
        <f t="shared" si="6"/>
        <v>Liquid</v>
      </c>
      <c r="I159" s="35" t="str">
        <f t="shared" si="7"/>
        <v>RVol Required</v>
      </c>
      <c r="J159" s="37">
        <f>IFERROR(__xludf.DUMMYFUNCTION("IFERROR(
  IF(C159="""",, 
    IFERROR(
      GOOGLEFINANCE(C159, ""price"") * GOOGLEFINANCE(C159, ""volumeavg""), 
      GOOGLEFINANCE(C159, ""price"") * AVERAGE(QUERY(GOOGLEFINANCE(C159, ""volume"", TODAY()-40, TODAY()), ""SELECT Col2 WHERE Col2 IS NOT "&amp;"NULL ORDER BY Col1 DESC LIMIT 20"", 0))
    )
  ), 
"""")"),8.127026639E7)</f>
        <v>81270266.39</v>
      </c>
      <c r="K159" s="21">
        <f>IFERROR(__xludf.DUMMYFUNCTION("IFERROR(GOOGLEFINANCE(C159, ""changepct"") / 100, """")"),-0.0171)</f>
        <v>-0.0171</v>
      </c>
      <c r="L159" s="21" t="str">
        <f>IFERROR(__xludf.DUMMYFUNCTION("IFERROR((GOOGLEFINANCE(C159, ""price"") / INDEX(GOOGLEFINANCE(C159, ""price"", TODAY()-7, TODAY()), 2, 2)) - 1, """")"),"")</f>
        <v/>
      </c>
      <c r="M159" s="21" t="str">
        <f>IFERROR(__xludf.DUMMYFUNCTION("IFERROR((GOOGLEFINANCE(C159, ""price"") / INDEX(GOOGLEFINANCE(C159, ""price"", EDATE(TODAY(), -1), TODAY()), 2, 2)) - 1, """")"),"")</f>
        <v/>
      </c>
      <c r="N159" s="21" t="str">
        <f>IFERROR(__xludf.DUMMYFUNCTION("IFERROR((GOOGLEFINANCE(C159, ""price"") / INDEX(GOOGLEFINANCE(C159, ""price"", EDATE(TODAY(), -3), TODAY()), 2, 2)) - 1, """")"),"")</f>
        <v/>
      </c>
      <c r="O159" s="21" t="str">
        <f>IFERROR(__xludf.DUMMYFUNCTION("IFERROR((GOOGLEFINANCE(C159, ""price"") / INDEX(GOOGLEFINANCE(C159, ""price"", EDATE(TODAY(), -6), TODAY()), 2, 2)) - 1, """")"),"")</f>
        <v/>
      </c>
      <c r="P159" s="21" t="str">
        <f>IFERROR(__xludf.DUMMYFUNCTION("IFERROR((GOOGLEFINANCE(C159, ""price"") / INDEX(GOOGLEFINANCE(C159, ""price"", EDATE(TODAY(), -12), TODAY()), 2, 2)) - 1, """")"),"")</f>
        <v/>
      </c>
      <c r="Q159" s="6" t="str">
        <f>IFERROR(__xludf.DUMMYFUNCTION("AVERAGE(QUERY(GOOGLEFINANCE(C159, ""price"", TODAY()-80, TODAY()), ""SELECT Col2 WHERE Col2 IS NOT NULL ORDER BY Col1 DESC LIMIT 50"", 0))"),"#N/A")</f>
        <v>#N/A</v>
      </c>
      <c r="R159" s="24" t="str">
        <f>IFERROR(__xludf.DUMMYFUNCTION("IFERROR(
  LET(
    data, QUERY(GOOGLEFINANCE(C159,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GOOGLEFINANCE(C159, ""price"")) * 100,
    IF(calc=0, G159, calc)
  ), 
G159)"),"#N/A")</f>
        <v>#N/A</v>
      </c>
      <c r="S159" s="8" t="s">
        <v>15</v>
      </c>
      <c r="T159" s="26" t="str">
        <f>IFERROR(__xludf.DUMMYFUNCTION("IFERROR(TRANSPOSE(QUERY(IFERROR(SORT(GOOGLEFINANCE(C159, ""price"", WORKDAY(TODAY(), -40), TODAY()), 1, FALSE)), ""select Col2 where Col2 is not null limit 22 label Col2 ''"", 0)), """")"),"")</f>
        <v/>
      </c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8"/>
      <c r="AO159" s="28"/>
      <c r="AP159" s="29"/>
      <c r="AQ159" s="29" t="str">
        <f t="shared" ref="AQ159:BL159" si="162">T159/T$2</f>
        <v>#N/A</v>
      </c>
      <c r="AR159" s="29" t="str">
        <f t="shared" si="162"/>
        <v>#DIV/0!</v>
      </c>
      <c r="AS159" s="29" t="str">
        <f t="shared" si="162"/>
        <v>#DIV/0!</v>
      </c>
      <c r="AT159" s="29" t="str">
        <f t="shared" si="162"/>
        <v>#DIV/0!</v>
      </c>
      <c r="AU159" s="29" t="str">
        <f t="shared" si="162"/>
        <v>#DIV/0!</v>
      </c>
      <c r="AV159" s="29" t="str">
        <f t="shared" si="162"/>
        <v>#DIV/0!</v>
      </c>
      <c r="AW159" s="29" t="str">
        <f t="shared" si="162"/>
        <v>#DIV/0!</v>
      </c>
      <c r="AX159" s="29" t="str">
        <f t="shared" si="162"/>
        <v>#DIV/0!</v>
      </c>
      <c r="AY159" s="29" t="str">
        <f t="shared" si="162"/>
        <v>#DIV/0!</v>
      </c>
      <c r="AZ159" s="29" t="str">
        <f t="shared" si="162"/>
        <v>#DIV/0!</v>
      </c>
      <c r="BA159" s="29" t="str">
        <f t="shared" si="162"/>
        <v>#DIV/0!</v>
      </c>
      <c r="BB159" s="29" t="str">
        <f t="shared" si="162"/>
        <v>#DIV/0!</v>
      </c>
      <c r="BC159" s="29" t="str">
        <f t="shared" si="162"/>
        <v>#DIV/0!</v>
      </c>
      <c r="BD159" s="29" t="str">
        <f t="shared" si="162"/>
        <v>#DIV/0!</v>
      </c>
      <c r="BE159" s="29" t="str">
        <f t="shared" si="162"/>
        <v>#DIV/0!</v>
      </c>
      <c r="BF159" s="29" t="str">
        <f t="shared" si="162"/>
        <v>#DIV/0!</v>
      </c>
      <c r="BG159" s="29" t="str">
        <f t="shared" si="162"/>
        <v>#DIV/0!</v>
      </c>
      <c r="BH159" s="29" t="str">
        <f t="shared" si="162"/>
        <v>#DIV/0!</v>
      </c>
      <c r="BI159" s="29" t="str">
        <f t="shared" si="162"/>
        <v>#DIV/0!</v>
      </c>
      <c r="BJ159" s="29" t="str">
        <f t="shared" si="162"/>
        <v>#DIV/0!</v>
      </c>
      <c r="BK159" s="29" t="str">
        <f t="shared" si="162"/>
        <v>#DIV/0!</v>
      </c>
      <c r="BL159" s="29" t="str">
        <f t="shared" si="162"/>
        <v>#DIV/0!</v>
      </c>
      <c r="BM159" s="29" t="str">
        <f t="shared" si="3"/>
        <v>#DIV/0!</v>
      </c>
    </row>
    <row r="160">
      <c r="A160" s="16" t="str">
        <f>IFERROR(__xludf.DUMMYFUNCTION("IFERROR(SPARKLINE(SORT(MAP(TRANSPOSE(AQ160:BL160), LAMBDA(val, IF(ISNUMBER(val), PERCENTRANK(AQ160:BL160, val)+0.01, 0))), SEQUENCE(COLUMNS(AQ160:BL160)), FALSE), {""charttype"",""column""; ""color"",""chartreuse""; ""ymin"", 0; ""ymax"", 1.01; ""highcolo"&amp;"r"", ""darkgreen""; ""lowcolor"", ""red""}), """")"),"")</f>
        <v/>
      </c>
      <c r="B160" s="17" t="str">
        <f t="shared" si="4"/>
        <v/>
      </c>
      <c r="C160" s="1" t="s">
        <v>3218</v>
      </c>
      <c r="D160" s="30" t="str">
        <f>IFERROR(__xludf.DUMMYFUNCTION("IFERROR(GOOGLEFINANCE(C160, ""NAME""))"),"")</f>
        <v/>
      </c>
      <c r="E160" s="30" t="s">
        <v>2692</v>
      </c>
      <c r="F160" s="33" t="str">
        <f>IFERROR(__xludf.DUMMYFUNCTION("( (GOOGLEFINANCE(C160, ""price"") - Q160) / Q160 ) / (R160 / 100)"),"Loading...")</f>
        <v>Loading...</v>
      </c>
      <c r="G160" s="20" t="str">
        <f>IFERROR(__xludf.DUMMYFUNCTION("AVERAGE(ARRAYFORMULA(100 * (QUERY(GOOGLEFINANCE(C160, ""high"", TODAY()-40, TODAY()), ""SELECT Col2 WHERE Col2 IS NOT NULL ORDER BY Col1 DESC LIMIT 20"", 0) / QUERY(GOOGLEFINANCE(C160, ""low"", TODAY()-40, TODAY()), ""SELECT Col2 WHERE Col2 IS NOT NULL OR"&amp;"DER BY Col1 DESC LIMIT 20"", 0) - 1)))"),"#N/A")</f>
        <v>#N/A</v>
      </c>
      <c r="H160" s="35" t="str">
        <f t="shared" si="6"/>
        <v/>
      </c>
      <c r="I160" s="35" t="str">
        <f t="shared" si="7"/>
        <v/>
      </c>
      <c r="J160" s="37" t="str">
        <f>IFERROR(__xludf.DUMMYFUNCTION("IFERROR(
  IF(C160="""",, 
    IFERROR(
      GOOGLEFINANCE(C160, ""price"") * GOOGLEFINANCE(C160, ""volumeavg""), 
      GOOGLEFINANCE(C160, ""price"") * AVERAGE(QUERY(GOOGLEFINANCE(C160, ""volume"", TODAY()-40, TODAY()), ""SELECT Col2 WHERE Col2 IS NOT "&amp;"NULL ORDER BY Col1 DESC LIMIT 20"", 0))
    )
  ), 
"""")"),"")</f>
        <v/>
      </c>
      <c r="K160" s="21" t="str">
        <f>IFERROR(__xludf.DUMMYFUNCTION("IFERROR(GOOGLEFINANCE(C160, ""changepct"") / 100, """")"),"")</f>
        <v/>
      </c>
      <c r="L160" s="21" t="str">
        <f>IFERROR(__xludf.DUMMYFUNCTION("IFERROR((GOOGLEFINANCE(C160, ""price"") / INDEX(GOOGLEFINANCE(C160, ""price"", TODAY()-7, TODAY()), 2, 2)) - 1, """")"),"")</f>
        <v/>
      </c>
      <c r="M160" s="21" t="str">
        <f>IFERROR(__xludf.DUMMYFUNCTION("IFERROR((GOOGLEFINANCE(C160, ""price"") / INDEX(GOOGLEFINANCE(C160, ""price"", EDATE(TODAY(), -1), TODAY()), 2, 2)) - 1, """")"),"")</f>
        <v/>
      </c>
      <c r="N160" s="21" t="str">
        <f>IFERROR(__xludf.DUMMYFUNCTION("IFERROR((GOOGLEFINANCE(C160, ""price"") / INDEX(GOOGLEFINANCE(C160, ""price"", EDATE(TODAY(), -3), TODAY()), 2, 2)) - 1, """")"),"")</f>
        <v/>
      </c>
      <c r="O160" s="21" t="str">
        <f>IFERROR(__xludf.DUMMYFUNCTION("IFERROR((GOOGLEFINANCE(C160, ""price"") / INDEX(GOOGLEFINANCE(C160, ""price"", EDATE(TODAY(), -6), TODAY()), 2, 2)) - 1, """")"),"")</f>
        <v/>
      </c>
      <c r="P160" s="21" t="str">
        <f>IFERROR(__xludf.DUMMYFUNCTION("IFERROR((GOOGLEFINANCE(C160, ""price"") / INDEX(GOOGLEFINANCE(C160, ""price"", EDATE(TODAY(), -12), TODAY()), 2, 2)) - 1, """")"),"")</f>
        <v/>
      </c>
      <c r="Q160" s="6" t="str">
        <f>IFERROR(__xludf.DUMMYFUNCTION("AVERAGE(QUERY(GOOGLEFINANCE(C160, ""price"", TODAY()-80, TODAY()), ""SELECT Col2 WHERE Col2 IS NOT NULL ORDER BY Col1 DESC LIMIT 50"", 0))"),"#N/A")</f>
        <v>#N/A</v>
      </c>
      <c r="R160" s="24" t="str">
        <f>IFERROR(__xludf.DUMMYFUNCTION("IFERROR(
  LET(
    data, QUERY(GOOGLEFINANCE(C160,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GOOGLEFINANCE(C160, ""price"")) * 100,
    IF(calc=0, G160, calc)
  ), 
G160)"),"#N/A")</f>
        <v>#N/A</v>
      </c>
      <c r="S160" s="8" t="s">
        <v>15</v>
      </c>
      <c r="T160" s="26" t="str">
        <f>IFERROR(__xludf.DUMMYFUNCTION("IFERROR(TRANSPOSE(QUERY(IFERROR(SORT(GOOGLEFINANCE(C160, ""price"", WORKDAY(TODAY(), -40), TODAY()), 1, FALSE)), ""select Col2 where Col2 is not null limit 22 label Col2 ''"", 0)), """")"),"")</f>
        <v/>
      </c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8"/>
      <c r="AO160" s="28"/>
      <c r="AP160" s="29"/>
      <c r="AQ160" s="29" t="str">
        <f t="shared" ref="AQ160:BL160" si="163">T160/T$2</f>
        <v>#N/A</v>
      </c>
      <c r="AR160" s="29" t="str">
        <f t="shared" si="163"/>
        <v>#DIV/0!</v>
      </c>
      <c r="AS160" s="29" t="str">
        <f t="shared" si="163"/>
        <v>#DIV/0!</v>
      </c>
      <c r="AT160" s="29" t="str">
        <f t="shared" si="163"/>
        <v>#DIV/0!</v>
      </c>
      <c r="AU160" s="29" t="str">
        <f t="shared" si="163"/>
        <v>#DIV/0!</v>
      </c>
      <c r="AV160" s="29" t="str">
        <f t="shared" si="163"/>
        <v>#DIV/0!</v>
      </c>
      <c r="AW160" s="29" t="str">
        <f t="shared" si="163"/>
        <v>#DIV/0!</v>
      </c>
      <c r="AX160" s="29" t="str">
        <f t="shared" si="163"/>
        <v>#DIV/0!</v>
      </c>
      <c r="AY160" s="29" t="str">
        <f t="shared" si="163"/>
        <v>#DIV/0!</v>
      </c>
      <c r="AZ160" s="29" t="str">
        <f t="shared" si="163"/>
        <v>#DIV/0!</v>
      </c>
      <c r="BA160" s="29" t="str">
        <f t="shared" si="163"/>
        <v>#DIV/0!</v>
      </c>
      <c r="BB160" s="29" t="str">
        <f t="shared" si="163"/>
        <v>#DIV/0!</v>
      </c>
      <c r="BC160" s="29" t="str">
        <f t="shared" si="163"/>
        <v>#DIV/0!</v>
      </c>
      <c r="BD160" s="29" t="str">
        <f t="shared" si="163"/>
        <v>#DIV/0!</v>
      </c>
      <c r="BE160" s="29" t="str">
        <f t="shared" si="163"/>
        <v>#DIV/0!</v>
      </c>
      <c r="BF160" s="29" t="str">
        <f t="shared" si="163"/>
        <v>#DIV/0!</v>
      </c>
      <c r="BG160" s="29" t="str">
        <f t="shared" si="163"/>
        <v>#DIV/0!</v>
      </c>
      <c r="BH160" s="29" t="str">
        <f t="shared" si="163"/>
        <v>#DIV/0!</v>
      </c>
      <c r="BI160" s="29" t="str">
        <f t="shared" si="163"/>
        <v>#DIV/0!</v>
      </c>
      <c r="BJ160" s="29" t="str">
        <f t="shared" si="163"/>
        <v>#DIV/0!</v>
      </c>
      <c r="BK160" s="29" t="str">
        <f t="shared" si="163"/>
        <v>#DIV/0!</v>
      </c>
      <c r="BL160" s="29" t="str">
        <f t="shared" si="163"/>
        <v>#DIV/0!</v>
      </c>
      <c r="BM160" s="29" t="str">
        <f t="shared" si="3"/>
        <v>#DIV/0!</v>
      </c>
    </row>
    <row r="161">
      <c r="A161" s="16" t="str">
        <f>IFERROR(__xludf.DUMMYFUNCTION("IFERROR(SPARKLINE(SORT(MAP(TRANSPOSE(AQ161:BL161), LAMBDA(val, IF(ISNUMBER(val), PERCENTRANK(AQ161:BL161, val)+0.01, 0))), SEQUENCE(COLUMNS(AQ161:BL161)), FALSE), {""charttype"",""column""; ""color"",""chartreuse""; ""ymin"", 0; ""ymax"", 1.01; ""highcolo"&amp;"r"", ""darkgreen""; ""lowcolor"", ""red""}), """")"),"")</f>
        <v/>
      </c>
      <c r="B161" s="17" t="str">
        <f t="shared" si="4"/>
        <v/>
      </c>
      <c r="C161" s="1" t="s">
        <v>3221</v>
      </c>
      <c r="D161" s="30" t="str">
        <f>IFERROR(__xludf.DUMMYFUNCTION("IFERROR(GOOGLEFINANCE(C161, ""NAME""))"),"Jones Lang LaSalle Inc")</f>
        <v>Jones Lang LaSalle Inc</v>
      </c>
      <c r="E161" s="30" t="s">
        <v>2692</v>
      </c>
      <c r="F161" s="33" t="str">
        <f>IFERROR(__xludf.DUMMYFUNCTION("( (GOOGLEFINANCE(C161, ""price"") - Q161) / Q161 ) / (R161 / 100)"),"Loading...")</f>
        <v>Loading...</v>
      </c>
      <c r="G161" s="20" t="str">
        <f>IFERROR(__xludf.DUMMYFUNCTION("AVERAGE(ARRAYFORMULA(100 * (QUERY(GOOGLEFINANCE(C161, ""high"", TODAY()-40, TODAY()), ""SELECT Col2 WHERE Col2 IS NOT NULL ORDER BY Col1 DESC LIMIT 20"", 0) / QUERY(GOOGLEFINANCE(C161, ""low"", TODAY()-40, TODAY()), ""SELECT Col2 WHERE Col2 IS NOT NULL OR"&amp;"DER BY Col1 DESC LIMIT 20"", 0) - 1)))"),"#N/A")</f>
        <v>#N/A</v>
      </c>
      <c r="H161" s="35" t="str">
        <f t="shared" si="6"/>
        <v>Liquid</v>
      </c>
      <c r="I161" s="35" t="str">
        <f t="shared" si="7"/>
        <v>RVol Required</v>
      </c>
      <c r="J161" s="37">
        <f>IFERROR(__xludf.DUMMYFUNCTION("IFERROR(
  IF(C161="""",, 
    IFERROR(
      GOOGLEFINANCE(C161, ""price"") * GOOGLEFINANCE(C161, ""volumeavg""), 
      GOOGLEFINANCE(C161, ""price"") * AVERAGE(QUERY(GOOGLEFINANCE(C161, ""volume"", TODAY()-40, TODAY()), ""SELECT Col2 WHERE Col2 IS NOT "&amp;"NULL ORDER BY Col1 DESC LIMIT 20"", 0))
    )
  ), 
"""")"),1.2468443569E8)</f>
        <v>124684435.7</v>
      </c>
      <c r="K161" s="21">
        <f>IFERROR(__xludf.DUMMYFUNCTION("IFERROR(GOOGLEFINANCE(C161, ""changepct"") / 100, """")"),-0.017)</f>
        <v>-0.017</v>
      </c>
      <c r="L161" s="21" t="str">
        <f>IFERROR(__xludf.DUMMYFUNCTION("IFERROR((GOOGLEFINANCE(C161, ""price"") / INDEX(GOOGLEFINANCE(C161, ""price"", TODAY()-7, TODAY()), 2, 2)) - 1, """")"),"")</f>
        <v/>
      </c>
      <c r="M161" s="21" t="str">
        <f>IFERROR(__xludf.DUMMYFUNCTION("IFERROR((GOOGLEFINANCE(C161, ""price"") / INDEX(GOOGLEFINANCE(C161, ""price"", EDATE(TODAY(), -1), TODAY()), 2, 2)) - 1, """")"),"")</f>
        <v/>
      </c>
      <c r="N161" s="21" t="str">
        <f>IFERROR(__xludf.DUMMYFUNCTION("IFERROR((GOOGLEFINANCE(C161, ""price"") / INDEX(GOOGLEFINANCE(C161, ""price"", EDATE(TODAY(), -3), TODAY()), 2, 2)) - 1, """")"),"")</f>
        <v/>
      </c>
      <c r="O161" s="21" t="str">
        <f>IFERROR(__xludf.DUMMYFUNCTION("IFERROR((GOOGLEFINANCE(C161, ""price"") / INDEX(GOOGLEFINANCE(C161, ""price"", EDATE(TODAY(), -6), TODAY()), 2, 2)) - 1, """")"),"")</f>
        <v/>
      </c>
      <c r="P161" s="21" t="str">
        <f>IFERROR(__xludf.DUMMYFUNCTION("IFERROR((GOOGLEFINANCE(C161, ""price"") / INDEX(GOOGLEFINANCE(C161, ""price"", EDATE(TODAY(), -12), TODAY()), 2, 2)) - 1, """")"),"")</f>
        <v/>
      </c>
      <c r="Q161" s="6" t="str">
        <f>IFERROR(__xludf.DUMMYFUNCTION("AVERAGE(QUERY(GOOGLEFINANCE(C161, ""price"", TODAY()-80, TODAY()), ""SELECT Col2 WHERE Col2 IS NOT NULL ORDER BY Col1 DESC LIMIT 50"", 0))"),"#N/A")</f>
        <v>#N/A</v>
      </c>
      <c r="R161" s="24" t="str">
        <f>IFERROR(__xludf.DUMMYFUNCTION("IFERROR(
  LET(
    data, QUERY(GOOGLEFINANCE(C161,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GOOGLEFINANCE(C161, ""price"")) * 100,
    IF(calc=0, G161, calc)
  ), 
G161)"),"#N/A")</f>
        <v>#N/A</v>
      </c>
      <c r="S161" s="8" t="s">
        <v>15</v>
      </c>
      <c r="T161" s="26" t="str">
        <f>IFERROR(__xludf.DUMMYFUNCTION("IFERROR(TRANSPOSE(QUERY(IFERROR(SORT(GOOGLEFINANCE(C161, ""price"", WORKDAY(TODAY(), -40), TODAY()), 1, FALSE)), ""select Col2 where Col2 is not null limit 22 label Col2 ''"", 0)), """")"),"")</f>
        <v/>
      </c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8"/>
      <c r="AO161" s="28"/>
      <c r="AP161" s="29"/>
      <c r="AQ161" s="29" t="str">
        <f t="shared" ref="AQ161:BL161" si="164">T161/T$2</f>
        <v>#N/A</v>
      </c>
      <c r="AR161" s="29" t="str">
        <f t="shared" si="164"/>
        <v>#DIV/0!</v>
      </c>
      <c r="AS161" s="29" t="str">
        <f t="shared" si="164"/>
        <v>#DIV/0!</v>
      </c>
      <c r="AT161" s="29" t="str">
        <f t="shared" si="164"/>
        <v>#DIV/0!</v>
      </c>
      <c r="AU161" s="29" t="str">
        <f t="shared" si="164"/>
        <v>#DIV/0!</v>
      </c>
      <c r="AV161" s="29" t="str">
        <f t="shared" si="164"/>
        <v>#DIV/0!</v>
      </c>
      <c r="AW161" s="29" t="str">
        <f t="shared" si="164"/>
        <v>#DIV/0!</v>
      </c>
      <c r="AX161" s="29" t="str">
        <f t="shared" si="164"/>
        <v>#DIV/0!</v>
      </c>
      <c r="AY161" s="29" t="str">
        <f t="shared" si="164"/>
        <v>#DIV/0!</v>
      </c>
      <c r="AZ161" s="29" t="str">
        <f t="shared" si="164"/>
        <v>#DIV/0!</v>
      </c>
      <c r="BA161" s="29" t="str">
        <f t="shared" si="164"/>
        <v>#DIV/0!</v>
      </c>
      <c r="BB161" s="29" t="str">
        <f t="shared" si="164"/>
        <v>#DIV/0!</v>
      </c>
      <c r="BC161" s="29" t="str">
        <f t="shared" si="164"/>
        <v>#DIV/0!</v>
      </c>
      <c r="BD161" s="29" t="str">
        <f t="shared" si="164"/>
        <v>#DIV/0!</v>
      </c>
      <c r="BE161" s="29" t="str">
        <f t="shared" si="164"/>
        <v>#DIV/0!</v>
      </c>
      <c r="BF161" s="29" t="str">
        <f t="shared" si="164"/>
        <v>#DIV/0!</v>
      </c>
      <c r="BG161" s="29" t="str">
        <f t="shared" si="164"/>
        <v>#DIV/0!</v>
      </c>
      <c r="BH161" s="29" t="str">
        <f t="shared" si="164"/>
        <v>#DIV/0!</v>
      </c>
      <c r="BI161" s="29" t="str">
        <f t="shared" si="164"/>
        <v>#DIV/0!</v>
      </c>
      <c r="BJ161" s="29" t="str">
        <f t="shared" si="164"/>
        <v>#DIV/0!</v>
      </c>
      <c r="BK161" s="29" t="str">
        <f t="shared" si="164"/>
        <v>#DIV/0!</v>
      </c>
      <c r="BL161" s="29" t="str">
        <f t="shared" si="164"/>
        <v>#DIV/0!</v>
      </c>
      <c r="BM161" s="29" t="str">
        <f t="shared" si="3"/>
        <v>#DIV/0!</v>
      </c>
    </row>
    <row r="162">
      <c r="A162" s="16" t="str">
        <f>IFERROR(__xludf.DUMMYFUNCTION("IFERROR(SPARKLINE(SORT(MAP(TRANSPOSE(AQ162:BL162), LAMBDA(val, IF(ISNUMBER(val), PERCENTRANK(AQ162:BL162, val)+0.01, 0))), SEQUENCE(COLUMNS(AQ162:BL162)), FALSE), {""charttype"",""column""; ""color"",""chartreuse""; ""ymin"", 0; ""ymax"", 1.01; ""highcolo"&amp;"r"", ""darkgreen""; ""lowcolor"", ""red""}), """")"),"")</f>
        <v/>
      </c>
      <c r="B162" s="17" t="str">
        <f t="shared" si="4"/>
        <v/>
      </c>
      <c r="C162" s="1" t="s">
        <v>3225</v>
      </c>
      <c r="D162" s="30" t="str">
        <f>IFERROR(__xludf.DUMMYFUNCTION("IFERROR(GOOGLEFINANCE(C162, ""NAME""))"),"Mfa Financial Inc")</f>
        <v>Mfa Financial Inc</v>
      </c>
      <c r="E162" s="30" t="s">
        <v>2682</v>
      </c>
      <c r="F162" s="33" t="str">
        <f>IFERROR(__xludf.DUMMYFUNCTION("( (GOOGLEFINANCE(C162, ""price"") - Q162) / Q162 ) / (R162 / 100)"),"Loading...")</f>
        <v>Loading...</v>
      </c>
      <c r="G162" s="20" t="str">
        <f>IFERROR(__xludf.DUMMYFUNCTION("AVERAGE(ARRAYFORMULA(100 * (QUERY(GOOGLEFINANCE(C162, ""high"", TODAY()-40, TODAY()), ""SELECT Col2 WHERE Col2 IS NOT NULL ORDER BY Col1 DESC LIMIT 20"", 0) / QUERY(GOOGLEFINANCE(C162, ""low"", TODAY()-40, TODAY()), ""SELECT Col2 WHERE Col2 IS NOT NULL OR"&amp;"DER BY Col1 DESC LIMIT 20"", 0) - 1)))"),"#N/A")</f>
        <v>#N/A</v>
      </c>
      <c r="H162" s="35" t="str">
        <f t="shared" si="6"/>
        <v>Illiquid</v>
      </c>
      <c r="I162" s="35" t="str">
        <f t="shared" si="7"/>
        <v>RVol Required</v>
      </c>
      <c r="J162" s="37">
        <f>IFERROR(__xludf.DUMMYFUNCTION("IFERROR(
  IF(C162="""",, 
    IFERROR(
      GOOGLEFINANCE(C162, ""price"") * GOOGLEFINANCE(C162, ""volumeavg""), 
      GOOGLEFINANCE(C162, ""price"") * AVERAGE(QUERY(GOOGLEFINANCE(C162, ""volume"", TODAY()-40, TODAY()), ""SELECT Col2 WHERE Col2 IS NOT "&amp;"NULL ORDER BY Col1 DESC LIMIT 20"", 0))
    )
  ), 
"""")"),1.48910935E7)</f>
        <v>14891093.5</v>
      </c>
      <c r="K162" s="21">
        <f>IFERROR(__xludf.DUMMYFUNCTION("IFERROR(GOOGLEFINANCE(C162, ""changepct"") / 100, """")"),-0.016399999999999998)</f>
        <v>-0.0164</v>
      </c>
      <c r="L162" s="21" t="str">
        <f>IFERROR(__xludf.DUMMYFUNCTION("IFERROR((GOOGLEFINANCE(C162, ""price"") / INDEX(GOOGLEFINANCE(C162, ""price"", TODAY()-7, TODAY()), 2, 2)) - 1, """")"),"")</f>
        <v/>
      </c>
      <c r="M162" s="21" t="str">
        <f>IFERROR(__xludf.DUMMYFUNCTION("IFERROR((GOOGLEFINANCE(C162, ""price"") / INDEX(GOOGLEFINANCE(C162, ""price"", EDATE(TODAY(), -1), TODAY()), 2, 2)) - 1, """")"),"")</f>
        <v/>
      </c>
      <c r="N162" s="21" t="str">
        <f>IFERROR(__xludf.DUMMYFUNCTION("IFERROR((GOOGLEFINANCE(C162, ""price"") / INDEX(GOOGLEFINANCE(C162, ""price"", EDATE(TODAY(), -3), TODAY()), 2, 2)) - 1, """")"),"")</f>
        <v/>
      </c>
      <c r="O162" s="21" t="str">
        <f>IFERROR(__xludf.DUMMYFUNCTION("IFERROR((GOOGLEFINANCE(C162, ""price"") / INDEX(GOOGLEFINANCE(C162, ""price"", EDATE(TODAY(), -6), TODAY()), 2, 2)) - 1, """")"),"")</f>
        <v/>
      </c>
      <c r="P162" s="21" t="str">
        <f>IFERROR(__xludf.DUMMYFUNCTION("IFERROR((GOOGLEFINANCE(C162, ""price"") / INDEX(GOOGLEFINANCE(C162, ""price"", EDATE(TODAY(), -12), TODAY()), 2, 2)) - 1, """")"),"")</f>
        <v/>
      </c>
      <c r="Q162" s="6" t="str">
        <f>IFERROR(__xludf.DUMMYFUNCTION("AVERAGE(QUERY(GOOGLEFINANCE(C162, ""price"", TODAY()-80, TODAY()), ""SELECT Col2 WHERE Col2 IS NOT NULL ORDER BY Col1 DESC LIMIT 50"", 0))"),"#N/A")</f>
        <v>#N/A</v>
      </c>
      <c r="R162" s="24" t="str">
        <f>IFERROR(__xludf.DUMMYFUNCTION("IFERROR(
  LET(
    data, QUERY(GOOGLEFINANCE(C162,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GOOGLEFINANCE(C162, ""price"")) * 100,
    IF(calc=0, G162, calc)
  ), 
G162)"),"#N/A")</f>
        <v>#N/A</v>
      </c>
      <c r="S162" s="8" t="s">
        <v>15</v>
      </c>
      <c r="T162" s="26" t="str">
        <f>IFERROR(__xludf.DUMMYFUNCTION("IFERROR(TRANSPOSE(QUERY(IFERROR(SORT(GOOGLEFINANCE(C162, ""price"", WORKDAY(TODAY(), -40), TODAY()), 1, FALSE)), ""select Col2 where Col2 is not null limit 22 label Col2 ''"", 0)), """")"),"")</f>
        <v/>
      </c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8"/>
      <c r="AO162" s="28"/>
      <c r="AP162" s="29"/>
      <c r="AQ162" s="29" t="str">
        <f t="shared" ref="AQ162:BL162" si="165">T162/T$2</f>
        <v>#N/A</v>
      </c>
      <c r="AR162" s="29" t="str">
        <f t="shared" si="165"/>
        <v>#DIV/0!</v>
      </c>
      <c r="AS162" s="29" t="str">
        <f t="shared" si="165"/>
        <v>#DIV/0!</v>
      </c>
      <c r="AT162" s="29" t="str">
        <f t="shared" si="165"/>
        <v>#DIV/0!</v>
      </c>
      <c r="AU162" s="29" t="str">
        <f t="shared" si="165"/>
        <v>#DIV/0!</v>
      </c>
      <c r="AV162" s="29" t="str">
        <f t="shared" si="165"/>
        <v>#DIV/0!</v>
      </c>
      <c r="AW162" s="29" t="str">
        <f t="shared" si="165"/>
        <v>#DIV/0!</v>
      </c>
      <c r="AX162" s="29" t="str">
        <f t="shared" si="165"/>
        <v>#DIV/0!</v>
      </c>
      <c r="AY162" s="29" t="str">
        <f t="shared" si="165"/>
        <v>#DIV/0!</v>
      </c>
      <c r="AZ162" s="29" t="str">
        <f t="shared" si="165"/>
        <v>#DIV/0!</v>
      </c>
      <c r="BA162" s="29" t="str">
        <f t="shared" si="165"/>
        <v>#DIV/0!</v>
      </c>
      <c r="BB162" s="29" t="str">
        <f t="shared" si="165"/>
        <v>#DIV/0!</v>
      </c>
      <c r="BC162" s="29" t="str">
        <f t="shared" si="165"/>
        <v>#DIV/0!</v>
      </c>
      <c r="BD162" s="29" t="str">
        <f t="shared" si="165"/>
        <v>#DIV/0!</v>
      </c>
      <c r="BE162" s="29" t="str">
        <f t="shared" si="165"/>
        <v>#DIV/0!</v>
      </c>
      <c r="BF162" s="29" t="str">
        <f t="shared" si="165"/>
        <v>#DIV/0!</v>
      </c>
      <c r="BG162" s="29" t="str">
        <f t="shared" si="165"/>
        <v>#DIV/0!</v>
      </c>
      <c r="BH162" s="29" t="str">
        <f t="shared" si="165"/>
        <v>#DIV/0!</v>
      </c>
      <c r="BI162" s="29" t="str">
        <f t="shared" si="165"/>
        <v>#DIV/0!</v>
      </c>
      <c r="BJ162" s="29" t="str">
        <f t="shared" si="165"/>
        <v>#DIV/0!</v>
      </c>
      <c r="BK162" s="29" t="str">
        <f t="shared" si="165"/>
        <v>#DIV/0!</v>
      </c>
      <c r="BL162" s="29" t="str">
        <f t="shared" si="165"/>
        <v>#DIV/0!</v>
      </c>
      <c r="BM162" s="29" t="str">
        <f t="shared" si="3"/>
        <v>#DIV/0!</v>
      </c>
    </row>
    <row r="163">
      <c r="A163" s="16" t="str">
        <f>IFERROR(__xludf.DUMMYFUNCTION("IFERROR(SPARKLINE(SORT(MAP(TRANSPOSE(AQ163:BL163), LAMBDA(val, IF(ISNUMBER(val), PERCENTRANK(AQ163:BL163, val)+0.01, 0))), SEQUENCE(COLUMNS(AQ163:BL163)), FALSE), {""charttype"",""column""; ""color"",""chartreuse""; ""ymin"", 0; ""ymax"", 1.01; ""highcolo"&amp;"r"", ""darkgreen""; ""lowcolor"", ""red""}), """")"),"")</f>
        <v/>
      </c>
      <c r="B163" s="17" t="str">
        <f t="shared" si="4"/>
        <v/>
      </c>
      <c r="C163" s="1" t="s">
        <v>3229</v>
      </c>
      <c r="D163" s="30" t="str">
        <f>IFERROR(__xludf.DUMMYFUNCTION("IFERROR(GOOGLEFINANCE(C163, ""NAME""))"),"Rexford Industrial Realty Inc")</f>
        <v>Rexford Industrial Realty Inc</v>
      </c>
      <c r="E163" s="30" t="s">
        <v>2704</v>
      </c>
      <c r="F163" s="33" t="str">
        <f>IFERROR(__xludf.DUMMYFUNCTION("( (GOOGLEFINANCE(C163, ""price"") - Q163) / Q163 ) / (R163 / 100)"),"Loading...")</f>
        <v>Loading...</v>
      </c>
      <c r="G163" s="20" t="str">
        <f>IFERROR(__xludf.DUMMYFUNCTION("AVERAGE(ARRAYFORMULA(100 * (QUERY(GOOGLEFINANCE(C163, ""high"", TODAY()-40, TODAY()), ""SELECT Col2 WHERE Col2 IS NOT NULL ORDER BY Col1 DESC LIMIT 20"", 0) / QUERY(GOOGLEFINANCE(C163, ""low"", TODAY()-40, TODAY()), ""SELECT Col2 WHERE Col2 IS NOT NULL OR"&amp;"DER BY Col1 DESC LIMIT 20"", 0) - 1)))"),"#N/A")</f>
        <v>#N/A</v>
      </c>
      <c r="H163" s="35" t="str">
        <f t="shared" si="6"/>
        <v>Liquid</v>
      </c>
      <c r="I163" s="35" t="str">
        <f t="shared" si="7"/>
        <v>RVol Required</v>
      </c>
      <c r="J163" s="37">
        <f>IFERROR(__xludf.DUMMYFUNCTION("IFERROR(
  IF(C163="""",, 
    IFERROR(
      GOOGLEFINANCE(C163, ""price"") * GOOGLEFINANCE(C163, ""volumeavg""), 
      GOOGLEFINANCE(C163, ""price"") * AVERAGE(QUERY(GOOGLEFINANCE(C163, ""volume"", TODAY()-40, TODAY()), ""SELECT Col2 WHERE Col2 IS NOT "&amp;"NULL ORDER BY Col1 DESC LIMIT 20"", 0))
    )
  ), 
"""")"),1.078384164E8)</f>
        <v>107838416.4</v>
      </c>
      <c r="K163" s="21">
        <f>IFERROR(__xludf.DUMMYFUNCTION("IFERROR(GOOGLEFINANCE(C163, ""changepct"") / 100, """")"),-0.0019)</f>
        <v>-0.0019</v>
      </c>
      <c r="L163" s="21" t="str">
        <f>IFERROR(__xludf.DUMMYFUNCTION("IFERROR((GOOGLEFINANCE(C163, ""price"") / INDEX(GOOGLEFINANCE(C163, ""price"", TODAY()-7, TODAY()), 2, 2)) - 1, """")"),"")</f>
        <v/>
      </c>
      <c r="M163" s="21" t="str">
        <f>IFERROR(__xludf.DUMMYFUNCTION("IFERROR((GOOGLEFINANCE(C163, ""price"") / INDEX(GOOGLEFINANCE(C163, ""price"", EDATE(TODAY(), -1), TODAY()), 2, 2)) - 1, """")"),"")</f>
        <v/>
      </c>
      <c r="N163" s="21" t="str">
        <f>IFERROR(__xludf.DUMMYFUNCTION("IFERROR((GOOGLEFINANCE(C163, ""price"") / INDEX(GOOGLEFINANCE(C163, ""price"", EDATE(TODAY(), -3), TODAY()), 2, 2)) - 1, """")"),"")</f>
        <v/>
      </c>
      <c r="O163" s="21" t="str">
        <f>IFERROR(__xludf.DUMMYFUNCTION("IFERROR((GOOGLEFINANCE(C163, ""price"") / INDEX(GOOGLEFINANCE(C163, ""price"", EDATE(TODAY(), -6), TODAY()), 2, 2)) - 1, """")"),"")</f>
        <v/>
      </c>
      <c r="P163" s="21" t="str">
        <f>IFERROR(__xludf.DUMMYFUNCTION("IFERROR((GOOGLEFINANCE(C163, ""price"") / INDEX(GOOGLEFINANCE(C163, ""price"", EDATE(TODAY(), -12), TODAY()), 2, 2)) - 1, """")"),"")</f>
        <v/>
      </c>
      <c r="Q163" s="6" t="str">
        <f>IFERROR(__xludf.DUMMYFUNCTION("AVERAGE(QUERY(GOOGLEFINANCE(C163, ""price"", TODAY()-80, TODAY()), ""SELECT Col2 WHERE Col2 IS NOT NULL ORDER BY Col1 DESC LIMIT 50"", 0))"),"#N/A")</f>
        <v>#N/A</v>
      </c>
      <c r="R163" s="24" t="str">
        <f>IFERROR(__xludf.DUMMYFUNCTION("IFERROR(
  LET(
    data, QUERY(GOOGLEFINANCE(C163,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GOOGLEFINANCE(C163, ""price"")) * 100,
    IF(calc=0, G163, calc)
  ), 
G163)"),"#N/A")</f>
        <v>#N/A</v>
      </c>
      <c r="S163" s="8" t="s">
        <v>15</v>
      </c>
      <c r="T163" s="26" t="str">
        <f>IFERROR(__xludf.DUMMYFUNCTION("IFERROR(TRANSPOSE(QUERY(IFERROR(SORT(GOOGLEFINANCE(C163, ""price"", WORKDAY(TODAY(), -40), TODAY()), 1, FALSE)), ""select Col2 where Col2 is not null limit 22 label Col2 ''"", 0)), """")"),"")</f>
        <v/>
      </c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8"/>
      <c r="AO163" s="28"/>
      <c r="AP163" s="29"/>
      <c r="AQ163" s="29" t="str">
        <f t="shared" ref="AQ163:BL163" si="166">T163/T$2</f>
        <v>#N/A</v>
      </c>
      <c r="AR163" s="29" t="str">
        <f t="shared" si="166"/>
        <v>#DIV/0!</v>
      </c>
      <c r="AS163" s="29" t="str">
        <f t="shared" si="166"/>
        <v>#DIV/0!</v>
      </c>
      <c r="AT163" s="29" t="str">
        <f t="shared" si="166"/>
        <v>#DIV/0!</v>
      </c>
      <c r="AU163" s="29" t="str">
        <f t="shared" si="166"/>
        <v>#DIV/0!</v>
      </c>
      <c r="AV163" s="29" t="str">
        <f t="shared" si="166"/>
        <v>#DIV/0!</v>
      </c>
      <c r="AW163" s="29" t="str">
        <f t="shared" si="166"/>
        <v>#DIV/0!</v>
      </c>
      <c r="AX163" s="29" t="str">
        <f t="shared" si="166"/>
        <v>#DIV/0!</v>
      </c>
      <c r="AY163" s="29" t="str">
        <f t="shared" si="166"/>
        <v>#DIV/0!</v>
      </c>
      <c r="AZ163" s="29" t="str">
        <f t="shared" si="166"/>
        <v>#DIV/0!</v>
      </c>
      <c r="BA163" s="29" t="str">
        <f t="shared" si="166"/>
        <v>#DIV/0!</v>
      </c>
      <c r="BB163" s="29" t="str">
        <f t="shared" si="166"/>
        <v>#DIV/0!</v>
      </c>
      <c r="BC163" s="29" t="str">
        <f t="shared" si="166"/>
        <v>#DIV/0!</v>
      </c>
      <c r="BD163" s="29" t="str">
        <f t="shared" si="166"/>
        <v>#DIV/0!</v>
      </c>
      <c r="BE163" s="29" t="str">
        <f t="shared" si="166"/>
        <v>#DIV/0!</v>
      </c>
      <c r="BF163" s="29" t="str">
        <f t="shared" si="166"/>
        <v>#DIV/0!</v>
      </c>
      <c r="BG163" s="29" t="str">
        <f t="shared" si="166"/>
        <v>#DIV/0!</v>
      </c>
      <c r="BH163" s="29" t="str">
        <f t="shared" si="166"/>
        <v>#DIV/0!</v>
      </c>
      <c r="BI163" s="29" t="str">
        <f t="shared" si="166"/>
        <v>#DIV/0!</v>
      </c>
      <c r="BJ163" s="29" t="str">
        <f t="shared" si="166"/>
        <v>#DIV/0!</v>
      </c>
      <c r="BK163" s="29" t="str">
        <f t="shared" si="166"/>
        <v>#DIV/0!</v>
      </c>
      <c r="BL163" s="29" t="str">
        <f t="shared" si="166"/>
        <v>#DIV/0!</v>
      </c>
      <c r="BM163" s="29" t="str">
        <f t="shared" si="3"/>
        <v>#DIV/0!</v>
      </c>
    </row>
    <row r="164">
      <c r="A164" s="16" t="str">
        <f>IFERROR(__xludf.DUMMYFUNCTION("IFERROR(SPARKLINE(SORT(MAP(TRANSPOSE(AQ164:BL164), LAMBDA(val, IF(ISNUMBER(val), PERCENTRANK(AQ164:BL164, val)+0.01, 0))), SEQUENCE(COLUMNS(AQ164:BL164)), FALSE), {""charttype"",""column""; ""color"",""chartreuse""; ""ymin"", 0; ""ymax"", 1.01; ""highcolo"&amp;"r"", ""darkgreen""; ""lowcolor"", ""red""}), """")"),"")</f>
        <v/>
      </c>
      <c r="B164" s="17" t="str">
        <f t="shared" si="4"/>
        <v/>
      </c>
      <c r="C164" s="1" t="s">
        <v>3232</v>
      </c>
      <c r="D164" s="30" t="str">
        <f>IFERROR(__xludf.DUMMYFUNCTION("IFERROR(GOOGLEFINANCE(C164, ""NAME""))"),"Park Hotels &amp; Resorts Inc")</f>
        <v>Park Hotels &amp; Resorts Inc</v>
      </c>
      <c r="E164" s="30" t="s">
        <v>2674</v>
      </c>
      <c r="F164" s="33" t="str">
        <f>IFERROR(__xludf.DUMMYFUNCTION("( (GOOGLEFINANCE(C164, ""price"") - Q164) / Q164 ) / (R164 / 100)"),"Loading...")</f>
        <v>Loading...</v>
      </c>
      <c r="G164" s="20" t="str">
        <f>IFERROR(__xludf.DUMMYFUNCTION("AVERAGE(ARRAYFORMULA(100 * (QUERY(GOOGLEFINANCE(C164, ""high"", TODAY()-40, TODAY()), ""SELECT Col2 WHERE Col2 IS NOT NULL ORDER BY Col1 DESC LIMIT 20"", 0) / QUERY(GOOGLEFINANCE(C164, ""low"", TODAY()-40, TODAY()), ""SELECT Col2 WHERE Col2 IS NOT NULL OR"&amp;"DER BY Col1 DESC LIMIT 20"", 0) - 1)))"),"#N/A")</f>
        <v>#N/A</v>
      </c>
      <c r="H164" s="35" t="str">
        <f t="shared" si="6"/>
        <v>Liquid</v>
      </c>
      <c r="I164" s="35" t="str">
        <f t="shared" si="7"/>
        <v>RVol Required</v>
      </c>
      <c r="J164" s="37">
        <f>IFERROR(__xludf.DUMMYFUNCTION("IFERROR(
  IF(C164="""",, 
    IFERROR(
      GOOGLEFINANCE(C164, ""price"") * GOOGLEFINANCE(C164, ""volumeavg""), 
      GOOGLEFINANCE(C164, ""price"") * AVERAGE(QUERY(GOOGLEFINANCE(C164, ""volume"", TODAY()-40, TODAY()), ""SELECT Col2 WHERE Col2 IS NOT "&amp;"NULL ORDER BY Col1 DESC LIMIT 20"", 0))
    )
  ), 
"""")"),5.454247108E7)</f>
        <v>54542471.08</v>
      </c>
      <c r="K164" s="21">
        <f>IFERROR(__xludf.DUMMYFUNCTION("IFERROR(GOOGLEFINANCE(C164, ""changepct"") / 100, """")"),0.0121)</f>
        <v>0.0121</v>
      </c>
      <c r="L164" s="21" t="str">
        <f>IFERROR(__xludf.DUMMYFUNCTION("IFERROR((GOOGLEFINANCE(C164, ""price"") / INDEX(GOOGLEFINANCE(C164, ""price"", TODAY()-7, TODAY()), 2, 2)) - 1, """")"),"")</f>
        <v/>
      </c>
      <c r="M164" s="21" t="str">
        <f>IFERROR(__xludf.DUMMYFUNCTION("IFERROR((GOOGLEFINANCE(C164, ""price"") / INDEX(GOOGLEFINANCE(C164, ""price"", EDATE(TODAY(), -1), TODAY()), 2, 2)) - 1, """")"),"")</f>
        <v/>
      </c>
      <c r="N164" s="21" t="str">
        <f>IFERROR(__xludf.DUMMYFUNCTION("IFERROR((GOOGLEFINANCE(C164, ""price"") / INDEX(GOOGLEFINANCE(C164, ""price"", EDATE(TODAY(), -3), TODAY()), 2, 2)) - 1, """")"),"")</f>
        <v/>
      </c>
      <c r="O164" s="21" t="str">
        <f>IFERROR(__xludf.DUMMYFUNCTION("IFERROR((GOOGLEFINANCE(C164, ""price"") / INDEX(GOOGLEFINANCE(C164, ""price"", EDATE(TODAY(), -6), TODAY()), 2, 2)) - 1, """")"),"")</f>
        <v/>
      </c>
      <c r="P164" s="21" t="str">
        <f>IFERROR(__xludf.DUMMYFUNCTION("IFERROR((GOOGLEFINANCE(C164, ""price"") / INDEX(GOOGLEFINANCE(C164, ""price"", EDATE(TODAY(), -12), TODAY()), 2, 2)) - 1, """")"),"")</f>
        <v/>
      </c>
      <c r="Q164" s="6" t="str">
        <f>IFERROR(__xludf.DUMMYFUNCTION("AVERAGE(QUERY(GOOGLEFINANCE(C164, ""price"", TODAY()-80, TODAY()), ""SELECT Col2 WHERE Col2 IS NOT NULL ORDER BY Col1 DESC LIMIT 50"", 0))"),"#N/A")</f>
        <v>#N/A</v>
      </c>
      <c r="R164" s="24" t="str">
        <f>IFERROR(__xludf.DUMMYFUNCTION("IFERROR(
  LET(
    data, QUERY(GOOGLEFINANCE(C164,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GOOGLEFINANCE(C164, ""price"")) * 100,
    IF(calc=0, G164, calc)
  ), 
G164)"),"#N/A")</f>
        <v>#N/A</v>
      </c>
      <c r="S164" s="8" t="s">
        <v>15</v>
      </c>
      <c r="T164" s="26" t="str">
        <f>IFERROR(__xludf.DUMMYFUNCTION("IFERROR(TRANSPOSE(QUERY(IFERROR(SORT(GOOGLEFINANCE(C164, ""price"", WORKDAY(TODAY(), -40), TODAY()), 1, FALSE)), ""select Col2 where Col2 is not null limit 22 label Col2 ''"", 0)), """")"),"")</f>
        <v/>
      </c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8"/>
      <c r="AO164" s="28"/>
      <c r="AP164" s="29"/>
      <c r="AQ164" s="29" t="str">
        <f t="shared" ref="AQ164:BL164" si="167">T164/T$2</f>
        <v>#N/A</v>
      </c>
      <c r="AR164" s="29" t="str">
        <f t="shared" si="167"/>
        <v>#DIV/0!</v>
      </c>
      <c r="AS164" s="29" t="str">
        <f t="shared" si="167"/>
        <v>#DIV/0!</v>
      </c>
      <c r="AT164" s="29" t="str">
        <f t="shared" si="167"/>
        <v>#DIV/0!</v>
      </c>
      <c r="AU164" s="29" t="str">
        <f t="shared" si="167"/>
        <v>#DIV/0!</v>
      </c>
      <c r="AV164" s="29" t="str">
        <f t="shared" si="167"/>
        <v>#DIV/0!</v>
      </c>
      <c r="AW164" s="29" t="str">
        <f t="shared" si="167"/>
        <v>#DIV/0!</v>
      </c>
      <c r="AX164" s="29" t="str">
        <f t="shared" si="167"/>
        <v>#DIV/0!</v>
      </c>
      <c r="AY164" s="29" t="str">
        <f t="shared" si="167"/>
        <v>#DIV/0!</v>
      </c>
      <c r="AZ164" s="29" t="str">
        <f t="shared" si="167"/>
        <v>#DIV/0!</v>
      </c>
      <c r="BA164" s="29" t="str">
        <f t="shared" si="167"/>
        <v>#DIV/0!</v>
      </c>
      <c r="BB164" s="29" t="str">
        <f t="shared" si="167"/>
        <v>#DIV/0!</v>
      </c>
      <c r="BC164" s="29" t="str">
        <f t="shared" si="167"/>
        <v>#DIV/0!</v>
      </c>
      <c r="BD164" s="29" t="str">
        <f t="shared" si="167"/>
        <v>#DIV/0!</v>
      </c>
      <c r="BE164" s="29" t="str">
        <f t="shared" si="167"/>
        <v>#DIV/0!</v>
      </c>
      <c r="BF164" s="29" t="str">
        <f t="shared" si="167"/>
        <v>#DIV/0!</v>
      </c>
      <c r="BG164" s="29" t="str">
        <f t="shared" si="167"/>
        <v>#DIV/0!</v>
      </c>
      <c r="BH164" s="29" t="str">
        <f t="shared" si="167"/>
        <v>#DIV/0!</v>
      </c>
      <c r="BI164" s="29" t="str">
        <f t="shared" si="167"/>
        <v>#DIV/0!</v>
      </c>
      <c r="BJ164" s="29" t="str">
        <f t="shared" si="167"/>
        <v>#DIV/0!</v>
      </c>
      <c r="BK164" s="29" t="str">
        <f t="shared" si="167"/>
        <v>#DIV/0!</v>
      </c>
      <c r="BL164" s="29" t="str">
        <f t="shared" si="167"/>
        <v>#DIV/0!</v>
      </c>
      <c r="BM164" s="29" t="str">
        <f t="shared" si="3"/>
        <v>#DIV/0!</v>
      </c>
    </row>
    <row r="165">
      <c r="A165" s="16" t="str">
        <f>IFERROR(__xludf.DUMMYFUNCTION("IFERROR(SPARKLINE(SORT(MAP(TRANSPOSE(AQ165:BL165), LAMBDA(val, IF(ISNUMBER(val), PERCENTRANK(AQ165:BL165, val)+0.01, 0))), SEQUENCE(COLUMNS(AQ165:BL165)), FALSE), {""charttype"",""column""; ""color"",""chartreuse""; ""ymin"", 0; ""ymax"", 1.01; ""highcolo"&amp;"r"", ""darkgreen""; ""lowcolor"", ""red""}), """")"),"")</f>
        <v/>
      </c>
      <c r="B165" s="17" t="str">
        <f t="shared" si="4"/>
        <v/>
      </c>
      <c r="C165" s="1" t="s">
        <v>3235</v>
      </c>
      <c r="D165" s="30" t="str">
        <f>IFERROR(__xludf.DUMMYFUNCTION("IFERROR(GOOGLEFINANCE(C165, ""NAME""))"),"AGNC Investment Corp")</f>
        <v>AGNC Investment Corp</v>
      </c>
      <c r="E165" s="30" t="s">
        <v>2682</v>
      </c>
      <c r="F165" s="33" t="str">
        <f>IFERROR(__xludf.DUMMYFUNCTION("( (GOOGLEFINANCE(C165, ""price"") - Q165) / Q165 ) / (R165 / 100)"),"Loading...")</f>
        <v>Loading...</v>
      </c>
      <c r="G165" s="20" t="str">
        <f>IFERROR(__xludf.DUMMYFUNCTION("AVERAGE(ARRAYFORMULA(100 * (QUERY(GOOGLEFINANCE(C165, ""high"", TODAY()-40, TODAY()), ""SELECT Col2 WHERE Col2 IS NOT NULL ORDER BY Col1 DESC LIMIT 20"", 0) / QUERY(GOOGLEFINANCE(C165, ""low"", TODAY()-40, TODAY()), ""SELECT Col2 WHERE Col2 IS NOT NULL OR"&amp;"DER BY Col1 DESC LIMIT 20"", 0) - 1)))"),"#N/A")</f>
        <v>#N/A</v>
      </c>
      <c r="H165" s="35" t="str">
        <f t="shared" si="6"/>
        <v>Liquid</v>
      </c>
      <c r="I165" s="35" t="str">
        <f t="shared" si="7"/>
        <v>RVol Required</v>
      </c>
      <c r="J165" s="37">
        <f>IFERROR(__xludf.DUMMYFUNCTION("IFERROR(
  IF(C165="""",, 
    IFERROR(
      GOOGLEFINANCE(C165, ""price"") * GOOGLEFINANCE(C165, ""volumeavg""), 
      GOOGLEFINANCE(C165, ""price"") * AVERAGE(QUERY(GOOGLEFINANCE(C165, ""volume"", TODAY()-40, TODAY()), ""SELECT Col2 WHERE Col2 IS NOT "&amp;"NULL ORDER BY Col1 DESC LIMIT 20"", 0))
    )
  ), 
"""")"),3.4340873792E8)</f>
        <v>343408737.9</v>
      </c>
      <c r="K165" s="21">
        <f>IFERROR(__xludf.DUMMYFUNCTION("IFERROR(GOOGLEFINANCE(C165, ""changepct"") / 100, """")"),-0.0113)</f>
        <v>-0.0113</v>
      </c>
      <c r="L165" s="21" t="str">
        <f>IFERROR(__xludf.DUMMYFUNCTION("IFERROR((GOOGLEFINANCE(C165, ""price"") / INDEX(GOOGLEFINANCE(C165, ""price"", TODAY()-7, TODAY()), 2, 2)) - 1, """")"),"")</f>
        <v/>
      </c>
      <c r="M165" s="21" t="str">
        <f>IFERROR(__xludf.DUMMYFUNCTION("IFERROR((GOOGLEFINANCE(C165, ""price"") / INDEX(GOOGLEFINANCE(C165, ""price"", EDATE(TODAY(), -1), TODAY()), 2, 2)) - 1, """")"),"")</f>
        <v/>
      </c>
      <c r="N165" s="21" t="str">
        <f>IFERROR(__xludf.DUMMYFUNCTION("IFERROR((GOOGLEFINANCE(C165, ""price"") / INDEX(GOOGLEFINANCE(C165, ""price"", EDATE(TODAY(), -3), TODAY()), 2, 2)) - 1, """")"),"")</f>
        <v/>
      </c>
      <c r="O165" s="21" t="str">
        <f>IFERROR(__xludf.DUMMYFUNCTION("IFERROR((GOOGLEFINANCE(C165, ""price"") / INDEX(GOOGLEFINANCE(C165, ""price"", EDATE(TODAY(), -6), TODAY()), 2, 2)) - 1, """")"),"")</f>
        <v/>
      </c>
      <c r="P165" s="21" t="str">
        <f>IFERROR(__xludf.DUMMYFUNCTION("IFERROR((GOOGLEFINANCE(C165, ""price"") / INDEX(GOOGLEFINANCE(C165, ""price"", EDATE(TODAY(), -12), TODAY()), 2, 2)) - 1, """")"),"")</f>
        <v/>
      </c>
      <c r="Q165" s="6" t="str">
        <f>IFERROR(__xludf.DUMMYFUNCTION("AVERAGE(QUERY(GOOGLEFINANCE(C165, ""price"", TODAY()-80, TODAY()), ""SELECT Col2 WHERE Col2 IS NOT NULL ORDER BY Col1 DESC LIMIT 50"", 0))"),"#N/A")</f>
        <v>#N/A</v>
      </c>
      <c r="R165" s="24" t="str">
        <f>IFERROR(__xludf.DUMMYFUNCTION("IFERROR(
  LET(
    data, QUERY(GOOGLEFINANCE(C165,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GOOGLEFINANCE(C165, ""price"")) * 100,
    IF(calc=0, G165, calc)
  ), 
G165)"),"#N/A")</f>
        <v>#N/A</v>
      </c>
      <c r="S165" s="8" t="s">
        <v>15</v>
      </c>
      <c r="T165" s="26" t="str">
        <f>IFERROR(__xludf.DUMMYFUNCTION("IFERROR(TRANSPOSE(QUERY(IFERROR(SORT(GOOGLEFINANCE(C165, ""price"", WORKDAY(TODAY(), -40), TODAY()), 1, FALSE)), ""select Col2 where Col2 is not null limit 22 label Col2 ''"", 0)), """")"),"")</f>
        <v/>
      </c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8"/>
      <c r="AO165" s="28"/>
      <c r="AP165" s="29"/>
      <c r="AQ165" s="29" t="str">
        <f t="shared" ref="AQ165:BL165" si="168">T165/T$2</f>
        <v>#N/A</v>
      </c>
      <c r="AR165" s="29" t="str">
        <f t="shared" si="168"/>
        <v>#DIV/0!</v>
      </c>
      <c r="AS165" s="29" t="str">
        <f t="shared" si="168"/>
        <v>#DIV/0!</v>
      </c>
      <c r="AT165" s="29" t="str">
        <f t="shared" si="168"/>
        <v>#DIV/0!</v>
      </c>
      <c r="AU165" s="29" t="str">
        <f t="shared" si="168"/>
        <v>#DIV/0!</v>
      </c>
      <c r="AV165" s="29" t="str">
        <f t="shared" si="168"/>
        <v>#DIV/0!</v>
      </c>
      <c r="AW165" s="29" t="str">
        <f t="shared" si="168"/>
        <v>#DIV/0!</v>
      </c>
      <c r="AX165" s="29" t="str">
        <f t="shared" si="168"/>
        <v>#DIV/0!</v>
      </c>
      <c r="AY165" s="29" t="str">
        <f t="shared" si="168"/>
        <v>#DIV/0!</v>
      </c>
      <c r="AZ165" s="29" t="str">
        <f t="shared" si="168"/>
        <v>#DIV/0!</v>
      </c>
      <c r="BA165" s="29" t="str">
        <f t="shared" si="168"/>
        <v>#DIV/0!</v>
      </c>
      <c r="BB165" s="29" t="str">
        <f t="shared" si="168"/>
        <v>#DIV/0!</v>
      </c>
      <c r="BC165" s="29" t="str">
        <f t="shared" si="168"/>
        <v>#DIV/0!</v>
      </c>
      <c r="BD165" s="29" t="str">
        <f t="shared" si="168"/>
        <v>#DIV/0!</v>
      </c>
      <c r="BE165" s="29" t="str">
        <f t="shared" si="168"/>
        <v>#DIV/0!</v>
      </c>
      <c r="BF165" s="29" t="str">
        <f t="shared" si="168"/>
        <v>#DIV/0!</v>
      </c>
      <c r="BG165" s="29" t="str">
        <f t="shared" si="168"/>
        <v>#DIV/0!</v>
      </c>
      <c r="BH165" s="29" t="str">
        <f t="shared" si="168"/>
        <v>#DIV/0!</v>
      </c>
      <c r="BI165" s="29" t="str">
        <f t="shared" si="168"/>
        <v>#DIV/0!</v>
      </c>
      <c r="BJ165" s="29" t="str">
        <f t="shared" si="168"/>
        <v>#DIV/0!</v>
      </c>
      <c r="BK165" s="29" t="str">
        <f t="shared" si="168"/>
        <v>#DIV/0!</v>
      </c>
      <c r="BL165" s="29" t="str">
        <f t="shared" si="168"/>
        <v>#DIV/0!</v>
      </c>
      <c r="BM165" s="29" t="str">
        <f t="shared" si="3"/>
        <v>#DIV/0!</v>
      </c>
    </row>
    <row r="166">
      <c r="A166" s="16" t="str">
        <f>IFERROR(__xludf.DUMMYFUNCTION("IFERROR(SPARKLINE(SORT(MAP(TRANSPOSE(AQ166:BL166), LAMBDA(val, IF(ISNUMBER(val), PERCENTRANK(AQ166:BL166, val)+0.01, 0))), SEQUENCE(COLUMNS(AQ166:BL166)), FALSE), {""charttype"",""column""; ""color"",""chartreuse""; ""ymin"", 0; ""ymax"", 1.01; ""highcolo"&amp;"r"", ""darkgreen""; ""lowcolor"", ""red""}), """")"),"")</f>
        <v/>
      </c>
      <c r="B166" s="17" t="str">
        <f t="shared" si="4"/>
        <v/>
      </c>
      <c r="C166" s="1" t="s">
        <v>3239</v>
      </c>
      <c r="D166" s="30" t="str">
        <f>IFERROR(__xludf.DUMMYFUNCTION("IFERROR(GOOGLEFINANCE(C166, ""NAME""))"),"IRSA Inversiones y Representcns SA")</f>
        <v>IRSA Inversiones y Representcns SA</v>
      </c>
      <c r="E166" s="30" t="s">
        <v>2692</v>
      </c>
      <c r="F166" s="33" t="str">
        <f>IFERROR(__xludf.DUMMYFUNCTION("( (GOOGLEFINANCE(C166, ""price"") - Q166) / Q166 ) / (R166 / 100)"),"Loading...")</f>
        <v>Loading...</v>
      </c>
      <c r="G166" s="20" t="str">
        <f>IFERROR(__xludf.DUMMYFUNCTION("AVERAGE(ARRAYFORMULA(100 * (QUERY(GOOGLEFINANCE(C166, ""high"", TODAY()-40, TODAY()), ""SELECT Col2 WHERE Col2 IS NOT NULL ORDER BY Col1 DESC LIMIT 20"", 0) / QUERY(GOOGLEFINANCE(C166, ""low"", TODAY()-40, TODAY()), ""SELECT Col2 WHERE Col2 IS NOT NULL OR"&amp;"DER BY Col1 DESC LIMIT 20"", 0) - 1)))"),"#N/A")</f>
        <v>#N/A</v>
      </c>
      <c r="H166" s="35" t="str">
        <f t="shared" si="6"/>
        <v>Illiquid</v>
      </c>
      <c r="I166" s="35" t="str">
        <f t="shared" si="7"/>
        <v>RVol Required</v>
      </c>
      <c r="J166" s="37">
        <f>IFERROR(__xludf.DUMMYFUNCTION("IFERROR(
  IF(C166="""",, 
    IFERROR(
      GOOGLEFINANCE(C166, ""price"") * GOOGLEFINANCE(C166, ""volumeavg""), 
      GOOGLEFINANCE(C166, ""price"") * AVERAGE(QUERY(GOOGLEFINANCE(C166, ""volume"", TODAY()-40, TODAY()), ""SELECT Col2 WHERE Col2 IS NOT "&amp;"NULL ORDER BY Col1 DESC LIMIT 20"", 0))
    )
  ), 
"""")"),2707873.2)</f>
        <v>2707873.2</v>
      </c>
      <c r="K166" s="21">
        <f>IFERROR(__xludf.DUMMYFUNCTION("IFERROR(GOOGLEFINANCE(C166, ""changepct"") / 100, """")"),-7.000000000000001E-4)</f>
        <v>-0.0007</v>
      </c>
      <c r="L166" s="21" t="str">
        <f>IFERROR(__xludf.DUMMYFUNCTION("IFERROR((GOOGLEFINANCE(C166, ""price"") / INDEX(GOOGLEFINANCE(C166, ""price"", TODAY()-7, TODAY()), 2, 2)) - 1, """")"),"")</f>
        <v/>
      </c>
      <c r="M166" s="21" t="str">
        <f>IFERROR(__xludf.DUMMYFUNCTION("IFERROR((GOOGLEFINANCE(C166, ""price"") / INDEX(GOOGLEFINANCE(C166, ""price"", EDATE(TODAY(), -1), TODAY()), 2, 2)) - 1, """")"),"")</f>
        <v/>
      </c>
      <c r="N166" s="21" t="str">
        <f>IFERROR(__xludf.DUMMYFUNCTION("IFERROR((GOOGLEFINANCE(C166, ""price"") / INDEX(GOOGLEFINANCE(C166, ""price"", EDATE(TODAY(), -3), TODAY()), 2, 2)) - 1, """")"),"")</f>
        <v/>
      </c>
      <c r="O166" s="21" t="str">
        <f>IFERROR(__xludf.DUMMYFUNCTION("IFERROR((GOOGLEFINANCE(C166, ""price"") / INDEX(GOOGLEFINANCE(C166, ""price"", EDATE(TODAY(), -6), TODAY()), 2, 2)) - 1, """")"),"")</f>
        <v/>
      </c>
      <c r="P166" s="21" t="str">
        <f>IFERROR(__xludf.DUMMYFUNCTION("IFERROR((GOOGLEFINANCE(C166, ""price"") / INDEX(GOOGLEFINANCE(C166, ""price"", EDATE(TODAY(), -12), TODAY()), 2, 2)) - 1, """")"),"")</f>
        <v/>
      </c>
      <c r="Q166" s="6" t="str">
        <f>IFERROR(__xludf.DUMMYFUNCTION("AVERAGE(QUERY(GOOGLEFINANCE(C166, ""price"", TODAY()-80, TODAY()), ""SELECT Col2 WHERE Col2 IS NOT NULL ORDER BY Col1 DESC LIMIT 50"", 0))"),"#N/A")</f>
        <v>#N/A</v>
      </c>
      <c r="R166" s="24" t="str">
        <f>IFERROR(__xludf.DUMMYFUNCTION("IFERROR(
  LET(
    data, QUERY(GOOGLEFINANCE(C166,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GOOGLEFINANCE(C166, ""price"")) * 100,
    IF(calc=0, G166, calc)
  ), 
G166)"),"#N/A")</f>
        <v>#N/A</v>
      </c>
      <c r="S166" s="8" t="s">
        <v>15</v>
      </c>
      <c r="T166" s="26" t="str">
        <f>IFERROR(__xludf.DUMMYFUNCTION("IFERROR(TRANSPOSE(QUERY(IFERROR(SORT(GOOGLEFINANCE(C166, ""price"", WORKDAY(TODAY(), -40), TODAY()), 1, FALSE)), ""select Col2 where Col2 is not null limit 22 label Col2 ''"", 0)), """")"),"")</f>
        <v/>
      </c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8"/>
      <c r="AO166" s="28"/>
      <c r="AP166" s="29"/>
      <c r="AQ166" s="29" t="str">
        <f t="shared" ref="AQ166:BL166" si="169">T166/T$2</f>
        <v>#N/A</v>
      </c>
      <c r="AR166" s="29" t="str">
        <f t="shared" si="169"/>
        <v>#DIV/0!</v>
      </c>
      <c r="AS166" s="29" t="str">
        <f t="shared" si="169"/>
        <v>#DIV/0!</v>
      </c>
      <c r="AT166" s="29" t="str">
        <f t="shared" si="169"/>
        <v>#DIV/0!</v>
      </c>
      <c r="AU166" s="29" t="str">
        <f t="shared" si="169"/>
        <v>#DIV/0!</v>
      </c>
      <c r="AV166" s="29" t="str">
        <f t="shared" si="169"/>
        <v>#DIV/0!</v>
      </c>
      <c r="AW166" s="29" t="str">
        <f t="shared" si="169"/>
        <v>#DIV/0!</v>
      </c>
      <c r="AX166" s="29" t="str">
        <f t="shared" si="169"/>
        <v>#DIV/0!</v>
      </c>
      <c r="AY166" s="29" t="str">
        <f t="shared" si="169"/>
        <v>#DIV/0!</v>
      </c>
      <c r="AZ166" s="29" t="str">
        <f t="shared" si="169"/>
        <v>#DIV/0!</v>
      </c>
      <c r="BA166" s="29" t="str">
        <f t="shared" si="169"/>
        <v>#DIV/0!</v>
      </c>
      <c r="BB166" s="29" t="str">
        <f t="shared" si="169"/>
        <v>#DIV/0!</v>
      </c>
      <c r="BC166" s="29" t="str">
        <f t="shared" si="169"/>
        <v>#DIV/0!</v>
      </c>
      <c r="BD166" s="29" t="str">
        <f t="shared" si="169"/>
        <v>#DIV/0!</v>
      </c>
      <c r="BE166" s="29" t="str">
        <f t="shared" si="169"/>
        <v>#DIV/0!</v>
      </c>
      <c r="BF166" s="29" t="str">
        <f t="shared" si="169"/>
        <v>#DIV/0!</v>
      </c>
      <c r="BG166" s="29" t="str">
        <f t="shared" si="169"/>
        <v>#DIV/0!</v>
      </c>
      <c r="BH166" s="29" t="str">
        <f t="shared" si="169"/>
        <v>#DIV/0!</v>
      </c>
      <c r="BI166" s="29" t="str">
        <f t="shared" si="169"/>
        <v>#DIV/0!</v>
      </c>
      <c r="BJ166" s="29" t="str">
        <f t="shared" si="169"/>
        <v>#DIV/0!</v>
      </c>
      <c r="BK166" s="29" t="str">
        <f t="shared" si="169"/>
        <v>#DIV/0!</v>
      </c>
      <c r="BL166" s="29" t="str">
        <f t="shared" si="169"/>
        <v>#DIV/0!</v>
      </c>
      <c r="BM166" s="29" t="str">
        <f t="shared" si="3"/>
        <v>#DIV/0!</v>
      </c>
    </row>
    <row r="167">
      <c r="A167" s="16" t="str">
        <f>IFERROR(__xludf.DUMMYFUNCTION("IFERROR(SPARKLINE(SORT(MAP(TRANSPOSE(AQ167:BL167), LAMBDA(val, IF(ISNUMBER(val), PERCENTRANK(AQ167:BL167, val)+0.01, 0))), SEQUENCE(COLUMNS(AQ167:BL167)), FALSE), {""charttype"",""column""; ""color"",""chartreuse""; ""ymin"", 0; ""ymax"", 1.01; ""highcolo"&amp;"r"", ""darkgreen""; ""lowcolor"", ""red""}), """")"),"")</f>
        <v/>
      </c>
      <c r="B167" s="17" t="str">
        <f t="shared" si="4"/>
        <v/>
      </c>
      <c r="C167" s="1" t="s">
        <v>3241</v>
      </c>
      <c r="D167" s="30" t="str">
        <f>IFERROR(__xludf.DUMMYFUNCTION("IFERROR(GOOGLEFINANCE(C167, ""NAME""))"),"Brightspire Capital Inc")</f>
        <v>Brightspire Capital Inc</v>
      </c>
      <c r="E167" s="30" t="s">
        <v>2682</v>
      </c>
      <c r="F167" s="33" t="str">
        <f>IFERROR(__xludf.DUMMYFUNCTION("( (GOOGLEFINANCE(C167, ""price"") - Q167) / Q167 ) / (R167 / 100)"),"Loading...")</f>
        <v>Loading...</v>
      </c>
      <c r="G167" s="20" t="str">
        <f>IFERROR(__xludf.DUMMYFUNCTION("AVERAGE(ARRAYFORMULA(100 * (QUERY(GOOGLEFINANCE(C167, ""high"", TODAY()-40, TODAY()), ""SELECT Col2 WHERE Col2 IS NOT NULL ORDER BY Col1 DESC LIMIT 20"", 0) / QUERY(GOOGLEFINANCE(C167, ""low"", TODAY()-40, TODAY()), ""SELECT Col2 WHERE Col2 IS NOT NULL OR"&amp;"DER BY Col1 DESC LIMIT 20"", 0) - 1)))"),"#N/A")</f>
        <v>#N/A</v>
      </c>
      <c r="H167" s="35" t="str">
        <f t="shared" si="6"/>
        <v>Illiquid</v>
      </c>
      <c r="I167" s="35" t="str">
        <f t="shared" si="7"/>
        <v>RVol Required</v>
      </c>
      <c r="J167" s="37">
        <f>IFERROR(__xludf.DUMMYFUNCTION("IFERROR(
  IF(C167="""",, 
    IFERROR(
      GOOGLEFINANCE(C167, ""price"") * GOOGLEFINANCE(C167, ""volumeavg""), 
      GOOGLEFINANCE(C167, ""price"") * AVERAGE(QUERY(GOOGLEFINANCE(C167, ""volume"", TODAY()-40, TODAY()), ""SELECT Col2 WHERE Col2 IS NOT "&amp;"NULL ORDER BY Col1 DESC LIMIT 20"", 0))
    )
  ), 
"""")"),6866923.95)</f>
        <v>6866923.95</v>
      </c>
      <c r="K167" s="21">
        <f>IFERROR(__xludf.DUMMYFUNCTION("IFERROR(GOOGLEFINANCE(C167, ""changepct"") / 100, """")"),-0.0264)</f>
        <v>-0.0264</v>
      </c>
      <c r="L167" s="21" t="str">
        <f>IFERROR(__xludf.DUMMYFUNCTION("IFERROR((GOOGLEFINANCE(C167, ""price"") / INDEX(GOOGLEFINANCE(C167, ""price"", TODAY()-7, TODAY()), 2, 2)) - 1, """")"),"")</f>
        <v/>
      </c>
      <c r="M167" s="21" t="str">
        <f>IFERROR(__xludf.DUMMYFUNCTION("IFERROR((GOOGLEFINANCE(C167, ""price"") / INDEX(GOOGLEFINANCE(C167, ""price"", EDATE(TODAY(), -1), TODAY()), 2, 2)) - 1, """")"),"")</f>
        <v/>
      </c>
      <c r="N167" s="21" t="str">
        <f>IFERROR(__xludf.DUMMYFUNCTION("IFERROR((GOOGLEFINANCE(C167, ""price"") / INDEX(GOOGLEFINANCE(C167, ""price"", EDATE(TODAY(), -3), TODAY()), 2, 2)) - 1, """")"),"")</f>
        <v/>
      </c>
      <c r="O167" s="21" t="str">
        <f>IFERROR(__xludf.DUMMYFUNCTION("IFERROR((GOOGLEFINANCE(C167, ""price"") / INDEX(GOOGLEFINANCE(C167, ""price"", EDATE(TODAY(), -6), TODAY()), 2, 2)) - 1, """")"),"")</f>
        <v/>
      </c>
      <c r="P167" s="21" t="str">
        <f>IFERROR(__xludf.DUMMYFUNCTION("IFERROR((GOOGLEFINANCE(C167, ""price"") / INDEX(GOOGLEFINANCE(C167, ""price"", EDATE(TODAY(), -12), TODAY()), 2, 2)) - 1, """")"),"")</f>
        <v/>
      </c>
      <c r="Q167" s="6" t="str">
        <f>IFERROR(__xludf.DUMMYFUNCTION("AVERAGE(QUERY(GOOGLEFINANCE(C167, ""price"", TODAY()-80, TODAY()), ""SELECT Col2 WHERE Col2 IS NOT NULL ORDER BY Col1 DESC LIMIT 50"", 0))"),"#N/A")</f>
        <v>#N/A</v>
      </c>
      <c r="R167" s="24" t="str">
        <f>IFERROR(__xludf.DUMMYFUNCTION("IFERROR(
  LET(
    data, QUERY(GOOGLEFINANCE(C167,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GOOGLEFINANCE(C167, ""price"")) * 100,
    IF(calc=0, G167, calc)
  ), 
G167)"),"#N/A")</f>
        <v>#N/A</v>
      </c>
      <c r="S167" s="8" t="s">
        <v>15</v>
      </c>
      <c r="T167" s="26" t="str">
        <f>IFERROR(__xludf.DUMMYFUNCTION("IFERROR(TRANSPOSE(QUERY(IFERROR(SORT(GOOGLEFINANCE(C167, ""price"", WORKDAY(TODAY(), -40), TODAY()), 1, FALSE)), ""select Col2 where Col2 is not null limit 22 label Col2 ''"", 0)), """")"),"")</f>
        <v/>
      </c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8"/>
      <c r="AO167" s="28"/>
      <c r="AP167" s="29"/>
      <c r="AQ167" s="29" t="str">
        <f t="shared" ref="AQ167:BL167" si="170">T167/T$2</f>
        <v>#N/A</v>
      </c>
      <c r="AR167" s="29" t="str">
        <f t="shared" si="170"/>
        <v>#DIV/0!</v>
      </c>
      <c r="AS167" s="29" t="str">
        <f t="shared" si="170"/>
        <v>#DIV/0!</v>
      </c>
      <c r="AT167" s="29" t="str">
        <f t="shared" si="170"/>
        <v>#DIV/0!</v>
      </c>
      <c r="AU167" s="29" t="str">
        <f t="shared" si="170"/>
        <v>#DIV/0!</v>
      </c>
      <c r="AV167" s="29" t="str">
        <f t="shared" si="170"/>
        <v>#DIV/0!</v>
      </c>
      <c r="AW167" s="29" t="str">
        <f t="shared" si="170"/>
        <v>#DIV/0!</v>
      </c>
      <c r="AX167" s="29" t="str">
        <f t="shared" si="170"/>
        <v>#DIV/0!</v>
      </c>
      <c r="AY167" s="29" t="str">
        <f t="shared" si="170"/>
        <v>#DIV/0!</v>
      </c>
      <c r="AZ167" s="29" t="str">
        <f t="shared" si="170"/>
        <v>#DIV/0!</v>
      </c>
      <c r="BA167" s="29" t="str">
        <f t="shared" si="170"/>
        <v>#DIV/0!</v>
      </c>
      <c r="BB167" s="29" t="str">
        <f t="shared" si="170"/>
        <v>#DIV/0!</v>
      </c>
      <c r="BC167" s="29" t="str">
        <f t="shared" si="170"/>
        <v>#DIV/0!</v>
      </c>
      <c r="BD167" s="29" t="str">
        <f t="shared" si="170"/>
        <v>#DIV/0!</v>
      </c>
      <c r="BE167" s="29" t="str">
        <f t="shared" si="170"/>
        <v>#DIV/0!</v>
      </c>
      <c r="BF167" s="29" t="str">
        <f t="shared" si="170"/>
        <v>#DIV/0!</v>
      </c>
      <c r="BG167" s="29" t="str">
        <f t="shared" si="170"/>
        <v>#DIV/0!</v>
      </c>
      <c r="BH167" s="29" t="str">
        <f t="shared" si="170"/>
        <v>#DIV/0!</v>
      </c>
      <c r="BI167" s="29" t="str">
        <f t="shared" si="170"/>
        <v>#DIV/0!</v>
      </c>
      <c r="BJ167" s="29" t="str">
        <f t="shared" si="170"/>
        <v>#DIV/0!</v>
      </c>
      <c r="BK167" s="29" t="str">
        <f t="shared" si="170"/>
        <v>#DIV/0!</v>
      </c>
      <c r="BL167" s="29" t="str">
        <f t="shared" si="170"/>
        <v>#DIV/0!</v>
      </c>
      <c r="BM167" s="29" t="str">
        <f t="shared" si="3"/>
        <v>#DIV/0!</v>
      </c>
    </row>
    <row r="168">
      <c r="A168" s="16" t="str">
        <f>IFERROR(__xludf.DUMMYFUNCTION("IFERROR(SPARKLINE(SORT(MAP(TRANSPOSE(AQ168:BL168), LAMBDA(val, IF(ISNUMBER(val), PERCENTRANK(AQ168:BL168, val)+0.01, 0))), SEQUENCE(COLUMNS(AQ168:BL168)), FALSE), {""charttype"",""column""; ""color"",""chartreuse""; ""ymin"", 0; ""ymax"", 1.01; ""highcolo"&amp;"r"", ""darkgreen""; ""lowcolor"", ""red""}), """")"),"")</f>
        <v/>
      </c>
      <c r="B168" s="17" t="str">
        <f t="shared" si="4"/>
        <v/>
      </c>
      <c r="C168" s="1" t="s">
        <v>3242</v>
      </c>
      <c r="D168" s="30" t="str">
        <f>IFERROR(__xludf.DUMMYFUNCTION("IFERROR(GOOGLEFINANCE(C168, ""NAME""))"),"Five Point Holdings LLC")</f>
        <v>Five Point Holdings LLC</v>
      </c>
      <c r="E168" s="30" t="s">
        <v>3164</v>
      </c>
      <c r="F168" s="33" t="str">
        <f>IFERROR(__xludf.DUMMYFUNCTION("( (GOOGLEFINANCE(C168, ""price"") - Q168) / Q168 ) / (R168 / 100)"),"Loading...")</f>
        <v>Loading...</v>
      </c>
      <c r="G168" s="20" t="str">
        <f>IFERROR(__xludf.DUMMYFUNCTION("AVERAGE(ARRAYFORMULA(100 * (QUERY(GOOGLEFINANCE(C168, ""high"", TODAY()-40, TODAY()), ""SELECT Col2 WHERE Col2 IS NOT NULL ORDER BY Col1 DESC LIMIT 20"", 0) / QUERY(GOOGLEFINANCE(C168, ""low"", TODAY()-40, TODAY()), ""SELECT Col2 WHERE Col2 IS NOT NULL OR"&amp;"DER BY Col1 DESC LIMIT 20"", 0) - 1)))"),"#N/A")</f>
        <v>#N/A</v>
      </c>
      <c r="H168" s="35" t="str">
        <f t="shared" si="6"/>
        <v>Illiquid</v>
      </c>
      <c r="I168" s="35" t="str">
        <f t="shared" si="7"/>
        <v>RVol Required</v>
      </c>
      <c r="J168" s="37">
        <f>IFERROR(__xludf.DUMMYFUNCTION("IFERROR(
  IF(C168="""",, 
    IFERROR(
      GOOGLEFINANCE(C168, ""price"") * GOOGLEFINANCE(C168, ""volumeavg""), 
      GOOGLEFINANCE(C168, ""price"") * AVERAGE(QUERY(GOOGLEFINANCE(C168, ""volume"", TODAY()-40, TODAY()), ""SELECT Col2 WHERE Col2 IS NOT "&amp;"NULL ORDER BY Col1 DESC LIMIT 20"", 0))
    )
  ), 
"""")"),789372.7499999999)</f>
        <v>789372.75</v>
      </c>
      <c r="K168" s="21">
        <f>IFERROR(__xludf.DUMMYFUNCTION("IFERROR(GOOGLEFINANCE(C168, ""changepct"") / 100, """")"),-0.0158)</f>
        <v>-0.0158</v>
      </c>
      <c r="L168" s="21" t="str">
        <f>IFERROR(__xludf.DUMMYFUNCTION("IFERROR((GOOGLEFINANCE(C168, ""price"") / INDEX(GOOGLEFINANCE(C168, ""price"", TODAY()-7, TODAY()), 2, 2)) - 1, """")"),"")</f>
        <v/>
      </c>
      <c r="M168" s="21" t="str">
        <f>IFERROR(__xludf.DUMMYFUNCTION("IFERROR((GOOGLEFINANCE(C168, ""price"") / INDEX(GOOGLEFINANCE(C168, ""price"", EDATE(TODAY(), -1), TODAY()), 2, 2)) - 1, """")"),"")</f>
        <v/>
      </c>
      <c r="N168" s="21" t="str">
        <f>IFERROR(__xludf.DUMMYFUNCTION("IFERROR((GOOGLEFINANCE(C168, ""price"") / INDEX(GOOGLEFINANCE(C168, ""price"", EDATE(TODAY(), -3), TODAY()), 2, 2)) - 1, """")"),"")</f>
        <v/>
      </c>
      <c r="O168" s="21" t="str">
        <f>IFERROR(__xludf.DUMMYFUNCTION("IFERROR((GOOGLEFINANCE(C168, ""price"") / INDEX(GOOGLEFINANCE(C168, ""price"", EDATE(TODAY(), -6), TODAY()), 2, 2)) - 1, """")"),"")</f>
        <v/>
      </c>
      <c r="P168" s="21" t="str">
        <f>IFERROR(__xludf.DUMMYFUNCTION("IFERROR((GOOGLEFINANCE(C168, ""price"") / INDEX(GOOGLEFINANCE(C168, ""price"", EDATE(TODAY(), -12), TODAY()), 2, 2)) - 1, """")"),"")</f>
        <v/>
      </c>
      <c r="Q168" s="6" t="str">
        <f>IFERROR(__xludf.DUMMYFUNCTION("AVERAGE(QUERY(GOOGLEFINANCE(C168, ""price"", TODAY()-80, TODAY()), ""SELECT Col2 WHERE Col2 IS NOT NULL ORDER BY Col1 DESC LIMIT 50"", 0))"),"#N/A")</f>
        <v>#N/A</v>
      </c>
      <c r="R168" s="24" t="str">
        <f>IFERROR(__xludf.DUMMYFUNCTION("IFERROR(
  LET(
    data, QUERY(GOOGLEFINANCE(C168,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GOOGLEFINANCE(C168, ""price"")) * 100,
    IF(calc=0, G168, calc)
  ), 
G168)"),"#N/A")</f>
        <v>#N/A</v>
      </c>
      <c r="S168" s="8" t="s">
        <v>15</v>
      </c>
      <c r="T168" s="26" t="str">
        <f>IFERROR(__xludf.DUMMYFUNCTION("IFERROR(TRANSPOSE(QUERY(IFERROR(SORT(GOOGLEFINANCE(C168, ""price"", WORKDAY(TODAY(), -40), TODAY()), 1, FALSE)), ""select Col2 where Col2 is not null limit 22 label Col2 ''"", 0)), """")"),"")</f>
        <v/>
      </c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8"/>
      <c r="AO168" s="28"/>
      <c r="AP168" s="29"/>
      <c r="AQ168" s="29" t="str">
        <f t="shared" ref="AQ168:BL168" si="171">T168/T$2</f>
        <v>#N/A</v>
      </c>
      <c r="AR168" s="29" t="str">
        <f t="shared" si="171"/>
        <v>#DIV/0!</v>
      </c>
      <c r="AS168" s="29" t="str">
        <f t="shared" si="171"/>
        <v>#DIV/0!</v>
      </c>
      <c r="AT168" s="29" t="str">
        <f t="shared" si="171"/>
        <v>#DIV/0!</v>
      </c>
      <c r="AU168" s="29" t="str">
        <f t="shared" si="171"/>
        <v>#DIV/0!</v>
      </c>
      <c r="AV168" s="29" t="str">
        <f t="shared" si="171"/>
        <v>#DIV/0!</v>
      </c>
      <c r="AW168" s="29" t="str">
        <f t="shared" si="171"/>
        <v>#DIV/0!</v>
      </c>
      <c r="AX168" s="29" t="str">
        <f t="shared" si="171"/>
        <v>#DIV/0!</v>
      </c>
      <c r="AY168" s="29" t="str">
        <f t="shared" si="171"/>
        <v>#DIV/0!</v>
      </c>
      <c r="AZ168" s="29" t="str">
        <f t="shared" si="171"/>
        <v>#DIV/0!</v>
      </c>
      <c r="BA168" s="29" t="str">
        <f t="shared" si="171"/>
        <v>#DIV/0!</v>
      </c>
      <c r="BB168" s="29" t="str">
        <f t="shared" si="171"/>
        <v>#DIV/0!</v>
      </c>
      <c r="BC168" s="29" t="str">
        <f t="shared" si="171"/>
        <v>#DIV/0!</v>
      </c>
      <c r="BD168" s="29" t="str">
        <f t="shared" si="171"/>
        <v>#DIV/0!</v>
      </c>
      <c r="BE168" s="29" t="str">
        <f t="shared" si="171"/>
        <v>#DIV/0!</v>
      </c>
      <c r="BF168" s="29" t="str">
        <f t="shared" si="171"/>
        <v>#DIV/0!</v>
      </c>
      <c r="BG168" s="29" t="str">
        <f t="shared" si="171"/>
        <v>#DIV/0!</v>
      </c>
      <c r="BH168" s="29" t="str">
        <f t="shared" si="171"/>
        <v>#DIV/0!</v>
      </c>
      <c r="BI168" s="29" t="str">
        <f t="shared" si="171"/>
        <v>#DIV/0!</v>
      </c>
      <c r="BJ168" s="29" t="str">
        <f t="shared" si="171"/>
        <v>#DIV/0!</v>
      </c>
      <c r="BK168" s="29" t="str">
        <f t="shared" si="171"/>
        <v>#DIV/0!</v>
      </c>
      <c r="BL168" s="29" t="str">
        <f t="shared" si="171"/>
        <v>#DIV/0!</v>
      </c>
      <c r="BM168" s="29" t="str">
        <f t="shared" si="3"/>
        <v>#DIV/0!</v>
      </c>
    </row>
    <row r="169">
      <c r="A169" s="16" t="str">
        <f>IFERROR(__xludf.DUMMYFUNCTION("IFERROR(SPARKLINE(SORT(MAP(TRANSPOSE(AQ169:BL169), LAMBDA(val, IF(ISNUMBER(val), PERCENTRANK(AQ169:BL169, val)+0.01, 0))), SEQUENCE(COLUMNS(AQ169:BL169)), FALSE), {""charttype"",""column""; ""color"",""chartreuse""; ""ymin"", 0; ""ymax"", 1.01; ""highcolo"&amp;"r"", ""darkgreen""; ""lowcolor"", ""red""}), """")"),"")</f>
        <v/>
      </c>
      <c r="B169" s="17" t="str">
        <f t="shared" si="4"/>
        <v/>
      </c>
      <c r="C169" s="1" t="s">
        <v>3244</v>
      </c>
      <c r="D169" s="30" t="str">
        <f>IFERROR(__xludf.DUMMYFUNCTION("IFERROR(GOOGLEFINANCE(C169, ""NAME""))"),"Universal Health Realty Income Trust")</f>
        <v>Universal Health Realty Income Trust</v>
      </c>
      <c r="E169" s="30" t="s">
        <v>2668</v>
      </c>
      <c r="F169" s="33" t="str">
        <f>IFERROR(__xludf.DUMMYFUNCTION("( (GOOGLEFINANCE(C169, ""price"") - Q169) / Q169 ) / (R169 / 100)"),"Loading...")</f>
        <v>Loading...</v>
      </c>
      <c r="G169" s="20" t="str">
        <f>IFERROR(__xludf.DUMMYFUNCTION("AVERAGE(ARRAYFORMULA(100 * (QUERY(GOOGLEFINANCE(C169, ""high"", TODAY()-40, TODAY()), ""SELECT Col2 WHERE Col2 IS NOT NULL ORDER BY Col1 DESC LIMIT 20"", 0) / QUERY(GOOGLEFINANCE(C169, ""low"", TODAY()-40, TODAY()), ""SELECT Col2 WHERE Col2 IS NOT NULL OR"&amp;"DER BY Col1 DESC LIMIT 20"", 0) - 1)))"),"#N/A")</f>
        <v>#N/A</v>
      </c>
      <c r="H169" s="35" t="str">
        <f t="shared" si="6"/>
        <v>Illiquid</v>
      </c>
      <c r="I169" s="35" t="str">
        <f t="shared" si="7"/>
        <v>RVol Required</v>
      </c>
      <c r="J169" s="37">
        <f>IFERROR(__xludf.DUMMYFUNCTION("IFERROR(
  IF(C169="""",, 
    IFERROR(
      GOOGLEFINANCE(C169, ""price"") * GOOGLEFINANCE(C169, ""volumeavg""), 
      GOOGLEFINANCE(C169, ""price"") * AVERAGE(QUERY(GOOGLEFINANCE(C169, ""volume"", TODAY()-40, TODAY()), ""SELECT Col2 WHERE Col2 IS NOT "&amp;"NULL ORDER BY Col1 DESC LIMIT 20"", 0))
    )
  ), 
"""")"),5563605.25)</f>
        <v>5563605.25</v>
      </c>
      <c r="K169" s="21">
        <f>IFERROR(__xludf.DUMMYFUNCTION("IFERROR(GOOGLEFINANCE(C169, ""changepct"") / 100, """")"),-0.001)</f>
        <v>-0.001</v>
      </c>
      <c r="L169" s="21" t="str">
        <f>IFERROR(__xludf.DUMMYFUNCTION("IFERROR((GOOGLEFINANCE(C169, ""price"") / INDEX(GOOGLEFINANCE(C169, ""price"", TODAY()-7, TODAY()), 2, 2)) - 1, """")"),"")</f>
        <v/>
      </c>
      <c r="M169" s="21" t="str">
        <f>IFERROR(__xludf.DUMMYFUNCTION("IFERROR((GOOGLEFINANCE(C169, ""price"") / INDEX(GOOGLEFINANCE(C169, ""price"", EDATE(TODAY(), -1), TODAY()), 2, 2)) - 1, """")"),"")</f>
        <v/>
      </c>
      <c r="N169" s="21" t="str">
        <f>IFERROR(__xludf.DUMMYFUNCTION("IFERROR((GOOGLEFINANCE(C169, ""price"") / INDEX(GOOGLEFINANCE(C169, ""price"", EDATE(TODAY(), -3), TODAY()), 2, 2)) - 1, """")"),"")</f>
        <v/>
      </c>
      <c r="O169" s="21" t="str">
        <f>IFERROR(__xludf.DUMMYFUNCTION("IFERROR((GOOGLEFINANCE(C169, ""price"") / INDEX(GOOGLEFINANCE(C169, ""price"", EDATE(TODAY(), -6), TODAY()), 2, 2)) - 1, """")"),"")</f>
        <v/>
      </c>
      <c r="P169" s="21" t="str">
        <f>IFERROR(__xludf.DUMMYFUNCTION("IFERROR((GOOGLEFINANCE(C169, ""price"") / INDEX(GOOGLEFINANCE(C169, ""price"", EDATE(TODAY(), -12), TODAY()), 2, 2)) - 1, """")"),"")</f>
        <v/>
      </c>
      <c r="Q169" s="6" t="str">
        <f>IFERROR(__xludf.DUMMYFUNCTION("AVERAGE(QUERY(GOOGLEFINANCE(C169, ""price"", TODAY()-80, TODAY()), ""SELECT Col2 WHERE Col2 IS NOT NULL ORDER BY Col1 DESC LIMIT 50"", 0))"),"#N/A")</f>
        <v>#N/A</v>
      </c>
      <c r="R169" s="24" t="str">
        <f>IFERROR(__xludf.DUMMYFUNCTION("IFERROR(
  LET(
    data, QUERY(GOOGLEFINANCE(C169,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GOOGLEFINANCE(C169, ""price"")) * 100,
    IF(calc=0, G169, calc)
  ), 
G169)"),"#N/A")</f>
        <v>#N/A</v>
      </c>
      <c r="S169" s="8" t="s">
        <v>15</v>
      </c>
      <c r="T169" s="26" t="str">
        <f>IFERROR(__xludf.DUMMYFUNCTION("IFERROR(TRANSPOSE(QUERY(IFERROR(SORT(GOOGLEFINANCE(C169, ""price"", WORKDAY(TODAY(), -40), TODAY()), 1, FALSE)), ""select Col2 where Col2 is not null limit 22 label Col2 ''"", 0)), """")"),"")</f>
        <v/>
      </c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8"/>
      <c r="AO169" s="28"/>
      <c r="AP169" s="29"/>
      <c r="AQ169" s="29" t="str">
        <f t="shared" ref="AQ169:BL169" si="172">T169/T$2</f>
        <v>#N/A</v>
      </c>
      <c r="AR169" s="29" t="str">
        <f t="shared" si="172"/>
        <v>#DIV/0!</v>
      </c>
      <c r="AS169" s="29" t="str">
        <f t="shared" si="172"/>
        <v>#DIV/0!</v>
      </c>
      <c r="AT169" s="29" t="str">
        <f t="shared" si="172"/>
        <v>#DIV/0!</v>
      </c>
      <c r="AU169" s="29" t="str">
        <f t="shared" si="172"/>
        <v>#DIV/0!</v>
      </c>
      <c r="AV169" s="29" t="str">
        <f t="shared" si="172"/>
        <v>#DIV/0!</v>
      </c>
      <c r="AW169" s="29" t="str">
        <f t="shared" si="172"/>
        <v>#DIV/0!</v>
      </c>
      <c r="AX169" s="29" t="str">
        <f t="shared" si="172"/>
        <v>#DIV/0!</v>
      </c>
      <c r="AY169" s="29" t="str">
        <f t="shared" si="172"/>
        <v>#DIV/0!</v>
      </c>
      <c r="AZ169" s="29" t="str">
        <f t="shared" si="172"/>
        <v>#DIV/0!</v>
      </c>
      <c r="BA169" s="29" t="str">
        <f t="shared" si="172"/>
        <v>#DIV/0!</v>
      </c>
      <c r="BB169" s="29" t="str">
        <f t="shared" si="172"/>
        <v>#DIV/0!</v>
      </c>
      <c r="BC169" s="29" t="str">
        <f t="shared" si="172"/>
        <v>#DIV/0!</v>
      </c>
      <c r="BD169" s="29" t="str">
        <f t="shared" si="172"/>
        <v>#DIV/0!</v>
      </c>
      <c r="BE169" s="29" t="str">
        <f t="shared" si="172"/>
        <v>#DIV/0!</v>
      </c>
      <c r="BF169" s="29" t="str">
        <f t="shared" si="172"/>
        <v>#DIV/0!</v>
      </c>
      <c r="BG169" s="29" t="str">
        <f t="shared" si="172"/>
        <v>#DIV/0!</v>
      </c>
      <c r="BH169" s="29" t="str">
        <f t="shared" si="172"/>
        <v>#DIV/0!</v>
      </c>
      <c r="BI169" s="29" t="str">
        <f t="shared" si="172"/>
        <v>#DIV/0!</v>
      </c>
      <c r="BJ169" s="29" t="str">
        <f t="shared" si="172"/>
        <v>#DIV/0!</v>
      </c>
      <c r="BK169" s="29" t="str">
        <f t="shared" si="172"/>
        <v>#DIV/0!</v>
      </c>
      <c r="BL169" s="29" t="str">
        <f t="shared" si="172"/>
        <v>#DIV/0!</v>
      </c>
      <c r="BM169" s="29" t="str">
        <f t="shared" si="3"/>
        <v>#DIV/0!</v>
      </c>
    </row>
    <row r="170">
      <c r="A170" s="16" t="str">
        <f>IFERROR(__xludf.DUMMYFUNCTION("IFERROR(SPARKLINE(SORT(MAP(TRANSPOSE(AQ170:BL170), LAMBDA(val, IF(ISNUMBER(val), PERCENTRANK(AQ170:BL170, val)+0.01, 0))), SEQUENCE(COLUMNS(AQ170:BL170)), FALSE), {""charttype"",""column""; ""color"",""chartreuse""; ""ymin"", 0; ""ymax"", 1.01; ""highcolo"&amp;"r"", ""darkgreen""; ""lowcolor"", ""red""}), """")"),"")</f>
        <v/>
      </c>
      <c r="B170" s="17" t="str">
        <f t="shared" si="4"/>
        <v/>
      </c>
      <c r="C170" s="1" t="s">
        <v>3246</v>
      </c>
      <c r="D170" s="30" t="str">
        <f>IFERROR(__xludf.DUMMYFUNCTION("IFERROR(GOOGLEFINANCE(C170, ""NAME""))"),"Annaly Capital Management Inc")</f>
        <v>Annaly Capital Management Inc</v>
      </c>
      <c r="E170" s="30" t="s">
        <v>2682</v>
      </c>
      <c r="F170" s="33" t="str">
        <f>IFERROR(__xludf.DUMMYFUNCTION("( (GOOGLEFINANCE(C170, ""price"") - Q170) / Q170 ) / (R170 / 100)"),"Loading...")</f>
        <v>Loading...</v>
      </c>
      <c r="G170" s="20" t="str">
        <f>IFERROR(__xludf.DUMMYFUNCTION("AVERAGE(ARRAYFORMULA(100 * (QUERY(GOOGLEFINANCE(C170, ""high"", TODAY()-40, TODAY()), ""SELECT Col2 WHERE Col2 IS NOT NULL ORDER BY Col1 DESC LIMIT 20"", 0) / QUERY(GOOGLEFINANCE(C170, ""low"", TODAY()-40, TODAY()), ""SELECT Col2 WHERE Col2 IS NOT NULL OR"&amp;"DER BY Col1 DESC LIMIT 20"", 0) - 1)))"),"#N/A")</f>
        <v>#N/A</v>
      </c>
      <c r="H170" s="35" t="str">
        <f t="shared" si="6"/>
        <v>Liquid</v>
      </c>
      <c r="I170" s="35" t="str">
        <f t="shared" si="7"/>
        <v>RVol Required</v>
      </c>
      <c r="J170" s="37">
        <f>IFERROR(__xludf.DUMMYFUNCTION("IFERROR(
  IF(C170="""",, 
    IFERROR(
      GOOGLEFINANCE(C170, ""price"") * GOOGLEFINANCE(C170, ""volumeavg""), 
      GOOGLEFINANCE(C170, ""price"") * AVERAGE(QUERY(GOOGLEFINANCE(C170, ""volume"", TODAY()-40, TODAY()), ""SELECT Col2 WHERE Col2 IS NOT "&amp;"NULL ORDER BY Col1 DESC LIMIT 20"", 0))
    )
  ), 
"""")"),2.3055393496E8)</f>
        <v>230553935</v>
      </c>
      <c r="K170" s="21">
        <f>IFERROR(__xludf.DUMMYFUNCTION("IFERROR(GOOGLEFINANCE(C170, ""changepct"") / 100, """")"),-0.0109)</f>
        <v>-0.0109</v>
      </c>
      <c r="L170" s="21" t="str">
        <f>IFERROR(__xludf.DUMMYFUNCTION("IFERROR((GOOGLEFINANCE(C170, ""price"") / INDEX(GOOGLEFINANCE(C170, ""price"", TODAY()-7, TODAY()), 2, 2)) - 1, """")"),"")</f>
        <v/>
      </c>
      <c r="M170" s="21" t="str">
        <f>IFERROR(__xludf.DUMMYFUNCTION("IFERROR((GOOGLEFINANCE(C170, ""price"") / INDEX(GOOGLEFINANCE(C170, ""price"", EDATE(TODAY(), -1), TODAY()), 2, 2)) - 1, """")"),"")</f>
        <v/>
      </c>
      <c r="N170" s="21" t="str">
        <f>IFERROR(__xludf.DUMMYFUNCTION("IFERROR((GOOGLEFINANCE(C170, ""price"") / INDEX(GOOGLEFINANCE(C170, ""price"", EDATE(TODAY(), -3), TODAY()), 2, 2)) - 1, """")"),"")</f>
        <v/>
      </c>
      <c r="O170" s="21" t="str">
        <f>IFERROR(__xludf.DUMMYFUNCTION("IFERROR((GOOGLEFINANCE(C170, ""price"") / INDEX(GOOGLEFINANCE(C170, ""price"", EDATE(TODAY(), -6), TODAY()), 2, 2)) - 1, """")"),"")</f>
        <v/>
      </c>
      <c r="P170" s="21" t="str">
        <f>IFERROR(__xludf.DUMMYFUNCTION("IFERROR((GOOGLEFINANCE(C170, ""price"") / INDEX(GOOGLEFINANCE(C170, ""price"", EDATE(TODAY(), -12), TODAY()), 2, 2)) - 1, """")"),"")</f>
        <v/>
      </c>
      <c r="Q170" s="6" t="str">
        <f>IFERROR(__xludf.DUMMYFUNCTION("AVERAGE(QUERY(GOOGLEFINANCE(C170, ""price"", TODAY()-80, TODAY()), ""SELECT Col2 WHERE Col2 IS NOT NULL ORDER BY Col1 DESC LIMIT 50"", 0))"),"#N/A")</f>
        <v>#N/A</v>
      </c>
      <c r="R170" s="24" t="str">
        <f>IFERROR(__xludf.DUMMYFUNCTION("IFERROR(
  LET(
    data, QUERY(GOOGLEFINANCE(C170,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GOOGLEFINANCE(C170, ""price"")) * 100,
    IF(calc=0, G170, calc)
  ), 
G170)"),"#N/A")</f>
        <v>#N/A</v>
      </c>
      <c r="S170" s="8" t="s">
        <v>15</v>
      </c>
      <c r="T170" s="26" t="str">
        <f>IFERROR(__xludf.DUMMYFUNCTION("IFERROR(TRANSPOSE(QUERY(IFERROR(SORT(GOOGLEFINANCE(C170, ""price"", WORKDAY(TODAY(), -40), TODAY()), 1, FALSE)), ""select Col2 where Col2 is not null limit 22 label Col2 ''"", 0)), """")"),"")</f>
        <v/>
      </c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8"/>
      <c r="AO170" s="28"/>
      <c r="AP170" s="29"/>
      <c r="AQ170" s="29" t="str">
        <f t="shared" ref="AQ170:BL170" si="173">T170/T$2</f>
        <v>#N/A</v>
      </c>
      <c r="AR170" s="29" t="str">
        <f t="shared" si="173"/>
        <v>#DIV/0!</v>
      </c>
      <c r="AS170" s="29" t="str">
        <f t="shared" si="173"/>
        <v>#DIV/0!</v>
      </c>
      <c r="AT170" s="29" t="str">
        <f t="shared" si="173"/>
        <v>#DIV/0!</v>
      </c>
      <c r="AU170" s="29" t="str">
        <f t="shared" si="173"/>
        <v>#DIV/0!</v>
      </c>
      <c r="AV170" s="29" t="str">
        <f t="shared" si="173"/>
        <v>#DIV/0!</v>
      </c>
      <c r="AW170" s="29" t="str">
        <f t="shared" si="173"/>
        <v>#DIV/0!</v>
      </c>
      <c r="AX170" s="29" t="str">
        <f t="shared" si="173"/>
        <v>#DIV/0!</v>
      </c>
      <c r="AY170" s="29" t="str">
        <f t="shared" si="173"/>
        <v>#DIV/0!</v>
      </c>
      <c r="AZ170" s="29" t="str">
        <f t="shared" si="173"/>
        <v>#DIV/0!</v>
      </c>
      <c r="BA170" s="29" t="str">
        <f t="shared" si="173"/>
        <v>#DIV/0!</v>
      </c>
      <c r="BB170" s="29" t="str">
        <f t="shared" si="173"/>
        <v>#DIV/0!</v>
      </c>
      <c r="BC170" s="29" t="str">
        <f t="shared" si="173"/>
        <v>#DIV/0!</v>
      </c>
      <c r="BD170" s="29" t="str">
        <f t="shared" si="173"/>
        <v>#DIV/0!</v>
      </c>
      <c r="BE170" s="29" t="str">
        <f t="shared" si="173"/>
        <v>#DIV/0!</v>
      </c>
      <c r="BF170" s="29" t="str">
        <f t="shared" si="173"/>
        <v>#DIV/0!</v>
      </c>
      <c r="BG170" s="29" t="str">
        <f t="shared" si="173"/>
        <v>#DIV/0!</v>
      </c>
      <c r="BH170" s="29" t="str">
        <f t="shared" si="173"/>
        <v>#DIV/0!</v>
      </c>
      <c r="BI170" s="29" t="str">
        <f t="shared" si="173"/>
        <v>#DIV/0!</v>
      </c>
      <c r="BJ170" s="29" t="str">
        <f t="shared" si="173"/>
        <v>#DIV/0!</v>
      </c>
      <c r="BK170" s="29" t="str">
        <f t="shared" si="173"/>
        <v>#DIV/0!</v>
      </c>
      <c r="BL170" s="29" t="str">
        <f t="shared" si="173"/>
        <v>#DIV/0!</v>
      </c>
      <c r="BM170" s="29" t="str">
        <f t="shared" si="3"/>
        <v>#DIV/0!</v>
      </c>
    </row>
    <row r="171">
      <c r="A171" s="16" t="str">
        <f>IFERROR(__xludf.DUMMYFUNCTION("IFERROR(SPARKLINE(SORT(MAP(TRANSPOSE(AQ171:BL171), LAMBDA(val, IF(ISNUMBER(val), PERCENTRANK(AQ171:BL171, val)+0.01, 0))), SEQUENCE(COLUMNS(AQ171:BL171)), FALSE), {""charttype"",""column""; ""color"",""chartreuse""; ""ymin"", 0; ""ymax"", 1.01; ""highcolo"&amp;"r"", ""darkgreen""; ""lowcolor"", ""red""}), """")"),"")</f>
        <v/>
      </c>
      <c r="B171" s="17" t="str">
        <f t="shared" si="4"/>
        <v/>
      </c>
      <c r="C171" s="1" t="s">
        <v>3248</v>
      </c>
      <c r="D171" s="30" t="str">
        <f>IFERROR(__xludf.DUMMYFUNCTION("IFERROR(GOOGLEFINANCE(C171, ""NAME""))"),"Arbor Realty Trust Inc")</f>
        <v>Arbor Realty Trust Inc</v>
      </c>
      <c r="E171" s="30" t="s">
        <v>2682</v>
      </c>
      <c r="F171" s="33" t="str">
        <f>IFERROR(__xludf.DUMMYFUNCTION("( (GOOGLEFINANCE(C171, ""price"") - Q171) / Q171 ) / (R171 / 100)"),"Loading...")</f>
        <v>Loading...</v>
      </c>
      <c r="G171" s="20" t="str">
        <f>IFERROR(__xludf.DUMMYFUNCTION("AVERAGE(ARRAYFORMULA(100 * (QUERY(GOOGLEFINANCE(C171, ""high"", TODAY()-40, TODAY()), ""SELECT Col2 WHERE Col2 IS NOT NULL ORDER BY Col1 DESC LIMIT 20"", 0) / QUERY(GOOGLEFINANCE(C171, ""low"", TODAY()-40, TODAY()), ""SELECT Col2 WHERE Col2 IS NOT NULL OR"&amp;"DER BY Col1 DESC LIMIT 20"", 0) - 1)))"),"#N/A")</f>
        <v>#N/A</v>
      </c>
      <c r="H171" s="35" t="str">
        <f t="shared" si="6"/>
        <v>Illiquid</v>
      </c>
      <c r="I171" s="35" t="str">
        <f t="shared" si="7"/>
        <v>RVol Required</v>
      </c>
      <c r="J171" s="37">
        <f>IFERROR(__xludf.DUMMYFUNCTION("IFERROR(
  IF(C171="""",, 
    IFERROR(
      GOOGLEFINANCE(C171, ""price"") * GOOGLEFINANCE(C171, ""volumeavg""), 
      GOOGLEFINANCE(C171, ""price"") * AVERAGE(QUERY(GOOGLEFINANCE(C171, ""volume"", TODAY()-40, TODAY()), ""SELECT Col2 WHERE Col2 IS NOT "&amp;"NULL ORDER BY Col1 DESC LIMIT 20"", 0))
    )
  ), 
"""")"),1.685997312E7)</f>
        <v>16859973.12</v>
      </c>
      <c r="K171" s="21">
        <f>IFERROR(__xludf.DUMMYFUNCTION("IFERROR(GOOGLEFINANCE(C171, ""changepct"") / 100, """")"),-0.0393)</f>
        <v>-0.0393</v>
      </c>
      <c r="L171" s="21" t="str">
        <f>IFERROR(__xludf.DUMMYFUNCTION("IFERROR((GOOGLEFINANCE(C171, ""price"") / INDEX(GOOGLEFINANCE(C171, ""price"", TODAY()-7, TODAY()), 2, 2)) - 1, """")"),"")</f>
        <v/>
      </c>
      <c r="M171" s="21" t="str">
        <f>IFERROR(__xludf.DUMMYFUNCTION("IFERROR((GOOGLEFINANCE(C171, ""price"") / INDEX(GOOGLEFINANCE(C171, ""price"", EDATE(TODAY(), -1), TODAY()), 2, 2)) - 1, """")"),"")</f>
        <v/>
      </c>
      <c r="N171" s="21" t="str">
        <f>IFERROR(__xludf.DUMMYFUNCTION("IFERROR((GOOGLEFINANCE(C171, ""price"") / INDEX(GOOGLEFINANCE(C171, ""price"", EDATE(TODAY(), -3), TODAY()), 2, 2)) - 1, """")"),"")</f>
        <v/>
      </c>
      <c r="O171" s="21" t="str">
        <f>IFERROR(__xludf.DUMMYFUNCTION("IFERROR((GOOGLEFINANCE(C171, ""price"") / INDEX(GOOGLEFINANCE(C171, ""price"", EDATE(TODAY(), -6), TODAY()), 2, 2)) - 1, """")"),"")</f>
        <v/>
      </c>
      <c r="P171" s="21" t="str">
        <f>IFERROR(__xludf.DUMMYFUNCTION("IFERROR((GOOGLEFINANCE(C171, ""price"") / INDEX(GOOGLEFINANCE(C171, ""price"", EDATE(TODAY(), -12), TODAY()), 2, 2)) - 1, """")"),"")</f>
        <v/>
      </c>
      <c r="Q171" s="6" t="str">
        <f>IFERROR(__xludf.DUMMYFUNCTION("AVERAGE(QUERY(GOOGLEFINANCE(C171, ""price"", TODAY()-80, TODAY()), ""SELECT Col2 WHERE Col2 IS NOT NULL ORDER BY Col1 DESC LIMIT 50"", 0))"),"#N/A")</f>
        <v>#N/A</v>
      </c>
      <c r="R171" s="24" t="str">
        <f>IFERROR(__xludf.DUMMYFUNCTION("IFERROR(
  LET(
    data, QUERY(GOOGLEFINANCE(C171,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GOOGLEFINANCE(C171, ""price"")) * 100,
    IF(calc=0, G171, calc)
  ), 
G171)"),"#N/A")</f>
        <v>#N/A</v>
      </c>
      <c r="S171" s="8" t="s">
        <v>15</v>
      </c>
      <c r="T171" s="26" t="str">
        <f>IFERROR(__xludf.DUMMYFUNCTION("IFERROR(TRANSPOSE(QUERY(IFERROR(SORT(GOOGLEFINANCE(C171, ""price"", WORKDAY(TODAY(), -40), TODAY()), 1, FALSE)), ""select Col2 where Col2 is not null limit 22 label Col2 ''"", 0)), """")"),"")</f>
        <v/>
      </c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8"/>
      <c r="AO171" s="28"/>
      <c r="AP171" s="29"/>
      <c r="AQ171" s="29" t="str">
        <f t="shared" ref="AQ171:BL171" si="174">T171/T$2</f>
        <v>#N/A</v>
      </c>
      <c r="AR171" s="29" t="str">
        <f t="shared" si="174"/>
        <v>#DIV/0!</v>
      </c>
      <c r="AS171" s="29" t="str">
        <f t="shared" si="174"/>
        <v>#DIV/0!</v>
      </c>
      <c r="AT171" s="29" t="str">
        <f t="shared" si="174"/>
        <v>#DIV/0!</v>
      </c>
      <c r="AU171" s="29" t="str">
        <f t="shared" si="174"/>
        <v>#DIV/0!</v>
      </c>
      <c r="AV171" s="29" t="str">
        <f t="shared" si="174"/>
        <v>#DIV/0!</v>
      </c>
      <c r="AW171" s="29" t="str">
        <f t="shared" si="174"/>
        <v>#DIV/0!</v>
      </c>
      <c r="AX171" s="29" t="str">
        <f t="shared" si="174"/>
        <v>#DIV/0!</v>
      </c>
      <c r="AY171" s="29" t="str">
        <f t="shared" si="174"/>
        <v>#DIV/0!</v>
      </c>
      <c r="AZ171" s="29" t="str">
        <f t="shared" si="174"/>
        <v>#DIV/0!</v>
      </c>
      <c r="BA171" s="29" t="str">
        <f t="shared" si="174"/>
        <v>#DIV/0!</v>
      </c>
      <c r="BB171" s="29" t="str">
        <f t="shared" si="174"/>
        <v>#DIV/0!</v>
      </c>
      <c r="BC171" s="29" t="str">
        <f t="shared" si="174"/>
        <v>#DIV/0!</v>
      </c>
      <c r="BD171" s="29" t="str">
        <f t="shared" si="174"/>
        <v>#DIV/0!</v>
      </c>
      <c r="BE171" s="29" t="str">
        <f t="shared" si="174"/>
        <v>#DIV/0!</v>
      </c>
      <c r="BF171" s="29" t="str">
        <f t="shared" si="174"/>
        <v>#DIV/0!</v>
      </c>
      <c r="BG171" s="29" t="str">
        <f t="shared" si="174"/>
        <v>#DIV/0!</v>
      </c>
      <c r="BH171" s="29" t="str">
        <f t="shared" si="174"/>
        <v>#DIV/0!</v>
      </c>
      <c r="BI171" s="29" t="str">
        <f t="shared" si="174"/>
        <v>#DIV/0!</v>
      </c>
      <c r="BJ171" s="29" t="str">
        <f t="shared" si="174"/>
        <v>#DIV/0!</v>
      </c>
      <c r="BK171" s="29" t="str">
        <f t="shared" si="174"/>
        <v>#DIV/0!</v>
      </c>
      <c r="BL171" s="29" t="str">
        <f t="shared" si="174"/>
        <v>#DIV/0!</v>
      </c>
      <c r="BM171" s="29" t="str">
        <f t="shared" si="3"/>
        <v>#DIV/0!</v>
      </c>
    </row>
    <row r="172">
      <c r="A172" s="16" t="str">
        <f>IFERROR(__xludf.DUMMYFUNCTION("IFERROR(SPARKLINE(SORT(MAP(TRANSPOSE(AQ172:BL172), LAMBDA(val, IF(ISNUMBER(val), PERCENTRANK(AQ172:BL172, val)+0.01, 0))), SEQUENCE(COLUMNS(AQ172:BL172)), FALSE), {""charttype"",""column""; ""color"",""chartreuse""; ""ymin"", 0; ""ymax"", 1.01; ""highcolo"&amp;"r"", ""darkgreen""; ""lowcolor"", ""red""}), """")"),"")</f>
        <v/>
      </c>
      <c r="B172" s="17" t="str">
        <f t="shared" si="4"/>
        <v/>
      </c>
      <c r="C172" s="1" t="s">
        <v>3251</v>
      </c>
      <c r="D172" s="30" t="str">
        <f>IFERROR(__xludf.DUMMYFUNCTION("IFERROR(GOOGLEFINANCE(C172, ""NAME""))"),"Vesta Real Estat Corprtn SAB de CV - ADR")</f>
        <v>Vesta Real Estat Corprtn SAB de CV - ADR</v>
      </c>
      <c r="E172" s="30" t="s">
        <v>3164</v>
      </c>
      <c r="F172" s="33" t="str">
        <f>IFERROR(__xludf.DUMMYFUNCTION("( (GOOGLEFINANCE(C172, ""price"") - Q172) / Q172 ) / (R172 / 100)"),"Loading...")</f>
        <v>Loading...</v>
      </c>
      <c r="G172" s="20" t="str">
        <f>IFERROR(__xludf.DUMMYFUNCTION("AVERAGE(ARRAYFORMULA(100 * (QUERY(GOOGLEFINANCE(C172, ""high"", TODAY()-40, TODAY()), ""SELECT Col2 WHERE Col2 IS NOT NULL ORDER BY Col1 DESC LIMIT 20"", 0) / QUERY(GOOGLEFINANCE(C172, ""low"", TODAY()-40, TODAY()), ""SELECT Col2 WHERE Col2 IS NOT NULL OR"&amp;"DER BY Col1 DESC LIMIT 20"", 0) - 1)))"),"#N/A")</f>
        <v>#N/A</v>
      </c>
      <c r="H172" s="35" t="str">
        <f t="shared" si="6"/>
        <v>Illiquid</v>
      </c>
      <c r="I172" s="35" t="str">
        <f t="shared" si="7"/>
        <v>RVol Required</v>
      </c>
      <c r="J172" s="37">
        <f>IFERROR(__xludf.DUMMYFUNCTION("IFERROR(
  IF(C172="""",, 
    IFERROR(
      GOOGLEFINANCE(C172, ""price"") * GOOGLEFINANCE(C172, ""volumeavg""), 
      GOOGLEFINANCE(C172, ""price"") * AVERAGE(QUERY(GOOGLEFINANCE(C172, ""volume"", TODAY()-40, TODAY()), ""SELECT Col2 WHERE Col2 IS NOT "&amp;"NULL ORDER BY Col1 DESC LIMIT 20"", 0))
    )
  ), 
"""")"),2189521.28)</f>
        <v>2189521.28</v>
      </c>
      <c r="K172" s="21">
        <f>IFERROR(__xludf.DUMMYFUNCTION("IFERROR(GOOGLEFINANCE(C172, ""changepct"") / 100, """")"),0.0127)</f>
        <v>0.0127</v>
      </c>
      <c r="L172" s="21" t="str">
        <f>IFERROR(__xludf.DUMMYFUNCTION("IFERROR((GOOGLEFINANCE(C172, ""price"") / INDEX(GOOGLEFINANCE(C172, ""price"", TODAY()-7, TODAY()), 2, 2)) - 1, """")"),"")</f>
        <v/>
      </c>
      <c r="M172" s="21" t="str">
        <f>IFERROR(__xludf.DUMMYFUNCTION("IFERROR((GOOGLEFINANCE(C172, ""price"") / INDEX(GOOGLEFINANCE(C172, ""price"", EDATE(TODAY(), -1), TODAY()), 2, 2)) - 1, """")"),"")</f>
        <v/>
      </c>
      <c r="N172" s="21" t="str">
        <f>IFERROR(__xludf.DUMMYFUNCTION("IFERROR((GOOGLEFINANCE(C172, ""price"") / INDEX(GOOGLEFINANCE(C172, ""price"", EDATE(TODAY(), -3), TODAY()), 2, 2)) - 1, """")"),"")</f>
        <v/>
      </c>
      <c r="O172" s="21" t="str">
        <f>IFERROR(__xludf.DUMMYFUNCTION("IFERROR((GOOGLEFINANCE(C172, ""price"") / INDEX(GOOGLEFINANCE(C172, ""price"", EDATE(TODAY(), -6), TODAY()), 2, 2)) - 1, """")"),"")</f>
        <v/>
      </c>
      <c r="P172" s="21" t="str">
        <f>IFERROR(__xludf.DUMMYFUNCTION("IFERROR((GOOGLEFINANCE(C172, ""price"") / INDEX(GOOGLEFINANCE(C172, ""price"", EDATE(TODAY(), -12), TODAY()), 2, 2)) - 1, """")"),"")</f>
        <v/>
      </c>
      <c r="Q172" s="6" t="str">
        <f>IFERROR(__xludf.DUMMYFUNCTION("AVERAGE(QUERY(GOOGLEFINANCE(C172, ""price"", TODAY()-80, TODAY()), ""SELECT Col2 WHERE Col2 IS NOT NULL ORDER BY Col1 DESC LIMIT 50"", 0))"),"#N/A")</f>
        <v>#N/A</v>
      </c>
      <c r="R172" s="24" t="str">
        <f>IFERROR(__xludf.DUMMYFUNCTION("IFERROR(
  LET(
    data, QUERY(GOOGLEFINANCE(C172,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GOOGLEFINANCE(C172, ""price"")) * 100,
    IF(calc=0, G172, calc)
  ), 
G172)"),"#N/A")</f>
        <v>#N/A</v>
      </c>
      <c r="S172" s="8" t="s">
        <v>15</v>
      </c>
      <c r="T172" s="26" t="str">
        <f>IFERROR(__xludf.DUMMYFUNCTION("IFERROR(TRANSPOSE(QUERY(IFERROR(SORT(GOOGLEFINANCE(C172, ""price"", WORKDAY(TODAY(), -40), TODAY()), 1, FALSE)), ""select Col2 where Col2 is not null limit 22 label Col2 ''"", 0)), """")"),"")</f>
        <v/>
      </c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8"/>
      <c r="AO172" s="28"/>
      <c r="AP172" s="29"/>
      <c r="AQ172" s="29" t="str">
        <f t="shared" ref="AQ172:BL172" si="175">T172/T$2</f>
        <v>#N/A</v>
      </c>
      <c r="AR172" s="29" t="str">
        <f t="shared" si="175"/>
        <v>#DIV/0!</v>
      </c>
      <c r="AS172" s="29" t="str">
        <f t="shared" si="175"/>
        <v>#DIV/0!</v>
      </c>
      <c r="AT172" s="29" t="str">
        <f t="shared" si="175"/>
        <v>#DIV/0!</v>
      </c>
      <c r="AU172" s="29" t="str">
        <f t="shared" si="175"/>
        <v>#DIV/0!</v>
      </c>
      <c r="AV172" s="29" t="str">
        <f t="shared" si="175"/>
        <v>#DIV/0!</v>
      </c>
      <c r="AW172" s="29" t="str">
        <f t="shared" si="175"/>
        <v>#DIV/0!</v>
      </c>
      <c r="AX172" s="29" t="str">
        <f t="shared" si="175"/>
        <v>#DIV/0!</v>
      </c>
      <c r="AY172" s="29" t="str">
        <f t="shared" si="175"/>
        <v>#DIV/0!</v>
      </c>
      <c r="AZ172" s="29" t="str">
        <f t="shared" si="175"/>
        <v>#DIV/0!</v>
      </c>
      <c r="BA172" s="29" t="str">
        <f t="shared" si="175"/>
        <v>#DIV/0!</v>
      </c>
      <c r="BB172" s="29" t="str">
        <f t="shared" si="175"/>
        <v>#DIV/0!</v>
      </c>
      <c r="BC172" s="29" t="str">
        <f t="shared" si="175"/>
        <v>#DIV/0!</v>
      </c>
      <c r="BD172" s="29" t="str">
        <f t="shared" si="175"/>
        <v>#DIV/0!</v>
      </c>
      <c r="BE172" s="29" t="str">
        <f t="shared" si="175"/>
        <v>#DIV/0!</v>
      </c>
      <c r="BF172" s="29" t="str">
        <f t="shared" si="175"/>
        <v>#DIV/0!</v>
      </c>
      <c r="BG172" s="29" t="str">
        <f t="shared" si="175"/>
        <v>#DIV/0!</v>
      </c>
      <c r="BH172" s="29" t="str">
        <f t="shared" si="175"/>
        <v>#DIV/0!</v>
      </c>
      <c r="BI172" s="29" t="str">
        <f t="shared" si="175"/>
        <v>#DIV/0!</v>
      </c>
      <c r="BJ172" s="29" t="str">
        <f t="shared" si="175"/>
        <v>#DIV/0!</v>
      </c>
      <c r="BK172" s="29" t="str">
        <f t="shared" si="175"/>
        <v>#DIV/0!</v>
      </c>
      <c r="BL172" s="29" t="str">
        <f t="shared" si="175"/>
        <v>#DIV/0!</v>
      </c>
      <c r="BM172" s="29" t="str">
        <f t="shared" si="3"/>
        <v>#DIV/0!</v>
      </c>
    </row>
    <row r="173">
      <c r="A173" s="16" t="str">
        <f>IFERROR(__xludf.DUMMYFUNCTION("IFERROR(SPARKLINE(SORT(MAP(TRANSPOSE(AQ173:BL173), LAMBDA(val, IF(ISNUMBER(val), PERCENTRANK(AQ173:BL173, val)+0.01, 0))), SEQUENCE(COLUMNS(AQ173:BL173)), FALSE), {""charttype"",""column""; ""color"",""chartreuse""; ""ymin"", 0; ""ymax"", 1.01; ""highcolo"&amp;"r"", ""darkgreen""; ""lowcolor"", ""red""}), """")"),"")</f>
        <v/>
      </c>
      <c r="B173" s="17" t="str">
        <f t="shared" si="4"/>
        <v/>
      </c>
      <c r="C173" s="1" t="s">
        <v>3253</v>
      </c>
      <c r="D173" s="30" t="str">
        <f>IFERROR(__xludf.DUMMYFUNCTION("IFERROR(GOOGLEFINANCE(C173, ""NAME""))"),"Site Centers Corp")</f>
        <v>Site Centers Corp</v>
      </c>
      <c r="E173" s="30" t="s">
        <v>2751</v>
      </c>
      <c r="F173" s="38" t="str">
        <f>IFERROR(__xludf.DUMMYFUNCTION("( (GOOGLEFINANCE(C173, ""price"") - Q173) / Q173 ) / (R173 / 100)"),"Loading...")</f>
        <v>Loading...</v>
      </c>
      <c r="G173" s="20" t="str">
        <f>IFERROR(__xludf.DUMMYFUNCTION("AVERAGE(ARRAYFORMULA(100 * (QUERY(GOOGLEFINANCE(C173, ""high"", TODAY()-40, TODAY()), ""SELECT Col2 WHERE Col2 IS NOT NULL ORDER BY Col1 DESC LIMIT 20"", 0) / QUERY(GOOGLEFINANCE(C173, ""low"", TODAY()-40, TODAY()), ""SELECT Col2 WHERE Col2 IS NOT NULL OR"&amp;"DER BY Col1 DESC LIMIT 20"", 0) - 1)))"),"#N/A")</f>
        <v>#N/A</v>
      </c>
      <c r="H173" s="35" t="str">
        <f t="shared" si="6"/>
        <v>Illiquid</v>
      </c>
      <c r="I173" s="35" t="str">
        <f t="shared" si="7"/>
        <v>RVol Required</v>
      </c>
      <c r="J173" s="37">
        <f>IFERROR(__xludf.DUMMYFUNCTION("IFERROR(
  IF(C173="""",, 
    IFERROR(
      GOOGLEFINANCE(C173, ""price"") * GOOGLEFINANCE(C173, ""volumeavg""), 
      GOOGLEFINANCE(C173, ""price"") * AVERAGE(QUERY(GOOGLEFINANCE(C173, ""volume"", TODAY()-40, TODAY()), ""SELECT Col2 WHERE Col2 IS NOT "&amp;"NULL ORDER BY Col1 DESC LIMIT 20"", 0))
    )
  ), 
"""")"),4787871.83)</f>
        <v>4787871.83</v>
      </c>
      <c r="K173" s="21">
        <f>IFERROR(__xludf.DUMMYFUNCTION("IFERROR(GOOGLEFINANCE(C173, ""changepct"") / 100, """")"),0.13949999999999999)</f>
        <v>0.1395</v>
      </c>
      <c r="L173" s="21" t="str">
        <f>IFERROR(__xludf.DUMMYFUNCTION("IFERROR((GOOGLEFINANCE(C173, ""price"") / INDEX(GOOGLEFINANCE(C173, ""price"", TODAY()-7, TODAY()), 2, 2)) - 1, """")"),"")</f>
        <v/>
      </c>
      <c r="M173" s="21" t="str">
        <f>IFERROR(__xludf.DUMMYFUNCTION("IFERROR((GOOGLEFINANCE(C173, ""price"") / INDEX(GOOGLEFINANCE(C173, ""price"", EDATE(TODAY(), -1), TODAY()), 2, 2)) - 1, """")"),"")</f>
        <v/>
      </c>
      <c r="N173" s="21" t="str">
        <f>IFERROR(__xludf.DUMMYFUNCTION("IFERROR((GOOGLEFINANCE(C173, ""price"") / INDEX(GOOGLEFINANCE(C173, ""price"", EDATE(TODAY(), -3), TODAY()), 2, 2)) - 1, """")"),"")</f>
        <v/>
      </c>
      <c r="O173" s="21" t="str">
        <f>IFERROR(__xludf.DUMMYFUNCTION("IFERROR((GOOGLEFINANCE(C173, ""price"") / INDEX(GOOGLEFINANCE(C173, ""price"", EDATE(TODAY(), -6), TODAY()), 2, 2)) - 1, """")"),"")</f>
        <v/>
      </c>
      <c r="P173" s="21" t="str">
        <f>IFERROR(__xludf.DUMMYFUNCTION("IFERROR((GOOGLEFINANCE(C173, ""price"") / INDEX(GOOGLEFINANCE(C173, ""price"", EDATE(TODAY(), -12), TODAY()), 2, 2)) - 1, """")"),"")</f>
        <v/>
      </c>
      <c r="Q173" s="6" t="str">
        <f>IFERROR(__xludf.DUMMYFUNCTION("AVERAGE(QUERY(GOOGLEFINANCE(C173, ""price"", TODAY()-80, TODAY()), ""SELECT Col2 WHERE Col2 IS NOT NULL ORDER BY Col1 DESC LIMIT 50"", 0))"),"#N/A")</f>
        <v>#N/A</v>
      </c>
      <c r="R173" s="24" t="str">
        <f>IFERROR(__xludf.DUMMYFUNCTION("IFERROR(
  LET(
    data, QUERY(GOOGLEFINANCE(C173,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GOOGLEFINANCE(C173, ""price"")) * 100,
    IF(calc=0, G173, calc)
  ), 
G173)"),"#N/A")</f>
        <v>#N/A</v>
      </c>
      <c r="S173" s="8" t="s">
        <v>15</v>
      </c>
      <c r="T173" s="26" t="str">
        <f>IFERROR(__xludf.DUMMYFUNCTION("IFERROR(TRANSPOSE(QUERY(IFERROR(SORT(GOOGLEFINANCE(C173, ""price"", WORKDAY(TODAY(), -40), TODAY()), 1, FALSE)), ""select Col2 where Col2 is not null limit 22 label Col2 ''"", 0)), """")"),"")</f>
        <v/>
      </c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8"/>
      <c r="AO173" s="28"/>
      <c r="AP173" s="29"/>
      <c r="AQ173" s="29" t="str">
        <f t="shared" ref="AQ173:BL173" si="176">T173/T$2</f>
        <v>#N/A</v>
      </c>
      <c r="AR173" s="29" t="str">
        <f t="shared" si="176"/>
        <v>#DIV/0!</v>
      </c>
      <c r="AS173" s="29" t="str">
        <f t="shared" si="176"/>
        <v>#DIV/0!</v>
      </c>
      <c r="AT173" s="29" t="str">
        <f t="shared" si="176"/>
        <v>#DIV/0!</v>
      </c>
      <c r="AU173" s="29" t="str">
        <f t="shared" si="176"/>
        <v>#DIV/0!</v>
      </c>
      <c r="AV173" s="29" t="str">
        <f t="shared" si="176"/>
        <v>#DIV/0!</v>
      </c>
      <c r="AW173" s="29" t="str">
        <f t="shared" si="176"/>
        <v>#DIV/0!</v>
      </c>
      <c r="AX173" s="29" t="str">
        <f t="shared" si="176"/>
        <v>#DIV/0!</v>
      </c>
      <c r="AY173" s="29" t="str">
        <f t="shared" si="176"/>
        <v>#DIV/0!</v>
      </c>
      <c r="AZ173" s="29" t="str">
        <f t="shared" si="176"/>
        <v>#DIV/0!</v>
      </c>
      <c r="BA173" s="29" t="str">
        <f t="shared" si="176"/>
        <v>#DIV/0!</v>
      </c>
      <c r="BB173" s="29" t="str">
        <f t="shared" si="176"/>
        <v>#DIV/0!</v>
      </c>
      <c r="BC173" s="29" t="str">
        <f t="shared" si="176"/>
        <v>#DIV/0!</v>
      </c>
      <c r="BD173" s="29" t="str">
        <f t="shared" si="176"/>
        <v>#DIV/0!</v>
      </c>
      <c r="BE173" s="29" t="str">
        <f t="shared" si="176"/>
        <v>#DIV/0!</v>
      </c>
      <c r="BF173" s="29" t="str">
        <f t="shared" si="176"/>
        <v>#DIV/0!</v>
      </c>
      <c r="BG173" s="29" t="str">
        <f t="shared" si="176"/>
        <v>#DIV/0!</v>
      </c>
      <c r="BH173" s="29" t="str">
        <f t="shared" si="176"/>
        <v>#DIV/0!</v>
      </c>
      <c r="BI173" s="29" t="str">
        <f t="shared" si="176"/>
        <v>#DIV/0!</v>
      </c>
      <c r="BJ173" s="29" t="str">
        <f t="shared" si="176"/>
        <v>#DIV/0!</v>
      </c>
      <c r="BK173" s="29" t="str">
        <f t="shared" si="176"/>
        <v>#DIV/0!</v>
      </c>
      <c r="BL173" s="29" t="str">
        <f t="shared" si="176"/>
        <v>#DIV/0!</v>
      </c>
      <c r="BM173" s="29" t="str">
        <f t="shared" si="3"/>
        <v>#DIV/0!</v>
      </c>
    </row>
    <row r="174">
      <c r="A174" s="16" t="str">
        <f>IFERROR(__xludf.DUMMYFUNCTION("IFERROR(SPARKLINE(SORT(MAP(TRANSPOSE(AQ174:BL174), LAMBDA(val, IF(ISNUMBER(val), PERCENTRANK(AQ174:BL174, val)+0.01, 0))), SEQUENCE(COLUMNS(AQ174:BL174)), FALSE), {""charttype"",""column""; ""color"",""chartreuse""; ""ymin"", 0; ""ymax"", 1.01; ""highcolo"&amp;"r"", ""darkgreen""; ""lowcolor"", ""red""}), """")"),"")</f>
        <v/>
      </c>
      <c r="B174" s="17" t="str">
        <f t="shared" si="4"/>
        <v/>
      </c>
      <c r="C174" s="1" t="s">
        <v>3254</v>
      </c>
      <c r="D174" s="30" t="str">
        <f>IFERROR(__xludf.DUMMYFUNCTION("IFERROR(GOOGLEFINANCE(C174, ""NAME""))"),"Claros Mortgage Trust Inc")</f>
        <v>Claros Mortgage Trust Inc</v>
      </c>
      <c r="E174" s="30" t="s">
        <v>2682</v>
      </c>
      <c r="F174" s="33" t="str">
        <f>IFERROR(__xludf.DUMMYFUNCTION("( (GOOGLEFINANCE(C174, ""price"") - Q174) / Q174 ) / (R174 / 100)"),"Loading...")</f>
        <v>Loading...</v>
      </c>
      <c r="G174" s="20" t="str">
        <f>IFERROR(__xludf.DUMMYFUNCTION("AVERAGE(ARRAYFORMULA(100 * (QUERY(GOOGLEFINANCE(C174, ""high"", TODAY()-40, TODAY()), ""SELECT Col2 WHERE Col2 IS NOT NULL ORDER BY Col1 DESC LIMIT 20"", 0) / QUERY(GOOGLEFINANCE(C174, ""low"", TODAY()-40, TODAY()), ""SELECT Col2 WHERE Col2 IS NOT NULL OR"&amp;"DER BY Col1 DESC LIMIT 20"", 0) - 1)))"),"#N/A")</f>
        <v>#N/A</v>
      </c>
      <c r="H174" s="35" t="str">
        <f t="shared" si="6"/>
        <v>Illiquid</v>
      </c>
      <c r="I174" s="35" t="str">
        <f t="shared" si="7"/>
        <v>RVol Required</v>
      </c>
      <c r="J174" s="37">
        <f>IFERROR(__xludf.DUMMYFUNCTION("IFERROR(
  IF(C174="""",, 
    IFERROR(
      GOOGLEFINANCE(C174, ""price"") * GOOGLEFINANCE(C174, ""volumeavg""), 
      GOOGLEFINANCE(C174, ""price"") * AVERAGE(QUERY(GOOGLEFINANCE(C174, ""volume"", TODAY()-40, TODAY()), ""SELECT Col2 WHERE Col2 IS NOT "&amp;"NULL ORDER BY Col1 DESC LIMIT 20"", 0))
    )
  ), 
"""")"),1020970.22)</f>
        <v>1020970.22</v>
      </c>
      <c r="K174" s="21">
        <f>IFERROR(__xludf.DUMMYFUNCTION("IFERROR(GOOGLEFINANCE(C174, ""changepct"") / 100, """")"),0.0)</f>
        <v>0</v>
      </c>
      <c r="L174" s="21" t="str">
        <f>IFERROR(__xludf.DUMMYFUNCTION("IFERROR((GOOGLEFINANCE(C174, ""price"") / INDEX(GOOGLEFINANCE(C174, ""price"", TODAY()-7, TODAY()), 2, 2)) - 1, """")"),"")</f>
        <v/>
      </c>
      <c r="M174" s="21" t="str">
        <f>IFERROR(__xludf.DUMMYFUNCTION("IFERROR((GOOGLEFINANCE(C174, ""price"") / INDEX(GOOGLEFINANCE(C174, ""price"", EDATE(TODAY(), -1), TODAY()), 2, 2)) - 1, """")"),"")</f>
        <v/>
      </c>
      <c r="N174" s="21" t="str">
        <f>IFERROR(__xludf.DUMMYFUNCTION("IFERROR((GOOGLEFINANCE(C174, ""price"") / INDEX(GOOGLEFINANCE(C174, ""price"", EDATE(TODAY(), -3), TODAY()), 2, 2)) - 1, """")"),"")</f>
        <v/>
      </c>
      <c r="O174" s="21" t="str">
        <f>IFERROR(__xludf.DUMMYFUNCTION("IFERROR((GOOGLEFINANCE(C174, ""price"") / INDEX(GOOGLEFINANCE(C174, ""price"", EDATE(TODAY(), -6), TODAY()), 2, 2)) - 1, """")"),"")</f>
        <v/>
      </c>
      <c r="P174" s="21" t="str">
        <f>IFERROR(__xludf.DUMMYFUNCTION("IFERROR((GOOGLEFINANCE(C174, ""price"") / INDEX(GOOGLEFINANCE(C174, ""price"", EDATE(TODAY(), -12), TODAY()), 2, 2)) - 1, """")"),"")</f>
        <v/>
      </c>
      <c r="Q174" s="6" t="str">
        <f>IFERROR(__xludf.DUMMYFUNCTION("AVERAGE(QUERY(GOOGLEFINANCE(C174, ""price"", TODAY()-80, TODAY()), ""SELECT Col2 WHERE Col2 IS NOT NULL ORDER BY Col1 DESC LIMIT 50"", 0))"),"#N/A")</f>
        <v>#N/A</v>
      </c>
      <c r="R174" s="24" t="str">
        <f>IFERROR(__xludf.DUMMYFUNCTION("IFERROR(
  LET(
    data, QUERY(GOOGLEFINANCE(C174,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GOOGLEFINANCE(C174, ""price"")) * 100,
    IF(calc=0, G174, calc)
  ), 
G174)"),"#N/A")</f>
        <v>#N/A</v>
      </c>
      <c r="S174" s="8" t="s">
        <v>15</v>
      </c>
      <c r="T174" s="26" t="str">
        <f>IFERROR(__xludf.DUMMYFUNCTION("IFERROR(TRANSPOSE(QUERY(IFERROR(SORT(GOOGLEFINANCE(C174, ""price"", WORKDAY(TODAY(), -40), TODAY()), 1, FALSE)), ""select Col2 where Col2 is not null limit 22 label Col2 ''"", 0)), """")"),"")</f>
        <v/>
      </c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8"/>
      <c r="AO174" s="28"/>
      <c r="AP174" s="29"/>
      <c r="AQ174" s="29" t="str">
        <f t="shared" ref="AQ174:BL174" si="177">T174/T$2</f>
        <v>#N/A</v>
      </c>
      <c r="AR174" s="29" t="str">
        <f t="shared" si="177"/>
        <v>#DIV/0!</v>
      </c>
      <c r="AS174" s="29" t="str">
        <f t="shared" si="177"/>
        <v>#DIV/0!</v>
      </c>
      <c r="AT174" s="29" t="str">
        <f t="shared" si="177"/>
        <v>#DIV/0!</v>
      </c>
      <c r="AU174" s="29" t="str">
        <f t="shared" si="177"/>
        <v>#DIV/0!</v>
      </c>
      <c r="AV174" s="29" t="str">
        <f t="shared" si="177"/>
        <v>#DIV/0!</v>
      </c>
      <c r="AW174" s="29" t="str">
        <f t="shared" si="177"/>
        <v>#DIV/0!</v>
      </c>
      <c r="AX174" s="29" t="str">
        <f t="shared" si="177"/>
        <v>#DIV/0!</v>
      </c>
      <c r="AY174" s="29" t="str">
        <f t="shared" si="177"/>
        <v>#DIV/0!</v>
      </c>
      <c r="AZ174" s="29" t="str">
        <f t="shared" si="177"/>
        <v>#DIV/0!</v>
      </c>
      <c r="BA174" s="29" t="str">
        <f t="shared" si="177"/>
        <v>#DIV/0!</v>
      </c>
      <c r="BB174" s="29" t="str">
        <f t="shared" si="177"/>
        <v>#DIV/0!</v>
      </c>
      <c r="BC174" s="29" t="str">
        <f t="shared" si="177"/>
        <v>#DIV/0!</v>
      </c>
      <c r="BD174" s="29" t="str">
        <f t="shared" si="177"/>
        <v>#DIV/0!</v>
      </c>
      <c r="BE174" s="29" t="str">
        <f t="shared" si="177"/>
        <v>#DIV/0!</v>
      </c>
      <c r="BF174" s="29" t="str">
        <f t="shared" si="177"/>
        <v>#DIV/0!</v>
      </c>
      <c r="BG174" s="29" t="str">
        <f t="shared" si="177"/>
        <v>#DIV/0!</v>
      </c>
      <c r="BH174" s="29" t="str">
        <f t="shared" si="177"/>
        <v>#DIV/0!</v>
      </c>
      <c r="BI174" s="29" t="str">
        <f t="shared" si="177"/>
        <v>#DIV/0!</v>
      </c>
      <c r="BJ174" s="29" t="str">
        <f t="shared" si="177"/>
        <v>#DIV/0!</v>
      </c>
      <c r="BK174" s="29" t="str">
        <f t="shared" si="177"/>
        <v>#DIV/0!</v>
      </c>
      <c r="BL174" s="29" t="str">
        <f t="shared" si="177"/>
        <v>#DIV/0!</v>
      </c>
      <c r="BM174" s="29" t="str">
        <f t="shared" si="3"/>
        <v>#DIV/0!</v>
      </c>
    </row>
    <row r="175">
      <c r="A175" s="16" t="str">
        <f>IFERROR(__xludf.DUMMYFUNCTION("IFERROR(SPARKLINE(SORT(MAP(TRANSPOSE(AQ175:BL175), LAMBDA(val, IF(ISNUMBER(val), PERCENTRANK(AQ175:BL175, val)+0.01, 0))), SEQUENCE(COLUMNS(AQ175:BL175)), FALSE), {""charttype"",""column""; ""color"",""chartreuse""; ""ymin"", 0; ""ymax"", 1.01; ""highcolo"&amp;"r"", ""darkgreen""; ""lowcolor"", ""red""}), """")"),"")</f>
        <v/>
      </c>
      <c r="B175" s="17" t="str">
        <f t="shared" si="4"/>
        <v/>
      </c>
      <c r="C175" s="1" t="s">
        <v>3256</v>
      </c>
      <c r="D175" s="30" t="str">
        <f>IFERROR(__xludf.DUMMYFUNCTION("IFERROR(GOOGLEFINANCE(C175, ""NAME""))"),"Alexander's Inc")</f>
        <v>Alexander's Inc</v>
      </c>
      <c r="E175" s="30" t="s">
        <v>2751</v>
      </c>
      <c r="F175" s="33" t="str">
        <f>IFERROR(__xludf.DUMMYFUNCTION("( (GOOGLEFINANCE(C175, ""price"") - Q175) / Q175 ) / (R175 / 100)"),"Loading...")</f>
        <v>Loading...</v>
      </c>
      <c r="G175" s="20" t="str">
        <f>IFERROR(__xludf.DUMMYFUNCTION("AVERAGE(ARRAYFORMULA(100 * (QUERY(GOOGLEFINANCE(C175, ""high"", TODAY()-40, TODAY()), ""SELECT Col2 WHERE Col2 IS NOT NULL ORDER BY Col1 DESC LIMIT 20"", 0) / QUERY(GOOGLEFINANCE(C175, ""low"", TODAY()-40, TODAY()), ""SELECT Col2 WHERE Col2 IS NOT NULL OR"&amp;"DER BY Col1 DESC LIMIT 20"", 0) - 1)))"),"#N/A")</f>
        <v>#N/A</v>
      </c>
      <c r="H175" s="35" t="str">
        <f t="shared" si="6"/>
        <v>Illiquid</v>
      </c>
      <c r="I175" s="35" t="str">
        <f t="shared" si="7"/>
        <v>RVol Required</v>
      </c>
      <c r="J175" s="37">
        <f>IFERROR(__xludf.DUMMYFUNCTION("IFERROR(
  IF(C175="""",, 
    IFERROR(
      GOOGLEFINANCE(C175, ""price"") * GOOGLEFINANCE(C175, ""volumeavg""), 
      GOOGLEFINANCE(C175, ""price"") * AVERAGE(QUERY(GOOGLEFINANCE(C175, ""volume"", TODAY()-40, TODAY()), ""SELECT Col2 WHERE Col2 IS NOT "&amp;"NULL ORDER BY Col1 DESC LIMIT 20"", 0))
    )
  ), 
"""")"),9739416.12)</f>
        <v>9739416.12</v>
      </c>
      <c r="K175" s="21">
        <f>IFERROR(__xludf.DUMMYFUNCTION("IFERROR(GOOGLEFINANCE(C175, ""changepct"") / 100, """")"),-0.0043)</f>
        <v>-0.0043</v>
      </c>
      <c r="L175" s="21" t="str">
        <f>IFERROR(__xludf.DUMMYFUNCTION("IFERROR((GOOGLEFINANCE(C175, ""price"") / INDEX(GOOGLEFINANCE(C175, ""price"", TODAY()-7, TODAY()), 2, 2)) - 1, """")"),"")</f>
        <v/>
      </c>
      <c r="M175" s="21" t="str">
        <f>IFERROR(__xludf.DUMMYFUNCTION("IFERROR((GOOGLEFINANCE(C175, ""price"") / INDEX(GOOGLEFINANCE(C175, ""price"", EDATE(TODAY(), -1), TODAY()), 2, 2)) - 1, """")"),"")</f>
        <v/>
      </c>
      <c r="N175" s="21" t="str">
        <f>IFERROR(__xludf.DUMMYFUNCTION("IFERROR((GOOGLEFINANCE(C175, ""price"") / INDEX(GOOGLEFINANCE(C175, ""price"", EDATE(TODAY(), -3), TODAY()), 2, 2)) - 1, """")"),"")</f>
        <v/>
      </c>
      <c r="O175" s="21" t="str">
        <f>IFERROR(__xludf.DUMMYFUNCTION("IFERROR((GOOGLEFINANCE(C175, ""price"") / INDEX(GOOGLEFINANCE(C175, ""price"", EDATE(TODAY(), -6), TODAY()), 2, 2)) - 1, """")"),"")</f>
        <v/>
      </c>
      <c r="P175" s="21" t="str">
        <f>IFERROR(__xludf.DUMMYFUNCTION("IFERROR((GOOGLEFINANCE(C175, ""price"") / INDEX(GOOGLEFINANCE(C175, ""price"", EDATE(TODAY(), -12), TODAY()), 2, 2)) - 1, """")"),"")</f>
        <v/>
      </c>
      <c r="Q175" s="6" t="str">
        <f>IFERROR(__xludf.DUMMYFUNCTION("AVERAGE(QUERY(GOOGLEFINANCE(C175, ""price"", TODAY()-80, TODAY()), ""SELECT Col2 WHERE Col2 IS NOT NULL ORDER BY Col1 DESC LIMIT 50"", 0))"),"#N/A")</f>
        <v>#N/A</v>
      </c>
      <c r="R175" s="24" t="str">
        <f>IFERROR(__xludf.DUMMYFUNCTION("IFERROR(
  LET(
    data, QUERY(GOOGLEFINANCE(C175,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GOOGLEFINANCE(C175, ""price"")) * 100,
    IF(calc=0, G175, calc)
  ), 
G175)"),"#N/A")</f>
        <v>#N/A</v>
      </c>
      <c r="S175" s="8" t="s">
        <v>15</v>
      </c>
      <c r="T175" s="26" t="str">
        <f>IFERROR(__xludf.DUMMYFUNCTION("IFERROR(TRANSPOSE(QUERY(IFERROR(SORT(GOOGLEFINANCE(C175, ""price"", WORKDAY(TODAY(), -40), TODAY()), 1, FALSE)), ""select Col2 where Col2 is not null limit 22 label Col2 ''"", 0)), """")"),"")</f>
        <v/>
      </c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8"/>
      <c r="AO175" s="28"/>
      <c r="AP175" s="29"/>
      <c r="AQ175" s="29" t="str">
        <f t="shared" ref="AQ175:BL175" si="178">T175/T$2</f>
        <v>#N/A</v>
      </c>
      <c r="AR175" s="29" t="str">
        <f t="shared" si="178"/>
        <v>#DIV/0!</v>
      </c>
      <c r="AS175" s="29" t="str">
        <f t="shared" si="178"/>
        <v>#DIV/0!</v>
      </c>
      <c r="AT175" s="29" t="str">
        <f t="shared" si="178"/>
        <v>#DIV/0!</v>
      </c>
      <c r="AU175" s="29" t="str">
        <f t="shared" si="178"/>
        <v>#DIV/0!</v>
      </c>
      <c r="AV175" s="29" t="str">
        <f t="shared" si="178"/>
        <v>#DIV/0!</v>
      </c>
      <c r="AW175" s="29" t="str">
        <f t="shared" si="178"/>
        <v>#DIV/0!</v>
      </c>
      <c r="AX175" s="29" t="str">
        <f t="shared" si="178"/>
        <v>#DIV/0!</v>
      </c>
      <c r="AY175" s="29" t="str">
        <f t="shared" si="178"/>
        <v>#DIV/0!</v>
      </c>
      <c r="AZ175" s="29" t="str">
        <f t="shared" si="178"/>
        <v>#DIV/0!</v>
      </c>
      <c r="BA175" s="29" t="str">
        <f t="shared" si="178"/>
        <v>#DIV/0!</v>
      </c>
      <c r="BB175" s="29" t="str">
        <f t="shared" si="178"/>
        <v>#DIV/0!</v>
      </c>
      <c r="BC175" s="29" t="str">
        <f t="shared" si="178"/>
        <v>#DIV/0!</v>
      </c>
      <c r="BD175" s="29" t="str">
        <f t="shared" si="178"/>
        <v>#DIV/0!</v>
      </c>
      <c r="BE175" s="29" t="str">
        <f t="shared" si="178"/>
        <v>#DIV/0!</v>
      </c>
      <c r="BF175" s="29" t="str">
        <f t="shared" si="178"/>
        <v>#DIV/0!</v>
      </c>
      <c r="BG175" s="29" t="str">
        <f t="shared" si="178"/>
        <v>#DIV/0!</v>
      </c>
      <c r="BH175" s="29" t="str">
        <f t="shared" si="178"/>
        <v>#DIV/0!</v>
      </c>
      <c r="BI175" s="29" t="str">
        <f t="shared" si="178"/>
        <v>#DIV/0!</v>
      </c>
      <c r="BJ175" s="29" t="str">
        <f t="shared" si="178"/>
        <v>#DIV/0!</v>
      </c>
      <c r="BK175" s="29" t="str">
        <f t="shared" si="178"/>
        <v>#DIV/0!</v>
      </c>
      <c r="BL175" s="29" t="str">
        <f t="shared" si="178"/>
        <v>#DIV/0!</v>
      </c>
      <c r="BM175" s="29" t="str">
        <f t="shared" si="3"/>
        <v>#DIV/0!</v>
      </c>
    </row>
    <row r="176">
      <c r="A176" s="16" t="str">
        <f>IFERROR(__xludf.DUMMYFUNCTION("IFERROR(SPARKLINE(SORT(MAP(TRANSPOSE(AQ176:BL176), LAMBDA(val, IF(ISNUMBER(val), PERCENTRANK(AQ176:BL176, val)+0.01, 0))), SEQUENCE(COLUMNS(AQ176:BL176)), FALSE), {""charttype"",""column""; ""color"",""chartreuse""; ""ymin"", 0; ""ymax"", 1.01; ""highcolo"&amp;"r"", ""darkgreen""; ""lowcolor"", ""red""}), """")"),"")</f>
        <v/>
      </c>
      <c r="B176" s="17" t="str">
        <f t="shared" si="4"/>
        <v/>
      </c>
      <c r="C176" s="1" t="s">
        <v>3258</v>
      </c>
      <c r="D176" s="30" t="str">
        <f>IFERROR(__xludf.DUMMYFUNCTION("IFERROR(GOOGLEFINANCE(C176, ""NAME""))"),"TPG RE Finance Trust Inc")</f>
        <v>TPG RE Finance Trust Inc</v>
      </c>
      <c r="E176" s="30" t="s">
        <v>2682</v>
      </c>
      <c r="F176" s="33" t="str">
        <f>IFERROR(__xludf.DUMMYFUNCTION("( (GOOGLEFINANCE(C176, ""price"") - Q176) / Q176 ) / (R176 / 100)"),"Loading...")</f>
        <v>Loading...</v>
      </c>
      <c r="G176" s="20" t="str">
        <f>IFERROR(__xludf.DUMMYFUNCTION("AVERAGE(ARRAYFORMULA(100 * (QUERY(GOOGLEFINANCE(C176, ""high"", TODAY()-40, TODAY()), ""SELECT Col2 WHERE Col2 IS NOT NULL ORDER BY Col1 DESC LIMIT 20"", 0) / QUERY(GOOGLEFINANCE(C176, ""low"", TODAY()-40, TODAY()), ""SELECT Col2 WHERE Col2 IS NOT NULL OR"&amp;"DER BY Col1 DESC LIMIT 20"", 0) - 1)))"),"#N/A")</f>
        <v>#N/A</v>
      </c>
      <c r="H176" s="35" t="str">
        <f t="shared" si="6"/>
        <v>Illiquid</v>
      </c>
      <c r="I176" s="35" t="str">
        <f t="shared" si="7"/>
        <v>RVol Required</v>
      </c>
      <c r="J176" s="37">
        <f>IFERROR(__xludf.DUMMYFUNCTION("IFERROR(
  IF(C176="""",, 
    IFERROR(
      GOOGLEFINANCE(C176, ""price"") * GOOGLEFINANCE(C176, ""volumeavg""), 
      GOOGLEFINANCE(C176, ""price"") * AVERAGE(QUERY(GOOGLEFINANCE(C176, ""volume"", TODAY()-40, TODAY()), ""SELECT Col2 WHERE Col2 IS NOT "&amp;"NULL ORDER BY Col1 DESC LIMIT 20"", 0))
    )
  ), 
"""")"),6935812.05)</f>
        <v>6935812.05</v>
      </c>
      <c r="K176" s="21">
        <f>IFERROR(__xludf.DUMMYFUNCTION("IFERROR(GOOGLEFINANCE(C176, ""changepct"") / 100, """")"),-0.022000000000000002)</f>
        <v>-0.022</v>
      </c>
      <c r="L176" s="21" t="str">
        <f>IFERROR(__xludf.DUMMYFUNCTION("IFERROR((GOOGLEFINANCE(C176, ""price"") / INDEX(GOOGLEFINANCE(C176, ""price"", TODAY()-7, TODAY()), 2, 2)) - 1, """")"),"")</f>
        <v/>
      </c>
      <c r="M176" s="21" t="str">
        <f>IFERROR(__xludf.DUMMYFUNCTION("IFERROR((GOOGLEFINANCE(C176, ""price"") / INDEX(GOOGLEFINANCE(C176, ""price"", EDATE(TODAY(), -1), TODAY()), 2, 2)) - 1, """")"),"")</f>
        <v/>
      </c>
      <c r="N176" s="21" t="str">
        <f>IFERROR(__xludf.DUMMYFUNCTION("IFERROR((GOOGLEFINANCE(C176, ""price"") / INDEX(GOOGLEFINANCE(C176, ""price"", EDATE(TODAY(), -3), TODAY()), 2, 2)) - 1, """")"),"")</f>
        <v/>
      </c>
      <c r="O176" s="21" t="str">
        <f>IFERROR(__xludf.DUMMYFUNCTION("IFERROR((GOOGLEFINANCE(C176, ""price"") / INDEX(GOOGLEFINANCE(C176, ""price"", EDATE(TODAY(), -6), TODAY()), 2, 2)) - 1, """")"),"")</f>
        <v/>
      </c>
      <c r="P176" s="21" t="str">
        <f>IFERROR(__xludf.DUMMYFUNCTION("IFERROR((GOOGLEFINANCE(C176, ""price"") / INDEX(GOOGLEFINANCE(C176, ""price"", EDATE(TODAY(), -12), TODAY()), 2, 2)) - 1, """")"),"")</f>
        <v/>
      </c>
      <c r="Q176" s="6" t="str">
        <f>IFERROR(__xludf.DUMMYFUNCTION("AVERAGE(QUERY(GOOGLEFINANCE(C176, ""price"", TODAY()-80, TODAY()), ""SELECT Col2 WHERE Col2 IS NOT NULL ORDER BY Col1 DESC LIMIT 50"", 0))"),"#N/A")</f>
        <v>#N/A</v>
      </c>
      <c r="R176" s="24" t="str">
        <f>IFERROR(__xludf.DUMMYFUNCTION("IFERROR(
  LET(
    data, QUERY(GOOGLEFINANCE(C176,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GOOGLEFINANCE(C176, ""price"")) * 100,
    IF(calc=0, G176, calc)
  ), 
G176)"),"#N/A")</f>
        <v>#N/A</v>
      </c>
      <c r="S176" s="8" t="s">
        <v>15</v>
      </c>
      <c r="T176" s="26" t="str">
        <f>IFERROR(__xludf.DUMMYFUNCTION("IFERROR(TRANSPOSE(QUERY(IFERROR(SORT(GOOGLEFINANCE(C176, ""price"", WORKDAY(TODAY(), -40), TODAY()), 1, FALSE)), ""select Col2 where Col2 is not null limit 22 label Col2 ''"", 0)), """")"),"")</f>
        <v/>
      </c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8"/>
      <c r="AO176" s="28"/>
      <c r="AP176" s="29"/>
      <c r="AQ176" s="29" t="str">
        <f t="shared" ref="AQ176:BL176" si="179">T176/T$2</f>
        <v>#N/A</v>
      </c>
      <c r="AR176" s="29" t="str">
        <f t="shared" si="179"/>
        <v>#DIV/0!</v>
      </c>
      <c r="AS176" s="29" t="str">
        <f t="shared" si="179"/>
        <v>#DIV/0!</v>
      </c>
      <c r="AT176" s="29" t="str">
        <f t="shared" si="179"/>
        <v>#DIV/0!</v>
      </c>
      <c r="AU176" s="29" t="str">
        <f t="shared" si="179"/>
        <v>#DIV/0!</v>
      </c>
      <c r="AV176" s="29" t="str">
        <f t="shared" si="179"/>
        <v>#DIV/0!</v>
      </c>
      <c r="AW176" s="29" t="str">
        <f t="shared" si="179"/>
        <v>#DIV/0!</v>
      </c>
      <c r="AX176" s="29" t="str">
        <f t="shared" si="179"/>
        <v>#DIV/0!</v>
      </c>
      <c r="AY176" s="29" t="str">
        <f t="shared" si="179"/>
        <v>#DIV/0!</v>
      </c>
      <c r="AZ176" s="29" t="str">
        <f t="shared" si="179"/>
        <v>#DIV/0!</v>
      </c>
      <c r="BA176" s="29" t="str">
        <f t="shared" si="179"/>
        <v>#DIV/0!</v>
      </c>
      <c r="BB176" s="29" t="str">
        <f t="shared" si="179"/>
        <v>#DIV/0!</v>
      </c>
      <c r="BC176" s="29" t="str">
        <f t="shared" si="179"/>
        <v>#DIV/0!</v>
      </c>
      <c r="BD176" s="29" t="str">
        <f t="shared" si="179"/>
        <v>#DIV/0!</v>
      </c>
      <c r="BE176" s="29" t="str">
        <f t="shared" si="179"/>
        <v>#DIV/0!</v>
      </c>
      <c r="BF176" s="29" t="str">
        <f t="shared" si="179"/>
        <v>#DIV/0!</v>
      </c>
      <c r="BG176" s="29" t="str">
        <f t="shared" si="179"/>
        <v>#DIV/0!</v>
      </c>
      <c r="BH176" s="29" t="str">
        <f t="shared" si="179"/>
        <v>#DIV/0!</v>
      </c>
      <c r="BI176" s="29" t="str">
        <f t="shared" si="179"/>
        <v>#DIV/0!</v>
      </c>
      <c r="BJ176" s="29" t="str">
        <f t="shared" si="179"/>
        <v>#DIV/0!</v>
      </c>
      <c r="BK176" s="29" t="str">
        <f t="shared" si="179"/>
        <v>#DIV/0!</v>
      </c>
      <c r="BL176" s="29" t="str">
        <f t="shared" si="179"/>
        <v>#DIV/0!</v>
      </c>
      <c r="BM176" s="29" t="str">
        <f t="shared" si="3"/>
        <v>#DIV/0!</v>
      </c>
    </row>
    <row r="177">
      <c r="A177" s="16" t="str">
        <f>IFERROR(__xludf.DUMMYFUNCTION("IFERROR(SPARKLINE(SORT(MAP(TRANSPOSE(AQ177:BL177), LAMBDA(val, IF(ISNUMBER(val), PERCENTRANK(AQ177:BL177, val)+0.01, 0))), SEQUENCE(COLUMNS(AQ177:BL177)), FALSE), {""charttype"",""column""; ""color"",""chartreuse""; ""ymin"", 0; ""ymax"", 1.01; ""highcolo"&amp;"r"", ""darkgreen""; ""lowcolor"", ""red""}), """")"),"")</f>
        <v/>
      </c>
      <c r="B177" s="17" t="str">
        <f t="shared" si="4"/>
        <v/>
      </c>
      <c r="C177" s="1" t="s">
        <v>3260</v>
      </c>
      <c r="D177" s="30" t="str">
        <f>IFERROR(__xludf.DUMMYFUNCTION("IFERROR(GOOGLEFINANCE(C177, ""NAME""))"),"Real Remax Group, Inc.")</f>
        <v>Real Remax Group, Inc.</v>
      </c>
      <c r="E177" s="30" t="s">
        <v>2692</v>
      </c>
      <c r="F177" s="33" t="str">
        <f>IFERROR(__xludf.DUMMYFUNCTION("( (GOOGLEFINANCE(C177, ""price"") - Q177) / Q177 ) / (R177 / 100)"),"Loading...")</f>
        <v>Loading...</v>
      </c>
      <c r="G177" s="20" t="str">
        <f>IFERROR(__xludf.DUMMYFUNCTION("AVERAGE(ARRAYFORMULA(100 * (QUERY(GOOGLEFINANCE(C177, ""high"", TODAY()-40, TODAY()), ""SELECT Col2 WHERE Col2 IS NOT NULL ORDER BY Col1 DESC LIMIT 20"", 0) / QUERY(GOOGLEFINANCE(C177, ""low"", TODAY()-40, TODAY()), ""SELECT Col2 WHERE Col2 IS NOT NULL OR"&amp;"DER BY Col1 DESC LIMIT 20"", 0) - 1)))"),"#N/A")</f>
        <v>#N/A</v>
      </c>
      <c r="H177" s="35" t="str">
        <f t="shared" si="6"/>
        <v>Illiquid</v>
      </c>
      <c r="I177" s="35" t="str">
        <f t="shared" si="7"/>
        <v>RVol Required</v>
      </c>
      <c r="J177" s="37">
        <f>IFERROR(__xludf.DUMMYFUNCTION("IFERROR(
  IF(C177="""",, 
    IFERROR(
      GOOGLEFINANCE(C177, ""price"") * GOOGLEFINANCE(C177, ""volumeavg""), 
      GOOGLEFINANCE(C177, ""price"") * AVERAGE(QUERY(GOOGLEFINANCE(C177, ""volume"", TODAY()-40, TODAY()), ""SELECT Col2 WHERE Col2 IS NOT "&amp;"NULL ORDER BY Col1 DESC LIMIT 20"", 0))
    )
  ), 
"""")"),1.185201016E7)</f>
        <v>11852010.16</v>
      </c>
      <c r="K177" s="21">
        <f>IFERROR(__xludf.DUMMYFUNCTION("IFERROR(GOOGLEFINANCE(C177, ""changepct"") / 100, """")"),-0.0044)</f>
        <v>-0.0044</v>
      </c>
      <c r="L177" s="21" t="str">
        <f>IFERROR(__xludf.DUMMYFUNCTION("IFERROR((GOOGLEFINANCE(C177, ""price"") / INDEX(GOOGLEFINANCE(C177, ""price"", TODAY()-7, TODAY()), 2, 2)) - 1, """")"),"")</f>
        <v/>
      </c>
      <c r="M177" s="21" t="str">
        <f>IFERROR(__xludf.DUMMYFUNCTION("IFERROR((GOOGLEFINANCE(C177, ""price"") / INDEX(GOOGLEFINANCE(C177, ""price"", EDATE(TODAY(), -1), TODAY()), 2, 2)) - 1, """")"),"")</f>
        <v/>
      </c>
      <c r="N177" s="21" t="str">
        <f>IFERROR(__xludf.DUMMYFUNCTION("IFERROR((GOOGLEFINANCE(C177, ""price"") / INDEX(GOOGLEFINANCE(C177, ""price"", EDATE(TODAY(), -3), TODAY()), 2, 2)) - 1, """")"),"")</f>
        <v/>
      </c>
      <c r="O177" s="21" t="str">
        <f>IFERROR(__xludf.DUMMYFUNCTION("IFERROR((GOOGLEFINANCE(C177, ""price"") / INDEX(GOOGLEFINANCE(C177, ""price"", EDATE(TODAY(), -6), TODAY()), 2, 2)) - 1, """")"),"")</f>
        <v/>
      </c>
      <c r="P177" s="21" t="str">
        <f>IFERROR(__xludf.DUMMYFUNCTION("IFERROR((GOOGLEFINANCE(C177, ""price"") / INDEX(GOOGLEFINANCE(C177, ""price"", EDATE(TODAY(), -12), TODAY()), 2, 2)) - 1, """")"),"")</f>
        <v/>
      </c>
      <c r="Q177" s="6" t="str">
        <f>IFERROR(__xludf.DUMMYFUNCTION("AVERAGE(QUERY(GOOGLEFINANCE(C177, ""price"", TODAY()-80, TODAY()), ""SELECT Col2 WHERE Col2 IS NOT NULL ORDER BY Col1 DESC LIMIT 50"", 0))"),"#N/A")</f>
        <v>#N/A</v>
      </c>
      <c r="R177" s="24" t="str">
        <f>IFERROR(__xludf.DUMMYFUNCTION("IFERROR(
  LET(
    data, QUERY(GOOGLEFINANCE(C177,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GOOGLEFINANCE(C177, ""price"")) * 100,
    IF(calc=0, G177, calc)
  ), 
G177)"),"#N/A")</f>
        <v>#N/A</v>
      </c>
      <c r="S177" s="8" t="s">
        <v>15</v>
      </c>
      <c r="T177" s="26" t="str">
        <f>IFERROR(__xludf.DUMMYFUNCTION("IFERROR(TRANSPOSE(QUERY(IFERROR(SORT(GOOGLEFINANCE(C177, ""price"", WORKDAY(TODAY(), -40), TODAY()), 1, FALSE)), ""select Col2 where Col2 is not null limit 22 label Col2 ''"", 0)), """")"),"")</f>
        <v/>
      </c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8"/>
      <c r="AO177" s="28"/>
      <c r="AP177" s="29"/>
      <c r="AQ177" s="29" t="str">
        <f t="shared" ref="AQ177:BL177" si="180">T177/T$2</f>
        <v>#N/A</v>
      </c>
      <c r="AR177" s="29" t="str">
        <f t="shared" si="180"/>
        <v>#DIV/0!</v>
      </c>
      <c r="AS177" s="29" t="str">
        <f t="shared" si="180"/>
        <v>#DIV/0!</v>
      </c>
      <c r="AT177" s="29" t="str">
        <f t="shared" si="180"/>
        <v>#DIV/0!</v>
      </c>
      <c r="AU177" s="29" t="str">
        <f t="shared" si="180"/>
        <v>#DIV/0!</v>
      </c>
      <c r="AV177" s="29" t="str">
        <f t="shared" si="180"/>
        <v>#DIV/0!</v>
      </c>
      <c r="AW177" s="29" t="str">
        <f t="shared" si="180"/>
        <v>#DIV/0!</v>
      </c>
      <c r="AX177" s="29" t="str">
        <f t="shared" si="180"/>
        <v>#DIV/0!</v>
      </c>
      <c r="AY177" s="29" t="str">
        <f t="shared" si="180"/>
        <v>#DIV/0!</v>
      </c>
      <c r="AZ177" s="29" t="str">
        <f t="shared" si="180"/>
        <v>#DIV/0!</v>
      </c>
      <c r="BA177" s="29" t="str">
        <f t="shared" si="180"/>
        <v>#DIV/0!</v>
      </c>
      <c r="BB177" s="29" t="str">
        <f t="shared" si="180"/>
        <v>#DIV/0!</v>
      </c>
      <c r="BC177" s="29" t="str">
        <f t="shared" si="180"/>
        <v>#DIV/0!</v>
      </c>
      <c r="BD177" s="29" t="str">
        <f t="shared" si="180"/>
        <v>#DIV/0!</v>
      </c>
      <c r="BE177" s="29" t="str">
        <f t="shared" si="180"/>
        <v>#DIV/0!</v>
      </c>
      <c r="BF177" s="29" t="str">
        <f t="shared" si="180"/>
        <v>#DIV/0!</v>
      </c>
      <c r="BG177" s="29" t="str">
        <f t="shared" si="180"/>
        <v>#DIV/0!</v>
      </c>
      <c r="BH177" s="29" t="str">
        <f t="shared" si="180"/>
        <v>#DIV/0!</v>
      </c>
      <c r="BI177" s="29" t="str">
        <f t="shared" si="180"/>
        <v>#DIV/0!</v>
      </c>
      <c r="BJ177" s="29" t="str">
        <f t="shared" si="180"/>
        <v>#DIV/0!</v>
      </c>
      <c r="BK177" s="29" t="str">
        <f t="shared" si="180"/>
        <v>#DIV/0!</v>
      </c>
      <c r="BL177" s="29" t="str">
        <f t="shared" si="180"/>
        <v>#DIV/0!</v>
      </c>
      <c r="BM177" s="29" t="str">
        <f t="shared" si="3"/>
        <v>#DIV/0!</v>
      </c>
    </row>
    <row r="178">
      <c r="A178" s="16" t="str">
        <f>IFERROR(__xludf.DUMMYFUNCTION("IFERROR(SPARKLINE(SORT(MAP(TRANSPOSE(AQ178:BL178), LAMBDA(val, IF(ISNUMBER(val), PERCENTRANK(AQ178:BL178, val)+0.01, 0))), SEQUENCE(COLUMNS(AQ178:BL178)), FALSE), {""charttype"",""column""; ""color"",""chartreuse""; ""ymin"", 0; ""ymax"", 1.01; ""highcolo"&amp;"r"", ""darkgreen""; ""lowcolor"", ""red""}), """")"),"")</f>
        <v/>
      </c>
      <c r="B178" s="17" t="str">
        <f t="shared" si="4"/>
        <v/>
      </c>
      <c r="C178" s="1" t="s">
        <v>3262</v>
      </c>
      <c r="D178" s="30" t="str">
        <f>IFERROR(__xludf.DUMMYFUNCTION("IFERROR(GOOGLEFINANCE(C178, ""NAME""))"),"Colliers International Group Inc")</f>
        <v>Colliers International Group Inc</v>
      </c>
      <c r="E178" s="30" t="s">
        <v>2692</v>
      </c>
      <c r="F178" s="33" t="str">
        <f>IFERROR(__xludf.DUMMYFUNCTION("( (GOOGLEFINANCE(C178, ""price"") - Q178) / Q178 ) / (R178 / 100)"),"Loading...")</f>
        <v>Loading...</v>
      </c>
      <c r="G178" s="20" t="str">
        <f>IFERROR(__xludf.DUMMYFUNCTION("AVERAGE(ARRAYFORMULA(100 * (QUERY(GOOGLEFINANCE(C178, ""high"", TODAY()-40, TODAY()), ""SELECT Col2 WHERE Col2 IS NOT NULL ORDER BY Col1 DESC LIMIT 20"", 0) / QUERY(GOOGLEFINANCE(C178, ""low"", TODAY()-40, TODAY()), ""SELECT Col2 WHERE Col2 IS NOT NULL OR"&amp;"DER BY Col1 DESC LIMIT 20"", 0) - 1)))"),"#N/A")</f>
        <v>#N/A</v>
      </c>
      <c r="H178" s="35" t="str">
        <f t="shared" si="6"/>
        <v>Illiquid</v>
      </c>
      <c r="I178" s="35" t="str">
        <f t="shared" si="7"/>
        <v>RVol Required</v>
      </c>
      <c r="J178" s="37">
        <f>IFERROR(__xludf.DUMMYFUNCTION("IFERROR(
  IF(C178="""",, 
    IFERROR(
      GOOGLEFINANCE(C178, ""price"") * GOOGLEFINANCE(C178, ""volumeavg""), 
      GOOGLEFINANCE(C178, ""price"") * AVERAGE(QUERY(GOOGLEFINANCE(C178, ""volume"", TODAY()-40, TODAY()), ""SELECT Col2 WHERE Col2 IS NOT "&amp;"NULL ORDER BY Col1 DESC LIMIT 20"", 0))
    )
  ), 
"""")"),2.466386304E7)</f>
        <v>24663863.04</v>
      </c>
      <c r="K178" s="21">
        <f>IFERROR(__xludf.DUMMYFUNCTION("IFERROR(GOOGLEFINANCE(C178, ""changepct"") / 100, """")"),-0.0029)</f>
        <v>-0.0029</v>
      </c>
      <c r="L178" s="21" t="str">
        <f>IFERROR(__xludf.DUMMYFUNCTION("IFERROR((GOOGLEFINANCE(C178, ""price"") / INDEX(GOOGLEFINANCE(C178, ""price"", TODAY()-7, TODAY()), 2, 2)) - 1, """")"),"")</f>
        <v/>
      </c>
      <c r="M178" s="21" t="str">
        <f>IFERROR(__xludf.DUMMYFUNCTION("IFERROR((GOOGLEFINANCE(C178, ""price"") / INDEX(GOOGLEFINANCE(C178, ""price"", EDATE(TODAY(), -1), TODAY()), 2, 2)) - 1, """")"),"")</f>
        <v/>
      </c>
      <c r="N178" s="21" t="str">
        <f>IFERROR(__xludf.DUMMYFUNCTION("IFERROR((GOOGLEFINANCE(C178, ""price"") / INDEX(GOOGLEFINANCE(C178, ""price"", EDATE(TODAY(), -3), TODAY()), 2, 2)) - 1, """")"),"")</f>
        <v/>
      </c>
      <c r="O178" s="21" t="str">
        <f>IFERROR(__xludf.DUMMYFUNCTION("IFERROR((GOOGLEFINANCE(C178, ""price"") / INDEX(GOOGLEFINANCE(C178, ""price"", EDATE(TODAY(), -6), TODAY()), 2, 2)) - 1, """")"),"")</f>
        <v/>
      </c>
      <c r="P178" s="21" t="str">
        <f>IFERROR(__xludf.DUMMYFUNCTION("IFERROR((GOOGLEFINANCE(C178, ""price"") / INDEX(GOOGLEFINANCE(C178, ""price"", EDATE(TODAY(), -12), TODAY()), 2, 2)) - 1, """")"),"")</f>
        <v/>
      </c>
      <c r="Q178" s="6" t="str">
        <f>IFERROR(__xludf.DUMMYFUNCTION("AVERAGE(QUERY(GOOGLEFINANCE(C178, ""price"", TODAY()-80, TODAY()), ""SELECT Col2 WHERE Col2 IS NOT NULL ORDER BY Col1 DESC LIMIT 50"", 0))"),"#N/A")</f>
        <v>#N/A</v>
      </c>
      <c r="R178" s="24" t="str">
        <f>IFERROR(__xludf.DUMMYFUNCTION("IFERROR(
  LET(
    data, QUERY(GOOGLEFINANCE(C178,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GOOGLEFINANCE(C178, ""price"")) * 100,
    IF(calc=0, G178, calc)
  ), 
G178)"),"#N/A")</f>
        <v>#N/A</v>
      </c>
      <c r="S178" s="8" t="s">
        <v>15</v>
      </c>
      <c r="T178" s="26" t="str">
        <f>IFERROR(__xludf.DUMMYFUNCTION("IFERROR(TRANSPOSE(QUERY(IFERROR(SORT(GOOGLEFINANCE(C178, ""price"", WORKDAY(TODAY(), -40), TODAY()), 1, FALSE)), ""select Col2 where Col2 is not null limit 22 label Col2 ''"", 0)), """")"),"")</f>
        <v/>
      </c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8"/>
      <c r="AO178" s="28"/>
      <c r="AP178" s="29"/>
      <c r="AQ178" s="29" t="str">
        <f t="shared" ref="AQ178:BL178" si="181">T178/T$2</f>
        <v>#N/A</v>
      </c>
      <c r="AR178" s="29" t="str">
        <f t="shared" si="181"/>
        <v>#DIV/0!</v>
      </c>
      <c r="AS178" s="29" t="str">
        <f t="shared" si="181"/>
        <v>#DIV/0!</v>
      </c>
      <c r="AT178" s="29" t="str">
        <f t="shared" si="181"/>
        <v>#DIV/0!</v>
      </c>
      <c r="AU178" s="29" t="str">
        <f t="shared" si="181"/>
        <v>#DIV/0!</v>
      </c>
      <c r="AV178" s="29" t="str">
        <f t="shared" si="181"/>
        <v>#DIV/0!</v>
      </c>
      <c r="AW178" s="29" t="str">
        <f t="shared" si="181"/>
        <v>#DIV/0!</v>
      </c>
      <c r="AX178" s="29" t="str">
        <f t="shared" si="181"/>
        <v>#DIV/0!</v>
      </c>
      <c r="AY178" s="29" t="str">
        <f t="shared" si="181"/>
        <v>#DIV/0!</v>
      </c>
      <c r="AZ178" s="29" t="str">
        <f t="shared" si="181"/>
        <v>#DIV/0!</v>
      </c>
      <c r="BA178" s="29" t="str">
        <f t="shared" si="181"/>
        <v>#DIV/0!</v>
      </c>
      <c r="BB178" s="29" t="str">
        <f t="shared" si="181"/>
        <v>#DIV/0!</v>
      </c>
      <c r="BC178" s="29" t="str">
        <f t="shared" si="181"/>
        <v>#DIV/0!</v>
      </c>
      <c r="BD178" s="29" t="str">
        <f t="shared" si="181"/>
        <v>#DIV/0!</v>
      </c>
      <c r="BE178" s="29" t="str">
        <f t="shared" si="181"/>
        <v>#DIV/0!</v>
      </c>
      <c r="BF178" s="29" t="str">
        <f t="shared" si="181"/>
        <v>#DIV/0!</v>
      </c>
      <c r="BG178" s="29" t="str">
        <f t="shared" si="181"/>
        <v>#DIV/0!</v>
      </c>
      <c r="BH178" s="29" t="str">
        <f t="shared" si="181"/>
        <v>#DIV/0!</v>
      </c>
      <c r="BI178" s="29" t="str">
        <f t="shared" si="181"/>
        <v>#DIV/0!</v>
      </c>
      <c r="BJ178" s="29" t="str">
        <f t="shared" si="181"/>
        <v>#DIV/0!</v>
      </c>
      <c r="BK178" s="29" t="str">
        <f t="shared" si="181"/>
        <v>#DIV/0!</v>
      </c>
      <c r="BL178" s="29" t="str">
        <f t="shared" si="181"/>
        <v>#DIV/0!</v>
      </c>
      <c r="BM178" s="29" t="str">
        <f t="shared" si="3"/>
        <v>#DIV/0!</v>
      </c>
    </row>
    <row r="179">
      <c r="A179" s="16" t="str">
        <f>IFERROR(__xludf.DUMMYFUNCTION("IFERROR(SPARKLINE(SORT(MAP(TRANSPOSE(AQ179:BL179), LAMBDA(val, IF(ISNUMBER(val), PERCENTRANK(AQ179:BL179, val)+0.01, 0))), SEQUENCE(COLUMNS(AQ179:BL179)), FALSE), {""charttype"",""column""; ""color"",""chartreuse""; ""ymin"", 0; ""ymax"", 1.01; ""highcolo"&amp;"r"", ""darkgreen""; ""lowcolor"", ""red""}), """")"),"")</f>
        <v/>
      </c>
      <c r="B179" s="17" t="str">
        <f t="shared" si="4"/>
        <v/>
      </c>
      <c r="C179" s="1" t="s">
        <v>3264</v>
      </c>
      <c r="D179" s="30" t="str">
        <f>IFERROR(__xludf.DUMMYFUNCTION("IFERROR(GOOGLEFINANCE(C179, ""NAME""))"),"Sky Harbour Group Corp")</f>
        <v>Sky Harbour Group Corp</v>
      </c>
      <c r="E179" s="30" t="s">
        <v>3164</v>
      </c>
      <c r="F179" s="33" t="str">
        <f>IFERROR(__xludf.DUMMYFUNCTION("( (GOOGLEFINANCE(C179, ""price"") - Q179) / Q179 ) / (R179 / 100)"),"Loading...")</f>
        <v>Loading...</v>
      </c>
      <c r="G179" s="20" t="str">
        <f>IFERROR(__xludf.DUMMYFUNCTION("AVERAGE(ARRAYFORMULA(100 * (QUERY(GOOGLEFINANCE(C179, ""high"", TODAY()-40, TODAY()), ""SELECT Col2 WHERE Col2 IS NOT NULL ORDER BY Col1 DESC LIMIT 20"", 0) / QUERY(GOOGLEFINANCE(C179, ""low"", TODAY()-40, TODAY()), ""SELECT Col2 WHERE Col2 IS NOT NULL OR"&amp;"DER BY Col1 DESC LIMIT 20"", 0) - 1)))"),"#N/A")</f>
        <v>#N/A</v>
      </c>
      <c r="H179" s="35" t="str">
        <f t="shared" si="6"/>
        <v>Illiquid</v>
      </c>
      <c r="I179" s="35" t="str">
        <f t="shared" si="7"/>
        <v>RVol Required</v>
      </c>
      <c r="J179" s="37">
        <f>IFERROR(__xludf.DUMMYFUNCTION("IFERROR(
  IF(C179="""",, 
    IFERROR(
      GOOGLEFINANCE(C179, ""price"") * GOOGLEFINANCE(C179, ""volumeavg""), 
      GOOGLEFINANCE(C179, ""price"") * AVERAGE(QUERY(GOOGLEFINANCE(C179, ""volume"", TODAY()-40, TODAY()), ""SELECT Col2 WHERE Col2 IS NOT "&amp;"NULL ORDER BY Col1 DESC LIMIT 20"", 0))
    )
  ), 
"""")"),1591298.8)</f>
        <v>1591298.8</v>
      </c>
      <c r="K179" s="21">
        <f>IFERROR(__xludf.DUMMYFUNCTION("IFERROR(GOOGLEFINANCE(C179, ""changepct"") / 100, """")"),-0.0044)</f>
        <v>-0.0044</v>
      </c>
      <c r="L179" s="21" t="str">
        <f>IFERROR(__xludf.DUMMYFUNCTION("IFERROR((GOOGLEFINANCE(C179, ""price"") / INDEX(GOOGLEFINANCE(C179, ""price"", TODAY()-7, TODAY()), 2, 2)) - 1, """")"),"")</f>
        <v/>
      </c>
      <c r="M179" s="21" t="str">
        <f>IFERROR(__xludf.DUMMYFUNCTION("IFERROR((GOOGLEFINANCE(C179, ""price"") / INDEX(GOOGLEFINANCE(C179, ""price"", EDATE(TODAY(), -1), TODAY()), 2, 2)) - 1, """")"),"")</f>
        <v/>
      </c>
      <c r="N179" s="21" t="str">
        <f>IFERROR(__xludf.DUMMYFUNCTION("IFERROR((GOOGLEFINANCE(C179, ""price"") / INDEX(GOOGLEFINANCE(C179, ""price"", EDATE(TODAY(), -3), TODAY()), 2, 2)) - 1, """")"),"")</f>
        <v/>
      </c>
      <c r="O179" s="21" t="str">
        <f>IFERROR(__xludf.DUMMYFUNCTION("IFERROR((GOOGLEFINANCE(C179, ""price"") / INDEX(GOOGLEFINANCE(C179, ""price"", EDATE(TODAY(), -6), TODAY()), 2, 2)) - 1, """")"),"")</f>
        <v/>
      </c>
      <c r="P179" s="21" t="str">
        <f>IFERROR(__xludf.DUMMYFUNCTION("IFERROR((GOOGLEFINANCE(C179, ""price"") / INDEX(GOOGLEFINANCE(C179, ""price"", EDATE(TODAY(), -12), TODAY()), 2, 2)) - 1, """")"),"")</f>
        <v/>
      </c>
      <c r="Q179" s="6" t="str">
        <f>IFERROR(__xludf.DUMMYFUNCTION("AVERAGE(QUERY(GOOGLEFINANCE(C179, ""price"", TODAY()-80, TODAY()), ""SELECT Col2 WHERE Col2 IS NOT NULL ORDER BY Col1 DESC LIMIT 50"", 0))"),"#N/A")</f>
        <v>#N/A</v>
      </c>
      <c r="R179" s="24" t="str">
        <f>IFERROR(__xludf.DUMMYFUNCTION("IFERROR(
  LET(
    data, QUERY(GOOGLEFINANCE(C179,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GOOGLEFINANCE(C179, ""price"")) * 100,
    IF(calc=0, G179, calc)
  ), 
G179)"),"#N/A")</f>
        <v>#N/A</v>
      </c>
      <c r="S179" s="8" t="s">
        <v>15</v>
      </c>
      <c r="T179" s="26" t="str">
        <f>IFERROR(__xludf.DUMMYFUNCTION("IFERROR(TRANSPOSE(QUERY(IFERROR(SORT(GOOGLEFINANCE(C179, ""price"", WORKDAY(TODAY(), -40), TODAY()), 1, FALSE)), ""select Col2 where Col2 is not null limit 22 label Col2 ''"", 0)), """")"),"")</f>
        <v/>
      </c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8"/>
      <c r="AO179" s="28"/>
      <c r="AP179" s="29"/>
      <c r="AQ179" s="29" t="str">
        <f t="shared" ref="AQ179:BL179" si="182">T179/T$2</f>
        <v>#N/A</v>
      </c>
      <c r="AR179" s="29" t="str">
        <f t="shared" si="182"/>
        <v>#DIV/0!</v>
      </c>
      <c r="AS179" s="29" t="str">
        <f t="shared" si="182"/>
        <v>#DIV/0!</v>
      </c>
      <c r="AT179" s="29" t="str">
        <f t="shared" si="182"/>
        <v>#DIV/0!</v>
      </c>
      <c r="AU179" s="29" t="str">
        <f t="shared" si="182"/>
        <v>#DIV/0!</v>
      </c>
      <c r="AV179" s="29" t="str">
        <f t="shared" si="182"/>
        <v>#DIV/0!</v>
      </c>
      <c r="AW179" s="29" t="str">
        <f t="shared" si="182"/>
        <v>#DIV/0!</v>
      </c>
      <c r="AX179" s="29" t="str">
        <f t="shared" si="182"/>
        <v>#DIV/0!</v>
      </c>
      <c r="AY179" s="29" t="str">
        <f t="shared" si="182"/>
        <v>#DIV/0!</v>
      </c>
      <c r="AZ179" s="29" t="str">
        <f t="shared" si="182"/>
        <v>#DIV/0!</v>
      </c>
      <c r="BA179" s="29" t="str">
        <f t="shared" si="182"/>
        <v>#DIV/0!</v>
      </c>
      <c r="BB179" s="29" t="str">
        <f t="shared" si="182"/>
        <v>#DIV/0!</v>
      </c>
      <c r="BC179" s="29" t="str">
        <f t="shared" si="182"/>
        <v>#DIV/0!</v>
      </c>
      <c r="BD179" s="29" t="str">
        <f t="shared" si="182"/>
        <v>#DIV/0!</v>
      </c>
      <c r="BE179" s="29" t="str">
        <f t="shared" si="182"/>
        <v>#DIV/0!</v>
      </c>
      <c r="BF179" s="29" t="str">
        <f t="shared" si="182"/>
        <v>#DIV/0!</v>
      </c>
      <c r="BG179" s="29" t="str">
        <f t="shared" si="182"/>
        <v>#DIV/0!</v>
      </c>
      <c r="BH179" s="29" t="str">
        <f t="shared" si="182"/>
        <v>#DIV/0!</v>
      </c>
      <c r="BI179" s="29" t="str">
        <f t="shared" si="182"/>
        <v>#DIV/0!</v>
      </c>
      <c r="BJ179" s="29" t="str">
        <f t="shared" si="182"/>
        <v>#DIV/0!</v>
      </c>
      <c r="BK179" s="29" t="str">
        <f t="shared" si="182"/>
        <v>#DIV/0!</v>
      </c>
      <c r="BL179" s="29" t="str">
        <f t="shared" si="182"/>
        <v>#DIV/0!</v>
      </c>
      <c r="BM179" s="29" t="str">
        <f t="shared" si="3"/>
        <v>#DIV/0!</v>
      </c>
    </row>
    <row r="180">
      <c r="A180" s="16" t="str">
        <f>IFERROR(__xludf.DUMMYFUNCTION("IFERROR(SPARKLINE(SORT(MAP(TRANSPOSE(AQ180:BL180), LAMBDA(val, IF(ISNUMBER(val), PERCENTRANK(AQ180:BL180, val)+0.01, 0))), SEQUENCE(COLUMNS(AQ180:BL180)), FALSE), {""charttype"",""column""; ""color"",""chartreuse""; ""ymin"", 0; ""ymax"", 1.01; ""highcolo"&amp;"r"", ""darkgreen""; ""lowcolor"", ""red""}), """")"),"")</f>
        <v/>
      </c>
      <c r="B180" s="17" t="str">
        <f t="shared" si="4"/>
        <v/>
      </c>
      <c r="C180" s="1" t="s">
        <v>3266</v>
      </c>
      <c r="D180" s="30" t="str">
        <f>IFERROR(__xludf.DUMMYFUNCTION("IFERROR(GOOGLEFINANCE(C180, ""NAME""))"),"Redwood Trust Inc")</f>
        <v>Redwood Trust Inc</v>
      </c>
      <c r="E180" s="30" t="s">
        <v>2682</v>
      </c>
      <c r="F180" s="33" t="str">
        <f>IFERROR(__xludf.DUMMYFUNCTION("( (GOOGLEFINANCE(C180, ""price"") - Q180) / Q180 ) / (R180 / 100)"),"Loading...")</f>
        <v>Loading...</v>
      </c>
      <c r="G180" s="20" t="str">
        <f>IFERROR(__xludf.DUMMYFUNCTION("AVERAGE(ARRAYFORMULA(100 * (QUERY(GOOGLEFINANCE(C180, ""high"", TODAY()-40, TODAY()), ""SELECT Col2 WHERE Col2 IS NOT NULL ORDER BY Col1 DESC LIMIT 20"", 0) / QUERY(GOOGLEFINANCE(C180, ""low"", TODAY()-40, TODAY()), ""SELECT Col2 WHERE Col2 IS NOT NULL OR"&amp;"DER BY Col1 DESC LIMIT 20"", 0) - 1)))"),"#N/A")</f>
        <v>#N/A</v>
      </c>
      <c r="H180" s="35" t="str">
        <f t="shared" si="6"/>
        <v>Illiquid</v>
      </c>
      <c r="I180" s="35" t="str">
        <f t="shared" si="7"/>
        <v>RVol Required</v>
      </c>
      <c r="J180" s="37">
        <f>IFERROR(__xludf.DUMMYFUNCTION("IFERROR(
  IF(C180="""",, 
    IFERROR(
      GOOGLEFINANCE(C180, ""price"") * GOOGLEFINANCE(C180, ""volumeavg""), 
      GOOGLEFINANCE(C180, ""price"") * AVERAGE(QUERY(GOOGLEFINANCE(C180, ""volume"", TODAY()-40, TODAY()), ""SELECT Col2 WHERE Col2 IS NOT "&amp;"NULL ORDER BY Col1 DESC LIMIT 20"", 0))
    )
  ), 
"""")"),2.074773248E7)</f>
        <v>20747732.48</v>
      </c>
      <c r="K180" s="21">
        <f>IFERROR(__xludf.DUMMYFUNCTION("IFERROR(GOOGLEFINANCE(C180, ""changepct"") / 100, """")"),-0.0225)</f>
        <v>-0.0225</v>
      </c>
      <c r="L180" s="21" t="str">
        <f>IFERROR(__xludf.DUMMYFUNCTION("IFERROR((GOOGLEFINANCE(C180, ""price"") / INDEX(GOOGLEFINANCE(C180, ""price"", TODAY()-7, TODAY()), 2, 2)) - 1, """")"),"")</f>
        <v/>
      </c>
      <c r="M180" s="21" t="str">
        <f>IFERROR(__xludf.DUMMYFUNCTION("IFERROR((GOOGLEFINANCE(C180, ""price"") / INDEX(GOOGLEFINANCE(C180, ""price"", EDATE(TODAY(), -1), TODAY()), 2, 2)) - 1, """")"),"")</f>
        <v/>
      </c>
      <c r="N180" s="21" t="str">
        <f>IFERROR(__xludf.DUMMYFUNCTION("IFERROR((GOOGLEFINANCE(C180, ""price"") / INDEX(GOOGLEFINANCE(C180, ""price"", EDATE(TODAY(), -3), TODAY()), 2, 2)) - 1, """")"),"")</f>
        <v/>
      </c>
      <c r="O180" s="21" t="str">
        <f>IFERROR(__xludf.DUMMYFUNCTION("IFERROR((GOOGLEFINANCE(C180, ""price"") / INDEX(GOOGLEFINANCE(C180, ""price"", EDATE(TODAY(), -6), TODAY()), 2, 2)) - 1, """")"),"")</f>
        <v/>
      </c>
      <c r="P180" s="21" t="str">
        <f>IFERROR(__xludf.DUMMYFUNCTION("IFERROR((GOOGLEFINANCE(C180, ""price"") / INDEX(GOOGLEFINANCE(C180, ""price"", EDATE(TODAY(), -12), TODAY()), 2, 2)) - 1, """")"),"")</f>
        <v/>
      </c>
      <c r="Q180" s="6" t="str">
        <f>IFERROR(__xludf.DUMMYFUNCTION("AVERAGE(QUERY(GOOGLEFINANCE(C180, ""price"", TODAY()-80, TODAY()), ""SELECT Col2 WHERE Col2 IS NOT NULL ORDER BY Col1 DESC LIMIT 50"", 0))"),"#N/A")</f>
        <v>#N/A</v>
      </c>
      <c r="R180" s="24" t="str">
        <f>IFERROR(__xludf.DUMMYFUNCTION("IFERROR(
  LET(
    data, QUERY(GOOGLEFINANCE(C180,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GOOGLEFINANCE(C180, ""price"")) * 100,
    IF(calc=0, G180, calc)
  ), 
G180)"),"#N/A")</f>
        <v>#N/A</v>
      </c>
      <c r="S180" s="8" t="s">
        <v>15</v>
      </c>
      <c r="T180" s="26" t="str">
        <f>IFERROR(__xludf.DUMMYFUNCTION("IFERROR(TRANSPOSE(QUERY(IFERROR(SORT(GOOGLEFINANCE(C180, ""price"", WORKDAY(TODAY(), -40), TODAY()), 1, FALSE)), ""select Col2 where Col2 is not null limit 22 label Col2 ''"", 0)), """")"),"")</f>
        <v/>
      </c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8"/>
      <c r="AO180" s="28"/>
      <c r="AP180" s="29"/>
      <c r="AQ180" s="29" t="str">
        <f t="shared" ref="AQ180:BL180" si="183">T180/T$2</f>
        <v>#N/A</v>
      </c>
      <c r="AR180" s="29" t="str">
        <f t="shared" si="183"/>
        <v>#DIV/0!</v>
      </c>
      <c r="AS180" s="29" t="str">
        <f t="shared" si="183"/>
        <v>#DIV/0!</v>
      </c>
      <c r="AT180" s="29" t="str">
        <f t="shared" si="183"/>
        <v>#DIV/0!</v>
      </c>
      <c r="AU180" s="29" t="str">
        <f t="shared" si="183"/>
        <v>#DIV/0!</v>
      </c>
      <c r="AV180" s="29" t="str">
        <f t="shared" si="183"/>
        <v>#DIV/0!</v>
      </c>
      <c r="AW180" s="29" t="str">
        <f t="shared" si="183"/>
        <v>#DIV/0!</v>
      </c>
      <c r="AX180" s="29" t="str">
        <f t="shared" si="183"/>
        <v>#DIV/0!</v>
      </c>
      <c r="AY180" s="29" t="str">
        <f t="shared" si="183"/>
        <v>#DIV/0!</v>
      </c>
      <c r="AZ180" s="29" t="str">
        <f t="shared" si="183"/>
        <v>#DIV/0!</v>
      </c>
      <c r="BA180" s="29" t="str">
        <f t="shared" si="183"/>
        <v>#DIV/0!</v>
      </c>
      <c r="BB180" s="29" t="str">
        <f t="shared" si="183"/>
        <v>#DIV/0!</v>
      </c>
      <c r="BC180" s="29" t="str">
        <f t="shared" si="183"/>
        <v>#DIV/0!</v>
      </c>
      <c r="BD180" s="29" t="str">
        <f t="shared" si="183"/>
        <v>#DIV/0!</v>
      </c>
      <c r="BE180" s="29" t="str">
        <f t="shared" si="183"/>
        <v>#DIV/0!</v>
      </c>
      <c r="BF180" s="29" t="str">
        <f t="shared" si="183"/>
        <v>#DIV/0!</v>
      </c>
      <c r="BG180" s="29" t="str">
        <f t="shared" si="183"/>
        <v>#DIV/0!</v>
      </c>
      <c r="BH180" s="29" t="str">
        <f t="shared" si="183"/>
        <v>#DIV/0!</v>
      </c>
      <c r="BI180" s="29" t="str">
        <f t="shared" si="183"/>
        <v>#DIV/0!</v>
      </c>
      <c r="BJ180" s="29" t="str">
        <f t="shared" si="183"/>
        <v>#DIV/0!</v>
      </c>
      <c r="BK180" s="29" t="str">
        <f t="shared" si="183"/>
        <v>#DIV/0!</v>
      </c>
      <c r="BL180" s="29" t="str">
        <f t="shared" si="183"/>
        <v>#DIV/0!</v>
      </c>
      <c r="BM180" s="29" t="str">
        <f t="shared" si="3"/>
        <v>#DIV/0!</v>
      </c>
    </row>
    <row r="181">
      <c r="A181" s="16" t="str">
        <f>IFERROR(__xludf.DUMMYFUNCTION("IFERROR(SPARKLINE(SORT(MAP(TRANSPOSE(AQ181:BL181), LAMBDA(val, IF(ISNUMBER(val), PERCENTRANK(AQ181:BL181, val)+0.01, 0))), SEQUENCE(COLUMNS(AQ181:BL181)), FALSE), {""charttype"",""column""; ""color"",""chartreuse""; ""ymin"", 0; ""ymax"", 1.01; ""highcolo"&amp;"r"", ""darkgreen""; ""lowcolor"", ""red""}), """")"),"")</f>
        <v/>
      </c>
      <c r="B181" s="17" t="str">
        <f t="shared" si="4"/>
        <v/>
      </c>
      <c r="C181" s="1" t="s">
        <v>3268</v>
      </c>
      <c r="D181" s="30" t="str">
        <f>IFERROR(__xludf.DUMMYFUNCTION("IFERROR(GOOGLEFINANCE(C181, ""NAME""))"),"PennyMac Mortgage Investment Trust")</f>
        <v>PennyMac Mortgage Investment Trust</v>
      </c>
      <c r="E181" s="30" t="s">
        <v>2682</v>
      </c>
      <c r="F181" s="33" t="str">
        <f>IFERROR(__xludf.DUMMYFUNCTION("( (GOOGLEFINANCE(C181, ""price"") - Q181) / Q181 ) / (R181 / 100)"),"Loading...")</f>
        <v>Loading...</v>
      </c>
      <c r="G181" s="20" t="str">
        <f>IFERROR(__xludf.DUMMYFUNCTION("AVERAGE(ARRAYFORMULA(100 * (QUERY(GOOGLEFINANCE(C181, ""high"", TODAY()-40, TODAY()), ""SELECT Col2 WHERE Col2 IS NOT NULL ORDER BY Col1 DESC LIMIT 20"", 0) / QUERY(GOOGLEFINANCE(C181, ""low"", TODAY()-40, TODAY()), ""SELECT Col2 WHERE Col2 IS NOT NULL OR"&amp;"DER BY Col1 DESC LIMIT 20"", 0) - 1)))"),"#N/A")</f>
        <v>#N/A</v>
      </c>
      <c r="H181" s="35" t="str">
        <f t="shared" si="6"/>
        <v>Illiquid</v>
      </c>
      <c r="I181" s="35" t="str">
        <f t="shared" si="7"/>
        <v>RVol Required</v>
      </c>
      <c r="J181" s="37">
        <f>IFERROR(__xludf.DUMMYFUNCTION("IFERROR(
  IF(C181="""",, 
    IFERROR(
      GOOGLEFINANCE(C181, ""price"") * GOOGLEFINANCE(C181, ""volumeavg""), 
      GOOGLEFINANCE(C181, ""price"") * AVERAGE(QUERY(GOOGLEFINANCE(C181, ""volume"", TODAY()-40, TODAY()), ""SELECT Col2 WHERE Col2 IS NOT "&amp;"NULL ORDER BY Col1 DESC LIMIT 20"", 0))
    )
  ), 
"""")"),1.65392498E7)</f>
        <v>16539249.8</v>
      </c>
      <c r="K181" s="21">
        <f>IFERROR(__xludf.DUMMYFUNCTION("IFERROR(GOOGLEFINANCE(C181, ""changepct"") / 100, """")"),-0.019799999999999998)</f>
        <v>-0.0198</v>
      </c>
      <c r="L181" s="21" t="str">
        <f>IFERROR(__xludf.DUMMYFUNCTION("IFERROR((GOOGLEFINANCE(C181, ""price"") / INDEX(GOOGLEFINANCE(C181, ""price"", TODAY()-7, TODAY()), 2, 2)) - 1, """")"),"")</f>
        <v/>
      </c>
      <c r="M181" s="21" t="str">
        <f>IFERROR(__xludf.DUMMYFUNCTION("IFERROR((GOOGLEFINANCE(C181, ""price"") / INDEX(GOOGLEFINANCE(C181, ""price"", EDATE(TODAY(), -1), TODAY()), 2, 2)) - 1, """")"),"")</f>
        <v/>
      </c>
      <c r="N181" s="21" t="str">
        <f>IFERROR(__xludf.DUMMYFUNCTION("IFERROR((GOOGLEFINANCE(C181, ""price"") / INDEX(GOOGLEFINANCE(C181, ""price"", EDATE(TODAY(), -3), TODAY()), 2, 2)) - 1, """")"),"")</f>
        <v/>
      </c>
      <c r="O181" s="21" t="str">
        <f>IFERROR(__xludf.DUMMYFUNCTION("IFERROR((GOOGLEFINANCE(C181, ""price"") / INDEX(GOOGLEFINANCE(C181, ""price"", EDATE(TODAY(), -6), TODAY()), 2, 2)) - 1, """")"),"")</f>
        <v/>
      </c>
      <c r="P181" s="21" t="str">
        <f>IFERROR(__xludf.DUMMYFUNCTION("IFERROR((GOOGLEFINANCE(C181, ""price"") / INDEX(GOOGLEFINANCE(C181, ""price"", EDATE(TODAY(), -12), TODAY()), 2, 2)) - 1, """")"),"")</f>
        <v/>
      </c>
      <c r="Q181" s="6" t="str">
        <f>IFERROR(__xludf.DUMMYFUNCTION("AVERAGE(QUERY(GOOGLEFINANCE(C181, ""price"", TODAY()-80, TODAY()), ""SELECT Col2 WHERE Col2 IS NOT NULL ORDER BY Col1 DESC LIMIT 50"", 0))"),"#N/A")</f>
        <v>#N/A</v>
      </c>
      <c r="R181" s="24" t="str">
        <f>IFERROR(__xludf.DUMMYFUNCTION("IFERROR(
  LET(
    data, QUERY(GOOGLEFINANCE(C181,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GOOGLEFINANCE(C181, ""price"")) * 100,
    IF(calc=0, G181, calc)
  ), 
G181)"),"#N/A")</f>
        <v>#N/A</v>
      </c>
      <c r="S181" s="8" t="s">
        <v>15</v>
      </c>
      <c r="T181" s="26" t="str">
        <f>IFERROR(__xludf.DUMMYFUNCTION("IFERROR(TRANSPOSE(QUERY(IFERROR(SORT(GOOGLEFINANCE(C181, ""price"", WORKDAY(TODAY(), -40), TODAY()), 1, FALSE)), ""select Col2 where Col2 is not null limit 22 label Col2 ''"", 0)), """")"),"")</f>
        <v/>
      </c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8"/>
      <c r="AO181" s="28"/>
      <c r="AP181" s="29"/>
      <c r="AQ181" s="29" t="str">
        <f t="shared" ref="AQ181:BL181" si="184">T181/T$2</f>
        <v>#N/A</v>
      </c>
      <c r="AR181" s="29" t="str">
        <f t="shared" si="184"/>
        <v>#DIV/0!</v>
      </c>
      <c r="AS181" s="29" t="str">
        <f t="shared" si="184"/>
        <v>#DIV/0!</v>
      </c>
      <c r="AT181" s="29" t="str">
        <f t="shared" si="184"/>
        <v>#DIV/0!</v>
      </c>
      <c r="AU181" s="29" t="str">
        <f t="shared" si="184"/>
        <v>#DIV/0!</v>
      </c>
      <c r="AV181" s="29" t="str">
        <f t="shared" si="184"/>
        <v>#DIV/0!</v>
      </c>
      <c r="AW181" s="29" t="str">
        <f t="shared" si="184"/>
        <v>#DIV/0!</v>
      </c>
      <c r="AX181" s="29" t="str">
        <f t="shared" si="184"/>
        <v>#DIV/0!</v>
      </c>
      <c r="AY181" s="29" t="str">
        <f t="shared" si="184"/>
        <v>#DIV/0!</v>
      </c>
      <c r="AZ181" s="29" t="str">
        <f t="shared" si="184"/>
        <v>#DIV/0!</v>
      </c>
      <c r="BA181" s="29" t="str">
        <f t="shared" si="184"/>
        <v>#DIV/0!</v>
      </c>
      <c r="BB181" s="29" t="str">
        <f t="shared" si="184"/>
        <v>#DIV/0!</v>
      </c>
      <c r="BC181" s="29" t="str">
        <f t="shared" si="184"/>
        <v>#DIV/0!</v>
      </c>
      <c r="BD181" s="29" t="str">
        <f t="shared" si="184"/>
        <v>#DIV/0!</v>
      </c>
      <c r="BE181" s="29" t="str">
        <f t="shared" si="184"/>
        <v>#DIV/0!</v>
      </c>
      <c r="BF181" s="29" t="str">
        <f t="shared" si="184"/>
        <v>#DIV/0!</v>
      </c>
      <c r="BG181" s="29" t="str">
        <f t="shared" si="184"/>
        <v>#DIV/0!</v>
      </c>
      <c r="BH181" s="29" t="str">
        <f t="shared" si="184"/>
        <v>#DIV/0!</v>
      </c>
      <c r="BI181" s="29" t="str">
        <f t="shared" si="184"/>
        <v>#DIV/0!</v>
      </c>
      <c r="BJ181" s="29" t="str">
        <f t="shared" si="184"/>
        <v>#DIV/0!</v>
      </c>
      <c r="BK181" s="29" t="str">
        <f t="shared" si="184"/>
        <v>#DIV/0!</v>
      </c>
      <c r="BL181" s="29" t="str">
        <f t="shared" si="184"/>
        <v>#DIV/0!</v>
      </c>
      <c r="BM181" s="29" t="str">
        <f t="shared" si="3"/>
        <v>#DIV/0!</v>
      </c>
    </row>
    <row r="182">
      <c r="A182" s="16" t="str">
        <f>IFERROR(__xludf.DUMMYFUNCTION("IFERROR(SPARKLINE(SORT(MAP(TRANSPOSE(AQ182:BL182), LAMBDA(val, IF(ISNUMBER(val), PERCENTRANK(AQ182:BL182, val)+0.01, 0))), SEQUENCE(COLUMNS(AQ182:BL182)), FALSE), {""charttype"",""column""; ""color"",""chartreuse""; ""ymin"", 0; ""ymax"", 1.01; ""highcolo"&amp;"r"", ""darkgreen""; ""lowcolor"", ""red""}), """")"),"")</f>
        <v/>
      </c>
      <c r="B182" s="17" t="str">
        <f t="shared" si="4"/>
        <v/>
      </c>
      <c r="C182" s="1" t="s">
        <v>3270</v>
      </c>
      <c r="D182" s="30" t="str">
        <f>IFERROR(__xludf.DUMMYFUNCTION("IFERROR(GOOGLEFINANCE(C182, ""NAME""))"),"Ladder Capital Corp")</f>
        <v>Ladder Capital Corp</v>
      </c>
      <c r="E182" s="30" t="s">
        <v>2682</v>
      </c>
      <c r="F182" s="33" t="str">
        <f>IFERROR(__xludf.DUMMYFUNCTION("( (GOOGLEFINANCE(C182, ""price"") - Q182) / Q182 ) / (R182 / 100)"),"Loading...")</f>
        <v>Loading...</v>
      </c>
      <c r="G182" s="20" t="str">
        <f>IFERROR(__xludf.DUMMYFUNCTION("AVERAGE(ARRAYFORMULA(100 * (QUERY(GOOGLEFINANCE(C182, ""high"", TODAY()-40, TODAY()), ""SELECT Col2 WHERE Col2 IS NOT NULL ORDER BY Col1 DESC LIMIT 20"", 0) / QUERY(GOOGLEFINANCE(C182, ""low"", TODAY()-40, TODAY()), ""SELECT Col2 WHERE Col2 IS NOT NULL OR"&amp;"DER BY Col1 DESC LIMIT 20"", 0) - 1)))"),"#N/A")</f>
        <v>#N/A</v>
      </c>
      <c r="H182" s="35" t="str">
        <f t="shared" si="6"/>
        <v>Illiquid</v>
      </c>
      <c r="I182" s="35" t="str">
        <f t="shared" si="7"/>
        <v>RVol Required</v>
      </c>
      <c r="J182" s="37">
        <f>IFERROR(__xludf.DUMMYFUNCTION("IFERROR(
  IF(C182="""",, 
    IFERROR(
      GOOGLEFINANCE(C182, ""price"") * GOOGLEFINANCE(C182, ""volumeavg""), 
      GOOGLEFINANCE(C182, ""price"") * AVERAGE(QUERY(GOOGLEFINANCE(C182, ""volume"", TODAY()-40, TODAY()), ""SELECT Col2 WHERE Col2 IS NOT "&amp;"NULL ORDER BY Col1 DESC LIMIT 20"", 0))
    )
  ), 
"""")"),1.404568868E7)</f>
        <v>14045688.68</v>
      </c>
      <c r="K182" s="21">
        <f>IFERROR(__xludf.DUMMYFUNCTION("IFERROR(GOOGLEFINANCE(C182, ""changepct"") / 100, """")"),0.0329)</f>
        <v>0.0329</v>
      </c>
      <c r="L182" s="21" t="str">
        <f>IFERROR(__xludf.DUMMYFUNCTION("IFERROR((GOOGLEFINANCE(C182, ""price"") / INDEX(GOOGLEFINANCE(C182, ""price"", TODAY()-7, TODAY()), 2, 2)) - 1, """")"),"")</f>
        <v/>
      </c>
      <c r="M182" s="21" t="str">
        <f>IFERROR(__xludf.DUMMYFUNCTION("IFERROR((GOOGLEFINANCE(C182, ""price"") / INDEX(GOOGLEFINANCE(C182, ""price"", EDATE(TODAY(), -1), TODAY()), 2, 2)) - 1, """")"),"")</f>
        <v/>
      </c>
      <c r="N182" s="21" t="str">
        <f>IFERROR(__xludf.DUMMYFUNCTION("IFERROR((GOOGLEFINANCE(C182, ""price"") / INDEX(GOOGLEFINANCE(C182, ""price"", EDATE(TODAY(), -3), TODAY()), 2, 2)) - 1, """")"),"")</f>
        <v/>
      </c>
      <c r="O182" s="21" t="str">
        <f>IFERROR(__xludf.DUMMYFUNCTION("IFERROR((GOOGLEFINANCE(C182, ""price"") / INDEX(GOOGLEFINANCE(C182, ""price"", EDATE(TODAY(), -6), TODAY()), 2, 2)) - 1, """")"),"")</f>
        <v/>
      </c>
      <c r="P182" s="21" t="str">
        <f>IFERROR(__xludf.DUMMYFUNCTION("IFERROR((GOOGLEFINANCE(C182, ""price"") / INDEX(GOOGLEFINANCE(C182, ""price"", EDATE(TODAY(), -12), TODAY()), 2, 2)) - 1, """")"),"")</f>
        <v/>
      </c>
      <c r="Q182" s="6" t="str">
        <f>IFERROR(__xludf.DUMMYFUNCTION("AVERAGE(QUERY(GOOGLEFINANCE(C182, ""price"", TODAY()-80, TODAY()), ""SELECT Col2 WHERE Col2 IS NOT NULL ORDER BY Col1 DESC LIMIT 50"", 0))"),"#N/A")</f>
        <v>#N/A</v>
      </c>
      <c r="R182" s="24" t="str">
        <f>IFERROR(__xludf.DUMMYFUNCTION("IFERROR(
  LET(
    data, QUERY(GOOGLEFINANCE(C182,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GOOGLEFINANCE(C182, ""price"")) * 100,
    IF(calc=0, G182, calc)
  ), 
G182)"),"#N/A")</f>
        <v>#N/A</v>
      </c>
      <c r="S182" s="8" t="s">
        <v>15</v>
      </c>
      <c r="T182" s="26" t="str">
        <f>IFERROR(__xludf.DUMMYFUNCTION("IFERROR(TRANSPOSE(QUERY(IFERROR(SORT(GOOGLEFINANCE(C182, ""price"", WORKDAY(TODAY(), -40), TODAY()), 1, FALSE)), ""select Col2 where Col2 is not null limit 22 label Col2 ''"", 0)), """")"),"")</f>
        <v/>
      </c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8"/>
      <c r="AO182" s="28"/>
      <c r="AP182" s="29"/>
      <c r="AQ182" s="29" t="str">
        <f t="shared" ref="AQ182:BL182" si="185">T182/T$2</f>
        <v>#N/A</v>
      </c>
      <c r="AR182" s="29" t="str">
        <f t="shared" si="185"/>
        <v>#DIV/0!</v>
      </c>
      <c r="AS182" s="29" t="str">
        <f t="shared" si="185"/>
        <v>#DIV/0!</v>
      </c>
      <c r="AT182" s="29" t="str">
        <f t="shared" si="185"/>
        <v>#DIV/0!</v>
      </c>
      <c r="AU182" s="29" t="str">
        <f t="shared" si="185"/>
        <v>#DIV/0!</v>
      </c>
      <c r="AV182" s="29" t="str">
        <f t="shared" si="185"/>
        <v>#DIV/0!</v>
      </c>
      <c r="AW182" s="29" t="str">
        <f t="shared" si="185"/>
        <v>#DIV/0!</v>
      </c>
      <c r="AX182" s="29" t="str">
        <f t="shared" si="185"/>
        <v>#DIV/0!</v>
      </c>
      <c r="AY182" s="29" t="str">
        <f t="shared" si="185"/>
        <v>#DIV/0!</v>
      </c>
      <c r="AZ182" s="29" t="str">
        <f t="shared" si="185"/>
        <v>#DIV/0!</v>
      </c>
      <c r="BA182" s="29" t="str">
        <f t="shared" si="185"/>
        <v>#DIV/0!</v>
      </c>
      <c r="BB182" s="29" t="str">
        <f t="shared" si="185"/>
        <v>#DIV/0!</v>
      </c>
      <c r="BC182" s="29" t="str">
        <f t="shared" si="185"/>
        <v>#DIV/0!</v>
      </c>
      <c r="BD182" s="29" t="str">
        <f t="shared" si="185"/>
        <v>#DIV/0!</v>
      </c>
      <c r="BE182" s="29" t="str">
        <f t="shared" si="185"/>
        <v>#DIV/0!</v>
      </c>
      <c r="BF182" s="29" t="str">
        <f t="shared" si="185"/>
        <v>#DIV/0!</v>
      </c>
      <c r="BG182" s="29" t="str">
        <f t="shared" si="185"/>
        <v>#DIV/0!</v>
      </c>
      <c r="BH182" s="29" t="str">
        <f t="shared" si="185"/>
        <v>#DIV/0!</v>
      </c>
      <c r="BI182" s="29" t="str">
        <f t="shared" si="185"/>
        <v>#DIV/0!</v>
      </c>
      <c r="BJ182" s="29" t="str">
        <f t="shared" si="185"/>
        <v>#DIV/0!</v>
      </c>
      <c r="BK182" s="29" t="str">
        <f t="shared" si="185"/>
        <v>#DIV/0!</v>
      </c>
      <c r="BL182" s="29" t="str">
        <f t="shared" si="185"/>
        <v>#DIV/0!</v>
      </c>
      <c r="BM182" s="29" t="str">
        <f t="shared" si="3"/>
        <v>#DIV/0!</v>
      </c>
    </row>
    <row r="183">
      <c r="A183" s="16" t="str">
        <f>IFERROR(__xludf.DUMMYFUNCTION("IFERROR(SPARKLINE(SORT(MAP(TRANSPOSE(AQ183:BL183), LAMBDA(val, IF(ISNUMBER(val), PERCENTRANK(AQ183:BL183, val)+0.01, 0))), SEQUENCE(COLUMNS(AQ183:BL183)), FALSE), {""charttype"",""column""; ""color"",""chartreuse""; ""ymin"", 0; ""ymax"", 1.01; ""highcolo"&amp;"r"", ""darkgreen""; ""lowcolor"", ""red""}), """")"),"")</f>
        <v/>
      </c>
      <c r="B183" s="17" t="str">
        <f t="shared" si="4"/>
        <v/>
      </c>
      <c r="C183" s="1" t="s">
        <v>3271</v>
      </c>
      <c r="D183" s="30" t="str">
        <f>IFERROR(__xludf.DUMMYFUNCTION("IFERROR(GOOGLEFINANCE(C183, ""NAME""))"),"Sun Communities Inc")</f>
        <v>Sun Communities Inc</v>
      </c>
      <c r="E183" s="30" t="s">
        <v>2760</v>
      </c>
      <c r="F183" s="33" t="str">
        <f>IFERROR(__xludf.DUMMYFUNCTION("( (GOOGLEFINANCE(C183, ""price"") - Q183) / Q183 ) / (R183 / 100)"),"Loading...")</f>
        <v>Loading...</v>
      </c>
      <c r="G183" s="20" t="str">
        <f>IFERROR(__xludf.DUMMYFUNCTION("AVERAGE(ARRAYFORMULA(100 * (QUERY(GOOGLEFINANCE(C183, ""high"", TODAY()-40, TODAY()), ""SELECT Col2 WHERE Col2 IS NOT NULL ORDER BY Col1 DESC LIMIT 20"", 0) / QUERY(GOOGLEFINANCE(C183, ""low"", TODAY()-40, TODAY()), ""SELECT Col2 WHERE Col2 IS NOT NULL OR"&amp;"DER BY Col1 DESC LIMIT 20"", 0) - 1)))"),"#N/A")</f>
        <v>#N/A</v>
      </c>
      <c r="H183" s="35" t="str">
        <f t="shared" si="6"/>
        <v>Liquid</v>
      </c>
      <c r="I183" s="35" t="str">
        <f t="shared" si="7"/>
        <v>RVol Required</v>
      </c>
      <c r="J183" s="37">
        <f>IFERROR(__xludf.DUMMYFUNCTION("IFERROR(
  IF(C183="""",, 
    IFERROR(
      GOOGLEFINANCE(C183, ""price"") * GOOGLEFINANCE(C183, ""volumeavg""), 
      GOOGLEFINANCE(C183, ""price"") * AVERAGE(QUERY(GOOGLEFINANCE(C183, ""volume"", TODAY()-40, TODAY()), ""SELECT Col2 WHERE Col2 IS NOT "&amp;"NULL ORDER BY Col1 DESC LIMIT 20"", 0))
    )
  ), 
"""")"),1.3181069664E8)</f>
        <v>131810696.6</v>
      </c>
      <c r="K183" s="21">
        <f>IFERROR(__xludf.DUMMYFUNCTION("IFERROR(GOOGLEFINANCE(C183, ""changepct"") / 100, """")"),0.0187)</f>
        <v>0.0187</v>
      </c>
      <c r="L183" s="21" t="str">
        <f>IFERROR(__xludf.DUMMYFUNCTION("IFERROR((GOOGLEFINANCE(C183, ""price"") / INDEX(GOOGLEFINANCE(C183, ""price"", TODAY()-7, TODAY()), 2, 2)) - 1, """")"),"")</f>
        <v/>
      </c>
      <c r="M183" s="21" t="str">
        <f>IFERROR(__xludf.DUMMYFUNCTION("IFERROR((GOOGLEFINANCE(C183, ""price"") / INDEX(GOOGLEFINANCE(C183, ""price"", EDATE(TODAY(), -1), TODAY()), 2, 2)) - 1, """")"),"")</f>
        <v/>
      </c>
      <c r="N183" s="21" t="str">
        <f>IFERROR(__xludf.DUMMYFUNCTION("IFERROR((GOOGLEFINANCE(C183, ""price"") / INDEX(GOOGLEFINANCE(C183, ""price"", EDATE(TODAY(), -3), TODAY()), 2, 2)) - 1, """")"),"")</f>
        <v/>
      </c>
      <c r="O183" s="21" t="str">
        <f>IFERROR(__xludf.DUMMYFUNCTION("IFERROR((GOOGLEFINANCE(C183, ""price"") / INDEX(GOOGLEFINANCE(C183, ""price"", EDATE(TODAY(), -6), TODAY()), 2, 2)) - 1, """")"),"")</f>
        <v/>
      </c>
      <c r="P183" s="21" t="str">
        <f>IFERROR(__xludf.DUMMYFUNCTION("IFERROR((GOOGLEFINANCE(C183, ""price"") / INDEX(GOOGLEFINANCE(C183, ""price"", EDATE(TODAY(), -12), TODAY()), 2, 2)) - 1, """")"),"")</f>
        <v/>
      </c>
      <c r="Q183" s="6" t="str">
        <f>IFERROR(__xludf.DUMMYFUNCTION("AVERAGE(QUERY(GOOGLEFINANCE(C183, ""price"", TODAY()-80, TODAY()), ""SELECT Col2 WHERE Col2 IS NOT NULL ORDER BY Col1 DESC LIMIT 50"", 0))"),"#N/A")</f>
        <v>#N/A</v>
      </c>
      <c r="R183" s="24" t="str">
        <f>IFERROR(__xludf.DUMMYFUNCTION("IFERROR(
  LET(
    data, QUERY(GOOGLEFINANCE(C183,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GOOGLEFINANCE(C183, ""price"")) * 100,
    IF(calc=0, G183, calc)
  ), 
G183)"),"#N/A")</f>
        <v>#N/A</v>
      </c>
      <c r="S183" s="8" t="s">
        <v>15</v>
      </c>
      <c r="T183" s="26" t="str">
        <f>IFERROR(__xludf.DUMMYFUNCTION("IFERROR(TRANSPOSE(QUERY(IFERROR(SORT(GOOGLEFINANCE(C183, ""price"", WORKDAY(TODAY(), -40), TODAY()), 1, FALSE)), ""select Col2 where Col2 is not null limit 22 label Col2 ''"", 0)), """")"),"")</f>
        <v/>
      </c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8"/>
      <c r="AO183" s="28"/>
      <c r="AP183" s="29"/>
      <c r="AQ183" s="29" t="str">
        <f t="shared" ref="AQ183:BL183" si="186">T183/T$2</f>
        <v>#N/A</v>
      </c>
      <c r="AR183" s="29" t="str">
        <f t="shared" si="186"/>
        <v>#DIV/0!</v>
      </c>
      <c r="AS183" s="29" t="str">
        <f t="shared" si="186"/>
        <v>#DIV/0!</v>
      </c>
      <c r="AT183" s="29" t="str">
        <f t="shared" si="186"/>
        <v>#DIV/0!</v>
      </c>
      <c r="AU183" s="29" t="str">
        <f t="shared" si="186"/>
        <v>#DIV/0!</v>
      </c>
      <c r="AV183" s="29" t="str">
        <f t="shared" si="186"/>
        <v>#DIV/0!</v>
      </c>
      <c r="AW183" s="29" t="str">
        <f t="shared" si="186"/>
        <v>#DIV/0!</v>
      </c>
      <c r="AX183" s="29" t="str">
        <f t="shared" si="186"/>
        <v>#DIV/0!</v>
      </c>
      <c r="AY183" s="29" t="str">
        <f t="shared" si="186"/>
        <v>#DIV/0!</v>
      </c>
      <c r="AZ183" s="29" t="str">
        <f t="shared" si="186"/>
        <v>#DIV/0!</v>
      </c>
      <c r="BA183" s="29" t="str">
        <f t="shared" si="186"/>
        <v>#DIV/0!</v>
      </c>
      <c r="BB183" s="29" t="str">
        <f t="shared" si="186"/>
        <v>#DIV/0!</v>
      </c>
      <c r="BC183" s="29" t="str">
        <f t="shared" si="186"/>
        <v>#DIV/0!</v>
      </c>
      <c r="BD183" s="29" t="str">
        <f t="shared" si="186"/>
        <v>#DIV/0!</v>
      </c>
      <c r="BE183" s="29" t="str">
        <f t="shared" si="186"/>
        <v>#DIV/0!</v>
      </c>
      <c r="BF183" s="29" t="str">
        <f t="shared" si="186"/>
        <v>#DIV/0!</v>
      </c>
      <c r="BG183" s="29" t="str">
        <f t="shared" si="186"/>
        <v>#DIV/0!</v>
      </c>
      <c r="BH183" s="29" t="str">
        <f t="shared" si="186"/>
        <v>#DIV/0!</v>
      </c>
      <c r="BI183" s="29" t="str">
        <f t="shared" si="186"/>
        <v>#DIV/0!</v>
      </c>
      <c r="BJ183" s="29" t="str">
        <f t="shared" si="186"/>
        <v>#DIV/0!</v>
      </c>
      <c r="BK183" s="29" t="str">
        <f t="shared" si="186"/>
        <v>#DIV/0!</v>
      </c>
      <c r="BL183" s="29" t="str">
        <f t="shared" si="186"/>
        <v>#DIV/0!</v>
      </c>
      <c r="BM183" s="29" t="str">
        <f t="shared" si="3"/>
        <v>#DIV/0!</v>
      </c>
    </row>
    <row r="184">
      <c r="A184" s="16" t="str">
        <f>IFERROR(__xludf.DUMMYFUNCTION("IFERROR(SPARKLINE(SORT(MAP(TRANSPOSE(AQ184:BL184), LAMBDA(val, IF(ISNUMBER(val), PERCENTRANK(AQ184:BL184, val)+0.01, 0))), SEQUENCE(COLUMNS(AQ184:BL184)), FALSE), {""charttype"",""column""; ""color"",""chartreuse""; ""ymin"", 0; ""ymax"", 1.01; ""highcolo"&amp;"r"", ""darkgreen""; ""lowcolor"", ""red""}), """")"),"")</f>
        <v/>
      </c>
      <c r="B184" s="17" t="str">
        <f t="shared" si="4"/>
        <v/>
      </c>
      <c r="C184" s="1" t="s">
        <v>3273</v>
      </c>
      <c r="D184" s="30" t="str">
        <f>IFERROR(__xludf.DUMMYFUNCTION("IFERROR(GOOGLEFINANCE(C184, ""NAME""))"),"Inventrust Properties Corp")</f>
        <v>Inventrust Properties Corp</v>
      </c>
      <c r="E184" s="30" t="s">
        <v>2751</v>
      </c>
      <c r="F184" s="33" t="str">
        <f>IFERROR(__xludf.DUMMYFUNCTION("( (GOOGLEFINANCE(C184, ""price"") - Q184) / Q184 ) / (R184 / 100)"),"Loading...")</f>
        <v>Loading...</v>
      </c>
      <c r="G184" s="20" t="str">
        <f>IFERROR(__xludf.DUMMYFUNCTION("AVERAGE(ARRAYFORMULA(100 * (QUERY(GOOGLEFINANCE(C184, ""high"", TODAY()-40, TODAY()), ""SELECT Col2 WHERE Col2 IS NOT NULL ORDER BY Col1 DESC LIMIT 20"", 0) / QUERY(GOOGLEFINANCE(C184, ""low"", TODAY()-40, TODAY()), ""SELECT Col2 WHERE Col2 IS NOT NULL OR"&amp;"DER BY Col1 DESC LIMIT 20"", 0) - 1)))"),"#N/A")</f>
        <v>#N/A</v>
      </c>
      <c r="H184" s="35" t="str">
        <f t="shared" si="6"/>
        <v>Illiquid</v>
      </c>
      <c r="I184" s="35" t="str">
        <f t="shared" si="7"/>
        <v>RVol Required</v>
      </c>
      <c r="J184" s="37">
        <f>IFERROR(__xludf.DUMMYFUNCTION("IFERROR(
  IF(C184="""",, 
    IFERROR(
      GOOGLEFINANCE(C184, ""price"") * GOOGLEFINANCE(C184, ""volumeavg""), 
      GOOGLEFINANCE(C184, ""price"") * AVERAGE(QUERY(GOOGLEFINANCE(C184, ""volume"", TODAY()-40, TODAY()), ""SELECT Col2 WHERE Col2 IS NOT "&amp;"NULL ORDER BY Col1 DESC LIMIT 20"", 0))
    )
  ), 
"""")"),2.07215377E7)</f>
        <v>20721537.7</v>
      </c>
      <c r="K184" s="21">
        <f>IFERROR(__xludf.DUMMYFUNCTION("IFERROR(GOOGLEFINANCE(C184, ""changepct"") / 100, """")"),0.0064)</f>
        <v>0.0064</v>
      </c>
      <c r="L184" s="21" t="str">
        <f>IFERROR(__xludf.DUMMYFUNCTION("IFERROR((GOOGLEFINANCE(C184, ""price"") / INDEX(GOOGLEFINANCE(C184, ""price"", TODAY()-7, TODAY()), 2, 2)) - 1, """")"),"")</f>
        <v/>
      </c>
      <c r="M184" s="21" t="str">
        <f>IFERROR(__xludf.DUMMYFUNCTION("IFERROR((GOOGLEFINANCE(C184, ""price"") / INDEX(GOOGLEFINANCE(C184, ""price"", EDATE(TODAY(), -1), TODAY()), 2, 2)) - 1, """")"),"")</f>
        <v/>
      </c>
      <c r="N184" s="21" t="str">
        <f>IFERROR(__xludf.DUMMYFUNCTION("IFERROR((GOOGLEFINANCE(C184, ""price"") / INDEX(GOOGLEFINANCE(C184, ""price"", EDATE(TODAY(), -3), TODAY()), 2, 2)) - 1, """")"),"")</f>
        <v/>
      </c>
      <c r="O184" s="21" t="str">
        <f>IFERROR(__xludf.DUMMYFUNCTION("IFERROR((GOOGLEFINANCE(C184, ""price"") / INDEX(GOOGLEFINANCE(C184, ""price"", EDATE(TODAY(), -6), TODAY()), 2, 2)) - 1, """")"),"")</f>
        <v/>
      </c>
      <c r="P184" s="21" t="str">
        <f>IFERROR(__xludf.DUMMYFUNCTION("IFERROR((GOOGLEFINANCE(C184, ""price"") / INDEX(GOOGLEFINANCE(C184, ""price"", EDATE(TODAY(), -12), TODAY()), 2, 2)) - 1, """")"),"")</f>
        <v/>
      </c>
      <c r="Q184" s="6" t="str">
        <f>IFERROR(__xludf.DUMMYFUNCTION("AVERAGE(QUERY(GOOGLEFINANCE(C184, ""price"", TODAY()-80, TODAY()), ""SELECT Col2 WHERE Col2 IS NOT NULL ORDER BY Col1 DESC LIMIT 50"", 0))"),"#N/A")</f>
        <v>#N/A</v>
      </c>
      <c r="R184" s="24" t="str">
        <f>IFERROR(__xludf.DUMMYFUNCTION("IFERROR(
  LET(
    data, QUERY(GOOGLEFINANCE(C184,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GOOGLEFINANCE(C184, ""price"")) * 100,
    IF(calc=0, G184, calc)
  ), 
G184)"),"#N/A")</f>
        <v>#N/A</v>
      </c>
      <c r="S184" s="8" t="s">
        <v>15</v>
      </c>
      <c r="T184" s="26" t="str">
        <f>IFERROR(__xludf.DUMMYFUNCTION("IFERROR(TRANSPOSE(QUERY(IFERROR(SORT(GOOGLEFINANCE(C184, ""price"", WORKDAY(TODAY(), -40), TODAY()), 1, FALSE)), ""select Col2 where Col2 is not null limit 22 label Col2 ''"", 0)), """")"),"")</f>
        <v/>
      </c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8"/>
      <c r="AO184" s="28"/>
      <c r="AP184" s="29"/>
      <c r="AQ184" s="29" t="str">
        <f t="shared" ref="AQ184:BL184" si="187">T184/T$2</f>
        <v>#N/A</v>
      </c>
      <c r="AR184" s="29" t="str">
        <f t="shared" si="187"/>
        <v>#DIV/0!</v>
      </c>
      <c r="AS184" s="29" t="str">
        <f t="shared" si="187"/>
        <v>#DIV/0!</v>
      </c>
      <c r="AT184" s="29" t="str">
        <f t="shared" si="187"/>
        <v>#DIV/0!</v>
      </c>
      <c r="AU184" s="29" t="str">
        <f t="shared" si="187"/>
        <v>#DIV/0!</v>
      </c>
      <c r="AV184" s="29" t="str">
        <f t="shared" si="187"/>
        <v>#DIV/0!</v>
      </c>
      <c r="AW184" s="29" t="str">
        <f t="shared" si="187"/>
        <v>#DIV/0!</v>
      </c>
      <c r="AX184" s="29" t="str">
        <f t="shared" si="187"/>
        <v>#DIV/0!</v>
      </c>
      <c r="AY184" s="29" t="str">
        <f t="shared" si="187"/>
        <v>#DIV/0!</v>
      </c>
      <c r="AZ184" s="29" t="str">
        <f t="shared" si="187"/>
        <v>#DIV/0!</v>
      </c>
      <c r="BA184" s="29" t="str">
        <f t="shared" si="187"/>
        <v>#DIV/0!</v>
      </c>
      <c r="BB184" s="29" t="str">
        <f t="shared" si="187"/>
        <v>#DIV/0!</v>
      </c>
      <c r="BC184" s="29" t="str">
        <f t="shared" si="187"/>
        <v>#DIV/0!</v>
      </c>
      <c r="BD184" s="29" t="str">
        <f t="shared" si="187"/>
        <v>#DIV/0!</v>
      </c>
      <c r="BE184" s="29" t="str">
        <f t="shared" si="187"/>
        <v>#DIV/0!</v>
      </c>
      <c r="BF184" s="29" t="str">
        <f t="shared" si="187"/>
        <v>#DIV/0!</v>
      </c>
      <c r="BG184" s="29" t="str">
        <f t="shared" si="187"/>
        <v>#DIV/0!</v>
      </c>
      <c r="BH184" s="29" t="str">
        <f t="shared" si="187"/>
        <v>#DIV/0!</v>
      </c>
      <c r="BI184" s="29" t="str">
        <f t="shared" si="187"/>
        <v>#DIV/0!</v>
      </c>
      <c r="BJ184" s="29" t="str">
        <f t="shared" si="187"/>
        <v>#DIV/0!</v>
      </c>
      <c r="BK184" s="29" t="str">
        <f t="shared" si="187"/>
        <v>#DIV/0!</v>
      </c>
      <c r="BL184" s="29" t="str">
        <f t="shared" si="187"/>
        <v>#DIV/0!</v>
      </c>
      <c r="BM184" s="29" t="str">
        <f t="shared" si="3"/>
        <v>#DIV/0!</v>
      </c>
    </row>
    <row r="185">
      <c r="A185" s="16" t="str">
        <f>IFERROR(__xludf.DUMMYFUNCTION("IFERROR(SPARKLINE(SORT(MAP(TRANSPOSE(AQ185:BL185), LAMBDA(val, IF(ISNUMBER(val), PERCENTRANK(AQ185:BL185, val)+0.01, 0))), SEQUENCE(COLUMNS(AQ185:BL185)), FALSE), {""charttype"",""column""; ""color"",""chartreuse""; ""ymin"", 0; ""ymax"", 1.01; ""highcolo"&amp;"r"", ""darkgreen""; ""lowcolor"", ""red""}), """")"),"")</f>
        <v/>
      </c>
      <c r="B185" s="17" t="str">
        <f t="shared" si="4"/>
        <v/>
      </c>
      <c r="C185" s="1" t="s">
        <v>3275</v>
      </c>
      <c r="D185" s="30" t="str">
        <f>IFERROR(__xludf.DUMMYFUNCTION("IFERROR(GOOGLEFINANCE(C185, ""NAME""))"),"Essential Properties Realty Trust Inc")</f>
        <v>Essential Properties Realty Trust Inc</v>
      </c>
      <c r="E185" s="30" t="s">
        <v>2751</v>
      </c>
      <c r="F185" s="33" t="str">
        <f>IFERROR(__xludf.DUMMYFUNCTION("( (GOOGLEFINANCE(C185, ""price"") - Q185) / Q185 ) / (R185 / 100)"),"Loading...")</f>
        <v>Loading...</v>
      </c>
      <c r="G185" s="20" t="str">
        <f>IFERROR(__xludf.DUMMYFUNCTION("AVERAGE(ARRAYFORMULA(100 * (QUERY(GOOGLEFINANCE(C185, ""high"", TODAY()-40, TODAY()), ""SELECT Col2 WHERE Col2 IS NOT NULL ORDER BY Col1 DESC LIMIT 20"", 0) / QUERY(GOOGLEFINANCE(C185, ""low"", TODAY()-40, TODAY()), ""SELECT Col2 WHERE Col2 IS NOT NULL OR"&amp;"DER BY Col1 DESC LIMIT 20"", 0) - 1)))"),"#N/A")</f>
        <v>#N/A</v>
      </c>
      <c r="H185" s="35" t="str">
        <f t="shared" si="6"/>
        <v>Liquid</v>
      </c>
      <c r="I185" s="35" t="str">
        <f t="shared" si="7"/>
        <v>RVol Required</v>
      </c>
      <c r="J185" s="37">
        <f>IFERROR(__xludf.DUMMYFUNCTION("IFERROR(
  IF(C185="""",, 
    IFERROR(
      GOOGLEFINANCE(C185, ""price"") * GOOGLEFINANCE(C185, ""volumeavg""), 
      GOOGLEFINANCE(C185, ""price"") * AVERAGE(QUERY(GOOGLEFINANCE(C185, ""volume"", TODAY()-40, TODAY()), ""SELECT Col2 WHERE Col2 IS NOT "&amp;"NULL ORDER BY Col1 DESC LIMIT 20"", 0))
    )
  ), 
"""")"),6.723494751E7)</f>
        <v>67234947.51</v>
      </c>
      <c r="K185" s="21">
        <f>IFERROR(__xludf.DUMMYFUNCTION("IFERROR(GOOGLEFINANCE(C185, ""changepct"") / 100, """")"),0.005)</f>
        <v>0.005</v>
      </c>
      <c r="L185" s="21" t="str">
        <f>IFERROR(__xludf.DUMMYFUNCTION("IFERROR((GOOGLEFINANCE(C185, ""price"") / INDEX(GOOGLEFINANCE(C185, ""price"", TODAY()-7, TODAY()), 2, 2)) - 1, """")"),"")</f>
        <v/>
      </c>
      <c r="M185" s="21" t="str">
        <f>IFERROR(__xludf.DUMMYFUNCTION("IFERROR((GOOGLEFINANCE(C185, ""price"") / INDEX(GOOGLEFINANCE(C185, ""price"", EDATE(TODAY(), -1), TODAY()), 2, 2)) - 1, """")"),"")</f>
        <v/>
      </c>
      <c r="N185" s="21" t="str">
        <f>IFERROR(__xludf.DUMMYFUNCTION("IFERROR((GOOGLEFINANCE(C185, ""price"") / INDEX(GOOGLEFINANCE(C185, ""price"", EDATE(TODAY(), -3), TODAY()), 2, 2)) - 1, """")"),"")</f>
        <v/>
      </c>
      <c r="O185" s="21" t="str">
        <f>IFERROR(__xludf.DUMMYFUNCTION("IFERROR((GOOGLEFINANCE(C185, ""price"") / INDEX(GOOGLEFINANCE(C185, ""price"", EDATE(TODAY(), -6), TODAY()), 2, 2)) - 1, """")"),"")</f>
        <v/>
      </c>
      <c r="P185" s="21" t="str">
        <f>IFERROR(__xludf.DUMMYFUNCTION("IFERROR((GOOGLEFINANCE(C185, ""price"") / INDEX(GOOGLEFINANCE(C185, ""price"", EDATE(TODAY(), -12), TODAY()), 2, 2)) - 1, """")"),"")</f>
        <v/>
      </c>
      <c r="Q185" s="6" t="str">
        <f>IFERROR(__xludf.DUMMYFUNCTION("AVERAGE(QUERY(GOOGLEFINANCE(C185, ""price"", TODAY()-80, TODAY()), ""SELECT Col2 WHERE Col2 IS NOT NULL ORDER BY Col1 DESC LIMIT 50"", 0))"),"#N/A")</f>
        <v>#N/A</v>
      </c>
      <c r="R185" s="24" t="str">
        <f>IFERROR(__xludf.DUMMYFUNCTION("IFERROR(
  LET(
    data, QUERY(GOOGLEFINANCE(C185,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GOOGLEFINANCE(C185, ""price"")) * 100,
    IF(calc=0, G185, calc)
  ), 
G185)"),"#N/A")</f>
        <v>#N/A</v>
      </c>
      <c r="S185" s="8" t="s">
        <v>15</v>
      </c>
      <c r="T185" s="26" t="str">
        <f>IFERROR(__xludf.DUMMYFUNCTION("IFERROR(TRANSPOSE(QUERY(IFERROR(SORT(GOOGLEFINANCE(C185, ""price"", WORKDAY(TODAY(), -40), TODAY()), 1, FALSE)), ""select Col2 where Col2 is not null limit 22 label Col2 ''"", 0)), """")"),"")</f>
        <v/>
      </c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8"/>
      <c r="AO185" s="28"/>
      <c r="AP185" s="29"/>
      <c r="AQ185" s="29" t="str">
        <f t="shared" ref="AQ185:BL185" si="188">T185/T$2</f>
        <v>#N/A</v>
      </c>
      <c r="AR185" s="29" t="str">
        <f t="shared" si="188"/>
        <v>#DIV/0!</v>
      </c>
      <c r="AS185" s="29" t="str">
        <f t="shared" si="188"/>
        <v>#DIV/0!</v>
      </c>
      <c r="AT185" s="29" t="str">
        <f t="shared" si="188"/>
        <v>#DIV/0!</v>
      </c>
      <c r="AU185" s="29" t="str">
        <f t="shared" si="188"/>
        <v>#DIV/0!</v>
      </c>
      <c r="AV185" s="29" t="str">
        <f t="shared" si="188"/>
        <v>#DIV/0!</v>
      </c>
      <c r="AW185" s="29" t="str">
        <f t="shared" si="188"/>
        <v>#DIV/0!</v>
      </c>
      <c r="AX185" s="29" t="str">
        <f t="shared" si="188"/>
        <v>#DIV/0!</v>
      </c>
      <c r="AY185" s="29" t="str">
        <f t="shared" si="188"/>
        <v>#DIV/0!</v>
      </c>
      <c r="AZ185" s="29" t="str">
        <f t="shared" si="188"/>
        <v>#DIV/0!</v>
      </c>
      <c r="BA185" s="29" t="str">
        <f t="shared" si="188"/>
        <v>#DIV/0!</v>
      </c>
      <c r="BB185" s="29" t="str">
        <f t="shared" si="188"/>
        <v>#DIV/0!</v>
      </c>
      <c r="BC185" s="29" t="str">
        <f t="shared" si="188"/>
        <v>#DIV/0!</v>
      </c>
      <c r="BD185" s="29" t="str">
        <f t="shared" si="188"/>
        <v>#DIV/0!</v>
      </c>
      <c r="BE185" s="29" t="str">
        <f t="shared" si="188"/>
        <v>#DIV/0!</v>
      </c>
      <c r="BF185" s="29" t="str">
        <f t="shared" si="188"/>
        <v>#DIV/0!</v>
      </c>
      <c r="BG185" s="29" t="str">
        <f t="shared" si="188"/>
        <v>#DIV/0!</v>
      </c>
      <c r="BH185" s="29" t="str">
        <f t="shared" si="188"/>
        <v>#DIV/0!</v>
      </c>
      <c r="BI185" s="29" t="str">
        <f t="shared" si="188"/>
        <v>#DIV/0!</v>
      </c>
      <c r="BJ185" s="29" t="str">
        <f t="shared" si="188"/>
        <v>#DIV/0!</v>
      </c>
      <c r="BK185" s="29" t="str">
        <f t="shared" si="188"/>
        <v>#DIV/0!</v>
      </c>
      <c r="BL185" s="29" t="str">
        <f t="shared" si="188"/>
        <v>#DIV/0!</v>
      </c>
      <c r="BM185" s="29" t="str">
        <f t="shared" si="3"/>
        <v>#DIV/0!</v>
      </c>
    </row>
    <row r="186">
      <c r="A186" s="16" t="str">
        <f>IFERROR(__xludf.DUMMYFUNCTION("IFERROR(SPARKLINE(SORT(MAP(TRANSPOSE(AQ186:BL186), LAMBDA(val, IF(ISNUMBER(val), PERCENTRANK(AQ186:BL186, val)+0.01, 0))), SEQUENCE(COLUMNS(AQ186:BL186)), FALSE), {""charttype"",""column""; ""color"",""chartreuse""; ""ymin"", 0; ""ymax"", 1.01; ""highcolo"&amp;"r"", ""darkgreen""; ""lowcolor"", ""red""}), """")"),"")</f>
        <v/>
      </c>
      <c r="B186" s="17" t="str">
        <f t="shared" si="4"/>
        <v/>
      </c>
      <c r="C186" s="1" t="s">
        <v>3277</v>
      </c>
      <c r="D186" s="30" t="str">
        <f>IFERROR(__xludf.DUMMYFUNCTION("IFERROR(GOOGLEFINANCE(C186, ""NAME""))"),"Four Corners Property Trust Inc")</f>
        <v>Four Corners Property Trust Inc</v>
      </c>
      <c r="E186" s="30" t="s">
        <v>2751</v>
      </c>
      <c r="F186" s="33" t="str">
        <f>IFERROR(__xludf.DUMMYFUNCTION("( (GOOGLEFINANCE(C186, ""price"") - Q186) / Q186 ) / (R186 / 100)"),"Loading...")</f>
        <v>Loading...</v>
      </c>
      <c r="G186" s="20" t="str">
        <f>IFERROR(__xludf.DUMMYFUNCTION("AVERAGE(ARRAYFORMULA(100 * (QUERY(GOOGLEFINANCE(C186, ""high"", TODAY()-40, TODAY()), ""SELECT Col2 WHERE Col2 IS NOT NULL ORDER BY Col1 DESC LIMIT 20"", 0) / QUERY(GOOGLEFINANCE(C186, ""low"", TODAY()-40, TODAY()), ""SELECT Col2 WHERE Col2 IS NOT NULL OR"&amp;"DER BY Col1 DESC LIMIT 20"", 0) - 1)))"),"#N/A")</f>
        <v>#N/A</v>
      </c>
      <c r="H186" s="35" t="str">
        <f t="shared" si="6"/>
        <v>Illiquid</v>
      </c>
      <c r="I186" s="35" t="str">
        <f t="shared" si="7"/>
        <v>RVol Required</v>
      </c>
      <c r="J186" s="37">
        <f>IFERROR(__xludf.DUMMYFUNCTION("IFERROR(
  IF(C186="""",, 
    IFERROR(
      GOOGLEFINANCE(C186, ""price"") * GOOGLEFINANCE(C186, ""volumeavg""), 
      GOOGLEFINANCE(C186, ""price"") * AVERAGE(QUERY(GOOGLEFINANCE(C186, ""volume"", TODAY()-40, TODAY()), ""SELECT Col2 WHERE Col2 IS NOT "&amp;"NULL ORDER BY Col1 DESC LIMIT 20"", 0))
    )
  ), 
"""")"),2.602437336E7)</f>
        <v>26024373.36</v>
      </c>
      <c r="K186" s="21">
        <f>IFERROR(__xludf.DUMMYFUNCTION("IFERROR(GOOGLEFINANCE(C186, ""changepct"") / 100, """")"),0.0087)</f>
        <v>0.0087</v>
      </c>
      <c r="L186" s="21" t="str">
        <f>IFERROR(__xludf.DUMMYFUNCTION("IFERROR((GOOGLEFINANCE(C186, ""price"") / INDEX(GOOGLEFINANCE(C186, ""price"", TODAY()-7, TODAY()), 2, 2)) - 1, """")"),"")</f>
        <v/>
      </c>
      <c r="M186" s="21" t="str">
        <f>IFERROR(__xludf.DUMMYFUNCTION("IFERROR((GOOGLEFINANCE(C186, ""price"") / INDEX(GOOGLEFINANCE(C186, ""price"", EDATE(TODAY(), -1), TODAY()), 2, 2)) - 1, """")"),"")</f>
        <v/>
      </c>
      <c r="N186" s="21" t="str">
        <f>IFERROR(__xludf.DUMMYFUNCTION("IFERROR((GOOGLEFINANCE(C186, ""price"") / INDEX(GOOGLEFINANCE(C186, ""price"", EDATE(TODAY(), -3), TODAY()), 2, 2)) - 1, """")"),"")</f>
        <v/>
      </c>
      <c r="O186" s="21" t="str">
        <f>IFERROR(__xludf.DUMMYFUNCTION("IFERROR((GOOGLEFINANCE(C186, ""price"") / INDEX(GOOGLEFINANCE(C186, ""price"", EDATE(TODAY(), -6), TODAY()), 2, 2)) - 1, """")"),"")</f>
        <v/>
      </c>
      <c r="P186" s="21" t="str">
        <f>IFERROR(__xludf.DUMMYFUNCTION("IFERROR((GOOGLEFINANCE(C186, ""price"") / INDEX(GOOGLEFINANCE(C186, ""price"", EDATE(TODAY(), -12), TODAY()), 2, 2)) - 1, """")"),"")</f>
        <v/>
      </c>
      <c r="Q186" s="6" t="str">
        <f>IFERROR(__xludf.DUMMYFUNCTION("AVERAGE(QUERY(GOOGLEFINANCE(C186, ""price"", TODAY()-80, TODAY()), ""SELECT Col2 WHERE Col2 IS NOT NULL ORDER BY Col1 DESC LIMIT 50"", 0))"),"#N/A")</f>
        <v>#N/A</v>
      </c>
      <c r="R186" s="24" t="str">
        <f>IFERROR(__xludf.DUMMYFUNCTION("IFERROR(
  LET(
    data, QUERY(GOOGLEFINANCE(C186,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GOOGLEFINANCE(C186, ""price"")) * 100,
    IF(calc=0, G186, calc)
  ), 
G186)"),"#N/A")</f>
        <v>#N/A</v>
      </c>
      <c r="S186" s="8" t="s">
        <v>15</v>
      </c>
      <c r="T186" s="26" t="str">
        <f>IFERROR(__xludf.DUMMYFUNCTION("IFERROR(TRANSPOSE(QUERY(IFERROR(SORT(GOOGLEFINANCE(C186, ""price"", WORKDAY(TODAY(), -40), TODAY()), 1, FALSE)), ""select Col2 where Col2 is not null limit 22 label Col2 ''"", 0)), """")"),"")</f>
        <v/>
      </c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8"/>
      <c r="AO186" s="28"/>
      <c r="AP186" s="29"/>
      <c r="AQ186" s="29" t="str">
        <f t="shared" ref="AQ186:BL186" si="189">T186/T$2</f>
        <v>#N/A</v>
      </c>
      <c r="AR186" s="29" t="str">
        <f t="shared" si="189"/>
        <v>#DIV/0!</v>
      </c>
      <c r="AS186" s="29" t="str">
        <f t="shared" si="189"/>
        <v>#DIV/0!</v>
      </c>
      <c r="AT186" s="29" t="str">
        <f t="shared" si="189"/>
        <v>#DIV/0!</v>
      </c>
      <c r="AU186" s="29" t="str">
        <f t="shared" si="189"/>
        <v>#DIV/0!</v>
      </c>
      <c r="AV186" s="29" t="str">
        <f t="shared" si="189"/>
        <v>#DIV/0!</v>
      </c>
      <c r="AW186" s="29" t="str">
        <f t="shared" si="189"/>
        <v>#DIV/0!</v>
      </c>
      <c r="AX186" s="29" t="str">
        <f t="shared" si="189"/>
        <v>#DIV/0!</v>
      </c>
      <c r="AY186" s="29" t="str">
        <f t="shared" si="189"/>
        <v>#DIV/0!</v>
      </c>
      <c r="AZ186" s="29" t="str">
        <f t="shared" si="189"/>
        <v>#DIV/0!</v>
      </c>
      <c r="BA186" s="29" t="str">
        <f t="shared" si="189"/>
        <v>#DIV/0!</v>
      </c>
      <c r="BB186" s="29" t="str">
        <f t="shared" si="189"/>
        <v>#DIV/0!</v>
      </c>
      <c r="BC186" s="29" t="str">
        <f t="shared" si="189"/>
        <v>#DIV/0!</v>
      </c>
      <c r="BD186" s="29" t="str">
        <f t="shared" si="189"/>
        <v>#DIV/0!</v>
      </c>
      <c r="BE186" s="29" t="str">
        <f t="shared" si="189"/>
        <v>#DIV/0!</v>
      </c>
      <c r="BF186" s="29" t="str">
        <f t="shared" si="189"/>
        <v>#DIV/0!</v>
      </c>
      <c r="BG186" s="29" t="str">
        <f t="shared" si="189"/>
        <v>#DIV/0!</v>
      </c>
      <c r="BH186" s="29" t="str">
        <f t="shared" si="189"/>
        <v>#DIV/0!</v>
      </c>
      <c r="BI186" s="29" t="str">
        <f t="shared" si="189"/>
        <v>#DIV/0!</v>
      </c>
      <c r="BJ186" s="29" t="str">
        <f t="shared" si="189"/>
        <v>#DIV/0!</v>
      </c>
      <c r="BK186" s="29" t="str">
        <f t="shared" si="189"/>
        <v>#DIV/0!</v>
      </c>
      <c r="BL186" s="29" t="str">
        <f t="shared" si="189"/>
        <v>#DIV/0!</v>
      </c>
      <c r="BM186" s="29" t="str">
        <f t="shared" si="3"/>
        <v>#DIV/0!</v>
      </c>
    </row>
    <row r="187">
      <c r="A187" s="16" t="str">
        <f>IFERROR(__xludf.DUMMYFUNCTION("IFERROR(SPARKLINE(SORT(MAP(TRANSPOSE(AQ187:BL187), LAMBDA(val, IF(ISNUMBER(val), PERCENTRANK(AQ187:BL187, val)+0.01, 0))), SEQUENCE(COLUMNS(AQ187:BL187)), FALSE), {""charttype"",""column""; ""color"",""chartreuse""; ""ymin"", 0; ""ymax"", 1.01; ""highcolo"&amp;"r"", ""darkgreen""; ""lowcolor"", ""red""}), """")"),"")</f>
        <v/>
      </c>
      <c r="B187" s="17" t="str">
        <f t="shared" si="4"/>
        <v/>
      </c>
      <c r="C187" s="1" t="s">
        <v>3280</v>
      </c>
      <c r="D187" s="30" t="str">
        <f>IFERROR(__xludf.DUMMYFUNCTION("IFERROR(GOOGLEFINANCE(C187, ""NAME""))"),"Farmland Partners Inc")</f>
        <v>Farmland Partners Inc</v>
      </c>
      <c r="E187" s="30" t="s">
        <v>2709</v>
      </c>
      <c r="F187" s="33" t="str">
        <f>IFERROR(__xludf.DUMMYFUNCTION("( (GOOGLEFINANCE(C187, ""price"") - Q187) / Q187 ) / (R187 / 100)"),"Loading...")</f>
        <v>Loading...</v>
      </c>
      <c r="G187" s="20" t="str">
        <f>IFERROR(__xludf.DUMMYFUNCTION("AVERAGE(ARRAYFORMULA(100 * (QUERY(GOOGLEFINANCE(C187, ""high"", TODAY()-40, TODAY()), ""SELECT Col2 WHERE Col2 IS NOT NULL ORDER BY Col1 DESC LIMIT 20"", 0) / QUERY(GOOGLEFINANCE(C187, ""low"", TODAY()-40, TODAY()), ""SELECT Col2 WHERE Col2 IS NOT NULL OR"&amp;"DER BY Col1 DESC LIMIT 20"", 0) - 1)))"),"#N/A")</f>
        <v>#N/A</v>
      </c>
      <c r="H187" s="35" t="str">
        <f t="shared" si="6"/>
        <v>Illiquid</v>
      </c>
      <c r="I187" s="35" t="str">
        <f t="shared" si="7"/>
        <v>RVol Required</v>
      </c>
      <c r="J187" s="37">
        <f>IFERROR(__xludf.DUMMYFUNCTION("IFERROR(
  IF(C187="""",, 
    IFERROR(
      GOOGLEFINANCE(C187, ""price"") * GOOGLEFINANCE(C187, ""volumeavg""), 
      GOOGLEFINANCE(C187, ""price"") * AVERAGE(QUERY(GOOGLEFINANCE(C187, ""volume"", TODAY()-40, TODAY()), ""SELECT Col2 WHERE Col2 IS NOT "&amp;"NULL ORDER BY Col1 DESC LIMIT 20"", 0))
    )
  ), 
"""")"),7328276.1)</f>
        <v>7328276.1</v>
      </c>
      <c r="K187" s="21">
        <f>IFERROR(__xludf.DUMMYFUNCTION("IFERROR(GOOGLEFINANCE(C187, ""changepct"") / 100, """")"),-0.019)</f>
        <v>-0.019</v>
      </c>
      <c r="L187" s="21" t="str">
        <f>IFERROR(__xludf.DUMMYFUNCTION("IFERROR((GOOGLEFINANCE(C187, ""price"") / INDEX(GOOGLEFINANCE(C187, ""price"", TODAY()-7, TODAY()), 2, 2)) - 1, """")"),"")</f>
        <v/>
      </c>
      <c r="M187" s="21" t="str">
        <f>IFERROR(__xludf.DUMMYFUNCTION("IFERROR((GOOGLEFINANCE(C187, ""price"") / INDEX(GOOGLEFINANCE(C187, ""price"", EDATE(TODAY(), -1), TODAY()), 2, 2)) - 1, """")"),"")</f>
        <v/>
      </c>
      <c r="N187" s="21" t="str">
        <f>IFERROR(__xludf.DUMMYFUNCTION("IFERROR((GOOGLEFINANCE(C187, ""price"") / INDEX(GOOGLEFINANCE(C187, ""price"", EDATE(TODAY(), -3), TODAY()), 2, 2)) - 1, """")"),"")</f>
        <v/>
      </c>
      <c r="O187" s="21" t="str">
        <f>IFERROR(__xludf.DUMMYFUNCTION("IFERROR((GOOGLEFINANCE(C187, ""price"") / INDEX(GOOGLEFINANCE(C187, ""price"", EDATE(TODAY(), -6), TODAY()), 2, 2)) - 1, """")"),"")</f>
        <v/>
      </c>
      <c r="P187" s="21" t="str">
        <f>IFERROR(__xludf.DUMMYFUNCTION("IFERROR((GOOGLEFINANCE(C187, ""price"") / INDEX(GOOGLEFINANCE(C187, ""price"", EDATE(TODAY(), -12), TODAY()), 2, 2)) - 1, """")"),"")</f>
        <v/>
      </c>
      <c r="Q187" s="6" t="str">
        <f>IFERROR(__xludf.DUMMYFUNCTION("AVERAGE(QUERY(GOOGLEFINANCE(C187, ""price"", TODAY()-80, TODAY()), ""SELECT Col2 WHERE Col2 IS NOT NULL ORDER BY Col1 DESC LIMIT 50"", 0))"),"#N/A")</f>
        <v>#N/A</v>
      </c>
      <c r="R187" s="24" t="str">
        <f>IFERROR(__xludf.DUMMYFUNCTION("IFERROR(
  LET(
    data, QUERY(GOOGLEFINANCE(C187,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GOOGLEFINANCE(C187, ""price"")) * 100,
    IF(calc=0, G187, calc)
  ), 
G187)"),"#N/A")</f>
        <v>#N/A</v>
      </c>
      <c r="S187" s="8" t="s">
        <v>15</v>
      </c>
      <c r="T187" s="26" t="str">
        <f>IFERROR(__xludf.DUMMYFUNCTION("IFERROR(TRANSPOSE(QUERY(IFERROR(SORT(GOOGLEFINANCE(C187, ""price"", WORKDAY(TODAY(), -40), TODAY()), 1, FALSE)), ""select Col2 where Col2 is not null limit 22 label Col2 ''"", 0)), """")"),"")</f>
        <v/>
      </c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8"/>
      <c r="AO187" s="28"/>
      <c r="AP187" s="29"/>
      <c r="AQ187" s="29" t="str">
        <f t="shared" ref="AQ187:BL187" si="190">T187/T$2</f>
        <v>#N/A</v>
      </c>
      <c r="AR187" s="29" t="str">
        <f t="shared" si="190"/>
        <v>#DIV/0!</v>
      </c>
      <c r="AS187" s="29" t="str">
        <f t="shared" si="190"/>
        <v>#DIV/0!</v>
      </c>
      <c r="AT187" s="29" t="str">
        <f t="shared" si="190"/>
        <v>#DIV/0!</v>
      </c>
      <c r="AU187" s="29" t="str">
        <f t="shared" si="190"/>
        <v>#DIV/0!</v>
      </c>
      <c r="AV187" s="29" t="str">
        <f t="shared" si="190"/>
        <v>#DIV/0!</v>
      </c>
      <c r="AW187" s="29" t="str">
        <f t="shared" si="190"/>
        <v>#DIV/0!</v>
      </c>
      <c r="AX187" s="29" t="str">
        <f t="shared" si="190"/>
        <v>#DIV/0!</v>
      </c>
      <c r="AY187" s="29" t="str">
        <f t="shared" si="190"/>
        <v>#DIV/0!</v>
      </c>
      <c r="AZ187" s="29" t="str">
        <f t="shared" si="190"/>
        <v>#DIV/0!</v>
      </c>
      <c r="BA187" s="29" t="str">
        <f t="shared" si="190"/>
        <v>#DIV/0!</v>
      </c>
      <c r="BB187" s="29" t="str">
        <f t="shared" si="190"/>
        <v>#DIV/0!</v>
      </c>
      <c r="BC187" s="29" t="str">
        <f t="shared" si="190"/>
        <v>#DIV/0!</v>
      </c>
      <c r="BD187" s="29" t="str">
        <f t="shared" si="190"/>
        <v>#DIV/0!</v>
      </c>
      <c r="BE187" s="29" t="str">
        <f t="shared" si="190"/>
        <v>#DIV/0!</v>
      </c>
      <c r="BF187" s="29" t="str">
        <f t="shared" si="190"/>
        <v>#DIV/0!</v>
      </c>
      <c r="BG187" s="29" t="str">
        <f t="shared" si="190"/>
        <v>#DIV/0!</v>
      </c>
      <c r="BH187" s="29" t="str">
        <f t="shared" si="190"/>
        <v>#DIV/0!</v>
      </c>
      <c r="BI187" s="29" t="str">
        <f t="shared" si="190"/>
        <v>#DIV/0!</v>
      </c>
      <c r="BJ187" s="29" t="str">
        <f t="shared" si="190"/>
        <v>#DIV/0!</v>
      </c>
      <c r="BK187" s="29" t="str">
        <f t="shared" si="190"/>
        <v>#DIV/0!</v>
      </c>
      <c r="BL187" s="29" t="str">
        <f t="shared" si="190"/>
        <v>#DIV/0!</v>
      </c>
      <c r="BM187" s="29" t="str">
        <f t="shared" si="3"/>
        <v>#DIV/0!</v>
      </c>
    </row>
    <row r="188">
      <c r="A188" s="16" t="str">
        <f>IFERROR(__xludf.DUMMYFUNCTION("IFERROR(SPARKLINE(SORT(MAP(TRANSPOSE(AQ188:BL188), LAMBDA(val, IF(ISNUMBER(val), PERCENTRANK(AQ188:BL188, val)+0.01, 0))), SEQUENCE(COLUMNS(AQ188:BL188)), FALSE), {""charttype"",""column""; ""color"",""chartreuse""; ""ymin"", 0; ""ymax"", 1.01; ""highcolo"&amp;"r"", ""darkgreen""; ""lowcolor"", ""red""}), """")"),"")</f>
        <v/>
      </c>
      <c r="B188" s="17" t="str">
        <f t="shared" si="4"/>
        <v/>
      </c>
      <c r="C188" s="1" t="s">
        <v>3282</v>
      </c>
      <c r="D188" s="30" t="str">
        <f>IFERROR(__xludf.DUMMYFUNCTION("IFERROR(GOOGLEFINANCE(C188, ""NAME""))"),"SBA Communications Corp")</f>
        <v>SBA Communications Corp</v>
      </c>
      <c r="E188" s="30" t="s">
        <v>2709</v>
      </c>
      <c r="F188" s="33" t="str">
        <f>IFERROR(__xludf.DUMMYFUNCTION("( (GOOGLEFINANCE(C188, ""price"") - Q188) / Q188 ) / (R188 / 100)"),"Loading...")</f>
        <v>Loading...</v>
      </c>
      <c r="G188" s="20" t="str">
        <f>IFERROR(__xludf.DUMMYFUNCTION("AVERAGE(ARRAYFORMULA(100 * (QUERY(GOOGLEFINANCE(C188, ""high"", TODAY()-40, TODAY()), ""SELECT Col2 WHERE Col2 IS NOT NULL ORDER BY Col1 DESC LIMIT 20"", 0) / QUERY(GOOGLEFINANCE(C188, ""low"", TODAY()-40, TODAY()), ""SELECT Col2 WHERE Col2 IS NOT NULL OR"&amp;"DER BY Col1 DESC LIMIT 20"", 0) - 1)))"),"#N/A")</f>
        <v>#N/A</v>
      </c>
      <c r="H188" s="35" t="str">
        <f t="shared" si="6"/>
        <v>Liquid</v>
      </c>
      <c r="I188" s="35" t="str">
        <f t="shared" si="7"/>
        <v>RVol Required</v>
      </c>
      <c r="J188" s="37">
        <f>IFERROR(__xludf.DUMMYFUNCTION("IFERROR(
  IF(C188="""",, 
    IFERROR(
      GOOGLEFINANCE(C188, ""price"") * GOOGLEFINANCE(C188, ""volumeavg""), 
      GOOGLEFINANCE(C188, ""price"") * AVERAGE(QUERY(GOOGLEFINANCE(C188, ""volume"", TODAY()-40, TODAY()), ""SELECT Col2 WHERE Col2 IS NOT "&amp;"NULL ORDER BY Col1 DESC LIMIT 20"", 0))
    )
  ), 
"""")"),1.8892667174E8)</f>
        <v>188926671.7</v>
      </c>
      <c r="K188" s="21">
        <f>IFERROR(__xludf.DUMMYFUNCTION("IFERROR(GOOGLEFINANCE(C188, ""changepct"") / 100, """")"),0.0182)</f>
        <v>0.0182</v>
      </c>
      <c r="L188" s="21" t="str">
        <f>IFERROR(__xludf.DUMMYFUNCTION("IFERROR((GOOGLEFINANCE(C188, ""price"") / INDEX(GOOGLEFINANCE(C188, ""price"", TODAY()-7, TODAY()), 2, 2)) - 1, """")"),"")</f>
        <v/>
      </c>
      <c r="M188" s="21" t="str">
        <f>IFERROR(__xludf.DUMMYFUNCTION("IFERROR((GOOGLEFINANCE(C188, ""price"") / INDEX(GOOGLEFINANCE(C188, ""price"", EDATE(TODAY(), -1), TODAY()), 2, 2)) - 1, """")"),"")</f>
        <v/>
      </c>
      <c r="N188" s="21" t="str">
        <f>IFERROR(__xludf.DUMMYFUNCTION("IFERROR((GOOGLEFINANCE(C188, ""price"") / INDEX(GOOGLEFINANCE(C188, ""price"", EDATE(TODAY(), -3), TODAY()), 2, 2)) - 1, """")"),"")</f>
        <v/>
      </c>
      <c r="O188" s="21" t="str">
        <f>IFERROR(__xludf.DUMMYFUNCTION("IFERROR((GOOGLEFINANCE(C188, ""price"") / INDEX(GOOGLEFINANCE(C188, ""price"", EDATE(TODAY(), -6), TODAY()), 2, 2)) - 1, """")"),"")</f>
        <v/>
      </c>
      <c r="P188" s="21" t="str">
        <f>IFERROR(__xludf.DUMMYFUNCTION("IFERROR((GOOGLEFINANCE(C188, ""price"") / INDEX(GOOGLEFINANCE(C188, ""price"", EDATE(TODAY(), -12), TODAY()), 2, 2)) - 1, """")"),"")</f>
        <v/>
      </c>
      <c r="Q188" s="6" t="str">
        <f>IFERROR(__xludf.DUMMYFUNCTION("AVERAGE(QUERY(GOOGLEFINANCE(C188, ""price"", TODAY()-80, TODAY()), ""SELECT Col2 WHERE Col2 IS NOT NULL ORDER BY Col1 DESC LIMIT 50"", 0))"),"#N/A")</f>
        <v>#N/A</v>
      </c>
      <c r="R188" s="24" t="str">
        <f>IFERROR(__xludf.DUMMYFUNCTION("IFERROR(
  LET(
    data, QUERY(GOOGLEFINANCE(C188,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GOOGLEFINANCE(C188, ""price"")) * 100,
    IF(calc=0, G188, calc)
  ), 
G188)"),"#N/A")</f>
        <v>#N/A</v>
      </c>
      <c r="S188" s="8" t="s">
        <v>15</v>
      </c>
      <c r="T188" s="26" t="str">
        <f>IFERROR(__xludf.DUMMYFUNCTION("IFERROR(TRANSPOSE(QUERY(IFERROR(SORT(GOOGLEFINANCE(C188, ""price"", WORKDAY(TODAY(), -40), TODAY()), 1, FALSE)), ""select Col2 where Col2 is not null limit 22 label Col2 ''"", 0)), """")"),"")</f>
        <v/>
      </c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8"/>
      <c r="AO188" s="28"/>
      <c r="AP188" s="29"/>
      <c r="AQ188" s="29" t="str">
        <f t="shared" ref="AQ188:BL188" si="191">T188/T$2</f>
        <v>#N/A</v>
      </c>
      <c r="AR188" s="29" t="str">
        <f t="shared" si="191"/>
        <v>#DIV/0!</v>
      </c>
      <c r="AS188" s="29" t="str">
        <f t="shared" si="191"/>
        <v>#DIV/0!</v>
      </c>
      <c r="AT188" s="29" t="str">
        <f t="shared" si="191"/>
        <v>#DIV/0!</v>
      </c>
      <c r="AU188" s="29" t="str">
        <f t="shared" si="191"/>
        <v>#DIV/0!</v>
      </c>
      <c r="AV188" s="29" t="str">
        <f t="shared" si="191"/>
        <v>#DIV/0!</v>
      </c>
      <c r="AW188" s="29" t="str">
        <f t="shared" si="191"/>
        <v>#DIV/0!</v>
      </c>
      <c r="AX188" s="29" t="str">
        <f t="shared" si="191"/>
        <v>#DIV/0!</v>
      </c>
      <c r="AY188" s="29" t="str">
        <f t="shared" si="191"/>
        <v>#DIV/0!</v>
      </c>
      <c r="AZ188" s="29" t="str">
        <f t="shared" si="191"/>
        <v>#DIV/0!</v>
      </c>
      <c r="BA188" s="29" t="str">
        <f t="shared" si="191"/>
        <v>#DIV/0!</v>
      </c>
      <c r="BB188" s="29" t="str">
        <f t="shared" si="191"/>
        <v>#DIV/0!</v>
      </c>
      <c r="BC188" s="29" t="str">
        <f t="shared" si="191"/>
        <v>#DIV/0!</v>
      </c>
      <c r="BD188" s="29" t="str">
        <f t="shared" si="191"/>
        <v>#DIV/0!</v>
      </c>
      <c r="BE188" s="29" t="str">
        <f t="shared" si="191"/>
        <v>#DIV/0!</v>
      </c>
      <c r="BF188" s="29" t="str">
        <f t="shared" si="191"/>
        <v>#DIV/0!</v>
      </c>
      <c r="BG188" s="29" t="str">
        <f t="shared" si="191"/>
        <v>#DIV/0!</v>
      </c>
      <c r="BH188" s="29" t="str">
        <f t="shared" si="191"/>
        <v>#DIV/0!</v>
      </c>
      <c r="BI188" s="29" t="str">
        <f t="shared" si="191"/>
        <v>#DIV/0!</v>
      </c>
      <c r="BJ188" s="29" t="str">
        <f t="shared" si="191"/>
        <v>#DIV/0!</v>
      </c>
      <c r="BK188" s="29" t="str">
        <f t="shared" si="191"/>
        <v>#DIV/0!</v>
      </c>
      <c r="BL188" s="29" t="str">
        <f t="shared" si="191"/>
        <v>#DIV/0!</v>
      </c>
      <c r="BM188" s="29" t="str">
        <f t="shared" si="3"/>
        <v>#DIV/0!</v>
      </c>
    </row>
  </sheetData>
  <mergeCells count="5">
    <mergeCell ref="E1:E3"/>
    <mergeCell ref="G1:G3"/>
    <mergeCell ref="H1:H3"/>
    <mergeCell ref="I1:I3"/>
    <mergeCell ref="J1:J3"/>
  </mergeCells>
  <conditionalFormatting sqref="H4:H188">
    <cfRule type="cellIs" dxfId="8" priority="1" operator="equal">
      <formula>"Liquid"</formula>
    </cfRule>
  </conditionalFormatting>
  <conditionalFormatting sqref="I4:I188">
    <cfRule type="containsText" dxfId="8" priority="2" operator="containsText" text="No">
      <formula>NOT(ISERROR(SEARCH(("No"),(I4))))</formula>
    </cfRule>
  </conditionalFormatting>
  <conditionalFormatting sqref="K1:P188">
    <cfRule type="cellIs" dxfId="0" priority="3" operator="lessThan">
      <formula>0</formula>
    </cfRule>
  </conditionalFormatting>
  <conditionalFormatting sqref="A1:BM188">
    <cfRule type="containsBlanks" dxfId="1" priority="4">
      <formula>LEN(TRIM(A1))=0</formula>
    </cfRule>
  </conditionalFormatting>
  <conditionalFormatting sqref="C1:C188">
    <cfRule type="expression" dxfId="2" priority="5">
      <formula>COUNTIF($C:$C, C1) &gt; 1</formula>
    </cfRule>
  </conditionalFormatting>
  <conditionalFormatting sqref="F1:F188">
    <cfRule type="cellIs" dxfId="3" priority="6" operator="greaterThanOrEqual">
      <formula>8</formula>
    </cfRule>
  </conditionalFormatting>
  <conditionalFormatting sqref="F1:F188">
    <cfRule type="cellIs" dxfId="4" priority="7" operator="greaterThanOrEqual">
      <formula>5</formula>
    </cfRule>
  </conditionalFormatting>
  <conditionalFormatting sqref="F1:F188">
    <cfRule type="cellIs" dxfId="5" priority="8" operator="between">
      <formula>5</formula>
      <formula>-1</formula>
    </cfRule>
  </conditionalFormatting>
  <conditionalFormatting sqref="F1:F188">
    <cfRule type="cellIs" dxfId="6" priority="9" operator="lessThan">
      <formula>-5</formula>
    </cfRule>
  </conditionalFormatting>
  <conditionalFormatting sqref="G1:H188">
    <cfRule type="cellIs" dxfId="7" priority="10" operator="greaterThanOrEqual">
      <formula>4</formula>
    </cfRule>
  </conditionalFormatting>
  <conditionalFormatting sqref="F1:F188">
    <cfRule type="cellIs" dxfId="9" priority="11" operator="lessThan">
      <formula>-1</formula>
    </cfRule>
  </conditionalFormatting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2.13"/>
    <col customWidth="1" min="2" max="2" width="9.13"/>
    <col customWidth="1" min="3" max="3" width="8.25"/>
    <col customWidth="1" min="4" max="4" width="37.25"/>
    <col customWidth="1" min="5" max="5" width="26.5"/>
    <col customWidth="1" min="6" max="6" width="11.25"/>
    <col customWidth="1" min="7" max="7" width="8.25"/>
    <col customWidth="1" min="8" max="8" width="6.75"/>
    <col customWidth="1" min="9" max="9" width="14.75"/>
    <col customWidth="1" min="10" max="10" width="13.63"/>
    <col customWidth="1" min="11" max="11" width="6.63"/>
    <col customWidth="1" min="12" max="12" width="7.13"/>
    <col customWidth="1" min="13" max="13" width="7.38"/>
    <col customWidth="1" min="14" max="14" width="7.63"/>
    <col customWidth="1" min="15" max="15" width="8.0"/>
    <col customWidth="1" min="16" max="16" width="8.75"/>
    <col customWidth="1" min="17" max="17" width="9.38"/>
    <col customWidth="1" min="18" max="18" width="8.63"/>
    <col customWidth="1" min="19" max="19" width="1.63"/>
    <col customWidth="1" min="20" max="20" width="9.25"/>
    <col customWidth="1" min="21" max="22" width="10.75"/>
    <col customWidth="1" min="23" max="23" width="10.88"/>
    <col customWidth="1" min="24" max="24" width="10.75"/>
    <col customWidth="1" min="25" max="25" width="10.88"/>
    <col customWidth="1" min="26" max="26" width="10.75"/>
    <col customWidth="1" min="27" max="28" width="10.88"/>
    <col customWidth="1" min="29" max="29" width="11.5"/>
    <col customWidth="1" min="30" max="30" width="11.0"/>
    <col customWidth="1" min="31" max="32" width="11.25"/>
    <col customWidth="1" min="33" max="33" width="11.5"/>
    <col customWidth="1" min="34" max="38" width="11.38"/>
    <col customWidth="1" min="39" max="39" width="11.75"/>
    <col customWidth="1" min="40" max="40" width="11.38"/>
    <col customWidth="1" min="41" max="41" width="11.63"/>
    <col customWidth="1" min="42" max="42" width="14.5"/>
    <col customWidth="1" min="43" max="64" width="5.5"/>
    <col customWidth="1" min="65" max="65" width="5.3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5" t="s">
        <v>5</v>
      </c>
      <c r="F1" s="3" t="s">
        <v>4</v>
      </c>
      <c r="G1" s="43" t="s">
        <v>6</v>
      </c>
      <c r="H1" s="44" t="s">
        <v>17</v>
      </c>
      <c r="I1" s="44" t="s">
        <v>19</v>
      </c>
      <c r="J1" s="44" t="s">
        <v>23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6" t="s">
        <v>13</v>
      </c>
      <c r="R1" s="7" t="s">
        <v>14</v>
      </c>
      <c r="S1" s="8" t="s">
        <v>15</v>
      </c>
      <c r="T1" s="10" t="s">
        <v>16</v>
      </c>
      <c r="U1" s="11" t="s">
        <v>18</v>
      </c>
      <c r="V1" s="12" t="s">
        <v>20</v>
      </c>
      <c r="W1" s="11" t="s">
        <v>21</v>
      </c>
      <c r="X1" s="12" t="s">
        <v>22</v>
      </c>
      <c r="Y1" s="11" t="s">
        <v>24</v>
      </c>
      <c r="Z1" s="11" t="s">
        <v>25</v>
      </c>
      <c r="AA1" s="12" t="s">
        <v>26</v>
      </c>
      <c r="AB1" s="11" t="s">
        <v>27</v>
      </c>
      <c r="AC1" s="12" t="s">
        <v>28</v>
      </c>
      <c r="AD1" s="11" t="s">
        <v>29</v>
      </c>
      <c r="AE1" s="11" t="s">
        <v>30</v>
      </c>
      <c r="AF1" s="12" t="s">
        <v>31</v>
      </c>
      <c r="AG1" s="11" t="s">
        <v>32</v>
      </c>
      <c r="AH1" s="12" t="s">
        <v>33</v>
      </c>
      <c r="AI1" s="11" t="s">
        <v>34</v>
      </c>
      <c r="AJ1" s="11" t="s">
        <v>35</v>
      </c>
      <c r="AK1" s="12" t="s">
        <v>36</v>
      </c>
      <c r="AL1" s="11" t="s">
        <v>37</v>
      </c>
      <c r="AM1" s="12" t="s">
        <v>38</v>
      </c>
      <c r="AN1" s="11" t="s">
        <v>39</v>
      </c>
      <c r="AO1" s="11" t="s">
        <v>40</v>
      </c>
      <c r="AP1" s="13"/>
      <c r="AQ1" s="14">
        <v>1.0</v>
      </c>
      <c r="AR1" s="14">
        <v>2.0</v>
      </c>
      <c r="AS1" s="14">
        <v>3.0</v>
      </c>
      <c r="AT1" s="14">
        <v>4.0</v>
      </c>
      <c r="AU1" s="14">
        <v>5.0</v>
      </c>
      <c r="AV1" s="14">
        <v>6.0</v>
      </c>
      <c r="AW1" s="14">
        <v>7.0</v>
      </c>
      <c r="AX1" s="14">
        <v>8.0</v>
      </c>
      <c r="AY1" s="14">
        <v>9.0</v>
      </c>
      <c r="AZ1" s="14">
        <v>10.0</v>
      </c>
      <c r="BA1" s="14">
        <v>11.0</v>
      </c>
      <c r="BB1" s="14">
        <v>12.0</v>
      </c>
      <c r="BC1" s="14">
        <v>13.0</v>
      </c>
      <c r="BD1" s="14">
        <v>14.0</v>
      </c>
      <c r="BE1" s="14">
        <v>15.0</v>
      </c>
      <c r="BF1" s="14">
        <v>16.0</v>
      </c>
      <c r="BG1" s="14">
        <v>17.0</v>
      </c>
      <c r="BH1" s="14">
        <v>18.0</v>
      </c>
      <c r="BI1" s="14">
        <v>19.0</v>
      </c>
      <c r="BJ1" s="14">
        <v>20.0</v>
      </c>
      <c r="BK1" s="14">
        <v>21.0</v>
      </c>
      <c r="BL1" s="14">
        <v>22.0</v>
      </c>
      <c r="BM1" s="14" t="s">
        <v>41</v>
      </c>
    </row>
    <row r="2">
      <c r="A2" s="16" t="str">
        <f>IFERROR(__xludf.DUMMYFUNCTION("SPARKLINE(SORT(MAP(TRANSPOSE(AQ2:BL2), LAMBDA(val, PERCENTRANK(AQ2:BL2, val)+0.01)), SEQUENCE(COLUMNS(AQ2:BL2)), FALSE), {""charttype"",""column""; ""color"",""chartreuse""; ""ymin"", 0; ""ymax"", 1.01; ""highcolor"", ""darkgreen""; ""lowcolor"", ""red""}"&amp;")"),"#N/A")</f>
        <v>#N/A</v>
      </c>
      <c r="B2" s="17">
        <f>IF(C2="SPY", 1, PERCENTRANK(AQ2:BL2, AQ2))</f>
        <v>1</v>
      </c>
      <c r="C2" s="1" t="s">
        <v>42</v>
      </c>
      <c r="D2" s="18" t="str">
        <f>IFERROR(__xludf.DUMMYFUNCTION("IFERROR(GOOGLEFINANCE(C2, ""NAME""))"),"State Street SPDR S&amp;P 500 ETF Trust")</f>
        <v>State Street SPDR S&amp;P 500 ETF Trust</v>
      </c>
      <c r="E2" s="22"/>
      <c r="F2" s="19" t="str">
        <f>IFERROR(__xludf.DUMMYFUNCTION("( (GOOGLEFINANCE(C2, ""price"") - Q2) / Q2 ) / (R2 / 100)"),"Loading...")</f>
        <v>Loading...</v>
      </c>
      <c r="G2" s="22"/>
      <c r="H2" s="22"/>
      <c r="I2" s="22"/>
      <c r="J2" s="22"/>
      <c r="K2" s="21">
        <f>IFERROR(__xludf.DUMMYFUNCTION("IFERROR(GOOGLEFINANCE(C2, ""changepct"") / 100, """")"),-0.0111)</f>
        <v>-0.0111</v>
      </c>
      <c r="L2" s="21" t="str">
        <f>IFERROR(__xludf.DUMMYFUNCTION("IFERROR((GOOGLEFINANCE(C2, ""price"") / INDEX(GOOGLEFINANCE(C2, ""price"", TODAY()-7, TODAY()), 2, 2)) - 1, """")"),"")</f>
        <v/>
      </c>
      <c r="M2" s="21" t="str">
        <f>IFERROR(__xludf.DUMMYFUNCTION("IFERROR((GOOGLEFINANCE(C2, ""price"") / INDEX(GOOGLEFINANCE(C2, ""price"", EDATE(TODAY(), -1), TODAY()), 2, 2)) - 1, """")"),"")</f>
        <v/>
      </c>
      <c r="N2" s="21" t="str">
        <f>IFERROR(__xludf.DUMMYFUNCTION("IFERROR((GOOGLEFINANCE(C2, ""price"") / INDEX(GOOGLEFINANCE(C2, ""price"", EDATE(TODAY(), -3), TODAY()), 2, 2)) - 1, """")"),"")</f>
        <v/>
      </c>
      <c r="O2" s="21" t="str">
        <f>IFERROR(__xludf.DUMMYFUNCTION("IFERROR((GOOGLEFINANCE(C2, ""price"") / INDEX(GOOGLEFINANCE(C2, ""price"", EDATE(TODAY(), -6), TODAY()), 2, 2)) - 1, """")"),"")</f>
        <v/>
      </c>
      <c r="P2" s="21" t="str">
        <f>IFERROR(__xludf.DUMMYFUNCTION("IFERROR((GOOGLEFINANCE(C2, ""price"") / INDEX(GOOGLEFINANCE(C2, ""price"", EDATE(TODAY(), -12), TODAY()), 2, 2)) - 1, """")"),"")</f>
        <v/>
      </c>
      <c r="Q2" s="23" t="str">
        <f>IFERROR(__xludf.DUMMYFUNCTION("AVERAGE(QUERY(GOOGLEFINANCE(C2, ""price"", TODAY()-80, TODAY()), ""SELECT Col2 WHERE Col2 IS NOT NULL ORDER BY Col1 DESC LIMIT 50"", 0))"),"#N/A")</f>
        <v>#N/A</v>
      </c>
      <c r="R2" s="24" t="str">
        <f>IFERROR(__xludf.DUMMYFUNCTION("IFERROR(
  LET(
    data, QUERY(GOOGLEFINANCE(C2,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GOOGLEFINANCE(C2, ""price"")) * 100,
    IF(calc=0, G2, calc)
  ), 
G2)"),"")</f>
        <v/>
      </c>
      <c r="S2" s="8" t="s">
        <v>15</v>
      </c>
      <c r="T2" s="26" t="str">
        <f>IFERROR(__xludf.DUMMYFUNCTION("TRANSPOSE(QUERY(SORT(GOOGLEFINANCE(C2, ""price"", WORKDAY(TODAY(), -40), TODAY()), 1, FALSE), ""select Col2 where Col2 is not null limit 22 label Col2 ''"", 0))"),"#N/A")</f>
        <v>#N/A</v>
      </c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8"/>
      <c r="AO2" s="28"/>
      <c r="AP2" s="29"/>
      <c r="AQ2" s="29" t="str">
        <f t="shared" ref="AQ2:BL2" si="1">T2/T$2</f>
        <v>#N/A</v>
      </c>
      <c r="AR2" s="29" t="str">
        <f t="shared" si="1"/>
        <v>#DIV/0!</v>
      </c>
      <c r="AS2" s="29" t="str">
        <f t="shared" si="1"/>
        <v>#DIV/0!</v>
      </c>
      <c r="AT2" s="29" t="str">
        <f t="shared" si="1"/>
        <v>#DIV/0!</v>
      </c>
      <c r="AU2" s="29" t="str">
        <f t="shared" si="1"/>
        <v>#DIV/0!</v>
      </c>
      <c r="AV2" s="29" t="str">
        <f t="shared" si="1"/>
        <v>#DIV/0!</v>
      </c>
      <c r="AW2" s="29" t="str">
        <f t="shared" si="1"/>
        <v>#DIV/0!</v>
      </c>
      <c r="AX2" s="29" t="str">
        <f t="shared" si="1"/>
        <v>#DIV/0!</v>
      </c>
      <c r="AY2" s="29" t="str">
        <f t="shared" si="1"/>
        <v>#DIV/0!</v>
      </c>
      <c r="AZ2" s="29" t="str">
        <f t="shared" si="1"/>
        <v>#DIV/0!</v>
      </c>
      <c r="BA2" s="29" t="str">
        <f t="shared" si="1"/>
        <v>#DIV/0!</v>
      </c>
      <c r="BB2" s="29" t="str">
        <f t="shared" si="1"/>
        <v>#DIV/0!</v>
      </c>
      <c r="BC2" s="29" t="str">
        <f t="shared" si="1"/>
        <v>#DIV/0!</v>
      </c>
      <c r="BD2" s="29" t="str">
        <f t="shared" si="1"/>
        <v>#DIV/0!</v>
      </c>
      <c r="BE2" s="29" t="str">
        <f t="shared" si="1"/>
        <v>#DIV/0!</v>
      </c>
      <c r="BF2" s="29" t="str">
        <f t="shared" si="1"/>
        <v>#DIV/0!</v>
      </c>
      <c r="BG2" s="29" t="str">
        <f t="shared" si="1"/>
        <v>#DIV/0!</v>
      </c>
      <c r="BH2" s="29" t="str">
        <f t="shared" si="1"/>
        <v>#DIV/0!</v>
      </c>
      <c r="BI2" s="29" t="str">
        <f t="shared" si="1"/>
        <v>#DIV/0!</v>
      </c>
      <c r="BJ2" s="29" t="str">
        <f t="shared" si="1"/>
        <v>#DIV/0!</v>
      </c>
      <c r="BK2" s="29" t="str">
        <f t="shared" si="1"/>
        <v>#DIV/0!</v>
      </c>
      <c r="BL2" s="29" t="str">
        <f t="shared" si="1"/>
        <v>#DIV/0!</v>
      </c>
      <c r="BM2" s="29" t="str">
        <f t="shared" ref="BM2:BM213" si="3">(T2/AO2)/(T$2/AO$2)</f>
        <v>#N/A</v>
      </c>
    </row>
    <row r="3">
      <c r="A3" s="16" t="str">
        <f>IFERROR(__xludf.DUMMYFUNCTION("IFERROR(SPARKLINE(SORT(MAP(TRANSPOSE(AQ3:BL3), LAMBDA(val, IF(ISNUMBER(val), PERCENTRANK(AQ3:BL3, val)+0.01, 0))), SEQUENCE(COLUMNS(AQ3:BL3)), FALSE), {""charttype"",""column""; ""color"",""chartreuse""; ""ymin"", 0; ""ymax"", 1.01; ""highcolor"", ""darkg"&amp;"reen""; ""lowcolor"", ""red""}), """")"),"")</f>
        <v/>
      </c>
      <c r="B3" s="17" t="str">
        <f t="shared" ref="B3:B213" si="4">IFERROR(IF(C3="SPY", 1, IF(ISNUMBER(AQ3), PERCENTRANK(AQ3:BL3, AQ3), "")), "")</f>
        <v/>
      </c>
      <c r="C3" s="1" t="s">
        <v>55</v>
      </c>
      <c r="D3" s="30" t="str">
        <f>IFERROR(__xludf.DUMMYFUNCTION("IFERROR(GOOGLEFINANCE(C3, ""NAME""))"),"State Street Materials Select Sector SPDR ETF")</f>
        <v>State Street Materials Select Sector SPDR ETF</v>
      </c>
      <c r="E3" s="31"/>
      <c r="F3" s="33" t="str">
        <f>IFERROR(__xludf.DUMMYFUNCTION("( (GOOGLEFINANCE(C3, ""price"") - Q3) / Q3 ) / (R3 / 100)"),"Loading...")</f>
        <v>Loading...</v>
      </c>
      <c r="G3" s="31"/>
      <c r="H3" s="31"/>
      <c r="I3" s="31"/>
      <c r="J3" s="31"/>
      <c r="K3" s="21">
        <f>IFERROR(__xludf.DUMMYFUNCTION("IFERROR(GOOGLEFINANCE(C3, ""changepct"") / 100, """")"),0.0070999999999999995)</f>
        <v>0.0071</v>
      </c>
      <c r="L3" s="21" t="str">
        <f>IFERROR(__xludf.DUMMYFUNCTION("IFERROR((GOOGLEFINANCE(C3, ""price"") / INDEX(GOOGLEFINANCE(C3, ""price"", TODAY()-7, TODAY()), 2, 2)) - 1, """")"),"")</f>
        <v/>
      </c>
      <c r="M3" s="21" t="str">
        <f>IFERROR(__xludf.DUMMYFUNCTION("IFERROR((GOOGLEFINANCE(C3, ""price"") / INDEX(GOOGLEFINANCE(C3, ""price"", EDATE(TODAY(), -1), TODAY()), 2, 2)) - 1, """")"),"")</f>
        <v/>
      </c>
      <c r="N3" s="21" t="str">
        <f>IFERROR(__xludf.DUMMYFUNCTION("IFERROR((GOOGLEFINANCE(C3, ""price"") / INDEX(GOOGLEFINANCE(C3, ""price"", EDATE(TODAY(), -3), TODAY()), 2, 2)) - 1, """")"),"")</f>
        <v/>
      </c>
      <c r="O3" s="21" t="str">
        <f>IFERROR(__xludf.DUMMYFUNCTION("IFERROR((GOOGLEFINANCE(C3, ""price"") / INDEX(GOOGLEFINANCE(C3, ""price"", EDATE(TODAY(), -6), TODAY()), 2, 2)) - 1, """")"),"")</f>
        <v/>
      </c>
      <c r="P3" s="21" t="str">
        <f>IFERROR(__xludf.DUMMYFUNCTION("IFERROR((GOOGLEFINANCE(C3, ""price"") / INDEX(GOOGLEFINANCE(C3, ""price"", EDATE(TODAY(), -12), TODAY()), 2, 2)) - 1, """")"),"")</f>
        <v/>
      </c>
      <c r="Q3" s="6" t="str">
        <f>IFERROR(__xludf.DUMMYFUNCTION("AVERAGE(QUERY(GOOGLEFINANCE(C3, ""price"", TODAY()-80, TODAY()), ""SELECT Col2 WHERE Col2 IS NOT NULL ORDER BY Col1 DESC LIMIT 50"", 0))"),"#N/A")</f>
        <v>#N/A</v>
      </c>
      <c r="R3" s="24" t="str">
        <f>IFERROR(__xludf.DUMMYFUNCTION("IFERROR(
  LET(
    data, QUERY(GOOGLEFINANCE(C3,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GOOGLEFINANCE(C3, ""price"")) * 100,
    IF(calc=0, G3, calc)
  ), 
G3)"),"")</f>
        <v/>
      </c>
      <c r="S3" s="8" t="s">
        <v>15</v>
      </c>
      <c r="T3" s="26" t="str">
        <f>IFERROR(__xludf.DUMMYFUNCTION("IFERROR(TRANSPOSE(QUERY(IFERROR(SORT(GOOGLEFINANCE(C3, ""price"", WORKDAY(TODAY(), -40), TODAY()), 1, FALSE)), ""select Col2 where Col2 is not null limit 22 label Col2 ''"", 0)), """")"),"")</f>
        <v/>
      </c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8"/>
      <c r="AO3" s="28"/>
      <c r="AP3" s="29"/>
      <c r="AQ3" s="29" t="str">
        <f t="shared" ref="AQ3:BL3" si="2">T3/T$2</f>
        <v>#N/A</v>
      </c>
      <c r="AR3" s="29" t="str">
        <f t="shared" si="2"/>
        <v>#DIV/0!</v>
      </c>
      <c r="AS3" s="29" t="str">
        <f t="shared" si="2"/>
        <v>#DIV/0!</v>
      </c>
      <c r="AT3" s="29" t="str">
        <f t="shared" si="2"/>
        <v>#DIV/0!</v>
      </c>
      <c r="AU3" s="29" t="str">
        <f t="shared" si="2"/>
        <v>#DIV/0!</v>
      </c>
      <c r="AV3" s="29" t="str">
        <f t="shared" si="2"/>
        <v>#DIV/0!</v>
      </c>
      <c r="AW3" s="29" t="str">
        <f t="shared" si="2"/>
        <v>#DIV/0!</v>
      </c>
      <c r="AX3" s="29" t="str">
        <f t="shared" si="2"/>
        <v>#DIV/0!</v>
      </c>
      <c r="AY3" s="29" t="str">
        <f t="shared" si="2"/>
        <v>#DIV/0!</v>
      </c>
      <c r="AZ3" s="29" t="str">
        <f t="shared" si="2"/>
        <v>#DIV/0!</v>
      </c>
      <c r="BA3" s="29" t="str">
        <f t="shared" si="2"/>
        <v>#DIV/0!</v>
      </c>
      <c r="BB3" s="29" t="str">
        <f t="shared" si="2"/>
        <v>#DIV/0!</v>
      </c>
      <c r="BC3" s="29" t="str">
        <f t="shared" si="2"/>
        <v>#DIV/0!</v>
      </c>
      <c r="BD3" s="29" t="str">
        <f t="shared" si="2"/>
        <v>#DIV/0!</v>
      </c>
      <c r="BE3" s="29" t="str">
        <f t="shared" si="2"/>
        <v>#DIV/0!</v>
      </c>
      <c r="BF3" s="29" t="str">
        <f t="shared" si="2"/>
        <v>#DIV/0!</v>
      </c>
      <c r="BG3" s="29" t="str">
        <f t="shared" si="2"/>
        <v>#DIV/0!</v>
      </c>
      <c r="BH3" s="29" t="str">
        <f t="shared" si="2"/>
        <v>#DIV/0!</v>
      </c>
      <c r="BI3" s="29" t="str">
        <f t="shared" si="2"/>
        <v>#DIV/0!</v>
      </c>
      <c r="BJ3" s="29" t="str">
        <f t="shared" si="2"/>
        <v>#DIV/0!</v>
      </c>
      <c r="BK3" s="29" t="str">
        <f t="shared" si="2"/>
        <v>#DIV/0!</v>
      </c>
      <c r="BL3" s="29" t="str">
        <f t="shared" si="2"/>
        <v>#DIV/0!</v>
      </c>
      <c r="BM3" s="29" t="str">
        <f t="shared" si="3"/>
        <v>#DIV/0!</v>
      </c>
    </row>
    <row r="4">
      <c r="A4" s="16" t="str">
        <f>IFERROR(__xludf.DUMMYFUNCTION("IFERROR(SPARKLINE(SORT(MAP(TRANSPOSE(AQ4:BL4), LAMBDA(val, IF(ISNUMBER(val), PERCENTRANK(AQ4:BL4, val)+0.01, 0))), SEQUENCE(COLUMNS(AQ4:BL4)), FALSE), {""charttype"",""column""; ""color"",""chartreuse""; ""ymin"", 0; ""ymax"", 1.01; ""highcolor"", ""darkg"&amp;"reen""; ""lowcolor"", ""red""}), """")"),"")</f>
        <v/>
      </c>
      <c r="B4" s="17" t="str">
        <f t="shared" si="4"/>
        <v/>
      </c>
      <c r="C4" s="1" t="s">
        <v>2927</v>
      </c>
      <c r="D4" s="30" t="str">
        <f>IFERROR(__xludf.DUMMYFUNCTION("IFERROR(GOOGLEFINANCE(C4, ""NAME""))"),"Idaho Strategic Resources Inc")</f>
        <v>Idaho Strategic Resources Inc</v>
      </c>
      <c r="E4" s="30" t="s">
        <v>2928</v>
      </c>
      <c r="F4" s="33" t="str">
        <f>IFERROR(__xludf.DUMMYFUNCTION("( (GOOGLEFINANCE(C4, ""price"") - Q4) / Q4 ) / (R4 / 100)"),"Loading...")</f>
        <v>Loading...</v>
      </c>
      <c r="G4" s="20" t="str">
        <f>IFERROR(__xludf.DUMMYFUNCTION("AVERAGE(ARRAYFORMULA(100 * (QUERY(GOOGLEFINANCE(C4, ""high"", TODAY()-40, TODAY()), ""SELECT Col2 WHERE Col2 IS NOT NULL ORDER BY Col1 DESC LIMIT 20"", 0) / QUERY(GOOGLEFINANCE(C4, ""low"", TODAY()-40, TODAY()), ""SELECT Col2 WHERE Col2 IS NOT NULL ORDER "&amp;"BY Col1 DESC LIMIT 20"", 0) - 1)))"),"#N/A")</f>
        <v>#N/A</v>
      </c>
      <c r="H4" s="35" t="str">
        <f t="shared" ref="H4:H29" si="6">IFERROR(IF(ISNUMBER(J4), IF(J4 &lt; 50000000, "Illiquid", "Liquid"), ""), "")</f>
        <v>Illiquid</v>
      </c>
      <c r="I4" s="35" t="str">
        <f t="shared" ref="I4:I213" si="7">IFERROR(IF(ISNUMBER(J4), IF(J4 &lt; 500000000, "RVol Required", "No RVol Required"), ""), "")</f>
        <v>RVol Required</v>
      </c>
      <c r="J4" s="37">
        <f>IFERROR(__xludf.DUMMYFUNCTION("IFERROR(
  IF(C4="""",, 
    IFERROR(
      GOOGLEFINANCE(C4, ""price"") * GOOGLEFINANCE(C4, ""volumeavg""), 
      GOOGLEFINANCE(C4, ""price"") * AVERAGE(QUERY(GOOGLEFINANCE(C4, ""volume"", TODAY()-40, TODAY()), ""SELECT Col2 WHERE Col2 IS NOT NULL ORDER"&amp;" BY Col1 DESC LIMIT 20"", 0))
    )
  ), 
"""")"),6519118.05)</f>
        <v>6519118.05</v>
      </c>
      <c r="K4" s="21">
        <f>IFERROR(__xludf.DUMMYFUNCTION("IFERROR(GOOGLEFINANCE(C4, ""changepct"") / 100, """")"),0.0225)</f>
        <v>0.0225</v>
      </c>
      <c r="L4" s="21" t="str">
        <f>IFERROR(__xludf.DUMMYFUNCTION("IFERROR((GOOGLEFINANCE(C4, ""price"") / INDEX(GOOGLEFINANCE(C4, ""price"", TODAY()-7, TODAY()), 2, 2)) - 1, """")"),"")</f>
        <v/>
      </c>
      <c r="M4" s="21" t="str">
        <f>IFERROR(__xludf.DUMMYFUNCTION("IFERROR((GOOGLEFINANCE(C4, ""price"") / INDEX(GOOGLEFINANCE(C4, ""price"", EDATE(TODAY(), -1), TODAY()), 2, 2)) - 1, """")"),"")</f>
        <v/>
      </c>
      <c r="N4" s="21" t="str">
        <f>IFERROR(__xludf.DUMMYFUNCTION("IFERROR((GOOGLEFINANCE(C4, ""price"") / INDEX(GOOGLEFINANCE(C4, ""price"", EDATE(TODAY(), -3), TODAY()), 2, 2)) - 1, """")"),"")</f>
        <v/>
      </c>
      <c r="O4" s="21" t="str">
        <f>IFERROR(__xludf.DUMMYFUNCTION("IFERROR((GOOGLEFINANCE(C4, ""price"") / INDEX(GOOGLEFINANCE(C4, ""price"", EDATE(TODAY(), -6), TODAY()), 2, 2)) - 1, """")"),"")</f>
        <v/>
      </c>
      <c r="P4" s="21" t="str">
        <f>IFERROR(__xludf.DUMMYFUNCTION("IFERROR((GOOGLEFINANCE(C4, ""price"") / INDEX(GOOGLEFINANCE(C4, ""price"", EDATE(TODAY(), -12), TODAY()), 2, 2)) - 1, """")"),"")</f>
        <v/>
      </c>
      <c r="Q4" s="6" t="str">
        <f>IFERROR(__xludf.DUMMYFUNCTION("AVERAGE(QUERY(GOOGLEFINANCE(C4, ""price"", TODAY()-80, TODAY()), ""SELECT Col2 WHERE Col2 IS NOT NULL ORDER BY Col1 DESC LIMIT 50"", 0))"),"#N/A")</f>
        <v>#N/A</v>
      </c>
      <c r="R4" s="24" t="str">
        <f>IFERROR(__xludf.DUMMYFUNCTION("IFERROR(
  LET(
    data, QUERY(GOOGLEFINANCE(C4,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GOOGLEFINANCE(C4, ""price"")) * 100,
    IF(calc=0, G4, calc)
  ), 
G4)"),"#N/A")</f>
        <v>#N/A</v>
      </c>
      <c r="S4" s="8" t="s">
        <v>15</v>
      </c>
      <c r="T4" s="26" t="str">
        <f>IFERROR(__xludf.DUMMYFUNCTION("IFERROR(TRANSPOSE(QUERY(IFERROR(SORT(GOOGLEFINANCE(C4, ""price"", WORKDAY(TODAY(), -40), TODAY()), 1, FALSE)), ""select Col2 where Col2 is not null limit 22 label Col2 ''"", 0)), """")"),"")</f>
        <v/>
      </c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8"/>
      <c r="AO4" s="28"/>
      <c r="AP4" s="29"/>
      <c r="AQ4" s="29" t="str">
        <f t="shared" ref="AQ4:BL4" si="5">T4/T$2</f>
        <v>#N/A</v>
      </c>
      <c r="AR4" s="29" t="str">
        <f t="shared" si="5"/>
        <v>#DIV/0!</v>
      </c>
      <c r="AS4" s="29" t="str">
        <f t="shared" si="5"/>
        <v>#DIV/0!</v>
      </c>
      <c r="AT4" s="29" t="str">
        <f t="shared" si="5"/>
        <v>#DIV/0!</v>
      </c>
      <c r="AU4" s="29" t="str">
        <f t="shared" si="5"/>
        <v>#DIV/0!</v>
      </c>
      <c r="AV4" s="29" t="str">
        <f t="shared" si="5"/>
        <v>#DIV/0!</v>
      </c>
      <c r="AW4" s="29" t="str">
        <f t="shared" si="5"/>
        <v>#DIV/0!</v>
      </c>
      <c r="AX4" s="29" t="str">
        <f t="shared" si="5"/>
        <v>#DIV/0!</v>
      </c>
      <c r="AY4" s="29" t="str">
        <f t="shared" si="5"/>
        <v>#DIV/0!</v>
      </c>
      <c r="AZ4" s="29" t="str">
        <f t="shared" si="5"/>
        <v>#DIV/0!</v>
      </c>
      <c r="BA4" s="29" t="str">
        <f t="shared" si="5"/>
        <v>#DIV/0!</v>
      </c>
      <c r="BB4" s="29" t="str">
        <f t="shared" si="5"/>
        <v>#DIV/0!</v>
      </c>
      <c r="BC4" s="29" t="str">
        <f t="shared" si="5"/>
        <v>#DIV/0!</v>
      </c>
      <c r="BD4" s="29" t="str">
        <f t="shared" si="5"/>
        <v>#DIV/0!</v>
      </c>
      <c r="BE4" s="29" t="str">
        <f t="shared" si="5"/>
        <v>#DIV/0!</v>
      </c>
      <c r="BF4" s="29" t="str">
        <f t="shared" si="5"/>
        <v>#DIV/0!</v>
      </c>
      <c r="BG4" s="29" t="str">
        <f t="shared" si="5"/>
        <v>#DIV/0!</v>
      </c>
      <c r="BH4" s="29" t="str">
        <f t="shared" si="5"/>
        <v>#DIV/0!</v>
      </c>
      <c r="BI4" s="29" t="str">
        <f t="shared" si="5"/>
        <v>#DIV/0!</v>
      </c>
      <c r="BJ4" s="29" t="str">
        <f t="shared" si="5"/>
        <v>#DIV/0!</v>
      </c>
      <c r="BK4" s="29" t="str">
        <f t="shared" si="5"/>
        <v>#DIV/0!</v>
      </c>
      <c r="BL4" s="29" t="str">
        <f t="shared" si="5"/>
        <v>#DIV/0!</v>
      </c>
      <c r="BM4" s="29" t="str">
        <f t="shared" si="3"/>
        <v>#DIV/0!</v>
      </c>
    </row>
    <row r="5">
      <c r="A5" s="16" t="str">
        <f>IFERROR(__xludf.DUMMYFUNCTION("IFERROR(SPARKLINE(SORT(MAP(TRANSPOSE(AQ5:BL5), LAMBDA(val, IF(ISNUMBER(val), PERCENTRANK(AQ5:BL5, val)+0.01, 0))), SEQUENCE(COLUMNS(AQ5:BL5)), FALSE), {""charttype"",""column""; ""color"",""chartreuse""; ""ymin"", 0; ""ymax"", 1.01; ""highcolor"", ""darkg"&amp;"reen""; ""lowcolor"", ""red""}), """")"),"")</f>
        <v/>
      </c>
      <c r="B5" s="17" t="str">
        <f t="shared" si="4"/>
        <v/>
      </c>
      <c r="C5" s="1" t="s">
        <v>2934</v>
      </c>
      <c r="D5" s="30" t="str">
        <f>IFERROR(__xludf.DUMMYFUNCTION("IFERROR(GOOGLEFINANCE(C5, ""NAME""))"),"Teck Resources Ltd")</f>
        <v>Teck Resources Ltd</v>
      </c>
      <c r="E5" s="30" t="s">
        <v>2935</v>
      </c>
      <c r="F5" s="33" t="str">
        <f>IFERROR(__xludf.DUMMYFUNCTION("( (GOOGLEFINANCE(C5, ""price"") - Q5) / Q5 ) / (R5 / 100)"),"Loading...")</f>
        <v>Loading...</v>
      </c>
      <c r="G5" s="20" t="str">
        <f>IFERROR(__xludf.DUMMYFUNCTION("AVERAGE(ARRAYFORMULA(100 * (QUERY(GOOGLEFINANCE(C5, ""high"", TODAY()-40, TODAY()), ""SELECT Col2 WHERE Col2 IS NOT NULL ORDER BY Col1 DESC LIMIT 20"", 0) / QUERY(GOOGLEFINANCE(C5, ""low"", TODAY()-40, TODAY()), ""SELECT Col2 WHERE Col2 IS NOT NULL ORDER "&amp;"BY Col1 DESC LIMIT 20"", 0) - 1)))"),"#N/A")</f>
        <v>#N/A</v>
      </c>
      <c r="H5" s="35" t="str">
        <f t="shared" si="6"/>
        <v>Liquid</v>
      </c>
      <c r="I5" s="35" t="str">
        <f t="shared" si="7"/>
        <v>RVol Required</v>
      </c>
      <c r="J5" s="37">
        <f>IFERROR(__xludf.DUMMYFUNCTION("IFERROR(
  IF(C5="""",, 
    IFERROR(
      GOOGLEFINANCE(C5, ""price"") * GOOGLEFINANCE(C5, ""volumeavg""), 
      GOOGLEFINANCE(C5, ""price"") * AVERAGE(QUERY(GOOGLEFINANCE(C5, ""volume"", TODAY()-40, TODAY()), ""SELECT Col2 WHERE Col2 IS NOT NULL ORDER"&amp;" BY Col1 DESC LIMIT 20"", 0))
    )
  ), 
"""")"),1.7371574892000002E8)</f>
        <v>173715748.9</v>
      </c>
      <c r="K5" s="21">
        <f>IFERROR(__xludf.DUMMYFUNCTION("IFERROR(GOOGLEFINANCE(C5, ""changepct"") / 100, """")"),-0.017)</f>
        <v>-0.017</v>
      </c>
      <c r="L5" s="21" t="str">
        <f>IFERROR(__xludf.DUMMYFUNCTION("IFERROR((GOOGLEFINANCE(C5, ""price"") / INDEX(GOOGLEFINANCE(C5, ""price"", TODAY()-7, TODAY()), 2, 2)) - 1, """")"),"")</f>
        <v/>
      </c>
      <c r="M5" s="21" t="str">
        <f>IFERROR(__xludf.DUMMYFUNCTION("IFERROR((GOOGLEFINANCE(C5, ""price"") / INDEX(GOOGLEFINANCE(C5, ""price"", EDATE(TODAY(), -1), TODAY()), 2, 2)) - 1, """")"),"")</f>
        <v/>
      </c>
      <c r="N5" s="21" t="str">
        <f>IFERROR(__xludf.DUMMYFUNCTION("IFERROR((GOOGLEFINANCE(C5, ""price"") / INDEX(GOOGLEFINANCE(C5, ""price"", EDATE(TODAY(), -3), TODAY()), 2, 2)) - 1, """")"),"")</f>
        <v/>
      </c>
      <c r="O5" s="21" t="str">
        <f>IFERROR(__xludf.DUMMYFUNCTION("IFERROR((GOOGLEFINANCE(C5, ""price"") / INDEX(GOOGLEFINANCE(C5, ""price"", EDATE(TODAY(), -6), TODAY()), 2, 2)) - 1, """")"),"")</f>
        <v/>
      </c>
      <c r="P5" s="21" t="str">
        <f>IFERROR(__xludf.DUMMYFUNCTION("IFERROR((GOOGLEFINANCE(C5, ""price"") / INDEX(GOOGLEFINANCE(C5, ""price"", EDATE(TODAY(), -12), TODAY()), 2, 2)) - 1, """")"),"")</f>
        <v/>
      </c>
      <c r="Q5" s="6" t="str">
        <f>IFERROR(__xludf.DUMMYFUNCTION("AVERAGE(QUERY(GOOGLEFINANCE(C5, ""price"", TODAY()-80, TODAY()), ""SELECT Col2 WHERE Col2 IS NOT NULL ORDER BY Col1 DESC LIMIT 50"", 0))"),"#N/A")</f>
        <v>#N/A</v>
      </c>
      <c r="R5" s="24" t="str">
        <f>IFERROR(__xludf.DUMMYFUNCTION("IFERROR(
  LET(
    data, QUERY(GOOGLEFINANCE(C5,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GOOGLEFINANCE(C5, ""price"")) * 100,
    IF(calc=0, G5, calc)
  ), 
G5)"),"#N/A")</f>
        <v>#N/A</v>
      </c>
      <c r="S5" s="8" t="s">
        <v>15</v>
      </c>
      <c r="T5" s="26" t="str">
        <f>IFERROR(__xludf.DUMMYFUNCTION("IFERROR(TRANSPOSE(QUERY(IFERROR(SORT(GOOGLEFINANCE(C5, ""price"", WORKDAY(TODAY(), -40), TODAY()), 1, FALSE)), ""select Col2 where Col2 is not null limit 22 label Col2 ''"", 0)), """")"),"")</f>
        <v/>
      </c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8"/>
      <c r="AO5" s="28"/>
      <c r="AP5" s="29"/>
      <c r="AQ5" s="29" t="str">
        <f t="shared" ref="AQ5:BL5" si="8">T5/T$2</f>
        <v>#N/A</v>
      </c>
      <c r="AR5" s="29" t="str">
        <f t="shared" si="8"/>
        <v>#DIV/0!</v>
      </c>
      <c r="AS5" s="29" t="str">
        <f t="shared" si="8"/>
        <v>#DIV/0!</v>
      </c>
      <c r="AT5" s="29" t="str">
        <f t="shared" si="8"/>
        <v>#DIV/0!</v>
      </c>
      <c r="AU5" s="29" t="str">
        <f t="shared" si="8"/>
        <v>#DIV/0!</v>
      </c>
      <c r="AV5" s="29" t="str">
        <f t="shared" si="8"/>
        <v>#DIV/0!</v>
      </c>
      <c r="AW5" s="29" t="str">
        <f t="shared" si="8"/>
        <v>#DIV/0!</v>
      </c>
      <c r="AX5" s="29" t="str">
        <f t="shared" si="8"/>
        <v>#DIV/0!</v>
      </c>
      <c r="AY5" s="29" t="str">
        <f t="shared" si="8"/>
        <v>#DIV/0!</v>
      </c>
      <c r="AZ5" s="29" t="str">
        <f t="shared" si="8"/>
        <v>#DIV/0!</v>
      </c>
      <c r="BA5" s="29" t="str">
        <f t="shared" si="8"/>
        <v>#DIV/0!</v>
      </c>
      <c r="BB5" s="29" t="str">
        <f t="shared" si="8"/>
        <v>#DIV/0!</v>
      </c>
      <c r="BC5" s="29" t="str">
        <f t="shared" si="8"/>
        <v>#DIV/0!</v>
      </c>
      <c r="BD5" s="29" t="str">
        <f t="shared" si="8"/>
        <v>#DIV/0!</v>
      </c>
      <c r="BE5" s="29" t="str">
        <f t="shared" si="8"/>
        <v>#DIV/0!</v>
      </c>
      <c r="BF5" s="29" t="str">
        <f t="shared" si="8"/>
        <v>#DIV/0!</v>
      </c>
      <c r="BG5" s="29" t="str">
        <f t="shared" si="8"/>
        <v>#DIV/0!</v>
      </c>
      <c r="BH5" s="29" t="str">
        <f t="shared" si="8"/>
        <v>#DIV/0!</v>
      </c>
      <c r="BI5" s="29" t="str">
        <f t="shared" si="8"/>
        <v>#DIV/0!</v>
      </c>
      <c r="BJ5" s="29" t="str">
        <f t="shared" si="8"/>
        <v>#DIV/0!</v>
      </c>
      <c r="BK5" s="29" t="str">
        <f t="shared" si="8"/>
        <v>#DIV/0!</v>
      </c>
      <c r="BL5" s="29" t="str">
        <f t="shared" si="8"/>
        <v>#DIV/0!</v>
      </c>
      <c r="BM5" s="29" t="str">
        <f t="shared" si="3"/>
        <v>#DIV/0!</v>
      </c>
    </row>
    <row r="6">
      <c r="A6" s="16" t="str">
        <f>IFERROR(__xludf.DUMMYFUNCTION("IFERROR(SPARKLINE(SORT(MAP(TRANSPOSE(AQ6:BL6), LAMBDA(val, IF(ISNUMBER(val), PERCENTRANK(AQ6:BL6, val)+0.01, 0))), SEQUENCE(COLUMNS(AQ6:BL6)), FALSE), {""charttype"",""column""; ""color"",""chartreuse""; ""ymin"", 0; ""ymax"", 1.01; ""highcolor"", ""darkg"&amp;"reen""; ""lowcolor"", ""red""}), """")"),"")</f>
        <v/>
      </c>
      <c r="B6" s="17" t="str">
        <f t="shared" si="4"/>
        <v/>
      </c>
      <c r="C6" s="1" t="s">
        <v>2940</v>
      </c>
      <c r="D6" s="30" t="str">
        <f>IFERROR(__xludf.DUMMYFUNCTION("IFERROR(GOOGLEFINANCE(C6, ""NAME""))"),"SunCoke Energy Inc")</f>
        <v>SunCoke Energy Inc</v>
      </c>
      <c r="E6" s="30" t="s">
        <v>2941</v>
      </c>
      <c r="F6" s="33" t="str">
        <f>IFERROR(__xludf.DUMMYFUNCTION("( (GOOGLEFINANCE(C6, ""price"") - Q6) / Q6 ) / (R6 / 100)"),"Loading...")</f>
        <v>Loading...</v>
      </c>
      <c r="G6" s="20" t="str">
        <f>IFERROR(__xludf.DUMMYFUNCTION("AVERAGE(ARRAYFORMULA(100 * (QUERY(GOOGLEFINANCE(C6, ""high"", TODAY()-40, TODAY()), ""SELECT Col2 WHERE Col2 IS NOT NULL ORDER BY Col1 DESC LIMIT 20"", 0) / QUERY(GOOGLEFINANCE(C6, ""low"", TODAY()-40, TODAY()), ""SELECT Col2 WHERE Col2 IS NOT NULL ORDER "&amp;"BY Col1 DESC LIMIT 20"", 0) - 1)))"),"#N/A")</f>
        <v>#N/A</v>
      </c>
      <c r="H6" s="35" t="str">
        <f t="shared" si="6"/>
        <v>Illiquid</v>
      </c>
      <c r="I6" s="35" t="str">
        <f t="shared" si="7"/>
        <v>RVol Required</v>
      </c>
      <c r="J6" s="37">
        <f>IFERROR(__xludf.DUMMYFUNCTION("IFERROR(
  IF(C6="""",, 
    IFERROR(
      GOOGLEFINANCE(C6, ""price"") * GOOGLEFINANCE(C6, ""volumeavg""), 
      GOOGLEFINANCE(C6, ""price"") * AVERAGE(QUERY(GOOGLEFINANCE(C6, ""volume"", TODAY()-40, TODAY()), ""SELECT Col2 WHERE Col2 IS NOT NULL ORDER"&amp;" BY Col1 DESC LIMIT 20"", 0))
    )
  ), 
"""")"),1.0368982E7)</f>
        <v>10368982</v>
      </c>
      <c r="K6" s="21">
        <f>IFERROR(__xludf.DUMMYFUNCTION("IFERROR(GOOGLEFINANCE(C6, ""changepct"") / 100, """")"),0.0069)</f>
        <v>0.0069</v>
      </c>
      <c r="L6" s="21" t="str">
        <f>IFERROR(__xludf.DUMMYFUNCTION("IFERROR((GOOGLEFINANCE(C6, ""price"") / INDEX(GOOGLEFINANCE(C6, ""price"", TODAY()-7, TODAY()), 2, 2)) - 1, """")"),"")</f>
        <v/>
      </c>
      <c r="M6" s="21" t="str">
        <f>IFERROR(__xludf.DUMMYFUNCTION("IFERROR((GOOGLEFINANCE(C6, ""price"") / INDEX(GOOGLEFINANCE(C6, ""price"", EDATE(TODAY(), -1), TODAY()), 2, 2)) - 1, """")"),"")</f>
        <v/>
      </c>
      <c r="N6" s="21" t="str">
        <f>IFERROR(__xludf.DUMMYFUNCTION("IFERROR((GOOGLEFINANCE(C6, ""price"") / INDEX(GOOGLEFINANCE(C6, ""price"", EDATE(TODAY(), -3), TODAY()), 2, 2)) - 1, """")"),"")</f>
        <v/>
      </c>
      <c r="O6" s="21" t="str">
        <f>IFERROR(__xludf.DUMMYFUNCTION("IFERROR((GOOGLEFINANCE(C6, ""price"") / INDEX(GOOGLEFINANCE(C6, ""price"", EDATE(TODAY(), -6), TODAY()), 2, 2)) - 1, """")"),"")</f>
        <v/>
      </c>
      <c r="P6" s="21" t="str">
        <f>IFERROR(__xludf.DUMMYFUNCTION("IFERROR((GOOGLEFINANCE(C6, ""price"") / INDEX(GOOGLEFINANCE(C6, ""price"", EDATE(TODAY(), -12), TODAY()), 2, 2)) - 1, """")"),"")</f>
        <v/>
      </c>
      <c r="Q6" s="6" t="str">
        <f>IFERROR(__xludf.DUMMYFUNCTION("AVERAGE(QUERY(GOOGLEFINANCE(C6, ""price"", TODAY()-80, TODAY()), ""SELECT Col2 WHERE Col2 IS NOT NULL ORDER BY Col1 DESC LIMIT 50"", 0))"),"#N/A")</f>
        <v>#N/A</v>
      </c>
      <c r="R6" s="24" t="str">
        <f>IFERROR(__xludf.DUMMYFUNCTION("IFERROR(
  LET(
    data, QUERY(GOOGLEFINANCE(C6,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GOOGLEFINANCE(C6, ""price"")) * 100,
    IF(calc=0, G6, calc)
  ), 
G6)"),"#N/A")</f>
        <v>#N/A</v>
      </c>
      <c r="S6" s="8" t="s">
        <v>15</v>
      </c>
      <c r="T6" s="26" t="str">
        <f>IFERROR(__xludf.DUMMYFUNCTION("IFERROR(TRANSPOSE(QUERY(IFERROR(SORT(GOOGLEFINANCE(C6, ""price"", WORKDAY(TODAY(), -40), TODAY()), 1, FALSE)), ""select Col2 where Col2 is not null limit 22 label Col2 ''"", 0)), """")"),"")</f>
        <v/>
      </c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8"/>
      <c r="AO6" s="28"/>
      <c r="AP6" s="29"/>
      <c r="AQ6" s="29" t="str">
        <f t="shared" ref="AQ6:BL6" si="9">T6/T$2</f>
        <v>#N/A</v>
      </c>
      <c r="AR6" s="29" t="str">
        <f t="shared" si="9"/>
        <v>#DIV/0!</v>
      </c>
      <c r="AS6" s="29" t="str">
        <f t="shared" si="9"/>
        <v>#DIV/0!</v>
      </c>
      <c r="AT6" s="29" t="str">
        <f t="shared" si="9"/>
        <v>#DIV/0!</v>
      </c>
      <c r="AU6" s="29" t="str">
        <f t="shared" si="9"/>
        <v>#DIV/0!</v>
      </c>
      <c r="AV6" s="29" t="str">
        <f t="shared" si="9"/>
        <v>#DIV/0!</v>
      </c>
      <c r="AW6" s="29" t="str">
        <f t="shared" si="9"/>
        <v>#DIV/0!</v>
      </c>
      <c r="AX6" s="29" t="str">
        <f t="shared" si="9"/>
        <v>#DIV/0!</v>
      </c>
      <c r="AY6" s="29" t="str">
        <f t="shared" si="9"/>
        <v>#DIV/0!</v>
      </c>
      <c r="AZ6" s="29" t="str">
        <f t="shared" si="9"/>
        <v>#DIV/0!</v>
      </c>
      <c r="BA6" s="29" t="str">
        <f t="shared" si="9"/>
        <v>#DIV/0!</v>
      </c>
      <c r="BB6" s="29" t="str">
        <f t="shared" si="9"/>
        <v>#DIV/0!</v>
      </c>
      <c r="BC6" s="29" t="str">
        <f t="shared" si="9"/>
        <v>#DIV/0!</v>
      </c>
      <c r="BD6" s="29" t="str">
        <f t="shared" si="9"/>
        <v>#DIV/0!</v>
      </c>
      <c r="BE6" s="29" t="str">
        <f t="shared" si="9"/>
        <v>#DIV/0!</v>
      </c>
      <c r="BF6" s="29" t="str">
        <f t="shared" si="9"/>
        <v>#DIV/0!</v>
      </c>
      <c r="BG6" s="29" t="str">
        <f t="shared" si="9"/>
        <v>#DIV/0!</v>
      </c>
      <c r="BH6" s="29" t="str">
        <f t="shared" si="9"/>
        <v>#DIV/0!</v>
      </c>
      <c r="BI6" s="29" t="str">
        <f t="shared" si="9"/>
        <v>#DIV/0!</v>
      </c>
      <c r="BJ6" s="29" t="str">
        <f t="shared" si="9"/>
        <v>#DIV/0!</v>
      </c>
      <c r="BK6" s="29" t="str">
        <f t="shared" si="9"/>
        <v>#DIV/0!</v>
      </c>
      <c r="BL6" s="29" t="str">
        <f t="shared" si="9"/>
        <v>#DIV/0!</v>
      </c>
      <c r="BM6" s="29" t="str">
        <f t="shared" si="3"/>
        <v>#DIV/0!</v>
      </c>
    </row>
    <row r="7">
      <c r="A7" s="16" t="str">
        <f>IFERROR(__xludf.DUMMYFUNCTION("IFERROR(SPARKLINE(SORT(MAP(TRANSPOSE(AQ7:BL7), LAMBDA(val, IF(ISNUMBER(val), PERCENTRANK(AQ7:BL7, val)+0.01, 0))), SEQUENCE(COLUMNS(AQ7:BL7)), FALSE), {""charttype"",""column""; ""color"",""chartreuse""; ""ymin"", 0; ""ymax"", 1.01; ""highcolor"", ""darkg"&amp;"reen""; ""lowcolor"", ""red""}), """")"),"")</f>
        <v/>
      </c>
      <c r="B7" s="17" t="str">
        <f t="shared" si="4"/>
        <v/>
      </c>
      <c r="C7" s="1" t="s">
        <v>2945</v>
      </c>
      <c r="D7" s="30" t="str">
        <f>IFERROR(__xludf.DUMMYFUNCTION("IFERROR(GOOGLEFINANCE(C7, ""NAME""))"),"Materion Corp")</f>
        <v>Materion Corp</v>
      </c>
      <c r="E7" s="30" t="s">
        <v>2935</v>
      </c>
      <c r="F7" s="33" t="str">
        <f>IFERROR(__xludf.DUMMYFUNCTION("( (GOOGLEFINANCE(C7, ""price"") - Q7) / Q7 ) / (R7 / 100)"),"Loading...")</f>
        <v>Loading...</v>
      </c>
      <c r="G7" s="20" t="str">
        <f>IFERROR(__xludf.DUMMYFUNCTION("AVERAGE(ARRAYFORMULA(100 * (QUERY(GOOGLEFINANCE(C7, ""high"", TODAY()-40, TODAY()), ""SELECT Col2 WHERE Col2 IS NOT NULL ORDER BY Col1 DESC LIMIT 20"", 0) / QUERY(GOOGLEFINANCE(C7, ""low"", TODAY()-40, TODAY()), ""SELECT Col2 WHERE Col2 IS NOT NULL ORDER "&amp;"BY Col1 DESC LIMIT 20"", 0) - 1)))"),"#N/A")</f>
        <v>#N/A</v>
      </c>
      <c r="H7" s="35" t="str">
        <f t="shared" si="6"/>
        <v>Liquid</v>
      </c>
      <c r="I7" s="35" t="str">
        <f t="shared" si="7"/>
        <v>RVol Required</v>
      </c>
      <c r="J7" s="37">
        <f>IFERROR(__xludf.DUMMYFUNCTION("IFERROR(
  IF(C7="""",, 
    IFERROR(
      GOOGLEFINANCE(C7, ""price"") * GOOGLEFINANCE(C7, ""volumeavg""), 
      GOOGLEFINANCE(C7, ""price"") * AVERAGE(QUERY(GOOGLEFINANCE(C7, ""volume"", TODAY()-40, TODAY()), ""SELECT Col2 WHERE Col2 IS NOT NULL ORDER"&amp;" BY Col1 DESC LIMIT 20"", 0))
    )
  ), 
"""")"),6.54735744E7)</f>
        <v>65473574.4</v>
      </c>
      <c r="K7" s="21">
        <f>IFERROR(__xludf.DUMMYFUNCTION("IFERROR(GOOGLEFINANCE(C7, ""changepct"") / 100, """")"),-0.026600000000000002)</f>
        <v>-0.0266</v>
      </c>
      <c r="L7" s="21" t="str">
        <f>IFERROR(__xludf.DUMMYFUNCTION("IFERROR((GOOGLEFINANCE(C7, ""price"") / INDEX(GOOGLEFINANCE(C7, ""price"", TODAY()-7, TODAY()), 2, 2)) - 1, """")"),"")</f>
        <v/>
      </c>
      <c r="M7" s="21" t="str">
        <f>IFERROR(__xludf.DUMMYFUNCTION("IFERROR((GOOGLEFINANCE(C7, ""price"") / INDEX(GOOGLEFINANCE(C7, ""price"", EDATE(TODAY(), -1), TODAY()), 2, 2)) - 1, """")"),"")</f>
        <v/>
      </c>
      <c r="N7" s="21" t="str">
        <f>IFERROR(__xludf.DUMMYFUNCTION("IFERROR((GOOGLEFINANCE(C7, ""price"") / INDEX(GOOGLEFINANCE(C7, ""price"", EDATE(TODAY(), -3), TODAY()), 2, 2)) - 1, """")"),"")</f>
        <v/>
      </c>
      <c r="O7" s="21" t="str">
        <f>IFERROR(__xludf.DUMMYFUNCTION("IFERROR((GOOGLEFINANCE(C7, ""price"") / INDEX(GOOGLEFINANCE(C7, ""price"", EDATE(TODAY(), -6), TODAY()), 2, 2)) - 1, """")"),"")</f>
        <v/>
      </c>
      <c r="P7" s="21" t="str">
        <f>IFERROR(__xludf.DUMMYFUNCTION("IFERROR((GOOGLEFINANCE(C7, ""price"") / INDEX(GOOGLEFINANCE(C7, ""price"", EDATE(TODAY(), -12), TODAY()), 2, 2)) - 1, """")"),"")</f>
        <v/>
      </c>
      <c r="Q7" s="6" t="str">
        <f>IFERROR(__xludf.DUMMYFUNCTION("AVERAGE(QUERY(GOOGLEFINANCE(C7, ""price"", TODAY()-80, TODAY()), ""SELECT Col2 WHERE Col2 IS NOT NULL ORDER BY Col1 DESC LIMIT 50"", 0))"),"#N/A")</f>
        <v>#N/A</v>
      </c>
      <c r="R7" s="24" t="str">
        <f>IFERROR(__xludf.DUMMYFUNCTION("IFERROR(
  LET(
    data, QUERY(GOOGLEFINANCE(C7,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GOOGLEFINANCE(C7, ""price"")) * 100,
    IF(calc=0, G7, calc)
  ), 
G7)"),"#N/A")</f>
        <v>#N/A</v>
      </c>
      <c r="S7" s="8" t="s">
        <v>15</v>
      </c>
      <c r="T7" s="26" t="str">
        <f>IFERROR(__xludf.DUMMYFUNCTION("IFERROR(TRANSPOSE(QUERY(IFERROR(SORT(GOOGLEFINANCE(C7, ""price"", WORKDAY(TODAY(), -40), TODAY()), 1, FALSE)), ""select Col2 where Col2 is not null limit 22 label Col2 ''"", 0)), """")"),"")</f>
        <v/>
      </c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8"/>
      <c r="AO7" s="28"/>
      <c r="AP7" s="29"/>
      <c r="AQ7" s="29" t="str">
        <f t="shared" ref="AQ7:BL7" si="10">T7/T$2</f>
        <v>#N/A</v>
      </c>
      <c r="AR7" s="29" t="str">
        <f t="shared" si="10"/>
        <v>#DIV/0!</v>
      </c>
      <c r="AS7" s="29" t="str">
        <f t="shared" si="10"/>
        <v>#DIV/0!</v>
      </c>
      <c r="AT7" s="29" t="str">
        <f t="shared" si="10"/>
        <v>#DIV/0!</v>
      </c>
      <c r="AU7" s="29" t="str">
        <f t="shared" si="10"/>
        <v>#DIV/0!</v>
      </c>
      <c r="AV7" s="29" t="str">
        <f t="shared" si="10"/>
        <v>#DIV/0!</v>
      </c>
      <c r="AW7" s="29" t="str">
        <f t="shared" si="10"/>
        <v>#DIV/0!</v>
      </c>
      <c r="AX7" s="29" t="str">
        <f t="shared" si="10"/>
        <v>#DIV/0!</v>
      </c>
      <c r="AY7" s="29" t="str">
        <f t="shared" si="10"/>
        <v>#DIV/0!</v>
      </c>
      <c r="AZ7" s="29" t="str">
        <f t="shared" si="10"/>
        <v>#DIV/0!</v>
      </c>
      <c r="BA7" s="29" t="str">
        <f t="shared" si="10"/>
        <v>#DIV/0!</v>
      </c>
      <c r="BB7" s="29" t="str">
        <f t="shared" si="10"/>
        <v>#DIV/0!</v>
      </c>
      <c r="BC7" s="29" t="str">
        <f t="shared" si="10"/>
        <v>#DIV/0!</v>
      </c>
      <c r="BD7" s="29" t="str">
        <f t="shared" si="10"/>
        <v>#DIV/0!</v>
      </c>
      <c r="BE7" s="29" t="str">
        <f t="shared" si="10"/>
        <v>#DIV/0!</v>
      </c>
      <c r="BF7" s="29" t="str">
        <f t="shared" si="10"/>
        <v>#DIV/0!</v>
      </c>
      <c r="BG7" s="29" t="str">
        <f t="shared" si="10"/>
        <v>#DIV/0!</v>
      </c>
      <c r="BH7" s="29" t="str">
        <f t="shared" si="10"/>
        <v>#DIV/0!</v>
      </c>
      <c r="BI7" s="29" t="str">
        <f t="shared" si="10"/>
        <v>#DIV/0!</v>
      </c>
      <c r="BJ7" s="29" t="str">
        <f t="shared" si="10"/>
        <v>#DIV/0!</v>
      </c>
      <c r="BK7" s="29" t="str">
        <f t="shared" si="10"/>
        <v>#DIV/0!</v>
      </c>
      <c r="BL7" s="29" t="str">
        <f t="shared" si="10"/>
        <v>#DIV/0!</v>
      </c>
      <c r="BM7" s="29" t="str">
        <f t="shared" si="3"/>
        <v>#DIV/0!</v>
      </c>
    </row>
    <row r="8">
      <c r="A8" s="16" t="str">
        <f>IFERROR(__xludf.DUMMYFUNCTION("IFERROR(SPARKLINE(SORT(MAP(TRANSPOSE(AQ8:BL8), LAMBDA(val, IF(ISNUMBER(val), PERCENTRANK(AQ8:BL8, val)+0.01, 0))), SEQUENCE(COLUMNS(AQ8:BL8)), FALSE), {""charttype"",""column""; ""color"",""chartreuse""; ""ymin"", 0; ""ymax"", 1.01; ""highcolor"", ""darkg"&amp;"reen""; ""lowcolor"", ""red""}), """")"),"")</f>
        <v/>
      </c>
      <c r="B8" s="17" t="str">
        <f t="shared" si="4"/>
        <v/>
      </c>
      <c r="C8" s="1" t="s">
        <v>2949</v>
      </c>
      <c r="D8" s="30" t="str">
        <f>IFERROR(__xludf.DUMMYFUNCTION("IFERROR(GOOGLEFINANCE(C8, ""NAME""))"),"Silvercorp Metals Inc")</f>
        <v>Silvercorp Metals Inc</v>
      </c>
      <c r="E8" s="30" t="s">
        <v>2950</v>
      </c>
      <c r="F8" s="33" t="str">
        <f>IFERROR(__xludf.DUMMYFUNCTION("( (GOOGLEFINANCE(C8, ""price"") - Q8) / Q8 ) / (R8 / 100)"),"Loading...")</f>
        <v>Loading...</v>
      </c>
      <c r="G8" s="20" t="str">
        <f>IFERROR(__xludf.DUMMYFUNCTION("AVERAGE(ARRAYFORMULA(100 * (QUERY(GOOGLEFINANCE(C8, ""high"", TODAY()-40, TODAY()), ""SELECT Col2 WHERE Col2 IS NOT NULL ORDER BY Col1 DESC LIMIT 20"", 0) / QUERY(GOOGLEFINANCE(C8, ""low"", TODAY()-40, TODAY()), ""SELECT Col2 WHERE Col2 IS NOT NULL ORDER "&amp;"BY Col1 DESC LIMIT 20"", 0) - 1)))"),"#N/A")</f>
        <v>#N/A</v>
      </c>
      <c r="H8" s="35" t="str">
        <f t="shared" si="6"/>
        <v>Illiquid</v>
      </c>
      <c r="I8" s="35" t="str">
        <f t="shared" si="7"/>
        <v>RVol Required</v>
      </c>
      <c r="J8" s="37">
        <f>IFERROR(__xludf.DUMMYFUNCTION("IFERROR(
  IF(C8="""",, 
    IFERROR(
      GOOGLEFINANCE(C8, ""price"") * GOOGLEFINANCE(C8, ""volumeavg""), 
      GOOGLEFINANCE(C8, ""price"") * AVERAGE(QUERY(GOOGLEFINANCE(C8, ""volume"", TODAY()-40, TODAY()), ""SELECT Col2 WHERE Col2 IS NOT NULL ORDER"&amp;" BY Col1 DESC LIMIT 20"", 0))
    )
  ), 
"""")"),1.740353934E7)</f>
        <v>17403539.34</v>
      </c>
      <c r="K8" s="21">
        <f>IFERROR(__xludf.DUMMYFUNCTION("IFERROR(GOOGLEFINANCE(C8, ""changepct"") / 100, """")"),-0.001)</f>
        <v>-0.001</v>
      </c>
      <c r="L8" s="21" t="str">
        <f>IFERROR(__xludf.DUMMYFUNCTION("IFERROR((GOOGLEFINANCE(C8, ""price"") / INDEX(GOOGLEFINANCE(C8, ""price"", TODAY()-7, TODAY()), 2, 2)) - 1, """")"),"")</f>
        <v/>
      </c>
      <c r="M8" s="21" t="str">
        <f>IFERROR(__xludf.DUMMYFUNCTION("IFERROR((GOOGLEFINANCE(C8, ""price"") / INDEX(GOOGLEFINANCE(C8, ""price"", EDATE(TODAY(), -1), TODAY()), 2, 2)) - 1, """")"),"")</f>
        <v/>
      </c>
      <c r="N8" s="21" t="str">
        <f>IFERROR(__xludf.DUMMYFUNCTION("IFERROR((GOOGLEFINANCE(C8, ""price"") / INDEX(GOOGLEFINANCE(C8, ""price"", EDATE(TODAY(), -3), TODAY()), 2, 2)) - 1, """")"),"")</f>
        <v/>
      </c>
      <c r="O8" s="21" t="str">
        <f>IFERROR(__xludf.DUMMYFUNCTION("IFERROR((GOOGLEFINANCE(C8, ""price"") / INDEX(GOOGLEFINANCE(C8, ""price"", EDATE(TODAY(), -6), TODAY()), 2, 2)) - 1, """")"),"")</f>
        <v/>
      </c>
      <c r="P8" s="21" t="str">
        <f>IFERROR(__xludf.DUMMYFUNCTION("IFERROR((GOOGLEFINANCE(C8, ""price"") / INDEX(GOOGLEFINANCE(C8, ""price"", EDATE(TODAY(), -12), TODAY()), 2, 2)) - 1, """")"),"")</f>
        <v/>
      </c>
      <c r="Q8" s="6" t="str">
        <f>IFERROR(__xludf.DUMMYFUNCTION("AVERAGE(QUERY(GOOGLEFINANCE(C8, ""price"", TODAY()-80, TODAY()), ""SELECT Col2 WHERE Col2 IS NOT NULL ORDER BY Col1 DESC LIMIT 50"", 0))"),"#N/A")</f>
        <v>#N/A</v>
      </c>
      <c r="R8" s="24" t="str">
        <f>IFERROR(__xludf.DUMMYFUNCTION("IFERROR(
  LET(
    data, QUERY(GOOGLEFINANCE(C8,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GOOGLEFINANCE(C8, ""price"")) * 100,
    IF(calc=0, G8, calc)
  ), 
G8)"),"#N/A")</f>
        <v>#N/A</v>
      </c>
      <c r="S8" s="8" t="s">
        <v>15</v>
      </c>
      <c r="T8" s="26" t="str">
        <f>IFERROR(__xludf.DUMMYFUNCTION("IFERROR(TRANSPOSE(QUERY(IFERROR(SORT(GOOGLEFINANCE(C8, ""price"", WORKDAY(TODAY(), -40), TODAY()), 1, FALSE)), ""select Col2 where Col2 is not null limit 22 label Col2 ''"", 0)), """")"),"")</f>
        <v/>
      </c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8"/>
      <c r="AO8" s="28"/>
      <c r="AP8" s="29"/>
      <c r="AQ8" s="29" t="str">
        <f t="shared" ref="AQ8:BL8" si="11">T8/T$2</f>
        <v>#N/A</v>
      </c>
      <c r="AR8" s="29" t="str">
        <f t="shared" si="11"/>
        <v>#DIV/0!</v>
      </c>
      <c r="AS8" s="29" t="str">
        <f t="shared" si="11"/>
        <v>#DIV/0!</v>
      </c>
      <c r="AT8" s="29" t="str">
        <f t="shared" si="11"/>
        <v>#DIV/0!</v>
      </c>
      <c r="AU8" s="29" t="str">
        <f t="shared" si="11"/>
        <v>#DIV/0!</v>
      </c>
      <c r="AV8" s="29" t="str">
        <f t="shared" si="11"/>
        <v>#DIV/0!</v>
      </c>
      <c r="AW8" s="29" t="str">
        <f t="shared" si="11"/>
        <v>#DIV/0!</v>
      </c>
      <c r="AX8" s="29" t="str">
        <f t="shared" si="11"/>
        <v>#DIV/0!</v>
      </c>
      <c r="AY8" s="29" t="str">
        <f t="shared" si="11"/>
        <v>#DIV/0!</v>
      </c>
      <c r="AZ8" s="29" t="str">
        <f t="shared" si="11"/>
        <v>#DIV/0!</v>
      </c>
      <c r="BA8" s="29" t="str">
        <f t="shared" si="11"/>
        <v>#DIV/0!</v>
      </c>
      <c r="BB8" s="29" t="str">
        <f t="shared" si="11"/>
        <v>#DIV/0!</v>
      </c>
      <c r="BC8" s="29" t="str">
        <f t="shared" si="11"/>
        <v>#DIV/0!</v>
      </c>
      <c r="BD8" s="29" t="str">
        <f t="shared" si="11"/>
        <v>#DIV/0!</v>
      </c>
      <c r="BE8" s="29" t="str">
        <f t="shared" si="11"/>
        <v>#DIV/0!</v>
      </c>
      <c r="BF8" s="29" t="str">
        <f t="shared" si="11"/>
        <v>#DIV/0!</v>
      </c>
      <c r="BG8" s="29" t="str">
        <f t="shared" si="11"/>
        <v>#DIV/0!</v>
      </c>
      <c r="BH8" s="29" t="str">
        <f t="shared" si="11"/>
        <v>#DIV/0!</v>
      </c>
      <c r="BI8" s="29" t="str">
        <f t="shared" si="11"/>
        <v>#DIV/0!</v>
      </c>
      <c r="BJ8" s="29" t="str">
        <f t="shared" si="11"/>
        <v>#DIV/0!</v>
      </c>
      <c r="BK8" s="29" t="str">
        <f t="shared" si="11"/>
        <v>#DIV/0!</v>
      </c>
      <c r="BL8" s="29" t="str">
        <f t="shared" si="11"/>
        <v>#DIV/0!</v>
      </c>
      <c r="BM8" s="29" t="str">
        <f t="shared" si="3"/>
        <v>#DIV/0!</v>
      </c>
    </row>
    <row r="9">
      <c r="A9" s="16" t="str">
        <f>IFERROR(__xludf.DUMMYFUNCTION("IFERROR(SPARKLINE(SORT(MAP(TRANSPOSE(AQ9:BL9), LAMBDA(val, IF(ISNUMBER(val), PERCENTRANK(AQ9:BL9, val)+0.01, 0))), SEQUENCE(COLUMNS(AQ9:BL9)), FALSE), {""charttype"",""column""; ""color"",""chartreuse""; ""ymin"", 0; ""ymax"", 1.01; ""highcolor"", ""darkg"&amp;"reen""; ""lowcolor"", ""red""}), """")"),"")</f>
        <v/>
      </c>
      <c r="B9" s="17" t="str">
        <f t="shared" si="4"/>
        <v/>
      </c>
      <c r="C9" s="1" t="s">
        <v>2955</v>
      </c>
      <c r="D9" s="30" t="str">
        <f>IFERROR(__xludf.DUMMYFUNCTION("IFERROR(GOOGLEFINANCE(C9, ""NAME""))"),"Compass Minerals International, Inc.")</f>
        <v>Compass Minerals International, Inc.</v>
      </c>
      <c r="E9" s="30" t="s">
        <v>2935</v>
      </c>
      <c r="F9" s="33" t="str">
        <f>IFERROR(__xludf.DUMMYFUNCTION("( (GOOGLEFINANCE(C9, ""price"") - Q9) / Q9 ) / (R9 / 100)"),"Loading...")</f>
        <v>Loading...</v>
      </c>
      <c r="G9" s="20" t="str">
        <f>IFERROR(__xludf.DUMMYFUNCTION("AVERAGE(ARRAYFORMULA(100 * (QUERY(GOOGLEFINANCE(C9, ""high"", TODAY()-40, TODAY()), ""SELECT Col2 WHERE Col2 IS NOT NULL ORDER BY Col1 DESC LIMIT 20"", 0) / QUERY(GOOGLEFINANCE(C9, ""low"", TODAY()-40, TODAY()), ""SELECT Col2 WHERE Col2 IS NOT NULL ORDER "&amp;"BY Col1 DESC LIMIT 20"", 0) - 1)))"),"#N/A")</f>
        <v>#N/A</v>
      </c>
      <c r="H9" s="35" t="str">
        <f t="shared" si="6"/>
        <v>Illiquid</v>
      </c>
      <c r="I9" s="35" t="str">
        <f t="shared" si="7"/>
        <v>RVol Required</v>
      </c>
      <c r="J9" s="37">
        <f>IFERROR(__xludf.DUMMYFUNCTION("IFERROR(
  IF(C9="""",, 
    IFERROR(
      GOOGLEFINANCE(C9, ""price"") * GOOGLEFINANCE(C9, ""volumeavg""), 
      GOOGLEFINANCE(C9, ""price"") * AVERAGE(QUERY(GOOGLEFINANCE(C9, ""volume"", TODAY()-40, TODAY()), ""SELECT Col2 WHERE Col2 IS NOT NULL ORDER"&amp;" BY Col1 DESC LIMIT 20"", 0))
    )
  ), 
"""")"),8177901.0600000005)</f>
        <v>8177901.06</v>
      </c>
      <c r="K9" s="21">
        <f>IFERROR(__xludf.DUMMYFUNCTION("IFERROR(GOOGLEFINANCE(C9, ""changepct"") / 100, """")"),-0.0146)</f>
        <v>-0.0146</v>
      </c>
      <c r="L9" s="21" t="str">
        <f>IFERROR(__xludf.DUMMYFUNCTION("IFERROR((GOOGLEFINANCE(C9, ""price"") / INDEX(GOOGLEFINANCE(C9, ""price"", TODAY()-7, TODAY()), 2, 2)) - 1, """")"),"")</f>
        <v/>
      </c>
      <c r="M9" s="21" t="str">
        <f>IFERROR(__xludf.DUMMYFUNCTION("IFERROR((GOOGLEFINANCE(C9, ""price"") / INDEX(GOOGLEFINANCE(C9, ""price"", EDATE(TODAY(), -1), TODAY()), 2, 2)) - 1, """")"),"")</f>
        <v/>
      </c>
      <c r="N9" s="21" t="str">
        <f>IFERROR(__xludf.DUMMYFUNCTION("IFERROR((GOOGLEFINANCE(C9, ""price"") / INDEX(GOOGLEFINANCE(C9, ""price"", EDATE(TODAY(), -3), TODAY()), 2, 2)) - 1, """")"),"")</f>
        <v/>
      </c>
      <c r="O9" s="21" t="str">
        <f>IFERROR(__xludf.DUMMYFUNCTION("IFERROR((GOOGLEFINANCE(C9, ""price"") / INDEX(GOOGLEFINANCE(C9, ""price"", EDATE(TODAY(), -6), TODAY()), 2, 2)) - 1, """")"),"")</f>
        <v/>
      </c>
      <c r="P9" s="21" t="str">
        <f>IFERROR(__xludf.DUMMYFUNCTION("IFERROR((GOOGLEFINANCE(C9, ""price"") / INDEX(GOOGLEFINANCE(C9, ""price"", EDATE(TODAY(), -12), TODAY()), 2, 2)) - 1, """")"),"")</f>
        <v/>
      </c>
      <c r="Q9" s="6" t="str">
        <f>IFERROR(__xludf.DUMMYFUNCTION("AVERAGE(QUERY(GOOGLEFINANCE(C9, ""price"", TODAY()-80, TODAY()), ""SELECT Col2 WHERE Col2 IS NOT NULL ORDER BY Col1 DESC LIMIT 50"", 0))"),"#N/A")</f>
        <v>#N/A</v>
      </c>
      <c r="R9" s="24" t="str">
        <f>IFERROR(__xludf.DUMMYFUNCTION("IFERROR(
  LET(
    data, QUERY(GOOGLEFINANCE(C9, ""all"", TODAY()-35, TODAY()), ""SELECT Col3, Col4, Col5 ORDER BY Col1 DESC LIMIT 15"", 0),
    h, CHOOSEROWS(CHOOSECOLS(data, 1), SEQUENCE(14)),
    l, CHOOSEROWS(CHOOSECOLS(data, 2), SEQUENCE(14)),
    c"&amp;"_prev, CHOOSEROWS(CHOOSECOLS(data, 3), SEQUENCE(14, 1, 2)),
    tr, ARRAYFORMULA((IF(h &gt; c_prev, h, c_prev)) - (IF(l &lt; c_prev, l, c_prev))),
    calc, (AVERAGE(tr) / GOOGLEFINANCE(C9, ""price"")) * 100,
    IF(calc=0, G9, calc)
  ), 
G9)"),"#N/A")</f>
        <v>#N/A</v>
      </c>
      <c r="S9" s="8" t="s">
        <v>15</v>
      </c>
      <c r="T9" s="26" t="str">
        <f>IFERROR(__xludf.DUMMYFUNCTION("IFERROR(TRANSPOSE(QUERY(IFERROR(SORT(GOOGLEFINANCE(C9, ""price"", WORKDAY(TODAY(), -40), TODAY()), 1, FALSE)), ""select Col2 where Col2 is not null limit 22 label Col2 ''"", 0)), """")"),"")</f>
        <v/>
      </c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8"/>
      <c r="AO9" s="28"/>
      <c r="AP9" s="29"/>
      <c r="AQ9" s="29" t="str">
        <f t="shared" ref="AQ9:BL9" si="12">T9/T$2</f>
        <v>#N/A</v>
      </c>
      <c r="AR9" s="29" t="str">
        <f t="shared" si="12"/>
        <v>#DIV/0!</v>
      </c>
      <c r="AS9" s="29" t="str">
        <f t="shared" si="12"/>
        <v>#DIV/0!</v>
      </c>
      <c r="AT9" s="29" t="str">
        <f t="shared" si="12"/>
        <v>#DIV/0!</v>
      </c>
      <c r="AU9" s="29" t="str">
        <f t="shared" si="12"/>
        <v>#DIV/0!</v>
      </c>
      <c r="AV9" s="29" t="str">
        <f t="shared" si="12"/>
        <v>#DIV/0!</v>
      </c>
      <c r="AW9" s="29" t="str">
        <f t="shared" si="12"/>
        <v>#DIV/0!</v>
      </c>
      <c r="AX9" s="29" t="str">
        <f t="shared" si="12"/>
        <v>#DIV/0!</v>
      </c>
      <c r="AY9" s="29" t="str">
        <f t="shared" si="12"/>
        <v>#DIV/0!</v>
      </c>
      <c r="AZ9" s="29" t="str">
        <f t="shared" si="12"/>
        <v>#DIV/0!</v>
      </c>
      <c r="BA9" s="29" t="str">
        <f t="shared" si="12"/>
        <v>#DIV/0!</v>
      </c>
      <c r="BB9" s="29" t="str">
        <f t="shared" si="12"/>
        <v>#DIV/0!</v>
      </c>
      <c r="BC9" s="29" t="str">
        <f t="shared" si="12"/>
        <v>#DIV/0!</v>
      </c>
      <c r="BD9" s="29" t="str">
        <f t="shared" si="12"/>
        <v>#DIV/0!</v>
      </c>
      <c r="BE9" s="29" t="str">
        <f t="shared" si="12"/>
        <v>#DIV/0!</v>
      </c>
      <c r="BF9" s="29" t="str">
        <f t="shared" si="12"/>
        <v>#DIV/0!</v>
      </c>
      <c r="BG9" s="29" t="str">
        <f t="shared" si="12"/>
        <v>#DIV/0!</v>
      </c>
      <c r="BH9" s="29" t="str">
        <f t="shared" si="12"/>
        <v>#DIV/0!</v>
      </c>
      <c r="BI9" s="29" t="str">
        <f t="shared" si="12"/>
        <v>#DIV/0!</v>
      </c>
      <c r="BJ9" s="29" t="str">
        <f t="shared" si="12"/>
        <v>#DIV/0!</v>
      </c>
      <c r="BK9" s="29" t="str">
        <f t="shared" si="12"/>
        <v>#DIV/0!</v>
      </c>
      <c r="BL9" s="29" t="str">
        <f t="shared" si="12"/>
        <v>#DIV/0!</v>
      </c>
      <c r="BM9" s="29" t="str">
        <f t="shared" si="3"/>
        <v>#DIV/0!</v>
      </c>
    </row>
    <row r="10">
      <c r="A10" s="16" t="str">
        <f>IFERROR(__xludf.DUMMYFUNCTION("IFERROR(SPARKLINE(SORT(MAP(TRANSPOSE(AQ10:BL10), LAMBDA(val, IF(ISNUMBER(val), PERCENTRANK(AQ10:BL10, val)+0.01, 0))), SEQUENCE(COLUMNS(AQ10:BL10)), FALSE), {""charttype"",""column""; ""color"",""chartreuse""; ""ymin"", 0; ""ymax"", 1.01; ""highcolor"", "&amp;"""darkgreen""; ""lowcolor"", ""red""}), """")"),"")</f>
        <v/>
      </c>
      <c r="B10" s="17" t="str">
        <f t="shared" si="4"/>
        <v/>
      </c>
      <c r="C10" s="1" t="s">
        <v>2959</v>
      </c>
      <c r="D10" s="30" t="str">
        <f>IFERROR(__xludf.DUMMYFUNCTION("IFERROR(GOOGLEFINANCE(C10, ""NAME""))"),"Americas Gold and Silver Corporation")</f>
        <v>Americas Gold and Silver Corporation</v>
      </c>
      <c r="E10" s="30" t="s">
        <v>2935</v>
      </c>
      <c r="F10" s="33" t="str">
        <f>IFERROR(__xludf.DUMMYFUNCTION("( (GOOGLEFINANCE(C10, ""price"") - Q10) / Q10 ) / (R10 / 100)"),"Loading...")</f>
        <v>Loading...</v>
      </c>
      <c r="G10" s="20" t="str">
        <f>IFERROR(__xludf.DUMMYFUNCTION("AVERAGE(ARRAYFORMULA(100 * (QUERY(GOOGLEFINANCE(C10, ""high"", TODAY()-40, TODAY()), ""SELECT Col2 WHERE Col2 IS NOT NULL ORDER BY Col1 DESC LIMIT 20"", 0) / QUERY(GOOGLEFINANCE(C10, ""low"", TODAY()-40, TODAY()), ""SELECT Col2 WHERE Col2 IS NOT NULL ORDE"&amp;"R BY Col1 DESC LIMIT 20"", 0) - 1)))"),"#N/A")</f>
        <v>#N/A</v>
      </c>
      <c r="H10" s="35" t="str">
        <f t="shared" si="6"/>
        <v>Illiquid</v>
      </c>
      <c r="I10" s="35" t="str">
        <f t="shared" si="7"/>
        <v>RVol Required</v>
      </c>
      <c r="J10" s="37">
        <f>IFERROR(__xludf.DUMMYFUNCTION("IFERROR(
  IF(C10="""",, 
    IFERROR(
      GOOGLEFINANCE(C10, ""price"") * GOOGLEFINANCE(C10, ""volumeavg""), 
      GOOGLEFINANCE(C10, ""price"") * AVERAGE(QUERY(GOOGLEFINANCE(C10, ""volume"", TODAY()-40, TODAY()), ""SELECT Col2 WHERE Col2 IS NOT NULL "&amp;"ORDER BY Col1 DESC LIMIT 20"", 0))
    )
  ), 
"""")"),1.327285008E7)</f>
        <v>13272850.08</v>
      </c>
      <c r="K10" s="21">
        <f>IFERROR(__xludf.DUMMYFUNCTION("IFERROR(GOOGLEFINANCE(C10, ""changepct"") / 100, """")"),-0.0207)</f>
        <v>-0.0207</v>
      </c>
      <c r="L10" s="21" t="str">
        <f>IFERROR(__xludf.DUMMYFUNCTION("IFERROR((GOOGLEFINANCE(C10, ""price"") / INDEX(GOOGLEFINANCE(C10, ""price"", TODAY()-7, TODAY()), 2, 2)) - 1, """")"),"")</f>
        <v/>
      </c>
      <c r="M10" s="21" t="str">
        <f>IFERROR(__xludf.DUMMYFUNCTION("IFERROR((GOOGLEFINANCE(C10, ""price"") / INDEX(GOOGLEFINANCE(C10, ""price"", EDATE(TODAY(), -1), TODAY()), 2, 2)) - 1, """")"),"")</f>
        <v/>
      </c>
      <c r="N10" s="21" t="str">
        <f>IFERROR(__xludf.DUMMYFUNCTION("IFERROR((GOOGLEFINANCE(C10, ""price"") / INDEX(GOOGLEFINANCE(C10, ""price"", EDATE(TODAY(), -3), TODAY()), 2, 2)) - 1, """")"),"")</f>
        <v/>
      </c>
      <c r="O10" s="21" t="str">
        <f>IFERROR(__xludf.DUMMYFUNCTION("IFERROR((GOOGLEFINANCE(C10, ""price"") / INDEX(GOOGLEFINANCE(C10, ""price"", EDATE(TODAY(), -6), TODAY()), 2, 2)) - 1, """")"),"")</f>
        <v/>
      </c>
      <c r="P10" s="21" t="str">
        <f>IFERROR(__xludf.DUMMYFUNCTION("IFERROR((GOOGLEFINANCE(C10, ""price"") / INDEX(GOOGLEFINANCE(C10, ""price"", EDATE(TODAY(), -12), TODAY()), 2, 2)) - 1, """")"),"")</f>
        <v/>
      </c>
      <c r="Q10" s="6" t="str">
        <f>IFERROR(__xludf.DUMMYFUNCTION("AVERAGE(QUERY(GOOGLEFINANCE(C10, ""price"", TODAY()-80, TODAY()), ""SELECT Col2 WHERE Col2 IS NOT NULL ORDER BY Col1 DESC LIMIT 50"", 0))"),"#N/A")</f>
        <v>#N/A</v>
      </c>
      <c r="R10" s="24" t="str">
        <f>IFERROR(__xludf.DUMMYFUNCTION("IFERROR(
  LET(
    data, QUERY(GOOGLEFINANCE(C10,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GOOGLEFINANCE(C10, ""price"")) * 100,
    IF(calc=0, G10, calc)
  ), 
G10)"),"#N/A")</f>
        <v>#N/A</v>
      </c>
      <c r="S10" s="8" t="s">
        <v>15</v>
      </c>
      <c r="T10" s="26" t="str">
        <f>IFERROR(__xludf.DUMMYFUNCTION("IFERROR(TRANSPOSE(QUERY(IFERROR(SORT(GOOGLEFINANCE(C10, ""price"", WORKDAY(TODAY(), -40), TODAY()), 1, FALSE)), ""select Col2 where Col2 is not null limit 22 label Col2 ''"", 0)), """")"),"")</f>
        <v/>
      </c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8"/>
      <c r="AO10" s="28"/>
      <c r="AP10" s="29"/>
      <c r="AQ10" s="29" t="str">
        <f t="shared" ref="AQ10:BL10" si="13">T10/T$2</f>
        <v>#N/A</v>
      </c>
      <c r="AR10" s="29" t="str">
        <f t="shared" si="13"/>
        <v>#DIV/0!</v>
      </c>
      <c r="AS10" s="29" t="str">
        <f t="shared" si="13"/>
        <v>#DIV/0!</v>
      </c>
      <c r="AT10" s="29" t="str">
        <f t="shared" si="13"/>
        <v>#DIV/0!</v>
      </c>
      <c r="AU10" s="29" t="str">
        <f t="shared" si="13"/>
        <v>#DIV/0!</v>
      </c>
      <c r="AV10" s="29" t="str">
        <f t="shared" si="13"/>
        <v>#DIV/0!</v>
      </c>
      <c r="AW10" s="29" t="str">
        <f t="shared" si="13"/>
        <v>#DIV/0!</v>
      </c>
      <c r="AX10" s="29" t="str">
        <f t="shared" si="13"/>
        <v>#DIV/0!</v>
      </c>
      <c r="AY10" s="29" t="str">
        <f t="shared" si="13"/>
        <v>#DIV/0!</v>
      </c>
      <c r="AZ10" s="29" t="str">
        <f t="shared" si="13"/>
        <v>#DIV/0!</v>
      </c>
      <c r="BA10" s="29" t="str">
        <f t="shared" si="13"/>
        <v>#DIV/0!</v>
      </c>
      <c r="BB10" s="29" t="str">
        <f t="shared" si="13"/>
        <v>#DIV/0!</v>
      </c>
      <c r="BC10" s="29" t="str">
        <f t="shared" si="13"/>
        <v>#DIV/0!</v>
      </c>
      <c r="BD10" s="29" t="str">
        <f t="shared" si="13"/>
        <v>#DIV/0!</v>
      </c>
      <c r="BE10" s="29" t="str">
        <f t="shared" si="13"/>
        <v>#DIV/0!</v>
      </c>
      <c r="BF10" s="29" t="str">
        <f t="shared" si="13"/>
        <v>#DIV/0!</v>
      </c>
      <c r="BG10" s="29" t="str">
        <f t="shared" si="13"/>
        <v>#DIV/0!</v>
      </c>
      <c r="BH10" s="29" t="str">
        <f t="shared" si="13"/>
        <v>#DIV/0!</v>
      </c>
      <c r="BI10" s="29" t="str">
        <f t="shared" si="13"/>
        <v>#DIV/0!</v>
      </c>
      <c r="BJ10" s="29" t="str">
        <f t="shared" si="13"/>
        <v>#DIV/0!</v>
      </c>
      <c r="BK10" s="29" t="str">
        <f t="shared" si="13"/>
        <v>#DIV/0!</v>
      </c>
      <c r="BL10" s="29" t="str">
        <f t="shared" si="13"/>
        <v>#DIV/0!</v>
      </c>
      <c r="BM10" s="29" t="str">
        <f t="shared" si="3"/>
        <v>#DIV/0!</v>
      </c>
    </row>
    <row r="11">
      <c r="A11" s="16" t="str">
        <f>IFERROR(__xludf.DUMMYFUNCTION("IFERROR(SPARKLINE(SORT(MAP(TRANSPOSE(AQ11:BL11), LAMBDA(val, IF(ISNUMBER(val), PERCENTRANK(AQ11:BL11, val)+0.01, 0))), SEQUENCE(COLUMNS(AQ11:BL11)), FALSE), {""charttype"",""column""; ""color"",""chartreuse""; ""ymin"", 0; ""ymax"", 1.01; ""highcolor"", "&amp;"""darkgreen""; ""lowcolor"", ""red""}), """")"),"")</f>
        <v/>
      </c>
      <c r="B11" s="17" t="str">
        <f t="shared" si="4"/>
        <v/>
      </c>
      <c r="C11" s="1" t="s">
        <v>2963</v>
      </c>
      <c r="D11" s="30" t="str">
        <f>IFERROR(__xludf.DUMMYFUNCTION("IFERROR(GOOGLEFINANCE(C11, ""NAME""))"),"Rio Tinto plc ADR Common Stock")</f>
        <v>Rio Tinto plc ADR Common Stock</v>
      </c>
      <c r="E11" s="30" t="s">
        <v>2935</v>
      </c>
      <c r="F11" s="33" t="str">
        <f>IFERROR(__xludf.DUMMYFUNCTION("( (GOOGLEFINANCE(C11, ""price"") - Q11) / Q11 ) / (R11 / 100)"),"Loading...")</f>
        <v>Loading...</v>
      </c>
      <c r="G11" s="20" t="str">
        <f>IFERROR(__xludf.DUMMYFUNCTION("AVERAGE(ARRAYFORMULA(100 * (QUERY(GOOGLEFINANCE(C11, ""high"", TODAY()-40, TODAY()), ""SELECT Col2 WHERE Col2 IS NOT NULL ORDER BY Col1 DESC LIMIT 20"", 0) / QUERY(GOOGLEFINANCE(C11, ""low"", TODAY()-40, TODAY()), ""SELECT Col2 WHERE Col2 IS NOT NULL ORDE"&amp;"R BY Col1 DESC LIMIT 20"", 0) - 1)))"),"#N/A")</f>
        <v>#N/A</v>
      </c>
      <c r="H11" s="35" t="str">
        <f t="shared" si="6"/>
        <v>Liquid</v>
      </c>
      <c r="I11" s="35" t="str">
        <f t="shared" si="7"/>
        <v>RVol Required</v>
      </c>
      <c r="J11" s="37">
        <f>IFERROR(__xludf.DUMMYFUNCTION("IFERROR(
  IF(C11="""",, 
    IFERROR(
      GOOGLEFINANCE(C11, ""price"") * GOOGLEFINANCE(C11, ""volumeavg""), 
      GOOGLEFINANCE(C11, ""price"") * AVERAGE(QUERY(GOOGLEFINANCE(C11, ""volume"", TODAY()-40, TODAY()), ""SELECT Col2 WHERE Col2 IS NOT NULL "&amp;"ORDER BY Col1 DESC LIMIT 20"", 0))
    )
  ), 
"""")"),1.6626177855999997E8)</f>
        <v>166261778.6</v>
      </c>
      <c r="K11" s="21">
        <f>IFERROR(__xludf.DUMMYFUNCTION("IFERROR(GOOGLEFINANCE(C11, ""changepct"") / 100, """")"),0.0012)</f>
        <v>0.0012</v>
      </c>
      <c r="L11" s="21" t="str">
        <f>IFERROR(__xludf.DUMMYFUNCTION("IFERROR((GOOGLEFINANCE(C11, ""price"") / INDEX(GOOGLEFINANCE(C11, ""price"", TODAY()-7, TODAY()), 2, 2)) - 1, """")"),"")</f>
        <v/>
      </c>
      <c r="M11" s="21" t="str">
        <f>IFERROR(__xludf.DUMMYFUNCTION("IFERROR((GOOGLEFINANCE(C11, ""price"") / INDEX(GOOGLEFINANCE(C11, ""price"", EDATE(TODAY(), -1), TODAY()), 2, 2)) - 1, """")"),"")</f>
        <v/>
      </c>
      <c r="N11" s="21" t="str">
        <f>IFERROR(__xludf.DUMMYFUNCTION("IFERROR((GOOGLEFINANCE(C11, ""price"") / INDEX(GOOGLEFINANCE(C11, ""price"", EDATE(TODAY(), -3), TODAY()), 2, 2)) - 1, """")"),"")</f>
        <v/>
      </c>
      <c r="O11" s="21" t="str">
        <f>IFERROR(__xludf.DUMMYFUNCTION("IFERROR((GOOGLEFINANCE(C11, ""price"") / INDEX(GOOGLEFINANCE(C11, ""price"", EDATE(TODAY(), -6), TODAY()), 2, 2)) - 1, """")"),"")</f>
        <v/>
      </c>
      <c r="P11" s="21" t="str">
        <f>IFERROR(__xludf.DUMMYFUNCTION("IFERROR((GOOGLEFINANCE(C11, ""price"") / INDEX(GOOGLEFINANCE(C11, ""price"", EDATE(TODAY(), -12), TODAY()), 2, 2)) - 1, """")"),"")</f>
        <v/>
      </c>
      <c r="Q11" s="6" t="str">
        <f>IFERROR(__xludf.DUMMYFUNCTION("AVERAGE(QUERY(GOOGLEFINANCE(C11, ""price"", TODAY()-80, TODAY()), ""SELECT Col2 WHERE Col2 IS NOT NULL ORDER BY Col1 DESC LIMIT 50"", 0))"),"#N/A")</f>
        <v>#N/A</v>
      </c>
      <c r="R11" s="24" t="str">
        <f>IFERROR(__xludf.DUMMYFUNCTION("IFERROR(
  LET(
    data, QUERY(GOOGLEFINANCE(C11,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GOOGLEFINANCE(C11, ""price"")) * 100,
    IF(calc=0, G11, calc)
  ), 
G11)"),"#N/A")</f>
        <v>#N/A</v>
      </c>
      <c r="S11" s="8" t="s">
        <v>15</v>
      </c>
      <c r="T11" s="26" t="str">
        <f>IFERROR(__xludf.DUMMYFUNCTION("IFERROR(TRANSPOSE(QUERY(IFERROR(SORT(GOOGLEFINANCE(C11, ""price"", WORKDAY(TODAY(), -40), TODAY()), 1, FALSE)), ""select Col2 where Col2 is not null limit 22 label Col2 ''"", 0)), """")"),"")</f>
        <v/>
      </c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8"/>
      <c r="AO11" s="28"/>
      <c r="AP11" s="29"/>
      <c r="AQ11" s="29" t="str">
        <f t="shared" ref="AQ11:BL11" si="14">T11/T$2</f>
        <v>#N/A</v>
      </c>
      <c r="AR11" s="29" t="str">
        <f t="shared" si="14"/>
        <v>#DIV/0!</v>
      </c>
      <c r="AS11" s="29" t="str">
        <f t="shared" si="14"/>
        <v>#DIV/0!</v>
      </c>
      <c r="AT11" s="29" t="str">
        <f t="shared" si="14"/>
        <v>#DIV/0!</v>
      </c>
      <c r="AU11" s="29" t="str">
        <f t="shared" si="14"/>
        <v>#DIV/0!</v>
      </c>
      <c r="AV11" s="29" t="str">
        <f t="shared" si="14"/>
        <v>#DIV/0!</v>
      </c>
      <c r="AW11" s="29" t="str">
        <f t="shared" si="14"/>
        <v>#DIV/0!</v>
      </c>
      <c r="AX11" s="29" t="str">
        <f t="shared" si="14"/>
        <v>#DIV/0!</v>
      </c>
      <c r="AY11" s="29" t="str">
        <f t="shared" si="14"/>
        <v>#DIV/0!</v>
      </c>
      <c r="AZ11" s="29" t="str">
        <f t="shared" si="14"/>
        <v>#DIV/0!</v>
      </c>
      <c r="BA11" s="29" t="str">
        <f t="shared" si="14"/>
        <v>#DIV/0!</v>
      </c>
      <c r="BB11" s="29" t="str">
        <f t="shared" si="14"/>
        <v>#DIV/0!</v>
      </c>
      <c r="BC11" s="29" t="str">
        <f t="shared" si="14"/>
        <v>#DIV/0!</v>
      </c>
      <c r="BD11" s="29" t="str">
        <f t="shared" si="14"/>
        <v>#DIV/0!</v>
      </c>
      <c r="BE11" s="29" t="str">
        <f t="shared" si="14"/>
        <v>#DIV/0!</v>
      </c>
      <c r="BF11" s="29" t="str">
        <f t="shared" si="14"/>
        <v>#DIV/0!</v>
      </c>
      <c r="BG11" s="29" t="str">
        <f t="shared" si="14"/>
        <v>#DIV/0!</v>
      </c>
      <c r="BH11" s="29" t="str">
        <f t="shared" si="14"/>
        <v>#DIV/0!</v>
      </c>
      <c r="BI11" s="29" t="str">
        <f t="shared" si="14"/>
        <v>#DIV/0!</v>
      </c>
      <c r="BJ11" s="29" t="str">
        <f t="shared" si="14"/>
        <v>#DIV/0!</v>
      </c>
      <c r="BK11" s="29" t="str">
        <f t="shared" si="14"/>
        <v>#DIV/0!</v>
      </c>
      <c r="BL11" s="29" t="str">
        <f t="shared" si="14"/>
        <v>#DIV/0!</v>
      </c>
      <c r="BM11" s="29" t="str">
        <f t="shared" si="3"/>
        <v>#DIV/0!</v>
      </c>
    </row>
    <row r="12">
      <c r="A12" s="16" t="str">
        <f>IFERROR(__xludf.DUMMYFUNCTION("IFERROR(SPARKLINE(SORT(MAP(TRANSPOSE(AQ12:BL12), LAMBDA(val, IF(ISNUMBER(val), PERCENTRANK(AQ12:BL12, val)+0.01, 0))), SEQUENCE(COLUMNS(AQ12:BL12)), FALSE), {""charttype"",""column""; ""color"",""chartreuse""; ""ymin"", 0; ""ymax"", 1.01; ""highcolor"", "&amp;"""darkgreen""; ""lowcolor"", ""red""}), """")"),"")</f>
        <v/>
      </c>
      <c r="B12" s="17" t="str">
        <f t="shared" si="4"/>
        <v/>
      </c>
      <c r="C12" s="1" t="s">
        <v>2969</v>
      </c>
      <c r="D12" s="30" t="str">
        <f>IFERROR(__xludf.DUMMYFUNCTION("IFERROR(GOOGLEFINANCE(C12, ""NAME""))"),"Vizsla Silver Corp")</f>
        <v>Vizsla Silver Corp</v>
      </c>
      <c r="E12" s="30" t="s">
        <v>2935</v>
      </c>
      <c r="F12" s="33" t="str">
        <f>IFERROR(__xludf.DUMMYFUNCTION("( (GOOGLEFINANCE(C12, ""price"") - Q12) / Q12 ) / (R12 / 100)"),"Loading...")</f>
        <v>Loading...</v>
      </c>
      <c r="G12" s="20" t="str">
        <f>IFERROR(__xludf.DUMMYFUNCTION("AVERAGE(ARRAYFORMULA(100 * (QUERY(GOOGLEFINANCE(C12, ""high"", TODAY()-40, TODAY()), ""SELECT Col2 WHERE Col2 IS NOT NULL ORDER BY Col1 DESC LIMIT 20"", 0) / QUERY(GOOGLEFINANCE(C12, ""low"", TODAY()-40, TODAY()), ""SELECT Col2 WHERE Col2 IS NOT NULL ORDE"&amp;"R BY Col1 DESC LIMIT 20"", 0) - 1)))"),"#N/A")</f>
        <v>#N/A</v>
      </c>
      <c r="H12" s="35" t="str">
        <f t="shared" si="6"/>
        <v>Illiquid</v>
      </c>
      <c r="I12" s="35" t="str">
        <f t="shared" si="7"/>
        <v>RVol Required</v>
      </c>
      <c r="J12" s="37">
        <f>IFERROR(__xludf.DUMMYFUNCTION("IFERROR(
  IF(C12="""",, 
    IFERROR(
      GOOGLEFINANCE(C12, ""price"") * GOOGLEFINANCE(C12, ""volumeavg""), 
      GOOGLEFINANCE(C12, ""price"") * AVERAGE(QUERY(GOOGLEFINANCE(C12, ""volume"", TODAY()-40, TODAY()), ""SELECT Col2 WHERE Col2 IS NOT NULL "&amp;"ORDER BY Col1 DESC LIMIT 20"", 0))
    )
  ), 
"""")"),1.39615645E7)</f>
        <v>13961564.5</v>
      </c>
      <c r="K12" s="21">
        <f>IFERROR(__xludf.DUMMYFUNCTION("IFERROR(GOOGLEFINANCE(C12, ""changepct"") / 100, """")"),-0.0181)</f>
        <v>-0.0181</v>
      </c>
      <c r="L12" s="21" t="str">
        <f>IFERROR(__xludf.DUMMYFUNCTION("IFERROR((GOOGLEFINANCE(C12, ""price"") / INDEX(GOOGLEFINANCE(C12, ""price"", TODAY()-7, TODAY()), 2, 2)) - 1, """")"),"")</f>
        <v/>
      </c>
      <c r="M12" s="21" t="str">
        <f>IFERROR(__xludf.DUMMYFUNCTION("IFERROR((GOOGLEFINANCE(C12, ""price"") / INDEX(GOOGLEFINANCE(C12, ""price"", EDATE(TODAY(), -1), TODAY()), 2, 2)) - 1, """")"),"")</f>
        <v/>
      </c>
      <c r="N12" s="21" t="str">
        <f>IFERROR(__xludf.DUMMYFUNCTION("IFERROR((GOOGLEFINANCE(C12, ""price"") / INDEX(GOOGLEFINANCE(C12, ""price"", EDATE(TODAY(), -3), TODAY()), 2, 2)) - 1, """")"),"")</f>
        <v/>
      </c>
      <c r="O12" s="21" t="str">
        <f>IFERROR(__xludf.DUMMYFUNCTION("IFERROR((GOOGLEFINANCE(C12, ""price"") / INDEX(GOOGLEFINANCE(C12, ""price"", EDATE(TODAY(), -6), TODAY()), 2, 2)) - 1, """")"),"")</f>
        <v/>
      </c>
      <c r="P12" s="21" t="str">
        <f>IFERROR(__xludf.DUMMYFUNCTION("IFERROR((GOOGLEFINANCE(C12, ""price"") / INDEX(GOOGLEFINANCE(C12, ""price"", EDATE(TODAY(), -12), TODAY()), 2, 2)) - 1, """")"),"")</f>
        <v/>
      </c>
      <c r="Q12" s="6" t="str">
        <f>IFERROR(__xludf.DUMMYFUNCTION("AVERAGE(QUERY(GOOGLEFINANCE(C12, ""price"", TODAY()-80, TODAY()), ""SELECT Col2 WHERE Col2 IS NOT NULL ORDER BY Col1 DESC LIMIT 50"", 0))"),"#N/A")</f>
        <v>#N/A</v>
      </c>
      <c r="R12" s="24" t="str">
        <f>IFERROR(__xludf.DUMMYFUNCTION("IFERROR(
  LET(
    data, QUERY(GOOGLEFINANCE(C12,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GOOGLEFINANCE(C12, ""price"")) * 100,
    IF(calc=0, G12, calc)
  ), 
G12)"),"#N/A")</f>
        <v>#N/A</v>
      </c>
      <c r="S12" s="8" t="s">
        <v>15</v>
      </c>
      <c r="T12" s="26" t="str">
        <f>IFERROR(__xludf.DUMMYFUNCTION("IFERROR(TRANSPOSE(QUERY(IFERROR(SORT(GOOGLEFINANCE(C12, ""price"", WORKDAY(TODAY(), -40), TODAY()), 1, FALSE)), ""select Col2 where Col2 is not null limit 22 label Col2 ''"", 0)), """")"),"")</f>
        <v/>
      </c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8"/>
      <c r="AO12" s="28"/>
      <c r="AP12" s="29"/>
      <c r="AQ12" s="29" t="str">
        <f t="shared" ref="AQ12:BL12" si="15">T12/T$2</f>
        <v>#N/A</v>
      </c>
      <c r="AR12" s="29" t="str">
        <f t="shared" si="15"/>
        <v>#DIV/0!</v>
      </c>
      <c r="AS12" s="29" t="str">
        <f t="shared" si="15"/>
        <v>#DIV/0!</v>
      </c>
      <c r="AT12" s="29" t="str">
        <f t="shared" si="15"/>
        <v>#DIV/0!</v>
      </c>
      <c r="AU12" s="29" t="str">
        <f t="shared" si="15"/>
        <v>#DIV/0!</v>
      </c>
      <c r="AV12" s="29" t="str">
        <f t="shared" si="15"/>
        <v>#DIV/0!</v>
      </c>
      <c r="AW12" s="29" t="str">
        <f t="shared" si="15"/>
        <v>#DIV/0!</v>
      </c>
      <c r="AX12" s="29" t="str">
        <f t="shared" si="15"/>
        <v>#DIV/0!</v>
      </c>
      <c r="AY12" s="29" t="str">
        <f t="shared" si="15"/>
        <v>#DIV/0!</v>
      </c>
      <c r="AZ12" s="29" t="str">
        <f t="shared" si="15"/>
        <v>#DIV/0!</v>
      </c>
      <c r="BA12" s="29" t="str">
        <f t="shared" si="15"/>
        <v>#DIV/0!</v>
      </c>
      <c r="BB12" s="29" t="str">
        <f t="shared" si="15"/>
        <v>#DIV/0!</v>
      </c>
      <c r="BC12" s="29" t="str">
        <f t="shared" si="15"/>
        <v>#DIV/0!</v>
      </c>
      <c r="BD12" s="29" t="str">
        <f t="shared" si="15"/>
        <v>#DIV/0!</v>
      </c>
      <c r="BE12" s="29" t="str">
        <f t="shared" si="15"/>
        <v>#DIV/0!</v>
      </c>
      <c r="BF12" s="29" t="str">
        <f t="shared" si="15"/>
        <v>#DIV/0!</v>
      </c>
      <c r="BG12" s="29" t="str">
        <f t="shared" si="15"/>
        <v>#DIV/0!</v>
      </c>
      <c r="BH12" s="29" t="str">
        <f t="shared" si="15"/>
        <v>#DIV/0!</v>
      </c>
      <c r="BI12" s="29" t="str">
        <f t="shared" si="15"/>
        <v>#DIV/0!</v>
      </c>
      <c r="BJ12" s="29" t="str">
        <f t="shared" si="15"/>
        <v>#DIV/0!</v>
      </c>
      <c r="BK12" s="29" t="str">
        <f t="shared" si="15"/>
        <v>#DIV/0!</v>
      </c>
      <c r="BL12" s="29" t="str">
        <f t="shared" si="15"/>
        <v>#DIV/0!</v>
      </c>
      <c r="BM12" s="29" t="str">
        <f t="shared" si="3"/>
        <v>#DIV/0!</v>
      </c>
    </row>
    <row r="13">
      <c r="A13" s="16" t="str">
        <f>IFERROR(__xludf.DUMMYFUNCTION("IFERROR(SPARKLINE(SORT(MAP(TRANSPOSE(AQ13:BL13), LAMBDA(val, IF(ISNUMBER(val), PERCENTRANK(AQ13:BL13, val)+0.01, 0))), SEQUENCE(COLUMNS(AQ13:BL13)), FALSE), {""charttype"",""column""; ""color"",""chartreuse""; ""ymin"", 0; ""ymax"", 1.01; ""highcolor"", "&amp;"""darkgreen""; ""lowcolor"", ""red""}), """")"),"")</f>
        <v/>
      </c>
      <c r="B13" s="17" t="str">
        <f t="shared" si="4"/>
        <v/>
      </c>
      <c r="C13" s="1" t="s">
        <v>2973</v>
      </c>
      <c r="D13" s="30" t="str">
        <f>IFERROR(__xludf.DUMMYFUNCTION("IFERROR(GOOGLEFINANCE(C13, ""NAME""))"),"Vista Gold Corp")</f>
        <v>Vista Gold Corp</v>
      </c>
      <c r="E13" s="30" t="s">
        <v>2928</v>
      </c>
      <c r="F13" s="33" t="str">
        <f>IFERROR(__xludf.DUMMYFUNCTION("( (GOOGLEFINANCE(C13, ""price"") - Q13) / Q13 ) / (R13 / 100)"),"Loading...")</f>
        <v>Loading...</v>
      </c>
      <c r="G13" s="20" t="str">
        <f>IFERROR(__xludf.DUMMYFUNCTION("AVERAGE(ARRAYFORMULA(100 * (QUERY(GOOGLEFINANCE(C13, ""high"", TODAY()-40, TODAY()), ""SELECT Col2 WHERE Col2 IS NOT NULL ORDER BY Col1 DESC LIMIT 20"", 0) / QUERY(GOOGLEFINANCE(C13, ""low"", TODAY()-40, TODAY()), ""SELECT Col2 WHERE Col2 IS NOT NULL ORDE"&amp;"R BY Col1 DESC LIMIT 20"", 0) - 1)))"),"#N/A")</f>
        <v>#N/A</v>
      </c>
      <c r="H13" s="35" t="str">
        <f t="shared" si="6"/>
        <v>Illiquid</v>
      </c>
      <c r="I13" s="35" t="str">
        <f t="shared" si="7"/>
        <v>RVol Required</v>
      </c>
      <c r="J13" s="37">
        <f>IFERROR(__xludf.DUMMYFUNCTION("IFERROR(
  IF(C13="""",, 
    IFERROR(
      GOOGLEFINANCE(C13, ""price"") * GOOGLEFINANCE(C13, ""volumeavg""), 
      GOOGLEFINANCE(C13, ""price"") * AVERAGE(QUERY(GOOGLEFINANCE(C13, ""volume"", TODAY()-40, TODAY()), ""SELECT Col2 WHERE Col2 IS NOT NULL "&amp;"ORDER BY Col1 DESC LIMIT 20"", 0))
    )
  ), 
"""")"),6286986.24)</f>
        <v>6286986.24</v>
      </c>
      <c r="K13" s="21">
        <f>IFERROR(__xludf.DUMMYFUNCTION("IFERROR(GOOGLEFINANCE(C13, ""changepct"") / 100, """")"),0.0074)</f>
        <v>0.0074</v>
      </c>
      <c r="L13" s="21" t="str">
        <f>IFERROR(__xludf.DUMMYFUNCTION("IFERROR((GOOGLEFINANCE(C13, ""price"") / INDEX(GOOGLEFINANCE(C13, ""price"", TODAY()-7, TODAY()), 2, 2)) - 1, """")"),"")</f>
        <v/>
      </c>
      <c r="M13" s="21" t="str">
        <f>IFERROR(__xludf.DUMMYFUNCTION("IFERROR((GOOGLEFINANCE(C13, ""price"") / INDEX(GOOGLEFINANCE(C13, ""price"", EDATE(TODAY(), -1), TODAY()), 2, 2)) - 1, """")"),"")</f>
        <v/>
      </c>
      <c r="N13" s="21" t="str">
        <f>IFERROR(__xludf.DUMMYFUNCTION("IFERROR((GOOGLEFINANCE(C13, ""price"") / INDEX(GOOGLEFINANCE(C13, ""price"", EDATE(TODAY(), -3), TODAY()), 2, 2)) - 1, """")"),"")</f>
        <v/>
      </c>
      <c r="O13" s="21" t="str">
        <f>IFERROR(__xludf.DUMMYFUNCTION("IFERROR((GOOGLEFINANCE(C13, ""price"") / INDEX(GOOGLEFINANCE(C13, ""price"", EDATE(TODAY(), -6), TODAY()), 2, 2)) - 1, """")"),"")</f>
        <v/>
      </c>
      <c r="P13" s="21" t="str">
        <f>IFERROR(__xludf.DUMMYFUNCTION("IFERROR((GOOGLEFINANCE(C13, ""price"") / INDEX(GOOGLEFINANCE(C13, ""price"", EDATE(TODAY(), -12), TODAY()), 2, 2)) - 1, """")"),"")</f>
        <v/>
      </c>
      <c r="Q13" s="6" t="str">
        <f>IFERROR(__xludf.DUMMYFUNCTION("AVERAGE(QUERY(GOOGLEFINANCE(C13, ""price"", TODAY()-80, TODAY()), ""SELECT Col2 WHERE Col2 IS NOT NULL ORDER BY Col1 DESC LIMIT 50"", 0))"),"#N/A")</f>
        <v>#N/A</v>
      </c>
      <c r="R13" s="24" t="str">
        <f>IFERROR(__xludf.DUMMYFUNCTION("IFERROR(
  LET(
    data, QUERY(GOOGLEFINANCE(C13,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GOOGLEFINANCE(C13, ""price"")) * 100,
    IF(calc=0, G13, calc)
  ), 
G13)"),"#N/A")</f>
        <v>#N/A</v>
      </c>
      <c r="S13" s="8" t="s">
        <v>15</v>
      </c>
      <c r="T13" s="26" t="str">
        <f>IFERROR(__xludf.DUMMYFUNCTION("IFERROR(TRANSPOSE(QUERY(IFERROR(SORT(GOOGLEFINANCE(C13, ""price"", WORKDAY(TODAY(), -40), TODAY()), 1, FALSE)), ""select Col2 where Col2 is not null limit 22 label Col2 ''"", 0)), """")"),"")</f>
        <v/>
      </c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8"/>
      <c r="AO13" s="28"/>
      <c r="AP13" s="29"/>
      <c r="AQ13" s="29" t="str">
        <f t="shared" ref="AQ13:BL13" si="16">T13/T$2</f>
        <v>#N/A</v>
      </c>
      <c r="AR13" s="29" t="str">
        <f t="shared" si="16"/>
        <v>#DIV/0!</v>
      </c>
      <c r="AS13" s="29" t="str">
        <f t="shared" si="16"/>
        <v>#DIV/0!</v>
      </c>
      <c r="AT13" s="29" t="str">
        <f t="shared" si="16"/>
        <v>#DIV/0!</v>
      </c>
      <c r="AU13" s="29" t="str">
        <f t="shared" si="16"/>
        <v>#DIV/0!</v>
      </c>
      <c r="AV13" s="29" t="str">
        <f t="shared" si="16"/>
        <v>#DIV/0!</v>
      </c>
      <c r="AW13" s="29" t="str">
        <f t="shared" si="16"/>
        <v>#DIV/0!</v>
      </c>
      <c r="AX13" s="29" t="str">
        <f t="shared" si="16"/>
        <v>#DIV/0!</v>
      </c>
      <c r="AY13" s="29" t="str">
        <f t="shared" si="16"/>
        <v>#DIV/0!</v>
      </c>
      <c r="AZ13" s="29" t="str">
        <f t="shared" si="16"/>
        <v>#DIV/0!</v>
      </c>
      <c r="BA13" s="29" t="str">
        <f t="shared" si="16"/>
        <v>#DIV/0!</v>
      </c>
      <c r="BB13" s="29" t="str">
        <f t="shared" si="16"/>
        <v>#DIV/0!</v>
      </c>
      <c r="BC13" s="29" t="str">
        <f t="shared" si="16"/>
        <v>#DIV/0!</v>
      </c>
      <c r="BD13" s="29" t="str">
        <f t="shared" si="16"/>
        <v>#DIV/0!</v>
      </c>
      <c r="BE13" s="29" t="str">
        <f t="shared" si="16"/>
        <v>#DIV/0!</v>
      </c>
      <c r="BF13" s="29" t="str">
        <f t="shared" si="16"/>
        <v>#DIV/0!</v>
      </c>
      <c r="BG13" s="29" t="str">
        <f t="shared" si="16"/>
        <v>#DIV/0!</v>
      </c>
      <c r="BH13" s="29" t="str">
        <f t="shared" si="16"/>
        <v>#DIV/0!</v>
      </c>
      <c r="BI13" s="29" t="str">
        <f t="shared" si="16"/>
        <v>#DIV/0!</v>
      </c>
      <c r="BJ13" s="29" t="str">
        <f t="shared" si="16"/>
        <v>#DIV/0!</v>
      </c>
      <c r="BK13" s="29" t="str">
        <f t="shared" si="16"/>
        <v>#DIV/0!</v>
      </c>
      <c r="BL13" s="29" t="str">
        <f t="shared" si="16"/>
        <v>#DIV/0!</v>
      </c>
      <c r="BM13" s="29" t="str">
        <f t="shared" si="3"/>
        <v>#DIV/0!</v>
      </c>
    </row>
    <row r="14">
      <c r="A14" s="16" t="str">
        <f>IFERROR(__xludf.DUMMYFUNCTION("IFERROR(SPARKLINE(SORT(MAP(TRANSPOSE(AQ14:BL14), LAMBDA(val, IF(ISNUMBER(val), PERCENTRANK(AQ14:BL14, val)+0.01, 0))), SEQUENCE(COLUMNS(AQ14:BL14)), FALSE), {""charttype"",""column""; ""color"",""chartreuse""; ""ymin"", 0; ""ymax"", 1.01; ""highcolor"", "&amp;"""darkgreen""; ""lowcolor"", ""red""}), """")"),"")</f>
        <v/>
      </c>
      <c r="B14" s="17" t="str">
        <f t="shared" si="4"/>
        <v/>
      </c>
      <c r="C14" s="1" t="s">
        <v>2977</v>
      </c>
      <c r="D14" s="30" t="str">
        <f>IFERROR(__xludf.DUMMYFUNCTION("IFERROR(GOOGLEFINANCE(C14, ""NAME""))"),"Endeavour Silver Corp")</f>
        <v>Endeavour Silver Corp</v>
      </c>
      <c r="E14" s="30" t="s">
        <v>2950</v>
      </c>
      <c r="F14" s="33" t="str">
        <f>IFERROR(__xludf.DUMMYFUNCTION("( (GOOGLEFINANCE(C14, ""price"") - Q14) / Q14 ) / (R14 / 100)"),"Loading...")</f>
        <v>Loading...</v>
      </c>
      <c r="G14" s="20" t="str">
        <f>IFERROR(__xludf.DUMMYFUNCTION("AVERAGE(ARRAYFORMULA(100 * (QUERY(GOOGLEFINANCE(C14, ""high"", TODAY()-40, TODAY()), ""SELECT Col2 WHERE Col2 IS NOT NULL ORDER BY Col1 DESC LIMIT 20"", 0) / QUERY(GOOGLEFINANCE(C14, ""low"", TODAY()-40, TODAY()), ""SELECT Col2 WHERE Col2 IS NOT NULL ORDE"&amp;"R BY Col1 DESC LIMIT 20"", 0) - 1)))"),"#N/A")</f>
        <v>#N/A</v>
      </c>
      <c r="H14" s="35" t="str">
        <f t="shared" si="6"/>
        <v>Liquid</v>
      </c>
      <c r="I14" s="35" t="str">
        <f t="shared" si="7"/>
        <v>RVol Required</v>
      </c>
      <c r="J14" s="37">
        <f>IFERROR(__xludf.DUMMYFUNCTION("IFERROR(
  IF(C14="""",, 
    IFERROR(
      GOOGLEFINANCE(C14, ""price"") * GOOGLEFINANCE(C14, ""volumeavg""), 
      GOOGLEFINANCE(C14, ""price"") * AVERAGE(QUERY(GOOGLEFINANCE(C14, ""volume"", TODAY()-40, TODAY()), ""SELECT Col2 WHERE Col2 IS NOT NULL "&amp;"ORDER BY Col1 DESC LIMIT 20"", 0))
    )
  ), 
"""")"),6.137928208E7)</f>
        <v>61379282.08</v>
      </c>
      <c r="K14" s="21">
        <f>IFERROR(__xludf.DUMMYFUNCTION("IFERROR(GOOGLEFINANCE(C14, ""changepct"") / 100, """")"),-0.006)</f>
        <v>-0.006</v>
      </c>
      <c r="L14" s="21" t="str">
        <f>IFERROR(__xludf.DUMMYFUNCTION("IFERROR((GOOGLEFINANCE(C14, ""price"") / INDEX(GOOGLEFINANCE(C14, ""price"", TODAY()-7, TODAY()), 2, 2)) - 1, """")"),"")</f>
        <v/>
      </c>
      <c r="M14" s="21" t="str">
        <f>IFERROR(__xludf.DUMMYFUNCTION("IFERROR((GOOGLEFINANCE(C14, ""price"") / INDEX(GOOGLEFINANCE(C14, ""price"", EDATE(TODAY(), -1), TODAY()), 2, 2)) - 1, """")"),"")</f>
        <v/>
      </c>
      <c r="N14" s="21" t="str">
        <f>IFERROR(__xludf.DUMMYFUNCTION("IFERROR((GOOGLEFINANCE(C14, ""price"") / INDEX(GOOGLEFINANCE(C14, ""price"", EDATE(TODAY(), -3), TODAY()), 2, 2)) - 1, """")"),"")</f>
        <v/>
      </c>
      <c r="O14" s="21" t="str">
        <f>IFERROR(__xludf.DUMMYFUNCTION("IFERROR((GOOGLEFINANCE(C14, ""price"") / INDEX(GOOGLEFINANCE(C14, ""price"", EDATE(TODAY(), -6), TODAY()), 2, 2)) - 1, """")"),"")</f>
        <v/>
      </c>
      <c r="P14" s="21" t="str">
        <f>IFERROR(__xludf.DUMMYFUNCTION("IFERROR((GOOGLEFINANCE(C14, ""price"") / INDEX(GOOGLEFINANCE(C14, ""price"", EDATE(TODAY(), -12), TODAY()), 2, 2)) - 1, """")"),"")</f>
        <v/>
      </c>
      <c r="Q14" s="6" t="str">
        <f>IFERROR(__xludf.DUMMYFUNCTION("AVERAGE(QUERY(GOOGLEFINANCE(C14, ""price"", TODAY()-80, TODAY()), ""SELECT Col2 WHERE Col2 IS NOT NULL ORDER BY Col1 DESC LIMIT 50"", 0))"),"#N/A")</f>
        <v>#N/A</v>
      </c>
      <c r="R14" s="24" t="str">
        <f>IFERROR(__xludf.DUMMYFUNCTION("IFERROR(
  LET(
    data, QUERY(GOOGLEFINANCE(C14,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GOOGLEFINANCE(C14, ""price"")) * 100,
    IF(calc=0, G14, calc)
  ), 
G14)"),"#N/A")</f>
        <v>#N/A</v>
      </c>
      <c r="S14" s="8" t="s">
        <v>15</v>
      </c>
      <c r="T14" s="26" t="str">
        <f>IFERROR(__xludf.DUMMYFUNCTION("IFERROR(TRANSPOSE(QUERY(IFERROR(SORT(GOOGLEFINANCE(C14, ""price"", WORKDAY(TODAY(), -40), TODAY()), 1, FALSE)), ""select Col2 where Col2 is not null limit 22 label Col2 ''"", 0)), """")"),"")</f>
        <v/>
      </c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8"/>
      <c r="AO14" s="28"/>
      <c r="AP14" s="29"/>
      <c r="AQ14" s="29" t="str">
        <f t="shared" ref="AQ14:BL14" si="17">T14/T$2</f>
        <v>#N/A</v>
      </c>
      <c r="AR14" s="29" t="str">
        <f t="shared" si="17"/>
        <v>#DIV/0!</v>
      </c>
      <c r="AS14" s="29" t="str">
        <f t="shared" si="17"/>
        <v>#DIV/0!</v>
      </c>
      <c r="AT14" s="29" t="str">
        <f t="shared" si="17"/>
        <v>#DIV/0!</v>
      </c>
      <c r="AU14" s="29" t="str">
        <f t="shared" si="17"/>
        <v>#DIV/0!</v>
      </c>
      <c r="AV14" s="29" t="str">
        <f t="shared" si="17"/>
        <v>#DIV/0!</v>
      </c>
      <c r="AW14" s="29" t="str">
        <f t="shared" si="17"/>
        <v>#DIV/0!</v>
      </c>
      <c r="AX14" s="29" t="str">
        <f t="shared" si="17"/>
        <v>#DIV/0!</v>
      </c>
      <c r="AY14" s="29" t="str">
        <f t="shared" si="17"/>
        <v>#DIV/0!</v>
      </c>
      <c r="AZ14" s="29" t="str">
        <f t="shared" si="17"/>
        <v>#DIV/0!</v>
      </c>
      <c r="BA14" s="29" t="str">
        <f t="shared" si="17"/>
        <v>#DIV/0!</v>
      </c>
      <c r="BB14" s="29" t="str">
        <f t="shared" si="17"/>
        <v>#DIV/0!</v>
      </c>
      <c r="BC14" s="29" t="str">
        <f t="shared" si="17"/>
        <v>#DIV/0!</v>
      </c>
      <c r="BD14" s="29" t="str">
        <f t="shared" si="17"/>
        <v>#DIV/0!</v>
      </c>
      <c r="BE14" s="29" t="str">
        <f t="shared" si="17"/>
        <v>#DIV/0!</v>
      </c>
      <c r="BF14" s="29" t="str">
        <f t="shared" si="17"/>
        <v>#DIV/0!</v>
      </c>
      <c r="BG14" s="29" t="str">
        <f t="shared" si="17"/>
        <v>#DIV/0!</v>
      </c>
      <c r="BH14" s="29" t="str">
        <f t="shared" si="17"/>
        <v>#DIV/0!</v>
      </c>
      <c r="BI14" s="29" t="str">
        <f t="shared" si="17"/>
        <v>#DIV/0!</v>
      </c>
      <c r="BJ14" s="29" t="str">
        <f t="shared" si="17"/>
        <v>#DIV/0!</v>
      </c>
      <c r="BK14" s="29" t="str">
        <f t="shared" si="17"/>
        <v>#DIV/0!</v>
      </c>
      <c r="BL14" s="29" t="str">
        <f t="shared" si="17"/>
        <v>#DIV/0!</v>
      </c>
      <c r="BM14" s="29" t="str">
        <f t="shared" si="3"/>
        <v>#DIV/0!</v>
      </c>
    </row>
    <row r="15">
      <c r="A15" s="16" t="str">
        <f>IFERROR(__xludf.DUMMYFUNCTION("IFERROR(SPARKLINE(SORT(MAP(TRANSPOSE(AQ15:BL15), LAMBDA(val, IF(ISNUMBER(val), PERCENTRANK(AQ15:BL15, val)+0.01, 0))), SEQUENCE(COLUMNS(AQ15:BL15)), FALSE), {""charttype"",""column""; ""color"",""chartreuse""; ""ymin"", 0; ""ymax"", 1.01; ""highcolor"", "&amp;"""darkgreen""; ""lowcolor"", ""red""}), """")"),"")</f>
        <v/>
      </c>
      <c r="B15" s="17" t="str">
        <f t="shared" si="4"/>
        <v/>
      </c>
      <c r="C15" s="1" t="s">
        <v>2981</v>
      </c>
      <c r="D15" s="30" t="str">
        <f>IFERROR(__xludf.DUMMYFUNCTION("IFERROR(GOOGLEFINANCE(C15, ""NAME""))"),"BHP Group Ltd")</f>
        <v>BHP Group Ltd</v>
      </c>
      <c r="E15" s="30" t="s">
        <v>2935</v>
      </c>
      <c r="F15" s="33" t="str">
        <f>IFERROR(__xludf.DUMMYFUNCTION("( (GOOGLEFINANCE(C15, ""price"") - Q15) / Q15 ) / (R15 / 100)"),"Loading...")</f>
        <v>Loading...</v>
      </c>
      <c r="G15" s="20" t="str">
        <f>IFERROR(__xludf.DUMMYFUNCTION("AVERAGE(ARRAYFORMULA(100 * (QUERY(GOOGLEFINANCE(C15, ""high"", TODAY()-40, TODAY()), ""SELECT Col2 WHERE Col2 IS NOT NULL ORDER BY Col1 DESC LIMIT 20"", 0) / QUERY(GOOGLEFINANCE(C15, ""low"", TODAY()-40, TODAY()), ""SELECT Col2 WHERE Col2 IS NOT NULL ORDE"&amp;"R BY Col1 DESC LIMIT 20"", 0) - 1)))"),"#N/A")</f>
        <v>#N/A</v>
      </c>
      <c r="H15" s="35" t="str">
        <f t="shared" si="6"/>
        <v>Liquid</v>
      </c>
      <c r="I15" s="35" t="str">
        <f t="shared" si="7"/>
        <v>RVol Required</v>
      </c>
      <c r="J15" s="37">
        <f>IFERROR(__xludf.DUMMYFUNCTION("IFERROR(
  IF(C15="""",, 
    IFERROR(
      GOOGLEFINANCE(C15, ""price"") * GOOGLEFINANCE(C15, ""volumeavg""), 
      GOOGLEFINANCE(C15, ""price"") * AVERAGE(QUERY(GOOGLEFINANCE(C15, ""volume"", TODAY()-40, TODAY()), ""SELECT Col2 WHERE Col2 IS NOT NULL "&amp;"ORDER BY Col1 DESC LIMIT 20"", 0))
    )
  ), 
"""")"),2.1848949302E8)</f>
        <v>218489493</v>
      </c>
      <c r="K15" s="21">
        <f>IFERROR(__xludf.DUMMYFUNCTION("IFERROR(GOOGLEFINANCE(C15, ""changepct"") / 100, """")"),0.004699999999999999)</f>
        <v>0.0047</v>
      </c>
      <c r="L15" s="21" t="str">
        <f>IFERROR(__xludf.DUMMYFUNCTION("IFERROR((GOOGLEFINANCE(C15, ""price"") / INDEX(GOOGLEFINANCE(C15, ""price"", TODAY()-7, TODAY()), 2, 2)) - 1, """")"),"")</f>
        <v/>
      </c>
      <c r="M15" s="21" t="str">
        <f>IFERROR(__xludf.DUMMYFUNCTION("IFERROR((GOOGLEFINANCE(C15, ""price"") / INDEX(GOOGLEFINANCE(C15, ""price"", EDATE(TODAY(), -1), TODAY()), 2, 2)) - 1, """")"),"")</f>
        <v/>
      </c>
      <c r="N15" s="21" t="str">
        <f>IFERROR(__xludf.DUMMYFUNCTION("IFERROR((GOOGLEFINANCE(C15, ""price"") / INDEX(GOOGLEFINANCE(C15, ""price"", EDATE(TODAY(), -3), TODAY()), 2, 2)) - 1, """")"),"")</f>
        <v/>
      </c>
      <c r="O15" s="21" t="str">
        <f>IFERROR(__xludf.DUMMYFUNCTION("IFERROR((GOOGLEFINANCE(C15, ""price"") / INDEX(GOOGLEFINANCE(C15, ""price"", EDATE(TODAY(), -6), TODAY()), 2, 2)) - 1, """")"),"")</f>
        <v/>
      </c>
      <c r="P15" s="21" t="str">
        <f>IFERROR(__xludf.DUMMYFUNCTION("IFERROR((GOOGLEFINANCE(C15, ""price"") / INDEX(GOOGLEFINANCE(C15, ""price"", EDATE(TODAY(), -12), TODAY()), 2, 2)) - 1, """")"),"")</f>
        <v/>
      </c>
      <c r="Q15" s="6" t="str">
        <f>IFERROR(__xludf.DUMMYFUNCTION("AVERAGE(QUERY(GOOGLEFINANCE(C15, ""price"", TODAY()-80, TODAY()), ""SELECT Col2 WHERE Col2 IS NOT NULL ORDER BY Col1 DESC LIMIT 50"", 0))"),"#N/A")</f>
        <v>#N/A</v>
      </c>
      <c r="R15" s="24" t="str">
        <f>IFERROR(__xludf.DUMMYFUNCTION("IFERROR(
  LET(
    data, QUERY(GOOGLEFINANCE(C15,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GOOGLEFINANCE(C15, ""price"")) * 100,
    IF(calc=0, G15, calc)
  ), 
G15)"),"#N/A")</f>
        <v>#N/A</v>
      </c>
      <c r="S15" s="8" t="s">
        <v>15</v>
      </c>
      <c r="T15" s="26" t="str">
        <f>IFERROR(__xludf.DUMMYFUNCTION("IFERROR(TRANSPOSE(QUERY(IFERROR(SORT(GOOGLEFINANCE(C15, ""price"", WORKDAY(TODAY(), -40), TODAY()), 1, FALSE)), ""select Col2 where Col2 is not null limit 22 label Col2 ''"", 0)), """")"),"")</f>
        <v/>
      </c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8"/>
      <c r="AO15" s="28"/>
      <c r="AP15" s="29"/>
      <c r="AQ15" s="29" t="str">
        <f t="shared" ref="AQ15:BL15" si="18">T15/T$2</f>
        <v>#N/A</v>
      </c>
      <c r="AR15" s="29" t="str">
        <f t="shared" si="18"/>
        <v>#DIV/0!</v>
      </c>
      <c r="AS15" s="29" t="str">
        <f t="shared" si="18"/>
        <v>#DIV/0!</v>
      </c>
      <c r="AT15" s="29" t="str">
        <f t="shared" si="18"/>
        <v>#DIV/0!</v>
      </c>
      <c r="AU15" s="29" t="str">
        <f t="shared" si="18"/>
        <v>#DIV/0!</v>
      </c>
      <c r="AV15" s="29" t="str">
        <f t="shared" si="18"/>
        <v>#DIV/0!</v>
      </c>
      <c r="AW15" s="29" t="str">
        <f t="shared" si="18"/>
        <v>#DIV/0!</v>
      </c>
      <c r="AX15" s="29" t="str">
        <f t="shared" si="18"/>
        <v>#DIV/0!</v>
      </c>
      <c r="AY15" s="29" t="str">
        <f t="shared" si="18"/>
        <v>#DIV/0!</v>
      </c>
      <c r="AZ15" s="29" t="str">
        <f t="shared" si="18"/>
        <v>#DIV/0!</v>
      </c>
      <c r="BA15" s="29" t="str">
        <f t="shared" si="18"/>
        <v>#DIV/0!</v>
      </c>
      <c r="BB15" s="29" t="str">
        <f t="shared" si="18"/>
        <v>#DIV/0!</v>
      </c>
      <c r="BC15" s="29" t="str">
        <f t="shared" si="18"/>
        <v>#DIV/0!</v>
      </c>
      <c r="BD15" s="29" t="str">
        <f t="shared" si="18"/>
        <v>#DIV/0!</v>
      </c>
      <c r="BE15" s="29" t="str">
        <f t="shared" si="18"/>
        <v>#DIV/0!</v>
      </c>
      <c r="BF15" s="29" t="str">
        <f t="shared" si="18"/>
        <v>#DIV/0!</v>
      </c>
      <c r="BG15" s="29" t="str">
        <f t="shared" si="18"/>
        <v>#DIV/0!</v>
      </c>
      <c r="BH15" s="29" t="str">
        <f t="shared" si="18"/>
        <v>#DIV/0!</v>
      </c>
      <c r="BI15" s="29" t="str">
        <f t="shared" si="18"/>
        <v>#DIV/0!</v>
      </c>
      <c r="BJ15" s="29" t="str">
        <f t="shared" si="18"/>
        <v>#DIV/0!</v>
      </c>
      <c r="BK15" s="29" t="str">
        <f t="shared" si="18"/>
        <v>#DIV/0!</v>
      </c>
      <c r="BL15" s="29" t="str">
        <f t="shared" si="18"/>
        <v>#DIV/0!</v>
      </c>
      <c r="BM15" s="29" t="str">
        <f t="shared" si="3"/>
        <v>#DIV/0!</v>
      </c>
    </row>
    <row r="16">
      <c r="A16" s="16" t="str">
        <f>IFERROR(__xludf.DUMMYFUNCTION("IFERROR(SPARKLINE(SORT(MAP(TRANSPOSE(AQ16:BL16), LAMBDA(val, IF(ISNUMBER(val), PERCENTRANK(AQ16:BL16, val)+0.01, 0))), SEQUENCE(COLUMNS(AQ16:BL16)), FALSE), {""charttype"",""column""; ""color"",""chartreuse""; ""ymin"", 0; ""ymax"", 1.01; ""highcolor"", "&amp;"""darkgreen""; ""lowcolor"", ""red""}), """")"),"")</f>
        <v/>
      </c>
      <c r="B16" s="17" t="str">
        <f t="shared" si="4"/>
        <v/>
      </c>
      <c r="C16" s="1" t="s">
        <v>2986</v>
      </c>
      <c r="D16" s="30" t="str">
        <f>IFERROR(__xludf.DUMMYFUNCTION("IFERROR(GOOGLEFINANCE(C16, ""NAME""))"),"Pan American Silver Corp")</f>
        <v>Pan American Silver Corp</v>
      </c>
      <c r="E16" s="30" t="s">
        <v>2928</v>
      </c>
      <c r="F16" s="38" t="str">
        <f>IFERROR(__xludf.DUMMYFUNCTION("( (GOOGLEFINANCE(C16, ""price"") - Q16) / Q16 ) / (R16 / 100)"),"Loading...")</f>
        <v>Loading...</v>
      </c>
      <c r="G16" s="20" t="str">
        <f>IFERROR(__xludf.DUMMYFUNCTION("AVERAGE(ARRAYFORMULA(100 * (QUERY(GOOGLEFINANCE(C16, ""high"", TODAY()-40, TODAY()), ""SELECT Col2 WHERE Col2 IS NOT NULL ORDER BY Col1 DESC LIMIT 20"", 0) / QUERY(GOOGLEFINANCE(C16, ""low"", TODAY()-40, TODAY()), ""SELECT Col2 WHERE Col2 IS NOT NULL ORDE"&amp;"R BY Col1 DESC LIMIT 20"", 0) - 1)))"),"#N/A")</f>
        <v>#N/A</v>
      </c>
      <c r="H16" s="35" t="str">
        <f t="shared" si="6"/>
        <v>Liquid</v>
      </c>
      <c r="I16" s="35" t="str">
        <f t="shared" si="7"/>
        <v>RVol Required</v>
      </c>
      <c r="J16" s="37">
        <f>IFERROR(__xludf.DUMMYFUNCTION("IFERROR(
  IF(C16="""",, 
    IFERROR(
      GOOGLEFINANCE(C16, ""price"") * GOOGLEFINANCE(C16, ""volumeavg""), 
      GOOGLEFINANCE(C16, ""price"") * AVERAGE(QUERY(GOOGLEFINANCE(C16, ""volume"", TODAY()-40, TODAY()), ""SELECT Col2 WHERE Col2 IS NOT NULL "&amp;"ORDER BY Col1 DESC LIMIT 20"", 0))
    )
  ), 
"""")"),1.4538551341E8)</f>
        <v>145385513.4</v>
      </c>
      <c r="K16" s="21">
        <f>IFERROR(__xludf.DUMMYFUNCTION("IFERROR(GOOGLEFINANCE(C16, ""changepct"") / 100, """")"),0.0101)</f>
        <v>0.0101</v>
      </c>
      <c r="L16" s="21" t="str">
        <f>IFERROR(__xludf.DUMMYFUNCTION("IFERROR((GOOGLEFINANCE(C16, ""price"") / INDEX(GOOGLEFINANCE(C16, ""price"", TODAY()-7, TODAY()), 2, 2)) - 1, """")"),"")</f>
        <v/>
      </c>
      <c r="M16" s="21" t="str">
        <f>IFERROR(__xludf.DUMMYFUNCTION("IFERROR((GOOGLEFINANCE(C16, ""price"") / INDEX(GOOGLEFINANCE(C16, ""price"", EDATE(TODAY(), -1), TODAY()), 2, 2)) - 1, """")"),"")</f>
        <v/>
      </c>
      <c r="N16" s="21" t="str">
        <f>IFERROR(__xludf.DUMMYFUNCTION("IFERROR((GOOGLEFINANCE(C16, ""price"") / INDEX(GOOGLEFINANCE(C16, ""price"", EDATE(TODAY(), -3), TODAY()), 2, 2)) - 1, """")"),"")</f>
        <v/>
      </c>
      <c r="O16" s="21" t="str">
        <f>IFERROR(__xludf.DUMMYFUNCTION("IFERROR((GOOGLEFINANCE(C16, ""price"") / INDEX(GOOGLEFINANCE(C16, ""price"", EDATE(TODAY(), -6), TODAY()), 2, 2)) - 1, """")"),"")</f>
        <v/>
      </c>
      <c r="P16" s="21" t="str">
        <f>IFERROR(__xludf.DUMMYFUNCTION("IFERROR((GOOGLEFINANCE(C16, ""price"") / INDEX(GOOGLEFINANCE(C16, ""price"", EDATE(TODAY(), -12), TODAY()), 2, 2)) - 1, """")"),"")</f>
        <v/>
      </c>
      <c r="Q16" s="6" t="str">
        <f>IFERROR(__xludf.DUMMYFUNCTION("AVERAGE(QUERY(GOOGLEFINANCE(C16, ""price"", TODAY()-80, TODAY()), ""SELECT Col2 WHERE Col2 IS NOT NULL ORDER BY Col1 DESC LIMIT 50"", 0))"),"#N/A")</f>
        <v>#N/A</v>
      </c>
      <c r="R16" s="24" t="str">
        <f>IFERROR(__xludf.DUMMYFUNCTION("IFERROR(
  LET(
    data, QUERY(GOOGLEFINANCE(C16,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GOOGLEFINANCE(C16, ""price"")) * 100,
    IF(calc=0, G16, calc)
  ), 
G16)"),"#N/A")</f>
        <v>#N/A</v>
      </c>
      <c r="S16" s="8" t="s">
        <v>15</v>
      </c>
      <c r="T16" s="26" t="str">
        <f>IFERROR(__xludf.DUMMYFUNCTION("IFERROR(TRANSPOSE(QUERY(IFERROR(SORT(GOOGLEFINANCE(C16, ""price"", WORKDAY(TODAY(), -40), TODAY()), 1, FALSE)), ""select Col2 where Col2 is not null limit 22 label Col2 ''"", 0)), """")"),"")</f>
        <v/>
      </c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8"/>
      <c r="AO16" s="28"/>
      <c r="AP16" s="29"/>
      <c r="AQ16" s="29" t="str">
        <f t="shared" ref="AQ16:BL16" si="19">T16/T$2</f>
        <v>#N/A</v>
      </c>
      <c r="AR16" s="29" t="str">
        <f t="shared" si="19"/>
        <v>#DIV/0!</v>
      </c>
      <c r="AS16" s="29" t="str">
        <f t="shared" si="19"/>
        <v>#DIV/0!</v>
      </c>
      <c r="AT16" s="29" t="str">
        <f t="shared" si="19"/>
        <v>#DIV/0!</v>
      </c>
      <c r="AU16" s="29" t="str">
        <f t="shared" si="19"/>
        <v>#DIV/0!</v>
      </c>
      <c r="AV16" s="29" t="str">
        <f t="shared" si="19"/>
        <v>#DIV/0!</v>
      </c>
      <c r="AW16" s="29" t="str">
        <f t="shared" si="19"/>
        <v>#DIV/0!</v>
      </c>
      <c r="AX16" s="29" t="str">
        <f t="shared" si="19"/>
        <v>#DIV/0!</v>
      </c>
      <c r="AY16" s="29" t="str">
        <f t="shared" si="19"/>
        <v>#DIV/0!</v>
      </c>
      <c r="AZ16" s="29" t="str">
        <f t="shared" si="19"/>
        <v>#DIV/0!</v>
      </c>
      <c r="BA16" s="29" t="str">
        <f t="shared" si="19"/>
        <v>#DIV/0!</v>
      </c>
      <c r="BB16" s="29" t="str">
        <f t="shared" si="19"/>
        <v>#DIV/0!</v>
      </c>
      <c r="BC16" s="29" t="str">
        <f t="shared" si="19"/>
        <v>#DIV/0!</v>
      </c>
      <c r="BD16" s="29" t="str">
        <f t="shared" si="19"/>
        <v>#DIV/0!</v>
      </c>
      <c r="BE16" s="29" t="str">
        <f t="shared" si="19"/>
        <v>#DIV/0!</v>
      </c>
      <c r="BF16" s="29" t="str">
        <f t="shared" si="19"/>
        <v>#DIV/0!</v>
      </c>
      <c r="BG16" s="29" t="str">
        <f t="shared" si="19"/>
        <v>#DIV/0!</v>
      </c>
      <c r="BH16" s="29" t="str">
        <f t="shared" si="19"/>
        <v>#DIV/0!</v>
      </c>
      <c r="BI16" s="29" t="str">
        <f t="shared" si="19"/>
        <v>#DIV/0!</v>
      </c>
      <c r="BJ16" s="29" t="str">
        <f t="shared" si="19"/>
        <v>#DIV/0!</v>
      </c>
      <c r="BK16" s="29" t="str">
        <f t="shared" si="19"/>
        <v>#DIV/0!</v>
      </c>
      <c r="BL16" s="29" t="str">
        <f t="shared" si="19"/>
        <v>#DIV/0!</v>
      </c>
      <c r="BM16" s="29" t="str">
        <f t="shared" si="3"/>
        <v>#DIV/0!</v>
      </c>
    </row>
    <row r="17">
      <c r="A17" s="16" t="str">
        <f>IFERROR(__xludf.DUMMYFUNCTION("IFERROR(SPARKLINE(SORT(MAP(TRANSPOSE(AQ17:BL17), LAMBDA(val, IF(ISNUMBER(val), PERCENTRANK(AQ17:BL17, val)+0.01, 0))), SEQUENCE(COLUMNS(AQ17:BL17)), FALSE), {""charttype"",""column""; ""color"",""chartreuse""; ""ymin"", 0; ""ymax"", 1.01; ""highcolor"", "&amp;"""darkgreen""; ""lowcolor"", ""red""}), """")"),"")</f>
        <v/>
      </c>
      <c r="B17" s="17" t="str">
        <f t="shared" si="4"/>
        <v/>
      </c>
      <c r="C17" s="1" t="s">
        <v>2990</v>
      </c>
      <c r="D17" s="30" t="str">
        <f>IFERROR(__xludf.DUMMYFUNCTION("IFERROR(GOOGLEFINANCE(C17, ""NAME""))"),"Western Copper and Gold Corp")</f>
        <v>Western Copper and Gold Corp</v>
      </c>
      <c r="E17" s="30" t="s">
        <v>2935</v>
      </c>
      <c r="F17" s="33" t="str">
        <f>IFERROR(__xludf.DUMMYFUNCTION("( (GOOGLEFINANCE(C17, ""price"") - Q17) / Q17 ) / (R17 / 100)"),"Loading...")</f>
        <v>Loading...</v>
      </c>
      <c r="G17" s="20" t="str">
        <f>IFERROR(__xludf.DUMMYFUNCTION("AVERAGE(ARRAYFORMULA(100 * (QUERY(GOOGLEFINANCE(C17, ""high"", TODAY()-40, TODAY()), ""SELECT Col2 WHERE Col2 IS NOT NULL ORDER BY Col1 DESC LIMIT 20"", 0) / QUERY(GOOGLEFINANCE(C17, ""low"", TODAY()-40, TODAY()), ""SELECT Col2 WHERE Col2 IS NOT NULL ORDE"&amp;"R BY Col1 DESC LIMIT 20"", 0) - 1)))"),"#N/A")</f>
        <v>#N/A</v>
      </c>
      <c r="H17" s="35" t="str">
        <f t="shared" si="6"/>
        <v>Illiquid</v>
      </c>
      <c r="I17" s="35" t="str">
        <f t="shared" si="7"/>
        <v>RVol Required</v>
      </c>
      <c r="J17" s="37">
        <f>IFERROR(__xludf.DUMMYFUNCTION("IFERROR(
  IF(C17="""",, 
    IFERROR(
      GOOGLEFINANCE(C17, ""price"") * GOOGLEFINANCE(C17, ""volumeavg""), 
      GOOGLEFINANCE(C17, ""price"") * AVERAGE(QUERY(GOOGLEFINANCE(C17, ""volume"", TODAY()-40, TODAY()), ""SELECT Col2 WHERE Col2 IS NOT NULL "&amp;"ORDER BY Col1 DESC LIMIT 20"", 0))
    )
  ), 
"""")"),2177069.44)</f>
        <v>2177069.44</v>
      </c>
      <c r="K17" s="21">
        <f>IFERROR(__xludf.DUMMYFUNCTION("IFERROR(GOOGLEFINANCE(C17, ""changepct"") / 100, """")"),-0.0055000000000000005)</f>
        <v>-0.0055</v>
      </c>
      <c r="L17" s="21" t="str">
        <f>IFERROR(__xludf.DUMMYFUNCTION("IFERROR((GOOGLEFINANCE(C17, ""price"") / INDEX(GOOGLEFINANCE(C17, ""price"", TODAY()-7, TODAY()), 2, 2)) - 1, """")"),"")</f>
        <v/>
      </c>
      <c r="M17" s="21" t="str">
        <f>IFERROR(__xludf.DUMMYFUNCTION("IFERROR((GOOGLEFINANCE(C17, ""price"") / INDEX(GOOGLEFINANCE(C17, ""price"", EDATE(TODAY(), -1), TODAY()), 2, 2)) - 1, """")"),"")</f>
        <v/>
      </c>
      <c r="N17" s="21" t="str">
        <f>IFERROR(__xludf.DUMMYFUNCTION("IFERROR((GOOGLEFINANCE(C17, ""price"") / INDEX(GOOGLEFINANCE(C17, ""price"", EDATE(TODAY(), -3), TODAY()), 2, 2)) - 1, """")"),"")</f>
        <v/>
      </c>
      <c r="O17" s="21" t="str">
        <f>IFERROR(__xludf.DUMMYFUNCTION("IFERROR((GOOGLEFINANCE(C17, ""price"") / INDEX(GOOGLEFINANCE(C17, ""price"", EDATE(TODAY(), -6), TODAY()), 2, 2)) - 1, """")"),"")</f>
        <v/>
      </c>
      <c r="P17" s="21" t="str">
        <f>IFERROR(__xludf.DUMMYFUNCTION("IFERROR((GOOGLEFINANCE(C17, ""price"") / INDEX(GOOGLEFINANCE(C17, ""price"", EDATE(TODAY(), -12), TODAY()), 2, 2)) - 1, """")"),"")</f>
        <v/>
      </c>
      <c r="Q17" s="6" t="str">
        <f>IFERROR(__xludf.DUMMYFUNCTION("AVERAGE(QUERY(GOOGLEFINANCE(C17, ""price"", TODAY()-80, TODAY()), ""SELECT Col2 WHERE Col2 IS NOT NULL ORDER BY Col1 DESC LIMIT 50"", 0))"),"#N/A")</f>
        <v>#N/A</v>
      </c>
      <c r="R17" s="24" t="str">
        <f>IFERROR(__xludf.DUMMYFUNCTION("IFERROR(
  LET(
    data, QUERY(GOOGLEFINANCE(C17,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GOOGLEFINANCE(C17, ""price"")) * 100,
    IF(calc=0, G17, calc)
  ), 
G17)"),"#N/A")</f>
        <v>#N/A</v>
      </c>
      <c r="S17" s="8" t="s">
        <v>15</v>
      </c>
      <c r="T17" s="26" t="str">
        <f>IFERROR(__xludf.DUMMYFUNCTION("IFERROR(TRANSPOSE(QUERY(IFERROR(SORT(GOOGLEFINANCE(C17, ""price"", WORKDAY(TODAY(), -40), TODAY()), 1, FALSE)), ""select Col2 where Col2 is not null limit 22 label Col2 ''"", 0)), """")"),"")</f>
        <v/>
      </c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8"/>
      <c r="AO17" s="28"/>
      <c r="AP17" s="29"/>
      <c r="AQ17" s="29" t="str">
        <f t="shared" ref="AQ17:BL17" si="20">T17/T$2</f>
        <v>#N/A</v>
      </c>
      <c r="AR17" s="29" t="str">
        <f t="shared" si="20"/>
        <v>#DIV/0!</v>
      </c>
      <c r="AS17" s="29" t="str">
        <f t="shared" si="20"/>
        <v>#DIV/0!</v>
      </c>
      <c r="AT17" s="29" t="str">
        <f t="shared" si="20"/>
        <v>#DIV/0!</v>
      </c>
      <c r="AU17" s="29" t="str">
        <f t="shared" si="20"/>
        <v>#DIV/0!</v>
      </c>
      <c r="AV17" s="29" t="str">
        <f t="shared" si="20"/>
        <v>#DIV/0!</v>
      </c>
      <c r="AW17" s="29" t="str">
        <f t="shared" si="20"/>
        <v>#DIV/0!</v>
      </c>
      <c r="AX17" s="29" t="str">
        <f t="shared" si="20"/>
        <v>#DIV/0!</v>
      </c>
      <c r="AY17" s="29" t="str">
        <f t="shared" si="20"/>
        <v>#DIV/0!</v>
      </c>
      <c r="AZ17" s="29" t="str">
        <f t="shared" si="20"/>
        <v>#DIV/0!</v>
      </c>
      <c r="BA17" s="29" t="str">
        <f t="shared" si="20"/>
        <v>#DIV/0!</v>
      </c>
      <c r="BB17" s="29" t="str">
        <f t="shared" si="20"/>
        <v>#DIV/0!</v>
      </c>
      <c r="BC17" s="29" t="str">
        <f t="shared" si="20"/>
        <v>#DIV/0!</v>
      </c>
      <c r="BD17" s="29" t="str">
        <f t="shared" si="20"/>
        <v>#DIV/0!</v>
      </c>
      <c r="BE17" s="29" t="str">
        <f t="shared" si="20"/>
        <v>#DIV/0!</v>
      </c>
      <c r="BF17" s="29" t="str">
        <f t="shared" si="20"/>
        <v>#DIV/0!</v>
      </c>
      <c r="BG17" s="29" t="str">
        <f t="shared" si="20"/>
        <v>#DIV/0!</v>
      </c>
      <c r="BH17" s="29" t="str">
        <f t="shared" si="20"/>
        <v>#DIV/0!</v>
      </c>
      <c r="BI17" s="29" t="str">
        <f t="shared" si="20"/>
        <v>#DIV/0!</v>
      </c>
      <c r="BJ17" s="29" t="str">
        <f t="shared" si="20"/>
        <v>#DIV/0!</v>
      </c>
      <c r="BK17" s="29" t="str">
        <f t="shared" si="20"/>
        <v>#DIV/0!</v>
      </c>
      <c r="BL17" s="29" t="str">
        <f t="shared" si="20"/>
        <v>#DIV/0!</v>
      </c>
      <c r="BM17" s="29" t="str">
        <f t="shared" si="3"/>
        <v>#DIV/0!</v>
      </c>
    </row>
    <row r="18">
      <c r="A18" s="16" t="str">
        <f>IFERROR(__xludf.DUMMYFUNCTION("IFERROR(SPARKLINE(SORT(MAP(TRANSPOSE(AQ18:BL18), LAMBDA(val, IF(ISNUMBER(val), PERCENTRANK(AQ18:BL18, val)+0.01, 0))), SEQUENCE(COLUMNS(AQ18:BL18)), FALSE), {""charttype"",""column""; ""color"",""chartreuse""; ""ymin"", 0; ""ymax"", 1.01; ""highcolor"", "&amp;"""darkgreen""; ""lowcolor"", ""red""}), """")"),"")</f>
        <v/>
      </c>
      <c r="B18" s="17" t="str">
        <f t="shared" si="4"/>
        <v/>
      </c>
      <c r="C18" s="1" t="s">
        <v>2994</v>
      </c>
      <c r="D18" s="30" t="str">
        <f>IFERROR(__xludf.DUMMYFUNCTION("IFERROR(GOOGLEFINANCE(C18, ""NAME""))"),"Minerals Technologies Inc")</f>
        <v>Minerals Technologies Inc</v>
      </c>
      <c r="E18" s="30" t="s">
        <v>2995</v>
      </c>
      <c r="F18" s="33" t="str">
        <f>IFERROR(__xludf.DUMMYFUNCTION("( (GOOGLEFINANCE(C18, ""price"") - Q18) / Q18 ) / (R18 / 100)"),"Loading...")</f>
        <v>Loading...</v>
      </c>
      <c r="G18" s="20" t="str">
        <f>IFERROR(__xludf.DUMMYFUNCTION("AVERAGE(ARRAYFORMULA(100 * (QUERY(GOOGLEFINANCE(C18, ""high"", TODAY()-40, TODAY()), ""SELECT Col2 WHERE Col2 IS NOT NULL ORDER BY Col1 DESC LIMIT 20"", 0) / QUERY(GOOGLEFINANCE(C18, ""low"", TODAY()-40, TODAY()), ""SELECT Col2 WHERE Col2 IS NOT NULL ORDE"&amp;"R BY Col1 DESC LIMIT 20"", 0) - 1)))"),"#N/A")</f>
        <v>#N/A</v>
      </c>
      <c r="H18" s="35" t="str">
        <f t="shared" si="6"/>
        <v>Illiquid</v>
      </c>
      <c r="I18" s="35" t="str">
        <f t="shared" si="7"/>
        <v>RVol Required</v>
      </c>
      <c r="J18" s="37">
        <f>IFERROR(__xludf.DUMMYFUNCTION("IFERROR(
  IF(C18="""",, 
    IFERROR(
      GOOGLEFINANCE(C18, ""price"") * GOOGLEFINANCE(C18, ""volumeavg""), 
      GOOGLEFINANCE(C18, ""price"") * AVERAGE(QUERY(GOOGLEFINANCE(C18, ""volume"", TODAY()-40, TODAY()), ""SELECT Col2 WHERE Col2 IS NOT NULL "&amp;"ORDER BY Col1 DESC LIMIT 20"", 0))
    )
  ), 
"""")"),1.156288533E7)</f>
        <v>11562885.33</v>
      </c>
      <c r="K18" s="21">
        <f>IFERROR(__xludf.DUMMYFUNCTION("IFERROR(GOOGLEFINANCE(C18, ""changepct"") / 100, """")"),-0.011899999999999999)</f>
        <v>-0.0119</v>
      </c>
      <c r="L18" s="21" t="str">
        <f>IFERROR(__xludf.DUMMYFUNCTION("IFERROR((GOOGLEFINANCE(C18, ""price"") / INDEX(GOOGLEFINANCE(C18, ""price"", TODAY()-7, TODAY()), 2, 2)) - 1, """")"),"")</f>
        <v/>
      </c>
      <c r="M18" s="21" t="str">
        <f>IFERROR(__xludf.DUMMYFUNCTION("IFERROR((GOOGLEFINANCE(C18, ""price"") / INDEX(GOOGLEFINANCE(C18, ""price"", EDATE(TODAY(), -1), TODAY()), 2, 2)) - 1, """")"),"")</f>
        <v/>
      </c>
      <c r="N18" s="21" t="str">
        <f>IFERROR(__xludf.DUMMYFUNCTION("IFERROR((GOOGLEFINANCE(C18, ""price"") / INDEX(GOOGLEFINANCE(C18, ""price"", EDATE(TODAY(), -3), TODAY()), 2, 2)) - 1, """")"),"")</f>
        <v/>
      </c>
      <c r="O18" s="21" t="str">
        <f>IFERROR(__xludf.DUMMYFUNCTION("IFERROR((GOOGLEFINANCE(C18, ""price"") / INDEX(GOOGLEFINANCE(C18, ""price"", EDATE(TODAY(), -6), TODAY()), 2, 2)) - 1, """")"),"")</f>
        <v/>
      </c>
      <c r="P18" s="21" t="str">
        <f>IFERROR(__xludf.DUMMYFUNCTION("IFERROR((GOOGLEFINANCE(C18, ""price"") / INDEX(GOOGLEFINANCE(C18, ""price"", EDATE(TODAY(), -12), TODAY()), 2, 2)) - 1, """")"),"")</f>
        <v/>
      </c>
      <c r="Q18" s="6" t="str">
        <f>IFERROR(__xludf.DUMMYFUNCTION("AVERAGE(QUERY(GOOGLEFINANCE(C18, ""price"", TODAY()-80, TODAY()), ""SELECT Col2 WHERE Col2 IS NOT NULL ORDER BY Col1 DESC LIMIT 50"", 0))"),"#N/A")</f>
        <v>#N/A</v>
      </c>
      <c r="R18" s="24" t="str">
        <f>IFERROR(__xludf.DUMMYFUNCTION("IFERROR(
  LET(
    data, QUERY(GOOGLEFINANCE(C18,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GOOGLEFINANCE(C18, ""price"")) * 100,
    IF(calc=0, G18, calc)
  ), 
G18)"),"#N/A")</f>
        <v>#N/A</v>
      </c>
      <c r="S18" s="8" t="s">
        <v>15</v>
      </c>
      <c r="T18" s="26" t="str">
        <f>IFERROR(__xludf.DUMMYFUNCTION("IFERROR(TRANSPOSE(QUERY(IFERROR(SORT(GOOGLEFINANCE(C18, ""price"", WORKDAY(TODAY(), -40), TODAY()), 1, FALSE)), ""select Col2 where Col2 is not null limit 22 label Col2 ''"", 0)), """")"),"")</f>
        <v/>
      </c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8"/>
      <c r="AO18" s="28"/>
      <c r="AP18" s="29"/>
      <c r="AQ18" s="29" t="str">
        <f t="shared" ref="AQ18:BL18" si="21">T18/T$2</f>
        <v>#N/A</v>
      </c>
      <c r="AR18" s="29" t="str">
        <f t="shared" si="21"/>
        <v>#DIV/0!</v>
      </c>
      <c r="AS18" s="29" t="str">
        <f t="shared" si="21"/>
        <v>#DIV/0!</v>
      </c>
      <c r="AT18" s="29" t="str">
        <f t="shared" si="21"/>
        <v>#DIV/0!</v>
      </c>
      <c r="AU18" s="29" t="str">
        <f t="shared" si="21"/>
        <v>#DIV/0!</v>
      </c>
      <c r="AV18" s="29" t="str">
        <f t="shared" si="21"/>
        <v>#DIV/0!</v>
      </c>
      <c r="AW18" s="29" t="str">
        <f t="shared" si="21"/>
        <v>#DIV/0!</v>
      </c>
      <c r="AX18" s="29" t="str">
        <f t="shared" si="21"/>
        <v>#DIV/0!</v>
      </c>
      <c r="AY18" s="29" t="str">
        <f t="shared" si="21"/>
        <v>#DIV/0!</v>
      </c>
      <c r="AZ18" s="29" t="str">
        <f t="shared" si="21"/>
        <v>#DIV/0!</v>
      </c>
      <c r="BA18" s="29" t="str">
        <f t="shared" si="21"/>
        <v>#DIV/0!</v>
      </c>
      <c r="BB18" s="29" t="str">
        <f t="shared" si="21"/>
        <v>#DIV/0!</v>
      </c>
      <c r="BC18" s="29" t="str">
        <f t="shared" si="21"/>
        <v>#DIV/0!</v>
      </c>
      <c r="BD18" s="29" t="str">
        <f t="shared" si="21"/>
        <v>#DIV/0!</v>
      </c>
      <c r="BE18" s="29" t="str">
        <f t="shared" si="21"/>
        <v>#DIV/0!</v>
      </c>
      <c r="BF18" s="29" t="str">
        <f t="shared" si="21"/>
        <v>#DIV/0!</v>
      </c>
      <c r="BG18" s="29" t="str">
        <f t="shared" si="21"/>
        <v>#DIV/0!</v>
      </c>
      <c r="BH18" s="29" t="str">
        <f t="shared" si="21"/>
        <v>#DIV/0!</v>
      </c>
      <c r="BI18" s="29" t="str">
        <f t="shared" si="21"/>
        <v>#DIV/0!</v>
      </c>
      <c r="BJ18" s="29" t="str">
        <f t="shared" si="21"/>
        <v>#DIV/0!</v>
      </c>
      <c r="BK18" s="29" t="str">
        <f t="shared" si="21"/>
        <v>#DIV/0!</v>
      </c>
      <c r="BL18" s="29" t="str">
        <f t="shared" si="21"/>
        <v>#DIV/0!</v>
      </c>
      <c r="BM18" s="29" t="str">
        <f t="shared" si="3"/>
        <v>#DIV/0!</v>
      </c>
    </row>
    <row r="19">
      <c r="A19" s="16" t="str">
        <f>IFERROR(__xludf.DUMMYFUNCTION("IFERROR(SPARKLINE(SORT(MAP(TRANSPOSE(AQ19:BL19), LAMBDA(val, IF(ISNUMBER(val), PERCENTRANK(AQ19:BL19, val)+0.01, 0))), SEQUENCE(COLUMNS(AQ19:BL19)), FALSE), {""charttype"",""column""; ""color"",""chartreuse""; ""ymin"", 0; ""ymax"", 1.01; ""highcolor"", "&amp;"""darkgreen""; ""lowcolor"", ""red""}), """")"),"")</f>
        <v/>
      </c>
      <c r="B19" s="17" t="str">
        <f t="shared" si="4"/>
        <v/>
      </c>
      <c r="C19" s="1" t="s">
        <v>3000</v>
      </c>
      <c r="D19" s="30" t="str">
        <f>IFERROR(__xludf.DUMMYFUNCTION("IFERROR(GOOGLEFINANCE(C19, ""NAME""))"),"SSR Mining Inc")</f>
        <v>SSR Mining Inc</v>
      </c>
      <c r="E19" s="30" t="s">
        <v>2928</v>
      </c>
      <c r="F19" s="33" t="str">
        <f>IFERROR(__xludf.DUMMYFUNCTION("( (GOOGLEFINANCE(C19, ""price"") - Q19) / Q19 ) / (R19 / 100)"),"Loading...")</f>
        <v>Loading...</v>
      </c>
      <c r="G19" s="20" t="str">
        <f>IFERROR(__xludf.DUMMYFUNCTION("AVERAGE(ARRAYFORMULA(100 * (QUERY(GOOGLEFINANCE(C19, ""high"", TODAY()-40, TODAY()), ""SELECT Col2 WHERE Col2 IS NOT NULL ORDER BY Col1 DESC LIMIT 20"", 0) / QUERY(GOOGLEFINANCE(C19, ""low"", TODAY()-40, TODAY()), ""SELECT Col2 WHERE Col2 IS NOT NULL ORDE"&amp;"R BY Col1 DESC LIMIT 20"", 0) - 1)))"),"#N/A")</f>
        <v>#N/A</v>
      </c>
      <c r="H19" s="35" t="str">
        <f t="shared" si="6"/>
        <v>Liquid</v>
      </c>
      <c r="I19" s="35" t="str">
        <f t="shared" si="7"/>
        <v>RVol Required</v>
      </c>
      <c r="J19" s="37">
        <f>IFERROR(__xludf.DUMMYFUNCTION("IFERROR(
  IF(C19="""",, 
    IFERROR(
      GOOGLEFINANCE(C19, ""price"") * GOOGLEFINANCE(C19, ""volumeavg""), 
      GOOGLEFINANCE(C19, ""price"") * AVERAGE(QUERY(GOOGLEFINANCE(C19, ""volume"", TODAY()-40, TODAY()), ""SELECT Col2 WHERE Col2 IS NOT NULL "&amp;"ORDER BY Col1 DESC LIMIT 20"", 0))
    )
  ), 
"""")"),7.5332257E7)</f>
        <v>75332257</v>
      </c>
      <c r="K19" s="21">
        <f>IFERROR(__xludf.DUMMYFUNCTION("IFERROR(GOOGLEFINANCE(C19, ""changepct"") / 100, """")"),0.0031)</f>
        <v>0.0031</v>
      </c>
      <c r="L19" s="21" t="str">
        <f>IFERROR(__xludf.DUMMYFUNCTION("IFERROR((GOOGLEFINANCE(C19, ""price"") / INDEX(GOOGLEFINANCE(C19, ""price"", TODAY()-7, TODAY()), 2, 2)) - 1, """")"),"")</f>
        <v/>
      </c>
      <c r="M19" s="21" t="str">
        <f>IFERROR(__xludf.DUMMYFUNCTION("IFERROR((GOOGLEFINANCE(C19, ""price"") / INDEX(GOOGLEFINANCE(C19, ""price"", EDATE(TODAY(), -1), TODAY()), 2, 2)) - 1, """")"),"")</f>
        <v/>
      </c>
      <c r="N19" s="21" t="str">
        <f>IFERROR(__xludf.DUMMYFUNCTION("IFERROR((GOOGLEFINANCE(C19, ""price"") / INDEX(GOOGLEFINANCE(C19, ""price"", EDATE(TODAY(), -3), TODAY()), 2, 2)) - 1, """")"),"")</f>
        <v/>
      </c>
      <c r="O19" s="21" t="str">
        <f>IFERROR(__xludf.DUMMYFUNCTION("IFERROR((GOOGLEFINANCE(C19, ""price"") / INDEX(GOOGLEFINANCE(C19, ""price"", EDATE(TODAY(), -6), TODAY()), 2, 2)) - 1, """")"),"")</f>
        <v/>
      </c>
      <c r="P19" s="21" t="str">
        <f>IFERROR(__xludf.DUMMYFUNCTION("IFERROR((GOOGLEFINANCE(C19, ""price"") / INDEX(GOOGLEFINANCE(C19, ""price"", EDATE(TODAY(), -12), TODAY()), 2, 2)) - 1, """")"),"")</f>
        <v/>
      </c>
      <c r="Q19" s="6" t="str">
        <f>IFERROR(__xludf.DUMMYFUNCTION("AVERAGE(QUERY(GOOGLEFINANCE(C19, ""price"", TODAY()-80, TODAY()), ""SELECT Col2 WHERE Col2 IS NOT NULL ORDER BY Col1 DESC LIMIT 50"", 0))"),"#N/A")</f>
        <v>#N/A</v>
      </c>
      <c r="R19" s="24" t="str">
        <f>IFERROR(__xludf.DUMMYFUNCTION("IFERROR(
  LET(
    data, QUERY(GOOGLEFINANCE(C19,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GOOGLEFINANCE(C19, ""price"")) * 100,
    IF(calc=0, G19, calc)
  ), 
G19)"),"#N/A")</f>
        <v>#N/A</v>
      </c>
      <c r="S19" s="8" t="s">
        <v>15</v>
      </c>
      <c r="T19" s="26" t="str">
        <f>IFERROR(__xludf.DUMMYFUNCTION("IFERROR(TRANSPOSE(QUERY(IFERROR(SORT(GOOGLEFINANCE(C19, ""price"", WORKDAY(TODAY(), -40), TODAY()), 1, FALSE)), ""select Col2 where Col2 is not null limit 22 label Col2 ''"", 0)), """")"),"")</f>
        <v/>
      </c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8"/>
      <c r="AO19" s="28"/>
      <c r="AP19" s="29"/>
      <c r="AQ19" s="29" t="str">
        <f t="shared" ref="AQ19:BL19" si="22">T19/T$2</f>
        <v>#N/A</v>
      </c>
      <c r="AR19" s="29" t="str">
        <f t="shared" si="22"/>
        <v>#DIV/0!</v>
      </c>
      <c r="AS19" s="29" t="str">
        <f t="shared" si="22"/>
        <v>#DIV/0!</v>
      </c>
      <c r="AT19" s="29" t="str">
        <f t="shared" si="22"/>
        <v>#DIV/0!</v>
      </c>
      <c r="AU19" s="29" t="str">
        <f t="shared" si="22"/>
        <v>#DIV/0!</v>
      </c>
      <c r="AV19" s="29" t="str">
        <f t="shared" si="22"/>
        <v>#DIV/0!</v>
      </c>
      <c r="AW19" s="29" t="str">
        <f t="shared" si="22"/>
        <v>#DIV/0!</v>
      </c>
      <c r="AX19" s="29" t="str">
        <f t="shared" si="22"/>
        <v>#DIV/0!</v>
      </c>
      <c r="AY19" s="29" t="str">
        <f t="shared" si="22"/>
        <v>#DIV/0!</v>
      </c>
      <c r="AZ19" s="29" t="str">
        <f t="shared" si="22"/>
        <v>#DIV/0!</v>
      </c>
      <c r="BA19" s="29" t="str">
        <f t="shared" si="22"/>
        <v>#DIV/0!</v>
      </c>
      <c r="BB19" s="29" t="str">
        <f t="shared" si="22"/>
        <v>#DIV/0!</v>
      </c>
      <c r="BC19" s="29" t="str">
        <f t="shared" si="22"/>
        <v>#DIV/0!</v>
      </c>
      <c r="BD19" s="29" t="str">
        <f t="shared" si="22"/>
        <v>#DIV/0!</v>
      </c>
      <c r="BE19" s="29" t="str">
        <f t="shared" si="22"/>
        <v>#DIV/0!</v>
      </c>
      <c r="BF19" s="29" t="str">
        <f t="shared" si="22"/>
        <v>#DIV/0!</v>
      </c>
      <c r="BG19" s="29" t="str">
        <f t="shared" si="22"/>
        <v>#DIV/0!</v>
      </c>
      <c r="BH19" s="29" t="str">
        <f t="shared" si="22"/>
        <v>#DIV/0!</v>
      </c>
      <c r="BI19" s="29" t="str">
        <f t="shared" si="22"/>
        <v>#DIV/0!</v>
      </c>
      <c r="BJ19" s="29" t="str">
        <f t="shared" si="22"/>
        <v>#DIV/0!</v>
      </c>
      <c r="BK19" s="29" t="str">
        <f t="shared" si="22"/>
        <v>#DIV/0!</v>
      </c>
      <c r="BL19" s="29" t="str">
        <f t="shared" si="22"/>
        <v>#DIV/0!</v>
      </c>
      <c r="BM19" s="29" t="str">
        <f t="shared" si="3"/>
        <v>#DIV/0!</v>
      </c>
    </row>
    <row r="20">
      <c r="A20" s="16" t="str">
        <f>IFERROR(__xludf.DUMMYFUNCTION("IFERROR(SPARKLINE(SORT(MAP(TRANSPOSE(AQ20:BL20), LAMBDA(val, IF(ISNUMBER(val), PERCENTRANK(AQ20:BL20, val)+0.01, 0))), SEQUENCE(COLUMNS(AQ20:BL20)), FALSE), {""charttype"",""column""; ""color"",""chartreuse""; ""ymin"", 0; ""ymax"", 1.01; ""highcolor"", "&amp;"""darkgreen""; ""lowcolor"", ""red""}), """")"),"")</f>
        <v/>
      </c>
      <c r="B20" s="17" t="str">
        <f t="shared" si="4"/>
        <v/>
      </c>
      <c r="C20" s="1" t="s">
        <v>3003</v>
      </c>
      <c r="D20" s="30" t="str">
        <f>IFERROR(__xludf.DUMMYFUNCTION("IFERROR(GOOGLEFINANCE(C20, ""NAME""))"),"NWPX Infrastructure Inc")</f>
        <v>NWPX Infrastructure Inc</v>
      </c>
      <c r="E20" s="30" t="s">
        <v>3004</v>
      </c>
      <c r="F20" s="33" t="str">
        <f>IFERROR(__xludf.DUMMYFUNCTION("( (GOOGLEFINANCE(C20, ""price"") - Q20) / Q20 ) / (R20 / 100)"),"Loading...")</f>
        <v>Loading...</v>
      </c>
      <c r="G20" s="20" t="str">
        <f>IFERROR(__xludf.DUMMYFUNCTION("AVERAGE(ARRAYFORMULA(100 * (QUERY(GOOGLEFINANCE(C20, ""high"", TODAY()-40, TODAY()), ""SELECT Col2 WHERE Col2 IS NOT NULL ORDER BY Col1 DESC LIMIT 20"", 0) / QUERY(GOOGLEFINANCE(C20, ""low"", TODAY()-40, TODAY()), ""SELECT Col2 WHERE Col2 IS NOT NULL ORDE"&amp;"R BY Col1 DESC LIMIT 20"", 0) - 1)))"),"#N/A")</f>
        <v>#N/A</v>
      </c>
      <c r="H20" s="35" t="str">
        <f t="shared" si="6"/>
        <v>Illiquid</v>
      </c>
      <c r="I20" s="35" t="str">
        <f t="shared" si="7"/>
        <v>RVol Required</v>
      </c>
      <c r="J20" s="37">
        <f>IFERROR(__xludf.DUMMYFUNCTION("IFERROR(
  IF(C20="""",, 
    IFERROR(
      GOOGLEFINANCE(C20, ""price"") * GOOGLEFINANCE(C20, ""volumeavg""), 
      GOOGLEFINANCE(C20, ""price"") * AVERAGE(QUERY(GOOGLEFINANCE(C20, ""volume"", TODAY()-40, TODAY()), ""SELECT Col2 WHERE Col2 IS NOT NULL "&amp;"ORDER BY Col1 DESC LIMIT 20"", 0))
    )
  ), 
"""")"),1.196659556E7)</f>
        <v>11966595.56</v>
      </c>
      <c r="K20" s="21">
        <f>IFERROR(__xludf.DUMMYFUNCTION("IFERROR(GOOGLEFINANCE(C20, ""changepct"") / 100, """")"),-0.0055000000000000005)</f>
        <v>-0.0055</v>
      </c>
      <c r="L20" s="21" t="str">
        <f>IFERROR(__xludf.DUMMYFUNCTION("IFERROR((GOOGLEFINANCE(C20, ""price"") / INDEX(GOOGLEFINANCE(C20, ""price"", TODAY()-7, TODAY()), 2, 2)) - 1, """")"),"")</f>
        <v/>
      </c>
      <c r="M20" s="21" t="str">
        <f>IFERROR(__xludf.DUMMYFUNCTION("IFERROR((GOOGLEFINANCE(C20, ""price"") / INDEX(GOOGLEFINANCE(C20, ""price"", EDATE(TODAY(), -1), TODAY()), 2, 2)) - 1, """")"),"")</f>
        <v/>
      </c>
      <c r="N20" s="21" t="str">
        <f>IFERROR(__xludf.DUMMYFUNCTION("IFERROR((GOOGLEFINANCE(C20, ""price"") / INDEX(GOOGLEFINANCE(C20, ""price"", EDATE(TODAY(), -3), TODAY()), 2, 2)) - 1, """")"),"")</f>
        <v/>
      </c>
      <c r="O20" s="21" t="str">
        <f>IFERROR(__xludf.DUMMYFUNCTION("IFERROR((GOOGLEFINANCE(C20, ""price"") / INDEX(GOOGLEFINANCE(C20, ""price"", EDATE(TODAY(), -6), TODAY()), 2, 2)) - 1, """")"),"")</f>
        <v/>
      </c>
      <c r="P20" s="21" t="str">
        <f>IFERROR(__xludf.DUMMYFUNCTION("IFERROR((GOOGLEFINANCE(C20, ""price"") / INDEX(GOOGLEFINANCE(C20, ""price"", EDATE(TODAY(), -12), TODAY()), 2, 2)) - 1, """")"),"")</f>
        <v/>
      </c>
      <c r="Q20" s="6" t="str">
        <f>IFERROR(__xludf.DUMMYFUNCTION("AVERAGE(QUERY(GOOGLEFINANCE(C20, ""price"", TODAY()-80, TODAY()), ""SELECT Col2 WHERE Col2 IS NOT NULL ORDER BY Col1 DESC LIMIT 50"", 0))"),"#N/A")</f>
        <v>#N/A</v>
      </c>
      <c r="R20" s="24" t="str">
        <f>IFERROR(__xludf.DUMMYFUNCTION("IFERROR(
  LET(
    data, QUERY(GOOGLEFINANCE(C20,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GOOGLEFINANCE(C20, ""price"")) * 100,
    IF(calc=0, G20, calc)
  ), 
G20)"),"#N/A")</f>
        <v>#N/A</v>
      </c>
      <c r="S20" s="8" t="s">
        <v>15</v>
      </c>
      <c r="T20" s="26" t="str">
        <f>IFERROR(__xludf.DUMMYFUNCTION("IFERROR(TRANSPOSE(QUERY(IFERROR(SORT(GOOGLEFINANCE(C20, ""price"", WORKDAY(TODAY(), -40), TODAY()), 1, FALSE)), ""select Col2 where Col2 is not null limit 22 label Col2 ''"", 0)), """")"),"")</f>
        <v/>
      </c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8"/>
      <c r="AO20" s="28"/>
      <c r="AP20" s="29"/>
      <c r="AQ20" s="29" t="str">
        <f t="shared" ref="AQ20:BL20" si="23">T20/T$2</f>
        <v>#N/A</v>
      </c>
      <c r="AR20" s="29" t="str">
        <f t="shared" si="23"/>
        <v>#DIV/0!</v>
      </c>
      <c r="AS20" s="29" t="str">
        <f t="shared" si="23"/>
        <v>#DIV/0!</v>
      </c>
      <c r="AT20" s="29" t="str">
        <f t="shared" si="23"/>
        <v>#DIV/0!</v>
      </c>
      <c r="AU20" s="29" t="str">
        <f t="shared" si="23"/>
        <v>#DIV/0!</v>
      </c>
      <c r="AV20" s="29" t="str">
        <f t="shared" si="23"/>
        <v>#DIV/0!</v>
      </c>
      <c r="AW20" s="29" t="str">
        <f t="shared" si="23"/>
        <v>#DIV/0!</v>
      </c>
      <c r="AX20" s="29" t="str">
        <f t="shared" si="23"/>
        <v>#DIV/0!</v>
      </c>
      <c r="AY20" s="29" t="str">
        <f t="shared" si="23"/>
        <v>#DIV/0!</v>
      </c>
      <c r="AZ20" s="29" t="str">
        <f t="shared" si="23"/>
        <v>#DIV/0!</v>
      </c>
      <c r="BA20" s="29" t="str">
        <f t="shared" si="23"/>
        <v>#DIV/0!</v>
      </c>
      <c r="BB20" s="29" t="str">
        <f t="shared" si="23"/>
        <v>#DIV/0!</v>
      </c>
      <c r="BC20" s="29" t="str">
        <f t="shared" si="23"/>
        <v>#DIV/0!</v>
      </c>
      <c r="BD20" s="29" t="str">
        <f t="shared" si="23"/>
        <v>#DIV/0!</v>
      </c>
      <c r="BE20" s="29" t="str">
        <f t="shared" si="23"/>
        <v>#DIV/0!</v>
      </c>
      <c r="BF20" s="29" t="str">
        <f t="shared" si="23"/>
        <v>#DIV/0!</v>
      </c>
      <c r="BG20" s="29" t="str">
        <f t="shared" si="23"/>
        <v>#DIV/0!</v>
      </c>
      <c r="BH20" s="29" t="str">
        <f t="shared" si="23"/>
        <v>#DIV/0!</v>
      </c>
      <c r="BI20" s="29" t="str">
        <f t="shared" si="23"/>
        <v>#DIV/0!</v>
      </c>
      <c r="BJ20" s="29" t="str">
        <f t="shared" si="23"/>
        <v>#DIV/0!</v>
      </c>
      <c r="BK20" s="29" t="str">
        <f t="shared" si="23"/>
        <v>#DIV/0!</v>
      </c>
      <c r="BL20" s="29" t="str">
        <f t="shared" si="23"/>
        <v>#DIV/0!</v>
      </c>
      <c r="BM20" s="29" t="str">
        <f t="shared" si="3"/>
        <v>#DIV/0!</v>
      </c>
    </row>
    <row r="21">
      <c r="A21" s="16" t="str">
        <f>IFERROR(__xludf.DUMMYFUNCTION("IFERROR(SPARKLINE(SORT(MAP(TRANSPOSE(AQ21:BL21), LAMBDA(val, IF(ISNUMBER(val), PERCENTRANK(AQ21:BL21, val)+0.01, 0))), SEQUENCE(COLUMNS(AQ21:BL21)), FALSE), {""charttype"",""column""; ""color"",""chartreuse""; ""ymin"", 0; ""ymax"", 1.01; ""highcolor"", "&amp;"""darkgreen""; ""lowcolor"", ""red""}), """")"),"")</f>
        <v/>
      </c>
      <c r="B21" s="17" t="str">
        <f t="shared" si="4"/>
        <v/>
      </c>
      <c r="C21" s="1" t="s">
        <v>3007</v>
      </c>
      <c r="D21" s="30" t="str">
        <f>IFERROR(__xludf.DUMMYFUNCTION("IFERROR(GOOGLEFINANCE(C21, ""NAME""))"),"Vox Royalty Corp")</f>
        <v>Vox Royalty Corp</v>
      </c>
      <c r="E21" s="30" t="s">
        <v>3008</v>
      </c>
      <c r="F21" s="33" t="str">
        <f>IFERROR(__xludf.DUMMYFUNCTION("( (GOOGLEFINANCE(C21, ""price"") - Q21) / Q21 ) / (R21 / 100)"),"Loading...")</f>
        <v>Loading...</v>
      </c>
      <c r="G21" s="20" t="str">
        <f>IFERROR(__xludf.DUMMYFUNCTION("AVERAGE(ARRAYFORMULA(100 * (QUERY(GOOGLEFINANCE(C21, ""high"", TODAY()-40, TODAY()), ""SELECT Col2 WHERE Col2 IS NOT NULL ORDER BY Col1 DESC LIMIT 20"", 0) / QUERY(GOOGLEFINANCE(C21, ""low"", TODAY()-40, TODAY()), ""SELECT Col2 WHERE Col2 IS NOT NULL ORDE"&amp;"R BY Col1 DESC LIMIT 20"", 0) - 1)))"),"#N/A")</f>
        <v>#N/A</v>
      </c>
      <c r="H21" s="35" t="str">
        <f t="shared" si="6"/>
        <v>Illiquid</v>
      </c>
      <c r="I21" s="35" t="str">
        <f t="shared" si="7"/>
        <v>RVol Required</v>
      </c>
      <c r="J21" s="37">
        <f>IFERROR(__xludf.DUMMYFUNCTION("IFERROR(
  IF(C21="""",, 
    IFERROR(
      GOOGLEFINANCE(C21, ""price"") * GOOGLEFINANCE(C21, ""volumeavg""), 
      GOOGLEFINANCE(C21, ""price"") * AVERAGE(QUERY(GOOGLEFINANCE(C21, ""volume"", TODAY()-40, TODAY()), ""SELECT Col2 WHERE Col2 IS NOT NULL "&amp;"ORDER BY Col1 DESC LIMIT 20"", 0))
    )
  ), 
"""")"),2347601.6)</f>
        <v>2347601.6</v>
      </c>
      <c r="K21" s="21">
        <f>IFERROR(__xludf.DUMMYFUNCTION("IFERROR(GOOGLEFINANCE(C21, ""changepct"") / 100, """")"),0.01)</f>
        <v>0.01</v>
      </c>
      <c r="L21" s="21" t="str">
        <f>IFERROR(__xludf.DUMMYFUNCTION("IFERROR((GOOGLEFINANCE(C21, ""price"") / INDEX(GOOGLEFINANCE(C21, ""price"", TODAY()-7, TODAY()), 2, 2)) - 1, """")"),"")</f>
        <v/>
      </c>
      <c r="M21" s="21" t="str">
        <f>IFERROR(__xludf.DUMMYFUNCTION("IFERROR((GOOGLEFINANCE(C21, ""price"") / INDEX(GOOGLEFINANCE(C21, ""price"", EDATE(TODAY(), -1), TODAY()), 2, 2)) - 1, """")"),"")</f>
        <v/>
      </c>
      <c r="N21" s="21" t="str">
        <f>IFERROR(__xludf.DUMMYFUNCTION("IFERROR((GOOGLEFINANCE(C21, ""price"") / INDEX(GOOGLEFINANCE(C21, ""price"", EDATE(TODAY(), -3), TODAY()), 2, 2)) - 1, """")"),"")</f>
        <v/>
      </c>
      <c r="O21" s="21" t="str">
        <f>IFERROR(__xludf.DUMMYFUNCTION("IFERROR((GOOGLEFINANCE(C21, ""price"") / INDEX(GOOGLEFINANCE(C21, ""price"", EDATE(TODAY(), -6), TODAY()), 2, 2)) - 1, """")"),"")</f>
        <v/>
      </c>
      <c r="P21" s="21" t="str">
        <f>IFERROR(__xludf.DUMMYFUNCTION("IFERROR((GOOGLEFINANCE(C21, ""price"") / INDEX(GOOGLEFINANCE(C21, ""price"", EDATE(TODAY(), -12), TODAY()), 2, 2)) - 1, """")"),"")</f>
        <v/>
      </c>
      <c r="Q21" s="6" t="str">
        <f>IFERROR(__xludf.DUMMYFUNCTION("AVERAGE(QUERY(GOOGLEFINANCE(C21, ""price"", TODAY()-80, TODAY()), ""SELECT Col2 WHERE Col2 IS NOT NULL ORDER BY Col1 DESC LIMIT 50"", 0))"),"#N/A")</f>
        <v>#N/A</v>
      </c>
      <c r="R21" s="24" t="str">
        <f>IFERROR(__xludf.DUMMYFUNCTION("IFERROR(
  LET(
    data, QUERY(GOOGLEFINANCE(C21,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GOOGLEFINANCE(C21, ""price"")) * 100,
    IF(calc=0, G21, calc)
  ), 
G21)"),"#N/A")</f>
        <v>#N/A</v>
      </c>
      <c r="S21" s="8" t="s">
        <v>15</v>
      </c>
      <c r="T21" s="26" t="str">
        <f>IFERROR(__xludf.DUMMYFUNCTION("IFERROR(TRANSPOSE(QUERY(IFERROR(SORT(GOOGLEFINANCE(C21, ""price"", WORKDAY(TODAY(), -40), TODAY()), 1, FALSE)), ""select Col2 where Col2 is not null limit 22 label Col2 ''"", 0)), """")"),"")</f>
        <v/>
      </c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8"/>
      <c r="AO21" s="28"/>
      <c r="AP21" s="29"/>
      <c r="AQ21" s="29" t="str">
        <f t="shared" ref="AQ21:BL21" si="24">T21/T$2</f>
        <v>#N/A</v>
      </c>
      <c r="AR21" s="29" t="str">
        <f t="shared" si="24"/>
        <v>#DIV/0!</v>
      </c>
      <c r="AS21" s="29" t="str">
        <f t="shared" si="24"/>
        <v>#DIV/0!</v>
      </c>
      <c r="AT21" s="29" t="str">
        <f t="shared" si="24"/>
        <v>#DIV/0!</v>
      </c>
      <c r="AU21" s="29" t="str">
        <f t="shared" si="24"/>
        <v>#DIV/0!</v>
      </c>
      <c r="AV21" s="29" t="str">
        <f t="shared" si="24"/>
        <v>#DIV/0!</v>
      </c>
      <c r="AW21" s="29" t="str">
        <f t="shared" si="24"/>
        <v>#DIV/0!</v>
      </c>
      <c r="AX21" s="29" t="str">
        <f t="shared" si="24"/>
        <v>#DIV/0!</v>
      </c>
      <c r="AY21" s="29" t="str">
        <f t="shared" si="24"/>
        <v>#DIV/0!</v>
      </c>
      <c r="AZ21" s="29" t="str">
        <f t="shared" si="24"/>
        <v>#DIV/0!</v>
      </c>
      <c r="BA21" s="29" t="str">
        <f t="shared" si="24"/>
        <v>#DIV/0!</v>
      </c>
      <c r="BB21" s="29" t="str">
        <f t="shared" si="24"/>
        <v>#DIV/0!</v>
      </c>
      <c r="BC21" s="29" t="str">
        <f t="shared" si="24"/>
        <v>#DIV/0!</v>
      </c>
      <c r="BD21" s="29" t="str">
        <f t="shared" si="24"/>
        <v>#DIV/0!</v>
      </c>
      <c r="BE21" s="29" t="str">
        <f t="shared" si="24"/>
        <v>#DIV/0!</v>
      </c>
      <c r="BF21" s="29" t="str">
        <f t="shared" si="24"/>
        <v>#DIV/0!</v>
      </c>
      <c r="BG21" s="29" t="str">
        <f t="shared" si="24"/>
        <v>#DIV/0!</v>
      </c>
      <c r="BH21" s="29" t="str">
        <f t="shared" si="24"/>
        <v>#DIV/0!</v>
      </c>
      <c r="BI21" s="29" t="str">
        <f t="shared" si="24"/>
        <v>#DIV/0!</v>
      </c>
      <c r="BJ21" s="29" t="str">
        <f t="shared" si="24"/>
        <v>#DIV/0!</v>
      </c>
      <c r="BK21" s="29" t="str">
        <f t="shared" si="24"/>
        <v>#DIV/0!</v>
      </c>
      <c r="BL21" s="29" t="str">
        <f t="shared" si="24"/>
        <v>#DIV/0!</v>
      </c>
      <c r="BM21" s="29" t="str">
        <f t="shared" si="3"/>
        <v>#DIV/0!</v>
      </c>
    </row>
    <row r="22">
      <c r="A22" s="16" t="str">
        <f>IFERROR(__xludf.DUMMYFUNCTION("IFERROR(SPARKLINE(SORT(MAP(TRANSPOSE(AQ22:BL22), LAMBDA(val, IF(ISNUMBER(val), PERCENTRANK(AQ22:BL22, val)+0.01, 0))), SEQUENCE(COLUMNS(AQ22:BL22)), FALSE), {""charttype"",""column""; ""color"",""chartreuse""; ""ymin"", 0; ""ymax"", 1.01; ""highcolor"", "&amp;"""darkgreen""; ""lowcolor"", ""red""}), """")"),"")</f>
        <v/>
      </c>
      <c r="B22" s="17" t="str">
        <f t="shared" si="4"/>
        <v/>
      </c>
      <c r="C22" s="1" t="s">
        <v>3011</v>
      </c>
      <c r="D22" s="30" t="str">
        <f>IFERROR(__xludf.DUMMYFUNCTION("IFERROR(GOOGLEFINANCE(C22, ""NAME""))"),"New Pacific Metals Corp")</f>
        <v>New Pacific Metals Corp</v>
      </c>
      <c r="E22" s="30" t="s">
        <v>2950</v>
      </c>
      <c r="F22" s="33" t="str">
        <f>IFERROR(__xludf.DUMMYFUNCTION("( (GOOGLEFINANCE(C22, ""price"") - Q22) / Q22 ) / (R22 / 100)"),"Loading...")</f>
        <v>Loading...</v>
      </c>
      <c r="G22" s="20" t="str">
        <f>IFERROR(__xludf.DUMMYFUNCTION("AVERAGE(ARRAYFORMULA(100 * (QUERY(GOOGLEFINANCE(C22, ""high"", TODAY()-40, TODAY()), ""SELECT Col2 WHERE Col2 IS NOT NULL ORDER BY Col1 DESC LIMIT 20"", 0) / QUERY(GOOGLEFINANCE(C22, ""low"", TODAY()-40, TODAY()), ""SELECT Col2 WHERE Col2 IS NOT NULL ORDE"&amp;"R BY Col1 DESC LIMIT 20"", 0) - 1)))"),"#N/A")</f>
        <v>#N/A</v>
      </c>
      <c r="H22" s="35" t="str">
        <f t="shared" si="6"/>
        <v>Illiquid</v>
      </c>
      <c r="I22" s="35" t="str">
        <f t="shared" si="7"/>
        <v>RVol Required</v>
      </c>
      <c r="J22" s="37">
        <f>IFERROR(__xludf.DUMMYFUNCTION("IFERROR(
  IF(C22="""",, 
    IFERROR(
      GOOGLEFINANCE(C22, ""price"") * GOOGLEFINANCE(C22, ""volumeavg""), 
      GOOGLEFINANCE(C22, ""price"") * AVERAGE(QUERY(GOOGLEFINANCE(C22, ""volume"", TODAY()-40, TODAY()), ""SELECT Col2 WHERE Col2 IS NOT NULL "&amp;"ORDER BY Col1 DESC LIMIT 20"", 0))
    )
  ), 
"""")"),5612939.359999999)</f>
        <v>5612939.36</v>
      </c>
      <c r="K22" s="21">
        <f>IFERROR(__xludf.DUMMYFUNCTION("IFERROR(GOOGLEFINANCE(C22, ""changepct"") / 100, """")"),0.0513)</f>
        <v>0.0513</v>
      </c>
      <c r="L22" s="21" t="str">
        <f>IFERROR(__xludf.DUMMYFUNCTION("IFERROR((GOOGLEFINANCE(C22, ""price"") / INDEX(GOOGLEFINANCE(C22, ""price"", TODAY()-7, TODAY()), 2, 2)) - 1, """")"),"")</f>
        <v/>
      </c>
      <c r="M22" s="21" t="str">
        <f>IFERROR(__xludf.DUMMYFUNCTION("IFERROR((GOOGLEFINANCE(C22, ""price"") / INDEX(GOOGLEFINANCE(C22, ""price"", EDATE(TODAY(), -1), TODAY()), 2, 2)) - 1, """")"),"")</f>
        <v/>
      </c>
      <c r="N22" s="21" t="str">
        <f>IFERROR(__xludf.DUMMYFUNCTION("IFERROR((GOOGLEFINANCE(C22, ""price"") / INDEX(GOOGLEFINANCE(C22, ""price"", EDATE(TODAY(), -3), TODAY()), 2, 2)) - 1, """")"),"")</f>
        <v/>
      </c>
      <c r="O22" s="21" t="str">
        <f>IFERROR(__xludf.DUMMYFUNCTION("IFERROR((GOOGLEFINANCE(C22, ""price"") / INDEX(GOOGLEFINANCE(C22, ""price"", EDATE(TODAY(), -6), TODAY()), 2, 2)) - 1, """")"),"")</f>
        <v/>
      </c>
      <c r="P22" s="21" t="str">
        <f>IFERROR(__xludf.DUMMYFUNCTION("IFERROR((GOOGLEFINANCE(C22, ""price"") / INDEX(GOOGLEFINANCE(C22, ""price"", EDATE(TODAY(), -12), TODAY()), 2, 2)) - 1, """")"),"")</f>
        <v/>
      </c>
      <c r="Q22" s="6" t="str">
        <f>IFERROR(__xludf.DUMMYFUNCTION("AVERAGE(QUERY(GOOGLEFINANCE(C22, ""price"", TODAY()-80, TODAY()), ""SELECT Col2 WHERE Col2 IS NOT NULL ORDER BY Col1 DESC LIMIT 50"", 0))"),"#N/A")</f>
        <v>#N/A</v>
      </c>
      <c r="R22" s="24" t="str">
        <f>IFERROR(__xludf.DUMMYFUNCTION("IFERROR(
  LET(
    data, QUERY(GOOGLEFINANCE(C22,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GOOGLEFINANCE(C22, ""price"")) * 100,
    IF(calc=0, G22, calc)
  ), 
G22)"),"#N/A")</f>
        <v>#N/A</v>
      </c>
      <c r="S22" s="8" t="s">
        <v>15</v>
      </c>
      <c r="T22" s="26" t="str">
        <f>IFERROR(__xludf.DUMMYFUNCTION("IFERROR(TRANSPOSE(QUERY(IFERROR(SORT(GOOGLEFINANCE(C22, ""price"", WORKDAY(TODAY(), -40), TODAY()), 1, FALSE)), ""select Col2 where Col2 is not null limit 22 label Col2 ''"", 0)), """")"),"")</f>
        <v/>
      </c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8"/>
      <c r="AO22" s="28"/>
      <c r="AP22" s="29"/>
      <c r="AQ22" s="29" t="str">
        <f t="shared" ref="AQ22:BL22" si="25">T22/T$2</f>
        <v>#N/A</v>
      </c>
      <c r="AR22" s="29" t="str">
        <f t="shared" si="25"/>
        <v>#DIV/0!</v>
      </c>
      <c r="AS22" s="29" t="str">
        <f t="shared" si="25"/>
        <v>#DIV/0!</v>
      </c>
      <c r="AT22" s="29" t="str">
        <f t="shared" si="25"/>
        <v>#DIV/0!</v>
      </c>
      <c r="AU22" s="29" t="str">
        <f t="shared" si="25"/>
        <v>#DIV/0!</v>
      </c>
      <c r="AV22" s="29" t="str">
        <f t="shared" si="25"/>
        <v>#DIV/0!</v>
      </c>
      <c r="AW22" s="29" t="str">
        <f t="shared" si="25"/>
        <v>#DIV/0!</v>
      </c>
      <c r="AX22" s="29" t="str">
        <f t="shared" si="25"/>
        <v>#DIV/0!</v>
      </c>
      <c r="AY22" s="29" t="str">
        <f t="shared" si="25"/>
        <v>#DIV/0!</v>
      </c>
      <c r="AZ22" s="29" t="str">
        <f t="shared" si="25"/>
        <v>#DIV/0!</v>
      </c>
      <c r="BA22" s="29" t="str">
        <f t="shared" si="25"/>
        <v>#DIV/0!</v>
      </c>
      <c r="BB22" s="29" t="str">
        <f t="shared" si="25"/>
        <v>#DIV/0!</v>
      </c>
      <c r="BC22" s="29" t="str">
        <f t="shared" si="25"/>
        <v>#DIV/0!</v>
      </c>
      <c r="BD22" s="29" t="str">
        <f t="shared" si="25"/>
        <v>#DIV/0!</v>
      </c>
      <c r="BE22" s="29" t="str">
        <f t="shared" si="25"/>
        <v>#DIV/0!</v>
      </c>
      <c r="BF22" s="29" t="str">
        <f t="shared" si="25"/>
        <v>#DIV/0!</v>
      </c>
      <c r="BG22" s="29" t="str">
        <f t="shared" si="25"/>
        <v>#DIV/0!</v>
      </c>
      <c r="BH22" s="29" t="str">
        <f t="shared" si="25"/>
        <v>#DIV/0!</v>
      </c>
      <c r="BI22" s="29" t="str">
        <f t="shared" si="25"/>
        <v>#DIV/0!</v>
      </c>
      <c r="BJ22" s="29" t="str">
        <f t="shared" si="25"/>
        <v>#DIV/0!</v>
      </c>
      <c r="BK22" s="29" t="str">
        <f t="shared" si="25"/>
        <v>#DIV/0!</v>
      </c>
      <c r="BL22" s="29" t="str">
        <f t="shared" si="25"/>
        <v>#DIV/0!</v>
      </c>
      <c r="BM22" s="29" t="str">
        <f t="shared" si="3"/>
        <v>#DIV/0!</v>
      </c>
    </row>
    <row r="23">
      <c r="A23" s="16" t="str">
        <f>IFERROR(__xludf.DUMMYFUNCTION("IFERROR(SPARKLINE(SORT(MAP(TRANSPOSE(AQ23:BL23), LAMBDA(val, IF(ISNUMBER(val), PERCENTRANK(AQ23:BL23, val)+0.01, 0))), SEQUENCE(COLUMNS(AQ23:BL23)), FALSE), {""charttype"",""column""; ""color"",""chartreuse""; ""ymin"", 0; ""ymax"", 1.01; ""highcolor"", "&amp;"""darkgreen""; ""lowcolor"", ""red""}), """")"),"")</f>
        <v/>
      </c>
      <c r="B23" s="17" t="str">
        <f t="shared" si="4"/>
        <v/>
      </c>
      <c r="C23" s="1" t="s">
        <v>3014</v>
      </c>
      <c r="D23" s="30" t="str">
        <f>IFERROR(__xludf.DUMMYFUNCTION("IFERROR(GOOGLEFINANCE(C23, ""NAME""))"),"Santacruz Silver Mining Ltd")</f>
        <v>Santacruz Silver Mining Ltd</v>
      </c>
      <c r="E23" s="30" t="s">
        <v>3008</v>
      </c>
      <c r="F23" s="33" t="str">
        <f>IFERROR(__xludf.DUMMYFUNCTION("( (GOOGLEFINANCE(C23, ""price"") - Q23) / Q23 ) / (R23 / 100)"),"Loading...")</f>
        <v>Loading...</v>
      </c>
      <c r="G23" s="20" t="str">
        <f>IFERROR(__xludf.DUMMYFUNCTION("AVERAGE(ARRAYFORMULA(100 * (QUERY(GOOGLEFINANCE(C23, ""high"", TODAY()-40, TODAY()), ""SELECT Col2 WHERE Col2 IS NOT NULL ORDER BY Col1 DESC LIMIT 20"", 0) / QUERY(GOOGLEFINANCE(C23, ""low"", TODAY()-40, TODAY()), ""SELECT Col2 WHERE Col2 IS NOT NULL ORDE"&amp;"R BY Col1 DESC LIMIT 20"", 0) - 1)))"),"#N/A")</f>
        <v>#N/A</v>
      </c>
      <c r="H23" s="35" t="str">
        <f t="shared" si="6"/>
        <v>Illiquid</v>
      </c>
      <c r="I23" s="35" t="str">
        <f t="shared" si="7"/>
        <v>RVol Required</v>
      </c>
      <c r="J23" s="37">
        <f>IFERROR(__xludf.DUMMYFUNCTION("IFERROR(
  IF(C23="""",, 
    IFERROR(
      GOOGLEFINANCE(C23, ""price"") * GOOGLEFINANCE(C23, ""volumeavg""), 
      GOOGLEFINANCE(C23, ""price"") * AVERAGE(QUERY(GOOGLEFINANCE(C23, ""volume"", TODAY()-40, TODAY()), ""SELECT Col2 WHERE Col2 IS NOT NULL "&amp;"ORDER BY Col1 DESC LIMIT 20"", 0))
    )
  ), 
"""")"),3631911.54)</f>
        <v>3631911.54</v>
      </c>
      <c r="K23" s="21">
        <f>IFERROR(__xludf.DUMMYFUNCTION("IFERROR(GOOGLEFINANCE(C23, ""changepct"") / 100, """")"),0.0024)</f>
        <v>0.0024</v>
      </c>
      <c r="L23" s="21" t="str">
        <f>IFERROR(__xludf.DUMMYFUNCTION("IFERROR((GOOGLEFINANCE(C23, ""price"") / INDEX(GOOGLEFINANCE(C23, ""price"", TODAY()-7, TODAY()), 2, 2)) - 1, """")"),"")</f>
        <v/>
      </c>
      <c r="M23" s="21" t="str">
        <f>IFERROR(__xludf.DUMMYFUNCTION("IFERROR((GOOGLEFINANCE(C23, ""price"") / INDEX(GOOGLEFINANCE(C23, ""price"", EDATE(TODAY(), -1), TODAY()), 2, 2)) - 1, """")"),"")</f>
        <v/>
      </c>
      <c r="N23" s="21" t="str">
        <f>IFERROR(__xludf.DUMMYFUNCTION("IFERROR((GOOGLEFINANCE(C23, ""price"") / INDEX(GOOGLEFINANCE(C23, ""price"", EDATE(TODAY(), -3), TODAY()), 2, 2)) - 1, """")"),"")</f>
        <v/>
      </c>
      <c r="O23" s="21" t="str">
        <f>IFERROR(__xludf.DUMMYFUNCTION("IFERROR((GOOGLEFINANCE(C23, ""price"") / INDEX(GOOGLEFINANCE(C23, ""price"", EDATE(TODAY(), -6), TODAY()), 2, 2)) - 1, """")"),"")</f>
        <v/>
      </c>
      <c r="P23" s="21" t="str">
        <f>IFERROR(__xludf.DUMMYFUNCTION("IFERROR((GOOGLEFINANCE(C23, ""price"") / INDEX(GOOGLEFINANCE(C23, ""price"", EDATE(TODAY(), -12), TODAY()), 2, 2)) - 1, """")"),"")</f>
        <v/>
      </c>
      <c r="Q23" s="6" t="str">
        <f>IFERROR(__xludf.DUMMYFUNCTION("AVERAGE(QUERY(GOOGLEFINANCE(C23, ""price"", TODAY()-80, TODAY()), ""SELECT Col2 WHERE Col2 IS NOT NULL ORDER BY Col1 DESC LIMIT 50"", 0))"),"#N/A")</f>
        <v>#N/A</v>
      </c>
      <c r="R23" s="24" t="str">
        <f>IFERROR(__xludf.DUMMYFUNCTION("IFERROR(
  LET(
    data, QUERY(GOOGLEFINANCE(C23,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GOOGLEFINANCE(C23, ""price"")) * 100,
    IF(calc=0, G23, calc)
  ), 
G23)"),"#N/A")</f>
        <v>#N/A</v>
      </c>
      <c r="S23" s="8" t="s">
        <v>15</v>
      </c>
      <c r="T23" s="26" t="str">
        <f>IFERROR(__xludf.DUMMYFUNCTION("IFERROR(TRANSPOSE(QUERY(IFERROR(SORT(GOOGLEFINANCE(C23, ""price"", WORKDAY(TODAY(), -40), TODAY()), 1, FALSE)), ""select Col2 where Col2 is not null limit 22 label Col2 ''"", 0)), """")"),"")</f>
        <v/>
      </c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8"/>
      <c r="AO23" s="28"/>
      <c r="AP23" s="29"/>
      <c r="AQ23" s="29" t="str">
        <f t="shared" ref="AQ23:BL23" si="26">T23/T$2</f>
        <v>#N/A</v>
      </c>
      <c r="AR23" s="29" t="str">
        <f t="shared" si="26"/>
        <v>#DIV/0!</v>
      </c>
      <c r="AS23" s="29" t="str">
        <f t="shared" si="26"/>
        <v>#DIV/0!</v>
      </c>
      <c r="AT23" s="29" t="str">
        <f t="shared" si="26"/>
        <v>#DIV/0!</v>
      </c>
      <c r="AU23" s="29" t="str">
        <f t="shared" si="26"/>
        <v>#DIV/0!</v>
      </c>
      <c r="AV23" s="29" t="str">
        <f t="shared" si="26"/>
        <v>#DIV/0!</v>
      </c>
      <c r="AW23" s="29" t="str">
        <f t="shared" si="26"/>
        <v>#DIV/0!</v>
      </c>
      <c r="AX23" s="29" t="str">
        <f t="shared" si="26"/>
        <v>#DIV/0!</v>
      </c>
      <c r="AY23" s="29" t="str">
        <f t="shared" si="26"/>
        <v>#DIV/0!</v>
      </c>
      <c r="AZ23" s="29" t="str">
        <f t="shared" si="26"/>
        <v>#DIV/0!</v>
      </c>
      <c r="BA23" s="29" t="str">
        <f t="shared" si="26"/>
        <v>#DIV/0!</v>
      </c>
      <c r="BB23" s="29" t="str">
        <f t="shared" si="26"/>
        <v>#DIV/0!</v>
      </c>
      <c r="BC23" s="29" t="str">
        <f t="shared" si="26"/>
        <v>#DIV/0!</v>
      </c>
      <c r="BD23" s="29" t="str">
        <f t="shared" si="26"/>
        <v>#DIV/0!</v>
      </c>
      <c r="BE23" s="29" t="str">
        <f t="shared" si="26"/>
        <v>#DIV/0!</v>
      </c>
      <c r="BF23" s="29" t="str">
        <f t="shared" si="26"/>
        <v>#DIV/0!</v>
      </c>
      <c r="BG23" s="29" t="str">
        <f t="shared" si="26"/>
        <v>#DIV/0!</v>
      </c>
      <c r="BH23" s="29" t="str">
        <f t="shared" si="26"/>
        <v>#DIV/0!</v>
      </c>
      <c r="BI23" s="29" t="str">
        <f t="shared" si="26"/>
        <v>#DIV/0!</v>
      </c>
      <c r="BJ23" s="29" t="str">
        <f t="shared" si="26"/>
        <v>#DIV/0!</v>
      </c>
      <c r="BK23" s="29" t="str">
        <f t="shared" si="26"/>
        <v>#DIV/0!</v>
      </c>
      <c r="BL23" s="29" t="str">
        <f t="shared" si="26"/>
        <v>#DIV/0!</v>
      </c>
      <c r="BM23" s="29" t="str">
        <f t="shared" si="3"/>
        <v>#DIV/0!</v>
      </c>
    </row>
    <row r="24">
      <c r="A24" s="16" t="str">
        <f>IFERROR(__xludf.DUMMYFUNCTION("IFERROR(SPARKLINE(SORT(MAP(TRANSPOSE(AQ24:BL24), LAMBDA(val, IF(ISNUMBER(val), PERCENTRANK(AQ24:BL24, val)+0.01, 0))), SEQUENCE(COLUMNS(AQ24:BL24)), FALSE), {""charttype"",""column""; ""color"",""chartreuse""; ""ymin"", 0; ""ymax"", 1.01; ""highcolor"", "&amp;"""darkgreen""; ""lowcolor"", ""red""}), """")"),"")</f>
        <v/>
      </c>
      <c r="B24" s="17" t="str">
        <f t="shared" si="4"/>
        <v/>
      </c>
      <c r="C24" s="1" t="s">
        <v>3017</v>
      </c>
      <c r="D24" s="30" t="str">
        <f>IFERROR(__xludf.DUMMYFUNCTION("IFERROR(GOOGLEFINANCE(C24, ""NAME""))"),"First Majestic Silver Corp")</f>
        <v>First Majestic Silver Corp</v>
      </c>
      <c r="E24" s="30" t="s">
        <v>2950</v>
      </c>
      <c r="F24" s="33" t="str">
        <f>IFERROR(__xludf.DUMMYFUNCTION("( (GOOGLEFINANCE(C24, ""price"") - Q24) / Q24 ) / (R24 / 100)"),"Loading...")</f>
        <v>Loading...</v>
      </c>
      <c r="G24" s="20" t="str">
        <f>IFERROR(__xludf.DUMMYFUNCTION("AVERAGE(ARRAYFORMULA(100 * (QUERY(GOOGLEFINANCE(C24, ""high"", TODAY()-40, TODAY()), ""SELECT Col2 WHERE Col2 IS NOT NULL ORDER BY Col1 DESC LIMIT 20"", 0) / QUERY(GOOGLEFINANCE(C24, ""low"", TODAY()-40, TODAY()), ""SELECT Col2 WHERE Col2 IS NOT NULL ORDE"&amp;"R BY Col1 DESC LIMIT 20"", 0) - 1)))"),"#N/A")</f>
        <v>#N/A</v>
      </c>
      <c r="H24" s="35" t="str">
        <f t="shared" si="6"/>
        <v>Liquid</v>
      </c>
      <c r="I24" s="35" t="str">
        <f t="shared" si="7"/>
        <v>RVol Required</v>
      </c>
      <c r="J24" s="37">
        <f>IFERROR(__xludf.DUMMYFUNCTION("IFERROR(
  IF(C24="""",, 
    IFERROR(
      GOOGLEFINANCE(C24, ""price"") * GOOGLEFINANCE(C24, ""volumeavg""), 
      GOOGLEFINANCE(C24, ""price"") * AVERAGE(QUERY(GOOGLEFINANCE(C24, ""volume"", TODAY()-40, TODAY()), ""SELECT Col2 WHERE Col2 IS NOT NULL "&amp;"ORDER BY Col1 DESC LIMIT 20"", 0))
    )
  ), 
"""")"),1.5073125412E8)</f>
        <v>150731254.1</v>
      </c>
      <c r="K24" s="21">
        <f>IFERROR(__xludf.DUMMYFUNCTION("IFERROR(GOOGLEFINANCE(C24, ""changepct"") / 100, """")"),-0.0068000000000000005)</f>
        <v>-0.0068</v>
      </c>
      <c r="L24" s="21" t="str">
        <f>IFERROR(__xludf.DUMMYFUNCTION("IFERROR((GOOGLEFINANCE(C24, ""price"") / INDEX(GOOGLEFINANCE(C24, ""price"", TODAY()-7, TODAY()), 2, 2)) - 1, """")"),"")</f>
        <v/>
      </c>
      <c r="M24" s="21" t="str">
        <f>IFERROR(__xludf.DUMMYFUNCTION("IFERROR((GOOGLEFINANCE(C24, ""price"") / INDEX(GOOGLEFINANCE(C24, ""price"", EDATE(TODAY(), -1), TODAY()), 2, 2)) - 1, """")"),"")</f>
        <v/>
      </c>
      <c r="N24" s="21" t="str">
        <f>IFERROR(__xludf.DUMMYFUNCTION("IFERROR((GOOGLEFINANCE(C24, ""price"") / INDEX(GOOGLEFINANCE(C24, ""price"", EDATE(TODAY(), -3), TODAY()), 2, 2)) - 1, """")"),"")</f>
        <v/>
      </c>
      <c r="O24" s="21" t="str">
        <f>IFERROR(__xludf.DUMMYFUNCTION("IFERROR((GOOGLEFINANCE(C24, ""price"") / INDEX(GOOGLEFINANCE(C24, ""price"", EDATE(TODAY(), -6), TODAY()), 2, 2)) - 1, """")"),"")</f>
        <v/>
      </c>
      <c r="P24" s="21" t="str">
        <f>IFERROR(__xludf.DUMMYFUNCTION("IFERROR((GOOGLEFINANCE(C24, ""price"") / INDEX(GOOGLEFINANCE(C24, ""price"", EDATE(TODAY(), -12), TODAY()), 2, 2)) - 1, """")"),"")</f>
        <v/>
      </c>
      <c r="Q24" s="6" t="str">
        <f>IFERROR(__xludf.DUMMYFUNCTION("AVERAGE(QUERY(GOOGLEFINANCE(C24, ""price"", TODAY()-80, TODAY()), ""SELECT Col2 WHERE Col2 IS NOT NULL ORDER BY Col1 DESC LIMIT 50"", 0))"),"#N/A")</f>
        <v>#N/A</v>
      </c>
      <c r="R24" s="24" t="str">
        <f>IFERROR(__xludf.DUMMYFUNCTION("IFERROR(
  LET(
    data, QUERY(GOOGLEFINANCE(C24,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GOOGLEFINANCE(C24, ""price"")) * 100,
    IF(calc=0, G24, calc)
  ), 
G24)"),"#N/A")</f>
        <v>#N/A</v>
      </c>
      <c r="S24" s="8" t="s">
        <v>15</v>
      </c>
      <c r="T24" s="26" t="str">
        <f>IFERROR(__xludf.DUMMYFUNCTION("IFERROR(TRANSPOSE(QUERY(IFERROR(SORT(GOOGLEFINANCE(C24, ""price"", WORKDAY(TODAY(), -40), TODAY()), 1, FALSE)), ""select Col2 where Col2 is not null limit 22 label Col2 ''"", 0)), """")"),"")</f>
        <v/>
      </c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8"/>
      <c r="AO24" s="28"/>
      <c r="AP24" s="29"/>
      <c r="AQ24" s="29" t="str">
        <f t="shared" ref="AQ24:BL24" si="27">T24/T$2</f>
        <v>#N/A</v>
      </c>
      <c r="AR24" s="29" t="str">
        <f t="shared" si="27"/>
        <v>#DIV/0!</v>
      </c>
      <c r="AS24" s="29" t="str">
        <f t="shared" si="27"/>
        <v>#DIV/0!</v>
      </c>
      <c r="AT24" s="29" t="str">
        <f t="shared" si="27"/>
        <v>#DIV/0!</v>
      </c>
      <c r="AU24" s="29" t="str">
        <f t="shared" si="27"/>
        <v>#DIV/0!</v>
      </c>
      <c r="AV24" s="29" t="str">
        <f t="shared" si="27"/>
        <v>#DIV/0!</v>
      </c>
      <c r="AW24" s="29" t="str">
        <f t="shared" si="27"/>
        <v>#DIV/0!</v>
      </c>
      <c r="AX24" s="29" t="str">
        <f t="shared" si="27"/>
        <v>#DIV/0!</v>
      </c>
      <c r="AY24" s="29" t="str">
        <f t="shared" si="27"/>
        <v>#DIV/0!</v>
      </c>
      <c r="AZ24" s="29" t="str">
        <f t="shared" si="27"/>
        <v>#DIV/0!</v>
      </c>
      <c r="BA24" s="29" t="str">
        <f t="shared" si="27"/>
        <v>#DIV/0!</v>
      </c>
      <c r="BB24" s="29" t="str">
        <f t="shared" si="27"/>
        <v>#DIV/0!</v>
      </c>
      <c r="BC24" s="29" t="str">
        <f t="shared" si="27"/>
        <v>#DIV/0!</v>
      </c>
      <c r="BD24" s="29" t="str">
        <f t="shared" si="27"/>
        <v>#DIV/0!</v>
      </c>
      <c r="BE24" s="29" t="str">
        <f t="shared" si="27"/>
        <v>#DIV/0!</v>
      </c>
      <c r="BF24" s="29" t="str">
        <f t="shared" si="27"/>
        <v>#DIV/0!</v>
      </c>
      <c r="BG24" s="29" t="str">
        <f t="shared" si="27"/>
        <v>#DIV/0!</v>
      </c>
      <c r="BH24" s="29" t="str">
        <f t="shared" si="27"/>
        <v>#DIV/0!</v>
      </c>
      <c r="BI24" s="29" t="str">
        <f t="shared" si="27"/>
        <v>#DIV/0!</v>
      </c>
      <c r="BJ24" s="29" t="str">
        <f t="shared" si="27"/>
        <v>#DIV/0!</v>
      </c>
      <c r="BK24" s="29" t="str">
        <f t="shared" si="27"/>
        <v>#DIV/0!</v>
      </c>
      <c r="BL24" s="29" t="str">
        <f t="shared" si="27"/>
        <v>#DIV/0!</v>
      </c>
      <c r="BM24" s="29" t="str">
        <f t="shared" si="3"/>
        <v>#DIV/0!</v>
      </c>
    </row>
    <row r="25">
      <c r="A25" s="16" t="str">
        <f>IFERROR(__xludf.DUMMYFUNCTION("IFERROR(SPARKLINE(SORT(MAP(TRANSPOSE(AQ25:BL25), LAMBDA(val, IF(ISNUMBER(val), PERCENTRANK(AQ25:BL25, val)+0.01, 0))), SEQUENCE(COLUMNS(AQ25:BL25)), FALSE), {""charttype"",""column""; ""color"",""chartreuse""; ""ymin"", 0; ""ymax"", 1.01; ""highcolor"", "&amp;"""darkgreen""; ""lowcolor"", ""red""}), """")"),"")</f>
        <v/>
      </c>
      <c r="B25" s="17" t="str">
        <f t="shared" si="4"/>
        <v/>
      </c>
      <c r="C25" s="1" t="s">
        <v>3020</v>
      </c>
      <c r="D25" s="30" t="str">
        <f>IFERROR(__xludf.DUMMYFUNCTION("IFERROR(GOOGLEFINANCE(C25, ""NAME""))"),"Standard Lithium Ltd")</f>
        <v>Standard Lithium Ltd</v>
      </c>
      <c r="E25" s="30" t="s">
        <v>2935</v>
      </c>
      <c r="F25" s="33" t="str">
        <f>IFERROR(__xludf.DUMMYFUNCTION("( (GOOGLEFINANCE(C25, ""price"") - Q25) / Q25 ) / (R25 / 100)"),"Loading...")</f>
        <v>Loading...</v>
      </c>
      <c r="G25" s="20" t="str">
        <f>IFERROR(__xludf.DUMMYFUNCTION("AVERAGE(ARRAYFORMULA(100 * (QUERY(GOOGLEFINANCE(C25, ""high"", TODAY()-40, TODAY()), ""SELECT Col2 WHERE Col2 IS NOT NULL ORDER BY Col1 DESC LIMIT 20"", 0) / QUERY(GOOGLEFINANCE(C25, ""low"", TODAY()-40, TODAY()), ""SELECT Col2 WHERE Col2 IS NOT NULL ORDE"&amp;"R BY Col1 DESC LIMIT 20"", 0) - 1)))"),"#N/A")</f>
        <v>#N/A</v>
      </c>
      <c r="H25" s="35" t="str">
        <f t="shared" si="6"/>
        <v>Illiquid</v>
      </c>
      <c r="I25" s="35" t="str">
        <f t="shared" si="7"/>
        <v>RVol Required</v>
      </c>
      <c r="J25" s="37">
        <f>IFERROR(__xludf.DUMMYFUNCTION("IFERROR(
  IF(C25="""",, 
    IFERROR(
      GOOGLEFINANCE(C25, ""price"") * GOOGLEFINANCE(C25, ""volumeavg""), 
      GOOGLEFINANCE(C25, ""price"") * AVERAGE(QUERY(GOOGLEFINANCE(C25, ""volume"", TODAY()-40, TODAY()), ""SELECT Col2 WHERE Col2 IS NOT NULL "&amp;"ORDER BY Col1 DESC LIMIT 20"", 0))
    )
  ), 
"""")"),2716289.35)</f>
        <v>2716289.35</v>
      </c>
      <c r="K25" s="21">
        <f>IFERROR(__xludf.DUMMYFUNCTION("IFERROR(GOOGLEFINANCE(C25, ""changepct"") / 100, """")"),0.0432)</f>
        <v>0.0432</v>
      </c>
      <c r="L25" s="21" t="str">
        <f>IFERROR(__xludf.DUMMYFUNCTION("IFERROR((GOOGLEFINANCE(C25, ""price"") / INDEX(GOOGLEFINANCE(C25, ""price"", TODAY()-7, TODAY()), 2, 2)) - 1, """")"),"")</f>
        <v/>
      </c>
      <c r="M25" s="21" t="str">
        <f>IFERROR(__xludf.DUMMYFUNCTION("IFERROR((GOOGLEFINANCE(C25, ""price"") / INDEX(GOOGLEFINANCE(C25, ""price"", EDATE(TODAY(), -1), TODAY()), 2, 2)) - 1, """")"),"")</f>
        <v/>
      </c>
      <c r="N25" s="21" t="str">
        <f>IFERROR(__xludf.DUMMYFUNCTION("IFERROR((GOOGLEFINANCE(C25, ""price"") / INDEX(GOOGLEFINANCE(C25, ""price"", EDATE(TODAY(), -3), TODAY()), 2, 2)) - 1, """")"),"")</f>
        <v/>
      </c>
      <c r="O25" s="21" t="str">
        <f>IFERROR(__xludf.DUMMYFUNCTION("IFERROR((GOOGLEFINANCE(C25, ""price"") / INDEX(GOOGLEFINANCE(C25, ""price"", EDATE(TODAY(), -6), TODAY()), 2, 2)) - 1, """")"),"")</f>
        <v/>
      </c>
      <c r="P25" s="21" t="str">
        <f>IFERROR(__xludf.DUMMYFUNCTION("IFERROR((GOOGLEFINANCE(C25, ""price"") / INDEX(GOOGLEFINANCE(C25, ""price"", EDATE(TODAY(), -12), TODAY()), 2, 2)) - 1, """")"),"")</f>
        <v/>
      </c>
      <c r="Q25" s="6" t="str">
        <f>IFERROR(__xludf.DUMMYFUNCTION("AVERAGE(QUERY(GOOGLEFINANCE(C25, ""price"", TODAY()-80, TODAY()), ""SELECT Col2 WHERE Col2 IS NOT NULL ORDER BY Col1 DESC LIMIT 50"", 0))"),"#N/A")</f>
        <v>#N/A</v>
      </c>
      <c r="R25" s="24" t="str">
        <f>IFERROR(__xludf.DUMMYFUNCTION("IFERROR(
  LET(
    data, QUERY(GOOGLEFINANCE(C25,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GOOGLEFINANCE(C25, ""price"")) * 100,
    IF(calc=0, G25, calc)
  ), 
G25)"),"#N/A")</f>
        <v>#N/A</v>
      </c>
      <c r="S25" s="8" t="s">
        <v>15</v>
      </c>
      <c r="T25" s="26" t="str">
        <f>IFERROR(__xludf.DUMMYFUNCTION("IFERROR(TRANSPOSE(QUERY(IFERROR(SORT(GOOGLEFINANCE(C25, ""price"", WORKDAY(TODAY(), -40), TODAY()), 1, FALSE)), ""select Col2 where Col2 is not null limit 22 label Col2 ''"", 0)), """")"),"")</f>
        <v/>
      </c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8"/>
      <c r="AO25" s="28"/>
      <c r="AP25" s="29"/>
      <c r="AQ25" s="29" t="str">
        <f t="shared" ref="AQ25:BL25" si="28">T25/T$2</f>
        <v>#N/A</v>
      </c>
      <c r="AR25" s="29" t="str">
        <f t="shared" si="28"/>
        <v>#DIV/0!</v>
      </c>
      <c r="AS25" s="29" t="str">
        <f t="shared" si="28"/>
        <v>#DIV/0!</v>
      </c>
      <c r="AT25" s="29" t="str">
        <f t="shared" si="28"/>
        <v>#DIV/0!</v>
      </c>
      <c r="AU25" s="29" t="str">
        <f t="shared" si="28"/>
        <v>#DIV/0!</v>
      </c>
      <c r="AV25" s="29" t="str">
        <f t="shared" si="28"/>
        <v>#DIV/0!</v>
      </c>
      <c r="AW25" s="29" t="str">
        <f t="shared" si="28"/>
        <v>#DIV/0!</v>
      </c>
      <c r="AX25" s="29" t="str">
        <f t="shared" si="28"/>
        <v>#DIV/0!</v>
      </c>
      <c r="AY25" s="29" t="str">
        <f t="shared" si="28"/>
        <v>#DIV/0!</v>
      </c>
      <c r="AZ25" s="29" t="str">
        <f t="shared" si="28"/>
        <v>#DIV/0!</v>
      </c>
      <c r="BA25" s="29" t="str">
        <f t="shared" si="28"/>
        <v>#DIV/0!</v>
      </c>
      <c r="BB25" s="29" t="str">
        <f t="shared" si="28"/>
        <v>#DIV/0!</v>
      </c>
      <c r="BC25" s="29" t="str">
        <f t="shared" si="28"/>
        <v>#DIV/0!</v>
      </c>
      <c r="BD25" s="29" t="str">
        <f t="shared" si="28"/>
        <v>#DIV/0!</v>
      </c>
      <c r="BE25" s="29" t="str">
        <f t="shared" si="28"/>
        <v>#DIV/0!</v>
      </c>
      <c r="BF25" s="29" t="str">
        <f t="shared" si="28"/>
        <v>#DIV/0!</v>
      </c>
      <c r="BG25" s="29" t="str">
        <f t="shared" si="28"/>
        <v>#DIV/0!</v>
      </c>
      <c r="BH25" s="29" t="str">
        <f t="shared" si="28"/>
        <v>#DIV/0!</v>
      </c>
      <c r="BI25" s="29" t="str">
        <f t="shared" si="28"/>
        <v>#DIV/0!</v>
      </c>
      <c r="BJ25" s="29" t="str">
        <f t="shared" si="28"/>
        <v>#DIV/0!</v>
      </c>
      <c r="BK25" s="29" t="str">
        <f t="shared" si="28"/>
        <v>#DIV/0!</v>
      </c>
      <c r="BL25" s="29" t="str">
        <f t="shared" si="28"/>
        <v>#DIV/0!</v>
      </c>
      <c r="BM25" s="29" t="str">
        <f t="shared" si="3"/>
        <v>#DIV/0!</v>
      </c>
    </row>
    <row r="26">
      <c r="A26" s="16" t="str">
        <f>IFERROR(__xludf.DUMMYFUNCTION("IFERROR(SPARKLINE(SORT(MAP(TRANSPOSE(AQ26:BL26), LAMBDA(val, IF(ISNUMBER(val), PERCENTRANK(AQ26:BL26, val)+0.01, 0))), SEQUENCE(COLUMNS(AQ26:BL26)), FALSE), {""charttype"",""column""; ""color"",""chartreuse""; ""ymin"", 0; ""ymax"", 1.01; ""highcolor"", "&amp;"""darkgreen""; ""lowcolor"", ""red""}), """")"),"")</f>
        <v/>
      </c>
      <c r="B26" s="17" t="str">
        <f t="shared" si="4"/>
        <v/>
      </c>
      <c r="C26" s="1" t="s">
        <v>3024</v>
      </c>
      <c r="D26" s="30" t="str">
        <f>IFERROR(__xludf.DUMMYFUNCTION("IFERROR(GOOGLEFINANCE(C26, ""NAME""))"),"Hudbay Minerals Inc")</f>
        <v>Hudbay Minerals Inc</v>
      </c>
      <c r="E26" s="30" t="s">
        <v>3025</v>
      </c>
      <c r="F26" s="33" t="str">
        <f>IFERROR(__xludf.DUMMYFUNCTION("( (GOOGLEFINANCE(C26, ""price"") - Q26) / Q26 ) / (R26 / 100)"),"Loading...")</f>
        <v>Loading...</v>
      </c>
      <c r="G26" s="20" t="str">
        <f>IFERROR(__xludf.DUMMYFUNCTION("AVERAGE(ARRAYFORMULA(100 * (QUERY(GOOGLEFINANCE(C26, ""high"", TODAY()-40, TODAY()), ""SELECT Col2 WHERE Col2 IS NOT NULL ORDER BY Col1 DESC LIMIT 20"", 0) / QUERY(GOOGLEFINANCE(C26, ""low"", TODAY()-40, TODAY()), ""SELECT Col2 WHERE Col2 IS NOT NULL ORDE"&amp;"R BY Col1 DESC LIMIT 20"", 0) - 1)))"),"#N/A")</f>
        <v>#N/A</v>
      </c>
      <c r="H26" s="35" t="str">
        <f t="shared" si="6"/>
        <v>Liquid</v>
      </c>
      <c r="I26" s="35" t="str">
        <f t="shared" si="7"/>
        <v>RVol Required</v>
      </c>
      <c r="J26" s="37">
        <f>IFERROR(__xludf.DUMMYFUNCTION("IFERROR(
  IF(C26="""",, 
    IFERROR(
      GOOGLEFINANCE(C26, ""price"") * GOOGLEFINANCE(C26, ""volumeavg""), 
      GOOGLEFINANCE(C26, ""price"") * AVERAGE(QUERY(GOOGLEFINANCE(C26, ""volume"", TODAY()-40, TODAY()), ""SELECT Col2 WHERE Col2 IS NOT NULL "&amp;"ORDER BY Col1 DESC LIMIT 20"", 0))
    )
  ), 
"""")"),9.8654835E7)</f>
        <v>98654835</v>
      </c>
      <c r="K26" s="21">
        <f>IFERROR(__xludf.DUMMYFUNCTION("IFERROR(GOOGLEFINANCE(C26, ""changepct"") / 100, """")"),-0.0248)</f>
        <v>-0.0248</v>
      </c>
      <c r="L26" s="21" t="str">
        <f>IFERROR(__xludf.DUMMYFUNCTION("IFERROR((GOOGLEFINANCE(C26, ""price"") / INDEX(GOOGLEFINANCE(C26, ""price"", TODAY()-7, TODAY()), 2, 2)) - 1, """")"),"")</f>
        <v/>
      </c>
      <c r="M26" s="21" t="str">
        <f>IFERROR(__xludf.DUMMYFUNCTION("IFERROR((GOOGLEFINANCE(C26, ""price"") / INDEX(GOOGLEFINANCE(C26, ""price"", EDATE(TODAY(), -1), TODAY()), 2, 2)) - 1, """")"),"")</f>
        <v/>
      </c>
      <c r="N26" s="21" t="str">
        <f>IFERROR(__xludf.DUMMYFUNCTION("IFERROR((GOOGLEFINANCE(C26, ""price"") / INDEX(GOOGLEFINANCE(C26, ""price"", EDATE(TODAY(), -3), TODAY()), 2, 2)) - 1, """")"),"")</f>
        <v/>
      </c>
      <c r="O26" s="21" t="str">
        <f>IFERROR(__xludf.DUMMYFUNCTION("IFERROR((GOOGLEFINANCE(C26, ""price"") / INDEX(GOOGLEFINANCE(C26, ""price"", EDATE(TODAY(), -6), TODAY()), 2, 2)) - 1, """")"),"")</f>
        <v/>
      </c>
      <c r="P26" s="21" t="str">
        <f>IFERROR(__xludf.DUMMYFUNCTION("IFERROR((GOOGLEFINANCE(C26, ""price"") / INDEX(GOOGLEFINANCE(C26, ""price"", EDATE(TODAY(), -12), TODAY()), 2, 2)) - 1, """")"),"")</f>
        <v/>
      </c>
      <c r="Q26" s="6" t="str">
        <f>IFERROR(__xludf.DUMMYFUNCTION("AVERAGE(QUERY(GOOGLEFINANCE(C26, ""price"", TODAY()-80, TODAY()), ""SELECT Col2 WHERE Col2 IS NOT NULL ORDER BY Col1 DESC LIMIT 50"", 0))"),"#N/A")</f>
        <v>#N/A</v>
      </c>
      <c r="R26" s="24" t="str">
        <f>IFERROR(__xludf.DUMMYFUNCTION("IFERROR(
  LET(
    data, QUERY(GOOGLEFINANCE(C26,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GOOGLEFINANCE(C26, ""price"")) * 100,
    IF(calc=0, G26, calc)
  ), 
G26)"),"#N/A")</f>
        <v>#N/A</v>
      </c>
      <c r="S26" s="8" t="s">
        <v>15</v>
      </c>
      <c r="T26" s="26" t="str">
        <f>IFERROR(__xludf.DUMMYFUNCTION("IFERROR(TRANSPOSE(QUERY(IFERROR(SORT(GOOGLEFINANCE(C26, ""price"", WORKDAY(TODAY(), -40), TODAY()), 1, FALSE)), ""select Col2 where Col2 is not null limit 22 label Col2 ''"", 0)), """")"),"")</f>
        <v/>
      </c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8"/>
      <c r="AO26" s="28"/>
      <c r="AP26" s="29"/>
      <c r="AQ26" s="29" t="str">
        <f t="shared" ref="AQ26:BL26" si="29">T26/T$2</f>
        <v>#N/A</v>
      </c>
      <c r="AR26" s="29" t="str">
        <f t="shared" si="29"/>
        <v>#DIV/0!</v>
      </c>
      <c r="AS26" s="29" t="str">
        <f t="shared" si="29"/>
        <v>#DIV/0!</v>
      </c>
      <c r="AT26" s="29" t="str">
        <f t="shared" si="29"/>
        <v>#DIV/0!</v>
      </c>
      <c r="AU26" s="29" t="str">
        <f t="shared" si="29"/>
        <v>#DIV/0!</v>
      </c>
      <c r="AV26" s="29" t="str">
        <f t="shared" si="29"/>
        <v>#DIV/0!</v>
      </c>
      <c r="AW26" s="29" t="str">
        <f t="shared" si="29"/>
        <v>#DIV/0!</v>
      </c>
      <c r="AX26" s="29" t="str">
        <f t="shared" si="29"/>
        <v>#DIV/0!</v>
      </c>
      <c r="AY26" s="29" t="str">
        <f t="shared" si="29"/>
        <v>#DIV/0!</v>
      </c>
      <c r="AZ26" s="29" t="str">
        <f t="shared" si="29"/>
        <v>#DIV/0!</v>
      </c>
      <c r="BA26" s="29" t="str">
        <f t="shared" si="29"/>
        <v>#DIV/0!</v>
      </c>
      <c r="BB26" s="29" t="str">
        <f t="shared" si="29"/>
        <v>#DIV/0!</v>
      </c>
      <c r="BC26" s="29" t="str">
        <f t="shared" si="29"/>
        <v>#DIV/0!</v>
      </c>
      <c r="BD26" s="29" t="str">
        <f t="shared" si="29"/>
        <v>#DIV/0!</v>
      </c>
      <c r="BE26" s="29" t="str">
        <f t="shared" si="29"/>
        <v>#DIV/0!</v>
      </c>
      <c r="BF26" s="29" t="str">
        <f t="shared" si="29"/>
        <v>#DIV/0!</v>
      </c>
      <c r="BG26" s="29" t="str">
        <f t="shared" si="29"/>
        <v>#DIV/0!</v>
      </c>
      <c r="BH26" s="29" t="str">
        <f t="shared" si="29"/>
        <v>#DIV/0!</v>
      </c>
      <c r="BI26" s="29" t="str">
        <f t="shared" si="29"/>
        <v>#DIV/0!</v>
      </c>
      <c r="BJ26" s="29" t="str">
        <f t="shared" si="29"/>
        <v>#DIV/0!</v>
      </c>
      <c r="BK26" s="29" t="str">
        <f t="shared" si="29"/>
        <v>#DIV/0!</v>
      </c>
      <c r="BL26" s="29" t="str">
        <f t="shared" si="29"/>
        <v>#DIV/0!</v>
      </c>
      <c r="BM26" s="29" t="str">
        <f t="shared" si="3"/>
        <v>#DIV/0!</v>
      </c>
    </row>
    <row r="27">
      <c r="A27" s="16" t="str">
        <f>IFERROR(__xludf.DUMMYFUNCTION("IFERROR(SPARKLINE(SORT(MAP(TRANSPOSE(AQ27:BL27), LAMBDA(val, IF(ISNUMBER(val), PERCENTRANK(AQ27:BL27, val)+0.01, 0))), SEQUENCE(COLUMNS(AQ27:BL27)), FALSE), {""charttype"",""column""; ""color"",""chartreuse""; ""ymin"", 0; ""ymax"", 1.01; ""highcolor"", "&amp;"""darkgreen""; ""lowcolor"", ""red""}), """")"),"")</f>
        <v/>
      </c>
      <c r="B27" s="17" t="str">
        <f t="shared" si="4"/>
        <v/>
      </c>
      <c r="C27" s="1" t="s">
        <v>3028</v>
      </c>
      <c r="D27" s="30" t="str">
        <f>IFERROR(__xludf.DUMMYFUNCTION("IFERROR(GOOGLEFINANCE(C27, ""NAME""))"),"Ramaco Resources Inc Class A")</f>
        <v>Ramaco Resources Inc Class A</v>
      </c>
      <c r="E27" s="30" t="s">
        <v>2941</v>
      </c>
      <c r="F27" s="33" t="str">
        <f>IFERROR(__xludf.DUMMYFUNCTION("( (GOOGLEFINANCE(C27, ""price"") - Q27) / Q27 ) / (R27 / 100)"),"Loading...")</f>
        <v>Loading...</v>
      </c>
      <c r="G27" s="20" t="str">
        <f>IFERROR(__xludf.DUMMYFUNCTION("AVERAGE(ARRAYFORMULA(100 * (QUERY(GOOGLEFINANCE(C27, ""high"", TODAY()-40, TODAY()), ""SELECT Col2 WHERE Col2 IS NOT NULL ORDER BY Col1 DESC LIMIT 20"", 0) / QUERY(GOOGLEFINANCE(C27, ""low"", TODAY()-40, TODAY()), ""SELECT Col2 WHERE Col2 IS NOT NULL ORDE"&amp;"R BY Col1 DESC LIMIT 20"", 0) - 1)))"),"#N/A")</f>
        <v>#N/A</v>
      </c>
      <c r="H27" s="35" t="str">
        <f t="shared" si="6"/>
        <v>Illiquid</v>
      </c>
      <c r="I27" s="35" t="str">
        <f t="shared" si="7"/>
        <v>RVol Required</v>
      </c>
      <c r="J27" s="37">
        <f>IFERROR(__xludf.DUMMYFUNCTION("IFERROR(
  IF(C27="""",, 
    IFERROR(
      GOOGLEFINANCE(C27, ""price"") * GOOGLEFINANCE(C27, ""volumeavg""), 
      GOOGLEFINANCE(C27, ""price"") * AVERAGE(QUERY(GOOGLEFINANCE(C27, ""volume"", TODAY()-40, TODAY()), ""SELECT Col2 WHERE Col2 IS NOT NULL "&amp;"ORDER BY Col1 DESC LIMIT 20"", 0))
    )
  ), 
"""")"),1.679666544E7)</f>
        <v>16796665.44</v>
      </c>
      <c r="K27" s="21">
        <f>IFERROR(__xludf.DUMMYFUNCTION("IFERROR(GOOGLEFINANCE(C27, ""changepct"") / 100, """")"),-0.061200000000000004)</f>
        <v>-0.0612</v>
      </c>
      <c r="L27" s="21" t="str">
        <f>IFERROR(__xludf.DUMMYFUNCTION("IFERROR((GOOGLEFINANCE(C27, ""price"") / INDEX(GOOGLEFINANCE(C27, ""price"", TODAY()-7, TODAY()), 2, 2)) - 1, """")"),"")</f>
        <v/>
      </c>
      <c r="M27" s="21" t="str">
        <f>IFERROR(__xludf.DUMMYFUNCTION("IFERROR((GOOGLEFINANCE(C27, ""price"") / INDEX(GOOGLEFINANCE(C27, ""price"", EDATE(TODAY(), -1), TODAY()), 2, 2)) - 1, """")"),"")</f>
        <v/>
      </c>
      <c r="N27" s="21" t="str">
        <f>IFERROR(__xludf.DUMMYFUNCTION("IFERROR((GOOGLEFINANCE(C27, ""price"") / INDEX(GOOGLEFINANCE(C27, ""price"", EDATE(TODAY(), -3), TODAY()), 2, 2)) - 1, """")"),"")</f>
        <v/>
      </c>
      <c r="O27" s="21" t="str">
        <f>IFERROR(__xludf.DUMMYFUNCTION("IFERROR((GOOGLEFINANCE(C27, ""price"") / INDEX(GOOGLEFINANCE(C27, ""price"", EDATE(TODAY(), -6), TODAY()), 2, 2)) - 1, """")"),"")</f>
        <v/>
      </c>
      <c r="P27" s="21" t="str">
        <f>IFERROR(__xludf.DUMMYFUNCTION("IFERROR((GOOGLEFINANCE(C27, ""price"") / INDEX(GOOGLEFINANCE(C27, ""price"", EDATE(TODAY(), -12), TODAY()), 2, 2)) - 1, """")"),"")</f>
        <v/>
      </c>
      <c r="Q27" s="6" t="str">
        <f>IFERROR(__xludf.DUMMYFUNCTION("AVERAGE(QUERY(GOOGLEFINANCE(C27, ""price"", TODAY()-80, TODAY()), ""SELECT Col2 WHERE Col2 IS NOT NULL ORDER BY Col1 DESC LIMIT 50"", 0))"),"#N/A")</f>
        <v>#N/A</v>
      </c>
      <c r="R27" s="24" t="str">
        <f>IFERROR(__xludf.DUMMYFUNCTION("IFERROR(
  LET(
    data, QUERY(GOOGLEFINANCE(C27,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GOOGLEFINANCE(C27, ""price"")) * 100,
    IF(calc=0, G27, calc)
  ), 
G27)"),"#N/A")</f>
        <v>#N/A</v>
      </c>
      <c r="S27" s="8" t="s">
        <v>15</v>
      </c>
      <c r="T27" s="26" t="str">
        <f>IFERROR(__xludf.DUMMYFUNCTION("IFERROR(TRANSPOSE(QUERY(IFERROR(SORT(GOOGLEFINANCE(C27, ""price"", WORKDAY(TODAY(), -40), TODAY()), 1, FALSE)), ""select Col2 where Col2 is not null limit 22 label Col2 ''"", 0)), """")"),"")</f>
        <v/>
      </c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8"/>
      <c r="AO27" s="28"/>
      <c r="AP27" s="29"/>
      <c r="AQ27" s="29" t="str">
        <f t="shared" ref="AQ27:BL27" si="30">T27/T$2</f>
        <v>#N/A</v>
      </c>
      <c r="AR27" s="29" t="str">
        <f t="shared" si="30"/>
        <v>#DIV/0!</v>
      </c>
      <c r="AS27" s="29" t="str">
        <f t="shared" si="30"/>
        <v>#DIV/0!</v>
      </c>
      <c r="AT27" s="29" t="str">
        <f t="shared" si="30"/>
        <v>#DIV/0!</v>
      </c>
      <c r="AU27" s="29" t="str">
        <f t="shared" si="30"/>
        <v>#DIV/0!</v>
      </c>
      <c r="AV27" s="29" t="str">
        <f t="shared" si="30"/>
        <v>#DIV/0!</v>
      </c>
      <c r="AW27" s="29" t="str">
        <f t="shared" si="30"/>
        <v>#DIV/0!</v>
      </c>
      <c r="AX27" s="29" t="str">
        <f t="shared" si="30"/>
        <v>#DIV/0!</v>
      </c>
      <c r="AY27" s="29" t="str">
        <f t="shared" si="30"/>
        <v>#DIV/0!</v>
      </c>
      <c r="AZ27" s="29" t="str">
        <f t="shared" si="30"/>
        <v>#DIV/0!</v>
      </c>
      <c r="BA27" s="29" t="str">
        <f t="shared" si="30"/>
        <v>#DIV/0!</v>
      </c>
      <c r="BB27" s="29" t="str">
        <f t="shared" si="30"/>
        <v>#DIV/0!</v>
      </c>
      <c r="BC27" s="29" t="str">
        <f t="shared" si="30"/>
        <v>#DIV/0!</v>
      </c>
      <c r="BD27" s="29" t="str">
        <f t="shared" si="30"/>
        <v>#DIV/0!</v>
      </c>
      <c r="BE27" s="29" t="str">
        <f t="shared" si="30"/>
        <v>#DIV/0!</v>
      </c>
      <c r="BF27" s="29" t="str">
        <f t="shared" si="30"/>
        <v>#DIV/0!</v>
      </c>
      <c r="BG27" s="29" t="str">
        <f t="shared" si="30"/>
        <v>#DIV/0!</v>
      </c>
      <c r="BH27" s="29" t="str">
        <f t="shared" si="30"/>
        <v>#DIV/0!</v>
      </c>
      <c r="BI27" s="29" t="str">
        <f t="shared" si="30"/>
        <v>#DIV/0!</v>
      </c>
      <c r="BJ27" s="29" t="str">
        <f t="shared" si="30"/>
        <v>#DIV/0!</v>
      </c>
      <c r="BK27" s="29" t="str">
        <f t="shared" si="30"/>
        <v>#DIV/0!</v>
      </c>
      <c r="BL27" s="29" t="str">
        <f t="shared" si="30"/>
        <v>#DIV/0!</v>
      </c>
      <c r="BM27" s="29" t="str">
        <f t="shared" si="3"/>
        <v>#DIV/0!</v>
      </c>
    </row>
    <row r="28">
      <c r="A28" s="16" t="str">
        <f>IFERROR(__xludf.DUMMYFUNCTION("IFERROR(SPARKLINE(SORT(MAP(TRANSPOSE(AQ28:BL28), LAMBDA(val, IF(ISNUMBER(val), PERCENTRANK(AQ28:BL28, val)+0.01, 0))), SEQUENCE(COLUMNS(AQ28:BL28)), FALSE), {""charttype"",""column""; ""color"",""chartreuse""; ""ymin"", 0; ""ymax"", 1.01; ""highcolor"", "&amp;"""darkgreen""; ""lowcolor"", ""red""}), """")"),"")</f>
        <v/>
      </c>
      <c r="B28" s="17" t="str">
        <f t="shared" si="4"/>
        <v/>
      </c>
      <c r="C28" s="1" t="s">
        <v>3031</v>
      </c>
      <c r="D28" s="30" t="str">
        <f>IFERROR(__xludf.DUMMYFUNCTION("IFERROR(GOOGLEFINANCE(C28, ""NAME""))"),"International Tower Hill Mines Ltd")</f>
        <v>International Tower Hill Mines Ltd</v>
      </c>
      <c r="E28" s="30" t="s">
        <v>2928</v>
      </c>
      <c r="F28" s="33" t="str">
        <f>IFERROR(__xludf.DUMMYFUNCTION("( (GOOGLEFINANCE(C28, ""price"") - Q28) / Q28 ) / (R28 / 100)"),"Loading...")</f>
        <v>Loading...</v>
      </c>
      <c r="G28" s="20" t="str">
        <f>IFERROR(__xludf.DUMMYFUNCTION("AVERAGE(ARRAYFORMULA(100 * (QUERY(GOOGLEFINANCE(C28, ""high"", TODAY()-40, TODAY()), ""SELECT Col2 WHERE Col2 IS NOT NULL ORDER BY Col1 DESC LIMIT 20"", 0) / QUERY(GOOGLEFINANCE(C28, ""low"", TODAY()-40, TODAY()), ""SELECT Col2 WHERE Col2 IS NOT NULL ORDE"&amp;"R BY Col1 DESC LIMIT 20"", 0) - 1)))"),"#N/A")</f>
        <v>#N/A</v>
      </c>
      <c r="H28" s="35" t="str">
        <f t="shared" si="6"/>
        <v>Illiquid</v>
      </c>
      <c r="I28" s="35" t="str">
        <f t="shared" si="7"/>
        <v>RVol Required</v>
      </c>
      <c r="J28" s="37">
        <f>IFERROR(__xludf.DUMMYFUNCTION("IFERROR(
  IF(C28="""",, 
    IFERROR(
      GOOGLEFINANCE(C28, ""price"") * GOOGLEFINANCE(C28, ""volumeavg""), 
      GOOGLEFINANCE(C28, ""price"") * AVERAGE(QUERY(GOOGLEFINANCE(C28, ""volume"", TODAY()-40, TODAY()), ""SELECT Col2 WHERE Col2 IS NOT NULL "&amp;"ORDER BY Col1 DESC LIMIT 20"", 0))
    )
  ), 
"""")"),1447971.56)</f>
        <v>1447971.56</v>
      </c>
      <c r="K28" s="21">
        <f>IFERROR(__xludf.DUMMYFUNCTION("IFERROR(GOOGLEFINANCE(C28, ""changepct"") / 100, """")"),-0.0091)</f>
        <v>-0.0091</v>
      </c>
      <c r="L28" s="21" t="str">
        <f>IFERROR(__xludf.DUMMYFUNCTION("IFERROR((GOOGLEFINANCE(C28, ""price"") / INDEX(GOOGLEFINANCE(C28, ""price"", TODAY()-7, TODAY()), 2, 2)) - 1, """")"),"")</f>
        <v/>
      </c>
      <c r="M28" s="21" t="str">
        <f>IFERROR(__xludf.DUMMYFUNCTION("IFERROR((GOOGLEFINANCE(C28, ""price"") / INDEX(GOOGLEFINANCE(C28, ""price"", EDATE(TODAY(), -1), TODAY()), 2, 2)) - 1, """")"),"")</f>
        <v/>
      </c>
      <c r="N28" s="21" t="str">
        <f>IFERROR(__xludf.DUMMYFUNCTION("IFERROR((GOOGLEFINANCE(C28, ""price"") / INDEX(GOOGLEFINANCE(C28, ""price"", EDATE(TODAY(), -3), TODAY()), 2, 2)) - 1, """")"),"")</f>
        <v/>
      </c>
      <c r="O28" s="21" t="str">
        <f>IFERROR(__xludf.DUMMYFUNCTION("IFERROR((GOOGLEFINANCE(C28, ""price"") / INDEX(GOOGLEFINANCE(C28, ""price"", EDATE(TODAY(), -6), TODAY()), 2, 2)) - 1, """")"),"")</f>
        <v/>
      </c>
      <c r="P28" s="21" t="str">
        <f>IFERROR(__xludf.DUMMYFUNCTION("IFERROR((GOOGLEFINANCE(C28, ""price"") / INDEX(GOOGLEFINANCE(C28, ""price"", EDATE(TODAY(), -12), TODAY()), 2, 2)) - 1, """")"),"")</f>
        <v/>
      </c>
      <c r="Q28" s="6" t="str">
        <f>IFERROR(__xludf.DUMMYFUNCTION("AVERAGE(QUERY(GOOGLEFINANCE(C28, ""price"", TODAY()-80, TODAY()), ""SELECT Col2 WHERE Col2 IS NOT NULL ORDER BY Col1 DESC LIMIT 50"", 0))"),"#N/A")</f>
        <v>#N/A</v>
      </c>
      <c r="R28" s="24" t="str">
        <f>IFERROR(__xludf.DUMMYFUNCTION("IFERROR(
  LET(
    data, QUERY(GOOGLEFINANCE(C28,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GOOGLEFINANCE(C28, ""price"")) * 100,
    IF(calc=0, G28, calc)
  ), 
G28)"),"#N/A")</f>
        <v>#N/A</v>
      </c>
      <c r="S28" s="8" t="s">
        <v>15</v>
      </c>
      <c r="T28" s="26" t="str">
        <f>IFERROR(__xludf.DUMMYFUNCTION("IFERROR(TRANSPOSE(QUERY(IFERROR(SORT(GOOGLEFINANCE(C28, ""price"", WORKDAY(TODAY(), -40), TODAY()), 1, FALSE)), ""select Col2 where Col2 is not null limit 22 label Col2 ''"", 0)), """")"),"")</f>
        <v/>
      </c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8"/>
      <c r="AO28" s="28"/>
      <c r="AP28" s="29"/>
      <c r="AQ28" s="29" t="str">
        <f t="shared" ref="AQ28:BL28" si="31">T28/T$2</f>
        <v>#N/A</v>
      </c>
      <c r="AR28" s="29" t="str">
        <f t="shared" si="31"/>
        <v>#DIV/0!</v>
      </c>
      <c r="AS28" s="29" t="str">
        <f t="shared" si="31"/>
        <v>#DIV/0!</v>
      </c>
      <c r="AT28" s="29" t="str">
        <f t="shared" si="31"/>
        <v>#DIV/0!</v>
      </c>
      <c r="AU28" s="29" t="str">
        <f t="shared" si="31"/>
        <v>#DIV/0!</v>
      </c>
      <c r="AV28" s="29" t="str">
        <f t="shared" si="31"/>
        <v>#DIV/0!</v>
      </c>
      <c r="AW28" s="29" t="str">
        <f t="shared" si="31"/>
        <v>#DIV/0!</v>
      </c>
      <c r="AX28" s="29" t="str">
        <f t="shared" si="31"/>
        <v>#DIV/0!</v>
      </c>
      <c r="AY28" s="29" t="str">
        <f t="shared" si="31"/>
        <v>#DIV/0!</v>
      </c>
      <c r="AZ28" s="29" t="str">
        <f t="shared" si="31"/>
        <v>#DIV/0!</v>
      </c>
      <c r="BA28" s="29" t="str">
        <f t="shared" si="31"/>
        <v>#DIV/0!</v>
      </c>
      <c r="BB28" s="29" t="str">
        <f t="shared" si="31"/>
        <v>#DIV/0!</v>
      </c>
      <c r="BC28" s="29" t="str">
        <f t="shared" si="31"/>
        <v>#DIV/0!</v>
      </c>
      <c r="BD28" s="29" t="str">
        <f t="shared" si="31"/>
        <v>#DIV/0!</v>
      </c>
      <c r="BE28" s="29" t="str">
        <f t="shared" si="31"/>
        <v>#DIV/0!</v>
      </c>
      <c r="BF28" s="29" t="str">
        <f t="shared" si="31"/>
        <v>#DIV/0!</v>
      </c>
      <c r="BG28" s="29" t="str">
        <f t="shared" si="31"/>
        <v>#DIV/0!</v>
      </c>
      <c r="BH28" s="29" t="str">
        <f t="shared" si="31"/>
        <v>#DIV/0!</v>
      </c>
      <c r="BI28" s="29" t="str">
        <f t="shared" si="31"/>
        <v>#DIV/0!</v>
      </c>
      <c r="BJ28" s="29" t="str">
        <f t="shared" si="31"/>
        <v>#DIV/0!</v>
      </c>
      <c r="BK28" s="29" t="str">
        <f t="shared" si="31"/>
        <v>#DIV/0!</v>
      </c>
      <c r="BL28" s="29" t="str">
        <f t="shared" si="31"/>
        <v>#DIV/0!</v>
      </c>
      <c r="BM28" s="29" t="str">
        <f t="shared" si="3"/>
        <v>#DIV/0!</v>
      </c>
    </row>
    <row r="29">
      <c r="A29" s="16" t="str">
        <f>IFERROR(__xludf.DUMMYFUNCTION("IFERROR(SPARKLINE(SORT(MAP(TRANSPOSE(AQ29:BL29), LAMBDA(val, IF(ISNUMBER(val), PERCENTRANK(AQ29:BL29, val)+0.01, 0))), SEQUENCE(COLUMNS(AQ29:BL29)), FALSE), {""charttype"",""column""; ""color"",""chartreuse""; ""ymin"", 0; ""ymax"", 1.01; ""highcolor"", "&amp;"""darkgreen""; ""lowcolor"", ""red""}), """")"),"")</f>
        <v/>
      </c>
      <c r="B29" s="17" t="str">
        <f t="shared" si="4"/>
        <v/>
      </c>
      <c r="C29" s="1" t="s">
        <v>3034</v>
      </c>
      <c r="D29" s="30" t="str">
        <f>IFERROR(__xludf.DUMMYFUNCTION("IFERROR(GOOGLEFINANCE(C29, ""NAME""))"),"Braskem SA ADR Class A")</f>
        <v>Braskem SA ADR Class A</v>
      </c>
      <c r="E29" s="30" t="s">
        <v>3035</v>
      </c>
      <c r="F29" s="33" t="str">
        <f>IFERROR(__xludf.DUMMYFUNCTION("( (GOOGLEFINANCE(C29, ""price"") - Q29) / Q29 ) / (R29 / 100)"),"Loading...")</f>
        <v>Loading...</v>
      </c>
      <c r="G29" s="20" t="str">
        <f>IFERROR(__xludf.DUMMYFUNCTION("AVERAGE(ARRAYFORMULA(100 * (QUERY(GOOGLEFINANCE(C29, ""high"", TODAY()-40, TODAY()), ""SELECT Col2 WHERE Col2 IS NOT NULL ORDER BY Col1 DESC LIMIT 20"", 0) / QUERY(GOOGLEFINANCE(C29, ""low"", TODAY()-40, TODAY()), ""SELECT Col2 WHERE Col2 IS NOT NULL ORDE"&amp;"R BY Col1 DESC LIMIT 20"", 0) - 1)))"),"#N/A")</f>
        <v>#N/A</v>
      </c>
      <c r="H29" s="35" t="str">
        <f t="shared" si="6"/>
        <v>Illiquid</v>
      </c>
      <c r="I29" s="35" t="str">
        <f t="shared" si="7"/>
        <v>RVol Required</v>
      </c>
      <c r="J29" s="37">
        <f>IFERROR(__xludf.DUMMYFUNCTION("IFERROR(
  IF(C29="""",, 
    IFERROR(
      GOOGLEFINANCE(C29, ""price"") * GOOGLEFINANCE(C29, ""volumeavg""), 
      GOOGLEFINANCE(C29, ""price"") * AVERAGE(QUERY(GOOGLEFINANCE(C29, ""volume"", TODAY()-40, TODAY()), ""SELECT Col2 WHERE Col2 IS NOT NULL "&amp;"ORDER BY Col1 DESC LIMIT 20"", 0))
    )
  ), 
"""")"),3070492.04)</f>
        <v>3070492.04</v>
      </c>
      <c r="K29" s="21">
        <f>IFERROR(__xludf.DUMMYFUNCTION("IFERROR(GOOGLEFINANCE(C29, ""changepct"") / 100, """")"),-0.08289999999999999)</f>
        <v>-0.0829</v>
      </c>
      <c r="L29" s="21" t="str">
        <f>IFERROR(__xludf.DUMMYFUNCTION("IFERROR((GOOGLEFINANCE(C29, ""price"") / INDEX(GOOGLEFINANCE(C29, ""price"", TODAY()-7, TODAY()), 2, 2)) - 1, """")"),"")</f>
        <v/>
      </c>
      <c r="M29" s="21" t="str">
        <f>IFERROR(__xludf.DUMMYFUNCTION("IFERROR((GOOGLEFINANCE(C29, ""price"") / INDEX(GOOGLEFINANCE(C29, ""price"", EDATE(TODAY(), -1), TODAY()), 2, 2)) - 1, """")"),"")</f>
        <v/>
      </c>
      <c r="N29" s="21" t="str">
        <f>IFERROR(__xludf.DUMMYFUNCTION("IFERROR((GOOGLEFINANCE(C29, ""price"") / INDEX(GOOGLEFINANCE(C29, ""price"", EDATE(TODAY(), -3), TODAY()), 2, 2)) - 1, """")"),"")</f>
        <v/>
      </c>
      <c r="O29" s="21" t="str">
        <f>IFERROR(__xludf.DUMMYFUNCTION("IFERROR((GOOGLEFINANCE(C29, ""price"") / INDEX(GOOGLEFINANCE(C29, ""price"", EDATE(TODAY(), -6), TODAY()), 2, 2)) - 1, """")"),"")</f>
        <v/>
      </c>
      <c r="P29" s="21" t="str">
        <f>IFERROR(__xludf.DUMMYFUNCTION("IFERROR((GOOGLEFINANCE(C29, ""price"") / INDEX(GOOGLEFINANCE(C29, ""price"", EDATE(TODAY(), -12), TODAY()), 2, 2)) - 1, """")"),"")</f>
        <v/>
      </c>
      <c r="Q29" s="6" t="str">
        <f>IFERROR(__xludf.DUMMYFUNCTION("AVERAGE(QUERY(GOOGLEFINANCE(C29, ""price"", TODAY()-80, TODAY()), ""SELECT Col2 WHERE Col2 IS NOT NULL ORDER BY Col1 DESC LIMIT 50"", 0))"),"#N/A")</f>
        <v>#N/A</v>
      </c>
      <c r="R29" s="24" t="str">
        <f>IFERROR(__xludf.DUMMYFUNCTION("IFERROR(
  LET(
    data, QUERY(GOOGLEFINANCE(C29,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GOOGLEFINANCE(C29, ""price"")) * 100,
    IF(calc=0, G29, calc)
  ), 
G29)"),"#N/A")</f>
        <v>#N/A</v>
      </c>
      <c r="S29" s="8" t="s">
        <v>15</v>
      </c>
      <c r="T29" s="26" t="str">
        <f>IFERROR(__xludf.DUMMYFUNCTION("IFERROR(TRANSPOSE(QUERY(IFERROR(SORT(GOOGLEFINANCE(C29, ""price"", WORKDAY(TODAY(), -40), TODAY()), 1, FALSE)), ""select Col2 where Col2 is not null limit 22 label Col2 ''"", 0)), """")"),"")</f>
        <v/>
      </c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8"/>
      <c r="AO29" s="28"/>
      <c r="AP29" s="29"/>
      <c r="AQ29" s="29" t="str">
        <f t="shared" ref="AQ29:BL29" si="32">T29/T$2</f>
        <v>#N/A</v>
      </c>
      <c r="AR29" s="29" t="str">
        <f t="shared" si="32"/>
        <v>#DIV/0!</v>
      </c>
      <c r="AS29" s="29" t="str">
        <f t="shared" si="32"/>
        <v>#DIV/0!</v>
      </c>
      <c r="AT29" s="29" t="str">
        <f t="shared" si="32"/>
        <v>#DIV/0!</v>
      </c>
      <c r="AU29" s="29" t="str">
        <f t="shared" si="32"/>
        <v>#DIV/0!</v>
      </c>
      <c r="AV29" s="29" t="str">
        <f t="shared" si="32"/>
        <v>#DIV/0!</v>
      </c>
      <c r="AW29" s="29" t="str">
        <f t="shared" si="32"/>
        <v>#DIV/0!</v>
      </c>
      <c r="AX29" s="29" t="str">
        <f t="shared" si="32"/>
        <v>#DIV/0!</v>
      </c>
      <c r="AY29" s="29" t="str">
        <f t="shared" si="32"/>
        <v>#DIV/0!</v>
      </c>
      <c r="AZ29" s="29" t="str">
        <f t="shared" si="32"/>
        <v>#DIV/0!</v>
      </c>
      <c r="BA29" s="29" t="str">
        <f t="shared" si="32"/>
        <v>#DIV/0!</v>
      </c>
      <c r="BB29" s="29" t="str">
        <f t="shared" si="32"/>
        <v>#DIV/0!</v>
      </c>
      <c r="BC29" s="29" t="str">
        <f t="shared" si="32"/>
        <v>#DIV/0!</v>
      </c>
      <c r="BD29" s="29" t="str">
        <f t="shared" si="32"/>
        <v>#DIV/0!</v>
      </c>
      <c r="BE29" s="29" t="str">
        <f t="shared" si="32"/>
        <v>#DIV/0!</v>
      </c>
      <c r="BF29" s="29" t="str">
        <f t="shared" si="32"/>
        <v>#DIV/0!</v>
      </c>
      <c r="BG29" s="29" t="str">
        <f t="shared" si="32"/>
        <v>#DIV/0!</v>
      </c>
      <c r="BH29" s="29" t="str">
        <f t="shared" si="32"/>
        <v>#DIV/0!</v>
      </c>
      <c r="BI29" s="29" t="str">
        <f t="shared" si="32"/>
        <v>#DIV/0!</v>
      </c>
      <c r="BJ29" s="29" t="str">
        <f t="shared" si="32"/>
        <v>#DIV/0!</v>
      </c>
      <c r="BK29" s="29" t="str">
        <f t="shared" si="32"/>
        <v>#DIV/0!</v>
      </c>
      <c r="BL29" s="29" t="str">
        <f t="shared" si="32"/>
        <v>#DIV/0!</v>
      </c>
      <c r="BM29" s="29" t="str">
        <f t="shared" si="3"/>
        <v>#DIV/0!</v>
      </c>
    </row>
    <row r="30">
      <c r="A30" s="16" t="str">
        <f>IFERROR(__xludf.DUMMYFUNCTION("IFERROR(SPARKLINE(SORT(MAP(TRANSPOSE(AQ30:BL30), LAMBDA(val, IF(ISNUMBER(val), PERCENTRANK(AQ30:BL30, val)+0.01, 0))), SEQUENCE(COLUMNS(AQ30:BL30)), FALSE), {""charttype"",""column""; ""color"",""chartreuse""; ""ymin"", 0; ""ymax"", 1.01; ""highcolor"", "&amp;"""darkgreen""; ""lowcolor"", ""red""}), """")"),"")</f>
        <v/>
      </c>
      <c r="B30" s="17" t="str">
        <f t="shared" si="4"/>
        <v/>
      </c>
      <c r="C30" s="1" t="s">
        <v>3038</v>
      </c>
      <c r="D30" s="30" t="str">
        <f>IFERROR(__xludf.DUMMYFUNCTION("IFERROR(GOOGLEFINANCE(C30, ""NAME""))"),"Intrepid Potash Inc")</f>
        <v>Intrepid Potash Inc</v>
      </c>
      <c r="E30" s="30" t="s">
        <v>3039</v>
      </c>
      <c r="F30" s="33" t="str">
        <f>IFERROR(__xludf.DUMMYFUNCTION("( (GOOGLEFINANCE(C30, ""price"") - Q30) / Q30 ) / (R30 / 100)"),"Loading...")</f>
        <v>Loading...</v>
      </c>
      <c r="G30" s="20" t="str">
        <f>IFERROR(__xludf.DUMMYFUNCTION("AVERAGE(ARRAYFORMULA(100 * (QUERY(GOOGLEFINANCE(C30, ""high"", TODAY()-40, TODAY()), ""SELECT Col2 WHERE Col2 IS NOT NULL ORDER BY Col1 DESC LIMIT 20"", 0) / QUERY(GOOGLEFINANCE(C30, ""low"", TODAY()-40, TODAY()), ""SELECT Col2 WHERE Col2 IS NOT NULL ORDE"&amp;"R BY Col1 DESC LIMIT 20"", 0) - 1)))"),"#N/A")</f>
        <v>#N/A</v>
      </c>
      <c r="H30" s="35"/>
      <c r="I30" s="35" t="str">
        <f t="shared" si="7"/>
        <v>RVol Required</v>
      </c>
      <c r="J30" s="37">
        <f>IFERROR(__xludf.DUMMYFUNCTION("IFERROR(
  IF(C30="""",, 
    IFERROR(
      GOOGLEFINANCE(C30, ""price"") * GOOGLEFINANCE(C30, ""volumeavg""), 
      GOOGLEFINANCE(C30, ""price"") * AVERAGE(QUERY(GOOGLEFINANCE(C30, ""volume"", TODAY()-40, TODAY()), ""SELECT Col2 WHERE Col2 IS NOT NULL "&amp;"ORDER BY Col1 DESC LIMIT 20"", 0))
    )
  ), 
"""")"),6239849.36)</f>
        <v>6239849.36</v>
      </c>
      <c r="K30" s="21">
        <f>IFERROR(__xludf.DUMMYFUNCTION("IFERROR(GOOGLEFINANCE(C30, ""changepct"") / 100, """")"),0.0028000000000000004)</f>
        <v>0.0028</v>
      </c>
      <c r="L30" s="21" t="str">
        <f>IFERROR(__xludf.DUMMYFUNCTION("IFERROR((GOOGLEFINANCE(C30, ""price"") / INDEX(GOOGLEFINANCE(C30, ""price"", TODAY()-7, TODAY()), 2, 2)) - 1, """")"),"")</f>
        <v/>
      </c>
      <c r="M30" s="21" t="str">
        <f>IFERROR(__xludf.DUMMYFUNCTION("IFERROR((GOOGLEFINANCE(C30, ""price"") / INDEX(GOOGLEFINANCE(C30, ""price"", EDATE(TODAY(), -1), TODAY()), 2, 2)) - 1, """")"),"")</f>
        <v/>
      </c>
      <c r="N30" s="21" t="str">
        <f>IFERROR(__xludf.DUMMYFUNCTION("IFERROR((GOOGLEFINANCE(C30, ""price"") / INDEX(GOOGLEFINANCE(C30, ""price"", EDATE(TODAY(), -3), TODAY()), 2, 2)) - 1, """")"),"")</f>
        <v/>
      </c>
      <c r="O30" s="21" t="str">
        <f>IFERROR(__xludf.DUMMYFUNCTION("IFERROR((GOOGLEFINANCE(C30, ""price"") / INDEX(GOOGLEFINANCE(C30, ""price"", EDATE(TODAY(), -6), TODAY()), 2, 2)) - 1, """")"),"")</f>
        <v/>
      </c>
      <c r="P30" s="21" t="str">
        <f>IFERROR(__xludf.DUMMYFUNCTION("IFERROR((GOOGLEFINANCE(C30, ""price"") / INDEX(GOOGLEFINANCE(C30, ""price"", EDATE(TODAY(), -12), TODAY()), 2, 2)) - 1, """")"),"")</f>
        <v/>
      </c>
      <c r="Q30" s="6" t="str">
        <f>IFERROR(__xludf.DUMMYFUNCTION("AVERAGE(QUERY(GOOGLEFINANCE(C30, ""price"", TODAY()-80, TODAY()), ""SELECT Col2 WHERE Col2 IS NOT NULL ORDER BY Col1 DESC LIMIT 50"", 0))"),"#N/A")</f>
        <v>#N/A</v>
      </c>
      <c r="R30" s="24" t="str">
        <f>IFERROR(__xludf.DUMMYFUNCTION("IFERROR(
  LET(
    data, QUERY(GOOGLEFINANCE(C30,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GOOGLEFINANCE(C30, ""price"")) * 100,
    IF(calc=0, G30, calc)
  ), 
G30)"),"#N/A")</f>
        <v>#N/A</v>
      </c>
      <c r="S30" s="8" t="s">
        <v>15</v>
      </c>
      <c r="T30" s="26" t="str">
        <f>IFERROR(__xludf.DUMMYFUNCTION("IFERROR(TRANSPOSE(QUERY(IFERROR(SORT(GOOGLEFINANCE(C30, ""price"", WORKDAY(TODAY(), -40), TODAY()), 1, FALSE)), ""select Col2 where Col2 is not null limit 22 label Col2 ''"", 0)), """")"),"")</f>
        <v/>
      </c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8"/>
      <c r="AO30" s="28"/>
      <c r="AP30" s="29"/>
      <c r="AQ30" s="29" t="str">
        <f t="shared" ref="AQ30:BL30" si="33">T30/T$2</f>
        <v>#N/A</v>
      </c>
      <c r="AR30" s="29" t="str">
        <f t="shared" si="33"/>
        <v>#DIV/0!</v>
      </c>
      <c r="AS30" s="29" t="str">
        <f t="shared" si="33"/>
        <v>#DIV/0!</v>
      </c>
      <c r="AT30" s="29" t="str">
        <f t="shared" si="33"/>
        <v>#DIV/0!</v>
      </c>
      <c r="AU30" s="29" t="str">
        <f t="shared" si="33"/>
        <v>#DIV/0!</v>
      </c>
      <c r="AV30" s="29" t="str">
        <f t="shared" si="33"/>
        <v>#DIV/0!</v>
      </c>
      <c r="AW30" s="29" t="str">
        <f t="shared" si="33"/>
        <v>#DIV/0!</v>
      </c>
      <c r="AX30" s="29" t="str">
        <f t="shared" si="33"/>
        <v>#DIV/0!</v>
      </c>
      <c r="AY30" s="29" t="str">
        <f t="shared" si="33"/>
        <v>#DIV/0!</v>
      </c>
      <c r="AZ30" s="29" t="str">
        <f t="shared" si="33"/>
        <v>#DIV/0!</v>
      </c>
      <c r="BA30" s="29" t="str">
        <f t="shared" si="33"/>
        <v>#DIV/0!</v>
      </c>
      <c r="BB30" s="29" t="str">
        <f t="shared" si="33"/>
        <v>#DIV/0!</v>
      </c>
      <c r="BC30" s="29" t="str">
        <f t="shared" si="33"/>
        <v>#DIV/0!</v>
      </c>
      <c r="BD30" s="29" t="str">
        <f t="shared" si="33"/>
        <v>#DIV/0!</v>
      </c>
      <c r="BE30" s="29" t="str">
        <f t="shared" si="33"/>
        <v>#DIV/0!</v>
      </c>
      <c r="BF30" s="29" t="str">
        <f t="shared" si="33"/>
        <v>#DIV/0!</v>
      </c>
      <c r="BG30" s="29" t="str">
        <f t="shared" si="33"/>
        <v>#DIV/0!</v>
      </c>
      <c r="BH30" s="29" t="str">
        <f t="shared" si="33"/>
        <v>#DIV/0!</v>
      </c>
      <c r="BI30" s="29" t="str">
        <f t="shared" si="33"/>
        <v>#DIV/0!</v>
      </c>
      <c r="BJ30" s="29" t="str">
        <f t="shared" si="33"/>
        <v>#DIV/0!</v>
      </c>
      <c r="BK30" s="29" t="str">
        <f t="shared" si="33"/>
        <v>#DIV/0!</v>
      </c>
      <c r="BL30" s="29" t="str">
        <f t="shared" si="33"/>
        <v>#DIV/0!</v>
      </c>
      <c r="BM30" s="29" t="str">
        <f t="shared" si="3"/>
        <v>#DIV/0!</v>
      </c>
    </row>
    <row r="31">
      <c r="A31" s="16" t="str">
        <f>IFERROR(__xludf.DUMMYFUNCTION("IFERROR(SPARKLINE(SORT(MAP(TRANSPOSE(AQ31:BL31), LAMBDA(val, IF(ISNUMBER(val), PERCENTRANK(AQ31:BL31, val)+0.01, 0))), SEQUENCE(COLUMNS(AQ31:BL31)), FALSE), {""charttype"",""column""; ""color"",""chartreuse""; ""ymin"", 0; ""ymax"", 1.01; ""highcolor"", "&amp;"""darkgreen""; ""lowcolor"", ""red""}), """")"),"")</f>
        <v/>
      </c>
      <c r="B31" s="17" t="str">
        <f t="shared" si="4"/>
        <v/>
      </c>
      <c r="C31" s="1" t="s">
        <v>3042</v>
      </c>
      <c r="D31" s="30" t="str">
        <f>IFERROR(__xludf.DUMMYFUNCTION("IFERROR(GOOGLEFINANCE(C31, ""NAME""))"),"Lifezone Metals Ltd")</f>
        <v>Lifezone Metals Ltd</v>
      </c>
      <c r="E31" s="30" t="s">
        <v>2935</v>
      </c>
      <c r="F31" s="33" t="str">
        <f>IFERROR(__xludf.DUMMYFUNCTION("( (GOOGLEFINANCE(C31, ""price"") - Q31) / Q31 ) / (R31 / 100)"),"Loading...")</f>
        <v>Loading...</v>
      </c>
      <c r="G31" s="20" t="str">
        <f>IFERROR(__xludf.DUMMYFUNCTION("AVERAGE(ARRAYFORMULA(100 * (QUERY(GOOGLEFINANCE(C31, ""high"", TODAY()-40, TODAY()), ""SELECT Col2 WHERE Col2 IS NOT NULL ORDER BY Col1 DESC LIMIT 20"", 0) / QUERY(GOOGLEFINANCE(C31, ""low"", TODAY()-40, TODAY()), ""SELECT Col2 WHERE Col2 IS NOT NULL ORDE"&amp;"R BY Col1 DESC LIMIT 20"", 0) - 1)))"),"#N/A")</f>
        <v>#N/A</v>
      </c>
      <c r="H31" s="35" t="str">
        <f t="shared" ref="H31:H213" si="35">IFERROR(IF(ISNUMBER(J31), IF(J31 &lt; 50000000, "Illiquid", "Liquid"), ""), "")</f>
        <v>Illiquid</v>
      </c>
      <c r="I31" s="35" t="str">
        <f t="shared" si="7"/>
        <v>RVol Required</v>
      </c>
      <c r="J31" s="37">
        <f>IFERROR(__xludf.DUMMYFUNCTION("IFERROR(
  IF(C31="""",, 
    IFERROR(
      GOOGLEFINANCE(C31, ""price"") * GOOGLEFINANCE(C31, ""volumeavg""), 
      GOOGLEFINANCE(C31, ""price"") * AVERAGE(QUERY(GOOGLEFINANCE(C31, ""volume"", TODAY()-40, TODAY()), ""SELECT Col2 WHERE Col2 IS NOT NULL "&amp;"ORDER BY Col1 DESC LIMIT 20"", 0))
    )
  ), 
"""")"),1303746.66)</f>
        <v>1303746.66</v>
      </c>
      <c r="K31" s="21">
        <f>IFERROR(__xludf.DUMMYFUNCTION("IFERROR(GOOGLEFINANCE(C31, ""changepct"") / 100, """")"),-0.0783)</f>
        <v>-0.0783</v>
      </c>
      <c r="L31" s="21" t="str">
        <f>IFERROR(__xludf.DUMMYFUNCTION("IFERROR((GOOGLEFINANCE(C31, ""price"") / INDEX(GOOGLEFINANCE(C31, ""price"", TODAY()-7, TODAY()), 2, 2)) - 1, """")"),"")</f>
        <v/>
      </c>
      <c r="M31" s="21" t="str">
        <f>IFERROR(__xludf.DUMMYFUNCTION("IFERROR((GOOGLEFINANCE(C31, ""price"") / INDEX(GOOGLEFINANCE(C31, ""price"", EDATE(TODAY(), -1), TODAY()), 2, 2)) - 1, """")"),"")</f>
        <v/>
      </c>
      <c r="N31" s="21" t="str">
        <f>IFERROR(__xludf.DUMMYFUNCTION("IFERROR((GOOGLEFINANCE(C31, ""price"") / INDEX(GOOGLEFINANCE(C31, ""price"", EDATE(TODAY(), -3), TODAY()), 2, 2)) - 1, """")"),"")</f>
        <v/>
      </c>
      <c r="O31" s="21" t="str">
        <f>IFERROR(__xludf.DUMMYFUNCTION("IFERROR((GOOGLEFINANCE(C31, ""price"") / INDEX(GOOGLEFINANCE(C31, ""price"", EDATE(TODAY(), -6), TODAY()), 2, 2)) - 1, """")"),"")</f>
        <v/>
      </c>
      <c r="P31" s="21" t="str">
        <f>IFERROR(__xludf.DUMMYFUNCTION("IFERROR((GOOGLEFINANCE(C31, ""price"") / INDEX(GOOGLEFINANCE(C31, ""price"", EDATE(TODAY(), -12), TODAY()), 2, 2)) - 1, """")"),"")</f>
        <v/>
      </c>
      <c r="Q31" s="6" t="str">
        <f>IFERROR(__xludf.DUMMYFUNCTION("AVERAGE(QUERY(GOOGLEFINANCE(C31, ""price"", TODAY()-80, TODAY()), ""SELECT Col2 WHERE Col2 IS NOT NULL ORDER BY Col1 DESC LIMIT 50"", 0))"),"#N/A")</f>
        <v>#N/A</v>
      </c>
      <c r="R31" s="24" t="str">
        <f>IFERROR(__xludf.DUMMYFUNCTION("IFERROR(
  LET(
    data, QUERY(GOOGLEFINANCE(C31,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GOOGLEFINANCE(C31, ""price"")) * 100,
    IF(calc=0, G31, calc)
  ), 
G31)"),"#N/A")</f>
        <v>#N/A</v>
      </c>
      <c r="S31" s="8" t="s">
        <v>15</v>
      </c>
      <c r="T31" s="26" t="str">
        <f>IFERROR(__xludf.DUMMYFUNCTION("IFERROR(TRANSPOSE(QUERY(IFERROR(SORT(GOOGLEFINANCE(C31, ""price"", WORKDAY(TODAY(), -40), TODAY()), 1, FALSE)), ""select Col2 where Col2 is not null limit 22 label Col2 ''"", 0)), """")"),"")</f>
        <v/>
      </c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8"/>
      <c r="AO31" s="28"/>
      <c r="AP31" s="29"/>
      <c r="AQ31" s="29" t="str">
        <f t="shared" ref="AQ31:BL31" si="34">T31/T$2</f>
        <v>#N/A</v>
      </c>
      <c r="AR31" s="29" t="str">
        <f t="shared" si="34"/>
        <v>#DIV/0!</v>
      </c>
      <c r="AS31" s="29" t="str">
        <f t="shared" si="34"/>
        <v>#DIV/0!</v>
      </c>
      <c r="AT31" s="29" t="str">
        <f t="shared" si="34"/>
        <v>#DIV/0!</v>
      </c>
      <c r="AU31" s="29" t="str">
        <f t="shared" si="34"/>
        <v>#DIV/0!</v>
      </c>
      <c r="AV31" s="29" t="str">
        <f t="shared" si="34"/>
        <v>#DIV/0!</v>
      </c>
      <c r="AW31" s="29" t="str">
        <f t="shared" si="34"/>
        <v>#DIV/0!</v>
      </c>
      <c r="AX31" s="29" t="str">
        <f t="shared" si="34"/>
        <v>#DIV/0!</v>
      </c>
      <c r="AY31" s="29" t="str">
        <f t="shared" si="34"/>
        <v>#DIV/0!</v>
      </c>
      <c r="AZ31" s="29" t="str">
        <f t="shared" si="34"/>
        <v>#DIV/0!</v>
      </c>
      <c r="BA31" s="29" t="str">
        <f t="shared" si="34"/>
        <v>#DIV/0!</v>
      </c>
      <c r="BB31" s="29" t="str">
        <f t="shared" si="34"/>
        <v>#DIV/0!</v>
      </c>
      <c r="BC31" s="29" t="str">
        <f t="shared" si="34"/>
        <v>#DIV/0!</v>
      </c>
      <c r="BD31" s="29" t="str">
        <f t="shared" si="34"/>
        <v>#DIV/0!</v>
      </c>
      <c r="BE31" s="29" t="str">
        <f t="shared" si="34"/>
        <v>#DIV/0!</v>
      </c>
      <c r="BF31" s="29" t="str">
        <f t="shared" si="34"/>
        <v>#DIV/0!</v>
      </c>
      <c r="BG31" s="29" t="str">
        <f t="shared" si="34"/>
        <v>#DIV/0!</v>
      </c>
      <c r="BH31" s="29" t="str">
        <f t="shared" si="34"/>
        <v>#DIV/0!</v>
      </c>
      <c r="BI31" s="29" t="str">
        <f t="shared" si="34"/>
        <v>#DIV/0!</v>
      </c>
      <c r="BJ31" s="29" t="str">
        <f t="shared" si="34"/>
        <v>#DIV/0!</v>
      </c>
      <c r="BK31" s="29" t="str">
        <f t="shared" si="34"/>
        <v>#DIV/0!</v>
      </c>
      <c r="BL31" s="29" t="str">
        <f t="shared" si="34"/>
        <v>#DIV/0!</v>
      </c>
      <c r="BM31" s="29" t="str">
        <f t="shared" si="3"/>
        <v>#DIV/0!</v>
      </c>
    </row>
    <row r="32">
      <c r="A32" s="16" t="str">
        <f>IFERROR(__xludf.DUMMYFUNCTION("IFERROR(SPARKLINE(SORT(MAP(TRANSPOSE(AQ32:BL32), LAMBDA(val, IF(ISNUMBER(val), PERCENTRANK(AQ32:BL32, val)+0.01, 0))), SEQUENCE(COLUMNS(AQ32:BL32)), FALSE), {""charttype"",""column""; ""color"",""chartreuse""; ""ymin"", 0; ""ymax"", 1.01; ""highcolor"", "&amp;"""darkgreen""; ""lowcolor"", ""red""}), """")"),"")</f>
        <v/>
      </c>
      <c r="B32" s="17" t="str">
        <f t="shared" si="4"/>
        <v/>
      </c>
      <c r="C32" s="1" t="s">
        <v>3045</v>
      </c>
      <c r="D32" s="30" t="str">
        <f>IFERROR(__xludf.DUMMYFUNCTION("IFERROR(GOOGLEFINANCE(C32, ""NAME""))"),"Icl Group Ltd")</f>
        <v>Icl Group Ltd</v>
      </c>
      <c r="E32" s="30" t="s">
        <v>3039</v>
      </c>
      <c r="F32" s="33" t="str">
        <f>IFERROR(__xludf.DUMMYFUNCTION("( (GOOGLEFINANCE(C32, ""price"") - Q32) / Q32 ) / (R32 / 100)"),"Loading...")</f>
        <v>Loading...</v>
      </c>
      <c r="G32" s="20" t="str">
        <f>IFERROR(__xludf.DUMMYFUNCTION("AVERAGE(ARRAYFORMULA(100 * (QUERY(GOOGLEFINANCE(C32, ""high"", TODAY()-40, TODAY()), ""SELECT Col2 WHERE Col2 IS NOT NULL ORDER BY Col1 DESC LIMIT 20"", 0) / QUERY(GOOGLEFINANCE(C32, ""low"", TODAY()-40, TODAY()), ""SELECT Col2 WHERE Col2 IS NOT NULL ORDE"&amp;"R BY Col1 DESC LIMIT 20"", 0) - 1)))"),"#N/A")</f>
        <v>#N/A</v>
      </c>
      <c r="H32" s="35" t="str">
        <f t="shared" si="35"/>
        <v>Illiquid</v>
      </c>
      <c r="I32" s="35" t="str">
        <f t="shared" si="7"/>
        <v>RVol Required</v>
      </c>
      <c r="J32" s="37">
        <f>IFERROR(__xludf.DUMMYFUNCTION("IFERROR(
  IF(C32="""",, 
    IFERROR(
      GOOGLEFINANCE(C32, ""price"") * GOOGLEFINANCE(C32, ""volumeavg""), 
      GOOGLEFINANCE(C32, ""price"") * AVERAGE(QUERY(GOOGLEFINANCE(C32, ""volume"", TODAY()-40, TODAY()), ""SELECT Col2 WHERE Col2 IS NOT NULL "&amp;"ORDER BY Col1 DESC LIMIT 20"", 0))
    )
  ), 
"""")"),6223766.989999999)</f>
        <v>6223766.99</v>
      </c>
      <c r="K32" s="21">
        <f>IFERROR(__xludf.DUMMYFUNCTION("IFERROR(GOOGLEFINANCE(C32, ""changepct"") / 100, """")"),0.0)</f>
        <v>0</v>
      </c>
      <c r="L32" s="21" t="str">
        <f>IFERROR(__xludf.DUMMYFUNCTION("IFERROR((GOOGLEFINANCE(C32, ""price"") / INDEX(GOOGLEFINANCE(C32, ""price"", TODAY()-7, TODAY()), 2, 2)) - 1, """")"),"")</f>
        <v/>
      </c>
      <c r="M32" s="21" t="str">
        <f>IFERROR(__xludf.DUMMYFUNCTION("IFERROR((GOOGLEFINANCE(C32, ""price"") / INDEX(GOOGLEFINANCE(C32, ""price"", EDATE(TODAY(), -1), TODAY()), 2, 2)) - 1, """")"),"")</f>
        <v/>
      </c>
      <c r="N32" s="21" t="str">
        <f>IFERROR(__xludf.DUMMYFUNCTION("IFERROR((GOOGLEFINANCE(C32, ""price"") / INDEX(GOOGLEFINANCE(C32, ""price"", EDATE(TODAY(), -3), TODAY()), 2, 2)) - 1, """")"),"")</f>
        <v/>
      </c>
      <c r="O32" s="21" t="str">
        <f>IFERROR(__xludf.DUMMYFUNCTION("IFERROR((GOOGLEFINANCE(C32, ""price"") / INDEX(GOOGLEFINANCE(C32, ""price"", EDATE(TODAY(), -6), TODAY()), 2, 2)) - 1, """")"),"")</f>
        <v/>
      </c>
      <c r="P32" s="21" t="str">
        <f>IFERROR(__xludf.DUMMYFUNCTION("IFERROR((GOOGLEFINANCE(C32, ""price"") / INDEX(GOOGLEFINANCE(C32, ""price"", EDATE(TODAY(), -12), TODAY()), 2, 2)) - 1, """")"),"")</f>
        <v/>
      </c>
      <c r="Q32" s="6" t="str">
        <f>IFERROR(__xludf.DUMMYFUNCTION("AVERAGE(QUERY(GOOGLEFINANCE(C32, ""price"", TODAY()-80, TODAY()), ""SELECT Col2 WHERE Col2 IS NOT NULL ORDER BY Col1 DESC LIMIT 50"", 0))"),"#N/A")</f>
        <v>#N/A</v>
      </c>
      <c r="R32" s="24" t="str">
        <f>IFERROR(__xludf.DUMMYFUNCTION("IFERROR(
  LET(
    data, QUERY(GOOGLEFINANCE(C32,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GOOGLEFINANCE(C32, ""price"")) * 100,
    IF(calc=0, G32, calc)
  ), 
G32)"),"#N/A")</f>
        <v>#N/A</v>
      </c>
      <c r="S32" s="8" t="s">
        <v>15</v>
      </c>
      <c r="T32" s="26" t="str">
        <f>IFERROR(__xludf.DUMMYFUNCTION("IFERROR(TRANSPOSE(QUERY(IFERROR(SORT(GOOGLEFINANCE(C32, ""price"", WORKDAY(TODAY(), -40), TODAY()), 1, FALSE)), ""select Col2 where Col2 is not null limit 22 label Col2 ''"", 0)), """")"),"")</f>
        <v/>
      </c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8"/>
      <c r="AO32" s="28"/>
      <c r="AP32" s="29"/>
      <c r="AQ32" s="29" t="str">
        <f t="shared" ref="AQ32:BL32" si="36">T32/T$2</f>
        <v>#N/A</v>
      </c>
      <c r="AR32" s="29" t="str">
        <f t="shared" si="36"/>
        <v>#DIV/0!</v>
      </c>
      <c r="AS32" s="29" t="str">
        <f t="shared" si="36"/>
        <v>#DIV/0!</v>
      </c>
      <c r="AT32" s="29" t="str">
        <f t="shared" si="36"/>
        <v>#DIV/0!</v>
      </c>
      <c r="AU32" s="29" t="str">
        <f t="shared" si="36"/>
        <v>#DIV/0!</v>
      </c>
      <c r="AV32" s="29" t="str">
        <f t="shared" si="36"/>
        <v>#DIV/0!</v>
      </c>
      <c r="AW32" s="29" t="str">
        <f t="shared" si="36"/>
        <v>#DIV/0!</v>
      </c>
      <c r="AX32" s="29" t="str">
        <f t="shared" si="36"/>
        <v>#DIV/0!</v>
      </c>
      <c r="AY32" s="29" t="str">
        <f t="shared" si="36"/>
        <v>#DIV/0!</v>
      </c>
      <c r="AZ32" s="29" t="str">
        <f t="shared" si="36"/>
        <v>#DIV/0!</v>
      </c>
      <c r="BA32" s="29" t="str">
        <f t="shared" si="36"/>
        <v>#DIV/0!</v>
      </c>
      <c r="BB32" s="29" t="str">
        <f t="shared" si="36"/>
        <v>#DIV/0!</v>
      </c>
      <c r="BC32" s="29" t="str">
        <f t="shared" si="36"/>
        <v>#DIV/0!</v>
      </c>
      <c r="BD32" s="29" t="str">
        <f t="shared" si="36"/>
        <v>#DIV/0!</v>
      </c>
      <c r="BE32" s="29" t="str">
        <f t="shared" si="36"/>
        <v>#DIV/0!</v>
      </c>
      <c r="BF32" s="29" t="str">
        <f t="shared" si="36"/>
        <v>#DIV/0!</v>
      </c>
      <c r="BG32" s="29" t="str">
        <f t="shared" si="36"/>
        <v>#DIV/0!</v>
      </c>
      <c r="BH32" s="29" t="str">
        <f t="shared" si="36"/>
        <v>#DIV/0!</v>
      </c>
      <c r="BI32" s="29" t="str">
        <f t="shared" si="36"/>
        <v>#DIV/0!</v>
      </c>
      <c r="BJ32" s="29" t="str">
        <f t="shared" si="36"/>
        <v>#DIV/0!</v>
      </c>
      <c r="BK32" s="29" t="str">
        <f t="shared" si="36"/>
        <v>#DIV/0!</v>
      </c>
      <c r="BL32" s="29" t="str">
        <f t="shared" si="36"/>
        <v>#DIV/0!</v>
      </c>
      <c r="BM32" s="29" t="str">
        <f t="shared" si="3"/>
        <v>#DIV/0!</v>
      </c>
    </row>
    <row r="33">
      <c r="A33" s="16" t="str">
        <f>IFERROR(__xludf.DUMMYFUNCTION("IFERROR(SPARKLINE(SORT(MAP(TRANSPOSE(AQ33:BL33), LAMBDA(val, IF(ISNUMBER(val), PERCENTRANK(AQ33:BL33, val)+0.01, 0))), SEQUENCE(COLUMNS(AQ33:BL33)), FALSE), {""charttype"",""column""; ""color"",""chartreuse""; ""ymin"", 0; ""ymax"", 1.01; ""highcolor"", "&amp;"""darkgreen""; ""lowcolor"", ""red""}), """")"),"")</f>
        <v/>
      </c>
      <c r="B33" s="17" t="str">
        <f t="shared" si="4"/>
        <v/>
      </c>
      <c r="C33" s="1" t="s">
        <v>3048</v>
      </c>
      <c r="D33" s="30" t="str">
        <f>IFERROR(__xludf.DUMMYFUNCTION("IFERROR(GOOGLEFINANCE(C33, ""NAME""))"),"Cabot Corp")</f>
        <v>Cabot Corp</v>
      </c>
      <c r="E33" s="30" t="s">
        <v>2995</v>
      </c>
      <c r="F33" s="33" t="str">
        <f>IFERROR(__xludf.DUMMYFUNCTION("( (GOOGLEFINANCE(C33, ""price"") - Q33) / Q33 ) / (R33 / 100)"),"Loading...")</f>
        <v>Loading...</v>
      </c>
      <c r="G33" s="20" t="str">
        <f>IFERROR(__xludf.DUMMYFUNCTION("AVERAGE(ARRAYFORMULA(100 * (QUERY(GOOGLEFINANCE(C33, ""high"", TODAY()-40, TODAY()), ""SELECT Col2 WHERE Col2 IS NOT NULL ORDER BY Col1 DESC LIMIT 20"", 0) / QUERY(GOOGLEFINANCE(C33, ""low"", TODAY()-40, TODAY()), ""SELECT Col2 WHERE Col2 IS NOT NULL ORDE"&amp;"R BY Col1 DESC LIMIT 20"", 0) - 1)))"),"#N/A")</f>
        <v>#N/A</v>
      </c>
      <c r="H33" s="35" t="str">
        <f t="shared" si="35"/>
        <v>Illiquid</v>
      </c>
      <c r="I33" s="35" t="str">
        <f t="shared" si="7"/>
        <v>RVol Required</v>
      </c>
      <c r="J33" s="37">
        <f>IFERROR(__xludf.DUMMYFUNCTION("IFERROR(
  IF(C33="""",, 
    IFERROR(
      GOOGLEFINANCE(C33, ""price"") * GOOGLEFINANCE(C33, ""volumeavg""), 
      GOOGLEFINANCE(C33, ""price"") * AVERAGE(QUERY(GOOGLEFINANCE(C33, ""volume"", TODAY()-40, TODAY()), ""SELECT Col2 WHERE Col2 IS NOT NULL "&amp;"ORDER BY Col1 DESC LIMIT 20"", 0))
    )
  ), 
"""")"),2.9748241860000003E7)</f>
        <v>29748241.86</v>
      </c>
      <c r="K33" s="21">
        <f>IFERROR(__xludf.DUMMYFUNCTION("IFERROR(GOOGLEFINANCE(C33, ""changepct"") / 100, """")"),-0.0158)</f>
        <v>-0.0158</v>
      </c>
      <c r="L33" s="21" t="str">
        <f>IFERROR(__xludf.DUMMYFUNCTION("IFERROR((GOOGLEFINANCE(C33, ""price"") / INDEX(GOOGLEFINANCE(C33, ""price"", TODAY()-7, TODAY()), 2, 2)) - 1, """")"),"")</f>
        <v/>
      </c>
      <c r="M33" s="21" t="str">
        <f>IFERROR(__xludf.DUMMYFUNCTION("IFERROR((GOOGLEFINANCE(C33, ""price"") / INDEX(GOOGLEFINANCE(C33, ""price"", EDATE(TODAY(), -1), TODAY()), 2, 2)) - 1, """")"),"")</f>
        <v/>
      </c>
      <c r="N33" s="21" t="str">
        <f>IFERROR(__xludf.DUMMYFUNCTION("IFERROR((GOOGLEFINANCE(C33, ""price"") / INDEX(GOOGLEFINANCE(C33, ""price"", EDATE(TODAY(), -3), TODAY()), 2, 2)) - 1, """")"),"")</f>
        <v/>
      </c>
      <c r="O33" s="21" t="str">
        <f>IFERROR(__xludf.DUMMYFUNCTION("IFERROR((GOOGLEFINANCE(C33, ""price"") / INDEX(GOOGLEFINANCE(C33, ""price"", EDATE(TODAY(), -6), TODAY()), 2, 2)) - 1, """")"),"")</f>
        <v/>
      </c>
      <c r="P33" s="21" t="str">
        <f>IFERROR(__xludf.DUMMYFUNCTION("IFERROR((GOOGLEFINANCE(C33, ""price"") / INDEX(GOOGLEFINANCE(C33, ""price"", EDATE(TODAY(), -12), TODAY()), 2, 2)) - 1, """")"),"")</f>
        <v/>
      </c>
      <c r="Q33" s="6" t="str">
        <f>IFERROR(__xludf.DUMMYFUNCTION("AVERAGE(QUERY(GOOGLEFINANCE(C33, ""price"", TODAY()-80, TODAY()), ""SELECT Col2 WHERE Col2 IS NOT NULL ORDER BY Col1 DESC LIMIT 50"", 0))"),"#N/A")</f>
        <v>#N/A</v>
      </c>
      <c r="R33" s="24" t="str">
        <f>IFERROR(__xludf.DUMMYFUNCTION("IFERROR(
  LET(
    data, QUERY(GOOGLEFINANCE(C33,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GOOGLEFINANCE(C33, ""price"")) * 100,
    IF(calc=0, G33, calc)
  ), 
G33)"),"#N/A")</f>
        <v>#N/A</v>
      </c>
      <c r="S33" s="8" t="s">
        <v>15</v>
      </c>
      <c r="T33" s="26" t="str">
        <f>IFERROR(__xludf.DUMMYFUNCTION("IFERROR(TRANSPOSE(QUERY(IFERROR(SORT(GOOGLEFINANCE(C33, ""price"", WORKDAY(TODAY(), -40), TODAY()), 1, FALSE)), ""select Col2 where Col2 is not null limit 22 label Col2 ''"", 0)), """")"),"")</f>
        <v/>
      </c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8"/>
      <c r="AO33" s="28"/>
      <c r="AP33" s="29"/>
      <c r="AQ33" s="29" t="str">
        <f t="shared" ref="AQ33:BL33" si="37">T33/T$2</f>
        <v>#N/A</v>
      </c>
      <c r="AR33" s="29" t="str">
        <f t="shared" si="37"/>
        <v>#DIV/0!</v>
      </c>
      <c r="AS33" s="29" t="str">
        <f t="shared" si="37"/>
        <v>#DIV/0!</v>
      </c>
      <c r="AT33" s="29" t="str">
        <f t="shared" si="37"/>
        <v>#DIV/0!</v>
      </c>
      <c r="AU33" s="29" t="str">
        <f t="shared" si="37"/>
        <v>#DIV/0!</v>
      </c>
      <c r="AV33" s="29" t="str">
        <f t="shared" si="37"/>
        <v>#DIV/0!</v>
      </c>
      <c r="AW33" s="29" t="str">
        <f t="shared" si="37"/>
        <v>#DIV/0!</v>
      </c>
      <c r="AX33" s="29" t="str">
        <f t="shared" si="37"/>
        <v>#DIV/0!</v>
      </c>
      <c r="AY33" s="29" t="str">
        <f t="shared" si="37"/>
        <v>#DIV/0!</v>
      </c>
      <c r="AZ33" s="29" t="str">
        <f t="shared" si="37"/>
        <v>#DIV/0!</v>
      </c>
      <c r="BA33" s="29" t="str">
        <f t="shared" si="37"/>
        <v>#DIV/0!</v>
      </c>
      <c r="BB33" s="29" t="str">
        <f t="shared" si="37"/>
        <v>#DIV/0!</v>
      </c>
      <c r="BC33" s="29" t="str">
        <f t="shared" si="37"/>
        <v>#DIV/0!</v>
      </c>
      <c r="BD33" s="29" t="str">
        <f t="shared" si="37"/>
        <v>#DIV/0!</v>
      </c>
      <c r="BE33" s="29" t="str">
        <f t="shared" si="37"/>
        <v>#DIV/0!</v>
      </c>
      <c r="BF33" s="29" t="str">
        <f t="shared" si="37"/>
        <v>#DIV/0!</v>
      </c>
      <c r="BG33" s="29" t="str">
        <f t="shared" si="37"/>
        <v>#DIV/0!</v>
      </c>
      <c r="BH33" s="29" t="str">
        <f t="shared" si="37"/>
        <v>#DIV/0!</v>
      </c>
      <c r="BI33" s="29" t="str">
        <f t="shared" si="37"/>
        <v>#DIV/0!</v>
      </c>
      <c r="BJ33" s="29" t="str">
        <f t="shared" si="37"/>
        <v>#DIV/0!</v>
      </c>
      <c r="BK33" s="29" t="str">
        <f t="shared" si="37"/>
        <v>#DIV/0!</v>
      </c>
      <c r="BL33" s="29" t="str">
        <f t="shared" si="37"/>
        <v>#DIV/0!</v>
      </c>
      <c r="BM33" s="29" t="str">
        <f t="shared" si="3"/>
        <v>#DIV/0!</v>
      </c>
    </row>
    <row r="34">
      <c r="A34" s="16" t="str">
        <f>IFERROR(__xludf.DUMMYFUNCTION("IFERROR(SPARKLINE(SORT(MAP(TRANSPOSE(AQ34:BL34), LAMBDA(val, IF(ISNUMBER(val), PERCENTRANK(AQ34:BL34, val)+0.01, 0))), SEQUENCE(COLUMNS(AQ34:BL34)), FALSE), {""charttype"",""column""; ""color"",""chartreuse""; ""ymin"", 0; ""ymax"", 1.01; ""highcolor"", "&amp;"""darkgreen""; ""lowcolor"", ""red""}), """")"),"")</f>
        <v/>
      </c>
      <c r="B34" s="17" t="str">
        <f t="shared" si="4"/>
        <v/>
      </c>
      <c r="C34" s="1" t="s">
        <v>3051</v>
      </c>
      <c r="D34" s="30" t="str">
        <f>IFERROR(__xludf.DUMMYFUNCTION("IFERROR(GOOGLEFINANCE(C34, ""NAME""))"),"Koppers Holdings Inc.")</f>
        <v>Koppers Holdings Inc.</v>
      </c>
      <c r="E34" s="30" t="s">
        <v>2995</v>
      </c>
      <c r="F34" s="33" t="str">
        <f>IFERROR(__xludf.DUMMYFUNCTION("( (GOOGLEFINANCE(C34, ""price"") - Q34) / Q34 ) / (R34 / 100)"),"Loading...")</f>
        <v>Loading...</v>
      </c>
      <c r="G34" s="20" t="str">
        <f>IFERROR(__xludf.DUMMYFUNCTION("AVERAGE(ARRAYFORMULA(100 * (QUERY(GOOGLEFINANCE(C34, ""high"", TODAY()-40, TODAY()), ""SELECT Col2 WHERE Col2 IS NOT NULL ORDER BY Col1 DESC LIMIT 20"", 0) / QUERY(GOOGLEFINANCE(C34, ""low"", TODAY()-40, TODAY()), ""SELECT Col2 WHERE Col2 IS NOT NULL ORDE"&amp;"R BY Col1 DESC LIMIT 20"", 0) - 1)))"),"#N/A")</f>
        <v>#N/A</v>
      </c>
      <c r="H34" s="35" t="str">
        <f t="shared" si="35"/>
        <v>Illiquid</v>
      </c>
      <c r="I34" s="35" t="str">
        <f t="shared" si="7"/>
        <v>RVol Required</v>
      </c>
      <c r="J34" s="37">
        <f>IFERROR(__xludf.DUMMYFUNCTION("IFERROR(
  IF(C34="""",, 
    IFERROR(
      GOOGLEFINANCE(C34, ""price"") * GOOGLEFINANCE(C34, ""volumeavg""), 
      GOOGLEFINANCE(C34, ""price"") * AVERAGE(QUERY(GOOGLEFINANCE(C34, ""volume"", TODAY()-40, TODAY()), ""SELECT Col2 WHERE Col2 IS NOT NULL "&amp;"ORDER BY Col1 DESC LIMIT 20"", 0))
    )
  ), 
"""")"),7024684.56)</f>
        <v>7024684.56</v>
      </c>
      <c r="K34" s="21">
        <f>IFERROR(__xludf.DUMMYFUNCTION("IFERROR(GOOGLEFINANCE(C34, ""changepct"") / 100, """")"),-0.0028000000000000004)</f>
        <v>-0.0028</v>
      </c>
      <c r="L34" s="21" t="str">
        <f>IFERROR(__xludf.DUMMYFUNCTION("IFERROR((GOOGLEFINANCE(C34, ""price"") / INDEX(GOOGLEFINANCE(C34, ""price"", TODAY()-7, TODAY()), 2, 2)) - 1, """")"),"")</f>
        <v/>
      </c>
      <c r="M34" s="21" t="str">
        <f>IFERROR(__xludf.DUMMYFUNCTION("IFERROR((GOOGLEFINANCE(C34, ""price"") / INDEX(GOOGLEFINANCE(C34, ""price"", EDATE(TODAY(), -1), TODAY()), 2, 2)) - 1, """")"),"")</f>
        <v/>
      </c>
      <c r="N34" s="21" t="str">
        <f>IFERROR(__xludf.DUMMYFUNCTION("IFERROR((GOOGLEFINANCE(C34, ""price"") / INDEX(GOOGLEFINANCE(C34, ""price"", EDATE(TODAY(), -3), TODAY()), 2, 2)) - 1, """")"),"")</f>
        <v/>
      </c>
      <c r="O34" s="21" t="str">
        <f>IFERROR(__xludf.DUMMYFUNCTION("IFERROR((GOOGLEFINANCE(C34, ""price"") / INDEX(GOOGLEFINANCE(C34, ""price"", EDATE(TODAY(), -6), TODAY()), 2, 2)) - 1, """")"),"")</f>
        <v/>
      </c>
      <c r="P34" s="21" t="str">
        <f>IFERROR(__xludf.DUMMYFUNCTION("IFERROR((GOOGLEFINANCE(C34, ""price"") / INDEX(GOOGLEFINANCE(C34, ""price"", EDATE(TODAY(), -12), TODAY()), 2, 2)) - 1, """")"),"")</f>
        <v/>
      </c>
      <c r="Q34" s="6" t="str">
        <f>IFERROR(__xludf.DUMMYFUNCTION("AVERAGE(QUERY(GOOGLEFINANCE(C34, ""price"", TODAY()-80, TODAY()), ""SELECT Col2 WHERE Col2 IS NOT NULL ORDER BY Col1 DESC LIMIT 50"", 0))"),"#N/A")</f>
        <v>#N/A</v>
      </c>
      <c r="R34" s="24" t="str">
        <f>IFERROR(__xludf.DUMMYFUNCTION("IFERROR(
  LET(
    data, QUERY(GOOGLEFINANCE(C34,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GOOGLEFINANCE(C34, ""price"")) * 100,
    IF(calc=0, G34, calc)
  ), 
G34)"),"#N/A")</f>
        <v>#N/A</v>
      </c>
      <c r="S34" s="8" t="s">
        <v>15</v>
      </c>
      <c r="T34" s="26" t="str">
        <f>IFERROR(__xludf.DUMMYFUNCTION("IFERROR(TRANSPOSE(QUERY(IFERROR(SORT(GOOGLEFINANCE(C34, ""price"", WORKDAY(TODAY(), -40), TODAY()), 1, FALSE)), ""select Col2 where Col2 is not null limit 22 label Col2 ''"", 0)), """")"),"")</f>
        <v/>
      </c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8"/>
      <c r="AO34" s="28"/>
      <c r="AP34" s="29"/>
      <c r="AQ34" s="29" t="str">
        <f t="shared" ref="AQ34:BL34" si="38">T34/T$2</f>
        <v>#N/A</v>
      </c>
      <c r="AR34" s="29" t="str">
        <f t="shared" si="38"/>
        <v>#DIV/0!</v>
      </c>
      <c r="AS34" s="29" t="str">
        <f t="shared" si="38"/>
        <v>#DIV/0!</v>
      </c>
      <c r="AT34" s="29" t="str">
        <f t="shared" si="38"/>
        <v>#DIV/0!</v>
      </c>
      <c r="AU34" s="29" t="str">
        <f t="shared" si="38"/>
        <v>#DIV/0!</v>
      </c>
      <c r="AV34" s="29" t="str">
        <f t="shared" si="38"/>
        <v>#DIV/0!</v>
      </c>
      <c r="AW34" s="29" t="str">
        <f t="shared" si="38"/>
        <v>#DIV/0!</v>
      </c>
      <c r="AX34" s="29" t="str">
        <f t="shared" si="38"/>
        <v>#DIV/0!</v>
      </c>
      <c r="AY34" s="29" t="str">
        <f t="shared" si="38"/>
        <v>#DIV/0!</v>
      </c>
      <c r="AZ34" s="29" t="str">
        <f t="shared" si="38"/>
        <v>#DIV/0!</v>
      </c>
      <c r="BA34" s="29" t="str">
        <f t="shared" si="38"/>
        <v>#DIV/0!</v>
      </c>
      <c r="BB34" s="29" t="str">
        <f t="shared" si="38"/>
        <v>#DIV/0!</v>
      </c>
      <c r="BC34" s="29" t="str">
        <f t="shared" si="38"/>
        <v>#DIV/0!</v>
      </c>
      <c r="BD34" s="29" t="str">
        <f t="shared" si="38"/>
        <v>#DIV/0!</v>
      </c>
      <c r="BE34" s="29" t="str">
        <f t="shared" si="38"/>
        <v>#DIV/0!</v>
      </c>
      <c r="BF34" s="29" t="str">
        <f t="shared" si="38"/>
        <v>#DIV/0!</v>
      </c>
      <c r="BG34" s="29" t="str">
        <f t="shared" si="38"/>
        <v>#DIV/0!</v>
      </c>
      <c r="BH34" s="29" t="str">
        <f t="shared" si="38"/>
        <v>#DIV/0!</v>
      </c>
      <c r="BI34" s="29" t="str">
        <f t="shared" si="38"/>
        <v>#DIV/0!</v>
      </c>
      <c r="BJ34" s="29" t="str">
        <f t="shared" si="38"/>
        <v>#DIV/0!</v>
      </c>
      <c r="BK34" s="29" t="str">
        <f t="shared" si="38"/>
        <v>#DIV/0!</v>
      </c>
      <c r="BL34" s="29" t="str">
        <f t="shared" si="38"/>
        <v>#DIV/0!</v>
      </c>
      <c r="BM34" s="29" t="str">
        <f t="shared" si="3"/>
        <v>#DIV/0!</v>
      </c>
    </row>
    <row r="35">
      <c r="A35" s="16" t="str">
        <f>IFERROR(__xludf.DUMMYFUNCTION("IFERROR(SPARKLINE(SORT(MAP(TRANSPOSE(AQ35:BL35), LAMBDA(val, IF(ISNUMBER(val), PERCENTRANK(AQ35:BL35, val)+0.01, 0))), SEQUENCE(COLUMNS(AQ35:BL35)), FALSE), {""charttype"",""column""; ""color"",""chartreuse""; ""ymin"", 0; ""ymax"", 1.01; ""highcolor"", "&amp;"""darkgreen""; ""lowcolor"", ""red""}), """")"),"")</f>
        <v/>
      </c>
      <c r="B35" s="17" t="str">
        <f t="shared" si="4"/>
        <v/>
      </c>
      <c r="C35" s="1" t="s">
        <v>3054</v>
      </c>
      <c r="D35" s="30" t="str">
        <f>IFERROR(__xludf.DUMMYFUNCTION("IFERROR(GOOGLEFINANCE(C35, ""NAME""))"),"B2Gold Corp")</f>
        <v>B2Gold Corp</v>
      </c>
      <c r="E35" s="30" t="s">
        <v>2928</v>
      </c>
      <c r="F35" s="33" t="str">
        <f>IFERROR(__xludf.DUMMYFUNCTION("( (GOOGLEFINANCE(C35, ""price"") - Q35) / Q35 ) / (R35 / 100)"),"Loading...")</f>
        <v>Loading...</v>
      </c>
      <c r="G35" s="20" t="str">
        <f>IFERROR(__xludf.DUMMYFUNCTION("AVERAGE(ARRAYFORMULA(100 * (QUERY(GOOGLEFINANCE(C35, ""high"", TODAY()-40, TODAY()), ""SELECT Col2 WHERE Col2 IS NOT NULL ORDER BY Col1 DESC LIMIT 20"", 0) / QUERY(GOOGLEFINANCE(C35, ""low"", TODAY()-40, TODAY()), ""SELECT Col2 WHERE Col2 IS NOT NULL ORDE"&amp;"R BY Col1 DESC LIMIT 20"", 0) - 1)))"),"#N/A")</f>
        <v>#N/A</v>
      </c>
      <c r="H35" s="35" t="str">
        <f t="shared" si="35"/>
        <v>Liquid</v>
      </c>
      <c r="I35" s="35" t="str">
        <f t="shared" si="7"/>
        <v>RVol Required</v>
      </c>
      <c r="J35" s="37">
        <f>IFERROR(__xludf.DUMMYFUNCTION("IFERROR(
  IF(C35="""",, 
    IFERROR(
      GOOGLEFINANCE(C35, ""price"") * GOOGLEFINANCE(C35, ""volumeavg""), 
      GOOGLEFINANCE(C35, ""price"") * AVERAGE(QUERY(GOOGLEFINANCE(C35, ""volume"", TODAY()-40, TODAY()), ""SELECT Col2 WHERE Col2 IS NOT NULL "&amp;"ORDER BY Col1 DESC LIMIT 20"", 0))
    )
  ), 
"""")"),1.1357011538999999E8)</f>
        <v>113570115.4</v>
      </c>
      <c r="K35" s="21">
        <f>IFERROR(__xludf.DUMMYFUNCTION("IFERROR(GOOGLEFINANCE(C35, ""changepct"") / 100, """")"),0.025099999999999997)</f>
        <v>0.0251</v>
      </c>
      <c r="L35" s="21" t="str">
        <f>IFERROR(__xludf.DUMMYFUNCTION("IFERROR((GOOGLEFINANCE(C35, ""price"") / INDEX(GOOGLEFINANCE(C35, ""price"", TODAY()-7, TODAY()), 2, 2)) - 1, """")"),"")</f>
        <v/>
      </c>
      <c r="M35" s="21" t="str">
        <f>IFERROR(__xludf.DUMMYFUNCTION("IFERROR((GOOGLEFINANCE(C35, ""price"") / INDEX(GOOGLEFINANCE(C35, ""price"", EDATE(TODAY(), -1), TODAY()), 2, 2)) - 1, """")"),"")</f>
        <v/>
      </c>
      <c r="N35" s="21" t="str">
        <f>IFERROR(__xludf.DUMMYFUNCTION("IFERROR((GOOGLEFINANCE(C35, ""price"") / INDEX(GOOGLEFINANCE(C35, ""price"", EDATE(TODAY(), -3), TODAY()), 2, 2)) - 1, """")"),"")</f>
        <v/>
      </c>
      <c r="O35" s="21" t="str">
        <f>IFERROR(__xludf.DUMMYFUNCTION("IFERROR((GOOGLEFINANCE(C35, ""price"") / INDEX(GOOGLEFINANCE(C35, ""price"", EDATE(TODAY(), -6), TODAY()), 2, 2)) - 1, """")"),"")</f>
        <v/>
      </c>
      <c r="P35" s="21" t="str">
        <f>IFERROR(__xludf.DUMMYFUNCTION("IFERROR((GOOGLEFINANCE(C35, ""price"") / INDEX(GOOGLEFINANCE(C35, ""price"", EDATE(TODAY(), -12), TODAY()), 2, 2)) - 1, """")"),"")</f>
        <v/>
      </c>
      <c r="Q35" s="6" t="str">
        <f>IFERROR(__xludf.DUMMYFUNCTION("AVERAGE(QUERY(GOOGLEFINANCE(C35, ""price"", TODAY()-80, TODAY()), ""SELECT Col2 WHERE Col2 IS NOT NULL ORDER BY Col1 DESC LIMIT 50"", 0))"),"#N/A")</f>
        <v>#N/A</v>
      </c>
      <c r="R35" s="24" t="str">
        <f>IFERROR(__xludf.DUMMYFUNCTION("IFERROR(
  LET(
    data, QUERY(GOOGLEFINANCE(C35,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GOOGLEFINANCE(C35, ""price"")) * 100,
    IF(calc=0, G35, calc)
  ), 
G35)"),"#N/A")</f>
        <v>#N/A</v>
      </c>
      <c r="S35" s="8" t="s">
        <v>15</v>
      </c>
      <c r="T35" s="26" t="str">
        <f>IFERROR(__xludf.DUMMYFUNCTION("IFERROR(TRANSPOSE(QUERY(IFERROR(SORT(GOOGLEFINANCE(C35, ""price"", WORKDAY(TODAY(), -40), TODAY()), 1, FALSE)), ""select Col2 where Col2 is not null limit 22 label Col2 ''"", 0)), """")"),"")</f>
        <v/>
      </c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8"/>
      <c r="AO35" s="28"/>
      <c r="AP35" s="29"/>
      <c r="AQ35" s="29" t="str">
        <f t="shared" ref="AQ35:BL35" si="39">T35/T$2</f>
        <v>#N/A</v>
      </c>
      <c r="AR35" s="29" t="str">
        <f t="shared" si="39"/>
        <v>#DIV/0!</v>
      </c>
      <c r="AS35" s="29" t="str">
        <f t="shared" si="39"/>
        <v>#DIV/0!</v>
      </c>
      <c r="AT35" s="29" t="str">
        <f t="shared" si="39"/>
        <v>#DIV/0!</v>
      </c>
      <c r="AU35" s="29" t="str">
        <f t="shared" si="39"/>
        <v>#DIV/0!</v>
      </c>
      <c r="AV35" s="29" t="str">
        <f t="shared" si="39"/>
        <v>#DIV/0!</v>
      </c>
      <c r="AW35" s="29" t="str">
        <f t="shared" si="39"/>
        <v>#DIV/0!</v>
      </c>
      <c r="AX35" s="29" t="str">
        <f t="shared" si="39"/>
        <v>#DIV/0!</v>
      </c>
      <c r="AY35" s="29" t="str">
        <f t="shared" si="39"/>
        <v>#DIV/0!</v>
      </c>
      <c r="AZ35" s="29" t="str">
        <f t="shared" si="39"/>
        <v>#DIV/0!</v>
      </c>
      <c r="BA35" s="29" t="str">
        <f t="shared" si="39"/>
        <v>#DIV/0!</v>
      </c>
      <c r="BB35" s="29" t="str">
        <f t="shared" si="39"/>
        <v>#DIV/0!</v>
      </c>
      <c r="BC35" s="29" t="str">
        <f t="shared" si="39"/>
        <v>#DIV/0!</v>
      </c>
      <c r="BD35" s="29" t="str">
        <f t="shared" si="39"/>
        <v>#DIV/0!</v>
      </c>
      <c r="BE35" s="29" t="str">
        <f t="shared" si="39"/>
        <v>#DIV/0!</v>
      </c>
      <c r="BF35" s="29" t="str">
        <f t="shared" si="39"/>
        <v>#DIV/0!</v>
      </c>
      <c r="BG35" s="29" t="str">
        <f t="shared" si="39"/>
        <v>#DIV/0!</v>
      </c>
      <c r="BH35" s="29" t="str">
        <f t="shared" si="39"/>
        <v>#DIV/0!</v>
      </c>
      <c r="BI35" s="29" t="str">
        <f t="shared" si="39"/>
        <v>#DIV/0!</v>
      </c>
      <c r="BJ35" s="29" t="str">
        <f t="shared" si="39"/>
        <v>#DIV/0!</v>
      </c>
      <c r="BK35" s="29" t="str">
        <f t="shared" si="39"/>
        <v>#DIV/0!</v>
      </c>
      <c r="BL35" s="29" t="str">
        <f t="shared" si="39"/>
        <v>#DIV/0!</v>
      </c>
      <c r="BM35" s="29" t="str">
        <f t="shared" si="3"/>
        <v>#DIV/0!</v>
      </c>
    </row>
    <row r="36">
      <c r="A36" s="16" t="str">
        <f>IFERROR(__xludf.DUMMYFUNCTION("IFERROR(SPARKLINE(SORT(MAP(TRANSPOSE(AQ36:BL36), LAMBDA(val, IF(ISNUMBER(val), PERCENTRANK(AQ36:BL36, val)+0.01, 0))), SEQUENCE(COLUMNS(AQ36:BL36)), FALSE), {""charttype"",""column""; ""color"",""chartreuse""; ""ymin"", 0; ""ymax"", 1.01; ""highcolor"", "&amp;"""darkgreen""; ""lowcolor"", ""red""}), """")"),"")</f>
        <v/>
      </c>
      <c r="B36" s="17" t="str">
        <f t="shared" si="4"/>
        <v/>
      </c>
      <c r="C36" s="1" t="s">
        <v>3057</v>
      </c>
      <c r="D36" s="30" t="str">
        <f>IFERROR(__xludf.DUMMYFUNCTION("IFERROR(GOOGLEFINANCE(C36, ""NAME""))"),"DuPont de Nemours Inc")</f>
        <v>DuPont de Nemours Inc</v>
      </c>
      <c r="E36" s="30" t="s">
        <v>2995</v>
      </c>
      <c r="F36" s="33" t="str">
        <f>IFERROR(__xludf.DUMMYFUNCTION("( (GOOGLEFINANCE(C36, ""price"") - Q36) / Q36 ) / (R36 / 100)"),"Loading...")</f>
        <v>Loading...</v>
      </c>
      <c r="G36" s="20" t="str">
        <f>IFERROR(__xludf.DUMMYFUNCTION("AVERAGE(ARRAYFORMULA(100 * (QUERY(GOOGLEFINANCE(C36, ""high"", TODAY()-40, TODAY()), ""SELECT Col2 WHERE Col2 IS NOT NULL ORDER BY Col1 DESC LIMIT 20"", 0) / QUERY(GOOGLEFINANCE(C36, ""low"", TODAY()-40, TODAY()), ""SELECT Col2 WHERE Col2 IS NOT NULL ORDE"&amp;"R BY Col1 DESC LIMIT 20"", 0) - 1)))"),"#N/A")</f>
        <v>#N/A</v>
      </c>
      <c r="H36" s="35" t="str">
        <f t="shared" si="35"/>
        <v>Liquid</v>
      </c>
      <c r="I36" s="35" t="str">
        <f t="shared" si="7"/>
        <v>RVol Required</v>
      </c>
      <c r="J36" s="37">
        <f>IFERROR(__xludf.DUMMYFUNCTION("IFERROR(
  IF(C36="""",, 
    IFERROR(
      GOOGLEFINANCE(C36, ""price"") * GOOGLEFINANCE(C36, ""volumeavg""), 
      GOOGLEFINANCE(C36, ""price"") * AVERAGE(QUERY(GOOGLEFINANCE(C36, ""volume"", TODAY()-40, TODAY()), ""SELECT Col2 WHERE Col2 IS NOT NULL "&amp;"ORDER BY Col1 DESC LIMIT 20"", 0))
    )
  ), 
"""")"),1.3334899035E8)</f>
        <v>133348990.4</v>
      </c>
      <c r="K36" s="21">
        <f>IFERROR(__xludf.DUMMYFUNCTION("IFERROR(GOOGLEFINANCE(C36, ""changepct"") / 100, """")"),-0.0087)</f>
        <v>-0.0087</v>
      </c>
      <c r="L36" s="21" t="str">
        <f>IFERROR(__xludf.DUMMYFUNCTION("IFERROR((GOOGLEFINANCE(C36, ""price"") / INDEX(GOOGLEFINANCE(C36, ""price"", TODAY()-7, TODAY()), 2, 2)) - 1, """")"),"")</f>
        <v/>
      </c>
      <c r="M36" s="21" t="str">
        <f>IFERROR(__xludf.DUMMYFUNCTION("IFERROR((GOOGLEFINANCE(C36, ""price"") / INDEX(GOOGLEFINANCE(C36, ""price"", EDATE(TODAY(), -1), TODAY()), 2, 2)) - 1, """")"),"")</f>
        <v/>
      </c>
      <c r="N36" s="21" t="str">
        <f>IFERROR(__xludf.DUMMYFUNCTION("IFERROR((GOOGLEFINANCE(C36, ""price"") / INDEX(GOOGLEFINANCE(C36, ""price"", EDATE(TODAY(), -3), TODAY()), 2, 2)) - 1, """")"),"")</f>
        <v/>
      </c>
      <c r="O36" s="21" t="str">
        <f>IFERROR(__xludf.DUMMYFUNCTION("IFERROR((GOOGLEFINANCE(C36, ""price"") / INDEX(GOOGLEFINANCE(C36, ""price"", EDATE(TODAY(), -6), TODAY()), 2, 2)) - 1, """")"),"")</f>
        <v/>
      </c>
      <c r="P36" s="21" t="str">
        <f>IFERROR(__xludf.DUMMYFUNCTION("IFERROR((GOOGLEFINANCE(C36, ""price"") / INDEX(GOOGLEFINANCE(C36, ""price"", EDATE(TODAY(), -12), TODAY()), 2, 2)) - 1, """")"),"")</f>
        <v/>
      </c>
      <c r="Q36" s="6" t="str">
        <f>IFERROR(__xludf.DUMMYFUNCTION("AVERAGE(QUERY(GOOGLEFINANCE(C36, ""price"", TODAY()-80, TODAY()), ""SELECT Col2 WHERE Col2 IS NOT NULL ORDER BY Col1 DESC LIMIT 50"", 0))"),"#N/A")</f>
        <v>#N/A</v>
      </c>
      <c r="R36" s="24" t="str">
        <f>IFERROR(__xludf.DUMMYFUNCTION("IFERROR(
  LET(
    data, QUERY(GOOGLEFINANCE(C36,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GOOGLEFINANCE(C36, ""price"")) * 100,
    IF(calc=0, G36, calc)
  ), 
G36)"),"#N/A")</f>
        <v>#N/A</v>
      </c>
      <c r="S36" s="8" t="s">
        <v>15</v>
      </c>
      <c r="T36" s="26" t="str">
        <f>IFERROR(__xludf.DUMMYFUNCTION("IFERROR(TRANSPOSE(QUERY(IFERROR(SORT(GOOGLEFINANCE(C36, ""price"", WORKDAY(TODAY(), -40), TODAY()), 1, FALSE)), ""select Col2 where Col2 is not null limit 22 label Col2 ''"", 0)), """")"),"")</f>
        <v/>
      </c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8"/>
      <c r="AO36" s="28"/>
      <c r="AP36" s="29"/>
      <c r="AQ36" s="29" t="str">
        <f t="shared" ref="AQ36:BL36" si="40">T36/T$2</f>
        <v>#N/A</v>
      </c>
      <c r="AR36" s="29" t="str">
        <f t="shared" si="40"/>
        <v>#DIV/0!</v>
      </c>
      <c r="AS36" s="29" t="str">
        <f t="shared" si="40"/>
        <v>#DIV/0!</v>
      </c>
      <c r="AT36" s="29" t="str">
        <f t="shared" si="40"/>
        <v>#DIV/0!</v>
      </c>
      <c r="AU36" s="29" t="str">
        <f t="shared" si="40"/>
        <v>#DIV/0!</v>
      </c>
      <c r="AV36" s="29" t="str">
        <f t="shared" si="40"/>
        <v>#DIV/0!</v>
      </c>
      <c r="AW36" s="29" t="str">
        <f t="shared" si="40"/>
        <v>#DIV/0!</v>
      </c>
      <c r="AX36" s="29" t="str">
        <f t="shared" si="40"/>
        <v>#DIV/0!</v>
      </c>
      <c r="AY36" s="29" t="str">
        <f t="shared" si="40"/>
        <v>#DIV/0!</v>
      </c>
      <c r="AZ36" s="29" t="str">
        <f t="shared" si="40"/>
        <v>#DIV/0!</v>
      </c>
      <c r="BA36" s="29" t="str">
        <f t="shared" si="40"/>
        <v>#DIV/0!</v>
      </c>
      <c r="BB36" s="29" t="str">
        <f t="shared" si="40"/>
        <v>#DIV/0!</v>
      </c>
      <c r="BC36" s="29" t="str">
        <f t="shared" si="40"/>
        <v>#DIV/0!</v>
      </c>
      <c r="BD36" s="29" t="str">
        <f t="shared" si="40"/>
        <v>#DIV/0!</v>
      </c>
      <c r="BE36" s="29" t="str">
        <f t="shared" si="40"/>
        <v>#DIV/0!</v>
      </c>
      <c r="BF36" s="29" t="str">
        <f t="shared" si="40"/>
        <v>#DIV/0!</v>
      </c>
      <c r="BG36" s="29" t="str">
        <f t="shared" si="40"/>
        <v>#DIV/0!</v>
      </c>
      <c r="BH36" s="29" t="str">
        <f t="shared" si="40"/>
        <v>#DIV/0!</v>
      </c>
      <c r="BI36" s="29" t="str">
        <f t="shared" si="40"/>
        <v>#DIV/0!</v>
      </c>
      <c r="BJ36" s="29" t="str">
        <f t="shared" si="40"/>
        <v>#DIV/0!</v>
      </c>
      <c r="BK36" s="29" t="str">
        <f t="shared" si="40"/>
        <v>#DIV/0!</v>
      </c>
      <c r="BL36" s="29" t="str">
        <f t="shared" si="40"/>
        <v>#DIV/0!</v>
      </c>
      <c r="BM36" s="29" t="str">
        <f t="shared" si="3"/>
        <v>#DIV/0!</v>
      </c>
    </row>
    <row r="37">
      <c r="A37" s="16" t="str">
        <f>IFERROR(__xludf.DUMMYFUNCTION("IFERROR(SPARKLINE(SORT(MAP(TRANSPOSE(AQ37:BL37), LAMBDA(val, IF(ISNUMBER(val), PERCENTRANK(AQ37:BL37, val)+0.01, 0))), SEQUENCE(COLUMNS(AQ37:BL37)), FALSE), {""charttype"",""column""; ""color"",""chartreuse""; ""ymin"", 0; ""ymax"", 1.01; ""highcolor"", "&amp;"""darkgreen""; ""lowcolor"", ""red""}), """")"),"")</f>
        <v/>
      </c>
      <c r="B37" s="17" t="str">
        <f t="shared" si="4"/>
        <v/>
      </c>
      <c r="C37" s="1" t="s">
        <v>3060</v>
      </c>
      <c r="D37" s="30" t="str">
        <f>IFERROR(__xludf.DUMMYFUNCTION("IFERROR(GOOGLEFINANCE(C37, ""NAME""))"),"Avino Silver &amp; Gold Mines Ltd")</f>
        <v>Avino Silver &amp; Gold Mines Ltd</v>
      </c>
      <c r="E37" s="30" t="s">
        <v>3008</v>
      </c>
      <c r="F37" s="33" t="str">
        <f>IFERROR(__xludf.DUMMYFUNCTION("( (GOOGLEFINANCE(C37, ""price"") - Q37) / Q37 ) / (R37 / 100)"),"Loading...")</f>
        <v>Loading...</v>
      </c>
      <c r="G37" s="20" t="str">
        <f>IFERROR(__xludf.DUMMYFUNCTION("AVERAGE(ARRAYFORMULA(100 * (QUERY(GOOGLEFINANCE(C37, ""high"", TODAY()-40, TODAY()), ""SELECT Col2 WHERE Col2 IS NOT NULL ORDER BY Col1 DESC LIMIT 20"", 0) / QUERY(GOOGLEFINANCE(C37, ""low"", TODAY()-40, TODAY()), ""SELECT Col2 WHERE Col2 IS NOT NULL ORDE"&amp;"R BY Col1 DESC LIMIT 20"", 0) - 1)))"),"#N/A")</f>
        <v>#N/A</v>
      </c>
      <c r="H37" s="35" t="str">
        <f t="shared" si="35"/>
        <v>Illiquid</v>
      </c>
      <c r="I37" s="35" t="str">
        <f t="shared" si="7"/>
        <v>RVol Required</v>
      </c>
      <c r="J37" s="37">
        <f>IFERROR(__xludf.DUMMYFUNCTION("IFERROR(
  IF(C37="""",, 
    IFERROR(
      GOOGLEFINANCE(C37, ""price"") * GOOGLEFINANCE(C37, ""volumeavg""), 
      GOOGLEFINANCE(C37, ""price"") * AVERAGE(QUERY(GOOGLEFINANCE(C37, ""volume"", TODAY()-40, TODAY()), ""SELECT Col2 WHERE Col2 IS NOT NULL "&amp;"ORDER BY Col1 DESC LIMIT 20"", 0))
    )
  ), 
"""")"),1.758198572E7)</f>
        <v>17581985.72</v>
      </c>
      <c r="K37" s="21">
        <f>IFERROR(__xludf.DUMMYFUNCTION("IFERROR(GOOGLEFINANCE(C37, ""changepct"") / 100, """")"),0.027000000000000003)</f>
        <v>0.027</v>
      </c>
      <c r="L37" s="21" t="str">
        <f>IFERROR(__xludf.DUMMYFUNCTION("IFERROR((GOOGLEFINANCE(C37, ""price"") / INDEX(GOOGLEFINANCE(C37, ""price"", TODAY()-7, TODAY()), 2, 2)) - 1, """")"),"")</f>
        <v/>
      </c>
      <c r="M37" s="21" t="str">
        <f>IFERROR(__xludf.DUMMYFUNCTION("IFERROR((GOOGLEFINANCE(C37, ""price"") / INDEX(GOOGLEFINANCE(C37, ""price"", EDATE(TODAY(), -1), TODAY()), 2, 2)) - 1, """")"),"")</f>
        <v/>
      </c>
      <c r="N37" s="21" t="str">
        <f>IFERROR(__xludf.DUMMYFUNCTION("IFERROR((GOOGLEFINANCE(C37, ""price"") / INDEX(GOOGLEFINANCE(C37, ""price"", EDATE(TODAY(), -3), TODAY()), 2, 2)) - 1, """")"),"")</f>
        <v/>
      </c>
      <c r="O37" s="21" t="str">
        <f>IFERROR(__xludf.DUMMYFUNCTION("IFERROR((GOOGLEFINANCE(C37, ""price"") / INDEX(GOOGLEFINANCE(C37, ""price"", EDATE(TODAY(), -6), TODAY()), 2, 2)) - 1, """")"),"")</f>
        <v/>
      </c>
      <c r="P37" s="21" t="str">
        <f>IFERROR(__xludf.DUMMYFUNCTION("IFERROR((GOOGLEFINANCE(C37, ""price"") / INDEX(GOOGLEFINANCE(C37, ""price"", EDATE(TODAY(), -12), TODAY()), 2, 2)) - 1, """")"),"")</f>
        <v/>
      </c>
      <c r="Q37" s="6" t="str">
        <f>IFERROR(__xludf.DUMMYFUNCTION("AVERAGE(QUERY(GOOGLEFINANCE(C37, ""price"", TODAY()-80, TODAY()), ""SELECT Col2 WHERE Col2 IS NOT NULL ORDER BY Col1 DESC LIMIT 50"", 0))"),"#N/A")</f>
        <v>#N/A</v>
      </c>
      <c r="R37" s="24" t="str">
        <f>IFERROR(__xludf.DUMMYFUNCTION("IFERROR(
  LET(
    data, QUERY(GOOGLEFINANCE(C37,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GOOGLEFINANCE(C37, ""price"")) * 100,
    IF(calc=0, G37, calc)
  ), 
G37)"),"#N/A")</f>
        <v>#N/A</v>
      </c>
      <c r="S37" s="8" t="s">
        <v>15</v>
      </c>
      <c r="T37" s="26" t="str">
        <f>IFERROR(__xludf.DUMMYFUNCTION("IFERROR(TRANSPOSE(QUERY(IFERROR(SORT(GOOGLEFINANCE(C37, ""price"", WORKDAY(TODAY(), -40), TODAY()), 1, FALSE)), ""select Col2 where Col2 is not null limit 22 label Col2 ''"", 0)), """")"),"")</f>
        <v/>
      </c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8"/>
      <c r="AO37" s="28"/>
      <c r="AP37" s="29"/>
      <c r="AQ37" s="29" t="str">
        <f t="shared" ref="AQ37:BL37" si="41">T37/T$2</f>
        <v>#N/A</v>
      </c>
      <c r="AR37" s="29" t="str">
        <f t="shared" si="41"/>
        <v>#DIV/0!</v>
      </c>
      <c r="AS37" s="29" t="str">
        <f t="shared" si="41"/>
        <v>#DIV/0!</v>
      </c>
      <c r="AT37" s="29" t="str">
        <f t="shared" si="41"/>
        <v>#DIV/0!</v>
      </c>
      <c r="AU37" s="29" t="str">
        <f t="shared" si="41"/>
        <v>#DIV/0!</v>
      </c>
      <c r="AV37" s="29" t="str">
        <f t="shared" si="41"/>
        <v>#DIV/0!</v>
      </c>
      <c r="AW37" s="29" t="str">
        <f t="shared" si="41"/>
        <v>#DIV/0!</v>
      </c>
      <c r="AX37" s="29" t="str">
        <f t="shared" si="41"/>
        <v>#DIV/0!</v>
      </c>
      <c r="AY37" s="29" t="str">
        <f t="shared" si="41"/>
        <v>#DIV/0!</v>
      </c>
      <c r="AZ37" s="29" t="str">
        <f t="shared" si="41"/>
        <v>#DIV/0!</v>
      </c>
      <c r="BA37" s="29" t="str">
        <f t="shared" si="41"/>
        <v>#DIV/0!</v>
      </c>
      <c r="BB37" s="29" t="str">
        <f t="shared" si="41"/>
        <v>#DIV/0!</v>
      </c>
      <c r="BC37" s="29" t="str">
        <f t="shared" si="41"/>
        <v>#DIV/0!</v>
      </c>
      <c r="BD37" s="29" t="str">
        <f t="shared" si="41"/>
        <v>#DIV/0!</v>
      </c>
      <c r="BE37" s="29" t="str">
        <f t="shared" si="41"/>
        <v>#DIV/0!</v>
      </c>
      <c r="BF37" s="29" t="str">
        <f t="shared" si="41"/>
        <v>#DIV/0!</v>
      </c>
      <c r="BG37" s="29" t="str">
        <f t="shared" si="41"/>
        <v>#DIV/0!</v>
      </c>
      <c r="BH37" s="29" t="str">
        <f t="shared" si="41"/>
        <v>#DIV/0!</v>
      </c>
      <c r="BI37" s="29" t="str">
        <f t="shared" si="41"/>
        <v>#DIV/0!</v>
      </c>
      <c r="BJ37" s="29" t="str">
        <f t="shared" si="41"/>
        <v>#DIV/0!</v>
      </c>
      <c r="BK37" s="29" t="str">
        <f t="shared" si="41"/>
        <v>#DIV/0!</v>
      </c>
      <c r="BL37" s="29" t="str">
        <f t="shared" si="41"/>
        <v>#DIV/0!</v>
      </c>
      <c r="BM37" s="29" t="str">
        <f t="shared" si="3"/>
        <v>#DIV/0!</v>
      </c>
    </row>
    <row r="38">
      <c r="A38" s="16" t="str">
        <f>IFERROR(__xludf.DUMMYFUNCTION("IFERROR(SPARKLINE(SORT(MAP(TRANSPOSE(AQ38:BL38), LAMBDA(val, IF(ISNUMBER(val), PERCENTRANK(AQ38:BL38, val)+0.01, 0))), SEQUENCE(COLUMNS(AQ38:BL38)), FALSE), {""charttype"",""column""; ""color"",""chartreuse""; ""ymin"", 0; ""ymax"", 1.01; ""highcolor"", "&amp;"""darkgreen""; ""lowcolor"", ""red""}), """")"),"")</f>
        <v/>
      </c>
      <c r="B38" s="17" t="str">
        <f t="shared" si="4"/>
        <v/>
      </c>
      <c r="C38" s="1" t="s">
        <v>3063</v>
      </c>
      <c r="D38" s="30" t="str">
        <f>IFERROR(__xludf.DUMMYFUNCTION("IFERROR(GOOGLEFINANCE(C38, ""NAME""))"),"ASP Isotopes Inc")</f>
        <v>ASP Isotopes Inc</v>
      </c>
      <c r="E38" s="30" t="s">
        <v>3035</v>
      </c>
      <c r="F38" s="33" t="str">
        <f>IFERROR(__xludf.DUMMYFUNCTION("( (GOOGLEFINANCE(C38, ""price"") - Q38) / Q38 ) / (R38 / 100)"),"Loading...")</f>
        <v>Loading...</v>
      </c>
      <c r="G38" s="20" t="str">
        <f>IFERROR(__xludf.DUMMYFUNCTION("AVERAGE(ARRAYFORMULA(100 * (QUERY(GOOGLEFINANCE(C38, ""high"", TODAY()-40, TODAY()), ""SELECT Col2 WHERE Col2 IS NOT NULL ORDER BY Col1 DESC LIMIT 20"", 0) / QUERY(GOOGLEFINANCE(C38, ""low"", TODAY()-40, TODAY()), ""SELECT Col2 WHERE Col2 IS NOT NULL ORDE"&amp;"R BY Col1 DESC LIMIT 20"", 0) - 1)))"),"#N/A")</f>
        <v>#N/A</v>
      </c>
      <c r="H38" s="35" t="str">
        <f t="shared" si="35"/>
        <v>Illiquid</v>
      </c>
      <c r="I38" s="35" t="str">
        <f t="shared" si="7"/>
        <v>RVol Required</v>
      </c>
      <c r="J38" s="37">
        <f>IFERROR(__xludf.DUMMYFUNCTION("IFERROR(
  IF(C38="""",, 
    IFERROR(
      GOOGLEFINANCE(C38, ""price"") * GOOGLEFINANCE(C38, ""volumeavg""), 
      GOOGLEFINANCE(C38, ""price"") * AVERAGE(QUERY(GOOGLEFINANCE(C38, ""volume"", TODAY()-40, TODAY()), ""SELECT Col2 WHERE Col2 IS NOT NULL "&amp;"ORDER BY Col1 DESC LIMIT 20"", 0))
    )
  ), 
"""")"),1.0304525860000001E7)</f>
        <v>10304525.86</v>
      </c>
      <c r="K38" s="21">
        <f>IFERROR(__xludf.DUMMYFUNCTION("IFERROR(GOOGLEFINANCE(C38, ""changepct"") / 100, """")"),-0.0317)</f>
        <v>-0.0317</v>
      </c>
      <c r="L38" s="21" t="str">
        <f>IFERROR(__xludf.DUMMYFUNCTION("IFERROR((GOOGLEFINANCE(C38, ""price"") / INDEX(GOOGLEFINANCE(C38, ""price"", TODAY()-7, TODAY()), 2, 2)) - 1, """")"),"")</f>
        <v/>
      </c>
      <c r="M38" s="21" t="str">
        <f>IFERROR(__xludf.DUMMYFUNCTION("IFERROR((GOOGLEFINANCE(C38, ""price"") / INDEX(GOOGLEFINANCE(C38, ""price"", EDATE(TODAY(), -1), TODAY()), 2, 2)) - 1, """")"),"")</f>
        <v/>
      </c>
      <c r="N38" s="21" t="str">
        <f>IFERROR(__xludf.DUMMYFUNCTION("IFERROR((GOOGLEFINANCE(C38, ""price"") / INDEX(GOOGLEFINANCE(C38, ""price"", EDATE(TODAY(), -3), TODAY()), 2, 2)) - 1, """")"),"")</f>
        <v/>
      </c>
      <c r="O38" s="21" t="str">
        <f>IFERROR(__xludf.DUMMYFUNCTION("IFERROR((GOOGLEFINANCE(C38, ""price"") / INDEX(GOOGLEFINANCE(C38, ""price"", EDATE(TODAY(), -6), TODAY()), 2, 2)) - 1, """")"),"")</f>
        <v/>
      </c>
      <c r="P38" s="21" t="str">
        <f>IFERROR(__xludf.DUMMYFUNCTION("IFERROR((GOOGLEFINANCE(C38, ""price"") / INDEX(GOOGLEFINANCE(C38, ""price"", EDATE(TODAY(), -12), TODAY()), 2, 2)) - 1, """")"),"")</f>
        <v/>
      </c>
      <c r="Q38" s="6" t="str">
        <f>IFERROR(__xludf.DUMMYFUNCTION("AVERAGE(QUERY(GOOGLEFINANCE(C38, ""price"", TODAY()-80, TODAY()), ""SELECT Col2 WHERE Col2 IS NOT NULL ORDER BY Col1 DESC LIMIT 50"", 0))"),"#N/A")</f>
        <v>#N/A</v>
      </c>
      <c r="R38" s="24" t="str">
        <f>IFERROR(__xludf.DUMMYFUNCTION("IFERROR(
  LET(
    data, QUERY(GOOGLEFINANCE(C38,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GOOGLEFINANCE(C38, ""price"")) * 100,
    IF(calc=0, G38, calc)
  ), 
G38)"),"#N/A")</f>
        <v>#N/A</v>
      </c>
      <c r="S38" s="8" t="s">
        <v>15</v>
      </c>
      <c r="T38" s="26" t="str">
        <f>IFERROR(__xludf.DUMMYFUNCTION("IFERROR(TRANSPOSE(QUERY(IFERROR(SORT(GOOGLEFINANCE(C38, ""price"", WORKDAY(TODAY(), -40), TODAY()), 1, FALSE)), ""select Col2 where Col2 is not null limit 22 label Col2 ''"", 0)), """")"),"")</f>
        <v/>
      </c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8"/>
      <c r="AO38" s="28"/>
      <c r="AP38" s="29"/>
      <c r="AQ38" s="29" t="str">
        <f t="shared" ref="AQ38:BL38" si="42">T38/T$2</f>
        <v>#N/A</v>
      </c>
      <c r="AR38" s="29" t="str">
        <f t="shared" si="42"/>
        <v>#DIV/0!</v>
      </c>
      <c r="AS38" s="29" t="str">
        <f t="shared" si="42"/>
        <v>#DIV/0!</v>
      </c>
      <c r="AT38" s="29" t="str">
        <f t="shared" si="42"/>
        <v>#DIV/0!</v>
      </c>
      <c r="AU38" s="29" t="str">
        <f t="shared" si="42"/>
        <v>#DIV/0!</v>
      </c>
      <c r="AV38" s="29" t="str">
        <f t="shared" si="42"/>
        <v>#DIV/0!</v>
      </c>
      <c r="AW38" s="29" t="str">
        <f t="shared" si="42"/>
        <v>#DIV/0!</v>
      </c>
      <c r="AX38" s="29" t="str">
        <f t="shared" si="42"/>
        <v>#DIV/0!</v>
      </c>
      <c r="AY38" s="29" t="str">
        <f t="shared" si="42"/>
        <v>#DIV/0!</v>
      </c>
      <c r="AZ38" s="29" t="str">
        <f t="shared" si="42"/>
        <v>#DIV/0!</v>
      </c>
      <c r="BA38" s="29" t="str">
        <f t="shared" si="42"/>
        <v>#DIV/0!</v>
      </c>
      <c r="BB38" s="29" t="str">
        <f t="shared" si="42"/>
        <v>#DIV/0!</v>
      </c>
      <c r="BC38" s="29" t="str">
        <f t="shared" si="42"/>
        <v>#DIV/0!</v>
      </c>
      <c r="BD38" s="29" t="str">
        <f t="shared" si="42"/>
        <v>#DIV/0!</v>
      </c>
      <c r="BE38" s="29" t="str">
        <f t="shared" si="42"/>
        <v>#DIV/0!</v>
      </c>
      <c r="BF38" s="29" t="str">
        <f t="shared" si="42"/>
        <v>#DIV/0!</v>
      </c>
      <c r="BG38" s="29" t="str">
        <f t="shared" si="42"/>
        <v>#DIV/0!</v>
      </c>
      <c r="BH38" s="29" t="str">
        <f t="shared" si="42"/>
        <v>#DIV/0!</v>
      </c>
      <c r="BI38" s="29" t="str">
        <f t="shared" si="42"/>
        <v>#DIV/0!</v>
      </c>
      <c r="BJ38" s="29" t="str">
        <f t="shared" si="42"/>
        <v>#DIV/0!</v>
      </c>
      <c r="BK38" s="29" t="str">
        <f t="shared" si="42"/>
        <v>#DIV/0!</v>
      </c>
      <c r="BL38" s="29" t="str">
        <f t="shared" si="42"/>
        <v>#DIV/0!</v>
      </c>
      <c r="BM38" s="29" t="str">
        <f t="shared" si="3"/>
        <v>#DIV/0!</v>
      </c>
    </row>
    <row r="39">
      <c r="A39" s="16" t="str">
        <f>IFERROR(__xludf.DUMMYFUNCTION("IFERROR(SPARKLINE(SORT(MAP(TRANSPOSE(AQ39:BL39), LAMBDA(val, IF(ISNUMBER(val), PERCENTRANK(AQ39:BL39, val)+0.01, 0))), SEQUENCE(COLUMNS(AQ39:BL39)), FALSE), {""charttype"",""column""; ""color"",""chartreuse""; ""ymin"", 0; ""ymax"", 1.01; ""highcolor"", "&amp;"""darkgreen""; ""lowcolor"", ""red""}), """")"),"")</f>
        <v/>
      </c>
      <c r="B39" s="17" t="str">
        <f t="shared" si="4"/>
        <v/>
      </c>
      <c r="C39" s="1" t="s">
        <v>3066</v>
      </c>
      <c r="D39" s="30" t="str">
        <f>IFERROR(__xludf.DUMMYFUNCTION("IFERROR(GOOGLEFINANCE(C39, ""NAME""))"),"Solstice Advanced Materials Inc")</f>
        <v>Solstice Advanced Materials Inc</v>
      </c>
      <c r="E39" s="30" t="s">
        <v>2995</v>
      </c>
      <c r="F39" s="33" t="str">
        <f>IFERROR(__xludf.DUMMYFUNCTION("( (GOOGLEFINANCE(C39, ""price"") - Q39) / Q39 ) / (R39 / 100)"),"Loading...")</f>
        <v>Loading...</v>
      </c>
      <c r="G39" s="20" t="str">
        <f>IFERROR(__xludf.DUMMYFUNCTION("AVERAGE(ARRAYFORMULA(100 * (QUERY(GOOGLEFINANCE(C39, ""high"", TODAY()-40, TODAY()), ""SELECT Col2 WHERE Col2 IS NOT NULL ORDER BY Col1 DESC LIMIT 20"", 0) / QUERY(GOOGLEFINANCE(C39, ""low"", TODAY()-40, TODAY()), ""SELECT Col2 WHERE Col2 IS NOT NULL ORDE"&amp;"R BY Col1 DESC LIMIT 20"", 0) - 1)))"),"#N/A")</f>
        <v>#N/A</v>
      </c>
      <c r="H39" s="35" t="str">
        <f t="shared" si="35"/>
        <v>Liquid</v>
      </c>
      <c r="I39" s="35" t="str">
        <f t="shared" si="7"/>
        <v>RVol Required</v>
      </c>
      <c r="J39" s="37">
        <f>IFERROR(__xludf.DUMMYFUNCTION("IFERROR(
  IF(C39="""",, 
    IFERROR(
      GOOGLEFINANCE(C39, ""price"") * GOOGLEFINANCE(C39, ""volumeavg""), 
      GOOGLEFINANCE(C39, ""price"") * AVERAGE(QUERY(GOOGLEFINANCE(C39, ""volume"", TODAY()-40, TODAY()), ""SELECT Col2 WHERE Col2 IS NOT NULL "&amp;"ORDER BY Col1 DESC LIMIT 20"", 0))
    )
  ), 
"""")"),1.2400556925E8)</f>
        <v>124005569.3</v>
      </c>
      <c r="K39" s="21">
        <f>IFERROR(__xludf.DUMMYFUNCTION("IFERROR(GOOGLEFINANCE(C39, ""changepct"") / 100, """")"),-0.011200000000000002)</f>
        <v>-0.0112</v>
      </c>
      <c r="L39" s="21" t="str">
        <f>IFERROR(__xludf.DUMMYFUNCTION("IFERROR((GOOGLEFINANCE(C39, ""price"") / INDEX(GOOGLEFINANCE(C39, ""price"", TODAY()-7, TODAY()), 2, 2)) - 1, """")"),"")</f>
        <v/>
      </c>
      <c r="M39" s="21" t="str">
        <f>IFERROR(__xludf.DUMMYFUNCTION("IFERROR((GOOGLEFINANCE(C39, ""price"") / INDEX(GOOGLEFINANCE(C39, ""price"", EDATE(TODAY(), -1), TODAY()), 2, 2)) - 1, """")"),"")</f>
        <v/>
      </c>
      <c r="N39" s="21" t="str">
        <f>IFERROR(__xludf.DUMMYFUNCTION("IFERROR((GOOGLEFINANCE(C39, ""price"") / INDEX(GOOGLEFINANCE(C39, ""price"", EDATE(TODAY(), -3), TODAY()), 2, 2)) - 1, """")"),"")</f>
        <v/>
      </c>
      <c r="O39" s="21" t="str">
        <f>IFERROR(__xludf.DUMMYFUNCTION("IFERROR((GOOGLEFINANCE(C39, ""price"") / INDEX(GOOGLEFINANCE(C39, ""price"", EDATE(TODAY(), -6), TODAY()), 2, 2)) - 1, """")"),"")</f>
        <v/>
      </c>
      <c r="P39" s="21" t="str">
        <f>IFERROR(__xludf.DUMMYFUNCTION("IFERROR((GOOGLEFINANCE(C39, ""price"") / INDEX(GOOGLEFINANCE(C39, ""price"", EDATE(TODAY(), -12), TODAY()), 2, 2)) - 1, """")"),"")</f>
        <v/>
      </c>
      <c r="Q39" s="6" t="str">
        <f>IFERROR(__xludf.DUMMYFUNCTION("AVERAGE(QUERY(GOOGLEFINANCE(C39, ""price"", TODAY()-80, TODAY()), ""SELECT Col2 WHERE Col2 IS NOT NULL ORDER BY Col1 DESC LIMIT 50"", 0))"),"#N/A")</f>
        <v>#N/A</v>
      </c>
      <c r="R39" s="24" t="str">
        <f>IFERROR(__xludf.DUMMYFUNCTION("IFERROR(
  LET(
    data, QUERY(GOOGLEFINANCE(C39,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GOOGLEFINANCE(C39, ""price"")) * 100,
    IF(calc=0, G39, calc)
  ), 
G39)"),"#N/A")</f>
        <v>#N/A</v>
      </c>
      <c r="S39" s="8" t="s">
        <v>15</v>
      </c>
      <c r="T39" s="26" t="str">
        <f>IFERROR(__xludf.DUMMYFUNCTION("IFERROR(TRANSPOSE(QUERY(IFERROR(SORT(GOOGLEFINANCE(C39, ""price"", WORKDAY(TODAY(), -40), TODAY()), 1, FALSE)), ""select Col2 where Col2 is not null limit 22 label Col2 ''"", 0)), """")"),"")</f>
        <v/>
      </c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8"/>
      <c r="AO39" s="28"/>
      <c r="AP39" s="29"/>
      <c r="AQ39" s="29" t="str">
        <f t="shared" ref="AQ39:BL39" si="43">T39/T$2</f>
        <v>#N/A</v>
      </c>
      <c r="AR39" s="29" t="str">
        <f t="shared" si="43"/>
        <v>#DIV/0!</v>
      </c>
      <c r="AS39" s="29" t="str">
        <f t="shared" si="43"/>
        <v>#DIV/0!</v>
      </c>
      <c r="AT39" s="29" t="str">
        <f t="shared" si="43"/>
        <v>#DIV/0!</v>
      </c>
      <c r="AU39" s="29" t="str">
        <f t="shared" si="43"/>
        <v>#DIV/0!</v>
      </c>
      <c r="AV39" s="29" t="str">
        <f t="shared" si="43"/>
        <v>#DIV/0!</v>
      </c>
      <c r="AW39" s="29" t="str">
        <f t="shared" si="43"/>
        <v>#DIV/0!</v>
      </c>
      <c r="AX39" s="29" t="str">
        <f t="shared" si="43"/>
        <v>#DIV/0!</v>
      </c>
      <c r="AY39" s="29" t="str">
        <f t="shared" si="43"/>
        <v>#DIV/0!</v>
      </c>
      <c r="AZ39" s="29" t="str">
        <f t="shared" si="43"/>
        <v>#DIV/0!</v>
      </c>
      <c r="BA39" s="29" t="str">
        <f t="shared" si="43"/>
        <v>#DIV/0!</v>
      </c>
      <c r="BB39" s="29" t="str">
        <f t="shared" si="43"/>
        <v>#DIV/0!</v>
      </c>
      <c r="BC39" s="29" t="str">
        <f t="shared" si="43"/>
        <v>#DIV/0!</v>
      </c>
      <c r="BD39" s="29" t="str">
        <f t="shared" si="43"/>
        <v>#DIV/0!</v>
      </c>
      <c r="BE39" s="29" t="str">
        <f t="shared" si="43"/>
        <v>#DIV/0!</v>
      </c>
      <c r="BF39" s="29" t="str">
        <f t="shared" si="43"/>
        <v>#DIV/0!</v>
      </c>
      <c r="BG39" s="29" t="str">
        <f t="shared" si="43"/>
        <v>#DIV/0!</v>
      </c>
      <c r="BH39" s="29" t="str">
        <f t="shared" si="43"/>
        <v>#DIV/0!</v>
      </c>
      <c r="BI39" s="29" t="str">
        <f t="shared" si="43"/>
        <v>#DIV/0!</v>
      </c>
      <c r="BJ39" s="29" t="str">
        <f t="shared" si="43"/>
        <v>#DIV/0!</v>
      </c>
      <c r="BK39" s="29" t="str">
        <f t="shared" si="43"/>
        <v>#DIV/0!</v>
      </c>
      <c r="BL39" s="29" t="str">
        <f t="shared" si="43"/>
        <v>#DIV/0!</v>
      </c>
      <c r="BM39" s="29" t="str">
        <f t="shared" si="3"/>
        <v>#DIV/0!</v>
      </c>
    </row>
    <row r="40">
      <c r="A40" s="16" t="str">
        <f>IFERROR(__xludf.DUMMYFUNCTION("IFERROR(SPARKLINE(SORT(MAP(TRANSPOSE(AQ40:BL40), LAMBDA(val, IF(ISNUMBER(val), PERCENTRANK(AQ40:BL40, val)+0.01, 0))), SEQUENCE(COLUMNS(AQ40:BL40)), FALSE), {""charttype"",""column""; ""color"",""chartreuse""; ""ymin"", 0; ""ymax"", 1.01; ""highcolor"", "&amp;"""darkgreen""; ""lowcolor"", ""red""}), """")"),"")</f>
        <v/>
      </c>
      <c r="B40" s="17" t="str">
        <f t="shared" si="4"/>
        <v/>
      </c>
      <c r="C40" s="1" t="s">
        <v>3069</v>
      </c>
      <c r="D40" s="30" t="str">
        <f>IFERROR(__xludf.DUMMYFUNCTION("IFERROR(GOOGLEFINANCE(C40, ""NAME""))"),"Contango Silver &amp; Gold Inc")</f>
        <v>Contango Silver &amp; Gold Inc</v>
      </c>
      <c r="E40" s="30" t="s">
        <v>2928</v>
      </c>
      <c r="F40" s="33" t="str">
        <f>IFERROR(__xludf.DUMMYFUNCTION("( (GOOGLEFINANCE(C40, ""price"") - Q40) / Q40 ) / (R40 / 100)"),"Loading...")</f>
        <v>Loading...</v>
      </c>
      <c r="G40" s="20" t="str">
        <f>IFERROR(__xludf.DUMMYFUNCTION("AVERAGE(ARRAYFORMULA(100 * (QUERY(GOOGLEFINANCE(C40, ""high"", TODAY()-40, TODAY()), ""SELECT Col2 WHERE Col2 IS NOT NULL ORDER BY Col1 DESC LIMIT 20"", 0) / QUERY(GOOGLEFINANCE(C40, ""low"", TODAY()-40, TODAY()), ""SELECT Col2 WHERE Col2 IS NOT NULL ORDE"&amp;"R BY Col1 DESC LIMIT 20"", 0) - 1)))"),"#N/A")</f>
        <v>#N/A</v>
      </c>
      <c r="H40" s="35" t="str">
        <f t="shared" si="35"/>
        <v>Illiquid</v>
      </c>
      <c r="I40" s="35" t="str">
        <f t="shared" si="7"/>
        <v>RVol Required</v>
      </c>
      <c r="J40" s="37">
        <f>IFERROR(__xludf.DUMMYFUNCTION("IFERROR(
  IF(C40="""",, 
    IFERROR(
      GOOGLEFINANCE(C40, ""price"") * GOOGLEFINANCE(C40, ""volumeavg""), 
      GOOGLEFINANCE(C40, ""price"") * AVERAGE(QUERY(GOOGLEFINANCE(C40, ""volume"", TODAY()-40, TODAY()), ""SELECT Col2 WHERE Col2 IS NOT NULL "&amp;"ORDER BY Col1 DESC LIMIT 20"", 0))
    )
  ), 
"""")"),5807550.75)</f>
        <v>5807550.75</v>
      </c>
      <c r="K40" s="21">
        <f>IFERROR(__xludf.DUMMYFUNCTION("IFERROR(GOOGLEFINANCE(C40, ""changepct"") / 100, """")"),0.0066)</f>
        <v>0.0066</v>
      </c>
      <c r="L40" s="21" t="str">
        <f>IFERROR(__xludf.DUMMYFUNCTION("IFERROR((GOOGLEFINANCE(C40, ""price"") / INDEX(GOOGLEFINANCE(C40, ""price"", TODAY()-7, TODAY()), 2, 2)) - 1, """")"),"")</f>
        <v/>
      </c>
      <c r="M40" s="21" t="str">
        <f>IFERROR(__xludf.DUMMYFUNCTION("IFERROR((GOOGLEFINANCE(C40, ""price"") / INDEX(GOOGLEFINANCE(C40, ""price"", EDATE(TODAY(), -1), TODAY()), 2, 2)) - 1, """")"),"")</f>
        <v/>
      </c>
      <c r="N40" s="21" t="str">
        <f>IFERROR(__xludf.DUMMYFUNCTION("IFERROR((GOOGLEFINANCE(C40, ""price"") / INDEX(GOOGLEFINANCE(C40, ""price"", EDATE(TODAY(), -3), TODAY()), 2, 2)) - 1, """")"),"")</f>
        <v/>
      </c>
      <c r="O40" s="21" t="str">
        <f>IFERROR(__xludf.DUMMYFUNCTION("IFERROR((GOOGLEFINANCE(C40, ""price"") / INDEX(GOOGLEFINANCE(C40, ""price"", EDATE(TODAY(), -6), TODAY()), 2, 2)) - 1, """")"),"")</f>
        <v/>
      </c>
      <c r="P40" s="21" t="str">
        <f>IFERROR(__xludf.DUMMYFUNCTION("IFERROR((GOOGLEFINANCE(C40, ""price"") / INDEX(GOOGLEFINANCE(C40, ""price"", EDATE(TODAY(), -12), TODAY()), 2, 2)) - 1, """")"),"")</f>
        <v/>
      </c>
      <c r="Q40" s="6" t="str">
        <f>IFERROR(__xludf.DUMMYFUNCTION("AVERAGE(QUERY(GOOGLEFINANCE(C40, ""price"", TODAY()-80, TODAY()), ""SELECT Col2 WHERE Col2 IS NOT NULL ORDER BY Col1 DESC LIMIT 50"", 0))"),"#N/A")</f>
        <v>#N/A</v>
      </c>
      <c r="R40" s="24" t="str">
        <f>IFERROR(__xludf.DUMMYFUNCTION("IFERROR(
  LET(
    data, QUERY(GOOGLEFINANCE(C40,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GOOGLEFINANCE(C40, ""price"")) * 100,
    IF(calc=0, G40, calc)
  ), 
G40)"),"#N/A")</f>
        <v>#N/A</v>
      </c>
      <c r="S40" s="8" t="s">
        <v>15</v>
      </c>
      <c r="T40" s="26" t="str">
        <f>IFERROR(__xludf.DUMMYFUNCTION("IFERROR(TRANSPOSE(QUERY(IFERROR(SORT(GOOGLEFINANCE(C40, ""price"", WORKDAY(TODAY(), -40), TODAY()), 1, FALSE)), ""select Col2 where Col2 is not null limit 22 label Col2 ''"", 0)), """")"),"")</f>
        <v/>
      </c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8"/>
      <c r="AO40" s="28"/>
      <c r="AP40" s="29"/>
      <c r="AQ40" s="29" t="str">
        <f t="shared" ref="AQ40:BL40" si="44">T40/T$2</f>
        <v>#N/A</v>
      </c>
      <c r="AR40" s="29" t="str">
        <f t="shared" si="44"/>
        <v>#DIV/0!</v>
      </c>
      <c r="AS40" s="29" t="str">
        <f t="shared" si="44"/>
        <v>#DIV/0!</v>
      </c>
      <c r="AT40" s="29" t="str">
        <f t="shared" si="44"/>
        <v>#DIV/0!</v>
      </c>
      <c r="AU40" s="29" t="str">
        <f t="shared" si="44"/>
        <v>#DIV/0!</v>
      </c>
      <c r="AV40" s="29" t="str">
        <f t="shared" si="44"/>
        <v>#DIV/0!</v>
      </c>
      <c r="AW40" s="29" t="str">
        <f t="shared" si="44"/>
        <v>#DIV/0!</v>
      </c>
      <c r="AX40" s="29" t="str">
        <f t="shared" si="44"/>
        <v>#DIV/0!</v>
      </c>
      <c r="AY40" s="29" t="str">
        <f t="shared" si="44"/>
        <v>#DIV/0!</v>
      </c>
      <c r="AZ40" s="29" t="str">
        <f t="shared" si="44"/>
        <v>#DIV/0!</v>
      </c>
      <c r="BA40" s="29" t="str">
        <f t="shared" si="44"/>
        <v>#DIV/0!</v>
      </c>
      <c r="BB40" s="29" t="str">
        <f t="shared" si="44"/>
        <v>#DIV/0!</v>
      </c>
      <c r="BC40" s="29" t="str">
        <f t="shared" si="44"/>
        <v>#DIV/0!</v>
      </c>
      <c r="BD40" s="29" t="str">
        <f t="shared" si="44"/>
        <v>#DIV/0!</v>
      </c>
      <c r="BE40" s="29" t="str">
        <f t="shared" si="44"/>
        <v>#DIV/0!</v>
      </c>
      <c r="BF40" s="29" t="str">
        <f t="shared" si="44"/>
        <v>#DIV/0!</v>
      </c>
      <c r="BG40" s="29" t="str">
        <f t="shared" si="44"/>
        <v>#DIV/0!</v>
      </c>
      <c r="BH40" s="29" t="str">
        <f t="shared" si="44"/>
        <v>#DIV/0!</v>
      </c>
      <c r="BI40" s="29" t="str">
        <f t="shared" si="44"/>
        <v>#DIV/0!</v>
      </c>
      <c r="BJ40" s="29" t="str">
        <f t="shared" si="44"/>
        <v>#DIV/0!</v>
      </c>
      <c r="BK40" s="29" t="str">
        <f t="shared" si="44"/>
        <v>#DIV/0!</v>
      </c>
      <c r="BL40" s="29" t="str">
        <f t="shared" si="44"/>
        <v>#DIV/0!</v>
      </c>
      <c r="BM40" s="29" t="str">
        <f t="shared" si="3"/>
        <v>#DIV/0!</v>
      </c>
    </row>
    <row r="41">
      <c r="A41" s="16" t="str">
        <f>IFERROR(__xludf.DUMMYFUNCTION("IFERROR(SPARKLINE(SORT(MAP(TRANSPOSE(AQ41:BL41), LAMBDA(val, IF(ISNUMBER(val), PERCENTRANK(AQ41:BL41, val)+0.01, 0))), SEQUENCE(COLUMNS(AQ41:BL41)), FALSE), {""charttype"",""column""; ""color"",""chartreuse""; ""ymin"", 0; ""ymax"", 1.01; ""highcolor"", "&amp;"""darkgreen""; ""lowcolor"", ""red""}), """")"),"")</f>
        <v/>
      </c>
      <c r="B41" s="17" t="str">
        <f t="shared" si="4"/>
        <v/>
      </c>
      <c r="C41" s="1" t="s">
        <v>3072</v>
      </c>
      <c r="D41" s="30" t="str">
        <f>IFERROR(__xludf.DUMMYFUNCTION("IFERROR(GOOGLEFINANCE(C41, ""NAME""))"),"Northern Dynasty Minerals Ltd")</f>
        <v>Northern Dynasty Minerals Ltd</v>
      </c>
      <c r="E41" s="30" t="s">
        <v>2935</v>
      </c>
      <c r="F41" s="33" t="str">
        <f>IFERROR(__xludf.DUMMYFUNCTION("( (GOOGLEFINANCE(C41, ""price"") - Q41) / Q41 ) / (R41 / 100)"),"Loading...")</f>
        <v>Loading...</v>
      </c>
      <c r="G41" s="20" t="str">
        <f>IFERROR(__xludf.DUMMYFUNCTION("AVERAGE(ARRAYFORMULA(100 * (QUERY(GOOGLEFINANCE(C41, ""high"", TODAY()-40, TODAY()), ""SELECT Col2 WHERE Col2 IS NOT NULL ORDER BY Col1 DESC LIMIT 20"", 0) / QUERY(GOOGLEFINANCE(C41, ""low"", TODAY()-40, TODAY()), ""SELECT Col2 WHERE Col2 IS NOT NULL ORDE"&amp;"R BY Col1 DESC LIMIT 20"", 0) - 1)))"),"#N/A")</f>
        <v>#N/A</v>
      </c>
      <c r="H41" s="35" t="str">
        <f t="shared" si="35"/>
        <v>Illiquid</v>
      </c>
      <c r="I41" s="35" t="str">
        <f t="shared" si="7"/>
        <v>RVol Required</v>
      </c>
      <c r="J41" s="37">
        <f>IFERROR(__xludf.DUMMYFUNCTION("IFERROR(
  IF(C41="""",, 
    IFERROR(
      GOOGLEFINANCE(C41, ""price"") * GOOGLEFINANCE(C41, ""volumeavg""), 
      GOOGLEFINANCE(C41, ""price"") * AVERAGE(QUERY(GOOGLEFINANCE(C41, ""volume"", TODAY()-40, TODAY()), ""SELECT Col2 WHERE Col2 IS NOT NULL "&amp;"ORDER BY Col1 DESC LIMIT 20"", 0))
    )
  ), 
"""")"),4252752.86)</f>
        <v>4252752.86</v>
      </c>
      <c r="K41" s="21">
        <f>IFERROR(__xludf.DUMMYFUNCTION("IFERROR(GOOGLEFINANCE(C41, ""changepct"") / 100, """")"),-0.0331)</f>
        <v>-0.0331</v>
      </c>
      <c r="L41" s="21" t="str">
        <f>IFERROR(__xludf.DUMMYFUNCTION("IFERROR((GOOGLEFINANCE(C41, ""price"") / INDEX(GOOGLEFINANCE(C41, ""price"", TODAY()-7, TODAY()), 2, 2)) - 1, """")"),"")</f>
        <v/>
      </c>
      <c r="M41" s="21" t="str">
        <f>IFERROR(__xludf.DUMMYFUNCTION("IFERROR((GOOGLEFINANCE(C41, ""price"") / INDEX(GOOGLEFINANCE(C41, ""price"", EDATE(TODAY(), -1), TODAY()), 2, 2)) - 1, """")"),"")</f>
        <v/>
      </c>
      <c r="N41" s="21" t="str">
        <f>IFERROR(__xludf.DUMMYFUNCTION("IFERROR((GOOGLEFINANCE(C41, ""price"") / INDEX(GOOGLEFINANCE(C41, ""price"", EDATE(TODAY(), -3), TODAY()), 2, 2)) - 1, """")"),"")</f>
        <v/>
      </c>
      <c r="O41" s="21" t="str">
        <f>IFERROR(__xludf.DUMMYFUNCTION("IFERROR((GOOGLEFINANCE(C41, ""price"") / INDEX(GOOGLEFINANCE(C41, ""price"", EDATE(TODAY(), -6), TODAY()), 2, 2)) - 1, """")"),"")</f>
        <v/>
      </c>
      <c r="P41" s="21" t="str">
        <f>IFERROR(__xludf.DUMMYFUNCTION("IFERROR((GOOGLEFINANCE(C41, ""price"") / INDEX(GOOGLEFINANCE(C41, ""price"", EDATE(TODAY(), -12), TODAY()), 2, 2)) - 1, """")"),"")</f>
        <v/>
      </c>
      <c r="Q41" s="6" t="str">
        <f>IFERROR(__xludf.DUMMYFUNCTION("AVERAGE(QUERY(GOOGLEFINANCE(C41, ""price"", TODAY()-80, TODAY()), ""SELECT Col2 WHERE Col2 IS NOT NULL ORDER BY Col1 DESC LIMIT 50"", 0))"),"#N/A")</f>
        <v>#N/A</v>
      </c>
      <c r="R41" s="24" t="str">
        <f>IFERROR(__xludf.DUMMYFUNCTION("IFERROR(
  LET(
    data, QUERY(GOOGLEFINANCE(C41,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GOOGLEFINANCE(C41, ""price"")) * 100,
    IF(calc=0, G41, calc)
  ), 
G41)"),"#N/A")</f>
        <v>#N/A</v>
      </c>
      <c r="S41" s="8" t="s">
        <v>15</v>
      </c>
      <c r="T41" s="26" t="str">
        <f>IFERROR(__xludf.DUMMYFUNCTION("IFERROR(TRANSPOSE(QUERY(IFERROR(SORT(GOOGLEFINANCE(C41, ""price"", WORKDAY(TODAY(), -40), TODAY()), 1, FALSE)), ""select Col2 where Col2 is not null limit 22 label Col2 ''"", 0)), """")"),"")</f>
        <v/>
      </c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8"/>
      <c r="AO41" s="28"/>
      <c r="AP41" s="29"/>
      <c r="AQ41" s="29" t="str">
        <f t="shared" ref="AQ41:BL41" si="45">T41/T$2</f>
        <v>#N/A</v>
      </c>
      <c r="AR41" s="29" t="str">
        <f t="shared" si="45"/>
        <v>#DIV/0!</v>
      </c>
      <c r="AS41" s="29" t="str">
        <f t="shared" si="45"/>
        <v>#DIV/0!</v>
      </c>
      <c r="AT41" s="29" t="str">
        <f t="shared" si="45"/>
        <v>#DIV/0!</v>
      </c>
      <c r="AU41" s="29" t="str">
        <f t="shared" si="45"/>
        <v>#DIV/0!</v>
      </c>
      <c r="AV41" s="29" t="str">
        <f t="shared" si="45"/>
        <v>#DIV/0!</v>
      </c>
      <c r="AW41" s="29" t="str">
        <f t="shared" si="45"/>
        <v>#DIV/0!</v>
      </c>
      <c r="AX41" s="29" t="str">
        <f t="shared" si="45"/>
        <v>#DIV/0!</v>
      </c>
      <c r="AY41" s="29" t="str">
        <f t="shared" si="45"/>
        <v>#DIV/0!</v>
      </c>
      <c r="AZ41" s="29" t="str">
        <f t="shared" si="45"/>
        <v>#DIV/0!</v>
      </c>
      <c r="BA41" s="29" t="str">
        <f t="shared" si="45"/>
        <v>#DIV/0!</v>
      </c>
      <c r="BB41" s="29" t="str">
        <f t="shared" si="45"/>
        <v>#DIV/0!</v>
      </c>
      <c r="BC41" s="29" t="str">
        <f t="shared" si="45"/>
        <v>#DIV/0!</v>
      </c>
      <c r="BD41" s="29" t="str">
        <f t="shared" si="45"/>
        <v>#DIV/0!</v>
      </c>
      <c r="BE41" s="29" t="str">
        <f t="shared" si="45"/>
        <v>#DIV/0!</v>
      </c>
      <c r="BF41" s="29" t="str">
        <f t="shared" si="45"/>
        <v>#DIV/0!</v>
      </c>
      <c r="BG41" s="29" t="str">
        <f t="shared" si="45"/>
        <v>#DIV/0!</v>
      </c>
      <c r="BH41" s="29" t="str">
        <f t="shared" si="45"/>
        <v>#DIV/0!</v>
      </c>
      <c r="BI41" s="29" t="str">
        <f t="shared" si="45"/>
        <v>#DIV/0!</v>
      </c>
      <c r="BJ41" s="29" t="str">
        <f t="shared" si="45"/>
        <v>#DIV/0!</v>
      </c>
      <c r="BK41" s="29" t="str">
        <f t="shared" si="45"/>
        <v>#DIV/0!</v>
      </c>
      <c r="BL41" s="29" t="str">
        <f t="shared" si="45"/>
        <v>#DIV/0!</v>
      </c>
      <c r="BM41" s="29" t="str">
        <f t="shared" si="3"/>
        <v>#DIV/0!</v>
      </c>
    </row>
    <row r="42">
      <c r="A42" s="16" t="str">
        <f>IFERROR(__xludf.DUMMYFUNCTION("IFERROR(SPARKLINE(SORT(MAP(TRANSPOSE(AQ42:BL42), LAMBDA(val, IF(ISNUMBER(val), PERCENTRANK(AQ42:BL42, val)+0.01, 0))), SEQUENCE(COLUMNS(AQ42:BL42)), FALSE), {""charttype"",""column""; ""color"",""chartreuse""; ""ymin"", 0; ""ymax"", 1.01; ""highcolor"", "&amp;"""darkgreen""; ""lowcolor"", ""red""}), """")"),"")</f>
        <v/>
      </c>
      <c r="B42" s="17" t="str">
        <f t="shared" si="4"/>
        <v/>
      </c>
      <c r="C42" s="1" t="s">
        <v>3076</v>
      </c>
      <c r="D42" s="30" t="str">
        <f>IFERROR(__xludf.DUMMYFUNCTION("IFERROR(GOOGLEFINANCE(C42, ""NAME""))"),"Compania de Minas Buenaventura SAA")</f>
        <v>Compania de Minas Buenaventura SAA</v>
      </c>
      <c r="E42" s="30" t="s">
        <v>3008</v>
      </c>
      <c r="F42" s="33" t="str">
        <f>IFERROR(__xludf.DUMMYFUNCTION("( (GOOGLEFINANCE(C42, ""price"") - Q42) / Q42 ) / (R42 / 100)"),"Loading...")</f>
        <v>Loading...</v>
      </c>
      <c r="G42" s="20" t="str">
        <f>IFERROR(__xludf.DUMMYFUNCTION("AVERAGE(ARRAYFORMULA(100 * (QUERY(GOOGLEFINANCE(C42, ""high"", TODAY()-40, TODAY()), ""SELECT Col2 WHERE Col2 IS NOT NULL ORDER BY Col1 DESC LIMIT 20"", 0) / QUERY(GOOGLEFINANCE(C42, ""low"", TODAY()-40, TODAY()), ""SELECT Col2 WHERE Col2 IS NOT NULL ORDE"&amp;"R BY Col1 DESC LIMIT 20"", 0) - 1)))"),"#N/A")</f>
        <v>#N/A</v>
      </c>
      <c r="H42" s="35" t="str">
        <f t="shared" si="35"/>
        <v>Illiquid</v>
      </c>
      <c r="I42" s="35" t="str">
        <f t="shared" si="7"/>
        <v>RVol Required</v>
      </c>
      <c r="J42" s="37">
        <f>IFERROR(__xludf.DUMMYFUNCTION("IFERROR(
  IF(C42="""",, 
    IFERROR(
      GOOGLEFINANCE(C42, ""price"") * GOOGLEFINANCE(C42, ""volumeavg""), 
      GOOGLEFINANCE(C42, ""price"") * AVERAGE(QUERY(GOOGLEFINANCE(C42, ""volume"", TODAY()-40, TODAY()), ""SELECT Col2 WHERE Col2 IS NOT NULL "&amp;"ORDER BY Col1 DESC LIMIT 20"", 0))
    )
  ), 
"""")"),3.1552749540000003E7)</f>
        <v>31552749.54</v>
      </c>
      <c r="K42" s="21">
        <f>IFERROR(__xludf.DUMMYFUNCTION("IFERROR(GOOGLEFINANCE(C42, ""changepct"") / 100, """")"),-0.023399999999999997)</f>
        <v>-0.0234</v>
      </c>
      <c r="L42" s="21" t="str">
        <f>IFERROR(__xludf.DUMMYFUNCTION("IFERROR((GOOGLEFINANCE(C42, ""price"") / INDEX(GOOGLEFINANCE(C42, ""price"", TODAY()-7, TODAY()), 2, 2)) - 1, """")"),"")</f>
        <v/>
      </c>
      <c r="M42" s="21" t="str">
        <f>IFERROR(__xludf.DUMMYFUNCTION("IFERROR((GOOGLEFINANCE(C42, ""price"") / INDEX(GOOGLEFINANCE(C42, ""price"", EDATE(TODAY(), -1), TODAY()), 2, 2)) - 1, """")"),"")</f>
        <v/>
      </c>
      <c r="N42" s="21" t="str">
        <f>IFERROR(__xludf.DUMMYFUNCTION("IFERROR((GOOGLEFINANCE(C42, ""price"") / INDEX(GOOGLEFINANCE(C42, ""price"", EDATE(TODAY(), -3), TODAY()), 2, 2)) - 1, """")"),"")</f>
        <v/>
      </c>
      <c r="O42" s="21" t="str">
        <f>IFERROR(__xludf.DUMMYFUNCTION("IFERROR((GOOGLEFINANCE(C42, ""price"") / INDEX(GOOGLEFINANCE(C42, ""price"", EDATE(TODAY(), -6), TODAY()), 2, 2)) - 1, """")"),"")</f>
        <v/>
      </c>
      <c r="P42" s="21" t="str">
        <f>IFERROR(__xludf.DUMMYFUNCTION("IFERROR((GOOGLEFINANCE(C42, ""price"") / INDEX(GOOGLEFINANCE(C42, ""price"", EDATE(TODAY(), -12), TODAY()), 2, 2)) - 1, """")"),"")</f>
        <v/>
      </c>
      <c r="Q42" s="6" t="str">
        <f>IFERROR(__xludf.DUMMYFUNCTION("AVERAGE(QUERY(GOOGLEFINANCE(C42, ""price"", TODAY()-80, TODAY()), ""SELECT Col2 WHERE Col2 IS NOT NULL ORDER BY Col1 DESC LIMIT 50"", 0))"),"#N/A")</f>
        <v>#N/A</v>
      </c>
      <c r="R42" s="24" t="str">
        <f>IFERROR(__xludf.DUMMYFUNCTION("IFERROR(
  LET(
    data, QUERY(GOOGLEFINANCE(C42,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GOOGLEFINANCE(C42, ""price"")) * 100,
    IF(calc=0, G42, calc)
  ), 
G42)"),"#N/A")</f>
        <v>#N/A</v>
      </c>
      <c r="S42" s="8" t="s">
        <v>15</v>
      </c>
      <c r="T42" s="26" t="str">
        <f>IFERROR(__xludf.DUMMYFUNCTION("IFERROR(TRANSPOSE(QUERY(IFERROR(SORT(GOOGLEFINANCE(C42, ""price"", WORKDAY(TODAY(), -40), TODAY()), 1, FALSE)), ""select Col2 where Col2 is not null limit 22 label Col2 ''"", 0)), """")"),"")</f>
        <v/>
      </c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8"/>
      <c r="AO42" s="28"/>
      <c r="AP42" s="29"/>
      <c r="AQ42" s="29" t="str">
        <f t="shared" ref="AQ42:BL42" si="46">T42/T$2</f>
        <v>#N/A</v>
      </c>
      <c r="AR42" s="29" t="str">
        <f t="shared" si="46"/>
        <v>#DIV/0!</v>
      </c>
      <c r="AS42" s="29" t="str">
        <f t="shared" si="46"/>
        <v>#DIV/0!</v>
      </c>
      <c r="AT42" s="29" t="str">
        <f t="shared" si="46"/>
        <v>#DIV/0!</v>
      </c>
      <c r="AU42" s="29" t="str">
        <f t="shared" si="46"/>
        <v>#DIV/0!</v>
      </c>
      <c r="AV42" s="29" t="str">
        <f t="shared" si="46"/>
        <v>#DIV/0!</v>
      </c>
      <c r="AW42" s="29" t="str">
        <f t="shared" si="46"/>
        <v>#DIV/0!</v>
      </c>
      <c r="AX42" s="29" t="str">
        <f t="shared" si="46"/>
        <v>#DIV/0!</v>
      </c>
      <c r="AY42" s="29" t="str">
        <f t="shared" si="46"/>
        <v>#DIV/0!</v>
      </c>
      <c r="AZ42" s="29" t="str">
        <f t="shared" si="46"/>
        <v>#DIV/0!</v>
      </c>
      <c r="BA42" s="29" t="str">
        <f t="shared" si="46"/>
        <v>#DIV/0!</v>
      </c>
      <c r="BB42" s="29" t="str">
        <f t="shared" si="46"/>
        <v>#DIV/0!</v>
      </c>
      <c r="BC42" s="29" t="str">
        <f t="shared" si="46"/>
        <v>#DIV/0!</v>
      </c>
      <c r="BD42" s="29" t="str">
        <f t="shared" si="46"/>
        <v>#DIV/0!</v>
      </c>
      <c r="BE42" s="29" t="str">
        <f t="shared" si="46"/>
        <v>#DIV/0!</v>
      </c>
      <c r="BF42" s="29" t="str">
        <f t="shared" si="46"/>
        <v>#DIV/0!</v>
      </c>
      <c r="BG42" s="29" t="str">
        <f t="shared" si="46"/>
        <v>#DIV/0!</v>
      </c>
      <c r="BH42" s="29" t="str">
        <f t="shared" si="46"/>
        <v>#DIV/0!</v>
      </c>
      <c r="BI42" s="29" t="str">
        <f t="shared" si="46"/>
        <v>#DIV/0!</v>
      </c>
      <c r="BJ42" s="29" t="str">
        <f t="shared" si="46"/>
        <v>#DIV/0!</v>
      </c>
      <c r="BK42" s="29" t="str">
        <f t="shared" si="46"/>
        <v>#DIV/0!</v>
      </c>
      <c r="BL42" s="29" t="str">
        <f t="shared" si="46"/>
        <v>#DIV/0!</v>
      </c>
      <c r="BM42" s="29" t="str">
        <f t="shared" si="3"/>
        <v>#DIV/0!</v>
      </c>
    </row>
    <row r="43">
      <c r="A43" s="16" t="str">
        <f>IFERROR(__xludf.DUMMYFUNCTION("IFERROR(SPARKLINE(SORT(MAP(TRANSPOSE(AQ43:BL43), LAMBDA(val, IF(ISNUMBER(val), PERCENTRANK(AQ43:BL43, val)+0.01, 0))), SEQUENCE(COLUMNS(AQ43:BL43)), FALSE), {""charttype"",""column""; ""color"",""chartreuse""; ""ymin"", 0; ""ymax"", 1.01; ""highcolor"", "&amp;"""darkgreen""; ""lowcolor"", ""red""}), """")"),"")</f>
        <v/>
      </c>
      <c r="B43" s="17" t="str">
        <f t="shared" si="4"/>
        <v/>
      </c>
      <c r="C43" s="1" t="s">
        <v>3079</v>
      </c>
      <c r="D43" s="30" t="str">
        <f>IFERROR(__xludf.DUMMYFUNCTION("IFERROR(GOOGLEFINANCE(C43, ""NAME""))"),"ioneer American Depositary Shares")</f>
        <v>ioneer American Depositary Shares</v>
      </c>
      <c r="E43" s="30" t="s">
        <v>2935</v>
      </c>
      <c r="F43" s="33" t="str">
        <f>IFERROR(__xludf.DUMMYFUNCTION("( (GOOGLEFINANCE(C43, ""price"") - Q43) / Q43 ) / (R43 / 100)"),"Loading...")</f>
        <v>Loading...</v>
      </c>
      <c r="G43" s="20" t="str">
        <f>IFERROR(__xludf.DUMMYFUNCTION("AVERAGE(ARRAYFORMULA(100 * (QUERY(GOOGLEFINANCE(C43, ""high"", TODAY()-40, TODAY()), ""SELECT Col2 WHERE Col2 IS NOT NULL ORDER BY Col1 DESC LIMIT 20"", 0) / QUERY(GOOGLEFINANCE(C43, ""low"", TODAY()-40, TODAY()), ""SELECT Col2 WHERE Col2 IS NOT NULL ORDE"&amp;"R BY Col1 DESC LIMIT 20"", 0) - 1)))"),"#N/A")</f>
        <v>#N/A</v>
      </c>
      <c r="H43" s="35" t="str">
        <f t="shared" si="35"/>
        <v>Illiquid</v>
      </c>
      <c r="I43" s="35" t="str">
        <f t="shared" si="7"/>
        <v>RVol Required</v>
      </c>
      <c r="J43" s="37">
        <f>IFERROR(__xludf.DUMMYFUNCTION("IFERROR(
  IF(C43="""",, 
    IFERROR(
      GOOGLEFINANCE(C43, ""price"") * GOOGLEFINANCE(C43, ""volumeavg""), 
      GOOGLEFINANCE(C43, ""price"") * AVERAGE(QUERY(GOOGLEFINANCE(C43, ""volume"", TODAY()-40, TODAY()), ""SELECT Col2 WHERE Col2 IS NOT NULL "&amp;"ORDER BY Col1 DESC LIMIT 20"", 0))
    )
  ), 
"""")"),258912.83999999997)</f>
        <v>258912.84</v>
      </c>
      <c r="K43" s="21">
        <f>IFERROR(__xludf.DUMMYFUNCTION("IFERROR(GOOGLEFINANCE(C43, ""changepct"") / 100, """")"),0.026000000000000002)</f>
        <v>0.026</v>
      </c>
      <c r="L43" s="21" t="str">
        <f>IFERROR(__xludf.DUMMYFUNCTION("IFERROR((GOOGLEFINANCE(C43, ""price"") / INDEX(GOOGLEFINANCE(C43, ""price"", TODAY()-7, TODAY()), 2, 2)) - 1, """")"),"")</f>
        <v/>
      </c>
      <c r="M43" s="21" t="str">
        <f>IFERROR(__xludf.DUMMYFUNCTION("IFERROR((GOOGLEFINANCE(C43, ""price"") / INDEX(GOOGLEFINANCE(C43, ""price"", EDATE(TODAY(), -1), TODAY()), 2, 2)) - 1, """")"),"")</f>
        <v/>
      </c>
      <c r="N43" s="21" t="str">
        <f>IFERROR(__xludf.DUMMYFUNCTION("IFERROR((GOOGLEFINANCE(C43, ""price"") / INDEX(GOOGLEFINANCE(C43, ""price"", EDATE(TODAY(), -3), TODAY()), 2, 2)) - 1, """")"),"")</f>
        <v/>
      </c>
      <c r="O43" s="21" t="str">
        <f>IFERROR(__xludf.DUMMYFUNCTION("IFERROR((GOOGLEFINANCE(C43, ""price"") / INDEX(GOOGLEFINANCE(C43, ""price"", EDATE(TODAY(), -6), TODAY()), 2, 2)) - 1, """")"),"")</f>
        <v/>
      </c>
      <c r="P43" s="21" t="str">
        <f>IFERROR(__xludf.DUMMYFUNCTION("IFERROR((GOOGLEFINANCE(C43, ""price"") / INDEX(GOOGLEFINANCE(C43, ""price"", EDATE(TODAY(), -12), TODAY()), 2, 2)) - 1, """")"),"")</f>
        <v/>
      </c>
      <c r="Q43" s="6" t="str">
        <f>IFERROR(__xludf.DUMMYFUNCTION("AVERAGE(QUERY(GOOGLEFINANCE(C43, ""price"", TODAY()-80, TODAY()), ""SELECT Col2 WHERE Col2 IS NOT NULL ORDER BY Col1 DESC LIMIT 50"", 0))"),"#N/A")</f>
        <v>#N/A</v>
      </c>
      <c r="R43" s="24" t="str">
        <f>IFERROR(__xludf.DUMMYFUNCTION("IFERROR(
  LET(
    data, QUERY(GOOGLEFINANCE(C43,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GOOGLEFINANCE(C43, ""price"")) * 100,
    IF(calc=0, G43, calc)
  ), 
G43)"),"#N/A")</f>
        <v>#N/A</v>
      </c>
      <c r="S43" s="8" t="s">
        <v>15</v>
      </c>
      <c r="T43" s="26" t="str">
        <f>IFERROR(__xludf.DUMMYFUNCTION("IFERROR(TRANSPOSE(QUERY(IFERROR(SORT(GOOGLEFINANCE(C43, ""price"", WORKDAY(TODAY(), -40), TODAY()), 1, FALSE)), ""select Col2 where Col2 is not null limit 22 label Col2 ''"", 0)), """")"),"")</f>
        <v/>
      </c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8"/>
      <c r="AO43" s="28"/>
      <c r="AP43" s="29"/>
      <c r="AQ43" s="29" t="str">
        <f t="shared" ref="AQ43:BL43" si="47">T43/T$2</f>
        <v>#N/A</v>
      </c>
      <c r="AR43" s="29" t="str">
        <f t="shared" si="47"/>
        <v>#DIV/0!</v>
      </c>
      <c r="AS43" s="29" t="str">
        <f t="shared" si="47"/>
        <v>#DIV/0!</v>
      </c>
      <c r="AT43" s="29" t="str">
        <f t="shared" si="47"/>
        <v>#DIV/0!</v>
      </c>
      <c r="AU43" s="29" t="str">
        <f t="shared" si="47"/>
        <v>#DIV/0!</v>
      </c>
      <c r="AV43" s="29" t="str">
        <f t="shared" si="47"/>
        <v>#DIV/0!</v>
      </c>
      <c r="AW43" s="29" t="str">
        <f t="shared" si="47"/>
        <v>#DIV/0!</v>
      </c>
      <c r="AX43" s="29" t="str">
        <f t="shared" si="47"/>
        <v>#DIV/0!</v>
      </c>
      <c r="AY43" s="29" t="str">
        <f t="shared" si="47"/>
        <v>#DIV/0!</v>
      </c>
      <c r="AZ43" s="29" t="str">
        <f t="shared" si="47"/>
        <v>#DIV/0!</v>
      </c>
      <c r="BA43" s="29" t="str">
        <f t="shared" si="47"/>
        <v>#DIV/0!</v>
      </c>
      <c r="BB43" s="29" t="str">
        <f t="shared" si="47"/>
        <v>#DIV/0!</v>
      </c>
      <c r="BC43" s="29" t="str">
        <f t="shared" si="47"/>
        <v>#DIV/0!</v>
      </c>
      <c r="BD43" s="29" t="str">
        <f t="shared" si="47"/>
        <v>#DIV/0!</v>
      </c>
      <c r="BE43" s="29" t="str">
        <f t="shared" si="47"/>
        <v>#DIV/0!</v>
      </c>
      <c r="BF43" s="29" t="str">
        <f t="shared" si="47"/>
        <v>#DIV/0!</v>
      </c>
      <c r="BG43" s="29" t="str">
        <f t="shared" si="47"/>
        <v>#DIV/0!</v>
      </c>
      <c r="BH43" s="29" t="str">
        <f t="shared" si="47"/>
        <v>#DIV/0!</v>
      </c>
      <c r="BI43" s="29" t="str">
        <f t="shared" si="47"/>
        <v>#DIV/0!</v>
      </c>
      <c r="BJ43" s="29" t="str">
        <f t="shared" si="47"/>
        <v>#DIV/0!</v>
      </c>
      <c r="BK43" s="29" t="str">
        <f t="shared" si="47"/>
        <v>#DIV/0!</v>
      </c>
      <c r="BL43" s="29" t="str">
        <f t="shared" si="47"/>
        <v>#DIV/0!</v>
      </c>
      <c r="BM43" s="29" t="str">
        <f t="shared" si="3"/>
        <v>#DIV/0!</v>
      </c>
    </row>
    <row r="44">
      <c r="A44" s="16" t="str">
        <f>IFERROR(__xludf.DUMMYFUNCTION("IFERROR(SPARKLINE(SORT(MAP(TRANSPOSE(AQ44:BL44), LAMBDA(val, IF(ISNUMBER(val), PERCENTRANK(AQ44:BL44, val)+0.01, 0))), SEQUENCE(COLUMNS(AQ44:BL44)), FALSE), {""charttype"",""column""; ""color"",""chartreuse""; ""ymin"", 0; ""ymax"", 1.01; ""highcolor"", "&amp;"""darkgreen""; ""lowcolor"", ""red""}), """")"),"")</f>
        <v/>
      </c>
      <c r="B44" s="17" t="str">
        <f t="shared" si="4"/>
        <v/>
      </c>
      <c r="C44" s="1" t="s">
        <v>3082</v>
      </c>
      <c r="D44" s="30" t="str">
        <f>IFERROR(__xludf.DUMMYFUNCTION("IFERROR(GOOGLEFINANCE(C44, ""NAME""))"),"Trilogy Metals Inc")</f>
        <v>Trilogy Metals Inc</v>
      </c>
      <c r="E44" s="30" t="s">
        <v>2935</v>
      </c>
      <c r="F44" s="38" t="str">
        <f>IFERROR(__xludf.DUMMYFUNCTION("( (GOOGLEFINANCE(C44, ""price"") - Q44) / Q44 ) / (R44 / 100)"),"Loading...")</f>
        <v>Loading...</v>
      </c>
      <c r="G44" s="20" t="str">
        <f>IFERROR(__xludf.DUMMYFUNCTION("AVERAGE(ARRAYFORMULA(100 * (QUERY(GOOGLEFINANCE(C44, ""high"", TODAY()-40, TODAY()), ""SELECT Col2 WHERE Col2 IS NOT NULL ORDER BY Col1 DESC LIMIT 20"", 0) / QUERY(GOOGLEFINANCE(C44, ""low"", TODAY()-40, TODAY()), ""SELECT Col2 WHERE Col2 IS NOT NULL ORDE"&amp;"R BY Col1 DESC LIMIT 20"", 0) - 1)))"),"#N/A")</f>
        <v>#N/A</v>
      </c>
      <c r="H44" s="35" t="str">
        <f t="shared" si="35"/>
        <v>Illiquid</v>
      </c>
      <c r="I44" s="35" t="str">
        <f t="shared" si="7"/>
        <v>RVol Required</v>
      </c>
      <c r="J44" s="37">
        <f>IFERROR(__xludf.DUMMYFUNCTION("IFERROR(
  IF(C44="""",, 
    IFERROR(
      GOOGLEFINANCE(C44, ""price"") * GOOGLEFINANCE(C44, ""volumeavg""), 
      GOOGLEFINANCE(C44, ""price"") * AVERAGE(QUERY(GOOGLEFINANCE(C44, ""volume"", TODAY()-40, TODAY()), ""SELECT Col2 WHERE Col2 IS NOT NULL "&amp;"ORDER BY Col1 DESC LIMIT 20"", 0))
    )
  ), 
"""")"),3036007.84)</f>
        <v>3036007.84</v>
      </c>
      <c r="K44" s="21">
        <f>IFERROR(__xludf.DUMMYFUNCTION("IFERROR(GOOGLEFINANCE(C44, ""changepct"") / 100, """")"),-0.036699999999999997)</f>
        <v>-0.0367</v>
      </c>
      <c r="L44" s="21" t="str">
        <f>IFERROR(__xludf.DUMMYFUNCTION("IFERROR((GOOGLEFINANCE(C44, ""price"") / INDEX(GOOGLEFINANCE(C44, ""price"", TODAY()-7, TODAY()), 2, 2)) - 1, """")"),"")</f>
        <v/>
      </c>
      <c r="M44" s="21" t="str">
        <f>IFERROR(__xludf.DUMMYFUNCTION("IFERROR((GOOGLEFINANCE(C44, ""price"") / INDEX(GOOGLEFINANCE(C44, ""price"", EDATE(TODAY(), -1), TODAY()), 2, 2)) - 1, """")"),"")</f>
        <v/>
      </c>
      <c r="N44" s="21" t="str">
        <f>IFERROR(__xludf.DUMMYFUNCTION("IFERROR((GOOGLEFINANCE(C44, ""price"") / INDEX(GOOGLEFINANCE(C44, ""price"", EDATE(TODAY(), -3), TODAY()), 2, 2)) - 1, """")"),"")</f>
        <v/>
      </c>
      <c r="O44" s="21" t="str">
        <f>IFERROR(__xludf.DUMMYFUNCTION("IFERROR((GOOGLEFINANCE(C44, ""price"") / INDEX(GOOGLEFINANCE(C44, ""price"", EDATE(TODAY(), -6), TODAY()), 2, 2)) - 1, """")"),"")</f>
        <v/>
      </c>
      <c r="P44" s="21" t="str">
        <f>IFERROR(__xludf.DUMMYFUNCTION("IFERROR((GOOGLEFINANCE(C44, ""price"") / INDEX(GOOGLEFINANCE(C44, ""price"", EDATE(TODAY(), -12), TODAY()), 2, 2)) - 1, """")"),"")</f>
        <v/>
      </c>
      <c r="Q44" s="6" t="str">
        <f>IFERROR(__xludf.DUMMYFUNCTION("AVERAGE(QUERY(GOOGLEFINANCE(C44, ""price"", TODAY()-80, TODAY()), ""SELECT Col2 WHERE Col2 IS NOT NULL ORDER BY Col1 DESC LIMIT 50"", 0))"),"#N/A")</f>
        <v>#N/A</v>
      </c>
      <c r="R44" s="24" t="str">
        <f>IFERROR(__xludf.DUMMYFUNCTION("IFERROR(
  LET(
    data, QUERY(GOOGLEFINANCE(C44,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GOOGLEFINANCE(C44, ""price"")) * 100,
    IF(calc=0, G44, calc)
  ), 
G44)"),"#N/A")</f>
        <v>#N/A</v>
      </c>
      <c r="S44" s="8" t="s">
        <v>15</v>
      </c>
      <c r="T44" s="26" t="str">
        <f>IFERROR(__xludf.DUMMYFUNCTION("IFERROR(TRANSPOSE(QUERY(IFERROR(SORT(GOOGLEFINANCE(C44, ""price"", WORKDAY(TODAY(), -40), TODAY()), 1, FALSE)), ""select Col2 where Col2 is not null limit 22 label Col2 ''"", 0)), """")"),"")</f>
        <v/>
      </c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8"/>
      <c r="AO44" s="28"/>
      <c r="AP44" s="29"/>
      <c r="AQ44" s="29" t="str">
        <f t="shared" ref="AQ44:BL44" si="48">T44/T$2</f>
        <v>#N/A</v>
      </c>
      <c r="AR44" s="29" t="str">
        <f t="shared" si="48"/>
        <v>#DIV/0!</v>
      </c>
      <c r="AS44" s="29" t="str">
        <f t="shared" si="48"/>
        <v>#DIV/0!</v>
      </c>
      <c r="AT44" s="29" t="str">
        <f t="shared" si="48"/>
        <v>#DIV/0!</v>
      </c>
      <c r="AU44" s="29" t="str">
        <f t="shared" si="48"/>
        <v>#DIV/0!</v>
      </c>
      <c r="AV44" s="29" t="str">
        <f t="shared" si="48"/>
        <v>#DIV/0!</v>
      </c>
      <c r="AW44" s="29" t="str">
        <f t="shared" si="48"/>
        <v>#DIV/0!</v>
      </c>
      <c r="AX44" s="29" t="str">
        <f t="shared" si="48"/>
        <v>#DIV/0!</v>
      </c>
      <c r="AY44" s="29" t="str">
        <f t="shared" si="48"/>
        <v>#DIV/0!</v>
      </c>
      <c r="AZ44" s="29" t="str">
        <f t="shared" si="48"/>
        <v>#DIV/0!</v>
      </c>
      <c r="BA44" s="29" t="str">
        <f t="shared" si="48"/>
        <v>#DIV/0!</v>
      </c>
      <c r="BB44" s="29" t="str">
        <f t="shared" si="48"/>
        <v>#DIV/0!</v>
      </c>
      <c r="BC44" s="29" t="str">
        <f t="shared" si="48"/>
        <v>#DIV/0!</v>
      </c>
      <c r="BD44" s="29" t="str">
        <f t="shared" si="48"/>
        <v>#DIV/0!</v>
      </c>
      <c r="BE44" s="29" t="str">
        <f t="shared" si="48"/>
        <v>#DIV/0!</v>
      </c>
      <c r="BF44" s="29" t="str">
        <f t="shared" si="48"/>
        <v>#DIV/0!</v>
      </c>
      <c r="BG44" s="29" t="str">
        <f t="shared" si="48"/>
        <v>#DIV/0!</v>
      </c>
      <c r="BH44" s="29" t="str">
        <f t="shared" si="48"/>
        <v>#DIV/0!</v>
      </c>
      <c r="BI44" s="29" t="str">
        <f t="shared" si="48"/>
        <v>#DIV/0!</v>
      </c>
      <c r="BJ44" s="29" t="str">
        <f t="shared" si="48"/>
        <v>#DIV/0!</v>
      </c>
      <c r="BK44" s="29" t="str">
        <f t="shared" si="48"/>
        <v>#DIV/0!</v>
      </c>
      <c r="BL44" s="29" t="str">
        <f t="shared" si="48"/>
        <v>#DIV/0!</v>
      </c>
      <c r="BM44" s="29" t="str">
        <f t="shared" si="3"/>
        <v>#DIV/0!</v>
      </c>
    </row>
    <row r="45">
      <c r="A45" s="16" t="str">
        <f>IFERROR(__xludf.DUMMYFUNCTION("IFERROR(SPARKLINE(SORT(MAP(TRANSPOSE(AQ45:BL45), LAMBDA(val, IF(ISNUMBER(val), PERCENTRANK(AQ45:BL45, val)+0.01, 0))), SEQUENCE(COLUMNS(AQ45:BL45)), FALSE), {""charttype"",""column""; ""color"",""chartreuse""; ""ymin"", 0; ""ymax"", 1.01; ""highcolor"", "&amp;"""darkgreen""; ""lowcolor"", ""red""}), """")"),"")</f>
        <v/>
      </c>
      <c r="B45" s="17" t="str">
        <f t="shared" si="4"/>
        <v/>
      </c>
      <c r="C45" s="1" t="s">
        <v>3085</v>
      </c>
      <c r="D45" s="30" t="str">
        <f>IFERROR(__xludf.DUMMYFUNCTION("IFERROR(GOOGLEFINANCE(C45, ""NAME""))"),"Ero Copper Corp")</f>
        <v>Ero Copper Corp</v>
      </c>
      <c r="E45" s="30" t="s">
        <v>3025</v>
      </c>
      <c r="F45" s="33" t="str">
        <f>IFERROR(__xludf.DUMMYFUNCTION("( (GOOGLEFINANCE(C45, ""price"") - Q45) / Q45 ) / (R45 / 100)"),"Loading...")</f>
        <v>Loading...</v>
      </c>
      <c r="G45" s="20" t="str">
        <f>IFERROR(__xludf.DUMMYFUNCTION("AVERAGE(ARRAYFORMULA(100 * (QUERY(GOOGLEFINANCE(C45, ""high"", TODAY()-40, TODAY()), ""SELECT Col2 WHERE Col2 IS NOT NULL ORDER BY Col1 DESC LIMIT 20"", 0) / QUERY(GOOGLEFINANCE(C45, ""low"", TODAY()-40, TODAY()), ""SELECT Col2 WHERE Col2 IS NOT NULL ORDE"&amp;"R BY Col1 DESC LIMIT 20"", 0) - 1)))"),"#N/A")</f>
        <v>#N/A</v>
      </c>
      <c r="H45" s="35" t="str">
        <f t="shared" si="35"/>
        <v>Illiquid</v>
      </c>
      <c r="I45" s="35" t="str">
        <f t="shared" si="7"/>
        <v>RVol Required</v>
      </c>
      <c r="J45" s="37">
        <f>IFERROR(__xludf.DUMMYFUNCTION("IFERROR(
  IF(C45="""",, 
    IFERROR(
      GOOGLEFINANCE(C45, ""price"") * GOOGLEFINANCE(C45, ""volumeavg""), 
      GOOGLEFINANCE(C45, ""price"") * AVERAGE(QUERY(GOOGLEFINANCE(C45, ""volume"", TODAY()-40, TODAY()), ""SELECT Col2 WHERE Col2 IS NOT NULL "&amp;"ORDER BY Col1 DESC LIMIT 20"", 0))
    )
  ), 
"""")"),4.344974367999999E7)</f>
        <v>43449743.68</v>
      </c>
      <c r="K45" s="21">
        <f>IFERROR(__xludf.DUMMYFUNCTION("IFERROR(GOOGLEFINANCE(C45, ""changepct"") / 100, """")"),-0.017)</f>
        <v>-0.017</v>
      </c>
      <c r="L45" s="21" t="str">
        <f>IFERROR(__xludf.DUMMYFUNCTION("IFERROR((GOOGLEFINANCE(C45, ""price"") / INDEX(GOOGLEFINANCE(C45, ""price"", TODAY()-7, TODAY()), 2, 2)) - 1, """")"),"")</f>
        <v/>
      </c>
      <c r="M45" s="21" t="str">
        <f>IFERROR(__xludf.DUMMYFUNCTION("IFERROR((GOOGLEFINANCE(C45, ""price"") / INDEX(GOOGLEFINANCE(C45, ""price"", EDATE(TODAY(), -1), TODAY()), 2, 2)) - 1, """")"),"")</f>
        <v/>
      </c>
      <c r="N45" s="21" t="str">
        <f>IFERROR(__xludf.DUMMYFUNCTION("IFERROR((GOOGLEFINANCE(C45, ""price"") / INDEX(GOOGLEFINANCE(C45, ""price"", EDATE(TODAY(), -3), TODAY()), 2, 2)) - 1, """")"),"")</f>
        <v/>
      </c>
      <c r="O45" s="21" t="str">
        <f>IFERROR(__xludf.DUMMYFUNCTION("IFERROR((GOOGLEFINANCE(C45, ""price"") / INDEX(GOOGLEFINANCE(C45, ""price"", EDATE(TODAY(), -6), TODAY()), 2, 2)) - 1, """")"),"")</f>
        <v/>
      </c>
      <c r="P45" s="21" t="str">
        <f>IFERROR(__xludf.DUMMYFUNCTION("IFERROR((GOOGLEFINANCE(C45, ""price"") / INDEX(GOOGLEFINANCE(C45, ""price"", EDATE(TODAY(), -12), TODAY()), 2, 2)) - 1, """")"),"")</f>
        <v/>
      </c>
      <c r="Q45" s="6" t="str">
        <f>IFERROR(__xludf.DUMMYFUNCTION("AVERAGE(QUERY(GOOGLEFINANCE(C45, ""price"", TODAY()-80, TODAY()), ""SELECT Col2 WHERE Col2 IS NOT NULL ORDER BY Col1 DESC LIMIT 50"", 0))"),"#N/A")</f>
        <v>#N/A</v>
      </c>
      <c r="R45" s="24" t="str">
        <f>IFERROR(__xludf.DUMMYFUNCTION("IFERROR(
  LET(
    data, QUERY(GOOGLEFINANCE(C45,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GOOGLEFINANCE(C45, ""price"")) * 100,
    IF(calc=0, G45, calc)
  ), 
G45)"),"#N/A")</f>
        <v>#N/A</v>
      </c>
      <c r="S45" s="8" t="s">
        <v>15</v>
      </c>
      <c r="T45" s="26" t="str">
        <f>IFERROR(__xludf.DUMMYFUNCTION("IFERROR(TRANSPOSE(QUERY(IFERROR(SORT(GOOGLEFINANCE(C45, ""price"", WORKDAY(TODAY(), -40), TODAY()), 1, FALSE)), ""select Col2 where Col2 is not null limit 22 label Col2 ''"", 0)), """")"),"")</f>
        <v/>
      </c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8"/>
      <c r="AO45" s="28"/>
      <c r="AP45" s="29"/>
      <c r="AQ45" s="29" t="str">
        <f t="shared" ref="AQ45:BL45" si="49">T45/T$2</f>
        <v>#N/A</v>
      </c>
      <c r="AR45" s="29" t="str">
        <f t="shared" si="49"/>
        <v>#DIV/0!</v>
      </c>
      <c r="AS45" s="29" t="str">
        <f t="shared" si="49"/>
        <v>#DIV/0!</v>
      </c>
      <c r="AT45" s="29" t="str">
        <f t="shared" si="49"/>
        <v>#DIV/0!</v>
      </c>
      <c r="AU45" s="29" t="str">
        <f t="shared" si="49"/>
        <v>#DIV/0!</v>
      </c>
      <c r="AV45" s="29" t="str">
        <f t="shared" si="49"/>
        <v>#DIV/0!</v>
      </c>
      <c r="AW45" s="29" t="str">
        <f t="shared" si="49"/>
        <v>#DIV/0!</v>
      </c>
      <c r="AX45" s="29" t="str">
        <f t="shared" si="49"/>
        <v>#DIV/0!</v>
      </c>
      <c r="AY45" s="29" t="str">
        <f t="shared" si="49"/>
        <v>#DIV/0!</v>
      </c>
      <c r="AZ45" s="29" t="str">
        <f t="shared" si="49"/>
        <v>#DIV/0!</v>
      </c>
      <c r="BA45" s="29" t="str">
        <f t="shared" si="49"/>
        <v>#DIV/0!</v>
      </c>
      <c r="BB45" s="29" t="str">
        <f t="shared" si="49"/>
        <v>#DIV/0!</v>
      </c>
      <c r="BC45" s="29" t="str">
        <f t="shared" si="49"/>
        <v>#DIV/0!</v>
      </c>
      <c r="BD45" s="29" t="str">
        <f t="shared" si="49"/>
        <v>#DIV/0!</v>
      </c>
      <c r="BE45" s="29" t="str">
        <f t="shared" si="49"/>
        <v>#DIV/0!</v>
      </c>
      <c r="BF45" s="29" t="str">
        <f t="shared" si="49"/>
        <v>#DIV/0!</v>
      </c>
      <c r="BG45" s="29" t="str">
        <f t="shared" si="49"/>
        <v>#DIV/0!</v>
      </c>
      <c r="BH45" s="29" t="str">
        <f t="shared" si="49"/>
        <v>#DIV/0!</v>
      </c>
      <c r="BI45" s="29" t="str">
        <f t="shared" si="49"/>
        <v>#DIV/0!</v>
      </c>
      <c r="BJ45" s="29" t="str">
        <f t="shared" si="49"/>
        <v>#DIV/0!</v>
      </c>
      <c r="BK45" s="29" t="str">
        <f t="shared" si="49"/>
        <v>#DIV/0!</v>
      </c>
      <c r="BL45" s="29" t="str">
        <f t="shared" si="49"/>
        <v>#DIV/0!</v>
      </c>
      <c r="BM45" s="29" t="str">
        <f t="shared" si="3"/>
        <v>#DIV/0!</v>
      </c>
    </row>
    <row r="46">
      <c r="A46" s="16" t="str">
        <f>IFERROR(__xludf.DUMMYFUNCTION("IFERROR(SPARKLINE(SORT(MAP(TRANSPOSE(AQ46:BL46), LAMBDA(val, IF(ISNUMBER(val), PERCENTRANK(AQ46:BL46, val)+0.01, 0))), SEQUENCE(COLUMNS(AQ46:BL46)), FALSE), {""charttype"",""column""; ""color"",""chartreuse""; ""ymin"", 0; ""ymax"", 1.01; ""highcolor"", "&amp;"""darkgreen""; ""lowcolor"", ""red""}), """")"),"")</f>
        <v/>
      </c>
      <c r="B46" s="17" t="str">
        <f t="shared" si="4"/>
        <v/>
      </c>
      <c r="C46" s="1" t="s">
        <v>3088</v>
      </c>
      <c r="D46" s="30" t="str">
        <f>IFERROR(__xludf.DUMMYFUNCTION("IFERROR(GOOGLEFINANCE(C46, ""NAME""))"),"Hycroft Mining Holding Corp")</f>
        <v>Hycroft Mining Holding Corp</v>
      </c>
      <c r="E46" s="30" t="s">
        <v>2928</v>
      </c>
      <c r="F46" s="33" t="str">
        <f>IFERROR(__xludf.DUMMYFUNCTION("( (GOOGLEFINANCE(C46, ""price"") - Q46) / Q46 ) / (R46 / 100)"),"Loading...")</f>
        <v>Loading...</v>
      </c>
      <c r="G46" s="20" t="str">
        <f>IFERROR(__xludf.DUMMYFUNCTION("AVERAGE(ARRAYFORMULA(100 * (QUERY(GOOGLEFINANCE(C46, ""high"", TODAY()-40, TODAY()), ""SELECT Col2 WHERE Col2 IS NOT NULL ORDER BY Col1 DESC LIMIT 20"", 0) / QUERY(GOOGLEFINANCE(C46, ""low"", TODAY()-40, TODAY()), ""SELECT Col2 WHERE Col2 IS NOT NULL ORDE"&amp;"R BY Col1 DESC LIMIT 20"", 0) - 1)))"),"#N/A")</f>
        <v>#N/A</v>
      </c>
      <c r="H46" s="35" t="str">
        <f t="shared" si="35"/>
        <v>Illiquid</v>
      </c>
      <c r="I46" s="35" t="str">
        <f t="shared" si="7"/>
        <v>RVol Required</v>
      </c>
      <c r="J46" s="37">
        <f>IFERROR(__xludf.DUMMYFUNCTION("IFERROR(
  IF(C46="""",, 
    IFERROR(
      GOOGLEFINANCE(C46, ""price"") * GOOGLEFINANCE(C46, ""volumeavg""), 
      GOOGLEFINANCE(C46, ""price"") * AVERAGE(QUERY(GOOGLEFINANCE(C46, ""volume"", TODAY()-40, TODAY()), ""SELECT Col2 WHERE Col2 IS NOT NULL "&amp;"ORDER BY Col1 DESC LIMIT 20"", 0))
    )
  ), 
"""")"),3.6111995510000005E7)</f>
        <v>36111995.51</v>
      </c>
      <c r="K46" s="21">
        <f>IFERROR(__xludf.DUMMYFUNCTION("IFERROR(GOOGLEFINANCE(C46, ""changepct"") / 100, """")"),-0.0144)</f>
        <v>-0.0144</v>
      </c>
      <c r="L46" s="21" t="str">
        <f>IFERROR(__xludf.DUMMYFUNCTION("IFERROR((GOOGLEFINANCE(C46, ""price"") / INDEX(GOOGLEFINANCE(C46, ""price"", TODAY()-7, TODAY()), 2, 2)) - 1, """")"),"")</f>
        <v/>
      </c>
      <c r="M46" s="21" t="str">
        <f>IFERROR(__xludf.DUMMYFUNCTION("IFERROR((GOOGLEFINANCE(C46, ""price"") / INDEX(GOOGLEFINANCE(C46, ""price"", EDATE(TODAY(), -1), TODAY()), 2, 2)) - 1, """")"),"")</f>
        <v/>
      </c>
      <c r="N46" s="21" t="str">
        <f>IFERROR(__xludf.DUMMYFUNCTION("IFERROR((GOOGLEFINANCE(C46, ""price"") / INDEX(GOOGLEFINANCE(C46, ""price"", EDATE(TODAY(), -3), TODAY()), 2, 2)) - 1, """")"),"")</f>
        <v/>
      </c>
      <c r="O46" s="21" t="str">
        <f>IFERROR(__xludf.DUMMYFUNCTION("IFERROR((GOOGLEFINANCE(C46, ""price"") / INDEX(GOOGLEFINANCE(C46, ""price"", EDATE(TODAY(), -6), TODAY()), 2, 2)) - 1, """")"),"")</f>
        <v/>
      </c>
      <c r="P46" s="21" t="str">
        <f>IFERROR(__xludf.DUMMYFUNCTION("IFERROR((GOOGLEFINANCE(C46, ""price"") / INDEX(GOOGLEFINANCE(C46, ""price"", EDATE(TODAY(), -12), TODAY()), 2, 2)) - 1, """")"),"")</f>
        <v/>
      </c>
      <c r="Q46" s="6" t="str">
        <f>IFERROR(__xludf.DUMMYFUNCTION("AVERAGE(QUERY(GOOGLEFINANCE(C46, ""price"", TODAY()-80, TODAY()), ""SELECT Col2 WHERE Col2 IS NOT NULL ORDER BY Col1 DESC LIMIT 50"", 0))"),"#N/A")</f>
        <v>#N/A</v>
      </c>
      <c r="R46" s="24" t="str">
        <f>IFERROR(__xludf.DUMMYFUNCTION("IFERROR(
  LET(
    data, QUERY(GOOGLEFINANCE(C46,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GOOGLEFINANCE(C46, ""price"")) * 100,
    IF(calc=0, G46, calc)
  ), 
G46)"),"#N/A")</f>
        <v>#N/A</v>
      </c>
      <c r="S46" s="8" t="s">
        <v>15</v>
      </c>
      <c r="T46" s="26" t="str">
        <f>IFERROR(__xludf.DUMMYFUNCTION("IFERROR(TRANSPOSE(QUERY(IFERROR(SORT(GOOGLEFINANCE(C46, ""price"", WORKDAY(TODAY(), -40), TODAY()), 1, FALSE)), ""select Col2 where Col2 is not null limit 22 label Col2 ''"", 0)), """")"),"")</f>
        <v/>
      </c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8"/>
      <c r="AO46" s="28"/>
      <c r="AP46" s="29"/>
      <c r="AQ46" s="29" t="str">
        <f t="shared" ref="AQ46:BL46" si="50">T46/T$2</f>
        <v>#N/A</v>
      </c>
      <c r="AR46" s="29" t="str">
        <f t="shared" si="50"/>
        <v>#DIV/0!</v>
      </c>
      <c r="AS46" s="29" t="str">
        <f t="shared" si="50"/>
        <v>#DIV/0!</v>
      </c>
      <c r="AT46" s="29" t="str">
        <f t="shared" si="50"/>
        <v>#DIV/0!</v>
      </c>
      <c r="AU46" s="29" t="str">
        <f t="shared" si="50"/>
        <v>#DIV/0!</v>
      </c>
      <c r="AV46" s="29" t="str">
        <f t="shared" si="50"/>
        <v>#DIV/0!</v>
      </c>
      <c r="AW46" s="29" t="str">
        <f t="shared" si="50"/>
        <v>#DIV/0!</v>
      </c>
      <c r="AX46" s="29" t="str">
        <f t="shared" si="50"/>
        <v>#DIV/0!</v>
      </c>
      <c r="AY46" s="29" t="str">
        <f t="shared" si="50"/>
        <v>#DIV/0!</v>
      </c>
      <c r="AZ46" s="29" t="str">
        <f t="shared" si="50"/>
        <v>#DIV/0!</v>
      </c>
      <c r="BA46" s="29" t="str">
        <f t="shared" si="50"/>
        <v>#DIV/0!</v>
      </c>
      <c r="BB46" s="29" t="str">
        <f t="shared" si="50"/>
        <v>#DIV/0!</v>
      </c>
      <c r="BC46" s="29" t="str">
        <f t="shared" si="50"/>
        <v>#DIV/0!</v>
      </c>
      <c r="BD46" s="29" t="str">
        <f t="shared" si="50"/>
        <v>#DIV/0!</v>
      </c>
      <c r="BE46" s="29" t="str">
        <f t="shared" si="50"/>
        <v>#DIV/0!</v>
      </c>
      <c r="BF46" s="29" t="str">
        <f t="shared" si="50"/>
        <v>#DIV/0!</v>
      </c>
      <c r="BG46" s="29" t="str">
        <f t="shared" si="50"/>
        <v>#DIV/0!</v>
      </c>
      <c r="BH46" s="29" t="str">
        <f t="shared" si="50"/>
        <v>#DIV/0!</v>
      </c>
      <c r="BI46" s="29" t="str">
        <f t="shared" si="50"/>
        <v>#DIV/0!</v>
      </c>
      <c r="BJ46" s="29" t="str">
        <f t="shared" si="50"/>
        <v>#DIV/0!</v>
      </c>
      <c r="BK46" s="29" t="str">
        <f t="shared" si="50"/>
        <v>#DIV/0!</v>
      </c>
      <c r="BL46" s="29" t="str">
        <f t="shared" si="50"/>
        <v>#DIV/0!</v>
      </c>
      <c r="BM46" s="29" t="str">
        <f t="shared" si="3"/>
        <v>#DIV/0!</v>
      </c>
    </row>
    <row r="47">
      <c r="A47" s="16" t="str">
        <f>IFERROR(__xludf.DUMMYFUNCTION("IFERROR(SPARKLINE(SORT(MAP(TRANSPOSE(AQ47:BL47), LAMBDA(val, IF(ISNUMBER(val), PERCENTRANK(AQ47:BL47, val)+0.01, 0))), SEQUENCE(COLUMNS(AQ47:BL47)), FALSE), {""charttype"",""column""; ""color"",""chartreuse""; ""ymin"", 0; ""ymax"", 1.01; ""highcolor"", "&amp;"""darkgreen""; ""lowcolor"", ""red""}), """")"),"")</f>
        <v/>
      </c>
      <c r="B47" s="17" t="str">
        <f t="shared" si="4"/>
        <v/>
      </c>
      <c r="C47" s="1" t="s">
        <v>3091</v>
      </c>
      <c r="D47" s="30" t="str">
        <f>IFERROR(__xludf.DUMMYFUNCTION("IFERROR(GOOGLEFINANCE(C47, ""NAME""))"),"Solaris Resources Inc")</f>
        <v>Solaris Resources Inc</v>
      </c>
      <c r="E47" s="30" t="s">
        <v>3008</v>
      </c>
      <c r="F47" s="33" t="str">
        <f>IFERROR(__xludf.DUMMYFUNCTION("( (GOOGLEFINANCE(C47, ""price"") - Q47) / Q47 ) / (R47 / 100)"),"Loading...")</f>
        <v>Loading...</v>
      </c>
      <c r="G47" s="20" t="str">
        <f>IFERROR(__xludf.DUMMYFUNCTION("AVERAGE(ARRAYFORMULA(100 * (QUERY(GOOGLEFINANCE(C47, ""high"", TODAY()-40, TODAY()), ""SELECT Col2 WHERE Col2 IS NOT NULL ORDER BY Col1 DESC LIMIT 20"", 0) / QUERY(GOOGLEFINANCE(C47, ""low"", TODAY()-40, TODAY()), ""SELECT Col2 WHERE Col2 IS NOT NULL ORDE"&amp;"R BY Col1 DESC LIMIT 20"", 0) - 1)))"),"#N/A")</f>
        <v>#N/A</v>
      </c>
      <c r="H47" s="35" t="str">
        <f t="shared" si="35"/>
        <v>Illiquid</v>
      </c>
      <c r="I47" s="35" t="str">
        <f t="shared" si="7"/>
        <v>RVol Required</v>
      </c>
      <c r="J47" s="37">
        <f>IFERROR(__xludf.DUMMYFUNCTION("IFERROR(
  IF(C47="""",, 
    IFERROR(
      GOOGLEFINANCE(C47, ""price"") * GOOGLEFINANCE(C47, ""volumeavg""), 
      GOOGLEFINANCE(C47, ""price"") * AVERAGE(QUERY(GOOGLEFINANCE(C47, ""volume"", TODAY()-40, TODAY()), ""SELECT Col2 WHERE Col2 IS NOT NULL "&amp;"ORDER BY Col1 DESC LIMIT 20"", 0))
    )
  ), 
"""")"),1018980.0)</f>
        <v>1018980</v>
      </c>
      <c r="K47" s="21">
        <f>IFERROR(__xludf.DUMMYFUNCTION("IFERROR(GOOGLEFINANCE(C47, ""changepct"") / 100, """")"),0.041299999999999996)</f>
        <v>0.0413</v>
      </c>
      <c r="L47" s="21" t="str">
        <f>IFERROR(__xludf.DUMMYFUNCTION("IFERROR((GOOGLEFINANCE(C47, ""price"") / INDEX(GOOGLEFINANCE(C47, ""price"", TODAY()-7, TODAY()), 2, 2)) - 1, """")"),"")</f>
        <v/>
      </c>
      <c r="M47" s="21" t="str">
        <f>IFERROR(__xludf.DUMMYFUNCTION("IFERROR((GOOGLEFINANCE(C47, ""price"") / INDEX(GOOGLEFINANCE(C47, ""price"", EDATE(TODAY(), -1), TODAY()), 2, 2)) - 1, """")"),"")</f>
        <v/>
      </c>
      <c r="N47" s="21" t="str">
        <f>IFERROR(__xludf.DUMMYFUNCTION("IFERROR((GOOGLEFINANCE(C47, ""price"") / INDEX(GOOGLEFINANCE(C47, ""price"", EDATE(TODAY(), -3), TODAY()), 2, 2)) - 1, """")"),"")</f>
        <v/>
      </c>
      <c r="O47" s="21" t="str">
        <f>IFERROR(__xludf.DUMMYFUNCTION("IFERROR((GOOGLEFINANCE(C47, ""price"") / INDEX(GOOGLEFINANCE(C47, ""price"", EDATE(TODAY(), -6), TODAY()), 2, 2)) - 1, """")"),"")</f>
        <v/>
      </c>
      <c r="P47" s="21" t="str">
        <f>IFERROR(__xludf.DUMMYFUNCTION("IFERROR((GOOGLEFINANCE(C47, ""price"") / INDEX(GOOGLEFINANCE(C47, ""price"", EDATE(TODAY(), -12), TODAY()), 2, 2)) - 1, """")"),"")</f>
        <v/>
      </c>
      <c r="Q47" s="6" t="str">
        <f>IFERROR(__xludf.DUMMYFUNCTION("AVERAGE(QUERY(GOOGLEFINANCE(C47, ""price"", TODAY()-80, TODAY()), ""SELECT Col2 WHERE Col2 IS NOT NULL ORDER BY Col1 DESC LIMIT 50"", 0))"),"#N/A")</f>
        <v>#N/A</v>
      </c>
      <c r="R47" s="24" t="str">
        <f>IFERROR(__xludf.DUMMYFUNCTION("IFERROR(
  LET(
    data, QUERY(GOOGLEFINANCE(C47,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GOOGLEFINANCE(C47, ""price"")) * 100,
    IF(calc=0, G47, calc)
  ), 
G47)"),"#N/A")</f>
        <v>#N/A</v>
      </c>
      <c r="S47" s="8" t="s">
        <v>15</v>
      </c>
      <c r="T47" s="26" t="str">
        <f>IFERROR(__xludf.DUMMYFUNCTION("IFERROR(TRANSPOSE(QUERY(IFERROR(SORT(GOOGLEFINANCE(C47, ""price"", WORKDAY(TODAY(), -40), TODAY()), 1, FALSE)), ""select Col2 where Col2 is not null limit 22 label Col2 ''"", 0)), """")"),"")</f>
        <v/>
      </c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8"/>
      <c r="AO47" s="28"/>
      <c r="AP47" s="29"/>
      <c r="AQ47" s="29" t="str">
        <f t="shared" ref="AQ47:BL47" si="51">T47/T$2</f>
        <v>#N/A</v>
      </c>
      <c r="AR47" s="29" t="str">
        <f t="shared" si="51"/>
        <v>#DIV/0!</v>
      </c>
      <c r="AS47" s="29" t="str">
        <f t="shared" si="51"/>
        <v>#DIV/0!</v>
      </c>
      <c r="AT47" s="29" t="str">
        <f t="shared" si="51"/>
        <v>#DIV/0!</v>
      </c>
      <c r="AU47" s="29" t="str">
        <f t="shared" si="51"/>
        <v>#DIV/0!</v>
      </c>
      <c r="AV47" s="29" t="str">
        <f t="shared" si="51"/>
        <v>#DIV/0!</v>
      </c>
      <c r="AW47" s="29" t="str">
        <f t="shared" si="51"/>
        <v>#DIV/0!</v>
      </c>
      <c r="AX47" s="29" t="str">
        <f t="shared" si="51"/>
        <v>#DIV/0!</v>
      </c>
      <c r="AY47" s="29" t="str">
        <f t="shared" si="51"/>
        <v>#DIV/0!</v>
      </c>
      <c r="AZ47" s="29" t="str">
        <f t="shared" si="51"/>
        <v>#DIV/0!</v>
      </c>
      <c r="BA47" s="29" t="str">
        <f t="shared" si="51"/>
        <v>#DIV/0!</v>
      </c>
      <c r="BB47" s="29" t="str">
        <f t="shared" si="51"/>
        <v>#DIV/0!</v>
      </c>
      <c r="BC47" s="29" t="str">
        <f t="shared" si="51"/>
        <v>#DIV/0!</v>
      </c>
      <c r="BD47" s="29" t="str">
        <f t="shared" si="51"/>
        <v>#DIV/0!</v>
      </c>
      <c r="BE47" s="29" t="str">
        <f t="shared" si="51"/>
        <v>#DIV/0!</v>
      </c>
      <c r="BF47" s="29" t="str">
        <f t="shared" si="51"/>
        <v>#DIV/0!</v>
      </c>
      <c r="BG47" s="29" t="str">
        <f t="shared" si="51"/>
        <v>#DIV/0!</v>
      </c>
      <c r="BH47" s="29" t="str">
        <f t="shared" si="51"/>
        <v>#DIV/0!</v>
      </c>
      <c r="BI47" s="29" t="str">
        <f t="shared" si="51"/>
        <v>#DIV/0!</v>
      </c>
      <c r="BJ47" s="29" t="str">
        <f t="shared" si="51"/>
        <v>#DIV/0!</v>
      </c>
      <c r="BK47" s="29" t="str">
        <f t="shared" si="51"/>
        <v>#DIV/0!</v>
      </c>
      <c r="BL47" s="29" t="str">
        <f t="shared" si="51"/>
        <v>#DIV/0!</v>
      </c>
      <c r="BM47" s="29" t="str">
        <f t="shared" si="3"/>
        <v>#DIV/0!</v>
      </c>
    </row>
    <row r="48">
      <c r="A48" s="16" t="str">
        <f>IFERROR(__xludf.DUMMYFUNCTION("IFERROR(SPARKLINE(SORT(MAP(TRANSPOSE(AQ48:BL48), LAMBDA(val, IF(ISNUMBER(val), PERCENTRANK(AQ48:BL48, val)+0.01, 0))), SEQUENCE(COLUMNS(AQ48:BL48)), FALSE), {""charttype"",""column""; ""color"",""chartreuse""; ""ymin"", 0; ""ymax"", 1.01; ""highcolor"", "&amp;"""darkgreen""; ""lowcolor"", ""red""}), """")"),"")</f>
        <v/>
      </c>
      <c r="B48" s="17" t="str">
        <f t="shared" si="4"/>
        <v/>
      </c>
      <c r="C48" s="1" t="s">
        <v>3094</v>
      </c>
      <c r="D48" s="30" t="str">
        <f>IFERROR(__xludf.DUMMYFUNCTION("IFERROR(GOOGLEFINANCE(C48, ""NAME""))"),"Iperionx Ltd")</f>
        <v>Iperionx Ltd</v>
      </c>
      <c r="E48" s="30" t="s">
        <v>2935</v>
      </c>
      <c r="F48" s="38" t="str">
        <f>IFERROR(__xludf.DUMMYFUNCTION("( (GOOGLEFINANCE(C48, ""price"") - Q48) / Q48 ) / (R48 / 100)"),"Loading...")</f>
        <v>Loading...</v>
      </c>
      <c r="G48" s="20" t="str">
        <f>IFERROR(__xludf.DUMMYFUNCTION("AVERAGE(ARRAYFORMULA(100 * (QUERY(GOOGLEFINANCE(C48, ""high"", TODAY()-40, TODAY()), ""SELECT Col2 WHERE Col2 IS NOT NULL ORDER BY Col1 DESC LIMIT 20"", 0) / QUERY(GOOGLEFINANCE(C48, ""low"", TODAY()-40, TODAY()), ""SELECT Col2 WHERE Col2 IS NOT NULL ORDE"&amp;"R BY Col1 DESC LIMIT 20"", 0) - 1)))"),"#N/A")</f>
        <v>#N/A</v>
      </c>
      <c r="H48" s="35" t="str">
        <f t="shared" si="35"/>
        <v>Illiquid</v>
      </c>
      <c r="I48" s="35" t="str">
        <f t="shared" si="7"/>
        <v>RVol Required</v>
      </c>
      <c r="J48" s="37">
        <f>IFERROR(__xludf.DUMMYFUNCTION("IFERROR(
  IF(C48="""",, 
    IFERROR(
      GOOGLEFINANCE(C48, ""price"") * GOOGLEFINANCE(C48, ""volumeavg""), 
      GOOGLEFINANCE(C48, ""price"") * AVERAGE(QUERY(GOOGLEFINANCE(C48, ""volume"", TODAY()-40, TODAY()), ""SELECT Col2 WHERE Col2 IS NOT NULL "&amp;"ORDER BY Col1 DESC LIMIT 20"", 0))
    )
  ), 
"""")"),4953939.8)</f>
        <v>4953939.8</v>
      </c>
      <c r="K48" s="21">
        <f>IFERROR(__xludf.DUMMYFUNCTION("IFERROR(GOOGLEFINANCE(C48, ""changepct"") / 100, """")"),-0.0146)</f>
        <v>-0.0146</v>
      </c>
      <c r="L48" s="21" t="str">
        <f>IFERROR(__xludf.DUMMYFUNCTION("IFERROR((GOOGLEFINANCE(C48, ""price"") / INDEX(GOOGLEFINANCE(C48, ""price"", TODAY()-7, TODAY()), 2, 2)) - 1, """")"),"")</f>
        <v/>
      </c>
      <c r="M48" s="21" t="str">
        <f>IFERROR(__xludf.DUMMYFUNCTION("IFERROR((GOOGLEFINANCE(C48, ""price"") / INDEX(GOOGLEFINANCE(C48, ""price"", EDATE(TODAY(), -1), TODAY()), 2, 2)) - 1, """")"),"")</f>
        <v/>
      </c>
      <c r="N48" s="21" t="str">
        <f>IFERROR(__xludf.DUMMYFUNCTION("IFERROR((GOOGLEFINANCE(C48, ""price"") / INDEX(GOOGLEFINANCE(C48, ""price"", EDATE(TODAY(), -3), TODAY()), 2, 2)) - 1, """")"),"")</f>
        <v/>
      </c>
      <c r="O48" s="21" t="str">
        <f>IFERROR(__xludf.DUMMYFUNCTION("IFERROR((GOOGLEFINANCE(C48, ""price"") / INDEX(GOOGLEFINANCE(C48, ""price"", EDATE(TODAY(), -6), TODAY()), 2, 2)) - 1, """")"),"")</f>
        <v/>
      </c>
      <c r="P48" s="21" t="str">
        <f>IFERROR(__xludf.DUMMYFUNCTION("IFERROR((GOOGLEFINANCE(C48, ""price"") / INDEX(GOOGLEFINANCE(C48, ""price"", EDATE(TODAY(), -12), TODAY()), 2, 2)) - 1, """")"),"")</f>
        <v/>
      </c>
      <c r="Q48" s="6" t="str">
        <f>IFERROR(__xludf.DUMMYFUNCTION("AVERAGE(QUERY(GOOGLEFINANCE(C48, ""price"", TODAY()-80, TODAY()), ""SELECT Col2 WHERE Col2 IS NOT NULL ORDER BY Col1 DESC LIMIT 50"", 0))"),"#N/A")</f>
        <v>#N/A</v>
      </c>
      <c r="R48" s="24" t="str">
        <f>IFERROR(__xludf.DUMMYFUNCTION("IFERROR(
  LET(
    data, QUERY(GOOGLEFINANCE(C48,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GOOGLEFINANCE(C48, ""price"")) * 100,
    IF(calc=0, G48, calc)
  ), 
G48)"),"#N/A")</f>
        <v>#N/A</v>
      </c>
      <c r="S48" s="8" t="s">
        <v>15</v>
      </c>
      <c r="T48" s="26" t="str">
        <f>IFERROR(__xludf.DUMMYFUNCTION("IFERROR(TRANSPOSE(QUERY(IFERROR(SORT(GOOGLEFINANCE(C48, ""price"", WORKDAY(TODAY(), -40), TODAY()), 1, FALSE)), ""select Col2 where Col2 is not null limit 22 label Col2 ''"", 0)), """")"),"")</f>
        <v/>
      </c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8"/>
      <c r="AO48" s="28"/>
      <c r="AP48" s="29"/>
      <c r="AQ48" s="29" t="str">
        <f t="shared" ref="AQ48:BL48" si="52">T48/T$2</f>
        <v>#N/A</v>
      </c>
      <c r="AR48" s="29" t="str">
        <f t="shared" si="52"/>
        <v>#DIV/0!</v>
      </c>
      <c r="AS48" s="29" t="str">
        <f t="shared" si="52"/>
        <v>#DIV/0!</v>
      </c>
      <c r="AT48" s="29" t="str">
        <f t="shared" si="52"/>
        <v>#DIV/0!</v>
      </c>
      <c r="AU48" s="29" t="str">
        <f t="shared" si="52"/>
        <v>#DIV/0!</v>
      </c>
      <c r="AV48" s="29" t="str">
        <f t="shared" si="52"/>
        <v>#DIV/0!</v>
      </c>
      <c r="AW48" s="29" t="str">
        <f t="shared" si="52"/>
        <v>#DIV/0!</v>
      </c>
      <c r="AX48" s="29" t="str">
        <f t="shared" si="52"/>
        <v>#DIV/0!</v>
      </c>
      <c r="AY48" s="29" t="str">
        <f t="shared" si="52"/>
        <v>#DIV/0!</v>
      </c>
      <c r="AZ48" s="29" t="str">
        <f t="shared" si="52"/>
        <v>#DIV/0!</v>
      </c>
      <c r="BA48" s="29" t="str">
        <f t="shared" si="52"/>
        <v>#DIV/0!</v>
      </c>
      <c r="BB48" s="29" t="str">
        <f t="shared" si="52"/>
        <v>#DIV/0!</v>
      </c>
      <c r="BC48" s="29" t="str">
        <f t="shared" si="52"/>
        <v>#DIV/0!</v>
      </c>
      <c r="BD48" s="29" t="str">
        <f t="shared" si="52"/>
        <v>#DIV/0!</v>
      </c>
      <c r="BE48" s="29" t="str">
        <f t="shared" si="52"/>
        <v>#DIV/0!</v>
      </c>
      <c r="BF48" s="29" t="str">
        <f t="shared" si="52"/>
        <v>#DIV/0!</v>
      </c>
      <c r="BG48" s="29" t="str">
        <f t="shared" si="52"/>
        <v>#DIV/0!</v>
      </c>
      <c r="BH48" s="29" t="str">
        <f t="shared" si="52"/>
        <v>#DIV/0!</v>
      </c>
      <c r="BI48" s="29" t="str">
        <f t="shared" si="52"/>
        <v>#DIV/0!</v>
      </c>
      <c r="BJ48" s="29" t="str">
        <f t="shared" si="52"/>
        <v>#DIV/0!</v>
      </c>
      <c r="BK48" s="29" t="str">
        <f t="shared" si="52"/>
        <v>#DIV/0!</v>
      </c>
      <c r="BL48" s="29" t="str">
        <f t="shared" si="52"/>
        <v>#DIV/0!</v>
      </c>
      <c r="BM48" s="29" t="str">
        <f t="shared" si="3"/>
        <v>#DIV/0!</v>
      </c>
    </row>
    <row r="49">
      <c r="A49" s="16" t="str">
        <f>IFERROR(__xludf.DUMMYFUNCTION("IFERROR(SPARKLINE(SORT(MAP(TRANSPOSE(AQ49:BL49), LAMBDA(val, IF(ISNUMBER(val), PERCENTRANK(AQ49:BL49, val)+0.01, 0))), SEQUENCE(COLUMNS(AQ49:BL49)), FALSE), {""charttype"",""column""; ""color"",""chartreuse""; ""ymin"", 0; ""ymax"", 1.01; ""highcolor"", "&amp;"""darkgreen""; ""lowcolor"", ""red""}), """")"),"")</f>
        <v/>
      </c>
      <c r="B49" s="17" t="str">
        <f t="shared" si="4"/>
        <v/>
      </c>
      <c r="C49" s="1" t="s">
        <v>3097</v>
      </c>
      <c r="D49" s="30" t="str">
        <f>IFERROR(__xludf.DUMMYFUNCTION("IFERROR(GOOGLEFINANCE(C49, ""NAME""))"),"Cemex SAB de CV ADR")</f>
        <v>Cemex SAB de CV ADR</v>
      </c>
      <c r="E49" s="30" t="s">
        <v>3098</v>
      </c>
      <c r="F49" s="33" t="str">
        <f>IFERROR(__xludf.DUMMYFUNCTION("( (GOOGLEFINANCE(C49, ""price"") - Q49) / Q49 ) / (R49 / 100)"),"Loading...")</f>
        <v>Loading...</v>
      </c>
      <c r="G49" s="20" t="str">
        <f>IFERROR(__xludf.DUMMYFUNCTION("AVERAGE(ARRAYFORMULA(100 * (QUERY(GOOGLEFINANCE(C49, ""high"", TODAY()-40, TODAY()), ""SELECT Col2 WHERE Col2 IS NOT NULL ORDER BY Col1 DESC LIMIT 20"", 0) / QUERY(GOOGLEFINANCE(C49, ""low"", TODAY()-40, TODAY()), ""SELECT Col2 WHERE Col2 IS NOT NULL ORDE"&amp;"R BY Col1 DESC LIMIT 20"", 0) - 1)))"),"#N/A")</f>
        <v>#N/A</v>
      </c>
      <c r="H49" s="35" t="str">
        <f t="shared" si="35"/>
        <v>Liquid</v>
      </c>
      <c r="I49" s="35" t="str">
        <f t="shared" si="7"/>
        <v>RVol Required</v>
      </c>
      <c r="J49" s="37">
        <f>IFERROR(__xludf.DUMMYFUNCTION("IFERROR(
  IF(C49="""",, 
    IFERROR(
      GOOGLEFINANCE(C49, ""price"") * GOOGLEFINANCE(C49, ""volumeavg""), 
      GOOGLEFINANCE(C49, ""price"") * AVERAGE(QUERY(GOOGLEFINANCE(C49, ""volume"", TODAY()-40, TODAY()), ""SELECT Col2 WHERE Col2 IS NOT NULL "&amp;"ORDER BY Col1 DESC LIMIT 20"", 0))
    )
  ), 
"""")"),6.906662175E7)</f>
        <v>69066621.75</v>
      </c>
      <c r="K49" s="21">
        <f>IFERROR(__xludf.DUMMYFUNCTION("IFERROR(GOOGLEFINANCE(C49, ""changepct"") / 100, """")"),0.0189)</f>
        <v>0.0189</v>
      </c>
      <c r="L49" s="21" t="str">
        <f>IFERROR(__xludf.DUMMYFUNCTION("IFERROR((GOOGLEFINANCE(C49, ""price"") / INDEX(GOOGLEFINANCE(C49, ""price"", TODAY()-7, TODAY()), 2, 2)) - 1, """")"),"")</f>
        <v/>
      </c>
      <c r="M49" s="21" t="str">
        <f>IFERROR(__xludf.DUMMYFUNCTION("IFERROR((GOOGLEFINANCE(C49, ""price"") / INDEX(GOOGLEFINANCE(C49, ""price"", EDATE(TODAY(), -1), TODAY()), 2, 2)) - 1, """")"),"")</f>
        <v/>
      </c>
      <c r="N49" s="21" t="str">
        <f>IFERROR(__xludf.DUMMYFUNCTION("IFERROR((GOOGLEFINANCE(C49, ""price"") / INDEX(GOOGLEFINANCE(C49, ""price"", EDATE(TODAY(), -3), TODAY()), 2, 2)) - 1, """")"),"")</f>
        <v/>
      </c>
      <c r="O49" s="21" t="str">
        <f>IFERROR(__xludf.DUMMYFUNCTION("IFERROR((GOOGLEFINANCE(C49, ""price"") / INDEX(GOOGLEFINANCE(C49, ""price"", EDATE(TODAY(), -6), TODAY()), 2, 2)) - 1, """")"),"")</f>
        <v/>
      </c>
      <c r="P49" s="21" t="str">
        <f>IFERROR(__xludf.DUMMYFUNCTION("IFERROR((GOOGLEFINANCE(C49, ""price"") / INDEX(GOOGLEFINANCE(C49, ""price"", EDATE(TODAY(), -12), TODAY()), 2, 2)) - 1, """")"),"")</f>
        <v/>
      </c>
      <c r="Q49" s="6" t="str">
        <f>IFERROR(__xludf.DUMMYFUNCTION("AVERAGE(QUERY(GOOGLEFINANCE(C49, ""price"", TODAY()-80, TODAY()), ""SELECT Col2 WHERE Col2 IS NOT NULL ORDER BY Col1 DESC LIMIT 50"", 0))"),"#N/A")</f>
        <v>#N/A</v>
      </c>
      <c r="R49" s="24" t="str">
        <f>IFERROR(__xludf.DUMMYFUNCTION("IFERROR(
  LET(
    data, QUERY(GOOGLEFINANCE(C49,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GOOGLEFINANCE(C49, ""price"")) * 100,
    IF(calc=0, G49, calc)
  ), 
G49)"),"#N/A")</f>
        <v>#N/A</v>
      </c>
      <c r="S49" s="8" t="s">
        <v>15</v>
      </c>
      <c r="T49" s="26" t="str">
        <f>IFERROR(__xludf.DUMMYFUNCTION("IFERROR(TRANSPOSE(QUERY(IFERROR(SORT(GOOGLEFINANCE(C49, ""price"", WORKDAY(TODAY(), -40), TODAY()), 1, FALSE)), ""select Col2 where Col2 is not null limit 22 label Col2 ''"", 0)), """")"),"")</f>
        <v/>
      </c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8"/>
      <c r="AO49" s="28"/>
      <c r="AP49" s="29"/>
      <c r="AQ49" s="29" t="str">
        <f t="shared" ref="AQ49:BL49" si="53">T49/T$2</f>
        <v>#N/A</v>
      </c>
      <c r="AR49" s="29" t="str">
        <f t="shared" si="53"/>
        <v>#DIV/0!</v>
      </c>
      <c r="AS49" s="29" t="str">
        <f t="shared" si="53"/>
        <v>#DIV/0!</v>
      </c>
      <c r="AT49" s="29" t="str">
        <f t="shared" si="53"/>
        <v>#DIV/0!</v>
      </c>
      <c r="AU49" s="29" t="str">
        <f t="shared" si="53"/>
        <v>#DIV/0!</v>
      </c>
      <c r="AV49" s="29" t="str">
        <f t="shared" si="53"/>
        <v>#DIV/0!</v>
      </c>
      <c r="AW49" s="29" t="str">
        <f t="shared" si="53"/>
        <v>#DIV/0!</v>
      </c>
      <c r="AX49" s="29" t="str">
        <f t="shared" si="53"/>
        <v>#DIV/0!</v>
      </c>
      <c r="AY49" s="29" t="str">
        <f t="shared" si="53"/>
        <v>#DIV/0!</v>
      </c>
      <c r="AZ49" s="29" t="str">
        <f t="shared" si="53"/>
        <v>#DIV/0!</v>
      </c>
      <c r="BA49" s="29" t="str">
        <f t="shared" si="53"/>
        <v>#DIV/0!</v>
      </c>
      <c r="BB49" s="29" t="str">
        <f t="shared" si="53"/>
        <v>#DIV/0!</v>
      </c>
      <c r="BC49" s="29" t="str">
        <f t="shared" si="53"/>
        <v>#DIV/0!</v>
      </c>
      <c r="BD49" s="29" t="str">
        <f t="shared" si="53"/>
        <v>#DIV/0!</v>
      </c>
      <c r="BE49" s="29" t="str">
        <f t="shared" si="53"/>
        <v>#DIV/0!</v>
      </c>
      <c r="BF49" s="29" t="str">
        <f t="shared" si="53"/>
        <v>#DIV/0!</v>
      </c>
      <c r="BG49" s="29" t="str">
        <f t="shared" si="53"/>
        <v>#DIV/0!</v>
      </c>
      <c r="BH49" s="29" t="str">
        <f t="shared" si="53"/>
        <v>#DIV/0!</v>
      </c>
      <c r="BI49" s="29" t="str">
        <f t="shared" si="53"/>
        <v>#DIV/0!</v>
      </c>
      <c r="BJ49" s="29" t="str">
        <f t="shared" si="53"/>
        <v>#DIV/0!</v>
      </c>
      <c r="BK49" s="29" t="str">
        <f t="shared" si="53"/>
        <v>#DIV/0!</v>
      </c>
      <c r="BL49" s="29" t="str">
        <f t="shared" si="53"/>
        <v>#DIV/0!</v>
      </c>
      <c r="BM49" s="29" t="str">
        <f t="shared" si="3"/>
        <v>#DIV/0!</v>
      </c>
    </row>
    <row r="50">
      <c r="A50" s="16" t="str">
        <f>IFERROR(__xludf.DUMMYFUNCTION("IFERROR(SPARKLINE(SORT(MAP(TRANSPOSE(AQ50:BL50), LAMBDA(val, IF(ISNUMBER(val), PERCENTRANK(AQ50:BL50, val)+0.01, 0))), SEQUENCE(COLUMNS(AQ50:BL50)), FALSE), {""charttype"",""column""; ""color"",""chartreuse""; ""ymin"", 0; ""ymax"", 1.01; ""highcolor"", "&amp;"""darkgreen""; ""lowcolor"", ""red""}), """")"),"")</f>
        <v/>
      </c>
      <c r="B50" s="17" t="str">
        <f t="shared" si="4"/>
        <v/>
      </c>
      <c r="C50" s="1" t="s">
        <v>3101</v>
      </c>
      <c r="D50" s="30" t="str">
        <f>IFERROR(__xludf.DUMMYFUNCTION("IFERROR(GOOGLEFINANCE(C50, ""NAME""))"),"Innospec Inc")</f>
        <v>Innospec Inc</v>
      </c>
      <c r="E50" s="30" t="s">
        <v>2995</v>
      </c>
      <c r="F50" s="33" t="str">
        <f>IFERROR(__xludf.DUMMYFUNCTION("( (GOOGLEFINANCE(C50, ""price"") - Q50) / Q50 ) / (R50 / 100)"),"Loading...")</f>
        <v>Loading...</v>
      </c>
      <c r="G50" s="20" t="str">
        <f>IFERROR(__xludf.DUMMYFUNCTION("AVERAGE(ARRAYFORMULA(100 * (QUERY(GOOGLEFINANCE(C50, ""high"", TODAY()-40, TODAY()), ""SELECT Col2 WHERE Col2 IS NOT NULL ORDER BY Col1 DESC LIMIT 20"", 0) / QUERY(GOOGLEFINANCE(C50, ""low"", TODAY()-40, TODAY()), ""SELECT Col2 WHERE Col2 IS NOT NULL ORDE"&amp;"R BY Col1 DESC LIMIT 20"", 0) - 1)))"),"#N/A")</f>
        <v>#N/A</v>
      </c>
      <c r="H50" s="35" t="str">
        <f t="shared" si="35"/>
        <v>Illiquid</v>
      </c>
      <c r="I50" s="35" t="str">
        <f t="shared" si="7"/>
        <v>RVol Required</v>
      </c>
      <c r="J50" s="37">
        <f>IFERROR(__xludf.DUMMYFUNCTION("IFERROR(
  IF(C50="""",, 
    IFERROR(
      GOOGLEFINANCE(C50, ""price"") * GOOGLEFINANCE(C50, ""volumeavg""), 
      GOOGLEFINANCE(C50, ""price"") * AVERAGE(QUERY(GOOGLEFINANCE(C50, ""volume"", TODAY()-40, TODAY()), ""SELECT Col2 WHERE Col2 IS NOT NULL "&amp;"ORDER BY Col1 DESC LIMIT 20"", 0))
    )
  ), 
"""")"),2.094474669E7)</f>
        <v>20944746.69</v>
      </c>
      <c r="K50" s="21">
        <f>IFERROR(__xludf.DUMMYFUNCTION("IFERROR(GOOGLEFINANCE(C50, ""changepct"") / 100, """")"),0.0022)</f>
        <v>0.0022</v>
      </c>
      <c r="L50" s="21" t="str">
        <f>IFERROR(__xludf.DUMMYFUNCTION("IFERROR((GOOGLEFINANCE(C50, ""price"") / INDEX(GOOGLEFINANCE(C50, ""price"", TODAY()-7, TODAY()), 2, 2)) - 1, """")"),"")</f>
        <v/>
      </c>
      <c r="M50" s="21" t="str">
        <f>IFERROR(__xludf.DUMMYFUNCTION("IFERROR((GOOGLEFINANCE(C50, ""price"") / INDEX(GOOGLEFINANCE(C50, ""price"", EDATE(TODAY(), -1), TODAY()), 2, 2)) - 1, """")"),"")</f>
        <v/>
      </c>
      <c r="N50" s="21" t="str">
        <f>IFERROR(__xludf.DUMMYFUNCTION("IFERROR((GOOGLEFINANCE(C50, ""price"") / INDEX(GOOGLEFINANCE(C50, ""price"", EDATE(TODAY(), -3), TODAY()), 2, 2)) - 1, """")"),"")</f>
        <v/>
      </c>
      <c r="O50" s="21" t="str">
        <f>IFERROR(__xludf.DUMMYFUNCTION("IFERROR((GOOGLEFINANCE(C50, ""price"") / INDEX(GOOGLEFINANCE(C50, ""price"", EDATE(TODAY(), -6), TODAY()), 2, 2)) - 1, """")"),"")</f>
        <v/>
      </c>
      <c r="P50" s="21" t="str">
        <f>IFERROR(__xludf.DUMMYFUNCTION("IFERROR((GOOGLEFINANCE(C50, ""price"") / INDEX(GOOGLEFINANCE(C50, ""price"", EDATE(TODAY(), -12), TODAY()), 2, 2)) - 1, """")"),"")</f>
        <v/>
      </c>
      <c r="Q50" s="6" t="str">
        <f>IFERROR(__xludf.DUMMYFUNCTION("AVERAGE(QUERY(GOOGLEFINANCE(C50, ""price"", TODAY()-80, TODAY()), ""SELECT Col2 WHERE Col2 IS NOT NULL ORDER BY Col1 DESC LIMIT 50"", 0))"),"#N/A")</f>
        <v>#N/A</v>
      </c>
      <c r="R50" s="24" t="str">
        <f>IFERROR(__xludf.DUMMYFUNCTION("IFERROR(
  LET(
    data, QUERY(GOOGLEFINANCE(C50,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GOOGLEFINANCE(C50, ""price"")) * 100,
    IF(calc=0, G50, calc)
  ), 
G50)"),"#N/A")</f>
        <v>#N/A</v>
      </c>
      <c r="S50" s="8" t="s">
        <v>15</v>
      </c>
      <c r="T50" s="26" t="str">
        <f>IFERROR(__xludf.DUMMYFUNCTION("IFERROR(TRANSPOSE(QUERY(IFERROR(SORT(GOOGLEFINANCE(C50, ""price"", WORKDAY(TODAY(), -40), TODAY()), 1, FALSE)), ""select Col2 where Col2 is not null limit 22 label Col2 ''"", 0)), """")"),"")</f>
        <v/>
      </c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8"/>
      <c r="AO50" s="28"/>
      <c r="AP50" s="29"/>
      <c r="AQ50" s="29" t="str">
        <f t="shared" ref="AQ50:BL50" si="54">T50/T$2</f>
        <v>#N/A</v>
      </c>
      <c r="AR50" s="29" t="str">
        <f t="shared" si="54"/>
        <v>#DIV/0!</v>
      </c>
      <c r="AS50" s="29" t="str">
        <f t="shared" si="54"/>
        <v>#DIV/0!</v>
      </c>
      <c r="AT50" s="29" t="str">
        <f t="shared" si="54"/>
        <v>#DIV/0!</v>
      </c>
      <c r="AU50" s="29" t="str">
        <f t="shared" si="54"/>
        <v>#DIV/0!</v>
      </c>
      <c r="AV50" s="29" t="str">
        <f t="shared" si="54"/>
        <v>#DIV/0!</v>
      </c>
      <c r="AW50" s="29" t="str">
        <f t="shared" si="54"/>
        <v>#DIV/0!</v>
      </c>
      <c r="AX50" s="29" t="str">
        <f t="shared" si="54"/>
        <v>#DIV/0!</v>
      </c>
      <c r="AY50" s="29" t="str">
        <f t="shared" si="54"/>
        <v>#DIV/0!</v>
      </c>
      <c r="AZ50" s="29" t="str">
        <f t="shared" si="54"/>
        <v>#DIV/0!</v>
      </c>
      <c r="BA50" s="29" t="str">
        <f t="shared" si="54"/>
        <v>#DIV/0!</v>
      </c>
      <c r="BB50" s="29" t="str">
        <f t="shared" si="54"/>
        <v>#DIV/0!</v>
      </c>
      <c r="BC50" s="29" t="str">
        <f t="shared" si="54"/>
        <v>#DIV/0!</v>
      </c>
      <c r="BD50" s="29" t="str">
        <f t="shared" si="54"/>
        <v>#DIV/0!</v>
      </c>
      <c r="BE50" s="29" t="str">
        <f t="shared" si="54"/>
        <v>#DIV/0!</v>
      </c>
      <c r="BF50" s="29" t="str">
        <f t="shared" si="54"/>
        <v>#DIV/0!</v>
      </c>
      <c r="BG50" s="29" t="str">
        <f t="shared" si="54"/>
        <v>#DIV/0!</v>
      </c>
      <c r="BH50" s="29" t="str">
        <f t="shared" si="54"/>
        <v>#DIV/0!</v>
      </c>
      <c r="BI50" s="29" t="str">
        <f t="shared" si="54"/>
        <v>#DIV/0!</v>
      </c>
      <c r="BJ50" s="29" t="str">
        <f t="shared" si="54"/>
        <v>#DIV/0!</v>
      </c>
      <c r="BK50" s="29" t="str">
        <f t="shared" si="54"/>
        <v>#DIV/0!</v>
      </c>
      <c r="BL50" s="29" t="str">
        <f t="shared" si="54"/>
        <v>#DIV/0!</v>
      </c>
      <c r="BM50" s="29" t="str">
        <f t="shared" si="3"/>
        <v>#DIV/0!</v>
      </c>
    </row>
    <row r="51">
      <c r="A51" s="16" t="str">
        <f>IFERROR(__xludf.DUMMYFUNCTION("IFERROR(SPARKLINE(SORT(MAP(TRANSPOSE(AQ51:BL51), LAMBDA(val, IF(ISNUMBER(val), PERCENTRANK(AQ51:BL51, val)+0.01, 0))), SEQUENCE(COLUMNS(AQ51:BL51)), FALSE), {""charttype"",""column""; ""color"",""chartreuse""; ""ymin"", 0; ""ymax"", 1.01; ""highcolor"", "&amp;"""darkgreen""; ""lowcolor"", ""red""}), """")"),"")</f>
        <v/>
      </c>
      <c r="B51" s="17" t="str">
        <f t="shared" si="4"/>
        <v/>
      </c>
      <c r="C51" s="1" t="s">
        <v>3104</v>
      </c>
      <c r="D51" s="30" t="str">
        <f>IFERROR(__xludf.DUMMYFUNCTION("IFERROR(GOOGLEFINANCE(C51, ""NAME""))"),"Hecla Mining Co")</f>
        <v>Hecla Mining Co</v>
      </c>
      <c r="E51" s="30" t="s">
        <v>3008</v>
      </c>
      <c r="F51" s="33" t="str">
        <f>IFERROR(__xludf.DUMMYFUNCTION("( (GOOGLEFINANCE(C51, ""price"") - Q51) / Q51 ) / (R51 / 100)"),"Loading...")</f>
        <v>Loading...</v>
      </c>
      <c r="G51" s="20" t="str">
        <f>IFERROR(__xludf.DUMMYFUNCTION("AVERAGE(ARRAYFORMULA(100 * (QUERY(GOOGLEFINANCE(C51, ""high"", TODAY()-40, TODAY()), ""SELECT Col2 WHERE Col2 IS NOT NULL ORDER BY Col1 DESC LIMIT 20"", 0) / QUERY(GOOGLEFINANCE(C51, ""low"", TODAY()-40, TODAY()), ""SELECT Col2 WHERE Col2 IS NOT NULL ORDE"&amp;"R BY Col1 DESC LIMIT 20"", 0) - 1)))"),"#N/A")</f>
        <v>#N/A</v>
      </c>
      <c r="H51" s="35" t="str">
        <f t="shared" si="35"/>
        <v>Liquid</v>
      </c>
      <c r="I51" s="35" t="str">
        <f t="shared" si="7"/>
        <v>No RVol Required</v>
      </c>
      <c r="J51" s="37">
        <f>IFERROR(__xludf.DUMMYFUNCTION("IFERROR(
  IF(C51="""",, 
    IFERROR(
      GOOGLEFINANCE(C51, ""price"") * GOOGLEFINANCE(C51, ""volumeavg""), 
      GOOGLEFINANCE(C51, ""price"") * AVERAGE(QUERY(GOOGLEFINANCE(C51, ""volume"", TODAY()-40, TODAY()), ""SELECT Col2 WHERE Col2 IS NOT NULL "&amp;"ORDER BY Col1 DESC LIMIT 20"", 0))
    )
  ), 
"""")"),5.353038846E8)</f>
        <v>535303884.6</v>
      </c>
      <c r="K51" s="21">
        <f>IFERROR(__xludf.DUMMYFUNCTION("IFERROR(GOOGLEFINANCE(C51, ""changepct"") / 100, """")"),-0.0167)</f>
        <v>-0.0167</v>
      </c>
      <c r="L51" s="21" t="str">
        <f>IFERROR(__xludf.DUMMYFUNCTION("IFERROR((GOOGLEFINANCE(C51, ""price"") / INDEX(GOOGLEFINANCE(C51, ""price"", TODAY()-7, TODAY()), 2, 2)) - 1, """")"),"")</f>
        <v/>
      </c>
      <c r="M51" s="21" t="str">
        <f>IFERROR(__xludf.DUMMYFUNCTION("IFERROR((GOOGLEFINANCE(C51, ""price"") / INDEX(GOOGLEFINANCE(C51, ""price"", EDATE(TODAY(), -1), TODAY()), 2, 2)) - 1, """")"),"")</f>
        <v/>
      </c>
      <c r="N51" s="21" t="str">
        <f>IFERROR(__xludf.DUMMYFUNCTION("IFERROR((GOOGLEFINANCE(C51, ""price"") / INDEX(GOOGLEFINANCE(C51, ""price"", EDATE(TODAY(), -3), TODAY()), 2, 2)) - 1, """")"),"")</f>
        <v/>
      </c>
      <c r="O51" s="21" t="str">
        <f>IFERROR(__xludf.DUMMYFUNCTION("IFERROR((GOOGLEFINANCE(C51, ""price"") / INDEX(GOOGLEFINANCE(C51, ""price"", EDATE(TODAY(), -6), TODAY()), 2, 2)) - 1, """")"),"")</f>
        <v/>
      </c>
      <c r="P51" s="21" t="str">
        <f>IFERROR(__xludf.DUMMYFUNCTION("IFERROR((GOOGLEFINANCE(C51, ""price"") / INDEX(GOOGLEFINANCE(C51, ""price"", EDATE(TODAY(), -12), TODAY()), 2, 2)) - 1, """")"),"")</f>
        <v/>
      </c>
      <c r="Q51" s="6" t="str">
        <f>IFERROR(__xludf.DUMMYFUNCTION("AVERAGE(QUERY(GOOGLEFINANCE(C51, ""price"", TODAY()-80, TODAY()), ""SELECT Col2 WHERE Col2 IS NOT NULL ORDER BY Col1 DESC LIMIT 50"", 0))"),"#N/A")</f>
        <v>#N/A</v>
      </c>
      <c r="R51" s="24" t="str">
        <f>IFERROR(__xludf.DUMMYFUNCTION("IFERROR(
  LET(
    data, QUERY(GOOGLEFINANCE(C51,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GOOGLEFINANCE(C51, ""price"")) * 100,
    IF(calc=0, G51, calc)
  ), 
G51)"),"#N/A")</f>
        <v>#N/A</v>
      </c>
      <c r="S51" s="8" t="s">
        <v>15</v>
      </c>
      <c r="T51" s="26" t="str">
        <f>IFERROR(__xludf.DUMMYFUNCTION("IFERROR(TRANSPOSE(QUERY(IFERROR(SORT(GOOGLEFINANCE(C51, ""price"", WORKDAY(TODAY(), -40), TODAY()), 1, FALSE)), ""select Col2 where Col2 is not null limit 22 label Col2 ''"", 0)), """")"),"")</f>
        <v/>
      </c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8"/>
      <c r="AO51" s="28"/>
      <c r="AP51" s="29"/>
      <c r="AQ51" s="29" t="str">
        <f t="shared" ref="AQ51:BL51" si="55">T51/T$2</f>
        <v>#N/A</v>
      </c>
      <c r="AR51" s="29" t="str">
        <f t="shared" si="55"/>
        <v>#DIV/0!</v>
      </c>
      <c r="AS51" s="29" t="str">
        <f t="shared" si="55"/>
        <v>#DIV/0!</v>
      </c>
      <c r="AT51" s="29" t="str">
        <f t="shared" si="55"/>
        <v>#DIV/0!</v>
      </c>
      <c r="AU51" s="29" t="str">
        <f t="shared" si="55"/>
        <v>#DIV/0!</v>
      </c>
      <c r="AV51" s="29" t="str">
        <f t="shared" si="55"/>
        <v>#DIV/0!</v>
      </c>
      <c r="AW51" s="29" t="str">
        <f t="shared" si="55"/>
        <v>#DIV/0!</v>
      </c>
      <c r="AX51" s="29" t="str">
        <f t="shared" si="55"/>
        <v>#DIV/0!</v>
      </c>
      <c r="AY51" s="29" t="str">
        <f t="shared" si="55"/>
        <v>#DIV/0!</v>
      </c>
      <c r="AZ51" s="29" t="str">
        <f t="shared" si="55"/>
        <v>#DIV/0!</v>
      </c>
      <c r="BA51" s="29" t="str">
        <f t="shared" si="55"/>
        <v>#DIV/0!</v>
      </c>
      <c r="BB51" s="29" t="str">
        <f t="shared" si="55"/>
        <v>#DIV/0!</v>
      </c>
      <c r="BC51" s="29" t="str">
        <f t="shared" si="55"/>
        <v>#DIV/0!</v>
      </c>
      <c r="BD51" s="29" t="str">
        <f t="shared" si="55"/>
        <v>#DIV/0!</v>
      </c>
      <c r="BE51" s="29" t="str">
        <f t="shared" si="55"/>
        <v>#DIV/0!</v>
      </c>
      <c r="BF51" s="29" t="str">
        <f t="shared" si="55"/>
        <v>#DIV/0!</v>
      </c>
      <c r="BG51" s="29" t="str">
        <f t="shared" si="55"/>
        <v>#DIV/0!</v>
      </c>
      <c r="BH51" s="29" t="str">
        <f t="shared" si="55"/>
        <v>#DIV/0!</v>
      </c>
      <c r="BI51" s="29" t="str">
        <f t="shared" si="55"/>
        <v>#DIV/0!</v>
      </c>
      <c r="BJ51" s="29" t="str">
        <f t="shared" si="55"/>
        <v>#DIV/0!</v>
      </c>
      <c r="BK51" s="29" t="str">
        <f t="shared" si="55"/>
        <v>#DIV/0!</v>
      </c>
      <c r="BL51" s="29" t="str">
        <f t="shared" si="55"/>
        <v>#DIV/0!</v>
      </c>
      <c r="BM51" s="29" t="str">
        <f t="shared" si="3"/>
        <v>#DIV/0!</v>
      </c>
    </row>
    <row r="52">
      <c r="A52" s="16" t="str">
        <f>IFERROR(__xludf.DUMMYFUNCTION("IFERROR(SPARKLINE(SORT(MAP(TRANSPOSE(AQ52:BL52), LAMBDA(val, IF(ISNUMBER(val), PERCENTRANK(AQ52:BL52, val)+0.01, 0))), SEQUENCE(COLUMNS(AQ52:BL52)), FALSE), {""charttype"",""column""; ""color"",""chartreuse""; ""ymin"", 0; ""ymax"", 1.01; ""highcolor"", "&amp;"""darkgreen""; ""lowcolor"", ""red""}), """")"),"")</f>
        <v/>
      </c>
      <c r="B52" s="17" t="str">
        <f t="shared" si="4"/>
        <v/>
      </c>
      <c r="C52" s="1" t="s">
        <v>3107</v>
      </c>
      <c r="D52" s="30" t="str">
        <f>IFERROR(__xludf.DUMMYFUNCTION("IFERROR(GOOGLEFINANCE(C52, ""NAME""))"),"Metalla Royalty &amp; Streaming Ltd")</f>
        <v>Metalla Royalty &amp; Streaming Ltd</v>
      </c>
      <c r="E52" s="30" t="s">
        <v>3008</v>
      </c>
      <c r="F52" s="38" t="str">
        <f>IFERROR(__xludf.DUMMYFUNCTION("( (GOOGLEFINANCE(C52, ""price"") - Q52) / Q52 ) / (R52 / 100)"),"Loading...")</f>
        <v>Loading...</v>
      </c>
      <c r="G52" s="20" t="str">
        <f>IFERROR(__xludf.DUMMYFUNCTION("AVERAGE(ARRAYFORMULA(100 * (QUERY(GOOGLEFINANCE(C52, ""high"", TODAY()-40, TODAY()), ""SELECT Col2 WHERE Col2 IS NOT NULL ORDER BY Col1 DESC LIMIT 20"", 0) / QUERY(GOOGLEFINANCE(C52, ""low"", TODAY()-40, TODAY()), ""SELECT Col2 WHERE Col2 IS NOT NULL ORDE"&amp;"R BY Col1 DESC LIMIT 20"", 0) - 1)))"),"#N/A")</f>
        <v>#N/A</v>
      </c>
      <c r="H52" s="35" t="str">
        <f t="shared" si="35"/>
        <v>Illiquid</v>
      </c>
      <c r="I52" s="35" t="str">
        <f t="shared" si="7"/>
        <v>RVol Required</v>
      </c>
      <c r="J52" s="37">
        <f>IFERROR(__xludf.DUMMYFUNCTION("IFERROR(
  IF(C52="""",, 
    IFERROR(
      GOOGLEFINANCE(C52, ""price"") * GOOGLEFINANCE(C52, ""volumeavg""), 
      GOOGLEFINANCE(C52, ""price"") * AVERAGE(QUERY(GOOGLEFINANCE(C52, ""volume"", TODAY()-40, TODAY()), ""SELECT Col2 WHERE Col2 IS NOT NULL "&amp;"ORDER BY Col1 DESC LIMIT 20"", 0))
    )
  ), 
"""")"),2338602.84)</f>
        <v>2338602.84</v>
      </c>
      <c r="K52" s="21">
        <f>IFERROR(__xludf.DUMMYFUNCTION("IFERROR(GOOGLEFINANCE(C52, ""changepct"") / 100, """")"),-0.0074)</f>
        <v>-0.0074</v>
      </c>
      <c r="L52" s="21" t="str">
        <f>IFERROR(__xludf.DUMMYFUNCTION("IFERROR((GOOGLEFINANCE(C52, ""price"") / INDEX(GOOGLEFINANCE(C52, ""price"", TODAY()-7, TODAY()), 2, 2)) - 1, """")"),"")</f>
        <v/>
      </c>
      <c r="M52" s="21" t="str">
        <f>IFERROR(__xludf.DUMMYFUNCTION("IFERROR((GOOGLEFINANCE(C52, ""price"") / INDEX(GOOGLEFINANCE(C52, ""price"", EDATE(TODAY(), -1), TODAY()), 2, 2)) - 1, """")"),"")</f>
        <v/>
      </c>
      <c r="N52" s="21" t="str">
        <f>IFERROR(__xludf.DUMMYFUNCTION("IFERROR((GOOGLEFINANCE(C52, ""price"") / INDEX(GOOGLEFINANCE(C52, ""price"", EDATE(TODAY(), -3), TODAY()), 2, 2)) - 1, """")"),"")</f>
        <v/>
      </c>
      <c r="O52" s="21" t="str">
        <f>IFERROR(__xludf.DUMMYFUNCTION("IFERROR((GOOGLEFINANCE(C52, ""price"") / INDEX(GOOGLEFINANCE(C52, ""price"", EDATE(TODAY(), -6), TODAY()), 2, 2)) - 1, """")"),"")</f>
        <v/>
      </c>
      <c r="P52" s="21" t="str">
        <f>IFERROR(__xludf.DUMMYFUNCTION("IFERROR((GOOGLEFINANCE(C52, ""price"") / INDEX(GOOGLEFINANCE(C52, ""price"", EDATE(TODAY(), -12), TODAY()), 2, 2)) - 1, """")"),"")</f>
        <v/>
      </c>
      <c r="Q52" s="6" t="str">
        <f>IFERROR(__xludf.DUMMYFUNCTION("AVERAGE(QUERY(GOOGLEFINANCE(C52, ""price"", TODAY()-80, TODAY()), ""SELECT Col2 WHERE Col2 IS NOT NULL ORDER BY Col1 DESC LIMIT 50"", 0))"),"#N/A")</f>
        <v>#N/A</v>
      </c>
      <c r="R52" s="24" t="str">
        <f>IFERROR(__xludf.DUMMYFUNCTION("IFERROR(
  LET(
    data, QUERY(GOOGLEFINANCE(C52,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GOOGLEFINANCE(C52, ""price"")) * 100,
    IF(calc=0, G52, calc)
  ), 
G52)"),"#N/A")</f>
        <v>#N/A</v>
      </c>
      <c r="S52" s="8" t="s">
        <v>15</v>
      </c>
      <c r="T52" s="26" t="str">
        <f>IFERROR(__xludf.DUMMYFUNCTION("IFERROR(TRANSPOSE(QUERY(IFERROR(SORT(GOOGLEFINANCE(C52, ""price"", WORKDAY(TODAY(), -40), TODAY()), 1, FALSE)), ""select Col2 where Col2 is not null limit 22 label Col2 ''"", 0)), """")"),"")</f>
        <v/>
      </c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8"/>
      <c r="AO52" s="28"/>
      <c r="AP52" s="29"/>
      <c r="AQ52" s="29" t="str">
        <f t="shared" ref="AQ52:BL52" si="56">T52/T$2</f>
        <v>#N/A</v>
      </c>
      <c r="AR52" s="29" t="str">
        <f t="shared" si="56"/>
        <v>#DIV/0!</v>
      </c>
      <c r="AS52" s="29" t="str">
        <f t="shared" si="56"/>
        <v>#DIV/0!</v>
      </c>
      <c r="AT52" s="29" t="str">
        <f t="shared" si="56"/>
        <v>#DIV/0!</v>
      </c>
      <c r="AU52" s="29" t="str">
        <f t="shared" si="56"/>
        <v>#DIV/0!</v>
      </c>
      <c r="AV52" s="29" t="str">
        <f t="shared" si="56"/>
        <v>#DIV/0!</v>
      </c>
      <c r="AW52" s="29" t="str">
        <f t="shared" si="56"/>
        <v>#DIV/0!</v>
      </c>
      <c r="AX52" s="29" t="str">
        <f t="shared" si="56"/>
        <v>#DIV/0!</v>
      </c>
      <c r="AY52" s="29" t="str">
        <f t="shared" si="56"/>
        <v>#DIV/0!</v>
      </c>
      <c r="AZ52" s="29" t="str">
        <f t="shared" si="56"/>
        <v>#DIV/0!</v>
      </c>
      <c r="BA52" s="29" t="str">
        <f t="shared" si="56"/>
        <v>#DIV/0!</v>
      </c>
      <c r="BB52" s="29" t="str">
        <f t="shared" si="56"/>
        <v>#DIV/0!</v>
      </c>
      <c r="BC52" s="29" t="str">
        <f t="shared" si="56"/>
        <v>#DIV/0!</v>
      </c>
      <c r="BD52" s="29" t="str">
        <f t="shared" si="56"/>
        <v>#DIV/0!</v>
      </c>
      <c r="BE52" s="29" t="str">
        <f t="shared" si="56"/>
        <v>#DIV/0!</v>
      </c>
      <c r="BF52" s="29" t="str">
        <f t="shared" si="56"/>
        <v>#DIV/0!</v>
      </c>
      <c r="BG52" s="29" t="str">
        <f t="shared" si="56"/>
        <v>#DIV/0!</v>
      </c>
      <c r="BH52" s="29" t="str">
        <f t="shared" si="56"/>
        <v>#DIV/0!</v>
      </c>
      <c r="BI52" s="29" t="str">
        <f t="shared" si="56"/>
        <v>#DIV/0!</v>
      </c>
      <c r="BJ52" s="29" t="str">
        <f t="shared" si="56"/>
        <v>#DIV/0!</v>
      </c>
      <c r="BK52" s="29" t="str">
        <f t="shared" si="56"/>
        <v>#DIV/0!</v>
      </c>
      <c r="BL52" s="29" t="str">
        <f t="shared" si="56"/>
        <v>#DIV/0!</v>
      </c>
      <c r="BM52" s="29" t="str">
        <f t="shared" si="3"/>
        <v>#DIV/0!</v>
      </c>
    </row>
    <row r="53">
      <c r="A53" s="16" t="str">
        <f>IFERROR(__xludf.DUMMYFUNCTION("IFERROR(SPARKLINE(SORT(MAP(TRANSPOSE(AQ53:BL53), LAMBDA(val, IF(ISNUMBER(val), PERCENTRANK(AQ53:BL53, val)+0.01, 0))), SEQUENCE(COLUMNS(AQ53:BL53)), FALSE), {""charttype"",""column""; ""color"",""chartreuse""; ""ymin"", 0; ""ymax"", 1.01; ""highcolor"", "&amp;"""darkgreen""; ""lowcolor"", ""red""}), """")"),"")</f>
        <v/>
      </c>
      <c r="B53" s="17" t="str">
        <f t="shared" si="4"/>
        <v/>
      </c>
      <c r="C53" s="1" t="s">
        <v>3112</v>
      </c>
      <c r="D53" s="30" t="str">
        <f>IFERROR(__xludf.DUMMYFUNCTION("IFERROR(GOOGLEFINANCE(C53, ""NAME""))"),"Barrick Mining Corp")</f>
        <v>Barrick Mining Corp</v>
      </c>
      <c r="E53" s="30" t="s">
        <v>2928</v>
      </c>
      <c r="F53" s="38" t="str">
        <f>IFERROR(__xludf.DUMMYFUNCTION("( (GOOGLEFINANCE(C53, ""price"") - Q53) / Q53 ) / (R53 / 100)"),"Loading...")</f>
        <v>Loading...</v>
      </c>
      <c r="G53" s="20" t="str">
        <f>IFERROR(__xludf.DUMMYFUNCTION("AVERAGE(ARRAYFORMULA(100 * (QUERY(GOOGLEFINANCE(C53, ""high"", TODAY()-40, TODAY()), ""SELECT Col2 WHERE Col2 IS NOT NULL ORDER BY Col1 DESC LIMIT 20"", 0) / QUERY(GOOGLEFINANCE(C53, ""low"", TODAY()-40, TODAY()), ""SELECT Col2 WHERE Col2 IS NOT NULL ORDE"&amp;"R BY Col1 DESC LIMIT 20"", 0) - 1)))"),"#N/A")</f>
        <v>#N/A</v>
      </c>
      <c r="H53" s="35" t="str">
        <f t="shared" si="35"/>
        <v>Liquid</v>
      </c>
      <c r="I53" s="35" t="str">
        <f t="shared" si="7"/>
        <v>RVol Required</v>
      </c>
      <c r="J53" s="37">
        <f>IFERROR(__xludf.DUMMYFUNCTION("IFERROR(
  IF(C53="""",, 
    IFERROR(
      GOOGLEFINANCE(C53, ""price"") * GOOGLEFINANCE(C53, ""volumeavg""), 
      GOOGLEFINANCE(C53, ""price"") * AVERAGE(QUERY(GOOGLEFINANCE(C53, ""volume"", TODAY()-40, TODAY()), ""SELECT Col2 WHERE Col2 IS NOT NULL "&amp;"ORDER BY Col1 DESC LIMIT 20"", 0))
    )
  ), 
"""")"),3.1529319016E8)</f>
        <v>315293190.2</v>
      </c>
      <c r="K53" s="21">
        <f>IFERROR(__xludf.DUMMYFUNCTION("IFERROR(GOOGLEFINANCE(C53, ""changepct"") / 100, """")"),0.0067)</f>
        <v>0.0067</v>
      </c>
      <c r="L53" s="21" t="str">
        <f>IFERROR(__xludf.DUMMYFUNCTION("IFERROR((GOOGLEFINANCE(C53, ""price"") / INDEX(GOOGLEFINANCE(C53, ""price"", TODAY()-7, TODAY()), 2, 2)) - 1, """")"),"")</f>
        <v/>
      </c>
      <c r="M53" s="21" t="str">
        <f>IFERROR(__xludf.DUMMYFUNCTION("IFERROR((GOOGLEFINANCE(C53, ""price"") / INDEX(GOOGLEFINANCE(C53, ""price"", EDATE(TODAY(), -1), TODAY()), 2, 2)) - 1, """")"),"")</f>
        <v/>
      </c>
      <c r="N53" s="21" t="str">
        <f>IFERROR(__xludf.DUMMYFUNCTION("IFERROR((GOOGLEFINANCE(C53, ""price"") / INDEX(GOOGLEFINANCE(C53, ""price"", EDATE(TODAY(), -3), TODAY()), 2, 2)) - 1, """")"),"")</f>
        <v/>
      </c>
      <c r="O53" s="21" t="str">
        <f>IFERROR(__xludf.DUMMYFUNCTION("IFERROR((GOOGLEFINANCE(C53, ""price"") / INDEX(GOOGLEFINANCE(C53, ""price"", EDATE(TODAY(), -6), TODAY()), 2, 2)) - 1, """")"),"")</f>
        <v/>
      </c>
      <c r="P53" s="21" t="str">
        <f>IFERROR(__xludf.DUMMYFUNCTION("IFERROR((GOOGLEFINANCE(C53, ""price"") / INDEX(GOOGLEFINANCE(C53, ""price"", EDATE(TODAY(), -12), TODAY()), 2, 2)) - 1, """")"),"")</f>
        <v/>
      </c>
      <c r="Q53" s="6" t="str">
        <f>IFERROR(__xludf.DUMMYFUNCTION("AVERAGE(QUERY(GOOGLEFINANCE(C53, ""price"", TODAY()-80, TODAY()), ""SELECT Col2 WHERE Col2 IS NOT NULL ORDER BY Col1 DESC LIMIT 50"", 0))"),"#N/A")</f>
        <v>#N/A</v>
      </c>
      <c r="R53" s="24" t="str">
        <f>IFERROR(__xludf.DUMMYFUNCTION("IFERROR(
  LET(
    data, QUERY(GOOGLEFINANCE(C53,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GOOGLEFINANCE(C53, ""price"")) * 100,
    IF(calc=0, G53, calc)
  ), 
G53)"),"#N/A")</f>
        <v>#N/A</v>
      </c>
      <c r="S53" s="8" t="s">
        <v>15</v>
      </c>
      <c r="T53" s="26" t="str">
        <f>IFERROR(__xludf.DUMMYFUNCTION("IFERROR(TRANSPOSE(QUERY(IFERROR(SORT(GOOGLEFINANCE(C53, ""price"", WORKDAY(TODAY(), -40), TODAY()), 1, FALSE)), ""select Col2 where Col2 is not null limit 22 label Col2 ''"", 0)), """")"),"")</f>
        <v/>
      </c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8"/>
      <c r="AO53" s="28"/>
      <c r="AP53" s="29"/>
      <c r="AQ53" s="29" t="str">
        <f t="shared" ref="AQ53:BL53" si="57">T53/T$2</f>
        <v>#N/A</v>
      </c>
      <c r="AR53" s="29" t="str">
        <f t="shared" si="57"/>
        <v>#DIV/0!</v>
      </c>
      <c r="AS53" s="29" t="str">
        <f t="shared" si="57"/>
        <v>#DIV/0!</v>
      </c>
      <c r="AT53" s="29" t="str">
        <f t="shared" si="57"/>
        <v>#DIV/0!</v>
      </c>
      <c r="AU53" s="29" t="str">
        <f t="shared" si="57"/>
        <v>#DIV/0!</v>
      </c>
      <c r="AV53" s="29" t="str">
        <f t="shared" si="57"/>
        <v>#DIV/0!</v>
      </c>
      <c r="AW53" s="29" t="str">
        <f t="shared" si="57"/>
        <v>#DIV/0!</v>
      </c>
      <c r="AX53" s="29" t="str">
        <f t="shared" si="57"/>
        <v>#DIV/0!</v>
      </c>
      <c r="AY53" s="29" t="str">
        <f t="shared" si="57"/>
        <v>#DIV/0!</v>
      </c>
      <c r="AZ53" s="29" t="str">
        <f t="shared" si="57"/>
        <v>#DIV/0!</v>
      </c>
      <c r="BA53" s="29" t="str">
        <f t="shared" si="57"/>
        <v>#DIV/0!</v>
      </c>
      <c r="BB53" s="29" t="str">
        <f t="shared" si="57"/>
        <v>#DIV/0!</v>
      </c>
      <c r="BC53" s="29" t="str">
        <f t="shared" si="57"/>
        <v>#DIV/0!</v>
      </c>
      <c r="BD53" s="29" t="str">
        <f t="shared" si="57"/>
        <v>#DIV/0!</v>
      </c>
      <c r="BE53" s="29" t="str">
        <f t="shared" si="57"/>
        <v>#DIV/0!</v>
      </c>
      <c r="BF53" s="29" t="str">
        <f t="shared" si="57"/>
        <v>#DIV/0!</v>
      </c>
      <c r="BG53" s="29" t="str">
        <f t="shared" si="57"/>
        <v>#DIV/0!</v>
      </c>
      <c r="BH53" s="29" t="str">
        <f t="shared" si="57"/>
        <v>#DIV/0!</v>
      </c>
      <c r="BI53" s="29" t="str">
        <f t="shared" si="57"/>
        <v>#DIV/0!</v>
      </c>
      <c r="BJ53" s="29" t="str">
        <f t="shared" si="57"/>
        <v>#DIV/0!</v>
      </c>
      <c r="BK53" s="29" t="str">
        <f t="shared" si="57"/>
        <v>#DIV/0!</v>
      </c>
      <c r="BL53" s="29" t="str">
        <f t="shared" si="57"/>
        <v>#DIV/0!</v>
      </c>
      <c r="BM53" s="29" t="str">
        <f t="shared" si="3"/>
        <v>#DIV/0!</v>
      </c>
    </row>
    <row r="54">
      <c r="A54" s="16" t="str">
        <f>IFERROR(__xludf.DUMMYFUNCTION("IFERROR(SPARKLINE(SORT(MAP(TRANSPOSE(AQ54:BL54), LAMBDA(val, IF(ISNUMBER(val), PERCENTRANK(AQ54:BL54, val)+0.01, 0))), SEQUENCE(COLUMNS(AQ54:BL54)), FALSE), {""charttype"",""column""; ""color"",""chartreuse""; ""ymin"", 0; ""ymax"", 1.01; ""highcolor"", "&amp;"""darkgreen""; ""lowcolor"", ""red""}), """")"),"")</f>
        <v/>
      </c>
      <c r="B54" s="17" t="str">
        <f t="shared" si="4"/>
        <v/>
      </c>
      <c r="C54" s="1" t="s">
        <v>3114</v>
      </c>
      <c r="D54" s="30" t="str">
        <f>IFERROR(__xludf.DUMMYFUNCTION("IFERROR(GOOGLEFINANCE(C54, ""NAME""))"),"Dakota Gold Corp")</f>
        <v>Dakota Gold Corp</v>
      </c>
      <c r="E54" s="30" t="s">
        <v>2928</v>
      </c>
      <c r="F54" s="33" t="str">
        <f>IFERROR(__xludf.DUMMYFUNCTION("( (GOOGLEFINANCE(C54, ""price"") - Q54) / Q54 ) / (R54 / 100)"),"Loading...")</f>
        <v>Loading...</v>
      </c>
      <c r="G54" s="20" t="str">
        <f>IFERROR(__xludf.DUMMYFUNCTION("AVERAGE(ARRAYFORMULA(100 * (QUERY(GOOGLEFINANCE(C54, ""high"", TODAY()-40, TODAY()), ""SELECT Col2 WHERE Col2 IS NOT NULL ORDER BY Col1 DESC LIMIT 20"", 0) / QUERY(GOOGLEFINANCE(C54, ""low"", TODAY()-40, TODAY()), ""SELECT Col2 WHERE Col2 IS NOT NULL ORDE"&amp;"R BY Col1 DESC LIMIT 20"", 0) - 1)))"),"#N/A")</f>
        <v>#N/A</v>
      </c>
      <c r="H54" s="35" t="str">
        <f t="shared" si="35"/>
        <v>Illiquid</v>
      </c>
      <c r="I54" s="35" t="str">
        <f t="shared" si="7"/>
        <v>RVol Required</v>
      </c>
      <c r="J54" s="37">
        <f>IFERROR(__xludf.DUMMYFUNCTION("IFERROR(
  IF(C54="""",, 
    IFERROR(
      GOOGLEFINANCE(C54, ""price"") * GOOGLEFINANCE(C54, ""volumeavg""), 
      GOOGLEFINANCE(C54, ""price"") * AVERAGE(QUERY(GOOGLEFINANCE(C54, ""volume"", TODAY()-40, TODAY()), ""SELECT Col2 WHERE Col2 IS NOT NULL "&amp;"ORDER BY Col1 DESC LIMIT 20"", 0))
    )
  ), 
"""")"),7880098.949999999)</f>
        <v>7880098.95</v>
      </c>
      <c r="K54" s="21">
        <f>IFERROR(__xludf.DUMMYFUNCTION("IFERROR(GOOGLEFINANCE(C54, ""changepct"") / 100, """")"),-0.0018)</f>
        <v>-0.0018</v>
      </c>
      <c r="L54" s="21" t="str">
        <f>IFERROR(__xludf.DUMMYFUNCTION("IFERROR((GOOGLEFINANCE(C54, ""price"") / INDEX(GOOGLEFINANCE(C54, ""price"", TODAY()-7, TODAY()), 2, 2)) - 1, """")"),"")</f>
        <v/>
      </c>
      <c r="M54" s="21" t="str">
        <f>IFERROR(__xludf.DUMMYFUNCTION("IFERROR((GOOGLEFINANCE(C54, ""price"") / INDEX(GOOGLEFINANCE(C54, ""price"", EDATE(TODAY(), -1), TODAY()), 2, 2)) - 1, """")"),"")</f>
        <v/>
      </c>
      <c r="N54" s="21" t="str">
        <f>IFERROR(__xludf.DUMMYFUNCTION("IFERROR((GOOGLEFINANCE(C54, ""price"") / INDEX(GOOGLEFINANCE(C54, ""price"", EDATE(TODAY(), -3), TODAY()), 2, 2)) - 1, """")"),"")</f>
        <v/>
      </c>
      <c r="O54" s="21" t="str">
        <f>IFERROR(__xludf.DUMMYFUNCTION("IFERROR((GOOGLEFINANCE(C54, ""price"") / INDEX(GOOGLEFINANCE(C54, ""price"", EDATE(TODAY(), -6), TODAY()), 2, 2)) - 1, """")"),"")</f>
        <v/>
      </c>
      <c r="P54" s="21" t="str">
        <f>IFERROR(__xludf.DUMMYFUNCTION("IFERROR((GOOGLEFINANCE(C54, ""price"") / INDEX(GOOGLEFINANCE(C54, ""price"", EDATE(TODAY(), -12), TODAY()), 2, 2)) - 1, """")"),"")</f>
        <v/>
      </c>
      <c r="Q54" s="6" t="str">
        <f>IFERROR(__xludf.DUMMYFUNCTION("AVERAGE(QUERY(GOOGLEFINANCE(C54, ""price"", TODAY()-80, TODAY()), ""SELECT Col2 WHERE Col2 IS NOT NULL ORDER BY Col1 DESC LIMIT 50"", 0))"),"#N/A")</f>
        <v>#N/A</v>
      </c>
      <c r="R54" s="24" t="str">
        <f>IFERROR(__xludf.DUMMYFUNCTION("IFERROR(
  LET(
    data, QUERY(GOOGLEFINANCE(C54,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GOOGLEFINANCE(C54, ""price"")) * 100,
    IF(calc=0, G54, calc)
  ), 
G54)"),"#N/A")</f>
        <v>#N/A</v>
      </c>
      <c r="S54" s="8" t="s">
        <v>15</v>
      </c>
      <c r="T54" s="26" t="str">
        <f>IFERROR(__xludf.DUMMYFUNCTION("IFERROR(TRANSPOSE(QUERY(IFERROR(SORT(GOOGLEFINANCE(C54, ""price"", WORKDAY(TODAY(), -40), TODAY()), 1, FALSE)), ""select Col2 where Col2 is not null limit 22 label Col2 ''"", 0)), """")"),"")</f>
        <v/>
      </c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8"/>
      <c r="AO54" s="28"/>
      <c r="AP54" s="29"/>
      <c r="AQ54" s="29" t="str">
        <f t="shared" ref="AQ54:BL54" si="58">T54/T$2</f>
        <v>#N/A</v>
      </c>
      <c r="AR54" s="29" t="str">
        <f t="shared" si="58"/>
        <v>#DIV/0!</v>
      </c>
      <c r="AS54" s="29" t="str">
        <f t="shared" si="58"/>
        <v>#DIV/0!</v>
      </c>
      <c r="AT54" s="29" t="str">
        <f t="shared" si="58"/>
        <v>#DIV/0!</v>
      </c>
      <c r="AU54" s="29" t="str">
        <f t="shared" si="58"/>
        <v>#DIV/0!</v>
      </c>
      <c r="AV54" s="29" t="str">
        <f t="shared" si="58"/>
        <v>#DIV/0!</v>
      </c>
      <c r="AW54" s="29" t="str">
        <f t="shared" si="58"/>
        <v>#DIV/0!</v>
      </c>
      <c r="AX54" s="29" t="str">
        <f t="shared" si="58"/>
        <v>#DIV/0!</v>
      </c>
      <c r="AY54" s="29" t="str">
        <f t="shared" si="58"/>
        <v>#DIV/0!</v>
      </c>
      <c r="AZ54" s="29" t="str">
        <f t="shared" si="58"/>
        <v>#DIV/0!</v>
      </c>
      <c r="BA54" s="29" t="str">
        <f t="shared" si="58"/>
        <v>#DIV/0!</v>
      </c>
      <c r="BB54" s="29" t="str">
        <f t="shared" si="58"/>
        <v>#DIV/0!</v>
      </c>
      <c r="BC54" s="29" t="str">
        <f t="shared" si="58"/>
        <v>#DIV/0!</v>
      </c>
      <c r="BD54" s="29" t="str">
        <f t="shared" si="58"/>
        <v>#DIV/0!</v>
      </c>
      <c r="BE54" s="29" t="str">
        <f t="shared" si="58"/>
        <v>#DIV/0!</v>
      </c>
      <c r="BF54" s="29" t="str">
        <f t="shared" si="58"/>
        <v>#DIV/0!</v>
      </c>
      <c r="BG54" s="29" t="str">
        <f t="shared" si="58"/>
        <v>#DIV/0!</v>
      </c>
      <c r="BH54" s="29" t="str">
        <f t="shared" si="58"/>
        <v>#DIV/0!</v>
      </c>
      <c r="BI54" s="29" t="str">
        <f t="shared" si="58"/>
        <v>#DIV/0!</v>
      </c>
      <c r="BJ54" s="29" t="str">
        <f t="shared" si="58"/>
        <v>#DIV/0!</v>
      </c>
      <c r="BK54" s="29" t="str">
        <f t="shared" si="58"/>
        <v>#DIV/0!</v>
      </c>
      <c r="BL54" s="29" t="str">
        <f t="shared" si="58"/>
        <v>#DIV/0!</v>
      </c>
      <c r="BM54" s="29" t="str">
        <f t="shared" si="3"/>
        <v>#DIV/0!</v>
      </c>
    </row>
    <row r="55">
      <c r="A55" s="16" t="str">
        <f>IFERROR(__xludf.DUMMYFUNCTION("IFERROR(SPARKLINE(SORT(MAP(TRANSPOSE(AQ55:BL55), LAMBDA(val, IF(ISNUMBER(val), PERCENTRANK(AQ55:BL55, val)+0.01, 0))), SEQUENCE(COLUMNS(AQ55:BL55)), FALSE), {""charttype"",""column""; ""color"",""chartreuse""; ""ymin"", 0; ""ymax"", 1.01; ""highcolor"", "&amp;"""darkgreen""; ""lowcolor"", ""red""}), """")"),"")</f>
        <v/>
      </c>
      <c r="B55" s="17" t="str">
        <f t="shared" si="4"/>
        <v/>
      </c>
      <c r="C55" s="1" t="s">
        <v>3116</v>
      </c>
      <c r="D55" s="30" t="str">
        <f>IFERROR(__xludf.DUMMYFUNCTION("IFERROR(GOOGLEFINANCE(C55, ""NAME""))"),"McEwen Inc")</f>
        <v>McEwen Inc</v>
      </c>
      <c r="E55" s="30" t="s">
        <v>3008</v>
      </c>
      <c r="F55" s="38" t="str">
        <f>IFERROR(__xludf.DUMMYFUNCTION("( (GOOGLEFINANCE(C55, ""price"") - Q55) / Q55 ) / (R55 / 100)"),"Loading...")</f>
        <v>Loading...</v>
      </c>
      <c r="G55" s="20" t="str">
        <f>IFERROR(__xludf.DUMMYFUNCTION("AVERAGE(ARRAYFORMULA(100 * (QUERY(GOOGLEFINANCE(C55, ""high"", TODAY()-40, TODAY()), ""SELECT Col2 WHERE Col2 IS NOT NULL ORDER BY Col1 DESC LIMIT 20"", 0) / QUERY(GOOGLEFINANCE(C55, ""low"", TODAY()-40, TODAY()), ""SELECT Col2 WHERE Col2 IS NOT NULL ORDE"&amp;"R BY Col1 DESC LIMIT 20"", 0) - 1)))"),"#N/A")</f>
        <v>#N/A</v>
      </c>
      <c r="H55" s="35" t="str">
        <f t="shared" si="35"/>
        <v>Illiquid</v>
      </c>
      <c r="I55" s="35" t="str">
        <f t="shared" si="7"/>
        <v>RVol Required</v>
      </c>
      <c r="J55" s="37">
        <f>IFERROR(__xludf.DUMMYFUNCTION("IFERROR(
  IF(C55="""",, 
    IFERROR(
      GOOGLEFINANCE(C55, ""price"") * GOOGLEFINANCE(C55, ""volumeavg""), 
      GOOGLEFINANCE(C55, ""price"") * AVERAGE(QUERY(GOOGLEFINANCE(C55, ""volume"", TODAY()-40, TODAY()), ""SELECT Col2 WHERE Col2 IS NOT NULL "&amp;"ORDER BY Col1 DESC LIMIT 20"", 0))
    )
  ), 
"""")"),1.9704430479999997E7)</f>
        <v>19704430.48</v>
      </c>
      <c r="K55" s="21">
        <f>IFERROR(__xludf.DUMMYFUNCTION("IFERROR(GOOGLEFINANCE(C55, ""changepct"") / 100, """")"),0.0019)</f>
        <v>0.0019</v>
      </c>
      <c r="L55" s="21" t="str">
        <f>IFERROR(__xludf.DUMMYFUNCTION("IFERROR((GOOGLEFINANCE(C55, ""price"") / INDEX(GOOGLEFINANCE(C55, ""price"", TODAY()-7, TODAY()), 2, 2)) - 1, """")"),"")</f>
        <v/>
      </c>
      <c r="M55" s="21" t="str">
        <f>IFERROR(__xludf.DUMMYFUNCTION("IFERROR((GOOGLEFINANCE(C55, ""price"") / INDEX(GOOGLEFINANCE(C55, ""price"", EDATE(TODAY(), -1), TODAY()), 2, 2)) - 1, """")"),"")</f>
        <v/>
      </c>
      <c r="N55" s="21" t="str">
        <f>IFERROR(__xludf.DUMMYFUNCTION("IFERROR((GOOGLEFINANCE(C55, ""price"") / INDEX(GOOGLEFINANCE(C55, ""price"", EDATE(TODAY(), -3), TODAY()), 2, 2)) - 1, """")"),"")</f>
        <v/>
      </c>
      <c r="O55" s="21" t="str">
        <f>IFERROR(__xludf.DUMMYFUNCTION("IFERROR((GOOGLEFINANCE(C55, ""price"") / INDEX(GOOGLEFINANCE(C55, ""price"", EDATE(TODAY(), -6), TODAY()), 2, 2)) - 1, """")"),"")</f>
        <v/>
      </c>
      <c r="P55" s="21" t="str">
        <f>IFERROR(__xludf.DUMMYFUNCTION("IFERROR((GOOGLEFINANCE(C55, ""price"") / INDEX(GOOGLEFINANCE(C55, ""price"", EDATE(TODAY(), -12), TODAY()), 2, 2)) - 1, """")"),"")</f>
        <v/>
      </c>
      <c r="Q55" s="6" t="str">
        <f>IFERROR(__xludf.DUMMYFUNCTION("AVERAGE(QUERY(GOOGLEFINANCE(C55, ""price"", TODAY()-80, TODAY()), ""SELECT Col2 WHERE Col2 IS NOT NULL ORDER BY Col1 DESC LIMIT 50"", 0))"),"#N/A")</f>
        <v>#N/A</v>
      </c>
      <c r="R55" s="24" t="str">
        <f>IFERROR(__xludf.DUMMYFUNCTION("IFERROR(
  LET(
    data, QUERY(GOOGLEFINANCE(C55,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GOOGLEFINANCE(C55, ""price"")) * 100,
    IF(calc=0, G55, calc)
  ), 
G55)"),"#N/A")</f>
        <v>#N/A</v>
      </c>
      <c r="S55" s="8" t="s">
        <v>15</v>
      </c>
      <c r="T55" s="26" t="str">
        <f>IFERROR(__xludf.DUMMYFUNCTION("IFERROR(TRANSPOSE(QUERY(IFERROR(SORT(GOOGLEFINANCE(C55, ""price"", WORKDAY(TODAY(), -40), TODAY()), 1, FALSE)), ""select Col2 where Col2 is not null limit 22 label Col2 ''"", 0)), """")"),"")</f>
        <v/>
      </c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8"/>
      <c r="AO55" s="28"/>
      <c r="AP55" s="29"/>
      <c r="AQ55" s="29" t="str">
        <f t="shared" ref="AQ55:BL55" si="59">T55/T$2</f>
        <v>#N/A</v>
      </c>
      <c r="AR55" s="29" t="str">
        <f t="shared" si="59"/>
        <v>#DIV/0!</v>
      </c>
      <c r="AS55" s="29" t="str">
        <f t="shared" si="59"/>
        <v>#DIV/0!</v>
      </c>
      <c r="AT55" s="29" t="str">
        <f t="shared" si="59"/>
        <v>#DIV/0!</v>
      </c>
      <c r="AU55" s="29" t="str">
        <f t="shared" si="59"/>
        <v>#DIV/0!</v>
      </c>
      <c r="AV55" s="29" t="str">
        <f t="shared" si="59"/>
        <v>#DIV/0!</v>
      </c>
      <c r="AW55" s="29" t="str">
        <f t="shared" si="59"/>
        <v>#DIV/0!</v>
      </c>
      <c r="AX55" s="29" t="str">
        <f t="shared" si="59"/>
        <v>#DIV/0!</v>
      </c>
      <c r="AY55" s="29" t="str">
        <f t="shared" si="59"/>
        <v>#DIV/0!</v>
      </c>
      <c r="AZ55" s="29" t="str">
        <f t="shared" si="59"/>
        <v>#DIV/0!</v>
      </c>
      <c r="BA55" s="29" t="str">
        <f t="shared" si="59"/>
        <v>#DIV/0!</v>
      </c>
      <c r="BB55" s="29" t="str">
        <f t="shared" si="59"/>
        <v>#DIV/0!</v>
      </c>
      <c r="BC55" s="29" t="str">
        <f t="shared" si="59"/>
        <v>#DIV/0!</v>
      </c>
      <c r="BD55" s="29" t="str">
        <f t="shared" si="59"/>
        <v>#DIV/0!</v>
      </c>
      <c r="BE55" s="29" t="str">
        <f t="shared" si="59"/>
        <v>#DIV/0!</v>
      </c>
      <c r="BF55" s="29" t="str">
        <f t="shared" si="59"/>
        <v>#DIV/0!</v>
      </c>
      <c r="BG55" s="29" t="str">
        <f t="shared" si="59"/>
        <v>#DIV/0!</v>
      </c>
      <c r="BH55" s="29" t="str">
        <f t="shared" si="59"/>
        <v>#DIV/0!</v>
      </c>
      <c r="BI55" s="29" t="str">
        <f t="shared" si="59"/>
        <v>#DIV/0!</v>
      </c>
      <c r="BJ55" s="29" t="str">
        <f t="shared" si="59"/>
        <v>#DIV/0!</v>
      </c>
      <c r="BK55" s="29" t="str">
        <f t="shared" si="59"/>
        <v>#DIV/0!</v>
      </c>
      <c r="BL55" s="29" t="str">
        <f t="shared" si="59"/>
        <v>#DIV/0!</v>
      </c>
      <c r="BM55" s="29" t="str">
        <f t="shared" si="3"/>
        <v>#DIV/0!</v>
      </c>
    </row>
    <row r="56">
      <c r="A56" s="16" t="str">
        <f>IFERROR(__xludf.DUMMYFUNCTION("IFERROR(SPARKLINE(SORT(MAP(TRANSPOSE(AQ56:BL56), LAMBDA(val, IF(ISNUMBER(val), PERCENTRANK(AQ56:BL56, val)+0.01, 0))), SEQUENCE(COLUMNS(AQ56:BL56)), FALSE), {""charttype"",""column""; ""color"",""chartreuse""; ""ymin"", 0; ""ymax"", 1.01; ""highcolor"", "&amp;"""darkgreen""; ""lowcolor"", ""red""}), """")"),"")</f>
        <v/>
      </c>
      <c r="B56" s="17" t="str">
        <f t="shared" si="4"/>
        <v/>
      </c>
      <c r="C56" s="1" t="s">
        <v>3120</v>
      </c>
      <c r="D56" s="30" t="str">
        <f>IFERROR(__xludf.DUMMYFUNCTION("IFERROR(GOOGLEFINANCE(C56, ""NAME""))"),"LSB Industries Inc")</f>
        <v>LSB Industries Inc</v>
      </c>
      <c r="E56" s="30" t="s">
        <v>3035</v>
      </c>
      <c r="F56" s="33" t="str">
        <f>IFERROR(__xludf.DUMMYFUNCTION("( (GOOGLEFINANCE(C56, ""price"") - Q56) / Q56 ) / (R56 / 100)"),"Loading...")</f>
        <v>Loading...</v>
      </c>
      <c r="G56" s="20" t="str">
        <f>IFERROR(__xludf.DUMMYFUNCTION("AVERAGE(ARRAYFORMULA(100 * (QUERY(GOOGLEFINANCE(C56, ""high"", TODAY()-40, TODAY()), ""SELECT Col2 WHERE Col2 IS NOT NULL ORDER BY Col1 DESC LIMIT 20"", 0) / QUERY(GOOGLEFINANCE(C56, ""low"", TODAY()-40, TODAY()), ""SELECT Col2 WHERE Col2 IS NOT NULL ORDE"&amp;"R BY Col1 DESC LIMIT 20"", 0) - 1)))"),"#N/A")</f>
        <v>#N/A</v>
      </c>
      <c r="H56" s="35" t="str">
        <f t="shared" si="35"/>
        <v>Illiquid</v>
      </c>
      <c r="I56" s="35" t="str">
        <f t="shared" si="7"/>
        <v>RVol Required</v>
      </c>
      <c r="J56" s="37">
        <f>IFERROR(__xludf.DUMMYFUNCTION("IFERROR(
  IF(C56="""",, 
    IFERROR(
      GOOGLEFINANCE(C56, ""price"") * GOOGLEFINANCE(C56, ""volumeavg""), 
      GOOGLEFINANCE(C56, ""price"") * AVERAGE(QUERY(GOOGLEFINANCE(C56, ""volume"", TODAY()-40, TODAY()), ""SELECT Col2 WHERE Col2 IS NOT NULL "&amp;"ORDER BY Col1 DESC LIMIT 20"", 0))
    )
  ), 
"""")"),8373654.94)</f>
        <v>8373654.94</v>
      </c>
      <c r="K56" s="21">
        <f>IFERROR(__xludf.DUMMYFUNCTION("IFERROR(GOOGLEFINANCE(C56, ""changepct"") / 100, """")"),0.0163)</f>
        <v>0.0163</v>
      </c>
      <c r="L56" s="21" t="str">
        <f>IFERROR(__xludf.DUMMYFUNCTION("IFERROR((GOOGLEFINANCE(C56, ""price"") / INDEX(GOOGLEFINANCE(C56, ""price"", TODAY()-7, TODAY()), 2, 2)) - 1, """")"),"")</f>
        <v/>
      </c>
      <c r="M56" s="21" t="str">
        <f>IFERROR(__xludf.DUMMYFUNCTION("IFERROR((GOOGLEFINANCE(C56, ""price"") / INDEX(GOOGLEFINANCE(C56, ""price"", EDATE(TODAY(), -1), TODAY()), 2, 2)) - 1, """")"),"")</f>
        <v/>
      </c>
      <c r="N56" s="21" t="str">
        <f>IFERROR(__xludf.DUMMYFUNCTION("IFERROR((GOOGLEFINANCE(C56, ""price"") / INDEX(GOOGLEFINANCE(C56, ""price"", EDATE(TODAY(), -3), TODAY()), 2, 2)) - 1, """")"),"")</f>
        <v/>
      </c>
      <c r="O56" s="21" t="str">
        <f>IFERROR(__xludf.DUMMYFUNCTION("IFERROR((GOOGLEFINANCE(C56, ""price"") / INDEX(GOOGLEFINANCE(C56, ""price"", EDATE(TODAY(), -6), TODAY()), 2, 2)) - 1, """")"),"")</f>
        <v/>
      </c>
      <c r="P56" s="21" t="str">
        <f>IFERROR(__xludf.DUMMYFUNCTION("IFERROR((GOOGLEFINANCE(C56, ""price"") / INDEX(GOOGLEFINANCE(C56, ""price"", EDATE(TODAY(), -12), TODAY()), 2, 2)) - 1, """")"),"")</f>
        <v/>
      </c>
      <c r="Q56" s="6" t="str">
        <f>IFERROR(__xludf.DUMMYFUNCTION("AVERAGE(QUERY(GOOGLEFINANCE(C56, ""price"", TODAY()-80, TODAY()), ""SELECT Col2 WHERE Col2 IS NOT NULL ORDER BY Col1 DESC LIMIT 50"", 0))"),"#N/A")</f>
        <v>#N/A</v>
      </c>
      <c r="R56" s="24" t="str">
        <f>IFERROR(__xludf.DUMMYFUNCTION("IFERROR(
  LET(
    data, QUERY(GOOGLEFINANCE(C56,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GOOGLEFINANCE(C56, ""price"")) * 100,
    IF(calc=0, G56, calc)
  ), 
G56)"),"#N/A")</f>
        <v>#N/A</v>
      </c>
      <c r="S56" s="8" t="s">
        <v>15</v>
      </c>
      <c r="T56" s="26" t="str">
        <f>IFERROR(__xludf.DUMMYFUNCTION("IFERROR(TRANSPOSE(QUERY(IFERROR(SORT(GOOGLEFINANCE(C56, ""price"", WORKDAY(TODAY(), -40), TODAY()), 1, FALSE)), ""select Col2 where Col2 is not null limit 22 label Col2 ''"", 0)), """")"),"")</f>
        <v/>
      </c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8"/>
      <c r="AO56" s="28"/>
      <c r="AP56" s="29"/>
      <c r="AQ56" s="29" t="str">
        <f t="shared" ref="AQ56:BL56" si="60">T56/T$2</f>
        <v>#N/A</v>
      </c>
      <c r="AR56" s="29" t="str">
        <f t="shared" si="60"/>
        <v>#DIV/0!</v>
      </c>
      <c r="AS56" s="29" t="str">
        <f t="shared" si="60"/>
        <v>#DIV/0!</v>
      </c>
      <c r="AT56" s="29" t="str">
        <f t="shared" si="60"/>
        <v>#DIV/0!</v>
      </c>
      <c r="AU56" s="29" t="str">
        <f t="shared" si="60"/>
        <v>#DIV/0!</v>
      </c>
      <c r="AV56" s="29" t="str">
        <f t="shared" si="60"/>
        <v>#DIV/0!</v>
      </c>
      <c r="AW56" s="29" t="str">
        <f t="shared" si="60"/>
        <v>#DIV/0!</v>
      </c>
      <c r="AX56" s="29" t="str">
        <f t="shared" si="60"/>
        <v>#DIV/0!</v>
      </c>
      <c r="AY56" s="29" t="str">
        <f t="shared" si="60"/>
        <v>#DIV/0!</v>
      </c>
      <c r="AZ56" s="29" t="str">
        <f t="shared" si="60"/>
        <v>#DIV/0!</v>
      </c>
      <c r="BA56" s="29" t="str">
        <f t="shared" si="60"/>
        <v>#DIV/0!</v>
      </c>
      <c r="BB56" s="29" t="str">
        <f t="shared" si="60"/>
        <v>#DIV/0!</v>
      </c>
      <c r="BC56" s="29" t="str">
        <f t="shared" si="60"/>
        <v>#DIV/0!</v>
      </c>
      <c r="BD56" s="29" t="str">
        <f t="shared" si="60"/>
        <v>#DIV/0!</v>
      </c>
      <c r="BE56" s="29" t="str">
        <f t="shared" si="60"/>
        <v>#DIV/0!</v>
      </c>
      <c r="BF56" s="29" t="str">
        <f t="shared" si="60"/>
        <v>#DIV/0!</v>
      </c>
      <c r="BG56" s="29" t="str">
        <f t="shared" si="60"/>
        <v>#DIV/0!</v>
      </c>
      <c r="BH56" s="29" t="str">
        <f t="shared" si="60"/>
        <v>#DIV/0!</v>
      </c>
      <c r="BI56" s="29" t="str">
        <f t="shared" si="60"/>
        <v>#DIV/0!</v>
      </c>
      <c r="BJ56" s="29" t="str">
        <f t="shared" si="60"/>
        <v>#DIV/0!</v>
      </c>
      <c r="BK56" s="29" t="str">
        <f t="shared" si="60"/>
        <v>#DIV/0!</v>
      </c>
      <c r="BL56" s="29" t="str">
        <f t="shared" si="60"/>
        <v>#DIV/0!</v>
      </c>
      <c r="BM56" s="29" t="str">
        <f t="shared" si="3"/>
        <v>#DIV/0!</v>
      </c>
    </row>
    <row r="57">
      <c r="A57" s="16" t="str">
        <f>IFERROR(__xludf.DUMMYFUNCTION("IFERROR(SPARKLINE(SORT(MAP(TRANSPOSE(AQ57:BL57), LAMBDA(val, IF(ISNUMBER(val), PERCENTRANK(AQ57:BL57, val)+0.01, 0))), SEQUENCE(COLUMNS(AQ57:BL57)), FALSE), {""charttype"",""column""; ""color"",""chartreuse""; ""ymin"", 0; ""ymax"", 1.01; ""highcolor"", "&amp;"""darkgreen""; ""lowcolor"", ""red""}), """")"),"")</f>
        <v/>
      </c>
      <c r="B57" s="17" t="str">
        <f t="shared" si="4"/>
        <v/>
      </c>
      <c r="C57" s="1" t="s">
        <v>3124</v>
      </c>
      <c r="D57" s="30" t="str">
        <f>IFERROR(__xludf.DUMMYFUNCTION("IFERROR(GOOGLEFINANCE(C57, ""NAME""))"),"Sociedad Quimica y Minr de Chile SA")</f>
        <v>Sociedad Quimica y Minr de Chile SA</v>
      </c>
      <c r="E57" s="30" t="s">
        <v>2995</v>
      </c>
      <c r="F57" s="33" t="str">
        <f>IFERROR(__xludf.DUMMYFUNCTION("( (GOOGLEFINANCE(C57, ""price"") - Q57) / Q57 ) / (R57 / 100)"),"Loading...")</f>
        <v>Loading...</v>
      </c>
      <c r="G57" s="20" t="str">
        <f>IFERROR(__xludf.DUMMYFUNCTION("AVERAGE(ARRAYFORMULA(100 * (QUERY(GOOGLEFINANCE(C57, ""high"", TODAY()-40, TODAY()), ""SELECT Col2 WHERE Col2 IS NOT NULL ORDER BY Col1 DESC LIMIT 20"", 0) / QUERY(GOOGLEFINANCE(C57, ""low"", TODAY()-40, TODAY()), ""SELECT Col2 WHERE Col2 IS NOT NULL ORDE"&amp;"R BY Col1 DESC LIMIT 20"", 0) - 1)))"),"#N/A")</f>
        <v>#N/A</v>
      </c>
      <c r="H57" s="35" t="str">
        <f t="shared" si="35"/>
        <v>Liquid</v>
      </c>
      <c r="I57" s="35" t="str">
        <f t="shared" si="7"/>
        <v>RVol Required</v>
      </c>
      <c r="J57" s="37">
        <f>IFERROR(__xludf.DUMMYFUNCTION("IFERROR(
  IF(C57="""",, 
    IFERROR(
      GOOGLEFINANCE(C57, ""price"") * GOOGLEFINANCE(C57, ""volumeavg""), 
      GOOGLEFINANCE(C57, ""price"") * AVERAGE(QUERY(GOOGLEFINANCE(C57, ""volume"", TODAY()-40, TODAY()), ""SELECT Col2 WHERE Col2 IS NOT NULL "&amp;"ORDER BY Col1 DESC LIMIT 20"", 0))
    )
  ), 
"""")"),5.9059330400000006E7)</f>
        <v>59059330.4</v>
      </c>
      <c r="K57" s="21">
        <f>IFERROR(__xludf.DUMMYFUNCTION("IFERROR(GOOGLEFINANCE(C57, ""changepct"") / 100, """")"),-0.0045000000000000005)</f>
        <v>-0.0045</v>
      </c>
      <c r="L57" s="21" t="str">
        <f>IFERROR(__xludf.DUMMYFUNCTION("IFERROR((GOOGLEFINANCE(C57, ""price"") / INDEX(GOOGLEFINANCE(C57, ""price"", TODAY()-7, TODAY()), 2, 2)) - 1, """")"),"")</f>
        <v/>
      </c>
      <c r="M57" s="21" t="str">
        <f>IFERROR(__xludf.DUMMYFUNCTION("IFERROR((GOOGLEFINANCE(C57, ""price"") / INDEX(GOOGLEFINANCE(C57, ""price"", EDATE(TODAY(), -1), TODAY()), 2, 2)) - 1, """")"),"")</f>
        <v/>
      </c>
      <c r="N57" s="21" t="str">
        <f>IFERROR(__xludf.DUMMYFUNCTION("IFERROR((GOOGLEFINANCE(C57, ""price"") / INDEX(GOOGLEFINANCE(C57, ""price"", EDATE(TODAY(), -3), TODAY()), 2, 2)) - 1, """")"),"")</f>
        <v/>
      </c>
      <c r="O57" s="21" t="str">
        <f>IFERROR(__xludf.DUMMYFUNCTION("IFERROR((GOOGLEFINANCE(C57, ""price"") / INDEX(GOOGLEFINANCE(C57, ""price"", EDATE(TODAY(), -6), TODAY()), 2, 2)) - 1, """")"),"")</f>
        <v/>
      </c>
      <c r="P57" s="21" t="str">
        <f>IFERROR(__xludf.DUMMYFUNCTION("IFERROR((GOOGLEFINANCE(C57, ""price"") / INDEX(GOOGLEFINANCE(C57, ""price"", EDATE(TODAY(), -12), TODAY()), 2, 2)) - 1, """")"),"")</f>
        <v/>
      </c>
      <c r="Q57" s="6" t="str">
        <f>IFERROR(__xludf.DUMMYFUNCTION("AVERAGE(QUERY(GOOGLEFINANCE(C57, ""price"", TODAY()-80, TODAY()), ""SELECT Col2 WHERE Col2 IS NOT NULL ORDER BY Col1 DESC LIMIT 50"", 0))"),"#N/A")</f>
        <v>#N/A</v>
      </c>
      <c r="R57" s="24" t="str">
        <f>IFERROR(__xludf.DUMMYFUNCTION("IFERROR(
  LET(
    data, QUERY(GOOGLEFINANCE(C57,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GOOGLEFINANCE(C57, ""price"")) * 100,
    IF(calc=0, G57, calc)
  ), 
G57)"),"#N/A")</f>
        <v>#N/A</v>
      </c>
      <c r="S57" s="8" t="s">
        <v>15</v>
      </c>
      <c r="T57" s="26" t="str">
        <f>IFERROR(__xludf.DUMMYFUNCTION("IFERROR(TRANSPOSE(QUERY(IFERROR(SORT(GOOGLEFINANCE(C57, ""price"", WORKDAY(TODAY(), -40), TODAY()), 1, FALSE)), ""select Col2 where Col2 is not null limit 22 label Col2 ''"", 0)), """")"),"")</f>
        <v/>
      </c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8"/>
      <c r="AO57" s="28"/>
      <c r="AP57" s="29"/>
      <c r="AQ57" s="29" t="str">
        <f t="shared" ref="AQ57:BL57" si="61">T57/T$2</f>
        <v>#N/A</v>
      </c>
      <c r="AR57" s="29" t="str">
        <f t="shared" si="61"/>
        <v>#DIV/0!</v>
      </c>
      <c r="AS57" s="29" t="str">
        <f t="shared" si="61"/>
        <v>#DIV/0!</v>
      </c>
      <c r="AT57" s="29" t="str">
        <f t="shared" si="61"/>
        <v>#DIV/0!</v>
      </c>
      <c r="AU57" s="29" t="str">
        <f t="shared" si="61"/>
        <v>#DIV/0!</v>
      </c>
      <c r="AV57" s="29" t="str">
        <f t="shared" si="61"/>
        <v>#DIV/0!</v>
      </c>
      <c r="AW57" s="29" t="str">
        <f t="shared" si="61"/>
        <v>#DIV/0!</v>
      </c>
      <c r="AX57" s="29" t="str">
        <f t="shared" si="61"/>
        <v>#DIV/0!</v>
      </c>
      <c r="AY57" s="29" t="str">
        <f t="shared" si="61"/>
        <v>#DIV/0!</v>
      </c>
      <c r="AZ57" s="29" t="str">
        <f t="shared" si="61"/>
        <v>#DIV/0!</v>
      </c>
      <c r="BA57" s="29" t="str">
        <f t="shared" si="61"/>
        <v>#DIV/0!</v>
      </c>
      <c r="BB57" s="29" t="str">
        <f t="shared" si="61"/>
        <v>#DIV/0!</v>
      </c>
      <c r="BC57" s="29" t="str">
        <f t="shared" si="61"/>
        <v>#DIV/0!</v>
      </c>
      <c r="BD57" s="29" t="str">
        <f t="shared" si="61"/>
        <v>#DIV/0!</v>
      </c>
      <c r="BE57" s="29" t="str">
        <f t="shared" si="61"/>
        <v>#DIV/0!</v>
      </c>
      <c r="BF57" s="29" t="str">
        <f t="shared" si="61"/>
        <v>#DIV/0!</v>
      </c>
      <c r="BG57" s="29" t="str">
        <f t="shared" si="61"/>
        <v>#DIV/0!</v>
      </c>
      <c r="BH57" s="29" t="str">
        <f t="shared" si="61"/>
        <v>#DIV/0!</v>
      </c>
      <c r="BI57" s="29" t="str">
        <f t="shared" si="61"/>
        <v>#DIV/0!</v>
      </c>
      <c r="BJ57" s="29" t="str">
        <f t="shared" si="61"/>
        <v>#DIV/0!</v>
      </c>
      <c r="BK57" s="29" t="str">
        <f t="shared" si="61"/>
        <v>#DIV/0!</v>
      </c>
      <c r="BL57" s="29" t="str">
        <f t="shared" si="61"/>
        <v>#DIV/0!</v>
      </c>
      <c r="BM57" s="29" t="str">
        <f t="shared" si="3"/>
        <v>#DIV/0!</v>
      </c>
    </row>
    <row r="58">
      <c r="A58" s="16" t="str">
        <f>IFERROR(__xludf.DUMMYFUNCTION("IFERROR(SPARKLINE(SORT(MAP(TRANSPOSE(AQ58:BL58), LAMBDA(val, IF(ISNUMBER(val), PERCENTRANK(AQ58:BL58, val)+0.01, 0))), SEQUENCE(COLUMNS(AQ58:BL58)), FALSE), {""charttype"",""column""; ""color"",""chartreuse""; ""ymin"", 0; ""ymax"", 1.01; ""highcolor"", "&amp;"""darkgreen""; ""lowcolor"", ""red""}), """")"),"")</f>
        <v/>
      </c>
      <c r="B58" s="17" t="str">
        <f t="shared" si="4"/>
        <v/>
      </c>
      <c r="C58" s="1" t="s">
        <v>3127</v>
      </c>
      <c r="D58" s="30" t="str">
        <f>IFERROR(__xludf.DUMMYFUNCTION("IFERROR(GOOGLEFINANCE(C58, ""NAME""))"),"Lithium Argentina AG")</f>
        <v>Lithium Argentina AG</v>
      </c>
      <c r="E58" s="30" t="s">
        <v>2935</v>
      </c>
      <c r="F58" s="33" t="str">
        <f>IFERROR(__xludf.DUMMYFUNCTION("( (GOOGLEFINANCE(C58, ""price"") - Q58) / Q58 ) / (R58 / 100)"),"Loading...")</f>
        <v>Loading...</v>
      </c>
      <c r="G58" s="20" t="str">
        <f>IFERROR(__xludf.DUMMYFUNCTION("AVERAGE(ARRAYFORMULA(100 * (QUERY(GOOGLEFINANCE(C58, ""high"", TODAY()-40, TODAY()), ""SELECT Col2 WHERE Col2 IS NOT NULL ORDER BY Col1 DESC LIMIT 20"", 0) / QUERY(GOOGLEFINANCE(C58, ""low"", TODAY()-40, TODAY()), ""SELECT Col2 WHERE Col2 IS NOT NULL ORDE"&amp;"R BY Col1 DESC LIMIT 20"", 0) - 1)))"),"#N/A")</f>
        <v>#N/A</v>
      </c>
      <c r="H58" s="35" t="str">
        <f t="shared" si="35"/>
        <v>Illiquid</v>
      </c>
      <c r="I58" s="35" t="str">
        <f t="shared" si="7"/>
        <v>RVol Required</v>
      </c>
      <c r="J58" s="37">
        <f>IFERROR(__xludf.DUMMYFUNCTION("IFERROR(
  IF(C58="""",, 
    IFERROR(
      GOOGLEFINANCE(C58, ""price"") * GOOGLEFINANCE(C58, ""volumeavg""), 
      GOOGLEFINANCE(C58, ""price"") * AVERAGE(QUERY(GOOGLEFINANCE(C58, ""volume"", TODAY()-40, TODAY()), ""SELECT Col2 WHERE Col2 IS NOT NULL "&amp;"ORDER BY Col1 DESC LIMIT 20"", 0))
    )
  ), 
"""")"),7696597.16)</f>
        <v>7696597.16</v>
      </c>
      <c r="K58" s="21">
        <f>IFERROR(__xludf.DUMMYFUNCTION("IFERROR(GOOGLEFINANCE(C58, ""changepct"") / 100, """")"),-0.0294)</f>
        <v>-0.0294</v>
      </c>
      <c r="L58" s="21" t="str">
        <f>IFERROR(__xludf.DUMMYFUNCTION("IFERROR((GOOGLEFINANCE(C58, ""price"") / INDEX(GOOGLEFINANCE(C58, ""price"", TODAY()-7, TODAY()), 2, 2)) - 1, """")"),"")</f>
        <v/>
      </c>
      <c r="M58" s="21" t="str">
        <f>IFERROR(__xludf.DUMMYFUNCTION("IFERROR((GOOGLEFINANCE(C58, ""price"") / INDEX(GOOGLEFINANCE(C58, ""price"", EDATE(TODAY(), -1), TODAY()), 2, 2)) - 1, """")"),"")</f>
        <v/>
      </c>
      <c r="N58" s="21" t="str">
        <f>IFERROR(__xludf.DUMMYFUNCTION("IFERROR((GOOGLEFINANCE(C58, ""price"") / INDEX(GOOGLEFINANCE(C58, ""price"", EDATE(TODAY(), -3), TODAY()), 2, 2)) - 1, """")"),"")</f>
        <v/>
      </c>
      <c r="O58" s="21" t="str">
        <f>IFERROR(__xludf.DUMMYFUNCTION("IFERROR((GOOGLEFINANCE(C58, ""price"") / INDEX(GOOGLEFINANCE(C58, ""price"", EDATE(TODAY(), -6), TODAY()), 2, 2)) - 1, """")"),"")</f>
        <v/>
      </c>
      <c r="P58" s="21" t="str">
        <f>IFERROR(__xludf.DUMMYFUNCTION("IFERROR((GOOGLEFINANCE(C58, ""price"") / INDEX(GOOGLEFINANCE(C58, ""price"", EDATE(TODAY(), -12), TODAY()), 2, 2)) - 1, """")"),"")</f>
        <v/>
      </c>
      <c r="Q58" s="6" t="str">
        <f>IFERROR(__xludf.DUMMYFUNCTION("AVERAGE(QUERY(GOOGLEFINANCE(C58, ""price"", TODAY()-80, TODAY()), ""SELECT Col2 WHERE Col2 IS NOT NULL ORDER BY Col1 DESC LIMIT 50"", 0))"),"#N/A")</f>
        <v>#N/A</v>
      </c>
      <c r="R58" s="24" t="str">
        <f>IFERROR(__xludf.DUMMYFUNCTION("IFERROR(
  LET(
    data, QUERY(GOOGLEFINANCE(C58,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GOOGLEFINANCE(C58, ""price"")) * 100,
    IF(calc=0, G58, calc)
  ), 
G58)"),"#N/A")</f>
        <v>#N/A</v>
      </c>
      <c r="S58" s="8" t="s">
        <v>15</v>
      </c>
      <c r="T58" s="26" t="str">
        <f>IFERROR(__xludf.DUMMYFUNCTION("IFERROR(TRANSPOSE(QUERY(IFERROR(SORT(GOOGLEFINANCE(C58, ""price"", WORKDAY(TODAY(), -40), TODAY()), 1, FALSE)), ""select Col2 where Col2 is not null limit 22 label Col2 ''"", 0)), """")"),"")</f>
        <v/>
      </c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8"/>
      <c r="AO58" s="28"/>
      <c r="AP58" s="29"/>
      <c r="AQ58" s="29" t="str">
        <f t="shared" ref="AQ58:BL58" si="62">T58/T$2</f>
        <v>#N/A</v>
      </c>
      <c r="AR58" s="29" t="str">
        <f t="shared" si="62"/>
        <v>#DIV/0!</v>
      </c>
      <c r="AS58" s="29" t="str">
        <f t="shared" si="62"/>
        <v>#DIV/0!</v>
      </c>
      <c r="AT58" s="29" t="str">
        <f t="shared" si="62"/>
        <v>#DIV/0!</v>
      </c>
      <c r="AU58" s="29" t="str">
        <f t="shared" si="62"/>
        <v>#DIV/0!</v>
      </c>
      <c r="AV58" s="29" t="str">
        <f t="shared" si="62"/>
        <v>#DIV/0!</v>
      </c>
      <c r="AW58" s="29" t="str">
        <f t="shared" si="62"/>
        <v>#DIV/0!</v>
      </c>
      <c r="AX58" s="29" t="str">
        <f t="shared" si="62"/>
        <v>#DIV/0!</v>
      </c>
      <c r="AY58" s="29" t="str">
        <f t="shared" si="62"/>
        <v>#DIV/0!</v>
      </c>
      <c r="AZ58" s="29" t="str">
        <f t="shared" si="62"/>
        <v>#DIV/0!</v>
      </c>
      <c r="BA58" s="29" t="str">
        <f t="shared" si="62"/>
        <v>#DIV/0!</v>
      </c>
      <c r="BB58" s="29" t="str">
        <f t="shared" si="62"/>
        <v>#DIV/0!</v>
      </c>
      <c r="BC58" s="29" t="str">
        <f t="shared" si="62"/>
        <v>#DIV/0!</v>
      </c>
      <c r="BD58" s="29" t="str">
        <f t="shared" si="62"/>
        <v>#DIV/0!</v>
      </c>
      <c r="BE58" s="29" t="str">
        <f t="shared" si="62"/>
        <v>#DIV/0!</v>
      </c>
      <c r="BF58" s="29" t="str">
        <f t="shared" si="62"/>
        <v>#DIV/0!</v>
      </c>
      <c r="BG58" s="29" t="str">
        <f t="shared" si="62"/>
        <v>#DIV/0!</v>
      </c>
      <c r="BH58" s="29" t="str">
        <f t="shared" si="62"/>
        <v>#DIV/0!</v>
      </c>
      <c r="BI58" s="29" t="str">
        <f t="shared" si="62"/>
        <v>#DIV/0!</v>
      </c>
      <c r="BJ58" s="29" t="str">
        <f t="shared" si="62"/>
        <v>#DIV/0!</v>
      </c>
      <c r="BK58" s="29" t="str">
        <f t="shared" si="62"/>
        <v>#DIV/0!</v>
      </c>
      <c r="BL58" s="29" t="str">
        <f t="shared" si="62"/>
        <v>#DIV/0!</v>
      </c>
      <c r="BM58" s="29" t="str">
        <f t="shared" si="3"/>
        <v>#DIV/0!</v>
      </c>
    </row>
    <row r="59">
      <c r="A59" s="16" t="str">
        <f>IFERROR(__xludf.DUMMYFUNCTION("IFERROR(SPARKLINE(SORT(MAP(TRANSPOSE(AQ59:BL59), LAMBDA(val, IF(ISNUMBER(val), PERCENTRANK(AQ59:BL59, val)+0.01, 0))), SEQUENCE(COLUMNS(AQ59:BL59)), FALSE), {""charttype"",""column""; ""color"",""chartreuse""; ""ymin"", 0; ""ymax"", 1.01; ""highcolor"", "&amp;"""darkgreen""; ""lowcolor"", ""red""}), """")"),"")</f>
        <v/>
      </c>
      <c r="B59" s="17" t="str">
        <f t="shared" si="4"/>
        <v/>
      </c>
      <c r="C59" s="1" t="s">
        <v>3129</v>
      </c>
      <c r="D59" s="30" t="str">
        <f>IFERROR(__xludf.DUMMYFUNCTION("IFERROR(GOOGLEFINANCE(C59, ""NAME""))"),"Perimeter Solutions Inc")</f>
        <v>Perimeter Solutions Inc</v>
      </c>
      <c r="E59" s="30" t="s">
        <v>2995</v>
      </c>
      <c r="F59" s="33" t="str">
        <f>IFERROR(__xludf.DUMMYFUNCTION("( (GOOGLEFINANCE(C59, ""price"") - Q59) / Q59 ) / (R59 / 100)"),"Loading...")</f>
        <v>Loading...</v>
      </c>
      <c r="G59" s="20" t="str">
        <f>IFERROR(__xludf.DUMMYFUNCTION("AVERAGE(ARRAYFORMULA(100 * (QUERY(GOOGLEFINANCE(C59, ""high"", TODAY()-40, TODAY()), ""SELECT Col2 WHERE Col2 IS NOT NULL ORDER BY Col1 DESC LIMIT 20"", 0) / QUERY(GOOGLEFINANCE(C59, ""low"", TODAY()-40, TODAY()), ""SELECT Col2 WHERE Col2 IS NOT NULL ORDE"&amp;"R BY Col1 DESC LIMIT 20"", 0) - 1)))"),"#N/A")</f>
        <v>#N/A</v>
      </c>
      <c r="H59" s="35" t="str">
        <f t="shared" si="35"/>
        <v>Illiquid</v>
      </c>
      <c r="I59" s="35" t="str">
        <f t="shared" si="7"/>
        <v>RVol Required</v>
      </c>
      <c r="J59" s="37">
        <f>IFERROR(__xludf.DUMMYFUNCTION("IFERROR(
  IF(C59="""",, 
    IFERROR(
      GOOGLEFINANCE(C59, ""price"") * GOOGLEFINANCE(C59, ""volumeavg""), 
      GOOGLEFINANCE(C59, ""price"") * AVERAGE(QUERY(GOOGLEFINANCE(C59, ""volume"", TODAY()-40, TODAY()), ""SELECT Col2 WHERE Col2 IS NOT NULL "&amp;"ORDER BY Col1 DESC LIMIT 20"", 0))
    )
  ), 
"""")"),3.3388487759999998E7)</f>
        <v>33388487.76</v>
      </c>
      <c r="K59" s="21">
        <f>IFERROR(__xludf.DUMMYFUNCTION("IFERROR(GOOGLEFINANCE(C59, ""changepct"") / 100, """")"),-0.0278)</f>
        <v>-0.0278</v>
      </c>
      <c r="L59" s="21" t="str">
        <f>IFERROR(__xludf.DUMMYFUNCTION("IFERROR((GOOGLEFINANCE(C59, ""price"") / INDEX(GOOGLEFINANCE(C59, ""price"", TODAY()-7, TODAY()), 2, 2)) - 1, """")"),"")</f>
        <v/>
      </c>
      <c r="M59" s="21" t="str">
        <f>IFERROR(__xludf.DUMMYFUNCTION("IFERROR((GOOGLEFINANCE(C59, ""price"") / INDEX(GOOGLEFINANCE(C59, ""price"", EDATE(TODAY(), -1), TODAY()), 2, 2)) - 1, """")"),"")</f>
        <v/>
      </c>
      <c r="N59" s="21" t="str">
        <f>IFERROR(__xludf.DUMMYFUNCTION("IFERROR((GOOGLEFINANCE(C59, ""price"") / INDEX(GOOGLEFINANCE(C59, ""price"", EDATE(TODAY(), -3), TODAY()), 2, 2)) - 1, """")"),"")</f>
        <v/>
      </c>
      <c r="O59" s="21" t="str">
        <f>IFERROR(__xludf.DUMMYFUNCTION("IFERROR((GOOGLEFINANCE(C59, ""price"") / INDEX(GOOGLEFINANCE(C59, ""price"", EDATE(TODAY(), -6), TODAY()), 2, 2)) - 1, """")"),"")</f>
        <v/>
      </c>
      <c r="P59" s="21" t="str">
        <f>IFERROR(__xludf.DUMMYFUNCTION("IFERROR((GOOGLEFINANCE(C59, ""price"") / INDEX(GOOGLEFINANCE(C59, ""price"", EDATE(TODAY(), -12), TODAY()), 2, 2)) - 1, """")"),"")</f>
        <v/>
      </c>
      <c r="Q59" s="6" t="str">
        <f>IFERROR(__xludf.DUMMYFUNCTION("AVERAGE(QUERY(GOOGLEFINANCE(C59, ""price"", TODAY()-80, TODAY()), ""SELECT Col2 WHERE Col2 IS NOT NULL ORDER BY Col1 DESC LIMIT 50"", 0))"),"#N/A")</f>
        <v>#N/A</v>
      </c>
      <c r="R59" s="24" t="str">
        <f>IFERROR(__xludf.DUMMYFUNCTION("IFERROR(
  LET(
    data, QUERY(GOOGLEFINANCE(C59,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GOOGLEFINANCE(C59, ""price"")) * 100,
    IF(calc=0, G59, calc)
  ), 
G59)"),"#N/A")</f>
        <v>#N/A</v>
      </c>
      <c r="S59" s="8" t="s">
        <v>15</v>
      </c>
      <c r="T59" s="26" t="str">
        <f>IFERROR(__xludf.DUMMYFUNCTION("IFERROR(TRANSPOSE(QUERY(IFERROR(SORT(GOOGLEFINANCE(C59, ""price"", WORKDAY(TODAY(), -40), TODAY()), 1, FALSE)), ""select Col2 where Col2 is not null limit 22 label Col2 ''"", 0)), """")"),"")</f>
        <v/>
      </c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8"/>
      <c r="AO59" s="28"/>
      <c r="AP59" s="29"/>
      <c r="AQ59" s="29" t="str">
        <f t="shared" ref="AQ59:BL59" si="63">T59/T$2</f>
        <v>#N/A</v>
      </c>
      <c r="AR59" s="29" t="str">
        <f t="shared" si="63"/>
        <v>#DIV/0!</v>
      </c>
      <c r="AS59" s="29" t="str">
        <f t="shared" si="63"/>
        <v>#DIV/0!</v>
      </c>
      <c r="AT59" s="29" t="str">
        <f t="shared" si="63"/>
        <v>#DIV/0!</v>
      </c>
      <c r="AU59" s="29" t="str">
        <f t="shared" si="63"/>
        <v>#DIV/0!</v>
      </c>
      <c r="AV59" s="29" t="str">
        <f t="shared" si="63"/>
        <v>#DIV/0!</v>
      </c>
      <c r="AW59" s="29" t="str">
        <f t="shared" si="63"/>
        <v>#DIV/0!</v>
      </c>
      <c r="AX59" s="29" t="str">
        <f t="shared" si="63"/>
        <v>#DIV/0!</v>
      </c>
      <c r="AY59" s="29" t="str">
        <f t="shared" si="63"/>
        <v>#DIV/0!</v>
      </c>
      <c r="AZ59" s="29" t="str">
        <f t="shared" si="63"/>
        <v>#DIV/0!</v>
      </c>
      <c r="BA59" s="29" t="str">
        <f t="shared" si="63"/>
        <v>#DIV/0!</v>
      </c>
      <c r="BB59" s="29" t="str">
        <f t="shared" si="63"/>
        <v>#DIV/0!</v>
      </c>
      <c r="BC59" s="29" t="str">
        <f t="shared" si="63"/>
        <v>#DIV/0!</v>
      </c>
      <c r="BD59" s="29" t="str">
        <f t="shared" si="63"/>
        <v>#DIV/0!</v>
      </c>
      <c r="BE59" s="29" t="str">
        <f t="shared" si="63"/>
        <v>#DIV/0!</v>
      </c>
      <c r="BF59" s="29" t="str">
        <f t="shared" si="63"/>
        <v>#DIV/0!</v>
      </c>
      <c r="BG59" s="29" t="str">
        <f t="shared" si="63"/>
        <v>#DIV/0!</v>
      </c>
      <c r="BH59" s="29" t="str">
        <f t="shared" si="63"/>
        <v>#DIV/0!</v>
      </c>
      <c r="BI59" s="29" t="str">
        <f t="shared" si="63"/>
        <v>#DIV/0!</v>
      </c>
      <c r="BJ59" s="29" t="str">
        <f t="shared" si="63"/>
        <v>#DIV/0!</v>
      </c>
      <c r="BK59" s="29" t="str">
        <f t="shared" si="63"/>
        <v>#DIV/0!</v>
      </c>
      <c r="BL59" s="29" t="str">
        <f t="shared" si="63"/>
        <v>#DIV/0!</v>
      </c>
      <c r="BM59" s="29" t="str">
        <f t="shared" si="3"/>
        <v>#DIV/0!</v>
      </c>
    </row>
    <row r="60">
      <c r="A60" s="16" t="str">
        <f>IFERROR(__xludf.DUMMYFUNCTION("IFERROR(SPARKLINE(SORT(MAP(TRANSPOSE(AQ60:BL60), LAMBDA(val, IF(ISNUMBER(val), PERCENTRANK(AQ60:BL60, val)+0.01, 0))), SEQUENCE(COLUMNS(AQ60:BL60)), FALSE), {""charttype"",""column""; ""color"",""chartreuse""; ""ymin"", 0; ""ymax"", 1.01; ""highcolor"", "&amp;"""darkgreen""; ""lowcolor"", ""red""}), """")"),"")</f>
        <v/>
      </c>
      <c r="B60" s="17" t="str">
        <f t="shared" si="4"/>
        <v/>
      </c>
      <c r="C60" s="1" t="s">
        <v>3133</v>
      </c>
      <c r="D60" s="30" t="str">
        <f>IFERROR(__xludf.DUMMYFUNCTION("IFERROR(GOOGLEFINANCE(C60, ""NAME""))"),"Grupo Simec SAB de CV")</f>
        <v>Grupo Simec SAB de CV</v>
      </c>
      <c r="E60" s="30" t="s">
        <v>3004</v>
      </c>
      <c r="F60" s="33" t="str">
        <f>IFERROR(__xludf.DUMMYFUNCTION("( (GOOGLEFINANCE(C60, ""price"") - Q60) / Q60 ) / (R60 / 100)"),"Loading...")</f>
        <v>Loading...</v>
      </c>
      <c r="G60" s="20" t="str">
        <f>IFERROR(__xludf.DUMMYFUNCTION("AVERAGE(ARRAYFORMULA(100 * (QUERY(GOOGLEFINANCE(C60, ""high"", TODAY()-40, TODAY()), ""SELECT Col2 WHERE Col2 IS NOT NULL ORDER BY Col1 DESC LIMIT 20"", 0) / QUERY(GOOGLEFINANCE(C60, ""low"", TODAY()-40, TODAY()), ""SELECT Col2 WHERE Col2 IS NOT NULL ORDE"&amp;"R BY Col1 DESC LIMIT 20"", 0) - 1)))"),"#N/A")</f>
        <v>#N/A</v>
      </c>
      <c r="H60" s="35" t="str">
        <f t="shared" si="35"/>
        <v>Illiquid</v>
      </c>
      <c r="I60" s="35" t="str">
        <f t="shared" si="7"/>
        <v>RVol Required</v>
      </c>
      <c r="J60" s="37">
        <f>IFERROR(__xludf.DUMMYFUNCTION("IFERROR(
  IF(C60="""",, 
    IFERROR(
      GOOGLEFINANCE(C60, ""price"") * GOOGLEFINANCE(C60, ""volumeavg""), 
      GOOGLEFINANCE(C60, ""price"") * AVERAGE(QUERY(GOOGLEFINANCE(C60, ""volume"", TODAY()-40, TODAY()), ""SELECT Col2 WHERE Col2 IS NOT NULL "&amp;"ORDER BY Col1 DESC LIMIT 20"", 0))
    )
  ), 
"""")"),158169.05)</f>
        <v>158169.05</v>
      </c>
      <c r="K60" s="21">
        <f>IFERROR(__xludf.DUMMYFUNCTION("IFERROR(GOOGLEFINANCE(C60, ""changepct"") / 100, """")"),0.0)</f>
        <v>0</v>
      </c>
      <c r="L60" s="21" t="str">
        <f>IFERROR(__xludf.DUMMYFUNCTION("IFERROR((GOOGLEFINANCE(C60, ""price"") / INDEX(GOOGLEFINANCE(C60, ""price"", TODAY()-7, TODAY()), 2, 2)) - 1, """")"),"")</f>
        <v/>
      </c>
      <c r="M60" s="21" t="str">
        <f>IFERROR(__xludf.DUMMYFUNCTION("IFERROR((GOOGLEFINANCE(C60, ""price"") / INDEX(GOOGLEFINANCE(C60, ""price"", EDATE(TODAY(), -1), TODAY()), 2, 2)) - 1, """")"),"")</f>
        <v/>
      </c>
      <c r="N60" s="21" t="str">
        <f>IFERROR(__xludf.DUMMYFUNCTION("IFERROR((GOOGLEFINANCE(C60, ""price"") / INDEX(GOOGLEFINANCE(C60, ""price"", EDATE(TODAY(), -3), TODAY()), 2, 2)) - 1, """")"),"")</f>
        <v/>
      </c>
      <c r="O60" s="21" t="str">
        <f>IFERROR(__xludf.DUMMYFUNCTION("IFERROR((GOOGLEFINANCE(C60, ""price"") / INDEX(GOOGLEFINANCE(C60, ""price"", EDATE(TODAY(), -6), TODAY()), 2, 2)) - 1, """")"),"")</f>
        <v/>
      </c>
      <c r="P60" s="21" t="str">
        <f>IFERROR(__xludf.DUMMYFUNCTION("IFERROR((GOOGLEFINANCE(C60, ""price"") / INDEX(GOOGLEFINANCE(C60, ""price"", EDATE(TODAY(), -12), TODAY()), 2, 2)) - 1, """")"),"")</f>
        <v/>
      </c>
      <c r="Q60" s="6" t="str">
        <f>IFERROR(__xludf.DUMMYFUNCTION("AVERAGE(QUERY(GOOGLEFINANCE(C60, ""price"", TODAY()-80, TODAY()), ""SELECT Col2 WHERE Col2 IS NOT NULL ORDER BY Col1 DESC LIMIT 50"", 0))"),"#N/A")</f>
        <v>#N/A</v>
      </c>
      <c r="R60" s="24" t="str">
        <f>IFERROR(__xludf.DUMMYFUNCTION("IFERROR(
  LET(
    data, QUERY(GOOGLEFINANCE(C60,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GOOGLEFINANCE(C60, ""price"")) * 100,
    IF(calc=0, G60, calc)
  ), 
G60)"),"#N/A")</f>
        <v>#N/A</v>
      </c>
      <c r="S60" s="8" t="s">
        <v>15</v>
      </c>
      <c r="T60" s="26" t="str">
        <f>IFERROR(__xludf.DUMMYFUNCTION("IFERROR(TRANSPOSE(QUERY(IFERROR(SORT(GOOGLEFINANCE(C60, ""price"", WORKDAY(TODAY(), -40), TODAY()), 1, FALSE)), ""select Col2 where Col2 is not null limit 22 label Col2 ''"", 0)), """")"),"")</f>
        <v/>
      </c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8"/>
      <c r="AO60" s="28"/>
      <c r="AP60" s="29"/>
      <c r="AQ60" s="29" t="str">
        <f t="shared" ref="AQ60:BL60" si="64">T60/T$2</f>
        <v>#N/A</v>
      </c>
      <c r="AR60" s="29" t="str">
        <f t="shared" si="64"/>
        <v>#DIV/0!</v>
      </c>
      <c r="AS60" s="29" t="str">
        <f t="shared" si="64"/>
        <v>#DIV/0!</v>
      </c>
      <c r="AT60" s="29" t="str">
        <f t="shared" si="64"/>
        <v>#DIV/0!</v>
      </c>
      <c r="AU60" s="29" t="str">
        <f t="shared" si="64"/>
        <v>#DIV/0!</v>
      </c>
      <c r="AV60" s="29" t="str">
        <f t="shared" si="64"/>
        <v>#DIV/0!</v>
      </c>
      <c r="AW60" s="29" t="str">
        <f t="shared" si="64"/>
        <v>#DIV/0!</v>
      </c>
      <c r="AX60" s="29" t="str">
        <f t="shared" si="64"/>
        <v>#DIV/0!</v>
      </c>
      <c r="AY60" s="29" t="str">
        <f t="shared" si="64"/>
        <v>#DIV/0!</v>
      </c>
      <c r="AZ60" s="29" t="str">
        <f t="shared" si="64"/>
        <v>#DIV/0!</v>
      </c>
      <c r="BA60" s="29" t="str">
        <f t="shared" si="64"/>
        <v>#DIV/0!</v>
      </c>
      <c r="BB60" s="29" t="str">
        <f t="shared" si="64"/>
        <v>#DIV/0!</v>
      </c>
      <c r="BC60" s="29" t="str">
        <f t="shared" si="64"/>
        <v>#DIV/0!</v>
      </c>
      <c r="BD60" s="29" t="str">
        <f t="shared" si="64"/>
        <v>#DIV/0!</v>
      </c>
      <c r="BE60" s="29" t="str">
        <f t="shared" si="64"/>
        <v>#DIV/0!</v>
      </c>
      <c r="BF60" s="29" t="str">
        <f t="shared" si="64"/>
        <v>#DIV/0!</v>
      </c>
      <c r="BG60" s="29" t="str">
        <f t="shared" si="64"/>
        <v>#DIV/0!</v>
      </c>
      <c r="BH60" s="29" t="str">
        <f t="shared" si="64"/>
        <v>#DIV/0!</v>
      </c>
      <c r="BI60" s="29" t="str">
        <f t="shared" si="64"/>
        <v>#DIV/0!</v>
      </c>
      <c r="BJ60" s="29" t="str">
        <f t="shared" si="64"/>
        <v>#DIV/0!</v>
      </c>
      <c r="BK60" s="29" t="str">
        <f t="shared" si="64"/>
        <v>#DIV/0!</v>
      </c>
      <c r="BL60" s="29" t="str">
        <f t="shared" si="64"/>
        <v>#DIV/0!</v>
      </c>
      <c r="BM60" s="29" t="str">
        <f t="shared" si="3"/>
        <v>#DIV/0!</v>
      </c>
    </row>
    <row r="61">
      <c r="A61" s="16" t="str">
        <f>IFERROR(__xludf.DUMMYFUNCTION("IFERROR(SPARKLINE(SORT(MAP(TRANSPOSE(AQ61:BL61), LAMBDA(val, IF(ISNUMBER(val), PERCENTRANK(AQ61:BL61, val)+0.01, 0))), SEQUENCE(COLUMNS(AQ61:BL61)), FALSE), {""charttype"",""column""; ""color"",""chartreuse""; ""ymin"", 0; ""ymax"", 1.01; ""highcolor"", "&amp;"""darkgreen""; ""lowcolor"", ""red""}), """")"),"")</f>
        <v/>
      </c>
      <c r="B61" s="17" t="str">
        <f t="shared" si="4"/>
        <v/>
      </c>
      <c r="C61" s="1" t="s">
        <v>3136</v>
      </c>
      <c r="D61" s="30" t="str">
        <f>IFERROR(__xludf.DUMMYFUNCTION("IFERROR(GOOGLEFINANCE(C61, ""NAME""))"),"Oil-Dri Corporation of America")</f>
        <v>Oil-Dri Corporation of America</v>
      </c>
      <c r="E61" s="30" t="s">
        <v>2995</v>
      </c>
      <c r="F61" s="33" t="str">
        <f>IFERROR(__xludf.DUMMYFUNCTION("( (GOOGLEFINANCE(C61, ""price"") - Q61) / Q61 ) / (R61 / 100)"),"Loading...")</f>
        <v>Loading...</v>
      </c>
      <c r="G61" s="20" t="str">
        <f>IFERROR(__xludf.DUMMYFUNCTION("AVERAGE(ARRAYFORMULA(100 * (QUERY(GOOGLEFINANCE(C61, ""high"", TODAY()-40, TODAY()), ""SELECT Col2 WHERE Col2 IS NOT NULL ORDER BY Col1 DESC LIMIT 20"", 0) / QUERY(GOOGLEFINANCE(C61, ""low"", TODAY()-40, TODAY()), ""SELECT Col2 WHERE Col2 IS NOT NULL ORDE"&amp;"R BY Col1 DESC LIMIT 20"", 0) - 1)))"),"#N/A")</f>
        <v>#N/A</v>
      </c>
      <c r="H61" s="35" t="str">
        <f t="shared" si="35"/>
        <v>Illiquid</v>
      </c>
      <c r="I61" s="35" t="str">
        <f t="shared" si="7"/>
        <v>RVol Required</v>
      </c>
      <c r="J61" s="37">
        <f>IFERROR(__xludf.DUMMYFUNCTION("IFERROR(
  IF(C61="""",, 
    IFERROR(
      GOOGLEFINANCE(C61, ""price"") * GOOGLEFINANCE(C61, ""volumeavg""), 
      GOOGLEFINANCE(C61, ""price"") * AVERAGE(QUERY(GOOGLEFINANCE(C61, ""volume"", TODAY()-40, TODAY()), ""SELECT Col2 WHERE Col2 IS NOT NULL "&amp;"ORDER BY Col1 DESC LIMIT 20"", 0))
    )
  ), 
"""")"),9796440.51)</f>
        <v>9796440.51</v>
      </c>
      <c r="K61" s="21">
        <f>IFERROR(__xludf.DUMMYFUNCTION("IFERROR(GOOGLEFINANCE(C61, ""changepct"") / 100, """")"),-0.07)</f>
        <v>-0.07</v>
      </c>
      <c r="L61" s="21" t="str">
        <f>IFERROR(__xludf.DUMMYFUNCTION("IFERROR((GOOGLEFINANCE(C61, ""price"") / INDEX(GOOGLEFINANCE(C61, ""price"", TODAY()-7, TODAY()), 2, 2)) - 1, """")"),"")</f>
        <v/>
      </c>
      <c r="M61" s="21" t="str">
        <f>IFERROR(__xludf.DUMMYFUNCTION("IFERROR((GOOGLEFINANCE(C61, ""price"") / INDEX(GOOGLEFINANCE(C61, ""price"", EDATE(TODAY(), -1), TODAY()), 2, 2)) - 1, """")"),"")</f>
        <v/>
      </c>
      <c r="N61" s="21" t="str">
        <f>IFERROR(__xludf.DUMMYFUNCTION("IFERROR((GOOGLEFINANCE(C61, ""price"") / INDEX(GOOGLEFINANCE(C61, ""price"", EDATE(TODAY(), -3), TODAY()), 2, 2)) - 1, """")"),"")</f>
        <v/>
      </c>
      <c r="O61" s="21" t="str">
        <f>IFERROR(__xludf.DUMMYFUNCTION("IFERROR((GOOGLEFINANCE(C61, ""price"") / INDEX(GOOGLEFINANCE(C61, ""price"", EDATE(TODAY(), -6), TODAY()), 2, 2)) - 1, """")"),"")</f>
        <v/>
      </c>
      <c r="P61" s="21" t="str">
        <f>IFERROR(__xludf.DUMMYFUNCTION("IFERROR((GOOGLEFINANCE(C61, ""price"") / INDEX(GOOGLEFINANCE(C61, ""price"", EDATE(TODAY(), -12), TODAY()), 2, 2)) - 1, """")"),"")</f>
        <v/>
      </c>
      <c r="Q61" s="6" t="str">
        <f>IFERROR(__xludf.DUMMYFUNCTION("AVERAGE(QUERY(GOOGLEFINANCE(C61, ""price"", TODAY()-80, TODAY()), ""SELECT Col2 WHERE Col2 IS NOT NULL ORDER BY Col1 DESC LIMIT 50"", 0))"),"#N/A")</f>
        <v>#N/A</v>
      </c>
      <c r="R61" s="24" t="str">
        <f>IFERROR(__xludf.DUMMYFUNCTION("IFERROR(
  LET(
    data, QUERY(GOOGLEFINANCE(C61,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GOOGLEFINANCE(C61, ""price"")) * 100,
    IF(calc=0, G61, calc)
  ), 
G61)"),"#N/A")</f>
        <v>#N/A</v>
      </c>
      <c r="S61" s="8" t="s">
        <v>15</v>
      </c>
      <c r="T61" s="26" t="str">
        <f>IFERROR(__xludf.DUMMYFUNCTION("IFERROR(TRANSPOSE(QUERY(IFERROR(SORT(GOOGLEFINANCE(C61, ""price"", WORKDAY(TODAY(), -40), TODAY()), 1, FALSE)), ""select Col2 where Col2 is not null limit 22 label Col2 ''"", 0)), """")"),"")</f>
        <v/>
      </c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8"/>
      <c r="AO61" s="28"/>
      <c r="AP61" s="29"/>
      <c r="AQ61" s="29" t="str">
        <f t="shared" ref="AQ61:BL61" si="65">T61/T$2</f>
        <v>#N/A</v>
      </c>
      <c r="AR61" s="29" t="str">
        <f t="shared" si="65"/>
        <v>#DIV/0!</v>
      </c>
      <c r="AS61" s="29" t="str">
        <f t="shared" si="65"/>
        <v>#DIV/0!</v>
      </c>
      <c r="AT61" s="29" t="str">
        <f t="shared" si="65"/>
        <v>#DIV/0!</v>
      </c>
      <c r="AU61" s="29" t="str">
        <f t="shared" si="65"/>
        <v>#DIV/0!</v>
      </c>
      <c r="AV61" s="29" t="str">
        <f t="shared" si="65"/>
        <v>#DIV/0!</v>
      </c>
      <c r="AW61" s="29" t="str">
        <f t="shared" si="65"/>
        <v>#DIV/0!</v>
      </c>
      <c r="AX61" s="29" t="str">
        <f t="shared" si="65"/>
        <v>#DIV/0!</v>
      </c>
      <c r="AY61" s="29" t="str">
        <f t="shared" si="65"/>
        <v>#DIV/0!</v>
      </c>
      <c r="AZ61" s="29" t="str">
        <f t="shared" si="65"/>
        <v>#DIV/0!</v>
      </c>
      <c r="BA61" s="29" t="str">
        <f t="shared" si="65"/>
        <v>#DIV/0!</v>
      </c>
      <c r="BB61" s="29" t="str">
        <f t="shared" si="65"/>
        <v>#DIV/0!</v>
      </c>
      <c r="BC61" s="29" t="str">
        <f t="shared" si="65"/>
        <v>#DIV/0!</v>
      </c>
      <c r="BD61" s="29" t="str">
        <f t="shared" si="65"/>
        <v>#DIV/0!</v>
      </c>
      <c r="BE61" s="29" t="str">
        <f t="shared" si="65"/>
        <v>#DIV/0!</v>
      </c>
      <c r="BF61" s="29" t="str">
        <f t="shared" si="65"/>
        <v>#DIV/0!</v>
      </c>
      <c r="BG61" s="29" t="str">
        <f t="shared" si="65"/>
        <v>#DIV/0!</v>
      </c>
      <c r="BH61" s="29" t="str">
        <f t="shared" si="65"/>
        <v>#DIV/0!</v>
      </c>
      <c r="BI61" s="29" t="str">
        <f t="shared" si="65"/>
        <v>#DIV/0!</v>
      </c>
      <c r="BJ61" s="29" t="str">
        <f t="shared" si="65"/>
        <v>#DIV/0!</v>
      </c>
      <c r="BK61" s="29" t="str">
        <f t="shared" si="65"/>
        <v>#DIV/0!</v>
      </c>
      <c r="BL61" s="29" t="str">
        <f t="shared" si="65"/>
        <v>#DIV/0!</v>
      </c>
      <c r="BM61" s="29" t="str">
        <f t="shared" si="3"/>
        <v>#DIV/0!</v>
      </c>
    </row>
    <row r="62">
      <c r="A62" s="16" t="str">
        <f>IFERROR(__xludf.DUMMYFUNCTION("IFERROR(SPARKLINE(SORT(MAP(TRANSPOSE(AQ62:BL62), LAMBDA(val, IF(ISNUMBER(val), PERCENTRANK(AQ62:BL62, val)+0.01, 0))), SEQUENCE(COLUMNS(AQ62:BL62)), FALSE), {""charttype"",""column""; ""color"",""chartreuse""; ""ymin"", 0; ""ymax"", 1.01; ""highcolor"", "&amp;"""darkgreen""; ""lowcolor"", ""red""}), """")"),"")</f>
        <v/>
      </c>
      <c r="B62" s="17" t="str">
        <f t="shared" si="4"/>
        <v/>
      </c>
      <c r="C62" s="1" t="s">
        <v>3139</v>
      </c>
      <c r="D62" s="30" t="str">
        <f>IFERROR(__xludf.DUMMYFUNCTION("IFERROR(GOOGLEFINANCE(C62, ""NAME""))"),"Constellium SE")</f>
        <v>Constellium SE</v>
      </c>
      <c r="E62" s="30" t="s">
        <v>3140</v>
      </c>
      <c r="F62" s="33" t="str">
        <f>IFERROR(__xludf.DUMMYFUNCTION("( (GOOGLEFINANCE(C62, ""price"") - Q62) / Q62 ) / (R62 / 100)"),"Loading...")</f>
        <v>Loading...</v>
      </c>
      <c r="G62" s="20" t="str">
        <f>IFERROR(__xludf.DUMMYFUNCTION("AVERAGE(ARRAYFORMULA(100 * (QUERY(GOOGLEFINANCE(C62, ""high"", TODAY()-40, TODAY()), ""SELECT Col2 WHERE Col2 IS NOT NULL ORDER BY Col1 DESC LIMIT 20"", 0) / QUERY(GOOGLEFINANCE(C62, ""low"", TODAY()-40, TODAY()), ""SELECT Col2 WHERE Col2 IS NOT NULL ORDE"&amp;"R BY Col1 DESC LIMIT 20"", 0) - 1)))"),"#N/A")</f>
        <v>#N/A</v>
      </c>
      <c r="H62" s="35" t="str">
        <f t="shared" si="35"/>
        <v>Illiquid</v>
      </c>
      <c r="I62" s="35" t="str">
        <f t="shared" si="7"/>
        <v>RVol Required</v>
      </c>
      <c r="J62" s="37">
        <f>IFERROR(__xludf.DUMMYFUNCTION("IFERROR(
  IF(C62="""",, 
    IFERROR(
      GOOGLEFINANCE(C62, ""price"") * GOOGLEFINANCE(C62, ""volumeavg""), 
      GOOGLEFINANCE(C62, ""price"") * AVERAGE(QUERY(GOOGLEFINANCE(C62, ""volume"", TODAY()-40, TODAY()), ""SELECT Col2 WHERE Col2 IS NOT NULL "&amp;"ORDER BY Col1 DESC LIMIT 20"", 0))
    )
  ), 
"""")"),3.8222829E7)</f>
        <v>38222829</v>
      </c>
      <c r="K62" s="21">
        <f>IFERROR(__xludf.DUMMYFUNCTION("IFERROR(GOOGLEFINANCE(C62, ""changepct"") / 100, """")"),0.0)</f>
        <v>0</v>
      </c>
      <c r="L62" s="21" t="str">
        <f>IFERROR(__xludf.DUMMYFUNCTION("IFERROR((GOOGLEFINANCE(C62, ""price"") / INDEX(GOOGLEFINANCE(C62, ""price"", TODAY()-7, TODAY()), 2, 2)) - 1, """")"),"")</f>
        <v/>
      </c>
      <c r="M62" s="21" t="str">
        <f>IFERROR(__xludf.DUMMYFUNCTION("IFERROR((GOOGLEFINANCE(C62, ""price"") / INDEX(GOOGLEFINANCE(C62, ""price"", EDATE(TODAY(), -1), TODAY()), 2, 2)) - 1, """")"),"")</f>
        <v/>
      </c>
      <c r="N62" s="21" t="str">
        <f>IFERROR(__xludf.DUMMYFUNCTION("IFERROR((GOOGLEFINANCE(C62, ""price"") / INDEX(GOOGLEFINANCE(C62, ""price"", EDATE(TODAY(), -3), TODAY()), 2, 2)) - 1, """")"),"")</f>
        <v/>
      </c>
      <c r="O62" s="21" t="str">
        <f>IFERROR(__xludf.DUMMYFUNCTION("IFERROR((GOOGLEFINANCE(C62, ""price"") / INDEX(GOOGLEFINANCE(C62, ""price"", EDATE(TODAY(), -6), TODAY()), 2, 2)) - 1, """")"),"")</f>
        <v/>
      </c>
      <c r="P62" s="21" t="str">
        <f>IFERROR(__xludf.DUMMYFUNCTION("IFERROR((GOOGLEFINANCE(C62, ""price"") / INDEX(GOOGLEFINANCE(C62, ""price"", EDATE(TODAY(), -12), TODAY()), 2, 2)) - 1, """")"),"")</f>
        <v/>
      </c>
      <c r="Q62" s="6" t="str">
        <f>IFERROR(__xludf.DUMMYFUNCTION("AVERAGE(QUERY(GOOGLEFINANCE(C62, ""price"", TODAY()-80, TODAY()), ""SELECT Col2 WHERE Col2 IS NOT NULL ORDER BY Col1 DESC LIMIT 50"", 0))"),"#N/A")</f>
        <v>#N/A</v>
      </c>
      <c r="R62" s="24" t="str">
        <f>IFERROR(__xludf.DUMMYFUNCTION("IFERROR(
  LET(
    data, QUERY(GOOGLEFINANCE(C62,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GOOGLEFINANCE(C62, ""price"")) * 100,
    IF(calc=0, G62, calc)
  ), 
G62)"),"#N/A")</f>
        <v>#N/A</v>
      </c>
      <c r="S62" s="8" t="s">
        <v>15</v>
      </c>
      <c r="T62" s="26" t="str">
        <f>IFERROR(__xludf.DUMMYFUNCTION("IFERROR(TRANSPOSE(QUERY(IFERROR(SORT(GOOGLEFINANCE(C62, ""price"", WORKDAY(TODAY(), -40), TODAY()), 1, FALSE)), ""select Col2 where Col2 is not null limit 22 label Col2 ''"", 0)), """")"),"")</f>
        <v/>
      </c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8"/>
      <c r="AO62" s="28"/>
      <c r="AP62" s="29"/>
      <c r="AQ62" s="29" t="str">
        <f t="shared" ref="AQ62:BL62" si="66">T62/T$2</f>
        <v>#N/A</v>
      </c>
      <c r="AR62" s="29" t="str">
        <f t="shared" si="66"/>
        <v>#DIV/0!</v>
      </c>
      <c r="AS62" s="29" t="str">
        <f t="shared" si="66"/>
        <v>#DIV/0!</v>
      </c>
      <c r="AT62" s="29" t="str">
        <f t="shared" si="66"/>
        <v>#DIV/0!</v>
      </c>
      <c r="AU62" s="29" t="str">
        <f t="shared" si="66"/>
        <v>#DIV/0!</v>
      </c>
      <c r="AV62" s="29" t="str">
        <f t="shared" si="66"/>
        <v>#DIV/0!</v>
      </c>
      <c r="AW62" s="29" t="str">
        <f t="shared" si="66"/>
        <v>#DIV/0!</v>
      </c>
      <c r="AX62" s="29" t="str">
        <f t="shared" si="66"/>
        <v>#DIV/0!</v>
      </c>
      <c r="AY62" s="29" t="str">
        <f t="shared" si="66"/>
        <v>#DIV/0!</v>
      </c>
      <c r="AZ62" s="29" t="str">
        <f t="shared" si="66"/>
        <v>#DIV/0!</v>
      </c>
      <c r="BA62" s="29" t="str">
        <f t="shared" si="66"/>
        <v>#DIV/0!</v>
      </c>
      <c r="BB62" s="29" t="str">
        <f t="shared" si="66"/>
        <v>#DIV/0!</v>
      </c>
      <c r="BC62" s="29" t="str">
        <f t="shared" si="66"/>
        <v>#DIV/0!</v>
      </c>
      <c r="BD62" s="29" t="str">
        <f t="shared" si="66"/>
        <v>#DIV/0!</v>
      </c>
      <c r="BE62" s="29" t="str">
        <f t="shared" si="66"/>
        <v>#DIV/0!</v>
      </c>
      <c r="BF62" s="29" t="str">
        <f t="shared" si="66"/>
        <v>#DIV/0!</v>
      </c>
      <c r="BG62" s="29" t="str">
        <f t="shared" si="66"/>
        <v>#DIV/0!</v>
      </c>
      <c r="BH62" s="29" t="str">
        <f t="shared" si="66"/>
        <v>#DIV/0!</v>
      </c>
      <c r="BI62" s="29" t="str">
        <f t="shared" si="66"/>
        <v>#DIV/0!</v>
      </c>
      <c r="BJ62" s="29" t="str">
        <f t="shared" si="66"/>
        <v>#DIV/0!</v>
      </c>
      <c r="BK62" s="29" t="str">
        <f t="shared" si="66"/>
        <v>#DIV/0!</v>
      </c>
      <c r="BL62" s="29" t="str">
        <f t="shared" si="66"/>
        <v>#DIV/0!</v>
      </c>
      <c r="BM62" s="29" t="str">
        <f t="shared" si="3"/>
        <v>#DIV/0!</v>
      </c>
    </row>
    <row r="63">
      <c r="A63" s="16" t="str">
        <f>IFERROR(__xludf.DUMMYFUNCTION("IFERROR(SPARKLINE(SORT(MAP(TRANSPOSE(AQ63:BL63), LAMBDA(val, IF(ISNUMBER(val), PERCENTRANK(AQ63:BL63, val)+0.01, 0))), SEQUENCE(COLUMNS(AQ63:BL63)), FALSE), {""charttype"",""column""; ""color"",""chartreuse""; ""ymin"", 0; ""ymax"", 1.01; ""highcolor"", "&amp;"""darkgreen""; ""lowcolor"", ""red""}), """")"),"")</f>
        <v/>
      </c>
      <c r="B63" s="17" t="str">
        <f t="shared" si="4"/>
        <v/>
      </c>
      <c r="C63" s="1" t="s">
        <v>3143</v>
      </c>
      <c r="D63" s="30" t="str">
        <f>IFERROR(__xludf.DUMMYFUNCTION("IFERROR(GOOGLEFINANCE(C63, ""NAME""))"),"Cleveland-Cliffs Inc")</f>
        <v>Cleveland-Cliffs Inc</v>
      </c>
      <c r="E63" s="30" t="s">
        <v>3004</v>
      </c>
      <c r="F63" s="33" t="str">
        <f>IFERROR(__xludf.DUMMYFUNCTION("( (GOOGLEFINANCE(C63, ""price"") - Q63) / Q63 ) / (R63 / 100)"),"Loading...")</f>
        <v>Loading...</v>
      </c>
      <c r="G63" s="20" t="str">
        <f>IFERROR(__xludf.DUMMYFUNCTION("AVERAGE(ARRAYFORMULA(100 * (QUERY(GOOGLEFINANCE(C63, ""high"", TODAY()-40, TODAY()), ""SELECT Col2 WHERE Col2 IS NOT NULL ORDER BY Col1 DESC LIMIT 20"", 0) / QUERY(GOOGLEFINANCE(C63, ""low"", TODAY()-40, TODAY()), ""SELECT Col2 WHERE Col2 IS NOT NULL ORDE"&amp;"R BY Col1 DESC LIMIT 20"", 0) - 1)))"),"#N/A")</f>
        <v>#N/A</v>
      </c>
      <c r="H63" s="35" t="str">
        <f t="shared" si="35"/>
        <v>Liquid</v>
      </c>
      <c r="I63" s="35" t="str">
        <f t="shared" si="7"/>
        <v>RVol Required</v>
      </c>
      <c r="J63" s="37">
        <f>IFERROR(__xludf.DUMMYFUNCTION("IFERROR(
  IF(C63="""",, 
    IFERROR(
      GOOGLEFINANCE(C63, ""price"") * GOOGLEFINANCE(C63, ""volumeavg""), 
      GOOGLEFINANCE(C63, ""price"") * AVERAGE(QUERY(GOOGLEFINANCE(C63, ""volume"", TODAY()-40, TODAY()), ""SELECT Col2 WHERE Col2 IS NOT NULL "&amp;"ORDER BY Col1 DESC LIMIT 20"", 0))
    )
  ), 
"""")"),1.8833030448E8)</f>
        <v>188330304.5</v>
      </c>
      <c r="K63" s="21">
        <f>IFERROR(__xludf.DUMMYFUNCTION("IFERROR(GOOGLEFINANCE(C63, ""changepct"") / 100, """")"),-0.0025)</f>
        <v>-0.0025</v>
      </c>
      <c r="L63" s="21" t="str">
        <f>IFERROR(__xludf.DUMMYFUNCTION("IFERROR((GOOGLEFINANCE(C63, ""price"") / INDEX(GOOGLEFINANCE(C63, ""price"", TODAY()-7, TODAY()), 2, 2)) - 1, """")"),"")</f>
        <v/>
      </c>
      <c r="M63" s="21" t="str">
        <f>IFERROR(__xludf.DUMMYFUNCTION("IFERROR((GOOGLEFINANCE(C63, ""price"") / INDEX(GOOGLEFINANCE(C63, ""price"", EDATE(TODAY(), -1), TODAY()), 2, 2)) - 1, """")"),"")</f>
        <v/>
      </c>
      <c r="N63" s="21" t="str">
        <f>IFERROR(__xludf.DUMMYFUNCTION("IFERROR((GOOGLEFINANCE(C63, ""price"") / INDEX(GOOGLEFINANCE(C63, ""price"", EDATE(TODAY(), -3), TODAY()), 2, 2)) - 1, """")"),"")</f>
        <v/>
      </c>
      <c r="O63" s="21" t="str">
        <f>IFERROR(__xludf.DUMMYFUNCTION("IFERROR((GOOGLEFINANCE(C63, ""price"") / INDEX(GOOGLEFINANCE(C63, ""price"", EDATE(TODAY(), -6), TODAY()), 2, 2)) - 1, """")"),"")</f>
        <v/>
      </c>
      <c r="P63" s="21" t="str">
        <f>IFERROR(__xludf.DUMMYFUNCTION("IFERROR((GOOGLEFINANCE(C63, ""price"") / INDEX(GOOGLEFINANCE(C63, ""price"", EDATE(TODAY(), -12), TODAY()), 2, 2)) - 1, """")"),"")</f>
        <v/>
      </c>
      <c r="Q63" s="6" t="str">
        <f>IFERROR(__xludf.DUMMYFUNCTION("AVERAGE(QUERY(GOOGLEFINANCE(C63, ""price"", TODAY()-80, TODAY()), ""SELECT Col2 WHERE Col2 IS NOT NULL ORDER BY Col1 DESC LIMIT 50"", 0))"),"#N/A")</f>
        <v>#N/A</v>
      </c>
      <c r="R63" s="24" t="str">
        <f>IFERROR(__xludf.DUMMYFUNCTION("IFERROR(
  LET(
    data, QUERY(GOOGLEFINANCE(C63,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GOOGLEFINANCE(C63, ""price"")) * 100,
    IF(calc=0, G63, calc)
  ), 
G63)"),"#N/A")</f>
        <v>#N/A</v>
      </c>
      <c r="S63" s="8" t="s">
        <v>15</v>
      </c>
      <c r="T63" s="26" t="str">
        <f>IFERROR(__xludf.DUMMYFUNCTION("IFERROR(TRANSPOSE(QUERY(IFERROR(SORT(GOOGLEFINANCE(C63, ""price"", WORKDAY(TODAY(), -40), TODAY()), 1, FALSE)), ""select Col2 where Col2 is not null limit 22 label Col2 ''"", 0)), """")"),"")</f>
        <v/>
      </c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8"/>
      <c r="AO63" s="28"/>
      <c r="AP63" s="29"/>
      <c r="AQ63" s="29" t="str">
        <f t="shared" ref="AQ63:BL63" si="67">T63/T$2</f>
        <v>#N/A</v>
      </c>
      <c r="AR63" s="29" t="str">
        <f t="shared" si="67"/>
        <v>#DIV/0!</v>
      </c>
      <c r="AS63" s="29" t="str">
        <f t="shared" si="67"/>
        <v>#DIV/0!</v>
      </c>
      <c r="AT63" s="29" t="str">
        <f t="shared" si="67"/>
        <v>#DIV/0!</v>
      </c>
      <c r="AU63" s="29" t="str">
        <f t="shared" si="67"/>
        <v>#DIV/0!</v>
      </c>
      <c r="AV63" s="29" t="str">
        <f t="shared" si="67"/>
        <v>#DIV/0!</v>
      </c>
      <c r="AW63" s="29" t="str">
        <f t="shared" si="67"/>
        <v>#DIV/0!</v>
      </c>
      <c r="AX63" s="29" t="str">
        <f t="shared" si="67"/>
        <v>#DIV/0!</v>
      </c>
      <c r="AY63" s="29" t="str">
        <f t="shared" si="67"/>
        <v>#DIV/0!</v>
      </c>
      <c r="AZ63" s="29" t="str">
        <f t="shared" si="67"/>
        <v>#DIV/0!</v>
      </c>
      <c r="BA63" s="29" t="str">
        <f t="shared" si="67"/>
        <v>#DIV/0!</v>
      </c>
      <c r="BB63" s="29" t="str">
        <f t="shared" si="67"/>
        <v>#DIV/0!</v>
      </c>
      <c r="BC63" s="29" t="str">
        <f t="shared" si="67"/>
        <v>#DIV/0!</v>
      </c>
      <c r="BD63" s="29" t="str">
        <f t="shared" si="67"/>
        <v>#DIV/0!</v>
      </c>
      <c r="BE63" s="29" t="str">
        <f t="shared" si="67"/>
        <v>#DIV/0!</v>
      </c>
      <c r="BF63" s="29" t="str">
        <f t="shared" si="67"/>
        <v>#DIV/0!</v>
      </c>
      <c r="BG63" s="29" t="str">
        <f t="shared" si="67"/>
        <v>#DIV/0!</v>
      </c>
      <c r="BH63" s="29" t="str">
        <f t="shared" si="67"/>
        <v>#DIV/0!</v>
      </c>
      <c r="BI63" s="29" t="str">
        <f t="shared" si="67"/>
        <v>#DIV/0!</v>
      </c>
      <c r="BJ63" s="29" t="str">
        <f t="shared" si="67"/>
        <v>#DIV/0!</v>
      </c>
      <c r="BK63" s="29" t="str">
        <f t="shared" si="67"/>
        <v>#DIV/0!</v>
      </c>
      <c r="BL63" s="29" t="str">
        <f t="shared" si="67"/>
        <v>#DIV/0!</v>
      </c>
      <c r="BM63" s="29" t="str">
        <f t="shared" si="3"/>
        <v>#DIV/0!</v>
      </c>
    </row>
    <row r="64">
      <c r="A64" s="16" t="str">
        <f>IFERROR(__xludf.DUMMYFUNCTION("IFERROR(SPARKLINE(SORT(MAP(TRANSPOSE(AQ64:BL64), LAMBDA(val, IF(ISNUMBER(val), PERCENTRANK(AQ64:BL64, val)+0.01, 0))), SEQUENCE(COLUMNS(AQ64:BL64)), FALSE), {""charttype"",""column""; ""color"",""chartreuse""; ""ymin"", 0; ""ymax"", 1.01; ""highcolor"", "&amp;"""darkgreen""; ""lowcolor"", ""red""}), """")"),"")</f>
        <v/>
      </c>
      <c r="B64" s="17" t="str">
        <f t="shared" si="4"/>
        <v/>
      </c>
      <c r="C64" s="1" t="s">
        <v>3146</v>
      </c>
      <c r="D64" s="30" t="str">
        <f>IFERROR(__xludf.DUMMYFUNCTION("IFERROR(GOOGLEFINANCE(C64, ""NAME""))"),"International Flavors &amp; Fragrances Inc")</f>
        <v>International Flavors &amp; Fragrances Inc</v>
      </c>
      <c r="E64" s="30" t="s">
        <v>2995</v>
      </c>
      <c r="F64" s="33" t="str">
        <f>IFERROR(__xludf.DUMMYFUNCTION("( (GOOGLEFINANCE(C64, ""price"") - Q64) / Q64 ) / (R64 / 100)"),"Loading...")</f>
        <v>Loading...</v>
      </c>
      <c r="G64" s="20" t="str">
        <f>IFERROR(__xludf.DUMMYFUNCTION("AVERAGE(ARRAYFORMULA(100 * (QUERY(GOOGLEFINANCE(C64, ""high"", TODAY()-40, TODAY()), ""SELECT Col2 WHERE Col2 IS NOT NULL ORDER BY Col1 DESC LIMIT 20"", 0) / QUERY(GOOGLEFINANCE(C64, ""low"", TODAY()-40, TODAY()), ""SELECT Col2 WHERE Col2 IS NOT NULL ORDE"&amp;"R BY Col1 DESC LIMIT 20"", 0) - 1)))"),"#N/A")</f>
        <v>#N/A</v>
      </c>
      <c r="H64" s="35" t="str">
        <f t="shared" si="35"/>
        <v>Liquid</v>
      </c>
      <c r="I64" s="35" t="str">
        <f t="shared" si="7"/>
        <v>RVol Required</v>
      </c>
      <c r="J64" s="37">
        <f>IFERROR(__xludf.DUMMYFUNCTION("IFERROR(
  IF(C64="""",, 
    IFERROR(
      GOOGLEFINANCE(C64, ""price"") * GOOGLEFINANCE(C64, ""volumeavg""), 
      GOOGLEFINANCE(C64, ""price"") * AVERAGE(QUERY(GOOGLEFINANCE(C64, ""volume"", TODAY()-40, TODAY()), ""SELECT Col2 WHERE Col2 IS NOT NULL "&amp;"ORDER BY Col1 DESC LIMIT 20"", 0))
    )
  ), 
"""")"),1.6474570108E8)</f>
        <v>164745701.1</v>
      </c>
      <c r="K64" s="21">
        <f>IFERROR(__xludf.DUMMYFUNCTION("IFERROR(GOOGLEFINANCE(C64, ""changepct"") / 100, """")"),0.0043)</f>
        <v>0.0043</v>
      </c>
      <c r="L64" s="21" t="str">
        <f>IFERROR(__xludf.DUMMYFUNCTION("IFERROR((GOOGLEFINANCE(C64, ""price"") / INDEX(GOOGLEFINANCE(C64, ""price"", TODAY()-7, TODAY()), 2, 2)) - 1, """")"),"")</f>
        <v/>
      </c>
      <c r="M64" s="21" t="str">
        <f>IFERROR(__xludf.DUMMYFUNCTION("IFERROR((GOOGLEFINANCE(C64, ""price"") / INDEX(GOOGLEFINANCE(C64, ""price"", EDATE(TODAY(), -1), TODAY()), 2, 2)) - 1, """")"),"")</f>
        <v/>
      </c>
      <c r="N64" s="21" t="str">
        <f>IFERROR(__xludf.DUMMYFUNCTION("IFERROR((GOOGLEFINANCE(C64, ""price"") / INDEX(GOOGLEFINANCE(C64, ""price"", EDATE(TODAY(), -3), TODAY()), 2, 2)) - 1, """")"),"")</f>
        <v/>
      </c>
      <c r="O64" s="21" t="str">
        <f>IFERROR(__xludf.DUMMYFUNCTION("IFERROR((GOOGLEFINANCE(C64, ""price"") / INDEX(GOOGLEFINANCE(C64, ""price"", EDATE(TODAY(), -6), TODAY()), 2, 2)) - 1, """")"),"")</f>
        <v/>
      </c>
      <c r="P64" s="21" t="str">
        <f>IFERROR(__xludf.DUMMYFUNCTION("IFERROR((GOOGLEFINANCE(C64, ""price"") / INDEX(GOOGLEFINANCE(C64, ""price"", EDATE(TODAY(), -12), TODAY()), 2, 2)) - 1, """")"),"")</f>
        <v/>
      </c>
      <c r="Q64" s="6" t="str">
        <f>IFERROR(__xludf.DUMMYFUNCTION("AVERAGE(QUERY(GOOGLEFINANCE(C64, ""price"", TODAY()-80, TODAY()), ""SELECT Col2 WHERE Col2 IS NOT NULL ORDER BY Col1 DESC LIMIT 50"", 0))"),"#N/A")</f>
        <v>#N/A</v>
      </c>
      <c r="R64" s="24" t="str">
        <f>IFERROR(__xludf.DUMMYFUNCTION("IFERROR(
  LET(
    data, QUERY(GOOGLEFINANCE(C64,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GOOGLEFINANCE(C64, ""price"")) * 100,
    IF(calc=0, G64, calc)
  ), 
G64)"),"#N/A")</f>
        <v>#N/A</v>
      </c>
      <c r="S64" s="8" t="s">
        <v>15</v>
      </c>
      <c r="T64" s="26" t="str">
        <f>IFERROR(__xludf.DUMMYFUNCTION("IFERROR(TRANSPOSE(QUERY(IFERROR(SORT(GOOGLEFINANCE(C64, ""price"", WORKDAY(TODAY(), -40), TODAY()), 1, FALSE)), ""select Col2 where Col2 is not null limit 22 label Col2 ''"", 0)), """")"),"")</f>
        <v/>
      </c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8"/>
      <c r="AO64" s="28"/>
      <c r="AP64" s="29"/>
      <c r="AQ64" s="29" t="str">
        <f t="shared" ref="AQ64:BL64" si="68">T64/T$2</f>
        <v>#N/A</v>
      </c>
      <c r="AR64" s="29" t="str">
        <f t="shared" si="68"/>
        <v>#DIV/0!</v>
      </c>
      <c r="AS64" s="29" t="str">
        <f t="shared" si="68"/>
        <v>#DIV/0!</v>
      </c>
      <c r="AT64" s="29" t="str">
        <f t="shared" si="68"/>
        <v>#DIV/0!</v>
      </c>
      <c r="AU64" s="29" t="str">
        <f t="shared" si="68"/>
        <v>#DIV/0!</v>
      </c>
      <c r="AV64" s="29" t="str">
        <f t="shared" si="68"/>
        <v>#DIV/0!</v>
      </c>
      <c r="AW64" s="29" t="str">
        <f t="shared" si="68"/>
        <v>#DIV/0!</v>
      </c>
      <c r="AX64" s="29" t="str">
        <f t="shared" si="68"/>
        <v>#DIV/0!</v>
      </c>
      <c r="AY64" s="29" t="str">
        <f t="shared" si="68"/>
        <v>#DIV/0!</v>
      </c>
      <c r="AZ64" s="29" t="str">
        <f t="shared" si="68"/>
        <v>#DIV/0!</v>
      </c>
      <c r="BA64" s="29" t="str">
        <f t="shared" si="68"/>
        <v>#DIV/0!</v>
      </c>
      <c r="BB64" s="29" t="str">
        <f t="shared" si="68"/>
        <v>#DIV/0!</v>
      </c>
      <c r="BC64" s="29" t="str">
        <f t="shared" si="68"/>
        <v>#DIV/0!</v>
      </c>
      <c r="BD64" s="29" t="str">
        <f t="shared" si="68"/>
        <v>#DIV/0!</v>
      </c>
      <c r="BE64" s="29" t="str">
        <f t="shared" si="68"/>
        <v>#DIV/0!</v>
      </c>
      <c r="BF64" s="29" t="str">
        <f t="shared" si="68"/>
        <v>#DIV/0!</v>
      </c>
      <c r="BG64" s="29" t="str">
        <f t="shared" si="68"/>
        <v>#DIV/0!</v>
      </c>
      <c r="BH64" s="29" t="str">
        <f t="shared" si="68"/>
        <v>#DIV/0!</v>
      </c>
      <c r="BI64" s="29" t="str">
        <f t="shared" si="68"/>
        <v>#DIV/0!</v>
      </c>
      <c r="BJ64" s="29" t="str">
        <f t="shared" si="68"/>
        <v>#DIV/0!</v>
      </c>
      <c r="BK64" s="29" t="str">
        <f t="shared" si="68"/>
        <v>#DIV/0!</v>
      </c>
      <c r="BL64" s="29" t="str">
        <f t="shared" si="68"/>
        <v>#DIV/0!</v>
      </c>
      <c r="BM64" s="29" t="str">
        <f t="shared" si="3"/>
        <v>#DIV/0!</v>
      </c>
    </row>
    <row r="65">
      <c r="A65" s="16" t="str">
        <f>IFERROR(__xludf.DUMMYFUNCTION("IFERROR(SPARKLINE(SORT(MAP(TRANSPOSE(AQ65:BL65), LAMBDA(val, IF(ISNUMBER(val), PERCENTRANK(AQ65:BL65, val)+0.01, 0))), SEQUENCE(COLUMNS(AQ65:BL65)), FALSE), {""charttype"",""column""; ""color"",""chartreuse""; ""ymin"", 0; ""ymax"", 1.01; ""highcolor"", "&amp;"""darkgreen""; ""lowcolor"", ""red""}), """")"),"")</f>
        <v/>
      </c>
      <c r="B65" s="17" t="str">
        <f t="shared" si="4"/>
        <v/>
      </c>
      <c r="C65" s="1" t="s">
        <v>3149</v>
      </c>
      <c r="D65" s="30" t="str">
        <f>IFERROR(__xludf.DUMMYFUNCTION("IFERROR(GOOGLEFINANCE(C65, ""NAME""))"),"Gerdau SA ADR")</f>
        <v>Gerdau SA ADR</v>
      </c>
      <c r="E65" s="30" t="s">
        <v>3004</v>
      </c>
      <c r="F65" s="33" t="str">
        <f>IFERROR(__xludf.DUMMYFUNCTION("( (GOOGLEFINANCE(C65, ""price"") - Q65) / Q65 ) / (R65 / 100)"),"Loading...")</f>
        <v>Loading...</v>
      </c>
      <c r="G65" s="20" t="str">
        <f>IFERROR(__xludf.DUMMYFUNCTION("AVERAGE(ARRAYFORMULA(100 * (QUERY(GOOGLEFINANCE(C65, ""high"", TODAY()-40, TODAY()), ""SELECT Col2 WHERE Col2 IS NOT NULL ORDER BY Col1 DESC LIMIT 20"", 0) / QUERY(GOOGLEFINANCE(C65, ""low"", TODAY()-40, TODAY()), ""SELECT Col2 WHERE Col2 IS NOT NULL ORDE"&amp;"R BY Col1 DESC LIMIT 20"", 0) - 1)))"),"#N/A")</f>
        <v>#N/A</v>
      </c>
      <c r="H65" s="35" t="str">
        <f t="shared" si="35"/>
        <v>Liquid</v>
      </c>
      <c r="I65" s="35" t="str">
        <f t="shared" si="7"/>
        <v>RVol Required</v>
      </c>
      <c r="J65" s="37">
        <f>IFERROR(__xludf.DUMMYFUNCTION("IFERROR(
  IF(C65="""",, 
    IFERROR(
      GOOGLEFINANCE(C65, ""price"") * GOOGLEFINANCE(C65, ""volumeavg""), 
      GOOGLEFINANCE(C65, ""price"") * AVERAGE(QUERY(GOOGLEFINANCE(C65, ""volume"", TODAY()-40, TODAY()), ""SELECT Col2 WHERE Col2 IS NOT NULL "&amp;"ORDER BY Col1 DESC LIMIT 20"", 0))
    )
  ), 
"""")"),6.3150324919999994E7)</f>
        <v>63150324.92</v>
      </c>
      <c r="K65" s="21">
        <f>IFERROR(__xludf.DUMMYFUNCTION("IFERROR(GOOGLEFINANCE(C65, ""changepct"") / 100, """")"),-0.0059)</f>
        <v>-0.0059</v>
      </c>
      <c r="L65" s="21" t="str">
        <f>IFERROR(__xludf.DUMMYFUNCTION("IFERROR((GOOGLEFINANCE(C65, ""price"") / INDEX(GOOGLEFINANCE(C65, ""price"", TODAY()-7, TODAY()), 2, 2)) - 1, """")"),"")</f>
        <v/>
      </c>
      <c r="M65" s="21" t="str">
        <f>IFERROR(__xludf.DUMMYFUNCTION("IFERROR((GOOGLEFINANCE(C65, ""price"") / INDEX(GOOGLEFINANCE(C65, ""price"", EDATE(TODAY(), -1), TODAY()), 2, 2)) - 1, """")"),"")</f>
        <v/>
      </c>
      <c r="N65" s="21" t="str">
        <f>IFERROR(__xludf.DUMMYFUNCTION("IFERROR((GOOGLEFINANCE(C65, ""price"") / INDEX(GOOGLEFINANCE(C65, ""price"", EDATE(TODAY(), -3), TODAY()), 2, 2)) - 1, """")"),"")</f>
        <v/>
      </c>
      <c r="O65" s="21" t="str">
        <f>IFERROR(__xludf.DUMMYFUNCTION("IFERROR((GOOGLEFINANCE(C65, ""price"") / INDEX(GOOGLEFINANCE(C65, ""price"", EDATE(TODAY(), -6), TODAY()), 2, 2)) - 1, """")"),"")</f>
        <v/>
      </c>
      <c r="P65" s="21" t="str">
        <f>IFERROR(__xludf.DUMMYFUNCTION("IFERROR((GOOGLEFINANCE(C65, ""price"") / INDEX(GOOGLEFINANCE(C65, ""price"", EDATE(TODAY(), -12), TODAY()), 2, 2)) - 1, """")"),"")</f>
        <v/>
      </c>
      <c r="Q65" s="6" t="str">
        <f>IFERROR(__xludf.DUMMYFUNCTION("AVERAGE(QUERY(GOOGLEFINANCE(C65, ""price"", TODAY()-80, TODAY()), ""SELECT Col2 WHERE Col2 IS NOT NULL ORDER BY Col1 DESC LIMIT 50"", 0))"),"#N/A")</f>
        <v>#N/A</v>
      </c>
      <c r="R65" s="24" t="str">
        <f>IFERROR(__xludf.DUMMYFUNCTION("IFERROR(
  LET(
    data, QUERY(GOOGLEFINANCE(C65,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GOOGLEFINANCE(C65, ""price"")) * 100,
    IF(calc=0, G65, calc)
  ), 
G65)"),"#N/A")</f>
        <v>#N/A</v>
      </c>
      <c r="S65" s="8" t="s">
        <v>15</v>
      </c>
      <c r="T65" s="26" t="str">
        <f>IFERROR(__xludf.DUMMYFUNCTION("IFERROR(TRANSPOSE(QUERY(IFERROR(SORT(GOOGLEFINANCE(C65, ""price"", WORKDAY(TODAY(), -40), TODAY()), 1, FALSE)), ""select Col2 where Col2 is not null limit 22 label Col2 ''"", 0)), """")"),"")</f>
        <v/>
      </c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8"/>
      <c r="AO65" s="28"/>
      <c r="AP65" s="29"/>
      <c r="AQ65" s="29" t="str">
        <f t="shared" ref="AQ65:BL65" si="69">T65/T$2</f>
        <v>#N/A</v>
      </c>
      <c r="AR65" s="29" t="str">
        <f t="shared" si="69"/>
        <v>#DIV/0!</v>
      </c>
      <c r="AS65" s="29" t="str">
        <f t="shared" si="69"/>
        <v>#DIV/0!</v>
      </c>
      <c r="AT65" s="29" t="str">
        <f t="shared" si="69"/>
        <v>#DIV/0!</v>
      </c>
      <c r="AU65" s="29" t="str">
        <f t="shared" si="69"/>
        <v>#DIV/0!</v>
      </c>
      <c r="AV65" s="29" t="str">
        <f t="shared" si="69"/>
        <v>#DIV/0!</v>
      </c>
      <c r="AW65" s="29" t="str">
        <f t="shared" si="69"/>
        <v>#DIV/0!</v>
      </c>
      <c r="AX65" s="29" t="str">
        <f t="shared" si="69"/>
        <v>#DIV/0!</v>
      </c>
      <c r="AY65" s="29" t="str">
        <f t="shared" si="69"/>
        <v>#DIV/0!</v>
      </c>
      <c r="AZ65" s="29" t="str">
        <f t="shared" si="69"/>
        <v>#DIV/0!</v>
      </c>
      <c r="BA65" s="29" t="str">
        <f t="shared" si="69"/>
        <v>#DIV/0!</v>
      </c>
      <c r="BB65" s="29" t="str">
        <f t="shared" si="69"/>
        <v>#DIV/0!</v>
      </c>
      <c r="BC65" s="29" t="str">
        <f t="shared" si="69"/>
        <v>#DIV/0!</v>
      </c>
      <c r="BD65" s="29" t="str">
        <f t="shared" si="69"/>
        <v>#DIV/0!</v>
      </c>
      <c r="BE65" s="29" t="str">
        <f t="shared" si="69"/>
        <v>#DIV/0!</v>
      </c>
      <c r="BF65" s="29" t="str">
        <f t="shared" si="69"/>
        <v>#DIV/0!</v>
      </c>
      <c r="BG65" s="29" t="str">
        <f t="shared" si="69"/>
        <v>#DIV/0!</v>
      </c>
      <c r="BH65" s="29" t="str">
        <f t="shared" si="69"/>
        <v>#DIV/0!</v>
      </c>
      <c r="BI65" s="29" t="str">
        <f t="shared" si="69"/>
        <v>#DIV/0!</v>
      </c>
      <c r="BJ65" s="29" t="str">
        <f t="shared" si="69"/>
        <v>#DIV/0!</v>
      </c>
      <c r="BK65" s="29" t="str">
        <f t="shared" si="69"/>
        <v>#DIV/0!</v>
      </c>
      <c r="BL65" s="29" t="str">
        <f t="shared" si="69"/>
        <v>#DIV/0!</v>
      </c>
      <c r="BM65" s="29" t="str">
        <f t="shared" si="3"/>
        <v>#DIV/0!</v>
      </c>
    </row>
    <row r="66">
      <c r="A66" s="16" t="str">
        <f>IFERROR(__xludf.DUMMYFUNCTION("IFERROR(SPARKLINE(SORT(MAP(TRANSPOSE(AQ66:BL66), LAMBDA(val, IF(ISNUMBER(val), PERCENTRANK(AQ66:BL66, val)+0.01, 0))), SEQUENCE(COLUMNS(AQ66:BL66)), FALSE), {""charttype"",""column""; ""color"",""chartreuse""; ""ymin"", 0; ""ymax"", 1.01; ""highcolor"", "&amp;"""darkgreen""; ""lowcolor"", ""red""}), """")"),"")</f>
        <v/>
      </c>
      <c r="B66" s="17" t="str">
        <f t="shared" si="4"/>
        <v/>
      </c>
      <c r="C66" s="1" t="s">
        <v>3152</v>
      </c>
      <c r="D66" s="30" t="str">
        <f>IFERROR(__xludf.DUMMYFUNCTION("IFERROR(GOOGLEFINANCE(C66, ""NAME""))"),"Lightwave Logic Inc")</f>
        <v>Lightwave Logic Inc</v>
      </c>
      <c r="E66" s="30" t="s">
        <v>2995</v>
      </c>
      <c r="F66" s="33" t="str">
        <f>IFERROR(__xludf.DUMMYFUNCTION("( (GOOGLEFINANCE(C66, ""price"") - Q66) / Q66 ) / (R66 / 100)"),"Loading...")</f>
        <v>Loading...</v>
      </c>
      <c r="G66" s="20" t="str">
        <f>IFERROR(__xludf.DUMMYFUNCTION("AVERAGE(ARRAYFORMULA(100 * (QUERY(GOOGLEFINANCE(C66, ""high"", TODAY()-40, TODAY()), ""SELECT Col2 WHERE Col2 IS NOT NULL ORDER BY Col1 DESC LIMIT 20"", 0) / QUERY(GOOGLEFINANCE(C66, ""low"", TODAY()-40, TODAY()), ""SELECT Col2 WHERE Col2 IS NOT NULL ORDE"&amp;"R BY Col1 DESC LIMIT 20"", 0) - 1)))"),"#N/A")</f>
        <v>#N/A</v>
      </c>
      <c r="H66" s="35" t="str">
        <f t="shared" si="35"/>
        <v>Illiquid</v>
      </c>
      <c r="I66" s="35" t="str">
        <f t="shared" si="7"/>
        <v>RVol Required</v>
      </c>
      <c r="J66" s="37">
        <f>IFERROR(__xludf.DUMMYFUNCTION("IFERROR(
  IF(C66="""",, 
    IFERROR(
      GOOGLEFINANCE(C66, ""price"") * GOOGLEFINANCE(C66, ""volumeavg""), 
      GOOGLEFINANCE(C66, ""price"") * AVERAGE(QUERY(GOOGLEFINANCE(C66, ""volume"", TODAY()-40, TODAY()), ""SELECT Col2 WHERE Col2 IS NOT NULL "&amp;"ORDER BY Col1 DESC LIMIT 20"", 0))
    )
  ), 
"""")"),1.280049482E7)</f>
        <v>12800494.82</v>
      </c>
      <c r="K66" s="21">
        <f>IFERROR(__xludf.DUMMYFUNCTION("IFERROR(GOOGLEFINANCE(C66, ""changepct"") / 100, """")"),-0.0548)</f>
        <v>-0.0548</v>
      </c>
      <c r="L66" s="21" t="str">
        <f>IFERROR(__xludf.DUMMYFUNCTION("IFERROR((GOOGLEFINANCE(C66, ""price"") / INDEX(GOOGLEFINANCE(C66, ""price"", TODAY()-7, TODAY()), 2, 2)) - 1, """")"),"")</f>
        <v/>
      </c>
      <c r="M66" s="21" t="str">
        <f>IFERROR(__xludf.DUMMYFUNCTION("IFERROR((GOOGLEFINANCE(C66, ""price"") / INDEX(GOOGLEFINANCE(C66, ""price"", EDATE(TODAY(), -1), TODAY()), 2, 2)) - 1, """")"),"")</f>
        <v/>
      </c>
      <c r="N66" s="21" t="str">
        <f>IFERROR(__xludf.DUMMYFUNCTION("IFERROR((GOOGLEFINANCE(C66, ""price"") / INDEX(GOOGLEFINANCE(C66, ""price"", EDATE(TODAY(), -3), TODAY()), 2, 2)) - 1, """")"),"")</f>
        <v/>
      </c>
      <c r="O66" s="21" t="str">
        <f>IFERROR(__xludf.DUMMYFUNCTION("IFERROR((GOOGLEFINANCE(C66, ""price"") / INDEX(GOOGLEFINANCE(C66, ""price"", EDATE(TODAY(), -6), TODAY()), 2, 2)) - 1, """")"),"")</f>
        <v/>
      </c>
      <c r="P66" s="21" t="str">
        <f>IFERROR(__xludf.DUMMYFUNCTION("IFERROR((GOOGLEFINANCE(C66, ""price"") / INDEX(GOOGLEFINANCE(C66, ""price"", EDATE(TODAY(), -12), TODAY()), 2, 2)) - 1, """")"),"")</f>
        <v/>
      </c>
      <c r="Q66" s="6" t="str">
        <f>IFERROR(__xludf.DUMMYFUNCTION("AVERAGE(QUERY(GOOGLEFINANCE(C66, ""price"", TODAY()-80, TODAY()), ""SELECT Col2 WHERE Col2 IS NOT NULL ORDER BY Col1 DESC LIMIT 50"", 0))"),"#N/A")</f>
        <v>#N/A</v>
      </c>
      <c r="R66" s="24" t="str">
        <f>IFERROR(__xludf.DUMMYFUNCTION("IFERROR(
  LET(
    data, QUERY(GOOGLEFINANCE(C66,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GOOGLEFINANCE(C66, ""price"")) * 100,
    IF(calc=0, G66, calc)
  ), 
G66)"),"#N/A")</f>
        <v>#N/A</v>
      </c>
      <c r="S66" s="8" t="s">
        <v>15</v>
      </c>
      <c r="T66" s="26" t="str">
        <f>IFERROR(__xludf.DUMMYFUNCTION("IFERROR(TRANSPOSE(QUERY(IFERROR(SORT(GOOGLEFINANCE(C66, ""price"", WORKDAY(TODAY(), -40), TODAY()), 1, FALSE)), ""select Col2 where Col2 is not null limit 22 label Col2 ''"", 0)), """")"),"")</f>
        <v/>
      </c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8"/>
      <c r="AO66" s="28"/>
      <c r="AP66" s="29"/>
      <c r="AQ66" s="29" t="str">
        <f t="shared" ref="AQ66:BL66" si="70">T66/T$2</f>
        <v>#N/A</v>
      </c>
      <c r="AR66" s="29" t="str">
        <f t="shared" si="70"/>
        <v>#DIV/0!</v>
      </c>
      <c r="AS66" s="29" t="str">
        <f t="shared" si="70"/>
        <v>#DIV/0!</v>
      </c>
      <c r="AT66" s="29" t="str">
        <f t="shared" si="70"/>
        <v>#DIV/0!</v>
      </c>
      <c r="AU66" s="29" t="str">
        <f t="shared" si="70"/>
        <v>#DIV/0!</v>
      </c>
      <c r="AV66" s="29" t="str">
        <f t="shared" si="70"/>
        <v>#DIV/0!</v>
      </c>
      <c r="AW66" s="29" t="str">
        <f t="shared" si="70"/>
        <v>#DIV/0!</v>
      </c>
      <c r="AX66" s="29" t="str">
        <f t="shared" si="70"/>
        <v>#DIV/0!</v>
      </c>
      <c r="AY66" s="29" t="str">
        <f t="shared" si="70"/>
        <v>#DIV/0!</v>
      </c>
      <c r="AZ66" s="29" t="str">
        <f t="shared" si="70"/>
        <v>#DIV/0!</v>
      </c>
      <c r="BA66" s="29" t="str">
        <f t="shared" si="70"/>
        <v>#DIV/0!</v>
      </c>
      <c r="BB66" s="29" t="str">
        <f t="shared" si="70"/>
        <v>#DIV/0!</v>
      </c>
      <c r="BC66" s="29" t="str">
        <f t="shared" si="70"/>
        <v>#DIV/0!</v>
      </c>
      <c r="BD66" s="29" t="str">
        <f t="shared" si="70"/>
        <v>#DIV/0!</v>
      </c>
      <c r="BE66" s="29" t="str">
        <f t="shared" si="70"/>
        <v>#DIV/0!</v>
      </c>
      <c r="BF66" s="29" t="str">
        <f t="shared" si="70"/>
        <v>#DIV/0!</v>
      </c>
      <c r="BG66" s="29" t="str">
        <f t="shared" si="70"/>
        <v>#DIV/0!</v>
      </c>
      <c r="BH66" s="29" t="str">
        <f t="shared" si="70"/>
        <v>#DIV/0!</v>
      </c>
      <c r="BI66" s="29" t="str">
        <f t="shared" si="70"/>
        <v>#DIV/0!</v>
      </c>
      <c r="BJ66" s="29" t="str">
        <f t="shared" si="70"/>
        <v>#DIV/0!</v>
      </c>
      <c r="BK66" s="29" t="str">
        <f t="shared" si="70"/>
        <v>#DIV/0!</v>
      </c>
      <c r="BL66" s="29" t="str">
        <f t="shared" si="70"/>
        <v>#DIV/0!</v>
      </c>
      <c r="BM66" s="29" t="str">
        <f t="shared" si="3"/>
        <v>#DIV/0!</v>
      </c>
    </row>
    <row r="67">
      <c r="A67" s="16" t="str">
        <f>IFERROR(__xludf.DUMMYFUNCTION("IFERROR(SPARKLINE(SORT(MAP(TRANSPOSE(AQ67:BL67), LAMBDA(val, IF(ISNUMBER(val), PERCENTRANK(AQ67:BL67, val)+0.01, 0))), SEQUENCE(COLUMNS(AQ67:BL67)), FALSE), {""charttype"",""column""; ""color"",""chartreuse""; ""ymin"", 0; ""ymax"", 1.01; ""highcolor"", "&amp;"""darkgreen""; ""lowcolor"", ""red""}), """")"),"")</f>
        <v/>
      </c>
      <c r="B67" s="17" t="str">
        <f t="shared" si="4"/>
        <v/>
      </c>
      <c r="C67" s="1" t="s">
        <v>3155</v>
      </c>
      <c r="D67" s="30" t="str">
        <f>IFERROR(__xludf.DUMMYFUNCTION("IFERROR(GOOGLEFINANCE(C67, ""NAME""))"),"American Resources Corp")</f>
        <v>American Resources Corp</v>
      </c>
      <c r="E67" s="30" t="s">
        <v>2941</v>
      </c>
      <c r="F67" s="33" t="str">
        <f>IFERROR(__xludf.DUMMYFUNCTION("( (GOOGLEFINANCE(C67, ""price"") - Q67) / Q67 ) / (R67 / 100)"),"Loading...")</f>
        <v>Loading...</v>
      </c>
      <c r="G67" s="20" t="str">
        <f>IFERROR(__xludf.DUMMYFUNCTION("AVERAGE(ARRAYFORMULA(100 * (QUERY(GOOGLEFINANCE(C67, ""high"", TODAY()-40, TODAY()), ""SELECT Col2 WHERE Col2 IS NOT NULL ORDER BY Col1 DESC LIMIT 20"", 0) / QUERY(GOOGLEFINANCE(C67, ""low"", TODAY()-40, TODAY()), ""SELECT Col2 WHERE Col2 IS NOT NULL ORDE"&amp;"R BY Col1 DESC LIMIT 20"", 0) - 1)))"),"#N/A")</f>
        <v>#N/A</v>
      </c>
      <c r="H67" s="35" t="str">
        <f t="shared" si="35"/>
        <v>Illiquid</v>
      </c>
      <c r="I67" s="35" t="str">
        <f t="shared" si="7"/>
        <v>RVol Required</v>
      </c>
      <c r="J67" s="37">
        <f>IFERROR(__xludf.DUMMYFUNCTION("IFERROR(
  IF(C67="""",, 
    IFERROR(
      GOOGLEFINANCE(C67, ""price"") * GOOGLEFINANCE(C67, ""volumeavg""), 
      GOOGLEFINANCE(C67, ""price"") * AVERAGE(QUERY(GOOGLEFINANCE(C67, ""volume"", TODAY()-40, TODAY()), ""SELECT Col2 WHERE Col2 IS NOT NULL "&amp;"ORDER BY Col1 DESC LIMIT 20"", 0))
    )
  ), 
"""")"),1998539.6999999997)</f>
        <v>1998539.7</v>
      </c>
      <c r="K67" s="21">
        <f>IFERROR(__xludf.DUMMYFUNCTION("IFERROR(GOOGLEFINANCE(C67, ""changepct"") / 100, """")"),-0.05)</f>
        <v>-0.05</v>
      </c>
      <c r="L67" s="21" t="str">
        <f>IFERROR(__xludf.DUMMYFUNCTION("IFERROR((GOOGLEFINANCE(C67, ""price"") / INDEX(GOOGLEFINANCE(C67, ""price"", TODAY()-7, TODAY()), 2, 2)) - 1, """")"),"")</f>
        <v/>
      </c>
      <c r="M67" s="21" t="str">
        <f>IFERROR(__xludf.DUMMYFUNCTION("IFERROR((GOOGLEFINANCE(C67, ""price"") / INDEX(GOOGLEFINANCE(C67, ""price"", EDATE(TODAY(), -1), TODAY()), 2, 2)) - 1, """")"),"")</f>
        <v/>
      </c>
      <c r="N67" s="21" t="str">
        <f>IFERROR(__xludf.DUMMYFUNCTION("IFERROR((GOOGLEFINANCE(C67, ""price"") / INDEX(GOOGLEFINANCE(C67, ""price"", EDATE(TODAY(), -3), TODAY()), 2, 2)) - 1, """")"),"")</f>
        <v/>
      </c>
      <c r="O67" s="21" t="str">
        <f>IFERROR(__xludf.DUMMYFUNCTION("IFERROR((GOOGLEFINANCE(C67, ""price"") / INDEX(GOOGLEFINANCE(C67, ""price"", EDATE(TODAY(), -6), TODAY()), 2, 2)) - 1, """")"),"")</f>
        <v/>
      </c>
      <c r="P67" s="21" t="str">
        <f>IFERROR(__xludf.DUMMYFUNCTION("IFERROR((GOOGLEFINANCE(C67, ""price"") / INDEX(GOOGLEFINANCE(C67, ""price"", EDATE(TODAY(), -12), TODAY()), 2, 2)) - 1, """")"),"")</f>
        <v/>
      </c>
      <c r="Q67" s="6" t="str">
        <f>IFERROR(__xludf.DUMMYFUNCTION("AVERAGE(QUERY(GOOGLEFINANCE(C67, ""price"", TODAY()-80, TODAY()), ""SELECT Col2 WHERE Col2 IS NOT NULL ORDER BY Col1 DESC LIMIT 50"", 0))"),"#N/A")</f>
        <v>#N/A</v>
      </c>
      <c r="R67" s="24" t="str">
        <f>IFERROR(__xludf.DUMMYFUNCTION("IFERROR(
  LET(
    data, QUERY(GOOGLEFINANCE(C67,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GOOGLEFINANCE(C67, ""price"")) * 100,
    IF(calc=0, G67, calc)
  ), 
G67)"),"#N/A")</f>
        <v>#N/A</v>
      </c>
      <c r="S67" s="8" t="s">
        <v>15</v>
      </c>
      <c r="T67" s="26" t="str">
        <f>IFERROR(__xludf.DUMMYFUNCTION("IFERROR(TRANSPOSE(QUERY(IFERROR(SORT(GOOGLEFINANCE(C67, ""price"", WORKDAY(TODAY(), -40), TODAY()), 1, FALSE)), ""select Col2 where Col2 is not null limit 22 label Col2 ''"", 0)), """")"),"")</f>
        <v/>
      </c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8"/>
      <c r="AO67" s="28"/>
      <c r="AP67" s="29"/>
      <c r="AQ67" s="29" t="str">
        <f t="shared" ref="AQ67:BL67" si="71">T67/T$2</f>
        <v>#N/A</v>
      </c>
      <c r="AR67" s="29" t="str">
        <f t="shared" si="71"/>
        <v>#DIV/0!</v>
      </c>
      <c r="AS67" s="29" t="str">
        <f t="shared" si="71"/>
        <v>#DIV/0!</v>
      </c>
      <c r="AT67" s="29" t="str">
        <f t="shared" si="71"/>
        <v>#DIV/0!</v>
      </c>
      <c r="AU67" s="29" t="str">
        <f t="shared" si="71"/>
        <v>#DIV/0!</v>
      </c>
      <c r="AV67" s="29" t="str">
        <f t="shared" si="71"/>
        <v>#DIV/0!</v>
      </c>
      <c r="AW67" s="29" t="str">
        <f t="shared" si="71"/>
        <v>#DIV/0!</v>
      </c>
      <c r="AX67" s="29" t="str">
        <f t="shared" si="71"/>
        <v>#DIV/0!</v>
      </c>
      <c r="AY67" s="29" t="str">
        <f t="shared" si="71"/>
        <v>#DIV/0!</v>
      </c>
      <c r="AZ67" s="29" t="str">
        <f t="shared" si="71"/>
        <v>#DIV/0!</v>
      </c>
      <c r="BA67" s="29" t="str">
        <f t="shared" si="71"/>
        <v>#DIV/0!</v>
      </c>
      <c r="BB67" s="29" t="str">
        <f t="shared" si="71"/>
        <v>#DIV/0!</v>
      </c>
      <c r="BC67" s="29" t="str">
        <f t="shared" si="71"/>
        <v>#DIV/0!</v>
      </c>
      <c r="BD67" s="29" t="str">
        <f t="shared" si="71"/>
        <v>#DIV/0!</v>
      </c>
      <c r="BE67" s="29" t="str">
        <f t="shared" si="71"/>
        <v>#DIV/0!</v>
      </c>
      <c r="BF67" s="29" t="str">
        <f t="shared" si="71"/>
        <v>#DIV/0!</v>
      </c>
      <c r="BG67" s="29" t="str">
        <f t="shared" si="71"/>
        <v>#DIV/0!</v>
      </c>
      <c r="BH67" s="29" t="str">
        <f t="shared" si="71"/>
        <v>#DIV/0!</v>
      </c>
      <c r="BI67" s="29" t="str">
        <f t="shared" si="71"/>
        <v>#DIV/0!</v>
      </c>
      <c r="BJ67" s="29" t="str">
        <f t="shared" si="71"/>
        <v>#DIV/0!</v>
      </c>
      <c r="BK67" s="29" t="str">
        <f t="shared" si="71"/>
        <v>#DIV/0!</v>
      </c>
      <c r="BL67" s="29" t="str">
        <f t="shared" si="71"/>
        <v>#DIV/0!</v>
      </c>
      <c r="BM67" s="29" t="str">
        <f t="shared" si="3"/>
        <v>#DIV/0!</v>
      </c>
    </row>
    <row r="68">
      <c r="A68" s="16" t="str">
        <f>IFERROR(__xludf.DUMMYFUNCTION("IFERROR(SPARKLINE(SORT(MAP(TRANSPOSE(AQ68:BL68), LAMBDA(val, IF(ISNUMBER(val), PERCENTRANK(AQ68:BL68, val)+0.01, 0))), SEQUENCE(COLUMNS(AQ68:BL68)), FALSE), {""charttype"",""column""; ""color"",""chartreuse""; ""ymin"", 0; ""ymax"", 1.01; ""highcolor"", "&amp;"""darkgreen""; ""lowcolor"", ""red""}), """")"),"")</f>
        <v/>
      </c>
      <c r="B68" s="17" t="str">
        <f t="shared" si="4"/>
        <v/>
      </c>
      <c r="C68" s="1" t="s">
        <v>3158</v>
      </c>
      <c r="D68" s="30" t="str">
        <f>IFERROR(__xludf.DUMMYFUNCTION("IFERROR(GOOGLEFINANCE(C68, ""NAME""))"),"Albemarle Corp")</f>
        <v>Albemarle Corp</v>
      </c>
      <c r="E68" s="30" t="s">
        <v>2995</v>
      </c>
      <c r="F68" s="33" t="str">
        <f>IFERROR(__xludf.DUMMYFUNCTION("( (GOOGLEFINANCE(C68, ""price"") - Q68) / Q68 ) / (R68 / 100)"),"Loading...")</f>
        <v>Loading...</v>
      </c>
      <c r="G68" s="20" t="str">
        <f>IFERROR(__xludf.DUMMYFUNCTION("AVERAGE(ARRAYFORMULA(100 * (QUERY(GOOGLEFINANCE(C68, ""high"", TODAY()-40, TODAY()), ""SELECT Col2 WHERE Col2 IS NOT NULL ORDER BY Col1 DESC LIMIT 20"", 0) / QUERY(GOOGLEFINANCE(C68, ""low"", TODAY()-40, TODAY()), ""SELECT Col2 WHERE Col2 IS NOT NULL ORDE"&amp;"R BY Col1 DESC LIMIT 20"", 0) - 1)))"),"#N/A")</f>
        <v>#N/A</v>
      </c>
      <c r="H68" s="35" t="str">
        <f t="shared" si="35"/>
        <v>Liquid</v>
      </c>
      <c r="I68" s="35" t="str">
        <f t="shared" si="7"/>
        <v>RVol Required</v>
      </c>
      <c r="J68" s="37">
        <f>IFERROR(__xludf.DUMMYFUNCTION("IFERROR(
  IF(C68="""",, 
    IFERROR(
      GOOGLEFINANCE(C68, ""price"") * GOOGLEFINANCE(C68, ""volumeavg""), 
      GOOGLEFINANCE(C68, ""price"") * AVERAGE(QUERY(GOOGLEFINANCE(C68, ""volume"", TODAY()-40, TODAY()), ""SELECT Col2 WHERE Col2 IS NOT NULL "&amp;"ORDER BY Col1 DESC LIMIT 20"", 0))
    )
  ), 
"""")"),2.4973443264000002E8)</f>
        <v>249734432.6</v>
      </c>
      <c r="K68" s="21">
        <f>IFERROR(__xludf.DUMMYFUNCTION("IFERROR(GOOGLEFINANCE(C68, ""changepct"") / 100, """")"),-0.0275)</f>
        <v>-0.0275</v>
      </c>
      <c r="L68" s="21" t="str">
        <f>IFERROR(__xludf.DUMMYFUNCTION("IFERROR((GOOGLEFINANCE(C68, ""price"") / INDEX(GOOGLEFINANCE(C68, ""price"", TODAY()-7, TODAY()), 2, 2)) - 1, """")"),"")</f>
        <v/>
      </c>
      <c r="M68" s="21" t="str">
        <f>IFERROR(__xludf.DUMMYFUNCTION("IFERROR((GOOGLEFINANCE(C68, ""price"") / INDEX(GOOGLEFINANCE(C68, ""price"", EDATE(TODAY(), -1), TODAY()), 2, 2)) - 1, """")"),"")</f>
        <v/>
      </c>
      <c r="N68" s="21" t="str">
        <f>IFERROR(__xludf.DUMMYFUNCTION("IFERROR((GOOGLEFINANCE(C68, ""price"") / INDEX(GOOGLEFINANCE(C68, ""price"", EDATE(TODAY(), -3), TODAY()), 2, 2)) - 1, """")"),"")</f>
        <v/>
      </c>
      <c r="O68" s="21" t="str">
        <f>IFERROR(__xludf.DUMMYFUNCTION("IFERROR((GOOGLEFINANCE(C68, ""price"") / INDEX(GOOGLEFINANCE(C68, ""price"", EDATE(TODAY(), -6), TODAY()), 2, 2)) - 1, """")"),"")</f>
        <v/>
      </c>
      <c r="P68" s="21" t="str">
        <f>IFERROR(__xludf.DUMMYFUNCTION("IFERROR((GOOGLEFINANCE(C68, ""price"") / INDEX(GOOGLEFINANCE(C68, ""price"", EDATE(TODAY(), -12), TODAY()), 2, 2)) - 1, """")"),"")</f>
        <v/>
      </c>
      <c r="Q68" s="6" t="str">
        <f>IFERROR(__xludf.DUMMYFUNCTION("AVERAGE(QUERY(GOOGLEFINANCE(C68, ""price"", TODAY()-80, TODAY()), ""SELECT Col2 WHERE Col2 IS NOT NULL ORDER BY Col1 DESC LIMIT 50"", 0))"),"#N/A")</f>
        <v>#N/A</v>
      </c>
      <c r="R68" s="24" t="str">
        <f>IFERROR(__xludf.DUMMYFUNCTION("IFERROR(
  LET(
    data, QUERY(GOOGLEFINANCE(C68,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GOOGLEFINANCE(C68, ""price"")) * 100,
    IF(calc=0, G68, calc)
  ), 
G68)"),"#N/A")</f>
        <v>#N/A</v>
      </c>
      <c r="S68" s="8" t="s">
        <v>15</v>
      </c>
      <c r="T68" s="26" t="str">
        <f>IFERROR(__xludf.DUMMYFUNCTION("IFERROR(TRANSPOSE(QUERY(IFERROR(SORT(GOOGLEFINANCE(C68, ""price"", WORKDAY(TODAY(), -40), TODAY()), 1, FALSE)), ""select Col2 where Col2 is not null limit 22 label Col2 ''"", 0)), """")"),"")</f>
        <v/>
      </c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8"/>
      <c r="AO68" s="28"/>
      <c r="AP68" s="29"/>
      <c r="AQ68" s="29" t="str">
        <f t="shared" ref="AQ68:BL68" si="72">T68/T$2</f>
        <v>#N/A</v>
      </c>
      <c r="AR68" s="29" t="str">
        <f t="shared" si="72"/>
        <v>#DIV/0!</v>
      </c>
      <c r="AS68" s="29" t="str">
        <f t="shared" si="72"/>
        <v>#DIV/0!</v>
      </c>
      <c r="AT68" s="29" t="str">
        <f t="shared" si="72"/>
        <v>#DIV/0!</v>
      </c>
      <c r="AU68" s="29" t="str">
        <f t="shared" si="72"/>
        <v>#DIV/0!</v>
      </c>
      <c r="AV68" s="29" t="str">
        <f t="shared" si="72"/>
        <v>#DIV/0!</v>
      </c>
      <c r="AW68" s="29" t="str">
        <f t="shared" si="72"/>
        <v>#DIV/0!</v>
      </c>
      <c r="AX68" s="29" t="str">
        <f t="shared" si="72"/>
        <v>#DIV/0!</v>
      </c>
      <c r="AY68" s="29" t="str">
        <f t="shared" si="72"/>
        <v>#DIV/0!</v>
      </c>
      <c r="AZ68" s="29" t="str">
        <f t="shared" si="72"/>
        <v>#DIV/0!</v>
      </c>
      <c r="BA68" s="29" t="str">
        <f t="shared" si="72"/>
        <v>#DIV/0!</v>
      </c>
      <c r="BB68" s="29" t="str">
        <f t="shared" si="72"/>
        <v>#DIV/0!</v>
      </c>
      <c r="BC68" s="29" t="str">
        <f t="shared" si="72"/>
        <v>#DIV/0!</v>
      </c>
      <c r="BD68" s="29" t="str">
        <f t="shared" si="72"/>
        <v>#DIV/0!</v>
      </c>
      <c r="BE68" s="29" t="str">
        <f t="shared" si="72"/>
        <v>#DIV/0!</v>
      </c>
      <c r="BF68" s="29" t="str">
        <f t="shared" si="72"/>
        <v>#DIV/0!</v>
      </c>
      <c r="BG68" s="29" t="str">
        <f t="shared" si="72"/>
        <v>#DIV/0!</v>
      </c>
      <c r="BH68" s="29" t="str">
        <f t="shared" si="72"/>
        <v>#DIV/0!</v>
      </c>
      <c r="BI68" s="29" t="str">
        <f t="shared" si="72"/>
        <v>#DIV/0!</v>
      </c>
      <c r="BJ68" s="29" t="str">
        <f t="shared" si="72"/>
        <v>#DIV/0!</v>
      </c>
      <c r="BK68" s="29" t="str">
        <f t="shared" si="72"/>
        <v>#DIV/0!</v>
      </c>
      <c r="BL68" s="29" t="str">
        <f t="shared" si="72"/>
        <v>#DIV/0!</v>
      </c>
      <c r="BM68" s="29" t="str">
        <f t="shared" si="3"/>
        <v>#DIV/0!</v>
      </c>
    </row>
    <row r="69">
      <c r="A69" s="16" t="str">
        <f>IFERROR(__xludf.DUMMYFUNCTION("IFERROR(SPARKLINE(SORT(MAP(TRANSPOSE(AQ69:BL69), LAMBDA(val, IF(ISNUMBER(val), PERCENTRANK(AQ69:BL69, val)+0.01, 0))), SEQUENCE(COLUMNS(AQ69:BL69)), FALSE), {""charttype"",""column""; ""color"",""chartreuse""; ""ymin"", 0; ""ymax"", 1.01; ""highcolor"", "&amp;"""darkgreen""; ""lowcolor"", ""red""}), """")"),"")</f>
        <v/>
      </c>
      <c r="B69" s="17" t="str">
        <f t="shared" si="4"/>
        <v/>
      </c>
      <c r="C69" s="1" t="s">
        <v>3161</v>
      </c>
      <c r="D69" s="30" t="str">
        <f>IFERROR(__xludf.DUMMYFUNCTION("IFERROR(GOOGLEFINANCE(C69, ""NAME""))"),"Eldorado Gold Corp")</f>
        <v>Eldorado Gold Corp</v>
      </c>
      <c r="E69" s="30" t="s">
        <v>2928</v>
      </c>
      <c r="F69" s="33" t="str">
        <f>IFERROR(__xludf.DUMMYFUNCTION("( (GOOGLEFINANCE(C69, ""price"") - Q69) / Q69 ) / (R69 / 100)"),"Loading...")</f>
        <v>Loading...</v>
      </c>
      <c r="G69" s="20" t="str">
        <f>IFERROR(__xludf.DUMMYFUNCTION("AVERAGE(ARRAYFORMULA(100 * (QUERY(GOOGLEFINANCE(C69, ""high"", TODAY()-40, TODAY()), ""SELECT Col2 WHERE Col2 IS NOT NULL ORDER BY Col1 DESC LIMIT 20"", 0) / QUERY(GOOGLEFINANCE(C69, ""low"", TODAY()-40, TODAY()), ""SELECT Col2 WHERE Col2 IS NOT NULL ORDE"&amp;"R BY Col1 DESC LIMIT 20"", 0) - 1)))"),"#N/A")</f>
        <v>#N/A</v>
      </c>
      <c r="H69" s="35" t="str">
        <f t="shared" si="35"/>
        <v>Liquid</v>
      </c>
      <c r="I69" s="35" t="str">
        <f t="shared" si="7"/>
        <v>RVol Required</v>
      </c>
      <c r="J69" s="37">
        <f>IFERROR(__xludf.DUMMYFUNCTION("IFERROR(
  IF(C69="""",, 
    IFERROR(
      GOOGLEFINANCE(C69, ""price"") * GOOGLEFINANCE(C69, ""volumeavg""), 
      GOOGLEFINANCE(C69, ""price"") * AVERAGE(QUERY(GOOGLEFINANCE(C69, ""volume"", TODAY()-40, TODAY()), ""SELECT Col2 WHERE Col2 IS NOT NULL "&amp;"ORDER BY Col1 DESC LIMIT 20"", 0))
    )
  ), 
"""")"),1.1084388377999999E8)</f>
        <v>110843883.8</v>
      </c>
      <c r="K69" s="21">
        <f>IFERROR(__xludf.DUMMYFUNCTION("IFERROR(GOOGLEFINANCE(C69, ""changepct"") / 100, """")"),-0.008)</f>
        <v>-0.008</v>
      </c>
      <c r="L69" s="21" t="str">
        <f>IFERROR(__xludf.DUMMYFUNCTION("IFERROR((GOOGLEFINANCE(C69, ""price"") / INDEX(GOOGLEFINANCE(C69, ""price"", TODAY()-7, TODAY()), 2, 2)) - 1, """")"),"")</f>
        <v/>
      </c>
      <c r="M69" s="21" t="str">
        <f>IFERROR(__xludf.DUMMYFUNCTION("IFERROR((GOOGLEFINANCE(C69, ""price"") / INDEX(GOOGLEFINANCE(C69, ""price"", EDATE(TODAY(), -1), TODAY()), 2, 2)) - 1, """")"),"")</f>
        <v/>
      </c>
      <c r="N69" s="21" t="str">
        <f>IFERROR(__xludf.DUMMYFUNCTION("IFERROR((GOOGLEFINANCE(C69, ""price"") / INDEX(GOOGLEFINANCE(C69, ""price"", EDATE(TODAY(), -3), TODAY()), 2, 2)) - 1, """")"),"")</f>
        <v/>
      </c>
      <c r="O69" s="21" t="str">
        <f>IFERROR(__xludf.DUMMYFUNCTION("IFERROR((GOOGLEFINANCE(C69, ""price"") / INDEX(GOOGLEFINANCE(C69, ""price"", EDATE(TODAY(), -6), TODAY()), 2, 2)) - 1, """")"),"")</f>
        <v/>
      </c>
      <c r="P69" s="21" t="str">
        <f>IFERROR(__xludf.DUMMYFUNCTION("IFERROR((GOOGLEFINANCE(C69, ""price"") / INDEX(GOOGLEFINANCE(C69, ""price"", EDATE(TODAY(), -12), TODAY()), 2, 2)) - 1, """")"),"")</f>
        <v/>
      </c>
      <c r="Q69" s="6" t="str">
        <f>IFERROR(__xludf.DUMMYFUNCTION("AVERAGE(QUERY(GOOGLEFINANCE(C69, ""price"", TODAY()-80, TODAY()), ""SELECT Col2 WHERE Col2 IS NOT NULL ORDER BY Col1 DESC LIMIT 50"", 0))"),"#N/A")</f>
        <v>#N/A</v>
      </c>
      <c r="R69" s="24" t="str">
        <f>IFERROR(__xludf.DUMMYFUNCTION("IFERROR(
  LET(
    data, QUERY(GOOGLEFINANCE(C69,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GOOGLEFINANCE(C69, ""price"")) * 100,
    IF(calc=0, G69, calc)
  ), 
G69)"),"#N/A")</f>
        <v>#N/A</v>
      </c>
      <c r="S69" s="8" t="s">
        <v>15</v>
      </c>
      <c r="T69" s="26" t="str">
        <f>IFERROR(__xludf.DUMMYFUNCTION("IFERROR(TRANSPOSE(QUERY(IFERROR(SORT(GOOGLEFINANCE(C69, ""price"", WORKDAY(TODAY(), -40), TODAY()), 1, FALSE)), ""select Col2 where Col2 is not null limit 22 label Col2 ''"", 0)), """")"),"")</f>
        <v/>
      </c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8"/>
      <c r="AO69" s="28"/>
      <c r="AP69" s="29"/>
      <c r="AQ69" s="29" t="str">
        <f t="shared" ref="AQ69:BL69" si="73">T69/T$2</f>
        <v>#N/A</v>
      </c>
      <c r="AR69" s="29" t="str">
        <f t="shared" si="73"/>
        <v>#DIV/0!</v>
      </c>
      <c r="AS69" s="29" t="str">
        <f t="shared" si="73"/>
        <v>#DIV/0!</v>
      </c>
      <c r="AT69" s="29" t="str">
        <f t="shared" si="73"/>
        <v>#DIV/0!</v>
      </c>
      <c r="AU69" s="29" t="str">
        <f t="shared" si="73"/>
        <v>#DIV/0!</v>
      </c>
      <c r="AV69" s="29" t="str">
        <f t="shared" si="73"/>
        <v>#DIV/0!</v>
      </c>
      <c r="AW69" s="29" t="str">
        <f t="shared" si="73"/>
        <v>#DIV/0!</v>
      </c>
      <c r="AX69" s="29" t="str">
        <f t="shared" si="73"/>
        <v>#DIV/0!</v>
      </c>
      <c r="AY69" s="29" t="str">
        <f t="shared" si="73"/>
        <v>#DIV/0!</v>
      </c>
      <c r="AZ69" s="29" t="str">
        <f t="shared" si="73"/>
        <v>#DIV/0!</v>
      </c>
      <c r="BA69" s="29" t="str">
        <f t="shared" si="73"/>
        <v>#DIV/0!</v>
      </c>
      <c r="BB69" s="29" t="str">
        <f t="shared" si="73"/>
        <v>#DIV/0!</v>
      </c>
      <c r="BC69" s="29" t="str">
        <f t="shared" si="73"/>
        <v>#DIV/0!</v>
      </c>
      <c r="BD69" s="29" t="str">
        <f t="shared" si="73"/>
        <v>#DIV/0!</v>
      </c>
      <c r="BE69" s="29" t="str">
        <f t="shared" si="73"/>
        <v>#DIV/0!</v>
      </c>
      <c r="BF69" s="29" t="str">
        <f t="shared" si="73"/>
        <v>#DIV/0!</v>
      </c>
      <c r="BG69" s="29" t="str">
        <f t="shared" si="73"/>
        <v>#DIV/0!</v>
      </c>
      <c r="BH69" s="29" t="str">
        <f t="shared" si="73"/>
        <v>#DIV/0!</v>
      </c>
      <c r="BI69" s="29" t="str">
        <f t="shared" si="73"/>
        <v>#DIV/0!</v>
      </c>
      <c r="BJ69" s="29" t="str">
        <f t="shared" si="73"/>
        <v>#DIV/0!</v>
      </c>
      <c r="BK69" s="29" t="str">
        <f t="shared" si="73"/>
        <v>#DIV/0!</v>
      </c>
      <c r="BL69" s="29" t="str">
        <f t="shared" si="73"/>
        <v>#DIV/0!</v>
      </c>
      <c r="BM69" s="29" t="str">
        <f t="shared" si="3"/>
        <v>#DIV/0!</v>
      </c>
    </row>
    <row r="70">
      <c r="A70" s="16" t="str">
        <f>IFERROR(__xludf.DUMMYFUNCTION("IFERROR(SPARKLINE(SORT(MAP(TRANSPOSE(AQ70:BL70), LAMBDA(val, IF(ISNUMBER(val), PERCENTRANK(AQ70:BL70, val)+0.01, 0))), SEQUENCE(COLUMNS(AQ70:BL70)), FALSE), {""charttype"",""column""; ""color"",""chartreuse""; ""ymin"", 0; ""ymax"", 1.01; ""highcolor"", "&amp;"""darkgreen""; ""lowcolor"", ""red""}), """")"),"")</f>
        <v/>
      </c>
      <c r="B70" s="17" t="str">
        <f t="shared" si="4"/>
        <v/>
      </c>
      <c r="C70" s="1" t="s">
        <v>3165</v>
      </c>
      <c r="D70" s="30" t="str">
        <f>IFERROR(__xludf.DUMMYFUNCTION("IFERROR(GOOGLEFINANCE(C70, ""NAME""))"),"Trekor Metals Ltd")</f>
        <v>Trekor Metals Ltd</v>
      </c>
      <c r="E70" s="30" t="s">
        <v>3025</v>
      </c>
      <c r="F70" s="33" t="str">
        <f>IFERROR(__xludf.DUMMYFUNCTION("( (GOOGLEFINANCE(C70, ""price"") - Q70) / Q70 ) / (R70 / 100)"),"Loading...")</f>
        <v>Loading...</v>
      </c>
      <c r="G70" s="20" t="str">
        <f>IFERROR(__xludf.DUMMYFUNCTION("AVERAGE(ARRAYFORMULA(100 * (QUERY(GOOGLEFINANCE(C70, ""high"", TODAY()-40, TODAY()), ""SELECT Col2 WHERE Col2 IS NOT NULL ORDER BY Col1 DESC LIMIT 20"", 0) / QUERY(GOOGLEFINANCE(C70, ""low"", TODAY()-40, TODAY()), ""SELECT Col2 WHERE Col2 IS NOT NULL ORDE"&amp;"R BY Col1 DESC LIMIT 20"", 0) - 1)))"),"#N/A")</f>
        <v>#N/A</v>
      </c>
      <c r="H70" s="35" t="str">
        <f t="shared" si="35"/>
        <v>Illiquid</v>
      </c>
      <c r="I70" s="35" t="str">
        <f t="shared" si="7"/>
        <v>RVol Required</v>
      </c>
      <c r="J70" s="37">
        <f>IFERROR(__xludf.DUMMYFUNCTION("IFERROR(
  IF(C70="""",, 
    IFERROR(
      GOOGLEFINANCE(C70, ""price"") * GOOGLEFINANCE(C70, ""volumeavg""), 
      GOOGLEFINANCE(C70, ""price"") * AVERAGE(QUERY(GOOGLEFINANCE(C70, ""volume"", TODAY()-40, TODAY()), ""SELECT Col2 WHERE Col2 IS NOT NULL "&amp;"ORDER BY Col1 DESC LIMIT 20"", 0))
    )
  ), 
"""")"),3.899566382E7)</f>
        <v>38995663.82</v>
      </c>
      <c r="K70" s="21">
        <f>IFERROR(__xludf.DUMMYFUNCTION("IFERROR(GOOGLEFINANCE(C70, ""changepct"") / 100, """")"),-0.0148)</f>
        <v>-0.0148</v>
      </c>
      <c r="L70" s="21" t="str">
        <f>IFERROR(__xludf.DUMMYFUNCTION("IFERROR((GOOGLEFINANCE(C70, ""price"") / INDEX(GOOGLEFINANCE(C70, ""price"", TODAY()-7, TODAY()), 2, 2)) - 1, """")"),"")</f>
        <v/>
      </c>
      <c r="M70" s="21" t="str">
        <f>IFERROR(__xludf.DUMMYFUNCTION("IFERROR((GOOGLEFINANCE(C70, ""price"") / INDEX(GOOGLEFINANCE(C70, ""price"", EDATE(TODAY(), -1), TODAY()), 2, 2)) - 1, """")"),"")</f>
        <v/>
      </c>
      <c r="N70" s="21" t="str">
        <f>IFERROR(__xludf.DUMMYFUNCTION("IFERROR((GOOGLEFINANCE(C70, ""price"") / INDEX(GOOGLEFINANCE(C70, ""price"", EDATE(TODAY(), -3), TODAY()), 2, 2)) - 1, """")"),"")</f>
        <v/>
      </c>
      <c r="O70" s="21" t="str">
        <f>IFERROR(__xludf.DUMMYFUNCTION("IFERROR((GOOGLEFINANCE(C70, ""price"") / INDEX(GOOGLEFINANCE(C70, ""price"", EDATE(TODAY(), -6), TODAY()), 2, 2)) - 1, """")"),"")</f>
        <v/>
      </c>
      <c r="P70" s="21" t="str">
        <f>IFERROR(__xludf.DUMMYFUNCTION("IFERROR((GOOGLEFINANCE(C70, ""price"") / INDEX(GOOGLEFINANCE(C70, ""price"", EDATE(TODAY(), -12), TODAY()), 2, 2)) - 1, """")"),"")</f>
        <v/>
      </c>
      <c r="Q70" s="6" t="str">
        <f>IFERROR(__xludf.DUMMYFUNCTION("AVERAGE(QUERY(GOOGLEFINANCE(C70, ""price"", TODAY()-80, TODAY()), ""SELECT Col2 WHERE Col2 IS NOT NULL ORDER BY Col1 DESC LIMIT 50"", 0))"),"#N/A")</f>
        <v>#N/A</v>
      </c>
      <c r="R70" s="24" t="str">
        <f>IFERROR(__xludf.DUMMYFUNCTION("IFERROR(
  LET(
    data, QUERY(GOOGLEFINANCE(C70,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GOOGLEFINANCE(C70, ""price"")) * 100,
    IF(calc=0, G70, calc)
  ), 
G70)"),"#N/A")</f>
        <v>#N/A</v>
      </c>
      <c r="S70" s="8" t="s">
        <v>15</v>
      </c>
      <c r="T70" s="26" t="str">
        <f>IFERROR(__xludf.DUMMYFUNCTION("IFERROR(TRANSPOSE(QUERY(IFERROR(SORT(GOOGLEFINANCE(C70, ""price"", WORKDAY(TODAY(), -40), TODAY()), 1, FALSE)), ""select Col2 where Col2 is not null limit 22 label Col2 ''"", 0)), """")"),"")</f>
        <v/>
      </c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8"/>
      <c r="AO70" s="28"/>
      <c r="AP70" s="29"/>
      <c r="AQ70" s="29" t="str">
        <f t="shared" ref="AQ70:BL70" si="74">T70/T$2</f>
        <v>#N/A</v>
      </c>
      <c r="AR70" s="29" t="str">
        <f t="shared" si="74"/>
        <v>#DIV/0!</v>
      </c>
      <c r="AS70" s="29" t="str">
        <f t="shared" si="74"/>
        <v>#DIV/0!</v>
      </c>
      <c r="AT70" s="29" t="str">
        <f t="shared" si="74"/>
        <v>#DIV/0!</v>
      </c>
      <c r="AU70" s="29" t="str">
        <f t="shared" si="74"/>
        <v>#DIV/0!</v>
      </c>
      <c r="AV70" s="29" t="str">
        <f t="shared" si="74"/>
        <v>#DIV/0!</v>
      </c>
      <c r="AW70" s="29" t="str">
        <f t="shared" si="74"/>
        <v>#DIV/0!</v>
      </c>
      <c r="AX70" s="29" t="str">
        <f t="shared" si="74"/>
        <v>#DIV/0!</v>
      </c>
      <c r="AY70" s="29" t="str">
        <f t="shared" si="74"/>
        <v>#DIV/0!</v>
      </c>
      <c r="AZ70" s="29" t="str">
        <f t="shared" si="74"/>
        <v>#DIV/0!</v>
      </c>
      <c r="BA70" s="29" t="str">
        <f t="shared" si="74"/>
        <v>#DIV/0!</v>
      </c>
      <c r="BB70" s="29" t="str">
        <f t="shared" si="74"/>
        <v>#DIV/0!</v>
      </c>
      <c r="BC70" s="29" t="str">
        <f t="shared" si="74"/>
        <v>#DIV/0!</v>
      </c>
      <c r="BD70" s="29" t="str">
        <f t="shared" si="74"/>
        <v>#DIV/0!</v>
      </c>
      <c r="BE70" s="29" t="str">
        <f t="shared" si="74"/>
        <v>#DIV/0!</v>
      </c>
      <c r="BF70" s="29" t="str">
        <f t="shared" si="74"/>
        <v>#DIV/0!</v>
      </c>
      <c r="BG70" s="29" t="str">
        <f t="shared" si="74"/>
        <v>#DIV/0!</v>
      </c>
      <c r="BH70" s="29" t="str">
        <f t="shared" si="74"/>
        <v>#DIV/0!</v>
      </c>
      <c r="BI70" s="29" t="str">
        <f t="shared" si="74"/>
        <v>#DIV/0!</v>
      </c>
      <c r="BJ70" s="29" t="str">
        <f t="shared" si="74"/>
        <v>#DIV/0!</v>
      </c>
      <c r="BK70" s="29" t="str">
        <f t="shared" si="74"/>
        <v>#DIV/0!</v>
      </c>
      <c r="BL70" s="29" t="str">
        <f t="shared" si="74"/>
        <v>#DIV/0!</v>
      </c>
      <c r="BM70" s="29" t="str">
        <f t="shared" si="3"/>
        <v>#DIV/0!</v>
      </c>
    </row>
    <row r="71">
      <c r="A71" s="16" t="str">
        <f>IFERROR(__xludf.DUMMYFUNCTION("IFERROR(SPARKLINE(SORT(MAP(TRANSPOSE(AQ71:BL71), LAMBDA(val, IF(ISNUMBER(val), PERCENTRANK(AQ71:BL71, val)+0.01, 0))), SEQUENCE(COLUMNS(AQ71:BL71)), FALSE), {""charttype"",""column""; ""color"",""chartreuse""; ""ymin"", 0; ""ymax"", 1.01; ""highcolor"", "&amp;"""darkgreen""; ""lowcolor"", ""red""}), """")"),"")</f>
        <v/>
      </c>
      <c r="B71" s="17" t="str">
        <f t="shared" si="4"/>
        <v/>
      </c>
      <c r="C71" s="1" t="s">
        <v>3168</v>
      </c>
      <c r="D71" s="30" t="str">
        <f>IFERROR(__xludf.DUMMYFUNCTION("IFERROR(GOOGLEFINANCE(C71, ""NAME""))"),"CF Industries Holdings, Inc.")</f>
        <v>CF Industries Holdings, Inc.</v>
      </c>
      <c r="E71" s="30" t="s">
        <v>3039</v>
      </c>
      <c r="F71" s="33" t="str">
        <f>IFERROR(__xludf.DUMMYFUNCTION("( (GOOGLEFINANCE(C71, ""price"") - Q71) / Q71 ) / (R71 / 100)"),"Loading...")</f>
        <v>Loading...</v>
      </c>
      <c r="G71" s="20" t="str">
        <f>IFERROR(__xludf.DUMMYFUNCTION("AVERAGE(ARRAYFORMULA(100 * (QUERY(GOOGLEFINANCE(C71, ""high"", TODAY()-40, TODAY()), ""SELECT Col2 WHERE Col2 IS NOT NULL ORDER BY Col1 DESC LIMIT 20"", 0) / QUERY(GOOGLEFINANCE(C71, ""low"", TODAY()-40, TODAY()), ""SELECT Col2 WHERE Col2 IS NOT NULL ORDE"&amp;"R BY Col1 DESC LIMIT 20"", 0) - 1)))"),"#N/A")</f>
        <v>#N/A</v>
      </c>
      <c r="H71" s="35" t="str">
        <f t="shared" si="35"/>
        <v>Liquid</v>
      </c>
      <c r="I71" s="35" t="str">
        <f t="shared" si="7"/>
        <v>RVol Required</v>
      </c>
      <c r="J71" s="37">
        <f>IFERROR(__xludf.DUMMYFUNCTION("IFERROR(
  IF(C71="""",, 
    IFERROR(
      GOOGLEFINANCE(C71, ""price"") * GOOGLEFINANCE(C71, ""volumeavg""), 
      GOOGLEFINANCE(C71, ""price"") * AVERAGE(QUERY(GOOGLEFINANCE(C71, ""volume"", TODAY()-40, TODAY()), ""SELECT Col2 WHERE Col2 IS NOT NULL "&amp;"ORDER BY Col1 DESC LIMIT 20"", 0))
    )
  ), 
"""")"),3.1991689955E8)</f>
        <v>319916899.6</v>
      </c>
      <c r="K71" s="21">
        <f>IFERROR(__xludf.DUMMYFUNCTION("IFERROR(GOOGLEFINANCE(C71, ""changepct"") / 100, """")"),0.009000000000000001)</f>
        <v>0.009</v>
      </c>
      <c r="L71" s="21" t="str">
        <f>IFERROR(__xludf.DUMMYFUNCTION("IFERROR((GOOGLEFINANCE(C71, ""price"") / INDEX(GOOGLEFINANCE(C71, ""price"", TODAY()-7, TODAY()), 2, 2)) - 1, """")"),"")</f>
        <v/>
      </c>
      <c r="M71" s="21" t="str">
        <f>IFERROR(__xludf.DUMMYFUNCTION("IFERROR((GOOGLEFINANCE(C71, ""price"") / INDEX(GOOGLEFINANCE(C71, ""price"", EDATE(TODAY(), -1), TODAY()), 2, 2)) - 1, """")"),"")</f>
        <v/>
      </c>
      <c r="N71" s="21" t="str">
        <f>IFERROR(__xludf.DUMMYFUNCTION("IFERROR((GOOGLEFINANCE(C71, ""price"") / INDEX(GOOGLEFINANCE(C71, ""price"", EDATE(TODAY(), -3), TODAY()), 2, 2)) - 1, """")"),"")</f>
        <v/>
      </c>
      <c r="O71" s="21" t="str">
        <f>IFERROR(__xludf.DUMMYFUNCTION("IFERROR((GOOGLEFINANCE(C71, ""price"") / INDEX(GOOGLEFINANCE(C71, ""price"", EDATE(TODAY(), -6), TODAY()), 2, 2)) - 1, """")"),"")</f>
        <v/>
      </c>
      <c r="P71" s="21" t="str">
        <f>IFERROR(__xludf.DUMMYFUNCTION("IFERROR((GOOGLEFINANCE(C71, ""price"") / INDEX(GOOGLEFINANCE(C71, ""price"", EDATE(TODAY(), -12), TODAY()), 2, 2)) - 1, """")"),"")</f>
        <v/>
      </c>
      <c r="Q71" s="6" t="str">
        <f>IFERROR(__xludf.DUMMYFUNCTION("AVERAGE(QUERY(GOOGLEFINANCE(C71, ""price"", TODAY()-80, TODAY()), ""SELECT Col2 WHERE Col2 IS NOT NULL ORDER BY Col1 DESC LIMIT 50"", 0))"),"#N/A")</f>
        <v>#N/A</v>
      </c>
      <c r="R71" s="24" t="str">
        <f>IFERROR(__xludf.DUMMYFUNCTION("IFERROR(
  LET(
    data, QUERY(GOOGLEFINANCE(C71,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GOOGLEFINANCE(C71, ""price"")) * 100,
    IF(calc=0, G71, calc)
  ), 
G71)"),"#N/A")</f>
        <v>#N/A</v>
      </c>
      <c r="S71" s="8" t="s">
        <v>15</v>
      </c>
      <c r="T71" s="26" t="str">
        <f>IFERROR(__xludf.DUMMYFUNCTION("IFERROR(TRANSPOSE(QUERY(IFERROR(SORT(GOOGLEFINANCE(C71, ""price"", WORKDAY(TODAY(), -40), TODAY()), 1, FALSE)), ""select Col2 where Col2 is not null limit 22 label Col2 ''"", 0)), """")"),"")</f>
        <v/>
      </c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8"/>
      <c r="AO71" s="28"/>
      <c r="AP71" s="29"/>
      <c r="AQ71" s="29" t="str">
        <f t="shared" ref="AQ71:BL71" si="75">T71/T$2</f>
        <v>#N/A</v>
      </c>
      <c r="AR71" s="29" t="str">
        <f t="shared" si="75"/>
        <v>#DIV/0!</v>
      </c>
      <c r="AS71" s="29" t="str">
        <f t="shared" si="75"/>
        <v>#DIV/0!</v>
      </c>
      <c r="AT71" s="29" t="str">
        <f t="shared" si="75"/>
        <v>#DIV/0!</v>
      </c>
      <c r="AU71" s="29" t="str">
        <f t="shared" si="75"/>
        <v>#DIV/0!</v>
      </c>
      <c r="AV71" s="29" t="str">
        <f t="shared" si="75"/>
        <v>#DIV/0!</v>
      </c>
      <c r="AW71" s="29" t="str">
        <f t="shared" si="75"/>
        <v>#DIV/0!</v>
      </c>
      <c r="AX71" s="29" t="str">
        <f t="shared" si="75"/>
        <v>#DIV/0!</v>
      </c>
      <c r="AY71" s="29" t="str">
        <f t="shared" si="75"/>
        <v>#DIV/0!</v>
      </c>
      <c r="AZ71" s="29" t="str">
        <f t="shared" si="75"/>
        <v>#DIV/0!</v>
      </c>
      <c r="BA71" s="29" t="str">
        <f t="shared" si="75"/>
        <v>#DIV/0!</v>
      </c>
      <c r="BB71" s="29" t="str">
        <f t="shared" si="75"/>
        <v>#DIV/0!</v>
      </c>
      <c r="BC71" s="29" t="str">
        <f t="shared" si="75"/>
        <v>#DIV/0!</v>
      </c>
      <c r="BD71" s="29" t="str">
        <f t="shared" si="75"/>
        <v>#DIV/0!</v>
      </c>
      <c r="BE71" s="29" t="str">
        <f t="shared" si="75"/>
        <v>#DIV/0!</v>
      </c>
      <c r="BF71" s="29" t="str">
        <f t="shared" si="75"/>
        <v>#DIV/0!</v>
      </c>
      <c r="BG71" s="29" t="str">
        <f t="shared" si="75"/>
        <v>#DIV/0!</v>
      </c>
      <c r="BH71" s="29" t="str">
        <f t="shared" si="75"/>
        <v>#DIV/0!</v>
      </c>
      <c r="BI71" s="29" t="str">
        <f t="shared" si="75"/>
        <v>#DIV/0!</v>
      </c>
      <c r="BJ71" s="29" t="str">
        <f t="shared" si="75"/>
        <v>#DIV/0!</v>
      </c>
      <c r="BK71" s="29" t="str">
        <f t="shared" si="75"/>
        <v>#DIV/0!</v>
      </c>
      <c r="BL71" s="29" t="str">
        <f t="shared" si="75"/>
        <v>#DIV/0!</v>
      </c>
      <c r="BM71" s="29" t="str">
        <f t="shared" si="3"/>
        <v>#DIV/0!</v>
      </c>
    </row>
    <row r="72">
      <c r="A72" s="16" t="str">
        <f>IFERROR(__xludf.DUMMYFUNCTION("IFERROR(SPARKLINE(SORT(MAP(TRANSPOSE(AQ72:BL72), LAMBDA(val, IF(ISNUMBER(val), PERCENTRANK(AQ72:BL72, val)+0.01, 0))), SEQUENCE(COLUMNS(AQ72:BL72)), FALSE), {""charttype"",""column""; ""color"",""chartreuse""; ""ymin"", 0; ""ymax"", 1.01; ""highcolor"", "&amp;"""darkgreen""; ""lowcolor"", ""red""}), """")"),"")</f>
        <v/>
      </c>
      <c r="B72" s="17" t="str">
        <f t="shared" si="4"/>
        <v/>
      </c>
      <c r="C72" s="1" t="s">
        <v>3171</v>
      </c>
      <c r="D72" s="30" t="str">
        <f>IFERROR(__xludf.DUMMYFUNCTION("IFERROR(GOOGLEFINANCE(C72, ""NAME""))"),"Posco Holdings Inc")</f>
        <v>Posco Holdings Inc</v>
      </c>
      <c r="E72" s="30" t="s">
        <v>3004</v>
      </c>
      <c r="F72" s="33" t="str">
        <f>IFERROR(__xludf.DUMMYFUNCTION("( (GOOGLEFINANCE(C72, ""price"") - Q72) / Q72 ) / (R72 / 100)"),"Loading...")</f>
        <v>Loading...</v>
      </c>
      <c r="G72" s="20" t="str">
        <f>IFERROR(__xludf.DUMMYFUNCTION("AVERAGE(ARRAYFORMULA(100 * (QUERY(GOOGLEFINANCE(C72, ""high"", TODAY()-40, TODAY()), ""SELECT Col2 WHERE Col2 IS NOT NULL ORDER BY Col1 DESC LIMIT 20"", 0) / QUERY(GOOGLEFINANCE(C72, ""low"", TODAY()-40, TODAY()), ""SELECT Col2 WHERE Col2 IS NOT NULL ORDE"&amp;"R BY Col1 DESC LIMIT 20"", 0) - 1)))"),"#N/A")</f>
        <v>#N/A</v>
      </c>
      <c r="H72" s="35" t="str">
        <f t="shared" si="35"/>
        <v>Illiquid</v>
      </c>
      <c r="I72" s="35" t="str">
        <f t="shared" si="7"/>
        <v>RVol Required</v>
      </c>
      <c r="J72" s="37">
        <f>IFERROR(__xludf.DUMMYFUNCTION("IFERROR(
  IF(C72="""",, 
    IFERROR(
      GOOGLEFINANCE(C72, ""price"") * GOOGLEFINANCE(C72, ""volumeavg""), 
      GOOGLEFINANCE(C72, ""price"") * AVERAGE(QUERY(GOOGLEFINANCE(C72, ""volume"", TODAY()-40, TODAY()), ""SELECT Col2 WHERE Col2 IS NOT NULL "&amp;"ORDER BY Col1 DESC LIMIT 20"", 0))
    )
  ), 
"""")"),1.075768397E7)</f>
        <v>10757683.97</v>
      </c>
      <c r="K72" s="21">
        <f>IFERROR(__xludf.DUMMYFUNCTION("IFERROR(GOOGLEFINANCE(C72, ""changepct"") / 100, """")"),-0.0043)</f>
        <v>-0.0043</v>
      </c>
      <c r="L72" s="21" t="str">
        <f>IFERROR(__xludf.DUMMYFUNCTION("IFERROR((GOOGLEFINANCE(C72, ""price"") / INDEX(GOOGLEFINANCE(C72, ""price"", TODAY()-7, TODAY()), 2, 2)) - 1, """")"),"")</f>
        <v/>
      </c>
      <c r="M72" s="21" t="str">
        <f>IFERROR(__xludf.DUMMYFUNCTION("IFERROR((GOOGLEFINANCE(C72, ""price"") / INDEX(GOOGLEFINANCE(C72, ""price"", EDATE(TODAY(), -1), TODAY()), 2, 2)) - 1, """")"),"")</f>
        <v/>
      </c>
      <c r="N72" s="21" t="str">
        <f>IFERROR(__xludf.DUMMYFUNCTION("IFERROR((GOOGLEFINANCE(C72, ""price"") / INDEX(GOOGLEFINANCE(C72, ""price"", EDATE(TODAY(), -3), TODAY()), 2, 2)) - 1, """")"),"")</f>
        <v/>
      </c>
      <c r="O72" s="21" t="str">
        <f>IFERROR(__xludf.DUMMYFUNCTION("IFERROR((GOOGLEFINANCE(C72, ""price"") / INDEX(GOOGLEFINANCE(C72, ""price"", EDATE(TODAY(), -6), TODAY()), 2, 2)) - 1, """")"),"")</f>
        <v/>
      </c>
      <c r="P72" s="21" t="str">
        <f>IFERROR(__xludf.DUMMYFUNCTION("IFERROR((GOOGLEFINANCE(C72, ""price"") / INDEX(GOOGLEFINANCE(C72, ""price"", EDATE(TODAY(), -12), TODAY()), 2, 2)) - 1, """")"),"")</f>
        <v/>
      </c>
      <c r="Q72" s="6" t="str">
        <f>IFERROR(__xludf.DUMMYFUNCTION("AVERAGE(QUERY(GOOGLEFINANCE(C72, ""price"", TODAY()-80, TODAY()), ""SELECT Col2 WHERE Col2 IS NOT NULL ORDER BY Col1 DESC LIMIT 50"", 0))"),"#N/A")</f>
        <v>#N/A</v>
      </c>
      <c r="R72" s="24" t="str">
        <f>IFERROR(__xludf.DUMMYFUNCTION("IFERROR(
  LET(
    data, QUERY(GOOGLEFINANCE(C72,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GOOGLEFINANCE(C72, ""price"")) * 100,
    IF(calc=0, G72, calc)
  ), 
G72)"),"#N/A")</f>
        <v>#N/A</v>
      </c>
      <c r="S72" s="8" t="s">
        <v>15</v>
      </c>
      <c r="T72" s="26" t="str">
        <f>IFERROR(__xludf.DUMMYFUNCTION("IFERROR(TRANSPOSE(QUERY(IFERROR(SORT(GOOGLEFINANCE(C72, ""price"", WORKDAY(TODAY(), -40), TODAY()), 1, FALSE)), ""select Col2 where Col2 is not null limit 22 label Col2 ''"", 0)), """")"),"")</f>
        <v/>
      </c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8"/>
      <c r="AO72" s="28"/>
      <c r="AP72" s="29"/>
      <c r="AQ72" s="29" t="str">
        <f t="shared" ref="AQ72:BL72" si="76">T72/T$2</f>
        <v>#N/A</v>
      </c>
      <c r="AR72" s="29" t="str">
        <f t="shared" si="76"/>
        <v>#DIV/0!</v>
      </c>
      <c r="AS72" s="29" t="str">
        <f t="shared" si="76"/>
        <v>#DIV/0!</v>
      </c>
      <c r="AT72" s="29" t="str">
        <f t="shared" si="76"/>
        <v>#DIV/0!</v>
      </c>
      <c r="AU72" s="29" t="str">
        <f t="shared" si="76"/>
        <v>#DIV/0!</v>
      </c>
      <c r="AV72" s="29" t="str">
        <f t="shared" si="76"/>
        <v>#DIV/0!</v>
      </c>
      <c r="AW72" s="29" t="str">
        <f t="shared" si="76"/>
        <v>#DIV/0!</v>
      </c>
      <c r="AX72" s="29" t="str">
        <f t="shared" si="76"/>
        <v>#DIV/0!</v>
      </c>
      <c r="AY72" s="29" t="str">
        <f t="shared" si="76"/>
        <v>#DIV/0!</v>
      </c>
      <c r="AZ72" s="29" t="str">
        <f t="shared" si="76"/>
        <v>#DIV/0!</v>
      </c>
      <c r="BA72" s="29" t="str">
        <f t="shared" si="76"/>
        <v>#DIV/0!</v>
      </c>
      <c r="BB72" s="29" t="str">
        <f t="shared" si="76"/>
        <v>#DIV/0!</v>
      </c>
      <c r="BC72" s="29" t="str">
        <f t="shared" si="76"/>
        <v>#DIV/0!</v>
      </c>
      <c r="BD72" s="29" t="str">
        <f t="shared" si="76"/>
        <v>#DIV/0!</v>
      </c>
      <c r="BE72" s="29" t="str">
        <f t="shared" si="76"/>
        <v>#DIV/0!</v>
      </c>
      <c r="BF72" s="29" t="str">
        <f t="shared" si="76"/>
        <v>#DIV/0!</v>
      </c>
      <c r="BG72" s="29" t="str">
        <f t="shared" si="76"/>
        <v>#DIV/0!</v>
      </c>
      <c r="BH72" s="29" t="str">
        <f t="shared" si="76"/>
        <v>#DIV/0!</v>
      </c>
      <c r="BI72" s="29" t="str">
        <f t="shared" si="76"/>
        <v>#DIV/0!</v>
      </c>
      <c r="BJ72" s="29" t="str">
        <f t="shared" si="76"/>
        <v>#DIV/0!</v>
      </c>
      <c r="BK72" s="29" t="str">
        <f t="shared" si="76"/>
        <v>#DIV/0!</v>
      </c>
      <c r="BL72" s="29" t="str">
        <f t="shared" si="76"/>
        <v>#DIV/0!</v>
      </c>
      <c r="BM72" s="29" t="str">
        <f t="shared" si="3"/>
        <v>#DIV/0!</v>
      </c>
    </row>
    <row r="73">
      <c r="A73" s="16" t="str">
        <f>IFERROR(__xludf.DUMMYFUNCTION("IFERROR(SPARKLINE(SORT(MAP(TRANSPOSE(AQ73:BL73), LAMBDA(val, IF(ISNUMBER(val), PERCENTRANK(AQ73:BL73, val)+0.01, 0))), SEQUENCE(COLUMNS(AQ73:BL73)), FALSE), {""charttype"",""column""; ""color"",""chartreuse""; ""ymin"", 0; ""ymax"", 1.01; ""highcolor"", "&amp;"""darkgreen""; ""lowcolor"", ""red""}), """")"),"")</f>
        <v/>
      </c>
      <c r="B73" s="17" t="str">
        <f t="shared" si="4"/>
        <v/>
      </c>
      <c r="C73" s="1" t="s">
        <v>3173</v>
      </c>
      <c r="D73" s="30" t="str">
        <f>IFERROR(__xludf.DUMMYFUNCTION("IFERROR(GOOGLEFINANCE(C73, ""NAME""))"),"Element Solutions Inc")</f>
        <v>Element Solutions Inc</v>
      </c>
      <c r="E73" s="30" t="s">
        <v>2995</v>
      </c>
      <c r="F73" s="33" t="str">
        <f>IFERROR(__xludf.DUMMYFUNCTION("( (GOOGLEFINANCE(C73, ""price"") - Q73) / Q73 ) / (R73 / 100)"),"Loading...")</f>
        <v>Loading...</v>
      </c>
      <c r="G73" s="20" t="str">
        <f>IFERROR(__xludf.DUMMYFUNCTION("AVERAGE(ARRAYFORMULA(100 * (QUERY(GOOGLEFINANCE(C73, ""high"", TODAY()-40, TODAY()), ""SELECT Col2 WHERE Col2 IS NOT NULL ORDER BY Col1 DESC LIMIT 20"", 0) / QUERY(GOOGLEFINANCE(C73, ""low"", TODAY()-40, TODAY()), ""SELECT Col2 WHERE Col2 IS NOT NULL ORDE"&amp;"R BY Col1 DESC LIMIT 20"", 0) - 1)))"),"#N/A")</f>
        <v>#N/A</v>
      </c>
      <c r="H73" s="35" t="str">
        <f t="shared" si="35"/>
        <v>Liquid</v>
      </c>
      <c r="I73" s="35" t="str">
        <f t="shared" si="7"/>
        <v>RVol Required</v>
      </c>
      <c r="J73" s="37">
        <f>IFERROR(__xludf.DUMMYFUNCTION("IFERROR(
  IF(C73="""",, 
    IFERROR(
      GOOGLEFINANCE(C73, ""price"") * GOOGLEFINANCE(C73, ""volumeavg""), 
      GOOGLEFINANCE(C73, ""price"") * AVERAGE(QUERY(GOOGLEFINANCE(C73, ""volume"", TODAY()-40, TODAY()), ""SELECT Col2 WHERE Col2 IS NOT NULL "&amp;"ORDER BY Col1 DESC LIMIT 20"", 0))
    )
  ), 
"""")"),1.4797447554999998E8)</f>
        <v>147974475.6</v>
      </c>
      <c r="K73" s="21">
        <f>IFERROR(__xludf.DUMMYFUNCTION("IFERROR(GOOGLEFINANCE(C73, ""changepct"") / 100, """")"),-0.013500000000000002)</f>
        <v>-0.0135</v>
      </c>
      <c r="L73" s="21" t="str">
        <f>IFERROR(__xludf.DUMMYFUNCTION("IFERROR((GOOGLEFINANCE(C73, ""price"") / INDEX(GOOGLEFINANCE(C73, ""price"", TODAY()-7, TODAY()), 2, 2)) - 1, """")"),"")</f>
        <v/>
      </c>
      <c r="M73" s="21" t="str">
        <f>IFERROR(__xludf.DUMMYFUNCTION("IFERROR((GOOGLEFINANCE(C73, ""price"") / INDEX(GOOGLEFINANCE(C73, ""price"", EDATE(TODAY(), -1), TODAY()), 2, 2)) - 1, """")"),"")</f>
        <v/>
      </c>
      <c r="N73" s="21" t="str">
        <f>IFERROR(__xludf.DUMMYFUNCTION("IFERROR((GOOGLEFINANCE(C73, ""price"") / INDEX(GOOGLEFINANCE(C73, ""price"", EDATE(TODAY(), -3), TODAY()), 2, 2)) - 1, """")"),"")</f>
        <v/>
      </c>
      <c r="O73" s="21" t="str">
        <f>IFERROR(__xludf.DUMMYFUNCTION("IFERROR((GOOGLEFINANCE(C73, ""price"") / INDEX(GOOGLEFINANCE(C73, ""price"", EDATE(TODAY(), -6), TODAY()), 2, 2)) - 1, """")"),"")</f>
        <v/>
      </c>
      <c r="P73" s="21" t="str">
        <f>IFERROR(__xludf.DUMMYFUNCTION("IFERROR((GOOGLEFINANCE(C73, ""price"") / INDEX(GOOGLEFINANCE(C73, ""price"", EDATE(TODAY(), -12), TODAY()), 2, 2)) - 1, """")"),"")</f>
        <v/>
      </c>
      <c r="Q73" s="6" t="str">
        <f>IFERROR(__xludf.DUMMYFUNCTION("AVERAGE(QUERY(GOOGLEFINANCE(C73, ""price"", TODAY()-80, TODAY()), ""SELECT Col2 WHERE Col2 IS NOT NULL ORDER BY Col1 DESC LIMIT 50"", 0))"),"#N/A")</f>
        <v>#N/A</v>
      </c>
      <c r="R73" s="24" t="str">
        <f>IFERROR(__xludf.DUMMYFUNCTION("IFERROR(
  LET(
    data, QUERY(GOOGLEFINANCE(C73,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GOOGLEFINANCE(C73, ""price"")) * 100,
    IF(calc=0, G73, calc)
  ), 
G73)"),"#N/A")</f>
        <v>#N/A</v>
      </c>
      <c r="S73" s="8" t="s">
        <v>15</v>
      </c>
      <c r="T73" s="26" t="str">
        <f>IFERROR(__xludf.DUMMYFUNCTION("IFERROR(TRANSPOSE(QUERY(IFERROR(SORT(GOOGLEFINANCE(C73, ""price"", WORKDAY(TODAY(), -40), TODAY()), 1, FALSE)), ""select Col2 where Col2 is not null limit 22 label Col2 ''"", 0)), """")"),"")</f>
        <v/>
      </c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8"/>
      <c r="AO73" s="28"/>
      <c r="AP73" s="29"/>
      <c r="AQ73" s="29" t="str">
        <f t="shared" ref="AQ73:BL73" si="77">T73/T$2</f>
        <v>#N/A</v>
      </c>
      <c r="AR73" s="29" t="str">
        <f t="shared" si="77"/>
        <v>#DIV/0!</v>
      </c>
      <c r="AS73" s="29" t="str">
        <f t="shared" si="77"/>
        <v>#DIV/0!</v>
      </c>
      <c r="AT73" s="29" t="str">
        <f t="shared" si="77"/>
        <v>#DIV/0!</v>
      </c>
      <c r="AU73" s="29" t="str">
        <f t="shared" si="77"/>
        <v>#DIV/0!</v>
      </c>
      <c r="AV73" s="29" t="str">
        <f t="shared" si="77"/>
        <v>#DIV/0!</v>
      </c>
      <c r="AW73" s="29" t="str">
        <f t="shared" si="77"/>
        <v>#DIV/0!</v>
      </c>
      <c r="AX73" s="29" t="str">
        <f t="shared" si="77"/>
        <v>#DIV/0!</v>
      </c>
      <c r="AY73" s="29" t="str">
        <f t="shared" si="77"/>
        <v>#DIV/0!</v>
      </c>
      <c r="AZ73" s="29" t="str">
        <f t="shared" si="77"/>
        <v>#DIV/0!</v>
      </c>
      <c r="BA73" s="29" t="str">
        <f t="shared" si="77"/>
        <v>#DIV/0!</v>
      </c>
      <c r="BB73" s="29" t="str">
        <f t="shared" si="77"/>
        <v>#DIV/0!</v>
      </c>
      <c r="BC73" s="29" t="str">
        <f t="shared" si="77"/>
        <v>#DIV/0!</v>
      </c>
      <c r="BD73" s="29" t="str">
        <f t="shared" si="77"/>
        <v>#DIV/0!</v>
      </c>
      <c r="BE73" s="29" t="str">
        <f t="shared" si="77"/>
        <v>#DIV/0!</v>
      </c>
      <c r="BF73" s="29" t="str">
        <f t="shared" si="77"/>
        <v>#DIV/0!</v>
      </c>
      <c r="BG73" s="29" t="str">
        <f t="shared" si="77"/>
        <v>#DIV/0!</v>
      </c>
      <c r="BH73" s="29" t="str">
        <f t="shared" si="77"/>
        <v>#DIV/0!</v>
      </c>
      <c r="BI73" s="29" t="str">
        <f t="shared" si="77"/>
        <v>#DIV/0!</v>
      </c>
      <c r="BJ73" s="29" t="str">
        <f t="shared" si="77"/>
        <v>#DIV/0!</v>
      </c>
      <c r="BK73" s="29" t="str">
        <f t="shared" si="77"/>
        <v>#DIV/0!</v>
      </c>
      <c r="BL73" s="29" t="str">
        <f t="shared" si="77"/>
        <v>#DIV/0!</v>
      </c>
      <c r="BM73" s="29" t="str">
        <f t="shared" si="3"/>
        <v>#DIV/0!</v>
      </c>
    </row>
    <row r="74">
      <c r="A74" s="16" t="str">
        <f>IFERROR(__xludf.DUMMYFUNCTION("IFERROR(SPARKLINE(SORT(MAP(TRANSPOSE(AQ74:BL74), LAMBDA(val, IF(ISNUMBER(val), PERCENTRANK(AQ74:BL74, val)+0.01, 0))), SEQUENCE(COLUMNS(AQ74:BL74)), FALSE), {""charttype"",""column""; ""color"",""chartreuse""; ""ymin"", 0; ""ymax"", 1.01; ""highcolor"", "&amp;"""darkgreen""; ""lowcolor"", ""red""}), """")"),"")</f>
        <v/>
      </c>
      <c r="B74" s="17" t="str">
        <f t="shared" si="4"/>
        <v/>
      </c>
      <c r="C74" s="1" t="s">
        <v>3176</v>
      </c>
      <c r="D74" s="30" t="str">
        <f>IFERROR(__xludf.DUMMYFUNCTION("IFERROR(GOOGLEFINANCE(C74, ""NAME""))"),"Ternium SA")</f>
        <v>Ternium SA</v>
      </c>
      <c r="E74" s="30" t="s">
        <v>3004</v>
      </c>
      <c r="F74" s="33" t="str">
        <f>IFERROR(__xludf.DUMMYFUNCTION("( (GOOGLEFINANCE(C74, ""price"") - Q74) / Q74 ) / (R74 / 100)"),"Loading...")</f>
        <v>Loading...</v>
      </c>
      <c r="G74" s="20" t="str">
        <f>IFERROR(__xludf.DUMMYFUNCTION("AVERAGE(ARRAYFORMULA(100 * (QUERY(GOOGLEFINANCE(C74, ""high"", TODAY()-40, TODAY()), ""SELECT Col2 WHERE Col2 IS NOT NULL ORDER BY Col1 DESC LIMIT 20"", 0) / QUERY(GOOGLEFINANCE(C74, ""low"", TODAY()-40, TODAY()), ""SELECT Col2 WHERE Col2 IS NOT NULL ORDE"&amp;"R BY Col1 DESC LIMIT 20"", 0) - 1)))"),"#N/A")</f>
        <v>#N/A</v>
      </c>
      <c r="H74" s="35" t="str">
        <f t="shared" si="35"/>
        <v>Illiquid</v>
      </c>
      <c r="I74" s="35" t="str">
        <f t="shared" si="7"/>
        <v>RVol Required</v>
      </c>
      <c r="J74" s="37">
        <f>IFERROR(__xludf.DUMMYFUNCTION("IFERROR(
  IF(C74="""",, 
    IFERROR(
      GOOGLEFINANCE(C74, ""price"") * GOOGLEFINANCE(C74, ""volumeavg""), 
      GOOGLEFINANCE(C74, ""price"") * AVERAGE(QUERY(GOOGLEFINANCE(C74, ""volume"", TODAY()-40, TODAY()), ""SELECT Col2 WHERE Col2 IS NOT NULL "&amp;"ORDER BY Col1 DESC LIMIT 20"", 0))
    )
  ), 
"""")"),2.45350135E7)</f>
        <v>24535013.5</v>
      </c>
      <c r="K74" s="21">
        <f>IFERROR(__xludf.DUMMYFUNCTION("IFERROR(GOOGLEFINANCE(C74, ""changepct"") / 100, """")"),0.0039000000000000003)</f>
        <v>0.0039</v>
      </c>
      <c r="L74" s="21" t="str">
        <f>IFERROR(__xludf.DUMMYFUNCTION("IFERROR((GOOGLEFINANCE(C74, ""price"") / INDEX(GOOGLEFINANCE(C74, ""price"", TODAY()-7, TODAY()), 2, 2)) - 1, """")"),"")</f>
        <v/>
      </c>
      <c r="M74" s="21" t="str">
        <f>IFERROR(__xludf.DUMMYFUNCTION("IFERROR((GOOGLEFINANCE(C74, ""price"") / INDEX(GOOGLEFINANCE(C74, ""price"", EDATE(TODAY(), -1), TODAY()), 2, 2)) - 1, """")"),"")</f>
        <v/>
      </c>
      <c r="N74" s="21" t="str">
        <f>IFERROR(__xludf.DUMMYFUNCTION("IFERROR((GOOGLEFINANCE(C74, ""price"") / INDEX(GOOGLEFINANCE(C74, ""price"", EDATE(TODAY(), -3), TODAY()), 2, 2)) - 1, """")"),"")</f>
        <v/>
      </c>
      <c r="O74" s="21" t="str">
        <f>IFERROR(__xludf.DUMMYFUNCTION("IFERROR((GOOGLEFINANCE(C74, ""price"") / INDEX(GOOGLEFINANCE(C74, ""price"", EDATE(TODAY(), -6), TODAY()), 2, 2)) - 1, """")"),"")</f>
        <v/>
      </c>
      <c r="P74" s="21" t="str">
        <f>IFERROR(__xludf.DUMMYFUNCTION("IFERROR((GOOGLEFINANCE(C74, ""price"") / INDEX(GOOGLEFINANCE(C74, ""price"", EDATE(TODAY(), -12), TODAY()), 2, 2)) - 1, """")"),"")</f>
        <v/>
      </c>
      <c r="Q74" s="6" t="str">
        <f>IFERROR(__xludf.DUMMYFUNCTION("AVERAGE(QUERY(GOOGLEFINANCE(C74, ""price"", TODAY()-80, TODAY()), ""SELECT Col2 WHERE Col2 IS NOT NULL ORDER BY Col1 DESC LIMIT 50"", 0))"),"#N/A")</f>
        <v>#N/A</v>
      </c>
      <c r="R74" s="24" t="str">
        <f>IFERROR(__xludf.DUMMYFUNCTION("IFERROR(
  LET(
    data, QUERY(GOOGLEFINANCE(C74,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GOOGLEFINANCE(C74, ""price"")) * 100,
    IF(calc=0, G74, calc)
  ), 
G74)"),"#N/A")</f>
        <v>#N/A</v>
      </c>
      <c r="S74" s="8" t="s">
        <v>15</v>
      </c>
      <c r="T74" s="26" t="str">
        <f>IFERROR(__xludf.DUMMYFUNCTION("IFERROR(TRANSPOSE(QUERY(IFERROR(SORT(GOOGLEFINANCE(C74, ""price"", WORKDAY(TODAY(), -40), TODAY()), 1, FALSE)), ""select Col2 where Col2 is not null limit 22 label Col2 ''"", 0)), """")"),"")</f>
        <v/>
      </c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8"/>
      <c r="AO74" s="28"/>
      <c r="AP74" s="29"/>
      <c r="AQ74" s="29" t="str">
        <f t="shared" ref="AQ74:BL74" si="78">T74/T$2</f>
        <v>#N/A</v>
      </c>
      <c r="AR74" s="29" t="str">
        <f t="shared" si="78"/>
        <v>#DIV/0!</v>
      </c>
      <c r="AS74" s="29" t="str">
        <f t="shared" si="78"/>
        <v>#DIV/0!</v>
      </c>
      <c r="AT74" s="29" t="str">
        <f t="shared" si="78"/>
        <v>#DIV/0!</v>
      </c>
      <c r="AU74" s="29" t="str">
        <f t="shared" si="78"/>
        <v>#DIV/0!</v>
      </c>
      <c r="AV74" s="29" t="str">
        <f t="shared" si="78"/>
        <v>#DIV/0!</v>
      </c>
      <c r="AW74" s="29" t="str">
        <f t="shared" si="78"/>
        <v>#DIV/0!</v>
      </c>
      <c r="AX74" s="29" t="str">
        <f t="shared" si="78"/>
        <v>#DIV/0!</v>
      </c>
      <c r="AY74" s="29" t="str">
        <f t="shared" si="78"/>
        <v>#DIV/0!</v>
      </c>
      <c r="AZ74" s="29" t="str">
        <f t="shared" si="78"/>
        <v>#DIV/0!</v>
      </c>
      <c r="BA74" s="29" t="str">
        <f t="shared" si="78"/>
        <v>#DIV/0!</v>
      </c>
      <c r="BB74" s="29" t="str">
        <f t="shared" si="78"/>
        <v>#DIV/0!</v>
      </c>
      <c r="BC74" s="29" t="str">
        <f t="shared" si="78"/>
        <v>#DIV/0!</v>
      </c>
      <c r="BD74" s="29" t="str">
        <f t="shared" si="78"/>
        <v>#DIV/0!</v>
      </c>
      <c r="BE74" s="29" t="str">
        <f t="shared" si="78"/>
        <v>#DIV/0!</v>
      </c>
      <c r="BF74" s="29" t="str">
        <f t="shared" si="78"/>
        <v>#DIV/0!</v>
      </c>
      <c r="BG74" s="29" t="str">
        <f t="shared" si="78"/>
        <v>#DIV/0!</v>
      </c>
      <c r="BH74" s="29" t="str">
        <f t="shared" si="78"/>
        <v>#DIV/0!</v>
      </c>
      <c r="BI74" s="29" t="str">
        <f t="shared" si="78"/>
        <v>#DIV/0!</v>
      </c>
      <c r="BJ74" s="29" t="str">
        <f t="shared" si="78"/>
        <v>#DIV/0!</v>
      </c>
      <c r="BK74" s="29" t="str">
        <f t="shared" si="78"/>
        <v>#DIV/0!</v>
      </c>
      <c r="BL74" s="29" t="str">
        <f t="shared" si="78"/>
        <v>#DIV/0!</v>
      </c>
      <c r="BM74" s="29" t="str">
        <f t="shared" si="3"/>
        <v>#DIV/0!</v>
      </c>
    </row>
    <row r="75">
      <c r="A75" s="16" t="str">
        <f>IFERROR(__xludf.DUMMYFUNCTION("IFERROR(SPARKLINE(SORT(MAP(TRANSPOSE(AQ75:BL75), LAMBDA(val, IF(ISNUMBER(val), PERCENTRANK(AQ75:BL75, val)+0.01, 0))), SEQUENCE(COLUMNS(AQ75:BL75)), FALSE), {""charttype"",""column""; ""color"",""chartreuse""; ""ymin"", 0; ""ymax"", 1.01; ""highcolor"", "&amp;"""darkgreen""; ""lowcolor"", ""red""}), """")"),"")</f>
        <v/>
      </c>
      <c r="B75" s="17" t="str">
        <f t="shared" si="4"/>
        <v/>
      </c>
      <c r="C75" s="1" t="s">
        <v>3179</v>
      </c>
      <c r="D75" s="30" t="str">
        <f>IFERROR(__xludf.DUMMYFUNCTION("IFERROR(GOOGLEFINANCE(C75, ""NAME""))"),"TMC the metals company Inc")</f>
        <v>TMC the metals company Inc</v>
      </c>
      <c r="E75" s="30" t="s">
        <v>2935</v>
      </c>
      <c r="F75" s="33" t="str">
        <f>IFERROR(__xludf.DUMMYFUNCTION("( (GOOGLEFINANCE(C75, ""price"") - Q75) / Q75 ) / (R75 / 100)"),"Loading...")</f>
        <v>Loading...</v>
      </c>
      <c r="G75" s="20" t="str">
        <f>IFERROR(__xludf.DUMMYFUNCTION("AVERAGE(ARRAYFORMULA(100 * (QUERY(GOOGLEFINANCE(C75, ""high"", TODAY()-40, TODAY()), ""SELECT Col2 WHERE Col2 IS NOT NULL ORDER BY Col1 DESC LIMIT 20"", 0) / QUERY(GOOGLEFINANCE(C75, ""low"", TODAY()-40, TODAY()), ""SELECT Col2 WHERE Col2 IS NOT NULL ORDE"&amp;"R BY Col1 DESC LIMIT 20"", 0) - 1)))"),"#N/A")</f>
        <v>#N/A</v>
      </c>
      <c r="H75" s="35" t="str">
        <f t="shared" si="35"/>
        <v>Illiquid</v>
      </c>
      <c r="I75" s="35" t="str">
        <f t="shared" si="7"/>
        <v>RVol Required</v>
      </c>
      <c r="J75" s="37">
        <f>IFERROR(__xludf.DUMMYFUNCTION("IFERROR(
  IF(C75="""",, 
    IFERROR(
      GOOGLEFINANCE(C75, ""price"") * GOOGLEFINANCE(C75, ""volumeavg""), 
      GOOGLEFINANCE(C75, ""price"") * AVERAGE(QUERY(GOOGLEFINANCE(C75, ""volume"", TODAY()-40, TODAY()), ""SELECT Col2 WHERE Col2 IS NOT NULL "&amp;"ORDER BY Col1 DESC LIMIT 20"", 0))
    )
  ), 
"""")"),1.3166163120000001E7)</f>
        <v>13166163.12</v>
      </c>
      <c r="K75" s="21">
        <f>IFERROR(__xludf.DUMMYFUNCTION("IFERROR(GOOGLEFINANCE(C75, ""changepct"") / 100, """")"),-0.0337)</f>
        <v>-0.0337</v>
      </c>
      <c r="L75" s="21" t="str">
        <f>IFERROR(__xludf.DUMMYFUNCTION("IFERROR((GOOGLEFINANCE(C75, ""price"") / INDEX(GOOGLEFINANCE(C75, ""price"", TODAY()-7, TODAY()), 2, 2)) - 1, """")"),"")</f>
        <v/>
      </c>
      <c r="M75" s="21" t="str">
        <f>IFERROR(__xludf.DUMMYFUNCTION("IFERROR((GOOGLEFINANCE(C75, ""price"") / INDEX(GOOGLEFINANCE(C75, ""price"", EDATE(TODAY(), -1), TODAY()), 2, 2)) - 1, """")"),"")</f>
        <v/>
      </c>
      <c r="N75" s="21" t="str">
        <f>IFERROR(__xludf.DUMMYFUNCTION("IFERROR((GOOGLEFINANCE(C75, ""price"") / INDEX(GOOGLEFINANCE(C75, ""price"", EDATE(TODAY(), -3), TODAY()), 2, 2)) - 1, """")"),"")</f>
        <v/>
      </c>
      <c r="O75" s="21" t="str">
        <f>IFERROR(__xludf.DUMMYFUNCTION("IFERROR((GOOGLEFINANCE(C75, ""price"") / INDEX(GOOGLEFINANCE(C75, ""price"", EDATE(TODAY(), -6), TODAY()), 2, 2)) - 1, """")"),"")</f>
        <v/>
      </c>
      <c r="P75" s="21" t="str">
        <f>IFERROR(__xludf.DUMMYFUNCTION("IFERROR((GOOGLEFINANCE(C75, ""price"") / INDEX(GOOGLEFINANCE(C75, ""price"", EDATE(TODAY(), -12), TODAY()), 2, 2)) - 1, """")"),"")</f>
        <v/>
      </c>
      <c r="Q75" s="6" t="str">
        <f>IFERROR(__xludf.DUMMYFUNCTION("AVERAGE(QUERY(GOOGLEFINANCE(C75, ""price"", TODAY()-80, TODAY()), ""SELECT Col2 WHERE Col2 IS NOT NULL ORDER BY Col1 DESC LIMIT 50"", 0))"),"#N/A")</f>
        <v>#N/A</v>
      </c>
      <c r="R75" s="24" t="str">
        <f>IFERROR(__xludf.DUMMYFUNCTION("IFERROR(
  LET(
    data, QUERY(GOOGLEFINANCE(C75,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GOOGLEFINANCE(C75, ""price"")) * 100,
    IF(calc=0, G75, calc)
  ), 
G75)"),"#N/A")</f>
        <v>#N/A</v>
      </c>
      <c r="S75" s="8" t="s">
        <v>15</v>
      </c>
      <c r="T75" s="26" t="str">
        <f>IFERROR(__xludf.DUMMYFUNCTION("IFERROR(TRANSPOSE(QUERY(IFERROR(SORT(GOOGLEFINANCE(C75, ""price"", WORKDAY(TODAY(), -40), TODAY()), 1, FALSE)), ""select Col2 where Col2 is not null limit 22 label Col2 ''"", 0)), """")"),"")</f>
        <v/>
      </c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8"/>
      <c r="AO75" s="28"/>
      <c r="AP75" s="29"/>
      <c r="AQ75" s="29" t="str">
        <f t="shared" ref="AQ75:BL75" si="79">T75/T$2</f>
        <v>#N/A</v>
      </c>
      <c r="AR75" s="29" t="str">
        <f t="shared" si="79"/>
        <v>#DIV/0!</v>
      </c>
      <c r="AS75" s="29" t="str">
        <f t="shared" si="79"/>
        <v>#DIV/0!</v>
      </c>
      <c r="AT75" s="29" t="str">
        <f t="shared" si="79"/>
        <v>#DIV/0!</v>
      </c>
      <c r="AU75" s="29" t="str">
        <f t="shared" si="79"/>
        <v>#DIV/0!</v>
      </c>
      <c r="AV75" s="29" t="str">
        <f t="shared" si="79"/>
        <v>#DIV/0!</v>
      </c>
      <c r="AW75" s="29" t="str">
        <f t="shared" si="79"/>
        <v>#DIV/0!</v>
      </c>
      <c r="AX75" s="29" t="str">
        <f t="shared" si="79"/>
        <v>#DIV/0!</v>
      </c>
      <c r="AY75" s="29" t="str">
        <f t="shared" si="79"/>
        <v>#DIV/0!</v>
      </c>
      <c r="AZ75" s="29" t="str">
        <f t="shared" si="79"/>
        <v>#DIV/0!</v>
      </c>
      <c r="BA75" s="29" t="str">
        <f t="shared" si="79"/>
        <v>#DIV/0!</v>
      </c>
      <c r="BB75" s="29" t="str">
        <f t="shared" si="79"/>
        <v>#DIV/0!</v>
      </c>
      <c r="BC75" s="29" t="str">
        <f t="shared" si="79"/>
        <v>#DIV/0!</v>
      </c>
      <c r="BD75" s="29" t="str">
        <f t="shared" si="79"/>
        <v>#DIV/0!</v>
      </c>
      <c r="BE75" s="29" t="str">
        <f t="shared" si="79"/>
        <v>#DIV/0!</v>
      </c>
      <c r="BF75" s="29" t="str">
        <f t="shared" si="79"/>
        <v>#DIV/0!</v>
      </c>
      <c r="BG75" s="29" t="str">
        <f t="shared" si="79"/>
        <v>#DIV/0!</v>
      </c>
      <c r="BH75" s="29" t="str">
        <f t="shared" si="79"/>
        <v>#DIV/0!</v>
      </c>
      <c r="BI75" s="29" t="str">
        <f t="shared" si="79"/>
        <v>#DIV/0!</v>
      </c>
      <c r="BJ75" s="29" t="str">
        <f t="shared" si="79"/>
        <v>#DIV/0!</v>
      </c>
      <c r="BK75" s="29" t="str">
        <f t="shared" si="79"/>
        <v>#DIV/0!</v>
      </c>
      <c r="BL75" s="29" t="str">
        <f t="shared" si="79"/>
        <v>#DIV/0!</v>
      </c>
      <c r="BM75" s="29" t="str">
        <f t="shared" si="3"/>
        <v>#DIV/0!</v>
      </c>
    </row>
    <row r="76">
      <c r="A76" s="16" t="str">
        <f>IFERROR(__xludf.DUMMYFUNCTION("IFERROR(SPARKLINE(SORT(MAP(TRANSPOSE(AQ76:BL76), LAMBDA(val, IF(ISNUMBER(val), PERCENTRANK(AQ76:BL76, val)+0.01, 0))), SEQUENCE(COLUMNS(AQ76:BL76)), FALSE), {""charttype"",""column""; ""color"",""chartreuse""; ""ymin"", 0; ""ymax"", 1.01; ""highcolor"", "&amp;"""darkgreen""; ""lowcolor"", ""red""}), """")"),"")</f>
        <v/>
      </c>
      <c r="B76" s="17" t="str">
        <f t="shared" si="4"/>
        <v/>
      </c>
      <c r="C76" s="1" t="s">
        <v>3183</v>
      </c>
      <c r="D76" s="30" t="str">
        <f>IFERROR(__xludf.DUMMYFUNCTION("IFERROR(GOOGLEFINANCE(C76, ""NAME""))"),"Newmont Corporation")</f>
        <v>Newmont Corporation</v>
      </c>
      <c r="E76" s="30" t="s">
        <v>2928</v>
      </c>
      <c r="F76" s="33" t="str">
        <f>IFERROR(__xludf.DUMMYFUNCTION("( (GOOGLEFINANCE(C76, ""price"") - Q76) / Q76 ) / (R76 / 100)"),"Loading...")</f>
        <v>Loading...</v>
      </c>
      <c r="G76" s="20" t="str">
        <f>IFERROR(__xludf.DUMMYFUNCTION("AVERAGE(ARRAYFORMULA(100 * (QUERY(GOOGLEFINANCE(C76, ""high"", TODAY()-40, TODAY()), ""SELECT Col2 WHERE Col2 IS NOT NULL ORDER BY Col1 DESC LIMIT 20"", 0) / QUERY(GOOGLEFINANCE(C76, ""low"", TODAY()-40, TODAY()), ""SELECT Col2 WHERE Col2 IS NOT NULL ORDE"&amp;"R BY Col1 DESC LIMIT 20"", 0) - 1)))"),"#N/A")</f>
        <v>#N/A</v>
      </c>
      <c r="H76" s="35" t="str">
        <f t="shared" si="35"/>
        <v>Liquid</v>
      </c>
      <c r="I76" s="35" t="str">
        <f t="shared" si="7"/>
        <v>No RVol Required</v>
      </c>
      <c r="J76" s="37">
        <f>IFERROR(__xludf.DUMMYFUNCTION("IFERROR(
  IF(C76="""",, 
    IFERROR(
      GOOGLEFINANCE(C76, ""price"") * GOOGLEFINANCE(C76, ""volumeavg""), 
      GOOGLEFINANCE(C76, ""price"") * AVERAGE(QUERY(GOOGLEFINANCE(C76, ""volume"", TODAY()-40, TODAY()), ""SELECT Col2 WHERE Col2 IS NOT NULL "&amp;"ORDER BY Col1 DESC LIMIT 20"", 0))
    )
  ), 
"""")"),7.285755738E8)</f>
        <v>728575573.8</v>
      </c>
      <c r="K76" s="21">
        <f>IFERROR(__xludf.DUMMYFUNCTION("IFERROR(GOOGLEFINANCE(C76, ""changepct"") / 100, """")"),0.024300000000000002)</f>
        <v>0.0243</v>
      </c>
      <c r="L76" s="21" t="str">
        <f>IFERROR(__xludf.DUMMYFUNCTION("IFERROR((GOOGLEFINANCE(C76, ""price"") / INDEX(GOOGLEFINANCE(C76, ""price"", TODAY()-7, TODAY()), 2, 2)) - 1, """")"),"")</f>
        <v/>
      </c>
      <c r="M76" s="21" t="str">
        <f>IFERROR(__xludf.DUMMYFUNCTION("IFERROR((GOOGLEFINANCE(C76, ""price"") / INDEX(GOOGLEFINANCE(C76, ""price"", EDATE(TODAY(), -1), TODAY()), 2, 2)) - 1, """")"),"")</f>
        <v/>
      </c>
      <c r="N76" s="21" t="str">
        <f>IFERROR(__xludf.DUMMYFUNCTION("IFERROR((GOOGLEFINANCE(C76, ""price"") / INDEX(GOOGLEFINANCE(C76, ""price"", EDATE(TODAY(), -3), TODAY()), 2, 2)) - 1, """")"),"")</f>
        <v/>
      </c>
      <c r="O76" s="21" t="str">
        <f>IFERROR(__xludf.DUMMYFUNCTION("IFERROR((GOOGLEFINANCE(C76, ""price"") / INDEX(GOOGLEFINANCE(C76, ""price"", EDATE(TODAY(), -6), TODAY()), 2, 2)) - 1, """")"),"")</f>
        <v/>
      </c>
      <c r="P76" s="21" t="str">
        <f>IFERROR(__xludf.DUMMYFUNCTION("IFERROR((GOOGLEFINANCE(C76, ""price"") / INDEX(GOOGLEFINANCE(C76, ""price"", EDATE(TODAY(), -12), TODAY()), 2, 2)) - 1, """")"),"")</f>
        <v/>
      </c>
      <c r="Q76" s="6" t="str">
        <f>IFERROR(__xludf.DUMMYFUNCTION("AVERAGE(QUERY(GOOGLEFINANCE(C76, ""price"", TODAY()-80, TODAY()), ""SELECT Col2 WHERE Col2 IS NOT NULL ORDER BY Col1 DESC LIMIT 50"", 0))"),"#N/A")</f>
        <v>#N/A</v>
      </c>
      <c r="R76" s="24" t="str">
        <f>IFERROR(__xludf.DUMMYFUNCTION("IFERROR(
  LET(
    data, QUERY(GOOGLEFINANCE(C76,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GOOGLEFINANCE(C76, ""price"")) * 100,
    IF(calc=0, G76, calc)
  ), 
G76)"),"#N/A")</f>
        <v>#N/A</v>
      </c>
      <c r="S76" s="8" t="s">
        <v>15</v>
      </c>
      <c r="T76" s="26" t="str">
        <f>IFERROR(__xludf.DUMMYFUNCTION("IFERROR(TRANSPOSE(QUERY(IFERROR(SORT(GOOGLEFINANCE(C76, ""price"", WORKDAY(TODAY(), -40), TODAY()), 1, FALSE)), ""select Col2 where Col2 is not null limit 22 label Col2 ''"", 0)), """")"),"")</f>
        <v/>
      </c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8"/>
      <c r="AO76" s="28"/>
      <c r="AP76" s="29"/>
      <c r="AQ76" s="29" t="str">
        <f t="shared" ref="AQ76:BL76" si="80">T76/T$2</f>
        <v>#N/A</v>
      </c>
      <c r="AR76" s="29" t="str">
        <f t="shared" si="80"/>
        <v>#DIV/0!</v>
      </c>
      <c r="AS76" s="29" t="str">
        <f t="shared" si="80"/>
        <v>#DIV/0!</v>
      </c>
      <c r="AT76" s="29" t="str">
        <f t="shared" si="80"/>
        <v>#DIV/0!</v>
      </c>
      <c r="AU76" s="29" t="str">
        <f t="shared" si="80"/>
        <v>#DIV/0!</v>
      </c>
      <c r="AV76" s="29" t="str">
        <f t="shared" si="80"/>
        <v>#DIV/0!</v>
      </c>
      <c r="AW76" s="29" t="str">
        <f t="shared" si="80"/>
        <v>#DIV/0!</v>
      </c>
      <c r="AX76" s="29" t="str">
        <f t="shared" si="80"/>
        <v>#DIV/0!</v>
      </c>
      <c r="AY76" s="29" t="str">
        <f t="shared" si="80"/>
        <v>#DIV/0!</v>
      </c>
      <c r="AZ76" s="29" t="str">
        <f t="shared" si="80"/>
        <v>#DIV/0!</v>
      </c>
      <c r="BA76" s="29" t="str">
        <f t="shared" si="80"/>
        <v>#DIV/0!</v>
      </c>
      <c r="BB76" s="29" t="str">
        <f t="shared" si="80"/>
        <v>#DIV/0!</v>
      </c>
      <c r="BC76" s="29" t="str">
        <f t="shared" si="80"/>
        <v>#DIV/0!</v>
      </c>
      <c r="BD76" s="29" t="str">
        <f t="shared" si="80"/>
        <v>#DIV/0!</v>
      </c>
      <c r="BE76" s="29" t="str">
        <f t="shared" si="80"/>
        <v>#DIV/0!</v>
      </c>
      <c r="BF76" s="29" t="str">
        <f t="shared" si="80"/>
        <v>#DIV/0!</v>
      </c>
      <c r="BG76" s="29" t="str">
        <f t="shared" si="80"/>
        <v>#DIV/0!</v>
      </c>
      <c r="BH76" s="29" t="str">
        <f t="shared" si="80"/>
        <v>#DIV/0!</v>
      </c>
      <c r="BI76" s="29" t="str">
        <f t="shared" si="80"/>
        <v>#DIV/0!</v>
      </c>
      <c r="BJ76" s="29" t="str">
        <f t="shared" si="80"/>
        <v>#DIV/0!</v>
      </c>
      <c r="BK76" s="29" t="str">
        <f t="shared" si="80"/>
        <v>#DIV/0!</v>
      </c>
      <c r="BL76" s="29" t="str">
        <f t="shared" si="80"/>
        <v>#DIV/0!</v>
      </c>
      <c r="BM76" s="29" t="str">
        <f t="shared" si="3"/>
        <v>#DIV/0!</v>
      </c>
    </row>
    <row r="77">
      <c r="A77" s="16" t="str">
        <f>IFERROR(__xludf.DUMMYFUNCTION("IFERROR(SPARKLINE(SORT(MAP(TRANSPOSE(AQ77:BL77), LAMBDA(val, IF(ISNUMBER(val), PERCENTRANK(AQ77:BL77, val)+0.01, 0))), SEQUENCE(COLUMNS(AQ77:BL77)), FALSE), {""charttype"",""column""; ""color"",""chartreuse""; ""ymin"", 0; ""ymax"", 1.01; ""highcolor"", "&amp;"""darkgreen""; ""lowcolor"", ""red""}), """")"),"")</f>
        <v/>
      </c>
      <c r="B77" s="17" t="str">
        <f t="shared" si="4"/>
        <v/>
      </c>
      <c r="C77" s="1" t="s">
        <v>3185</v>
      </c>
      <c r="D77" s="30" t="str">
        <f>IFERROR(__xludf.DUMMYFUNCTION("IFERROR(GOOGLEFINANCE(C77, ""NAME""))"),"Elevra Lithium Limited American Depository Shares Representing 10 Ord Shs")</f>
        <v>Elevra Lithium Limited American Depository Shares Representing 10 Ord Shs</v>
      </c>
      <c r="E77" s="30" t="s">
        <v>2935</v>
      </c>
      <c r="F77" s="33" t="str">
        <f>IFERROR(__xludf.DUMMYFUNCTION("( (GOOGLEFINANCE(C77, ""price"") - Q77) / Q77 ) / (R77 / 100)"),"Loading...")</f>
        <v>Loading...</v>
      </c>
      <c r="G77" s="20" t="str">
        <f>IFERROR(__xludf.DUMMYFUNCTION("AVERAGE(ARRAYFORMULA(100 * (QUERY(GOOGLEFINANCE(C77, ""high"", TODAY()-40, TODAY()), ""SELECT Col2 WHERE Col2 IS NOT NULL ORDER BY Col1 DESC LIMIT 20"", 0) / QUERY(GOOGLEFINANCE(C77, ""low"", TODAY()-40, TODAY()), ""SELECT Col2 WHERE Col2 IS NOT NULL ORDE"&amp;"R BY Col1 DESC LIMIT 20"", 0) - 1)))"),"#N/A")</f>
        <v>#N/A</v>
      </c>
      <c r="H77" s="35" t="str">
        <f t="shared" si="35"/>
        <v>Illiquid</v>
      </c>
      <c r="I77" s="35" t="str">
        <f t="shared" si="7"/>
        <v>RVol Required</v>
      </c>
      <c r="J77" s="37">
        <f>IFERROR(__xludf.DUMMYFUNCTION("IFERROR(
  IF(C77="""",, 
    IFERROR(
      GOOGLEFINANCE(C77, ""price"") * GOOGLEFINANCE(C77, ""volumeavg""), 
      GOOGLEFINANCE(C77, ""price"") * AVERAGE(QUERY(GOOGLEFINANCE(C77, ""volume"", TODAY()-40, TODAY()), ""SELECT Col2 WHERE Col2 IS NOT NULL "&amp;"ORDER BY Col1 DESC LIMIT 20"", 0))
    )
  ), 
"""")"),1481723.55)</f>
        <v>1481723.55</v>
      </c>
      <c r="K77" s="21">
        <f>IFERROR(__xludf.DUMMYFUNCTION("IFERROR(GOOGLEFINANCE(C77, ""changepct"") / 100, """")"),-0.022799999999999997)</f>
        <v>-0.0228</v>
      </c>
      <c r="L77" s="21" t="str">
        <f>IFERROR(__xludf.DUMMYFUNCTION("IFERROR((GOOGLEFINANCE(C77, ""price"") / INDEX(GOOGLEFINANCE(C77, ""price"", TODAY()-7, TODAY()), 2, 2)) - 1, """")"),"")</f>
        <v/>
      </c>
      <c r="M77" s="21" t="str">
        <f>IFERROR(__xludf.DUMMYFUNCTION("IFERROR((GOOGLEFINANCE(C77, ""price"") / INDEX(GOOGLEFINANCE(C77, ""price"", EDATE(TODAY(), -1), TODAY()), 2, 2)) - 1, """")"),"")</f>
        <v/>
      </c>
      <c r="N77" s="21" t="str">
        <f>IFERROR(__xludf.DUMMYFUNCTION("IFERROR((GOOGLEFINANCE(C77, ""price"") / INDEX(GOOGLEFINANCE(C77, ""price"", EDATE(TODAY(), -3), TODAY()), 2, 2)) - 1, """")"),"")</f>
        <v/>
      </c>
      <c r="O77" s="21" t="str">
        <f>IFERROR(__xludf.DUMMYFUNCTION("IFERROR((GOOGLEFINANCE(C77, ""price"") / INDEX(GOOGLEFINANCE(C77, ""price"", EDATE(TODAY(), -6), TODAY()), 2, 2)) - 1, """")"),"")</f>
        <v/>
      </c>
      <c r="P77" s="21" t="str">
        <f>IFERROR(__xludf.DUMMYFUNCTION("IFERROR((GOOGLEFINANCE(C77, ""price"") / INDEX(GOOGLEFINANCE(C77, ""price"", EDATE(TODAY(), -12), TODAY()), 2, 2)) - 1, """")"),"")</f>
        <v/>
      </c>
      <c r="Q77" s="6" t="str">
        <f>IFERROR(__xludf.DUMMYFUNCTION("AVERAGE(QUERY(GOOGLEFINANCE(C77, ""price"", TODAY()-80, TODAY()), ""SELECT Col2 WHERE Col2 IS NOT NULL ORDER BY Col1 DESC LIMIT 50"", 0))"),"#N/A")</f>
        <v>#N/A</v>
      </c>
      <c r="R77" s="24" t="str">
        <f>IFERROR(__xludf.DUMMYFUNCTION("IFERROR(
  LET(
    data, QUERY(GOOGLEFINANCE(C77,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GOOGLEFINANCE(C77, ""price"")) * 100,
    IF(calc=0, G77, calc)
  ), 
G77)"),"#N/A")</f>
        <v>#N/A</v>
      </c>
      <c r="S77" s="8" t="s">
        <v>15</v>
      </c>
      <c r="T77" s="26" t="str">
        <f>IFERROR(__xludf.DUMMYFUNCTION("IFERROR(TRANSPOSE(QUERY(IFERROR(SORT(GOOGLEFINANCE(C77, ""price"", WORKDAY(TODAY(), -40), TODAY()), 1, FALSE)), ""select Col2 where Col2 is not null limit 22 label Col2 ''"", 0)), """")"),"")</f>
        <v/>
      </c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8"/>
      <c r="AO77" s="28"/>
      <c r="AP77" s="29"/>
      <c r="AQ77" s="29" t="str">
        <f t="shared" ref="AQ77:BL77" si="81">T77/T$2</f>
        <v>#N/A</v>
      </c>
      <c r="AR77" s="29" t="str">
        <f t="shared" si="81"/>
        <v>#DIV/0!</v>
      </c>
      <c r="AS77" s="29" t="str">
        <f t="shared" si="81"/>
        <v>#DIV/0!</v>
      </c>
      <c r="AT77" s="29" t="str">
        <f t="shared" si="81"/>
        <v>#DIV/0!</v>
      </c>
      <c r="AU77" s="29" t="str">
        <f t="shared" si="81"/>
        <v>#DIV/0!</v>
      </c>
      <c r="AV77" s="29" t="str">
        <f t="shared" si="81"/>
        <v>#DIV/0!</v>
      </c>
      <c r="AW77" s="29" t="str">
        <f t="shared" si="81"/>
        <v>#DIV/0!</v>
      </c>
      <c r="AX77" s="29" t="str">
        <f t="shared" si="81"/>
        <v>#DIV/0!</v>
      </c>
      <c r="AY77" s="29" t="str">
        <f t="shared" si="81"/>
        <v>#DIV/0!</v>
      </c>
      <c r="AZ77" s="29" t="str">
        <f t="shared" si="81"/>
        <v>#DIV/0!</v>
      </c>
      <c r="BA77" s="29" t="str">
        <f t="shared" si="81"/>
        <v>#DIV/0!</v>
      </c>
      <c r="BB77" s="29" t="str">
        <f t="shared" si="81"/>
        <v>#DIV/0!</v>
      </c>
      <c r="BC77" s="29" t="str">
        <f t="shared" si="81"/>
        <v>#DIV/0!</v>
      </c>
      <c r="BD77" s="29" t="str">
        <f t="shared" si="81"/>
        <v>#DIV/0!</v>
      </c>
      <c r="BE77" s="29" t="str">
        <f t="shared" si="81"/>
        <v>#DIV/0!</v>
      </c>
      <c r="BF77" s="29" t="str">
        <f t="shared" si="81"/>
        <v>#DIV/0!</v>
      </c>
      <c r="BG77" s="29" t="str">
        <f t="shared" si="81"/>
        <v>#DIV/0!</v>
      </c>
      <c r="BH77" s="29" t="str">
        <f t="shared" si="81"/>
        <v>#DIV/0!</v>
      </c>
      <c r="BI77" s="29" t="str">
        <f t="shared" si="81"/>
        <v>#DIV/0!</v>
      </c>
      <c r="BJ77" s="29" t="str">
        <f t="shared" si="81"/>
        <v>#DIV/0!</v>
      </c>
      <c r="BK77" s="29" t="str">
        <f t="shared" si="81"/>
        <v>#DIV/0!</v>
      </c>
      <c r="BL77" s="29" t="str">
        <f t="shared" si="81"/>
        <v>#DIV/0!</v>
      </c>
      <c r="BM77" s="29" t="str">
        <f t="shared" si="3"/>
        <v>#DIV/0!</v>
      </c>
    </row>
    <row r="78">
      <c r="A78" s="16" t="str">
        <f>IFERROR(__xludf.DUMMYFUNCTION("IFERROR(SPARKLINE(SORT(MAP(TRANSPOSE(AQ78:BL78), LAMBDA(val, IF(ISNUMBER(val), PERCENTRANK(AQ78:BL78, val)+0.01, 0))), SEQUENCE(COLUMNS(AQ78:BL78)), FALSE), {""charttype"",""column""; ""color"",""chartreuse""; ""ymin"", 0; ""ymax"", 1.01; ""highcolor"", "&amp;"""darkgreen""; ""lowcolor"", ""red""}), """")"),"")</f>
        <v/>
      </c>
      <c r="B78" s="17" t="str">
        <f t="shared" si="4"/>
        <v/>
      </c>
      <c r="C78" s="1" t="s">
        <v>3188</v>
      </c>
      <c r="D78" s="30" t="str">
        <f>IFERROR(__xludf.DUMMYFUNCTION("IFERROR(GOOGLEFINANCE(C78, ""NAME""))"),"REX American Resources Corp")</f>
        <v>REX American Resources Corp</v>
      </c>
      <c r="E78" s="30" t="s">
        <v>3035</v>
      </c>
      <c r="F78" s="33" t="str">
        <f>IFERROR(__xludf.DUMMYFUNCTION("( (GOOGLEFINANCE(C78, ""price"") - Q78) / Q78 ) / (R78 / 100)"),"Loading...")</f>
        <v>Loading...</v>
      </c>
      <c r="G78" s="20" t="str">
        <f>IFERROR(__xludf.DUMMYFUNCTION("AVERAGE(ARRAYFORMULA(100 * (QUERY(GOOGLEFINANCE(C78, ""high"", TODAY()-40, TODAY()), ""SELECT Col2 WHERE Col2 IS NOT NULL ORDER BY Col1 DESC LIMIT 20"", 0) / QUERY(GOOGLEFINANCE(C78, ""low"", TODAY()-40, TODAY()), ""SELECT Col2 WHERE Col2 IS NOT NULL ORDE"&amp;"R BY Col1 DESC LIMIT 20"", 0) - 1)))"),"#N/A")</f>
        <v>#N/A</v>
      </c>
      <c r="H78" s="35" t="str">
        <f t="shared" si="35"/>
        <v>Illiquid</v>
      </c>
      <c r="I78" s="35" t="str">
        <f t="shared" si="7"/>
        <v>RVol Required</v>
      </c>
      <c r="J78" s="37">
        <f>IFERROR(__xludf.DUMMYFUNCTION("IFERROR(
  IF(C78="""",, 
    IFERROR(
      GOOGLEFINANCE(C78, ""price"") * GOOGLEFINANCE(C78, ""volumeavg""), 
      GOOGLEFINANCE(C78, ""price"") * AVERAGE(QUERY(GOOGLEFINANCE(C78, ""volume"", TODAY()-40, TODAY()), ""SELECT Col2 WHERE Col2 IS NOT NULL "&amp;"ORDER BY Col1 DESC LIMIT 20"", 0))
    )
  ), 
"""")"),1.065979376E7)</f>
        <v>10659793.76</v>
      </c>
      <c r="K78" s="21">
        <f>IFERROR(__xludf.DUMMYFUNCTION("IFERROR(GOOGLEFINANCE(C78, ""changepct"") / 100, """")"),-0.0029)</f>
        <v>-0.0029</v>
      </c>
      <c r="L78" s="21" t="str">
        <f>IFERROR(__xludf.DUMMYFUNCTION("IFERROR((GOOGLEFINANCE(C78, ""price"") / INDEX(GOOGLEFINANCE(C78, ""price"", TODAY()-7, TODAY()), 2, 2)) - 1, """")"),"")</f>
        <v/>
      </c>
      <c r="M78" s="21" t="str">
        <f>IFERROR(__xludf.DUMMYFUNCTION("IFERROR((GOOGLEFINANCE(C78, ""price"") / INDEX(GOOGLEFINANCE(C78, ""price"", EDATE(TODAY(), -1), TODAY()), 2, 2)) - 1, """")"),"")</f>
        <v/>
      </c>
      <c r="N78" s="21" t="str">
        <f>IFERROR(__xludf.DUMMYFUNCTION("IFERROR((GOOGLEFINANCE(C78, ""price"") / INDEX(GOOGLEFINANCE(C78, ""price"", EDATE(TODAY(), -3), TODAY()), 2, 2)) - 1, """")"),"")</f>
        <v/>
      </c>
      <c r="O78" s="21" t="str">
        <f>IFERROR(__xludf.DUMMYFUNCTION("IFERROR((GOOGLEFINANCE(C78, ""price"") / INDEX(GOOGLEFINANCE(C78, ""price"", EDATE(TODAY(), -6), TODAY()), 2, 2)) - 1, """")"),"")</f>
        <v/>
      </c>
      <c r="P78" s="21" t="str">
        <f>IFERROR(__xludf.DUMMYFUNCTION("IFERROR((GOOGLEFINANCE(C78, ""price"") / INDEX(GOOGLEFINANCE(C78, ""price"", EDATE(TODAY(), -12), TODAY()), 2, 2)) - 1, """")"),"")</f>
        <v/>
      </c>
      <c r="Q78" s="6" t="str">
        <f>IFERROR(__xludf.DUMMYFUNCTION("AVERAGE(QUERY(GOOGLEFINANCE(C78, ""price"", TODAY()-80, TODAY()), ""SELECT Col2 WHERE Col2 IS NOT NULL ORDER BY Col1 DESC LIMIT 50"", 0))"),"#N/A")</f>
        <v>#N/A</v>
      </c>
      <c r="R78" s="24" t="str">
        <f>IFERROR(__xludf.DUMMYFUNCTION("IFERROR(
  LET(
    data, QUERY(GOOGLEFINANCE(C78,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GOOGLEFINANCE(C78, ""price"")) * 100,
    IF(calc=0, G78, calc)
  ), 
G78)"),"#N/A")</f>
        <v>#N/A</v>
      </c>
      <c r="S78" s="8" t="s">
        <v>15</v>
      </c>
      <c r="T78" s="26" t="str">
        <f>IFERROR(__xludf.DUMMYFUNCTION("IFERROR(TRANSPOSE(QUERY(IFERROR(SORT(GOOGLEFINANCE(C78, ""price"", WORKDAY(TODAY(), -40), TODAY()), 1, FALSE)), ""select Col2 where Col2 is not null limit 22 label Col2 ''"", 0)), """")"),"")</f>
        <v/>
      </c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8"/>
      <c r="AO78" s="28"/>
      <c r="AP78" s="29"/>
      <c r="AQ78" s="29" t="str">
        <f t="shared" ref="AQ78:BL78" si="82">T78/T$2</f>
        <v>#N/A</v>
      </c>
      <c r="AR78" s="29" t="str">
        <f t="shared" si="82"/>
        <v>#DIV/0!</v>
      </c>
      <c r="AS78" s="29" t="str">
        <f t="shared" si="82"/>
        <v>#DIV/0!</v>
      </c>
      <c r="AT78" s="29" t="str">
        <f t="shared" si="82"/>
        <v>#DIV/0!</v>
      </c>
      <c r="AU78" s="29" t="str">
        <f t="shared" si="82"/>
        <v>#DIV/0!</v>
      </c>
      <c r="AV78" s="29" t="str">
        <f t="shared" si="82"/>
        <v>#DIV/0!</v>
      </c>
      <c r="AW78" s="29" t="str">
        <f t="shared" si="82"/>
        <v>#DIV/0!</v>
      </c>
      <c r="AX78" s="29" t="str">
        <f t="shared" si="82"/>
        <v>#DIV/0!</v>
      </c>
      <c r="AY78" s="29" t="str">
        <f t="shared" si="82"/>
        <v>#DIV/0!</v>
      </c>
      <c r="AZ78" s="29" t="str">
        <f t="shared" si="82"/>
        <v>#DIV/0!</v>
      </c>
      <c r="BA78" s="29" t="str">
        <f t="shared" si="82"/>
        <v>#DIV/0!</v>
      </c>
      <c r="BB78" s="29" t="str">
        <f t="shared" si="82"/>
        <v>#DIV/0!</v>
      </c>
      <c r="BC78" s="29" t="str">
        <f t="shared" si="82"/>
        <v>#DIV/0!</v>
      </c>
      <c r="BD78" s="29" t="str">
        <f t="shared" si="82"/>
        <v>#DIV/0!</v>
      </c>
      <c r="BE78" s="29" t="str">
        <f t="shared" si="82"/>
        <v>#DIV/0!</v>
      </c>
      <c r="BF78" s="29" t="str">
        <f t="shared" si="82"/>
        <v>#DIV/0!</v>
      </c>
      <c r="BG78" s="29" t="str">
        <f t="shared" si="82"/>
        <v>#DIV/0!</v>
      </c>
      <c r="BH78" s="29" t="str">
        <f t="shared" si="82"/>
        <v>#DIV/0!</v>
      </c>
      <c r="BI78" s="29" t="str">
        <f t="shared" si="82"/>
        <v>#DIV/0!</v>
      </c>
      <c r="BJ78" s="29" t="str">
        <f t="shared" si="82"/>
        <v>#DIV/0!</v>
      </c>
      <c r="BK78" s="29" t="str">
        <f t="shared" si="82"/>
        <v>#DIV/0!</v>
      </c>
      <c r="BL78" s="29" t="str">
        <f t="shared" si="82"/>
        <v>#DIV/0!</v>
      </c>
      <c r="BM78" s="29" t="str">
        <f t="shared" si="3"/>
        <v>#DIV/0!</v>
      </c>
    </row>
    <row r="79">
      <c r="A79" s="16" t="str">
        <f>IFERROR(__xludf.DUMMYFUNCTION("IFERROR(SPARKLINE(SORT(MAP(TRANSPOSE(AQ79:BL79), LAMBDA(val, IF(ISNUMBER(val), PERCENTRANK(AQ79:BL79, val)+0.01, 0))), SEQUENCE(COLUMNS(AQ79:BL79)), FALSE), {""charttype"",""column""; ""color"",""chartreuse""; ""ymin"", 0; ""ymax"", 1.01; ""highcolor"", "&amp;"""darkgreen""; ""lowcolor"", ""red""}), """")"),"")</f>
        <v/>
      </c>
      <c r="B79" s="17" t="str">
        <f t="shared" si="4"/>
        <v/>
      </c>
      <c r="C79" s="1" t="s">
        <v>3191</v>
      </c>
      <c r="D79" s="30" t="str">
        <f>IFERROR(__xludf.DUMMYFUNCTION("IFERROR(GOOGLEFINANCE(C79, ""NAME""))"),"Iamgold Corp")</f>
        <v>Iamgold Corp</v>
      </c>
      <c r="E79" s="30" t="s">
        <v>2928</v>
      </c>
      <c r="F79" s="33" t="str">
        <f>IFERROR(__xludf.DUMMYFUNCTION("( (GOOGLEFINANCE(C79, ""price"") - Q79) / Q79 ) / (R79 / 100)"),"Loading...")</f>
        <v>Loading...</v>
      </c>
      <c r="G79" s="20" t="str">
        <f>IFERROR(__xludf.DUMMYFUNCTION("AVERAGE(ARRAYFORMULA(100 * (QUERY(GOOGLEFINANCE(C79, ""high"", TODAY()-40, TODAY()), ""SELECT Col2 WHERE Col2 IS NOT NULL ORDER BY Col1 DESC LIMIT 20"", 0) / QUERY(GOOGLEFINANCE(C79, ""low"", TODAY()-40, TODAY()), ""SELECT Col2 WHERE Col2 IS NOT NULL ORDE"&amp;"R BY Col1 DESC LIMIT 20"", 0) - 1)))"),"#N/A")</f>
        <v>#N/A</v>
      </c>
      <c r="H79" s="35" t="str">
        <f t="shared" si="35"/>
        <v>Liquid</v>
      </c>
      <c r="I79" s="35" t="str">
        <f t="shared" si="7"/>
        <v>RVol Required</v>
      </c>
      <c r="J79" s="37">
        <f>IFERROR(__xludf.DUMMYFUNCTION("IFERROR(
  IF(C79="""",, 
    IFERROR(
      GOOGLEFINANCE(C79, ""price"") * GOOGLEFINANCE(C79, ""volumeavg""), 
      GOOGLEFINANCE(C79, ""price"") * AVERAGE(QUERY(GOOGLEFINANCE(C79, ""volume"", TODAY()-40, TODAY()), ""SELECT Col2 WHERE Col2 IS NOT NULL "&amp;"ORDER BY Col1 DESC LIMIT 20"", 0))
    )
  ), 
"""")"),8.613888165E7)</f>
        <v>86138881.65</v>
      </c>
      <c r="K79" s="21">
        <f>IFERROR(__xludf.DUMMYFUNCTION("IFERROR(GOOGLEFINANCE(C79, ""changepct"") / 100, """")"),0.018600000000000002)</f>
        <v>0.0186</v>
      </c>
      <c r="L79" s="21" t="str">
        <f>IFERROR(__xludf.DUMMYFUNCTION("IFERROR((GOOGLEFINANCE(C79, ""price"") / INDEX(GOOGLEFINANCE(C79, ""price"", TODAY()-7, TODAY()), 2, 2)) - 1, """")"),"")</f>
        <v/>
      </c>
      <c r="M79" s="21" t="str">
        <f>IFERROR(__xludf.DUMMYFUNCTION("IFERROR((GOOGLEFINANCE(C79, ""price"") / INDEX(GOOGLEFINANCE(C79, ""price"", EDATE(TODAY(), -1), TODAY()), 2, 2)) - 1, """")"),"")</f>
        <v/>
      </c>
      <c r="N79" s="21" t="str">
        <f>IFERROR(__xludf.DUMMYFUNCTION("IFERROR((GOOGLEFINANCE(C79, ""price"") / INDEX(GOOGLEFINANCE(C79, ""price"", EDATE(TODAY(), -3), TODAY()), 2, 2)) - 1, """")"),"")</f>
        <v/>
      </c>
      <c r="O79" s="21" t="str">
        <f>IFERROR(__xludf.DUMMYFUNCTION("IFERROR((GOOGLEFINANCE(C79, ""price"") / INDEX(GOOGLEFINANCE(C79, ""price"", EDATE(TODAY(), -6), TODAY()), 2, 2)) - 1, """")"),"")</f>
        <v/>
      </c>
      <c r="P79" s="21" t="str">
        <f>IFERROR(__xludf.DUMMYFUNCTION("IFERROR((GOOGLEFINANCE(C79, ""price"") / INDEX(GOOGLEFINANCE(C79, ""price"", EDATE(TODAY(), -12), TODAY()), 2, 2)) - 1, """")"),"")</f>
        <v/>
      </c>
      <c r="Q79" s="6" t="str">
        <f>IFERROR(__xludf.DUMMYFUNCTION("AVERAGE(QUERY(GOOGLEFINANCE(C79, ""price"", TODAY()-80, TODAY()), ""SELECT Col2 WHERE Col2 IS NOT NULL ORDER BY Col1 DESC LIMIT 50"", 0))"),"#N/A")</f>
        <v>#N/A</v>
      </c>
      <c r="R79" s="24" t="str">
        <f>IFERROR(__xludf.DUMMYFUNCTION("IFERROR(
  LET(
    data, QUERY(GOOGLEFINANCE(C79,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GOOGLEFINANCE(C79, ""price"")) * 100,
    IF(calc=0, G79, calc)
  ), 
G79)"),"#N/A")</f>
        <v>#N/A</v>
      </c>
      <c r="S79" s="8" t="s">
        <v>15</v>
      </c>
      <c r="T79" s="26" t="str">
        <f>IFERROR(__xludf.DUMMYFUNCTION("IFERROR(TRANSPOSE(QUERY(IFERROR(SORT(GOOGLEFINANCE(C79, ""price"", WORKDAY(TODAY(), -40), TODAY()), 1, FALSE)), ""select Col2 where Col2 is not null limit 22 label Col2 ''"", 0)), """")"),"")</f>
        <v/>
      </c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8"/>
      <c r="AO79" s="28"/>
      <c r="AP79" s="29"/>
      <c r="AQ79" s="29" t="str">
        <f t="shared" ref="AQ79:BL79" si="83">T79/T$2</f>
        <v>#N/A</v>
      </c>
      <c r="AR79" s="29" t="str">
        <f t="shared" si="83"/>
        <v>#DIV/0!</v>
      </c>
      <c r="AS79" s="29" t="str">
        <f t="shared" si="83"/>
        <v>#DIV/0!</v>
      </c>
      <c r="AT79" s="29" t="str">
        <f t="shared" si="83"/>
        <v>#DIV/0!</v>
      </c>
      <c r="AU79" s="29" t="str">
        <f t="shared" si="83"/>
        <v>#DIV/0!</v>
      </c>
      <c r="AV79" s="29" t="str">
        <f t="shared" si="83"/>
        <v>#DIV/0!</v>
      </c>
      <c r="AW79" s="29" t="str">
        <f t="shared" si="83"/>
        <v>#DIV/0!</v>
      </c>
      <c r="AX79" s="29" t="str">
        <f t="shared" si="83"/>
        <v>#DIV/0!</v>
      </c>
      <c r="AY79" s="29" t="str">
        <f t="shared" si="83"/>
        <v>#DIV/0!</v>
      </c>
      <c r="AZ79" s="29" t="str">
        <f t="shared" si="83"/>
        <v>#DIV/0!</v>
      </c>
      <c r="BA79" s="29" t="str">
        <f t="shared" si="83"/>
        <v>#DIV/0!</v>
      </c>
      <c r="BB79" s="29" t="str">
        <f t="shared" si="83"/>
        <v>#DIV/0!</v>
      </c>
      <c r="BC79" s="29" t="str">
        <f t="shared" si="83"/>
        <v>#DIV/0!</v>
      </c>
      <c r="BD79" s="29" t="str">
        <f t="shared" si="83"/>
        <v>#DIV/0!</v>
      </c>
      <c r="BE79" s="29" t="str">
        <f t="shared" si="83"/>
        <v>#DIV/0!</v>
      </c>
      <c r="BF79" s="29" t="str">
        <f t="shared" si="83"/>
        <v>#DIV/0!</v>
      </c>
      <c r="BG79" s="29" t="str">
        <f t="shared" si="83"/>
        <v>#DIV/0!</v>
      </c>
      <c r="BH79" s="29" t="str">
        <f t="shared" si="83"/>
        <v>#DIV/0!</v>
      </c>
      <c r="BI79" s="29" t="str">
        <f t="shared" si="83"/>
        <v>#DIV/0!</v>
      </c>
      <c r="BJ79" s="29" t="str">
        <f t="shared" si="83"/>
        <v>#DIV/0!</v>
      </c>
      <c r="BK79" s="29" t="str">
        <f t="shared" si="83"/>
        <v>#DIV/0!</v>
      </c>
      <c r="BL79" s="29" t="str">
        <f t="shared" si="83"/>
        <v>#DIV/0!</v>
      </c>
      <c r="BM79" s="29" t="str">
        <f t="shared" si="3"/>
        <v>#DIV/0!</v>
      </c>
    </row>
    <row r="80">
      <c r="A80" s="16" t="str">
        <f>IFERROR(__xludf.DUMMYFUNCTION("IFERROR(SPARKLINE(SORT(MAP(TRANSPOSE(AQ80:BL80), LAMBDA(val, IF(ISNUMBER(val), PERCENTRANK(AQ80:BL80, val)+0.01, 0))), SEQUENCE(COLUMNS(AQ80:BL80)), FALSE), {""charttype"",""column""; ""color"",""chartreuse""; ""ymin"", 0; ""ymax"", 1.01; ""highcolor"", "&amp;"""darkgreen""; ""lowcolor"", ""red""}), """")"),"")</f>
        <v/>
      </c>
      <c r="B80" s="17" t="str">
        <f t="shared" si="4"/>
        <v/>
      </c>
      <c r="C80" s="1" t="s">
        <v>3194</v>
      </c>
      <c r="D80" s="30" t="str">
        <f>IFERROR(__xludf.DUMMYFUNCTION("IFERROR(GOOGLEFINANCE(C80, ""NAME""))"),"Elemental Royalty Corp")</f>
        <v>Elemental Royalty Corp</v>
      </c>
      <c r="E80" s="30" t="s">
        <v>3008</v>
      </c>
      <c r="F80" s="33" t="str">
        <f>IFERROR(__xludf.DUMMYFUNCTION("( (GOOGLEFINANCE(C80, ""price"") - Q80) / Q80 ) / (R80 / 100)"),"Loading...")</f>
        <v>Loading...</v>
      </c>
      <c r="G80" s="20" t="str">
        <f>IFERROR(__xludf.DUMMYFUNCTION("AVERAGE(ARRAYFORMULA(100 * (QUERY(GOOGLEFINANCE(C80, ""high"", TODAY()-40, TODAY()), ""SELECT Col2 WHERE Col2 IS NOT NULL ORDER BY Col1 DESC LIMIT 20"", 0) / QUERY(GOOGLEFINANCE(C80, ""low"", TODAY()-40, TODAY()), ""SELECT Col2 WHERE Col2 IS NOT NULL ORDE"&amp;"R BY Col1 DESC LIMIT 20"", 0) - 1)))"),"#N/A")</f>
        <v>#N/A</v>
      </c>
      <c r="H80" s="35" t="str">
        <f t="shared" si="35"/>
        <v>Illiquid</v>
      </c>
      <c r="I80" s="35" t="str">
        <f t="shared" si="7"/>
        <v>RVol Required</v>
      </c>
      <c r="J80" s="37">
        <f>IFERROR(__xludf.DUMMYFUNCTION("IFERROR(
  IF(C80="""",, 
    IFERROR(
      GOOGLEFINANCE(C80, ""price"") * GOOGLEFINANCE(C80, ""volumeavg""), 
      GOOGLEFINANCE(C80, ""price"") * AVERAGE(QUERY(GOOGLEFINANCE(C80, ""volume"", TODAY()-40, TODAY()), ""SELECT Col2 WHERE Col2 IS NOT NULL "&amp;"ORDER BY Col1 DESC LIMIT 20"", 0))
    )
  ), 
"""")"),7301985.930000001)</f>
        <v>7301985.93</v>
      </c>
      <c r="K80" s="21">
        <f>IFERROR(__xludf.DUMMYFUNCTION("IFERROR(GOOGLEFINANCE(C80, ""changepct"") / 100, """")"),-0.003)</f>
        <v>-0.003</v>
      </c>
      <c r="L80" s="21" t="str">
        <f>IFERROR(__xludf.DUMMYFUNCTION("IFERROR((GOOGLEFINANCE(C80, ""price"") / INDEX(GOOGLEFINANCE(C80, ""price"", TODAY()-7, TODAY()), 2, 2)) - 1, """")"),"")</f>
        <v/>
      </c>
      <c r="M80" s="21" t="str">
        <f>IFERROR(__xludf.DUMMYFUNCTION("IFERROR((GOOGLEFINANCE(C80, ""price"") / INDEX(GOOGLEFINANCE(C80, ""price"", EDATE(TODAY(), -1), TODAY()), 2, 2)) - 1, """")"),"")</f>
        <v/>
      </c>
      <c r="N80" s="21" t="str">
        <f>IFERROR(__xludf.DUMMYFUNCTION("IFERROR((GOOGLEFINANCE(C80, ""price"") / INDEX(GOOGLEFINANCE(C80, ""price"", EDATE(TODAY(), -3), TODAY()), 2, 2)) - 1, """")"),"")</f>
        <v/>
      </c>
      <c r="O80" s="21" t="str">
        <f>IFERROR(__xludf.DUMMYFUNCTION("IFERROR((GOOGLEFINANCE(C80, ""price"") / INDEX(GOOGLEFINANCE(C80, ""price"", EDATE(TODAY(), -6), TODAY()), 2, 2)) - 1, """")"),"")</f>
        <v/>
      </c>
      <c r="P80" s="21" t="str">
        <f>IFERROR(__xludf.DUMMYFUNCTION("IFERROR((GOOGLEFINANCE(C80, ""price"") / INDEX(GOOGLEFINANCE(C80, ""price"", EDATE(TODAY(), -12), TODAY()), 2, 2)) - 1, """")"),"")</f>
        <v/>
      </c>
      <c r="Q80" s="6" t="str">
        <f>IFERROR(__xludf.DUMMYFUNCTION("AVERAGE(QUERY(GOOGLEFINANCE(C80, ""price"", TODAY()-80, TODAY()), ""SELECT Col2 WHERE Col2 IS NOT NULL ORDER BY Col1 DESC LIMIT 50"", 0))"),"#N/A")</f>
        <v>#N/A</v>
      </c>
      <c r="R80" s="24" t="str">
        <f>IFERROR(__xludf.DUMMYFUNCTION("IFERROR(
  LET(
    data, QUERY(GOOGLEFINANCE(C80,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GOOGLEFINANCE(C80, ""price"")) * 100,
    IF(calc=0, G80, calc)
  ), 
G80)"),"#N/A")</f>
        <v>#N/A</v>
      </c>
      <c r="S80" s="8" t="s">
        <v>15</v>
      </c>
      <c r="T80" s="26" t="str">
        <f>IFERROR(__xludf.DUMMYFUNCTION("IFERROR(TRANSPOSE(QUERY(IFERROR(SORT(GOOGLEFINANCE(C80, ""price"", WORKDAY(TODAY(), -40), TODAY()), 1, FALSE)), ""select Col2 where Col2 is not null limit 22 label Col2 ''"", 0)), """")"),"")</f>
        <v/>
      </c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8"/>
      <c r="AO80" s="28"/>
      <c r="AP80" s="29"/>
      <c r="AQ80" s="29" t="str">
        <f t="shared" ref="AQ80:BL80" si="84">T80/T$2</f>
        <v>#N/A</v>
      </c>
      <c r="AR80" s="29" t="str">
        <f t="shared" si="84"/>
        <v>#DIV/0!</v>
      </c>
      <c r="AS80" s="29" t="str">
        <f t="shared" si="84"/>
        <v>#DIV/0!</v>
      </c>
      <c r="AT80" s="29" t="str">
        <f t="shared" si="84"/>
        <v>#DIV/0!</v>
      </c>
      <c r="AU80" s="29" t="str">
        <f t="shared" si="84"/>
        <v>#DIV/0!</v>
      </c>
      <c r="AV80" s="29" t="str">
        <f t="shared" si="84"/>
        <v>#DIV/0!</v>
      </c>
      <c r="AW80" s="29" t="str">
        <f t="shared" si="84"/>
        <v>#DIV/0!</v>
      </c>
      <c r="AX80" s="29" t="str">
        <f t="shared" si="84"/>
        <v>#DIV/0!</v>
      </c>
      <c r="AY80" s="29" t="str">
        <f t="shared" si="84"/>
        <v>#DIV/0!</v>
      </c>
      <c r="AZ80" s="29" t="str">
        <f t="shared" si="84"/>
        <v>#DIV/0!</v>
      </c>
      <c r="BA80" s="29" t="str">
        <f t="shared" si="84"/>
        <v>#DIV/0!</v>
      </c>
      <c r="BB80" s="29" t="str">
        <f t="shared" si="84"/>
        <v>#DIV/0!</v>
      </c>
      <c r="BC80" s="29" t="str">
        <f t="shared" si="84"/>
        <v>#DIV/0!</v>
      </c>
      <c r="BD80" s="29" t="str">
        <f t="shared" si="84"/>
        <v>#DIV/0!</v>
      </c>
      <c r="BE80" s="29" t="str">
        <f t="shared" si="84"/>
        <v>#DIV/0!</v>
      </c>
      <c r="BF80" s="29" t="str">
        <f t="shared" si="84"/>
        <v>#DIV/0!</v>
      </c>
      <c r="BG80" s="29" t="str">
        <f t="shared" si="84"/>
        <v>#DIV/0!</v>
      </c>
      <c r="BH80" s="29" t="str">
        <f t="shared" si="84"/>
        <v>#DIV/0!</v>
      </c>
      <c r="BI80" s="29" t="str">
        <f t="shared" si="84"/>
        <v>#DIV/0!</v>
      </c>
      <c r="BJ80" s="29" t="str">
        <f t="shared" si="84"/>
        <v>#DIV/0!</v>
      </c>
      <c r="BK80" s="29" t="str">
        <f t="shared" si="84"/>
        <v>#DIV/0!</v>
      </c>
      <c r="BL80" s="29" t="str">
        <f t="shared" si="84"/>
        <v>#DIV/0!</v>
      </c>
      <c r="BM80" s="29" t="str">
        <f t="shared" si="3"/>
        <v>#DIV/0!</v>
      </c>
    </row>
    <row r="81">
      <c r="A81" s="16" t="str">
        <f>IFERROR(__xludf.DUMMYFUNCTION("IFERROR(SPARKLINE(SORT(MAP(TRANSPOSE(AQ81:BL81), LAMBDA(val, IF(ISNUMBER(val), PERCENTRANK(AQ81:BL81, val)+0.01, 0))), SEQUENCE(COLUMNS(AQ81:BL81)), FALSE), {""charttype"",""column""; ""color"",""chartreuse""; ""ymin"", 0; ""ymax"", 1.01; ""highcolor"", "&amp;"""darkgreen""; ""lowcolor"", ""red""}), """")"),"")</f>
        <v/>
      </c>
      <c r="B81" s="17" t="str">
        <f t="shared" si="4"/>
        <v/>
      </c>
      <c r="C81" s="1" t="s">
        <v>3197</v>
      </c>
      <c r="D81" s="30" t="str">
        <f>IFERROR(__xludf.DUMMYFUNCTION("IFERROR(GOOGLEFINANCE(C81, ""NAME""))"),"Harmony Gold Mining Company Ltd")</f>
        <v>Harmony Gold Mining Company Ltd</v>
      </c>
      <c r="E81" s="30" t="s">
        <v>2928</v>
      </c>
      <c r="F81" s="33" t="str">
        <f>IFERROR(__xludf.DUMMYFUNCTION("( (GOOGLEFINANCE(C81, ""price"") - Q81) / Q81 ) / (R81 / 100)"),"Loading...")</f>
        <v>Loading...</v>
      </c>
      <c r="G81" s="20" t="str">
        <f>IFERROR(__xludf.DUMMYFUNCTION("AVERAGE(ARRAYFORMULA(100 * (QUERY(GOOGLEFINANCE(C81, ""high"", TODAY()-40, TODAY()), ""SELECT Col2 WHERE Col2 IS NOT NULL ORDER BY Col1 DESC LIMIT 20"", 0) / QUERY(GOOGLEFINANCE(C81, ""low"", TODAY()-40, TODAY()), ""SELECT Col2 WHERE Col2 IS NOT NULL ORDE"&amp;"R BY Col1 DESC LIMIT 20"", 0) - 1)))"),"#N/A")</f>
        <v>#N/A</v>
      </c>
      <c r="H81" s="35" t="str">
        <f t="shared" si="35"/>
        <v>Liquid</v>
      </c>
      <c r="I81" s="35" t="str">
        <f t="shared" si="7"/>
        <v>RVol Required</v>
      </c>
      <c r="J81" s="37">
        <f>IFERROR(__xludf.DUMMYFUNCTION("IFERROR(
  IF(C81="""",, 
    IFERROR(
      GOOGLEFINANCE(C81, ""price"") * GOOGLEFINANCE(C81, ""volumeavg""), 
      GOOGLEFINANCE(C81, ""price"") * AVERAGE(QUERY(GOOGLEFINANCE(C81, ""volume"", TODAY()-40, TODAY()), ""SELECT Col2 WHERE Col2 IS NOT NULL "&amp;"ORDER BY Col1 DESC LIMIT 20"", 0))
    )
  ), 
"""")"),6.3741064160000004E7)</f>
        <v>63741064.16</v>
      </c>
      <c r="K81" s="21">
        <f>IFERROR(__xludf.DUMMYFUNCTION("IFERROR(GOOGLEFINANCE(C81, ""changepct"") / 100, """")"),0.008199999999999999)</f>
        <v>0.0082</v>
      </c>
      <c r="L81" s="21" t="str">
        <f>IFERROR(__xludf.DUMMYFUNCTION("IFERROR((GOOGLEFINANCE(C81, ""price"") / INDEX(GOOGLEFINANCE(C81, ""price"", TODAY()-7, TODAY()), 2, 2)) - 1, """")"),"")</f>
        <v/>
      </c>
      <c r="M81" s="21" t="str">
        <f>IFERROR(__xludf.DUMMYFUNCTION("IFERROR((GOOGLEFINANCE(C81, ""price"") / INDEX(GOOGLEFINANCE(C81, ""price"", EDATE(TODAY(), -1), TODAY()), 2, 2)) - 1, """")"),"")</f>
        <v/>
      </c>
      <c r="N81" s="21" t="str">
        <f>IFERROR(__xludf.DUMMYFUNCTION("IFERROR((GOOGLEFINANCE(C81, ""price"") / INDEX(GOOGLEFINANCE(C81, ""price"", EDATE(TODAY(), -3), TODAY()), 2, 2)) - 1, """")"),"")</f>
        <v/>
      </c>
      <c r="O81" s="21" t="str">
        <f>IFERROR(__xludf.DUMMYFUNCTION("IFERROR((GOOGLEFINANCE(C81, ""price"") / INDEX(GOOGLEFINANCE(C81, ""price"", EDATE(TODAY(), -6), TODAY()), 2, 2)) - 1, """")"),"")</f>
        <v/>
      </c>
      <c r="P81" s="21" t="str">
        <f>IFERROR(__xludf.DUMMYFUNCTION("IFERROR((GOOGLEFINANCE(C81, ""price"") / INDEX(GOOGLEFINANCE(C81, ""price"", EDATE(TODAY(), -12), TODAY()), 2, 2)) - 1, """")"),"")</f>
        <v/>
      </c>
      <c r="Q81" s="6" t="str">
        <f>IFERROR(__xludf.DUMMYFUNCTION("AVERAGE(QUERY(GOOGLEFINANCE(C81, ""price"", TODAY()-80, TODAY()), ""SELECT Col2 WHERE Col2 IS NOT NULL ORDER BY Col1 DESC LIMIT 50"", 0))"),"#N/A")</f>
        <v>#N/A</v>
      </c>
      <c r="R81" s="24" t="str">
        <f>IFERROR(__xludf.DUMMYFUNCTION("IFERROR(
  LET(
    data, QUERY(GOOGLEFINANCE(C81,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GOOGLEFINANCE(C81, ""price"")) * 100,
    IF(calc=0, G81, calc)
  ), 
G81)"),"#N/A")</f>
        <v>#N/A</v>
      </c>
      <c r="S81" s="8" t="s">
        <v>15</v>
      </c>
      <c r="T81" s="26" t="str">
        <f>IFERROR(__xludf.DUMMYFUNCTION("IFERROR(TRANSPOSE(QUERY(IFERROR(SORT(GOOGLEFINANCE(C81, ""price"", WORKDAY(TODAY(), -40), TODAY()), 1, FALSE)), ""select Col2 where Col2 is not null limit 22 label Col2 ''"", 0)), """")"),"")</f>
        <v/>
      </c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8"/>
      <c r="AO81" s="28"/>
      <c r="AP81" s="29"/>
      <c r="AQ81" s="29" t="str">
        <f t="shared" ref="AQ81:BL81" si="85">T81/T$2</f>
        <v>#N/A</v>
      </c>
      <c r="AR81" s="29" t="str">
        <f t="shared" si="85"/>
        <v>#DIV/0!</v>
      </c>
      <c r="AS81" s="29" t="str">
        <f t="shared" si="85"/>
        <v>#DIV/0!</v>
      </c>
      <c r="AT81" s="29" t="str">
        <f t="shared" si="85"/>
        <v>#DIV/0!</v>
      </c>
      <c r="AU81" s="29" t="str">
        <f t="shared" si="85"/>
        <v>#DIV/0!</v>
      </c>
      <c r="AV81" s="29" t="str">
        <f t="shared" si="85"/>
        <v>#DIV/0!</v>
      </c>
      <c r="AW81" s="29" t="str">
        <f t="shared" si="85"/>
        <v>#DIV/0!</v>
      </c>
      <c r="AX81" s="29" t="str">
        <f t="shared" si="85"/>
        <v>#DIV/0!</v>
      </c>
      <c r="AY81" s="29" t="str">
        <f t="shared" si="85"/>
        <v>#DIV/0!</v>
      </c>
      <c r="AZ81" s="29" t="str">
        <f t="shared" si="85"/>
        <v>#DIV/0!</v>
      </c>
      <c r="BA81" s="29" t="str">
        <f t="shared" si="85"/>
        <v>#DIV/0!</v>
      </c>
      <c r="BB81" s="29" t="str">
        <f t="shared" si="85"/>
        <v>#DIV/0!</v>
      </c>
      <c r="BC81" s="29" t="str">
        <f t="shared" si="85"/>
        <v>#DIV/0!</v>
      </c>
      <c r="BD81" s="29" t="str">
        <f t="shared" si="85"/>
        <v>#DIV/0!</v>
      </c>
      <c r="BE81" s="29" t="str">
        <f t="shared" si="85"/>
        <v>#DIV/0!</v>
      </c>
      <c r="BF81" s="29" t="str">
        <f t="shared" si="85"/>
        <v>#DIV/0!</v>
      </c>
      <c r="BG81" s="29" t="str">
        <f t="shared" si="85"/>
        <v>#DIV/0!</v>
      </c>
      <c r="BH81" s="29" t="str">
        <f t="shared" si="85"/>
        <v>#DIV/0!</v>
      </c>
      <c r="BI81" s="29" t="str">
        <f t="shared" si="85"/>
        <v>#DIV/0!</v>
      </c>
      <c r="BJ81" s="29" t="str">
        <f t="shared" si="85"/>
        <v>#DIV/0!</v>
      </c>
      <c r="BK81" s="29" t="str">
        <f t="shared" si="85"/>
        <v>#DIV/0!</v>
      </c>
      <c r="BL81" s="29" t="str">
        <f t="shared" si="85"/>
        <v>#DIV/0!</v>
      </c>
      <c r="BM81" s="29" t="str">
        <f t="shared" si="3"/>
        <v>#DIV/0!</v>
      </c>
    </row>
    <row r="82">
      <c r="A82" s="16" t="str">
        <f>IFERROR(__xludf.DUMMYFUNCTION("IFERROR(SPARKLINE(SORT(MAP(TRANSPOSE(AQ82:BL82), LAMBDA(val, IF(ISNUMBER(val), PERCENTRANK(AQ82:BL82, val)+0.01, 0))), SEQUENCE(COLUMNS(AQ82:BL82)), FALSE), {""charttype"",""column""; ""color"",""chartreuse""; ""ymin"", 0; ""ymax"", 1.01; ""highcolor"", "&amp;"""darkgreen""; ""lowcolor"", ""red""}), """")"),"")</f>
        <v/>
      </c>
      <c r="B82" s="17" t="str">
        <f t="shared" si="4"/>
        <v/>
      </c>
      <c r="C82" s="1" t="s">
        <v>3200</v>
      </c>
      <c r="D82" s="30" t="str">
        <f>IFERROR(__xludf.DUMMYFUNCTION("IFERROR(GOOGLEFINANCE(C82, ""NAME""))"),"Gold Royalty Corp.")</f>
        <v>Gold Royalty Corp.</v>
      </c>
      <c r="E82" s="30" t="s">
        <v>2928</v>
      </c>
      <c r="F82" s="33" t="str">
        <f>IFERROR(__xludf.DUMMYFUNCTION("( (GOOGLEFINANCE(C82, ""price"") - Q82) / Q82 ) / (R82 / 100)"),"Loading...")</f>
        <v>Loading...</v>
      </c>
      <c r="G82" s="20" t="str">
        <f>IFERROR(__xludf.DUMMYFUNCTION("AVERAGE(ARRAYFORMULA(100 * (QUERY(GOOGLEFINANCE(C82, ""high"", TODAY()-40, TODAY()), ""SELECT Col2 WHERE Col2 IS NOT NULL ORDER BY Col1 DESC LIMIT 20"", 0) / QUERY(GOOGLEFINANCE(C82, ""low"", TODAY()-40, TODAY()), ""SELECT Col2 WHERE Col2 IS NOT NULL ORDE"&amp;"R BY Col1 DESC LIMIT 20"", 0) - 1)))"),"#N/A")</f>
        <v>#N/A</v>
      </c>
      <c r="H82" s="35" t="str">
        <f t="shared" si="35"/>
        <v>Illiquid</v>
      </c>
      <c r="I82" s="35" t="str">
        <f t="shared" si="7"/>
        <v>RVol Required</v>
      </c>
      <c r="J82" s="37">
        <f>IFERROR(__xludf.DUMMYFUNCTION("IFERROR(
  IF(C82="""",, 
    IFERROR(
      GOOGLEFINANCE(C82, ""price"") * GOOGLEFINANCE(C82, ""volumeavg""), 
      GOOGLEFINANCE(C82, ""price"") * AVERAGE(QUERY(GOOGLEFINANCE(C82, ""volume"", TODAY()-40, TODAY()), ""SELECT Col2 WHERE Col2 IS NOT NULL "&amp;"ORDER BY Col1 DESC LIMIT 20"", 0))
    )
  ), 
"""")"),4772461.06)</f>
        <v>4772461.06</v>
      </c>
      <c r="K82" s="21">
        <f>IFERROR(__xludf.DUMMYFUNCTION("IFERROR(GOOGLEFINANCE(C82, ""changepct"") / 100, """")"),0.0102)</f>
        <v>0.0102</v>
      </c>
      <c r="L82" s="21" t="str">
        <f>IFERROR(__xludf.DUMMYFUNCTION("IFERROR((GOOGLEFINANCE(C82, ""price"") / INDEX(GOOGLEFINANCE(C82, ""price"", TODAY()-7, TODAY()), 2, 2)) - 1, """")"),"")</f>
        <v/>
      </c>
      <c r="M82" s="21" t="str">
        <f>IFERROR(__xludf.DUMMYFUNCTION("IFERROR((GOOGLEFINANCE(C82, ""price"") / INDEX(GOOGLEFINANCE(C82, ""price"", EDATE(TODAY(), -1), TODAY()), 2, 2)) - 1, """")"),"")</f>
        <v/>
      </c>
      <c r="N82" s="21" t="str">
        <f>IFERROR(__xludf.DUMMYFUNCTION("IFERROR((GOOGLEFINANCE(C82, ""price"") / INDEX(GOOGLEFINANCE(C82, ""price"", EDATE(TODAY(), -3), TODAY()), 2, 2)) - 1, """")"),"")</f>
        <v/>
      </c>
      <c r="O82" s="21" t="str">
        <f>IFERROR(__xludf.DUMMYFUNCTION("IFERROR((GOOGLEFINANCE(C82, ""price"") / INDEX(GOOGLEFINANCE(C82, ""price"", EDATE(TODAY(), -6), TODAY()), 2, 2)) - 1, """")"),"")</f>
        <v/>
      </c>
      <c r="P82" s="21" t="str">
        <f>IFERROR(__xludf.DUMMYFUNCTION("IFERROR((GOOGLEFINANCE(C82, ""price"") / INDEX(GOOGLEFINANCE(C82, ""price"", EDATE(TODAY(), -12), TODAY()), 2, 2)) - 1, """")"),"")</f>
        <v/>
      </c>
      <c r="Q82" s="6" t="str">
        <f>IFERROR(__xludf.DUMMYFUNCTION("AVERAGE(QUERY(GOOGLEFINANCE(C82, ""price"", TODAY()-80, TODAY()), ""SELECT Col2 WHERE Col2 IS NOT NULL ORDER BY Col1 DESC LIMIT 50"", 0))"),"#N/A")</f>
        <v>#N/A</v>
      </c>
      <c r="R82" s="24" t="str">
        <f>IFERROR(__xludf.DUMMYFUNCTION("IFERROR(
  LET(
    data, QUERY(GOOGLEFINANCE(C82,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GOOGLEFINANCE(C82, ""price"")) * 100,
    IF(calc=0, G82, calc)
  ), 
G82)"),"#N/A")</f>
        <v>#N/A</v>
      </c>
      <c r="S82" s="8" t="s">
        <v>15</v>
      </c>
      <c r="T82" s="26" t="str">
        <f>IFERROR(__xludf.DUMMYFUNCTION("IFERROR(TRANSPOSE(QUERY(IFERROR(SORT(GOOGLEFINANCE(C82, ""price"", WORKDAY(TODAY(), -40), TODAY()), 1, FALSE)), ""select Col2 where Col2 is not null limit 22 label Col2 ''"", 0)), """")"),"")</f>
        <v/>
      </c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8"/>
      <c r="AO82" s="28"/>
      <c r="AP82" s="29"/>
      <c r="AQ82" s="29" t="str">
        <f t="shared" ref="AQ82:BL82" si="86">T82/T$2</f>
        <v>#N/A</v>
      </c>
      <c r="AR82" s="29" t="str">
        <f t="shared" si="86"/>
        <v>#DIV/0!</v>
      </c>
      <c r="AS82" s="29" t="str">
        <f t="shared" si="86"/>
        <v>#DIV/0!</v>
      </c>
      <c r="AT82" s="29" t="str">
        <f t="shared" si="86"/>
        <v>#DIV/0!</v>
      </c>
      <c r="AU82" s="29" t="str">
        <f t="shared" si="86"/>
        <v>#DIV/0!</v>
      </c>
      <c r="AV82" s="29" t="str">
        <f t="shared" si="86"/>
        <v>#DIV/0!</v>
      </c>
      <c r="AW82" s="29" t="str">
        <f t="shared" si="86"/>
        <v>#DIV/0!</v>
      </c>
      <c r="AX82" s="29" t="str">
        <f t="shared" si="86"/>
        <v>#DIV/0!</v>
      </c>
      <c r="AY82" s="29" t="str">
        <f t="shared" si="86"/>
        <v>#DIV/0!</v>
      </c>
      <c r="AZ82" s="29" t="str">
        <f t="shared" si="86"/>
        <v>#DIV/0!</v>
      </c>
      <c r="BA82" s="29" t="str">
        <f t="shared" si="86"/>
        <v>#DIV/0!</v>
      </c>
      <c r="BB82" s="29" t="str">
        <f t="shared" si="86"/>
        <v>#DIV/0!</v>
      </c>
      <c r="BC82" s="29" t="str">
        <f t="shared" si="86"/>
        <v>#DIV/0!</v>
      </c>
      <c r="BD82" s="29" t="str">
        <f t="shared" si="86"/>
        <v>#DIV/0!</v>
      </c>
      <c r="BE82" s="29" t="str">
        <f t="shared" si="86"/>
        <v>#DIV/0!</v>
      </c>
      <c r="BF82" s="29" t="str">
        <f t="shared" si="86"/>
        <v>#DIV/0!</v>
      </c>
      <c r="BG82" s="29" t="str">
        <f t="shared" si="86"/>
        <v>#DIV/0!</v>
      </c>
      <c r="BH82" s="29" t="str">
        <f t="shared" si="86"/>
        <v>#DIV/0!</v>
      </c>
      <c r="BI82" s="29" t="str">
        <f t="shared" si="86"/>
        <v>#DIV/0!</v>
      </c>
      <c r="BJ82" s="29" t="str">
        <f t="shared" si="86"/>
        <v>#DIV/0!</v>
      </c>
      <c r="BK82" s="29" t="str">
        <f t="shared" si="86"/>
        <v>#DIV/0!</v>
      </c>
      <c r="BL82" s="29" t="str">
        <f t="shared" si="86"/>
        <v>#DIV/0!</v>
      </c>
      <c r="BM82" s="29" t="str">
        <f t="shared" si="3"/>
        <v>#DIV/0!</v>
      </c>
    </row>
    <row r="83">
      <c r="A83" s="16" t="str">
        <f>IFERROR(__xludf.DUMMYFUNCTION("IFERROR(SPARKLINE(SORT(MAP(TRANSPOSE(AQ83:BL83), LAMBDA(val, IF(ISNUMBER(val), PERCENTRANK(AQ83:BL83, val)+0.01, 0))), SEQUENCE(COLUMNS(AQ83:BL83)), FALSE), {""charttype"",""column""; ""color"",""chartreuse""; ""ymin"", 0; ""ymax"", 1.01; ""highcolor"", "&amp;"""darkgreen""; ""lowcolor"", ""red""}), """")"),"")</f>
        <v/>
      </c>
      <c r="B83" s="17" t="str">
        <f t="shared" si="4"/>
        <v/>
      </c>
      <c r="C83" s="1" t="s">
        <v>3207</v>
      </c>
      <c r="D83" s="30" t="str">
        <f>IFERROR(__xludf.DUMMYFUNCTION("IFERROR(GOOGLEFINANCE(C83, ""NAME""))"),"Seabridge Gold Inc")</f>
        <v>Seabridge Gold Inc</v>
      </c>
      <c r="E83" s="30" t="s">
        <v>2928</v>
      </c>
      <c r="F83" s="33" t="str">
        <f>IFERROR(__xludf.DUMMYFUNCTION("( (GOOGLEFINANCE(C83, ""price"") - Q83) / Q83 ) / (R83 / 100)"),"Loading...")</f>
        <v>Loading...</v>
      </c>
      <c r="G83" s="20" t="str">
        <f>IFERROR(__xludf.DUMMYFUNCTION("AVERAGE(ARRAYFORMULA(100 * (QUERY(GOOGLEFINANCE(C83, ""high"", TODAY()-40, TODAY()), ""SELECT Col2 WHERE Col2 IS NOT NULL ORDER BY Col1 DESC LIMIT 20"", 0) / QUERY(GOOGLEFINANCE(C83, ""low"", TODAY()-40, TODAY()), ""SELECT Col2 WHERE Col2 IS NOT NULL ORDE"&amp;"R BY Col1 DESC LIMIT 20"", 0) - 1)))"),"#N/A")</f>
        <v>#N/A</v>
      </c>
      <c r="H83" s="35" t="str">
        <f t="shared" si="35"/>
        <v>Illiquid</v>
      </c>
      <c r="I83" s="35" t="str">
        <f t="shared" si="7"/>
        <v>RVol Required</v>
      </c>
      <c r="J83" s="37">
        <f>IFERROR(__xludf.DUMMYFUNCTION("IFERROR(
  IF(C83="""",, 
    IFERROR(
      GOOGLEFINANCE(C83, ""price"") * GOOGLEFINANCE(C83, ""volumeavg""), 
      GOOGLEFINANCE(C83, ""price"") * AVERAGE(QUERY(GOOGLEFINANCE(C83, ""volume"", TODAY()-40, TODAY()), ""SELECT Col2 WHERE Col2 IS NOT NULL "&amp;"ORDER BY Col1 DESC LIMIT 20"", 0))
    )
  ), 
"""")"),1.3029016E7)</f>
        <v>13029016</v>
      </c>
      <c r="K83" s="21">
        <f>IFERROR(__xludf.DUMMYFUNCTION("IFERROR(GOOGLEFINANCE(C83, ""changepct"") / 100, """")"),-0.0023)</f>
        <v>-0.0023</v>
      </c>
      <c r="L83" s="21" t="str">
        <f>IFERROR(__xludf.DUMMYFUNCTION("IFERROR((GOOGLEFINANCE(C83, ""price"") / INDEX(GOOGLEFINANCE(C83, ""price"", TODAY()-7, TODAY()), 2, 2)) - 1, """")"),"")</f>
        <v/>
      </c>
      <c r="M83" s="21" t="str">
        <f>IFERROR(__xludf.DUMMYFUNCTION("IFERROR((GOOGLEFINANCE(C83, ""price"") / INDEX(GOOGLEFINANCE(C83, ""price"", EDATE(TODAY(), -1), TODAY()), 2, 2)) - 1, """")"),"")</f>
        <v/>
      </c>
      <c r="N83" s="21" t="str">
        <f>IFERROR(__xludf.DUMMYFUNCTION("IFERROR((GOOGLEFINANCE(C83, ""price"") / INDEX(GOOGLEFINANCE(C83, ""price"", EDATE(TODAY(), -3), TODAY()), 2, 2)) - 1, """")"),"")</f>
        <v/>
      </c>
      <c r="O83" s="21" t="str">
        <f>IFERROR(__xludf.DUMMYFUNCTION("IFERROR((GOOGLEFINANCE(C83, ""price"") / INDEX(GOOGLEFINANCE(C83, ""price"", EDATE(TODAY(), -6), TODAY()), 2, 2)) - 1, """")"),"")</f>
        <v/>
      </c>
      <c r="P83" s="21" t="str">
        <f>IFERROR(__xludf.DUMMYFUNCTION("IFERROR((GOOGLEFINANCE(C83, ""price"") / INDEX(GOOGLEFINANCE(C83, ""price"", EDATE(TODAY(), -12), TODAY()), 2, 2)) - 1, """")"),"")</f>
        <v/>
      </c>
      <c r="Q83" s="6" t="str">
        <f>IFERROR(__xludf.DUMMYFUNCTION("AVERAGE(QUERY(GOOGLEFINANCE(C83, ""price"", TODAY()-80, TODAY()), ""SELECT Col2 WHERE Col2 IS NOT NULL ORDER BY Col1 DESC LIMIT 50"", 0))"),"#N/A")</f>
        <v>#N/A</v>
      </c>
      <c r="R83" s="24" t="str">
        <f>IFERROR(__xludf.DUMMYFUNCTION("IFERROR(
  LET(
    data, QUERY(GOOGLEFINANCE(C83,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GOOGLEFINANCE(C83, ""price"")) * 100,
    IF(calc=0, G83, calc)
  ), 
G83)"),"#N/A")</f>
        <v>#N/A</v>
      </c>
      <c r="S83" s="8" t="s">
        <v>15</v>
      </c>
      <c r="T83" s="26" t="str">
        <f>IFERROR(__xludf.DUMMYFUNCTION("IFERROR(TRANSPOSE(QUERY(IFERROR(SORT(GOOGLEFINANCE(C83, ""price"", WORKDAY(TODAY(), -40), TODAY()), 1, FALSE)), ""select Col2 where Col2 is not null limit 22 label Col2 ''"", 0)), """")"),"")</f>
        <v/>
      </c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8"/>
      <c r="AO83" s="28"/>
      <c r="AP83" s="29"/>
      <c r="AQ83" s="29" t="str">
        <f t="shared" ref="AQ83:BL83" si="87">T83/T$2</f>
        <v>#N/A</v>
      </c>
      <c r="AR83" s="29" t="str">
        <f t="shared" si="87"/>
        <v>#DIV/0!</v>
      </c>
      <c r="AS83" s="29" t="str">
        <f t="shared" si="87"/>
        <v>#DIV/0!</v>
      </c>
      <c r="AT83" s="29" t="str">
        <f t="shared" si="87"/>
        <v>#DIV/0!</v>
      </c>
      <c r="AU83" s="29" t="str">
        <f t="shared" si="87"/>
        <v>#DIV/0!</v>
      </c>
      <c r="AV83" s="29" t="str">
        <f t="shared" si="87"/>
        <v>#DIV/0!</v>
      </c>
      <c r="AW83" s="29" t="str">
        <f t="shared" si="87"/>
        <v>#DIV/0!</v>
      </c>
      <c r="AX83" s="29" t="str">
        <f t="shared" si="87"/>
        <v>#DIV/0!</v>
      </c>
      <c r="AY83" s="29" t="str">
        <f t="shared" si="87"/>
        <v>#DIV/0!</v>
      </c>
      <c r="AZ83" s="29" t="str">
        <f t="shared" si="87"/>
        <v>#DIV/0!</v>
      </c>
      <c r="BA83" s="29" t="str">
        <f t="shared" si="87"/>
        <v>#DIV/0!</v>
      </c>
      <c r="BB83" s="29" t="str">
        <f t="shared" si="87"/>
        <v>#DIV/0!</v>
      </c>
      <c r="BC83" s="29" t="str">
        <f t="shared" si="87"/>
        <v>#DIV/0!</v>
      </c>
      <c r="BD83" s="29" t="str">
        <f t="shared" si="87"/>
        <v>#DIV/0!</v>
      </c>
      <c r="BE83" s="29" t="str">
        <f t="shared" si="87"/>
        <v>#DIV/0!</v>
      </c>
      <c r="BF83" s="29" t="str">
        <f t="shared" si="87"/>
        <v>#DIV/0!</v>
      </c>
      <c r="BG83" s="29" t="str">
        <f t="shared" si="87"/>
        <v>#DIV/0!</v>
      </c>
      <c r="BH83" s="29" t="str">
        <f t="shared" si="87"/>
        <v>#DIV/0!</v>
      </c>
      <c r="BI83" s="29" t="str">
        <f t="shared" si="87"/>
        <v>#DIV/0!</v>
      </c>
      <c r="BJ83" s="29" t="str">
        <f t="shared" si="87"/>
        <v>#DIV/0!</v>
      </c>
      <c r="BK83" s="29" t="str">
        <f t="shared" si="87"/>
        <v>#DIV/0!</v>
      </c>
      <c r="BL83" s="29" t="str">
        <f t="shared" si="87"/>
        <v>#DIV/0!</v>
      </c>
      <c r="BM83" s="29" t="str">
        <f t="shared" si="3"/>
        <v>#DIV/0!</v>
      </c>
    </row>
    <row r="84">
      <c r="A84" s="16" t="str">
        <f>IFERROR(__xludf.DUMMYFUNCTION("IFERROR(SPARKLINE(SORT(MAP(TRANSPOSE(AQ84:BL84), LAMBDA(val, IF(ISNUMBER(val), PERCENTRANK(AQ84:BL84, val)+0.01, 0))), SEQUENCE(COLUMNS(AQ84:BL84)), FALSE), {""charttype"",""column""; ""color"",""chartreuse""; ""ymin"", 0; ""ymax"", 1.01; ""highcolor"", "&amp;"""darkgreen""; ""lowcolor"", ""red""}), """")"),"")</f>
        <v/>
      </c>
      <c r="B84" s="17" t="str">
        <f t="shared" si="4"/>
        <v/>
      </c>
      <c r="C84" s="1" t="s">
        <v>3211</v>
      </c>
      <c r="D84" s="30" t="str">
        <f>IFERROR(__xludf.DUMMYFUNCTION("IFERROR(GOOGLEFINANCE(C84, ""NAME""))"),"Coeur Mining, Inc")</f>
        <v>Coeur Mining, Inc</v>
      </c>
      <c r="E84" s="30" t="s">
        <v>2928</v>
      </c>
      <c r="F84" s="33" t="str">
        <f>IFERROR(__xludf.DUMMYFUNCTION("( (GOOGLEFINANCE(C84, ""price"") - Q84) / Q84 ) / (R84 / 100)"),"Loading...")</f>
        <v>Loading...</v>
      </c>
      <c r="G84" s="20" t="str">
        <f>IFERROR(__xludf.DUMMYFUNCTION("AVERAGE(ARRAYFORMULA(100 * (QUERY(GOOGLEFINANCE(C84, ""high"", TODAY()-40, TODAY()), ""SELECT Col2 WHERE Col2 IS NOT NULL ORDER BY Col1 DESC LIMIT 20"", 0) / QUERY(GOOGLEFINANCE(C84, ""low"", TODAY()-40, TODAY()), ""SELECT Col2 WHERE Col2 IS NOT NULL ORDE"&amp;"R BY Col1 DESC LIMIT 20"", 0) - 1)))"),"#N/A")</f>
        <v>#N/A</v>
      </c>
      <c r="H84" s="35" t="str">
        <f t="shared" si="35"/>
        <v>Liquid</v>
      </c>
      <c r="I84" s="35" t="str">
        <f t="shared" si="7"/>
        <v>No RVol Required</v>
      </c>
      <c r="J84" s="37">
        <f>IFERROR(__xludf.DUMMYFUNCTION("IFERROR(
  IF(C84="""",, 
    IFERROR(
      GOOGLEFINANCE(C84, ""price"") * GOOGLEFINANCE(C84, ""volumeavg""), 
      GOOGLEFINANCE(C84, ""price"") * AVERAGE(QUERY(GOOGLEFINANCE(C84, ""volume"", TODAY()-40, TODAY()), ""SELECT Col2 WHERE Col2 IS NOT NULL "&amp;"ORDER BY Col1 DESC LIMIT 20"", 0))
    )
  ), 
"""")"),5.2042928665000004E8)</f>
        <v>520429286.7</v>
      </c>
      <c r="K84" s="21">
        <f>IFERROR(__xludf.DUMMYFUNCTION("IFERROR(GOOGLEFINANCE(C84, ""changepct"") / 100, """")"),0.0039000000000000003)</f>
        <v>0.0039</v>
      </c>
      <c r="L84" s="21" t="str">
        <f>IFERROR(__xludf.DUMMYFUNCTION("IFERROR((GOOGLEFINANCE(C84, ""price"") / INDEX(GOOGLEFINANCE(C84, ""price"", TODAY()-7, TODAY()), 2, 2)) - 1, """")"),"")</f>
        <v/>
      </c>
      <c r="M84" s="21" t="str">
        <f>IFERROR(__xludf.DUMMYFUNCTION("IFERROR((GOOGLEFINANCE(C84, ""price"") / INDEX(GOOGLEFINANCE(C84, ""price"", EDATE(TODAY(), -1), TODAY()), 2, 2)) - 1, """")"),"")</f>
        <v/>
      </c>
      <c r="N84" s="21" t="str">
        <f>IFERROR(__xludf.DUMMYFUNCTION("IFERROR((GOOGLEFINANCE(C84, ""price"") / INDEX(GOOGLEFINANCE(C84, ""price"", EDATE(TODAY(), -3), TODAY()), 2, 2)) - 1, """")"),"")</f>
        <v/>
      </c>
      <c r="O84" s="21" t="str">
        <f>IFERROR(__xludf.DUMMYFUNCTION("IFERROR((GOOGLEFINANCE(C84, ""price"") / INDEX(GOOGLEFINANCE(C84, ""price"", EDATE(TODAY(), -6), TODAY()), 2, 2)) - 1, """")"),"")</f>
        <v/>
      </c>
      <c r="P84" s="21" t="str">
        <f>IFERROR(__xludf.DUMMYFUNCTION("IFERROR((GOOGLEFINANCE(C84, ""price"") / INDEX(GOOGLEFINANCE(C84, ""price"", EDATE(TODAY(), -12), TODAY()), 2, 2)) - 1, """")"),"")</f>
        <v/>
      </c>
      <c r="Q84" s="6" t="str">
        <f>IFERROR(__xludf.DUMMYFUNCTION("AVERAGE(QUERY(GOOGLEFINANCE(C84, ""price"", TODAY()-80, TODAY()), ""SELECT Col2 WHERE Col2 IS NOT NULL ORDER BY Col1 DESC LIMIT 50"", 0))"),"#N/A")</f>
        <v>#N/A</v>
      </c>
      <c r="R84" s="24" t="str">
        <f>IFERROR(__xludf.DUMMYFUNCTION("IFERROR(
  LET(
    data, QUERY(GOOGLEFINANCE(C84,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GOOGLEFINANCE(C84, ""price"")) * 100,
    IF(calc=0, G84, calc)
  ), 
G84)"),"#N/A")</f>
        <v>#N/A</v>
      </c>
      <c r="S84" s="8" t="s">
        <v>15</v>
      </c>
      <c r="T84" s="26" t="str">
        <f>IFERROR(__xludf.DUMMYFUNCTION("IFERROR(TRANSPOSE(QUERY(IFERROR(SORT(GOOGLEFINANCE(C84, ""price"", WORKDAY(TODAY(), -40), TODAY()), 1, FALSE)), ""select Col2 where Col2 is not null limit 22 label Col2 ''"", 0)), """")"),"")</f>
        <v/>
      </c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8"/>
      <c r="AO84" s="28"/>
      <c r="AP84" s="29"/>
      <c r="AQ84" s="29" t="str">
        <f t="shared" ref="AQ84:BL84" si="88">T84/T$2</f>
        <v>#N/A</v>
      </c>
      <c r="AR84" s="29" t="str">
        <f t="shared" si="88"/>
        <v>#DIV/0!</v>
      </c>
      <c r="AS84" s="29" t="str">
        <f t="shared" si="88"/>
        <v>#DIV/0!</v>
      </c>
      <c r="AT84" s="29" t="str">
        <f t="shared" si="88"/>
        <v>#DIV/0!</v>
      </c>
      <c r="AU84" s="29" t="str">
        <f t="shared" si="88"/>
        <v>#DIV/0!</v>
      </c>
      <c r="AV84" s="29" t="str">
        <f t="shared" si="88"/>
        <v>#DIV/0!</v>
      </c>
      <c r="AW84" s="29" t="str">
        <f t="shared" si="88"/>
        <v>#DIV/0!</v>
      </c>
      <c r="AX84" s="29" t="str">
        <f t="shared" si="88"/>
        <v>#DIV/0!</v>
      </c>
      <c r="AY84" s="29" t="str">
        <f t="shared" si="88"/>
        <v>#DIV/0!</v>
      </c>
      <c r="AZ84" s="29" t="str">
        <f t="shared" si="88"/>
        <v>#DIV/0!</v>
      </c>
      <c r="BA84" s="29" t="str">
        <f t="shared" si="88"/>
        <v>#DIV/0!</v>
      </c>
      <c r="BB84" s="29" t="str">
        <f t="shared" si="88"/>
        <v>#DIV/0!</v>
      </c>
      <c r="BC84" s="29" t="str">
        <f t="shared" si="88"/>
        <v>#DIV/0!</v>
      </c>
      <c r="BD84" s="29" t="str">
        <f t="shared" si="88"/>
        <v>#DIV/0!</v>
      </c>
      <c r="BE84" s="29" t="str">
        <f t="shared" si="88"/>
        <v>#DIV/0!</v>
      </c>
      <c r="BF84" s="29" t="str">
        <f t="shared" si="88"/>
        <v>#DIV/0!</v>
      </c>
      <c r="BG84" s="29" t="str">
        <f t="shared" si="88"/>
        <v>#DIV/0!</v>
      </c>
      <c r="BH84" s="29" t="str">
        <f t="shared" si="88"/>
        <v>#DIV/0!</v>
      </c>
      <c r="BI84" s="29" t="str">
        <f t="shared" si="88"/>
        <v>#DIV/0!</v>
      </c>
      <c r="BJ84" s="29" t="str">
        <f t="shared" si="88"/>
        <v>#DIV/0!</v>
      </c>
      <c r="BK84" s="29" t="str">
        <f t="shared" si="88"/>
        <v>#DIV/0!</v>
      </c>
      <c r="BL84" s="29" t="str">
        <f t="shared" si="88"/>
        <v>#DIV/0!</v>
      </c>
      <c r="BM84" s="29" t="str">
        <f t="shared" si="3"/>
        <v>#DIV/0!</v>
      </c>
    </row>
    <row r="85">
      <c r="A85" s="16" t="str">
        <f>IFERROR(__xludf.DUMMYFUNCTION("IFERROR(SPARKLINE(SORT(MAP(TRANSPOSE(AQ85:BL85), LAMBDA(val, IF(ISNUMBER(val), PERCENTRANK(AQ85:BL85, val)+0.01, 0))), SEQUENCE(COLUMNS(AQ85:BL85)), FALSE), {""charttype"",""column""; ""color"",""chartreuse""; ""ymin"", 0; ""ymax"", 1.01; ""highcolor"", "&amp;"""darkgreen""; ""lowcolor"", ""red""}), """")"),"")</f>
        <v/>
      </c>
      <c r="B85" s="17" t="str">
        <f t="shared" si="4"/>
        <v/>
      </c>
      <c r="C85" s="1" t="s">
        <v>3216</v>
      </c>
      <c r="D85" s="30" t="str">
        <f>IFERROR(__xludf.DUMMYFUNCTION("IFERROR(GOOGLEFINANCE(C85, ""NAME""))"),"Methanex Corp")</f>
        <v>Methanex Corp</v>
      </c>
      <c r="E85" s="30" t="s">
        <v>3035</v>
      </c>
      <c r="F85" s="38" t="str">
        <f>IFERROR(__xludf.DUMMYFUNCTION("( (GOOGLEFINANCE(C85, ""price"") - Q85) / Q85 ) / (R85 / 100)"),"Loading...")</f>
        <v>Loading...</v>
      </c>
      <c r="G85" s="20" t="str">
        <f>IFERROR(__xludf.DUMMYFUNCTION("AVERAGE(ARRAYFORMULA(100 * (QUERY(GOOGLEFINANCE(C85, ""high"", TODAY()-40, TODAY()), ""SELECT Col2 WHERE Col2 IS NOT NULL ORDER BY Col1 DESC LIMIT 20"", 0) / QUERY(GOOGLEFINANCE(C85, ""low"", TODAY()-40, TODAY()), ""SELECT Col2 WHERE Col2 IS NOT NULL ORDE"&amp;"R BY Col1 DESC LIMIT 20"", 0) - 1)))"),"#N/A")</f>
        <v>#N/A</v>
      </c>
      <c r="H85" s="35" t="str">
        <f t="shared" si="35"/>
        <v>Liquid</v>
      </c>
      <c r="I85" s="35" t="str">
        <f t="shared" si="7"/>
        <v>RVol Required</v>
      </c>
      <c r="J85" s="37">
        <f>IFERROR(__xludf.DUMMYFUNCTION("IFERROR(
  IF(C85="""",, 
    IFERROR(
      GOOGLEFINANCE(C85, ""price"") * GOOGLEFINANCE(C85, ""volumeavg""), 
      GOOGLEFINANCE(C85, ""price"") * AVERAGE(QUERY(GOOGLEFINANCE(C85, ""volume"", TODAY()-40, TODAY()), ""SELECT Col2 WHERE Col2 IS NOT NULL "&amp;"ORDER BY Col1 DESC LIMIT 20"", 0))
    )
  ), 
"""")"),5.050633503999999E7)</f>
        <v>50506335.04</v>
      </c>
      <c r="K85" s="21">
        <f>IFERROR(__xludf.DUMMYFUNCTION("IFERROR(GOOGLEFINANCE(C85, ""changepct"") / 100, """")"),0.0212)</f>
        <v>0.0212</v>
      </c>
      <c r="L85" s="21" t="str">
        <f>IFERROR(__xludf.DUMMYFUNCTION("IFERROR((GOOGLEFINANCE(C85, ""price"") / INDEX(GOOGLEFINANCE(C85, ""price"", TODAY()-7, TODAY()), 2, 2)) - 1, """")"),"")</f>
        <v/>
      </c>
      <c r="M85" s="21" t="str">
        <f>IFERROR(__xludf.DUMMYFUNCTION("IFERROR((GOOGLEFINANCE(C85, ""price"") / INDEX(GOOGLEFINANCE(C85, ""price"", EDATE(TODAY(), -1), TODAY()), 2, 2)) - 1, """")"),"")</f>
        <v/>
      </c>
      <c r="N85" s="21" t="str">
        <f>IFERROR(__xludf.DUMMYFUNCTION("IFERROR((GOOGLEFINANCE(C85, ""price"") / INDEX(GOOGLEFINANCE(C85, ""price"", EDATE(TODAY(), -3), TODAY()), 2, 2)) - 1, """")"),"")</f>
        <v/>
      </c>
      <c r="O85" s="21" t="str">
        <f>IFERROR(__xludf.DUMMYFUNCTION("IFERROR((GOOGLEFINANCE(C85, ""price"") / INDEX(GOOGLEFINANCE(C85, ""price"", EDATE(TODAY(), -6), TODAY()), 2, 2)) - 1, """")"),"")</f>
        <v/>
      </c>
      <c r="P85" s="21" t="str">
        <f>IFERROR(__xludf.DUMMYFUNCTION("IFERROR((GOOGLEFINANCE(C85, ""price"") / INDEX(GOOGLEFINANCE(C85, ""price"", EDATE(TODAY(), -12), TODAY()), 2, 2)) - 1, """")"),"")</f>
        <v/>
      </c>
      <c r="Q85" s="6" t="str">
        <f>IFERROR(__xludf.DUMMYFUNCTION("AVERAGE(QUERY(GOOGLEFINANCE(C85, ""price"", TODAY()-80, TODAY()), ""SELECT Col2 WHERE Col2 IS NOT NULL ORDER BY Col1 DESC LIMIT 50"", 0))"),"#N/A")</f>
        <v>#N/A</v>
      </c>
      <c r="R85" s="24" t="str">
        <f>IFERROR(__xludf.DUMMYFUNCTION("IFERROR(
  LET(
    data, QUERY(GOOGLEFINANCE(C85,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GOOGLEFINANCE(C85, ""price"")) * 100,
    IF(calc=0, G85, calc)
  ), 
G85)"),"#N/A")</f>
        <v>#N/A</v>
      </c>
      <c r="S85" s="8" t="s">
        <v>15</v>
      </c>
      <c r="T85" s="26" t="str">
        <f>IFERROR(__xludf.DUMMYFUNCTION("IFERROR(TRANSPOSE(QUERY(IFERROR(SORT(GOOGLEFINANCE(C85, ""price"", WORKDAY(TODAY(), -40), TODAY()), 1, FALSE)), ""select Col2 where Col2 is not null limit 22 label Col2 ''"", 0)), """")"),"")</f>
        <v/>
      </c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8"/>
      <c r="AO85" s="28"/>
      <c r="AP85" s="29"/>
      <c r="AQ85" s="29" t="str">
        <f t="shared" ref="AQ85:BL85" si="89">T85/T$2</f>
        <v>#N/A</v>
      </c>
      <c r="AR85" s="29" t="str">
        <f t="shared" si="89"/>
        <v>#DIV/0!</v>
      </c>
      <c r="AS85" s="29" t="str">
        <f t="shared" si="89"/>
        <v>#DIV/0!</v>
      </c>
      <c r="AT85" s="29" t="str">
        <f t="shared" si="89"/>
        <v>#DIV/0!</v>
      </c>
      <c r="AU85" s="29" t="str">
        <f t="shared" si="89"/>
        <v>#DIV/0!</v>
      </c>
      <c r="AV85" s="29" t="str">
        <f t="shared" si="89"/>
        <v>#DIV/0!</v>
      </c>
      <c r="AW85" s="29" t="str">
        <f t="shared" si="89"/>
        <v>#DIV/0!</v>
      </c>
      <c r="AX85" s="29" t="str">
        <f t="shared" si="89"/>
        <v>#DIV/0!</v>
      </c>
      <c r="AY85" s="29" t="str">
        <f t="shared" si="89"/>
        <v>#DIV/0!</v>
      </c>
      <c r="AZ85" s="29" t="str">
        <f t="shared" si="89"/>
        <v>#DIV/0!</v>
      </c>
      <c r="BA85" s="29" t="str">
        <f t="shared" si="89"/>
        <v>#DIV/0!</v>
      </c>
      <c r="BB85" s="29" t="str">
        <f t="shared" si="89"/>
        <v>#DIV/0!</v>
      </c>
      <c r="BC85" s="29" t="str">
        <f t="shared" si="89"/>
        <v>#DIV/0!</v>
      </c>
      <c r="BD85" s="29" t="str">
        <f t="shared" si="89"/>
        <v>#DIV/0!</v>
      </c>
      <c r="BE85" s="29" t="str">
        <f t="shared" si="89"/>
        <v>#DIV/0!</v>
      </c>
      <c r="BF85" s="29" t="str">
        <f t="shared" si="89"/>
        <v>#DIV/0!</v>
      </c>
      <c r="BG85" s="29" t="str">
        <f t="shared" si="89"/>
        <v>#DIV/0!</v>
      </c>
      <c r="BH85" s="29" t="str">
        <f t="shared" si="89"/>
        <v>#DIV/0!</v>
      </c>
      <c r="BI85" s="29" t="str">
        <f t="shared" si="89"/>
        <v>#DIV/0!</v>
      </c>
      <c r="BJ85" s="29" t="str">
        <f t="shared" si="89"/>
        <v>#DIV/0!</v>
      </c>
      <c r="BK85" s="29" t="str">
        <f t="shared" si="89"/>
        <v>#DIV/0!</v>
      </c>
      <c r="BL85" s="29" t="str">
        <f t="shared" si="89"/>
        <v>#DIV/0!</v>
      </c>
      <c r="BM85" s="29" t="str">
        <f t="shared" si="3"/>
        <v>#DIV/0!</v>
      </c>
    </row>
    <row r="86">
      <c r="A86" s="16" t="str">
        <f>IFERROR(__xludf.DUMMYFUNCTION("IFERROR(SPARKLINE(SORT(MAP(TRANSPOSE(AQ86:BL86), LAMBDA(val, IF(ISNUMBER(val), PERCENTRANK(AQ86:BL86, val)+0.01, 0))), SEQUENCE(COLUMNS(AQ86:BL86)), FALSE), {""charttype"",""column""; ""color"",""chartreuse""; ""ymin"", 0; ""ymax"", 1.01; ""highcolor"", "&amp;"""darkgreen""; ""lowcolor"", ""red""}), """")"),"")</f>
        <v/>
      </c>
      <c r="B86" s="17" t="str">
        <f t="shared" si="4"/>
        <v/>
      </c>
      <c r="C86" s="1" t="s">
        <v>3219</v>
      </c>
      <c r="D86" s="30" t="str">
        <f>IFERROR(__xludf.DUMMYFUNCTION("IFERROR(GOOGLEFINANCE(C86, ""NAME""))"),"Worthington Steel Inc")</f>
        <v>Worthington Steel Inc</v>
      </c>
      <c r="E86" s="30" t="s">
        <v>3004</v>
      </c>
      <c r="F86" s="33" t="str">
        <f>IFERROR(__xludf.DUMMYFUNCTION("( (GOOGLEFINANCE(C86, ""price"") - Q86) / Q86 ) / (R86 / 100)"),"Loading...")</f>
        <v>Loading...</v>
      </c>
      <c r="G86" s="20" t="str">
        <f>IFERROR(__xludf.DUMMYFUNCTION("AVERAGE(ARRAYFORMULA(100 * (QUERY(GOOGLEFINANCE(C86, ""high"", TODAY()-40, TODAY()), ""SELECT Col2 WHERE Col2 IS NOT NULL ORDER BY Col1 DESC LIMIT 20"", 0) / QUERY(GOOGLEFINANCE(C86, ""low"", TODAY()-40, TODAY()), ""SELECT Col2 WHERE Col2 IS NOT NULL ORDE"&amp;"R BY Col1 DESC LIMIT 20"", 0) - 1)))"),"#N/A")</f>
        <v>#N/A</v>
      </c>
      <c r="H86" s="35" t="str">
        <f t="shared" si="35"/>
        <v>Illiquid</v>
      </c>
      <c r="I86" s="35" t="str">
        <f t="shared" si="7"/>
        <v>RVol Required</v>
      </c>
      <c r="J86" s="37">
        <f>IFERROR(__xludf.DUMMYFUNCTION("IFERROR(
  IF(C86="""",, 
    IFERROR(
      GOOGLEFINANCE(C86, ""price"") * GOOGLEFINANCE(C86, ""volumeavg""), 
      GOOGLEFINANCE(C86, ""price"") * AVERAGE(QUERY(GOOGLEFINANCE(C86, ""volume"", TODAY()-40, TODAY()), ""SELECT Col2 WHERE Col2 IS NOT NULL "&amp;"ORDER BY Col1 DESC LIMIT 20"", 0))
    )
  ), 
"""")"),1.669266176E7)</f>
        <v>16692661.76</v>
      </c>
      <c r="K86" s="21">
        <f>IFERROR(__xludf.DUMMYFUNCTION("IFERROR(GOOGLEFINANCE(C86, ""changepct"") / 100, """")"),0.0097)</f>
        <v>0.0097</v>
      </c>
      <c r="L86" s="21" t="str">
        <f>IFERROR(__xludf.DUMMYFUNCTION("IFERROR((GOOGLEFINANCE(C86, ""price"") / INDEX(GOOGLEFINANCE(C86, ""price"", TODAY()-7, TODAY()), 2, 2)) - 1, """")"),"")</f>
        <v/>
      </c>
      <c r="M86" s="21" t="str">
        <f>IFERROR(__xludf.DUMMYFUNCTION("IFERROR((GOOGLEFINANCE(C86, ""price"") / INDEX(GOOGLEFINANCE(C86, ""price"", EDATE(TODAY(), -1), TODAY()), 2, 2)) - 1, """")"),"")</f>
        <v/>
      </c>
      <c r="N86" s="21" t="str">
        <f>IFERROR(__xludf.DUMMYFUNCTION("IFERROR((GOOGLEFINANCE(C86, ""price"") / INDEX(GOOGLEFINANCE(C86, ""price"", EDATE(TODAY(), -3), TODAY()), 2, 2)) - 1, """")"),"")</f>
        <v/>
      </c>
      <c r="O86" s="21" t="str">
        <f>IFERROR(__xludf.DUMMYFUNCTION("IFERROR((GOOGLEFINANCE(C86, ""price"") / INDEX(GOOGLEFINANCE(C86, ""price"", EDATE(TODAY(), -6), TODAY()), 2, 2)) - 1, """")"),"")</f>
        <v/>
      </c>
      <c r="P86" s="21" t="str">
        <f>IFERROR(__xludf.DUMMYFUNCTION("IFERROR((GOOGLEFINANCE(C86, ""price"") / INDEX(GOOGLEFINANCE(C86, ""price"", EDATE(TODAY(), -12), TODAY()), 2, 2)) - 1, """")"),"")</f>
        <v/>
      </c>
      <c r="Q86" s="6" t="str">
        <f>IFERROR(__xludf.DUMMYFUNCTION("AVERAGE(QUERY(GOOGLEFINANCE(C86, ""price"", TODAY()-80, TODAY()), ""SELECT Col2 WHERE Col2 IS NOT NULL ORDER BY Col1 DESC LIMIT 50"", 0))"),"#N/A")</f>
        <v>#N/A</v>
      </c>
      <c r="R86" s="24" t="str">
        <f>IFERROR(__xludf.DUMMYFUNCTION("IFERROR(
  LET(
    data, QUERY(GOOGLEFINANCE(C86,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GOOGLEFINANCE(C86, ""price"")) * 100,
    IF(calc=0, G86, calc)
  ), 
G86)"),"#N/A")</f>
        <v>#N/A</v>
      </c>
      <c r="S86" s="8" t="s">
        <v>15</v>
      </c>
      <c r="T86" s="26" t="str">
        <f>IFERROR(__xludf.DUMMYFUNCTION("IFERROR(TRANSPOSE(QUERY(IFERROR(SORT(GOOGLEFINANCE(C86, ""price"", WORKDAY(TODAY(), -40), TODAY()), 1, FALSE)), ""select Col2 where Col2 is not null limit 22 label Col2 ''"", 0)), """")"),"")</f>
        <v/>
      </c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8"/>
      <c r="AO86" s="28"/>
      <c r="AP86" s="29"/>
      <c r="AQ86" s="29" t="str">
        <f t="shared" ref="AQ86:BL86" si="90">T86/T$2</f>
        <v>#N/A</v>
      </c>
      <c r="AR86" s="29" t="str">
        <f t="shared" si="90"/>
        <v>#DIV/0!</v>
      </c>
      <c r="AS86" s="29" t="str">
        <f t="shared" si="90"/>
        <v>#DIV/0!</v>
      </c>
      <c r="AT86" s="29" t="str">
        <f t="shared" si="90"/>
        <v>#DIV/0!</v>
      </c>
      <c r="AU86" s="29" t="str">
        <f t="shared" si="90"/>
        <v>#DIV/0!</v>
      </c>
      <c r="AV86" s="29" t="str">
        <f t="shared" si="90"/>
        <v>#DIV/0!</v>
      </c>
      <c r="AW86" s="29" t="str">
        <f t="shared" si="90"/>
        <v>#DIV/0!</v>
      </c>
      <c r="AX86" s="29" t="str">
        <f t="shared" si="90"/>
        <v>#DIV/0!</v>
      </c>
      <c r="AY86" s="29" t="str">
        <f t="shared" si="90"/>
        <v>#DIV/0!</v>
      </c>
      <c r="AZ86" s="29" t="str">
        <f t="shared" si="90"/>
        <v>#DIV/0!</v>
      </c>
      <c r="BA86" s="29" t="str">
        <f t="shared" si="90"/>
        <v>#DIV/0!</v>
      </c>
      <c r="BB86" s="29" t="str">
        <f t="shared" si="90"/>
        <v>#DIV/0!</v>
      </c>
      <c r="BC86" s="29" t="str">
        <f t="shared" si="90"/>
        <v>#DIV/0!</v>
      </c>
      <c r="BD86" s="29" t="str">
        <f t="shared" si="90"/>
        <v>#DIV/0!</v>
      </c>
      <c r="BE86" s="29" t="str">
        <f t="shared" si="90"/>
        <v>#DIV/0!</v>
      </c>
      <c r="BF86" s="29" t="str">
        <f t="shared" si="90"/>
        <v>#DIV/0!</v>
      </c>
      <c r="BG86" s="29" t="str">
        <f t="shared" si="90"/>
        <v>#DIV/0!</v>
      </c>
      <c r="BH86" s="29" t="str">
        <f t="shared" si="90"/>
        <v>#DIV/0!</v>
      </c>
      <c r="BI86" s="29" t="str">
        <f t="shared" si="90"/>
        <v>#DIV/0!</v>
      </c>
      <c r="BJ86" s="29" t="str">
        <f t="shared" si="90"/>
        <v>#DIV/0!</v>
      </c>
      <c r="BK86" s="29" t="str">
        <f t="shared" si="90"/>
        <v>#DIV/0!</v>
      </c>
      <c r="BL86" s="29" t="str">
        <f t="shared" si="90"/>
        <v>#DIV/0!</v>
      </c>
      <c r="BM86" s="29" t="str">
        <f t="shared" si="3"/>
        <v>#DIV/0!</v>
      </c>
    </row>
    <row r="87">
      <c r="A87" s="16" t="str">
        <f>IFERROR(__xludf.DUMMYFUNCTION("IFERROR(SPARKLINE(SORT(MAP(TRANSPOSE(AQ87:BL87), LAMBDA(val, IF(ISNUMBER(val), PERCENTRANK(AQ87:BL87, val)+0.01, 0))), SEQUENCE(COLUMNS(AQ87:BL87)), FALSE), {""charttype"",""column""; ""color"",""chartreuse""; ""ymin"", 0; ""ymax"", 1.01; ""highcolor"", "&amp;"""darkgreen""; ""lowcolor"", ""red""}), """")"),"")</f>
        <v/>
      </c>
      <c r="B87" s="17" t="str">
        <f t="shared" si="4"/>
        <v/>
      </c>
      <c r="C87" s="1" t="s">
        <v>3222</v>
      </c>
      <c r="D87" s="30" t="str">
        <f>IFERROR(__xludf.DUMMYFUNCTION("IFERROR(GOOGLEFINANCE(C87, ""NAME""))"),"Fortuna Mining Corp")</f>
        <v>Fortuna Mining Corp</v>
      </c>
      <c r="E87" s="30" t="s">
        <v>2928</v>
      </c>
      <c r="F87" s="33" t="str">
        <f>IFERROR(__xludf.DUMMYFUNCTION("( (GOOGLEFINANCE(C87, ""price"") - Q87) / Q87 ) / (R87 / 100)"),"Loading...")</f>
        <v>Loading...</v>
      </c>
      <c r="G87" s="20" t="str">
        <f>IFERROR(__xludf.DUMMYFUNCTION("AVERAGE(ARRAYFORMULA(100 * (QUERY(GOOGLEFINANCE(C87, ""high"", TODAY()-40, TODAY()), ""SELECT Col2 WHERE Col2 IS NOT NULL ORDER BY Col1 DESC LIMIT 20"", 0) / QUERY(GOOGLEFINANCE(C87, ""low"", TODAY()-40, TODAY()), ""SELECT Col2 WHERE Col2 IS NOT NULL ORDE"&amp;"R BY Col1 DESC LIMIT 20"", 0) - 1)))"),"#N/A")</f>
        <v>#N/A</v>
      </c>
      <c r="H87" s="35" t="str">
        <f t="shared" si="35"/>
        <v>Liquid</v>
      </c>
      <c r="I87" s="35" t="str">
        <f t="shared" si="7"/>
        <v>RVol Required</v>
      </c>
      <c r="J87" s="37">
        <f>IFERROR(__xludf.DUMMYFUNCTION("IFERROR(
  IF(C87="""",, 
    IFERROR(
      GOOGLEFINANCE(C87, ""price"") * GOOGLEFINANCE(C87, ""volumeavg""), 
      GOOGLEFINANCE(C87, ""price"") * AVERAGE(QUERY(GOOGLEFINANCE(C87, ""volume"", TODAY()-40, TODAY()), ""SELECT Col2 WHERE Col2 IS NOT NULL "&amp;"ORDER BY Col1 DESC LIMIT 20"", 0))
    )
  ), 
"""")"),5.3125498440000005E7)</f>
        <v>53125498.44</v>
      </c>
      <c r="K87" s="21">
        <f>IFERROR(__xludf.DUMMYFUNCTION("IFERROR(GOOGLEFINANCE(C87, ""changepct"") / 100, """")"),0.0161)</f>
        <v>0.0161</v>
      </c>
      <c r="L87" s="21" t="str">
        <f>IFERROR(__xludf.DUMMYFUNCTION("IFERROR((GOOGLEFINANCE(C87, ""price"") / INDEX(GOOGLEFINANCE(C87, ""price"", TODAY()-7, TODAY()), 2, 2)) - 1, """")"),"")</f>
        <v/>
      </c>
      <c r="M87" s="21" t="str">
        <f>IFERROR(__xludf.DUMMYFUNCTION("IFERROR((GOOGLEFINANCE(C87, ""price"") / INDEX(GOOGLEFINANCE(C87, ""price"", EDATE(TODAY(), -1), TODAY()), 2, 2)) - 1, """")"),"")</f>
        <v/>
      </c>
      <c r="N87" s="21" t="str">
        <f>IFERROR(__xludf.DUMMYFUNCTION("IFERROR((GOOGLEFINANCE(C87, ""price"") / INDEX(GOOGLEFINANCE(C87, ""price"", EDATE(TODAY(), -3), TODAY()), 2, 2)) - 1, """")"),"")</f>
        <v/>
      </c>
      <c r="O87" s="21" t="str">
        <f>IFERROR(__xludf.DUMMYFUNCTION("IFERROR((GOOGLEFINANCE(C87, ""price"") / INDEX(GOOGLEFINANCE(C87, ""price"", EDATE(TODAY(), -6), TODAY()), 2, 2)) - 1, """")"),"")</f>
        <v/>
      </c>
      <c r="P87" s="21" t="str">
        <f>IFERROR(__xludf.DUMMYFUNCTION("IFERROR((GOOGLEFINANCE(C87, ""price"") / INDEX(GOOGLEFINANCE(C87, ""price"", EDATE(TODAY(), -12), TODAY()), 2, 2)) - 1, """")"),"")</f>
        <v/>
      </c>
      <c r="Q87" s="6" t="str">
        <f>IFERROR(__xludf.DUMMYFUNCTION("AVERAGE(QUERY(GOOGLEFINANCE(C87, ""price"", TODAY()-80, TODAY()), ""SELECT Col2 WHERE Col2 IS NOT NULL ORDER BY Col1 DESC LIMIT 50"", 0))"),"#N/A")</f>
        <v>#N/A</v>
      </c>
      <c r="R87" s="24" t="str">
        <f>IFERROR(__xludf.DUMMYFUNCTION("IFERROR(
  LET(
    data, QUERY(GOOGLEFINANCE(C87,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GOOGLEFINANCE(C87, ""price"")) * 100,
    IF(calc=0, G87, calc)
  ), 
G87)"),"#N/A")</f>
        <v>#N/A</v>
      </c>
      <c r="S87" s="8" t="s">
        <v>15</v>
      </c>
      <c r="T87" s="26" t="str">
        <f>IFERROR(__xludf.DUMMYFUNCTION("IFERROR(TRANSPOSE(QUERY(IFERROR(SORT(GOOGLEFINANCE(C87, ""price"", WORKDAY(TODAY(), -40), TODAY()), 1, FALSE)), ""select Col2 where Col2 is not null limit 22 label Col2 ''"", 0)), """")"),"")</f>
        <v/>
      </c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8"/>
      <c r="AO87" s="28"/>
      <c r="AP87" s="29"/>
      <c r="AQ87" s="29" t="str">
        <f t="shared" ref="AQ87:BL87" si="91">T87/T$2</f>
        <v>#N/A</v>
      </c>
      <c r="AR87" s="29" t="str">
        <f t="shared" si="91"/>
        <v>#DIV/0!</v>
      </c>
      <c r="AS87" s="29" t="str">
        <f t="shared" si="91"/>
        <v>#DIV/0!</v>
      </c>
      <c r="AT87" s="29" t="str">
        <f t="shared" si="91"/>
        <v>#DIV/0!</v>
      </c>
      <c r="AU87" s="29" t="str">
        <f t="shared" si="91"/>
        <v>#DIV/0!</v>
      </c>
      <c r="AV87" s="29" t="str">
        <f t="shared" si="91"/>
        <v>#DIV/0!</v>
      </c>
      <c r="AW87" s="29" t="str">
        <f t="shared" si="91"/>
        <v>#DIV/0!</v>
      </c>
      <c r="AX87" s="29" t="str">
        <f t="shared" si="91"/>
        <v>#DIV/0!</v>
      </c>
      <c r="AY87" s="29" t="str">
        <f t="shared" si="91"/>
        <v>#DIV/0!</v>
      </c>
      <c r="AZ87" s="29" t="str">
        <f t="shared" si="91"/>
        <v>#DIV/0!</v>
      </c>
      <c r="BA87" s="29" t="str">
        <f t="shared" si="91"/>
        <v>#DIV/0!</v>
      </c>
      <c r="BB87" s="29" t="str">
        <f t="shared" si="91"/>
        <v>#DIV/0!</v>
      </c>
      <c r="BC87" s="29" t="str">
        <f t="shared" si="91"/>
        <v>#DIV/0!</v>
      </c>
      <c r="BD87" s="29" t="str">
        <f t="shared" si="91"/>
        <v>#DIV/0!</v>
      </c>
      <c r="BE87" s="29" t="str">
        <f t="shared" si="91"/>
        <v>#DIV/0!</v>
      </c>
      <c r="BF87" s="29" t="str">
        <f t="shared" si="91"/>
        <v>#DIV/0!</v>
      </c>
      <c r="BG87" s="29" t="str">
        <f t="shared" si="91"/>
        <v>#DIV/0!</v>
      </c>
      <c r="BH87" s="29" t="str">
        <f t="shared" si="91"/>
        <v>#DIV/0!</v>
      </c>
      <c r="BI87" s="29" t="str">
        <f t="shared" si="91"/>
        <v>#DIV/0!</v>
      </c>
      <c r="BJ87" s="29" t="str">
        <f t="shared" si="91"/>
        <v>#DIV/0!</v>
      </c>
      <c r="BK87" s="29" t="str">
        <f t="shared" si="91"/>
        <v>#DIV/0!</v>
      </c>
      <c r="BL87" s="29" t="str">
        <f t="shared" si="91"/>
        <v>#DIV/0!</v>
      </c>
      <c r="BM87" s="29" t="str">
        <f t="shared" si="3"/>
        <v>#DIV/0!</v>
      </c>
    </row>
    <row r="88">
      <c r="A88" s="16" t="str">
        <f>IFERROR(__xludf.DUMMYFUNCTION("IFERROR(SPARKLINE(SORT(MAP(TRANSPOSE(AQ88:BL88), LAMBDA(val, IF(ISNUMBER(val), PERCENTRANK(AQ88:BL88, val)+0.01, 0))), SEQUENCE(COLUMNS(AQ88:BL88)), FALSE), {""charttype"",""column""; ""color"",""chartreuse""; ""ymin"", 0; ""ymax"", 1.01; ""highcolor"", "&amp;"""darkgreen""; ""lowcolor"", ""red""}), """")"),"")</f>
        <v/>
      </c>
      <c r="B88" s="17" t="str">
        <f t="shared" si="4"/>
        <v/>
      </c>
      <c r="C88" s="1" t="s">
        <v>3226</v>
      </c>
      <c r="D88" s="30" t="str">
        <f>IFERROR(__xludf.DUMMYFUNCTION("IFERROR(GOOGLEFINANCE(C88, ""NAME""))"),"Nucor Corp")</f>
        <v>Nucor Corp</v>
      </c>
      <c r="E88" s="30" t="s">
        <v>3004</v>
      </c>
      <c r="F88" s="33" t="str">
        <f>IFERROR(__xludf.DUMMYFUNCTION("( (GOOGLEFINANCE(C88, ""price"") - Q88) / Q88 ) / (R88 / 100)"),"Loading...")</f>
        <v>Loading...</v>
      </c>
      <c r="G88" s="20" t="str">
        <f>IFERROR(__xludf.DUMMYFUNCTION("AVERAGE(ARRAYFORMULA(100 * (QUERY(GOOGLEFINANCE(C88, ""high"", TODAY()-40, TODAY()), ""SELECT Col2 WHERE Col2 IS NOT NULL ORDER BY Col1 DESC LIMIT 20"", 0) / QUERY(GOOGLEFINANCE(C88, ""low"", TODAY()-40, TODAY()), ""SELECT Col2 WHERE Col2 IS NOT NULL ORDE"&amp;"R BY Col1 DESC LIMIT 20"", 0) - 1)))"),"#N/A")</f>
        <v>#N/A</v>
      </c>
      <c r="H88" s="35" t="str">
        <f t="shared" si="35"/>
        <v>Liquid</v>
      </c>
      <c r="I88" s="35" t="str">
        <f t="shared" si="7"/>
        <v>RVol Required</v>
      </c>
      <c r="J88" s="37">
        <f>IFERROR(__xludf.DUMMYFUNCTION("IFERROR(
  IF(C88="""",, 
    IFERROR(
      GOOGLEFINANCE(C88, ""price"") * GOOGLEFINANCE(C88, ""volumeavg""), 
      GOOGLEFINANCE(C88, ""price"") * AVERAGE(QUERY(GOOGLEFINANCE(C88, ""volume"", TODAY()-40, TODAY()), ""SELECT Col2 WHERE Col2 IS NOT NULL "&amp;"ORDER BY Col1 DESC LIMIT 20"", 0))
    )
  ), 
"""")"),3.0755133177000004E8)</f>
        <v>307551331.8</v>
      </c>
      <c r="K88" s="21">
        <f>IFERROR(__xludf.DUMMYFUNCTION("IFERROR(GOOGLEFINANCE(C88, ""changepct"") / 100, """")"),0.0063)</f>
        <v>0.0063</v>
      </c>
      <c r="L88" s="21" t="str">
        <f>IFERROR(__xludf.DUMMYFUNCTION("IFERROR((GOOGLEFINANCE(C88, ""price"") / INDEX(GOOGLEFINANCE(C88, ""price"", TODAY()-7, TODAY()), 2, 2)) - 1, """")"),"")</f>
        <v/>
      </c>
      <c r="M88" s="21" t="str">
        <f>IFERROR(__xludf.DUMMYFUNCTION("IFERROR((GOOGLEFINANCE(C88, ""price"") / INDEX(GOOGLEFINANCE(C88, ""price"", EDATE(TODAY(), -1), TODAY()), 2, 2)) - 1, """")"),"")</f>
        <v/>
      </c>
      <c r="N88" s="21" t="str">
        <f>IFERROR(__xludf.DUMMYFUNCTION("IFERROR((GOOGLEFINANCE(C88, ""price"") / INDEX(GOOGLEFINANCE(C88, ""price"", EDATE(TODAY(), -3), TODAY()), 2, 2)) - 1, """")"),"")</f>
        <v/>
      </c>
      <c r="O88" s="21" t="str">
        <f>IFERROR(__xludf.DUMMYFUNCTION("IFERROR((GOOGLEFINANCE(C88, ""price"") / INDEX(GOOGLEFINANCE(C88, ""price"", EDATE(TODAY(), -6), TODAY()), 2, 2)) - 1, """")"),"")</f>
        <v/>
      </c>
      <c r="P88" s="21" t="str">
        <f>IFERROR(__xludf.DUMMYFUNCTION("IFERROR((GOOGLEFINANCE(C88, ""price"") / INDEX(GOOGLEFINANCE(C88, ""price"", EDATE(TODAY(), -12), TODAY()), 2, 2)) - 1, """")"),"")</f>
        <v/>
      </c>
      <c r="Q88" s="6" t="str">
        <f>IFERROR(__xludf.DUMMYFUNCTION("AVERAGE(QUERY(GOOGLEFINANCE(C88, ""price"", TODAY()-80, TODAY()), ""SELECT Col2 WHERE Col2 IS NOT NULL ORDER BY Col1 DESC LIMIT 50"", 0))"),"#N/A")</f>
        <v>#N/A</v>
      </c>
      <c r="R88" s="24" t="str">
        <f>IFERROR(__xludf.DUMMYFUNCTION("IFERROR(
  LET(
    data, QUERY(GOOGLEFINANCE(C88,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GOOGLEFINANCE(C88, ""price"")) * 100,
    IF(calc=0, G88, calc)
  ), 
G88)"),"#N/A")</f>
        <v>#N/A</v>
      </c>
      <c r="S88" s="8" t="s">
        <v>15</v>
      </c>
      <c r="T88" s="26" t="str">
        <f>IFERROR(__xludf.DUMMYFUNCTION("IFERROR(TRANSPOSE(QUERY(IFERROR(SORT(GOOGLEFINANCE(C88, ""price"", WORKDAY(TODAY(), -40), TODAY()), 1, FALSE)), ""select Col2 where Col2 is not null limit 22 label Col2 ''"", 0)), """")"),"")</f>
        <v/>
      </c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8"/>
      <c r="AO88" s="28"/>
      <c r="AP88" s="29"/>
      <c r="AQ88" s="29" t="str">
        <f t="shared" ref="AQ88:BL88" si="92">T88/T$2</f>
        <v>#N/A</v>
      </c>
      <c r="AR88" s="29" t="str">
        <f t="shared" si="92"/>
        <v>#DIV/0!</v>
      </c>
      <c r="AS88" s="29" t="str">
        <f t="shared" si="92"/>
        <v>#DIV/0!</v>
      </c>
      <c r="AT88" s="29" t="str">
        <f t="shared" si="92"/>
        <v>#DIV/0!</v>
      </c>
      <c r="AU88" s="29" t="str">
        <f t="shared" si="92"/>
        <v>#DIV/0!</v>
      </c>
      <c r="AV88" s="29" t="str">
        <f t="shared" si="92"/>
        <v>#DIV/0!</v>
      </c>
      <c r="AW88" s="29" t="str">
        <f t="shared" si="92"/>
        <v>#DIV/0!</v>
      </c>
      <c r="AX88" s="29" t="str">
        <f t="shared" si="92"/>
        <v>#DIV/0!</v>
      </c>
      <c r="AY88" s="29" t="str">
        <f t="shared" si="92"/>
        <v>#DIV/0!</v>
      </c>
      <c r="AZ88" s="29" t="str">
        <f t="shared" si="92"/>
        <v>#DIV/0!</v>
      </c>
      <c r="BA88" s="29" t="str">
        <f t="shared" si="92"/>
        <v>#DIV/0!</v>
      </c>
      <c r="BB88" s="29" t="str">
        <f t="shared" si="92"/>
        <v>#DIV/0!</v>
      </c>
      <c r="BC88" s="29" t="str">
        <f t="shared" si="92"/>
        <v>#DIV/0!</v>
      </c>
      <c r="BD88" s="29" t="str">
        <f t="shared" si="92"/>
        <v>#DIV/0!</v>
      </c>
      <c r="BE88" s="29" t="str">
        <f t="shared" si="92"/>
        <v>#DIV/0!</v>
      </c>
      <c r="BF88" s="29" t="str">
        <f t="shared" si="92"/>
        <v>#DIV/0!</v>
      </c>
      <c r="BG88" s="29" t="str">
        <f t="shared" si="92"/>
        <v>#DIV/0!</v>
      </c>
      <c r="BH88" s="29" t="str">
        <f t="shared" si="92"/>
        <v>#DIV/0!</v>
      </c>
      <c r="BI88" s="29" t="str">
        <f t="shared" si="92"/>
        <v>#DIV/0!</v>
      </c>
      <c r="BJ88" s="29" t="str">
        <f t="shared" si="92"/>
        <v>#DIV/0!</v>
      </c>
      <c r="BK88" s="29" t="str">
        <f t="shared" si="92"/>
        <v>#DIV/0!</v>
      </c>
      <c r="BL88" s="29" t="str">
        <f t="shared" si="92"/>
        <v>#DIV/0!</v>
      </c>
      <c r="BM88" s="29" t="str">
        <f t="shared" si="3"/>
        <v>#DIV/0!</v>
      </c>
    </row>
    <row r="89">
      <c r="A89" s="16" t="str">
        <f>IFERROR(__xludf.DUMMYFUNCTION("IFERROR(SPARKLINE(SORT(MAP(TRANSPOSE(AQ89:BL89), LAMBDA(val, IF(ISNUMBER(val), PERCENTRANK(AQ89:BL89, val)+0.01, 0))), SEQUENCE(COLUMNS(AQ89:BL89)), FALSE), {""charttype"",""column""; ""color"",""chartreuse""; ""ymin"", 0; ""ymax"", 1.01; ""highcolor"", "&amp;"""darkgreen""; ""lowcolor"", ""red""}), """")"),"")</f>
        <v/>
      </c>
      <c r="B89" s="17" t="str">
        <f t="shared" si="4"/>
        <v/>
      </c>
      <c r="C89" s="1" t="s">
        <v>3228</v>
      </c>
      <c r="D89" s="30" t="str">
        <f>IFERROR(__xludf.DUMMYFUNCTION("IFERROR(GOOGLEFINANCE(C89, ""NAME""))"),"Algoma Steel Group Inc")</f>
        <v>Algoma Steel Group Inc</v>
      </c>
      <c r="E89" s="30" t="s">
        <v>3004</v>
      </c>
      <c r="F89" s="33" t="str">
        <f>IFERROR(__xludf.DUMMYFUNCTION("( (GOOGLEFINANCE(C89, ""price"") - Q89) / Q89 ) / (R89 / 100)"),"Loading...")</f>
        <v>Loading...</v>
      </c>
      <c r="G89" s="20" t="str">
        <f>IFERROR(__xludf.DUMMYFUNCTION("AVERAGE(ARRAYFORMULA(100 * (QUERY(GOOGLEFINANCE(C89, ""high"", TODAY()-40, TODAY()), ""SELECT Col2 WHERE Col2 IS NOT NULL ORDER BY Col1 DESC LIMIT 20"", 0) / QUERY(GOOGLEFINANCE(C89, ""low"", TODAY()-40, TODAY()), ""SELECT Col2 WHERE Col2 IS NOT NULL ORDE"&amp;"R BY Col1 DESC LIMIT 20"", 0) - 1)))"),"#N/A")</f>
        <v>#N/A</v>
      </c>
      <c r="H89" s="35" t="str">
        <f t="shared" si="35"/>
        <v>Illiquid</v>
      </c>
      <c r="I89" s="35" t="str">
        <f t="shared" si="7"/>
        <v>RVol Required</v>
      </c>
      <c r="J89" s="37">
        <f>IFERROR(__xludf.DUMMYFUNCTION("IFERROR(
  IF(C89="""",, 
    IFERROR(
      GOOGLEFINANCE(C89, ""price"") * GOOGLEFINANCE(C89, ""volumeavg""), 
      GOOGLEFINANCE(C89, ""price"") * AVERAGE(QUERY(GOOGLEFINANCE(C89, ""volume"", TODAY()-40, TODAY()), ""SELECT Col2 WHERE Col2 IS NOT NULL "&amp;"ORDER BY Col1 DESC LIMIT 20"", 0))
    )
  ), 
"""")"),2945994.48)</f>
        <v>2945994.48</v>
      </c>
      <c r="K89" s="21">
        <f>IFERROR(__xludf.DUMMYFUNCTION("IFERROR(GOOGLEFINANCE(C89, ""changepct"") / 100, """")"),-0.0171)</f>
        <v>-0.0171</v>
      </c>
      <c r="L89" s="21" t="str">
        <f>IFERROR(__xludf.DUMMYFUNCTION("IFERROR((GOOGLEFINANCE(C89, ""price"") / INDEX(GOOGLEFINANCE(C89, ""price"", TODAY()-7, TODAY()), 2, 2)) - 1, """")"),"")</f>
        <v/>
      </c>
      <c r="M89" s="21" t="str">
        <f>IFERROR(__xludf.DUMMYFUNCTION("IFERROR((GOOGLEFINANCE(C89, ""price"") / INDEX(GOOGLEFINANCE(C89, ""price"", EDATE(TODAY(), -1), TODAY()), 2, 2)) - 1, """")"),"")</f>
        <v/>
      </c>
      <c r="N89" s="21" t="str">
        <f>IFERROR(__xludf.DUMMYFUNCTION("IFERROR((GOOGLEFINANCE(C89, ""price"") / INDEX(GOOGLEFINANCE(C89, ""price"", EDATE(TODAY(), -3), TODAY()), 2, 2)) - 1, """")"),"")</f>
        <v/>
      </c>
      <c r="O89" s="21" t="str">
        <f>IFERROR(__xludf.DUMMYFUNCTION("IFERROR((GOOGLEFINANCE(C89, ""price"") / INDEX(GOOGLEFINANCE(C89, ""price"", EDATE(TODAY(), -6), TODAY()), 2, 2)) - 1, """")"),"")</f>
        <v/>
      </c>
      <c r="P89" s="21" t="str">
        <f>IFERROR(__xludf.DUMMYFUNCTION("IFERROR((GOOGLEFINANCE(C89, ""price"") / INDEX(GOOGLEFINANCE(C89, ""price"", EDATE(TODAY(), -12), TODAY()), 2, 2)) - 1, """")"),"")</f>
        <v/>
      </c>
      <c r="Q89" s="6" t="str">
        <f>IFERROR(__xludf.DUMMYFUNCTION("AVERAGE(QUERY(GOOGLEFINANCE(C89, ""price"", TODAY()-80, TODAY()), ""SELECT Col2 WHERE Col2 IS NOT NULL ORDER BY Col1 DESC LIMIT 50"", 0))"),"#N/A")</f>
        <v>#N/A</v>
      </c>
      <c r="R89" s="24" t="str">
        <f>IFERROR(__xludf.DUMMYFUNCTION("IFERROR(
  LET(
    data, QUERY(GOOGLEFINANCE(C89,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GOOGLEFINANCE(C89, ""price"")) * 100,
    IF(calc=0, G89, calc)
  ), 
G89)"),"#N/A")</f>
        <v>#N/A</v>
      </c>
      <c r="S89" s="8" t="s">
        <v>15</v>
      </c>
      <c r="T89" s="26" t="str">
        <f>IFERROR(__xludf.DUMMYFUNCTION("IFERROR(TRANSPOSE(QUERY(IFERROR(SORT(GOOGLEFINANCE(C89, ""price"", WORKDAY(TODAY(), -40), TODAY()), 1, FALSE)), ""select Col2 where Col2 is not null limit 22 label Col2 ''"", 0)), """")"),"")</f>
        <v/>
      </c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8"/>
      <c r="AO89" s="28"/>
      <c r="AP89" s="29"/>
      <c r="AQ89" s="29" t="str">
        <f t="shared" ref="AQ89:BL89" si="93">T89/T$2</f>
        <v>#N/A</v>
      </c>
      <c r="AR89" s="29" t="str">
        <f t="shared" si="93"/>
        <v>#DIV/0!</v>
      </c>
      <c r="AS89" s="29" t="str">
        <f t="shared" si="93"/>
        <v>#DIV/0!</v>
      </c>
      <c r="AT89" s="29" t="str">
        <f t="shared" si="93"/>
        <v>#DIV/0!</v>
      </c>
      <c r="AU89" s="29" t="str">
        <f t="shared" si="93"/>
        <v>#DIV/0!</v>
      </c>
      <c r="AV89" s="29" t="str">
        <f t="shared" si="93"/>
        <v>#DIV/0!</v>
      </c>
      <c r="AW89" s="29" t="str">
        <f t="shared" si="93"/>
        <v>#DIV/0!</v>
      </c>
      <c r="AX89" s="29" t="str">
        <f t="shared" si="93"/>
        <v>#DIV/0!</v>
      </c>
      <c r="AY89" s="29" t="str">
        <f t="shared" si="93"/>
        <v>#DIV/0!</v>
      </c>
      <c r="AZ89" s="29" t="str">
        <f t="shared" si="93"/>
        <v>#DIV/0!</v>
      </c>
      <c r="BA89" s="29" t="str">
        <f t="shared" si="93"/>
        <v>#DIV/0!</v>
      </c>
      <c r="BB89" s="29" t="str">
        <f t="shared" si="93"/>
        <v>#DIV/0!</v>
      </c>
      <c r="BC89" s="29" t="str">
        <f t="shared" si="93"/>
        <v>#DIV/0!</v>
      </c>
      <c r="BD89" s="29" t="str">
        <f t="shared" si="93"/>
        <v>#DIV/0!</v>
      </c>
      <c r="BE89" s="29" t="str">
        <f t="shared" si="93"/>
        <v>#DIV/0!</v>
      </c>
      <c r="BF89" s="29" t="str">
        <f t="shared" si="93"/>
        <v>#DIV/0!</v>
      </c>
      <c r="BG89" s="29" t="str">
        <f t="shared" si="93"/>
        <v>#DIV/0!</v>
      </c>
      <c r="BH89" s="29" t="str">
        <f t="shared" si="93"/>
        <v>#DIV/0!</v>
      </c>
      <c r="BI89" s="29" t="str">
        <f t="shared" si="93"/>
        <v>#DIV/0!</v>
      </c>
      <c r="BJ89" s="29" t="str">
        <f t="shared" si="93"/>
        <v>#DIV/0!</v>
      </c>
      <c r="BK89" s="29" t="str">
        <f t="shared" si="93"/>
        <v>#DIV/0!</v>
      </c>
      <c r="BL89" s="29" t="str">
        <f t="shared" si="93"/>
        <v>#DIV/0!</v>
      </c>
      <c r="BM89" s="29" t="str">
        <f t="shared" si="3"/>
        <v>#DIV/0!</v>
      </c>
    </row>
    <row r="90">
      <c r="A90" s="16" t="str">
        <f>IFERROR(__xludf.DUMMYFUNCTION("IFERROR(SPARKLINE(SORT(MAP(TRANSPOSE(AQ90:BL90), LAMBDA(val, IF(ISNUMBER(val), PERCENTRANK(AQ90:BL90, val)+0.01, 0))), SEQUENCE(COLUMNS(AQ90:BL90)), FALSE), {""charttype"",""column""; ""color"",""chartreuse""; ""ymin"", 0; ""ymax"", 1.01; ""highcolor"", "&amp;"""darkgreen""; ""lowcolor"", ""red""}), """")"),"")</f>
        <v/>
      </c>
      <c r="B90" s="17" t="str">
        <f t="shared" si="4"/>
        <v/>
      </c>
      <c r="C90" s="1" t="s">
        <v>3231</v>
      </c>
      <c r="D90" s="30" t="str">
        <f>IFERROR(__xludf.DUMMYFUNCTION("IFERROR(GOOGLEFINANCE(C90, ""NAME""))"),"Lithium Americas Corp")</f>
        <v>Lithium Americas Corp</v>
      </c>
      <c r="E90" s="30" t="s">
        <v>2935</v>
      </c>
      <c r="F90" s="33" t="str">
        <f>IFERROR(__xludf.DUMMYFUNCTION("( (GOOGLEFINANCE(C90, ""price"") - Q90) / Q90 ) / (R90 / 100)"),"Loading...")</f>
        <v>Loading...</v>
      </c>
      <c r="G90" s="20" t="str">
        <f>IFERROR(__xludf.DUMMYFUNCTION("AVERAGE(ARRAYFORMULA(100 * (QUERY(GOOGLEFINANCE(C90, ""high"", TODAY()-40, TODAY()), ""SELECT Col2 WHERE Col2 IS NOT NULL ORDER BY Col1 DESC LIMIT 20"", 0) / QUERY(GOOGLEFINANCE(C90, ""low"", TODAY()-40, TODAY()), ""SELECT Col2 WHERE Col2 IS NOT NULL ORDE"&amp;"R BY Col1 DESC LIMIT 20"", 0) - 1)))"),"#N/A")</f>
        <v>#N/A</v>
      </c>
      <c r="H90" s="35" t="str">
        <f t="shared" si="35"/>
        <v>Illiquid</v>
      </c>
      <c r="I90" s="35" t="str">
        <f t="shared" si="7"/>
        <v>RVol Required</v>
      </c>
      <c r="J90" s="37">
        <f>IFERROR(__xludf.DUMMYFUNCTION("IFERROR(
  IF(C90="""",, 
    IFERROR(
      GOOGLEFINANCE(C90, ""price"") * GOOGLEFINANCE(C90, ""volumeavg""), 
      GOOGLEFINANCE(C90, ""price"") * AVERAGE(QUERY(GOOGLEFINANCE(C90, ""volume"", TODAY()-40, TODAY()), ""SELECT Col2 WHERE Col2 IS NOT NULL "&amp;"ORDER BY Col1 DESC LIMIT 20"", 0))
    )
  ), 
"""")"),2.068636662E7)</f>
        <v>20686366.62</v>
      </c>
      <c r="K90" s="21">
        <f>IFERROR(__xludf.DUMMYFUNCTION("IFERROR(GOOGLEFINANCE(C90, ""changepct"") / 100, """")"),-0.0268)</f>
        <v>-0.0268</v>
      </c>
      <c r="L90" s="21" t="str">
        <f>IFERROR(__xludf.DUMMYFUNCTION("IFERROR((GOOGLEFINANCE(C90, ""price"") / INDEX(GOOGLEFINANCE(C90, ""price"", TODAY()-7, TODAY()), 2, 2)) - 1, """")"),"")</f>
        <v/>
      </c>
      <c r="M90" s="21" t="str">
        <f>IFERROR(__xludf.DUMMYFUNCTION("IFERROR((GOOGLEFINANCE(C90, ""price"") / INDEX(GOOGLEFINANCE(C90, ""price"", EDATE(TODAY(), -1), TODAY()), 2, 2)) - 1, """")"),"")</f>
        <v/>
      </c>
      <c r="N90" s="21" t="str">
        <f>IFERROR(__xludf.DUMMYFUNCTION("IFERROR((GOOGLEFINANCE(C90, ""price"") / INDEX(GOOGLEFINANCE(C90, ""price"", EDATE(TODAY(), -3), TODAY()), 2, 2)) - 1, """")"),"")</f>
        <v/>
      </c>
      <c r="O90" s="21" t="str">
        <f>IFERROR(__xludf.DUMMYFUNCTION("IFERROR((GOOGLEFINANCE(C90, ""price"") / INDEX(GOOGLEFINANCE(C90, ""price"", EDATE(TODAY(), -6), TODAY()), 2, 2)) - 1, """")"),"")</f>
        <v/>
      </c>
      <c r="P90" s="21" t="str">
        <f>IFERROR(__xludf.DUMMYFUNCTION("IFERROR((GOOGLEFINANCE(C90, ""price"") / INDEX(GOOGLEFINANCE(C90, ""price"", EDATE(TODAY(), -12), TODAY()), 2, 2)) - 1, """")"),"")</f>
        <v/>
      </c>
      <c r="Q90" s="6" t="str">
        <f>IFERROR(__xludf.DUMMYFUNCTION("AVERAGE(QUERY(GOOGLEFINANCE(C90, ""price"", TODAY()-80, TODAY()), ""SELECT Col2 WHERE Col2 IS NOT NULL ORDER BY Col1 DESC LIMIT 50"", 0))"),"#N/A")</f>
        <v>#N/A</v>
      </c>
      <c r="R90" s="24" t="str">
        <f>IFERROR(__xludf.DUMMYFUNCTION("IFERROR(
  LET(
    data, QUERY(GOOGLEFINANCE(C90,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GOOGLEFINANCE(C90, ""price"")) * 100,
    IF(calc=0, G90, calc)
  ), 
G90)"),"#N/A")</f>
        <v>#N/A</v>
      </c>
      <c r="S90" s="8" t="s">
        <v>15</v>
      </c>
      <c r="T90" s="26" t="str">
        <f>IFERROR(__xludf.DUMMYFUNCTION("IFERROR(TRANSPOSE(QUERY(IFERROR(SORT(GOOGLEFINANCE(C90, ""price"", WORKDAY(TODAY(), -40), TODAY()), 1, FALSE)), ""select Col2 where Col2 is not null limit 22 label Col2 ''"", 0)), """")"),"")</f>
        <v/>
      </c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8"/>
      <c r="AO90" s="28"/>
      <c r="AP90" s="29"/>
      <c r="AQ90" s="29" t="str">
        <f t="shared" ref="AQ90:BL90" si="94">T90/T$2</f>
        <v>#N/A</v>
      </c>
      <c r="AR90" s="29" t="str">
        <f t="shared" si="94"/>
        <v>#DIV/0!</v>
      </c>
      <c r="AS90" s="29" t="str">
        <f t="shared" si="94"/>
        <v>#DIV/0!</v>
      </c>
      <c r="AT90" s="29" t="str">
        <f t="shared" si="94"/>
        <v>#DIV/0!</v>
      </c>
      <c r="AU90" s="29" t="str">
        <f t="shared" si="94"/>
        <v>#DIV/0!</v>
      </c>
      <c r="AV90" s="29" t="str">
        <f t="shared" si="94"/>
        <v>#DIV/0!</v>
      </c>
      <c r="AW90" s="29" t="str">
        <f t="shared" si="94"/>
        <v>#DIV/0!</v>
      </c>
      <c r="AX90" s="29" t="str">
        <f t="shared" si="94"/>
        <v>#DIV/0!</v>
      </c>
      <c r="AY90" s="29" t="str">
        <f t="shared" si="94"/>
        <v>#DIV/0!</v>
      </c>
      <c r="AZ90" s="29" t="str">
        <f t="shared" si="94"/>
        <v>#DIV/0!</v>
      </c>
      <c r="BA90" s="29" t="str">
        <f t="shared" si="94"/>
        <v>#DIV/0!</v>
      </c>
      <c r="BB90" s="29" t="str">
        <f t="shared" si="94"/>
        <v>#DIV/0!</v>
      </c>
      <c r="BC90" s="29" t="str">
        <f t="shared" si="94"/>
        <v>#DIV/0!</v>
      </c>
      <c r="BD90" s="29" t="str">
        <f t="shared" si="94"/>
        <v>#DIV/0!</v>
      </c>
      <c r="BE90" s="29" t="str">
        <f t="shared" si="94"/>
        <v>#DIV/0!</v>
      </c>
      <c r="BF90" s="29" t="str">
        <f t="shared" si="94"/>
        <v>#DIV/0!</v>
      </c>
      <c r="BG90" s="29" t="str">
        <f t="shared" si="94"/>
        <v>#DIV/0!</v>
      </c>
      <c r="BH90" s="29" t="str">
        <f t="shared" si="94"/>
        <v>#DIV/0!</v>
      </c>
      <c r="BI90" s="29" t="str">
        <f t="shared" si="94"/>
        <v>#DIV/0!</v>
      </c>
      <c r="BJ90" s="29" t="str">
        <f t="shared" si="94"/>
        <v>#DIV/0!</v>
      </c>
      <c r="BK90" s="29" t="str">
        <f t="shared" si="94"/>
        <v>#DIV/0!</v>
      </c>
      <c r="BL90" s="29" t="str">
        <f t="shared" si="94"/>
        <v>#DIV/0!</v>
      </c>
      <c r="BM90" s="29" t="str">
        <f t="shared" si="3"/>
        <v>#DIV/0!</v>
      </c>
    </row>
    <row r="91">
      <c r="A91" s="16" t="str">
        <f>IFERROR(__xludf.DUMMYFUNCTION("IFERROR(SPARKLINE(SORT(MAP(TRANSPOSE(AQ91:BL91), LAMBDA(val, IF(ISNUMBER(val), PERCENTRANK(AQ91:BL91, val)+0.01, 0))), SEQUENCE(COLUMNS(AQ91:BL91)), FALSE), {""charttype"",""column""; ""color"",""chartreuse""; ""ymin"", 0; ""ymax"", 1.01; ""highcolor"", "&amp;"""darkgreen""; ""lowcolor"", ""red""}), """")"),"")</f>
        <v/>
      </c>
      <c r="B91" s="17" t="str">
        <f t="shared" si="4"/>
        <v/>
      </c>
      <c r="C91" s="1" t="s">
        <v>3234</v>
      </c>
      <c r="D91" s="30" t="str">
        <f>IFERROR(__xludf.DUMMYFUNCTION("IFERROR(GOOGLEFINANCE(C91, ""NAME""))"),"Sibanye Stillwater Ltd")</f>
        <v>Sibanye Stillwater Ltd</v>
      </c>
      <c r="E91" s="30" t="s">
        <v>3008</v>
      </c>
      <c r="F91" s="33" t="str">
        <f>IFERROR(__xludf.DUMMYFUNCTION("( (GOOGLEFINANCE(C91, ""price"") - Q91) / Q91 ) / (R91 / 100)"),"Loading...")</f>
        <v>Loading...</v>
      </c>
      <c r="G91" s="20" t="str">
        <f>IFERROR(__xludf.DUMMYFUNCTION("AVERAGE(ARRAYFORMULA(100 * (QUERY(GOOGLEFINANCE(C91, ""high"", TODAY()-40, TODAY()), ""SELECT Col2 WHERE Col2 IS NOT NULL ORDER BY Col1 DESC LIMIT 20"", 0) / QUERY(GOOGLEFINANCE(C91, ""low"", TODAY()-40, TODAY()), ""SELECT Col2 WHERE Col2 IS NOT NULL ORDE"&amp;"R BY Col1 DESC LIMIT 20"", 0) - 1)))"),"#N/A")</f>
        <v>#N/A</v>
      </c>
      <c r="H91" s="35" t="str">
        <f t="shared" si="35"/>
        <v>Liquid</v>
      </c>
      <c r="I91" s="35" t="str">
        <f t="shared" si="7"/>
        <v>RVol Required</v>
      </c>
      <c r="J91" s="37">
        <f>IFERROR(__xludf.DUMMYFUNCTION("IFERROR(
  IF(C91="""",, 
    IFERROR(
      GOOGLEFINANCE(C91, ""price"") * GOOGLEFINANCE(C91, ""volumeavg""), 
      GOOGLEFINANCE(C91, ""price"") * AVERAGE(QUERY(GOOGLEFINANCE(C91, ""volume"", TODAY()-40, TODAY()), ""SELECT Col2 WHERE Col2 IS NOT NULL "&amp;"ORDER BY Col1 DESC LIMIT 20"", 0))
    )
  ), 
"""")"),5.0868697529999994E7)</f>
        <v>50868697.53</v>
      </c>
      <c r="K91" s="21">
        <f>IFERROR(__xludf.DUMMYFUNCTION("IFERROR(GOOGLEFINANCE(C91, ""changepct"") / 100, """")"),0.0161)</f>
        <v>0.0161</v>
      </c>
      <c r="L91" s="21" t="str">
        <f>IFERROR(__xludf.DUMMYFUNCTION("IFERROR((GOOGLEFINANCE(C91, ""price"") / INDEX(GOOGLEFINANCE(C91, ""price"", TODAY()-7, TODAY()), 2, 2)) - 1, """")"),"")</f>
        <v/>
      </c>
      <c r="M91" s="21" t="str">
        <f>IFERROR(__xludf.DUMMYFUNCTION("IFERROR((GOOGLEFINANCE(C91, ""price"") / INDEX(GOOGLEFINANCE(C91, ""price"", EDATE(TODAY(), -1), TODAY()), 2, 2)) - 1, """")"),"")</f>
        <v/>
      </c>
      <c r="N91" s="21" t="str">
        <f>IFERROR(__xludf.DUMMYFUNCTION("IFERROR((GOOGLEFINANCE(C91, ""price"") / INDEX(GOOGLEFINANCE(C91, ""price"", EDATE(TODAY(), -3), TODAY()), 2, 2)) - 1, """")"),"")</f>
        <v/>
      </c>
      <c r="O91" s="21" t="str">
        <f>IFERROR(__xludf.DUMMYFUNCTION("IFERROR((GOOGLEFINANCE(C91, ""price"") / INDEX(GOOGLEFINANCE(C91, ""price"", EDATE(TODAY(), -6), TODAY()), 2, 2)) - 1, """")"),"")</f>
        <v/>
      </c>
      <c r="P91" s="21" t="str">
        <f>IFERROR(__xludf.DUMMYFUNCTION("IFERROR((GOOGLEFINANCE(C91, ""price"") / INDEX(GOOGLEFINANCE(C91, ""price"", EDATE(TODAY(), -12), TODAY()), 2, 2)) - 1, """")"),"")</f>
        <v/>
      </c>
      <c r="Q91" s="6" t="str">
        <f>IFERROR(__xludf.DUMMYFUNCTION("AVERAGE(QUERY(GOOGLEFINANCE(C91, ""price"", TODAY()-80, TODAY()), ""SELECT Col2 WHERE Col2 IS NOT NULL ORDER BY Col1 DESC LIMIT 50"", 0))"),"#N/A")</f>
        <v>#N/A</v>
      </c>
      <c r="R91" s="24" t="str">
        <f>IFERROR(__xludf.DUMMYFUNCTION("IFERROR(
  LET(
    data, QUERY(GOOGLEFINANCE(C91,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GOOGLEFINANCE(C91, ""price"")) * 100,
    IF(calc=0, G91, calc)
  ), 
G91)"),"#N/A")</f>
        <v>#N/A</v>
      </c>
      <c r="S91" s="8" t="s">
        <v>15</v>
      </c>
      <c r="T91" s="26" t="str">
        <f>IFERROR(__xludf.DUMMYFUNCTION("IFERROR(TRANSPOSE(QUERY(IFERROR(SORT(GOOGLEFINANCE(C91, ""price"", WORKDAY(TODAY(), -40), TODAY()), 1, FALSE)), ""select Col2 where Col2 is not null limit 22 label Col2 ''"", 0)), """")"),"")</f>
        <v/>
      </c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8"/>
      <c r="AO91" s="28"/>
      <c r="AP91" s="29"/>
      <c r="AQ91" s="29" t="str">
        <f t="shared" ref="AQ91:BL91" si="95">T91/T$2</f>
        <v>#N/A</v>
      </c>
      <c r="AR91" s="29" t="str">
        <f t="shared" si="95"/>
        <v>#DIV/0!</v>
      </c>
      <c r="AS91" s="29" t="str">
        <f t="shared" si="95"/>
        <v>#DIV/0!</v>
      </c>
      <c r="AT91" s="29" t="str">
        <f t="shared" si="95"/>
        <v>#DIV/0!</v>
      </c>
      <c r="AU91" s="29" t="str">
        <f t="shared" si="95"/>
        <v>#DIV/0!</v>
      </c>
      <c r="AV91" s="29" t="str">
        <f t="shared" si="95"/>
        <v>#DIV/0!</v>
      </c>
      <c r="AW91" s="29" t="str">
        <f t="shared" si="95"/>
        <v>#DIV/0!</v>
      </c>
      <c r="AX91" s="29" t="str">
        <f t="shared" si="95"/>
        <v>#DIV/0!</v>
      </c>
      <c r="AY91" s="29" t="str">
        <f t="shared" si="95"/>
        <v>#DIV/0!</v>
      </c>
      <c r="AZ91" s="29" t="str">
        <f t="shared" si="95"/>
        <v>#DIV/0!</v>
      </c>
      <c r="BA91" s="29" t="str">
        <f t="shared" si="95"/>
        <v>#DIV/0!</v>
      </c>
      <c r="BB91" s="29" t="str">
        <f t="shared" si="95"/>
        <v>#DIV/0!</v>
      </c>
      <c r="BC91" s="29" t="str">
        <f t="shared" si="95"/>
        <v>#DIV/0!</v>
      </c>
      <c r="BD91" s="29" t="str">
        <f t="shared" si="95"/>
        <v>#DIV/0!</v>
      </c>
      <c r="BE91" s="29" t="str">
        <f t="shared" si="95"/>
        <v>#DIV/0!</v>
      </c>
      <c r="BF91" s="29" t="str">
        <f t="shared" si="95"/>
        <v>#DIV/0!</v>
      </c>
      <c r="BG91" s="29" t="str">
        <f t="shared" si="95"/>
        <v>#DIV/0!</v>
      </c>
      <c r="BH91" s="29" t="str">
        <f t="shared" si="95"/>
        <v>#DIV/0!</v>
      </c>
      <c r="BI91" s="29" t="str">
        <f t="shared" si="95"/>
        <v>#DIV/0!</v>
      </c>
      <c r="BJ91" s="29" t="str">
        <f t="shared" si="95"/>
        <v>#DIV/0!</v>
      </c>
      <c r="BK91" s="29" t="str">
        <f t="shared" si="95"/>
        <v>#DIV/0!</v>
      </c>
      <c r="BL91" s="29" t="str">
        <f t="shared" si="95"/>
        <v>#DIV/0!</v>
      </c>
      <c r="BM91" s="29" t="str">
        <f t="shared" si="3"/>
        <v>#DIV/0!</v>
      </c>
    </row>
    <row r="92">
      <c r="A92" s="16" t="str">
        <f>IFERROR(__xludf.DUMMYFUNCTION("IFERROR(SPARKLINE(SORT(MAP(TRANSPOSE(AQ92:BL92), LAMBDA(val, IF(ISNUMBER(val), PERCENTRANK(AQ92:BL92, val)+0.01, 0))), SEQUENCE(COLUMNS(AQ92:BL92)), FALSE), {""charttype"",""column""; ""color"",""chartreuse""; ""ymin"", 0; ""ymax"", 1.01; ""highcolor"", "&amp;"""darkgreen""; ""lowcolor"", ""red""}), """")"),"")</f>
        <v/>
      </c>
      <c r="B92" s="17" t="str">
        <f t="shared" si="4"/>
        <v/>
      </c>
      <c r="C92" s="1" t="s">
        <v>3237</v>
      </c>
      <c r="D92" s="30" t="str">
        <f>IFERROR(__xludf.DUMMYFUNCTION("IFERROR(GOOGLEFINANCE(C92, ""NAME""))"),"Galiano Gold Inc")</f>
        <v>Galiano Gold Inc</v>
      </c>
      <c r="E92" s="30" t="s">
        <v>2928</v>
      </c>
      <c r="F92" s="33" t="str">
        <f>IFERROR(__xludf.DUMMYFUNCTION("( (GOOGLEFINANCE(C92, ""price"") - Q92) / Q92 ) / (R92 / 100)"),"Loading...")</f>
        <v>Loading...</v>
      </c>
      <c r="G92" s="20" t="str">
        <f>IFERROR(__xludf.DUMMYFUNCTION("AVERAGE(ARRAYFORMULA(100 * (QUERY(GOOGLEFINANCE(C92, ""high"", TODAY()-40, TODAY()), ""SELECT Col2 WHERE Col2 IS NOT NULL ORDER BY Col1 DESC LIMIT 20"", 0) / QUERY(GOOGLEFINANCE(C92, ""low"", TODAY()-40, TODAY()), ""SELECT Col2 WHERE Col2 IS NOT NULL ORDE"&amp;"R BY Col1 DESC LIMIT 20"", 0) - 1)))"),"#N/A")</f>
        <v>#N/A</v>
      </c>
      <c r="H92" s="35" t="str">
        <f t="shared" si="35"/>
        <v>Illiquid</v>
      </c>
      <c r="I92" s="35" t="str">
        <f t="shared" si="7"/>
        <v>RVol Required</v>
      </c>
      <c r="J92" s="37">
        <f>IFERROR(__xludf.DUMMYFUNCTION("IFERROR(
  IF(C92="""",, 
    IFERROR(
      GOOGLEFINANCE(C92, ""price"") * GOOGLEFINANCE(C92, ""volumeavg""), 
      GOOGLEFINANCE(C92, ""price"") * AVERAGE(QUERY(GOOGLEFINANCE(C92, ""volume"", TODAY()-40, TODAY()), ""SELECT Col2 WHERE Col2 IS NOT NULL "&amp;"ORDER BY Col1 DESC LIMIT 20"", 0))
    )
  ), 
"""")"),5828793.119999999)</f>
        <v>5828793.12</v>
      </c>
      <c r="K92" s="21">
        <f>IFERROR(__xludf.DUMMYFUNCTION("IFERROR(GOOGLEFINANCE(C92, ""changepct"") / 100, """")"),0.032)</f>
        <v>0.032</v>
      </c>
      <c r="L92" s="21" t="str">
        <f>IFERROR(__xludf.DUMMYFUNCTION("IFERROR((GOOGLEFINANCE(C92, ""price"") / INDEX(GOOGLEFINANCE(C92, ""price"", TODAY()-7, TODAY()), 2, 2)) - 1, """")"),"")</f>
        <v/>
      </c>
      <c r="M92" s="21" t="str">
        <f>IFERROR(__xludf.DUMMYFUNCTION("IFERROR((GOOGLEFINANCE(C92, ""price"") / INDEX(GOOGLEFINANCE(C92, ""price"", EDATE(TODAY(), -1), TODAY()), 2, 2)) - 1, """")"),"")</f>
        <v/>
      </c>
      <c r="N92" s="21" t="str">
        <f>IFERROR(__xludf.DUMMYFUNCTION("IFERROR((GOOGLEFINANCE(C92, ""price"") / INDEX(GOOGLEFINANCE(C92, ""price"", EDATE(TODAY(), -3), TODAY()), 2, 2)) - 1, """")"),"")</f>
        <v/>
      </c>
      <c r="O92" s="21" t="str">
        <f>IFERROR(__xludf.DUMMYFUNCTION("IFERROR((GOOGLEFINANCE(C92, ""price"") / INDEX(GOOGLEFINANCE(C92, ""price"", EDATE(TODAY(), -6), TODAY()), 2, 2)) - 1, """")"),"")</f>
        <v/>
      </c>
      <c r="P92" s="21" t="str">
        <f>IFERROR(__xludf.DUMMYFUNCTION("IFERROR((GOOGLEFINANCE(C92, ""price"") / INDEX(GOOGLEFINANCE(C92, ""price"", EDATE(TODAY(), -12), TODAY()), 2, 2)) - 1, """")"),"")</f>
        <v/>
      </c>
      <c r="Q92" s="6" t="str">
        <f>IFERROR(__xludf.DUMMYFUNCTION("AVERAGE(QUERY(GOOGLEFINANCE(C92, ""price"", TODAY()-80, TODAY()), ""SELECT Col2 WHERE Col2 IS NOT NULL ORDER BY Col1 DESC LIMIT 50"", 0))"),"#N/A")</f>
        <v>#N/A</v>
      </c>
      <c r="R92" s="24" t="str">
        <f>IFERROR(__xludf.DUMMYFUNCTION("IFERROR(
  LET(
    data, QUERY(GOOGLEFINANCE(C92,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GOOGLEFINANCE(C92, ""price"")) * 100,
    IF(calc=0, G92, calc)
  ), 
G92)"),"#N/A")</f>
        <v>#N/A</v>
      </c>
      <c r="S92" s="8" t="s">
        <v>15</v>
      </c>
      <c r="T92" s="26" t="str">
        <f>IFERROR(__xludf.DUMMYFUNCTION("IFERROR(TRANSPOSE(QUERY(IFERROR(SORT(GOOGLEFINANCE(C92, ""price"", WORKDAY(TODAY(), -40), TODAY()), 1, FALSE)), ""select Col2 where Col2 is not null limit 22 label Col2 ''"", 0)), """")"),"")</f>
        <v/>
      </c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8"/>
      <c r="AO92" s="28"/>
      <c r="AP92" s="29"/>
      <c r="AQ92" s="29" t="str">
        <f t="shared" ref="AQ92:BL92" si="96">T92/T$2</f>
        <v>#N/A</v>
      </c>
      <c r="AR92" s="29" t="str">
        <f t="shared" si="96"/>
        <v>#DIV/0!</v>
      </c>
      <c r="AS92" s="29" t="str">
        <f t="shared" si="96"/>
        <v>#DIV/0!</v>
      </c>
      <c r="AT92" s="29" t="str">
        <f t="shared" si="96"/>
        <v>#DIV/0!</v>
      </c>
      <c r="AU92" s="29" t="str">
        <f t="shared" si="96"/>
        <v>#DIV/0!</v>
      </c>
      <c r="AV92" s="29" t="str">
        <f t="shared" si="96"/>
        <v>#DIV/0!</v>
      </c>
      <c r="AW92" s="29" t="str">
        <f t="shared" si="96"/>
        <v>#DIV/0!</v>
      </c>
      <c r="AX92" s="29" t="str">
        <f t="shared" si="96"/>
        <v>#DIV/0!</v>
      </c>
      <c r="AY92" s="29" t="str">
        <f t="shared" si="96"/>
        <v>#DIV/0!</v>
      </c>
      <c r="AZ92" s="29" t="str">
        <f t="shared" si="96"/>
        <v>#DIV/0!</v>
      </c>
      <c r="BA92" s="29" t="str">
        <f t="shared" si="96"/>
        <v>#DIV/0!</v>
      </c>
      <c r="BB92" s="29" t="str">
        <f t="shared" si="96"/>
        <v>#DIV/0!</v>
      </c>
      <c r="BC92" s="29" t="str">
        <f t="shared" si="96"/>
        <v>#DIV/0!</v>
      </c>
      <c r="BD92" s="29" t="str">
        <f t="shared" si="96"/>
        <v>#DIV/0!</v>
      </c>
      <c r="BE92" s="29" t="str">
        <f t="shared" si="96"/>
        <v>#DIV/0!</v>
      </c>
      <c r="BF92" s="29" t="str">
        <f t="shared" si="96"/>
        <v>#DIV/0!</v>
      </c>
      <c r="BG92" s="29" t="str">
        <f t="shared" si="96"/>
        <v>#DIV/0!</v>
      </c>
      <c r="BH92" s="29" t="str">
        <f t="shared" si="96"/>
        <v>#DIV/0!</v>
      </c>
      <c r="BI92" s="29" t="str">
        <f t="shared" si="96"/>
        <v>#DIV/0!</v>
      </c>
      <c r="BJ92" s="29" t="str">
        <f t="shared" si="96"/>
        <v>#DIV/0!</v>
      </c>
      <c r="BK92" s="29" t="str">
        <f t="shared" si="96"/>
        <v>#DIV/0!</v>
      </c>
      <c r="BL92" s="29" t="str">
        <f t="shared" si="96"/>
        <v>#DIV/0!</v>
      </c>
      <c r="BM92" s="29" t="str">
        <f t="shared" si="3"/>
        <v>#DIV/0!</v>
      </c>
    </row>
    <row r="93">
      <c r="A93" s="16" t="str">
        <f>IFERROR(__xludf.DUMMYFUNCTION("IFERROR(SPARKLINE(SORT(MAP(TRANSPOSE(AQ93:BL93), LAMBDA(val, IF(ISNUMBER(val), PERCENTRANK(AQ93:BL93, val)+0.01, 0))), SEQUENCE(COLUMNS(AQ93:BL93)), FALSE), {""charttype"",""column""; ""color"",""chartreuse""; ""ymin"", 0; ""ymax"", 1.01; ""highcolor"", "&amp;"""darkgreen""; ""lowcolor"", ""red""}), """")"),"")</f>
        <v/>
      </c>
      <c r="B93" s="17" t="str">
        <f t="shared" si="4"/>
        <v/>
      </c>
      <c r="C93" s="1" t="s">
        <v>3240</v>
      </c>
      <c r="D93" s="30" t="str">
        <f>IFERROR(__xludf.DUMMYFUNCTION("IFERROR(GOOGLEFINANCE(C93, ""NAME""))"),"Mesabi Trust")</f>
        <v>Mesabi Trust</v>
      </c>
      <c r="E93" s="30" t="s">
        <v>3004</v>
      </c>
      <c r="F93" s="33" t="str">
        <f>IFERROR(__xludf.DUMMYFUNCTION("( (GOOGLEFINANCE(C93, ""price"") - Q93) / Q93 ) / (R93 / 100)"),"Loading...")</f>
        <v>Loading...</v>
      </c>
      <c r="G93" s="20" t="str">
        <f>IFERROR(__xludf.DUMMYFUNCTION("AVERAGE(ARRAYFORMULA(100 * (QUERY(GOOGLEFINANCE(C93, ""high"", TODAY()-40, TODAY()), ""SELECT Col2 WHERE Col2 IS NOT NULL ORDER BY Col1 DESC LIMIT 20"", 0) / QUERY(GOOGLEFINANCE(C93, ""low"", TODAY()-40, TODAY()), ""SELECT Col2 WHERE Col2 IS NOT NULL ORDE"&amp;"R BY Col1 DESC LIMIT 20"", 0) - 1)))"),"#N/A")</f>
        <v>#N/A</v>
      </c>
      <c r="H93" s="35" t="str">
        <f t="shared" si="35"/>
        <v>Illiquid</v>
      </c>
      <c r="I93" s="35" t="str">
        <f t="shared" si="7"/>
        <v>RVol Required</v>
      </c>
      <c r="J93" s="37">
        <f>IFERROR(__xludf.DUMMYFUNCTION("IFERROR(
  IF(C93="""",, 
    IFERROR(
      GOOGLEFINANCE(C93, ""price"") * GOOGLEFINANCE(C93, ""volumeavg""), 
      GOOGLEFINANCE(C93, ""price"") * AVERAGE(QUERY(GOOGLEFINANCE(C93, ""volume"", TODAY()-40, TODAY()), ""SELECT Col2 WHERE Col2 IS NOT NULL "&amp;"ORDER BY Col1 DESC LIMIT 20"", 0))
    )
  ), 
"""")"),818635.7999999999)</f>
        <v>818635.8</v>
      </c>
      <c r="K93" s="21">
        <f>IFERROR(__xludf.DUMMYFUNCTION("IFERROR(GOOGLEFINANCE(C93, ""changepct"") / 100, """")"),-0.0089)</f>
        <v>-0.0089</v>
      </c>
      <c r="L93" s="21" t="str">
        <f>IFERROR(__xludf.DUMMYFUNCTION("IFERROR((GOOGLEFINANCE(C93, ""price"") / INDEX(GOOGLEFINANCE(C93, ""price"", TODAY()-7, TODAY()), 2, 2)) - 1, """")"),"")</f>
        <v/>
      </c>
      <c r="M93" s="21" t="str">
        <f>IFERROR(__xludf.DUMMYFUNCTION("IFERROR((GOOGLEFINANCE(C93, ""price"") / INDEX(GOOGLEFINANCE(C93, ""price"", EDATE(TODAY(), -1), TODAY()), 2, 2)) - 1, """")"),"")</f>
        <v/>
      </c>
      <c r="N93" s="21" t="str">
        <f>IFERROR(__xludf.DUMMYFUNCTION("IFERROR((GOOGLEFINANCE(C93, ""price"") / INDEX(GOOGLEFINANCE(C93, ""price"", EDATE(TODAY(), -3), TODAY()), 2, 2)) - 1, """")"),"")</f>
        <v/>
      </c>
      <c r="O93" s="21" t="str">
        <f>IFERROR(__xludf.DUMMYFUNCTION("IFERROR((GOOGLEFINANCE(C93, ""price"") / INDEX(GOOGLEFINANCE(C93, ""price"", EDATE(TODAY(), -6), TODAY()), 2, 2)) - 1, """")"),"")</f>
        <v/>
      </c>
      <c r="P93" s="21" t="str">
        <f>IFERROR(__xludf.DUMMYFUNCTION("IFERROR((GOOGLEFINANCE(C93, ""price"") / INDEX(GOOGLEFINANCE(C93, ""price"", EDATE(TODAY(), -12), TODAY()), 2, 2)) - 1, """")"),"")</f>
        <v/>
      </c>
      <c r="Q93" s="6" t="str">
        <f>IFERROR(__xludf.DUMMYFUNCTION("AVERAGE(QUERY(GOOGLEFINANCE(C93, ""price"", TODAY()-80, TODAY()), ""SELECT Col2 WHERE Col2 IS NOT NULL ORDER BY Col1 DESC LIMIT 50"", 0))"),"#N/A")</f>
        <v>#N/A</v>
      </c>
      <c r="R93" s="24" t="str">
        <f>IFERROR(__xludf.DUMMYFUNCTION("IFERROR(
  LET(
    data, QUERY(GOOGLEFINANCE(C93,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GOOGLEFINANCE(C93, ""price"")) * 100,
    IF(calc=0, G93, calc)
  ), 
G93)"),"#N/A")</f>
        <v>#N/A</v>
      </c>
      <c r="S93" s="8" t="s">
        <v>15</v>
      </c>
      <c r="T93" s="26" t="str">
        <f>IFERROR(__xludf.DUMMYFUNCTION("IFERROR(TRANSPOSE(QUERY(IFERROR(SORT(GOOGLEFINANCE(C93, ""price"", WORKDAY(TODAY(), -40), TODAY()), 1, FALSE)), ""select Col2 where Col2 is not null limit 22 label Col2 ''"", 0)), """")"),"")</f>
        <v/>
      </c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8"/>
      <c r="AO93" s="28"/>
      <c r="AP93" s="29"/>
      <c r="AQ93" s="29" t="str">
        <f t="shared" ref="AQ93:BL93" si="97">T93/T$2</f>
        <v>#N/A</v>
      </c>
      <c r="AR93" s="29" t="str">
        <f t="shared" si="97"/>
        <v>#DIV/0!</v>
      </c>
      <c r="AS93" s="29" t="str">
        <f t="shared" si="97"/>
        <v>#DIV/0!</v>
      </c>
      <c r="AT93" s="29" t="str">
        <f t="shared" si="97"/>
        <v>#DIV/0!</v>
      </c>
      <c r="AU93" s="29" t="str">
        <f t="shared" si="97"/>
        <v>#DIV/0!</v>
      </c>
      <c r="AV93" s="29" t="str">
        <f t="shared" si="97"/>
        <v>#DIV/0!</v>
      </c>
      <c r="AW93" s="29" t="str">
        <f t="shared" si="97"/>
        <v>#DIV/0!</v>
      </c>
      <c r="AX93" s="29" t="str">
        <f t="shared" si="97"/>
        <v>#DIV/0!</v>
      </c>
      <c r="AY93" s="29" t="str">
        <f t="shared" si="97"/>
        <v>#DIV/0!</v>
      </c>
      <c r="AZ93" s="29" t="str">
        <f t="shared" si="97"/>
        <v>#DIV/0!</v>
      </c>
      <c r="BA93" s="29" t="str">
        <f t="shared" si="97"/>
        <v>#DIV/0!</v>
      </c>
      <c r="BB93" s="29" t="str">
        <f t="shared" si="97"/>
        <v>#DIV/0!</v>
      </c>
      <c r="BC93" s="29" t="str">
        <f t="shared" si="97"/>
        <v>#DIV/0!</v>
      </c>
      <c r="BD93" s="29" t="str">
        <f t="shared" si="97"/>
        <v>#DIV/0!</v>
      </c>
      <c r="BE93" s="29" t="str">
        <f t="shared" si="97"/>
        <v>#DIV/0!</v>
      </c>
      <c r="BF93" s="29" t="str">
        <f t="shared" si="97"/>
        <v>#DIV/0!</v>
      </c>
      <c r="BG93" s="29" t="str">
        <f t="shared" si="97"/>
        <v>#DIV/0!</v>
      </c>
      <c r="BH93" s="29" t="str">
        <f t="shared" si="97"/>
        <v>#DIV/0!</v>
      </c>
      <c r="BI93" s="29" t="str">
        <f t="shared" si="97"/>
        <v>#DIV/0!</v>
      </c>
      <c r="BJ93" s="29" t="str">
        <f t="shared" si="97"/>
        <v>#DIV/0!</v>
      </c>
      <c r="BK93" s="29" t="str">
        <f t="shared" si="97"/>
        <v>#DIV/0!</v>
      </c>
      <c r="BL93" s="29" t="str">
        <f t="shared" si="97"/>
        <v>#DIV/0!</v>
      </c>
      <c r="BM93" s="29" t="str">
        <f t="shared" si="3"/>
        <v>#DIV/0!</v>
      </c>
    </row>
    <row r="94">
      <c r="A94" s="16" t="str">
        <f>IFERROR(__xludf.DUMMYFUNCTION("IFERROR(SPARKLINE(SORT(MAP(TRANSPOSE(AQ94:BL94), LAMBDA(val, IF(ISNUMBER(val), PERCENTRANK(AQ94:BL94, val)+0.01, 0))), SEQUENCE(COLUMNS(AQ94:BL94)), FALSE), {""charttype"",""column""; ""color"",""chartreuse""; ""ymin"", 0; ""ymax"", 1.01; ""highcolor"", "&amp;"""darkgreen""; ""lowcolor"", ""red""}), """")"),"")</f>
        <v/>
      </c>
      <c r="B94" s="17" t="str">
        <f t="shared" si="4"/>
        <v/>
      </c>
      <c r="C94" s="1" t="s">
        <v>3243</v>
      </c>
      <c r="D94" s="30" t="str">
        <f>IFERROR(__xludf.DUMMYFUNCTION("IFERROR(GOOGLEFINANCE(C94, ""NAME""))"),"Southern Copper Corp")</f>
        <v>Southern Copper Corp</v>
      </c>
      <c r="E94" s="30" t="s">
        <v>3025</v>
      </c>
      <c r="F94" s="33" t="str">
        <f>IFERROR(__xludf.DUMMYFUNCTION("( (GOOGLEFINANCE(C94, ""price"") - Q94) / Q94 ) / (R94 / 100)"),"Loading...")</f>
        <v>Loading...</v>
      </c>
      <c r="G94" s="20" t="str">
        <f>IFERROR(__xludf.DUMMYFUNCTION("AVERAGE(ARRAYFORMULA(100 * (QUERY(GOOGLEFINANCE(C94, ""high"", TODAY()-40, TODAY()), ""SELECT Col2 WHERE Col2 IS NOT NULL ORDER BY Col1 DESC LIMIT 20"", 0) / QUERY(GOOGLEFINANCE(C94, ""low"", TODAY()-40, TODAY()), ""SELECT Col2 WHERE Col2 IS NOT NULL ORDE"&amp;"R BY Col1 DESC LIMIT 20"", 0) - 1)))"),"#N/A")</f>
        <v>#N/A</v>
      </c>
      <c r="H94" s="35" t="str">
        <f t="shared" si="35"/>
        <v>Liquid</v>
      </c>
      <c r="I94" s="35" t="str">
        <f t="shared" si="7"/>
        <v>RVol Required</v>
      </c>
      <c r="J94" s="37">
        <f>IFERROR(__xludf.DUMMYFUNCTION("IFERROR(
  IF(C94="""",, 
    IFERROR(
      GOOGLEFINANCE(C94, ""price"") * GOOGLEFINANCE(C94, ""volumeavg""), 
      GOOGLEFINANCE(C94, ""price"") * AVERAGE(QUERY(GOOGLEFINANCE(C94, ""volume"", TODAY()-40, TODAY()), ""SELECT Col2 WHERE Col2 IS NOT NULL "&amp;"ORDER BY Col1 DESC LIMIT 20"", 0))
    )
  ), 
"""")"),2.0477785535E8)</f>
        <v>204777855.4</v>
      </c>
      <c r="K94" s="21">
        <f>IFERROR(__xludf.DUMMYFUNCTION("IFERROR(GOOGLEFINANCE(C94, ""changepct"") / 100, """")"),-0.0059)</f>
        <v>-0.0059</v>
      </c>
      <c r="L94" s="21" t="str">
        <f>IFERROR(__xludf.DUMMYFUNCTION("IFERROR((GOOGLEFINANCE(C94, ""price"") / INDEX(GOOGLEFINANCE(C94, ""price"", TODAY()-7, TODAY()), 2, 2)) - 1, """")"),"")</f>
        <v/>
      </c>
      <c r="M94" s="21" t="str">
        <f>IFERROR(__xludf.DUMMYFUNCTION("IFERROR((GOOGLEFINANCE(C94, ""price"") / INDEX(GOOGLEFINANCE(C94, ""price"", EDATE(TODAY(), -1), TODAY()), 2, 2)) - 1, """")"),"")</f>
        <v/>
      </c>
      <c r="N94" s="21" t="str">
        <f>IFERROR(__xludf.DUMMYFUNCTION("IFERROR((GOOGLEFINANCE(C94, ""price"") / INDEX(GOOGLEFINANCE(C94, ""price"", EDATE(TODAY(), -3), TODAY()), 2, 2)) - 1, """")"),"")</f>
        <v/>
      </c>
      <c r="O94" s="21" t="str">
        <f>IFERROR(__xludf.DUMMYFUNCTION("IFERROR((GOOGLEFINANCE(C94, ""price"") / INDEX(GOOGLEFINANCE(C94, ""price"", EDATE(TODAY(), -6), TODAY()), 2, 2)) - 1, """")"),"")</f>
        <v/>
      </c>
      <c r="P94" s="21" t="str">
        <f>IFERROR(__xludf.DUMMYFUNCTION("IFERROR((GOOGLEFINANCE(C94, ""price"") / INDEX(GOOGLEFINANCE(C94, ""price"", EDATE(TODAY(), -12), TODAY()), 2, 2)) - 1, """")"),"")</f>
        <v/>
      </c>
      <c r="Q94" s="6" t="str">
        <f>IFERROR(__xludf.DUMMYFUNCTION("AVERAGE(QUERY(GOOGLEFINANCE(C94, ""price"", TODAY()-80, TODAY()), ""SELECT Col2 WHERE Col2 IS NOT NULL ORDER BY Col1 DESC LIMIT 50"", 0))"),"#N/A")</f>
        <v>#N/A</v>
      </c>
      <c r="R94" s="24" t="str">
        <f>IFERROR(__xludf.DUMMYFUNCTION("IFERROR(
  LET(
    data, QUERY(GOOGLEFINANCE(C94,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GOOGLEFINANCE(C94, ""price"")) * 100,
    IF(calc=0, G94, calc)
  ), 
G94)"),"#N/A")</f>
        <v>#N/A</v>
      </c>
      <c r="S94" s="8" t="s">
        <v>15</v>
      </c>
      <c r="T94" s="26" t="str">
        <f>IFERROR(__xludf.DUMMYFUNCTION("IFERROR(TRANSPOSE(QUERY(IFERROR(SORT(GOOGLEFINANCE(C94, ""price"", WORKDAY(TODAY(), -40), TODAY()), 1, FALSE)), ""select Col2 where Col2 is not null limit 22 label Col2 ''"", 0)), """")"),"")</f>
        <v/>
      </c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8"/>
      <c r="AO94" s="28"/>
      <c r="AP94" s="29"/>
      <c r="AQ94" s="29" t="str">
        <f t="shared" ref="AQ94:BL94" si="98">T94/T$2</f>
        <v>#N/A</v>
      </c>
      <c r="AR94" s="29" t="str">
        <f t="shared" si="98"/>
        <v>#DIV/0!</v>
      </c>
      <c r="AS94" s="29" t="str">
        <f t="shared" si="98"/>
        <v>#DIV/0!</v>
      </c>
      <c r="AT94" s="29" t="str">
        <f t="shared" si="98"/>
        <v>#DIV/0!</v>
      </c>
      <c r="AU94" s="29" t="str">
        <f t="shared" si="98"/>
        <v>#DIV/0!</v>
      </c>
      <c r="AV94" s="29" t="str">
        <f t="shared" si="98"/>
        <v>#DIV/0!</v>
      </c>
      <c r="AW94" s="29" t="str">
        <f t="shared" si="98"/>
        <v>#DIV/0!</v>
      </c>
      <c r="AX94" s="29" t="str">
        <f t="shared" si="98"/>
        <v>#DIV/0!</v>
      </c>
      <c r="AY94" s="29" t="str">
        <f t="shared" si="98"/>
        <v>#DIV/0!</v>
      </c>
      <c r="AZ94" s="29" t="str">
        <f t="shared" si="98"/>
        <v>#DIV/0!</v>
      </c>
      <c r="BA94" s="29" t="str">
        <f t="shared" si="98"/>
        <v>#DIV/0!</v>
      </c>
      <c r="BB94" s="29" t="str">
        <f t="shared" si="98"/>
        <v>#DIV/0!</v>
      </c>
      <c r="BC94" s="29" t="str">
        <f t="shared" si="98"/>
        <v>#DIV/0!</v>
      </c>
      <c r="BD94" s="29" t="str">
        <f t="shared" si="98"/>
        <v>#DIV/0!</v>
      </c>
      <c r="BE94" s="29" t="str">
        <f t="shared" si="98"/>
        <v>#DIV/0!</v>
      </c>
      <c r="BF94" s="29" t="str">
        <f t="shared" si="98"/>
        <v>#DIV/0!</v>
      </c>
      <c r="BG94" s="29" t="str">
        <f t="shared" si="98"/>
        <v>#DIV/0!</v>
      </c>
      <c r="BH94" s="29" t="str">
        <f t="shared" si="98"/>
        <v>#DIV/0!</v>
      </c>
      <c r="BI94" s="29" t="str">
        <f t="shared" si="98"/>
        <v>#DIV/0!</v>
      </c>
      <c r="BJ94" s="29" t="str">
        <f t="shared" si="98"/>
        <v>#DIV/0!</v>
      </c>
      <c r="BK94" s="29" t="str">
        <f t="shared" si="98"/>
        <v>#DIV/0!</v>
      </c>
      <c r="BL94" s="29" t="str">
        <f t="shared" si="98"/>
        <v>#DIV/0!</v>
      </c>
      <c r="BM94" s="29" t="str">
        <f t="shared" si="3"/>
        <v>#DIV/0!</v>
      </c>
    </row>
    <row r="95">
      <c r="A95" s="16" t="str">
        <f>IFERROR(__xludf.DUMMYFUNCTION("IFERROR(SPARKLINE(SORT(MAP(TRANSPOSE(AQ95:BL95), LAMBDA(val, IF(ISNUMBER(val), PERCENTRANK(AQ95:BL95, val)+0.01, 0))), SEQUENCE(COLUMNS(AQ95:BL95)), FALSE), {""charttype"",""column""; ""color"",""chartreuse""; ""ymin"", 0; ""ymax"", 1.01; ""highcolor"", "&amp;"""darkgreen""; ""lowcolor"", ""red""}), """")"),"")</f>
        <v/>
      </c>
      <c r="B95" s="17" t="str">
        <f t="shared" si="4"/>
        <v/>
      </c>
      <c r="C95" s="1" t="s">
        <v>3245</v>
      </c>
      <c r="D95" s="30" t="str">
        <f>IFERROR(__xludf.DUMMYFUNCTION("IFERROR(GOOGLEFINANCE(C95, ""NAME""))"),"Ivanhoe Electric Inc")</f>
        <v>Ivanhoe Electric Inc</v>
      </c>
      <c r="E95" s="30" t="s">
        <v>3025</v>
      </c>
      <c r="F95" s="33" t="str">
        <f>IFERROR(__xludf.DUMMYFUNCTION("( (GOOGLEFINANCE(C95, ""price"") - Q95) / Q95 ) / (R95 / 100)"),"Loading...")</f>
        <v>Loading...</v>
      </c>
      <c r="G95" s="20" t="str">
        <f>IFERROR(__xludf.DUMMYFUNCTION("AVERAGE(ARRAYFORMULA(100 * (QUERY(GOOGLEFINANCE(C95, ""high"", TODAY()-40, TODAY()), ""SELECT Col2 WHERE Col2 IS NOT NULL ORDER BY Col1 DESC LIMIT 20"", 0) / QUERY(GOOGLEFINANCE(C95, ""low"", TODAY()-40, TODAY()), ""SELECT Col2 WHERE Col2 IS NOT NULL ORDE"&amp;"R BY Col1 DESC LIMIT 20"", 0) - 1)))"),"#N/A")</f>
        <v>#N/A</v>
      </c>
      <c r="H95" s="35" t="str">
        <f t="shared" si="35"/>
        <v>Illiquid</v>
      </c>
      <c r="I95" s="35" t="str">
        <f t="shared" si="7"/>
        <v>RVol Required</v>
      </c>
      <c r="J95" s="37">
        <f>IFERROR(__xludf.DUMMYFUNCTION("IFERROR(
  IF(C95="""",, 
    IFERROR(
      GOOGLEFINANCE(C95, ""price"") * GOOGLEFINANCE(C95, ""volumeavg""), 
      GOOGLEFINANCE(C95, ""price"") * AVERAGE(QUERY(GOOGLEFINANCE(C95, ""volume"", TODAY()-40, TODAY()), ""SELECT Col2 WHERE Col2 IS NOT NULL "&amp;"ORDER BY Col1 DESC LIMIT 20"", 0))
    )
  ), 
"""")"),2.049057146E7)</f>
        <v>20490571.46</v>
      </c>
      <c r="K95" s="21">
        <f>IFERROR(__xludf.DUMMYFUNCTION("IFERROR(GOOGLEFINANCE(C95, ""changepct"") / 100, """")"),-0.0092)</f>
        <v>-0.0092</v>
      </c>
      <c r="L95" s="21" t="str">
        <f>IFERROR(__xludf.DUMMYFUNCTION("IFERROR((GOOGLEFINANCE(C95, ""price"") / INDEX(GOOGLEFINANCE(C95, ""price"", TODAY()-7, TODAY()), 2, 2)) - 1, """")"),"")</f>
        <v/>
      </c>
      <c r="M95" s="21" t="str">
        <f>IFERROR(__xludf.DUMMYFUNCTION("IFERROR((GOOGLEFINANCE(C95, ""price"") / INDEX(GOOGLEFINANCE(C95, ""price"", EDATE(TODAY(), -1), TODAY()), 2, 2)) - 1, """")"),"")</f>
        <v/>
      </c>
      <c r="N95" s="21" t="str">
        <f>IFERROR(__xludf.DUMMYFUNCTION("IFERROR((GOOGLEFINANCE(C95, ""price"") / INDEX(GOOGLEFINANCE(C95, ""price"", EDATE(TODAY(), -3), TODAY()), 2, 2)) - 1, """")"),"")</f>
        <v/>
      </c>
      <c r="O95" s="21" t="str">
        <f>IFERROR(__xludf.DUMMYFUNCTION("IFERROR((GOOGLEFINANCE(C95, ""price"") / INDEX(GOOGLEFINANCE(C95, ""price"", EDATE(TODAY(), -6), TODAY()), 2, 2)) - 1, """")"),"")</f>
        <v/>
      </c>
      <c r="P95" s="21" t="str">
        <f>IFERROR(__xludf.DUMMYFUNCTION("IFERROR((GOOGLEFINANCE(C95, ""price"") / INDEX(GOOGLEFINANCE(C95, ""price"", EDATE(TODAY(), -12), TODAY()), 2, 2)) - 1, """")"),"")</f>
        <v/>
      </c>
      <c r="Q95" s="6" t="str">
        <f>IFERROR(__xludf.DUMMYFUNCTION("AVERAGE(QUERY(GOOGLEFINANCE(C95, ""price"", TODAY()-80, TODAY()), ""SELECT Col2 WHERE Col2 IS NOT NULL ORDER BY Col1 DESC LIMIT 50"", 0))"),"#N/A")</f>
        <v>#N/A</v>
      </c>
      <c r="R95" s="24" t="str">
        <f>IFERROR(__xludf.DUMMYFUNCTION("IFERROR(
  LET(
    data, QUERY(GOOGLEFINANCE(C95,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GOOGLEFINANCE(C95, ""price"")) * 100,
    IF(calc=0, G95, calc)
  ), 
G95)"),"#N/A")</f>
        <v>#N/A</v>
      </c>
      <c r="S95" s="8" t="s">
        <v>15</v>
      </c>
      <c r="T95" s="26" t="str">
        <f>IFERROR(__xludf.DUMMYFUNCTION("IFERROR(TRANSPOSE(QUERY(IFERROR(SORT(GOOGLEFINANCE(C95, ""price"", WORKDAY(TODAY(), -40), TODAY()), 1, FALSE)), ""select Col2 where Col2 is not null limit 22 label Col2 ''"", 0)), """")"),"")</f>
        <v/>
      </c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8"/>
      <c r="AO95" s="28"/>
      <c r="AP95" s="29"/>
      <c r="AQ95" s="29" t="str">
        <f t="shared" ref="AQ95:BL95" si="99">T95/T$2</f>
        <v>#N/A</v>
      </c>
      <c r="AR95" s="29" t="str">
        <f t="shared" si="99"/>
        <v>#DIV/0!</v>
      </c>
      <c r="AS95" s="29" t="str">
        <f t="shared" si="99"/>
        <v>#DIV/0!</v>
      </c>
      <c r="AT95" s="29" t="str">
        <f t="shared" si="99"/>
        <v>#DIV/0!</v>
      </c>
      <c r="AU95" s="29" t="str">
        <f t="shared" si="99"/>
        <v>#DIV/0!</v>
      </c>
      <c r="AV95" s="29" t="str">
        <f t="shared" si="99"/>
        <v>#DIV/0!</v>
      </c>
      <c r="AW95" s="29" t="str">
        <f t="shared" si="99"/>
        <v>#DIV/0!</v>
      </c>
      <c r="AX95" s="29" t="str">
        <f t="shared" si="99"/>
        <v>#DIV/0!</v>
      </c>
      <c r="AY95" s="29" t="str">
        <f t="shared" si="99"/>
        <v>#DIV/0!</v>
      </c>
      <c r="AZ95" s="29" t="str">
        <f t="shared" si="99"/>
        <v>#DIV/0!</v>
      </c>
      <c r="BA95" s="29" t="str">
        <f t="shared" si="99"/>
        <v>#DIV/0!</v>
      </c>
      <c r="BB95" s="29" t="str">
        <f t="shared" si="99"/>
        <v>#DIV/0!</v>
      </c>
      <c r="BC95" s="29" t="str">
        <f t="shared" si="99"/>
        <v>#DIV/0!</v>
      </c>
      <c r="BD95" s="29" t="str">
        <f t="shared" si="99"/>
        <v>#DIV/0!</v>
      </c>
      <c r="BE95" s="29" t="str">
        <f t="shared" si="99"/>
        <v>#DIV/0!</v>
      </c>
      <c r="BF95" s="29" t="str">
        <f t="shared" si="99"/>
        <v>#DIV/0!</v>
      </c>
      <c r="BG95" s="29" t="str">
        <f t="shared" si="99"/>
        <v>#DIV/0!</v>
      </c>
      <c r="BH95" s="29" t="str">
        <f t="shared" si="99"/>
        <v>#DIV/0!</v>
      </c>
      <c r="BI95" s="29" t="str">
        <f t="shared" si="99"/>
        <v>#DIV/0!</v>
      </c>
      <c r="BJ95" s="29" t="str">
        <f t="shared" si="99"/>
        <v>#DIV/0!</v>
      </c>
      <c r="BK95" s="29" t="str">
        <f t="shared" si="99"/>
        <v>#DIV/0!</v>
      </c>
      <c r="BL95" s="29" t="str">
        <f t="shared" si="99"/>
        <v>#DIV/0!</v>
      </c>
      <c r="BM95" s="29" t="str">
        <f t="shared" si="3"/>
        <v>#DIV/0!</v>
      </c>
    </row>
    <row r="96">
      <c r="A96" s="16" t="str">
        <f>IFERROR(__xludf.DUMMYFUNCTION("IFERROR(SPARKLINE(SORT(MAP(TRANSPOSE(AQ96:BL96), LAMBDA(val, IF(ISNUMBER(val), PERCENTRANK(AQ96:BL96, val)+0.01, 0))), SEQUENCE(COLUMNS(AQ96:BL96)), FALSE), {""charttype"",""column""; ""color"",""chartreuse""; ""ymin"", 0; ""ymax"", 1.01; ""highcolor"", "&amp;"""darkgreen""; ""lowcolor"", ""red""}), """")"),"")</f>
        <v/>
      </c>
      <c r="B96" s="17" t="str">
        <f t="shared" si="4"/>
        <v/>
      </c>
      <c r="C96" s="1" t="s">
        <v>3247</v>
      </c>
      <c r="D96" s="30" t="str">
        <f>IFERROR(__xludf.DUMMYFUNCTION("IFERROR(GOOGLEFINANCE(C96, ""NAME""))"),"Freeport-McMoRan Inc")</f>
        <v>Freeport-McMoRan Inc</v>
      </c>
      <c r="E96" s="30" t="s">
        <v>3025</v>
      </c>
      <c r="F96" s="33" t="str">
        <f>IFERROR(__xludf.DUMMYFUNCTION("( (GOOGLEFINANCE(C96, ""price"") - Q96) / Q96 ) / (R96 / 100)"),"Loading...")</f>
        <v>Loading...</v>
      </c>
      <c r="G96" s="20" t="str">
        <f>IFERROR(__xludf.DUMMYFUNCTION("AVERAGE(ARRAYFORMULA(100 * (QUERY(GOOGLEFINANCE(C96, ""high"", TODAY()-40, TODAY()), ""SELECT Col2 WHERE Col2 IS NOT NULL ORDER BY Col1 DESC LIMIT 20"", 0) / QUERY(GOOGLEFINANCE(C96, ""low"", TODAY()-40, TODAY()), ""SELECT Col2 WHERE Col2 IS NOT NULL ORDE"&amp;"R BY Col1 DESC LIMIT 20"", 0) - 1)))"),"#N/A")</f>
        <v>#N/A</v>
      </c>
      <c r="H96" s="35" t="str">
        <f t="shared" si="35"/>
        <v>Liquid</v>
      </c>
      <c r="I96" s="35" t="str">
        <f t="shared" si="7"/>
        <v>No RVol Required</v>
      </c>
      <c r="J96" s="37">
        <f>IFERROR(__xludf.DUMMYFUNCTION("IFERROR(
  IF(C96="""",, 
    IFERROR(
      GOOGLEFINANCE(C96, ""price"") * GOOGLEFINANCE(C96, ""volumeavg""), 
      GOOGLEFINANCE(C96, ""price"") * AVERAGE(QUERY(GOOGLEFINANCE(C96, ""volume"", TODAY()-40, TODAY()), ""SELECT Col2 WHERE Col2 IS NOT NULL "&amp;"ORDER BY Col1 DESC LIMIT 20"", 0))
    )
  ), 
"""")"),7.860822462E8)</f>
        <v>786082246.2</v>
      </c>
      <c r="K96" s="21">
        <f>IFERROR(__xludf.DUMMYFUNCTION("IFERROR(GOOGLEFINANCE(C96, ""changepct"") / 100, """")"),-0.0074)</f>
        <v>-0.0074</v>
      </c>
      <c r="L96" s="21" t="str">
        <f>IFERROR(__xludf.DUMMYFUNCTION("IFERROR((GOOGLEFINANCE(C96, ""price"") / INDEX(GOOGLEFINANCE(C96, ""price"", TODAY()-7, TODAY()), 2, 2)) - 1, """")"),"")</f>
        <v/>
      </c>
      <c r="M96" s="21" t="str">
        <f>IFERROR(__xludf.DUMMYFUNCTION("IFERROR((GOOGLEFINANCE(C96, ""price"") / INDEX(GOOGLEFINANCE(C96, ""price"", EDATE(TODAY(), -1), TODAY()), 2, 2)) - 1, """")"),"")</f>
        <v/>
      </c>
      <c r="N96" s="21" t="str">
        <f>IFERROR(__xludf.DUMMYFUNCTION("IFERROR((GOOGLEFINANCE(C96, ""price"") / INDEX(GOOGLEFINANCE(C96, ""price"", EDATE(TODAY(), -3), TODAY()), 2, 2)) - 1, """")"),"")</f>
        <v/>
      </c>
      <c r="O96" s="21" t="str">
        <f>IFERROR(__xludf.DUMMYFUNCTION("IFERROR((GOOGLEFINANCE(C96, ""price"") / INDEX(GOOGLEFINANCE(C96, ""price"", EDATE(TODAY(), -6), TODAY()), 2, 2)) - 1, """")"),"")</f>
        <v/>
      </c>
      <c r="P96" s="21" t="str">
        <f>IFERROR(__xludf.DUMMYFUNCTION("IFERROR((GOOGLEFINANCE(C96, ""price"") / INDEX(GOOGLEFINANCE(C96, ""price"", EDATE(TODAY(), -12), TODAY()), 2, 2)) - 1, """")"),"")</f>
        <v/>
      </c>
      <c r="Q96" s="6" t="str">
        <f>IFERROR(__xludf.DUMMYFUNCTION("AVERAGE(QUERY(GOOGLEFINANCE(C96, ""price"", TODAY()-80, TODAY()), ""SELECT Col2 WHERE Col2 IS NOT NULL ORDER BY Col1 DESC LIMIT 50"", 0))"),"#N/A")</f>
        <v>#N/A</v>
      </c>
      <c r="R96" s="24" t="str">
        <f>IFERROR(__xludf.DUMMYFUNCTION("IFERROR(
  LET(
    data, QUERY(GOOGLEFINANCE(C96,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GOOGLEFINANCE(C96, ""price"")) * 100,
    IF(calc=0, G96, calc)
  ), 
G96)"),"#N/A")</f>
        <v>#N/A</v>
      </c>
      <c r="S96" s="8" t="s">
        <v>15</v>
      </c>
      <c r="T96" s="26" t="str">
        <f>IFERROR(__xludf.DUMMYFUNCTION("IFERROR(TRANSPOSE(QUERY(IFERROR(SORT(GOOGLEFINANCE(C96, ""price"", WORKDAY(TODAY(), -40), TODAY()), 1, FALSE)), ""select Col2 where Col2 is not null limit 22 label Col2 ''"", 0)), """")"),"")</f>
        <v/>
      </c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8"/>
      <c r="AO96" s="28"/>
      <c r="AP96" s="29"/>
      <c r="AQ96" s="29" t="str">
        <f t="shared" ref="AQ96:BL96" si="100">T96/T$2</f>
        <v>#N/A</v>
      </c>
      <c r="AR96" s="29" t="str">
        <f t="shared" si="100"/>
        <v>#DIV/0!</v>
      </c>
      <c r="AS96" s="29" t="str">
        <f t="shared" si="100"/>
        <v>#DIV/0!</v>
      </c>
      <c r="AT96" s="29" t="str">
        <f t="shared" si="100"/>
        <v>#DIV/0!</v>
      </c>
      <c r="AU96" s="29" t="str">
        <f t="shared" si="100"/>
        <v>#DIV/0!</v>
      </c>
      <c r="AV96" s="29" t="str">
        <f t="shared" si="100"/>
        <v>#DIV/0!</v>
      </c>
      <c r="AW96" s="29" t="str">
        <f t="shared" si="100"/>
        <v>#DIV/0!</v>
      </c>
      <c r="AX96" s="29" t="str">
        <f t="shared" si="100"/>
        <v>#DIV/0!</v>
      </c>
      <c r="AY96" s="29" t="str">
        <f t="shared" si="100"/>
        <v>#DIV/0!</v>
      </c>
      <c r="AZ96" s="29" t="str">
        <f t="shared" si="100"/>
        <v>#DIV/0!</v>
      </c>
      <c r="BA96" s="29" t="str">
        <f t="shared" si="100"/>
        <v>#DIV/0!</v>
      </c>
      <c r="BB96" s="29" t="str">
        <f t="shared" si="100"/>
        <v>#DIV/0!</v>
      </c>
      <c r="BC96" s="29" t="str">
        <f t="shared" si="100"/>
        <v>#DIV/0!</v>
      </c>
      <c r="BD96" s="29" t="str">
        <f t="shared" si="100"/>
        <v>#DIV/0!</v>
      </c>
      <c r="BE96" s="29" t="str">
        <f t="shared" si="100"/>
        <v>#DIV/0!</v>
      </c>
      <c r="BF96" s="29" t="str">
        <f t="shared" si="100"/>
        <v>#DIV/0!</v>
      </c>
      <c r="BG96" s="29" t="str">
        <f t="shared" si="100"/>
        <v>#DIV/0!</v>
      </c>
      <c r="BH96" s="29" t="str">
        <f t="shared" si="100"/>
        <v>#DIV/0!</v>
      </c>
      <c r="BI96" s="29" t="str">
        <f t="shared" si="100"/>
        <v>#DIV/0!</v>
      </c>
      <c r="BJ96" s="29" t="str">
        <f t="shared" si="100"/>
        <v>#DIV/0!</v>
      </c>
      <c r="BK96" s="29" t="str">
        <f t="shared" si="100"/>
        <v>#DIV/0!</v>
      </c>
      <c r="BL96" s="29" t="str">
        <f t="shared" si="100"/>
        <v>#DIV/0!</v>
      </c>
      <c r="BM96" s="29" t="str">
        <f t="shared" si="3"/>
        <v>#DIV/0!</v>
      </c>
    </row>
    <row r="97">
      <c r="A97" s="16" t="str">
        <f>IFERROR(__xludf.DUMMYFUNCTION("IFERROR(SPARKLINE(SORT(MAP(TRANSPOSE(AQ97:BL97), LAMBDA(val, IF(ISNUMBER(val), PERCENTRANK(AQ97:BL97, val)+0.01, 0))), SEQUENCE(COLUMNS(AQ97:BL97)), FALSE), {""charttype"",""column""; ""color"",""chartreuse""; ""ymin"", 0; ""ymax"", 1.01; ""highcolor"", "&amp;"""darkgreen""; ""lowcolor"", ""red""}), """")"),"")</f>
        <v/>
      </c>
      <c r="B97" s="17" t="str">
        <f t="shared" si="4"/>
        <v/>
      </c>
      <c r="C97" s="1" t="s">
        <v>3249</v>
      </c>
      <c r="D97" s="30" t="str">
        <f>IFERROR(__xludf.DUMMYFUNCTION("IFERROR(GOOGLEFINANCE(C97, ""NAME""))"),"Skeena Resources Ltd")</f>
        <v>Skeena Resources Ltd</v>
      </c>
      <c r="E97" s="30" t="s">
        <v>2935</v>
      </c>
      <c r="F97" s="33" t="str">
        <f>IFERROR(__xludf.DUMMYFUNCTION("( (GOOGLEFINANCE(C97, ""price"") - Q97) / Q97 ) / (R97 / 100)"),"Loading...")</f>
        <v>Loading...</v>
      </c>
      <c r="G97" s="20" t="str">
        <f>IFERROR(__xludf.DUMMYFUNCTION("AVERAGE(ARRAYFORMULA(100 * (QUERY(GOOGLEFINANCE(C97, ""high"", TODAY()-40, TODAY()), ""SELECT Col2 WHERE Col2 IS NOT NULL ORDER BY Col1 DESC LIMIT 20"", 0) / QUERY(GOOGLEFINANCE(C97, ""low"", TODAY()-40, TODAY()), ""SELECT Col2 WHERE Col2 IS NOT NULL ORDE"&amp;"R BY Col1 DESC LIMIT 20"", 0) - 1)))"),"#N/A")</f>
        <v>#N/A</v>
      </c>
      <c r="H97" s="35" t="str">
        <f t="shared" si="35"/>
        <v>Illiquid</v>
      </c>
      <c r="I97" s="35" t="str">
        <f t="shared" si="7"/>
        <v>RVol Required</v>
      </c>
      <c r="J97" s="37">
        <f>IFERROR(__xludf.DUMMYFUNCTION("IFERROR(
  IF(C97="""",, 
    IFERROR(
      GOOGLEFINANCE(C97, ""price"") * GOOGLEFINANCE(C97, ""volumeavg""), 
      GOOGLEFINANCE(C97, ""price"") * AVERAGE(QUERY(GOOGLEFINANCE(C97, ""volume"", TODAY()-40, TODAY()), ""SELECT Col2 WHERE Col2 IS NOT NULL "&amp;"ORDER BY Col1 DESC LIMIT 20"", 0))
    )
  ), 
"""")"),1.50182235E7)</f>
        <v>15018223.5</v>
      </c>
      <c r="K97" s="21">
        <f>IFERROR(__xludf.DUMMYFUNCTION("IFERROR(GOOGLEFINANCE(C97, ""changepct"") / 100, """")"),-0.0138)</f>
        <v>-0.0138</v>
      </c>
      <c r="L97" s="21" t="str">
        <f>IFERROR(__xludf.DUMMYFUNCTION("IFERROR((GOOGLEFINANCE(C97, ""price"") / INDEX(GOOGLEFINANCE(C97, ""price"", TODAY()-7, TODAY()), 2, 2)) - 1, """")"),"")</f>
        <v/>
      </c>
      <c r="M97" s="21" t="str">
        <f>IFERROR(__xludf.DUMMYFUNCTION("IFERROR((GOOGLEFINANCE(C97, ""price"") / INDEX(GOOGLEFINANCE(C97, ""price"", EDATE(TODAY(), -1), TODAY()), 2, 2)) - 1, """")"),"")</f>
        <v/>
      </c>
      <c r="N97" s="21" t="str">
        <f>IFERROR(__xludf.DUMMYFUNCTION("IFERROR((GOOGLEFINANCE(C97, ""price"") / INDEX(GOOGLEFINANCE(C97, ""price"", EDATE(TODAY(), -3), TODAY()), 2, 2)) - 1, """")"),"")</f>
        <v/>
      </c>
      <c r="O97" s="21" t="str">
        <f>IFERROR(__xludf.DUMMYFUNCTION("IFERROR((GOOGLEFINANCE(C97, ""price"") / INDEX(GOOGLEFINANCE(C97, ""price"", EDATE(TODAY(), -6), TODAY()), 2, 2)) - 1, """")"),"")</f>
        <v/>
      </c>
      <c r="P97" s="21" t="str">
        <f>IFERROR(__xludf.DUMMYFUNCTION("IFERROR((GOOGLEFINANCE(C97, ""price"") / INDEX(GOOGLEFINANCE(C97, ""price"", EDATE(TODAY(), -12), TODAY()), 2, 2)) - 1, """")"),"")</f>
        <v/>
      </c>
      <c r="Q97" s="6" t="str">
        <f>IFERROR(__xludf.DUMMYFUNCTION("AVERAGE(QUERY(GOOGLEFINANCE(C97, ""price"", TODAY()-80, TODAY()), ""SELECT Col2 WHERE Col2 IS NOT NULL ORDER BY Col1 DESC LIMIT 50"", 0))"),"#N/A")</f>
        <v>#N/A</v>
      </c>
      <c r="R97" s="24" t="str">
        <f>IFERROR(__xludf.DUMMYFUNCTION("IFERROR(
  LET(
    data, QUERY(GOOGLEFINANCE(C97,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GOOGLEFINANCE(C97, ""price"")) * 100,
    IF(calc=0, G97, calc)
  ), 
G97)"),"#N/A")</f>
        <v>#N/A</v>
      </c>
      <c r="S97" s="8" t="s">
        <v>15</v>
      </c>
      <c r="T97" s="26" t="str">
        <f>IFERROR(__xludf.DUMMYFUNCTION("IFERROR(TRANSPOSE(QUERY(IFERROR(SORT(GOOGLEFINANCE(C97, ""price"", WORKDAY(TODAY(), -40), TODAY()), 1, FALSE)), ""select Col2 where Col2 is not null limit 22 label Col2 ''"", 0)), """")"),"")</f>
        <v/>
      </c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8"/>
      <c r="AO97" s="28"/>
      <c r="AP97" s="29"/>
      <c r="AQ97" s="29" t="str">
        <f t="shared" ref="AQ97:BL97" si="101">T97/T$2</f>
        <v>#N/A</v>
      </c>
      <c r="AR97" s="29" t="str">
        <f t="shared" si="101"/>
        <v>#DIV/0!</v>
      </c>
      <c r="AS97" s="29" t="str">
        <f t="shared" si="101"/>
        <v>#DIV/0!</v>
      </c>
      <c r="AT97" s="29" t="str">
        <f t="shared" si="101"/>
        <v>#DIV/0!</v>
      </c>
      <c r="AU97" s="29" t="str">
        <f t="shared" si="101"/>
        <v>#DIV/0!</v>
      </c>
      <c r="AV97" s="29" t="str">
        <f t="shared" si="101"/>
        <v>#DIV/0!</v>
      </c>
      <c r="AW97" s="29" t="str">
        <f t="shared" si="101"/>
        <v>#DIV/0!</v>
      </c>
      <c r="AX97" s="29" t="str">
        <f t="shared" si="101"/>
        <v>#DIV/0!</v>
      </c>
      <c r="AY97" s="29" t="str">
        <f t="shared" si="101"/>
        <v>#DIV/0!</v>
      </c>
      <c r="AZ97" s="29" t="str">
        <f t="shared" si="101"/>
        <v>#DIV/0!</v>
      </c>
      <c r="BA97" s="29" t="str">
        <f t="shared" si="101"/>
        <v>#DIV/0!</v>
      </c>
      <c r="BB97" s="29" t="str">
        <f t="shared" si="101"/>
        <v>#DIV/0!</v>
      </c>
      <c r="BC97" s="29" t="str">
        <f t="shared" si="101"/>
        <v>#DIV/0!</v>
      </c>
      <c r="BD97" s="29" t="str">
        <f t="shared" si="101"/>
        <v>#DIV/0!</v>
      </c>
      <c r="BE97" s="29" t="str">
        <f t="shared" si="101"/>
        <v>#DIV/0!</v>
      </c>
      <c r="BF97" s="29" t="str">
        <f t="shared" si="101"/>
        <v>#DIV/0!</v>
      </c>
      <c r="BG97" s="29" t="str">
        <f t="shared" si="101"/>
        <v>#DIV/0!</v>
      </c>
      <c r="BH97" s="29" t="str">
        <f t="shared" si="101"/>
        <v>#DIV/0!</v>
      </c>
      <c r="BI97" s="29" t="str">
        <f t="shared" si="101"/>
        <v>#DIV/0!</v>
      </c>
      <c r="BJ97" s="29" t="str">
        <f t="shared" si="101"/>
        <v>#DIV/0!</v>
      </c>
      <c r="BK97" s="29" t="str">
        <f t="shared" si="101"/>
        <v>#DIV/0!</v>
      </c>
      <c r="BL97" s="29" t="str">
        <f t="shared" si="101"/>
        <v>#DIV/0!</v>
      </c>
      <c r="BM97" s="29" t="str">
        <f t="shared" si="3"/>
        <v>#DIV/0!</v>
      </c>
    </row>
    <row r="98">
      <c r="A98" s="16" t="str">
        <f>IFERROR(__xludf.DUMMYFUNCTION("IFERROR(SPARKLINE(SORT(MAP(TRANSPOSE(AQ98:BL98), LAMBDA(val, IF(ISNUMBER(val), PERCENTRANK(AQ98:BL98, val)+0.01, 0))), SEQUENCE(COLUMNS(AQ98:BL98)), FALSE), {""charttype"",""column""; ""color"",""chartreuse""; ""ymin"", 0; ""ymax"", 1.01; ""highcolor"", "&amp;"""darkgreen""; ""lowcolor"", ""red""}), """")"),"")</f>
        <v/>
      </c>
      <c r="B98" s="17" t="str">
        <f t="shared" si="4"/>
        <v/>
      </c>
      <c r="C98" s="1" t="s">
        <v>3250</v>
      </c>
      <c r="D98" s="30" t="str">
        <f>IFERROR(__xludf.DUMMYFUNCTION("IFERROR(GOOGLEFINANCE(C98, ""NAME""))"),"Westlake Chemical Partners LP")</f>
        <v>Westlake Chemical Partners LP</v>
      </c>
      <c r="E98" s="30" t="s">
        <v>3035</v>
      </c>
      <c r="F98" s="33" t="str">
        <f>IFERROR(__xludf.DUMMYFUNCTION("( (GOOGLEFINANCE(C98, ""price"") - Q98) / Q98 ) / (R98 / 100)"),"Loading...")</f>
        <v>Loading...</v>
      </c>
      <c r="G98" s="20" t="str">
        <f>IFERROR(__xludf.DUMMYFUNCTION("AVERAGE(ARRAYFORMULA(100 * (QUERY(GOOGLEFINANCE(C98, ""high"", TODAY()-40, TODAY()), ""SELECT Col2 WHERE Col2 IS NOT NULL ORDER BY Col1 DESC LIMIT 20"", 0) / QUERY(GOOGLEFINANCE(C98, ""low"", TODAY()-40, TODAY()), ""SELECT Col2 WHERE Col2 IS NOT NULL ORDE"&amp;"R BY Col1 DESC LIMIT 20"", 0) - 1)))"),"#N/A")</f>
        <v>#N/A</v>
      </c>
      <c r="H98" s="35" t="str">
        <f t="shared" si="35"/>
        <v>Illiquid</v>
      </c>
      <c r="I98" s="35" t="str">
        <f t="shared" si="7"/>
        <v>RVol Required</v>
      </c>
      <c r="J98" s="37">
        <f>IFERROR(__xludf.DUMMYFUNCTION("IFERROR(
  IF(C98="""",, 
    IFERROR(
      GOOGLEFINANCE(C98, ""price"") * GOOGLEFINANCE(C98, ""volumeavg""), 
      GOOGLEFINANCE(C98, ""price"") * AVERAGE(QUERY(GOOGLEFINANCE(C98, ""volume"", TODAY()-40, TODAY()), ""SELECT Col2 WHERE Col2 IS NOT NULL "&amp;"ORDER BY Col1 DESC LIMIT 20"", 0))
    )
  ), 
"""")"),462488.0)</f>
        <v>462488</v>
      </c>
      <c r="K98" s="21">
        <f>IFERROR(__xludf.DUMMYFUNCTION("IFERROR(GOOGLEFINANCE(C98, ""changepct"") / 100, """")"),-0.0019)</f>
        <v>-0.0019</v>
      </c>
      <c r="L98" s="21" t="str">
        <f>IFERROR(__xludf.DUMMYFUNCTION("IFERROR((GOOGLEFINANCE(C98, ""price"") / INDEX(GOOGLEFINANCE(C98, ""price"", TODAY()-7, TODAY()), 2, 2)) - 1, """")"),"")</f>
        <v/>
      </c>
      <c r="M98" s="21" t="str">
        <f>IFERROR(__xludf.DUMMYFUNCTION("IFERROR((GOOGLEFINANCE(C98, ""price"") / INDEX(GOOGLEFINANCE(C98, ""price"", EDATE(TODAY(), -1), TODAY()), 2, 2)) - 1, """")"),"")</f>
        <v/>
      </c>
      <c r="N98" s="21" t="str">
        <f>IFERROR(__xludf.DUMMYFUNCTION("IFERROR((GOOGLEFINANCE(C98, ""price"") / INDEX(GOOGLEFINANCE(C98, ""price"", EDATE(TODAY(), -3), TODAY()), 2, 2)) - 1, """")"),"")</f>
        <v/>
      </c>
      <c r="O98" s="21" t="str">
        <f>IFERROR(__xludf.DUMMYFUNCTION("IFERROR((GOOGLEFINANCE(C98, ""price"") / INDEX(GOOGLEFINANCE(C98, ""price"", EDATE(TODAY(), -6), TODAY()), 2, 2)) - 1, """")"),"")</f>
        <v/>
      </c>
      <c r="P98" s="21" t="str">
        <f>IFERROR(__xludf.DUMMYFUNCTION("IFERROR((GOOGLEFINANCE(C98, ""price"") / INDEX(GOOGLEFINANCE(C98, ""price"", EDATE(TODAY(), -12), TODAY()), 2, 2)) - 1, """")"),"")</f>
        <v/>
      </c>
      <c r="Q98" s="6" t="str">
        <f>IFERROR(__xludf.DUMMYFUNCTION("AVERAGE(QUERY(GOOGLEFINANCE(C98, ""price"", TODAY()-80, TODAY()), ""SELECT Col2 WHERE Col2 IS NOT NULL ORDER BY Col1 DESC LIMIT 50"", 0))"),"#N/A")</f>
        <v>#N/A</v>
      </c>
      <c r="R98" s="24" t="str">
        <f>IFERROR(__xludf.DUMMYFUNCTION("IFERROR(
  LET(
    data, QUERY(GOOGLEFINANCE(C98,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GOOGLEFINANCE(C98, ""price"")) * 100,
    IF(calc=0, G98, calc)
  ), 
G98)"),"#N/A")</f>
        <v>#N/A</v>
      </c>
      <c r="S98" s="8" t="s">
        <v>15</v>
      </c>
      <c r="T98" s="26" t="str">
        <f>IFERROR(__xludf.DUMMYFUNCTION("IFERROR(TRANSPOSE(QUERY(IFERROR(SORT(GOOGLEFINANCE(C98, ""price"", WORKDAY(TODAY(), -40), TODAY()), 1, FALSE)), ""select Col2 where Col2 is not null limit 22 label Col2 ''"", 0)), """")"),"")</f>
        <v/>
      </c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8"/>
      <c r="AO98" s="28"/>
      <c r="AP98" s="29"/>
      <c r="AQ98" s="29" t="str">
        <f t="shared" ref="AQ98:BL98" si="102">T98/T$2</f>
        <v>#N/A</v>
      </c>
      <c r="AR98" s="29" t="str">
        <f t="shared" si="102"/>
        <v>#DIV/0!</v>
      </c>
      <c r="AS98" s="29" t="str">
        <f t="shared" si="102"/>
        <v>#DIV/0!</v>
      </c>
      <c r="AT98" s="29" t="str">
        <f t="shared" si="102"/>
        <v>#DIV/0!</v>
      </c>
      <c r="AU98" s="29" t="str">
        <f t="shared" si="102"/>
        <v>#DIV/0!</v>
      </c>
      <c r="AV98" s="29" t="str">
        <f t="shared" si="102"/>
        <v>#DIV/0!</v>
      </c>
      <c r="AW98" s="29" t="str">
        <f t="shared" si="102"/>
        <v>#DIV/0!</v>
      </c>
      <c r="AX98" s="29" t="str">
        <f t="shared" si="102"/>
        <v>#DIV/0!</v>
      </c>
      <c r="AY98" s="29" t="str">
        <f t="shared" si="102"/>
        <v>#DIV/0!</v>
      </c>
      <c r="AZ98" s="29" t="str">
        <f t="shared" si="102"/>
        <v>#DIV/0!</v>
      </c>
      <c r="BA98" s="29" t="str">
        <f t="shared" si="102"/>
        <v>#DIV/0!</v>
      </c>
      <c r="BB98" s="29" t="str">
        <f t="shared" si="102"/>
        <v>#DIV/0!</v>
      </c>
      <c r="BC98" s="29" t="str">
        <f t="shared" si="102"/>
        <v>#DIV/0!</v>
      </c>
      <c r="BD98" s="29" t="str">
        <f t="shared" si="102"/>
        <v>#DIV/0!</v>
      </c>
      <c r="BE98" s="29" t="str">
        <f t="shared" si="102"/>
        <v>#DIV/0!</v>
      </c>
      <c r="BF98" s="29" t="str">
        <f t="shared" si="102"/>
        <v>#DIV/0!</v>
      </c>
      <c r="BG98" s="29" t="str">
        <f t="shared" si="102"/>
        <v>#DIV/0!</v>
      </c>
      <c r="BH98" s="29" t="str">
        <f t="shared" si="102"/>
        <v>#DIV/0!</v>
      </c>
      <c r="BI98" s="29" t="str">
        <f t="shared" si="102"/>
        <v>#DIV/0!</v>
      </c>
      <c r="BJ98" s="29" t="str">
        <f t="shared" si="102"/>
        <v>#DIV/0!</v>
      </c>
      <c r="BK98" s="29" t="str">
        <f t="shared" si="102"/>
        <v>#DIV/0!</v>
      </c>
      <c r="BL98" s="29" t="str">
        <f t="shared" si="102"/>
        <v>#DIV/0!</v>
      </c>
      <c r="BM98" s="29" t="str">
        <f t="shared" si="3"/>
        <v>#DIV/0!</v>
      </c>
    </row>
    <row r="99">
      <c r="A99" s="16" t="str">
        <f>IFERROR(__xludf.DUMMYFUNCTION("IFERROR(SPARKLINE(SORT(MAP(TRANSPOSE(AQ99:BL99), LAMBDA(val, IF(ISNUMBER(val), PERCENTRANK(AQ99:BL99, val)+0.01, 0))), SEQUENCE(COLUMNS(AQ99:BL99)), FALSE), {""charttype"",""column""; ""color"",""chartreuse""; ""ymin"", 0; ""ymax"", 1.01; ""highcolor"", "&amp;"""darkgreen""; ""lowcolor"", ""red""}), """")"),"")</f>
        <v/>
      </c>
      <c r="B99" s="17" t="str">
        <f t="shared" si="4"/>
        <v/>
      </c>
      <c r="C99" s="1" t="s">
        <v>3252</v>
      </c>
      <c r="D99" s="30" t="str">
        <f>IFERROR(__xludf.DUMMYFUNCTION("IFERROR(GOOGLEFINANCE(C99, ""NAME""))"),"Ecovyst Inc")</f>
        <v>Ecovyst Inc</v>
      </c>
      <c r="E99" s="30" t="s">
        <v>2995</v>
      </c>
      <c r="F99" s="33" t="str">
        <f>IFERROR(__xludf.DUMMYFUNCTION("( (GOOGLEFINANCE(C99, ""price"") - Q99) / Q99 ) / (R99 / 100)"),"Loading...")</f>
        <v>Loading...</v>
      </c>
      <c r="G99" s="20" t="str">
        <f>IFERROR(__xludf.DUMMYFUNCTION("AVERAGE(ARRAYFORMULA(100 * (QUERY(GOOGLEFINANCE(C99, ""high"", TODAY()-40, TODAY()), ""SELECT Col2 WHERE Col2 IS NOT NULL ORDER BY Col1 DESC LIMIT 20"", 0) / QUERY(GOOGLEFINANCE(C99, ""low"", TODAY()-40, TODAY()), ""SELECT Col2 WHERE Col2 IS NOT NULL ORDE"&amp;"R BY Col1 DESC LIMIT 20"", 0) - 1)))"),"#N/A")</f>
        <v>#N/A</v>
      </c>
      <c r="H99" s="35" t="str">
        <f t="shared" si="35"/>
        <v>Illiquid</v>
      </c>
      <c r="I99" s="35" t="str">
        <f t="shared" si="7"/>
        <v>RVol Required</v>
      </c>
      <c r="J99" s="37">
        <f>IFERROR(__xludf.DUMMYFUNCTION("IFERROR(
  IF(C99="""",, 
    IFERROR(
      GOOGLEFINANCE(C99, ""price"") * GOOGLEFINANCE(C99, ""volumeavg""), 
      GOOGLEFINANCE(C99, ""price"") * AVERAGE(QUERY(GOOGLEFINANCE(C99, ""volume"", TODAY()-40, TODAY()), ""SELECT Col2 WHERE Col2 IS NOT NULL "&amp;"ORDER BY Col1 DESC LIMIT 20"", 0))
    )
  ), 
"""")"),1.2590162719999999E7)</f>
        <v>12590162.72</v>
      </c>
      <c r="K99" s="21">
        <f>IFERROR(__xludf.DUMMYFUNCTION("IFERROR(GOOGLEFINANCE(C99, ""changepct"") / 100, """")"),0.0108)</f>
        <v>0.0108</v>
      </c>
      <c r="L99" s="21" t="str">
        <f>IFERROR(__xludf.DUMMYFUNCTION("IFERROR((GOOGLEFINANCE(C99, ""price"") / INDEX(GOOGLEFINANCE(C99, ""price"", TODAY()-7, TODAY()), 2, 2)) - 1, """")"),"")</f>
        <v/>
      </c>
      <c r="M99" s="21" t="str">
        <f>IFERROR(__xludf.DUMMYFUNCTION("IFERROR((GOOGLEFINANCE(C99, ""price"") / INDEX(GOOGLEFINANCE(C99, ""price"", EDATE(TODAY(), -1), TODAY()), 2, 2)) - 1, """")"),"")</f>
        <v/>
      </c>
      <c r="N99" s="21" t="str">
        <f>IFERROR(__xludf.DUMMYFUNCTION("IFERROR((GOOGLEFINANCE(C99, ""price"") / INDEX(GOOGLEFINANCE(C99, ""price"", EDATE(TODAY(), -3), TODAY()), 2, 2)) - 1, """")"),"")</f>
        <v/>
      </c>
      <c r="O99" s="21" t="str">
        <f>IFERROR(__xludf.DUMMYFUNCTION("IFERROR((GOOGLEFINANCE(C99, ""price"") / INDEX(GOOGLEFINANCE(C99, ""price"", EDATE(TODAY(), -6), TODAY()), 2, 2)) - 1, """")"),"")</f>
        <v/>
      </c>
      <c r="P99" s="21" t="str">
        <f>IFERROR(__xludf.DUMMYFUNCTION("IFERROR((GOOGLEFINANCE(C99, ""price"") / INDEX(GOOGLEFINANCE(C99, ""price"", EDATE(TODAY(), -12), TODAY()), 2, 2)) - 1, """")"),"")</f>
        <v/>
      </c>
      <c r="Q99" s="6" t="str">
        <f>IFERROR(__xludf.DUMMYFUNCTION("AVERAGE(QUERY(GOOGLEFINANCE(C99, ""price"", TODAY()-80, TODAY()), ""SELECT Col2 WHERE Col2 IS NOT NULL ORDER BY Col1 DESC LIMIT 50"", 0))"),"#N/A")</f>
        <v>#N/A</v>
      </c>
      <c r="R99" s="24" t="str">
        <f>IFERROR(__xludf.DUMMYFUNCTION("IFERROR(
  LET(
    data, QUERY(GOOGLEFINANCE(C99, ""all"", TODAY()-35, TODAY()), ""SELECT Col3, Col4, Col5 ORDER BY Col1 DESC LIMIT 15"", 0),
    h, CHOOSEROWS(CHOOSECOLS(data, 1), SEQUENCE(14)),
    l, CHOOSEROWS(CHOOSECOLS(data, 2), SEQUENCE(14)),
    "&amp;"c_prev, CHOOSEROWS(CHOOSECOLS(data, 3), SEQUENCE(14, 1, 2)),
    tr, ARRAYFORMULA((IF(h &gt; c_prev, h, c_prev)) - (IF(l &lt; c_prev, l, c_prev))),
    calc, (AVERAGE(tr) / GOOGLEFINANCE(C99, ""price"")) * 100,
    IF(calc=0, G99, calc)
  ), 
G99)"),"#N/A")</f>
        <v>#N/A</v>
      </c>
      <c r="S99" s="8" t="s">
        <v>15</v>
      </c>
      <c r="T99" s="26" t="str">
        <f>IFERROR(__xludf.DUMMYFUNCTION("IFERROR(TRANSPOSE(QUERY(IFERROR(SORT(GOOGLEFINANCE(C99, ""price"", WORKDAY(TODAY(), -40), TODAY()), 1, FALSE)), ""select Col2 where Col2 is not null limit 22 label Col2 ''"", 0)), """")"),"")</f>
        <v/>
      </c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8"/>
      <c r="AO99" s="28"/>
      <c r="AP99" s="29"/>
      <c r="AQ99" s="29" t="str">
        <f t="shared" ref="AQ99:BL99" si="103">T99/T$2</f>
        <v>#N/A</v>
      </c>
      <c r="AR99" s="29" t="str">
        <f t="shared" si="103"/>
        <v>#DIV/0!</v>
      </c>
      <c r="AS99" s="29" t="str">
        <f t="shared" si="103"/>
        <v>#DIV/0!</v>
      </c>
      <c r="AT99" s="29" t="str">
        <f t="shared" si="103"/>
        <v>#DIV/0!</v>
      </c>
      <c r="AU99" s="29" t="str">
        <f t="shared" si="103"/>
        <v>#DIV/0!</v>
      </c>
      <c r="AV99" s="29" t="str">
        <f t="shared" si="103"/>
        <v>#DIV/0!</v>
      </c>
      <c r="AW99" s="29" t="str">
        <f t="shared" si="103"/>
        <v>#DIV/0!</v>
      </c>
      <c r="AX99" s="29" t="str">
        <f t="shared" si="103"/>
        <v>#DIV/0!</v>
      </c>
      <c r="AY99" s="29" t="str">
        <f t="shared" si="103"/>
        <v>#DIV/0!</v>
      </c>
      <c r="AZ99" s="29" t="str">
        <f t="shared" si="103"/>
        <v>#DIV/0!</v>
      </c>
      <c r="BA99" s="29" t="str">
        <f t="shared" si="103"/>
        <v>#DIV/0!</v>
      </c>
      <c r="BB99" s="29" t="str">
        <f t="shared" si="103"/>
        <v>#DIV/0!</v>
      </c>
      <c r="BC99" s="29" t="str">
        <f t="shared" si="103"/>
        <v>#DIV/0!</v>
      </c>
      <c r="BD99" s="29" t="str">
        <f t="shared" si="103"/>
        <v>#DIV/0!</v>
      </c>
      <c r="BE99" s="29" t="str">
        <f t="shared" si="103"/>
        <v>#DIV/0!</v>
      </c>
      <c r="BF99" s="29" t="str">
        <f t="shared" si="103"/>
        <v>#DIV/0!</v>
      </c>
      <c r="BG99" s="29" t="str">
        <f t="shared" si="103"/>
        <v>#DIV/0!</v>
      </c>
      <c r="BH99" s="29" t="str">
        <f t="shared" si="103"/>
        <v>#DIV/0!</v>
      </c>
      <c r="BI99" s="29" t="str">
        <f t="shared" si="103"/>
        <v>#DIV/0!</v>
      </c>
      <c r="BJ99" s="29" t="str">
        <f t="shared" si="103"/>
        <v>#DIV/0!</v>
      </c>
      <c r="BK99" s="29" t="str">
        <f t="shared" si="103"/>
        <v>#DIV/0!</v>
      </c>
      <c r="BL99" s="29" t="str">
        <f t="shared" si="103"/>
        <v>#DIV/0!</v>
      </c>
      <c r="BM99" s="29" t="str">
        <f t="shared" si="3"/>
        <v>#DIV/0!</v>
      </c>
    </row>
    <row r="100">
      <c r="A100" s="16" t="str">
        <f>IFERROR(__xludf.DUMMYFUNCTION("IFERROR(SPARKLINE(SORT(MAP(TRANSPOSE(AQ100:BL100), LAMBDA(val, IF(ISNUMBER(val), PERCENTRANK(AQ100:BL100, val)+0.01, 0))), SEQUENCE(COLUMNS(AQ100:BL100)), FALSE), {""charttype"",""column""; ""color"",""chartreuse""; ""ymin"", 0; ""ymax"", 1.01; ""highcolo"&amp;"r"", ""darkgreen""; ""lowcolor"", ""red""}), """")"),"")</f>
        <v/>
      </c>
      <c r="B100" s="17" t="str">
        <f t="shared" si="4"/>
        <v/>
      </c>
      <c r="C100" s="1" t="s">
        <v>3255</v>
      </c>
      <c r="D100" s="30" t="str">
        <f>IFERROR(__xludf.DUMMYFUNCTION("IFERROR(GOOGLEFINANCE(C100, ""NAME""))"),"Anglogold Ashanti PLC")</f>
        <v>Anglogold Ashanti PLC</v>
      </c>
      <c r="E100" s="30" t="s">
        <v>2928</v>
      </c>
      <c r="F100" s="33" t="str">
        <f>IFERROR(__xludf.DUMMYFUNCTION("( (GOOGLEFINANCE(C100, ""price"") - Q100) / Q100 ) / (R100 / 100)"),"Loading...")</f>
        <v>Loading...</v>
      </c>
      <c r="G100" s="20" t="str">
        <f>IFERROR(__xludf.DUMMYFUNCTION("AVERAGE(ARRAYFORMULA(100 * (QUERY(GOOGLEFINANCE(C100, ""high"", TODAY()-40, TODAY()), ""SELECT Col2 WHERE Col2 IS NOT NULL ORDER BY Col1 DESC LIMIT 20"", 0) / QUERY(GOOGLEFINANCE(C100, ""low"", TODAY()-40, TODAY()), ""SELECT Col2 WHERE Col2 IS NOT NULL OR"&amp;"DER BY Col1 DESC LIMIT 20"", 0) - 1)))"),"#N/A")</f>
        <v>#N/A</v>
      </c>
      <c r="H100" s="35" t="str">
        <f t="shared" si="35"/>
        <v>Liquid</v>
      </c>
      <c r="I100" s="35" t="str">
        <f t="shared" si="7"/>
        <v>RVol Required</v>
      </c>
      <c r="J100" s="37">
        <f>IFERROR(__xludf.DUMMYFUNCTION("IFERROR(
  IF(C100="""",, 
    IFERROR(
      GOOGLEFINANCE(C100, ""price"") * GOOGLEFINANCE(C100, ""volumeavg""), 
      GOOGLEFINANCE(C100, ""price"") * AVERAGE(QUERY(GOOGLEFINANCE(C100, ""volume"", TODAY()-40, TODAY()), ""SELECT Col2 WHERE Col2 IS NOT "&amp;"NULL ORDER BY Col1 DESC LIMIT 20"", 0))
    )
  ), 
"""")"),2.2176127427999997E8)</f>
        <v>221761274.3</v>
      </c>
      <c r="K100" s="21">
        <f>IFERROR(__xludf.DUMMYFUNCTION("IFERROR(GOOGLEFINANCE(C100, ""changepct"") / 100, """")"),0.0137)</f>
        <v>0.0137</v>
      </c>
      <c r="L100" s="21" t="str">
        <f>IFERROR(__xludf.DUMMYFUNCTION("IFERROR((GOOGLEFINANCE(C100, ""price"") / INDEX(GOOGLEFINANCE(C100, ""price"", TODAY()-7, TODAY()), 2, 2)) - 1, """")"),"")</f>
        <v/>
      </c>
      <c r="M100" s="21" t="str">
        <f>IFERROR(__xludf.DUMMYFUNCTION("IFERROR((GOOGLEFINANCE(C100, ""price"") / INDEX(GOOGLEFINANCE(C100, ""price"", EDATE(TODAY(), -1), TODAY()), 2, 2)) - 1, """")"),"")</f>
        <v/>
      </c>
      <c r="N100" s="21" t="str">
        <f>IFERROR(__xludf.DUMMYFUNCTION("IFERROR((GOOGLEFINANCE(C100, ""price"") / INDEX(GOOGLEFINANCE(C100, ""price"", EDATE(TODAY(), -3), TODAY()), 2, 2)) - 1, """")"),"")</f>
        <v/>
      </c>
      <c r="O100" s="21" t="str">
        <f>IFERROR(__xludf.DUMMYFUNCTION("IFERROR((GOOGLEFINANCE(C100, ""price"") / INDEX(GOOGLEFINANCE(C100, ""price"", EDATE(TODAY(), -6), TODAY()), 2, 2)) - 1, """")"),"")</f>
        <v/>
      </c>
      <c r="P100" s="21" t="str">
        <f>IFERROR(__xludf.DUMMYFUNCTION("IFERROR((GOOGLEFINANCE(C100, ""price"") / INDEX(GOOGLEFINANCE(C100, ""price"", EDATE(TODAY(), -12), TODAY()), 2, 2)) - 1, """")"),"")</f>
        <v/>
      </c>
      <c r="Q100" s="6" t="str">
        <f>IFERROR(__xludf.DUMMYFUNCTION("AVERAGE(QUERY(GOOGLEFINANCE(C100, ""price"", TODAY()-80, TODAY()), ""SELECT Col2 WHERE Col2 IS NOT NULL ORDER BY Col1 DESC LIMIT 50"", 0))"),"#N/A")</f>
        <v>#N/A</v>
      </c>
      <c r="R100" s="24" t="str">
        <f>IFERROR(__xludf.DUMMYFUNCTION("IFERROR(
  LET(
    data, QUERY(GOOGLEFINANCE(C100,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GOOGLEFINANCE(C100, ""price"")) * 100,
    IF(calc=0, G100, calc)
  ), 
G100)"),"#N/A")</f>
        <v>#N/A</v>
      </c>
      <c r="S100" s="8" t="s">
        <v>15</v>
      </c>
      <c r="T100" s="26" t="str">
        <f>IFERROR(__xludf.DUMMYFUNCTION("IFERROR(TRANSPOSE(QUERY(IFERROR(SORT(GOOGLEFINANCE(C100, ""price"", WORKDAY(TODAY(), -40), TODAY()), 1, FALSE)), ""select Col2 where Col2 is not null limit 22 label Col2 ''"", 0)), """")"),"")</f>
        <v/>
      </c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8"/>
      <c r="AO100" s="28"/>
      <c r="AP100" s="29"/>
      <c r="AQ100" s="29" t="str">
        <f t="shared" ref="AQ100:BL100" si="104">T100/T$2</f>
        <v>#N/A</v>
      </c>
      <c r="AR100" s="29" t="str">
        <f t="shared" si="104"/>
        <v>#DIV/0!</v>
      </c>
      <c r="AS100" s="29" t="str">
        <f t="shared" si="104"/>
        <v>#DIV/0!</v>
      </c>
      <c r="AT100" s="29" t="str">
        <f t="shared" si="104"/>
        <v>#DIV/0!</v>
      </c>
      <c r="AU100" s="29" t="str">
        <f t="shared" si="104"/>
        <v>#DIV/0!</v>
      </c>
      <c r="AV100" s="29" t="str">
        <f t="shared" si="104"/>
        <v>#DIV/0!</v>
      </c>
      <c r="AW100" s="29" t="str">
        <f t="shared" si="104"/>
        <v>#DIV/0!</v>
      </c>
      <c r="AX100" s="29" t="str">
        <f t="shared" si="104"/>
        <v>#DIV/0!</v>
      </c>
      <c r="AY100" s="29" t="str">
        <f t="shared" si="104"/>
        <v>#DIV/0!</v>
      </c>
      <c r="AZ100" s="29" t="str">
        <f t="shared" si="104"/>
        <v>#DIV/0!</v>
      </c>
      <c r="BA100" s="29" t="str">
        <f t="shared" si="104"/>
        <v>#DIV/0!</v>
      </c>
      <c r="BB100" s="29" t="str">
        <f t="shared" si="104"/>
        <v>#DIV/0!</v>
      </c>
      <c r="BC100" s="29" t="str">
        <f t="shared" si="104"/>
        <v>#DIV/0!</v>
      </c>
      <c r="BD100" s="29" t="str">
        <f t="shared" si="104"/>
        <v>#DIV/0!</v>
      </c>
      <c r="BE100" s="29" t="str">
        <f t="shared" si="104"/>
        <v>#DIV/0!</v>
      </c>
      <c r="BF100" s="29" t="str">
        <f t="shared" si="104"/>
        <v>#DIV/0!</v>
      </c>
      <c r="BG100" s="29" t="str">
        <f t="shared" si="104"/>
        <v>#DIV/0!</v>
      </c>
      <c r="BH100" s="29" t="str">
        <f t="shared" si="104"/>
        <v>#DIV/0!</v>
      </c>
      <c r="BI100" s="29" t="str">
        <f t="shared" si="104"/>
        <v>#DIV/0!</v>
      </c>
      <c r="BJ100" s="29" t="str">
        <f t="shared" si="104"/>
        <v>#DIV/0!</v>
      </c>
      <c r="BK100" s="29" t="str">
        <f t="shared" si="104"/>
        <v>#DIV/0!</v>
      </c>
      <c r="BL100" s="29" t="str">
        <f t="shared" si="104"/>
        <v>#DIV/0!</v>
      </c>
      <c r="BM100" s="29" t="str">
        <f t="shared" si="3"/>
        <v>#DIV/0!</v>
      </c>
    </row>
    <row r="101">
      <c r="A101" s="16" t="str">
        <f>IFERROR(__xludf.DUMMYFUNCTION("IFERROR(SPARKLINE(SORT(MAP(TRANSPOSE(AQ101:BL101), LAMBDA(val, IF(ISNUMBER(val), PERCENTRANK(AQ101:BL101, val)+0.01, 0))), SEQUENCE(COLUMNS(AQ101:BL101)), FALSE), {""charttype"",""column""; ""color"",""chartreuse""; ""ymin"", 0; ""ymax"", 1.01; ""highcolo"&amp;"r"", ""darkgreen""; ""lowcolor"", ""red""}), """")"),"")</f>
        <v/>
      </c>
      <c r="B101" s="17" t="str">
        <f t="shared" si="4"/>
        <v/>
      </c>
      <c r="C101" s="1" t="s">
        <v>3257</v>
      </c>
      <c r="D101" s="30" t="str">
        <f>IFERROR(__xludf.DUMMYFUNCTION("IFERROR(GOOGLEFINANCE(C101, ""NAME""))"),"USA Rare Earth Inc")</f>
        <v>USA Rare Earth Inc</v>
      </c>
      <c r="E101" s="30" t="s">
        <v>2935</v>
      </c>
      <c r="F101" s="33" t="str">
        <f>IFERROR(__xludf.DUMMYFUNCTION("( (GOOGLEFINANCE(C101, ""price"") - Q101) / Q101 ) / (R101 / 100)"),"Loading...")</f>
        <v>Loading...</v>
      </c>
      <c r="G101" s="20" t="str">
        <f>IFERROR(__xludf.DUMMYFUNCTION("AVERAGE(ARRAYFORMULA(100 * (QUERY(GOOGLEFINANCE(C101, ""high"", TODAY()-40, TODAY()), ""SELECT Col2 WHERE Col2 IS NOT NULL ORDER BY Col1 DESC LIMIT 20"", 0) / QUERY(GOOGLEFINANCE(C101, ""low"", TODAY()-40, TODAY()), ""SELECT Col2 WHERE Col2 IS NOT NULL OR"&amp;"DER BY Col1 DESC LIMIT 20"", 0) - 1)))"),"#N/A")</f>
        <v>#N/A</v>
      </c>
      <c r="H101" s="35" t="str">
        <f t="shared" si="35"/>
        <v>Liquid</v>
      </c>
      <c r="I101" s="35" t="str">
        <f t="shared" si="7"/>
        <v>RVol Required</v>
      </c>
      <c r="J101" s="37">
        <f>IFERROR(__xludf.DUMMYFUNCTION("IFERROR(
  IF(C101="""",, 
    IFERROR(
      GOOGLEFINANCE(C101, ""price"") * GOOGLEFINANCE(C101, ""volumeavg""), 
      GOOGLEFINANCE(C101, ""price"") * AVERAGE(QUERY(GOOGLEFINANCE(C101, ""volume"", TODAY()-40, TODAY()), ""SELECT Col2 WHERE Col2 IS NOT "&amp;"NULL ORDER BY Col1 DESC LIMIT 20"", 0))
    )
  ), 
"""")"),1.4797657242E8)</f>
        <v>147976572.4</v>
      </c>
      <c r="K101" s="21">
        <f>IFERROR(__xludf.DUMMYFUNCTION("IFERROR(GOOGLEFINANCE(C101, ""changepct"") / 100, """")"),-0.0496)</f>
        <v>-0.0496</v>
      </c>
      <c r="L101" s="21" t="str">
        <f>IFERROR(__xludf.DUMMYFUNCTION("IFERROR((GOOGLEFINANCE(C101, ""price"") / INDEX(GOOGLEFINANCE(C101, ""price"", TODAY()-7, TODAY()), 2, 2)) - 1, """")"),"")</f>
        <v/>
      </c>
      <c r="M101" s="21" t="str">
        <f>IFERROR(__xludf.DUMMYFUNCTION("IFERROR((GOOGLEFINANCE(C101, ""price"") / INDEX(GOOGLEFINANCE(C101, ""price"", EDATE(TODAY(), -1), TODAY()), 2, 2)) - 1, """")"),"")</f>
        <v/>
      </c>
      <c r="N101" s="21" t="str">
        <f>IFERROR(__xludf.DUMMYFUNCTION("IFERROR((GOOGLEFINANCE(C101, ""price"") / INDEX(GOOGLEFINANCE(C101, ""price"", EDATE(TODAY(), -3), TODAY()), 2, 2)) - 1, """")"),"")</f>
        <v/>
      </c>
      <c r="O101" s="21" t="str">
        <f>IFERROR(__xludf.DUMMYFUNCTION("IFERROR((GOOGLEFINANCE(C101, ""price"") / INDEX(GOOGLEFINANCE(C101, ""price"", EDATE(TODAY(), -6), TODAY()), 2, 2)) - 1, """")"),"")</f>
        <v/>
      </c>
      <c r="P101" s="21" t="str">
        <f>IFERROR(__xludf.DUMMYFUNCTION("IFERROR((GOOGLEFINANCE(C101, ""price"") / INDEX(GOOGLEFINANCE(C101, ""price"", EDATE(TODAY(), -12), TODAY()), 2, 2)) - 1, """")"),"")</f>
        <v/>
      </c>
      <c r="Q101" s="6" t="str">
        <f>IFERROR(__xludf.DUMMYFUNCTION("AVERAGE(QUERY(GOOGLEFINANCE(C101, ""price"", TODAY()-80, TODAY()), ""SELECT Col2 WHERE Col2 IS NOT NULL ORDER BY Col1 DESC LIMIT 50"", 0))"),"#N/A")</f>
        <v>#N/A</v>
      </c>
      <c r="R101" s="24" t="str">
        <f>IFERROR(__xludf.DUMMYFUNCTION("IFERROR(
  LET(
    data, QUERY(GOOGLEFINANCE(C101,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GOOGLEFINANCE(C101, ""price"")) * 100,
    IF(calc=0, G101, calc)
  ), 
G101)"),"#N/A")</f>
        <v>#N/A</v>
      </c>
      <c r="S101" s="8" t="s">
        <v>15</v>
      </c>
      <c r="T101" s="26" t="str">
        <f>IFERROR(__xludf.DUMMYFUNCTION("IFERROR(TRANSPOSE(QUERY(IFERROR(SORT(GOOGLEFINANCE(C101, ""price"", WORKDAY(TODAY(), -40), TODAY()), 1, FALSE)), ""select Col2 where Col2 is not null limit 22 label Col2 ''"", 0)), """")"),"")</f>
        <v/>
      </c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8"/>
      <c r="AO101" s="28"/>
      <c r="AP101" s="29"/>
      <c r="AQ101" s="29" t="str">
        <f t="shared" ref="AQ101:BL101" si="105">T101/T$2</f>
        <v>#N/A</v>
      </c>
      <c r="AR101" s="29" t="str">
        <f t="shared" si="105"/>
        <v>#DIV/0!</v>
      </c>
      <c r="AS101" s="29" t="str">
        <f t="shared" si="105"/>
        <v>#DIV/0!</v>
      </c>
      <c r="AT101" s="29" t="str">
        <f t="shared" si="105"/>
        <v>#DIV/0!</v>
      </c>
      <c r="AU101" s="29" t="str">
        <f t="shared" si="105"/>
        <v>#DIV/0!</v>
      </c>
      <c r="AV101" s="29" t="str">
        <f t="shared" si="105"/>
        <v>#DIV/0!</v>
      </c>
      <c r="AW101" s="29" t="str">
        <f t="shared" si="105"/>
        <v>#DIV/0!</v>
      </c>
      <c r="AX101" s="29" t="str">
        <f t="shared" si="105"/>
        <v>#DIV/0!</v>
      </c>
      <c r="AY101" s="29" t="str">
        <f t="shared" si="105"/>
        <v>#DIV/0!</v>
      </c>
      <c r="AZ101" s="29" t="str">
        <f t="shared" si="105"/>
        <v>#DIV/0!</v>
      </c>
      <c r="BA101" s="29" t="str">
        <f t="shared" si="105"/>
        <v>#DIV/0!</v>
      </c>
      <c r="BB101" s="29" t="str">
        <f t="shared" si="105"/>
        <v>#DIV/0!</v>
      </c>
      <c r="BC101" s="29" t="str">
        <f t="shared" si="105"/>
        <v>#DIV/0!</v>
      </c>
      <c r="BD101" s="29" t="str">
        <f t="shared" si="105"/>
        <v>#DIV/0!</v>
      </c>
      <c r="BE101" s="29" t="str">
        <f t="shared" si="105"/>
        <v>#DIV/0!</v>
      </c>
      <c r="BF101" s="29" t="str">
        <f t="shared" si="105"/>
        <v>#DIV/0!</v>
      </c>
      <c r="BG101" s="29" t="str">
        <f t="shared" si="105"/>
        <v>#DIV/0!</v>
      </c>
      <c r="BH101" s="29" t="str">
        <f t="shared" si="105"/>
        <v>#DIV/0!</v>
      </c>
      <c r="BI101" s="29" t="str">
        <f t="shared" si="105"/>
        <v>#DIV/0!</v>
      </c>
      <c r="BJ101" s="29" t="str">
        <f t="shared" si="105"/>
        <v>#DIV/0!</v>
      </c>
      <c r="BK101" s="29" t="str">
        <f t="shared" si="105"/>
        <v>#DIV/0!</v>
      </c>
      <c r="BL101" s="29" t="str">
        <f t="shared" si="105"/>
        <v>#DIV/0!</v>
      </c>
      <c r="BM101" s="29" t="str">
        <f t="shared" si="3"/>
        <v>#DIV/0!</v>
      </c>
    </row>
    <row r="102">
      <c r="A102" s="16" t="str">
        <f>IFERROR(__xludf.DUMMYFUNCTION("IFERROR(SPARKLINE(SORT(MAP(TRANSPOSE(AQ102:BL102), LAMBDA(val, IF(ISNUMBER(val), PERCENTRANK(AQ102:BL102, val)+0.01, 0))), SEQUENCE(COLUMNS(AQ102:BL102)), FALSE), {""charttype"",""column""; ""color"",""chartreuse""; ""ymin"", 0; ""ymax"", 1.01; ""highcolo"&amp;"r"", ""darkgreen""; ""lowcolor"", ""red""}), """")"),"")</f>
        <v/>
      </c>
      <c r="B102" s="17" t="str">
        <f t="shared" si="4"/>
        <v/>
      </c>
      <c r="C102" s="1" t="s">
        <v>3259</v>
      </c>
      <c r="D102" s="30" t="str">
        <f>IFERROR(__xludf.DUMMYFUNCTION("IFERROR(GOOGLEFINANCE(C102, ""NAME""))"),"Companhia Siderurgica Nacional SA")</f>
        <v>Companhia Siderurgica Nacional SA</v>
      </c>
      <c r="E102" s="30" t="s">
        <v>3004</v>
      </c>
      <c r="F102" s="33" t="str">
        <f>IFERROR(__xludf.DUMMYFUNCTION("( (GOOGLEFINANCE(C102, ""price"") - Q102) / Q102 ) / (R102 / 100)"),"Loading...")</f>
        <v>Loading...</v>
      </c>
      <c r="G102" s="20" t="str">
        <f>IFERROR(__xludf.DUMMYFUNCTION("AVERAGE(ARRAYFORMULA(100 * (QUERY(GOOGLEFINANCE(C102, ""high"", TODAY()-40, TODAY()), ""SELECT Col2 WHERE Col2 IS NOT NULL ORDER BY Col1 DESC LIMIT 20"", 0) / QUERY(GOOGLEFINANCE(C102, ""low"", TODAY()-40, TODAY()), ""SELECT Col2 WHERE Col2 IS NOT NULL OR"&amp;"DER BY Col1 DESC LIMIT 20"", 0) - 1)))"),"#N/A")</f>
        <v>#N/A</v>
      </c>
      <c r="H102" s="35" t="str">
        <f t="shared" si="35"/>
        <v>Illiquid</v>
      </c>
      <c r="I102" s="35" t="str">
        <f t="shared" si="7"/>
        <v>RVol Required</v>
      </c>
      <c r="J102" s="37">
        <f>IFERROR(__xludf.DUMMYFUNCTION("IFERROR(
  IF(C102="""",, 
    IFERROR(
      GOOGLEFINANCE(C102, ""price"") * GOOGLEFINANCE(C102, ""volumeavg""), 
      GOOGLEFINANCE(C102, ""price"") * AVERAGE(QUERY(GOOGLEFINANCE(C102, ""volume"", TODAY()-40, TODAY()), ""SELECT Col2 WHERE Col2 IS NOT "&amp;"NULL ORDER BY Col1 DESC LIMIT 20"", 0))
    )
  ), 
"""")"),1.05039744E7)</f>
        <v>10503974.4</v>
      </c>
      <c r="K102" s="21">
        <f>IFERROR(__xludf.DUMMYFUNCTION("IFERROR(GOOGLEFINANCE(C102, ""changepct"") / 100, """")"),-0.0348)</f>
        <v>-0.0348</v>
      </c>
      <c r="L102" s="21" t="str">
        <f>IFERROR(__xludf.DUMMYFUNCTION("IFERROR((GOOGLEFINANCE(C102, ""price"") / INDEX(GOOGLEFINANCE(C102, ""price"", TODAY()-7, TODAY()), 2, 2)) - 1, """")"),"")</f>
        <v/>
      </c>
      <c r="M102" s="21" t="str">
        <f>IFERROR(__xludf.DUMMYFUNCTION("IFERROR((GOOGLEFINANCE(C102, ""price"") / INDEX(GOOGLEFINANCE(C102, ""price"", EDATE(TODAY(), -1), TODAY()), 2, 2)) - 1, """")"),"")</f>
        <v/>
      </c>
      <c r="N102" s="21" t="str">
        <f>IFERROR(__xludf.DUMMYFUNCTION("IFERROR((GOOGLEFINANCE(C102, ""price"") / INDEX(GOOGLEFINANCE(C102, ""price"", EDATE(TODAY(), -3), TODAY()), 2, 2)) - 1, """")"),"")</f>
        <v/>
      </c>
      <c r="O102" s="21" t="str">
        <f>IFERROR(__xludf.DUMMYFUNCTION("IFERROR((GOOGLEFINANCE(C102, ""price"") / INDEX(GOOGLEFINANCE(C102, ""price"", EDATE(TODAY(), -6), TODAY()), 2, 2)) - 1, """")"),"")</f>
        <v/>
      </c>
      <c r="P102" s="21" t="str">
        <f>IFERROR(__xludf.DUMMYFUNCTION("IFERROR((GOOGLEFINANCE(C102, ""price"") / INDEX(GOOGLEFINANCE(C102, ""price"", EDATE(TODAY(), -12), TODAY()), 2, 2)) - 1, """")"),"")</f>
        <v/>
      </c>
      <c r="Q102" s="6" t="str">
        <f>IFERROR(__xludf.DUMMYFUNCTION("AVERAGE(QUERY(GOOGLEFINANCE(C102, ""price"", TODAY()-80, TODAY()), ""SELECT Col2 WHERE Col2 IS NOT NULL ORDER BY Col1 DESC LIMIT 50"", 0))"),"#N/A")</f>
        <v>#N/A</v>
      </c>
      <c r="R102" s="24" t="str">
        <f>IFERROR(__xludf.DUMMYFUNCTION("IFERROR(
  LET(
    data, QUERY(GOOGLEFINANCE(C102,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GOOGLEFINANCE(C102, ""price"")) * 100,
    IF(calc=0, G102, calc)
  ), 
G102)"),"#N/A")</f>
        <v>#N/A</v>
      </c>
      <c r="S102" s="8" t="s">
        <v>15</v>
      </c>
      <c r="T102" s="26" t="str">
        <f>IFERROR(__xludf.DUMMYFUNCTION("IFERROR(TRANSPOSE(QUERY(IFERROR(SORT(GOOGLEFINANCE(C102, ""price"", WORKDAY(TODAY(), -40), TODAY()), 1, FALSE)), ""select Col2 where Col2 is not null limit 22 label Col2 ''"", 0)), """")"),"")</f>
        <v/>
      </c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8"/>
      <c r="AO102" s="28"/>
      <c r="AP102" s="29"/>
      <c r="AQ102" s="29" t="str">
        <f t="shared" ref="AQ102:BL102" si="106">T102/T$2</f>
        <v>#N/A</v>
      </c>
      <c r="AR102" s="29" t="str">
        <f t="shared" si="106"/>
        <v>#DIV/0!</v>
      </c>
      <c r="AS102" s="29" t="str">
        <f t="shared" si="106"/>
        <v>#DIV/0!</v>
      </c>
      <c r="AT102" s="29" t="str">
        <f t="shared" si="106"/>
        <v>#DIV/0!</v>
      </c>
      <c r="AU102" s="29" t="str">
        <f t="shared" si="106"/>
        <v>#DIV/0!</v>
      </c>
      <c r="AV102" s="29" t="str">
        <f t="shared" si="106"/>
        <v>#DIV/0!</v>
      </c>
      <c r="AW102" s="29" t="str">
        <f t="shared" si="106"/>
        <v>#DIV/0!</v>
      </c>
      <c r="AX102" s="29" t="str">
        <f t="shared" si="106"/>
        <v>#DIV/0!</v>
      </c>
      <c r="AY102" s="29" t="str">
        <f t="shared" si="106"/>
        <v>#DIV/0!</v>
      </c>
      <c r="AZ102" s="29" t="str">
        <f t="shared" si="106"/>
        <v>#DIV/0!</v>
      </c>
      <c r="BA102" s="29" t="str">
        <f t="shared" si="106"/>
        <v>#DIV/0!</v>
      </c>
      <c r="BB102" s="29" t="str">
        <f t="shared" si="106"/>
        <v>#DIV/0!</v>
      </c>
      <c r="BC102" s="29" t="str">
        <f t="shared" si="106"/>
        <v>#DIV/0!</v>
      </c>
      <c r="BD102" s="29" t="str">
        <f t="shared" si="106"/>
        <v>#DIV/0!</v>
      </c>
      <c r="BE102" s="29" t="str">
        <f t="shared" si="106"/>
        <v>#DIV/0!</v>
      </c>
      <c r="BF102" s="29" t="str">
        <f t="shared" si="106"/>
        <v>#DIV/0!</v>
      </c>
      <c r="BG102" s="29" t="str">
        <f t="shared" si="106"/>
        <v>#DIV/0!</v>
      </c>
      <c r="BH102" s="29" t="str">
        <f t="shared" si="106"/>
        <v>#DIV/0!</v>
      </c>
      <c r="BI102" s="29" t="str">
        <f t="shared" si="106"/>
        <v>#DIV/0!</v>
      </c>
      <c r="BJ102" s="29" t="str">
        <f t="shared" si="106"/>
        <v>#DIV/0!</v>
      </c>
      <c r="BK102" s="29" t="str">
        <f t="shared" si="106"/>
        <v>#DIV/0!</v>
      </c>
      <c r="BL102" s="29" t="str">
        <f t="shared" si="106"/>
        <v>#DIV/0!</v>
      </c>
      <c r="BM102" s="29" t="str">
        <f t="shared" si="3"/>
        <v>#DIV/0!</v>
      </c>
    </row>
    <row r="103">
      <c r="A103" s="16" t="str">
        <f>IFERROR(__xludf.DUMMYFUNCTION("IFERROR(SPARKLINE(SORT(MAP(TRANSPOSE(AQ103:BL103), LAMBDA(val, IF(ISNUMBER(val), PERCENTRANK(AQ103:BL103, val)+0.01, 0))), SEQUENCE(COLUMNS(AQ103:BL103)), FALSE), {""charttype"",""column""; ""color"",""chartreuse""; ""ymin"", 0; ""ymax"", 1.01; ""highcolo"&amp;"r"", ""darkgreen""; ""lowcolor"", ""red""}), """")"),"")</f>
        <v/>
      </c>
      <c r="B103" s="17" t="str">
        <f t="shared" si="4"/>
        <v/>
      </c>
      <c r="C103" s="1" t="s">
        <v>3261</v>
      </c>
      <c r="D103" s="30" t="str">
        <f>IFERROR(__xludf.DUMMYFUNCTION("IFERROR(GOOGLEFINANCE(C103, ""NAME""))"),"")</f>
        <v/>
      </c>
      <c r="E103" s="30" t="s">
        <v>2928</v>
      </c>
      <c r="F103" s="33" t="str">
        <f>IFERROR(__xludf.DUMMYFUNCTION("( (GOOGLEFINANCE(C103, ""price"") - Q103) / Q103 ) / (R103 / 100)"),"Loading...")</f>
        <v>Loading...</v>
      </c>
      <c r="G103" s="20" t="str">
        <f>IFERROR(__xludf.DUMMYFUNCTION("AVERAGE(ARRAYFORMULA(100 * (QUERY(GOOGLEFINANCE(C103, ""high"", TODAY()-40, TODAY()), ""SELECT Col2 WHERE Col2 IS NOT NULL ORDER BY Col1 DESC LIMIT 20"", 0) / QUERY(GOOGLEFINANCE(C103, ""low"", TODAY()-40, TODAY()), ""SELECT Col2 WHERE Col2 IS NOT NULL OR"&amp;"DER BY Col1 DESC LIMIT 20"", 0) - 1)))"),"#N/A")</f>
        <v>#N/A</v>
      </c>
      <c r="H103" s="35" t="str">
        <f t="shared" si="35"/>
        <v/>
      </c>
      <c r="I103" s="35" t="str">
        <f t="shared" si="7"/>
        <v/>
      </c>
      <c r="J103" s="37" t="str">
        <f>IFERROR(__xludf.DUMMYFUNCTION("IFERROR(
  IF(C103="""",, 
    IFERROR(
      GOOGLEFINANCE(C103, ""price"") * GOOGLEFINANCE(C103, ""volumeavg""), 
      GOOGLEFINANCE(C103, ""price"") * AVERAGE(QUERY(GOOGLEFINANCE(C103, ""volume"", TODAY()-40, TODAY()), ""SELECT Col2 WHERE Col2 IS NOT "&amp;"NULL ORDER BY Col1 DESC LIMIT 20"", 0))
    )
  ), 
"""")"),"")</f>
        <v/>
      </c>
      <c r="K103" s="21" t="str">
        <f>IFERROR(__xludf.DUMMYFUNCTION("IFERROR(GOOGLEFINANCE(C103, ""changepct"") / 100, """")"),"")</f>
        <v/>
      </c>
      <c r="L103" s="21" t="str">
        <f>IFERROR(__xludf.DUMMYFUNCTION("IFERROR((GOOGLEFINANCE(C103, ""price"") / INDEX(GOOGLEFINANCE(C103, ""price"", TODAY()-7, TODAY()), 2, 2)) - 1, """")"),"")</f>
        <v/>
      </c>
      <c r="M103" s="21" t="str">
        <f>IFERROR(__xludf.DUMMYFUNCTION("IFERROR((GOOGLEFINANCE(C103, ""price"") / INDEX(GOOGLEFINANCE(C103, ""price"", EDATE(TODAY(), -1), TODAY()), 2, 2)) - 1, """")"),"")</f>
        <v/>
      </c>
      <c r="N103" s="21" t="str">
        <f>IFERROR(__xludf.DUMMYFUNCTION("IFERROR((GOOGLEFINANCE(C103, ""price"") / INDEX(GOOGLEFINANCE(C103, ""price"", EDATE(TODAY(), -3), TODAY()), 2, 2)) - 1, """")"),"")</f>
        <v/>
      </c>
      <c r="O103" s="21" t="str">
        <f>IFERROR(__xludf.DUMMYFUNCTION("IFERROR((GOOGLEFINANCE(C103, ""price"") / INDEX(GOOGLEFINANCE(C103, ""price"", EDATE(TODAY(), -6), TODAY()), 2, 2)) - 1, """")"),"")</f>
        <v/>
      </c>
      <c r="P103" s="21" t="str">
        <f>IFERROR(__xludf.DUMMYFUNCTION("IFERROR((GOOGLEFINANCE(C103, ""price"") / INDEX(GOOGLEFINANCE(C103, ""price"", EDATE(TODAY(), -12), TODAY()), 2, 2)) - 1, """")"),"")</f>
        <v/>
      </c>
      <c r="Q103" s="6" t="str">
        <f>IFERROR(__xludf.DUMMYFUNCTION("AVERAGE(QUERY(GOOGLEFINANCE(C103, ""price"", TODAY()-80, TODAY()), ""SELECT Col2 WHERE Col2 IS NOT NULL ORDER BY Col1 DESC LIMIT 50"", 0))"),"#N/A")</f>
        <v>#N/A</v>
      </c>
      <c r="R103" s="24" t="str">
        <f>IFERROR(__xludf.DUMMYFUNCTION("IFERROR(
  LET(
    data, QUERY(GOOGLEFINANCE(C103,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GOOGLEFINANCE(C103, ""price"")) * 100,
    IF(calc=0, G103, calc)
  ), 
G103)"),"#N/A")</f>
        <v>#N/A</v>
      </c>
      <c r="S103" s="8" t="s">
        <v>15</v>
      </c>
      <c r="T103" s="26" t="str">
        <f>IFERROR(__xludf.DUMMYFUNCTION("IFERROR(TRANSPOSE(QUERY(IFERROR(SORT(GOOGLEFINANCE(C103, ""price"", WORKDAY(TODAY(), -40), TODAY()), 1, FALSE)), ""select Col2 where Col2 is not null limit 22 label Col2 ''"", 0)), """")"),"")</f>
        <v/>
      </c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8"/>
      <c r="AO103" s="28"/>
      <c r="AP103" s="29"/>
      <c r="AQ103" s="29" t="str">
        <f t="shared" ref="AQ103:BL103" si="107">T103/T$2</f>
        <v>#N/A</v>
      </c>
      <c r="AR103" s="29" t="str">
        <f t="shared" si="107"/>
        <v>#DIV/0!</v>
      </c>
      <c r="AS103" s="29" t="str">
        <f t="shared" si="107"/>
        <v>#DIV/0!</v>
      </c>
      <c r="AT103" s="29" t="str">
        <f t="shared" si="107"/>
        <v>#DIV/0!</v>
      </c>
      <c r="AU103" s="29" t="str">
        <f t="shared" si="107"/>
        <v>#DIV/0!</v>
      </c>
      <c r="AV103" s="29" t="str">
        <f t="shared" si="107"/>
        <v>#DIV/0!</v>
      </c>
      <c r="AW103" s="29" t="str">
        <f t="shared" si="107"/>
        <v>#DIV/0!</v>
      </c>
      <c r="AX103" s="29" t="str">
        <f t="shared" si="107"/>
        <v>#DIV/0!</v>
      </c>
      <c r="AY103" s="29" t="str">
        <f t="shared" si="107"/>
        <v>#DIV/0!</v>
      </c>
      <c r="AZ103" s="29" t="str">
        <f t="shared" si="107"/>
        <v>#DIV/0!</v>
      </c>
      <c r="BA103" s="29" t="str">
        <f t="shared" si="107"/>
        <v>#DIV/0!</v>
      </c>
      <c r="BB103" s="29" t="str">
        <f t="shared" si="107"/>
        <v>#DIV/0!</v>
      </c>
      <c r="BC103" s="29" t="str">
        <f t="shared" si="107"/>
        <v>#DIV/0!</v>
      </c>
      <c r="BD103" s="29" t="str">
        <f t="shared" si="107"/>
        <v>#DIV/0!</v>
      </c>
      <c r="BE103" s="29" t="str">
        <f t="shared" si="107"/>
        <v>#DIV/0!</v>
      </c>
      <c r="BF103" s="29" t="str">
        <f t="shared" si="107"/>
        <v>#DIV/0!</v>
      </c>
      <c r="BG103" s="29" t="str">
        <f t="shared" si="107"/>
        <v>#DIV/0!</v>
      </c>
      <c r="BH103" s="29" t="str">
        <f t="shared" si="107"/>
        <v>#DIV/0!</v>
      </c>
      <c r="BI103" s="29" t="str">
        <f t="shared" si="107"/>
        <v>#DIV/0!</v>
      </c>
      <c r="BJ103" s="29" t="str">
        <f t="shared" si="107"/>
        <v>#DIV/0!</v>
      </c>
      <c r="BK103" s="29" t="str">
        <f t="shared" si="107"/>
        <v>#DIV/0!</v>
      </c>
      <c r="BL103" s="29" t="str">
        <f t="shared" si="107"/>
        <v>#DIV/0!</v>
      </c>
      <c r="BM103" s="29" t="str">
        <f t="shared" si="3"/>
        <v>#DIV/0!</v>
      </c>
    </row>
    <row r="104">
      <c r="A104" s="16" t="str">
        <f>IFERROR(__xludf.DUMMYFUNCTION("IFERROR(SPARKLINE(SORT(MAP(TRANSPOSE(AQ104:BL104), LAMBDA(val, IF(ISNUMBER(val), PERCENTRANK(AQ104:BL104, val)+0.01, 0))), SEQUENCE(COLUMNS(AQ104:BL104)), FALSE), {""charttype"",""column""; ""color"",""chartreuse""; ""ymin"", 0; ""ymax"", 1.01; ""highcolo"&amp;"r"", ""darkgreen""; ""lowcolor"", ""red""}), """")"),"")</f>
        <v/>
      </c>
      <c r="B104" s="17" t="str">
        <f t="shared" si="4"/>
        <v/>
      </c>
      <c r="C104" s="1" t="s">
        <v>3263</v>
      </c>
      <c r="D104" s="30" t="str">
        <f>IFERROR(__xludf.DUMMYFUNCTION("IFERROR(GOOGLEFINANCE(C104, ""NAME""))"),"Perpetua Resources Corp")</f>
        <v>Perpetua Resources Corp</v>
      </c>
      <c r="E104" s="30" t="s">
        <v>3008</v>
      </c>
      <c r="F104" s="33" t="str">
        <f>IFERROR(__xludf.DUMMYFUNCTION("( (GOOGLEFINANCE(C104, ""price"") - Q104) / Q104 ) / (R104 / 100)"),"Loading...")</f>
        <v>Loading...</v>
      </c>
      <c r="G104" s="20" t="str">
        <f>IFERROR(__xludf.DUMMYFUNCTION("AVERAGE(ARRAYFORMULA(100 * (QUERY(GOOGLEFINANCE(C104, ""high"", TODAY()-40, TODAY()), ""SELECT Col2 WHERE Col2 IS NOT NULL ORDER BY Col1 DESC LIMIT 20"", 0) / QUERY(GOOGLEFINANCE(C104, ""low"", TODAY()-40, TODAY()), ""SELECT Col2 WHERE Col2 IS NOT NULL OR"&amp;"DER BY Col1 DESC LIMIT 20"", 0) - 1)))"),"#N/A")</f>
        <v>#N/A</v>
      </c>
      <c r="H104" s="35" t="str">
        <f t="shared" si="35"/>
        <v>Illiquid</v>
      </c>
      <c r="I104" s="35" t="str">
        <f t="shared" si="7"/>
        <v>RVol Required</v>
      </c>
      <c r="J104" s="37">
        <f>IFERROR(__xludf.DUMMYFUNCTION("IFERROR(
  IF(C104="""",, 
    IFERROR(
      GOOGLEFINANCE(C104, ""price"") * GOOGLEFINANCE(C104, ""volumeavg""), 
      GOOGLEFINANCE(C104, ""price"") * AVERAGE(QUERY(GOOGLEFINANCE(C104, ""volume"", TODAY()-40, TODAY()), ""SELECT Col2 WHERE Col2 IS NOT "&amp;"NULL ORDER BY Col1 DESC LIMIT 20"", 0))
    )
  ), 
"""")"),1.8663129720000003E7)</f>
        <v>18663129.72</v>
      </c>
      <c r="K104" s="21">
        <f>IFERROR(__xludf.DUMMYFUNCTION("IFERROR(GOOGLEFINANCE(C104, ""changepct"") / 100, """")"),0.0375)</f>
        <v>0.0375</v>
      </c>
      <c r="L104" s="21" t="str">
        <f>IFERROR(__xludf.DUMMYFUNCTION("IFERROR((GOOGLEFINANCE(C104, ""price"") / INDEX(GOOGLEFINANCE(C104, ""price"", TODAY()-7, TODAY()), 2, 2)) - 1, """")"),"")</f>
        <v/>
      </c>
      <c r="M104" s="21" t="str">
        <f>IFERROR(__xludf.DUMMYFUNCTION("IFERROR((GOOGLEFINANCE(C104, ""price"") / INDEX(GOOGLEFINANCE(C104, ""price"", EDATE(TODAY(), -1), TODAY()), 2, 2)) - 1, """")"),"")</f>
        <v/>
      </c>
      <c r="N104" s="21" t="str">
        <f>IFERROR(__xludf.DUMMYFUNCTION("IFERROR((GOOGLEFINANCE(C104, ""price"") / INDEX(GOOGLEFINANCE(C104, ""price"", EDATE(TODAY(), -3), TODAY()), 2, 2)) - 1, """")"),"")</f>
        <v/>
      </c>
      <c r="O104" s="21" t="str">
        <f>IFERROR(__xludf.DUMMYFUNCTION("IFERROR((GOOGLEFINANCE(C104, ""price"") / INDEX(GOOGLEFINANCE(C104, ""price"", EDATE(TODAY(), -6), TODAY()), 2, 2)) - 1, """")"),"")</f>
        <v/>
      </c>
      <c r="P104" s="21" t="str">
        <f>IFERROR(__xludf.DUMMYFUNCTION("IFERROR((GOOGLEFINANCE(C104, ""price"") / INDEX(GOOGLEFINANCE(C104, ""price"", EDATE(TODAY(), -12), TODAY()), 2, 2)) - 1, """")"),"")</f>
        <v/>
      </c>
      <c r="Q104" s="6" t="str">
        <f>IFERROR(__xludf.DUMMYFUNCTION("AVERAGE(QUERY(GOOGLEFINANCE(C104, ""price"", TODAY()-80, TODAY()), ""SELECT Col2 WHERE Col2 IS NOT NULL ORDER BY Col1 DESC LIMIT 50"", 0))"),"#N/A")</f>
        <v>#N/A</v>
      </c>
      <c r="R104" s="24" t="str">
        <f>IFERROR(__xludf.DUMMYFUNCTION("IFERROR(
  LET(
    data, QUERY(GOOGLEFINANCE(C104,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GOOGLEFINANCE(C104, ""price"")) * 100,
    IF(calc=0, G104, calc)
  ), 
G104)"),"#N/A")</f>
        <v>#N/A</v>
      </c>
      <c r="S104" s="8" t="s">
        <v>15</v>
      </c>
      <c r="T104" s="26" t="str">
        <f>IFERROR(__xludf.DUMMYFUNCTION("IFERROR(TRANSPOSE(QUERY(IFERROR(SORT(GOOGLEFINANCE(C104, ""price"", WORKDAY(TODAY(), -40), TODAY()), 1, FALSE)), ""select Col2 where Col2 is not null limit 22 label Col2 ''"", 0)), """")"),"")</f>
        <v/>
      </c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8"/>
      <c r="AO104" s="28"/>
      <c r="AP104" s="29"/>
      <c r="AQ104" s="29" t="str">
        <f t="shared" ref="AQ104:BL104" si="108">T104/T$2</f>
        <v>#N/A</v>
      </c>
      <c r="AR104" s="29" t="str">
        <f t="shared" si="108"/>
        <v>#DIV/0!</v>
      </c>
      <c r="AS104" s="29" t="str">
        <f t="shared" si="108"/>
        <v>#DIV/0!</v>
      </c>
      <c r="AT104" s="29" t="str">
        <f t="shared" si="108"/>
        <v>#DIV/0!</v>
      </c>
      <c r="AU104" s="29" t="str">
        <f t="shared" si="108"/>
        <v>#DIV/0!</v>
      </c>
      <c r="AV104" s="29" t="str">
        <f t="shared" si="108"/>
        <v>#DIV/0!</v>
      </c>
      <c r="AW104" s="29" t="str">
        <f t="shared" si="108"/>
        <v>#DIV/0!</v>
      </c>
      <c r="AX104" s="29" t="str">
        <f t="shared" si="108"/>
        <v>#DIV/0!</v>
      </c>
      <c r="AY104" s="29" t="str">
        <f t="shared" si="108"/>
        <v>#DIV/0!</v>
      </c>
      <c r="AZ104" s="29" t="str">
        <f t="shared" si="108"/>
        <v>#DIV/0!</v>
      </c>
      <c r="BA104" s="29" t="str">
        <f t="shared" si="108"/>
        <v>#DIV/0!</v>
      </c>
      <c r="BB104" s="29" t="str">
        <f t="shared" si="108"/>
        <v>#DIV/0!</v>
      </c>
      <c r="BC104" s="29" t="str">
        <f t="shared" si="108"/>
        <v>#DIV/0!</v>
      </c>
      <c r="BD104" s="29" t="str">
        <f t="shared" si="108"/>
        <v>#DIV/0!</v>
      </c>
      <c r="BE104" s="29" t="str">
        <f t="shared" si="108"/>
        <v>#DIV/0!</v>
      </c>
      <c r="BF104" s="29" t="str">
        <f t="shared" si="108"/>
        <v>#DIV/0!</v>
      </c>
      <c r="BG104" s="29" t="str">
        <f t="shared" si="108"/>
        <v>#DIV/0!</v>
      </c>
      <c r="BH104" s="29" t="str">
        <f t="shared" si="108"/>
        <v>#DIV/0!</v>
      </c>
      <c r="BI104" s="29" t="str">
        <f t="shared" si="108"/>
        <v>#DIV/0!</v>
      </c>
      <c r="BJ104" s="29" t="str">
        <f t="shared" si="108"/>
        <v>#DIV/0!</v>
      </c>
      <c r="BK104" s="29" t="str">
        <f t="shared" si="108"/>
        <v>#DIV/0!</v>
      </c>
      <c r="BL104" s="29" t="str">
        <f t="shared" si="108"/>
        <v>#DIV/0!</v>
      </c>
      <c r="BM104" s="29" t="str">
        <f t="shared" si="3"/>
        <v>#DIV/0!</v>
      </c>
    </row>
    <row r="105">
      <c r="A105" s="16" t="str">
        <f>IFERROR(__xludf.DUMMYFUNCTION("IFERROR(SPARKLINE(SORT(MAP(TRANSPOSE(AQ105:BL105), LAMBDA(val, IF(ISNUMBER(val), PERCENTRANK(AQ105:BL105, val)+0.01, 0))), SEQUENCE(COLUMNS(AQ105:BL105)), FALSE), {""charttype"",""column""; ""color"",""chartreuse""; ""ymin"", 0; ""ymax"", 1.01; ""highcolo"&amp;"r"", ""darkgreen""; ""lowcolor"", ""red""}), """")"),"")</f>
        <v/>
      </c>
      <c r="B105" s="17" t="str">
        <f t="shared" si="4"/>
        <v/>
      </c>
      <c r="C105" s="1" t="s">
        <v>3265</v>
      </c>
      <c r="D105" s="30" t="str">
        <f>IFERROR(__xludf.DUMMYFUNCTION("IFERROR(GOOGLEFINANCE(C105, ""NAME""))"),"GoldMining Inc")</f>
        <v>GoldMining Inc</v>
      </c>
      <c r="E105" s="30" t="s">
        <v>2928</v>
      </c>
      <c r="F105" s="33" t="str">
        <f>IFERROR(__xludf.DUMMYFUNCTION("( (GOOGLEFINANCE(C105, ""price"") - Q105) / Q105 ) / (R105 / 100)"),"Loading...")</f>
        <v>Loading...</v>
      </c>
      <c r="G105" s="20" t="str">
        <f>IFERROR(__xludf.DUMMYFUNCTION("AVERAGE(ARRAYFORMULA(100 * (QUERY(GOOGLEFINANCE(C105, ""high"", TODAY()-40, TODAY()), ""SELECT Col2 WHERE Col2 IS NOT NULL ORDER BY Col1 DESC LIMIT 20"", 0) / QUERY(GOOGLEFINANCE(C105, ""low"", TODAY()-40, TODAY()), ""SELECT Col2 WHERE Col2 IS NOT NULL OR"&amp;"DER BY Col1 DESC LIMIT 20"", 0) - 1)))"),"#N/A")</f>
        <v>#N/A</v>
      </c>
      <c r="H105" s="35" t="str">
        <f t="shared" si="35"/>
        <v>Illiquid</v>
      </c>
      <c r="I105" s="35" t="str">
        <f t="shared" si="7"/>
        <v>RVol Required</v>
      </c>
      <c r="J105" s="37">
        <f>IFERROR(__xludf.DUMMYFUNCTION("IFERROR(
  IF(C105="""",, 
    IFERROR(
      GOOGLEFINANCE(C105, ""price"") * GOOGLEFINANCE(C105, ""volumeavg""), 
      GOOGLEFINANCE(C105, ""price"") * AVERAGE(QUERY(GOOGLEFINANCE(C105, ""volume"", TODAY()-40, TODAY()), ""SELECT Col2 WHERE Col2 IS NOT "&amp;"NULL ORDER BY Col1 DESC LIMIT 20"", 0))
    )
  ), 
"""")"),435318.30000000005)</f>
        <v>435318.3</v>
      </c>
      <c r="K105" s="21">
        <f>IFERROR(__xludf.DUMMYFUNCTION("IFERROR(GOOGLEFINANCE(C105, ""changepct"") / 100, """")"),0.0074)</f>
        <v>0.0074</v>
      </c>
      <c r="L105" s="21" t="str">
        <f>IFERROR(__xludf.DUMMYFUNCTION("IFERROR((GOOGLEFINANCE(C105, ""price"") / INDEX(GOOGLEFINANCE(C105, ""price"", TODAY()-7, TODAY()), 2, 2)) - 1, """")"),"")</f>
        <v/>
      </c>
      <c r="M105" s="21" t="str">
        <f>IFERROR(__xludf.DUMMYFUNCTION("IFERROR((GOOGLEFINANCE(C105, ""price"") / INDEX(GOOGLEFINANCE(C105, ""price"", EDATE(TODAY(), -1), TODAY()), 2, 2)) - 1, """")"),"")</f>
        <v/>
      </c>
      <c r="N105" s="21" t="str">
        <f>IFERROR(__xludf.DUMMYFUNCTION("IFERROR((GOOGLEFINANCE(C105, ""price"") / INDEX(GOOGLEFINANCE(C105, ""price"", EDATE(TODAY(), -3), TODAY()), 2, 2)) - 1, """")"),"")</f>
        <v/>
      </c>
      <c r="O105" s="21" t="str">
        <f>IFERROR(__xludf.DUMMYFUNCTION("IFERROR((GOOGLEFINANCE(C105, ""price"") / INDEX(GOOGLEFINANCE(C105, ""price"", EDATE(TODAY(), -6), TODAY()), 2, 2)) - 1, """")"),"")</f>
        <v/>
      </c>
      <c r="P105" s="21" t="str">
        <f>IFERROR(__xludf.DUMMYFUNCTION("IFERROR((GOOGLEFINANCE(C105, ""price"") / INDEX(GOOGLEFINANCE(C105, ""price"", EDATE(TODAY(), -12), TODAY()), 2, 2)) - 1, """")"),"")</f>
        <v/>
      </c>
      <c r="Q105" s="6" t="str">
        <f>IFERROR(__xludf.DUMMYFUNCTION("AVERAGE(QUERY(GOOGLEFINANCE(C105, ""price"", TODAY()-80, TODAY()), ""SELECT Col2 WHERE Col2 IS NOT NULL ORDER BY Col1 DESC LIMIT 50"", 0))"),"#N/A")</f>
        <v>#N/A</v>
      </c>
      <c r="R105" s="24" t="str">
        <f>IFERROR(__xludf.DUMMYFUNCTION("IFERROR(
  LET(
    data, QUERY(GOOGLEFINANCE(C105,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GOOGLEFINANCE(C105, ""price"")) * 100,
    IF(calc=0, G105, calc)
  ), 
G105)"),"#N/A")</f>
        <v>#N/A</v>
      </c>
      <c r="S105" s="8" t="s">
        <v>15</v>
      </c>
      <c r="T105" s="26" t="str">
        <f>IFERROR(__xludf.DUMMYFUNCTION("IFERROR(TRANSPOSE(QUERY(IFERROR(SORT(GOOGLEFINANCE(C105, ""price"", WORKDAY(TODAY(), -40), TODAY()), 1, FALSE)), ""select Col2 where Col2 is not null limit 22 label Col2 ''"", 0)), """")"),"")</f>
        <v/>
      </c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8"/>
      <c r="AO105" s="28"/>
      <c r="AP105" s="29"/>
      <c r="AQ105" s="29" t="str">
        <f t="shared" ref="AQ105:BL105" si="109">T105/T$2</f>
        <v>#N/A</v>
      </c>
      <c r="AR105" s="29" t="str">
        <f t="shared" si="109"/>
        <v>#DIV/0!</v>
      </c>
      <c r="AS105" s="29" t="str">
        <f t="shared" si="109"/>
        <v>#DIV/0!</v>
      </c>
      <c r="AT105" s="29" t="str">
        <f t="shared" si="109"/>
        <v>#DIV/0!</v>
      </c>
      <c r="AU105" s="29" t="str">
        <f t="shared" si="109"/>
        <v>#DIV/0!</v>
      </c>
      <c r="AV105" s="29" t="str">
        <f t="shared" si="109"/>
        <v>#DIV/0!</v>
      </c>
      <c r="AW105" s="29" t="str">
        <f t="shared" si="109"/>
        <v>#DIV/0!</v>
      </c>
      <c r="AX105" s="29" t="str">
        <f t="shared" si="109"/>
        <v>#DIV/0!</v>
      </c>
      <c r="AY105" s="29" t="str">
        <f t="shared" si="109"/>
        <v>#DIV/0!</v>
      </c>
      <c r="AZ105" s="29" t="str">
        <f t="shared" si="109"/>
        <v>#DIV/0!</v>
      </c>
      <c r="BA105" s="29" t="str">
        <f t="shared" si="109"/>
        <v>#DIV/0!</v>
      </c>
      <c r="BB105" s="29" t="str">
        <f t="shared" si="109"/>
        <v>#DIV/0!</v>
      </c>
      <c r="BC105" s="29" t="str">
        <f t="shared" si="109"/>
        <v>#DIV/0!</v>
      </c>
      <c r="BD105" s="29" t="str">
        <f t="shared" si="109"/>
        <v>#DIV/0!</v>
      </c>
      <c r="BE105" s="29" t="str">
        <f t="shared" si="109"/>
        <v>#DIV/0!</v>
      </c>
      <c r="BF105" s="29" t="str">
        <f t="shared" si="109"/>
        <v>#DIV/0!</v>
      </c>
      <c r="BG105" s="29" t="str">
        <f t="shared" si="109"/>
        <v>#DIV/0!</v>
      </c>
      <c r="BH105" s="29" t="str">
        <f t="shared" si="109"/>
        <v>#DIV/0!</v>
      </c>
      <c r="BI105" s="29" t="str">
        <f t="shared" si="109"/>
        <v>#DIV/0!</v>
      </c>
      <c r="BJ105" s="29" t="str">
        <f t="shared" si="109"/>
        <v>#DIV/0!</v>
      </c>
      <c r="BK105" s="29" t="str">
        <f t="shared" si="109"/>
        <v>#DIV/0!</v>
      </c>
      <c r="BL105" s="29" t="str">
        <f t="shared" si="109"/>
        <v>#DIV/0!</v>
      </c>
      <c r="BM105" s="29" t="str">
        <f t="shared" si="3"/>
        <v>#DIV/0!</v>
      </c>
    </row>
    <row r="106">
      <c r="A106" s="16" t="str">
        <f>IFERROR(__xludf.DUMMYFUNCTION("IFERROR(SPARKLINE(SORT(MAP(TRANSPOSE(AQ106:BL106), LAMBDA(val, IF(ISNUMBER(val), PERCENTRANK(AQ106:BL106, val)+0.01, 0))), SEQUENCE(COLUMNS(AQ106:BL106)), FALSE), {""charttype"",""column""; ""color"",""chartreuse""; ""ymin"", 0; ""ymax"", 1.01; ""highcolo"&amp;"r"", ""darkgreen""; ""lowcolor"", ""red""}), """")"),"")</f>
        <v/>
      </c>
      <c r="B106" s="17" t="str">
        <f t="shared" si="4"/>
        <v/>
      </c>
      <c r="C106" s="1" t="s">
        <v>3267</v>
      </c>
      <c r="D106" s="30" t="str">
        <f>IFERROR(__xludf.DUMMYFUNCTION("IFERROR(GOOGLEFINANCE(C106, ""NAME""))"),"Kaiser Aluminum Corp")</f>
        <v>Kaiser Aluminum Corp</v>
      </c>
      <c r="E106" s="30" t="s">
        <v>3140</v>
      </c>
      <c r="F106" s="33" t="str">
        <f>IFERROR(__xludf.DUMMYFUNCTION("( (GOOGLEFINANCE(C106, ""price"") - Q106) / Q106 ) / (R106 / 100)"),"Loading...")</f>
        <v>Loading...</v>
      </c>
      <c r="G106" s="20" t="str">
        <f>IFERROR(__xludf.DUMMYFUNCTION("AVERAGE(ARRAYFORMULA(100 * (QUERY(GOOGLEFINANCE(C106, ""high"", TODAY()-40, TODAY()), ""SELECT Col2 WHERE Col2 IS NOT NULL ORDER BY Col1 DESC LIMIT 20"", 0) / QUERY(GOOGLEFINANCE(C106, ""low"", TODAY()-40, TODAY()), ""SELECT Col2 WHERE Col2 IS NOT NULL OR"&amp;"DER BY Col1 DESC LIMIT 20"", 0) - 1)))"),"#N/A")</f>
        <v>#N/A</v>
      </c>
      <c r="H106" s="35" t="str">
        <f t="shared" si="35"/>
        <v>Illiquid</v>
      </c>
      <c r="I106" s="35" t="str">
        <f t="shared" si="7"/>
        <v>RVol Required</v>
      </c>
      <c r="J106" s="37">
        <f>IFERROR(__xludf.DUMMYFUNCTION("IFERROR(
  IF(C106="""",, 
    IFERROR(
      GOOGLEFINANCE(C106, ""price"") * GOOGLEFINANCE(C106, ""volumeavg""), 
      GOOGLEFINANCE(C106, ""price"") * AVERAGE(QUERY(GOOGLEFINANCE(C106, ""volume"", TODAY()-40, TODAY()), ""SELECT Col2 WHERE Col2 IS NOT "&amp;"NULL ORDER BY Col1 DESC LIMIT 20"", 0))
    )
  ), 
"""")"),2.87882585E7)</f>
        <v>28788258.5</v>
      </c>
      <c r="K106" s="21">
        <f>IFERROR(__xludf.DUMMYFUNCTION("IFERROR(GOOGLEFINANCE(C106, ""changepct"") / 100, """")"),-0.0079)</f>
        <v>-0.0079</v>
      </c>
      <c r="L106" s="21" t="str">
        <f>IFERROR(__xludf.DUMMYFUNCTION("IFERROR((GOOGLEFINANCE(C106, ""price"") / INDEX(GOOGLEFINANCE(C106, ""price"", TODAY()-7, TODAY()), 2, 2)) - 1, """")"),"")</f>
        <v/>
      </c>
      <c r="M106" s="21" t="str">
        <f>IFERROR(__xludf.DUMMYFUNCTION("IFERROR((GOOGLEFINANCE(C106, ""price"") / INDEX(GOOGLEFINANCE(C106, ""price"", EDATE(TODAY(), -1), TODAY()), 2, 2)) - 1, """")"),"")</f>
        <v/>
      </c>
      <c r="N106" s="21" t="str">
        <f>IFERROR(__xludf.DUMMYFUNCTION("IFERROR((GOOGLEFINANCE(C106, ""price"") / INDEX(GOOGLEFINANCE(C106, ""price"", EDATE(TODAY(), -3), TODAY()), 2, 2)) - 1, """")"),"")</f>
        <v/>
      </c>
      <c r="O106" s="21" t="str">
        <f>IFERROR(__xludf.DUMMYFUNCTION("IFERROR((GOOGLEFINANCE(C106, ""price"") / INDEX(GOOGLEFINANCE(C106, ""price"", EDATE(TODAY(), -6), TODAY()), 2, 2)) - 1, """")"),"")</f>
        <v/>
      </c>
      <c r="P106" s="21" t="str">
        <f>IFERROR(__xludf.DUMMYFUNCTION("IFERROR((GOOGLEFINANCE(C106, ""price"") / INDEX(GOOGLEFINANCE(C106, ""price"", EDATE(TODAY(), -12), TODAY()), 2, 2)) - 1, """")"),"")</f>
        <v/>
      </c>
      <c r="Q106" s="6" t="str">
        <f>IFERROR(__xludf.DUMMYFUNCTION("AVERAGE(QUERY(GOOGLEFINANCE(C106, ""price"", TODAY()-80, TODAY()), ""SELECT Col2 WHERE Col2 IS NOT NULL ORDER BY Col1 DESC LIMIT 50"", 0))"),"#N/A")</f>
        <v>#N/A</v>
      </c>
      <c r="R106" s="24" t="str">
        <f>IFERROR(__xludf.DUMMYFUNCTION("IFERROR(
  LET(
    data, QUERY(GOOGLEFINANCE(C106,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GOOGLEFINANCE(C106, ""price"")) * 100,
    IF(calc=0, G106, calc)
  ), 
G106)"),"#N/A")</f>
        <v>#N/A</v>
      </c>
      <c r="S106" s="8" t="s">
        <v>15</v>
      </c>
      <c r="T106" s="26" t="str">
        <f>IFERROR(__xludf.DUMMYFUNCTION("IFERROR(TRANSPOSE(QUERY(IFERROR(SORT(GOOGLEFINANCE(C106, ""price"", WORKDAY(TODAY(), -40), TODAY()), 1, FALSE)), ""select Col2 where Col2 is not null limit 22 label Col2 ''"", 0)), """")"),"")</f>
        <v/>
      </c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8"/>
      <c r="AO106" s="28"/>
      <c r="AP106" s="29"/>
      <c r="AQ106" s="29" t="str">
        <f t="shared" ref="AQ106:BL106" si="110">T106/T$2</f>
        <v>#N/A</v>
      </c>
      <c r="AR106" s="29" t="str">
        <f t="shared" si="110"/>
        <v>#DIV/0!</v>
      </c>
      <c r="AS106" s="29" t="str">
        <f t="shared" si="110"/>
        <v>#DIV/0!</v>
      </c>
      <c r="AT106" s="29" t="str">
        <f t="shared" si="110"/>
        <v>#DIV/0!</v>
      </c>
      <c r="AU106" s="29" t="str">
        <f t="shared" si="110"/>
        <v>#DIV/0!</v>
      </c>
      <c r="AV106" s="29" t="str">
        <f t="shared" si="110"/>
        <v>#DIV/0!</v>
      </c>
      <c r="AW106" s="29" t="str">
        <f t="shared" si="110"/>
        <v>#DIV/0!</v>
      </c>
      <c r="AX106" s="29" t="str">
        <f t="shared" si="110"/>
        <v>#DIV/0!</v>
      </c>
      <c r="AY106" s="29" t="str">
        <f t="shared" si="110"/>
        <v>#DIV/0!</v>
      </c>
      <c r="AZ106" s="29" t="str">
        <f t="shared" si="110"/>
        <v>#DIV/0!</v>
      </c>
      <c r="BA106" s="29" t="str">
        <f t="shared" si="110"/>
        <v>#DIV/0!</v>
      </c>
      <c r="BB106" s="29" t="str">
        <f t="shared" si="110"/>
        <v>#DIV/0!</v>
      </c>
      <c r="BC106" s="29" t="str">
        <f t="shared" si="110"/>
        <v>#DIV/0!</v>
      </c>
      <c r="BD106" s="29" t="str">
        <f t="shared" si="110"/>
        <v>#DIV/0!</v>
      </c>
      <c r="BE106" s="29" t="str">
        <f t="shared" si="110"/>
        <v>#DIV/0!</v>
      </c>
      <c r="BF106" s="29" t="str">
        <f t="shared" si="110"/>
        <v>#DIV/0!</v>
      </c>
      <c r="BG106" s="29" t="str">
        <f t="shared" si="110"/>
        <v>#DIV/0!</v>
      </c>
      <c r="BH106" s="29" t="str">
        <f t="shared" si="110"/>
        <v>#DIV/0!</v>
      </c>
      <c r="BI106" s="29" t="str">
        <f t="shared" si="110"/>
        <v>#DIV/0!</v>
      </c>
      <c r="BJ106" s="29" t="str">
        <f t="shared" si="110"/>
        <v>#DIV/0!</v>
      </c>
      <c r="BK106" s="29" t="str">
        <f t="shared" si="110"/>
        <v>#DIV/0!</v>
      </c>
      <c r="BL106" s="29" t="str">
        <f t="shared" si="110"/>
        <v>#DIV/0!</v>
      </c>
      <c r="BM106" s="29" t="str">
        <f t="shared" si="3"/>
        <v>#DIV/0!</v>
      </c>
    </row>
    <row r="107">
      <c r="A107" s="16" t="str">
        <f>IFERROR(__xludf.DUMMYFUNCTION("IFERROR(SPARKLINE(SORT(MAP(TRANSPOSE(AQ107:BL107), LAMBDA(val, IF(ISNUMBER(val), PERCENTRANK(AQ107:BL107, val)+0.01, 0))), SEQUENCE(COLUMNS(AQ107:BL107)), FALSE), {""charttype"",""column""; ""color"",""chartreuse""; ""ymin"", 0; ""ymax"", 1.01; ""highcolo"&amp;"r"", ""darkgreen""; ""lowcolor"", ""red""}), """")"),"")</f>
        <v/>
      </c>
      <c r="B107" s="17" t="str">
        <f t="shared" si="4"/>
        <v/>
      </c>
      <c r="C107" s="1" t="s">
        <v>3269</v>
      </c>
      <c r="D107" s="30" t="str">
        <f>IFERROR(__xludf.DUMMYFUNCTION("IFERROR(GOOGLEFINANCE(C107, ""NAME""))"),"DRDGOLD Ltd")</f>
        <v>DRDGOLD Ltd</v>
      </c>
      <c r="E107" s="30" t="s">
        <v>2928</v>
      </c>
      <c r="F107" s="33" t="str">
        <f>IFERROR(__xludf.DUMMYFUNCTION("( (GOOGLEFINANCE(C107, ""price"") - Q107) / Q107 ) / (R107 / 100)"),"Loading...")</f>
        <v>Loading...</v>
      </c>
      <c r="G107" s="20" t="str">
        <f>IFERROR(__xludf.DUMMYFUNCTION("AVERAGE(ARRAYFORMULA(100 * (QUERY(GOOGLEFINANCE(C107, ""high"", TODAY()-40, TODAY()), ""SELECT Col2 WHERE Col2 IS NOT NULL ORDER BY Col1 DESC LIMIT 20"", 0) / QUERY(GOOGLEFINANCE(C107, ""low"", TODAY()-40, TODAY()), ""SELECT Col2 WHERE Col2 IS NOT NULL OR"&amp;"DER BY Col1 DESC LIMIT 20"", 0) - 1)))"),"#N/A")</f>
        <v>#N/A</v>
      </c>
      <c r="H107" s="35" t="str">
        <f t="shared" si="35"/>
        <v>Illiquid</v>
      </c>
      <c r="I107" s="35" t="str">
        <f t="shared" si="7"/>
        <v>RVol Required</v>
      </c>
      <c r="J107" s="37">
        <f>IFERROR(__xludf.DUMMYFUNCTION("IFERROR(
  IF(C107="""",, 
    IFERROR(
      GOOGLEFINANCE(C107, ""price"") * GOOGLEFINANCE(C107, ""volumeavg""), 
      GOOGLEFINANCE(C107, ""price"") * AVERAGE(QUERY(GOOGLEFINANCE(C107, ""volume"", TODAY()-40, TODAY()), ""SELECT Col2 WHERE Col2 IS NOT "&amp;"NULL ORDER BY Col1 DESC LIMIT 20"", 0))
    )
  ), 
"""")"),6177456.6)</f>
        <v>6177456.6</v>
      </c>
      <c r="K107" s="21">
        <f>IFERROR(__xludf.DUMMYFUNCTION("IFERROR(GOOGLEFINANCE(C107, ""changepct"") / 100, """")"),0.0088)</f>
        <v>0.0088</v>
      </c>
      <c r="L107" s="21" t="str">
        <f>IFERROR(__xludf.DUMMYFUNCTION("IFERROR((GOOGLEFINANCE(C107, ""price"") / INDEX(GOOGLEFINANCE(C107, ""price"", TODAY()-7, TODAY()), 2, 2)) - 1, """")"),"")</f>
        <v/>
      </c>
      <c r="M107" s="21" t="str">
        <f>IFERROR(__xludf.DUMMYFUNCTION("IFERROR((GOOGLEFINANCE(C107, ""price"") / INDEX(GOOGLEFINANCE(C107, ""price"", EDATE(TODAY(), -1), TODAY()), 2, 2)) - 1, """")"),"")</f>
        <v/>
      </c>
      <c r="N107" s="21" t="str">
        <f>IFERROR(__xludf.DUMMYFUNCTION("IFERROR((GOOGLEFINANCE(C107, ""price"") / INDEX(GOOGLEFINANCE(C107, ""price"", EDATE(TODAY(), -3), TODAY()), 2, 2)) - 1, """")"),"")</f>
        <v/>
      </c>
      <c r="O107" s="21" t="str">
        <f>IFERROR(__xludf.DUMMYFUNCTION("IFERROR((GOOGLEFINANCE(C107, ""price"") / INDEX(GOOGLEFINANCE(C107, ""price"", EDATE(TODAY(), -6), TODAY()), 2, 2)) - 1, """")"),"")</f>
        <v/>
      </c>
      <c r="P107" s="21" t="str">
        <f>IFERROR(__xludf.DUMMYFUNCTION("IFERROR((GOOGLEFINANCE(C107, ""price"") / INDEX(GOOGLEFINANCE(C107, ""price"", EDATE(TODAY(), -12), TODAY()), 2, 2)) - 1, """")"),"")</f>
        <v/>
      </c>
      <c r="Q107" s="6" t="str">
        <f>IFERROR(__xludf.DUMMYFUNCTION("AVERAGE(QUERY(GOOGLEFINANCE(C107, ""price"", TODAY()-80, TODAY()), ""SELECT Col2 WHERE Col2 IS NOT NULL ORDER BY Col1 DESC LIMIT 50"", 0))"),"#N/A")</f>
        <v>#N/A</v>
      </c>
      <c r="R107" s="24" t="str">
        <f>IFERROR(__xludf.DUMMYFUNCTION("IFERROR(
  LET(
    data, QUERY(GOOGLEFINANCE(C107,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GOOGLEFINANCE(C107, ""price"")) * 100,
    IF(calc=0, G107, calc)
  ), 
G107)"),"#N/A")</f>
        <v>#N/A</v>
      </c>
      <c r="S107" s="8" t="s">
        <v>15</v>
      </c>
      <c r="T107" s="26" t="str">
        <f>IFERROR(__xludf.DUMMYFUNCTION("IFERROR(TRANSPOSE(QUERY(IFERROR(SORT(GOOGLEFINANCE(C107, ""price"", WORKDAY(TODAY(), -40), TODAY()), 1, FALSE)), ""select Col2 where Col2 is not null limit 22 label Col2 ''"", 0)), """")"),"")</f>
        <v/>
      </c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8"/>
      <c r="AO107" s="28"/>
      <c r="AP107" s="29"/>
      <c r="AQ107" s="29" t="str">
        <f t="shared" ref="AQ107:BL107" si="111">T107/T$2</f>
        <v>#N/A</v>
      </c>
      <c r="AR107" s="29" t="str">
        <f t="shared" si="111"/>
        <v>#DIV/0!</v>
      </c>
      <c r="AS107" s="29" t="str">
        <f t="shared" si="111"/>
        <v>#DIV/0!</v>
      </c>
      <c r="AT107" s="29" t="str">
        <f t="shared" si="111"/>
        <v>#DIV/0!</v>
      </c>
      <c r="AU107" s="29" t="str">
        <f t="shared" si="111"/>
        <v>#DIV/0!</v>
      </c>
      <c r="AV107" s="29" t="str">
        <f t="shared" si="111"/>
        <v>#DIV/0!</v>
      </c>
      <c r="AW107" s="29" t="str">
        <f t="shared" si="111"/>
        <v>#DIV/0!</v>
      </c>
      <c r="AX107" s="29" t="str">
        <f t="shared" si="111"/>
        <v>#DIV/0!</v>
      </c>
      <c r="AY107" s="29" t="str">
        <f t="shared" si="111"/>
        <v>#DIV/0!</v>
      </c>
      <c r="AZ107" s="29" t="str">
        <f t="shared" si="111"/>
        <v>#DIV/0!</v>
      </c>
      <c r="BA107" s="29" t="str">
        <f t="shared" si="111"/>
        <v>#DIV/0!</v>
      </c>
      <c r="BB107" s="29" t="str">
        <f t="shared" si="111"/>
        <v>#DIV/0!</v>
      </c>
      <c r="BC107" s="29" t="str">
        <f t="shared" si="111"/>
        <v>#DIV/0!</v>
      </c>
      <c r="BD107" s="29" t="str">
        <f t="shared" si="111"/>
        <v>#DIV/0!</v>
      </c>
      <c r="BE107" s="29" t="str">
        <f t="shared" si="111"/>
        <v>#DIV/0!</v>
      </c>
      <c r="BF107" s="29" t="str">
        <f t="shared" si="111"/>
        <v>#DIV/0!</v>
      </c>
      <c r="BG107" s="29" t="str">
        <f t="shared" si="111"/>
        <v>#DIV/0!</v>
      </c>
      <c r="BH107" s="29" t="str">
        <f t="shared" si="111"/>
        <v>#DIV/0!</v>
      </c>
      <c r="BI107" s="29" t="str">
        <f t="shared" si="111"/>
        <v>#DIV/0!</v>
      </c>
      <c r="BJ107" s="29" t="str">
        <f t="shared" si="111"/>
        <v>#DIV/0!</v>
      </c>
      <c r="BK107" s="29" t="str">
        <f t="shared" si="111"/>
        <v>#DIV/0!</v>
      </c>
      <c r="BL107" s="29" t="str">
        <f t="shared" si="111"/>
        <v>#DIV/0!</v>
      </c>
      <c r="BM107" s="29" t="str">
        <f t="shared" si="3"/>
        <v>#DIV/0!</v>
      </c>
    </row>
    <row r="108">
      <c r="A108" s="16" t="str">
        <f>IFERROR(__xludf.DUMMYFUNCTION("IFERROR(SPARKLINE(SORT(MAP(TRANSPOSE(AQ108:BL108), LAMBDA(val, IF(ISNUMBER(val), PERCENTRANK(AQ108:BL108, val)+0.01, 0))), SEQUENCE(COLUMNS(AQ108:BL108)), FALSE), {""charttype"",""column""; ""color"",""chartreuse""; ""ymin"", 0; ""ymax"", 1.01; ""highcolo"&amp;"r"", ""darkgreen""; ""lowcolor"", ""red""}), """")"),"")</f>
        <v/>
      </c>
      <c r="B108" s="17" t="str">
        <f t="shared" si="4"/>
        <v/>
      </c>
      <c r="C108" s="1" t="s">
        <v>3272</v>
      </c>
      <c r="D108" s="30" t="str">
        <f>IFERROR(__xludf.DUMMYFUNCTION("IFERROR(GOOGLEFINANCE(C108, ""NAME""))"),"NioCorp Developments Ltd")</f>
        <v>NioCorp Developments Ltd</v>
      </c>
      <c r="E108" s="30" t="s">
        <v>2935</v>
      </c>
      <c r="F108" s="33" t="str">
        <f>IFERROR(__xludf.DUMMYFUNCTION("( (GOOGLEFINANCE(C108, ""price"") - Q108) / Q108 ) / (R108 / 100)"),"Loading...")</f>
        <v>Loading...</v>
      </c>
      <c r="G108" s="20" t="str">
        <f>IFERROR(__xludf.DUMMYFUNCTION("AVERAGE(ARRAYFORMULA(100 * (QUERY(GOOGLEFINANCE(C108, ""high"", TODAY()-40, TODAY()), ""SELECT Col2 WHERE Col2 IS NOT NULL ORDER BY Col1 DESC LIMIT 20"", 0) / QUERY(GOOGLEFINANCE(C108, ""low"", TODAY()-40, TODAY()), ""SELECT Col2 WHERE Col2 IS NOT NULL OR"&amp;"DER BY Col1 DESC LIMIT 20"", 0) - 1)))"),"#N/A")</f>
        <v>#N/A</v>
      </c>
      <c r="H108" s="35" t="str">
        <f t="shared" si="35"/>
        <v>Illiquid</v>
      </c>
      <c r="I108" s="35" t="str">
        <f t="shared" si="7"/>
        <v>RVol Required</v>
      </c>
      <c r="J108" s="37">
        <f>IFERROR(__xludf.DUMMYFUNCTION("IFERROR(
  IF(C108="""",, 
    IFERROR(
      GOOGLEFINANCE(C108, ""price"") * GOOGLEFINANCE(C108, ""volumeavg""), 
      GOOGLEFINANCE(C108, ""price"") * AVERAGE(QUERY(GOOGLEFINANCE(C108, ""volume"", TODAY()-40, TODAY()), ""SELECT Col2 WHERE Col2 IS NOT "&amp;"NULL ORDER BY Col1 DESC LIMIT 20"", 0))
    )
  ), 
"""")"),8210137.109999999)</f>
        <v>8210137.11</v>
      </c>
      <c r="K108" s="21">
        <f>IFERROR(__xludf.DUMMYFUNCTION("IFERROR(GOOGLEFINANCE(C108, ""changepct"") / 100, """")"),-0.0414)</f>
        <v>-0.0414</v>
      </c>
      <c r="L108" s="21" t="str">
        <f>IFERROR(__xludf.DUMMYFUNCTION("IFERROR((GOOGLEFINANCE(C108, ""price"") / INDEX(GOOGLEFINANCE(C108, ""price"", TODAY()-7, TODAY()), 2, 2)) - 1, """")"),"")</f>
        <v/>
      </c>
      <c r="M108" s="21" t="str">
        <f>IFERROR(__xludf.DUMMYFUNCTION("IFERROR((GOOGLEFINANCE(C108, ""price"") / INDEX(GOOGLEFINANCE(C108, ""price"", EDATE(TODAY(), -1), TODAY()), 2, 2)) - 1, """")"),"")</f>
        <v/>
      </c>
      <c r="N108" s="21" t="str">
        <f>IFERROR(__xludf.DUMMYFUNCTION("IFERROR((GOOGLEFINANCE(C108, ""price"") / INDEX(GOOGLEFINANCE(C108, ""price"", EDATE(TODAY(), -3), TODAY()), 2, 2)) - 1, """")"),"")</f>
        <v/>
      </c>
      <c r="O108" s="21" t="str">
        <f>IFERROR(__xludf.DUMMYFUNCTION("IFERROR((GOOGLEFINANCE(C108, ""price"") / INDEX(GOOGLEFINANCE(C108, ""price"", EDATE(TODAY(), -6), TODAY()), 2, 2)) - 1, """")"),"")</f>
        <v/>
      </c>
      <c r="P108" s="21" t="str">
        <f>IFERROR(__xludf.DUMMYFUNCTION("IFERROR((GOOGLEFINANCE(C108, ""price"") / INDEX(GOOGLEFINANCE(C108, ""price"", EDATE(TODAY(), -12), TODAY()), 2, 2)) - 1, """")"),"")</f>
        <v/>
      </c>
      <c r="Q108" s="6" t="str">
        <f>IFERROR(__xludf.DUMMYFUNCTION("AVERAGE(QUERY(GOOGLEFINANCE(C108, ""price"", TODAY()-80, TODAY()), ""SELECT Col2 WHERE Col2 IS NOT NULL ORDER BY Col1 DESC LIMIT 50"", 0))"),"#N/A")</f>
        <v>#N/A</v>
      </c>
      <c r="R108" s="24" t="str">
        <f>IFERROR(__xludf.DUMMYFUNCTION("IFERROR(
  LET(
    data, QUERY(GOOGLEFINANCE(C108,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GOOGLEFINANCE(C108, ""price"")) * 100,
    IF(calc=0, G108, calc)
  ), 
G108)"),"#N/A")</f>
        <v>#N/A</v>
      </c>
      <c r="S108" s="8" t="s">
        <v>15</v>
      </c>
      <c r="T108" s="26" t="str">
        <f>IFERROR(__xludf.DUMMYFUNCTION("IFERROR(TRANSPOSE(QUERY(IFERROR(SORT(GOOGLEFINANCE(C108, ""price"", WORKDAY(TODAY(), -40), TODAY()), 1, FALSE)), ""select Col2 where Col2 is not null limit 22 label Col2 ''"", 0)), """")"),"")</f>
        <v/>
      </c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8"/>
      <c r="AO108" s="28"/>
      <c r="AP108" s="29"/>
      <c r="AQ108" s="29" t="str">
        <f t="shared" ref="AQ108:BL108" si="112">T108/T$2</f>
        <v>#N/A</v>
      </c>
      <c r="AR108" s="29" t="str">
        <f t="shared" si="112"/>
        <v>#DIV/0!</v>
      </c>
      <c r="AS108" s="29" t="str">
        <f t="shared" si="112"/>
        <v>#DIV/0!</v>
      </c>
      <c r="AT108" s="29" t="str">
        <f t="shared" si="112"/>
        <v>#DIV/0!</v>
      </c>
      <c r="AU108" s="29" t="str">
        <f t="shared" si="112"/>
        <v>#DIV/0!</v>
      </c>
      <c r="AV108" s="29" t="str">
        <f t="shared" si="112"/>
        <v>#DIV/0!</v>
      </c>
      <c r="AW108" s="29" t="str">
        <f t="shared" si="112"/>
        <v>#DIV/0!</v>
      </c>
      <c r="AX108" s="29" t="str">
        <f t="shared" si="112"/>
        <v>#DIV/0!</v>
      </c>
      <c r="AY108" s="29" t="str">
        <f t="shared" si="112"/>
        <v>#DIV/0!</v>
      </c>
      <c r="AZ108" s="29" t="str">
        <f t="shared" si="112"/>
        <v>#DIV/0!</v>
      </c>
      <c r="BA108" s="29" t="str">
        <f t="shared" si="112"/>
        <v>#DIV/0!</v>
      </c>
      <c r="BB108" s="29" t="str">
        <f t="shared" si="112"/>
        <v>#DIV/0!</v>
      </c>
      <c r="BC108" s="29" t="str">
        <f t="shared" si="112"/>
        <v>#DIV/0!</v>
      </c>
      <c r="BD108" s="29" t="str">
        <f t="shared" si="112"/>
        <v>#DIV/0!</v>
      </c>
      <c r="BE108" s="29" t="str">
        <f t="shared" si="112"/>
        <v>#DIV/0!</v>
      </c>
      <c r="BF108" s="29" t="str">
        <f t="shared" si="112"/>
        <v>#DIV/0!</v>
      </c>
      <c r="BG108" s="29" t="str">
        <f t="shared" si="112"/>
        <v>#DIV/0!</v>
      </c>
      <c r="BH108" s="29" t="str">
        <f t="shared" si="112"/>
        <v>#DIV/0!</v>
      </c>
      <c r="BI108" s="29" t="str">
        <f t="shared" si="112"/>
        <v>#DIV/0!</v>
      </c>
      <c r="BJ108" s="29" t="str">
        <f t="shared" si="112"/>
        <v>#DIV/0!</v>
      </c>
      <c r="BK108" s="29" t="str">
        <f t="shared" si="112"/>
        <v>#DIV/0!</v>
      </c>
      <c r="BL108" s="29" t="str">
        <f t="shared" si="112"/>
        <v>#DIV/0!</v>
      </c>
      <c r="BM108" s="29" t="str">
        <f t="shared" si="3"/>
        <v>#DIV/0!</v>
      </c>
    </row>
    <row r="109">
      <c r="A109" s="16" t="str">
        <f>IFERROR(__xludf.DUMMYFUNCTION("IFERROR(SPARKLINE(SORT(MAP(TRANSPOSE(AQ109:BL109), LAMBDA(val, IF(ISNUMBER(val), PERCENTRANK(AQ109:BL109, val)+0.01, 0))), SEQUENCE(COLUMNS(AQ109:BL109)), FALSE), {""charttype"",""column""; ""color"",""chartreuse""; ""ymin"", 0; ""ymax"", 1.01; ""highcolo"&amp;"r"", ""darkgreen""; ""lowcolor"", ""red""}), """")"),"")</f>
        <v/>
      </c>
      <c r="B109" s="17" t="str">
        <f t="shared" si="4"/>
        <v/>
      </c>
      <c r="C109" s="1" t="s">
        <v>3274</v>
      </c>
      <c r="D109" s="30" t="str">
        <f>IFERROR(__xludf.DUMMYFUNCTION("IFERROR(GOOGLEFINANCE(C109, ""NAME""))"),"NovaGold Resources Inc")</f>
        <v>NovaGold Resources Inc</v>
      </c>
      <c r="E109" s="30" t="s">
        <v>2928</v>
      </c>
      <c r="F109" s="38" t="str">
        <f>IFERROR(__xludf.DUMMYFUNCTION("( (GOOGLEFINANCE(C109, ""price"") - Q109) / Q109 ) / (R109 / 100)"),"Loading...")</f>
        <v>Loading...</v>
      </c>
      <c r="G109" s="20" t="str">
        <f>IFERROR(__xludf.DUMMYFUNCTION("AVERAGE(ARRAYFORMULA(100 * (QUERY(GOOGLEFINANCE(C109, ""high"", TODAY()-40, TODAY()), ""SELECT Col2 WHERE Col2 IS NOT NULL ORDER BY Col1 DESC LIMIT 20"", 0) / QUERY(GOOGLEFINANCE(C109, ""low"", TODAY()-40, TODAY()), ""SELECT Col2 WHERE Col2 IS NOT NULL OR"&amp;"DER BY Col1 DESC LIMIT 20"", 0) - 1)))"),"#N/A")</f>
        <v>#N/A</v>
      </c>
      <c r="H109" s="35" t="str">
        <f t="shared" si="35"/>
        <v>Illiquid</v>
      </c>
      <c r="I109" s="35" t="str">
        <f t="shared" si="7"/>
        <v>RVol Required</v>
      </c>
      <c r="J109" s="37">
        <f>IFERROR(__xludf.DUMMYFUNCTION("IFERROR(
  IF(C109="""",, 
    IFERROR(
      GOOGLEFINANCE(C109, ""price"") * GOOGLEFINANCE(C109, ""volumeavg""), 
      GOOGLEFINANCE(C109, ""price"") * AVERAGE(QUERY(GOOGLEFINANCE(C109, ""volume"", TODAY()-40, TODAY()), ""SELECT Col2 WHERE Col2 IS NOT "&amp;"NULL ORDER BY Col1 DESC LIMIT 20"", 0))
    )
  ), 
"""")"),3.61415076E7)</f>
        <v>36141507.6</v>
      </c>
      <c r="K109" s="21">
        <f>IFERROR(__xludf.DUMMYFUNCTION("IFERROR(GOOGLEFINANCE(C109, ""changepct"") / 100, """")"),0.0060999999999999995)</f>
        <v>0.0061</v>
      </c>
      <c r="L109" s="21" t="str">
        <f>IFERROR(__xludf.DUMMYFUNCTION("IFERROR((GOOGLEFINANCE(C109, ""price"") / INDEX(GOOGLEFINANCE(C109, ""price"", TODAY()-7, TODAY()), 2, 2)) - 1, """")"),"")</f>
        <v/>
      </c>
      <c r="M109" s="21" t="str">
        <f>IFERROR(__xludf.DUMMYFUNCTION("IFERROR((GOOGLEFINANCE(C109, ""price"") / INDEX(GOOGLEFINANCE(C109, ""price"", EDATE(TODAY(), -1), TODAY()), 2, 2)) - 1, """")"),"")</f>
        <v/>
      </c>
      <c r="N109" s="21" t="str">
        <f>IFERROR(__xludf.DUMMYFUNCTION("IFERROR((GOOGLEFINANCE(C109, ""price"") / INDEX(GOOGLEFINANCE(C109, ""price"", EDATE(TODAY(), -3), TODAY()), 2, 2)) - 1, """")"),"")</f>
        <v/>
      </c>
      <c r="O109" s="21" t="str">
        <f>IFERROR(__xludf.DUMMYFUNCTION("IFERROR((GOOGLEFINANCE(C109, ""price"") / INDEX(GOOGLEFINANCE(C109, ""price"", EDATE(TODAY(), -6), TODAY()), 2, 2)) - 1, """")"),"")</f>
        <v/>
      </c>
      <c r="P109" s="21" t="str">
        <f>IFERROR(__xludf.DUMMYFUNCTION("IFERROR((GOOGLEFINANCE(C109, ""price"") / INDEX(GOOGLEFINANCE(C109, ""price"", EDATE(TODAY(), -12), TODAY()), 2, 2)) - 1, """")"),"")</f>
        <v/>
      </c>
      <c r="Q109" s="6" t="str">
        <f>IFERROR(__xludf.DUMMYFUNCTION("AVERAGE(QUERY(GOOGLEFINANCE(C109, ""price"", TODAY()-80, TODAY()), ""SELECT Col2 WHERE Col2 IS NOT NULL ORDER BY Col1 DESC LIMIT 50"", 0))"),"#N/A")</f>
        <v>#N/A</v>
      </c>
      <c r="R109" s="24" t="str">
        <f>IFERROR(__xludf.DUMMYFUNCTION("IFERROR(
  LET(
    data, QUERY(GOOGLEFINANCE(C109,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GOOGLEFINANCE(C109, ""price"")) * 100,
    IF(calc=0, G109, calc)
  ), 
G109)"),"#N/A")</f>
        <v>#N/A</v>
      </c>
      <c r="S109" s="8" t="s">
        <v>15</v>
      </c>
      <c r="T109" s="26" t="str">
        <f>IFERROR(__xludf.DUMMYFUNCTION("IFERROR(TRANSPOSE(QUERY(IFERROR(SORT(GOOGLEFINANCE(C109, ""price"", WORKDAY(TODAY(), -40), TODAY()), 1, FALSE)), ""select Col2 where Col2 is not null limit 22 label Col2 ''"", 0)), """")"),"")</f>
        <v/>
      </c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8"/>
      <c r="AO109" s="28"/>
      <c r="AP109" s="29"/>
      <c r="AQ109" s="29" t="str">
        <f t="shared" ref="AQ109:BL109" si="113">T109/T$2</f>
        <v>#N/A</v>
      </c>
      <c r="AR109" s="29" t="str">
        <f t="shared" si="113"/>
        <v>#DIV/0!</v>
      </c>
      <c r="AS109" s="29" t="str">
        <f t="shared" si="113"/>
        <v>#DIV/0!</v>
      </c>
      <c r="AT109" s="29" t="str">
        <f t="shared" si="113"/>
        <v>#DIV/0!</v>
      </c>
      <c r="AU109" s="29" t="str">
        <f t="shared" si="113"/>
        <v>#DIV/0!</v>
      </c>
      <c r="AV109" s="29" t="str">
        <f t="shared" si="113"/>
        <v>#DIV/0!</v>
      </c>
      <c r="AW109" s="29" t="str">
        <f t="shared" si="113"/>
        <v>#DIV/0!</v>
      </c>
      <c r="AX109" s="29" t="str">
        <f t="shared" si="113"/>
        <v>#DIV/0!</v>
      </c>
      <c r="AY109" s="29" t="str">
        <f t="shared" si="113"/>
        <v>#DIV/0!</v>
      </c>
      <c r="AZ109" s="29" t="str">
        <f t="shared" si="113"/>
        <v>#DIV/0!</v>
      </c>
      <c r="BA109" s="29" t="str">
        <f t="shared" si="113"/>
        <v>#DIV/0!</v>
      </c>
      <c r="BB109" s="29" t="str">
        <f t="shared" si="113"/>
        <v>#DIV/0!</v>
      </c>
      <c r="BC109" s="29" t="str">
        <f t="shared" si="113"/>
        <v>#DIV/0!</v>
      </c>
      <c r="BD109" s="29" t="str">
        <f t="shared" si="113"/>
        <v>#DIV/0!</v>
      </c>
      <c r="BE109" s="29" t="str">
        <f t="shared" si="113"/>
        <v>#DIV/0!</v>
      </c>
      <c r="BF109" s="29" t="str">
        <f t="shared" si="113"/>
        <v>#DIV/0!</v>
      </c>
      <c r="BG109" s="29" t="str">
        <f t="shared" si="113"/>
        <v>#DIV/0!</v>
      </c>
      <c r="BH109" s="29" t="str">
        <f t="shared" si="113"/>
        <v>#DIV/0!</v>
      </c>
      <c r="BI109" s="29" t="str">
        <f t="shared" si="113"/>
        <v>#DIV/0!</v>
      </c>
      <c r="BJ109" s="29" t="str">
        <f t="shared" si="113"/>
        <v>#DIV/0!</v>
      </c>
      <c r="BK109" s="29" t="str">
        <f t="shared" si="113"/>
        <v>#DIV/0!</v>
      </c>
      <c r="BL109" s="29" t="str">
        <f t="shared" si="113"/>
        <v>#DIV/0!</v>
      </c>
      <c r="BM109" s="29" t="str">
        <f t="shared" si="3"/>
        <v>#DIV/0!</v>
      </c>
    </row>
    <row r="110">
      <c r="A110" s="16" t="str">
        <f>IFERROR(__xludf.DUMMYFUNCTION("IFERROR(SPARKLINE(SORT(MAP(TRANSPOSE(AQ110:BL110), LAMBDA(val, IF(ISNUMBER(val), PERCENTRANK(AQ110:BL110, val)+0.01, 0))), SEQUENCE(COLUMNS(AQ110:BL110)), FALSE), {""charttype"",""column""; ""color"",""chartreuse""; ""ymin"", 0; ""ymax"", 1.01; ""highcolo"&amp;"r"", ""darkgreen""; ""lowcolor"", ""red""}), """")"),"")</f>
        <v/>
      </c>
      <c r="B110" s="17" t="str">
        <f t="shared" si="4"/>
        <v/>
      </c>
      <c r="C110" s="1" t="s">
        <v>3276</v>
      </c>
      <c r="D110" s="30" t="str">
        <f>IFERROR(__xludf.DUMMYFUNCTION("IFERROR(GOOGLEFINANCE(C110, ""NAME""))"),"Triple Flag Precious Metals Corp")</f>
        <v>Triple Flag Precious Metals Corp</v>
      </c>
      <c r="E110" s="30" t="s">
        <v>3008</v>
      </c>
      <c r="F110" s="33" t="str">
        <f>IFERROR(__xludf.DUMMYFUNCTION("( (GOOGLEFINANCE(C110, ""price"") - Q110) / Q110 ) / (R110 / 100)"),"Loading...")</f>
        <v>Loading...</v>
      </c>
      <c r="G110" s="20" t="str">
        <f>IFERROR(__xludf.DUMMYFUNCTION("AVERAGE(ARRAYFORMULA(100 * (QUERY(GOOGLEFINANCE(C110, ""high"", TODAY()-40, TODAY()), ""SELECT Col2 WHERE Col2 IS NOT NULL ORDER BY Col1 DESC LIMIT 20"", 0) / QUERY(GOOGLEFINANCE(C110, ""low"", TODAY()-40, TODAY()), ""SELECT Col2 WHERE Col2 IS NOT NULL OR"&amp;"DER BY Col1 DESC LIMIT 20"", 0) - 1)))"),"#N/A")</f>
        <v>#N/A</v>
      </c>
      <c r="H110" s="35" t="str">
        <f t="shared" si="35"/>
        <v>Illiquid</v>
      </c>
      <c r="I110" s="35" t="str">
        <f t="shared" si="7"/>
        <v>RVol Required</v>
      </c>
      <c r="J110" s="37">
        <f>IFERROR(__xludf.DUMMYFUNCTION("IFERROR(
  IF(C110="""",, 
    IFERROR(
      GOOGLEFINANCE(C110, ""price"") * GOOGLEFINANCE(C110, ""volumeavg""), 
      GOOGLEFINANCE(C110, ""price"") * AVERAGE(QUERY(GOOGLEFINANCE(C110, ""volume"", TODAY()-40, TODAY()), ""SELECT Col2 WHERE Col2 IS NOT "&amp;"NULL ORDER BY Col1 DESC LIMIT 20"", 0))
    )
  ), 
"""")"),1.320247468E7)</f>
        <v>13202474.68</v>
      </c>
      <c r="K110" s="21">
        <f>IFERROR(__xludf.DUMMYFUNCTION("IFERROR(GOOGLEFINANCE(C110, ""changepct"") / 100, """")"),0.0072)</f>
        <v>0.0072</v>
      </c>
      <c r="L110" s="21" t="str">
        <f>IFERROR(__xludf.DUMMYFUNCTION("IFERROR((GOOGLEFINANCE(C110, ""price"") / INDEX(GOOGLEFINANCE(C110, ""price"", TODAY()-7, TODAY()), 2, 2)) - 1, """")"),"")</f>
        <v/>
      </c>
      <c r="M110" s="21" t="str">
        <f>IFERROR(__xludf.DUMMYFUNCTION("IFERROR((GOOGLEFINANCE(C110, ""price"") / INDEX(GOOGLEFINANCE(C110, ""price"", EDATE(TODAY(), -1), TODAY()), 2, 2)) - 1, """")"),"")</f>
        <v/>
      </c>
      <c r="N110" s="21" t="str">
        <f>IFERROR(__xludf.DUMMYFUNCTION("IFERROR((GOOGLEFINANCE(C110, ""price"") / INDEX(GOOGLEFINANCE(C110, ""price"", EDATE(TODAY(), -3), TODAY()), 2, 2)) - 1, """")"),"")</f>
        <v/>
      </c>
      <c r="O110" s="21" t="str">
        <f>IFERROR(__xludf.DUMMYFUNCTION("IFERROR((GOOGLEFINANCE(C110, ""price"") / INDEX(GOOGLEFINANCE(C110, ""price"", EDATE(TODAY(), -6), TODAY()), 2, 2)) - 1, """")"),"")</f>
        <v/>
      </c>
      <c r="P110" s="21" t="str">
        <f>IFERROR(__xludf.DUMMYFUNCTION("IFERROR((GOOGLEFINANCE(C110, ""price"") / INDEX(GOOGLEFINANCE(C110, ""price"", EDATE(TODAY(), -12), TODAY()), 2, 2)) - 1, """")"),"")</f>
        <v/>
      </c>
      <c r="Q110" s="6" t="str">
        <f>IFERROR(__xludf.DUMMYFUNCTION("AVERAGE(QUERY(GOOGLEFINANCE(C110, ""price"", TODAY()-80, TODAY()), ""SELECT Col2 WHERE Col2 IS NOT NULL ORDER BY Col1 DESC LIMIT 50"", 0))"),"#N/A")</f>
        <v>#N/A</v>
      </c>
      <c r="R110" s="24" t="str">
        <f>IFERROR(__xludf.DUMMYFUNCTION("IFERROR(
  LET(
    data, QUERY(GOOGLEFINANCE(C110,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GOOGLEFINANCE(C110, ""price"")) * 100,
    IF(calc=0, G110, calc)
  ), 
G110)"),"#N/A")</f>
        <v>#N/A</v>
      </c>
      <c r="S110" s="8" t="s">
        <v>15</v>
      </c>
      <c r="T110" s="26" t="str">
        <f>IFERROR(__xludf.DUMMYFUNCTION("IFERROR(TRANSPOSE(QUERY(IFERROR(SORT(GOOGLEFINANCE(C110, ""price"", WORKDAY(TODAY(), -40), TODAY()), 1, FALSE)), ""select Col2 where Col2 is not null limit 22 label Col2 ''"", 0)), """")"),"")</f>
        <v/>
      </c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8"/>
      <c r="AO110" s="28"/>
      <c r="AP110" s="29"/>
      <c r="AQ110" s="29" t="str">
        <f t="shared" ref="AQ110:BL110" si="114">T110/T$2</f>
        <v>#N/A</v>
      </c>
      <c r="AR110" s="29" t="str">
        <f t="shared" si="114"/>
        <v>#DIV/0!</v>
      </c>
      <c r="AS110" s="29" t="str">
        <f t="shared" si="114"/>
        <v>#DIV/0!</v>
      </c>
      <c r="AT110" s="29" t="str">
        <f t="shared" si="114"/>
        <v>#DIV/0!</v>
      </c>
      <c r="AU110" s="29" t="str">
        <f t="shared" si="114"/>
        <v>#DIV/0!</v>
      </c>
      <c r="AV110" s="29" t="str">
        <f t="shared" si="114"/>
        <v>#DIV/0!</v>
      </c>
      <c r="AW110" s="29" t="str">
        <f t="shared" si="114"/>
        <v>#DIV/0!</v>
      </c>
      <c r="AX110" s="29" t="str">
        <f t="shared" si="114"/>
        <v>#DIV/0!</v>
      </c>
      <c r="AY110" s="29" t="str">
        <f t="shared" si="114"/>
        <v>#DIV/0!</v>
      </c>
      <c r="AZ110" s="29" t="str">
        <f t="shared" si="114"/>
        <v>#DIV/0!</v>
      </c>
      <c r="BA110" s="29" t="str">
        <f t="shared" si="114"/>
        <v>#DIV/0!</v>
      </c>
      <c r="BB110" s="29" t="str">
        <f t="shared" si="114"/>
        <v>#DIV/0!</v>
      </c>
      <c r="BC110" s="29" t="str">
        <f t="shared" si="114"/>
        <v>#DIV/0!</v>
      </c>
      <c r="BD110" s="29" t="str">
        <f t="shared" si="114"/>
        <v>#DIV/0!</v>
      </c>
      <c r="BE110" s="29" t="str">
        <f t="shared" si="114"/>
        <v>#DIV/0!</v>
      </c>
      <c r="BF110" s="29" t="str">
        <f t="shared" si="114"/>
        <v>#DIV/0!</v>
      </c>
      <c r="BG110" s="29" t="str">
        <f t="shared" si="114"/>
        <v>#DIV/0!</v>
      </c>
      <c r="BH110" s="29" t="str">
        <f t="shared" si="114"/>
        <v>#DIV/0!</v>
      </c>
      <c r="BI110" s="29" t="str">
        <f t="shared" si="114"/>
        <v>#DIV/0!</v>
      </c>
      <c r="BJ110" s="29" t="str">
        <f t="shared" si="114"/>
        <v>#DIV/0!</v>
      </c>
      <c r="BK110" s="29" t="str">
        <f t="shared" si="114"/>
        <v>#DIV/0!</v>
      </c>
      <c r="BL110" s="29" t="str">
        <f t="shared" si="114"/>
        <v>#DIV/0!</v>
      </c>
      <c r="BM110" s="29" t="str">
        <f t="shared" si="3"/>
        <v>#DIV/0!</v>
      </c>
    </row>
    <row r="111">
      <c r="A111" s="16" t="str">
        <f>IFERROR(__xludf.DUMMYFUNCTION("IFERROR(SPARKLINE(SORT(MAP(TRANSPOSE(AQ111:BL111), LAMBDA(val, IF(ISNUMBER(val), PERCENTRANK(AQ111:BL111, val)+0.01, 0))), SEQUENCE(COLUMNS(AQ111:BL111)), FALSE), {""charttype"",""column""; ""color"",""chartreuse""; ""ymin"", 0; ""ymax"", 1.01; ""highcolo"&amp;"r"", ""darkgreen""; ""lowcolor"", ""red""}), """")"),"")</f>
        <v/>
      </c>
      <c r="B111" s="17" t="str">
        <f t="shared" si="4"/>
        <v/>
      </c>
      <c r="C111" s="1" t="s">
        <v>3278</v>
      </c>
      <c r="D111" s="30" t="str">
        <f>IFERROR(__xludf.DUMMYFUNCTION("IFERROR(GOOGLEFINANCE(C111, ""NAME""))"),"CVR Partners LP")</f>
        <v>CVR Partners LP</v>
      </c>
      <c r="E111" s="30" t="s">
        <v>3039</v>
      </c>
      <c r="F111" s="33" t="str">
        <f>IFERROR(__xludf.DUMMYFUNCTION("( (GOOGLEFINANCE(C111, ""price"") - Q111) / Q111 ) / (R111 / 100)"),"Loading...")</f>
        <v>Loading...</v>
      </c>
      <c r="G111" s="20" t="str">
        <f>IFERROR(__xludf.DUMMYFUNCTION("AVERAGE(ARRAYFORMULA(100 * (QUERY(GOOGLEFINANCE(C111, ""high"", TODAY()-40, TODAY()), ""SELECT Col2 WHERE Col2 IS NOT NULL ORDER BY Col1 DESC LIMIT 20"", 0) / QUERY(GOOGLEFINANCE(C111, ""low"", TODAY()-40, TODAY()), ""SELECT Col2 WHERE Col2 IS NOT NULL OR"&amp;"DER BY Col1 DESC LIMIT 20"", 0) - 1)))"),"#N/A")</f>
        <v>#N/A</v>
      </c>
      <c r="H111" s="35" t="str">
        <f t="shared" si="35"/>
        <v>Illiquid</v>
      </c>
      <c r="I111" s="35" t="str">
        <f t="shared" si="7"/>
        <v>RVol Required</v>
      </c>
      <c r="J111" s="37">
        <f>IFERROR(__xludf.DUMMYFUNCTION("IFERROR(
  IF(C111="""",, 
    IFERROR(
      GOOGLEFINANCE(C111, ""price"") * GOOGLEFINANCE(C111, ""volumeavg""), 
      GOOGLEFINANCE(C111, ""price"") * AVERAGE(QUERY(GOOGLEFINANCE(C111, ""volume"", TODAY()-40, TODAY()), ""SELECT Col2 WHERE Col2 IS NOT "&amp;"NULL ORDER BY Col1 DESC LIMIT 20"", 0))
    )
  ), 
"""")"),2971987.2)</f>
        <v>2971987.2</v>
      </c>
      <c r="K111" s="21">
        <f>IFERROR(__xludf.DUMMYFUNCTION("IFERROR(GOOGLEFINANCE(C111, ""changepct"") / 100, """")"),-0.0443)</f>
        <v>-0.0443</v>
      </c>
      <c r="L111" s="21" t="str">
        <f>IFERROR(__xludf.DUMMYFUNCTION("IFERROR((GOOGLEFINANCE(C111, ""price"") / INDEX(GOOGLEFINANCE(C111, ""price"", TODAY()-7, TODAY()), 2, 2)) - 1, """")"),"")</f>
        <v/>
      </c>
      <c r="M111" s="21" t="str">
        <f>IFERROR(__xludf.DUMMYFUNCTION("IFERROR((GOOGLEFINANCE(C111, ""price"") / INDEX(GOOGLEFINANCE(C111, ""price"", EDATE(TODAY(), -1), TODAY()), 2, 2)) - 1, """")"),"")</f>
        <v/>
      </c>
      <c r="N111" s="21" t="str">
        <f>IFERROR(__xludf.DUMMYFUNCTION("IFERROR((GOOGLEFINANCE(C111, ""price"") / INDEX(GOOGLEFINANCE(C111, ""price"", EDATE(TODAY(), -3), TODAY()), 2, 2)) - 1, """")"),"")</f>
        <v/>
      </c>
      <c r="O111" s="21" t="str">
        <f>IFERROR(__xludf.DUMMYFUNCTION("IFERROR((GOOGLEFINANCE(C111, ""price"") / INDEX(GOOGLEFINANCE(C111, ""price"", EDATE(TODAY(), -6), TODAY()), 2, 2)) - 1, """")"),"")</f>
        <v/>
      </c>
      <c r="P111" s="21" t="str">
        <f>IFERROR(__xludf.DUMMYFUNCTION("IFERROR((GOOGLEFINANCE(C111, ""price"") / INDEX(GOOGLEFINANCE(C111, ""price"", EDATE(TODAY(), -12), TODAY()), 2, 2)) - 1, """")"),"")</f>
        <v/>
      </c>
      <c r="Q111" s="6" t="str">
        <f>IFERROR(__xludf.DUMMYFUNCTION("AVERAGE(QUERY(GOOGLEFINANCE(C111, ""price"", TODAY()-80, TODAY()), ""SELECT Col2 WHERE Col2 IS NOT NULL ORDER BY Col1 DESC LIMIT 50"", 0))"),"#N/A")</f>
        <v>#N/A</v>
      </c>
      <c r="R111" s="24" t="str">
        <f>IFERROR(__xludf.DUMMYFUNCTION("IFERROR(
  LET(
    data, QUERY(GOOGLEFINANCE(C111,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GOOGLEFINANCE(C111, ""price"")) * 100,
    IF(calc=0, G111, calc)
  ), 
G111)"),"#N/A")</f>
        <v>#N/A</v>
      </c>
      <c r="S111" s="8" t="s">
        <v>15</v>
      </c>
      <c r="T111" s="26" t="str">
        <f>IFERROR(__xludf.DUMMYFUNCTION("IFERROR(TRANSPOSE(QUERY(IFERROR(SORT(GOOGLEFINANCE(C111, ""price"", WORKDAY(TODAY(), -40), TODAY()), 1, FALSE)), ""select Col2 where Col2 is not null limit 22 label Col2 ''"", 0)), """")"),"")</f>
        <v/>
      </c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8"/>
      <c r="AO111" s="28"/>
      <c r="AP111" s="29"/>
      <c r="AQ111" s="29" t="str">
        <f t="shared" ref="AQ111:BL111" si="115">T111/T$2</f>
        <v>#N/A</v>
      </c>
      <c r="AR111" s="29" t="str">
        <f t="shared" si="115"/>
        <v>#DIV/0!</v>
      </c>
      <c r="AS111" s="29" t="str">
        <f t="shared" si="115"/>
        <v>#DIV/0!</v>
      </c>
      <c r="AT111" s="29" t="str">
        <f t="shared" si="115"/>
        <v>#DIV/0!</v>
      </c>
      <c r="AU111" s="29" t="str">
        <f t="shared" si="115"/>
        <v>#DIV/0!</v>
      </c>
      <c r="AV111" s="29" t="str">
        <f t="shared" si="115"/>
        <v>#DIV/0!</v>
      </c>
      <c r="AW111" s="29" t="str">
        <f t="shared" si="115"/>
        <v>#DIV/0!</v>
      </c>
      <c r="AX111" s="29" t="str">
        <f t="shared" si="115"/>
        <v>#DIV/0!</v>
      </c>
      <c r="AY111" s="29" t="str">
        <f t="shared" si="115"/>
        <v>#DIV/0!</v>
      </c>
      <c r="AZ111" s="29" t="str">
        <f t="shared" si="115"/>
        <v>#DIV/0!</v>
      </c>
      <c r="BA111" s="29" t="str">
        <f t="shared" si="115"/>
        <v>#DIV/0!</v>
      </c>
      <c r="BB111" s="29" t="str">
        <f t="shared" si="115"/>
        <v>#DIV/0!</v>
      </c>
      <c r="BC111" s="29" t="str">
        <f t="shared" si="115"/>
        <v>#DIV/0!</v>
      </c>
      <c r="BD111" s="29" t="str">
        <f t="shared" si="115"/>
        <v>#DIV/0!</v>
      </c>
      <c r="BE111" s="29" t="str">
        <f t="shared" si="115"/>
        <v>#DIV/0!</v>
      </c>
      <c r="BF111" s="29" t="str">
        <f t="shared" si="115"/>
        <v>#DIV/0!</v>
      </c>
      <c r="BG111" s="29" t="str">
        <f t="shared" si="115"/>
        <v>#DIV/0!</v>
      </c>
      <c r="BH111" s="29" t="str">
        <f t="shared" si="115"/>
        <v>#DIV/0!</v>
      </c>
      <c r="BI111" s="29" t="str">
        <f t="shared" si="115"/>
        <v>#DIV/0!</v>
      </c>
      <c r="BJ111" s="29" t="str">
        <f t="shared" si="115"/>
        <v>#DIV/0!</v>
      </c>
      <c r="BK111" s="29" t="str">
        <f t="shared" si="115"/>
        <v>#DIV/0!</v>
      </c>
      <c r="BL111" s="29" t="str">
        <f t="shared" si="115"/>
        <v>#DIV/0!</v>
      </c>
      <c r="BM111" s="29" t="str">
        <f t="shared" si="3"/>
        <v>#DIV/0!</v>
      </c>
    </row>
    <row r="112">
      <c r="A112" s="16" t="str">
        <f>IFERROR(__xludf.DUMMYFUNCTION("IFERROR(SPARKLINE(SORT(MAP(TRANSPOSE(AQ112:BL112), LAMBDA(val, IF(ISNUMBER(val), PERCENTRANK(AQ112:BL112, val)+0.01, 0))), SEQUENCE(COLUMNS(AQ112:BL112)), FALSE), {""charttype"",""column""; ""color"",""chartreuse""; ""ymin"", 0; ""ymax"", 1.01; ""highcolo"&amp;"r"", ""darkgreen""; ""lowcolor"", ""red""}), """")"),"")</f>
        <v/>
      </c>
      <c r="B112" s="17" t="str">
        <f t="shared" si="4"/>
        <v/>
      </c>
      <c r="C112" s="1" t="s">
        <v>3279</v>
      </c>
      <c r="D112" s="30" t="str">
        <f>IFERROR(__xludf.DUMMYFUNCTION("IFERROR(GOOGLEFINANCE(C112, ""NAME""))"),"Century Aluminum Co")</f>
        <v>Century Aluminum Co</v>
      </c>
      <c r="E112" s="30" t="s">
        <v>3140</v>
      </c>
      <c r="F112" s="33" t="str">
        <f>IFERROR(__xludf.DUMMYFUNCTION("( (GOOGLEFINANCE(C112, ""price"") - Q112) / Q112 ) / (R112 / 100)"),"Loading...")</f>
        <v>Loading...</v>
      </c>
      <c r="G112" s="20" t="str">
        <f>IFERROR(__xludf.DUMMYFUNCTION("AVERAGE(ARRAYFORMULA(100 * (QUERY(GOOGLEFINANCE(C112, ""high"", TODAY()-40, TODAY()), ""SELECT Col2 WHERE Col2 IS NOT NULL ORDER BY Col1 DESC LIMIT 20"", 0) / QUERY(GOOGLEFINANCE(C112, ""low"", TODAY()-40, TODAY()), ""SELECT Col2 WHERE Col2 IS NOT NULL OR"&amp;"DER BY Col1 DESC LIMIT 20"", 0) - 1)))"),"#N/A")</f>
        <v>#N/A</v>
      </c>
      <c r="H112" s="35" t="str">
        <f t="shared" si="35"/>
        <v>Liquid</v>
      </c>
      <c r="I112" s="35" t="str">
        <f t="shared" si="7"/>
        <v>RVol Required</v>
      </c>
      <c r="J112" s="37">
        <f>IFERROR(__xludf.DUMMYFUNCTION("IFERROR(
  IF(C112="""",, 
    IFERROR(
      GOOGLEFINANCE(C112, ""price"") * GOOGLEFINANCE(C112, ""volumeavg""), 
      GOOGLEFINANCE(C112, ""price"") * AVERAGE(QUERY(GOOGLEFINANCE(C112, ""volume"", TODAY()-40, TODAY()), ""SELECT Col2 WHERE Col2 IS NOT "&amp;"NULL ORDER BY Col1 DESC LIMIT 20"", 0))
    )
  ), 
"""")"),6.3364786160000004E7)</f>
        <v>63364786.16</v>
      </c>
      <c r="K112" s="21">
        <f>IFERROR(__xludf.DUMMYFUNCTION("IFERROR(GOOGLEFINANCE(C112, ""changepct"") / 100, """")"),0.024300000000000002)</f>
        <v>0.0243</v>
      </c>
      <c r="L112" s="21" t="str">
        <f>IFERROR(__xludf.DUMMYFUNCTION("IFERROR((GOOGLEFINANCE(C112, ""price"") / INDEX(GOOGLEFINANCE(C112, ""price"", TODAY()-7, TODAY()), 2, 2)) - 1, """")"),"")</f>
        <v/>
      </c>
      <c r="M112" s="21" t="str">
        <f>IFERROR(__xludf.DUMMYFUNCTION("IFERROR((GOOGLEFINANCE(C112, ""price"") / INDEX(GOOGLEFINANCE(C112, ""price"", EDATE(TODAY(), -1), TODAY()), 2, 2)) - 1, """")"),"")</f>
        <v/>
      </c>
      <c r="N112" s="21" t="str">
        <f>IFERROR(__xludf.DUMMYFUNCTION("IFERROR((GOOGLEFINANCE(C112, ""price"") / INDEX(GOOGLEFINANCE(C112, ""price"", EDATE(TODAY(), -3), TODAY()), 2, 2)) - 1, """")"),"")</f>
        <v/>
      </c>
      <c r="O112" s="21" t="str">
        <f>IFERROR(__xludf.DUMMYFUNCTION("IFERROR((GOOGLEFINANCE(C112, ""price"") / INDEX(GOOGLEFINANCE(C112, ""price"", EDATE(TODAY(), -6), TODAY()), 2, 2)) - 1, """")"),"")</f>
        <v/>
      </c>
      <c r="P112" s="21" t="str">
        <f>IFERROR(__xludf.DUMMYFUNCTION("IFERROR((GOOGLEFINANCE(C112, ""price"") / INDEX(GOOGLEFINANCE(C112, ""price"", EDATE(TODAY(), -12), TODAY()), 2, 2)) - 1, """")"),"")</f>
        <v/>
      </c>
      <c r="Q112" s="6" t="str">
        <f>IFERROR(__xludf.DUMMYFUNCTION("AVERAGE(QUERY(GOOGLEFINANCE(C112, ""price"", TODAY()-80, TODAY()), ""SELECT Col2 WHERE Col2 IS NOT NULL ORDER BY Col1 DESC LIMIT 50"", 0))"),"#N/A")</f>
        <v>#N/A</v>
      </c>
      <c r="R112" s="24" t="str">
        <f>IFERROR(__xludf.DUMMYFUNCTION("IFERROR(
  LET(
    data, QUERY(GOOGLEFINANCE(C112,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GOOGLEFINANCE(C112, ""price"")) * 100,
    IF(calc=0, G112, calc)
  ), 
G112)"),"#N/A")</f>
        <v>#N/A</v>
      </c>
      <c r="S112" s="8" t="s">
        <v>15</v>
      </c>
      <c r="T112" s="26" t="str">
        <f>IFERROR(__xludf.DUMMYFUNCTION("IFERROR(TRANSPOSE(QUERY(IFERROR(SORT(GOOGLEFINANCE(C112, ""price"", WORKDAY(TODAY(), -40), TODAY()), 1, FALSE)), ""select Col2 where Col2 is not null limit 22 label Col2 ''"", 0)), """")"),"")</f>
        <v/>
      </c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8"/>
      <c r="AO112" s="28"/>
      <c r="AP112" s="29"/>
      <c r="AQ112" s="29" t="str">
        <f t="shared" ref="AQ112:BL112" si="116">T112/T$2</f>
        <v>#N/A</v>
      </c>
      <c r="AR112" s="29" t="str">
        <f t="shared" si="116"/>
        <v>#DIV/0!</v>
      </c>
      <c r="AS112" s="29" t="str">
        <f t="shared" si="116"/>
        <v>#DIV/0!</v>
      </c>
      <c r="AT112" s="29" t="str">
        <f t="shared" si="116"/>
        <v>#DIV/0!</v>
      </c>
      <c r="AU112" s="29" t="str">
        <f t="shared" si="116"/>
        <v>#DIV/0!</v>
      </c>
      <c r="AV112" s="29" t="str">
        <f t="shared" si="116"/>
        <v>#DIV/0!</v>
      </c>
      <c r="AW112" s="29" t="str">
        <f t="shared" si="116"/>
        <v>#DIV/0!</v>
      </c>
      <c r="AX112" s="29" t="str">
        <f t="shared" si="116"/>
        <v>#DIV/0!</v>
      </c>
      <c r="AY112" s="29" t="str">
        <f t="shared" si="116"/>
        <v>#DIV/0!</v>
      </c>
      <c r="AZ112" s="29" t="str">
        <f t="shared" si="116"/>
        <v>#DIV/0!</v>
      </c>
      <c r="BA112" s="29" t="str">
        <f t="shared" si="116"/>
        <v>#DIV/0!</v>
      </c>
      <c r="BB112" s="29" t="str">
        <f t="shared" si="116"/>
        <v>#DIV/0!</v>
      </c>
      <c r="BC112" s="29" t="str">
        <f t="shared" si="116"/>
        <v>#DIV/0!</v>
      </c>
      <c r="BD112" s="29" t="str">
        <f t="shared" si="116"/>
        <v>#DIV/0!</v>
      </c>
      <c r="BE112" s="29" t="str">
        <f t="shared" si="116"/>
        <v>#DIV/0!</v>
      </c>
      <c r="BF112" s="29" t="str">
        <f t="shared" si="116"/>
        <v>#DIV/0!</v>
      </c>
      <c r="BG112" s="29" t="str">
        <f t="shared" si="116"/>
        <v>#DIV/0!</v>
      </c>
      <c r="BH112" s="29" t="str">
        <f t="shared" si="116"/>
        <v>#DIV/0!</v>
      </c>
      <c r="BI112" s="29" t="str">
        <f t="shared" si="116"/>
        <v>#DIV/0!</v>
      </c>
      <c r="BJ112" s="29" t="str">
        <f t="shared" si="116"/>
        <v>#DIV/0!</v>
      </c>
      <c r="BK112" s="29" t="str">
        <f t="shared" si="116"/>
        <v>#DIV/0!</v>
      </c>
      <c r="BL112" s="29" t="str">
        <f t="shared" si="116"/>
        <v>#DIV/0!</v>
      </c>
      <c r="BM112" s="29" t="str">
        <f t="shared" si="3"/>
        <v>#DIV/0!</v>
      </c>
    </row>
    <row r="113">
      <c r="A113" s="16" t="str">
        <f>IFERROR(__xludf.DUMMYFUNCTION("IFERROR(SPARKLINE(SORT(MAP(TRANSPOSE(AQ113:BL113), LAMBDA(val, IF(ISNUMBER(val), PERCENTRANK(AQ113:BL113, val)+0.01, 0))), SEQUENCE(COLUMNS(AQ113:BL113)), FALSE), {""charttype"",""column""; ""color"",""chartreuse""; ""ymin"", 0; ""ymax"", 1.01; ""highcolo"&amp;"r"", ""darkgreen""; ""lowcolor"", ""red""}), """")"),"")</f>
        <v/>
      </c>
      <c r="B113" s="17" t="str">
        <f t="shared" si="4"/>
        <v/>
      </c>
      <c r="C113" s="1" t="s">
        <v>3281</v>
      </c>
      <c r="D113" s="30" t="str">
        <f>IFERROR(__xludf.DUMMYFUNCTION("IFERROR(GOOGLEFINANCE(C113, ""NAME""))"),"New Found Gold Corp")</f>
        <v>New Found Gold Corp</v>
      </c>
      <c r="E113" s="30" t="s">
        <v>2928</v>
      </c>
      <c r="F113" s="33" t="str">
        <f>IFERROR(__xludf.DUMMYFUNCTION("( (GOOGLEFINANCE(C113, ""price"") - Q113) / Q113 ) / (R113 / 100)"),"Loading...")</f>
        <v>Loading...</v>
      </c>
      <c r="G113" s="20" t="str">
        <f>IFERROR(__xludf.DUMMYFUNCTION("AVERAGE(ARRAYFORMULA(100 * (QUERY(GOOGLEFINANCE(C113, ""high"", TODAY()-40, TODAY()), ""SELECT Col2 WHERE Col2 IS NOT NULL ORDER BY Col1 DESC LIMIT 20"", 0) / QUERY(GOOGLEFINANCE(C113, ""low"", TODAY()-40, TODAY()), ""SELECT Col2 WHERE Col2 IS NOT NULL OR"&amp;"DER BY Col1 DESC LIMIT 20"", 0) - 1)))"),"#N/A")</f>
        <v>#N/A</v>
      </c>
      <c r="H113" s="35" t="str">
        <f t="shared" si="35"/>
        <v>Illiquid</v>
      </c>
      <c r="I113" s="35" t="str">
        <f t="shared" si="7"/>
        <v>RVol Required</v>
      </c>
      <c r="J113" s="37">
        <f>IFERROR(__xludf.DUMMYFUNCTION("IFERROR(
  IF(C113="""",, 
    IFERROR(
      GOOGLEFINANCE(C113, ""price"") * GOOGLEFINANCE(C113, ""volumeavg""), 
      GOOGLEFINANCE(C113, ""price"") * AVERAGE(QUERY(GOOGLEFINANCE(C113, ""volume"", TODAY()-40, TODAY()), ""SELECT Col2 WHERE Col2 IS NOT "&amp;"NULL ORDER BY Col1 DESC LIMIT 20"", 0))
    )
  ), 
"""")"),1480129.35)</f>
        <v>1480129.35</v>
      </c>
      <c r="K113" s="21">
        <f>IFERROR(__xludf.DUMMYFUNCTION("IFERROR(GOOGLEFINANCE(C113, ""changepct"") / 100, """")"),0.019)</f>
        <v>0.019</v>
      </c>
      <c r="L113" s="21" t="str">
        <f>IFERROR(__xludf.DUMMYFUNCTION("IFERROR((GOOGLEFINANCE(C113, ""price"") / INDEX(GOOGLEFINANCE(C113, ""price"", TODAY()-7, TODAY()), 2, 2)) - 1, """")"),"")</f>
        <v/>
      </c>
      <c r="M113" s="21" t="str">
        <f>IFERROR(__xludf.DUMMYFUNCTION("IFERROR((GOOGLEFINANCE(C113, ""price"") / INDEX(GOOGLEFINANCE(C113, ""price"", EDATE(TODAY(), -1), TODAY()), 2, 2)) - 1, """")"),"")</f>
        <v/>
      </c>
      <c r="N113" s="21" t="str">
        <f>IFERROR(__xludf.DUMMYFUNCTION("IFERROR((GOOGLEFINANCE(C113, ""price"") / INDEX(GOOGLEFINANCE(C113, ""price"", EDATE(TODAY(), -3), TODAY()), 2, 2)) - 1, """")"),"")</f>
        <v/>
      </c>
      <c r="O113" s="21" t="str">
        <f>IFERROR(__xludf.DUMMYFUNCTION("IFERROR((GOOGLEFINANCE(C113, ""price"") / INDEX(GOOGLEFINANCE(C113, ""price"", EDATE(TODAY(), -6), TODAY()), 2, 2)) - 1, """")"),"")</f>
        <v/>
      </c>
      <c r="P113" s="21" t="str">
        <f>IFERROR(__xludf.DUMMYFUNCTION("IFERROR((GOOGLEFINANCE(C113, ""price"") / INDEX(GOOGLEFINANCE(C113, ""price"", EDATE(TODAY(), -12), TODAY()), 2, 2)) - 1, """")"),"")</f>
        <v/>
      </c>
      <c r="Q113" s="6" t="str">
        <f>IFERROR(__xludf.DUMMYFUNCTION("AVERAGE(QUERY(GOOGLEFINANCE(C113, ""price"", TODAY()-80, TODAY()), ""SELECT Col2 WHERE Col2 IS NOT NULL ORDER BY Col1 DESC LIMIT 50"", 0))"),"#N/A")</f>
        <v>#N/A</v>
      </c>
      <c r="R113" s="24" t="str">
        <f>IFERROR(__xludf.DUMMYFUNCTION("IFERROR(
  LET(
    data, QUERY(GOOGLEFINANCE(C113,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GOOGLEFINANCE(C113, ""price"")) * 100,
    IF(calc=0, G113, calc)
  ), 
G113)"),"#N/A")</f>
        <v>#N/A</v>
      </c>
      <c r="S113" s="8" t="s">
        <v>15</v>
      </c>
      <c r="T113" s="26" t="str">
        <f>IFERROR(__xludf.DUMMYFUNCTION("IFERROR(TRANSPOSE(QUERY(IFERROR(SORT(GOOGLEFINANCE(C113, ""price"", WORKDAY(TODAY(), -40), TODAY()), 1, FALSE)), ""select Col2 where Col2 is not null limit 22 label Col2 ''"", 0)), """")"),"")</f>
        <v/>
      </c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8"/>
      <c r="AO113" s="28"/>
      <c r="AP113" s="29"/>
      <c r="AQ113" s="29" t="str">
        <f t="shared" ref="AQ113:BL113" si="117">T113/T$2</f>
        <v>#N/A</v>
      </c>
      <c r="AR113" s="29" t="str">
        <f t="shared" si="117"/>
        <v>#DIV/0!</v>
      </c>
      <c r="AS113" s="29" t="str">
        <f t="shared" si="117"/>
        <v>#DIV/0!</v>
      </c>
      <c r="AT113" s="29" t="str">
        <f t="shared" si="117"/>
        <v>#DIV/0!</v>
      </c>
      <c r="AU113" s="29" t="str">
        <f t="shared" si="117"/>
        <v>#DIV/0!</v>
      </c>
      <c r="AV113" s="29" t="str">
        <f t="shared" si="117"/>
        <v>#DIV/0!</v>
      </c>
      <c r="AW113" s="29" t="str">
        <f t="shared" si="117"/>
        <v>#DIV/0!</v>
      </c>
      <c r="AX113" s="29" t="str">
        <f t="shared" si="117"/>
        <v>#DIV/0!</v>
      </c>
      <c r="AY113" s="29" t="str">
        <f t="shared" si="117"/>
        <v>#DIV/0!</v>
      </c>
      <c r="AZ113" s="29" t="str">
        <f t="shared" si="117"/>
        <v>#DIV/0!</v>
      </c>
      <c r="BA113" s="29" t="str">
        <f t="shared" si="117"/>
        <v>#DIV/0!</v>
      </c>
      <c r="BB113" s="29" t="str">
        <f t="shared" si="117"/>
        <v>#DIV/0!</v>
      </c>
      <c r="BC113" s="29" t="str">
        <f t="shared" si="117"/>
        <v>#DIV/0!</v>
      </c>
      <c r="BD113" s="29" t="str">
        <f t="shared" si="117"/>
        <v>#DIV/0!</v>
      </c>
      <c r="BE113" s="29" t="str">
        <f t="shared" si="117"/>
        <v>#DIV/0!</v>
      </c>
      <c r="BF113" s="29" t="str">
        <f t="shared" si="117"/>
        <v>#DIV/0!</v>
      </c>
      <c r="BG113" s="29" t="str">
        <f t="shared" si="117"/>
        <v>#DIV/0!</v>
      </c>
      <c r="BH113" s="29" t="str">
        <f t="shared" si="117"/>
        <v>#DIV/0!</v>
      </c>
      <c r="BI113" s="29" t="str">
        <f t="shared" si="117"/>
        <v>#DIV/0!</v>
      </c>
      <c r="BJ113" s="29" t="str">
        <f t="shared" si="117"/>
        <v>#DIV/0!</v>
      </c>
      <c r="BK113" s="29" t="str">
        <f t="shared" si="117"/>
        <v>#DIV/0!</v>
      </c>
      <c r="BL113" s="29" t="str">
        <f t="shared" si="117"/>
        <v>#DIV/0!</v>
      </c>
      <c r="BM113" s="29" t="str">
        <f t="shared" si="3"/>
        <v>#DIV/0!</v>
      </c>
    </row>
    <row r="114">
      <c r="A114" s="16" t="str">
        <f>IFERROR(__xludf.DUMMYFUNCTION("IFERROR(SPARKLINE(SORT(MAP(TRANSPOSE(AQ114:BL114), LAMBDA(val, IF(ISNUMBER(val), PERCENTRANK(AQ114:BL114, val)+0.01, 0))), SEQUENCE(COLUMNS(AQ114:BL114)), FALSE), {""charttype"",""column""; ""color"",""chartreuse""; ""ymin"", 0; ""ymax"", 1.01; ""highcolo"&amp;"r"", ""darkgreen""; ""lowcolor"", ""red""}), """")"),"")</f>
        <v/>
      </c>
      <c r="B114" s="17" t="str">
        <f t="shared" si="4"/>
        <v/>
      </c>
      <c r="C114" s="1" t="s">
        <v>3283</v>
      </c>
      <c r="D114" s="30" t="str">
        <f>IFERROR(__xludf.DUMMYFUNCTION("IFERROR(GOOGLEFINANCE(C114, ""NAME""))"),"Sensient Technologies Corp")</f>
        <v>Sensient Technologies Corp</v>
      </c>
      <c r="E114" s="30" t="s">
        <v>2995</v>
      </c>
      <c r="F114" s="33" t="str">
        <f>IFERROR(__xludf.DUMMYFUNCTION("( (GOOGLEFINANCE(C114, ""price"") - Q114) / Q114 ) / (R114 / 100)"),"Loading...")</f>
        <v>Loading...</v>
      </c>
      <c r="G114" s="20" t="str">
        <f>IFERROR(__xludf.DUMMYFUNCTION("AVERAGE(ARRAYFORMULA(100 * (QUERY(GOOGLEFINANCE(C114, ""high"", TODAY()-40, TODAY()), ""SELECT Col2 WHERE Col2 IS NOT NULL ORDER BY Col1 DESC LIMIT 20"", 0) / QUERY(GOOGLEFINANCE(C114, ""low"", TODAY()-40, TODAY()), ""SELECT Col2 WHERE Col2 IS NOT NULL OR"&amp;"DER BY Col1 DESC LIMIT 20"", 0) - 1)))"),"#N/A")</f>
        <v>#N/A</v>
      </c>
      <c r="H114" s="35" t="str">
        <f t="shared" si="35"/>
        <v>Illiquid</v>
      </c>
      <c r="I114" s="35" t="str">
        <f t="shared" si="7"/>
        <v>RVol Required</v>
      </c>
      <c r="J114" s="37">
        <f>IFERROR(__xludf.DUMMYFUNCTION("IFERROR(
  IF(C114="""",, 
    IFERROR(
      GOOGLEFINANCE(C114, ""price"") * GOOGLEFINANCE(C114, ""volumeavg""), 
      GOOGLEFINANCE(C114, ""price"") * AVERAGE(QUERY(GOOGLEFINANCE(C114, ""volume"", TODAY()-40, TODAY()), ""SELECT Col2 WHERE Col2 IS NOT "&amp;"NULL ORDER BY Col1 DESC LIMIT 20"", 0))
    )
  ), 
"""")"),4.501327302E7)</f>
        <v>45013273.02</v>
      </c>
      <c r="K114" s="21">
        <f>IFERROR(__xludf.DUMMYFUNCTION("IFERROR(GOOGLEFINANCE(C114, ""changepct"") / 100, """")"),0.0024)</f>
        <v>0.0024</v>
      </c>
      <c r="L114" s="21" t="str">
        <f>IFERROR(__xludf.DUMMYFUNCTION("IFERROR((GOOGLEFINANCE(C114, ""price"") / INDEX(GOOGLEFINANCE(C114, ""price"", TODAY()-7, TODAY()), 2, 2)) - 1, """")"),"")</f>
        <v/>
      </c>
      <c r="M114" s="21" t="str">
        <f>IFERROR(__xludf.DUMMYFUNCTION("IFERROR((GOOGLEFINANCE(C114, ""price"") / INDEX(GOOGLEFINANCE(C114, ""price"", EDATE(TODAY(), -1), TODAY()), 2, 2)) - 1, """")"),"")</f>
        <v/>
      </c>
      <c r="N114" s="21" t="str">
        <f>IFERROR(__xludf.DUMMYFUNCTION("IFERROR((GOOGLEFINANCE(C114, ""price"") / INDEX(GOOGLEFINANCE(C114, ""price"", EDATE(TODAY(), -3), TODAY()), 2, 2)) - 1, """")"),"")</f>
        <v/>
      </c>
      <c r="O114" s="21" t="str">
        <f>IFERROR(__xludf.DUMMYFUNCTION("IFERROR((GOOGLEFINANCE(C114, ""price"") / INDEX(GOOGLEFINANCE(C114, ""price"", EDATE(TODAY(), -6), TODAY()), 2, 2)) - 1, """")"),"")</f>
        <v/>
      </c>
      <c r="P114" s="21" t="str">
        <f>IFERROR(__xludf.DUMMYFUNCTION("IFERROR((GOOGLEFINANCE(C114, ""price"") / INDEX(GOOGLEFINANCE(C114, ""price"", EDATE(TODAY(), -12), TODAY()), 2, 2)) - 1, """")"),"")</f>
        <v/>
      </c>
      <c r="Q114" s="6" t="str">
        <f>IFERROR(__xludf.DUMMYFUNCTION("AVERAGE(QUERY(GOOGLEFINANCE(C114, ""price"", TODAY()-80, TODAY()), ""SELECT Col2 WHERE Col2 IS NOT NULL ORDER BY Col1 DESC LIMIT 50"", 0))"),"#N/A")</f>
        <v>#N/A</v>
      </c>
      <c r="R114" s="24" t="str">
        <f>IFERROR(__xludf.DUMMYFUNCTION("IFERROR(
  LET(
    data, QUERY(GOOGLEFINANCE(C114,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GOOGLEFINANCE(C114, ""price"")) * 100,
    IF(calc=0, G114, calc)
  ), 
G114)"),"#N/A")</f>
        <v>#N/A</v>
      </c>
      <c r="S114" s="8" t="s">
        <v>15</v>
      </c>
      <c r="T114" s="26" t="str">
        <f>IFERROR(__xludf.DUMMYFUNCTION("IFERROR(TRANSPOSE(QUERY(IFERROR(SORT(GOOGLEFINANCE(C114, ""price"", WORKDAY(TODAY(), -40), TODAY()), 1, FALSE)), ""select Col2 where Col2 is not null limit 22 label Col2 ''"", 0)), """")"),"")</f>
        <v/>
      </c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8"/>
      <c r="AO114" s="28"/>
      <c r="AP114" s="29"/>
      <c r="AQ114" s="29" t="str">
        <f t="shared" ref="AQ114:BL114" si="118">T114/T$2</f>
        <v>#N/A</v>
      </c>
      <c r="AR114" s="29" t="str">
        <f t="shared" si="118"/>
        <v>#DIV/0!</v>
      </c>
      <c r="AS114" s="29" t="str">
        <f t="shared" si="118"/>
        <v>#DIV/0!</v>
      </c>
      <c r="AT114" s="29" t="str">
        <f t="shared" si="118"/>
        <v>#DIV/0!</v>
      </c>
      <c r="AU114" s="29" t="str">
        <f t="shared" si="118"/>
        <v>#DIV/0!</v>
      </c>
      <c r="AV114" s="29" t="str">
        <f t="shared" si="118"/>
        <v>#DIV/0!</v>
      </c>
      <c r="AW114" s="29" t="str">
        <f t="shared" si="118"/>
        <v>#DIV/0!</v>
      </c>
      <c r="AX114" s="29" t="str">
        <f t="shared" si="118"/>
        <v>#DIV/0!</v>
      </c>
      <c r="AY114" s="29" t="str">
        <f t="shared" si="118"/>
        <v>#DIV/0!</v>
      </c>
      <c r="AZ114" s="29" t="str">
        <f t="shared" si="118"/>
        <v>#DIV/0!</v>
      </c>
      <c r="BA114" s="29" t="str">
        <f t="shared" si="118"/>
        <v>#DIV/0!</v>
      </c>
      <c r="BB114" s="29" t="str">
        <f t="shared" si="118"/>
        <v>#DIV/0!</v>
      </c>
      <c r="BC114" s="29" t="str">
        <f t="shared" si="118"/>
        <v>#DIV/0!</v>
      </c>
      <c r="BD114" s="29" t="str">
        <f t="shared" si="118"/>
        <v>#DIV/0!</v>
      </c>
      <c r="BE114" s="29" t="str">
        <f t="shared" si="118"/>
        <v>#DIV/0!</v>
      </c>
      <c r="BF114" s="29" t="str">
        <f t="shared" si="118"/>
        <v>#DIV/0!</v>
      </c>
      <c r="BG114" s="29" t="str">
        <f t="shared" si="118"/>
        <v>#DIV/0!</v>
      </c>
      <c r="BH114" s="29" t="str">
        <f t="shared" si="118"/>
        <v>#DIV/0!</v>
      </c>
      <c r="BI114" s="29" t="str">
        <f t="shared" si="118"/>
        <v>#DIV/0!</v>
      </c>
      <c r="BJ114" s="29" t="str">
        <f t="shared" si="118"/>
        <v>#DIV/0!</v>
      </c>
      <c r="BK114" s="29" t="str">
        <f t="shared" si="118"/>
        <v>#DIV/0!</v>
      </c>
      <c r="BL114" s="29" t="str">
        <f t="shared" si="118"/>
        <v>#DIV/0!</v>
      </c>
      <c r="BM114" s="29" t="str">
        <f t="shared" si="3"/>
        <v>#DIV/0!</v>
      </c>
    </row>
    <row r="115">
      <c r="A115" s="16" t="str">
        <f>IFERROR(__xludf.DUMMYFUNCTION("IFERROR(SPARKLINE(SORT(MAP(TRANSPOSE(AQ115:BL115), LAMBDA(val, IF(ISNUMBER(val), PERCENTRANK(AQ115:BL115, val)+0.01, 0))), SEQUENCE(COLUMNS(AQ115:BL115)), FALSE), {""charttype"",""column""; ""color"",""chartreuse""; ""ymin"", 0; ""ymax"", 1.01; ""highcolo"&amp;"r"", ""darkgreen""; ""lowcolor"", ""red""}), """")"),"")</f>
        <v/>
      </c>
      <c r="B115" s="17" t="str">
        <f t="shared" si="4"/>
        <v/>
      </c>
      <c r="C115" s="1" t="s">
        <v>3284</v>
      </c>
      <c r="D115" s="30" t="str">
        <f>IFERROR(__xludf.DUMMYFUNCTION("IFERROR(GOOGLEFINANCE(C115, ""NAME""))"),"Equinox Gold Corp")</f>
        <v>Equinox Gold Corp</v>
      </c>
      <c r="E115" s="30" t="s">
        <v>2928</v>
      </c>
      <c r="F115" s="33" t="str">
        <f>IFERROR(__xludf.DUMMYFUNCTION("( (GOOGLEFINANCE(C115, ""price"") - Q115) / Q115 ) / (R115 / 100)"),"Loading...")</f>
        <v>Loading...</v>
      </c>
      <c r="G115" s="20" t="str">
        <f>IFERROR(__xludf.DUMMYFUNCTION("AVERAGE(ARRAYFORMULA(100 * (QUERY(GOOGLEFINANCE(C115, ""high"", TODAY()-40, TODAY()), ""SELECT Col2 WHERE Col2 IS NOT NULL ORDER BY Col1 DESC LIMIT 20"", 0) / QUERY(GOOGLEFINANCE(C115, ""low"", TODAY()-40, TODAY()), ""SELECT Col2 WHERE Col2 IS NOT NULL OR"&amp;"DER BY Col1 DESC LIMIT 20"", 0) - 1)))"),"#N/A")</f>
        <v>#N/A</v>
      </c>
      <c r="H115" s="35" t="str">
        <f t="shared" si="35"/>
        <v>Liquid</v>
      </c>
      <c r="I115" s="35" t="str">
        <f t="shared" si="7"/>
        <v>RVol Required</v>
      </c>
      <c r="J115" s="37">
        <f>IFERROR(__xludf.DUMMYFUNCTION("IFERROR(
  IF(C115="""",, 
    IFERROR(
      GOOGLEFINANCE(C115, ""price"") * GOOGLEFINANCE(C115, ""volumeavg""), 
      GOOGLEFINANCE(C115, ""price"") * AVERAGE(QUERY(GOOGLEFINANCE(C115, ""volume"", TODAY()-40, TODAY()), ""SELECT Col2 WHERE Col2 IS NOT "&amp;"NULL ORDER BY Col1 DESC LIMIT 20"", 0))
    )
  ), 
"""")"),1.3657473325E8)</f>
        <v>136574733.3</v>
      </c>
      <c r="K115" s="21">
        <f>IFERROR(__xludf.DUMMYFUNCTION("IFERROR(GOOGLEFINANCE(C115, ""changepct"") / 100, """")"),0.0063)</f>
        <v>0.0063</v>
      </c>
      <c r="L115" s="21" t="str">
        <f>IFERROR(__xludf.DUMMYFUNCTION("IFERROR((GOOGLEFINANCE(C115, ""price"") / INDEX(GOOGLEFINANCE(C115, ""price"", TODAY()-7, TODAY()), 2, 2)) - 1, """")"),"")</f>
        <v/>
      </c>
      <c r="M115" s="21" t="str">
        <f>IFERROR(__xludf.DUMMYFUNCTION("IFERROR((GOOGLEFINANCE(C115, ""price"") / INDEX(GOOGLEFINANCE(C115, ""price"", EDATE(TODAY(), -1), TODAY()), 2, 2)) - 1, """")"),"")</f>
        <v/>
      </c>
      <c r="N115" s="21" t="str">
        <f>IFERROR(__xludf.DUMMYFUNCTION("IFERROR((GOOGLEFINANCE(C115, ""price"") / INDEX(GOOGLEFINANCE(C115, ""price"", EDATE(TODAY(), -3), TODAY()), 2, 2)) - 1, """")"),"")</f>
        <v/>
      </c>
      <c r="O115" s="21" t="str">
        <f>IFERROR(__xludf.DUMMYFUNCTION("IFERROR((GOOGLEFINANCE(C115, ""price"") / INDEX(GOOGLEFINANCE(C115, ""price"", EDATE(TODAY(), -6), TODAY()), 2, 2)) - 1, """")"),"")</f>
        <v/>
      </c>
      <c r="P115" s="21" t="str">
        <f>IFERROR(__xludf.DUMMYFUNCTION("IFERROR((GOOGLEFINANCE(C115, ""price"") / INDEX(GOOGLEFINANCE(C115, ""price"", EDATE(TODAY(), -12), TODAY()), 2, 2)) - 1, """")"),"")</f>
        <v/>
      </c>
      <c r="Q115" s="6" t="str">
        <f>IFERROR(__xludf.DUMMYFUNCTION("AVERAGE(QUERY(GOOGLEFINANCE(C115, ""price"", TODAY()-80, TODAY()), ""SELECT Col2 WHERE Col2 IS NOT NULL ORDER BY Col1 DESC LIMIT 50"", 0))"),"#N/A")</f>
        <v>#N/A</v>
      </c>
      <c r="R115" s="24" t="str">
        <f>IFERROR(__xludf.DUMMYFUNCTION("IFERROR(
  LET(
    data, QUERY(GOOGLEFINANCE(C115,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GOOGLEFINANCE(C115, ""price"")) * 100,
    IF(calc=0, G115, calc)
  ), 
G115)"),"#N/A")</f>
        <v>#N/A</v>
      </c>
      <c r="S115" s="8" t="s">
        <v>15</v>
      </c>
      <c r="T115" s="26" t="str">
        <f>IFERROR(__xludf.DUMMYFUNCTION("IFERROR(TRANSPOSE(QUERY(IFERROR(SORT(GOOGLEFINANCE(C115, ""price"", WORKDAY(TODAY(), -40), TODAY()), 1, FALSE)), ""select Col2 where Col2 is not null limit 22 label Col2 ''"", 0)), """")"),"")</f>
        <v/>
      </c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8"/>
      <c r="AO115" s="28"/>
      <c r="AP115" s="29"/>
      <c r="AQ115" s="29" t="str">
        <f t="shared" ref="AQ115:BL115" si="119">T115/T$2</f>
        <v>#N/A</v>
      </c>
      <c r="AR115" s="29" t="str">
        <f t="shared" si="119"/>
        <v>#DIV/0!</v>
      </c>
      <c r="AS115" s="29" t="str">
        <f t="shared" si="119"/>
        <v>#DIV/0!</v>
      </c>
      <c r="AT115" s="29" t="str">
        <f t="shared" si="119"/>
        <v>#DIV/0!</v>
      </c>
      <c r="AU115" s="29" t="str">
        <f t="shared" si="119"/>
        <v>#DIV/0!</v>
      </c>
      <c r="AV115" s="29" t="str">
        <f t="shared" si="119"/>
        <v>#DIV/0!</v>
      </c>
      <c r="AW115" s="29" t="str">
        <f t="shared" si="119"/>
        <v>#DIV/0!</v>
      </c>
      <c r="AX115" s="29" t="str">
        <f t="shared" si="119"/>
        <v>#DIV/0!</v>
      </c>
      <c r="AY115" s="29" t="str">
        <f t="shared" si="119"/>
        <v>#DIV/0!</v>
      </c>
      <c r="AZ115" s="29" t="str">
        <f t="shared" si="119"/>
        <v>#DIV/0!</v>
      </c>
      <c r="BA115" s="29" t="str">
        <f t="shared" si="119"/>
        <v>#DIV/0!</v>
      </c>
      <c r="BB115" s="29" t="str">
        <f t="shared" si="119"/>
        <v>#DIV/0!</v>
      </c>
      <c r="BC115" s="29" t="str">
        <f t="shared" si="119"/>
        <v>#DIV/0!</v>
      </c>
      <c r="BD115" s="29" t="str">
        <f t="shared" si="119"/>
        <v>#DIV/0!</v>
      </c>
      <c r="BE115" s="29" t="str">
        <f t="shared" si="119"/>
        <v>#DIV/0!</v>
      </c>
      <c r="BF115" s="29" t="str">
        <f t="shared" si="119"/>
        <v>#DIV/0!</v>
      </c>
      <c r="BG115" s="29" t="str">
        <f t="shared" si="119"/>
        <v>#DIV/0!</v>
      </c>
      <c r="BH115" s="29" t="str">
        <f t="shared" si="119"/>
        <v>#DIV/0!</v>
      </c>
      <c r="BI115" s="29" t="str">
        <f t="shared" si="119"/>
        <v>#DIV/0!</v>
      </c>
      <c r="BJ115" s="29" t="str">
        <f t="shared" si="119"/>
        <v>#DIV/0!</v>
      </c>
      <c r="BK115" s="29" t="str">
        <f t="shared" si="119"/>
        <v>#DIV/0!</v>
      </c>
      <c r="BL115" s="29" t="str">
        <f t="shared" si="119"/>
        <v>#DIV/0!</v>
      </c>
      <c r="BM115" s="29" t="str">
        <f t="shared" si="3"/>
        <v>#DIV/0!</v>
      </c>
    </row>
    <row r="116">
      <c r="A116" s="16" t="str">
        <f>IFERROR(__xludf.DUMMYFUNCTION("IFERROR(SPARKLINE(SORT(MAP(TRANSPOSE(AQ116:BL116), LAMBDA(val, IF(ISNUMBER(val), PERCENTRANK(AQ116:BL116, val)+0.01, 0))), SEQUENCE(COLUMNS(AQ116:BL116)), FALSE), {""charttype"",""column""; ""color"",""chartreuse""; ""ymin"", 0; ""ymax"", 1.01; ""highcolo"&amp;"r"", ""darkgreen""; ""lowcolor"", ""red""}), """")"),"")</f>
        <v/>
      </c>
      <c r="B116" s="17" t="str">
        <f t="shared" si="4"/>
        <v/>
      </c>
      <c r="C116" s="1" t="s">
        <v>3285</v>
      </c>
      <c r="D116" s="30" t="str">
        <f>IFERROR(__xludf.DUMMYFUNCTION("IFERROR(GOOGLEFINANCE(C116, ""NAME""))"),"Wheaton Precious Metals Corp")</f>
        <v>Wheaton Precious Metals Corp</v>
      </c>
      <c r="E116" s="30" t="s">
        <v>2928</v>
      </c>
      <c r="F116" s="33" t="str">
        <f>IFERROR(__xludf.DUMMYFUNCTION("( (GOOGLEFINANCE(C116, ""price"") - Q116) / Q116 ) / (R116 / 100)"),"Loading...")</f>
        <v>Loading...</v>
      </c>
      <c r="G116" s="20" t="str">
        <f>IFERROR(__xludf.DUMMYFUNCTION("AVERAGE(ARRAYFORMULA(100 * (QUERY(GOOGLEFINANCE(C116, ""high"", TODAY()-40, TODAY()), ""SELECT Col2 WHERE Col2 IS NOT NULL ORDER BY Col1 DESC LIMIT 20"", 0) / QUERY(GOOGLEFINANCE(C116, ""low"", TODAY()-40, TODAY()), ""SELECT Col2 WHERE Col2 IS NOT NULL OR"&amp;"DER BY Col1 DESC LIMIT 20"", 0) - 1)))"),"#N/A")</f>
        <v>#N/A</v>
      </c>
      <c r="H116" s="35" t="str">
        <f t="shared" si="35"/>
        <v>Liquid</v>
      </c>
      <c r="I116" s="35" t="str">
        <f t="shared" si="7"/>
        <v>RVol Required</v>
      </c>
      <c r="J116" s="37">
        <f>IFERROR(__xludf.DUMMYFUNCTION("IFERROR(
  IF(C116="""",, 
    IFERROR(
      GOOGLEFINANCE(C116, ""price"") * GOOGLEFINANCE(C116, ""volumeavg""), 
      GOOGLEFINANCE(C116, ""price"") * AVERAGE(QUERY(GOOGLEFINANCE(C116, ""volume"", TODAY()-40, TODAY()), ""SELECT Col2 WHERE Col2 IS NOT "&amp;"NULL ORDER BY Col1 DESC LIMIT 20"", 0))
    )
  ), 
"""")"),2.2812760298000002E8)</f>
        <v>228127603</v>
      </c>
      <c r="K116" s="21">
        <f>IFERROR(__xludf.DUMMYFUNCTION("IFERROR(GOOGLEFINANCE(C116, ""changepct"") / 100, """")"),0.0077)</f>
        <v>0.0077</v>
      </c>
      <c r="L116" s="21" t="str">
        <f>IFERROR(__xludf.DUMMYFUNCTION("IFERROR((GOOGLEFINANCE(C116, ""price"") / INDEX(GOOGLEFINANCE(C116, ""price"", TODAY()-7, TODAY()), 2, 2)) - 1, """")"),"")</f>
        <v/>
      </c>
      <c r="M116" s="21" t="str">
        <f>IFERROR(__xludf.DUMMYFUNCTION("IFERROR((GOOGLEFINANCE(C116, ""price"") / INDEX(GOOGLEFINANCE(C116, ""price"", EDATE(TODAY(), -1), TODAY()), 2, 2)) - 1, """")"),"")</f>
        <v/>
      </c>
      <c r="N116" s="21" t="str">
        <f>IFERROR(__xludf.DUMMYFUNCTION("IFERROR((GOOGLEFINANCE(C116, ""price"") / INDEX(GOOGLEFINANCE(C116, ""price"", EDATE(TODAY(), -3), TODAY()), 2, 2)) - 1, """")"),"")</f>
        <v/>
      </c>
      <c r="O116" s="21" t="str">
        <f>IFERROR(__xludf.DUMMYFUNCTION("IFERROR((GOOGLEFINANCE(C116, ""price"") / INDEX(GOOGLEFINANCE(C116, ""price"", EDATE(TODAY(), -6), TODAY()), 2, 2)) - 1, """")"),"")</f>
        <v/>
      </c>
      <c r="P116" s="21" t="str">
        <f>IFERROR(__xludf.DUMMYFUNCTION("IFERROR((GOOGLEFINANCE(C116, ""price"") / INDEX(GOOGLEFINANCE(C116, ""price"", EDATE(TODAY(), -12), TODAY()), 2, 2)) - 1, """")"),"")</f>
        <v/>
      </c>
      <c r="Q116" s="6" t="str">
        <f>IFERROR(__xludf.DUMMYFUNCTION("AVERAGE(QUERY(GOOGLEFINANCE(C116, ""price"", TODAY()-80, TODAY()), ""SELECT Col2 WHERE Col2 IS NOT NULL ORDER BY Col1 DESC LIMIT 50"", 0))"),"#N/A")</f>
        <v>#N/A</v>
      </c>
      <c r="R116" s="24" t="str">
        <f>IFERROR(__xludf.DUMMYFUNCTION("IFERROR(
  LET(
    data, QUERY(GOOGLEFINANCE(C116,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GOOGLEFINANCE(C116, ""price"")) * 100,
    IF(calc=0, G116, calc)
  ), 
G116)"),"#N/A")</f>
        <v>#N/A</v>
      </c>
      <c r="S116" s="8" t="s">
        <v>15</v>
      </c>
      <c r="T116" s="26" t="str">
        <f>IFERROR(__xludf.DUMMYFUNCTION("IFERROR(TRANSPOSE(QUERY(IFERROR(SORT(GOOGLEFINANCE(C116, ""price"", WORKDAY(TODAY(), -40), TODAY()), 1, FALSE)), ""select Col2 where Col2 is not null limit 22 label Col2 ''"", 0)), """")"),"")</f>
        <v/>
      </c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8"/>
      <c r="AO116" s="28"/>
      <c r="AP116" s="29"/>
      <c r="AQ116" s="29" t="str">
        <f t="shared" ref="AQ116:BL116" si="120">T116/T$2</f>
        <v>#N/A</v>
      </c>
      <c r="AR116" s="29" t="str">
        <f t="shared" si="120"/>
        <v>#DIV/0!</v>
      </c>
      <c r="AS116" s="29" t="str">
        <f t="shared" si="120"/>
        <v>#DIV/0!</v>
      </c>
      <c r="AT116" s="29" t="str">
        <f t="shared" si="120"/>
        <v>#DIV/0!</v>
      </c>
      <c r="AU116" s="29" t="str">
        <f t="shared" si="120"/>
        <v>#DIV/0!</v>
      </c>
      <c r="AV116" s="29" t="str">
        <f t="shared" si="120"/>
        <v>#DIV/0!</v>
      </c>
      <c r="AW116" s="29" t="str">
        <f t="shared" si="120"/>
        <v>#DIV/0!</v>
      </c>
      <c r="AX116" s="29" t="str">
        <f t="shared" si="120"/>
        <v>#DIV/0!</v>
      </c>
      <c r="AY116" s="29" t="str">
        <f t="shared" si="120"/>
        <v>#DIV/0!</v>
      </c>
      <c r="AZ116" s="29" t="str">
        <f t="shared" si="120"/>
        <v>#DIV/0!</v>
      </c>
      <c r="BA116" s="29" t="str">
        <f t="shared" si="120"/>
        <v>#DIV/0!</v>
      </c>
      <c r="BB116" s="29" t="str">
        <f t="shared" si="120"/>
        <v>#DIV/0!</v>
      </c>
      <c r="BC116" s="29" t="str">
        <f t="shared" si="120"/>
        <v>#DIV/0!</v>
      </c>
      <c r="BD116" s="29" t="str">
        <f t="shared" si="120"/>
        <v>#DIV/0!</v>
      </c>
      <c r="BE116" s="29" t="str">
        <f t="shared" si="120"/>
        <v>#DIV/0!</v>
      </c>
      <c r="BF116" s="29" t="str">
        <f t="shared" si="120"/>
        <v>#DIV/0!</v>
      </c>
      <c r="BG116" s="29" t="str">
        <f t="shared" si="120"/>
        <v>#DIV/0!</v>
      </c>
      <c r="BH116" s="29" t="str">
        <f t="shared" si="120"/>
        <v>#DIV/0!</v>
      </c>
      <c r="BI116" s="29" t="str">
        <f t="shared" si="120"/>
        <v>#DIV/0!</v>
      </c>
      <c r="BJ116" s="29" t="str">
        <f t="shared" si="120"/>
        <v>#DIV/0!</v>
      </c>
      <c r="BK116" s="29" t="str">
        <f t="shared" si="120"/>
        <v>#DIV/0!</v>
      </c>
      <c r="BL116" s="29" t="str">
        <f t="shared" si="120"/>
        <v>#DIV/0!</v>
      </c>
      <c r="BM116" s="29" t="str">
        <f t="shared" si="3"/>
        <v>#DIV/0!</v>
      </c>
    </row>
    <row r="117">
      <c r="A117" s="16" t="str">
        <f>IFERROR(__xludf.DUMMYFUNCTION("IFERROR(SPARKLINE(SORT(MAP(TRANSPOSE(AQ117:BL117), LAMBDA(val, IF(ISNUMBER(val), PERCENTRANK(AQ117:BL117, val)+0.01, 0))), SEQUENCE(COLUMNS(AQ117:BL117)), FALSE), {""charttype"",""column""; ""color"",""chartreuse""; ""ymin"", 0; ""ymax"", 1.01; ""highcolo"&amp;"r"", ""darkgreen""; ""lowcolor"", ""red""}), """")"),"")</f>
        <v/>
      </c>
      <c r="B117" s="17" t="str">
        <f t="shared" si="4"/>
        <v/>
      </c>
      <c r="C117" s="1" t="s">
        <v>3286</v>
      </c>
      <c r="D117" s="30" t="str">
        <f>IFERROR(__xludf.DUMMYFUNCTION("IFERROR(GOOGLEFINANCE(C117, ""NAME""))"),"Alamos Gold Inc")</f>
        <v>Alamos Gold Inc</v>
      </c>
      <c r="E117" s="30" t="s">
        <v>2928</v>
      </c>
      <c r="F117" s="38" t="str">
        <f>IFERROR(__xludf.DUMMYFUNCTION("( (GOOGLEFINANCE(C117, ""price"") - Q117) / Q117 ) / (R117 / 100)"),"Loading...")</f>
        <v>Loading...</v>
      </c>
      <c r="G117" s="20" t="str">
        <f>IFERROR(__xludf.DUMMYFUNCTION("AVERAGE(ARRAYFORMULA(100 * (QUERY(GOOGLEFINANCE(C117, ""high"", TODAY()-40, TODAY()), ""SELECT Col2 WHERE Col2 IS NOT NULL ORDER BY Col1 DESC LIMIT 20"", 0) / QUERY(GOOGLEFINANCE(C117, ""low"", TODAY()-40, TODAY()), ""SELECT Col2 WHERE Col2 IS NOT NULL OR"&amp;"DER BY Col1 DESC LIMIT 20"", 0) - 1)))"),"#N/A")</f>
        <v>#N/A</v>
      </c>
      <c r="H117" s="35" t="str">
        <f t="shared" si="35"/>
        <v>Liquid</v>
      </c>
      <c r="I117" s="35" t="str">
        <f t="shared" si="7"/>
        <v>RVol Required</v>
      </c>
      <c r="J117" s="37">
        <f>IFERROR(__xludf.DUMMYFUNCTION("IFERROR(
  IF(C117="""",, 
    IFERROR(
      GOOGLEFINANCE(C117, ""price"") * GOOGLEFINANCE(C117, ""volumeavg""), 
      GOOGLEFINANCE(C117, ""price"") * AVERAGE(QUERY(GOOGLEFINANCE(C117, ""volume"", TODAY()-40, TODAY()), ""SELECT Col2 WHERE Col2 IS NOT "&amp;"NULL ORDER BY Col1 DESC LIMIT 20"", 0))
    )
  ), 
"""")"),1.0822233355999999E8)</f>
        <v>108222333.6</v>
      </c>
      <c r="K117" s="21">
        <f>IFERROR(__xludf.DUMMYFUNCTION("IFERROR(GOOGLEFINANCE(C117, ""changepct"") / 100, """")"),0.0044)</f>
        <v>0.0044</v>
      </c>
      <c r="L117" s="21" t="str">
        <f>IFERROR(__xludf.DUMMYFUNCTION("IFERROR((GOOGLEFINANCE(C117, ""price"") / INDEX(GOOGLEFINANCE(C117, ""price"", TODAY()-7, TODAY()), 2, 2)) - 1, """")"),"")</f>
        <v/>
      </c>
      <c r="M117" s="21" t="str">
        <f>IFERROR(__xludf.DUMMYFUNCTION("IFERROR((GOOGLEFINANCE(C117, ""price"") / INDEX(GOOGLEFINANCE(C117, ""price"", EDATE(TODAY(), -1), TODAY()), 2, 2)) - 1, """")"),"")</f>
        <v/>
      </c>
      <c r="N117" s="21" t="str">
        <f>IFERROR(__xludf.DUMMYFUNCTION("IFERROR((GOOGLEFINANCE(C117, ""price"") / INDEX(GOOGLEFINANCE(C117, ""price"", EDATE(TODAY(), -3), TODAY()), 2, 2)) - 1, """")"),"")</f>
        <v/>
      </c>
      <c r="O117" s="21" t="str">
        <f>IFERROR(__xludf.DUMMYFUNCTION("IFERROR((GOOGLEFINANCE(C117, ""price"") / INDEX(GOOGLEFINANCE(C117, ""price"", EDATE(TODAY(), -6), TODAY()), 2, 2)) - 1, """")"),"")</f>
        <v/>
      </c>
      <c r="P117" s="21" t="str">
        <f>IFERROR(__xludf.DUMMYFUNCTION("IFERROR((GOOGLEFINANCE(C117, ""price"") / INDEX(GOOGLEFINANCE(C117, ""price"", EDATE(TODAY(), -12), TODAY()), 2, 2)) - 1, """")"),"")</f>
        <v/>
      </c>
      <c r="Q117" s="6" t="str">
        <f>IFERROR(__xludf.DUMMYFUNCTION("AVERAGE(QUERY(GOOGLEFINANCE(C117, ""price"", TODAY()-80, TODAY()), ""SELECT Col2 WHERE Col2 IS NOT NULL ORDER BY Col1 DESC LIMIT 50"", 0))"),"#N/A")</f>
        <v>#N/A</v>
      </c>
      <c r="R117" s="24" t="str">
        <f>IFERROR(__xludf.DUMMYFUNCTION("IFERROR(
  LET(
    data, QUERY(GOOGLEFINANCE(C117,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GOOGLEFINANCE(C117, ""price"")) * 100,
    IF(calc=0, G117, calc)
  ), 
G117)"),"#N/A")</f>
        <v>#N/A</v>
      </c>
      <c r="S117" s="8" t="s">
        <v>15</v>
      </c>
      <c r="T117" s="26" t="str">
        <f>IFERROR(__xludf.DUMMYFUNCTION("IFERROR(TRANSPOSE(QUERY(IFERROR(SORT(GOOGLEFINANCE(C117, ""price"", WORKDAY(TODAY(), -40), TODAY()), 1, FALSE)), ""select Col2 where Col2 is not null limit 22 label Col2 ''"", 0)), """")"),"")</f>
        <v/>
      </c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8"/>
      <c r="AO117" s="28"/>
      <c r="AP117" s="29"/>
      <c r="AQ117" s="29" t="str">
        <f t="shared" ref="AQ117:BL117" si="121">T117/T$2</f>
        <v>#N/A</v>
      </c>
      <c r="AR117" s="29" t="str">
        <f t="shared" si="121"/>
        <v>#DIV/0!</v>
      </c>
      <c r="AS117" s="29" t="str">
        <f t="shared" si="121"/>
        <v>#DIV/0!</v>
      </c>
      <c r="AT117" s="29" t="str">
        <f t="shared" si="121"/>
        <v>#DIV/0!</v>
      </c>
      <c r="AU117" s="29" t="str">
        <f t="shared" si="121"/>
        <v>#DIV/0!</v>
      </c>
      <c r="AV117" s="29" t="str">
        <f t="shared" si="121"/>
        <v>#DIV/0!</v>
      </c>
      <c r="AW117" s="29" t="str">
        <f t="shared" si="121"/>
        <v>#DIV/0!</v>
      </c>
      <c r="AX117" s="29" t="str">
        <f t="shared" si="121"/>
        <v>#DIV/0!</v>
      </c>
      <c r="AY117" s="29" t="str">
        <f t="shared" si="121"/>
        <v>#DIV/0!</v>
      </c>
      <c r="AZ117" s="29" t="str">
        <f t="shared" si="121"/>
        <v>#DIV/0!</v>
      </c>
      <c r="BA117" s="29" t="str">
        <f t="shared" si="121"/>
        <v>#DIV/0!</v>
      </c>
      <c r="BB117" s="29" t="str">
        <f t="shared" si="121"/>
        <v>#DIV/0!</v>
      </c>
      <c r="BC117" s="29" t="str">
        <f t="shared" si="121"/>
        <v>#DIV/0!</v>
      </c>
      <c r="BD117" s="29" t="str">
        <f t="shared" si="121"/>
        <v>#DIV/0!</v>
      </c>
      <c r="BE117" s="29" t="str">
        <f t="shared" si="121"/>
        <v>#DIV/0!</v>
      </c>
      <c r="BF117" s="29" t="str">
        <f t="shared" si="121"/>
        <v>#DIV/0!</v>
      </c>
      <c r="BG117" s="29" t="str">
        <f t="shared" si="121"/>
        <v>#DIV/0!</v>
      </c>
      <c r="BH117" s="29" t="str">
        <f t="shared" si="121"/>
        <v>#DIV/0!</v>
      </c>
      <c r="BI117" s="29" t="str">
        <f t="shared" si="121"/>
        <v>#DIV/0!</v>
      </c>
      <c r="BJ117" s="29" t="str">
        <f t="shared" si="121"/>
        <v>#DIV/0!</v>
      </c>
      <c r="BK117" s="29" t="str">
        <f t="shared" si="121"/>
        <v>#DIV/0!</v>
      </c>
      <c r="BL117" s="29" t="str">
        <f t="shared" si="121"/>
        <v>#DIV/0!</v>
      </c>
      <c r="BM117" s="29" t="str">
        <f t="shared" si="3"/>
        <v>#DIV/0!</v>
      </c>
    </row>
    <row r="118">
      <c r="A118" s="16" t="str">
        <f>IFERROR(__xludf.DUMMYFUNCTION("IFERROR(SPARKLINE(SORT(MAP(TRANSPOSE(AQ118:BL118), LAMBDA(val, IF(ISNUMBER(val), PERCENTRANK(AQ118:BL118, val)+0.01, 0))), SEQUENCE(COLUMNS(AQ118:BL118)), FALSE), {""charttype"",""column""; ""color"",""chartreuse""; ""ymin"", 0; ""ymax"", 1.01; ""highcolo"&amp;"r"", ""darkgreen""; ""lowcolor"", ""red""}), """")"),"")</f>
        <v/>
      </c>
      <c r="B118" s="17" t="str">
        <f t="shared" si="4"/>
        <v/>
      </c>
      <c r="C118" s="1" t="s">
        <v>3287</v>
      </c>
      <c r="D118" s="30" t="str">
        <f>IFERROR(__xludf.DUMMYFUNCTION("IFERROR(GOOGLEFINANCE(C118, ""NAME""))"),"Caledonia Mining Corporation PLC")</f>
        <v>Caledonia Mining Corporation PLC</v>
      </c>
      <c r="E118" s="30" t="s">
        <v>2928</v>
      </c>
      <c r="F118" s="33" t="str">
        <f>IFERROR(__xludf.DUMMYFUNCTION("( (GOOGLEFINANCE(C118, ""price"") - Q118) / Q118 ) / (R118 / 100)"),"Loading...")</f>
        <v>Loading...</v>
      </c>
      <c r="G118" s="20" t="str">
        <f>IFERROR(__xludf.DUMMYFUNCTION("AVERAGE(ARRAYFORMULA(100 * (QUERY(GOOGLEFINANCE(C118, ""high"", TODAY()-40, TODAY()), ""SELECT Col2 WHERE Col2 IS NOT NULL ORDER BY Col1 DESC LIMIT 20"", 0) / QUERY(GOOGLEFINANCE(C118, ""low"", TODAY()-40, TODAY()), ""SELECT Col2 WHERE Col2 IS NOT NULL OR"&amp;"DER BY Col1 DESC LIMIT 20"", 0) - 1)))"),"#N/A")</f>
        <v>#N/A</v>
      </c>
      <c r="H118" s="35" t="str">
        <f t="shared" si="35"/>
        <v>Illiquid</v>
      </c>
      <c r="I118" s="35" t="str">
        <f t="shared" si="7"/>
        <v>RVol Required</v>
      </c>
      <c r="J118" s="37">
        <f>IFERROR(__xludf.DUMMYFUNCTION("IFERROR(
  IF(C118="""",, 
    IFERROR(
      GOOGLEFINANCE(C118, ""price"") * GOOGLEFINANCE(C118, ""volumeavg""), 
      GOOGLEFINANCE(C118, ""price"") * AVERAGE(QUERY(GOOGLEFINANCE(C118, ""volume"", TODAY()-40, TODAY()), ""SELECT Col2 WHERE Col2 IS NOT "&amp;"NULL ORDER BY Col1 DESC LIMIT 20"", 0))
    )
  ), 
"""")"),4694134.9399999995)</f>
        <v>4694134.94</v>
      </c>
      <c r="K118" s="21">
        <f>IFERROR(__xludf.DUMMYFUNCTION("IFERROR(GOOGLEFINANCE(C118, ""changepct"") / 100, """")"),-0.0068000000000000005)</f>
        <v>-0.0068</v>
      </c>
      <c r="L118" s="21" t="str">
        <f>IFERROR(__xludf.DUMMYFUNCTION("IFERROR((GOOGLEFINANCE(C118, ""price"") / INDEX(GOOGLEFINANCE(C118, ""price"", TODAY()-7, TODAY()), 2, 2)) - 1, """")"),"")</f>
        <v/>
      </c>
      <c r="M118" s="21" t="str">
        <f>IFERROR(__xludf.DUMMYFUNCTION("IFERROR((GOOGLEFINANCE(C118, ""price"") / INDEX(GOOGLEFINANCE(C118, ""price"", EDATE(TODAY(), -1), TODAY()), 2, 2)) - 1, """")"),"")</f>
        <v/>
      </c>
      <c r="N118" s="21" t="str">
        <f>IFERROR(__xludf.DUMMYFUNCTION("IFERROR((GOOGLEFINANCE(C118, ""price"") / INDEX(GOOGLEFINANCE(C118, ""price"", EDATE(TODAY(), -3), TODAY()), 2, 2)) - 1, """")"),"")</f>
        <v/>
      </c>
      <c r="O118" s="21" t="str">
        <f>IFERROR(__xludf.DUMMYFUNCTION("IFERROR((GOOGLEFINANCE(C118, ""price"") / INDEX(GOOGLEFINANCE(C118, ""price"", EDATE(TODAY(), -6), TODAY()), 2, 2)) - 1, """")"),"")</f>
        <v/>
      </c>
      <c r="P118" s="21" t="str">
        <f>IFERROR(__xludf.DUMMYFUNCTION("IFERROR((GOOGLEFINANCE(C118, ""price"") / INDEX(GOOGLEFINANCE(C118, ""price"", EDATE(TODAY(), -12), TODAY()), 2, 2)) - 1, """")"),"")</f>
        <v/>
      </c>
      <c r="Q118" s="6" t="str">
        <f>IFERROR(__xludf.DUMMYFUNCTION("AVERAGE(QUERY(GOOGLEFINANCE(C118, ""price"", TODAY()-80, TODAY()), ""SELECT Col2 WHERE Col2 IS NOT NULL ORDER BY Col1 DESC LIMIT 50"", 0))"),"#N/A")</f>
        <v>#N/A</v>
      </c>
      <c r="R118" s="24" t="str">
        <f>IFERROR(__xludf.DUMMYFUNCTION("IFERROR(
  LET(
    data, QUERY(GOOGLEFINANCE(C118,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GOOGLEFINANCE(C118, ""price"")) * 100,
    IF(calc=0, G118, calc)
  ), 
G118)"),"#N/A")</f>
        <v>#N/A</v>
      </c>
      <c r="S118" s="8" t="s">
        <v>15</v>
      </c>
      <c r="T118" s="26" t="str">
        <f>IFERROR(__xludf.DUMMYFUNCTION("IFERROR(TRANSPOSE(QUERY(IFERROR(SORT(GOOGLEFINANCE(C118, ""price"", WORKDAY(TODAY(), -40), TODAY()), 1, FALSE)), ""select Col2 where Col2 is not null limit 22 label Col2 ''"", 0)), """")"),"")</f>
        <v/>
      </c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8"/>
      <c r="AO118" s="28"/>
      <c r="AP118" s="29"/>
      <c r="AQ118" s="29" t="str">
        <f t="shared" ref="AQ118:BL118" si="122">T118/T$2</f>
        <v>#N/A</v>
      </c>
      <c r="AR118" s="29" t="str">
        <f t="shared" si="122"/>
        <v>#DIV/0!</v>
      </c>
      <c r="AS118" s="29" t="str">
        <f t="shared" si="122"/>
        <v>#DIV/0!</v>
      </c>
      <c r="AT118" s="29" t="str">
        <f t="shared" si="122"/>
        <v>#DIV/0!</v>
      </c>
      <c r="AU118" s="29" t="str">
        <f t="shared" si="122"/>
        <v>#DIV/0!</v>
      </c>
      <c r="AV118" s="29" t="str">
        <f t="shared" si="122"/>
        <v>#DIV/0!</v>
      </c>
      <c r="AW118" s="29" t="str">
        <f t="shared" si="122"/>
        <v>#DIV/0!</v>
      </c>
      <c r="AX118" s="29" t="str">
        <f t="shared" si="122"/>
        <v>#DIV/0!</v>
      </c>
      <c r="AY118" s="29" t="str">
        <f t="shared" si="122"/>
        <v>#DIV/0!</v>
      </c>
      <c r="AZ118" s="29" t="str">
        <f t="shared" si="122"/>
        <v>#DIV/0!</v>
      </c>
      <c r="BA118" s="29" t="str">
        <f t="shared" si="122"/>
        <v>#DIV/0!</v>
      </c>
      <c r="BB118" s="29" t="str">
        <f t="shared" si="122"/>
        <v>#DIV/0!</v>
      </c>
      <c r="BC118" s="29" t="str">
        <f t="shared" si="122"/>
        <v>#DIV/0!</v>
      </c>
      <c r="BD118" s="29" t="str">
        <f t="shared" si="122"/>
        <v>#DIV/0!</v>
      </c>
      <c r="BE118" s="29" t="str">
        <f t="shared" si="122"/>
        <v>#DIV/0!</v>
      </c>
      <c r="BF118" s="29" t="str">
        <f t="shared" si="122"/>
        <v>#DIV/0!</v>
      </c>
      <c r="BG118" s="29" t="str">
        <f t="shared" si="122"/>
        <v>#DIV/0!</v>
      </c>
      <c r="BH118" s="29" t="str">
        <f t="shared" si="122"/>
        <v>#DIV/0!</v>
      </c>
      <c r="BI118" s="29" t="str">
        <f t="shared" si="122"/>
        <v>#DIV/0!</v>
      </c>
      <c r="BJ118" s="29" t="str">
        <f t="shared" si="122"/>
        <v>#DIV/0!</v>
      </c>
      <c r="BK118" s="29" t="str">
        <f t="shared" si="122"/>
        <v>#DIV/0!</v>
      </c>
      <c r="BL118" s="29" t="str">
        <f t="shared" si="122"/>
        <v>#DIV/0!</v>
      </c>
      <c r="BM118" s="29" t="str">
        <f t="shared" si="3"/>
        <v>#DIV/0!</v>
      </c>
    </row>
    <row r="119">
      <c r="A119" s="16" t="str">
        <f>IFERROR(__xludf.DUMMYFUNCTION("IFERROR(SPARKLINE(SORT(MAP(TRANSPOSE(AQ119:BL119), LAMBDA(val, IF(ISNUMBER(val), PERCENTRANK(AQ119:BL119, val)+0.01, 0))), SEQUENCE(COLUMNS(AQ119:BL119)), FALSE), {""charttype"",""column""; ""color"",""chartreuse""; ""ymin"", 0; ""ymax"", 1.01; ""highcolo"&amp;"r"", ""darkgreen""; ""lowcolor"", ""red""}), """")"),"")</f>
        <v/>
      </c>
      <c r="B119" s="17" t="str">
        <f t="shared" si="4"/>
        <v/>
      </c>
      <c r="C119" s="1" t="s">
        <v>3288</v>
      </c>
      <c r="D119" s="30" t="str">
        <f>IFERROR(__xludf.DUMMYFUNCTION("IFERROR(GOOGLEFINANCE(C119, ""NAME""))"),"Newmarket Corp")</f>
        <v>Newmarket Corp</v>
      </c>
      <c r="E119" s="30" t="s">
        <v>2995</v>
      </c>
      <c r="F119" s="38" t="str">
        <f>IFERROR(__xludf.DUMMYFUNCTION("( (GOOGLEFINANCE(C119, ""price"") - Q119) / Q119 ) / (R119 / 100)"),"Loading...")</f>
        <v>Loading...</v>
      </c>
      <c r="G119" s="20" t="str">
        <f>IFERROR(__xludf.DUMMYFUNCTION("AVERAGE(ARRAYFORMULA(100 * (QUERY(GOOGLEFINANCE(C119, ""high"", TODAY()-40, TODAY()), ""SELECT Col2 WHERE Col2 IS NOT NULL ORDER BY Col1 DESC LIMIT 20"", 0) / QUERY(GOOGLEFINANCE(C119, ""low"", TODAY()-40, TODAY()), ""SELECT Col2 WHERE Col2 IS NOT NULL OR"&amp;"DER BY Col1 DESC LIMIT 20"", 0) - 1)))"),"#N/A")</f>
        <v>#N/A</v>
      </c>
      <c r="H119" s="35" t="str">
        <f t="shared" si="35"/>
        <v>Liquid</v>
      </c>
      <c r="I119" s="35" t="str">
        <f t="shared" si="7"/>
        <v>RVol Required</v>
      </c>
      <c r="J119" s="37">
        <f>IFERROR(__xludf.DUMMYFUNCTION("IFERROR(
  IF(C119="""",, 
    IFERROR(
      GOOGLEFINANCE(C119, ""price"") * GOOGLEFINANCE(C119, ""volumeavg""), 
      GOOGLEFINANCE(C119, ""price"") * AVERAGE(QUERY(GOOGLEFINANCE(C119, ""volume"", TODAY()-40, TODAY()), ""SELECT Col2 WHERE Col2 IS NOT "&amp;"NULL ORDER BY Col1 DESC LIMIT 20"", 0))
    )
  ), 
"""")"),1.0697308514E8)</f>
        <v>106973085.1</v>
      </c>
      <c r="K119" s="21">
        <f>IFERROR(__xludf.DUMMYFUNCTION("IFERROR(GOOGLEFINANCE(C119, ""changepct"") / 100, """")"),-0.013300000000000001)</f>
        <v>-0.0133</v>
      </c>
      <c r="L119" s="21" t="str">
        <f>IFERROR(__xludf.DUMMYFUNCTION("IFERROR((GOOGLEFINANCE(C119, ""price"") / INDEX(GOOGLEFINANCE(C119, ""price"", TODAY()-7, TODAY()), 2, 2)) - 1, """")"),"")</f>
        <v/>
      </c>
      <c r="M119" s="21" t="str">
        <f>IFERROR(__xludf.DUMMYFUNCTION("IFERROR((GOOGLEFINANCE(C119, ""price"") / INDEX(GOOGLEFINANCE(C119, ""price"", EDATE(TODAY(), -1), TODAY()), 2, 2)) - 1, """")"),"")</f>
        <v/>
      </c>
      <c r="N119" s="21" t="str">
        <f>IFERROR(__xludf.DUMMYFUNCTION("IFERROR((GOOGLEFINANCE(C119, ""price"") / INDEX(GOOGLEFINANCE(C119, ""price"", EDATE(TODAY(), -3), TODAY()), 2, 2)) - 1, """")"),"")</f>
        <v/>
      </c>
      <c r="O119" s="21" t="str">
        <f>IFERROR(__xludf.DUMMYFUNCTION("IFERROR((GOOGLEFINANCE(C119, ""price"") / INDEX(GOOGLEFINANCE(C119, ""price"", EDATE(TODAY(), -6), TODAY()), 2, 2)) - 1, """")"),"")</f>
        <v/>
      </c>
      <c r="P119" s="21" t="str">
        <f>IFERROR(__xludf.DUMMYFUNCTION("IFERROR((GOOGLEFINANCE(C119, ""price"") / INDEX(GOOGLEFINANCE(C119, ""price"", EDATE(TODAY(), -12), TODAY()), 2, 2)) - 1, """")"),"")</f>
        <v/>
      </c>
      <c r="Q119" s="6" t="str">
        <f>IFERROR(__xludf.DUMMYFUNCTION("AVERAGE(QUERY(GOOGLEFINANCE(C119, ""price"", TODAY()-80, TODAY()), ""SELECT Col2 WHERE Col2 IS NOT NULL ORDER BY Col1 DESC LIMIT 50"", 0))"),"#N/A")</f>
        <v>#N/A</v>
      </c>
      <c r="R119" s="24" t="str">
        <f>IFERROR(__xludf.DUMMYFUNCTION("IFERROR(
  LET(
    data, QUERY(GOOGLEFINANCE(C119,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GOOGLEFINANCE(C119, ""price"")) * 100,
    IF(calc=0, G119, calc)
  ), 
G119)"),"#N/A")</f>
        <v>#N/A</v>
      </c>
      <c r="S119" s="8" t="s">
        <v>15</v>
      </c>
      <c r="T119" s="26" t="str">
        <f>IFERROR(__xludf.DUMMYFUNCTION("IFERROR(TRANSPOSE(QUERY(IFERROR(SORT(GOOGLEFINANCE(C119, ""price"", WORKDAY(TODAY(), -40), TODAY()), 1, FALSE)), ""select Col2 where Col2 is not null limit 22 label Col2 ''"", 0)), """")"),"")</f>
        <v/>
      </c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8"/>
      <c r="AO119" s="28"/>
      <c r="AP119" s="29"/>
      <c r="AQ119" s="29" t="str">
        <f t="shared" ref="AQ119:BL119" si="123">T119/T$2</f>
        <v>#N/A</v>
      </c>
      <c r="AR119" s="29" t="str">
        <f t="shared" si="123"/>
        <v>#DIV/0!</v>
      </c>
      <c r="AS119" s="29" t="str">
        <f t="shared" si="123"/>
        <v>#DIV/0!</v>
      </c>
      <c r="AT119" s="29" t="str">
        <f t="shared" si="123"/>
        <v>#DIV/0!</v>
      </c>
      <c r="AU119" s="29" t="str">
        <f t="shared" si="123"/>
        <v>#DIV/0!</v>
      </c>
      <c r="AV119" s="29" t="str">
        <f t="shared" si="123"/>
        <v>#DIV/0!</v>
      </c>
      <c r="AW119" s="29" t="str">
        <f t="shared" si="123"/>
        <v>#DIV/0!</v>
      </c>
      <c r="AX119" s="29" t="str">
        <f t="shared" si="123"/>
        <v>#DIV/0!</v>
      </c>
      <c r="AY119" s="29" t="str">
        <f t="shared" si="123"/>
        <v>#DIV/0!</v>
      </c>
      <c r="AZ119" s="29" t="str">
        <f t="shared" si="123"/>
        <v>#DIV/0!</v>
      </c>
      <c r="BA119" s="29" t="str">
        <f t="shared" si="123"/>
        <v>#DIV/0!</v>
      </c>
      <c r="BB119" s="29" t="str">
        <f t="shared" si="123"/>
        <v>#DIV/0!</v>
      </c>
      <c r="BC119" s="29" t="str">
        <f t="shared" si="123"/>
        <v>#DIV/0!</v>
      </c>
      <c r="BD119" s="29" t="str">
        <f t="shared" si="123"/>
        <v>#DIV/0!</v>
      </c>
      <c r="BE119" s="29" t="str">
        <f t="shared" si="123"/>
        <v>#DIV/0!</v>
      </c>
      <c r="BF119" s="29" t="str">
        <f t="shared" si="123"/>
        <v>#DIV/0!</v>
      </c>
      <c r="BG119" s="29" t="str">
        <f t="shared" si="123"/>
        <v>#DIV/0!</v>
      </c>
      <c r="BH119" s="29" t="str">
        <f t="shared" si="123"/>
        <v>#DIV/0!</v>
      </c>
      <c r="BI119" s="29" t="str">
        <f t="shared" si="123"/>
        <v>#DIV/0!</v>
      </c>
      <c r="BJ119" s="29" t="str">
        <f t="shared" si="123"/>
        <v>#DIV/0!</v>
      </c>
      <c r="BK119" s="29" t="str">
        <f t="shared" si="123"/>
        <v>#DIV/0!</v>
      </c>
      <c r="BL119" s="29" t="str">
        <f t="shared" si="123"/>
        <v>#DIV/0!</v>
      </c>
      <c r="BM119" s="29" t="str">
        <f t="shared" si="3"/>
        <v>#DIV/0!</v>
      </c>
    </row>
    <row r="120">
      <c r="A120" s="16" t="str">
        <f>IFERROR(__xludf.DUMMYFUNCTION("IFERROR(SPARKLINE(SORT(MAP(TRANSPOSE(AQ120:BL120), LAMBDA(val, IF(ISNUMBER(val), PERCENTRANK(AQ120:BL120, val)+0.01, 0))), SEQUENCE(COLUMNS(AQ120:BL120)), FALSE), {""charttype"",""column""; ""color"",""chartreuse""; ""ymin"", 0; ""ymax"", 1.01; ""highcolo"&amp;"r"", ""darkgreen""; ""lowcolor"", ""red""}), """")"),"")</f>
        <v/>
      </c>
      <c r="B120" s="17" t="str">
        <f t="shared" si="4"/>
        <v/>
      </c>
      <c r="C120" s="1" t="s">
        <v>3289</v>
      </c>
      <c r="D120" s="30" t="str">
        <f>IFERROR(__xludf.DUMMYFUNCTION("IFERROR(GOOGLEFINANCE(C120, ""NAME""))"),"Centerra Gold Inc.")</f>
        <v>Centerra Gold Inc.</v>
      </c>
      <c r="E120" s="30" t="s">
        <v>2928</v>
      </c>
      <c r="F120" s="33" t="str">
        <f>IFERROR(__xludf.DUMMYFUNCTION("( (GOOGLEFINANCE(C120, ""price"") - Q120) / Q120 ) / (R120 / 100)"),"Loading...")</f>
        <v>Loading...</v>
      </c>
      <c r="G120" s="20" t="str">
        <f>IFERROR(__xludf.DUMMYFUNCTION("AVERAGE(ARRAYFORMULA(100 * (QUERY(GOOGLEFINANCE(C120, ""high"", TODAY()-40, TODAY()), ""SELECT Col2 WHERE Col2 IS NOT NULL ORDER BY Col1 DESC LIMIT 20"", 0) / QUERY(GOOGLEFINANCE(C120, ""low"", TODAY()-40, TODAY()), ""SELECT Col2 WHERE Col2 IS NOT NULL OR"&amp;"DER BY Col1 DESC LIMIT 20"", 0) - 1)))"),"#N/A")</f>
        <v>#N/A</v>
      </c>
      <c r="H120" s="35" t="str">
        <f t="shared" si="35"/>
        <v>Illiquid</v>
      </c>
      <c r="I120" s="35" t="str">
        <f t="shared" si="7"/>
        <v>RVol Required</v>
      </c>
      <c r="J120" s="37">
        <f>IFERROR(__xludf.DUMMYFUNCTION("IFERROR(
  IF(C120="""",, 
    IFERROR(
      GOOGLEFINANCE(C120, ""price"") * GOOGLEFINANCE(C120, ""volumeavg""), 
      GOOGLEFINANCE(C120, ""price"") * AVERAGE(QUERY(GOOGLEFINANCE(C120, ""volume"", TODAY()-40, TODAY()), ""SELECT Col2 WHERE Col2 IS NOT "&amp;"NULL ORDER BY Col1 DESC LIMIT 20"", 0))
    )
  ), 
"""")"),2.65116411E7)</f>
        <v>26511641.1</v>
      </c>
      <c r="K120" s="21">
        <f>IFERROR(__xludf.DUMMYFUNCTION("IFERROR(GOOGLEFINANCE(C120, ""changepct"") / 100, """")"),0.0036)</f>
        <v>0.0036</v>
      </c>
      <c r="L120" s="21" t="str">
        <f>IFERROR(__xludf.DUMMYFUNCTION("IFERROR((GOOGLEFINANCE(C120, ""price"") / INDEX(GOOGLEFINANCE(C120, ""price"", TODAY()-7, TODAY()), 2, 2)) - 1, """")"),"")</f>
        <v/>
      </c>
      <c r="M120" s="21" t="str">
        <f>IFERROR(__xludf.DUMMYFUNCTION("IFERROR((GOOGLEFINANCE(C120, ""price"") / INDEX(GOOGLEFINANCE(C120, ""price"", EDATE(TODAY(), -1), TODAY()), 2, 2)) - 1, """")"),"")</f>
        <v/>
      </c>
      <c r="N120" s="21" t="str">
        <f>IFERROR(__xludf.DUMMYFUNCTION("IFERROR((GOOGLEFINANCE(C120, ""price"") / INDEX(GOOGLEFINANCE(C120, ""price"", EDATE(TODAY(), -3), TODAY()), 2, 2)) - 1, """")"),"")</f>
        <v/>
      </c>
      <c r="O120" s="21" t="str">
        <f>IFERROR(__xludf.DUMMYFUNCTION("IFERROR((GOOGLEFINANCE(C120, ""price"") / INDEX(GOOGLEFINANCE(C120, ""price"", EDATE(TODAY(), -6), TODAY()), 2, 2)) - 1, """")"),"")</f>
        <v/>
      </c>
      <c r="P120" s="21" t="str">
        <f>IFERROR(__xludf.DUMMYFUNCTION("IFERROR((GOOGLEFINANCE(C120, ""price"") / INDEX(GOOGLEFINANCE(C120, ""price"", EDATE(TODAY(), -12), TODAY()), 2, 2)) - 1, """")"),"")</f>
        <v/>
      </c>
      <c r="Q120" s="6" t="str">
        <f>IFERROR(__xludf.DUMMYFUNCTION("AVERAGE(QUERY(GOOGLEFINANCE(C120, ""price"", TODAY()-80, TODAY()), ""SELECT Col2 WHERE Col2 IS NOT NULL ORDER BY Col1 DESC LIMIT 50"", 0))"),"#N/A")</f>
        <v>#N/A</v>
      </c>
      <c r="R120" s="24" t="str">
        <f>IFERROR(__xludf.DUMMYFUNCTION("IFERROR(
  LET(
    data, QUERY(GOOGLEFINANCE(C120,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GOOGLEFINANCE(C120, ""price"")) * 100,
    IF(calc=0, G120, calc)
  ), 
G120)"),"#N/A")</f>
        <v>#N/A</v>
      </c>
      <c r="S120" s="8" t="s">
        <v>15</v>
      </c>
      <c r="T120" s="26" t="str">
        <f>IFERROR(__xludf.DUMMYFUNCTION("IFERROR(TRANSPOSE(QUERY(IFERROR(SORT(GOOGLEFINANCE(C120, ""price"", WORKDAY(TODAY(), -40), TODAY()), 1, FALSE)), ""select Col2 where Col2 is not null limit 22 label Col2 ''"", 0)), """")"),"")</f>
        <v/>
      </c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8"/>
      <c r="AO120" s="28"/>
      <c r="AP120" s="29"/>
      <c r="AQ120" s="29" t="str">
        <f t="shared" ref="AQ120:BL120" si="124">T120/T$2</f>
        <v>#N/A</v>
      </c>
      <c r="AR120" s="29" t="str">
        <f t="shared" si="124"/>
        <v>#DIV/0!</v>
      </c>
      <c r="AS120" s="29" t="str">
        <f t="shared" si="124"/>
        <v>#DIV/0!</v>
      </c>
      <c r="AT120" s="29" t="str">
        <f t="shared" si="124"/>
        <v>#DIV/0!</v>
      </c>
      <c r="AU120" s="29" t="str">
        <f t="shared" si="124"/>
        <v>#DIV/0!</v>
      </c>
      <c r="AV120" s="29" t="str">
        <f t="shared" si="124"/>
        <v>#DIV/0!</v>
      </c>
      <c r="AW120" s="29" t="str">
        <f t="shared" si="124"/>
        <v>#DIV/0!</v>
      </c>
      <c r="AX120" s="29" t="str">
        <f t="shared" si="124"/>
        <v>#DIV/0!</v>
      </c>
      <c r="AY120" s="29" t="str">
        <f t="shared" si="124"/>
        <v>#DIV/0!</v>
      </c>
      <c r="AZ120" s="29" t="str">
        <f t="shared" si="124"/>
        <v>#DIV/0!</v>
      </c>
      <c r="BA120" s="29" t="str">
        <f t="shared" si="124"/>
        <v>#DIV/0!</v>
      </c>
      <c r="BB120" s="29" t="str">
        <f t="shared" si="124"/>
        <v>#DIV/0!</v>
      </c>
      <c r="BC120" s="29" t="str">
        <f t="shared" si="124"/>
        <v>#DIV/0!</v>
      </c>
      <c r="BD120" s="29" t="str">
        <f t="shared" si="124"/>
        <v>#DIV/0!</v>
      </c>
      <c r="BE120" s="29" t="str">
        <f t="shared" si="124"/>
        <v>#DIV/0!</v>
      </c>
      <c r="BF120" s="29" t="str">
        <f t="shared" si="124"/>
        <v>#DIV/0!</v>
      </c>
      <c r="BG120" s="29" t="str">
        <f t="shared" si="124"/>
        <v>#DIV/0!</v>
      </c>
      <c r="BH120" s="29" t="str">
        <f t="shared" si="124"/>
        <v>#DIV/0!</v>
      </c>
      <c r="BI120" s="29" t="str">
        <f t="shared" si="124"/>
        <v>#DIV/0!</v>
      </c>
      <c r="BJ120" s="29" t="str">
        <f t="shared" si="124"/>
        <v>#DIV/0!</v>
      </c>
      <c r="BK120" s="29" t="str">
        <f t="shared" si="124"/>
        <v>#DIV/0!</v>
      </c>
      <c r="BL120" s="29" t="str">
        <f t="shared" si="124"/>
        <v>#DIV/0!</v>
      </c>
      <c r="BM120" s="29" t="str">
        <f t="shared" si="3"/>
        <v>#DIV/0!</v>
      </c>
    </row>
    <row r="121">
      <c r="A121" s="16" t="str">
        <f>IFERROR(__xludf.DUMMYFUNCTION("IFERROR(SPARKLINE(SORT(MAP(TRANSPOSE(AQ121:BL121), LAMBDA(val, IF(ISNUMBER(val), PERCENTRANK(AQ121:BL121, val)+0.01, 0))), SEQUENCE(COLUMNS(AQ121:BL121)), FALSE), {""charttype"",""column""; ""color"",""chartreuse""; ""ymin"", 0; ""ymax"", 1.01; ""highcolo"&amp;"r"", ""darkgreen""; ""lowcolor"", ""red""}), """")"),"")</f>
        <v/>
      </c>
      <c r="B121" s="17" t="str">
        <f t="shared" si="4"/>
        <v/>
      </c>
      <c r="C121" s="1" t="s">
        <v>3290</v>
      </c>
      <c r="D121" s="30" t="str">
        <f>IFERROR(__xludf.DUMMYFUNCTION("IFERROR(GOOGLEFINANCE(C121, ""NAME""))"),"Agnico Eagle Mines Ltd")</f>
        <v>Agnico Eagle Mines Ltd</v>
      </c>
      <c r="E121" s="30" t="s">
        <v>2928</v>
      </c>
      <c r="F121" s="33" t="str">
        <f>IFERROR(__xludf.DUMMYFUNCTION("( (GOOGLEFINANCE(C121, ""price"") - Q121) / Q121 ) / (R121 / 100)"),"Loading...")</f>
        <v>Loading...</v>
      </c>
      <c r="G121" s="20" t="str">
        <f>IFERROR(__xludf.DUMMYFUNCTION("AVERAGE(ARRAYFORMULA(100 * (QUERY(GOOGLEFINANCE(C121, ""high"", TODAY()-40, TODAY()), ""SELECT Col2 WHERE Col2 IS NOT NULL ORDER BY Col1 DESC LIMIT 20"", 0) / QUERY(GOOGLEFINANCE(C121, ""low"", TODAY()-40, TODAY()), ""SELECT Col2 WHERE Col2 IS NOT NULL OR"&amp;"DER BY Col1 DESC LIMIT 20"", 0) - 1)))"),"#N/A")</f>
        <v>#N/A</v>
      </c>
      <c r="H121" s="35" t="str">
        <f t="shared" si="35"/>
        <v>Liquid</v>
      </c>
      <c r="I121" s="35" t="str">
        <f t="shared" si="7"/>
        <v>RVol Required</v>
      </c>
      <c r="J121" s="37">
        <f>IFERROR(__xludf.DUMMYFUNCTION("IFERROR(
  IF(C121="""",, 
    IFERROR(
      GOOGLEFINANCE(C121, ""price"") * GOOGLEFINANCE(C121, ""volumeavg""), 
      GOOGLEFINANCE(C121, ""price"") * AVERAGE(QUERY(GOOGLEFINANCE(C121, ""volume"", TODAY()-40, TODAY()), ""SELECT Col2 WHERE Col2 IS NOT "&amp;"NULL ORDER BY Col1 DESC LIMIT 20"", 0))
    )
  ), 
"""")"),3.3880932437E8)</f>
        <v>338809324.4</v>
      </c>
      <c r="K121" s="21">
        <f>IFERROR(__xludf.DUMMYFUNCTION("IFERROR(GOOGLEFINANCE(C121, ""changepct"") / 100, """")"),0.0105)</f>
        <v>0.0105</v>
      </c>
      <c r="L121" s="21" t="str">
        <f>IFERROR(__xludf.DUMMYFUNCTION("IFERROR((GOOGLEFINANCE(C121, ""price"") / INDEX(GOOGLEFINANCE(C121, ""price"", TODAY()-7, TODAY()), 2, 2)) - 1, """")"),"")</f>
        <v/>
      </c>
      <c r="M121" s="21" t="str">
        <f>IFERROR(__xludf.DUMMYFUNCTION("IFERROR((GOOGLEFINANCE(C121, ""price"") / INDEX(GOOGLEFINANCE(C121, ""price"", EDATE(TODAY(), -1), TODAY()), 2, 2)) - 1, """")"),"")</f>
        <v/>
      </c>
      <c r="N121" s="21" t="str">
        <f>IFERROR(__xludf.DUMMYFUNCTION("IFERROR((GOOGLEFINANCE(C121, ""price"") / INDEX(GOOGLEFINANCE(C121, ""price"", EDATE(TODAY(), -3), TODAY()), 2, 2)) - 1, """")"),"")</f>
        <v/>
      </c>
      <c r="O121" s="21" t="str">
        <f>IFERROR(__xludf.DUMMYFUNCTION("IFERROR((GOOGLEFINANCE(C121, ""price"") / INDEX(GOOGLEFINANCE(C121, ""price"", EDATE(TODAY(), -6), TODAY()), 2, 2)) - 1, """")"),"")</f>
        <v/>
      </c>
      <c r="P121" s="21" t="str">
        <f>IFERROR(__xludf.DUMMYFUNCTION("IFERROR((GOOGLEFINANCE(C121, ""price"") / INDEX(GOOGLEFINANCE(C121, ""price"", EDATE(TODAY(), -12), TODAY()), 2, 2)) - 1, """")"),"")</f>
        <v/>
      </c>
      <c r="Q121" s="6" t="str">
        <f>IFERROR(__xludf.DUMMYFUNCTION("AVERAGE(QUERY(GOOGLEFINANCE(C121, ""price"", TODAY()-80, TODAY()), ""SELECT Col2 WHERE Col2 IS NOT NULL ORDER BY Col1 DESC LIMIT 50"", 0))"),"#N/A")</f>
        <v>#N/A</v>
      </c>
      <c r="R121" s="24" t="str">
        <f>IFERROR(__xludf.DUMMYFUNCTION("IFERROR(
  LET(
    data, QUERY(GOOGLEFINANCE(C121,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GOOGLEFINANCE(C121, ""price"")) * 100,
    IF(calc=0, G121, calc)
  ), 
G121)"),"#N/A")</f>
        <v>#N/A</v>
      </c>
      <c r="S121" s="8" t="s">
        <v>15</v>
      </c>
      <c r="T121" s="26" t="str">
        <f>IFERROR(__xludf.DUMMYFUNCTION("IFERROR(TRANSPOSE(QUERY(IFERROR(SORT(GOOGLEFINANCE(C121, ""price"", WORKDAY(TODAY(), -40), TODAY()), 1, FALSE)), ""select Col2 where Col2 is not null limit 22 label Col2 ''"", 0)), """")"),"")</f>
        <v/>
      </c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8"/>
      <c r="AO121" s="28"/>
      <c r="AP121" s="29"/>
      <c r="AQ121" s="29" t="str">
        <f t="shared" ref="AQ121:BL121" si="125">T121/T$2</f>
        <v>#N/A</v>
      </c>
      <c r="AR121" s="29" t="str">
        <f t="shared" si="125"/>
        <v>#DIV/0!</v>
      </c>
      <c r="AS121" s="29" t="str">
        <f t="shared" si="125"/>
        <v>#DIV/0!</v>
      </c>
      <c r="AT121" s="29" t="str">
        <f t="shared" si="125"/>
        <v>#DIV/0!</v>
      </c>
      <c r="AU121" s="29" t="str">
        <f t="shared" si="125"/>
        <v>#DIV/0!</v>
      </c>
      <c r="AV121" s="29" t="str">
        <f t="shared" si="125"/>
        <v>#DIV/0!</v>
      </c>
      <c r="AW121" s="29" t="str">
        <f t="shared" si="125"/>
        <v>#DIV/0!</v>
      </c>
      <c r="AX121" s="29" t="str">
        <f t="shared" si="125"/>
        <v>#DIV/0!</v>
      </c>
      <c r="AY121" s="29" t="str">
        <f t="shared" si="125"/>
        <v>#DIV/0!</v>
      </c>
      <c r="AZ121" s="29" t="str">
        <f t="shared" si="125"/>
        <v>#DIV/0!</v>
      </c>
      <c r="BA121" s="29" t="str">
        <f t="shared" si="125"/>
        <v>#DIV/0!</v>
      </c>
      <c r="BB121" s="29" t="str">
        <f t="shared" si="125"/>
        <v>#DIV/0!</v>
      </c>
      <c r="BC121" s="29" t="str">
        <f t="shared" si="125"/>
        <v>#DIV/0!</v>
      </c>
      <c r="BD121" s="29" t="str">
        <f t="shared" si="125"/>
        <v>#DIV/0!</v>
      </c>
      <c r="BE121" s="29" t="str">
        <f t="shared" si="125"/>
        <v>#DIV/0!</v>
      </c>
      <c r="BF121" s="29" t="str">
        <f t="shared" si="125"/>
        <v>#DIV/0!</v>
      </c>
      <c r="BG121" s="29" t="str">
        <f t="shared" si="125"/>
        <v>#DIV/0!</v>
      </c>
      <c r="BH121" s="29" t="str">
        <f t="shared" si="125"/>
        <v>#DIV/0!</v>
      </c>
      <c r="BI121" s="29" t="str">
        <f t="shared" si="125"/>
        <v>#DIV/0!</v>
      </c>
      <c r="BJ121" s="29" t="str">
        <f t="shared" si="125"/>
        <v>#DIV/0!</v>
      </c>
      <c r="BK121" s="29" t="str">
        <f t="shared" si="125"/>
        <v>#DIV/0!</v>
      </c>
      <c r="BL121" s="29" t="str">
        <f t="shared" si="125"/>
        <v>#DIV/0!</v>
      </c>
      <c r="BM121" s="29" t="str">
        <f t="shared" si="3"/>
        <v>#DIV/0!</v>
      </c>
    </row>
    <row r="122">
      <c r="A122" s="16" t="str">
        <f>IFERROR(__xludf.DUMMYFUNCTION("IFERROR(SPARKLINE(SORT(MAP(TRANSPOSE(AQ122:BL122), LAMBDA(val, IF(ISNUMBER(val), PERCENTRANK(AQ122:BL122, val)+0.01, 0))), SEQUENCE(COLUMNS(AQ122:BL122)), FALSE), {""charttype"",""column""; ""color"",""chartreuse""; ""ymin"", 0; ""ymax"", 1.01; ""highcolo"&amp;"r"", ""darkgreen""; ""lowcolor"", ""red""}), """")"),"")</f>
        <v/>
      </c>
      <c r="B122" s="17" t="str">
        <f t="shared" si="4"/>
        <v/>
      </c>
      <c r="C122" s="1" t="s">
        <v>3291</v>
      </c>
      <c r="D122" s="30" t="str">
        <f>IFERROR(__xludf.DUMMYFUNCTION("IFERROR(GOOGLEFINANCE(C122, ""NAME""))"),"Lyondellbasell Industries N.v")</f>
        <v>Lyondellbasell Industries N.v</v>
      </c>
      <c r="E122" s="30" t="s">
        <v>2995</v>
      </c>
      <c r="F122" s="33" t="str">
        <f>IFERROR(__xludf.DUMMYFUNCTION("( (GOOGLEFINANCE(C122, ""price"") - Q122) / Q122 ) / (R122 / 100)"),"Loading...")</f>
        <v>Loading...</v>
      </c>
      <c r="G122" s="20" t="str">
        <f>IFERROR(__xludf.DUMMYFUNCTION("AVERAGE(ARRAYFORMULA(100 * (QUERY(GOOGLEFINANCE(C122, ""high"", TODAY()-40, TODAY()), ""SELECT Col2 WHERE Col2 IS NOT NULL ORDER BY Col1 DESC LIMIT 20"", 0) / QUERY(GOOGLEFINANCE(C122, ""low"", TODAY()-40, TODAY()), ""SELECT Col2 WHERE Col2 IS NOT NULL OR"&amp;"DER BY Col1 DESC LIMIT 20"", 0) - 1)))"),"#N/A")</f>
        <v>#N/A</v>
      </c>
      <c r="H122" s="35" t="str">
        <f t="shared" si="35"/>
        <v>Liquid</v>
      </c>
      <c r="I122" s="35" t="str">
        <f t="shared" si="7"/>
        <v>RVol Required</v>
      </c>
      <c r="J122" s="37">
        <f>IFERROR(__xludf.DUMMYFUNCTION("IFERROR(
  IF(C122="""",, 
    IFERROR(
      GOOGLEFINANCE(C122, ""price"") * GOOGLEFINANCE(C122, ""volumeavg""), 
      GOOGLEFINANCE(C122, ""price"") * AVERAGE(QUERY(GOOGLEFINANCE(C122, ""volume"", TODAY()-40, TODAY()), ""SELECT Col2 WHERE Col2 IS NOT "&amp;"NULL ORDER BY Col1 DESC LIMIT 20"", 0))
    )
  ), 
"""")"),2.2743399501000002E8)</f>
        <v>227433995</v>
      </c>
      <c r="K122" s="21">
        <f>IFERROR(__xludf.DUMMYFUNCTION("IFERROR(GOOGLEFINANCE(C122, ""changepct"") / 100, """")"),0.021400000000000002)</f>
        <v>0.0214</v>
      </c>
      <c r="L122" s="21" t="str">
        <f>IFERROR(__xludf.DUMMYFUNCTION("IFERROR((GOOGLEFINANCE(C122, ""price"") / INDEX(GOOGLEFINANCE(C122, ""price"", TODAY()-7, TODAY()), 2, 2)) - 1, """")"),"")</f>
        <v/>
      </c>
      <c r="M122" s="21" t="str">
        <f>IFERROR(__xludf.DUMMYFUNCTION("IFERROR((GOOGLEFINANCE(C122, ""price"") / INDEX(GOOGLEFINANCE(C122, ""price"", EDATE(TODAY(), -1), TODAY()), 2, 2)) - 1, """")"),"")</f>
        <v/>
      </c>
      <c r="N122" s="21" t="str">
        <f>IFERROR(__xludf.DUMMYFUNCTION("IFERROR((GOOGLEFINANCE(C122, ""price"") / INDEX(GOOGLEFINANCE(C122, ""price"", EDATE(TODAY(), -3), TODAY()), 2, 2)) - 1, """")"),"")</f>
        <v/>
      </c>
      <c r="O122" s="21" t="str">
        <f>IFERROR(__xludf.DUMMYFUNCTION("IFERROR((GOOGLEFINANCE(C122, ""price"") / INDEX(GOOGLEFINANCE(C122, ""price"", EDATE(TODAY(), -6), TODAY()), 2, 2)) - 1, """")"),"")</f>
        <v/>
      </c>
      <c r="P122" s="21" t="str">
        <f>IFERROR(__xludf.DUMMYFUNCTION("IFERROR((GOOGLEFINANCE(C122, ""price"") / INDEX(GOOGLEFINANCE(C122, ""price"", EDATE(TODAY(), -12), TODAY()), 2, 2)) - 1, """")"),"")</f>
        <v/>
      </c>
      <c r="Q122" s="6" t="str">
        <f>IFERROR(__xludf.DUMMYFUNCTION("AVERAGE(QUERY(GOOGLEFINANCE(C122, ""price"", TODAY()-80, TODAY()), ""SELECT Col2 WHERE Col2 IS NOT NULL ORDER BY Col1 DESC LIMIT 50"", 0))"),"#N/A")</f>
        <v>#N/A</v>
      </c>
      <c r="R122" s="24" t="str">
        <f>IFERROR(__xludf.DUMMYFUNCTION("IFERROR(
  LET(
    data, QUERY(GOOGLEFINANCE(C122,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GOOGLEFINANCE(C122, ""price"")) * 100,
    IF(calc=0, G122, calc)
  ), 
G122)"),"#N/A")</f>
        <v>#N/A</v>
      </c>
      <c r="S122" s="8" t="s">
        <v>15</v>
      </c>
      <c r="T122" s="26" t="str">
        <f>IFERROR(__xludf.DUMMYFUNCTION("IFERROR(TRANSPOSE(QUERY(IFERROR(SORT(GOOGLEFINANCE(C122, ""price"", WORKDAY(TODAY(), -40), TODAY()), 1, FALSE)), ""select Col2 where Col2 is not null limit 22 label Col2 ''"", 0)), """")"),"")</f>
        <v/>
      </c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8"/>
      <c r="AO122" s="28"/>
      <c r="AP122" s="29"/>
      <c r="AQ122" s="29" t="str">
        <f t="shared" ref="AQ122:BL122" si="126">T122/T$2</f>
        <v>#N/A</v>
      </c>
      <c r="AR122" s="29" t="str">
        <f t="shared" si="126"/>
        <v>#DIV/0!</v>
      </c>
      <c r="AS122" s="29" t="str">
        <f t="shared" si="126"/>
        <v>#DIV/0!</v>
      </c>
      <c r="AT122" s="29" t="str">
        <f t="shared" si="126"/>
        <v>#DIV/0!</v>
      </c>
      <c r="AU122" s="29" t="str">
        <f t="shared" si="126"/>
        <v>#DIV/0!</v>
      </c>
      <c r="AV122" s="29" t="str">
        <f t="shared" si="126"/>
        <v>#DIV/0!</v>
      </c>
      <c r="AW122" s="29" t="str">
        <f t="shared" si="126"/>
        <v>#DIV/0!</v>
      </c>
      <c r="AX122" s="29" t="str">
        <f t="shared" si="126"/>
        <v>#DIV/0!</v>
      </c>
      <c r="AY122" s="29" t="str">
        <f t="shared" si="126"/>
        <v>#DIV/0!</v>
      </c>
      <c r="AZ122" s="29" t="str">
        <f t="shared" si="126"/>
        <v>#DIV/0!</v>
      </c>
      <c r="BA122" s="29" t="str">
        <f t="shared" si="126"/>
        <v>#DIV/0!</v>
      </c>
      <c r="BB122" s="29" t="str">
        <f t="shared" si="126"/>
        <v>#DIV/0!</v>
      </c>
      <c r="BC122" s="29" t="str">
        <f t="shared" si="126"/>
        <v>#DIV/0!</v>
      </c>
      <c r="BD122" s="29" t="str">
        <f t="shared" si="126"/>
        <v>#DIV/0!</v>
      </c>
      <c r="BE122" s="29" t="str">
        <f t="shared" si="126"/>
        <v>#DIV/0!</v>
      </c>
      <c r="BF122" s="29" t="str">
        <f t="shared" si="126"/>
        <v>#DIV/0!</v>
      </c>
      <c r="BG122" s="29" t="str">
        <f t="shared" si="126"/>
        <v>#DIV/0!</v>
      </c>
      <c r="BH122" s="29" t="str">
        <f t="shared" si="126"/>
        <v>#DIV/0!</v>
      </c>
      <c r="BI122" s="29" t="str">
        <f t="shared" si="126"/>
        <v>#DIV/0!</v>
      </c>
      <c r="BJ122" s="29" t="str">
        <f t="shared" si="126"/>
        <v>#DIV/0!</v>
      </c>
      <c r="BK122" s="29" t="str">
        <f t="shared" si="126"/>
        <v>#DIV/0!</v>
      </c>
      <c r="BL122" s="29" t="str">
        <f t="shared" si="126"/>
        <v>#DIV/0!</v>
      </c>
      <c r="BM122" s="29" t="str">
        <f t="shared" si="3"/>
        <v>#DIV/0!</v>
      </c>
    </row>
    <row r="123">
      <c r="A123" s="16" t="str">
        <f>IFERROR(__xludf.DUMMYFUNCTION("IFERROR(SPARKLINE(SORT(MAP(TRANSPOSE(AQ123:BL123), LAMBDA(val, IF(ISNUMBER(val), PERCENTRANK(AQ123:BL123, val)+0.01, 0))), SEQUENCE(COLUMNS(AQ123:BL123)), FALSE), {""charttype"",""column""; ""color"",""chartreuse""; ""ymin"", 0; ""ymax"", 1.01; ""highcolo"&amp;"r"", ""darkgreen""; ""lowcolor"", ""red""}), """")"),"")</f>
        <v/>
      </c>
      <c r="B123" s="17" t="str">
        <f t="shared" si="4"/>
        <v/>
      </c>
      <c r="C123" s="1" t="s">
        <v>3292</v>
      </c>
      <c r="D123" s="30" t="str">
        <f>IFERROR(__xludf.DUMMYFUNCTION("IFERROR(GOOGLEFINANCE(C123, ""NAME""))"),"Zeus North America Mining Corp")</f>
        <v>Zeus North America Mining Corp</v>
      </c>
      <c r="E123" s="30" t="s">
        <v>3004</v>
      </c>
      <c r="F123" s="33" t="str">
        <f>IFERROR(__xludf.DUMMYFUNCTION("( (GOOGLEFINANCE(C123, ""price"") - Q123) / Q123 ) / (R123 / 100)"),"Loading...")</f>
        <v>Loading...</v>
      </c>
      <c r="G123" s="20" t="str">
        <f>IFERROR(__xludf.DUMMYFUNCTION("AVERAGE(ARRAYFORMULA(100 * (QUERY(GOOGLEFINANCE(C123, ""high"", TODAY()-40, TODAY()), ""SELECT Col2 WHERE Col2 IS NOT NULL ORDER BY Col1 DESC LIMIT 20"", 0) / QUERY(GOOGLEFINANCE(C123, ""low"", TODAY()-40, TODAY()), ""SELECT Col2 WHERE Col2 IS NOT NULL OR"&amp;"DER BY Col1 DESC LIMIT 20"", 0) - 1)))"),"#N/A")</f>
        <v>#N/A</v>
      </c>
      <c r="H123" s="35" t="str">
        <f t="shared" si="35"/>
        <v>Illiquid</v>
      </c>
      <c r="I123" s="35" t="str">
        <f t="shared" si="7"/>
        <v>RVol Required</v>
      </c>
      <c r="J123" s="37">
        <f>IFERROR(__xludf.DUMMYFUNCTION("IFERROR(
  IF(C123="""",, 
    IFERROR(
      GOOGLEFINANCE(C123, ""price"") * GOOGLEFINANCE(C123, ""volumeavg""), 
      GOOGLEFINANCE(C123, ""price"") * AVERAGE(QUERY(GOOGLEFINANCE(C123, ""volume"", TODAY()-40, TODAY()), ""SELECT Col2 WHERE Col2 IS NOT "&amp;"NULL ORDER BY Col1 DESC LIMIT 20"", 0))
    )
  ), 
"""")"),4990.580000000001)</f>
        <v>4990.58</v>
      </c>
      <c r="K123" s="21">
        <f>IFERROR(__xludf.DUMMYFUNCTION("IFERROR(GOOGLEFINANCE(C123, ""changepct"") / 100, """")"),0.0)</f>
        <v>0</v>
      </c>
      <c r="L123" s="21" t="str">
        <f>IFERROR(__xludf.DUMMYFUNCTION("IFERROR((GOOGLEFINANCE(C123, ""price"") / INDEX(GOOGLEFINANCE(C123, ""price"", TODAY()-7, TODAY()), 2, 2)) - 1, """")"),"")</f>
        <v/>
      </c>
      <c r="M123" s="21" t="str">
        <f>IFERROR(__xludf.DUMMYFUNCTION("IFERROR((GOOGLEFINANCE(C123, ""price"") / INDEX(GOOGLEFINANCE(C123, ""price"", EDATE(TODAY(), -1), TODAY()), 2, 2)) - 1, """")"),"")</f>
        <v/>
      </c>
      <c r="N123" s="21" t="str">
        <f>IFERROR(__xludf.DUMMYFUNCTION("IFERROR((GOOGLEFINANCE(C123, ""price"") / INDEX(GOOGLEFINANCE(C123, ""price"", EDATE(TODAY(), -3), TODAY()), 2, 2)) - 1, """")"),"")</f>
        <v/>
      </c>
      <c r="O123" s="21" t="str">
        <f>IFERROR(__xludf.DUMMYFUNCTION("IFERROR((GOOGLEFINANCE(C123, ""price"") / INDEX(GOOGLEFINANCE(C123, ""price"", EDATE(TODAY(), -6), TODAY()), 2, 2)) - 1, """")"),"")</f>
        <v/>
      </c>
      <c r="P123" s="21" t="str">
        <f>IFERROR(__xludf.DUMMYFUNCTION("IFERROR((GOOGLEFINANCE(C123, ""price"") / INDEX(GOOGLEFINANCE(C123, ""price"", EDATE(TODAY(), -12), TODAY()), 2, 2)) - 1, """")"),"")</f>
        <v/>
      </c>
      <c r="Q123" s="6" t="str">
        <f>IFERROR(__xludf.DUMMYFUNCTION("AVERAGE(QUERY(GOOGLEFINANCE(C123, ""price"", TODAY()-80, TODAY()), ""SELECT Col2 WHERE Col2 IS NOT NULL ORDER BY Col1 DESC LIMIT 50"", 0))"),"#N/A")</f>
        <v>#N/A</v>
      </c>
      <c r="R123" s="24" t="str">
        <f>IFERROR(__xludf.DUMMYFUNCTION("IFERROR(
  LET(
    data, QUERY(GOOGLEFINANCE(C123,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GOOGLEFINANCE(C123, ""price"")) * 100,
    IF(calc=0, G123, calc)
  ), 
G123)"),"#N/A")</f>
        <v>#N/A</v>
      </c>
      <c r="S123" s="8" t="s">
        <v>15</v>
      </c>
      <c r="T123" s="26" t="str">
        <f>IFERROR(__xludf.DUMMYFUNCTION("IFERROR(TRANSPOSE(QUERY(IFERROR(SORT(GOOGLEFINANCE(C123, ""price"", WORKDAY(TODAY(), -40), TODAY()), 1, FALSE)), ""select Col2 where Col2 is not null limit 22 label Col2 ''"", 0)), """")"),"")</f>
        <v/>
      </c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8"/>
      <c r="AO123" s="28"/>
      <c r="AP123" s="29"/>
      <c r="AQ123" s="29" t="str">
        <f t="shared" ref="AQ123:BL123" si="127">T123/T$2</f>
        <v>#N/A</v>
      </c>
      <c r="AR123" s="29" t="str">
        <f t="shared" si="127"/>
        <v>#DIV/0!</v>
      </c>
      <c r="AS123" s="29" t="str">
        <f t="shared" si="127"/>
        <v>#DIV/0!</v>
      </c>
      <c r="AT123" s="29" t="str">
        <f t="shared" si="127"/>
        <v>#DIV/0!</v>
      </c>
      <c r="AU123" s="29" t="str">
        <f t="shared" si="127"/>
        <v>#DIV/0!</v>
      </c>
      <c r="AV123" s="29" t="str">
        <f t="shared" si="127"/>
        <v>#DIV/0!</v>
      </c>
      <c r="AW123" s="29" t="str">
        <f t="shared" si="127"/>
        <v>#DIV/0!</v>
      </c>
      <c r="AX123" s="29" t="str">
        <f t="shared" si="127"/>
        <v>#DIV/0!</v>
      </c>
      <c r="AY123" s="29" t="str">
        <f t="shared" si="127"/>
        <v>#DIV/0!</v>
      </c>
      <c r="AZ123" s="29" t="str">
        <f t="shared" si="127"/>
        <v>#DIV/0!</v>
      </c>
      <c r="BA123" s="29" t="str">
        <f t="shared" si="127"/>
        <v>#DIV/0!</v>
      </c>
      <c r="BB123" s="29" t="str">
        <f t="shared" si="127"/>
        <v>#DIV/0!</v>
      </c>
      <c r="BC123" s="29" t="str">
        <f t="shared" si="127"/>
        <v>#DIV/0!</v>
      </c>
      <c r="BD123" s="29" t="str">
        <f t="shared" si="127"/>
        <v>#DIV/0!</v>
      </c>
      <c r="BE123" s="29" t="str">
        <f t="shared" si="127"/>
        <v>#DIV/0!</v>
      </c>
      <c r="BF123" s="29" t="str">
        <f t="shared" si="127"/>
        <v>#DIV/0!</v>
      </c>
      <c r="BG123" s="29" t="str">
        <f t="shared" si="127"/>
        <v>#DIV/0!</v>
      </c>
      <c r="BH123" s="29" t="str">
        <f t="shared" si="127"/>
        <v>#DIV/0!</v>
      </c>
      <c r="BI123" s="29" t="str">
        <f t="shared" si="127"/>
        <v>#DIV/0!</v>
      </c>
      <c r="BJ123" s="29" t="str">
        <f t="shared" si="127"/>
        <v>#DIV/0!</v>
      </c>
      <c r="BK123" s="29" t="str">
        <f t="shared" si="127"/>
        <v>#DIV/0!</v>
      </c>
      <c r="BL123" s="29" t="str">
        <f t="shared" si="127"/>
        <v>#DIV/0!</v>
      </c>
      <c r="BM123" s="29" t="str">
        <f t="shared" si="3"/>
        <v>#DIV/0!</v>
      </c>
    </row>
    <row r="124">
      <c r="A124" s="16" t="str">
        <f>IFERROR(__xludf.DUMMYFUNCTION("IFERROR(SPARKLINE(SORT(MAP(TRANSPOSE(AQ124:BL124), LAMBDA(val, IF(ISNUMBER(val), PERCENTRANK(AQ124:BL124, val)+0.01, 0))), SEQUENCE(COLUMNS(AQ124:BL124)), FALSE), {""charttype"",""column""; ""color"",""chartreuse""; ""ymin"", 0; ""ymax"", 1.01; ""highcolo"&amp;"r"", ""darkgreen""; ""lowcolor"", ""red""}), """")"),"")</f>
        <v/>
      </c>
      <c r="B124" s="17" t="str">
        <f t="shared" si="4"/>
        <v/>
      </c>
      <c r="C124" s="1" t="s">
        <v>3293</v>
      </c>
      <c r="D124" s="30" t="str">
        <f>IFERROR(__xludf.DUMMYFUNCTION("IFERROR(GOOGLEFINANCE(C124, ""NAME""))"),"Alcoa Corp")</f>
        <v>Alcoa Corp</v>
      </c>
      <c r="E124" s="30" t="s">
        <v>3140</v>
      </c>
      <c r="F124" s="33" t="str">
        <f>IFERROR(__xludf.DUMMYFUNCTION("( (GOOGLEFINANCE(C124, ""price"") - Q124) / Q124 ) / (R124 / 100)"),"Loading...")</f>
        <v>Loading...</v>
      </c>
      <c r="G124" s="20" t="str">
        <f>IFERROR(__xludf.DUMMYFUNCTION("AVERAGE(ARRAYFORMULA(100 * (QUERY(GOOGLEFINANCE(C124, ""high"", TODAY()-40, TODAY()), ""SELECT Col2 WHERE Col2 IS NOT NULL ORDER BY Col1 DESC LIMIT 20"", 0) / QUERY(GOOGLEFINANCE(C124, ""low"", TODAY()-40, TODAY()), ""SELECT Col2 WHERE Col2 IS NOT NULL OR"&amp;"DER BY Col1 DESC LIMIT 20"", 0) - 1)))"),"#N/A")</f>
        <v>#N/A</v>
      </c>
      <c r="H124" s="35" t="str">
        <f t="shared" si="35"/>
        <v>Liquid</v>
      </c>
      <c r="I124" s="35" t="str">
        <f t="shared" si="7"/>
        <v>RVol Required</v>
      </c>
      <c r="J124" s="37">
        <f>IFERROR(__xludf.DUMMYFUNCTION("IFERROR(
  IF(C124="""",, 
    IFERROR(
      GOOGLEFINANCE(C124, ""price"") * GOOGLEFINANCE(C124, ""volumeavg""), 
      GOOGLEFINANCE(C124, ""price"") * AVERAGE(QUERY(GOOGLEFINANCE(C124, ""volume"", TODAY()-40, TODAY()), ""SELECT Col2 WHERE Col2 IS NOT "&amp;"NULL ORDER BY Col1 DESC LIMIT 20"", 0))
    )
  ), 
"""")"),1.710104308E8)</f>
        <v>171010430.8</v>
      </c>
      <c r="K124" s="21">
        <f>IFERROR(__xludf.DUMMYFUNCTION("IFERROR(GOOGLEFINANCE(C124, ""changepct"") / 100, """")"),0.0255)</f>
        <v>0.0255</v>
      </c>
      <c r="L124" s="21" t="str">
        <f>IFERROR(__xludf.DUMMYFUNCTION("IFERROR((GOOGLEFINANCE(C124, ""price"") / INDEX(GOOGLEFINANCE(C124, ""price"", TODAY()-7, TODAY()), 2, 2)) - 1, """")"),"")</f>
        <v/>
      </c>
      <c r="M124" s="21" t="str">
        <f>IFERROR(__xludf.DUMMYFUNCTION("IFERROR((GOOGLEFINANCE(C124, ""price"") / INDEX(GOOGLEFINANCE(C124, ""price"", EDATE(TODAY(), -1), TODAY()), 2, 2)) - 1, """")"),"")</f>
        <v/>
      </c>
      <c r="N124" s="21" t="str">
        <f>IFERROR(__xludf.DUMMYFUNCTION("IFERROR((GOOGLEFINANCE(C124, ""price"") / INDEX(GOOGLEFINANCE(C124, ""price"", EDATE(TODAY(), -3), TODAY()), 2, 2)) - 1, """")"),"")</f>
        <v/>
      </c>
      <c r="O124" s="21" t="str">
        <f>IFERROR(__xludf.DUMMYFUNCTION("IFERROR((GOOGLEFINANCE(C124, ""price"") / INDEX(GOOGLEFINANCE(C124, ""price"", EDATE(TODAY(), -6), TODAY()), 2, 2)) - 1, """")"),"")</f>
        <v/>
      </c>
      <c r="P124" s="21" t="str">
        <f>IFERROR(__xludf.DUMMYFUNCTION("IFERROR((GOOGLEFINANCE(C124, ""price"") / INDEX(GOOGLEFINANCE(C124, ""price"", EDATE(TODAY(), -12), TODAY()), 2, 2)) - 1, """")"),"")</f>
        <v/>
      </c>
      <c r="Q124" s="6" t="str">
        <f>IFERROR(__xludf.DUMMYFUNCTION("AVERAGE(QUERY(GOOGLEFINANCE(C124, ""price"", TODAY()-80, TODAY()), ""SELECT Col2 WHERE Col2 IS NOT NULL ORDER BY Col1 DESC LIMIT 50"", 0))"),"#N/A")</f>
        <v>#N/A</v>
      </c>
      <c r="R124" s="24" t="str">
        <f>IFERROR(__xludf.DUMMYFUNCTION("IFERROR(
  LET(
    data, QUERY(GOOGLEFINANCE(C124,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GOOGLEFINANCE(C124, ""price"")) * 100,
    IF(calc=0, G124, calc)
  ), 
G124)"),"#N/A")</f>
        <v>#N/A</v>
      </c>
      <c r="S124" s="8" t="s">
        <v>15</v>
      </c>
      <c r="T124" s="26" t="str">
        <f>IFERROR(__xludf.DUMMYFUNCTION("IFERROR(TRANSPOSE(QUERY(IFERROR(SORT(GOOGLEFINANCE(C124, ""price"", WORKDAY(TODAY(), -40), TODAY()), 1, FALSE)), ""select Col2 where Col2 is not null limit 22 label Col2 ''"", 0)), """")"),"")</f>
        <v/>
      </c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8"/>
      <c r="AO124" s="28"/>
      <c r="AP124" s="29"/>
      <c r="AQ124" s="29" t="str">
        <f t="shared" ref="AQ124:BL124" si="128">T124/T$2</f>
        <v>#N/A</v>
      </c>
      <c r="AR124" s="29" t="str">
        <f t="shared" si="128"/>
        <v>#DIV/0!</v>
      </c>
      <c r="AS124" s="29" t="str">
        <f t="shared" si="128"/>
        <v>#DIV/0!</v>
      </c>
      <c r="AT124" s="29" t="str">
        <f t="shared" si="128"/>
        <v>#DIV/0!</v>
      </c>
      <c r="AU124" s="29" t="str">
        <f t="shared" si="128"/>
        <v>#DIV/0!</v>
      </c>
      <c r="AV124" s="29" t="str">
        <f t="shared" si="128"/>
        <v>#DIV/0!</v>
      </c>
      <c r="AW124" s="29" t="str">
        <f t="shared" si="128"/>
        <v>#DIV/0!</v>
      </c>
      <c r="AX124" s="29" t="str">
        <f t="shared" si="128"/>
        <v>#DIV/0!</v>
      </c>
      <c r="AY124" s="29" t="str">
        <f t="shared" si="128"/>
        <v>#DIV/0!</v>
      </c>
      <c r="AZ124" s="29" t="str">
        <f t="shared" si="128"/>
        <v>#DIV/0!</v>
      </c>
      <c r="BA124" s="29" t="str">
        <f t="shared" si="128"/>
        <v>#DIV/0!</v>
      </c>
      <c r="BB124" s="29" t="str">
        <f t="shared" si="128"/>
        <v>#DIV/0!</v>
      </c>
      <c r="BC124" s="29" t="str">
        <f t="shared" si="128"/>
        <v>#DIV/0!</v>
      </c>
      <c r="BD124" s="29" t="str">
        <f t="shared" si="128"/>
        <v>#DIV/0!</v>
      </c>
      <c r="BE124" s="29" t="str">
        <f t="shared" si="128"/>
        <v>#DIV/0!</v>
      </c>
      <c r="BF124" s="29" t="str">
        <f t="shared" si="128"/>
        <v>#DIV/0!</v>
      </c>
      <c r="BG124" s="29" t="str">
        <f t="shared" si="128"/>
        <v>#DIV/0!</v>
      </c>
      <c r="BH124" s="29" t="str">
        <f t="shared" si="128"/>
        <v>#DIV/0!</v>
      </c>
      <c r="BI124" s="29" t="str">
        <f t="shared" si="128"/>
        <v>#DIV/0!</v>
      </c>
      <c r="BJ124" s="29" t="str">
        <f t="shared" si="128"/>
        <v>#DIV/0!</v>
      </c>
      <c r="BK124" s="29" t="str">
        <f t="shared" si="128"/>
        <v>#DIV/0!</v>
      </c>
      <c r="BL124" s="29" t="str">
        <f t="shared" si="128"/>
        <v>#DIV/0!</v>
      </c>
      <c r="BM124" s="29" t="str">
        <f t="shared" si="3"/>
        <v>#DIV/0!</v>
      </c>
    </row>
    <row r="125">
      <c r="A125" s="16" t="str">
        <f>IFERROR(__xludf.DUMMYFUNCTION("IFERROR(SPARKLINE(SORT(MAP(TRANSPOSE(AQ125:BL125), LAMBDA(val, IF(ISNUMBER(val), PERCENTRANK(AQ125:BL125, val)+0.01, 0))), SEQUENCE(COLUMNS(AQ125:BL125)), FALSE), {""charttype"",""column""; ""color"",""chartreuse""; ""ymin"", 0; ""ymax"", 1.01; ""highcolo"&amp;"r"", ""darkgreen""; ""lowcolor"", ""red""}), """")"),"")</f>
        <v/>
      </c>
      <c r="B125" s="17" t="str">
        <f t="shared" si="4"/>
        <v/>
      </c>
      <c r="C125" s="1" t="s">
        <v>3294</v>
      </c>
      <c r="D125" s="30" t="str">
        <f>IFERROR(__xludf.DUMMYFUNCTION("IFERROR(GOOGLEFINANCE(C125, ""NAME""))"),"Steel Dynamics Inc")</f>
        <v>Steel Dynamics Inc</v>
      </c>
      <c r="E125" s="30" t="s">
        <v>3004</v>
      </c>
      <c r="F125" s="33" t="str">
        <f>IFERROR(__xludf.DUMMYFUNCTION("( (GOOGLEFINANCE(C125, ""price"") - Q125) / Q125 ) / (R125 / 100)"),"Loading...")</f>
        <v>Loading...</v>
      </c>
      <c r="G125" s="20" t="str">
        <f>IFERROR(__xludf.DUMMYFUNCTION("AVERAGE(ARRAYFORMULA(100 * (QUERY(GOOGLEFINANCE(C125, ""high"", TODAY()-40, TODAY()), ""SELECT Col2 WHERE Col2 IS NOT NULL ORDER BY Col1 DESC LIMIT 20"", 0) / QUERY(GOOGLEFINANCE(C125, ""low"", TODAY()-40, TODAY()), ""SELECT Col2 WHERE Col2 IS NOT NULL OR"&amp;"DER BY Col1 DESC LIMIT 20"", 0) - 1)))"),"#N/A")</f>
        <v>#N/A</v>
      </c>
      <c r="H125" s="35" t="str">
        <f t="shared" si="35"/>
        <v>Liquid</v>
      </c>
      <c r="I125" s="35" t="str">
        <f t="shared" si="7"/>
        <v>RVol Required</v>
      </c>
      <c r="J125" s="37">
        <f>IFERROR(__xludf.DUMMYFUNCTION("IFERROR(
  IF(C125="""",, 
    IFERROR(
      GOOGLEFINANCE(C125, ""price"") * GOOGLEFINANCE(C125, ""volumeavg""), 
      GOOGLEFINANCE(C125, ""price"") * AVERAGE(QUERY(GOOGLEFINANCE(C125, ""volume"", TODAY()-40, TODAY()), ""SELECT Col2 WHERE Col2 IS NOT "&amp;"NULL ORDER BY Col1 DESC LIMIT 20"", 0))
    )
  ), 
"""")"),2.2559597142E8)</f>
        <v>225595971.4</v>
      </c>
      <c r="K125" s="21">
        <f>IFERROR(__xludf.DUMMYFUNCTION("IFERROR(GOOGLEFINANCE(C125, ""changepct"") / 100, """")"),-9.0E-4)</f>
        <v>-0.0009</v>
      </c>
      <c r="L125" s="21" t="str">
        <f>IFERROR(__xludf.DUMMYFUNCTION("IFERROR((GOOGLEFINANCE(C125, ""price"") / INDEX(GOOGLEFINANCE(C125, ""price"", TODAY()-7, TODAY()), 2, 2)) - 1, """")"),"")</f>
        <v/>
      </c>
      <c r="M125" s="21" t="str">
        <f>IFERROR(__xludf.DUMMYFUNCTION("IFERROR((GOOGLEFINANCE(C125, ""price"") / INDEX(GOOGLEFINANCE(C125, ""price"", EDATE(TODAY(), -1), TODAY()), 2, 2)) - 1, """")"),"")</f>
        <v/>
      </c>
      <c r="N125" s="21" t="str">
        <f>IFERROR(__xludf.DUMMYFUNCTION("IFERROR((GOOGLEFINANCE(C125, ""price"") / INDEX(GOOGLEFINANCE(C125, ""price"", EDATE(TODAY(), -3), TODAY()), 2, 2)) - 1, """")"),"")</f>
        <v/>
      </c>
      <c r="O125" s="21" t="str">
        <f>IFERROR(__xludf.DUMMYFUNCTION("IFERROR((GOOGLEFINANCE(C125, ""price"") / INDEX(GOOGLEFINANCE(C125, ""price"", EDATE(TODAY(), -6), TODAY()), 2, 2)) - 1, """")"),"")</f>
        <v/>
      </c>
      <c r="P125" s="21" t="str">
        <f>IFERROR(__xludf.DUMMYFUNCTION("IFERROR((GOOGLEFINANCE(C125, ""price"") / INDEX(GOOGLEFINANCE(C125, ""price"", EDATE(TODAY(), -12), TODAY()), 2, 2)) - 1, """")"),"")</f>
        <v/>
      </c>
      <c r="Q125" s="6" t="str">
        <f>IFERROR(__xludf.DUMMYFUNCTION("AVERAGE(QUERY(GOOGLEFINANCE(C125, ""price"", TODAY()-80, TODAY()), ""SELECT Col2 WHERE Col2 IS NOT NULL ORDER BY Col1 DESC LIMIT 50"", 0))"),"#N/A")</f>
        <v>#N/A</v>
      </c>
      <c r="R125" s="24" t="str">
        <f>IFERROR(__xludf.DUMMYFUNCTION("IFERROR(
  LET(
    data, QUERY(GOOGLEFINANCE(C125,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GOOGLEFINANCE(C125, ""price"")) * 100,
    IF(calc=0, G125, calc)
  ), 
G125)"),"#N/A")</f>
        <v>#N/A</v>
      </c>
      <c r="S125" s="8" t="s">
        <v>15</v>
      </c>
      <c r="T125" s="26" t="str">
        <f>IFERROR(__xludf.DUMMYFUNCTION("IFERROR(TRANSPOSE(QUERY(IFERROR(SORT(GOOGLEFINANCE(C125, ""price"", WORKDAY(TODAY(), -40), TODAY()), 1, FALSE)), ""select Col2 where Col2 is not null limit 22 label Col2 ''"", 0)), """")"),"")</f>
        <v/>
      </c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8"/>
      <c r="AO125" s="28"/>
      <c r="AP125" s="29"/>
      <c r="AQ125" s="29" t="str">
        <f t="shared" ref="AQ125:BL125" si="129">T125/T$2</f>
        <v>#N/A</v>
      </c>
      <c r="AR125" s="29" t="str">
        <f t="shared" si="129"/>
        <v>#DIV/0!</v>
      </c>
      <c r="AS125" s="29" t="str">
        <f t="shared" si="129"/>
        <v>#DIV/0!</v>
      </c>
      <c r="AT125" s="29" t="str">
        <f t="shared" si="129"/>
        <v>#DIV/0!</v>
      </c>
      <c r="AU125" s="29" t="str">
        <f t="shared" si="129"/>
        <v>#DIV/0!</v>
      </c>
      <c r="AV125" s="29" t="str">
        <f t="shared" si="129"/>
        <v>#DIV/0!</v>
      </c>
      <c r="AW125" s="29" t="str">
        <f t="shared" si="129"/>
        <v>#DIV/0!</v>
      </c>
      <c r="AX125" s="29" t="str">
        <f t="shared" si="129"/>
        <v>#DIV/0!</v>
      </c>
      <c r="AY125" s="29" t="str">
        <f t="shared" si="129"/>
        <v>#DIV/0!</v>
      </c>
      <c r="AZ125" s="29" t="str">
        <f t="shared" si="129"/>
        <v>#DIV/0!</v>
      </c>
      <c r="BA125" s="29" t="str">
        <f t="shared" si="129"/>
        <v>#DIV/0!</v>
      </c>
      <c r="BB125" s="29" t="str">
        <f t="shared" si="129"/>
        <v>#DIV/0!</v>
      </c>
      <c r="BC125" s="29" t="str">
        <f t="shared" si="129"/>
        <v>#DIV/0!</v>
      </c>
      <c r="BD125" s="29" t="str">
        <f t="shared" si="129"/>
        <v>#DIV/0!</v>
      </c>
      <c r="BE125" s="29" t="str">
        <f t="shared" si="129"/>
        <v>#DIV/0!</v>
      </c>
      <c r="BF125" s="29" t="str">
        <f t="shared" si="129"/>
        <v>#DIV/0!</v>
      </c>
      <c r="BG125" s="29" t="str">
        <f t="shared" si="129"/>
        <v>#DIV/0!</v>
      </c>
      <c r="BH125" s="29" t="str">
        <f t="shared" si="129"/>
        <v>#DIV/0!</v>
      </c>
      <c r="BI125" s="29" t="str">
        <f t="shared" si="129"/>
        <v>#DIV/0!</v>
      </c>
      <c r="BJ125" s="29" t="str">
        <f t="shared" si="129"/>
        <v>#DIV/0!</v>
      </c>
      <c r="BK125" s="29" t="str">
        <f t="shared" si="129"/>
        <v>#DIV/0!</v>
      </c>
      <c r="BL125" s="29" t="str">
        <f t="shared" si="129"/>
        <v>#DIV/0!</v>
      </c>
      <c r="BM125" s="29" t="str">
        <f t="shared" si="3"/>
        <v>#DIV/0!</v>
      </c>
    </row>
    <row r="126">
      <c r="A126" s="16" t="str">
        <f>IFERROR(__xludf.DUMMYFUNCTION("IFERROR(SPARKLINE(SORT(MAP(TRANSPOSE(AQ126:BL126), LAMBDA(val, IF(ISNUMBER(val), PERCENTRANK(AQ126:BL126, val)+0.01, 0))), SEQUENCE(COLUMNS(AQ126:BL126)), FALSE), {""charttype"",""column""; ""color"",""chartreuse""; ""ymin"", 0; ""ymax"", 1.01; ""highcolo"&amp;"r"", ""darkgreen""; ""lowcolor"", ""red""}), """")"),"")</f>
        <v/>
      </c>
      <c r="B126" s="17" t="str">
        <f t="shared" si="4"/>
        <v/>
      </c>
      <c r="C126" s="1" t="s">
        <v>3295</v>
      </c>
      <c r="D126" s="30" t="str">
        <f>IFERROR(__xludf.DUMMYFUNCTION("IFERROR(GOOGLEFINANCE(C126, ""NAME""))"),"Arm Holdings PLC - ADR")</f>
        <v>Arm Holdings PLC - ADR</v>
      </c>
      <c r="E126" s="30" t="s">
        <v>2928</v>
      </c>
      <c r="F126" s="33" t="str">
        <f>IFERROR(__xludf.DUMMYFUNCTION("( (GOOGLEFINANCE(C126, ""price"") - Q126) / Q126 ) / (R126 / 100)"),"Loading...")</f>
        <v>Loading...</v>
      </c>
      <c r="G126" s="20" t="str">
        <f>IFERROR(__xludf.DUMMYFUNCTION("AVERAGE(ARRAYFORMULA(100 * (QUERY(GOOGLEFINANCE(C126, ""high"", TODAY()-40, TODAY()), ""SELECT Col2 WHERE Col2 IS NOT NULL ORDER BY Col1 DESC LIMIT 20"", 0) / QUERY(GOOGLEFINANCE(C126, ""low"", TODAY()-40, TODAY()), ""SELECT Col2 WHERE Col2 IS NOT NULL OR"&amp;"DER BY Col1 DESC LIMIT 20"", 0) - 1)))"),"#N/A")</f>
        <v>#N/A</v>
      </c>
      <c r="H126" s="35" t="str">
        <f t="shared" si="35"/>
        <v>Illiquid</v>
      </c>
      <c r="I126" s="35" t="str">
        <f t="shared" si="7"/>
        <v>RVol Required</v>
      </c>
      <c r="J126" s="37">
        <f>IFERROR(__xludf.DUMMYFUNCTION("IFERROR(
  IF(C126="""",, 
    IFERROR(
      GOOGLEFINANCE(C126, ""price"") * GOOGLEFINANCE(C126, ""volumeavg""), 
      GOOGLEFINANCE(C126, ""price"") * AVERAGE(QUERY(GOOGLEFINANCE(C126, ""volume"", TODAY()-40, TODAY()), ""SELECT Col2 WHERE Col2 IS NOT "&amp;"NULL ORDER BY Col1 DESC LIMIT 20"", 0))
    )
  ), 
"""")"),2515619.0)</f>
        <v>2515619</v>
      </c>
      <c r="K126" s="21">
        <f>IFERROR(__xludf.DUMMYFUNCTION("IFERROR(GOOGLEFINANCE(C126, ""changepct"") / 100, """")"),-0.053399999999999996)</f>
        <v>-0.0534</v>
      </c>
      <c r="L126" s="21" t="str">
        <f>IFERROR(__xludf.DUMMYFUNCTION("IFERROR((GOOGLEFINANCE(C126, ""price"") / INDEX(GOOGLEFINANCE(C126, ""price"", TODAY()-7, TODAY()), 2, 2)) - 1, """")"),"")</f>
        <v/>
      </c>
      <c r="M126" s="21" t="str">
        <f>IFERROR(__xludf.DUMMYFUNCTION("IFERROR((GOOGLEFINANCE(C126, ""price"") / INDEX(GOOGLEFINANCE(C126, ""price"", EDATE(TODAY(), -1), TODAY()), 2, 2)) - 1, """")"),"")</f>
        <v/>
      </c>
      <c r="N126" s="21" t="str">
        <f>IFERROR(__xludf.DUMMYFUNCTION("IFERROR((GOOGLEFINANCE(C126, ""price"") / INDEX(GOOGLEFINANCE(C126, ""price"", EDATE(TODAY(), -3), TODAY()), 2, 2)) - 1, """")"),"")</f>
        <v/>
      </c>
      <c r="O126" s="21" t="str">
        <f>IFERROR(__xludf.DUMMYFUNCTION("IFERROR((GOOGLEFINANCE(C126, ""price"") / INDEX(GOOGLEFINANCE(C126, ""price"", EDATE(TODAY(), -6), TODAY()), 2, 2)) - 1, """")"),"")</f>
        <v/>
      </c>
      <c r="P126" s="21" t="str">
        <f>IFERROR(__xludf.DUMMYFUNCTION("IFERROR((GOOGLEFINANCE(C126, ""price"") / INDEX(GOOGLEFINANCE(C126, ""price"", EDATE(TODAY(), -12), TODAY()), 2, 2)) - 1, """")"),"")</f>
        <v/>
      </c>
      <c r="Q126" s="6" t="str">
        <f>IFERROR(__xludf.DUMMYFUNCTION("AVERAGE(QUERY(GOOGLEFINANCE(C126, ""price"", TODAY()-80, TODAY()), ""SELECT Col2 WHERE Col2 IS NOT NULL ORDER BY Col1 DESC LIMIT 50"", 0))"),"#N/A")</f>
        <v>#N/A</v>
      </c>
      <c r="R126" s="24" t="str">
        <f>IFERROR(__xludf.DUMMYFUNCTION("IFERROR(
  LET(
    data, QUERY(GOOGLEFINANCE(C126,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GOOGLEFINANCE(C126, ""price"")) * 100,
    IF(calc=0, G126, calc)
  ), 
G126)"),"#N/A")</f>
        <v>#N/A</v>
      </c>
      <c r="S126" s="8" t="s">
        <v>15</v>
      </c>
      <c r="T126" s="26" t="str">
        <f>IFERROR(__xludf.DUMMYFUNCTION("IFERROR(TRANSPOSE(QUERY(IFERROR(SORT(GOOGLEFINANCE(C126, ""price"", WORKDAY(TODAY(), -40), TODAY()), 1, FALSE)), ""select Col2 where Col2 is not null limit 22 label Col2 ''"", 0)), """")"),"")</f>
        <v/>
      </c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8"/>
      <c r="AO126" s="28"/>
      <c r="AP126" s="29"/>
      <c r="AQ126" s="29" t="str">
        <f t="shared" ref="AQ126:BL126" si="130">T126/T$2</f>
        <v>#N/A</v>
      </c>
      <c r="AR126" s="29" t="str">
        <f t="shared" si="130"/>
        <v>#DIV/0!</v>
      </c>
      <c r="AS126" s="29" t="str">
        <f t="shared" si="130"/>
        <v>#DIV/0!</v>
      </c>
      <c r="AT126" s="29" t="str">
        <f t="shared" si="130"/>
        <v>#DIV/0!</v>
      </c>
      <c r="AU126" s="29" t="str">
        <f t="shared" si="130"/>
        <v>#DIV/0!</v>
      </c>
      <c r="AV126" s="29" t="str">
        <f t="shared" si="130"/>
        <v>#DIV/0!</v>
      </c>
      <c r="AW126" s="29" t="str">
        <f t="shared" si="130"/>
        <v>#DIV/0!</v>
      </c>
      <c r="AX126" s="29" t="str">
        <f t="shared" si="130"/>
        <v>#DIV/0!</v>
      </c>
      <c r="AY126" s="29" t="str">
        <f t="shared" si="130"/>
        <v>#DIV/0!</v>
      </c>
      <c r="AZ126" s="29" t="str">
        <f t="shared" si="130"/>
        <v>#DIV/0!</v>
      </c>
      <c r="BA126" s="29" t="str">
        <f t="shared" si="130"/>
        <v>#DIV/0!</v>
      </c>
      <c r="BB126" s="29" t="str">
        <f t="shared" si="130"/>
        <v>#DIV/0!</v>
      </c>
      <c r="BC126" s="29" t="str">
        <f t="shared" si="130"/>
        <v>#DIV/0!</v>
      </c>
      <c r="BD126" s="29" t="str">
        <f t="shared" si="130"/>
        <v>#DIV/0!</v>
      </c>
      <c r="BE126" s="29" t="str">
        <f t="shared" si="130"/>
        <v>#DIV/0!</v>
      </c>
      <c r="BF126" s="29" t="str">
        <f t="shared" si="130"/>
        <v>#DIV/0!</v>
      </c>
      <c r="BG126" s="29" t="str">
        <f t="shared" si="130"/>
        <v>#DIV/0!</v>
      </c>
      <c r="BH126" s="29" t="str">
        <f t="shared" si="130"/>
        <v>#DIV/0!</v>
      </c>
      <c r="BI126" s="29" t="str">
        <f t="shared" si="130"/>
        <v>#DIV/0!</v>
      </c>
      <c r="BJ126" s="29" t="str">
        <f t="shared" si="130"/>
        <v>#DIV/0!</v>
      </c>
      <c r="BK126" s="29" t="str">
        <f t="shared" si="130"/>
        <v>#DIV/0!</v>
      </c>
      <c r="BL126" s="29" t="str">
        <f t="shared" si="130"/>
        <v>#DIV/0!</v>
      </c>
      <c r="BM126" s="29" t="str">
        <f t="shared" si="3"/>
        <v>#DIV/0!</v>
      </c>
    </row>
    <row r="127">
      <c r="A127" s="16" t="str">
        <f>IFERROR(__xludf.DUMMYFUNCTION("IFERROR(SPARKLINE(SORT(MAP(TRANSPOSE(AQ127:BL127), LAMBDA(val, IF(ISNUMBER(val), PERCENTRANK(AQ127:BL127, val)+0.01, 0))), SEQUENCE(COLUMNS(AQ127:BL127)), FALSE), {""charttype"",""column""; ""color"",""chartreuse""; ""ymin"", 0; ""ymax"", 1.01; ""highcolo"&amp;"r"", ""darkgreen""; ""lowcolor"", ""red""}), """")"),"")</f>
        <v/>
      </c>
      <c r="B127" s="17" t="str">
        <f t="shared" si="4"/>
        <v/>
      </c>
      <c r="C127" s="1" t="s">
        <v>3296</v>
      </c>
      <c r="D127" s="30" t="str">
        <f>IFERROR(__xludf.DUMMYFUNCTION("IFERROR(GOOGLEFINANCE(C127, ""NAME""))"),"Hawkins Inc")</f>
        <v>Hawkins Inc</v>
      </c>
      <c r="E127" s="30" t="s">
        <v>2995</v>
      </c>
      <c r="F127" s="33" t="str">
        <f>IFERROR(__xludf.DUMMYFUNCTION("( (GOOGLEFINANCE(C127, ""price"") - Q127) / Q127 ) / (R127 / 100)"),"Loading...")</f>
        <v>Loading...</v>
      </c>
      <c r="G127" s="20" t="str">
        <f>IFERROR(__xludf.DUMMYFUNCTION("AVERAGE(ARRAYFORMULA(100 * (QUERY(GOOGLEFINANCE(C127, ""high"", TODAY()-40, TODAY()), ""SELECT Col2 WHERE Col2 IS NOT NULL ORDER BY Col1 DESC LIMIT 20"", 0) / QUERY(GOOGLEFINANCE(C127, ""low"", TODAY()-40, TODAY()), ""SELECT Col2 WHERE Col2 IS NOT NULL OR"&amp;"DER BY Col1 DESC LIMIT 20"", 0) - 1)))"),"#N/A")</f>
        <v>#N/A</v>
      </c>
      <c r="H127" s="35" t="str">
        <f t="shared" si="35"/>
        <v>Illiquid</v>
      </c>
      <c r="I127" s="35" t="str">
        <f t="shared" si="7"/>
        <v>RVol Required</v>
      </c>
      <c r="J127" s="37">
        <f>IFERROR(__xludf.DUMMYFUNCTION("IFERROR(
  IF(C127="""",, 
    IFERROR(
      GOOGLEFINANCE(C127, ""price"") * GOOGLEFINANCE(C127, ""volumeavg""), 
      GOOGLEFINANCE(C127, ""price"") * AVERAGE(QUERY(GOOGLEFINANCE(C127, ""volume"", TODAY()-40, TODAY()), ""SELECT Col2 WHERE Col2 IS NOT "&amp;"NULL ORDER BY Col1 DESC LIMIT 20"", 0))
    )
  ), 
"""")"),2.220011422E7)</f>
        <v>22200114.22</v>
      </c>
      <c r="K127" s="21">
        <f>IFERROR(__xludf.DUMMYFUNCTION("IFERROR(GOOGLEFINANCE(C127, ""changepct"") / 100, """")"),-0.0012)</f>
        <v>-0.0012</v>
      </c>
      <c r="L127" s="21" t="str">
        <f>IFERROR(__xludf.DUMMYFUNCTION("IFERROR((GOOGLEFINANCE(C127, ""price"") / INDEX(GOOGLEFINANCE(C127, ""price"", TODAY()-7, TODAY()), 2, 2)) - 1, """")"),"")</f>
        <v/>
      </c>
      <c r="M127" s="21" t="str">
        <f>IFERROR(__xludf.DUMMYFUNCTION("IFERROR((GOOGLEFINANCE(C127, ""price"") / INDEX(GOOGLEFINANCE(C127, ""price"", EDATE(TODAY(), -1), TODAY()), 2, 2)) - 1, """")"),"")</f>
        <v/>
      </c>
      <c r="N127" s="21" t="str">
        <f>IFERROR(__xludf.DUMMYFUNCTION("IFERROR((GOOGLEFINANCE(C127, ""price"") / INDEX(GOOGLEFINANCE(C127, ""price"", EDATE(TODAY(), -3), TODAY()), 2, 2)) - 1, """")"),"")</f>
        <v/>
      </c>
      <c r="O127" s="21" t="str">
        <f>IFERROR(__xludf.DUMMYFUNCTION("IFERROR((GOOGLEFINANCE(C127, ""price"") / INDEX(GOOGLEFINANCE(C127, ""price"", EDATE(TODAY(), -6), TODAY()), 2, 2)) - 1, """")"),"")</f>
        <v/>
      </c>
      <c r="P127" s="21" t="str">
        <f>IFERROR(__xludf.DUMMYFUNCTION("IFERROR((GOOGLEFINANCE(C127, ""price"") / INDEX(GOOGLEFINANCE(C127, ""price"", EDATE(TODAY(), -12), TODAY()), 2, 2)) - 1, """")"),"")</f>
        <v/>
      </c>
      <c r="Q127" s="6" t="str">
        <f>IFERROR(__xludf.DUMMYFUNCTION("AVERAGE(QUERY(GOOGLEFINANCE(C127, ""price"", TODAY()-80, TODAY()), ""SELECT Col2 WHERE Col2 IS NOT NULL ORDER BY Col1 DESC LIMIT 50"", 0))"),"#N/A")</f>
        <v>#N/A</v>
      </c>
      <c r="R127" s="24" t="str">
        <f>IFERROR(__xludf.DUMMYFUNCTION("IFERROR(
  LET(
    data, QUERY(GOOGLEFINANCE(C127,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GOOGLEFINANCE(C127, ""price"")) * 100,
    IF(calc=0, G127, calc)
  ), 
G127)"),"#N/A")</f>
        <v>#N/A</v>
      </c>
      <c r="S127" s="8" t="s">
        <v>15</v>
      </c>
      <c r="T127" s="26" t="str">
        <f>IFERROR(__xludf.DUMMYFUNCTION("IFERROR(TRANSPOSE(QUERY(IFERROR(SORT(GOOGLEFINANCE(C127, ""price"", WORKDAY(TODAY(), -40), TODAY()), 1, FALSE)), ""select Col2 where Col2 is not null limit 22 label Col2 ''"", 0)), """")"),"")</f>
        <v/>
      </c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8"/>
      <c r="AO127" s="28"/>
      <c r="AP127" s="29"/>
      <c r="AQ127" s="29" t="str">
        <f t="shared" ref="AQ127:BL127" si="131">T127/T$2</f>
        <v>#N/A</v>
      </c>
      <c r="AR127" s="29" t="str">
        <f t="shared" si="131"/>
        <v>#DIV/0!</v>
      </c>
      <c r="AS127" s="29" t="str">
        <f t="shared" si="131"/>
        <v>#DIV/0!</v>
      </c>
      <c r="AT127" s="29" t="str">
        <f t="shared" si="131"/>
        <v>#DIV/0!</v>
      </c>
      <c r="AU127" s="29" t="str">
        <f t="shared" si="131"/>
        <v>#DIV/0!</v>
      </c>
      <c r="AV127" s="29" t="str">
        <f t="shared" si="131"/>
        <v>#DIV/0!</v>
      </c>
      <c r="AW127" s="29" t="str">
        <f t="shared" si="131"/>
        <v>#DIV/0!</v>
      </c>
      <c r="AX127" s="29" t="str">
        <f t="shared" si="131"/>
        <v>#DIV/0!</v>
      </c>
      <c r="AY127" s="29" t="str">
        <f t="shared" si="131"/>
        <v>#DIV/0!</v>
      </c>
      <c r="AZ127" s="29" t="str">
        <f t="shared" si="131"/>
        <v>#DIV/0!</v>
      </c>
      <c r="BA127" s="29" t="str">
        <f t="shared" si="131"/>
        <v>#DIV/0!</v>
      </c>
      <c r="BB127" s="29" t="str">
        <f t="shared" si="131"/>
        <v>#DIV/0!</v>
      </c>
      <c r="BC127" s="29" t="str">
        <f t="shared" si="131"/>
        <v>#DIV/0!</v>
      </c>
      <c r="BD127" s="29" t="str">
        <f t="shared" si="131"/>
        <v>#DIV/0!</v>
      </c>
      <c r="BE127" s="29" t="str">
        <f t="shared" si="131"/>
        <v>#DIV/0!</v>
      </c>
      <c r="BF127" s="29" t="str">
        <f t="shared" si="131"/>
        <v>#DIV/0!</v>
      </c>
      <c r="BG127" s="29" t="str">
        <f t="shared" si="131"/>
        <v>#DIV/0!</v>
      </c>
      <c r="BH127" s="29" t="str">
        <f t="shared" si="131"/>
        <v>#DIV/0!</v>
      </c>
      <c r="BI127" s="29" t="str">
        <f t="shared" si="131"/>
        <v>#DIV/0!</v>
      </c>
      <c r="BJ127" s="29" t="str">
        <f t="shared" si="131"/>
        <v>#DIV/0!</v>
      </c>
      <c r="BK127" s="29" t="str">
        <f t="shared" si="131"/>
        <v>#DIV/0!</v>
      </c>
      <c r="BL127" s="29" t="str">
        <f t="shared" si="131"/>
        <v>#DIV/0!</v>
      </c>
      <c r="BM127" s="29" t="str">
        <f t="shared" si="3"/>
        <v>#DIV/0!</v>
      </c>
    </row>
    <row r="128">
      <c r="A128" s="16" t="str">
        <f>IFERROR(__xludf.DUMMYFUNCTION("IFERROR(SPARKLINE(SORT(MAP(TRANSPOSE(AQ128:BL128), LAMBDA(val, IF(ISNUMBER(val), PERCENTRANK(AQ128:BL128, val)+0.01, 0))), SEQUENCE(COLUMNS(AQ128:BL128)), FALSE), {""charttype"",""column""; ""color"",""chartreuse""; ""ymin"", 0; ""ymax"", 1.01; ""highcolo"&amp;"r"", ""darkgreen""; ""lowcolor"", ""red""}), """")"),"")</f>
        <v/>
      </c>
      <c r="B128" s="17" t="str">
        <f t="shared" si="4"/>
        <v/>
      </c>
      <c r="C128" s="1" t="s">
        <v>3297</v>
      </c>
      <c r="D128" s="30" t="str">
        <f>IFERROR(__xludf.DUMMYFUNCTION("IFERROR(GOOGLEFINANCE(C128, ""NAME""))"),"ArcelorMittal SA")</f>
        <v>ArcelorMittal SA</v>
      </c>
      <c r="E128" s="30" t="s">
        <v>3004</v>
      </c>
      <c r="F128" s="33" t="str">
        <f>IFERROR(__xludf.DUMMYFUNCTION("( (GOOGLEFINANCE(C128, ""price"") - Q128) / Q128 ) / (R128 / 100)"),"Loading...")</f>
        <v>Loading...</v>
      </c>
      <c r="G128" s="20" t="str">
        <f>IFERROR(__xludf.DUMMYFUNCTION("AVERAGE(ARRAYFORMULA(100 * (QUERY(GOOGLEFINANCE(C128, ""high"", TODAY()-40, TODAY()), ""SELECT Col2 WHERE Col2 IS NOT NULL ORDER BY Col1 DESC LIMIT 20"", 0) / QUERY(GOOGLEFINANCE(C128, ""low"", TODAY()-40, TODAY()), ""SELECT Col2 WHERE Col2 IS NOT NULL OR"&amp;"DER BY Col1 DESC LIMIT 20"", 0) - 1)))"),"#N/A")</f>
        <v>#N/A</v>
      </c>
      <c r="H128" s="35" t="str">
        <f t="shared" si="35"/>
        <v>Liquid</v>
      </c>
      <c r="I128" s="35" t="str">
        <f t="shared" si="7"/>
        <v>RVol Required</v>
      </c>
      <c r="J128" s="37">
        <f>IFERROR(__xludf.DUMMYFUNCTION("IFERROR(
  IF(C128="""",, 
    IFERROR(
      GOOGLEFINANCE(C128, ""price"") * GOOGLEFINANCE(C128, ""volumeavg""), 
      GOOGLEFINANCE(C128, ""price"") * AVERAGE(QUERY(GOOGLEFINANCE(C128, ""volume"", TODAY()-40, TODAY()), ""SELECT Col2 WHERE Col2 IS NOT "&amp;"NULL ORDER BY Col1 DESC LIMIT 20"", 0))
    )
  ), 
"""")"),8.332795185E7)</f>
        <v>83327951.85</v>
      </c>
      <c r="K128" s="21">
        <f>IFERROR(__xludf.DUMMYFUNCTION("IFERROR(GOOGLEFINANCE(C128, ""changepct"") / 100, """")"),-0.0086)</f>
        <v>-0.0086</v>
      </c>
      <c r="L128" s="21" t="str">
        <f>IFERROR(__xludf.DUMMYFUNCTION("IFERROR((GOOGLEFINANCE(C128, ""price"") / INDEX(GOOGLEFINANCE(C128, ""price"", TODAY()-7, TODAY()), 2, 2)) - 1, """")"),"")</f>
        <v/>
      </c>
      <c r="M128" s="21" t="str">
        <f>IFERROR(__xludf.DUMMYFUNCTION("IFERROR((GOOGLEFINANCE(C128, ""price"") / INDEX(GOOGLEFINANCE(C128, ""price"", EDATE(TODAY(), -1), TODAY()), 2, 2)) - 1, """")"),"")</f>
        <v/>
      </c>
      <c r="N128" s="21" t="str">
        <f>IFERROR(__xludf.DUMMYFUNCTION("IFERROR((GOOGLEFINANCE(C128, ""price"") / INDEX(GOOGLEFINANCE(C128, ""price"", EDATE(TODAY(), -3), TODAY()), 2, 2)) - 1, """")"),"")</f>
        <v/>
      </c>
      <c r="O128" s="21" t="str">
        <f>IFERROR(__xludf.DUMMYFUNCTION("IFERROR((GOOGLEFINANCE(C128, ""price"") / INDEX(GOOGLEFINANCE(C128, ""price"", EDATE(TODAY(), -6), TODAY()), 2, 2)) - 1, """")"),"")</f>
        <v/>
      </c>
      <c r="P128" s="21" t="str">
        <f>IFERROR(__xludf.DUMMYFUNCTION("IFERROR((GOOGLEFINANCE(C128, ""price"") / INDEX(GOOGLEFINANCE(C128, ""price"", EDATE(TODAY(), -12), TODAY()), 2, 2)) - 1, """")"),"")</f>
        <v/>
      </c>
      <c r="Q128" s="6" t="str">
        <f>IFERROR(__xludf.DUMMYFUNCTION("AVERAGE(QUERY(GOOGLEFINANCE(C128, ""price"", TODAY()-80, TODAY()), ""SELECT Col2 WHERE Col2 IS NOT NULL ORDER BY Col1 DESC LIMIT 50"", 0))"),"#N/A")</f>
        <v>#N/A</v>
      </c>
      <c r="R128" s="24" t="str">
        <f>IFERROR(__xludf.DUMMYFUNCTION("IFERROR(
  LET(
    data, QUERY(GOOGLEFINANCE(C128,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GOOGLEFINANCE(C128, ""price"")) * 100,
    IF(calc=0, G128, calc)
  ), 
G128)"),"#N/A")</f>
        <v>#N/A</v>
      </c>
      <c r="S128" s="8" t="s">
        <v>15</v>
      </c>
      <c r="T128" s="26" t="str">
        <f>IFERROR(__xludf.DUMMYFUNCTION("IFERROR(TRANSPOSE(QUERY(IFERROR(SORT(GOOGLEFINANCE(C128, ""price"", WORKDAY(TODAY(), -40), TODAY()), 1, FALSE)), ""select Col2 where Col2 is not null limit 22 label Col2 ''"", 0)), """")"),"")</f>
        <v/>
      </c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8"/>
      <c r="AO128" s="28"/>
      <c r="AP128" s="29"/>
      <c r="AQ128" s="29" t="str">
        <f t="shared" ref="AQ128:BL128" si="132">T128/T$2</f>
        <v>#N/A</v>
      </c>
      <c r="AR128" s="29" t="str">
        <f t="shared" si="132"/>
        <v>#DIV/0!</v>
      </c>
      <c r="AS128" s="29" t="str">
        <f t="shared" si="132"/>
        <v>#DIV/0!</v>
      </c>
      <c r="AT128" s="29" t="str">
        <f t="shared" si="132"/>
        <v>#DIV/0!</v>
      </c>
      <c r="AU128" s="29" t="str">
        <f t="shared" si="132"/>
        <v>#DIV/0!</v>
      </c>
      <c r="AV128" s="29" t="str">
        <f t="shared" si="132"/>
        <v>#DIV/0!</v>
      </c>
      <c r="AW128" s="29" t="str">
        <f t="shared" si="132"/>
        <v>#DIV/0!</v>
      </c>
      <c r="AX128" s="29" t="str">
        <f t="shared" si="132"/>
        <v>#DIV/0!</v>
      </c>
      <c r="AY128" s="29" t="str">
        <f t="shared" si="132"/>
        <v>#DIV/0!</v>
      </c>
      <c r="AZ128" s="29" t="str">
        <f t="shared" si="132"/>
        <v>#DIV/0!</v>
      </c>
      <c r="BA128" s="29" t="str">
        <f t="shared" si="132"/>
        <v>#DIV/0!</v>
      </c>
      <c r="BB128" s="29" t="str">
        <f t="shared" si="132"/>
        <v>#DIV/0!</v>
      </c>
      <c r="BC128" s="29" t="str">
        <f t="shared" si="132"/>
        <v>#DIV/0!</v>
      </c>
      <c r="BD128" s="29" t="str">
        <f t="shared" si="132"/>
        <v>#DIV/0!</v>
      </c>
      <c r="BE128" s="29" t="str">
        <f t="shared" si="132"/>
        <v>#DIV/0!</v>
      </c>
      <c r="BF128" s="29" t="str">
        <f t="shared" si="132"/>
        <v>#DIV/0!</v>
      </c>
      <c r="BG128" s="29" t="str">
        <f t="shared" si="132"/>
        <v>#DIV/0!</v>
      </c>
      <c r="BH128" s="29" t="str">
        <f t="shared" si="132"/>
        <v>#DIV/0!</v>
      </c>
      <c r="BI128" s="29" t="str">
        <f t="shared" si="132"/>
        <v>#DIV/0!</v>
      </c>
      <c r="BJ128" s="29" t="str">
        <f t="shared" si="132"/>
        <v>#DIV/0!</v>
      </c>
      <c r="BK128" s="29" t="str">
        <f t="shared" si="132"/>
        <v>#DIV/0!</v>
      </c>
      <c r="BL128" s="29" t="str">
        <f t="shared" si="132"/>
        <v>#DIV/0!</v>
      </c>
      <c r="BM128" s="29" t="str">
        <f t="shared" si="3"/>
        <v>#DIV/0!</v>
      </c>
    </row>
    <row r="129">
      <c r="A129" s="16" t="str">
        <f>IFERROR(__xludf.DUMMYFUNCTION("IFERROR(SPARKLINE(SORT(MAP(TRANSPOSE(AQ129:BL129), LAMBDA(val, IF(ISNUMBER(val), PERCENTRANK(AQ129:BL129, val)+0.01, 0))), SEQUENCE(COLUMNS(AQ129:BL129)), FALSE), {""charttype"",""column""; ""color"",""chartreuse""; ""ymin"", 0; ""ymax"", 1.01; ""highcolo"&amp;"r"", ""darkgreen""; ""lowcolor"", ""red""}), """")"),"")</f>
        <v/>
      </c>
      <c r="B129" s="17" t="str">
        <f t="shared" si="4"/>
        <v/>
      </c>
      <c r="C129" s="1" t="s">
        <v>3298</v>
      </c>
      <c r="D129" s="30" t="str">
        <f>IFERROR(__xludf.DUMMYFUNCTION("IFERROR(GOOGLEFINANCE(C129, ""NAME""))"),"Nova Minerals Corp")</f>
        <v>Nova Minerals Corp</v>
      </c>
      <c r="E129" s="30" t="s">
        <v>2935</v>
      </c>
      <c r="F129" s="33" t="str">
        <f>IFERROR(__xludf.DUMMYFUNCTION("( (GOOGLEFINANCE(C129, ""price"") - Q129) / Q129 ) / (R129 / 100)"),"Loading...")</f>
        <v>Loading...</v>
      </c>
      <c r="G129" s="20" t="str">
        <f>IFERROR(__xludf.DUMMYFUNCTION("AVERAGE(ARRAYFORMULA(100 * (QUERY(GOOGLEFINANCE(C129, ""high"", TODAY()-40, TODAY()), ""SELECT Col2 WHERE Col2 IS NOT NULL ORDER BY Col1 DESC LIMIT 20"", 0) / QUERY(GOOGLEFINANCE(C129, ""low"", TODAY()-40, TODAY()), ""SELECT Col2 WHERE Col2 IS NOT NULL OR"&amp;"DER BY Col1 DESC LIMIT 20"", 0) - 1)))"),"#N/A")</f>
        <v>#N/A</v>
      </c>
      <c r="H129" s="35" t="str">
        <f t="shared" si="35"/>
        <v>Illiquid</v>
      </c>
      <c r="I129" s="35" t="str">
        <f t="shared" si="7"/>
        <v>RVol Required</v>
      </c>
      <c r="J129" s="37">
        <f>IFERROR(__xludf.DUMMYFUNCTION("IFERROR(
  IF(C129="""",, 
    IFERROR(
      GOOGLEFINANCE(C129, ""price"") * GOOGLEFINANCE(C129, ""volumeavg""), 
      GOOGLEFINANCE(C129, ""price"") * AVERAGE(QUERY(GOOGLEFINANCE(C129, ""volume"", TODAY()-40, TODAY()), ""SELECT Col2 WHERE Col2 IS NOT "&amp;"NULL ORDER BY Col1 DESC LIMIT 20"", 0))
    )
  ), 
"""")"),1814980.5799999998)</f>
        <v>1814980.58</v>
      </c>
      <c r="K129" s="21">
        <f>IFERROR(__xludf.DUMMYFUNCTION("IFERROR(GOOGLEFINANCE(C129, ""changepct"") / 100, """")"),-0.1281)</f>
        <v>-0.1281</v>
      </c>
      <c r="L129" s="21" t="str">
        <f>IFERROR(__xludf.DUMMYFUNCTION("IFERROR((GOOGLEFINANCE(C129, ""price"") / INDEX(GOOGLEFINANCE(C129, ""price"", TODAY()-7, TODAY()), 2, 2)) - 1, """")"),"")</f>
        <v/>
      </c>
      <c r="M129" s="21" t="str">
        <f>IFERROR(__xludf.DUMMYFUNCTION("IFERROR((GOOGLEFINANCE(C129, ""price"") / INDEX(GOOGLEFINANCE(C129, ""price"", EDATE(TODAY(), -1), TODAY()), 2, 2)) - 1, """")"),"")</f>
        <v/>
      </c>
      <c r="N129" s="21" t="str">
        <f>IFERROR(__xludf.DUMMYFUNCTION("IFERROR((GOOGLEFINANCE(C129, ""price"") / INDEX(GOOGLEFINANCE(C129, ""price"", EDATE(TODAY(), -3), TODAY()), 2, 2)) - 1, """")"),"")</f>
        <v/>
      </c>
      <c r="O129" s="21" t="str">
        <f>IFERROR(__xludf.DUMMYFUNCTION("IFERROR((GOOGLEFINANCE(C129, ""price"") / INDEX(GOOGLEFINANCE(C129, ""price"", EDATE(TODAY(), -6), TODAY()), 2, 2)) - 1, """")"),"")</f>
        <v/>
      </c>
      <c r="P129" s="21" t="str">
        <f>IFERROR(__xludf.DUMMYFUNCTION("IFERROR((GOOGLEFINANCE(C129, ""price"") / INDEX(GOOGLEFINANCE(C129, ""price"", EDATE(TODAY(), -12), TODAY()), 2, 2)) - 1, """")"),"")</f>
        <v/>
      </c>
      <c r="Q129" s="6" t="str">
        <f>IFERROR(__xludf.DUMMYFUNCTION("AVERAGE(QUERY(GOOGLEFINANCE(C129, ""price"", TODAY()-80, TODAY()), ""SELECT Col2 WHERE Col2 IS NOT NULL ORDER BY Col1 DESC LIMIT 50"", 0))"),"#N/A")</f>
        <v>#N/A</v>
      </c>
      <c r="R129" s="24" t="str">
        <f>IFERROR(__xludf.DUMMYFUNCTION("IFERROR(
  LET(
    data, QUERY(GOOGLEFINANCE(C129,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GOOGLEFINANCE(C129, ""price"")) * 100,
    IF(calc=0, G129, calc)
  ), 
G129)"),"#N/A")</f>
        <v>#N/A</v>
      </c>
      <c r="S129" s="8" t="s">
        <v>15</v>
      </c>
      <c r="T129" s="26" t="str">
        <f>IFERROR(__xludf.DUMMYFUNCTION("IFERROR(TRANSPOSE(QUERY(IFERROR(SORT(GOOGLEFINANCE(C129, ""price"", WORKDAY(TODAY(), -40), TODAY()), 1, FALSE)), ""select Col2 where Col2 is not null limit 22 label Col2 ''"", 0)), """")"),"")</f>
        <v/>
      </c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8"/>
      <c r="AO129" s="28"/>
      <c r="AP129" s="29"/>
      <c r="AQ129" s="29" t="str">
        <f t="shared" ref="AQ129:BL129" si="133">T129/T$2</f>
        <v>#N/A</v>
      </c>
      <c r="AR129" s="29" t="str">
        <f t="shared" si="133"/>
        <v>#DIV/0!</v>
      </c>
      <c r="AS129" s="29" t="str">
        <f t="shared" si="133"/>
        <v>#DIV/0!</v>
      </c>
      <c r="AT129" s="29" t="str">
        <f t="shared" si="133"/>
        <v>#DIV/0!</v>
      </c>
      <c r="AU129" s="29" t="str">
        <f t="shared" si="133"/>
        <v>#DIV/0!</v>
      </c>
      <c r="AV129" s="29" t="str">
        <f t="shared" si="133"/>
        <v>#DIV/0!</v>
      </c>
      <c r="AW129" s="29" t="str">
        <f t="shared" si="133"/>
        <v>#DIV/0!</v>
      </c>
      <c r="AX129" s="29" t="str">
        <f t="shared" si="133"/>
        <v>#DIV/0!</v>
      </c>
      <c r="AY129" s="29" t="str">
        <f t="shared" si="133"/>
        <v>#DIV/0!</v>
      </c>
      <c r="AZ129" s="29" t="str">
        <f t="shared" si="133"/>
        <v>#DIV/0!</v>
      </c>
      <c r="BA129" s="29" t="str">
        <f t="shared" si="133"/>
        <v>#DIV/0!</v>
      </c>
      <c r="BB129" s="29" t="str">
        <f t="shared" si="133"/>
        <v>#DIV/0!</v>
      </c>
      <c r="BC129" s="29" t="str">
        <f t="shared" si="133"/>
        <v>#DIV/0!</v>
      </c>
      <c r="BD129" s="29" t="str">
        <f t="shared" si="133"/>
        <v>#DIV/0!</v>
      </c>
      <c r="BE129" s="29" t="str">
        <f t="shared" si="133"/>
        <v>#DIV/0!</v>
      </c>
      <c r="BF129" s="29" t="str">
        <f t="shared" si="133"/>
        <v>#DIV/0!</v>
      </c>
      <c r="BG129" s="29" t="str">
        <f t="shared" si="133"/>
        <v>#DIV/0!</v>
      </c>
      <c r="BH129" s="29" t="str">
        <f t="shared" si="133"/>
        <v>#DIV/0!</v>
      </c>
      <c r="BI129" s="29" t="str">
        <f t="shared" si="133"/>
        <v>#DIV/0!</v>
      </c>
      <c r="BJ129" s="29" t="str">
        <f t="shared" si="133"/>
        <v>#DIV/0!</v>
      </c>
      <c r="BK129" s="29" t="str">
        <f t="shared" si="133"/>
        <v>#DIV/0!</v>
      </c>
      <c r="BL129" s="29" t="str">
        <f t="shared" si="133"/>
        <v>#DIV/0!</v>
      </c>
      <c r="BM129" s="29" t="str">
        <f t="shared" si="3"/>
        <v>#DIV/0!</v>
      </c>
    </row>
    <row r="130">
      <c r="A130" s="16" t="str">
        <f>IFERROR(__xludf.DUMMYFUNCTION("IFERROR(SPARKLINE(SORT(MAP(TRANSPOSE(AQ130:BL130), LAMBDA(val, IF(ISNUMBER(val), PERCENTRANK(AQ130:BL130, val)+0.01, 0))), SEQUENCE(COLUMNS(AQ130:BL130)), FALSE), {""charttype"",""column""; ""color"",""chartreuse""; ""ymin"", 0; ""ymax"", 1.01; ""highcolo"&amp;"r"", ""darkgreen""; ""lowcolor"", ""red""}), """")"),"")</f>
        <v/>
      </c>
      <c r="B130" s="17" t="str">
        <f t="shared" si="4"/>
        <v/>
      </c>
      <c r="C130" s="1" t="s">
        <v>3299</v>
      </c>
      <c r="D130" s="30" t="str">
        <f>IFERROR(__xludf.DUMMYFUNCTION("IFERROR(GOOGLEFINANCE(C130, ""NAME""))"),"I-80 Gold Corp")</f>
        <v>I-80 Gold Corp</v>
      </c>
      <c r="E130" s="30" t="s">
        <v>2928</v>
      </c>
      <c r="F130" s="33" t="str">
        <f>IFERROR(__xludf.DUMMYFUNCTION("( (GOOGLEFINANCE(C130, ""price"") - Q130) / Q130 ) / (R130 / 100)"),"Loading...")</f>
        <v>Loading...</v>
      </c>
      <c r="G130" s="20" t="str">
        <f>IFERROR(__xludf.DUMMYFUNCTION("AVERAGE(ARRAYFORMULA(100 * (QUERY(GOOGLEFINANCE(C130, ""high"", TODAY()-40, TODAY()), ""SELECT Col2 WHERE Col2 IS NOT NULL ORDER BY Col1 DESC LIMIT 20"", 0) / QUERY(GOOGLEFINANCE(C130, ""low"", TODAY()-40, TODAY()), ""SELECT Col2 WHERE Col2 IS NOT NULL OR"&amp;"DER BY Col1 DESC LIMIT 20"", 0) - 1)))"),"#N/A")</f>
        <v>#N/A</v>
      </c>
      <c r="H130" s="35" t="str">
        <f t="shared" si="35"/>
        <v>Illiquid</v>
      </c>
      <c r="I130" s="35" t="str">
        <f t="shared" si="7"/>
        <v>RVol Required</v>
      </c>
      <c r="J130" s="37">
        <f>IFERROR(__xludf.DUMMYFUNCTION("IFERROR(
  IF(C130="""",, 
    IFERROR(
      GOOGLEFINANCE(C130, ""price"") * GOOGLEFINANCE(C130, ""volumeavg""), 
      GOOGLEFINANCE(C130, ""price"") * AVERAGE(QUERY(GOOGLEFINANCE(C130, ""volume"", TODAY()-40, TODAY()), ""SELECT Col2 WHERE Col2 IS NOT "&amp;"NULL ORDER BY Col1 DESC LIMIT 20"", 0))
    )
  ), 
"""")"),1.144149752E7)</f>
        <v>11441497.52</v>
      </c>
      <c r="K130" s="21">
        <f>IFERROR(__xludf.DUMMYFUNCTION("IFERROR(GOOGLEFINANCE(C130, ""changepct"") / 100, """")"),-0.006500000000000001)</f>
        <v>-0.0065</v>
      </c>
      <c r="L130" s="21" t="str">
        <f>IFERROR(__xludf.DUMMYFUNCTION("IFERROR((GOOGLEFINANCE(C130, ""price"") / INDEX(GOOGLEFINANCE(C130, ""price"", TODAY()-7, TODAY()), 2, 2)) - 1, """")"),"")</f>
        <v/>
      </c>
      <c r="M130" s="21" t="str">
        <f>IFERROR(__xludf.DUMMYFUNCTION("IFERROR((GOOGLEFINANCE(C130, ""price"") / INDEX(GOOGLEFINANCE(C130, ""price"", EDATE(TODAY(), -1), TODAY()), 2, 2)) - 1, """")"),"")</f>
        <v/>
      </c>
      <c r="N130" s="21" t="str">
        <f>IFERROR(__xludf.DUMMYFUNCTION("IFERROR((GOOGLEFINANCE(C130, ""price"") / INDEX(GOOGLEFINANCE(C130, ""price"", EDATE(TODAY(), -3), TODAY()), 2, 2)) - 1, """")"),"")</f>
        <v/>
      </c>
      <c r="O130" s="21" t="str">
        <f>IFERROR(__xludf.DUMMYFUNCTION("IFERROR((GOOGLEFINANCE(C130, ""price"") / INDEX(GOOGLEFINANCE(C130, ""price"", EDATE(TODAY(), -6), TODAY()), 2, 2)) - 1, """")"),"")</f>
        <v/>
      </c>
      <c r="P130" s="21" t="str">
        <f>IFERROR(__xludf.DUMMYFUNCTION("IFERROR((GOOGLEFINANCE(C130, ""price"") / INDEX(GOOGLEFINANCE(C130, ""price"", EDATE(TODAY(), -12), TODAY()), 2, 2)) - 1, """")"),"")</f>
        <v/>
      </c>
      <c r="Q130" s="6" t="str">
        <f>IFERROR(__xludf.DUMMYFUNCTION("AVERAGE(QUERY(GOOGLEFINANCE(C130, ""price"", TODAY()-80, TODAY()), ""SELECT Col2 WHERE Col2 IS NOT NULL ORDER BY Col1 DESC LIMIT 50"", 0))"),"#N/A")</f>
        <v>#N/A</v>
      </c>
      <c r="R130" s="24" t="str">
        <f>IFERROR(__xludf.DUMMYFUNCTION("IFERROR(
  LET(
    data, QUERY(GOOGLEFINANCE(C130,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GOOGLEFINANCE(C130, ""price"")) * 100,
    IF(calc=0, G130, calc)
  ), 
G130)"),"#N/A")</f>
        <v>#N/A</v>
      </c>
      <c r="S130" s="8" t="s">
        <v>15</v>
      </c>
      <c r="T130" s="26" t="str">
        <f>IFERROR(__xludf.DUMMYFUNCTION("IFERROR(TRANSPOSE(QUERY(IFERROR(SORT(GOOGLEFINANCE(C130, ""price"", WORKDAY(TODAY(), -40), TODAY()), 1, FALSE)), ""select Col2 where Col2 is not null limit 22 label Col2 ''"", 0)), """")"),"")</f>
        <v/>
      </c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8"/>
      <c r="AO130" s="28"/>
      <c r="AP130" s="29"/>
      <c r="AQ130" s="29" t="str">
        <f t="shared" ref="AQ130:BL130" si="134">T130/T$2</f>
        <v>#N/A</v>
      </c>
      <c r="AR130" s="29" t="str">
        <f t="shared" si="134"/>
        <v>#DIV/0!</v>
      </c>
      <c r="AS130" s="29" t="str">
        <f t="shared" si="134"/>
        <v>#DIV/0!</v>
      </c>
      <c r="AT130" s="29" t="str">
        <f t="shared" si="134"/>
        <v>#DIV/0!</v>
      </c>
      <c r="AU130" s="29" t="str">
        <f t="shared" si="134"/>
        <v>#DIV/0!</v>
      </c>
      <c r="AV130" s="29" t="str">
        <f t="shared" si="134"/>
        <v>#DIV/0!</v>
      </c>
      <c r="AW130" s="29" t="str">
        <f t="shared" si="134"/>
        <v>#DIV/0!</v>
      </c>
      <c r="AX130" s="29" t="str">
        <f t="shared" si="134"/>
        <v>#DIV/0!</v>
      </c>
      <c r="AY130" s="29" t="str">
        <f t="shared" si="134"/>
        <v>#DIV/0!</v>
      </c>
      <c r="AZ130" s="29" t="str">
        <f t="shared" si="134"/>
        <v>#DIV/0!</v>
      </c>
      <c r="BA130" s="29" t="str">
        <f t="shared" si="134"/>
        <v>#DIV/0!</v>
      </c>
      <c r="BB130" s="29" t="str">
        <f t="shared" si="134"/>
        <v>#DIV/0!</v>
      </c>
      <c r="BC130" s="29" t="str">
        <f t="shared" si="134"/>
        <v>#DIV/0!</v>
      </c>
      <c r="BD130" s="29" t="str">
        <f t="shared" si="134"/>
        <v>#DIV/0!</v>
      </c>
      <c r="BE130" s="29" t="str">
        <f t="shared" si="134"/>
        <v>#DIV/0!</v>
      </c>
      <c r="BF130" s="29" t="str">
        <f t="shared" si="134"/>
        <v>#DIV/0!</v>
      </c>
      <c r="BG130" s="29" t="str">
        <f t="shared" si="134"/>
        <v>#DIV/0!</v>
      </c>
      <c r="BH130" s="29" t="str">
        <f t="shared" si="134"/>
        <v>#DIV/0!</v>
      </c>
      <c r="BI130" s="29" t="str">
        <f t="shared" si="134"/>
        <v>#DIV/0!</v>
      </c>
      <c r="BJ130" s="29" t="str">
        <f t="shared" si="134"/>
        <v>#DIV/0!</v>
      </c>
      <c r="BK130" s="29" t="str">
        <f t="shared" si="134"/>
        <v>#DIV/0!</v>
      </c>
      <c r="BL130" s="29" t="str">
        <f t="shared" si="134"/>
        <v>#DIV/0!</v>
      </c>
      <c r="BM130" s="29" t="str">
        <f t="shared" si="3"/>
        <v>#DIV/0!</v>
      </c>
    </row>
    <row r="131">
      <c r="A131" s="16" t="str">
        <f>IFERROR(__xludf.DUMMYFUNCTION("IFERROR(SPARKLINE(SORT(MAP(TRANSPOSE(AQ131:BL131), LAMBDA(val, IF(ISNUMBER(val), PERCENTRANK(AQ131:BL131, val)+0.01, 0))), SEQUENCE(COLUMNS(AQ131:BL131)), FALSE), {""charttype"",""column""; ""color"",""chartreuse""; ""ymin"", 0; ""ymax"", 1.01; ""highcolo"&amp;"r"", ""darkgreen""; ""lowcolor"", ""red""}), """")"),"")</f>
        <v/>
      </c>
      <c r="B131" s="17" t="str">
        <f t="shared" si="4"/>
        <v/>
      </c>
      <c r="C131" s="1" t="s">
        <v>3300</v>
      </c>
      <c r="D131" s="30" t="str">
        <f>IFERROR(__xludf.DUMMYFUNCTION("IFERROR(GOOGLEFINANCE(C131, ""NAME""))"),"Kinross Gold Corp")</f>
        <v>Kinross Gold Corp</v>
      </c>
      <c r="E131" s="30" t="s">
        <v>2928</v>
      </c>
      <c r="F131" s="33" t="str">
        <f>IFERROR(__xludf.DUMMYFUNCTION("( (GOOGLEFINANCE(C131, ""price"") - Q131) / Q131 ) / (R131 / 100)"),"Loading...")</f>
        <v>Loading...</v>
      </c>
      <c r="G131" s="20" t="str">
        <f>IFERROR(__xludf.DUMMYFUNCTION("AVERAGE(ARRAYFORMULA(100 * (QUERY(GOOGLEFINANCE(C131, ""high"", TODAY()-40, TODAY()), ""SELECT Col2 WHERE Col2 IS NOT NULL ORDER BY Col1 DESC LIMIT 20"", 0) / QUERY(GOOGLEFINANCE(C131, ""low"", TODAY()-40, TODAY()), ""SELECT Col2 WHERE Col2 IS NOT NULL OR"&amp;"DER BY Col1 DESC LIMIT 20"", 0) - 1)))"),"#N/A")</f>
        <v>#N/A</v>
      </c>
      <c r="H131" s="35" t="str">
        <f t="shared" si="35"/>
        <v>Liquid</v>
      </c>
      <c r="I131" s="35" t="str">
        <f t="shared" si="7"/>
        <v>RVol Required</v>
      </c>
      <c r="J131" s="37">
        <f>IFERROR(__xludf.DUMMYFUNCTION("IFERROR(
  IF(C131="""",, 
    IFERROR(
      GOOGLEFINANCE(C131, ""price"") * GOOGLEFINANCE(C131, ""volumeavg""), 
      GOOGLEFINANCE(C131, ""price"") * AVERAGE(QUERY(GOOGLEFINANCE(C131, ""volume"", TODAY()-40, TODAY()), ""SELECT Col2 WHERE Col2 IS NOT "&amp;"NULL ORDER BY Col1 DESC LIMIT 20"", 0))
    )
  ), 
"""")"),1.8219206029999998E8)</f>
        <v>182192060.3</v>
      </c>
      <c r="K131" s="21">
        <f>IFERROR(__xludf.DUMMYFUNCTION("IFERROR(GOOGLEFINANCE(C131, ""changepct"") / 100, """")"),0.0070999999999999995)</f>
        <v>0.0071</v>
      </c>
      <c r="L131" s="21" t="str">
        <f>IFERROR(__xludf.DUMMYFUNCTION("IFERROR((GOOGLEFINANCE(C131, ""price"") / INDEX(GOOGLEFINANCE(C131, ""price"", TODAY()-7, TODAY()), 2, 2)) - 1, """")"),"")</f>
        <v/>
      </c>
      <c r="M131" s="21" t="str">
        <f>IFERROR(__xludf.DUMMYFUNCTION("IFERROR((GOOGLEFINANCE(C131, ""price"") / INDEX(GOOGLEFINANCE(C131, ""price"", EDATE(TODAY(), -1), TODAY()), 2, 2)) - 1, """")"),"")</f>
        <v/>
      </c>
      <c r="N131" s="21" t="str">
        <f>IFERROR(__xludf.DUMMYFUNCTION("IFERROR((GOOGLEFINANCE(C131, ""price"") / INDEX(GOOGLEFINANCE(C131, ""price"", EDATE(TODAY(), -3), TODAY()), 2, 2)) - 1, """")"),"")</f>
        <v/>
      </c>
      <c r="O131" s="21" t="str">
        <f>IFERROR(__xludf.DUMMYFUNCTION("IFERROR((GOOGLEFINANCE(C131, ""price"") / INDEX(GOOGLEFINANCE(C131, ""price"", EDATE(TODAY(), -6), TODAY()), 2, 2)) - 1, """")"),"")</f>
        <v/>
      </c>
      <c r="P131" s="21" t="str">
        <f>IFERROR(__xludf.DUMMYFUNCTION("IFERROR((GOOGLEFINANCE(C131, ""price"") / INDEX(GOOGLEFINANCE(C131, ""price"", EDATE(TODAY(), -12), TODAY()), 2, 2)) - 1, """")"),"")</f>
        <v/>
      </c>
      <c r="Q131" s="6" t="str">
        <f>IFERROR(__xludf.DUMMYFUNCTION("AVERAGE(QUERY(GOOGLEFINANCE(C131, ""price"", TODAY()-80, TODAY()), ""SELECT Col2 WHERE Col2 IS NOT NULL ORDER BY Col1 DESC LIMIT 50"", 0))"),"#N/A")</f>
        <v>#N/A</v>
      </c>
      <c r="R131" s="24" t="str">
        <f>IFERROR(__xludf.DUMMYFUNCTION("IFERROR(
  LET(
    data, QUERY(GOOGLEFINANCE(C131,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GOOGLEFINANCE(C131, ""price"")) * 100,
    IF(calc=0, G131, calc)
  ), 
G131)"),"#N/A")</f>
        <v>#N/A</v>
      </c>
      <c r="S131" s="8" t="s">
        <v>15</v>
      </c>
      <c r="T131" s="26" t="str">
        <f>IFERROR(__xludf.DUMMYFUNCTION("IFERROR(TRANSPOSE(QUERY(IFERROR(SORT(GOOGLEFINANCE(C131, ""price"", WORKDAY(TODAY(), -40), TODAY()), 1, FALSE)), ""select Col2 where Col2 is not null limit 22 label Col2 ''"", 0)), """")"),"")</f>
        <v/>
      </c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8"/>
      <c r="AO131" s="28"/>
      <c r="AP131" s="29"/>
      <c r="AQ131" s="29" t="str">
        <f t="shared" ref="AQ131:BL131" si="135">T131/T$2</f>
        <v>#N/A</v>
      </c>
      <c r="AR131" s="29" t="str">
        <f t="shared" si="135"/>
        <v>#DIV/0!</v>
      </c>
      <c r="AS131" s="29" t="str">
        <f t="shared" si="135"/>
        <v>#DIV/0!</v>
      </c>
      <c r="AT131" s="29" t="str">
        <f t="shared" si="135"/>
        <v>#DIV/0!</v>
      </c>
      <c r="AU131" s="29" t="str">
        <f t="shared" si="135"/>
        <v>#DIV/0!</v>
      </c>
      <c r="AV131" s="29" t="str">
        <f t="shared" si="135"/>
        <v>#DIV/0!</v>
      </c>
      <c r="AW131" s="29" t="str">
        <f t="shared" si="135"/>
        <v>#DIV/0!</v>
      </c>
      <c r="AX131" s="29" t="str">
        <f t="shared" si="135"/>
        <v>#DIV/0!</v>
      </c>
      <c r="AY131" s="29" t="str">
        <f t="shared" si="135"/>
        <v>#DIV/0!</v>
      </c>
      <c r="AZ131" s="29" t="str">
        <f t="shared" si="135"/>
        <v>#DIV/0!</v>
      </c>
      <c r="BA131" s="29" t="str">
        <f t="shared" si="135"/>
        <v>#DIV/0!</v>
      </c>
      <c r="BB131" s="29" t="str">
        <f t="shared" si="135"/>
        <v>#DIV/0!</v>
      </c>
      <c r="BC131" s="29" t="str">
        <f t="shared" si="135"/>
        <v>#DIV/0!</v>
      </c>
      <c r="BD131" s="29" t="str">
        <f t="shared" si="135"/>
        <v>#DIV/0!</v>
      </c>
      <c r="BE131" s="29" t="str">
        <f t="shared" si="135"/>
        <v>#DIV/0!</v>
      </c>
      <c r="BF131" s="29" t="str">
        <f t="shared" si="135"/>
        <v>#DIV/0!</v>
      </c>
      <c r="BG131" s="29" t="str">
        <f t="shared" si="135"/>
        <v>#DIV/0!</v>
      </c>
      <c r="BH131" s="29" t="str">
        <f t="shared" si="135"/>
        <v>#DIV/0!</v>
      </c>
      <c r="BI131" s="29" t="str">
        <f t="shared" si="135"/>
        <v>#DIV/0!</v>
      </c>
      <c r="BJ131" s="29" t="str">
        <f t="shared" si="135"/>
        <v>#DIV/0!</v>
      </c>
      <c r="BK131" s="29" t="str">
        <f t="shared" si="135"/>
        <v>#DIV/0!</v>
      </c>
      <c r="BL131" s="29" t="str">
        <f t="shared" si="135"/>
        <v>#DIV/0!</v>
      </c>
      <c r="BM131" s="29" t="str">
        <f t="shared" si="3"/>
        <v>#DIV/0!</v>
      </c>
    </row>
    <row r="132">
      <c r="A132" s="16" t="str">
        <f>IFERROR(__xludf.DUMMYFUNCTION("IFERROR(SPARKLINE(SORT(MAP(TRANSPOSE(AQ132:BL132), LAMBDA(val, IF(ISNUMBER(val), PERCENTRANK(AQ132:BL132, val)+0.01, 0))), SEQUENCE(COLUMNS(AQ132:BL132)), FALSE), {""charttype"",""column""; ""color"",""chartreuse""; ""ymin"", 0; ""ymax"", 1.01; ""highcolo"&amp;"r"", ""darkgreen""; ""lowcolor"", ""red""}), """")"),"")</f>
        <v/>
      </c>
      <c r="B132" s="17" t="str">
        <f t="shared" si="4"/>
        <v/>
      </c>
      <c r="C132" s="1" t="s">
        <v>3301</v>
      </c>
      <c r="D132" s="30" t="str">
        <f>IFERROR(__xludf.DUMMYFUNCTION("IFERROR(GOOGLEFINANCE(C132, ""NAME""))"),"Royal Gold Inc")</f>
        <v>Royal Gold Inc</v>
      </c>
      <c r="E132" s="30" t="s">
        <v>2928</v>
      </c>
      <c r="F132" s="33" t="str">
        <f>IFERROR(__xludf.DUMMYFUNCTION("( (GOOGLEFINANCE(C132, ""price"") - Q132) / Q132 ) / (R132 / 100)"),"Loading...")</f>
        <v>Loading...</v>
      </c>
      <c r="G132" s="20" t="str">
        <f>IFERROR(__xludf.DUMMYFUNCTION("AVERAGE(ARRAYFORMULA(100 * (QUERY(GOOGLEFINANCE(C132, ""high"", TODAY()-40, TODAY()), ""SELECT Col2 WHERE Col2 IS NOT NULL ORDER BY Col1 DESC LIMIT 20"", 0) / QUERY(GOOGLEFINANCE(C132, ""low"", TODAY()-40, TODAY()), ""SELECT Col2 WHERE Col2 IS NOT NULL OR"&amp;"DER BY Col1 DESC LIMIT 20"", 0) - 1)))"),"#N/A")</f>
        <v>#N/A</v>
      </c>
      <c r="H132" s="35" t="str">
        <f t="shared" si="35"/>
        <v>Liquid</v>
      </c>
      <c r="I132" s="35" t="str">
        <f t="shared" si="7"/>
        <v>RVol Required</v>
      </c>
      <c r="J132" s="37">
        <f>IFERROR(__xludf.DUMMYFUNCTION("IFERROR(
  IF(C132="""",, 
    IFERROR(
      GOOGLEFINANCE(C132, ""price"") * GOOGLEFINANCE(C132, ""volumeavg""), 
      GOOGLEFINANCE(C132, ""price"") * AVERAGE(QUERY(GOOGLEFINANCE(C132, ""volume"", TODAY()-40, TODAY()), ""SELECT Col2 WHERE Col2 IS NOT "&amp;"NULL ORDER BY Col1 DESC LIMIT 20"", 0))
    )
  ), 
"""")"),1.4832300375E8)</f>
        <v>148323003.8</v>
      </c>
      <c r="K132" s="21">
        <f>IFERROR(__xludf.DUMMYFUNCTION("IFERROR(GOOGLEFINANCE(C132, ""changepct"") / 100, """")"),0.0217)</f>
        <v>0.0217</v>
      </c>
      <c r="L132" s="21" t="str">
        <f>IFERROR(__xludf.DUMMYFUNCTION("IFERROR((GOOGLEFINANCE(C132, ""price"") / INDEX(GOOGLEFINANCE(C132, ""price"", TODAY()-7, TODAY()), 2, 2)) - 1, """")"),"")</f>
        <v/>
      </c>
      <c r="M132" s="21" t="str">
        <f>IFERROR(__xludf.DUMMYFUNCTION("IFERROR((GOOGLEFINANCE(C132, ""price"") / INDEX(GOOGLEFINANCE(C132, ""price"", EDATE(TODAY(), -1), TODAY()), 2, 2)) - 1, """")"),"")</f>
        <v/>
      </c>
      <c r="N132" s="21" t="str">
        <f>IFERROR(__xludf.DUMMYFUNCTION("IFERROR((GOOGLEFINANCE(C132, ""price"") / INDEX(GOOGLEFINANCE(C132, ""price"", EDATE(TODAY(), -3), TODAY()), 2, 2)) - 1, """")"),"")</f>
        <v/>
      </c>
      <c r="O132" s="21" t="str">
        <f>IFERROR(__xludf.DUMMYFUNCTION("IFERROR((GOOGLEFINANCE(C132, ""price"") / INDEX(GOOGLEFINANCE(C132, ""price"", EDATE(TODAY(), -6), TODAY()), 2, 2)) - 1, """")"),"")</f>
        <v/>
      </c>
      <c r="P132" s="21" t="str">
        <f>IFERROR(__xludf.DUMMYFUNCTION("IFERROR((GOOGLEFINANCE(C132, ""price"") / INDEX(GOOGLEFINANCE(C132, ""price"", EDATE(TODAY(), -12), TODAY()), 2, 2)) - 1, """")"),"")</f>
        <v/>
      </c>
      <c r="Q132" s="6" t="str">
        <f>IFERROR(__xludf.DUMMYFUNCTION("AVERAGE(QUERY(GOOGLEFINANCE(C132, ""price"", TODAY()-80, TODAY()), ""SELECT Col2 WHERE Col2 IS NOT NULL ORDER BY Col1 DESC LIMIT 50"", 0))"),"#N/A")</f>
        <v>#N/A</v>
      </c>
      <c r="R132" s="24" t="str">
        <f>IFERROR(__xludf.DUMMYFUNCTION("IFERROR(
  LET(
    data, QUERY(GOOGLEFINANCE(C132,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GOOGLEFINANCE(C132, ""price"")) * 100,
    IF(calc=0, G132, calc)
  ), 
G132)"),"#N/A")</f>
        <v>#N/A</v>
      </c>
      <c r="S132" s="8" t="s">
        <v>15</v>
      </c>
      <c r="T132" s="26" t="str">
        <f>IFERROR(__xludf.DUMMYFUNCTION("IFERROR(TRANSPOSE(QUERY(IFERROR(SORT(GOOGLEFINANCE(C132, ""price"", WORKDAY(TODAY(), -40), TODAY()), 1, FALSE)), ""select Col2 where Col2 is not null limit 22 label Col2 ''"", 0)), """")"),"")</f>
        <v/>
      </c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8"/>
      <c r="AO132" s="28"/>
      <c r="AP132" s="29"/>
      <c r="AQ132" s="29" t="str">
        <f t="shared" ref="AQ132:BL132" si="136">T132/T$2</f>
        <v>#N/A</v>
      </c>
      <c r="AR132" s="29" t="str">
        <f t="shared" si="136"/>
        <v>#DIV/0!</v>
      </c>
      <c r="AS132" s="29" t="str">
        <f t="shared" si="136"/>
        <v>#DIV/0!</v>
      </c>
      <c r="AT132" s="29" t="str">
        <f t="shared" si="136"/>
        <v>#DIV/0!</v>
      </c>
      <c r="AU132" s="29" t="str">
        <f t="shared" si="136"/>
        <v>#DIV/0!</v>
      </c>
      <c r="AV132" s="29" t="str">
        <f t="shared" si="136"/>
        <v>#DIV/0!</v>
      </c>
      <c r="AW132" s="29" t="str">
        <f t="shared" si="136"/>
        <v>#DIV/0!</v>
      </c>
      <c r="AX132" s="29" t="str">
        <f t="shared" si="136"/>
        <v>#DIV/0!</v>
      </c>
      <c r="AY132" s="29" t="str">
        <f t="shared" si="136"/>
        <v>#DIV/0!</v>
      </c>
      <c r="AZ132" s="29" t="str">
        <f t="shared" si="136"/>
        <v>#DIV/0!</v>
      </c>
      <c r="BA132" s="29" t="str">
        <f t="shared" si="136"/>
        <v>#DIV/0!</v>
      </c>
      <c r="BB132" s="29" t="str">
        <f t="shared" si="136"/>
        <v>#DIV/0!</v>
      </c>
      <c r="BC132" s="29" t="str">
        <f t="shared" si="136"/>
        <v>#DIV/0!</v>
      </c>
      <c r="BD132" s="29" t="str">
        <f t="shared" si="136"/>
        <v>#DIV/0!</v>
      </c>
      <c r="BE132" s="29" t="str">
        <f t="shared" si="136"/>
        <v>#DIV/0!</v>
      </c>
      <c r="BF132" s="29" t="str">
        <f t="shared" si="136"/>
        <v>#DIV/0!</v>
      </c>
      <c r="BG132" s="29" t="str">
        <f t="shared" si="136"/>
        <v>#DIV/0!</v>
      </c>
      <c r="BH132" s="29" t="str">
        <f t="shared" si="136"/>
        <v>#DIV/0!</v>
      </c>
      <c r="BI132" s="29" t="str">
        <f t="shared" si="136"/>
        <v>#DIV/0!</v>
      </c>
      <c r="BJ132" s="29" t="str">
        <f t="shared" si="136"/>
        <v>#DIV/0!</v>
      </c>
      <c r="BK132" s="29" t="str">
        <f t="shared" si="136"/>
        <v>#DIV/0!</v>
      </c>
      <c r="BL132" s="29" t="str">
        <f t="shared" si="136"/>
        <v>#DIV/0!</v>
      </c>
      <c r="BM132" s="29" t="str">
        <f t="shared" si="3"/>
        <v>#DIV/0!</v>
      </c>
    </row>
    <row r="133">
      <c r="A133" s="16" t="str">
        <f>IFERROR(__xludf.DUMMYFUNCTION("IFERROR(SPARKLINE(SORT(MAP(TRANSPOSE(AQ133:BL133), LAMBDA(val, IF(ISNUMBER(val), PERCENTRANK(AQ133:BL133, val)+0.01, 0))), SEQUENCE(COLUMNS(AQ133:BL133)), FALSE), {""charttype"",""column""; ""color"",""chartreuse""; ""ymin"", 0; ""ymax"", 1.01; ""highcolo"&amp;"r"", ""darkgreen""; ""lowcolor"", ""red""}), """")"),"")</f>
        <v/>
      </c>
      <c r="B133" s="17" t="str">
        <f t="shared" si="4"/>
        <v/>
      </c>
      <c r="C133" s="1" t="s">
        <v>3302</v>
      </c>
      <c r="D133" s="30" t="str">
        <f>IFERROR(__xludf.DUMMYFUNCTION("IFERROR(GOOGLEFINANCE(C133, ""NAME""))"),"OR Royalties Inc")</f>
        <v>OR Royalties Inc</v>
      </c>
      <c r="E133" s="30" t="s">
        <v>2928</v>
      </c>
      <c r="F133" s="33" t="str">
        <f>IFERROR(__xludf.DUMMYFUNCTION("( (GOOGLEFINANCE(C133, ""price"") - Q133) / Q133 ) / (R133 / 100)"),"Loading...")</f>
        <v>Loading...</v>
      </c>
      <c r="G133" s="20" t="str">
        <f>IFERROR(__xludf.DUMMYFUNCTION("AVERAGE(ARRAYFORMULA(100 * (QUERY(GOOGLEFINANCE(C133, ""high"", TODAY()-40, TODAY()), ""SELECT Col2 WHERE Col2 IS NOT NULL ORDER BY Col1 DESC LIMIT 20"", 0) / QUERY(GOOGLEFINANCE(C133, ""low"", TODAY()-40, TODAY()), ""SELECT Col2 WHERE Col2 IS NOT NULL OR"&amp;"DER BY Col1 DESC LIMIT 20"", 0) - 1)))"),"#N/A")</f>
        <v>#N/A</v>
      </c>
      <c r="H133" s="35" t="str">
        <f t="shared" si="35"/>
        <v>Illiquid</v>
      </c>
      <c r="I133" s="35" t="str">
        <f t="shared" si="7"/>
        <v>RVol Required</v>
      </c>
      <c r="J133" s="37">
        <f>IFERROR(__xludf.DUMMYFUNCTION("IFERROR(
  IF(C133="""",, 
    IFERROR(
      GOOGLEFINANCE(C133, ""price"") * GOOGLEFINANCE(C133, ""volumeavg""), 
      GOOGLEFINANCE(C133, ""price"") * AVERAGE(QUERY(GOOGLEFINANCE(C133, ""volume"", TODAY()-40, TODAY()), ""SELECT Col2 WHERE Col2 IS NOT "&amp;"NULL ORDER BY Col1 DESC LIMIT 20"", 0))
    )
  ), 
"""")"),2.829278745E7)</f>
        <v>28292787.45</v>
      </c>
      <c r="K133" s="21">
        <f>IFERROR(__xludf.DUMMYFUNCTION("IFERROR(GOOGLEFINANCE(C133, ""changepct"") / 100, """")"),0.0111)</f>
        <v>0.0111</v>
      </c>
      <c r="L133" s="21" t="str">
        <f>IFERROR(__xludf.DUMMYFUNCTION("IFERROR((GOOGLEFINANCE(C133, ""price"") / INDEX(GOOGLEFINANCE(C133, ""price"", TODAY()-7, TODAY()), 2, 2)) - 1, """")"),"")</f>
        <v/>
      </c>
      <c r="M133" s="21" t="str">
        <f>IFERROR(__xludf.DUMMYFUNCTION("IFERROR((GOOGLEFINANCE(C133, ""price"") / INDEX(GOOGLEFINANCE(C133, ""price"", EDATE(TODAY(), -1), TODAY()), 2, 2)) - 1, """")"),"")</f>
        <v/>
      </c>
      <c r="N133" s="21" t="str">
        <f>IFERROR(__xludf.DUMMYFUNCTION("IFERROR((GOOGLEFINANCE(C133, ""price"") / INDEX(GOOGLEFINANCE(C133, ""price"", EDATE(TODAY(), -3), TODAY()), 2, 2)) - 1, """")"),"")</f>
        <v/>
      </c>
      <c r="O133" s="21" t="str">
        <f>IFERROR(__xludf.DUMMYFUNCTION("IFERROR((GOOGLEFINANCE(C133, ""price"") / INDEX(GOOGLEFINANCE(C133, ""price"", EDATE(TODAY(), -6), TODAY()), 2, 2)) - 1, """")"),"")</f>
        <v/>
      </c>
      <c r="P133" s="21" t="str">
        <f>IFERROR(__xludf.DUMMYFUNCTION("IFERROR((GOOGLEFINANCE(C133, ""price"") / INDEX(GOOGLEFINANCE(C133, ""price"", EDATE(TODAY(), -12), TODAY()), 2, 2)) - 1, """")"),"")</f>
        <v/>
      </c>
      <c r="Q133" s="6" t="str">
        <f>IFERROR(__xludf.DUMMYFUNCTION("AVERAGE(QUERY(GOOGLEFINANCE(C133, ""price"", TODAY()-80, TODAY()), ""SELECT Col2 WHERE Col2 IS NOT NULL ORDER BY Col1 DESC LIMIT 50"", 0))"),"#N/A")</f>
        <v>#N/A</v>
      </c>
      <c r="R133" s="24" t="str">
        <f>IFERROR(__xludf.DUMMYFUNCTION("IFERROR(
  LET(
    data, QUERY(GOOGLEFINANCE(C133,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GOOGLEFINANCE(C133, ""price"")) * 100,
    IF(calc=0, G133, calc)
  ), 
G133)"),"#N/A")</f>
        <v>#N/A</v>
      </c>
      <c r="S133" s="8" t="s">
        <v>15</v>
      </c>
      <c r="T133" s="26" t="str">
        <f>IFERROR(__xludf.DUMMYFUNCTION("IFERROR(TRANSPOSE(QUERY(IFERROR(SORT(GOOGLEFINANCE(C133, ""price"", WORKDAY(TODAY(), -40), TODAY()), 1, FALSE)), ""select Col2 where Col2 is not null limit 22 label Col2 ''"", 0)), """")"),"")</f>
        <v/>
      </c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8"/>
      <c r="AO133" s="28"/>
      <c r="AP133" s="29"/>
      <c r="AQ133" s="29" t="str">
        <f t="shared" ref="AQ133:BL133" si="137">T133/T$2</f>
        <v>#N/A</v>
      </c>
      <c r="AR133" s="29" t="str">
        <f t="shared" si="137"/>
        <v>#DIV/0!</v>
      </c>
      <c r="AS133" s="29" t="str">
        <f t="shared" si="137"/>
        <v>#DIV/0!</v>
      </c>
      <c r="AT133" s="29" t="str">
        <f t="shared" si="137"/>
        <v>#DIV/0!</v>
      </c>
      <c r="AU133" s="29" t="str">
        <f t="shared" si="137"/>
        <v>#DIV/0!</v>
      </c>
      <c r="AV133" s="29" t="str">
        <f t="shared" si="137"/>
        <v>#DIV/0!</v>
      </c>
      <c r="AW133" s="29" t="str">
        <f t="shared" si="137"/>
        <v>#DIV/0!</v>
      </c>
      <c r="AX133" s="29" t="str">
        <f t="shared" si="137"/>
        <v>#DIV/0!</v>
      </c>
      <c r="AY133" s="29" t="str">
        <f t="shared" si="137"/>
        <v>#DIV/0!</v>
      </c>
      <c r="AZ133" s="29" t="str">
        <f t="shared" si="137"/>
        <v>#DIV/0!</v>
      </c>
      <c r="BA133" s="29" t="str">
        <f t="shared" si="137"/>
        <v>#DIV/0!</v>
      </c>
      <c r="BB133" s="29" t="str">
        <f t="shared" si="137"/>
        <v>#DIV/0!</v>
      </c>
      <c r="BC133" s="29" t="str">
        <f t="shared" si="137"/>
        <v>#DIV/0!</v>
      </c>
      <c r="BD133" s="29" t="str">
        <f t="shared" si="137"/>
        <v>#DIV/0!</v>
      </c>
      <c r="BE133" s="29" t="str">
        <f t="shared" si="137"/>
        <v>#DIV/0!</v>
      </c>
      <c r="BF133" s="29" t="str">
        <f t="shared" si="137"/>
        <v>#DIV/0!</v>
      </c>
      <c r="BG133" s="29" t="str">
        <f t="shared" si="137"/>
        <v>#DIV/0!</v>
      </c>
      <c r="BH133" s="29" t="str">
        <f t="shared" si="137"/>
        <v>#DIV/0!</v>
      </c>
      <c r="BI133" s="29" t="str">
        <f t="shared" si="137"/>
        <v>#DIV/0!</v>
      </c>
      <c r="BJ133" s="29" t="str">
        <f t="shared" si="137"/>
        <v>#DIV/0!</v>
      </c>
      <c r="BK133" s="29" t="str">
        <f t="shared" si="137"/>
        <v>#DIV/0!</v>
      </c>
      <c r="BL133" s="29" t="str">
        <f t="shared" si="137"/>
        <v>#DIV/0!</v>
      </c>
      <c r="BM133" s="29" t="str">
        <f t="shared" si="3"/>
        <v>#DIV/0!</v>
      </c>
    </row>
    <row r="134">
      <c r="A134" s="16" t="str">
        <f>IFERROR(__xludf.DUMMYFUNCTION("IFERROR(SPARKLINE(SORT(MAP(TRANSPOSE(AQ134:BL134), LAMBDA(val, IF(ISNUMBER(val), PERCENTRANK(AQ134:BL134, val)+0.01, 0))), SEQUENCE(COLUMNS(AQ134:BL134)), FALSE), {""charttype"",""column""; ""color"",""chartreuse""; ""ymin"", 0; ""ymax"", 1.01; ""highcolo"&amp;"r"", ""darkgreen""; ""lowcolor"", ""red""}), """")"),"")</f>
        <v/>
      </c>
      <c r="B134" s="17" t="str">
        <f t="shared" si="4"/>
        <v/>
      </c>
      <c r="C134" s="1" t="s">
        <v>3303</v>
      </c>
      <c r="D134" s="30" t="str">
        <f>IFERROR(__xludf.DUMMYFUNCTION("IFERROR(GOOGLEFINANCE(C134, ""NAME""))"),"Almonty Industries Inc")</f>
        <v>Almonty Industries Inc</v>
      </c>
      <c r="E134" s="30" t="s">
        <v>2935</v>
      </c>
      <c r="F134" s="33" t="str">
        <f>IFERROR(__xludf.DUMMYFUNCTION("( (GOOGLEFINANCE(C134, ""price"") - Q134) / Q134 ) / (R134 / 100)"),"Loading...")</f>
        <v>Loading...</v>
      </c>
      <c r="G134" s="20" t="str">
        <f>IFERROR(__xludf.DUMMYFUNCTION("AVERAGE(ARRAYFORMULA(100 * (QUERY(GOOGLEFINANCE(C134, ""high"", TODAY()-40, TODAY()), ""SELECT Col2 WHERE Col2 IS NOT NULL ORDER BY Col1 DESC LIMIT 20"", 0) / QUERY(GOOGLEFINANCE(C134, ""low"", TODAY()-40, TODAY()), ""SELECT Col2 WHERE Col2 IS NOT NULL OR"&amp;"DER BY Col1 DESC LIMIT 20"", 0) - 1)))"),"#N/A")</f>
        <v>#N/A</v>
      </c>
      <c r="H134" s="35" t="str">
        <f t="shared" si="35"/>
        <v>Liquid</v>
      </c>
      <c r="I134" s="35" t="str">
        <f t="shared" si="7"/>
        <v>RVol Required</v>
      </c>
      <c r="J134" s="37">
        <f>IFERROR(__xludf.DUMMYFUNCTION("IFERROR(
  IF(C134="""",, 
    IFERROR(
      GOOGLEFINANCE(C134, ""price"") * GOOGLEFINANCE(C134, ""volumeavg""), 
      GOOGLEFINANCE(C134, ""price"") * AVERAGE(QUERY(GOOGLEFINANCE(C134, ""volume"", TODAY()-40, TODAY()), ""SELECT Col2 WHERE Col2 IS NOT "&amp;"NULL ORDER BY Col1 DESC LIMIT 20"", 0))
    )
  ), 
"""")"),6.391816931E7)</f>
        <v>63918169.31</v>
      </c>
      <c r="K134" s="21">
        <f>IFERROR(__xludf.DUMMYFUNCTION("IFERROR(GOOGLEFINANCE(C134, ""changepct"") / 100, """")"),-0.026699999999999998)</f>
        <v>-0.0267</v>
      </c>
      <c r="L134" s="21" t="str">
        <f>IFERROR(__xludf.DUMMYFUNCTION("IFERROR((GOOGLEFINANCE(C134, ""price"") / INDEX(GOOGLEFINANCE(C134, ""price"", TODAY()-7, TODAY()), 2, 2)) - 1, """")"),"")</f>
        <v/>
      </c>
      <c r="M134" s="21" t="str">
        <f>IFERROR(__xludf.DUMMYFUNCTION("IFERROR((GOOGLEFINANCE(C134, ""price"") / INDEX(GOOGLEFINANCE(C134, ""price"", EDATE(TODAY(), -1), TODAY()), 2, 2)) - 1, """")"),"")</f>
        <v/>
      </c>
      <c r="N134" s="21" t="str">
        <f>IFERROR(__xludf.DUMMYFUNCTION("IFERROR((GOOGLEFINANCE(C134, ""price"") / INDEX(GOOGLEFINANCE(C134, ""price"", EDATE(TODAY(), -3), TODAY()), 2, 2)) - 1, """")"),"")</f>
        <v/>
      </c>
      <c r="O134" s="21" t="str">
        <f>IFERROR(__xludf.DUMMYFUNCTION("IFERROR((GOOGLEFINANCE(C134, ""price"") / INDEX(GOOGLEFINANCE(C134, ""price"", EDATE(TODAY(), -6), TODAY()), 2, 2)) - 1, """")"),"")</f>
        <v/>
      </c>
      <c r="P134" s="21" t="str">
        <f>IFERROR(__xludf.DUMMYFUNCTION("IFERROR((GOOGLEFINANCE(C134, ""price"") / INDEX(GOOGLEFINANCE(C134, ""price"", EDATE(TODAY(), -12), TODAY()), 2, 2)) - 1, """")"),"")</f>
        <v/>
      </c>
      <c r="Q134" s="6" t="str">
        <f>IFERROR(__xludf.DUMMYFUNCTION("AVERAGE(QUERY(GOOGLEFINANCE(C134, ""price"", TODAY()-80, TODAY()), ""SELECT Col2 WHERE Col2 IS NOT NULL ORDER BY Col1 DESC LIMIT 50"", 0))"),"#N/A")</f>
        <v>#N/A</v>
      </c>
      <c r="R134" s="24" t="str">
        <f>IFERROR(__xludf.DUMMYFUNCTION("IFERROR(
  LET(
    data, QUERY(GOOGLEFINANCE(C134,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GOOGLEFINANCE(C134, ""price"")) * 100,
    IF(calc=0, G134, calc)
  ), 
G134)"),"#N/A")</f>
        <v>#N/A</v>
      </c>
      <c r="S134" s="8" t="s">
        <v>15</v>
      </c>
      <c r="T134" s="26" t="str">
        <f>IFERROR(__xludf.DUMMYFUNCTION("IFERROR(TRANSPOSE(QUERY(IFERROR(SORT(GOOGLEFINANCE(C134, ""price"", WORKDAY(TODAY(), -40), TODAY()), 1, FALSE)), ""select Col2 where Col2 is not null limit 22 label Col2 ''"", 0)), """")"),"")</f>
        <v/>
      </c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8"/>
      <c r="AO134" s="28"/>
      <c r="AP134" s="29"/>
      <c r="AQ134" s="29" t="str">
        <f t="shared" ref="AQ134:BL134" si="138">T134/T$2</f>
        <v>#N/A</v>
      </c>
      <c r="AR134" s="29" t="str">
        <f t="shared" si="138"/>
        <v>#DIV/0!</v>
      </c>
      <c r="AS134" s="29" t="str">
        <f t="shared" si="138"/>
        <v>#DIV/0!</v>
      </c>
      <c r="AT134" s="29" t="str">
        <f t="shared" si="138"/>
        <v>#DIV/0!</v>
      </c>
      <c r="AU134" s="29" t="str">
        <f t="shared" si="138"/>
        <v>#DIV/0!</v>
      </c>
      <c r="AV134" s="29" t="str">
        <f t="shared" si="138"/>
        <v>#DIV/0!</v>
      </c>
      <c r="AW134" s="29" t="str">
        <f t="shared" si="138"/>
        <v>#DIV/0!</v>
      </c>
      <c r="AX134" s="29" t="str">
        <f t="shared" si="138"/>
        <v>#DIV/0!</v>
      </c>
      <c r="AY134" s="29" t="str">
        <f t="shared" si="138"/>
        <v>#DIV/0!</v>
      </c>
      <c r="AZ134" s="29" t="str">
        <f t="shared" si="138"/>
        <v>#DIV/0!</v>
      </c>
      <c r="BA134" s="29" t="str">
        <f t="shared" si="138"/>
        <v>#DIV/0!</v>
      </c>
      <c r="BB134" s="29" t="str">
        <f t="shared" si="138"/>
        <v>#DIV/0!</v>
      </c>
      <c r="BC134" s="29" t="str">
        <f t="shared" si="138"/>
        <v>#DIV/0!</v>
      </c>
      <c r="BD134" s="29" t="str">
        <f t="shared" si="138"/>
        <v>#DIV/0!</v>
      </c>
      <c r="BE134" s="29" t="str">
        <f t="shared" si="138"/>
        <v>#DIV/0!</v>
      </c>
      <c r="BF134" s="29" t="str">
        <f t="shared" si="138"/>
        <v>#DIV/0!</v>
      </c>
      <c r="BG134" s="29" t="str">
        <f t="shared" si="138"/>
        <v>#DIV/0!</v>
      </c>
      <c r="BH134" s="29" t="str">
        <f t="shared" si="138"/>
        <v>#DIV/0!</v>
      </c>
      <c r="BI134" s="29" t="str">
        <f t="shared" si="138"/>
        <v>#DIV/0!</v>
      </c>
      <c r="BJ134" s="29" t="str">
        <f t="shared" si="138"/>
        <v>#DIV/0!</v>
      </c>
      <c r="BK134" s="29" t="str">
        <f t="shared" si="138"/>
        <v>#DIV/0!</v>
      </c>
      <c r="BL134" s="29" t="str">
        <f t="shared" si="138"/>
        <v>#DIV/0!</v>
      </c>
      <c r="BM134" s="29" t="str">
        <f t="shared" si="3"/>
        <v>#DIV/0!</v>
      </c>
    </row>
    <row r="135">
      <c r="A135" s="16" t="str">
        <f>IFERROR(__xludf.DUMMYFUNCTION("IFERROR(SPARKLINE(SORT(MAP(TRANSPOSE(AQ135:BL135), LAMBDA(val, IF(ISNUMBER(val), PERCENTRANK(AQ135:BL135, val)+0.01, 0))), SEQUENCE(COLUMNS(AQ135:BL135)), FALSE), {""charttype"",""column""; ""color"",""chartreuse""; ""ymin"", 0; ""ymax"", 1.01; ""highcolo"&amp;"r"", ""darkgreen""; ""lowcolor"", ""red""}), """")"),"")</f>
        <v/>
      </c>
      <c r="B135" s="17" t="str">
        <f t="shared" si="4"/>
        <v/>
      </c>
      <c r="C135" s="1" t="s">
        <v>3304</v>
      </c>
      <c r="D135" s="30" t="str">
        <f>IFERROR(__xludf.DUMMYFUNCTION("IFERROR(GOOGLEFINANCE(C135, ""NAME""))"),"Sasol Ltd")</f>
        <v>Sasol Ltd</v>
      </c>
      <c r="E135" s="30" t="s">
        <v>2995</v>
      </c>
      <c r="F135" s="33" t="str">
        <f>IFERROR(__xludf.DUMMYFUNCTION("( (GOOGLEFINANCE(C135, ""price"") - Q135) / Q135 ) / (R135 / 100)"),"Loading...")</f>
        <v>Loading...</v>
      </c>
      <c r="G135" s="20" t="str">
        <f>IFERROR(__xludf.DUMMYFUNCTION("AVERAGE(ARRAYFORMULA(100 * (QUERY(GOOGLEFINANCE(C135, ""high"", TODAY()-40, TODAY()), ""SELECT Col2 WHERE Col2 IS NOT NULL ORDER BY Col1 DESC LIMIT 20"", 0) / QUERY(GOOGLEFINANCE(C135, ""low"", TODAY()-40, TODAY()), ""SELECT Col2 WHERE Col2 IS NOT NULL OR"&amp;"DER BY Col1 DESC LIMIT 20"", 0) - 1)))"),"#N/A")</f>
        <v>#N/A</v>
      </c>
      <c r="H135" s="35" t="str">
        <f t="shared" si="35"/>
        <v>Illiquid</v>
      </c>
      <c r="I135" s="35" t="str">
        <f t="shared" si="7"/>
        <v>RVol Required</v>
      </c>
      <c r="J135" s="37">
        <f>IFERROR(__xludf.DUMMYFUNCTION("IFERROR(
  IF(C135="""",, 
    IFERROR(
      GOOGLEFINANCE(C135, ""price"") * GOOGLEFINANCE(C135, ""volumeavg""), 
      GOOGLEFINANCE(C135, ""price"") * AVERAGE(QUERY(GOOGLEFINANCE(C135, ""volume"", TODAY()-40, TODAY()), ""SELECT Col2 WHERE Col2 IS NOT "&amp;"NULL ORDER BY Col1 DESC LIMIT 20"", 0))
    )
  ), 
"""")"),3.04685444E7)</f>
        <v>30468544.4</v>
      </c>
      <c r="K135" s="21">
        <f>IFERROR(__xludf.DUMMYFUNCTION("IFERROR(GOOGLEFINANCE(C135, ""changepct"") / 100, """")"),0.0264)</f>
        <v>0.0264</v>
      </c>
      <c r="L135" s="21" t="str">
        <f>IFERROR(__xludf.DUMMYFUNCTION("IFERROR((GOOGLEFINANCE(C135, ""price"") / INDEX(GOOGLEFINANCE(C135, ""price"", TODAY()-7, TODAY()), 2, 2)) - 1, """")"),"")</f>
        <v/>
      </c>
      <c r="M135" s="21" t="str">
        <f>IFERROR(__xludf.DUMMYFUNCTION("IFERROR((GOOGLEFINANCE(C135, ""price"") / INDEX(GOOGLEFINANCE(C135, ""price"", EDATE(TODAY(), -1), TODAY()), 2, 2)) - 1, """")"),"")</f>
        <v/>
      </c>
      <c r="N135" s="21" t="str">
        <f>IFERROR(__xludf.DUMMYFUNCTION("IFERROR((GOOGLEFINANCE(C135, ""price"") / INDEX(GOOGLEFINANCE(C135, ""price"", EDATE(TODAY(), -3), TODAY()), 2, 2)) - 1, """")"),"")</f>
        <v/>
      </c>
      <c r="O135" s="21" t="str">
        <f>IFERROR(__xludf.DUMMYFUNCTION("IFERROR((GOOGLEFINANCE(C135, ""price"") / INDEX(GOOGLEFINANCE(C135, ""price"", EDATE(TODAY(), -6), TODAY()), 2, 2)) - 1, """")"),"")</f>
        <v/>
      </c>
      <c r="P135" s="21" t="str">
        <f>IFERROR(__xludf.DUMMYFUNCTION("IFERROR((GOOGLEFINANCE(C135, ""price"") / INDEX(GOOGLEFINANCE(C135, ""price"", EDATE(TODAY(), -12), TODAY()), 2, 2)) - 1, """")"),"")</f>
        <v/>
      </c>
      <c r="Q135" s="6" t="str">
        <f>IFERROR(__xludf.DUMMYFUNCTION("AVERAGE(QUERY(GOOGLEFINANCE(C135, ""price"", TODAY()-80, TODAY()), ""SELECT Col2 WHERE Col2 IS NOT NULL ORDER BY Col1 DESC LIMIT 50"", 0))"),"#N/A")</f>
        <v>#N/A</v>
      </c>
      <c r="R135" s="24" t="str">
        <f>IFERROR(__xludf.DUMMYFUNCTION("IFERROR(
  LET(
    data, QUERY(GOOGLEFINANCE(C135,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GOOGLEFINANCE(C135, ""price"")) * 100,
    IF(calc=0, G135, calc)
  ), 
G135)"),"#N/A")</f>
        <v>#N/A</v>
      </c>
      <c r="S135" s="8" t="s">
        <v>15</v>
      </c>
      <c r="T135" s="26" t="str">
        <f>IFERROR(__xludf.DUMMYFUNCTION("IFERROR(TRANSPOSE(QUERY(IFERROR(SORT(GOOGLEFINANCE(C135, ""price"", WORKDAY(TODAY(), -40), TODAY()), 1, FALSE)), ""select Col2 where Col2 is not null limit 22 label Col2 ''"", 0)), """")"),"")</f>
        <v/>
      </c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8"/>
      <c r="AO135" s="28"/>
      <c r="AP135" s="29"/>
      <c r="AQ135" s="29" t="str">
        <f t="shared" ref="AQ135:BL135" si="139">T135/T$2</f>
        <v>#N/A</v>
      </c>
      <c r="AR135" s="29" t="str">
        <f t="shared" si="139"/>
        <v>#DIV/0!</v>
      </c>
      <c r="AS135" s="29" t="str">
        <f t="shared" si="139"/>
        <v>#DIV/0!</v>
      </c>
      <c r="AT135" s="29" t="str">
        <f t="shared" si="139"/>
        <v>#DIV/0!</v>
      </c>
      <c r="AU135" s="29" t="str">
        <f t="shared" si="139"/>
        <v>#DIV/0!</v>
      </c>
      <c r="AV135" s="29" t="str">
        <f t="shared" si="139"/>
        <v>#DIV/0!</v>
      </c>
      <c r="AW135" s="29" t="str">
        <f t="shared" si="139"/>
        <v>#DIV/0!</v>
      </c>
      <c r="AX135" s="29" t="str">
        <f t="shared" si="139"/>
        <v>#DIV/0!</v>
      </c>
      <c r="AY135" s="29" t="str">
        <f t="shared" si="139"/>
        <v>#DIV/0!</v>
      </c>
      <c r="AZ135" s="29" t="str">
        <f t="shared" si="139"/>
        <v>#DIV/0!</v>
      </c>
      <c r="BA135" s="29" t="str">
        <f t="shared" si="139"/>
        <v>#DIV/0!</v>
      </c>
      <c r="BB135" s="29" t="str">
        <f t="shared" si="139"/>
        <v>#DIV/0!</v>
      </c>
      <c r="BC135" s="29" t="str">
        <f t="shared" si="139"/>
        <v>#DIV/0!</v>
      </c>
      <c r="BD135" s="29" t="str">
        <f t="shared" si="139"/>
        <v>#DIV/0!</v>
      </c>
      <c r="BE135" s="29" t="str">
        <f t="shared" si="139"/>
        <v>#DIV/0!</v>
      </c>
      <c r="BF135" s="29" t="str">
        <f t="shared" si="139"/>
        <v>#DIV/0!</v>
      </c>
      <c r="BG135" s="29" t="str">
        <f t="shared" si="139"/>
        <v>#DIV/0!</v>
      </c>
      <c r="BH135" s="29" t="str">
        <f t="shared" si="139"/>
        <v>#DIV/0!</v>
      </c>
      <c r="BI135" s="29" t="str">
        <f t="shared" si="139"/>
        <v>#DIV/0!</v>
      </c>
      <c r="BJ135" s="29" t="str">
        <f t="shared" si="139"/>
        <v>#DIV/0!</v>
      </c>
      <c r="BK135" s="29" t="str">
        <f t="shared" si="139"/>
        <v>#DIV/0!</v>
      </c>
      <c r="BL135" s="29" t="str">
        <f t="shared" si="139"/>
        <v>#DIV/0!</v>
      </c>
      <c r="BM135" s="29" t="str">
        <f t="shared" si="3"/>
        <v>#DIV/0!</v>
      </c>
    </row>
    <row r="136">
      <c r="A136" s="16" t="str">
        <f>IFERROR(__xludf.DUMMYFUNCTION("IFERROR(SPARKLINE(SORT(MAP(TRANSPOSE(AQ136:BL136), LAMBDA(val, IF(ISNUMBER(val), PERCENTRANK(AQ136:BL136, val)+0.01, 0))), SEQUENCE(COLUMNS(AQ136:BL136)), FALSE), {""charttype"",""column""; ""color"",""chartreuse""; ""ymin"", 0; ""ymax"", 1.01; ""highcolo"&amp;"r"", ""darkgreen""; ""lowcolor"", ""red""}), """")"),"")</f>
        <v/>
      </c>
      <c r="B136" s="17" t="str">
        <f t="shared" si="4"/>
        <v/>
      </c>
      <c r="C136" s="1" t="s">
        <v>3305</v>
      </c>
      <c r="D136" s="30" t="str">
        <f>IFERROR(__xludf.DUMMYFUNCTION("IFERROR(GOOGLEFINANCE(C136, ""NAME""))"),"Platinum Group Metals Ltd")</f>
        <v>Platinum Group Metals Ltd</v>
      </c>
      <c r="E136" s="30" t="s">
        <v>3008</v>
      </c>
      <c r="F136" s="33" t="str">
        <f>IFERROR(__xludf.DUMMYFUNCTION("( (GOOGLEFINANCE(C136, ""price"") - Q136) / Q136 ) / (R136 / 100)"),"Loading...")</f>
        <v>Loading...</v>
      </c>
      <c r="G136" s="20" t="str">
        <f>IFERROR(__xludf.DUMMYFUNCTION("AVERAGE(ARRAYFORMULA(100 * (QUERY(GOOGLEFINANCE(C136, ""high"", TODAY()-40, TODAY()), ""SELECT Col2 WHERE Col2 IS NOT NULL ORDER BY Col1 DESC LIMIT 20"", 0) / QUERY(GOOGLEFINANCE(C136, ""low"", TODAY()-40, TODAY()), ""SELECT Col2 WHERE Col2 IS NOT NULL OR"&amp;"DER BY Col1 DESC LIMIT 20"", 0) - 1)))"),"#N/A")</f>
        <v>#N/A</v>
      </c>
      <c r="H136" s="35" t="str">
        <f t="shared" si="35"/>
        <v>Illiquid</v>
      </c>
      <c r="I136" s="35" t="str">
        <f t="shared" si="7"/>
        <v>RVol Required</v>
      </c>
      <c r="J136" s="37">
        <f>IFERROR(__xludf.DUMMYFUNCTION("IFERROR(
  IF(C136="""",, 
    IFERROR(
      GOOGLEFINANCE(C136, ""price"") * GOOGLEFINANCE(C136, ""volumeavg""), 
      GOOGLEFINANCE(C136, ""price"") * AVERAGE(QUERY(GOOGLEFINANCE(C136, ""volume"", TODAY()-40, TODAY()), ""SELECT Col2 WHERE Col2 IS NOT "&amp;"NULL ORDER BY Col1 DESC LIMIT 20"", 0))
    )
  ), 
"""")"),1272503.75)</f>
        <v>1272503.75</v>
      </c>
      <c r="K136" s="21">
        <f>IFERROR(__xludf.DUMMYFUNCTION("IFERROR(GOOGLEFINANCE(C136, ""changepct"") / 100, """")"),0.0)</f>
        <v>0</v>
      </c>
      <c r="L136" s="21" t="str">
        <f>IFERROR(__xludf.DUMMYFUNCTION("IFERROR((GOOGLEFINANCE(C136, ""price"") / INDEX(GOOGLEFINANCE(C136, ""price"", TODAY()-7, TODAY()), 2, 2)) - 1, """")"),"")</f>
        <v/>
      </c>
      <c r="M136" s="21" t="str">
        <f>IFERROR(__xludf.DUMMYFUNCTION("IFERROR((GOOGLEFINANCE(C136, ""price"") / INDEX(GOOGLEFINANCE(C136, ""price"", EDATE(TODAY(), -1), TODAY()), 2, 2)) - 1, """")"),"")</f>
        <v/>
      </c>
      <c r="N136" s="21" t="str">
        <f>IFERROR(__xludf.DUMMYFUNCTION("IFERROR((GOOGLEFINANCE(C136, ""price"") / INDEX(GOOGLEFINANCE(C136, ""price"", EDATE(TODAY(), -3), TODAY()), 2, 2)) - 1, """")"),"")</f>
        <v/>
      </c>
      <c r="O136" s="21" t="str">
        <f>IFERROR(__xludf.DUMMYFUNCTION("IFERROR((GOOGLEFINANCE(C136, ""price"") / INDEX(GOOGLEFINANCE(C136, ""price"", EDATE(TODAY(), -6), TODAY()), 2, 2)) - 1, """")"),"")</f>
        <v/>
      </c>
      <c r="P136" s="21" t="str">
        <f>IFERROR(__xludf.DUMMYFUNCTION("IFERROR((GOOGLEFINANCE(C136, ""price"") / INDEX(GOOGLEFINANCE(C136, ""price"", EDATE(TODAY(), -12), TODAY()), 2, 2)) - 1, """")"),"")</f>
        <v/>
      </c>
      <c r="Q136" s="6" t="str">
        <f>IFERROR(__xludf.DUMMYFUNCTION("AVERAGE(QUERY(GOOGLEFINANCE(C136, ""price"", TODAY()-80, TODAY()), ""SELECT Col2 WHERE Col2 IS NOT NULL ORDER BY Col1 DESC LIMIT 50"", 0))"),"#N/A")</f>
        <v>#N/A</v>
      </c>
      <c r="R136" s="24" t="str">
        <f>IFERROR(__xludf.DUMMYFUNCTION("IFERROR(
  LET(
    data, QUERY(GOOGLEFINANCE(C136,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GOOGLEFINANCE(C136, ""price"")) * 100,
    IF(calc=0, G136, calc)
  ), 
G136)"),"#N/A")</f>
        <v>#N/A</v>
      </c>
      <c r="S136" s="8" t="s">
        <v>15</v>
      </c>
      <c r="T136" s="26" t="str">
        <f>IFERROR(__xludf.DUMMYFUNCTION("IFERROR(TRANSPOSE(QUERY(IFERROR(SORT(GOOGLEFINANCE(C136, ""price"", WORKDAY(TODAY(), -40), TODAY()), 1, FALSE)), ""select Col2 where Col2 is not null limit 22 label Col2 ''"", 0)), """")"),"")</f>
        <v/>
      </c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8"/>
      <c r="AO136" s="28"/>
      <c r="AP136" s="29"/>
      <c r="AQ136" s="29" t="str">
        <f t="shared" ref="AQ136:BL136" si="140">T136/T$2</f>
        <v>#N/A</v>
      </c>
      <c r="AR136" s="29" t="str">
        <f t="shared" si="140"/>
        <v>#DIV/0!</v>
      </c>
      <c r="AS136" s="29" t="str">
        <f t="shared" si="140"/>
        <v>#DIV/0!</v>
      </c>
      <c r="AT136" s="29" t="str">
        <f t="shared" si="140"/>
        <v>#DIV/0!</v>
      </c>
      <c r="AU136" s="29" t="str">
        <f t="shared" si="140"/>
        <v>#DIV/0!</v>
      </c>
      <c r="AV136" s="29" t="str">
        <f t="shared" si="140"/>
        <v>#DIV/0!</v>
      </c>
      <c r="AW136" s="29" t="str">
        <f t="shared" si="140"/>
        <v>#DIV/0!</v>
      </c>
      <c r="AX136" s="29" t="str">
        <f t="shared" si="140"/>
        <v>#DIV/0!</v>
      </c>
      <c r="AY136" s="29" t="str">
        <f t="shared" si="140"/>
        <v>#DIV/0!</v>
      </c>
      <c r="AZ136" s="29" t="str">
        <f t="shared" si="140"/>
        <v>#DIV/0!</v>
      </c>
      <c r="BA136" s="29" t="str">
        <f t="shared" si="140"/>
        <v>#DIV/0!</v>
      </c>
      <c r="BB136" s="29" t="str">
        <f t="shared" si="140"/>
        <v>#DIV/0!</v>
      </c>
      <c r="BC136" s="29" t="str">
        <f t="shared" si="140"/>
        <v>#DIV/0!</v>
      </c>
      <c r="BD136" s="29" t="str">
        <f t="shared" si="140"/>
        <v>#DIV/0!</v>
      </c>
      <c r="BE136" s="29" t="str">
        <f t="shared" si="140"/>
        <v>#DIV/0!</v>
      </c>
      <c r="BF136" s="29" t="str">
        <f t="shared" si="140"/>
        <v>#DIV/0!</v>
      </c>
      <c r="BG136" s="29" t="str">
        <f t="shared" si="140"/>
        <v>#DIV/0!</v>
      </c>
      <c r="BH136" s="29" t="str">
        <f t="shared" si="140"/>
        <v>#DIV/0!</v>
      </c>
      <c r="BI136" s="29" t="str">
        <f t="shared" si="140"/>
        <v>#DIV/0!</v>
      </c>
      <c r="BJ136" s="29" t="str">
        <f t="shared" si="140"/>
        <v>#DIV/0!</v>
      </c>
      <c r="BK136" s="29" t="str">
        <f t="shared" si="140"/>
        <v>#DIV/0!</v>
      </c>
      <c r="BL136" s="29" t="str">
        <f t="shared" si="140"/>
        <v>#DIV/0!</v>
      </c>
      <c r="BM136" s="29" t="str">
        <f t="shared" si="3"/>
        <v>#DIV/0!</v>
      </c>
    </row>
    <row r="137">
      <c r="A137" s="16" t="str">
        <f>IFERROR(__xludf.DUMMYFUNCTION("IFERROR(SPARKLINE(SORT(MAP(TRANSPOSE(AQ137:BL137), LAMBDA(val, IF(ISNUMBER(val), PERCENTRANK(AQ137:BL137, val)+0.01, 0))), SEQUENCE(COLUMNS(AQ137:BL137)), FALSE), {""charttype"",""column""; ""color"",""chartreuse""; ""ymin"", 0; ""ymax"", 1.01; ""highcolo"&amp;"r"", ""darkgreen""; ""lowcolor"", ""red""}), """")"),"")</f>
        <v/>
      </c>
      <c r="B137" s="17" t="str">
        <f t="shared" si="4"/>
        <v/>
      </c>
      <c r="C137" s="1" t="s">
        <v>3306</v>
      </c>
      <c r="D137" s="30" t="str">
        <f>IFERROR(__xludf.DUMMYFUNCTION("IFERROR(GOOGLEFINANCE(C137, ""NAME""))"),"Ashland Inc")</f>
        <v>Ashland Inc</v>
      </c>
      <c r="E137" s="30" t="s">
        <v>2995</v>
      </c>
      <c r="F137" s="33" t="str">
        <f>IFERROR(__xludf.DUMMYFUNCTION("( (GOOGLEFINANCE(C137, ""price"") - Q137) / Q137 ) / (R137 / 100)"),"Loading...")</f>
        <v>Loading...</v>
      </c>
      <c r="G137" s="20" t="str">
        <f>IFERROR(__xludf.DUMMYFUNCTION("AVERAGE(ARRAYFORMULA(100 * (QUERY(GOOGLEFINANCE(C137, ""high"", TODAY()-40, TODAY()), ""SELECT Col2 WHERE Col2 IS NOT NULL ORDER BY Col1 DESC LIMIT 20"", 0) / QUERY(GOOGLEFINANCE(C137, ""low"", TODAY()-40, TODAY()), ""SELECT Col2 WHERE Col2 IS NOT NULL OR"&amp;"DER BY Col1 DESC LIMIT 20"", 0) - 1)))"),"#N/A")</f>
        <v>#N/A</v>
      </c>
      <c r="H137" s="35" t="str">
        <f t="shared" si="35"/>
        <v>Illiquid</v>
      </c>
      <c r="I137" s="35" t="str">
        <f t="shared" si="7"/>
        <v>RVol Required</v>
      </c>
      <c r="J137" s="37">
        <f>IFERROR(__xludf.DUMMYFUNCTION("IFERROR(
  IF(C137="""",, 
    IFERROR(
      GOOGLEFINANCE(C137, ""price"") * GOOGLEFINANCE(C137, ""volumeavg""), 
      GOOGLEFINANCE(C137, ""price"") * AVERAGE(QUERY(GOOGLEFINANCE(C137, ""volume"", TODAY()-40, TODAY()), ""SELECT Col2 WHERE Col2 IS NOT "&amp;"NULL ORDER BY Col1 DESC LIMIT 20"", 0))
    )
  ), 
"""")"),4.46383716E7)</f>
        <v>44638371.6</v>
      </c>
      <c r="K137" s="21">
        <f>IFERROR(__xludf.DUMMYFUNCTION("IFERROR(GOOGLEFINANCE(C137, ""changepct"") / 100, """")"),-0.0060999999999999995)</f>
        <v>-0.0061</v>
      </c>
      <c r="L137" s="21" t="str">
        <f>IFERROR(__xludf.DUMMYFUNCTION("IFERROR((GOOGLEFINANCE(C137, ""price"") / INDEX(GOOGLEFINANCE(C137, ""price"", TODAY()-7, TODAY()), 2, 2)) - 1, """")"),"")</f>
        <v/>
      </c>
      <c r="M137" s="21" t="str">
        <f>IFERROR(__xludf.DUMMYFUNCTION("IFERROR((GOOGLEFINANCE(C137, ""price"") / INDEX(GOOGLEFINANCE(C137, ""price"", EDATE(TODAY(), -1), TODAY()), 2, 2)) - 1, """")"),"")</f>
        <v/>
      </c>
      <c r="N137" s="21" t="str">
        <f>IFERROR(__xludf.DUMMYFUNCTION("IFERROR((GOOGLEFINANCE(C137, ""price"") / INDEX(GOOGLEFINANCE(C137, ""price"", EDATE(TODAY(), -3), TODAY()), 2, 2)) - 1, """")"),"")</f>
        <v/>
      </c>
      <c r="O137" s="21" t="str">
        <f>IFERROR(__xludf.DUMMYFUNCTION("IFERROR((GOOGLEFINANCE(C137, ""price"") / INDEX(GOOGLEFINANCE(C137, ""price"", EDATE(TODAY(), -6), TODAY()), 2, 2)) - 1, """")"),"")</f>
        <v/>
      </c>
      <c r="P137" s="21" t="str">
        <f>IFERROR(__xludf.DUMMYFUNCTION("IFERROR((GOOGLEFINANCE(C137, ""price"") / INDEX(GOOGLEFINANCE(C137, ""price"", EDATE(TODAY(), -12), TODAY()), 2, 2)) - 1, """")"),"")</f>
        <v/>
      </c>
      <c r="Q137" s="6" t="str">
        <f>IFERROR(__xludf.DUMMYFUNCTION("AVERAGE(QUERY(GOOGLEFINANCE(C137, ""price"", TODAY()-80, TODAY()), ""SELECT Col2 WHERE Col2 IS NOT NULL ORDER BY Col1 DESC LIMIT 50"", 0))"),"#N/A")</f>
        <v>#N/A</v>
      </c>
      <c r="R137" s="24" t="str">
        <f>IFERROR(__xludf.DUMMYFUNCTION("IFERROR(
  LET(
    data, QUERY(GOOGLEFINANCE(C137,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GOOGLEFINANCE(C137, ""price"")) * 100,
    IF(calc=0, G137, calc)
  ), 
G137)"),"#N/A")</f>
        <v>#N/A</v>
      </c>
      <c r="S137" s="8" t="s">
        <v>15</v>
      </c>
      <c r="T137" s="26" t="str">
        <f>IFERROR(__xludf.DUMMYFUNCTION("IFERROR(TRANSPOSE(QUERY(IFERROR(SORT(GOOGLEFINANCE(C137, ""price"", WORKDAY(TODAY(), -40), TODAY()), 1, FALSE)), ""select Col2 where Col2 is not null limit 22 label Col2 ''"", 0)), """")"),"")</f>
        <v/>
      </c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8"/>
      <c r="AO137" s="28"/>
      <c r="AP137" s="29"/>
      <c r="AQ137" s="29" t="str">
        <f t="shared" ref="AQ137:BL137" si="141">T137/T$2</f>
        <v>#N/A</v>
      </c>
      <c r="AR137" s="29" t="str">
        <f t="shared" si="141"/>
        <v>#DIV/0!</v>
      </c>
      <c r="AS137" s="29" t="str">
        <f t="shared" si="141"/>
        <v>#DIV/0!</v>
      </c>
      <c r="AT137" s="29" t="str">
        <f t="shared" si="141"/>
        <v>#DIV/0!</v>
      </c>
      <c r="AU137" s="29" t="str">
        <f t="shared" si="141"/>
        <v>#DIV/0!</v>
      </c>
      <c r="AV137" s="29" t="str">
        <f t="shared" si="141"/>
        <v>#DIV/0!</v>
      </c>
      <c r="AW137" s="29" t="str">
        <f t="shared" si="141"/>
        <v>#DIV/0!</v>
      </c>
      <c r="AX137" s="29" t="str">
        <f t="shared" si="141"/>
        <v>#DIV/0!</v>
      </c>
      <c r="AY137" s="29" t="str">
        <f t="shared" si="141"/>
        <v>#DIV/0!</v>
      </c>
      <c r="AZ137" s="29" t="str">
        <f t="shared" si="141"/>
        <v>#DIV/0!</v>
      </c>
      <c r="BA137" s="29" t="str">
        <f t="shared" si="141"/>
        <v>#DIV/0!</v>
      </c>
      <c r="BB137" s="29" t="str">
        <f t="shared" si="141"/>
        <v>#DIV/0!</v>
      </c>
      <c r="BC137" s="29" t="str">
        <f t="shared" si="141"/>
        <v>#DIV/0!</v>
      </c>
      <c r="BD137" s="29" t="str">
        <f t="shared" si="141"/>
        <v>#DIV/0!</v>
      </c>
      <c r="BE137" s="29" t="str">
        <f t="shared" si="141"/>
        <v>#DIV/0!</v>
      </c>
      <c r="BF137" s="29" t="str">
        <f t="shared" si="141"/>
        <v>#DIV/0!</v>
      </c>
      <c r="BG137" s="29" t="str">
        <f t="shared" si="141"/>
        <v>#DIV/0!</v>
      </c>
      <c r="BH137" s="29" t="str">
        <f t="shared" si="141"/>
        <v>#DIV/0!</v>
      </c>
      <c r="BI137" s="29" t="str">
        <f t="shared" si="141"/>
        <v>#DIV/0!</v>
      </c>
      <c r="BJ137" s="29" t="str">
        <f t="shared" si="141"/>
        <v>#DIV/0!</v>
      </c>
      <c r="BK137" s="29" t="str">
        <f t="shared" si="141"/>
        <v>#DIV/0!</v>
      </c>
      <c r="BL137" s="29" t="str">
        <f t="shared" si="141"/>
        <v>#DIV/0!</v>
      </c>
      <c r="BM137" s="29" t="str">
        <f t="shared" si="3"/>
        <v>#DIV/0!</v>
      </c>
    </row>
    <row r="138">
      <c r="A138" s="16" t="str">
        <f>IFERROR(__xludf.DUMMYFUNCTION("IFERROR(SPARKLINE(SORT(MAP(TRANSPOSE(AQ138:BL138), LAMBDA(val, IF(ISNUMBER(val), PERCENTRANK(AQ138:BL138, val)+0.01, 0))), SEQUENCE(COLUMNS(AQ138:BL138)), FALSE), {""charttype"",""column""; ""color"",""chartreuse""; ""ymin"", 0; ""ymax"", 1.01; ""highcolo"&amp;"r"", ""darkgreen""; ""lowcolor"", ""red""}), """")"),"")</f>
        <v/>
      </c>
      <c r="B138" s="17" t="str">
        <f t="shared" si="4"/>
        <v/>
      </c>
      <c r="C138" s="1" t="s">
        <v>3307</v>
      </c>
      <c r="D138" s="30" t="str">
        <f>IFERROR(__xludf.DUMMYFUNCTION("IFERROR(GOOGLEFINANCE(C138, ""NAME""))"),"Huntsman Corporation")</f>
        <v>Huntsman Corporation</v>
      </c>
      <c r="E138" s="30" t="s">
        <v>3035</v>
      </c>
      <c r="F138" s="33" t="str">
        <f>IFERROR(__xludf.DUMMYFUNCTION("( (GOOGLEFINANCE(C138, ""price"") - Q138) / Q138 ) / (R138 / 100)"),"Loading...")</f>
        <v>Loading...</v>
      </c>
      <c r="G138" s="20" t="str">
        <f>IFERROR(__xludf.DUMMYFUNCTION("AVERAGE(ARRAYFORMULA(100 * (QUERY(GOOGLEFINANCE(C138, ""high"", TODAY()-40, TODAY()), ""SELECT Col2 WHERE Col2 IS NOT NULL ORDER BY Col1 DESC LIMIT 20"", 0) / QUERY(GOOGLEFINANCE(C138, ""low"", TODAY()-40, TODAY()), ""SELECT Col2 WHERE Col2 IS NOT NULL OR"&amp;"DER BY Col1 DESC LIMIT 20"", 0) - 1)))"),"#N/A")</f>
        <v>#N/A</v>
      </c>
      <c r="H138" s="35" t="str">
        <f t="shared" si="35"/>
        <v>Illiquid</v>
      </c>
      <c r="I138" s="35" t="str">
        <f t="shared" si="7"/>
        <v>RVol Required</v>
      </c>
      <c r="J138" s="37">
        <f>IFERROR(__xludf.DUMMYFUNCTION("IFERROR(
  IF(C138="""",, 
    IFERROR(
      GOOGLEFINANCE(C138, ""price"") * GOOGLEFINANCE(C138, ""volumeavg""), 
      GOOGLEFINANCE(C138, ""price"") * AVERAGE(QUERY(GOOGLEFINANCE(C138, ""volume"", TODAY()-40, TODAY()), ""SELECT Col2 WHERE Col2 IS NOT "&amp;"NULL ORDER BY Col1 DESC LIMIT 20"", 0))
    )
  ), 
"""")"),2.250153048E7)</f>
        <v>22501530.48</v>
      </c>
      <c r="K138" s="21">
        <f>IFERROR(__xludf.DUMMYFUNCTION("IFERROR(GOOGLEFINANCE(C138, ""changepct"") / 100, """")"),0.0023)</f>
        <v>0.0023</v>
      </c>
      <c r="L138" s="21" t="str">
        <f>IFERROR(__xludf.DUMMYFUNCTION("IFERROR((GOOGLEFINANCE(C138, ""price"") / INDEX(GOOGLEFINANCE(C138, ""price"", TODAY()-7, TODAY()), 2, 2)) - 1, """")"),"")</f>
        <v/>
      </c>
      <c r="M138" s="21" t="str">
        <f>IFERROR(__xludf.DUMMYFUNCTION("IFERROR((GOOGLEFINANCE(C138, ""price"") / INDEX(GOOGLEFINANCE(C138, ""price"", EDATE(TODAY(), -1), TODAY()), 2, 2)) - 1, """")"),"")</f>
        <v/>
      </c>
      <c r="N138" s="21" t="str">
        <f>IFERROR(__xludf.DUMMYFUNCTION("IFERROR((GOOGLEFINANCE(C138, ""price"") / INDEX(GOOGLEFINANCE(C138, ""price"", EDATE(TODAY(), -3), TODAY()), 2, 2)) - 1, """")"),"")</f>
        <v/>
      </c>
      <c r="O138" s="21" t="str">
        <f>IFERROR(__xludf.DUMMYFUNCTION("IFERROR((GOOGLEFINANCE(C138, ""price"") / INDEX(GOOGLEFINANCE(C138, ""price"", EDATE(TODAY(), -6), TODAY()), 2, 2)) - 1, """")"),"")</f>
        <v/>
      </c>
      <c r="P138" s="21" t="str">
        <f>IFERROR(__xludf.DUMMYFUNCTION("IFERROR((GOOGLEFINANCE(C138, ""price"") / INDEX(GOOGLEFINANCE(C138, ""price"", EDATE(TODAY(), -12), TODAY()), 2, 2)) - 1, """")"),"")</f>
        <v/>
      </c>
      <c r="Q138" s="6" t="str">
        <f>IFERROR(__xludf.DUMMYFUNCTION("AVERAGE(QUERY(GOOGLEFINANCE(C138, ""price"", TODAY()-80, TODAY()), ""SELECT Col2 WHERE Col2 IS NOT NULL ORDER BY Col1 DESC LIMIT 50"", 0))"),"#N/A")</f>
        <v>#N/A</v>
      </c>
      <c r="R138" s="24" t="str">
        <f>IFERROR(__xludf.DUMMYFUNCTION("IFERROR(
  LET(
    data, QUERY(GOOGLEFINANCE(C138,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GOOGLEFINANCE(C138, ""price"")) * 100,
    IF(calc=0, G138, calc)
  ), 
G138)"),"#N/A")</f>
        <v>#N/A</v>
      </c>
      <c r="S138" s="8" t="s">
        <v>15</v>
      </c>
      <c r="T138" s="26" t="str">
        <f>IFERROR(__xludf.DUMMYFUNCTION("IFERROR(TRANSPOSE(QUERY(IFERROR(SORT(GOOGLEFINANCE(C138, ""price"", WORKDAY(TODAY(), -40), TODAY()), 1, FALSE)), ""select Col2 where Col2 is not null limit 22 label Col2 ''"", 0)), """")"),"")</f>
        <v/>
      </c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8"/>
      <c r="AO138" s="28"/>
      <c r="AP138" s="29"/>
      <c r="AQ138" s="29" t="str">
        <f t="shared" ref="AQ138:BL138" si="142">T138/T$2</f>
        <v>#N/A</v>
      </c>
      <c r="AR138" s="29" t="str">
        <f t="shared" si="142"/>
        <v>#DIV/0!</v>
      </c>
      <c r="AS138" s="29" t="str">
        <f t="shared" si="142"/>
        <v>#DIV/0!</v>
      </c>
      <c r="AT138" s="29" t="str">
        <f t="shared" si="142"/>
        <v>#DIV/0!</v>
      </c>
      <c r="AU138" s="29" t="str">
        <f t="shared" si="142"/>
        <v>#DIV/0!</v>
      </c>
      <c r="AV138" s="29" t="str">
        <f t="shared" si="142"/>
        <v>#DIV/0!</v>
      </c>
      <c r="AW138" s="29" t="str">
        <f t="shared" si="142"/>
        <v>#DIV/0!</v>
      </c>
      <c r="AX138" s="29" t="str">
        <f t="shared" si="142"/>
        <v>#DIV/0!</v>
      </c>
      <c r="AY138" s="29" t="str">
        <f t="shared" si="142"/>
        <v>#DIV/0!</v>
      </c>
      <c r="AZ138" s="29" t="str">
        <f t="shared" si="142"/>
        <v>#DIV/0!</v>
      </c>
      <c r="BA138" s="29" t="str">
        <f t="shared" si="142"/>
        <v>#DIV/0!</v>
      </c>
      <c r="BB138" s="29" t="str">
        <f t="shared" si="142"/>
        <v>#DIV/0!</v>
      </c>
      <c r="BC138" s="29" t="str">
        <f t="shared" si="142"/>
        <v>#DIV/0!</v>
      </c>
      <c r="BD138" s="29" t="str">
        <f t="shared" si="142"/>
        <v>#DIV/0!</v>
      </c>
      <c r="BE138" s="29" t="str">
        <f t="shared" si="142"/>
        <v>#DIV/0!</v>
      </c>
      <c r="BF138" s="29" t="str">
        <f t="shared" si="142"/>
        <v>#DIV/0!</v>
      </c>
      <c r="BG138" s="29" t="str">
        <f t="shared" si="142"/>
        <v>#DIV/0!</v>
      </c>
      <c r="BH138" s="29" t="str">
        <f t="shared" si="142"/>
        <v>#DIV/0!</v>
      </c>
      <c r="BI138" s="29" t="str">
        <f t="shared" si="142"/>
        <v>#DIV/0!</v>
      </c>
      <c r="BJ138" s="29" t="str">
        <f t="shared" si="142"/>
        <v>#DIV/0!</v>
      </c>
      <c r="BK138" s="29" t="str">
        <f t="shared" si="142"/>
        <v>#DIV/0!</v>
      </c>
      <c r="BL138" s="29" t="str">
        <f t="shared" si="142"/>
        <v>#DIV/0!</v>
      </c>
      <c r="BM138" s="29" t="str">
        <f t="shared" si="3"/>
        <v>#DIV/0!</v>
      </c>
    </row>
    <row r="139">
      <c r="A139" s="16" t="str">
        <f>IFERROR(__xludf.DUMMYFUNCTION("IFERROR(SPARKLINE(SORT(MAP(TRANSPOSE(AQ139:BL139), LAMBDA(val, IF(ISNUMBER(val), PERCENTRANK(AQ139:BL139, val)+0.01, 0))), SEQUENCE(COLUMNS(AQ139:BL139)), FALSE), {""charttype"",""column""; ""color"",""chartreuse""; ""ymin"", 0; ""ymax"", 1.01; ""highcolo"&amp;"r"", ""darkgreen""; ""lowcolor"", ""red""}), """")"),"")</f>
        <v/>
      </c>
      <c r="B139" s="17" t="str">
        <f t="shared" si="4"/>
        <v/>
      </c>
      <c r="C139" s="1" t="s">
        <v>3308</v>
      </c>
      <c r="D139" s="30" t="str">
        <f>IFERROR(__xludf.DUMMYFUNCTION("IFERROR(GOOGLEFINANCE(C139, ""NAME""))"),"Mp Materials Corp")</f>
        <v>Mp Materials Corp</v>
      </c>
      <c r="E139" s="30" t="s">
        <v>2935</v>
      </c>
      <c r="F139" s="33" t="str">
        <f>IFERROR(__xludf.DUMMYFUNCTION("( (GOOGLEFINANCE(C139, ""price"") - Q139) / Q139 ) / (R139 / 100)"),"Loading...")</f>
        <v>Loading...</v>
      </c>
      <c r="G139" s="20" t="str">
        <f>IFERROR(__xludf.DUMMYFUNCTION("AVERAGE(ARRAYFORMULA(100 * (QUERY(GOOGLEFINANCE(C139, ""high"", TODAY()-40, TODAY()), ""SELECT Col2 WHERE Col2 IS NOT NULL ORDER BY Col1 DESC LIMIT 20"", 0) / QUERY(GOOGLEFINANCE(C139, ""low"", TODAY()-40, TODAY()), ""SELECT Col2 WHERE Col2 IS NOT NULL OR"&amp;"DER BY Col1 DESC LIMIT 20"", 0) - 1)))"),"#N/A")</f>
        <v>#N/A</v>
      </c>
      <c r="H139" s="35" t="str">
        <f t="shared" si="35"/>
        <v>Liquid</v>
      </c>
      <c r="I139" s="35" t="str">
        <f t="shared" si="7"/>
        <v>RVol Required</v>
      </c>
      <c r="J139" s="37">
        <f>IFERROR(__xludf.DUMMYFUNCTION("IFERROR(
  IF(C139="""",, 
    IFERROR(
      GOOGLEFINANCE(C139, ""price"") * GOOGLEFINANCE(C139, ""volumeavg""), 
      GOOGLEFINANCE(C139, ""price"") * AVERAGE(QUERY(GOOGLEFINANCE(C139, ""volume"", TODAY()-40, TODAY()), ""SELECT Col2 WHERE Col2 IS NOT "&amp;"NULL ORDER BY Col1 DESC LIMIT 20"", 0))
    )
  ), 
"""")"),2.1988314855E8)</f>
        <v>219883148.6</v>
      </c>
      <c r="K139" s="21">
        <f>IFERROR(__xludf.DUMMYFUNCTION("IFERROR(GOOGLEFINANCE(C139, ""changepct"") / 100, """")"),-0.0346)</f>
        <v>-0.0346</v>
      </c>
      <c r="L139" s="21" t="str">
        <f>IFERROR(__xludf.DUMMYFUNCTION("IFERROR((GOOGLEFINANCE(C139, ""price"") / INDEX(GOOGLEFINANCE(C139, ""price"", TODAY()-7, TODAY()), 2, 2)) - 1, """")"),"")</f>
        <v/>
      </c>
      <c r="M139" s="21" t="str">
        <f>IFERROR(__xludf.DUMMYFUNCTION("IFERROR((GOOGLEFINANCE(C139, ""price"") / INDEX(GOOGLEFINANCE(C139, ""price"", EDATE(TODAY(), -1), TODAY()), 2, 2)) - 1, """")"),"")</f>
        <v/>
      </c>
      <c r="N139" s="21" t="str">
        <f>IFERROR(__xludf.DUMMYFUNCTION("IFERROR((GOOGLEFINANCE(C139, ""price"") / INDEX(GOOGLEFINANCE(C139, ""price"", EDATE(TODAY(), -3), TODAY()), 2, 2)) - 1, """")"),"")</f>
        <v/>
      </c>
      <c r="O139" s="21" t="str">
        <f>IFERROR(__xludf.DUMMYFUNCTION("IFERROR((GOOGLEFINANCE(C139, ""price"") / INDEX(GOOGLEFINANCE(C139, ""price"", EDATE(TODAY(), -6), TODAY()), 2, 2)) - 1, """")"),"")</f>
        <v/>
      </c>
      <c r="P139" s="21" t="str">
        <f>IFERROR(__xludf.DUMMYFUNCTION("IFERROR((GOOGLEFINANCE(C139, ""price"") / INDEX(GOOGLEFINANCE(C139, ""price"", EDATE(TODAY(), -12), TODAY()), 2, 2)) - 1, """")"),"")</f>
        <v/>
      </c>
      <c r="Q139" s="6" t="str">
        <f>IFERROR(__xludf.DUMMYFUNCTION("AVERAGE(QUERY(GOOGLEFINANCE(C139, ""price"", TODAY()-80, TODAY()), ""SELECT Col2 WHERE Col2 IS NOT NULL ORDER BY Col1 DESC LIMIT 50"", 0))"),"#N/A")</f>
        <v>#N/A</v>
      </c>
      <c r="R139" s="24" t="str">
        <f>IFERROR(__xludf.DUMMYFUNCTION("IFERROR(
  LET(
    data, QUERY(GOOGLEFINANCE(C139,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GOOGLEFINANCE(C139, ""price"")) * 100,
    IF(calc=0, G139, calc)
  ), 
G139)"),"#N/A")</f>
        <v>#N/A</v>
      </c>
      <c r="S139" s="8" t="s">
        <v>15</v>
      </c>
      <c r="T139" s="26" t="str">
        <f>IFERROR(__xludf.DUMMYFUNCTION("IFERROR(TRANSPOSE(QUERY(IFERROR(SORT(GOOGLEFINANCE(C139, ""price"", WORKDAY(TODAY(), -40), TODAY()), 1, FALSE)), ""select Col2 where Col2 is not null limit 22 label Col2 ''"", 0)), """")"),"")</f>
        <v/>
      </c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8"/>
      <c r="AO139" s="28"/>
      <c r="AP139" s="29"/>
      <c r="AQ139" s="29" t="str">
        <f t="shared" ref="AQ139:BL139" si="143">T139/T$2</f>
        <v>#N/A</v>
      </c>
      <c r="AR139" s="29" t="str">
        <f t="shared" si="143"/>
        <v>#DIV/0!</v>
      </c>
      <c r="AS139" s="29" t="str">
        <f t="shared" si="143"/>
        <v>#DIV/0!</v>
      </c>
      <c r="AT139" s="29" t="str">
        <f t="shared" si="143"/>
        <v>#DIV/0!</v>
      </c>
      <c r="AU139" s="29" t="str">
        <f t="shared" si="143"/>
        <v>#DIV/0!</v>
      </c>
      <c r="AV139" s="29" t="str">
        <f t="shared" si="143"/>
        <v>#DIV/0!</v>
      </c>
      <c r="AW139" s="29" t="str">
        <f t="shared" si="143"/>
        <v>#DIV/0!</v>
      </c>
      <c r="AX139" s="29" t="str">
        <f t="shared" si="143"/>
        <v>#DIV/0!</v>
      </c>
      <c r="AY139" s="29" t="str">
        <f t="shared" si="143"/>
        <v>#DIV/0!</v>
      </c>
      <c r="AZ139" s="29" t="str">
        <f t="shared" si="143"/>
        <v>#DIV/0!</v>
      </c>
      <c r="BA139" s="29" t="str">
        <f t="shared" si="143"/>
        <v>#DIV/0!</v>
      </c>
      <c r="BB139" s="29" t="str">
        <f t="shared" si="143"/>
        <v>#DIV/0!</v>
      </c>
      <c r="BC139" s="29" t="str">
        <f t="shared" si="143"/>
        <v>#DIV/0!</v>
      </c>
      <c r="BD139" s="29" t="str">
        <f t="shared" si="143"/>
        <v>#DIV/0!</v>
      </c>
      <c r="BE139" s="29" t="str">
        <f t="shared" si="143"/>
        <v>#DIV/0!</v>
      </c>
      <c r="BF139" s="29" t="str">
        <f t="shared" si="143"/>
        <v>#DIV/0!</v>
      </c>
      <c r="BG139" s="29" t="str">
        <f t="shared" si="143"/>
        <v>#DIV/0!</v>
      </c>
      <c r="BH139" s="29" t="str">
        <f t="shared" si="143"/>
        <v>#DIV/0!</v>
      </c>
      <c r="BI139" s="29" t="str">
        <f t="shared" si="143"/>
        <v>#DIV/0!</v>
      </c>
      <c r="BJ139" s="29" t="str">
        <f t="shared" si="143"/>
        <v>#DIV/0!</v>
      </c>
      <c r="BK139" s="29" t="str">
        <f t="shared" si="143"/>
        <v>#DIV/0!</v>
      </c>
      <c r="BL139" s="29" t="str">
        <f t="shared" si="143"/>
        <v>#DIV/0!</v>
      </c>
      <c r="BM139" s="29" t="str">
        <f t="shared" si="3"/>
        <v>#DIV/0!</v>
      </c>
    </row>
    <row r="140">
      <c r="A140" s="16" t="str">
        <f>IFERROR(__xludf.DUMMYFUNCTION("IFERROR(SPARKLINE(SORT(MAP(TRANSPOSE(AQ140:BL140), LAMBDA(val, IF(ISNUMBER(val), PERCENTRANK(AQ140:BL140, val)+0.01, 0))), SEQUENCE(COLUMNS(AQ140:BL140)), FALSE), {""charttype"",""column""; ""color"",""chartreuse""; ""ymin"", 0; ""ymax"", 1.01; ""highcolo"&amp;"r"", ""darkgreen""; ""lowcolor"", ""red""}), """")"),"")</f>
        <v/>
      </c>
      <c r="B140" s="17" t="str">
        <f t="shared" si="4"/>
        <v/>
      </c>
      <c r="C140" s="1" t="s">
        <v>3309</v>
      </c>
      <c r="D140" s="30" t="str">
        <f>IFERROR(__xludf.DUMMYFUNCTION("IFERROR(GOOGLEFINANCE(C140, ""NAME""))"),"Reliance Inc")</f>
        <v>Reliance Inc</v>
      </c>
      <c r="E140" s="30" t="s">
        <v>3004</v>
      </c>
      <c r="F140" s="33" t="str">
        <f>IFERROR(__xludf.DUMMYFUNCTION("( (GOOGLEFINANCE(C140, ""price"") - Q140) / Q140 ) / (R140 / 100)"),"Loading...")</f>
        <v>Loading...</v>
      </c>
      <c r="G140" s="20" t="str">
        <f>IFERROR(__xludf.DUMMYFUNCTION("AVERAGE(ARRAYFORMULA(100 * (QUERY(GOOGLEFINANCE(C140, ""high"", TODAY()-40, TODAY()), ""SELECT Col2 WHERE Col2 IS NOT NULL ORDER BY Col1 DESC LIMIT 20"", 0) / QUERY(GOOGLEFINANCE(C140, ""low"", TODAY()-40, TODAY()), ""SELECT Col2 WHERE Col2 IS NOT NULL OR"&amp;"DER BY Col1 DESC LIMIT 20"", 0) - 1)))"),"#N/A")</f>
        <v>#N/A</v>
      </c>
      <c r="H140" s="35" t="str">
        <f t="shared" si="35"/>
        <v>Liquid</v>
      </c>
      <c r="I140" s="35" t="str">
        <f t="shared" si="7"/>
        <v>RVol Required</v>
      </c>
      <c r="J140" s="37">
        <f>IFERROR(__xludf.DUMMYFUNCTION("IFERROR(
  IF(C140="""",, 
    IFERROR(
      GOOGLEFINANCE(C140, ""price"") * GOOGLEFINANCE(C140, ""volumeavg""), 
      GOOGLEFINANCE(C140, ""price"") * AVERAGE(QUERY(GOOGLEFINANCE(C140, ""volume"", TODAY()-40, TODAY()), ""SELECT Col2 WHERE Col2 IS NOT "&amp;"NULL ORDER BY Col1 DESC LIMIT 20"", 0))
    )
  ), 
"""")"),1.0989792877000001E8)</f>
        <v>109897928.8</v>
      </c>
      <c r="K140" s="21">
        <f>IFERROR(__xludf.DUMMYFUNCTION("IFERROR(GOOGLEFINANCE(C140, ""changepct"") / 100, """")"),0.0111)</f>
        <v>0.0111</v>
      </c>
      <c r="L140" s="21" t="str">
        <f>IFERROR(__xludf.DUMMYFUNCTION("IFERROR((GOOGLEFINANCE(C140, ""price"") / INDEX(GOOGLEFINANCE(C140, ""price"", TODAY()-7, TODAY()), 2, 2)) - 1, """")"),"")</f>
        <v/>
      </c>
      <c r="M140" s="21" t="str">
        <f>IFERROR(__xludf.DUMMYFUNCTION("IFERROR((GOOGLEFINANCE(C140, ""price"") / INDEX(GOOGLEFINANCE(C140, ""price"", EDATE(TODAY(), -1), TODAY()), 2, 2)) - 1, """")"),"")</f>
        <v/>
      </c>
      <c r="N140" s="21" t="str">
        <f>IFERROR(__xludf.DUMMYFUNCTION("IFERROR((GOOGLEFINANCE(C140, ""price"") / INDEX(GOOGLEFINANCE(C140, ""price"", EDATE(TODAY(), -3), TODAY()), 2, 2)) - 1, """")"),"")</f>
        <v/>
      </c>
      <c r="O140" s="21" t="str">
        <f>IFERROR(__xludf.DUMMYFUNCTION("IFERROR((GOOGLEFINANCE(C140, ""price"") / INDEX(GOOGLEFINANCE(C140, ""price"", EDATE(TODAY(), -6), TODAY()), 2, 2)) - 1, """")"),"")</f>
        <v/>
      </c>
      <c r="P140" s="21" t="str">
        <f>IFERROR(__xludf.DUMMYFUNCTION("IFERROR((GOOGLEFINANCE(C140, ""price"") / INDEX(GOOGLEFINANCE(C140, ""price"", EDATE(TODAY(), -12), TODAY()), 2, 2)) - 1, """")"),"")</f>
        <v/>
      </c>
      <c r="Q140" s="6" t="str">
        <f>IFERROR(__xludf.DUMMYFUNCTION("AVERAGE(QUERY(GOOGLEFINANCE(C140, ""price"", TODAY()-80, TODAY()), ""SELECT Col2 WHERE Col2 IS NOT NULL ORDER BY Col1 DESC LIMIT 50"", 0))"),"#N/A")</f>
        <v>#N/A</v>
      </c>
      <c r="R140" s="24" t="str">
        <f>IFERROR(__xludf.DUMMYFUNCTION("IFERROR(
  LET(
    data, QUERY(GOOGLEFINANCE(C140,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GOOGLEFINANCE(C140, ""price"")) * 100,
    IF(calc=0, G140, calc)
  ), 
G140)"),"#N/A")</f>
        <v>#N/A</v>
      </c>
      <c r="S140" s="8" t="s">
        <v>15</v>
      </c>
      <c r="T140" s="26" t="str">
        <f>IFERROR(__xludf.DUMMYFUNCTION("IFERROR(TRANSPOSE(QUERY(IFERROR(SORT(GOOGLEFINANCE(C140, ""price"", WORKDAY(TODAY(), -40), TODAY()), 1, FALSE)), ""select Col2 where Col2 is not null limit 22 label Col2 ''"", 0)), """")"),"")</f>
        <v/>
      </c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8"/>
      <c r="AO140" s="28"/>
      <c r="AP140" s="29"/>
      <c r="AQ140" s="29" t="str">
        <f t="shared" ref="AQ140:BL140" si="144">T140/T$2</f>
        <v>#N/A</v>
      </c>
      <c r="AR140" s="29" t="str">
        <f t="shared" si="144"/>
        <v>#DIV/0!</v>
      </c>
      <c r="AS140" s="29" t="str">
        <f t="shared" si="144"/>
        <v>#DIV/0!</v>
      </c>
      <c r="AT140" s="29" t="str">
        <f t="shared" si="144"/>
        <v>#DIV/0!</v>
      </c>
      <c r="AU140" s="29" t="str">
        <f t="shared" si="144"/>
        <v>#DIV/0!</v>
      </c>
      <c r="AV140" s="29" t="str">
        <f t="shared" si="144"/>
        <v>#DIV/0!</v>
      </c>
      <c r="AW140" s="29" t="str">
        <f t="shared" si="144"/>
        <v>#DIV/0!</v>
      </c>
      <c r="AX140" s="29" t="str">
        <f t="shared" si="144"/>
        <v>#DIV/0!</v>
      </c>
      <c r="AY140" s="29" t="str">
        <f t="shared" si="144"/>
        <v>#DIV/0!</v>
      </c>
      <c r="AZ140" s="29" t="str">
        <f t="shared" si="144"/>
        <v>#DIV/0!</v>
      </c>
      <c r="BA140" s="29" t="str">
        <f t="shared" si="144"/>
        <v>#DIV/0!</v>
      </c>
      <c r="BB140" s="29" t="str">
        <f t="shared" si="144"/>
        <v>#DIV/0!</v>
      </c>
      <c r="BC140" s="29" t="str">
        <f t="shared" si="144"/>
        <v>#DIV/0!</v>
      </c>
      <c r="BD140" s="29" t="str">
        <f t="shared" si="144"/>
        <v>#DIV/0!</v>
      </c>
      <c r="BE140" s="29" t="str">
        <f t="shared" si="144"/>
        <v>#DIV/0!</v>
      </c>
      <c r="BF140" s="29" t="str">
        <f t="shared" si="144"/>
        <v>#DIV/0!</v>
      </c>
      <c r="BG140" s="29" t="str">
        <f t="shared" si="144"/>
        <v>#DIV/0!</v>
      </c>
      <c r="BH140" s="29" t="str">
        <f t="shared" si="144"/>
        <v>#DIV/0!</v>
      </c>
      <c r="BI140" s="29" t="str">
        <f t="shared" si="144"/>
        <v>#DIV/0!</v>
      </c>
      <c r="BJ140" s="29" t="str">
        <f t="shared" si="144"/>
        <v>#DIV/0!</v>
      </c>
      <c r="BK140" s="29" t="str">
        <f t="shared" si="144"/>
        <v>#DIV/0!</v>
      </c>
      <c r="BL140" s="29" t="str">
        <f t="shared" si="144"/>
        <v>#DIV/0!</v>
      </c>
      <c r="BM140" s="29" t="str">
        <f t="shared" si="3"/>
        <v>#DIV/0!</v>
      </c>
    </row>
    <row r="141">
      <c r="A141" s="16" t="str">
        <f>IFERROR(__xludf.DUMMYFUNCTION("IFERROR(SPARKLINE(SORT(MAP(TRANSPOSE(AQ141:BL141), LAMBDA(val, IF(ISNUMBER(val), PERCENTRANK(AQ141:BL141, val)+0.01, 0))), SEQUENCE(COLUMNS(AQ141:BL141)), FALSE), {""charttype"",""column""; ""color"",""chartreuse""; ""ymin"", 0; ""ymax"", 1.01; ""highcolo"&amp;"r"", ""darkgreen""; ""lowcolor"", ""red""}), """")"),"")</f>
        <v/>
      </c>
      <c r="B141" s="17" t="str">
        <f t="shared" si="4"/>
        <v/>
      </c>
      <c r="C141" s="1" t="s">
        <v>3310</v>
      </c>
      <c r="D141" s="30" t="str">
        <f>IFERROR(__xludf.DUMMYFUNCTION("IFERROR(GOOGLEFINANCE(C141, ""NAME""))"),"Vale SA")</f>
        <v>Vale SA</v>
      </c>
      <c r="E141" s="30" t="s">
        <v>2935</v>
      </c>
      <c r="F141" s="33" t="str">
        <f>IFERROR(__xludf.DUMMYFUNCTION("( (GOOGLEFINANCE(C141, ""price"") - Q141) / Q141 ) / (R141 / 100)"),"Loading...")</f>
        <v>Loading...</v>
      </c>
      <c r="G141" s="20" t="str">
        <f>IFERROR(__xludf.DUMMYFUNCTION("AVERAGE(ARRAYFORMULA(100 * (QUERY(GOOGLEFINANCE(C141, ""high"", TODAY()-40, TODAY()), ""SELECT Col2 WHERE Col2 IS NOT NULL ORDER BY Col1 DESC LIMIT 20"", 0) / QUERY(GOOGLEFINANCE(C141, ""low"", TODAY()-40, TODAY()), ""SELECT Col2 WHERE Col2 IS NOT NULL OR"&amp;"DER BY Col1 DESC LIMIT 20"", 0) - 1)))"),"#N/A")</f>
        <v>#N/A</v>
      </c>
      <c r="H141" s="35" t="str">
        <f t="shared" si="35"/>
        <v>Liquid</v>
      </c>
      <c r="I141" s="35" t="str">
        <f t="shared" si="7"/>
        <v>RVol Required</v>
      </c>
      <c r="J141" s="37">
        <f>IFERROR(__xludf.DUMMYFUNCTION("IFERROR(
  IF(C141="""",, 
    IFERROR(
      GOOGLEFINANCE(C141, ""price"") * GOOGLEFINANCE(C141, ""volumeavg""), 
      GOOGLEFINANCE(C141, ""price"") * AVERAGE(QUERY(GOOGLEFINANCE(C141, ""volume"", TODAY()-40, TODAY()), ""SELECT Col2 WHERE Col2 IS NOT "&amp;"NULL ORDER BY Col1 DESC LIMIT 20"", 0))
    )
  ), 
"""")"),4.408165308E8)</f>
        <v>440816530.8</v>
      </c>
      <c r="K141" s="21">
        <f>IFERROR(__xludf.DUMMYFUNCTION("IFERROR(GOOGLEFINANCE(C141, ""changepct"") / 100, """")"),0.0031)</f>
        <v>0.0031</v>
      </c>
      <c r="L141" s="21" t="str">
        <f>IFERROR(__xludf.DUMMYFUNCTION("IFERROR((GOOGLEFINANCE(C141, ""price"") / INDEX(GOOGLEFINANCE(C141, ""price"", TODAY()-7, TODAY()), 2, 2)) - 1, """")"),"")</f>
        <v/>
      </c>
      <c r="M141" s="21" t="str">
        <f>IFERROR(__xludf.DUMMYFUNCTION("IFERROR((GOOGLEFINANCE(C141, ""price"") / INDEX(GOOGLEFINANCE(C141, ""price"", EDATE(TODAY(), -1), TODAY()), 2, 2)) - 1, """")"),"")</f>
        <v/>
      </c>
      <c r="N141" s="21" t="str">
        <f>IFERROR(__xludf.DUMMYFUNCTION("IFERROR((GOOGLEFINANCE(C141, ""price"") / INDEX(GOOGLEFINANCE(C141, ""price"", EDATE(TODAY(), -3), TODAY()), 2, 2)) - 1, """")"),"")</f>
        <v/>
      </c>
      <c r="O141" s="21" t="str">
        <f>IFERROR(__xludf.DUMMYFUNCTION("IFERROR((GOOGLEFINANCE(C141, ""price"") / INDEX(GOOGLEFINANCE(C141, ""price"", EDATE(TODAY(), -6), TODAY()), 2, 2)) - 1, """")"),"")</f>
        <v/>
      </c>
      <c r="P141" s="21" t="str">
        <f>IFERROR(__xludf.DUMMYFUNCTION("IFERROR((GOOGLEFINANCE(C141, ""price"") / INDEX(GOOGLEFINANCE(C141, ""price"", EDATE(TODAY(), -12), TODAY()), 2, 2)) - 1, """")"),"")</f>
        <v/>
      </c>
      <c r="Q141" s="6" t="str">
        <f>IFERROR(__xludf.DUMMYFUNCTION("AVERAGE(QUERY(GOOGLEFINANCE(C141, ""price"", TODAY()-80, TODAY()), ""SELECT Col2 WHERE Col2 IS NOT NULL ORDER BY Col1 DESC LIMIT 50"", 0))"),"#N/A")</f>
        <v>#N/A</v>
      </c>
      <c r="R141" s="24" t="str">
        <f>IFERROR(__xludf.DUMMYFUNCTION("IFERROR(
  LET(
    data, QUERY(GOOGLEFINANCE(C141,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GOOGLEFINANCE(C141, ""price"")) * 100,
    IF(calc=0, G141, calc)
  ), 
G141)"),"#N/A")</f>
        <v>#N/A</v>
      </c>
      <c r="S141" s="8" t="s">
        <v>15</v>
      </c>
      <c r="T141" s="26" t="str">
        <f>IFERROR(__xludf.DUMMYFUNCTION("IFERROR(TRANSPOSE(QUERY(IFERROR(SORT(GOOGLEFINANCE(C141, ""price"", WORKDAY(TODAY(), -40), TODAY()), 1, FALSE)), ""select Col2 where Col2 is not null limit 22 label Col2 ''"", 0)), """")"),"")</f>
        <v/>
      </c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8"/>
      <c r="AO141" s="28"/>
      <c r="AP141" s="29"/>
      <c r="AQ141" s="29" t="str">
        <f t="shared" ref="AQ141:BL141" si="145">T141/T$2</f>
        <v>#N/A</v>
      </c>
      <c r="AR141" s="29" t="str">
        <f t="shared" si="145"/>
        <v>#DIV/0!</v>
      </c>
      <c r="AS141" s="29" t="str">
        <f t="shared" si="145"/>
        <v>#DIV/0!</v>
      </c>
      <c r="AT141" s="29" t="str">
        <f t="shared" si="145"/>
        <v>#DIV/0!</v>
      </c>
      <c r="AU141" s="29" t="str">
        <f t="shared" si="145"/>
        <v>#DIV/0!</v>
      </c>
      <c r="AV141" s="29" t="str">
        <f t="shared" si="145"/>
        <v>#DIV/0!</v>
      </c>
      <c r="AW141" s="29" t="str">
        <f t="shared" si="145"/>
        <v>#DIV/0!</v>
      </c>
      <c r="AX141" s="29" t="str">
        <f t="shared" si="145"/>
        <v>#DIV/0!</v>
      </c>
      <c r="AY141" s="29" t="str">
        <f t="shared" si="145"/>
        <v>#DIV/0!</v>
      </c>
      <c r="AZ141" s="29" t="str">
        <f t="shared" si="145"/>
        <v>#DIV/0!</v>
      </c>
      <c r="BA141" s="29" t="str">
        <f t="shared" si="145"/>
        <v>#DIV/0!</v>
      </c>
      <c r="BB141" s="29" t="str">
        <f t="shared" si="145"/>
        <v>#DIV/0!</v>
      </c>
      <c r="BC141" s="29" t="str">
        <f t="shared" si="145"/>
        <v>#DIV/0!</v>
      </c>
      <c r="BD141" s="29" t="str">
        <f t="shared" si="145"/>
        <v>#DIV/0!</v>
      </c>
      <c r="BE141" s="29" t="str">
        <f t="shared" si="145"/>
        <v>#DIV/0!</v>
      </c>
      <c r="BF141" s="29" t="str">
        <f t="shared" si="145"/>
        <v>#DIV/0!</v>
      </c>
      <c r="BG141" s="29" t="str">
        <f t="shared" si="145"/>
        <v>#DIV/0!</v>
      </c>
      <c r="BH141" s="29" t="str">
        <f t="shared" si="145"/>
        <v>#DIV/0!</v>
      </c>
      <c r="BI141" s="29" t="str">
        <f t="shared" si="145"/>
        <v>#DIV/0!</v>
      </c>
      <c r="BJ141" s="29" t="str">
        <f t="shared" si="145"/>
        <v>#DIV/0!</v>
      </c>
      <c r="BK141" s="29" t="str">
        <f t="shared" si="145"/>
        <v>#DIV/0!</v>
      </c>
      <c r="BL141" s="29" t="str">
        <f t="shared" si="145"/>
        <v>#DIV/0!</v>
      </c>
      <c r="BM141" s="29" t="str">
        <f t="shared" si="3"/>
        <v>#DIV/0!</v>
      </c>
    </row>
    <row r="142">
      <c r="A142" s="16" t="str">
        <f>IFERROR(__xludf.DUMMYFUNCTION("IFERROR(SPARKLINE(SORT(MAP(TRANSPOSE(AQ142:BL142), LAMBDA(val, IF(ISNUMBER(val), PERCENTRANK(AQ142:BL142, val)+0.01, 0))), SEQUENCE(COLUMNS(AQ142:BL142)), FALSE), {""charttype"",""column""; ""color"",""chartreuse""; ""ymin"", 0; ""ymax"", 1.01; ""highcolo"&amp;"r"", ""darkgreen""; ""lowcolor"", ""red""}), """")"),"")</f>
        <v/>
      </c>
      <c r="B142" s="17" t="str">
        <f t="shared" si="4"/>
        <v/>
      </c>
      <c r="C142" s="1" t="s">
        <v>3311</v>
      </c>
      <c r="D142" s="30" t="str">
        <f>IFERROR(__xludf.DUMMYFUNCTION("IFERROR(GOOGLEFINANCE(C142, ""NAME""))"),"Corteva Inc")</f>
        <v>Corteva Inc</v>
      </c>
      <c r="E142" s="30" t="s">
        <v>3039</v>
      </c>
      <c r="F142" s="33" t="str">
        <f>IFERROR(__xludf.DUMMYFUNCTION("( (GOOGLEFINANCE(C142, ""price"") - Q142) / Q142 ) / (R142 / 100)"),"Loading...")</f>
        <v>Loading...</v>
      </c>
      <c r="G142" s="20" t="str">
        <f>IFERROR(__xludf.DUMMYFUNCTION("AVERAGE(ARRAYFORMULA(100 * (QUERY(GOOGLEFINANCE(C142, ""high"", TODAY()-40, TODAY()), ""SELECT Col2 WHERE Col2 IS NOT NULL ORDER BY Col1 DESC LIMIT 20"", 0) / QUERY(GOOGLEFINANCE(C142, ""low"", TODAY()-40, TODAY()), ""SELECT Col2 WHERE Col2 IS NOT NULL OR"&amp;"DER BY Col1 DESC LIMIT 20"", 0) - 1)))"),"#N/A")</f>
        <v>#N/A</v>
      </c>
      <c r="H142" s="35" t="str">
        <f t="shared" si="35"/>
        <v>Liquid</v>
      </c>
      <c r="I142" s="35" t="str">
        <f t="shared" si="7"/>
        <v>RVol Required</v>
      </c>
      <c r="J142" s="37">
        <f>IFERROR(__xludf.DUMMYFUNCTION("IFERROR(
  IF(C142="""",, 
    IFERROR(
      GOOGLEFINANCE(C142, ""price"") * GOOGLEFINANCE(C142, ""volumeavg""), 
      GOOGLEFINANCE(C142, ""price"") * AVERAGE(QUERY(GOOGLEFINANCE(C142, ""volume"", TODAY()-40, TODAY()), ""SELECT Col2 WHERE Col2 IS NOT "&amp;"NULL ORDER BY Col1 DESC LIMIT 20"", 0))
    )
  ), 
"""")"),2.8912703288E8)</f>
        <v>289127032.9</v>
      </c>
      <c r="K142" s="21">
        <f>IFERROR(__xludf.DUMMYFUNCTION("IFERROR(GOOGLEFINANCE(C142, ""changepct"") / 100, """")"),0.0)</f>
        <v>0</v>
      </c>
      <c r="L142" s="21" t="str">
        <f>IFERROR(__xludf.DUMMYFUNCTION("IFERROR((GOOGLEFINANCE(C142, ""price"") / INDEX(GOOGLEFINANCE(C142, ""price"", TODAY()-7, TODAY()), 2, 2)) - 1, """")"),"")</f>
        <v/>
      </c>
      <c r="M142" s="21" t="str">
        <f>IFERROR(__xludf.DUMMYFUNCTION("IFERROR((GOOGLEFINANCE(C142, ""price"") / INDEX(GOOGLEFINANCE(C142, ""price"", EDATE(TODAY(), -1), TODAY()), 2, 2)) - 1, """")"),"")</f>
        <v/>
      </c>
      <c r="N142" s="21" t="str">
        <f>IFERROR(__xludf.DUMMYFUNCTION("IFERROR((GOOGLEFINANCE(C142, ""price"") / INDEX(GOOGLEFINANCE(C142, ""price"", EDATE(TODAY(), -3), TODAY()), 2, 2)) - 1, """")"),"")</f>
        <v/>
      </c>
      <c r="O142" s="21" t="str">
        <f>IFERROR(__xludf.DUMMYFUNCTION("IFERROR((GOOGLEFINANCE(C142, ""price"") / INDEX(GOOGLEFINANCE(C142, ""price"", EDATE(TODAY(), -6), TODAY()), 2, 2)) - 1, """")"),"")</f>
        <v/>
      </c>
      <c r="P142" s="21" t="str">
        <f>IFERROR(__xludf.DUMMYFUNCTION("IFERROR((GOOGLEFINANCE(C142, ""price"") / INDEX(GOOGLEFINANCE(C142, ""price"", EDATE(TODAY(), -12), TODAY()), 2, 2)) - 1, """")"),"")</f>
        <v/>
      </c>
      <c r="Q142" s="6" t="str">
        <f>IFERROR(__xludf.DUMMYFUNCTION("AVERAGE(QUERY(GOOGLEFINANCE(C142, ""price"", TODAY()-80, TODAY()), ""SELECT Col2 WHERE Col2 IS NOT NULL ORDER BY Col1 DESC LIMIT 50"", 0))"),"#N/A")</f>
        <v>#N/A</v>
      </c>
      <c r="R142" s="24" t="str">
        <f>IFERROR(__xludf.DUMMYFUNCTION("IFERROR(
  LET(
    data, QUERY(GOOGLEFINANCE(C142,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GOOGLEFINANCE(C142, ""price"")) * 100,
    IF(calc=0, G142, calc)
  ), 
G142)"),"#N/A")</f>
        <v>#N/A</v>
      </c>
      <c r="S142" s="8" t="s">
        <v>15</v>
      </c>
      <c r="T142" s="26" t="str">
        <f>IFERROR(__xludf.DUMMYFUNCTION("IFERROR(TRANSPOSE(QUERY(IFERROR(SORT(GOOGLEFINANCE(C142, ""price"", WORKDAY(TODAY(), -40), TODAY()), 1, FALSE)), ""select Col2 where Col2 is not null limit 22 label Col2 ''"", 0)), """")"),"")</f>
        <v/>
      </c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8"/>
      <c r="AO142" s="28"/>
      <c r="AP142" s="29"/>
      <c r="AQ142" s="29" t="str">
        <f t="shared" ref="AQ142:BL142" si="146">T142/T$2</f>
        <v>#N/A</v>
      </c>
      <c r="AR142" s="29" t="str">
        <f t="shared" si="146"/>
        <v>#DIV/0!</v>
      </c>
      <c r="AS142" s="29" t="str">
        <f t="shared" si="146"/>
        <v>#DIV/0!</v>
      </c>
      <c r="AT142" s="29" t="str">
        <f t="shared" si="146"/>
        <v>#DIV/0!</v>
      </c>
      <c r="AU142" s="29" t="str">
        <f t="shared" si="146"/>
        <v>#DIV/0!</v>
      </c>
      <c r="AV142" s="29" t="str">
        <f t="shared" si="146"/>
        <v>#DIV/0!</v>
      </c>
      <c r="AW142" s="29" t="str">
        <f t="shared" si="146"/>
        <v>#DIV/0!</v>
      </c>
      <c r="AX142" s="29" t="str">
        <f t="shared" si="146"/>
        <v>#DIV/0!</v>
      </c>
      <c r="AY142" s="29" t="str">
        <f t="shared" si="146"/>
        <v>#DIV/0!</v>
      </c>
      <c r="AZ142" s="29" t="str">
        <f t="shared" si="146"/>
        <v>#DIV/0!</v>
      </c>
      <c r="BA142" s="29" t="str">
        <f t="shared" si="146"/>
        <v>#DIV/0!</v>
      </c>
      <c r="BB142" s="29" t="str">
        <f t="shared" si="146"/>
        <v>#DIV/0!</v>
      </c>
      <c r="BC142" s="29" t="str">
        <f t="shared" si="146"/>
        <v>#DIV/0!</v>
      </c>
      <c r="BD142" s="29" t="str">
        <f t="shared" si="146"/>
        <v>#DIV/0!</v>
      </c>
      <c r="BE142" s="29" t="str">
        <f t="shared" si="146"/>
        <v>#DIV/0!</v>
      </c>
      <c r="BF142" s="29" t="str">
        <f t="shared" si="146"/>
        <v>#DIV/0!</v>
      </c>
      <c r="BG142" s="29" t="str">
        <f t="shared" si="146"/>
        <v>#DIV/0!</v>
      </c>
      <c r="BH142" s="29" t="str">
        <f t="shared" si="146"/>
        <v>#DIV/0!</v>
      </c>
      <c r="BI142" s="29" t="str">
        <f t="shared" si="146"/>
        <v>#DIV/0!</v>
      </c>
      <c r="BJ142" s="29" t="str">
        <f t="shared" si="146"/>
        <v>#DIV/0!</v>
      </c>
      <c r="BK142" s="29" t="str">
        <f t="shared" si="146"/>
        <v>#DIV/0!</v>
      </c>
      <c r="BL142" s="29" t="str">
        <f t="shared" si="146"/>
        <v>#DIV/0!</v>
      </c>
      <c r="BM142" s="29" t="str">
        <f t="shared" si="3"/>
        <v>#DIV/0!</v>
      </c>
    </row>
    <row r="143">
      <c r="A143" s="16" t="str">
        <f>IFERROR(__xludf.DUMMYFUNCTION("IFERROR(SPARKLINE(SORT(MAP(TRANSPOSE(AQ143:BL143), LAMBDA(val, IF(ISNUMBER(val), PERCENTRANK(AQ143:BL143, val)+0.01, 0))), SEQUENCE(COLUMNS(AQ143:BL143)), FALSE), {""charttype"",""column""; ""color"",""chartreuse""; ""ymin"", 0; ""ymax"", 1.01; ""highcolo"&amp;"r"", ""darkgreen""; ""lowcolor"", ""red""}), """")"),"")</f>
        <v/>
      </c>
      <c r="B143" s="17" t="str">
        <f t="shared" si="4"/>
        <v/>
      </c>
      <c r="C143" s="1" t="s">
        <v>3312</v>
      </c>
      <c r="D143" s="30" t="str">
        <f>IFERROR(__xludf.DUMMYFUNCTION("IFERROR(GOOGLEFINANCE(C143, ""NAME""))"),"Integra Resources Corp")</f>
        <v>Integra Resources Corp</v>
      </c>
      <c r="E143" s="30" t="s">
        <v>3008</v>
      </c>
      <c r="F143" s="33" t="str">
        <f>IFERROR(__xludf.DUMMYFUNCTION("( (GOOGLEFINANCE(C143, ""price"") - Q143) / Q143 ) / (R143 / 100)"),"Loading...")</f>
        <v>Loading...</v>
      </c>
      <c r="G143" s="20" t="str">
        <f>IFERROR(__xludf.DUMMYFUNCTION("AVERAGE(ARRAYFORMULA(100 * (QUERY(GOOGLEFINANCE(C143, ""high"", TODAY()-40, TODAY()), ""SELECT Col2 WHERE Col2 IS NOT NULL ORDER BY Col1 DESC LIMIT 20"", 0) / QUERY(GOOGLEFINANCE(C143, ""low"", TODAY()-40, TODAY()), ""SELECT Col2 WHERE Col2 IS NOT NULL OR"&amp;"DER BY Col1 DESC LIMIT 20"", 0) - 1)))"),"#N/A")</f>
        <v>#N/A</v>
      </c>
      <c r="H143" s="35" t="str">
        <f t="shared" si="35"/>
        <v>Illiquid</v>
      </c>
      <c r="I143" s="35" t="str">
        <f t="shared" si="7"/>
        <v>RVol Required</v>
      </c>
      <c r="J143" s="37">
        <f>IFERROR(__xludf.DUMMYFUNCTION("IFERROR(
  IF(C143="""",, 
    IFERROR(
      GOOGLEFINANCE(C143, ""price"") * GOOGLEFINANCE(C143, ""volumeavg""), 
      GOOGLEFINANCE(C143, ""price"") * AVERAGE(QUERY(GOOGLEFINANCE(C143, ""volume"", TODAY()-40, TODAY()), ""SELECT Col2 WHERE Col2 IS NOT "&amp;"NULL ORDER BY Col1 DESC LIMIT 20"", 0))
    )
  ), 
"""")"),4184617.95)</f>
        <v>4184617.95</v>
      </c>
      <c r="K143" s="21">
        <f>IFERROR(__xludf.DUMMYFUNCTION("IFERROR(GOOGLEFINANCE(C143, ""changepct"") / 100, """")"),0.0040999999999999995)</f>
        <v>0.0041</v>
      </c>
      <c r="L143" s="21" t="str">
        <f>IFERROR(__xludf.DUMMYFUNCTION("IFERROR((GOOGLEFINANCE(C143, ""price"") / INDEX(GOOGLEFINANCE(C143, ""price"", TODAY()-7, TODAY()), 2, 2)) - 1, """")"),"")</f>
        <v/>
      </c>
      <c r="M143" s="21" t="str">
        <f>IFERROR(__xludf.DUMMYFUNCTION("IFERROR((GOOGLEFINANCE(C143, ""price"") / INDEX(GOOGLEFINANCE(C143, ""price"", EDATE(TODAY(), -1), TODAY()), 2, 2)) - 1, """")"),"")</f>
        <v/>
      </c>
      <c r="N143" s="21" t="str">
        <f>IFERROR(__xludf.DUMMYFUNCTION("IFERROR((GOOGLEFINANCE(C143, ""price"") / INDEX(GOOGLEFINANCE(C143, ""price"", EDATE(TODAY(), -3), TODAY()), 2, 2)) - 1, """")"),"")</f>
        <v/>
      </c>
      <c r="O143" s="21" t="str">
        <f>IFERROR(__xludf.DUMMYFUNCTION("IFERROR((GOOGLEFINANCE(C143, ""price"") / INDEX(GOOGLEFINANCE(C143, ""price"", EDATE(TODAY(), -6), TODAY()), 2, 2)) - 1, """")"),"")</f>
        <v/>
      </c>
      <c r="P143" s="21" t="str">
        <f>IFERROR(__xludf.DUMMYFUNCTION("IFERROR((GOOGLEFINANCE(C143, ""price"") / INDEX(GOOGLEFINANCE(C143, ""price"", EDATE(TODAY(), -12), TODAY()), 2, 2)) - 1, """")"),"")</f>
        <v/>
      </c>
      <c r="Q143" s="6" t="str">
        <f>IFERROR(__xludf.DUMMYFUNCTION("AVERAGE(QUERY(GOOGLEFINANCE(C143, ""price"", TODAY()-80, TODAY()), ""SELECT Col2 WHERE Col2 IS NOT NULL ORDER BY Col1 DESC LIMIT 50"", 0))"),"#N/A")</f>
        <v>#N/A</v>
      </c>
      <c r="R143" s="24" t="str">
        <f>IFERROR(__xludf.DUMMYFUNCTION("IFERROR(
  LET(
    data, QUERY(GOOGLEFINANCE(C143,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GOOGLEFINANCE(C143, ""price"")) * 100,
    IF(calc=0, G143, calc)
  ), 
G143)"),"#N/A")</f>
        <v>#N/A</v>
      </c>
      <c r="S143" s="8" t="s">
        <v>15</v>
      </c>
      <c r="T143" s="26" t="str">
        <f>IFERROR(__xludf.DUMMYFUNCTION("IFERROR(TRANSPOSE(QUERY(IFERROR(SORT(GOOGLEFINANCE(C143, ""price"", WORKDAY(TODAY(), -40), TODAY()), 1, FALSE)), ""select Col2 where Col2 is not null limit 22 label Col2 ''"", 0)), """")"),"")</f>
        <v/>
      </c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8"/>
      <c r="AO143" s="28"/>
      <c r="AP143" s="29"/>
      <c r="AQ143" s="29" t="str">
        <f t="shared" ref="AQ143:BL143" si="147">T143/T$2</f>
        <v>#N/A</v>
      </c>
      <c r="AR143" s="29" t="str">
        <f t="shared" si="147"/>
        <v>#DIV/0!</v>
      </c>
      <c r="AS143" s="29" t="str">
        <f t="shared" si="147"/>
        <v>#DIV/0!</v>
      </c>
      <c r="AT143" s="29" t="str">
        <f t="shared" si="147"/>
        <v>#DIV/0!</v>
      </c>
      <c r="AU143" s="29" t="str">
        <f t="shared" si="147"/>
        <v>#DIV/0!</v>
      </c>
      <c r="AV143" s="29" t="str">
        <f t="shared" si="147"/>
        <v>#DIV/0!</v>
      </c>
      <c r="AW143" s="29" t="str">
        <f t="shared" si="147"/>
        <v>#DIV/0!</v>
      </c>
      <c r="AX143" s="29" t="str">
        <f t="shared" si="147"/>
        <v>#DIV/0!</v>
      </c>
      <c r="AY143" s="29" t="str">
        <f t="shared" si="147"/>
        <v>#DIV/0!</v>
      </c>
      <c r="AZ143" s="29" t="str">
        <f t="shared" si="147"/>
        <v>#DIV/0!</v>
      </c>
      <c r="BA143" s="29" t="str">
        <f t="shared" si="147"/>
        <v>#DIV/0!</v>
      </c>
      <c r="BB143" s="29" t="str">
        <f t="shared" si="147"/>
        <v>#DIV/0!</v>
      </c>
      <c r="BC143" s="29" t="str">
        <f t="shared" si="147"/>
        <v>#DIV/0!</v>
      </c>
      <c r="BD143" s="29" t="str">
        <f t="shared" si="147"/>
        <v>#DIV/0!</v>
      </c>
      <c r="BE143" s="29" t="str">
        <f t="shared" si="147"/>
        <v>#DIV/0!</v>
      </c>
      <c r="BF143" s="29" t="str">
        <f t="shared" si="147"/>
        <v>#DIV/0!</v>
      </c>
      <c r="BG143" s="29" t="str">
        <f t="shared" si="147"/>
        <v>#DIV/0!</v>
      </c>
      <c r="BH143" s="29" t="str">
        <f t="shared" si="147"/>
        <v>#DIV/0!</v>
      </c>
      <c r="BI143" s="29" t="str">
        <f t="shared" si="147"/>
        <v>#DIV/0!</v>
      </c>
      <c r="BJ143" s="29" t="str">
        <f t="shared" si="147"/>
        <v>#DIV/0!</v>
      </c>
      <c r="BK143" s="29" t="str">
        <f t="shared" si="147"/>
        <v>#DIV/0!</v>
      </c>
      <c r="BL143" s="29" t="str">
        <f t="shared" si="147"/>
        <v>#DIV/0!</v>
      </c>
      <c r="BM143" s="29" t="str">
        <f t="shared" si="3"/>
        <v>#DIV/0!</v>
      </c>
    </row>
    <row r="144">
      <c r="A144" s="16" t="str">
        <f>IFERROR(__xludf.DUMMYFUNCTION("IFERROR(SPARKLINE(SORT(MAP(TRANSPOSE(AQ144:BL144), LAMBDA(val, IF(ISNUMBER(val), PERCENTRANK(AQ144:BL144, val)+0.01, 0))), SEQUENCE(COLUMNS(AQ144:BL144)), FALSE), {""charttype"",""column""; ""color"",""chartreuse""; ""ymin"", 0; ""ymax"", 1.01; ""highcolo"&amp;"r"", ""darkgreen""; ""lowcolor"", ""red""}), """")"),"")</f>
        <v/>
      </c>
      <c r="B144" s="17" t="str">
        <f t="shared" si="4"/>
        <v/>
      </c>
      <c r="C144" s="1" t="s">
        <v>3313</v>
      </c>
      <c r="D144" s="30" t="str">
        <f>IFERROR(__xludf.DUMMYFUNCTION("IFERROR(GOOGLEFINANCE(C144, ""NAME""))"),"Dow Inc")</f>
        <v>Dow Inc</v>
      </c>
      <c r="E144" s="30" t="s">
        <v>3035</v>
      </c>
      <c r="F144" s="33" t="str">
        <f>IFERROR(__xludf.DUMMYFUNCTION("( (GOOGLEFINANCE(C144, ""price"") - Q144) / Q144 ) / (R144 / 100)"),"Loading...")</f>
        <v>Loading...</v>
      </c>
      <c r="G144" s="20" t="str">
        <f>IFERROR(__xludf.DUMMYFUNCTION("AVERAGE(ARRAYFORMULA(100 * (QUERY(GOOGLEFINANCE(C144, ""high"", TODAY()-40, TODAY()), ""SELECT Col2 WHERE Col2 IS NOT NULL ORDER BY Col1 DESC LIMIT 20"", 0) / QUERY(GOOGLEFINANCE(C144, ""low"", TODAY()-40, TODAY()), ""SELECT Col2 WHERE Col2 IS NOT NULL OR"&amp;"DER BY Col1 DESC LIMIT 20"", 0) - 1)))"),"#N/A")</f>
        <v>#N/A</v>
      </c>
      <c r="H144" s="35" t="str">
        <f t="shared" si="35"/>
        <v>Liquid</v>
      </c>
      <c r="I144" s="35" t="str">
        <f t="shared" si="7"/>
        <v>RVol Required</v>
      </c>
      <c r="J144" s="37">
        <f>IFERROR(__xludf.DUMMYFUNCTION("IFERROR(
  IF(C144="""",, 
    IFERROR(
      GOOGLEFINANCE(C144, ""price"") * GOOGLEFINANCE(C144, ""volumeavg""), 
      GOOGLEFINANCE(C144, ""price"") * AVERAGE(QUERY(GOOGLEFINANCE(C144, ""volume"", TODAY()-40, TODAY()), ""SELECT Col2 WHERE Col2 IS NOT "&amp;"NULL ORDER BY Col1 DESC LIMIT 20"", 0))
    )
  ), 
"""")"),2.6327723969E8)</f>
        <v>263277239.7</v>
      </c>
      <c r="K144" s="21">
        <f>IFERROR(__xludf.DUMMYFUNCTION("IFERROR(GOOGLEFINANCE(C144, ""changepct"") / 100, """")"),0.0091)</f>
        <v>0.0091</v>
      </c>
      <c r="L144" s="21" t="str">
        <f>IFERROR(__xludf.DUMMYFUNCTION("IFERROR((GOOGLEFINANCE(C144, ""price"") / INDEX(GOOGLEFINANCE(C144, ""price"", TODAY()-7, TODAY()), 2, 2)) - 1, """")"),"")</f>
        <v/>
      </c>
      <c r="M144" s="21" t="str">
        <f>IFERROR(__xludf.DUMMYFUNCTION("IFERROR((GOOGLEFINANCE(C144, ""price"") / INDEX(GOOGLEFINANCE(C144, ""price"", EDATE(TODAY(), -1), TODAY()), 2, 2)) - 1, """")"),"")</f>
        <v/>
      </c>
      <c r="N144" s="21" t="str">
        <f>IFERROR(__xludf.DUMMYFUNCTION("IFERROR((GOOGLEFINANCE(C144, ""price"") / INDEX(GOOGLEFINANCE(C144, ""price"", EDATE(TODAY(), -3), TODAY()), 2, 2)) - 1, """")"),"")</f>
        <v/>
      </c>
      <c r="O144" s="21" t="str">
        <f>IFERROR(__xludf.DUMMYFUNCTION("IFERROR((GOOGLEFINANCE(C144, ""price"") / INDEX(GOOGLEFINANCE(C144, ""price"", EDATE(TODAY(), -6), TODAY()), 2, 2)) - 1, """")"),"")</f>
        <v/>
      </c>
      <c r="P144" s="21" t="str">
        <f>IFERROR(__xludf.DUMMYFUNCTION("IFERROR((GOOGLEFINANCE(C144, ""price"") / INDEX(GOOGLEFINANCE(C144, ""price"", EDATE(TODAY(), -12), TODAY()), 2, 2)) - 1, """")"),"")</f>
        <v/>
      </c>
      <c r="Q144" s="6" t="str">
        <f>IFERROR(__xludf.DUMMYFUNCTION("AVERAGE(QUERY(GOOGLEFINANCE(C144, ""price"", TODAY()-80, TODAY()), ""SELECT Col2 WHERE Col2 IS NOT NULL ORDER BY Col1 DESC LIMIT 50"", 0))"),"#N/A")</f>
        <v>#N/A</v>
      </c>
      <c r="R144" s="24" t="str">
        <f>IFERROR(__xludf.DUMMYFUNCTION("IFERROR(
  LET(
    data, QUERY(GOOGLEFINANCE(C144,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GOOGLEFINANCE(C144, ""price"")) * 100,
    IF(calc=0, G144, calc)
  ), 
G144)"),"#N/A")</f>
        <v>#N/A</v>
      </c>
      <c r="S144" s="8" t="s">
        <v>15</v>
      </c>
      <c r="T144" s="26" t="str">
        <f>IFERROR(__xludf.DUMMYFUNCTION("IFERROR(TRANSPOSE(QUERY(IFERROR(SORT(GOOGLEFINANCE(C144, ""price"", WORKDAY(TODAY(), -40), TODAY()), 1, FALSE)), ""select Col2 where Col2 is not null limit 22 label Col2 ''"", 0)), """")"),"")</f>
        <v/>
      </c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8"/>
      <c r="AO144" s="28"/>
      <c r="AP144" s="29"/>
      <c r="AQ144" s="29" t="str">
        <f t="shared" ref="AQ144:BL144" si="148">T144/T$2</f>
        <v>#N/A</v>
      </c>
      <c r="AR144" s="29" t="str">
        <f t="shared" si="148"/>
        <v>#DIV/0!</v>
      </c>
      <c r="AS144" s="29" t="str">
        <f t="shared" si="148"/>
        <v>#DIV/0!</v>
      </c>
      <c r="AT144" s="29" t="str">
        <f t="shared" si="148"/>
        <v>#DIV/0!</v>
      </c>
      <c r="AU144" s="29" t="str">
        <f t="shared" si="148"/>
        <v>#DIV/0!</v>
      </c>
      <c r="AV144" s="29" t="str">
        <f t="shared" si="148"/>
        <v>#DIV/0!</v>
      </c>
      <c r="AW144" s="29" t="str">
        <f t="shared" si="148"/>
        <v>#DIV/0!</v>
      </c>
      <c r="AX144" s="29" t="str">
        <f t="shared" si="148"/>
        <v>#DIV/0!</v>
      </c>
      <c r="AY144" s="29" t="str">
        <f t="shared" si="148"/>
        <v>#DIV/0!</v>
      </c>
      <c r="AZ144" s="29" t="str">
        <f t="shared" si="148"/>
        <v>#DIV/0!</v>
      </c>
      <c r="BA144" s="29" t="str">
        <f t="shared" si="148"/>
        <v>#DIV/0!</v>
      </c>
      <c r="BB144" s="29" t="str">
        <f t="shared" si="148"/>
        <v>#DIV/0!</v>
      </c>
      <c r="BC144" s="29" t="str">
        <f t="shared" si="148"/>
        <v>#DIV/0!</v>
      </c>
      <c r="BD144" s="29" t="str">
        <f t="shared" si="148"/>
        <v>#DIV/0!</v>
      </c>
      <c r="BE144" s="29" t="str">
        <f t="shared" si="148"/>
        <v>#DIV/0!</v>
      </c>
      <c r="BF144" s="29" t="str">
        <f t="shared" si="148"/>
        <v>#DIV/0!</v>
      </c>
      <c r="BG144" s="29" t="str">
        <f t="shared" si="148"/>
        <v>#DIV/0!</v>
      </c>
      <c r="BH144" s="29" t="str">
        <f t="shared" si="148"/>
        <v>#DIV/0!</v>
      </c>
      <c r="BI144" s="29" t="str">
        <f t="shared" si="148"/>
        <v>#DIV/0!</v>
      </c>
      <c r="BJ144" s="29" t="str">
        <f t="shared" si="148"/>
        <v>#DIV/0!</v>
      </c>
      <c r="BK144" s="29" t="str">
        <f t="shared" si="148"/>
        <v>#DIV/0!</v>
      </c>
      <c r="BL144" s="29" t="str">
        <f t="shared" si="148"/>
        <v>#DIV/0!</v>
      </c>
      <c r="BM144" s="29" t="str">
        <f t="shared" si="3"/>
        <v>#DIV/0!</v>
      </c>
    </row>
    <row r="145">
      <c r="A145" s="16" t="str">
        <f>IFERROR(__xludf.DUMMYFUNCTION("IFERROR(SPARKLINE(SORT(MAP(TRANSPOSE(AQ145:BL145), LAMBDA(val, IF(ISNUMBER(val), PERCENTRANK(AQ145:BL145, val)+0.01, 0))), SEQUENCE(COLUMNS(AQ145:BL145)), FALSE), {""charttype"",""column""; ""color"",""chartreuse""; ""ymin"", 0; ""ymax"", 1.01; ""highcolo"&amp;"r"", ""darkgreen""; ""lowcolor"", ""red""}), """")"),"")</f>
        <v/>
      </c>
      <c r="B145" s="17" t="str">
        <f t="shared" si="4"/>
        <v/>
      </c>
      <c r="C145" s="1" t="s">
        <v>3314</v>
      </c>
      <c r="D145" s="30" t="str">
        <f>IFERROR(__xludf.DUMMYFUNCTION("IFERROR(GOOGLEFINANCE(C145, ""NAME""))"),"Chemours Co")</f>
        <v>Chemours Co</v>
      </c>
      <c r="E145" s="30" t="s">
        <v>2995</v>
      </c>
      <c r="F145" s="33" t="str">
        <f>IFERROR(__xludf.DUMMYFUNCTION("( (GOOGLEFINANCE(C145, ""price"") - Q145) / Q145 ) / (R145 / 100)"),"Loading...")</f>
        <v>Loading...</v>
      </c>
      <c r="G145" s="20" t="str">
        <f>IFERROR(__xludf.DUMMYFUNCTION("AVERAGE(ARRAYFORMULA(100 * (QUERY(GOOGLEFINANCE(C145, ""high"", TODAY()-40, TODAY()), ""SELECT Col2 WHERE Col2 IS NOT NULL ORDER BY Col1 DESC LIMIT 20"", 0) / QUERY(GOOGLEFINANCE(C145, ""low"", TODAY()-40, TODAY()), ""SELECT Col2 WHERE Col2 IS NOT NULL OR"&amp;"DER BY Col1 DESC LIMIT 20"", 0) - 1)))"),"#N/A")</f>
        <v>#N/A</v>
      </c>
      <c r="H145" s="35" t="str">
        <f t="shared" si="35"/>
        <v>Illiquid</v>
      </c>
      <c r="I145" s="35" t="str">
        <f t="shared" si="7"/>
        <v>RVol Required</v>
      </c>
      <c r="J145" s="37">
        <f>IFERROR(__xludf.DUMMYFUNCTION("IFERROR(
  IF(C145="""",, 
    IFERROR(
      GOOGLEFINANCE(C145, ""price"") * GOOGLEFINANCE(C145, ""volumeavg""), 
      GOOGLEFINANCE(C145, ""price"") * AVERAGE(QUERY(GOOGLEFINANCE(C145, ""volume"", TODAY()-40, TODAY()), ""SELECT Col2 WHERE Col2 IS NOT "&amp;"NULL ORDER BY Col1 DESC LIMIT 20"", 0))
    )
  ), 
"""")"),2.520229348E7)</f>
        <v>25202293.48</v>
      </c>
      <c r="K145" s="21">
        <f>IFERROR(__xludf.DUMMYFUNCTION("IFERROR(GOOGLEFINANCE(C145, ""changepct"") / 100, """")"),-0.0132)</f>
        <v>-0.0132</v>
      </c>
      <c r="L145" s="21" t="str">
        <f>IFERROR(__xludf.DUMMYFUNCTION("IFERROR((GOOGLEFINANCE(C145, ""price"") / INDEX(GOOGLEFINANCE(C145, ""price"", TODAY()-7, TODAY()), 2, 2)) - 1, """")"),"")</f>
        <v/>
      </c>
      <c r="M145" s="21" t="str">
        <f>IFERROR(__xludf.DUMMYFUNCTION("IFERROR((GOOGLEFINANCE(C145, ""price"") / INDEX(GOOGLEFINANCE(C145, ""price"", EDATE(TODAY(), -1), TODAY()), 2, 2)) - 1, """")"),"")</f>
        <v/>
      </c>
      <c r="N145" s="21" t="str">
        <f>IFERROR(__xludf.DUMMYFUNCTION("IFERROR((GOOGLEFINANCE(C145, ""price"") / INDEX(GOOGLEFINANCE(C145, ""price"", EDATE(TODAY(), -3), TODAY()), 2, 2)) - 1, """")"),"")</f>
        <v/>
      </c>
      <c r="O145" s="21" t="str">
        <f>IFERROR(__xludf.DUMMYFUNCTION("IFERROR((GOOGLEFINANCE(C145, ""price"") / INDEX(GOOGLEFINANCE(C145, ""price"", EDATE(TODAY(), -6), TODAY()), 2, 2)) - 1, """")"),"")</f>
        <v/>
      </c>
      <c r="P145" s="21" t="str">
        <f>IFERROR(__xludf.DUMMYFUNCTION("IFERROR((GOOGLEFINANCE(C145, ""price"") / INDEX(GOOGLEFINANCE(C145, ""price"", EDATE(TODAY(), -12), TODAY()), 2, 2)) - 1, """")"),"")</f>
        <v/>
      </c>
      <c r="Q145" s="6" t="str">
        <f>IFERROR(__xludf.DUMMYFUNCTION("AVERAGE(QUERY(GOOGLEFINANCE(C145, ""price"", TODAY()-80, TODAY()), ""SELECT Col2 WHERE Col2 IS NOT NULL ORDER BY Col1 DESC LIMIT 50"", 0))"),"#N/A")</f>
        <v>#N/A</v>
      </c>
      <c r="R145" s="24" t="str">
        <f>IFERROR(__xludf.DUMMYFUNCTION("IFERROR(
  LET(
    data, QUERY(GOOGLEFINANCE(C145,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GOOGLEFINANCE(C145, ""price"")) * 100,
    IF(calc=0, G145, calc)
  ), 
G145)"),"#N/A")</f>
        <v>#N/A</v>
      </c>
      <c r="S145" s="8" t="s">
        <v>15</v>
      </c>
      <c r="T145" s="26" t="str">
        <f>IFERROR(__xludf.DUMMYFUNCTION("IFERROR(TRANSPOSE(QUERY(IFERROR(SORT(GOOGLEFINANCE(C145, ""price"", WORKDAY(TODAY(), -40), TODAY()), 1, FALSE)), ""select Col2 where Col2 is not null limit 22 label Col2 ''"", 0)), """")"),"")</f>
        <v/>
      </c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8"/>
      <c r="AO145" s="28"/>
      <c r="AP145" s="29"/>
      <c r="AQ145" s="29" t="str">
        <f t="shared" ref="AQ145:BL145" si="149">T145/T$2</f>
        <v>#N/A</v>
      </c>
      <c r="AR145" s="29" t="str">
        <f t="shared" si="149"/>
        <v>#DIV/0!</v>
      </c>
      <c r="AS145" s="29" t="str">
        <f t="shared" si="149"/>
        <v>#DIV/0!</v>
      </c>
      <c r="AT145" s="29" t="str">
        <f t="shared" si="149"/>
        <v>#DIV/0!</v>
      </c>
      <c r="AU145" s="29" t="str">
        <f t="shared" si="149"/>
        <v>#DIV/0!</v>
      </c>
      <c r="AV145" s="29" t="str">
        <f t="shared" si="149"/>
        <v>#DIV/0!</v>
      </c>
      <c r="AW145" s="29" t="str">
        <f t="shared" si="149"/>
        <v>#DIV/0!</v>
      </c>
      <c r="AX145" s="29" t="str">
        <f t="shared" si="149"/>
        <v>#DIV/0!</v>
      </c>
      <c r="AY145" s="29" t="str">
        <f t="shared" si="149"/>
        <v>#DIV/0!</v>
      </c>
      <c r="AZ145" s="29" t="str">
        <f t="shared" si="149"/>
        <v>#DIV/0!</v>
      </c>
      <c r="BA145" s="29" t="str">
        <f t="shared" si="149"/>
        <v>#DIV/0!</v>
      </c>
      <c r="BB145" s="29" t="str">
        <f t="shared" si="149"/>
        <v>#DIV/0!</v>
      </c>
      <c r="BC145" s="29" t="str">
        <f t="shared" si="149"/>
        <v>#DIV/0!</v>
      </c>
      <c r="BD145" s="29" t="str">
        <f t="shared" si="149"/>
        <v>#DIV/0!</v>
      </c>
      <c r="BE145" s="29" t="str">
        <f t="shared" si="149"/>
        <v>#DIV/0!</v>
      </c>
      <c r="BF145" s="29" t="str">
        <f t="shared" si="149"/>
        <v>#DIV/0!</v>
      </c>
      <c r="BG145" s="29" t="str">
        <f t="shared" si="149"/>
        <v>#DIV/0!</v>
      </c>
      <c r="BH145" s="29" t="str">
        <f t="shared" si="149"/>
        <v>#DIV/0!</v>
      </c>
      <c r="BI145" s="29" t="str">
        <f t="shared" si="149"/>
        <v>#DIV/0!</v>
      </c>
      <c r="BJ145" s="29" t="str">
        <f t="shared" si="149"/>
        <v>#DIV/0!</v>
      </c>
      <c r="BK145" s="29" t="str">
        <f t="shared" si="149"/>
        <v>#DIV/0!</v>
      </c>
      <c r="BL145" s="29" t="str">
        <f t="shared" si="149"/>
        <v>#DIV/0!</v>
      </c>
      <c r="BM145" s="29" t="str">
        <f t="shared" si="3"/>
        <v>#DIV/0!</v>
      </c>
    </row>
    <row r="146">
      <c r="A146" s="16" t="str">
        <f>IFERROR(__xludf.DUMMYFUNCTION("IFERROR(SPARKLINE(SORT(MAP(TRANSPOSE(AQ146:BL146), LAMBDA(val, IF(ISNUMBER(val), PERCENTRANK(AQ146:BL146, val)+0.01, 0))), SEQUENCE(COLUMNS(AQ146:BL146)), FALSE), {""charttype"",""column""; ""color"",""chartreuse""; ""ymin"", 0; ""ymax"", 1.01; ""highcolo"&amp;"r"", ""darkgreen""; ""lowcolor"", ""red""}), """")"),"")</f>
        <v/>
      </c>
      <c r="B146" s="17" t="str">
        <f t="shared" si="4"/>
        <v/>
      </c>
      <c r="C146" s="1" t="s">
        <v>3315</v>
      </c>
      <c r="D146" s="30" t="str">
        <f>IFERROR(__xludf.DUMMYFUNCTION("IFERROR(GOOGLEFINANCE(C146, ""NAME""))"),"Orion SA")</f>
        <v>Orion SA</v>
      </c>
      <c r="E146" s="30" t="s">
        <v>2995</v>
      </c>
      <c r="F146" s="33" t="str">
        <f>IFERROR(__xludf.DUMMYFUNCTION("( (GOOGLEFINANCE(C146, ""price"") - Q146) / Q146 ) / (R146 / 100)"),"Loading...")</f>
        <v>Loading...</v>
      </c>
      <c r="G146" s="20" t="str">
        <f>IFERROR(__xludf.DUMMYFUNCTION("AVERAGE(ARRAYFORMULA(100 * (QUERY(GOOGLEFINANCE(C146, ""high"", TODAY()-40, TODAY()), ""SELECT Col2 WHERE Col2 IS NOT NULL ORDER BY Col1 DESC LIMIT 20"", 0) / QUERY(GOOGLEFINANCE(C146, ""low"", TODAY()-40, TODAY()), ""SELECT Col2 WHERE Col2 IS NOT NULL OR"&amp;"DER BY Col1 DESC LIMIT 20"", 0) - 1)))"),"#N/A")</f>
        <v>#N/A</v>
      </c>
      <c r="H146" s="35" t="str">
        <f t="shared" si="35"/>
        <v>Illiquid</v>
      </c>
      <c r="I146" s="35" t="str">
        <f t="shared" si="7"/>
        <v>RVol Required</v>
      </c>
      <c r="J146" s="37">
        <f>IFERROR(__xludf.DUMMYFUNCTION("IFERROR(
  IF(C146="""",, 
    IFERROR(
      GOOGLEFINANCE(C146, ""price"") * GOOGLEFINANCE(C146, ""volumeavg""), 
      GOOGLEFINANCE(C146, ""price"") * AVERAGE(QUERY(GOOGLEFINANCE(C146, ""volume"", TODAY()-40, TODAY()), ""SELECT Col2 WHERE Col2 IS NOT "&amp;"NULL ORDER BY Col1 DESC LIMIT 20"", 0))
    )
  ), 
"""")"),2179884.12)</f>
        <v>2179884.12</v>
      </c>
      <c r="K146" s="21">
        <f>IFERROR(__xludf.DUMMYFUNCTION("IFERROR(GOOGLEFINANCE(C146, ""changepct"") / 100, """")"),-0.0464)</f>
        <v>-0.0464</v>
      </c>
      <c r="L146" s="21" t="str">
        <f>IFERROR(__xludf.DUMMYFUNCTION("IFERROR((GOOGLEFINANCE(C146, ""price"") / INDEX(GOOGLEFINANCE(C146, ""price"", TODAY()-7, TODAY()), 2, 2)) - 1, """")"),"")</f>
        <v/>
      </c>
      <c r="M146" s="21" t="str">
        <f>IFERROR(__xludf.DUMMYFUNCTION("IFERROR((GOOGLEFINANCE(C146, ""price"") / INDEX(GOOGLEFINANCE(C146, ""price"", EDATE(TODAY(), -1), TODAY()), 2, 2)) - 1, """")"),"")</f>
        <v/>
      </c>
      <c r="N146" s="21" t="str">
        <f>IFERROR(__xludf.DUMMYFUNCTION("IFERROR((GOOGLEFINANCE(C146, ""price"") / INDEX(GOOGLEFINANCE(C146, ""price"", EDATE(TODAY(), -3), TODAY()), 2, 2)) - 1, """")"),"")</f>
        <v/>
      </c>
      <c r="O146" s="21" t="str">
        <f>IFERROR(__xludf.DUMMYFUNCTION("IFERROR((GOOGLEFINANCE(C146, ""price"") / INDEX(GOOGLEFINANCE(C146, ""price"", EDATE(TODAY(), -6), TODAY()), 2, 2)) - 1, """")"),"")</f>
        <v/>
      </c>
      <c r="P146" s="21" t="str">
        <f>IFERROR(__xludf.DUMMYFUNCTION("IFERROR((GOOGLEFINANCE(C146, ""price"") / INDEX(GOOGLEFINANCE(C146, ""price"", EDATE(TODAY(), -12), TODAY()), 2, 2)) - 1, """")"),"")</f>
        <v/>
      </c>
      <c r="Q146" s="6" t="str">
        <f>IFERROR(__xludf.DUMMYFUNCTION("AVERAGE(QUERY(GOOGLEFINANCE(C146, ""price"", TODAY()-80, TODAY()), ""SELECT Col2 WHERE Col2 IS NOT NULL ORDER BY Col1 DESC LIMIT 50"", 0))"),"#N/A")</f>
        <v>#N/A</v>
      </c>
      <c r="R146" s="24" t="str">
        <f>IFERROR(__xludf.DUMMYFUNCTION("IFERROR(
  LET(
    data, QUERY(GOOGLEFINANCE(C146,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GOOGLEFINANCE(C146, ""price"")) * 100,
    IF(calc=0, G146, calc)
  ), 
G146)"),"#N/A")</f>
        <v>#N/A</v>
      </c>
      <c r="S146" s="8" t="s">
        <v>15</v>
      </c>
      <c r="T146" s="26" t="str">
        <f>IFERROR(__xludf.DUMMYFUNCTION("IFERROR(TRANSPOSE(QUERY(IFERROR(SORT(GOOGLEFINANCE(C146, ""price"", WORKDAY(TODAY(), -40), TODAY()), 1, FALSE)), ""select Col2 where Col2 is not null limit 22 label Col2 ''"", 0)), """")"),"")</f>
        <v/>
      </c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8"/>
      <c r="AO146" s="28"/>
      <c r="AP146" s="29"/>
      <c r="AQ146" s="29" t="str">
        <f t="shared" ref="AQ146:BL146" si="150">T146/T$2</f>
        <v>#N/A</v>
      </c>
      <c r="AR146" s="29" t="str">
        <f t="shared" si="150"/>
        <v>#DIV/0!</v>
      </c>
      <c r="AS146" s="29" t="str">
        <f t="shared" si="150"/>
        <v>#DIV/0!</v>
      </c>
      <c r="AT146" s="29" t="str">
        <f t="shared" si="150"/>
        <v>#DIV/0!</v>
      </c>
      <c r="AU146" s="29" t="str">
        <f t="shared" si="150"/>
        <v>#DIV/0!</v>
      </c>
      <c r="AV146" s="29" t="str">
        <f t="shared" si="150"/>
        <v>#DIV/0!</v>
      </c>
      <c r="AW146" s="29" t="str">
        <f t="shared" si="150"/>
        <v>#DIV/0!</v>
      </c>
      <c r="AX146" s="29" t="str">
        <f t="shared" si="150"/>
        <v>#DIV/0!</v>
      </c>
      <c r="AY146" s="29" t="str">
        <f t="shared" si="150"/>
        <v>#DIV/0!</v>
      </c>
      <c r="AZ146" s="29" t="str">
        <f t="shared" si="150"/>
        <v>#DIV/0!</v>
      </c>
      <c r="BA146" s="29" t="str">
        <f t="shared" si="150"/>
        <v>#DIV/0!</v>
      </c>
      <c r="BB146" s="29" t="str">
        <f t="shared" si="150"/>
        <v>#DIV/0!</v>
      </c>
      <c r="BC146" s="29" t="str">
        <f t="shared" si="150"/>
        <v>#DIV/0!</v>
      </c>
      <c r="BD146" s="29" t="str">
        <f t="shared" si="150"/>
        <v>#DIV/0!</v>
      </c>
      <c r="BE146" s="29" t="str">
        <f t="shared" si="150"/>
        <v>#DIV/0!</v>
      </c>
      <c r="BF146" s="29" t="str">
        <f t="shared" si="150"/>
        <v>#DIV/0!</v>
      </c>
      <c r="BG146" s="29" t="str">
        <f t="shared" si="150"/>
        <v>#DIV/0!</v>
      </c>
      <c r="BH146" s="29" t="str">
        <f t="shared" si="150"/>
        <v>#DIV/0!</v>
      </c>
      <c r="BI146" s="29" t="str">
        <f t="shared" si="150"/>
        <v>#DIV/0!</v>
      </c>
      <c r="BJ146" s="29" t="str">
        <f t="shared" si="150"/>
        <v>#DIV/0!</v>
      </c>
      <c r="BK146" s="29" t="str">
        <f t="shared" si="150"/>
        <v>#DIV/0!</v>
      </c>
      <c r="BL146" s="29" t="str">
        <f t="shared" si="150"/>
        <v>#DIV/0!</v>
      </c>
      <c r="BM146" s="29" t="str">
        <f t="shared" si="3"/>
        <v>#DIV/0!</v>
      </c>
    </row>
    <row r="147">
      <c r="A147" s="16" t="str">
        <f>IFERROR(__xludf.DUMMYFUNCTION("IFERROR(SPARKLINE(SORT(MAP(TRANSPOSE(AQ147:BL147), LAMBDA(val, IF(ISNUMBER(val), PERCENTRANK(AQ147:BL147, val)+0.01, 0))), SEQUENCE(COLUMNS(AQ147:BL147)), FALSE), {""charttype"",""column""; ""color"",""chartreuse""; ""ymin"", 0; ""ymax"", 1.01; ""highcolo"&amp;"r"", ""darkgreen""; ""lowcolor"", ""red""}), """")"),"")</f>
        <v/>
      </c>
      <c r="B147" s="17" t="str">
        <f t="shared" si="4"/>
        <v/>
      </c>
      <c r="C147" s="1" t="s">
        <v>3316</v>
      </c>
      <c r="D147" s="30" t="str">
        <f>IFERROR(__xludf.DUMMYFUNCTION("IFERROR(GOOGLEFINANCE(C147, ""NAME""))"),"Critical Metals Corp")</f>
        <v>Critical Metals Corp</v>
      </c>
      <c r="E147" s="30" t="s">
        <v>2935</v>
      </c>
      <c r="F147" s="33" t="str">
        <f>IFERROR(__xludf.DUMMYFUNCTION("( (GOOGLEFINANCE(C147, ""price"") - Q147) / Q147 ) / (R147 / 100)"),"Loading...")</f>
        <v>Loading...</v>
      </c>
      <c r="G147" s="20" t="str">
        <f>IFERROR(__xludf.DUMMYFUNCTION("AVERAGE(ARRAYFORMULA(100 * (QUERY(GOOGLEFINANCE(C147, ""high"", TODAY()-40, TODAY()), ""SELECT Col2 WHERE Col2 IS NOT NULL ORDER BY Col1 DESC LIMIT 20"", 0) / QUERY(GOOGLEFINANCE(C147, ""low"", TODAY()-40, TODAY()), ""SELECT Col2 WHERE Col2 IS NOT NULL OR"&amp;"DER BY Col1 DESC LIMIT 20"", 0) - 1)))"),"#N/A")</f>
        <v>#N/A</v>
      </c>
      <c r="H147" s="35" t="str">
        <f t="shared" si="35"/>
        <v>Liquid</v>
      </c>
      <c r="I147" s="35" t="str">
        <f t="shared" si="7"/>
        <v>RVol Required</v>
      </c>
      <c r="J147" s="37">
        <f>IFERROR(__xludf.DUMMYFUNCTION("IFERROR(
  IF(C147="""",, 
    IFERROR(
      GOOGLEFINANCE(C147, ""price"") * GOOGLEFINANCE(C147, ""volumeavg""), 
      GOOGLEFINANCE(C147, ""price"") * AVERAGE(QUERY(GOOGLEFINANCE(C147, ""volume"", TODAY()-40, TODAY()), ""SELECT Col2 WHERE Col2 IS NOT "&amp;"NULL ORDER BY Col1 DESC LIMIT 20"", 0))
    )
  ), 
"""")"),5.992397558E7)</f>
        <v>59923975.58</v>
      </c>
      <c r="K147" s="21">
        <f>IFERROR(__xludf.DUMMYFUNCTION("IFERROR(GOOGLEFINANCE(C147, ""changepct"") / 100, """")"),0.0029)</f>
        <v>0.0029</v>
      </c>
      <c r="L147" s="21" t="str">
        <f>IFERROR(__xludf.DUMMYFUNCTION("IFERROR((GOOGLEFINANCE(C147, ""price"") / INDEX(GOOGLEFINANCE(C147, ""price"", TODAY()-7, TODAY()), 2, 2)) - 1, """")"),"")</f>
        <v/>
      </c>
      <c r="M147" s="21" t="str">
        <f>IFERROR(__xludf.DUMMYFUNCTION("IFERROR((GOOGLEFINANCE(C147, ""price"") / INDEX(GOOGLEFINANCE(C147, ""price"", EDATE(TODAY(), -1), TODAY()), 2, 2)) - 1, """")"),"")</f>
        <v/>
      </c>
      <c r="N147" s="21" t="str">
        <f>IFERROR(__xludf.DUMMYFUNCTION("IFERROR((GOOGLEFINANCE(C147, ""price"") / INDEX(GOOGLEFINANCE(C147, ""price"", EDATE(TODAY(), -3), TODAY()), 2, 2)) - 1, """")"),"")</f>
        <v/>
      </c>
      <c r="O147" s="21" t="str">
        <f>IFERROR(__xludf.DUMMYFUNCTION("IFERROR((GOOGLEFINANCE(C147, ""price"") / INDEX(GOOGLEFINANCE(C147, ""price"", EDATE(TODAY(), -6), TODAY()), 2, 2)) - 1, """")"),"")</f>
        <v/>
      </c>
      <c r="P147" s="21" t="str">
        <f>IFERROR(__xludf.DUMMYFUNCTION("IFERROR((GOOGLEFINANCE(C147, ""price"") / INDEX(GOOGLEFINANCE(C147, ""price"", EDATE(TODAY(), -12), TODAY()), 2, 2)) - 1, """")"),"")</f>
        <v/>
      </c>
      <c r="Q147" s="6" t="str">
        <f>IFERROR(__xludf.DUMMYFUNCTION("AVERAGE(QUERY(GOOGLEFINANCE(C147, ""price"", TODAY()-80, TODAY()), ""SELECT Col2 WHERE Col2 IS NOT NULL ORDER BY Col1 DESC LIMIT 50"", 0))"),"#N/A")</f>
        <v>#N/A</v>
      </c>
      <c r="R147" s="24" t="str">
        <f>IFERROR(__xludf.DUMMYFUNCTION("IFERROR(
  LET(
    data, QUERY(GOOGLEFINANCE(C147,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GOOGLEFINANCE(C147, ""price"")) * 100,
    IF(calc=0, G147, calc)
  ), 
G147)"),"#N/A")</f>
        <v>#N/A</v>
      </c>
      <c r="S147" s="8" t="s">
        <v>15</v>
      </c>
      <c r="T147" s="26" t="str">
        <f>IFERROR(__xludf.DUMMYFUNCTION("IFERROR(TRANSPOSE(QUERY(IFERROR(SORT(GOOGLEFINANCE(C147, ""price"", WORKDAY(TODAY(), -40), TODAY()), 1, FALSE)), ""select Col2 where Col2 is not null limit 22 label Col2 ''"", 0)), """")"),"")</f>
        <v/>
      </c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8"/>
      <c r="AO147" s="28"/>
      <c r="AP147" s="29"/>
      <c r="AQ147" s="29" t="str">
        <f t="shared" ref="AQ147:BL147" si="151">T147/T$2</f>
        <v>#N/A</v>
      </c>
      <c r="AR147" s="29" t="str">
        <f t="shared" si="151"/>
        <v>#DIV/0!</v>
      </c>
      <c r="AS147" s="29" t="str">
        <f t="shared" si="151"/>
        <v>#DIV/0!</v>
      </c>
      <c r="AT147" s="29" t="str">
        <f t="shared" si="151"/>
        <v>#DIV/0!</v>
      </c>
      <c r="AU147" s="29" t="str">
        <f t="shared" si="151"/>
        <v>#DIV/0!</v>
      </c>
      <c r="AV147" s="29" t="str">
        <f t="shared" si="151"/>
        <v>#DIV/0!</v>
      </c>
      <c r="AW147" s="29" t="str">
        <f t="shared" si="151"/>
        <v>#DIV/0!</v>
      </c>
      <c r="AX147" s="29" t="str">
        <f t="shared" si="151"/>
        <v>#DIV/0!</v>
      </c>
      <c r="AY147" s="29" t="str">
        <f t="shared" si="151"/>
        <v>#DIV/0!</v>
      </c>
      <c r="AZ147" s="29" t="str">
        <f t="shared" si="151"/>
        <v>#DIV/0!</v>
      </c>
      <c r="BA147" s="29" t="str">
        <f t="shared" si="151"/>
        <v>#DIV/0!</v>
      </c>
      <c r="BB147" s="29" t="str">
        <f t="shared" si="151"/>
        <v>#DIV/0!</v>
      </c>
      <c r="BC147" s="29" t="str">
        <f t="shared" si="151"/>
        <v>#DIV/0!</v>
      </c>
      <c r="BD147" s="29" t="str">
        <f t="shared" si="151"/>
        <v>#DIV/0!</v>
      </c>
      <c r="BE147" s="29" t="str">
        <f t="shared" si="151"/>
        <v>#DIV/0!</v>
      </c>
      <c r="BF147" s="29" t="str">
        <f t="shared" si="151"/>
        <v>#DIV/0!</v>
      </c>
      <c r="BG147" s="29" t="str">
        <f t="shared" si="151"/>
        <v>#DIV/0!</v>
      </c>
      <c r="BH147" s="29" t="str">
        <f t="shared" si="151"/>
        <v>#DIV/0!</v>
      </c>
      <c r="BI147" s="29" t="str">
        <f t="shared" si="151"/>
        <v>#DIV/0!</v>
      </c>
      <c r="BJ147" s="29" t="str">
        <f t="shared" si="151"/>
        <v>#DIV/0!</v>
      </c>
      <c r="BK147" s="29" t="str">
        <f t="shared" si="151"/>
        <v>#DIV/0!</v>
      </c>
      <c r="BL147" s="29" t="str">
        <f t="shared" si="151"/>
        <v>#DIV/0!</v>
      </c>
      <c r="BM147" s="29" t="str">
        <f t="shared" si="3"/>
        <v>#DIV/0!</v>
      </c>
    </row>
    <row r="148">
      <c r="A148" s="16" t="str">
        <f>IFERROR(__xludf.DUMMYFUNCTION("IFERROR(SPARKLINE(SORT(MAP(TRANSPOSE(AQ148:BL148), LAMBDA(val, IF(ISNUMBER(val), PERCENTRANK(AQ148:BL148, val)+0.01, 0))), SEQUENCE(COLUMNS(AQ148:BL148)), FALSE), {""charttype"",""column""; ""color"",""chartreuse""; ""ymin"", 0; ""ymax"", 1.01; ""highcolo"&amp;"r"", ""darkgreen""; ""lowcolor"", ""red""}), """")"),"")</f>
        <v/>
      </c>
      <c r="B148" s="17" t="str">
        <f t="shared" si="4"/>
        <v/>
      </c>
      <c r="C148" s="1" t="s">
        <v>3317</v>
      </c>
      <c r="D148" s="30" t="str">
        <f>IFERROR(__xludf.DUMMYFUNCTION("IFERROR(GOOGLEFINANCE(C148, ""NAME""))"),"Gold Fields Ltd")</f>
        <v>Gold Fields Ltd</v>
      </c>
      <c r="E148" s="30" t="s">
        <v>2928</v>
      </c>
      <c r="F148" s="33" t="str">
        <f>IFERROR(__xludf.DUMMYFUNCTION("( (GOOGLEFINANCE(C148, ""price"") - Q148) / Q148 ) / (R148 / 100)"),"Loading...")</f>
        <v>Loading...</v>
      </c>
      <c r="G148" s="20" t="str">
        <f>IFERROR(__xludf.DUMMYFUNCTION("AVERAGE(ARRAYFORMULA(100 * (QUERY(GOOGLEFINANCE(C148, ""high"", TODAY()-40, TODAY()), ""SELECT Col2 WHERE Col2 IS NOT NULL ORDER BY Col1 DESC LIMIT 20"", 0) / QUERY(GOOGLEFINANCE(C148, ""low"", TODAY()-40, TODAY()), ""SELECT Col2 WHERE Col2 IS NOT NULL OR"&amp;"DER BY Col1 DESC LIMIT 20"", 0) - 1)))"),"#N/A")</f>
        <v>#N/A</v>
      </c>
      <c r="H148" s="35" t="str">
        <f t="shared" si="35"/>
        <v>Liquid</v>
      </c>
      <c r="I148" s="35" t="str">
        <f t="shared" si="7"/>
        <v>RVol Required</v>
      </c>
      <c r="J148" s="37">
        <f>IFERROR(__xludf.DUMMYFUNCTION("IFERROR(
  IF(C148="""",, 
    IFERROR(
      GOOGLEFINANCE(C148, ""price"") * GOOGLEFINANCE(C148, ""volumeavg""), 
      GOOGLEFINANCE(C148, ""price"") * AVERAGE(QUERY(GOOGLEFINANCE(C148, ""volume"", TODAY()-40, TODAY()), ""SELECT Col2 WHERE Col2 IS NOT "&amp;"NULL ORDER BY Col1 DESC LIMIT 20"", 0))
    )
  ), 
"""")"),1.401635128E8)</f>
        <v>140163512.8</v>
      </c>
      <c r="K148" s="21">
        <f>IFERROR(__xludf.DUMMYFUNCTION("IFERROR(GOOGLEFINANCE(C148, ""changepct"") / 100, """")"),0.0138)</f>
        <v>0.0138</v>
      </c>
      <c r="L148" s="21" t="str">
        <f>IFERROR(__xludf.DUMMYFUNCTION("IFERROR((GOOGLEFINANCE(C148, ""price"") / INDEX(GOOGLEFINANCE(C148, ""price"", TODAY()-7, TODAY()), 2, 2)) - 1, """")"),"")</f>
        <v/>
      </c>
      <c r="M148" s="21" t="str">
        <f>IFERROR(__xludf.DUMMYFUNCTION("IFERROR((GOOGLEFINANCE(C148, ""price"") / INDEX(GOOGLEFINANCE(C148, ""price"", EDATE(TODAY(), -1), TODAY()), 2, 2)) - 1, """")"),"")</f>
        <v/>
      </c>
      <c r="N148" s="21" t="str">
        <f>IFERROR(__xludf.DUMMYFUNCTION("IFERROR((GOOGLEFINANCE(C148, ""price"") / INDEX(GOOGLEFINANCE(C148, ""price"", EDATE(TODAY(), -3), TODAY()), 2, 2)) - 1, """")"),"")</f>
        <v/>
      </c>
      <c r="O148" s="21" t="str">
        <f>IFERROR(__xludf.DUMMYFUNCTION("IFERROR((GOOGLEFINANCE(C148, ""price"") / INDEX(GOOGLEFINANCE(C148, ""price"", EDATE(TODAY(), -6), TODAY()), 2, 2)) - 1, """")"),"")</f>
        <v/>
      </c>
      <c r="P148" s="21" t="str">
        <f>IFERROR(__xludf.DUMMYFUNCTION("IFERROR((GOOGLEFINANCE(C148, ""price"") / INDEX(GOOGLEFINANCE(C148, ""price"", EDATE(TODAY(), -12), TODAY()), 2, 2)) - 1, """")"),"")</f>
        <v/>
      </c>
      <c r="Q148" s="6" t="str">
        <f>IFERROR(__xludf.DUMMYFUNCTION("AVERAGE(QUERY(GOOGLEFINANCE(C148, ""price"", TODAY()-80, TODAY()), ""SELECT Col2 WHERE Col2 IS NOT NULL ORDER BY Col1 DESC LIMIT 50"", 0))"),"#N/A")</f>
        <v>#N/A</v>
      </c>
      <c r="R148" s="24" t="str">
        <f>IFERROR(__xludf.DUMMYFUNCTION("IFERROR(
  LET(
    data, QUERY(GOOGLEFINANCE(C148,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GOOGLEFINANCE(C148, ""price"")) * 100,
    IF(calc=0, G148, calc)
  ), 
G148)"),"#N/A")</f>
        <v>#N/A</v>
      </c>
      <c r="S148" s="8" t="s">
        <v>15</v>
      </c>
      <c r="T148" s="26" t="str">
        <f>IFERROR(__xludf.DUMMYFUNCTION("IFERROR(TRANSPOSE(QUERY(IFERROR(SORT(GOOGLEFINANCE(C148, ""price"", WORKDAY(TODAY(), -40), TODAY()), 1, FALSE)), ""select Col2 where Col2 is not null limit 22 label Col2 ''"", 0)), """")"),"")</f>
        <v/>
      </c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8"/>
      <c r="AO148" s="28"/>
      <c r="AP148" s="29"/>
      <c r="AQ148" s="29" t="str">
        <f t="shared" ref="AQ148:BL148" si="152">T148/T$2</f>
        <v>#N/A</v>
      </c>
      <c r="AR148" s="29" t="str">
        <f t="shared" si="152"/>
        <v>#DIV/0!</v>
      </c>
      <c r="AS148" s="29" t="str">
        <f t="shared" si="152"/>
        <v>#DIV/0!</v>
      </c>
      <c r="AT148" s="29" t="str">
        <f t="shared" si="152"/>
        <v>#DIV/0!</v>
      </c>
      <c r="AU148" s="29" t="str">
        <f t="shared" si="152"/>
        <v>#DIV/0!</v>
      </c>
      <c r="AV148" s="29" t="str">
        <f t="shared" si="152"/>
        <v>#DIV/0!</v>
      </c>
      <c r="AW148" s="29" t="str">
        <f t="shared" si="152"/>
        <v>#DIV/0!</v>
      </c>
      <c r="AX148" s="29" t="str">
        <f t="shared" si="152"/>
        <v>#DIV/0!</v>
      </c>
      <c r="AY148" s="29" t="str">
        <f t="shared" si="152"/>
        <v>#DIV/0!</v>
      </c>
      <c r="AZ148" s="29" t="str">
        <f t="shared" si="152"/>
        <v>#DIV/0!</v>
      </c>
      <c r="BA148" s="29" t="str">
        <f t="shared" si="152"/>
        <v>#DIV/0!</v>
      </c>
      <c r="BB148" s="29" t="str">
        <f t="shared" si="152"/>
        <v>#DIV/0!</v>
      </c>
      <c r="BC148" s="29" t="str">
        <f t="shared" si="152"/>
        <v>#DIV/0!</v>
      </c>
      <c r="BD148" s="29" t="str">
        <f t="shared" si="152"/>
        <v>#DIV/0!</v>
      </c>
      <c r="BE148" s="29" t="str">
        <f t="shared" si="152"/>
        <v>#DIV/0!</v>
      </c>
      <c r="BF148" s="29" t="str">
        <f t="shared" si="152"/>
        <v>#DIV/0!</v>
      </c>
      <c r="BG148" s="29" t="str">
        <f t="shared" si="152"/>
        <v>#DIV/0!</v>
      </c>
      <c r="BH148" s="29" t="str">
        <f t="shared" si="152"/>
        <v>#DIV/0!</v>
      </c>
      <c r="BI148" s="29" t="str">
        <f t="shared" si="152"/>
        <v>#DIV/0!</v>
      </c>
      <c r="BJ148" s="29" t="str">
        <f t="shared" si="152"/>
        <v>#DIV/0!</v>
      </c>
      <c r="BK148" s="29" t="str">
        <f t="shared" si="152"/>
        <v>#DIV/0!</v>
      </c>
      <c r="BL148" s="29" t="str">
        <f t="shared" si="152"/>
        <v>#DIV/0!</v>
      </c>
      <c r="BM148" s="29" t="str">
        <f t="shared" si="3"/>
        <v>#DIV/0!</v>
      </c>
    </row>
    <row r="149">
      <c r="A149" s="16" t="str">
        <f>IFERROR(__xludf.DUMMYFUNCTION("IFERROR(SPARKLINE(SORT(MAP(TRANSPOSE(AQ149:BL149), LAMBDA(val, IF(ISNUMBER(val), PERCENTRANK(AQ149:BL149, val)+0.01, 0))), SEQUENCE(COLUMNS(AQ149:BL149)), FALSE), {""charttype"",""column""; ""color"",""chartreuse""; ""ymin"", 0; ""ymax"", 1.01; ""highcolo"&amp;"r"", ""darkgreen""; ""lowcolor"", ""red""}), """")"),"")</f>
        <v/>
      </c>
      <c r="B149" s="17" t="str">
        <f t="shared" si="4"/>
        <v/>
      </c>
      <c r="C149" s="1" t="s">
        <v>3318</v>
      </c>
      <c r="D149" s="30" t="str">
        <f>IFERROR(__xludf.DUMMYFUNCTION("IFERROR(GOOGLEFINANCE(C149, ""NAME""))"),"")</f>
        <v/>
      </c>
      <c r="E149" s="30" t="s">
        <v>2928</v>
      </c>
      <c r="F149" s="33" t="str">
        <f>IFERROR(__xludf.DUMMYFUNCTION("( (GOOGLEFINANCE(C149, ""price"") - Q149) / Q149 ) / (R149 / 100)"),"Loading...")</f>
        <v>Loading...</v>
      </c>
      <c r="G149" s="20" t="str">
        <f>IFERROR(__xludf.DUMMYFUNCTION("AVERAGE(ARRAYFORMULA(100 * (QUERY(GOOGLEFINANCE(C149, ""high"", TODAY()-40, TODAY()), ""SELECT Col2 WHERE Col2 IS NOT NULL ORDER BY Col1 DESC LIMIT 20"", 0) / QUERY(GOOGLEFINANCE(C149, ""low"", TODAY()-40, TODAY()), ""SELECT Col2 WHERE Col2 IS NOT NULL OR"&amp;"DER BY Col1 DESC LIMIT 20"", 0) - 1)))"),"#N/A")</f>
        <v>#N/A</v>
      </c>
      <c r="H149" s="35" t="str">
        <f t="shared" si="35"/>
        <v/>
      </c>
      <c r="I149" s="35" t="str">
        <f t="shared" si="7"/>
        <v/>
      </c>
      <c r="J149" s="37" t="str">
        <f>IFERROR(__xludf.DUMMYFUNCTION("IFERROR(
  IF(C149="""",, 
    IFERROR(
      GOOGLEFINANCE(C149, ""price"") * GOOGLEFINANCE(C149, ""volumeavg""), 
      GOOGLEFINANCE(C149, ""price"") * AVERAGE(QUERY(GOOGLEFINANCE(C149, ""volume"", TODAY()-40, TODAY()), ""SELECT Col2 WHERE Col2 IS NOT "&amp;"NULL ORDER BY Col1 DESC LIMIT 20"", 0))
    )
  ), 
"""")"),"")</f>
        <v/>
      </c>
      <c r="K149" s="21" t="str">
        <f>IFERROR(__xludf.DUMMYFUNCTION("IFERROR(GOOGLEFINANCE(C149, ""changepct"") / 100, """")"),"")</f>
        <v/>
      </c>
      <c r="L149" s="21" t="str">
        <f>IFERROR(__xludf.DUMMYFUNCTION("IFERROR((GOOGLEFINANCE(C149, ""price"") / INDEX(GOOGLEFINANCE(C149, ""price"", TODAY()-7, TODAY()), 2, 2)) - 1, """")"),"")</f>
        <v/>
      </c>
      <c r="M149" s="21" t="str">
        <f>IFERROR(__xludf.DUMMYFUNCTION("IFERROR((GOOGLEFINANCE(C149, ""price"") / INDEX(GOOGLEFINANCE(C149, ""price"", EDATE(TODAY(), -1), TODAY()), 2, 2)) - 1, """")"),"")</f>
        <v/>
      </c>
      <c r="N149" s="21" t="str">
        <f>IFERROR(__xludf.DUMMYFUNCTION("IFERROR((GOOGLEFINANCE(C149, ""price"") / INDEX(GOOGLEFINANCE(C149, ""price"", EDATE(TODAY(), -3), TODAY()), 2, 2)) - 1, """")"),"")</f>
        <v/>
      </c>
      <c r="O149" s="21" t="str">
        <f>IFERROR(__xludf.DUMMYFUNCTION("IFERROR((GOOGLEFINANCE(C149, ""price"") / INDEX(GOOGLEFINANCE(C149, ""price"", EDATE(TODAY(), -6), TODAY()), 2, 2)) - 1, """")"),"")</f>
        <v/>
      </c>
      <c r="P149" s="21" t="str">
        <f>IFERROR(__xludf.DUMMYFUNCTION("IFERROR((GOOGLEFINANCE(C149, ""price"") / INDEX(GOOGLEFINANCE(C149, ""price"", EDATE(TODAY(), -12), TODAY()), 2, 2)) - 1, """")"),"")</f>
        <v/>
      </c>
      <c r="Q149" s="6" t="str">
        <f>IFERROR(__xludf.DUMMYFUNCTION("AVERAGE(QUERY(GOOGLEFINANCE(C149, ""price"", TODAY()-80, TODAY()), ""SELECT Col2 WHERE Col2 IS NOT NULL ORDER BY Col1 DESC LIMIT 50"", 0))"),"#N/A")</f>
        <v>#N/A</v>
      </c>
      <c r="R149" s="24" t="str">
        <f>IFERROR(__xludf.DUMMYFUNCTION("IFERROR(
  LET(
    data, QUERY(GOOGLEFINANCE(C149,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GOOGLEFINANCE(C149, ""price"")) * 100,
    IF(calc=0, G149, calc)
  ), 
G149)"),"#N/A")</f>
        <v>#N/A</v>
      </c>
      <c r="S149" s="8" t="s">
        <v>15</v>
      </c>
      <c r="T149" s="26" t="str">
        <f>IFERROR(__xludf.DUMMYFUNCTION("IFERROR(TRANSPOSE(QUERY(IFERROR(SORT(GOOGLEFINANCE(C149, ""price"", WORKDAY(TODAY(), -40), TODAY()), 1, FALSE)), ""select Col2 where Col2 is not null limit 22 label Col2 ''"", 0)), """")"),"")</f>
        <v/>
      </c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8"/>
      <c r="AO149" s="28"/>
      <c r="AP149" s="29"/>
      <c r="AQ149" s="29" t="str">
        <f t="shared" ref="AQ149:BL149" si="153">T149/T$2</f>
        <v>#N/A</v>
      </c>
      <c r="AR149" s="29" t="str">
        <f t="shared" si="153"/>
        <v>#DIV/0!</v>
      </c>
      <c r="AS149" s="29" t="str">
        <f t="shared" si="153"/>
        <v>#DIV/0!</v>
      </c>
      <c r="AT149" s="29" t="str">
        <f t="shared" si="153"/>
        <v>#DIV/0!</v>
      </c>
      <c r="AU149" s="29" t="str">
        <f t="shared" si="153"/>
        <v>#DIV/0!</v>
      </c>
      <c r="AV149" s="29" t="str">
        <f t="shared" si="153"/>
        <v>#DIV/0!</v>
      </c>
      <c r="AW149" s="29" t="str">
        <f t="shared" si="153"/>
        <v>#DIV/0!</v>
      </c>
      <c r="AX149" s="29" t="str">
        <f t="shared" si="153"/>
        <v>#DIV/0!</v>
      </c>
      <c r="AY149" s="29" t="str">
        <f t="shared" si="153"/>
        <v>#DIV/0!</v>
      </c>
      <c r="AZ149" s="29" t="str">
        <f t="shared" si="153"/>
        <v>#DIV/0!</v>
      </c>
      <c r="BA149" s="29" t="str">
        <f t="shared" si="153"/>
        <v>#DIV/0!</v>
      </c>
      <c r="BB149" s="29" t="str">
        <f t="shared" si="153"/>
        <v>#DIV/0!</v>
      </c>
      <c r="BC149" s="29" t="str">
        <f t="shared" si="153"/>
        <v>#DIV/0!</v>
      </c>
      <c r="BD149" s="29" t="str">
        <f t="shared" si="153"/>
        <v>#DIV/0!</v>
      </c>
      <c r="BE149" s="29" t="str">
        <f t="shared" si="153"/>
        <v>#DIV/0!</v>
      </c>
      <c r="BF149" s="29" t="str">
        <f t="shared" si="153"/>
        <v>#DIV/0!</v>
      </c>
      <c r="BG149" s="29" t="str">
        <f t="shared" si="153"/>
        <v>#DIV/0!</v>
      </c>
      <c r="BH149" s="29" t="str">
        <f t="shared" si="153"/>
        <v>#DIV/0!</v>
      </c>
      <c r="BI149" s="29" t="str">
        <f t="shared" si="153"/>
        <v>#DIV/0!</v>
      </c>
      <c r="BJ149" s="29" t="str">
        <f t="shared" si="153"/>
        <v>#DIV/0!</v>
      </c>
      <c r="BK149" s="29" t="str">
        <f t="shared" si="153"/>
        <v>#DIV/0!</v>
      </c>
      <c r="BL149" s="29" t="str">
        <f t="shared" si="153"/>
        <v>#DIV/0!</v>
      </c>
      <c r="BM149" s="29" t="str">
        <f t="shared" si="3"/>
        <v>#DIV/0!</v>
      </c>
    </row>
    <row r="150">
      <c r="A150" s="16" t="str">
        <f>IFERROR(__xludf.DUMMYFUNCTION("IFERROR(SPARKLINE(SORT(MAP(TRANSPOSE(AQ150:BL150), LAMBDA(val, IF(ISNUMBER(val), PERCENTRANK(AQ150:BL150, val)+0.01, 0))), SEQUENCE(COLUMNS(AQ150:BL150)), FALSE), {""charttype"",""column""; ""color"",""chartreuse""; ""ymin"", 0; ""ymax"", 1.01; ""highcolo"&amp;"r"", ""darkgreen""; ""lowcolor"", ""red""}), """")"),"")</f>
        <v/>
      </c>
      <c r="B150" s="17" t="str">
        <f t="shared" si="4"/>
        <v/>
      </c>
      <c r="C150" s="1" t="s">
        <v>3319</v>
      </c>
      <c r="D150" s="30" t="str">
        <f>IFERROR(__xludf.DUMMYFUNCTION("IFERROR(GOOGLEFINANCE(C150, ""NAME""))"),"Franco-Nevada Corp")</f>
        <v>Franco-Nevada Corp</v>
      </c>
      <c r="E150" s="30" t="s">
        <v>2928</v>
      </c>
      <c r="F150" s="33" t="str">
        <f>IFERROR(__xludf.DUMMYFUNCTION("( (GOOGLEFINANCE(C150, ""price"") - Q150) / Q150 ) / (R150 / 100)"),"Loading...")</f>
        <v>Loading...</v>
      </c>
      <c r="G150" s="20" t="str">
        <f>IFERROR(__xludf.DUMMYFUNCTION("AVERAGE(ARRAYFORMULA(100 * (QUERY(GOOGLEFINANCE(C150, ""high"", TODAY()-40, TODAY()), ""SELECT Col2 WHERE Col2 IS NOT NULL ORDER BY Col1 DESC LIMIT 20"", 0) / QUERY(GOOGLEFINANCE(C150, ""low"", TODAY()-40, TODAY()), ""SELECT Col2 WHERE Col2 IS NOT NULL OR"&amp;"DER BY Col1 DESC LIMIT 20"", 0) - 1)))"),"#N/A")</f>
        <v>#N/A</v>
      </c>
      <c r="H150" s="35" t="str">
        <f t="shared" si="35"/>
        <v>Liquid</v>
      </c>
      <c r="I150" s="35" t="str">
        <f t="shared" si="7"/>
        <v>RVol Required</v>
      </c>
      <c r="J150" s="37">
        <f>IFERROR(__xludf.DUMMYFUNCTION("IFERROR(
  IF(C150="""",, 
    IFERROR(
      GOOGLEFINANCE(C150, ""price"") * GOOGLEFINANCE(C150, ""volumeavg""), 
      GOOGLEFINANCE(C150, ""price"") * AVERAGE(QUERY(GOOGLEFINANCE(C150, ""volume"", TODAY()-40, TODAY()), ""SELECT Col2 WHERE Col2 IS NOT "&amp;"NULL ORDER BY Col1 DESC LIMIT 20"", 0))
    )
  ), 
"""")"),1.818260874E8)</f>
        <v>181826087.4</v>
      </c>
      <c r="K150" s="21">
        <f>IFERROR(__xludf.DUMMYFUNCTION("IFERROR(GOOGLEFINANCE(C150, ""changepct"") / 100, """")"),0.0118)</f>
        <v>0.0118</v>
      </c>
      <c r="L150" s="21" t="str">
        <f>IFERROR(__xludf.DUMMYFUNCTION("IFERROR((GOOGLEFINANCE(C150, ""price"") / INDEX(GOOGLEFINANCE(C150, ""price"", TODAY()-7, TODAY()), 2, 2)) - 1, """")"),"")</f>
        <v/>
      </c>
      <c r="M150" s="21" t="str">
        <f>IFERROR(__xludf.DUMMYFUNCTION("IFERROR((GOOGLEFINANCE(C150, ""price"") / INDEX(GOOGLEFINANCE(C150, ""price"", EDATE(TODAY(), -1), TODAY()), 2, 2)) - 1, """")"),"")</f>
        <v/>
      </c>
      <c r="N150" s="21" t="str">
        <f>IFERROR(__xludf.DUMMYFUNCTION("IFERROR((GOOGLEFINANCE(C150, ""price"") / INDEX(GOOGLEFINANCE(C150, ""price"", EDATE(TODAY(), -3), TODAY()), 2, 2)) - 1, """")"),"")</f>
        <v/>
      </c>
      <c r="O150" s="21" t="str">
        <f>IFERROR(__xludf.DUMMYFUNCTION("IFERROR((GOOGLEFINANCE(C150, ""price"") / INDEX(GOOGLEFINANCE(C150, ""price"", EDATE(TODAY(), -6), TODAY()), 2, 2)) - 1, """")"),"")</f>
        <v/>
      </c>
      <c r="P150" s="21" t="str">
        <f>IFERROR(__xludf.DUMMYFUNCTION("IFERROR((GOOGLEFINANCE(C150, ""price"") / INDEX(GOOGLEFINANCE(C150, ""price"", EDATE(TODAY(), -12), TODAY()), 2, 2)) - 1, """")"),"")</f>
        <v/>
      </c>
      <c r="Q150" s="6" t="str">
        <f>IFERROR(__xludf.DUMMYFUNCTION("AVERAGE(QUERY(GOOGLEFINANCE(C150, ""price"", TODAY()-80, TODAY()), ""SELECT Col2 WHERE Col2 IS NOT NULL ORDER BY Col1 DESC LIMIT 50"", 0))"),"#N/A")</f>
        <v>#N/A</v>
      </c>
      <c r="R150" s="24" t="str">
        <f>IFERROR(__xludf.DUMMYFUNCTION("IFERROR(
  LET(
    data, QUERY(GOOGLEFINANCE(C150,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GOOGLEFINANCE(C150, ""price"")) * 100,
    IF(calc=0, G150, calc)
  ), 
G150)"),"#N/A")</f>
        <v>#N/A</v>
      </c>
      <c r="S150" s="8" t="s">
        <v>15</v>
      </c>
      <c r="T150" s="26" t="str">
        <f>IFERROR(__xludf.DUMMYFUNCTION("IFERROR(TRANSPOSE(QUERY(IFERROR(SORT(GOOGLEFINANCE(C150, ""price"", WORKDAY(TODAY(), -40), TODAY()), 1, FALSE)), ""select Col2 where Col2 is not null limit 22 label Col2 ''"", 0)), """")"),"")</f>
        <v/>
      </c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8"/>
      <c r="AO150" s="28"/>
      <c r="AP150" s="29"/>
      <c r="AQ150" s="29" t="str">
        <f t="shared" ref="AQ150:BL150" si="154">T150/T$2</f>
        <v>#N/A</v>
      </c>
      <c r="AR150" s="29" t="str">
        <f t="shared" si="154"/>
        <v>#DIV/0!</v>
      </c>
      <c r="AS150" s="29" t="str">
        <f t="shared" si="154"/>
        <v>#DIV/0!</v>
      </c>
      <c r="AT150" s="29" t="str">
        <f t="shared" si="154"/>
        <v>#DIV/0!</v>
      </c>
      <c r="AU150" s="29" t="str">
        <f t="shared" si="154"/>
        <v>#DIV/0!</v>
      </c>
      <c r="AV150" s="29" t="str">
        <f t="shared" si="154"/>
        <v>#DIV/0!</v>
      </c>
      <c r="AW150" s="29" t="str">
        <f t="shared" si="154"/>
        <v>#DIV/0!</v>
      </c>
      <c r="AX150" s="29" t="str">
        <f t="shared" si="154"/>
        <v>#DIV/0!</v>
      </c>
      <c r="AY150" s="29" t="str">
        <f t="shared" si="154"/>
        <v>#DIV/0!</v>
      </c>
      <c r="AZ150" s="29" t="str">
        <f t="shared" si="154"/>
        <v>#DIV/0!</v>
      </c>
      <c r="BA150" s="29" t="str">
        <f t="shared" si="154"/>
        <v>#DIV/0!</v>
      </c>
      <c r="BB150" s="29" t="str">
        <f t="shared" si="154"/>
        <v>#DIV/0!</v>
      </c>
      <c r="BC150" s="29" t="str">
        <f t="shared" si="154"/>
        <v>#DIV/0!</v>
      </c>
      <c r="BD150" s="29" t="str">
        <f t="shared" si="154"/>
        <v>#DIV/0!</v>
      </c>
      <c r="BE150" s="29" t="str">
        <f t="shared" si="154"/>
        <v>#DIV/0!</v>
      </c>
      <c r="BF150" s="29" t="str">
        <f t="shared" si="154"/>
        <v>#DIV/0!</v>
      </c>
      <c r="BG150" s="29" t="str">
        <f t="shared" si="154"/>
        <v>#DIV/0!</v>
      </c>
      <c r="BH150" s="29" t="str">
        <f t="shared" si="154"/>
        <v>#DIV/0!</v>
      </c>
      <c r="BI150" s="29" t="str">
        <f t="shared" si="154"/>
        <v>#DIV/0!</v>
      </c>
      <c r="BJ150" s="29" t="str">
        <f t="shared" si="154"/>
        <v>#DIV/0!</v>
      </c>
      <c r="BK150" s="29" t="str">
        <f t="shared" si="154"/>
        <v>#DIV/0!</v>
      </c>
      <c r="BL150" s="29" t="str">
        <f t="shared" si="154"/>
        <v>#DIV/0!</v>
      </c>
      <c r="BM150" s="29" t="str">
        <f t="shared" si="3"/>
        <v>#DIV/0!</v>
      </c>
    </row>
    <row r="151">
      <c r="A151" s="16" t="str">
        <f>IFERROR(__xludf.DUMMYFUNCTION("IFERROR(SPARKLINE(SORT(MAP(TRANSPOSE(AQ151:BL151), LAMBDA(val, IF(ISNUMBER(val), PERCENTRANK(AQ151:BL151, val)+0.01, 0))), SEQUENCE(COLUMNS(AQ151:BL151)), FALSE), {""charttype"",""column""; ""color"",""chartreuse""; ""ymin"", 0; ""ymax"", 1.01; ""highcolo"&amp;"r"", ""darkgreen""; ""lowcolor"", ""red""}), """")"),"")</f>
        <v/>
      </c>
      <c r="B151" s="17" t="str">
        <f t="shared" si="4"/>
        <v/>
      </c>
      <c r="C151" s="1" t="s">
        <v>3320</v>
      </c>
      <c r="D151" s="30" t="str">
        <f>IFERROR(__xludf.DUMMYFUNCTION("IFERROR(GOOGLEFINANCE(C151, ""NAME""))"),"Green Plains Inc")</f>
        <v>Green Plains Inc</v>
      </c>
      <c r="E151" s="30" t="s">
        <v>3035</v>
      </c>
      <c r="F151" s="38" t="str">
        <f>IFERROR(__xludf.DUMMYFUNCTION("( (GOOGLEFINANCE(C151, ""price"") - Q151) / Q151 ) / (R151 / 100)"),"Loading...")</f>
        <v>Loading...</v>
      </c>
      <c r="G151" s="20" t="str">
        <f>IFERROR(__xludf.DUMMYFUNCTION("AVERAGE(ARRAYFORMULA(100 * (QUERY(GOOGLEFINANCE(C151, ""high"", TODAY()-40, TODAY()), ""SELECT Col2 WHERE Col2 IS NOT NULL ORDER BY Col1 DESC LIMIT 20"", 0) / QUERY(GOOGLEFINANCE(C151, ""low"", TODAY()-40, TODAY()), ""SELECT Col2 WHERE Col2 IS NOT NULL OR"&amp;"DER BY Col1 DESC LIMIT 20"", 0) - 1)))"),"#N/A")</f>
        <v>#N/A</v>
      </c>
      <c r="H151" s="35" t="str">
        <f t="shared" si="35"/>
        <v>Illiquid</v>
      </c>
      <c r="I151" s="35" t="str">
        <f t="shared" si="7"/>
        <v>RVol Required</v>
      </c>
      <c r="J151" s="37">
        <f>IFERROR(__xludf.DUMMYFUNCTION("IFERROR(
  IF(C151="""",, 
    IFERROR(
      GOOGLEFINANCE(C151, ""price"") * GOOGLEFINANCE(C151, ""volumeavg""), 
      GOOGLEFINANCE(C151, ""price"") * AVERAGE(QUERY(GOOGLEFINANCE(C151, ""volume"", TODAY()-40, TODAY()), ""SELECT Col2 WHERE Col2 IS NOT "&amp;"NULL ORDER BY Col1 DESC LIMIT 20"", 0))
    )
  ), 
"""")"),2.078506975E7)</f>
        <v>20785069.75</v>
      </c>
      <c r="K151" s="21">
        <f>IFERROR(__xludf.DUMMYFUNCTION("IFERROR(GOOGLEFINANCE(C151, ""changepct"") / 100, """")"),0.0126)</f>
        <v>0.0126</v>
      </c>
      <c r="L151" s="21" t="str">
        <f>IFERROR(__xludf.DUMMYFUNCTION("IFERROR((GOOGLEFINANCE(C151, ""price"") / INDEX(GOOGLEFINANCE(C151, ""price"", TODAY()-7, TODAY()), 2, 2)) - 1, """")"),"")</f>
        <v/>
      </c>
      <c r="M151" s="21" t="str">
        <f>IFERROR(__xludf.DUMMYFUNCTION("IFERROR((GOOGLEFINANCE(C151, ""price"") / INDEX(GOOGLEFINANCE(C151, ""price"", EDATE(TODAY(), -1), TODAY()), 2, 2)) - 1, """")"),"")</f>
        <v/>
      </c>
      <c r="N151" s="21" t="str">
        <f>IFERROR(__xludf.DUMMYFUNCTION("IFERROR((GOOGLEFINANCE(C151, ""price"") / INDEX(GOOGLEFINANCE(C151, ""price"", EDATE(TODAY(), -3), TODAY()), 2, 2)) - 1, """")"),"")</f>
        <v/>
      </c>
      <c r="O151" s="21" t="str">
        <f>IFERROR(__xludf.DUMMYFUNCTION("IFERROR((GOOGLEFINANCE(C151, ""price"") / INDEX(GOOGLEFINANCE(C151, ""price"", EDATE(TODAY(), -6), TODAY()), 2, 2)) - 1, """")"),"")</f>
        <v/>
      </c>
      <c r="P151" s="21" t="str">
        <f>IFERROR(__xludf.DUMMYFUNCTION("IFERROR((GOOGLEFINANCE(C151, ""price"") / INDEX(GOOGLEFINANCE(C151, ""price"", EDATE(TODAY(), -12), TODAY()), 2, 2)) - 1, """")"),"")</f>
        <v/>
      </c>
      <c r="Q151" s="6" t="str">
        <f>IFERROR(__xludf.DUMMYFUNCTION("AVERAGE(QUERY(GOOGLEFINANCE(C151, ""price"", TODAY()-80, TODAY()), ""SELECT Col2 WHERE Col2 IS NOT NULL ORDER BY Col1 DESC LIMIT 50"", 0))"),"#N/A")</f>
        <v>#N/A</v>
      </c>
      <c r="R151" s="24" t="str">
        <f>IFERROR(__xludf.DUMMYFUNCTION("IFERROR(
  LET(
    data, QUERY(GOOGLEFINANCE(C151,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GOOGLEFINANCE(C151, ""price"")) * 100,
    IF(calc=0, G151, calc)
  ), 
G151)"),"#N/A")</f>
        <v>#N/A</v>
      </c>
      <c r="S151" s="8" t="s">
        <v>15</v>
      </c>
      <c r="T151" s="26" t="str">
        <f>IFERROR(__xludf.DUMMYFUNCTION("IFERROR(TRANSPOSE(QUERY(IFERROR(SORT(GOOGLEFINANCE(C151, ""price"", WORKDAY(TODAY(), -40), TODAY()), 1, FALSE)), ""select Col2 where Col2 is not null limit 22 label Col2 ''"", 0)), """")"),"")</f>
        <v/>
      </c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8"/>
      <c r="AO151" s="28"/>
      <c r="AP151" s="29"/>
      <c r="AQ151" s="29" t="str">
        <f t="shared" ref="AQ151:BL151" si="155">T151/T$2</f>
        <v>#N/A</v>
      </c>
      <c r="AR151" s="29" t="str">
        <f t="shared" si="155"/>
        <v>#DIV/0!</v>
      </c>
      <c r="AS151" s="29" t="str">
        <f t="shared" si="155"/>
        <v>#DIV/0!</v>
      </c>
      <c r="AT151" s="29" t="str">
        <f t="shared" si="155"/>
        <v>#DIV/0!</v>
      </c>
      <c r="AU151" s="29" t="str">
        <f t="shared" si="155"/>
        <v>#DIV/0!</v>
      </c>
      <c r="AV151" s="29" t="str">
        <f t="shared" si="155"/>
        <v>#DIV/0!</v>
      </c>
      <c r="AW151" s="29" t="str">
        <f t="shared" si="155"/>
        <v>#DIV/0!</v>
      </c>
      <c r="AX151" s="29" t="str">
        <f t="shared" si="155"/>
        <v>#DIV/0!</v>
      </c>
      <c r="AY151" s="29" t="str">
        <f t="shared" si="155"/>
        <v>#DIV/0!</v>
      </c>
      <c r="AZ151" s="29" t="str">
        <f t="shared" si="155"/>
        <v>#DIV/0!</v>
      </c>
      <c r="BA151" s="29" t="str">
        <f t="shared" si="155"/>
        <v>#DIV/0!</v>
      </c>
      <c r="BB151" s="29" t="str">
        <f t="shared" si="155"/>
        <v>#DIV/0!</v>
      </c>
      <c r="BC151" s="29" t="str">
        <f t="shared" si="155"/>
        <v>#DIV/0!</v>
      </c>
      <c r="BD151" s="29" t="str">
        <f t="shared" si="155"/>
        <v>#DIV/0!</v>
      </c>
      <c r="BE151" s="29" t="str">
        <f t="shared" si="155"/>
        <v>#DIV/0!</v>
      </c>
      <c r="BF151" s="29" t="str">
        <f t="shared" si="155"/>
        <v>#DIV/0!</v>
      </c>
      <c r="BG151" s="29" t="str">
        <f t="shared" si="155"/>
        <v>#DIV/0!</v>
      </c>
      <c r="BH151" s="29" t="str">
        <f t="shared" si="155"/>
        <v>#DIV/0!</v>
      </c>
      <c r="BI151" s="29" t="str">
        <f t="shared" si="155"/>
        <v>#DIV/0!</v>
      </c>
      <c r="BJ151" s="29" t="str">
        <f t="shared" si="155"/>
        <v>#DIV/0!</v>
      </c>
      <c r="BK151" s="29" t="str">
        <f t="shared" si="155"/>
        <v>#DIV/0!</v>
      </c>
      <c r="BL151" s="29" t="str">
        <f t="shared" si="155"/>
        <v>#DIV/0!</v>
      </c>
      <c r="BM151" s="29" t="str">
        <f t="shared" si="3"/>
        <v>#DIV/0!</v>
      </c>
    </row>
    <row r="152">
      <c r="A152" s="16" t="str">
        <f>IFERROR(__xludf.DUMMYFUNCTION("IFERROR(SPARKLINE(SORT(MAP(TRANSPOSE(AQ152:BL152), LAMBDA(val, IF(ISNUMBER(val), PERCENTRANK(AQ152:BL152, val)+0.01, 0))), SEQUENCE(COLUMNS(AQ152:BL152)), FALSE), {""charttype"",""column""; ""color"",""chartreuse""; ""ymin"", 0; ""ymax"", 1.01; ""highcolo"&amp;"r"", ""darkgreen""; ""lowcolor"", ""red""}), """")"),"")</f>
        <v/>
      </c>
      <c r="B152" s="17" t="str">
        <f t="shared" si="4"/>
        <v/>
      </c>
      <c r="C152" s="1" t="s">
        <v>3321</v>
      </c>
      <c r="D152" s="30" t="str">
        <f>IFERROR(__xludf.DUMMYFUNCTION("IFERROR(GOOGLEFINANCE(C152, ""NAME""))"),"Kronos Worldwide, Inc.")</f>
        <v>Kronos Worldwide, Inc.</v>
      </c>
      <c r="E152" s="30" t="s">
        <v>2995</v>
      </c>
      <c r="F152" s="33" t="str">
        <f>IFERROR(__xludf.DUMMYFUNCTION("( (GOOGLEFINANCE(C152, ""price"") - Q152) / Q152 ) / (R152 / 100)"),"Loading...")</f>
        <v>Loading...</v>
      </c>
      <c r="G152" s="20" t="str">
        <f>IFERROR(__xludf.DUMMYFUNCTION("AVERAGE(ARRAYFORMULA(100 * (QUERY(GOOGLEFINANCE(C152, ""high"", TODAY()-40, TODAY()), ""SELECT Col2 WHERE Col2 IS NOT NULL ORDER BY Col1 DESC LIMIT 20"", 0) / QUERY(GOOGLEFINANCE(C152, ""low"", TODAY()-40, TODAY()), ""SELECT Col2 WHERE Col2 IS NOT NULL OR"&amp;"DER BY Col1 DESC LIMIT 20"", 0) - 1)))"),"#N/A")</f>
        <v>#N/A</v>
      </c>
      <c r="H152" s="35" t="str">
        <f t="shared" si="35"/>
        <v>Illiquid</v>
      </c>
      <c r="I152" s="35" t="str">
        <f t="shared" si="7"/>
        <v>RVol Required</v>
      </c>
      <c r="J152" s="37">
        <f>IFERROR(__xludf.DUMMYFUNCTION("IFERROR(
  IF(C152="""",, 
    IFERROR(
      GOOGLEFINANCE(C152, ""price"") * GOOGLEFINANCE(C152, ""volumeavg""), 
      GOOGLEFINANCE(C152, ""price"") * AVERAGE(QUERY(GOOGLEFINANCE(C152, ""volume"", TODAY()-40, TODAY()), ""SELECT Col2 WHERE Col2 IS NOT "&amp;"NULL ORDER BY Col1 DESC LIMIT 20"", 0))
    )
  ), 
"""")"),2857942.07)</f>
        <v>2857942.07</v>
      </c>
      <c r="K152" s="21">
        <f>IFERROR(__xludf.DUMMYFUNCTION("IFERROR(GOOGLEFINANCE(C152, ""changepct"") / 100, """")"),0.0040999999999999995)</f>
        <v>0.0041</v>
      </c>
      <c r="L152" s="21" t="str">
        <f>IFERROR(__xludf.DUMMYFUNCTION("IFERROR((GOOGLEFINANCE(C152, ""price"") / INDEX(GOOGLEFINANCE(C152, ""price"", TODAY()-7, TODAY()), 2, 2)) - 1, """")"),"")</f>
        <v/>
      </c>
      <c r="M152" s="21" t="str">
        <f>IFERROR(__xludf.DUMMYFUNCTION("IFERROR((GOOGLEFINANCE(C152, ""price"") / INDEX(GOOGLEFINANCE(C152, ""price"", EDATE(TODAY(), -1), TODAY()), 2, 2)) - 1, """")"),"")</f>
        <v/>
      </c>
      <c r="N152" s="21" t="str">
        <f>IFERROR(__xludf.DUMMYFUNCTION("IFERROR((GOOGLEFINANCE(C152, ""price"") / INDEX(GOOGLEFINANCE(C152, ""price"", EDATE(TODAY(), -3), TODAY()), 2, 2)) - 1, """")"),"")</f>
        <v/>
      </c>
      <c r="O152" s="21" t="str">
        <f>IFERROR(__xludf.DUMMYFUNCTION("IFERROR((GOOGLEFINANCE(C152, ""price"") / INDEX(GOOGLEFINANCE(C152, ""price"", EDATE(TODAY(), -6), TODAY()), 2, 2)) - 1, """")"),"")</f>
        <v/>
      </c>
      <c r="P152" s="21" t="str">
        <f>IFERROR(__xludf.DUMMYFUNCTION("IFERROR((GOOGLEFINANCE(C152, ""price"") / INDEX(GOOGLEFINANCE(C152, ""price"", EDATE(TODAY(), -12), TODAY()), 2, 2)) - 1, """")"),"")</f>
        <v/>
      </c>
      <c r="Q152" s="6" t="str">
        <f>IFERROR(__xludf.DUMMYFUNCTION("AVERAGE(QUERY(GOOGLEFINANCE(C152, ""price"", TODAY()-80, TODAY()), ""SELECT Col2 WHERE Col2 IS NOT NULL ORDER BY Col1 DESC LIMIT 50"", 0))"),"#N/A")</f>
        <v>#N/A</v>
      </c>
      <c r="R152" s="24" t="str">
        <f>IFERROR(__xludf.DUMMYFUNCTION("IFERROR(
  LET(
    data, QUERY(GOOGLEFINANCE(C152,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GOOGLEFINANCE(C152, ""price"")) * 100,
    IF(calc=0, G152, calc)
  ), 
G152)"),"#N/A")</f>
        <v>#N/A</v>
      </c>
      <c r="S152" s="8" t="s">
        <v>15</v>
      </c>
      <c r="T152" s="26" t="str">
        <f>IFERROR(__xludf.DUMMYFUNCTION("IFERROR(TRANSPOSE(QUERY(IFERROR(SORT(GOOGLEFINANCE(C152, ""price"", WORKDAY(TODAY(), -40), TODAY()), 1, FALSE)), ""select Col2 where Col2 is not null limit 22 label Col2 ''"", 0)), """")"),"")</f>
        <v/>
      </c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8"/>
      <c r="AO152" s="28"/>
      <c r="AP152" s="29"/>
      <c r="AQ152" s="29" t="str">
        <f t="shared" ref="AQ152:BL152" si="156">T152/T$2</f>
        <v>#N/A</v>
      </c>
      <c r="AR152" s="29" t="str">
        <f t="shared" si="156"/>
        <v>#DIV/0!</v>
      </c>
      <c r="AS152" s="29" t="str">
        <f t="shared" si="156"/>
        <v>#DIV/0!</v>
      </c>
      <c r="AT152" s="29" t="str">
        <f t="shared" si="156"/>
        <v>#DIV/0!</v>
      </c>
      <c r="AU152" s="29" t="str">
        <f t="shared" si="156"/>
        <v>#DIV/0!</v>
      </c>
      <c r="AV152" s="29" t="str">
        <f t="shared" si="156"/>
        <v>#DIV/0!</v>
      </c>
      <c r="AW152" s="29" t="str">
        <f t="shared" si="156"/>
        <v>#DIV/0!</v>
      </c>
      <c r="AX152" s="29" t="str">
        <f t="shared" si="156"/>
        <v>#DIV/0!</v>
      </c>
      <c r="AY152" s="29" t="str">
        <f t="shared" si="156"/>
        <v>#DIV/0!</v>
      </c>
      <c r="AZ152" s="29" t="str">
        <f t="shared" si="156"/>
        <v>#DIV/0!</v>
      </c>
      <c r="BA152" s="29" t="str">
        <f t="shared" si="156"/>
        <v>#DIV/0!</v>
      </c>
      <c r="BB152" s="29" t="str">
        <f t="shared" si="156"/>
        <v>#DIV/0!</v>
      </c>
      <c r="BC152" s="29" t="str">
        <f t="shared" si="156"/>
        <v>#DIV/0!</v>
      </c>
      <c r="BD152" s="29" t="str">
        <f t="shared" si="156"/>
        <v>#DIV/0!</v>
      </c>
      <c r="BE152" s="29" t="str">
        <f t="shared" si="156"/>
        <v>#DIV/0!</v>
      </c>
      <c r="BF152" s="29" t="str">
        <f t="shared" si="156"/>
        <v>#DIV/0!</v>
      </c>
      <c r="BG152" s="29" t="str">
        <f t="shared" si="156"/>
        <v>#DIV/0!</v>
      </c>
      <c r="BH152" s="29" t="str">
        <f t="shared" si="156"/>
        <v>#DIV/0!</v>
      </c>
      <c r="BI152" s="29" t="str">
        <f t="shared" si="156"/>
        <v>#DIV/0!</v>
      </c>
      <c r="BJ152" s="29" t="str">
        <f t="shared" si="156"/>
        <v>#DIV/0!</v>
      </c>
      <c r="BK152" s="29" t="str">
        <f t="shared" si="156"/>
        <v>#DIV/0!</v>
      </c>
      <c r="BL152" s="29" t="str">
        <f t="shared" si="156"/>
        <v>#DIV/0!</v>
      </c>
      <c r="BM152" s="29" t="str">
        <f t="shared" si="3"/>
        <v>#DIV/0!</v>
      </c>
    </row>
    <row r="153">
      <c r="A153" s="16" t="str">
        <f>IFERROR(__xludf.DUMMYFUNCTION("IFERROR(SPARKLINE(SORT(MAP(TRANSPOSE(AQ153:BL153), LAMBDA(val, IF(ISNUMBER(val), PERCENTRANK(AQ153:BL153, val)+0.01, 0))), SEQUENCE(COLUMNS(AQ153:BL153)), FALSE), {""charttype"",""column""; ""color"",""chartreuse""; ""ymin"", 0; ""ymax"", 1.01; ""highcolo"&amp;"r"", ""darkgreen""; ""lowcolor"", ""red""}), """")"),"")</f>
        <v/>
      </c>
      <c r="B153" s="17" t="str">
        <f t="shared" si="4"/>
        <v/>
      </c>
      <c r="C153" s="1" t="s">
        <v>3322</v>
      </c>
      <c r="D153" s="30" t="str">
        <f>IFERROR(__xludf.DUMMYFUNCTION("IFERROR(GOOGLEFINANCE(C153, ""NAME""))"),"Quaker Chemical Corp")</f>
        <v>Quaker Chemical Corp</v>
      </c>
      <c r="E153" s="30" t="s">
        <v>2995</v>
      </c>
      <c r="F153" s="33" t="str">
        <f>IFERROR(__xludf.DUMMYFUNCTION("( (GOOGLEFINANCE(C153, ""price"") - Q153) / Q153 ) / (R153 / 100)"),"Loading...")</f>
        <v>Loading...</v>
      </c>
      <c r="G153" s="20" t="str">
        <f>IFERROR(__xludf.DUMMYFUNCTION("AVERAGE(ARRAYFORMULA(100 * (QUERY(GOOGLEFINANCE(C153, ""high"", TODAY()-40, TODAY()), ""SELECT Col2 WHERE Col2 IS NOT NULL ORDER BY Col1 DESC LIMIT 20"", 0) / QUERY(GOOGLEFINANCE(C153, ""low"", TODAY()-40, TODAY()), ""SELECT Col2 WHERE Col2 IS NOT NULL OR"&amp;"DER BY Col1 DESC LIMIT 20"", 0) - 1)))"),"#N/A")</f>
        <v>#N/A</v>
      </c>
      <c r="H153" s="35" t="str">
        <f t="shared" si="35"/>
        <v>Illiquid</v>
      </c>
      <c r="I153" s="35" t="str">
        <f t="shared" si="7"/>
        <v>RVol Required</v>
      </c>
      <c r="J153" s="37">
        <f>IFERROR(__xludf.DUMMYFUNCTION("IFERROR(
  IF(C153="""",, 
    IFERROR(
      GOOGLEFINANCE(C153, ""price"") * GOOGLEFINANCE(C153, ""volumeavg""), 
      GOOGLEFINANCE(C153, ""price"") * AVERAGE(QUERY(GOOGLEFINANCE(C153, ""volume"", TODAY()-40, TODAY()), ""SELECT Col2 WHERE Col2 IS NOT "&amp;"NULL ORDER BY Col1 DESC LIMIT 20"", 0))
    )
  ), 
"""")"),2.2693590720000003E7)</f>
        <v>22693590.72</v>
      </c>
      <c r="K153" s="21">
        <f>IFERROR(__xludf.DUMMYFUNCTION("IFERROR(GOOGLEFINANCE(C153, ""changepct"") / 100, """")"),-0.0067)</f>
        <v>-0.0067</v>
      </c>
      <c r="L153" s="21" t="str">
        <f>IFERROR(__xludf.DUMMYFUNCTION("IFERROR((GOOGLEFINANCE(C153, ""price"") / INDEX(GOOGLEFINANCE(C153, ""price"", TODAY()-7, TODAY()), 2, 2)) - 1, """")"),"")</f>
        <v/>
      </c>
      <c r="M153" s="21" t="str">
        <f>IFERROR(__xludf.DUMMYFUNCTION("IFERROR((GOOGLEFINANCE(C153, ""price"") / INDEX(GOOGLEFINANCE(C153, ""price"", EDATE(TODAY(), -1), TODAY()), 2, 2)) - 1, """")"),"")</f>
        <v/>
      </c>
      <c r="N153" s="21" t="str">
        <f>IFERROR(__xludf.DUMMYFUNCTION("IFERROR((GOOGLEFINANCE(C153, ""price"") / INDEX(GOOGLEFINANCE(C153, ""price"", EDATE(TODAY(), -3), TODAY()), 2, 2)) - 1, """")"),"")</f>
        <v/>
      </c>
      <c r="O153" s="21" t="str">
        <f>IFERROR(__xludf.DUMMYFUNCTION("IFERROR((GOOGLEFINANCE(C153, ""price"") / INDEX(GOOGLEFINANCE(C153, ""price"", EDATE(TODAY(), -6), TODAY()), 2, 2)) - 1, """")"),"")</f>
        <v/>
      </c>
      <c r="P153" s="21" t="str">
        <f>IFERROR(__xludf.DUMMYFUNCTION("IFERROR((GOOGLEFINANCE(C153, ""price"") / INDEX(GOOGLEFINANCE(C153, ""price"", EDATE(TODAY(), -12), TODAY()), 2, 2)) - 1, """")"),"")</f>
        <v/>
      </c>
      <c r="Q153" s="6" t="str">
        <f>IFERROR(__xludf.DUMMYFUNCTION("AVERAGE(QUERY(GOOGLEFINANCE(C153, ""price"", TODAY()-80, TODAY()), ""SELECT Col2 WHERE Col2 IS NOT NULL ORDER BY Col1 DESC LIMIT 50"", 0))"),"#N/A")</f>
        <v>#N/A</v>
      </c>
      <c r="R153" s="24" t="str">
        <f>IFERROR(__xludf.DUMMYFUNCTION("IFERROR(
  LET(
    data, QUERY(GOOGLEFINANCE(C153,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GOOGLEFINANCE(C153, ""price"")) * 100,
    IF(calc=0, G153, calc)
  ), 
G153)"),"#N/A")</f>
        <v>#N/A</v>
      </c>
      <c r="S153" s="8" t="s">
        <v>15</v>
      </c>
      <c r="T153" s="26" t="str">
        <f>IFERROR(__xludf.DUMMYFUNCTION("IFERROR(TRANSPOSE(QUERY(IFERROR(SORT(GOOGLEFINANCE(C153, ""price"", WORKDAY(TODAY(), -40), TODAY()), 1, FALSE)), ""select Col2 where Col2 is not null limit 22 label Col2 ''"", 0)), """")"),"")</f>
        <v/>
      </c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8"/>
      <c r="AO153" s="28"/>
      <c r="AP153" s="29"/>
      <c r="AQ153" s="29" t="str">
        <f t="shared" ref="AQ153:BL153" si="157">T153/T$2</f>
        <v>#N/A</v>
      </c>
      <c r="AR153" s="29" t="str">
        <f t="shared" si="157"/>
        <v>#DIV/0!</v>
      </c>
      <c r="AS153" s="29" t="str">
        <f t="shared" si="157"/>
        <v>#DIV/0!</v>
      </c>
      <c r="AT153" s="29" t="str">
        <f t="shared" si="157"/>
        <v>#DIV/0!</v>
      </c>
      <c r="AU153" s="29" t="str">
        <f t="shared" si="157"/>
        <v>#DIV/0!</v>
      </c>
      <c r="AV153" s="29" t="str">
        <f t="shared" si="157"/>
        <v>#DIV/0!</v>
      </c>
      <c r="AW153" s="29" t="str">
        <f t="shared" si="157"/>
        <v>#DIV/0!</v>
      </c>
      <c r="AX153" s="29" t="str">
        <f t="shared" si="157"/>
        <v>#DIV/0!</v>
      </c>
      <c r="AY153" s="29" t="str">
        <f t="shared" si="157"/>
        <v>#DIV/0!</v>
      </c>
      <c r="AZ153" s="29" t="str">
        <f t="shared" si="157"/>
        <v>#DIV/0!</v>
      </c>
      <c r="BA153" s="29" t="str">
        <f t="shared" si="157"/>
        <v>#DIV/0!</v>
      </c>
      <c r="BB153" s="29" t="str">
        <f t="shared" si="157"/>
        <v>#DIV/0!</v>
      </c>
      <c r="BC153" s="29" t="str">
        <f t="shared" si="157"/>
        <v>#DIV/0!</v>
      </c>
      <c r="BD153" s="29" t="str">
        <f t="shared" si="157"/>
        <v>#DIV/0!</v>
      </c>
      <c r="BE153" s="29" t="str">
        <f t="shared" si="157"/>
        <v>#DIV/0!</v>
      </c>
      <c r="BF153" s="29" t="str">
        <f t="shared" si="157"/>
        <v>#DIV/0!</v>
      </c>
      <c r="BG153" s="29" t="str">
        <f t="shared" si="157"/>
        <v>#DIV/0!</v>
      </c>
      <c r="BH153" s="29" t="str">
        <f t="shared" si="157"/>
        <v>#DIV/0!</v>
      </c>
      <c r="BI153" s="29" t="str">
        <f t="shared" si="157"/>
        <v>#DIV/0!</v>
      </c>
      <c r="BJ153" s="29" t="str">
        <f t="shared" si="157"/>
        <v>#DIV/0!</v>
      </c>
      <c r="BK153" s="29" t="str">
        <f t="shared" si="157"/>
        <v>#DIV/0!</v>
      </c>
      <c r="BL153" s="29" t="str">
        <f t="shared" si="157"/>
        <v>#DIV/0!</v>
      </c>
      <c r="BM153" s="29" t="str">
        <f t="shared" si="3"/>
        <v>#DIV/0!</v>
      </c>
    </row>
    <row r="154">
      <c r="A154" s="16" t="str">
        <f>IFERROR(__xludf.DUMMYFUNCTION("IFERROR(SPARKLINE(SORT(MAP(TRANSPOSE(AQ154:BL154), LAMBDA(val, IF(ISNUMBER(val), PERCENTRANK(AQ154:BL154, val)+0.01, 0))), SEQUENCE(COLUMNS(AQ154:BL154)), FALSE), {""charttype"",""column""; ""color"",""chartreuse""; ""ymin"", 0; ""ymax"", 1.01; ""highcolo"&amp;"r"", ""darkgreen""; ""lowcolor"", ""red""}), """")"),"")</f>
        <v/>
      </c>
      <c r="B154" s="17" t="str">
        <f t="shared" si="4"/>
        <v/>
      </c>
      <c r="C154" s="1" t="s">
        <v>3323</v>
      </c>
      <c r="D154" s="30" t="str">
        <f>IFERROR(__xludf.DUMMYFUNCTION("IFERROR(GOOGLEFINANCE(C154, ""NAME""))"),"Sigma Lithium Corp")</f>
        <v>Sigma Lithium Corp</v>
      </c>
      <c r="E154" s="30" t="s">
        <v>2935</v>
      </c>
      <c r="F154" s="33" t="str">
        <f>IFERROR(__xludf.DUMMYFUNCTION("( (GOOGLEFINANCE(C154, ""price"") - Q154) / Q154 ) / (R154 / 100)"),"Loading...")</f>
        <v>Loading...</v>
      </c>
      <c r="G154" s="20" t="str">
        <f>IFERROR(__xludf.DUMMYFUNCTION("AVERAGE(ARRAYFORMULA(100 * (QUERY(GOOGLEFINANCE(C154, ""high"", TODAY()-40, TODAY()), ""SELECT Col2 WHERE Col2 IS NOT NULL ORDER BY Col1 DESC LIMIT 20"", 0) / QUERY(GOOGLEFINANCE(C154, ""low"", TODAY()-40, TODAY()), ""SELECT Col2 WHERE Col2 IS NOT NULL OR"&amp;"DER BY Col1 DESC LIMIT 20"", 0) - 1)))"),"#N/A")</f>
        <v>#N/A</v>
      </c>
      <c r="H154" s="35" t="str">
        <f t="shared" si="35"/>
        <v>Illiquid</v>
      </c>
      <c r="I154" s="35" t="str">
        <f t="shared" si="7"/>
        <v>RVol Required</v>
      </c>
      <c r="J154" s="37">
        <f>IFERROR(__xludf.DUMMYFUNCTION("IFERROR(
  IF(C154="""",, 
    IFERROR(
      GOOGLEFINANCE(C154, ""price"") * GOOGLEFINANCE(C154, ""volumeavg""), 
      GOOGLEFINANCE(C154, ""price"") * AVERAGE(QUERY(GOOGLEFINANCE(C154, ""volume"", TODAY()-40, TODAY()), ""SELECT Col2 WHERE Col2 IS NOT "&amp;"NULL ORDER BY Col1 DESC LIMIT 20"", 0))
    )
  ), 
"""")"),2.0525448979999997E7)</f>
        <v>20525448.98</v>
      </c>
      <c r="K154" s="21">
        <f>IFERROR(__xludf.DUMMYFUNCTION("IFERROR(GOOGLEFINANCE(C154, ""changepct"") / 100, """")"),-0.0296)</f>
        <v>-0.0296</v>
      </c>
      <c r="L154" s="21" t="str">
        <f>IFERROR(__xludf.DUMMYFUNCTION("IFERROR((GOOGLEFINANCE(C154, ""price"") / INDEX(GOOGLEFINANCE(C154, ""price"", TODAY()-7, TODAY()), 2, 2)) - 1, """")"),"")</f>
        <v/>
      </c>
      <c r="M154" s="21" t="str">
        <f>IFERROR(__xludf.DUMMYFUNCTION("IFERROR((GOOGLEFINANCE(C154, ""price"") / INDEX(GOOGLEFINANCE(C154, ""price"", EDATE(TODAY(), -1), TODAY()), 2, 2)) - 1, """")"),"")</f>
        <v/>
      </c>
      <c r="N154" s="21" t="str">
        <f>IFERROR(__xludf.DUMMYFUNCTION("IFERROR((GOOGLEFINANCE(C154, ""price"") / INDEX(GOOGLEFINANCE(C154, ""price"", EDATE(TODAY(), -3), TODAY()), 2, 2)) - 1, """")"),"")</f>
        <v/>
      </c>
      <c r="O154" s="21" t="str">
        <f>IFERROR(__xludf.DUMMYFUNCTION("IFERROR((GOOGLEFINANCE(C154, ""price"") / INDEX(GOOGLEFINANCE(C154, ""price"", EDATE(TODAY(), -6), TODAY()), 2, 2)) - 1, """")"),"")</f>
        <v/>
      </c>
      <c r="P154" s="21" t="str">
        <f>IFERROR(__xludf.DUMMYFUNCTION("IFERROR((GOOGLEFINANCE(C154, ""price"") / INDEX(GOOGLEFINANCE(C154, ""price"", EDATE(TODAY(), -12), TODAY()), 2, 2)) - 1, """")"),"")</f>
        <v/>
      </c>
      <c r="Q154" s="6" t="str">
        <f>IFERROR(__xludf.DUMMYFUNCTION("AVERAGE(QUERY(GOOGLEFINANCE(C154, ""price"", TODAY()-80, TODAY()), ""SELECT Col2 WHERE Col2 IS NOT NULL ORDER BY Col1 DESC LIMIT 50"", 0))"),"#N/A")</f>
        <v>#N/A</v>
      </c>
      <c r="R154" s="24" t="str">
        <f>IFERROR(__xludf.DUMMYFUNCTION("IFERROR(
  LET(
    data, QUERY(GOOGLEFINANCE(C154,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GOOGLEFINANCE(C154, ""price"")) * 100,
    IF(calc=0, G154, calc)
  ), 
G154)"),"#N/A")</f>
        <v>#N/A</v>
      </c>
      <c r="S154" s="8" t="s">
        <v>15</v>
      </c>
      <c r="T154" s="26" t="str">
        <f>IFERROR(__xludf.DUMMYFUNCTION("IFERROR(TRANSPOSE(QUERY(IFERROR(SORT(GOOGLEFINANCE(C154, ""price"", WORKDAY(TODAY(), -40), TODAY()), 1, FALSE)), ""select Col2 where Col2 is not null limit 22 label Col2 ''"", 0)), """")"),"")</f>
        <v/>
      </c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8"/>
      <c r="AO154" s="28"/>
      <c r="AP154" s="29"/>
      <c r="AQ154" s="29" t="str">
        <f t="shared" ref="AQ154:BL154" si="158">T154/T$2</f>
        <v>#N/A</v>
      </c>
      <c r="AR154" s="29" t="str">
        <f t="shared" si="158"/>
        <v>#DIV/0!</v>
      </c>
      <c r="AS154" s="29" t="str">
        <f t="shared" si="158"/>
        <v>#DIV/0!</v>
      </c>
      <c r="AT154" s="29" t="str">
        <f t="shared" si="158"/>
        <v>#DIV/0!</v>
      </c>
      <c r="AU154" s="29" t="str">
        <f t="shared" si="158"/>
        <v>#DIV/0!</v>
      </c>
      <c r="AV154" s="29" t="str">
        <f t="shared" si="158"/>
        <v>#DIV/0!</v>
      </c>
      <c r="AW154" s="29" t="str">
        <f t="shared" si="158"/>
        <v>#DIV/0!</v>
      </c>
      <c r="AX154" s="29" t="str">
        <f t="shared" si="158"/>
        <v>#DIV/0!</v>
      </c>
      <c r="AY154" s="29" t="str">
        <f t="shared" si="158"/>
        <v>#DIV/0!</v>
      </c>
      <c r="AZ154" s="29" t="str">
        <f t="shared" si="158"/>
        <v>#DIV/0!</v>
      </c>
      <c r="BA154" s="29" t="str">
        <f t="shared" si="158"/>
        <v>#DIV/0!</v>
      </c>
      <c r="BB154" s="29" t="str">
        <f t="shared" si="158"/>
        <v>#DIV/0!</v>
      </c>
      <c r="BC154" s="29" t="str">
        <f t="shared" si="158"/>
        <v>#DIV/0!</v>
      </c>
      <c r="BD154" s="29" t="str">
        <f t="shared" si="158"/>
        <v>#DIV/0!</v>
      </c>
      <c r="BE154" s="29" t="str">
        <f t="shared" si="158"/>
        <v>#DIV/0!</v>
      </c>
      <c r="BF154" s="29" t="str">
        <f t="shared" si="158"/>
        <v>#DIV/0!</v>
      </c>
      <c r="BG154" s="29" t="str">
        <f t="shared" si="158"/>
        <v>#DIV/0!</v>
      </c>
      <c r="BH154" s="29" t="str">
        <f t="shared" si="158"/>
        <v>#DIV/0!</v>
      </c>
      <c r="BI154" s="29" t="str">
        <f t="shared" si="158"/>
        <v>#DIV/0!</v>
      </c>
      <c r="BJ154" s="29" t="str">
        <f t="shared" si="158"/>
        <v>#DIV/0!</v>
      </c>
      <c r="BK154" s="29" t="str">
        <f t="shared" si="158"/>
        <v>#DIV/0!</v>
      </c>
      <c r="BL154" s="29" t="str">
        <f t="shared" si="158"/>
        <v>#DIV/0!</v>
      </c>
      <c r="BM154" s="29" t="str">
        <f t="shared" si="3"/>
        <v>#DIV/0!</v>
      </c>
    </row>
    <row r="155">
      <c r="A155" s="16" t="str">
        <f>IFERROR(__xludf.DUMMYFUNCTION("IFERROR(SPARKLINE(SORT(MAP(TRANSPOSE(AQ155:BL155), LAMBDA(val, IF(ISNUMBER(val), PERCENTRANK(AQ155:BL155, val)+0.01, 0))), SEQUENCE(COLUMNS(AQ155:BL155)), FALSE), {""charttype"",""column""; ""color"",""chartreuse""; ""ymin"", 0; ""ymax"", 1.01; ""highcolo"&amp;"r"", ""darkgreen""; ""lowcolor"", ""red""}), """")"),"")</f>
        <v/>
      </c>
      <c r="B155" s="17" t="str">
        <f t="shared" si="4"/>
        <v/>
      </c>
      <c r="C155" s="1" t="s">
        <v>3324</v>
      </c>
      <c r="D155" s="30" t="str">
        <f>IFERROR(__xludf.DUMMYFUNCTION("IFERROR(GOOGLEFINANCE(C155, ""NAME""))"),"Titan Mining Corp")</f>
        <v>Titan Mining Corp</v>
      </c>
      <c r="E155" s="30" t="s">
        <v>2935</v>
      </c>
      <c r="F155" s="33" t="str">
        <f>IFERROR(__xludf.DUMMYFUNCTION("( (GOOGLEFINANCE(C155, ""price"") - Q155) / Q155 ) / (R155 / 100)"),"Loading...")</f>
        <v>Loading...</v>
      </c>
      <c r="G155" s="20" t="str">
        <f>IFERROR(__xludf.DUMMYFUNCTION("AVERAGE(ARRAYFORMULA(100 * (QUERY(GOOGLEFINANCE(C155, ""high"", TODAY()-40, TODAY()), ""SELECT Col2 WHERE Col2 IS NOT NULL ORDER BY Col1 DESC LIMIT 20"", 0) / QUERY(GOOGLEFINANCE(C155, ""low"", TODAY()-40, TODAY()), ""SELECT Col2 WHERE Col2 IS NOT NULL OR"&amp;"DER BY Col1 DESC LIMIT 20"", 0) - 1)))"),"#N/A")</f>
        <v>#N/A</v>
      </c>
      <c r="H155" s="35" t="str">
        <f t="shared" si="35"/>
        <v>Illiquid</v>
      </c>
      <c r="I155" s="35" t="str">
        <f t="shared" si="7"/>
        <v>RVol Required</v>
      </c>
      <c r="J155" s="37">
        <f>IFERROR(__xludf.DUMMYFUNCTION("IFERROR(
  IF(C155="""",, 
    IFERROR(
      GOOGLEFINANCE(C155, ""price"") * GOOGLEFINANCE(C155, ""volumeavg""), 
      GOOGLEFINANCE(C155, ""price"") * AVERAGE(QUERY(GOOGLEFINANCE(C155, ""volume"", TODAY()-40, TODAY()), ""SELECT Col2 WHERE Col2 IS NOT "&amp;"NULL ORDER BY Col1 DESC LIMIT 20"", 0))
    )
  ), 
"""")"),504884.25)</f>
        <v>504884.25</v>
      </c>
      <c r="K155" s="21">
        <f>IFERROR(__xludf.DUMMYFUNCTION("IFERROR(GOOGLEFINANCE(C155, ""changepct"") / 100, """")"),-0.0394)</f>
        <v>-0.0394</v>
      </c>
      <c r="L155" s="21" t="str">
        <f>IFERROR(__xludf.DUMMYFUNCTION("IFERROR((GOOGLEFINANCE(C155, ""price"") / INDEX(GOOGLEFINANCE(C155, ""price"", TODAY()-7, TODAY()), 2, 2)) - 1, """")"),"")</f>
        <v/>
      </c>
      <c r="M155" s="21" t="str">
        <f>IFERROR(__xludf.DUMMYFUNCTION("IFERROR((GOOGLEFINANCE(C155, ""price"") / INDEX(GOOGLEFINANCE(C155, ""price"", EDATE(TODAY(), -1), TODAY()), 2, 2)) - 1, """")"),"")</f>
        <v/>
      </c>
      <c r="N155" s="21" t="str">
        <f>IFERROR(__xludf.DUMMYFUNCTION("IFERROR((GOOGLEFINANCE(C155, ""price"") / INDEX(GOOGLEFINANCE(C155, ""price"", EDATE(TODAY(), -3), TODAY()), 2, 2)) - 1, """")"),"")</f>
        <v/>
      </c>
      <c r="O155" s="21" t="str">
        <f>IFERROR(__xludf.DUMMYFUNCTION("IFERROR((GOOGLEFINANCE(C155, ""price"") / INDEX(GOOGLEFINANCE(C155, ""price"", EDATE(TODAY(), -6), TODAY()), 2, 2)) - 1, """")"),"")</f>
        <v/>
      </c>
      <c r="P155" s="21" t="str">
        <f>IFERROR(__xludf.DUMMYFUNCTION("IFERROR((GOOGLEFINANCE(C155, ""price"") / INDEX(GOOGLEFINANCE(C155, ""price"", EDATE(TODAY(), -12), TODAY()), 2, 2)) - 1, """")"),"")</f>
        <v/>
      </c>
      <c r="Q155" s="6" t="str">
        <f>IFERROR(__xludf.DUMMYFUNCTION("AVERAGE(QUERY(GOOGLEFINANCE(C155, ""price"", TODAY()-80, TODAY()), ""SELECT Col2 WHERE Col2 IS NOT NULL ORDER BY Col1 DESC LIMIT 50"", 0))"),"#N/A")</f>
        <v>#N/A</v>
      </c>
      <c r="R155" s="24" t="str">
        <f>IFERROR(__xludf.DUMMYFUNCTION("IFERROR(
  LET(
    data, QUERY(GOOGLEFINANCE(C155,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GOOGLEFINANCE(C155, ""price"")) * 100,
    IF(calc=0, G155, calc)
  ), 
G155)"),"#N/A")</f>
        <v>#N/A</v>
      </c>
      <c r="S155" s="8" t="s">
        <v>15</v>
      </c>
      <c r="T155" s="26" t="str">
        <f>IFERROR(__xludf.DUMMYFUNCTION("IFERROR(TRANSPOSE(QUERY(IFERROR(SORT(GOOGLEFINANCE(C155, ""price"", WORKDAY(TODAY(), -40), TODAY()), 1, FALSE)), ""select Col2 where Col2 is not null limit 22 label Col2 ''"", 0)), """")"),"")</f>
        <v/>
      </c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8"/>
      <c r="AO155" s="28"/>
      <c r="AP155" s="29"/>
      <c r="AQ155" s="29" t="str">
        <f t="shared" ref="AQ155:BL155" si="159">T155/T$2</f>
        <v>#N/A</v>
      </c>
      <c r="AR155" s="29" t="str">
        <f t="shared" si="159"/>
        <v>#DIV/0!</v>
      </c>
      <c r="AS155" s="29" t="str">
        <f t="shared" si="159"/>
        <v>#DIV/0!</v>
      </c>
      <c r="AT155" s="29" t="str">
        <f t="shared" si="159"/>
        <v>#DIV/0!</v>
      </c>
      <c r="AU155" s="29" t="str">
        <f t="shared" si="159"/>
        <v>#DIV/0!</v>
      </c>
      <c r="AV155" s="29" t="str">
        <f t="shared" si="159"/>
        <v>#DIV/0!</v>
      </c>
      <c r="AW155" s="29" t="str">
        <f t="shared" si="159"/>
        <v>#DIV/0!</v>
      </c>
      <c r="AX155" s="29" t="str">
        <f t="shared" si="159"/>
        <v>#DIV/0!</v>
      </c>
      <c r="AY155" s="29" t="str">
        <f t="shared" si="159"/>
        <v>#DIV/0!</v>
      </c>
      <c r="AZ155" s="29" t="str">
        <f t="shared" si="159"/>
        <v>#DIV/0!</v>
      </c>
      <c r="BA155" s="29" t="str">
        <f t="shared" si="159"/>
        <v>#DIV/0!</v>
      </c>
      <c r="BB155" s="29" t="str">
        <f t="shared" si="159"/>
        <v>#DIV/0!</v>
      </c>
      <c r="BC155" s="29" t="str">
        <f t="shared" si="159"/>
        <v>#DIV/0!</v>
      </c>
      <c r="BD155" s="29" t="str">
        <f t="shared" si="159"/>
        <v>#DIV/0!</v>
      </c>
      <c r="BE155" s="29" t="str">
        <f t="shared" si="159"/>
        <v>#DIV/0!</v>
      </c>
      <c r="BF155" s="29" t="str">
        <f t="shared" si="159"/>
        <v>#DIV/0!</v>
      </c>
      <c r="BG155" s="29" t="str">
        <f t="shared" si="159"/>
        <v>#DIV/0!</v>
      </c>
      <c r="BH155" s="29" t="str">
        <f t="shared" si="159"/>
        <v>#DIV/0!</v>
      </c>
      <c r="BI155" s="29" t="str">
        <f t="shared" si="159"/>
        <v>#DIV/0!</v>
      </c>
      <c r="BJ155" s="29" t="str">
        <f t="shared" si="159"/>
        <v>#DIV/0!</v>
      </c>
      <c r="BK155" s="29" t="str">
        <f t="shared" si="159"/>
        <v>#DIV/0!</v>
      </c>
      <c r="BL155" s="29" t="str">
        <f t="shared" si="159"/>
        <v>#DIV/0!</v>
      </c>
      <c r="BM155" s="29" t="str">
        <f t="shared" si="3"/>
        <v>#DIV/0!</v>
      </c>
    </row>
    <row r="156">
      <c r="A156" s="16" t="str">
        <f>IFERROR(__xludf.DUMMYFUNCTION("IFERROR(SPARKLINE(SORT(MAP(TRANSPOSE(AQ156:BL156), LAMBDA(val, IF(ISNUMBER(val), PERCENTRANK(AQ156:BL156, val)+0.01, 0))), SEQUENCE(COLUMNS(AQ156:BL156)), FALSE), {""charttype"",""column""; ""color"",""chartreuse""; ""ymin"", 0; ""ymax"", 1.01; ""highcolo"&amp;"r"", ""darkgreen""; ""lowcolor"", ""red""}), """")"),"")</f>
        <v/>
      </c>
      <c r="B156" s="17" t="str">
        <f t="shared" si="4"/>
        <v/>
      </c>
      <c r="C156" s="1" t="s">
        <v>3325</v>
      </c>
      <c r="D156" s="30" t="str">
        <f>IFERROR(__xludf.DUMMYFUNCTION("IFERROR(GOOGLEFINANCE(C156, ""NAME""))"),"Commercial Metals Co")</f>
        <v>Commercial Metals Co</v>
      </c>
      <c r="E156" s="30" t="s">
        <v>3004</v>
      </c>
      <c r="F156" s="33" t="str">
        <f>IFERROR(__xludf.DUMMYFUNCTION("( (GOOGLEFINANCE(C156, ""price"") - Q156) / Q156 ) / (R156 / 100)"),"Loading...")</f>
        <v>Loading...</v>
      </c>
      <c r="G156" s="20" t="str">
        <f>IFERROR(__xludf.DUMMYFUNCTION("AVERAGE(ARRAYFORMULA(100 * (QUERY(GOOGLEFINANCE(C156, ""high"", TODAY()-40, TODAY()), ""SELECT Col2 WHERE Col2 IS NOT NULL ORDER BY Col1 DESC LIMIT 20"", 0) / QUERY(GOOGLEFINANCE(C156, ""low"", TODAY()-40, TODAY()), ""SELECT Col2 WHERE Col2 IS NOT NULL OR"&amp;"DER BY Col1 DESC LIMIT 20"", 0) - 1)))"),"#N/A")</f>
        <v>#N/A</v>
      </c>
      <c r="H156" s="35" t="str">
        <f t="shared" si="35"/>
        <v>Liquid</v>
      </c>
      <c r="I156" s="35" t="str">
        <f t="shared" si="7"/>
        <v>RVol Required</v>
      </c>
      <c r="J156" s="37">
        <f>IFERROR(__xludf.DUMMYFUNCTION("IFERROR(
  IF(C156="""",, 
    IFERROR(
      GOOGLEFINANCE(C156, ""price"") * GOOGLEFINANCE(C156, ""volumeavg""), 
      GOOGLEFINANCE(C156, ""price"") * AVERAGE(QUERY(GOOGLEFINANCE(C156, ""volume"", TODAY()-40, TODAY()), ""SELECT Col2 WHERE Col2 IS NOT "&amp;"NULL ORDER BY Col1 DESC LIMIT 20"", 0))
    )
  ), 
"""")"),7.521116598E7)</f>
        <v>75211165.98</v>
      </c>
      <c r="K156" s="21">
        <f>IFERROR(__xludf.DUMMYFUNCTION("IFERROR(GOOGLEFINANCE(C156, ""changepct"") / 100, """")"),-0.006)</f>
        <v>-0.006</v>
      </c>
      <c r="L156" s="21" t="str">
        <f>IFERROR(__xludf.DUMMYFUNCTION("IFERROR((GOOGLEFINANCE(C156, ""price"") / INDEX(GOOGLEFINANCE(C156, ""price"", TODAY()-7, TODAY()), 2, 2)) - 1, """")"),"")</f>
        <v/>
      </c>
      <c r="M156" s="21" t="str">
        <f>IFERROR(__xludf.DUMMYFUNCTION("IFERROR((GOOGLEFINANCE(C156, ""price"") / INDEX(GOOGLEFINANCE(C156, ""price"", EDATE(TODAY(), -1), TODAY()), 2, 2)) - 1, """")"),"")</f>
        <v/>
      </c>
      <c r="N156" s="21" t="str">
        <f>IFERROR(__xludf.DUMMYFUNCTION("IFERROR((GOOGLEFINANCE(C156, ""price"") / INDEX(GOOGLEFINANCE(C156, ""price"", EDATE(TODAY(), -3), TODAY()), 2, 2)) - 1, """")"),"")</f>
        <v/>
      </c>
      <c r="O156" s="21" t="str">
        <f>IFERROR(__xludf.DUMMYFUNCTION("IFERROR((GOOGLEFINANCE(C156, ""price"") / INDEX(GOOGLEFINANCE(C156, ""price"", EDATE(TODAY(), -6), TODAY()), 2, 2)) - 1, """")"),"")</f>
        <v/>
      </c>
      <c r="P156" s="21" t="str">
        <f>IFERROR(__xludf.DUMMYFUNCTION("IFERROR((GOOGLEFINANCE(C156, ""price"") / INDEX(GOOGLEFINANCE(C156, ""price"", EDATE(TODAY(), -12), TODAY()), 2, 2)) - 1, """")"),"")</f>
        <v/>
      </c>
      <c r="Q156" s="6" t="str">
        <f>IFERROR(__xludf.DUMMYFUNCTION("AVERAGE(QUERY(GOOGLEFINANCE(C156, ""price"", TODAY()-80, TODAY()), ""SELECT Col2 WHERE Col2 IS NOT NULL ORDER BY Col1 DESC LIMIT 50"", 0))"),"#N/A")</f>
        <v>#N/A</v>
      </c>
      <c r="R156" s="24" t="str">
        <f>IFERROR(__xludf.DUMMYFUNCTION("IFERROR(
  LET(
    data, QUERY(GOOGLEFINANCE(C156,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GOOGLEFINANCE(C156, ""price"")) * 100,
    IF(calc=0, G156, calc)
  ), 
G156)"),"#N/A")</f>
        <v>#N/A</v>
      </c>
      <c r="S156" s="8" t="s">
        <v>15</v>
      </c>
      <c r="T156" s="26" t="str">
        <f>IFERROR(__xludf.DUMMYFUNCTION("IFERROR(TRANSPOSE(QUERY(IFERROR(SORT(GOOGLEFINANCE(C156, ""price"", WORKDAY(TODAY(), -40), TODAY()), 1, FALSE)), ""select Col2 where Col2 is not null limit 22 label Col2 ''"", 0)), """")"),"")</f>
        <v/>
      </c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8"/>
      <c r="AO156" s="28"/>
      <c r="AP156" s="29"/>
      <c r="AQ156" s="29" t="str">
        <f t="shared" ref="AQ156:BL156" si="160">T156/T$2</f>
        <v>#N/A</v>
      </c>
      <c r="AR156" s="29" t="str">
        <f t="shared" si="160"/>
        <v>#DIV/0!</v>
      </c>
      <c r="AS156" s="29" t="str">
        <f t="shared" si="160"/>
        <v>#DIV/0!</v>
      </c>
      <c r="AT156" s="29" t="str">
        <f t="shared" si="160"/>
        <v>#DIV/0!</v>
      </c>
      <c r="AU156" s="29" t="str">
        <f t="shared" si="160"/>
        <v>#DIV/0!</v>
      </c>
      <c r="AV156" s="29" t="str">
        <f t="shared" si="160"/>
        <v>#DIV/0!</v>
      </c>
      <c r="AW156" s="29" t="str">
        <f t="shared" si="160"/>
        <v>#DIV/0!</v>
      </c>
      <c r="AX156" s="29" t="str">
        <f t="shared" si="160"/>
        <v>#DIV/0!</v>
      </c>
      <c r="AY156" s="29" t="str">
        <f t="shared" si="160"/>
        <v>#DIV/0!</v>
      </c>
      <c r="AZ156" s="29" t="str">
        <f t="shared" si="160"/>
        <v>#DIV/0!</v>
      </c>
      <c r="BA156" s="29" t="str">
        <f t="shared" si="160"/>
        <v>#DIV/0!</v>
      </c>
      <c r="BB156" s="29" t="str">
        <f t="shared" si="160"/>
        <v>#DIV/0!</v>
      </c>
      <c r="BC156" s="29" t="str">
        <f t="shared" si="160"/>
        <v>#DIV/0!</v>
      </c>
      <c r="BD156" s="29" t="str">
        <f t="shared" si="160"/>
        <v>#DIV/0!</v>
      </c>
      <c r="BE156" s="29" t="str">
        <f t="shared" si="160"/>
        <v>#DIV/0!</v>
      </c>
      <c r="BF156" s="29" t="str">
        <f t="shared" si="160"/>
        <v>#DIV/0!</v>
      </c>
      <c r="BG156" s="29" t="str">
        <f t="shared" si="160"/>
        <v>#DIV/0!</v>
      </c>
      <c r="BH156" s="29" t="str">
        <f t="shared" si="160"/>
        <v>#DIV/0!</v>
      </c>
      <c r="BI156" s="29" t="str">
        <f t="shared" si="160"/>
        <v>#DIV/0!</v>
      </c>
      <c r="BJ156" s="29" t="str">
        <f t="shared" si="160"/>
        <v>#DIV/0!</v>
      </c>
      <c r="BK156" s="29" t="str">
        <f t="shared" si="160"/>
        <v>#DIV/0!</v>
      </c>
      <c r="BL156" s="29" t="str">
        <f t="shared" si="160"/>
        <v>#DIV/0!</v>
      </c>
      <c r="BM156" s="29" t="str">
        <f t="shared" si="3"/>
        <v>#DIV/0!</v>
      </c>
    </row>
    <row r="157">
      <c r="A157" s="16" t="str">
        <f>IFERROR(__xludf.DUMMYFUNCTION("IFERROR(SPARKLINE(SORT(MAP(TRANSPOSE(AQ157:BL157), LAMBDA(val, IF(ISNUMBER(val), PERCENTRANK(AQ157:BL157, val)+0.01, 0))), SEQUENCE(COLUMNS(AQ157:BL157)), FALSE), {""charttype"",""column""; ""color"",""chartreuse""; ""ymin"", 0; ""ymax"", 1.01; ""highcolo"&amp;"r"", ""darkgreen""; ""lowcolor"", ""red""}), """")"),"")</f>
        <v/>
      </c>
      <c r="B157" s="17" t="str">
        <f t="shared" si="4"/>
        <v/>
      </c>
      <c r="C157" s="1" t="s">
        <v>3326</v>
      </c>
      <c r="D157" s="30" t="str">
        <f>IFERROR(__xludf.DUMMYFUNCTION("IFERROR(GOOGLEFINANCE(C157, ""NAME""))"),"Olin Corp")</f>
        <v>Olin Corp</v>
      </c>
      <c r="E157" s="30" t="s">
        <v>3035</v>
      </c>
      <c r="F157" s="33" t="str">
        <f>IFERROR(__xludf.DUMMYFUNCTION("( (GOOGLEFINANCE(C157, ""price"") - Q157) / Q157 ) / (R157 / 100)"),"Loading...")</f>
        <v>Loading...</v>
      </c>
      <c r="G157" s="20" t="str">
        <f>IFERROR(__xludf.DUMMYFUNCTION("AVERAGE(ARRAYFORMULA(100 * (QUERY(GOOGLEFINANCE(C157, ""high"", TODAY()-40, TODAY()), ""SELECT Col2 WHERE Col2 IS NOT NULL ORDER BY Col1 DESC LIMIT 20"", 0) / QUERY(GOOGLEFINANCE(C157, ""low"", TODAY()-40, TODAY()), ""SELECT Col2 WHERE Col2 IS NOT NULL OR"&amp;"DER BY Col1 DESC LIMIT 20"", 0) - 1)))"),"#N/A")</f>
        <v>#N/A</v>
      </c>
      <c r="H157" s="35" t="str">
        <f t="shared" si="35"/>
        <v>Liquid</v>
      </c>
      <c r="I157" s="35" t="str">
        <f t="shared" si="7"/>
        <v>RVol Required</v>
      </c>
      <c r="J157" s="37">
        <f>IFERROR(__xludf.DUMMYFUNCTION("IFERROR(
  IF(C157="""",, 
    IFERROR(
      GOOGLEFINANCE(C157, ""price"") * GOOGLEFINANCE(C157, ""volumeavg""), 
      GOOGLEFINANCE(C157, ""price"") * AVERAGE(QUERY(GOOGLEFINANCE(C157, ""volume"", TODAY()-40, TODAY()), ""SELECT Col2 WHERE Col2 IS NOT "&amp;"NULL ORDER BY Col1 DESC LIMIT 20"", 0))
    )
  ), 
"""")"),5.7639137800000004E7)</f>
        <v>57639137.8</v>
      </c>
      <c r="K157" s="21">
        <f>IFERROR(__xludf.DUMMYFUNCTION("IFERROR(GOOGLEFINANCE(C157, ""changepct"") / 100, """")"),0.0064)</f>
        <v>0.0064</v>
      </c>
      <c r="L157" s="21" t="str">
        <f>IFERROR(__xludf.DUMMYFUNCTION("IFERROR((GOOGLEFINANCE(C157, ""price"") / INDEX(GOOGLEFINANCE(C157, ""price"", TODAY()-7, TODAY()), 2, 2)) - 1, """")"),"")</f>
        <v/>
      </c>
      <c r="M157" s="21" t="str">
        <f>IFERROR(__xludf.DUMMYFUNCTION("IFERROR((GOOGLEFINANCE(C157, ""price"") / INDEX(GOOGLEFINANCE(C157, ""price"", EDATE(TODAY(), -1), TODAY()), 2, 2)) - 1, """")"),"")</f>
        <v/>
      </c>
      <c r="N157" s="21" t="str">
        <f>IFERROR(__xludf.DUMMYFUNCTION("IFERROR((GOOGLEFINANCE(C157, ""price"") / INDEX(GOOGLEFINANCE(C157, ""price"", EDATE(TODAY(), -3), TODAY()), 2, 2)) - 1, """")"),"")</f>
        <v/>
      </c>
      <c r="O157" s="21" t="str">
        <f>IFERROR(__xludf.DUMMYFUNCTION("IFERROR((GOOGLEFINANCE(C157, ""price"") / INDEX(GOOGLEFINANCE(C157, ""price"", EDATE(TODAY(), -6), TODAY()), 2, 2)) - 1, """")"),"")</f>
        <v/>
      </c>
      <c r="P157" s="21" t="str">
        <f>IFERROR(__xludf.DUMMYFUNCTION("IFERROR((GOOGLEFINANCE(C157, ""price"") / INDEX(GOOGLEFINANCE(C157, ""price"", EDATE(TODAY(), -12), TODAY()), 2, 2)) - 1, """")"),"")</f>
        <v/>
      </c>
      <c r="Q157" s="6" t="str">
        <f>IFERROR(__xludf.DUMMYFUNCTION("AVERAGE(QUERY(GOOGLEFINANCE(C157, ""price"", TODAY()-80, TODAY()), ""SELECT Col2 WHERE Col2 IS NOT NULL ORDER BY Col1 DESC LIMIT 50"", 0))"),"#N/A")</f>
        <v>#N/A</v>
      </c>
      <c r="R157" s="24" t="str">
        <f>IFERROR(__xludf.DUMMYFUNCTION("IFERROR(
  LET(
    data, QUERY(GOOGLEFINANCE(C157,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GOOGLEFINANCE(C157, ""price"")) * 100,
    IF(calc=0, G157, calc)
  ), 
G157)"),"#N/A")</f>
        <v>#N/A</v>
      </c>
      <c r="S157" s="8" t="s">
        <v>15</v>
      </c>
      <c r="T157" s="26" t="str">
        <f>IFERROR(__xludf.DUMMYFUNCTION("IFERROR(TRANSPOSE(QUERY(IFERROR(SORT(GOOGLEFINANCE(C157, ""price"", WORKDAY(TODAY(), -40), TODAY()), 1, FALSE)), ""select Col2 where Col2 is not null limit 22 label Col2 ''"", 0)), """")"),"")</f>
        <v/>
      </c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8"/>
      <c r="AO157" s="28"/>
      <c r="AP157" s="29"/>
      <c r="AQ157" s="29" t="str">
        <f t="shared" ref="AQ157:BL157" si="161">T157/T$2</f>
        <v>#N/A</v>
      </c>
      <c r="AR157" s="29" t="str">
        <f t="shared" si="161"/>
        <v>#DIV/0!</v>
      </c>
      <c r="AS157" s="29" t="str">
        <f t="shared" si="161"/>
        <v>#DIV/0!</v>
      </c>
      <c r="AT157" s="29" t="str">
        <f t="shared" si="161"/>
        <v>#DIV/0!</v>
      </c>
      <c r="AU157" s="29" t="str">
        <f t="shared" si="161"/>
        <v>#DIV/0!</v>
      </c>
      <c r="AV157" s="29" t="str">
        <f t="shared" si="161"/>
        <v>#DIV/0!</v>
      </c>
      <c r="AW157" s="29" t="str">
        <f t="shared" si="161"/>
        <v>#DIV/0!</v>
      </c>
      <c r="AX157" s="29" t="str">
        <f t="shared" si="161"/>
        <v>#DIV/0!</v>
      </c>
      <c r="AY157" s="29" t="str">
        <f t="shared" si="161"/>
        <v>#DIV/0!</v>
      </c>
      <c r="AZ157" s="29" t="str">
        <f t="shared" si="161"/>
        <v>#DIV/0!</v>
      </c>
      <c r="BA157" s="29" t="str">
        <f t="shared" si="161"/>
        <v>#DIV/0!</v>
      </c>
      <c r="BB157" s="29" t="str">
        <f t="shared" si="161"/>
        <v>#DIV/0!</v>
      </c>
      <c r="BC157" s="29" t="str">
        <f t="shared" si="161"/>
        <v>#DIV/0!</v>
      </c>
      <c r="BD157" s="29" t="str">
        <f t="shared" si="161"/>
        <v>#DIV/0!</v>
      </c>
      <c r="BE157" s="29" t="str">
        <f t="shared" si="161"/>
        <v>#DIV/0!</v>
      </c>
      <c r="BF157" s="29" t="str">
        <f t="shared" si="161"/>
        <v>#DIV/0!</v>
      </c>
      <c r="BG157" s="29" t="str">
        <f t="shared" si="161"/>
        <v>#DIV/0!</v>
      </c>
      <c r="BH157" s="29" t="str">
        <f t="shared" si="161"/>
        <v>#DIV/0!</v>
      </c>
      <c r="BI157" s="29" t="str">
        <f t="shared" si="161"/>
        <v>#DIV/0!</v>
      </c>
      <c r="BJ157" s="29" t="str">
        <f t="shared" si="161"/>
        <v>#DIV/0!</v>
      </c>
      <c r="BK157" s="29" t="str">
        <f t="shared" si="161"/>
        <v>#DIV/0!</v>
      </c>
      <c r="BL157" s="29" t="str">
        <f t="shared" si="161"/>
        <v>#DIV/0!</v>
      </c>
      <c r="BM157" s="29" t="str">
        <f t="shared" si="3"/>
        <v>#DIV/0!</v>
      </c>
    </row>
    <row r="158">
      <c r="A158" s="16" t="str">
        <f>IFERROR(__xludf.DUMMYFUNCTION("IFERROR(SPARKLINE(SORT(MAP(TRANSPOSE(AQ158:BL158), LAMBDA(val, IF(ISNUMBER(val), PERCENTRANK(AQ158:BL158, val)+0.01, 0))), SEQUENCE(COLUMNS(AQ158:BL158)), FALSE), {""charttype"",""column""; ""color"",""chartreuse""; ""ymin"", 0; ""ymax"", 1.01; ""highcolo"&amp;"r"", ""darkgreen""; ""lowcolor"", ""red""}), """")"),"")</f>
        <v/>
      </c>
      <c r="B158" s="17" t="str">
        <f t="shared" si="4"/>
        <v/>
      </c>
      <c r="C158" s="1" t="s">
        <v>3327</v>
      </c>
      <c r="D158" s="30" t="str">
        <f>IFERROR(__xludf.DUMMYFUNCTION("IFERROR(GOOGLEFINANCE(C158, ""NAME""))"),"United States Antimony Corp")</f>
        <v>United States Antimony Corp</v>
      </c>
      <c r="E158" s="30" t="s">
        <v>2935</v>
      </c>
      <c r="F158" s="33" t="str">
        <f>IFERROR(__xludf.DUMMYFUNCTION("( (GOOGLEFINANCE(C158, ""price"") - Q158) / Q158 ) / (R158 / 100)"),"Loading...")</f>
        <v>Loading...</v>
      </c>
      <c r="G158" s="20" t="str">
        <f>IFERROR(__xludf.DUMMYFUNCTION("AVERAGE(ARRAYFORMULA(100 * (QUERY(GOOGLEFINANCE(C158, ""high"", TODAY()-40, TODAY()), ""SELECT Col2 WHERE Col2 IS NOT NULL ORDER BY Col1 DESC LIMIT 20"", 0) / QUERY(GOOGLEFINANCE(C158, ""low"", TODAY()-40, TODAY()), ""SELECT Col2 WHERE Col2 IS NOT NULL OR"&amp;"DER BY Col1 DESC LIMIT 20"", 0) - 1)))"),"#N/A")</f>
        <v>#N/A</v>
      </c>
      <c r="H158" s="35" t="str">
        <f t="shared" si="35"/>
        <v>Illiquid</v>
      </c>
      <c r="I158" s="35" t="str">
        <f t="shared" si="7"/>
        <v>RVol Required</v>
      </c>
      <c r="J158" s="37">
        <f>IFERROR(__xludf.DUMMYFUNCTION("IFERROR(
  IF(C158="""",, 
    IFERROR(
      GOOGLEFINANCE(C158, ""price"") * GOOGLEFINANCE(C158, ""volumeavg""), 
      GOOGLEFINANCE(C158, ""price"") * AVERAGE(QUERY(GOOGLEFINANCE(C158, ""volume"", TODAY()-40, TODAY()), ""SELECT Col2 WHERE Col2 IS NOT "&amp;"NULL ORDER BY Col1 DESC LIMIT 20"", 0))
    )
  ), 
"""")"),1.53860784E7)</f>
        <v>15386078.4</v>
      </c>
      <c r="K158" s="21">
        <f>IFERROR(__xludf.DUMMYFUNCTION("IFERROR(GOOGLEFINANCE(C158, ""changepct"") / 100, """")"),0.0252)</f>
        <v>0.0252</v>
      </c>
      <c r="L158" s="21" t="str">
        <f>IFERROR(__xludf.DUMMYFUNCTION("IFERROR((GOOGLEFINANCE(C158, ""price"") / INDEX(GOOGLEFINANCE(C158, ""price"", TODAY()-7, TODAY()), 2, 2)) - 1, """")"),"")</f>
        <v/>
      </c>
      <c r="M158" s="21" t="str">
        <f>IFERROR(__xludf.DUMMYFUNCTION("IFERROR((GOOGLEFINANCE(C158, ""price"") / INDEX(GOOGLEFINANCE(C158, ""price"", EDATE(TODAY(), -1), TODAY()), 2, 2)) - 1, """")"),"")</f>
        <v/>
      </c>
      <c r="N158" s="21" t="str">
        <f>IFERROR(__xludf.DUMMYFUNCTION("IFERROR((GOOGLEFINANCE(C158, ""price"") / INDEX(GOOGLEFINANCE(C158, ""price"", EDATE(TODAY(), -3), TODAY()), 2, 2)) - 1, """")"),"")</f>
        <v/>
      </c>
      <c r="O158" s="21" t="str">
        <f>IFERROR(__xludf.DUMMYFUNCTION("IFERROR((GOOGLEFINANCE(C158, ""price"") / INDEX(GOOGLEFINANCE(C158, ""price"", EDATE(TODAY(), -6), TODAY()), 2, 2)) - 1, """")"),"")</f>
        <v/>
      </c>
      <c r="P158" s="21" t="str">
        <f>IFERROR(__xludf.DUMMYFUNCTION("IFERROR((GOOGLEFINANCE(C158, ""price"") / INDEX(GOOGLEFINANCE(C158, ""price"", EDATE(TODAY(), -12), TODAY()), 2, 2)) - 1, """")"),"")</f>
        <v/>
      </c>
      <c r="Q158" s="6" t="str">
        <f>IFERROR(__xludf.DUMMYFUNCTION("AVERAGE(QUERY(GOOGLEFINANCE(C158, ""price"", TODAY()-80, TODAY()), ""SELECT Col2 WHERE Col2 IS NOT NULL ORDER BY Col1 DESC LIMIT 50"", 0))"),"#N/A")</f>
        <v>#N/A</v>
      </c>
      <c r="R158" s="24" t="str">
        <f>IFERROR(__xludf.DUMMYFUNCTION("IFERROR(
  LET(
    data, QUERY(GOOGLEFINANCE(C158,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GOOGLEFINANCE(C158, ""price"")) * 100,
    IF(calc=0, G158, calc)
  ), 
G158)"),"#N/A")</f>
        <v>#N/A</v>
      </c>
      <c r="S158" s="8" t="s">
        <v>15</v>
      </c>
      <c r="T158" s="26" t="str">
        <f>IFERROR(__xludf.DUMMYFUNCTION("IFERROR(TRANSPOSE(QUERY(IFERROR(SORT(GOOGLEFINANCE(C158, ""price"", WORKDAY(TODAY(), -40), TODAY()), 1, FALSE)), ""select Col2 where Col2 is not null limit 22 label Col2 ''"", 0)), """")"),"")</f>
        <v/>
      </c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8"/>
      <c r="AO158" s="28"/>
      <c r="AP158" s="29"/>
      <c r="AQ158" s="29" t="str">
        <f t="shared" ref="AQ158:BL158" si="162">T158/T$2</f>
        <v>#N/A</v>
      </c>
      <c r="AR158" s="29" t="str">
        <f t="shared" si="162"/>
        <v>#DIV/0!</v>
      </c>
      <c r="AS158" s="29" t="str">
        <f t="shared" si="162"/>
        <v>#DIV/0!</v>
      </c>
      <c r="AT158" s="29" t="str">
        <f t="shared" si="162"/>
        <v>#DIV/0!</v>
      </c>
      <c r="AU158" s="29" t="str">
        <f t="shared" si="162"/>
        <v>#DIV/0!</v>
      </c>
      <c r="AV158" s="29" t="str">
        <f t="shared" si="162"/>
        <v>#DIV/0!</v>
      </c>
      <c r="AW158" s="29" t="str">
        <f t="shared" si="162"/>
        <v>#DIV/0!</v>
      </c>
      <c r="AX158" s="29" t="str">
        <f t="shared" si="162"/>
        <v>#DIV/0!</v>
      </c>
      <c r="AY158" s="29" t="str">
        <f t="shared" si="162"/>
        <v>#DIV/0!</v>
      </c>
      <c r="AZ158" s="29" t="str">
        <f t="shared" si="162"/>
        <v>#DIV/0!</v>
      </c>
      <c r="BA158" s="29" t="str">
        <f t="shared" si="162"/>
        <v>#DIV/0!</v>
      </c>
      <c r="BB158" s="29" t="str">
        <f t="shared" si="162"/>
        <v>#DIV/0!</v>
      </c>
      <c r="BC158" s="29" t="str">
        <f t="shared" si="162"/>
        <v>#DIV/0!</v>
      </c>
      <c r="BD158" s="29" t="str">
        <f t="shared" si="162"/>
        <v>#DIV/0!</v>
      </c>
      <c r="BE158" s="29" t="str">
        <f t="shared" si="162"/>
        <v>#DIV/0!</v>
      </c>
      <c r="BF158" s="29" t="str">
        <f t="shared" si="162"/>
        <v>#DIV/0!</v>
      </c>
      <c r="BG158" s="29" t="str">
        <f t="shared" si="162"/>
        <v>#DIV/0!</v>
      </c>
      <c r="BH158" s="29" t="str">
        <f t="shared" si="162"/>
        <v>#DIV/0!</v>
      </c>
      <c r="BI158" s="29" t="str">
        <f t="shared" si="162"/>
        <v>#DIV/0!</v>
      </c>
      <c r="BJ158" s="29" t="str">
        <f t="shared" si="162"/>
        <v>#DIV/0!</v>
      </c>
      <c r="BK158" s="29" t="str">
        <f t="shared" si="162"/>
        <v>#DIV/0!</v>
      </c>
      <c r="BL158" s="29" t="str">
        <f t="shared" si="162"/>
        <v>#DIV/0!</v>
      </c>
      <c r="BM158" s="29" t="str">
        <f t="shared" si="3"/>
        <v>#DIV/0!</v>
      </c>
    </row>
    <row r="159">
      <c r="A159" s="16" t="str">
        <f>IFERROR(__xludf.DUMMYFUNCTION("IFERROR(SPARKLINE(SORT(MAP(TRANSPOSE(AQ159:BL159), LAMBDA(val, IF(ISNUMBER(val), PERCENTRANK(AQ159:BL159, val)+0.01, 0))), SEQUENCE(COLUMNS(AQ159:BL159)), FALSE), {""charttype"",""column""; ""color"",""chartreuse""; ""ymin"", 0; ""ymax"", 1.01; ""highcolo"&amp;"r"", ""darkgreen""; ""lowcolor"", ""red""}), """")"),"")</f>
        <v/>
      </c>
      <c r="B159" s="17" t="str">
        <f t="shared" si="4"/>
        <v/>
      </c>
      <c r="C159" s="1" t="s">
        <v>3328</v>
      </c>
      <c r="D159" s="30" t="str">
        <f>IFERROR(__xludf.DUMMYFUNCTION("IFERROR(GOOGLEFINANCE(C159, ""NAME""))"),"Allied Gold Corp")</f>
        <v>Allied Gold Corp</v>
      </c>
      <c r="E159" s="30" t="s">
        <v>2928</v>
      </c>
      <c r="F159" s="33" t="str">
        <f>IFERROR(__xludf.DUMMYFUNCTION("( (GOOGLEFINANCE(C159, ""price"") - Q159) / Q159 ) / (R159 / 100)"),"Loading...")</f>
        <v>Loading...</v>
      </c>
      <c r="G159" s="20" t="str">
        <f>IFERROR(__xludf.DUMMYFUNCTION("AVERAGE(ARRAYFORMULA(100 * (QUERY(GOOGLEFINANCE(C159, ""high"", TODAY()-40, TODAY()), ""SELECT Col2 WHERE Col2 IS NOT NULL ORDER BY Col1 DESC LIMIT 20"", 0) / QUERY(GOOGLEFINANCE(C159, ""low"", TODAY()-40, TODAY()), ""SELECT Col2 WHERE Col2 IS NOT NULL OR"&amp;"DER BY Col1 DESC LIMIT 20"", 0) - 1)))"),"#N/A")</f>
        <v>#N/A</v>
      </c>
      <c r="H159" s="35" t="str">
        <f t="shared" si="35"/>
        <v>Illiquid</v>
      </c>
      <c r="I159" s="35" t="str">
        <f t="shared" si="7"/>
        <v>RVol Required</v>
      </c>
      <c r="J159" s="37">
        <f>IFERROR(__xludf.DUMMYFUNCTION("IFERROR(
  IF(C159="""",, 
    IFERROR(
      GOOGLEFINANCE(C159, ""price"") * GOOGLEFINANCE(C159, ""volumeavg""), 
      GOOGLEFINANCE(C159, ""price"") * AVERAGE(QUERY(GOOGLEFINANCE(C159, ""volume"", TODAY()-40, TODAY()), ""SELECT Col2 WHERE Col2 IS NOT "&amp;"NULL ORDER BY Col1 DESC LIMIT 20"", 0))
    )
  ), 
"""")"),9495588.0)</f>
        <v>9495588</v>
      </c>
      <c r="K159" s="21">
        <f>IFERROR(__xludf.DUMMYFUNCTION("IFERROR(GOOGLEFINANCE(C159, ""changepct"") / 100, """")"),0.018000000000000002)</f>
        <v>0.018</v>
      </c>
      <c r="L159" s="21" t="str">
        <f>IFERROR(__xludf.DUMMYFUNCTION("IFERROR((GOOGLEFINANCE(C159, ""price"") / INDEX(GOOGLEFINANCE(C159, ""price"", TODAY()-7, TODAY()), 2, 2)) - 1, """")"),"")</f>
        <v/>
      </c>
      <c r="M159" s="21" t="str">
        <f>IFERROR(__xludf.DUMMYFUNCTION("IFERROR((GOOGLEFINANCE(C159, ""price"") / INDEX(GOOGLEFINANCE(C159, ""price"", EDATE(TODAY(), -1), TODAY()), 2, 2)) - 1, """")"),"")</f>
        <v/>
      </c>
      <c r="N159" s="21" t="str">
        <f>IFERROR(__xludf.DUMMYFUNCTION("IFERROR((GOOGLEFINANCE(C159, ""price"") / INDEX(GOOGLEFINANCE(C159, ""price"", EDATE(TODAY(), -3), TODAY()), 2, 2)) - 1, """")"),"")</f>
        <v/>
      </c>
      <c r="O159" s="21" t="str">
        <f>IFERROR(__xludf.DUMMYFUNCTION("IFERROR((GOOGLEFINANCE(C159, ""price"") / INDEX(GOOGLEFINANCE(C159, ""price"", EDATE(TODAY(), -6), TODAY()), 2, 2)) - 1, """")"),"")</f>
        <v/>
      </c>
      <c r="P159" s="21" t="str">
        <f>IFERROR(__xludf.DUMMYFUNCTION("IFERROR((GOOGLEFINANCE(C159, ""price"") / INDEX(GOOGLEFINANCE(C159, ""price"", EDATE(TODAY(), -12), TODAY()), 2, 2)) - 1, """")"),"")</f>
        <v/>
      </c>
      <c r="Q159" s="6" t="str">
        <f>IFERROR(__xludf.DUMMYFUNCTION("AVERAGE(QUERY(GOOGLEFINANCE(C159, ""price"", TODAY()-80, TODAY()), ""SELECT Col2 WHERE Col2 IS NOT NULL ORDER BY Col1 DESC LIMIT 50"", 0))"),"#N/A")</f>
        <v>#N/A</v>
      </c>
      <c r="R159" s="24" t="str">
        <f>IFERROR(__xludf.DUMMYFUNCTION("IFERROR(
  LET(
    data, QUERY(GOOGLEFINANCE(C159,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GOOGLEFINANCE(C159, ""price"")) * 100,
    IF(calc=0, G159, calc)
  ), 
G159)"),"#N/A")</f>
        <v>#N/A</v>
      </c>
      <c r="S159" s="8" t="s">
        <v>15</v>
      </c>
      <c r="T159" s="26" t="str">
        <f>IFERROR(__xludf.DUMMYFUNCTION("IFERROR(TRANSPOSE(QUERY(IFERROR(SORT(GOOGLEFINANCE(C159, ""price"", WORKDAY(TODAY(), -40), TODAY()), 1, FALSE)), ""select Col2 where Col2 is not null limit 22 label Col2 ''"", 0)), """")"),"")</f>
        <v/>
      </c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8"/>
      <c r="AO159" s="28"/>
      <c r="AP159" s="29"/>
      <c r="AQ159" s="29" t="str">
        <f t="shared" ref="AQ159:BL159" si="163">T159/T$2</f>
        <v>#N/A</v>
      </c>
      <c r="AR159" s="29" t="str">
        <f t="shared" si="163"/>
        <v>#DIV/0!</v>
      </c>
      <c r="AS159" s="29" t="str">
        <f t="shared" si="163"/>
        <v>#DIV/0!</v>
      </c>
      <c r="AT159" s="29" t="str">
        <f t="shared" si="163"/>
        <v>#DIV/0!</v>
      </c>
      <c r="AU159" s="29" t="str">
        <f t="shared" si="163"/>
        <v>#DIV/0!</v>
      </c>
      <c r="AV159" s="29" t="str">
        <f t="shared" si="163"/>
        <v>#DIV/0!</v>
      </c>
      <c r="AW159" s="29" t="str">
        <f t="shared" si="163"/>
        <v>#DIV/0!</v>
      </c>
      <c r="AX159" s="29" t="str">
        <f t="shared" si="163"/>
        <v>#DIV/0!</v>
      </c>
      <c r="AY159" s="29" t="str">
        <f t="shared" si="163"/>
        <v>#DIV/0!</v>
      </c>
      <c r="AZ159" s="29" t="str">
        <f t="shared" si="163"/>
        <v>#DIV/0!</v>
      </c>
      <c r="BA159" s="29" t="str">
        <f t="shared" si="163"/>
        <v>#DIV/0!</v>
      </c>
      <c r="BB159" s="29" t="str">
        <f t="shared" si="163"/>
        <v>#DIV/0!</v>
      </c>
      <c r="BC159" s="29" t="str">
        <f t="shared" si="163"/>
        <v>#DIV/0!</v>
      </c>
      <c r="BD159" s="29" t="str">
        <f t="shared" si="163"/>
        <v>#DIV/0!</v>
      </c>
      <c r="BE159" s="29" t="str">
        <f t="shared" si="163"/>
        <v>#DIV/0!</v>
      </c>
      <c r="BF159" s="29" t="str">
        <f t="shared" si="163"/>
        <v>#DIV/0!</v>
      </c>
      <c r="BG159" s="29" t="str">
        <f t="shared" si="163"/>
        <v>#DIV/0!</v>
      </c>
      <c r="BH159" s="29" t="str">
        <f t="shared" si="163"/>
        <v>#DIV/0!</v>
      </c>
      <c r="BI159" s="29" t="str">
        <f t="shared" si="163"/>
        <v>#DIV/0!</v>
      </c>
      <c r="BJ159" s="29" t="str">
        <f t="shared" si="163"/>
        <v>#DIV/0!</v>
      </c>
      <c r="BK159" s="29" t="str">
        <f t="shared" si="163"/>
        <v>#DIV/0!</v>
      </c>
      <c r="BL159" s="29" t="str">
        <f t="shared" si="163"/>
        <v>#DIV/0!</v>
      </c>
      <c r="BM159" s="29" t="str">
        <f t="shared" si="3"/>
        <v>#DIV/0!</v>
      </c>
    </row>
    <row r="160">
      <c r="A160" s="16" t="str">
        <f>IFERROR(__xludf.DUMMYFUNCTION("IFERROR(SPARKLINE(SORT(MAP(TRANSPOSE(AQ160:BL160), LAMBDA(val, IF(ISNUMBER(val), PERCENTRANK(AQ160:BL160, val)+0.01, 0))), SEQUENCE(COLUMNS(AQ160:BL160)), FALSE), {""charttype"",""column""; ""color"",""chartreuse""; ""ymin"", 0; ""ymax"", 1.01; ""highcolo"&amp;"r"", ""darkgreen""; ""lowcolor"", ""red""}), """")"),"")</f>
        <v/>
      </c>
      <c r="B160" s="17" t="str">
        <f t="shared" si="4"/>
        <v/>
      </c>
      <c r="C160" s="1" t="s">
        <v>3329</v>
      </c>
      <c r="D160" s="30" t="str">
        <f>IFERROR(__xludf.DUMMYFUNCTION("IFERROR(GOOGLEFINANCE(C160, ""NAME""))"),"Air Products and Chemicals Inc")</f>
        <v>Air Products and Chemicals Inc</v>
      </c>
      <c r="E160" s="30" t="s">
        <v>2995</v>
      </c>
      <c r="F160" s="38" t="str">
        <f>IFERROR(__xludf.DUMMYFUNCTION("( (GOOGLEFINANCE(C160, ""price"") - Q160) / Q160 ) / (R160 / 100)"),"Loading...")</f>
        <v>Loading...</v>
      </c>
      <c r="G160" s="20" t="str">
        <f>IFERROR(__xludf.DUMMYFUNCTION("AVERAGE(ARRAYFORMULA(100 * (QUERY(GOOGLEFINANCE(C160, ""high"", TODAY()-40, TODAY()), ""SELECT Col2 WHERE Col2 IS NOT NULL ORDER BY Col1 DESC LIMIT 20"", 0) / QUERY(GOOGLEFINANCE(C160, ""low"", TODAY()-40, TODAY()), ""SELECT Col2 WHERE Col2 IS NOT NULL OR"&amp;"DER BY Col1 DESC LIMIT 20"", 0) - 1)))"),"#N/A")</f>
        <v>#N/A</v>
      </c>
      <c r="H160" s="35" t="str">
        <f t="shared" si="35"/>
        <v>Liquid</v>
      </c>
      <c r="I160" s="35" t="str">
        <f t="shared" si="7"/>
        <v>RVol Required</v>
      </c>
      <c r="J160" s="37">
        <f>IFERROR(__xludf.DUMMYFUNCTION("IFERROR(
  IF(C160="""",, 
    IFERROR(
      GOOGLEFINANCE(C160, ""price"") * GOOGLEFINANCE(C160, ""volumeavg""), 
      GOOGLEFINANCE(C160, ""price"") * AVERAGE(QUERY(GOOGLEFINANCE(C160, ""volume"", TODAY()-40, TODAY()), ""SELECT Col2 WHERE Col2 IS NOT "&amp;"NULL ORDER BY Col1 DESC LIMIT 20"", 0))
    )
  ), 
"""")"),3.3065928053999996E8)</f>
        <v>330659280.5</v>
      </c>
      <c r="K160" s="21">
        <f>IFERROR(__xludf.DUMMYFUNCTION("IFERROR(GOOGLEFINANCE(C160, ""changepct"") / 100, """")"),0.0101)</f>
        <v>0.0101</v>
      </c>
      <c r="L160" s="21" t="str">
        <f>IFERROR(__xludf.DUMMYFUNCTION("IFERROR((GOOGLEFINANCE(C160, ""price"") / INDEX(GOOGLEFINANCE(C160, ""price"", TODAY()-7, TODAY()), 2, 2)) - 1, """")"),"")</f>
        <v/>
      </c>
      <c r="M160" s="21" t="str">
        <f>IFERROR(__xludf.DUMMYFUNCTION("IFERROR((GOOGLEFINANCE(C160, ""price"") / INDEX(GOOGLEFINANCE(C160, ""price"", EDATE(TODAY(), -1), TODAY()), 2, 2)) - 1, """")"),"")</f>
        <v/>
      </c>
      <c r="N160" s="21" t="str">
        <f>IFERROR(__xludf.DUMMYFUNCTION("IFERROR((GOOGLEFINANCE(C160, ""price"") / INDEX(GOOGLEFINANCE(C160, ""price"", EDATE(TODAY(), -3), TODAY()), 2, 2)) - 1, """")"),"")</f>
        <v/>
      </c>
      <c r="O160" s="21" t="str">
        <f>IFERROR(__xludf.DUMMYFUNCTION("IFERROR((GOOGLEFINANCE(C160, ""price"") / INDEX(GOOGLEFINANCE(C160, ""price"", EDATE(TODAY(), -6), TODAY()), 2, 2)) - 1, """")"),"")</f>
        <v/>
      </c>
      <c r="P160" s="21" t="str">
        <f>IFERROR(__xludf.DUMMYFUNCTION("IFERROR((GOOGLEFINANCE(C160, ""price"") / INDEX(GOOGLEFINANCE(C160, ""price"", EDATE(TODAY(), -12), TODAY()), 2, 2)) - 1, """")"),"")</f>
        <v/>
      </c>
      <c r="Q160" s="6" t="str">
        <f>IFERROR(__xludf.DUMMYFUNCTION("AVERAGE(QUERY(GOOGLEFINANCE(C160, ""price"", TODAY()-80, TODAY()), ""SELECT Col2 WHERE Col2 IS NOT NULL ORDER BY Col1 DESC LIMIT 50"", 0))"),"#N/A")</f>
        <v>#N/A</v>
      </c>
      <c r="R160" s="24" t="str">
        <f>IFERROR(__xludf.DUMMYFUNCTION("IFERROR(
  LET(
    data, QUERY(GOOGLEFINANCE(C160,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GOOGLEFINANCE(C160, ""price"")) * 100,
    IF(calc=0, G160, calc)
  ), 
G160)"),"#N/A")</f>
        <v>#N/A</v>
      </c>
      <c r="S160" s="8" t="s">
        <v>15</v>
      </c>
      <c r="T160" s="26" t="str">
        <f>IFERROR(__xludf.DUMMYFUNCTION("IFERROR(TRANSPOSE(QUERY(IFERROR(SORT(GOOGLEFINANCE(C160, ""price"", WORKDAY(TODAY(), -40), TODAY()), 1, FALSE)), ""select Col2 where Col2 is not null limit 22 label Col2 ''"", 0)), """")"),"")</f>
        <v/>
      </c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8"/>
      <c r="AO160" s="28"/>
      <c r="AP160" s="29"/>
      <c r="AQ160" s="29" t="str">
        <f t="shared" ref="AQ160:BL160" si="164">T160/T$2</f>
        <v>#N/A</v>
      </c>
      <c r="AR160" s="29" t="str">
        <f t="shared" si="164"/>
        <v>#DIV/0!</v>
      </c>
      <c r="AS160" s="29" t="str">
        <f t="shared" si="164"/>
        <v>#DIV/0!</v>
      </c>
      <c r="AT160" s="29" t="str">
        <f t="shared" si="164"/>
        <v>#DIV/0!</v>
      </c>
      <c r="AU160" s="29" t="str">
        <f t="shared" si="164"/>
        <v>#DIV/0!</v>
      </c>
      <c r="AV160" s="29" t="str">
        <f t="shared" si="164"/>
        <v>#DIV/0!</v>
      </c>
      <c r="AW160" s="29" t="str">
        <f t="shared" si="164"/>
        <v>#DIV/0!</v>
      </c>
      <c r="AX160" s="29" t="str">
        <f t="shared" si="164"/>
        <v>#DIV/0!</v>
      </c>
      <c r="AY160" s="29" t="str">
        <f t="shared" si="164"/>
        <v>#DIV/0!</v>
      </c>
      <c r="AZ160" s="29" t="str">
        <f t="shared" si="164"/>
        <v>#DIV/0!</v>
      </c>
      <c r="BA160" s="29" t="str">
        <f t="shared" si="164"/>
        <v>#DIV/0!</v>
      </c>
      <c r="BB160" s="29" t="str">
        <f t="shared" si="164"/>
        <v>#DIV/0!</v>
      </c>
      <c r="BC160" s="29" t="str">
        <f t="shared" si="164"/>
        <v>#DIV/0!</v>
      </c>
      <c r="BD160" s="29" t="str">
        <f t="shared" si="164"/>
        <v>#DIV/0!</v>
      </c>
      <c r="BE160" s="29" t="str">
        <f t="shared" si="164"/>
        <v>#DIV/0!</v>
      </c>
      <c r="BF160" s="29" t="str">
        <f t="shared" si="164"/>
        <v>#DIV/0!</v>
      </c>
      <c r="BG160" s="29" t="str">
        <f t="shared" si="164"/>
        <v>#DIV/0!</v>
      </c>
      <c r="BH160" s="29" t="str">
        <f t="shared" si="164"/>
        <v>#DIV/0!</v>
      </c>
      <c r="BI160" s="29" t="str">
        <f t="shared" si="164"/>
        <v>#DIV/0!</v>
      </c>
      <c r="BJ160" s="29" t="str">
        <f t="shared" si="164"/>
        <v>#DIV/0!</v>
      </c>
      <c r="BK160" s="29" t="str">
        <f t="shared" si="164"/>
        <v>#DIV/0!</v>
      </c>
      <c r="BL160" s="29" t="str">
        <f t="shared" si="164"/>
        <v>#DIV/0!</v>
      </c>
      <c r="BM160" s="29" t="str">
        <f t="shared" si="3"/>
        <v>#DIV/0!</v>
      </c>
    </row>
    <row r="161">
      <c r="A161" s="16" t="str">
        <f>IFERROR(__xludf.DUMMYFUNCTION("IFERROR(SPARKLINE(SORT(MAP(TRANSPOSE(AQ161:BL161), LAMBDA(val, IF(ISNUMBER(val), PERCENTRANK(AQ161:BL161, val)+0.01, 0))), SEQUENCE(COLUMNS(AQ161:BL161)), FALSE), {""charttype"",""column""; ""color"",""chartreuse""; ""ymin"", 0; ""ymax"", 1.01; ""highcolo"&amp;"r"", ""darkgreen""; ""lowcolor"", ""red""}), """")"),"")</f>
        <v/>
      </c>
      <c r="B161" s="17" t="str">
        <f t="shared" si="4"/>
        <v/>
      </c>
      <c r="C161" s="1" t="s">
        <v>3330</v>
      </c>
      <c r="D161" s="30" t="str">
        <f>IFERROR(__xludf.DUMMYFUNCTION("IFERROR(GOOGLEFINANCE(C161, ""NAME""))"),"Calumet Inc")</f>
        <v>Calumet Inc</v>
      </c>
      <c r="E161" s="30" t="s">
        <v>2995</v>
      </c>
      <c r="F161" s="33" t="str">
        <f>IFERROR(__xludf.DUMMYFUNCTION("( (GOOGLEFINANCE(C161, ""price"") - Q161) / Q161 ) / (R161 / 100)"),"Loading...")</f>
        <v>Loading...</v>
      </c>
      <c r="G161" s="20" t="str">
        <f>IFERROR(__xludf.DUMMYFUNCTION("AVERAGE(ARRAYFORMULA(100 * (QUERY(GOOGLEFINANCE(C161, ""high"", TODAY()-40, TODAY()), ""SELECT Col2 WHERE Col2 IS NOT NULL ORDER BY Col1 DESC LIMIT 20"", 0) / QUERY(GOOGLEFINANCE(C161, ""low"", TODAY()-40, TODAY()), ""SELECT Col2 WHERE Col2 IS NOT NULL OR"&amp;"DER BY Col1 DESC LIMIT 20"", 0) - 1)))"),"#N/A")</f>
        <v>#N/A</v>
      </c>
      <c r="H161" s="35" t="str">
        <f t="shared" si="35"/>
        <v>Liquid</v>
      </c>
      <c r="I161" s="35" t="str">
        <f t="shared" si="7"/>
        <v>RVol Required</v>
      </c>
      <c r="J161" s="37">
        <f>IFERROR(__xludf.DUMMYFUNCTION("IFERROR(
  IF(C161="""",, 
    IFERROR(
      GOOGLEFINANCE(C161, ""price"") * GOOGLEFINANCE(C161, ""volumeavg""), 
      GOOGLEFINANCE(C161, ""price"") * AVERAGE(QUERY(GOOGLEFINANCE(C161, ""volume"", TODAY()-40, TODAY()), ""SELECT Col2 WHERE Col2 IS NOT "&amp;"NULL ORDER BY Col1 DESC LIMIT 20"", 0))
    )
  ), 
"""")"),8.4507654E7)</f>
        <v>84507654</v>
      </c>
      <c r="K161" s="21">
        <f>IFERROR(__xludf.DUMMYFUNCTION("IFERROR(GOOGLEFINANCE(C161, ""changepct"") / 100, """")"),-0.0084)</f>
        <v>-0.0084</v>
      </c>
      <c r="L161" s="21" t="str">
        <f>IFERROR(__xludf.DUMMYFUNCTION("IFERROR((GOOGLEFINANCE(C161, ""price"") / INDEX(GOOGLEFINANCE(C161, ""price"", TODAY()-7, TODAY()), 2, 2)) - 1, """")"),"")</f>
        <v/>
      </c>
      <c r="M161" s="21" t="str">
        <f>IFERROR(__xludf.DUMMYFUNCTION("IFERROR((GOOGLEFINANCE(C161, ""price"") / INDEX(GOOGLEFINANCE(C161, ""price"", EDATE(TODAY(), -1), TODAY()), 2, 2)) - 1, """")"),"")</f>
        <v/>
      </c>
      <c r="N161" s="21" t="str">
        <f>IFERROR(__xludf.DUMMYFUNCTION("IFERROR((GOOGLEFINANCE(C161, ""price"") / INDEX(GOOGLEFINANCE(C161, ""price"", EDATE(TODAY(), -3), TODAY()), 2, 2)) - 1, """")"),"")</f>
        <v/>
      </c>
      <c r="O161" s="21" t="str">
        <f>IFERROR(__xludf.DUMMYFUNCTION("IFERROR((GOOGLEFINANCE(C161, ""price"") / INDEX(GOOGLEFINANCE(C161, ""price"", EDATE(TODAY(), -6), TODAY()), 2, 2)) - 1, """")"),"")</f>
        <v/>
      </c>
      <c r="P161" s="21" t="str">
        <f>IFERROR(__xludf.DUMMYFUNCTION("IFERROR((GOOGLEFINANCE(C161, ""price"") / INDEX(GOOGLEFINANCE(C161, ""price"", EDATE(TODAY(), -12), TODAY()), 2, 2)) - 1, """")"),"")</f>
        <v/>
      </c>
      <c r="Q161" s="6" t="str">
        <f>IFERROR(__xludf.DUMMYFUNCTION("AVERAGE(QUERY(GOOGLEFINANCE(C161, ""price"", TODAY()-80, TODAY()), ""SELECT Col2 WHERE Col2 IS NOT NULL ORDER BY Col1 DESC LIMIT 50"", 0))"),"#N/A")</f>
        <v>#N/A</v>
      </c>
      <c r="R161" s="24" t="str">
        <f>IFERROR(__xludf.DUMMYFUNCTION("IFERROR(
  LET(
    data, QUERY(GOOGLEFINANCE(C161,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GOOGLEFINANCE(C161, ""price"")) * 100,
    IF(calc=0, G161, calc)
  ), 
G161)"),"#N/A")</f>
        <v>#N/A</v>
      </c>
      <c r="S161" s="8" t="s">
        <v>15</v>
      </c>
      <c r="T161" s="26" t="str">
        <f>IFERROR(__xludf.DUMMYFUNCTION("IFERROR(TRANSPOSE(QUERY(IFERROR(SORT(GOOGLEFINANCE(C161, ""price"", WORKDAY(TODAY(), -40), TODAY()), 1, FALSE)), ""select Col2 where Col2 is not null limit 22 label Col2 ''"", 0)), """")"),"")</f>
        <v/>
      </c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8"/>
      <c r="AO161" s="28"/>
      <c r="AP161" s="29"/>
      <c r="AQ161" s="29" t="str">
        <f t="shared" ref="AQ161:BL161" si="165">T161/T$2</f>
        <v>#N/A</v>
      </c>
      <c r="AR161" s="29" t="str">
        <f t="shared" si="165"/>
        <v>#DIV/0!</v>
      </c>
      <c r="AS161" s="29" t="str">
        <f t="shared" si="165"/>
        <v>#DIV/0!</v>
      </c>
      <c r="AT161" s="29" t="str">
        <f t="shared" si="165"/>
        <v>#DIV/0!</v>
      </c>
      <c r="AU161" s="29" t="str">
        <f t="shared" si="165"/>
        <v>#DIV/0!</v>
      </c>
      <c r="AV161" s="29" t="str">
        <f t="shared" si="165"/>
        <v>#DIV/0!</v>
      </c>
      <c r="AW161" s="29" t="str">
        <f t="shared" si="165"/>
        <v>#DIV/0!</v>
      </c>
      <c r="AX161" s="29" t="str">
        <f t="shared" si="165"/>
        <v>#DIV/0!</v>
      </c>
      <c r="AY161" s="29" t="str">
        <f t="shared" si="165"/>
        <v>#DIV/0!</v>
      </c>
      <c r="AZ161" s="29" t="str">
        <f t="shared" si="165"/>
        <v>#DIV/0!</v>
      </c>
      <c r="BA161" s="29" t="str">
        <f t="shared" si="165"/>
        <v>#DIV/0!</v>
      </c>
      <c r="BB161" s="29" t="str">
        <f t="shared" si="165"/>
        <v>#DIV/0!</v>
      </c>
      <c r="BC161" s="29" t="str">
        <f t="shared" si="165"/>
        <v>#DIV/0!</v>
      </c>
      <c r="BD161" s="29" t="str">
        <f t="shared" si="165"/>
        <v>#DIV/0!</v>
      </c>
      <c r="BE161" s="29" t="str">
        <f t="shared" si="165"/>
        <v>#DIV/0!</v>
      </c>
      <c r="BF161" s="29" t="str">
        <f t="shared" si="165"/>
        <v>#DIV/0!</v>
      </c>
      <c r="BG161" s="29" t="str">
        <f t="shared" si="165"/>
        <v>#DIV/0!</v>
      </c>
      <c r="BH161" s="29" t="str">
        <f t="shared" si="165"/>
        <v>#DIV/0!</v>
      </c>
      <c r="BI161" s="29" t="str">
        <f t="shared" si="165"/>
        <v>#DIV/0!</v>
      </c>
      <c r="BJ161" s="29" t="str">
        <f t="shared" si="165"/>
        <v>#DIV/0!</v>
      </c>
      <c r="BK161" s="29" t="str">
        <f t="shared" si="165"/>
        <v>#DIV/0!</v>
      </c>
      <c r="BL161" s="29" t="str">
        <f t="shared" si="165"/>
        <v>#DIV/0!</v>
      </c>
      <c r="BM161" s="29" t="str">
        <f t="shared" si="3"/>
        <v>#DIV/0!</v>
      </c>
    </row>
    <row r="162">
      <c r="A162" s="16" t="str">
        <f>IFERROR(__xludf.DUMMYFUNCTION("IFERROR(SPARKLINE(SORT(MAP(TRANSPOSE(AQ162:BL162), LAMBDA(val, IF(ISNUMBER(val), PERCENTRANK(AQ162:BL162, val)+0.01, 0))), SEQUENCE(COLUMNS(AQ162:BL162)), FALSE), {""charttype"",""column""; ""color"",""chartreuse""; ""ymin"", 0; ""ymax"", 1.01; ""highcolo"&amp;"r"", ""darkgreen""; ""lowcolor"", ""red""}), """")"),"")</f>
        <v/>
      </c>
      <c r="B162" s="17" t="str">
        <f t="shared" si="4"/>
        <v/>
      </c>
      <c r="C162" s="1" t="s">
        <v>3331</v>
      </c>
      <c r="D162" s="30" t="str">
        <f>IFERROR(__xludf.DUMMYFUNCTION("IFERROR(GOOGLEFINANCE(C162, ""NAME""))"),"Collective Mining Ltd")</f>
        <v>Collective Mining Ltd</v>
      </c>
      <c r="E162" s="30" t="s">
        <v>2928</v>
      </c>
      <c r="F162" s="33" t="str">
        <f>IFERROR(__xludf.DUMMYFUNCTION("( (GOOGLEFINANCE(C162, ""price"") - Q162) / Q162 ) / (R162 / 100)"),"Loading...")</f>
        <v>Loading...</v>
      </c>
      <c r="G162" s="20" t="str">
        <f>IFERROR(__xludf.DUMMYFUNCTION("AVERAGE(ARRAYFORMULA(100 * (QUERY(GOOGLEFINANCE(C162, ""high"", TODAY()-40, TODAY()), ""SELECT Col2 WHERE Col2 IS NOT NULL ORDER BY Col1 DESC LIMIT 20"", 0) / QUERY(GOOGLEFINANCE(C162, ""low"", TODAY()-40, TODAY()), ""SELECT Col2 WHERE Col2 IS NOT NULL OR"&amp;"DER BY Col1 DESC LIMIT 20"", 0) - 1)))"),"#N/A")</f>
        <v>#N/A</v>
      </c>
      <c r="H162" s="35" t="str">
        <f t="shared" si="35"/>
        <v>Illiquid</v>
      </c>
      <c r="I162" s="35" t="str">
        <f t="shared" si="7"/>
        <v>RVol Required</v>
      </c>
      <c r="J162" s="37">
        <f>IFERROR(__xludf.DUMMYFUNCTION("IFERROR(
  IF(C162="""",, 
    IFERROR(
      GOOGLEFINANCE(C162, ""price"") * GOOGLEFINANCE(C162, ""volumeavg""), 
      GOOGLEFINANCE(C162, ""price"") * AVERAGE(QUERY(GOOGLEFINANCE(C162, ""volume"", TODAY()-40, TODAY()), ""SELECT Col2 WHERE Col2 IS NOT "&amp;"NULL ORDER BY Col1 DESC LIMIT 20"", 0))
    )
  ), 
"""")"),2058245.6800000002)</f>
        <v>2058245.68</v>
      </c>
      <c r="K162" s="21">
        <f>IFERROR(__xludf.DUMMYFUNCTION("IFERROR(GOOGLEFINANCE(C162, ""changepct"") / 100, """")"),-0.0036)</f>
        <v>-0.0036</v>
      </c>
      <c r="L162" s="21" t="str">
        <f>IFERROR(__xludf.DUMMYFUNCTION("IFERROR((GOOGLEFINANCE(C162, ""price"") / INDEX(GOOGLEFINANCE(C162, ""price"", TODAY()-7, TODAY()), 2, 2)) - 1, """")"),"")</f>
        <v/>
      </c>
      <c r="M162" s="21" t="str">
        <f>IFERROR(__xludf.DUMMYFUNCTION("IFERROR((GOOGLEFINANCE(C162, ""price"") / INDEX(GOOGLEFINANCE(C162, ""price"", EDATE(TODAY(), -1), TODAY()), 2, 2)) - 1, """")"),"")</f>
        <v/>
      </c>
      <c r="N162" s="21" t="str">
        <f>IFERROR(__xludf.DUMMYFUNCTION("IFERROR((GOOGLEFINANCE(C162, ""price"") / INDEX(GOOGLEFINANCE(C162, ""price"", EDATE(TODAY(), -3), TODAY()), 2, 2)) - 1, """")"),"")</f>
        <v/>
      </c>
      <c r="O162" s="21" t="str">
        <f>IFERROR(__xludf.DUMMYFUNCTION("IFERROR((GOOGLEFINANCE(C162, ""price"") / INDEX(GOOGLEFINANCE(C162, ""price"", EDATE(TODAY(), -6), TODAY()), 2, 2)) - 1, """")"),"")</f>
        <v/>
      </c>
      <c r="P162" s="21" t="str">
        <f>IFERROR(__xludf.DUMMYFUNCTION("IFERROR((GOOGLEFINANCE(C162, ""price"") / INDEX(GOOGLEFINANCE(C162, ""price"", EDATE(TODAY(), -12), TODAY()), 2, 2)) - 1, """")"),"")</f>
        <v/>
      </c>
      <c r="Q162" s="6" t="str">
        <f>IFERROR(__xludf.DUMMYFUNCTION("AVERAGE(QUERY(GOOGLEFINANCE(C162, ""price"", TODAY()-80, TODAY()), ""SELECT Col2 WHERE Col2 IS NOT NULL ORDER BY Col1 DESC LIMIT 50"", 0))"),"#N/A")</f>
        <v>#N/A</v>
      </c>
      <c r="R162" s="24" t="str">
        <f>IFERROR(__xludf.DUMMYFUNCTION("IFERROR(
  LET(
    data, QUERY(GOOGLEFINANCE(C162,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GOOGLEFINANCE(C162, ""price"")) * 100,
    IF(calc=0, G162, calc)
  ), 
G162)"),"#N/A")</f>
        <v>#N/A</v>
      </c>
      <c r="S162" s="8" t="s">
        <v>15</v>
      </c>
      <c r="T162" s="26" t="str">
        <f>IFERROR(__xludf.DUMMYFUNCTION("IFERROR(TRANSPOSE(QUERY(IFERROR(SORT(GOOGLEFINANCE(C162, ""price"", WORKDAY(TODAY(), -40), TODAY()), 1, FALSE)), ""select Col2 where Col2 is not null limit 22 label Col2 ''"", 0)), """")"),"")</f>
        <v/>
      </c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8"/>
      <c r="AO162" s="28"/>
      <c r="AP162" s="29"/>
      <c r="AQ162" s="29" t="str">
        <f t="shared" ref="AQ162:BL162" si="166">T162/T$2</f>
        <v>#N/A</v>
      </c>
      <c r="AR162" s="29" t="str">
        <f t="shared" si="166"/>
        <v>#DIV/0!</v>
      </c>
      <c r="AS162" s="29" t="str">
        <f t="shared" si="166"/>
        <v>#DIV/0!</v>
      </c>
      <c r="AT162" s="29" t="str">
        <f t="shared" si="166"/>
        <v>#DIV/0!</v>
      </c>
      <c r="AU162" s="29" t="str">
        <f t="shared" si="166"/>
        <v>#DIV/0!</v>
      </c>
      <c r="AV162" s="29" t="str">
        <f t="shared" si="166"/>
        <v>#DIV/0!</v>
      </c>
      <c r="AW162" s="29" t="str">
        <f t="shared" si="166"/>
        <v>#DIV/0!</v>
      </c>
      <c r="AX162" s="29" t="str">
        <f t="shared" si="166"/>
        <v>#DIV/0!</v>
      </c>
      <c r="AY162" s="29" t="str">
        <f t="shared" si="166"/>
        <v>#DIV/0!</v>
      </c>
      <c r="AZ162" s="29" t="str">
        <f t="shared" si="166"/>
        <v>#DIV/0!</v>
      </c>
      <c r="BA162" s="29" t="str">
        <f t="shared" si="166"/>
        <v>#DIV/0!</v>
      </c>
      <c r="BB162" s="29" t="str">
        <f t="shared" si="166"/>
        <v>#DIV/0!</v>
      </c>
      <c r="BC162" s="29" t="str">
        <f t="shared" si="166"/>
        <v>#DIV/0!</v>
      </c>
      <c r="BD162" s="29" t="str">
        <f t="shared" si="166"/>
        <v>#DIV/0!</v>
      </c>
      <c r="BE162" s="29" t="str">
        <f t="shared" si="166"/>
        <v>#DIV/0!</v>
      </c>
      <c r="BF162" s="29" t="str">
        <f t="shared" si="166"/>
        <v>#DIV/0!</v>
      </c>
      <c r="BG162" s="29" t="str">
        <f t="shared" si="166"/>
        <v>#DIV/0!</v>
      </c>
      <c r="BH162" s="29" t="str">
        <f t="shared" si="166"/>
        <v>#DIV/0!</v>
      </c>
      <c r="BI162" s="29" t="str">
        <f t="shared" si="166"/>
        <v>#DIV/0!</v>
      </c>
      <c r="BJ162" s="29" t="str">
        <f t="shared" si="166"/>
        <v>#DIV/0!</v>
      </c>
      <c r="BK162" s="29" t="str">
        <f t="shared" si="166"/>
        <v>#DIV/0!</v>
      </c>
      <c r="BL162" s="29" t="str">
        <f t="shared" si="166"/>
        <v>#DIV/0!</v>
      </c>
      <c r="BM162" s="29" t="str">
        <f t="shared" si="3"/>
        <v>#DIV/0!</v>
      </c>
    </row>
    <row r="163">
      <c r="A163" s="16" t="str">
        <f>IFERROR(__xludf.DUMMYFUNCTION("IFERROR(SPARKLINE(SORT(MAP(TRANSPOSE(AQ163:BL163), LAMBDA(val, IF(ISNUMBER(val), PERCENTRANK(AQ163:BL163, val)+0.01, 0))), SEQUENCE(COLUMNS(AQ163:BL163)), FALSE), {""charttype"",""column""; ""color"",""chartreuse""; ""ymin"", 0; ""ymax"", 1.01; ""highcolo"&amp;"r"", ""darkgreen""; ""lowcolor"", ""red""}), """")"),"")</f>
        <v/>
      </c>
      <c r="B163" s="17" t="str">
        <f t="shared" si="4"/>
        <v/>
      </c>
      <c r="C163" s="1" t="s">
        <v>3332</v>
      </c>
      <c r="D163" s="30" t="str">
        <f>IFERROR(__xludf.DUMMYFUNCTION("IFERROR(GOOGLEFINANCE(C163, ""NAME""))"),"Rayonier Advanced Materials Inc")</f>
        <v>Rayonier Advanced Materials Inc</v>
      </c>
      <c r="E163" s="30" t="s">
        <v>3035</v>
      </c>
      <c r="F163" s="33" t="str">
        <f>IFERROR(__xludf.DUMMYFUNCTION("( (GOOGLEFINANCE(C163, ""price"") - Q163) / Q163 ) / (R163 / 100)"),"Loading...")</f>
        <v>Loading...</v>
      </c>
      <c r="G163" s="20" t="str">
        <f>IFERROR(__xludf.DUMMYFUNCTION("AVERAGE(ARRAYFORMULA(100 * (QUERY(GOOGLEFINANCE(C163, ""high"", TODAY()-40, TODAY()), ""SELECT Col2 WHERE Col2 IS NOT NULL ORDER BY Col1 DESC LIMIT 20"", 0) / QUERY(GOOGLEFINANCE(C163, ""low"", TODAY()-40, TODAY()), ""SELECT Col2 WHERE Col2 IS NOT NULL OR"&amp;"DER BY Col1 DESC LIMIT 20"", 0) - 1)))"),"#N/A")</f>
        <v>#N/A</v>
      </c>
      <c r="H163" s="35" t="str">
        <f t="shared" si="35"/>
        <v>Illiquid</v>
      </c>
      <c r="I163" s="35" t="str">
        <f t="shared" si="7"/>
        <v>RVol Required</v>
      </c>
      <c r="J163" s="37">
        <f>IFERROR(__xludf.DUMMYFUNCTION("IFERROR(
  IF(C163="""",, 
    IFERROR(
      GOOGLEFINANCE(C163, ""price"") * GOOGLEFINANCE(C163, ""volumeavg""), 
      GOOGLEFINANCE(C163, ""price"") * AVERAGE(QUERY(GOOGLEFINANCE(C163, ""volume"", TODAY()-40, TODAY()), ""SELECT Col2 WHERE Col2 IS NOT "&amp;"NULL ORDER BY Col1 DESC LIMIT 20"", 0))
    )
  ), 
"""")"),6094664.88)</f>
        <v>6094664.88</v>
      </c>
      <c r="K163" s="21">
        <f>IFERROR(__xludf.DUMMYFUNCTION("IFERROR(GOOGLEFINANCE(C163, ""changepct"") / 100, """")"),-0.0169)</f>
        <v>-0.0169</v>
      </c>
      <c r="L163" s="21" t="str">
        <f>IFERROR(__xludf.DUMMYFUNCTION("IFERROR((GOOGLEFINANCE(C163, ""price"") / INDEX(GOOGLEFINANCE(C163, ""price"", TODAY()-7, TODAY()), 2, 2)) - 1, """")"),"")</f>
        <v/>
      </c>
      <c r="M163" s="21" t="str">
        <f>IFERROR(__xludf.DUMMYFUNCTION("IFERROR((GOOGLEFINANCE(C163, ""price"") / INDEX(GOOGLEFINANCE(C163, ""price"", EDATE(TODAY(), -1), TODAY()), 2, 2)) - 1, """")"),"")</f>
        <v/>
      </c>
      <c r="N163" s="21" t="str">
        <f>IFERROR(__xludf.DUMMYFUNCTION("IFERROR((GOOGLEFINANCE(C163, ""price"") / INDEX(GOOGLEFINANCE(C163, ""price"", EDATE(TODAY(), -3), TODAY()), 2, 2)) - 1, """")"),"")</f>
        <v/>
      </c>
      <c r="O163" s="21" t="str">
        <f>IFERROR(__xludf.DUMMYFUNCTION("IFERROR((GOOGLEFINANCE(C163, ""price"") / INDEX(GOOGLEFINANCE(C163, ""price"", EDATE(TODAY(), -6), TODAY()), 2, 2)) - 1, """")"),"")</f>
        <v/>
      </c>
      <c r="P163" s="21" t="str">
        <f>IFERROR(__xludf.DUMMYFUNCTION("IFERROR((GOOGLEFINANCE(C163, ""price"") / INDEX(GOOGLEFINANCE(C163, ""price"", EDATE(TODAY(), -12), TODAY()), 2, 2)) - 1, """")"),"")</f>
        <v/>
      </c>
      <c r="Q163" s="6" t="str">
        <f>IFERROR(__xludf.DUMMYFUNCTION("AVERAGE(QUERY(GOOGLEFINANCE(C163, ""price"", TODAY()-80, TODAY()), ""SELECT Col2 WHERE Col2 IS NOT NULL ORDER BY Col1 DESC LIMIT 50"", 0))"),"#N/A")</f>
        <v>#N/A</v>
      </c>
      <c r="R163" s="24" t="str">
        <f>IFERROR(__xludf.DUMMYFUNCTION("IFERROR(
  LET(
    data, QUERY(GOOGLEFINANCE(C163,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GOOGLEFINANCE(C163, ""price"")) * 100,
    IF(calc=0, G163, calc)
  ), 
G163)"),"#N/A")</f>
        <v>#N/A</v>
      </c>
      <c r="S163" s="8" t="s">
        <v>15</v>
      </c>
      <c r="T163" s="26" t="str">
        <f>IFERROR(__xludf.DUMMYFUNCTION("IFERROR(TRANSPOSE(QUERY(IFERROR(SORT(GOOGLEFINANCE(C163, ""price"", WORKDAY(TODAY(), -40), TODAY()), 1, FALSE)), ""select Col2 where Col2 is not null limit 22 label Col2 ''"", 0)), """")"),"")</f>
        <v/>
      </c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8"/>
      <c r="AO163" s="28"/>
      <c r="AP163" s="29"/>
      <c r="AQ163" s="29" t="str">
        <f t="shared" ref="AQ163:BL163" si="167">T163/T$2</f>
        <v>#N/A</v>
      </c>
      <c r="AR163" s="29" t="str">
        <f t="shared" si="167"/>
        <v>#DIV/0!</v>
      </c>
      <c r="AS163" s="29" t="str">
        <f t="shared" si="167"/>
        <v>#DIV/0!</v>
      </c>
      <c r="AT163" s="29" t="str">
        <f t="shared" si="167"/>
        <v>#DIV/0!</v>
      </c>
      <c r="AU163" s="29" t="str">
        <f t="shared" si="167"/>
        <v>#DIV/0!</v>
      </c>
      <c r="AV163" s="29" t="str">
        <f t="shared" si="167"/>
        <v>#DIV/0!</v>
      </c>
      <c r="AW163" s="29" t="str">
        <f t="shared" si="167"/>
        <v>#DIV/0!</v>
      </c>
      <c r="AX163" s="29" t="str">
        <f t="shared" si="167"/>
        <v>#DIV/0!</v>
      </c>
      <c r="AY163" s="29" t="str">
        <f t="shared" si="167"/>
        <v>#DIV/0!</v>
      </c>
      <c r="AZ163" s="29" t="str">
        <f t="shared" si="167"/>
        <v>#DIV/0!</v>
      </c>
      <c r="BA163" s="29" t="str">
        <f t="shared" si="167"/>
        <v>#DIV/0!</v>
      </c>
      <c r="BB163" s="29" t="str">
        <f t="shared" si="167"/>
        <v>#DIV/0!</v>
      </c>
      <c r="BC163" s="29" t="str">
        <f t="shared" si="167"/>
        <v>#DIV/0!</v>
      </c>
      <c r="BD163" s="29" t="str">
        <f t="shared" si="167"/>
        <v>#DIV/0!</v>
      </c>
      <c r="BE163" s="29" t="str">
        <f t="shared" si="167"/>
        <v>#DIV/0!</v>
      </c>
      <c r="BF163" s="29" t="str">
        <f t="shared" si="167"/>
        <v>#DIV/0!</v>
      </c>
      <c r="BG163" s="29" t="str">
        <f t="shared" si="167"/>
        <v>#DIV/0!</v>
      </c>
      <c r="BH163" s="29" t="str">
        <f t="shared" si="167"/>
        <v>#DIV/0!</v>
      </c>
      <c r="BI163" s="29" t="str">
        <f t="shared" si="167"/>
        <v>#DIV/0!</v>
      </c>
      <c r="BJ163" s="29" t="str">
        <f t="shared" si="167"/>
        <v>#DIV/0!</v>
      </c>
      <c r="BK163" s="29" t="str">
        <f t="shared" si="167"/>
        <v>#DIV/0!</v>
      </c>
      <c r="BL163" s="29" t="str">
        <f t="shared" si="167"/>
        <v>#DIV/0!</v>
      </c>
      <c r="BM163" s="29" t="str">
        <f t="shared" si="3"/>
        <v>#DIV/0!</v>
      </c>
    </row>
    <row r="164">
      <c r="A164" s="16" t="str">
        <f>IFERROR(__xludf.DUMMYFUNCTION("IFERROR(SPARKLINE(SORT(MAP(TRANSPOSE(AQ164:BL164), LAMBDA(val, IF(ISNUMBER(val), PERCENTRANK(AQ164:BL164, val)+0.01, 0))), SEQUENCE(COLUMNS(AQ164:BL164)), FALSE), {""charttype"",""column""; ""color"",""chartreuse""; ""ymin"", 0; ""ymax"", 1.01; ""highcolo"&amp;"r"", ""darkgreen""; ""lowcolor"", ""red""}), """")"),"")</f>
        <v/>
      </c>
      <c r="B164" s="17" t="str">
        <f t="shared" si="4"/>
        <v/>
      </c>
      <c r="C164" s="1" t="s">
        <v>3333</v>
      </c>
      <c r="D164" s="30" t="str">
        <f>IFERROR(__xludf.DUMMYFUNCTION("IFERROR(GOOGLEFINANCE(C164, ""NAME""))"),"Warrior Met Coal Inc")</f>
        <v>Warrior Met Coal Inc</v>
      </c>
      <c r="E164" s="30" t="s">
        <v>2941</v>
      </c>
      <c r="F164" s="33" t="str">
        <f>IFERROR(__xludf.DUMMYFUNCTION("( (GOOGLEFINANCE(C164, ""price"") - Q164) / Q164 ) / (R164 / 100)"),"Loading...")</f>
        <v>Loading...</v>
      </c>
      <c r="G164" s="20" t="str">
        <f>IFERROR(__xludf.DUMMYFUNCTION("AVERAGE(ARRAYFORMULA(100 * (QUERY(GOOGLEFINANCE(C164, ""high"", TODAY()-40, TODAY()), ""SELECT Col2 WHERE Col2 IS NOT NULL ORDER BY Col1 DESC LIMIT 20"", 0) / QUERY(GOOGLEFINANCE(C164, ""low"", TODAY()-40, TODAY()), ""SELECT Col2 WHERE Col2 IS NOT NULL OR"&amp;"DER BY Col1 DESC LIMIT 20"", 0) - 1)))"),"#N/A")</f>
        <v>#N/A</v>
      </c>
      <c r="H164" s="35" t="str">
        <f t="shared" si="35"/>
        <v>Liquid</v>
      </c>
      <c r="I164" s="35" t="str">
        <f t="shared" si="7"/>
        <v>RVol Required</v>
      </c>
      <c r="J164" s="37">
        <f>IFERROR(__xludf.DUMMYFUNCTION("IFERROR(
  IF(C164="""",, 
    IFERROR(
      GOOGLEFINANCE(C164, ""price"") * GOOGLEFINANCE(C164, ""volumeavg""), 
      GOOGLEFINANCE(C164, ""price"") * AVERAGE(QUERY(GOOGLEFINANCE(C164, ""volume"", TODAY()-40, TODAY()), ""SELECT Col2 WHERE Col2 IS NOT "&amp;"NULL ORDER BY Col1 DESC LIMIT 20"", 0))
    )
  ), 
"""")"),5.6053306199999996E7)</f>
        <v>56053306.2</v>
      </c>
      <c r="K164" s="21">
        <f>IFERROR(__xludf.DUMMYFUNCTION("IFERROR(GOOGLEFINANCE(C164, ""changepct"") / 100, """")"),0.0054)</f>
        <v>0.0054</v>
      </c>
      <c r="L164" s="21" t="str">
        <f>IFERROR(__xludf.DUMMYFUNCTION("IFERROR((GOOGLEFINANCE(C164, ""price"") / INDEX(GOOGLEFINANCE(C164, ""price"", TODAY()-7, TODAY()), 2, 2)) - 1, """")"),"")</f>
        <v/>
      </c>
      <c r="M164" s="21" t="str">
        <f>IFERROR(__xludf.DUMMYFUNCTION("IFERROR((GOOGLEFINANCE(C164, ""price"") / INDEX(GOOGLEFINANCE(C164, ""price"", EDATE(TODAY(), -1), TODAY()), 2, 2)) - 1, """")"),"")</f>
        <v/>
      </c>
      <c r="N164" s="21" t="str">
        <f>IFERROR(__xludf.DUMMYFUNCTION("IFERROR((GOOGLEFINANCE(C164, ""price"") / INDEX(GOOGLEFINANCE(C164, ""price"", EDATE(TODAY(), -3), TODAY()), 2, 2)) - 1, """")"),"")</f>
        <v/>
      </c>
      <c r="O164" s="21" t="str">
        <f>IFERROR(__xludf.DUMMYFUNCTION("IFERROR((GOOGLEFINANCE(C164, ""price"") / INDEX(GOOGLEFINANCE(C164, ""price"", EDATE(TODAY(), -6), TODAY()), 2, 2)) - 1, """")"),"")</f>
        <v/>
      </c>
      <c r="P164" s="21" t="str">
        <f>IFERROR(__xludf.DUMMYFUNCTION("IFERROR((GOOGLEFINANCE(C164, ""price"") / INDEX(GOOGLEFINANCE(C164, ""price"", EDATE(TODAY(), -12), TODAY()), 2, 2)) - 1, """")"),"")</f>
        <v/>
      </c>
      <c r="Q164" s="6" t="str">
        <f>IFERROR(__xludf.DUMMYFUNCTION("AVERAGE(QUERY(GOOGLEFINANCE(C164, ""price"", TODAY()-80, TODAY()), ""SELECT Col2 WHERE Col2 IS NOT NULL ORDER BY Col1 DESC LIMIT 50"", 0))"),"#N/A")</f>
        <v>#N/A</v>
      </c>
      <c r="R164" s="24" t="str">
        <f>IFERROR(__xludf.DUMMYFUNCTION("IFERROR(
  LET(
    data, QUERY(GOOGLEFINANCE(C164,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GOOGLEFINANCE(C164, ""price"")) * 100,
    IF(calc=0, G164, calc)
  ), 
G164)"),"#N/A")</f>
        <v>#N/A</v>
      </c>
      <c r="S164" s="8" t="s">
        <v>15</v>
      </c>
      <c r="T164" s="26" t="str">
        <f>IFERROR(__xludf.DUMMYFUNCTION("IFERROR(TRANSPOSE(QUERY(IFERROR(SORT(GOOGLEFINANCE(C164, ""price"", WORKDAY(TODAY(), -40), TODAY()), 1, FALSE)), ""select Col2 where Col2 is not null limit 22 label Col2 ''"", 0)), """")"),"")</f>
        <v/>
      </c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8"/>
      <c r="AO164" s="28"/>
      <c r="AP164" s="29"/>
      <c r="AQ164" s="29" t="str">
        <f t="shared" ref="AQ164:BL164" si="168">T164/T$2</f>
        <v>#N/A</v>
      </c>
      <c r="AR164" s="29" t="str">
        <f t="shared" si="168"/>
        <v>#DIV/0!</v>
      </c>
      <c r="AS164" s="29" t="str">
        <f t="shared" si="168"/>
        <v>#DIV/0!</v>
      </c>
      <c r="AT164" s="29" t="str">
        <f t="shared" si="168"/>
        <v>#DIV/0!</v>
      </c>
      <c r="AU164" s="29" t="str">
        <f t="shared" si="168"/>
        <v>#DIV/0!</v>
      </c>
      <c r="AV164" s="29" t="str">
        <f t="shared" si="168"/>
        <v>#DIV/0!</v>
      </c>
      <c r="AW164" s="29" t="str">
        <f t="shared" si="168"/>
        <v>#DIV/0!</v>
      </c>
      <c r="AX164" s="29" t="str">
        <f t="shared" si="168"/>
        <v>#DIV/0!</v>
      </c>
      <c r="AY164" s="29" t="str">
        <f t="shared" si="168"/>
        <v>#DIV/0!</v>
      </c>
      <c r="AZ164" s="29" t="str">
        <f t="shared" si="168"/>
        <v>#DIV/0!</v>
      </c>
      <c r="BA164" s="29" t="str">
        <f t="shared" si="168"/>
        <v>#DIV/0!</v>
      </c>
      <c r="BB164" s="29" t="str">
        <f t="shared" si="168"/>
        <v>#DIV/0!</v>
      </c>
      <c r="BC164" s="29" t="str">
        <f t="shared" si="168"/>
        <v>#DIV/0!</v>
      </c>
      <c r="BD164" s="29" t="str">
        <f t="shared" si="168"/>
        <v>#DIV/0!</v>
      </c>
      <c r="BE164" s="29" t="str">
        <f t="shared" si="168"/>
        <v>#DIV/0!</v>
      </c>
      <c r="BF164" s="29" t="str">
        <f t="shared" si="168"/>
        <v>#DIV/0!</v>
      </c>
      <c r="BG164" s="29" t="str">
        <f t="shared" si="168"/>
        <v>#DIV/0!</v>
      </c>
      <c r="BH164" s="29" t="str">
        <f t="shared" si="168"/>
        <v>#DIV/0!</v>
      </c>
      <c r="BI164" s="29" t="str">
        <f t="shared" si="168"/>
        <v>#DIV/0!</v>
      </c>
      <c r="BJ164" s="29" t="str">
        <f t="shared" si="168"/>
        <v>#DIV/0!</v>
      </c>
      <c r="BK164" s="29" t="str">
        <f t="shared" si="168"/>
        <v>#DIV/0!</v>
      </c>
      <c r="BL164" s="29" t="str">
        <f t="shared" si="168"/>
        <v>#DIV/0!</v>
      </c>
      <c r="BM164" s="29" t="str">
        <f t="shared" si="3"/>
        <v>#DIV/0!</v>
      </c>
    </row>
    <row r="165">
      <c r="A165" s="16" t="str">
        <f>IFERROR(__xludf.DUMMYFUNCTION("IFERROR(SPARKLINE(SORT(MAP(TRANSPOSE(AQ165:BL165), LAMBDA(val, IF(ISNUMBER(val), PERCENTRANK(AQ165:BL165, val)+0.01, 0))), SEQUENCE(COLUMNS(AQ165:BL165)), FALSE), {""charttype"",""column""; ""color"",""chartreuse""; ""ymin"", 0; ""ymax"", 1.01; ""highcolo"&amp;"r"", ""darkgreen""; ""lowcolor"", ""red""}), """")"),"")</f>
        <v/>
      </c>
      <c r="B165" s="17" t="str">
        <f t="shared" si="4"/>
        <v/>
      </c>
      <c r="C165" s="1" t="s">
        <v>3334</v>
      </c>
      <c r="D165" s="30" t="str">
        <f>IFERROR(__xludf.DUMMYFUNCTION("IFERROR(GOOGLEFINANCE(C165, ""NAME""))"),"Aura Minerals Inc")</f>
        <v>Aura Minerals Inc</v>
      </c>
      <c r="E165" s="30" t="s">
        <v>2928</v>
      </c>
      <c r="F165" s="33" t="str">
        <f>IFERROR(__xludf.DUMMYFUNCTION("( (GOOGLEFINANCE(C165, ""price"") - Q165) / Q165 ) / (R165 / 100)"),"Loading...")</f>
        <v>Loading...</v>
      </c>
      <c r="G165" s="20" t="str">
        <f>IFERROR(__xludf.DUMMYFUNCTION("AVERAGE(ARRAYFORMULA(100 * (QUERY(GOOGLEFINANCE(C165, ""high"", TODAY()-40, TODAY()), ""SELECT Col2 WHERE Col2 IS NOT NULL ORDER BY Col1 DESC LIMIT 20"", 0) / QUERY(GOOGLEFINANCE(C165, ""low"", TODAY()-40, TODAY()), ""SELECT Col2 WHERE Col2 IS NOT NULL OR"&amp;"DER BY Col1 DESC LIMIT 20"", 0) - 1)))"),"#N/A")</f>
        <v>#N/A</v>
      </c>
      <c r="H165" s="35" t="str">
        <f t="shared" si="35"/>
        <v>Liquid</v>
      </c>
      <c r="I165" s="35" t="str">
        <f t="shared" si="7"/>
        <v>RVol Required</v>
      </c>
      <c r="J165" s="37">
        <f>IFERROR(__xludf.DUMMYFUNCTION("IFERROR(
  IF(C165="""",, 
    IFERROR(
      GOOGLEFINANCE(C165, ""price"") * GOOGLEFINANCE(C165, ""volumeavg""), 
      GOOGLEFINANCE(C165, ""price"") * AVERAGE(QUERY(GOOGLEFINANCE(C165, ""volume"", TODAY()-40, TODAY()), ""SELECT Col2 WHERE Col2 IS NOT "&amp;"NULL ORDER BY Col1 DESC LIMIT 20"", 0))
    )
  ), 
"""")"),8.91329624E7)</f>
        <v>89132962.4</v>
      </c>
      <c r="K165" s="21">
        <f>IFERROR(__xludf.DUMMYFUNCTION("IFERROR(GOOGLEFINANCE(C165, ""changepct"") / 100, """")"),0.0202)</f>
        <v>0.0202</v>
      </c>
      <c r="L165" s="21" t="str">
        <f>IFERROR(__xludf.DUMMYFUNCTION("IFERROR((GOOGLEFINANCE(C165, ""price"") / INDEX(GOOGLEFINANCE(C165, ""price"", TODAY()-7, TODAY()), 2, 2)) - 1, """")"),"")</f>
        <v/>
      </c>
      <c r="M165" s="21" t="str">
        <f>IFERROR(__xludf.DUMMYFUNCTION("IFERROR((GOOGLEFINANCE(C165, ""price"") / INDEX(GOOGLEFINANCE(C165, ""price"", EDATE(TODAY(), -1), TODAY()), 2, 2)) - 1, """")"),"")</f>
        <v/>
      </c>
      <c r="N165" s="21" t="str">
        <f>IFERROR(__xludf.DUMMYFUNCTION("IFERROR((GOOGLEFINANCE(C165, ""price"") / INDEX(GOOGLEFINANCE(C165, ""price"", EDATE(TODAY(), -3), TODAY()), 2, 2)) - 1, """")"),"")</f>
        <v/>
      </c>
      <c r="O165" s="21" t="str">
        <f>IFERROR(__xludf.DUMMYFUNCTION("IFERROR((GOOGLEFINANCE(C165, ""price"") / INDEX(GOOGLEFINANCE(C165, ""price"", EDATE(TODAY(), -6), TODAY()), 2, 2)) - 1, """")"),"")</f>
        <v/>
      </c>
      <c r="P165" s="21" t="str">
        <f>IFERROR(__xludf.DUMMYFUNCTION("IFERROR((GOOGLEFINANCE(C165, ""price"") / INDEX(GOOGLEFINANCE(C165, ""price"", EDATE(TODAY(), -12), TODAY()), 2, 2)) - 1, """")"),"")</f>
        <v/>
      </c>
      <c r="Q165" s="6" t="str">
        <f>IFERROR(__xludf.DUMMYFUNCTION("AVERAGE(QUERY(GOOGLEFINANCE(C165, ""price"", TODAY()-80, TODAY()), ""SELECT Col2 WHERE Col2 IS NOT NULL ORDER BY Col1 DESC LIMIT 50"", 0))"),"#N/A")</f>
        <v>#N/A</v>
      </c>
      <c r="R165" s="24" t="str">
        <f>IFERROR(__xludf.DUMMYFUNCTION("IFERROR(
  LET(
    data, QUERY(GOOGLEFINANCE(C165,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GOOGLEFINANCE(C165, ""price"")) * 100,
    IF(calc=0, G165, calc)
  ), 
G165)"),"#N/A")</f>
        <v>#N/A</v>
      </c>
      <c r="S165" s="8" t="s">
        <v>15</v>
      </c>
      <c r="T165" s="26" t="str">
        <f>IFERROR(__xludf.DUMMYFUNCTION("IFERROR(TRANSPOSE(QUERY(IFERROR(SORT(GOOGLEFINANCE(C165, ""price"", WORKDAY(TODAY(), -40), TODAY()), 1, FALSE)), ""select Col2 where Col2 is not null limit 22 label Col2 ''"", 0)), """")"),"")</f>
        <v/>
      </c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8"/>
      <c r="AO165" s="28"/>
      <c r="AP165" s="29"/>
      <c r="AQ165" s="29" t="str">
        <f t="shared" ref="AQ165:BL165" si="169">T165/T$2</f>
        <v>#N/A</v>
      </c>
      <c r="AR165" s="29" t="str">
        <f t="shared" si="169"/>
        <v>#DIV/0!</v>
      </c>
      <c r="AS165" s="29" t="str">
        <f t="shared" si="169"/>
        <v>#DIV/0!</v>
      </c>
      <c r="AT165" s="29" t="str">
        <f t="shared" si="169"/>
        <v>#DIV/0!</v>
      </c>
      <c r="AU165" s="29" t="str">
        <f t="shared" si="169"/>
        <v>#DIV/0!</v>
      </c>
      <c r="AV165" s="29" t="str">
        <f t="shared" si="169"/>
        <v>#DIV/0!</v>
      </c>
      <c r="AW165" s="29" t="str">
        <f t="shared" si="169"/>
        <v>#DIV/0!</v>
      </c>
      <c r="AX165" s="29" t="str">
        <f t="shared" si="169"/>
        <v>#DIV/0!</v>
      </c>
      <c r="AY165" s="29" t="str">
        <f t="shared" si="169"/>
        <v>#DIV/0!</v>
      </c>
      <c r="AZ165" s="29" t="str">
        <f t="shared" si="169"/>
        <v>#DIV/0!</v>
      </c>
      <c r="BA165" s="29" t="str">
        <f t="shared" si="169"/>
        <v>#DIV/0!</v>
      </c>
      <c r="BB165" s="29" t="str">
        <f t="shared" si="169"/>
        <v>#DIV/0!</v>
      </c>
      <c r="BC165" s="29" t="str">
        <f t="shared" si="169"/>
        <v>#DIV/0!</v>
      </c>
      <c r="BD165" s="29" t="str">
        <f t="shared" si="169"/>
        <v>#DIV/0!</v>
      </c>
      <c r="BE165" s="29" t="str">
        <f t="shared" si="169"/>
        <v>#DIV/0!</v>
      </c>
      <c r="BF165" s="29" t="str">
        <f t="shared" si="169"/>
        <v>#DIV/0!</v>
      </c>
      <c r="BG165" s="29" t="str">
        <f t="shared" si="169"/>
        <v>#DIV/0!</v>
      </c>
      <c r="BH165" s="29" t="str">
        <f t="shared" si="169"/>
        <v>#DIV/0!</v>
      </c>
      <c r="BI165" s="29" t="str">
        <f t="shared" si="169"/>
        <v>#DIV/0!</v>
      </c>
      <c r="BJ165" s="29" t="str">
        <f t="shared" si="169"/>
        <v>#DIV/0!</v>
      </c>
      <c r="BK165" s="29" t="str">
        <f t="shared" si="169"/>
        <v>#DIV/0!</v>
      </c>
      <c r="BL165" s="29" t="str">
        <f t="shared" si="169"/>
        <v>#DIV/0!</v>
      </c>
      <c r="BM165" s="29" t="str">
        <f t="shared" si="3"/>
        <v>#DIV/0!</v>
      </c>
    </row>
    <row r="166">
      <c r="A166" s="16" t="str">
        <f>IFERROR(__xludf.DUMMYFUNCTION("IFERROR(SPARKLINE(SORT(MAP(TRANSPOSE(AQ166:BL166), LAMBDA(val, IF(ISNUMBER(val), PERCENTRANK(AQ166:BL166, val)+0.01, 0))), SEQUENCE(COLUMNS(AQ166:BL166)), FALSE), {""charttype"",""column""; ""color"",""chartreuse""; ""ymin"", 0; ""ymax"", 1.01; ""highcolo"&amp;"r"", ""darkgreen""; ""lowcolor"", ""red""}), """")"),"")</f>
        <v/>
      </c>
      <c r="B166" s="17" t="str">
        <f t="shared" si="4"/>
        <v/>
      </c>
      <c r="C166" s="1" t="s">
        <v>3335</v>
      </c>
      <c r="D166" s="30" t="str">
        <f>IFERROR(__xludf.DUMMYFUNCTION("IFERROR(GOOGLEFINANCE(C166, ""NAME""))"),"Nexa Resources SA")</f>
        <v>Nexa Resources SA</v>
      </c>
      <c r="E166" s="30" t="s">
        <v>2935</v>
      </c>
      <c r="F166" s="38" t="str">
        <f>IFERROR(__xludf.DUMMYFUNCTION("( (GOOGLEFINANCE(C166, ""price"") - Q166) / Q166 ) / (R166 / 100)"),"Loading...")</f>
        <v>Loading...</v>
      </c>
      <c r="G166" s="20" t="str">
        <f>IFERROR(__xludf.DUMMYFUNCTION("AVERAGE(ARRAYFORMULA(100 * (QUERY(GOOGLEFINANCE(C166, ""high"", TODAY()-40, TODAY()), ""SELECT Col2 WHERE Col2 IS NOT NULL ORDER BY Col1 DESC LIMIT 20"", 0) / QUERY(GOOGLEFINANCE(C166, ""low"", TODAY()-40, TODAY()), ""SELECT Col2 WHERE Col2 IS NOT NULL OR"&amp;"DER BY Col1 DESC LIMIT 20"", 0) - 1)))"),"#N/A")</f>
        <v>#N/A</v>
      </c>
      <c r="H166" s="35" t="str">
        <f t="shared" si="35"/>
        <v>Illiquid</v>
      </c>
      <c r="I166" s="35" t="str">
        <f t="shared" si="7"/>
        <v>RVol Required</v>
      </c>
      <c r="J166" s="37">
        <f>IFERROR(__xludf.DUMMYFUNCTION("IFERROR(
  IF(C166="""",, 
    IFERROR(
      GOOGLEFINANCE(C166, ""price"") * GOOGLEFINANCE(C166, ""volumeavg""), 
      GOOGLEFINANCE(C166, ""price"") * AVERAGE(QUERY(GOOGLEFINANCE(C166, ""volume"", TODAY()-40, TODAY()), ""SELECT Col2 WHERE Col2 IS NOT "&amp;"NULL ORDER BY Col1 DESC LIMIT 20"", 0))
    )
  ), 
"""")"),8454405.44)</f>
        <v>8454405.44</v>
      </c>
      <c r="K166" s="21">
        <f>IFERROR(__xludf.DUMMYFUNCTION("IFERROR(GOOGLEFINANCE(C166, ""changepct"") / 100, """")"),0.0032)</f>
        <v>0.0032</v>
      </c>
      <c r="L166" s="21" t="str">
        <f>IFERROR(__xludf.DUMMYFUNCTION("IFERROR((GOOGLEFINANCE(C166, ""price"") / INDEX(GOOGLEFINANCE(C166, ""price"", TODAY()-7, TODAY()), 2, 2)) - 1, """")"),"")</f>
        <v/>
      </c>
      <c r="M166" s="21" t="str">
        <f>IFERROR(__xludf.DUMMYFUNCTION("IFERROR((GOOGLEFINANCE(C166, ""price"") / INDEX(GOOGLEFINANCE(C166, ""price"", EDATE(TODAY(), -1), TODAY()), 2, 2)) - 1, """")"),"")</f>
        <v/>
      </c>
      <c r="N166" s="21" t="str">
        <f>IFERROR(__xludf.DUMMYFUNCTION("IFERROR((GOOGLEFINANCE(C166, ""price"") / INDEX(GOOGLEFINANCE(C166, ""price"", EDATE(TODAY(), -3), TODAY()), 2, 2)) - 1, """")"),"")</f>
        <v/>
      </c>
      <c r="O166" s="21" t="str">
        <f>IFERROR(__xludf.DUMMYFUNCTION("IFERROR((GOOGLEFINANCE(C166, ""price"") / INDEX(GOOGLEFINANCE(C166, ""price"", EDATE(TODAY(), -6), TODAY()), 2, 2)) - 1, """")"),"")</f>
        <v/>
      </c>
      <c r="P166" s="21" t="str">
        <f>IFERROR(__xludf.DUMMYFUNCTION("IFERROR((GOOGLEFINANCE(C166, ""price"") / INDEX(GOOGLEFINANCE(C166, ""price"", EDATE(TODAY(), -12), TODAY()), 2, 2)) - 1, """")"),"")</f>
        <v/>
      </c>
      <c r="Q166" s="6" t="str">
        <f>IFERROR(__xludf.DUMMYFUNCTION("AVERAGE(QUERY(GOOGLEFINANCE(C166, ""price"", TODAY()-80, TODAY()), ""SELECT Col2 WHERE Col2 IS NOT NULL ORDER BY Col1 DESC LIMIT 50"", 0))"),"#N/A")</f>
        <v>#N/A</v>
      </c>
      <c r="R166" s="24" t="str">
        <f>IFERROR(__xludf.DUMMYFUNCTION("IFERROR(
  LET(
    data, QUERY(GOOGLEFINANCE(C166,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GOOGLEFINANCE(C166, ""price"")) * 100,
    IF(calc=0, G166, calc)
  ), 
G166)"),"#N/A")</f>
        <v>#N/A</v>
      </c>
      <c r="S166" s="8" t="s">
        <v>15</v>
      </c>
      <c r="T166" s="26" t="str">
        <f>IFERROR(__xludf.DUMMYFUNCTION("IFERROR(TRANSPOSE(QUERY(IFERROR(SORT(GOOGLEFINANCE(C166, ""price"", WORKDAY(TODAY(), -40), TODAY()), 1, FALSE)), ""select Col2 where Col2 is not null limit 22 label Col2 ''"", 0)), """")"),"")</f>
        <v/>
      </c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8"/>
      <c r="AO166" s="28"/>
      <c r="AP166" s="29"/>
      <c r="AQ166" s="29" t="str">
        <f t="shared" ref="AQ166:BL166" si="170">T166/T$2</f>
        <v>#N/A</v>
      </c>
      <c r="AR166" s="29" t="str">
        <f t="shared" si="170"/>
        <v>#DIV/0!</v>
      </c>
      <c r="AS166" s="29" t="str">
        <f t="shared" si="170"/>
        <v>#DIV/0!</v>
      </c>
      <c r="AT166" s="29" t="str">
        <f t="shared" si="170"/>
        <v>#DIV/0!</v>
      </c>
      <c r="AU166" s="29" t="str">
        <f t="shared" si="170"/>
        <v>#DIV/0!</v>
      </c>
      <c r="AV166" s="29" t="str">
        <f t="shared" si="170"/>
        <v>#DIV/0!</v>
      </c>
      <c r="AW166" s="29" t="str">
        <f t="shared" si="170"/>
        <v>#DIV/0!</v>
      </c>
      <c r="AX166" s="29" t="str">
        <f t="shared" si="170"/>
        <v>#DIV/0!</v>
      </c>
      <c r="AY166" s="29" t="str">
        <f t="shared" si="170"/>
        <v>#DIV/0!</v>
      </c>
      <c r="AZ166" s="29" t="str">
        <f t="shared" si="170"/>
        <v>#DIV/0!</v>
      </c>
      <c r="BA166" s="29" t="str">
        <f t="shared" si="170"/>
        <v>#DIV/0!</v>
      </c>
      <c r="BB166" s="29" t="str">
        <f t="shared" si="170"/>
        <v>#DIV/0!</v>
      </c>
      <c r="BC166" s="29" t="str">
        <f t="shared" si="170"/>
        <v>#DIV/0!</v>
      </c>
      <c r="BD166" s="29" t="str">
        <f t="shared" si="170"/>
        <v>#DIV/0!</v>
      </c>
      <c r="BE166" s="29" t="str">
        <f t="shared" si="170"/>
        <v>#DIV/0!</v>
      </c>
      <c r="BF166" s="29" t="str">
        <f t="shared" si="170"/>
        <v>#DIV/0!</v>
      </c>
      <c r="BG166" s="29" t="str">
        <f t="shared" si="170"/>
        <v>#DIV/0!</v>
      </c>
      <c r="BH166" s="29" t="str">
        <f t="shared" si="170"/>
        <v>#DIV/0!</v>
      </c>
      <c r="BI166" s="29" t="str">
        <f t="shared" si="170"/>
        <v>#DIV/0!</v>
      </c>
      <c r="BJ166" s="29" t="str">
        <f t="shared" si="170"/>
        <v>#DIV/0!</v>
      </c>
      <c r="BK166" s="29" t="str">
        <f t="shared" si="170"/>
        <v>#DIV/0!</v>
      </c>
      <c r="BL166" s="29" t="str">
        <f t="shared" si="170"/>
        <v>#DIV/0!</v>
      </c>
      <c r="BM166" s="29" t="str">
        <f t="shared" si="3"/>
        <v>#DIV/0!</v>
      </c>
    </row>
    <row r="167">
      <c r="A167" s="16" t="str">
        <f>IFERROR(__xludf.DUMMYFUNCTION("IFERROR(SPARKLINE(SORT(MAP(TRANSPOSE(AQ167:BL167), LAMBDA(val, IF(ISNUMBER(val), PERCENTRANK(AQ167:BL167, val)+0.01, 0))), SEQUENCE(COLUMNS(AQ167:BL167)), FALSE), {""charttype"",""column""; ""color"",""chartreuse""; ""ymin"", 0; ""ymax"", 1.01; ""highcolo"&amp;"r"", ""darkgreen""; ""lowcolor"", ""red""}), """")"),"")</f>
        <v/>
      </c>
      <c r="B167" s="17" t="str">
        <f t="shared" si="4"/>
        <v/>
      </c>
      <c r="C167" s="1" t="s">
        <v>3336</v>
      </c>
      <c r="D167" s="30" t="str">
        <f>IFERROR(__xludf.DUMMYFUNCTION("IFERROR(GOOGLEFINANCE(C167, ""NAME""))"),"Simpson Manufacturing Co Inc")</f>
        <v>Simpson Manufacturing Co Inc</v>
      </c>
      <c r="E167" s="30" t="s">
        <v>3337</v>
      </c>
      <c r="F167" s="33" t="str">
        <f>IFERROR(__xludf.DUMMYFUNCTION("( (GOOGLEFINANCE(C167, ""price"") - Q167) / Q167 ) / (R167 / 100)"),"Loading...")</f>
        <v>Loading...</v>
      </c>
      <c r="G167" s="20" t="str">
        <f>IFERROR(__xludf.DUMMYFUNCTION("AVERAGE(ARRAYFORMULA(100 * (QUERY(GOOGLEFINANCE(C167, ""high"", TODAY()-40, TODAY()), ""SELECT Col2 WHERE Col2 IS NOT NULL ORDER BY Col1 DESC LIMIT 20"", 0) / QUERY(GOOGLEFINANCE(C167, ""low"", TODAY()-40, TODAY()), ""SELECT Col2 WHERE Col2 IS NOT NULL OR"&amp;"DER BY Col1 DESC LIMIT 20"", 0) - 1)))"),"#N/A")</f>
        <v>#N/A</v>
      </c>
      <c r="H167" s="35" t="str">
        <f t="shared" si="35"/>
        <v>Liquid</v>
      </c>
      <c r="I167" s="35" t="str">
        <f t="shared" si="7"/>
        <v>RVol Required</v>
      </c>
      <c r="J167" s="37">
        <f>IFERROR(__xludf.DUMMYFUNCTION("IFERROR(
  IF(C167="""",, 
    IFERROR(
      GOOGLEFINANCE(C167, ""price"") * GOOGLEFINANCE(C167, ""volumeavg""), 
      GOOGLEFINANCE(C167, ""price"") * AVERAGE(QUERY(GOOGLEFINANCE(C167, ""volume"", TODAY()-40, TODAY()), ""SELECT Col2 WHERE Col2 IS NOT "&amp;"NULL ORDER BY Col1 DESC LIMIT 20"", 0))
    )
  ), 
"""")"),5.29300564E7)</f>
        <v>52930056.4</v>
      </c>
      <c r="K167" s="21">
        <f>IFERROR(__xludf.DUMMYFUNCTION("IFERROR(GOOGLEFINANCE(C167, ""changepct"") / 100, """")"),0.0074)</f>
        <v>0.0074</v>
      </c>
      <c r="L167" s="21" t="str">
        <f>IFERROR(__xludf.DUMMYFUNCTION("IFERROR((GOOGLEFINANCE(C167, ""price"") / INDEX(GOOGLEFINANCE(C167, ""price"", TODAY()-7, TODAY()), 2, 2)) - 1, """")"),"")</f>
        <v/>
      </c>
      <c r="M167" s="21" t="str">
        <f>IFERROR(__xludf.DUMMYFUNCTION("IFERROR((GOOGLEFINANCE(C167, ""price"") / INDEX(GOOGLEFINANCE(C167, ""price"", EDATE(TODAY(), -1), TODAY()), 2, 2)) - 1, """")"),"")</f>
        <v/>
      </c>
      <c r="N167" s="21" t="str">
        <f>IFERROR(__xludf.DUMMYFUNCTION("IFERROR((GOOGLEFINANCE(C167, ""price"") / INDEX(GOOGLEFINANCE(C167, ""price"", EDATE(TODAY(), -3), TODAY()), 2, 2)) - 1, """")"),"")</f>
        <v/>
      </c>
      <c r="O167" s="21" t="str">
        <f>IFERROR(__xludf.DUMMYFUNCTION("IFERROR((GOOGLEFINANCE(C167, ""price"") / INDEX(GOOGLEFINANCE(C167, ""price"", EDATE(TODAY(), -6), TODAY()), 2, 2)) - 1, """")"),"")</f>
        <v/>
      </c>
      <c r="P167" s="21" t="str">
        <f>IFERROR(__xludf.DUMMYFUNCTION("IFERROR((GOOGLEFINANCE(C167, ""price"") / INDEX(GOOGLEFINANCE(C167, ""price"", EDATE(TODAY(), -12), TODAY()), 2, 2)) - 1, """")"),"")</f>
        <v/>
      </c>
      <c r="Q167" s="6" t="str">
        <f>IFERROR(__xludf.DUMMYFUNCTION("AVERAGE(QUERY(GOOGLEFINANCE(C167, ""price"", TODAY()-80, TODAY()), ""SELECT Col2 WHERE Col2 IS NOT NULL ORDER BY Col1 DESC LIMIT 50"", 0))"),"#N/A")</f>
        <v>#N/A</v>
      </c>
      <c r="R167" s="24" t="str">
        <f>IFERROR(__xludf.DUMMYFUNCTION("IFERROR(
  LET(
    data, QUERY(GOOGLEFINANCE(C167,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GOOGLEFINANCE(C167, ""price"")) * 100,
    IF(calc=0, G167, calc)
  ), 
G167)"),"#N/A")</f>
        <v>#N/A</v>
      </c>
      <c r="S167" s="8" t="s">
        <v>15</v>
      </c>
      <c r="T167" s="26" t="str">
        <f>IFERROR(__xludf.DUMMYFUNCTION("IFERROR(TRANSPOSE(QUERY(IFERROR(SORT(GOOGLEFINANCE(C167, ""price"", WORKDAY(TODAY(), -40), TODAY()), 1, FALSE)), ""select Col2 where Col2 is not null limit 22 label Col2 ''"", 0)), """")"),"")</f>
        <v/>
      </c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8"/>
      <c r="AO167" s="28"/>
      <c r="AP167" s="29"/>
      <c r="AQ167" s="29" t="str">
        <f t="shared" ref="AQ167:BL167" si="171">T167/T$2</f>
        <v>#N/A</v>
      </c>
      <c r="AR167" s="29" t="str">
        <f t="shared" si="171"/>
        <v>#DIV/0!</v>
      </c>
      <c r="AS167" s="29" t="str">
        <f t="shared" si="171"/>
        <v>#DIV/0!</v>
      </c>
      <c r="AT167" s="29" t="str">
        <f t="shared" si="171"/>
        <v>#DIV/0!</v>
      </c>
      <c r="AU167" s="29" t="str">
        <f t="shared" si="171"/>
        <v>#DIV/0!</v>
      </c>
      <c r="AV167" s="29" t="str">
        <f t="shared" si="171"/>
        <v>#DIV/0!</v>
      </c>
      <c r="AW167" s="29" t="str">
        <f t="shared" si="171"/>
        <v>#DIV/0!</v>
      </c>
      <c r="AX167" s="29" t="str">
        <f t="shared" si="171"/>
        <v>#DIV/0!</v>
      </c>
      <c r="AY167" s="29" t="str">
        <f t="shared" si="171"/>
        <v>#DIV/0!</v>
      </c>
      <c r="AZ167" s="29" t="str">
        <f t="shared" si="171"/>
        <v>#DIV/0!</v>
      </c>
      <c r="BA167" s="29" t="str">
        <f t="shared" si="171"/>
        <v>#DIV/0!</v>
      </c>
      <c r="BB167" s="29" t="str">
        <f t="shared" si="171"/>
        <v>#DIV/0!</v>
      </c>
      <c r="BC167" s="29" t="str">
        <f t="shared" si="171"/>
        <v>#DIV/0!</v>
      </c>
      <c r="BD167" s="29" t="str">
        <f t="shared" si="171"/>
        <v>#DIV/0!</v>
      </c>
      <c r="BE167" s="29" t="str">
        <f t="shared" si="171"/>
        <v>#DIV/0!</v>
      </c>
      <c r="BF167" s="29" t="str">
        <f t="shared" si="171"/>
        <v>#DIV/0!</v>
      </c>
      <c r="BG167" s="29" t="str">
        <f t="shared" si="171"/>
        <v>#DIV/0!</v>
      </c>
      <c r="BH167" s="29" t="str">
        <f t="shared" si="171"/>
        <v>#DIV/0!</v>
      </c>
      <c r="BI167" s="29" t="str">
        <f t="shared" si="171"/>
        <v>#DIV/0!</v>
      </c>
      <c r="BJ167" s="29" t="str">
        <f t="shared" si="171"/>
        <v>#DIV/0!</v>
      </c>
      <c r="BK167" s="29" t="str">
        <f t="shared" si="171"/>
        <v>#DIV/0!</v>
      </c>
      <c r="BL167" s="29" t="str">
        <f t="shared" si="171"/>
        <v>#DIV/0!</v>
      </c>
      <c r="BM167" s="29" t="str">
        <f t="shared" si="3"/>
        <v>#DIV/0!</v>
      </c>
    </row>
    <row r="168">
      <c r="A168" s="16" t="str">
        <f>IFERROR(__xludf.DUMMYFUNCTION("IFERROR(SPARKLINE(SORT(MAP(TRANSPOSE(AQ168:BL168), LAMBDA(val, IF(ISNUMBER(val), PERCENTRANK(AQ168:BL168, val)+0.01, 0))), SEQUENCE(COLUMNS(AQ168:BL168)), FALSE), {""charttype"",""column""; ""color"",""chartreuse""; ""ymin"", 0; ""ymax"", 1.01; ""highcolo"&amp;"r"", ""darkgreen""; ""lowcolor"", ""red""}), """")"),"")</f>
        <v/>
      </c>
      <c r="B168" s="17" t="str">
        <f t="shared" si="4"/>
        <v/>
      </c>
      <c r="C168" s="1" t="s">
        <v>3338</v>
      </c>
      <c r="D168" s="30" t="str">
        <f>IFERROR(__xludf.DUMMYFUNCTION("IFERROR(GOOGLEFINANCE(C168, ""NAME""))"),"Nutrien Ltd")</f>
        <v>Nutrien Ltd</v>
      </c>
      <c r="E168" s="30" t="s">
        <v>3039</v>
      </c>
      <c r="F168" s="33" t="str">
        <f>IFERROR(__xludf.DUMMYFUNCTION("( (GOOGLEFINANCE(C168, ""price"") - Q168) / Q168 ) / (R168 / 100)"),"Loading...")</f>
        <v>Loading...</v>
      </c>
      <c r="G168" s="20" t="str">
        <f>IFERROR(__xludf.DUMMYFUNCTION("AVERAGE(ARRAYFORMULA(100 * (QUERY(GOOGLEFINANCE(C168, ""high"", TODAY()-40, TODAY()), ""SELECT Col2 WHERE Col2 IS NOT NULL ORDER BY Col1 DESC LIMIT 20"", 0) / QUERY(GOOGLEFINANCE(C168, ""low"", TODAY()-40, TODAY()), ""SELECT Col2 WHERE Col2 IS NOT NULL OR"&amp;"DER BY Col1 DESC LIMIT 20"", 0) - 1)))"),"#N/A")</f>
        <v>#N/A</v>
      </c>
      <c r="H168" s="35" t="str">
        <f t="shared" si="35"/>
        <v>Liquid</v>
      </c>
      <c r="I168" s="35" t="str">
        <f t="shared" si="7"/>
        <v>RVol Required</v>
      </c>
      <c r="J168" s="37">
        <f>IFERROR(__xludf.DUMMYFUNCTION("IFERROR(
  IF(C168="""",, 
    IFERROR(
      GOOGLEFINANCE(C168, ""price"") * GOOGLEFINANCE(C168, ""volumeavg""), 
      GOOGLEFINANCE(C168, ""price"") * AVERAGE(QUERY(GOOGLEFINANCE(C168, ""volume"", TODAY()-40, TODAY()), ""SELECT Col2 WHERE Col2 IS NOT "&amp;"NULL ORDER BY Col1 DESC LIMIT 20"", 0))
    )
  ), 
"""")"),1.8407968712E8)</f>
        <v>184079687.1</v>
      </c>
      <c r="K168" s="21">
        <f>IFERROR(__xludf.DUMMYFUNCTION("IFERROR(GOOGLEFINANCE(C168, ""changepct"") / 100, """")"),0.0241)</f>
        <v>0.0241</v>
      </c>
      <c r="L168" s="21" t="str">
        <f>IFERROR(__xludf.DUMMYFUNCTION("IFERROR((GOOGLEFINANCE(C168, ""price"") / INDEX(GOOGLEFINANCE(C168, ""price"", TODAY()-7, TODAY()), 2, 2)) - 1, """")"),"")</f>
        <v/>
      </c>
      <c r="M168" s="21" t="str">
        <f>IFERROR(__xludf.DUMMYFUNCTION("IFERROR((GOOGLEFINANCE(C168, ""price"") / INDEX(GOOGLEFINANCE(C168, ""price"", EDATE(TODAY(), -1), TODAY()), 2, 2)) - 1, """")"),"")</f>
        <v/>
      </c>
      <c r="N168" s="21" t="str">
        <f>IFERROR(__xludf.DUMMYFUNCTION("IFERROR((GOOGLEFINANCE(C168, ""price"") / INDEX(GOOGLEFINANCE(C168, ""price"", EDATE(TODAY(), -3), TODAY()), 2, 2)) - 1, """")"),"")</f>
        <v/>
      </c>
      <c r="O168" s="21" t="str">
        <f>IFERROR(__xludf.DUMMYFUNCTION("IFERROR((GOOGLEFINANCE(C168, ""price"") / INDEX(GOOGLEFINANCE(C168, ""price"", EDATE(TODAY(), -6), TODAY()), 2, 2)) - 1, """")"),"")</f>
        <v/>
      </c>
      <c r="P168" s="21" t="str">
        <f>IFERROR(__xludf.DUMMYFUNCTION("IFERROR((GOOGLEFINANCE(C168, ""price"") / INDEX(GOOGLEFINANCE(C168, ""price"", EDATE(TODAY(), -12), TODAY()), 2, 2)) - 1, """")"),"")</f>
        <v/>
      </c>
      <c r="Q168" s="6" t="str">
        <f>IFERROR(__xludf.DUMMYFUNCTION("AVERAGE(QUERY(GOOGLEFINANCE(C168, ""price"", TODAY()-80, TODAY()), ""SELECT Col2 WHERE Col2 IS NOT NULL ORDER BY Col1 DESC LIMIT 50"", 0))"),"#N/A")</f>
        <v>#N/A</v>
      </c>
      <c r="R168" s="24" t="str">
        <f>IFERROR(__xludf.DUMMYFUNCTION("IFERROR(
  LET(
    data, QUERY(GOOGLEFINANCE(C168,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GOOGLEFINANCE(C168, ""price"")) * 100,
    IF(calc=0, G168, calc)
  ), 
G168)"),"#N/A")</f>
        <v>#N/A</v>
      </c>
      <c r="S168" s="8" t="s">
        <v>15</v>
      </c>
      <c r="T168" s="26" t="str">
        <f>IFERROR(__xludf.DUMMYFUNCTION("IFERROR(TRANSPOSE(QUERY(IFERROR(SORT(GOOGLEFINANCE(C168, ""price"", WORKDAY(TODAY(), -40), TODAY()), 1, FALSE)), ""select Col2 where Col2 is not null limit 22 label Col2 ''"", 0)), """")"),"")</f>
        <v/>
      </c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8"/>
      <c r="AO168" s="28"/>
      <c r="AP168" s="29"/>
      <c r="AQ168" s="29" t="str">
        <f t="shared" ref="AQ168:BL168" si="172">T168/T$2</f>
        <v>#N/A</v>
      </c>
      <c r="AR168" s="29" t="str">
        <f t="shared" si="172"/>
        <v>#DIV/0!</v>
      </c>
      <c r="AS168" s="29" t="str">
        <f t="shared" si="172"/>
        <v>#DIV/0!</v>
      </c>
      <c r="AT168" s="29" t="str">
        <f t="shared" si="172"/>
        <v>#DIV/0!</v>
      </c>
      <c r="AU168" s="29" t="str">
        <f t="shared" si="172"/>
        <v>#DIV/0!</v>
      </c>
      <c r="AV168" s="29" t="str">
        <f t="shared" si="172"/>
        <v>#DIV/0!</v>
      </c>
      <c r="AW168" s="29" t="str">
        <f t="shared" si="172"/>
        <v>#DIV/0!</v>
      </c>
      <c r="AX168" s="29" t="str">
        <f t="shared" si="172"/>
        <v>#DIV/0!</v>
      </c>
      <c r="AY168" s="29" t="str">
        <f t="shared" si="172"/>
        <v>#DIV/0!</v>
      </c>
      <c r="AZ168" s="29" t="str">
        <f t="shared" si="172"/>
        <v>#DIV/0!</v>
      </c>
      <c r="BA168" s="29" t="str">
        <f t="shared" si="172"/>
        <v>#DIV/0!</v>
      </c>
      <c r="BB168" s="29" t="str">
        <f t="shared" si="172"/>
        <v>#DIV/0!</v>
      </c>
      <c r="BC168" s="29" t="str">
        <f t="shared" si="172"/>
        <v>#DIV/0!</v>
      </c>
      <c r="BD168" s="29" t="str">
        <f t="shared" si="172"/>
        <v>#DIV/0!</v>
      </c>
      <c r="BE168" s="29" t="str">
        <f t="shared" si="172"/>
        <v>#DIV/0!</v>
      </c>
      <c r="BF168" s="29" t="str">
        <f t="shared" si="172"/>
        <v>#DIV/0!</v>
      </c>
      <c r="BG168" s="29" t="str">
        <f t="shared" si="172"/>
        <v>#DIV/0!</v>
      </c>
      <c r="BH168" s="29" t="str">
        <f t="shared" si="172"/>
        <v>#DIV/0!</v>
      </c>
      <c r="BI168" s="29" t="str">
        <f t="shared" si="172"/>
        <v>#DIV/0!</v>
      </c>
      <c r="BJ168" s="29" t="str">
        <f t="shared" si="172"/>
        <v>#DIV/0!</v>
      </c>
      <c r="BK168" s="29" t="str">
        <f t="shared" si="172"/>
        <v>#DIV/0!</v>
      </c>
      <c r="BL168" s="29" t="str">
        <f t="shared" si="172"/>
        <v>#DIV/0!</v>
      </c>
      <c r="BM168" s="29" t="str">
        <f t="shared" si="3"/>
        <v>#DIV/0!</v>
      </c>
    </row>
    <row r="169">
      <c r="A169" s="16" t="str">
        <f>IFERROR(__xludf.DUMMYFUNCTION("IFERROR(SPARKLINE(SORT(MAP(TRANSPOSE(AQ169:BL169), LAMBDA(val, IF(ISNUMBER(val), PERCENTRANK(AQ169:BL169, val)+0.01, 0))), SEQUENCE(COLUMNS(AQ169:BL169)), FALSE), {""charttype"",""column""; ""color"",""chartreuse""; ""ymin"", 0; ""ymax"", 1.01; ""highcolo"&amp;"r"", ""darkgreen""; ""lowcolor"", ""red""}), """")"),"")</f>
        <v/>
      </c>
      <c r="B169" s="17" t="str">
        <f t="shared" si="4"/>
        <v/>
      </c>
      <c r="C169" s="1" t="s">
        <v>3339</v>
      </c>
      <c r="D169" s="30" t="str">
        <f>IFERROR(__xludf.DUMMYFUNCTION("IFERROR(GOOGLEFINANCE(C169, ""NAME""))"),"Celanese Corp")</f>
        <v>Celanese Corp</v>
      </c>
      <c r="E169" s="30" t="s">
        <v>3035</v>
      </c>
      <c r="F169" s="33" t="str">
        <f>IFERROR(__xludf.DUMMYFUNCTION("( (GOOGLEFINANCE(C169, ""price"") - Q169) / Q169 ) / (R169 / 100)"),"Loading...")</f>
        <v>Loading...</v>
      </c>
      <c r="G169" s="20" t="str">
        <f>IFERROR(__xludf.DUMMYFUNCTION("AVERAGE(ARRAYFORMULA(100 * (QUERY(GOOGLEFINANCE(C169, ""high"", TODAY()-40, TODAY()), ""SELECT Col2 WHERE Col2 IS NOT NULL ORDER BY Col1 DESC LIMIT 20"", 0) / QUERY(GOOGLEFINANCE(C169, ""low"", TODAY()-40, TODAY()), ""SELECT Col2 WHERE Col2 IS NOT NULL OR"&amp;"DER BY Col1 DESC LIMIT 20"", 0) - 1)))"),"#N/A")</f>
        <v>#N/A</v>
      </c>
      <c r="H169" s="35" t="str">
        <f t="shared" si="35"/>
        <v>Liquid</v>
      </c>
      <c r="I169" s="35" t="str">
        <f t="shared" si="7"/>
        <v>RVol Required</v>
      </c>
      <c r="J169" s="37">
        <f>IFERROR(__xludf.DUMMYFUNCTION("IFERROR(
  IF(C169="""",, 
    IFERROR(
      GOOGLEFINANCE(C169, ""price"") * GOOGLEFINANCE(C169, ""volumeavg""), 
      GOOGLEFINANCE(C169, ""price"") * AVERAGE(QUERY(GOOGLEFINANCE(C169, ""volume"", TODAY()-40, TODAY()), ""SELECT Col2 WHERE Col2 IS NOT "&amp;"NULL ORDER BY Col1 DESC LIMIT 20"", 0))
    )
  ), 
"""")"),8.640249867E7)</f>
        <v>86402498.67</v>
      </c>
      <c r="K169" s="21">
        <f>IFERROR(__xludf.DUMMYFUNCTION("IFERROR(GOOGLEFINANCE(C169, ""changepct"") / 100, """")"),0.0226)</f>
        <v>0.0226</v>
      </c>
      <c r="L169" s="21" t="str">
        <f>IFERROR(__xludf.DUMMYFUNCTION("IFERROR((GOOGLEFINANCE(C169, ""price"") / INDEX(GOOGLEFINANCE(C169, ""price"", TODAY()-7, TODAY()), 2, 2)) - 1, """")"),"")</f>
        <v/>
      </c>
      <c r="M169" s="21" t="str">
        <f>IFERROR(__xludf.DUMMYFUNCTION("IFERROR((GOOGLEFINANCE(C169, ""price"") / INDEX(GOOGLEFINANCE(C169, ""price"", EDATE(TODAY(), -1), TODAY()), 2, 2)) - 1, """")"),"")</f>
        <v/>
      </c>
      <c r="N169" s="21" t="str">
        <f>IFERROR(__xludf.DUMMYFUNCTION("IFERROR((GOOGLEFINANCE(C169, ""price"") / INDEX(GOOGLEFINANCE(C169, ""price"", EDATE(TODAY(), -3), TODAY()), 2, 2)) - 1, """")"),"")</f>
        <v/>
      </c>
      <c r="O169" s="21" t="str">
        <f>IFERROR(__xludf.DUMMYFUNCTION("IFERROR((GOOGLEFINANCE(C169, ""price"") / INDEX(GOOGLEFINANCE(C169, ""price"", EDATE(TODAY(), -6), TODAY()), 2, 2)) - 1, """")"),"")</f>
        <v/>
      </c>
      <c r="P169" s="21" t="str">
        <f>IFERROR(__xludf.DUMMYFUNCTION("IFERROR((GOOGLEFINANCE(C169, ""price"") / INDEX(GOOGLEFINANCE(C169, ""price"", EDATE(TODAY(), -12), TODAY()), 2, 2)) - 1, """")"),"")</f>
        <v/>
      </c>
      <c r="Q169" s="6" t="str">
        <f>IFERROR(__xludf.DUMMYFUNCTION("AVERAGE(QUERY(GOOGLEFINANCE(C169, ""price"", TODAY()-80, TODAY()), ""SELECT Col2 WHERE Col2 IS NOT NULL ORDER BY Col1 DESC LIMIT 50"", 0))"),"#N/A")</f>
        <v>#N/A</v>
      </c>
      <c r="R169" s="24" t="str">
        <f>IFERROR(__xludf.DUMMYFUNCTION("IFERROR(
  LET(
    data, QUERY(GOOGLEFINANCE(C169,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GOOGLEFINANCE(C169, ""price"")) * 100,
    IF(calc=0, G169, calc)
  ), 
G169)"),"#N/A")</f>
        <v>#N/A</v>
      </c>
      <c r="S169" s="8" t="s">
        <v>15</v>
      </c>
      <c r="T169" s="26" t="str">
        <f>IFERROR(__xludf.DUMMYFUNCTION("IFERROR(TRANSPOSE(QUERY(IFERROR(SORT(GOOGLEFINANCE(C169, ""price"", WORKDAY(TODAY(), -40), TODAY()), 1, FALSE)), ""select Col2 where Col2 is not null limit 22 label Col2 ''"", 0)), """")"),"")</f>
        <v/>
      </c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8"/>
      <c r="AO169" s="28"/>
      <c r="AP169" s="29"/>
      <c r="AQ169" s="29" t="str">
        <f t="shared" ref="AQ169:BL169" si="173">T169/T$2</f>
        <v>#N/A</v>
      </c>
      <c r="AR169" s="29" t="str">
        <f t="shared" si="173"/>
        <v>#DIV/0!</v>
      </c>
      <c r="AS169" s="29" t="str">
        <f t="shared" si="173"/>
        <v>#DIV/0!</v>
      </c>
      <c r="AT169" s="29" t="str">
        <f t="shared" si="173"/>
        <v>#DIV/0!</v>
      </c>
      <c r="AU169" s="29" t="str">
        <f t="shared" si="173"/>
        <v>#DIV/0!</v>
      </c>
      <c r="AV169" s="29" t="str">
        <f t="shared" si="173"/>
        <v>#DIV/0!</v>
      </c>
      <c r="AW169" s="29" t="str">
        <f t="shared" si="173"/>
        <v>#DIV/0!</v>
      </c>
      <c r="AX169" s="29" t="str">
        <f t="shared" si="173"/>
        <v>#DIV/0!</v>
      </c>
      <c r="AY169" s="29" t="str">
        <f t="shared" si="173"/>
        <v>#DIV/0!</v>
      </c>
      <c r="AZ169" s="29" t="str">
        <f t="shared" si="173"/>
        <v>#DIV/0!</v>
      </c>
      <c r="BA169" s="29" t="str">
        <f t="shared" si="173"/>
        <v>#DIV/0!</v>
      </c>
      <c r="BB169" s="29" t="str">
        <f t="shared" si="173"/>
        <v>#DIV/0!</v>
      </c>
      <c r="BC169" s="29" t="str">
        <f t="shared" si="173"/>
        <v>#DIV/0!</v>
      </c>
      <c r="BD169" s="29" t="str">
        <f t="shared" si="173"/>
        <v>#DIV/0!</v>
      </c>
      <c r="BE169" s="29" t="str">
        <f t="shared" si="173"/>
        <v>#DIV/0!</v>
      </c>
      <c r="BF169" s="29" t="str">
        <f t="shared" si="173"/>
        <v>#DIV/0!</v>
      </c>
      <c r="BG169" s="29" t="str">
        <f t="shared" si="173"/>
        <v>#DIV/0!</v>
      </c>
      <c r="BH169" s="29" t="str">
        <f t="shared" si="173"/>
        <v>#DIV/0!</v>
      </c>
      <c r="BI169" s="29" t="str">
        <f t="shared" si="173"/>
        <v>#DIV/0!</v>
      </c>
      <c r="BJ169" s="29" t="str">
        <f t="shared" si="173"/>
        <v>#DIV/0!</v>
      </c>
      <c r="BK169" s="29" t="str">
        <f t="shared" si="173"/>
        <v>#DIV/0!</v>
      </c>
      <c r="BL169" s="29" t="str">
        <f t="shared" si="173"/>
        <v>#DIV/0!</v>
      </c>
      <c r="BM169" s="29" t="str">
        <f t="shared" si="3"/>
        <v>#DIV/0!</v>
      </c>
    </row>
    <row r="170">
      <c r="A170" s="16" t="str">
        <f>IFERROR(__xludf.DUMMYFUNCTION("IFERROR(SPARKLINE(SORT(MAP(TRANSPOSE(AQ170:BL170), LAMBDA(val, IF(ISNUMBER(val), PERCENTRANK(AQ170:BL170, val)+0.01, 0))), SEQUENCE(COLUMNS(AQ170:BL170)), FALSE), {""charttype"",""column""; ""color"",""chartreuse""; ""ymin"", 0; ""ymax"", 1.01; ""highcolo"&amp;"r"", ""darkgreen""; ""lowcolor"", ""red""}), """")"),"")</f>
        <v/>
      </c>
      <c r="B170" s="17" t="str">
        <f t="shared" si="4"/>
        <v/>
      </c>
      <c r="C170" s="1" t="s">
        <v>3340</v>
      </c>
      <c r="D170" s="30" t="str">
        <f>IFERROR(__xludf.DUMMYFUNCTION("IFERROR(GOOGLEFINANCE(C170, ""NAME""))"),"Linde PLC")</f>
        <v>Linde PLC</v>
      </c>
      <c r="E170" s="30" t="s">
        <v>2995</v>
      </c>
      <c r="F170" s="33" t="str">
        <f>IFERROR(__xludf.DUMMYFUNCTION("( (GOOGLEFINANCE(C170, ""price"") - Q170) / Q170 ) / (R170 / 100)"),"Loading...")</f>
        <v>Loading...</v>
      </c>
      <c r="G170" s="20" t="str">
        <f>IFERROR(__xludf.DUMMYFUNCTION("AVERAGE(ARRAYFORMULA(100 * (QUERY(GOOGLEFINANCE(C170, ""high"", TODAY()-40, TODAY()), ""SELECT Col2 WHERE Col2 IS NOT NULL ORDER BY Col1 DESC LIMIT 20"", 0) / QUERY(GOOGLEFINANCE(C170, ""low"", TODAY()-40, TODAY()), ""SELECT Col2 WHERE Col2 IS NOT NULL OR"&amp;"DER BY Col1 DESC LIMIT 20"", 0) - 1)))"),"#N/A")</f>
        <v>#N/A</v>
      </c>
      <c r="H170" s="35" t="str">
        <f t="shared" si="35"/>
        <v>Liquid</v>
      </c>
      <c r="I170" s="35" t="str">
        <f t="shared" si="7"/>
        <v>No RVol Required</v>
      </c>
      <c r="J170" s="37">
        <f>IFERROR(__xludf.DUMMYFUNCTION("IFERROR(
  IF(C170="""",, 
    IFERROR(
      GOOGLEFINANCE(C170, ""price"") * GOOGLEFINANCE(C170, ""volumeavg""), 
      GOOGLEFINANCE(C170, ""price"") * AVERAGE(QUERY(GOOGLEFINANCE(C170, ""volume"", TODAY()-40, TODAY()), ""SELECT Col2 WHERE Col2 IS NOT "&amp;"NULL ORDER BY Col1 DESC LIMIT 20"", 0))
    )
  ), 
"""")"),1.06015861628E9)</f>
        <v>1060158616</v>
      </c>
      <c r="K170" s="21">
        <f>IFERROR(__xludf.DUMMYFUNCTION("IFERROR(GOOGLEFINANCE(C170, ""changepct"") / 100, """")"),0.0106)</f>
        <v>0.0106</v>
      </c>
      <c r="L170" s="21" t="str">
        <f>IFERROR(__xludf.DUMMYFUNCTION("IFERROR((GOOGLEFINANCE(C170, ""price"") / INDEX(GOOGLEFINANCE(C170, ""price"", TODAY()-7, TODAY()), 2, 2)) - 1, """")"),"")</f>
        <v/>
      </c>
      <c r="M170" s="21" t="str">
        <f>IFERROR(__xludf.DUMMYFUNCTION("IFERROR((GOOGLEFINANCE(C170, ""price"") / INDEX(GOOGLEFINANCE(C170, ""price"", EDATE(TODAY(), -1), TODAY()), 2, 2)) - 1, """")"),"")</f>
        <v/>
      </c>
      <c r="N170" s="21" t="str">
        <f>IFERROR(__xludf.DUMMYFUNCTION("IFERROR((GOOGLEFINANCE(C170, ""price"") / INDEX(GOOGLEFINANCE(C170, ""price"", EDATE(TODAY(), -3), TODAY()), 2, 2)) - 1, """")"),"")</f>
        <v/>
      </c>
      <c r="O170" s="21" t="str">
        <f>IFERROR(__xludf.DUMMYFUNCTION("IFERROR((GOOGLEFINANCE(C170, ""price"") / INDEX(GOOGLEFINANCE(C170, ""price"", EDATE(TODAY(), -6), TODAY()), 2, 2)) - 1, """")"),"")</f>
        <v/>
      </c>
      <c r="P170" s="21" t="str">
        <f>IFERROR(__xludf.DUMMYFUNCTION("IFERROR((GOOGLEFINANCE(C170, ""price"") / INDEX(GOOGLEFINANCE(C170, ""price"", EDATE(TODAY(), -12), TODAY()), 2, 2)) - 1, """")"),"")</f>
        <v/>
      </c>
      <c r="Q170" s="6" t="str">
        <f>IFERROR(__xludf.DUMMYFUNCTION("AVERAGE(QUERY(GOOGLEFINANCE(C170, ""price"", TODAY()-80, TODAY()), ""SELECT Col2 WHERE Col2 IS NOT NULL ORDER BY Col1 DESC LIMIT 50"", 0))"),"#N/A")</f>
        <v>#N/A</v>
      </c>
      <c r="R170" s="24" t="str">
        <f>IFERROR(__xludf.DUMMYFUNCTION("IFERROR(
  LET(
    data, QUERY(GOOGLEFINANCE(C170,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GOOGLEFINANCE(C170, ""price"")) * 100,
    IF(calc=0, G170, calc)
  ), 
G170)"),"#N/A")</f>
        <v>#N/A</v>
      </c>
      <c r="S170" s="8" t="s">
        <v>15</v>
      </c>
      <c r="T170" s="26" t="str">
        <f>IFERROR(__xludf.DUMMYFUNCTION("IFERROR(TRANSPOSE(QUERY(IFERROR(SORT(GOOGLEFINANCE(C170, ""price"", WORKDAY(TODAY(), -40), TODAY()), 1, FALSE)), ""select Col2 where Col2 is not null limit 22 label Col2 ''"", 0)), """")"),"")</f>
        <v/>
      </c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8"/>
      <c r="AO170" s="28"/>
      <c r="AP170" s="29"/>
      <c r="AQ170" s="29" t="str">
        <f t="shared" ref="AQ170:BL170" si="174">T170/T$2</f>
        <v>#N/A</v>
      </c>
      <c r="AR170" s="29" t="str">
        <f t="shared" si="174"/>
        <v>#DIV/0!</v>
      </c>
      <c r="AS170" s="29" t="str">
        <f t="shared" si="174"/>
        <v>#DIV/0!</v>
      </c>
      <c r="AT170" s="29" t="str">
        <f t="shared" si="174"/>
        <v>#DIV/0!</v>
      </c>
      <c r="AU170" s="29" t="str">
        <f t="shared" si="174"/>
        <v>#DIV/0!</v>
      </c>
      <c r="AV170" s="29" t="str">
        <f t="shared" si="174"/>
        <v>#DIV/0!</v>
      </c>
      <c r="AW170" s="29" t="str">
        <f t="shared" si="174"/>
        <v>#DIV/0!</v>
      </c>
      <c r="AX170" s="29" t="str">
        <f t="shared" si="174"/>
        <v>#DIV/0!</v>
      </c>
      <c r="AY170" s="29" t="str">
        <f t="shared" si="174"/>
        <v>#DIV/0!</v>
      </c>
      <c r="AZ170" s="29" t="str">
        <f t="shared" si="174"/>
        <v>#DIV/0!</v>
      </c>
      <c r="BA170" s="29" t="str">
        <f t="shared" si="174"/>
        <v>#DIV/0!</v>
      </c>
      <c r="BB170" s="29" t="str">
        <f t="shared" si="174"/>
        <v>#DIV/0!</v>
      </c>
      <c r="BC170" s="29" t="str">
        <f t="shared" si="174"/>
        <v>#DIV/0!</v>
      </c>
      <c r="BD170" s="29" t="str">
        <f t="shared" si="174"/>
        <v>#DIV/0!</v>
      </c>
      <c r="BE170" s="29" t="str">
        <f t="shared" si="174"/>
        <v>#DIV/0!</v>
      </c>
      <c r="BF170" s="29" t="str">
        <f t="shared" si="174"/>
        <v>#DIV/0!</v>
      </c>
      <c r="BG170" s="29" t="str">
        <f t="shared" si="174"/>
        <v>#DIV/0!</v>
      </c>
      <c r="BH170" s="29" t="str">
        <f t="shared" si="174"/>
        <v>#DIV/0!</v>
      </c>
      <c r="BI170" s="29" t="str">
        <f t="shared" si="174"/>
        <v>#DIV/0!</v>
      </c>
      <c r="BJ170" s="29" t="str">
        <f t="shared" si="174"/>
        <v>#DIV/0!</v>
      </c>
      <c r="BK170" s="29" t="str">
        <f t="shared" si="174"/>
        <v>#DIV/0!</v>
      </c>
      <c r="BL170" s="29" t="str">
        <f t="shared" si="174"/>
        <v>#DIV/0!</v>
      </c>
      <c r="BM170" s="29" t="str">
        <f t="shared" si="3"/>
        <v>#DIV/0!</v>
      </c>
    </row>
    <row r="171">
      <c r="A171" s="16" t="str">
        <f>IFERROR(__xludf.DUMMYFUNCTION("IFERROR(SPARKLINE(SORT(MAP(TRANSPOSE(AQ171:BL171), LAMBDA(val, IF(ISNUMBER(val), PERCENTRANK(AQ171:BL171, val)+0.01, 0))), SEQUENCE(COLUMNS(AQ171:BL171)), FALSE), {""charttype"",""column""; ""color"",""chartreuse""; ""ymin"", 0; ""ymax"", 1.01; ""highcolo"&amp;"r"", ""darkgreen""; ""lowcolor"", ""red""}), """")"),"")</f>
        <v/>
      </c>
      <c r="B171" s="17" t="str">
        <f t="shared" si="4"/>
        <v/>
      </c>
      <c r="C171" s="1" t="s">
        <v>3341</v>
      </c>
      <c r="D171" s="30" t="str">
        <f>IFERROR(__xludf.DUMMYFUNCTION("IFERROR(GOOGLEFINANCE(C171, ""NAME""))"),"Alpha Metallurgical Resources Inc")</f>
        <v>Alpha Metallurgical Resources Inc</v>
      </c>
      <c r="E171" s="30" t="s">
        <v>2941</v>
      </c>
      <c r="F171" s="33" t="str">
        <f>IFERROR(__xludf.DUMMYFUNCTION("( (GOOGLEFINANCE(C171, ""price"") - Q171) / Q171 ) / (R171 / 100)"),"Loading...")</f>
        <v>Loading...</v>
      </c>
      <c r="G171" s="20" t="str">
        <f>IFERROR(__xludf.DUMMYFUNCTION("AVERAGE(ARRAYFORMULA(100 * (QUERY(GOOGLEFINANCE(C171, ""high"", TODAY()-40, TODAY()), ""SELECT Col2 WHERE Col2 IS NOT NULL ORDER BY Col1 DESC LIMIT 20"", 0) / QUERY(GOOGLEFINANCE(C171, ""low"", TODAY()-40, TODAY()), ""SELECT Col2 WHERE Col2 IS NOT NULL OR"&amp;"DER BY Col1 DESC LIMIT 20"", 0) - 1)))"),"#N/A")</f>
        <v>#N/A</v>
      </c>
      <c r="H171" s="35" t="str">
        <f t="shared" si="35"/>
        <v>Illiquid</v>
      </c>
      <c r="I171" s="35" t="str">
        <f t="shared" si="7"/>
        <v>RVol Required</v>
      </c>
      <c r="J171" s="37">
        <f>IFERROR(__xludf.DUMMYFUNCTION("IFERROR(
  IF(C171="""",, 
    IFERROR(
      GOOGLEFINANCE(C171, ""price"") * GOOGLEFINANCE(C171, ""volumeavg""), 
      GOOGLEFINANCE(C171, ""price"") * AVERAGE(QUERY(GOOGLEFINANCE(C171, ""volume"", TODAY()-40, TODAY()), ""SELECT Col2 WHERE Col2 IS NOT "&amp;"NULL ORDER BY Col1 DESC LIMIT 20"", 0))
    )
  ), 
"""")"),4.9292890849999994E7)</f>
        <v>49292890.85</v>
      </c>
      <c r="K171" s="21">
        <f>IFERROR(__xludf.DUMMYFUNCTION("IFERROR(GOOGLEFINANCE(C171, ""changepct"") / 100, """")"),-0.0176)</f>
        <v>-0.0176</v>
      </c>
      <c r="L171" s="21" t="str">
        <f>IFERROR(__xludf.DUMMYFUNCTION("IFERROR((GOOGLEFINANCE(C171, ""price"") / INDEX(GOOGLEFINANCE(C171, ""price"", TODAY()-7, TODAY()), 2, 2)) - 1, """")"),"")</f>
        <v/>
      </c>
      <c r="M171" s="21" t="str">
        <f>IFERROR(__xludf.DUMMYFUNCTION("IFERROR((GOOGLEFINANCE(C171, ""price"") / INDEX(GOOGLEFINANCE(C171, ""price"", EDATE(TODAY(), -1), TODAY()), 2, 2)) - 1, """")"),"")</f>
        <v/>
      </c>
      <c r="N171" s="21" t="str">
        <f>IFERROR(__xludf.DUMMYFUNCTION("IFERROR((GOOGLEFINANCE(C171, ""price"") / INDEX(GOOGLEFINANCE(C171, ""price"", EDATE(TODAY(), -3), TODAY()), 2, 2)) - 1, """")"),"")</f>
        <v/>
      </c>
      <c r="O171" s="21" t="str">
        <f>IFERROR(__xludf.DUMMYFUNCTION("IFERROR((GOOGLEFINANCE(C171, ""price"") / INDEX(GOOGLEFINANCE(C171, ""price"", EDATE(TODAY(), -6), TODAY()), 2, 2)) - 1, """")"),"")</f>
        <v/>
      </c>
      <c r="P171" s="21" t="str">
        <f>IFERROR(__xludf.DUMMYFUNCTION("IFERROR((GOOGLEFINANCE(C171, ""price"") / INDEX(GOOGLEFINANCE(C171, ""price"", EDATE(TODAY(), -12), TODAY()), 2, 2)) - 1, """")"),"")</f>
        <v/>
      </c>
      <c r="Q171" s="6" t="str">
        <f>IFERROR(__xludf.DUMMYFUNCTION("AVERAGE(QUERY(GOOGLEFINANCE(C171, ""price"", TODAY()-80, TODAY()), ""SELECT Col2 WHERE Col2 IS NOT NULL ORDER BY Col1 DESC LIMIT 50"", 0))"),"#N/A")</f>
        <v>#N/A</v>
      </c>
      <c r="R171" s="24" t="str">
        <f>IFERROR(__xludf.DUMMYFUNCTION("IFERROR(
  LET(
    data, QUERY(GOOGLEFINANCE(C171,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GOOGLEFINANCE(C171, ""price"")) * 100,
    IF(calc=0, G171, calc)
  ), 
G171)"),"#N/A")</f>
        <v>#N/A</v>
      </c>
      <c r="S171" s="8" t="s">
        <v>15</v>
      </c>
      <c r="T171" s="26" t="str">
        <f>IFERROR(__xludf.DUMMYFUNCTION("IFERROR(TRANSPOSE(QUERY(IFERROR(SORT(GOOGLEFINANCE(C171, ""price"", WORKDAY(TODAY(), -40), TODAY()), 1, FALSE)), ""select Col2 where Col2 is not null limit 22 label Col2 ''"", 0)), """")"),"")</f>
        <v/>
      </c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8"/>
      <c r="AO171" s="28"/>
      <c r="AP171" s="29"/>
      <c r="AQ171" s="29" t="str">
        <f t="shared" ref="AQ171:BL171" si="175">T171/T$2</f>
        <v>#N/A</v>
      </c>
      <c r="AR171" s="29" t="str">
        <f t="shared" si="175"/>
        <v>#DIV/0!</v>
      </c>
      <c r="AS171" s="29" t="str">
        <f t="shared" si="175"/>
        <v>#DIV/0!</v>
      </c>
      <c r="AT171" s="29" t="str">
        <f t="shared" si="175"/>
        <v>#DIV/0!</v>
      </c>
      <c r="AU171" s="29" t="str">
        <f t="shared" si="175"/>
        <v>#DIV/0!</v>
      </c>
      <c r="AV171" s="29" t="str">
        <f t="shared" si="175"/>
        <v>#DIV/0!</v>
      </c>
      <c r="AW171" s="29" t="str">
        <f t="shared" si="175"/>
        <v>#DIV/0!</v>
      </c>
      <c r="AX171" s="29" t="str">
        <f t="shared" si="175"/>
        <v>#DIV/0!</v>
      </c>
      <c r="AY171" s="29" t="str">
        <f t="shared" si="175"/>
        <v>#DIV/0!</v>
      </c>
      <c r="AZ171" s="29" t="str">
        <f t="shared" si="175"/>
        <v>#DIV/0!</v>
      </c>
      <c r="BA171" s="29" t="str">
        <f t="shared" si="175"/>
        <v>#DIV/0!</v>
      </c>
      <c r="BB171" s="29" t="str">
        <f t="shared" si="175"/>
        <v>#DIV/0!</v>
      </c>
      <c r="BC171" s="29" t="str">
        <f t="shared" si="175"/>
        <v>#DIV/0!</v>
      </c>
      <c r="BD171" s="29" t="str">
        <f t="shared" si="175"/>
        <v>#DIV/0!</v>
      </c>
      <c r="BE171" s="29" t="str">
        <f t="shared" si="175"/>
        <v>#DIV/0!</v>
      </c>
      <c r="BF171" s="29" t="str">
        <f t="shared" si="175"/>
        <v>#DIV/0!</v>
      </c>
      <c r="BG171" s="29" t="str">
        <f t="shared" si="175"/>
        <v>#DIV/0!</v>
      </c>
      <c r="BH171" s="29" t="str">
        <f t="shared" si="175"/>
        <v>#DIV/0!</v>
      </c>
      <c r="BI171" s="29" t="str">
        <f t="shared" si="175"/>
        <v>#DIV/0!</v>
      </c>
      <c r="BJ171" s="29" t="str">
        <f t="shared" si="175"/>
        <v>#DIV/0!</v>
      </c>
      <c r="BK171" s="29" t="str">
        <f t="shared" si="175"/>
        <v>#DIV/0!</v>
      </c>
      <c r="BL171" s="29" t="str">
        <f t="shared" si="175"/>
        <v>#DIV/0!</v>
      </c>
      <c r="BM171" s="29" t="str">
        <f t="shared" si="3"/>
        <v>#DIV/0!</v>
      </c>
    </row>
    <row r="172">
      <c r="A172" s="16" t="str">
        <f>IFERROR(__xludf.DUMMYFUNCTION("IFERROR(SPARKLINE(SORT(MAP(TRANSPOSE(AQ172:BL172), LAMBDA(val, IF(ISNUMBER(val), PERCENTRANK(AQ172:BL172, val)+0.01, 0))), SEQUENCE(COLUMNS(AQ172:BL172)), FALSE), {""charttype"",""column""; ""color"",""chartreuse""; ""ymin"", 0; ""ymax"", 1.01; ""highcolo"&amp;"r"", ""darkgreen""; ""lowcolor"", ""red""}), """")"),"")</f>
        <v/>
      </c>
      <c r="B172" s="17" t="str">
        <f t="shared" si="4"/>
        <v/>
      </c>
      <c r="C172" s="1" t="s">
        <v>3342</v>
      </c>
      <c r="D172" s="30" t="str">
        <f>IFERROR(__xludf.DUMMYFUNCTION("IFERROR(GOOGLEFINANCE(C172, ""NAME""))"),"Eastman Chemical Co")</f>
        <v>Eastman Chemical Co</v>
      </c>
      <c r="E172" s="30" t="s">
        <v>2995</v>
      </c>
      <c r="F172" s="33" t="str">
        <f>IFERROR(__xludf.DUMMYFUNCTION("( (GOOGLEFINANCE(C172, ""price"") - Q172) / Q172 ) / (R172 / 100)"),"Loading...")</f>
        <v>Loading...</v>
      </c>
      <c r="G172" s="20" t="str">
        <f>IFERROR(__xludf.DUMMYFUNCTION("AVERAGE(ARRAYFORMULA(100 * (QUERY(GOOGLEFINANCE(C172, ""high"", TODAY()-40, TODAY()), ""SELECT Col2 WHERE Col2 IS NOT NULL ORDER BY Col1 DESC LIMIT 20"", 0) / QUERY(GOOGLEFINANCE(C172, ""low"", TODAY()-40, TODAY()), ""SELECT Col2 WHERE Col2 IS NOT NULL OR"&amp;"DER BY Col1 DESC LIMIT 20"", 0) - 1)))"),"#N/A")</f>
        <v>#N/A</v>
      </c>
      <c r="H172" s="35" t="str">
        <f t="shared" si="35"/>
        <v>Liquid</v>
      </c>
      <c r="I172" s="35" t="str">
        <f t="shared" si="7"/>
        <v>RVol Required</v>
      </c>
      <c r="J172" s="37">
        <f>IFERROR(__xludf.DUMMYFUNCTION("IFERROR(
  IF(C172="""",, 
    IFERROR(
      GOOGLEFINANCE(C172, ""price"") * GOOGLEFINANCE(C172, ""volumeavg""), 
      GOOGLEFINANCE(C172, ""price"") * AVERAGE(QUERY(GOOGLEFINANCE(C172, ""volume"", TODAY()-40, TODAY()), ""SELECT Col2 WHERE Col2 IS NOT "&amp;"NULL ORDER BY Col1 DESC LIMIT 20"", 0))
    )
  ), 
"""")"),8.077874505E7)</f>
        <v>80778745.05</v>
      </c>
      <c r="K172" s="21">
        <f>IFERROR(__xludf.DUMMYFUNCTION("IFERROR(GOOGLEFINANCE(C172, ""changepct"") / 100, """")"),-0.0241)</f>
        <v>-0.0241</v>
      </c>
      <c r="L172" s="21" t="str">
        <f>IFERROR(__xludf.DUMMYFUNCTION("IFERROR((GOOGLEFINANCE(C172, ""price"") / INDEX(GOOGLEFINANCE(C172, ""price"", TODAY()-7, TODAY()), 2, 2)) - 1, """")"),"")</f>
        <v/>
      </c>
      <c r="M172" s="21" t="str">
        <f>IFERROR(__xludf.DUMMYFUNCTION("IFERROR((GOOGLEFINANCE(C172, ""price"") / INDEX(GOOGLEFINANCE(C172, ""price"", EDATE(TODAY(), -1), TODAY()), 2, 2)) - 1, """")"),"")</f>
        <v/>
      </c>
      <c r="N172" s="21" t="str">
        <f>IFERROR(__xludf.DUMMYFUNCTION("IFERROR((GOOGLEFINANCE(C172, ""price"") / INDEX(GOOGLEFINANCE(C172, ""price"", EDATE(TODAY(), -3), TODAY()), 2, 2)) - 1, """")"),"")</f>
        <v/>
      </c>
      <c r="O172" s="21" t="str">
        <f>IFERROR(__xludf.DUMMYFUNCTION("IFERROR((GOOGLEFINANCE(C172, ""price"") / INDEX(GOOGLEFINANCE(C172, ""price"", EDATE(TODAY(), -6), TODAY()), 2, 2)) - 1, """")"),"")</f>
        <v/>
      </c>
      <c r="P172" s="21" t="str">
        <f>IFERROR(__xludf.DUMMYFUNCTION("IFERROR((GOOGLEFINANCE(C172, ""price"") / INDEX(GOOGLEFINANCE(C172, ""price"", EDATE(TODAY(), -12), TODAY()), 2, 2)) - 1, """")"),"")</f>
        <v/>
      </c>
      <c r="Q172" s="6" t="str">
        <f>IFERROR(__xludf.DUMMYFUNCTION("AVERAGE(QUERY(GOOGLEFINANCE(C172, ""price"", TODAY()-80, TODAY()), ""SELECT Col2 WHERE Col2 IS NOT NULL ORDER BY Col1 DESC LIMIT 50"", 0))"),"#N/A")</f>
        <v>#N/A</v>
      </c>
      <c r="R172" s="24" t="str">
        <f>IFERROR(__xludf.DUMMYFUNCTION("IFERROR(
  LET(
    data, QUERY(GOOGLEFINANCE(C172,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GOOGLEFINANCE(C172, ""price"")) * 100,
    IF(calc=0, G172, calc)
  ), 
G172)"),"#N/A")</f>
        <v>#N/A</v>
      </c>
      <c r="S172" s="8" t="s">
        <v>15</v>
      </c>
      <c r="T172" s="26" t="str">
        <f>IFERROR(__xludf.DUMMYFUNCTION("IFERROR(TRANSPOSE(QUERY(IFERROR(SORT(GOOGLEFINANCE(C172, ""price"", WORKDAY(TODAY(), -40), TODAY()), 1, FALSE)), ""select Col2 where Col2 is not null limit 22 label Col2 ''"", 0)), """")"),"")</f>
        <v/>
      </c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8"/>
      <c r="AO172" s="28"/>
      <c r="AP172" s="29"/>
      <c r="AQ172" s="29" t="str">
        <f t="shared" ref="AQ172:BL172" si="176">T172/T$2</f>
        <v>#N/A</v>
      </c>
      <c r="AR172" s="29" t="str">
        <f t="shared" si="176"/>
        <v>#DIV/0!</v>
      </c>
      <c r="AS172" s="29" t="str">
        <f t="shared" si="176"/>
        <v>#DIV/0!</v>
      </c>
      <c r="AT172" s="29" t="str">
        <f t="shared" si="176"/>
        <v>#DIV/0!</v>
      </c>
      <c r="AU172" s="29" t="str">
        <f t="shared" si="176"/>
        <v>#DIV/0!</v>
      </c>
      <c r="AV172" s="29" t="str">
        <f t="shared" si="176"/>
        <v>#DIV/0!</v>
      </c>
      <c r="AW172" s="29" t="str">
        <f t="shared" si="176"/>
        <v>#DIV/0!</v>
      </c>
      <c r="AX172" s="29" t="str">
        <f t="shared" si="176"/>
        <v>#DIV/0!</v>
      </c>
      <c r="AY172" s="29" t="str">
        <f t="shared" si="176"/>
        <v>#DIV/0!</v>
      </c>
      <c r="AZ172" s="29" t="str">
        <f t="shared" si="176"/>
        <v>#DIV/0!</v>
      </c>
      <c r="BA172" s="29" t="str">
        <f t="shared" si="176"/>
        <v>#DIV/0!</v>
      </c>
      <c r="BB172" s="29" t="str">
        <f t="shared" si="176"/>
        <v>#DIV/0!</v>
      </c>
      <c r="BC172" s="29" t="str">
        <f t="shared" si="176"/>
        <v>#DIV/0!</v>
      </c>
      <c r="BD172" s="29" t="str">
        <f t="shared" si="176"/>
        <v>#DIV/0!</v>
      </c>
      <c r="BE172" s="29" t="str">
        <f t="shared" si="176"/>
        <v>#DIV/0!</v>
      </c>
      <c r="BF172" s="29" t="str">
        <f t="shared" si="176"/>
        <v>#DIV/0!</v>
      </c>
      <c r="BG172" s="29" t="str">
        <f t="shared" si="176"/>
        <v>#DIV/0!</v>
      </c>
      <c r="BH172" s="29" t="str">
        <f t="shared" si="176"/>
        <v>#DIV/0!</v>
      </c>
      <c r="BI172" s="29" t="str">
        <f t="shared" si="176"/>
        <v>#DIV/0!</v>
      </c>
      <c r="BJ172" s="29" t="str">
        <f t="shared" si="176"/>
        <v>#DIV/0!</v>
      </c>
      <c r="BK172" s="29" t="str">
        <f t="shared" si="176"/>
        <v>#DIV/0!</v>
      </c>
      <c r="BL172" s="29" t="str">
        <f t="shared" si="176"/>
        <v>#DIV/0!</v>
      </c>
      <c r="BM172" s="29" t="str">
        <f t="shared" si="3"/>
        <v>#DIV/0!</v>
      </c>
    </row>
    <row r="173">
      <c r="A173" s="16" t="str">
        <f>IFERROR(__xludf.DUMMYFUNCTION("IFERROR(SPARKLINE(SORT(MAP(TRANSPOSE(AQ173:BL173), LAMBDA(val, IF(ISNUMBER(val), PERCENTRANK(AQ173:BL173, val)+0.01, 0))), SEQUENCE(COLUMNS(AQ173:BL173)), FALSE), {""charttype"",""column""; ""color"",""chartreuse""; ""ymin"", 0; ""ymax"", 1.01; ""highcolo"&amp;"r"", ""darkgreen""; ""lowcolor"", ""red""}), """")"),"")</f>
        <v/>
      </c>
      <c r="B173" s="17" t="str">
        <f t="shared" si="4"/>
        <v/>
      </c>
      <c r="C173" s="1" t="s">
        <v>3343</v>
      </c>
      <c r="D173" s="30" t="str">
        <f>IFERROR(__xludf.DUMMYFUNCTION("IFERROR(GOOGLEFINANCE(C173, ""NAME""))"),"United States Lime &amp; Minerals Inc")</f>
        <v>United States Lime &amp; Minerals Inc</v>
      </c>
      <c r="E173" s="30" t="s">
        <v>3098</v>
      </c>
      <c r="F173" s="38" t="str">
        <f>IFERROR(__xludf.DUMMYFUNCTION("( (GOOGLEFINANCE(C173, ""price"") - Q173) / Q173 ) / (R173 / 100)"),"Loading...")</f>
        <v>Loading...</v>
      </c>
      <c r="G173" s="20" t="str">
        <f>IFERROR(__xludf.DUMMYFUNCTION("AVERAGE(ARRAYFORMULA(100 * (QUERY(GOOGLEFINANCE(C173, ""high"", TODAY()-40, TODAY()), ""SELECT Col2 WHERE Col2 IS NOT NULL ORDER BY Col1 DESC LIMIT 20"", 0) / QUERY(GOOGLEFINANCE(C173, ""low"", TODAY()-40, TODAY()), ""SELECT Col2 WHERE Col2 IS NOT NULL OR"&amp;"DER BY Col1 DESC LIMIT 20"", 0) - 1)))"),"#N/A")</f>
        <v>#N/A</v>
      </c>
      <c r="H173" s="35" t="str">
        <f t="shared" si="35"/>
        <v>Illiquid</v>
      </c>
      <c r="I173" s="35" t="str">
        <f t="shared" si="7"/>
        <v>RVol Required</v>
      </c>
      <c r="J173" s="37">
        <f>IFERROR(__xludf.DUMMYFUNCTION("IFERROR(
  IF(C173="""",, 
    IFERROR(
      GOOGLEFINANCE(C173, ""price"") * GOOGLEFINANCE(C173, ""volumeavg""), 
      GOOGLEFINANCE(C173, ""price"") * AVERAGE(QUERY(GOOGLEFINANCE(C173, ""volume"", TODAY()-40, TODAY()), ""SELECT Col2 WHERE Col2 IS NOT "&amp;"NULL ORDER BY Col1 DESC LIMIT 20"", 0))
    )
  ), 
"""")"),1.4256937799999999E7)</f>
        <v>14256937.8</v>
      </c>
      <c r="K173" s="21">
        <f>IFERROR(__xludf.DUMMYFUNCTION("IFERROR(GOOGLEFINANCE(C173, ""changepct"") / 100, """")"),-0.0092)</f>
        <v>-0.0092</v>
      </c>
      <c r="L173" s="21" t="str">
        <f>IFERROR(__xludf.DUMMYFUNCTION("IFERROR((GOOGLEFINANCE(C173, ""price"") / INDEX(GOOGLEFINANCE(C173, ""price"", TODAY()-7, TODAY()), 2, 2)) - 1, """")"),"")</f>
        <v/>
      </c>
      <c r="M173" s="21" t="str">
        <f>IFERROR(__xludf.DUMMYFUNCTION("IFERROR((GOOGLEFINANCE(C173, ""price"") / INDEX(GOOGLEFINANCE(C173, ""price"", EDATE(TODAY(), -1), TODAY()), 2, 2)) - 1, """")"),"")</f>
        <v/>
      </c>
      <c r="N173" s="21" t="str">
        <f>IFERROR(__xludf.DUMMYFUNCTION("IFERROR((GOOGLEFINANCE(C173, ""price"") / INDEX(GOOGLEFINANCE(C173, ""price"", EDATE(TODAY(), -3), TODAY()), 2, 2)) - 1, """")"),"")</f>
        <v/>
      </c>
      <c r="O173" s="21" t="str">
        <f>IFERROR(__xludf.DUMMYFUNCTION("IFERROR((GOOGLEFINANCE(C173, ""price"") / INDEX(GOOGLEFINANCE(C173, ""price"", EDATE(TODAY(), -6), TODAY()), 2, 2)) - 1, """")"),"")</f>
        <v/>
      </c>
      <c r="P173" s="21" t="str">
        <f>IFERROR(__xludf.DUMMYFUNCTION("IFERROR((GOOGLEFINANCE(C173, ""price"") / INDEX(GOOGLEFINANCE(C173, ""price"", EDATE(TODAY(), -12), TODAY()), 2, 2)) - 1, """")"),"")</f>
        <v/>
      </c>
      <c r="Q173" s="6" t="str">
        <f>IFERROR(__xludf.DUMMYFUNCTION("AVERAGE(QUERY(GOOGLEFINANCE(C173, ""price"", TODAY()-80, TODAY()), ""SELECT Col2 WHERE Col2 IS NOT NULL ORDER BY Col1 DESC LIMIT 50"", 0))"),"#N/A")</f>
        <v>#N/A</v>
      </c>
      <c r="R173" s="24" t="str">
        <f>IFERROR(__xludf.DUMMYFUNCTION("IFERROR(
  LET(
    data, QUERY(GOOGLEFINANCE(C173,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GOOGLEFINANCE(C173, ""price"")) * 100,
    IF(calc=0, G173, calc)
  ), 
G173)"),"#N/A")</f>
        <v>#N/A</v>
      </c>
      <c r="S173" s="8" t="s">
        <v>15</v>
      </c>
      <c r="T173" s="26" t="str">
        <f>IFERROR(__xludf.DUMMYFUNCTION("IFERROR(TRANSPOSE(QUERY(IFERROR(SORT(GOOGLEFINANCE(C173, ""price"", WORKDAY(TODAY(), -40), TODAY()), 1, FALSE)), ""select Col2 where Col2 is not null limit 22 label Col2 ''"", 0)), """")"),"")</f>
        <v/>
      </c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8"/>
      <c r="AO173" s="28"/>
      <c r="AP173" s="29"/>
      <c r="AQ173" s="29" t="str">
        <f t="shared" ref="AQ173:BL173" si="177">T173/T$2</f>
        <v>#N/A</v>
      </c>
      <c r="AR173" s="29" t="str">
        <f t="shared" si="177"/>
        <v>#DIV/0!</v>
      </c>
      <c r="AS173" s="29" t="str">
        <f t="shared" si="177"/>
        <v>#DIV/0!</v>
      </c>
      <c r="AT173" s="29" t="str">
        <f t="shared" si="177"/>
        <v>#DIV/0!</v>
      </c>
      <c r="AU173" s="29" t="str">
        <f t="shared" si="177"/>
        <v>#DIV/0!</v>
      </c>
      <c r="AV173" s="29" t="str">
        <f t="shared" si="177"/>
        <v>#DIV/0!</v>
      </c>
      <c r="AW173" s="29" t="str">
        <f t="shared" si="177"/>
        <v>#DIV/0!</v>
      </c>
      <c r="AX173" s="29" t="str">
        <f t="shared" si="177"/>
        <v>#DIV/0!</v>
      </c>
      <c r="AY173" s="29" t="str">
        <f t="shared" si="177"/>
        <v>#DIV/0!</v>
      </c>
      <c r="AZ173" s="29" t="str">
        <f t="shared" si="177"/>
        <v>#DIV/0!</v>
      </c>
      <c r="BA173" s="29" t="str">
        <f t="shared" si="177"/>
        <v>#DIV/0!</v>
      </c>
      <c r="BB173" s="29" t="str">
        <f t="shared" si="177"/>
        <v>#DIV/0!</v>
      </c>
      <c r="BC173" s="29" t="str">
        <f t="shared" si="177"/>
        <v>#DIV/0!</v>
      </c>
      <c r="BD173" s="29" t="str">
        <f t="shared" si="177"/>
        <v>#DIV/0!</v>
      </c>
      <c r="BE173" s="29" t="str">
        <f t="shared" si="177"/>
        <v>#DIV/0!</v>
      </c>
      <c r="BF173" s="29" t="str">
        <f t="shared" si="177"/>
        <v>#DIV/0!</v>
      </c>
      <c r="BG173" s="29" t="str">
        <f t="shared" si="177"/>
        <v>#DIV/0!</v>
      </c>
      <c r="BH173" s="29" t="str">
        <f t="shared" si="177"/>
        <v>#DIV/0!</v>
      </c>
      <c r="BI173" s="29" t="str">
        <f t="shared" si="177"/>
        <v>#DIV/0!</v>
      </c>
      <c r="BJ173" s="29" t="str">
        <f t="shared" si="177"/>
        <v>#DIV/0!</v>
      </c>
      <c r="BK173" s="29" t="str">
        <f t="shared" si="177"/>
        <v>#DIV/0!</v>
      </c>
      <c r="BL173" s="29" t="str">
        <f t="shared" si="177"/>
        <v>#DIV/0!</v>
      </c>
      <c r="BM173" s="29" t="str">
        <f t="shared" si="3"/>
        <v>#DIV/0!</v>
      </c>
    </row>
    <row r="174">
      <c r="A174" s="16" t="str">
        <f>IFERROR(__xludf.DUMMYFUNCTION("IFERROR(SPARKLINE(SORT(MAP(TRANSPOSE(AQ174:BL174), LAMBDA(val, IF(ISNUMBER(val), PERCENTRANK(AQ174:BL174, val)+0.01, 0))), SEQUENCE(COLUMNS(AQ174:BL174)), FALSE), {""charttype"",""column""; ""color"",""chartreuse""; ""ymin"", 0; ""ymax"", 1.01; ""highcolo"&amp;"r"", ""darkgreen""; ""lowcolor"", ""red""}), """")"),"")</f>
        <v/>
      </c>
      <c r="B174" s="17" t="str">
        <f t="shared" si="4"/>
        <v/>
      </c>
      <c r="C174" s="1" t="s">
        <v>3344</v>
      </c>
      <c r="D174" s="30" t="str">
        <f>IFERROR(__xludf.DUMMYFUNCTION("IFERROR(GOOGLEFINANCE(C174, ""NAME""))"),"Axalta Coating Systems Ltd")</f>
        <v>Axalta Coating Systems Ltd</v>
      </c>
      <c r="E174" s="30" t="s">
        <v>2995</v>
      </c>
      <c r="F174" s="33" t="str">
        <f>IFERROR(__xludf.DUMMYFUNCTION("( (GOOGLEFINANCE(C174, ""price"") - Q174) / Q174 ) / (R174 / 100)"),"Loading...")</f>
        <v>Loading...</v>
      </c>
      <c r="G174" s="20" t="str">
        <f>IFERROR(__xludf.DUMMYFUNCTION("AVERAGE(ARRAYFORMULA(100 * (QUERY(GOOGLEFINANCE(C174, ""high"", TODAY()-40, TODAY()), ""SELECT Col2 WHERE Col2 IS NOT NULL ORDER BY Col1 DESC LIMIT 20"", 0) / QUERY(GOOGLEFINANCE(C174, ""low"", TODAY()-40, TODAY()), ""SELECT Col2 WHERE Col2 IS NOT NULL OR"&amp;"DER BY Col1 DESC LIMIT 20"", 0) - 1)))"),"#N/A")</f>
        <v>#N/A</v>
      </c>
      <c r="H174" s="35" t="str">
        <f t="shared" si="35"/>
        <v>Liquid</v>
      </c>
      <c r="I174" s="35" t="str">
        <f t="shared" si="7"/>
        <v>RVol Required</v>
      </c>
      <c r="J174" s="37">
        <f>IFERROR(__xludf.DUMMYFUNCTION("IFERROR(
  IF(C174="""",, 
    IFERROR(
      GOOGLEFINANCE(C174, ""price"") * GOOGLEFINANCE(C174, ""volumeavg""), 
      GOOGLEFINANCE(C174, ""price"") * AVERAGE(QUERY(GOOGLEFINANCE(C174, ""volume"", TODAY()-40, TODAY()), ""SELECT Col2 WHERE Col2 IS NOT "&amp;"NULL ORDER BY Col1 DESC LIMIT 20"", 0))
    )
  ), 
"""")"),6.87288976E7)</f>
        <v>68728897.6</v>
      </c>
      <c r="K174" s="21">
        <f>IFERROR(__xludf.DUMMYFUNCTION("IFERROR(GOOGLEFINANCE(C174, ""changepct"") / 100, """")"),-0.0086)</f>
        <v>-0.0086</v>
      </c>
      <c r="L174" s="21" t="str">
        <f>IFERROR(__xludf.DUMMYFUNCTION("IFERROR((GOOGLEFINANCE(C174, ""price"") / INDEX(GOOGLEFINANCE(C174, ""price"", TODAY()-7, TODAY()), 2, 2)) - 1, """")"),"")</f>
        <v/>
      </c>
      <c r="M174" s="21" t="str">
        <f>IFERROR(__xludf.DUMMYFUNCTION("IFERROR((GOOGLEFINANCE(C174, ""price"") / INDEX(GOOGLEFINANCE(C174, ""price"", EDATE(TODAY(), -1), TODAY()), 2, 2)) - 1, """")"),"")</f>
        <v/>
      </c>
      <c r="N174" s="21" t="str">
        <f>IFERROR(__xludf.DUMMYFUNCTION("IFERROR((GOOGLEFINANCE(C174, ""price"") / INDEX(GOOGLEFINANCE(C174, ""price"", EDATE(TODAY(), -3), TODAY()), 2, 2)) - 1, """")"),"")</f>
        <v/>
      </c>
      <c r="O174" s="21" t="str">
        <f>IFERROR(__xludf.DUMMYFUNCTION("IFERROR((GOOGLEFINANCE(C174, ""price"") / INDEX(GOOGLEFINANCE(C174, ""price"", EDATE(TODAY(), -6), TODAY()), 2, 2)) - 1, """")"),"")</f>
        <v/>
      </c>
      <c r="P174" s="21" t="str">
        <f>IFERROR(__xludf.DUMMYFUNCTION("IFERROR((GOOGLEFINANCE(C174, ""price"") / INDEX(GOOGLEFINANCE(C174, ""price"", EDATE(TODAY(), -12), TODAY()), 2, 2)) - 1, """")"),"")</f>
        <v/>
      </c>
      <c r="Q174" s="6" t="str">
        <f>IFERROR(__xludf.DUMMYFUNCTION("AVERAGE(QUERY(GOOGLEFINANCE(C174, ""price"", TODAY()-80, TODAY()), ""SELECT Col2 WHERE Col2 IS NOT NULL ORDER BY Col1 DESC LIMIT 50"", 0))"),"#N/A")</f>
        <v>#N/A</v>
      </c>
      <c r="R174" s="24" t="str">
        <f>IFERROR(__xludf.DUMMYFUNCTION("IFERROR(
  LET(
    data, QUERY(GOOGLEFINANCE(C174,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GOOGLEFINANCE(C174, ""price"")) * 100,
    IF(calc=0, G174, calc)
  ), 
G174)"),"#N/A")</f>
        <v>#N/A</v>
      </c>
      <c r="S174" s="8" t="s">
        <v>15</v>
      </c>
      <c r="T174" s="26" t="str">
        <f>IFERROR(__xludf.DUMMYFUNCTION("IFERROR(TRANSPOSE(QUERY(IFERROR(SORT(GOOGLEFINANCE(C174, ""price"", WORKDAY(TODAY(), -40), TODAY()), 1, FALSE)), ""select Col2 where Col2 is not null limit 22 label Col2 ''"", 0)), """")"),"")</f>
        <v/>
      </c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8"/>
      <c r="AO174" s="28"/>
      <c r="AP174" s="29"/>
      <c r="AQ174" s="29" t="str">
        <f t="shared" ref="AQ174:BL174" si="178">T174/T$2</f>
        <v>#N/A</v>
      </c>
      <c r="AR174" s="29" t="str">
        <f t="shared" si="178"/>
        <v>#DIV/0!</v>
      </c>
      <c r="AS174" s="29" t="str">
        <f t="shared" si="178"/>
        <v>#DIV/0!</v>
      </c>
      <c r="AT174" s="29" t="str">
        <f t="shared" si="178"/>
        <v>#DIV/0!</v>
      </c>
      <c r="AU174" s="29" t="str">
        <f t="shared" si="178"/>
        <v>#DIV/0!</v>
      </c>
      <c r="AV174" s="29" t="str">
        <f t="shared" si="178"/>
        <v>#DIV/0!</v>
      </c>
      <c r="AW174" s="29" t="str">
        <f t="shared" si="178"/>
        <v>#DIV/0!</v>
      </c>
      <c r="AX174" s="29" t="str">
        <f t="shared" si="178"/>
        <v>#DIV/0!</v>
      </c>
      <c r="AY174" s="29" t="str">
        <f t="shared" si="178"/>
        <v>#DIV/0!</v>
      </c>
      <c r="AZ174" s="29" t="str">
        <f t="shared" si="178"/>
        <v>#DIV/0!</v>
      </c>
      <c r="BA174" s="29" t="str">
        <f t="shared" si="178"/>
        <v>#DIV/0!</v>
      </c>
      <c r="BB174" s="29" t="str">
        <f t="shared" si="178"/>
        <v>#DIV/0!</v>
      </c>
      <c r="BC174" s="29" t="str">
        <f t="shared" si="178"/>
        <v>#DIV/0!</v>
      </c>
      <c r="BD174" s="29" t="str">
        <f t="shared" si="178"/>
        <v>#DIV/0!</v>
      </c>
      <c r="BE174" s="29" t="str">
        <f t="shared" si="178"/>
        <v>#DIV/0!</v>
      </c>
      <c r="BF174" s="29" t="str">
        <f t="shared" si="178"/>
        <v>#DIV/0!</v>
      </c>
      <c r="BG174" s="29" t="str">
        <f t="shared" si="178"/>
        <v>#DIV/0!</v>
      </c>
      <c r="BH174" s="29" t="str">
        <f t="shared" si="178"/>
        <v>#DIV/0!</v>
      </c>
      <c r="BI174" s="29" t="str">
        <f t="shared" si="178"/>
        <v>#DIV/0!</v>
      </c>
      <c r="BJ174" s="29" t="str">
        <f t="shared" si="178"/>
        <v>#DIV/0!</v>
      </c>
      <c r="BK174" s="29" t="str">
        <f t="shared" si="178"/>
        <v>#DIV/0!</v>
      </c>
      <c r="BL174" s="29" t="str">
        <f t="shared" si="178"/>
        <v>#DIV/0!</v>
      </c>
      <c r="BM174" s="29" t="str">
        <f t="shared" si="3"/>
        <v>#DIV/0!</v>
      </c>
    </row>
    <row r="175">
      <c r="A175" s="16" t="str">
        <f>IFERROR(__xludf.DUMMYFUNCTION("IFERROR(SPARKLINE(SORT(MAP(TRANSPOSE(AQ175:BL175), LAMBDA(val, IF(ISNUMBER(val), PERCENTRANK(AQ175:BL175, val)+0.01, 0))), SEQUENCE(COLUMNS(AQ175:BL175)), FALSE), {""charttype"",""column""; ""color"",""chartreuse""; ""ymin"", 0; ""ymax"", 1.01; ""highcolo"&amp;"r"", ""darkgreen""; ""lowcolor"", ""red""}), """")"),"")</f>
        <v/>
      </c>
      <c r="B175" s="17" t="str">
        <f t="shared" si="4"/>
        <v/>
      </c>
      <c r="C175" s="1" t="s">
        <v>3345</v>
      </c>
      <c r="D175" s="30" t="str">
        <f>IFERROR(__xludf.DUMMYFUNCTION("IFERROR(GOOGLEFINANCE(C175, ""NAME""))"),"H.B. Fuller Company")</f>
        <v>H.B. Fuller Company</v>
      </c>
      <c r="E175" s="30" t="s">
        <v>2995</v>
      </c>
      <c r="F175" s="33" t="str">
        <f>IFERROR(__xludf.DUMMYFUNCTION("( (GOOGLEFINANCE(C175, ""price"") - Q175) / Q175 ) / (R175 / 100)"),"Loading...")</f>
        <v>Loading...</v>
      </c>
      <c r="G175" s="20" t="str">
        <f>IFERROR(__xludf.DUMMYFUNCTION("AVERAGE(ARRAYFORMULA(100 * (QUERY(GOOGLEFINANCE(C175, ""high"", TODAY()-40, TODAY()), ""SELECT Col2 WHERE Col2 IS NOT NULL ORDER BY Col1 DESC LIMIT 20"", 0) / QUERY(GOOGLEFINANCE(C175, ""low"", TODAY()-40, TODAY()), ""SELECT Col2 WHERE Col2 IS NOT NULL OR"&amp;"DER BY Col1 DESC LIMIT 20"", 0) - 1)))"),"#N/A")</f>
        <v>#N/A</v>
      </c>
      <c r="H175" s="35" t="str">
        <f t="shared" si="35"/>
        <v>Illiquid</v>
      </c>
      <c r="I175" s="35" t="str">
        <f t="shared" si="7"/>
        <v>RVol Required</v>
      </c>
      <c r="J175" s="37">
        <f>IFERROR(__xludf.DUMMYFUNCTION("IFERROR(
  IF(C175="""",, 
    IFERROR(
      GOOGLEFINANCE(C175, ""price"") * GOOGLEFINANCE(C175, ""volumeavg""), 
      GOOGLEFINANCE(C175, ""price"") * AVERAGE(QUERY(GOOGLEFINANCE(C175, ""volume"", TODAY()-40, TODAY()), ""SELECT Col2 WHERE Col2 IS NOT "&amp;"NULL ORDER BY Col1 DESC LIMIT 20"", 0))
    )
  ), 
"""")"),4.694799788E7)</f>
        <v>46947997.88</v>
      </c>
      <c r="K175" s="21">
        <f>IFERROR(__xludf.DUMMYFUNCTION("IFERROR(GOOGLEFINANCE(C175, ""changepct"") / 100, """")"),-0.0048)</f>
        <v>-0.0048</v>
      </c>
      <c r="L175" s="21" t="str">
        <f>IFERROR(__xludf.DUMMYFUNCTION("IFERROR((GOOGLEFINANCE(C175, ""price"") / INDEX(GOOGLEFINANCE(C175, ""price"", TODAY()-7, TODAY()), 2, 2)) - 1, """")"),"")</f>
        <v/>
      </c>
      <c r="M175" s="21" t="str">
        <f>IFERROR(__xludf.DUMMYFUNCTION("IFERROR((GOOGLEFINANCE(C175, ""price"") / INDEX(GOOGLEFINANCE(C175, ""price"", EDATE(TODAY(), -1), TODAY()), 2, 2)) - 1, """")"),"")</f>
        <v/>
      </c>
      <c r="N175" s="21" t="str">
        <f>IFERROR(__xludf.DUMMYFUNCTION("IFERROR((GOOGLEFINANCE(C175, ""price"") / INDEX(GOOGLEFINANCE(C175, ""price"", EDATE(TODAY(), -3), TODAY()), 2, 2)) - 1, """")"),"")</f>
        <v/>
      </c>
      <c r="O175" s="21" t="str">
        <f>IFERROR(__xludf.DUMMYFUNCTION("IFERROR((GOOGLEFINANCE(C175, ""price"") / INDEX(GOOGLEFINANCE(C175, ""price"", EDATE(TODAY(), -6), TODAY()), 2, 2)) - 1, """")"),"")</f>
        <v/>
      </c>
      <c r="P175" s="21" t="str">
        <f>IFERROR(__xludf.DUMMYFUNCTION("IFERROR((GOOGLEFINANCE(C175, ""price"") / INDEX(GOOGLEFINANCE(C175, ""price"", EDATE(TODAY(), -12), TODAY()), 2, 2)) - 1, """")"),"")</f>
        <v/>
      </c>
      <c r="Q175" s="6" t="str">
        <f>IFERROR(__xludf.DUMMYFUNCTION("AVERAGE(QUERY(GOOGLEFINANCE(C175, ""price"", TODAY()-80, TODAY()), ""SELECT Col2 WHERE Col2 IS NOT NULL ORDER BY Col1 DESC LIMIT 50"", 0))"),"#N/A")</f>
        <v>#N/A</v>
      </c>
      <c r="R175" s="24" t="str">
        <f>IFERROR(__xludf.DUMMYFUNCTION("IFERROR(
  LET(
    data, QUERY(GOOGLEFINANCE(C175,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GOOGLEFINANCE(C175, ""price"")) * 100,
    IF(calc=0, G175, calc)
  ), 
G175)"),"#N/A")</f>
        <v>#N/A</v>
      </c>
      <c r="S175" s="8" t="s">
        <v>15</v>
      </c>
      <c r="T175" s="26" t="str">
        <f>IFERROR(__xludf.DUMMYFUNCTION("IFERROR(TRANSPOSE(QUERY(IFERROR(SORT(GOOGLEFINANCE(C175, ""price"", WORKDAY(TODAY(), -40), TODAY()), 1, FALSE)), ""select Col2 where Col2 is not null limit 22 label Col2 ''"", 0)), """")"),"")</f>
        <v/>
      </c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8"/>
      <c r="AO175" s="28"/>
      <c r="AP175" s="29"/>
      <c r="AQ175" s="29" t="str">
        <f t="shared" ref="AQ175:BL175" si="179">T175/T$2</f>
        <v>#N/A</v>
      </c>
      <c r="AR175" s="29" t="str">
        <f t="shared" si="179"/>
        <v>#DIV/0!</v>
      </c>
      <c r="AS175" s="29" t="str">
        <f t="shared" si="179"/>
        <v>#DIV/0!</v>
      </c>
      <c r="AT175" s="29" t="str">
        <f t="shared" si="179"/>
        <v>#DIV/0!</v>
      </c>
      <c r="AU175" s="29" t="str">
        <f t="shared" si="179"/>
        <v>#DIV/0!</v>
      </c>
      <c r="AV175" s="29" t="str">
        <f t="shared" si="179"/>
        <v>#DIV/0!</v>
      </c>
      <c r="AW175" s="29" t="str">
        <f t="shared" si="179"/>
        <v>#DIV/0!</v>
      </c>
      <c r="AX175" s="29" t="str">
        <f t="shared" si="179"/>
        <v>#DIV/0!</v>
      </c>
      <c r="AY175" s="29" t="str">
        <f t="shared" si="179"/>
        <v>#DIV/0!</v>
      </c>
      <c r="AZ175" s="29" t="str">
        <f t="shared" si="179"/>
        <v>#DIV/0!</v>
      </c>
      <c r="BA175" s="29" t="str">
        <f t="shared" si="179"/>
        <v>#DIV/0!</v>
      </c>
      <c r="BB175" s="29" t="str">
        <f t="shared" si="179"/>
        <v>#DIV/0!</v>
      </c>
      <c r="BC175" s="29" t="str">
        <f t="shared" si="179"/>
        <v>#DIV/0!</v>
      </c>
      <c r="BD175" s="29" t="str">
        <f t="shared" si="179"/>
        <v>#DIV/0!</v>
      </c>
      <c r="BE175" s="29" t="str">
        <f t="shared" si="179"/>
        <v>#DIV/0!</v>
      </c>
      <c r="BF175" s="29" t="str">
        <f t="shared" si="179"/>
        <v>#DIV/0!</v>
      </c>
      <c r="BG175" s="29" t="str">
        <f t="shared" si="179"/>
        <v>#DIV/0!</v>
      </c>
      <c r="BH175" s="29" t="str">
        <f t="shared" si="179"/>
        <v>#DIV/0!</v>
      </c>
      <c r="BI175" s="29" t="str">
        <f t="shared" si="179"/>
        <v>#DIV/0!</v>
      </c>
      <c r="BJ175" s="29" t="str">
        <f t="shared" si="179"/>
        <v>#DIV/0!</v>
      </c>
      <c r="BK175" s="29" t="str">
        <f t="shared" si="179"/>
        <v>#DIV/0!</v>
      </c>
      <c r="BL175" s="29" t="str">
        <f t="shared" si="179"/>
        <v>#DIV/0!</v>
      </c>
      <c r="BM175" s="29" t="str">
        <f t="shared" si="3"/>
        <v>#DIV/0!</v>
      </c>
    </row>
    <row r="176">
      <c r="A176" s="16" t="str">
        <f>IFERROR(__xludf.DUMMYFUNCTION("IFERROR(SPARKLINE(SORT(MAP(TRANSPOSE(AQ176:BL176), LAMBDA(val, IF(ISNUMBER(val), PERCENTRANK(AQ176:BL176, val)+0.01, 0))), SEQUENCE(COLUMNS(AQ176:BL176)), FALSE), {""charttype"",""column""; ""color"",""chartreuse""; ""ymin"", 0; ""ymax"", 1.01; ""highcolo"&amp;"r"", ""darkgreen""; ""lowcolor"", ""red""}), """")"),"")</f>
        <v/>
      </c>
      <c r="B176" s="17" t="str">
        <f t="shared" si="4"/>
        <v/>
      </c>
      <c r="C176" s="1" t="s">
        <v>3346</v>
      </c>
      <c r="D176" s="30" t="str">
        <f>IFERROR(__xludf.DUMMYFUNCTION("IFERROR(GOOGLEFINANCE(C176, ""NAME""))"),"Ferroglobe PLC")</f>
        <v>Ferroglobe PLC</v>
      </c>
      <c r="E176" s="30" t="s">
        <v>2935</v>
      </c>
      <c r="F176" s="33" t="str">
        <f>IFERROR(__xludf.DUMMYFUNCTION("( (GOOGLEFINANCE(C176, ""price"") - Q176) / Q176 ) / (R176 / 100)"),"Loading...")</f>
        <v>Loading...</v>
      </c>
      <c r="G176" s="20" t="str">
        <f>IFERROR(__xludf.DUMMYFUNCTION("AVERAGE(ARRAYFORMULA(100 * (QUERY(GOOGLEFINANCE(C176, ""high"", TODAY()-40, TODAY()), ""SELECT Col2 WHERE Col2 IS NOT NULL ORDER BY Col1 DESC LIMIT 20"", 0) / QUERY(GOOGLEFINANCE(C176, ""low"", TODAY()-40, TODAY()), ""SELECT Col2 WHERE Col2 IS NOT NULL OR"&amp;"DER BY Col1 DESC LIMIT 20"", 0) - 1)))"),"#N/A")</f>
        <v>#N/A</v>
      </c>
      <c r="H176" s="35" t="str">
        <f t="shared" si="35"/>
        <v>Illiquid</v>
      </c>
      <c r="I176" s="35" t="str">
        <f t="shared" si="7"/>
        <v>RVol Required</v>
      </c>
      <c r="J176" s="37">
        <f>IFERROR(__xludf.DUMMYFUNCTION("IFERROR(
  IF(C176="""",, 
    IFERROR(
      GOOGLEFINANCE(C176, ""price"") * GOOGLEFINANCE(C176, ""volumeavg""), 
      GOOGLEFINANCE(C176, ""price"") * AVERAGE(QUERY(GOOGLEFINANCE(C176, ""volume"", TODAY()-40, TODAY()), ""SELECT Col2 WHERE Col2 IS NOT "&amp;"NULL ORDER BY Col1 DESC LIMIT 20"", 0))
    )
  ), 
"""")"),4941162.850000001)</f>
        <v>4941162.85</v>
      </c>
      <c r="K176" s="21">
        <f>IFERROR(__xludf.DUMMYFUNCTION("IFERROR(GOOGLEFINANCE(C176, ""changepct"") / 100, """")"),0.022799999999999997)</f>
        <v>0.0228</v>
      </c>
      <c r="L176" s="21" t="str">
        <f>IFERROR(__xludf.DUMMYFUNCTION("IFERROR((GOOGLEFINANCE(C176, ""price"") / INDEX(GOOGLEFINANCE(C176, ""price"", TODAY()-7, TODAY()), 2, 2)) - 1, """")"),"")</f>
        <v/>
      </c>
      <c r="M176" s="21" t="str">
        <f>IFERROR(__xludf.DUMMYFUNCTION("IFERROR((GOOGLEFINANCE(C176, ""price"") / INDEX(GOOGLEFINANCE(C176, ""price"", EDATE(TODAY(), -1), TODAY()), 2, 2)) - 1, """")"),"")</f>
        <v/>
      </c>
      <c r="N176" s="21" t="str">
        <f>IFERROR(__xludf.DUMMYFUNCTION("IFERROR((GOOGLEFINANCE(C176, ""price"") / INDEX(GOOGLEFINANCE(C176, ""price"", EDATE(TODAY(), -3), TODAY()), 2, 2)) - 1, """")"),"")</f>
        <v/>
      </c>
      <c r="O176" s="21" t="str">
        <f>IFERROR(__xludf.DUMMYFUNCTION("IFERROR((GOOGLEFINANCE(C176, ""price"") / INDEX(GOOGLEFINANCE(C176, ""price"", EDATE(TODAY(), -6), TODAY()), 2, 2)) - 1, """")"),"")</f>
        <v/>
      </c>
      <c r="P176" s="21" t="str">
        <f>IFERROR(__xludf.DUMMYFUNCTION("IFERROR((GOOGLEFINANCE(C176, ""price"") / INDEX(GOOGLEFINANCE(C176, ""price"", EDATE(TODAY(), -12), TODAY()), 2, 2)) - 1, """")"),"")</f>
        <v/>
      </c>
      <c r="Q176" s="6" t="str">
        <f>IFERROR(__xludf.DUMMYFUNCTION("AVERAGE(QUERY(GOOGLEFINANCE(C176, ""price"", TODAY()-80, TODAY()), ""SELECT Col2 WHERE Col2 IS NOT NULL ORDER BY Col1 DESC LIMIT 50"", 0))"),"#N/A")</f>
        <v>#N/A</v>
      </c>
      <c r="R176" s="24" t="str">
        <f>IFERROR(__xludf.DUMMYFUNCTION("IFERROR(
  LET(
    data, QUERY(GOOGLEFINANCE(C176,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GOOGLEFINANCE(C176, ""price"")) * 100,
    IF(calc=0, G176, calc)
  ), 
G176)"),"#N/A")</f>
        <v>#N/A</v>
      </c>
      <c r="S176" s="8" t="s">
        <v>15</v>
      </c>
      <c r="T176" s="26" t="str">
        <f>IFERROR(__xludf.DUMMYFUNCTION("IFERROR(TRANSPOSE(QUERY(IFERROR(SORT(GOOGLEFINANCE(C176, ""price"", WORKDAY(TODAY(), -40), TODAY()), 1, FALSE)), ""select Col2 where Col2 is not null limit 22 label Col2 ''"", 0)), """")"),"")</f>
        <v/>
      </c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8"/>
      <c r="AO176" s="28"/>
      <c r="AP176" s="29"/>
      <c r="AQ176" s="29" t="str">
        <f t="shared" ref="AQ176:BL176" si="180">T176/T$2</f>
        <v>#N/A</v>
      </c>
      <c r="AR176" s="29" t="str">
        <f t="shared" si="180"/>
        <v>#DIV/0!</v>
      </c>
      <c r="AS176" s="29" t="str">
        <f t="shared" si="180"/>
        <v>#DIV/0!</v>
      </c>
      <c r="AT176" s="29" t="str">
        <f t="shared" si="180"/>
        <v>#DIV/0!</v>
      </c>
      <c r="AU176" s="29" t="str">
        <f t="shared" si="180"/>
        <v>#DIV/0!</v>
      </c>
      <c r="AV176" s="29" t="str">
        <f t="shared" si="180"/>
        <v>#DIV/0!</v>
      </c>
      <c r="AW176" s="29" t="str">
        <f t="shared" si="180"/>
        <v>#DIV/0!</v>
      </c>
      <c r="AX176" s="29" t="str">
        <f t="shared" si="180"/>
        <v>#DIV/0!</v>
      </c>
      <c r="AY176" s="29" t="str">
        <f t="shared" si="180"/>
        <v>#DIV/0!</v>
      </c>
      <c r="AZ176" s="29" t="str">
        <f t="shared" si="180"/>
        <v>#DIV/0!</v>
      </c>
      <c r="BA176" s="29" t="str">
        <f t="shared" si="180"/>
        <v>#DIV/0!</v>
      </c>
      <c r="BB176" s="29" t="str">
        <f t="shared" si="180"/>
        <v>#DIV/0!</v>
      </c>
      <c r="BC176" s="29" t="str">
        <f t="shared" si="180"/>
        <v>#DIV/0!</v>
      </c>
      <c r="BD176" s="29" t="str">
        <f t="shared" si="180"/>
        <v>#DIV/0!</v>
      </c>
      <c r="BE176" s="29" t="str">
        <f t="shared" si="180"/>
        <v>#DIV/0!</v>
      </c>
      <c r="BF176" s="29" t="str">
        <f t="shared" si="180"/>
        <v>#DIV/0!</v>
      </c>
      <c r="BG176" s="29" t="str">
        <f t="shared" si="180"/>
        <v>#DIV/0!</v>
      </c>
      <c r="BH176" s="29" t="str">
        <f t="shared" si="180"/>
        <v>#DIV/0!</v>
      </c>
      <c r="BI176" s="29" t="str">
        <f t="shared" si="180"/>
        <v>#DIV/0!</v>
      </c>
      <c r="BJ176" s="29" t="str">
        <f t="shared" si="180"/>
        <v>#DIV/0!</v>
      </c>
      <c r="BK176" s="29" t="str">
        <f t="shared" si="180"/>
        <v>#DIV/0!</v>
      </c>
      <c r="BL176" s="29" t="str">
        <f t="shared" si="180"/>
        <v>#DIV/0!</v>
      </c>
      <c r="BM176" s="29" t="str">
        <f t="shared" si="3"/>
        <v>#DIV/0!</v>
      </c>
    </row>
    <row r="177">
      <c r="A177" s="16" t="str">
        <f>IFERROR(__xludf.DUMMYFUNCTION("IFERROR(SPARKLINE(SORT(MAP(TRANSPOSE(AQ177:BL177), LAMBDA(val, IF(ISNUMBER(val), PERCENTRANK(AQ177:BL177, val)+0.01, 0))), SEQUENCE(COLUMNS(AQ177:BL177)), FALSE), {""charttype"",""column""; ""color"",""chartreuse""; ""ymin"", 0; ""ymax"", 1.01; ""highcolo"&amp;"r"", ""darkgreen""; ""lowcolor"", ""red""}), """")"),"")</f>
        <v/>
      </c>
      <c r="B177" s="17" t="str">
        <f t="shared" si="4"/>
        <v/>
      </c>
      <c r="C177" s="1" t="s">
        <v>3347</v>
      </c>
      <c r="D177" s="30" t="str">
        <f>IFERROR(__xludf.DUMMYFUNCTION("IFERROR(GOOGLEFINANCE(C177, ""NAME""))"),"AdvanSix Inc")</f>
        <v>AdvanSix Inc</v>
      </c>
      <c r="E177" s="30" t="s">
        <v>3035</v>
      </c>
      <c r="F177" s="33" t="str">
        <f>IFERROR(__xludf.DUMMYFUNCTION("( (GOOGLEFINANCE(C177, ""price"") - Q177) / Q177 ) / (R177 / 100)"),"Loading...")</f>
        <v>Loading...</v>
      </c>
      <c r="G177" s="20" t="str">
        <f>IFERROR(__xludf.DUMMYFUNCTION("AVERAGE(ARRAYFORMULA(100 * (QUERY(GOOGLEFINANCE(C177, ""high"", TODAY()-40, TODAY()), ""SELECT Col2 WHERE Col2 IS NOT NULL ORDER BY Col1 DESC LIMIT 20"", 0) / QUERY(GOOGLEFINANCE(C177, ""low"", TODAY()-40, TODAY()), ""SELECT Col2 WHERE Col2 IS NOT NULL OR"&amp;"DER BY Col1 DESC LIMIT 20"", 0) - 1)))"),"#N/A")</f>
        <v>#N/A</v>
      </c>
      <c r="H177" s="35" t="str">
        <f t="shared" si="35"/>
        <v>Illiquid</v>
      </c>
      <c r="I177" s="35" t="str">
        <f t="shared" si="7"/>
        <v>RVol Required</v>
      </c>
      <c r="J177" s="37">
        <f>IFERROR(__xludf.DUMMYFUNCTION("IFERROR(
  IF(C177="""",, 
    IFERROR(
      GOOGLEFINANCE(C177, ""price"") * GOOGLEFINANCE(C177, ""volumeavg""), 
      GOOGLEFINANCE(C177, ""price"") * AVERAGE(QUERY(GOOGLEFINANCE(C177, ""volume"", TODAY()-40, TODAY()), ""SELECT Col2 WHERE Col2 IS NOT "&amp;"NULL ORDER BY Col1 DESC LIMIT 20"", 0))
    )
  ), 
"""")"),4378958.63)</f>
        <v>4378958.63</v>
      </c>
      <c r="K177" s="21">
        <f>IFERROR(__xludf.DUMMYFUNCTION("IFERROR(GOOGLEFINANCE(C177, ""changepct"") / 100, """")"),-0.0079)</f>
        <v>-0.0079</v>
      </c>
      <c r="L177" s="21" t="str">
        <f>IFERROR(__xludf.DUMMYFUNCTION("IFERROR((GOOGLEFINANCE(C177, ""price"") / INDEX(GOOGLEFINANCE(C177, ""price"", TODAY()-7, TODAY()), 2, 2)) - 1, """")"),"")</f>
        <v/>
      </c>
      <c r="M177" s="21" t="str">
        <f>IFERROR(__xludf.DUMMYFUNCTION("IFERROR((GOOGLEFINANCE(C177, ""price"") / INDEX(GOOGLEFINANCE(C177, ""price"", EDATE(TODAY(), -1), TODAY()), 2, 2)) - 1, """")"),"")</f>
        <v/>
      </c>
      <c r="N177" s="21" t="str">
        <f>IFERROR(__xludf.DUMMYFUNCTION("IFERROR((GOOGLEFINANCE(C177, ""price"") / INDEX(GOOGLEFINANCE(C177, ""price"", EDATE(TODAY(), -3), TODAY()), 2, 2)) - 1, """")"),"")</f>
        <v/>
      </c>
      <c r="O177" s="21" t="str">
        <f>IFERROR(__xludf.DUMMYFUNCTION("IFERROR((GOOGLEFINANCE(C177, ""price"") / INDEX(GOOGLEFINANCE(C177, ""price"", EDATE(TODAY(), -6), TODAY()), 2, 2)) - 1, """")"),"")</f>
        <v/>
      </c>
      <c r="P177" s="21" t="str">
        <f>IFERROR(__xludf.DUMMYFUNCTION("IFERROR((GOOGLEFINANCE(C177, ""price"") / INDEX(GOOGLEFINANCE(C177, ""price"", EDATE(TODAY(), -12), TODAY()), 2, 2)) - 1, """")"),"")</f>
        <v/>
      </c>
      <c r="Q177" s="6" t="str">
        <f>IFERROR(__xludf.DUMMYFUNCTION("AVERAGE(QUERY(GOOGLEFINANCE(C177, ""price"", TODAY()-80, TODAY()), ""SELECT Col2 WHERE Col2 IS NOT NULL ORDER BY Col1 DESC LIMIT 50"", 0))"),"#N/A")</f>
        <v>#N/A</v>
      </c>
      <c r="R177" s="24" t="str">
        <f>IFERROR(__xludf.DUMMYFUNCTION("IFERROR(
  LET(
    data, QUERY(GOOGLEFINANCE(C177,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GOOGLEFINANCE(C177, ""price"")) * 100,
    IF(calc=0, G177, calc)
  ), 
G177)"),"#N/A")</f>
        <v>#N/A</v>
      </c>
      <c r="S177" s="8" t="s">
        <v>15</v>
      </c>
      <c r="T177" s="26" t="str">
        <f>IFERROR(__xludf.DUMMYFUNCTION("IFERROR(TRANSPOSE(QUERY(IFERROR(SORT(GOOGLEFINANCE(C177, ""price"", WORKDAY(TODAY(), -40), TODAY()), 1, FALSE)), ""select Col2 where Col2 is not null limit 22 label Col2 ''"", 0)), """")"),"")</f>
        <v/>
      </c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8"/>
      <c r="AO177" s="28"/>
      <c r="AP177" s="29"/>
      <c r="AQ177" s="29" t="str">
        <f t="shared" ref="AQ177:BL177" si="181">T177/T$2</f>
        <v>#N/A</v>
      </c>
      <c r="AR177" s="29" t="str">
        <f t="shared" si="181"/>
        <v>#DIV/0!</v>
      </c>
      <c r="AS177" s="29" t="str">
        <f t="shared" si="181"/>
        <v>#DIV/0!</v>
      </c>
      <c r="AT177" s="29" t="str">
        <f t="shared" si="181"/>
        <v>#DIV/0!</v>
      </c>
      <c r="AU177" s="29" t="str">
        <f t="shared" si="181"/>
        <v>#DIV/0!</v>
      </c>
      <c r="AV177" s="29" t="str">
        <f t="shared" si="181"/>
        <v>#DIV/0!</v>
      </c>
      <c r="AW177" s="29" t="str">
        <f t="shared" si="181"/>
        <v>#DIV/0!</v>
      </c>
      <c r="AX177" s="29" t="str">
        <f t="shared" si="181"/>
        <v>#DIV/0!</v>
      </c>
      <c r="AY177" s="29" t="str">
        <f t="shared" si="181"/>
        <v>#DIV/0!</v>
      </c>
      <c r="AZ177" s="29" t="str">
        <f t="shared" si="181"/>
        <v>#DIV/0!</v>
      </c>
      <c r="BA177" s="29" t="str">
        <f t="shared" si="181"/>
        <v>#DIV/0!</v>
      </c>
      <c r="BB177" s="29" t="str">
        <f t="shared" si="181"/>
        <v>#DIV/0!</v>
      </c>
      <c r="BC177" s="29" t="str">
        <f t="shared" si="181"/>
        <v>#DIV/0!</v>
      </c>
      <c r="BD177" s="29" t="str">
        <f t="shared" si="181"/>
        <v>#DIV/0!</v>
      </c>
      <c r="BE177" s="29" t="str">
        <f t="shared" si="181"/>
        <v>#DIV/0!</v>
      </c>
      <c r="BF177" s="29" t="str">
        <f t="shared" si="181"/>
        <v>#DIV/0!</v>
      </c>
      <c r="BG177" s="29" t="str">
        <f t="shared" si="181"/>
        <v>#DIV/0!</v>
      </c>
      <c r="BH177" s="29" t="str">
        <f t="shared" si="181"/>
        <v>#DIV/0!</v>
      </c>
      <c r="BI177" s="29" t="str">
        <f t="shared" si="181"/>
        <v>#DIV/0!</v>
      </c>
      <c r="BJ177" s="29" t="str">
        <f t="shared" si="181"/>
        <v>#DIV/0!</v>
      </c>
      <c r="BK177" s="29" t="str">
        <f t="shared" si="181"/>
        <v>#DIV/0!</v>
      </c>
      <c r="BL177" s="29" t="str">
        <f t="shared" si="181"/>
        <v>#DIV/0!</v>
      </c>
      <c r="BM177" s="29" t="str">
        <f t="shared" si="3"/>
        <v>#DIV/0!</v>
      </c>
    </row>
    <row r="178">
      <c r="A178" s="16" t="str">
        <f>IFERROR(__xludf.DUMMYFUNCTION("IFERROR(SPARKLINE(SORT(MAP(TRANSPOSE(AQ178:BL178), LAMBDA(val, IF(ISNUMBER(val), PERCENTRANK(AQ178:BL178, val)+0.01, 0))), SEQUENCE(COLUMNS(AQ178:BL178)), FALSE), {""charttype"",""column""; ""color"",""chartreuse""; ""ymin"", 0; ""ymax"", 1.01; ""highcolo"&amp;"r"", ""darkgreen""; ""lowcolor"", ""red""}), """")"),"")</f>
        <v/>
      </c>
      <c r="B178" s="17" t="str">
        <f t="shared" si="4"/>
        <v/>
      </c>
      <c r="C178" s="1" t="s">
        <v>3348</v>
      </c>
      <c r="D178" s="30" t="str">
        <f>IFERROR(__xludf.DUMMYFUNCTION("IFERROR(GOOGLEFINANCE(C178, ""NAME""))"),"Mosaic Co")</f>
        <v>Mosaic Co</v>
      </c>
      <c r="E178" s="30" t="s">
        <v>3039</v>
      </c>
      <c r="F178" s="33" t="str">
        <f>IFERROR(__xludf.DUMMYFUNCTION("( (GOOGLEFINANCE(C178, ""price"") - Q178) / Q178 ) / (R178 / 100)"),"Loading...")</f>
        <v>Loading...</v>
      </c>
      <c r="G178" s="20" t="str">
        <f>IFERROR(__xludf.DUMMYFUNCTION("AVERAGE(ARRAYFORMULA(100 * (QUERY(GOOGLEFINANCE(C178, ""high"", TODAY()-40, TODAY()), ""SELECT Col2 WHERE Col2 IS NOT NULL ORDER BY Col1 DESC LIMIT 20"", 0) / QUERY(GOOGLEFINANCE(C178, ""low"", TODAY()-40, TODAY()), ""SELECT Col2 WHERE Col2 IS NOT NULL OR"&amp;"DER BY Col1 DESC LIMIT 20"", 0) - 1)))"),"#N/A")</f>
        <v>#N/A</v>
      </c>
      <c r="H178" s="35" t="str">
        <f t="shared" si="35"/>
        <v>Liquid</v>
      </c>
      <c r="I178" s="35" t="str">
        <f t="shared" si="7"/>
        <v>RVol Required</v>
      </c>
      <c r="J178" s="37">
        <f>IFERROR(__xludf.DUMMYFUNCTION("IFERROR(
  IF(C178="""",, 
    IFERROR(
      GOOGLEFINANCE(C178, ""price"") * GOOGLEFINANCE(C178, ""volumeavg""), 
      GOOGLEFINANCE(C178, ""price"") * AVERAGE(QUERY(GOOGLEFINANCE(C178, ""volume"", TODAY()-40, TODAY()), ""SELECT Col2 WHERE Col2 IS NOT "&amp;"NULL ORDER BY Col1 DESC LIMIT 20"", 0))
    )
  ), 
"""")"),1.6795922174E8)</f>
        <v>167959221.7</v>
      </c>
      <c r="K178" s="21">
        <f>IFERROR(__xludf.DUMMYFUNCTION("IFERROR(GOOGLEFINANCE(C178, ""changepct"") / 100, """")"),-0.0069)</f>
        <v>-0.0069</v>
      </c>
      <c r="L178" s="21" t="str">
        <f>IFERROR(__xludf.DUMMYFUNCTION("IFERROR((GOOGLEFINANCE(C178, ""price"") / INDEX(GOOGLEFINANCE(C178, ""price"", TODAY()-7, TODAY()), 2, 2)) - 1, """")"),"")</f>
        <v/>
      </c>
      <c r="M178" s="21" t="str">
        <f>IFERROR(__xludf.DUMMYFUNCTION("IFERROR((GOOGLEFINANCE(C178, ""price"") / INDEX(GOOGLEFINANCE(C178, ""price"", EDATE(TODAY(), -1), TODAY()), 2, 2)) - 1, """")"),"")</f>
        <v/>
      </c>
      <c r="N178" s="21" t="str">
        <f>IFERROR(__xludf.DUMMYFUNCTION("IFERROR((GOOGLEFINANCE(C178, ""price"") / INDEX(GOOGLEFINANCE(C178, ""price"", EDATE(TODAY(), -3), TODAY()), 2, 2)) - 1, """")"),"")</f>
        <v/>
      </c>
      <c r="O178" s="21" t="str">
        <f>IFERROR(__xludf.DUMMYFUNCTION("IFERROR((GOOGLEFINANCE(C178, ""price"") / INDEX(GOOGLEFINANCE(C178, ""price"", EDATE(TODAY(), -6), TODAY()), 2, 2)) - 1, """")"),"")</f>
        <v/>
      </c>
      <c r="P178" s="21" t="str">
        <f>IFERROR(__xludf.DUMMYFUNCTION("IFERROR((GOOGLEFINANCE(C178, ""price"") / INDEX(GOOGLEFINANCE(C178, ""price"", EDATE(TODAY(), -12), TODAY()), 2, 2)) - 1, """")"),"")</f>
        <v/>
      </c>
      <c r="Q178" s="6" t="str">
        <f>IFERROR(__xludf.DUMMYFUNCTION("AVERAGE(QUERY(GOOGLEFINANCE(C178, ""price"", TODAY()-80, TODAY()), ""SELECT Col2 WHERE Col2 IS NOT NULL ORDER BY Col1 DESC LIMIT 50"", 0))"),"#N/A")</f>
        <v>#N/A</v>
      </c>
      <c r="R178" s="24" t="str">
        <f>IFERROR(__xludf.DUMMYFUNCTION("IFERROR(
  LET(
    data, QUERY(GOOGLEFINANCE(C178,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GOOGLEFINANCE(C178, ""price"")) * 100,
    IF(calc=0, G178, calc)
  ), 
G178)"),"#N/A")</f>
        <v>#N/A</v>
      </c>
      <c r="S178" s="8" t="s">
        <v>15</v>
      </c>
      <c r="T178" s="26" t="str">
        <f>IFERROR(__xludf.DUMMYFUNCTION("IFERROR(TRANSPOSE(QUERY(IFERROR(SORT(GOOGLEFINANCE(C178, ""price"", WORKDAY(TODAY(), -40), TODAY()), 1, FALSE)), ""select Col2 where Col2 is not null limit 22 label Col2 ''"", 0)), """")"),"")</f>
        <v/>
      </c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8"/>
      <c r="AO178" s="28"/>
      <c r="AP178" s="29"/>
      <c r="AQ178" s="29" t="str">
        <f t="shared" ref="AQ178:BL178" si="182">T178/T$2</f>
        <v>#N/A</v>
      </c>
      <c r="AR178" s="29" t="str">
        <f t="shared" si="182"/>
        <v>#DIV/0!</v>
      </c>
      <c r="AS178" s="29" t="str">
        <f t="shared" si="182"/>
        <v>#DIV/0!</v>
      </c>
      <c r="AT178" s="29" t="str">
        <f t="shared" si="182"/>
        <v>#DIV/0!</v>
      </c>
      <c r="AU178" s="29" t="str">
        <f t="shared" si="182"/>
        <v>#DIV/0!</v>
      </c>
      <c r="AV178" s="29" t="str">
        <f t="shared" si="182"/>
        <v>#DIV/0!</v>
      </c>
      <c r="AW178" s="29" t="str">
        <f t="shared" si="182"/>
        <v>#DIV/0!</v>
      </c>
      <c r="AX178" s="29" t="str">
        <f t="shared" si="182"/>
        <v>#DIV/0!</v>
      </c>
      <c r="AY178" s="29" t="str">
        <f t="shared" si="182"/>
        <v>#DIV/0!</v>
      </c>
      <c r="AZ178" s="29" t="str">
        <f t="shared" si="182"/>
        <v>#DIV/0!</v>
      </c>
      <c r="BA178" s="29" t="str">
        <f t="shared" si="182"/>
        <v>#DIV/0!</v>
      </c>
      <c r="BB178" s="29" t="str">
        <f t="shared" si="182"/>
        <v>#DIV/0!</v>
      </c>
      <c r="BC178" s="29" t="str">
        <f t="shared" si="182"/>
        <v>#DIV/0!</v>
      </c>
      <c r="BD178" s="29" t="str">
        <f t="shared" si="182"/>
        <v>#DIV/0!</v>
      </c>
      <c r="BE178" s="29" t="str">
        <f t="shared" si="182"/>
        <v>#DIV/0!</v>
      </c>
      <c r="BF178" s="29" t="str">
        <f t="shared" si="182"/>
        <v>#DIV/0!</v>
      </c>
      <c r="BG178" s="29" t="str">
        <f t="shared" si="182"/>
        <v>#DIV/0!</v>
      </c>
      <c r="BH178" s="29" t="str">
        <f t="shared" si="182"/>
        <v>#DIV/0!</v>
      </c>
      <c r="BI178" s="29" t="str">
        <f t="shared" si="182"/>
        <v>#DIV/0!</v>
      </c>
      <c r="BJ178" s="29" t="str">
        <f t="shared" si="182"/>
        <v>#DIV/0!</v>
      </c>
      <c r="BK178" s="29" t="str">
        <f t="shared" si="182"/>
        <v>#DIV/0!</v>
      </c>
      <c r="BL178" s="29" t="str">
        <f t="shared" si="182"/>
        <v>#DIV/0!</v>
      </c>
      <c r="BM178" s="29" t="str">
        <f t="shared" si="3"/>
        <v>#DIV/0!</v>
      </c>
    </row>
    <row r="179">
      <c r="A179" s="16" t="str">
        <f>IFERROR(__xludf.DUMMYFUNCTION("IFERROR(SPARKLINE(SORT(MAP(TRANSPOSE(AQ179:BL179), LAMBDA(val, IF(ISNUMBER(val), PERCENTRANK(AQ179:BL179, val)+0.01, 0))), SEQUENCE(COLUMNS(AQ179:BL179)), FALSE), {""charttype"",""column""; ""color"",""chartreuse""; ""ymin"", 0; ""ymax"", 1.01; ""highcolo"&amp;"r"", ""darkgreen""; ""lowcolor"", ""red""}), """")"),"")</f>
        <v/>
      </c>
      <c r="B179" s="17" t="str">
        <f t="shared" si="4"/>
        <v/>
      </c>
      <c r="C179" s="1" t="s">
        <v>3349</v>
      </c>
      <c r="D179" s="30" t="str">
        <f>IFERROR(__xludf.DUMMYFUNCTION("IFERROR(GOOGLEFINANCE(C179, ""NAME""))"),"Suzano 1 American Depositary Shares Representing 1 Ord Shs")</f>
        <v>Suzano 1 American Depositary Shares Representing 1 Ord Shs</v>
      </c>
      <c r="E179" s="30" t="s">
        <v>3350</v>
      </c>
      <c r="F179" s="33" t="str">
        <f>IFERROR(__xludf.DUMMYFUNCTION("( (GOOGLEFINANCE(C179, ""price"") - Q179) / Q179 ) / (R179 / 100)"),"Loading...")</f>
        <v>Loading...</v>
      </c>
      <c r="G179" s="20" t="str">
        <f>IFERROR(__xludf.DUMMYFUNCTION("AVERAGE(ARRAYFORMULA(100 * (QUERY(GOOGLEFINANCE(C179, ""high"", TODAY()-40, TODAY()), ""SELECT Col2 WHERE Col2 IS NOT NULL ORDER BY Col1 DESC LIMIT 20"", 0) / QUERY(GOOGLEFINANCE(C179, ""low"", TODAY()-40, TODAY()), ""SELECT Col2 WHERE Col2 IS NOT NULL OR"&amp;"DER BY Col1 DESC LIMIT 20"", 0) - 1)))"),"#N/A")</f>
        <v>#N/A</v>
      </c>
      <c r="H179" s="35" t="str">
        <f t="shared" si="35"/>
        <v>Illiquid</v>
      </c>
      <c r="I179" s="35" t="str">
        <f t="shared" si="7"/>
        <v>RVol Required</v>
      </c>
      <c r="J179" s="37">
        <f>IFERROR(__xludf.DUMMYFUNCTION("IFERROR(
  IF(C179="""",, 
    IFERROR(
      GOOGLEFINANCE(C179, ""price"") * GOOGLEFINANCE(C179, ""volumeavg""), 
      GOOGLEFINANCE(C179, ""price"") * AVERAGE(QUERY(GOOGLEFINANCE(C179, ""volume"", TODAY()-40, TODAY()), ""SELECT Col2 WHERE Col2 IS NOT "&amp;"NULL ORDER BY Col1 DESC LIMIT 20"", 0))
    )
  ), 
"""")"),2.30720515E7)</f>
        <v>23072051.5</v>
      </c>
      <c r="K179" s="21">
        <f>IFERROR(__xludf.DUMMYFUNCTION("IFERROR(GOOGLEFINANCE(C179, ""changepct"") / 100, """")"),0.018000000000000002)</f>
        <v>0.018</v>
      </c>
      <c r="L179" s="21" t="str">
        <f>IFERROR(__xludf.DUMMYFUNCTION("IFERROR((GOOGLEFINANCE(C179, ""price"") / INDEX(GOOGLEFINANCE(C179, ""price"", TODAY()-7, TODAY()), 2, 2)) - 1, """")"),"")</f>
        <v/>
      </c>
      <c r="M179" s="21" t="str">
        <f>IFERROR(__xludf.DUMMYFUNCTION("IFERROR((GOOGLEFINANCE(C179, ""price"") / INDEX(GOOGLEFINANCE(C179, ""price"", EDATE(TODAY(), -1), TODAY()), 2, 2)) - 1, """")"),"")</f>
        <v/>
      </c>
      <c r="N179" s="21" t="str">
        <f>IFERROR(__xludf.DUMMYFUNCTION("IFERROR((GOOGLEFINANCE(C179, ""price"") / INDEX(GOOGLEFINANCE(C179, ""price"", EDATE(TODAY(), -3), TODAY()), 2, 2)) - 1, """")"),"")</f>
        <v/>
      </c>
      <c r="O179" s="21" t="str">
        <f>IFERROR(__xludf.DUMMYFUNCTION("IFERROR((GOOGLEFINANCE(C179, ""price"") / INDEX(GOOGLEFINANCE(C179, ""price"", EDATE(TODAY(), -6), TODAY()), 2, 2)) - 1, """")"),"")</f>
        <v/>
      </c>
      <c r="P179" s="21" t="str">
        <f>IFERROR(__xludf.DUMMYFUNCTION("IFERROR((GOOGLEFINANCE(C179, ""price"") / INDEX(GOOGLEFINANCE(C179, ""price"", EDATE(TODAY(), -12), TODAY()), 2, 2)) - 1, """")"),"")</f>
        <v/>
      </c>
      <c r="Q179" s="6" t="str">
        <f>IFERROR(__xludf.DUMMYFUNCTION("AVERAGE(QUERY(GOOGLEFINANCE(C179, ""price"", TODAY()-80, TODAY()), ""SELECT Col2 WHERE Col2 IS NOT NULL ORDER BY Col1 DESC LIMIT 50"", 0))"),"#N/A")</f>
        <v>#N/A</v>
      </c>
      <c r="R179" s="24" t="str">
        <f>IFERROR(__xludf.DUMMYFUNCTION("IFERROR(
  LET(
    data, QUERY(GOOGLEFINANCE(C179,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GOOGLEFINANCE(C179, ""price"")) * 100,
    IF(calc=0, G179, calc)
  ), 
G179)"),"#N/A")</f>
        <v>#N/A</v>
      </c>
      <c r="S179" s="8" t="s">
        <v>15</v>
      </c>
      <c r="T179" s="26" t="str">
        <f>IFERROR(__xludf.DUMMYFUNCTION("IFERROR(TRANSPOSE(QUERY(IFERROR(SORT(GOOGLEFINANCE(C179, ""price"", WORKDAY(TODAY(), -40), TODAY()), 1, FALSE)), ""select Col2 where Col2 is not null limit 22 label Col2 ''"", 0)), """")"),"")</f>
        <v/>
      </c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8"/>
      <c r="AO179" s="28"/>
      <c r="AP179" s="29"/>
      <c r="AQ179" s="29" t="str">
        <f t="shared" ref="AQ179:BL179" si="183">T179/T$2</f>
        <v>#N/A</v>
      </c>
      <c r="AR179" s="29" t="str">
        <f t="shared" si="183"/>
        <v>#DIV/0!</v>
      </c>
      <c r="AS179" s="29" t="str">
        <f t="shared" si="183"/>
        <v>#DIV/0!</v>
      </c>
      <c r="AT179" s="29" t="str">
        <f t="shared" si="183"/>
        <v>#DIV/0!</v>
      </c>
      <c r="AU179" s="29" t="str">
        <f t="shared" si="183"/>
        <v>#DIV/0!</v>
      </c>
      <c r="AV179" s="29" t="str">
        <f t="shared" si="183"/>
        <v>#DIV/0!</v>
      </c>
      <c r="AW179" s="29" t="str">
        <f t="shared" si="183"/>
        <v>#DIV/0!</v>
      </c>
      <c r="AX179" s="29" t="str">
        <f t="shared" si="183"/>
        <v>#DIV/0!</v>
      </c>
      <c r="AY179" s="29" t="str">
        <f t="shared" si="183"/>
        <v>#DIV/0!</v>
      </c>
      <c r="AZ179" s="29" t="str">
        <f t="shared" si="183"/>
        <v>#DIV/0!</v>
      </c>
      <c r="BA179" s="29" t="str">
        <f t="shared" si="183"/>
        <v>#DIV/0!</v>
      </c>
      <c r="BB179" s="29" t="str">
        <f t="shared" si="183"/>
        <v>#DIV/0!</v>
      </c>
      <c r="BC179" s="29" t="str">
        <f t="shared" si="183"/>
        <v>#DIV/0!</v>
      </c>
      <c r="BD179" s="29" t="str">
        <f t="shared" si="183"/>
        <v>#DIV/0!</v>
      </c>
      <c r="BE179" s="29" t="str">
        <f t="shared" si="183"/>
        <v>#DIV/0!</v>
      </c>
      <c r="BF179" s="29" t="str">
        <f t="shared" si="183"/>
        <v>#DIV/0!</v>
      </c>
      <c r="BG179" s="29" t="str">
        <f t="shared" si="183"/>
        <v>#DIV/0!</v>
      </c>
      <c r="BH179" s="29" t="str">
        <f t="shared" si="183"/>
        <v>#DIV/0!</v>
      </c>
      <c r="BI179" s="29" t="str">
        <f t="shared" si="183"/>
        <v>#DIV/0!</v>
      </c>
      <c r="BJ179" s="29" t="str">
        <f t="shared" si="183"/>
        <v>#DIV/0!</v>
      </c>
      <c r="BK179" s="29" t="str">
        <f t="shared" si="183"/>
        <v>#DIV/0!</v>
      </c>
      <c r="BL179" s="29" t="str">
        <f t="shared" si="183"/>
        <v>#DIV/0!</v>
      </c>
      <c r="BM179" s="29" t="str">
        <f t="shared" si="3"/>
        <v>#DIV/0!</v>
      </c>
    </row>
    <row r="180">
      <c r="A180" s="16" t="str">
        <f>IFERROR(__xludf.DUMMYFUNCTION("IFERROR(SPARKLINE(SORT(MAP(TRANSPOSE(AQ180:BL180), LAMBDA(val, IF(ISNUMBER(val), PERCENTRANK(AQ180:BL180, val)+0.01, 0))), SEQUENCE(COLUMNS(AQ180:BL180)), FALSE), {""charttype"",""column""; ""color"",""chartreuse""; ""ymin"", 0; ""ymax"", 1.01; ""highcolo"&amp;"r"", ""darkgreen""; ""lowcolor"", ""red""}), """")"),"")</f>
        <v/>
      </c>
      <c r="B180" s="17" t="str">
        <f t="shared" si="4"/>
        <v/>
      </c>
      <c r="C180" s="1" t="s">
        <v>3351</v>
      </c>
      <c r="D180" s="30" t="str">
        <f>IFERROR(__xludf.DUMMYFUNCTION("IFERROR(GOOGLEFINANCE(C180, ""NAME""))"),"Stepan Co")</f>
        <v>Stepan Co</v>
      </c>
      <c r="E180" s="30" t="s">
        <v>2995</v>
      </c>
      <c r="F180" s="33" t="str">
        <f>IFERROR(__xludf.DUMMYFUNCTION("( (GOOGLEFINANCE(C180, ""price"") - Q180) / Q180 ) / (R180 / 100)"),"Loading...")</f>
        <v>Loading...</v>
      </c>
      <c r="G180" s="20" t="str">
        <f>IFERROR(__xludf.DUMMYFUNCTION("AVERAGE(ARRAYFORMULA(100 * (QUERY(GOOGLEFINANCE(C180, ""high"", TODAY()-40, TODAY()), ""SELECT Col2 WHERE Col2 IS NOT NULL ORDER BY Col1 DESC LIMIT 20"", 0) / QUERY(GOOGLEFINANCE(C180, ""low"", TODAY()-40, TODAY()), ""SELECT Col2 WHERE Col2 IS NOT NULL OR"&amp;"DER BY Col1 DESC LIMIT 20"", 0) - 1)))"),"#N/A")</f>
        <v>#N/A</v>
      </c>
      <c r="H180" s="35" t="str">
        <f t="shared" si="35"/>
        <v>Illiquid</v>
      </c>
      <c r="I180" s="35" t="str">
        <f t="shared" si="7"/>
        <v>RVol Required</v>
      </c>
      <c r="J180" s="37">
        <f>IFERROR(__xludf.DUMMYFUNCTION("IFERROR(
  IF(C180="""",, 
    IFERROR(
      GOOGLEFINANCE(C180, ""price"") * GOOGLEFINANCE(C180, ""volumeavg""), 
      GOOGLEFINANCE(C180, ""price"") * AVERAGE(QUERY(GOOGLEFINANCE(C180, ""volume"", TODAY()-40, TODAY()), ""SELECT Col2 WHERE Col2 IS NOT "&amp;"NULL ORDER BY Col1 DESC LIMIT 20"", 0))
    )
  ), 
"""")"),9530847.47)</f>
        <v>9530847.47</v>
      </c>
      <c r="K180" s="21">
        <f>IFERROR(__xludf.DUMMYFUNCTION("IFERROR(GOOGLEFINANCE(C180, ""changepct"") / 100, """")"),0.0026)</f>
        <v>0.0026</v>
      </c>
      <c r="L180" s="21" t="str">
        <f>IFERROR(__xludf.DUMMYFUNCTION("IFERROR((GOOGLEFINANCE(C180, ""price"") / INDEX(GOOGLEFINANCE(C180, ""price"", TODAY()-7, TODAY()), 2, 2)) - 1, """")"),"")</f>
        <v/>
      </c>
      <c r="M180" s="21" t="str">
        <f>IFERROR(__xludf.DUMMYFUNCTION("IFERROR((GOOGLEFINANCE(C180, ""price"") / INDEX(GOOGLEFINANCE(C180, ""price"", EDATE(TODAY(), -1), TODAY()), 2, 2)) - 1, """")"),"")</f>
        <v/>
      </c>
      <c r="N180" s="21" t="str">
        <f>IFERROR(__xludf.DUMMYFUNCTION("IFERROR((GOOGLEFINANCE(C180, ""price"") / INDEX(GOOGLEFINANCE(C180, ""price"", EDATE(TODAY(), -3), TODAY()), 2, 2)) - 1, """")"),"")</f>
        <v/>
      </c>
      <c r="O180" s="21" t="str">
        <f>IFERROR(__xludf.DUMMYFUNCTION("IFERROR((GOOGLEFINANCE(C180, ""price"") / INDEX(GOOGLEFINANCE(C180, ""price"", EDATE(TODAY(), -6), TODAY()), 2, 2)) - 1, """")"),"")</f>
        <v/>
      </c>
      <c r="P180" s="21" t="str">
        <f>IFERROR(__xludf.DUMMYFUNCTION("IFERROR((GOOGLEFINANCE(C180, ""price"") / INDEX(GOOGLEFINANCE(C180, ""price"", EDATE(TODAY(), -12), TODAY()), 2, 2)) - 1, """")"),"")</f>
        <v/>
      </c>
      <c r="Q180" s="6" t="str">
        <f>IFERROR(__xludf.DUMMYFUNCTION("AVERAGE(QUERY(GOOGLEFINANCE(C180, ""price"", TODAY()-80, TODAY()), ""SELECT Col2 WHERE Col2 IS NOT NULL ORDER BY Col1 DESC LIMIT 50"", 0))"),"#N/A")</f>
        <v>#N/A</v>
      </c>
      <c r="R180" s="24" t="str">
        <f>IFERROR(__xludf.DUMMYFUNCTION("IFERROR(
  LET(
    data, QUERY(GOOGLEFINANCE(C180,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GOOGLEFINANCE(C180, ""price"")) * 100,
    IF(calc=0, G180, calc)
  ), 
G180)"),"#N/A")</f>
        <v>#N/A</v>
      </c>
      <c r="S180" s="8" t="s">
        <v>15</v>
      </c>
      <c r="T180" s="26" t="str">
        <f>IFERROR(__xludf.DUMMYFUNCTION("IFERROR(TRANSPOSE(QUERY(IFERROR(SORT(GOOGLEFINANCE(C180, ""price"", WORKDAY(TODAY(), -40), TODAY()), 1, FALSE)), ""select Col2 where Col2 is not null limit 22 label Col2 ''"", 0)), """")"),"")</f>
        <v/>
      </c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8"/>
      <c r="AO180" s="28"/>
      <c r="AP180" s="29"/>
      <c r="AQ180" s="29" t="str">
        <f t="shared" ref="AQ180:BL180" si="184">T180/T$2</f>
        <v>#N/A</v>
      </c>
      <c r="AR180" s="29" t="str">
        <f t="shared" si="184"/>
        <v>#DIV/0!</v>
      </c>
      <c r="AS180" s="29" t="str">
        <f t="shared" si="184"/>
        <v>#DIV/0!</v>
      </c>
      <c r="AT180" s="29" t="str">
        <f t="shared" si="184"/>
        <v>#DIV/0!</v>
      </c>
      <c r="AU180" s="29" t="str">
        <f t="shared" si="184"/>
        <v>#DIV/0!</v>
      </c>
      <c r="AV180" s="29" t="str">
        <f t="shared" si="184"/>
        <v>#DIV/0!</v>
      </c>
      <c r="AW180" s="29" t="str">
        <f t="shared" si="184"/>
        <v>#DIV/0!</v>
      </c>
      <c r="AX180" s="29" t="str">
        <f t="shared" si="184"/>
        <v>#DIV/0!</v>
      </c>
      <c r="AY180" s="29" t="str">
        <f t="shared" si="184"/>
        <v>#DIV/0!</v>
      </c>
      <c r="AZ180" s="29" t="str">
        <f t="shared" si="184"/>
        <v>#DIV/0!</v>
      </c>
      <c r="BA180" s="29" t="str">
        <f t="shared" si="184"/>
        <v>#DIV/0!</v>
      </c>
      <c r="BB180" s="29" t="str">
        <f t="shared" si="184"/>
        <v>#DIV/0!</v>
      </c>
      <c r="BC180" s="29" t="str">
        <f t="shared" si="184"/>
        <v>#DIV/0!</v>
      </c>
      <c r="BD180" s="29" t="str">
        <f t="shared" si="184"/>
        <v>#DIV/0!</v>
      </c>
      <c r="BE180" s="29" t="str">
        <f t="shared" si="184"/>
        <v>#DIV/0!</v>
      </c>
      <c r="BF180" s="29" t="str">
        <f t="shared" si="184"/>
        <v>#DIV/0!</v>
      </c>
      <c r="BG180" s="29" t="str">
        <f t="shared" si="184"/>
        <v>#DIV/0!</v>
      </c>
      <c r="BH180" s="29" t="str">
        <f t="shared" si="184"/>
        <v>#DIV/0!</v>
      </c>
      <c r="BI180" s="29" t="str">
        <f t="shared" si="184"/>
        <v>#DIV/0!</v>
      </c>
      <c r="BJ180" s="29" t="str">
        <f t="shared" si="184"/>
        <v>#DIV/0!</v>
      </c>
      <c r="BK180" s="29" t="str">
        <f t="shared" si="184"/>
        <v>#DIV/0!</v>
      </c>
      <c r="BL180" s="29" t="str">
        <f t="shared" si="184"/>
        <v>#DIV/0!</v>
      </c>
      <c r="BM180" s="29" t="str">
        <f t="shared" si="3"/>
        <v>#DIV/0!</v>
      </c>
    </row>
    <row r="181">
      <c r="A181" s="16" t="str">
        <f>IFERROR(__xludf.DUMMYFUNCTION("IFERROR(SPARKLINE(SORT(MAP(TRANSPOSE(AQ181:BL181), LAMBDA(val, IF(ISNUMBER(val), PERCENTRANK(AQ181:BL181, val)+0.01, 0))), SEQUENCE(COLUMNS(AQ181:BL181)), FALSE), {""charttype"",""column""; ""color"",""chartreuse""; ""ymin"", 0; ""ymax"", 1.01; ""highcolo"&amp;"r"", ""darkgreen""; ""lowcolor"", ""red""}), """")"),"")</f>
        <v/>
      </c>
      <c r="B181" s="17" t="str">
        <f t="shared" si="4"/>
        <v/>
      </c>
      <c r="C181" s="1" t="s">
        <v>3352</v>
      </c>
      <c r="D181" s="30" t="str">
        <f>IFERROR(__xludf.DUMMYFUNCTION("IFERROR(GOOGLEFINANCE(C181, ""NAME""))"),"Nouveau Monde Graphite Inc")</f>
        <v>Nouveau Monde Graphite Inc</v>
      </c>
      <c r="E181" s="30" t="s">
        <v>2935</v>
      </c>
      <c r="F181" s="33" t="str">
        <f>IFERROR(__xludf.DUMMYFUNCTION("( (GOOGLEFINANCE(C181, ""price"") - Q181) / Q181 ) / (R181 / 100)"),"Loading...")</f>
        <v>Loading...</v>
      </c>
      <c r="G181" s="20" t="str">
        <f>IFERROR(__xludf.DUMMYFUNCTION("AVERAGE(ARRAYFORMULA(100 * (QUERY(GOOGLEFINANCE(C181, ""high"", TODAY()-40, TODAY()), ""SELECT Col2 WHERE Col2 IS NOT NULL ORDER BY Col1 DESC LIMIT 20"", 0) / QUERY(GOOGLEFINANCE(C181, ""low"", TODAY()-40, TODAY()), ""SELECT Col2 WHERE Col2 IS NOT NULL OR"&amp;"DER BY Col1 DESC LIMIT 20"", 0) - 1)))"),"#N/A")</f>
        <v>#N/A</v>
      </c>
      <c r="H181" s="35" t="str">
        <f t="shared" si="35"/>
        <v>Illiquid</v>
      </c>
      <c r="I181" s="35" t="str">
        <f t="shared" si="7"/>
        <v>RVol Required</v>
      </c>
      <c r="J181" s="37">
        <f>IFERROR(__xludf.DUMMYFUNCTION("IFERROR(
  IF(C181="""",, 
    IFERROR(
      GOOGLEFINANCE(C181, ""price"") * GOOGLEFINANCE(C181, ""volumeavg""), 
      GOOGLEFINANCE(C181, ""price"") * AVERAGE(QUERY(GOOGLEFINANCE(C181, ""volume"", TODAY()-40, TODAY()), ""SELECT Col2 WHERE Col2 IS NOT "&amp;"NULL ORDER BY Col1 DESC LIMIT 20"", 0))
    )
  ), 
"""")"),432384.01999999996)</f>
        <v>432384.02</v>
      </c>
      <c r="K181" s="21">
        <f>IFERROR(__xludf.DUMMYFUNCTION("IFERROR(GOOGLEFINANCE(C181, ""changepct"") / 100, """")"),-0.0355)</f>
        <v>-0.0355</v>
      </c>
      <c r="L181" s="21" t="str">
        <f>IFERROR(__xludf.DUMMYFUNCTION("IFERROR((GOOGLEFINANCE(C181, ""price"") / INDEX(GOOGLEFINANCE(C181, ""price"", TODAY()-7, TODAY()), 2, 2)) - 1, """")"),"")</f>
        <v/>
      </c>
      <c r="M181" s="21" t="str">
        <f>IFERROR(__xludf.DUMMYFUNCTION("IFERROR((GOOGLEFINANCE(C181, ""price"") / INDEX(GOOGLEFINANCE(C181, ""price"", EDATE(TODAY(), -1), TODAY()), 2, 2)) - 1, """")"),"")</f>
        <v/>
      </c>
      <c r="N181" s="21" t="str">
        <f>IFERROR(__xludf.DUMMYFUNCTION("IFERROR((GOOGLEFINANCE(C181, ""price"") / INDEX(GOOGLEFINANCE(C181, ""price"", EDATE(TODAY(), -3), TODAY()), 2, 2)) - 1, """")"),"")</f>
        <v/>
      </c>
      <c r="O181" s="21" t="str">
        <f>IFERROR(__xludf.DUMMYFUNCTION("IFERROR((GOOGLEFINANCE(C181, ""price"") / INDEX(GOOGLEFINANCE(C181, ""price"", EDATE(TODAY(), -6), TODAY()), 2, 2)) - 1, """")"),"")</f>
        <v/>
      </c>
      <c r="P181" s="21" t="str">
        <f>IFERROR(__xludf.DUMMYFUNCTION("IFERROR((GOOGLEFINANCE(C181, ""price"") / INDEX(GOOGLEFINANCE(C181, ""price"", EDATE(TODAY(), -12), TODAY()), 2, 2)) - 1, """")"),"")</f>
        <v/>
      </c>
      <c r="Q181" s="6" t="str">
        <f>IFERROR(__xludf.DUMMYFUNCTION("AVERAGE(QUERY(GOOGLEFINANCE(C181, ""price"", TODAY()-80, TODAY()), ""SELECT Col2 WHERE Col2 IS NOT NULL ORDER BY Col1 DESC LIMIT 50"", 0))"),"#N/A")</f>
        <v>#N/A</v>
      </c>
      <c r="R181" s="24" t="str">
        <f>IFERROR(__xludf.DUMMYFUNCTION("IFERROR(
  LET(
    data, QUERY(GOOGLEFINANCE(C181,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GOOGLEFINANCE(C181, ""price"")) * 100,
    IF(calc=0, G181, calc)
  ), 
G181)"),"#N/A")</f>
        <v>#N/A</v>
      </c>
      <c r="S181" s="8" t="s">
        <v>15</v>
      </c>
      <c r="T181" s="26" t="str">
        <f>IFERROR(__xludf.DUMMYFUNCTION("IFERROR(TRANSPOSE(QUERY(IFERROR(SORT(GOOGLEFINANCE(C181, ""price"", WORKDAY(TODAY(), -40), TODAY()), 1, FALSE)), ""select Col2 where Col2 is not null limit 22 label Col2 ''"", 0)), """")"),"")</f>
        <v/>
      </c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8"/>
      <c r="AO181" s="28"/>
      <c r="AP181" s="29"/>
      <c r="AQ181" s="29" t="str">
        <f t="shared" ref="AQ181:BL181" si="185">T181/T$2</f>
        <v>#N/A</v>
      </c>
      <c r="AR181" s="29" t="str">
        <f t="shared" si="185"/>
        <v>#DIV/0!</v>
      </c>
      <c r="AS181" s="29" t="str">
        <f t="shared" si="185"/>
        <v>#DIV/0!</v>
      </c>
      <c r="AT181" s="29" t="str">
        <f t="shared" si="185"/>
        <v>#DIV/0!</v>
      </c>
      <c r="AU181" s="29" t="str">
        <f t="shared" si="185"/>
        <v>#DIV/0!</v>
      </c>
      <c r="AV181" s="29" t="str">
        <f t="shared" si="185"/>
        <v>#DIV/0!</v>
      </c>
      <c r="AW181" s="29" t="str">
        <f t="shared" si="185"/>
        <v>#DIV/0!</v>
      </c>
      <c r="AX181" s="29" t="str">
        <f t="shared" si="185"/>
        <v>#DIV/0!</v>
      </c>
      <c r="AY181" s="29" t="str">
        <f t="shared" si="185"/>
        <v>#DIV/0!</v>
      </c>
      <c r="AZ181" s="29" t="str">
        <f t="shared" si="185"/>
        <v>#DIV/0!</v>
      </c>
      <c r="BA181" s="29" t="str">
        <f t="shared" si="185"/>
        <v>#DIV/0!</v>
      </c>
      <c r="BB181" s="29" t="str">
        <f t="shared" si="185"/>
        <v>#DIV/0!</v>
      </c>
      <c r="BC181" s="29" t="str">
        <f t="shared" si="185"/>
        <v>#DIV/0!</v>
      </c>
      <c r="BD181" s="29" t="str">
        <f t="shared" si="185"/>
        <v>#DIV/0!</v>
      </c>
      <c r="BE181" s="29" t="str">
        <f t="shared" si="185"/>
        <v>#DIV/0!</v>
      </c>
      <c r="BF181" s="29" t="str">
        <f t="shared" si="185"/>
        <v>#DIV/0!</v>
      </c>
      <c r="BG181" s="29" t="str">
        <f t="shared" si="185"/>
        <v>#DIV/0!</v>
      </c>
      <c r="BH181" s="29" t="str">
        <f t="shared" si="185"/>
        <v>#DIV/0!</v>
      </c>
      <c r="BI181" s="29" t="str">
        <f t="shared" si="185"/>
        <v>#DIV/0!</v>
      </c>
      <c r="BJ181" s="29" t="str">
        <f t="shared" si="185"/>
        <v>#DIV/0!</v>
      </c>
      <c r="BK181" s="29" t="str">
        <f t="shared" si="185"/>
        <v>#DIV/0!</v>
      </c>
      <c r="BL181" s="29" t="str">
        <f t="shared" si="185"/>
        <v>#DIV/0!</v>
      </c>
      <c r="BM181" s="29" t="str">
        <f t="shared" si="3"/>
        <v>#DIV/0!</v>
      </c>
    </row>
    <row r="182">
      <c r="A182" s="16" t="str">
        <f>IFERROR(__xludf.DUMMYFUNCTION("IFERROR(SPARKLINE(SORT(MAP(TRANSPOSE(AQ182:BL182), LAMBDA(val, IF(ISNUMBER(val), PERCENTRANK(AQ182:BL182, val)+0.01, 0))), SEQUENCE(COLUMNS(AQ182:BL182)), FALSE), {""charttype"",""column""; ""color"",""chartreuse""; ""ymin"", 0; ""ymax"", 1.01; ""highcolo"&amp;"r"", ""darkgreen""; ""lowcolor"", ""red""}), """")"),"")</f>
        <v/>
      </c>
      <c r="B182" s="17" t="str">
        <f t="shared" si="4"/>
        <v/>
      </c>
      <c r="C182" s="1" t="s">
        <v>3353</v>
      </c>
      <c r="D182" s="30" t="str">
        <f>IFERROR(__xludf.DUMMYFUNCTION("IFERROR(GOOGLEFINANCE(C182, ""NAME""))"),"Cementos Pacasmayo SAA - ADR")</f>
        <v>Cementos Pacasmayo SAA - ADR</v>
      </c>
      <c r="E182" s="30" t="s">
        <v>3098</v>
      </c>
      <c r="F182" s="33" t="str">
        <f>IFERROR(__xludf.DUMMYFUNCTION("( (GOOGLEFINANCE(C182, ""price"") - Q182) / Q182 ) / (R182 / 100)"),"Loading...")</f>
        <v>Loading...</v>
      </c>
      <c r="G182" s="20" t="str">
        <f>IFERROR(__xludf.DUMMYFUNCTION("AVERAGE(ARRAYFORMULA(100 * (QUERY(GOOGLEFINANCE(C182, ""high"", TODAY()-40, TODAY()), ""SELECT Col2 WHERE Col2 IS NOT NULL ORDER BY Col1 DESC LIMIT 20"", 0) / QUERY(GOOGLEFINANCE(C182, ""low"", TODAY()-40, TODAY()), ""SELECT Col2 WHERE Col2 IS NOT NULL OR"&amp;"DER BY Col1 DESC LIMIT 20"", 0) - 1)))"),"#N/A")</f>
        <v>#N/A</v>
      </c>
      <c r="H182" s="35" t="str">
        <f t="shared" si="35"/>
        <v>Illiquid</v>
      </c>
      <c r="I182" s="35" t="str">
        <f t="shared" si="7"/>
        <v>RVol Required</v>
      </c>
      <c r="J182" s="37">
        <f>IFERROR(__xludf.DUMMYFUNCTION("IFERROR(
  IF(C182="""",, 
    IFERROR(
      GOOGLEFINANCE(C182, ""price"") * GOOGLEFINANCE(C182, ""volumeavg""), 
      GOOGLEFINANCE(C182, ""price"") * AVERAGE(QUERY(GOOGLEFINANCE(C182, ""volume"", TODAY()-40, TODAY()), ""SELECT Col2 WHERE Col2 IS NOT "&amp;"NULL ORDER BY Col1 DESC LIMIT 20"", 0))
    )
  ), 
"""")"),563752.7999999999)</f>
        <v>563752.8</v>
      </c>
      <c r="K182" s="21">
        <f>IFERROR(__xludf.DUMMYFUNCTION("IFERROR(GOOGLEFINANCE(C182, ""changepct"") / 100, """")"),8.0E-4)</f>
        <v>0.0008</v>
      </c>
      <c r="L182" s="21" t="str">
        <f>IFERROR(__xludf.DUMMYFUNCTION("IFERROR((GOOGLEFINANCE(C182, ""price"") / INDEX(GOOGLEFINANCE(C182, ""price"", TODAY()-7, TODAY()), 2, 2)) - 1, """")"),"")</f>
        <v/>
      </c>
      <c r="M182" s="21" t="str">
        <f>IFERROR(__xludf.DUMMYFUNCTION("IFERROR((GOOGLEFINANCE(C182, ""price"") / INDEX(GOOGLEFINANCE(C182, ""price"", EDATE(TODAY(), -1), TODAY()), 2, 2)) - 1, """")"),"")</f>
        <v/>
      </c>
      <c r="N182" s="21" t="str">
        <f>IFERROR(__xludf.DUMMYFUNCTION("IFERROR((GOOGLEFINANCE(C182, ""price"") / INDEX(GOOGLEFINANCE(C182, ""price"", EDATE(TODAY(), -3), TODAY()), 2, 2)) - 1, """")"),"")</f>
        <v/>
      </c>
      <c r="O182" s="21" t="str">
        <f>IFERROR(__xludf.DUMMYFUNCTION("IFERROR((GOOGLEFINANCE(C182, ""price"") / INDEX(GOOGLEFINANCE(C182, ""price"", EDATE(TODAY(), -6), TODAY()), 2, 2)) - 1, """")"),"")</f>
        <v/>
      </c>
      <c r="P182" s="21" t="str">
        <f>IFERROR(__xludf.DUMMYFUNCTION("IFERROR((GOOGLEFINANCE(C182, ""price"") / INDEX(GOOGLEFINANCE(C182, ""price"", EDATE(TODAY(), -12), TODAY()), 2, 2)) - 1, """")"),"")</f>
        <v/>
      </c>
      <c r="Q182" s="6" t="str">
        <f>IFERROR(__xludf.DUMMYFUNCTION("AVERAGE(QUERY(GOOGLEFINANCE(C182, ""price"", TODAY()-80, TODAY()), ""SELECT Col2 WHERE Col2 IS NOT NULL ORDER BY Col1 DESC LIMIT 50"", 0))"),"#N/A")</f>
        <v>#N/A</v>
      </c>
      <c r="R182" s="24" t="str">
        <f>IFERROR(__xludf.DUMMYFUNCTION("IFERROR(
  LET(
    data, QUERY(GOOGLEFINANCE(C182,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GOOGLEFINANCE(C182, ""price"")) * 100,
    IF(calc=0, G182, calc)
  ), 
G182)"),"#N/A")</f>
        <v>#N/A</v>
      </c>
      <c r="S182" s="8" t="s">
        <v>15</v>
      </c>
      <c r="T182" s="26" t="str">
        <f>IFERROR(__xludf.DUMMYFUNCTION("IFERROR(TRANSPOSE(QUERY(IFERROR(SORT(GOOGLEFINANCE(C182, ""price"", WORKDAY(TODAY(), -40), TODAY()), 1, FALSE)), ""select Col2 where Col2 is not null limit 22 label Col2 ''"", 0)), """")"),"")</f>
        <v/>
      </c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8"/>
      <c r="AO182" s="28"/>
      <c r="AP182" s="29"/>
      <c r="AQ182" s="29" t="str">
        <f t="shared" ref="AQ182:BL182" si="186">T182/T$2</f>
        <v>#N/A</v>
      </c>
      <c r="AR182" s="29" t="str">
        <f t="shared" si="186"/>
        <v>#DIV/0!</v>
      </c>
      <c r="AS182" s="29" t="str">
        <f t="shared" si="186"/>
        <v>#DIV/0!</v>
      </c>
      <c r="AT182" s="29" t="str">
        <f t="shared" si="186"/>
        <v>#DIV/0!</v>
      </c>
      <c r="AU182" s="29" t="str">
        <f t="shared" si="186"/>
        <v>#DIV/0!</v>
      </c>
      <c r="AV182" s="29" t="str">
        <f t="shared" si="186"/>
        <v>#DIV/0!</v>
      </c>
      <c r="AW182" s="29" t="str">
        <f t="shared" si="186"/>
        <v>#DIV/0!</v>
      </c>
      <c r="AX182" s="29" t="str">
        <f t="shared" si="186"/>
        <v>#DIV/0!</v>
      </c>
      <c r="AY182" s="29" t="str">
        <f t="shared" si="186"/>
        <v>#DIV/0!</v>
      </c>
      <c r="AZ182" s="29" t="str">
        <f t="shared" si="186"/>
        <v>#DIV/0!</v>
      </c>
      <c r="BA182" s="29" t="str">
        <f t="shared" si="186"/>
        <v>#DIV/0!</v>
      </c>
      <c r="BB182" s="29" t="str">
        <f t="shared" si="186"/>
        <v>#DIV/0!</v>
      </c>
      <c r="BC182" s="29" t="str">
        <f t="shared" si="186"/>
        <v>#DIV/0!</v>
      </c>
      <c r="BD182" s="29" t="str">
        <f t="shared" si="186"/>
        <v>#DIV/0!</v>
      </c>
      <c r="BE182" s="29" t="str">
        <f t="shared" si="186"/>
        <v>#DIV/0!</v>
      </c>
      <c r="BF182" s="29" t="str">
        <f t="shared" si="186"/>
        <v>#DIV/0!</v>
      </c>
      <c r="BG182" s="29" t="str">
        <f t="shared" si="186"/>
        <v>#DIV/0!</v>
      </c>
      <c r="BH182" s="29" t="str">
        <f t="shared" si="186"/>
        <v>#DIV/0!</v>
      </c>
      <c r="BI182" s="29" t="str">
        <f t="shared" si="186"/>
        <v>#DIV/0!</v>
      </c>
      <c r="BJ182" s="29" t="str">
        <f t="shared" si="186"/>
        <v>#DIV/0!</v>
      </c>
      <c r="BK182" s="29" t="str">
        <f t="shared" si="186"/>
        <v>#DIV/0!</v>
      </c>
      <c r="BL182" s="29" t="str">
        <f t="shared" si="186"/>
        <v>#DIV/0!</v>
      </c>
      <c r="BM182" s="29" t="str">
        <f t="shared" si="3"/>
        <v>#DIV/0!</v>
      </c>
    </row>
    <row r="183">
      <c r="A183" s="16" t="str">
        <f>IFERROR(__xludf.DUMMYFUNCTION("IFERROR(SPARKLINE(SORT(MAP(TRANSPOSE(AQ183:BL183), LAMBDA(val, IF(ISNUMBER(val), PERCENTRANK(AQ183:BL183, val)+0.01, 0))), SEQUENCE(COLUMNS(AQ183:BL183)), FALSE), {""charttype"",""column""; ""color"",""chartreuse""; ""ymin"", 0; ""ymax"", 1.01; ""highcolo"&amp;"r"", ""darkgreen""; ""lowcolor"", ""red""}), """")"),"")</f>
        <v/>
      </c>
      <c r="B183" s="17" t="str">
        <f t="shared" si="4"/>
        <v/>
      </c>
      <c r="C183" s="1" t="s">
        <v>3354</v>
      </c>
      <c r="D183" s="30" t="str">
        <f>IFERROR(__xludf.DUMMYFUNCTION("IFERROR(GOOGLEFINANCE(C183, ""NAME""))"),"Tronox Holdings PLC")</f>
        <v>Tronox Holdings PLC</v>
      </c>
      <c r="E183" s="30" t="s">
        <v>3035</v>
      </c>
      <c r="F183" s="33" t="str">
        <f>IFERROR(__xludf.DUMMYFUNCTION("( (GOOGLEFINANCE(C183, ""price"") - Q183) / Q183 ) / (R183 / 100)"),"Loading...")</f>
        <v>Loading...</v>
      </c>
      <c r="G183" s="20" t="str">
        <f>IFERROR(__xludf.DUMMYFUNCTION("AVERAGE(ARRAYFORMULA(100 * (QUERY(GOOGLEFINANCE(C183, ""high"", TODAY()-40, TODAY()), ""SELECT Col2 WHERE Col2 IS NOT NULL ORDER BY Col1 DESC LIMIT 20"", 0) / QUERY(GOOGLEFINANCE(C183, ""low"", TODAY()-40, TODAY()), ""SELECT Col2 WHERE Col2 IS NOT NULL OR"&amp;"DER BY Col1 DESC LIMIT 20"", 0) - 1)))"),"#N/A")</f>
        <v>#N/A</v>
      </c>
      <c r="H183" s="35" t="str">
        <f t="shared" si="35"/>
        <v>Illiquid</v>
      </c>
      <c r="I183" s="35" t="str">
        <f t="shared" si="7"/>
        <v>RVol Required</v>
      </c>
      <c r="J183" s="37">
        <f>IFERROR(__xludf.DUMMYFUNCTION("IFERROR(
  IF(C183="""",, 
    IFERROR(
      GOOGLEFINANCE(C183, ""price"") * GOOGLEFINANCE(C183, ""volumeavg""), 
      GOOGLEFINANCE(C183, ""price"") * AVERAGE(QUERY(GOOGLEFINANCE(C183, ""volume"", TODAY()-40, TODAY()), ""SELECT Col2 WHERE Col2 IS NOT "&amp;"NULL ORDER BY Col1 DESC LIMIT 20"", 0))
    )
  ), 
"""")"),7796194.74)</f>
        <v>7796194.74</v>
      </c>
      <c r="K183" s="21">
        <f>IFERROR(__xludf.DUMMYFUNCTION("IFERROR(GOOGLEFINANCE(C183, ""changepct"") / 100, """")"),-0.019799999999999998)</f>
        <v>-0.0198</v>
      </c>
      <c r="L183" s="21" t="str">
        <f>IFERROR(__xludf.DUMMYFUNCTION("IFERROR((GOOGLEFINANCE(C183, ""price"") / INDEX(GOOGLEFINANCE(C183, ""price"", TODAY()-7, TODAY()), 2, 2)) - 1, """")"),"")</f>
        <v/>
      </c>
      <c r="M183" s="21" t="str">
        <f>IFERROR(__xludf.DUMMYFUNCTION("IFERROR((GOOGLEFINANCE(C183, ""price"") / INDEX(GOOGLEFINANCE(C183, ""price"", EDATE(TODAY(), -1), TODAY()), 2, 2)) - 1, """")"),"")</f>
        <v/>
      </c>
      <c r="N183" s="21" t="str">
        <f>IFERROR(__xludf.DUMMYFUNCTION("IFERROR((GOOGLEFINANCE(C183, ""price"") / INDEX(GOOGLEFINANCE(C183, ""price"", EDATE(TODAY(), -3), TODAY()), 2, 2)) - 1, """")"),"")</f>
        <v/>
      </c>
      <c r="O183" s="21" t="str">
        <f>IFERROR(__xludf.DUMMYFUNCTION("IFERROR((GOOGLEFINANCE(C183, ""price"") / INDEX(GOOGLEFINANCE(C183, ""price"", EDATE(TODAY(), -6), TODAY()), 2, 2)) - 1, """")"),"")</f>
        <v/>
      </c>
      <c r="P183" s="21" t="str">
        <f>IFERROR(__xludf.DUMMYFUNCTION("IFERROR((GOOGLEFINANCE(C183, ""price"") / INDEX(GOOGLEFINANCE(C183, ""price"", EDATE(TODAY(), -12), TODAY()), 2, 2)) - 1, """")"),"")</f>
        <v/>
      </c>
      <c r="Q183" s="6" t="str">
        <f>IFERROR(__xludf.DUMMYFUNCTION("AVERAGE(QUERY(GOOGLEFINANCE(C183, ""price"", TODAY()-80, TODAY()), ""SELECT Col2 WHERE Col2 IS NOT NULL ORDER BY Col1 DESC LIMIT 50"", 0))"),"#N/A")</f>
        <v>#N/A</v>
      </c>
      <c r="R183" s="24" t="str">
        <f>IFERROR(__xludf.DUMMYFUNCTION("IFERROR(
  LET(
    data, QUERY(GOOGLEFINANCE(C183,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GOOGLEFINANCE(C183, ""price"")) * 100,
    IF(calc=0, G183, calc)
  ), 
G183)"),"#N/A")</f>
        <v>#N/A</v>
      </c>
      <c r="S183" s="8" t="s">
        <v>15</v>
      </c>
      <c r="T183" s="26" t="str">
        <f>IFERROR(__xludf.DUMMYFUNCTION("IFERROR(TRANSPOSE(QUERY(IFERROR(SORT(GOOGLEFINANCE(C183, ""price"", WORKDAY(TODAY(), -40), TODAY()), 1, FALSE)), ""select Col2 where Col2 is not null limit 22 label Col2 ''"", 0)), """")"),"")</f>
        <v/>
      </c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8"/>
      <c r="AO183" s="28"/>
      <c r="AP183" s="29"/>
      <c r="AQ183" s="29" t="str">
        <f t="shared" ref="AQ183:BL183" si="187">T183/T$2</f>
        <v>#N/A</v>
      </c>
      <c r="AR183" s="29" t="str">
        <f t="shared" si="187"/>
        <v>#DIV/0!</v>
      </c>
      <c r="AS183" s="29" t="str">
        <f t="shared" si="187"/>
        <v>#DIV/0!</v>
      </c>
      <c r="AT183" s="29" t="str">
        <f t="shared" si="187"/>
        <v>#DIV/0!</v>
      </c>
      <c r="AU183" s="29" t="str">
        <f t="shared" si="187"/>
        <v>#DIV/0!</v>
      </c>
      <c r="AV183" s="29" t="str">
        <f t="shared" si="187"/>
        <v>#DIV/0!</v>
      </c>
      <c r="AW183" s="29" t="str">
        <f t="shared" si="187"/>
        <v>#DIV/0!</v>
      </c>
      <c r="AX183" s="29" t="str">
        <f t="shared" si="187"/>
        <v>#DIV/0!</v>
      </c>
      <c r="AY183" s="29" t="str">
        <f t="shared" si="187"/>
        <v>#DIV/0!</v>
      </c>
      <c r="AZ183" s="29" t="str">
        <f t="shared" si="187"/>
        <v>#DIV/0!</v>
      </c>
      <c r="BA183" s="29" t="str">
        <f t="shared" si="187"/>
        <v>#DIV/0!</v>
      </c>
      <c r="BB183" s="29" t="str">
        <f t="shared" si="187"/>
        <v>#DIV/0!</v>
      </c>
      <c r="BC183" s="29" t="str">
        <f t="shared" si="187"/>
        <v>#DIV/0!</v>
      </c>
      <c r="BD183" s="29" t="str">
        <f t="shared" si="187"/>
        <v>#DIV/0!</v>
      </c>
      <c r="BE183" s="29" t="str">
        <f t="shared" si="187"/>
        <v>#DIV/0!</v>
      </c>
      <c r="BF183" s="29" t="str">
        <f t="shared" si="187"/>
        <v>#DIV/0!</v>
      </c>
      <c r="BG183" s="29" t="str">
        <f t="shared" si="187"/>
        <v>#DIV/0!</v>
      </c>
      <c r="BH183" s="29" t="str">
        <f t="shared" si="187"/>
        <v>#DIV/0!</v>
      </c>
      <c r="BI183" s="29" t="str">
        <f t="shared" si="187"/>
        <v>#DIV/0!</v>
      </c>
      <c r="BJ183" s="29" t="str">
        <f t="shared" si="187"/>
        <v>#DIV/0!</v>
      </c>
      <c r="BK183" s="29" t="str">
        <f t="shared" si="187"/>
        <v>#DIV/0!</v>
      </c>
      <c r="BL183" s="29" t="str">
        <f t="shared" si="187"/>
        <v>#DIV/0!</v>
      </c>
      <c r="BM183" s="29" t="str">
        <f t="shared" si="3"/>
        <v>#DIV/0!</v>
      </c>
    </row>
    <row r="184">
      <c r="A184" s="16" t="str">
        <f>IFERROR(__xludf.DUMMYFUNCTION("IFERROR(SPARKLINE(SORT(MAP(TRANSPOSE(AQ184:BL184), LAMBDA(val, IF(ISNUMBER(val), PERCENTRANK(AQ184:BL184, val)+0.01, 0))), SEQUENCE(COLUMNS(AQ184:BL184)), FALSE), {""charttype"",""column""; ""color"",""chartreuse""; ""ymin"", 0; ""ymax"", 1.01; ""highcolo"&amp;"r"", ""darkgreen""; ""lowcolor"", ""red""}), """")"),"")</f>
        <v/>
      </c>
      <c r="B184" s="17" t="str">
        <f t="shared" si="4"/>
        <v/>
      </c>
      <c r="C184" s="1" t="s">
        <v>3355</v>
      </c>
      <c r="D184" s="30" t="str">
        <f>IFERROR(__xludf.DUMMYFUNCTION("IFERROR(GOOGLEFINANCE(C184, ""NAME""))"),"Amrize AG")</f>
        <v>Amrize AG</v>
      </c>
      <c r="E184" s="30" t="s">
        <v>3098</v>
      </c>
      <c r="F184" s="33" t="str">
        <f>IFERROR(__xludf.DUMMYFUNCTION("( (GOOGLEFINANCE(C184, ""price"") - Q184) / Q184 ) / (R184 / 100)"),"Loading...")</f>
        <v>Loading...</v>
      </c>
      <c r="G184" s="20" t="str">
        <f>IFERROR(__xludf.DUMMYFUNCTION("AVERAGE(ARRAYFORMULA(100 * (QUERY(GOOGLEFINANCE(C184, ""high"", TODAY()-40, TODAY()), ""SELECT Col2 WHERE Col2 IS NOT NULL ORDER BY Col1 DESC LIMIT 20"", 0) / QUERY(GOOGLEFINANCE(C184, ""low"", TODAY()-40, TODAY()), ""SELECT Col2 WHERE Col2 IS NOT NULL OR"&amp;"DER BY Col1 DESC LIMIT 20"", 0) - 1)))"),"#N/A")</f>
        <v>#N/A</v>
      </c>
      <c r="H184" s="35" t="str">
        <f t="shared" si="35"/>
        <v>Liquid</v>
      </c>
      <c r="I184" s="35" t="str">
        <f t="shared" si="7"/>
        <v>RVol Required</v>
      </c>
      <c r="J184" s="37">
        <f>IFERROR(__xludf.DUMMYFUNCTION("IFERROR(
  IF(C184="""",, 
    IFERROR(
      GOOGLEFINANCE(C184, ""price"") * GOOGLEFINANCE(C184, ""volumeavg""), 
      GOOGLEFINANCE(C184, ""price"") * AVERAGE(QUERY(GOOGLEFINANCE(C184, ""volume"", TODAY()-40, TODAY()), ""SELECT Col2 WHERE Col2 IS NOT "&amp;"NULL ORDER BY Col1 DESC LIMIT 20"", 0))
    )
  ), 
"""")"),1.4900887118E8)</f>
        <v>149008871.2</v>
      </c>
      <c r="K184" s="21">
        <f>IFERROR(__xludf.DUMMYFUNCTION("IFERROR(GOOGLEFINANCE(C184, ""changepct"") / 100, """")"),0.0134)</f>
        <v>0.0134</v>
      </c>
      <c r="L184" s="21" t="str">
        <f>IFERROR(__xludf.DUMMYFUNCTION("IFERROR((GOOGLEFINANCE(C184, ""price"") / INDEX(GOOGLEFINANCE(C184, ""price"", TODAY()-7, TODAY()), 2, 2)) - 1, """")"),"")</f>
        <v/>
      </c>
      <c r="M184" s="21" t="str">
        <f>IFERROR(__xludf.DUMMYFUNCTION("IFERROR((GOOGLEFINANCE(C184, ""price"") / INDEX(GOOGLEFINANCE(C184, ""price"", EDATE(TODAY(), -1), TODAY()), 2, 2)) - 1, """")"),"")</f>
        <v/>
      </c>
      <c r="N184" s="21" t="str">
        <f>IFERROR(__xludf.DUMMYFUNCTION("IFERROR((GOOGLEFINANCE(C184, ""price"") / INDEX(GOOGLEFINANCE(C184, ""price"", EDATE(TODAY(), -3), TODAY()), 2, 2)) - 1, """")"),"")</f>
        <v/>
      </c>
      <c r="O184" s="21" t="str">
        <f>IFERROR(__xludf.DUMMYFUNCTION("IFERROR((GOOGLEFINANCE(C184, ""price"") / INDEX(GOOGLEFINANCE(C184, ""price"", EDATE(TODAY(), -6), TODAY()), 2, 2)) - 1, """")"),"")</f>
        <v/>
      </c>
      <c r="P184" s="21" t="str">
        <f>IFERROR(__xludf.DUMMYFUNCTION("IFERROR((GOOGLEFINANCE(C184, ""price"") / INDEX(GOOGLEFINANCE(C184, ""price"", EDATE(TODAY(), -12), TODAY()), 2, 2)) - 1, """")"),"")</f>
        <v/>
      </c>
      <c r="Q184" s="6" t="str">
        <f>IFERROR(__xludf.DUMMYFUNCTION("AVERAGE(QUERY(GOOGLEFINANCE(C184, ""price"", TODAY()-80, TODAY()), ""SELECT Col2 WHERE Col2 IS NOT NULL ORDER BY Col1 DESC LIMIT 50"", 0))"),"#N/A")</f>
        <v>#N/A</v>
      </c>
      <c r="R184" s="24" t="str">
        <f>IFERROR(__xludf.DUMMYFUNCTION("IFERROR(
  LET(
    data, QUERY(GOOGLEFINANCE(C184,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GOOGLEFINANCE(C184, ""price"")) * 100,
    IF(calc=0, G184, calc)
  ), 
G184)"),"#N/A")</f>
        <v>#N/A</v>
      </c>
      <c r="S184" s="8" t="s">
        <v>15</v>
      </c>
      <c r="T184" s="26" t="str">
        <f>IFERROR(__xludf.DUMMYFUNCTION("IFERROR(TRANSPOSE(QUERY(IFERROR(SORT(GOOGLEFINANCE(C184, ""price"", WORKDAY(TODAY(), -40), TODAY()), 1, FALSE)), ""select Col2 where Col2 is not null limit 22 label Col2 ''"", 0)), """")"),"")</f>
        <v/>
      </c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8"/>
      <c r="AO184" s="28"/>
      <c r="AP184" s="29"/>
      <c r="AQ184" s="29" t="str">
        <f t="shared" ref="AQ184:BL184" si="188">T184/T$2</f>
        <v>#N/A</v>
      </c>
      <c r="AR184" s="29" t="str">
        <f t="shared" si="188"/>
        <v>#DIV/0!</v>
      </c>
      <c r="AS184" s="29" t="str">
        <f t="shared" si="188"/>
        <v>#DIV/0!</v>
      </c>
      <c r="AT184" s="29" t="str">
        <f t="shared" si="188"/>
        <v>#DIV/0!</v>
      </c>
      <c r="AU184" s="29" t="str">
        <f t="shared" si="188"/>
        <v>#DIV/0!</v>
      </c>
      <c r="AV184" s="29" t="str">
        <f t="shared" si="188"/>
        <v>#DIV/0!</v>
      </c>
      <c r="AW184" s="29" t="str">
        <f t="shared" si="188"/>
        <v>#DIV/0!</v>
      </c>
      <c r="AX184" s="29" t="str">
        <f t="shared" si="188"/>
        <v>#DIV/0!</v>
      </c>
      <c r="AY184" s="29" t="str">
        <f t="shared" si="188"/>
        <v>#DIV/0!</v>
      </c>
      <c r="AZ184" s="29" t="str">
        <f t="shared" si="188"/>
        <v>#DIV/0!</v>
      </c>
      <c r="BA184" s="29" t="str">
        <f t="shared" si="188"/>
        <v>#DIV/0!</v>
      </c>
      <c r="BB184" s="29" t="str">
        <f t="shared" si="188"/>
        <v>#DIV/0!</v>
      </c>
      <c r="BC184" s="29" t="str">
        <f t="shared" si="188"/>
        <v>#DIV/0!</v>
      </c>
      <c r="BD184" s="29" t="str">
        <f t="shared" si="188"/>
        <v>#DIV/0!</v>
      </c>
      <c r="BE184" s="29" t="str">
        <f t="shared" si="188"/>
        <v>#DIV/0!</v>
      </c>
      <c r="BF184" s="29" t="str">
        <f t="shared" si="188"/>
        <v>#DIV/0!</v>
      </c>
      <c r="BG184" s="29" t="str">
        <f t="shared" si="188"/>
        <v>#DIV/0!</v>
      </c>
      <c r="BH184" s="29" t="str">
        <f t="shared" si="188"/>
        <v>#DIV/0!</v>
      </c>
      <c r="BI184" s="29" t="str">
        <f t="shared" si="188"/>
        <v>#DIV/0!</v>
      </c>
      <c r="BJ184" s="29" t="str">
        <f t="shared" si="188"/>
        <v>#DIV/0!</v>
      </c>
      <c r="BK184" s="29" t="str">
        <f t="shared" si="188"/>
        <v>#DIV/0!</v>
      </c>
      <c r="BL184" s="29" t="str">
        <f t="shared" si="188"/>
        <v>#DIV/0!</v>
      </c>
      <c r="BM184" s="29" t="str">
        <f t="shared" si="3"/>
        <v>#DIV/0!</v>
      </c>
    </row>
    <row r="185">
      <c r="A185" s="16" t="str">
        <f>IFERROR(__xludf.DUMMYFUNCTION("IFERROR(SPARKLINE(SORT(MAP(TRANSPOSE(AQ185:BL185), LAMBDA(val, IF(ISNUMBER(val), PERCENTRANK(AQ185:BL185, val)+0.01, 0))), SEQUENCE(COLUMNS(AQ185:BL185)), FALSE), {""charttype"",""column""; ""color"",""chartreuse""; ""ymin"", 0; ""ymax"", 1.01; ""highcolo"&amp;"r"", ""darkgreen""; ""lowcolor"", ""red""}), """")"),"")</f>
        <v/>
      </c>
      <c r="B185" s="17" t="str">
        <f t="shared" si="4"/>
        <v/>
      </c>
      <c r="C185" s="1" t="s">
        <v>3356</v>
      </c>
      <c r="D185" s="30" t="str">
        <f>IFERROR(__xludf.DUMMYFUNCTION("IFERROR(GOOGLEFINANCE(C185, ""NAME""))"),"Balchem Corp")</f>
        <v>Balchem Corp</v>
      </c>
      <c r="E185" s="30" t="s">
        <v>2995</v>
      </c>
      <c r="F185" s="33" t="str">
        <f>IFERROR(__xludf.DUMMYFUNCTION("( (GOOGLEFINANCE(C185, ""price"") - Q185) / Q185 ) / (R185 / 100)"),"Loading...")</f>
        <v>Loading...</v>
      </c>
      <c r="G185" s="20" t="str">
        <f>IFERROR(__xludf.DUMMYFUNCTION("AVERAGE(ARRAYFORMULA(100 * (QUERY(GOOGLEFINANCE(C185, ""high"", TODAY()-40, TODAY()), ""SELECT Col2 WHERE Col2 IS NOT NULL ORDER BY Col1 DESC LIMIT 20"", 0) / QUERY(GOOGLEFINANCE(C185, ""low"", TODAY()-40, TODAY()), ""SELECT Col2 WHERE Col2 IS NOT NULL OR"&amp;"DER BY Col1 DESC LIMIT 20"", 0) - 1)))"),"#N/A")</f>
        <v>#N/A</v>
      </c>
      <c r="H185" s="35" t="str">
        <f t="shared" si="35"/>
        <v>Illiquid</v>
      </c>
      <c r="I185" s="35" t="str">
        <f t="shared" si="7"/>
        <v>RVol Required</v>
      </c>
      <c r="J185" s="37">
        <f>IFERROR(__xludf.DUMMYFUNCTION("IFERROR(
  IF(C185="""",, 
    IFERROR(
      GOOGLEFINANCE(C185, ""price"") * GOOGLEFINANCE(C185, ""volumeavg""), 
      GOOGLEFINANCE(C185, ""price"") * AVERAGE(QUERY(GOOGLEFINANCE(C185, ""volume"", TODAY()-40, TODAY()), ""SELECT Col2 WHERE Col2 IS NOT "&amp;"NULL ORDER BY Col1 DESC LIMIT 20"", 0))
    )
  ), 
"""")"),4.054461894E7)</f>
        <v>40544618.94</v>
      </c>
      <c r="K185" s="21">
        <f>IFERROR(__xludf.DUMMYFUNCTION("IFERROR(GOOGLEFINANCE(C185, ""changepct"") / 100, """")"),0.0012)</f>
        <v>0.0012</v>
      </c>
      <c r="L185" s="21" t="str">
        <f>IFERROR(__xludf.DUMMYFUNCTION("IFERROR((GOOGLEFINANCE(C185, ""price"") / INDEX(GOOGLEFINANCE(C185, ""price"", TODAY()-7, TODAY()), 2, 2)) - 1, """")"),"")</f>
        <v/>
      </c>
      <c r="M185" s="21" t="str">
        <f>IFERROR(__xludf.DUMMYFUNCTION("IFERROR((GOOGLEFINANCE(C185, ""price"") / INDEX(GOOGLEFINANCE(C185, ""price"", EDATE(TODAY(), -1), TODAY()), 2, 2)) - 1, """")"),"")</f>
        <v/>
      </c>
      <c r="N185" s="21" t="str">
        <f>IFERROR(__xludf.DUMMYFUNCTION("IFERROR((GOOGLEFINANCE(C185, ""price"") / INDEX(GOOGLEFINANCE(C185, ""price"", EDATE(TODAY(), -3), TODAY()), 2, 2)) - 1, """")"),"")</f>
        <v/>
      </c>
      <c r="O185" s="21" t="str">
        <f>IFERROR(__xludf.DUMMYFUNCTION("IFERROR((GOOGLEFINANCE(C185, ""price"") / INDEX(GOOGLEFINANCE(C185, ""price"", EDATE(TODAY(), -6), TODAY()), 2, 2)) - 1, """")"),"")</f>
        <v/>
      </c>
      <c r="P185" s="21" t="str">
        <f>IFERROR(__xludf.DUMMYFUNCTION("IFERROR((GOOGLEFINANCE(C185, ""price"") / INDEX(GOOGLEFINANCE(C185, ""price"", EDATE(TODAY(), -12), TODAY()), 2, 2)) - 1, """")"),"")</f>
        <v/>
      </c>
      <c r="Q185" s="6" t="str">
        <f>IFERROR(__xludf.DUMMYFUNCTION("AVERAGE(QUERY(GOOGLEFINANCE(C185, ""price"", TODAY()-80, TODAY()), ""SELECT Col2 WHERE Col2 IS NOT NULL ORDER BY Col1 DESC LIMIT 50"", 0))"),"#N/A")</f>
        <v>#N/A</v>
      </c>
      <c r="R185" s="24" t="str">
        <f>IFERROR(__xludf.DUMMYFUNCTION("IFERROR(
  LET(
    data, QUERY(GOOGLEFINANCE(C185,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GOOGLEFINANCE(C185, ""price"")) * 100,
    IF(calc=0, G185, calc)
  ), 
G185)"),"#N/A")</f>
        <v>#N/A</v>
      </c>
      <c r="S185" s="8" t="s">
        <v>15</v>
      </c>
      <c r="T185" s="26" t="str">
        <f>IFERROR(__xludf.DUMMYFUNCTION("IFERROR(TRANSPOSE(QUERY(IFERROR(SORT(GOOGLEFINANCE(C185, ""price"", WORKDAY(TODAY(), -40), TODAY()), 1, FALSE)), ""select Col2 where Col2 is not null limit 22 label Col2 ''"", 0)), """")"),"")</f>
        <v/>
      </c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8"/>
      <c r="AO185" s="28"/>
      <c r="AP185" s="29"/>
      <c r="AQ185" s="29" t="str">
        <f t="shared" ref="AQ185:BL185" si="189">T185/T$2</f>
        <v>#N/A</v>
      </c>
      <c r="AR185" s="29" t="str">
        <f t="shared" si="189"/>
        <v>#DIV/0!</v>
      </c>
      <c r="AS185" s="29" t="str">
        <f t="shared" si="189"/>
        <v>#DIV/0!</v>
      </c>
      <c r="AT185" s="29" t="str">
        <f t="shared" si="189"/>
        <v>#DIV/0!</v>
      </c>
      <c r="AU185" s="29" t="str">
        <f t="shared" si="189"/>
        <v>#DIV/0!</v>
      </c>
      <c r="AV185" s="29" t="str">
        <f t="shared" si="189"/>
        <v>#DIV/0!</v>
      </c>
      <c r="AW185" s="29" t="str">
        <f t="shared" si="189"/>
        <v>#DIV/0!</v>
      </c>
      <c r="AX185" s="29" t="str">
        <f t="shared" si="189"/>
        <v>#DIV/0!</v>
      </c>
      <c r="AY185" s="29" t="str">
        <f t="shared" si="189"/>
        <v>#DIV/0!</v>
      </c>
      <c r="AZ185" s="29" t="str">
        <f t="shared" si="189"/>
        <v>#DIV/0!</v>
      </c>
      <c r="BA185" s="29" t="str">
        <f t="shared" si="189"/>
        <v>#DIV/0!</v>
      </c>
      <c r="BB185" s="29" t="str">
        <f t="shared" si="189"/>
        <v>#DIV/0!</v>
      </c>
      <c r="BC185" s="29" t="str">
        <f t="shared" si="189"/>
        <v>#DIV/0!</v>
      </c>
      <c r="BD185" s="29" t="str">
        <f t="shared" si="189"/>
        <v>#DIV/0!</v>
      </c>
      <c r="BE185" s="29" t="str">
        <f t="shared" si="189"/>
        <v>#DIV/0!</v>
      </c>
      <c r="BF185" s="29" t="str">
        <f t="shared" si="189"/>
        <v>#DIV/0!</v>
      </c>
      <c r="BG185" s="29" t="str">
        <f t="shared" si="189"/>
        <v>#DIV/0!</v>
      </c>
      <c r="BH185" s="29" t="str">
        <f t="shared" si="189"/>
        <v>#DIV/0!</v>
      </c>
      <c r="BI185" s="29" t="str">
        <f t="shared" si="189"/>
        <v>#DIV/0!</v>
      </c>
      <c r="BJ185" s="29" t="str">
        <f t="shared" si="189"/>
        <v>#DIV/0!</v>
      </c>
      <c r="BK185" s="29" t="str">
        <f t="shared" si="189"/>
        <v>#DIV/0!</v>
      </c>
      <c r="BL185" s="29" t="str">
        <f t="shared" si="189"/>
        <v>#DIV/0!</v>
      </c>
      <c r="BM185" s="29" t="str">
        <f t="shared" si="3"/>
        <v>#DIV/0!</v>
      </c>
    </row>
    <row r="186">
      <c r="A186" s="16" t="str">
        <f>IFERROR(__xludf.DUMMYFUNCTION("IFERROR(SPARKLINE(SORT(MAP(TRANSPOSE(AQ186:BL186), LAMBDA(val, IF(ISNUMBER(val), PERCENTRANK(AQ186:BL186, val)+0.01, 0))), SEQUENCE(COLUMNS(AQ186:BL186)), FALSE), {""charttype"",""column""; ""color"",""chartreuse""; ""ymin"", 0; ""ymax"", 1.01; ""highcolo"&amp;"r"", ""darkgreen""; ""lowcolor"", ""red""}), """")"),"")</f>
        <v/>
      </c>
      <c r="B186" s="17" t="str">
        <f t="shared" si="4"/>
        <v/>
      </c>
      <c r="C186" s="1" t="s">
        <v>3357</v>
      </c>
      <c r="D186" s="30" t="str">
        <f>IFERROR(__xludf.DUMMYFUNCTION("IFERROR(GOOGLEFINANCE(C186, ""NAME""))"),"Westlake Corp")</f>
        <v>Westlake Corp</v>
      </c>
      <c r="E186" s="30" t="s">
        <v>2995</v>
      </c>
      <c r="F186" s="33" t="str">
        <f>IFERROR(__xludf.DUMMYFUNCTION("( (GOOGLEFINANCE(C186, ""price"") - Q186) / Q186 ) / (R186 / 100)"),"Loading...")</f>
        <v>Loading...</v>
      </c>
      <c r="G186" s="20" t="str">
        <f>IFERROR(__xludf.DUMMYFUNCTION("AVERAGE(ARRAYFORMULA(100 * (QUERY(GOOGLEFINANCE(C186, ""high"", TODAY()-40, TODAY()), ""SELECT Col2 WHERE Col2 IS NOT NULL ORDER BY Col1 DESC LIMIT 20"", 0) / QUERY(GOOGLEFINANCE(C186, ""low"", TODAY()-40, TODAY()), ""SELECT Col2 WHERE Col2 IS NOT NULL OR"&amp;"DER BY Col1 DESC LIMIT 20"", 0) - 1)))"),"#N/A")</f>
        <v>#N/A</v>
      </c>
      <c r="H186" s="35" t="str">
        <f t="shared" si="35"/>
        <v>Liquid</v>
      </c>
      <c r="I186" s="35" t="str">
        <f t="shared" si="7"/>
        <v>RVol Required</v>
      </c>
      <c r="J186" s="37">
        <f>IFERROR(__xludf.DUMMYFUNCTION("IFERROR(
  IF(C186="""",, 
    IFERROR(
      GOOGLEFINANCE(C186, ""price"") * GOOGLEFINANCE(C186, ""volumeavg""), 
      GOOGLEFINANCE(C186, ""price"") * AVERAGE(QUERY(GOOGLEFINANCE(C186, ""volume"", TODAY()-40, TODAY()), ""SELECT Col2 WHERE Col2 IS NOT "&amp;"NULL ORDER BY Col1 DESC LIMIT 20"", 0))
    )
  ), 
"""")"),5.450293794E7)</f>
        <v>54502937.94</v>
      </c>
      <c r="K186" s="21">
        <f>IFERROR(__xludf.DUMMYFUNCTION("IFERROR(GOOGLEFINANCE(C186, ""changepct"") / 100, """")"),-0.0044)</f>
        <v>-0.0044</v>
      </c>
      <c r="L186" s="21" t="str">
        <f>IFERROR(__xludf.DUMMYFUNCTION("IFERROR((GOOGLEFINANCE(C186, ""price"") / INDEX(GOOGLEFINANCE(C186, ""price"", TODAY()-7, TODAY()), 2, 2)) - 1, """")"),"")</f>
        <v/>
      </c>
      <c r="M186" s="21" t="str">
        <f>IFERROR(__xludf.DUMMYFUNCTION("IFERROR((GOOGLEFINANCE(C186, ""price"") / INDEX(GOOGLEFINANCE(C186, ""price"", EDATE(TODAY(), -1), TODAY()), 2, 2)) - 1, """")"),"")</f>
        <v/>
      </c>
      <c r="N186" s="21" t="str">
        <f>IFERROR(__xludf.DUMMYFUNCTION("IFERROR((GOOGLEFINANCE(C186, ""price"") / INDEX(GOOGLEFINANCE(C186, ""price"", EDATE(TODAY(), -3), TODAY()), 2, 2)) - 1, """")"),"")</f>
        <v/>
      </c>
      <c r="O186" s="21" t="str">
        <f>IFERROR(__xludf.DUMMYFUNCTION("IFERROR((GOOGLEFINANCE(C186, ""price"") / INDEX(GOOGLEFINANCE(C186, ""price"", EDATE(TODAY(), -6), TODAY()), 2, 2)) - 1, """")"),"")</f>
        <v/>
      </c>
      <c r="P186" s="21" t="str">
        <f>IFERROR(__xludf.DUMMYFUNCTION("IFERROR((GOOGLEFINANCE(C186, ""price"") / INDEX(GOOGLEFINANCE(C186, ""price"", EDATE(TODAY(), -12), TODAY()), 2, 2)) - 1, """")"),"")</f>
        <v/>
      </c>
      <c r="Q186" s="6" t="str">
        <f>IFERROR(__xludf.DUMMYFUNCTION("AVERAGE(QUERY(GOOGLEFINANCE(C186, ""price"", TODAY()-80, TODAY()), ""SELECT Col2 WHERE Col2 IS NOT NULL ORDER BY Col1 DESC LIMIT 50"", 0))"),"#N/A")</f>
        <v>#N/A</v>
      </c>
      <c r="R186" s="24" t="str">
        <f>IFERROR(__xludf.DUMMYFUNCTION("IFERROR(
  LET(
    data, QUERY(GOOGLEFINANCE(C186,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GOOGLEFINANCE(C186, ""price"")) * 100,
    IF(calc=0, G186, calc)
  ), 
G186)"),"#N/A")</f>
        <v>#N/A</v>
      </c>
      <c r="S186" s="8" t="s">
        <v>15</v>
      </c>
      <c r="T186" s="26" t="str">
        <f>IFERROR(__xludf.DUMMYFUNCTION("IFERROR(TRANSPOSE(QUERY(IFERROR(SORT(GOOGLEFINANCE(C186, ""price"", WORKDAY(TODAY(), -40), TODAY()), 1, FALSE)), ""select Col2 where Col2 is not null limit 22 label Col2 ''"", 0)), """")"),"")</f>
        <v/>
      </c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8"/>
      <c r="AO186" s="28"/>
      <c r="AP186" s="29"/>
      <c r="AQ186" s="29" t="str">
        <f t="shared" ref="AQ186:BL186" si="190">T186/T$2</f>
        <v>#N/A</v>
      </c>
      <c r="AR186" s="29" t="str">
        <f t="shared" si="190"/>
        <v>#DIV/0!</v>
      </c>
      <c r="AS186" s="29" t="str">
        <f t="shared" si="190"/>
        <v>#DIV/0!</v>
      </c>
      <c r="AT186" s="29" t="str">
        <f t="shared" si="190"/>
        <v>#DIV/0!</v>
      </c>
      <c r="AU186" s="29" t="str">
        <f t="shared" si="190"/>
        <v>#DIV/0!</v>
      </c>
      <c r="AV186" s="29" t="str">
        <f t="shared" si="190"/>
        <v>#DIV/0!</v>
      </c>
      <c r="AW186" s="29" t="str">
        <f t="shared" si="190"/>
        <v>#DIV/0!</v>
      </c>
      <c r="AX186" s="29" t="str">
        <f t="shared" si="190"/>
        <v>#DIV/0!</v>
      </c>
      <c r="AY186" s="29" t="str">
        <f t="shared" si="190"/>
        <v>#DIV/0!</v>
      </c>
      <c r="AZ186" s="29" t="str">
        <f t="shared" si="190"/>
        <v>#DIV/0!</v>
      </c>
      <c r="BA186" s="29" t="str">
        <f t="shared" si="190"/>
        <v>#DIV/0!</v>
      </c>
      <c r="BB186" s="29" t="str">
        <f t="shared" si="190"/>
        <v>#DIV/0!</v>
      </c>
      <c r="BC186" s="29" t="str">
        <f t="shared" si="190"/>
        <v>#DIV/0!</v>
      </c>
      <c r="BD186" s="29" t="str">
        <f t="shared" si="190"/>
        <v>#DIV/0!</v>
      </c>
      <c r="BE186" s="29" t="str">
        <f t="shared" si="190"/>
        <v>#DIV/0!</v>
      </c>
      <c r="BF186" s="29" t="str">
        <f t="shared" si="190"/>
        <v>#DIV/0!</v>
      </c>
      <c r="BG186" s="29" t="str">
        <f t="shared" si="190"/>
        <v>#DIV/0!</v>
      </c>
      <c r="BH186" s="29" t="str">
        <f t="shared" si="190"/>
        <v>#DIV/0!</v>
      </c>
      <c r="BI186" s="29" t="str">
        <f t="shared" si="190"/>
        <v>#DIV/0!</v>
      </c>
      <c r="BJ186" s="29" t="str">
        <f t="shared" si="190"/>
        <v>#DIV/0!</v>
      </c>
      <c r="BK186" s="29" t="str">
        <f t="shared" si="190"/>
        <v>#DIV/0!</v>
      </c>
      <c r="BL186" s="29" t="str">
        <f t="shared" si="190"/>
        <v>#DIV/0!</v>
      </c>
      <c r="BM186" s="29" t="str">
        <f t="shared" si="3"/>
        <v>#DIV/0!</v>
      </c>
    </row>
    <row r="187">
      <c r="A187" s="16" t="str">
        <f>IFERROR(__xludf.DUMMYFUNCTION("IFERROR(SPARKLINE(SORT(MAP(TRANSPOSE(AQ187:BL187), LAMBDA(val, IF(ISNUMBER(val), PERCENTRANK(AQ187:BL187, val)+0.01, 0))), SEQUENCE(COLUMNS(AQ187:BL187)), FALSE), {""charttype"",""column""; ""color"",""chartreuse""; ""ymin"", 0; ""ymax"", 1.01; ""highcolo"&amp;"r"", ""darkgreen""; ""lowcolor"", ""red""}), """")"),"")</f>
        <v/>
      </c>
      <c r="B187" s="17" t="str">
        <f t="shared" si="4"/>
        <v/>
      </c>
      <c r="C187" s="1" t="s">
        <v>3358</v>
      </c>
      <c r="D187" s="30" t="str">
        <f>IFERROR(__xludf.DUMMYFUNCTION("IFERROR(GOOGLEFINANCE(C187, ""NAME""))"),"West Fraser Timber Co Ltd")</f>
        <v>West Fraser Timber Co Ltd</v>
      </c>
      <c r="E187" s="30" t="s">
        <v>3337</v>
      </c>
      <c r="F187" s="33" t="str">
        <f>IFERROR(__xludf.DUMMYFUNCTION("( (GOOGLEFINANCE(C187, ""price"") - Q187) / Q187 ) / (R187 / 100)"),"Loading...")</f>
        <v>Loading...</v>
      </c>
      <c r="G187" s="20" t="str">
        <f>IFERROR(__xludf.DUMMYFUNCTION("AVERAGE(ARRAYFORMULA(100 * (QUERY(GOOGLEFINANCE(C187, ""high"", TODAY()-40, TODAY()), ""SELECT Col2 WHERE Col2 IS NOT NULL ORDER BY Col1 DESC LIMIT 20"", 0) / QUERY(GOOGLEFINANCE(C187, ""low"", TODAY()-40, TODAY()), ""SELECT Col2 WHERE Col2 IS NOT NULL OR"&amp;"DER BY Col1 DESC LIMIT 20"", 0) - 1)))"),"#N/A")</f>
        <v>#N/A</v>
      </c>
      <c r="H187" s="35" t="str">
        <f t="shared" si="35"/>
        <v>Illiquid</v>
      </c>
      <c r="I187" s="35" t="str">
        <f t="shared" si="7"/>
        <v>RVol Required</v>
      </c>
      <c r="J187" s="37">
        <f>IFERROR(__xludf.DUMMYFUNCTION("IFERROR(
  IF(C187="""",, 
    IFERROR(
      GOOGLEFINANCE(C187, ""price"") * GOOGLEFINANCE(C187, ""volumeavg""), 
      GOOGLEFINANCE(C187, ""price"") * AVERAGE(QUERY(GOOGLEFINANCE(C187, ""volume"", TODAY()-40, TODAY()), ""SELECT Col2 WHERE Col2 IS NOT "&amp;"NULL ORDER BY Col1 DESC LIMIT 20"", 0))
    )
  ), 
"""")"),1.36585284E7)</f>
        <v>13658528.4</v>
      </c>
      <c r="K187" s="21">
        <f>IFERROR(__xludf.DUMMYFUNCTION("IFERROR(GOOGLEFINANCE(C187, ""changepct"") / 100, """")"),-0.002)</f>
        <v>-0.002</v>
      </c>
      <c r="L187" s="21" t="str">
        <f>IFERROR(__xludf.DUMMYFUNCTION("IFERROR((GOOGLEFINANCE(C187, ""price"") / INDEX(GOOGLEFINANCE(C187, ""price"", TODAY()-7, TODAY()), 2, 2)) - 1, """")"),"")</f>
        <v/>
      </c>
      <c r="M187" s="21" t="str">
        <f>IFERROR(__xludf.DUMMYFUNCTION("IFERROR((GOOGLEFINANCE(C187, ""price"") / INDEX(GOOGLEFINANCE(C187, ""price"", EDATE(TODAY(), -1), TODAY()), 2, 2)) - 1, """")"),"")</f>
        <v/>
      </c>
      <c r="N187" s="21" t="str">
        <f>IFERROR(__xludf.DUMMYFUNCTION("IFERROR((GOOGLEFINANCE(C187, ""price"") / INDEX(GOOGLEFINANCE(C187, ""price"", EDATE(TODAY(), -3), TODAY()), 2, 2)) - 1, """")"),"")</f>
        <v/>
      </c>
      <c r="O187" s="21" t="str">
        <f>IFERROR(__xludf.DUMMYFUNCTION("IFERROR((GOOGLEFINANCE(C187, ""price"") / INDEX(GOOGLEFINANCE(C187, ""price"", EDATE(TODAY(), -6), TODAY()), 2, 2)) - 1, """")"),"")</f>
        <v/>
      </c>
      <c r="P187" s="21" t="str">
        <f>IFERROR(__xludf.DUMMYFUNCTION("IFERROR((GOOGLEFINANCE(C187, ""price"") / INDEX(GOOGLEFINANCE(C187, ""price"", EDATE(TODAY(), -12), TODAY()), 2, 2)) - 1, """")"),"")</f>
        <v/>
      </c>
      <c r="Q187" s="6" t="str">
        <f>IFERROR(__xludf.DUMMYFUNCTION("AVERAGE(QUERY(GOOGLEFINANCE(C187, ""price"", TODAY()-80, TODAY()), ""SELECT Col2 WHERE Col2 IS NOT NULL ORDER BY Col1 DESC LIMIT 50"", 0))"),"#N/A")</f>
        <v>#N/A</v>
      </c>
      <c r="R187" s="24" t="str">
        <f>IFERROR(__xludf.DUMMYFUNCTION("IFERROR(
  LET(
    data, QUERY(GOOGLEFINANCE(C187,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GOOGLEFINANCE(C187, ""price"")) * 100,
    IF(calc=0, G187, calc)
  ), 
G187)"),"#N/A")</f>
        <v>#N/A</v>
      </c>
      <c r="S187" s="8" t="s">
        <v>15</v>
      </c>
      <c r="T187" s="26" t="str">
        <f>IFERROR(__xludf.DUMMYFUNCTION("IFERROR(TRANSPOSE(QUERY(IFERROR(SORT(GOOGLEFINANCE(C187, ""price"", WORKDAY(TODAY(), -40), TODAY()), 1, FALSE)), ""select Col2 where Col2 is not null limit 22 label Col2 ''"", 0)), """")"),"")</f>
        <v/>
      </c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8"/>
      <c r="AO187" s="28"/>
      <c r="AP187" s="29"/>
      <c r="AQ187" s="29" t="str">
        <f t="shared" ref="AQ187:BL187" si="191">T187/T$2</f>
        <v>#N/A</v>
      </c>
      <c r="AR187" s="29" t="str">
        <f t="shared" si="191"/>
        <v>#DIV/0!</v>
      </c>
      <c r="AS187" s="29" t="str">
        <f t="shared" si="191"/>
        <v>#DIV/0!</v>
      </c>
      <c r="AT187" s="29" t="str">
        <f t="shared" si="191"/>
        <v>#DIV/0!</v>
      </c>
      <c r="AU187" s="29" t="str">
        <f t="shared" si="191"/>
        <v>#DIV/0!</v>
      </c>
      <c r="AV187" s="29" t="str">
        <f t="shared" si="191"/>
        <v>#DIV/0!</v>
      </c>
      <c r="AW187" s="29" t="str">
        <f t="shared" si="191"/>
        <v>#DIV/0!</v>
      </c>
      <c r="AX187" s="29" t="str">
        <f t="shared" si="191"/>
        <v>#DIV/0!</v>
      </c>
      <c r="AY187" s="29" t="str">
        <f t="shared" si="191"/>
        <v>#DIV/0!</v>
      </c>
      <c r="AZ187" s="29" t="str">
        <f t="shared" si="191"/>
        <v>#DIV/0!</v>
      </c>
      <c r="BA187" s="29" t="str">
        <f t="shared" si="191"/>
        <v>#DIV/0!</v>
      </c>
      <c r="BB187" s="29" t="str">
        <f t="shared" si="191"/>
        <v>#DIV/0!</v>
      </c>
      <c r="BC187" s="29" t="str">
        <f t="shared" si="191"/>
        <v>#DIV/0!</v>
      </c>
      <c r="BD187" s="29" t="str">
        <f t="shared" si="191"/>
        <v>#DIV/0!</v>
      </c>
      <c r="BE187" s="29" t="str">
        <f t="shared" si="191"/>
        <v>#DIV/0!</v>
      </c>
      <c r="BF187" s="29" t="str">
        <f t="shared" si="191"/>
        <v>#DIV/0!</v>
      </c>
      <c r="BG187" s="29" t="str">
        <f t="shared" si="191"/>
        <v>#DIV/0!</v>
      </c>
      <c r="BH187" s="29" t="str">
        <f t="shared" si="191"/>
        <v>#DIV/0!</v>
      </c>
      <c r="BI187" s="29" t="str">
        <f t="shared" si="191"/>
        <v>#DIV/0!</v>
      </c>
      <c r="BJ187" s="29" t="str">
        <f t="shared" si="191"/>
        <v>#DIV/0!</v>
      </c>
      <c r="BK187" s="29" t="str">
        <f t="shared" si="191"/>
        <v>#DIV/0!</v>
      </c>
      <c r="BL187" s="29" t="str">
        <f t="shared" si="191"/>
        <v>#DIV/0!</v>
      </c>
      <c r="BM187" s="29" t="str">
        <f t="shared" si="3"/>
        <v>#DIV/0!</v>
      </c>
    </row>
    <row r="188">
      <c r="A188" s="16" t="str">
        <f>IFERROR(__xludf.DUMMYFUNCTION("IFERROR(SPARKLINE(SORT(MAP(TRANSPOSE(AQ188:BL188), LAMBDA(val, IF(ISNUMBER(val), PERCENTRANK(AQ188:BL188, val)+0.01, 0))), SEQUENCE(COLUMNS(AQ188:BL188)), FALSE), {""charttype"",""column""; ""color"",""chartreuse""; ""ymin"", 0; ""ymax"", 1.01; ""highcolo"&amp;"r"", ""darkgreen""; ""lowcolor"", ""red""}), """")"),"")</f>
        <v/>
      </c>
      <c r="B188" s="17" t="str">
        <f t="shared" si="4"/>
        <v/>
      </c>
      <c r="C188" s="1" t="s">
        <v>3359</v>
      </c>
      <c r="D188" s="30" t="str">
        <f>IFERROR(__xludf.DUMMYFUNCTION("IFERROR(GOOGLEFINANCE(C188, ""NAME""))"),"Ecolab Inc")</f>
        <v>Ecolab Inc</v>
      </c>
      <c r="E188" s="30" t="s">
        <v>2995</v>
      </c>
      <c r="F188" s="38" t="str">
        <f>IFERROR(__xludf.DUMMYFUNCTION("( (GOOGLEFINANCE(C188, ""price"") - Q188) / Q188 ) / (R188 / 100)"),"Loading...")</f>
        <v>Loading...</v>
      </c>
      <c r="G188" s="20" t="str">
        <f>IFERROR(__xludf.DUMMYFUNCTION("AVERAGE(ARRAYFORMULA(100 * (QUERY(GOOGLEFINANCE(C188, ""high"", TODAY()-40, TODAY()), ""SELECT Col2 WHERE Col2 IS NOT NULL ORDER BY Col1 DESC LIMIT 20"", 0) / QUERY(GOOGLEFINANCE(C188, ""low"", TODAY()-40, TODAY()), ""SELECT Col2 WHERE Col2 IS NOT NULL OR"&amp;"DER BY Col1 DESC LIMIT 20"", 0) - 1)))"),"#N/A")</f>
        <v>#N/A</v>
      </c>
      <c r="H188" s="35" t="str">
        <f t="shared" si="35"/>
        <v>Liquid</v>
      </c>
      <c r="I188" s="35" t="str">
        <f t="shared" si="7"/>
        <v>RVol Required</v>
      </c>
      <c r="J188" s="37">
        <f>IFERROR(__xludf.DUMMYFUNCTION("IFERROR(
  IF(C188="""",, 
    IFERROR(
      GOOGLEFINANCE(C188, ""price"") * GOOGLEFINANCE(C188, ""volumeavg""), 
      GOOGLEFINANCE(C188, ""price"") * AVERAGE(QUERY(GOOGLEFINANCE(C188, ""volume"", TODAY()-40, TODAY()), ""SELECT Col2 WHERE Col2 IS NOT "&amp;"NULL ORDER BY Col1 DESC LIMIT 20"", 0))
    )
  ), 
"""")"),3.4268680690999997E8)</f>
        <v>342686806.9</v>
      </c>
      <c r="K188" s="21">
        <f>IFERROR(__xludf.DUMMYFUNCTION("IFERROR(GOOGLEFINANCE(C188, ""changepct"") / 100, """")"),-0.0066)</f>
        <v>-0.0066</v>
      </c>
      <c r="L188" s="21" t="str">
        <f>IFERROR(__xludf.DUMMYFUNCTION("IFERROR((GOOGLEFINANCE(C188, ""price"") / INDEX(GOOGLEFINANCE(C188, ""price"", TODAY()-7, TODAY()), 2, 2)) - 1, """")"),"")</f>
        <v/>
      </c>
      <c r="M188" s="21" t="str">
        <f>IFERROR(__xludf.DUMMYFUNCTION("IFERROR((GOOGLEFINANCE(C188, ""price"") / INDEX(GOOGLEFINANCE(C188, ""price"", EDATE(TODAY(), -1), TODAY()), 2, 2)) - 1, """")"),"")</f>
        <v/>
      </c>
      <c r="N188" s="21" t="str">
        <f>IFERROR(__xludf.DUMMYFUNCTION("IFERROR((GOOGLEFINANCE(C188, ""price"") / INDEX(GOOGLEFINANCE(C188, ""price"", EDATE(TODAY(), -3), TODAY()), 2, 2)) - 1, """")"),"")</f>
        <v/>
      </c>
      <c r="O188" s="21" t="str">
        <f>IFERROR(__xludf.DUMMYFUNCTION("IFERROR((GOOGLEFINANCE(C188, ""price"") / INDEX(GOOGLEFINANCE(C188, ""price"", EDATE(TODAY(), -6), TODAY()), 2, 2)) - 1, """")"),"")</f>
        <v/>
      </c>
      <c r="P188" s="21" t="str">
        <f>IFERROR(__xludf.DUMMYFUNCTION("IFERROR((GOOGLEFINANCE(C188, ""price"") / INDEX(GOOGLEFINANCE(C188, ""price"", EDATE(TODAY(), -12), TODAY()), 2, 2)) - 1, """")"),"")</f>
        <v/>
      </c>
      <c r="Q188" s="6" t="str">
        <f>IFERROR(__xludf.DUMMYFUNCTION("AVERAGE(QUERY(GOOGLEFINANCE(C188, ""price"", TODAY()-80, TODAY()), ""SELECT Col2 WHERE Col2 IS NOT NULL ORDER BY Col1 DESC LIMIT 50"", 0))"),"#N/A")</f>
        <v>#N/A</v>
      </c>
      <c r="R188" s="24" t="str">
        <f>IFERROR(__xludf.DUMMYFUNCTION("IFERROR(
  LET(
    data, QUERY(GOOGLEFINANCE(C188,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GOOGLEFINANCE(C188, ""price"")) * 100,
    IF(calc=0, G188, calc)
  ), 
G188)"),"#N/A")</f>
        <v>#N/A</v>
      </c>
      <c r="S188" s="8" t="s">
        <v>15</v>
      </c>
      <c r="T188" s="26" t="str">
        <f>IFERROR(__xludf.DUMMYFUNCTION("IFERROR(TRANSPOSE(QUERY(IFERROR(SORT(GOOGLEFINANCE(C188, ""price"", WORKDAY(TODAY(), -40), TODAY()), 1, FALSE)), ""select Col2 where Col2 is not null limit 22 label Col2 ''"", 0)), """")"),"")</f>
        <v/>
      </c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8"/>
      <c r="AO188" s="28"/>
      <c r="AP188" s="29"/>
      <c r="AQ188" s="29" t="str">
        <f t="shared" ref="AQ188:BL188" si="192">T188/T$2</f>
        <v>#N/A</v>
      </c>
      <c r="AR188" s="29" t="str">
        <f t="shared" si="192"/>
        <v>#DIV/0!</v>
      </c>
      <c r="AS188" s="29" t="str">
        <f t="shared" si="192"/>
        <v>#DIV/0!</v>
      </c>
      <c r="AT188" s="29" t="str">
        <f t="shared" si="192"/>
        <v>#DIV/0!</v>
      </c>
      <c r="AU188" s="29" t="str">
        <f t="shared" si="192"/>
        <v>#DIV/0!</v>
      </c>
      <c r="AV188" s="29" t="str">
        <f t="shared" si="192"/>
        <v>#DIV/0!</v>
      </c>
      <c r="AW188" s="29" t="str">
        <f t="shared" si="192"/>
        <v>#DIV/0!</v>
      </c>
      <c r="AX188" s="29" t="str">
        <f t="shared" si="192"/>
        <v>#DIV/0!</v>
      </c>
      <c r="AY188" s="29" t="str">
        <f t="shared" si="192"/>
        <v>#DIV/0!</v>
      </c>
      <c r="AZ188" s="29" t="str">
        <f t="shared" si="192"/>
        <v>#DIV/0!</v>
      </c>
      <c r="BA188" s="29" t="str">
        <f t="shared" si="192"/>
        <v>#DIV/0!</v>
      </c>
      <c r="BB188" s="29" t="str">
        <f t="shared" si="192"/>
        <v>#DIV/0!</v>
      </c>
      <c r="BC188" s="29" t="str">
        <f t="shared" si="192"/>
        <v>#DIV/0!</v>
      </c>
      <c r="BD188" s="29" t="str">
        <f t="shared" si="192"/>
        <v>#DIV/0!</v>
      </c>
      <c r="BE188" s="29" t="str">
        <f t="shared" si="192"/>
        <v>#DIV/0!</v>
      </c>
      <c r="BF188" s="29" t="str">
        <f t="shared" si="192"/>
        <v>#DIV/0!</v>
      </c>
      <c r="BG188" s="29" t="str">
        <f t="shared" si="192"/>
        <v>#DIV/0!</v>
      </c>
      <c r="BH188" s="29" t="str">
        <f t="shared" si="192"/>
        <v>#DIV/0!</v>
      </c>
      <c r="BI188" s="29" t="str">
        <f t="shared" si="192"/>
        <v>#DIV/0!</v>
      </c>
      <c r="BJ188" s="29" t="str">
        <f t="shared" si="192"/>
        <v>#DIV/0!</v>
      </c>
      <c r="BK188" s="29" t="str">
        <f t="shared" si="192"/>
        <v>#DIV/0!</v>
      </c>
      <c r="BL188" s="29" t="str">
        <f t="shared" si="192"/>
        <v>#DIV/0!</v>
      </c>
      <c r="BM188" s="29" t="str">
        <f t="shared" si="3"/>
        <v>#DIV/0!</v>
      </c>
    </row>
    <row r="189">
      <c r="A189" s="16" t="str">
        <f>IFERROR(__xludf.DUMMYFUNCTION("IFERROR(SPARKLINE(SORT(MAP(TRANSPOSE(AQ189:BL189), LAMBDA(val, IF(ISNUMBER(val), PERCENTRANK(AQ189:BL189, val)+0.01, 0))), SEQUENCE(COLUMNS(AQ189:BL189)), FALSE), {""charttype"",""column""; ""color"",""chartreuse""; ""ymin"", 0; ""ymax"", 1.01; ""highcolo"&amp;"r"", ""darkgreen""; ""lowcolor"", ""red""}), """")"),"")</f>
        <v/>
      </c>
      <c r="B189" s="17" t="str">
        <f t="shared" si="4"/>
        <v/>
      </c>
      <c r="C189" s="1" t="s">
        <v>3360</v>
      </c>
      <c r="D189" s="30" t="str">
        <f>IFERROR(__xludf.DUMMYFUNCTION("IFERROR(GOOGLEFINANCE(C189, ""NAME""))"),"FMC Corp")</f>
        <v>FMC Corp</v>
      </c>
      <c r="E189" s="30" t="s">
        <v>3039</v>
      </c>
      <c r="F189" s="33" t="str">
        <f>IFERROR(__xludf.DUMMYFUNCTION("( (GOOGLEFINANCE(C189, ""price"") - Q189) / Q189 ) / (R189 / 100)"),"Loading...")</f>
        <v>Loading...</v>
      </c>
      <c r="G189" s="20" t="str">
        <f>IFERROR(__xludf.DUMMYFUNCTION("AVERAGE(ARRAYFORMULA(100 * (QUERY(GOOGLEFINANCE(C189, ""high"", TODAY()-40, TODAY()), ""SELECT Col2 WHERE Col2 IS NOT NULL ORDER BY Col1 DESC LIMIT 20"", 0) / QUERY(GOOGLEFINANCE(C189, ""low"", TODAY()-40, TODAY()), ""SELECT Col2 WHERE Col2 IS NOT NULL OR"&amp;"DER BY Col1 DESC LIMIT 20"", 0) - 1)))"),"#N/A")</f>
        <v>#N/A</v>
      </c>
      <c r="H189" s="35" t="str">
        <f t="shared" si="35"/>
        <v>Illiquid</v>
      </c>
      <c r="I189" s="35" t="str">
        <f t="shared" si="7"/>
        <v>RVol Required</v>
      </c>
      <c r="J189" s="37">
        <f>IFERROR(__xludf.DUMMYFUNCTION("IFERROR(
  IF(C189="""",, 
    IFERROR(
      GOOGLEFINANCE(C189, ""price"") * GOOGLEFINANCE(C189, ""volumeavg""), 
      GOOGLEFINANCE(C189, ""price"") * AVERAGE(QUERY(GOOGLEFINANCE(C189, ""volume"", TODAY()-40, TODAY()), ""SELECT Col2 WHERE Col2 IS NOT "&amp;"NULL ORDER BY Col1 DESC LIMIT 20"", 0))
    )
  ), 
"""")"),2.9266524240000002E7)</f>
        <v>29266524.24</v>
      </c>
      <c r="K189" s="21">
        <f>IFERROR(__xludf.DUMMYFUNCTION("IFERROR(GOOGLEFINANCE(C189, ""changepct"") / 100, """")"),0.0070999999999999995)</f>
        <v>0.0071</v>
      </c>
      <c r="L189" s="21" t="str">
        <f>IFERROR(__xludf.DUMMYFUNCTION("IFERROR((GOOGLEFINANCE(C189, ""price"") / INDEX(GOOGLEFINANCE(C189, ""price"", TODAY()-7, TODAY()), 2, 2)) - 1, """")"),"")</f>
        <v/>
      </c>
      <c r="M189" s="21" t="str">
        <f>IFERROR(__xludf.DUMMYFUNCTION("IFERROR((GOOGLEFINANCE(C189, ""price"") / INDEX(GOOGLEFINANCE(C189, ""price"", EDATE(TODAY(), -1), TODAY()), 2, 2)) - 1, """")"),"")</f>
        <v/>
      </c>
      <c r="N189" s="21" t="str">
        <f>IFERROR(__xludf.DUMMYFUNCTION("IFERROR((GOOGLEFINANCE(C189, ""price"") / INDEX(GOOGLEFINANCE(C189, ""price"", EDATE(TODAY(), -3), TODAY()), 2, 2)) - 1, """")"),"")</f>
        <v/>
      </c>
      <c r="O189" s="21" t="str">
        <f>IFERROR(__xludf.DUMMYFUNCTION("IFERROR((GOOGLEFINANCE(C189, ""price"") / INDEX(GOOGLEFINANCE(C189, ""price"", EDATE(TODAY(), -6), TODAY()), 2, 2)) - 1, """")"),"")</f>
        <v/>
      </c>
      <c r="P189" s="21" t="str">
        <f>IFERROR(__xludf.DUMMYFUNCTION("IFERROR((GOOGLEFINANCE(C189, ""price"") / INDEX(GOOGLEFINANCE(C189, ""price"", EDATE(TODAY(), -12), TODAY()), 2, 2)) - 1, """")"),"")</f>
        <v/>
      </c>
      <c r="Q189" s="6" t="str">
        <f>IFERROR(__xludf.DUMMYFUNCTION("AVERAGE(QUERY(GOOGLEFINANCE(C189, ""price"", TODAY()-80, TODAY()), ""SELECT Col2 WHERE Col2 IS NOT NULL ORDER BY Col1 DESC LIMIT 50"", 0))"),"#N/A")</f>
        <v>#N/A</v>
      </c>
      <c r="R189" s="24" t="str">
        <f>IFERROR(__xludf.DUMMYFUNCTION("IFERROR(
  LET(
    data, QUERY(GOOGLEFINANCE(C189,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GOOGLEFINANCE(C189, ""price"")) * 100,
    IF(calc=0, G189, calc)
  ), 
G189)"),"#N/A")</f>
        <v>#N/A</v>
      </c>
      <c r="S189" s="8" t="s">
        <v>15</v>
      </c>
      <c r="T189" s="26" t="str">
        <f>IFERROR(__xludf.DUMMYFUNCTION("IFERROR(TRANSPOSE(QUERY(IFERROR(SORT(GOOGLEFINANCE(C189, ""price"", WORKDAY(TODAY(), -40), TODAY()), 1, FALSE)), ""select Col2 where Col2 is not null limit 22 label Col2 ''"", 0)), """")"),"")</f>
        <v/>
      </c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8"/>
      <c r="AO189" s="28"/>
      <c r="AP189" s="29"/>
      <c r="AQ189" s="29" t="str">
        <f t="shared" ref="AQ189:BL189" si="193">T189/T$2</f>
        <v>#N/A</v>
      </c>
      <c r="AR189" s="29" t="str">
        <f t="shared" si="193"/>
        <v>#DIV/0!</v>
      </c>
      <c r="AS189" s="29" t="str">
        <f t="shared" si="193"/>
        <v>#DIV/0!</v>
      </c>
      <c r="AT189" s="29" t="str">
        <f t="shared" si="193"/>
        <v>#DIV/0!</v>
      </c>
      <c r="AU189" s="29" t="str">
        <f t="shared" si="193"/>
        <v>#DIV/0!</v>
      </c>
      <c r="AV189" s="29" t="str">
        <f t="shared" si="193"/>
        <v>#DIV/0!</v>
      </c>
      <c r="AW189" s="29" t="str">
        <f t="shared" si="193"/>
        <v>#DIV/0!</v>
      </c>
      <c r="AX189" s="29" t="str">
        <f t="shared" si="193"/>
        <v>#DIV/0!</v>
      </c>
      <c r="AY189" s="29" t="str">
        <f t="shared" si="193"/>
        <v>#DIV/0!</v>
      </c>
      <c r="AZ189" s="29" t="str">
        <f t="shared" si="193"/>
        <v>#DIV/0!</v>
      </c>
      <c r="BA189" s="29" t="str">
        <f t="shared" si="193"/>
        <v>#DIV/0!</v>
      </c>
      <c r="BB189" s="29" t="str">
        <f t="shared" si="193"/>
        <v>#DIV/0!</v>
      </c>
      <c r="BC189" s="29" t="str">
        <f t="shared" si="193"/>
        <v>#DIV/0!</v>
      </c>
      <c r="BD189" s="29" t="str">
        <f t="shared" si="193"/>
        <v>#DIV/0!</v>
      </c>
      <c r="BE189" s="29" t="str">
        <f t="shared" si="193"/>
        <v>#DIV/0!</v>
      </c>
      <c r="BF189" s="29" t="str">
        <f t="shared" si="193"/>
        <v>#DIV/0!</v>
      </c>
      <c r="BG189" s="29" t="str">
        <f t="shared" si="193"/>
        <v>#DIV/0!</v>
      </c>
      <c r="BH189" s="29" t="str">
        <f t="shared" si="193"/>
        <v>#DIV/0!</v>
      </c>
      <c r="BI189" s="29" t="str">
        <f t="shared" si="193"/>
        <v>#DIV/0!</v>
      </c>
      <c r="BJ189" s="29" t="str">
        <f t="shared" si="193"/>
        <v>#DIV/0!</v>
      </c>
      <c r="BK189" s="29" t="str">
        <f t="shared" si="193"/>
        <v>#DIV/0!</v>
      </c>
      <c r="BL189" s="29" t="str">
        <f t="shared" si="193"/>
        <v>#DIV/0!</v>
      </c>
      <c r="BM189" s="29" t="str">
        <f t="shared" si="3"/>
        <v>#DIV/0!</v>
      </c>
    </row>
    <row r="190">
      <c r="A190" s="16" t="str">
        <f>IFERROR(__xludf.DUMMYFUNCTION("IFERROR(SPARKLINE(SORT(MAP(TRANSPOSE(AQ190:BL190), LAMBDA(val, IF(ISNUMBER(val), PERCENTRANK(AQ190:BL190, val)+0.01, 0))), SEQUENCE(COLUMNS(AQ190:BL190)), FALSE), {""charttype"",""column""; ""color"",""chartreuse""; ""ymin"", 0; ""ymax"", 1.01; ""highcolo"&amp;"r"", ""darkgreen""; ""lowcolor"", ""red""}), """")"),"")</f>
        <v/>
      </c>
      <c r="B190" s="17" t="str">
        <f t="shared" si="4"/>
        <v/>
      </c>
      <c r="C190" s="1" t="s">
        <v>3361</v>
      </c>
      <c r="D190" s="30" t="str">
        <f>IFERROR(__xludf.DUMMYFUNCTION("IFERROR(GOOGLEFINANCE(C190, ""NAME""))"),"Knife River Corp")</f>
        <v>Knife River Corp</v>
      </c>
      <c r="E190" s="30" t="s">
        <v>3098</v>
      </c>
      <c r="F190" s="38" t="str">
        <f>IFERROR(__xludf.DUMMYFUNCTION("( (GOOGLEFINANCE(C190, ""price"") - Q190) / Q190 ) / (R190 / 100)"),"Loading...")</f>
        <v>Loading...</v>
      </c>
      <c r="G190" s="20" t="str">
        <f>IFERROR(__xludf.DUMMYFUNCTION("AVERAGE(ARRAYFORMULA(100 * (QUERY(GOOGLEFINANCE(C190, ""high"", TODAY()-40, TODAY()), ""SELECT Col2 WHERE Col2 IS NOT NULL ORDER BY Col1 DESC LIMIT 20"", 0) / QUERY(GOOGLEFINANCE(C190, ""low"", TODAY()-40, TODAY()), ""SELECT Col2 WHERE Col2 IS NOT NULL OR"&amp;"DER BY Col1 DESC LIMIT 20"", 0) - 1)))"),"#N/A")</f>
        <v>#N/A</v>
      </c>
      <c r="H190" s="35" t="str">
        <f t="shared" si="35"/>
        <v>Liquid</v>
      </c>
      <c r="I190" s="35" t="str">
        <f t="shared" si="7"/>
        <v>RVol Required</v>
      </c>
      <c r="J190" s="37">
        <f>IFERROR(__xludf.DUMMYFUNCTION("IFERROR(
  IF(C190="""",, 
    IFERROR(
      GOOGLEFINANCE(C190, ""price"") * GOOGLEFINANCE(C190, ""volumeavg""), 
      GOOGLEFINANCE(C190, ""price"") * AVERAGE(QUERY(GOOGLEFINANCE(C190, ""volume"", TODAY()-40, TODAY()), ""SELECT Col2 WHERE Col2 IS NOT "&amp;"NULL ORDER BY Col1 DESC LIMIT 20"", 0))
    )
  ), 
"""")"),5.1426675E7)</f>
        <v>51426675</v>
      </c>
      <c r="K190" s="21">
        <f>IFERROR(__xludf.DUMMYFUNCTION("IFERROR(GOOGLEFINANCE(C190, ""changepct"") / 100, """")"),0.011000000000000001)</f>
        <v>0.011</v>
      </c>
      <c r="L190" s="21" t="str">
        <f>IFERROR(__xludf.DUMMYFUNCTION("IFERROR((GOOGLEFINANCE(C190, ""price"") / INDEX(GOOGLEFINANCE(C190, ""price"", TODAY()-7, TODAY()), 2, 2)) - 1, """")"),"")</f>
        <v/>
      </c>
      <c r="M190" s="21" t="str">
        <f>IFERROR(__xludf.DUMMYFUNCTION("IFERROR((GOOGLEFINANCE(C190, ""price"") / INDEX(GOOGLEFINANCE(C190, ""price"", EDATE(TODAY(), -1), TODAY()), 2, 2)) - 1, """")"),"")</f>
        <v/>
      </c>
      <c r="N190" s="21" t="str">
        <f>IFERROR(__xludf.DUMMYFUNCTION("IFERROR((GOOGLEFINANCE(C190, ""price"") / INDEX(GOOGLEFINANCE(C190, ""price"", EDATE(TODAY(), -3), TODAY()), 2, 2)) - 1, """")"),"")</f>
        <v/>
      </c>
      <c r="O190" s="21" t="str">
        <f>IFERROR(__xludf.DUMMYFUNCTION("IFERROR((GOOGLEFINANCE(C190, ""price"") / INDEX(GOOGLEFINANCE(C190, ""price"", EDATE(TODAY(), -6), TODAY()), 2, 2)) - 1, """")"),"")</f>
        <v/>
      </c>
      <c r="P190" s="21" t="str">
        <f>IFERROR(__xludf.DUMMYFUNCTION("IFERROR((GOOGLEFINANCE(C190, ""price"") / INDEX(GOOGLEFINANCE(C190, ""price"", EDATE(TODAY(), -12), TODAY()), 2, 2)) - 1, """")"),"")</f>
        <v/>
      </c>
      <c r="Q190" s="6" t="str">
        <f>IFERROR(__xludf.DUMMYFUNCTION("AVERAGE(QUERY(GOOGLEFINANCE(C190, ""price"", TODAY()-80, TODAY()), ""SELECT Col2 WHERE Col2 IS NOT NULL ORDER BY Col1 DESC LIMIT 50"", 0))"),"#N/A")</f>
        <v>#N/A</v>
      </c>
      <c r="R190" s="24" t="str">
        <f>IFERROR(__xludf.DUMMYFUNCTION("IFERROR(
  LET(
    data, QUERY(GOOGLEFINANCE(C190,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GOOGLEFINANCE(C190, ""price"")) * 100,
    IF(calc=0, G190, calc)
  ), 
G190)"),"#N/A")</f>
        <v>#N/A</v>
      </c>
      <c r="S190" s="8" t="s">
        <v>15</v>
      </c>
      <c r="T190" s="26" t="str">
        <f>IFERROR(__xludf.DUMMYFUNCTION("IFERROR(TRANSPOSE(QUERY(IFERROR(SORT(GOOGLEFINANCE(C190, ""price"", WORKDAY(TODAY(), -40), TODAY()), 1, FALSE)), ""select Col2 where Col2 is not null limit 22 label Col2 ''"", 0)), """")"),"")</f>
        <v/>
      </c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8"/>
      <c r="AO190" s="28"/>
      <c r="AP190" s="29"/>
      <c r="AQ190" s="29" t="str">
        <f t="shared" ref="AQ190:BL190" si="194">T190/T$2</f>
        <v>#N/A</v>
      </c>
      <c r="AR190" s="29" t="str">
        <f t="shared" si="194"/>
        <v>#DIV/0!</v>
      </c>
      <c r="AS190" s="29" t="str">
        <f t="shared" si="194"/>
        <v>#DIV/0!</v>
      </c>
      <c r="AT190" s="29" t="str">
        <f t="shared" si="194"/>
        <v>#DIV/0!</v>
      </c>
      <c r="AU190" s="29" t="str">
        <f t="shared" si="194"/>
        <v>#DIV/0!</v>
      </c>
      <c r="AV190" s="29" t="str">
        <f t="shared" si="194"/>
        <v>#DIV/0!</v>
      </c>
      <c r="AW190" s="29" t="str">
        <f t="shared" si="194"/>
        <v>#DIV/0!</v>
      </c>
      <c r="AX190" s="29" t="str">
        <f t="shared" si="194"/>
        <v>#DIV/0!</v>
      </c>
      <c r="AY190" s="29" t="str">
        <f t="shared" si="194"/>
        <v>#DIV/0!</v>
      </c>
      <c r="AZ190" s="29" t="str">
        <f t="shared" si="194"/>
        <v>#DIV/0!</v>
      </c>
      <c r="BA190" s="29" t="str">
        <f t="shared" si="194"/>
        <v>#DIV/0!</v>
      </c>
      <c r="BB190" s="29" t="str">
        <f t="shared" si="194"/>
        <v>#DIV/0!</v>
      </c>
      <c r="BC190" s="29" t="str">
        <f t="shared" si="194"/>
        <v>#DIV/0!</v>
      </c>
      <c r="BD190" s="29" t="str">
        <f t="shared" si="194"/>
        <v>#DIV/0!</v>
      </c>
      <c r="BE190" s="29" t="str">
        <f t="shared" si="194"/>
        <v>#DIV/0!</v>
      </c>
      <c r="BF190" s="29" t="str">
        <f t="shared" si="194"/>
        <v>#DIV/0!</v>
      </c>
      <c r="BG190" s="29" t="str">
        <f t="shared" si="194"/>
        <v>#DIV/0!</v>
      </c>
      <c r="BH190" s="29" t="str">
        <f t="shared" si="194"/>
        <v>#DIV/0!</v>
      </c>
      <c r="BI190" s="29" t="str">
        <f t="shared" si="194"/>
        <v>#DIV/0!</v>
      </c>
      <c r="BJ190" s="29" t="str">
        <f t="shared" si="194"/>
        <v>#DIV/0!</v>
      </c>
      <c r="BK190" s="29" t="str">
        <f t="shared" si="194"/>
        <v>#DIV/0!</v>
      </c>
      <c r="BL190" s="29" t="str">
        <f t="shared" si="194"/>
        <v>#DIV/0!</v>
      </c>
      <c r="BM190" s="29" t="str">
        <f t="shared" si="3"/>
        <v>#DIV/0!</v>
      </c>
    </row>
    <row r="191">
      <c r="A191" s="16" t="str">
        <f>IFERROR(__xludf.DUMMYFUNCTION("IFERROR(SPARKLINE(SORT(MAP(TRANSPOSE(AQ191:BL191), LAMBDA(val, IF(ISNUMBER(val), PERCENTRANK(AQ191:BL191, val)+0.01, 0))), SEQUENCE(COLUMNS(AQ191:BL191)), FALSE), {""charttype"",""column""; ""color"",""chartreuse""; ""ymin"", 0; ""ymax"", 1.01; ""highcolo"&amp;"r"", ""darkgreen""; ""lowcolor"", ""red""}), """")"),"")</f>
        <v/>
      </c>
      <c r="B191" s="17" t="str">
        <f t="shared" si="4"/>
        <v/>
      </c>
      <c r="C191" s="1" t="s">
        <v>3362</v>
      </c>
      <c r="D191" s="30" t="str">
        <f>IFERROR(__xludf.DUMMYFUNCTION("IFERROR(GOOGLEFINANCE(C191, ""NAME""))"),"UFP Industries Inc")</f>
        <v>UFP Industries Inc</v>
      </c>
      <c r="E191" s="30" t="s">
        <v>3337</v>
      </c>
      <c r="F191" s="33" t="str">
        <f>IFERROR(__xludf.DUMMYFUNCTION("( (GOOGLEFINANCE(C191, ""price"") - Q191) / Q191 ) / (R191 / 100)"),"Loading...")</f>
        <v>Loading...</v>
      </c>
      <c r="G191" s="20" t="str">
        <f>IFERROR(__xludf.DUMMYFUNCTION("AVERAGE(ARRAYFORMULA(100 * (QUERY(GOOGLEFINANCE(C191, ""high"", TODAY()-40, TODAY()), ""SELECT Col2 WHERE Col2 IS NOT NULL ORDER BY Col1 DESC LIMIT 20"", 0) / QUERY(GOOGLEFINANCE(C191, ""low"", TODAY()-40, TODAY()), ""SELECT Col2 WHERE Col2 IS NOT NULL OR"&amp;"DER BY Col1 DESC LIMIT 20"", 0) - 1)))"),"#N/A")</f>
        <v>#N/A</v>
      </c>
      <c r="H191" s="35" t="str">
        <f t="shared" si="35"/>
        <v>Illiquid</v>
      </c>
      <c r="I191" s="35" t="str">
        <f t="shared" si="7"/>
        <v>RVol Required</v>
      </c>
      <c r="J191" s="37">
        <f>IFERROR(__xludf.DUMMYFUNCTION("IFERROR(
  IF(C191="""",, 
    IFERROR(
      GOOGLEFINANCE(C191, ""price"") * GOOGLEFINANCE(C191, ""volumeavg""), 
      GOOGLEFINANCE(C191, ""price"") * AVERAGE(QUERY(GOOGLEFINANCE(C191, ""volume"", TODAY()-40, TODAY()), ""SELECT Col2 WHERE Col2 IS NOT "&amp;"NULL ORDER BY Col1 DESC LIMIT 20"", 0))
    )
  ), 
"""")"),3.72751231E7)</f>
        <v>37275123.1</v>
      </c>
      <c r="K191" s="21">
        <f>IFERROR(__xludf.DUMMYFUNCTION("IFERROR(GOOGLEFINANCE(C191, ""changepct"") / 100, """")"),0.0121)</f>
        <v>0.0121</v>
      </c>
      <c r="L191" s="21" t="str">
        <f>IFERROR(__xludf.DUMMYFUNCTION("IFERROR((GOOGLEFINANCE(C191, ""price"") / INDEX(GOOGLEFINANCE(C191, ""price"", TODAY()-7, TODAY()), 2, 2)) - 1, """")"),"")</f>
        <v/>
      </c>
      <c r="M191" s="21" t="str">
        <f>IFERROR(__xludf.DUMMYFUNCTION("IFERROR((GOOGLEFINANCE(C191, ""price"") / INDEX(GOOGLEFINANCE(C191, ""price"", EDATE(TODAY(), -1), TODAY()), 2, 2)) - 1, """")"),"")</f>
        <v/>
      </c>
      <c r="N191" s="21" t="str">
        <f>IFERROR(__xludf.DUMMYFUNCTION("IFERROR((GOOGLEFINANCE(C191, ""price"") / INDEX(GOOGLEFINANCE(C191, ""price"", EDATE(TODAY(), -3), TODAY()), 2, 2)) - 1, """")"),"")</f>
        <v/>
      </c>
      <c r="O191" s="21" t="str">
        <f>IFERROR(__xludf.DUMMYFUNCTION("IFERROR((GOOGLEFINANCE(C191, ""price"") / INDEX(GOOGLEFINANCE(C191, ""price"", EDATE(TODAY(), -6), TODAY()), 2, 2)) - 1, """")"),"")</f>
        <v/>
      </c>
      <c r="P191" s="21" t="str">
        <f>IFERROR(__xludf.DUMMYFUNCTION("IFERROR((GOOGLEFINANCE(C191, ""price"") / INDEX(GOOGLEFINANCE(C191, ""price"", EDATE(TODAY(), -12), TODAY()), 2, 2)) - 1, """")"),"")</f>
        <v/>
      </c>
      <c r="Q191" s="6" t="str">
        <f>IFERROR(__xludf.DUMMYFUNCTION("AVERAGE(QUERY(GOOGLEFINANCE(C191, ""price"", TODAY()-80, TODAY()), ""SELECT Col2 WHERE Col2 IS NOT NULL ORDER BY Col1 DESC LIMIT 50"", 0))"),"#N/A")</f>
        <v>#N/A</v>
      </c>
      <c r="R191" s="24" t="str">
        <f>IFERROR(__xludf.DUMMYFUNCTION("IFERROR(
  LET(
    data, QUERY(GOOGLEFINANCE(C191,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GOOGLEFINANCE(C191, ""price"")) * 100,
    IF(calc=0, G191, calc)
  ), 
G191)"),"#N/A")</f>
        <v>#N/A</v>
      </c>
      <c r="S191" s="8" t="s">
        <v>15</v>
      </c>
      <c r="T191" s="26" t="str">
        <f>IFERROR(__xludf.DUMMYFUNCTION("IFERROR(TRANSPOSE(QUERY(IFERROR(SORT(GOOGLEFINANCE(C191, ""price"", WORKDAY(TODAY(), -40), TODAY()), 1, FALSE)), ""select Col2 where Col2 is not null limit 22 label Col2 ''"", 0)), """")"),"")</f>
        <v/>
      </c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8"/>
      <c r="AO191" s="28"/>
      <c r="AP191" s="29"/>
      <c r="AQ191" s="29" t="str">
        <f t="shared" ref="AQ191:BL191" si="195">T191/T$2</f>
        <v>#N/A</v>
      </c>
      <c r="AR191" s="29" t="str">
        <f t="shared" si="195"/>
        <v>#DIV/0!</v>
      </c>
      <c r="AS191" s="29" t="str">
        <f t="shared" si="195"/>
        <v>#DIV/0!</v>
      </c>
      <c r="AT191" s="29" t="str">
        <f t="shared" si="195"/>
        <v>#DIV/0!</v>
      </c>
      <c r="AU191" s="29" t="str">
        <f t="shared" si="195"/>
        <v>#DIV/0!</v>
      </c>
      <c r="AV191" s="29" t="str">
        <f t="shared" si="195"/>
        <v>#DIV/0!</v>
      </c>
      <c r="AW191" s="29" t="str">
        <f t="shared" si="195"/>
        <v>#DIV/0!</v>
      </c>
      <c r="AX191" s="29" t="str">
        <f t="shared" si="195"/>
        <v>#DIV/0!</v>
      </c>
      <c r="AY191" s="29" t="str">
        <f t="shared" si="195"/>
        <v>#DIV/0!</v>
      </c>
      <c r="AZ191" s="29" t="str">
        <f t="shared" si="195"/>
        <v>#DIV/0!</v>
      </c>
      <c r="BA191" s="29" t="str">
        <f t="shared" si="195"/>
        <v>#DIV/0!</v>
      </c>
      <c r="BB191" s="29" t="str">
        <f t="shared" si="195"/>
        <v>#DIV/0!</v>
      </c>
      <c r="BC191" s="29" t="str">
        <f t="shared" si="195"/>
        <v>#DIV/0!</v>
      </c>
      <c r="BD191" s="29" t="str">
        <f t="shared" si="195"/>
        <v>#DIV/0!</v>
      </c>
      <c r="BE191" s="29" t="str">
        <f t="shared" si="195"/>
        <v>#DIV/0!</v>
      </c>
      <c r="BF191" s="29" t="str">
        <f t="shared" si="195"/>
        <v>#DIV/0!</v>
      </c>
      <c r="BG191" s="29" t="str">
        <f t="shared" si="195"/>
        <v>#DIV/0!</v>
      </c>
      <c r="BH191" s="29" t="str">
        <f t="shared" si="195"/>
        <v>#DIV/0!</v>
      </c>
      <c r="BI191" s="29" t="str">
        <f t="shared" si="195"/>
        <v>#DIV/0!</v>
      </c>
      <c r="BJ191" s="29" t="str">
        <f t="shared" si="195"/>
        <v>#DIV/0!</v>
      </c>
      <c r="BK191" s="29" t="str">
        <f t="shared" si="195"/>
        <v>#DIV/0!</v>
      </c>
      <c r="BL191" s="29" t="str">
        <f t="shared" si="195"/>
        <v>#DIV/0!</v>
      </c>
      <c r="BM191" s="29" t="str">
        <f t="shared" si="3"/>
        <v>#DIV/0!</v>
      </c>
    </row>
    <row r="192">
      <c r="A192" s="16" t="str">
        <f>IFERROR(__xludf.DUMMYFUNCTION("IFERROR(SPARKLINE(SORT(MAP(TRANSPOSE(AQ192:BL192), LAMBDA(val, IF(ISNUMBER(val), PERCENTRANK(AQ192:BL192, val)+0.01, 0))), SEQUENCE(COLUMNS(AQ192:BL192)), FALSE), {""charttype"",""column""; ""color"",""chartreuse""; ""ymin"", 0; ""ymax"", 1.01; ""highcolo"&amp;"r"", ""darkgreen""; ""lowcolor"", ""red""}), """")"),"")</f>
        <v/>
      </c>
      <c r="B192" s="17" t="str">
        <f t="shared" si="4"/>
        <v/>
      </c>
      <c r="C192" s="1" t="s">
        <v>3363</v>
      </c>
      <c r="D192" s="30" t="str">
        <f>IFERROR(__xludf.DUMMYFUNCTION("IFERROR(GOOGLEFINANCE(C192, ""NAME""))"),"Ingevity Corp")</f>
        <v>Ingevity Corp</v>
      </c>
      <c r="E192" s="30" t="s">
        <v>2995</v>
      </c>
      <c r="F192" s="33" t="str">
        <f>IFERROR(__xludf.DUMMYFUNCTION("( (GOOGLEFINANCE(C192, ""price"") - Q192) / Q192 ) / (R192 / 100)"),"Loading...")</f>
        <v>Loading...</v>
      </c>
      <c r="G192" s="20" t="str">
        <f>IFERROR(__xludf.DUMMYFUNCTION("AVERAGE(ARRAYFORMULA(100 * (QUERY(GOOGLEFINANCE(C192, ""high"", TODAY()-40, TODAY()), ""SELECT Col2 WHERE Col2 IS NOT NULL ORDER BY Col1 DESC LIMIT 20"", 0) / QUERY(GOOGLEFINANCE(C192, ""low"", TODAY()-40, TODAY()), ""SELECT Col2 WHERE Col2 IS NOT NULL OR"&amp;"DER BY Col1 DESC LIMIT 20"", 0) - 1)))"),"#N/A")</f>
        <v>#N/A</v>
      </c>
      <c r="H192" s="35" t="str">
        <f t="shared" si="35"/>
        <v>Illiquid</v>
      </c>
      <c r="I192" s="35" t="str">
        <f t="shared" si="7"/>
        <v>RVol Required</v>
      </c>
      <c r="J192" s="37">
        <f>IFERROR(__xludf.DUMMYFUNCTION("IFERROR(
  IF(C192="""",, 
    IFERROR(
      GOOGLEFINANCE(C192, ""price"") * GOOGLEFINANCE(C192, ""volumeavg""), 
      GOOGLEFINANCE(C192, ""price"") * AVERAGE(QUERY(GOOGLEFINANCE(C192, ""volume"", TODAY()-40, TODAY()), ""SELECT Col2 WHERE Col2 IS NOT "&amp;"NULL ORDER BY Col1 DESC LIMIT 20"", 0))
    )
  ), 
"""")"),1.8891686139999997E7)</f>
        <v>18891686.14</v>
      </c>
      <c r="K192" s="21">
        <f>IFERROR(__xludf.DUMMYFUNCTION("IFERROR(GOOGLEFINANCE(C192, ""changepct"") / 100, """")"),-0.0102)</f>
        <v>-0.0102</v>
      </c>
      <c r="L192" s="21" t="str">
        <f>IFERROR(__xludf.DUMMYFUNCTION("IFERROR((GOOGLEFINANCE(C192, ""price"") / INDEX(GOOGLEFINANCE(C192, ""price"", TODAY()-7, TODAY()), 2, 2)) - 1, """")"),"")</f>
        <v/>
      </c>
      <c r="M192" s="21" t="str">
        <f>IFERROR(__xludf.DUMMYFUNCTION("IFERROR((GOOGLEFINANCE(C192, ""price"") / INDEX(GOOGLEFINANCE(C192, ""price"", EDATE(TODAY(), -1), TODAY()), 2, 2)) - 1, """")"),"")</f>
        <v/>
      </c>
      <c r="N192" s="21" t="str">
        <f>IFERROR(__xludf.DUMMYFUNCTION("IFERROR((GOOGLEFINANCE(C192, ""price"") / INDEX(GOOGLEFINANCE(C192, ""price"", EDATE(TODAY(), -3), TODAY()), 2, 2)) - 1, """")"),"")</f>
        <v/>
      </c>
      <c r="O192" s="21" t="str">
        <f>IFERROR(__xludf.DUMMYFUNCTION("IFERROR((GOOGLEFINANCE(C192, ""price"") / INDEX(GOOGLEFINANCE(C192, ""price"", EDATE(TODAY(), -6), TODAY()), 2, 2)) - 1, """")"),"")</f>
        <v/>
      </c>
      <c r="P192" s="21" t="str">
        <f>IFERROR(__xludf.DUMMYFUNCTION("IFERROR((GOOGLEFINANCE(C192, ""price"") / INDEX(GOOGLEFINANCE(C192, ""price"", EDATE(TODAY(), -12), TODAY()), 2, 2)) - 1, """")"),"")</f>
        <v/>
      </c>
      <c r="Q192" s="6" t="str">
        <f>IFERROR(__xludf.DUMMYFUNCTION("AVERAGE(QUERY(GOOGLEFINANCE(C192, ""price"", TODAY()-80, TODAY()), ""SELECT Col2 WHERE Col2 IS NOT NULL ORDER BY Col1 DESC LIMIT 50"", 0))"),"#N/A")</f>
        <v>#N/A</v>
      </c>
      <c r="R192" s="24" t="str">
        <f>IFERROR(__xludf.DUMMYFUNCTION("IFERROR(
  LET(
    data, QUERY(GOOGLEFINANCE(C192,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GOOGLEFINANCE(C192, ""price"")) * 100,
    IF(calc=0, G192, calc)
  ), 
G192)"),"#N/A")</f>
        <v>#N/A</v>
      </c>
      <c r="S192" s="8" t="s">
        <v>15</v>
      </c>
      <c r="T192" s="26" t="str">
        <f>IFERROR(__xludf.DUMMYFUNCTION("IFERROR(TRANSPOSE(QUERY(IFERROR(SORT(GOOGLEFINANCE(C192, ""price"", WORKDAY(TODAY(), -40), TODAY()), 1, FALSE)), ""select Col2 where Col2 is not null limit 22 label Col2 ''"", 0)), """")"),"")</f>
        <v/>
      </c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8"/>
      <c r="AO192" s="28"/>
      <c r="AP192" s="29"/>
      <c r="AQ192" s="29" t="str">
        <f t="shared" ref="AQ192:BL192" si="196">T192/T$2</f>
        <v>#N/A</v>
      </c>
      <c r="AR192" s="29" t="str">
        <f t="shared" si="196"/>
        <v>#DIV/0!</v>
      </c>
      <c r="AS192" s="29" t="str">
        <f t="shared" si="196"/>
        <v>#DIV/0!</v>
      </c>
      <c r="AT192" s="29" t="str">
        <f t="shared" si="196"/>
        <v>#DIV/0!</v>
      </c>
      <c r="AU192" s="29" t="str">
        <f t="shared" si="196"/>
        <v>#DIV/0!</v>
      </c>
      <c r="AV192" s="29" t="str">
        <f t="shared" si="196"/>
        <v>#DIV/0!</v>
      </c>
      <c r="AW192" s="29" t="str">
        <f t="shared" si="196"/>
        <v>#DIV/0!</v>
      </c>
      <c r="AX192" s="29" t="str">
        <f t="shared" si="196"/>
        <v>#DIV/0!</v>
      </c>
      <c r="AY192" s="29" t="str">
        <f t="shared" si="196"/>
        <v>#DIV/0!</v>
      </c>
      <c r="AZ192" s="29" t="str">
        <f t="shared" si="196"/>
        <v>#DIV/0!</v>
      </c>
      <c r="BA192" s="29" t="str">
        <f t="shared" si="196"/>
        <v>#DIV/0!</v>
      </c>
      <c r="BB192" s="29" t="str">
        <f t="shared" si="196"/>
        <v>#DIV/0!</v>
      </c>
      <c r="BC192" s="29" t="str">
        <f t="shared" si="196"/>
        <v>#DIV/0!</v>
      </c>
      <c r="BD192" s="29" t="str">
        <f t="shared" si="196"/>
        <v>#DIV/0!</v>
      </c>
      <c r="BE192" s="29" t="str">
        <f t="shared" si="196"/>
        <v>#DIV/0!</v>
      </c>
      <c r="BF192" s="29" t="str">
        <f t="shared" si="196"/>
        <v>#DIV/0!</v>
      </c>
      <c r="BG192" s="29" t="str">
        <f t="shared" si="196"/>
        <v>#DIV/0!</v>
      </c>
      <c r="BH192" s="29" t="str">
        <f t="shared" si="196"/>
        <v>#DIV/0!</v>
      </c>
      <c r="BI192" s="29" t="str">
        <f t="shared" si="196"/>
        <v>#DIV/0!</v>
      </c>
      <c r="BJ192" s="29" t="str">
        <f t="shared" si="196"/>
        <v>#DIV/0!</v>
      </c>
      <c r="BK192" s="29" t="str">
        <f t="shared" si="196"/>
        <v>#DIV/0!</v>
      </c>
      <c r="BL192" s="29" t="str">
        <f t="shared" si="196"/>
        <v>#DIV/0!</v>
      </c>
      <c r="BM192" s="29" t="str">
        <f t="shared" si="3"/>
        <v>#DIV/0!</v>
      </c>
    </row>
    <row r="193">
      <c r="A193" s="16" t="str">
        <f>IFERROR(__xludf.DUMMYFUNCTION("IFERROR(SPARKLINE(SORT(MAP(TRANSPOSE(AQ193:BL193), LAMBDA(val, IF(ISNUMBER(val), PERCENTRANK(AQ193:BL193, val)+0.01, 0))), SEQUENCE(COLUMNS(AQ193:BL193)), FALSE), {""charttype"",""column""; ""color"",""chartreuse""; ""ymin"", 0; ""ymax"", 1.01; ""highcolo"&amp;"r"", ""darkgreen""; ""lowcolor"", ""red""}), """")"),"")</f>
        <v/>
      </c>
      <c r="B193" s="17" t="str">
        <f t="shared" si="4"/>
        <v/>
      </c>
      <c r="C193" s="1" t="s">
        <v>3364</v>
      </c>
      <c r="D193" s="30" t="str">
        <f>IFERROR(__xludf.DUMMYFUNCTION("IFERROR(GOOGLEFINANCE(C193, ""NAME""))"),"CRH PLC")</f>
        <v>CRH PLC</v>
      </c>
      <c r="E193" s="30" t="s">
        <v>3098</v>
      </c>
      <c r="F193" s="33" t="str">
        <f>IFERROR(__xludf.DUMMYFUNCTION("( (GOOGLEFINANCE(C193, ""price"") - Q193) / Q193 ) / (R193 / 100)"),"Loading...")</f>
        <v>Loading...</v>
      </c>
      <c r="G193" s="20" t="str">
        <f>IFERROR(__xludf.DUMMYFUNCTION("AVERAGE(ARRAYFORMULA(100 * (QUERY(GOOGLEFINANCE(C193, ""high"", TODAY()-40, TODAY()), ""SELECT Col2 WHERE Col2 IS NOT NULL ORDER BY Col1 DESC LIMIT 20"", 0) / QUERY(GOOGLEFINANCE(C193, ""low"", TODAY()-40, TODAY()), ""SELECT Col2 WHERE Col2 IS NOT NULL OR"&amp;"DER BY Col1 DESC LIMIT 20"", 0) - 1)))"),"#N/A")</f>
        <v>#N/A</v>
      </c>
      <c r="H193" s="35" t="str">
        <f t="shared" si="35"/>
        <v>Liquid</v>
      </c>
      <c r="I193" s="35" t="str">
        <f t="shared" si="7"/>
        <v>RVol Required</v>
      </c>
      <c r="J193" s="37">
        <f>IFERROR(__xludf.DUMMYFUNCTION("IFERROR(
  IF(C193="""",, 
    IFERROR(
      GOOGLEFINANCE(C193, ""price"") * GOOGLEFINANCE(C193, ""volumeavg""), 
      GOOGLEFINANCE(C193, ""price"") * AVERAGE(QUERY(GOOGLEFINANCE(C193, ""volume"", TODAY()-40, TODAY()), ""SELECT Col2 WHERE Col2 IS NOT "&amp;"NULL ORDER BY Col1 DESC LIMIT 20"", 0))
    )
  ), 
"""")"),4.4990481278E8)</f>
        <v>449904812.8</v>
      </c>
      <c r="K193" s="21">
        <f>IFERROR(__xludf.DUMMYFUNCTION("IFERROR(GOOGLEFINANCE(C193, ""changepct"") / 100, """")"),0.0159)</f>
        <v>0.0159</v>
      </c>
      <c r="L193" s="21" t="str">
        <f>IFERROR(__xludf.DUMMYFUNCTION("IFERROR((GOOGLEFINANCE(C193, ""price"") / INDEX(GOOGLEFINANCE(C193, ""price"", TODAY()-7, TODAY()), 2, 2)) - 1, """")"),"")</f>
        <v/>
      </c>
      <c r="M193" s="21" t="str">
        <f>IFERROR(__xludf.DUMMYFUNCTION("IFERROR((GOOGLEFINANCE(C193, ""price"") / INDEX(GOOGLEFINANCE(C193, ""price"", EDATE(TODAY(), -1), TODAY()), 2, 2)) - 1, """")"),"")</f>
        <v/>
      </c>
      <c r="N193" s="21" t="str">
        <f>IFERROR(__xludf.DUMMYFUNCTION("IFERROR((GOOGLEFINANCE(C193, ""price"") / INDEX(GOOGLEFINANCE(C193, ""price"", EDATE(TODAY(), -3), TODAY()), 2, 2)) - 1, """")"),"")</f>
        <v/>
      </c>
      <c r="O193" s="21" t="str">
        <f>IFERROR(__xludf.DUMMYFUNCTION("IFERROR((GOOGLEFINANCE(C193, ""price"") / INDEX(GOOGLEFINANCE(C193, ""price"", EDATE(TODAY(), -6), TODAY()), 2, 2)) - 1, """")"),"")</f>
        <v/>
      </c>
      <c r="P193" s="21" t="str">
        <f>IFERROR(__xludf.DUMMYFUNCTION("IFERROR((GOOGLEFINANCE(C193, ""price"") / INDEX(GOOGLEFINANCE(C193, ""price"", EDATE(TODAY(), -12), TODAY()), 2, 2)) - 1, """")"),"")</f>
        <v/>
      </c>
      <c r="Q193" s="6" t="str">
        <f>IFERROR(__xludf.DUMMYFUNCTION("AVERAGE(QUERY(GOOGLEFINANCE(C193, ""price"", TODAY()-80, TODAY()), ""SELECT Col2 WHERE Col2 IS NOT NULL ORDER BY Col1 DESC LIMIT 50"", 0))"),"#N/A")</f>
        <v>#N/A</v>
      </c>
      <c r="R193" s="24" t="str">
        <f>IFERROR(__xludf.DUMMYFUNCTION("IFERROR(
  LET(
    data, QUERY(GOOGLEFINANCE(C193,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GOOGLEFINANCE(C193, ""price"")) * 100,
    IF(calc=0, G193, calc)
  ), 
G193)"),"#N/A")</f>
        <v>#N/A</v>
      </c>
      <c r="S193" s="8" t="s">
        <v>15</v>
      </c>
      <c r="T193" s="26" t="str">
        <f>IFERROR(__xludf.DUMMYFUNCTION("IFERROR(TRANSPOSE(QUERY(IFERROR(SORT(GOOGLEFINANCE(C193, ""price"", WORKDAY(TODAY(), -40), TODAY()), 1, FALSE)), ""select Col2 where Col2 is not null limit 22 label Col2 ''"", 0)), """")"),"")</f>
        <v/>
      </c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8"/>
      <c r="AO193" s="28"/>
      <c r="AP193" s="29"/>
      <c r="AQ193" s="29" t="str">
        <f t="shared" ref="AQ193:BL193" si="197">T193/T$2</f>
        <v>#N/A</v>
      </c>
      <c r="AR193" s="29" t="str">
        <f t="shared" si="197"/>
        <v>#DIV/0!</v>
      </c>
      <c r="AS193" s="29" t="str">
        <f t="shared" si="197"/>
        <v>#DIV/0!</v>
      </c>
      <c r="AT193" s="29" t="str">
        <f t="shared" si="197"/>
        <v>#DIV/0!</v>
      </c>
      <c r="AU193" s="29" t="str">
        <f t="shared" si="197"/>
        <v>#DIV/0!</v>
      </c>
      <c r="AV193" s="29" t="str">
        <f t="shared" si="197"/>
        <v>#DIV/0!</v>
      </c>
      <c r="AW193" s="29" t="str">
        <f t="shared" si="197"/>
        <v>#DIV/0!</v>
      </c>
      <c r="AX193" s="29" t="str">
        <f t="shared" si="197"/>
        <v>#DIV/0!</v>
      </c>
      <c r="AY193" s="29" t="str">
        <f t="shared" si="197"/>
        <v>#DIV/0!</v>
      </c>
      <c r="AZ193" s="29" t="str">
        <f t="shared" si="197"/>
        <v>#DIV/0!</v>
      </c>
      <c r="BA193" s="29" t="str">
        <f t="shared" si="197"/>
        <v>#DIV/0!</v>
      </c>
      <c r="BB193" s="29" t="str">
        <f t="shared" si="197"/>
        <v>#DIV/0!</v>
      </c>
      <c r="BC193" s="29" t="str">
        <f t="shared" si="197"/>
        <v>#DIV/0!</v>
      </c>
      <c r="BD193" s="29" t="str">
        <f t="shared" si="197"/>
        <v>#DIV/0!</v>
      </c>
      <c r="BE193" s="29" t="str">
        <f t="shared" si="197"/>
        <v>#DIV/0!</v>
      </c>
      <c r="BF193" s="29" t="str">
        <f t="shared" si="197"/>
        <v>#DIV/0!</v>
      </c>
      <c r="BG193" s="29" t="str">
        <f t="shared" si="197"/>
        <v>#DIV/0!</v>
      </c>
      <c r="BH193" s="29" t="str">
        <f t="shared" si="197"/>
        <v>#DIV/0!</v>
      </c>
      <c r="BI193" s="29" t="str">
        <f t="shared" si="197"/>
        <v>#DIV/0!</v>
      </c>
      <c r="BJ193" s="29" t="str">
        <f t="shared" si="197"/>
        <v>#DIV/0!</v>
      </c>
      <c r="BK193" s="29" t="str">
        <f t="shared" si="197"/>
        <v>#DIV/0!</v>
      </c>
      <c r="BL193" s="29" t="str">
        <f t="shared" si="197"/>
        <v>#DIV/0!</v>
      </c>
      <c r="BM193" s="29" t="str">
        <f t="shared" si="3"/>
        <v>#DIV/0!</v>
      </c>
    </row>
    <row r="194">
      <c r="A194" s="16" t="str">
        <f>IFERROR(__xludf.DUMMYFUNCTION("IFERROR(SPARKLINE(SORT(MAP(TRANSPOSE(AQ194:BL194), LAMBDA(val, IF(ISNUMBER(val), PERCENTRANK(AQ194:BL194, val)+0.01, 0))), SEQUENCE(COLUMNS(AQ194:BL194)), FALSE), {""charttype"",""column""; ""color"",""chartreuse""; ""ymin"", 0; ""ymax"", 1.01; ""highcolo"&amp;"r"", ""darkgreen""; ""lowcolor"", ""red""}), """")"),"")</f>
        <v/>
      </c>
      <c r="B194" s="17" t="str">
        <f t="shared" si="4"/>
        <v/>
      </c>
      <c r="C194" s="1" t="s">
        <v>3365</v>
      </c>
      <c r="D194" s="30" t="str">
        <f>IFERROR(__xludf.DUMMYFUNCTION("IFERROR(GOOGLEFINANCE(C194, ""NAME""))"),"Loma Negra Compania Indl Argntna SA-ADR")</f>
        <v>Loma Negra Compania Indl Argntna SA-ADR</v>
      </c>
      <c r="E194" s="30" t="s">
        <v>3098</v>
      </c>
      <c r="F194" s="33" t="str">
        <f>IFERROR(__xludf.DUMMYFUNCTION("( (GOOGLEFINANCE(C194, ""price"") - Q194) / Q194 ) / (R194 / 100)"),"Loading...")</f>
        <v>Loading...</v>
      </c>
      <c r="G194" s="20" t="str">
        <f>IFERROR(__xludf.DUMMYFUNCTION("AVERAGE(ARRAYFORMULA(100 * (QUERY(GOOGLEFINANCE(C194, ""high"", TODAY()-40, TODAY()), ""SELECT Col2 WHERE Col2 IS NOT NULL ORDER BY Col1 DESC LIMIT 20"", 0) / QUERY(GOOGLEFINANCE(C194, ""low"", TODAY()-40, TODAY()), ""SELECT Col2 WHERE Col2 IS NOT NULL OR"&amp;"DER BY Col1 DESC LIMIT 20"", 0) - 1)))"),"#N/A")</f>
        <v>#N/A</v>
      </c>
      <c r="H194" s="35" t="str">
        <f t="shared" si="35"/>
        <v>Illiquid</v>
      </c>
      <c r="I194" s="35" t="str">
        <f t="shared" si="7"/>
        <v>RVol Required</v>
      </c>
      <c r="J194" s="37">
        <f>IFERROR(__xludf.DUMMYFUNCTION("IFERROR(
  IF(C194="""",, 
    IFERROR(
      GOOGLEFINANCE(C194, ""price"") * GOOGLEFINANCE(C194, ""volumeavg""), 
      GOOGLEFINANCE(C194, ""price"") * AVERAGE(QUERY(GOOGLEFINANCE(C194, ""volume"", TODAY()-40, TODAY()), ""SELECT Col2 WHERE Col2 IS NOT "&amp;"NULL ORDER BY Col1 DESC LIMIT 20"", 0))
    )
  ), 
"""")"),4318928.029999999)</f>
        <v>4318928.03</v>
      </c>
      <c r="K194" s="21">
        <f>IFERROR(__xludf.DUMMYFUNCTION("IFERROR(GOOGLEFINANCE(C194, ""changepct"") / 100, """")"),-0.0089)</f>
        <v>-0.0089</v>
      </c>
      <c r="L194" s="21" t="str">
        <f>IFERROR(__xludf.DUMMYFUNCTION("IFERROR((GOOGLEFINANCE(C194, ""price"") / INDEX(GOOGLEFINANCE(C194, ""price"", TODAY()-7, TODAY()), 2, 2)) - 1, """")"),"")</f>
        <v/>
      </c>
      <c r="M194" s="21" t="str">
        <f>IFERROR(__xludf.DUMMYFUNCTION("IFERROR((GOOGLEFINANCE(C194, ""price"") / INDEX(GOOGLEFINANCE(C194, ""price"", EDATE(TODAY(), -1), TODAY()), 2, 2)) - 1, """")"),"")</f>
        <v/>
      </c>
      <c r="N194" s="21" t="str">
        <f>IFERROR(__xludf.DUMMYFUNCTION("IFERROR((GOOGLEFINANCE(C194, ""price"") / INDEX(GOOGLEFINANCE(C194, ""price"", EDATE(TODAY(), -3), TODAY()), 2, 2)) - 1, """")"),"")</f>
        <v/>
      </c>
      <c r="O194" s="21" t="str">
        <f>IFERROR(__xludf.DUMMYFUNCTION("IFERROR((GOOGLEFINANCE(C194, ""price"") / INDEX(GOOGLEFINANCE(C194, ""price"", EDATE(TODAY(), -6), TODAY()), 2, 2)) - 1, """")"),"")</f>
        <v/>
      </c>
      <c r="P194" s="21" t="str">
        <f>IFERROR(__xludf.DUMMYFUNCTION("IFERROR((GOOGLEFINANCE(C194, ""price"") / INDEX(GOOGLEFINANCE(C194, ""price"", EDATE(TODAY(), -12), TODAY()), 2, 2)) - 1, """")"),"")</f>
        <v/>
      </c>
      <c r="Q194" s="6" t="str">
        <f>IFERROR(__xludf.DUMMYFUNCTION("AVERAGE(QUERY(GOOGLEFINANCE(C194, ""price"", TODAY()-80, TODAY()), ""SELECT Col2 WHERE Col2 IS NOT NULL ORDER BY Col1 DESC LIMIT 50"", 0))"),"#N/A")</f>
        <v>#N/A</v>
      </c>
      <c r="R194" s="24" t="str">
        <f>IFERROR(__xludf.DUMMYFUNCTION("IFERROR(
  LET(
    data, QUERY(GOOGLEFINANCE(C194,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GOOGLEFINANCE(C194, ""price"")) * 100,
    IF(calc=0, G194, calc)
  ), 
G194)"),"#N/A")</f>
        <v>#N/A</v>
      </c>
      <c r="S194" s="8" t="s">
        <v>15</v>
      </c>
      <c r="T194" s="26" t="str">
        <f>IFERROR(__xludf.DUMMYFUNCTION("IFERROR(TRANSPOSE(QUERY(IFERROR(SORT(GOOGLEFINANCE(C194, ""price"", WORKDAY(TODAY(), -40), TODAY()), 1, FALSE)), ""select Col2 where Col2 is not null limit 22 label Col2 ''"", 0)), """")"),"")</f>
        <v/>
      </c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8"/>
      <c r="AO194" s="28"/>
      <c r="AP194" s="29"/>
      <c r="AQ194" s="29" t="str">
        <f t="shared" ref="AQ194:BL194" si="198">T194/T$2</f>
        <v>#N/A</v>
      </c>
      <c r="AR194" s="29" t="str">
        <f t="shared" si="198"/>
        <v>#DIV/0!</v>
      </c>
      <c r="AS194" s="29" t="str">
        <f t="shared" si="198"/>
        <v>#DIV/0!</v>
      </c>
      <c r="AT194" s="29" t="str">
        <f t="shared" si="198"/>
        <v>#DIV/0!</v>
      </c>
      <c r="AU194" s="29" t="str">
        <f t="shared" si="198"/>
        <v>#DIV/0!</v>
      </c>
      <c r="AV194" s="29" t="str">
        <f t="shared" si="198"/>
        <v>#DIV/0!</v>
      </c>
      <c r="AW194" s="29" t="str">
        <f t="shared" si="198"/>
        <v>#DIV/0!</v>
      </c>
      <c r="AX194" s="29" t="str">
        <f t="shared" si="198"/>
        <v>#DIV/0!</v>
      </c>
      <c r="AY194" s="29" t="str">
        <f t="shared" si="198"/>
        <v>#DIV/0!</v>
      </c>
      <c r="AZ194" s="29" t="str">
        <f t="shared" si="198"/>
        <v>#DIV/0!</v>
      </c>
      <c r="BA194" s="29" t="str">
        <f t="shared" si="198"/>
        <v>#DIV/0!</v>
      </c>
      <c r="BB194" s="29" t="str">
        <f t="shared" si="198"/>
        <v>#DIV/0!</v>
      </c>
      <c r="BC194" s="29" t="str">
        <f t="shared" si="198"/>
        <v>#DIV/0!</v>
      </c>
      <c r="BD194" s="29" t="str">
        <f t="shared" si="198"/>
        <v>#DIV/0!</v>
      </c>
      <c r="BE194" s="29" t="str">
        <f t="shared" si="198"/>
        <v>#DIV/0!</v>
      </c>
      <c r="BF194" s="29" t="str">
        <f t="shared" si="198"/>
        <v>#DIV/0!</v>
      </c>
      <c r="BG194" s="29" t="str">
        <f t="shared" si="198"/>
        <v>#DIV/0!</v>
      </c>
      <c r="BH194" s="29" t="str">
        <f t="shared" si="198"/>
        <v>#DIV/0!</v>
      </c>
      <c r="BI194" s="29" t="str">
        <f t="shared" si="198"/>
        <v>#DIV/0!</v>
      </c>
      <c r="BJ194" s="29" t="str">
        <f t="shared" si="198"/>
        <v>#DIV/0!</v>
      </c>
      <c r="BK194" s="29" t="str">
        <f t="shared" si="198"/>
        <v>#DIV/0!</v>
      </c>
      <c r="BL194" s="29" t="str">
        <f t="shared" si="198"/>
        <v>#DIV/0!</v>
      </c>
      <c r="BM194" s="29" t="str">
        <f t="shared" si="3"/>
        <v>#DIV/0!</v>
      </c>
    </row>
    <row r="195">
      <c r="A195" s="16" t="str">
        <f>IFERROR(__xludf.DUMMYFUNCTION("IFERROR(SPARKLINE(SORT(MAP(TRANSPOSE(AQ195:BL195), LAMBDA(val, IF(ISNUMBER(val), PERCENTRANK(AQ195:BL195, val)+0.01, 0))), SEQUENCE(COLUMNS(AQ195:BL195)), FALSE), {""charttype"",""column""; ""color"",""chartreuse""; ""ymin"", 0; ""ymax"", 1.01; ""highcolo"&amp;"r"", ""darkgreen""; ""lowcolor"", ""red""}), """")"),"")</f>
        <v/>
      </c>
      <c r="B195" s="17" t="str">
        <f t="shared" si="4"/>
        <v/>
      </c>
      <c r="C195" s="1" t="s">
        <v>3366</v>
      </c>
      <c r="D195" s="30" t="str">
        <f>IFERROR(__xludf.DUMMYFUNCTION("IFERROR(GOOGLEFINANCE(C195, ""NAME""))"),"Titan America SA")</f>
        <v>Titan America SA</v>
      </c>
      <c r="E195" s="30" t="s">
        <v>3098</v>
      </c>
      <c r="F195" s="33" t="str">
        <f>IFERROR(__xludf.DUMMYFUNCTION("( (GOOGLEFINANCE(C195, ""price"") - Q195) / Q195 ) / (R195 / 100)"),"Loading...")</f>
        <v>Loading...</v>
      </c>
      <c r="G195" s="20" t="str">
        <f>IFERROR(__xludf.DUMMYFUNCTION("AVERAGE(ARRAYFORMULA(100 * (QUERY(GOOGLEFINANCE(C195, ""high"", TODAY()-40, TODAY()), ""SELECT Col2 WHERE Col2 IS NOT NULL ORDER BY Col1 DESC LIMIT 20"", 0) / QUERY(GOOGLEFINANCE(C195, ""low"", TODAY()-40, TODAY()), ""SELECT Col2 WHERE Col2 IS NOT NULL OR"&amp;"DER BY Col1 DESC LIMIT 20"", 0) - 1)))"),"#N/A")</f>
        <v>#N/A</v>
      </c>
      <c r="H195" s="35" t="str">
        <f t="shared" si="35"/>
        <v>Illiquid</v>
      </c>
      <c r="I195" s="35" t="str">
        <f t="shared" si="7"/>
        <v>RVol Required</v>
      </c>
      <c r="J195" s="37">
        <f>IFERROR(__xludf.DUMMYFUNCTION("IFERROR(
  IF(C195="""",, 
    IFERROR(
      GOOGLEFINANCE(C195, ""price"") * GOOGLEFINANCE(C195, ""volumeavg""), 
      GOOGLEFINANCE(C195, ""price"") * AVERAGE(QUERY(GOOGLEFINANCE(C195, ""volume"", TODAY()-40, TODAY()), ""SELECT Col2 WHERE Col2 IS NOT "&amp;"NULL ORDER BY Col1 DESC LIMIT 20"", 0))
    )
  ), 
"""")"),3385020.08)</f>
        <v>3385020.08</v>
      </c>
      <c r="K195" s="21">
        <f>IFERROR(__xludf.DUMMYFUNCTION("IFERROR(GOOGLEFINANCE(C195, ""changepct"") / 100, """")"),-7.000000000000001E-4)</f>
        <v>-0.0007</v>
      </c>
      <c r="L195" s="21" t="str">
        <f>IFERROR(__xludf.DUMMYFUNCTION("IFERROR((GOOGLEFINANCE(C195, ""price"") / INDEX(GOOGLEFINANCE(C195, ""price"", TODAY()-7, TODAY()), 2, 2)) - 1, """")"),"")</f>
        <v/>
      </c>
      <c r="M195" s="21" t="str">
        <f>IFERROR(__xludf.DUMMYFUNCTION("IFERROR((GOOGLEFINANCE(C195, ""price"") / INDEX(GOOGLEFINANCE(C195, ""price"", EDATE(TODAY(), -1), TODAY()), 2, 2)) - 1, """")"),"")</f>
        <v/>
      </c>
      <c r="N195" s="21" t="str">
        <f>IFERROR(__xludf.DUMMYFUNCTION("IFERROR((GOOGLEFINANCE(C195, ""price"") / INDEX(GOOGLEFINANCE(C195, ""price"", EDATE(TODAY(), -3), TODAY()), 2, 2)) - 1, """")"),"")</f>
        <v/>
      </c>
      <c r="O195" s="21" t="str">
        <f>IFERROR(__xludf.DUMMYFUNCTION("IFERROR((GOOGLEFINANCE(C195, ""price"") / INDEX(GOOGLEFINANCE(C195, ""price"", EDATE(TODAY(), -6), TODAY()), 2, 2)) - 1, """")"),"")</f>
        <v/>
      </c>
      <c r="P195" s="21" t="str">
        <f>IFERROR(__xludf.DUMMYFUNCTION("IFERROR((GOOGLEFINANCE(C195, ""price"") / INDEX(GOOGLEFINANCE(C195, ""price"", EDATE(TODAY(), -12), TODAY()), 2, 2)) - 1, """")"),"")</f>
        <v/>
      </c>
      <c r="Q195" s="6" t="str">
        <f>IFERROR(__xludf.DUMMYFUNCTION("AVERAGE(QUERY(GOOGLEFINANCE(C195, ""price"", TODAY()-80, TODAY()), ""SELECT Col2 WHERE Col2 IS NOT NULL ORDER BY Col1 DESC LIMIT 50"", 0))"),"#N/A")</f>
        <v>#N/A</v>
      </c>
      <c r="R195" s="24" t="str">
        <f>IFERROR(__xludf.DUMMYFUNCTION("IFERROR(
  LET(
    data, QUERY(GOOGLEFINANCE(C195,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GOOGLEFINANCE(C195, ""price"")) * 100,
    IF(calc=0, G195, calc)
  ), 
G195)"),"#N/A")</f>
        <v>#N/A</v>
      </c>
      <c r="S195" s="8" t="s">
        <v>15</v>
      </c>
      <c r="T195" s="26" t="str">
        <f>IFERROR(__xludf.DUMMYFUNCTION("IFERROR(TRANSPOSE(QUERY(IFERROR(SORT(GOOGLEFINANCE(C195, ""price"", WORKDAY(TODAY(), -40), TODAY()), 1, FALSE)), ""select Col2 where Col2 is not null limit 22 label Col2 ''"", 0)), """")"),"")</f>
        <v/>
      </c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8"/>
      <c r="AO195" s="28"/>
      <c r="AP195" s="29"/>
      <c r="AQ195" s="29" t="str">
        <f t="shared" ref="AQ195:BL195" si="199">T195/T$2</f>
        <v>#N/A</v>
      </c>
      <c r="AR195" s="29" t="str">
        <f t="shared" si="199"/>
        <v>#DIV/0!</v>
      </c>
      <c r="AS195" s="29" t="str">
        <f t="shared" si="199"/>
        <v>#DIV/0!</v>
      </c>
      <c r="AT195" s="29" t="str">
        <f t="shared" si="199"/>
        <v>#DIV/0!</v>
      </c>
      <c r="AU195" s="29" t="str">
        <f t="shared" si="199"/>
        <v>#DIV/0!</v>
      </c>
      <c r="AV195" s="29" t="str">
        <f t="shared" si="199"/>
        <v>#DIV/0!</v>
      </c>
      <c r="AW195" s="29" t="str">
        <f t="shared" si="199"/>
        <v>#DIV/0!</v>
      </c>
      <c r="AX195" s="29" t="str">
        <f t="shared" si="199"/>
        <v>#DIV/0!</v>
      </c>
      <c r="AY195" s="29" t="str">
        <f t="shared" si="199"/>
        <v>#DIV/0!</v>
      </c>
      <c r="AZ195" s="29" t="str">
        <f t="shared" si="199"/>
        <v>#DIV/0!</v>
      </c>
      <c r="BA195" s="29" t="str">
        <f t="shared" si="199"/>
        <v>#DIV/0!</v>
      </c>
      <c r="BB195" s="29" t="str">
        <f t="shared" si="199"/>
        <v>#DIV/0!</v>
      </c>
      <c r="BC195" s="29" t="str">
        <f t="shared" si="199"/>
        <v>#DIV/0!</v>
      </c>
      <c r="BD195" s="29" t="str">
        <f t="shared" si="199"/>
        <v>#DIV/0!</v>
      </c>
      <c r="BE195" s="29" t="str">
        <f t="shared" si="199"/>
        <v>#DIV/0!</v>
      </c>
      <c r="BF195" s="29" t="str">
        <f t="shared" si="199"/>
        <v>#DIV/0!</v>
      </c>
      <c r="BG195" s="29" t="str">
        <f t="shared" si="199"/>
        <v>#DIV/0!</v>
      </c>
      <c r="BH195" s="29" t="str">
        <f t="shared" si="199"/>
        <v>#DIV/0!</v>
      </c>
      <c r="BI195" s="29" t="str">
        <f t="shared" si="199"/>
        <v>#DIV/0!</v>
      </c>
      <c r="BJ195" s="29" t="str">
        <f t="shared" si="199"/>
        <v>#DIV/0!</v>
      </c>
      <c r="BK195" s="29" t="str">
        <f t="shared" si="199"/>
        <v>#DIV/0!</v>
      </c>
      <c r="BL195" s="29" t="str">
        <f t="shared" si="199"/>
        <v>#DIV/0!</v>
      </c>
      <c r="BM195" s="29" t="str">
        <f t="shared" si="3"/>
        <v>#DIV/0!</v>
      </c>
    </row>
    <row r="196">
      <c r="A196" s="16" t="str">
        <f>IFERROR(__xludf.DUMMYFUNCTION("IFERROR(SPARKLINE(SORT(MAP(TRANSPOSE(AQ196:BL196), LAMBDA(val, IF(ISNUMBER(val), PERCENTRANK(AQ196:BL196, val)+0.01, 0))), SEQUENCE(COLUMNS(AQ196:BL196)), FALSE), {""charttype"",""column""; ""color"",""chartreuse""; ""ymin"", 0; ""ymax"", 1.01; ""highcolo"&amp;"r"", ""darkgreen""; ""lowcolor"", ""red""}), """")"),"")</f>
        <v/>
      </c>
      <c r="B196" s="17" t="str">
        <f t="shared" si="4"/>
        <v/>
      </c>
      <c r="C196" s="1" t="s">
        <v>3367</v>
      </c>
      <c r="D196" s="30" t="str">
        <f>IFERROR(__xludf.DUMMYFUNCTION("IFERROR(GOOGLEFINANCE(C196, ""NAME""))"),"Scotts Miracle-Gro Co")</f>
        <v>Scotts Miracle-Gro Co</v>
      </c>
      <c r="E196" s="30" t="s">
        <v>3039</v>
      </c>
      <c r="F196" s="38" t="str">
        <f>IFERROR(__xludf.DUMMYFUNCTION("( (GOOGLEFINANCE(C196, ""price"") - Q196) / Q196 ) / (R196 / 100)"),"Loading...")</f>
        <v>Loading...</v>
      </c>
      <c r="G196" s="20" t="str">
        <f>IFERROR(__xludf.DUMMYFUNCTION("AVERAGE(ARRAYFORMULA(100 * (QUERY(GOOGLEFINANCE(C196, ""high"", TODAY()-40, TODAY()), ""SELECT Col2 WHERE Col2 IS NOT NULL ORDER BY Col1 DESC LIMIT 20"", 0) / QUERY(GOOGLEFINANCE(C196, ""low"", TODAY()-40, TODAY()), ""SELECT Col2 WHERE Col2 IS NOT NULL OR"&amp;"DER BY Col1 DESC LIMIT 20"", 0) - 1)))"),"#N/A")</f>
        <v>#N/A</v>
      </c>
      <c r="H196" s="35" t="str">
        <f t="shared" si="35"/>
        <v>Liquid</v>
      </c>
      <c r="I196" s="35" t="str">
        <f t="shared" si="7"/>
        <v>RVol Required</v>
      </c>
      <c r="J196" s="37">
        <f>IFERROR(__xludf.DUMMYFUNCTION("IFERROR(
  IF(C196="""",, 
    IFERROR(
      GOOGLEFINANCE(C196, ""price"") * GOOGLEFINANCE(C196, ""volumeavg""), 
      GOOGLEFINANCE(C196, ""price"") * AVERAGE(QUERY(GOOGLEFINANCE(C196, ""volume"", TODAY()-40, TODAY()), ""SELECT Col2 WHERE Col2 IS NOT "&amp;"NULL ORDER BY Col1 DESC LIMIT 20"", 0))
    )
  ), 
"""")"),5.917554429E7)</f>
        <v>59175544.29</v>
      </c>
      <c r="K196" s="21">
        <f>IFERROR(__xludf.DUMMYFUNCTION("IFERROR(GOOGLEFINANCE(C196, ""changepct"") / 100, """")"),0.0059)</f>
        <v>0.0059</v>
      </c>
      <c r="L196" s="21" t="str">
        <f>IFERROR(__xludf.DUMMYFUNCTION("IFERROR((GOOGLEFINANCE(C196, ""price"") / INDEX(GOOGLEFINANCE(C196, ""price"", TODAY()-7, TODAY()), 2, 2)) - 1, """")"),"")</f>
        <v/>
      </c>
      <c r="M196" s="21" t="str">
        <f>IFERROR(__xludf.DUMMYFUNCTION("IFERROR((GOOGLEFINANCE(C196, ""price"") / INDEX(GOOGLEFINANCE(C196, ""price"", EDATE(TODAY(), -1), TODAY()), 2, 2)) - 1, """")"),"")</f>
        <v/>
      </c>
      <c r="N196" s="21" t="str">
        <f>IFERROR(__xludf.DUMMYFUNCTION("IFERROR((GOOGLEFINANCE(C196, ""price"") / INDEX(GOOGLEFINANCE(C196, ""price"", EDATE(TODAY(), -3), TODAY()), 2, 2)) - 1, """")"),"")</f>
        <v/>
      </c>
      <c r="O196" s="21" t="str">
        <f>IFERROR(__xludf.DUMMYFUNCTION("IFERROR((GOOGLEFINANCE(C196, ""price"") / INDEX(GOOGLEFINANCE(C196, ""price"", EDATE(TODAY(), -6), TODAY()), 2, 2)) - 1, """")"),"")</f>
        <v/>
      </c>
      <c r="P196" s="21" t="str">
        <f>IFERROR(__xludf.DUMMYFUNCTION("IFERROR((GOOGLEFINANCE(C196, ""price"") / INDEX(GOOGLEFINANCE(C196, ""price"", EDATE(TODAY(), -12), TODAY()), 2, 2)) - 1, """")"),"")</f>
        <v/>
      </c>
      <c r="Q196" s="6" t="str">
        <f>IFERROR(__xludf.DUMMYFUNCTION("AVERAGE(QUERY(GOOGLEFINANCE(C196, ""price"", TODAY()-80, TODAY()), ""SELECT Col2 WHERE Col2 IS NOT NULL ORDER BY Col1 DESC LIMIT 50"", 0))"),"#N/A")</f>
        <v>#N/A</v>
      </c>
      <c r="R196" s="24" t="str">
        <f>IFERROR(__xludf.DUMMYFUNCTION("IFERROR(
  LET(
    data, QUERY(GOOGLEFINANCE(C196,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GOOGLEFINANCE(C196, ""price"")) * 100,
    IF(calc=0, G196, calc)
  ), 
G196)"),"#N/A")</f>
        <v>#N/A</v>
      </c>
      <c r="S196" s="8" t="s">
        <v>15</v>
      </c>
      <c r="T196" s="26" t="str">
        <f>IFERROR(__xludf.DUMMYFUNCTION("IFERROR(TRANSPOSE(QUERY(IFERROR(SORT(GOOGLEFINANCE(C196, ""price"", WORKDAY(TODAY(), -40), TODAY()), 1, FALSE)), ""select Col2 where Col2 is not null limit 22 label Col2 ''"", 0)), """")"),"")</f>
        <v/>
      </c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8"/>
      <c r="AO196" s="28"/>
      <c r="AP196" s="29"/>
      <c r="AQ196" s="29" t="str">
        <f t="shared" ref="AQ196:BL196" si="200">T196/T$2</f>
        <v>#N/A</v>
      </c>
      <c r="AR196" s="29" t="str">
        <f t="shared" si="200"/>
        <v>#DIV/0!</v>
      </c>
      <c r="AS196" s="29" t="str">
        <f t="shared" si="200"/>
        <v>#DIV/0!</v>
      </c>
      <c r="AT196" s="29" t="str">
        <f t="shared" si="200"/>
        <v>#DIV/0!</v>
      </c>
      <c r="AU196" s="29" t="str">
        <f t="shared" si="200"/>
        <v>#DIV/0!</v>
      </c>
      <c r="AV196" s="29" t="str">
        <f t="shared" si="200"/>
        <v>#DIV/0!</v>
      </c>
      <c r="AW196" s="29" t="str">
        <f t="shared" si="200"/>
        <v>#DIV/0!</v>
      </c>
      <c r="AX196" s="29" t="str">
        <f t="shared" si="200"/>
        <v>#DIV/0!</v>
      </c>
      <c r="AY196" s="29" t="str">
        <f t="shared" si="200"/>
        <v>#DIV/0!</v>
      </c>
      <c r="AZ196" s="29" t="str">
        <f t="shared" si="200"/>
        <v>#DIV/0!</v>
      </c>
      <c r="BA196" s="29" t="str">
        <f t="shared" si="200"/>
        <v>#DIV/0!</v>
      </c>
      <c r="BB196" s="29" t="str">
        <f t="shared" si="200"/>
        <v>#DIV/0!</v>
      </c>
      <c r="BC196" s="29" t="str">
        <f t="shared" si="200"/>
        <v>#DIV/0!</v>
      </c>
      <c r="BD196" s="29" t="str">
        <f t="shared" si="200"/>
        <v>#DIV/0!</v>
      </c>
      <c r="BE196" s="29" t="str">
        <f t="shared" si="200"/>
        <v>#DIV/0!</v>
      </c>
      <c r="BF196" s="29" t="str">
        <f t="shared" si="200"/>
        <v>#DIV/0!</v>
      </c>
      <c r="BG196" s="29" t="str">
        <f t="shared" si="200"/>
        <v>#DIV/0!</v>
      </c>
      <c r="BH196" s="29" t="str">
        <f t="shared" si="200"/>
        <v>#DIV/0!</v>
      </c>
      <c r="BI196" s="29" t="str">
        <f t="shared" si="200"/>
        <v>#DIV/0!</v>
      </c>
      <c r="BJ196" s="29" t="str">
        <f t="shared" si="200"/>
        <v>#DIV/0!</v>
      </c>
      <c r="BK196" s="29" t="str">
        <f t="shared" si="200"/>
        <v>#DIV/0!</v>
      </c>
      <c r="BL196" s="29" t="str">
        <f t="shared" si="200"/>
        <v>#DIV/0!</v>
      </c>
      <c r="BM196" s="29" t="str">
        <f t="shared" si="3"/>
        <v>#DIV/0!</v>
      </c>
    </row>
    <row r="197">
      <c r="A197" s="16" t="str">
        <f>IFERROR(__xludf.DUMMYFUNCTION("IFERROR(SPARKLINE(SORT(MAP(TRANSPOSE(AQ197:BL197), LAMBDA(val, IF(ISNUMBER(val), PERCENTRANK(AQ197:BL197, val)+0.01, 0))), SEQUENCE(COLUMNS(AQ197:BL197)), FALSE), {""charttype"",""column""; ""color"",""chartreuse""; ""ymin"", 0; ""ymax"", 1.01; ""highcolo"&amp;"r"", ""darkgreen""; ""lowcolor"", ""red""}), """")"),"")</f>
        <v/>
      </c>
      <c r="B197" s="17" t="str">
        <f t="shared" si="4"/>
        <v/>
      </c>
      <c r="C197" s="1" t="s">
        <v>3368</v>
      </c>
      <c r="D197" s="30" t="str">
        <f>IFERROR(__xludf.DUMMYFUNCTION("IFERROR(GOOGLEFINANCE(C197, ""NAME""))"),"Valhi Inc")</f>
        <v>Valhi Inc</v>
      </c>
      <c r="E197" s="30" t="s">
        <v>3035</v>
      </c>
      <c r="F197" s="33" t="str">
        <f>IFERROR(__xludf.DUMMYFUNCTION("( (GOOGLEFINANCE(C197, ""price"") - Q197) / Q197 ) / (R197 / 100)"),"Loading...")</f>
        <v>Loading...</v>
      </c>
      <c r="G197" s="20" t="str">
        <f>IFERROR(__xludf.DUMMYFUNCTION("AVERAGE(ARRAYFORMULA(100 * (QUERY(GOOGLEFINANCE(C197, ""high"", TODAY()-40, TODAY()), ""SELECT Col2 WHERE Col2 IS NOT NULL ORDER BY Col1 DESC LIMIT 20"", 0) / QUERY(GOOGLEFINANCE(C197, ""low"", TODAY()-40, TODAY()), ""SELECT Col2 WHERE Col2 IS NOT NULL OR"&amp;"DER BY Col1 DESC LIMIT 20"", 0) - 1)))"),"#N/A")</f>
        <v>#N/A</v>
      </c>
      <c r="H197" s="35" t="str">
        <f t="shared" si="35"/>
        <v>Illiquid</v>
      </c>
      <c r="I197" s="35" t="str">
        <f t="shared" si="7"/>
        <v>RVol Required</v>
      </c>
      <c r="J197" s="37">
        <f>IFERROR(__xludf.DUMMYFUNCTION("IFERROR(
  IF(C197="""",, 
    IFERROR(
      GOOGLEFINANCE(C197, ""price"") * GOOGLEFINANCE(C197, ""volumeavg""), 
      GOOGLEFINANCE(C197, ""price"") * AVERAGE(QUERY(GOOGLEFINANCE(C197, ""volume"", TODAY()-40, TODAY()), ""SELECT Col2 WHERE Col2 IS NOT "&amp;"NULL ORDER BY Col1 DESC LIMIT 20"", 0))
    )
  ), 
"""")"),171124.76)</f>
        <v>171124.76</v>
      </c>
      <c r="K197" s="21">
        <f>IFERROR(__xludf.DUMMYFUNCTION("IFERROR(GOOGLEFINANCE(C197, ""changepct"") / 100, """")"),0.0014000000000000002)</f>
        <v>0.0014</v>
      </c>
      <c r="L197" s="21" t="str">
        <f>IFERROR(__xludf.DUMMYFUNCTION("IFERROR((GOOGLEFINANCE(C197, ""price"") / INDEX(GOOGLEFINANCE(C197, ""price"", TODAY()-7, TODAY()), 2, 2)) - 1, """")"),"")</f>
        <v/>
      </c>
      <c r="M197" s="21" t="str">
        <f>IFERROR(__xludf.DUMMYFUNCTION("IFERROR((GOOGLEFINANCE(C197, ""price"") / INDEX(GOOGLEFINANCE(C197, ""price"", EDATE(TODAY(), -1), TODAY()), 2, 2)) - 1, """")"),"")</f>
        <v/>
      </c>
      <c r="N197" s="21" t="str">
        <f>IFERROR(__xludf.DUMMYFUNCTION("IFERROR((GOOGLEFINANCE(C197, ""price"") / INDEX(GOOGLEFINANCE(C197, ""price"", EDATE(TODAY(), -3), TODAY()), 2, 2)) - 1, """")"),"")</f>
        <v/>
      </c>
      <c r="O197" s="21" t="str">
        <f>IFERROR(__xludf.DUMMYFUNCTION("IFERROR((GOOGLEFINANCE(C197, ""price"") / INDEX(GOOGLEFINANCE(C197, ""price"", EDATE(TODAY(), -6), TODAY()), 2, 2)) - 1, """")"),"")</f>
        <v/>
      </c>
      <c r="P197" s="21" t="str">
        <f>IFERROR(__xludf.DUMMYFUNCTION("IFERROR((GOOGLEFINANCE(C197, ""price"") / INDEX(GOOGLEFINANCE(C197, ""price"", EDATE(TODAY(), -12), TODAY()), 2, 2)) - 1, """")"),"")</f>
        <v/>
      </c>
      <c r="Q197" s="6" t="str">
        <f>IFERROR(__xludf.DUMMYFUNCTION("AVERAGE(QUERY(GOOGLEFINANCE(C197, ""price"", TODAY()-80, TODAY()), ""SELECT Col2 WHERE Col2 IS NOT NULL ORDER BY Col1 DESC LIMIT 50"", 0))"),"#N/A")</f>
        <v>#N/A</v>
      </c>
      <c r="R197" s="24" t="str">
        <f>IFERROR(__xludf.DUMMYFUNCTION("IFERROR(
  LET(
    data, QUERY(GOOGLEFINANCE(C197,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GOOGLEFINANCE(C197, ""price"")) * 100,
    IF(calc=0, G197, calc)
  ), 
G197)"),"#N/A")</f>
        <v>#N/A</v>
      </c>
      <c r="S197" s="8" t="s">
        <v>15</v>
      </c>
      <c r="T197" s="26" t="str">
        <f>IFERROR(__xludf.DUMMYFUNCTION("IFERROR(TRANSPOSE(QUERY(IFERROR(SORT(GOOGLEFINANCE(C197, ""price"", WORKDAY(TODAY(), -40), TODAY()), 1, FALSE)), ""select Col2 where Col2 is not null limit 22 label Col2 ''"", 0)), """")"),"")</f>
        <v/>
      </c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8"/>
      <c r="AO197" s="28"/>
      <c r="AP197" s="29"/>
      <c r="AQ197" s="29" t="str">
        <f t="shared" ref="AQ197:BL197" si="201">T197/T$2</f>
        <v>#N/A</v>
      </c>
      <c r="AR197" s="29" t="str">
        <f t="shared" si="201"/>
        <v>#DIV/0!</v>
      </c>
      <c r="AS197" s="29" t="str">
        <f t="shared" si="201"/>
        <v>#DIV/0!</v>
      </c>
      <c r="AT197" s="29" t="str">
        <f t="shared" si="201"/>
        <v>#DIV/0!</v>
      </c>
      <c r="AU197" s="29" t="str">
        <f t="shared" si="201"/>
        <v>#DIV/0!</v>
      </c>
      <c r="AV197" s="29" t="str">
        <f t="shared" si="201"/>
        <v>#DIV/0!</v>
      </c>
      <c r="AW197" s="29" t="str">
        <f t="shared" si="201"/>
        <v>#DIV/0!</v>
      </c>
      <c r="AX197" s="29" t="str">
        <f t="shared" si="201"/>
        <v>#DIV/0!</v>
      </c>
      <c r="AY197" s="29" t="str">
        <f t="shared" si="201"/>
        <v>#DIV/0!</v>
      </c>
      <c r="AZ197" s="29" t="str">
        <f t="shared" si="201"/>
        <v>#DIV/0!</v>
      </c>
      <c r="BA197" s="29" t="str">
        <f t="shared" si="201"/>
        <v>#DIV/0!</v>
      </c>
      <c r="BB197" s="29" t="str">
        <f t="shared" si="201"/>
        <v>#DIV/0!</v>
      </c>
      <c r="BC197" s="29" t="str">
        <f t="shared" si="201"/>
        <v>#DIV/0!</v>
      </c>
      <c r="BD197" s="29" t="str">
        <f t="shared" si="201"/>
        <v>#DIV/0!</v>
      </c>
      <c r="BE197" s="29" t="str">
        <f t="shared" si="201"/>
        <v>#DIV/0!</v>
      </c>
      <c r="BF197" s="29" t="str">
        <f t="shared" si="201"/>
        <v>#DIV/0!</v>
      </c>
      <c r="BG197" s="29" t="str">
        <f t="shared" si="201"/>
        <v>#DIV/0!</v>
      </c>
      <c r="BH197" s="29" t="str">
        <f t="shared" si="201"/>
        <v>#DIV/0!</v>
      </c>
      <c r="BI197" s="29" t="str">
        <f t="shared" si="201"/>
        <v>#DIV/0!</v>
      </c>
      <c r="BJ197" s="29" t="str">
        <f t="shared" si="201"/>
        <v>#DIV/0!</v>
      </c>
      <c r="BK197" s="29" t="str">
        <f t="shared" si="201"/>
        <v>#DIV/0!</v>
      </c>
      <c r="BL197" s="29" t="str">
        <f t="shared" si="201"/>
        <v>#DIV/0!</v>
      </c>
      <c r="BM197" s="29" t="str">
        <f t="shared" si="3"/>
        <v>#DIV/0!</v>
      </c>
    </row>
    <row r="198">
      <c r="A198" s="16" t="str">
        <f>IFERROR(__xludf.DUMMYFUNCTION("IFERROR(SPARKLINE(SORT(MAP(TRANSPOSE(AQ198:BL198), LAMBDA(val, IF(ISNUMBER(val), PERCENTRANK(AQ198:BL198, val)+0.01, 0))), SEQUENCE(COLUMNS(AQ198:BL198)), FALSE), {""charttype"",""column""; ""color"",""chartreuse""; ""ymin"", 0; ""ymax"", 1.01; ""highcolo"&amp;"r"", ""darkgreen""; ""lowcolor"", ""red""}), """")"),"")</f>
        <v/>
      </c>
      <c r="B198" s="17" t="str">
        <f t="shared" si="4"/>
        <v/>
      </c>
      <c r="C198" s="1" t="s">
        <v>3369</v>
      </c>
      <c r="D198" s="30" t="str">
        <f>IFERROR(__xludf.DUMMYFUNCTION("IFERROR(GOOGLEFINANCE(C198, ""NAME""))"),"PPG Industries Inc")</f>
        <v>PPG Industries Inc</v>
      </c>
      <c r="E198" s="30" t="s">
        <v>2995</v>
      </c>
      <c r="F198" s="33" t="str">
        <f>IFERROR(__xludf.DUMMYFUNCTION("( (GOOGLEFINANCE(C198, ""price"") - Q198) / Q198 ) / (R198 / 100)"),"Loading...")</f>
        <v>Loading...</v>
      </c>
      <c r="G198" s="20" t="str">
        <f>IFERROR(__xludf.DUMMYFUNCTION("AVERAGE(ARRAYFORMULA(100 * (QUERY(GOOGLEFINANCE(C198, ""high"", TODAY()-40, TODAY()), ""SELECT Col2 WHERE Col2 IS NOT NULL ORDER BY Col1 DESC LIMIT 20"", 0) / QUERY(GOOGLEFINANCE(C198, ""low"", TODAY()-40, TODAY()), ""SELECT Col2 WHERE Col2 IS NOT NULL OR"&amp;"DER BY Col1 DESC LIMIT 20"", 0) - 1)))"),"#N/A")</f>
        <v>#N/A</v>
      </c>
      <c r="H198" s="35" t="str">
        <f t="shared" si="35"/>
        <v>Liquid</v>
      </c>
      <c r="I198" s="35" t="str">
        <f t="shared" si="7"/>
        <v>RVol Required</v>
      </c>
      <c r="J198" s="37">
        <f>IFERROR(__xludf.DUMMYFUNCTION("IFERROR(
  IF(C198="""",, 
    IFERROR(
      GOOGLEFINANCE(C198, ""price"") * GOOGLEFINANCE(C198, ""volumeavg""), 
      GOOGLEFINANCE(C198, ""price"") * AVERAGE(QUERY(GOOGLEFINANCE(C198, ""volume"", TODAY()-40, TODAY()), ""SELECT Col2 WHERE Col2 IS NOT "&amp;"NULL ORDER BY Col1 DESC LIMIT 20"", 0))
    )
  ), 
"""")"),1.8517096615E8)</f>
        <v>185170966.2</v>
      </c>
      <c r="K198" s="21">
        <f>IFERROR(__xludf.DUMMYFUNCTION("IFERROR(GOOGLEFINANCE(C198, ""changepct"") / 100, """")"),-0.0039000000000000003)</f>
        <v>-0.0039</v>
      </c>
      <c r="L198" s="21" t="str">
        <f>IFERROR(__xludf.DUMMYFUNCTION("IFERROR((GOOGLEFINANCE(C198, ""price"") / INDEX(GOOGLEFINANCE(C198, ""price"", TODAY()-7, TODAY()), 2, 2)) - 1, """")"),"")</f>
        <v/>
      </c>
      <c r="M198" s="21" t="str">
        <f>IFERROR(__xludf.DUMMYFUNCTION("IFERROR((GOOGLEFINANCE(C198, ""price"") / INDEX(GOOGLEFINANCE(C198, ""price"", EDATE(TODAY(), -1), TODAY()), 2, 2)) - 1, """")"),"")</f>
        <v/>
      </c>
      <c r="N198" s="21" t="str">
        <f>IFERROR(__xludf.DUMMYFUNCTION("IFERROR((GOOGLEFINANCE(C198, ""price"") / INDEX(GOOGLEFINANCE(C198, ""price"", EDATE(TODAY(), -3), TODAY()), 2, 2)) - 1, """")"),"")</f>
        <v/>
      </c>
      <c r="O198" s="21" t="str">
        <f>IFERROR(__xludf.DUMMYFUNCTION("IFERROR((GOOGLEFINANCE(C198, ""price"") / INDEX(GOOGLEFINANCE(C198, ""price"", EDATE(TODAY(), -6), TODAY()), 2, 2)) - 1, """")"),"")</f>
        <v/>
      </c>
      <c r="P198" s="21" t="str">
        <f>IFERROR(__xludf.DUMMYFUNCTION("IFERROR((GOOGLEFINANCE(C198, ""price"") / INDEX(GOOGLEFINANCE(C198, ""price"", EDATE(TODAY(), -12), TODAY()), 2, 2)) - 1, """")"),"")</f>
        <v/>
      </c>
      <c r="Q198" s="6" t="str">
        <f>IFERROR(__xludf.DUMMYFUNCTION("AVERAGE(QUERY(GOOGLEFINANCE(C198, ""price"", TODAY()-80, TODAY()), ""SELECT Col2 WHERE Col2 IS NOT NULL ORDER BY Col1 DESC LIMIT 50"", 0))"),"#N/A")</f>
        <v>#N/A</v>
      </c>
      <c r="R198" s="24" t="str">
        <f>IFERROR(__xludf.DUMMYFUNCTION("IFERROR(
  LET(
    data, QUERY(GOOGLEFINANCE(C198,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GOOGLEFINANCE(C198, ""price"")) * 100,
    IF(calc=0, G198, calc)
  ), 
G198)"),"#N/A")</f>
        <v>#N/A</v>
      </c>
      <c r="S198" s="8" t="s">
        <v>15</v>
      </c>
      <c r="T198" s="26" t="str">
        <f>IFERROR(__xludf.DUMMYFUNCTION("IFERROR(TRANSPOSE(QUERY(IFERROR(SORT(GOOGLEFINANCE(C198, ""price"", WORKDAY(TODAY(), -40), TODAY()), 1, FALSE)), ""select Col2 where Col2 is not null limit 22 label Col2 ''"", 0)), """")"),"")</f>
        <v/>
      </c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8"/>
      <c r="AO198" s="28"/>
      <c r="AP198" s="29"/>
      <c r="AQ198" s="29" t="str">
        <f t="shared" ref="AQ198:BL198" si="202">T198/T$2</f>
        <v>#N/A</v>
      </c>
      <c r="AR198" s="29" t="str">
        <f t="shared" si="202"/>
        <v>#DIV/0!</v>
      </c>
      <c r="AS198" s="29" t="str">
        <f t="shared" si="202"/>
        <v>#DIV/0!</v>
      </c>
      <c r="AT198" s="29" t="str">
        <f t="shared" si="202"/>
        <v>#DIV/0!</v>
      </c>
      <c r="AU198" s="29" t="str">
        <f t="shared" si="202"/>
        <v>#DIV/0!</v>
      </c>
      <c r="AV198" s="29" t="str">
        <f t="shared" si="202"/>
        <v>#DIV/0!</v>
      </c>
      <c r="AW198" s="29" t="str">
        <f t="shared" si="202"/>
        <v>#DIV/0!</v>
      </c>
      <c r="AX198" s="29" t="str">
        <f t="shared" si="202"/>
        <v>#DIV/0!</v>
      </c>
      <c r="AY198" s="29" t="str">
        <f t="shared" si="202"/>
        <v>#DIV/0!</v>
      </c>
      <c r="AZ198" s="29" t="str">
        <f t="shared" si="202"/>
        <v>#DIV/0!</v>
      </c>
      <c r="BA198" s="29" t="str">
        <f t="shared" si="202"/>
        <v>#DIV/0!</v>
      </c>
      <c r="BB198" s="29" t="str">
        <f t="shared" si="202"/>
        <v>#DIV/0!</v>
      </c>
      <c r="BC198" s="29" t="str">
        <f t="shared" si="202"/>
        <v>#DIV/0!</v>
      </c>
      <c r="BD198" s="29" t="str">
        <f t="shared" si="202"/>
        <v>#DIV/0!</v>
      </c>
      <c r="BE198" s="29" t="str">
        <f t="shared" si="202"/>
        <v>#DIV/0!</v>
      </c>
      <c r="BF198" s="29" t="str">
        <f t="shared" si="202"/>
        <v>#DIV/0!</v>
      </c>
      <c r="BG198" s="29" t="str">
        <f t="shared" si="202"/>
        <v>#DIV/0!</v>
      </c>
      <c r="BH198" s="29" t="str">
        <f t="shared" si="202"/>
        <v>#DIV/0!</v>
      </c>
      <c r="BI198" s="29" t="str">
        <f t="shared" si="202"/>
        <v>#DIV/0!</v>
      </c>
      <c r="BJ198" s="29" t="str">
        <f t="shared" si="202"/>
        <v>#DIV/0!</v>
      </c>
      <c r="BK198" s="29" t="str">
        <f t="shared" si="202"/>
        <v>#DIV/0!</v>
      </c>
      <c r="BL198" s="29" t="str">
        <f t="shared" si="202"/>
        <v>#DIV/0!</v>
      </c>
      <c r="BM198" s="29" t="str">
        <f t="shared" si="3"/>
        <v>#DIV/0!</v>
      </c>
    </row>
    <row r="199">
      <c r="A199" s="16" t="str">
        <f>IFERROR(__xludf.DUMMYFUNCTION("IFERROR(SPARKLINE(SORT(MAP(TRANSPOSE(AQ199:BL199), LAMBDA(val, IF(ISNUMBER(val), PERCENTRANK(AQ199:BL199, val)+0.01, 0))), SEQUENCE(COLUMNS(AQ199:BL199)), FALSE), {""charttype"",""column""; ""color"",""chartreuse""; ""ymin"", 0; ""ymax"", 1.01; ""highcolo"&amp;"r"", ""darkgreen""; ""lowcolor"", ""red""}), """")"),"")</f>
        <v/>
      </c>
      <c r="B199" s="17" t="str">
        <f t="shared" si="4"/>
        <v/>
      </c>
      <c r="C199" s="1" t="s">
        <v>3370</v>
      </c>
      <c r="D199" s="30" t="str">
        <f>IFERROR(__xludf.DUMMYFUNCTION("IFERROR(GOOGLEFINANCE(C199, ""NAME""))"),"Eagle Materials Inc")</f>
        <v>Eagle Materials Inc</v>
      </c>
      <c r="E199" s="30" t="s">
        <v>3098</v>
      </c>
      <c r="F199" s="33" t="str">
        <f>IFERROR(__xludf.DUMMYFUNCTION("( (GOOGLEFINANCE(C199, ""price"") - Q199) / Q199 ) / (R199 / 100)"),"Loading...")</f>
        <v>Loading...</v>
      </c>
      <c r="G199" s="20" t="str">
        <f>IFERROR(__xludf.DUMMYFUNCTION("AVERAGE(ARRAYFORMULA(100 * (QUERY(GOOGLEFINANCE(C199, ""high"", TODAY()-40, TODAY()), ""SELECT Col2 WHERE Col2 IS NOT NULL ORDER BY Col1 DESC LIMIT 20"", 0) / QUERY(GOOGLEFINANCE(C199, ""low"", TODAY()-40, TODAY()), ""SELECT Col2 WHERE Col2 IS NOT NULL OR"&amp;"DER BY Col1 DESC LIMIT 20"", 0) - 1)))"),"#N/A")</f>
        <v>#N/A</v>
      </c>
      <c r="H199" s="35" t="str">
        <f t="shared" si="35"/>
        <v>Liquid</v>
      </c>
      <c r="I199" s="35" t="str">
        <f t="shared" si="7"/>
        <v>RVol Required</v>
      </c>
      <c r="J199" s="37">
        <f>IFERROR(__xludf.DUMMYFUNCTION("IFERROR(
  IF(C199="""",, 
    IFERROR(
      GOOGLEFINANCE(C199, ""price"") * GOOGLEFINANCE(C199, ""volumeavg""), 
      GOOGLEFINANCE(C199, ""price"") * AVERAGE(QUERY(GOOGLEFINANCE(C199, ""volume"", TODAY()-40, TODAY()), ""SELECT Col2 WHERE Col2 IS NOT "&amp;"NULL ORDER BY Col1 DESC LIMIT 20"", 0))
    )
  ), 
"""")"),7.795366524E7)</f>
        <v>77953665.24</v>
      </c>
      <c r="K199" s="21">
        <f>IFERROR(__xludf.DUMMYFUNCTION("IFERROR(GOOGLEFINANCE(C199, ""changepct"") / 100, """")"),-0.0033)</f>
        <v>-0.0033</v>
      </c>
      <c r="L199" s="21" t="str">
        <f>IFERROR(__xludf.DUMMYFUNCTION("IFERROR((GOOGLEFINANCE(C199, ""price"") / INDEX(GOOGLEFINANCE(C199, ""price"", TODAY()-7, TODAY()), 2, 2)) - 1, """")"),"")</f>
        <v/>
      </c>
      <c r="M199" s="21" t="str">
        <f>IFERROR(__xludf.DUMMYFUNCTION("IFERROR((GOOGLEFINANCE(C199, ""price"") / INDEX(GOOGLEFINANCE(C199, ""price"", EDATE(TODAY(), -1), TODAY()), 2, 2)) - 1, """")"),"")</f>
        <v/>
      </c>
      <c r="N199" s="21" t="str">
        <f>IFERROR(__xludf.DUMMYFUNCTION("IFERROR((GOOGLEFINANCE(C199, ""price"") / INDEX(GOOGLEFINANCE(C199, ""price"", EDATE(TODAY(), -3), TODAY()), 2, 2)) - 1, """")"),"")</f>
        <v/>
      </c>
      <c r="O199" s="21" t="str">
        <f>IFERROR(__xludf.DUMMYFUNCTION("IFERROR((GOOGLEFINANCE(C199, ""price"") / INDEX(GOOGLEFINANCE(C199, ""price"", EDATE(TODAY(), -6), TODAY()), 2, 2)) - 1, """")"),"")</f>
        <v/>
      </c>
      <c r="P199" s="21" t="str">
        <f>IFERROR(__xludf.DUMMYFUNCTION("IFERROR((GOOGLEFINANCE(C199, ""price"") / INDEX(GOOGLEFINANCE(C199, ""price"", EDATE(TODAY(), -12), TODAY()), 2, 2)) - 1, """")"),"")</f>
        <v/>
      </c>
      <c r="Q199" s="6" t="str">
        <f>IFERROR(__xludf.DUMMYFUNCTION("AVERAGE(QUERY(GOOGLEFINANCE(C199, ""price"", TODAY()-80, TODAY()), ""SELECT Col2 WHERE Col2 IS NOT NULL ORDER BY Col1 DESC LIMIT 50"", 0))"),"#N/A")</f>
        <v>#N/A</v>
      </c>
      <c r="R199" s="24" t="str">
        <f>IFERROR(__xludf.DUMMYFUNCTION("IFERROR(
  LET(
    data, QUERY(GOOGLEFINANCE(C199,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GOOGLEFINANCE(C199, ""price"")) * 100,
    IF(calc=0, G199, calc)
  ), 
G199)"),"#N/A")</f>
        <v>#N/A</v>
      </c>
      <c r="S199" s="8" t="s">
        <v>15</v>
      </c>
      <c r="T199" s="26" t="str">
        <f>IFERROR(__xludf.DUMMYFUNCTION("IFERROR(TRANSPOSE(QUERY(IFERROR(SORT(GOOGLEFINANCE(C199, ""price"", WORKDAY(TODAY(), -40), TODAY()), 1, FALSE)), ""select Col2 where Col2 is not null limit 22 label Col2 ''"", 0)), """")"),"")</f>
        <v/>
      </c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8"/>
      <c r="AO199" s="28"/>
      <c r="AP199" s="29"/>
      <c r="AQ199" s="29" t="str">
        <f t="shared" ref="AQ199:BL199" si="203">T199/T$2</f>
        <v>#N/A</v>
      </c>
      <c r="AR199" s="29" t="str">
        <f t="shared" si="203"/>
        <v>#DIV/0!</v>
      </c>
      <c r="AS199" s="29" t="str">
        <f t="shared" si="203"/>
        <v>#DIV/0!</v>
      </c>
      <c r="AT199" s="29" t="str">
        <f t="shared" si="203"/>
        <v>#DIV/0!</v>
      </c>
      <c r="AU199" s="29" t="str">
        <f t="shared" si="203"/>
        <v>#DIV/0!</v>
      </c>
      <c r="AV199" s="29" t="str">
        <f t="shared" si="203"/>
        <v>#DIV/0!</v>
      </c>
      <c r="AW199" s="29" t="str">
        <f t="shared" si="203"/>
        <v>#DIV/0!</v>
      </c>
      <c r="AX199" s="29" t="str">
        <f t="shared" si="203"/>
        <v>#DIV/0!</v>
      </c>
      <c r="AY199" s="29" t="str">
        <f t="shared" si="203"/>
        <v>#DIV/0!</v>
      </c>
      <c r="AZ199" s="29" t="str">
        <f t="shared" si="203"/>
        <v>#DIV/0!</v>
      </c>
      <c r="BA199" s="29" t="str">
        <f t="shared" si="203"/>
        <v>#DIV/0!</v>
      </c>
      <c r="BB199" s="29" t="str">
        <f t="shared" si="203"/>
        <v>#DIV/0!</v>
      </c>
      <c r="BC199" s="29" t="str">
        <f t="shared" si="203"/>
        <v>#DIV/0!</v>
      </c>
      <c r="BD199" s="29" t="str">
        <f t="shared" si="203"/>
        <v>#DIV/0!</v>
      </c>
      <c r="BE199" s="29" t="str">
        <f t="shared" si="203"/>
        <v>#DIV/0!</v>
      </c>
      <c r="BF199" s="29" t="str">
        <f t="shared" si="203"/>
        <v>#DIV/0!</v>
      </c>
      <c r="BG199" s="29" t="str">
        <f t="shared" si="203"/>
        <v>#DIV/0!</v>
      </c>
      <c r="BH199" s="29" t="str">
        <f t="shared" si="203"/>
        <v>#DIV/0!</v>
      </c>
      <c r="BI199" s="29" t="str">
        <f t="shared" si="203"/>
        <v>#DIV/0!</v>
      </c>
      <c r="BJ199" s="29" t="str">
        <f t="shared" si="203"/>
        <v>#DIV/0!</v>
      </c>
      <c r="BK199" s="29" t="str">
        <f t="shared" si="203"/>
        <v>#DIV/0!</v>
      </c>
      <c r="BL199" s="29" t="str">
        <f t="shared" si="203"/>
        <v>#DIV/0!</v>
      </c>
      <c r="BM199" s="29" t="str">
        <f t="shared" si="3"/>
        <v>#DIV/0!</v>
      </c>
    </row>
    <row r="200">
      <c r="A200" s="16" t="str">
        <f>IFERROR(__xludf.DUMMYFUNCTION("IFERROR(SPARKLINE(SORT(MAP(TRANSPOSE(AQ200:BL200), LAMBDA(val, IF(ISNUMBER(val), PERCENTRANK(AQ200:BL200, val)+0.01, 0))), SEQUENCE(COLUMNS(AQ200:BL200)), FALSE), {""charttype"",""column""; ""color"",""chartreuse""; ""ymin"", 0; ""ymax"", 1.01; ""highcolo"&amp;"r"", ""darkgreen""; ""lowcolor"", ""red""}), """")"),"")</f>
        <v/>
      </c>
      <c r="B200" s="17" t="str">
        <f t="shared" si="4"/>
        <v/>
      </c>
      <c r="C200" s="1" t="s">
        <v>3371</v>
      </c>
      <c r="D200" s="30" t="str">
        <f>IFERROR(__xludf.DUMMYFUNCTION("IFERROR(GOOGLEFINANCE(C200, ""NAME""))"),"James Hardie Industries PLC")</f>
        <v>James Hardie Industries PLC</v>
      </c>
      <c r="E200" s="30" t="s">
        <v>3098</v>
      </c>
      <c r="F200" s="33" t="str">
        <f>IFERROR(__xludf.DUMMYFUNCTION("( (GOOGLEFINANCE(C200, ""price"") - Q200) / Q200 ) / (R200 / 100)"),"Loading...")</f>
        <v>Loading...</v>
      </c>
      <c r="G200" s="20" t="str">
        <f>IFERROR(__xludf.DUMMYFUNCTION("AVERAGE(ARRAYFORMULA(100 * (QUERY(GOOGLEFINANCE(C200, ""high"", TODAY()-40, TODAY()), ""SELECT Col2 WHERE Col2 IS NOT NULL ORDER BY Col1 DESC LIMIT 20"", 0) / QUERY(GOOGLEFINANCE(C200, ""low"", TODAY()-40, TODAY()), ""SELECT Col2 WHERE Col2 IS NOT NULL OR"&amp;"DER BY Col1 DESC LIMIT 20"", 0) - 1)))"),"#N/A")</f>
        <v>#N/A</v>
      </c>
      <c r="H200" s="35" t="str">
        <f t="shared" si="35"/>
        <v>Liquid</v>
      </c>
      <c r="I200" s="35" t="str">
        <f t="shared" si="7"/>
        <v>RVol Required</v>
      </c>
      <c r="J200" s="37">
        <f>IFERROR(__xludf.DUMMYFUNCTION("IFERROR(
  IF(C200="""",, 
    IFERROR(
      GOOGLEFINANCE(C200, ""price"") * GOOGLEFINANCE(C200, ""volumeavg""), 
      GOOGLEFINANCE(C200, ""price"") * AVERAGE(QUERY(GOOGLEFINANCE(C200, ""volume"", TODAY()-40, TODAY()), ""SELECT Col2 WHERE Col2 IS NOT "&amp;"NULL ORDER BY Col1 DESC LIMIT 20"", 0))
    )
  ), 
"""")"),3.0440827242E8)</f>
        <v>304408272.4</v>
      </c>
      <c r="K200" s="21">
        <f>IFERROR(__xludf.DUMMYFUNCTION("IFERROR(GOOGLEFINANCE(C200, ""changepct"") / 100, """")"),-0.0031)</f>
        <v>-0.0031</v>
      </c>
      <c r="L200" s="21" t="str">
        <f>IFERROR(__xludf.DUMMYFUNCTION("IFERROR((GOOGLEFINANCE(C200, ""price"") / INDEX(GOOGLEFINANCE(C200, ""price"", TODAY()-7, TODAY()), 2, 2)) - 1, """")"),"")</f>
        <v/>
      </c>
      <c r="M200" s="21" t="str">
        <f>IFERROR(__xludf.DUMMYFUNCTION("IFERROR((GOOGLEFINANCE(C200, ""price"") / INDEX(GOOGLEFINANCE(C200, ""price"", EDATE(TODAY(), -1), TODAY()), 2, 2)) - 1, """")"),"")</f>
        <v/>
      </c>
      <c r="N200" s="21" t="str">
        <f>IFERROR(__xludf.DUMMYFUNCTION("IFERROR((GOOGLEFINANCE(C200, ""price"") / INDEX(GOOGLEFINANCE(C200, ""price"", EDATE(TODAY(), -3), TODAY()), 2, 2)) - 1, """")"),"")</f>
        <v/>
      </c>
      <c r="O200" s="21" t="str">
        <f>IFERROR(__xludf.DUMMYFUNCTION("IFERROR((GOOGLEFINANCE(C200, ""price"") / INDEX(GOOGLEFINANCE(C200, ""price"", EDATE(TODAY(), -6), TODAY()), 2, 2)) - 1, """")"),"")</f>
        <v/>
      </c>
      <c r="P200" s="21" t="str">
        <f>IFERROR(__xludf.DUMMYFUNCTION("IFERROR((GOOGLEFINANCE(C200, ""price"") / INDEX(GOOGLEFINANCE(C200, ""price"", EDATE(TODAY(), -12), TODAY()), 2, 2)) - 1, """")"),"")</f>
        <v/>
      </c>
      <c r="Q200" s="6" t="str">
        <f>IFERROR(__xludf.DUMMYFUNCTION("AVERAGE(QUERY(GOOGLEFINANCE(C200, ""price"", TODAY()-80, TODAY()), ""SELECT Col2 WHERE Col2 IS NOT NULL ORDER BY Col1 DESC LIMIT 50"", 0))"),"#N/A")</f>
        <v>#N/A</v>
      </c>
      <c r="R200" s="24" t="str">
        <f>IFERROR(__xludf.DUMMYFUNCTION("IFERROR(
  LET(
    data, QUERY(GOOGLEFINANCE(C200,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GOOGLEFINANCE(C200, ""price"")) * 100,
    IF(calc=0, G200, calc)
  ), 
G200)"),"#N/A")</f>
        <v>#N/A</v>
      </c>
      <c r="S200" s="8" t="s">
        <v>15</v>
      </c>
      <c r="T200" s="26" t="str">
        <f>IFERROR(__xludf.DUMMYFUNCTION("IFERROR(TRANSPOSE(QUERY(IFERROR(SORT(GOOGLEFINANCE(C200, ""price"", WORKDAY(TODAY(), -40), TODAY()), 1, FALSE)), ""select Col2 where Col2 is not null limit 22 label Col2 ''"", 0)), """")"),"")</f>
        <v/>
      </c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8"/>
      <c r="AO200" s="28"/>
      <c r="AP200" s="29"/>
      <c r="AQ200" s="29" t="str">
        <f t="shared" ref="AQ200:BL200" si="204">T200/T$2</f>
        <v>#N/A</v>
      </c>
      <c r="AR200" s="29" t="str">
        <f t="shared" si="204"/>
        <v>#DIV/0!</v>
      </c>
      <c r="AS200" s="29" t="str">
        <f t="shared" si="204"/>
        <v>#DIV/0!</v>
      </c>
      <c r="AT200" s="29" t="str">
        <f t="shared" si="204"/>
        <v>#DIV/0!</v>
      </c>
      <c r="AU200" s="29" t="str">
        <f t="shared" si="204"/>
        <v>#DIV/0!</v>
      </c>
      <c r="AV200" s="29" t="str">
        <f t="shared" si="204"/>
        <v>#DIV/0!</v>
      </c>
      <c r="AW200" s="29" t="str">
        <f t="shared" si="204"/>
        <v>#DIV/0!</v>
      </c>
      <c r="AX200" s="29" t="str">
        <f t="shared" si="204"/>
        <v>#DIV/0!</v>
      </c>
      <c r="AY200" s="29" t="str">
        <f t="shared" si="204"/>
        <v>#DIV/0!</v>
      </c>
      <c r="AZ200" s="29" t="str">
        <f t="shared" si="204"/>
        <v>#DIV/0!</v>
      </c>
      <c r="BA200" s="29" t="str">
        <f t="shared" si="204"/>
        <v>#DIV/0!</v>
      </c>
      <c r="BB200" s="29" t="str">
        <f t="shared" si="204"/>
        <v>#DIV/0!</v>
      </c>
      <c r="BC200" s="29" t="str">
        <f t="shared" si="204"/>
        <v>#DIV/0!</v>
      </c>
      <c r="BD200" s="29" t="str">
        <f t="shared" si="204"/>
        <v>#DIV/0!</v>
      </c>
      <c r="BE200" s="29" t="str">
        <f t="shared" si="204"/>
        <v>#DIV/0!</v>
      </c>
      <c r="BF200" s="29" t="str">
        <f t="shared" si="204"/>
        <v>#DIV/0!</v>
      </c>
      <c r="BG200" s="29" t="str">
        <f t="shared" si="204"/>
        <v>#DIV/0!</v>
      </c>
      <c r="BH200" s="29" t="str">
        <f t="shared" si="204"/>
        <v>#DIV/0!</v>
      </c>
      <c r="BI200" s="29" t="str">
        <f t="shared" si="204"/>
        <v>#DIV/0!</v>
      </c>
      <c r="BJ200" s="29" t="str">
        <f t="shared" si="204"/>
        <v>#DIV/0!</v>
      </c>
      <c r="BK200" s="29" t="str">
        <f t="shared" si="204"/>
        <v>#DIV/0!</v>
      </c>
      <c r="BL200" s="29" t="str">
        <f t="shared" si="204"/>
        <v>#DIV/0!</v>
      </c>
      <c r="BM200" s="29" t="str">
        <f t="shared" si="3"/>
        <v>#DIV/0!</v>
      </c>
    </row>
    <row r="201">
      <c r="A201" s="16" t="str">
        <f>IFERROR(__xludf.DUMMYFUNCTION("IFERROR(SPARKLINE(SORT(MAP(TRANSPOSE(AQ201:BL201), LAMBDA(val, IF(ISNUMBER(val), PERCENTRANK(AQ201:BL201, val)+0.01, 0))), SEQUENCE(COLUMNS(AQ201:BL201)), FALSE), {""charttype"",""column""; ""color"",""chartreuse""; ""ymin"", 0; ""ymax"", 1.01; ""highcolo"&amp;"r"", ""darkgreen""; ""lowcolor"", ""red""}), """")"),"")</f>
        <v/>
      </c>
      <c r="B201" s="17" t="str">
        <f t="shared" si="4"/>
        <v/>
      </c>
      <c r="C201" s="1" t="s">
        <v>3372</v>
      </c>
      <c r="D201" s="30" t="str">
        <f>IFERROR(__xludf.DUMMYFUNCTION("IFERROR(GOOGLEFINANCE(C201, ""NAME""))"),"Gevo Inc")</f>
        <v>Gevo Inc</v>
      </c>
      <c r="E201" s="30" t="s">
        <v>2995</v>
      </c>
      <c r="F201" s="33" t="str">
        <f>IFERROR(__xludf.DUMMYFUNCTION("( (GOOGLEFINANCE(C201, ""price"") - Q201) / Q201 ) / (R201 / 100)"),"Loading...")</f>
        <v>Loading...</v>
      </c>
      <c r="G201" s="20" t="str">
        <f>IFERROR(__xludf.DUMMYFUNCTION("AVERAGE(ARRAYFORMULA(100 * (QUERY(GOOGLEFINANCE(C201, ""high"", TODAY()-40, TODAY()), ""SELECT Col2 WHERE Col2 IS NOT NULL ORDER BY Col1 DESC LIMIT 20"", 0) / QUERY(GOOGLEFINANCE(C201, ""low"", TODAY()-40, TODAY()), ""SELECT Col2 WHERE Col2 IS NOT NULL OR"&amp;"DER BY Col1 DESC LIMIT 20"", 0) - 1)))"),"#N/A")</f>
        <v>#N/A</v>
      </c>
      <c r="H201" s="35" t="str">
        <f t="shared" si="35"/>
        <v>Illiquid</v>
      </c>
      <c r="I201" s="35" t="str">
        <f t="shared" si="7"/>
        <v>RVol Required</v>
      </c>
      <c r="J201" s="37">
        <f>IFERROR(__xludf.DUMMYFUNCTION("IFERROR(
  IF(C201="""",, 
    IFERROR(
      GOOGLEFINANCE(C201, ""price"") * GOOGLEFINANCE(C201, ""volumeavg""), 
      GOOGLEFINANCE(C201, ""price"") * AVERAGE(QUERY(GOOGLEFINANCE(C201, ""volume"", TODAY()-40, TODAY()), ""SELECT Col2 WHERE Col2 IS NOT "&amp;"NULL ORDER BY Col1 DESC LIMIT 20"", 0))
    )
  ), 
"""")"),3397973.67)</f>
        <v>3397973.67</v>
      </c>
      <c r="K201" s="21">
        <f>IFERROR(__xludf.DUMMYFUNCTION("IFERROR(GOOGLEFINANCE(C201, ""changepct"") / 100, """")"),0.0)</f>
        <v>0</v>
      </c>
      <c r="L201" s="21" t="str">
        <f>IFERROR(__xludf.DUMMYFUNCTION("IFERROR((GOOGLEFINANCE(C201, ""price"") / INDEX(GOOGLEFINANCE(C201, ""price"", TODAY()-7, TODAY()), 2, 2)) - 1, """")"),"")</f>
        <v/>
      </c>
      <c r="M201" s="21" t="str">
        <f>IFERROR(__xludf.DUMMYFUNCTION("IFERROR((GOOGLEFINANCE(C201, ""price"") / INDEX(GOOGLEFINANCE(C201, ""price"", EDATE(TODAY(), -1), TODAY()), 2, 2)) - 1, """")"),"")</f>
        <v/>
      </c>
      <c r="N201" s="21" t="str">
        <f>IFERROR(__xludf.DUMMYFUNCTION("IFERROR((GOOGLEFINANCE(C201, ""price"") / INDEX(GOOGLEFINANCE(C201, ""price"", EDATE(TODAY(), -3), TODAY()), 2, 2)) - 1, """")"),"")</f>
        <v/>
      </c>
      <c r="O201" s="21" t="str">
        <f>IFERROR(__xludf.DUMMYFUNCTION("IFERROR((GOOGLEFINANCE(C201, ""price"") / INDEX(GOOGLEFINANCE(C201, ""price"", EDATE(TODAY(), -6), TODAY()), 2, 2)) - 1, """")"),"")</f>
        <v/>
      </c>
      <c r="P201" s="21" t="str">
        <f>IFERROR(__xludf.DUMMYFUNCTION("IFERROR((GOOGLEFINANCE(C201, ""price"") / INDEX(GOOGLEFINANCE(C201, ""price"", EDATE(TODAY(), -12), TODAY()), 2, 2)) - 1, """")"),"")</f>
        <v/>
      </c>
      <c r="Q201" s="6" t="str">
        <f>IFERROR(__xludf.DUMMYFUNCTION("AVERAGE(QUERY(GOOGLEFINANCE(C201, ""price"", TODAY()-80, TODAY()), ""SELECT Col2 WHERE Col2 IS NOT NULL ORDER BY Col1 DESC LIMIT 50"", 0))"),"#N/A")</f>
        <v>#N/A</v>
      </c>
      <c r="R201" s="24" t="str">
        <f>IFERROR(__xludf.DUMMYFUNCTION("IFERROR(
  LET(
    data, QUERY(GOOGLEFINANCE(C201,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GOOGLEFINANCE(C201, ""price"")) * 100,
    IF(calc=0, G201, calc)
  ), 
G201)"),"#N/A")</f>
        <v>#N/A</v>
      </c>
      <c r="S201" s="8" t="s">
        <v>15</v>
      </c>
      <c r="T201" s="26" t="str">
        <f>IFERROR(__xludf.DUMMYFUNCTION("IFERROR(TRANSPOSE(QUERY(IFERROR(SORT(GOOGLEFINANCE(C201, ""price"", WORKDAY(TODAY(), -40), TODAY()), 1, FALSE)), ""select Col2 where Col2 is not null limit 22 label Col2 ''"", 0)), """")"),"")</f>
        <v/>
      </c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8"/>
      <c r="AO201" s="28"/>
      <c r="AP201" s="29"/>
      <c r="AQ201" s="29" t="str">
        <f t="shared" ref="AQ201:BL201" si="205">T201/T$2</f>
        <v>#N/A</v>
      </c>
      <c r="AR201" s="29" t="str">
        <f t="shared" si="205"/>
        <v>#DIV/0!</v>
      </c>
      <c r="AS201" s="29" t="str">
        <f t="shared" si="205"/>
        <v>#DIV/0!</v>
      </c>
      <c r="AT201" s="29" t="str">
        <f t="shared" si="205"/>
        <v>#DIV/0!</v>
      </c>
      <c r="AU201" s="29" t="str">
        <f t="shared" si="205"/>
        <v>#DIV/0!</v>
      </c>
      <c r="AV201" s="29" t="str">
        <f t="shared" si="205"/>
        <v>#DIV/0!</v>
      </c>
      <c r="AW201" s="29" t="str">
        <f t="shared" si="205"/>
        <v>#DIV/0!</v>
      </c>
      <c r="AX201" s="29" t="str">
        <f t="shared" si="205"/>
        <v>#DIV/0!</v>
      </c>
      <c r="AY201" s="29" t="str">
        <f t="shared" si="205"/>
        <v>#DIV/0!</v>
      </c>
      <c r="AZ201" s="29" t="str">
        <f t="shared" si="205"/>
        <v>#DIV/0!</v>
      </c>
      <c r="BA201" s="29" t="str">
        <f t="shared" si="205"/>
        <v>#DIV/0!</v>
      </c>
      <c r="BB201" s="29" t="str">
        <f t="shared" si="205"/>
        <v>#DIV/0!</v>
      </c>
      <c r="BC201" s="29" t="str">
        <f t="shared" si="205"/>
        <v>#DIV/0!</v>
      </c>
      <c r="BD201" s="29" t="str">
        <f t="shared" si="205"/>
        <v>#DIV/0!</v>
      </c>
      <c r="BE201" s="29" t="str">
        <f t="shared" si="205"/>
        <v>#DIV/0!</v>
      </c>
      <c r="BF201" s="29" t="str">
        <f t="shared" si="205"/>
        <v>#DIV/0!</v>
      </c>
      <c r="BG201" s="29" t="str">
        <f t="shared" si="205"/>
        <v>#DIV/0!</v>
      </c>
      <c r="BH201" s="29" t="str">
        <f t="shared" si="205"/>
        <v>#DIV/0!</v>
      </c>
      <c r="BI201" s="29" t="str">
        <f t="shared" si="205"/>
        <v>#DIV/0!</v>
      </c>
      <c r="BJ201" s="29" t="str">
        <f t="shared" si="205"/>
        <v>#DIV/0!</v>
      </c>
      <c r="BK201" s="29" t="str">
        <f t="shared" si="205"/>
        <v>#DIV/0!</v>
      </c>
      <c r="BL201" s="29" t="str">
        <f t="shared" si="205"/>
        <v>#DIV/0!</v>
      </c>
      <c r="BM201" s="29" t="str">
        <f t="shared" si="3"/>
        <v>#DIV/0!</v>
      </c>
    </row>
    <row r="202">
      <c r="A202" s="16" t="str">
        <f>IFERROR(__xludf.DUMMYFUNCTION("IFERROR(SPARKLINE(SORT(MAP(TRANSPOSE(AQ202:BL202), LAMBDA(val, IF(ISNUMBER(val), PERCENTRANK(AQ202:BL202, val)+0.01, 0))), SEQUENCE(COLUMNS(AQ202:BL202)), FALSE), {""charttype"",""column""; ""color"",""chartreuse""; ""ymin"", 0; ""ymax"", 1.01; ""highcolo"&amp;"r"", ""darkgreen""; ""lowcolor"", ""red""}), """")"),"")</f>
        <v/>
      </c>
      <c r="B202" s="17" t="str">
        <f t="shared" si="4"/>
        <v/>
      </c>
      <c r="C202" s="1" t="s">
        <v>3373</v>
      </c>
      <c r="D202" s="30" t="str">
        <f>IFERROR(__xludf.DUMMYFUNCTION("IFERROR(GOOGLEFINANCE(C202, ""NAME""))"),"Mativ Holdings Inc")</f>
        <v>Mativ Holdings Inc</v>
      </c>
      <c r="E202" s="30" t="s">
        <v>2995</v>
      </c>
      <c r="F202" s="33" t="str">
        <f>IFERROR(__xludf.DUMMYFUNCTION("( (GOOGLEFINANCE(C202, ""price"") - Q202) / Q202 ) / (R202 / 100)"),"Loading...")</f>
        <v>Loading...</v>
      </c>
      <c r="G202" s="20" t="str">
        <f>IFERROR(__xludf.DUMMYFUNCTION("AVERAGE(ARRAYFORMULA(100 * (QUERY(GOOGLEFINANCE(C202, ""high"", TODAY()-40, TODAY()), ""SELECT Col2 WHERE Col2 IS NOT NULL ORDER BY Col1 DESC LIMIT 20"", 0) / QUERY(GOOGLEFINANCE(C202, ""low"", TODAY()-40, TODAY()), ""SELECT Col2 WHERE Col2 IS NOT NULL OR"&amp;"DER BY Col1 DESC LIMIT 20"", 0) - 1)))"),"#N/A")</f>
        <v>#N/A</v>
      </c>
      <c r="H202" s="35" t="str">
        <f t="shared" si="35"/>
        <v>Illiquid</v>
      </c>
      <c r="I202" s="35" t="str">
        <f t="shared" si="7"/>
        <v>RVol Required</v>
      </c>
      <c r="J202" s="37">
        <f>IFERROR(__xludf.DUMMYFUNCTION("IFERROR(
  IF(C202="""",, 
    IFERROR(
      GOOGLEFINANCE(C202, ""price"") * GOOGLEFINANCE(C202, ""volumeavg""), 
      GOOGLEFINANCE(C202, ""price"") * AVERAGE(QUERY(GOOGLEFINANCE(C202, ""volume"", TODAY()-40, TODAY()), ""SELECT Col2 WHERE Col2 IS NOT "&amp;"NULL ORDER BY Col1 DESC LIMIT 20"", 0))
    )
  ), 
"""")"),5026575.21)</f>
        <v>5026575.21</v>
      </c>
      <c r="K202" s="21">
        <f>IFERROR(__xludf.DUMMYFUNCTION("IFERROR(GOOGLEFINANCE(C202, ""changepct"") / 100, """")"),-0.0394)</f>
        <v>-0.0394</v>
      </c>
      <c r="L202" s="21" t="str">
        <f>IFERROR(__xludf.DUMMYFUNCTION("IFERROR((GOOGLEFINANCE(C202, ""price"") / INDEX(GOOGLEFINANCE(C202, ""price"", TODAY()-7, TODAY()), 2, 2)) - 1, """")"),"")</f>
        <v/>
      </c>
      <c r="M202" s="21" t="str">
        <f>IFERROR(__xludf.DUMMYFUNCTION("IFERROR((GOOGLEFINANCE(C202, ""price"") / INDEX(GOOGLEFINANCE(C202, ""price"", EDATE(TODAY(), -1), TODAY()), 2, 2)) - 1, """")"),"")</f>
        <v/>
      </c>
      <c r="N202" s="21" t="str">
        <f>IFERROR(__xludf.DUMMYFUNCTION("IFERROR((GOOGLEFINANCE(C202, ""price"") / INDEX(GOOGLEFINANCE(C202, ""price"", EDATE(TODAY(), -3), TODAY()), 2, 2)) - 1, """")"),"")</f>
        <v/>
      </c>
      <c r="O202" s="21" t="str">
        <f>IFERROR(__xludf.DUMMYFUNCTION("IFERROR((GOOGLEFINANCE(C202, ""price"") / INDEX(GOOGLEFINANCE(C202, ""price"", EDATE(TODAY(), -6), TODAY()), 2, 2)) - 1, """")"),"")</f>
        <v/>
      </c>
      <c r="P202" s="21" t="str">
        <f>IFERROR(__xludf.DUMMYFUNCTION("IFERROR((GOOGLEFINANCE(C202, ""price"") / INDEX(GOOGLEFINANCE(C202, ""price"", EDATE(TODAY(), -12), TODAY()), 2, 2)) - 1, """")"),"")</f>
        <v/>
      </c>
      <c r="Q202" s="6" t="str">
        <f>IFERROR(__xludf.DUMMYFUNCTION("AVERAGE(QUERY(GOOGLEFINANCE(C202, ""price"", TODAY()-80, TODAY()), ""SELECT Col2 WHERE Col2 IS NOT NULL ORDER BY Col1 DESC LIMIT 50"", 0))"),"#N/A")</f>
        <v>#N/A</v>
      </c>
      <c r="R202" s="24" t="str">
        <f>IFERROR(__xludf.DUMMYFUNCTION("IFERROR(
  LET(
    data, QUERY(GOOGLEFINANCE(C202,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GOOGLEFINANCE(C202, ""price"")) * 100,
    IF(calc=0, G202, calc)
  ), 
G202)"),"#N/A")</f>
        <v>#N/A</v>
      </c>
      <c r="S202" s="8" t="s">
        <v>15</v>
      </c>
      <c r="T202" s="26" t="str">
        <f>IFERROR(__xludf.DUMMYFUNCTION("IFERROR(TRANSPOSE(QUERY(IFERROR(SORT(GOOGLEFINANCE(C202, ""price"", WORKDAY(TODAY(), -40), TODAY()), 1, FALSE)), ""select Col2 where Col2 is not null limit 22 label Col2 ''"", 0)), """")"),"")</f>
        <v/>
      </c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8"/>
      <c r="AO202" s="28"/>
      <c r="AP202" s="29"/>
      <c r="AQ202" s="29" t="str">
        <f t="shared" ref="AQ202:BL202" si="206">T202/T$2</f>
        <v>#N/A</v>
      </c>
      <c r="AR202" s="29" t="str">
        <f t="shared" si="206"/>
        <v>#DIV/0!</v>
      </c>
      <c r="AS202" s="29" t="str">
        <f t="shared" si="206"/>
        <v>#DIV/0!</v>
      </c>
      <c r="AT202" s="29" t="str">
        <f t="shared" si="206"/>
        <v>#DIV/0!</v>
      </c>
      <c r="AU202" s="29" t="str">
        <f t="shared" si="206"/>
        <v>#DIV/0!</v>
      </c>
      <c r="AV202" s="29" t="str">
        <f t="shared" si="206"/>
        <v>#DIV/0!</v>
      </c>
      <c r="AW202" s="29" t="str">
        <f t="shared" si="206"/>
        <v>#DIV/0!</v>
      </c>
      <c r="AX202" s="29" t="str">
        <f t="shared" si="206"/>
        <v>#DIV/0!</v>
      </c>
      <c r="AY202" s="29" t="str">
        <f t="shared" si="206"/>
        <v>#DIV/0!</v>
      </c>
      <c r="AZ202" s="29" t="str">
        <f t="shared" si="206"/>
        <v>#DIV/0!</v>
      </c>
      <c r="BA202" s="29" t="str">
        <f t="shared" si="206"/>
        <v>#DIV/0!</v>
      </c>
      <c r="BB202" s="29" t="str">
        <f t="shared" si="206"/>
        <v>#DIV/0!</v>
      </c>
      <c r="BC202" s="29" t="str">
        <f t="shared" si="206"/>
        <v>#DIV/0!</v>
      </c>
      <c r="BD202" s="29" t="str">
        <f t="shared" si="206"/>
        <v>#DIV/0!</v>
      </c>
      <c r="BE202" s="29" t="str">
        <f t="shared" si="206"/>
        <v>#DIV/0!</v>
      </c>
      <c r="BF202" s="29" t="str">
        <f t="shared" si="206"/>
        <v>#DIV/0!</v>
      </c>
      <c r="BG202" s="29" t="str">
        <f t="shared" si="206"/>
        <v>#DIV/0!</v>
      </c>
      <c r="BH202" s="29" t="str">
        <f t="shared" si="206"/>
        <v>#DIV/0!</v>
      </c>
      <c r="BI202" s="29" t="str">
        <f t="shared" si="206"/>
        <v>#DIV/0!</v>
      </c>
      <c r="BJ202" s="29" t="str">
        <f t="shared" si="206"/>
        <v>#DIV/0!</v>
      </c>
      <c r="BK202" s="29" t="str">
        <f t="shared" si="206"/>
        <v>#DIV/0!</v>
      </c>
      <c r="BL202" s="29" t="str">
        <f t="shared" si="206"/>
        <v>#DIV/0!</v>
      </c>
      <c r="BM202" s="29" t="str">
        <f t="shared" si="3"/>
        <v>#DIV/0!</v>
      </c>
    </row>
    <row r="203">
      <c r="A203" s="16" t="str">
        <f>IFERROR(__xludf.DUMMYFUNCTION("IFERROR(SPARKLINE(SORT(MAP(TRANSPOSE(AQ203:BL203), LAMBDA(val, IF(ISNUMBER(val), PERCENTRANK(AQ203:BL203, val)+0.01, 0))), SEQUENCE(COLUMNS(AQ203:BL203)), FALSE), {""charttype"",""column""; ""color"",""chartreuse""; ""ymin"", 0; ""ymax"", 1.01; ""highcolo"&amp;"r"", ""darkgreen""; ""lowcolor"", ""red""}), """")"),"")</f>
        <v/>
      </c>
      <c r="B203" s="17" t="str">
        <f t="shared" si="4"/>
        <v/>
      </c>
      <c r="C203" s="1" t="s">
        <v>3374</v>
      </c>
      <c r="D203" s="30" t="str">
        <f>IFERROR(__xludf.DUMMYFUNCTION("IFERROR(GOOGLEFINANCE(C203, ""NAME""))"),"Avient Corp")</f>
        <v>Avient Corp</v>
      </c>
      <c r="E203" s="30" t="s">
        <v>2995</v>
      </c>
      <c r="F203" s="33" t="str">
        <f>IFERROR(__xludf.DUMMYFUNCTION("( (GOOGLEFINANCE(C203, ""price"") - Q203) / Q203 ) / (R203 / 100)"),"Loading...")</f>
        <v>Loading...</v>
      </c>
      <c r="G203" s="20" t="str">
        <f>IFERROR(__xludf.DUMMYFUNCTION("AVERAGE(ARRAYFORMULA(100 * (QUERY(GOOGLEFINANCE(C203, ""high"", TODAY()-40, TODAY()), ""SELECT Col2 WHERE Col2 IS NOT NULL ORDER BY Col1 DESC LIMIT 20"", 0) / QUERY(GOOGLEFINANCE(C203, ""low"", TODAY()-40, TODAY()), ""SELECT Col2 WHERE Col2 IS NOT NULL OR"&amp;"DER BY Col1 DESC LIMIT 20"", 0) - 1)))"),"#N/A")</f>
        <v>#N/A</v>
      </c>
      <c r="H203" s="35" t="str">
        <f t="shared" si="35"/>
        <v>Illiquid</v>
      </c>
      <c r="I203" s="35" t="str">
        <f t="shared" si="7"/>
        <v>RVol Required</v>
      </c>
      <c r="J203" s="37">
        <f>IFERROR(__xludf.DUMMYFUNCTION("IFERROR(
  IF(C203="""",, 
    IFERROR(
      GOOGLEFINANCE(C203, ""price"") * GOOGLEFINANCE(C203, ""volumeavg""), 
      GOOGLEFINANCE(C203, ""price"") * AVERAGE(QUERY(GOOGLEFINANCE(C203, ""volume"", TODAY()-40, TODAY()), ""SELECT Col2 WHERE Col2 IS NOT "&amp;"NULL ORDER BY Col1 DESC LIMIT 20"", 0))
    )
  ), 
"""")"),3.172671854E7)</f>
        <v>31726718.54</v>
      </c>
      <c r="K203" s="21">
        <f>IFERROR(__xludf.DUMMYFUNCTION("IFERROR(GOOGLEFINANCE(C203, ""changepct"") / 100, """")"),-5.0E-4)</f>
        <v>-0.0005</v>
      </c>
      <c r="L203" s="21" t="str">
        <f>IFERROR(__xludf.DUMMYFUNCTION("IFERROR((GOOGLEFINANCE(C203, ""price"") / INDEX(GOOGLEFINANCE(C203, ""price"", TODAY()-7, TODAY()), 2, 2)) - 1, """")"),"")</f>
        <v/>
      </c>
      <c r="M203" s="21" t="str">
        <f>IFERROR(__xludf.DUMMYFUNCTION("IFERROR((GOOGLEFINANCE(C203, ""price"") / INDEX(GOOGLEFINANCE(C203, ""price"", EDATE(TODAY(), -1), TODAY()), 2, 2)) - 1, """")"),"")</f>
        <v/>
      </c>
      <c r="N203" s="21" t="str">
        <f>IFERROR(__xludf.DUMMYFUNCTION("IFERROR((GOOGLEFINANCE(C203, ""price"") / INDEX(GOOGLEFINANCE(C203, ""price"", EDATE(TODAY(), -3), TODAY()), 2, 2)) - 1, """")"),"")</f>
        <v/>
      </c>
      <c r="O203" s="21" t="str">
        <f>IFERROR(__xludf.DUMMYFUNCTION("IFERROR((GOOGLEFINANCE(C203, ""price"") / INDEX(GOOGLEFINANCE(C203, ""price"", EDATE(TODAY(), -6), TODAY()), 2, 2)) - 1, """")"),"")</f>
        <v/>
      </c>
      <c r="P203" s="21" t="str">
        <f>IFERROR(__xludf.DUMMYFUNCTION("IFERROR((GOOGLEFINANCE(C203, ""price"") / INDEX(GOOGLEFINANCE(C203, ""price"", EDATE(TODAY(), -12), TODAY()), 2, 2)) - 1, """")"),"")</f>
        <v/>
      </c>
      <c r="Q203" s="6" t="str">
        <f>IFERROR(__xludf.DUMMYFUNCTION("AVERAGE(QUERY(GOOGLEFINANCE(C203, ""price"", TODAY()-80, TODAY()), ""SELECT Col2 WHERE Col2 IS NOT NULL ORDER BY Col1 DESC LIMIT 50"", 0))"),"#N/A")</f>
        <v>#N/A</v>
      </c>
      <c r="R203" s="24" t="str">
        <f>IFERROR(__xludf.DUMMYFUNCTION("IFERROR(
  LET(
    data, QUERY(GOOGLEFINANCE(C203,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GOOGLEFINANCE(C203, ""price"")) * 100,
    IF(calc=0, G203, calc)
  ), 
G203)"),"#N/A")</f>
        <v>#N/A</v>
      </c>
      <c r="S203" s="8" t="s">
        <v>15</v>
      </c>
      <c r="T203" s="26" t="str">
        <f>IFERROR(__xludf.DUMMYFUNCTION("IFERROR(TRANSPOSE(QUERY(IFERROR(SORT(GOOGLEFINANCE(C203, ""price"", WORKDAY(TODAY(), -40), TODAY()), 1, FALSE)), ""select Col2 where Col2 is not null limit 22 label Col2 ''"", 0)), """")"),"")</f>
        <v/>
      </c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8"/>
      <c r="AO203" s="28"/>
      <c r="AP203" s="29"/>
      <c r="AQ203" s="29" t="str">
        <f t="shared" ref="AQ203:BL203" si="207">T203/T$2</f>
        <v>#N/A</v>
      </c>
      <c r="AR203" s="29" t="str">
        <f t="shared" si="207"/>
        <v>#DIV/0!</v>
      </c>
      <c r="AS203" s="29" t="str">
        <f t="shared" si="207"/>
        <v>#DIV/0!</v>
      </c>
      <c r="AT203" s="29" t="str">
        <f t="shared" si="207"/>
        <v>#DIV/0!</v>
      </c>
      <c r="AU203" s="29" t="str">
        <f t="shared" si="207"/>
        <v>#DIV/0!</v>
      </c>
      <c r="AV203" s="29" t="str">
        <f t="shared" si="207"/>
        <v>#DIV/0!</v>
      </c>
      <c r="AW203" s="29" t="str">
        <f t="shared" si="207"/>
        <v>#DIV/0!</v>
      </c>
      <c r="AX203" s="29" t="str">
        <f t="shared" si="207"/>
        <v>#DIV/0!</v>
      </c>
      <c r="AY203" s="29" t="str">
        <f t="shared" si="207"/>
        <v>#DIV/0!</v>
      </c>
      <c r="AZ203" s="29" t="str">
        <f t="shared" si="207"/>
        <v>#DIV/0!</v>
      </c>
      <c r="BA203" s="29" t="str">
        <f t="shared" si="207"/>
        <v>#DIV/0!</v>
      </c>
      <c r="BB203" s="29" t="str">
        <f t="shared" si="207"/>
        <v>#DIV/0!</v>
      </c>
      <c r="BC203" s="29" t="str">
        <f t="shared" si="207"/>
        <v>#DIV/0!</v>
      </c>
      <c r="BD203" s="29" t="str">
        <f t="shared" si="207"/>
        <v>#DIV/0!</v>
      </c>
      <c r="BE203" s="29" t="str">
        <f t="shared" si="207"/>
        <v>#DIV/0!</v>
      </c>
      <c r="BF203" s="29" t="str">
        <f t="shared" si="207"/>
        <v>#DIV/0!</v>
      </c>
      <c r="BG203" s="29" t="str">
        <f t="shared" si="207"/>
        <v>#DIV/0!</v>
      </c>
      <c r="BH203" s="29" t="str">
        <f t="shared" si="207"/>
        <v>#DIV/0!</v>
      </c>
      <c r="BI203" s="29" t="str">
        <f t="shared" si="207"/>
        <v>#DIV/0!</v>
      </c>
      <c r="BJ203" s="29" t="str">
        <f t="shared" si="207"/>
        <v>#DIV/0!</v>
      </c>
      <c r="BK203" s="29" t="str">
        <f t="shared" si="207"/>
        <v>#DIV/0!</v>
      </c>
      <c r="BL203" s="29" t="str">
        <f t="shared" si="207"/>
        <v>#DIV/0!</v>
      </c>
      <c r="BM203" s="29" t="str">
        <f t="shared" si="3"/>
        <v>#DIV/0!</v>
      </c>
    </row>
    <row r="204">
      <c r="A204" s="16" t="str">
        <f>IFERROR(__xludf.DUMMYFUNCTION("IFERROR(SPARKLINE(SORT(MAP(TRANSPOSE(AQ204:BL204), LAMBDA(val, IF(ISNUMBER(val), PERCENTRANK(AQ204:BL204, val)+0.01, 0))), SEQUENCE(COLUMNS(AQ204:BL204)), FALSE), {""charttype"",""column""; ""color"",""chartreuse""; ""ymin"", 0; ""ymax"", 1.01; ""highcolo"&amp;"r"", ""darkgreen""; ""lowcolor"", ""red""}), """")"),"")</f>
        <v/>
      </c>
      <c r="B204" s="17" t="str">
        <f t="shared" si="4"/>
        <v/>
      </c>
      <c r="C204" s="1" t="s">
        <v>3375</v>
      </c>
      <c r="D204" s="30" t="str">
        <f>IFERROR(__xludf.DUMMYFUNCTION("IFERROR(GOOGLEFINANCE(C204, ""NAME""))"),"Hudson Technologies Inc")</f>
        <v>Hudson Technologies Inc</v>
      </c>
      <c r="E204" s="30" t="s">
        <v>2995</v>
      </c>
      <c r="F204" s="33" t="str">
        <f>IFERROR(__xludf.DUMMYFUNCTION("( (GOOGLEFINANCE(C204, ""price"") - Q204) / Q204 ) / (R204 / 100)"),"Loading...")</f>
        <v>Loading...</v>
      </c>
      <c r="G204" s="20" t="str">
        <f>IFERROR(__xludf.DUMMYFUNCTION("AVERAGE(ARRAYFORMULA(100 * (QUERY(GOOGLEFINANCE(C204, ""high"", TODAY()-40, TODAY()), ""SELECT Col2 WHERE Col2 IS NOT NULL ORDER BY Col1 DESC LIMIT 20"", 0) / QUERY(GOOGLEFINANCE(C204, ""low"", TODAY()-40, TODAY()), ""SELECT Col2 WHERE Col2 IS NOT NULL OR"&amp;"DER BY Col1 DESC LIMIT 20"", 0) - 1)))"),"#N/A")</f>
        <v>#N/A</v>
      </c>
      <c r="H204" s="35" t="str">
        <f t="shared" si="35"/>
        <v>Illiquid</v>
      </c>
      <c r="I204" s="35" t="str">
        <f t="shared" si="7"/>
        <v>RVol Required</v>
      </c>
      <c r="J204" s="37">
        <f>IFERROR(__xludf.DUMMYFUNCTION("IFERROR(
  IF(C204="""",, 
    IFERROR(
      GOOGLEFINANCE(C204, ""price"") * GOOGLEFINANCE(C204, ""volumeavg""), 
      GOOGLEFINANCE(C204, ""price"") * AVERAGE(QUERY(GOOGLEFINANCE(C204, ""volume"", TODAY()-40, TODAY()), ""SELECT Col2 WHERE Col2 IS NOT "&amp;"NULL ORDER BY Col1 DESC LIMIT 20"", 0))
    )
  ), 
"""")"),1961765.7)</f>
        <v>1961765.7</v>
      </c>
      <c r="K204" s="21">
        <f>IFERROR(__xludf.DUMMYFUNCTION("IFERROR(GOOGLEFINANCE(C204, ""changepct"") / 100, """")"),-0.006)</f>
        <v>-0.006</v>
      </c>
      <c r="L204" s="21" t="str">
        <f>IFERROR(__xludf.DUMMYFUNCTION("IFERROR((GOOGLEFINANCE(C204, ""price"") / INDEX(GOOGLEFINANCE(C204, ""price"", TODAY()-7, TODAY()), 2, 2)) - 1, """")"),"")</f>
        <v/>
      </c>
      <c r="M204" s="21" t="str">
        <f>IFERROR(__xludf.DUMMYFUNCTION("IFERROR((GOOGLEFINANCE(C204, ""price"") / INDEX(GOOGLEFINANCE(C204, ""price"", EDATE(TODAY(), -1), TODAY()), 2, 2)) - 1, """")"),"")</f>
        <v/>
      </c>
      <c r="N204" s="21" t="str">
        <f>IFERROR(__xludf.DUMMYFUNCTION("IFERROR((GOOGLEFINANCE(C204, ""price"") / INDEX(GOOGLEFINANCE(C204, ""price"", EDATE(TODAY(), -3), TODAY()), 2, 2)) - 1, """")"),"")</f>
        <v/>
      </c>
      <c r="O204" s="21" t="str">
        <f>IFERROR(__xludf.DUMMYFUNCTION("IFERROR((GOOGLEFINANCE(C204, ""price"") / INDEX(GOOGLEFINANCE(C204, ""price"", EDATE(TODAY(), -6), TODAY()), 2, 2)) - 1, """")"),"")</f>
        <v/>
      </c>
      <c r="P204" s="21" t="str">
        <f>IFERROR(__xludf.DUMMYFUNCTION("IFERROR((GOOGLEFINANCE(C204, ""price"") / INDEX(GOOGLEFINANCE(C204, ""price"", EDATE(TODAY(), -12), TODAY()), 2, 2)) - 1, """")"),"")</f>
        <v/>
      </c>
      <c r="Q204" s="6" t="str">
        <f>IFERROR(__xludf.DUMMYFUNCTION("AVERAGE(QUERY(GOOGLEFINANCE(C204, ""price"", TODAY()-80, TODAY()), ""SELECT Col2 WHERE Col2 IS NOT NULL ORDER BY Col1 DESC LIMIT 50"", 0))"),"#N/A")</f>
        <v>#N/A</v>
      </c>
      <c r="R204" s="24" t="str">
        <f>IFERROR(__xludf.DUMMYFUNCTION("IFERROR(
  LET(
    data, QUERY(GOOGLEFINANCE(C204,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GOOGLEFINANCE(C204, ""price"")) * 100,
    IF(calc=0, G204, calc)
  ), 
G204)"),"#N/A")</f>
        <v>#N/A</v>
      </c>
      <c r="S204" s="8" t="s">
        <v>15</v>
      </c>
      <c r="T204" s="26" t="str">
        <f>IFERROR(__xludf.DUMMYFUNCTION("IFERROR(TRANSPOSE(QUERY(IFERROR(SORT(GOOGLEFINANCE(C204, ""price"", WORKDAY(TODAY(), -40), TODAY()), 1, FALSE)), ""select Col2 where Col2 is not null limit 22 label Col2 ''"", 0)), """")"),"")</f>
        <v/>
      </c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8"/>
      <c r="AO204" s="28"/>
      <c r="AP204" s="29"/>
      <c r="AQ204" s="29" t="str">
        <f t="shared" ref="AQ204:BL204" si="208">T204/T$2</f>
        <v>#N/A</v>
      </c>
      <c r="AR204" s="29" t="str">
        <f t="shared" si="208"/>
        <v>#DIV/0!</v>
      </c>
      <c r="AS204" s="29" t="str">
        <f t="shared" si="208"/>
        <v>#DIV/0!</v>
      </c>
      <c r="AT204" s="29" t="str">
        <f t="shared" si="208"/>
        <v>#DIV/0!</v>
      </c>
      <c r="AU204" s="29" t="str">
        <f t="shared" si="208"/>
        <v>#DIV/0!</v>
      </c>
      <c r="AV204" s="29" t="str">
        <f t="shared" si="208"/>
        <v>#DIV/0!</v>
      </c>
      <c r="AW204" s="29" t="str">
        <f t="shared" si="208"/>
        <v>#DIV/0!</v>
      </c>
      <c r="AX204" s="29" t="str">
        <f t="shared" si="208"/>
        <v>#DIV/0!</v>
      </c>
      <c r="AY204" s="29" t="str">
        <f t="shared" si="208"/>
        <v>#DIV/0!</v>
      </c>
      <c r="AZ204" s="29" t="str">
        <f t="shared" si="208"/>
        <v>#DIV/0!</v>
      </c>
      <c r="BA204" s="29" t="str">
        <f t="shared" si="208"/>
        <v>#DIV/0!</v>
      </c>
      <c r="BB204" s="29" t="str">
        <f t="shared" si="208"/>
        <v>#DIV/0!</v>
      </c>
      <c r="BC204" s="29" t="str">
        <f t="shared" si="208"/>
        <v>#DIV/0!</v>
      </c>
      <c r="BD204" s="29" t="str">
        <f t="shared" si="208"/>
        <v>#DIV/0!</v>
      </c>
      <c r="BE204" s="29" t="str">
        <f t="shared" si="208"/>
        <v>#DIV/0!</v>
      </c>
      <c r="BF204" s="29" t="str">
        <f t="shared" si="208"/>
        <v>#DIV/0!</v>
      </c>
      <c r="BG204" s="29" t="str">
        <f t="shared" si="208"/>
        <v>#DIV/0!</v>
      </c>
      <c r="BH204" s="29" t="str">
        <f t="shared" si="208"/>
        <v>#DIV/0!</v>
      </c>
      <c r="BI204" s="29" t="str">
        <f t="shared" si="208"/>
        <v>#DIV/0!</v>
      </c>
      <c r="BJ204" s="29" t="str">
        <f t="shared" si="208"/>
        <v>#DIV/0!</v>
      </c>
      <c r="BK204" s="29" t="str">
        <f t="shared" si="208"/>
        <v>#DIV/0!</v>
      </c>
      <c r="BL204" s="29" t="str">
        <f t="shared" si="208"/>
        <v>#DIV/0!</v>
      </c>
      <c r="BM204" s="29" t="str">
        <f t="shared" si="3"/>
        <v>#DIV/0!</v>
      </c>
    </row>
    <row r="205">
      <c r="A205" s="16" t="str">
        <f>IFERROR(__xludf.DUMMYFUNCTION("IFERROR(SPARKLINE(SORT(MAP(TRANSPOSE(AQ205:BL205), LAMBDA(val, IF(ISNUMBER(val), PERCENTRANK(AQ205:BL205, val)+0.01, 0))), SEQUENCE(COLUMNS(AQ205:BL205)), FALSE), {""charttype"",""column""; ""color"",""chartreuse""; ""ymin"", 0; ""ymax"", 1.01; ""highcolo"&amp;"r"", ""darkgreen""; ""lowcolor"", ""red""}), """")"),"")</f>
        <v/>
      </c>
      <c r="B205" s="17" t="str">
        <f t="shared" si="4"/>
        <v/>
      </c>
      <c r="C205" s="1" t="s">
        <v>3376</v>
      </c>
      <c r="D205" s="30" t="str">
        <f>IFERROR(__xludf.DUMMYFUNCTION("IFERROR(GOOGLEFINANCE(C205, ""NAME""))"),"Sylvamo Corp")</f>
        <v>Sylvamo Corp</v>
      </c>
      <c r="E205" s="30" t="s">
        <v>3350</v>
      </c>
      <c r="F205" s="33" t="str">
        <f>IFERROR(__xludf.DUMMYFUNCTION("( (GOOGLEFINANCE(C205, ""price"") - Q205) / Q205 ) / (R205 / 100)"),"Loading...")</f>
        <v>Loading...</v>
      </c>
      <c r="G205" s="20" t="str">
        <f>IFERROR(__xludf.DUMMYFUNCTION("AVERAGE(ARRAYFORMULA(100 * (QUERY(GOOGLEFINANCE(C205, ""high"", TODAY()-40, TODAY()), ""SELECT Col2 WHERE Col2 IS NOT NULL ORDER BY Col1 DESC LIMIT 20"", 0) / QUERY(GOOGLEFINANCE(C205, ""low"", TODAY()-40, TODAY()), ""SELECT Col2 WHERE Col2 IS NOT NULL OR"&amp;"DER BY Col1 DESC LIMIT 20"", 0) - 1)))"),"#N/A")</f>
        <v>#N/A</v>
      </c>
      <c r="H205" s="35" t="str">
        <f t="shared" si="35"/>
        <v>Illiquid</v>
      </c>
      <c r="I205" s="35" t="str">
        <f t="shared" si="7"/>
        <v>RVol Required</v>
      </c>
      <c r="J205" s="37">
        <f>IFERROR(__xludf.DUMMYFUNCTION("IFERROR(
  IF(C205="""",, 
    IFERROR(
      GOOGLEFINANCE(C205, ""price"") * GOOGLEFINANCE(C205, ""volumeavg""), 
      GOOGLEFINANCE(C205, ""price"") * AVERAGE(QUERY(GOOGLEFINANCE(C205, ""volume"", TODAY()-40, TODAY()), ""SELECT Col2 WHERE Col2 IS NOT "&amp;"NULL ORDER BY Col1 DESC LIMIT 20"", 0))
    )
  ), 
"""")"),1.138904965E7)</f>
        <v>11389049.65</v>
      </c>
      <c r="K205" s="21">
        <f>IFERROR(__xludf.DUMMYFUNCTION("IFERROR(GOOGLEFINANCE(C205, ""changepct"") / 100, """")"),0.0124)</f>
        <v>0.0124</v>
      </c>
      <c r="L205" s="21" t="str">
        <f>IFERROR(__xludf.DUMMYFUNCTION("IFERROR((GOOGLEFINANCE(C205, ""price"") / INDEX(GOOGLEFINANCE(C205, ""price"", TODAY()-7, TODAY()), 2, 2)) - 1, """")"),"")</f>
        <v/>
      </c>
      <c r="M205" s="21" t="str">
        <f>IFERROR(__xludf.DUMMYFUNCTION("IFERROR((GOOGLEFINANCE(C205, ""price"") / INDEX(GOOGLEFINANCE(C205, ""price"", EDATE(TODAY(), -1), TODAY()), 2, 2)) - 1, """")"),"")</f>
        <v/>
      </c>
      <c r="N205" s="21" t="str">
        <f>IFERROR(__xludf.DUMMYFUNCTION("IFERROR((GOOGLEFINANCE(C205, ""price"") / INDEX(GOOGLEFINANCE(C205, ""price"", EDATE(TODAY(), -3), TODAY()), 2, 2)) - 1, """")"),"")</f>
        <v/>
      </c>
      <c r="O205" s="21" t="str">
        <f>IFERROR(__xludf.DUMMYFUNCTION("IFERROR((GOOGLEFINANCE(C205, ""price"") / INDEX(GOOGLEFINANCE(C205, ""price"", EDATE(TODAY(), -6), TODAY()), 2, 2)) - 1, """")"),"")</f>
        <v/>
      </c>
      <c r="P205" s="21" t="str">
        <f>IFERROR(__xludf.DUMMYFUNCTION("IFERROR((GOOGLEFINANCE(C205, ""price"") / INDEX(GOOGLEFINANCE(C205, ""price"", EDATE(TODAY(), -12), TODAY()), 2, 2)) - 1, """")"),"")</f>
        <v/>
      </c>
      <c r="Q205" s="6" t="str">
        <f>IFERROR(__xludf.DUMMYFUNCTION("AVERAGE(QUERY(GOOGLEFINANCE(C205, ""price"", TODAY()-80, TODAY()), ""SELECT Col2 WHERE Col2 IS NOT NULL ORDER BY Col1 DESC LIMIT 50"", 0))"),"#N/A")</f>
        <v>#N/A</v>
      </c>
      <c r="R205" s="24" t="str">
        <f>IFERROR(__xludf.DUMMYFUNCTION("IFERROR(
  LET(
    data, QUERY(GOOGLEFINANCE(C205,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GOOGLEFINANCE(C205, ""price"")) * 100,
    IF(calc=0, G205, calc)
  ), 
G205)"),"#N/A")</f>
        <v>#N/A</v>
      </c>
      <c r="S205" s="8" t="s">
        <v>15</v>
      </c>
      <c r="T205" s="26" t="str">
        <f>IFERROR(__xludf.DUMMYFUNCTION("IFERROR(TRANSPOSE(QUERY(IFERROR(SORT(GOOGLEFINANCE(C205, ""price"", WORKDAY(TODAY(), -40), TODAY()), 1, FALSE)), ""select Col2 where Col2 is not null limit 22 label Col2 ''"", 0)), """")"),"")</f>
        <v/>
      </c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8"/>
      <c r="AO205" s="28"/>
      <c r="AP205" s="29"/>
      <c r="AQ205" s="29" t="str">
        <f t="shared" ref="AQ205:BL205" si="209">T205/T$2</f>
        <v>#N/A</v>
      </c>
      <c r="AR205" s="29" t="str">
        <f t="shared" si="209"/>
        <v>#DIV/0!</v>
      </c>
      <c r="AS205" s="29" t="str">
        <f t="shared" si="209"/>
        <v>#DIV/0!</v>
      </c>
      <c r="AT205" s="29" t="str">
        <f t="shared" si="209"/>
        <v>#DIV/0!</v>
      </c>
      <c r="AU205" s="29" t="str">
        <f t="shared" si="209"/>
        <v>#DIV/0!</v>
      </c>
      <c r="AV205" s="29" t="str">
        <f t="shared" si="209"/>
        <v>#DIV/0!</v>
      </c>
      <c r="AW205" s="29" t="str">
        <f t="shared" si="209"/>
        <v>#DIV/0!</v>
      </c>
      <c r="AX205" s="29" t="str">
        <f t="shared" si="209"/>
        <v>#DIV/0!</v>
      </c>
      <c r="AY205" s="29" t="str">
        <f t="shared" si="209"/>
        <v>#DIV/0!</v>
      </c>
      <c r="AZ205" s="29" t="str">
        <f t="shared" si="209"/>
        <v>#DIV/0!</v>
      </c>
      <c r="BA205" s="29" t="str">
        <f t="shared" si="209"/>
        <v>#DIV/0!</v>
      </c>
      <c r="BB205" s="29" t="str">
        <f t="shared" si="209"/>
        <v>#DIV/0!</v>
      </c>
      <c r="BC205" s="29" t="str">
        <f t="shared" si="209"/>
        <v>#DIV/0!</v>
      </c>
      <c r="BD205" s="29" t="str">
        <f t="shared" si="209"/>
        <v>#DIV/0!</v>
      </c>
      <c r="BE205" s="29" t="str">
        <f t="shared" si="209"/>
        <v>#DIV/0!</v>
      </c>
      <c r="BF205" s="29" t="str">
        <f t="shared" si="209"/>
        <v>#DIV/0!</v>
      </c>
      <c r="BG205" s="29" t="str">
        <f t="shared" si="209"/>
        <v>#DIV/0!</v>
      </c>
      <c r="BH205" s="29" t="str">
        <f t="shared" si="209"/>
        <v>#DIV/0!</v>
      </c>
      <c r="BI205" s="29" t="str">
        <f t="shared" si="209"/>
        <v>#DIV/0!</v>
      </c>
      <c r="BJ205" s="29" t="str">
        <f t="shared" si="209"/>
        <v>#DIV/0!</v>
      </c>
      <c r="BK205" s="29" t="str">
        <f t="shared" si="209"/>
        <v>#DIV/0!</v>
      </c>
      <c r="BL205" s="29" t="str">
        <f t="shared" si="209"/>
        <v>#DIV/0!</v>
      </c>
      <c r="BM205" s="29" t="str">
        <f t="shared" si="3"/>
        <v>#DIV/0!</v>
      </c>
    </row>
    <row r="206">
      <c r="A206" s="16" t="str">
        <f>IFERROR(__xludf.DUMMYFUNCTION("IFERROR(SPARKLINE(SORT(MAP(TRANSPOSE(AQ206:BL206), LAMBDA(val, IF(ISNUMBER(val), PERCENTRANK(AQ206:BL206, val)+0.01, 0))), SEQUENCE(COLUMNS(AQ206:BL206)), FALSE), {""charttype"",""column""; ""color"",""chartreuse""; ""ymin"", 0; ""ymax"", 1.01; ""highcolo"&amp;"r"", ""darkgreen""; ""lowcolor"", ""red""}), """")"),"")</f>
        <v/>
      </c>
      <c r="B206" s="17" t="str">
        <f t="shared" si="4"/>
        <v/>
      </c>
      <c r="C206" s="1" t="s">
        <v>3377</v>
      </c>
      <c r="D206" s="30" t="str">
        <f>IFERROR(__xludf.DUMMYFUNCTION("IFERROR(GOOGLEFINANCE(C206, ""NAME""))"),"Metallus Inc")</f>
        <v>Metallus Inc</v>
      </c>
      <c r="E206" s="30" t="s">
        <v>3004</v>
      </c>
      <c r="F206" s="33" t="str">
        <f>IFERROR(__xludf.DUMMYFUNCTION("( (GOOGLEFINANCE(C206, ""price"") - Q206) / Q206 ) / (R206 / 100)"),"Loading...")</f>
        <v>Loading...</v>
      </c>
      <c r="G206" s="20" t="str">
        <f>IFERROR(__xludf.DUMMYFUNCTION("AVERAGE(ARRAYFORMULA(100 * (QUERY(GOOGLEFINANCE(C206, ""high"", TODAY()-40, TODAY()), ""SELECT Col2 WHERE Col2 IS NOT NULL ORDER BY Col1 DESC LIMIT 20"", 0) / QUERY(GOOGLEFINANCE(C206, ""low"", TODAY()-40, TODAY()), ""SELECT Col2 WHERE Col2 IS NOT NULL OR"&amp;"DER BY Col1 DESC LIMIT 20"", 0) - 1)))"),"#N/A")</f>
        <v>#N/A</v>
      </c>
      <c r="H206" s="35" t="str">
        <f t="shared" si="35"/>
        <v>Illiquid</v>
      </c>
      <c r="I206" s="35" t="str">
        <f t="shared" si="7"/>
        <v>RVol Required</v>
      </c>
      <c r="J206" s="37">
        <f>IFERROR(__xludf.DUMMYFUNCTION("IFERROR(
  IF(C206="""",, 
    IFERROR(
      GOOGLEFINANCE(C206, ""price"") * GOOGLEFINANCE(C206, ""volumeavg""), 
      GOOGLEFINANCE(C206, ""price"") * AVERAGE(QUERY(GOOGLEFINANCE(C206, ""volume"", TODAY()-40, TODAY()), ""SELECT Col2 WHERE Col2 IS NOT "&amp;"NULL ORDER BY Col1 DESC LIMIT 20"", 0))
    )
  ), 
"""")"),6938671.039999999)</f>
        <v>6938671.04</v>
      </c>
      <c r="K206" s="21">
        <f>IFERROR(__xludf.DUMMYFUNCTION("IFERROR(GOOGLEFINANCE(C206, ""changepct"") / 100, """")"),0.0069)</f>
        <v>0.0069</v>
      </c>
      <c r="L206" s="21" t="str">
        <f>IFERROR(__xludf.DUMMYFUNCTION("IFERROR((GOOGLEFINANCE(C206, ""price"") / INDEX(GOOGLEFINANCE(C206, ""price"", TODAY()-7, TODAY()), 2, 2)) - 1, """")"),"")</f>
        <v/>
      </c>
      <c r="M206" s="21" t="str">
        <f>IFERROR(__xludf.DUMMYFUNCTION("IFERROR((GOOGLEFINANCE(C206, ""price"") / INDEX(GOOGLEFINANCE(C206, ""price"", EDATE(TODAY(), -1), TODAY()), 2, 2)) - 1, """")"),"")</f>
        <v/>
      </c>
      <c r="N206" s="21" t="str">
        <f>IFERROR(__xludf.DUMMYFUNCTION("IFERROR((GOOGLEFINANCE(C206, ""price"") / INDEX(GOOGLEFINANCE(C206, ""price"", EDATE(TODAY(), -3), TODAY()), 2, 2)) - 1, """")"),"")</f>
        <v/>
      </c>
      <c r="O206" s="21" t="str">
        <f>IFERROR(__xludf.DUMMYFUNCTION("IFERROR((GOOGLEFINANCE(C206, ""price"") / INDEX(GOOGLEFINANCE(C206, ""price"", EDATE(TODAY(), -6), TODAY()), 2, 2)) - 1, """")"),"")</f>
        <v/>
      </c>
      <c r="P206" s="21" t="str">
        <f>IFERROR(__xludf.DUMMYFUNCTION("IFERROR((GOOGLEFINANCE(C206, ""price"") / INDEX(GOOGLEFINANCE(C206, ""price"", EDATE(TODAY(), -12), TODAY()), 2, 2)) - 1, """")"),"")</f>
        <v/>
      </c>
      <c r="Q206" s="6" t="str">
        <f>IFERROR(__xludf.DUMMYFUNCTION("AVERAGE(QUERY(GOOGLEFINANCE(C206, ""price"", TODAY()-80, TODAY()), ""SELECT Col2 WHERE Col2 IS NOT NULL ORDER BY Col1 DESC LIMIT 50"", 0))"),"#N/A")</f>
        <v>#N/A</v>
      </c>
      <c r="R206" s="24" t="str">
        <f>IFERROR(__xludf.DUMMYFUNCTION("IFERROR(
  LET(
    data, QUERY(GOOGLEFINANCE(C206,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GOOGLEFINANCE(C206, ""price"")) * 100,
    IF(calc=0, G206, calc)
  ), 
G206)"),"#N/A")</f>
        <v>#N/A</v>
      </c>
      <c r="S206" s="8" t="s">
        <v>15</v>
      </c>
      <c r="T206" s="26" t="str">
        <f>IFERROR(__xludf.DUMMYFUNCTION("IFERROR(TRANSPOSE(QUERY(IFERROR(SORT(GOOGLEFINANCE(C206, ""price"", WORKDAY(TODAY(), -40), TODAY()), 1, FALSE)), ""select Col2 where Col2 is not null limit 22 label Col2 ''"", 0)), """")"),"")</f>
        <v/>
      </c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8"/>
      <c r="AO206" s="28"/>
      <c r="AP206" s="29"/>
      <c r="AQ206" s="29" t="str">
        <f t="shared" ref="AQ206:BL206" si="210">T206/T$2</f>
        <v>#N/A</v>
      </c>
      <c r="AR206" s="29" t="str">
        <f t="shared" si="210"/>
        <v>#DIV/0!</v>
      </c>
      <c r="AS206" s="29" t="str">
        <f t="shared" si="210"/>
        <v>#DIV/0!</v>
      </c>
      <c r="AT206" s="29" t="str">
        <f t="shared" si="210"/>
        <v>#DIV/0!</v>
      </c>
      <c r="AU206" s="29" t="str">
        <f t="shared" si="210"/>
        <v>#DIV/0!</v>
      </c>
      <c r="AV206" s="29" t="str">
        <f t="shared" si="210"/>
        <v>#DIV/0!</v>
      </c>
      <c r="AW206" s="29" t="str">
        <f t="shared" si="210"/>
        <v>#DIV/0!</v>
      </c>
      <c r="AX206" s="29" t="str">
        <f t="shared" si="210"/>
        <v>#DIV/0!</v>
      </c>
      <c r="AY206" s="29" t="str">
        <f t="shared" si="210"/>
        <v>#DIV/0!</v>
      </c>
      <c r="AZ206" s="29" t="str">
        <f t="shared" si="210"/>
        <v>#DIV/0!</v>
      </c>
      <c r="BA206" s="29" t="str">
        <f t="shared" si="210"/>
        <v>#DIV/0!</v>
      </c>
      <c r="BB206" s="29" t="str">
        <f t="shared" si="210"/>
        <v>#DIV/0!</v>
      </c>
      <c r="BC206" s="29" t="str">
        <f t="shared" si="210"/>
        <v>#DIV/0!</v>
      </c>
      <c r="BD206" s="29" t="str">
        <f t="shared" si="210"/>
        <v>#DIV/0!</v>
      </c>
      <c r="BE206" s="29" t="str">
        <f t="shared" si="210"/>
        <v>#DIV/0!</v>
      </c>
      <c r="BF206" s="29" t="str">
        <f t="shared" si="210"/>
        <v>#DIV/0!</v>
      </c>
      <c r="BG206" s="29" t="str">
        <f t="shared" si="210"/>
        <v>#DIV/0!</v>
      </c>
      <c r="BH206" s="29" t="str">
        <f t="shared" si="210"/>
        <v>#DIV/0!</v>
      </c>
      <c r="BI206" s="29" t="str">
        <f t="shared" si="210"/>
        <v>#DIV/0!</v>
      </c>
      <c r="BJ206" s="29" t="str">
        <f t="shared" si="210"/>
        <v>#DIV/0!</v>
      </c>
      <c r="BK206" s="29" t="str">
        <f t="shared" si="210"/>
        <v>#DIV/0!</v>
      </c>
      <c r="BL206" s="29" t="str">
        <f t="shared" si="210"/>
        <v>#DIV/0!</v>
      </c>
      <c r="BM206" s="29" t="str">
        <f t="shared" si="3"/>
        <v>#DIV/0!</v>
      </c>
    </row>
    <row r="207">
      <c r="A207" s="16" t="str">
        <f>IFERROR(__xludf.DUMMYFUNCTION("IFERROR(SPARKLINE(SORT(MAP(TRANSPOSE(AQ207:BL207), LAMBDA(val, IF(ISNUMBER(val), PERCENTRANK(AQ207:BL207, val)+0.01, 0))), SEQUENCE(COLUMNS(AQ207:BL207)), FALSE), {""charttype"",""column""; ""color"",""chartreuse""; ""ymin"", 0; ""ymax"", 1.01; ""highcolo"&amp;"r"", ""darkgreen""; ""lowcolor"", ""red""}), """")"),"")</f>
        <v/>
      </c>
      <c r="B207" s="17" t="str">
        <f t="shared" si="4"/>
        <v/>
      </c>
      <c r="C207" s="1" t="s">
        <v>3378</v>
      </c>
      <c r="D207" s="30" t="str">
        <f>IFERROR(__xludf.DUMMYFUNCTION("IFERROR(GOOGLEFINANCE(C207, ""NAME""))"),"Tecnoglass Holdings Inc.")</f>
        <v>Tecnoglass Holdings Inc.</v>
      </c>
      <c r="E207" s="30" t="s">
        <v>3098</v>
      </c>
      <c r="F207" s="33" t="str">
        <f>IFERROR(__xludf.DUMMYFUNCTION("( (GOOGLEFINANCE(C207, ""price"") - Q207) / Q207 ) / (R207 / 100)"),"Loading...")</f>
        <v>Loading...</v>
      </c>
      <c r="G207" s="20" t="str">
        <f>IFERROR(__xludf.DUMMYFUNCTION("AVERAGE(ARRAYFORMULA(100 * (QUERY(GOOGLEFINANCE(C207, ""high"", TODAY()-40, TODAY()), ""SELECT Col2 WHERE Col2 IS NOT NULL ORDER BY Col1 DESC LIMIT 20"", 0) / QUERY(GOOGLEFINANCE(C207, ""low"", TODAY()-40, TODAY()), ""SELECT Col2 WHERE Col2 IS NOT NULL OR"&amp;"DER BY Col1 DESC LIMIT 20"", 0) - 1)))"),"#N/A")</f>
        <v>#N/A</v>
      </c>
      <c r="H207" s="35" t="str">
        <f t="shared" si="35"/>
        <v>Illiquid</v>
      </c>
      <c r="I207" s="35" t="str">
        <f t="shared" si="7"/>
        <v>RVol Required</v>
      </c>
      <c r="J207" s="37">
        <f>IFERROR(__xludf.DUMMYFUNCTION("IFERROR(
  IF(C207="""",, 
    IFERROR(
      GOOGLEFINANCE(C207, ""price"") * GOOGLEFINANCE(C207, ""volumeavg""), 
      GOOGLEFINANCE(C207, ""price"") * AVERAGE(QUERY(GOOGLEFINANCE(C207, ""volume"", TODAY()-40, TODAY()), ""SELECT Col2 WHERE Col2 IS NOT "&amp;"NULL ORDER BY Col1 DESC LIMIT 20"", 0))
    )
  ), 
"""")"),1.3337930339999998E7)</f>
        <v>13337930.34</v>
      </c>
      <c r="K207" s="21">
        <f>IFERROR(__xludf.DUMMYFUNCTION("IFERROR(GOOGLEFINANCE(C207, ""changepct"") / 100, """")"),0.0169)</f>
        <v>0.0169</v>
      </c>
      <c r="L207" s="21" t="str">
        <f>IFERROR(__xludf.DUMMYFUNCTION("IFERROR((GOOGLEFINANCE(C207, ""price"") / INDEX(GOOGLEFINANCE(C207, ""price"", TODAY()-7, TODAY()), 2, 2)) - 1, """")"),"")</f>
        <v/>
      </c>
      <c r="M207" s="21" t="str">
        <f>IFERROR(__xludf.DUMMYFUNCTION("IFERROR((GOOGLEFINANCE(C207, ""price"") / INDEX(GOOGLEFINANCE(C207, ""price"", EDATE(TODAY(), -1), TODAY()), 2, 2)) - 1, """")"),"")</f>
        <v/>
      </c>
      <c r="N207" s="21" t="str">
        <f>IFERROR(__xludf.DUMMYFUNCTION("IFERROR((GOOGLEFINANCE(C207, ""price"") / INDEX(GOOGLEFINANCE(C207, ""price"", EDATE(TODAY(), -3), TODAY()), 2, 2)) - 1, """")"),"")</f>
        <v/>
      </c>
      <c r="O207" s="21" t="str">
        <f>IFERROR(__xludf.DUMMYFUNCTION("IFERROR((GOOGLEFINANCE(C207, ""price"") / INDEX(GOOGLEFINANCE(C207, ""price"", EDATE(TODAY(), -6), TODAY()), 2, 2)) - 1, """")"),"")</f>
        <v/>
      </c>
      <c r="P207" s="21" t="str">
        <f>IFERROR(__xludf.DUMMYFUNCTION("IFERROR((GOOGLEFINANCE(C207, ""price"") / INDEX(GOOGLEFINANCE(C207, ""price"", EDATE(TODAY(), -12), TODAY()), 2, 2)) - 1, """")"),"")</f>
        <v/>
      </c>
      <c r="Q207" s="6" t="str">
        <f>IFERROR(__xludf.DUMMYFUNCTION("AVERAGE(QUERY(GOOGLEFINANCE(C207, ""price"", TODAY()-80, TODAY()), ""SELECT Col2 WHERE Col2 IS NOT NULL ORDER BY Col1 DESC LIMIT 50"", 0))"),"#N/A")</f>
        <v>#N/A</v>
      </c>
      <c r="R207" s="24" t="str">
        <f>IFERROR(__xludf.DUMMYFUNCTION("IFERROR(
  LET(
    data, QUERY(GOOGLEFINANCE(C207,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GOOGLEFINANCE(C207, ""price"")) * 100,
    IF(calc=0, G207, calc)
  ), 
G207)"),"#N/A")</f>
        <v>#N/A</v>
      </c>
      <c r="S207" s="8" t="s">
        <v>15</v>
      </c>
      <c r="T207" s="26" t="str">
        <f>IFERROR(__xludf.DUMMYFUNCTION("IFERROR(TRANSPOSE(QUERY(IFERROR(SORT(GOOGLEFINANCE(C207, ""price"", WORKDAY(TODAY(), -40), TODAY()), 1, FALSE)), ""select Col2 where Col2 is not null limit 22 label Col2 ''"", 0)), """")"),"")</f>
        <v/>
      </c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8"/>
      <c r="AO207" s="28"/>
      <c r="AP207" s="29"/>
      <c r="AQ207" s="29" t="str">
        <f t="shared" ref="AQ207:BL207" si="211">T207/T$2</f>
        <v>#N/A</v>
      </c>
      <c r="AR207" s="29" t="str">
        <f t="shared" si="211"/>
        <v>#DIV/0!</v>
      </c>
      <c r="AS207" s="29" t="str">
        <f t="shared" si="211"/>
        <v>#DIV/0!</v>
      </c>
      <c r="AT207" s="29" t="str">
        <f t="shared" si="211"/>
        <v>#DIV/0!</v>
      </c>
      <c r="AU207" s="29" t="str">
        <f t="shared" si="211"/>
        <v>#DIV/0!</v>
      </c>
      <c r="AV207" s="29" t="str">
        <f t="shared" si="211"/>
        <v>#DIV/0!</v>
      </c>
      <c r="AW207" s="29" t="str">
        <f t="shared" si="211"/>
        <v>#DIV/0!</v>
      </c>
      <c r="AX207" s="29" t="str">
        <f t="shared" si="211"/>
        <v>#DIV/0!</v>
      </c>
      <c r="AY207" s="29" t="str">
        <f t="shared" si="211"/>
        <v>#DIV/0!</v>
      </c>
      <c r="AZ207" s="29" t="str">
        <f t="shared" si="211"/>
        <v>#DIV/0!</v>
      </c>
      <c r="BA207" s="29" t="str">
        <f t="shared" si="211"/>
        <v>#DIV/0!</v>
      </c>
      <c r="BB207" s="29" t="str">
        <f t="shared" si="211"/>
        <v>#DIV/0!</v>
      </c>
      <c r="BC207" s="29" t="str">
        <f t="shared" si="211"/>
        <v>#DIV/0!</v>
      </c>
      <c r="BD207" s="29" t="str">
        <f t="shared" si="211"/>
        <v>#DIV/0!</v>
      </c>
      <c r="BE207" s="29" t="str">
        <f t="shared" si="211"/>
        <v>#DIV/0!</v>
      </c>
      <c r="BF207" s="29" t="str">
        <f t="shared" si="211"/>
        <v>#DIV/0!</v>
      </c>
      <c r="BG207" s="29" t="str">
        <f t="shared" si="211"/>
        <v>#DIV/0!</v>
      </c>
      <c r="BH207" s="29" t="str">
        <f t="shared" si="211"/>
        <v>#DIV/0!</v>
      </c>
      <c r="BI207" s="29" t="str">
        <f t="shared" si="211"/>
        <v>#DIV/0!</v>
      </c>
      <c r="BJ207" s="29" t="str">
        <f t="shared" si="211"/>
        <v>#DIV/0!</v>
      </c>
      <c r="BK207" s="29" t="str">
        <f t="shared" si="211"/>
        <v>#DIV/0!</v>
      </c>
      <c r="BL207" s="29" t="str">
        <f t="shared" si="211"/>
        <v>#DIV/0!</v>
      </c>
      <c r="BM207" s="29" t="str">
        <f t="shared" si="3"/>
        <v>#DIV/0!</v>
      </c>
    </row>
    <row r="208">
      <c r="A208" s="16" t="str">
        <f>IFERROR(__xludf.DUMMYFUNCTION("IFERROR(SPARKLINE(SORT(MAP(TRANSPOSE(AQ208:BL208), LAMBDA(val, IF(ISNUMBER(val), PERCENTRANK(AQ208:BL208, val)+0.01, 0))), SEQUENCE(COLUMNS(AQ208:BL208)), FALSE), {""charttype"",""column""; ""color"",""chartreuse""; ""ymin"", 0; ""ymax"", 1.01; ""highcolo"&amp;"r"", ""darkgreen""; ""lowcolor"", ""red""}), """")"),"")</f>
        <v/>
      </c>
      <c r="B208" s="17" t="str">
        <f t="shared" si="4"/>
        <v/>
      </c>
      <c r="C208" s="1" t="s">
        <v>3379</v>
      </c>
      <c r="D208" s="30" t="str">
        <f>IFERROR(__xludf.DUMMYFUNCTION("IFERROR(GOOGLEFINANCE(C208, ""NAME""))"),"Vulcan Materials Co")</f>
        <v>Vulcan Materials Co</v>
      </c>
      <c r="E208" s="30" t="s">
        <v>3098</v>
      </c>
      <c r="F208" s="33" t="str">
        <f>IFERROR(__xludf.DUMMYFUNCTION("( (GOOGLEFINANCE(C208, ""price"") - Q208) / Q208 ) / (R208 / 100)"),"Loading...")</f>
        <v>Loading...</v>
      </c>
      <c r="G208" s="20" t="str">
        <f>IFERROR(__xludf.DUMMYFUNCTION("AVERAGE(ARRAYFORMULA(100 * (QUERY(GOOGLEFINANCE(C208, ""high"", TODAY()-40, TODAY()), ""SELECT Col2 WHERE Col2 IS NOT NULL ORDER BY Col1 DESC LIMIT 20"", 0) / QUERY(GOOGLEFINANCE(C208, ""low"", TODAY()-40, TODAY()), ""SELECT Col2 WHERE Col2 IS NOT NULL OR"&amp;"DER BY Col1 DESC LIMIT 20"", 0) - 1)))"),"#N/A")</f>
        <v>#N/A</v>
      </c>
      <c r="H208" s="35" t="str">
        <f t="shared" si="35"/>
        <v>Liquid</v>
      </c>
      <c r="I208" s="35" t="str">
        <f t="shared" si="7"/>
        <v>RVol Required</v>
      </c>
      <c r="J208" s="37">
        <f>IFERROR(__xludf.DUMMYFUNCTION("IFERROR(
  IF(C208="""",, 
    IFERROR(
      GOOGLEFINANCE(C208, ""price"") * GOOGLEFINANCE(C208, ""volumeavg""), 
      GOOGLEFINANCE(C208, ""price"") * AVERAGE(QUERY(GOOGLEFINANCE(C208, ""volume"", TODAY()-40, TODAY()), ""SELECT Col2 WHERE Col2 IS NOT "&amp;"NULL ORDER BY Col1 DESC LIMIT 20"", 0))
    )
  ), 
"""")"),3.1251523757E8)</f>
        <v>312515237.6</v>
      </c>
      <c r="K208" s="21">
        <f>IFERROR(__xludf.DUMMYFUNCTION("IFERROR(GOOGLEFINANCE(C208, ""changepct"") / 100, """")"),0.0207)</f>
        <v>0.0207</v>
      </c>
      <c r="L208" s="21" t="str">
        <f>IFERROR(__xludf.DUMMYFUNCTION("IFERROR((GOOGLEFINANCE(C208, ""price"") / INDEX(GOOGLEFINANCE(C208, ""price"", TODAY()-7, TODAY()), 2, 2)) - 1, """")"),"")</f>
        <v/>
      </c>
      <c r="M208" s="21" t="str">
        <f>IFERROR(__xludf.DUMMYFUNCTION("IFERROR((GOOGLEFINANCE(C208, ""price"") / INDEX(GOOGLEFINANCE(C208, ""price"", EDATE(TODAY(), -1), TODAY()), 2, 2)) - 1, """")"),"")</f>
        <v/>
      </c>
      <c r="N208" s="21" t="str">
        <f>IFERROR(__xludf.DUMMYFUNCTION("IFERROR((GOOGLEFINANCE(C208, ""price"") / INDEX(GOOGLEFINANCE(C208, ""price"", EDATE(TODAY(), -3), TODAY()), 2, 2)) - 1, """")"),"")</f>
        <v/>
      </c>
      <c r="O208" s="21" t="str">
        <f>IFERROR(__xludf.DUMMYFUNCTION("IFERROR((GOOGLEFINANCE(C208, ""price"") / INDEX(GOOGLEFINANCE(C208, ""price"", EDATE(TODAY(), -6), TODAY()), 2, 2)) - 1, """")"),"")</f>
        <v/>
      </c>
      <c r="P208" s="21" t="str">
        <f>IFERROR(__xludf.DUMMYFUNCTION("IFERROR((GOOGLEFINANCE(C208, ""price"") / INDEX(GOOGLEFINANCE(C208, ""price"", EDATE(TODAY(), -12), TODAY()), 2, 2)) - 1, """")"),"")</f>
        <v/>
      </c>
      <c r="Q208" s="6" t="str">
        <f>IFERROR(__xludf.DUMMYFUNCTION("AVERAGE(QUERY(GOOGLEFINANCE(C208, ""price"", TODAY()-80, TODAY()), ""SELECT Col2 WHERE Col2 IS NOT NULL ORDER BY Col1 DESC LIMIT 50"", 0))"),"#N/A")</f>
        <v>#N/A</v>
      </c>
      <c r="R208" s="24" t="str">
        <f>IFERROR(__xludf.DUMMYFUNCTION("IFERROR(
  LET(
    data, QUERY(GOOGLEFINANCE(C208,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GOOGLEFINANCE(C208, ""price"")) * 100,
    IF(calc=0, G208, calc)
  ), 
G208)"),"#N/A")</f>
        <v>#N/A</v>
      </c>
      <c r="S208" s="8" t="s">
        <v>15</v>
      </c>
      <c r="T208" s="26" t="str">
        <f>IFERROR(__xludf.DUMMYFUNCTION("IFERROR(TRANSPOSE(QUERY(IFERROR(SORT(GOOGLEFINANCE(C208, ""price"", WORKDAY(TODAY(), -40), TODAY()), 1, FALSE)), ""select Col2 where Col2 is not null limit 22 label Col2 ''"", 0)), """")"),"")</f>
        <v/>
      </c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8"/>
      <c r="AO208" s="28"/>
      <c r="AP208" s="29"/>
      <c r="AQ208" s="29" t="str">
        <f t="shared" ref="AQ208:BL208" si="212">T208/T$2</f>
        <v>#N/A</v>
      </c>
      <c r="AR208" s="29" t="str">
        <f t="shared" si="212"/>
        <v>#DIV/0!</v>
      </c>
      <c r="AS208" s="29" t="str">
        <f t="shared" si="212"/>
        <v>#DIV/0!</v>
      </c>
      <c r="AT208" s="29" t="str">
        <f t="shared" si="212"/>
        <v>#DIV/0!</v>
      </c>
      <c r="AU208" s="29" t="str">
        <f t="shared" si="212"/>
        <v>#DIV/0!</v>
      </c>
      <c r="AV208" s="29" t="str">
        <f t="shared" si="212"/>
        <v>#DIV/0!</v>
      </c>
      <c r="AW208" s="29" t="str">
        <f t="shared" si="212"/>
        <v>#DIV/0!</v>
      </c>
      <c r="AX208" s="29" t="str">
        <f t="shared" si="212"/>
        <v>#DIV/0!</v>
      </c>
      <c r="AY208" s="29" t="str">
        <f t="shared" si="212"/>
        <v>#DIV/0!</v>
      </c>
      <c r="AZ208" s="29" t="str">
        <f t="shared" si="212"/>
        <v>#DIV/0!</v>
      </c>
      <c r="BA208" s="29" t="str">
        <f t="shared" si="212"/>
        <v>#DIV/0!</v>
      </c>
      <c r="BB208" s="29" t="str">
        <f t="shared" si="212"/>
        <v>#DIV/0!</v>
      </c>
      <c r="BC208" s="29" t="str">
        <f t="shared" si="212"/>
        <v>#DIV/0!</v>
      </c>
      <c r="BD208" s="29" t="str">
        <f t="shared" si="212"/>
        <v>#DIV/0!</v>
      </c>
      <c r="BE208" s="29" t="str">
        <f t="shared" si="212"/>
        <v>#DIV/0!</v>
      </c>
      <c r="BF208" s="29" t="str">
        <f t="shared" si="212"/>
        <v>#DIV/0!</v>
      </c>
      <c r="BG208" s="29" t="str">
        <f t="shared" si="212"/>
        <v>#DIV/0!</v>
      </c>
      <c r="BH208" s="29" t="str">
        <f t="shared" si="212"/>
        <v>#DIV/0!</v>
      </c>
      <c r="BI208" s="29" t="str">
        <f t="shared" si="212"/>
        <v>#DIV/0!</v>
      </c>
      <c r="BJ208" s="29" t="str">
        <f t="shared" si="212"/>
        <v>#DIV/0!</v>
      </c>
      <c r="BK208" s="29" t="str">
        <f t="shared" si="212"/>
        <v>#DIV/0!</v>
      </c>
      <c r="BL208" s="29" t="str">
        <f t="shared" si="212"/>
        <v>#DIV/0!</v>
      </c>
      <c r="BM208" s="29" t="str">
        <f t="shared" si="3"/>
        <v>#DIV/0!</v>
      </c>
    </row>
    <row r="209">
      <c r="A209" s="16" t="str">
        <f>IFERROR(__xludf.DUMMYFUNCTION("IFERROR(SPARKLINE(SORT(MAP(TRANSPOSE(AQ209:BL209), LAMBDA(val, IF(ISNUMBER(val), PERCENTRANK(AQ209:BL209, val)+0.01, 0))), SEQUENCE(COLUMNS(AQ209:BL209)), FALSE), {""charttype"",""column""; ""color"",""chartreuse""; ""ymin"", 0; ""ymax"", 1.01; ""highcolo"&amp;"r"", ""darkgreen""; ""lowcolor"", ""red""}), """")"),"")</f>
        <v/>
      </c>
      <c r="B209" s="17" t="str">
        <f t="shared" si="4"/>
        <v/>
      </c>
      <c r="C209" s="1" t="s">
        <v>3380</v>
      </c>
      <c r="D209" s="30" t="str">
        <f>IFERROR(__xludf.DUMMYFUNCTION("IFERROR(GOOGLEFINANCE(C209, ""NAME""))"),"RPM International Inc")</f>
        <v>RPM International Inc</v>
      </c>
      <c r="E209" s="30" t="s">
        <v>2995</v>
      </c>
      <c r="F209" s="33" t="str">
        <f>IFERROR(__xludf.DUMMYFUNCTION("( (GOOGLEFINANCE(C209, ""price"") - Q209) / Q209 ) / (R209 / 100)"),"Loading...")</f>
        <v>Loading...</v>
      </c>
      <c r="G209" s="20" t="str">
        <f>IFERROR(__xludf.DUMMYFUNCTION("AVERAGE(ARRAYFORMULA(100 * (QUERY(GOOGLEFINANCE(C209, ""high"", TODAY()-40, TODAY()), ""SELECT Col2 WHERE Col2 IS NOT NULL ORDER BY Col1 DESC LIMIT 20"", 0) / QUERY(GOOGLEFINANCE(C209, ""low"", TODAY()-40, TODAY()), ""SELECT Col2 WHERE Col2 IS NOT NULL OR"&amp;"DER BY Col1 DESC LIMIT 20"", 0) - 1)))"),"#N/A")</f>
        <v>#N/A</v>
      </c>
      <c r="H209" s="35" t="str">
        <f t="shared" si="35"/>
        <v>Liquid</v>
      </c>
      <c r="I209" s="35" t="str">
        <f t="shared" si="7"/>
        <v>RVol Required</v>
      </c>
      <c r="J209" s="37">
        <f>IFERROR(__xludf.DUMMYFUNCTION("IFERROR(
  IF(C209="""",, 
    IFERROR(
      GOOGLEFINANCE(C209, ""price"") * GOOGLEFINANCE(C209, ""volumeavg""), 
      GOOGLEFINANCE(C209, ""price"") * AVERAGE(QUERY(GOOGLEFINANCE(C209, ""volume"", TODAY()-40, TODAY()), ""SELECT Col2 WHERE Col2 IS NOT "&amp;"NULL ORDER BY Col1 DESC LIMIT 20"", 0))
    )
  ), 
"""")"),1.2716761787E8)</f>
        <v>127167617.9</v>
      </c>
      <c r="K209" s="21">
        <f>IFERROR(__xludf.DUMMYFUNCTION("IFERROR(GOOGLEFINANCE(C209, ""changepct"") / 100, """")"),-0.0036)</f>
        <v>-0.0036</v>
      </c>
      <c r="L209" s="21" t="str">
        <f>IFERROR(__xludf.DUMMYFUNCTION("IFERROR((GOOGLEFINANCE(C209, ""price"") / INDEX(GOOGLEFINANCE(C209, ""price"", TODAY()-7, TODAY()), 2, 2)) - 1, """")"),"")</f>
        <v/>
      </c>
      <c r="M209" s="21" t="str">
        <f>IFERROR(__xludf.DUMMYFUNCTION("IFERROR((GOOGLEFINANCE(C209, ""price"") / INDEX(GOOGLEFINANCE(C209, ""price"", EDATE(TODAY(), -1), TODAY()), 2, 2)) - 1, """")"),"")</f>
        <v/>
      </c>
      <c r="N209" s="21" t="str">
        <f>IFERROR(__xludf.DUMMYFUNCTION("IFERROR((GOOGLEFINANCE(C209, ""price"") / INDEX(GOOGLEFINANCE(C209, ""price"", EDATE(TODAY(), -3), TODAY()), 2, 2)) - 1, """")"),"")</f>
        <v/>
      </c>
      <c r="O209" s="21" t="str">
        <f>IFERROR(__xludf.DUMMYFUNCTION("IFERROR((GOOGLEFINANCE(C209, ""price"") / INDEX(GOOGLEFINANCE(C209, ""price"", EDATE(TODAY(), -6), TODAY()), 2, 2)) - 1, """")"),"")</f>
        <v/>
      </c>
      <c r="P209" s="21" t="str">
        <f>IFERROR(__xludf.DUMMYFUNCTION("IFERROR((GOOGLEFINANCE(C209, ""price"") / INDEX(GOOGLEFINANCE(C209, ""price"", EDATE(TODAY(), -12), TODAY()), 2, 2)) - 1, """")"),"")</f>
        <v/>
      </c>
      <c r="Q209" s="6" t="str">
        <f>IFERROR(__xludf.DUMMYFUNCTION("AVERAGE(QUERY(GOOGLEFINANCE(C209, ""price"", TODAY()-80, TODAY()), ""SELECT Col2 WHERE Col2 IS NOT NULL ORDER BY Col1 DESC LIMIT 50"", 0))"),"#N/A")</f>
        <v>#N/A</v>
      </c>
      <c r="R209" s="24" t="str">
        <f>IFERROR(__xludf.DUMMYFUNCTION("IFERROR(
  LET(
    data, QUERY(GOOGLEFINANCE(C209,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GOOGLEFINANCE(C209, ""price"")) * 100,
    IF(calc=0, G209, calc)
  ), 
G209)"),"#N/A")</f>
        <v>#N/A</v>
      </c>
      <c r="S209" s="8" t="s">
        <v>15</v>
      </c>
      <c r="T209" s="26" t="str">
        <f>IFERROR(__xludf.DUMMYFUNCTION("IFERROR(TRANSPOSE(QUERY(IFERROR(SORT(GOOGLEFINANCE(C209, ""price"", WORKDAY(TODAY(), -40), TODAY()), 1, FALSE)), ""select Col2 where Col2 is not null limit 22 label Col2 ''"", 0)), """")"),"")</f>
        <v/>
      </c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8"/>
      <c r="AO209" s="28"/>
      <c r="AP209" s="29"/>
      <c r="AQ209" s="29" t="str">
        <f t="shared" ref="AQ209:BL209" si="213">T209/T$2</f>
        <v>#N/A</v>
      </c>
      <c r="AR209" s="29" t="str">
        <f t="shared" si="213"/>
        <v>#DIV/0!</v>
      </c>
      <c r="AS209" s="29" t="str">
        <f t="shared" si="213"/>
        <v>#DIV/0!</v>
      </c>
      <c r="AT209" s="29" t="str">
        <f t="shared" si="213"/>
        <v>#DIV/0!</v>
      </c>
      <c r="AU209" s="29" t="str">
        <f t="shared" si="213"/>
        <v>#DIV/0!</v>
      </c>
      <c r="AV209" s="29" t="str">
        <f t="shared" si="213"/>
        <v>#DIV/0!</v>
      </c>
      <c r="AW209" s="29" t="str">
        <f t="shared" si="213"/>
        <v>#DIV/0!</v>
      </c>
      <c r="AX209" s="29" t="str">
        <f t="shared" si="213"/>
        <v>#DIV/0!</v>
      </c>
      <c r="AY209" s="29" t="str">
        <f t="shared" si="213"/>
        <v>#DIV/0!</v>
      </c>
      <c r="AZ209" s="29" t="str">
        <f t="shared" si="213"/>
        <v>#DIV/0!</v>
      </c>
      <c r="BA209" s="29" t="str">
        <f t="shared" si="213"/>
        <v>#DIV/0!</v>
      </c>
      <c r="BB209" s="29" t="str">
        <f t="shared" si="213"/>
        <v>#DIV/0!</v>
      </c>
      <c r="BC209" s="29" t="str">
        <f t="shared" si="213"/>
        <v>#DIV/0!</v>
      </c>
      <c r="BD209" s="29" t="str">
        <f t="shared" si="213"/>
        <v>#DIV/0!</v>
      </c>
      <c r="BE209" s="29" t="str">
        <f t="shared" si="213"/>
        <v>#DIV/0!</v>
      </c>
      <c r="BF209" s="29" t="str">
        <f t="shared" si="213"/>
        <v>#DIV/0!</v>
      </c>
      <c r="BG209" s="29" t="str">
        <f t="shared" si="213"/>
        <v>#DIV/0!</v>
      </c>
      <c r="BH209" s="29" t="str">
        <f t="shared" si="213"/>
        <v>#DIV/0!</v>
      </c>
      <c r="BI209" s="29" t="str">
        <f t="shared" si="213"/>
        <v>#DIV/0!</v>
      </c>
      <c r="BJ209" s="29" t="str">
        <f t="shared" si="213"/>
        <v>#DIV/0!</v>
      </c>
      <c r="BK209" s="29" t="str">
        <f t="shared" si="213"/>
        <v>#DIV/0!</v>
      </c>
      <c r="BL209" s="29" t="str">
        <f t="shared" si="213"/>
        <v>#DIV/0!</v>
      </c>
      <c r="BM209" s="29" t="str">
        <f t="shared" si="3"/>
        <v>#DIV/0!</v>
      </c>
    </row>
    <row r="210">
      <c r="A210" s="16" t="str">
        <f>IFERROR(__xludf.DUMMYFUNCTION("IFERROR(SPARKLINE(SORT(MAP(TRANSPOSE(AQ210:BL210), LAMBDA(val, IF(ISNUMBER(val), PERCENTRANK(AQ210:BL210, val)+0.01, 0))), SEQUENCE(COLUMNS(AQ210:BL210)), FALSE), {""charttype"",""column""; ""color"",""chartreuse""; ""ymin"", 0; ""ymax"", 1.01; ""highcolo"&amp;"r"", ""darkgreen""; ""lowcolor"", ""red""}), """")"),"")</f>
        <v/>
      </c>
      <c r="B210" s="17" t="str">
        <f t="shared" si="4"/>
        <v/>
      </c>
      <c r="C210" s="1" t="s">
        <v>3381</v>
      </c>
      <c r="D210" s="30" t="str">
        <f>IFERROR(__xludf.DUMMYFUNCTION("IFERROR(GOOGLEFINANCE(C210, ""NAME""))"),"Sherwin-Williams Co")</f>
        <v>Sherwin-Williams Co</v>
      </c>
      <c r="E210" s="30" t="s">
        <v>2995</v>
      </c>
      <c r="F210" s="38" t="str">
        <f>IFERROR(__xludf.DUMMYFUNCTION("( (GOOGLEFINANCE(C210, ""price"") - Q210) / Q210 ) / (R210 / 100)"),"Loading...")</f>
        <v>Loading...</v>
      </c>
      <c r="G210" s="20" t="str">
        <f>IFERROR(__xludf.DUMMYFUNCTION("AVERAGE(ARRAYFORMULA(100 * (QUERY(GOOGLEFINANCE(C210, ""high"", TODAY()-40, TODAY()), ""SELECT Col2 WHERE Col2 IS NOT NULL ORDER BY Col1 DESC LIMIT 20"", 0) / QUERY(GOOGLEFINANCE(C210, ""low"", TODAY()-40, TODAY()), ""SELECT Col2 WHERE Col2 IS NOT NULL OR"&amp;"DER BY Col1 DESC LIMIT 20"", 0) - 1)))"),"#N/A")</f>
        <v>#N/A</v>
      </c>
      <c r="H210" s="35" t="str">
        <f t="shared" si="35"/>
        <v>Liquid</v>
      </c>
      <c r="I210" s="35" t="str">
        <f t="shared" si="7"/>
        <v>No RVol Required</v>
      </c>
      <c r="J210" s="37">
        <f>IFERROR(__xludf.DUMMYFUNCTION("IFERROR(
  IF(C210="""",, 
    IFERROR(
      GOOGLEFINANCE(C210, ""price"") * GOOGLEFINANCE(C210, ""volumeavg""), 
      GOOGLEFINANCE(C210, ""price"") * AVERAGE(QUERY(GOOGLEFINANCE(C210, ""volume"", TODAY()-40, TODAY()), ""SELECT Col2 WHERE Col2 IS NOT "&amp;"NULL ORDER BY Col1 DESC LIMIT 20"", 0))
    )
  ), 
"""")"),5.437936191999999E8)</f>
        <v>543793619.2</v>
      </c>
      <c r="K210" s="21">
        <f>IFERROR(__xludf.DUMMYFUNCTION("IFERROR(GOOGLEFINANCE(C210, ""changepct"") / 100, """")"),-0.0051)</f>
        <v>-0.0051</v>
      </c>
      <c r="L210" s="21" t="str">
        <f>IFERROR(__xludf.DUMMYFUNCTION("IFERROR((GOOGLEFINANCE(C210, ""price"") / INDEX(GOOGLEFINANCE(C210, ""price"", TODAY()-7, TODAY()), 2, 2)) - 1, """")"),"")</f>
        <v/>
      </c>
      <c r="M210" s="21" t="str">
        <f>IFERROR(__xludf.DUMMYFUNCTION("IFERROR((GOOGLEFINANCE(C210, ""price"") / INDEX(GOOGLEFINANCE(C210, ""price"", EDATE(TODAY(), -1), TODAY()), 2, 2)) - 1, """")"),"")</f>
        <v/>
      </c>
      <c r="N210" s="21" t="str">
        <f>IFERROR(__xludf.DUMMYFUNCTION("IFERROR((GOOGLEFINANCE(C210, ""price"") / INDEX(GOOGLEFINANCE(C210, ""price"", EDATE(TODAY(), -3), TODAY()), 2, 2)) - 1, """")"),"")</f>
        <v/>
      </c>
      <c r="O210" s="21" t="str">
        <f>IFERROR(__xludf.DUMMYFUNCTION("IFERROR((GOOGLEFINANCE(C210, ""price"") / INDEX(GOOGLEFINANCE(C210, ""price"", EDATE(TODAY(), -6), TODAY()), 2, 2)) - 1, """")"),"")</f>
        <v/>
      </c>
      <c r="P210" s="21" t="str">
        <f>IFERROR(__xludf.DUMMYFUNCTION("IFERROR((GOOGLEFINANCE(C210, ""price"") / INDEX(GOOGLEFINANCE(C210, ""price"", EDATE(TODAY(), -12), TODAY()), 2, 2)) - 1, """")"),"")</f>
        <v/>
      </c>
      <c r="Q210" s="6" t="str">
        <f>IFERROR(__xludf.DUMMYFUNCTION("AVERAGE(QUERY(GOOGLEFINANCE(C210, ""price"", TODAY()-80, TODAY()), ""SELECT Col2 WHERE Col2 IS NOT NULL ORDER BY Col1 DESC LIMIT 50"", 0))"),"#N/A")</f>
        <v>#N/A</v>
      </c>
      <c r="R210" s="24" t="str">
        <f>IFERROR(__xludf.DUMMYFUNCTION("IFERROR(
  LET(
    data, QUERY(GOOGLEFINANCE(C210,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GOOGLEFINANCE(C210, ""price"")) * 100,
    IF(calc=0, G210, calc)
  ), 
G210)"),"#N/A")</f>
        <v>#N/A</v>
      </c>
      <c r="S210" s="8" t="s">
        <v>15</v>
      </c>
      <c r="T210" s="26" t="str">
        <f>IFERROR(__xludf.DUMMYFUNCTION("IFERROR(TRANSPOSE(QUERY(IFERROR(SORT(GOOGLEFINANCE(C210, ""price"", WORKDAY(TODAY(), -40), TODAY()), 1, FALSE)), ""select Col2 where Col2 is not null limit 22 label Col2 ''"", 0)), """")"),"")</f>
        <v/>
      </c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8"/>
      <c r="AO210" s="28"/>
      <c r="AP210" s="29"/>
      <c r="AQ210" s="29" t="str">
        <f t="shared" ref="AQ210:BL210" si="214">T210/T$2</f>
        <v>#N/A</v>
      </c>
      <c r="AR210" s="29" t="str">
        <f t="shared" si="214"/>
        <v>#DIV/0!</v>
      </c>
      <c r="AS210" s="29" t="str">
        <f t="shared" si="214"/>
        <v>#DIV/0!</v>
      </c>
      <c r="AT210" s="29" t="str">
        <f t="shared" si="214"/>
        <v>#DIV/0!</v>
      </c>
      <c r="AU210" s="29" t="str">
        <f t="shared" si="214"/>
        <v>#DIV/0!</v>
      </c>
      <c r="AV210" s="29" t="str">
        <f t="shared" si="214"/>
        <v>#DIV/0!</v>
      </c>
      <c r="AW210" s="29" t="str">
        <f t="shared" si="214"/>
        <v>#DIV/0!</v>
      </c>
      <c r="AX210" s="29" t="str">
        <f t="shared" si="214"/>
        <v>#DIV/0!</v>
      </c>
      <c r="AY210" s="29" t="str">
        <f t="shared" si="214"/>
        <v>#DIV/0!</v>
      </c>
      <c r="AZ210" s="29" t="str">
        <f t="shared" si="214"/>
        <v>#DIV/0!</v>
      </c>
      <c r="BA210" s="29" t="str">
        <f t="shared" si="214"/>
        <v>#DIV/0!</v>
      </c>
      <c r="BB210" s="29" t="str">
        <f t="shared" si="214"/>
        <v>#DIV/0!</v>
      </c>
      <c r="BC210" s="29" t="str">
        <f t="shared" si="214"/>
        <v>#DIV/0!</v>
      </c>
      <c r="BD210" s="29" t="str">
        <f t="shared" si="214"/>
        <v>#DIV/0!</v>
      </c>
      <c r="BE210" s="29" t="str">
        <f t="shared" si="214"/>
        <v>#DIV/0!</v>
      </c>
      <c r="BF210" s="29" t="str">
        <f t="shared" si="214"/>
        <v>#DIV/0!</v>
      </c>
      <c r="BG210" s="29" t="str">
        <f t="shared" si="214"/>
        <v>#DIV/0!</v>
      </c>
      <c r="BH210" s="29" t="str">
        <f t="shared" si="214"/>
        <v>#DIV/0!</v>
      </c>
      <c r="BI210" s="29" t="str">
        <f t="shared" si="214"/>
        <v>#DIV/0!</v>
      </c>
      <c r="BJ210" s="29" t="str">
        <f t="shared" si="214"/>
        <v>#DIV/0!</v>
      </c>
      <c r="BK210" s="29" t="str">
        <f t="shared" si="214"/>
        <v>#DIV/0!</v>
      </c>
      <c r="BL210" s="29" t="str">
        <f t="shared" si="214"/>
        <v>#DIV/0!</v>
      </c>
      <c r="BM210" s="29" t="str">
        <f t="shared" si="3"/>
        <v>#DIV/0!</v>
      </c>
    </row>
    <row r="211">
      <c r="A211" s="16" t="str">
        <f>IFERROR(__xludf.DUMMYFUNCTION("IFERROR(SPARKLINE(SORT(MAP(TRANSPOSE(AQ211:BL211), LAMBDA(val, IF(ISNUMBER(val), PERCENTRANK(AQ211:BL211, val)+0.01, 0))), SEQUENCE(COLUMNS(AQ211:BL211)), FALSE), {""charttype"",""column""; ""color"",""chartreuse""; ""ymin"", 0; ""ymax"", 1.01; ""highcolo"&amp;"r"", ""darkgreen""; ""lowcolor"", ""red""}), """")"),"")</f>
        <v/>
      </c>
      <c r="B211" s="17" t="str">
        <f t="shared" si="4"/>
        <v/>
      </c>
      <c r="C211" s="1" t="s">
        <v>3382</v>
      </c>
      <c r="D211" s="30" t="str">
        <f>IFERROR(__xludf.DUMMYFUNCTION("IFERROR(GOOGLEFINANCE(C211, ""NAME""))"),"Martin Marietta Materials Inc")</f>
        <v>Martin Marietta Materials Inc</v>
      </c>
      <c r="E211" s="30" t="s">
        <v>3098</v>
      </c>
      <c r="F211" s="33" t="str">
        <f>IFERROR(__xludf.DUMMYFUNCTION("( (GOOGLEFINANCE(C211, ""price"") - Q211) / Q211 ) / (R211 / 100)"),"Loading...")</f>
        <v>Loading...</v>
      </c>
      <c r="G211" s="20" t="str">
        <f>IFERROR(__xludf.DUMMYFUNCTION("AVERAGE(ARRAYFORMULA(100 * (QUERY(GOOGLEFINANCE(C211, ""high"", TODAY()-40, TODAY()), ""SELECT Col2 WHERE Col2 IS NOT NULL ORDER BY Col1 DESC LIMIT 20"", 0) / QUERY(GOOGLEFINANCE(C211, ""low"", TODAY()-40, TODAY()), ""SELECT Col2 WHERE Col2 IS NOT NULL OR"&amp;"DER BY Col1 DESC LIMIT 20"", 0) - 1)))"),"#N/A")</f>
        <v>#N/A</v>
      </c>
      <c r="H211" s="35" t="str">
        <f t="shared" si="35"/>
        <v>Liquid</v>
      </c>
      <c r="I211" s="35" t="str">
        <f t="shared" si="7"/>
        <v>RVol Required</v>
      </c>
      <c r="J211" s="37">
        <f>IFERROR(__xludf.DUMMYFUNCTION("IFERROR(
  IF(C211="""",, 
    IFERROR(
      GOOGLEFINANCE(C211, ""price"") * GOOGLEFINANCE(C211, ""volumeavg""), 
      GOOGLEFINANCE(C211, ""price"") * AVERAGE(QUERY(GOOGLEFINANCE(C211, ""volume"", TODAY()-40, TODAY()), ""SELECT Col2 WHERE Col2 IS NOT "&amp;"NULL ORDER BY Col1 DESC LIMIT 20"", 0))
    )
  ), 
"""")"),4.12779807E8)</f>
        <v>412779807</v>
      </c>
      <c r="K211" s="21">
        <f>IFERROR(__xludf.DUMMYFUNCTION("IFERROR(GOOGLEFINANCE(C211, ""changepct"") / 100, """")"),0.0196)</f>
        <v>0.0196</v>
      </c>
      <c r="L211" s="21" t="str">
        <f>IFERROR(__xludf.DUMMYFUNCTION("IFERROR((GOOGLEFINANCE(C211, ""price"") / INDEX(GOOGLEFINANCE(C211, ""price"", TODAY()-7, TODAY()), 2, 2)) - 1, """")"),"")</f>
        <v/>
      </c>
      <c r="M211" s="21" t="str">
        <f>IFERROR(__xludf.DUMMYFUNCTION("IFERROR((GOOGLEFINANCE(C211, ""price"") / INDEX(GOOGLEFINANCE(C211, ""price"", EDATE(TODAY(), -1), TODAY()), 2, 2)) - 1, """")"),"")</f>
        <v/>
      </c>
      <c r="N211" s="21" t="str">
        <f>IFERROR(__xludf.DUMMYFUNCTION("IFERROR((GOOGLEFINANCE(C211, ""price"") / INDEX(GOOGLEFINANCE(C211, ""price"", EDATE(TODAY(), -3), TODAY()), 2, 2)) - 1, """")"),"")</f>
        <v/>
      </c>
      <c r="O211" s="21" t="str">
        <f>IFERROR(__xludf.DUMMYFUNCTION("IFERROR((GOOGLEFINANCE(C211, ""price"") / INDEX(GOOGLEFINANCE(C211, ""price"", EDATE(TODAY(), -6), TODAY()), 2, 2)) - 1, """")"),"")</f>
        <v/>
      </c>
      <c r="P211" s="21" t="str">
        <f>IFERROR(__xludf.DUMMYFUNCTION("IFERROR((GOOGLEFINANCE(C211, ""price"") / INDEX(GOOGLEFINANCE(C211, ""price"", EDATE(TODAY(), -12), TODAY()), 2, 2)) - 1, """")"),"")</f>
        <v/>
      </c>
      <c r="Q211" s="6" t="str">
        <f>IFERROR(__xludf.DUMMYFUNCTION("AVERAGE(QUERY(GOOGLEFINANCE(C211, ""price"", TODAY()-80, TODAY()), ""SELECT Col2 WHERE Col2 IS NOT NULL ORDER BY Col1 DESC LIMIT 50"", 0))"),"#N/A")</f>
        <v>#N/A</v>
      </c>
      <c r="R211" s="24" t="str">
        <f>IFERROR(__xludf.DUMMYFUNCTION("IFERROR(
  LET(
    data, QUERY(GOOGLEFINANCE(C211,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GOOGLEFINANCE(C211, ""price"")) * 100,
    IF(calc=0, G211, calc)
  ), 
G211)"),"#N/A")</f>
        <v>#N/A</v>
      </c>
      <c r="S211" s="8" t="s">
        <v>15</v>
      </c>
      <c r="T211" s="26" t="str">
        <f>IFERROR(__xludf.DUMMYFUNCTION("IFERROR(TRANSPOSE(QUERY(IFERROR(SORT(GOOGLEFINANCE(C211, ""price"", WORKDAY(TODAY(), -40), TODAY()), 1, FALSE)), ""select Col2 where Col2 is not null limit 22 label Col2 ''"", 0)), """")"),"")</f>
        <v/>
      </c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8"/>
      <c r="AO211" s="28"/>
      <c r="AP211" s="29"/>
      <c r="AQ211" s="29" t="str">
        <f t="shared" ref="AQ211:BL211" si="215">T211/T$2</f>
        <v>#N/A</v>
      </c>
      <c r="AR211" s="29" t="str">
        <f t="shared" si="215"/>
        <v>#DIV/0!</v>
      </c>
      <c r="AS211" s="29" t="str">
        <f t="shared" si="215"/>
        <v>#DIV/0!</v>
      </c>
      <c r="AT211" s="29" t="str">
        <f t="shared" si="215"/>
        <v>#DIV/0!</v>
      </c>
      <c r="AU211" s="29" t="str">
        <f t="shared" si="215"/>
        <v>#DIV/0!</v>
      </c>
      <c r="AV211" s="29" t="str">
        <f t="shared" si="215"/>
        <v>#DIV/0!</v>
      </c>
      <c r="AW211" s="29" t="str">
        <f t="shared" si="215"/>
        <v>#DIV/0!</v>
      </c>
      <c r="AX211" s="29" t="str">
        <f t="shared" si="215"/>
        <v>#DIV/0!</v>
      </c>
      <c r="AY211" s="29" t="str">
        <f t="shared" si="215"/>
        <v>#DIV/0!</v>
      </c>
      <c r="AZ211" s="29" t="str">
        <f t="shared" si="215"/>
        <v>#DIV/0!</v>
      </c>
      <c r="BA211" s="29" t="str">
        <f t="shared" si="215"/>
        <v>#DIV/0!</v>
      </c>
      <c r="BB211" s="29" t="str">
        <f t="shared" si="215"/>
        <v>#DIV/0!</v>
      </c>
      <c r="BC211" s="29" t="str">
        <f t="shared" si="215"/>
        <v>#DIV/0!</v>
      </c>
      <c r="BD211" s="29" t="str">
        <f t="shared" si="215"/>
        <v>#DIV/0!</v>
      </c>
      <c r="BE211" s="29" t="str">
        <f t="shared" si="215"/>
        <v>#DIV/0!</v>
      </c>
      <c r="BF211" s="29" t="str">
        <f t="shared" si="215"/>
        <v>#DIV/0!</v>
      </c>
      <c r="BG211" s="29" t="str">
        <f t="shared" si="215"/>
        <v>#DIV/0!</v>
      </c>
      <c r="BH211" s="29" t="str">
        <f t="shared" si="215"/>
        <v>#DIV/0!</v>
      </c>
      <c r="BI211" s="29" t="str">
        <f t="shared" si="215"/>
        <v>#DIV/0!</v>
      </c>
      <c r="BJ211" s="29" t="str">
        <f t="shared" si="215"/>
        <v>#DIV/0!</v>
      </c>
      <c r="BK211" s="29" t="str">
        <f t="shared" si="215"/>
        <v>#DIV/0!</v>
      </c>
      <c r="BL211" s="29" t="str">
        <f t="shared" si="215"/>
        <v>#DIV/0!</v>
      </c>
      <c r="BM211" s="29" t="str">
        <f t="shared" si="3"/>
        <v>#DIV/0!</v>
      </c>
    </row>
    <row r="212">
      <c r="A212" s="16" t="str">
        <f>IFERROR(__xludf.DUMMYFUNCTION("IFERROR(SPARKLINE(SORT(MAP(TRANSPOSE(AQ212:BL212), LAMBDA(val, IF(ISNUMBER(val), PERCENTRANK(AQ212:BL212, val)+0.01, 0))), SEQUENCE(COLUMNS(AQ212:BL212)), FALSE), {""charttype"",""column""; ""color"",""chartreuse""; ""ymin"", 0; ""ymax"", 1.01; ""highcolo"&amp;"r"", ""darkgreen""; ""lowcolor"", ""red""}), """")"),"")</f>
        <v/>
      </c>
      <c r="B212" s="17" t="str">
        <f t="shared" si="4"/>
        <v/>
      </c>
      <c r="C212" s="1" t="s">
        <v>3383</v>
      </c>
      <c r="D212" s="30" t="str">
        <f>IFERROR(__xludf.DUMMYFUNCTION("IFERROR(GOOGLEFINANCE(C212, ""NAME""))"),"Boise Cascade Co")</f>
        <v>Boise Cascade Co</v>
      </c>
      <c r="E212" s="30" t="s">
        <v>3337</v>
      </c>
      <c r="F212" s="33" t="str">
        <f>IFERROR(__xludf.DUMMYFUNCTION("( (GOOGLEFINANCE(C212, ""price"") - Q212) / Q212 ) / (R212 / 100)"),"Loading...")</f>
        <v>Loading...</v>
      </c>
      <c r="G212" s="20" t="str">
        <f>IFERROR(__xludf.DUMMYFUNCTION("AVERAGE(ARRAYFORMULA(100 * (QUERY(GOOGLEFINANCE(C212, ""high"", TODAY()-40, TODAY()), ""SELECT Col2 WHERE Col2 IS NOT NULL ORDER BY Col1 DESC LIMIT 20"", 0) / QUERY(GOOGLEFINANCE(C212, ""low"", TODAY()-40, TODAY()), ""SELECT Col2 WHERE Col2 IS NOT NULL OR"&amp;"DER BY Col1 DESC LIMIT 20"", 0) - 1)))"),"#N/A")</f>
        <v>#N/A</v>
      </c>
      <c r="H212" s="35" t="str">
        <f t="shared" si="35"/>
        <v>Illiquid</v>
      </c>
      <c r="I212" s="35" t="str">
        <f t="shared" si="7"/>
        <v>RVol Required</v>
      </c>
      <c r="J212" s="37">
        <f>IFERROR(__xludf.DUMMYFUNCTION("IFERROR(
  IF(C212="""",, 
    IFERROR(
      GOOGLEFINANCE(C212, ""price"") * GOOGLEFINANCE(C212, ""volumeavg""), 
      GOOGLEFINANCE(C212, ""price"") * AVERAGE(QUERY(GOOGLEFINANCE(C212, ""volume"", TODAY()-40, TODAY()), ""SELECT Col2 WHERE Col2 IS NOT "&amp;"NULL ORDER BY Col1 DESC LIMIT 20"", 0))
    )
  ), 
"""")"),2.510828304E7)</f>
        <v>25108283.04</v>
      </c>
      <c r="K212" s="21">
        <f>IFERROR(__xludf.DUMMYFUNCTION("IFERROR(GOOGLEFINANCE(C212, ""changepct"") / 100, """")"),0.0086)</f>
        <v>0.0086</v>
      </c>
      <c r="L212" s="21" t="str">
        <f>IFERROR(__xludf.DUMMYFUNCTION("IFERROR((GOOGLEFINANCE(C212, ""price"") / INDEX(GOOGLEFINANCE(C212, ""price"", TODAY()-7, TODAY()), 2, 2)) - 1, """")"),"")</f>
        <v/>
      </c>
      <c r="M212" s="21" t="str">
        <f>IFERROR(__xludf.DUMMYFUNCTION("IFERROR((GOOGLEFINANCE(C212, ""price"") / INDEX(GOOGLEFINANCE(C212, ""price"", EDATE(TODAY(), -1), TODAY()), 2, 2)) - 1, """")"),"")</f>
        <v/>
      </c>
      <c r="N212" s="21" t="str">
        <f>IFERROR(__xludf.DUMMYFUNCTION("IFERROR((GOOGLEFINANCE(C212, ""price"") / INDEX(GOOGLEFINANCE(C212, ""price"", EDATE(TODAY(), -3), TODAY()), 2, 2)) - 1, """")"),"")</f>
        <v/>
      </c>
      <c r="O212" s="21" t="str">
        <f>IFERROR(__xludf.DUMMYFUNCTION("IFERROR((GOOGLEFINANCE(C212, ""price"") / INDEX(GOOGLEFINANCE(C212, ""price"", EDATE(TODAY(), -6), TODAY()), 2, 2)) - 1, """")"),"")</f>
        <v/>
      </c>
      <c r="P212" s="21" t="str">
        <f>IFERROR(__xludf.DUMMYFUNCTION("IFERROR((GOOGLEFINANCE(C212, ""price"") / INDEX(GOOGLEFINANCE(C212, ""price"", EDATE(TODAY(), -12), TODAY()), 2, 2)) - 1, """")"),"")</f>
        <v/>
      </c>
      <c r="Q212" s="6" t="str">
        <f>IFERROR(__xludf.DUMMYFUNCTION("AVERAGE(QUERY(GOOGLEFINANCE(C212, ""price"", TODAY()-80, TODAY()), ""SELECT Col2 WHERE Col2 IS NOT NULL ORDER BY Col1 DESC LIMIT 50"", 0))"),"#N/A")</f>
        <v>#N/A</v>
      </c>
      <c r="R212" s="24" t="str">
        <f>IFERROR(__xludf.DUMMYFUNCTION("IFERROR(
  LET(
    data, QUERY(GOOGLEFINANCE(C212,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GOOGLEFINANCE(C212, ""price"")) * 100,
    IF(calc=0, G212, calc)
  ), 
G212)"),"#N/A")</f>
        <v>#N/A</v>
      </c>
      <c r="S212" s="8" t="s">
        <v>15</v>
      </c>
      <c r="T212" s="26" t="str">
        <f>IFERROR(__xludf.DUMMYFUNCTION("IFERROR(TRANSPOSE(QUERY(IFERROR(SORT(GOOGLEFINANCE(C212, ""price"", WORKDAY(TODAY(), -40), TODAY()), 1, FALSE)), ""select Col2 where Col2 is not null limit 22 label Col2 ''"", 0)), """")"),"")</f>
        <v/>
      </c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8"/>
      <c r="AO212" s="28"/>
      <c r="AP212" s="29"/>
      <c r="AQ212" s="29" t="str">
        <f t="shared" ref="AQ212:BL212" si="216">T212/T$2</f>
        <v>#N/A</v>
      </c>
      <c r="AR212" s="29" t="str">
        <f t="shared" si="216"/>
        <v>#DIV/0!</v>
      </c>
      <c r="AS212" s="29" t="str">
        <f t="shared" si="216"/>
        <v>#DIV/0!</v>
      </c>
      <c r="AT212" s="29" t="str">
        <f t="shared" si="216"/>
        <v>#DIV/0!</v>
      </c>
      <c r="AU212" s="29" t="str">
        <f t="shared" si="216"/>
        <v>#DIV/0!</v>
      </c>
      <c r="AV212" s="29" t="str">
        <f t="shared" si="216"/>
        <v>#DIV/0!</v>
      </c>
      <c r="AW212" s="29" t="str">
        <f t="shared" si="216"/>
        <v>#DIV/0!</v>
      </c>
      <c r="AX212" s="29" t="str">
        <f t="shared" si="216"/>
        <v>#DIV/0!</v>
      </c>
      <c r="AY212" s="29" t="str">
        <f t="shared" si="216"/>
        <v>#DIV/0!</v>
      </c>
      <c r="AZ212" s="29" t="str">
        <f t="shared" si="216"/>
        <v>#DIV/0!</v>
      </c>
      <c r="BA212" s="29" t="str">
        <f t="shared" si="216"/>
        <v>#DIV/0!</v>
      </c>
      <c r="BB212" s="29" t="str">
        <f t="shared" si="216"/>
        <v>#DIV/0!</v>
      </c>
      <c r="BC212" s="29" t="str">
        <f t="shared" si="216"/>
        <v>#DIV/0!</v>
      </c>
      <c r="BD212" s="29" t="str">
        <f t="shared" si="216"/>
        <v>#DIV/0!</v>
      </c>
      <c r="BE212" s="29" t="str">
        <f t="shared" si="216"/>
        <v>#DIV/0!</v>
      </c>
      <c r="BF212" s="29" t="str">
        <f t="shared" si="216"/>
        <v>#DIV/0!</v>
      </c>
      <c r="BG212" s="29" t="str">
        <f t="shared" si="216"/>
        <v>#DIV/0!</v>
      </c>
      <c r="BH212" s="29" t="str">
        <f t="shared" si="216"/>
        <v>#DIV/0!</v>
      </c>
      <c r="BI212" s="29" t="str">
        <f t="shared" si="216"/>
        <v>#DIV/0!</v>
      </c>
      <c r="BJ212" s="29" t="str">
        <f t="shared" si="216"/>
        <v>#DIV/0!</v>
      </c>
      <c r="BK212" s="29" t="str">
        <f t="shared" si="216"/>
        <v>#DIV/0!</v>
      </c>
      <c r="BL212" s="29" t="str">
        <f t="shared" si="216"/>
        <v>#DIV/0!</v>
      </c>
      <c r="BM212" s="29" t="str">
        <f t="shared" si="3"/>
        <v>#DIV/0!</v>
      </c>
    </row>
    <row r="213">
      <c r="A213" s="16" t="str">
        <f>IFERROR(__xludf.DUMMYFUNCTION("IFERROR(SPARKLINE(SORT(MAP(TRANSPOSE(AQ213:BL213), LAMBDA(val, IF(ISNUMBER(val), PERCENTRANK(AQ213:BL213, val)+0.01, 0))), SEQUENCE(COLUMNS(AQ213:BL213)), FALSE), {""charttype"",""column""; ""color"",""chartreuse""; ""ymin"", 0; ""ymax"", 1.01; ""highcolo"&amp;"r"", ""darkgreen""; ""lowcolor"", ""red""}), """")"),"")</f>
        <v/>
      </c>
      <c r="B213" s="17" t="str">
        <f t="shared" si="4"/>
        <v/>
      </c>
      <c r="C213" s="1" t="s">
        <v>3384</v>
      </c>
      <c r="D213" s="30" t="str">
        <f>IFERROR(__xludf.DUMMYFUNCTION("IFERROR(GOOGLEFINANCE(C213, ""NAME""))"),"WD-40 Co")</f>
        <v>WD-40 Co</v>
      </c>
      <c r="E213" s="30" t="s">
        <v>2995</v>
      </c>
      <c r="F213" s="33" t="str">
        <f>IFERROR(__xludf.DUMMYFUNCTION("( (GOOGLEFINANCE(C213, ""price"") - Q213) / Q213 ) / (R213 / 100)"),"Loading...")</f>
        <v>Loading...</v>
      </c>
      <c r="G213" s="20" t="str">
        <f>IFERROR(__xludf.DUMMYFUNCTION("AVERAGE(ARRAYFORMULA(100 * (QUERY(GOOGLEFINANCE(C213, ""high"", TODAY()-40, TODAY()), ""SELECT Col2 WHERE Col2 IS NOT NULL ORDER BY Col1 DESC LIMIT 20"", 0) / QUERY(GOOGLEFINANCE(C213, ""low"", TODAY()-40, TODAY()), ""SELECT Col2 WHERE Col2 IS NOT NULL OR"&amp;"DER BY Col1 DESC LIMIT 20"", 0) - 1)))"),"#N/A")</f>
        <v>#N/A</v>
      </c>
      <c r="H213" s="35" t="str">
        <f t="shared" si="35"/>
        <v>Illiquid</v>
      </c>
      <c r="I213" s="35" t="str">
        <f t="shared" si="7"/>
        <v>RVol Required</v>
      </c>
      <c r="J213" s="37">
        <f>IFERROR(__xludf.DUMMYFUNCTION("IFERROR(
  IF(C213="""",, 
    IFERROR(
      GOOGLEFINANCE(C213, ""price"") * GOOGLEFINANCE(C213, ""volumeavg""), 
      GOOGLEFINANCE(C213, ""price"") * AVERAGE(QUERY(GOOGLEFINANCE(C213, ""volume"", TODAY()-40, TODAY()), ""SELECT Col2 WHERE Col2 IS NOT "&amp;"NULL ORDER BY Col1 DESC LIMIT 20"", 0))
    )
  ), 
"""")"),2.47881964E7)</f>
        <v>24788196.4</v>
      </c>
      <c r="K213" s="21">
        <f>IFERROR(__xludf.DUMMYFUNCTION("IFERROR(GOOGLEFINANCE(C213, ""changepct"") / 100, """")"),-0.01)</f>
        <v>-0.01</v>
      </c>
      <c r="L213" s="21" t="str">
        <f>IFERROR(__xludf.DUMMYFUNCTION("IFERROR((GOOGLEFINANCE(C213, ""price"") / INDEX(GOOGLEFINANCE(C213, ""price"", TODAY()-7, TODAY()), 2, 2)) - 1, """")"),"")</f>
        <v/>
      </c>
      <c r="M213" s="21" t="str">
        <f>IFERROR(__xludf.DUMMYFUNCTION("IFERROR((GOOGLEFINANCE(C213, ""price"") / INDEX(GOOGLEFINANCE(C213, ""price"", EDATE(TODAY(), -1), TODAY()), 2, 2)) - 1, """")"),"")</f>
        <v/>
      </c>
      <c r="N213" s="21" t="str">
        <f>IFERROR(__xludf.DUMMYFUNCTION("IFERROR((GOOGLEFINANCE(C213, ""price"") / INDEX(GOOGLEFINANCE(C213, ""price"", EDATE(TODAY(), -3), TODAY()), 2, 2)) - 1, """")"),"")</f>
        <v/>
      </c>
      <c r="O213" s="21" t="str">
        <f>IFERROR(__xludf.DUMMYFUNCTION("IFERROR((GOOGLEFINANCE(C213, ""price"") / INDEX(GOOGLEFINANCE(C213, ""price"", EDATE(TODAY(), -6), TODAY()), 2, 2)) - 1, """")"),"")</f>
        <v/>
      </c>
      <c r="P213" s="21" t="str">
        <f>IFERROR(__xludf.DUMMYFUNCTION("IFERROR((GOOGLEFINANCE(C213, ""price"") / INDEX(GOOGLEFINANCE(C213, ""price"", EDATE(TODAY(), -12), TODAY()), 2, 2)) - 1, """")"),"")</f>
        <v/>
      </c>
      <c r="Q213" s="6" t="str">
        <f>IFERROR(__xludf.DUMMYFUNCTION("AVERAGE(QUERY(GOOGLEFINANCE(C213, ""price"", TODAY()-80, TODAY()), ""SELECT Col2 WHERE Col2 IS NOT NULL ORDER BY Col1 DESC LIMIT 50"", 0))"),"#N/A")</f>
        <v>#N/A</v>
      </c>
      <c r="R213" s="24" t="str">
        <f>IFERROR(__xludf.DUMMYFUNCTION("IFERROR(
  LET(
    data, QUERY(GOOGLEFINANCE(C213, ""all"", TODAY()-35, TODAY()), ""SELECT Col3, Col4, Col5 ORDER BY Col1 DESC LIMIT 15"", 0),
    h, CHOOSEROWS(CHOOSECOLS(data, 1), SEQUENCE(14)),
    l, CHOOSEROWS(CHOOSECOLS(data, 2), SEQUENCE(14)),
   "&amp;" c_prev, CHOOSEROWS(CHOOSECOLS(data, 3), SEQUENCE(14, 1, 2)),
    tr, ARRAYFORMULA((IF(h &gt; c_prev, h, c_prev)) - (IF(l &lt; c_prev, l, c_prev))),
    calc, (AVERAGE(tr) / GOOGLEFINANCE(C213, ""price"")) * 100,
    IF(calc=0, G213, calc)
  ), 
G213)"),"#N/A")</f>
        <v>#N/A</v>
      </c>
      <c r="S213" s="8" t="s">
        <v>15</v>
      </c>
      <c r="T213" s="26" t="str">
        <f>IFERROR(__xludf.DUMMYFUNCTION("IFERROR(TRANSPOSE(QUERY(IFERROR(SORT(GOOGLEFINANCE(C213, ""price"", WORKDAY(TODAY(), -40), TODAY()), 1, FALSE)), ""select Col2 where Col2 is not null limit 22 label Col2 ''"", 0)), """")"),"")</f>
        <v/>
      </c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8"/>
      <c r="AO213" s="28"/>
      <c r="AP213" s="29"/>
      <c r="AQ213" s="29" t="str">
        <f t="shared" ref="AQ213:BL213" si="217">T213/T$2</f>
        <v>#N/A</v>
      </c>
      <c r="AR213" s="29" t="str">
        <f t="shared" si="217"/>
        <v>#DIV/0!</v>
      </c>
      <c r="AS213" s="29" t="str">
        <f t="shared" si="217"/>
        <v>#DIV/0!</v>
      </c>
      <c r="AT213" s="29" t="str">
        <f t="shared" si="217"/>
        <v>#DIV/0!</v>
      </c>
      <c r="AU213" s="29" t="str">
        <f t="shared" si="217"/>
        <v>#DIV/0!</v>
      </c>
      <c r="AV213" s="29" t="str">
        <f t="shared" si="217"/>
        <v>#DIV/0!</v>
      </c>
      <c r="AW213" s="29" t="str">
        <f t="shared" si="217"/>
        <v>#DIV/0!</v>
      </c>
      <c r="AX213" s="29" t="str">
        <f t="shared" si="217"/>
        <v>#DIV/0!</v>
      </c>
      <c r="AY213" s="29" t="str">
        <f t="shared" si="217"/>
        <v>#DIV/0!</v>
      </c>
      <c r="AZ213" s="29" t="str">
        <f t="shared" si="217"/>
        <v>#DIV/0!</v>
      </c>
      <c r="BA213" s="29" t="str">
        <f t="shared" si="217"/>
        <v>#DIV/0!</v>
      </c>
      <c r="BB213" s="29" t="str">
        <f t="shared" si="217"/>
        <v>#DIV/0!</v>
      </c>
      <c r="BC213" s="29" t="str">
        <f t="shared" si="217"/>
        <v>#DIV/0!</v>
      </c>
      <c r="BD213" s="29" t="str">
        <f t="shared" si="217"/>
        <v>#DIV/0!</v>
      </c>
      <c r="BE213" s="29" t="str">
        <f t="shared" si="217"/>
        <v>#DIV/0!</v>
      </c>
      <c r="BF213" s="29" t="str">
        <f t="shared" si="217"/>
        <v>#DIV/0!</v>
      </c>
      <c r="BG213" s="29" t="str">
        <f t="shared" si="217"/>
        <v>#DIV/0!</v>
      </c>
      <c r="BH213" s="29" t="str">
        <f t="shared" si="217"/>
        <v>#DIV/0!</v>
      </c>
      <c r="BI213" s="29" t="str">
        <f t="shared" si="217"/>
        <v>#DIV/0!</v>
      </c>
      <c r="BJ213" s="29" t="str">
        <f t="shared" si="217"/>
        <v>#DIV/0!</v>
      </c>
      <c r="BK213" s="29" t="str">
        <f t="shared" si="217"/>
        <v>#DIV/0!</v>
      </c>
      <c r="BL213" s="29" t="str">
        <f t="shared" si="217"/>
        <v>#DIV/0!</v>
      </c>
      <c r="BM213" s="29" t="str">
        <f t="shared" si="3"/>
        <v>#DIV/0!</v>
      </c>
    </row>
  </sheetData>
  <mergeCells count="5">
    <mergeCell ref="E1:E3"/>
    <mergeCell ref="G1:G3"/>
    <mergeCell ref="H1:H3"/>
    <mergeCell ref="I1:I3"/>
    <mergeCell ref="J1:J3"/>
  </mergeCells>
  <conditionalFormatting sqref="H4:H213">
    <cfRule type="cellIs" dxfId="8" priority="1" operator="equal">
      <formula>"Liquid"</formula>
    </cfRule>
  </conditionalFormatting>
  <conditionalFormatting sqref="I4:I213">
    <cfRule type="containsText" dxfId="8" priority="2" operator="containsText" text="No">
      <formula>NOT(ISERROR(SEARCH(("No"),(I4))))</formula>
    </cfRule>
  </conditionalFormatting>
  <conditionalFormatting sqref="K1:P213">
    <cfRule type="cellIs" dxfId="0" priority="3" operator="lessThan">
      <formula>0</formula>
    </cfRule>
  </conditionalFormatting>
  <conditionalFormatting sqref="A1:BM213">
    <cfRule type="containsBlanks" dxfId="1" priority="4">
      <formula>LEN(TRIM(A1))=0</formula>
    </cfRule>
  </conditionalFormatting>
  <conditionalFormatting sqref="C1:C213">
    <cfRule type="expression" dxfId="2" priority="5">
      <formula>COUNTIF($C:$C, C1) &gt; 1</formula>
    </cfRule>
  </conditionalFormatting>
  <conditionalFormatting sqref="F1:F213">
    <cfRule type="cellIs" dxfId="3" priority="6" operator="greaterThanOrEqual">
      <formula>8</formula>
    </cfRule>
  </conditionalFormatting>
  <conditionalFormatting sqref="F1:F213">
    <cfRule type="cellIs" dxfId="4" priority="7" operator="greaterThanOrEqual">
      <formula>5</formula>
    </cfRule>
  </conditionalFormatting>
  <conditionalFormatting sqref="F1:F213">
    <cfRule type="cellIs" dxfId="5" priority="8" operator="between">
      <formula>5</formula>
      <formula>-1</formula>
    </cfRule>
  </conditionalFormatting>
  <conditionalFormatting sqref="F1:F213">
    <cfRule type="cellIs" dxfId="6" priority="9" operator="lessThan">
      <formula>-5</formula>
    </cfRule>
  </conditionalFormatting>
  <conditionalFormatting sqref="G1:H213">
    <cfRule type="cellIs" dxfId="7" priority="10" operator="greaterThanOrEqual">
      <formula>4</formula>
    </cfRule>
  </conditionalFormatting>
  <conditionalFormatting sqref="F1:F213">
    <cfRule type="cellIs" dxfId="9" priority="11" operator="lessThan">
      <formula>-1</formula>
    </cfRule>
  </conditionalFormatting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